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V:\Multi_National_Enterprises\BACKUP\__MEIP_FY2022\Outputs\Datasets\Release\"/>
    </mc:Choice>
  </mc:AlternateContent>
  <xr:revisionPtr revIDLastSave="0" documentId="13_ncr:1_{31871D89-DBE2-41BA-B62D-85FC202CB882}" xr6:coauthVersionLast="47" xr6:coauthVersionMax="47" xr10:uidLastSave="{00000000-0000-0000-0000-000000000000}"/>
  <bookViews>
    <workbookView xWindow="1560" yWindow="1560" windowWidth="21600" windowHeight="11280" activeTab="1" xr2:uid="{00000000-000D-0000-FFFF-FFFF00000000}"/>
  </bookViews>
  <sheets>
    <sheet name="OECD-UNSD MEIP" sheetId="4" r:id="rId1"/>
    <sheet name="Digital Register" sheetId="1" r:id="rId2"/>
    <sheet name="Metadata" sheetId="3" r:id="rId3"/>
    <sheet name="Country_Code_mapping" sheetId="2" r:id="rId4"/>
  </sheets>
  <definedNames>
    <definedName name="_xlnm._FilterDatabase" localSheetId="3" hidden="1">Country_Code_mapping!$H$1:$I$227</definedName>
    <definedName name="_xlnm._FilterDatabase" localSheetId="1" hidden="1">'Digital Register'!$A$1:$J$40458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0458" i="1" l="1"/>
  <c r="B40457" i="1"/>
  <c r="B40456" i="1"/>
  <c r="B40455" i="1"/>
  <c r="B40454" i="1"/>
  <c r="B40453" i="1"/>
  <c r="B40452" i="1"/>
  <c r="B40451" i="1"/>
  <c r="B40450" i="1"/>
  <c r="B40449" i="1"/>
  <c r="B40448" i="1"/>
  <c r="B40447" i="1"/>
  <c r="B40446" i="1"/>
  <c r="B40445" i="1"/>
  <c r="B40444" i="1"/>
  <c r="B40443" i="1"/>
  <c r="B40442" i="1"/>
  <c r="B40441" i="1"/>
  <c r="B40440" i="1"/>
  <c r="B40439" i="1"/>
  <c r="B40438" i="1"/>
  <c r="B40437" i="1"/>
  <c r="B40436" i="1"/>
  <c r="B40435" i="1"/>
  <c r="B40434" i="1"/>
  <c r="B40433" i="1"/>
  <c r="B40432" i="1"/>
  <c r="B40431" i="1"/>
  <c r="B40430" i="1"/>
  <c r="B40429" i="1"/>
  <c r="B40428" i="1"/>
  <c r="B40427" i="1"/>
  <c r="B40426" i="1"/>
  <c r="B40425" i="1"/>
  <c r="B40424" i="1"/>
  <c r="B40423" i="1"/>
  <c r="B40422" i="1"/>
  <c r="B40421" i="1"/>
  <c r="B40420" i="1"/>
  <c r="B40419" i="1"/>
  <c r="B40418" i="1"/>
  <c r="B40417" i="1"/>
  <c r="B40416" i="1"/>
  <c r="B40415" i="1"/>
  <c r="B40414" i="1"/>
  <c r="B40413" i="1"/>
  <c r="B40412" i="1"/>
  <c r="B40411" i="1"/>
  <c r="B40410" i="1"/>
  <c r="B40409" i="1"/>
  <c r="B40408" i="1"/>
  <c r="B40407" i="1"/>
  <c r="B40406" i="1"/>
  <c r="B40405" i="1"/>
  <c r="B40404" i="1"/>
  <c r="B40403" i="1"/>
  <c r="B40402" i="1"/>
  <c r="B40401" i="1"/>
  <c r="B40400" i="1"/>
  <c r="B40399" i="1"/>
  <c r="B40398" i="1"/>
  <c r="B40397" i="1"/>
  <c r="B40396" i="1"/>
  <c r="B40395" i="1"/>
  <c r="B40394" i="1"/>
  <c r="B40393" i="1"/>
  <c r="B40392" i="1"/>
  <c r="B40391" i="1"/>
  <c r="B40390" i="1"/>
  <c r="B40389" i="1"/>
  <c r="B40388" i="1"/>
  <c r="B40387" i="1"/>
  <c r="B40386" i="1"/>
  <c r="B40385" i="1"/>
  <c r="B40384" i="1"/>
  <c r="B40383" i="1"/>
  <c r="B40382" i="1"/>
  <c r="B40381" i="1"/>
  <c r="B40380" i="1"/>
  <c r="B40379" i="1"/>
  <c r="B40378" i="1"/>
  <c r="B40377" i="1"/>
  <c r="B40376" i="1"/>
  <c r="B40375" i="1"/>
  <c r="B40374" i="1"/>
  <c r="B40373" i="1"/>
  <c r="B40372" i="1"/>
  <c r="B40371" i="1"/>
  <c r="B40370" i="1"/>
  <c r="B40369" i="1"/>
  <c r="B40368" i="1"/>
  <c r="B40367" i="1"/>
  <c r="B40366" i="1"/>
  <c r="B40365" i="1"/>
  <c r="B40364" i="1"/>
  <c r="B40363" i="1"/>
  <c r="B40362" i="1"/>
  <c r="B40361" i="1"/>
  <c r="B40360" i="1"/>
  <c r="B40359" i="1"/>
  <c r="B40358" i="1"/>
  <c r="B40357" i="1"/>
  <c r="B40356" i="1"/>
  <c r="B40355" i="1"/>
  <c r="B40354" i="1"/>
  <c r="B40353" i="1"/>
  <c r="B40352" i="1"/>
  <c r="B40351" i="1"/>
  <c r="B40350" i="1"/>
  <c r="B40349" i="1"/>
  <c r="B40348" i="1"/>
  <c r="B40347" i="1"/>
  <c r="B40346" i="1"/>
  <c r="B40345" i="1"/>
  <c r="B40344" i="1"/>
  <c r="B40343" i="1"/>
  <c r="B40342" i="1"/>
  <c r="B40341" i="1"/>
  <c r="B40340" i="1"/>
  <c r="B40339" i="1"/>
  <c r="B40338" i="1"/>
  <c r="B40337" i="1"/>
  <c r="B40336" i="1"/>
  <c r="B40335" i="1"/>
  <c r="B40334" i="1"/>
  <c r="B40333" i="1"/>
  <c r="B40332" i="1"/>
  <c r="B40331" i="1"/>
  <c r="B40330" i="1"/>
  <c r="B40329" i="1"/>
  <c r="B40328" i="1"/>
  <c r="B40327" i="1"/>
  <c r="B40326" i="1"/>
  <c r="B40325" i="1"/>
  <c r="B40324" i="1"/>
  <c r="B40323" i="1"/>
  <c r="B40322" i="1"/>
  <c r="B40321" i="1"/>
  <c r="B40320" i="1"/>
  <c r="B40319" i="1"/>
  <c r="B40318" i="1"/>
  <c r="B40317" i="1"/>
  <c r="B40316" i="1"/>
  <c r="B40315" i="1"/>
  <c r="B40314" i="1"/>
  <c r="B40313" i="1"/>
  <c r="B40312" i="1"/>
  <c r="B40311" i="1"/>
  <c r="B40310" i="1"/>
  <c r="B40309" i="1"/>
  <c r="B40308" i="1"/>
  <c r="B40307" i="1"/>
  <c r="B40306" i="1"/>
  <c r="B40305" i="1"/>
  <c r="B40304" i="1"/>
  <c r="B40303" i="1"/>
  <c r="B40302" i="1"/>
  <c r="B40301" i="1"/>
  <c r="B40300" i="1"/>
  <c r="B40299" i="1"/>
  <c r="B40298" i="1"/>
  <c r="B40297" i="1"/>
  <c r="B40296" i="1"/>
  <c r="B40295" i="1"/>
  <c r="B40294" i="1"/>
  <c r="B40293" i="1"/>
  <c r="B40292" i="1"/>
  <c r="B40291" i="1"/>
  <c r="B40290" i="1"/>
  <c r="B40289" i="1"/>
  <c r="B40288" i="1"/>
  <c r="B40287" i="1"/>
  <c r="B40286" i="1"/>
  <c r="B40285" i="1"/>
  <c r="B40284" i="1"/>
  <c r="B40283" i="1"/>
  <c r="B40282" i="1"/>
  <c r="B40281" i="1"/>
  <c r="B40280" i="1"/>
  <c r="B40279" i="1"/>
  <c r="B40278" i="1"/>
  <c r="B40277" i="1"/>
  <c r="B40276" i="1"/>
  <c r="B40275" i="1"/>
  <c r="B40274" i="1"/>
  <c r="B40273" i="1"/>
  <c r="B40272" i="1"/>
  <c r="B40271" i="1"/>
  <c r="B40270" i="1"/>
  <c r="B40269" i="1"/>
  <c r="B40268" i="1"/>
  <c r="B40267" i="1"/>
  <c r="B40266" i="1"/>
  <c r="B40265" i="1"/>
  <c r="B40264" i="1"/>
  <c r="B40263" i="1"/>
  <c r="B40262" i="1"/>
  <c r="B40261" i="1"/>
  <c r="B40260" i="1"/>
  <c r="B40259" i="1"/>
  <c r="B40258" i="1"/>
  <c r="B40257" i="1"/>
  <c r="B40256" i="1"/>
  <c r="B40255" i="1"/>
  <c r="B40254" i="1"/>
  <c r="B40253" i="1"/>
  <c r="B40252" i="1"/>
  <c r="B40251" i="1"/>
  <c r="B40250" i="1"/>
  <c r="B40249" i="1"/>
  <c r="B40248" i="1"/>
  <c r="B40247" i="1"/>
  <c r="B40246" i="1"/>
  <c r="B40245" i="1"/>
  <c r="B40244" i="1"/>
  <c r="B40243" i="1"/>
  <c r="B40242" i="1"/>
  <c r="B40241" i="1"/>
  <c r="B40240" i="1"/>
  <c r="B40239" i="1"/>
  <c r="B40238" i="1"/>
  <c r="B40237" i="1"/>
  <c r="B40236" i="1"/>
  <c r="B40235" i="1"/>
  <c r="B40234" i="1"/>
  <c r="B40233" i="1"/>
  <c r="B40232" i="1"/>
  <c r="B40231" i="1"/>
  <c r="B40230" i="1"/>
  <c r="B40229" i="1"/>
  <c r="B40228" i="1"/>
  <c r="B40227" i="1"/>
  <c r="B40226" i="1"/>
  <c r="B40225" i="1"/>
  <c r="B40224" i="1"/>
  <c r="B40223" i="1"/>
  <c r="B40222" i="1"/>
  <c r="B40221" i="1"/>
  <c r="B40220" i="1"/>
  <c r="B40219" i="1"/>
  <c r="B40218" i="1"/>
  <c r="B40217" i="1"/>
  <c r="B40216" i="1"/>
  <c r="B40215" i="1"/>
  <c r="B40214" i="1"/>
  <c r="B40213" i="1"/>
  <c r="B40212" i="1"/>
  <c r="B40211" i="1"/>
  <c r="B40210" i="1"/>
  <c r="B40209" i="1"/>
  <c r="B40208" i="1"/>
  <c r="B40207" i="1"/>
  <c r="B40206" i="1"/>
  <c r="B40205" i="1"/>
  <c r="B40204" i="1"/>
  <c r="B40203" i="1"/>
  <c r="B40202" i="1"/>
  <c r="B40201" i="1"/>
  <c r="B40200" i="1"/>
  <c r="B40199" i="1"/>
  <c r="B40198" i="1"/>
  <c r="B40197" i="1"/>
  <c r="B40196" i="1"/>
  <c r="B40195" i="1"/>
  <c r="B40194" i="1"/>
  <c r="B40193" i="1"/>
  <c r="B40192" i="1"/>
  <c r="B40191" i="1"/>
  <c r="B40190" i="1"/>
  <c r="B40189" i="1"/>
  <c r="B40188" i="1"/>
  <c r="B40187" i="1"/>
  <c r="B40186" i="1"/>
  <c r="B40185" i="1"/>
  <c r="B40184" i="1"/>
  <c r="B40183" i="1"/>
  <c r="B40182" i="1"/>
  <c r="B40181" i="1"/>
  <c r="B40180" i="1"/>
  <c r="B40179" i="1"/>
  <c r="B40178" i="1"/>
  <c r="B40177" i="1"/>
  <c r="B40176" i="1"/>
  <c r="B40175" i="1"/>
  <c r="B40174" i="1"/>
  <c r="B40173" i="1"/>
  <c r="B40172" i="1"/>
  <c r="B40171" i="1"/>
  <c r="B40170" i="1"/>
  <c r="B40169" i="1"/>
  <c r="B40168" i="1"/>
  <c r="B40167" i="1"/>
  <c r="B40166" i="1"/>
  <c r="B40165" i="1"/>
  <c r="B40164" i="1"/>
  <c r="B40163" i="1"/>
  <c r="B40162" i="1"/>
  <c r="B40161" i="1"/>
  <c r="B40160" i="1"/>
  <c r="B40159" i="1"/>
  <c r="B40158" i="1"/>
  <c r="B40157" i="1"/>
  <c r="B40156" i="1"/>
  <c r="B40155" i="1"/>
  <c r="B40154" i="1"/>
  <c r="B40153" i="1"/>
  <c r="B40152" i="1"/>
  <c r="B40151" i="1"/>
  <c r="B40150" i="1"/>
  <c r="B40149" i="1"/>
  <c r="B40148" i="1"/>
  <c r="B40147" i="1"/>
  <c r="B40146" i="1"/>
  <c r="B40145" i="1"/>
  <c r="B40144" i="1"/>
  <c r="B40143" i="1"/>
  <c r="B40142" i="1"/>
  <c r="B40141" i="1"/>
  <c r="B40140" i="1"/>
  <c r="B40139" i="1"/>
  <c r="B40138" i="1"/>
  <c r="B40137" i="1"/>
  <c r="B40136" i="1"/>
  <c r="B40135" i="1"/>
  <c r="B40134" i="1"/>
  <c r="B40133" i="1"/>
  <c r="B40132" i="1"/>
  <c r="B40131" i="1"/>
  <c r="B40130" i="1"/>
  <c r="B40129" i="1"/>
  <c r="B40128" i="1"/>
  <c r="B40127" i="1"/>
  <c r="B40126" i="1"/>
  <c r="B40125" i="1"/>
  <c r="B40124" i="1"/>
  <c r="B40123" i="1"/>
  <c r="B40122" i="1"/>
  <c r="B40121" i="1"/>
  <c r="B40120" i="1"/>
  <c r="B40119" i="1"/>
  <c r="B40118" i="1"/>
  <c r="B40117" i="1"/>
  <c r="B40116" i="1"/>
  <c r="B40115" i="1"/>
  <c r="B40114" i="1"/>
  <c r="B40113" i="1"/>
  <c r="B40112" i="1"/>
  <c r="B40111" i="1"/>
  <c r="B40110" i="1"/>
  <c r="B40109" i="1"/>
  <c r="B40108" i="1"/>
  <c r="B40107" i="1"/>
  <c r="B40106" i="1"/>
  <c r="B40105" i="1"/>
  <c r="B40104" i="1"/>
  <c r="B40103" i="1"/>
  <c r="B40102" i="1"/>
  <c r="B40101" i="1"/>
  <c r="B40100" i="1"/>
  <c r="B40099" i="1"/>
  <c r="B40098" i="1"/>
  <c r="B40097" i="1"/>
  <c r="B40096" i="1"/>
  <c r="B40095" i="1"/>
  <c r="B40094" i="1"/>
  <c r="B40093" i="1"/>
  <c r="B40092" i="1"/>
  <c r="B40091" i="1"/>
  <c r="B40090" i="1"/>
  <c r="B40089" i="1"/>
  <c r="B40088" i="1"/>
  <c r="B40087" i="1"/>
  <c r="B40086" i="1"/>
  <c r="B40085" i="1"/>
  <c r="B40084" i="1"/>
  <c r="B40083" i="1"/>
  <c r="B40082" i="1"/>
  <c r="B40081" i="1"/>
  <c r="B40080" i="1"/>
  <c r="B40079" i="1"/>
  <c r="B40078" i="1"/>
  <c r="B40077" i="1"/>
  <c r="B40076" i="1"/>
  <c r="B40075" i="1"/>
  <c r="B40074" i="1"/>
  <c r="B40073" i="1"/>
  <c r="B40072" i="1"/>
  <c r="B40071" i="1"/>
  <c r="B40070" i="1"/>
  <c r="B40069" i="1"/>
  <c r="B40068" i="1"/>
  <c r="B40067" i="1"/>
  <c r="B40066" i="1"/>
  <c r="B40065" i="1"/>
  <c r="B40064" i="1"/>
  <c r="B40063" i="1"/>
  <c r="B40062" i="1"/>
  <c r="B40061" i="1"/>
  <c r="B40060" i="1"/>
  <c r="B40059" i="1"/>
  <c r="B40058" i="1"/>
  <c r="B40057" i="1"/>
  <c r="B40056" i="1"/>
  <c r="B40055" i="1"/>
  <c r="B40054" i="1"/>
  <c r="B40053" i="1"/>
  <c r="B40052" i="1"/>
  <c r="B40051" i="1"/>
  <c r="B40050" i="1"/>
  <c r="B40049" i="1"/>
  <c r="B40048" i="1"/>
  <c r="B40047" i="1"/>
  <c r="B40046" i="1"/>
  <c r="B40045" i="1"/>
  <c r="B40044" i="1"/>
  <c r="B40043" i="1"/>
  <c r="B40042" i="1"/>
  <c r="B40041" i="1"/>
  <c r="B40040" i="1"/>
  <c r="B40039" i="1"/>
  <c r="B40038" i="1"/>
  <c r="B40037" i="1"/>
  <c r="B40036" i="1"/>
  <c r="B40035" i="1"/>
  <c r="B40034" i="1"/>
  <c r="B40033" i="1"/>
  <c r="B40032" i="1"/>
  <c r="B40031" i="1"/>
  <c r="B40030" i="1"/>
  <c r="B40029" i="1"/>
  <c r="B40028" i="1"/>
  <c r="B40027" i="1"/>
  <c r="B40026" i="1"/>
  <c r="B40025" i="1"/>
  <c r="B40024" i="1"/>
  <c r="B40023" i="1"/>
  <c r="B40022" i="1"/>
  <c r="B40021" i="1"/>
  <c r="B40020" i="1"/>
  <c r="B40019" i="1"/>
  <c r="B40018" i="1"/>
  <c r="B40017" i="1"/>
  <c r="B40016" i="1"/>
  <c r="B40015" i="1"/>
  <c r="B40014" i="1"/>
  <c r="B40013" i="1"/>
  <c r="B40012" i="1"/>
  <c r="B40011" i="1"/>
  <c r="B40010" i="1"/>
  <c r="B40009" i="1"/>
  <c r="B40008" i="1"/>
  <c r="B40007" i="1"/>
  <c r="B40006" i="1"/>
  <c r="B40005" i="1"/>
  <c r="B40004" i="1"/>
  <c r="B40003" i="1"/>
  <c r="B40002" i="1"/>
  <c r="B40001" i="1"/>
  <c r="B40000" i="1"/>
  <c r="B39999" i="1"/>
  <c r="B39998" i="1"/>
  <c r="B39997" i="1"/>
  <c r="B39996" i="1"/>
  <c r="B39995" i="1"/>
  <c r="B39994" i="1"/>
  <c r="B39993" i="1"/>
  <c r="B39992" i="1"/>
  <c r="B39991" i="1"/>
  <c r="B39990" i="1"/>
  <c r="B39989" i="1"/>
  <c r="B39988" i="1"/>
  <c r="B39987" i="1"/>
  <c r="B39986" i="1"/>
  <c r="B39985" i="1"/>
  <c r="B39984" i="1"/>
  <c r="B39983" i="1"/>
  <c r="B39982" i="1"/>
  <c r="B39981" i="1"/>
  <c r="B39980" i="1"/>
  <c r="B39979" i="1"/>
  <c r="B39978" i="1"/>
  <c r="B39977" i="1"/>
  <c r="B39976" i="1"/>
  <c r="B39975" i="1"/>
  <c r="B39974" i="1"/>
  <c r="B39973" i="1"/>
  <c r="B39972" i="1"/>
  <c r="B39971" i="1"/>
  <c r="B39970" i="1"/>
  <c r="B39969" i="1"/>
  <c r="B39968" i="1"/>
  <c r="B39967" i="1"/>
  <c r="B39966" i="1"/>
  <c r="B39965" i="1"/>
  <c r="B39964" i="1"/>
  <c r="B39963" i="1"/>
  <c r="B39962" i="1"/>
  <c r="B39961" i="1"/>
  <c r="B39960" i="1"/>
  <c r="B39959" i="1"/>
  <c r="B39958" i="1"/>
  <c r="B39957" i="1"/>
  <c r="B39956" i="1"/>
  <c r="B39955" i="1"/>
  <c r="B39954" i="1"/>
  <c r="B39953" i="1"/>
  <c r="B39952" i="1"/>
  <c r="B39951" i="1"/>
  <c r="B39950" i="1"/>
  <c r="B39949" i="1"/>
  <c r="B39948" i="1"/>
  <c r="B39947" i="1"/>
  <c r="B39946" i="1"/>
  <c r="B39945" i="1"/>
  <c r="B39944" i="1"/>
  <c r="B39943" i="1"/>
  <c r="B39942" i="1"/>
  <c r="B39941" i="1"/>
  <c r="B39940" i="1"/>
  <c r="B39939" i="1"/>
  <c r="B39938" i="1"/>
  <c r="B39937" i="1"/>
  <c r="B39936" i="1"/>
  <c r="B39935" i="1"/>
  <c r="B39934" i="1"/>
  <c r="B39933" i="1"/>
  <c r="B39932" i="1"/>
  <c r="B39931" i="1"/>
  <c r="B39930" i="1"/>
  <c r="B39929" i="1"/>
  <c r="B39928" i="1"/>
  <c r="B39927" i="1"/>
  <c r="B39926" i="1"/>
  <c r="B39925" i="1"/>
  <c r="B39924" i="1"/>
  <c r="B39923" i="1"/>
  <c r="B39922" i="1"/>
  <c r="B39921" i="1"/>
  <c r="B39920" i="1"/>
  <c r="B39919" i="1"/>
  <c r="B39918" i="1"/>
  <c r="B39917" i="1"/>
  <c r="B39916" i="1"/>
  <c r="B39915" i="1"/>
  <c r="B39914" i="1"/>
  <c r="B39913" i="1"/>
  <c r="B39912" i="1"/>
  <c r="B39911" i="1"/>
  <c r="B39910" i="1"/>
  <c r="B39909" i="1"/>
  <c r="B39908" i="1"/>
  <c r="B39907" i="1"/>
  <c r="B39906" i="1"/>
  <c r="B39905" i="1"/>
  <c r="B39904" i="1"/>
  <c r="B39903" i="1"/>
  <c r="B39902" i="1"/>
  <c r="B39901" i="1"/>
  <c r="B39900" i="1"/>
  <c r="B39899" i="1"/>
  <c r="B39898" i="1"/>
  <c r="B39897" i="1"/>
  <c r="B39896" i="1"/>
  <c r="B39895" i="1"/>
  <c r="B39894" i="1"/>
  <c r="B39893" i="1"/>
  <c r="B39892" i="1"/>
  <c r="B39891" i="1"/>
  <c r="B39890" i="1"/>
  <c r="B39889" i="1"/>
  <c r="B39888" i="1"/>
  <c r="B39887" i="1"/>
  <c r="B39886" i="1"/>
  <c r="B39885" i="1"/>
  <c r="B39884" i="1"/>
  <c r="B39883" i="1"/>
  <c r="B39882" i="1"/>
  <c r="B39881" i="1"/>
  <c r="B39880" i="1"/>
  <c r="B39879" i="1"/>
  <c r="B39878" i="1"/>
  <c r="B39877" i="1"/>
  <c r="B39876" i="1"/>
  <c r="B39875" i="1"/>
  <c r="B39874" i="1"/>
  <c r="B39873" i="1"/>
  <c r="B39872" i="1"/>
  <c r="B39871" i="1"/>
  <c r="B39870" i="1"/>
  <c r="B39869" i="1"/>
  <c r="B39868" i="1"/>
  <c r="B39867" i="1"/>
  <c r="B39866" i="1"/>
  <c r="B39865" i="1"/>
  <c r="B39864" i="1"/>
  <c r="B39863" i="1"/>
  <c r="B39862" i="1"/>
  <c r="B39861" i="1"/>
  <c r="B39860" i="1"/>
  <c r="B39859" i="1"/>
  <c r="B39858" i="1"/>
  <c r="B39857" i="1"/>
  <c r="B39856" i="1"/>
  <c r="B39855" i="1"/>
  <c r="B39854" i="1"/>
  <c r="B39853" i="1"/>
  <c r="B39852" i="1"/>
  <c r="B39851" i="1"/>
  <c r="B39850" i="1"/>
  <c r="B39849" i="1"/>
  <c r="B39848" i="1"/>
  <c r="B39847" i="1"/>
  <c r="B39846" i="1"/>
  <c r="B39845" i="1"/>
  <c r="B39844" i="1"/>
  <c r="B39843" i="1"/>
  <c r="B39842" i="1"/>
  <c r="B39841" i="1"/>
  <c r="B39840" i="1"/>
  <c r="B39839" i="1"/>
  <c r="B39838" i="1"/>
  <c r="B39837" i="1"/>
  <c r="B39836" i="1"/>
  <c r="B39835" i="1"/>
  <c r="B39834" i="1"/>
  <c r="B39833" i="1"/>
  <c r="B39832" i="1"/>
  <c r="B39831" i="1"/>
  <c r="B39830" i="1"/>
  <c r="B39829" i="1"/>
  <c r="B39828" i="1"/>
  <c r="B39827" i="1"/>
  <c r="B39826" i="1"/>
  <c r="B39825" i="1"/>
  <c r="B39824" i="1"/>
  <c r="B39823" i="1"/>
  <c r="B39822" i="1"/>
  <c r="B39821" i="1"/>
  <c r="B39820" i="1"/>
  <c r="B39819" i="1"/>
  <c r="B39818" i="1"/>
  <c r="B39817" i="1"/>
  <c r="B39816" i="1"/>
  <c r="B39815" i="1"/>
  <c r="B39814" i="1"/>
  <c r="B39813" i="1"/>
  <c r="B39812" i="1"/>
  <c r="B39811" i="1"/>
  <c r="B39810" i="1"/>
  <c r="B39809" i="1"/>
  <c r="B39808" i="1"/>
  <c r="B39807" i="1"/>
  <c r="B39806" i="1"/>
  <c r="B39805" i="1"/>
  <c r="B39804" i="1"/>
  <c r="B39803" i="1"/>
  <c r="B39802" i="1"/>
  <c r="B39801" i="1"/>
  <c r="B39800" i="1"/>
  <c r="B39799" i="1"/>
  <c r="B39798" i="1"/>
  <c r="B39797" i="1"/>
  <c r="B39796" i="1"/>
  <c r="B39795" i="1"/>
  <c r="B39794" i="1"/>
  <c r="B39793" i="1"/>
  <c r="B39792" i="1"/>
  <c r="B39791" i="1"/>
  <c r="B39790" i="1"/>
  <c r="B39789" i="1"/>
  <c r="B39788" i="1"/>
  <c r="B39787" i="1"/>
  <c r="B39786" i="1"/>
  <c r="B39785" i="1"/>
  <c r="B39784" i="1"/>
  <c r="B39783" i="1"/>
  <c r="B39782" i="1"/>
  <c r="B39781" i="1"/>
  <c r="B39780" i="1"/>
  <c r="B39779" i="1"/>
  <c r="B39778" i="1"/>
  <c r="B39777" i="1"/>
  <c r="B39776" i="1"/>
  <c r="B39775" i="1"/>
  <c r="B39774" i="1"/>
  <c r="B39773" i="1"/>
  <c r="B39772" i="1"/>
  <c r="B39771" i="1"/>
  <c r="B39770" i="1"/>
  <c r="B39769" i="1"/>
  <c r="B39768" i="1"/>
  <c r="B39767" i="1"/>
  <c r="B39766" i="1"/>
  <c r="B39765" i="1"/>
  <c r="B39764" i="1"/>
  <c r="B39763" i="1"/>
  <c r="B39762" i="1"/>
  <c r="B39761" i="1"/>
  <c r="B39760" i="1"/>
  <c r="B39759" i="1"/>
  <c r="B39758" i="1"/>
  <c r="B39757" i="1"/>
  <c r="B39756" i="1"/>
  <c r="B39755" i="1"/>
  <c r="B39754" i="1"/>
  <c r="B39753" i="1"/>
  <c r="B39752" i="1"/>
  <c r="B39751" i="1"/>
  <c r="B39750" i="1"/>
  <c r="B39749" i="1"/>
  <c r="B39748" i="1"/>
  <c r="B39747" i="1"/>
  <c r="B39746" i="1"/>
  <c r="B39745" i="1"/>
  <c r="B39744" i="1"/>
  <c r="B39743" i="1"/>
  <c r="B39742" i="1"/>
  <c r="B39741" i="1"/>
  <c r="B39740" i="1"/>
  <c r="B39739" i="1"/>
  <c r="B39738" i="1"/>
  <c r="B39737" i="1"/>
  <c r="B39736" i="1"/>
  <c r="B39735" i="1"/>
  <c r="B39734" i="1"/>
  <c r="B39733" i="1"/>
  <c r="B39732" i="1"/>
  <c r="B39731" i="1"/>
  <c r="B39730" i="1"/>
  <c r="B39729" i="1"/>
  <c r="B39728" i="1"/>
  <c r="B39727" i="1"/>
  <c r="B39726" i="1"/>
  <c r="B39725" i="1"/>
  <c r="B39724" i="1"/>
  <c r="B39723" i="1"/>
  <c r="B39722" i="1"/>
  <c r="B39721" i="1"/>
  <c r="B39720" i="1"/>
  <c r="B39719" i="1"/>
  <c r="B39718" i="1"/>
  <c r="B39717" i="1"/>
  <c r="B39716" i="1"/>
  <c r="B39715" i="1"/>
  <c r="B39714" i="1"/>
  <c r="B39713" i="1"/>
  <c r="B39712" i="1"/>
  <c r="B39711" i="1"/>
  <c r="B39710" i="1"/>
  <c r="B39709" i="1"/>
  <c r="B39708" i="1"/>
  <c r="B39707" i="1"/>
  <c r="B39706" i="1"/>
  <c r="B39705" i="1"/>
  <c r="B39704" i="1"/>
  <c r="B39703" i="1"/>
  <c r="B39702" i="1"/>
  <c r="B39701" i="1"/>
  <c r="B39700" i="1"/>
  <c r="B39699" i="1"/>
  <c r="B39698" i="1"/>
  <c r="B39697" i="1"/>
  <c r="B39696" i="1"/>
  <c r="B39695" i="1"/>
  <c r="B39694" i="1"/>
  <c r="B39693" i="1"/>
  <c r="B39692" i="1"/>
  <c r="B39691" i="1"/>
  <c r="B39690" i="1"/>
  <c r="B39689" i="1"/>
  <c r="B39688" i="1"/>
  <c r="B39687" i="1"/>
  <c r="B39686" i="1"/>
  <c r="B39685" i="1"/>
  <c r="B39684" i="1"/>
  <c r="B39683" i="1"/>
  <c r="B39682" i="1"/>
  <c r="B39681" i="1"/>
  <c r="B39680" i="1"/>
  <c r="B39679" i="1"/>
  <c r="B39678" i="1"/>
  <c r="B39677" i="1"/>
  <c r="B39676" i="1"/>
  <c r="B39675" i="1"/>
  <c r="B39674" i="1"/>
  <c r="B39673" i="1"/>
  <c r="B39672" i="1"/>
  <c r="B39671" i="1"/>
  <c r="B39670" i="1"/>
  <c r="B39669" i="1"/>
  <c r="B39668" i="1"/>
  <c r="B39667" i="1"/>
  <c r="B39666" i="1"/>
  <c r="B39665" i="1"/>
  <c r="B39664" i="1"/>
  <c r="B39663" i="1"/>
  <c r="B39662" i="1"/>
  <c r="B39661" i="1"/>
  <c r="B39660" i="1"/>
  <c r="B39659" i="1"/>
  <c r="B39658" i="1"/>
  <c r="B39657" i="1"/>
  <c r="B39656" i="1"/>
  <c r="B39655" i="1"/>
  <c r="B39654" i="1"/>
  <c r="B39653" i="1"/>
  <c r="B39652" i="1"/>
  <c r="B39651" i="1"/>
  <c r="B39650" i="1"/>
  <c r="B39649" i="1"/>
  <c r="B39648" i="1"/>
  <c r="B39647" i="1"/>
  <c r="B39646" i="1"/>
  <c r="B39645" i="1"/>
  <c r="B39644" i="1"/>
  <c r="B39643" i="1"/>
  <c r="B39642" i="1"/>
  <c r="B39641" i="1"/>
  <c r="B39640" i="1"/>
  <c r="B39639" i="1"/>
  <c r="B39638" i="1"/>
  <c r="B39637" i="1"/>
  <c r="B39636" i="1"/>
  <c r="B39635" i="1"/>
  <c r="B39634" i="1"/>
  <c r="B39633" i="1"/>
  <c r="B39632" i="1"/>
  <c r="B39631" i="1"/>
  <c r="B39630" i="1"/>
  <c r="B39629" i="1"/>
  <c r="B39628" i="1"/>
  <c r="B39627" i="1"/>
  <c r="B39626" i="1"/>
  <c r="B39625" i="1"/>
  <c r="B39624" i="1"/>
  <c r="B39623" i="1"/>
  <c r="B39622" i="1"/>
  <c r="B39621" i="1"/>
  <c r="B39620" i="1"/>
  <c r="B39619" i="1"/>
  <c r="B39618" i="1"/>
  <c r="B39617" i="1"/>
  <c r="B39616" i="1"/>
  <c r="B39615" i="1"/>
  <c r="B39614" i="1"/>
  <c r="B39613" i="1"/>
  <c r="B39612" i="1"/>
  <c r="B39611" i="1"/>
  <c r="B39610" i="1"/>
  <c r="B39609" i="1"/>
  <c r="B39608" i="1"/>
  <c r="B39607" i="1"/>
  <c r="B39606" i="1"/>
  <c r="B39605" i="1"/>
  <c r="B39604" i="1"/>
  <c r="B39603" i="1"/>
  <c r="B39602" i="1"/>
  <c r="B39601" i="1"/>
  <c r="B39600" i="1"/>
  <c r="B39599" i="1"/>
  <c r="B39598" i="1"/>
  <c r="B39597" i="1"/>
  <c r="B39596" i="1"/>
  <c r="B39595" i="1"/>
  <c r="B39594" i="1"/>
  <c r="B39593" i="1"/>
  <c r="B39592" i="1"/>
  <c r="B39591" i="1"/>
  <c r="B39590" i="1"/>
  <c r="B39589" i="1"/>
  <c r="B39588" i="1"/>
  <c r="B39587" i="1"/>
  <c r="B39586" i="1"/>
  <c r="B39585" i="1"/>
  <c r="B39584" i="1"/>
  <c r="B39583" i="1"/>
  <c r="B39582" i="1"/>
  <c r="B39581" i="1"/>
  <c r="B39580" i="1"/>
  <c r="B39579" i="1"/>
  <c r="B39578" i="1"/>
  <c r="B39577" i="1"/>
  <c r="B39576" i="1"/>
  <c r="B39575" i="1"/>
  <c r="B39574" i="1"/>
  <c r="B39573" i="1"/>
  <c r="B39572" i="1"/>
  <c r="B39571" i="1"/>
  <c r="B39570" i="1"/>
  <c r="B39569" i="1"/>
  <c r="B39568" i="1"/>
  <c r="B39567" i="1"/>
  <c r="B39566" i="1"/>
  <c r="B39565" i="1"/>
  <c r="B39564" i="1"/>
  <c r="B39563" i="1"/>
  <c r="B39562" i="1"/>
  <c r="B39561" i="1"/>
  <c r="B39560" i="1"/>
  <c r="B39559" i="1"/>
  <c r="B39558" i="1"/>
  <c r="B39557" i="1"/>
  <c r="B39556" i="1"/>
  <c r="B39555" i="1"/>
  <c r="B39554" i="1"/>
  <c r="B39553" i="1"/>
  <c r="B39552" i="1"/>
  <c r="B39551" i="1"/>
  <c r="B39550" i="1"/>
  <c r="B39549" i="1"/>
  <c r="B39548" i="1"/>
  <c r="B39547" i="1"/>
  <c r="B39546" i="1"/>
  <c r="B39545" i="1"/>
  <c r="B39544" i="1"/>
  <c r="B39543" i="1"/>
  <c r="B39542" i="1"/>
  <c r="B39541" i="1"/>
  <c r="B39540" i="1"/>
  <c r="B39539" i="1"/>
  <c r="B39538" i="1"/>
  <c r="B39537" i="1"/>
  <c r="B39536" i="1"/>
  <c r="B39535" i="1"/>
  <c r="B39534" i="1"/>
  <c r="B39533" i="1"/>
  <c r="B39532" i="1"/>
  <c r="B39531" i="1"/>
  <c r="B39530" i="1"/>
  <c r="B39529" i="1"/>
  <c r="B39528" i="1"/>
  <c r="B39527" i="1"/>
  <c r="B39526" i="1"/>
  <c r="B39525" i="1"/>
  <c r="B39524" i="1"/>
  <c r="B39523" i="1"/>
  <c r="B39522" i="1"/>
  <c r="B39521" i="1"/>
  <c r="B39520" i="1"/>
  <c r="B39519" i="1"/>
  <c r="B39518" i="1"/>
  <c r="B39517" i="1"/>
  <c r="B39516" i="1"/>
  <c r="B39515" i="1"/>
  <c r="B39514" i="1"/>
  <c r="B39513" i="1"/>
  <c r="B39512" i="1"/>
  <c r="B39511" i="1"/>
  <c r="B39510" i="1"/>
  <c r="B39509" i="1"/>
  <c r="B39508" i="1"/>
  <c r="B39507" i="1"/>
  <c r="B39506" i="1"/>
  <c r="B39505" i="1"/>
  <c r="B39504" i="1"/>
  <c r="B39503" i="1"/>
  <c r="B39502" i="1"/>
  <c r="B39501" i="1"/>
  <c r="B39500" i="1"/>
  <c r="B39499" i="1"/>
  <c r="B39498" i="1"/>
  <c r="B39497" i="1"/>
  <c r="B39496" i="1"/>
  <c r="B39495" i="1"/>
  <c r="B39494" i="1"/>
  <c r="B39493" i="1"/>
  <c r="B39492" i="1"/>
  <c r="B39491" i="1"/>
  <c r="B39490" i="1"/>
  <c r="B39489" i="1"/>
  <c r="B39488" i="1"/>
  <c r="B39487" i="1"/>
  <c r="B39486" i="1"/>
  <c r="B39485" i="1"/>
  <c r="B39484" i="1"/>
  <c r="B39483" i="1"/>
  <c r="B39482" i="1"/>
  <c r="B39481" i="1"/>
  <c r="B39480" i="1"/>
  <c r="B39479" i="1"/>
  <c r="B39478" i="1"/>
  <c r="B39477" i="1"/>
  <c r="B39476" i="1"/>
  <c r="B39475" i="1"/>
  <c r="B39474" i="1"/>
  <c r="B39473" i="1"/>
  <c r="B39472" i="1"/>
  <c r="B39471" i="1"/>
  <c r="B39470" i="1"/>
  <c r="B39469" i="1"/>
  <c r="B39468" i="1"/>
  <c r="B39467" i="1"/>
  <c r="B39466" i="1"/>
  <c r="B39465" i="1"/>
  <c r="B39464" i="1"/>
  <c r="B39463" i="1"/>
  <c r="B39462" i="1"/>
  <c r="B39461" i="1"/>
  <c r="B39460" i="1"/>
  <c r="B39459" i="1"/>
  <c r="B39458" i="1"/>
  <c r="B39457" i="1"/>
  <c r="B39456" i="1"/>
  <c r="B39455" i="1"/>
  <c r="B39454" i="1"/>
  <c r="B39453" i="1"/>
  <c r="B39452" i="1"/>
  <c r="B39451" i="1"/>
  <c r="B39450" i="1"/>
  <c r="B39449" i="1"/>
  <c r="B39448" i="1"/>
  <c r="B39447" i="1"/>
  <c r="B39446" i="1"/>
  <c r="B39445" i="1"/>
  <c r="B39444" i="1"/>
  <c r="B39443" i="1"/>
  <c r="B39442" i="1"/>
  <c r="B39441" i="1"/>
  <c r="B39440" i="1"/>
  <c r="B39439" i="1"/>
  <c r="B39438" i="1"/>
  <c r="B39437" i="1"/>
  <c r="B39436" i="1"/>
  <c r="B39435" i="1"/>
  <c r="B39434" i="1"/>
  <c r="B39433" i="1"/>
  <c r="B39432" i="1"/>
  <c r="B39431" i="1"/>
  <c r="B39430" i="1"/>
  <c r="B39429" i="1"/>
  <c r="B39428" i="1"/>
  <c r="B39427" i="1"/>
  <c r="B39426" i="1"/>
  <c r="B39425" i="1"/>
  <c r="B39424" i="1"/>
  <c r="B39423" i="1"/>
  <c r="B39422" i="1"/>
  <c r="B39421" i="1"/>
  <c r="B39420" i="1"/>
  <c r="B39419" i="1"/>
  <c r="B39418" i="1"/>
  <c r="B39417" i="1"/>
  <c r="B39416" i="1"/>
  <c r="B39415" i="1"/>
  <c r="B39414" i="1"/>
  <c r="B39413" i="1"/>
  <c r="B39412" i="1"/>
  <c r="B39411" i="1"/>
  <c r="B39410" i="1"/>
  <c r="B39409" i="1"/>
  <c r="B39408" i="1"/>
  <c r="B39407" i="1"/>
  <c r="B39406" i="1"/>
  <c r="B39405" i="1"/>
  <c r="B39404" i="1"/>
  <c r="B39403" i="1"/>
  <c r="B39402" i="1"/>
  <c r="B39401" i="1"/>
  <c r="B39400" i="1"/>
  <c r="B39399" i="1"/>
  <c r="B39398" i="1"/>
  <c r="B39397" i="1"/>
  <c r="B39396" i="1"/>
  <c r="B39395" i="1"/>
  <c r="B39394" i="1"/>
  <c r="B39393" i="1"/>
  <c r="B39392" i="1"/>
  <c r="B39391" i="1"/>
  <c r="B39390" i="1"/>
  <c r="B39389" i="1"/>
  <c r="B39388" i="1"/>
  <c r="B39387" i="1"/>
  <c r="B39386" i="1"/>
  <c r="B39385" i="1"/>
  <c r="B39384" i="1"/>
  <c r="B39383" i="1"/>
  <c r="B39382" i="1"/>
  <c r="B39381" i="1"/>
  <c r="B39380" i="1"/>
  <c r="B39379" i="1"/>
  <c r="B39378" i="1"/>
  <c r="B39377" i="1"/>
  <c r="B39376" i="1"/>
  <c r="B39375" i="1"/>
  <c r="B39374" i="1"/>
  <c r="B39373" i="1"/>
  <c r="B39372" i="1"/>
  <c r="B39371" i="1"/>
  <c r="B39370" i="1"/>
  <c r="B39369" i="1"/>
  <c r="B39368" i="1"/>
  <c r="B39367" i="1"/>
  <c r="B39366" i="1"/>
  <c r="B39365" i="1"/>
  <c r="B39364" i="1"/>
  <c r="B39363" i="1"/>
  <c r="B39362" i="1"/>
  <c r="B39361" i="1"/>
  <c r="B39360" i="1"/>
  <c r="B39359" i="1"/>
  <c r="B39358" i="1"/>
  <c r="B39357" i="1"/>
  <c r="B39356" i="1"/>
  <c r="B39355" i="1"/>
  <c r="B39354" i="1"/>
  <c r="B39353" i="1"/>
  <c r="B39352" i="1"/>
  <c r="B39351" i="1"/>
  <c r="B39350" i="1"/>
  <c r="B39349" i="1"/>
  <c r="B39348" i="1"/>
  <c r="B39347" i="1"/>
  <c r="B39346" i="1"/>
  <c r="B39345" i="1"/>
  <c r="B39344" i="1"/>
  <c r="B39343" i="1"/>
  <c r="B39342" i="1"/>
  <c r="B39341" i="1"/>
  <c r="B39340" i="1"/>
  <c r="B39339" i="1"/>
  <c r="B39338" i="1"/>
  <c r="B39337" i="1"/>
  <c r="B39336" i="1"/>
  <c r="B39335" i="1"/>
  <c r="B39334" i="1"/>
  <c r="B39333" i="1"/>
  <c r="B39332" i="1"/>
  <c r="B39331" i="1"/>
  <c r="B39330" i="1"/>
  <c r="B39329" i="1"/>
  <c r="B39328" i="1"/>
  <c r="B39327" i="1"/>
  <c r="B39326" i="1"/>
  <c r="B39325" i="1"/>
  <c r="B39324" i="1"/>
  <c r="B39323" i="1"/>
  <c r="B39322" i="1"/>
  <c r="B39321" i="1"/>
  <c r="B39320" i="1"/>
  <c r="B39319" i="1"/>
  <c r="B39318" i="1"/>
  <c r="B39317" i="1"/>
  <c r="B39316" i="1"/>
  <c r="B39315" i="1"/>
  <c r="B39314" i="1"/>
  <c r="B39313" i="1"/>
  <c r="B39312" i="1"/>
  <c r="B39311" i="1"/>
  <c r="B39310" i="1"/>
  <c r="B39309" i="1"/>
  <c r="B39308" i="1"/>
  <c r="B39307" i="1"/>
  <c r="B39306" i="1"/>
  <c r="B39305" i="1"/>
  <c r="B39304" i="1"/>
  <c r="B39303" i="1"/>
  <c r="B39302" i="1"/>
  <c r="B39301" i="1"/>
  <c r="B39300" i="1"/>
  <c r="B39299" i="1"/>
  <c r="B39298" i="1"/>
  <c r="B39297" i="1"/>
  <c r="B39296" i="1"/>
  <c r="B39295" i="1"/>
  <c r="B39294" i="1"/>
  <c r="B39293" i="1"/>
  <c r="B39292" i="1"/>
  <c r="B39291" i="1"/>
  <c r="B39290" i="1"/>
  <c r="B39289" i="1"/>
  <c r="B39288" i="1"/>
  <c r="B39287" i="1"/>
  <c r="B39286" i="1"/>
  <c r="B39285" i="1"/>
  <c r="B39284" i="1"/>
  <c r="B39283" i="1"/>
  <c r="B39282" i="1"/>
  <c r="B39281" i="1"/>
  <c r="B39280" i="1"/>
  <c r="B39279" i="1"/>
  <c r="B39278" i="1"/>
  <c r="B39277" i="1"/>
  <c r="B39276" i="1"/>
  <c r="B39275" i="1"/>
  <c r="B39274" i="1"/>
  <c r="B39273" i="1"/>
  <c r="B39272" i="1"/>
  <c r="B39271" i="1"/>
  <c r="B39270" i="1"/>
  <c r="B39269" i="1"/>
  <c r="B39268" i="1"/>
  <c r="B39267" i="1"/>
  <c r="B39266" i="1"/>
  <c r="B39265" i="1"/>
  <c r="B39264" i="1"/>
  <c r="B39263" i="1"/>
  <c r="B39262" i="1"/>
  <c r="B39261" i="1"/>
  <c r="B39260" i="1"/>
  <c r="B39259" i="1"/>
  <c r="B39258" i="1"/>
  <c r="B39257" i="1"/>
  <c r="B39256" i="1"/>
  <c r="B39255" i="1"/>
  <c r="B39254" i="1"/>
  <c r="B39253" i="1"/>
  <c r="B39252" i="1"/>
  <c r="B39251" i="1"/>
  <c r="B39250" i="1"/>
  <c r="B39249" i="1"/>
  <c r="B39248" i="1"/>
  <c r="B39247" i="1"/>
  <c r="B39246" i="1"/>
  <c r="B39245" i="1"/>
  <c r="B39244" i="1"/>
  <c r="B39243" i="1"/>
  <c r="B39242" i="1"/>
  <c r="B39241" i="1"/>
  <c r="B39240" i="1"/>
  <c r="B39239" i="1"/>
  <c r="B39238" i="1"/>
  <c r="B39237" i="1"/>
  <c r="B39236" i="1"/>
  <c r="B39235" i="1"/>
  <c r="B39234" i="1"/>
  <c r="B39233" i="1"/>
  <c r="B39232" i="1"/>
  <c r="B39231" i="1"/>
  <c r="B39230" i="1"/>
  <c r="B39229" i="1"/>
  <c r="B39228" i="1"/>
  <c r="B39227" i="1"/>
  <c r="B39226" i="1"/>
  <c r="B39225" i="1"/>
  <c r="B39224" i="1"/>
  <c r="B39223" i="1"/>
  <c r="B39222" i="1"/>
  <c r="B39221" i="1"/>
  <c r="B39220" i="1"/>
  <c r="B39219" i="1"/>
  <c r="B39218" i="1"/>
  <c r="B39217" i="1"/>
  <c r="B39216" i="1"/>
  <c r="B39215" i="1"/>
  <c r="B39214" i="1"/>
  <c r="B39213" i="1"/>
  <c r="B39212" i="1"/>
  <c r="B39211" i="1"/>
  <c r="B39210" i="1"/>
  <c r="B39209" i="1"/>
  <c r="B39208" i="1"/>
  <c r="B39207" i="1"/>
  <c r="B39206" i="1"/>
  <c r="B39205" i="1"/>
  <c r="B39204" i="1"/>
  <c r="B39203" i="1"/>
  <c r="B39202" i="1"/>
  <c r="B39201" i="1"/>
  <c r="B39200" i="1"/>
  <c r="B39199" i="1"/>
  <c r="B39198" i="1"/>
  <c r="B39197" i="1"/>
  <c r="B39196" i="1"/>
  <c r="B39195" i="1"/>
  <c r="B39194" i="1"/>
  <c r="B39193" i="1"/>
  <c r="B39192" i="1"/>
  <c r="B39191" i="1"/>
  <c r="B39190" i="1"/>
  <c r="B39189" i="1"/>
  <c r="B39188" i="1"/>
  <c r="B39187" i="1"/>
  <c r="B39186" i="1"/>
  <c r="B39185" i="1"/>
  <c r="B39184" i="1"/>
  <c r="B39183" i="1"/>
  <c r="B39182" i="1"/>
  <c r="B39181" i="1"/>
  <c r="B39180" i="1"/>
  <c r="B39179" i="1"/>
  <c r="B39178" i="1"/>
  <c r="B39177" i="1"/>
  <c r="B39176" i="1"/>
  <c r="B39175" i="1"/>
  <c r="B39174" i="1"/>
  <c r="B39173" i="1"/>
  <c r="B39172" i="1"/>
  <c r="B39171" i="1"/>
  <c r="B39170" i="1"/>
  <c r="B39169" i="1"/>
  <c r="B39168" i="1"/>
  <c r="B39167" i="1"/>
  <c r="B39166" i="1"/>
  <c r="B39165" i="1"/>
  <c r="B39164" i="1"/>
  <c r="B39163" i="1"/>
  <c r="B39162" i="1"/>
  <c r="B39161" i="1"/>
  <c r="B39160" i="1"/>
  <c r="B39159" i="1"/>
  <c r="B39158" i="1"/>
  <c r="B39157" i="1"/>
  <c r="B39156" i="1"/>
  <c r="B39155" i="1"/>
  <c r="B39154" i="1"/>
  <c r="B39153" i="1"/>
  <c r="B39152" i="1"/>
  <c r="B39151" i="1"/>
  <c r="B39150" i="1"/>
  <c r="B39149" i="1"/>
  <c r="B39148" i="1"/>
  <c r="B39147" i="1"/>
  <c r="B39146" i="1"/>
  <c r="B39145" i="1"/>
  <c r="B39144" i="1"/>
  <c r="B39143" i="1"/>
  <c r="B39142" i="1"/>
  <c r="B39141" i="1"/>
  <c r="B39140" i="1"/>
  <c r="B39139" i="1"/>
  <c r="B39138" i="1"/>
  <c r="B39137" i="1"/>
  <c r="B39136" i="1"/>
  <c r="B39135" i="1"/>
  <c r="B39134" i="1"/>
  <c r="B39133" i="1"/>
  <c r="B39132" i="1"/>
  <c r="B39131" i="1"/>
  <c r="B39130" i="1"/>
  <c r="B39129" i="1"/>
  <c r="B39128" i="1"/>
  <c r="B39127" i="1"/>
  <c r="B39126" i="1"/>
  <c r="B39125" i="1"/>
  <c r="B39124" i="1"/>
  <c r="B39123" i="1"/>
  <c r="B39122" i="1"/>
  <c r="B39121" i="1"/>
  <c r="B39120" i="1"/>
  <c r="B39119" i="1"/>
  <c r="B39118" i="1"/>
  <c r="B39117" i="1"/>
  <c r="B39116" i="1"/>
  <c r="B39115" i="1"/>
  <c r="B39114" i="1"/>
  <c r="B39113" i="1"/>
  <c r="B39112" i="1"/>
  <c r="B39111" i="1"/>
  <c r="B39110" i="1"/>
  <c r="B39109" i="1"/>
  <c r="B39108" i="1"/>
  <c r="B39107" i="1"/>
  <c r="B39106" i="1"/>
  <c r="B39105" i="1"/>
  <c r="B39104" i="1"/>
  <c r="B39103" i="1"/>
  <c r="B39102" i="1"/>
  <c r="B39101" i="1"/>
  <c r="B39100" i="1"/>
  <c r="B39099" i="1"/>
  <c r="B39098" i="1"/>
  <c r="B39097" i="1"/>
  <c r="B39096" i="1"/>
  <c r="B39095" i="1"/>
  <c r="B39094" i="1"/>
  <c r="B39093" i="1"/>
  <c r="B39092" i="1"/>
  <c r="B39091" i="1"/>
  <c r="B39090" i="1"/>
  <c r="B39089" i="1"/>
  <c r="B39088" i="1"/>
  <c r="B39087" i="1"/>
  <c r="B39086" i="1"/>
  <c r="B39085" i="1"/>
  <c r="B39084" i="1"/>
  <c r="B39083" i="1"/>
  <c r="B39082" i="1"/>
  <c r="B39081" i="1"/>
  <c r="B39080" i="1"/>
  <c r="B39079" i="1"/>
  <c r="B39078" i="1"/>
  <c r="B39077" i="1"/>
  <c r="B39076" i="1"/>
  <c r="B39075" i="1"/>
  <c r="B39074" i="1"/>
  <c r="B39073" i="1"/>
  <c r="B39072" i="1"/>
  <c r="B39071" i="1"/>
  <c r="B39070" i="1"/>
  <c r="B39069" i="1"/>
  <c r="B39068" i="1"/>
  <c r="B39067" i="1"/>
  <c r="B39066" i="1"/>
  <c r="B39065" i="1"/>
  <c r="B39064" i="1"/>
  <c r="B39063" i="1"/>
  <c r="B39062" i="1"/>
  <c r="B39061" i="1"/>
  <c r="B39060" i="1"/>
  <c r="B39059" i="1"/>
  <c r="B39058" i="1"/>
  <c r="B39057" i="1"/>
  <c r="B39056" i="1"/>
  <c r="B39055" i="1"/>
  <c r="B39054" i="1"/>
  <c r="B39053" i="1"/>
  <c r="B39052" i="1"/>
  <c r="B39051" i="1"/>
  <c r="B39050" i="1"/>
  <c r="B39049" i="1"/>
  <c r="B39048" i="1"/>
  <c r="B39047" i="1"/>
  <c r="B39046" i="1"/>
  <c r="B39045" i="1"/>
  <c r="B39044" i="1"/>
  <c r="B39043" i="1"/>
  <c r="B39042" i="1"/>
  <c r="B39041" i="1"/>
  <c r="B39040" i="1"/>
  <c r="B39039" i="1"/>
  <c r="B39038" i="1"/>
  <c r="B39037" i="1"/>
  <c r="B39036" i="1"/>
  <c r="B39035" i="1"/>
  <c r="B39034" i="1"/>
  <c r="B39033" i="1"/>
  <c r="B39032" i="1"/>
  <c r="B39031" i="1"/>
  <c r="B39030" i="1"/>
  <c r="B39029" i="1"/>
  <c r="B39028" i="1"/>
  <c r="B39027" i="1"/>
  <c r="B39026" i="1"/>
  <c r="B39025" i="1"/>
  <c r="B39024" i="1"/>
  <c r="B39023" i="1"/>
  <c r="B39022" i="1"/>
  <c r="B39021" i="1"/>
  <c r="B39020" i="1"/>
  <c r="B39019" i="1"/>
  <c r="B39018" i="1"/>
  <c r="B39017" i="1"/>
  <c r="B39016" i="1"/>
  <c r="B39015" i="1"/>
  <c r="B39014" i="1"/>
  <c r="B39013" i="1"/>
  <c r="B39012" i="1"/>
  <c r="B39011" i="1"/>
  <c r="B39010" i="1"/>
  <c r="B39009" i="1"/>
  <c r="B39008" i="1"/>
  <c r="B39007" i="1"/>
  <c r="B39006" i="1"/>
  <c r="B39005" i="1"/>
  <c r="B39004" i="1"/>
  <c r="B39003" i="1"/>
  <c r="B39002" i="1"/>
  <c r="B39001" i="1"/>
  <c r="B39000" i="1"/>
  <c r="B38999" i="1"/>
  <c r="B38998" i="1"/>
  <c r="B38997" i="1"/>
  <c r="B38996" i="1"/>
  <c r="B38995" i="1"/>
  <c r="B38994" i="1"/>
  <c r="B38993" i="1"/>
  <c r="B38992" i="1"/>
  <c r="B38991" i="1"/>
  <c r="B38990" i="1"/>
  <c r="B38989" i="1"/>
  <c r="B38988" i="1"/>
  <c r="B38987" i="1"/>
  <c r="B38986" i="1"/>
  <c r="B38985" i="1"/>
  <c r="B38984" i="1"/>
  <c r="B38983" i="1"/>
  <c r="B38982" i="1"/>
  <c r="B38981" i="1"/>
  <c r="B38980" i="1"/>
  <c r="B38979" i="1"/>
  <c r="B38978" i="1"/>
  <c r="B38977" i="1"/>
  <c r="B38976" i="1"/>
  <c r="B38975" i="1"/>
  <c r="B38974" i="1"/>
  <c r="B38973" i="1"/>
  <c r="B38972" i="1"/>
  <c r="B38971" i="1"/>
  <c r="B38970" i="1"/>
  <c r="B38969" i="1"/>
  <c r="B38968" i="1"/>
  <c r="B38967" i="1"/>
  <c r="B38966" i="1"/>
  <c r="B38965" i="1"/>
  <c r="B38964" i="1"/>
  <c r="B38963" i="1"/>
  <c r="B38962" i="1"/>
  <c r="B38961" i="1"/>
  <c r="B38960" i="1"/>
  <c r="B38959" i="1"/>
  <c r="B38958" i="1"/>
  <c r="B38957" i="1"/>
  <c r="B38956" i="1"/>
  <c r="B38955" i="1"/>
  <c r="B38954" i="1"/>
  <c r="B38953" i="1"/>
  <c r="B38952" i="1"/>
  <c r="B38951" i="1"/>
  <c r="B38950" i="1"/>
  <c r="B38949" i="1"/>
  <c r="B38948" i="1"/>
  <c r="B38947" i="1"/>
  <c r="B38946" i="1"/>
  <c r="B38945" i="1"/>
  <c r="B38944" i="1"/>
  <c r="B38943" i="1"/>
  <c r="B38942" i="1"/>
  <c r="B38941" i="1"/>
  <c r="B38940" i="1"/>
  <c r="B38939" i="1"/>
  <c r="B38938" i="1"/>
  <c r="B38937" i="1"/>
  <c r="B38936" i="1"/>
  <c r="B38935" i="1"/>
  <c r="B38934" i="1"/>
  <c r="B38933" i="1"/>
  <c r="B38932" i="1"/>
  <c r="B38931" i="1"/>
  <c r="B38930" i="1"/>
  <c r="B38929" i="1"/>
  <c r="B38928" i="1"/>
  <c r="B38927" i="1"/>
  <c r="B38926" i="1"/>
  <c r="B38925" i="1"/>
  <c r="B38924" i="1"/>
  <c r="B38923" i="1"/>
  <c r="B38922" i="1"/>
  <c r="B38921" i="1"/>
  <c r="B38920" i="1"/>
  <c r="B38919" i="1"/>
  <c r="B38918" i="1"/>
  <c r="B38917" i="1"/>
  <c r="B38916" i="1"/>
  <c r="B38915" i="1"/>
  <c r="B38914" i="1"/>
  <c r="B38913" i="1"/>
  <c r="B38912" i="1"/>
  <c r="B38911" i="1"/>
  <c r="B38910" i="1"/>
  <c r="B38909" i="1"/>
  <c r="B38908" i="1"/>
  <c r="B38907" i="1"/>
  <c r="B38906" i="1"/>
  <c r="B38905" i="1"/>
  <c r="B38904" i="1"/>
  <c r="B38903" i="1"/>
  <c r="B38902" i="1"/>
  <c r="B38901" i="1"/>
  <c r="B38900" i="1"/>
  <c r="B38899" i="1"/>
  <c r="B38898" i="1"/>
  <c r="B38897" i="1"/>
  <c r="B38896" i="1"/>
  <c r="B38895" i="1"/>
  <c r="B38894" i="1"/>
  <c r="B38893" i="1"/>
  <c r="B38892" i="1"/>
  <c r="B38891" i="1"/>
  <c r="B38890" i="1"/>
  <c r="B38889" i="1"/>
  <c r="B38888" i="1"/>
  <c r="B38887" i="1"/>
  <c r="B38886" i="1"/>
  <c r="B38885" i="1"/>
  <c r="B38884" i="1"/>
  <c r="B38883" i="1"/>
  <c r="B38882" i="1"/>
  <c r="B38881" i="1"/>
  <c r="B38880" i="1"/>
  <c r="B38879" i="1"/>
  <c r="B38878" i="1"/>
  <c r="B38877" i="1"/>
  <c r="B38876" i="1"/>
  <c r="B38875" i="1"/>
  <c r="B38874" i="1"/>
  <c r="B38873" i="1"/>
  <c r="B38872" i="1"/>
  <c r="B38871" i="1"/>
  <c r="B38870" i="1"/>
  <c r="B38869" i="1"/>
  <c r="B38868" i="1"/>
  <c r="B38867" i="1"/>
  <c r="B38866" i="1"/>
  <c r="B38865" i="1"/>
  <c r="B38864" i="1"/>
  <c r="B38863" i="1"/>
  <c r="B38862" i="1"/>
  <c r="B38861" i="1"/>
  <c r="B38860" i="1"/>
  <c r="B38859" i="1"/>
  <c r="B38858" i="1"/>
  <c r="B38857" i="1"/>
  <c r="B38856" i="1"/>
  <c r="B38855" i="1"/>
  <c r="B38854" i="1"/>
  <c r="B38853" i="1"/>
  <c r="B38852" i="1"/>
  <c r="B38851" i="1"/>
  <c r="B38850" i="1"/>
  <c r="B38849" i="1"/>
  <c r="B38848" i="1"/>
  <c r="B38847" i="1"/>
  <c r="B38846" i="1"/>
  <c r="B38845" i="1"/>
  <c r="B38844" i="1"/>
  <c r="B38843" i="1"/>
  <c r="B38842" i="1"/>
  <c r="B38841" i="1"/>
  <c r="B38840" i="1"/>
  <c r="B38839" i="1"/>
  <c r="B38838" i="1"/>
  <c r="B38837" i="1"/>
  <c r="B38836" i="1"/>
  <c r="B38835" i="1"/>
  <c r="B38834" i="1"/>
  <c r="B38833" i="1"/>
  <c r="B38832" i="1"/>
  <c r="B38831" i="1"/>
  <c r="B38830" i="1"/>
  <c r="B38829" i="1"/>
  <c r="B38828" i="1"/>
  <c r="B38827" i="1"/>
  <c r="B38826" i="1"/>
  <c r="B38825" i="1"/>
  <c r="B38824" i="1"/>
  <c r="B38823" i="1"/>
  <c r="B38822" i="1"/>
  <c r="B38821" i="1"/>
  <c r="B38820" i="1"/>
  <c r="B38819" i="1"/>
  <c r="B38818" i="1"/>
  <c r="B38817" i="1"/>
  <c r="B38816" i="1"/>
  <c r="B38815" i="1"/>
  <c r="B38814" i="1"/>
  <c r="B38813" i="1"/>
  <c r="B38812" i="1"/>
  <c r="B38811" i="1"/>
  <c r="B38810" i="1"/>
  <c r="B38809" i="1"/>
  <c r="B38808" i="1"/>
  <c r="B38807" i="1"/>
  <c r="B38806" i="1"/>
  <c r="B38805" i="1"/>
  <c r="B38804" i="1"/>
  <c r="B38803" i="1"/>
  <c r="B38802" i="1"/>
  <c r="B38801" i="1"/>
  <c r="B38800" i="1"/>
  <c r="B38799" i="1"/>
  <c r="B38798" i="1"/>
  <c r="B38797" i="1"/>
  <c r="B38796" i="1"/>
  <c r="B38795" i="1"/>
  <c r="B38794" i="1"/>
  <c r="B38793" i="1"/>
  <c r="B38792" i="1"/>
  <c r="B38791" i="1"/>
  <c r="B38790" i="1"/>
  <c r="B38789" i="1"/>
  <c r="B38788" i="1"/>
  <c r="B38787" i="1"/>
  <c r="B38786" i="1"/>
  <c r="B38785" i="1"/>
  <c r="B38784" i="1"/>
  <c r="B38783" i="1"/>
  <c r="B38782" i="1"/>
  <c r="B38781" i="1"/>
  <c r="B38780" i="1"/>
  <c r="B38779" i="1"/>
  <c r="B38778" i="1"/>
  <c r="B38777" i="1"/>
  <c r="B38776" i="1"/>
  <c r="B38775" i="1"/>
  <c r="B38774" i="1"/>
  <c r="B38773" i="1"/>
  <c r="B38772" i="1"/>
  <c r="B38771" i="1"/>
  <c r="B38770" i="1"/>
  <c r="B38769" i="1"/>
  <c r="B38768" i="1"/>
  <c r="B38767" i="1"/>
  <c r="B38766" i="1"/>
  <c r="B38765" i="1"/>
  <c r="B38764" i="1"/>
  <c r="B38763" i="1"/>
  <c r="B38762" i="1"/>
  <c r="B38761" i="1"/>
  <c r="B38760" i="1"/>
  <c r="B38759" i="1"/>
  <c r="B38758" i="1"/>
  <c r="B38757" i="1"/>
  <c r="B38756" i="1"/>
  <c r="B38755" i="1"/>
  <c r="B38754" i="1"/>
  <c r="B38753" i="1"/>
  <c r="B38752" i="1"/>
  <c r="B38751" i="1"/>
  <c r="B38750" i="1"/>
  <c r="B38749" i="1"/>
  <c r="B38748" i="1"/>
  <c r="B38747" i="1"/>
  <c r="B38746" i="1"/>
  <c r="B38745" i="1"/>
  <c r="B38744" i="1"/>
  <c r="B38743" i="1"/>
  <c r="B38742" i="1"/>
  <c r="B38741" i="1"/>
  <c r="B38740" i="1"/>
  <c r="B38739" i="1"/>
  <c r="B38738" i="1"/>
  <c r="B38737" i="1"/>
  <c r="B38736" i="1"/>
  <c r="B38735" i="1"/>
  <c r="B38734" i="1"/>
  <c r="B38733" i="1"/>
  <c r="B38732" i="1"/>
  <c r="B38731" i="1"/>
  <c r="B38730" i="1"/>
  <c r="B38729" i="1"/>
  <c r="B38728" i="1"/>
  <c r="B38727" i="1"/>
  <c r="B38726" i="1"/>
  <c r="B38725" i="1"/>
  <c r="B38724" i="1"/>
  <c r="B38723" i="1"/>
  <c r="B38722" i="1"/>
  <c r="B38721" i="1"/>
  <c r="B38720" i="1"/>
  <c r="B38719" i="1"/>
  <c r="B38718" i="1"/>
  <c r="B38717" i="1"/>
  <c r="B38716" i="1"/>
  <c r="B38715" i="1"/>
  <c r="B38714" i="1"/>
  <c r="B38713" i="1"/>
  <c r="B38712" i="1"/>
  <c r="B38711" i="1"/>
  <c r="B38710" i="1"/>
  <c r="B38709" i="1"/>
  <c r="B38708" i="1"/>
  <c r="B38707" i="1"/>
  <c r="B38706" i="1"/>
  <c r="B38705" i="1"/>
  <c r="B38704" i="1"/>
  <c r="B38703" i="1"/>
  <c r="B38702" i="1"/>
  <c r="B38701" i="1"/>
  <c r="B38700" i="1"/>
  <c r="B38699" i="1"/>
  <c r="B38698" i="1"/>
  <c r="B38697" i="1"/>
  <c r="B38696" i="1"/>
  <c r="B38695" i="1"/>
  <c r="B38694" i="1"/>
  <c r="B38693" i="1"/>
  <c r="B38692" i="1"/>
  <c r="B38691" i="1"/>
  <c r="B38690" i="1"/>
  <c r="B38689" i="1"/>
  <c r="B38688" i="1"/>
  <c r="B38687" i="1"/>
  <c r="B38686" i="1"/>
  <c r="B38685" i="1"/>
  <c r="B38684" i="1"/>
  <c r="B38683" i="1"/>
  <c r="B38682" i="1"/>
  <c r="B38681" i="1"/>
  <c r="B38680" i="1"/>
  <c r="B38679" i="1"/>
  <c r="B38678" i="1"/>
  <c r="B38677" i="1"/>
  <c r="B38676" i="1"/>
  <c r="B38675" i="1"/>
  <c r="B38674" i="1"/>
  <c r="B38673" i="1"/>
  <c r="B38672" i="1"/>
  <c r="B38671" i="1"/>
  <c r="B38670" i="1"/>
  <c r="B38669" i="1"/>
  <c r="B38668" i="1"/>
  <c r="B38667" i="1"/>
  <c r="B38666" i="1"/>
  <c r="B38665" i="1"/>
  <c r="B38664" i="1"/>
  <c r="B38663" i="1"/>
  <c r="B38662" i="1"/>
  <c r="B38661" i="1"/>
  <c r="B38660" i="1"/>
  <c r="B38659" i="1"/>
  <c r="B38658" i="1"/>
  <c r="B38657" i="1"/>
  <c r="B38656" i="1"/>
  <c r="B38655" i="1"/>
  <c r="B38654" i="1"/>
  <c r="B38653" i="1"/>
  <c r="B38652" i="1"/>
  <c r="B38651" i="1"/>
  <c r="B38650" i="1"/>
  <c r="B38649" i="1"/>
  <c r="B38648" i="1"/>
  <c r="B38647" i="1"/>
  <c r="B38646" i="1"/>
  <c r="B38645" i="1"/>
  <c r="B38644" i="1"/>
  <c r="B38643" i="1"/>
  <c r="B38642" i="1"/>
  <c r="B38641" i="1"/>
  <c r="B38640" i="1"/>
  <c r="B38639" i="1"/>
  <c r="B38638" i="1"/>
  <c r="B38637" i="1"/>
  <c r="B38636" i="1"/>
  <c r="B38635" i="1"/>
  <c r="B38634" i="1"/>
  <c r="B38633" i="1"/>
  <c r="B38632" i="1"/>
  <c r="B38631" i="1"/>
  <c r="B38630" i="1"/>
  <c r="B38629" i="1"/>
  <c r="B38628" i="1"/>
  <c r="B38627" i="1"/>
  <c r="B38626" i="1"/>
  <c r="B38625" i="1"/>
  <c r="B38624" i="1"/>
  <c r="B38623" i="1"/>
  <c r="B38622" i="1"/>
  <c r="B38621" i="1"/>
  <c r="B38620" i="1"/>
  <c r="B38619" i="1"/>
  <c r="B38618" i="1"/>
  <c r="B38617" i="1"/>
  <c r="B38616" i="1"/>
  <c r="B38615" i="1"/>
  <c r="B38614" i="1"/>
  <c r="B38613" i="1"/>
  <c r="B38612" i="1"/>
  <c r="B38611" i="1"/>
  <c r="B38610" i="1"/>
  <c r="B38609" i="1"/>
  <c r="B38608" i="1"/>
  <c r="B38607" i="1"/>
  <c r="B38606" i="1"/>
  <c r="B38605" i="1"/>
  <c r="B38604" i="1"/>
  <c r="B38603" i="1"/>
  <c r="B38602" i="1"/>
  <c r="B38601" i="1"/>
  <c r="B38600" i="1"/>
  <c r="B38599" i="1"/>
  <c r="B38598" i="1"/>
  <c r="B38597" i="1"/>
  <c r="B38596" i="1"/>
  <c r="B38595" i="1"/>
  <c r="B38594" i="1"/>
  <c r="B38593" i="1"/>
  <c r="B38592" i="1"/>
  <c r="B38591" i="1"/>
  <c r="B38590" i="1"/>
  <c r="B38589" i="1"/>
  <c r="B38588" i="1"/>
  <c r="B38587" i="1"/>
  <c r="B38586" i="1"/>
  <c r="B38585" i="1"/>
  <c r="B38584" i="1"/>
  <c r="B38583" i="1"/>
  <c r="B38582" i="1"/>
  <c r="B38581" i="1"/>
  <c r="B38580" i="1"/>
  <c r="B38579" i="1"/>
  <c r="B38578" i="1"/>
  <c r="B38577" i="1"/>
  <c r="B38576" i="1"/>
  <c r="B38575" i="1"/>
  <c r="B38574" i="1"/>
  <c r="B38573" i="1"/>
  <c r="B38572" i="1"/>
  <c r="B38571" i="1"/>
  <c r="B38570" i="1"/>
  <c r="B38569" i="1"/>
  <c r="B38568" i="1"/>
  <c r="B38567" i="1"/>
  <c r="B38566" i="1"/>
  <c r="B38565" i="1"/>
  <c r="B38564" i="1"/>
  <c r="B38563" i="1"/>
  <c r="B38562" i="1"/>
  <c r="B38561" i="1"/>
  <c r="B38560" i="1"/>
  <c r="B38559" i="1"/>
  <c r="B38558" i="1"/>
  <c r="B38557" i="1"/>
  <c r="B38556" i="1"/>
  <c r="B38555" i="1"/>
  <c r="B38554" i="1"/>
  <c r="B38553" i="1"/>
  <c r="B38552" i="1"/>
  <c r="B38551" i="1"/>
  <c r="B38550" i="1"/>
  <c r="B38549" i="1"/>
  <c r="B38548" i="1"/>
  <c r="B38547" i="1"/>
  <c r="B38546" i="1"/>
  <c r="B38545" i="1"/>
  <c r="B38544" i="1"/>
  <c r="B38543" i="1"/>
  <c r="B38542" i="1"/>
  <c r="B38541" i="1"/>
  <c r="B38540" i="1"/>
  <c r="B38539" i="1"/>
  <c r="B38538" i="1"/>
  <c r="B38537" i="1"/>
  <c r="B38536" i="1"/>
  <c r="B38535" i="1"/>
  <c r="B38534" i="1"/>
  <c r="B38533" i="1"/>
  <c r="B38532" i="1"/>
  <c r="B38531" i="1"/>
  <c r="B38530" i="1"/>
  <c r="B38529" i="1"/>
  <c r="B38528" i="1"/>
  <c r="B38527" i="1"/>
  <c r="B38526" i="1"/>
  <c r="B38525" i="1"/>
  <c r="B38524" i="1"/>
  <c r="B38523" i="1"/>
  <c r="B38522" i="1"/>
  <c r="B38521" i="1"/>
  <c r="B38520" i="1"/>
  <c r="B38519" i="1"/>
  <c r="B38518" i="1"/>
  <c r="B38517" i="1"/>
  <c r="B38516" i="1"/>
  <c r="B38515" i="1"/>
  <c r="B38514" i="1"/>
  <c r="B38513" i="1"/>
  <c r="B38512" i="1"/>
  <c r="B38511" i="1"/>
  <c r="B38510" i="1"/>
  <c r="B38509" i="1"/>
  <c r="B38508" i="1"/>
  <c r="B38507" i="1"/>
  <c r="B38506" i="1"/>
  <c r="B38505" i="1"/>
  <c r="B38504" i="1"/>
  <c r="B38503" i="1"/>
  <c r="B38502" i="1"/>
  <c r="B38501" i="1"/>
  <c r="B38500" i="1"/>
  <c r="B38499" i="1"/>
  <c r="B38498" i="1"/>
  <c r="B38497" i="1"/>
  <c r="B38496" i="1"/>
  <c r="B38495" i="1"/>
  <c r="B38494" i="1"/>
  <c r="B38493" i="1"/>
  <c r="B38492" i="1"/>
  <c r="B38491" i="1"/>
  <c r="B38490" i="1"/>
  <c r="B38489" i="1"/>
  <c r="B38488" i="1"/>
  <c r="B38487" i="1"/>
  <c r="B38486" i="1"/>
  <c r="B38485" i="1"/>
  <c r="B38484" i="1"/>
  <c r="B38483" i="1"/>
  <c r="B38482" i="1"/>
  <c r="B38481" i="1"/>
  <c r="B38480" i="1"/>
  <c r="B38479" i="1"/>
  <c r="B38478" i="1"/>
  <c r="B38477" i="1"/>
  <c r="B38476" i="1"/>
  <c r="B38475" i="1"/>
  <c r="B38474" i="1"/>
  <c r="B38473" i="1"/>
  <c r="B38472" i="1"/>
  <c r="B38471" i="1"/>
  <c r="B38470" i="1"/>
  <c r="B38469" i="1"/>
  <c r="B38468" i="1"/>
  <c r="B38467" i="1"/>
  <c r="B38466" i="1"/>
  <c r="B38465" i="1"/>
  <c r="B38464" i="1"/>
  <c r="B38463" i="1"/>
  <c r="B38462" i="1"/>
  <c r="B38461" i="1"/>
  <c r="B38460" i="1"/>
  <c r="B38459" i="1"/>
  <c r="B38458" i="1"/>
  <c r="B38457" i="1"/>
  <c r="B38456" i="1"/>
  <c r="B38455" i="1"/>
  <c r="B38454" i="1"/>
  <c r="B38453" i="1"/>
  <c r="B38452" i="1"/>
  <c r="B38451" i="1"/>
  <c r="B38450" i="1"/>
  <c r="B38449" i="1"/>
  <c r="B38448" i="1"/>
  <c r="B38447" i="1"/>
  <c r="B38446" i="1"/>
  <c r="B38445" i="1"/>
  <c r="B38444" i="1"/>
  <c r="B38443" i="1"/>
  <c r="B38442" i="1"/>
  <c r="B38441" i="1"/>
  <c r="B38440" i="1"/>
  <c r="B38439" i="1"/>
  <c r="B38438" i="1"/>
  <c r="B38437" i="1"/>
  <c r="B38436" i="1"/>
  <c r="B38435" i="1"/>
  <c r="B38434" i="1"/>
  <c r="B38433" i="1"/>
  <c r="B38432" i="1"/>
  <c r="B38431" i="1"/>
  <c r="B38430" i="1"/>
  <c r="B38429" i="1"/>
  <c r="B38428" i="1"/>
  <c r="B38427" i="1"/>
  <c r="B38426" i="1"/>
  <c r="B38425" i="1"/>
  <c r="B38424" i="1"/>
  <c r="B38423" i="1"/>
  <c r="B38422" i="1"/>
  <c r="B38421" i="1"/>
  <c r="B38420" i="1"/>
  <c r="B38419" i="1"/>
  <c r="B38418" i="1"/>
  <c r="B38417" i="1"/>
  <c r="B38416" i="1"/>
  <c r="B38415" i="1"/>
  <c r="B38414" i="1"/>
  <c r="B38413" i="1"/>
  <c r="B38412" i="1"/>
  <c r="B38411" i="1"/>
  <c r="B38410" i="1"/>
  <c r="B38409" i="1"/>
  <c r="B38408" i="1"/>
  <c r="B38407" i="1"/>
  <c r="B38406" i="1"/>
  <c r="B38405" i="1"/>
  <c r="B38404" i="1"/>
  <c r="B38403" i="1"/>
  <c r="B38402" i="1"/>
  <c r="B38401" i="1"/>
  <c r="B38400" i="1"/>
  <c r="B38399" i="1"/>
  <c r="B38398" i="1"/>
  <c r="B38397" i="1"/>
  <c r="B38396" i="1"/>
  <c r="B38395" i="1"/>
  <c r="B38394" i="1"/>
  <c r="B38393" i="1"/>
  <c r="B38392" i="1"/>
  <c r="B38391" i="1"/>
  <c r="B38390" i="1"/>
  <c r="B38389" i="1"/>
  <c r="B38388" i="1"/>
  <c r="B38387" i="1"/>
  <c r="B38386" i="1"/>
  <c r="B38385" i="1"/>
  <c r="B38384" i="1"/>
  <c r="B38383" i="1"/>
  <c r="B38382" i="1"/>
  <c r="B38381" i="1"/>
  <c r="B38380" i="1"/>
  <c r="B38379" i="1"/>
  <c r="B38378" i="1"/>
  <c r="B38377" i="1"/>
  <c r="B38376" i="1"/>
  <c r="B38375" i="1"/>
  <c r="B38374" i="1"/>
  <c r="B38373" i="1"/>
  <c r="B38372" i="1"/>
  <c r="B38371" i="1"/>
  <c r="B38370" i="1"/>
  <c r="B38369" i="1"/>
  <c r="B38368" i="1"/>
  <c r="B38367" i="1"/>
  <c r="B38366" i="1"/>
  <c r="B38365" i="1"/>
  <c r="B38364" i="1"/>
  <c r="B38363" i="1"/>
  <c r="B38362" i="1"/>
  <c r="B38361" i="1"/>
  <c r="B38360" i="1"/>
  <c r="B38359" i="1"/>
  <c r="B38358" i="1"/>
  <c r="B38357" i="1"/>
  <c r="B38356" i="1"/>
  <c r="B38355" i="1"/>
  <c r="B38354" i="1"/>
  <c r="B38353" i="1"/>
  <c r="B38352" i="1"/>
  <c r="B38351" i="1"/>
  <c r="B38350" i="1"/>
  <c r="B38349" i="1"/>
  <c r="B38348" i="1"/>
  <c r="B38347" i="1"/>
  <c r="B38346" i="1"/>
  <c r="B38345" i="1"/>
  <c r="B38344" i="1"/>
  <c r="B38343" i="1"/>
  <c r="B38342" i="1"/>
  <c r="B38341" i="1"/>
  <c r="B38340" i="1"/>
  <c r="B38339" i="1"/>
  <c r="B38338" i="1"/>
  <c r="B38337" i="1"/>
  <c r="B38336" i="1"/>
  <c r="B38335" i="1"/>
  <c r="B38334" i="1"/>
  <c r="B38333" i="1"/>
  <c r="B38332" i="1"/>
  <c r="B38331" i="1"/>
  <c r="B38330" i="1"/>
  <c r="B38329" i="1"/>
  <c r="B38328" i="1"/>
  <c r="B38327" i="1"/>
  <c r="B38326" i="1"/>
  <c r="B38325" i="1"/>
  <c r="B38324" i="1"/>
  <c r="B38323" i="1"/>
  <c r="B38322" i="1"/>
  <c r="B38321" i="1"/>
  <c r="B38320" i="1"/>
  <c r="B38319" i="1"/>
  <c r="B38318" i="1"/>
  <c r="B38317" i="1"/>
  <c r="B38316" i="1"/>
  <c r="B38315" i="1"/>
  <c r="B38314" i="1"/>
  <c r="B38313" i="1"/>
  <c r="B38312" i="1"/>
  <c r="B38311" i="1"/>
  <c r="B38310" i="1"/>
  <c r="B38309" i="1"/>
  <c r="B38308" i="1"/>
  <c r="B38307" i="1"/>
  <c r="B38306" i="1"/>
  <c r="B38305" i="1"/>
  <c r="B38304" i="1"/>
  <c r="B38303" i="1"/>
  <c r="B38302" i="1"/>
  <c r="B38301" i="1"/>
  <c r="B38300" i="1"/>
  <c r="B38299" i="1"/>
  <c r="B38298" i="1"/>
  <c r="B38297" i="1"/>
  <c r="B38296" i="1"/>
  <c r="B38295" i="1"/>
  <c r="B38294" i="1"/>
  <c r="B38293" i="1"/>
  <c r="B38292" i="1"/>
  <c r="B38291" i="1"/>
  <c r="B38290" i="1"/>
  <c r="B38289" i="1"/>
  <c r="B38288" i="1"/>
  <c r="B38287" i="1"/>
  <c r="B38286" i="1"/>
  <c r="B38285" i="1"/>
  <c r="B38284" i="1"/>
  <c r="B38283" i="1"/>
  <c r="B38282" i="1"/>
  <c r="B38281" i="1"/>
  <c r="B38280" i="1"/>
  <c r="B38279" i="1"/>
  <c r="B38278" i="1"/>
  <c r="B38277" i="1"/>
  <c r="B38276" i="1"/>
  <c r="B38275" i="1"/>
  <c r="B38274" i="1"/>
  <c r="B38273" i="1"/>
  <c r="B38272" i="1"/>
  <c r="B38271" i="1"/>
  <c r="B38270" i="1"/>
  <c r="B38269" i="1"/>
  <c r="B38268" i="1"/>
  <c r="B38267" i="1"/>
  <c r="B38266" i="1"/>
  <c r="B38265" i="1"/>
  <c r="B38264" i="1"/>
  <c r="B38263" i="1"/>
  <c r="B38262" i="1"/>
  <c r="B38261" i="1"/>
  <c r="B38260" i="1"/>
  <c r="B38259" i="1"/>
  <c r="B38258" i="1"/>
  <c r="B38257" i="1"/>
  <c r="B38256" i="1"/>
  <c r="B38255" i="1"/>
  <c r="B38254" i="1"/>
  <c r="B38253" i="1"/>
  <c r="B38252" i="1"/>
  <c r="B38251" i="1"/>
  <c r="B38250" i="1"/>
  <c r="B38249" i="1"/>
  <c r="B38248" i="1"/>
  <c r="B38247" i="1"/>
  <c r="B38246" i="1"/>
  <c r="B38245" i="1"/>
  <c r="B38244" i="1"/>
  <c r="B38243" i="1"/>
  <c r="B38242" i="1"/>
  <c r="B38241" i="1"/>
  <c r="B38240" i="1"/>
  <c r="B38239" i="1"/>
  <c r="B38238" i="1"/>
  <c r="B38237" i="1"/>
  <c r="B38236" i="1"/>
  <c r="B38235" i="1"/>
  <c r="B38234" i="1"/>
  <c r="B38233" i="1"/>
  <c r="B38232" i="1"/>
  <c r="B38231" i="1"/>
  <c r="B38230" i="1"/>
  <c r="B38229" i="1"/>
  <c r="B38228" i="1"/>
  <c r="B38227" i="1"/>
  <c r="B38226" i="1"/>
  <c r="B38225" i="1"/>
  <c r="B38224" i="1"/>
  <c r="B38223" i="1"/>
  <c r="B38222" i="1"/>
  <c r="B38221" i="1"/>
  <c r="B38220" i="1"/>
  <c r="B38219" i="1"/>
  <c r="B38218" i="1"/>
  <c r="B38217" i="1"/>
  <c r="B38216" i="1"/>
  <c r="B38215" i="1"/>
  <c r="B38214" i="1"/>
  <c r="B38213" i="1"/>
  <c r="B38212" i="1"/>
  <c r="B38211" i="1"/>
  <c r="B38210" i="1"/>
  <c r="B38209" i="1"/>
  <c r="B38208" i="1"/>
  <c r="B38207" i="1"/>
  <c r="B38206" i="1"/>
  <c r="B38205" i="1"/>
  <c r="B38204" i="1"/>
  <c r="B38203" i="1"/>
  <c r="B38202" i="1"/>
  <c r="B38201" i="1"/>
  <c r="B38200" i="1"/>
  <c r="B38199" i="1"/>
  <c r="B38198" i="1"/>
  <c r="B38197" i="1"/>
  <c r="B38196" i="1"/>
  <c r="B38195" i="1"/>
  <c r="B38194" i="1"/>
  <c r="B38193" i="1"/>
  <c r="B38192" i="1"/>
  <c r="B38191" i="1"/>
  <c r="B38190" i="1"/>
  <c r="B38189" i="1"/>
  <c r="B38188" i="1"/>
  <c r="B38187" i="1"/>
  <c r="B38186" i="1"/>
  <c r="B38185" i="1"/>
  <c r="B38184" i="1"/>
  <c r="B38183" i="1"/>
  <c r="B38182" i="1"/>
  <c r="B38181" i="1"/>
  <c r="B38180" i="1"/>
  <c r="B38179" i="1"/>
  <c r="B38178" i="1"/>
  <c r="B38177" i="1"/>
  <c r="B38176" i="1"/>
  <c r="B38175" i="1"/>
  <c r="B38174" i="1"/>
  <c r="B38173" i="1"/>
  <c r="B38172" i="1"/>
  <c r="B38171" i="1"/>
  <c r="B38170" i="1"/>
  <c r="B38169" i="1"/>
  <c r="B38168" i="1"/>
  <c r="B38167" i="1"/>
  <c r="B38166" i="1"/>
  <c r="B38165" i="1"/>
  <c r="B38164" i="1"/>
  <c r="B38163" i="1"/>
  <c r="B38162" i="1"/>
  <c r="B38161" i="1"/>
  <c r="B38160" i="1"/>
  <c r="B38159" i="1"/>
  <c r="B38158" i="1"/>
  <c r="B38157" i="1"/>
  <c r="B38156" i="1"/>
  <c r="B38155" i="1"/>
  <c r="B38154" i="1"/>
  <c r="B38153" i="1"/>
  <c r="B38152" i="1"/>
  <c r="B38151" i="1"/>
  <c r="B38150" i="1"/>
  <c r="B38149" i="1"/>
  <c r="B38148" i="1"/>
  <c r="B38147" i="1"/>
  <c r="B38146" i="1"/>
  <c r="B38145" i="1"/>
  <c r="B38144" i="1"/>
  <c r="B38143" i="1"/>
  <c r="B38142" i="1"/>
  <c r="B38141" i="1"/>
  <c r="B38140" i="1"/>
  <c r="B38139" i="1"/>
  <c r="B38138" i="1"/>
  <c r="B38137" i="1"/>
  <c r="B38136" i="1"/>
  <c r="B38135" i="1"/>
  <c r="B38134" i="1"/>
  <c r="B38133" i="1"/>
  <c r="B38132" i="1"/>
  <c r="B38131" i="1"/>
  <c r="B38130" i="1"/>
  <c r="B38129" i="1"/>
  <c r="B38128" i="1"/>
  <c r="B38127" i="1"/>
  <c r="B38126" i="1"/>
  <c r="B38125" i="1"/>
  <c r="B38124" i="1"/>
  <c r="B38123" i="1"/>
  <c r="B38122" i="1"/>
  <c r="B38121" i="1"/>
  <c r="B38120" i="1"/>
  <c r="B38119" i="1"/>
  <c r="B38118" i="1"/>
  <c r="B38117" i="1"/>
  <c r="B38116" i="1"/>
  <c r="B38115" i="1"/>
  <c r="B38114" i="1"/>
  <c r="B38113" i="1"/>
  <c r="B38112" i="1"/>
  <c r="B38111" i="1"/>
  <c r="B38110" i="1"/>
  <c r="B38109" i="1"/>
  <c r="B38108" i="1"/>
  <c r="B38107" i="1"/>
  <c r="B38106" i="1"/>
  <c r="B38105" i="1"/>
  <c r="B38104" i="1"/>
  <c r="B38103" i="1"/>
  <c r="B38102" i="1"/>
  <c r="B38101" i="1"/>
  <c r="B38100" i="1"/>
  <c r="B38099" i="1"/>
  <c r="B38098" i="1"/>
  <c r="B38097" i="1"/>
  <c r="B38096" i="1"/>
  <c r="B38095" i="1"/>
  <c r="B38094" i="1"/>
  <c r="B38093" i="1"/>
  <c r="B38092" i="1"/>
  <c r="B38091" i="1"/>
  <c r="B38090" i="1"/>
  <c r="B38089" i="1"/>
  <c r="B38088" i="1"/>
  <c r="B38087" i="1"/>
  <c r="B38086" i="1"/>
  <c r="B38085" i="1"/>
  <c r="B38084" i="1"/>
  <c r="B38083" i="1"/>
  <c r="B38082" i="1"/>
  <c r="B38081" i="1"/>
  <c r="B38080" i="1"/>
  <c r="B38079" i="1"/>
  <c r="B38078" i="1"/>
  <c r="B38077" i="1"/>
  <c r="B38076" i="1"/>
  <c r="B38075" i="1"/>
  <c r="B38074" i="1"/>
  <c r="B38073" i="1"/>
  <c r="B38072" i="1"/>
  <c r="B38071" i="1"/>
  <c r="B38070" i="1"/>
  <c r="B38069" i="1"/>
  <c r="B38068" i="1"/>
  <c r="B38067" i="1"/>
  <c r="B38066" i="1"/>
  <c r="B38065" i="1"/>
  <c r="B38064" i="1"/>
  <c r="B38063" i="1"/>
  <c r="B38062" i="1"/>
  <c r="B38061" i="1"/>
  <c r="B38060" i="1"/>
  <c r="B38059" i="1"/>
  <c r="B38058" i="1"/>
  <c r="B38057" i="1"/>
  <c r="B38056" i="1"/>
  <c r="B38055" i="1"/>
  <c r="B38054" i="1"/>
  <c r="B38053" i="1"/>
  <c r="B38052" i="1"/>
  <c r="B38051" i="1"/>
  <c r="B38050" i="1"/>
  <c r="B38049" i="1"/>
  <c r="B38048" i="1"/>
  <c r="B38047" i="1"/>
  <c r="B38046" i="1"/>
  <c r="B38045" i="1"/>
  <c r="B38044" i="1"/>
  <c r="B38043" i="1"/>
  <c r="B38042" i="1"/>
  <c r="B38041" i="1"/>
  <c r="B38040" i="1"/>
  <c r="B38039" i="1"/>
  <c r="B38038" i="1"/>
  <c r="B38037" i="1"/>
  <c r="B38036" i="1"/>
  <c r="B38035" i="1"/>
  <c r="B38034" i="1"/>
  <c r="B38033" i="1"/>
  <c r="B38032" i="1"/>
  <c r="B38031" i="1"/>
  <c r="B38030" i="1"/>
  <c r="B38029" i="1"/>
  <c r="B38028" i="1"/>
  <c r="B38027" i="1"/>
  <c r="B38026" i="1"/>
  <c r="B38025" i="1"/>
  <c r="B38024" i="1"/>
  <c r="B38023" i="1"/>
  <c r="B38022" i="1"/>
  <c r="B38021" i="1"/>
  <c r="B38020" i="1"/>
  <c r="B38019" i="1"/>
  <c r="B38018" i="1"/>
  <c r="B38017" i="1"/>
  <c r="B38016" i="1"/>
  <c r="B38015" i="1"/>
  <c r="B38014" i="1"/>
  <c r="B38013" i="1"/>
  <c r="B38012" i="1"/>
  <c r="B38011" i="1"/>
  <c r="B38010" i="1"/>
  <c r="B38009" i="1"/>
  <c r="B38008" i="1"/>
  <c r="B38007" i="1"/>
  <c r="B38006" i="1"/>
  <c r="B38005" i="1"/>
  <c r="B38004" i="1"/>
  <c r="B38003" i="1"/>
  <c r="B38002" i="1"/>
  <c r="B38001" i="1"/>
  <c r="B38000" i="1"/>
  <c r="B37999" i="1"/>
  <c r="B37998" i="1"/>
  <c r="B37997" i="1"/>
  <c r="B37996" i="1"/>
  <c r="B37995" i="1"/>
  <c r="B37994" i="1"/>
  <c r="B37993" i="1"/>
  <c r="B37992" i="1"/>
  <c r="B37991" i="1"/>
  <c r="B37990" i="1"/>
  <c r="B37989" i="1"/>
  <c r="B37988" i="1"/>
  <c r="B37987" i="1"/>
  <c r="B37986" i="1"/>
  <c r="B37985" i="1"/>
  <c r="B37984" i="1"/>
  <c r="B37983" i="1"/>
  <c r="B37982" i="1"/>
  <c r="B37981" i="1"/>
  <c r="B37980" i="1"/>
  <c r="B37979" i="1"/>
  <c r="B37978" i="1"/>
  <c r="B37977" i="1"/>
  <c r="B37976" i="1"/>
  <c r="B37975" i="1"/>
  <c r="B37974" i="1"/>
  <c r="B37973" i="1"/>
  <c r="B37972" i="1"/>
  <c r="B37971" i="1"/>
  <c r="B37970" i="1"/>
  <c r="B37969" i="1"/>
  <c r="B37968" i="1"/>
  <c r="B37967" i="1"/>
  <c r="B37966" i="1"/>
  <c r="B37965" i="1"/>
  <c r="B37964" i="1"/>
  <c r="B37963" i="1"/>
  <c r="B37962" i="1"/>
  <c r="B37961" i="1"/>
  <c r="B37960" i="1"/>
  <c r="B37959" i="1"/>
  <c r="B37958" i="1"/>
  <c r="B37957" i="1"/>
  <c r="B37956" i="1"/>
  <c r="B37955" i="1"/>
  <c r="B37954" i="1"/>
  <c r="B37953" i="1"/>
  <c r="B37952" i="1"/>
  <c r="B37951" i="1"/>
  <c r="B37950" i="1"/>
  <c r="B37949" i="1"/>
  <c r="B37948" i="1"/>
  <c r="B37947" i="1"/>
  <c r="B37946" i="1"/>
  <c r="B37945" i="1"/>
  <c r="B37944" i="1"/>
  <c r="B37943" i="1"/>
  <c r="B37942" i="1"/>
  <c r="B37941" i="1"/>
  <c r="B37940" i="1"/>
  <c r="B37939" i="1"/>
  <c r="B37938" i="1"/>
  <c r="B37937" i="1"/>
  <c r="B37936" i="1"/>
  <c r="B37935" i="1"/>
  <c r="B37934" i="1"/>
  <c r="B37933" i="1"/>
  <c r="B37932" i="1"/>
  <c r="B37931" i="1"/>
  <c r="B37930" i="1"/>
  <c r="B37929" i="1"/>
  <c r="B37928" i="1"/>
  <c r="B37927" i="1"/>
  <c r="B37926" i="1"/>
  <c r="B37925" i="1"/>
  <c r="B37924" i="1"/>
  <c r="B37923" i="1"/>
  <c r="B37922" i="1"/>
  <c r="B37921" i="1"/>
  <c r="B37920" i="1"/>
  <c r="B37919" i="1"/>
  <c r="B37918" i="1"/>
  <c r="B37917" i="1"/>
  <c r="B37916" i="1"/>
  <c r="B37915" i="1"/>
  <c r="B37914" i="1"/>
  <c r="B37913" i="1"/>
  <c r="B37912" i="1"/>
  <c r="B37911" i="1"/>
  <c r="B37910" i="1"/>
  <c r="B37909" i="1"/>
  <c r="B37908" i="1"/>
  <c r="B37907" i="1"/>
  <c r="B37906" i="1"/>
  <c r="B37905" i="1"/>
  <c r="B37904" i="1"/>
  <c r="B37903" i="1"/>
  <c r="B37902" i="1"/>
  <c r="B37901" i="1"/>
  <c r="B37900" i="1"/>
  <c r="B37899" i="1"/>
  <c r="B37898" i="1"/>
  <c r="B37897" i="1"/>
  <c r="B37896" i="1"/>
  <c r="B37895" i="1"/>
  <c r="B37894" i="1"/>
  <c r="B37893" i="1"/>
  <c r="B37892" i="1"/>
  <c r="B37891" i="1"/>
  <c r="B37890" i="1"/>
  <c r="B37889" i="1"/>
  <c r="B37888" i="1"/>
  <c r="B37887" i="1"/>
  <c r="B37886" i="1"/>
  <c r="B37885" i="1"/>
  <c r="B37884" i="1"/>
  <c r="B37883" i="1"/>
  <c r="B37882" i="1"/>
  <c r="B37881" i="1"/>
  <c r="B37880" i="1"/>
  <c r="B37879" i="1"/>
  <c r="B37878" i="1"/>
  <c r="B37877" i="1"/>
  <c r="B37876" i="1"/>
  <c r="B37875" i="1"/>
  <c r="B37874" i="1"/>
  <c r="B37873" i="1"/>
  <c r="B37872" i="1"/>
  <c r="B37871" i="1"/>
  <c r="B37870" i="1"/>
  <c r="B37869" i="1"/>
  <c r="B37868" i="1"/>
  <c r="B37867" i="1"/>
  <c r="B37866" i="1"/>
  <c r="B37865" i="1"/>
  <c r="B37864" i="1"/>
  <c r="B37863" i="1"/>
  <c r="B37862" i="1"/>
  <c r="B37861" i="1"/>
  <c r="B37860" i="1"/>
  <c r="B37859" i="1"/>
  <c r="B37858" i="1"/>
  <c r="B37857" i="1"/>
  <c r="B37856" i="1"/>
  <c r="B37855" i="1"/>
  <c r="B37854" i="1"/>
  <c r="B37853" i="1"/>
  <c r="B37852" i="1"/>
  <c r="B37851" i="1"/>
  <c r="B37850" i="1"/>
  <c r="B37849" i="1"/>
  <c r="B37848" i="1"/>
  <c r="B37847" i="1"/>
  <c r="B37846" i="1"/>
  <c r="B37845" i="1"/>
  <c r="B37844" i="1"/>
  <c r="B37843" i="1"/>
  <c r="B37842" i="1"/>
  <c r="B37841" i="1"/>
  <c r="B37840" i="1"/>
  <c r="B37839" i="1"/>
  <c r="B37838" i="1"/>
  <c r="B37837" i="1"/>
  <c r="B37836" i="1"/>
  <c r="B37835" i="1"/>
  <c r="B37834" i="1"/>
  <c r="B37833" i="1"/>
  <c r="B37832" i="1"/>
  <c r="B37831" i="1"/>
  <c r="B37830" i="1"/>
  <c r="B37829" i="1"/>
  <c r="B37828" i="1"/>
  <c r="B37827" i="1"/>
  <c r="B37826" i="1"/>
  <c r="B37825" i="1"/>
  <c r="B37824" i="1"/>
  <c r="B37823" i="1"/>
  <c r="B37822" i="1"/>
  <c r="B37821" i="1"/>
  <c r="B37820" i="1"/>
  <c r="B37819" i="1"/>
  <c r="B37818" i="1"/>
  <c r="B37817" i="1"/>
  <c r="B37816" i="1"/>
  <c r="B37815" i="1"/>
  <c r="B37814" i="1"/>
  <c r="B37813" i="1"/>
  <c r="B37812" i="1"/>
  <c r="B37811" i="1"/>
  <c r="B37810" i="1"/>
  <c r="B37809" i="1"/>
  <c r="B37808" i="1"/>
  <c r="B37807" i="1"/>
  <c r="B37806" i="1"/>
  <c r="B37805" i="1"/>
  <c r="B37804" i="1"/>
  <c r="B37803" i="1"/>
  <c r="B37802" i="1"/>
  <c r="B37801" i="1"/>
  <c r="B37800" i="1"/>
  <c r="B37799" i="1"/>
  <c r="B37798" i="1"/>
  <c r="B37797" i="1"/>
  <c r="B37796" i="1"/>
  <c r="B37795" i="1"/>
  <c r="B37794" i="1"/>
  <c r="B37793" i="1"/>
  <c r="B37792" i="1"/>
  <c r="B37791" i="1"/>
  <c r="B37790" i="1"/>
  <c r="B37789" i="1"/>
  <c r="B37788" i="1"/>
  <c r="B37787" i="1"/>
  <c r="B37786" i="1"/>
  <c r="B37785" i="1"/>
  <c r="B37784" i="1"/>
  <c r="B37783" i="1"/>
  <c r="B37782" i="1"/>
  <c r="B37781" i="1"/>
  <c r="B37780" i="1"/>
  <c r="B37779" i="1"/>
  <c r="B37778" i="1"/>
  <c r="B37777" i="1"/>
  <c r="B37776" i="1"/>
  <c r="B37775" i="1"/>
  <c r="B37774" i="1"/>
  <c r="B37773" i="1"/>
  <c r="B37772" i="1"/>
  <c r="B37771" i="1"/>
  <c r="B37770" i="1"/>
  <c r="B37769" i="1"/>
  <c r="B37768" i="1"/>
  <c r="B37767" i="1"/>
  <c r="B37766" i="1"/>
  <c r="B37765" i="1"/>
  <c r="B37764" i="1"/>
  <c r="B37763" i="1"/>
  <c r="B37762" i="1"/>
  <c r="B37761" i="1"/>
  <c r="B37760" i="1"/>
  <c r="B37759" i="1"/>
  <c r="B37758" i="1"/>
  <c r="B37757" i="1"/>
  <c r="B37756" i="1"/>
  <c r="B37755" i="1"/>
  <c r="B37754" i="1"/>
  <c r="B37753" i="1"/>
  <c r="B37752" i="1"/>
  <c r="B37751" i="1"/>
  <c r="B37750" i="1"/>
  <c r="B37749" i="1"/>
  <c r="B37748" i="1"/>
  <c r="B37747" i="1"/>
  <c r="B37746" i="1"/>
  <c r="B37745" i="1"/>
  <c r="B37744" i="1"/>
  <c r="B37743" i="1"/>
  <c r="B37742" i="1"/>
  <c r="B37741" i="1"/>
  <c r="B37740" i="1"/>
  <c r="B37739" i="1"/>
  <c r="B37738" i="1"/>
  <c r="B37737" i="1"/>
  <c r="B37736" i="1"/>
  <c r="B37735" i="1"/>
  <c r="B37734" i="1"/>
  <c r="B37733" i="1"/>
  <c r="B37732" i="1"/>
  <c r="B37731" i="1"/>
  <c r="B37730" i="1"/>
  <c r="B37729" i="1"/>
  <c r="B37728" i="1"/>
  <c r="B37727" i="1"/>
  <c r="B37726" i="1"/>
  <c r="B37725" i="1"/>
  <c r="B37724" i="1"/>
  <c r="B37723" i="1"/>
  <c r="B37722" i="1"/>
  <c r="B37721" i="1"/>
  <c r="B37720" i="1"/>
  <c r="B37719" i="1"/>
  <c r="B37718" i="1"/>
  <c r="B37717" i="1"/>
  <c r="B37716" i="1"/>
  <c r="B37715" i="1"/>
  <c r="B37714" i="1"/>
  <c r="B37713" i="1"/>
  <c r="B37712" i="1"/>
  <c r="B37711" i="1"/>
  <c r="B37710" i="1"/>
  <c r="B37709" i="1"/>
  <c r="B37708" i="1"/>
  <c r="B37707" i="1"/>
  <c r="B37706" i="1"/>
  <c r="B37705" i="1"/>
  <c r="B37704" i="1"/>
  <c r="B37703" i="1"/>
  <c r="B37702" i="1"/>
  <c r="B37701" i="1"/>
  <c r="B37700" i="1"/>
  <c r="B37699" i="1"/>
  <c r="B37698" i="1"/>
  <c r="B37697" i="1"/>
  <c r="B37696" i="1"/>
  <c r="B37695" i="1"/>
  <c r="B37694" i="1"/>
  <c r="B37693" i="1"/>
  <c r="B37692" i="1"/>
  <c r="B37691" i="1"/>
  <c r="B37690" i="1"/>
  <c r="B37689" i="1"/>
  <c r="B37688" i="1"/>
  <c r="B37687" i="1"/>
  <c r="B37686" i="1"/>
  <c r="B37685" i="1"/>
  <c r="B37684" i="1"/>
  <c r="B37683" i="1"/>
  <c r="B37682" i="1"/>
  <c r="B37681" i="1"/>
  <c r="B37680" i="1"/>
  <c r="B37679" i="1"/>
  <c r="B37678" i="1"/>
  <c r="B37677" i="1"/>
  <c r="B37676" i="1"/>
  <c r="B37675" i="1"/>
  <c r="B37674" i="1"/>
  <c r="B37673" i="1"/>
  <c r="B37672" i="1"/>
  <c r="B37671" i="1"/>
  <c r="B37670" i="1"/>
  <c r="B37669" i="1"/>
  <c r="B37668" i="1"/>
  <c r="B37667" i="1"/>
  <c r="B37666" i="1"/>
  <c r="B37665" i="1"/>
  <c r="B37664" i="1"/>
  <c r="B37663" i="1"/>
  <c r="B37662" i="1"/>
  <c r="B37661" i="1"/>
  <c r="B37660" i="1"/>
  <c r="B37659" i="1"/>
  <c r="B37658" i="1"/>
  <c r="B37657" i="1"/>
  <c r="B37656" i="1"/>
  <c r="B37655" i="1"/>
  <c r="B37654" i="1"/>
  <c r="B37653" i="1"/>
  <c r="B37652" i="1"/>
  <c r="B37651" i="1"/>
  <c r="B37650" i="1"/>
  <c r="B37649" i="1"/>
  <c r="B37648" i="1"/>
  <c r="B37647" i="1"/>
  <c r="B37646" i="1"/>
  <c r="B37645" i="1"/>
  <c r="B37644" i="1"/>
  <c r="B37643" i="1"/>
  <c r="B37642" i="1"/>
  <c r="B37641" i="1"/>
  <c r="B37640" i="1"/>
  <c r="B37639" i="1"/>
  <c r="B37638" i="1"/>
  <c r="B37637" i="1"/>
  <c r="B37636" i="1"/>
  <c r="B37635" i="1"/>
  <c r="B37634" i="1"/>
  <c r="B37633" i="1"/>
  <c r="B37632" i="1"/>
  <c r="B37631" i="1"/>
  <c r="B37630" i="1"/>
  <c r="B37629" i="1"/>
  <c r="B37628" i="1"/>
  <c r="B37627" i="1"/>
  <c r="B37626" i="1"/>
  <c r="B37625" i="1"/>
  <c r="B37624" i="1"/>
  <c r="B37623" i="1"/>
  <c r="B37622" i="1"/>
  <c r="B37621" i="1"/>
  <c r="B37620" i="1"/>
  <c r="B37619" i="1"/>
  <c r="B37618" i="1"/>
  <c r="B37617" i="1"/>
  <c r="B37616" i="1"/>
  <c r="B37615" i="1"/>
  <c r="B37614" i="1"/>
  <c r="B37613" i="1"/>
  <c r="B37612" i="1"/>
  <c r="B37611" i="1"/>
  <c r="B37610" i="1"/>
  <c r="B37609" i="1"/>
  <c r="B37608" i="1"/>
  <c r="B37607" i="1"/>
  <c r="B37606" i="1"/>
  <c r="B37605" i="1"/>
  <c r="B37604" i="1"/>
  <c r="B37603" i="1"/>
  <c r="B37602" i="1"/>
  <c r="B37601" i="1"/>
  <c r="B37600" i="1"/>
  <c r="B37599" i="1"/>
  <c r="B37598" i="1"/>
  <c r="B37597" i="1"/>
  <c r="B37596" i="1"/>
  <c r="B37595" i="1"/>
  <c r="B37594" i="1"/>
  <c r="B37593" i="1"/>
  <c r="B37592" i="1"/>
  <c r="B37591" i="1"/>
  <c r="B37590" i="1"/>
  <c r="B37589" i="1"/>
  <c r="B37588" i="1"/>
  <c r="B37587" i="1"/>
  <c r="B37586" i="1"/>
  <c r="B37585" i="1"/>
  <c r="B37584" i="1"/>
  <c r="B37583" i="1"/>
  <c r="B37582" i="1"/>
  <c r="B37581" i="1"/>
  <c r="B37580" i="1"/>
  <c r="B37579" i="1"/>
  <c r="B37578" i="1"/>
  <c r="B37577" i="1"/>
  <c r="B37576" i="1"/>
  <c r="B37575" i="1"/>
  <c r="B37574" i="1"/>
  <c r="B37573" i="1"/>
  <c r="B37572" i="1"/>
  <c r="B37571" i="1"/>
  <c r="B37570" i="1"/>
  <c r="B37569" i="1"/>
  <c r="B37568" i="1"/>
  <c r="B37567" i="1"/>
  <c r="B37566" i="1"/>
  <c r="B37565" i="1"/>
  <c r="B37564" i="1"/>
  <c r="B37563" i="1"/>
  <c r="B37562" i="1"/>
  <c r="B37561" i="1"/>
  <c r="B37560" i="1"/>
  <c r="B37559" i="1"/>
  <c r="B37558" i="1"/>
  <c r="B37557" i="1"/>
  <c r="B37556" i="1"/>
  <c r="B37555" i="1"/>
  <c r="B37554" i="1"/>
  <c r="B37553" i="1"/>
  <c r="B37552" i="1"/>
  <c r="B37551" i="1"/>
  <c r="B37550" i="1"/>
  <c r="B37549" i="1"/>
  <c r="B37548" i="1"/>
  <c r="B37547" i="1"/>
  <c r="B37546" i="1"/>
  <c r="B37545" i="1"/>
  <c r="B37544" i="1"/>
  <c r="B37543" i="1"/>
  <c r="B37542" i="1"/>
  <c r="B37541" i="1"/>
  <c r="B37540" i="1"/>
  <c r="B37539" i="1"/>
  <c r="B37538" i="1"/>
  <c r="B37537" i="1"/>
  <c r="B37536" i="1"/>
  <c r="B37535" i="1"/>
  <c r="B37534" i="1"/>
  <c r="B37533" i="1"/>
  <c r="B37532" i="1"/>
  <c r="B37531" i="1"/>
  <c r="B37530" i="1"/>
  <c r="B37529" i="1"/>
  <c r="B37528" i="1"/>
  <c r="B37527" i="1"/>
  <c r="B37526" i="1"/>
  <c r="B37525" i="1"/>
  <c r="B37524" i="1"/>
  <c r="B37523" i="1"/>
  <c r="B37522" i="1"/>
  <c r="B37521" i="1"/>
  <c r="B37520" i="1"/>
  <c r="B37519" i="1"/>
  <c r="B37518" i="1"/>
  <c r="B37517" i="1"/>
  <c r="B37516" i="1"/>
  <c r="B37515" i="1"/>
  <c r="B37514" i="1"/>
  <c r="B37513" i="1"/>
  <c r="B37512" i="1"/>
  <c r="B37511" i="1"/>
  <c r="B37510" i="1"/>
  <c r="B37509" i="1"/>
  <c r="B37508" i="1"/>
  <c r="B37507" i="1"/>
  <c r="B37506" i="1"/>
  <c r="B37505" i="1"/>
  <c r="B37504" i="1"/>
  <c r="B37503" i="1"/>
  <c r="B37502" i="1"/>
  <c r="B37501" i="1"/>
  <c r="B37500" i="1"/>
  <c r="B37499" i="1"/>
  <c r="B37498" i="1"/>
  <c r="B37497" i="1"/>
  <c r="B37496" i="1"/>
  <c r="B37495" i="1"/>
  <c r="B37494" i="1"/>
  <c r="B37493" i="1"/>
  <c r="B37492" i="1"/>
  <c r="B37491" i="1"/>
  <c r="B37490" i="1"/>
  <c r="B37489" i="1"/>
  <c r="B37488" i="1"/>
  <c r="B37487" i="1"/>
  <c r="B37486" i="1"/>
  <c r="B37485" i="1"/>
  <c r="B37484" i="1"/>
  <c r="B37483" i="1"/>
  <c r="B37482" i="1"/>
  <c r="B37481" i="1"/>
  <c r="B37480" i="1"/>
  <c r="B37479" i="1"/>
  <c r="B37478" i="1"/>
  <c r="B37477" i="1"/>
  <c r="B37476" i="1"/>
  <c r="B37475" i="1"/>
  <c r="B37474" i="1"/>
  <c r="B37473" i="1"/>
  <c r="B37472" i="1"/>
  <c r="B37471" i="1"/>
  <c r="B37470" i="1"/>
  <c r="B37469" i="1"/>
  <c r="B37468" i="1"/>
  <c r="B37467" i="1"/>
  <c r="B37466" i="1"/>
  <c r="B37465" i="1"/>
  <c r="B37464" i="1"/>
  <c r="B37463" i="1"/>
  <c r="B37462" i="1"/>
  <c r="B37461" i="1"/>
  <c r="B37460" i="1"/>
  <c r="B37459" i="1"/>
  <c r="B37458" i="1"/>
  <c r="B37457" i="1"/>
  <c r="B37456" i="1"/>
  <c r="B37455" i="1"/>
  <c r="B37454" i="1"/>
  <c r="B37453" i="1"/>
  <c r="B37452" i="1"/>
  <c r="B37451" i="1"/>
  <c r="B37450" i="1"/>
  <c r="B37449" i="1"/>
  <c r="B37448" i="1"/>
  <c r="B37447" i="1"/>
  <c r="B37446" i="1"/>
  <c r="B37445" i="1"/>
  <c r="B37444" i="1"/>
  <c r="B37443" i="1"/>
  <c r="B37442" i="1"/>
  <c r="B37441" i="1"/>
  <c r="B37440" i="1"/>
  <c r="B37439" i="1"/>
  <c r="B37438" i="1"/>
  <c r="B37437" i="1"/>
  <c r="B37436" i="1"/>
  <c r="B37435" i="1"/>
  <c r="B37434" i="1"/>
  <c r="B37433" i="1"/>
  <c r="B37432" i="1"/>
  <c r="B37431" i="1"/>
  <c r="B37430" i="1"/>
  <c r="B37429" i="1"/>
  <c r="B37428" i="1"/>
  <c r="B37427" i="1"/>
  <c r="B37426" i="1"/>
  <c r="B37425" i="1"/>
  <c r="B37424" i="1"/>
  <c r="B37423" i="1"/>
  <c r="B37422" i="1"/>
  <c r="B37421" i="1"/>
  <c r="B37420" i="1"/>
  <c r="B37419" i="1"/>
  <c r="B37418" i="1"/>
  <c r="B37417" i="1"/>
  <c r="B37416" i="1"/>
  <c r="B37415" i="1"/>
  <c r="B37414" i="1"/>
  <c r="B37413" i="1"/>
  <c r="B37412" i="1"/>
  <c r="B37411" i="1"/>
  <c r="B37410" i="1"/>
  <c r="B37409" i="1"/>
  <c r="B37408" i="1"/>
  <c r="B37407" i="1"/>
  <c r="B37406" i="1"/>
  <c r="B37405" i="1"/>
  <c r="B37404" i="1"/>
  <c r="B37403" i="1"/>
  <c r="B37402" i="1"/>
  <c r="B37401" i="1"/>
  <c r="B37400" i="1"/>
  <c r="B37399" i="1"/>
  <c r="B37398" i="1"/>
  <c r="B37397" i="1"/>
  <c r="B37396" i="1"/>
  <c r="B37395" i="1"/>
  <c r="B37394" i="1"/>
  <c r="B37393" i="1"/>
  <c r="B37392" i="1"/>
  <c r="B37391" i="1"/>
  <c r="B37390" i="1"/>
  <c r="B37389" i="1"/>
  <c r="B37388" i="1"/>
  <c r="B37387" i="1"/>
  <c r="B37386" i="1"/>
  <c r="B37385" i="1"/>
  <c r="B37384" i="1"/>
  <c r="B37383" i="1"/>
  <c r="B37382" i="1"/>
  <c r="B37381" i="1"/>
  <c r="B37380" i="1"/>
  <c r="B37379" i="1"/>
  <c r="B37378" i="1"/>
  <c r="B37377" i="1"/>
  <c r="B37376" i="1"/>
  <c r="B37375" i="1"/>
  <c r="B37374" i="1"/>
  <c r="B37373" i="1"/>
  <c r="B37372" i="1"/>
  <c r="B37371" i="1"/>
  <c r="B37370" i="1"/>
  <c r="B37369" i="1"/>
  <c r="B37368" i="1"/>
  <c r="B37367" i="1"/>
  <c r="B37366" i="1"/>
  <c r="B37365" i="1"/>
  <c r="B37364" i="1"/>
  <c r="B37363" i="1"/>
  <c r="B37362" i="1"/>
  <c r="B37361" i="1"/>
  <c r="B37360" i="1"/>
  <c r="B37359" i="1"/>
  <c r="B37358" i="1"/>
  <c r="B37357" i="1"/>
  <c r="B37356" i="1"/>
  <c r="B37355" i="1"/>
  <c r="B37354" i="1"/>
  <c r="B37353" i="1"/>
  <c r="B37352" i="1"/>
  <c r="B37351" i="1"/>
  <c r="B37350" i="1"/>
  <c r="B37349" i="1"/>
  <c r="B37348" i="1"/>
  <c r="B37347" i="1"/>
  <c r="B37346" i="1"/>
  <c r="B37345" i="1"/>
  <c r="B37344" i="1"/>
  <c r="B37343" i="1"/>
  <c r="B37342" i="1"/>
  <c r="B37341" i="1"/>
  <c r="B37340" i="1"/>
  <c r="B37339" i="1"/>
  <c r="B37338" i="1"/>
  <c r="B37337" i="1"/>
  <c r="B37336" i="1"/>
  <c r="B37335" i="1"/>
  <c r="B37334" i="1"/>
  <c r="B37333" i="1"/>
  <c r="B37332" i="1"/>
  <c r="B37331" i="1"/>
  <c r="B37330" i="1"/>
  <c r="B37329" i="1"/>
  <c r="B37328" i="1"/>
  <c r="B37327" i="1"/>
  <c r="B37326" i="1"/>
  <c r="B37325" i="1"/>
  <c r="B37324" i="1"/>
  <c r="B37323" i="1"/>
  <c r="B37322" i="1"/>
  <c r="B37321" i="1"/>
  <c r="B37320" i="1"/>
  <c r="B37319" i="1"/>
  <c r="B37318" i="1"/>
  <c r="B37317" i="1"/>
  <c r="B37316" i="1"/>
  <c r="B37315" i="1"/>
  <c r="B37314" i="1"/>
  <c r="B37313" i="1"/>
  <c r="B37312" i="1"/>
  <c r="B37311" i="1"/>
  <c r="B37310" i="1"/>
  <c r="B37309" i="1"/>
  <c r="B37308" i="1"/>
  <c r="B37307" i="1"/>
  <c r="B37306" i="1"/>
  <c r="B37305" i="1"/>
  <c r="B37304" i="1"/>
  <c r="B37303" i="1"/>
  <c r="B37302" i="1"/>
  <c r="B37301" i="1"/>
  <c r="B37300" i="1"/>
  <c r="B37299" i="1"/>
  <c r="B37298" i="1"/>
  <c r="B37297" i="1"/>
  <c r="B37296" i="1"/>
  <c r="B37295" i="1"/>
  <c r="B37294" i="1"/>
  <c r="B37293" i="1"/>
  <c r="B37292" i="1"/>
  <c r="B37291" i="1"/>
  <c r="B37290" i="1"/>
  <c r="B37289" i="1"/>
  <c r="B37288" i="1"/>
  <c r="B37287" i="1"/>
  <c r="B37286" i="1"/>
  <c r="B37285" i="1"/>
  <c r="B37284" i="1"/>
  <c r="B37283" i="1"/>
  <c r="B37282" i="1"/>
  <c r="B37281" i="1"/>
  <c r="B37280" i="1"/>
  <c r="B37279" i="1"/>
  <c r="B37278" i="1"/>
  <c r="B37277" i="1"/>
  <c r="B37276" i="1"/>
  <c r="B37275" i="1"/>
  <c r="B37274" i="1"/>
  <c r="B37273" i="1"/>
  <c r="B37272" i="1"/>
  <c r="B37271" i="1"/>
  <c r="B37270" i="1"/>
  <c r="B37269" i="1"/>
  <c r="B37268" i="1"/>
  <c r="B37267" i="1"/>
  <c r="B37266" i="1"/>
  <c r="B37265" i="1"/>
  <c r="B37264" i="1"/>
  <c r="B37263" i="1"/>
  <c r="B37262" i="1"/>
  <c r="B37261" i="1"/>
  <c r="B37260" i="1"/>
  <c r="B37259" i="1"/>
  <c r="B37258" i="1"/>
  <c r="B37257" i="1"/>
  <c r="B37256" i="1"/>
  <c r="B37255" i="1"/>
  <c r="B37254" i="1"/>
  <c r="B37253" i="1"/>
  <c r="B37252" i="1"/>
  <c r="B37251" i="1"/>
  <c r="B37250" i="1"/>
  <c r="B37249" i="1"/>
  <c r="B37248" i="1"/>
  <c r="B37247" i="1"/>
  <c r="B37246" i="1"/>
  <c r="B37245" i="1"/>
  <c r="B37244" i="1"/>
  <c r="B37243" i="1"/>
  <c r="B37242" i="1"/>
  <c r="B37241" i="1"/>
  <c r="B37240" i="1"/>
  <c r="B37239" i="1"/>
  <c r="B37238" i="1"/>
  <c r="B37237" i="1"/>
  <c r="B37236" i="1"/>
  <c r="B37235" i="1"/>
  <c r="B37234" i="1"/>
  <c r="B37233" i="1"/>
  <c r="B37232" i="1"/>
  <c r="B37231" i="1"/>
  <c r="B37230" i="1"/>
  <c r="B37229" i="1"/>
  <c r="B37228" i="1"/>
  <c r="B37227" i="1"/>
  <c r="B37226" i="1"/>
  <c r="B37225" i="1"/>
  <c r="B37224" i="1"/>
  <c r="B37223" i="1"/>
  <c r="B37222" i="1"/>
  <c r="B37221" i="1"/>
  <c r="B37220" i="1"/>
  <c r="B37219" i="1"/>
  <c r="B37218" i="1"/>
  <c r="B37217" i="1"/>
  <c r="B37216" i="1"/>
  <c r="B37215" i="1"/>
  <c r="B37214" i="1"/>
  <c r="B37213" i="1"/>
  <c r="B37212" i="1"/>
  <c r="B37211" i="1"/>
  <c r="B37210" i="1"/>
  <c r="B37209" i="1"/>
  <c r="B37208" i="1"/>
  <c r="B37207" i="1"/>
  <c r="B37206" i="1"/>
  <c r="B37205" i="1"/>
  <c r="B37204" i="1"/>
  <c r="B37203" i="1"/>
  <c r="B37202" i="1"/>
  <c r="B37201" i="1"/>
  <c r="B37200" i="1"/>
  <c r="B37199" i="1"/>
  <c r="B37198" i="1"/>
  <c r="B37197" i="1"/>
  <c r="B37196" i="1"/>
  <c r="B37195" i="1"/>
  <c r="B37194" i="1"/>
  <c r="B37193" i="1"/>
  <c r="B37192" i="1"/>
  <c r="B37191" i="1"/>
  <c r="B37190" i="1"/>
  <c r="B37189" i="1"/>
  <c r="B37188" i="1"/>
  <c r="B37187" i="1"/>
  <c r="B37186" i="1"/>
  <c r="B37185" i="1"/>
  <c r="B37184" i="1"/>
  <c r="B37183" i="1"/>
  <c r="B37182" i="1"/>
  <c r="B37181" i="1"/>
  <c r="B37180" i="1"/>
  <c r="B37179" i="1"/>
  <c r="B37178" i="1"/>
  <c r="B37177" i="1"/>
  <c r="B37176" i="1"/>
  <c r="B37175" i="1"/>
  <c r="B37174" i="1"/>
  <c r="B37173" i="1"/>
  <c r="B37172" i="1"/>
  <c r="B37171" i="1"/>
  <c r="B37170" i="1"/>
  <c r="B37169" i="1"/>
  <c r="B37168" i="1"/>
  <c r="B37167" i="1"/>
  <c r="B37166" i="1"/>
  <c r="B37165" i="1"/>
  <c r="B37164" i="1"/>
  <c r="B37163" i="1"/>
  <c r="B37162" i="1"/>
  <c r="B37161" i="1"/>
  <c r="B37160" i="1"/>
  <c r="B37159" i="1"/>
  <c r="B37158" i="1"/>
  <c r="B37157" i="1"/>
  <c r="B37156" i="1"/>
  <c r="B37155" i="1"/>
  <c r="B37154" i="1"/>
  <c r="B37153" i="1"/>
  <c r="B37152" i="1"/>
  <c r="B37151" i="1"/>
  <c r="B37150" i="1"/>
  <c r="B37149" i="1"/>
  <c r="B37148" i="1"/>
  <c r="B37147" i="1"/>
  <c r="B37146" i="1"/>
  <c r="B37145" i="1"/>
  <c r="B37144" i="1"/>
  <c r="B37143" i="1"/>
  <c r="B37142" i="1"/>
  <c r="B37141" i="1"/>
  <c r="B37140" i="1"/>
  <c r="B37139" i="1"/>
  <c r="B37138" i="1"/>
  <c r="B37137" i="1"/>
  <c r="B37136" i="1"/>
  <c r="B37135" i="1"/>
  <c r="B37134" i="1"/>
  <c r="B37133" i="1"/>
  <c r="B37132" i="1"/>
  <c r="B37131" i="1"/>
  <c r="B37130" i="1"/>
  <c r="B37129" i="1"/>
  <c r="B37128" i="1"/>
  <c r="B37127" i="1"/>
  <c r="B37126" i="1"/>
  <c r="B37125" i="1"/>
  <c r="B37124" i="1"/>
  <c r="B37123" i="1"/>
  <c r="B37122" i="1"/>
  <c r="B37121" i="1"/>
  <c r="B37120" i="1"/>
  <c r="B37119" i="1"/>
  <c r="B37118" i="1"/>
  <c r="B37117" i="1"/>
  <c r="B37116" i="1"/>
  <c r="B37115" i="1"/>
  <c r="B37114" i="1"/>
  <c r="B37113" i="1"/>
  <c r="B37112" i="1"/>
  <c r="B37111" i="1"/>
  <c r="B37110" i="1"/>
  <c r="B37109" i="1"/>
  <c r="B37108" i="1"/>
  <c r="B37107" i="1"/>
  <c r="B37106" i="1"/>
  <c r="B37105" i="1"/>
  <c r="B37104" i="1"/>
  <c r="B37103" i="1"/>
  <c r="B37102" i="1"/>
  <c r="B37101" i="1"/>
  <c r="B37100" i="1"/>
  <c r="B37099" i="1"/>
  <c r="B37098" i="1"/>
  <c r="B37097" i="1"/>
  <c r="B37096" i="1"/>
  <c r="B37095" i="1"/>
  <c r="B37094" i="1"/>
  <c r="B37093" i="1"/>
  <c r="B37092" i="1"/>
  <c r="B37091" i="1"/>
  <c r="B37090" i="1"/>
  <c r="B37089" i="1"/>
  <c r="B37088" i="1"/>
  <c r="B37087" i="1"/>
  <c r="B37086" i="1"/>
  <c r="B37085" i="1"/>
  <c r="B37084" i="1"/>
  <c r="B37083" i="1"/>
  <c r="B37082" i="1"/>
  <c r="B37081" i="1"/>
  <c r="B37080" i="1"/>
  <c r="B37079" i="1"/>
  <c r="B37078" i="1"/>
  <c r="B37077" i="1"/>
  <c r="B37076" i="1"/>
  <c r="B37075" i="1"/>
  <c r="B37074" i="1"/>
  <c r="B37073" i="1"/>
  <c r="B37072" i="1"/>
  <c r="B37071" i="1"/>
  <c r="B37070" i="1"/>
  <c r="B37069" i="1"/>
  <c r="B37068" i="1"/>
  <c r="B37067" i="1"/>
  <c r="B37066" i="1"/>
  <c r="B37065" i="1"/>
  <c r="B37064" i="1"/>
  <c r="B37063" i="1"/>
  <c r="B37062" i="1"/>
  <c r="B37061" i="1"/>
  <c r="B37060" i="1"/>
  <c r="B37059" i="1"/>
  <c r="B37058" i="1"/>
  <c r="B37057" i="1"/>
  <c r="B37056" i="1"/>
  <c r="B37055" i="1"/>
  <c r="B37054" i="1"/>
  <c r="B37053" i="1"/>
  <c r="B37052" i="1"/>
  <c r="B37051" i="1"/>
  <c r="B37050" i="1"/>
  <c r="B37049" i="1"/>
  <c r="B37048" i="1"/>
  <c r="B37047" i="1"/>
  <c r="B37046" i="1"/>
  <c r="B37045" i="1"/>
  <c r="B37044" i="1"/>
  <c r="B37043" i="1"/>
  <c r="B37042" i="1"/>
  <c r="B37041" i="1"/>
  <c r="B37040" i="1"/>
  <c r="B37039" i="1"/>
  <c r="B37038" i="1"/>
  <c r="B37037" i="1"/>
  <c r="B37036" i="1"/>
  <c r="B37035" i="1"/>
  <c r="B37034" i="1"/>
  <c r="B37033" i="1"/>
  <c r="B37032" i="1"/>
  <c r="B37031" i="1"/>
  <c r="B37030" i="1"/>
  <c r="B37029" i="1"/>
  <c r="B37028" i="1"/>
  <c r="B37027" i="1"/>
  <c r="B37026" i="1"/>
  <c r="B37025" i="1"/>
  <c r="B37024" i="1"/>
  <c r="B37023" i="1"/>
  <c r="B37022" i="1"/>
  <c r="B37021" i="1"/>
  <c r="B37020" i="1"/>
  <c r="B37019" i="1"/>
  <c r="B37018" i="1"/>
  <c r="B37017" i="1"/>
  <c r="B37016" i="1"/>
  <c r="B37015" i="1"/>
  <c r="B37014" i="1"/>
  <c r="B37013" i="1"/>
  <c r="B37012" i="1"/>
  <c r="B37011" i="1"/>
  <c r="B37010" i="1"/>
  <c r="B37009" i="1"/>
  <c r="B37008" i="1"/>
  <c r="B37007" i="1"/>
  <c r="B37006" i="1"/>
  <c r="B37005" i="1"/>
  <c r="B37004" i="1"/>
  <c r="B37003" i="1"/>
  <c r="B37002" i="1"/>
  <c r="B37001" i="1"/>
  <c r="B37000" i="1"/>
  <c r="B36999" i="1"/>
  <c r="B36998" i="1"/>
  <c r="B36997" i="1"/>
  <c r="B36996" i="1"/>
  <c r="B36995" i="1"/>
  <c r="B36994" i="1"/>
  <c r="B36993" i="1"/>
  <c r="B36992" i="1"/>
  <c r="B36991" i="1"/>
  <c r="B36990" i="1"/>
  <c r="B36989" i="1"/>
  <c r="B36988" i="1"/>
  <c r="B36987" i="1"/>
  <c r="B36986" i="1"/>
  <c r="B36985" i="1"/>
  <c r="B36984" i="1"/>
  <c r="B36983" i="1"/>
  <c r="B36982" i="1"/>
  <c r="B36981" i="1"/>
  <c r="B36980" i="1"/>
  <c r="B36979" i="1"/>
  <c r="B36978" i="1"/>
  <c r="B36977" i="1"/>
  <c r="B36976" i="1"/>
  <c r="B36975" i="1"/>
  <c r="B36974" i="1"/>
  <c r="B36973" i="1"/>
  <c r="B36972" i="1"/>
  <c r="B36971" i="1"/>
  <c r="B36970" i="1"/>
  <c r="B36969" i="1"/>
  <c r="B36968" i="1"/>
  <c r="B36967" i="1"/>
  <c r="B36966" i="1"/>
  <c r="B36965" i="1"/>
  <c r="B36964" i="1"/>
  <c r="B36963" i="1"/>
  <c r="B36962" i="1"/>
  <c r="B36961" i="1"/>
  <c r="B36960" i="1"/>
  <c r="B36959" i="1"/>
  <c r="B36958" i="1"/>
  <c r="B36957" i="1"/>
  <c r="B36956" i="1"/>
  <c r="B36955" i="1"/>
  <c r="B36954" i="1"/>
  <c r="B36953" i="1"/>
  <c r="B36952" i="1"/>
  <c r="B36951" i="1"/>
  <c r="B36950" i="1"/>
  <c r="B36949" i="1"/>
  <c r="B36948" i="1"/>
  <c r="B36947" i="1"/>
  <c r="B36946" i="1"/>
  <c r="B36945" i="1"/>
  <c r="B36944" i="1"/>
  <c r="B36943" i="1"/>
  <c r="B36942" i="1"/>
  <c r="B36941" i="1"/>
  <c r="B36940" i="1"/>
  <c r="B36939" i="1"/>
  <c r="B36938" i="1"/>
  <c r="B36937" i="1"/>
  <c r="B36936" i="1"/>
  <c r="B36935" i="1"/>
  <c r="B36934" i="1"/>
  <c r="B36933" i="1"/>
  <c r="B36932" i="1"/>
  <c r="B36931" i="1"/>
  <c r="B36930" i="1"/>
  <c r="B36929" i="1"/>
  <c r="B36928" i="1"/>
  <c r="B36927" i="1"/>
  <c r="B36926" i="1"/>
  <c r="B36925" i="1"/>
  <c r="B36924" i="1"/>
  <c r="B36923" i="1"/>
  <c r="B36922" i="1"/>
  <c r="B36921" i="1"/>
  <c r="B36920" i="1"/>
  <c r="B36919" i="1"/>
  <c r="B36918" i="1"/>
  <c r="B36917" i="1"/>
  <c r="B36916" i="1"/>
  <c r="B36915" i="1"/>
  <c r="B36914" i="1"/>
  <c r="B36913" i="1"/>
  <c r="B36912" i="1"/>
  <c r="B36911" i="1"/>
  <c r="B36910" i="1"/>
  <c r="B36909" i="1"/>
  <c r="B36908" i="1"/>
  <c r="B36907" i="1"/>
  <c r="B36906" i="1"/>
  <c r="B36905" i="1"/>
  <c r="B36904" i="1"/>
  <c r="B36903" i="1"/>
  <c r="B36902" i="1"/>
  <c r="B36901" i="1"/>
  <c r="B36900" i="1"/>
  <c r="B36899" i="1"/>
  <c r="B36898" i="1"/>
  <c r="B36897" i="1"/>
  <c r="B36896" i="1"/>
  <c r="B36895" i="1"/>
  <c r="B36894" i="1"/>
  <c r="B36893" i="1"/>
  <c r="B36892" i="1"/>
  <c r="B36891" i="1"/>
  <c r="B36890" i="1"/>
  <c r="B36889" i="1"/>
  <c r="B36888" i="1"/>
  <c r="B36887" i="1"/>
  <c r="B36886" i="1"/>
  <c r="B36885" i="1"/>
  <c r="B36884" i="1"/>
  <c r="B36883" i="1"/>
  <c r="B36882" i="1"/>
  <c r="B36881" i="1"/>
  <c r="B36880" i="1"/>
  <c r="B36879" i="1"/>
  <c r="B36878" i="1"/>
  <c r="B36877" i="1"/>
  <c r="B36876" i="1"/>
  <c r="B36875" i="1"/>
  <c r="B36874" i="1"/>
  <c r="B36873" i="1"/>
  <c r="B36872" i="1"/>
  <c r="B36871" i="1"/>
  <c r="B36870" i="1"/>
  <c r="B36869" i="1"/>
  <c r="B36868" i="1"/>
  <c r="B36867" i="1"/>
  <c r="B36866" i="1"/>
  <c r="B36865" i="1"/>
  <c r="B36864" i="1"/>
  <c r="B36863" i="1"/>
  <c r="B36862" i="1"/>
  <c r="B36861" i="1"/>
  <c r="B36860" i="1"/>
  <c r="B36859" i="1"/>
  <c r="B36858" i="1"/>
  <c r="B36857" i="1"/>
  <c r="B36856" i="1"/>
  <c r="B36855" i="1"/>
  <c r="B36854" i="1"/>
  <c r="B36853" i="1"/>
  <c r="B36852" i="1"/>
  <c r="B36851" i="1"/>
  <c r="B36850" i="1"/>
  <c r="B36849" i="1"/>
  <c r="B36848" i="1"/>
  <c r="B36847" i="1"/>
  <c r="B36846" i="1"/>
  <c r="B36845" i="1"/>
  <c r="B36844" i="1"/>
  <c r="B36843" i="1"/>
  <c r="B36842" i="1"/>
  <c r="B36841" i="1"/>
  <c r="B36840" i="1"/>
  <c r="B36839" i="1"/>
  <c r="B36838" i="1"/>
  <c r="B36837" i="1"/>
  <c r="B36836" i="1"/>
  <c r="B36835" i="1"/>
  <c r="B36834" i="1"/>
  <c r="B36833" i="1"/>
  <c r="B36832" i="1"/>
  <c r="B36831" i="1"/>
  <c r="B36830" i="1"/>
  <c r="B36829" i="1"/>
  <c r="B36828" i="1"/>
  <c r="B36827" i="1"/>
  <c r="B36826" i="1"/>
  <c r="B36825" i="1"/>
  <c r="B36824" i="1"/>
  <c r="B36823" i="1"/>
  <c r="B36822" i="1"/>
  <c r="B36821" i="1"/>
  <c r="B36820" i="1"/>
  <c r="B36819" i="1"/>
  <c r="B36818" i="1"/>
  <c r="B36817" i="1"/>
  <c r="B36816" i="1"/>
  <c r="B36815" i="1"/>
  <c r="B36814" i="1"/>
  <c r="B36813" i="1"/>
  <c r="B36812" i="1"/>
  <c r="B36811" i="1"/>
  <c r="B36810" i="1"/>
  <c r="B36809" i="1"/>
  <c r="B36808" i="1"/>
  <c r="B36807" i="1"/>
  <c r="B36806" i="1"/>
  <c r="B36805" i="1"/>
  <c r="B36804" i="1"/>
  <c r="B36803" i="1"/>
  <c r="B36802" i="1"/>
  <c r="B36801" i="1"/>
  <c r="B36800" i="1"/>
  <c r="B36799" i="1"/>
  <c r="B36798" i="1"/>
  <c r="B36797" i="1"/>
  <c r="B36796" i="1"/>
  <c r="B36795" i="1"/>
  <c r="B36794" i="1"/>
  <c r="B36793" i="1"/>
  <c r="B36792" i="1"/>
  <c r="B36791" i="1"/>
  <c r="B36790" i="1"/>
  <c r="B36789" i="1"/>
  <c r="B36788" i="1"/>
  <c r="B36787" i="1"/>
  <c r="B36786" i="1"/>
  <c r="B36785" i="1"/>
  <c r="B36784" i="1"/>
  <c r="B36783" i="1"/>
  <c r="B36782" i="1"/>
  <c r="B36781" i="1"/>
  <c r="B36780" i="1"/>
  <c r="B36779" i="1"/>
  <c r="B36778" i="1"/>
  <c r="B36777" i="1"/>
  <c r="B36776" i="1"/>
  <c r="B36775" i="1"/>
  <c r="B36774" i="1"/>
  <c r="B36773" i="1"/>
  <c r="B36772" i="1"/>
  <c r="B36771" i="1"/>
  <c r="B36770" i="1"/>
  <c r="B36769" i="1"/>
  <c r="B36768" i="1"/>
  <c r="B36767" i="1"/>
  <c r="B36766" i="1"/>
  <c r="B36765" i="1"/>
  <c r="B36764" i="1"/>
  <c r="B36763" i="1"/>
  <c r="B36762" i="1"/>
  <c r="B36761" i="1"/>
  <c r="B36760" i="1"/>
  <c r="B36759" i="1"/>
  <c r="B36758" i="1"/>
  <c r="B36757" i="1"/>
  <c r="B36756" i="1"/>
  <c r="B36755" i="1"/>
  <c r="B36754" i="1"/>
  <c r="B36753" i="1"/>
  <c r="B36752" i="1"/>
  <c r="B36751" i="1"/>
  <c r="B36750" i="1"/>
  <c r="B36749" i="1"/>
  <c r="B36748" i="1"/>
  <c r="B36747" i="1"/>
  <c r="B36746" i="1"/>
  <c r="B36745" i="1"/>
  <c r="B36744" i="1"/>
  <c r="B36743" i="1"/>
  <c r="B36742" i="1"/>
  <c r="B36741" i="1"/>
  <c r="B36740" i="1"/>
  <c r="B36739" i="1"/>
  <c r="B36738" i="1"/>
  <c r="B36737" i="1"/>
  <c r="B36736" i="1"/>
  <c r="B36735" i="1"/>
  <c r="B36734" i="1"/>
  <c r="B36733" i="1"/>
  <c r="B36732" i="1"/>
  <c r="B36731" i="1"/>
  <c r="B36730" i="1"/>
  <c r="B36729" i="1"/>
  <c r="B36728" i="1"/>
  <c r="B36727" i="1"/>
  <c r="B36726" i="1"/>
  <c r="B36725" i="1"/>
  <c r="B36724" i="1"/>
  <c r="B36723" i="1"/>
  <c r="B36722" i="1"/>
  <c r="B36721" i="1"/>
  <c r="B36720" i="1"/>
  <c r="B36719" i="1"/>
  <c r="B36718" i="1"/>
  <c r="B36717" i="1"/>
  <c r="B36716" i="1"/>
  <c r="B36715" i="1"/>
  <c r="B36714" i="1"/>
  <c r="B36713" i="1"/>
  <c r="B36712" i="1"/>
  <c r="B36711" i="1"/>
  <c r="B36710" i="1"/>
  <c r="B36709" i="1"/>
  <c r="B36708" i="1"/>
  <c r="B36707" i="1"/>
  <c r="B36706" i="1"/>
  <c r="B36705" i="1"/>
  <c r="B36704" i="1"/>
  <c r="B36703" i="1"/>
  <c r="B36702" i="1"/>
  <c r="B36701" i="1"/>
  <c r="B36700" i="1"/>
  <c r="B36699" i="1"/>
  <c r="B36698" i="1"/>
  <c r="B36697" i="1"/>
  <c r="B36696" i="1"/>
  <c r="B36695" i="1"/>
  <c r="B36694" i="1"/>
  <c r="B36693" i="1"/>
  <c r="B36692" i="1"/>
  <c r="B36691" i="1"/>
  <c r="B36690" i="1"/>
  <c r="B36689" i="1"/>
  <c r="B36688" i="1"/>
  <c r="B36687" i="1"/>
  <c r="B36686" i="1"/>
  <c r="B36685" i="1"/>
  <c r="B36684" i="1"/>
  <c r="B36683" i="1"/>
  <c r="B36682" i="1"/>
  <c r="B36681" i="1"/>
  <c r="B36680" i="1"/>
  <c r="B36679" i="1"/>
  <c r="B36678" i="1"/>
  <c r="B36677" i="1"/>
  <c r="B36676" i="1"/>
  <c r="B36675" i="1"/>
  <c r="B36674" i="1"/>
  <c r="B36673" i="1"/>
  <c r="B36672" i="1"/>
  <c r="B36671" i="1"/>
  <c r="B36670" i="1"/>
  <c r="B36669" i="1"/>
  <c r="B36668" i="1"/>
  <c r="B36667" i="1"/>
  <c r="B36666" i="1"/>
  <c r="B36665" i="1"/>
  <c r="B36664" i="1"/>
  <c r="B36663" i="1"/>
  <c r="B36662" i="1"/>
  <c r="B36661" i="1"/>
  <c r="B36660" i="1"/>
  <c r="B36659" i="1"/>
  <c r="B36658" i="1"/>
  <c r="B36657" i="1"/>
  <c r="B36656" i="1"/>
  <c r="B36655" i="1"/>
  <c r="B36654" i="1"/>
  <c r="B36653" i="1"/>
  <c r="B36652" i="1"/>
  <c r="B36651" i="1"/>
  <c r="B36650" i="1"/>
  <c r="B36649" i="1"/>
  <c r="B36648" i="1"/>
  <c r="B36647" i="1"/>
  <c r="B36646" i="1"/>
  <c r="B36645" i="1"/>
  <c r="B36644" i="1"/>
  <c r="B36643" i="1"/>
  <c r="B36642" i="1"/>
  <c r="B36641" i="1"/>
  <c r="B36640" i="1"/>
  <c r="B36639" i="1"/>
  <c r="B36638" i="1"/>
  <c r="B36637" i="1"/>
  <c r="B36636" i="1"/>
  <c r="B36635" i="1"/>
  <c r="B36634" i="1"/>
  <c r="B36633" i="1"/>
  <c r="B36632" i="1"/>
  <c r="B36631" i="1"/>
  <c r="B36630" i="1"/>
  <c r="B36629" i="1"/>
  <c r="B36628" i="1"/>
  <c r="B36627" i="1"/>
  <c r="B36626" i="1"/>
  <c r="B36625" i="1"/>
  <c r="B36624" i="1"/>
  <c r="B36623" i="1"/>
  <c r="B36622" i="1"/>
  <c r="B36621" i="1"/>
  <c r="B36620" i="1"/>
  <c r="B36619" i="1"/>
  <c r="B36618" i="1"/>
  <c r="B36617" i="1"/>
  <c r="B36616" i="1"/>
  <c r="B36615" i="1"/>
  <c r="B36614" i="1"/>
  <c r="B36613" i="1"/>
  <c r="B36612" i="1"/>
  <c r="B36611" i="1"/>
  <c r="B36610" i="1"/>
  <c r="B36609" i="1"/>
  <c r="B36608" i="1"/>
  <c r="B36607" i="1"/>
  <c r="B36606" i="1"/>
  <c r="B36605" i="1"/>
  <c r="B36604" i="1"/>
  <c r="B36603" i="1"/>
  <c r="B36602" i="1"/>
  <c r="B36601" i="1"/>
  <c r="B36600" i="1"/>
  <c r="B36599" i="1"/>
  <c r="B36598" i="1"/>
  <c r="B36597" i="1"/>
  <c r="B36596" i="1"/>
  <c r="B36595" i="1"/>
  <c r="B36594" i="1"/>
  <c r="B36593" i="1"/>
  <c r="B36592" i="1"/>
  <c r="B36591" i="1"/>
  <c r="B36590" i="1"/>
  <c r="B36589" i="1"/>
  <c r="B36588" i="1"/>
  <c r="B36587" i="1"/>
  <c r="B36586" i="1"/>
  <c r="B36585" i="1"/>
  <c r="B36584" i="1"/>
  <c r="B36583" i="1"/>
  <c r="B36582" i="1"/>
  <c r="B36581" i="1"/>
  <c r="B36580" i="1"/>
  <c r="B36579" i="1"/>
  <c r="B36578" i="1"/>
  <c r="B36577" i="1"/>
  <c r="B36576" i="1"/>
  <c r="B36575" i="1"/>
  <c r="B36574" i="1"/>
  <c r="B36573" i="1"/>
  <c r="B36572" i="1"/>
  <c r="B36571" i="1"/>
  <c r="B36570" i="1"/>
  <c r="B36569" i="1"/>
  <c r="B36568" i="1"/>
  <c r="B36567" i="1"/>
  <c r="B36566" i="1"/>
  <c r="B36565" i="1"/>
  <c r="B36564" i="1"/>
  <c r="B36563" i="1"/>
  <c r="B36562" i="1"/>
  <c r="B36561" i="1"/>
  <c r="B36560" i="1"/>
  <c r="B36559" i="1"/>
  <c r="B36558" i="1"/>
  <c r="B36557" i="1"/>
  <c r="B36556" i="1"/>
  <c r="B36555" i="1"/>
  <c r="B36554" i="1"/>
  <c r="B36553" i="1"/>
  <c r="B36552" i="1"/>
  <c r="B36551" i="1"/>
  <c r="B36550" i="1"/>
  <c r="B36549" i="1"/>
  <c r="B36548" i="1"/>
  <c r="B36547" i="1"/>
  <c r="B36546" i="1"/>
  <c r="B36545" i="1"/>
  <c r="B36544" i="1"/>
  <c r="B36543" i="1"/>
  <c r="B36542" i="1"/>
  <c r="B36541" i="1"/>
  <c r="B36540" i="1"/>
  <c r="B36539" i="1"/>
  <c r="B36538" i="1"/>
  <c r="B36537" i="1"/>
  <c r="B36536" i="1"/>
  <c r="B36535" i="1"/>
  <c r="B36534" i="1"/>
  <c r="B36533" i="1"/>
  <c r="B36532" i="1"/>
  <c r="B36531" i="1"/>
  <c r="B36530" i="1"/>
  <c r="B36529" i="1"/>
  <c r="B36528" i="1"/>
  <c r="B36527" i="1"/>
  <c r="B36526" i="1"/>
  <c r="B36525" i="1"/>
  <c r="B36524" i="1"/>
  <c r="B36523" i="1"/>
  <c r="B36522" i="1"/>
  <c r="B36521" i="1"/>
  <c r="B36520" i="1"/>
  <c r="B36519" i="1"/>
  <c r="B36518" i="1"/>
  <c r="B36517" i="1"/>
  <c r="B36516" i="1"/>
  <c r="B36515" i="1"/>
  <c r="B36514" i="1"/>
  <c r="B36513" i="1"/>
  <c r="B36512" i="1"/>
  <c r="B36511" i="1"/>
  <c r="B36510" i="1"/>
  <c r="B36509" i="1"/>
  <c r="B36508" i="1"/>
  <c r="B36507" i="1"/>
  <c r="B36506" i="1"/>
  <c r="B36505" i="1"/>
  <c r="B36504" i="1"/>
  <c r="B36503" i="1"/>
  <c r="B36502" i="1"/>
  <c r="B36501" i="1"/>
  <c r="B36500" i="1"/>
  <c r="B36499" i="1"/>
  <c r="B36498" i="1"/>
  <c r="B36497" i="1"/>
  <c r="B36496" i="1"/>
  <c r="B36495" i="1"/>
  <c r="B36494" i="1"/>
  <c r="B36493" i="1"/>
  <c r="B36492" i="1"/>
  <c r="B36491" i="1"/>
  <c r="B36490" i="1"/>
  <c r="B36489" i="1"/>
  <c r="B36488" i="1"/>
  <c r="B36487" i="1"/>
  <c r="B36486" i="1"/>
  <c r="B36485" i="1"/>
  <c r="B36484" i="1"/>
  <c r="B36483" i="1"/>
  <c r="B36482" i="1"/>
  <c r="B36481" i="1"/>
  <c r="B36480" i="1"/>
  <c r="B36479" i="1"/>
  <c r="B36478" i="1"/>
  <c r="B36477" i="1"/>
  <c r="B36476" i="1"/>
  <c r="B36475" i="1"/>
  <c r="B36474" i="1"/>
  <c r="B36473" i="1"/>
  <c r="B36472" i="1"/>
  <c r="B36471" i="1"/>
  <c r="B36470" i="1"/>
  <c r="B36469" i="1"/>
  <c r="B36468" i="1"/>
  <c r="B36467" i="1"/>
  <c r="B36466" i="1"/>
  <c r="B36465" i="1"/>
  <c r="B36464" i="1"/>
  <c r="B36463" i="1"/>
  <c r="B36462" i="1"/>
  <c r="B36461" i="1"/>
  <c r="B36460" i="1"/>
  <c r="B36459" i="1"/>
  <c r="B36458" i="1"/>
  <c r="B36457" i="1"/>
  <c r="B36456" i="1"/>
  <c r="B36455" i="1"/>
  <c r="B36454" i="1"/>
  <c r="B36453" i="1"/>
  <c r="B36452" i="1"/>
  <c r="B36451" i="1"/>
  <c r="B36450" i="1"/>
  <c r="B36449" i="1"/>
  <c r="B36448" i="1"/>
  <c r="B36447" i="1"/>
  <c r="B36446" i="1"/>
  <c r="B36445" i="1"/>
  <c r="B36444" i="1"/>
  <c r="B36443" i="1"/>
  <c r="B36442" i="1"/>
  <c r="B36441" i="1"/>
  <c r="B36440" i="1"/>
  <c r="B36439" i="1"/>
  <c r="B36438" i="1"/>
  <c r="B36437" i="1"/>
  <c r="B36436" i="1"/>
  <c r="B36435" i="1"/>
  <c r="B36434" i="1"/>
  <c r="B36433" i="1"/>
  <c r="B36432" i="1"/>
  <c r="B36431" i="1"/>
  <c r="B36430" i="1"/>
  <c r="B36429" i="1"/>
  <c r="B36428" i="1"/>
  <c r="B36427" i="1"/>
  <c r="B36426" i="1"/>
  <c r="B36425" i="1"/>
  <c r="B36424" i="1"/>
  <c r="B36423" i="1"/>
  <c r="B36422" i="1"/>
  <c r="B36421" i="1"/>
  <c r="B36420" i="1"/>
  <c r="B36419" i="1"/>
  <c r="B36418" i="1"/>
  <c r="B36417" i="1"/>
  <c r="B36416" i="1"/>
  <c r="B36415" i="1"/>
  <c r="B36414" i="1"/>
  <c r="B36413" i="1"/>
  <c r="B36412" i="1"/>
  <c r="B36411" i="1"/>
  <c r="B36410" i="1"/>
  <c r="B36409" i="1"/>
  <c r="B36408" i="1"/>
  <c r="B36407" i="1"/>
  <c r="B36406" i="1"/>
  <c r="B36405" i="1"/>
  <c r="B36404" i="1"/>
  <c r="B36403" i="1"/>
  <c r="B36402" i="1"/>
  <c r="B36401" i="1"/>
  <c r="B36400" i="1"/>
  <c r="B36399" i="1"/>
  <c r="B36398" i="1"/>
  <c r="B36397" i="1"/>
  <c r="B36396" i="1"/>
  <c r="B36395" i="1"/>
  <c r="B36394" i="1"/>
  <c r="B36393" i="1"/>
  <c r="B36392" i="1"/>
  <c r="B36391" i="1"/>
  <c r="B36390" i="1"/>
  <c r="B36389" i="1"/>
  <c r="B36388" i="1"/>
  <c r="B36387" i="1"/>
  <c r="B36386" i="1"/>
  <c r="B36385" i="1"/>
  <c r="B36384" i="1"/>
  <c r="B36383" i="1"/>
  <c r="B36382" i="1"/>
  <c r="B36381" i="1"/>
  <c r="B36380" i="1"/>
  <c r="B36379" i="1"/>
  <c r="B36378" i="1"/>
  <c r="B36377" i="1"/>
  <c r="B36376" i="1"/>
  <c r="B36375" i="1"/>
  <c r="B36374" i="1"/>
  <c r="B36373" i="1"/>
  <c r="B36372" i="1"/>
  <c r="B36371" i="1"/>
  <c r="B36370" i="1"/>
  <c r="B36369" i="1"/>
  <c r="B36368" i="1"/>
  <c r="B36367" i="1"/>
  <c r="B36366" i="1"/>
  <c r="B36365" i="1"/>
  <c r="B36364" i="1"/>
  <c r="B36363" i="1"/>
  <c r="B36362" i="1"/>
  <c r="B36361" i="1"/>
  <c r="B36360" i="1"/>
  <c r="B36359" i="1"/>
  <c r="B36358" i="1"/>
  <c r="B36357" i="1"/>
  <c r="B36356" i="1"/>
  <c r="B36355" i="1"/>
  <c r="B36354" i="1"/>
  <c r="B36353" i="1"/>
  <c r="B36352" i="1"/>
  <c r="B36351" i="1"/>
  <c r="B36350" i="1"/>
  <c r="B36349" i="1"/>
  <c r="B36348" i="1"/>
  <c r="B36347" i="1"/>
  <c r="B36346" i="1"/>
  <c r="B36345" i="1"/>
  <c r="B36344" i="1"/>
  <c r="B36343" i="1"/>
  <c r="B36342" i="1"/>
  <c r="B36341" i="1"/>
  <c r="B36340" i="1"/>
  <c r="B36339" i="1"/>
  <c r="B36338" i="1"/>
  <c r="B36337" i="1"/>
  <c r="B36336" i="1"/>
  <c r="B36335" i="1"/>
  <c r="B36334" i="1"/>
  <c r="B36333" i="1"/>
  <c r="B36332" i="1"/>
  <c r="B36331" i="1"/>
  <c r="B36330" i="1"/>
  <c r="B36329" i="1"/>
  <c r="B36328" i="1"/>
  <c r="B36327" i="1"/>
  <c r="B36326" i="1"/>
  <c r="B36325" i="1"/>
  <c r="B36324" i="1"/>
  <c r="B36323" i="1"/>
  <c r="B36322" i="1"/>
  <c r="B36321" i="1"/>
  <c r="B36320" i="1"/>
  <c r="B36319" i="1"/>
  <c r="B36318" i="1"/>
  <c r="B36317" i="1"/>
  <c r="B36316" i="1"/>
  <c r="B36315" i="1"/>
  <c r="B36314" i="1"/>
  <c r="B36313" i="1"/>
  <c r="B36312" i="1"/>
  <c r="B36311" i="1"/>
  <c r="B36310" i="1"/>
  <c r="B36309" i="1"/>
  <c r="B36308" i="1"/>
  <c r="B36307" i="1"/>
  <c r="B36306" i="1"/>
  <c r="B36305" i="1"/>
  <c r="B36304" i="1"/>
  <c r="B36303" i="1"/>
  <c r="B36302" i="1"/>
  <c r="B36301" i="1"/>
  <c r="B36300" i="1"/>
  <c r="B36299" i="1"/>
  <c r="B36298" i="1"/>
  <c r="B36297" i="1"/>
  <c r="B36296" i="1"/>
  <c r="B36295" i="1"/>
  <c r="B36294" i="1"/>
  <c r="B36293" i="1"/>
  <c r="B36292" i="1"/>
  <c r="B36291" i="1"/>
  <c r="B36290" i="1"/>
  <c r="B36289" i="1"/>
  <c r="B36288" i="1"/>
  <c r="B36287" i="1"/>
  <c r="B36286" i="1"/>
  <c r="B36285" i="1"/>
  <c r="B36284" i="1"/>
  <c r="B36283" i="1"/>
  <c r="B36282" i="1"/>
  <c r="B36281" i="1"/>
  <c r="B36280" i="1"/>
  <c r="B36279" i="1"/>
  <c r="B36278" i="1"/>
  <c r="B36277" i="1"/>
  <c r="B36276" i="1"/>
  <c r="B36275" i="1"/>
  <c r="B36274" i="1"/>
  <c r="B36273" i="1"/>
  <c r="B36272" i="1"/>
  <c r="B36271" i="1"/>
  <c r="B36270" i="1"/>
  <c r="B36269" i="1"/>
  <c r="B36268" i="1"/>
  <c r="B36267" i="1"/>
  <c r="B36266" i="1"/>
  <c r="B36265" i="1"/>
  <c r="B36264" i="1"/>
  <c r="B36263" i="1"/>
  <c r="B36262" i="1"/>
  <c r="B36261" i="1"/>
  <c r="B36260" i="1"/>
  <c r="B36259" i="1"/>
  <c r="B36258" i="1"/>
  <c r="B36257" i="1"/>
  <c r="B36256" i="1"/>
  <c r="B36255" i="1"/>
  <c r="B36254" i="1"/>
  <c r="B36253" i="1"/>
  <c r="B36252" i="1"/>
  <c r="B36251" i="1"/>
  <c r="B36250" i="1"/>
  <c r="B36249" i="1"/>
  <c r="B36248" i="1"/>
  <c r="B36247" i="1"/>
  <c r="B36246" i="1"/>
  <c r="B36245" i="1"/>
  <c r="B36244" i="1"/>
  <c r="B36243" i="1"/>
  <c r="B36242" i="1"/>
  <c r="B36241" i="1"/>
  <c r="B36240" i="1"/>
  <c r="B36239" i="1"/>
  <c r="B36238" i="1"/>
  <c r="B36237" i="1"/>
  <c r="B36236" i="1"/>
  <c r="B36235" i="1"/>
  <c r="B36234" i="1"/>
  <c r="B36233" i="1"/>
  <c r="B36232" i="1"/>
  <c r="B36231" i="1"/>
  <c r="B36230" i="1"/>
  <c r="B36229" i="1"/>
  <c r="B36228" i="1"/>
  <c r="B36227" i="1"/>
  <c r="B36226" i="1"/>
  <c r="B36225" i="1"/>
  <c r="B36224" i="1"/>
  <c r="B36223" i="1"/>
  <c r="B36222" i="1"/>
  <c r="B36221" i="1"/>
  <c r="B36220" i="1"/>
  <c r="B36219" i="1"/>
  <c r="B36218" i="1"/>
  <c r="B36217" i="1"/>
  <c r="B36216" i="1"/>
  <c r="B36215" i="1"/>
  <c r="B36214" i="1"/>
  <c r="B36213" i="1"/>
  <c r="B36212" i="1"/>
  <c r="B36211" i="1"/>
  <c r="B36210" i="1"/>
  <c r="B36209" i="1"/>
  <c r="B36208" i="1"/>
  <c r="B36207" i="1"/>
  <c r="B36206" i="1"/>
  <c r="B36205" i="1"/>
  <c r="B36204" i="1"/>
  <c r="B36203" i="1"/>
  <c r="B36202" i="1"/>
  <c r="B36201" i="1"/>
  <c r="B36200" i="1"/>
  <c r="B36199" i="1"/>
  <c r="B36198" i="1"/>
  <c r="B36197" i="1"/>
  <c r="B36196" i="1"/>
  <c r="B36195" i="1"/>
  <c r="B36194" i="1"/>
  <c r="B36193" i="1"/>
  <c r="B36192" i="1"/>
  <c r="B36191" i="1"/>
  <c r="B36190" i="1"/>
  <c r="B36189" i="1"/>
  <c r="B36188" i="1"/>
  <c r="B36187" i="1"/>
  <c r="B36186" i="1"/>
  <c r="B36185" i="1"/>
  <c r="B36184" i="1"/>
  <c r="B36183" i="1"/>
  <c r="B36182" i="1"/>
  <c r="B36181" i="1"/>
  <c r="B36180" i="1"/>
  <c r="B36179" i="1"/>
  <c r="B36178" i="1"/>
  <c r="B36177" i="1"/>
  <c r="B36176" i="1"/>
  <c r="B36175" i="1"/>
  <c r="B36174" i="1"/>
  <c r="B36173" i="1"/>
  <c r="B36172" i="1"/>
  <c r="B36171" i="1"/>
  <c r="B36170" i="1"/>
  <c r="B36169" i="1"/>
  <c r="B36168" i="1"/>
  <c r="B36167" i="1"/>
  <c r="B36166" i="1"/>
  <c r="B36165" i="1"/>
  <c r="B36164" i="1"/>
  <c r="B36163" i="1"/>
  <c r="B36162" i="1"/>
  <c r="B36161" i="1"/>
  <c r="B36160" i="1"/>
  <c r="B36159" i="1"/>
  <c r="B36158" i="1"/>
  <c r="B36157" i="1"/>
  <c r="B36156" i="1"/>
  <c r="B36155" i="1"/>
  <c r="B36154" i="1"/>
  <c r="B36153" i="1"/>
  <c r="B36152" i="1"/>
  <c r="B36151" i="1"/>
  <c r="B36150" i="1"/>
  <c r="B36149" i="1"/>
  <c r="B36148" i="1"/>
  <c r="B36147" i="1"/>
  <c r="B36146" i="1"/>
  <c r="B36145" i="1"/>
  <c r="B36144" i="1"/>
  <c r="B36143" i="1"/>
  <c r="B36142" i="1"/>
  <c r="B36141" i="1"/>
  <c r="B36140" i="1"/>
  <c r="B36139" i="1"/>
  <c r="B36138" i="1"/>
  <c r="B36137" i="1"/>
  <c r="B36136" i="1"/>
  <c r="B36135" i="1"/>
  <c r="B36134" i="1"/>
  <c r="B36133" i="1"/>
  <c r="B36132" i="1"/>
  <c r="B36131" i="1"/>
  <c r="B36130" i="1"/>
  <c r="B36129" i="1"/>
  <c r="B36128" i="1"/>
  <c r="B36127" i="1"/>
  <c r="B36126" i="1"/>
  <c r="B36125" i="1"/>
  <c r="B36124" i="1"/>
  <c r="B36123" i="1"/>
  <c r="B36122" i="1"/>
  <c r="B36121" i="1"/>
  <c r="B36120" i="1"/>
  <c r="B36119" i="1"/>
  <c r="B36118" i="1"/>
  <c r="B36117" i="1"/>
  <c r="B36116" i="1"/>
  <c r="B36115" i="1"/>
  <c r="B36114" i="1"/>
  <c r="B36113" i="1"/>
  <c r="B36112" i="1"/>
  <c r="B36111" i="1"/>
  <c r="B36110" i="1"/>
  <c r="B36109" i="1"/>
  <c r="B36108" i="1"/>
  <c r="B36107" i="1"/>
  <c r="B36106" i="1"/>
  <c r="B36105" i="1"/>
  <c r="B36104" i="1"/>
  <c r="B36103" i="1"/>
  <c r="B36102" i="1"/>
  <c r="B36101" i="1"/>
  <c r="B36100" i="1"/>
  <c r="B36099" i="1"/>
  <c r="B36098" i="1"/>
  <c r="B36097" i="1"/>
  <c r="B36096" i="1"/>
  <c r="B36095" i="1"/>
  <c r="B36094" i="1"/>
  <c r="B36093" i="1"/>
  <c r="B36092" i="1"/>
  <c r="B36091" i="1"/>
  <c r="B36090" i="1"/>
  <c r="B36089" i="1"/>
  <c r="B36088" i="1"/>
  <c r="B36087" i="1"/>
  <c r="B36086" i="1"/>
  <c r="B36085" i="1"/>
  <c r="B36084" i="1"/>
  <c r="B36083" i="1"/>
  <c r="B36082" i="1"/>
  <c r="B36081" i="1"/>
  <c r="B36080" i="1"/>
  <c r="B36079" i="1"/>
  <c r="B36078" i="1"/>
  <c r="B36077" i="1"/>
  <c r="B36076" i="1"/>
  <c r="B36075" i="1"/>
  <c r="B36074" i="1"/>
  <c r="B36073" i="1"/>
  <c r="B36072" i="1"/>
  <c r="B36071" i="1"/>
  <c r="B36070" i="1"/>
  <c r="B36069" i="1"/>
  <c r="B36068" i="1"/>
  <c r="B36067" i="1"/>
  <c r="B36066" i="1"/>
  <c r="B36065" i="1"/>
  <c r="B36064" i="1"/>
  <c r="B36063" i="1"/>
  <c r="B36062" i="1"/>
  <c r="B36061" i="1"/>
  <c r="B36060" i="1"/>
  <c r="B36059" i="1"/>
  <c r="B36058" i="1"/>
  <c r="B36057" i="1"/>
  <c r="B36056" i="1"/>
  <c r="B36055" i="1"/>
  <c r="B36054" i="1"/>
  <c r="B36053" i="1"/>
  <c r="B36052" i="1"/>
  <c r="B36051" i="1"/>
  <c r="B36050" i="1"/>
  <c r="B36049" i="1"/>
  <c r="B36048" i="1"/>
  <c r="B36047" i="1"/>
  <c r="B36046" i="1"/>
  <c r="B36045" i="1"/>
  <c r="B36044" i="1"/>
  <c r="B36043" i="1"/>
  <c r="B36042" i="1"/>
  <c r="B36041" i="1"/>
  <c r="B36040" i="1"/>
  <c r="B36039" i="1"/>
  <c r="B36038" i="1"/>
  <c r="B36037" i="1"/>
  <c r="B36036" i="1"/>
  <c r="B36035" i="1"/>
  <c r="B36034" i="1"/>
  <c r="B36033" i="1"/>
  <c r="B36032" i="1"/>
  <c r="B36031" i="1"/>
  <c r="B36030" i="1"/>
  <c r="B36029" i="1"/>
  <c r="B36028" i="1"/>
  <c r="B36027" i="1"/>
  <c r="B36026" i="1"/>
  <c r="B36025" i="1"/>
  <c r="B36024" i="1"/>
  <c r="B36023" i="1"/>
  <c r="B36022" i="1"/>
  <c r="B36021" i="1"/>
  <c r="B36020" i="1"/>
  <c r="B36019" i="1"/>
  <c r="B36018" i="1"/>
  <c r="B36017" i="1"/>
  <c r="B36016" i="1"/>
  <c r="B36015" i="1"/>
  <c r="B36014" i="1"/>
  <c r="B36013" i="1"/>
  <c r="B36012" i="1"/>
  <c r="B36011" i="1"/>
  <c r="B36010" i="1"/>
  <c r="B36009" i="1"/>
  <c r="B36008" i="1"/>
  <c r="B36007" i="1"/>
  <c r="B36006" i="1"/>
  <c r="B36005" i="1"/>
  <c r="B36004" i="1"/>
  <c r="B36003" i="1"/>
  <c r="B36002" i="1"/>
  <c r="B36001" i="1"/>
  <c r="B36000" i="1"/>
  <c r="B35999" i="1"/>
  <c r="B35998" i="1"/>
  <c r="B35997" i="1"/>
  <c r="B35996" i="1"/>
  <c r="B35995" i="1"/>
  <c r="B35994" i="1"/>
  <c r="B35993" i="1"/>
  <c r="B35992" i="1"/>
  <c r="B35991" i="1"/>
  <c r="B35990" i="1"/>
  <c r="B35989" i="1"/>
  <c r="B35988" i="1"/>
  <c r="B35987" i="1"/>
  <c r="B35986" i="1"/>
  <c r="B35985" i="1"/>
  <c r="B35984" i="1"/>
  <c r="B35983" i="1"/>
  <c r="B35982" i="1"/>
  <c r="B35981" i="1"/>
  <c r="B35980" i="1"/>
  <c r="B35979" i="1"/>
  <c r="B35978" i="1"/>
  <c r="B35977" i="1"/>
  <c r="B35976" i="1"/>
  <c r="B35975" i="1"/>
  <c r="B35974" i="1"/>
  <c r="B35973" i="1"/>
  <c r="B35972" i="1"/>
  <c r="B35971" i="1"/>
  <c r="B35970" i="1"/>
  <c r="B35969" i="1"/>
  <c r="B35968" i="1"/>
  <c r="B35967" i="1"/>
  <c r="B35966" i="1"/>
  <c r="B35965" i="1"/>
  <c r="B35964" i="1"/>
  <c r="B35963" i="1"/>
  <c r="B35962" i="1"/>
  <c r="B35961" i="1"/>
  <c r="B35960" i="1"/>
  <c r="B35959" i="1"/>
  <c r="B35958" i="1"/>
  <c r="B35957" i="1"/>
  <c r="B35956" i="1"/>
  <c r="B35955" i="1"/>
  <c r="B35954" i="1"/>
  <c r="B35953" i="1"/>
  <c r="B35952" i="1"/>
  <c r="B35951" i="1"/>
  <c r="B35950" i="1"/>
  <c r="B35949" i="1"/>
  <c r="B35948" i="1"/>
  <c r="B35947" i="1"/>
  <c r="B35946" i="1"/>
  <c r="B35945" i="1"/>
  <c r="B35944" i="1"/>
  <c r="B35943" i="1"/>
  <c r="B35942" i="1"/>
  <c r="B35941" i="1"/>
  <c r="B35940" i="1"/>
  <c r="B35939" i="1"/>
  <c r="B35938" i="1"/>
  <c r="B35937" i="1"/>
  <c r="B35936" i="1"/>
  <c r="B35935" i="1"/>
  <c r="B35934" i="1"/>
  <c r="B35933" i="1"/>
  <c r="B35932" i="1"/>
  <c r="B35931" i="1"/>
  <c r="B35930" i="1"/>
  <c r="B35929" i="1"/>
  <c r="B35928" i="1"/>
  <c r="B35927" i="1"/>
  <c r="B35926" i="1"/>
  <c r="B35925" i="1"/>
  <c r="B35924" i="1"/>
  <c r="B35923" i="1"/>
  <c r="B35922" i="1"/>
  <c r="B35921" i="1"/>
  <c r="B35920" i="1"/>
  <c r="B35919" i="1"/>
  <c r="B35918" i="1"/>
  <c r="B35917" i="1"/>
  <c r="B35916" i="1"/>
  <c r="B35915" i="1"/>
  <c r="B35914" i="1"/>
  <c r="B35913" i="1"/>
  <c r="B35912" i="1"/>
  <c r="B35911" i="1"/>
  <c r="B35910" i="1"/>
  <c r="B35909" i="1"/>
  <c r="B35908" i="1"/>
  <c r="B35907" i="1"/>
  <c r="B35906" i="1"/>
  <c r="B35905" i="1"/>
  <c r="B35904" i="1"/>
  <c r="B35903" i="1"/>
  <c r="B35902" i="1"/>
  <c r="B35901" i="1"/>
  <c r="B35900" i="1"/>
  <c r="B35899" i="1"/>
  <c r="B35898" i="1"/>
  <c r="B35897" i="1"/>
  <c r="B35896" i="1"/>
  <c r="B35895" i="1"/>
  <c r="B35894" i="1"/>
  <c r="B35893" i="1"/>
  <c r="B35892" i="1"/>
  <c r="B35891" i="1"/>
  <c r="B35890" i="1"/>
  <c r="B35889" i="1"/>
  <c r="B35888" i="1"/>
  <c r="B35887" i="1"/>
  <c r="B35886" i="1"/>
  <c r="B35885" i="1"/>
  <c r="B35884" i="1"/>
  <c r="B35883" i="1"/>
  <c r="B35882" i="1"/>
  <c r="B35881" i="1"/>
  <c r="B35880" i="1"/>
  <c r="B35879" i="1"/>
  <c r="B35878" i="1"/>
  <c r="B35877" i="1"/>
  <c r="B35876" i="1"/>
  <c r="B35875" i="1"/>
  <c r="B35874" i="1"/>
  <c r="B35873" i="1"/>
  <c r="B35872" i="1"/>
  <c r="B35871" i="1"/>
  <c r="B35870" i="1"/>
  <c r="B35869" i="1"/>
  <c r="B35868" i="1"/>
  <c r="B35867" i="1"/>
  <c r="B35866" i="1"/>
  <c r="B35865" i="1"/>
  <c r="B35864" i="1"/>
  <c r="B35863" i="1"/>
  <c r="B35862" i="1"/>
  <c r="B35861" i="1"/>
  <c r="B35860" i="1"/>
  <c r="B35859" i="1"/>
  <c r="B35858" i="1"/>
  <c r="B35857" i="1"/>
  <c r="B35856" i="1"/>
  <c r="B35855" i="1"/>
  <c r="B35854" i="1"/>
  <c r="B35853" i="1"/>
  <c r="B35852" i="1"/>
  <c r="B35851" i="1"/>
  <c r="B35850" i="1"/>
  <c r="B35849" i="1"/>
  <c r="B35848" i="1"/>
  <c r="B35847" i="1"/>
  <c r="B35846" i="1"/>
  <c r="B35845" i="1"/>
  <c r="B35844" i="1"/>
  <c r="B35843" i="1"/>
  <c r="B35842" i="1"/>
  <c r="B35841" i="1"/>
  <c r="B35840" i="1"/>
  <c r="B35839" i="1"/>
  <c r="B35838" i="1"/>
  <c r="B35837" i="1"/>
  <c r="B35836" i="1"/>
  <c r="B35835" i="1"/>
  <c r="B35834" i="1"/>
  <c r="B35833" i="1"/>
  <c r="B35832" i="1"/>
  <c r="B35831" i="1"/>
  <c r="B35830" i="1"/>
  <c r="B35829" i="1"/>
  <c r="B35828" i="1"/>
  <c r="B35827" i="1"/>
  <c r="B35826" i="1"/>
  <c r="B35825" i="1"/>
  <c r="B35824" i="1"/>
  <c r="B35823" i="1"/>
  <c r="B35822" i="1"/>
  <c r="B35821" i="1"/>
  <c r="B35820" i="1"/>
  <c r="B35819" i="1"/>
  <c r="B35818" i="1"/>
  <c r="B35817" i="1"/>
  <c r="B35816" i="1"/>
  <c r="B35815" i="1"/>
  <c r="B35814" i="1"/>
  <c r="B35813" i="1"/>
  <c r="B35812" i="1"/>
  <c r="B35811" i="1"/>
  <c r="B35810" i="1"/>
  <c r="B35809" i="1"/>
  <c r="B35808" i="1"/>
  <c r="B35807" i="1"/>
  <c r="B35806" i="1"/>
  <c r="B35805" i="1"/>
  <c r="B35804" i="1"/>
  <c r="B35803" i="1"/>
  <c r="B35802" i="1"/>
  <c r="B35801" i="1"/>
  <c r="B35800" i="1"/>
  <c r="B35799" i="1"/>
  <c r="B35798" i="1"/>
  <c r="B35797" i="1"/>
  <c r="B35796" i="1"/>
  <c r="B35795" i="1"/>
  <c r="B35794" i="1"/>
  <c r="B35793" i="1"/>
  <c r="B35792" i="1"/>
  <c r="B35791" i="1"/>
  <c r="B35790" i="1"/>
  <c r="B35789" i="1"/>
  <c r="B35788" i="1"/>
  <c r="B35787" i="1"/>
  <c r="B35786" i="1"/>
  <c r="B35785" i="1"/>
  <c r="B35784" i="1"/>
  <c r="B35783" i="1"/>
  <c r="B35782" i="1"/>
  <c r="B35781" i="1"/>
  <c r="B35780" i="1"/>
  <c r="B35779" i="1"/>
  <c r="B35778" i="1"/>
  <c r="B35777" i="1"/>
  <c r="B35776" i="1"/>
  <c r="B35775" i="1"/>
  <c r="B35774" i="1"/>
  <c r="B35773" i="1"/>
  <c r="B35772" i="1"/>
  <c r="B35771" i="1"/>
  <c r="B35770" i="1"/>
  <c r="B35769" i="1"/>
  <c r="B35768" i="1"/>
  <c r="B35767" i="1"/>
  <c r="B35766" i="1"/>
  <c r="B35765" i="1"/>
  <c r="B35764" i="1"/>
  <c r="B35763" i="1"/>
  <c r="B35762" i="1"/>
  <c r="B35761" i="1"/>
  <c r="B35760" i="1"/>
  <c r="B35759" i="1"/>
  <c r="B35758" i="1"/>
  <c r="B35757" i="1"/>
  <c r="B35756" i="1"/>
  <c r="B35755" i="1"/>
  <c r="B35754" i="1"/>
  <c r="B35753" i="1"/>
  <c r="B35752" i="1"/>
  <c r="B35751" i="1"/>
  <c r="B35750" i="1"/>
  <c r="B35749" i="1"/>
  <c r="B35748" i="1"/>
  <c r="B35747" i="1"/>
  <c r="B35746" i="1"/>
  <c r="B35745" i="1"/>
  <c r="B35744" i="1"/>
  <c r="B35743" i="1"/>
  <c r="B35742" i="1"/>
  <c r="B35741" i="1"/>
  <c r="B35740" i="1"/>
  <c r="B35739" i="1"/>
  <c r="B35738" i="1"/>
  <c r="B35737" i="1"/>
  <c r="B35736" i="1"/>
  <c r="B35735" i="1"/>
  <c r="B35734" i="1"/>
  <c r="B35733" i="1"/>
  <c r="B35732" i="1"/>
  <c r="B35731" i="1"/>
  <c r="B35730" i="1"/>
  <c r="B35729" i="1"/>
  <c r="B35728" i="1"/>
  <c r="B35727" i="1"/>
  <c r="B35726" i="1"/>
  <c r="B35725" i="1"/>
  <c r="B35724" i="1"/>
  <c r="B35723" i="1"/>
  <c r="B35722" i="1"/>
  <c r="B35721" i="1"/>
  <c r="B35720" i="1"/>
  <c r="B35719" i="1"/>
  <c r="B35718" i="1"/>
  <c r="B35717" i="1"/>
  <c r="B35716" i="1"/>
  <c r="B35715" i="1"/>
  <c r="B35714" i="1"/>
  <c r="B35713" i="1"/>
  <c r="B35712" i="1"/>
  <c r="B35711" i="1"/>
  <c r="B35710" i="1"/>
  <c r="B35709" i="1"/>
  <c r="B35708" i="1"/>
  <c r="B35707" i="1"/>
  <c r="B35706" i="1"/>
  <c r="B35705" i="1"/>
  <c r="B35704" i="1"/>
  <c r="B35703" i="1"/>
  <c r="B35702" i="1"/>
  <c r="B35701" i="1"/>
  <c r="B35700" i="1"/>
  <c r="B35699" i="1"/>
  <c r="B35698" i="1"/>
  <c r="B35697" i="1"/>
  <c r="B35696" i="1"/>
  <c r="B35695" i="1"/>
  <c r="B35694" i="1"/>
  <c r="B35693" i="1"/>
  <c r="B35692" i="1"/>
  <c r="B35691" i="1"/>
  <c r="B35690" i="1"/>
  <c r="B35689" i="1"/>
  <c r="B35688" i="1"/>
  <c r="B35687" i="1"/>
  <c r="B35686" i="1"/>
  <c r="B35685" i="1"/>
  <c r="B35684" i="1"/>
  <c r="B35683" i="1"/>
  <c r="B35682" i="1"/>
  <c r="B35681" i="1"/>
  <c r="B35680" i="1"/>
  <c r="B35679" i="1"/>
  <c r="B35678" i="1"/>
  <c r="B35677" i="1"/>
  <c r="B35676" i="1"/>
  <c r="B35675" i="1"/>
  <c r="B35674" i="1"/>
  <c r="B35673" i="1"/>
  <c r="B35672" i="1"/>
  <c r="B35671" i="1"/>
  <c r="B35670" i="1"/>
  <c r="B35669" i="1"/>
  <c r="B35668" i="1"/>
  <c r="B35667" i="1"/>
  <c r="B35666" i="1"/>
  <c r="B35665" i="1"/>
  <c r="B35664" i="1"/>
  <c r="B35663" i="1"/>
  <c r="B35662" i="1"/>
  <c r="B35661" i="1"/>
  <c r="B35660" i="1"/>
  <c r="B35659" i="1"/>
  <c r="B35658" i="1"/>
  <c r="B35657" i="1"/>
  <c r="B35656" i="1"/>
  <c r="B35655" i="1"/>
  <c r="B35654" i="1"/>
  <c r="B35653" i="1"/>
  <c r="B35652" i="1"/>
  <c r="B35651" i="1"/>
  <c r="B35650" i="1"/>
  <c r="B35649" i="1"/>
  <c r="B35648" i="1"/>
  <c r="B35647" i="1"/>
  <c r="B35646" i="1"/>
  <c r="B35645" i="1"/>
  <c r="B35644" i="1"/>
  <c r="B35643" i="1"/>
  <c r="B35642" i="1"/>
  <c r="B35641" i="1"/>
  <c r="B35640" i="1"/>
  <c r="B35639" i="1"/>
  <c r="B35638" i="1"/>
  <c r="B35637" i="1"/>
  <c r="B35636" i="1"/>
  <c r="B35635" i="1"/>
  <c r="B35634" i="1"/>
  <c r="B35633" i="1"/>
  <c r="B35632" i="1"/>
  <c r="B35631" i="1"/>
  <c r="B35630" i="1"/>
  <c r="B35629" i="1"/>
  <c r="B35628" i="1"/>
  <c r="B35627" i="1"/>
  <c r="B35626" i="1"/>
  <c r="B35625" i="1"/>
  <c r="B35624" i="1"/>
  <c r="B35623" i="1"/>
  <c r="B35622" i="1"/>
  <c r="B35621" i="1"/>
  <c r="B35620" i="1"/>
  <c r="B35619" i="1"/>
  <c r="B35618" i="1"/>
  <c r="B35617" i="1"/>
  <c r="B35616" i="1"/>
  <c r="B35615" i="1"/>
  <c r="B35614" i="1"/>
  <c r="B35613" i="1"/>
  <c r="B35612" i="1"/>
  <c r="B35611" i="1"/>
  <c r="B35610" i="1"/>
  <c r="B35609" i="1"/>
  <c r="B35608" i="1"/>
  <c r="B35607" i="1"/>
  <c r="B35606" i="1"/>
  <c r="B35605" i="1"/>
  <c r="B35604" i="1"/>
  <c r="B35603" i="1"/>
  <c r="B35602" i="1"/>
  <c r="B35601" i="1"/>
  <c r="B35600" i="1"/>
  <c r="B35599" i="1"/>
  <c r="B35598" i="1"/>
  <c r="B35597" i="1"/>
  <c r="B35596" i="1"/>
  <c r="B35595" i="1"/>
  <c r="B35594" i="1"/>
  <c r="B35593" i="1"/>
  <c r="B35592" i="1"/>
  <c r="B35591" i="1"/>
  <c r="B35590" i="1"/>
  <c r="B35589" i="1"/>
  <c r="B35588" i="1"/>
  <c r="B35587" i="1"/>
  <c r="B35586" i="1"/>
  <c r="B35585" i="1"/>
  <c r="B35584" i="1"/>
  <c r="B35583" i="1"/>
  <c r="B35582" i="1"/>
  <c r="B35581" i="1"/>
  <c r="B35580" i="1"/>
  <c r="B35579" i="1"/>
  <c r="B35578" i="1"/>
  <c r="B35577" i="1"/>
  <c r="B35576" i="1"/>
  <c r="B35575" i="1"/>
  <c r="B35574" i="1"/>
  <c r="B35573" i="1"/>
  <c r="B35572" i="1"/>
  <c r="B35571" i="1"/>
  <c r="B35570" i="1"/>
  <c r="B35569" i="1"/>
  <c r="B35568" i="1"/>
  <c r="B35567" i="1"/>
  <c r="B35566" i="1"/>
  <c r="B35565" i="1"/>
  <c r="B35564" i="1"/>
  <c r="B35563" i="1"/>
  <c r="B35562" i="1"/>
  <c r="B35561" i="1"/>
  <c r="B35560" i="1"/>
  <c r="B35559" i="1"/>
  <c r="B35558" i="1"/>
  <c r="B35557" i="1"/>
  <c r="B35556" i="1"/>
  <c r="B35555" i="1"/>
  <c r="B35554" i="1"/>
  <c r="B35553" i="1"/>
  <c r="B35552" i="1"/>
  <c r="B35551" i="1"/>
  <c r="B35550" i="1"/>
  <c r="B35549" i="1"/>
  <c r="B35548" i="1"/>
  <c r="B35547" i="1"/>
  <c r="B35546" i="1"/>
  <c r="B35545" i="1"/>
  <c r="B35544" i="1"/>
  <c r="B35543" i="1"/>
  <c r="B35542" i="1"/>
  <c r="B35541" i="1"/>
  <c r="B35540" i="1"/>
  <c r="B35539" i="1"/>
  <c r="B35538" i="1"/>
  <c r="B35537" i="1"/>
  <c r="B35536" i="1"/>
  <c r="B35535" i="1"/>
  <c r="B35534" i="1"/>
  <c r="B35533" i="1"/>
  <c r="B35532" i="1"/>
  <c r="B35531" i="1"/>
  <c r="B35530" i="1"/>
  <c r="B35529" i="1"/>
  <c r="B35528" i="1"/>
  <c r="B35527" i="1"/>
  <c r="B35526" i="1"/>
  <c r="B35525" i="1"/>
  <c r="B35524" i="1"/>
  <c r="B35523" i="1"/>
  <c r="B35522" i="1"/>
  <c r="B35521" i="1"/>
  <c r="B35520" i="1"/>
  <c r="B35519" i="1"/>
  <c r="B35518" i="1"/>
  <c r="B35517" i="1"/>
  <c r="B35516" i="1"/>
  <c r="B35515" i="1"/>
  <c r="B35514" i="1"/>
  <c r="B35513" i="1"/>
  <c r="B35512" i="1"/>
  <c r="B35511" i="1"/>
  <c r="B35510" i="1"/>
  <c r="B35509" i="1"/>
  <c r="B35508" i="1"/>
  <c r="B35507" i="1"/>
  <c r="B35506" i="1"/>
  <c r="B35505" i="1"/>
  <c r="B35504" i="1"/>
  <c r="B35503" i="1"/>
  <c r="B35502" i="1"/>
  <c r="B35501" i="1"/>
  <c r="B35500" i="1"/>
  <c r="B35499" i="1"/>
  <c r="B35498" i="1"/>
  <c r="B35497" i="1"/>
  <c r="B35496" i="1"/>
  <c r="B35495" i="1"/>
  <c r="B35494" i="1"/>
  <c r="B35493" i="1"/>
  <c r="B35492" i="1"/>
  <c r="B35491" i="1"/>
  <c r="B35490" i="1"/>
  <c r="B35489" i="1"/>
  <c r="B35488" i="1"/>
  <c r="B35487" i="1"/>
  <c r="B35486" i="1"/>
  <c r="B35485" i="1"/>
  <c r="B35484" i="1"/>
  <c r="B35483" i="1"/>
  <c r="B35482" i="1"/>
  <c r="B35481" i="1"/>
  <c r="B35480" i="1"/>
  <c r="B35479" i="1"/>
  <c r="B35478" i="1"/>
  <c r="B35477" i="1"/>
  <c r="B35476" i="1"/>
  <c r="B35475" i="1"/>
  <c r="B35474" i="1"/>
  <c r="B35473" i="1"/>
  <c r="B35472" i="1"/>
  <c r="B35471" i="1"/>
  <c r="B35470" i="1"/>
  <c r="B35469" i="1"/>
  <c r="B35468" i="1"/>
  <c r="B35467" i="1"/>
  <c r="B35466" i="1"/>
  <c r="B35465" i="1"/>
  <c r="B35464" i="1"/>
  <c r="B35463" i="1"/>
  <c r="B35462" i="1"/>
  <c r="B35461" i="1"/>
  <c r="B35460" i="1"/>
  <c r="B35459" i="1"/>
  <c r="B35458" i="1"/>
  <c r="B35457" i="1"/>
  <c r="B35456" i="1"/>
  <c r="B35455" i="1"/>
  <c r="B35454" i="1"/>
  <c r="B35453" i="1"/>
  <c r="B35452" i="1"/>
  <c r="B35451" i="1"/>
  <c r="B35450" i="1"/>
  <c r="B35449" i="1"/>
  <c r="B35448" i="1"/>
  <c r="B35447" i="1"/>
  <c r="B35446" i="1"/>
  <c r="B35445" i="1"/>
  <c r="B35444" i="1"/>
  <c r="B35443" i="1"/>
  <c r="B35442" i="1"/>
  <c r="B35441" i="1"/>
  <c r="B35440" i="1"/>
  <c r="B35439" i="1"/>
  <c r="B35438" i="1"/>
  <c r="B35437" i="1"/>
  <c r="B35436" i="1"/>
  <c r="B35435" i="1"/>
  <c r="B35434" i="1"/>
  <c r="B35433" i="1"/>
  <c r="B35432" i="1"/>
  <c r="B35431" i="1"/>
  <c r="B35430" i="1"/>
  <c r="B35429" i="1"/>
  <c r="B35428" i="1"/>
  <c r="B35427" i="1"/>
  <c r="B35426" i="1"/>
  <c r="B35425" i="1"/>
  <c r="B35424" i="1"/>
  <c r="B35423" i="1"/>
  <c r="B35422" i="1"/>
  <c r="B35421" i="1"/>
  <c r="B35420" i="1"/>
  <c r="B35419" i="1"/>
  <c r="B35418" i="1"/>
  <c r="B35417" i="1"/>
  <c r="B35416" i="1"/>
  <c r="B35415" i="1"/>
  <c r="B35414" i="1"/>
  <c r="B35413" i="1"/>
  <c r="B35412" i="1"/>
  <c r="B35411" i="1"/>
  <c r="B35410" i="1"/>
  <c r="B35409" i="1"/>
  <c r="B35408" i="1"/>
  <c r="B35407" i="1"/>
  <c r="B35406" i="1"/>
  <c r="B35405" i="1"/>
  <c r="B35404" i="1"/>
  <c r="B35403" i="1"/>
  <c r="B35402" i="1"/>
  <c r="B35401" i="1"/>
  <c r="B35400" i="1"/>
  <c r="B35399" i="1"/>
  <c r="B35398" i="1"/>
  <c r="B35397" i="1"/>
  <c r="B35396" i="1"/>
  <c r="B35395" i="1"/>
  <c r="B35394" i="1"/>
  <c r="B35393" i="1"/>
  <c r="B35392" i="1"/>
  <c r="B35391" i="1"/>
  <c r="B35390" i="1"/>
  <c r="B35389" i="1"/>
  <c r="B35388" i="1"/>
  <c r="B35387" i="1"/>
  <c r="B35386" i="1"/>
  <c r="B35385" i="1"/>
  <c r="B35384" i="1"/>
  <c r="B35383" i="1"/>
  <c r="B35382" i="1"/>
  <c r="B35381" i="1"/>
  <c r="B35380" i="1"/>
  <c r="B35379" i="1"/>
  <c r="B35378" i="1"/>
  <c r="B35377" i="1"/>
  <c r="B35376" i="1"/>
  <c r="B35375" i="1"/>
  <c r="B35374" i="1"/>
  <c r="B35373" i="1"/>
  <c r="B35372" i="1"/>
  <c r="B35371" i="1"/>
  <c r="B35370" i="1"/>
  <c r="B35369" i="1"/>
  <c r="B35368" i="1"/>
  <c r="B35367" i="1"/>
  <c r="B35366" i="1"/>
  <c r="B35365" i="1"/>
  <c r="B35364" i="1"/>
  <c r="B35363" i="1"/>
  <c r="B35362" i="1"/>
  <c r="B35361" i="1"/>
  <c r="B35360" i="1"/>
  <c r="B35359" i="1"/>
  <c r="B35358" i="1"/>
  <c r="B35357" i="1"/>
  <c r="B35356" i="1"/>
  <c r="B35355" i="1"/>
  <c r="B35354" i="1"/>
  <c r="B35353" i="1"/>
  <c r="B35352" i="1"/>
  <c r="B35351" i="1"/>
  <c r="B35350" i="1"/>
  <c r="B35349" i="1"/>
  <c r="B35348" i="1"/>
  <c r="B35347" i="1"/>
  <c r="B35346" i="1"/>
  <c r="B35345" i="1"/>
  <c r="B35344" i="1"/>
  <c r="B35343" i="1"/>
  <c r="B35342" i="1"/>
  <c r="B35341" i="1"/>
  <c r="B35340" i="1"/>
  <c r="B35339" i="1"/>
  <c r="B35338" i="1"/>
  <c r="B35337" i="1"/>
  <c r="B35336" i="1"/>
  <c r="B35335" i="1"/>
  <c r="B35334" i="1"/>
  <c r="B35333" i="1"/>
  <c r="B35332" i="1"/>
  <c r="B35331" i="1"/>
  <c r="B35330" i="1"/>
  <c r="B35329" i="1"/>
  <c r="B35328" i="1"/>
  <c r="B35327" i="1"/>
  <c r="B35326" i="1"/>
  <c r="B35325" i="1"/>
  <c r="B35324" i="1"/>
  <c r="B35323" i="1"/>
  <c r="B35322" i="1"/>
  <c r="B35321" i="1"/>
  <c r="B35320" i="1"/>
  <c r="B35319" i="1"/>
  <c r="B35318" i="1"/>
  <c r="B35317" i="1"/>
  <c r="B35316" i="1"/>
  <c r="B35315" i="1"/>
  <c r="B35314" i="1"/>
  <c r="B35313" i="1"/>
  <c r="B35312" i="1"/>
  <c r="B35311" i="1"/>
  <c r="B35310" i="1"/>
  <c r="B35309" i="1"/>
  <c r="B35308" i="1"/>
  <c r="B35307" i="1"/>
  <c r="B35306" i="1"/>
  <c r="B35305" i="1"/>
  <c r="B35304" i="1"/>
  <c r="B35303" i="1"/>
  <c r="B35302" i="1"/>
  <c r="B35301" i="1"/>
  <c r="B35300" i="1"/>
  <c r="B35299" i="1"/>
  <c r="B35298" i="1"/>
  <c r="B35297" i="1"/>
  <c r="B35296" i="1"/>
  <c r="B35295" i="1"/>
  <c r="B35294" i="1"/>
  <c r="B35293" i="1"/>
  <c r="B35292" i="1"/>
  <c r="B35291" i="1"/>
  <c r="B35290" i="1"/>
  <c r="B35289" i="1"/>
  <c r="B35288" i="1"/>
  <c r="B35287" i="1"/>
  <c r="B35286" i="1"/>
  <c r="B35285" i="1"/>
  <c r="B35284" i="1"/>
  <c r="B35283" i="1"/>
  <c r="B35282" i="1"/>
  <c r="B35281" i="1"/>
  <c r="B35280" i="1"/>
  <c r="B35279" i="1"/>
  <c r="B35278" i="1"/>
  <c r="B35277" i="1"/>
  <c r="B35276" i="1"/>
  <c r="B35275" i="1"/>
  <c r="B35274" i="1"/>
  <c r="B35273" i="1"/>
  <c r="B35272" i="1"/>
  <c r="B35271" i="1"/>
  <c r="B35270" i="1"/>
  <c r="B35269" i="1"/>
  <c r="B35268" i="1"/>
  <c r="B35267" i="1"/>
  <c r="B35266" i="1"/>
  <c r="B35265" i="1"/>
  <c r="B35264" i="1"/>
  <c r="B35263" i="1"/>
  <c r="B35262" i="1"/>
  <c r="B35261" i="1"/>
  <c r="B35260" i="1"/>
  <c r="B35259" i="1"/>
  <c r="B35258" i="1"/>
  <c r="B35257" i="1"/>
  <c r="B35256" i="1"/>
  <c r="B35255" i="1"/>
  <c r="B35254" i="1"/>
  <c r="B35253" i="1"/>
  <c r="B35252" i="1"/>
  <c r="B35251" i="1"/>
  <c r="B35250" i="1"/>
  <c r="B35249" i="1"/>
  <c r="B35248" i="1"/>
  <c r="B35247" i="1"/>
  <c r="B35246" i="1"/>
  <c r="B35245" i="1"/>
  <c r="B35244" i="1"/>
  <c r="B35243" i="1"/>
  <c r="B35242" i="1"/>
  <c r="B35241" i="1"/>
  <c r="B35240" i="1"/>
  <c r="B35239" i="1"/>
  <c r="B35238" i="1"/>
  <c r="B35237" i="1"/>
  <c r="B35236" i="1"/>
  <c r="B35235" i="1"/>
  <c r="B35234" i="1"/>
  <c r="B35233" i="1"/>
  <c r="B35232" i="1"/>
  <c r="B35231" i="1"/>
  <c r="B35230" i="1"/>
  <c r="B35229" i="1"/>
  <c r="B35228" i="1"/>
  <c r="B35227" i="1"/>
  <c r="B35226" i="1"/>
  <c r="B35225" i="1"/>
  <c r="B35224" i="1"/>
  <c r="B35223" i="1"/>
  <c r="B35222" i="1"/>
  <c r="B35221" i="1"/>
  <c r="B35220" i="1"/>
  <c r="B35219" i="1"/>
  <c r="B35218" i="1"/>
  <c r="B35217" i="1"/>
  <c r="B35216" i="1"/>
  <c r="B35215" i="1"/>
  <c r="B35214" i="1"/>
  <c r="B35213" i="1"/>
  <c r="B35212" i="1"/>
  <c r="B35211" i="1"/>
  <c r="B35210" i="1"/>
  <c r="B35209" i="1"/>
  <c r="B35208" i="1"/>
  <c r="B35207" i="1"/>
  <c r="B35206" i="1"/>
  <c r="B35205" i="1"/>
  <c r="B35204" i="1"/>
  <c r="B35203" i="1"/>
  <c r="B35202" i="1"/>
  <c r="B35201" i="1"/>
  <c r="B35200" i="1"/>
  <c r="B35199" i="1"/>
  <c r="B35198" i="1"/>
  <c r="B35197" i="1"/>
  <c r="B35196" i="1"/>
  <c r="B35195" i="1"/>
  <c r="B35194" i="1"/>
  <c r="B35193" i="1"/>
  <c r="B35192" i="1"/>
  <c r="B35191" i="1"/>
  <c r="B35190" i="1"/>
  <c r="B35189" i="1"/>
  <c r="B35188" i="1"/>
  <c r="B35187" i="1"/>
  <c r="B35186" i="1"/>
  <c r="B35185" i="1"/>
  <c r="B35184" i="1"/>
  <c r="B35183" i="1"/>
  <c r="B35182" i="1"/>
  <c r="B35181" i="1"/>
  <c r="B35180" i="1"/>
  <c r="B35179" i="1"/>
  <c r="B35178" i="1"/>
  <c r="B35177" i="1"/>
  <c r="B35176" i="1"/>
  <c r="B35175" i="1"/>
  <c r="B35174" i="1"/>
  <c r="B35173" i="1"/>
  <c r="B35172" i="1"/>
  <c r="B35171" i="1"/>
  <c r="B35170" i="1"/>
  <c r="B35169" i="1"/>
  <c r="B35168" i="1"/>
  <c r="B35167" i="1"/>
  <c r="B35166" i="1"/>
  <c r="B35165" i="1"/>
  <c r="B35164" i="1"/>
  <c r="B35163" i="1"/>
  <c r="B35162" i="1"/>
  <c r="B35161" i="1"/>
  <c r="B35160" i="1"/>
  <c r="B35159" i="1"/>
  <c r="B35158" i="1"/>
  <c r="B35157" i="1"/>
  <c r="B35156" i="1"/>
  <c r="B35155" i="1"/>
  <c r="B35154" i="1"/>
  <c r="B35153" i="1"/>
  <c r="B35152" i="1"/>
  <c r="B35151" i="1"/>
  <c r="B35150" i="1"/>
  <c r="B35149" i="1"/>
  <c r="B35148" i="1"/>
  <c r="B35147" i="1"/>
  <c r="B35146" i="1"/>
  <c r="B35145" i="1"/>
  <c r="B35144" i="1"/>
  <c r="B35143" i="1"/>
  <c r="B35142" i="1"/>
  <c r="B35141" i="1"/>
  <c r="B35140" i="1"/>
  <c r="B35139" i="1"/>
  <c r="B35138" i="1"/>
  <c r="B35137" i="1"/>
  <c r="B35136" i="1"/>
  <c r="B35135" i="1"/>
  <c r="B35134" i="1"/>
  <c r="B35133" i="1"/>
  <c r="B35132" i="1"/>
  <c r="B35131" i="1"/>
  <c r="B35130" i="1"/>
  <c r="B35129" i="1"/>
  <c r="B35128" i="1"/>
  <c r="B35127" i="1"/>
  <c r="B35126" i="1"/>
  <c r="B35125" i="1"/>
  <c r="B35124" i="1"/>
  <c r="B35123" i="1"/>
  <c r="B35122" i="1"/>
  <c r="B35121" i="1"/>
  <c r="B35120" i="1"/>
  <c r="B35119" i="1"/>
  <c r="B35118" i="1"/>
  <c r="B35117" i="1"/>
  <c r="B35116" i="1"/>
  <c r="B35115" i="1"/>
  <c r="B35114" i="1"/>
  <c r="B35113" i="1"/>
  <c r="B35112" i="1"/>
  <c r="B35111" i="1"/>
  <c r="B35110" i="1"/>
  <c r="B35109" i="1"/>
  <c r="B35108" i="1"/>
  <c r="B35107" i="1"/>
  <c r="B35106" i="1"/>
  <c r="B35105" i="1"/>
  <c r="B35104" i="1"/>
  <c r="B35103" i="1"/>
  <c r="B35102" i="1"/>
  <c r="B35101" i="1"/>
  <c r="B35100" i="1"/>
  <c r="B35099" i="1"/>
  <c r="B35098" i="1"/>
  <c r="B35097" i="1"/>
  <c r="B35096" i="1"/>
  <c r="B35095" i="1"/>
  <c r="B35094" i="1"/>
  <c r="B35093" i="1"/>
  <c r="B35092" i="1"/>
  <c r="B35091" i="1"/>
  <c r="B35090" i="1"/>
  <c r="B35089" i="1"/>
  <c r="B35088" i="1"/>
  <c r="B35087" i="1"/>
  <c r="B35086" i="1"/>
  <c r="B35085" i="1"/>
  <c r="B35084" i="1"/>
  <c r="B35083" i="1"/>
  <c r="B35082" i="1"/>
  <c r="B35081" i="1"/>
  <c r="B35080" i="1"/>
  <c r="B35079" i="1"/>
  <c r="B35078" i="1"/>
  <c r="B35077" i="1"/>
  <c r="B35076" i="1"/>
  <c r="B35075" i="1"/>
  <c r="B35074" i="1"/>
  <c r="B35073" i="1"/>
  <c r="B35072" i="1"/>
  <c r="B35071" i="1"/>
  <c r="B35070" i="1"/>
  <c r="B35069" i="1"/>
  <c r="B35068" i="1"/>
  <c r="B35067" i="1"/>
  <c r="B35066" i="1"/>
  <c r="B35065" i="1"/>
  <c r="B35064" i="1"/>
  <c r="B35063" i="1"/>
  <c r="B35062" i="1"/>
  <c r="B35061" i="1"/>
  <c r="B35060" i="1"/>
  <c r="B35059" i="1"/>
  <c r="B35058" i="1"/>
  <c r="B35057" i="1"/>
  <c r="B35056" i="1"/>
  <c r="B35055" i="1"/>
  <c r="B35054" i="1"/>
  <c r="B35053" i="1"/>
  <c r="B35052" i="1"/>
  <c r="B35051" i="1"/>
  <c r="B35050" i="1"/>
  <c r="B35049" i="1"/>
  <c r="B35048" i="1"/>
  <c r="B35047" i="1"/>
  <c r="B35046" i="1"/>
  <c r="B35045" i="1"/>
  <c r="B35044" i="1"/>
  <c r="B35043" i="1"/>
  <c r="B35042" i="1"/>
  <c r="B35041" i="1"/>
  <c r="B35040" i="1"/>
  <c r="B35039" i="1"/>
  <c r="B35038" i="1"/>
  <c r="B35037" i="1"/>
  <c r="B35036" i="1"/>
  <c r="B35035" i="1"/>
  <c r="B35034" i="1"/>
  <c r="B35033" i="1"/>
  <c r="B35032" i="1"/>
  <c r="B35031" i="1"/>
  <c r="B35030" i="1"/>
  <c r="B35029" i="1"/>
  <c r="B35028" i="1"/>
  <c r="B35027" i="1"/>
  <c r="B35026" i="1"/>
  <c r="B35025" i="1"/>
  <c r="B35024" i="1"/>
  <c r="B35023" i="1"/>
  <c r="B35022" i="1"/>
  <c r="B35021" i="1"/>
  <c r="B35020" i="1"/>
  <c r="B35019" i="1"/>
  <c r="B35018" i="1"/>
  <c r="B35017" i="1"/>
  <c r="B35016" i="1"/>
  <c r="B35015" i="1"/>
  <c r="B35014" i="1"/>
  <c r="B35013" i="1"/>
  <c r="B35012" i="1"/>
  <c r="B35011" i="1"/>
  <c r="B35010" i="1"/>
  <c r="B35009" i="1"/>
  <c r="B35008" i="1"/>
  <c r="B35007" i="1"/>
  <c r="B35006" i="1"/>
  <c r="B35005" i="1"/>
  <c r="B35004" i="1"/>
  <c r="B35003" i="1"/>
  <c r="B35002" i="1"/>
  <c r="B35001" i="1"/>
  <c r="B35000" i="1"/>
  <c r="B34999" i="1"/>
  <c r="B34998" i="1"/>
  <c r="B34997" i="1"/>
  <c r="B34996" i="1"/>
  <c r="B34995" i="1"/>
  <c r="B34994" i="1"/>
  <c r="B34993" i="1"/>
  <c r="B34992" i="1"/>
  <c r="B34991" i="1"/>
  <c r="B34990" i="1"/>
  <c r="B34989" i="1"/>
  <c r="B34988" i="1"/>
  <c r="B34987" i="1"/>
  <c r="B34986" i="1"/>
  <c r="B34985" i="1"/>
  <c r="B34984" i="1"/>
  <c r="B34983" i="1"/>
  <c r="B34982" i="1"/>
  <c r="B34981" i="1"/>
  <c r="B34980" i="1"/>
  <c r="B34979" i="1"/>
  <c r="B34978" i="1"/>
  <c r="B34977" i="1"/>
  <c r="B34976" i="1"/>
  <c r="B34975" i="1"/>
  <c r="B34974" i="1"/>
  <c r="B34973" i="1"/>
  <c r="B34972" i="1"/>
  <c r="B34971" i="1"/>
  <c r="B34970" i="1"/>
  <c r="B34969" i="1"/>
  <c r="B34968" i="1"/>
  <c r="B34967" i="1"/>
  <c r="B34966" i="1"/>
  <c r="B34965" i="1"/>
  <c r="B34964" i="1"/>
  <c r="B34963" i="1"/>
  <c r="B34962" i="1"/>
  <c r="B34961" i="1"/>
  <c r="B34960" i="1"/>
  <c r="B34959" i="1"/>
  <c r="B34958" i="1"/>
  <c r="B34957" i="1"/>
  <c r="B34956" i="1"/>
  <c r="B34955" i="1"/>
  <c r="B34954" i="1"/>
  <c r="B34953" i="1"/>
  <c r="B34952" i="1"/>
  <c r="B34951" i="1"/>
  <c r="B34950" i="1"/>
  <c r="B34949" i="1"/>
  <c r="B34948" i="1"/>
  <c r="B34947" i="1"/>
  <c r="B34946" i="1"/>
  <c r="B34945" i="1"/>
  <c r="B34944" i="1"/>
  <c r="B34943" i="1"/>
  <c r="B34942" i="1"/>
  <c r="B34941" i="1"/>
  <c r="B34940" i="1"/>
  <c r="B34939" i="1"/>
  <c r="B34938" i="1"/>
  <c r="B34937" i="1"/>
  <c r="B34936" i="1"/>
  <c r="B34935" i="1"/>
  <c r="B34934" i="1"/>
  <c r="B34933" i="1"/>
  <c r="B34932" i="1"/>
  <c r="B34931" i="1"/>
  <c r="B34930" i="1"/>
  <c r="B34929" i="1"/>
  <c r="B34928" i="1"/>
  <c r="B34927" i="1"/>
  <c r="B34926" i="1"/>
  <c r="B34925" i="1"/>
  <c r="B34924" i="1"/>
  <c r="B34923" i="1"/>
  <c r="B34922" i="1"/>
  <c r="B34921" i="1"/>
  <c r="B34920" i="1"/>
  <c r="B34919" i="1"/>
  <c r="B34918" i="1"/>
  <c r="B34917" i="1"/>
  <c r="B34916" i="1"/>
  <c r="B34915" i="1"/>
  <c r="B34914" i="1"/>
  <c r="B34913" i="1"/>
  <c r="B34912" i="1"/>
  <c r="B34911" i="1"/>
  <c r="B34910" i="1"/>
  <c r="B34909" i="1"/>
  <c r="B34908" i="1"/>
  <c r="B34907" i="1"/>
  <c r="B34906" i="1"/>
  <c r="B34905" i="1"/>
  <c r="B34904" i="1"/>
  <c r="B34903" i="1"/>
  <c r="B34902" i="1"/>
  <c r="B34901" i="1"/>
  <c r="B34900" i="1"/>
  <c r="B34899" i="1"/>
  <c r="B34898" i="1"/>
  <c r="B34897" i="1"/>
  <c r="B34896" i="1"/>
  <c r="B34895" i="1"/>
  <c r="B34894" i="1"/>
  <c r="B34893" i="1"/>
  <c r="B34892" i="1"/>
  <c r="B34891" i="1"/>
  <c r="B34890" i="1"/>
  <c r="B34889" i="1"/>
  <c r="B34888" i="1"/>
  <c r="B34887" i="1"/>
  <c r="B34886" i="1"/>
  <c r="B34885" i="1"/>
  <c r="B34884" i="1"/>
  <c r="B34883" i="1"/>
  <c r="B34882" i="1"/>
  <c r="B34881" i="1"/>
  <c r="B34880" i="1"/>
  <c r="B34879" i="1"/>
  <c r="B34878" i="1"/>
  <c r="B34877" i="1"/>
  <c r="B34876" i="1"/>
  <c r="B34875" i="1"/>
  <c r="B34874" i="1"/>
  <c r="B34873" i="1"/>
  <c r="B34872" i="1"/>
  <c r="B34871" i="1"/>
  <c r="B34870" i="1"/>
  <c r="B34869" i="1"/>
  <c r="B34868" i="1"/>
  <c r="B34867" i="1"/>
  <c r="B34866" i="1"/>
  <c r="B34865" i="1"/>
  <c r="B34864" i="1"/>
  <c r="B34863" i="1"/>
  <c r="B34862" i="1"/>
  <c r="B34861" i="1"/>
  <c r="B34860" i="1"/>
  <c r="B34859" i="1"/>
  <c r="B34858" i="1"/>
  <c r="B34857" i="1"/>
  <c r="B34856" i="1"/>
  <c r="B34855" i="1"/>
  <c r="B34854" i="1"/>
  <c r="B34853" i="1"/>
  <c r="B34852" i="1"/>
  <c r="B34851" i="1"/>
  <c r="B34850" i="1"/>
  <c r="B34849" i="1"/>
  <c r="B34848" i="1"/>
  <c r="B34847" i="1"/>
  <c r="B34846" i="1"/>
  <c r="B34845" i="1"/>
  <c r="B34844" i="1"/>
  <c r="B34843" i="1"/>
  <c r="B34842" i="1"/>
  <c r="B34841" i="1"/>
  <c r="B34840" i="1"/>
  <c r="B34839" i="1"/>
  <c r="B34838" i="1"/>
  <c r="B34837" i="1"/>
  <c r="B34836" i="1"/>
  <c r="B34835" i="1"/>
  <c r="B34834" i="1"/>
  <c r="B34833" i="1"/>
  <c r="B34832" i="1"/>
  <c r="B34831" i="1"/>
  <c r="B34830" i="1"/>
  <c r="B34829" i="1"/>
  <c r="B34828" i="1"/>
  <c r="B34827" i="1"/>
  <c r="B34826" i="1"/>
  <c r="B34825" i="1"/>
  <c r="B34824" i="1"/>
  <c r="B34823" i="1"/>
  <c r="B34822" i="1"/>
  <c r="B34821" i="1"/>
  <c r="B34820" i="1"/>
  <c r="B34819" i="1"/>
  <c r="B34818" i="1"/>
  <c r="B34817" i="1"/>
  <c r="B34816" i="1"/>
  <c r="B34815" i="1"/>
  <c r="B34814" i="1"/>
  <c r="B34813" i="1"/>
  <c r="B34812" i="1"/>
  <c r="B34811" i="1"/>
  <c r="B34810" i="1"/>
  <c r="B34809" i="1"/>
  <c r="B34808" i="1"/>
  <c r="B34807" i="1"/>
  <c r="B34806" i="1"/>
  <c r="B34805" i="1"/>
  <c r="B34804" i="1"/>
  <c r="B34803" i="1"/>
  <c r="B34802" i="1"/>
  <c r="B34801" i="1"/>
  <c r="B34800" i="1"/>
  <c r="B34799" i="1"/>
  <c r="B34798" i="1"/>
  <c r="B34797" i="1"/>
  <c r="B34796" i="1"/>
  <c r="B34795" i="1"/>
  <c r="B34794" i="1"/>
  <c r="B34793" i="1"/>
  <c r="B34792" i="1"/>
  <c r="B34791" i="1"/>
  <c r="B34790" i="1"/>
  <c r="B34789" i="1"/>
  <c r="B34788" i="1"/>
  <c r="B34787" i="1"/>
  <c r="B34786" i="1"/>
  <c r="B34785" i="1"/>
  <c r="B34784" i="1"/>
  <c r="B34783" i="1"/>
  <c r="B34782" i="1"/>
  <c r="B34781" i="1"/>
  <c r="B34780" i="1"/>
  <c r="B34779" i="1"/>
  <c r="B34778" i="1"/>
  <c r="B34777" i="1"/>
  <c r="B34776" i="1"/>
  <c r="B34775" i="1"/>
  <c r="B34774" i="1"/>
  <c r="B34773" i="1"/>
  <c r="B34772" i="1"/>
  <c r="B34771" i="1"/>
  <c r="B34770" i="1"/>
  <c r="B34769" i="1"/>
  <c r="B34768" i="1"/>
  <c r="B34767" i="1"/>
  <c r="B34766" i="1"/>
  <c r="B34765" i="1"/>
  <c r="B34764" i="1"/>
  <c r="B34763" i="1"/>
  <c r="B34762" i="1"/>
  <c r="B34761" i="1"/>
  <c r="B34760" i="1"/>
  <c r="B34759" i="1"/>
  <c r="B34758" i="1"/>
  <c r="B34757" i="1"/>
  <c r="B34756" i="1"/>
  <c r="B34755" i="1"/>
  <c r="B34754" i="1"/>
  <c r="B34753" i="1"/>
  <c r="B34752" i="1"/>
  <c r="B34751" i="1"/>
  <c r="B34750" i="1"/>
  <c r="B34749" i="1"/>
  <c r="B34748" i="1"/>
  <c r="B34747" i="1"/>
  <c r="B34746" i="1"/>
  <c r="B34745" i="1"/>
  <c r="B34744" i="1"/>
  <c r="B34743" i="1"/>
  <c r="B34742" i="1"/>
  <c r="B34741" i="1"/>
  <c r="B34740" i="1"/>
  <c r="B34739" i="1"/>
  <c r="B34738" i="1"/>
  <c r="B34737" i="1"/>
  <c r="B34736" i="1"/>
  <c r="B34735" i="1"/>
  <c r="B34734" i="1"/>
  <c r="B34733" i="1"/>
  <c r="B34732" i="1"/>
  <c r="B34731" i="1"/>
  <c r="B34730" i="1"/>
  <c r="B34729" i="1"/>
  <c r="B34728" i="1"/>
  <c r="B34727" i="1"/>
  <c r="B34726" i="1"/>
  <c r="B34725" i="1"/>
  <c r="B34724" i="1"/>
  <c r="B34723" i="1"/>
  <c r="B34722" i="1"/>
  <c r="B34721" i="1"/>
  <c r="B34720" i="1"/>
  <c r="B34719" i="1"/>
  <c r="B34718" i="1"/>
  <c r="B34717" i="1"/>
  <c r="B34716" i="1"/>
  <c r="B34715" i="1"/>
  <c r="B34714" i="1"/>
  <c r="B34713" i="1"/>
  <c r="B34712" i="1"/>
  <c r="B34711" i="1"/>
  <c r="B34710" i="1"/>
  <c r="B34709" i="1"/>
  <c r="B34708" i="1"/>
  <c r="B34707" i="1"/>
  <c r="B34706" i="1"/>
  <c r="B34705" i="1"/>
  <c r="B34704" i="1"/>
  <c r="B34703" i="1"/>
  <c r="B34702" i="1"/>
  <c r="B34701" i="1"/>
  <c r="B34700" i="1"/>
  <c r="B34699" i="1"/>
  <c r="B34698" i="1"/>
  <c r="B34697" i="1"/>
  <c r="B34696" i="1"/>
  <c r="B34695" i="1"/>
  <c r="B34694" i="1"/>
  <c r="B34693" i="1"/>
  <c r="B34692" i="1"/>
  <c r="B34691" i="1"/>
  <c r="B34690" i="1"/>
  <c r="B34689" i="1"/>
  <c r="B34688" i="1"/>
  <c r="B34687" i="1"/>
  <c r="B34686" i="1"/>
  <c r="B34685" i="1"/>
  <c r="B34684" i="1"/>
  <c r="B34683" i="1"/>
  <c r="B34682" i="1"/>
  <c r="B34681" i="1"/>
  <c r="B34680" i="1"/>
  <c r="B34679" i="1"/>
  <c r="B34678" i="1"/>
  <c r="B34677" i="1"/>
  <c r="B34676" i="1"/>
  <c r="B34675" i="1"/>
  <c r="B34674" i="1"/>
  <c r="B34673" i="1"/>
  <c r="B34672" i="1"/>
  <c r="B34671" i="1"/>
  <c r="B34670" i="1"/>
  <c r="B34669" i="1"/>
  <c r="B34668" i="1"/>
  <c r="B34667" i="1"/>
  <c r="B34666" i="1"/>
  <c r="B34665" i="1"/>
  <c r="B34664" i="1"/>
  <c r="B34663" i="1"/>
  <c r="B34662" i="1"/>
  <c r="B34661" i="1"/>
  <c r="B34660" i="1"/>
  <c r="B34659" i="1"/>
  <c r="B34658" i="1"/>
  <c r="B34657" i="1"/>
  <c r="B34656" i="1"/>
  <c r="B34655" i="1"/>
  <c r="B34654" i="1"/>
  <c r="B34653" i="1"/>
  <c r="B34652" i="1"/>
  <c r="B34651" i="1"/>
  <c r="B34650" i="1"/>
  <c r="B34649" i="1"/>
  <c r="B34648" i="1"/>
  <c r="B34647" i="1"/>
  <c r="B34646" i="1"/>
  <c r="B34645" i="1"/>
  <c r="B34644" i="1"/>
  <c r="B34643" i="1"/>
  <c r="B34642" i="1"/>
  <c r="B34641" i="1"/>
  <c r="B34640" i="1"/>
  <c r="B34639" i="1"/>
  <c r="B34638" i="1"/>
  <c r="B34637" i="1"/>
  <c r="B34636" i="1"/>
  <c r="B34635" i="1"/>
  <c r="B34634" i="1"/>
  <c r="B34633" i="1"/>
  <c r="B34632" i="1"/>
  <c r="B34631" i="1"/>
  <c r="B34630" i="1"/>
  <c r="B34629" i="1"/>
  <c r="B34628" i="1"/>
  <c r="B34627" i="1"/>
  <c r="B34626" i="1"/>
  <c r="B34625" i="1"/>
  <c r="B34624" i="1"/>
  <c r="B34623" i="1"/>
  <c r="B34622" i="1"/>
  <c r="B34621" i="1"/>
  <c r="B34620" i="1"/>
  <c r="B34619" i="1"/>
  <c r="B34618" i="1"/>
  <c r="B34617" i="1"/>
  <c r="B34616" i="1"/>
  <c r="B34615" i="1"/>
  <c r="B34614" i="1"/>
  <c r="B34613" i="1"/>
  <c r="B34612" i="1"/>
  <c r="B34611" i="1"/>
  <c r="B34610" i="1"/>
  <c r="B34609" i="1"/>
  <c r="B34608" i="1"/>
  <c r="B34607" i="1"/>
  <c r="B34606" i="1"/>
  <c r="B34605" i="1"/>
  <c r="B34604" i="1"/>
  <c r="B34603" i="1"/>
  <c r="B34602" i="1"/>
  <c r="B34601" i="1"/>
  <c r="B34600" i="1"/>
  <c r="B34599" i="1"/>
  <c r="B34598" i="1"/>
  <c r="B34597" i="1"/>
  <c r="B34596" i="1"/>
  <c r="B34595" i="1"/>
  <c r="B34594" i="1"/>
  <c r="B34593" i="1"/>
  <c r="B34592" i="1"/>
  <c r="B34591" i="1"/>
  <c r="B34590" i="1"/>
  <c r="B34589" i="1"/>
  <c r="B34588" i="1"/>
  <c r="B34587" i="1"/>
  <c r="B34586" i="1"/>
  <c r="B34585" i="1"/>
  <c r="B34584" i="1"/>
  <c r="B34583" i="1"/>
  <c r="B34582" i="1"/>
  <c r="B34581" i="1"/>
  <c r="B34580" i="1"/>
  <c r="B34579" i="1"/>
  <c r="B34578" i="1"/>
  <c r="B34577" i="1"/>
  <c r="B34576" i="1"/>
  <c r="B34575" i="1"/>
  <c r="B34574" i="1"/>
  <c r="B34573" i="1"/>
  <c r="B34572" i="1"/>
  <c r="B34571" i="1"/>
  <c r="B34570" i="1"/>
  <c r="B34569" i="1"/>
  <c r="B34568" i="1"/>
  <c r="B34567" i="1"/>
  <c r="B34566" i="1"/>
  <c r="B34565" i="1"/>
  <c r="B34564" i="1"/>
  <c r="B34563" i="1"/>
  <c r="B34562" i="1"/>
  <c r="B34561" i="1"/>
  <c r="B34560" i="1"/>
  <c r="B34559" i="1"/>
  <c r="B34558" i="1"/>
  <c r="B34557" i="1"/>
  <c r="B34556" i="1"/>
  <c r="B34555" i="1"/>
  <c r="B34554" i="1"/>
  <c r="B34553" i="1"/>
  <c r="B34552" i="1"/>
  <c r="B34551" i="1"/>
  <c r="B34550" i="1"/>
  <c r="B34549" i="1"/>
  <c r="B34548" i="1"/>
  <c r="B34547" i="1"/>
  <c r="B34546" i="1"/>
  <c r="B34545" i="1"/>
  <c r="B34544" i="1"/>
  <c r="B34543" i="1"/>
  <c r="B34542" i="1"/>
  <c r="B34541" i="1"/>
  <c r="B34540" i="1"/>
  <c r="B34539" i="1"/>
  <c r="B34538" i="1"/>
  <c r="B34537" i="1"/>
  <c r="B34536" i="1"/>
  <c r="B34535" i="1"/>
  <c r="B34534" i="1"/>
  <c r="B34533" i="1"/>
  <c r="B34532" i="1"/>
  <c r="B34531" i="1"/>
  <c r="B34530" i="1"/>
  <c r="B34529" i="1"/>
  <c r="B34528" i="1"/>
  <c r="B34527" i="1"/>
  <c r="B34526" i="1"/>
  <c r="B34525" i="1"/>
  <c r="B34524" i="1"/>
  <c r="B34523" i="1"/>
  <c r="B34522" i="1"/>
  <c r="B34521" i="1"/>
  <c r="B34520" i="1"/>
  <c r="B34519" i="1"/>
  <c r="B34518" i="1"/>
  <c r="B34517" i="1"/>
  <c r="B34516" i="1"/>
  <c r="B34515" i="1"/>
  <c r="B34514" i="1"/>
  <c r="B34513" i="1"/>
  <c r="B34512" i="1"/>
  <c r="B34511" i="1"/>
  <c r="B34510" i="1"/>
  <c r="B34509" i="1"/>
  <c r="B34508" i="1"/>
  <c r="B34507" i="1"/>
  <c r="B34506" i="1"/>
  <c r="B34505" i="1"/>
  <c r="B34504" i="1"/>
  <c r="B34503" i="1"/>
  <c r="B34502" i="1"/>
  <c r="B34501" i="1"/>
  <c r="B34500" i="1"/>
  <c r="B34499" i="1"/>
  <c r="B34498" i="1"/>
  <c r="B34497" i="1"/>
  <c r="B34496" i="1"/>
  <c r="B34495" i="1"/>
  <c r="B34494" i="1"/>
  <c r="B34493" i="1"/>
  <c r="B34492" i="1"/>
  <c r="B34491" i="1"/>
  <c r="B34490" i="1"/>
  <c r="B34489" i="1"/>
  <c r="B34488" i="1"/>
  <c r="B34487" i="1"/>
  <c r="B34486" i="1"/>
  <c r="B34485" i="1"/>
  <c r="B34484" i="1"/>
  <c r="B34483" i="1"/>
  <c r="B34482" i="1"/>
  <c r="B34481" i="1"/>
  <c r="B34480" i="1"/>
  <c r="B34479" i="1"/>
  <c r="B34478" i="1"/>
  <c r="B34477" i="1"/>
  <c r="B34476" i="1"/>
  <c r="B34475" i="1"/>
  <c r="B34474" i="1"/>
  <c r="B34473" i="1"/>
  <c r="B34472" i="1"/>
  <c r="B34471" i="1"/>
  <c r="B34470" i="1"/>
  <c r="B34469" i="1"/>
  <c r="B34468" i="1"/>
  <c r="B34467" i="1"/>
  <c r="B34466" i="1"/>
  <c r="B34465" i="1"/>
  <c r="B34464" i="1"/>
  <c r="B34463" i="1"/>
  <c r="B34462" i="1"/>
  <c r="B34461" i="1"/>
  <c r="B34460" i="1"/>
  <c r="B34459" i="1"/>
  <c r="B34458" i="1"/>
  <c r="B34457" i="1"/>
  <c r="B34456" i="1"/>
  <c r="B34455" i="1"/>
  <c r="B34454" i="1"/>
  <c r="B34453" i="1"/>
  <c r="B34452" i="1"/>
  <c r="B34451" i="1"/>
  <c r="B34450" i="1"/>
  <c r="B34449" i="1"/>
  <c r="B34448" i="1"/>
  <c r="B34447" i="1"/>
  <c r="B34446" i="1"/>
  <c r="B34445" i="1"/>
  <c r="B34444" i="1"/>
  <c r="B34443" i="1"/>
  <c r="B34442" i="1"/>
  <c r="B34441" i="1"/>
  <c r="B34440" i="1"/>
  <c r="B34439" i="1"/>
  <c r="B34438" i="1"/>
  <c r="B34437" i="1"/>
  <c r="B34436" i="1"/>
  <c r="B34435" i="1"/>
  <c r="B34434" i="1"/>
  <c r="B34433" i="1"/>
  <c r="B34432" i="1"/>
  <c r="B34431" i="1"/>
  <c r="B34430" i="1"/>
  <c r="B34429" i="1"/>
  <c r="B34428" i="1"/>
  <c r="B34427" i="1"/>
  <c r="B34426" i="1"/>
  <c r="B34425" i="1"/>
  <c r="B34424" i="1"/>
  <c r="B34423" i="1"/>
  <c r="B34422" i="1"/>
  <c r="B34421" i="1"/>
  <c r="B34420" i="1"/>
  <c r="B34419" i="1"/>
  <c r="B34418" i="1"/>
  <c r="B34417" i="1"/>
  <c r="B34416" i="1"/>
  <c r="B34415" i="1"/>
  <c r="B34414" i="1"/>
  <c r="B34413" i="1"/>
  <c r="B34412" i="1"/>
  <c r="B34411" i="1"/>
  <c r="B34410" i="1"/>
  <c r="B34409" i="1"/>
  <c r="B34408" i="1"/>
  <c r="B34407" i="1"/>
  <c r="B34406" i="1"/>
  <c r="B34405" i="1"/>
  <c r="B34404" i="1"/>
  <c r="B34403" i="1"/>
  <c r="B34402" i="1"/>
  <c r="B34401" i="1"/>
  <c r="B34400" i="1"/>
  <c r="B34399" i="1"/>
  <c r="B34398" i="1"/>
  <c r="B34397" i="1"/>
  <c r="B34396" i="1"/>
  <c r="B34395" i="1"/>
  <c r="B34394" i="1"/>
  <c r="B34393" i="1"/>
  <c r="B34392" i="1"/>
  <c r="B34391" i="1"/>
  <c r="B34390" i="1"/>
  <c r="B34389" i="1"/>
  <c r="B34388" i="1"/>
  <c r="B34387" i="1"/>
  <c r="B34386" i="1"/>
  <c r="B34385" i="1"/>
  <c r="B34384" i="1"/>
  <c r="B34383" i="1"/>
  <c r="B34382" i="1"/>
  <c r="B34381" i="1"/>
  <c r="B34380" i="1"/>
  <c r="B34379" i="1"/>
  <c r="B34378" i="1"/>
  <c r="B34377" i="1"/>
  <c r="B34376" i="1"/>
  <c r="B34375" i="1"/>
  <c r="B34374" i="1"/>
  <c r="B34373" i="1"/>
  <c r="B34372" i="1"/>
  <c r="B34371" i="1"/>
  <c r="B34370" i="1"/>
  <c r="B34369" i="1"/>
  <c r="B34368" i="1"/>
  <c r="B34367" i="1"/>
  <c r="B34366" i="1"/>
  <c r="B34365" i="1"/>
  <c r="B34364" i="1"/>
  <c r="B34363" i="1"/>
  <c r="B34362" i="1"/>
  <c r="B34361" i="1"/>
  <c r="B34360" i="1"/>
  <c r="B34359" i="1"/>
  <c r="B34358" i="1"/>
  <c r="B34357" i="1"/>
  <c r="B34356" i="1"/>
  <c r="B34355" i="1"/>
  <c r="B34354" i="1"/>
  <c r="B34353" i="1"/>
  <c r="B34352" i="1"/>
  <c r="B34351" i="1"/>
  <c r="B34350" i="1"/>
  <c r="B34349" i="1"/>
  <c r="B34348" i="1"/>
  <c r="B34347" i="1"/>
  <c r="B34346" i="1"/>
  <c r="B34345" i="1"/>
  <c r="B34344" i="1"/>
  <c r="B34343" i="1"/>
  <c r="B34342" i="1"/>
  <c r="B34341" i="1"/>
  <c r="B34340" i="1"/>
  <c r="B34339" i="1"/>
  <c r="B34338" i="1"/>
  <c r="B34337" i="1"/>
  <c r="B34336" i="1"/>
  <c r="B34335" i="1"/>
  <c r="B34334" i="1"/>
  <c r="B34333" i="1"/>
  <c r="B34332" i="1"/>
  <c r="B34331" i="1"/>
  <c r="B34330" i="1"/>
  <c r="B34329" i="1"/>
  <c r="B34328" i="1"/>
  <c r="B34327" i="1"/>
  <c r="B34326" i="1"/>
  <c r="B34325" i="1"/>
  <c r="B34324" i="1"/>
  <c r="B34323" i="1"/>
  <c r="B34322" i="1"/>
  <c r="B34321" i="1"/>
  <c r="B34320" i="1"/>
  <c r="B34319" i="1"/>
  <c r="B34318" i="1"/>
  <c r="B34317" i="1"/>
  <c r="B34316" i="1"/>
  <c r="B34315" i="1"/>
  <c r="B34314" i="1"/>
  <c r="B34313" i="1"/>
  <c r="B34312" i="1"/>
  <c r="B34311" i="1"/>
  <c r="B34310" i="1"/>
  <c r="B34309" i="1"/>
  <c r="B34308" i="1"/>
  <c r="B34307" i="1"/>
  <c r="B34306" i="1"/>
  <c r="B34305" i="1"/>
  <c r="B34304" i="1"/>
  <c r="B34303" i="1"/>
  <c r="B34302" i="1"/>
  <c r="B34301" i="1"/>
  <c r="B34300" i="1"/>
  <c r="B34299" i="1"/>
  <c r="B34298" i="1"/>
  <c r="B34297" i="1"/>
  <c r="B34296" i="1"/>
  <c r="B34295" i="1"/>
  <c r="B34294" i="1"/>
  <c r="B34293" i="1"/>
  <c r="B34292" i="1"/>
  <c r="B34291" i="1"/>
  <c r="B34290" i="1"/>
  <c r="B34289" i="1"/>
  <c r="B34288" i="1"/>
  <c r="B34287" i="1"/>
  <c r="B34286" i="1"/>
  <c r="B34285" i="1"/>
  <c r="B34284" i="1"/>
  <c r="B34283" i="1"/>
  <c r="B34282" i="1"/>
  <c r="B34281" i="1"/>
  <c r="B34280" i="1"/>
  <c r="B34279" i="1"/>
  <c r="B34278" i="1"/>
  <c r="B34277" i="1"/>
  <c r="B34276" i="1"/>
  <c r="B34275" i="1"/>
  <c r="B34274" i="1"/>
  <c r="B34273" i="1"/>
  <c r="B34272" i="1"/>
  <c r="B34271" i="1"/>
  <c r="B34270" i="1"/>
  <c r="B34269" i="1"/>
  <c r="B34268" i="1"/>
  <c r="B34267" i="1"/>
  <c r="B34266" i="1"/>
  <c r="B34265" i="1"/>
  <c r="B34264" i="1"/>
  <c r="B34263" i="1"/>
  <c r="B34262" i="1"/>
  <c r="B34261" i="1"/>
  <c r="B34260" i="1"/>
  <c r="B34259" i="1"/>
  <c r="B34258" i="1"/>
  <c r="B34257" i="1"/>
  <c r="B34256" i="1"/>
  <c r="B34255" i="1"/>
  <c r="B34254" i="1"/>
  <c r="B34253" i="1"/>
  <c r="B34252" i="1"/>
  <c r="B34251" i="1"/>
  <c r="B34250" i="1"/>
  <c r="B34249" i="1"/>
  <c r="B34248" i="1"/>
  <c r="B34247" i="1"/>
  <c r="B34246" i="1"/>
  <c r="B34245" i="1"/>
  <c r="B34244" i="1"/>
  <c r="B34243" i="1"/>
  <c r="B34242" i="1"/>
  <c r="B34241" i="1"/>
  <c r="B34240" i="1"/>
  <c r="B34239" i="1"/>
  <c r="B34238" i="1"/>
  <c r="B34237" i="1"/>
  <c r="B34236" i="1"/>
  <c r="B34235" i="1"/>
  <c r="B34234" i="1"/>
  <c r="B34233" i="1"/>
  <c r="B34232" i="1"/>
  <c r="B34231" i="1"/>
  <c r="B34230" i="1"/>
  <c r="B34229" i="1"/>
  <c r="B34228" i="1"/>
  <c r="B34227" i="1"/>
  <c r="B34226" i="1"/>
  <c r="B34225" i="1"/>
  <c r="B34224" i="1"/>
  <c r="B34223" i="1"/>
  <c r="B34222" i="1"/>
  <c r="B34221" i="1"/>
  <c r="B34220" i="1"/>
  <c r="B34219" i="1"/>
  <c r="B34218" i="1"/>
  <c r="B34217" i="1"/>
  <c r="B34216" i="1"/>
  <c r="B34215" i="1"/>
  <c r="B34214" i="1"/>
  <c r="B34213" i="1"/>
  <c r="B34212" i="1"/>
  <c r="B34211" i="1"/>
  <c r="B34210" i="1"/>
  <c r="B34209" i="1"/>
  <c r="B34208" i="1"/>
  <c r="B34207" i="1"/>
  <c r="B34206" i="1"/>
  <c r="B34205" i="1"/>
  <c r="B34204" i="1"/>
  <c r="B34203" i="1"/>
  <c r="B34202" i="1"/>
  <c r="B34201" i="1"/>
  <c r="B34200" i="1"/>
  <c r="B34199" i="1"/>
  <c r="B34198" i="1"/>
  <c r="B34197" i="1"/>
  <c r="B34196" i="1"/>
  <c r="B34195" i="1"/>
  <c r="B34194" i="1"/>
  <c r="B34193" i="1"/>
  <c r="B34192" i="1"/>
  <c r="B34191" i="1"/>
  <c r="B34190" i="1"/>
  <c r="B34189" i="1"/>
  <c r="B34188" i="1"/>
  <c r="B34187" i="1"/>
  <c r="B34186" i="1"/>
  <c r="B34185" i="1"/>
  <c r="B34184" i="1"/>
  <c r="B34183" i="1"/>
  <c r="B34182" i="1"/>
  <c r="B34181" i="1"/>
  <c r="B34180" i="1"/>
  <c r="B34179" i="1"/>
  <c r="B34178" i="1"/>
  <c r="B34177" i="1"/>
  <c r="B34176" i="1"/>
  <c r="B34175" i="1"/>
  <c r="B34174" i="1"/>
  <c r="B34173" i="1"/>
  <c r="B34172" i="1"/>
  <c r="B34171" i="1"/>
  <c r="B34170" i="1"/>
  <c r="B34169" i="1"/>
  <c r="B34168" i="1"/>
  <c r="B34167" i="1"/>
  <c r="B34166" i="1"/>
  <c r="B34165" i="1"/>
  <c r="B34164" i="1"/>
  <c r="B34163" i="1"/>
  <c r="B34162" i="1"/>
  <c r="B34161" i="1"/>
  <c r="B34160" i="1"/>
  <c r="B34159" i="1"/>
  <c r="B34158" i="1"/>
  <c r="B34157" i="1"/>
  <c r="B34156" i="1"/>
  <c r="B34155" i="1"/>
  <c r="B34154" i="1"/>
  <c r="B34153" i="1"/>
  <c r="B34152" i="1"/>
  <c r="B34151" i="1"/>
  <c r="B34150" i="1"/>
  <c r="B34149" i="1"/>
  <c r="B34148" i="1"/>
  <c r="B34147" i="1"/>
  <c r="B34146" i="1"/>
  <c r="B34145" i="1"/>
  <c r="B34144" i="1"/>
  <c r="B34143" i="1"/>
  <c r="B34142" i="1"/>
  <c r="B34141" i="1"/>
  <c r="B34140" i="1"/>
  <c r="B34139" i="1"/>
  <c r="B34138" i="1"/>
  <c r="B34137" i="1"/>
  <c r="B34136" i="1"/>
  <c r="B34135" i="1"/>
  <c r="B34134" i="1"/>
  <c r="B34133" i="1"/>
  <c r="B34132" i="1"/>
  <c r="B34131" i="1"/>
  <c r="B34130" i="1"/>
  <c r="B34129" i="1"/>
  <c r="B34128" i="1"/>
  <c r="B34127" i="1"/>
  <c r="B34126" i="1"/>
  <c r="B34125" i="1"/>
  <c r="B34124" i="1"/>
  <c r="B34123" i="1"/>
  <c r="B34122" i="1"/>
  <c r="B34121" i="1"/>
  <c r="B34120" i="1"/>
  <c r="B34119" i="1"/>
  <c r="B34118" i="1"/>
  <c r="B34117" i="1"/>
  <c r="B34116" i="1"/>
  <c r="B34115" i="1"/>
  <c r="B34114" i="1"/>
  <c r="B34113" i="1"/>
  <c r="B34112" i="1"/>
  <c r="B34111" i="1"/>
  <c r="B34110" i="1"/>
  <c r="B34109" i="1"/>
  <c r="B34108" i="1"/>
  <c r="B34107" i="1"/>
  <c r="B34106" i="1"/>
  <c r="B34105" i="1"/>
  <c r="B34104" i="1"/>
  <c r="B34103" i="1"/>
  <c r="B34102" i="1"/>
  <c r="B34101" i="1"/>
  <c r="B34100" i="1"/>
  <c r="B34099" i="1"/>
  <c r="B34098" i="1"/>
  <c r="B34097" i="1"/>
  <c r="B34096" i="1"/>
  <c r="B34095" i="1"/>
  <c r="B34094" i="1"/>
  <c r="B34093" i="1"/>
  <c r="B34092" i="1"/>
  <c r="B34091" i="1"/>
  <c r="B34090" i="1"/>
  <c r="B34089" i="1"/>
  <c r="B34088" i="1"/>
  <c r="B34087" i="1"/>
  <c r="B34086" i="1"/>
  <c r="B34085" i="1"/>
  <c r="B34084" i="1"/>
  <c r="B34083" i="1"/>
  <c r="B34082" i="1"/>
  <c r="B34081" i="1"/>
  <c r="B34080" i="1"/>
  <c r="B34079" i="1"/>
  <c r="B34078" i="1"/>
  <c r="B34077" i="1"/>
  <c r="B34076" i="1"/>
  <c r="B34075" i="1"/>
  <c r="B34074" i="1"/>
  <c r="B34073" i="1"/>
  <c r="B34072" i="1"/>
  <c r="B34071" i="1"/>
  <c r="B34070" i="1"/>
  <c r="B34069" i="1"/>
  <c r="B34068" i="1"/>
  <c r="B34067" i="1"/>
  <c r="B34066" i="1"/>
  <c r="B34065" i="1"/>
  <c r="B34064" i="1"/>
  <c r="B34063" i="1"/>
  <c r="B34062" i="1"/>
  <c r="B34061" i="1"/>
  <c r="B34060" i="1"/>
  <c r="B34059" i="1"/>
  <c r="B34058" i="1"/>
  <c r="B34057" i="1"/>
  <c r="B34056" i="1"/>
  <c r="B34055" i="1"/>
  <c r="B34054" i="1"/>
  <c r="B34053" i="1"/>
  <c r="B34052" i="1"/>
  <c r="B34051" i="1"/>
  <c r="B34050" i="1"/>
  <c r="B34049" i="1"/>
  <c r="B34048" i="1"/>
  <c r="B34047" i="1"/>
  <c r="B34046" i="1"/>
  <c r="B34045" i="1"/>
  <c r="B34044" i="1"/>
  <c r="B34043" i="1"/>
  <c r="B34042" i="1"/>
  <c r="B34041" i="1"/>
  <c r="B34040" i="1"/>
  <c r="B34039" i="1"/>
  <c r="B34038" i="1"/>
  <c r="B34037" i="1"/>
  <c r="B34036" i="1"/>
  <c r="B34035" i="1"/>
  <c r="B34034" i="1"/>
  <c r="B34033" i="1"/>
  <c r="B34032" i="1"/>
  <c r="B34031" i="1"/>
  <c r="B34030" i="1"/>
  <c r="B34029" i="1"/>
  <c r="B34028" i="1"/>
  <c r="B34027" i="1"/>
  <c r="B34026" i="1"/>
  <c r="B34025" i="1"/>
  <c r="B34024" i="1"/>
  <c r="B34023" i="1"/>
  <c r="B34022" i="1"/>
  <c r="B34021" i="1"/>
  <c r="B34020" i="1"/>
  <c r="B34019" i="1"/>
  <c r="B34018" i="1"/>
  <c r="B34017" i="1"/>
  <c r="B34016" i="1"/>
  <c r="B34015" i="1"/>
  <c r="B34014" i="1"/>
  <c r="B34013" i="1"/>
  <c r="B34012" i="1"/>
  <c r="B34011" i="1"/>
  <c r="B34010" i="1"/>
  <c r="B34009" i="1"/>
  <c r="B34008" i="1"/>
  <c r="B34007" i="1"/>
  <c r="B34006" i="1"/>
  <c r="B34005" i="1"/>
  <c r="B34004" i="1"/>
  <c r="B34003" i="1"/>
  <c r="B34002" i="1"/>
  <c r="B34001" i="1"/>
  <c r="B34000" i="1"/>
  <c r="B33999" i="1"/>
  <c r="B33998" i="1"/>
  <c r="B33997" i="1"/>
  <c r="B33996" i="1"/>
  <c r="B33995" i="1"/>
  <c r="B33994" i="1"/>
  <c r="B33993" i="1"/>
  <c r="B33992" i="1"/>
  <c r="B33991" i="1"/>
  <c r="B33990" i="1"/>
  <c r="B33989" i="1"/>
  <c r="B33988" i="1"/>
  <c r="B33987" i="1"/>
  <c r="B33986" i="1"/>
  <c r="B33985" i="1"/>
  <c r="B33984" i="1"/>
  <c r="B33983" i="1"/>
  <c r="B33982" i="1"/>
  <c r="B33981" i="1"/>
  <c r="B33980" i="1"/>
  <c r="B33979" i="1"/>
  <c r="B33978" i="1"/>
  <c r="B33977" i="1"/>
  <c r="B33976" i="1"/>
  <c r="B33975" i="1"/>
  <c r="B33974" i="1"/>
  <c r="B33973" i="1"/>
  <c r="B33972" i="1"/>
  <c r="B33971" i="1"/>
  <c r="B33970" i="1"/>
  <c r="B33969" i="1"/>
  <c r="B33968" i="1"/>
  <c r="B33967" i="1"/>
  <c r="B33966" i="1"/>
  <c r="B33965" i="1"/>
  <c r="B33964" i="1"/>
  <c r="B33963" i="1"/>
  <c r="B33962" i="1"/>
  <c r="B33961" i="1"/>
  <c r="B33960" i="1"/>
  <c r="B33959" i="1"/>
  <c r="B33958" i="1"/>
  <c r="B33957" i="1"/>
  <c r="B33956" i="1"/>
  <c r="B33955" i="1"/>
  <c r="B33954" i="1"/>
  <c r="B33953" i="1"/>
  <c r="B33952" i="1"/>
  <c r="B33951" i="1"/>
  <c r="B33950" i="1"/>
  <c r="B33949" i="1"/>
  <c r="B33948" i="1"/>
  <c r="B33947" i="1"/>
  <c r="B33946" i="1"/>
  <c r="B33945" i="1"/>
  <c r="B33944" i="1"/>
  <c r="B33943" i="1"/>
  <c r="B33942" i="1"/>
  <c r="B33941" i="1"/>
  <c r="B33940" i="1"/>
  <c r="B33939" i="1"/>
  <c r="B33938" i="1"/>
  <c r="B33937" i="1"/>
  <c r="B33936" i="1"/>
  <c r="B33935" i="1"/>
  <c r="B33934" i="1"/>
  <c r="B33933" i="1"/>
  <c r="B33932" i="1"/>
  <c r="B33931" i="1"/>
  <c r="B33930" i="1"/>
  <c r="B33929" i="1"/>
  <c r="B33928" i="1"/>
  <c r="B33927" i="1"/>
  <c r="B33926" i="1"/>
  <c r="B33925" i="1"/>
  <c r="B33924" i="1"/>
  <c r="B33923" i="1"/>
  <c r="B33922" i="1"/>
  <c r="B33921" i="1"/>
  <c r="B33920" i="1"/>
  <c r="B33919" i="1"/>
  <c r="B33918" i="1"/>
  <c r="B33917" i="1"/>
  <c r="B33916" i="1"/>
  <c r="B33915" i="1"/>
  <c r="B33914" i="1"/>
  <c r="B33913" i="1"/>
  <c r="B33912" i="1"/>
  <c r="B33911" i="1"/>
  <c r="B33910" i="1"/>
  <c r="B33909" i="1"/>
  <c r="B33908" i="1"/>
  <c r="B33907" i="1"/>
  <c r="B33906" i="1"/>
  <c r="B33905" i="1"/>
  <c r="B33904" i="1"/>
  <c r="B33903" i="1"/>
  <c r="B33902" i="1"/>
  <c r="B33901" i="1"/>
  <c r="B33900" i="1"/>
  <c r="B33899" i="1"/>
  <c r="B33898" i="1"/>
  <c r="B33897" i="1"/>
  <c r="B33896" i="1"/>
  <c r="B33895" i="1"/>
  <c r="B33894" i="1"/>
  <c r="B33893" i="1"/>
  <c r="B33892" i="1"/>
  <c r="B33891" i="1"/>
  <c r="B33890" i="1"/>
  <c r="B33889" i="1"/>
  <c r="B33888" i="1"/>
  <c r="B33887" i="1"/>
  <c r="B33886" i="1"/>
  <c r="B33885" i="1"/>
  <c r="B33884" i="1"/>
  <c r="B33883" i="1"/>
  <c r="B33882" i="1"/>
  <c r="B33881" i="1"/>
  <c r="B33880" i="1"/>
  <c r="B33879" i="1"/>
  <c r="B33878" i="1"/>
  <c r="B33877" i="1"/>
  <c r="B33876" i="1"/>
  <c r="B33875" i="1"/>
  <c r="B33874" i="1"/>
  <c r="B33873" i="1"/>
  <c r="B33872" i="1"/>
  <c r="B33871" i="1"/>
  <c r="B33870" i="1"/>
  <c r="B33869" i="1"/>
  <c r="B33868" i="1"/>
  <c r="B33867" i="1"/>
  <c r="B33866" i="1"/>
  <c r="B33865" i="1"/>
  <c r="B33864" i="1"/>
  <c r="B33863" i="1"/>
  <c r="B33862" i="1"/>
  <c r="B33861" i="1"/>
  <c r="B33860" i="1"/>
  <c r="B33859" i="1"/>
  <c r="B33858" i="1"/>
  <c r="B33857" i="1"/>
  <c r="B33856" i="1"/>
  <c r="B33855" i="1"/>
  <c r="B33854" i="1"/>
  <c r="B33853" i="1"/>
  <c r="B33852" i="1"/>
  <c r="B33851" i="1"/>
  <c r="B33850" i="1"/>
  <c r="B33849" i="1"/>
  <c r="B33848" i="1"/>
  <c r="B33847" i="1"/>
  <c r="B33846" i="1"/>
  <c r="B33845" i="1"/>
  <c r="B33844" i="1"/>
  <c r="B33843" i="1"/>
  <c r="B33842" i="1"/>
  <c r="B33841" i="1"/>
  <c r="B33840" i="1"/>
  <c r="B33839" i="1"/>
  <c r="B33838" i="1"/>
  <c r="B33837" i="1"/>
  <c r="B33836" i="1"/>
  <c r="B33835" i="1"/>
  <c r="B33834" i="1"/>
  <c r="B33833" i="1"/>
  <c r="B33832" i="1"/>
  <c r="B33831" i="1"/>
  <c r="B33830" i="1"/>
  <c r="B33829" i="1"/>
  <c r="B33828" i="1"/>
  <c r="B33827" i="1"/>
  <c r="B33826" i="1"/>
  <c r="B33825" i="1"/>
  <c r="B33824" i="1"/>
  <c r="B33823" i="1"/>
  <c r="B33822" i="1"/>
  <c r="B33821" i="1"/>
  <c r="B33820" i="1"/>
  <c r="B33819" i="1"/>
  <c r="B33818" i="1"/>
  <c r="B33817" i="1"/>
  <c r="B33816" i="1"/>
  <c r="B33815" i="1"/>
  <c r="B33814" i="1"/>
  <c r="B33813" i="1"/>
  <c r="B33812" i="1"/>
  <c r="B33811" i="1"/>
  <c r="B33810" i="1"/>
  <c r="B33809" i="1"/>
  <c r="B33808" i="1"/>
  <c r="B33807" i="1"/>
  <c r="B33806" i="1"/>
  <c r="B33805" i="1"/>
  <c r="B33804" i="1"/>
  <c r="B33803" i="1"/>
  <c r="B33802" i="1"/>
  <c r="B33801" i="1"/>
  <c r="B33800" i="1"/>
  <c r="B33799" i="1"/>
  <c r="B33798" i="1"/>
  <c r="B33797" i="1"/>
  <c r="B33796" i="1"/>
  <c r="B33795" i="1"/>
  <c r="B33794" i="1"/>
  <c r="B33793" i="1"/>
  <c r="B33792" i="1"/>
  <c r="B33791" i="1"/>
  <c r="B33790" i="1"/>
  <c r="B33789" i="1"/>
  <c r="B33788" i="1"/>
  <c r="B33787" i="1"/>
  <c r="B33786" i="1"/>
  <c r="B33785" i="1"/>
  <c r="B33784" i="1"/>
  <c r="B33783" i="1"/>
  <c r="B33782" i="1"/>
  <c r="B33781" i="1"/>
  <c r="B33780" i="1"/>
  <c r="B33779" i="1"/>
  <c r="B33778" i="1"/>
  <c r="B33777" i="1"/>
  <c r="B33776" i="1"/>
  <c r="B33775" i="1"/>
  <c r="B33774" i="1"/>
  <c r="B33773" i="1"/>
  <c r="B33772" i="1"/>
  <c r="B33771" i="1"/>
  <c r="B33770" i="1"/>
  <c r="B33769" i="1"/>
  <c r="B33768" i="1"/>
  <c r="B33767" i="1"/>
  <c r="B33766" i="1"/>
  <c r="B33765" i="1"/>
  <c r="B33764" i="1"/>
  <c r="B33763" i="1"/>
  <c r="B33762" i="1"/>
  <c r="B33761" i="1"/>
  <c r="B33760" i="1"/>
  <c r="B33759" i="1"/>
  <c r="B33758" i="1"/>
  <c r="B33757" i="1"/>
  <c r="B33756" i="1"/>
  <c r="B33755" i="1"/>
  <c r="B33754" i="1"/>
  <c r="B33753" i="1"/>
  <c r="B33752" i="1"/>
  <c r="B33751" i="1"/>
  <c r="B33750" i="1"/>
  <c r="B33749" i="1"/>
  <c r="B33748" i="1"/>
  <c r="B33747" i="1"/>
  <c r="B33746" i="1"/>
  <c r="B33745" i="1"/>
  <c r="B33744" i="1"/>
  <c r="B33743" i="1"/>
  <c r="B33742" i="1"/>
  <c r="B33741" i="1"/>
  <c r="B33740" i="1"/>
  <c r="B33739" i="1"/>
  <c r="B33738" i="1"/>
  <c r="B33737" i="1"/>
  <c r="B33736" i="1"/>
  <c r="B33735" i="1"/>
  <c r="B33734" i="1"/>
  <c r="B33733" i="1"/>
  <c r="B33732" i="1"/>
  <c r="B33731" i="1"/>
  <c r="B33730" i="1"/>
  <c r="B33729" i="1"/>
  <c r="B33728" i="1"/>
  <c r="B33727" i="1"/>
  <c r="B33726" i="1"/>
  <c r="B33725" i="1"/>
  <c r="B33724" i="1"/>
  <c r="B33723" i="1"/>
  <c r="B33722" i="1"/>
  <c r="B33721" i="1"/>
  <c r="B33720" i="1"/>
  <c r="B33719" i="1"/>
  <c r="B33718" i="1"/>
  <c r="B33717" i="1"/>
  <c r="B33716" i="1"/>
  <c r="B33715" i="1"/>
  <c r="B33714" i="1"/>
  <c r="B33713" i="1"/>
  <c r="B33712" i="1"/>
  <c r="B33711" i="1"/>
  <c r="B33710" i="1"/>
  <c r="B33709" i="1"/>
  <c r="B33708" i="1"/>
  <c r="B33707" i="1"/>
  <c r="B33706" i="1"/>
  <c r="B33705" i="1"/>
  <c r="B33704" i="1"/>
  <c r="B33703" i="1"/>
  <c r="B33702" i="1"/>
  <c r="B33701" i="1"/>
  <c r="B33700" i="1"/>
  <c r="B33699" i="1"/>
  <c r="B33698" i="1"/>
  <c r="B33697" i="1"/>
  <c r="B33696" i="1"/>
  <c r="B33695" i="1"/>
  <c r="B33694" i="1"/>
  <c r="B33693" i="1"/>
  <c r="B33692" i="1"/>
  <c r="B33691" i="1"/>
  <c r="B33690" i="1"/>
  <c r="B33689" i="1"/>
  <c r="B33688" i="1"/>
  <c r="B33687" i="1"/>
  <c r="B33686" i="1"/>
  <c r="B33685" i="1"/>
  <c r="B33684" i="1"/>
  <c r="B33683" i="1"/>
  <c r="B33682" i="1"/>
  <c r="B33681" i="1"/>
  <c r="B33680" i="1"/>
  <c r="B33679" i="1"/>
  <c r="B33678" i="1"/>
  <c r="B33677" i="1"/>
  <c r="B33676" i="1"/>
  <c r="B33675" i="1"/>
  <c r="B33674" i="1"/>
  <c r="B33673" i="1"/>
  <c r="B33672" i="1"/>
  <c r="B33671" i="1"/>
  <c r="B33670" i="1"/>
  <c r="B33669" i="1"/>
  <c r="B33668" i="1"/>
  <c r="B33667" i="1"/>
  <c r="B33666" i="1"/>
  <c r="B33665" i="1"/>
  <c r="B33664" i="1"/>
  <c r="B33663" i="1"/>
  <c r="B33662" i="1"/>
  <c r="B33661" i="1"/>
  <c r="B33660" i="1"/>
  <c r="B33659" i="1"/>
  <c r="B33658" i="1"/>
  <c r="B33657" i="1"/>
  <c r="B33656" i="1"/>
  <c r="B33655" i="1"/>
  <c r="B33654" i="1"/>
  <c r="B33653" i="1"/>
  <c r="B33652" i="1"/>
  <c r="B33651" i="1"/>
  <c r="B33650" i="1"/>
  <c r="B33649" i="1"/>
  <c r="B33648" i="1"/>
  <c r="B33647" i="1"/>
  <c r="B33646" i="1"/>
  <c r="B33645" i="1"/>
  <c r="B33644" i="1"/>
  <c r="B33643" i="1"/>
  <c r="B33642" i="1"/>
  <c r="B33641" i="1"/>
  <c r="B33640" i="1"/>
  <c r="B33639" i="1"/>
  <c r="B33638" i="1"/>
  <c r="B33637" i="1"/>
  <c r="B33636" i="1"/>
  <c r="B33635" i="1"/>
  <c r="B33634" i="1"/>
  <c r="B33633" i="1"/>
  <c r="B33632" i="1"/>
  <c r="B33631" i="1"/>
  <c r="B33630" i="1"/>
  <c r="B33629" i="1"/>
  <c r="B33628" i="1"/>
  <c r="B33627" i="1"/>
  <c r="B33626" i="1"/>
  <c r="B33625" i="1"/>
  <c r="B33624" i="1"/>
  <c r="B33623" i="1"/>
  <c r="B33622" i="1"/>
  <c r="B33621" i="1"/>
  <c r="B33620" i="1"/>
  <c r="B33619" i="1"/>
  <c r="B33618" i="1"/>
  <c r="B33617" i="1"/>
  <c r="B33616" i="1"/>
  <c r="B33615" i="1"/>
  <c r="B33614" i="1"/>
  <c r="B33613" i="1"/>
  <c r="B33612" i="1"/>
  <c r="B33611" i="1"/>
  <c r="B33610" i="1"/>
  <c r="B33609" i="1"/>
  <c r="B33608" i="1"/>
  <c r="B33607" i="1"/>
  <c r="B33606" i="1"/>
  <c r="B33605" i="1"/>
  <c r="B33604" i="1"/>
  <c r="B33603" i="1"/>
  <c r="B33602" i="1"/>
  <c r="B33601" i="1"/>
  <c r="B33600" i="1"/>
  <c r="B33599" i="1"/>
  <c r="B33598" i="1"/>
  <c r="B33597" i="1"/>
  <c r="B33596" i="1"/>
  <c r="B33595" i="1"/>
  <c r="B33594" i="1"/>
  <c r="B33593" i="1"/>
  <c r="B33592" i="1"/>
  <c r="B33591" i="1"/>
  <c r="B33590" i="1"/>
  <c r="B33589" i="1"/>
  <c r="B33588" i="1"/>
  <c r="B33587" i="1"/>
  <c r="B33586" i="1"/>
  <c r="B33585" i="1"/>
  <c r="B33584" i="1"/>
  <c r="B33583" i="1"/>
  <c r="B33582" i="1"/>
  <c r="B33581" i="1"/>
  <c r="B33580" i="1"/>
  <c r="B33579" i="1"/>
  <c r="B33578" i="1"/>
  <c r="B33577" i="1"/>
  <c r="B33576" i="1"/>
  <c r="B33575" i="1"/>
  <c r="B33574" i="1"/>
  <c r="B33573" i="1"/>
  <c r="B33572" i="1"/>
  <c r="B33571" i="1"/>
  <c r="B33570" i="1"/>
  <c r="B33569" i="1"/>
  <c r="B33568" i="1"/>
  <c r="B33567" i="1"/>
  <c r="B33566" i="1"/>
  <c r="B33565" i="1"/>
  <c r="B33564" i="1"/>
  <c r="B33563" i="1"/>
  <c r="B33562" i="1"/>
  <c r="B33561" i="1"/>
  <c r="B33560" i="1"/>
  <c r="B33559" i="1"/>
  <c r="B33558" i="1"/>
  <c r="B33557" i="1"/>
  <c r="B33556" i="1"/>
  <c r="B33555" i="1"/>
  <c r="B33554" i="1"/>
  <c r="B33553" i="1"/>
  <c r="B33552" i="1"/>
  <c r="B33551" i="1"/>
  <c r="B33550" i="1"/>
  <c r="B33549" i="1"/>
  <c r="B33548" i="1"/>
  <c r="B33547" i="1"/>
  <c r="B33546" i="1"/>
  <c r="B33545" i="1"/>
  <c r="B33544" i="1"/>
  <c r="B33543" i="1"/>
  <c r="B33542" i="1"/>
  <c r="B33541" i="1"/>
  <c r="B33540" i="1"/>
  <c r="B33539" i="1"/>
  <c r="B33538" i="1"/>
  <c r="B33537" i="1"/>
  <c r="B33536" i="1"/>
  <c r="B33535" i="1"/>
  <c r="B33534" i="1"/>
  <c r="B33533" i="1"/>
  <c r="B33532" i="1"/>
  <c r="B33531" i="1"/>
  <c r="B33530" i="1"/>
  <c r="B33529" i="1"/>
  <c r="B33528" i="1"/>
  <c r="B33527" i="1"/>
  <c r="B33526" i="1"/>
  <c r="B33525" i="1"/>
  <c r="B33524" i="1"/>
  <c r="B33523" i="1"/>
  <c r="B33522" i="1"/>
  <c r="B33521" i="1"/>
  <c r="B33520" i="1"/>
  <c r="B33519" i="1"/>
  <c r="B33518" i="1"/>
  <c r="B33517" i="1"/>
  <c r="B33516" i="1"/>
  <c r="B33515" i="1"/>
  <c r="B33514" i="1"/>
  <c r="B33513" i="1"/>
  <c r="B33512" i="1"/>
  <c r="B33511" i="1"/>
  <c r="B33510" i="1"/>
  <c r="B33509" i="1"/>
  <c r="B33508" i="1"/>
  <c r="B33507" i="1"/>
  <c r="B33506" i="1"/>
  <c r="B33505" i="1"/>
  <c r="B33504" i="1"/>
  <c r="B33503" i="1"/>
  <c r="B33502" i="1"/>
  <c r="B33501" i="1"/>
  <c r="B33500" i="1"/>
  <c r="B33499" i="1"/>
  <c r="B33498" i="1"/>
  <c r="B33497" i="1"/>
  <c r="B33496" i="1"/>
  <c r="B33495" i="1"/>
  <c r="B33494" i="1"/>
  <c r="B33493" i="1"/>
  <c r="B33492" i="1"/>
  <c r="B33491" i="1"/>
  <c r="B33490" i="1"/>
  <c r="B33489" i="1"/>
  <c r="B33488" i="1"/>
  <c r="B33487" i="1"/>
  <c r="B33486" i="1"/>
  <c r="B33485" i="1"/>
  <c r="B33484" i="1"/>
  <c r="B33483" i="1"/>
  <c r="B33482" i="1"/>
  <c r="B33481" i="1"/>
  <c r="B33480" i="1"/>
  <c r="B33479" i="1"/>
  <c r="B33478" i="1"/>
  <c r="B33477" i="1"/>
  <c r="B33476" i="1"/>
  <c r="B33475" i="1"/>
  <c r="B33474" i="1"/>
  <c r="B33473" i="1"/>
  <c r="B33472" i="1"/>
  <c r="B33471" i="1"/>
  <c r="B33470" i="1"/>
  <c r="B33469" i="1"/>
  <c r="B33468" i="1"/>
  <c r="B33467" i="1"/>
  <c r="B33466" i="1"/>
  <c r="B33465" i="1"/>
  <c r="B33464" i="1"/>
  <c r="B33463" i="1"/>
  <c r="B33462" i="1"/>
  <c r="B33461" i="1"/>
  <c r="B33460" i="1"/>
  <c r="B33459" i="1"/>
  <c r="B33458" i="1"/>
  <c r="B33457" i="1"/>
  <c r="B33456" i="1"/>
  <c r="B33455" i="1"/>
  <c r="B33454" i="1"/>
  <c r="B33453" i="1"/>
  <c r="B33452" i="1"/>
  <c r="B33451" i="1"/>
  <c r="B33450" i="1"/>
  <c r="B33449" i="1"/>
  <c r="B33448" i="1"/>
  <c r="B33447" i="1"/>
  <c r="B33446" i="1"/>
  <c r="B33445" i="1"/>
  <c r="B33444" i="1"/>
  <c r="B33443" i="1"/>
  <c r="B33442" i="1"/>
  <c r="B33441" i="1"/>
  <c r="B33440" i="1"/>
  <c r="B33439" i="1"/>
  <c r="B33438" i="1"/>
  <c r="B33437" i="1"/>
  <c r="B33436" i="1"/>
  <c r="B33435" i="1"/>
  <c r="B33434" i="1"/>
  <c r="B33433" i="1"/>
  <c r="B33432" i="1"/>
  <c r="B33431" i="1"/>
  <c r="B33430" i="1"/>
  <c r="B33429" i="1"/>
  <c r="B33428" i="1"/>
  <c r="B33427" i="1"/>
  <c r="B33426" i="1"/>
  <c r="B33425" i="1"/>
  <c r="B33424" i="1"/>
  <c r="B33423" i="1"/>
  <c r="B33422" i="1"/>
  <c r="B33421" i="1"/>
  <c r="B33420" i="1"/>
  <c r="B33419" i="1"/>
  <c r="B33418" i="1"/>
  <c r="B33417" i="1"/>
  <c r="B33416" i="1"/>
  <c r="B33415" i="1"/>
  <c r="B33414" i="1"/>
  <c r="B33413" i="1"/>
  <c r="B33412" i="1"/>
  <c r="B33411" i="1"/>
  <c r="B33410" i="1"/>
  <c r="B33409" i="1"/>
  <c r="B33408" i="1"/>
  <c r="B33407" i="1"/>
  <c r="B33406" i="1"/>
  <c r="B33405" i="1"/>
  <c r="B33404" i="1"/>
  <c r="B33403" i="1"/>
  <c r="B33402" i="1"/>
  <c r="B33401" i="1"/>
  <c r="B33400" i="1"/>
  <c r="B33399" i="1"/>
  <c r="B33398" i="1"/>
  <c r="B33397" i="1"/>
  <c r="B33396" i="1"/>
  <c r="B33395" i="1"/>
  <c r="B33394" i="1"/>
  <c r="B33393" i="1"/>
  <c r="B33392" i="1"/>
  <c r="B33391" i="1"/>
  <c r="B33390" i="1"/>
  <c r="B33389" i="1"/>
  <c r="B33388" i="1"/>
  <c r="B33387" i="1"/>
  <c r="B33386" i="1"/>
  <c r="B33385" i="1"/>
  <c r="B33384" i="1"/>
  <c r="B33383" i="1"/>
  <c r="B33382" i="1"/>
  <c r="B33381" i="1"/>
  <c r="B33380" i="1"/>
  <c r="B33379" i="1"/>
  <c r="B33378" i="1"/>
  <c r="B33377" i="1"/>
  <c r="B33376" i="1"/>
  <c r="B33375" i="1"/>
  <c r="B33374" i="1"/>
  <c r="B33373" i="1"/>
  <c r="B33372" i="1"/>
  <c r="B33371" i="1"/>
  <c r="B33370" i="1"/>
  <c r="B33369" i="1"/>
  <c r="B33368" i="1"/>
  <c r="B33367" i="1"/>
  <c r="B33366" i="1"/>
  <c r="B33365" i="1"/>
  <c r="B33364" i="1"/>
  <c r="B33363" i="1"/>
  <c r="B33362" i="1"/>
  <c r="B33361" i="1"/>
  <c r="B33360" i="1"/>
  <c r="B33359" i="1"/>
  <c r="B33358" i="1"/>
  <c r="B33357" i="1"/>
  <c r="B33356" i="1"/>
  <c r="B33355" i="1"/>
  <c r="B33354" i="1"/>
  <c r="B33353" i="1"/>
  <c r="B33352" i="1"/>
  <c r="B33351" i="1"/>
  <c r="B33350" i="1"/>
  <c r="B33349" i="1"/>
  <c r="B33348" i="1"/>
  <c r="B33347" i="1"/>
  <c r="B33346" i="1"/>
  <c r="B33345" i="1"/>
  <c r="B33344" i="1"/>
  <c r="B33343" i="1"/>
  <c r="B33342" i="1"/>
  <c r="B33341" i="1"/>
  <c r="B33340" i="1"/>
  <c r="B33339" i="1"/>
  <c r="B33338" i="1"/>
  <c r="B33337" i="1"/>
  <c r="B33336" i="1"/>
  <c r="B33335" i="1"/>
  <c r="B33334" i="1"/>
  <c r="B33333" i="1"/>
  <c r="B33332" i="1"/>
  <c r="B33331" i="1"/>
  <c r="B33330" i="1"/>
  <c r="B33329" i="1"/>
  <c r="B33328" i="1"/>
  <c r="B33327" i="1"/>
  <c r="B33326" i="1"/>
  <c r="B33325" i="1"/>
  <c r="B33324" i="1"/>
  <c r="B33323" i="1"/>
  <c r="B33322" i="1"/>
  <c r="B33321" i="1"/>
  <c r="B33320" i="1"/>
  <c r="B33319" i="1"/>
  <c r="B33318" i="1"/>
  <c r="B33317" i="1"/>
  <c r="B33316" i="1"/>
  <c r="B33315" i="1"/>
  <c r="B33314" i="1"/>
  <c r="B33313" i="1"/>
  <c r="B33312" i="1"/>
  <c r="B33311" i="1"/>
  <c r="B33310" i="1"/>
  <c r="B33309" i="1"/>
  <c r="B33308" i="1"/>
  <c r="B33307" i="1"/>
  <c r="B33306" i="1"/>
  <c r="B33305" i="1"/>
  <c r="B33304" i="1"/>
  <c r="B33303" i="1"/>
  <c r="B33302" i="1"/>
  <c r="B33301" i="1"/>
  <c r="B33300" i="1"/>
  <c r="B33299" i="1"/>
  <c r="B33298" i="1"/>
  <c r="B33297" i="1"/>
  <c r="B33296" i="1"/>
  <c r="B33295" i="1"/>
  <c r="B33294" i="1"/>
  <c r="B33293" i="1"/>
  <c r="B33292" i="1"/>
  <c r="B33291" i="1"/>
  <c r="B33290" i="1"/>
  <c r="B33289" i="1"/>
  <c r="B33288" i="1"/>
  <c r="B33287" i="1"/>
  <c r="B33286" i="1"/>
  <c r="B33285" i="1"/>
  <c r="B33284" i="1"/>
  <c r="B33283" i="1"/>
  <c r="B33282" i="1"/>
  <c r="B33281" i="1"/>
  <c r="B33280" i="1"/>
  <c r="B33279" i="1"/>
  <c r="B33278" i="1"/>
  <c r="B33277" i="1"/>
  <c r="B33276" i="1"/>
  <c r="B33275" i="1"/>
  <c r="B33274" i="1"/>
  <c r="B33273" i="1"/>
  <c r="B33272" i="1"/>
  <c r="B33271" i="1"/>
  <c r="B33270" i="1"/>
  <c r="B33269" i="1"/>
  <c r="B33268" i="1"/>
  <c r="B33267" i="1"/>
  <c r="B33266" i="1"/>
  <c r="B33265" i="1"/>
  <c r="B33264" i="1"/>
  <c r="B33263" i="1"/>
  <c r="B33262" i="1"/>
  <c r="B33261" i="1"/>
  <c r="B33260" i="1"/>
  <c r="B33259" i="1"/>
  <c r="B33258" i="1"/>
  <c r="B33257" i="1"/>
  <c r="B33256" i="1"/>
  <c r="B33255" i="1"/>
  <c r="B33254" i="1"/>
  <c r="B33253" i="1"/>
  <c r="B33252" i="1"/>
  <c r="B33251" i="1"/>
  <c r="B33250" i="1"/>
  <c r="B33249" i="1"/>
  <c r="B33248" i="1"/>
  <c r="B33247" i="1"/>
  <c r="B33246" i="1"/>
  <c r="B33245" i="1"/>
  <c r="B33244" i="1"/>
  <c r="B33243" i="1"/>
  <c r="B33242" i="1"/>
  <c r="B33241" i="1"/>
  <c r="B33240" i="1"/>
  <c r="B33239" i="1"/>
  <c r="B33238" i="1"/>
  <c r="B33237" i="1"/>
  <c r="B33236" i="1"/>
  <c r="B33235" i="1"/>
  <c r="B33234" i="1"/>
  <c r="B33233" i="1"/>
  <c r="B33232" i="1"/>
  <c r="B33231" i="1"/>
  <c r="B33230" i="1"/>
  <c r="B33229" i="1"/>
  <c r="B33228" i="1"/>
  <c r="B33227" i="1"/>
  <c r="B33226" i="1"/>
  <c r="B33225" i="1"/>
  <c r="B33224" i="1"/>
  <c r="B33223" i="1"/>
  <c r="B33222" i="1"/>
  <c r="B33221" i="1"/>
  <c r="B33220" i="1"/>
  <c r="B33219" i="1"/>
  <c r="B33218" i="1"/>
  <c r="B33217" i="1"/>
  <c r="B33216" i="1"/>
  <c r="B33215" i="1"/>
  <c r="B33214" i="1"/>
  <c r="B33213" i="1"/>
  <c r="B33212" i="1"/>
  <c r="B33211" i="1"/>
  <c r="B33210" i="1"/>
  <c r="B33209" i="1"/>
  <c r="B33208" i="1"/>
  <c r="B33207" i="1"/>
  <c r="B33206" i="1"/>
  <c r="B33205" i="1"/>
  <c r="B33204" i="1"/>
  <c r="B33203" i="1"/>
  <c r="B33202" i="1"/>
  <c r="B33201" i="1"/>
  <c r="B33200" i="1"/>
  <c r="B33199" i="1"/>
  <c r="B33198" i="1"/>
  <c r="B33197" i="1"/>
  <c r="B33196" i="1"/>
  <c r="B33195" i="1"/>
  <c r="B33194" i="1"/>
  <c r="B33193" i="1"/>
  <c r="B33192" i="1"/>
  <c r="B33191" i="1"/>
  <c r="B33190" i="1"/>
  <c r="B33189" i="1"/>
  <c r="B33188" i="1"/>
  <c r="B33187" i="1"/>
  <c r="B33186" i="1"/>
  <c r="B33185" i="1"/>
  <c r="B33184" i="1"/>
  <c r="B33183" i="1"/>
  <c r="B33182" i="1"/>
  <c r="B33181" i="1"/>
  <c r="B33180" i="1"/>
  <c r="B33179" i="1"/>
  <c r="B33178" i="1"/>
  <c r="B33177" i="1"/>
  <c r="B33176" i="1"/>
  <c r="B33175" i="1"/>
  <c r="B33174" i="1"/>
  <c r="B33173" i="1"/>
  <c r="B33172" i="1"/>
  <c r="B33171" i="1"/>
  <c r="B33170" i="1"/>
  <c r="B33169" i="1"/>
  <c r="B33168" i="1"/>
  <c r="B33167" i="1"/>
  <c r="B33166" i="1"/>
  <c r="B33165" i="1"/>
  <c r="B33164" i="1"/>
  <c r="B33163" i="1"/>
  <c r="B33162" i="1"/>
  <c r="B33161" i="1"/>
  <c r="B33160" i="1"/>
  <c r="B33159" i="1"/>
  <c r="B33158" i="1"/>
  <c r="B33157" i="1"/>
  <c r="B33156" i="1"/>
  <c r="B33155" i="1"/>
  <c r="B33154" i="1"/>
  <c r="B33153" i="1"/>
  <c r="B33152" i="1"/>
  <c r="B33151" i="1"/>
  <c r="B33150" i="1"/>
  <c r="B33149" i="1"/>
  <c r="B33148" i="1"/>
  <c r="B33147" i="1"/>
  <c r="B33146" i="1"/>
  <c r="B33145" i="1"/>
  <c r="B33144" i="1"/>
  <c r="B33143" i="1"/>
  <c r="B33142" i="1"/>
  <c r="B33141" i="1"/>
  <c r="B33140" i="1"/>
  <c r="B33139" i="1"/>
  <c r="B33138" i="1"/>
  <c r="B33137" i="1"/>
  <c r="B33136" i="1"/>
  <c r="B33135" i="1"/>
  <c r="B33134" i="1"/>
  <c r="B33133" i="1"/>
  <c r="B33132" i="1"/>
  <c r="B33131" i="1"/>
  <c r="B33130" i="1"/>
  <c r="B33129" i="1"/>
  <c r="B33128" i="1"/>
  <c r="B33127" i="1"/>
  <c r="B33126" i="1"/>
  <c r="B33125" i="1"/>
  <c r="B33124" i="1"/>
  <c r="B33123" i="1"/>
  <c r="B33122" i="1"/>
  <c r="B33121" i="1"/>
  <c r="B33120" i="1"/>
  <c r="B33119" i="1"/>
  <c r="B33118" i="1"/>
  <c r="B33117" i="1"/>
  <c r="B33116" i="1"/>
  <c r="B33115" i="1"/>
  <c r="B33114" i="1"/>
  <c r="B33113" i="1"/>
  <c r="B33112" i="1"/>
  <c r="B33111" i="1"/>
  <c r="B33110" i="1"/>
  <c r="B33109" i="1"/>
  <c r="B33108" i="1"/>
  <c r="B33107" i="1"/>
  <c r="B33106" i="1"/>
  <c r="B33105" i="1"/>
  <c r="B33104" i="1"/>
  <c r="B33103" i="1"/>
  <c r="B33102" i="1"/>
  <c r="B33101" i="1"/>
  <c r="B33100" i="1"/>
  <c r="B33099" i="1"/>
  <c r="B33098" i="1"/>
  <c r="B33097" i="1"/>
  <c r="B33096" i="1"/>
  <c r="B33095" i="1"/>
  <c r="B33094" i="1"/>
  <c r="B33093" i="1"/>
  <c r="B33092" i="1"/>
  <c r="B33091" i="1"/>
  <c r="B33090" i="1"/>
  <c r="B33089" i="1"/>
  <c r="B33088" i="1"/>
  <c r="B33087" i="1"/>
  <c r="B33086" i="1"/>
  <c r="B33085" i="1"/>
  <c r="B33084" i="1"/>
  <c r="B33083" i="1"/>
  <c r="B33082" i="1"/>
  <c r="B33081" i="1"/>
  <c r="B33080" i="1"/>
  <c r="B33079" i="1"/>
  <c r="B33078" i="1"/>
  <c r="B33077" i="1"/>
  <c r="B33076" i="1"/>
  <c r="B33075" i="1"/>
  <c r="B33074" i="1"/>
  <c r="B33073" i="1"/>
  <c r="B33072" i="1"/>
  <c r="B33071" i="1"/>
  <c r="B33070" i="1"/>
  <c r="B33069" i="1"/>
  <c r="B33068" i="1"/>
  <c r="B33067" i="1"/>
  <c r="B33066" i="1"/>
  <c r="B33065" i="1"/>
  <c r="B33064" i="1"/>
  <c r="B33063" i="1"/>
  <c r="B33062" i="1"/>
  <c r="B33061" i="1"/>
  <c r="B33060" i="1"/>
  <c r="B33059" i="1"/>
  <c r="B33058" i="1"/>
  <c r="B33057" i="1"/>
  <c r="B33056" i="1"/>
  <c r="B33055" i="1"/>
  <c r="B33054" i="1"/>
  <c r="B33053" i="1"/>
  <c r="B33052" i="1"/>
  <c r="B33051" i="1"/>
  <c r="B33050" i="1"/>
  <c r="B33049" i="1"/>
  <c r="B33048" i="1"/>
  <c r="B33047" i="1"/>
  <c r="B33046" i="1"/>
  <c r="B33045" i="1"/>
  <c r="B33044" i="1"/>
  <c r="B33043" i="1"/>
  <c r="B33042" i="1"/>
  <c r="B33041" i="1"/>
  <c r="B33040" i="1"/>
  <c r="B33039" i="1"/>
  <c r="B33038" i="1"/>
  <c r="B33037" i="1"/>
  <c r="B33036" i="1"/>
  <c r="B33035" i="1"/>
  <c r="B33034" i="1"/>
  <c r="B33033" i="1"/>
  <c r="B33032" i="1"/>
  <c r="B33031" i="1"/>
  <c r="B33030" i="1"/>
  <c r="B33029" i="1"/>
  <c r="B33028" i="1"/>
  <c r="B33027" i="1"/>
  <c r="B33026" i="1"/>
  <c r="B33025" i="1"/>
  <c r="B33024" i="1"/>
  <c r="B33023" i="1"/>
  <c r="B33022" i="1"/>
  <c r="B33021" i="1"/>
  <c r="B33020" i="1"/>
  <c r="B33019" i="1"/>
  <c r="B33018" i="1"/>
  <c r="B33017" i="1"/>
  <c r="B33016" i="1"/>
  <c r="B33015" i="1"/>
  <c r="B33014" i="1"/>
  <c r="B33013" i="1"/>
  <c r="B33012" i="1"/>
  <c r="B33011" i="1"/>
  <c r="B33010" i="1"/>
  <c r="B33009" i="1"/>
  <c r="B33008" i="1"/>
  <c r="B33007" i="1"/>
  <c r="B33006" i="1"/>
  <c r="B33005" i="1"/>
  <c r="B33004" i="1"/>
  <c r="B33003" i="1"/>
  <c r="B33002" i="1"/>
  <c r="B33001" i="1"/>
  <c r="B33000" i="1"/>
  <c r="B32999" i="1"/>
  <c r="B32998" i="1"/>
  <c r="B32997" i="1"/>
  <c r="B32996" i="1"/>
  <c r="B32995" i="1"/>
  <c r="B32994" i="1"/>
  <c r="B32993" i="1"/>
  <c r="B32992" i="1"/>
  <c r="B32991" i="1"/>
  <c r="B32990" i="1"/>
  <c r="B32989" i="1"/>
  <c r="B32988" i="1"/>
  <c r="B32987" i="1"/>
  <c r="B32986" i="1"/>
  <c r="B32985" i="1"/>
  <c r="B32984" i="1"/>
  <c r="B32983" i="1"/>
  <c r="B32982" i="1"/>
  <c r="B32981" i="1"/>
  <c r="B32980" i="1"/>
  <c r="B32979" i="1"/>
  <c r="B32978" i="1"/>
  <c r="B32977" i="1"/>
  <c r="B32976" i="1"/>
  <c r="B32975" i="1"/>
  <c r="B32974" i="1"/>
  <c r="B32973" i="1"/>
  <c r="B32972" i="1"/>
  <c r="B32971" i="1"/>
  <c r="B32970" i="1"/>
  <c r="B32969" i="1"/>
  <c r="B32968" i="1"/>
  <c r="B32967" i="1"/>
  <c r="B32966" i="1"/>
  <c r="B32965" i="1"/>
  <c r="B32964" i="1"/>
  <c r="B32963" i="1"/>
  <c r="B32962" i="1"/>
  <c r="B32961" i="1"/>
  <c r="B32960" i="1"/>
  <c r="B32959" i="1"/>
  <c r="B32958" i="1"/>
  <c r="B32957" i="1"/>
  <c r="B32956" i="1"/>
  <c r="B32955" i="1"/>
  <c r="B32954" i="1"/>
  <c r="B32953" i="1"/>
  <c r="B32952" i="1"/>
  <c r="B32951" i="1"/>
  <c r="B32950" i="1"/>
  <c r="B32949" i="1"/>
  <c r="B32948" i="1"/>
  <c r="B32947" i="1"/>
  <c r="B32946" i="1"/>
  <c r="B32945" i="1"/>
  <c r="B32944" i="1"/>
  <c r="B32943" i="1"/>
  <c r="B32942" i="1"/>
  <c r="B32941" i="1"/>
  <c r="B32940" i="1"/>
  <c r="B32939" i="1"/>
  <c r="B32938" i="1"/>
  <c r="B32937" i="1"/>
  <c r="B32936" i="1"/>
  <c r="B32935" i="1"/>
  <c r="B32934" i="1"/>
  <c r="B32933" i="1"/>
  <c r="B32932" i="1"/>
  <c r="B32931" i="1"/>
  <c r="B32930" i="1"/>
  <c r="B32929" i="1"/>
  <c r="B32928" i="1"/>
  <c r="B32927" i="1"/>
  <c r="B32926" i="1"/>
  <c r="B32925" i="1"/>
  <c r="B32924" i="1"/>
  <c r="B32923" i="1"/>
  <c r="B32922" i="1"/>
  <c r="B32921" i="1"/>
  <c r="B32920" i="1"/>
  <c r="B32919" i="1"/>
  <c r="B32918" i="1"/>
  <c r="B32917" i="1"/>
  <c r="B32916" i="1"/>
  <c r="B32915" i="1"/>
  <c r="B32914" i="1"/>
  <c r="B32913" i="1"/>
  <c r="B32912" i="1"/>
  <c r="B32911" i="1"/>
  <c r="B32910" i="1"/>
  <c r="B32909" i="1"/>
  <c r="B32908" i="1"/>
  <c r="B32907" i="1"/>
  <c r="B32906" i="1"/>
  <c r="B32905" i="1"/>
  <c r="B32904" i="1"/>
  <c r="B32903" i="1"/>
  <c r="B32902" i="1"/>
  <c r="B32901" i="1"/>
  <c r="B32900" i="1"/>
  <c r="B32899" i="1"/>
  <c r="B32898" i="1"/>
  <c r="B32897" i="1"/>
  <c r="B32896" i="1"/>
  <c r="B32895" i="1"/>
  <c r="B32894" i="1"/>
  <c r="B32893" i="1"/>
  <c r="B32892" i="1"/>
  <c r="B32891" i="1"/>
  <c r="B32890" i="1"/>
  <c r="B32889" i="1"/>
  <c r="B32888" i="1"/>
  <c r="B32887" i="1"/>
  <c r="B32886" i="1"/>
  <c r="B32885" i="1"/>
  <c r="B32884" i="1"/>
  <c r="B32883" i="1"/>
  <c r="B32882" i="1"/>
  <c r="B32881" i="1"/>
  <c r="B32880" i="1"/>
  <c r="B32879" i="1"/>
  <c r="B32878" i="1"/>
  <c r="B32877" i="1"/>
  <c r="B32876" i="1"/>
  <c r="B32875" i="1"/>
  <c r="B32874" i="1"/>
  <c r="B32873" i="1"/>
  <c r="B32872" i="1"/>
  <c r="B32871" i="1"/>
  <c r="B32870" i="1"/>
  <c r="B32869" i="1"/>
  <c r="B32868" i="1"/>
  <c r="B32867" i="1"/>
  <c r="B32866" i="1"/>
  <c r="B32865" i="1"/>
  <c r="B32864" i="1"/>
  <c r="B32863" i="1"/>
  <c r="B32862" i="1"/>
  <c r="B32861" i="1"/>
  <c r="B32860" i="1"/>
  <c r="B32859" i="1"/>
  <c r="B32858" i="1"/>
  <c r="B32857" i="1"/>
  <c r="B32856" i="1"/>
  <c r="B32855" i="1"/>
  <c r="B32854" i="1"/>
  <c r="B32853" i="1"/>
  <c r="B32852" i="1"/>
  <c r="B32851" i="1"/>
  <c r="B32850" i="1"/>
  <c r="B32849" i="1"/>
  <c r="B32848" i="1"/>
  <c r="B32847" i="1"/>
  <c r="B32846" i="1"/>
  <c r="B32845" i="1"/>
  <c r="B32844" i="1"/>
  <c r="B32843" i="1"/>
  <c r="B32842" i="1"/>
  <c r="B32841" i="1"/>
  <c r="B32840" i="1"/>
  <c r="B32839" i="1"/>
  <c r="B32838" i="1"/>
  <c r="B32837" i="1"/>
  <c r="B32836" i="1"/>
  <c r="B32835" i="1"/>
  <c r="B32834" i="1"/>
  <c r="B32833" i="1"/>
  <c r="B32832" i="1"/>
  <c r="B32831" i="1"/>
  <c r="B32830" i="1"/>
  <c r="B32829" i="1"/>
  <c r="B32828" i="1"/>
  <c r="B32827" i="1"/>
  <c r="B32826" i="1"/>
  <c r="B32825" i="1"/>
  <c r="B32824" i="1"/>
  <c r="B32823" i="1"/>
  <c r="B32822" i="1"/>
  <c r="B32821" i="1"/>
  <c r="B32820" i="1"/>
  <c r="B32819" i="1"/>
  <c r="B32818" i="1"/>
  <c r="B32817" i="1"/>
  <c r="B32816" i="1"/>
  <c r="B32815" i="1"/>
  <c r="B32814" i="1"/>
  <c r="B32813" i="1"/>
  <c r="B32812" i="1"/>
  <c r="B32811" i="1"/>
  <c r="B32810" i="1"/>
  <c r="B32809" i="1"/>
  <c r="B32808" i="1"/>
  <c r="B32807" i="1"/>
  <c r="B32806" i="1"/>
  <c r="B32805" i="1"/>
  <c r="B32804" i="1"/>
  <c r="B32803" i="1"/>
  <c r="B32802" i="1"/>
  <c r="B32801" i="1"/>
  <c r="B32800" i="1"/>
  <c r="B32799" i="1"/>
  <c r="B32798" i="1"/>
  <c r="B32797" i="1"/>
  <c r="B32796" i="1"/>
  <c r="B32795" i="1"/>
  <c r="B32794" i="1"/>
  <c r="B32793" i="1"/>
  <c r="B32792" i="1"/>
  <c r="B32791" i="1"/>
  <c r="B32790" i="1"/>
  <c r="B32789" i="1"/>
  <c r="B32788" i="1"/>
  <c r="B32787" i="1"/>
  <c r="B32786" i="1"/>
  <c r="B32785" i="1"/>
  <c r="B32784" i="1"/>
  <c r="B32783" i="1"/>
  <c r="B32782" i="1"/>
  <c r="B32781" i="1"/>
  <c r="B32780" i="1"/>
  <c r="B32779" i="1"/>
  <c r="B32778" i="1"/>
  <c r="B32777" i="1"/>
  <c r="B32776" i="1"/>
  <c r="B32775" i="1"/>
  <c r="B32774" i="1"/>
  <c r="B32773" i="1"/>
  <c r="B32772" i="1"/>
  <c r="B32771" i="1"/>
  <c r="B32770" i="1"/>
  <c r="B32769" i="1"/>
  <c r="B32768" i="1"/>
  <c r="B32767" i="1"/>
  <c r="B32766" i="1"/>
  <c r="B32765" i="1"/>
  <c r="B32764" i="1"/>
  <c r="B32763" i="1"/>
  <c r="B32762" i="1"/>
  <c r="B32761" i="1"/>
  <c r="B32760" i="1"/>
  <c r="B32759" i="1"/>
  <c r="B32758" i="1"/>
  <c r="B32757" i="1"/>
  <c r="B32756" i="1"/>
  <c r="B32755" i="1"/>
  <c r="B32754" i="1"/>
  <c r="B32753" i="1"/>
  <c r="B32752" i="1"/>
  <c r="B32751" i="1"/>
  <c r="B32750" i="1"/>
  <c r="B32749" i="1"/>
  <c r="B32748" i="1"/>
  <c r="B32747" i="1"/>
  <c r="B32746" i="1"/>
  <c r="B32745" i="1"/>
  <c r="B32744" i="1"/>
  <c r="B32743" i="1"/>
  <c r="B32742" i="1"/>
  <c r="B32741" i="1"/>
  <c r="B32740" i="1"/>
  <c r="B32739" i="1"/>
  <c r="B32738" i="1"/>
  <c r="B32737" i="1"/>
  <c r="B32736" i="1"/>
  <c r="B32735" i="1"/>
  <c r="B32734" i="1"/>
  <c r="B32733" i="1"/>
  <c r="B32732" i="1"/>
  <c r="B32731" i="1"/>
  <c r="B32730" i="1"/>
  <c r="B32729" i="1"/>
  <c r="B32728" i="1"/>
  <c r="B32727" i="1"/>
  <c r="B32726" i="1"/>
  <c r="B32725" i="1"/>
  <c r="B32724" i="1"/>
  <c r="B32723" i="1"/>
  <c r="B32722" i="1"/>
  <c r="B32721" i="1"/>
  <c r="B32720" i="1"/>
  <c r="B32719" i="1"/>
  <c r="B32718" i="1"/>
  <c r="B32717" i="1"/>
  <c r="B32716" i="1"/>
  <c r="B32715" i="1"/>
  <c r="B32714" i="1"/>
  <c r="B32713" i="1"/>
  <c r="B32712" i="1"/>
  <c r="B32711" i="1"/>
  <c r="B32710" i="1"/>
  <c r="B32709" i="1"/>
  <c r="B32708" i="1"/>
  <c r="B32707" i="1"/>
  <c r="B32706" i="1"/>
  <c r="B32705" i="1"/>
  <c r="B32704" i="1"/>
  <c r="B32703" i="1"/>
  <c r="B32702" i="1"/>
  <c r="B32701" i="1"/>
  <c r="B32700" i="1"/>
  <c r="B32699" i="1"/>
  <c r="B32698" i="1"/>
  <c r="B32697" i="1"/>
  <c r="B32696" i="1"/>
  <c r="B32695" i="1"/>
  <c r="B32694" i="1"/>
  <c r="B32693" i="1"/>
  <c r="B32692" i="1"/>
  <c r="B32691" i="1"/>
  <c r="B32690" i="1"/>
  <c r="B32689" i="1"/>
  <c r="B32688" i="1"/>
  <c r="B32687" i="1"/>
  <c r="B32686" i="1"/>
  <c r="B32685" i="1"/>
  <c r="B32684" i="1"/>
  <c r="B32683" i="1"/>
  <c r="B32682" i="1"/>
  <c r="B32681" i="1"/>
  <c r="B32680" i="1"/>
  <c r="B32679" i="1"/>
  <c r="B32678" i="1"/>
  <c r="B32677" i="1"/>
  <c r="B32676" i="1"/>
  <c r="B32675" i="1"/>
  <c r="B32674" i="1"/>
  <c r="B32673" i="1"/>
  <c r="B32672" i="1"/>
  <c r="B32671" i="1"/>
  <c r="B32670" i="1"/>
  <c r="B32669" i="1"/>
  <c r="B32668" i="1"/>
  <c r="B32667" i="1"/>
  <c r="B32666" i="1"/>
  <c r="B32665" i="1"/>
  <c r="B32664" i="1"/>
  <c r="B32663" i="1"/>
  <c r="B32662" i="1"/>
  <c r="B32661" i="1"/>
  <c r="B32660" i="1"/>
  <c r="B32659" i="1"/>
  <c r="B32658" i="1"/>
  <c r="B32657" i="1"/>
  <c r="B32656" i="1"/>
  <c r="B32655" i="1"/>
  <c r="B32654" i="1"/>
  <c r="B32653" i="1"/>
  <c r="B32652" i="1"/>
  <c r="B32651" i="1"/>
  <c r="B32650" i="1"/>
  <c r="B32649" i="1"/>
  <c r="B32648" i="1"/>
  <c r="B32647" i="1"/>
  <c r="B32646" i="1"/>
  <c r="B32645" i="1"/>
  <c r="B32644" i="1"/>
  <c r="B32643" i="1"/>
  <c r="B32642" i="1"/>
  <c r="B32641" i="1"/>
  <c r="B32640" i="1"/>
  <c r="B32639" i="1"/>
  <c r="B32638" i="1"/>
  <c r="B32637" i="1"/>
  <c r="B32636" i="1"/>
  <c r="B32635" i="1"/>
  <c r="B32634" i="1"/>
  <c r="B32633" i="1"/>
  <c r="B32632" i="1"/>
  <c r="B32631" i="1"/>
  <c r="B32630" i="1"/>
  <c r="B32629" i="1"/>
  <c r="B32628" i="1"/>
  <c r="B32627" i="1"/>
  <c r="B32626" i="1"/>
  <c r="B32625" i="1"/>
  <c r="B32624" i="1"/>
  <c r="B32623" i="1"/>
  <c r="B32622" i="1"/>
  <c r="B32621" i="1"/>
  <c r="B32620" i="1"/>
  <c r="B32619" i="1"/>
  <c r="B32618" i="1"/>
  <c r="B32617" i="1"/>
  <c r="B32616" i="1"/>
  <c r="B32615" i="1"/>
  <c r="B32614" i="1"/>
  <c r="B32613" i="1"/>
  <c r="B32612" i="1"/>
  <c r="B32611" i="1"/>
  <c r="B32610" i="1"/>
  <c r="B32609" i="1"/>
  <c r="B32608" i="1"/>
  <c r="B32607" i="1"/>
  <c r="B32606" i="1"/>
  <c r="B32605" i="1"/>
  <c r="B32604" i="1"/>
  <c r="B32603" i="1"/>
  <c r="B32602" i="1"/>
  <c r="B32601" i="1"/>
  <c r="B32600" i="1"/>
  <c r="B32599" i="1"/>
  <c r="B32598" i="1"/>
  <c r="B32597" i="1"/>
  <c r="B32596" i="1"/>
  <c r="B32595" i="1"/>
  <c r="B32594" i="1"/>
  <c r="B32593" i="1"/>
  <c r="B32592" i="1"/>
  <c r="B32591" i="1"/>
  <c r="B32590" i="1"/>
  <c r="B32589" i="1"/>
  <c r="B32588" i="1"/>
  <c r="B32587" i="1"/>
  <c r="B32586" i="1"/>
  <c r="B32585" i="1"/>
  <c r="B32584" i="1"/>
  <c r="B32583" i="1"/>
  <c r="B32582" i="1"/>
  <c r="B32581" i="1"/>
  <c r="B32580" i="1"/>
  <c r="B32579" i="1"/>
  <c r="B32578" i="1"/>
  <c r="B32577" i="1"/>
  <c r="B32576" i="1"/>
  <c r="B32575" i="1"/>
  <c r="B32574" i="1"/>
  <c r="B32573" i="1"/>
  <c r="B32572" i="1"/>
  <c r="B32571" i="1"/>
  <c r="B32570" i="1"/>
  <c r="B32569" i="1"/>
  <c r="B32568" i="1"/>
  <c r="B32567" i="1"/>
  <c r="B32566" i="1"/>
  <c r="B32565" i="1"/>
  <c r="B32564" i="1"/>
  <c r="B32563" i="1"/>
  <c r="B32562" i="1"/>
  <c r="B32561" i="1"/>
  <c r="B32560" i="1"/>
  <c r="B32559" i="1"/>
  <c r="B32558" i="1"/>
  <c r="B32557" i="1"/>
  <c r="B32556" i="1"/>
  <c r="B32555" i="1"/>
  <c r="B32554" i="1"/>
  <c r="B32553" i="1"/>
  <c r="B32552" i="1"/>
  <c r="B32551" i="1"/>
  <c r="B32550" i="1"/>
  <c r="B32549" i="1"/>
  <c r="B32548" i="1"/>
  <c r="B32547" i="1"/>
  <c r="B32546" i="1"/>
  <c r="B32545" i="1"/>
  <c r="B32544" i="1"/>
  <c r="B32543" i="1"/>
  <c r="B32542" i="1"/>
  <c r="B32541" i="1"/>
  <c r="B32540" i="1"/>
  <c r="B32539" i="1"/>
  <c r="B32538" i="1"/>
  <c r="B32537" i="1"/>
  <c r="B32536" i="1"/>
  <c r="B32535" i="1"/>
  <c r="B32534" i="1"/>
  <c r="B32533" i="1"/>
  <c r="B32532" i="1"/>
  <c r="B32531" i="1"/>
  <c r="B32530" i="1"/>
  <c r="B32529" i="1"/>
  <c r="B32528" i="1"/>
  <c r="B32527" i="1"/>
  <c r="B32526" i="1"/>
  <c r="B32525" i="1"/>
  <c r="B32524" i="1"/>
  <c r="B32523" i="1"/>
  <c r="B32522" i="1"/>
  <c r="B32521" i="1"/>
  <c r="B32520" i="1"/>
  <c r="B32519" i="1"/>
  <c r="B32518" i="1"/>
  <c r="B32517" i="1"/>
  <c r="B32516" i="1"/>
  <c r="B32515" i="1"/>
  <c r="B32514" i="1"/>
  <c r="B32513" i="1"/>
  <c r="B32512" i="1"/>
  <c r="B32511" i="1"/>
  <c r="B32510" i="1"/>
  <c r="B32509" i="1"/>
  <c r="B32508" i="1"/>
  <c r="B32507" i="1"/>
  <c r="B32506" i="1"/>
  <c r="B32505" i="1"/>
  <c r="B32504" i="1"/>
  <c r="B32503" i="1"/>
  <c r="B32502" i="1"/>
  <c r="B32501" i="1"/>
  <c r="B32500" i="1"/>
  <c r="B32499" i="1"/>
  <c r="B32498" i="1"/>
  <c r="B32497" i="1"/>
  <c r="B32496" i="1"/>
  <c r="B32495" i="1"/>
  <c r="B32494" i="1"/>
  <c r="B32493" i="1"/>
  <c r="B32492" i="1"/>
  <c r="B32491" i="1"/>
  <c r="B32490" i="1"/>
  <c r="B32489" i="1"/>
  <c r="B32488" i="1"/>
  <c r="B32487" i="1"/>
  <c r="B32486" i="1"/>
  <c r="B32485" i="1"/>
  <c r="B32484" i="1"/>
  <c r="B32483" i="1"/>
  <c r="B32482" i="1"/>
  <c r="B32481" i="1"/>
  <c r="B32480" i="1"/>
  <c r="B32479" i="1"/>
  <c r="B32478" i="1"/>
  <c r="B32477" i="1"/>
  <c r="B32476" i="1"/>
  <c r="B32475" i="1"/>
  <c r="B32474" i="1"/>
  <c r="B32473" i="1"/>
  <c r="B32472" i="1"/>
  <c r="B32471" i="1"/>
  <c r="B32470" i="1"/>
  <c r="B32469" i="1"/>
  <c r="B32468" i="1"/>
  <c r="B32467" i="1"/>
  <c r="B32466" i="1"/>
  <c r="B32465" i="1"/>
  <c r="B32464" i="1"/>
  <c r="B32463" i="1"/>
  <c r="B32462" i="1"/>
  <c r="B32461" i="1"/>
  <c r="B32460" i="1"/>
  <c r="B32459" i="1"/>
  <c r="B32458" i="1"/>
  <c r="B32457" i="1"/>
  <c r="B32456" i="1"/>
  <c r="B32455" i="1"/>
  <c r="B32454" i="1"/>
  <c r="B32453" i="1"/>
  <c r="B32452" i="1"/>
  <c r="B32451" i="1"/>
  <c r="B32450" i="1"/>
  <c r="B32449" i="1"/>
  <c r="B32448" i="1"/>
  <c r="B32447" i="1"/>
  <c r="B32446" i="1"/>
  <c r="B32445" i="1"/>
  <c r="B32444" i="1"/>
  <c r="B32443" i="1"/>
  <c r="B32442" i="1"/>
  <c r="B32441" i="1"/>
  <c r="B32440" i="1"/>
  <c r="B32439" i="1"/>
  <c r="B32438" i="1"/>
  <c r="B32437" i="1"/>
  <c r="B32436" i="1"/>
  <c r="B32435" i="1"/>
  <c r="B32434" i="1"/>
  <c r="B32433" i="1"/>
  <c r="B32432" i="1"/>
  <c r="B32431" i="1"/>
  <c r="B32430" i="1"/>
  <c r="B32429" i="1"/>
  <c r="B32428" i="1"/>
  <c r="B32427" i="1"/>
  <c r="B32426" i="1"/>
  <c r="B32425" i="1"/>
  <c r="B32424" i="1"/>
  <c r="B32423" i="1"/>
  <c r="B32422" i="1"/>
  <c r="B32421" i="1"/>
  <c r="B32420" i="1"/>
  <c r="B32419" i="1"/>
  <c r="B32418" i="1"/>
  <c r="B32417" i="1"/>
  <c r="B32416" i="1"/>
  <c r="B32415" i="1"/>
  <c r="B32414" i="1"/>
  <c r="B32413" i="1"/>
  <c r="B32412" i="1"/>
  <c r="B32411" i="1"/>
  <c r="B32410" i="1"/>
  <c r="B32409" i="1"/>
  <c r="B32408" i="1"/>
  <c r="B32407" i="1"/>
  <c r="B32406" i="1"/>
  <c r="B32405" i="1"/>
  <c r="B32404" i="1"/>
  <c r="B32403" i="1"/>
  <c r="B32402" i="1"/>
  <c r="B32401" i="1"/>
  <c r="B32400" i="1"/>
  <c r="B32399" i="1"/>
  <c r="B32398" i="1"/>
  <c r="B32397" i="1"/>
  <c r="B32396" i="1"/>
  <c r="B32395" i="1"/>
  <c r="B32394" i="1"/>
  <c r="B32393" i="1"/>
  <c r="B32392" i="1"/>
  <c r="B32391" i="1"/>
  <c r="B32390" i="1"/>
  <c r="B32389" i="1"/>
  <c r="B32388" i="1"/>
  <c r="B32387" i="1"/>
  <c r="B32386" i="1"/>
  <c r="B32385" i="1"/>
  <c r="B32384" i="1"/>
  <c r="B32383" i="1"/>
  <c r="B32382" i="1"/>
  <c r="B32381" i="1"/>
  <c r="B32380" i="1"/>
  <c r="B32379" i="1"/>
  <c r="B32378" i="1"/>
  <c r="B32377" i="1"/>
  <c r="B32376" i="1"/>
  <c r="B32375" i="1"/>
  <c r="B32374" i="1"/>
  <c r="B32373" i="1"/>
  <c r="B32372" i="1"/>
  <c r="B32371" i="1"/>
  <c r="B32370" i="1"/>
  <c r="B32369" i="1"/>
  <c r="B32368" i="1"/>
  <c r="B32367" i="1"/>
  <c r="B32366" i="1"/>
  <c r="B32365" i="1"/>
  <c r="B32364" i="1"/>
  <c r="B32363" i="1"/>
  <c r="B32362" i="1"/>
  <c r="B32361" i="1"/>
  <c r="B32360" i="1"/>
  <c r="B32359" i="1"/>
  <c r="B32358" i="1"/>
  <c r="B32357" i="1"/>
  <c r="B32356" i="1"/>
  <c r="B32355" i="1"/>
  <c r="B32354" i="1"/>
  <c r="B32353" i="1"/>
  <c r="B32352" i="1"/>
  <c r="B32351" i="1"/>
  <c r="B32350" i="1"/>
  <c r="B32349" i="1"/>
  <c r="B32348" i="1"/>
  <c r="B32347" i="1"/>
  <c r="B32346" i="1"/>
  <c r="B32345" i="1"/>
  <c r="B32344" i="1"/>
  <c r="B32343" i="1"/>
  <c r="B32342" i="1"/>
  <c r="B32341" i="1"/>
  <c r="B32340" i="1"/>
  <c r="B32339" i="1"/>
  <c r="B32338" i="1"/>
  <c r="B32337" i="1"/>
  <c r="B32336" i="1"/>
  <c r="B32335" i="1"/>
  <c r="B32334" i="1"/>
  <c r="B32333" i="1"/>
  <c r="B32332" i="1"/>
  <c r="B32331" i="1"/>
  <c r="B32330" i="1"/>
  <c r="B32329" i="1"/>
  <c r="B32328" i="1"/>
  <c r="B32327" i="1"/>
  <c r="B32326" i="1"/>
  <c r="B32325" i="1"/>
  <c r="B32324" i="1"/>
  <c r="B32323" i="1"/>
  <c r="B32322" i="1"/>
  <c r="B32321" i="1"/>
  <c r="B32320" i="1"/>
  <c r="B32319" i="1"/>
  <c r="B32318" i="1"/>
  <c r="B32317" i="1"/>
  <c r="B32316" i="1"/>
  <c r="B32315" i="1"/>
  <c r="B32314" i="1"/>
  <c r="B32313" i="1"/>
  <c r="B32312" i="1"/>
  <c r="B32311" i="1"/>
  <c r="B32310" i="1"/>
  <c r="B32309" i="1"/>
  <c r="B32308" i="1"/>
  <c r="B32307" i="1"/>
  <c r="B32306" i="1"/>
  <c r="B32305" i="1"/>
  <c r="B32304" i="1"/>
  <c r="B32303" i="1"/>
  <c r="B32302" i="1"/>
  <c r="B32301" i="1"/>
  <c r="B32300" i="1"/>
  <c r="B32299" i="1"/>
  <c r="B32298" i="1"/>
  <c r="B32297" i="1"/>
  <c r="B32296" i="1"/>
  <c r="B32295" i="1"/>
  <c r="B32294" i="1"/>
  <c r="B32293" i="1"/>
  <c r="B32292" i="1"/>
  <c r="B32291" i="1"/>
  <c r="B32290" i="1"/>
  <c r="B32289" i="1"/>
  <c r="B32288" i="1"/>
  <c r="B32287" i="1"/>
  <c r="B32286" i="1"/>
  <c r="B32285" i="1"/>
  <c r="B32284" i="1"/>
  <c r="B32283" i="1"/>
  <c r="B32282" i="1"/>
  <c r="B32281" i="1"/>
  <c r="B32280" i="1"/>
  <c r="B32279" i="1"/>
  <c r="B32278" i="1"/>
  <c r="B32277" i="1"/>
  <c r="B32276" i="1"/>
  <c r="B32275" i="1"/>
  <c r="B32274" i="1"/>
  <c r="B32273" i="1"/>
  <c r="B32272" i="1"/>
  <c r="B32271" i="1"/>
  <c r="B32270" i="1"/>
  <c r="B32269" i="1"/>
  <c r="B32268" i="1"/>
  <c r="B32267" i="1"/>
  <c r="B32266" i="1"/>
  <c r="B32265" i="1"/>
  <c r="B32264" i="1"/>
  <c r="B32263" i="1"/>
  <c r="B32262" i="1"/>
  <c r="B32261" i="1"/>
  <c r="B32260" i="1"/>
  <c r="B32259" i="1"/>
  <c r="B32258" i="1"/>
  <c r="B32257" i="1"/>
  <c r="B32256" i="1"/>
  <c r="B32255" i="1"/>
  <c r="B32254" i="1"/>
  <c r="B32253" i="1"/>
  <c r="B32252" i="1"/>
  <c r="B32251" i="1"/>
  <c r="B32250" i="1"/>
  <c r="B32249" i="1"/>
  <c r="B32248" i="1"/>
  <c r="B32247" i="1"/>
  <c r="B32246" i="1"/>
  <c r="B32245" i="1"/>
  <c r="B32244" i="1"/>
  <c r="B32243" i="1"/>
  <c r="B32242" i="1"/>
  <c r="B32241" i="1"/>
  <c r="B32240" i="1"/>
  <c r="B32239" i="1"/>
  <c r="B32238" i="1"/>
  <c r="B32237" i="1"/>
  <c r="B32236" i="1"/>
  <c r="B32235" i="1"/>
  <c r="B32234" i="1"/>
  <c r="B32233" i="1"/>
  <c r="B32232" i="1"/>
  <c r="B32231" i="1"/>
  <c r="B32230" i="1"/>
  <c r="B32229" i="1"/>
  <c r="B32228" i="1"/>
  <c r="B32227" i="1"/>
  <c r="B32226" i="1"/>
  <c r="B32225" i="1"/>
  <c r="B32224" i="1"/>
  <c r="B32223" i="1"/>
  <c r="B32222" i="1"/>
  <c r="B32221" i="1"/>
  <c r="B32220" i="1"/>
  <c r="B32219" i="1"/>
  <c r="B32218" i="1"/>
  <c r="B32217" i="1"/>
  <c r="B32216" i="1"/>
  <c r="B32215" i="1"/>
  <c r="B32214" i="1"/>
  <c r="B32213" i="1"/>
  <c r="B32212" i="1"/>
  <c r="B32211" i="1"/>
  <c r="B32210" i="1"/>
  <c r="B32209" i="1"/>
  <c r="B32208" i="1"/>
  <c r="B32207" i="1"/>
  <c r="B32206" i="1"/>
  <c r="B32205" i="1"/>
  <c r="B32204" i="1"/>
  <c r="B32203" i="1"/>
  <c r="B32202" i="1"/>
  <c r="B32201" i="1"/>
  <c r="B32200" i="1"/>
  <c r="B32199" i="1"/>
  <c r="B32198" i="1"/>
  <c r="B32197" i="1"/>
  <c r="B32196" i="1"/>
  <c r="B32195" i="1"/>
  <c r="B32194" i="1"/>
  <c r="B32193" i="1"/>
  <c r="B32192" i="1"/>
  <c r="B32191" i="1"/>
  <c r="B32190" i="1"/>
  <c r="B32189" i="1"/>
  <c r="B32188" i="1"/>
  <c r="B32187" i="1"/>
  <c r="B32186" i="1"/>
  <c r="B32185" i="1"/>
  <c r="B32184" i="1"/>
  <c r="B32183" i="1"/>
  <c r="B32182" i="1"/>
  <c r="B32181" i="1"/>
  <c r="B32180" i="1"/>
  <c r="B32179" i="1"/>
  <c r="B32178" i="1"/>
  <c r="B32177" i="1"/>
  <c r="B32176" i="1"/>
  <c r="B32175" i="1"/>
  <c r="B32174" i="1"/>
  <c r="B32173" i="1"/>
  <c r="B32172" i="1"/>
  <c r="B32171" i="1"/>
  <c r="B32170" i="1"/>
  <c r="B32169" i="1"/>
  <c r="B32168" i="1"/>
  <c r="B32167" i="1"/>
  <c r="B32166" i="1"/>
  <c r="B32165" i="1"/>
  <c r="B32164" i="1"/>
  <c r="B32163" i="1"/>
  <c r="B32162" i="1"/>
  <c r="B32161" i="1"/>
  <c r="B32160" i="1"/>
  <c r="B32159" i="1"/>
  <c r="B32158" i="1"/>
  <c r="B32157" i="1"/>
  <c r="B32156" i="1"/>
  <c r="B32155" i="1"/>
  <c r="B32154" i="1"/>
  <c r="B32153" i="1"/>
  <c r="B32152" i="1"/>
  <c r="B32151" i="1"/>
  <c r="B32150" i="1"/>
  <c r="B32149" i="1"/>
  <c r="B32148" i="1"/>
  <c r="B32147" i="1"/>
  <c r="B32146" i="1"/>
  <c r="B32145" i="1"/>
  <c r="B32144" i="1"/>
  <c r="B32143" i="1"/>
  <c r="B32142" i="1"/>
  <c r="B32141" i="1"/>
  <c r="B32140" i="1"/>
  <c r="B32139" i="1"/>
  <c r="B32138" i="1"/>
  <c r="B32137" i="1"/>
  <c r="B32136" i="1"/>
  <c r="B32135" i="1"/>
  <c r="B32134" i="1"/>
  <c r="B32133" i="1"/>
  <c r="B32132" i="1"/>
  <c r="B32131" i="1"/>
  <c r="B32130" i="1"/>
  <c r="B32129" i="1"/>
  <c r="B32128" i="1"/>
  <c r="B32127" i="1"/>
  <c r="B32126" i="1"/>
  <c r="B32125" i="1"/>
  <c r="B32124" i="1"/>
  <c r="B32123" i="1"/>
  <c r="B32122" i="1"/>
  <c r="B32121" i="1"/>
  <c r="B32120" i="1"/>
  <c r="B32119" i="1"/>
  <c r="B32118" i="1"/>
  <c r="B32117" i="1"/>
  <c r="B32116" i="1"/>
  <c r="B32115" i="1"/>
  <c r="B32114" i="1"/>
  <c r="B32113" i="1"/>
  <c r="B32112" i="1"/>
  <c r="B32111" i="1"/>
  <c r="B32110" i="1"/>
  <c r="B32109" i="1"/>
  <c r="B32108" i="1"/>
  <c r="B32107" i="1"/>
  <c r="B32106" i="1"/>
  <c r="B32105" i="1"/>
  <c r="B32104" i="1"/>
  <c r="B32103" i="1"/>
  <c r="B32102" i="1"/>
  <c r="B32101" i="1"/>
  <c r="B32100" i="1"/>
  <c r="B32099" i="1"/>
  <c r="B32098" i="1"/>
  <c r="B32097" i="1"/>
  <c r="B32096" i="1"/>
  <c r="B32095" i="1"/>
  <c r="B32094" i="1"/>
  <c r="B32093" i="1"/>
  <c r="B32092" i="1"/>
  <c r="B32091" i="1"/>
  <c r="B32090" i="1"/>
  <c r="B32089" i="1"/>
  <c r="B32088" i="1"/>
  <c r="B32087" i="1"/>
  <c r="B32086" i="1"/>
  <c r="B32085" i="1"/>
  <c r="B32084" i="1"/>
  <c r="B32083" i="1"/>
  <c r="B32082" i="1"/>
  <c r="B32081" i="1"/>
  <c r="B32080" i="1"/>
  <c r="B32079" i="1"/>
  <c r="B32078" i="1"/>
  <c r="B32077" i="1"/>
  <c r="B32076" i="1"/>
  <c r="B32075" i="1"/>
  <c r="B32074" i="1"/>
  <c r="B32073" i="1"/>
  <c r="B32072" i="1"/>
  <c r="B32071" i="1"/>
  <c r="B32070" i="1"/>
  <c r="B32069" i="1"/>
  <c r="B32068" i="1"/>
  <c r="B32067" i="1"/>
  <c r="B32066" i="1"/>
  <c r="B32065" i="1"/>
  <c r="B32064" i="1"/>
  <c r="B32063" i="1"/>
  <c r="B32062" i="1"/>
  <c r="B32061" i="1"/>
  <c r="B32060" i="1"/>
  <c r="B32059" i="1"/>
  <c r="B32058" i="1"/>
  <c r="B32057" i="1"/>
  <c r="B32056" i="1"/>
  <c r="B32055" i="1"/>
  <c r="B32054" i="1"/>
  <c r="B32053" i="1"/>
  <c r="B32052" i="1"/>
  <c r="B32051" i="1"/>
  <c r="B32050" i="1"/>
  <c r="B32049" i="1"/>
  <c r="B32048" i="1"/>
  <c r="B32047" i="1"/>
  <c r="B32046" i="1"/>
  <c r="B32045" i="1"/>
  <c r="B32044" i="1"/>
  <c r="B32043" i="1"/>
  <c r="B32042" i="1"/>
  <c r="B32041" i="1"/>
  <c r="B32040" i="1"/>
  <c r="B32039" i="1"/>
  <c r="B32038" i="1"/>
  <c r="B32037" i="1"/>
  <c r="B32036" i="1"/>
  <c r="B32035" i="1"/>
  <c r="B32034" i="1"/>
  <c r="B32033" i="1"/>
  <c r="B32032" i="1"/>
  <c r="B32031" i="1"/>
  <c r="B32030" i="1"/>
  <c r="B32029" i="1"/>
  <c r="B32028" i="1"/>
  <c r="B32027" i="1"/>
  <c r="B32026" i="1"/>
  <c r="B32025" i="1"/>
  <c r="B32024" i="1"/>
  <c r="B32023" i="1"/>
  <c r="B32022" i="1"/>
  <c r="B32021" i="1"/>
  <c r="B32020" i="1"/>
  <c r="B32019" i="1"/>
  <c r="B32018" i="1"/>
  <c r="B32017" i="1"/>
  <c r="B32016" i="1"/>
  <c r="B32015" i="1"/>
  <c r="B32014" i="1"/>
  <c r="B32013" i="1"/>
  <c r="B32012" i="1"/>
  <c r="B32011" i="1"/>
  <c r="B32010" i="1"/>
  <c r="B32009" i="1"/>
  <c r="B32008" i="1"/>
  <c r="B32007" i="1"/>
  <c r="B32006" i="1"/>
  <c r="B32005" i="1"/>
  <c r="B32004" i="1"/>
  <c r="B32003" i="1"/>
  <c r="B32002" i="1"/>
  <c r="B32001" i="1"/>
  <c r="B32000" i="1"/>
  <c r="B31999" i="1"/>
  <c r="B31998" i="1"/>
  <c r="B31997" i="1"/>
  <c r="B31996" i="1"/>
  <c r="B31995" i="1"/>
  <c r="B31994" i="1"/>
  <c r="B31993" i="1"/>
  <c r="B31992" i="1"/>
  <c r="B31991" i="1"/>
  <c r="B31990" i="1"/>
  <c r="B31989" i="1"/>
  <c r="B31988" i="1"/>
  <c r="B31987" i="1"/>
  <c r="B31986" i="1"/>
  <c r="B31985" i="1"/>
  <c r="B31984" i="1"/>
  <c r="B31983" i="1"/>
  <c r="B31982" i="1"/>
  <c r="B31981" i="1"/>
  <c r="B31980" i="1"/>
  <c r="B31979" i="1"/>
  <c r="B31978" i="1"/>
  <c r="B31977" i="1"/>
  <c r="B31976" i="1"/>
  <c r="B31975" i="1"/>
  <c r="B31974" i="1"/>
  <c r="B31973" i="1"/>
  <c r="B31972" i="1"/>
  <c r="B31971" i="1"/>
  <c r="B31970" i="1"/>
  <c r="B31969" i="1"/>
  <c r="B31968" i="1"/>
  <c r="B31967" i="1"/>
  <c r="B31966" i="1"/>
  <c r="B31965" i="1"/>
  <c r="B31964" i="1"/>
  <c r="B31963" i="1"/>
  <c r="B31962" i="1"/>
  <c r="B31961" i="1"/>
  <c r="B31960" i="1"/>
  <c r="B31959" i="1"/>
  <c r="B31958" i="1"/>
  <c r="B31957" i="1"/>
  <c r="B31956" i="1"/>
  <c r="B31955" i="1"/>
  <c r="B31954" i="1"/>
  <c r="B31953" i="1"/>
  <c r="B31952" i="1"/>
  <c r="B31951" i="1"/>
  <c r="B31950" i="1"/>
  <c r="B31949" i="1"/>
  <c r="B31948" i="1"/>
  <c r="B31947" i="1"/>
  <c r="B31946" i="1"/>
  <c r="B31945" i="1"/>
  <c r="B31944" i="1"/>
  <c r="B31943" i="1"/>
  <c r="B31942" i="1"/>
  <c r="B31941" i="1"/>
  <c r="B31940" i="1"/>
  <c r="B31939" i="1"/>
  <c r="B31938" i="1"/>
  <c r="B31937" i="1"/>
  <c r="B31936" i="1"/>
  <c r="B31935" i="1"/>
  <c r="B31934" i="1"/>
  <c r="B31933" i="1"/>
  <c r="B31932" i="1"/>
  <c r="B31931" i="1"/>
  <c r="B31930" i="1"/>
  <c r="B31929" i="1"/>
  <c r="B31928" i="1"/>
  <c r="B31927" i="1"/>
  <c r="B31926" i="1"/>
  <c r="B31925" i="1"/>
  <c r="B31924" i="1"/>
  <c r="B31923" i="1"/>
  <c r="B31922" i="1"/>
  <c r="B31921" i="1"/>
  <c r="B31920" i="1"/>
  <c r="B31919" i="1"/>
  <c r="B31918" i="1"/>
  <c r="B31917" i="1"/>
  <c r="B31916" i="1"/>
  <c r="B31915" i="1"/>
  <c r="B31914" i="1"/>
  <c r="B31913" i="1"/>
  <c r="B31912" i="1"/>
  <c r="B31911" i="1"/>
  <c r="B31910" i="1"/>
  <c r="B31909" i="1"/>
  <c r="B31908" i="1"/>
  <c r="B31907" i="1"/>
  <c r="B31906" i="1"/>
  <c r="B31905" i="1"/>
  <c r="B31904" i="1"/>
  <c r="B31903" i="1"/>
  <c r="B31902" i="1"/>
  <c r="B31901" i="1"/>
  <c r="B31900" i="1"/>
  <c r="B31899" i="1"/>
  <c r="B31898" i="1"/>
  <c r="B31897" i="1"/>
  <c r="B31896" i="1"/>
  <c r="B31895" i="1"/>
  <c r="B31894" i="1"/>
  <c r="B31893" i="1"/>
  <c r="B31892" i="1"/>
  <c r="B31891" i="1"/>
  <c r="B31890" i="1"/>
  <c r="B31889" i="1"/>
  <c r="B31888" i="1"/>
  <c r="B31887" i="1"/>
  <c r="B31886" i="1"/>
  <c r="B31885" i="1"/>
  <c r="B31884" i="1"/>
  <c r="B31883" i="1"/>
  <c r="B31882" i="1"/>
  <c r="B31881" i="1"/>
  <c r="B31880" i="1"/>
  <c r="B31879" i="1"/>
  <c r="B31878" i="1"/>
  <c r="B31877" i="1"/>
  <c r="B31876" i="1"/>
  <c r="B31875" i="1"/>
  <c r="B31874" i="1"/>
  <c r="B31873" i="1"/>
  <c r="B31872" i="1"/>
  <c r="B31871" i="1"/>
  <c r="B31870" i="1"/>
  <c r="B31869" i="1"/>
  <c r="B31868" i="1"/>
  <c r="B31867" i="1"/>
  <c r="B31866" i="1"/>
  <c r="B31865" i="1"/>
  <c r="B31864" i="1"/>
  <c r="B31863" i="1"/>
  <c r="B31862" i="1"/>
  <c r="B31861" i="1"/>
  <c r="B31860" i="1"/>
  <c r="B31859" i="1"/>
  <c r="B31858" i="1"/>
  <c r="B31857" i="1"/>
  <c r="B31856" i="1"/>
  <c r="B31855" i="1"/>
  <c r="B31854" i="1"/>
  <c r="B31853" i="1"/>
  <c r="B31852" i="1"/>
  <c r="B31851" i="1"/>
  <c r="B31850" i="1"/>
  <c r="B31849" i="1"/>
  <c r="B31848" i="1"/>
  <c r="B31847" i="1"/>
  <c r="B31846" i="1"/>
  <c r="B31845" i="1"/>
  <c r="B31844" i="1"/>
  <c r="B31843" i="1"/>
  <c r="B31842" i="1"/>
  <c r="B31841" i="1"/>
  <c r="B31840" i="1"/>
  <c r="B31839" i="1"/>
  <c r="B31838" i="1"/>
  <c r="B31837" i="1"/>
  <c r="B31836" i="1"/>
  <c r="B31835" i="1"/>
  <c r="B31834" i="1"/>
  <c r="B31833" i="1"/>
  <c r="B31832" i="1"/>
  <c r="B31831" i="1"/>
  <c r="B31830" i="1"/>
  <c r="B31829" i="1"/>
  <c r="B31828" i="1"/>
  <c r="B31827" i="1"/>
  <c r="B31826" i="1"/>
  <c r="B31825" i="1"/>
  <c r="B31824" i="1"/>
  <c r="B31823" i="1"/>
  <c r="B31822" i="1"/>
  <c r="B31821" i="1"/>
  <c r="B31820" i="1"/>
  <c r="B31819" i="1"/>
  <c r="B31818" i="1"/>
  <c r="B31817" i="1"/>
  <c r="B31816" i="1"/>
  <c r="B31815" i="1"/>
  <c r="B31814" i="1"/>
  <c r="B31813" i="1"/>
  <c r="B31812" i="1"/>
  <c r="B31811" i="1"/>
  <c r="B31810" i="1"/>
  <c r="B31809" i="1"/>
  <c r="B31808" i="1"/>
  <c r="B31807" i="1"/>
  <c r="B31806" i="1"/>
  <c r="B31805" i="1"/>
  <c r="B31804" i="1"/>
  <c r="B31803" i="1"/>
  <c r="B31802" i="1"/>
  <c r="B31801" i="1"/>
  <c r="B31800" i="1"/>
  <c r="B31799" i="1"/>
  <c r="B31798" i="1"/>
  <c r="B31797" i="1"/>
  <c r="B31796" i="1"/>
  <c r="B31795" i="1"/>
  <c r="B31794" i="1"/>
  <c r="B31793" i="1"/>
  <c r="B31792" i="1"/>
  <c r="B31791" i="1"/>
  <c r="B31790" i="1"/>
  <c r="B31789" i="1"/>
  <c r="B31788" i="1"/>
  <c r="B31787" i="1"/>
  <c r="B31786" i="1"/>
  <c r="B31785" i="1"/>
  <c r="B31784" i="1"/>
  <c r="B31783" i="1"/>
  <c r="B31782" i="1"/>
  <c r="B31781" i="1"/>
  <c r="B31780" i="1"/>
  <c r="B31779" i="1"/>
  <c r="B31778" i="1"/>
  <c r="B31777" i="1"/>
  <c r="B31776" i="1"/>
  <c r="B31775" i="1"/>
  <c r="B31774" i="1"/>
  <c r="B31773" i="1"/>
  <c r="B31772" i="1"/>
  <c r="B31771" i="1"/>
  <c r="B31770" i="1"/>
  <c r="B31769" i="1"/>
  <c r="B31768" i="1"/>
  <c r="B31767" i="1"/>
  <c r="B31766" i="1"/>
  <c r="B31765" i="1"/>
  <c r="B31764" i="1"/>
  <c r="B31763" i="1"/>
  <c r="B31762" i="1"/>
  <c r="B31761" i="1"/>
  <c r="B31760" i="1"/>
  <c r="B31759" i="1"/>
  <c r="B31758" i="1"/>
  <c r="B31757" i="1"/>
  <c r="B31756" i="1"/>
  <c r="B31755" i="1"/>
  <c r="B31754" i="1"/>
  <c r="B31753" i="1"/>
  <c r="B31752" i="1"/>
  <c r="B31751" i="1"/>
  <c r="B31750" i="1"/>
  <c r="B31749" i="1"/>
  <c r="B31748" i="1"/>
  <c r="B31747" i="1"/>
  <c r="B31746" i="1"/>
  <c r="B31745" i="1"/>
  <c r="B31744" i="1"/>
  <c r="B31743" i="1"/>
  <c r="B31742" i="1"/>
  <c r="B31741" i="1"/>
  <c r="B31740" i="1"/>
  <c r="B31739" i="1"/>
  <c r="B31738" i="1"/>
  <c r="B31737" i="1"/>
  <c r="B31736" i="1"/>
  <c r="B31735" i="1"/>
  <c r="B31734" i="1"/>
  <c r="B31733" i="1"/>
  <c r="B31732" i="1"/>
  <c r="B31731" i="1"/>
  <c r="B31730" i="1"/>
  <c r="B31729" i="1"/>
  <c r="B31728" i="1"/>
  <c r="B31727" i="1"/>
  <c r="B31726" i="1"/>
  <c r="B31725" i="1"/>
  <c r="B31724" i="1"/>
  <c r="B31723" i="1"/>
  <c r="B31722" i="1"/>
  <c r="B31721" i="1"/>
  <c r="B31720" i="1"/>
  <c r="B31719" i="1"/>
  <c r="B31718" i="1"/>
  <c r="B31717" i="1"/>
  <c r="B31716" i="1"/>
  <c r="B31715" i="1"/>
  <c r="B31714" i="1"/>
  <c r="B31713" i="1"/>
  <c r="B31712" i="1"/>
  <c r="B31711" i="1"/>
  <c r="B31710" i="1"/>
  <c r="B31709" i="1"/>
  <c r="B31708" i="1"/>
  <c r="B31707" i="1"/>
  <c r="B31706" i="1"/>
  <c r="B31705" i="1"/>
  <c r="B31704" i="1"/>
  <c r="B31703" i="1"/>
  <c r="B31702" i="1"/>
  <c r="B31701" i="1"/>
  <c r="B31700" i="1"/>
  <c r="B31699" i="1"/>
  <c r="B31698" i="1"/>
  <c r="B31697" i="1"/>
  <c r="B31696" i="1"/>
  <c r="B31695" i="1"/>
  <c r="B31694" i="1"/>
  <c r="B31693" i="1"/>
  <c r="B31692" i="1"/>
  <c r="B31691" i="1"/>
  <c r="B31690" i="1"/>
  <c r="B31689" i="1"/>
  <c r="B31688" i="1"/>
  <c r="B31687" i="1"/>
  <c r="B31686" i="1"/>
  <c r="B31685" i="1"/>
  <c r="B31684" i="1"/>
  <c r="B31683" i="1"/>
  <c r="B31682" i="1"/>
  <c r="B31681" i="1"/>
  <c r="B31680" i="1"/>
  <c r="B31679" i="1"/>
  <c r="B31678" i="1"/>
  <c r="B31677" i="1"/>
  <c r="B31676" i="1"/>
  <c r="B31675" i="1"/>
  <c r="B31674" i="1"/>
  <c r="B31673" i="1"/>
  <c r="B31672" i="1"/>
  <c r="B31671" i="1"/>
  <c r="B31670" i="1"/>
  <c r="B31669" i="1"/>
  <c r="B31668" i="1"/>
  <c r="B31667" i="1"/>
  <c r="B31666" i="1"/>
  <c r="B31665" i="1"/>
  <c r="B31664" i="1"/>
  <c r="B31663" i="1"/>
  <c r="B31662" i="1"/>
  <c r="B31661" i="1"/>
  <c r="B31660" i="1"/>
  <c r="B31659" i="1"/>
  <c r="B31658" i="1"/>
  <c r="B31657" i="1"/>
  <c r="B31656" i="1"/>
  <c r="B31655" i="1"/>
  <c r="B31654" i="1"/>
  <c r="B31653" i="1"/>
  <c r="B31652" i="1"/>
  <c r="B31651" i="1"/>
  <c r="B31650" i="1"/>
  <c r="B31649" i="1"/>
  <c r="B31648" i="1"/>
  <c r="B31647" i="1"/>
  <c r="B31646" i="1"/>
  <c r="B31645" i="1"/>
  <c r="B31644" i="1"/>
  <c r="B31643" i="1"/>
  <c r="B31642" i="1"/>
  <c r="B31641" i="1"/>
  <c r="B31640" i="1"/>
  <c r="B31639" i="1"/>
  <c r="B31638" i="1"/>
  <c r="B31637" i="1"/>
  <c r="B31636" i="1"/>
  <c r="B31635" i="1"/>
  <c r="B31634" i="1"/>
  <c r="B31633" i="1"/>
  <c r="B31632" i="1"/>
  <c r="B31631" i="1"/>
  <c r="B31630" i="1"/>
  <c r="B31629" i="1"/>
  <c r="B31628" i="1"/>
  <c r="B31627" i="1"/>
  <c r="B31626" i="1"/>
  <c r="B31625" i="1"/>
  <c r="B31624" i="1"/>
  <c r="B31623" i="1"/>
  <c r="B31622" i="1"/>
  <c r="B31621" i="1"/>
  <c r="B31620" i="1"/>
  <c r="B31619" i="1"/>
  <c r="B31618" i="1"/>
  <c r="B31617" i="1"/>
  <c r="B31616" i="1"/>
  <c r="B31615" i="1"/>
  <c r="B31614" i="1"/>
  <c r="B31613" i="1"/>
  <c r="B31612" i="1"/>
  <c r="B31611" i="1"/>
  <c r="B31610" i="1"/>
  <c r="B31609" i="1"/>
  <c r="B31608" i="1"/>
  <c r="B31607" i="1"/>
  <c r="B31606" i="1"/>
  <c r="B31605" i="1"/>
  <c r="B31604" i="1"/>
  <c r="B31603" i="1"/>
  <c r="B31602" i="1"/>
  <c r="B31601" i="1"/>
  <c r="B31600" i="1"/>
  <c r="B31599" i="1"/>
  <c r="B31598" i="1"/>
  <c r="B31597" i="1"/>
  <c r="B31596" i="1"/>
  <c r="B31595" i="1"/>
  <c r="B31594" i="1"/>
  <c r="B31593" i="1"/>
  <c r="B31592" i="1"/>
  <c r="B31591" i="1"/>
  <c r="B31590" i="1"/>
  <c r="B31589" i="1"/>
  <c r="B31588" i="1"/>
  <c r="B31587" i="1"/>
  <c r="B31586" i="1"/>
  <c r="B31585" i="1"/>
  <c r="B31584" i="1"/>
  <c r="B31583" i="1"/>
  <c r="B31582" i="1"/>
  <c r="B31581" i="1"/>
  <c r="B31580" i="1"/>
  <c r="B31579" i="1"/>
  <c r="B31578" i="1"/>
  <c r="B31577" i="1"/>
  <c r="B31576" i="1"/>
  <c r="B31575" i="1"/>
  <c r="B31574" i="1"/>
  <c r="B31573" i="1"/>
  <c r="B31572" i="1"/>
  <c r="B31571" i="1"/>
  <c r="B31570" i="1"/>
  <c r="B31569" i="1"/>
  <c r="B31568" i="1"/>
  <c r="B31567" i="1"/>
  <c r="B31566" i="1"/>
  <c r="B31565" i="1"/>
  <c r="B31564" i="1"/>
  <c r="B31563" i="1"/>
  <c r="B31562" i="1"/>
  <c r="B31561" i="1"/>
  <c r="B31560" i="1"/>
  <c r="B31559" i="1"/>
  <c r="B31558" i="1"/>
  <c r="B31557" i="1"/>
  <c r="B31556" i="1"/>
  <c r="B31555" i="1"/>
  <c r="B31554" i="1"/>
  <c r="B31553" i="1"/>
  <c r="B31552" i="1"/>
  <c r="B31551" i="1"/>
  <c r="B31550" i="1"/>
  <c r="B31549" i="1"/>
  <c r="B31548" i="1"/>
  <c r="B31547" i="1"/>
  <c r="B31546" i="1"/>
  <c r="B31545" i="1"/>
  <c r="B31544" i="1"/>
  <c r="B31543" i="1"/>
  <c r="B31542" i="1"/>
  <c r="B31541" i="1"/>
  <c r="B31540" i="1"/>
  <c r="B31539" i="1"/>
  <c r="B31538" i="1"/>
  <c r="B31537" i="1"/>
  <c r="B31536" i="1"/>
  <c r="B31535" i="1"/>
  <c r="B31534" i="1"/>
  <c r="B31533" i="1"/>
  <c r="B31532" i="1"/>
  <c r="B31531" i="1"/>
  <c r="B31530" i="1"/>
  <c r="B31529" i="1"/>
  <c r="B31528" i="1"/>
  <c r="B31527" i="1"/>
  <c r="B31526" i="1"/>
  <c r="B31525" i="1"/>
  <c r="B31524" i="1"/>
  <c r="B31523" i="1"/>
  <c r="B31522" i="1"/>
  <c r="B31521" i="1"/>
  <c r="B31520" i="1"/>
  <c r="B31519" i="1"/>
  <c r="B31518" i="1"/>
  <c r="B31517" i="1"/>
  <c r="B31516" i="1"/>
  <c r="B31515" i="1"/>
  <c r="B31514" i="1"/>
  <c r="B31513" i="1"/>
  <c r="B31512" i="1"/>
  <c r="B31511" i="1"/>
  <c r="B31510" i="1"/>
  <c r="B31509" i="1"/>
  <c r="B31508" i="1"/>
  <c r="B31507" i="1"/>
  <c r="B31506" i="1"/>
  <c r="B31505" i="1"/>
  <c r="B31504" i="1"/>
  <c r="B31503" i="1"/>
  <c r="B31502" i="1"/>
  <c r="B31501" i="1"/>
  <c r="B31500" i="1"/>
  <c r="B31499" i="1"/>
  <c r="B31498" i="1"/>
  <c r="B31497" i="1"/>
  <c r="B31496" i="1"/>
  <c r="B31495" i="1"/>
  <c r="B31494" i="1"/>
  <c r="B31493" i="1"/>
  <c r="B31492" i="1"/>
  <c r="B31491" i="1"/>
  <c r="B31490" i="1"/>
  <c r="B31489" i="1"/>
  <c r="B31488" i="1"/>
  <c r="B31487" i="1"/>
  <c r="B31486" i="1"/>
  <c r="B31485" i="1"/>
  <c r="B31484" i="1"/>
  <c r="B31483" i="1"/>
  <c r="B31482" i="1"/>
  <c r="B31481" i="1"/>
  <c r="B31480" i="1"/>
  <c r="B31479" i="1"/>
  <c r="B31478" i="1"/>
  <c r="B31477" i="1"/>
  <c r="B31476" i="1"/>
  <c r="B31475" i="1"/>
  <c r="B31474" i="1"/>
  <c r="B31473" i="1"/>
  <c r="B31472" i="1"/>
  <c r="B31471" i="1"/>
  <c r="B31470" i="1"/>
  <c r="B31469" i="1"/>
  <c r="B31468" i="1"/>
  <c r="B31467" i="1"/>
  <c r="B31466" i="1"/>
  <c r="B31465" i="1"/>
  <c r="B31464" i="1"/>
  <c r="B31463" i="1"/>
  <c r="B31462" i="1"/>
  <c r="B31461" i="1"/>
  <c r="B31460" i="1"/>
  <c r="B31459" i="1"/>
  <c r="B31458" i="1"/>
  <c r="B31457" i="1"/>
  <c r="B31456" i="1"/>
  <c r="B31455" i="1"/>
  <c r="B31454" i="1"/>
  <c r="B31453" i="1"/>
  <c r="B31452" i="1"/>
  <c r="B31451" i="1"/>
  <c r="B31450" i="1"/>
  <c r="B31449" i="1"/>
  <c r="B31448" i="1"/>
  <c r="B31447" i="1"/>
  <c r="B31446" i="1"/>
  <c r="B31445" i="1"/>
  <c r="B31444" i="1"/>
  <c r="B31443" i="1"/>
  <c r="B31442" i="1"/>
  <c r="B31441" i="1"/>
  <c r="B31440" i="1"/>
  <c r="B31439" i="1"/>
  <c r="B31438" i="1"/>
  <c r="B31437" i="1"/>
  <c r="B31436" i="1"/>
  <c r="B31435" i="1"/>
  <c r="B31434" i="1"/>
  <c r="B31433" i="1"/>
  <c r="B31432" i="1"/>
  <c r="B31431" i="1"/>
  <c r="B31430" i="1"/>
  <c r="B31429" i="1"/>
  <c r="B31428" i="1"/>
  <c r="B31427" i="1"/>
  <c r="B31426" i="1"/>
  <c r="B31425" i="1"/>
  <c r="B31424" i="1"/>
  <c r="B31423" i="1"/>
  <c r="B31422" i="1"/>
  <c r="B31421" i="1"/>
  <c r="B31420" i="1"/>
  <c r="B31419" i="1"/>
  <c r="B31418" i="1"/>
  <c r="B31417" i="1"/>
  <c r="B31416" i="1"/>
  <c r="B31415" i="1"/>
  <c r="B31414" i="1"/>
  <c r="B31413" i="1"/>
  <c r="B31412" i="1"/>
  <c r="B31411" i="1"/>
  <c r="B31410" i="1"/>
  <c r="B31409" i="1"/>
  <c r="B31408" i="1"/>
  <c r="B31407" i="1"/>
  <c r="B31406" i="1"/>
  <c r="B31405" i="1"/>
  <c r="B31404" i="1"/>
  <c r="B31403" i="1"/>
  <c r="B31402" i="1"/>
  <c r="B31401" i="1"/>
  <c r="B31400" i="1"/>
  <c r="B31399" i="1"/>
  <c r="B31398" i="1"/>
  <c r="B31397" i="1"/>
  <c r="B31396" i="1"/>
  <c r="B31395" i="1"/>
  <c r="B31394" i="1"/>
  <c r="B31393" i="1"/>
  <c r="B31392" i="1"/>
  <c r="B31391" i="1"/>
  <c r="B31390" i="1"/>
  <c r="B31389" i="1"/>
  <c r="B31388" i="1"/>
  <c r="B31387" i="1"/>
  <c r="B31386" i="1"/>
  <c r="B31385" i="1"/>
  <c r="B31384" i="1"/>
  <c r="B31383" i="1"/>
  <c r="B31382" i="1"/>
  <c r="B31381" i="1"/>
  <c r="B31380" i="1"/>
  <c r="B31379" i="1"/>
  <c r="B31378" i="1"/>
  <c r="B31377" i="1"/>
  <c r="B31376" i="1"/>
  <c r="B31375" i="1"/>
  <c r="B31374" i="1"/>
  <c r="B31373" i="1"/>
  <c r="B31372" i="1"/>
  <c r="B31371" i="1"/>
  <c r="B31370" i="1"/>
  <c r="B31369" i="1"/>
  <c r="B31368" i="1"/>
  <c r="B31367" i="1"/>
  <c r="B31366" i="1"/>
  <c r="B31365" i="1"/>
  <c r="B31364" i="1"/>
  <c r="B31363" i="1"/>
  <c r="B31362" i="1"/>
  <c r="B31361" i="1"/>
  <c r="B31360" i="1"/>
  <c r="B31359" i="1"/>
  <c r="B31358" i="1"/>
  <c r="B31357" i="1"/>
  <c r="B31356" i="1"/>
  <c r="B31355" i="1"/>
  <c r="B31354" i="1"/>
  <c r="B31353" i="1"/>
  <c r="B31352" i="1"/>
  <c r="B31351" i="1"/>
  <c r="B31350" i="1"/>
  <c r="B31349" i="1"/>
  <c r="B31348" i="1"/>
  <c r="B31347" i="1"/>
  <c r="B31346" i="1"/>
  <c r="B31345" i="1"/>
  <c r="B31344" i="1"/>
  <c r="B31343" i="1"/>
  <c r="B31342" i="1"/>
  <c r="B31341" i="1"/>
  <c r="B31340" i="1"/>
  <c r="B31339" i="1"/>
  <c r="B31338" i="1"/>
  <c r="B31337" i="1"/>
  <c r="B31336" i="1"/>
  <c r="B31335" i="1"/>
  <c r="B31334" i="1"/>
  <c r="B31333" i="1"/>
  <c r="B31332" i="1"/>
  <c r="B31331" i="1"/>
  <c r="B31330" i="1"/>
  <c r="B31329" i="1"/>
  <c r="B31328" i="1"/>
  <c r="B31327" i="1"/>
  <c r="B31326" i="1"/>
  <c r="B31325" i="1"/>
  <c r="B31324" i="1"/>
  <c r="B31323" i="1"/>
  <c r="B31322" i="1"/>
  <c r="B31321" i="1"/>
  <c r="B31320" i="1"/>
  <c r="B31319" i="1"/>
  <c r="B31318" i="1"/>
  <c r="B31317" i="1"/>
  <c r="B31316" i="1"/>
  <c r="B31315" i="1"/>
  <c r="B31314" i="1"/>
  <c r="B31313" i="1"/>
  <c r="B31312" i="1"/>
  <c r="B31311" i="1"/>
  <c r="B31310" i="1"/>
  <c r="B31309" i="1"/>
  <c r="B31308" i="1"/>
  <c r="B31307" i="1"/>
  <c r="B31306" i="1"/>
  <c r="B31305" i="1"/>
  <c r="B31304" i="1"/>
  <c r="B31303" i="1"/>
  <c r="B31302" i="1"/>
  <c r="B31301" i="1"/>
  <c r="B31300" i="1"/>
  <c r="B31299" i="1"/>
  <c r="B31298" i="1"/>
  <c r="B31297" i="1"/>
  <c r="B31296" i="1"/>
  <c r="B31295" i="1"/>
  <c r="B31294" i="1"/>
  <c r="B31293" i="1"/>
  <c r="B31292" i="1"/>
  <c r="B31291" i="1"/>
  <c r="B31290" i="1"/>
  <c r="B31289" i="1"/>
  <c r="B31288" i="1"/>
  <c r="B31287" i="1"/>
  <c r="B31286" i="1"/>
  <c r="B31285" i="1"/>
  <c r="B31284" i="1"/>
  <c r="B31283" i="1"/>
  <c r="B31282" i="1"/>
  <c r="B31281" i="1"/>
  <c r="B31280" i="1"/>
  <c r="B31279" i="1"/>
  <c r="B31278" i="1"/>
  <c r="B31277" i="1"/>
  <c r="B31276" i="1"/>
  <c r="B31275" i="1"/>
  <c r="B31274" i="1"/>
  <c r="B31273" i="1"/>
  <c r="B31272" i="1"/>
  <c r="B31271" i="1"/>
  <c r="B31270" i="1"/>
  <c r="B31269" i="1"/>
  <c r="B31268" i="1"/>
  <c r="B31267" i="1"/>
  <c r="B31266" i="1"/>
  <c r="B31265" i="1"/>
  <c r="B31264" i="1"/>
  <c r="B31263" i="1"/>
  <c r="B31262" i="1"/>
  <c r="B31261" i="1"/>
  <c r="B31260" i="1"/>
  <c r="B31259" i="1"/>
  <c r="B31258" i="1"/>
  <c r="B31257" i="1"/>
  <c r="B31256" i="1"/>
  <c r="B31255" i="1"/>
  <c r="B31254" i="1"/>
  <c r="B31253" i="1"/>
  <c r="B31252" i="1"/>
  <c r="B31251" i="1"/>
  <c r="B31250" i="1"/>
  <c r="B31249" i="1"/>
  <c r="B31248" i="1"/>
  <c r="B31247" i="1"/>
  <c r="B31246" i="1"/>
  <c r="B31245" i="1"/>
  <c r="B31244" i="1"/>
  <c r="B31243" i="1"/>
  <c r="B31242" i="1"/>
  <c r="B31241" i="1"/>
  <c r="B31240" i="1"/>
  <c r="B31239" i="1"/>
  <c r="B31238" i="1"/>
  <c r="B31237" i="1"/>
  <c r="B31236" i="1"/>
  <c r="B31235" i="1"/>
  <c r="B31234" i="1"/>
  <c r="B31233" i="1"/>
  <c r="B31232" i="1"/>
  <c r="B31231" i="1"/>
  <c r="B31230" i="1"/>
  <c r="B31229" i="1"/>
  <c r="B31228" i="1"/>
  <c r="B31227" i="1"/>
  <c r="B31226" i="1"/>
  <c r="B31225" i="1"/>
  <c r="B31224" i="1"/>
  <c r="B31223" i="1"/>
  <c r="B31222" i="1"/>
  <c r="B31221" i="1"/>
  <c r="B31220" i="1"/>
  <c r="B31219" i="1"/>
  <c r="B31218" i="1"/>
  <c r="B31217" i="1"/>
  <c r="B31216" i="1"/>
  <c r="B31215" i="1"/>
  <c r="B31214" i="1"/>
  <c r="B31213" i="1"/>
  <c r="B31212" i="1"/>
  <c r="B31211" i="1"/>
  <c r="B31210" i="1"/>
  <c r="B31209" i="1"/>
  <c r="B31208" i="1"/>
  <c r="B31207" i="1"/>
  <c r="B31206" i="1"/>
  <c r="B31205" i="1"/>
  <c r="B31204" i="1"/>
  <c r="B31203" i="1"/>
  <c r="B31202" i="1"/>
  <c r="B31201" i="1"/>
  <c r="B31200" i="1"/>
  <c r="B31199" i="1"/>
  <c r="B31198" i="1"/>
  <c r="B31197" i="1"/>
  <c r="B31196" i="1"/>
  <c r="B31195" i="1"/>
  <c r="B31194" i="1"/>
  <c r="B31193" i="1"/>
  <c r="B31192" i="1"/>
  <c r="B31191" i="1"/>
  <c r="B31190" i="1"/>
  <c r="B31189" i="1"/>
  <c r="B31188" i="1"/>
  <c r="B31187" i="1"/>
  <c r="B31186" i="1"/>
  <c r="B31185" i="1"/>
  <c r="B31184" i="1"/>
  <c r="B31183" i="1"/>
  <c r="B31182" i="1"/>
  <c r="B31181" i="1"/>
  <c r="B31180" i="1"/>
  <c r="B31179" i="1"/>
  <c r="B31178" i="1"/>
  <c r="B31177" i="1"/>
  <c r="B31176" i="1"/>
  <c r="B31175" i="1"/>
  <c r="B31174" i="1"/>
  <c r="B31173" i="1"/>
  <c r="B31172" i="1"/>
  <c r="B31171" i="1"/>
  <c r="B31170" i="1"/>
  <c r="B31169" i="1"/>
  <c r="B31168" i="1"/>
  <c r="B31167" i="1"/>
  <c r="B31166" i="1"/>
  <c r="B31165" i="1"/>
  <c r="B31164" i="1"/>
  <c r="B31163" i="1"/>
  <c r="B31162" i="1"/>
  <c r="B31161" i="1"/>
  <c r="B31160" i="1"/>
  <c r="B31159" i="1"/>
  <c r="B31158" i="1"/>
  <c r="B31157" i="1"/>
  <c r="B31156" i="1"/>
  <c r="B31155" i="1"/>
  <c r="B31154" i="1"/>
  <c r="B31153" i="1"/>
  <c r="B31152" i="1"/>
  <c r="B31151" i="1"/>
  <c r="B31150" i="1"/>
  <c r="B31149" i="1"/>
  <c r="B31148" i="1"/>
  <c r="B31147" i="1"/>
  <c r="B31146" i="1"/>
  <c r="B31145" i="1"/>
  <c r="B31144" i="1"/>
  <c r="B31143" i="1"/>
  <c r="B31142" i="1"/>
  <c r="B31141" i="1"/>
  <c r="B31140" i="1"/>
  <c r="B31139" i="1"/>
  <c r="B31138" i="1"/>
  <c r="B31137" i="1"/>
  <c r="B31136" i="1"/>
  <c r="B31135" i="1"/>
  <c r="B31134" i="1"/>
  <c r="B31133" i="1"/>
  <c r="B31132" i="1"/>
  <c r="B31131" i="1"/>
  <c r="B31130" i="1"/>
  <c r="B31129" i="1"/>
  <c r="B31128" i="1"/>
  <c r="B31127" i="1"/>
  <c r="B31126" i="1"/>
  <c r="B31125" i="1"/>
  <c r="B31124" i="1"/>
  <c r="B31123" i="1"/>
  <c r="B31122" i="1"/>
  <c r="B31121" i="1"/>
  <c r="B31120" i="1"/>
  <c r="B31119" i="1"/>
  <c r="B31118" i="1"/>
  <c r="B31117" i="1"/>
  <c r="B31116" i="1"/>
  <c r="B31115" i="1"/>
  <c r="B31114" i="1"/>
  <c r="B31113" i="1"/>
  <c r="B31112" i="1"/>
  <c r="B31111" i="1"/>
  <c r="B31110" i="1"/>
  <c r="B31109" i="1"/>
  <c r="B31108" i="1"/>
  <c r="B31107" i="1"/>
  <c r="B31106" i="1"/>
  <c r="B31105" i="1"/>
  <c r="B31104" i="1"/>
  <c r="B31103" i="1"/>
  <c r="B31102" i="1"/>
  <c r="B31101" i="1"/>
  <c r="B31100" i="1"/>
  <c r="B31099" i="1"/>
  <c r="B31098" i="1"/>
  <c r="B31097" i="1"/>
  <c r="B31096" i="1"/>
  <c r="B31095" i="1"/>
  <c r="B31094" i="1"/>
  <c r="B31093" i="1"/>
  <c r="B31092" i="1"/>
  <c r="B31091" i="1"/>
  <c r="B31090" i="1"/>
  <c r="B31089" i="1"/>
  <c r="B31088" i="1"/>
  <c r="B31087" i="1"/>
  <c r="B31086" i="1"/>
  <c r="B31085" i="1"/>
  <c r="B31084" i="1"/>
  <c r="B31083" i="1"/>
  <c r="B31082" i="1"/>
  <c r="B31081" i="1"/>
  <c r="B31080" i="1"/>
  <c r="B31079" i="1"/>
  <c r="B31078" i="1"/>
  <c r="B31077" i="1"/>
  <c r="B31076" i="1"/>
  <c r="B31075" i="1"/>
  <c r="B31074" i="1"/>
  <c r="B31073" i="1"/>
  <c r="B31072" i="1"/>
  <c r="B31071" i="1"/>
  <c r="B31070" i="1"/>
  <c r="B31069" i="1"/>
  <c r="B31068" i="1"/>
  <c r="B31067" i="1"/>
  <c r="B31066" i="1"/>
  <c r="B31065" i="1"/>
  <c r="B31064" i="1"/>
  <c r="B31063" i="1"/>
  <c r="B31062" i="1"/>
  <c r="B31061" i="1"/>
  <c r="B31060" i="1"/>
  <c r="B31059" i="1"/>
  <c r="B31058" i="1"/>
  <c r="B31057" i="1"/>
  <c r="B31056" i="1"/>
  <c r="B31055" i="1"/>
  <c r="B31054" i="1"/>
  <c r="B31053" i="1"/>
  <c r="B31052" i="1"/>
  <c r="B31051" i="1"/>
  <c r="B31050" i="1"/>
  <c r="B31049" i="1"/>
  <c r="B31048" i="1"/>
  <c r="B31047" i="1"/>
  <c r="B31046" i="1"/>
  <c r="B31045" i="1"/>
  <c r="B31044" i="1"/>
  <c r="B31043" i="1"/>
  <c r="B31042" i="1"/>
  <c r="B31041" i="1"/>
  <c r="B31040" i="1"/>
  <c r="B31039" i="1"/>
  <c r="B31038" i="1"/>
  <c r="B31037" i="1"/>
  <c r="B31036" i="1"/>
  <c r="B31035" i="1"/>
  <c r="B31034" i="1"/>
  <c r="B31033" i="1"/>
  <c r="B31032" i="1"/>
  <c r="B31031" i="1"/>
  <c r="B31030" i="1"/>
  <c r="B31029" i="1"/>
  <c r="B31028" i="1"/>
  <c r="B31027" i="1"/>
  <c r="B31026" i="1"/>
  <c r="B31025" i="1"/>
  <c r="B31024" i="1"/>
  <c r="B31023" i="1"/>
  <c r="B31022" i="1"/>
  <c r="B31021" i="1"/>
  <c r="B31020" i="1"/>
  <c r="B31019" i="1"/>
  <c r="B31018" i="1"/>
  <c r="B31017" i="1"/>
  <c r="B31016" i="1"/>
  <c r="B31015" i="1"/>
  <c r="B31014" i="1"/>
  <c r="B31013" i="1"/>
  <c r="B31012" i="1"/>
  <c r="B31011" i="1"/>
  <c r="B31010" i="1"/>
  <c r="B31009" i="1"/>
  <c r="B31008" i="1"/>
  <c r="B31007" i="1"/>
  <c r="B31006" i="1"/>
  <c r="B31005" i="1"/>
  <c r="B31004" i="1"/>
  <c r="B31003" i="1"/>
  <c r="B31002" i="1"/>
  <c r="B31001" i="1"/>
  <c r="B31000" i="1"/>
  <c r="B30999" i="1"/>
  <c r="B30998" i="1"/>
  <c r="B30997" i="1"/>
  <c r="B30996" i="1"/>
  <c r="B30995" i="1"/>
  <c r="B30994" i="1"/>
  <c r="B30993" i="1"/>
  <c r="B30992" i="1"/>
  <c r="B30991" i="1"/>
  <c r="B30990" i="1"/>
  <c r="B30989" i="1"/>
  <c r="B30988" i="1"/>
  <c r="B30987" i="1"/>
  <c r="B30986" i="1"/>
  <c r="B30985" i="1"/>
  <c r="B30984" i="1"/>
  <c r="B30983" i="1"/>
  <c r="B30982" i="1"/>
  <c r="B30981" i="1"/>
  <c r="B30980" i="1"/>
  <c r="B30979" i="1"/>
  <c r="B30978" i="1"/>
  <c r="B30977" i="1"/>
  <c r="B30976" i="1"/>
  <c r="B30975" i="1"/>
  <c r="B30974" i="1"/>
  <c r="B30973" i="1"/>
  <c r="B30972" i="1"/>
  <c r="B30971" i="1"/>
  <c r="B30970" i="1"/>
  <c r="B30969" i="1"/>
  <c r="B30968" i="1"/>
  <c r="B30967" i="1"/>
  <c r="B30966" i="1"/>
  <c r="B30965" i="1"/>
  <c r="B30964" i="1"/>
  <c r="B30963" i="1"/>
  <c r="B30962" i="1"/>
  <c r="B30961" i="1"/>
  <c r="B30960" i="1"/>
  <c r="B30959" i="1"/>
  <c r="B30958" i="1"/>
  <c r="B30957" i="1"/>
  <c r="B30956" i="1"/>
  <c r="B30955" i="1"/>
  <c r="B30954" i="1"/>
  <c r="B30953" i="1"/>
  <c r="B30952" i="1"/>
  <c r="B30951" i="1"/>
  <c r="B30950" i="1"/>
  <c r="B30949" i="1"/>
  <c r="B30948" i="1"/>
  <c r="B30947" i="1"/>
  <c r="B30946" i="1"/>
  <c r="B30945" i="1"/>
  <c r="B30944" i="1"/>
  <c r="B30943" i="1"/>
  <c r="B30942" i="1"/>
  <c r="B30941" i="1"/>
  <c r="B30940" i="1"/>
  <c r="B30939" i="1"/>
  <c r="B30938" i="1"/>
  <c r="B30937" i="1"/>
  <c r="B30936" i="1"/>
  <c r="B30935" i="1"/>
  <c r="B30934" i="1"/>
  <c r="B30933" i="1"/>
  <c r="B30932" i="1"/>
  <c r="B30931" i="1"/>
  <c r="B30930" i="1"/>
  <c r="B30929" i="1"/>
  <c r="B30928" i="1"/>
  <c r="B30927" i="1"/>
  <c r="B30926" i="1"/>
  <c r="B30925" i="1"/>
  <c r="B30924" i="1"/>
  <c r="B30923" i="1"/>
  <c r="B30922" i="1"/>
  <c r="B30921" i="1"/>
  <c r="B30920" i="1"/>
  <c r="B30919" i="1"/>
  <c r="B30918" i="1"/>
  <c r="B30917" i="1"/>
  <c r="B30916" i="1"/>
  <c r="B30915" i="1"/>
  <c r="B30914" i="1"/>
  <c r="B30913" i="1"/>
  <c r="B30912" i="1"/>
  <c r="B30911" i="1"/>
  <c r="B30910" i="1"/>
  <c r="B30909" i="1"/>
  <c r="B30908" i="1"/>
  <c r="B30907" i="1"/>
  <c r="B30906" i="1"/>
  <c r="B30905" i="1"/>
  <c r="B30904" i="1"/>
  <c r="B30903" i="1"/>
  <c r="B30902" i="1"/>
  <c r="B30901" i="1"/>
  <c r="B30900" i="1"/>
  <c r="B30899" i="1"/>
  <c r="B30898" i="1"/>
  <c r="B30897" i="1"/>
  <c r="B30896" i="1"/>
  <c r="B30895" i="1"/>
  <c r="B30894" i="1"/>
  <c r="B30893" i="1"/>
  <c r="B30892" i="1"/>
  <c r="B30891" i="1"/>
  <c r="B30890" i="1"/>
  <c r="B30889" i="1"/>
  <c r="B30888" i="1"/>
  <c r="B30887" i="1"/>
  <c r="B30886" i="1"/>
  <c r="B30885" i="1"/>
  <c r="B30884" i="1"/>
  <c r="B30883" i="1"/>
  <c r="B30882" i="1"/>
  <c r="B30881" i="1"/>
  <c r="B30880" i="1"/>
  <c r="B30879" i="1"/>
  <c r="B30878" i="1"/>
  <c r="B30877" i="1"/>
  <c r="B30876" i="1"/>
  <c r="B30875" i="1"/>
  <c r="B30874" i="1"/>
  <c r="B30873" i="1"/>
  <c r="B30872" i="1"/>
  <c r="B30871" i="1"/>
  <c r="B30870" i="1"/>
  <c r="B30869" i="1"/>
  <c r="B30868" i="1"/>
  <c r="B30867" i="1"/>
  <c r="B30866" i="1"/>
  <c r="B30865" i="1"/>
  <c r="B30864" i="1"/>
  <c r="B30863" i="1"/>
  <c r="B30862" i="1"/>
  <c r="B30861" i="1"/>
  <c r="B30860" i="1"/>
  <c r="B30859" i="1"/>
  <c r="B30858" i="1"/>
  <c r="B30857" i="1"/>
  <c r="B30856" i="1"/>
  <c r="B30855" i="1"/>
  <c r="B30854" i="1"/>
  <c r="B30853" i="1"/>
  <c r="B30852" i="1"/>
  <c r="B30851" i="1"/>
  <c r="B30850" i="1"/>
  <c r="B30849" i="1"/>
  <c r="B30848" i="1"/>
  <c r="B30847" i="1"/>
  <c r="B30846" i="1"/>
  <c r="B30845" i="1"/>
  <c r="B30844" i="1"/>
  <c r="B30843" i="1"/>
  <c r="B30842" i="1"/>
  <c r="B30841" i="1"/>
  <c r="B30840" i="1"/>
  <c r="B30839" i="1"/>
  <c r="B30838" i="1"/>
  <c r="B30837" i="1"/>
  <c r="B30836" i="1"/>
  <c r="B30835" i="1"/>
  <c r="B30834" i="1"/>
  <c r="B30833" i="1"/>
  <c r="B30832" i="1"/>
  <c r="B30831" i="1"/>
  <c r="B30830" i="1"/>
  <c r="B30829" i="1"/>
  <c r="B30828" i="1"/>
  <c r="B30827" i="1"/>
  <c r="B30826" i="1"/>
  <c r="B30825" i="1"/>
  <c r="B30824" i="1"/>
  <c r="B30823" i="1"/>
  <c r="B30822" i="1"/>
  <c r="B30821" i="1"/>
  <c r="B30820" i="1"/>
  <c r="B30819" i="1"/>
  <c r="B30818" i="1"/>
  <c r="B30817" i="1"/>
  <c r="B30816" i="1"/>
  <c r="B30815" i="1"/>
  <c r="B30814" i="1"/>
  <c r="B30813" i="1"/>
  <c r="B30812" i="1"/>
  <c r="B30811" i="1"/>
  <c r="B30810" i="1"/>
  <c r="B30809" i="1"/>
  <c r="B30808" i="1"/>
  <c r="B30807" i="1"/>
  <c r="B30806" i="1"/>
  <c r="B30805" i="1"/>
  <c r="B30804" i="1"/>
  <c r="B30803" i="1"/>
  <c r="B30802" i="1"/>
  <c r="B30801" i="1"/>
  <c r="B30800" i="1"/>
  <c r="B30799" i="1"/>
  <c r="B30798" i="1"/>
  <c r="B30797" i="1"/>
  <c r="B30796" i="1"/>
  <c r="B30795" i="1"/>
  <c r="B30794" i="1"/>
  <c r="B30793" i="1"/>
  <c r="B30792" i="1"/>
  <c r="B30791" i="1"/>
  <c r="B30790" i="1"/>
  <c r="B30789" i="1"/>
  <c r="B30788" i="1"/>
  <c r="B30787" i="1"/>
  <c r="B30786" i="1"/>
  <c r="B30785" i="1"/>
  <c r="B30784" i="1"/>
  <c r="B30783" i="1"/>
  <c r="B30782" i="1"/>
  <c r="B30781" i="1"/>
  <c r="B30780" i="1"/>
  <c r="B30779" i="1"/>
  <c r="B30778" i="1"/>
  <c r="B30777" i="1"/>
  <c r="B30776" i="1"/>
  <c r="B30775" i="1"/>
  <c r="B30774" i="1"/>
  <c r="B30773" i="1"/>
  <c r="B30772" i="1"/>
  <c r="B30771" i="1"/>
  <c r="B30770" i="1"/>
  <c r="B30769" i="1"/>
  <c r="B30768" i="1"/>
  <c r="B30767" i="1"/>
  <c r="B30766" i="1"/>
  <c r="B30765" i="1"/>
  <c r="B30764" i="1"/>
  <c r="B30763" i="1"/>
  <c r="B30762" i="1"/>
  <c r="B30761" i="1"/>
  <c r="B30760" i="1"/>
  <c r="B30759" i="1"/>
  <c r="B30758" i="1"/>
  <c r="B30757" i="1"/>
  <c r="B30756" i="1"/>
  <c r="B30755" i="1"/>
  <c r="B30754" i="1"/>
  <c r="B30753" i="1"/>
  <c r="B30752" i="1"/>
  <c r="B30751" i="1"/>
  <c r="B30750" i="1"/>
  <c r="B30749" i="1"/>
  <c r="B30748" i="1"/>
  <c r="B30747" i="1"/>
  <c r="B30746" i="1"/>
  <c r="B30745" i="1"/>
  <c r="B30744" i="1"/>
  <c r="B30743" i="1"/>
  <c r="B30742" i="1"/>
  <c r="B30741" i="1"/>
  <c r="B30740" i="1"/>
  <c r="B30739" i="1"/>
  <c r="B30738" i="1"/>
  <c r="B30737" i="1"/>
  <c r="B30736" i="1"/>
  <c r="B30735" i="1"/>
  <c r="B30734" i="1"/>
  <c r="B30733" i="1"/>
  <c r="B30732" i="1"/>
  <c r="B30731" i="1"/>
  <c r="B30730" i="1"/>
  <c r="B30729" i="1"/>
  <c r="B30728" i="1"/>
  <c r="B30727" i="1"/>
  <c r="B30726" i="1"/>
  <c r="B30725" i="1"/>
  <c r="B30724" i="1"/>
  <c r="B30723" i="1"/>
  <c r="B30722" i="1"/>
  <c r="B30721" i="1"/>
  <c r="B30720" i="1"/>
  <c r="B30719" i="1"/>
  <c r="B30718" i="1"/>
  <c r="B30717" i="1"/>
  <c r="B30716" i="1"/>
  <c r="B30715" i="1"/>
  <c r="B30714" i="1"/>
  <c r="B30713" i="1"/>
  <c r="B30712" i="1"/>
  <c r="B30711" i="1"/>
  <c r="B30710" i="1"/>
  <c r="B30709" i="1"/>
  <c r="B30708" i="1"/>
  <c r="B30707" i="1"/>
  <c r="B30706" i="1"/>
  <c r="B30705" i="1"/>
  <c r="B30704" i="1"/>
  <c r="B30703" i="1"/>
  <c r="B30702" i="1"/>
  <c r="B30701" i="1"/>
  <c r="B30700" i="1"/>
  <c r="B30699" i="1"/>
  <c r="B30698" i="1"/>
  <c r="B30697" i="1"/>
  <c r="B30696" i="1"/>
  <c r="B30695" i="1"/>
  <c r="B30694" i="1"/>
  <c r="B30693" i="1"/>
  <c r="B30692" i="1"/>
  <c r="B30691" i="1"/>
  <c r="B30690" i="1"/>
  <c r="B30689" i="1"/>
  <c r="B30688" i="1"/>
  <c r="B30687" i="1"/>
  <c r="B30686" i="1"/>
  <c r="B30685" i="1"/>
  <c r="B30684" i="1"/>
  <c r="B30683" i="1"/>
  <c r="B30682" i="1"/>
  <c r="B30681" i="1"/>
  <c r="B30680" i="1"/>
  <c r="B30679" i="1"/>
  <c r="B30678" i="1"/>
  <c r="B30677" i="1"/>
  <c r="B30676" i="1"/>
  <c r="B30675" i="1"/>
  <c r="B30674" i="1"/>
  <c r="B30673" i="1"/>
  <c r="B30672" i="1"/>
  <c r="B30671" i="1"/>
  <c r="B30670" i="1"/>
  <c r="B30669" i="1"/>
  <c r="B30668" i="1"/>
  <c r="B30667" i="1"/>
  <c r="B30666" i="1"/>
  <c r="B30665" i="1"/>
  <c r="B30664" i="1"/>
  <c r="B30663" i="1"/>
  <c r="B30662" i="1"/>
  <c r="B30661" i="1"/>
  <c r="B30660" i="1"/>
  <c r="B30659" i="1"/>
  <c r="B30658" i="1"/>
  <c r="B30657" i="1"/>
  <c r="B30656" i="1"/>
  <c r="B30655" i="1"/>
  <c r="B30654" i="1"/>
  <c r="B30653" i="1"/>
  <c r="B30652" i="1"/>
  <c r="B30651" i="1"/>
  <c r="B30650" i="1"/>
  <c r="B30649" i="1"/>
  <c r="B30648" i="1"/>
  <c r="B30647" i="1"/>
  <c r="B30646" i="1"/>
  <c r="B30645" i="1"/>
  <c r="B30644" i="1"/>
  <c r="B30643" i="1"/>
  <c r="B30642" i="1"/>
  <c r="B30641" i="1"/>
  <c r="B30640" i="1"/>
  <c r="B30639" i="1"/>
  <c r="B30638" i="1"/>
  <c r="B30637" i="1"/>
  <c r="B30636" i="1"/>
  <c r="B30635" i="1"/>
  <c r="B30634" i="1"/>
  <c r="B30633" i="1"/>
  <c r="B30632" i="1"/>
  <c r="B30631" i="1"/>
  <c r="B30630" i="1"/>
  <c r="B30629" i="1"/>
  <c r="B30628" i="1"/>
  <c r="B30627" i="1"/>
  <c r="B30626" i="1"/>
  <c r="B30625" i="1"/>
  <c r="B30624" i="1"/>
  <c r="B30623" i="1"/>
  <c r="B30622" i="1"/>
  <c r="B30621" i="1"/>
  <c r="B30620" i="1"/>
  <c r="B30619" i="1"/>
  <c r="B30618" i="1"/>
  <c r="B30617" i="1"/>
  <c r="B30616" i="1"/>
  <c r="B30615" i="1"/>
  <c r="B30614" i="1"/>
  <c r="B30613" i="1"/>
  <c r="B30612" i="1"/>
  <c r="B30611" i="1"/>
  <c r="B30610" i="1"/>
  <c r="B30609" i="1"/>
  <c r="B30608" i="1"/>
  <c r="B30607" i="1"/>
  <c r="B30606" i="1"/>
  <c r="B30605" i="1"/>
  <c r="B30604" i="1"/>
  <c r="B30603" i="1"/>
  <c r="B30602" i="1"/>
  <c r="B30601" i="1"/>
  <c r="B30600" i="1"/>
  <c r="B30599" i="1"/>
  <c r="B30598" i="1"/>
  <c r="B30597" i="1"/>
  <c r="B30596" i="1"/>
  <c r="B30595" i="1"/>
  <c r="B30594" i="1"/>
  <c r="B30593" i="1"/>
  <c r="B30592" i="1"/>
  <c r="B30591" i="1"/>
  <c r="B30590" i="1"/>
  <c r="B30589" i="1"/>
  <c r="B30588" i="1"/>
  <c r="B30587" i="1"/>
  <c r="B30586" i="1"/>
  <c r="B30585" i="1"/>
  <c r="B30584" i="1"/>
  <c r="B30583" i="1"/>
  <c r="B30582" i="1"/>
  <c r="B30581" i="1"/>
  <c r="B30580" i="1"/>
  <c r="B30579" i="1"/>
  <c r="B30578" i="1"/>
  <c r="B30577" i="1"/>
  <c r="B30576" i="1"/>
  <c r="B30575" i="1"/>
  <c r="B30574" i="1"/>
  <c r="B30573" i="1"/>
  <c r="B30572" i="1"/>
  <c r="B30571" i="1"/>
  <c r="B30570" i="1"/>
  <c r="B30569" i="1"/>
  <c r="B30568" i="1"/>
  <c r="B30567" i="1"/>
  <c r="B30566" i="1"/>
  <c r="B30565" i="1"/>
  <c r="B30564" i="1"/>
  <c r="B30563" i="1"/>
  <c r="B30562" i="1"/>
  <c r="B30561" i="1"/>
  <c r="B30560" i="1"/>
  <c r="B30559" i="1"/>
  <c r="B30558" i="1"/>
  <c r="B30557" i="1"/>
  <c r="B30556" i="1"/>
  <c r="B30555" i="1"/>
  <c r="B30554" i="1"/>
  <c r="B30553" i="1"/>
  <c r="B30552" i="1"/>
  <c r="B30551" i="1"/>
  <c r="B30550" i="1"/>
  <c r="B30549" i="1"/>
  <c r="B30548" i="1"/>
  <c r="B30547" i="1"/>
  <c r="B30546" i="1"/>
  <c r="B30545" i="1"/>
  <c r="B30544" i="1"/>
  <c r="B30543" i="1"/>
  <c r="B30542" i="1"/>
  <c r="B30541" i="1"/>
  <c r="B30540" i="1"/>
  <c r="B30539" i="1"/>
  <c r="B30538" i="1"/>
  <c r="B30537" i="1"/>
  <c r="B30536" i="1"/>
  <c r="B30535" i="1"/>
  <c r="B30534" i="1"/>
  <c r="B30533" i="1"/>
  <c r="B30532" i="1"/>
  <c r="B30531" i="1"/>
  <c r="B30530" i="1"/>
  <c r="B30529" i="1"/>
  <c r="B30528" i="1"/>
  <c r="B30527" i="1"/>
  <c r="B30526" i="1"/>
  <c r="B30525" i="1"/>
  <c r="B30524" i="1"/>
  <c r="B30523" i="1"/>
  <c r="B30522" i="1"/>
  <c r="B30521" i="1"/>
  <c r="B30520" i="1"/>
  <c r="B30519" i="1"/>
  <c r="B30518" i="1"/>
  <c r="B30517" i="1"/>
  <c r="B30516" i="1"/>
  <c r="B30515" i="1"/>
  <c r="B30514" i="1"/>
  <c r="B30513" i="1"/>
  <c r="B30512" i="1"/>
  <c r="B30511" i="1"/>
  <c r="B30510" i="1"/>
  <c r="B30509" i="1"/>
  <c r="B30508" i="1"/>
  <c r="B30507" i="1"/>
  <c r="B30506" i="1"/>
  <c r="B30505" i="1"/>
  <c r="B30504" i="1"/>
  <c r="B30503" i="1"/>
  <c r="B30502" i="1"/>
  <c r="B30501" i="1"/>
  <c r="B30500" i="1"/>
  <c r="B30499" i="1"/>
  <c r="B30498" i="1"/>
  <c r="B30497" i="1"/>
  <c r="B30496" i="1"/>
  <c r="B30495" i="1"/>
  <c r="B30494" i="1"/>
  <c r="B30493" i="1"/>
  <c r="B30492" i="1"/>
  <c r="B30491" i="1"/>
  <c r="B30490" i="1"/>
  <c r="B30489" i="1"/>
  <c r="B30488" i="1"/>
  <c r="B30487" i="1"/>
  <c r="B30486" i="1"/>
  <c r="B30485" i="1"/>
  <c r="B30484" i="1"/>
  <c r="B30483" i="1"/>
  <c r="B30482" i="1"/>
  <c r="B30481" i="1"/>
  <c r="B30480" i="1"/>
  <c r="B30479" i="1"/>
  <c r="B30478" i="1"/>
  <c r="B30477" i="1"/>
  <c r="B30476" i="1"/>
  <c r="B30475" i="1"/>
  <c r="B30474" i="1"/>
  <c r="B30473" i="1"/>
  <c r="B30472" i="1"/>
  <c r="B30471" i="1"/>
  <c r="B30470" i="1"/>
  <c r="B30469" i="1"/>
  <c r="B30468" i="1"/>
  <c r="B30467" i="1"/>
  <c r="B30466" i="1"/>
  <c r="B30465" i="1"/>
  <c r="B30464" i="1"/>
  <c r="B30463" i="1"/>
  <c r="B30462" i="1"/>
  <c r="B30461" i="1"/>
  <c r="B30460" i="1"/>
  <c r="B30459" i="1"/>
  <c r="B30458" i="1"/>
  <c r="B30457" i="1"/>
  <c r="B30456" i="1"/>
  <c r="B30455" i="1"/>
  <c r="B30454" i="1"/>
  <c r="B30453" i="1"/>
  <c r="B30452" i="1"/>
  <c r="B30451" i="1"/>
  <c r="B30450" i="1"/>
  <c r="B30449" i="1"/>
  <c r="B30448" i="1"/>
  <c r="B30447" i="1"/>
  <c r="B30446" i="1"/>
  <c r="B30445" i="1"/>
  <c r="B30444" i="1"/>
  <c r="B30443" i="1"/>
  <c r="B30442" i="1"/>
  <c r="B30441" i="1"/>
  <c r="B30440" i="1"/>
  <c r="B30439" i="1"/>
  <c r="B30438" i="1"/>
  <c r="B30437" i="1"/>
  <c r="B30436" i="1"/>
  <c r="B30435" i="1"/>
  <c r="B30434" i="1"/>
  <c r="B30433" i="1"/>
  <c r="B30432" i="1"/>
  <c r="B30431" i="1"/>
  <c r="B30430" i="1"/>
  <c r="B30429" i="1"/>
  <c r="B30428" i="1"/>
  <c r="B30427" i="1"/>
  <c r="B30426" i="1"/>
  <c r="B30425" i="1"/>
  <c r="B30424" i="1"/>
  <c r="B30423" i="1"/>
  <c r="B30422" i="1"/>
  <c r="B30421" i="1"/>
  <c r="B30420" i="1"/>
  <c r="B30419" i="1"/>
  <c r="B30418" i="1"/>
  <c r="B30417" i="1"/>
  <c r="B30416" i="1"/>
  <c r="B30415" i="1"/>
  <c r="B30414" i="1"/>
  <c r="B30413" i="1"/>
  <c r="B30412" i="1"/>
  <c r="B30411" i="1"/>
  <c r="B30410" i="1"/>
  <c r="B30409" i="1"/>
  <c r="B30408" i="1"/>
  <c r="B30407" i="1"/>
  <c r="B30406" i="1"/>
  <c r="B30405" i="1"/>
  <c r="B30404" i="1"/>
  <c r="B30403" i="1"/>
  <c r="B30402" i="1"/>
  <c r="B30401" i="1"/>
  <c r="B30400" i="1"/>
  <c r="B30399" i="1"/>
  <c r="B30398" i="1"/>
  <c r="B30397" i="1"/>
  <c r="B30396" i="1"/>
  <c r="B30395" i="1"/>
  <c r="B30394" i="1"/>
  <c r="B30393" i="1"/>
  <c r="B30392" i="1"/>
  <c r="B30391" i="1"/>
  <c r="B30390" i="1"/>
  <c r="B30389" i="1"/>
  <c r="B30388" i="1"/>
  <c r="B30387" i="1"/>
  <c r="B30386" i="1"/>
  <c r="B30385" i="1"/>
  <c r="B30384" i="1"/>
  <c r="B30383" i="1"/>
  <c r="B30382" i="1"/>
  <c r="B30381" i="1"/>
  <c r="B30380" i="1"/>
  <c r="B30379" i="1"/>
  <c r="B30378" i="1"/>
  <c r="B30377" i="1"/>
  <c r="B30376" i="1"/>
  <c r="B30375" i="1"/>
  <c r="B30374" i="1"/>
  <c r="B30373" i="1"/>
  <c r="B30372" i="1"/>
  <c r="B30371" i="1"/>
  <c r="B30370" i="1"/>
  <c r="B30369" i="1"/>
  <c r="B30368" i="1"/>
  <c r="B30367" i="1"/>
  <c r="B30366" i="1"/>
  <c r="B30365" i="1"/>
  <c r="B30364" i="1"/>
  <c r="B30363" i="1"/>
  <c r="B30362" i="1"/>
  <c r="B30361" i="1"/>
  <c r="B30360" i="1"/>
  <c r="B30359" i="1"/>
  <c r="B30358" i="1"/>
  <c r="B30357" i="1"/>
  <c r="B30356" i="1"/>
  <c r="B30355" i="1"/>
  <c r="B30354" i="1"/>
  <c r="B30353" i="1"/>
  <c r="B30352" i="1"/>
  <c r="B30351" i="1"/>
  <c r="B30350" i="1"/>
  <c r="B30349" i="1"/>
  <c r="B30348" i="1"/>
  <c r="B30347" i="1"/>
  <c r="B30346" i="1"/>
  <c r="B30345" i="1"/>
  <c r="B30344" i="1"/>
  <c r="B30343" i="1"/>
  <c r="B30342" i="1"/>
  <c r="B30341" i="1"/>
  <c r="B30340" i="1"/>
  <c r="B30339" i="1"/>
  <c r="B30338" i="1"/>
  <c r="B30337" i="1"/>
  <c r="B30336" i="1"/>
  <c r="B30335" i="1"/>
  <c r="B30334" i="1"/>
  <c r="B30333" i="1"/>
  <c r="B30332" i="1"/>
  <c r="B30331" i="1"/>
  <c r="B30330" i="1"/>
  <c r="B30329" i="1"/>
  <c r="B30328" i="1"/>
  <c r="B30327" i="1"/>
  <c r="B30326" i="1"/>
  <c r="B30325" i="1"/>
  <c r="B30324" i="1"/>
  <c r="B30323" i="1"/>
  <c r="B30322" i="1"/>
  <c r="B30321" i="1"/>
  <c r="B30320" i="1"/>
  <c r="B30319" i="1"/>
  <c r="B30318" i="1"/>
  <c r="B30317" i="1"/>
  <c r="B30316" i="1"/>
  <c r="B30315" i="1"/>
  <c r="B30314" i="1"/>
  <c r="B30313" i="1"/>
  <c r="B30312" i="1"/>
  <c r="B30311" i="1"/>
  <c r="B30310" i="1"/>
  <c r="B30309" i="1"/>
  <c r="B30308" i="1"/>
  <c r="B30307" i="1"/>
  <c r="B30306" i="1"/>
  <c r="B30305" i="1"/>
  <c r="B30304" i="1"/>
  <c r="B30303" i="1"/>
  <c r="B30302" i="1"/>
  <c r="B30301" i="1"/>
  <c r="B30300" i="1"/>
  <c r="B30299" i="1"/>
  <c r="B30298" i="1"/>
  <c r="B30297" i="1"/>
  <c r="B30296" i="1"/>
  <c r="B30295" i="1"/>
  <c r="B30294" i="1"/>
  <c r="B30293" i="1"/>
  <c r="B30292" i="1"/>
  <c r="B30291" i="1"/>
  <c r="B30290" i="1"/>
  <c r="B30289" i="1"/>
  <c r="B30288" i="1"/>
  <c r="B30287" i="1"/>
  <c r="B30286" i="1"/>
  <c r="B30285" i="1"/>
  <c r="B30284" i="1"/>
  <c r="B30283" i="1"/>
  <c r="B30282" i="1"/>
  <c r="B30281" i="1"/>
  <c r="B30280" i="1"/>
  <c r="B30279" i="1"/>
  <c r="B30278" i="1"/>
  <c r="B30277" i="1"/>
  <c r="B30276" i="1"/>
  <c r="B30275" i="1"/>
  <c r="B30274" i="1"/>
  <c r="B30273" i="1"/>
  <c r="B30272" i="1"/>
  <c r="B30271" i="1"/>
  <c r="B30270" i="1"/>
  <c r="B30269" i="1"/>
  <c r="B30268" i="1"/>
  <c r="B30267" i="1"/>
  <c r="B30266" i="1"/>
  <c r="B30265" i="1"/>
  <c r="B30264" i="1"/>
  <c r="B30263" i="1"/>
  <c r="B30262" i="1"/>
  <c r="B30261" i="1"/>
  <c r="B30260" i="1"/>
  <c r="B30259" i="1"/>
  <c r="B30258" i="1"/>
  <c r="B30257" i="1"/>
  <c r="B30256" i="1"/>
  <c r="B30255" i="1"/>
  <c r="B30254" i="1"/>
  <c r="B30253" i="1"/>
  <c r="B30252" i="1"/>
  <c r="B30251" i="1"/>
  <c r="B30250" i="1"/>
  <c r="B30249" i="1"/>
  <c r="B30248" i="1"/>
  <c r="B30247" i="1"/>
  <c r="B30246" i="1"/>
  <c r="B30245" i="1"/>
  <c r="B30244" i="1"/>
  <c r="B30243" i="1"/>
  <c r="B30242" i="1"/>
  <c r="B30241" i="1"/>
  <c r="B30240" i="1"/>
  <c r="B30239" i="1"/>
  <c r="B30238" i="1"/>
  <c r="B30237" i="1"/>
  <c r="B30236" i="1"/>
  <c r="B30235" i="1"/>
  <c r="B30234" i="1"/>
  <c r="B30233" i="1"/>
  <c r="B30232" i="1"/>
  <c r="B30231" i="1"/>
  <c r="B30230" i="1"/>
  <c r="B30229" i="1"/>
  <c r="B30228" i="1"/>
  <c r="B30227" i="1"/>
  <c r="B30226" i="1"/>
  <c r="B30225" i="1"/>
  <c r="B30224" i="1"/>
  <c r="B30223" i="1"/>
  <c r="B30222" i="1"/>
  <c r="B30221" i="1"/>
  <c r="B30220" i="1"/>
  <c r="B30219" i="1"/>
  <c r="B30218" i="1"/>
  <c r="B30217" i="1"/>
  <c r="B30216" i="1"/>
  <c r="B30215" i="1"/>
  <c r="B30214" i="1"/>
  <c r="B30213" i="1"/>
  <c r="B30212" i="1"/>
  <c r="B30211" i="1"/>
  <c r="B30210" i="1"/>
  <c r="B30209" i="1"/>
  <c r="B30208" i="1"/>
  <c r="B30207" i="1"/>
  <c r="B30206" i="1"/>
  <c r="B30205" i="1"/>
  <c r="B30204" i="1"/>
  <c r="B30203" i="1"/>
  <c r="B30202" i="1"/>
  <c r="B30201" i="1"/>
  <c r="B30200" i="1"/>
  <c r="B30199" i="1"/>
  <c r="B30198" i="1"/>
  <c r="B30197" i="1"/>
  <c r="B30196" i="1"/>
  <c r="B30195" i="1"/>
  <c r="B30194" i="1"/>
  <c r="B30193" i="1"/>
  <c r="B30192" i="1"/>
  <c r="B30191" i="1"/>
  <c r="B30190" i="1"/>
  <c r="B30189" i="1"/>
  <c r="B30188" i="1"/>
  <c r="B30187" i="1"/>
  <c r="B30186" i="1"/>
  <c r="B30185" i="1"/>
  <c r="B30184" i="1"/>
  <c r="B30183" i="1"/>
  <c r="B30182" i="1"/>
  <c r="B30181" i="1"/>
  <c r="B30180" i="1"/>
  <c r="B30179" i="1"/>
  <c r="B30178" i="1"/>
  <c r="B30177" i="1"/>
  <c r="B30176" i="1"/>
  <c r="B30175" i="1"/>
  <c r="B30174" i="1"/>
  <c r="B30173" i="1"/>
  <c r="B30172" i="1"/>
  <c r="B30171" i="1"/>
  <c r="B30170" i="1"/>
  <c r="B30169" i="1"/>
  <c r="B30168" i="1"/>
  <c r="B30167" i="1"/>
  <c r="B30166" i="1"/>
  <c r="B30165" i="1"/>
  <c r="B30164" i="1"/>
  <c r="B30163" i="1"/>
  <c r="B30162" i="1"/>
  <c r="B30161" i="1"/>
  <c r="B30160" i="1"/>
  <c r="B30159" i="1"/>
  <c r="B30158" i="1"/>
  <c r="B30157" i="1"/>
  <c r="B30156" i="1"/>
  <c r="B30155" i="1"/>
  <c r="B30154" i="1"/>
  <c r="B30153" i="1"/>
  <c r="B30152" i="1"/>
  <c r="B30151" i="1"/>
  <c r="B30150" i="1"/>
  <c r="B30149" i="1"/>
  <c r="B30148" i="1"/>
  <c r="B30147" i="1"/>
  <c r="B30146" i="1"/>
  <c r="B30145" i="1"/>
  <c r="B30144" i="1"/>
  <c r="B30143" i="1"/>
  <c r="B30142" i="1"/>
  <c r="B30141" i="1"/>
  <c r="B30140" i="1"/>
  <c r="B30139" i="1"/>
  <c r="B30138" i="1"/>
  <c r="B30137" i="1"/>
  <c r="B30136" i="1"/>
  <c r="B30135" i="1"/>
  <c r="B30134" i="1"/>
  <c r="B30133" i="1"/>
  <c r="B30132" i="1"/>
  <c r="B30131" i="1"/>
  <c r="B30130" i="1"/>
  <c r="B30129" i="1"/>
  <c r="B30128" i="1"/>
  <c r="B30127" i="1"/>
  <c r="B30126" i="1"/>
  <c r="B30125" i="1"/>
  <c r="B30124" i="1"/>
  <c r="B30123" i="1"/>
  <c r="B30122" i="1"/>
  <c r="B30121" i="1"/>
  <c r="B30120" i="1"/>
  <c r="B30119" i="1"/>
  <c r="B30118" i="1"/>
  <c r="B30117" i="1"/>
  <c r="B30116" i="1"/>
  <c r="B30115" i="1"/>
  <c r="B30114" i="1"/>
  <c r="B30113" i="1"/>
  <c r="B30112" i="1"/>
  <c r="B30111" i="1"/>
  <c r="B30110" i="1"/>
  <c r="B30109" i="1"/>
  <c r="B30108" i="1"/>
  <c r="B30107" i="1"/>
  <c r="B30106" i="1"/>
  <c r="B30105" i="1"/>
  <c r="B30104" i="1"/>
  <c r="B30103" i="1"/>
  <c r="B30102" i="1"/>
  <c r="B30101" i="1"/>
  <c r="B30100" i="1"/>
  <c r="B30099" i="1"/>
  <c r="B30098" i="1"/>
  <c r="B30097" i="1"/>
  <c r="B30096" i="1"/>
  <c r="B30095" i="1"/>
  <c r="B30094" i="1"/>
  <c r="B30093" i="1"/>
  <c r="B30092" i="1"/>
  <c r="B30091" i="1"/>
  <c r="B30090" i="1"/>
  <c r="B30089" i="1"/>
  <c r="B30088" i="1"/>
  <c r="B30087" i="1"/>
  <c r="B30086" i="1"/>
  <c r="B30085" i="1"/>
  <c r="B30084" i="1"/>
  <c r="B30083" i="1"/>
  <c r="B30082" i="1"/>
  <c r="B30081" i="1"/>
  <c r="B30080" i="1"/>
  <c r="B30079" i="1"/>
  <c r="B30078" i="1"/>
  <c r="B30077" i="1"/>
  <c r="B30076" i="1"/>
  <c r="B30075" i="1"/>
  <c r="B30074" i="1"/>
  <c r="B30073" i="1"/>
  <c r="B30072" i="1"/>
  <c r="B30071" i="1"/>
  <c r="B30070" i="1"/>
  <c r="B30069" i="1"/>
  <c r="B30068" i="1"/>
  <c r="B30067" i="1"/>
  <c r="B30066" i="1"/>
  <c r="B30065" i="1"/>
  <c r="B30064" i="1"/>
  <c r="B30063" i="1"/>
  <c r="B30062" i="1"/>
  <c r="B30061" i="1"/>
  <c r="B30060" i="1"/>
  <c r="B30059" i="1"/>
  <c r="B30058" i="1"/>
  <c r="B30057" i="1"/>
  <c r="B30056" i="1"/>
  <c r="B30055" i="1"/>
  <c r="B30054" i="1"/>
  <c r="B30053" i="1"/>
  <c r="B30052" i="1"/>
  <c r="B30051" i="1"/>
  <c r="B30050" i="1"/>
  <c r="B30049" i="1"/>
  <c r="B30048" i="1"/>
  <c r="B30047" i="1"/>
  <c r="B30046" i="1"/>
  <c r="B30045" i="1"/>
  <c r="B30044" i="1"/>
  <c r="B30043" i="1"/>
  <c r="B30042" i="1"/>
  <c r="B30041" i="1"/>
  <c r="B30040" i="1"/>
  <c r="B30039" i="1"/>
  <c r="B30038" i="1"/>
  <c r="B30037" i="1"/>
  <c r="B30036" i="1"/>
  <c r="B30035" i="1"/>
  <c r="B30034" i="1"/>
  <c r="B30033" i="1"/>
  <c r="B30032" i="1"/>
  <c r="B30031" i="1"/>
  <c r="B30030" i="1"/>
  <c r="B30029" i="1"/>
  <c r="B30028" i="1"/>
  <c r="B30027" i="1"/>
  <c r="B30026" i="1"/>
  <c r="B30025" i="1"/>
  <c r="B30024" i="1"/>
  <c r="B30023" i="1"/>
  <c r="B30022" i="1"/>
  <c r="B30021" i="1"/>
  <c r="B30020" i="1"/>
  <c r="B30019" i="1"/>
  <c r="B30018" i="1"/>
  <c r="B30017" i="1"/>
  <c r="B30016" i="1"/>
  <c r="B30015" i="1"/>
  <c r="B30014" i="1"/>
  <c r="B30013" i="1"/>
  <c r="B30012" i="1"/>
  <c r="B30011" i="1"/>
  <c r="B30010" i="1"/>
  <c r="B30009" i="1"/>
  <c r="B30008" i="1"/>
  <c r="B30007" i="1"/>
  <c r="B30006" i="1"/>
  <c r="B30005" i="1"/>
  <c r="B30004" i="1"/>
  <c r="B30003" i="1"/>
  <c r="B30002" i="1"/>
  <c r="B30001" i="1"/>
  <c r="B30000" i="1"/>
  <c r="B29999" i="1"/>
  <c r="B29998" i="1"/>
  <c r="B29997" i="1"/>
  <c r="B29996" i="1"/>
  <c r="B29995" i="1"/>
  <c r="B29994" i="1"/>
  <c r="B29993" i="1"/>
  <c r="B29992" i="1"/>
  <c r="B29991" i="1"/>
  <c r="B29990" i="1"/>
  <c r="B29989" i="1"/>
  <c r="B29988" i="1"/>
  <c r="B29987" i="1"/>
  <c r="B29986" i="1"/>
  <c r="B29985" i="1"/>
  <c r="B29984" i="1"/>
  <c r="B29983" i="1"/>
  <c r="B29982" i="1"/>
  <c r="B29981" i="1"/>
  <c r="B29980" i="1"/>
  <c r="B29979" i="1"/>
  <c r="B29978" i="1"/>
  <c r="B29977" i="1"/>
  <c r="B29976" i="1"/>
  <c r="B29975" i="1"/>
  <c r="B29974" i="1"/>
  <c r="B29973" i="1"/>
  <c r="B29972" i="1"/>
  <c r="B29971" i="1"/>
  <c r="B29970" i="1"/>
  <c r="B29969" i="1"/>
  <c r="B29968" i="1"/>
  <c r="B29967" i="1"/>
  <c r="B29966" i="1"/>
  <c r="B29965" i="1"/>
  <c r="B29964" i="1"/>
  <c r="B29963" i="1"/>
  <c r="B29962" i="1"/>
  <c r="B29961" i="1"/>
  <c r="B29960" i="1"/>
  <c r="B29959" i="1"/>
  <c r="B29958" i="1"/>
  <c r="B29957" i="1"/>
  <c r="B29956" i="1"/>
  <c r="B29955" i="1"/>
  <c r="B29954" i="1"/>
  <c r="B29953" i="1"/>
  <c r="B29952" i="1"/>
  <c r="B29951" i="1"/>
  <c r="B29950" i="1"/>
  <c r="B29949" i="1"/>
  <c r="B29948" i="1"/>
  <c r="B29947" i="1"/>
  <c r="B29946" i="1"/>
  <c r="B29945" i="1"/>
  <c r="B29944" i="1"/>
  <c r="B29943" i="1"/>
  <c r="B29942" i="1"/>
  <c r="B29941" i="1"/>
  <c r="B29940" i="1"/>
  <c r="B29939" i="1"/>
  <c r="B29938" i="1"/>
  <c r="B29937" i="1"/>
  <c r="B29936" i="1"/>
  <c r="B29935" i="1"/>
  <c r="B29934" i="1"/>
  <c r="B29933" i="1"/>
  <c r="B29932" i="1"/>
  <c r="B29931" i="1"/>
  <c r="B29930" i="1"/>
  <c r="B29929" i="1"/>
  <c r="B29928" i="1"/>
  <c r="B29927" i="1"/>
  <c r="B29926" i="1"/>
  <c r="B29925" i="1"/>
  <c r="B29924" i="1"/>
  <c r="B29923" i="1"/>
  <c r="B29922" i="1"/>
  <c r="B29921" i="1"/>
  <c r="B29920" i="1"/>
  <c r="B29919" i="1"/>
  <c r="B29918" i="1"/>
  <c r="B29917" i="1"/>
  <c r="B29916" i="1"/>
  <c r="B29915" i="1"/>
  <c r="B29914" i="1"/>
  <c r="B29913" i="1"/>
  <c r="B29912" i="1"/>
  <c r="B29911" i="1"/>
  <c r="B29910" i="1"/>
  <c r="B29909" i="1"/>
  <c r="B29908" i="1"/>
  <c r="B29907" i="1"/>
  <c r="B29906" i="1"/>
  <c r="B29905" i="1"/>
  <c r="B29904" i="1"/>
  <c r="B29903" i="1"/>
  <c r="B29902" i="1"/>
  <c r="B29901" i="1"/>
  <c r="B29900" i="1"/>
  <c r="B29899" i="1"/>
  <c r="B29898" i="1"/>
  <c r="B29897" i="1"/>
  <c r="B29896" i="1"/>
  <c r="B29895" i="1"/>
  <c r="B29894" i="1"/>
  <c r="B29893" i="1"/>
  <c r="B29892" i="1"/>
  <c r="B29891" i="1"/>
  <c r="B29890" i="1"/>
  <c r="B29889" i="1"/>
  <c r="B29888" i="1"/>
  <c r="B29887" i="1"/>
  <c r="B29886" i="1"/>
  <c r="B29885" i="1"/>
  <c r="B29884" i="1"/>
  <c r="B29883" i="1"/>
  <c r="B29882" i="1"/>
  <c r="B29881" i="1"/>
  <c r="B29880" i="1"/>
  <c r="B29879" i="1"/>
  <c r="B29878" i="1"/>
  <c r="B29877" i="1"/>
  <c r="B29876" i="1"/>
  <c r="B29875" i="1"/>
  <c r="B29874" i="1"/>
  <c r="B29873" i="1"/>
  <c r="B29872" i="1"/>
  <c r="B29871" i="1"/>
  <c r="B29870" i="1"/>
  <c r="B29869" i="1"/>
  <c r="B29868" i="1"/>
  <c r="B29867" i="1"/>
  <c r="B29866" i="1"/>
  <c r="B29865" i="1"/>
  <c r="B29864" i="1"/>
  <c r="B29863" i="1"/>
  <c r="B29862" i="1"/>
  <c r="B29861" i="1"/>
  <c r="B29860" i="1"/>
  <c r="B29859" i="1"/>
  <c r="B29858" i="1"/>
  <c r="B29857" i="1"/>
  <c r="B29856" i="1"/>
  <c r="B29855" i="1"/>
  <c r="B29854" i="1"/>
  <c r="B29853" i="1"/>
  <c r="B29852" i="1"/>
  <c r="B29851" i="1"/>
  <c r="B29850" i="1"/>
  <c r="B29849" i="1"/>
  <c r="B29848" i="1"/>
  <c r="B29847" i="1"/>
  <c r="B29846" i="1"/>
  <c r="B29845" i="1"/>
  <c r="B29844" i="1"/>
  <c r="B29843" i="1"/>
  <c r="B29842" i="1"/>
  <c r="B29841" i="1"/>
  <c r="B29840" i="1"/>
  <c r="B29839" i="1"/>
  <c r="B29838" i="1"/>
  <c r="B29837" i="1"/>
  <c r="B29836" i="1"/>
  <c r="B29835" i="1"/>
  <c r="B29834" i="1"/>
  <c r="B29833" i="1"/>
  <c r="B29832" i="1"/>
  <c r="B29831" i="1"/>
  <c r="B29830" i="1"/>
  <c r="B29829" i="1"/>
  <c r="B29828" i="1"/>
  <c r="B29827" i="1"/>
  <c r="B29826" i="1"/>
  <c r="B29825" i="1"/>
  <c r="B29824" i="1"/>
  <c r="B29823" i="1"/>
  <c r="B29822" i="1"/>
  <c r="B29821" i="1"/>
  <c r="B29820" i="1"/>
  <c r="B29819" i="1"/>
  <c r="B29818" i="1"/>
  <c r="B29817" i="1"/>
  <c r="B29816" i="1"/>
  <c r="B29815" i="1"/>
  <c r="B29814" i="1"/>
  <c r="B29813" i="1"/>
  <c r="B29812" i="1"/>
  <c r="B29811" i="1"/>
  <c r="B29810" i="1"/>
  <c r="B29809" i="1"/>
  <c r="B29808" i="1"/>
  <c r="B29807" i="1"/>
  <c r="B29806" i="1"/>
  <c r="B29805" i="1"/>
  <c r="B29804" i="1"/>
  <c r="B29803" i="1"/>
  <c r="B29802" i="1"/>
  <c r="B29801" i="1"/>
  <c r="B29800" i="1"/>
  <c r="B29799" i="1"/>
  <c r="B29798" i="1"/>
  <c r="B29797" i="1"/>
  <c r="B29796" i="1"/>
  <c r="B29795" i="1"/>
  <c r="B29794" i="1"/>
  <c r="B29793" i="1"/>
  <c r="B29792" i="1"/>
  <c r="B29791" i="1"/>
  <c r="B29790" i="1"/>
  <c r="B29789" i="1"/>
  <c r="B29788" i="1"/>
  <c r="B29787" i="1"/>
  <c r="B29786" i="1"/>
  <c r="B29785" i="1"/>
  <c r="B29784" i="1"/>
  <c r="B29783" i="1"/>
  <c r="B29782" i="1"/>
  <c r="B29781" i="1"/>
  <c r="B29780" i="1"/>
  <c r="B29779" i="1"/>
  <c r="B29778" i="1"/>
  <c r="B29777" i="1"/>
  <c r="B29776" i="1"/>
  <c r="B29775" i="1"/>
  <c r="B29774" i="1"/>
  <c r="B29773" i="1"/>
  <c r="B29772" i="1"/>
  <c r="B29771" i="1"/>
  <c r="B29770" i="1"/>
  <c r="B29769" i="1"/>
  <c r="B29768" i="1"/>
  <c r="B29767" i="1"/>
  <c r="B29766" i="1"/>
  <c r="B29765" i="1"/>
  <c r="B29764" i="1"/>
  <c r="B29763" i="1"/>
  <c r="B29762" i="1"/>
  <c r="B29761" i="1"/>
  <c r="B29760" i="1"/>
  <c r="B29759" i="1"/>
  <c r="B29758" i="1"/>
  <c r="B29757" i="1"/>
  <c r="B29756" i="1"/>
  <c r="B29755" i="1"/>
  <c r="B29754" i="1"/>
  <c r="B29753" i="1"/>
  <c r="B29752" i="1"/>
  <c r="B29751" i="1"/>
  <c r="B29750" i="1"/>
  <c r="B29749" i="1"/>
  <c r="B29748" i="1"/>
  <c r="B29747" i="1"/>
  <c r="B29746" i="1"/>
  <c r="B29745" i="1"/>
  <c r="B29744" i="1"/>
  <c r="B29743" i="1"/>
  <c r="B29742" i="1"/>
  <c r="B29741" i="1"/>
  <c r="B29740" i="1"/>
  <c r="B29739" i="1"/>
  <c r="B29738" i="1"/>
  <c r="B29737" i="1"/>
  <c r="B29736" i="1"/>
  <c r="B29735" i="1"/>
  <c r="B29734" i="1"/>
  <c r="B29733" i="1"/>
  <c r="B29732" i="1"/>
  <c r="B29731" i="1"/>
  <c r="B29730" i="1"/>
  <c r="B29729" i="1"/>
  <c r="B29728" i="1"/>
  <c r="B29727" i="1"/>
  <c r="B29726" i="1"/>
  <c r="B29725" i="1"/>
  <c r="B29724" i="1"/>
  <c r="B29723" i="1"/>
  <c r="B29722" i="1"/>
  <c r="B29721" i="1"/>
  <c r="B29720" i="1"/>
  <c r="B29719" i="1"/>
  <c r="B29718" i="1"/>
  <c r="B29717" i="1"/>
  <c r="B29716" i="1"/>
  <c r="B29715" i="1"/>
  <c r="B29714" i="1"/>
  <c r="B29713" i="1"/>
  <c r="B29712" i="1"/>
  <c r="B29711" i="1"/>
  <c r="B29710" i="1"/>
  <c r="B29709" i="1"/>
  <c r="B29708" i="1"/>
  <c r="B29707" i="1"/>
  <c r="B29706" i="1"/>
  <c r="B29705" i="1"/>
  <c r="B29704" i="1"/>
  <c r="B29703" i="1"/>
  <c r="B29702" i="1"/>
  <c r="B29701" i="1"/>
  <c r="B29700" i="1"/>
  <c r="B29699" i="1"/>
  <c r="B29698" i="1"/>
  <c r="B29697" i="1"/>
  <c r="B29696" i="1"/>
  <c r="B29695" i="1"/>
  <c r="B29694" i="1"/>
  <c r="B29693" i="1"/>
  <c r="B29692" i="1"/>
  <c r="B29691" i="1"/>
  <c r="B29690" i="1"/>
  <c r="B29689" i="1"/>
  <c r="B29688" i="1"/>
  <c r="B29687" i="1"/>
  <c r="B29686" i="1"/>
  <c r="B29685" i="1"/>
  <c r="B29684" i="1"/>
  <c r="B29683" i="1"/>
  <c r="B29682" i="1"/>
  <c r="B29681" i="1"/>
  <c r="B29680" i="1"/>
  <c r="B29679" i="1"/>
  <c r="B29678" i="1"/>
  <c r="B29677" i="1"/>
  <c r="B29676" i="1"/>
  <c r="B29675" i="1"/>
  <c r="B29674" i="1"/>
  <c r="B29673" i="1"/>
  <c r="B29672" i="1"/>
  <c r="B29671" i="1"/>
  <c r="B29670" i="1"/>
  <c r="B29669" i="1"/>
  <c r="B29668" i="1"/>
  <c r="B29667" i="1"/>
  <c r="B29666" i="1"/>
  <c r="B29665" i="1"/>
  <c r="B29664" i="1"/>
  <c r="B29663" i="1"/>
  <c r="B29662" i="1"/>
  <c r="B29661" i="1"/>
  <c r="B29660" i="1"/>
  <c r="B29659" i="1"/>
  <c r="B29658" i="1"/>
  <c r="B29657" i="1"/>
  <c r="B29656" i="1"/>
  <c r="B29655" i="1"/>
  <c r="B29654" i="1"/>
  <c r="B29653" i="1"/>
  <c r="B29652" i="1"/>
  <c r="B29651" i="1"/>
  <c r="B29650" i="1"/>
  <c r="B29649" i="1"/>
  <c r="B29648" i="1"/>
  <c r="B29647" i="1"/>
  <c r="B29646" i="1"/>
  <c r="B29645" i="1"/>
  <c r="B29644" i="1"/>
  <c r="B29643" i="1"/>
  <c r="B29642" i="1"/>
  <c r="B29641" i="1"/>
  <c r="B29640" i="1"/>
  <c r="B29639" i="1"/>
  <c r="B29638" i="1"/>
  <c r="B29637" i="1"/>
  <c r="B29636" i="1"/>
  <c r="B29635" i="1"/>
  <c r="B29634" i="1"/>
  <c r="B29633" i="1"/>
  <c r="B29632" i="1"/>
  <c r="B29631" i="1"/>
  <c r="B29630" i="1"/>
  <c r="B29629" i="1"/>
  <c r="B29628" i="1"/>
  <c r="B29627" i="1"/>
  <c r="B29626" i="1"/>
  <c r="B29625" i="1"/>
  <c r="B29624" i="1"/>
  <c r="B29623" i="1"/>
  <c r="B29622" i="1"/>
  <c r="B29621" i="1"/>
  <c r="B29620" i="1"/>
  <c r="B29619" i="1"/>
  <c r="B29618" i="1"/>
  <c r="B29617" i="1"/>
  <c r="B29616" i="1"/>
  <c r="B29615" i="1"/>
  <c r="B29614" i="1"/>
  <c r="B29613" i="1"/>
  <c r="B29612" i="1"/>
  <c r="B29611" i="1"/>
  <c r="B29610" i="1"/>
  <c r="B29609" i="1"/>
  <c r="B29608" i="1"/>
  <c r="B29607" i="1"/>
  <c r="B29606" i="1"/>
  <c r="B29605" i="1"/>
  <c r="B29604" i="1"/>
  <c r="B29603" i="1"/>
  <c r="B29602" i="1"/>
  <c r="B29601" i="1"/>
  <c r="B29600" i="1"/>
  <c r="B29599" i="1"/>
  <c r="B29598" i="1"/>
  <c r="B29597" i="1"/>
  <c r="B29596" i="1"/>
  <c r="B29595" i="1"/>
  <c r="B29594" i="1"/>
  <c r="B29593" i="1"/>
  <c r="B29592" i="1"/>
  <c r="B29591" i="1"/>
  <c r="B29590" i="1"/>
  <c r="B29589" i="1"/>
  <c r="B29588" i="1"/>
  <c r="B29587" i="1"/>
  <c r="B29586" i="1"/>
  <c r="B29585" i="1"/>
  <c r="B29584" i="1"/>
  <c r="B29583" i="1"/>
  <c r="B29582" i="1"/>
  <c r="B29581" i="1"/>
  <c r="B29580" i="1"/>
  <c r="B29579" i="1"/>
  <c r="B29578" i="1"/>
  <c r="B29577" i="1"/>
  <c r="B29576" i="1"/>
  <c r="B29575" i="1"/>
  <c r="B29574" i="1"/>
  <c r="B29573" i="1"/>
  <c r="B29572" i="1"/>
  <c r="B29571" i="1"/>
  <c r="B29570" i="1"/>
  <c r="B29569" i="1"/>
  <c r="B29568" i="1"/>
  <c r="B29567" i="1"/>
  <c r="B29566" i="1"/>
  <c r="B29565" i="1"/>
  <c r="B29564" i="1"/>
  <c r="B29563" i="1"/>
  <c r="B29562" i="1"/>
  <c r="B29561" i="1"/>
  <c r="B29560" i="1"/>
  <c r="B29559" i="1"/>
  <c r="B29558" i="1"/>
  <c r="B29557" i="1"/>
  <c r="B29556" i="1"/>
  <c r="B29555" i="1"/>
  <c r="B29554" i="1"/>
  <c r="B29553" i="1"/>
  <c r="B29552" i="1"/>
  <c r="B29551" i="1"/>
  <c r="B29550" i="1"/>
  <c r="B29549" i="1"/>
  <c r="B29548" i="1"/>
  <c r="B29547" i="1"/>
  <c r="B29546" i="1"/>
  <c r="B29545" i="1"/>
  <c r="B29544" i="1"/>
  <c r="B29543" i="1"/>
  <c r="B29542" i="1"/>
  <c r="B29541" i="1"/>
  <c r="B29540" i="1"/>
  <c r="B29539" i="1"/>
  <c r="B29538" i="1"/>
  <c r="B29537" i="1"/>
  <c r="B29536" i="1"/>
  <c r="B29535" i="1"/>
  <c r="B29534" i="1"/>
  <c r="B29533" i="1"/>
  <c r="B29532" i="1"/>
  <c r="B29531" i="1"/>
  <c r="B29530" i="1"/>
  <c r="B29529" i="1"/>
  <c r="B29528" i="1"/>
  <c r="B29527" i="1"/>
  <c r="B29526" i="1"/>
  <c r="B29525" i="1"/>
  <c r="B29524" i="1"/>
  <c r="B29523" i="1"/>
  <c r="B29522" i="1"/>
  <c r="B29521" i="1"/>
  <c r="B29520" i="1"/>
  <c r="B29519" i="1"/>
  <c r="B29518" i="1"/>
  <c r="B29517" i="1"/>
  <c r="B29516" i="1"/>
  <c r="B29515" i="1"/>
  <c r="B29514" i="1"/>
  <c r="B29513" i="1"/>
  <c r="B29512" i="1"/>
  <c r="B29511" i="1"/>
  <c r="B29510" i="1"/>
  <c r="B29509" i="1"/>
  <c r="B29508" i="1"/>
  <c r="B29507" i="1"/>
  <c r="B29506" i="1"/>
  <c r="B29505" i="1"/>
  <c r="B29504" i="1"/>
  <c r="B29503" i="1"/>
  <c r="B29502" i="1"/>
  <c r="B29501" i="1"/>
  <c r="B29500" i="1"/>
  <c r="B29499" i="1"/>
  <c r="B29498" i="1"/>
  <c r="B29497" i="1"/>
  <c r="B29496" i="1"/>
  <c r="B29495" i="1"/>
  <c r="B29494" i="1"/>
  <c r="B29493" i="1"/>
  <c r="B29492" i="1"/>
  <c r="B29491" i="1"/>
  <c r="B29490" i="1"/>
  <c r="B29489" i="1"/>
  <c r="B29488" i="1"/>
  <c r="B29487" i="1"/>
  <c r="B29486" i="1"/>
  <c r="B29485" i="1"/>
  <c r="B29484" i="1"/>
  <c r="B29483" i="1"/>
  <c r="B29482" i="1"/>
  <c r="B29481" i="1"/>
  <c r="B29480" i="1"/>
  <c r="B29479" i="1"/>
  <c r="B29478" i="1"/>
  <c r="B29477" i="1"/>
  <c r="B29476" i="1"/>
  <c r="B29475" i="1"/>
  <c r="B29474" i="1"/>
  <c r="B29473" i="1"/>
  <c r="B29472" i="1"/>
  <c r="B29471" i="1"/>
  <c r="B29470" i="1"/>
  <c r="B29469" i="1"/>
  <c r="B29468" i="1"/>
  <c r="B29467" i="1"/>
  <c r="B29466" i="1"/>
  <c r="B29465" i="1"/>
  <c r="B29464" i="1"/>
  <c r="B29463" i="1"/>
  <c r="B29462" i="1"/>
  <c r="B29461" i="1"/>
  <c r="B29460" i="1"/>
  <c r="B29459" i="1"/>
  <c r="B29458" i="1"/>
  <c r="B29457" i="1"/>
  <c r="B29456" i="1"/>
  <c r="B29455" i="1"/>
  <c r="B29454" i="1"/>
  <c r="B29453" i="1"/>
  <c r="B29452" i="1"/>
  <c r="B29451" i="1"/>
  <c r="B29450" i="1"/>
  <c r="B29449" i="1"/>
  <c r="B29448" i="1"/>
  <c r="B29447" i="1"/>
  <c r="B29446" i="1"/>
  <c r="B29445" i="1"/>
  <c r="B29444" i="1"/>
  <c r="B29443" i="1"/>
  <c r="B29442" i="1"/>
  <c r="B29441" i="1"/>
  <c r="B29440" i="1"/>
  <c r="B29439" i="1"/>
  <c r="B29438" i="1"/>
  <c r="B29437" i="1"/>
  <c r="B29436" i="1"/>
  <c r="B29435" i="1"/>
  <c r="B29434" i="1"/>
  <c r="B29433" i="1"/>
  <c r="B29432" i="1"/>
  <c r="B29431" i="1"/>
  <c r="B29430" i="1"/>
  <c r="B29429" i="1"/>
  <c r="B29428" i="1"/>
  <c r="B29427" i="1"/>
  <c r="B29426" i="1"/>
  <c r="B29425" i="1"/>
  <c r="B29424" i="1"/>
  <c r="B29423" i="1"/>
  <c r="B29422" i="1"/>
  <c r="B29421" i="1"/>
  <c r="B29420" i="1"/>
  <c r="B29419" i="1"/>
  <c r="B29418" i="1"/>
  <c r="B29417" i="1"/>
  <c r="B29416" i="1"/>
  <c r="B29415" i="1"/>
  <c r="B29414" i="1"/>
  <c r="B29413" i="1"/>
  <c r="B29412" i="1"/>
  <c r="B29411" i="1"/>
  <c r="B29410" i="1"/>
  <c r="B29409" i="1"/>
  <c r="B29408" i="1"/>
  <c r="B29407" i="1"/>
  <c r="B29406" i="1"/>
  <c r="B29405" i="1"/>
  <c r="B29404" i="1"/>
  <c r="B29403" i="1"/>
  <c r="B29402" i="1"/>
  <c r="B29401" i="1"/>
  <c r="B29400" i="1"/>
  <c r="B29399" i="1"/>
  <c r="B29398" i="1"/>
  <c r="B29397" i="1"/>
  <c r="B29396" i="1"/>
  <c r="B29395" i="1"/>
  <c r="B29394" i="1"/>
  <c r="B29393" i="1"/>
  <c r="B29392" i="1"/>
  <c r="B29391" i="1"/>
  <c r="B29390" i="1"/>
  <c r="B29389" i="1"/>
  <c r="B29388" i="1"/>
  <c r="B29387" i="1"/>
  <c r="B29386" i="1"/>
  <c r="B29385" i="1"/>
  <c r="B29384" i="1"/>
  <c r="B29383" i="1"/>
  <c r="B29382" i="1"/>
  <c r="B29381" i="1"/>
  <c r="B29380" i="1"/>
  <c r="B29379" i="1"/>
  <c r="B29378" i="1"/>
  <c r="B29377" i="1"/>
  <c r="B29376" i="1"/>
  <c r="B29375" i="1"/>
  <c r="B29374" i="1"/>
  <c r="B29373" i="1"/>
  <c r="B29372" i="1"/>
  <c r="B29371" i="1"/>
  <c r="B29370" i="1"/>
  <c r="B29369" i="1"/>
  <c r="B29368" i="1"/>
  <c r="B29367" i="1"/>
  <c r="B29366" i="1"/>
  <c r="B29365" i="1"/>
  <c r="B29364" i="1"/>
  <c r="B29363" i="1"/>
  <c r="B29362" i="1"/>
  <c r="B29361" i="1"/>
  <c r="B29360" i="1"/>
  <c r="B29359" i="1"/>
  <c r="B29358" i="1"/>
  <c r="B29357" i="1"/>
  <c r="B29356" i="1"/>
  <c r="B29355" i="1"/>
  <c r="B29354" i="1"/>
  <c r="B29353" i="1"/>
  <c r="B29352" i="1"/>
  <c r="B29351" i="1"/>
  <c r="B29350" i="1"/>
  <c r="B29349" i="1"/>
  <c r="B29348" i="1"/>
  <c r="B29347" i="1"/>
  <c r="B29346" i="1"/>
  <c r="B29345" i="1"/>
  <c r="B29344" i="1"/>
  <c r="B29343" i="1"/>
  <c r="B29342" i="1"/>
  <c r="B29341" i="1"/>
  <c r="B29340" i="1"/>
  <c r="B29339" i="1"/>
  <c r="B29338" i="1"/>
  <c r="B29337" i="1"/>
  <c r="B29336" i="1"/>
  <c r="B29335" i="1"/>
  <c r="B29334" i="1"/>
  <c r="B29333" i="1"/>
  <c r="B29332" i="1"/>
  <c r="B29331" i="1"/>
  <c r="B29330" i="1"/>
  <c r="B29329" i="1"/>
  <c r="B29328" i="1"/>
  <c r="B29327" i="1"/>
  <c r="B29326" i="1"/>
  <c r="B29325" i="1"/>
  <c r="B29324" i="1"/>
  <c r="B29323" i="1"/>
  <c r="B29322" i="1"/>
  <c r="B29321" i="1"/>
  <c r="B29320" i="1"/>
  <c r="B29319" i="1"/>
  <c r="B29318" i="1"/>
  <c r="B29317" i="1"/>
  <c r="B29316" i="1"/>
  <c r="B29315" i="1"/>
  <c r="B29314" i="1"/>
  <c r="B29313" i="1"/>
  <c r="B29312" i="1"/>
  <c r="B29311" i="1"/>
  <c r="B29310" i="1"/>
  <c r="B29309" i="1"/>
  <c r="B29308" i="1"/>
  <c r="B29307" i="1"/>
  <c r="B29306" i="1"/>
  <c r="B29305" i="1"/>
  <c r="B29304" i="1"/>
  <c r="B29303" i="1"/>
  <c r="B29302" i="1"/>
  <c r="B29301" i="1"/>
  <c r="B29300" i="1"/>
  <c r="B29299" i="1"/>
  <c r="B29298" i="1"/>
  <c r="B29297" i="1"/>
  <c r="B29296" i="1"/>
  <c r="B29295" i="1"/>
  <c r="B29294" i="1"/>
  <c r="B29293" i="1"/>
  <c r="B29292" i="1"/>
  <c r="B29291" i="1"/>
  <c r="B29290" i="1"/>
  <c r="B29289" i="1"/>
  <c r="B29288" i="1"/>
  <c r="B29287" i="1"/>
  <c r="B29286" i="1"/>
  <c r="B29285" i="1"/>
  <c r="B29284" i="1"/>
  <c r="B29283" i="1"/>
  <c r="B29282" i="1"/>
  <c r="B29281" i="1"/>
  <c r="B29280" i="1"/>
  <c r="B29279" i="1"/>
  <c r="B29278" i="1"/>
  <c r="B29277" i="1"/>
  <c r="B29276" i="1"/>
  <c r="B29275" i="1"/>
  <c r="B29274" i="1"/>
  <c r="B29273" i="1"/>
  <c r="B29272" i="1"/>
  <c r="B29271" i="1"/>
  <c r="B29270" i="1"/>
  <c r="B29269" i="1"/>
  <c r="B29268" i="1"/>
  <c r="B29267" i="1"/>
  <c r="B29266" i="1"/>
  <c r="B29265" i="1"/>
  <c r="B29264" i="1"/>
  <c r="B29263" i="1"/>
  <c r="B29262" i="1"/>
  <c r="B29261" i="1"/>
  <c r="B29260" i="1"/>
  <c r="B29259" i="1"/>
  <c r="B29258" i="1"/>
  <c r="B29257" i="1"/>
  <c r="B29256" i="1"/>
  <c r="B29255" i="1"/>
  <c r="B29254" i="1"/>
  <c r="B29253" i="1"/>
  <c r="B29252" i="1"/>
  <c r="B29251" i="1"/>
  <c r="B29250" i="1"/>
  <c r="B29249" i="1"/>
  <c r="B29248" i="1"/>
  <c r="B29247" i="1"/>
  <c r="B29246" i="1"/>
  <c r="B29245" i="1"/>
  <c r="B29244" i="1"/>
  <c r="B29243" i="1"/>
  <c r="B29242" i="1"/>
  <c r="B29241" i="1"/>
  <c r="B29240" i="1"/>
  <c r="B29239" i="1"/>
  <c r="B29238" i="1"/>
  <c r="B29237" i="1"/>
  <c r="B29236" i="1"/>
  <c r="B29235" i="1"/>
  <c r="B29234" i="1"/>
  <c r="B29233" i="1"/>
  <c r="B29232" i="1"/>
  <c r="B29231" i="1"/>
  <c r="B29230" i="1"/>
  <c r="B29229" i="1"/>
  <c r="B29228" i="1"/>
  <c r="B29227" i="1"/>
  <c r="B29226" i="1"/>
  <c r="B29225" i="1"/>
  <c r="B29224" i="1"/>
  <c r="B29223" i="1"/>
  <c r="B29222" i="1"/>
  <c r="B29221" i="1"/>
  <c r="B29220" i="1"/>
  <c r="B29219" i="1"/>
  <c r="B29218" i="1"/>
  <c r="B29217" i="1"/>
  <c r="B29216" i="1"/>
  <c r="B29215" i="1"/>
  <c r="B29214" i="1"/>
  <c r="B29213" i="1"/>
  <c r="B29212" i="1"/>
  <c r="B29211" i="1"/>
  <c r="B29210" i="1"/>
  <c r="B29209" i="1"/>
  <c r="B29208" i="1"/>
  <c r="B29207" i="1"/>
  <c r="B29206" i="1"/>
  <c r="B29205" i="1"/>
  <c r="B29204" i="1"/>
  <c r="B29203" i="1"/>
  <c r="B29202" i="1"/>
  <c r="B29201" i="1"/>
  <c r="B29200" i="1"/>
  <c r="B29199" i="1"/>
  <c r="B29198" i="1"/>
  <c r="B29197" i="1"/>
  <c r="B29196" i="1"/>
  <c r="B29195" i="1"/>
  <c r="B29194" i="1"/>
  <c r="B29193" i="1"/>
  <c r="B29192" i="1"/>
  <c r="B29191" i="1"/>
  <c r="B29190" i="1"/>
  <c r="B29189" i="1"/>
  <c r="B29188" i="1"/>
  <c r="B29187" i="1"/>
  <c r="B29186" i="1"/>
  <c r="B29185" i="1"/>
  <c r="B29184" i="1"/>
  <c r="B29183" i="1"/>
  <c r="B29182" i="1"/>
  <c r="B29181" i="1"/>
  <c r="B29180" i="1"/>
  <c r="B29179" i="1"/>
  <c r="B29178" i="1"/>
  <c r="B29177" i="1"/>
  <c r="B29176" i="1"/>
  <c r="B29175" i="1"/>
  <c r="B29174" i="1"/>
  <c r="B29173" i="1"/>
  <c r="B29172" i="1"/>
  <c r="B29171" i="1"/>
  <c r="B29170" i="1"/>
  <c r="B29169" i="1"/>
  <c r="B29168" i="1"/>
  <c r="B29167" i="1"/>
  <c r="B29166" i="1"/>
  <c r="B29165" i="1"/>
  <c r="B29164" i="1"/>
  <c r="B29163" i="1"/>
  <c r="B29162" i="1"/>
  <c r="B29161" i="1"/>
  <c r="B29160" i="1"/>
  <c r="B29159" i="1"/>
  <c r="B29158" i="1"/>
  <c r="B29157" i="1"/>
  <c r="B29156" i="1"/>
  <c r="B29155" i="1"/>
  <c r="B29154" i="1"/>
  <c r="B29153" i="1"/>
  <c r="B29152" i="1"/>
  <c r="B29151" i="1"/>
  <c r="B29150" i="1"/>
  <c r="B29149" i="1"/>
  <c r="B29148" i="1"/>
  <c r="B29147" i="1"/>
  <c r="B29146" i="1"/>
  <c r="B29145" i="1"/>
  <c r="B29144" i="1"/>
  <c r="B29143" i="1"/>
  <c r="B29142" i="1"/>
  <c r="B29141" i="1"/>
  <c r="B29140" i="1"/>
  <c r="B29139" i="1"/>
  <c r="B29138" i="1"/>
  <c r="B29137" i="1"/>
  <c r="B29136" i="1"/>
  <c r="B29135" i="1"/>
  <c r="B29134" i="1"/>
  <c r="B29133" i="1"/>
  <c r="B29132" i="1"/>
  <c r="B29131" i="1"/>
  <c r="B29130" i="1"/>
  <c r="B29129" i="1"/>
  <c r="B29128" i="1"/>
  <c r="B29127" i="1"/>
  <c r="B29126" i="1"/>
  <c r="B29125" i="1"/>
  <c r="B29124" i="1"/>
  <c r="B29123" i="1"/>
  <c r="B29122" i="1"/>
  <c r="B29121" i="1"/>
  <c r="B29120" i="1"/>
  <c r="B29119" i="1"/>
  <c r="B29118" i="1"/>
  <c r="B29117" i="1"/>
  <c r="B29116" i="1"/>
  <c r="B29115" i="1"/>
  <c r="B29114" i="1"/>
  <c r="B29113" i="1"/>
  <c r="B29112" i="1"/>
  <c r="B29111" i="1"/>
  <c r="B29110" i="1"/>
  <c r="B29109" i="1"/>
  <c r="B29108" i="1"/>
  <c r="B29107" i="1"/>
  <c r="B29106" i="1"/>
  <c r="B29105" i="1"/>
  <c r="B29104" i="1"/>
  <c r="B29103" i="1"/>
  <c r="B29102" i="1"/>
  <c r="B29101" i="1"/>
  <c r="B29100" i="1"/>
  <c r="B29099" i="1"/>
  <c r="B29098" i="1"/>
  <c r="B29097" i="1"/>
  <c r="B29096" i="1"/>
  <c r="B29095" i="1"/>
  <c r="B29094" i="1"/>
  <c r="B29093" i="1"/>
  <c r="B29092" i="1"/>
  <c r="B29091" i="1"/>
  <c r="B29090" i="1"/>
  <c r="B29089" i="1"/>
  <c r="B29088" i="1"/>
  <c r="B29087" i="1"/>
  <c r="B29086" i="1"/>
  <c r="B29085" i="1"/>
  <c r="B29084" i="1"/>
  <c r="B29083" i="1"/>
  <c r="B29082" i="1"/>
  <c r="B29081" i="1"/>
  <c r="B29080" i="1"/>
  <c r="B29079" i="1"/>
  <c r="B29078" i="1"/>
  <c r="B29077" i="1"/>
  <c r="B29076" i="1"/>
  <c r="B29075" i="1"/>
  <c r="B29074" i="1"/>
  <c r="B29073" i="1"/>
  <c r="B29072" i="1"/>
  <c r="B29071" i="1"/>
  <c r="B29070" i="1"/>
  <c r="B29069" i="1"/>
  <c r="B29068" i="1"/>
  <c r="B29067" i="1"/>
  <c r="B29066" i="1"/>
  <c r="B29065" i="1"/>
  <c r="B29064" i="1"/>
  <c r="B29063" i="1"/>
  <c r="B29062" i="1"/>
  <c r="B29061" i="1"/>
  <c r="B29060" i="1"/>
  <c r="B29059" i="1"/>
  <c r="B29058" i="1"/>
  <c r="B29057" i="1"/>
  <c r="B29056" i="1"/>
  <c r="B29055" i="1"/>
  <c r="B29054" i="1"/>
  <c r="B29053" i="1"/>
  <c r="B29052" i="1"/>
  <c r="B29051" i="1"/>
  <c r="B29050" i="1"/>
  <c r="B29049" i="1"/>
  <c r="B29048" i="1"/>
  <c r="B29047" i="1"/>
  <c r="B29046" i="1"/>
  <c r="B29045" i="1"/>
  <c r="B29044" i="1"/>
  <c r="B29043" i="1"/>
  <c r="B29042" i="1"/>
  <c r="B29041" i="1"/>
  <c r="B29040" i="1"/>
  <c r="B29039" i="1"/>
  <c r="B29038" i="1"/>
  <c r="B29037" i="1"/>
  <c r="B29036" i="1"/>
  <c r="B29035" i="1"/>
  <c r="B29034" i="1"/>
  <c r="B29033" i="1"/>
  <c r="B29032" i="1"/>
  <c r="B29031" i="1"/>
  <c r="B29030" i="1"/>
  <c r="B29029" i="1"/>
  <c r="B29028" i="1"/>
  <c r="B29027" i="1"/>
  <c r="B29026" i="1"/>
  <c r="B29025" i="1"/>
  <c r="B29024" i="1"/>
  <c r="B29023" i="1"/>
  <c r="B29022" i="1"/>
  <c r="B29021" i="1"/>
  <c r="B29020" i="1"/>
  <c r="B29019" i="1"/>
  <c r="B29018" i="1"/>
  <c r="B29017" i="1"/>
  <c r="B29016" i="1"/>
  <c r="B29015" i="1"/>
  <c r="B29014" i="1"/>
  <c r="B29013" i="1"/>
  <c r="B29012" i="1"/>
  <c r="B29011" i="1"/>
  <c r="B29010" i="1"/>
  <c r="B29009" i="1"/>
  <c r="B29008" i="1"/>
  <c r="B29007" i="1"/>
  <c r="B29006" i="1"/>
  <c r="B29005" i="1"/>
  <c r="B29004" i="1"/>
  <c r="B29003" i="1"/>
  <c r="B29002" i="1"/>
  <c r="B29001" i="1"/>
  <c r="B29000" i="1"/>
  <c r="B28999" i="1"/>
  <c r="B28998" i="1"/>
  <c r="B28997" i="1"/>
  <c r="B28996" i="1"/>
  <c r="B28995" i="1"/>
  <c r="B28994" i="1"/>
  <c r="B28993" i="1"/>
  <c r="B28992" i="1"/>
  <c r="B28991" i="1"/>
  <c r="B28990" i="1"/>
  <c r="B28989" i="1"/>
  <c r="B28988" i="1"/>
  <c r="B28987" i="1"/>
  <c r="B28986" i="1"/>
  <c r="B28985" i="1"/>
  <c r="B28984" i="1"/>
  <c r="B28983" i="1"/>
  <c r="B28982" i="1"/>
  <c r="B28981" i="1"/>
  <c r="B28980" i="1"/>
  <c r="B28979" i="1"/>
  <c r="B28978" i="1"/>
  <c r="B28977" i="1"/>
  <c r="B28976" i="1"/>
  <c r="B28975" i="1"/>
  <c r="B28974" i="1"/>
  <c r="B28973" i="1"/>
  <c r="B28972" i="1"/>
  <c r="B28971" i="1"/>
  <c r="B28970" i="1"/>
  <c r="B28969" i="1"/>
  <c r="B28968" i="1"/>
  <c r="B28967" i="1"/>
  <c r="B28966" i="1"/>
  <c r="B28965" i="1"/>
  <c r="B28964" i="1"/>
  <c r="B28963" i="1"/>
  <c r="B28962" i="1"/>
  <c r="B28961" i="1"/>
  <c r="B28960" i="1"/>
  <c r="B28959" i="1"/>
  <c r="B28958" i="1"/>
  <c r="B28957" i="1"/>
  <c r="B28956" i="1"/>
  <c r="B28955" i="1"/>
  <c r="B28954" i="1"/>
  <c r="B28953" i="1"/>
  <c r="B28952" i="1"/>
  <c r="B28951" i="1"/>
  <c r="B28950" i="1"/>
  <c r="B28949" i="1"/>
  <c r="B28948" i="1"/>
  <c r="B28947" i="1"/>
  <c r="B28946" i="1"/>
  <c r="B28945" i="1"/>
  <c r="B28944" i="1"/>
  <c r="B28943" i="1"/>
  <c r="B28942" i="1"/>
  <c r="B28941" i="1"/>
  <c r="B28940" i="1"/>
  <c r="B28939" i="1"/>
  <c r="B28938" i="1"/>
  <c r="B28937" i="1"/>
  <c r="B28936" i="1"/>
  <c r="B28935" i="1"/>
  <c r="B28934" i="1"/>
  <c r="B28933" i="1"/>
  <c r="B28932" i="1"/>
  <c r="B28931" i="1"/>
  <c r="B28930" i="1"/>
  <c r="B28929" i="1"/>
  <c r="B28928" i="1"/>
  <c r="B28927" i="1"/>
  <c r="B28926" i="1"/>
  <c r="B28925" i="1"/>
  <c r="B28924" i="1"/>
  <c r="B28923" i="1"/>
  <c r="B28922" i="1"/>
  <c r="B28921" i="1"/>
  <c r="B28920" i="1"/>
  <c r="B28919" i="1"/>
  <c r="B28918" i="1"/>
  <c r="B28917" i="1"/>
  <c r="B28916" i="1"/>
  <c r="B28915" i="1"/>
  <c r="B28914" i="1"/>
  <c r="B28913" i="1"/>
  <c r="B28912" i="1"/>
  <c r="B28911" i="1"/>
  <c r="B28910" i="1"/>
  <c r="B28909" i="1"/>
  <c r="B28908" i="1"/>
  <c r="B28907" i="1"/>
  <c r="B28906" i="1"/>
  <c r="B28905" i="1"/>
  <c r="B28904" i="1"/>
  <c r="B28903" i="1"/>
  <c r="B28902" i="1"/>
  <c r="B28901" i="1"/>
  <c r="B28900" i="1"/>
  <c r="B28899" i="1"/>
  <c r="B28898" i="1"/>
  <c r="B28897" i="1"/>
  <c r="B28896" i="1"/>
  <c r="B28895" i="1"/>
  <c r="B28894" i="1"/>
  <c r="B28893" i="1"/>
  <c r="B28892" i="1"/>
  <c r="B28891" i="1"/>
  <c r="B28890" i="1"/>
  <c r="B28889" i="1"/>
  <c r="B28888" i="1"/>
  <c r="B28887" i="1"/>
  <c r="B28886" i="1"/>
  <c r="B28885" i="1"/>
  <c r="B28884" i="1"/>
  <c r="B28883" i="1"/>
  <c r="B28882" i="1"/>
  <c r="B28881" i="1"/>
  <c r="B28880" i="1"/>
  <c r="B28879" i="1"/>
  <c r="B28878" i="1"/>
  <c r="B28877" i="1"/>
  <c r="B28876" i="1"/>
  <c r="B28875" i="1"/>
  <c r="B28874" i="1"/>
  <c r="B28873" i="1"/>
  <c r="B28872" i="1"/>
  <c r="B28871" i="1"/>
  <c r="B28870" i="1"/>
  <c r="B28869" i="1"/>
  <c r="B28868" i="1"/>
  <c r="B28867" i="1"/>
  <c r="B28866" i="1"/>
  <c r="B28865" i="1"/>
  <c r="B28864" i="1"/>
  <c r="B28863" i="1"/>
  <c r="B28862" i="1"/>
  <c r="B28861" i="1"/>
  <c r="B28860" i="1"/>
  <c r="B28859" i="1"/>
  <c r="B28858" i="1"/>
  <c r="B28857" i="1"/>
  <c r="B28856" i="1"/>
  <c r="B28855" i="1"/>
  <c r="B28854" i="1"/>
  <c r="B28853" i="1"/>
  <c r="B28852" i="1"/>
  <c r="B28851" i="1"/>
  <c r="B28850" i="1"/>
  <c r="B28849" i="1"/>
  <c r="B28848" i="1"/>
  <c r="B28847" i="1"/>
  <c r="B28846" i="1"/>
  <c r="B28845" i="1"/>
  <c r="B28844" i="1"/>
  <c r="B28843" i="1"/>
  <c r="B28842" i="1"/>
  <c r="B28841" i="1"/>
  <c r="B28840" i="1"/>
  <c r="B28839" i="1"/>
  <c r="B28838" i="1"/>
  <c r="B28837" i="1"/>
  <c r="B28836" i="1"/>
  <c r="B28835" i="1"/>
  <c r="B28834" i="1"/>
  <c r="B28833" i="1"/>
  <c r="B28832" i="1"/>
  <c r="B28831" i="1"/>
  <c r="B28830" i="1"/>
  <c r="B28829" i="1"/>
  <c r="B28828" i="1"/>
  <c r="B28827" i="1"/>
  <c r="B28826" i="1"/>
  <c r="B28825" i="1"/>
  <c r="B28824" i="1"/>
  <c r="B28823" i="1"/>
  <c r="B28822" i="1"/>
  <c r="B28821" i="1"/>
  <c r="B28820" i="1"/>
  <c r="B28819" i="1"/>
  <c r="B28818" i="1"/>
  <c r="B28817" i="1"/>
  <c r="B28816" i="1"/>
  <c r="B28815" i="1"/>
  <c r="B28814" i="1"/>
  <c r="B28813" i="1"/>
  <c r="B28812" i="1"/>
  <c r="B28811" i="1"/>
  <c r="B28810" i="1"/>
  <c r="B28809" i="1"/>
  <c r="B28808" i="1"/>
  <c r="B28807" i="1"/>
  <c r="B28806" i="1"/>
  <c r="B28805" i="1"/>
  <c r="B28804" i="1"/>
  <c r="B28803" i="1"/>
  <c r="B28802" i="1"/>
  <c r="B28801" i="1"/>
  <c r="B28800" i="1"/>
  <c r="B28799" i="1"/>
  <c r="B28798" i="1"/>
  <c r="B28797" i="1"/>
  <c r="B28796" i="1"/>
  <c r="B28795" i="1"/>
  <c r="B28794" i="1"/>
  <c r="B28793" i="1"/>
  <c r="B28792" i="1"/>
  <c r="B28791" i="1"/>
  <c r="B28790" i="1"/>
  <c r="B28789" i="1"/>
  <c r="B28788" i="1"/>
  <c r="B28787" i="1"/>
  <c r="B28786" i="1"/>
  <c r="B28785" i="1"/>
  <c r="B28784" i="1"/>
  <c r="B28783" i="1"/>
  <c r="B28782" i="1"/>
  <c r="B28781" i="1"/>
  <c r="B28780" i="1"/>
  <c r="B28779" i="1"/>
  <c r="B28778" i="1"/>
  <c r="B28777" i="1"/>
  <c r="B28776" i="1"/>
  <c r="B28775" i="1"/>
  <c r="B28774" i="1"/>
  <c r="B28773" i="1"/>
  <c r="B28772" i="1"/>
  <c r="B28771" i="1"/>
  <c r="B28770" i="1"/>
  <c r="B28769" i="1"/>
  <c r="B28768" i="1"/>
  <c r="B28767" i="1"/>
  <c r="B28766" i="1"/>
  <c r="B28765" i="1"/>
  <c r="B28764" i="1"/>
  <c r="B28763" i="1"/>
  <c r="B28762" i="1"/>
  <c r="B28761" i="1"/>
  <c r="B28760" i="1"/>
  <c r="B28759" i="1"/>
  <c r="B28758" i="1"/>
  <c r="B28757" i="1"/>
  <c r="B28756" i="1"/>
  <c r="B28755" i="1"/>
  <c r="B28754" i="1"/>
  <c r="B28753" i="1"/>
  <c r="B28752" i="1"/>
  <c r="B28751" i="1"/>
  <c r="B28750" i="1"/>
  <c r="B28749" i="1"/>
  <c r="B28748" i="1"/>
  <c r="B28747" i="1"/>
  <c r="B28746" i="1"/>
  <c r="B28745" i="1"/>
  <c r="B28744" i="1"/>
  <c r="B28743" i="1"/>
  <c r="B28742" i="1"/>
  <c r="B28741" i="1"/>
  <c r="B28740" i="1"/>
  <c r="B28739" i="1"/>
  <c r="B28738" i="1"/>
  <c r="B28737" i="1"/>
  <c r="B28736" i="1"/>
  <c r="B28735" i="1"/>
  <c r="B28734" i="1"/>
  <c r="B28733" i="1"/>
  <c r="B28732" i="1"/>
  <c r="B28731" i="1"/>
  <c r="B28730" i="1"/>
  <c r="B28729" i="1"/>
  <c r="B28728" i="1"/>
  <c r="B28727" i="1"/>
  <c r="B28726" i="1"/>
  <c r="B28725" i="1"/>
  <c r="B28724" i="1"/>
  <c r="B28723" i="1"/>
  <c r="B28722" i="1"/>
  <c r="B28721" i="1"/>
  <c r="B28720" i="1"/>
  <c r="B28719" i="1"/>
  <c r="B28718" i="1"/>
  <c r="B28717" i="1"/>
  <c r="B28716" i="1"/>
  <c r="B28715" i="1"/>
  <c r="B28714" i="1"/>
  <c r="B28713" i="1"/>
  <c r="B28712" i="1"/>
  <c r="B28711" i="1"/>
  <c r="B28710" i="1"/>
  <c r="B28709" i="1"/>
  <c r="B28708" i="1"/>
  <c r="B28707" i="1"/>
  <c r="B28706" i="1"/>
  <c r="B28705" i="1"/>
  <c r="B28704" i="1"/>
  <c r="B28703" i="1"/>
  <c r="B28702" i="1"/>
  <c r="B28701" i="1"/>
  <c r="B28700" i="1"/>
  <c r="B28699" i="1"/>
  <c r="B28698" i="1"/>
  <c r="B28697" i="1"/>
  <c r="B28696" i="1"/>
  <c r="B28695" i="1"/>
  <c r="B28694" i="1"/>
  <c r="B28693" i="1"/>
  <c r="B28692" i="1"/>
  <c r="B28691" i="1"/>
  <c r="B28690" i="1"/>
  <c r="B28689" i="1"/>
  <c r="B28688" i="1"/>
  <c r="B28687" i="1"/>
  <c r="B28686" i="1"/>
  <c r="B28685" i="1"/>
  <c r="B28684" i="1"/>
  <c r="B28683" i="1"/>
  <c r="B28682" i="1"/>
  <c r="B28681" i="1"/>
  <c r="B28680" i="1"/>
  <c r="B28679" i="1"/>
  <c r="B28678" i="1"/>
  <c r="B28677" i="1"/>
  <c r="B28676" i="1"/>
  <c r="B28675" i="1"/>
  <c r="B28674" i="1"/>
  <c r="B28673" i="1"/>
  <c r="B28672" i="1"/>
  <c r="B28671" i="1"/>
  <c r="B28670" i="1"/>
  <c r="B28669" i="1"/>
  <c r="B28668" i="1"/>
  <c r="B28667" i="1"/>
  <c r="B28666" i="1"/>
  <c r="B28665" i="1"/>
  <c r="B28664" i="1"/>
  <c r="B28663" i="1"/>
  <c r="B28662" i="1"/>
  <c r="B28661" i="1"/>
  <c r="B28660" i="1"/>
  <c r="B28659" i="1"/>
  <c r="B28658" i="1"/>
  <c r="B28657" i="1"/>
  <c r="B28656" i="1"/>
  <c r="B28655" i="1"/>
  <c r="B28654" i="1"/>
  <c r="B28653" i="1"/>
  <c r="B28652" i="1"/>
  <c r="B28651" i="1"/>
  <c r="B28650" i="1"/>
  <c r="B28649" i="1"/>
  <c r="B28648" i="1"/>
  <c r="B28647" i="1"/>
  <c r="B28646" i="1"/>
  <c r="B28645" i="1"/>
  <c r="B28644" i="1"/>
  <c r="B28643" i="1"/>
  <c r="B28642" i="1"/>
  <c r="B28641" i="1"/>
  <c r="B28640" i="1"/>
  <c r="B28639" i="1"/>
  <c r="B28638" i="1"/>
  <c r="B28637" i="1"/>
  <c r="B28636" i="1"/>
  <c r="B28635" i="1"/>
  <c r="B28634" i="1"/>
  <c r="B28633" i="1"/>
  <c r="B28632" i="1"/>
  <c r="B28631" i="1"/>
  <c r="B28630" i="1"/>
  <c r="B28629" i="1"/>
  <c r="B28628" i="1"/>
  <c r="B28627" i="1"/>
  <c r="B28626" i="1"/>
  <c r="B28625" i="1"/>
  <c r="B28624" i="1"/>
  <c r="B28623" i="1"/>
  <c r="B28622" i="1"/>
  <c r="B28621" i="1"/>
  <c r="B28620" i="1"/>
  <c r="B28619" i="1"/>
  <c r="B28618" i="1"/>
  <c r="B28617" i="1"/>
  <c r="B28616" i="1"/>
  <c r="B28615" i="1"/>
  <c r="B28614" i="1"/>
  <c r="B28613" i="1"/>
  <c r="B28612" i="1"/>
  <c r="B28611" i="1"/>
  <c r="B28610" i="1"/>
  <c r="B28609" i="1"/>
  <c r="B28608" i="1"/>
  <c r="B28607" i="1"/>
  <c r="B28606" i="1"/>
  <c r="B28605" i="1"/>
  <c r="B28604" i="1"/>
  <c r="B28603" i="1"/>
  <c r="B28602" i="1"/>
  <c r="B28601" i="1"/>
  <c r="B28600" i="1"/>
  <c r="B28599" i="1"/>
  <c r="B28598" i="1"/>
  <c r="B28597" i="1"/>
  <c r="B28596" i="1"/>
  <c r="B28595" i="1"/>
  <c r="B28594" i="1"/>
  <c r="B28593" i="1"/>
  <c r="B28592" i="1"/>
  <c r="B28591" i="1"/>
  <c r="B28590" i="1"/>
  <c r="B28589" i="1"/>
  <c r="B28588" i="1"/>
  <c r="B28587" i="1"/>
  <c r="B28586" i="1"/>
  <c r="B28585" i="1"/>
  <c r="B28584" i="1"/>
  <c r="B28583" i="1"/>
  <c r="B28582" i="1"/>
  <c r="B28581" i="1"/>
  <c r="B28580" i="1"/>
  <c r="B28579" i="1"/>
  <c r="B28578" i="1"/>
  <c r="B28577" i="1"/>
  <c r="B28576" i="1"/>
  <c r="B28575" i="1"/>
  <c r="B28574" i="1"/>
  <c r="B28573" i="1"/>
  <c r="B28572" i="1"/>
  <c r="B28571" i="1"/>
  <c r="B28570" i="1"/>
  <c r="B28569" i="1"/>
  <c r="B28568" i="1"/>
  <c r="B28567" i="1"/>
  <c r="B28566" i="1"/>
  <c r="B28565" i="1"/>
  <c r="B28564" i="1"/>
  <c r="B28563" i="1"/>
  <c r="B28562" i="1"/>
  <c r="B28561" i="1"/>
  <c r="B28560" i="1"/>
  <c r="B28559" i="1"/>
  <c r="B28558" i="1"/>
  <c r="B28557" i="1"/>
  <c r="B28556" i="1"/>
  <c r="B28555" i="1"/>
  <c r="B28554" i="1"/>
  <c r="B28553" i="1"/>
  <c r="B28552" i="1"/>
  <c r="B28551" i="1"/>
  <c r="B28550" i="1"/>
  <c r="B28549" i="1"/>
  <c r="B28548" i="1"/>
  <c r="B28547" i="1"/>
  <c r="B28546" i="1"/>
  <c r="B28545" i="1"/>
  <c r="B28544" i="1"/>
  <c r="B28543" i="1"/>
  <c r="B28542" i="1"/>
  <c r="B28541" i="1"/>
  <c r="B28540" i="1"/>
  <c r="B28539" i="1"/>
  <c r="B28538" i="1"/>
  <c r="B28537" i="1"/>
  <c r="B28536" i="1"/>
  <c r="B28535" i="1"/>
  <c r="B28534" i="1"/>
  <c r="B28533" i="1"/>
  <c r="B28532" i="1"/>
  <c r="B28531" i="1"/>
  <c r="B28530" i="1"/>
  <c r="B28529" i="1"/>
  <c r="B28528" i="1"/>
  <c r="B28527" i="1"/>
  <c r="B28526" i="1"/>
  <c r="B28525" i="1"/>
  <c r="B28524" i="1"/>
  <c r="B28523" i="1"/>
  <c r="B28522" i="1"/>
  <c r="B28521" i="1"/>
  <c r="B28520" i="1"/>
  <c r="B28519" i="1"/>
  <c r="B28518" i="1"/>
  <c r="B28517" i="1"/>
  <c r="B28516" i="1"/>
  <c r="B28515" i="1"/>
  <c r="B28514" i="1"/>
  <c r="B28513" i="1"/>
  <c r="B28512" i="1"/>
  <c r="B28511" i="1"/>
  <c r="B28510" i="1"/>
  <c r="B28509" i="1"/>
  <c r="B28508" i="1"/>
  <c r="B28507" i="1"/>
  <c r="B28506" i="1"/>
  <c r="B28505" i="1"/>
  <c r="B28504" i="1"/>
  <c r="B28503" i="1"/>
  <c r="B28502" i="1"/>
  <c r="B28501" i="1"/>
  <c r="B28500" i="1"/>
  <c r="B28499" i="1"/>
  <c r="B28498" i="1"/>
  <c r="B28497" i="1"/>
  <c r="B28496" i="1"/>
  <c r="B28495" i="1"/>
  <c r="B28494" i="1"/>
  <c r="B28493" i="1"/>
  <c r="B28492" i="1"/>
  <c r="B28491" i="1"/>
  <c r="B28490" i="1"/>
  <c r="B28489" i="1"/>
  <c r="B28488" i="1"/>
  <c r="B28487" i="1"/>
  <c r="B28486" i="1"/>
  <c r="B28485" i="1"/>
  <c r="B28484" i="1"/>
  <c r="B28483" i="1"/>
  <c r="B28482" i="1"/>
  <c r="B28481" i="1"/>
  <c r="B28480" i="1"/>
  <c r="B28479" i="1"/>
  <c r="B28478" i="1"/>
  <c r="B28477" i="1"/>
  <c r="B28476" i="1"/>
  <c r="B28475" i="1"/>
  <c r="B28474" i="1"/>
  <c r="B28473" i="1"/>
  <c r="B28472" i="1"/>
  <c r="B28471" i="1"/>
  <c r="B28470" i="1"/>
  <c r="B28469" i="1"/>
  <c r="B28468" i="1"/>
  <c r="B28467" i="1"/>
  <c r="B28466" i="1"/>
  <c r="B28465" i="1"/>
  <c r="B28464" i="1"/>
  <c r="B28463" i="1"/>
  <c r="B28462" i="1"/>
  <c r="B28461" i="1"/>
  <c r="B28460" i="1"/>
  <c r="B28459" i="1"/>
  <c r="B28458" i="1"/>
  <c r="B28457" i="1"/>
  <c r="B28456" i="1"/>
  <c r="B28455" i="1"/>
  <c r="B28454" i="1"/>
  <c r="B28453" i="1"/>
  <c r="B28452" i="1"/>
  <c r="B28451" i="1"/>
  <c r="B28450" i="1"/>
  <c r="B28449" i="1"/>
  <c r="B28448" i="1"/>
  <c r="B28447" i="1"/>
  <c r="B28446" i="1"/>
  <c r="B28445" i="1"/>
  <c r="B28444" i="1"/>
  <c r="B28443" i="1"/>
  <c r="B28442" i="1"/>
  <c r="B28441" i="1"/>
  <c r="B28440" i="1"/>
  <c r="B28439" i="1"/>
  <c r="B28438" i="1"/>
  <c r="B28437" i="1"/>
  <c r="B28436" i="1"/>
  <c r="B28435" i="1"/>
  <c r="B28434" i="1"/>
  <c r="B28433" i="1"/>
  <c r="B28432" i="1"/>
  <c r="B28431" i="1"/>
  <c r="B28430" i="1"/>
  <c r="B28429" i="1"/>
  <c r="B28428" i="1"/>
  <c r="B28427" i="1"/>
  <c r="B28426" i="1"/>
  <c r="B28425" i="1"/>
  <c r="B28424" i="1"/>
  <c r="B28423" i="1"/>
  <c r="B28422" i="1"/>
  <c r="B28421" i="1"/>
  <c r="B28420" i="1"/>
  <c r="B28419" i="1"/>
  <c r="B28418" i="1"/>
  <c r="B28417" i="1"/>
  <c r="B28416" i="1"/>
  <c r="B28415" i="1"/>
  <c r="B28414" i="1"/>
  <c r="B28413" i="1"/>
  <c r="B28412" i="1"/>
  <c r="B28411" i="1"/>
  <c r="B28410" i="1"/>
  <c r="B28409" i="1"/>
  <c r="B28408" i="1"/>
  <c r="B28407" i="1"/>
  <c r="B28406" i="1"/>
  <c r="B28405" i="1"/>
  <c r="B28404" i="1"/>
  <c r="B28403" i="1"/>
  <c r="B28402" i="1"/>
  <c r="B28401" i="1"/>
  <c r="B28400" i="1"/>
  <c r="B28399" i="1"/>
  <c r="B28398" i="1"/>
  <c r="B28397" i="1"/>
  <c r="B28396" i="1"/>
  <c r="B28395" i="1"/>
  <c r="B28394" i="1"/>
  <c r="B28393" i="1"/>
  <c r="B28392" i="1"/>
  <c r="B28391" i="1"/>
  <c r="B28390" i="1"/>
  <c r="B28389" i="1"/>
  <c r="B28388" i="1"/>
  <c r="B28387" i="1"/>
  <c r="B28386" i="1"/>
  <c r="B28385" i="1"/>
  <c r="B28384" i="1"/>
  <c r="B28383" i="1"/>
  <c r="B28382" i="1"/>
  <c r="B28381" i="1"/>
  <c r="B28380" i="1"/>
  <c r="B28379" i="1"/>
  <c r="B28378" i="1"/>
  <c r="B28377" i="1"/>
  <c r="B28376" i="1"/>
  <c r="B28375" i="1"/>
  <c r="B28374" i="1"/>
  <c r="B28373" i="1"/>
  <c r="B28372" i="1"/>
  <c r="B28371" i="1"/>
  <c r="B28370" i="1"/>
  <c r="B28369" i="1"/>
  <c r="B28368" i="1"/>
  <c r="B28367" i="1"/>
  <c r="B28366" i="1"/>
  <c r="B28365" i="1"/>
  <c r="B28364" i="1"/>
  <c r="B28363" i="1"/>
  <c r="B28362" i="1"/>
  <c r="B28361" i="1"/>
  <c r="B28360" i="1"/>
  <c r="B28359" i="1"/>
  <c r="B28358" i="1"/>
  <c r="B28357" i="1"/>
  <c r="B28356" i="1"/>
  <c r="B28355" i="1"/>
  <c r="B28354" i="1"/>
  <c r="B28353" i="1"/>
  <c r="B28352" i="1"/>
  <c r="B28351" i="1"/>
  <c r="B28350" i="1"/>
  <c r="B28349" i="1"/>
  <c r="B28348" i="1"/>
  <c r="B28347" i="1"/>
  <c r="B28346" i="1"/>
  <c r="B28345" i="1"/>
  <c r="B28344" i="1"/>
  <c r="B28343" i="1"/>
  <c r="B28342" i="1"/>
  <c r="B28341" i="1"/>
  <c r="B28340" i="1"/>
  <c r="B28339" i="1"/>
  <c r="B28338" i="1"/>
  <c r="B28337" i="1"/>
  <c r="B28336" i="1"/>
  <c r="B28335" i="1"/>
  <c r="B28334" i="1"/>
  <c r="B28333" i="1"/>
  <c r="B28332" i="1"/>
  <c r="B28331" i="1"/>
  <c r="B28330" i="1"/>
  <c r="B28329" i="1"/>
  <c r="B28328" i="1"/>
  <c r="B28327" i="1"/>
  <c r="B28326" i="1"/>
  <c r="B28325" i="1"/>
  <c r="B28324" i="1"/>
  <c r="B28323" i="1"/>
  <c r="B28322" i="1"/>
  <c r="B28321" i="1"/>
  <c r="B28320" i="1"/>
  <c r="B28319" i="1"/>
  <c r="B28318" i="1"/>
  <c r="B28317" i="1"/>
  <c r="B28316" i="1"/>
  <c r="B28315" i="1"/>
  <c r="B28314" i="1"/>
  <c r="B28313" i="1"/>
  <c r="B28312" i="1"/>
  <c r="B28311" i="1"/>
  <c r="B28310" i="1"/>
  <c r="B28309" i="1"/>
  <c r="B28308" i="1"/>
  <c r="B28307" i="1"/>
  <c r="B28306" i="1"/>
  <c r="B28305" i="1"/>
  <c r="B28304" i="1"/>
  <c r="B28303" i="1"/>
  <c r="B28302" i="1"/>
  <c r="B28301" i="1"/>
  <c r="B28300" i="1"/>
  <c r="B28299" i="1"/>
  <c r="B28298" i="1"/>
  <c r="B28297" i="1"/>
  <c r="B28296" i="1"/>
  <c r="B28295" i="1"/>
  <c r="B28294" i="1"/>
  <c r="B28293" i="1"/>
  <c r="B28292" i="1"/>
  <c r="B28291" i="1"/>
  <c r="B28290" i="1"/>
  <c r="B28289" i="1"/>
  <c r="B28288" i="1"/>
  <c r="B28287" i="1"/>
  <c r="B28286" i="1"/>
  <c r="B28285" i="1"/>
  <c r="B28284" i="1"/>
  <c r="B28283" i="1"/>
  <c r="B28282" i="1"/>
  <c r="B28281" i="1"/>
  <c r="B28280" i="1"/>
  <c r="B28279" i="1"/>
  <c r="B28278" i="1"/>
  <c r="B28277" i="1"/>
  <c r="B28276" i="1"/>
  <c r="B28275" i="1"/>
  <c r="B28274" i="1"/>
  <c r="B28273" i="1"/>
  <c r="B28272" i="1"/>
  <c r="B28271" i="1"/>
  <c r="B28270" i="1"/>
  <c r="B28269" i="1"/>
  <c r="B28268" i="1"/>
  <c r="B28267" i="1"/>
  <c r="B28266" i="1"/>
  <c r="B28265" i="1"/>
  <c r="B28264" i="1"/>
  <c r="B28263" i="1"/>
  <c r="B28262" i="1"/>
  <c r="B28261" i="1"/>
  <c r="B28260" i="1"/>
  <c r="B28259" i="1"/>
  <c r="B28258" i="1"/>
  <c r="B28257" i="1"/>
  <c r="B28256" i="1"/>
  <c r="B28255" i="1"/>
  <c r="B28254" i="1"/>
  <c r="B28253" i="1"/>
  <c r="B28252" i="1"/>
  <c r="B28251" i="1"/>
  <c r="B28250" i="1"/>
  <c r="B28249" i="1"/>
  <c r="B28248" i="1"/>
  <c r="B28247" i="1"/>
  <c r="B28246" i="1"/>
  <c r="B28245" i="1"/>
  <c r="B28244" i="1"/>
  <c r="B28243" i="1"/>
  <c r="B28242" i="1"/>
  <c r="B28241" i="1"/>
  <c r="B28240" i="1"/>
  <c r="B28239" i="1"/>
  <c r="B28238" i="1"/>
  <c r="B28237" i="1"/>
  <c r="B28236" i="1"/>
  <c r="B28235" i="1"/>
  <c r="B28234" i="1"/>
  <c r="B28233" i="1"/>
  <c r="B28232" i="1"/>
  <c r="B28231" i="1"/>
  <c r="B28230" i="1"/>
  <c r="B28229" i="1"/>
  <c r="B28228" i="1"/>
  <c r="B28227" i="1"/>
  <c r="B28226" i="1"/>
  <c r="B28225" i="1"/>
  <c r="B28224" i="1"/>
  <c r="B28223" i="1"/>
  <c r="B28222" i="1"/>
  <c r="B28221" i="1"/>
  <c r="B28220" i="1"/>
  <c r="B28219" i="1"/>
  <c r="B28218" i="1"/>
  <c r="B28217" i="1"/>
  <c r="B28216" i="1"/>
  <c r="B28215" i="1"/>
  <c r="B28214" i="1"/>
  <c r="B28213" i="1"/>
  <c r="B28212" i="1"/>
  <c r="B28211" i="1"/>
  <c r="B28210" i="1"/>
  <c r="B28209" i="1"/>
  <c r="B28208" i="1"/>
  <c r="B28207" i="1"/>
  <c r="B28206" i="1"/>
  <c r="B28205" i="1"/>
  <c r="B28204" i="1"/>
  <c r="B28203" i="1"/>
  <c r="B28202" i="1"/>
  <c r="B28201" i="1"/>
  <c r="B28200" i="1"/>
  <c r="B28199" i="1"/>
  <c r="B28198" i="1"/>
  <c r="B28197" i="1"/>
  <c r="B28196" i="1"/>
  <c r="B28195" i="1"/>
  <c r="B28194" i="1"/>
  <c r="B28193" i="1"/>
  <c r="B28192" i="1"/>
  <c r="B28191" i="1"/>
  <c r="B28190" i="1"/>
  <c r="B28189" i="1"/>
  <c r="B28188" i="1"/>
  <c r="B28187" i="1"/>
  <c r="B28186" i="1"/>
  <c r="B28185" i="1"/>
  <c r="B28184" i="1"/>
  <c r="B28183" i="1"/>
  <c r="B28182" i="1"/>
  <c r="B28181" i="1"/>
  <c r="B28180" i="1"/>
  <c r="B28179" i="1"/>
  <c r="B28178" i="1"/>
  <c r="B28177" i="1"/>
  <c r="B28176" i="1"/>
  <c r="B28175" i="1"/>
  <c r="B28174" i="1"/>
  <c r="B28173" i="1"/>
  <c r="B28172" i="1"/>
  <c r="B28171" i="1"/>
  <c r="B28170" i="1"/>
  <c r="B28169" i="1"/>
  <c r="B28168" i="1"/>
  <c r="B28167" i="1"/>
  <c r="B28166" i="1"/>
  <c r="B28165" i="1"/>
  <c r="B28164" i="1"/>
  <c r="B28163" i="1"/>
  <c r="B28162" i="1"/>
  <c r="B28161" i="1"/>
  <c r="B28160" i="1"/>
  <c r="B28159" i="1"/>
  <c r="B28158" i="1"/>
  <c r="B28157" i="1"/>
  <c r="B28156" i="1"/>
  <c r="B28155" i="1"/>
  <c r="B28154" i="1"/>
  <c r="B28153" i="1"/>
  <c r="B28152" i="1"/>
  <c r="B28151" i="1"/>
  <c r="B28150" i="1"/>
  <c r="B28149" i="1"/>
  <c r="B28148" i="1"/>
  <c r="B28147" i="1"/>
  <c r="B28146" i="1"/>
  <c r="B28145" i="1"/>
  <c r="B28144" i="1"/>
  <c r="B28143" i="1"/>
  <c r="B28142" i="1"/>
  <c r="B28141" i="1"/>
  <c r="B28140" i="1"/>
  <c r="B28139" i="1"/>
  <c r="B28138" i="1"/>
  <c r="B28137" i="1"/>
  <c r="B28136" i="1"/>
  <c r="B28135" i="1"/>
  <c r="B28134" i="1"/>
  <c r="B28133" i="1"/>
  <c r="B28132" i="1"/>
  <c r="B28131" i="1"/>
  <c r="B28130" i="1"/>
  <c r="B28129" i="1"/>
  <c r="B28128" i="1"/>
  <c r="B28127" i="1"/>
  <c r="B28126" i="1"/>
  <c r="B28125" i="1"/>
  <c r="B28124" i="1"/>
  <c r="B28123" i="1"/>
  <c r="B28122" i="1"/>
  <c r="B28121" i="1"/>
  <c r="B28120" i="1"/>
  <c r="B28119" i="1"/>
  <c r="B28118" i="1"/>
  <c r="B28117" i="1"/>
  <c r="B28116" i="1"/>
  <c r="B28115" i="1"/>
  <c r="B28114" i="1"/>
  <c r="B28113" i="1"/>
  <c r="B28112" i="1"/>
  <c r="B28111" i="1"/>
  <c r="B28110" i="1"/>
  <c r="B28109" i="1"/>
  <c r="B28108" i="1"/>
  <c r="B28107" i="1"/>
  <c r="B28106" i="1"/>
  <c r="B28105" i="1"/>
  <c r="B28104" i="1"/>
  <c r="B28103" i="1"/>
  <c r="B28102" i="1"/>
  <c r="B28101" i="1"/>
  <c r="B28100" i="1"/>
  <c r="B28099" i="1"/>
  <c r="B28098" i="1"/>
  <c r="B28097" i="1"/>
  <c r="B28096" i="1"/>
  <c r="B28095" i="1"/>
  <c r="B28094" i="1"/>
  <c r="B28093" i="1"/>
  <c r="B28092" i="1"/>
  <c r="B28091" i="1"/>
  <c r="B28090" i="1"/>
  <c r="B28089" i="1"/>
  <c r="B28088" i="1"/>
  <c r="B28087" i="1"/>
  <c r="B28086" i="1"/>
  <c r="B28085" i="1"/>
  <c r="B28084" i="1"/>
  <c r="B28083" i="1"/>
  <c r="B28082" i="1"/>
  <c r="B28081" i="1"/>
  <c r="B28080" i="1"/>
  <c r="B28079" i="1"/>
  <c r="B28078" i="1"/>
  <c r="B28077" i="1"/>
  <c r="B28076" i="1"/>
  <c r="B28075" i="1"/>
  <c r="B28074" i="1"/>
  <c r="B28073" i="1"/>
  <c r="B28072" i="1"/>
  <c r="B28071" i="1"/>
  <c r="B28070" i="1"/>
  <c r="B28069" i="1"/>
  <c r="B28068" i="1"/>
  <c r="B28067" i="1"/>
  <c r="B28066" i="1"/>
  <c r="B28065" i="1"/>
  <c r="B28064" i="1"/>
  <c r="B28063" i="1"/>
  <c r="B28062" i="1"/>
  <c r="B28061" i="1"/>
  <c r="B28060" i="1"/>
  <c r="B28059" i="1"/>
  <c r="B28058" i="1"/>
  <c r="B28057" i="1"/>
  <c r="B28056" i="1"/>
  <c r="B28055" i="1"/>
  <c r="B28054" i="1"/>
  <c r="B28053" i="1"/>
  <c r="B28052" i="1"/>
  <c r="B28051" i="1"/>
  <c r="B28050" i="1"/>
  <c r="B28049" i="1"/>
  <c r="B28048" i="1"/>
  <c r="B28047" i="1"/>
  <c r="B28046" i="1"/>
  <c r="B28045" i="1"/>
  <c r="B28044" i="1"/>
  <c r="B28043" i="1"/>
  <c r="B28042" i="1"/>
  <c r="B28041" i="1"/>
  <c r="B28040" i="1"/>
  <c r="B28039" i="1"/>
  <c r="B28038" i="1"/>
  <c r="B28037" i="1"/>
  <c r="B28036" i="1"/>
  <c r="B28035" i="1"/>
  <c r="B28034" i="1"/>
  <c r="B28033" i="1"/>
  <c r="B28032" i="1"/>
  <c r="B28031" i="1"/>
  <c r="B28030" i="1"/>
  <c r="B28029" i="1"/>
  <c r="B28028" i="1"/>
  <c r="B28027" i="1"/>
  <c r="B28026" i="1"/>
  <c r="B28025" i="1"/>
  <c r="B28024" i="1"/>
  <c r="B28023" i="1"/>
  <c r="B28022" i="1"/>
  <c r="B28021" i="1"/>
  <c r="B28020" i="1"/>
  <c r="B28019" i="1"/>
  <c r="B28018" i="1"/>
  <c r="B28017" i="1"/>
  <c r="B28016" i="1"/>
  <c r="B28015" i="1"/>
  <c r="B28014" i="1"/>
  <c r="B28013" i="1"/>
  <c r="B28012" i="1"/>
  <c r="B28011" i="1"/>
  <c r="B28010" i="1"/>
  <c r="B28009" i="1"/>
  <c r="B28008" i="1"/>
  <c r="B28007" i="1"/>
  <c r="B28006" i="1"/>
  <c r="B28005" i="1"/>
  <c r="B28004" i="1"/>
  <c r="B28003" i="1"/>
  <c r="B28002" i="1"/>
  <c r="B28001" i="1"/>
  <c r="B28000" i="1"/>
  <c r="B27999" i="1"/>
  <c r="B27998" i="1"/>
  <c r="B27997" i="1"/>
  <c r="B27996" i="1"/>
  <c r="B27995" i="1"/>
  <c r="B27994" i="1"/>
  <c r="B27993" i="1"/>
  <c r="B27992" i="1"/>
  <c r="B27991" i="1"/>
  <c r="B27990" i="1"/>
  <c r="B27989" i="1"/>
  <c r="B27988" i="1"/>
  <c r="B27987" i="1"/>
  <c r="B27986" i="1"/>
  <c r="B27985" i="1"/>
  <c r="B27984" i="1"/>
  <c r="B27983" i="1"/>
  <c r="B27982" i="1"/>
  <c r="B27981" i="1"/>
  <c r="B27980" i="1"/>
  <c r="B27979" i="1"/>
  <c r="B27978" i="1"/>
  <c r="B27977" i="1"/>
  <c r="B27976" i="1"/>
  <c r="B27975" i="1"/>
  <c r="B27974" i="1"/>
  <c r="B27973" i="1"/>
  <c r="B27972" i="1"/>
  <c r="B27971" i="1"/>
  <c r="B27970" i="1"/>
  <c r="B27969" i="1"/>
  <c r="B27968" i="1"/>
  <c r="B27967" i="1"/>
  <c r="B27966" i="1"/>
  <c r="B27965" i="1"/>
  <c r="B27964" i="1"/>
  <c r="B27963" i="1"/>
  <c r="B27962" i="1"/>
  <c r="B27961" i="1"/>
  <c r="B27960" i="1"/>
  <c r="B27959" i="1"/>
  <c r="B27958" i="1"/>
  <c r="B27957" i="1"/>
  <c r="B27956" i="1"/>
  <c r="B27955" i="1"/>
  <c r="B27954" i="1"/>
  <c r="B27953" i="1"/>
  <c r="B27952" i="1"/>
  <c r="B27951" i="1"/>
  <c r="B27950" i="1"/>
  <c r="B27949" i="1"/>
  <c r="B27948" i="1"/>
  <c r="B27947" i="1"/>
  <c r="B27946" i="1"/>
  <c r="B27945" i="1"/>
  <c r="B27944" i="1"/>
  <c r="B27943" i="1"/>
  <c r="B27942" i="1"/>
  <c r="B27941" i="1"/>
  <c r="B27940" i="1"/>
  <c r="B27939" i="1"/>
  <c r="B27938" i="1"/>
  <c r="B27937" i="1"/>
  <c r="B27936" i="1"/>
  <c r="B27935" i="1"/>
  <c r="B27934" i="1"/>
  <c r="B27933" i="1"/>
  <c r="B27932" i="1"/>
  <c r="B27931" i="1"/>
  <c r="B27930" i="1"/>
  <c r="B27929" i="1"/>
  <c r="B27928" i="1"/>
  <c r="B27927" i="1"/>
  <c r="B27926" i="1"/>
  <c r="B27925" i="1"/>
  <c r="B27924" i="1"/>
  <c r="B27923" i="1"/>
  <c r="B27922" i="1"/>
  <c r="B27921" i="1"/>
  <c r="B27920" i="1"/>
  <c r="B27919" i="1"/>
  <c r="B27918" i="1"/>
  <c r="B27917" i="1"/>
  <c r="B27916" i="1"/>
  <c r="B27915" i="1"/>
  <c r="B27914" i="1"/>
  <c r="B27913" i="1"/>
  <c r="B27912" i="1"/>
  <c r="B27911" i="1"/>
  <c r="B27910" i="1"/>
  <c r="B27909" i="1"/>
  <c r="B27908" i="1"/>
  <c r="B27907" i="1"/>
  <c r="B27906" i="1"/>
  <c r="B27905" i="1"/>
  <c r="B27904" i="1"/>
  <c r="B27903" i="1"/>
  <c r="B27902" i="1"/>
  <c r="B27901" i="1"/>
  <c r="B27900" i="1"/>
  <c r="B27899" i="1"/>
  <c r="B27898" i="1"/>
  <c r="B27897" i="1"/>
  <c r="B27896" i="1"/>
  <c r="B27895" i="1"/>
  <c r="B27894" i="1"/>
  <c r="B27893" i="1"/>
  <c r="B27892" i="1"/>
  <c r="B27891" i="1"/>
  <c r="B27890" i="1"/>
  <c r="B27889" i="1"/>
  <c r="B27888" i="1"/>
  <c r="B27887" i="1"/>
  <c r="B27886" i="1"/>
  <c r="B27885" i="1"/>
  <c r="B27884" i="1"/>
  <c r="B27883" i="1"/>
  <c r="B27882" i="1"/>
  <c r="B27881" i="1"/>
  <c r="B27880" i="1"/>
  <c r="B27879" i="1"/>
  <c r="B27878" i="1"/>
  <c r="B27877" i="1"/>
  <c r="B27876" i="1"/>
  <c r="B27875" i="1"/>
  <c r="B27874" i="1"/>
  <c r="B27873" i="1"/>
  <c r="B27872" i="1"/>
  <c r="B27871" i="1"/>
  <c r="B27870" i="1"/>
  <c r="B27869" i="1"/>
  <c r="B27868" i="1"/>
  <c r="B27867" i="1"/>
  <c r="B27866" i="1"/>
  <c r="B27865" i="1"/>
  <c r="B27864" i="1"/>
  <c r="B27863" i="1"/>
  <c r="B27862" i="1"/>
  <c r="B27861" i="1"/>
  <c r="B27860" i="1"/>
  <c r="B27859" i="1"/>
  <c r="B27858" i="1"/>
  <c r="B27857" i="1"/>
  <c r="B27856" i="1"/>
  <c r="B27855" i="1"/>
  <c r="B27854" i="1"/>
  <c r="B27853" i="1"/>
  <c r="B27852" i="1"/>
  <c r="B27851" i="1"/>
  <c r="B27850" i="1"/>
  <c r="B27849" i="1"/>
  <c r="B27848" i="1"/>
  <c r="B27847" i="1"/>
  <c r="B27846" i="1"/>
  <c r="B27845" i="1"/>
  <c r="B27844" i="1"/>
  <c r="B27843" i="1"/>
  <c r="B27842" i="1"/>
  <c r="B27841" i="1"/>
  <c r="B27840" i="1"/>
  <c r="B27839" i="1"/>
  <c r="B27838" i="1"/>
  <c r="B27837" i="1"/>
  <c r="B27836" i="1"/>
  <c r="B27835" i="1"/>
  <c r="B27834" i="1"/>
  <c r="B27833" i="1"/>
  <c r="B27832" i="1"/>
  <c r="B27831" i="1"/>
  <c r="B27830" i="1"/>
  <c r="B27829" i="1"/>
  <c r="B27828" i="1"/>
  <c r="B27827" i="1"/>
  <c r="B27826" i="1"/>
  <c r="B27825" i="1"/>
  <c r="B27824" i="1"/>
  <c r="B27823" i="1"/>
  <c r="B27822" i="1"/>
  <c r="B27821" i="1"/>
  <c r="B27820" i="1"/>
  <c r="B27819" i="1"/>
  <c r="B27818" i="1"/>
  <c r="B27817" i="1"/>
  <c r="B27816" i="1"/>
  <c r="B27815" i="1"/>
  <c r="B27814" i="1"/>
  <c r="B27813" i="1"/>
  <c r="B27812" i="1"/>
  <c r="B27811" i="1"/>
  <c r="B27810" i="1"/>
  <c r="B27809" i="1"/>
  <c r="B27808" i="1"/>
  <c r="B27807" i="1"/>
  <c r="B27806" i="1"/>
  <c r="B27805" i="1"/>
  <c r="B27804" i="1"/>
  <c r="B27803" i="1"/>
  <c r="B27802" i="1"/>
  <c r="B27801" i="1"/>
  <c r="B27800" i="1"/>
  <c r="B27799" i="1"/>
  <c r="B27798" i="1"/>
  <c r="B27797" i="1"/>
  <c r="B27796" i="1"/>
  <c r="B27795" i="1"/>
  <c r="B27794" i="1"/>
  <c r="B27793" i="1"/>
  <c r="B27792" i="1"/>
  <c r="B27791" i="1"/>
  <c r="B27790" i="1"/>
  <c r="B27789" i="1"/>
  <c r="B27788" i="1"/>
  <c r="B27787" i="1"/>
  <c r="B27786" i="1"/>
  <c r="B27785" i="1"/>
  <c r="B27784" i="1"/>
  <c r="B27783" i="1"/>
  <c r="B27782" i="1"/>
  <c r="B27781" i="1"/>
  <c r="B27780" i="1"/>
  <c r="B27779" i="1"/>
  <c r="B27778" i="1"/>
  <c r="B27777" i="1"/>
  <c r="B27776" i="1"/>
  <c r="B27775" i="1"/>
  <c r="B27774" i="1"/>
  <c r="B27773" i="1"/>
  <c r="B27772" i="1"/>
  <c r="B27771" i="1"/>
  <c r="B27770" i="1"/>
  <c r="B27769" i="1"/>
  <c r="B27768" i="1"/>
  <c r="B27767" i="1"/>
  <c r="B27766" i="1"/>
  <c r="B27765" i="1"/>
  <c r="B27764" i="1"/>
  <c r="B27763" i="1"/>
  <c r="B27762" i="1"/>
  <c r="B27761" i="1"/>
  <c r="B27760" i="1"/>
  <c r="B27759" i="1"/>
  <c r="B27758" i="1"/>
  <c r="B27757" i="1"/>
  <c r="B27756" i="1"/>
  <c r="B27755" i="1"/>
  <c r="B27754" i="1"/>
  <c r="B27753" i="1"/>
  <c r="B27752" i="1"/>
  <c r="B27751" i="1"/>
  <c r="B27750" i="1"/>
  <c r="B27749" i="1"/>
  <c r="B27748" i="1"/>
  <c r="B27747" i="1"/>
  <c r="B27746" i="1"/>
  <c r="B27745" i="1"/>
  <c r="B27744" i="1"/>
  <c r="B27743" i="1"/>
  <c r="B27742" i="1"/>
  <c r="B27741" i="1"/>
  <c r="B27740" i="1"/>
  <c r="B27739" i="1"/>
  <c r="B27738" i="1"/>
  <c r="B27737" i="1"/>
  <c r="B27736" i="1"/>
  <c r="B27735" i="1"/>
  <c r="B27734" i="1"/>
  <c r="B27733" i="1"/>
  <c r="B27732" i="1"/>
  <c r="B27731" i="1"/>
  <c r="B27730" i="1"/>
  <c r="B27729" i="1"/>
  <c r="B27728" i="1"/>
  <c r="B27727" i="1"/>
  <c r="B27726" i="1"/>
  <c r="B27725" i="1"/>
  <c r="B27724" i="1"/>
  <c r="B27723" i="1"/>
  <c r="B27722" i="1"/>
  <c r="B27721" i="1"/>
  <c r="B27720" i="1"/>
  <c r="B27719" i="1"/>
  <c r="B27718" i="1"/>
  <c r="B27717" i="1"/>
  <c r="B27716" i="1"/>
  <c r="B27715" i="1"/>
  <c r="B27714" i="1"/>
  <c r="B27713" i="1"/>
  <c r="B27712" i="1"/>
  <c r="B27711" i="1"/>
  <c r="B27710" i="1"/>
  <c r="B27709" i="1"/>
  <c r="B27708" i="1"/>
  <c r="B27707" i="1"/>
  <c r="B27706" i="1"/>
  <c r="B27705" i="1"/>
  <c r="B27704" i="1"/>
  <c r="B27703" i="1"/>
  <c r="B27702" i="1"/>
  <c r="B27701" i="1"/>
  <c r="B27700" i="1"/>
  <c r="B27699" i="1"/>
  <c r="B27698" i="1"/>
  <c r="B27697" i="1"/>
  <c r="B27696" i="1"/>
  <c r="B27695" i="1"/>
  <c r="B27694" i="1"/>
  <c r="B27693" i="1"/>
  <c r="B27692" i="1"/>
  <c r="B27691" i="1"/>
  <c r="B27690" i="1"/>
  <c r="B27689" i="1"/>
  <c r="B27688" i="1"/>
  <c r="B27687" i="1"/>
  <c r="B27686" i="1"/>
  <c r="B27685" i="1"/>
  <c r="B27684" i="1"/>
  <c r="B27683" i="1"/>
  <c r="B27682" i="1"/>
  <c r="B27681" i="1"/>
  <c r="B27680" i="1"/>
  <c r="B27679" i="1"/>
  <c r="B27678" i="1"/>
  <c r="B27677" i="1"/>
  <c r="B27676" i="1"/>
  <c r="B27675" i="1"/>
  <c r="B27674" i="1"/>
  <c r="B27673" i="1"/>
  <c r="B27672" i="1"/>
  <c r="B27671" i="1"/>
  <c r="B27670" i="1"/>
  <c r="B27669" i="1"/>
  <c r="B27668" i="1"/>
  <c r="B27667" i="1"/>
  <c r="B27666" i="1"/>
  <c r="B27665" i="1"/>
  <c r="B27664" i="1"/>
  <c r="B27663" i="1"/>
  <c r="B27662" i="1"/>
  <c r="B27661" i="1"/>
  <c r="B27660" i="1"/>
  <c r="B27659" i="1"/>
  <c r="B27658" i="1"/>
  <c r="B27657" i="1"/>
  <c r="B27656" i="1"/>
  <c r="B27655" i="1"/>
  <c r="B27654" i="1"/>
  <c r="B27653" i="1"/>
  <c r="B27652" i="1"/>
  <c r="B27651" i="1"/>
  <c r="B27650" i="1"/>
  <c r="B27649" i="1"/>
  <c r="B27648" i="1"/>
  <c r="B27647" i="1"/>
  <c r="B27646" i="1"/>
  <c r="B27645" i="1"/>
  <c r="B27644" i="1"/>
  <c r="B27643" i="1"/>
  <c r="B27642" i="1"/>
  <c r="B27641" i="1"/>
  <c r="B27640" i="1"/>
  <c r="B27639" i="1"/>
  <c r="B27638" i="1"/>
  <c r="B27637" i="1"/>
  <c r="B27636" i="1"/>
  <c r="B27635" i="1"/>
  <c r="B27634" i="1"/>
  <c r="B27633" i="1"/>
  <c r="B27632" i="1"/>
  <c r="B27631" i="1"/>
  <c r="B27630" i="1"/>
  <c r="B27629" i="1"/>
  <c r="B27628" i="1"/>
  <c r="B27627" i="1"/>
  <c r="B27626" i="1"/>
  <c r="B27625" i="1"/>
  <c r="B27624" i="1"/>
  <c r="B27623" i="1"/>
  <c r="B27622" i="1"/>
  <c r="B27621" i="1"/>
  <c r="B27620" i="1"/>
  <c r="B27619" i="1"/>
  <c r="B27618" i="1"/>
  <c r="B27617" i="1"/>
  <c r="B27616" i="1"/>
  <c r="B27615" i="1"/>
  <c r="B27614" i="1"/>
  <c r="B27613" i="1"/>
  <c r="B27612" i="1"/>
  <c r="B27611" i="1"/>
  <c r="B27610" i="1"/>
  <c r="B27609" i="1"/>
  <c r="B27608" i="1"/>
  <c r="B27607" i="1"/>
  <c r="B27606" i="1"/>
  <c r="B27605" i="1"/>
  <c r="B27604" i="1"/>
  <c r="B27603" i="1"/>
  <c r="B27602" i="1"/>
  <c r="B27601" i="1"/>
  <c r="B27600" i="1"/>
  <c r="B27599" i="1"/>
  <c r="B27598" i="1"/>
  <c r="B27597" i="1"/>
  <c r="B27596" i="1"/>
  <c r="B27595" i="1"/>
  <c r="B27594" i="1"/>
  <c r="B27593" i="1"/>
  <c r="B27592" i="1"/>
  <c r="B27591" i="1"/>
  <c r="B27590" i="1"/>
  <c r="B27589" i="1"/>
  <c r="B27588" i="1"/>
  <c r="B27587" i="1"/>
  <c r="B27586" i="1"/>
  <c r="B27585" i="1"/>
  <c r="B27584" i="1"/>
  <c r="B27583" i="1"/>
  <c r="B27582" i="1"/>
  <c r="B27581" i="1"/>
  <c r="B27580" i="1"/>
  <c r="B27579" i="1"/>
  <c r="B27578" i="1"/>
  <c r="B27577" i="1"/>
  <c r="B27576" i="1"/>
  <c r="B27575" i="1"/>
  <c r="B27574" i="1"/>
  <c r="B27573" i="1"/>
  <c r="B27572" i="1"/>
  <c r="B27571" i="1"/>
  <c r="B27570" i="1"/>
  <c r="B27569" i="1"/>
  <c r="B27568" i="1"/>
  <c r="B27567" i="1"/>
  <c r="B27566" i="1"/>
  <c r="B27565" i="1"/>
  <c r="B27564" i="1"/>
  <c r="B27563" i="1"/>
  <c r="B27562" i="1"/>
  <c r="B27561" i="1"/>
  <c r="B27560" i="1"/>
  <c r="B27559" i="1"/>
  <c r="B27558" i="1"/>
  <c r="B27557" i="1"/>
  <c r="B27556" i="1"/>
  <c r="B27555" i="1"/>
  <c r="B27554" i="1"/>
  <c r="B27553" i="1"/>
  <c r="B27552" i="1"/>
  <c r="B27551" i="1"/>
  <c r="B27550" i="1"/>
  <c r="B27549" i="1"/>
  <c r="B27548" i="1"/>
  <c r="B27547" i="1"/>
  <c r="B27546" i="1"/>
  <c r="B27545" i="1"/>
  <c r="B27544" i="1"/>
  <c r="B27543" i="1"/>
  <c r="B27542" i="1"/>
  <c r="B27541" i="1"/>
  <c r="B27540" i="1"/>
  <c r="B27539" i="1"/>
  <c r="B27538" i="1"/>
  <c r="B27537" i="1"/>
  <c r="B27536" i="1"/>
  <c r="B27535" i="1"/>
  <c r="B27534" i="1"/>
  <c r="B27533" i="1"/>
  <c r="B27532" i="1"/>
  <c r="B27531" i="1"/>
  <c r="B27530" i="1"/>
  <c r="B27529" i="1"/>
  <c r="B27528" i="1"/>
  <c r="B27527" i="1"/>
  <c r="B27526" i="1"/>
  <c r="B27525" i="1"/>
  <c r="B27524" i="1"/>
  <c r="B27523" i="1"/>
  <c r="B27522" i="1"/>
  <c r="B27521" i="1"/>
  <c r="B27520" i="1"/>
  <c r="B27519" i="1"/>
  <c r="B27518" i="1"/>
  <c r="B27517" i="1"/>
  <c r="B27516" i="1"/>
  <c r="B27515" i="1"/>
  <c r="B27514" i="1"/>
  <c r="B27513" i="1"/>
  <c r="B27512" i="1"/>
  <c r="B27511" i="1"/>
  <c r="B27510" i="1"/>
  <c r="B27509" i="1"/>
  <c r="B27508" i="1"/>
  <c r="B27507" i="1"/>
  <c r="B27506" i="1"/>
  <c r="B27505" i="1"/>
  <c r="B27504" i="1"/>
  <c r="B27503" i="1"/>
  <c r="B27502" i="1"/>
  <c r="B27501" i="1"/>
  <c r="B27500" i="1"/>
  <c r="B27499" i="1"/>
  <c r="B27498" i="1"/>
  <c r="B27497" i="1"/>
  <c r="B27496" i="1"/>
  <c r="B27495" i="1"/>
  <c r="B27494" i="1"/>
  <c r="B27493" i="1"/>
  <c r="B27492" i="1"/>
  <c r="B27491" i="1"/>
  <c r="B27490" i="1"/>
  <c r="B27489" i="1"/>
  <c r="B27488" i="1"/>
  <c r="B27487" i="1"/>
  <c r="B27486" i="1"/>
  <c r="B27485" i="1"/>
  <c r="B27484" i="1"/>
  <c r="B27483" i="1"/>
  <c r="B27482" i="1"/>
  <c r="B27481" i="1"/>
  <c r="B27480" i="1"/>
  <c r="B27479" i="1"/>
  <c r="B27478" i="1"/>
  <c r="B27477" i="1"/>
  <c r="B27476" i="1"/>
  <c r="B27475" i="1"/>
  <c r="B27474" i="1"/>
  <c r="B27473" i="1"/>
  <c r="B27472" i="1"/>
  <c r="B27471" i="1"/>
  <c r="B27470" i="1"/>
  <c r="B27469" i="1"/>
  <c r="B27468" i="1"/>
  <c r="B27467" i="1"/>
  <c r="B27466" i="1"/>
  <c r="B27465" i="1"/>
  <c r="B27464" i="1"/>
  <c r="B27463" i="1"/>
  <c r="B27462" i="1"/>
  <c r="B27461" i="1"/>
  <c r="B27460" i="1"/>
  <c r="B27459" i="1"/>
  <c r="B27458" i="1"/>
  <c r="B27457" i="1"/>
  <c r="B27456" i="1"/>
  <c r="B27455" i="1"/>
  <c r="B27454" i="1"/>
  <c r="B27453" i="1"/>
  <c r="B27452" i="1"/>
  <c r="B27451" i="1"/>
  <c r="B27450" i="1"/>
  <c r="B27449" i="1"/>
  <c r="B27448" i="1"/>
  <c r="B27447" i="1"/>
  <c r="B27446" i="1"/>
  <c r="B27445" i="1"/>
  <c r="B27444" i="1"/>
  <c r="B27443" i="1"/>
  <c r="B27442" i="1"/>
  <c r="B27441" i="1"/>
  <c r="B27440" i="1"/>
  <c r="B27439" i="1"/>
  <c r="B27438" i="1"/>
  <c r="B27437" i="1"/>
  <c r="B27436" i="1"/>
  <c r="B27435" i="1"/>
  <c r="B27434" i="1"/>
  <c r="B27433" i="1"/>
  <c r="B27432" i="1"/>
  <c r="B27431" i="1"/>
  <c r="B27430" i="1"/>
  <c r="B27429" i="1"/>
  <c r="B27428" i="1"/>
  <c r="B27427" i="1"/>
  <c r="B27426" i="1"/>
  <c r="B27425" i="1"/>
  <c r="B27424" i="1"/>
  <c r="B27423" i="1"/>
  <c r="B27422" i="1"/>
  <c r="B27421" i="1"/>
  <c r="B27420" i="1"/>
  <c r="B27419" i="1"/>
  <c r="B27418" i="1"/>
  <c r="B27417" i="1"/>
  <c r="B27416" i="1"/>
  <c r="B27415" i="1"/>
  <c r="B27414" i="1"/>
  <c r="B27413" i="1"/>
  <c r="B27412" i="1"/>
  <c r="B27411" i="1"/>
  <c r="B27410" i="1"/>
  <c r="B27409" i="1"/>
  <c r="B27408" i="1"/>
  <c r="B27407" i="1"/>
  <c r="B27406" i="1"/>
  <c r="B27405" i="1"/>
  <c r="B27404" i="1"/>
  <c r="B27403" i="1"/>
  <c r="B27402" i="1"/>
  <c r="B27401" i="1"/>
  <c r="B27400" i="1"/>
  <c r="B27399" i="1"/>
  <c r="B27398" i="1"/>
  <c r="B27397" i="1"/>
  <c r="B27396" i="1"/>
  <c r="B27395" i="1"/>
  <c r="B27394" i="1"/>
  <c r="B27393" i="1"/>
  <c r="B27392" i="1"/>
  <c r="B27391" i="1"/>
  <c r="B27390" i="1"/>
  <c r="B27389" i="1"/>
  <c r="B27388" i="1"/>
  <c r="B27387" i="1"/>
  <c r="B27386" i="1"/>
  <c r="B27385" i="1"/>
  <c r="B27384" i="1"/>
  <c r="B27383" i="1"/>
  <c r="B27382" i="1"/>
  <c r="B27381" i="1"/>
  <c r="B27380" i="1"/>
  <c r="B27379" i="1"/>
  <c r="B27378" i="1"/>
  <c r="B27377" i="1"/>
  <c r="B27376" i="1"/>
  <c r="B27375" i="1"/>
  <c r="B27374" i="1"/>
  <c r="B27373" i="1"/>
  <c r="B27372" i="1"/>
  <c r="B27371" i="1"/>
  <c r="B27370" i="1"/>
  <c r="B27369" i="1"/>
  <c r="B27368" i="1"/>
  <c r="B27367" i="1"/>
  <c r="B27366" i="1"/>
  <c r="B27365" i="1"/>
  <c r="B27364" i="1"/>
  <c r="B27363" i="1"/>
  <c r="B27362" i="1"/>
  <c r="B27361" i="1"/>
  <c r="B27360" i="1"/>
  <c r="B27359" i="1"/>
  <c r="B27358" i="1"/>
  <c r="B27357" i="1"/>
  <c r="B27356" i="1"/>
  <c r="B27355" i="1"/>
  <c r="B27354" i="1"/>
  <c r="B27353" i="1"/>
  <c r="B27352" i="1"/>
  <c r="B27351" i="1"/>
  <c r="B27350" i="1"/>
  <c r="B27349" i="1"/>
  <c r="B27348" i="1"/>
  <c r="B27347" i="1"/>
  <c r="B27346" i="1"/>
  <c r="B27345" i="1"/>
  <c r="B27344" i="1"/>
  <c r="B27343" i="1"/>
  <c r="B27342" i="1"/>
  <c r="B27341" i="1"/>
  <c r="B27340" i="1"/>
  <c r="B27339" i="1"/>
  <c r="B27338" i="1"/>
  <c r="B27337" i="1"/>
  <c r="B27336" i="1"/>
  <c r="B27335" i="1"/>
  <c r="B27334" i="1"/>
  <c r="B27333" i="1"/>
  <c r="B27332" i="1"/>
  <c r="B27331" i="1"/>
  <c r="B27330" i="1"/>
  <c r="B27329" i="1"/>
  <c r="B27328" i="1"/>
  <c r="B27327" i="1"/>
  <c r="B27326" i="1"/>
  <c r="B27325" i="1"/>
  <c r="B27324" i="1"/>
  <c r="B27323" i="1"/>
  <c r="B27322" i="1"/>
  <c r="B27321" i="1"/>
  <c r="B27320" i="1"/>
  <c r="B27319" i="1"/>
  <c r="B27318" i="1"/>
  <c r="B27317" i="1"/>
  <c r="B27316" i="1"/>
  <c r="B27315" i="1"/>
  <c r="B27314" i="1"/>
  <c r="B27313" i="1"/>
  <c r="B27312" i="1"/>
  <c r="B27311" i="1"/>
  <c r="B27310" i="1"/>
  <c r="B27309" i="1"/>
  <c r="B27308" i="1"/>
  <c r="B27307" i="1"/>
  <c r="B27306" i="1"/>
  <c r="B27305" i="1"/>
  <c r="B27304" i="1"/>
  <c r="B27303" i="1"/>
  <c r="B27302" i="1"/>
  <c r="B27301" i="1"/>
  <c r="B27300" i="1"/>
  <c r="B27299" i="1"/>
  <c r="B27298" i="1"/>
  <c r="B27297" i="1"/>
  <c r="B27296" i="1"/>
  <c r="B27295" i="1"/>
  <c r="B27294" i="1"/>
  <c r="B27293" i="1"/>
  <c r="B27292" i="1"/>
  <c r="B27291" i="1"/>
  <c r="B27290" i="1"/>
  <c r="B27289" i="1"/>
  <c r="B27288" i="1"/>
  <c r="B27287" i="1"/>
  <c r="B27286" i="1"/>
  <c r="B27285" i="1"/>
  <c r="B27284" i="1"/>
  <c r="B27283" i="1"/>
  <c r="B27282" i="1"/>
  <c r="B27281" i="1"/>
  <c r="B27280" i="1"/>
  <c r="B27279" i="1"/>
  <c r="B27278" i="1"/>
  <c r="B27277" i="1"/>
  <c r="B27276" i="1"/>
  <c r="B27275" i="1"/>
  <c r="B27274" i="1"/>
  <c r="B27273" i="1"/>
  <c r="B27272" i="1"/>
  <c r="B27271" i="1"/>
  <c r="B27270" i="1"/>
  <c r="B27269" i="1"/>
  <c r="B27268" i="1"/>
  <c r="B27267" i="1"/>
  <c r="B27266" i="1"/>
  <c r="B27265" i="1"/>
  <c r="B27264" i="1"/>
  <c r="B27263" i="1"/>
  <c r="B27262" i="1"/>
  <c r="B27261" i="1"/>
  <c r="B27260" i="1"/>
  <c r="B27259" i="1"/>
  <c r="B27258" i="1"/>
  <c r="B27257" i="1"/>
  <c r="B27256" i="1"/>
  <c r="B27255" i="1"/>
  <c r="B27254" i="1"/>
  <c r="B27253" i="1"/>
  <c r="B27252" i="1"/>
  <c r="B27251" i="1"/>
  <c r="B27250" i="1"/>
  <c r="B27249" i="1"/>
  <c r="B27248" i="1"/>
  <c r="B27247" i="1"/>
  <c r="B27246" i="1"/>
  <c r="B27245" i="1"/>
  <c r="B27244" i="1"/>
  <c r="B27243" i="1"/>
  <c r="B27242" i="1"/>
  <c r="B27241" i="1"/>
  <c r="B27240" i="1"/>
  <c r="B27239" i="1"/>
  <c r="B27238" i="1"/>
  <c r="B27237" i="1"/>
  <c r="B27236" i="1"/>
  <c r="B27235" i="1"/>
  <c r="B27234" i="1"/>
  <c r="B27233" i="1"/>
  <c r="B27232" i="1"/>
  <c r="B27231" i="1"/>
  <c r="B27230" i="1"/>
  <c r="B27229" i="1"/>
  <c r="B27228" i="1"/>
  <c r="B27227" i="1"/>
  <c r="B27226" i="1"/>
  <c r="B27225" i="1"/>
  <c r="B27224" i="1"/>
  <c r="B27223" i="1"/>
  <c r="B27222" i="1"/>
  <c r="B27221" i="1"/>
  <c r="B27220" i="1"/>
  <c r="B27219" i="1"/>
  <c r="B27218" i="1"/>
  <c r="B27217" i="1"/>
  <c r="B27216" i="1"/>
  <c r="B27215" i="1"/>
  <c r="B27214" i="1"/>
  <c r="B27213" i="1"/>
  <c r="B27212" i="1"/>
  <c r="B27211" i="1"/>
  <c r="B27210" i="1"/>
  <c r="B27209" i="1"/>
  <c r="B27208" i="1"/>
  <c r="B27207" i="1"/>
  <c r="B27206" i="1"/>
  <c r="B27205" i="1"/>
  <c r="B27204" i="1"/>
  <c r="B27203" i="1"/>
  <c r="B27202" i="1"/>
  <c r="B27201" i="1"/>
  <c r="B27200" i="1"/>
  <c r="B27199" i="1"/>
  <c r="B27198" i="1"/>
  <c r="B27197" i="1"/>
  <c r="B27196" i="1"/>
  <c r="B27195" i="1"/>
  <c r="B27194" i="1"/>
  <c r="B27193" i="1"/>
  <c r="B27192" i="1"/>
  <c r="B27191" i="1"/>
  <c r="B27190" i="1"/>
  <c r="B27189" i="1"/>
  <c r="B27188" i="1"/>
  <c r="B27187" i="1"/>
  <c r="B27186" i="1"/>
  <c r="B27185" i="1"/>
  <c r="B27184" i="1"/>
  <c r="B27183" i="1"/>
  <c r="B27182" i="1"/>
  <c r="B27181" i="1"/>
  <c r="B27180" i="1"/>
  <c r="B27179" i="1"/>
  <c r="B27178" i="1"/>
  <c r="B27177" i="1"/>
  <c r="B27176" i="1"/>
  <c r="B27175" i="1"/>
  <c r="B27174" i="1"/>
  <c r="B27173" i="1"/>
  <c r="B27172" i="1"/>
  <c r="B27171" i="1"/>
  <c r="B27170" i="1"/>
  <c r="B27169" i="1"/>
  <c r="B27168" i="1"/>
  <c r="B27167" i="1"/>
  <c r="B27166" i="1"/>
  <c r="B27165" i="1"/>
  <c r="B27164" i="1"/>
  <c r="B27163" i="1"/>
  <c r="B27162" i="1"/>
  <c r="B27161" i="1"/>
  <c r="B27160" i="1"/>
  <c r="B27159" i="1"/>
  <c r="B27158" i="1"/>
  <c r="B27157" i="1"/>
  <c r="B27156" i="1"/>
  <c r="B27155" i="1"/>
  <c r="B27154" i="1"/>
  <c r="B27153" i="1"/>
  <c r="B27152" i="1"/>
  <c r="B27151" i="1"/>
  <c r="B27150" i="1"/>
  <c r="B27149" i="1"/>
  <c r="B27148" i="1"/>
  <c r="B27147" i="1"/>
  <c r="B27146" i="1"/>
  <c r="B27145" i="1"/>
  <c r="B27144" i="1"/>
  <c r="B27143" i="1"/>
  <c r="B27142" i="1"/>
  <c r="B27141" i="1"/>
  <c r="B27140" i="1"/>
  <c r="B27139" i="1"/>
  <c r="B27138" i="1"/>
  <c r="B27137" i="1"/>
  <c r="B27136" i="1"/>
  <c r="B27135" i="1"/>
  <c r="B27134" i="1"/>
  <c r="B27133" i="1"/>
  <c r="B27132" i="1"/>
  <c r="B27131" i="1"/>
  <c r="B27130" i="1"/>
  <c r="B27129" i="1"/>
  <c r="B27128" i="1"/>
  <c r="B27127" i="1"/>
  <c r="B27126" i="1"/>
  <c r="B27125" i="1"/>
  <c r="B27124" i="1"/>
  <c r="B27123" i="1"/>
  <c r="B27122" i="1"/>
  <c r="B27121" i="1"/>
  <c r="B27120" i="1"/>
  <c r="B27119" i="1"/>
  <c r="B27118" i="1"/>
  <c r="B27117" i="1"/>
  <c r="B27116" i="1"/>
  <c r="B27115" i="1"/>
  <c r="B27114" i="1"/>
  <c r="B27113" i="1"/>
  <c r="B27112" i="1"/>
  <c r="B27111" i="1"/>
  <c r="B27110" i="1"/>
  <c r="B27109" i="1"/>
  <c r="B27108" i="1"/>
  <c r="B27107" i="1"/>
  <c r="B27106" i="1"/>
  <c r="B27105" i="1"/>
  <c r="B27104" i="1"/>
  <c r="B27103" i="1"/>
  <c r="B27102" i="1"/>
  <c r="B27101" i="1"/>
  <c r="B27100" i="1"/>
  <c r="B27099" i="1"/>
  <c r="B27098" i="1"/>
  <c r="B27097" i="1"/>
  <c r="B27096" i="1"/>
  <c r="B27095" i="1"/>
  <c r="B27094" i="1"/>
  <c r="B27093" i="1"/>
  <c r="B27092" i="1"/>
  <c r="B27091" i="1"/>
  <c r="B27090" i="1"/>
  <c r="B27089" i="1"/>
  <c r="B27088" i="1"/>
  <c r="B27087" i="1"/>
  <c r="B27086" i="1"/>
  <c r="B27085" i="1"/>
  <c r="B27084" i="1"/>
  <c r="B27083" i="1"/>
  <c r="B27082" i="1"/>
  <c r="B27081" i="1"/>
  <c r="B27080" i="1"/>
  <c r="B27079" i="1"/>
  <c r="B27078" i="1"/>
  <c r="B27077" i="1"/>
  <c r="B27076" i="1"/>
  <c r="B27075" i="1"/>
  <c r="B27074" i="1"/>
  <c r="B27073" i="1"/>
  <c r="B27072" i="1"/>
  <c r="B27071" i="1"/>
  <c r="B27070" i="1"/>
  <c r="B27069" i="1"/>
  <c r="B27068" i="1"/>
  <c r="B27067" i="1"/>
  <c r="B27066" i="1"/>
  <c r="B27065" i="1"/>
  <c r="B27064" i="1"/>
  <c r="B27063" i="1"/>
  <c r="B27062" i="1"/>
  <c r="B27061" i="1"/>
  <c r="B27060" i="1"/>
  <c r="B27059" i="1"/>
  <c r="B27058" i="1"/>
  <c r="B27057" i="1"/>
  <c r="B27056" i="1"/>
  <c r="B27055" i="1"/>
  <c r="B27054" i="1"/>
  <c r="B27053" i="1"/>
  <c r="B27052" i="1"/>
  <c r="B27051" i="1"/>
  <c r="B27050" i="1"/>
  <c r="B27049" i="1"/>
  <c r="B27048" i="1"/>
  <c r="B27047" i="1"/>
  <c r="B27046" i="1"/>
  <c r="B27045" i="1"/>
  <c r="B27044" i="1"/>
  <c r="B27043" i="1"/>
  <c r="B27042" i="1"/>
  <c r="B27041" i="1"/>
  <c r="B27040" i="1"/>
  <c r="B27039" i="1"/>
  <c r="B27038" i="1"/>
  <c r="B27037" i="1"/>
  <c r="B27036" i="1"/>
  <c r="B27035" i="1"/>
  <c r="B27034" i="1"/>
  <c r="B27033" i="1"/>
  <c r="B27032" i="1"/>
  <c r="B27031" i="1"/>
  <c r="B27030" i="1"/>
  <c r="B27029" i="1"/>
  <c r="B27028" i="1"/>
  <c r="B27027" i="1"/>
  <c r="B27026" i="1"/>
  <c r="B27025" i="1"/>
  <c r="B27024" i="1"/>
  <c r="B27023" i="1"/>
  <c r="B27022" i="1"/>
  <c r="B27021" i="1"/>
  <c r="B27020" i="1"/>
  <c r="B27019" i="1"/>
  <c r="B27018" i="1"/>
  <c r="B27017" i="1"/>
  <c r="B27016" i="1"/>
  <c r="B27015" i="1"/>
  <c r="B27014" i="1"/>
  <c r="B27013" i="1"/>
  <c r="B27012" i="1"/>
  <c r="B27011" i="1"/>
  <c r="B27010" i="1"/>
  <c r="B27009" i="1"/>
  <c r="B27008" i="1"/>
  <c r="B27007" i="1"/>
  <c r="B27006" i="1"/>
  <c r="B27005" i="1"/>
  <c r="B27004" i="1"/>
  <c r="B27003" i="1"/>
  <c r="B27002" i="1"/>
  <c r="B27001" i="1"/>
  <c r="B27000" i="1"/>
  <c r="B26999" i="1"/>
  <c r="B26998" i="1"/>
  <c r="B26997" i="1"/>
  <c r="B26996" i="1"/>
  <c r="B26995" i="1"/>
  <c r="B26994" i="1"/>
  <c r="B26993" i="1"/>
  <c r="B26992" i="1"/>
  <c r="B26991" i="1"/>
  <c r="B26990" i="1"/>
  <c r="B26989" i="1"/>
  <c r="B26988" i="1"/>
  <c r="B26987" i="1"/>
  <c r="B26986" i="1"/>
  <c r="B26985" i="1"/>
  <c r="B26984" i="1"/>
  <c r="B26983" i="1"/>
  <c r="B26982" i="1"/>
  <c r="B26981" i="1"/>
  <c r="B26980" i="1"/>
  <c r="B26979" i="1"/>
  <c r="B26978" i="1"/>
  <c r="B26977" i="1"/>
  <c r="B26976" i="1"/>
  <c r="B26975" i="1"/>
  <c r="B26974" i="1"/>
  <c r="B26973" i="1"/>
  <c r="B26972" i="1"/>
  <c r="B26971" i="1"/>
  <c r="B26970" i="1"/>
  <c r="B26969" i="1"/>
  <c r="B26968" i="1"/>
  <c r="B26967" i="1"/>
  <c r="B26966" i="1"/>
  <c r="B26965" i="1"/>
  <c r="B26964" i="1"/>
  <c r="B26963" i="1"/>
  <c r="B26962" i="1"/>
  <c r="B26961" i="1"/>
  <c r="B26960" i="1"/>
  <c r="B26959" i="1"/>
  <c r="B26958" i="1"/>
  <c r="B26957" i="1"/>
  <c r="B26956" i="1"/>
  <c r="B26955" i="1"/>
  <c r="B26954" i="1"/>
  <c r="B26953" i="1"/>
  <c r="B26952" i="1"/>
  <c r="B26951" i="1"/>
  <c r="B26950" i="1"/>
  <c r="B26949" i="1"/>
  <c r="B26948" i="1"/>
  <c r="B26947" i="1"/>
  <c r="B26946" i="1"/>
  <c r="B26945" i="1"/>
  <c r="B26944" i="1"/>
  <c r="B26943" i="1"/>
  <c r="B26942" i="1"/>
  <c r="B26941" i="1"/>
  <c r="B26940" i="1"/>
  <c r="B26939" i="1"/>
  <c r="B26938" i="1"/>
  <c r="B26937" i="1"/>
  <c r="B26936" i="1"/>
  <c r="B26935" i="1"/>
  <c r="B26934" i="1"/>
  <c r="B26933" i="1"/>
  <c r="B26932" i="1"/>
  <c r="B26931" i="1"/>
  <c r="B26930" i="1"/>
  <c r="B26929" i="1"/>
  <c r="B26928" i="1"/>
  <c r="B26927" i="1"/>
  <c r="B26926" i="1"/>
  <c r="B26925" i="1"/>
  <c r="B26924" i="1"/>
  <c r="B26923" i="1"/>
  <c r="B26922" i="1"/>
  <c r="B26921" i="1"/>
  <c r="B26920" i="1"/>
  <c r="B26919" i="1"/>
  <c r="B26918" i="1"/>
  <c r="B26917" i="1"/>
  <c r="B26916" i="1"/>
  <c r="B26915" i="1"/>
  <c r="B26914" i="1"/>
  <c r="B26913" i="1"/>
  <c r="B26912" i="1"/>
  <c r="B26911" i="1"/>
  <c r="B26910" i="1"/>
  <c r="B26909" i="1"/>
  <c r="B26908" i="1"/>
  <c r="B26907" i="1"/>
  <c r="B26906" i="1"/>
  <c r="B26905" i="1"/>
  <c r="B26904" i="1"/>
  <c r="B26903" i="1"/>
  <c r="B26902" i="1"/>
  <c r="B26901" i="1"/>
  <c r="B26900" i="1"/>
  <c r="B26899" i="1"/>
  <c r="B26898" i="1"/>
  <c r="B26897" i="1"/>
  <c r="B26896" i="1"/>
  <c r="B26895" i="1"/>
  <c r="B26894" i="1"/>
  <c r="B26893" i="1"/>
  <c r="B26892" i="1"/>
  <c r="B26891" i="1"/>
  <c r="B26890" i="1"/>
  <c r="B26889" i="1"/>
  <c r="B26888" i="1"/>
  <c r="B26887" i="1"/>
  <c r="B26886" i="1"/>
  <c r="B26885" i="1"/>
  <c r="B26884" i="1"/>
  <c r="B26883" i="1"/>
  <c r="B26882" i="1"/>
  <c r="B26881" i="1"/>
  <c r="B26880" i="1"/>
  <c r="B26879" i="1"/>
  <c r="B26878" i="1"/>
  <c r="B26877" i="1"/>
  <c r="B26876" i="1"/>
  <c r="B26875" i="1"/>
  <c r="B26874" i="1"/>
  <c r="B26873" i="1"/>
  <c r="B26872" i="1"/>
  <c r="B26871" i="1"/>
  <c r="B26870" i="1"/>
  <c r="B26869" i="1"/>
  <c r="B26868" i="1"/>
  <c r="B26867" i="1"/>
  <c r="B26866" i="1"/>
  <c r="B26865" i="1"/>
  <c r="B26864" i="1"/>
  <c r="B26863" i="1"/>
  <c r="B26862" i="1"/>
  <c r="B26861" i="1"/>
  <c r="B26860" i="1"/>
  <c r="B26859" i="1"/>
  <c r="B26858" i="1"/>
  <c r="B26857" i="1"/>
  <c r="B26856" i="1"/>
  <c r="B26855" i="1"/>
  <c r="B26854" i="1"/>
  <c r="B26853" i="1"/>
  <c r="B26852" i="1"/>
  <c r="B26851" i="1"/>
  <c r="B26850" i="1"/>
  <c r="B26849" i="1"/>
  <c r="B26848" i="1"/>
  <c r="B26847" i="1"/>
  <c r="B26846" i="1"/>
  <c r="B26845" i="1"/>
  <c r="B26844" i="1"/>
  <c r="B26843" i="1"/>
  <c r="B26842" i="1"/>
  <c r="B26841" i="1"/>
  <c r="B26840" i="1"/>
  <c r="B26839" i="1"/>
  <c r="B26838" i="1"/>
  <c r="B26837" i="1"/>
  <c r="B26836" i="1"/>
  <c r="B26835" i="1"/>
  <c r="B26834" i="1"/>
  <c r="B26833" i="1"/>
  <c r="B26832" i="1"/>
  <c r="B26831" i="1"/>
  <c r="B26830" i="1"/>
  <c r="B26829" i="1"/>
  <c r="B26828" i="1"/>
  <c r="B26827" i="1"/>
  <c r="B26826" i="1"/>
  <c r="B26825" i="1"/>
  <c r="B26824" i="1"/>
  <c r="B26823" i="1"/>
  <c r="B26822" i="1"/>
  <c r="B26821" i="1"/>
  <c r="B26820" i="1"/>
  <c r="B26819" i="1"/>
  <c r="B26818" i="1"/>
  <c r="B26817" i="1"/>
  <c r="B26816" i="1"/>
  <c r="B26815" i="1"/>
  <c r="B26814" i="1"/>
  <c r="B26813" i="1"/>
  <c r="B26812" i="1"/>
  <c r="B26811" i="1"/>
  <c r="B26810" i="1"/>
  <c r="B26809" i="1"/>
  <c r="B26808" i="1"/>
  <c r="B26807" i="1"/>
  <c r="B26806" i="1"/>
  <c r="B26805" i="1"/>
  <c r="B26804" i="1"/>
  <c r="B26803" i="1"/>
  <c r="B26802" i="1"/>
  <c r="B26801" i="1"/>
  <c r="B26800" i="1"/>
  <c r="B26799" i="1"/>
  <c r="B26798" i="1"/>
  <c r="B26797" i="1"/>
  <c r="B26796" i="1"/>
  <c r="B26795" i="1"/>
  <c r="B26794" i="1"/>
  <c r="B26793" i="1"/>
  <c r="B26792" i="1"/>
  <c r="B26791" i="1"/>
  <c r="B26790" i="1"/>
  <c r="B26789" i="1"/>
  <c r="B26788" i="1"/>
  <c r="B26787" i="1"/>
  <c r="B26786" i="1"/>
  <c r="B26785" i="1"/>
  <c r="B26784" i="1"/>
  <c r="B26783" i="1"/>
  <c r="B26782" i="1"/>
  <c r="B26781" i="1"/>
  <c r="B26780" i="1"/>
  <c r="B26779" i="1"/>
  <c r="B26778" i="1"/>
  <c r="B26777" i="1"/>
  <c r="B26776" i="1"/>
  <c r="B26775" i="1"/>
  <c r="B26774" i="1"/>
  <c r="B26773" i="1"/>
  <c r="B26772" i="1"/>
  <c r="B26771" i="1"/>
  <c r="B26770" i="1"/>
  <c r="B26769" i="1"/>
  <c r="B26768" i="1"/>
  <c r="B26767" i="1"/>
  <c r="B26766" i="1"/>
  <c r="B26765" i="1"/>
  <c r="B26764" i="1"/>
  <c r="B26763" i="1"/>
  <c r="B26762" i="1"/>
  <c r="B26761" i="1"/>
  <c r="B26760" i="1"/>
  <c r="B26759" i="1"/>
  <c r="B26758" i="1"/>
  <c r="B26757" i="1"/>
  <c r="B26756" i="1"/>
  <c r="B26755" i="1"/>
  <c r="B26754" i="1"/>
  <c r="B26753" i="1"/>
  <c r="B26752" i="1"/>
  <c r="B26751" i="1"/>
  <c r="B26750" i="1"/>
  <c r="B26749" i="1"/>
  <c r="B26748" i="1"/>
  <c r="B26747" i="1"/>
  <c r="B26746" i="1"/>
  <c r="B26745" i="1"/>
  <c r="B26744" i="1"/>
  <c r="B26743" i="1"/>
  <c r="B26742" i="1"/>
  <c r="B26741" i="1"/>
  <c r="B26740" i="1"/>
  <c r="B26739" i="1"/>
  <c r="B26738" i="1"/>
  <c r="B26737" i="1"/>
  <c r="B26736" i="1"/>
  <c r="B26735" i="1"/>
  <c r="B26734" i="1"/>
  <c r="B26733" i="1"/>
  <c r="B26732" i="1"/>
  <c r="B26731" i="1"/>
  <c r="B26730" i="1"/>
  <c r="B26729" i="1"/>
  <c r="B26728" i="1"/>
  <c r="B26727" i="1"/>
  <c r="B26726" i="1"/>
  <c r="B26725" i="1"/>
  <c r="B26724" i="1"/>
  <c r="B26723" i="1"/>
  <c r="B26722" i="1"/>
  <c r="B26721" i="1"/>
  <c r="B26720" i="1"/>
  <c r="B26719" i="1"/>
  <c r="B26718" i="1"/>
  <c r="B26717" i="1"/>
  <c r="B26716" i="1"/>
  <c r="B26715" i="1"/>
  <c r="B26714" i="1"/>
  <c r="B26713" i="1"/>
  <c r="B26712" i="1"/>
  <c r="B26711" i="1"/>
  <c r="B26710" i="1"/>
  <c r="B26709" i="1"/>
  <c r="B26708" i="1"/>
  <c r="B26707" i="1"/>
  <c r="B26706" i="1"/>
  <c r="B26705" i="1"/>
  <c r="B26704" i="1"/>
  <c r="B26703" i="1"/>
  <c r="B26702" i="1"/>
  <c r="B26701" i="1"/>
  <c r="B26700" i="1"/>
  <c r="B26699" i="1"/>
  <c r="B26698" i="1"/>
  <c r="B26697" i="1"/>
  <c r="B26696" i="1"/>
  <c r="B26695" i="1"/>
  <c r="B26694" i="1"/>
  <c r="B26693" i="1"/>
  <c r="B26692" i="1"/>
  <c r="B26691" i="1"/>
  <c r="B26690" i="1"/>
  <c r="B26689" i="1"/>
  <c r="B26688" i="1"/>
  <c r="B26687" i="1"/>
  <c r="B26686" i="1"/>
  <c r="B26685" i="1"/>
  <c r="B26684" i="1"/>
  <c r="B26683" i="1"/>
  <c r="B26682" i="1"/>
  <c r="B26681" i="1"/>
  <c r="B26680" i="1"/>
  <c r="B26679" i="1"/>
  <c r="B26678" i="1"/>
  <c r="B26677" i="1"/>
  <c r="B26676" i="1"/>
  <c r="B26675" i="1"/>
  <c r="B26674" i="1"/>
  <c r="B26673" i="1"/>
  <c r="B26672" i="1"/>
  <c r="B26671" i="1"/>
  <c r="B26670" i="1"/>
  <c r="B26669" i="1"/>
  <c r="B26668" i="1"/>
  <c r="B26667" i="1"/>
  <c r="B26666" i="1"/>
  <c r="B26665" i="1"/>
  <c r="B26664" i="1"/>
  <c r="B26663" i="1"/>
  <c r="B26662" i="1"/>
  <c r="B26661" i="1"/>
  <c r="B26660" i="1"/>
  <c r="B26659" i="1"/>
  <c r="B26658" i="1"/>
  <c r="B26657" i="1"/>
  <c r="B26656" i="1"/>
  <c r="B26655" i="1"/>
  <c r="B26654" i="1"/>
  <c r="B26653" i="1"/>
  <c r="B26652" i="1"/>
  <c r="B26651" i="1"/>
  <c r="B26650" i="1"/>
  <c r="B26649" i="1"/>
  <c r="B26648" i="1"/>
  <c r="B26647" i="1"/>
  <c r="B26646" i="1"/>
  <c r="B26645" i="1"/>
  <c r="B26644" i="1"/>
  <c r="B26643" i="1"/>
  <c r="B26642" i="1"/>
  <c r="B26641" i="1"/>
  <c r="B26640" i="1"/>
  <c r="B26639" i="1"/>
  <c r="B26638" i="1"/>
  <c r="B26637" i="1"/>
  <c r="B26636" i="1"/>
  <c r="B26635" i="1"/>
  <c r="B26634" i="1"/>
  <c r="B26633" i="1"/>
  <c r="B26632" i="1"/>
  <c r="B26631" i="1"/>
  <c r="B26630" i="1"/>
  <c r="B26629" i="1"/>
  <c r="B26628" i="1"/>
  <c r="B26627" i="1"/>
  <c r="B26626" i="1"/>
  <c r="B26625" i="1"/>
  <c r="B26624" i="1"/>
  <c r="B26623" i="1"/>
  <c r="B26622" i="1"/>
  <c r="B26621" i="1"/>
  <c r="B26620" i="1"/>
  <c r="B26619" i="1"/>
  <c r="B26618" i="1"/>
  <c r="B26617" i="1"/>
  <c r="B26616" i="1"/>
  <c r="B26615" i="1"/>
  <c r="B26614" i="1"/>
  <c r="B26613" i="1"/>
  <c r="B26612" i="1"/>
  <c r="B26611" i="1"/>
  <c r="B26610" i="1"/>
  <c r="B26609" i="1"/>
  <c r="B26608" i="1"/>
  <c r="B26607" i="1"/>
  <c r="B26606" i="1"/>
  <c r="B26605" i="1"/>
  <c r="B26604" i="1"/>
  <c r="B26603" i="1"/>
  <c r="B26602" i="1"/>
  <c r="B26601" i="1"/>
  <c r="B26600" i="1"/>
  <c r="B26599" i="1"/>
  <c r="B26598" i="1"/>
  <c r="B26597" i="1"/>
  <c r="B26596" i="1"/>
  <c r="B26595" i="1"/>
  <c r="B26594" i="1"/>
  <c r="B26593" i="1"/>
  <c r="B26592" i="1"/>
  <c r="B26591" i="1"/>
  <c r="B26590" i="1"/>
  <c r="B26589" i="1"/>
  <c r="B26588" i="1"/>
  <c r="B26587" i="1"/>
  <c r="B26586" i="1"/>
  <c r="B26585" i="1"/>
  <c r="B26584" i="1"/>
  <c r="B26583" i="1"/>
  <c r="B26582" i="1"/>
  <c r="B26581" i="1"/>
  <c r="B26580" i="1"/>
  <c r="B26579" i="1"/>
  <c r="B26578" i="1"/>
  <c r="B26577" i="1"/>
  <c r="B26576" i="1"/>
  <c r="B26575" i="1"/>
  <c r="B26574" i="1"/>
  <c r="B26573" i="1"/>
  <c r="B26572" i="1"/>
  <c r="B26571" i="1"/>
  <c r="B26570" i="1"/>
  <c r="B26569" i="1"/>
  <c r="B26568" i="1"/>
  <c r="B26567" i="1"/>
  <c r="B26566" i="1"/>
  <c r="B26565" i="1"/>
  <c r="B26564" i="1"/>
  <c r="B26563" i="1"/>
  <c r="B26562" i="1"/>
  <c r="B26561" i="1"/>
  <c r="B26560" i="1"/>
  <c r="B26559" i="1"/>
  <c r="B26558" i="1"/>
  <c r="B26557" i="1"/>
  <c r="B26556" i="1"/>
  <c r="B26555" i="1"/>
  <c r="B26554" i="1"/>
  <c r="B26553" i="1"/>
  <c r="B26552" i="1"/>
  <c r="B26551" i="1"/>
  <c r="B26550" i="1"/>
  <c r="B26549" i="1"/>
  <c r="B26548" i="1"/>
  <c r="B26547" i="1"/>
  <c r="B26546" i="1"/>
  <c r="B26545" i="1"/>
  <c r="B26544" i="1"/>
  <c r="B26543" i="1"/>
  <c r="B26542" i="1"/>
  <c r="B26541" i="1"/>
  <c r="B26540" i="1"/>
  <c r="B26539" i="1"/>
  <c r="B26538" i="1"/>
  <c r="B26537" i="1"/>
  <c r="B26536" i="1"/>
  <c r="B26535" i="1"/>
  <c r="B26534" i="1"/>
  <c r="B26533" i="1"/>
  <c r="B26532" i="1"/>
  <c r="B26531" i="1"/>
  <c r="B26530" i="1"/>
  <c r="B26529" i="1"/>
  <c r="B26528" i="1"/>
  <c r="B26527" i="1"/>
  <c r="B26526" i="1"/>
  <c r="B26525" i="1"/>
  <c r="B26524" i="1"/>
  <c r="B26523" i="1"/>
  <c r="B26522" i="1"/>
  <c r="B26521" i="1"/>
  <c r="B26520" i="1"/>
  <c r="B26519" i="1"/>
  <c r="B26518" i="1"/>
  <c r="B26517" i="1"/>
  <c r="B26516" i="1"/>
  <c r="B26515" i="1"/>
  <c r="B26514" i="1"/>
  <c r="B26513" i="1"/>
  <c r="B26512" i="1"/>
  <c r="B26511" i="1"/>
  <c r="B26510" i="1"/>
  <c r="B26509" i="1"/>
  <c r="B26508" i="1"/>
  <c r="B26507" i="1"/>
  <c r="B26506" i="1"/>
  <c r="B26505" i="1"/>
  <c r="B26504" i="1"/>
  <c r="B26503" i="1"/>
  <c r="B26502" i="1"/>
  <c r="B26501" i="1"/>
  <c r="B26500" i="1"/>
  <c r="B26499" i="1"/>
  <c r="B26498" i="1"/>
  <c r="B26497" i="1"/>
  <c r="B26496" i="1"/>
  <c r="B26495" i="1"/>
  <c r="B26494" i="1"/>
  <c r="B26493" i="1"/>
  <c r="B26492" i="1"/>
  <c r="B26491" i="1"/>
  <c r="B26490" i="1"/>
  <c r="B26489" i="1"/>
  <c r="B26488" i="1"/>
  <c r="B26487" i="1"/>
  <c r="B26486" i="1"/>
  <c r="B26485" i="1"/>
  <c r="B26484" i="1"/>
  <c r="B26483" i="1"/>
  <c r="B26482" i="1"/>
  <c r="B26481" i="1"/>
  <c r="B26480" i="1"/>
  <c r="B26479" i="1"/>
  <c r="B26478" i="1"/>
  <c r="B26477" i="1"/>
  <c r="B26476" i="1"/>
  <c r="B26475" i="1"/>
  <c r="B26474" i="1"/>
  <c r="B26473" i="1"/>
  <c r="B26472" i="1"/>
  <c r="B26471" i="1"/>
  <c r="B26470" i="1"/>
  <c r="B26469" i="1"/>
  <c r="B26468" i="1"/>
  <c r="B26467" i="1"/>
  <c r="B26466" i="1"/>
  <c r="B26465" i="1"/>
  <c r="B26464" i="1"/>
  <c r="B26463" i="1"/>
  <c r="B26462" i="1"/>
  <c r="B26461" i="1"/>
  <c r="B26460" i="1"/>
  <c r="B26459" i="1"/>
  <c r="B26458" i="1"/>
  <c r="B26457" i="1"/>
  <c r="B26456" i="1"/>
  <c r="B26455" i="1"/>
  <c r="B26454" i="1"/>
  <c r="B26453" i="1"/>
  <c r="B26452" i="1"/>
  <c r="B26451" i="1"/>
  <c r="B26450" i="1"/>
  <c r="B26449" i="1"/>
  <c r="B26448" i="1"/>
  <c r="B26447" i="1"/>
  <c r="B26446" i="1"/>
  <c r="B26445" i="1"/>
  <c r="B26444" i="1"/>
  <c r="B26443" i="1"/>
  <c r="B26442" i="1"/>
  <c r="B26441" i="1"/>
  <c r="B26440" i="1"/>
  <c r="B26439" i="1"/>
  <c r="B26438" i="1"/>
  <c r="B26437" i="1"/>
  <c r="B26436" i="1"/>
  <c r="B26435" i="1"/>
  <c r="B26434" i="1"/>
  <c r="B26433" i="1"/>
  <c r="B26432" i="1"/>
  <c r="B26431" i="1"/>
  <c r="B26430" i="1"/>
  <c r="B26429" i="1"/>
  <c r="B26428" i="1"/>
  <c r="B26427" i="1"/>
  <c r="B26426" i="1"/>
  <c r="B26425" i="1"/>
  <c r="B26424" i="1"/>
  <c r="B26423" i="1"/>
  <c r="B26422" i="1"/>
  <c r="B26421" i="1"/>
  <c r="B26420" i="1"/>
  <c r="B26419" i="1"/>
  <c r="B26418" i="1"/>
  <c r="B26417" i="1"/>
  <c r="B26416" i="1"/>
  <c r="B26415" i="1"/>
  <c r="B26414" i="1"/>
  <c r="B26413" i="1"/>
  <c r="B26412" i="1"/>
  <c r="B26411" i="1"/>
  <c r="B26410" i="1"/>
  <c r="B26409" i="1"/>
  <c r="B26408" i="1"/>
  <c r="B26407" i="1"/>
  <c r="B26406" i="1"/>
  <c r="B26405" i="1"/>
  <c r="B26404" i="1"/>
  <c r="B26403" i="1"/>
  <c r="B26402" i="1"/>
  <c r="B26401" i="1"/>
  <c r="B26400" i="1"/>
  <c r="B26399" i="1"/>
  <c r="B26398" i="1"/>
  <c r="B26397" i="1"/>
  <c r="B26396" i="1"/>
  <c r="B26395" i="1"/>
  <c r="B26394" i="1"/>
  <c r="B26393" i="1"/>
  <c r="B26392" i="1"/>
  <c r="B26391" i="1"/>
  <c r="B26390" i="1"/>
  <c r="B26389" i="1"/>
  <c r="B26388" i="1"/>
  <c r="B26387" i="1"/>
  <c r="B26386" i="1"/>
  <c r="B26385" i="1"/>
  <c r="B26384" i="1"/>
  <c r="B26383" i="1"/>
  <c r="B26382" i="1"/>
  <c r="B26381" i="1"/>
  <c r="B26380" i="1"/>
  <c r="B26379" i="1"/>
  <c r="B26378" i="1"/>
  <c r="B26377" i="1"/>
  <c r="B26376" i="1"/>
  <c r="B26375" i="1"/>
  <c r="B26374" i="1"/>
  <c r="B26373" i="1"/>
  <c r="B26372" i="1"/>
  <c r="B26371" i="1"/>
  <c r="B26370" i="1"/>
  <c r="B26369" i="1"/>
  <c r="B26368" i="1"/>
  <c r="B26367" i="1"/>
  <c r="B26366" i="1"/>
  <c r="B26365" i="1"/>
  <c r="B26364" i="1"/>
  <c r="B26363" i="1"/>
  <c r="B26362" i="1"/>
  <c r="B26361" i="1"/>
  <c r="B26360" i="1"/>
  <c r="B26359" i="1"/>
  <c r="B26358" i="1"/>
  <c r="B26357" i="1"/>
  <c r="B26356" i="1"/>
  <c r="B26355" i="1"/>
  <c r="B26354" i="1"/>
  <c r="B26353" i="1"/>
  <c r="B26352" i="1"/>
  <c r="B26351" i="1"/>
  <c r="B26350" i="1"/>
  <c r="B26349" i="1"/>
  <c r="B26348" i="1"/>
  <c r="B26347" i="1"/>
  <c r="B26346" i="1"/>
  <c r="B26345" i="1"/>
  <c r="B26344" i="1"/>
  <c r="B26343" i="1"/>
  <c r="B26342" i="1"/>
  <c r="B26341" i="1"/>
  <c r="B26340" i="1"/>
  <c r="B26339" i="1"/>
  <c r="B26338" i="1"/>
  <c r="B26337" i="1"/>
  <c r="B26336" i="1"/>
  <c r="B26335" i="1"/>
  <c r="B26334" i="1"/>
  <c r="B26333" i="1"/>
  <c r="B26332" i="1"/>
  <c r="B26331" i="1"/>
  <c r="B26330" i="1"/>
  <c r="B26329" i="1"/>
  <c r="B26328" i="1"/>
  <c r="B26327" i="1"/>
  <c r="B26326" i="1"/>
  <c r="B26325" i="1"/>
  <c r="B26324" i="1"/>
  <c r="B26323" i="1"/>
  <c r="B26322" i="1"/>
  <c r="B26321" i="1"/>
  <c r="B26320" i="1"/>
  <c r="B26319" i="1"/>
  <c r="B26318" i="1"/>
  <c r="B26317" i="1"/>
  <c r="B26316" i="1"/>
  <c r="B26315" i="1"/>
  <c r="B26314" i="1"/>
  <c r="B26313" i="1"/>
  <c r="B26312" i="1"/>
  <c r="B26311" i="1"/>
  <c r="B26310" i="1"/>
  <c r="B26309" i="1"/>
  <c r="B26308" i="1"/>
  <c r="B26307" i="1"/>
  <c r="B26306" i="1"/>
  <c r="B26305" i="1"/>
  <c r="B26304" i="1"/>
  <c r="B26303" i="1"/>
  <c r="B26302" i="1"/>
  <c r="B26301" i="1"/>
  <c r="B26300" i="1"/>
  <c r="B26299" i="1"/>
  <c r="B26298" i="1"/>
  <c r="B26297" i="1"/>
  <c r="B26296" i="1"/>
  <c r="B26295" i="1"/>
  <c r="B26294" i="1"/>
  <c r="B26293" i="1"/>
  <c r="B26292" i="1"/>
  <c r="B26291" i="1"/>
  <c r="B26290" i="1"/>
  <c r="B26289" i="1"/>
  <c r="B26288" i="1"/>
  <c r="B26287" i="1"/>
  <c r="B26286" i="1"/>
  <c r="B26285" i="1"/>
  <c r="B26284" i="1"/>
  <c r="B26283" i="1"/>
  <c r="B26282" i="1"/>
  <c r="B26281" i="1"/>
  <c r="B26280" i="1"/>
  <c r="B26279" i="1"/>
  <c r="B26278" i="1"/>
  <c r="B26277" i="1"/>
  <c r="B26276" i="1"/>
  <c r="B26275" i="1"/>
  <c r="B26274" i="1"/>
  <c r="B26273" i="1"/>
  <c r="B26272" i="1"/>
  <c r="B26271" i="1"/>
  <c r="B26270" i="1"/>
  <c r="B26269" i="1"/>
  <c r="B26268" i="1"/>
  <c r="B26267" i="1"/>
  <c r="B26266" i="1"/>
  <c r="B26265" i="1"/>
  <c r="B26264" i="1"/>
  <c r="B26263" i="1"/>
  <c r="B26262" i="1"/>
  <c r="B26261" i="1"/>
  <c r="B26260" i="1"/>
  <c r="B26259" i="1"/>
  <c r="B26258" i="1"/>
  <c r="B26257" i="1"/>
  <c r="B26256" i="1"/>
  <c r="B26255" i="1"/>
  <c r="B26254" i="1"/>
  <c r="B26253" i="1"/>
  <c r="B26252" i="1"/>
  <c r="B26251" i="1"/>
  <c r="B26250" i="1"/>
  <c r="B26249" i="1"/>
  <c r="B26248" i="1"/>
  <c r="B26247" i="1"/>
  <c r="B26246" i="1"/>
  <c r="B26245" i="1"/>
  <c r="B26244" i="1"/>
  <c r="B26243" i="1"/>
  <c r="B26242" i="1"/>
  <c r="B26241" i="1"/>
  <c r="B26240" i="1"/>
  <c r="B26239" i="1"/>
  <c r="B26238" i="1"/>
  <c r="B26237" i="1"/>
  <c r="B26236" i="1"/>
  <c r="B26235" i="1"/>
  <c r="B26234" i="1"/>
  <c r="B26233" i="1"/>
  <c r="B26232" i="1"/>
  <c r="B26231" i="1"/>
  <c r="B26230" i="1"/>
  <c r="B26229" i="1"/>
  <c r="B26228" i="1"/>
  <c r="B26227" i="1"/>
  <c r="B26226" i="1"/>
  <c r="B26225" i="1"/>
  <c r="B26224" i="1"/>
  <c r="B26223" i="1"/>
  <c r="B26222" i="1"/>
  <c r="B26221" i="1"/>
  <c r="B26220" i="1"/>
  <c r="B26219" i="1"/>
  <c r="B26218" i="1"/>
  <c r="B26217" i="1"/>
  <c r="B26216" i="1"/>
  <c r="B26215" i="1"/>
  <c r="B26214" i="1"/>
  <c r="B26213" i="1"/>
  <c r="B26212" i="1"/>
  <c r="B26211" i="1"/>
  <c r="B26210" i="1"/>
  <c r="B26209" i="1"/>
  <c r="B26208" i="1"/>
  <c r="B26207" i="1"/>
  <c r="B26206" i="1"/>
  <c r="B26205" i="1"/>
  <c r="B26204" i="1"/>
  <c r="B26203" i="1"/>
  <c r="B26202" i="1"/>
  <c r="B26201" i="1"/>
  <c r="B26200" i="1"/>
  <c r="B26199" i="1"/>
  <c r="B26198" i="1"/>
  <c r="B26197" i="1"/>
  <c r="B26196" i="1"/>
  <c r="B26195" i="1"/>
  <c r="B26194" i="1"/>
  <c r="B26193" i="1"/>
  <c r="B26192" i="1"/>
  <c r="B26191" i="1"/>
  <c r="B26190" i="1"/>
  <c r="B26189" i="1"/>
  <c r="B26188" i="1"/>
  <c r="B26187" i="1"/>
  <c r="B26186" i="1"/>
  <c r="B26185" i="1"/>
  <c r="B26184" i="1"/>
  <c r="B26183" i="1"/>
  <c r="B26182" i="1"/>
  <c r="B26181" i="1"/>
  <c r="B26180" i="1"/>
  <c r="B26179" i="1"/>
  <c r="B26178" i="1"/>
  <c r="B26177" i="1"/>
  <c r="B26176" i="1"/>
  <c r="B26175" i="1"/>
  <c r="B26174" i="1"/>
  <c r="B26173" i="1"/>
  <c r="B26172" i="1"/>
  <c r="B26171" i="1"/>
  <c r="B26170" i="1"/>
  <c r="B26169" i="1"/>
  <c r="B26168" i="1"/>
  <c r="B26167" i="1"/>
  <c r="B26166" i="1"/>
  <c r="B26165" i="1"/>
  <c r="B26164" i="1"/>
  <c r="B26163" i="1"/>
  <c r="B26162" i="1"/>
  <c r="B26161" i="1"/>
  <c r="B26160" i="1"/>
  <c r="B26159" i="1"/>
  <c r="B26158" i="1"/>
  <c r="B26157" i="1"/>
  <c r="B26156" i="1"/>
  <c r="B26155" i="1"/>
  <c r="B26154" i="1"/>
  <c r="B26153" i="1"/>
  <c r="B26152" i="1"/>
  <c r="B26151" i="1"/>
  <c r="B26150" i="1"/>
  <c r="B26149" i="1"/>
  <c r="B26148" i="1"/>
  <c r="B26147" i="1"/>
  <c r="B26146" i="1"/>
  <c r="B26145" i="1"/>
  <c r="B26144" i="1"/>
  <c r="B26143" i="1"/>
  <c r="B26142" i="1"/>
  <c r="B26141" i="1"/>
  <c r="B26140" i="1"/>
  <c r="B26139" i="1"/>
  <c r="B26138" i="1"/>
  <c r="B26137" i="1"/>
  <c r="B26136" i="1"/>
  <c r="B26135" i="1"/>
  <c r="B26134" i="1"/>
  <c r="B26133" i="1"/>
  <c r="B26132" i="1"/>
  <c r="B26131" i="1"/>
  <c r="B26130" i="1"/>
  <c r="B26129" i="1"/>
  <c r="B26128" i="1"/>
  <c r="B26127" i="1"/>
  <c r="B26126" i="1"/>
  <c r="B26125" i="1"/>
  <c r="B26124" i="1"/>
  <c r="B26123" i="1"/>
  <c r="B26122" i="1"/>
  <c r="B26121" i="1"/>
  <c r="B26120" i="1"/>
  <c r="B26119" i="1"/>
  <c r="B26118" i="1"/>
  <c r="B26117" i="1"/>
  <c r="B26116" i="1"/>
  <c r="B26115" i="1"/>
  <c r="B26114" i="1"/>
  <c r="B26113" i="1"/>
  <c r="B26112" i="1"/>
  <c r="B26111" i="1"/>
  <c r="B26110" i="1"/>
  <c r="B26109" i="1"/>
  <c r="B26108" i="1"/>
  <c r="B26107" i="1"/>
  <c r="B26106" i="1"/>
  <c r="B26105" i="1"/>
  <c r="B26104" i="1"/>
  <c r="B26103" i="1"/>
  <c r="B26102" i="1"/>
  <c r="B26101" i="1"/>
  <c r="B26100" i="1"/>
  <c r="B26099" i="1"/>
  <c r="B26098" i="1"/>
  <c r="B26097" i="1"/>
  <c r="B26096" i="1"/>
  <c r="B26095" i="1"/>
  <c r="B26094" i="1"/>
  <c r="B26093" i="1"/>
  <c r="B26092" i="1"/>
  <c r="B26091" i="1"/>
  <c r="B26090" i="1"/>
  <c r="B26089" i="1"/>
  <c r="B26088" i="1"/>
  <c r="B26087" i="1"/>
  <c r="B26086" i="1"/>
  <c r="B26085" i="1"/>
  <c r="B26084" i="1"/>
  <c r="B26083" i="1"/>
  <c r="B26082" i="1"/>
  <c r="B26081" i="1"/>
  <c r="B26080" i="1"/>
  <c r="B26079" i="1"/>
  <c r="B26078" i="1"/>
  <c r="B26077" i="1"/>
  <c r="B26076" i="1"/>
  <c r="B26075" i="1"/>
  <c r="B26074" i="1"/>
  <c r="B26073" i="1"/>
  <c r="B26072" i="1"/>
  <c r="B26071" i="1"/>
  <c r="B26070" i="1"/>
  <c r="B26069" i="1"/>
  <c r="B26068" i="1"/>
  <c r="B26067" i="1"/>
  <c r="B26066" i="1"/>
  <c r="B26065" i="1"/>
  <c r="B26064" i="1"/>
  <c r="B26063" i="1"/>
  <c r="B26062" i="1"/>
  <c r="B26061" i="1"/>
  <c r="B26060" i="1"/>
  <c r="B26059" i="1"/>
  <c r="B26058" i="1"/>
  <c r="B26057" i="1"/>
  <c r="B26056" i="1"/>
  <c r="B26055" i="1"/>
  <c r="B26054" i="1"/>
  <c r="B26053" i="1"/>
  <c r="B26052" i="1"/>
  <c r="B26051" i="1"/>
  <c r="B26050" i="1"/>
  <c r="B26049" i="1"/>
  <c r="B26048" i="1"/>
  <c r="B26047" i="1"/>
  <c r="B26046" i="1"/>
  <c r="B26045" i="1"/>
  <c r="B26044" i="1"/>
  <c r="B26043" i="1"/>
  <c r="B26042" i="1"/>
  <c r="B26041" i="1"/>
  <c r="B26040" i="1"/>
  <c r="B26039" i="1"/>
  <c r="B26038" i="1"/>
  <c r="B26037" i="1"/>
  <c r="B26036" i="1"/>
  <c r="B26035" i="1"/>
  <c r="B26034" i="1"/>
  <c r="B26033" i="1"/>
  <c r="B26032" i="1"/>
  <c r="B26031" i="1"/>
  <c r="B26030" i="1"/>
  <c r="B26029" i="1"/>
  <c r="B26028" i="1"/>
  <c r="B26027" i="1"/>
  <c r="B26026" i="1"/>
  <c r="B26025" i="1"/>
  <c r="B26024" i="1"/>
  <c r="B26023" i="1"/>
  <c r="B26022" i="1"/>
  <c r="B26021" i="1"/>
  <c r="B26020" i="1"/>
  <c r="B26019" i="1"/>
  <c r="B26018" i="1"/>
  <c r="B26017" i="1"/>
  <c r="B26016" i="1"/>
  <c r="B26015" i="1"/>
  <c r="B26014" i="1"/>
  <c r="B26013" i="1"/>
  <c r="B26012" i="1"/>
  <c r="B26011" i="1"/>
  <c r="B26010" i="1"/>
  <c r="B26009" i="1"/>
  <c r="B26008" i="1"/>
  <c r="B26007" i="1"/>
  <c r="B26006" i="1"/>
  <c r="B26005" i="1"/>
  <c r="B26004" i="1"/>
  <c r="B26003" i="1"/>
  <c r="B26002" i="1"/>
  <c r="B26001" i="1"/>
  <c r="B26000" i="1"/>
  <c r="B25999" i="1"/>
  <c r="B25998" i="1"/>
  <c r="B25997" i="1"/>
  <c r="B25996" i="1"/>
  <c r="B25995" i="1"/>
  <c r="B25994" i="1"/>
  <c r="B25993" i="1"/>
  <c r="B25992" i="1"/>
  <c r="B25991" i="1"/>
  <c r="B25990" i="1"/>
  <c r="B25989" i="1"/>
  <c r="B25988" i="1"/>
  <c r="B25987" i="1"/>
  <c r="B25986" i="1"/>
  <c r="B25985" i="1"/>
  <c r="B25984" i="1"/>
  <c r="B25983" i="1"/>
  <c r="B25982" i="1"/>
  <c r="B25981" i="1"/>
  <c r="B25980" i="1"/>
  <c r="B25979" i="1"/>
  <c r="B25978" i="1"/>
  <c r="B25977" i="1"/>
  <c r="B25976" i="1"/>
  <c r="B25975" i="1"/>
  <c r="B25974" i="1"/>
  <c r="B25973" i="1"/>
  <c r="B25972" i="1"/>
  <c r="B25971" i="1"/>
  <c r="B25970" i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</calcChain>
</file>

<file path=xl/sharedStrings.xml><?xml version="1.0" encoding="utf-8"?>
<sst xmlns="http://schemas.openxmlformats.org/spreadsheetml/2006/main" count="107730" uniqueCount="1684">
  <si>
    <t>Parent MNE</t>
  </si>
  <si>
    <t>3M Co</t>
  </si>
  <si>
    <t>AIA Group Ltd</t>
  </si>
  <si>
    <t>ANTA Sports Products Ltd</t>
  </si>
  <si>
    <t>AP Moeller - Maersk A/S</t>
  </si>
  <si>
    <t>ASML Holding NV</t>
  </si>
  <si>
    <t>AT&amp;T Inc</t>
  </si>
  <si>
    <t>AXA SA</t>
  </si>
  <si>
    <t>Abb Ltd</t>
  </si>
  <si>
    <t>Abbott Laboratories</t>
  </si>
  <si>
    <t>Abbvie Inc</t>
  </si>
  <si>
    <t>Abu Dhabi National Energy Company PJSC</t>
  </si>
  <si>
    <t>Accenture PLC</t>
  </si>
  <si>
    <t>Activision Blizzard Inc</t>
  </si>
  <si>
    <t>Adobe Inc</t>
  </si>
  <si>
    <t>Advanced Micro Devices Inc</t>
  </si>
  <si>
    <t>Adyen NV</t>
  </si>
  <si>
    <t>Agilent Technologies Inc</t>
  </si>
  <si>
    <t>Agricultural Bank of China Ltd</t>
  </si>
  <si>
    <t>Air Products and Chemicals Inc</t>
  </si>
  <si>
    <t>Airbnb Inc</t>
  </si>
  <si>
    <t>Airbus SE</t>
  </si>
  <si>
    <t>Al Rajhi Banking &amp; Investment Corporation SJSC</t>
  </si>
  <si>
    <t>Alcon AG</t>
  </si>
  <si>
    <t>Alibaba Group Holding Ltd</t>
  </si>
  <si>
    <t>Alimentation Couche-Tard Inc</t>
  </si>
  <si>
    <t>Allianz SE</t>
  </si>
  <si>
    <t>Alphabet Inc</t>
  </si>
  <si>
    <t>Altria Group Inc</t>
  </si>
  <si>
    <t>Amazon.com Inc</t>
  </si>
  <si>
    <t>America Movil SAB de CV</t>
  </si>
  <si>
    <t>American Electric Power Company Inc</t>
  </si>
  <si>
    <t>American Express Co</t>
  </si>
  <si>
    <t>American International Group Inc</t>
  </si>
  <si>
    <t>American Tower Corp</t>
  </si>
  <si>
    <t>Amgen Inc</t>
  </si>
  <si>
    <t>Amphenol Corp</t>
  </si>
  <si>
    <t>Analog Devices Inc</t>
  </si>
  <si>
    <t>Anglo American PLC</t>
  </si>
  <si>
    <t>Aon PLC</t>
  </si>
  <si>
    <t>Apple Inc</t>
  </si>
  <si>
    <t>Applied Materials Inc</t>
  </si>
  <si>
    <t>Arista Networks Inc</t>
  </si>
  <si>
    <t>Asian Paints Ltd</t>
  </si>
  <si>
    <t>AstraZeneca PLC</t>
  </si>
  <si>
    <t>Atlas Copco AB</t>
  </si>
  <si>
    <t>Autodesk Inc</t>
  </si>
  <si>
    <t>Automatic Data Processing Inc</t>
  </si>
  <si>
    <t>Autozone Inc</t>
  </si>
  <si>
    <t>BCE Inc</t>
  </si>
  <si>
    <t>BHP Group Ltd</t>
  </si>
  <si>
    <t>BNP Paribas SA</t>
  </si>
  <si>
    <t>BP PLC</t>
  </si>
  <si>
    <t>BYD Co Ltd</t>
  </si>
  <si>
    <t>Baidu Inc</t>
  </si>
  <si>
    <t>Bajaj Finance Ltd</t>
  </si>
  <si>
    <t>Banco Santander SA</t>
  </si>
  <si>
    <t>Bank Central Asia Tbk PT</t>
  </si>
  <si>
    <t>Bank Rakyat Indonesia (Persero) Tbk PT</t>
  </si>
  <si>
    <t>Bank of America Corp</t>
  </si>
  <si>
    <t>Bank of China Ltd</t>
  </si>
  <si>
    <t>Bank of Communications Co Ltd</t>
  </si>
  <si>
    <t>Bank of Montreal</t>
  </si>
  <si>
    <t>Bank of New York Mellon Corp</t>
  </si>
  <si>
    <t>Bank of Nova Scotia</t>
  </si>
  <si>
    <t>Bayer AG</t>
  </si>
  <si>
    <t>Bayerische Motoren Werke AG</t>
  </si>
  <si>
    <t>Becton Dickinson and Co</t>
  </si>
  <si>
    <t>Berkshire Hathaway Inc</t>
  </si>
  <si>
    <t>Bharti Airtel Ltd</t>
  </si>
  <si>
    <t>BioNTech SE</t>
  </si>
  <si>
    <t>BlackRock Inc</t>
  </si>
  <si>
    <t>Blackstone Inc</t>
  </si>
  <si>
    <t>Block Inc</t>
  </si>
  <si>
    <t>Boeing Co</t>
  </si>
  <si>
    <t>Booking Holdings Inc</t>
  </si>
  <si>
    <t>Boston Scientific Corp</t>
  </si>
  <si>
    <t>Bristol-Myers Squibb Co</t>
  </si>
  <si>
    <t>British American Tobacco PLC</t>
  </si>
  <si>
    <t>Broadcom Inc</t>
  </si>
  <si>
    <t>CITIC Securities Co Ltd</t>
  </si>
  <si>
    <t>CME Group Inc</t>
  </si>
  <si>
    <t>CNOOC Ltd</t>
  </si>
  <si>
    <t>CSL Ltd</t>
  </si>
  <si>
    <t>CSX Corp</t>
  </si>
  <si>
    <t>CVS Health Corp</t>
  </si>
  <si>
    <t>Cadence Design Systems Inc</t>
  </si>
  <si>
    <t>Canadian Imperial Bank of Commerce</t>
  </si>
  <si>
    <t>Canadian National Railway Co</t>
  </si>
  <si>
    <t>Canadian Natural Resources Ltd</t>
  </si>
  <si>
    <t>Canadian Pacific Railway Ltd</t>
  </si>
  <si>
    <t>Capital One Financial Corp</t>
  </si>
  <si>
    <t>Carrier Global Corp</t>
  </si>
  <si>
    <t>Caterpillar Inc</t>
  </si>
  <si>
    <t>Centene Corp</t>
  </si>
  <si>
    <t>Charles Schwab Corp</t>
  </si>
  <si>
    <t>Charter Communications Inc</t>
  </si>
  <si>
    <t>Chevron Corp</t>
  </si>
  <si>
    <t>China Construction Bank Corp</t>
  </si>
  <si>
    <t>China Life Insurance Co Ltd</t>
  </si>
  <si>
    <t>China Merchants Bank Co Ltd</t>
  </si>
  <si>
    <t>China Mobile Ltd</t>
  </si>
  <si>
    <t>China Petroleum &amp; Chemical Corp</t>
  </si>
  <si>
    <t>China Shenhua Energy Co Ltd</t>
  </si>
  <si>
    <t>China Telecom Corp Ltd</t>
  </si>
  <si>
    <t>China Tourism Group Duty Free Corp Ltd</t>
  </si>
  <si>
    <t>China Yangtze Power Co Ltd</t>
  </si>
  <si>
    <t>Chipotle Mexican Grill Inc</t>
  </si>
  <si>
    <t>Christian Dior SE</t>
  </si>
  <si>
    <t>Chubb Ltd</t>
  </si>
  <si>
    <t>Cintas Corp</t>
  </si>
  <si>
    <t>Cisco Systems Inc</t>
  </si>
  <si>
    <t>Citigroup Inc</t>
  </si>
  <si>
    <t>Coca-Cola Co</t>
  </si>
  <si>
    <t>Colgate-Palmolive Co</t>
  </si>
  <si>
    <t>Comcast Corp</t>
  </si>
  <si>
    <t>Commonwealth Bank of Australia</t>
  </si>
  <si>
    <t>Compagnie Financiere Richemont SA</t>
  </si>
  <si>
    <t>Conocophillips</t>
  </si>
  <si>
    <t>Constellation Brands Inc</t>
  </si>
  <si>
    <t>Contemporary Amperex Technology Co Ltd</t>
  </si>
  <si>
    <t>Costco Wholesale Corp</t>
  </si>
  <si>
    <t>DBS Group Holdings Ltd</t>
  </si>
  <si>
    <t>DSV A/S</t>
  </si>
  <si>
    <t>Daiichi Sankyo Co Ltd</t>
  </si>
  <si>
    <t>Daikin Industries Ltd</t>
  </si>
  <si>
    <t>Danaher Corp</t>
  </si>
  <si>
    <t>Danone SA</t>
  </si>
  <si>
    <t>Dassault Systemes SE</t>
  </si>
  <si>
    <t>Deere &amp; Co</t>
  </si>
  <si>
    <t>Denso Corp</t>
  </si>
  <si>
    <t>Deutsche Post AG</t>
  </si>
  <si>
    <t>Deutsche Telekom AG</t>
  </si>
  <si>
    <t>Dexcom Inc</t>
  </si>
  <si>
    <t>Diageo PLC</t>
  </si>
  <si>
    <t>Dollar General Corp</t>
  </si>
  <si>
    <t>Dominion Energy Inc</t>
  </si>
  <si>
    <t>Dow Inc</t>
  </si>
  <si>
    <t>Duke Energy Corp</t>
  </si>
  <si>
    <t>Dupont De Nemours Inc</t>
  </si>
  <si>
    <t>EOG Resources Inc</t>
  </si>
  <si>
    <t>East Money Information Co Ltd</t>
  </si>
  <si>
    <t>Eaton Corporation PLC</t>
  </si>
  <si>
    <t>Ecolab Inc</t>
  </si>
  <si>
    <t>Edwards Lifesciences Corp</t>
  </si>
  <si>
    <t>Eli Lilly and Co</t>
  </si>
  <si>
    <t>Emerson Electric Co</t>
  </si>
  <si>
    <t>Emirates Telecommunications Group Company PJSC</t>
  </si>
  <si>
    <t>Enbridge Inc</t>
  </si>
  <si>
    <t>Enel SpA</t>
  </si>
  <si>
    <t>Eni SpA</t>
  </si>
  <si>
    <t>Enterprise Products Partners LP</t>
  </si>
  <si>
    <t>Equinix Inc</t>
  </si>
  <si>
    <t>Equinor ASA</t>
  </si>
  <si>
    <t>EssilorLuxottica SA</t>
  </si>
  <si>
    <t>Estee Lauder Companies Inc</t>
  </si>
  <si>
    <t>Exelon Corp</t>
  </si>
  <si>
    <t>Exxon Mobil Corp</t>
  </si>
  <si>
    <t>Fast Retailing Co Ltd</t>
  </si>
  <si>
    <t>FedEx Corp</t>
  </si>
  <si>
    <t>Ferrari NV</t>
  </si>
  <si>
    <t>Fidelity National Information Services Inc</t>
  </si>
  <si>
    <t>First Abu Dhabi Bank PJSC</t>
  </si>
  <si>
    <t>Fiserv Inc</t>
  </si>
  <si>
    <t>Ford Motor Co</t>
  </si>
  <si>
    <t>Fortescue Metals Group Ltd</t>
  </si>
  <si>
    <t>Fortinet Inc</t>
  </si>
  <si>
    <t>Foshan Haitian Flavouring and Food Co Ltd</t>
  </si>
  <si>
    <t>Freeport-McMoRan Inc</t>
  </si>
  <si>
    <t>Gazprom PAO</t>
  </si>
  <si>
    <t>General Dynamics Corp</t>
  </si>
  <si>
    <t>General Electric Co</t>
  </si>
  <si>
    <t>General Mills Inc</t>
  </si>
  <si>
    <t>General Motors Co</t>
  </si>
  <si>
    <t>Gilead Sciences Inc</t>
  </si>
  <si>
    <t>Glencore PLC</t>
  </si>
  <si>
    <t>Goldman Sachs Group Inc</t>
  </si>
  <si>
    <t>HCA Healthcare Inc</t>
  </si>
  <si>
    <t>HCL Technologies Ltd</t>
  </si>
  <si>
    <t>HDFC Bank Ltd</t>
  </si>
  <si>
    <t>HSBC Holdings PLC</t>
  </si>
  <si>
    <t>Hangzhou Hikvision Digital Technology Co Ltd</t>
  </si>
  <si>
    <t>Hapag Lloyd AG</t>
  </si>
  <si>
    <t>Heineken NV</t>
  </si>
  <si>
    <t>Hermes International SCA</t>
  </si>
  <si>
    <t>Hilton Worldwide Holdings Inc</t>
  </si>
  <si>
    <t>Hitachi Ltd</t>
  </si>
  <si>
    <t>Home Depot Inc</t>
  </si>
  <si>
    <t>Hon Hai Precision Industry Co Ltd</t>
  </si>
  <si>
    <t>Honda Motor Co Ltd</t>
  </si>
  <si>
    <t>Honeywell International Inc</t>
  </si>
  <si>
    <t>Hong Kong Exchanges and Clearing Ltd</t>
  </si>
  <si>
    <t>Housing Development Finance Corporation Ltd</t>
  </si>
  <si>
    <t>Hoya Corp</t>
  </si>
  <si>
    <t>Humana Inc</t>
  </si>
  <si>
    <t>ICICI Bank Ltd</t>
  </si>
  <si>
    <t>IDEXX Laboratories Inc</t>
  </si>
  <si>
    <t>ING Groep NV</t>
  </si>
  <si>
    <t>IQVIA Holdings Inc</t>
  </si>
  <si>
    <t>Iberdrola SA</t>
  </si>
  <si>
    <t>Illinois Tool Works Inc</t>
  </si>
  <si>
    <t>Industria de Diseno Textil SA</t>
  </si>
  <si>
    <t>Industrial Bank Co Ltd</t>
  </si>
  <si>
    <t>Industrial and Commercial Bank of China Ltd</t>
  </si>
  <si>
    <t>Infineon Technologies AG</t>
  </si>
  <si>
    <t>Infosys Ltd</t>
  </si>
  <si>
    <t>Intel Corp</t>
  </si>
  <si>
    <t>Intercontinental Exchange Inc</t>
  </si>
  <si>
    <t>International Business Machines Corp</t>
  </si>
  <si>
    <t>International Holding Company PJSC</t>
  </si>
  <si>
    <t>Intesa Sanpaolo SpA</t>
  </si>
  <si>
    <t>Intuit Inc</t>
  </si>
  <si>
    <t>Intuitive Surgical Inc</t>
  </si>
  <si>
    <t>Investor AB</t>
  </si>
  <si>
    <t>Itochu Corp</t>
  </si>
  <si>
    <t>JD.Com Inc</t>
  </si>
  <si>
    <t>JPMorgan Chase &amp; Co</t>
  </si>
  <si>
    <t>Jiangsu Hengrui Pharmaceuticals Co Ltd</t>
  </si>
  <si>
    <t>Johnson &amp; Johnson</t>
  </si>
  <si>
    <t>Johnson Controls International PLC</t>
  </si>
  <si>
    <t>KDDI Corp</t>
  </si>
  <si>
    <t>KKR &amp; Co Inc</t>
  </si>
  <si>
    <t>KLA Corp</t>
  </si>
  <si>
    <t>Kering SA</t>
  </si>
  <si>
    <t>Keurig Dr Pepper Inc</t>
  </si>
  <si>
    <t>Keyence Corp</t>
  </si>
  <si>
    <t>Kimberly-Clark Corp</t>
  </si>
  <si>
    <t>Kotak Mahindra Bank Ltd</t>
  </si>
  <si>
    <t>Kraft Heinz Co</t>
  </si>
  <si>
    <t>Kweichow Moutai Co Ltd</t>
  </si>
  <si>
    <t>L'Air Liquide Societe Anonyme pour l'Etude et l'Exploitation des Procedes Georges Claude SA</t>
  </si>
  <si>
    <t>L'Oreal SA</t>
  </si>
  <si>
    <t>LONGi Green Energy Technology Co Ltd</t>
  </si>
  <si>
    <t>Lam Research Corp</t>
  </si>
  <si>
    <t>Linde PLC</t>
  </si>
  <si>
    <t>Lloyds Banking Group PLC</t>
  </si>
  <si>
    <t>Lockheed Martin Corp</t>
  </si>
  <si>
    <t>London Stock Exchange Group PLC</t>
  </si>
  <si>
    <t>Lonza Group AG</t>
  </si>
  <si>
    <t>Lowe's Companies Inc</t>
  </si>
  <si>
    <t>Lululemon Athletica Inc</t>
  </si>
  <si>
    <t>Luzhou Laojiao Co Ltd</t>
  </si>
  <si>
    <t>MSCI Inc</t>
  </si>
  <si>
    <t>Macquarie Group Ltd</t>
  </si>
  <si>
    <t>Marriott International Inc</t>
  </si>
  <si>
    <t>Marsh &amp; McLennan Companies Inc</t>
  </si>
  <si>
    <t>Mastercard Inc</t>
  </si>
  <si>
    <t>McDonald's Corp</t>
  </si>
  <si>
    <t>Medtronic PLC</t>
  </si>
  <si>
    <t>Meituan</t>
  </si>
  <si>
    <t>Merck &amp; Co Inc</t>
  </si>
  <si>
    <t>MetLife Inc</t>
  </si>
  <si>
    <t>Meta Platforms Inc</t>
  </si>
  <si>
    <t>Microchip Technology Inc</t>
  </si>
  <si>
    <t>Micron Technology Inc</t>
  </si>
  <si>
    <t>Microsoft Corp</t>
  </si>
  <si>
    <t>Midea Group Co Ltd</t>
  </si>
  <si>
    <t>Mitsubishi Corp</t>
  </si>
  <si>
    <t>Mitsubishi UFJ Financial Group Inc</t>
  </si>
  <si>
    <t>Moderna Inc</t>
  </si>
  <si>
    <t>Mondelez International Inc</t>
  </si>
  <si>
    <t>Monster Beverage Corp</t>
  </si>
  <si>
    <t>Moody's Corp</t>
  </si>
  <si>
    <t>Morgan Stanley</t>
  </si>
  <si>
    <t>Motorola Solutions Inc</t>
  </si>
  <si>
    <t>Muenchener Rueckversicherungs Gesellschaft in Muenchen AG</t>
  </si>
  <si>
    <t>Murata Manufacturing Co Ltd</t>
  </si>
  <si>
    <t>Muyuan Foods Co Ltd</t>
  </si>
  <si>
    <t>NK Lukoil PAO</t>
  </si>
  <si>
    <t>NK Rosneft' PAO</t>
  </si>
  <si>
    <t>NVIDIA Corp</t>
  </si>
  <si>
    <t>NXP Semiconductors NV</t>
  </si>
  <si>
    <t>Naspers Ltd</t>
  </si>
  <si>
    <t>National Australia Bank Ltd</t>
  </si>
  <si>
    <t>National Grid PLC</t>
  </si>
  <si>
    <t>Nestle SA</t>
  </si>
  <si>
    <t>NetEase Inc</t>
  </si>
  <si>
    <t>Netflix Inc</t>
  </si>
  <si>
    <t>Newmont Corporation</t>
  </si>
  <si>
    <t>Nextera Energy Inc</t>
  </si>
  <si>
    <t>Nike Inc</t>
  </si>
  <si>
    <t>Nintendo Co Ltd</t>
  </si>
  <si>
    <t>Nippon Telegraph and Telephone Corp</t>
  </si>
  <si>
    <t>Nongfu Spring Co Ltd</t>
  </si>
  <si>
    <t>Nordea Bank Abp</t>
  </si>
  <si>
    <t>Norfolk Southern Corp</t>
  </si>
  <si>
    <t>Northrop Grumman Corp</t>
  </si>
  <si>
    <t>Novartis AG</t>
  </si>
  <si>
    <t>Novatek PAO</t>
  </si>
  <si>
    <t>Novo Nordisk A/S</t>
  </si>
  <si>
    <t>Nutrien Ltd</t>
  </si>
  <si>
    <t>O'Reilly Automotive Inc</t>
  </si>
  <si>
    <t>Oracle Corp</t>
  </si>
  <si>
    <t>Oriental Land Co Ltd</t>
  </si>
  <si>
    <t>Orsted A/S</t>
  </si>
  <si>
    <t>PNC Financial Services Group Inc</t>
  </si>
  <si>
    <t>Palo Alto Networks Inc</t>
  </si>
  <si>
    <t>Parker-Hannifin Corp</t>
  </si>
  <si>
    <t>PayPal Holdings Inc</t>
  </si>
  <si>
    <t>Paychex Inc</t>
  </si>
  <si>
    <t>PepsiCo Inc</t>
  </si>
  <si>
    <t>Pernod Ricard SA</t>
  </si>
  <si>
    <t>PetroChina Co Ltd</t>
  </si>
  <si>
    <t>Petroleo Brasileiro SA Petrobras</t>
  </si>
  <si>
    <t>Pfizer Inc</t>
  </si>
  <si>
    <t>Philip Morris International Inc</t>
  </si>
  <si>
    <t>Ping An Insurance Group Co of China Ltd</t>
  </si>
  <si>
    <t>Pioneer Natural Resources Co</t>
  </si>
  <si>
    <t>Postal Savings Bank of China Co Ltd</t>
  </si>
  <si>
    <t>ProMOS Technologies Inc</t>
  </si>
  <si>
    <t>Procter &amp; Gamble Co</t>
  </si>
  <si>
    <t>Progressive Corp</t>
  </si>
  <si>
    <t>Prologis Inc</t>
  </si>
  <si>
    <t>Prudential Financial Inc</t>
  </si>
  <si>
    <t>Prudential PLC</t>
  </si>
  <si>
    <t>Public Storage</t>
  </si>
  <si>
    <t>Qatar National Bank QPSC</t>
  </si>
  <si>
    <t>Qualcomm Inc</t>
  </si>
  <si>
    <t>Raytheon Technologies Corp</t>
  </si>
  <si>
    <t>Realty Income Corp</t>
  </si>
  <si>
    <t>Reckitt Benckiser Group PLC</t>
  </si>
  <si>
    <t>Recruit Holdings Co Ltd</t>
  </si>
  <si>
    <t>Regeneron Pharmaceuticals Inc</t>
  </si>
  <si>
    <t>Reliance Industries Ltd</t>
  </si>
  <si>
    <t>Relx PLC</t>
  </si>
  <si>
    <t>Republic Services Inc</t>
  </si>
  <si>
    <t>Rio Tinto PLC</t>
  </si>
  <si>
    <t>Roche Holding AG</t>
  </si>
  <si>
    <t>Roper Technologies Inc</t>
  </si>
  <si>
    <t>Ross Stores Inc</t>
  </si>
  <si>
    <t>Royal Bank of Canada</t>
  </si>
  <si>
    <t>S&amp;P Global Inc</t>
  </si>
  <si>
    <t>S.F. Holding Co Ltd</t>
  </si>
  <si>
    <t>SAP SE</t>
  </si>
  <si>
    <t>SK Hynix Inc</t>
  </si>
  <si>
    <t>Safran SA</t>
  </si>
  <si>
    <t>Samsung Biologics Co Ltd</t>
  </si>
  <si>
    <t>Samsung Electronics Co Ltd</t>
  </si>
  <si>
    <t>Sanofi SA</t>
  </si>
  <si>
    <t>Saudi Arabian Oil Co</t>
  </si>
  <si>
    <t>Saudi Telecom Company SJSC</t>
  </si>
  <si>
    <t>Sberbank Rossii PAO</t>
  </si>
  <si>
    <t>Schlumberger NV</t>
  </si>
  <si>
    <t>Schneider Electric SE</t>
  </si>
  <si>
    <t>Sempra Energy</t>
  </si>
  <si>
    <t>ServiceNow Inc</t>
  </si>
  <si>
    <t>Shanxi Xinghuacun Fen Wine Factory Co Ltd</t>
  </si>
  <si>
    <t>Shell PLC</t>
  </si>
  <si>
    <t>Shenzhen Mindray Bio-Medical Electronics Co Ltd</t>
  </si>
  <si>
    <t>Sherwin-Williams Co</t>
  </si>
  <si>
    <t>Shin-Etsu Chemical Co Ltd</t>
  </si>
  <si>
    <t>Shopify Inc</t>
  </si>
  <si>
    <t>Siemens AG</t>
  </si>
  <si>
    <t>Sika AG</t>
  </si>
  <si>
    <t>Simon Property Group Inc</t>
  </si>
  <si>
    <t>Snowflake Inc.</t>
  </si>
  <si>
    <t>SoftBank Group Corp</t>
  </si>
  <si>
    <t>Sony Group Corp</t>
  </si>
  <si>
    <t>Southern Co</t>
  </si>
  <si>
    <t>Southern Copper Corp</t>
  </si>
  <si>
    <t>Starbucks Corp</t>
  </si>
  <si>
    <t>State Bank of India</t>
  </si>
  <si>
    <t>Stellantis NV</t>
  </si>
  <si>
    <t>Stryker Corp</t>
  </si>
  <si>
    <t>Sumitomo Mitsui Financial Group Inc</t>
  </si>
  <si>
    <t>Synopsys Inc</t>
  </si>
  <si>
    <t>TC Energy Corp</t>
  </si>
  <si>
    <t>TE Connectivity Ltd</t>
  </si>
  <si>
    <t>TJX Companies Inc</t>
  </si>
  <si>
    <t>Taiwan Semiconductor Manufacturing Co Ltd</t>
  </si>
  <si>
    <t>Takeda Pharmaceutical Co Ltd</t>
  </si>
  <si>
    <t>Target Corp</t>
  </si>
  <si>
    <t>Tata Consultancy Services Ltd</t>
  </si>
  <si>
    <t>Tencent Holdings Ltd</t>
  </si>
  <si>
    <t>Tesla Inc</t>
  </si>
  <si>
    <t>Texas Instruments Inc</t>
  </si>
  <si>
    <t>Thermo Fisher Scientific Inc</t>
  </si>
  <si>
    <t>Thomson Reuters Corp</t>
  </si>
  <si>
    <t>Tokyo Electron Ltd</t>
  </si>
  <si>
    <t>Toronto-Dominion Bank</t>
  </si>
  <si>
    <t>TotalEnergies SE</t>
  </si>
  <si>
    <t>Toyota Motor Corp</t>
  </si>
  <si>
    <t>Trane Technologies PLC</t>
  </si>
  <si>
    <t>Truist Financial Corp</t>
  </si>
  <si>
    <t>UBS Group AG</t>
  </si>
  <si>
    <t>US Bancorp</t>
  </si>
  <si>
    <t>Uber Technologies Inc</t>
  </si>
  <si>
    <t>Unilever PLC</t>
  </si>
  <si>
    <t>Union Pacific Corp</t>
  </si>
  <si>
    <t>United Parcel Service Inc</t>
  </si>
  <si>
    <t>UnitedHealth Group Inc</t>
  </si>
  <si>
    <t>Universal Music Group NV</t>
  </si>
  <si>
    <t>VMware Inc</t>
  </si>
  <si>
    <t>Vale SA</t>
  </si>
  <si>
    <t>Verizon Communications Inc</t>
  </si>
  <si>
    <t>Vertex Pharmaceuticals Inc</t>
  </si>
  <si>
    <t>Vinci SA</t>
  </si>
  <si>
    <t>Visa Inc</t>
  </si>
  <si>
    <t>Volkswagen AG</t>
  </si>
  <si>
    <t>Volvo AB</t>
  </si>
  <si>
    <t>Walmart Inc</t>
  </si>
  <si>
    <t>Walt Disney Co</t>
  </si>
  <si>
    <t>Wanhua Chemical Group Co Ltd</t>
  </si>
  <si>
    <t>Waste Management Inc</t>
  </si>
  <si>
    <t>Wells Fargo &amp; Co</t>
  </si>
  <si>
    <t>Wesfarmers Ltd</t>
  </si>
  <si>
    <t>Westpac Banking Corp</t>
  </si>
  <si>
    <t>Workday Inc</t>
  </si>
  <si>
    <t>WuXi AppTec Co Ltd</t>
  </si>
  <si>
    <t>Wuliangye Yibin Co Ltd</t>
  </si>
  <si>
    <t>Xiaomi Corp</t>
  </si>
  <si>
    <t>Yihai Kerry Arawana Holdings Co Ltd</t>
  </si>
  <si>
    <t>Yum! Brands Inc</t>
  </si>
  <si>
    <t>Zoetis Inc</t>
  </si>
  <si>
    <t>Zurich Insurance Group AG</t>
  </si>
  <si>
    <t>Domain</t>
  </si>
  <si>
    <t>TLD</t>
  </si>
  <si>
    <t>.ae</t>
  </si>
  <si>
    <t>.ar</t>
  </si>
  <si>
    <t>.at</t>
  </si>
  <si>
    <t>.au</t>
  </si>
  <si>
    <t>.be</t>
  </si>
  <si>
    <t>.bg</t>
  </si>
  <si>
    <t>.biz</t>
  </si>
  <si>
    <t>.bo</t>
  </si>
  <si>
    <t>.br</t>
  </si>
  <si>
    <t>.bw</t>
  </si>
  <si>
    <t>.by</t>
  </si>
  <si>
    <t>.ca</t>
  </si>
  <si>
    <t>.ch</t>
  </si>
  <si>
    <t>.cl</t>
  </si>
  <si>
    <t>.cn</t>
  </si>
  <si>
    <t>.co</t>
  </si>
  <si>
    <t>.com</t>
  </si>
  <si>
    <t>.cr</t>
  </si>
  <si>
    <t>.cz</t>
  </si>
  <si>
    <t>.de</t>
  </si>
  <si>
    <t>.dk</t>
  </si>
  <si>
    <t>.do</t>
  </si>
  <si>
    <t>.dz</t>
  </si>
  <si>
    <t>.ec</t>
  </si>
  <si>
    <t>.ee</t>
  </si>
  <si>
    <t>.eg</t>
  </si>
  <si>
    <t>.es</t>
  </si>
  <si>
    <t>.eu</t>
  </si>
  <si>
    <t>.fi</t>
  </si>
  <si>
    <t>.fr</t>
  </si>
  <si>
    <t>.gr</t>
  </si>
  <si>
    <t>.gt</t>
  </si>
  <si>
    <t>.health</t>
  </si>
  <si>
    <t>.hk</t>
  </si>
  <si>
    <t>.hn</t>
  </si>
  <si>
    <t>.hr</t>
  </si>
  <si>
    <t>.hu</t>
  </si>
  <si>
    <t>.id</t>
  </si>
  <si>
    <t>.ie</t>
  </si>
  <si>
    <t>.il</t>
  </si>
  <si>
    <t>.in</t>
  </si>
  <si>
    <t>.info</t>
  </si>
  <si>
    <t>.it</t>
  </si>
  <si>
    <t>.jm</t>
  </si>
  <si>
    <t>.jp</t>
  </si>
  <si>
    <t>.ke</t>
  </si>
  <si>
    <t>.kr</t>
  </si>
  <si>
    <t>.kw</t>
  </si>
  <si>
    <t>.kz</t>
  </si>
  <si>
    <t>.lk</t>
  </si>
  <si>
    <t>.lt</t>
  </si>
  <si>
    <t>.lv</t>
  </si>
  <si>
    <t>.ma</t>
  </si>
  <si>
    <t>.me</t>
  </si>
  <si>
    <t>.mx</t>
  </si>
  <si>
    <t>.my</t>
  </si>
  <si>
    <t>.na</t>
  </si>
  <si>
    <t>.net</t>
  </si>
  <si>
    <t>.ng</t>
  </si>
  <si>
    <t>.ni</t>
  </si>
  <si>
    <t>.nl</t>
  </si>
  <si>
    <t>.no</t>
  </si>
  <si>
    <t>.nz</t>
  </si>
  <si>
    <t>.om</t>
  </si>
  <si>
    <t>.org</t>
  </si>
  <si>
    <t>.pa</t>
  </si>
  <si>
    <t>.pe</t>
  </si>
  <si>
    <t>.ph</t>
  </si>
  <si>
    <t>.pk</t>
  </si>
  <si>
    <t>.pl</t>
  </si>
  <si>
    <t>.pr</t>
  </si>
  <si>
    <t>.pt</t>
  </si>
  <si>
    <t>.py</t>
  </si>
  <si>
    <t>.qa</t>
  </si>
  <si>
    <t>.ro</t>
  </si>
  <si>
    <t>.rs</t>
  </si>
  <si>
    <t>.ru</t>
  </si>
  <si>
    <t>.sa</t>
  </si>
  <si>
    <t>.se</t>
  </si>
  <si>
    <t>.sg</t>
  </si>
  <si>
    <t>.si</t>
  </si>
  <si>
    <t>.sk</t>
  </si>
  <si>
    <t>.sv</t>
  </si>
  <si>
    <t>.th</t>
  </si>
  <si>
    <t>.tn</t>
  </si>
  <si>
    <t>.tr</t>
  </si>
  <si>
    <t>.tt</t>
  </si>
  <si>
    <t>.tw</t>
  </si>
  <si>
    <t>.ua</t>
  </si>
  <si>
    <t>.uk</t>
  </si>
  <si>
    <t>.uy</t>
  </si>
  <si>
    <t>.ve</t>
  </si>
  <si>
    <t>.vn</t>
  </si>
  <si>
    <t>.za</t>
  </si>
  <si>
    <t>.bn</t>
  </si>
  <si>
    <t>.kh</t>
  </si>
  <si>
    <t>.mm</t>
  </si>
  <si>
    <t>.academy</t>
  </si>
  <si>
    <t>.bj</t>
  </si>
  <si>
    <t>.cloud</t>
  </si>
  <si>
    <t>.global</t>
  </si>
  <si>
    <t>.io</t>
  </si>
  <si>
    <t>.jo</t>
  </si>
  <si>
    <t>.vc</t>
  </si>
  <si>
    <t>.jobs</t>
  </si>
  <si>
    <t>.us</t>
  </si>
  <si>
    <t>.africa</t>
  </si>
  <si>
    <t>.ai</t>
  </si>
  <si>
    <t>.asia</t>
  </si>
  <si>
    <t>.ba</t>
  </si>
  <si>
    <t>.dev</t>
  </si>
  <si>
    <t>.fm</t>
  </si>
  <si>
    <t>.live</t>
  </si>
  <si>
    <t>.media</t>
  </si>
  <si>
    <t>.mk</t>
  </si>
  <si>
    <t>.mobi</t>
  </si>
  <si>
    <t>.nu</t>
  </si>
  <si>
    <t>.tech</t>
  </si>
  <si>
    <t>.tv</t>
  </si>
  <si>
    <t>.ws</t>
  </si>
  <si>
    <t>.axa</t>
  </si>
  <si>
    <t>.care</t>
  </si>
  <si>
    <t>.ci</t>
  </si>
  <si>
    <t>.club</t>
  </si>
  <si>
    <t>.cm</t>
  </si>
  <si>
    <t>.cx</t>
  </si>
  <si>
    <t>.digital</t>
  </si>
  <si>
    <t>.ga</t>
  </si>
  <si>
    <t>.li</t>
  </si>
  <si>
    <t>.link</t>
  </si>
  <si>
    <t>.lu</t>
  </si>
  <si>
    <t>.mo</t>
  </si>
  <si>
    <t>.nrw</t>
  </si>
  <si>
    <t>.pf</t>
  </si>
  <si>
    <t>.sn</t>
  </si>
  <si>
    <t>.tc</t>
  </si>
  <si>
    <t>.travel</t>
  </si>
  <si>
    <t>.abb</t>
  </si>
  <si>
    <t>.as</t>
  </si>
  <si>
    <t>.abbott</t>
  </si>
  <si>
    <t>.expert</t>
  </si>
  <si>
    <t>.site</t>
  </si>
  <si>
    <t>.store</t>
  </si>
  <si>
    <t>.uz</t>
  </si>
  <si>
    <t>.az</t>
  </si>
  <si>
    <t>.life</t>
  </si>
  <si>
    <t>.online</t>
  </si>
  <si>
    <t>.ag</t>
  </si>
  <si>
    <t>.am</t>
  </si>
  <si>
    <t>.ao</t>
  </si>
  <si>
    <t>.berlin</t>
  </si>
  <si>
    <t>.bm</t>
  </si>
  <si>
    <t>.cc</t>
  </si>
  <si>
    <t>.im</t>
  </si>
  <si>
    <t>.md</t>
  </si>
  <si>
    <t>.mu</t>
  </si>
  <si>
    <t>.news</t>
  </si>
  <si>
    <t>.pro</t>
  </si>
  <si>
    <t>.re</t>
  </si>
  <si>
    <t>.solutions</t>
  </si>
  <si>
    <t>.team</t>
  </si>
  <si>
    <t>.to</t>
  </si>
  <si>
    <t>.services</t>
  </si>
  <si>
    <t>.bh</t>
  </si>
  <si>
    <t>.blog</t>
  </si>
  <si>
    <t>.design</t>
  </si>
  <si>
    <t>.ly</t>
  </si>
  <si>
    <t>.new</t>
  </si>
  <si>
    <t>.xyz</t>
  </si>
  <si>
    <t>.help</t>
  </si>
  <si>
    <t>.app</t>
  </si>
  <si>
    <t>.al</t>
  </si>
  <si>
    <t>.bb</t>
  </si>
  <si>
    <t>.bz</t>
  </si>
  <si>
    <t>.cat</t>
  </si>
  <si>
    <t>.cu</t>
  </si>
  <si>
    <t>.gy</t>
  </si>
  <si>
    <t>.is</t>
  </si>
  <si>
    <t>.la</t>
  </si>
  <si>
    <t>.ml</t>
  </si>
  <si>
    <t>.mt</t>
  </si>
  <si>
    <t>.partners</t>
  </si>
  <si>
    <t>.tl</t>
  </si>
  <si>
    <t>.tools</t>
  </si>
  <si>
    <t>.aero</t>
  </si>
  <si>
    <t>.group</t>
  </si>
  <si>
    <t>.bd</t>
  </si>
  <si>
    <t>.np</t>
  </si>
  <si>
    <t>.so</t>
  </si>
  <si>
    <t>.top</t>
  </si>
  <si>
    <t>.vip</t>
  </si>
  <si>
    <t>.work</t>
  </si>
  <si>
    <t>.xin</t>
  </si>
  <si>
    <t>.cy</t>
  </si>
  <si>
    <t>.hamburg</t>
  </si>
  <si>
    <t>.lb</t>
  </si>
  <si>
    <t>.mc</t>
  </si>
  <si>
    <t>.lat</t>
  </si>
  <si>
    <t>.mg</t>
  </si>
  <si>
    <t>.mz</t>
  </si>
  <si>
    <t>.sd</t>
  </si>
  <si>
    <t>.ac</t>
  </si>
  <si>
    <t>.ad</t>
  </si>
  <si>
    <t>.af</t>
  </si>
  <si>
    <t>.bf</t>
  </si>
  <si>
    <t>.bi</t>
  </si>
  <si>
    <t>.bs</t>
  </si>
  <si>
    <t>.bt</t>
  </si>
  <si>
    <t>.cd</t>
  </si>
  <si>
    <t>.cf</t>
  </si>
  <si>
    <t>.cg</t>
  </si>
  <si>
    <t>.ck</t>
  </si>
  <si>
    <t>.community</t>
  </si>
  <si>
    <t>.company</t>
  </si>
  <si>
    <t>.cv</t>
  </si>
  <si>
    <t>.dj</t>
  </si>
  <si>
    <t>.dm</t>
  </si>
  <si>
    <t>.education</t>
  </si>
  <si>
    <t>.et</t>
  </si>
  <si>
    <t>.fj</t>
  </si>
  <si>
    <t>.ge</t>
  </si>
  <si>
    <t>.gf</t>
  </si>
  <si>
    <t>.gg</t>
  </si>
  <si>
    <t>.gh</t>
  </si>
  <si>
    <t>.gi</t>
  </si>
  <si>
    <t>.gl</t>
  </si>
  <si>
    <t>.gm</t>
  </si>
  <si>
    <t>.google</t>
  </si>
  <si>
    <t>.gp</t>
  </si>
  <si>
    <t>.ht</t>
  </si>
  <si>
    <t>.iq</t>
  </si>
  <si>
    <t>.je</t>
  </si>
  <si>
    <t>.kg</t>
  </si>
  <si>
    <t>.ki</t>
  </si>
  <si>
    <t>.ls</t>
  </si>
  <si>
    <t>.mn</t>
  </si>
  <si>
    <t>.ms</t>
  </si>
  <si>
    <t>.mv</t>
  </si>
  <si>
    <t>.mw</t>
  </si>
  <si>
    <t>.ne</t>
  </si>
  <si>
    <t>.nf</t>
  </si>
  <si>
    <t>.nr</t>
  </si>
  <si>
    <t>.pg</t>
  </si>
  <si>
    <t>.pn</t>
  </si>
  <si>
    <t>.ps</t>
  </si>
  <si>
    <t>.rw</t>
  </si>
  <si>
    <t>.sb</t>
  </si>
  <si>
    <t>.sc</t>
  </si>
  <si>
    <t>.sh</t>
  </si>
  <si>
    <t>.sl</t>
  </si>
  <si>
    <t>.sm</t>
  </si>
  <si>
    <t>.sr</t>
  </si>
  <si>
    <t>.st</t>
  </si>
  <si>
    <t>.su</t>
  </si>
  <si>
    <t>.td</t>
  </si>
  <si>
    <t>.tg</t>
  </si>
  <si>
    <t>.tj</t>
  </si>
  <si>
    <t>.tk</t>
  </si>
  <si>
    <t>.tm</t>
  </si>
  <si>
    <t>.tz</t>
  </si>
  <si>
    <t>.ug</t>
  </si>
  <si>
    <t>.vg</t>
  </si>
  <si>
    <t>.vi</t>
  </si>
  <si>
    <t>.vu</t>
  </si>
  <si>
    <t>.zm</t>
  </si>
  <si>
    <t>.zw</t>
  </si>
  <si>
    <t>.network</t>
  </si>
  <si>
    <t>.science</t>
  </si>
  <si>
    <t>.gd</t>
  </si>
  <si>
    <t>.gu</t>
  </si>
  <si>
    <t>.lc</t>
  </si>
  <si>
    <t>.mp</t>
  </si>
  <si>
    <t>.cw</t>
  </si>
  <si>
    <t>.parts</t>
  </si>
  <si>
    <t>.apple</t>
  </si>
  <si>
    <t>.art</t>
  </si>
  <si>
    <t>.brussels</t>
  </si>
  <si>
    <t>.buzz</t>
  </si>
  <si>
    <t>.christmas</t>
  </si>
  <si>
    <t>.courses</t>
  </si>
  <si>
    <t>.download</t>
  </si>
  <si>
    <t>.earth</t>
  </si>
  <si>
    <t>.events</t>
  </si>
  <si>
    <t>.games</t>
  </si>
  <si>
    <t>.host</t>
  </si>
  <si>
    <t>.london</t>
  </si>
  <si>
    <t>.nyc</t>
  </si>
  <si>
    <t>.one</t>
  </si>
  <si>
    <t>.pw</t>
  </si>
  <si>
    <t>.repair</t>
  </si>
  <si>
    <t>.rio</t>
  </si>
  <si>
    <t>.shop</t>
  </si>
  <si>
    <t>.software</t>
  </si>
  <si>
    <t>.storage</t>
  </si>
  <si>
    <t>.stream</t>
  </si>
  <si>
    <t>.support</t>
  </si>
  <si>
    <t>.technology</t>
  </si>
  <si>
    <t>.tickets</t>
  </si>
  <si>
    <t>.tips</t>
  </si>
  <si>
    <t>.university</t>
  </si>
  <si>
    <t>.watch</t>
  </si>
  <si>
    <t>.website</t>
  </si>
  <si>
    <t>.engineering</t>
  </si>
  <si>
    <t>.bnpparibas</t>
  </si>
  <si>
    <t>.cologne</t>
  </si>
  <si>
    <t>.finance</t>
  </si>
  <si>
    <t>.immo</t>
  </si>
  <si>
    <t>.nc</t>
  </si>
  <si>
    <t>.energy</t>
  </si>
  <si>
    <t>.moe</t>
  </si>
  <si>
    <t>.rocks</t>
  </si>
  <si>
    <t>.bio</t>
  </si>
  <si>
    <t>.plus</t>
  </si>
  <si>
    <t>.bmw</t>
  </si>
  <si>
    <t>.mini</t>
  </si>
  <si>
    <t>.mq</t>
  </si>
  <si>
    <t>.tienda</t>
  </si>
  <si>
    <t>.international</t>
  </si>
  <si>
    <t>.citic</t>
  </si>
  <si>
    <t>.email</t>
  </si>
  <si>
    <t>.social</t>
  </si>
  <si>
    <t>.ltd</t>
  </si>
  <si>
    <t>.</t>
  </si>
  <si>
    <t>.bot</t>
  </si>
  <si>
    <t>.works</t>
  </si>
  <si>
    <t>.agency</t>
  </si>
  <si>
    <t>.sky</t>
  </si>
  <si>
    <t>.cba</t>
  </si>
  <si>
    <t>.world</t>
  </si>
  <si>
    <t>.bzh</t>
  </si>
  <si>
    <t>.coop</t>
  </si>
  <si>
    <t>.red</t>
  </si>
  <si>
    <t>.eco</t>
  </si>
  <si>
    <t>.dhl</t>
  </si>
  <si>
    <t>.ir</t>
  </si>
  <si>
    <t>.ky</t>
  </si>
  <si>
    <t>.sz</t>
  </si>
  <si>
    <t>.inc</t>
  </si>
  <si>
    <t>.foundation</t>
  </si>
  <si>
    <t>.careers</t>
  </si>
  <si>
    <t>.mr</t>
  </si>
  <si>
    <t>.name</t>
  </si>
  <si>
    <t>.vision</t>
  </si>
  <si>
    <t>.edu</t>
  </si>
  <si>
    <t>.pm</t>
  </si>
  <si>
    <t>.gs</t>
  </si>
  <si>
    <t>.ventures</t>
  </si>
  <si>
    <t>.hsbc</t>
  </si>
  <si>
    <t>.tokyo</t>
  </si>
  <si>
    <t>.sharp</t>
  </si>
  <si>
    <t>.honda</t>
  </si>
  <si>
    <t>.racing</t>
  </si>
  <si>
    <t>.photography</t>
  </si>
  <si>
    <t>.pub</t>
  </si>
  <si>
    <t>.saarland</t>
  </si>
  <si>
    <t>.swiss</t>
  </si>
  <si>
    <t>.studio</t>
  </si>
  <si>
    <t>.sx</t>
  </si>
  <si>
    <t>.yt</t>
  </si>
  <si>
    <t>.ntt</t>
  </si>
  <si>
    <t>.ninja</t>
  </si>
  <si>
    <t>.capital</t>
  </si>
  <si>
    <t>.click</t>
  </si>
  <si>
    <t>.sap</t>
  </si>
  <si>
    <t>.insure</t>
  </si>
  <si>
    <t>.gn</t>
  </si>
  <si>
    <t>.shell</t>
  </si>
  <si>
    <t>.supply</t>
  </si>
  <si>
    <t>.softbank</t>
  </si>
  <si>
    <t>.sony</t>
  </si>
  <si>
    <t>.sbi</t>
  </si>
  <si>
    <t>.statebank</t>
  </si>
  <si>
    <t>.gq</t>
  </si>
  <si>
    <t>.total</t>
  </si>
  <si>
    <t>.toyota</t>
  </si>
  <si>
    <t>.hm</t>
  </si>
  <si>
    <t>.love</t>
  </si>
  <si>
    <t>.audi</t>
  </si>
  <si>
    <t>.bentley</t>
  </si>
  <si>
    <t>.holdings</t>
  </si>
  <si>
    <t>.seat</t>
  </si>
  <si>
    <t>Jurisdiction</t>
  </si>
  <si>
    <t>ARE</t>
  </si>
  <si>
    <t>ARG</t>
  </si>
  <si>
    <t>AUT</t>
  </si>
  <si>
    <t>AUS</t>
  </si>
  <si>
    <t>BEL</t>
  </si>
  <si>
    <t>BGR</t>
  </si>
  <si>
    <t>BOL</t>
  </si>
  <si>
    <t>BRA</t>
  </si>
  <si>
    <t>BWA</t>
  </si>
  <si>
    <t>BLR</t>
  </si>
  <si>
    <t>CAN</t>
  </si>
  <si>
    <t>CHE</t>
  </si>
  <si>
    <t>CHL</t>
  </si>
  <si>
    <t>CHN</t>
  </si>
  <si>
    <t>CRI</t>
  </si>
  <si>
    <t>CZE</t>
  </si>
  <si>
    <t>DEU</t>
  </si>
  <si>
    <t>DNK</t>
  </si>
  <si>
    <t>DOM</t>
  </si>
  <si>
    <t>DZA</t>
  </si>
  <si>
    <t>ECU</t>
  </si>
  <si>
    <t>EST</t>
  </si>
  <si>
    <t>EGY</t>
  </si>
  <si>
    <t>ESP</t>
  </si>
  <si>
    <t>FIN</t>
  </si>
  <si>
    <t>FRA</t>
  </si>
  <si>
    <t>GRC</t>
  </si>
  <si>
    <t>GTM</t>
  </si>
  <si>
    <t>HKG</t>
  </si>
  <si>
    <t>HND</t>
  </si>
  <si>
    <t>HRV</t>
  </si>
  <si>
    <t>HUN</t>
  </si>
  <si>
    <t>IDN</t>
  </si>
  <si>
    <t>IRL</t>
  </si>
  <si>
    <t>ISR</t>
  </si>
  <si>
    <t>IND</t>
  </si>
  <si>
    <t>ITA</t>
  </si>
  <si>
    <t>JAM</t>
  </si>
  <si>
    <t>JPN</t>
  </si>
  <si>
    <t>KEN</t>
  </si>
  <si>
    <t>KOR</t>
  </si>
  <si>
    <t>KWT</t>
  </si>
  <si>
    <t>KAZ</t>
  </si>
  <si>
    <t>LKA</t>
  </si>
  <si>
    <t>LTU</t>
  </si>
  <si>
    <t>LVA</t>
  </si>
  <si>
    <t>MAR</t>
  </si>
  <si>
    <t>MNE</t>
  </si>
  <si>
    <t>MEX</t>
  </si>
  <si>
    <t>MYS</t>
  </si>
  <si>
    <t>NAM</t>
  </si>
  <si>
    <t>NGA</t>
  </si>
  <si>
    <t>NIC</t>
  </si>
  <si>
    <t>NLD</t>
  </si>
  <si>
    <t>NOR</t>
  </si>
  <si>
    <t>NZL</t>
  </si>
  <si>
    <t>OMN</t>
  </si>
  <si>
    <t>PAN</t>
  </si>
  <si>
    <t>PER</t>
  </si>
  <si>
    <t>PHL</t>
  </si>
  <si>
    <t>PAK</t>
  </si>
  <si>
    <t>POL</t>
  </si>
  <si>
    <t>PRI</t>
  </si>
  <si>
    <t>PRT</t>
  </si>
  <si>
    <t>PRY</t>
  </si>
  <si>
    <t>QAT</t>
  </si>
  <si>
    <t>ROU</t>
  </si>
  <si>
    <t>SRB</t>
  </si>
  <si>
    <t>RUS</t>
  </si>
  <si>
    <t>SAU</t>
  </si>
  <si>
    <t>SWE</t>
  </si>
  <si>
    <t>SGP</t>
  </si>
  <si>
    <t>SVN</t>
  </si>
  <si>
    <t>SVK</t>
  </si>
  <si>
    <t>SLV</t>
  </si>
  <si>
    <t>THA</t>
  </si>
  <si>
    <t>TUN</t>
  </si>
  <si>
    <t>TUR</t>
  </si>
  <si>
    <t>TTO</t>
  </si>
  <si>
    <t>TWN</t>
  </si>
  <si>
    <t>UKR</t>
  </si>
  <si>
    <t>GBR</t>
  </si>
  <si>
    <t>URY</t>
  </si>
  <si>
    <t>VEN</t>
  </si>
  <si>
    <t>VNM</t>
  </si>
  <si>
    <t>ZAF</t>
  </si>
  <si>
    <t>BRN</t>
  </si>
  <si>
    <t>KHM</t>
  </si>
  <si>
    <t>MMR</t>
  </si>
  <si>
    <t>BEN</t>
  </si>
  <si>
    <t>JOR</t>
  </si>
  <si>
    <t>VCT</t>
  </si>
  <si>
    <t>USA</t>
  </si>
  <si>
    <t>AIA</t>
  </si>
  <si>
    <t>BIH</t>
  </si>
  <si>
    <t>FSM</t>
  </si>
  <si>
    <t>MKD</t>
  </si>
  <si>
    <t>NIU</t>
  </si>
  <si>
    <t>TUV</t>
  </si>
  <si>
    <t>WSM</t>
  </si>
  <si>
    <t>CIV</t>
  </si>
  <si>
    <t>CMR</t>
  </si>
  <si>
    <t>CXR</t>
  </si>
  <si>
    <t>GAB</t>
  </si>
  <si>
    <t>LIE</t>
  </si>
  <si>
    <t>LUX</t>
  </si>
  <si>
    <t>MAC</t>
  </si>
  <si>
    <t>PYF</t>
  </si>
  <si>
    <t>SEN</t>
  </si>
  <si>
    <t>TCA</t>
  </si>
  <si>
    <t>ASM</t>
  </si>
  <si>
    <t>UZB</t>
  </si>
  <si>
    <t>AZE</t>
  </si>
  <si>
    <t>ATG</t>
  </si>
  <si>
    <t>ARM</t>
  </si>
  <si>
    <t>AGO</t>
  </si>
  <si>
    <t>BMU</t>
  </si>
  <si>
    <t>CCK</t>
  </si>
  <si>
    <t>IMN</t>
  </si>
  <si>
    <t>MDA</t>
  </si>
  <si>
    <t>MUS</t>
  </si>
  <si>
    <t>REU</t>
  </si>
  <si>
    <t>TON</t>
  </si>
  <si>
    <t>BHR</t>
  </si>
  <si>
    <t>LBY</t>
  </si>
  <si>
    <t>ALB</t>
  </si>
  <si>
    <t>BRB</t>
  </si>
  <si>
    <t>BLZ</t>
  </si>
  <si>
    <t>CUB</t>
  </si>
  <si>
    <t>GUY</t>
  </si>
  <si>
    <t>ISL</t>
  </si>
  <si>
    <t>LAO</t>
  </si>
  <si>
    <t>MLI</t>
  </si>
  <si>
    <t>MLT</t>
  </si>
  <si>
    <t>TLS</t>
  </si>
  <si>
    <t>BGD</t>
  </si>
  <si>
    <t>NPL</t>
  </si>
  <si>
    <t>SOM</t>
  </si>
  <si>
    <t>CYP</t>
  </si>
  <si>
    <t>LBN</t>
  </si>
  <si>
    <t>MCO</t>
  </si>
  <si>
    <t>MDG</t>
  </si>
  <si>
    <t>MOZ</t>
  </si>
  <si>
    <t>SDN</t>
  </si>
  <si>
    <t>AND</t>
  </si>
  <si>
    <t>AFG</t>
  </si>
  <si>
    <t>BFA</t>
  </si>
  <si>
    <t>BDI</t>
  </si>
  <si>
    <t>BHS</t>
  </si>
  <si>
    <t>BTN</t>
  </si>
  <si>
    <t>COD</t>
  </si>
  <si>
    <t>CAF</t>
  </si>
  <si>
    <t>COG</t>
  </si>
  <si>
    <t>COK</t>
  </si>
  <si>
    <t>CPV</t>
  </si>
  <si>
    <t>DJI</t>
  </si>
  <si>
    <t>DMA</t>
  </si>
  <si>
    <t>ETH</t>
  </si>
  <si>
    <t>FJI</t>
  </si>
  <si>
    <t>GEO</t>
  </si>
  <si>
    <t>GUF</t>
  </si>
  <si>
    <t>GGY</t>
  </si>
  <si>
    <t>GHA</t>
  </si>
  <si>
    <t>GIB</t>
  </si>
  <si>
    <t>GRL</t>
  </si>
  <si>
    <t>GMB</t>
  </si>
  <si>
    <t>HTI</t>
  </si>
  <si>
    <t>IRQ</t>
  </si>
  <si>
    <t>JEY</t>
  </si>
  <si>
    <t>KGZ</t>
  </si>
  <si>
    <t>KIR</t>
  </si>
  <si>
    <t>LSO</t>
  </si>
  <si>
    <t>MNG</t>
  </si>
  <si>
    <t>MSR</t>
  </si>
  <si>
    <t>MDV</t>
  </si>
  <si>
    <t>MWI</t>
  </si>
  <si>
    <t>NER</t>
  </si>
  <si>
    <t>NFK</t>
  </si>
  <si>
    <t>NRU</t>
  </si>
  <si>
    <t>PNG</t>
  </si>
  <si>
    <t>PCN</t>
  </si>
  <si>
    <t>PSE</t>
  </si>
  <si>
    <t>RWA</t>
  </si>
  <si>
    <t>SLB</t>
  </si>
  <si>
    <t>SYC</t>
  </si>
  <si>
    <t>SHN</t>
  </si>
  <si>
    <t>SLE</t>
  </si>
  <si>
    <t>SMR</t>
  </si>
  <si>
    <t>SUR</t>
  </si>
  <si>
    <t>STP</t>
  </si>
  <si>
    <t>TCD</t>
  </si>
  <si>
    <t>TGO</t>
  </si>
  <si>
    <t>TJK</t>
  </si>
  <si>
    <t>TKL</t>
  </si>
  <si>
    <t>TKM</t>
  </si>
  <si>
    <t>TZA</t>
  </si>
  <si>
    <t>UGA</t>
  </si>
  <si>
    <t>VGB</t>
  </si>
  <si>
    <t>VIR</t>
  </si>
  <si>
    <t>VUT</t>
  </si>
  <si>
    <t>ZMB</t>
  </si>
  <si>
    <t>ZWE</t>
  </si>
  <si>
    <t>GRD</t>
  </si>
  <si>
    <t>GUM</t>
  </si>
  <si>
    <t>KNA</t>
  </si>
  <si>
    <t>LCA</t>
  </si>
  <si>
    <t>MNP</t>
  </si>
  <si>
    <t>CUW</t>
  </si>
  <si>
    <t>PLW</t>
  </si>
  <si>
    <t>NCL</t>
  </si>
  <si>
    <t>MTQ</t>
  </si>
  <si>
    <t>IRN</t>
  </si>
  <si>
    <t>CYM</t>
  </si>
  <si>
    <t>SYR</t>
  </si>
  <si>
    <t>SWZ</t>
  </si>
  <si>
    <t>MRT</t>
  </si>
  <si>
    <t>SPM</t>
  </si>
  <si>
    <t>SGS</t>
  </si>
  <si>
    <t>ABW</t>
  </si>
  <si>
    <t>SXM</t>
  </si>
  <si>
    <t>MYT</t>
  </si>
  <si>
    <t>GIN</t>
  </si>
  <si>
    <t>GNQ</t>
  </si>
  <si>
    <t>FRO</t>
  </si>
  <si>
    <t>HMD</t>
  </si>
  <si>
    <t>ATF</t>
  </si>
  <si>
    <t>Tranco Rank</t>
  </si>
  <si>
    <t>Page Rank Value</t>
  </si>
  <si>
    <t>Page Rank Position</t>
  </si>
  <si>
    <t>Harmonic Centrality Value</t>
  </si>
  <si>
    <t>Harmonic Centrality Position</t>
  </si>
  <si>
    <t>Domain Distance</t>
  </si>
  <si>
    <t>ISO-alpha2 Code</t>
  </si>
  <si>
    <t>ISO-alpha3 Code</t>
  </si>
  <si>
    <t>M49 Code</t>
  </si>
  <si>
    <r>
      <t>UN Country or Area</t>
    </r>
    <r>
      <rPr>
        <b/>
        <vertAlign val="superscript"/>
        <sz val="11"/>
        <color theme="1"/>
        <rFont val="Calibri"/>
        <family val="2"/>
        <scheme val="minor"/>
      </rPr>
      <t xml:space="preserve">1 </t>
    </r>
  </si>
  <si>
    <t>Region Name</t>
  </si>
  <si>
    <t>AF</t>
  </si>
  <si>
    <t>Afghanistan</t>
  </si>
  <si>
    <t>Asia</t>
  </si>
  <si>
    <t>AX</t>
  </si>
  <si>
    <t>ALA</t>
  </si>
  <si>
    <t>Åland Islands</t>
  </si>
  <si>
    <t>Europe</t>
  </si>
  <si>
    <t>AL</t>
  </si>
  <si>
    <t>Albania</t>
  </si>
  <si>
    <t>DZ</t>
  </si>
  <si>
    <t>Algeria</t>
  </si>
  <si>
    <t>Africa</t>
  </si>
  <si>
    <t>AS</t>
  </si>
  <si>
    <t>American Samoa</t>
  </si>
  <si>
    <t>Oceania</t>
  </si>
  <si>
    <t>AD</t>
  </si>
  <si>
    <t>Andorra</t>
  </si>
  <si>
    <t>AO</t>
  </si>
  <si>
    <t>Angola</t>
  </si>
  <si>
    <t>AI</t>
  </si>
  <si>
    <t>Anguilla</t>
  </si>
  <si>
    <t>Americas</t>
  </si>
  <si>
    <t>AQ</t>
  </si>
  <si>
    <t>ATA</t>
  </si>
  <si>
    <t>Antarctica</t>
  </si>
  <si>
    <t>AG</t>
  </si>
  <si>
    <t>Antigua and Barbuda</t>
  </si>
  <si>
    <t>AR</t>
  </si>
  <si>
    <t>Argentina</t>
  </si>
  <si>
    <t>AM</t>
  </si>
  <si>
    <t>Armenia</t>
  </si>
  <si>
    <t>AW</t>
  </si>
  <si>
    <t>Aruba</t>
  </si>
  <si>
    <t>AU</t>
  </si>
  <si>
    <t>Australia</t>
  </si>
  <si>
    <t>AT</t>
  </si>
  <si>
    <t>Austria</t>
  </si>
  <si>
    <t>AZ</t>
  </si>
  <si>
    <t>Azerbaijan</t>
  </si>
  <si>
    <t>BS</t>
  </si>
  <si>
    <t>Bahamas</t>
  </si>
  <si>
    <t>BH</t>
  </si>
  <si>
    <t>Bahrain</t>
  </si>
  <si>
    <t>BD</t>
  </si>
  <si>
    <t>Bangladesh</t>
  </si>
  <si>
    <t>BB</t>
  </si>
  <si>
    <t>Barbados</t>
  </si>
  <si>
    <t>BY</t>
  </si>
  <si>
    <t>Belarus</t>
  </si>
  <si>
    <t>BE</t>
  </si>
  <si>
    <t>Belgium</t>
  </si>
  <si>
    <t>BZ</t>
  </si>
  <si>
    <t>Belize</t>
  </si>
  <si>
    <t>BJ</t>
  </si>
  <si>
    <t>Benin</t>
  </si>
  <si>
    <t>BM</t>
  </si>
  <si>
    <t>Bermuda</t>
  </si>
  <si>
    <t>BT</t>
  </si>
  <si>
    <t>Bhutan</t>
  </si>
  <si>
    <t>BO</t>
  </si>
  <si>
    <t>Bolivia (Plurinational State of)</t>
  </si>
  <si>
    <t>BQ</t>
  </si>
  <si>
    <t>BES</t>
  </si>
  <si>
    <t>Bonaire, Sint Eustatius and Saba</t>
  </si>
  <si>
    <t>BA</t>
  </si>
  <si>
    <t>Bosnia and Herzegovina</t>
  </si>
  <si>
    <t>BW</t>
  </si>
  <si>
    <t>Botswana</t>
  </si>
  <si>
    <t>BV</t>
  </si>
  <si>
    <t>BVT</t>
  </si>
  <si>
    <t>Bouvet Island</t>
  </si>
  <si>
    <t>BR</t>
  </si>
  <si>
    <t>Brazil</t>
  </si>
  <si>
    <t>IO</t>
  </si>
  <si>
    <t>IOT</t>
  </si>
  <si>
    <t>British Indian Ocean Territory</t>
  </si>
  <si>
    <t>BN</t>
  </si>
  <si>
    <t>Brunei Darussalam</t>
  </si>
  <si>
    <t>BG</t>
  </si>
  <si>
    <t>Bulgaria</t>
  </si>
  <si>
    <t>BF</t>
  </si>
  <si>
    <t>Burkina Faso</t>
  </si>
  <si>
    <t>BI</t>
  </si>
  <si>
    <t>Burundi</t>
  </si>
  <si>
    <t>CV</t>
  </si>
  <si>
    <t>Cabo Verde</t>
  </si>
  <si>
    <t>KH</t>
  </si>
  <si>
    <t>Cambodia</t>
  </si>
  <si>
    <t>CM</t>
  </si>
  <si>
    <t>Cameroon</t>
  </si>
  <si>
    <t>CA</t>
  </si>
  <si>
    <t>Canada</t>
  </si>
  <si>
    <t>KY</t>
  </si>
  <si>
    <t>Cayman Islands</t>
  </si>
  <si>
    <t>CF</t>
  </si>
  <si>
    <t>Central African Republic</t>
  </si>
  <si>
    <t>TD</t>
  </si>
  <si>
    <t>Chad</t>
  </si>
  <si>
    <t>CL</t>
  </si>
  <si>
    <t>Chile</t>
  </si>
  <si>
    <t>CN</t>
  </si>
  <si>
    <t>China</t>
  </si>
  <si>
    <t>CX</t>
  </si>
  <si>
    <t>Christmas Island</t>
  </si>
  <si>
    <t>CC</t>
  </si>
  <si>
    <t>Cocos (Keeling) Islands</t>
  </si>
  <si>
    <t>CO</t>
  </si>
  <si>
    <t>COL</t>
  </si>
  <si>
    <t>Colombia</t>
  </si>
  <si>
    <t>KM</t>
  </si>
  <si>
    <t>COM</t>
  </si>
  <si>
    <t>Comoros</t>
  </si>
  <si>
    <t>CG</t>
  </si>
  <si>
    <t>Congo</t>
  </si>
  <si>
    <t>CD</t>
  </si>
  <si>
    <t>Democratic Republic of the Congo</t>
  </si>
  <si>
    <t>CK</t>
  </si>
  <si>
    <t>Cook Islands</t>
  </si>
  <si>
    <t>CR</t>
  </si>
  <si>
    <t>Costa Rica</t>
  </si>
  <si>
    <t>CI</t>
  </si>
  <si>
    <t>Côte d’Ivoire</t>
  </si>
  <si>
    <t>HR</t>
  </si>
  <si>
    <t>Croatia</t>
  </si>
  <si>
    <t>CU</t>
  </si>
  <si>
    <t>Cuba</t>
  </si>
  <si>
    <t>CW</t>
  </si>
  <si>
    <t>Curaçao</t>
  </si>
  <si>
    <t>CY</t>
  </si>
  <si>
    <t>Cyprus</t>
  </si>
  <si>
    <t>CZ</t>
  </si>
  <si>
    <t>Czechia</t>
  </si>
  <si>
    <t>DK</t>
  </si>
  <si>
    <t>Denmark</t>
  </si>
  <si>
    <t>DJ</t>
  </si>
  <si>
    <t>Djibouti</t>
  </si>
  <si>
    <t>DM</t>
  </si>
  <si>
    <t>Dominica</t>
  </si>
  <si>
    <t>DO</t>
  </si>
  <si>
    <t>Dominican Republic</t>
  </si>
  <si>
    <t>EC</t>
  </si>
  <si>
    <t>Ecuador</t>
  </si>
  <si>
    <t>EG</t>
  </si>
  <si>
    <t>Egypt</t>
  </si>
  <si>
    <t>SV</t>
  </si>
  <si>
    <t>El Salvador</t>
  </si>
  <si>
    <t>GQ</t>
  </si>
  <si>
    <t>Equatorial Guinea</t>
  </si>
  <si>
    <t>ER</t>
  </si>
  <si>
    <t>ERI</t>
  </si>
  <si>
    <t>Eritrea</t>
  </si>
  <si>
    <t>EE</t>
  </si>
  <si>
    <t>Estonia</t>
  </si>
  <si>
    <t>SZ</t>
  </si>
  <si>
    <t>Eswatini</t>
  </si>
  <si>
    <t>ET</t>
  </si>
  <si>
    <t>Ethiopia</t>
  </si>
  <si>
    <t>FK</t>
  </si>
  <si>
    <t>FLK</t>
  </si>
  <si>
    <t>Falkland Islands (Malvinas)</t>
  </si>
  <si>
    <t>FO</t>
  </si>
  <si>
    <t>Faroe Islands</t>
  </si>
  <si>
    <t>FJ</t>
  </si>
  <si>
    <t>Fiji</t>
  </si>
  <si>
    <t>FI</t>
  </si>
  <si>
    <t>Finland</t>
  </si>
  <si>
    <t>FR</t>
  </si>
  <si>
    <t>France</t>
  </si>
  <si>
    <t>GF</t>
  </si>
  <si>
    <t>French Guiana</t>
  </si>
  <si>
    <t>PF</t>
  </si>
  <si>
    <t>French Polynesia</t>
  </si>
  <si>
    <t>TF</t>
  </si>
  <si>
    <t>French Southern Territories</t>
  </si>
  <si>
    <t>GA</t>
  </si>
  <si>
    <t>Gabon</t>
  </si>
  <si>
    <t>GM</t>
  </si>
  <si>
    <t>Gambia</t>
  </si>
  <si>
    <t>GE</t>
  </si>
  <si>
    <t>Georgia</t>
  </si>
  <si>
    <t>DE</t>
  </si>
  <si>
    <t>Germany</t>
  </si>
  <si>
    <t>GH</t>
  </si>
  <si>
    <t>Ghana</t>
  </si>
  <si>
    <t>GI</t>
  </si>
  <si>
    <t>Gibraltar</t>
  </si>
  <si>
    <t>GR</t>
  </si>
  <si>
    <t>Greece</t>
  </si>
  <si>
    <t>GL</t>
  </si>
  <si>
    <t>Greenland</t>
  </si>
  <si>
    <t>GD</t>
  </si>
  <si>
    <t>Grenada</t>
  </si>
  <si>
    <t>GP</t>
  </si>
  <si>
    <t>GLP</t>
  </si>
  <si>
    <t>Guadeloupe</t>
  </si>
  <si>
    <t>GU</t>
  </si>
  <si>
    <t>Guam</t>
  </si>
  <si>
    <t>GT</t>
  </si>
  <si>
    <t>Guatemala</t>
  </si>
  <si>
    <t>GG</t>
  </si>
  <si>
    <t>Guernsey</t>
  </si>
  <si>
    <t>GN</t>
  </si>
  <si>
    <t>Guinea</t>
  </si>
  <si>
    <t>GW</t>
  </si>
  <si>
    <t>GNB</t>
  </si>
  <si>
    <t>Guinea-Bissau</t>
  </si>
  <si>
    <t>GY</t>
  </si>
  <si>
    <t>Guyana</t>
  </si>
  <si>
    <t>HT</t>
  </si>
  <si>
    <t>Haiti</t>
  </si>
  <si>
    <t>HM</t>
  </si>
  <si>
    <t>Heard Island and McDonald Islands</t>
  </si>
  <si>
    <t>VA</t>
  </si>
  <si>
    <t>VAT</t>
  </si>
  <si>
    <t>Holy See</t>
  </si>
  <si>
    <t>HN</t>
  </si>
  <si>
    <t>Honduras</t>
  </si>
  <si>
    <t>HK</t>
  </si>
  <si>
    <t>China, Hong Kong Special Administrative Region</t>
  </si>
  <si>
    <t>HU</t>
  </si>
  <si>
    <t>Hungary</t>
  </si>
  <si>
    <t>IS</t>
  </si>
  <si>
    <t>Iceland</t>
  </si>
  <si>
    <t>IN</t>
  </si>
  <si>
    <t>India</t>
  </si>
  <si>
    <t>ID</t>
  </si>
  <si>
    <t>Indonesia</t>
  </si>
  <si>
    <t>IR</t>
  </si>
  <si>
    <t>Iran (Islamic Republic of)</t>
  </si>
  <si>
    <t>IQ</t>
  </si>
  <si>
    <t>Iraq</t>
  </si>
  <si>
    <t>IE</t>
  </si>
  <si>
    <t>Ireland</t>
  </si>
  <si>
    <t>IM</t>
  </si>
  <si>
    <t>Isle of Man</t>
  </si>
  <si>
    <t>IL</t>
  </si>
  <si>
    <t>Israel</t>
  </si>
  <si>
    <t>IT</t>
  </si>
  <si>
    <t>Italy</t>
  </si>
  <si>
    <t>JM</t>
  </si>
  <si>
    <t>Jamaica</t>
  </si>
  <si>
    <t>JP</t>
  </si>
  <si>
    <t>Japan</t>
  </si>
  <si>
    <t>JE</t>
  </si>
  <si>
    <t>Jersey</t>
  </si>
  <si>
    <t>JO</t>
  </si>
  <si>
    <t>Jordan</t>
  </si>
  <si>
    <t>KZ</t>
  </si>
  <si>
    <t>Kazakhstan</t>
  </si>
  <si>
    <t>KE</t>
  </si>
  <si>
    <t>Kenya</t>
  </si>
  <si>
    <t>KI</t>
  </si>
  <si>
    <t>Kiribati</t>
  </si>
  <si>
    <t>KP</t>
  </si>
  <si>
    <t>PRK</t>
  </si>
  <si>
    <t>Democratic People's Republic of Korea</t>
  </si>
  <si>
    <t>KR</t>
  </si>
  <si>
    <t>Republic of Korea</t>
  </si>
  <si>
    <t>XK</t>
  </si>
  <si>
    <t>XKX</t>
  </si>
  <si>
    <t>Kosovo</t>
  </si>
  <si>
    <t>KW</t>
  </si>
  <si>
    <t>Kuwait</t>
  </si>
  <si>
    <t>KG</t>
  </si>
  <si>
    <t>Kyrgyzstan</t>
  </si>
  <si>
    <t>LA</t>
  </si>
  <si>
    <t>Lao People's Democratic Republic</t>
  </si>
  <si>
    <t>LV</t>
  </si>
  <si>
    <t>Latvia</t>
  </si>
  <si>
    <t>LB</t>
  </si>
  <si>
    <t>Lebanon</t>
  </si>
  <si>
    <t>LS</t>
  </si>
  <si>
    <t>Lesotho</t>
  </si>
  <si>
    <t>LR</t>
  </si>
  <si>
    <t>LBR</t>
  </si>
  <si>
    <t>Liberia</t>
  </si>
  <si>
    <t>LY</t>
  </si>
  <si>
    <t>Libya</t>
  </si>
  <si>
    <t>LI</t>
  </si>
  <si>
    <t>Liechtenstein</t>
  </si>
  <si>
    <t>LT</t>
  </si>
  <si>
    <t>Lithuania</t>
  </si>
  <si>
    <t>LU</t>
  </si>
  <si>
    <t>Luxembourg</t>
  </si>
  <si>
    <t>MO</t>
  </si>
  <si>
    <t>China, Macao Special Administrative Region</t>
  </si>
  <si>
    <t>MG</t>
  </si>
  <si>
    <t>Madagascar</t>
  </si>
  <si>
    <t>MW</t>
  </si>
  <si>
    <t>Malawi</t>
  </si>
  <si>
    <t>MY</t>
  </si>
  <si>
    <t>Malaysia</t>
  </si>
  <si>
    <t>MV</t>
  </si>
  <si>
    <t>Maldives</t>
  </si>
  <si>
    <t>ML</t>
  </si>
  <si>
    <t>Mali</t>
  </si>
  <si>
    <t>MT</t>
  </si>
  <si>
    <t>Malta</t>
  </si>
  <si>
    <t>MH</t>
  </si>
  <si>
    <t>MHL</t>
  </si>
  <si>
    <t>Marshall Islands</t>
  </si>
  <si>
    <t>MQ</t>
  </si>
  <si>
    <t>Martinique</t>
  </si>
  <si>
    <t>MR</t>
  </si>
  <si>
    <t>Mauritania</t>
  </si>
  <si>
    <t>MU</t>
  </si>
  <si>
    <t>Mauritius</t>
  </si>
  <si>
    <t>YT</t>
  </si>
  <si>
    <t>Mayotte</t>
  </si>
  <si>
    <t>MX</t>
  </si>
  <si>
    <t>Mexico</t>
  </si>
  <si>
    <t>FM</t>
  </si>
  <si>
    <t>Micronesia (Federated States of)</t>
  </si>
  <si>
    <t>MD</t>
  </si>
  <si>
    <t>Republic of Moldova</t>
  </si>
  <si>
    <t>MC</t>
  </si>
  <si>
    <t>Monaco</t>
  </si>
  <si>
    <t>MN</t>
  </si>
  <si>
    <t>Mongolia</t>
  </si>
  <si>
    <t>ME</t>
  </si>
  <si>
    <t>Montenegro</t>
  </si>
  <si>
    <t>MS</t>
  </si>
  <si>
    <t>Montserrat</t>
  </si>
  <si>
    <t>MA</t>
  </si>
  <si>
    <t>Morocco</t>
  </si>
  <si>
    <t>MZ</t>
  </si>
  <si>
    <t>Mozambique</t>
  </si>
  <si>
    <t>MM</t>
  </si>
  <si>
    <t>Myanmar</t>
  </si>
  <si>
    <t>NA</t>
  </si>
  <si>
    <t>Namibia</t>
  </si>
  <si>
    <t>NR</t>
  </si>
  <si>
    <t>Nauru</t>
  </si>
  <si>
    <t>NP</t>
  </si>
  <si>
    <t>Nepal</t>
  </si>
  <si>
    <t>NL</t>
  </si>
  <si>
    <t>Netherlands</t>
  </si>
  <si>
    <t>NC</t>
  </si>
  <si>
    <t>New Caledonia</t>
  </si>
  <si>
    <t>NZ</t>
  </si>
  <si>
    <t>New Zealand</t>
  </si>
  <si>
    <t>NI</t>
  </si>
  <si>
    <t>Nicaragua</t>
  </si>
  <si>
    <t>NE</t>
  </si>
  <si>
    <t>Niger</t>
  </si>
  <si>
    <t>NG</t>
  </si>
  <si>
    <t>Nigeria</t>
  </si>
  <si>
    <t>NU</t>
  </si>
  <si>
    <t>Niue</t>
  </si>
  <si>
    <t>NF</t>
  </si>
  <si>
    <t>Norfolk Island</t>
  </si>
  <si>
    <t>MK</t>
  </si>
  <si>
    <t>North Macedonia</t>
  </si>
  <si>
    <t>MP</t>
  </si>
  <si>
    <t>Northern Mariana Islands</t>
  </si>
  <si>
    <t>NO</t>
  </si>
  <si>
    <t>Norway</t>
  </si>
  <si>
    <t>OM</t>
  </si>
  <si>
    <t>Oman</t>
  </si>
  <si>
    <t>PK</t>
  </si>
  <si>
    <t>Pakistan</t>
  </si>
  <si>
    <t>PW</t>
  </si>
  <si>
    <t>Palau</t>
  </si>
  <si>
    <t>PS</t>
  </si>
  <si>
    <t>State of Palestine</t>
  </si>
  <si>
    <t>PA</t>
  </si>
  <si>
    <t>Panama</t>
  </si>
  <si>
    <t>PG</t>
  </si>
  <si>
    <t>Papua New Guinea</t>
  </si>
  <si>
    <t>PY</t>
  </si>
  <si>
    <t>Paraguay</t>
  </si>
  <si>
    <t>PE</t>
  </si>
  <si>
    <t>Peru</t>
  </si>
  <si>
    <t>PH</t>
  </si>
  <si>
    <t>Philippines</t>
  </si>
  <si>
    <t>PN</t>
  </si>
  <si>
    <t>Pitcairn</t>
  </si>
  <si>
    <t>PL</t>
  </si>
  <si>
    <t>Poland</t>
  </si>
  <si>
    <t>PT</t>
  </si>
  <si>
    <t>Portugal</t>
  </si>
  <si>
    <t>PR</t>
  </si>
  <si>
    <t>Puerto Rico</t>
  </si>
  <si>
    <t>QA</t>
  </si>
  <si>
    <t>Qatar</t>
  </si>
  <si>
    <t>RE</t>
  </si>
  <si>
    <t>Réunion</t>
  </si>
  <si>
    <t>RO</t>
  </si>
  <si>
    <t>Romania</t>
  </si>
  <si>
    <t>RU</t>
  </si>
  <si>
    <t>Russian Federation</t>
  </si>
  <si>
    <t>RW</t>
  </si>
  <si>
    <t>Rwanda</t>
  </si>
  <si>
    <t>BL</t>
  </si>
  <si>
    <t>BLM</t>
  </si>
  <si>
    <t>Saint Barthélemy</t>
  </si>
  <si>
    <t>SH</t>
  </si>
  <si>
    <t>Saint Helena</t>
  </si>
  <si>
    <t>KN</t>
  </si>
  <si>
    <t>Saint Kitts and Nevis</t>
  </si>
  <si>
    <t>LC</t>
  </si>
  <si>
    <t>Saint Lucia</t>
  </si>
  <si>
    <t>MF</t>
  </si>
  <si>
    <t>MAF</t>
  </si>
  <si>
    <t>Saint Martin (French Part)</t>
  </si>
  <si>
    <t>PM</t>
  </si>
  <si>
    <t>Saint Pierre and Miquelon</t>
  </si>
  <si>
    <t>VC</t>
  </si>
  <si>
    <t>Saint Vincent and the Grenadines</t>
  </si>
  <si>
    <t>WS</t>
  </si>
  <si>
    <t>Samoa</t>
  </si>
  <si>
    <t>SM</t>
  </si>
  <si>
    <t>San Marino</t>
  </si>
  <si>
    <t>ST</t>
  </si>
  <si>
    <t>Sao Tome and Principe</t>
  </si>
  <si>
    <t>SA</t>
  </si>
  <si>
    <t>Saudi Arabia</t>
  </si>
  <si>
    <t>SN</t>
  </si>
  <si>
    <t>Senegal</t>
  </si>
  <si>
    <t>RS</t>
  </si>
  <si>
    <t>Serbia</t>
  </si>
  <si>
    <t>SC</t>
  </si>
  <si>
    <t>Seychelles</t>
  </si>
  <si>
    <t>SL</t>
  </si>
  <si>
    <t>Sierra Leone</t>
  </si>
  <si>
    <t>SG</t>
  </si>
  <si>
    <t>Singapore</t>
  </si>
  <si>
    <t>SX</t>
  </si>
  <si>
    <t>Sint Maarten (Dutch part)</t>
  </si>
  <si>
    <t>SK</t>
  </si>
  <si>
    <t>Slovakia</t>
  </si>
  <si>
    <t>SI</t>
  </si>
  <si>
    <t>Slovenia</t>
  </si>
  <si>
    <t>SB</t>
  </si>
  <si>
    <t>Solomon Islands</t>
  </si>
  <si>
    <t>SO</t>
  </si>
  <si>
    <t>Somalia</t>
  </si>
  <si>
    <t>ZA</t>
  </si>
  <si>
    <t>South Africa</t>
  </si>
  <si>
    <t>GS</t>
  </si>
  <si>
    <t>South Georgia and the South Sandwich Islands</t>
  </si>
  <si>
    <t>SS</t>
  </si>
  <si>
    <t>SSD</t>
  </si>
  <si>
    <t>South Sudan</t>
  </si>
  <si>
    <t>ES</t>
  </si>
  <si>
    <t>Spain</t>
  </si>
  <si>
    <t>LK</t>
  </si>
  <si>
    <t>Sri Lanka</t>
  </si>
  <si>
    <t>SD</t>
  </si>
  <si>
    <t>Sudan</t>
  </si>
  <si>
    <t>SR</t>
  </si>
  <si>
    <t>Suriname</t>
  </si>
  <si>
    <t>SJ</t>
  </si>
  <si>
    <t>SJM</t>
  </si>
  <si>
    <t>Svalbard and Jan Mayen Islands</t>
  </si>
  <si>
    <t>SE</t>
  </si>
  <si>
    <t>Sweden</t>
  </si>
  <si>
    <t>CH</t>
  </si>
  <si>
    <t>Switzerland</t>
  </si>
  <si>
    <t>SY</t>
  </si>
  <si>
    <t>Syrian Arab Republic</t>
  </si>
  <si>
    <t>TW</t>
  </si>
  <si>
    <t>Taiwan, Province of China</t>
  </si>
  <si>
    <t>TJ</t>
  </si>
  <si>
    <t>Tajikistan</t>
  </si>
  <si>
    <t>TZ</t>
  </si>
  <si>
    <t>United Republic of Tanzania</t>
  </si>
  <si>
    <t>TH</t>
  </si>
  <si>
    <t>Thailand</t>
  </si>
  <si>
    <t>TL</t>
  </si>
  <si>
    <t>Timor-Leste</t>
  </si>
  <si>
    <t>TG</t>
  </si>
  <si>
    <t>Togo</t>
  </si>
  <si>
    <t>TK</t>
  </si>
  <si>
    <t>Tokelau</t>
  </si>
  <si>
    <t>TO</t>
  </si>
  <si>
    <t>Tonga</t>
  </si>
  <si>
    <t>TT</t>
  </si>
  <si>
    <t>Trinidad and Tobago</t>
  </si>
  <si>
    <t>TN</t>
  </si>
  <si>
    <t>Tunisia</t>
  </si>
  <si>
    <t>TR</t>
  </si>
  <si>
    <t>Türkiye</t>
  </si>
  <si>
    <t>TM</t>
  </si>
  <si>
    <t>Turkmenistan</t>
  </si>
  <si>
    <t>TC</t>
  </si>
  <si>
    <t>Turks and Caicos Islands</t>
  </si>
  <si>
    <t>TV</t>
  </si>
  <si>
    <t>Tuvalu</t>
  </si>
  <si>
    <t>UG</t>
  </si>
  <si>
    <t>Uganda</t>
  </si>
  <si>
    <t>UA</t>
  </si>
  <si>
    <t>Ukraine</t>
  </si>
  <si>
    <t>AE</t>
  </si>
  <si>
    <t>United Arab Emirates</t>
  </si>
  <si>
    <t>GB</t>
  </si>
  <si>
    <t>United Kingdom of Great Britain and Northern Ireland</t>
  </si>
  <si>
    <t>UM</t>
  </si>
  <si>
    <t>UMI</t>
  </si>
  <si>
    <t>United States Minor Outlying Islands</t>
  </si>
  <si>
    <t>US</t>
  </si>
  <si>
    <t>United States of America</t>
  </si>
  <si>
    <t>UY</t>
  </si>
  <si>
    <t>Uruguay</t>
  </si>
  <si>
    <t>UZ</t>
  </si>
  <si>
    <t>Uzbekistan</t>
  </si>
  <si>
    <t>VU</t>
  </si>
  <si>
    <t>Vanuatu</t>
  </si>
  <si>
    <t>VE</t>
  </si>
  <si>
    <t>Venezuela (Bolivarian Republic of)</t>
  </si>
  <si>
    <t>VN</t>
  </si>
  <si>
    <t>Viet Nam</t>
  </si>
  <si>
    <t>VG</t>
  </si>
  <si>
    <t>British Virgin Islands</t>
  </si>
  <si>
    <t>VI</t>
  </si>
  <si>
    <t>United States Virgin Islands</t>
  </si>
  <si>
    <t>WF</t>
  </si>
  <si>
    <t>WLF</t>
  </si>
  <si>
    <t>Wallis and Futuna Islands</t>
  </si>
  <si>
    <t>EH</t>
  </si>
  <si>
    <t>ESH</t>
  </si>
  <si>
    <t>Western Sahara</t>
  </si>
  <si>
    <t>YE</t>
  </si>
  <si>
    <t>YEM</t>
  </si>
  <si>
    <t>Yemen</t>
  </si>
  <si>
    <t>ZM</t>
  </si>
  <si>
    <t>Zambia</t>
  </si>
  <si>
    <t>ZW</t>
  </si>
  <si>
    <t>Zimbabwe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</si>
  <si>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The names of countries and territories in this joint publication follow the practice of UNSD and are detailed here: https://unstats.un.org/unsd/methodology/m49/</t>
    </r>
  </si>
  <si>
    <t>Description</t>
  </si>
  <si>
    <t>Name of the Parent MNE</t>
  </si>
  <si>
    <t>Domain controlled by the Parent MNE</t>
  </si>
  <si>
    <t>The Top Level Domain (TLD) of the Domain</t>
  </si>
  <si>
    <t>Jurisdiction of the TLD</t>
  </si>
  <si>
    <t>The Page Rank determined by the weighted average of 3 online ranking providers smoothed over a monthly period</t>
  </si>
  <si>
    <t>The number of steps required in the Network Graph to discover the domain</t>
  </si>
  <si>
    <t>The Page Rank of the domain</t>
  </si>
  <si>
    <t>The rank of the domains Page Rank relative to all domains covered by the Common Crawl</t>
  </si>
  <si>
    <t>The Harmonic Centrality of the Domain</t>
  </si>
  <si>
    <t>The rank of the domains Harmonic Centrality relative to all domains covered by the Common Crawl</t>
  </si>
  <si>
    <t>OECD:</t>
  </si>
  <si>
    <t>https://www.oecd.org/sdd/its/mne-platform</t>
  </si>
  <si>
    <t>UNSD:</t>
  </si>
  <si>
    <t>https://unstats.un.org/unsd/business-stat/mne-platform</t>
  </si>
  <si>
    <r>
      <rPr>
        <b/>
        <sz val="11"/>
        <color rgb="FF000000"/>
        <rFont val="Arial"/>
        <family val="2"/>
      </rPr>
      <t xml:space="preserve">© </t>
    </r>
    <r>
      <rPr>
        <b/>
        <sz val="11"/>
        <color rgb="FF000000"/>
        <rFont val="Calibri"/>
        <family val="2"/>
      </rPr>
      <t xml:space="preserve">OECD-UNSD Multinational Information Platform (database): </t>
    </r>
  </si>
  <si>
    <t>ANZ Group Holdings Ltd</t>
  </si>
  <si>
    <t>Adani Enterprises Ltd</t>
  </si>
  <si>
    <t>Aflac Inc</t>
  </si>
  <si>
    <t>Allstate Corp</t>
  </si>
  <si>
    <t>Ameriprise Financial Inc</t>
  </si>
  <si>
    <t>Amerisourcebergen Corp</t>
  </si>
  <si>
    <t>Anheuser-Busch Inbev SA</t>
  </si>
  <si>
    <t>Apollo Global Management Inc</t>
  </si>
  <si>
    <t>Archer-Daniels-Midland Co</t>
  </si>
  <si>
    <t>Arthur J. Gallagher &amp; Co.</t>
  </si>
  <si>
    <t>Atlassian Corp</t>
  </si>
  <si>
    <t>Axis Bank Ltd</t>
  </si>
  <si>
    <t>BASF SE</t>
  </si>
  <si>
    <t>Banco Bilbao Vizcaya Argentaria SA</t>
  </si>
  <si>
    <t>Bayan Resources Tbk PT</t>
  </si>
  <si>
    <t>Beijing-Shanghai High Speed Railway Co Ltd</t>
  </si>
  <si>
    <t>Biogen Inc</t>
  </si>
  <si>
    <t>Brookfield Corp</t>
  </si>
  <si>
    <t>Cenovus Energy Inc</t>
  </si>
  <si>
    <t>Cheniere Energy Inc</t>
  </si>
  <si>
    <t>China State Construction Engineering Corp Ltd</t>
  </si>
  <si>
    <t>Cigna Group</t>
  </si>
  <si>
    <t>Compass Group PLC</t>
  </si>
  <si>
    <t>Consolidated Edison Inc</t>
  </si>
  <si>
    <t>Constellation Software Inc</t>
  </si>
  <si>
    <t>Corteva Inc</t>
  </si>
  <si>
    <t>Crown Castle Inc</t>
  </si>
  <si>
    <t>Cummins Inc</t>
  </si>
  <si>
    <t>Devon Energy Corp</t>
  </si>
  <si>
    <t>Electricite de France SA</t>
  </si>
  <si>
    <t>Electronic Arts Inc</t>
  </si>
  <si>
    <t>Elevance Health Inc</t>
  </si>
  <si>
    <t>Energy Transfer LP</t>
  </si>
  <si>
    <t>Engie SA</t>
  </si>
  <si>
    <t>Enphase Energy Inc</t>
  </si>
  <si>
    <t>GSK plc</t>
  </si>
  <si>
    <t>HALEON PLC</t>
  </si>
  <si>
    <t>Halliburton Co</t>
  </si>
  <si>
    <t>Hershey Co</t>
  </si>
  <si>
    <t>Hess Corp</t>
  </si>
  <si>
    <t>ITC Ltd</t>
  </si>
  <si>
    <t>Itau Unibanco Holding SA</t>
  </si>
  <si>
    <t>Japan Tobacco Inc</t>
  </si>
  <si>
    <t>Jiangsu Yanghe Brewery Joint-Stock Co Ltd</t>
  </si>
  <si>
    <t>Kinder Morgan Inc</t>
  </si>
  <si>
    <t>Kuaishou Technology</t>
  </si>
  <si>
    <t>Kuwait Finance House KSCP</t>
  </si>
  <si>
    <t>L3Harris Technologies Inc</t>
  </si>
  <si>
    <t>LG Chem Ltd</t>
  </si>
  <si>
    <t>Larsen &amp; Toubro Ltd</t>
  </si>
  <si>
    <t>Las Vegas Sands Corp</t>
  </si>
  <si>
    <t>Life Insurance Corporation Of India</t>
  </si>
  <si>
    <t>MPLX LP</t>
  </si>
  <si>
    <t>Manulife Financial Corp</t>
  </si>
  <si>
    <t>Marathon Petroleum Corp</t>
  </si>
  <si>
    <t>Mckesson Corp</t>
  </si>
  <si>
    <t>MercadoLibre Inc</t>
  </si>
  <si>
    <t>Mercedes Benz Group AG</t>
  </si>
  <si>
    <t>Mitsui &amp; Co Ltd</t>
  </si>
  <si>
    <t>Mizuho Financial Group Inc</t>
  </si>
  <si>
    <t>Neste Oyj</t>
  </si>
  <si>
    <t>Nucor Corp</t>
  </si>
  <si>
    <t>Occidental Petroleum Corp</t>
  </si>
  <si>
    <t>Oversea-Chinese Banking Corporation Ltd</t>
  </si>
  <si>
    <t>PDD Holdings Inc</t>
  </si>
  <si>
    <t>PG&amp;E Corp</t>
  </si>
  <si>
    <t>Paccar Inc</t>
  </si>
  <si>
    <t>Phillips 66</t>
  </si>
  <si>
    <t>Salesforce Inc</t>
  </si>
  <si>
    <t>Saudi Arabian Mining Company SJSC</t>
  </si>
  <si>
    <t>Saudi National Bank SJSC</t>
  </si>
  <si>
    <t>Seven &amp; i Holdings Co Ltd</t>
  </si>
  <si>
    <t>Sun Hung Kai Properties Ltd</t>
  </si>
  <si>
    <t>Suncor Energy Inc</t>
  </si>
  <si>
    <t>Sysco Corp</t>
  </si>
  <si>
    <t>Tokio Marine Holdings Inc</t>
  </si>
  <si>
    <t>TransDigm Group Inc</t>
  </si>
  <si>
    <t>Travelers Companies Inc</t>
  </si>
  <si>
    <t>United Overseas Bank Ltd</t>
  </si>
  <si>
    <t>Valero Energy Corp</t>
  </si>
  <si>
    <t>Waste Connections Inc</t>
  </si>
  <si>
    <t>Williams Companies Inc</t>
  </si>
  <si>
    <t>Woodside Energy Group Ltd</t>
  </si>
  <si>
    <t>Xcel Energy Inc</t>
  </si>
  <si>
    <t>Zijin Mining Group Co Ltd</t>
  </si>
  <si>
    <t>.coupons</t>
  </si>
  <si>
    <t>.tirol</t>
  </si>
  <si>
    <t>.guru</t>
  </si>
  <si>
    <t>.cash</t>
  </si>
  <si>
    <t>.everbank</t>
  </si>
  <si>
    <t>.dental</t>
  </si>
  <si>
    <t>.vet</t>
  </si>
  <si>
    <t>.scot</t>
  </si>
  <si>
    <t>.wien</t>
  </si>
  <si>
    <t>.garden</t>
  </si>
  <si>
    <t>.icu</t>
  </si>
  <si>
    <t>.reviews</t>
  </si>
  <si>
    <t>.town</t>
  </si>
  <si>
    <t>.autos</t>
  </si>
  <si>
    <t>.surgery</t>
  </si>
  <si>
    <t>.camp</t>
  </si>
  <si>
    <t>.pet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</si>
</sst>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"/>
  </numFmts>
  <fonts count="9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6" fillId="0" borderId="0" applyNumberFormat="0" applyFill="0" applyBorder="0" applyAlignment="0" applyProtection="0"/>
  </cellStyleXfs>
  <cellXfs count="7">
    <xf numFmtId="0" fontId="0" fillId="0" borderId="0" xfId="0"/>
    <xf numFmtId="0" fontId="1" fillId="0" borderId="0" xfId="0" applyFont="1"/>
    <xf numFmtId="164" fontId="3" fillId="2" borderId="0" xfId="1" applyNumberFormat="1" applyFont="1" applyFill="1" applyAlignment="1">
      <alignment horizontal="center"/>
    </xf>
    <xf numFmtId="0" fontId="2" fillId="0" borderId="0" xfId="1"/>
    <xf numFmtId="164" fontId="3" fillId="2" borderId="0" xfId="1" applyNumberFormat="1" applyFont="1" applyFill="1" applyAlignment="1">
      <alignment horizontal="center" vertical="top" wrapText="1"/>
    </xf>
    <xf numFmtId="0" fontId="7" fillId="0" borderId="0" xfId="0" applyFont="1"/>
    <xf numFmtId="0" fontId="6" fillId="0" borderId="0" xfId="2"/>
  </cellXfs>
  <cellStyles count="3">
    <cellStyle name="Hyperlink" xfId="2" builtinId="8"/>
    <cellStyle name="Normal" xfId="0" builtinId="0"/>
    <cellStyle name="Normal 2" xfId="1" xr:uid="{693852A6-0470-455C-857E-6DDA1D0AB7B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6</xdr:row>
      <xdr:rowOff>14838</xdr:rowOff>
    </xdr:from>
    <xdr:to>
      <xdr:col>2</xdr:col>
      <xdr:colOff>358140</xdr:colOff>
      <xdr:row>7</xdr:row>
      <xdr:rowOff>146685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9A2EBB-576D-4F7A-8FF3-17E483DFA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12118"/>
          <a:ext cx="1295400" cy="314727"/>
        </a:xfrm>
        <a:prstGeom prst="rect">
          <a:avLst/>
        </a:prstGeom>
      </xdr:spPr>
    </xdr:pic>
    <xdr:clientData/>
  </xdr:twoCellAnchor>
  <xdr:twoCellAnchor editAs="oneCell">
    <xdr:from>
      <xdr:col>2</xdr:col>
      <xdr:colOff>487681</xdr:colOff>
      <xdr:row>5</xdr:row>
      <xdr:rowOff>167640</xdr:rowOff>
    </xdr:from>
    <xdr:to>
      <xdr:col>8</xdr:col>
      <xdr:colOff>114301</xdr:colOff>
      <xdr:row>8</xdr:row>
      <xdr:rowOff>31771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A233A7-C26C-4E6D-98E8-C3ED8833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9241" y="1082040"/>
          <a:ext cx="3284220" cy="4127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unstats.un.org/unsd/business-stat/mne-platform" TargetMode="External"/><Relationship Id="rId1" Type="http://schemas.openxmlformats.org/officeDocument/2006/relationships/hyperlink" Target="https://www.oecd.org/sdd/its/mne-platfor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319D1-88E6-4056-A9AA-F53996928279}">
  <dimension ref="A2:B4"/>
  <sheetViews>
    <sheetView showGridLines="0" workbookViewId="0">
      <selection activeCell="E15" sqref="E15"/>
    </sheetView>
  </sheetViews>
  <sheetFormatPr defaultRowHeight="15" x14ac:dyDescent="0.25"/>
  <cols>
    <col min="1" max="1" width="5.85546875" customWidth="1"/>
  </cols>
  <sheetData>
    <row r="2" spans="1:2" x14ac:dyDescent="0.25">
      <c r="A2" s="5" t="s">
        <v>1581</v>
      </c>
    </row>
    <row r="3" spans="1:2" x14ac:dyDescent="0.25">
      <c r="A3" t="s">
        <v>1577</v>
      </c>
      <c r="B3" s="6" t="s">
        <v>1578</v>
      </c>
    </row>
    <row r="4" spans="1:2" x14ac:dyDescent="0.25">
      <c r="A4" t="s">
        <v>1579</v>
      </c>
      <c r="B4" s="6" t="s">
        <v>1580</v>
      </c>
    </row>
  </sheetData>
  <hyperlinks>
    <hyperlink ref="B3" r:id="rId1" xr:uid="{4C37535F-3008-44C4-A4AC-304CDEC78614}"/>
    <hyperlink ref="B4" r:id="rId2" xr:uid="{1D81A112-5FF8-4976-838F-73C6C81DB5D6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458"/>
  <sheetViews>
    <sheetView tabSelected="1" workbookViewId="0">
      <pane ySplit="1" topLeftCell="A2" activePane="bottomLeft" state="frozen"/>
      <selection pane="bottomLeft"/>
    </sheetView>
  </sheetViews>
  <sheetFormatPr defaultColWidth="11.140625" defaultRowHeight="15" x14ac:dyDescent="0.25"/>
  <cols>
    <col min="10" max="10" width="11.140625" customWidth="1"/>
  </cols>
  <sheetData>
    <row r="1" spans="1:10" s="2" customFormat="1" ht="47.1" customHeight="1" x14ac:dyDescent="0.25">
      <c r="A1" s="4" t="s">
        <v>0</v>
      </c>
      <c r="B1" s="4" t="s">
        <v>415</v>
      </c>
      <c r="C1" s="4" t="s">
        <v>416</v>
      </c>
      <c r="D1" s="4" t="s">
        <v>798</v>
      </c>
      <c r="E1" s="4" t="s">
        <v>1025</v>
      </c>
      <c r="F1" s="4" t="s">
        <v>1026</v>
      </c>
      <c r="G1" s="4" t="s">
        <v>1027</v>
      </c>
      <c r="H1" s="4" t="s">
        <v>1028</v>
      </c>
      <c r="I1" s="4" t="s">
        <v>1029</v>
      </c>
      <c r="J1" s="4" t="s">
        <v>1030</v>
      </c>
    </row>
    <row r="2" spans="1:10" x14ac:dyDescent="0.25">
      <c r="A2" t="s">
        <v>1</v>
      </c>
      <c r="B2" s="1" t="str">
        <f>HYPERLINK("http://3m.com.ar","3m.com.ar")</f>
        <v>3m.com.ar</v>
      </c>
      <c r="C2" t="s">
        <v>418</v>
      </c>
      <c r="D2" t="s">
        <v>800</v>
      </c>
      <c r="F2">
        <v>2.5695242532764699E-8</v>
      </c>
      <c r="G2">
        <v>2006532</v>
      </c>
      <c r="H2">
        <v>12492051</v>
      </c>
      <c r="I2">
        <v>17470086</v>
      </c>
      <c r="J2">
        <v>2</v>
      </c>
    </row>
    <row r="3" spans="1:10" x14ac:dyDescent="0.25">
      <c r="A3" t="s">
        <v>1</v>
      </c>
      <c r="B3" s="1" t="str">
        <f>HYPERLINK("http://3m.com.au","3m.com.au")</f>
        <v>3m.com.au</v>
      </c>
      <c r="C3" t="s">
        <v>420</v>
      </c>
      <c r="D3" t="s">
        <v>802</v>
      </c>
      <c r="E3">
        <v>375644</v>
      </c>
      <c r="F3">
        <v>7.6542389175432097E-8</v>
      </c>
      <c r="G3">
        <v>547896</v>
      </c>
      <c r="H3">
        <v>14510658</v>
      </c>
      <c r="I3">
        <v>823303</v>
      </c>
      <c r="J3">
        <v>2</v>
      </c>
    </row>
    <row r="4" spans="1:10" x14ac:dyDescent="0.25">
      <c r="A4" t="s">
        <v>1</v>
      </c>
      <c r="B4" s="1" t="str">
        <f>HYPERLINK("http://3m.com.bo","3m.com.bo")</f>
        <v>3m.com.bo</v>
      </c>
      <c r="C4" t="s">
        <v>424</v>
      </c>
      <c r="D4" t="s">
        <v>805</v>
      </c>
      <c r="F4">
        <v>1.12498950310561E-8</v>
      </c>
      <c r="G4">
        <v>5677868</v>
      </c>
      <c r="H4">
        <v>12446250</v>
      </c>
      <c r="I4">
        <v>18072043</v>
      </c>
      <c r="J4">
        <v>2</v>
      </c>
    </row>
    <row r="5" spans="1:10" x14ac:dyDescent="0.25">
      <c r="A5" t="s">
        <v>1</v>
      </c>
      <c r="B5" s="1" t="str">
        <f>HYPERLINK("http://3m.com.br","3m.com.br")</f>
        <v>3m.com.br</v>
      </c>
      <c r="C5" t="s">
        <v>425</v>
      </c>
      <c r="D5" t="s">
        <v>806</v>
      </c>
      <c r="E5">
        <v>686949</v>
      </c>
      <c r="F5">
        <v>3.4684385915844701E-8</v>
      </c>
      <c r="G5">
        <v>1496264</v>
      </c>
      <c r="H5">
        <v>14246451</v>
      </c>
      <c r="I5">
        <v>1461529</v>
      </c>
      <c r="J5">
        <v>2</v>
      </c>
    </row>
    <row r="6" spans="1:10" x14ac:dyDescent="0.25">
      <c r="A6" t="s">
        <v>1</v>
      </c>
      <c r="B6" s="1" t="str">
        <f>HYPERLINK("http://3m.com.by","3m.com.by")</f>
        <v>3m.com.by</v>
      </c>
      <c r="C6" t="s">
        <v>427</v>
      </c>
      <c r="D6" t="s">
        <v>808</v>
      </c>
      <c r="F6">
        <v>1.7459453760069199E-8</v>
      </c>
      <c r="G6">
        <v>3155849</v>
      </c>
      <c r="H6">
        <v>12445960</v>
      </c>
      <c r="I6">
        <v>18076030</v>
      </c>
      <c r="J6">
        <v>2</v>
      </c>
    </row>
    <row r="7" spans="1:10" x14ac:dyDescent="0.25">
      <c r="A7" t="s">
        <v>1</v>
      </c>
      <c r="B7" s="1" t="str">
        <f>HYPERLINK("http://3m.ca","3m.ca")</f>
        <v>3m.ca</v>
      </c>
      <c r="C7" t="s">
        <v>428</v>
      </c>
      <c r="D7" t="s">
        <v>809</v>
      </c>
      <c r="F7">
        <v>2.6009840364706799E-8</v>
      </c>
      <c r="G7">
        <v>1980889</v>
      </c>
      <c r="H7">
        <v>13128450</v>
      </c>
      <c r="I7">
        <v>11947962</v>
      </c>
      <c r="J7">
        <v>2</v>
      </c>
    </row>
    <row r="8" spans="1:10" x14ac:dyDescent="0.25">
      <c r="A8" t="s">
        <v>1</v>
      </c>
      <c r="B8" s="1" t="str">
        <f>HYPERLINK("http://3mcanada.ca","3mcanada.ca")</f>
        <v>3mcanada.ca</v>
      </c>
      <c r="C8" t="s">
        <v>428</v>
      </c>
      <c r="D8" t="s">
        <v>809</v>
      </c>
      <c r="E8">
        <v>208307</v>
      </c>
      <c r="F8">
        <v>2.5495915323570402E-7</v>
      </c>
      <c r="G8">
        <v>146722</v>
      </c>
      <c r="H8">
        <v>14612913</v>
      </c>
      <c r="I8">
        <v>675093</v>
      </c>
      <c r="J8">
        <v>3</v>
      </c>
    </row>
    <row r="9" spans="1:10" x14ac:dyDescent="0.25">
      <c r="A9" t="s">
        <v>1</v>
      </c>
      <c r="B9" s="1" t="str">
        <f>HYPERLINK("http://meguiars.ca","meguiars.ca")</f>
        <v>meguiars.ca</v>
      </c>
      <c r="C9" t="s">
        <v>428</v>
      </c>
      <c r="D9" t="s">
        <v>809</v>
      </c>
      <c r="F9">
        <v>1.53917467855317E-8</v>
      </c>
      <c r="G9">
        <v>3718094</v>
      </c>
      <c r="H9">
        <v>13781567</v>
      </c>
      <c r="I9">
        <v>6456759</v>
      </c>
      <c r="J9">
        <v>4</v>
      </c>
    </row>
    <row r="10" spans="1:10" x14ac:dyDescent="0.25">
      <c r="A10" t="s">
        <v>1</v>
      </c>
      <c r="B10" s="1" t="str">
        <f>HYPERLINK("http://3mschweiz.ch","3mschweiz.ch")</f>
        <v>3mschweiz.ch</v>
      </c>
      <c r="C10" t="s">
        <v>429</v>
      </c>
      <c r="D10" t="s">
        <v>810</v>
      </c>
      <c r="F10">
        <v>1.01935658563006E-7</v>
      </c>
      <c r="G10">
        <v>394175</v>
      </c>
      <c r="H10">
        <v>14246393</v>
      </c>
      <c r="I10">
        <v>1461792</v>
      </c>
      <c r="J10">
        <v>4</v>
      </c>
    </row>
    <row r="11" spans="1:10" x14ac:dyDescent="0.25">
      <c r="A11" t="s">
        <v>1</v>
      </c>
      <c r="B11" s="1" t="str">
        <f>HYPERLINK("http://3m.com.cn","3m.com.cn")</f>
        <v>3m.com.cn</v>
      </c>
      <c r="C11" t="s">
        <v>431</v>
      </c>
      <c r="D11" t="s">
        <v>812</v>
      </c>
      <c r="E11">
        <v>140324</v>
      </c>
      <c r="F11">
        <v>1.9903942947173899E-7</v>
      </c>
      <c r="G11">
        <v>191963</v>
      </c>
      <c r="H11">
        <v>14193487</v>
      </c>
      <c r="I11">
        <v>1742666</v>
      </c>
      <c r="J11">
        <v>2</v>
      </c>
    </row>
    <row r="12" spans="1:10" x14ac:dyDescent="0.25">
      <c r="A12" t="s">
        <v>1</v>
      </c>
      <c r="B12" s="1" t="str">
        <f>HYPERLINK("http://3m.com.co","3m.com.co")</f>
        <v>3m.com.co</v>
      </c>
      <c r="C12" t="s">
        <v>432</v>
      </c>
      <c r="F12">
        <v>1.9407637494713501E-8</v>
      </c>
      <c r="G12">
        <v>2761742</v>
      </c>
      <c r="H12">
        <v>12491138</v>
      </c>
      <c r="I12">
        <v>17478697</v>
      </c>
      <c r="J12">
        <v>2</v>
      </c>
    </row>
    <row r="13" spans="1:10" x14ac:dyDescent="0.25">
      <c r="A13" t="s">
        <v>1</v>
      </c>
      <c r="B13" s="1" t="str">
        <f>HYPERLINK("http://3m.com","3m.com")</f>
        <v>3m.com</v>
      </c>
      <c r="C13" t="s">
        <v>433</v>
      </c>
      <c r="E13">
        <v>3728</v>
      </c>
      <c r="F13">
        <v>7.8773889509627301E-6</v>
      </c>
      <c r="G13">
        <v>4260</v>
      </c>
      <c r="H13">
        <v>17845038</v>
      </c>
      <c r="I13">
        <v>5037</v>
      </c>
      <c r="J13">
        <v>1</v>
      </c>
    </row>
    <row r="14" spans="1:10" x14ac:dyDescent="0.25">
      <c r="A14" t="s">
        <v>1</v>
      </c>
      <c r="B14" s="1" t="str">
        <f>HYPERLINK("http://3munitek.com","3munitek.com")</f>
        <v>3munitek.com</v>
      </c>
      <c r="C14" t="s">
        <v>433</v>
      </c>
      <c r="F14">
        <v>2.6336032605033601E-8</v>
      </c>
      <c r="G14">
        <v>1955168</v>
      </c>
      <c r="H14">
        <v>12502879</v>
      </c>
      <c r="I14">
        <v>17317059</v>
      </c>
      <c r="J14">
        <v>5</v>
      </c>
    </row>
    <row r="15" spans="1:10" x14ac:dyDescent="0.25">
      <c r="A15" t="s">
        <v>1</v>
      </c>
      <c r="B15" s="1" t="str">
        <f>HYPERLINK("http://acelity.com","acelity.com")</f>
        <v>acelity.com</v>
      </c>
      <c r="C15" t="s">
        <v>433</v>
      </c>
      <c r="E15">
        <v>539607</v>
      </c>
      <c r="F15">
        <v>1.0598265452181201E-7</v>
      </c>
      <c r="G15">
        <v>377863</v>
      </c>
      <c r="H15">
        <v>16771517</v>
      </c>
      <c r="I15">
        <v>222124</v>
      </c>
      <c r="J15">
        <v>5</v>
      </c>
    </row>
    <row r="16" spans="1:10" x14ac:dyDescent="0.25">
      <c r="A16" t="s">
        <v>1</v>
      </c>
      <c r="B16" s="1" t="str">
        <f>HYPERLINK("http://attentigroup.com","attentigroup.com")</f>
        <v>attentigroup.com</v>
      </c>
      <c r="C16" t="s">
        <v>433</v>
      </c>
      <c r="F16">
        <v>8.1396632945028796E-8</v>
      </c>
      <c r="G16">
        <v>512817</v>
      </c>
      <c r="H16">
        <v>13819099</v>
      </c>
      <c r="I16">
        <v>6149915</v>
      </c>
      <c r="J16">
        <v>5</v>
      </c>
    </row>
    <row r="17" spans="1:10" x14ac:dyDescent="0.25">
      <c r="A17" t="s">
        <v>1</v>
      </c>
      <c r="B17" s="1" t="str">
        <f>HYPERLINK("http://capitalsafety.com","capitalsafety.com")</f>
        <v>capitalsafety.com</v>
      </c>
      <c r="C17" t="s">
        <v>433</v>
      </c>
      <c r="F17">
        <v>7.8934759047488794E-8</v>
      </c>
      <c r="G17">
        <v>529509</v>
      </c>
      <c r="H17">
        <v>13814938</v>
      </c>
      <c r="I17">
        <v>6172012</v>
      </c>
      <c r="J17">
        <v>9</v>
      </c>
    </row>
    <row r="18" spans="1:10" x14ac:dyDescent="0.25">
      <c r="A18" t="s">
        <v>1</v>
      </c>
      <c r="B18" s="1" t="str">
        <f>HYPERLINK("http://cuno.com","cuno.com")</f>
        <v>cuno.com</v>
      </c>
      <c r="C18" t="s">
        <v>433</v>
      </c>
      <c r="F18">
        <v>9.8639776002658701E-9</v>
      </c>
      <c r="G18">
        <v>6898230</v>
      </c>
      <c r="H18">
        <v>13933776</v>
      </c>
      <c r="I18">
        <v>4671474</v>
      </c>
      <c r="J18">
        <v>3</v>
      </c>
    </row>
    <row r="19" spans="1:10" x14ac:dyDescent="0.25">
      <c r="A19" t="s">
        <v>1</v>
      </c>
      <c r="B19" s="1" t="str">
        <f>HYPERLINK("http://kci-medical.com","kci-medical.com")</f>
        <v>kci-medical.com</v>
      </c>
      <c r="C19" t="s">
        <v>433</v>
      </c>
      <c r="F19">
        <v>9.5103531195199807E-9</v>
      </c>
      <c r="G19">
        <v>7310233</v>
      </c>
      <c r="H19">
        <v>12242759</v>
      </c>
      <c r="I19">
        <v>22176781</v>
      </c>
      <c r="J19">
        <v>3</v>
      </c>
    </row>
    <row r="20" spans="1:10" x14ac:dyDescent="0.25">
      <c r="A20" t="s">
        <v>1</v>
      </c>
      <c r="B20" s="1" t="str">
        <f>HYPERLINK("http://meguiars.com","meguiars.com")</f>
        <v>meguiars.com</v>
      </c>
      <c r="C20" t="s">
        <v>433</v>
      </c>
      <c r="E20">
        <v>144246</v>
      </c>
      <c r="F20">
        <v>1.8813997231295299E-7</v>
      </c>
      <c r="G20">
        <v>204793</v>
      </c>
      <c r="H20">
        <v>14242449</v>
      </c>
      <c r="I20">
        <v>1484152</v>
      </c>
      <c r="J20">
        <v>3</v>
      </c>
    </row>
    <row r="21" spans="1:10" x14ac:dyDescent="0.25">
      <c r="A21" t="s">
        <v>1</v>
      </c>
      <c r="B21" s="1" t="str">
        <f>HYPERLINK("http://mmm.com","mmm.com")</f>
        <v>mmm.com</v>
      </c>
      <c r="C21" t="s">
        <v>433</v>
      </c>
      <c r="E21">
        <v>25545</v>
      </c>
      <c r="F21">
        <v>2.3174708822256899E-7</v>
      </c>
      <c r="G21">
        <v>162024</v>
      </c>
      <c r="H21">
        <v>14889771</v>
      </c>
      <c r="I21">
        <v>467590</v>
      </c>
      <c r="J21">
        <v>2</v>
      </c>
    </row>
    <row r="22" spans="1:10" x14ac:dyDescent="0.25">
      <c r="A22" t="s">
        <v>1</v>
      </c>
      <c r="B22" s="1" t="str">
        <f>HYPERLINK("http://veraflo.com","veraflo.com")</f>
        <v>veraflo.com</v>
      </c>
      <c r="C22" t="s">
        <v>433</v>
      </c>
      <c r="F22">
        <v>8.3414938880715894E-9</v>
      </c>
      <c r="G22">
        <v>9164315</v>
      </c>
      <c r="H22">
        <v>12439522</v>
      </c>
      <c r="I22">
        <v>18149884</v>
      </c>
      <c r="J22">
        <v>7</v>
      </c>
    </row>
    <row r="23" spans="1:10" x14ac:dyDescent="0.25">
      <c r="A23" t="s">
        <v>1</v>
      </c>
      <c r="B23" s="1" t="str">
        <f>HYPERLINK("http://3m.co.cr","3m.co.cr")</f>
        <v>3m.co.cr</v>
      </c>
      <c r="C23" t="s">
        <v>434</v>
      </c>
      <c r="D23" t="s">
        <v>813</v>
      </c>
      <c r="F23">
        <v>2.0181140836193399E-8</v>
      </c>
      <c r="G23">
        <v>2631764</v>
      </c>
      <c r="H23">
        <v>12480398</v>
      </c>
      <c r="I23">
        <v>17594615</v>
      </c>
      <c r="J23">
        <v>2</v>
      </c>
    </row>
    <row r="24" spans="1:10" x14ac:dyDescent="0.25">
      <c r="A24" t="s">
        <v>1</v>
      </c>
      <c r="B24" s="1" t="str">
        <f>HYPERLINK("http://3m.de","3m.de")</f>
        <v>3m.de</v>
      </c>
      <c r="C24" t="s">
        <v>436</v>
      </c>
      <c r="D24" t="s">
        <v>815</v>
      </c>
      <c r="F24">
        <v>4.7259972182161098E-8</v>
      </c>
      <c r="G24">
        <v>986458</v>
      </c>
      <c r="H24">
        <v>13857586</v>
      </c>
      <c r="I24">
        <v>6030891</v>
      </c>
      <c r="J24">
        <v>3</v>
      </c>
    </row>
    <row r="25" spans="1:10" x14ac:dyDescent="0.25">
      <c r="A25" t="s">
        <v>1</v>
      </c>
      <c r="B25" s="1" t="str">
        <f>HYPERLINK("http://3mdeutschland.de","3mdeutschland.de")</f>
        <v>3mdeutschland.de</v>
      </c>
      <c r="C25" t="s">
        <v>436</v>
      </c>
      <c r="D25" t="s">
        <v>815</v>
      </c>
      <c r="E25">
        <v>242608</v>
      </c>
      <c r="F25">
        <v>5.1321055292760205E-7</v>
      </c>
      <c r="G25">
        <v>74719</v>
      </c>
      <c r="H25">
        <v>14589614</v>
      </c>
      <c r="I25">
        <v>696731</v>
      </c>
      <c r="J25">
        <v>3</v>
      </c>
    </row>
    <row r="26" spans="1:10" x14ac:dyDescent="0.25">
      <c r="A26" t="s">
        <v>1</v>
      </c>
      <c r="B26" s="1" t="str">
        <f>HYPERLINK("http://meguiars.de","meguiars.de")</f>
        <v>meguiars.de</v>
      </c>
      <c r="C26" t="s">
        <v>436</v>
      </c>
      <c r="D26" t="s">
        <v>815</v>
      </c>
      <c r="F26">
        <v>1.8908325559599802E-8</v>
      </c>
      <c r="G26">
        <v>2852006</v>
      </c>
      <c r="H26">
        <v>13375547</v>
      </c>
      <c r="I26">
        <v>10444225</v>
      </c>
      <c r="J26">
        <v>4</v>
      </c>
    </row>
    <row r="27" spans="1:10" x14ac:dyDescent="0.25">
      <c r="A27" t="s">
        <v>1</v>
      </c>
      <c r="B27" s="1" t="str">
        <f>HYPERLINK("http://3m.com.do","3m.com.do")</f>
        <v>3m.com.do</v>
      </c>
      <c r="C27" t="s">
        <v>438</v>
      </c>
      <c r="D27" t="s">
        <v>817</v>
      </c>
      <c r="F27">
        <v>2.1366168242849E-8</v>
      </c>
      <c r="G27">
        <v>2465877</v>
      </c>
      <c r="H27">
        <v>12466773</v>
      </c>
      <c r="I27">
        <v>17795282</v>
      </c>
      <c r="J27">
        <v>2</v>
      </c>
    </row>
    <row r="28" spans="1:10" x14ac:dyDescent="0.25">
      <c r="A28" t="s">
        <v>1</v>
      </c>
      <c r="B28" s="1" t="str">
        <f>HYPERLINK("http://3m.com.ec","3m.com.ec")</f>
        <v>3m.com.ec</v>
      </c>
      <c r="C28" t="s">
        <v>440</v>
      </c>
      <c r="D28" t="s">
        <v>819</v>
      </c>
      <c r="F28">
        <v>1.05159043316862E-8</v>
      </c>
      <c r="G28">
        <v>6255869</v>
      </c>
      <c r="H28">
        <v>12442516</v>
      </c>
      <c r="I28">
        <v>18116494</v>
      </c>
      <c r="J28">
        <v>2</v>
      </c>
    </row>
    <row r="29" spans="1:10" x14ac:dyDescent="0.25">
      <c r="A29" t="s">
        <v>1</v>
      </c>
      <c r="B29" s="1" t="str">
        <f>HYPERLINK("http://3m.com.ee","3m.com.ee")</f>
        <v>3m.com.ee</v>
      </c>
      <c r="C29" t="s">
        <v>441</v>
      </c>
      <c r="D29" t="s">
        <v>820</v>
      </c>
      <c r="F29">
        <v>2.8649361789935399E-8</v>
      </c>
      <c r="G29">
        <v>1796160</v>
      </c>
      <c r="H29">
        <v>12500631</v>
      </c>
      <c r="I29">
        <v>17352436</v>
      </c>
      <c r="J29">
        <v>2</v>
      </c>
    </row>
    <row r="30" spans="1:10" x14ac:dyDescent="0.25">
      <c r="A30" t="s">
        <v>1</v>
      </c>
      <c r="B30" s="1" t="str">
        <f>HYPERLINK("http://3m.com.es","3m.com.es")</f>
        <v>3m.com.es</v>
      </c>
      <c r="C30" t="s">
        <v>443</v>
      </c>
      <c r="D30" t="s">
        <v>822</v>
      </c>
      <c r="E30">
        <v>790944</v>
      </c>
      <c r="F30">
        <v>1.5928482202403099E-7</v>
      </c>
      <c r="G30">
        <v>243726</v>
      </c>
      <c r="H30">
        <v>14402951</v>
      </c>
      <c r="I30">
        <v>1151596</v>
      </c>
      <c r="J30">
        <v>2</v>
      </c>
    </row>
    <row r="31" spans="1:10" x14ac:dyDescent="0.25">
      <c r="A31" t="s">
        <v>1</v>
      </c>
      <c r="B31" s="1" t="str">
        <f>HYPERLINK("http://productos3m.es","productos3m.es")</f>
        <v>productos3m.es</v>
      </c>
      <c r="C31" t="s">
        <v>443</v>
      </c>
      <c r="D31" t="s">
        <v>822</v>
      </c>
      <c r="F31">
        <v>3.9833205223310402E-8</v>
      </c>
      <c r="G31">
        <v>1297127</v>
      </c>
      <c r="H31">
        <v>14132304</v>
      </c>
      <c r="I31">
        <v>2000898</v>
      </c>
      <c r="J31">
        <v>3</v>
      </c>
    </row>
    <row r="32" spans="1:10" x14ac:dyDescent="0.25">
      <c r="A32" t="s">
        <v>1</v>
      </c>
      <c r="B32" s="1" t="str">
        <f>HYPERLINK("http://3m.eu","3m.eu")</f>
        <v>3m.eu</v>
      </c>
      <c r="C32" t="s">
        <v>444</v>
      </c>
      <c r="F32">
        <v>2.60965690102875E-8</v>
      </c>
      <c r="G32">
        <v>1974025</v>
      </c>
      <c r="H32">
        <v>13955551</v>
      </c>
      <c r="I32">
        <v>4137824</v>
      </c>
      <c r="J32">
        <v>2</v>
      </c>
    </row>
    <row r="33" spans="1:10" x14ac:dyDescent="0.25">
      <c r="A33" t="s">
        <v>1</v>
      </c>
      <c r="B33" s="1" t="str">
        <f>HYPERLINK("http://acelity.fi","acelity.fi")</f>
        <v>acelity.fi</v>
      </c>
      <c r="C33" t="s">
        <v>445</v>
      </c>
      <c r="D33" t="s">
        <v>823</v>
      </c>
      <c r="J33">
        <v>2</v>
      </c>
    </row>
    <row r="34" spans="1:10" x14ac:dyDescent="0.25">
      <c r="A34" t="s">
        <v>1</v>
      </c>
      <c r="B34" s="1" t="str">
        <f>HYPERLINK("http://kcimedical.fi","kcimedical.fi")</f>
        <v>kcimedical.fi</v>
      </c>
      <c r="C34" t="s">
        <v>445</v>
      </c>
      <c r="D34" t="s">
        <v>823</v>
      </c>
      <c r="F34">
        <v>4.44380395335525E-9</v>
      </c>
      <c r="G34">
        <v>84775146</v>
      </c>
      <c r="H34">
        <v>0</v>
      </c>
      <c r="I34">
        <v>85889022</v>
      </c>
      <c r="J34">
        <v>4</v>
      </c>
    </row>
    <row r="35" spans="1:10" x14ac:dyDescent="0.25">
      <c r="A35" t="s">
        <v>1</v>
      </c>
      <c r="B35" s="1" t="str">
        <f>HYPERLINK("http://kcisuomi.fi","kcisuomi.fi")</f>
        <v>kcisuomi.fi</v>
      </c>
      <c r="C35" t="s">
        <v>445</v>
      </c>
      <c r="D35" t="s">
        <v>823</v>
      </c>
      <c r="F35">
        <v>5.4675000481682003E-9</v>
      </c>
      <c r="G35">
        <v>21273002</v>
      </c>
      <c r="H35">
        <v>11879987</v>
      </c>
      <c r="I35">
        <v>29589676</v>
      </c>
      <c r="J35">
        <v>2</v>
      </c>
    </row>
    <row r="36" spans="1:10" x14ac:dyDescent="0.25">
      <c r="A36" t="s">
        <v>1</v>
      </c>
      <c r="B36" s="1" t="str">
        <f>HYPERLINK("http://meguiars.com.gr","meguiars.com.gr")</f>
        <v>meguiars.com.gr</v>
      </c>
      <c r="C36" t="s">
        <v>447</v>
      </c>
      <c r="D36" t="s">
        <v>825</v>
      </c>
      <c r="F36">
        <v>5.51518340697457E-9</v>
      </c>
      <c r="G36">
        <v>20737928</v>
      </c>
      <c r="H36">
        <v>8667449</v>
      </c>
      <c r="I36">
        <v>70213943</v>
      </c>
      <c r="J36">
        <v>5</v>
      </c>
    </row>
    <row r="37" spans="1:10" x14ac:dyDescent="0.25">
      <c r="A37" t="s">
        <v>1</v>
      </c>
      <c r="B37" s="1" t="str">
        <f>HYPERLINK("http://meguiars.gr","meguiars.gr")</f>
        <v>meguiars.gr</v>
      </c>
      <c r="C37" t="s">
        <v>447</v>
      </c>
      <c r="D37" t="s">
        <v>825</v>
      </c>
      <c r="F37">
        <v>7.7500551063297805E-9</v>
      </c>
      <c r="G37">
        <v>10466769</v>
      </c>
      <c r="H37">
        <v>10917131</v>
      </c>
      <c r="I37">
        <v>35471151</v>
      </c>
      <c r="J37">
        <v>4</v>
      </c>
    </row>
    <row r="38" spans="1:10" x14ac:dyDescent="0.25">
      <c r="A38" t="s">
        <v>1</v>
      </c>
      <c r="B38" s="1" t="str">
        <f>HYPERLINK("http://3m.com.gt","3m.com.gt")</f>
        <v>3m.com.gt</v>
      </c>
      <c r="C38" t="s">
        <v>448</v>
      </c>
      <c r="D38" t="s">
        <v>826</v>
      </c>
      <c r="F38">
        <v>1.8901268939057198E-8</v>
      </c>
      <c r="G38">
        <v>2853236</v>
      </c>
      <c r="H38">
        <v>12472984</v>
      </c>
      <c r="I38">
        <v>17666601</v>
      </c>
      <c r="J38">
        <v>2</v>
      </c>
    </row>
    <row r="39" spans="1:10" x14ac:dyDescent="0.25">
      <c r="A39" t="s">
        <v>1</v>
      </c>
      <c r="B39" s="1" t="str">
        <f>HYPERLINK("http://3m.com.hk","3m.com.hk")</f>
        <v>3m.com.hk</v>
      </c>
      <c r="C39" t="s">
        <v>450</v>
      </c>
      <c r="D39" t="s">
        <v>827</v>
      </c>
      <c r="F39">
        <v>7.5893676004749003E-8</v>
      </c>
      <c r="G39">
        <v>553535</v>
      </c>
      <c r="H39">
        <v>14482296</v>
      </c>
      <c r="I39">
        <v>1023591</v>
      </c>
      <c r="J39">
        <v>2</v>
      </c>
    </row>
    <row r="40" spans="1:10" x14ac:dyDescent="0.25">
      <c r="A40" t="s">
        <v>1</v>
      </c>
      <c r="B40" s="1" t="str">
        <f>HYPERLINK("http://3m.com.hn","3m.com.hn")</f>
        <v>3m.com.hn</v>
      </c>
      <c r="C40" t="s">
        <v>451</v>
      </c>
      <c r="D40" t="s">
        <v>828</v>
      </c>
      <c r="F40">
        <v>1.76066390998117E-8</v>
      </c>
      <c r="G40">
        <v>3117479</v>
      </c>
      <c r="H40">
        <v>12464559</v>
      </c>
      <c r="I40">
        <v>17822009</v>
      </c>
      <c r="J40">
        <v>2</v>
      </c>
    </row>
    <row r="41" spans="1:10" x14ac:dyDescent="0.25">
      <c r="A41" t="s">
        <v>1</v>
      </c>
      <c r="B41" s="1" t="str">
        <f>HYPERLINK("http://3m.com.hr","3m.com.hr")</f>
        <v>3m.com.hr</v>
      </c>
      <c r="C41" t="s">
        <v>452</v>
      </c>
      <c r="D41" t="s">
        <v>829</v>
      </c>
      <c r="F41">
        <v>2.6169211757981298E-8</v>
      </c>
      <c r="G41">
        <v>1968424</v>
      </c>
      <c r="H41">
        <v>12447410</v>
      </c>
      <c r="I41">
        <v>18059154</v>
      </c>
      <c r="J41">
        <v>2</v>
      </c>
    </row>
    <row r="42" spans="1:10" x14ac:dyDescent="0.25">
      <c r="A42" t="s">
        <v>1</v>
      </c>
      <c r="B42" s="1" t="str">
        <f>HYPERLINK("http://3m.co.id","3m.co.id")</f>
        <v>3m.co.id</v>
      </c>
      <c r="C42" t="s">
        <v>454</v>
      </c>
      <c r="D42" t="s">
        <v>831</v>
      </c>
      <c r="F42">
        <v>2.4442251010945001E-8</v>
      </c>
      <c r="G42">
        <v>2119937</v>
      </c>
      <c r="H42">
        <v>12480684</v>
      </c>
      <c r="I42">
        <v>17592201</v>
      </c>
      <c r="J42">
        <v>2</v>
      </c>
    </row>
    <row r="43" spans="1:10" x14ac:dyDescent="0.25">
      <c r="A43" t="s">
        <v>1</v>
      </c>
      <c r="B43" s="1" t="str">
        <f>HYPERLINK("http://3misrael.co.il","3misrael.co.il")</f>
        <v>3misrael.co.il</v>
      </c>
      <c r="C43" t="s">
        <v>456</v>
      </c>
      <c r="D43" t="s">
        <v>833</v>
      </c>
      <c r="F43">
        <v>2.8858170457097099E-8</v>
      </c>
      <c r="G43">
        <v>1783638</v>
      </c>
      <c r="H43">
        <v>14241744</v>
      </c>
      <c r="I43">
        <v>1489376</v>
      </c>
      <c r="J43">
        <v>3</v>
      </c>
    </row>
    <row r="44" spans="1:10" x14ac:dyDescent="0.25">
      <c r="A44" t="s">
        <v>1</v>
      </c>
      <c r="B44" s="1" t="str">
        <f>HYPERLINK("http://3mindia.in","3mindia.in")</f>
        <v>3mindia.in</v>
      </c>
      <c r="C44" t="s">
        <v>457</v>
      </c>
      <c r="D44" t="s">
        <v>834</v>
      </c>
      <c r="E44">
        <v>425989</v>
      </c>
      <c r="F44">
        <v>4.9511694398755697E-8</v>
      </c>
      <c r="G44">
        <v>934433</v>
      </c>
      <c r="H44">
        <v>13086943</v>
      </c>
      <c r="I44">
        <v>12156435</v>
      </c>
      <c r="J44">
        <v>3</v>
      </c>
    </row>
    <row r="45" spans="1:10" x14ac:dyDescent="0.25">
      <c r="A45" t="s">
        <v>1</v>
      </c>
      <c r="B45" s="1" t="str">
        <f>HYPERLINK("http://3mindia.co.in","3mindia.co.in")</f>
        <v>3mindia.co.in</v>
      </c>
      <c r="C45" t="s">
        <v>457</v>
      </c>
      <c r="D45" t="s">
        <v>834</v>
      </c>
      <c r="F45">
        <v>1.7748152010281501E-8</v>
      </c>
      <c r="G45">
        <v>3085952</v>
      </c>
      <c r="H45">
        <v>13785857</v>
      </c>
      <c r="I45">
        <v>6396993</v>
      </c>
      <c r="J45">
        <v>4</v>
      </c>
    </row>
    <row r="46" spans="1:10" x14ac:dyDescent="0.25">
      <c r="A46" t="s">
        <v>1</v>
      </c>
      <c r="B46" s="1" t="str">
        <f>HYPERLINK("http://3m.com.jm","3m.com.jm")</f>
        <v>3m.com.jm</v>
      </c>
      <c r="C46" t="s">
        <v>460</v>
      </c>
      <c r="D46" t="s">
        <v>836</v>
      </c>
      <c r="F46">
        <v>2.0514070306161501E-8</v>
      </c>
      <c r="G46">
        <v>2582688</v>
      </c>
      <c r="H46">
        <v>12472057</v>
      </c>
      <c r="I46">
        <v>17678772</v>
      </c>
      <c r="J46">
        <v>2</v>
      </c>
    </row>
    <row r="47" spans="1:10" x14ac:dyDescent="0.25">
      <c r="A47" t="s">
        <v>1</v>
      </c>
      <c r="B47" s="1" t="str">
        <f>HYPERLINK("http://mmm.co.jp","mmm.co.jp")</f>
        <v>mmm.co.jp</v>
      </c>
      <c r="C47" t="s">
        <v>461</v>
      </c>
      <c r="D47" t="s">
        <v>837</v>
      </c>
      <c r="E47">
        <v>383195</v>
      </c>
      <c r="F47">
        <v>2.09253638308255E-7</v>
      </c>
      <c r="G47">
        <v>180852</v>
      </c>
      <c r="H47">
        <v>16993100</v>
      </c>
      <c r="I47">
        <v>95162</v>
      </c>
      <c r="J47">
        <v>3</v>
      </c>
    </row>
    <row r="48" spans="1:10" x14ac:dyDescent="0.25">
      <c r="A48" t="s">
        <v>1</v>
      </c>
      <c r="B48" s="1" t="str">
        <f>HYPERLINK("http://3m.co.ke","3m.co.ke")</f>
        <v>3m.co.ke</v>
      </c>
      <c r="C48" t="s">
        <v>462</v>
      </c>
      <c r="D48" t="s">
        <v>838</v>
      </c>
      <c r="F48">
        <v>1.7210341242643E-8</v>
      </c>
      <c r="G48">
        <v>3222768</v>
      </c>
      <c r="H48">
        <v>12444971</v>
      </c>
      <c r="I48">
        <v>18085649</v>
      </c>
      <c r="J48">
        <v>2</v>
      </c>
    </row>
    <row r="49" spans="1:10" x14ac:dyDescent="0.25">
      <c r="A49" t="s">
        <v>1</v>
      </c>
      <c r="B49" s="1" t="str">
        <f>HYPERLINK("http://3m.co.kr","3m.co.kr")</f>
        <v>3m.co.kr</v>
      </c>
      <c r="C49" t="s">
        <v>463</v>
      </c>
      <c r="D49" t="s">
        <v>839</v>
      </c>
      <c r="F49">
        <v>4.2577176008121102E-8</v>
      </c>
      <c r="G49">
        <v>1136639</v>
      </c>
      <c r="H49">
        <v>13691241</v>
      </c>
      <c r="I49">
        <v>9528615</v>
      </c>
      <c r="J49">
        <v>2</v>
      </c>
    </row>
    <row r="50" spans="1:10" x14ac:dyDescent="0.25">
      <c r="A50" t="s">
        <v>1</v>
      </c>
      <c r="B50" s="1" t="str">
        <f>HYPERLINK("http://3m.com.kw","3m.com.kw")</f>
        <v>3m.com.kw</v>
      </c>
      <c r="C50" t="s">
        <v>464</v>
      </c>
      <c r="D50" t="s">
        <v>840</v>
      </c>
      <c r="F50">
        <v>1.7182123247658399E-8</v>
      </c>
      <c r="G50">
        <v>3230502</v>
      </c>
      <c r="H50">
        <v>12442867</v>
      </c>
      <c r="I50">
        <v>18112872</v>
      </c>
      <c r="J50">
        <v>2</v>
      </c>
    </row>
    <row r="51" spans="1:10" x14ac:dyDescent="0.25">
      <c r="A51" t="s">
        <v>1</v>
      </c>
      <c r="B51" s="1" t="str">
        <f>HYPERLINK("http://3m.com.lv","3m.com.lv")</f>
        <v>3m.com.lv</v>
      </c>
      <c r="C51" t="s">
        <v>468</v>
      </c>
      <c r="D51" t="s">
        <v>844</v>
      </c>
      <c r="F51">
        <v>2.7497460945072302E-8</v>
      </c>
      <c r="G51">
        <v>1869658</v>
      </c>
      <c r="H51">
        <v>12474978</v>
      </c>
      <c r="I51">
        <v>17646356</v>
      </c>
      <c r="J51">
        <v>2</v>
      </c>
    </row>
    <row r="52" spans="1:10" x14ac:dyDescent="0.25">
      <c r="A52" t="s">
        <v>1</v>
      </c>
      <c r="B52" s="1" t="str">
        <f>HYPERLINK("http://3m.com.mx","3m.com.mx")</f>
        <v>3m.com.mx</v>
      </c>
      <c r="C52" t="s">
        <v>471</v>
      </c>
      <c r="D52" t="s">
        <v>847</v>
      </c>
      <c r="F52">
        <v>4.6689873953828098E-8</v>
      </c>
      <c r="G52">
        <v>1000907</v>
      </c>
      <c r="H52">
        <v>14080661</v>
      </c>
      <c r="I52">
        <v>2817854</v>
      </c>
      <c r="J52">
        <v>2</v>
      </c>
    </row>
    <row r="53" spans="1:10" x14ac:dyDescent="0.25">
      <c r="A53" t="s">
        <v>1</v>
      </c>
      <c r="B53" s="1" t="str">
        <f>HYPERLINK("http://3m.com.my","3m.com.my")</f>
        <v>3m.com.my</v>
      </c>
      <c r="C53" t="s">
        <v>472</v>
      </c>
      <c r="D53" t="s">
        <v>848</v>
      </c>
      <c r="F53">
        <v>3.2112104283084999E-8</v>
      </c>
      <c r="G53">
        <v>1610289</v>
      </c>
      <c r="H53">
        <v>12562790</v>
      </c>
      <c r="I53">
        <v>16687304</v>
      </c>
      <c r="J53">
        <v>2</v>
      </c>
    </row>
    <row r="54" spans="1:10" x14ac:dyDescent="0.25">
      <c r="A54" t="s">
        <v>1</v>
      </c>
      <c r="B54" s="1" t="str">
        <f>HYPERLINK("http://meguiars.com.my","meguiars.com.my")</f>
        <v>meguiars.com.my</v>
      </c>
      <c r="C54" t="s">
        <v>472</v>
      </c>
      <c r="D54" t="s">
        <v>848</v>
      </c>
      <c r="F54">
        <v>6.8048698649018898E-9</v>
      </c>
      <c r="G54">
        <v>12943359</v>
      </c>
      <c r="H54">
        <v>13769088</v>
      </c>
      <c r="I54">
        <v>6812739</v>
      </c>
      <c r="J54">
        <v>4</v>
      </c>
    </row>
    <row r="55" spans="1:10" x14ac:dyDescent="0.25">
      <c r="A55" t="s">
        <v>1</v>
      </c>
      <c r="B55" s="1" t="str">
        <f>HYPERLINK("http://3m.net","3m.net")</f>
        <v>3m.net</v>
      </c>
      <c r="C55" t="s">
        <v>474</v>
      </c>
      <c r="F55">
        <v>4.02715025267261E-8</v>
      </c>
      <c r="G55">
        <v>1284876</v>
      </c>
      <c r="H55">
        <v>13422277</v>
      </c>
      <c r="I55">
        <v>10300905</v>
      </c>
      <c r="J55">
        <v>2</v>
      </c>
    </row>
    <row r="56" spans="1:10" x14ac:dyDescent="0.25">
      <c r="A56" t="s">
        <v>1</v>
      </c>
      <c r="B56" s="1" t="str">
        <f>HYPERLINK("http://systagenix.net","systagenix.net")</f>
        <v>systagenix.net</v>
      </c>
      <c r="C56" t="s">
        <v>474</v>
      </c>
      <c r="F56">
        <v>4.5698407756844496E-9</v>
      </c>
      <c r="G56">
        <v>50199193</v>
      </c>
      <c r="H56">
        <v>10749860</v>
      </c>
      <c r="I56">
        <v>40096502</v>
      </c>
      <c r="J56">
        <v>8</v>
      </c>
    </row>
    <row r="57" spans="1:10" x14ac:dyDescent="0.25">
      <c r="A57" t="s">
        <v>1</v>
      </c>
      <c r="B57" s="1" t="str">
        <f>HYPERLINK("http://3m.com.ni","3m.com.ni")</f>
        <v>3m.com.ni</v>
      </c>
      <c r="C57" t="s">
        <v>476</v>
      </c>
      <c r="D57" t="s">
        <v>851</v>
      </c>
      <c r="F57">
        <v>8.46911861705201E-9</v>
      </c>
      <c r="G57">
        <v>8904757</v>
      </c>
      <c r="H57">
        <v>12425749</v>
      </c>
      <c r="I57">
        <v>18365961</v>
      </c>
      <c r="J57">
        <v>2</v>
      </c>
    </row>
    <row r="58" spans="1:10" x14ac:dyDescent="0.25">
      <c r="A58" t="s">
        <v>1</v>
      </c>
      <c r="B58" s="1" t="str">
        <f>HYPERLINK("http://3m.nl","3m.nl")</f>
        <v>3m.nl</v>
      </c>
      <c r="C58" t="s">
        <v>477</v>
      </c>
      <c r="D58" t="s">
        <v>852</v>
      </c>
      <c r="F58">
        <v>9.4583822460162895E-9</v>
      </c>
      <c r="G58">
        <v>7372621</v>
      </c>
      <c r="H58">
        <v>14081082</v>
      </c>
      <c r="I58">
        <v>2813713</v>
      </c>
      <c r="J58">
        <v>2</v>
      </c>
    </row>
    <row r="59" spans="1:10" x14ac:dyDescent="0.25">
      <c r="A59" t="s">
        <v>1</v>
      </c>
      <c r="B59" s="1" t="str">
        <f>HYPERLINK("http://kci-medical.nl","kci-medical.nl")</f>
        <v>kci-medical.nl</v>
      </c>
      <c r="C59" t="s">
        <v>477</v>
      </c>
      <c r="D59" t="s">
        <v>852</v>
      </c>
      <c r="F59">
        <v>5.2130120206328902E-9</v>
      </c>
      <c r="G59">
        <v>24869004</v>
      </c>
      <c r="H59">
        <v>12038707</v>
      </c>
      <c r="I59">
        <v>27491057</v>
      </c>
      <c r="J59">
        <v>6</v>
      </c>
    </row>
    <row r="60" spans="1:10" x14ac:dyDescent="0.25">
      <c r="A60" t="s">
        <v>1</v>
      </c>
      <c r="B60" s="1" t="str">
        <f>HYPERLINK("http://kcinederland.nl","kcinederland.nl")</f>
        <v>kcinederland.nl</v>
      </c>
      <c r="C60" t="s">
        <v>477</v>
      </c>
      <c r="D60" t="s">
        <v>852</v>
      </c>
      <c r="F60">
        <v>5.88777700106976E-9</v>
      </c>
      <c r="G60">
        <v>17442916</v>
      </c>
      <c r="H60">
        <v>11989343</v>
      </c>
      <c r="I60">
        <v>28389484</v>
      </c>
      <c r="J60">
        <v>3</v>
      </c>
    </row>
    <row r="61" spans="1:10" x14ac:dyDescent="0.25">
      <c r="A61" t="s">
        <v>1</v>
      </c>
      <c r="B61" s="1" t="str">
        <f>HYPERLINK("http://meguiars.nl","meguiars.nl")</f>
        <v>meguiars.nl</v>
      </c>
      <c r="C61" t="s">
        <v>477</v>
      </c>
      <c r="D61" t="s">
        <v>852</v>
      </c>
      <c r="F61">
        <v>1.56809724416783E-8</v>
      </c>
      <c r="G61">
        <v>3632745</v>
      </c>
      <c r="H61">
        <v>13764274</v>
      </c>
      <c r="I61">
        <v>7311985</v>
      </c>
      <c r="J61">
        <v>4</v>
      </c>
    </row>
    <row r="62" spans="1:10" x14ac:dyDescent="0.25">
      <c r="A62" t="s">
        <v>1</v>
      </c>
      <c r="B62" s="1" t="str">
        <f>HYPERLINK("http://3m.no","3m.no")</f>
        <v>3m.no</v>
      </c>
      <c r="C62" t="s">
        <v>478</v>
      </c>
      <c r="D62" t="s">
        <v>853</v>
      </c>
      <c r="F62">
        <v>8.8939778000877106E-9</v>
      </c>
      <c r="G62">
        <v>8153443</v>
      </c>
      <c r="H62">
        <v>13764002</v>
      </c>
      <c r="I62">
        <v>7436231</v>
      </c>
      <c r="J62">
        <v>2</v>
      </c>
    </row>
    <row r="63" spans="1:10" x14ac:dyDescent="0.25">
      <c r="A63" t="s">
        <v>1</v>
      </c>
      <c r="B63" s="1" t="str">
        <f>HYPERLINK("http://3m.co.nz","3m.co.nz")</f>
        <v>3m.co.nz</v>
      </c>
      <c r="C63" t="s">
        <v>479</v>
      </c>
      <c r="D63" t="s">
        <v>854</v>
      </c>
      <c r="F63">
        <v>4.9512666695851303E-9</v>
      </c>
      <c r="G63">
        <v>30747202</v>
      </c>
      <c r="H63">
        <v>13933062</v>
      </c>
      <c r="I63">
        <v>5222229</v>
      </c>
      <c r="J63">
        <v>2</v>
      </c>
    </row>
    <row r="64" spans="1:10" x14ac:dyDescent="0.25">
      <c r="A64" t="s">
        <v>1</v>
      </c>
      <c r="B64" s="1" t="str">
        <f>HYPERLINK("http://3mnz.co.nz","3mnz.co.nz")</f>
        <v>3mnz.co.nz</v>
      </c>
      <c r="C64" t="s">
        <v>479</v>
      </c>
      <c r="D64" t="s">
        <v>854</v>
      </c>
      <c r="F64">
        <v>2.6820191307959901E-8</v>
      </c>
      <c r="G64">
        <v>1918109</v>
      </c>
      <c r="H64">
        <v>12643046</v>
      </c>
      <c r="I64">
        <v>15847589</v>
      </c>
      <c r="J64">
        <v>3</v>
      </c>
    </row>
    <row r="65" spans="1:10" x14ac:dyDescent="0.25">
      <c r="A65" t="s">
        <v>1</v>
      </c>
      <c r="B65" s="1" t="str">
        <f>HYPERLINK("http://3m.com.om","3m.com.om")</f>
        <v>3m.com.om</v>
      </c>
      <c r="C65" t="s">
        <v>480</v>
      </c>
      <c r="D65" t="s">
        <v>855</v>
      </c>
      <c r="F65">
        <v>8.1379484856918499E-9</v>
      </c>
      <c r="G65">
        <v>9676677</v>
      </c>
      <c r="H65">
        <v>12423646</v>
      </c>
      <c r="I65">
        <v>18392984</v>
      </c>
      <c r="J65">
        <v>2</v>
      </c>
    </row>
    <row r="66" spans="1:10" x14ac:dyDescent="0.25">
      <c r="A66" t="s">
        <v>1</v>
      </c>
      <c r="B66" s="1" t="str">
        <f>HYPERLINK("http://3m.com.pa","3m.com.pa")</f>
        <v>3m.com.pa</v>
      </c>
      <c r="C66" t="s">
        <v>482</v>
      </c>
      <c r="D66" t="s">
        <v>856</v>
      </c>
      <c r="F66">
        <v>2.69258493309286E-8</v>
      </c>
      <c r="G66">
        <v>1910291</v>
      </c>
      <c r="H66">
        <v>13741065</v>
      </c>
      <c r="I66">
        <v>9428816</v>
      </c>
      <c r="J66">
        <v>2</v>
      </c>
    </row>
    <row r="67" spans="1:10" x14ac:dyDescent="0.25">
      <c r="A67" t="s">
        <v>1</v>
      </c>
      <c r="B67" s="1" t="str">
        <f>HYPERLINK("http://3m.com.pe","3m.com.pe")</f>
        <v>3m.com.pe</v>
      </c>
      <c r="C67" t="s">
        <v>483</v>
      </c>
      <c r="D67" t="s">
        <v>857</v>
      </c>
      <c r="F67">
        <v>1.58906451850872E-8</v>
      </c>
      <c r="G67">
        <v>3575053</v>
      </c>
      <c r="H67">
        <v>12620747</v>
      </c>
      <c r="I67">
        <v>16085508</v>
      </c>
      <c r="J67">
        <v>2</v>
      </c>
    </row>
    <row r="68" spans="1:10" x14ac:dyDescent="0.25">
      <c r="A68" t="s">
        <v>1</v>
      </c>
      <c r="B68" s="1" t="str">
        <f>HYPERLINK("http://3m.com.pk","3m.com.pk")</f>
        <v>3m.com.pk</v>
      </c>
      <c r="C68" t="s">
        <v>485</v>
      </c>
      <c r="D68" t="s">
        <v>859</v>
      </c>
      <c r="F68">
        <v>2.34371737415224E-8</v>
      </c>
      <c r="G68">
        <v>2221540</v>
      </c>
      <c r="H68">
        <v>12558509</v>
      </c>
      <c r="I68">
        <v>16733864</v>
      </c>
      <c r="J68">
        <v>2</v>
      </c>
    </row>
    <row r="69" spans="1:10" x14ac:dyDescent="0.25">
      <c r="A69" t="s">
        <v>1</v>
      </c>
      <c r="B69" s="1" t="str">
        <f>HYPERLINK("http://3m.pl","3m.pl")</f>
        <v>3m.pl</v>
      </c>
      <c r="C69" t="s">
        <v>486</v>
      </c>
      <c r="D69" t="s">
        <v>860</v>
      </c>
      <c r="F69">
        <v>2.80352372546211E-8</v>
      </c>
      <c r="G69">
        <v>1835101</v>
      </c>
      <c r="H69">
        <v>13724731</v>
      </c>
      <c r="I69">
        <v>9465603</v>
      </c>
      <c r="J69">
        <v>2</v>
      </c>
    </row>
    <row r="70" spans="1:10" x14ac:dyDescent="0.25">
      <c r="A70" t="s">
        <v>1</v>
      </c>
      <c r="B70" s="1" t="str">
        <f>HYPERLINK("http://3m.com.pr","3m.com.pr")</f>
        <v>3m.com.pr</v>
      </c>
      <c r="C70" t="s">
        <v>487</v>
      </c>
      <c r="D70" t="s">
        <v>861</v>
      </c>
      <c r="F70">
        <v>1.6952305704275099E-8</v>
      </c>
      <c r="G70">
        <v>3294863</v>
      </c>
      <c r="H70">
        <v>12464488</v>
      </c>
      <c r="I70">
        <v>17822649</v>
      </c>
      <c r="J70">
        <v>2</v>
      </c>
    </row>
    <row r="71" spans="1:10" x14ac:dyDescent="0.25">
      <c r="A71" t="s">
        <v>1</v>
      </c>
      <c r="B71" s="1" t="str">
        <f>HYPERLINK("http://3m.com.pt","3m.com.pt")</f>
        <v>3m.com.pt</v>
      </c>
      <c r="C71" t="s">
        <v>488</v>
      </c>
      <c r="D71" t="s">
        <v>862</v>
      </c>
      <c r="F71">
        <v>4.9647861988499097E-8</v>
      </c>
      <c r="G71">
        <v>930177</v>
      </c>
      <c r="H71">
        <v>12788952</v>
      </c>
      <c r="I71">
        <v>14693548</v>
      </c>
      <c r="J71">
        <v>2</v>
      </c>
    </row>
    <row r="72" spans="1:10" x14ac:dyDescent="0.25">
      <c r="A72" t="s">
        <v>1</v>
      </c>
      <c r="B72" s="1" t="str">
        <f>HYPERLINK("http://3m.com.py","3m.com.py")</f>
        <v>3m.com.py</v>
      </c>
      <c r="C72" t="s">
        <v>489</v>
      </c>
      <c r="D72" t="s">
        <v>863</v>
      </c>
      <c r="F72">
        <v>9.0252627259098999E-9</v>
      </c>
      <c r="G72">
        <v>7954478</v>
      </c>
      <c r="H72">
        <v>12445394</v>
      </c>
      <c r="I72">
        <v>18081004</v>
      </c>
      <c r="J72">
        <v>2</v>
      </c>
    </row>
    <row r="73" spans="1:10" x14ac:dyDescent="0.25">
      <c r="A73" t="s">
        <v>1</v>
      </c>
      <c r="B73" s="1" t="str">
        <f>HYPERLINK("http://3m.com.qa","3m.com.qa")</f>
        <v>3m.com.qa</v>
      </c>
      <c r="C73" t="s">
        <v>490</v>
      </c>
      <c r="D73" t="s">
        <v>864</v>
      </c>
      <c r="F73">
        <v>1.7392355072769099E-8</v>
      </c>
      <c r="G73">
        <v>3176917</v>
      </c>
      <c r="H73">
        <v>12442902</v>
      </c>
      <c r="I73">
        <v>18112564</v>
      </c>
      <c r="J73">
        <v>2</v>
      </c>
    </row>
    <row r="74" spans="1:10" x14ac:dyDescent="0.25">
      <c r="A74" t="s">
        <v>1</v>
      </c>
      <c r="B74" s="1" t="str">
        <f>HYPERLINK("http://3m.ro","3m.ro")</f>
        <v>3m.ro</v>
      </c>
      <c r="C74" t="s">
        <v>491</v>
      </c>
      <c r="D74" t="s">
        <v>865</v>
      </c>
      <c r="F74">
        <v>1.5216576371133799E-8</v>
      </c>
      <c r="G74">
        <v>3770833</v>
      </c>
      <c r="H74">
        <v>12443017</v>
      </c>
      <c r="I74">
        <v>18111471</v>
      </c>
      <c r="J74">
        <v>2</v>
      </c>
    </row>
    <row r="75" spans="1:10" x14ac:dyDescent="0.25">
      <c r="A75" t="s">
        <v>1</v>
      </c>
      <c r="B75" s="1" t="str">
        <f>HYPERLINK("http://3m.com.ro","3m.com.ro")</f>
        <v>3m.com.ro</v>
      </c>
      <c r="C75" t="s">
        <v>491</v>
      </c>
      <c r="D75" t="s">
        <v>865</v>
      </c>
      <c r="F75">
        <v>2.7085073854893301E-8</v>
      </c>
      <c r="G75">
        <v>1898788</v>
      </c>
      <c r="H75">
        <v>12558055</v>
      </c>
      <c r="I75">
        <v>16737838</v>
      </c>
      <c r="J75">
        <v>2</v>
      </c>
    </row>
    <row r="76" spans="1:10" x14ac:dyDescent="0.25">
      <c r="A76" t="s">
        <v>1</v>
      </c>
      <c r="B76" s="1" t="str">
        <f>HYPERLINK("http://3m.co.rs","3m.co.rs")</f>
        <v>3m.co.rs</v>
      </c>
      <c r="C76" t="s">
        <v>492</v>
      </c>
      <c r="D76" t="s">
        <v>866</v>
      </c>
      <c r="F76">
        <v>2.14247900876716E-8</v>
      </c>
      <c r="G76">
        <v>2458548</v>
      </c>
      <c r="H76">
        <v>12445160</v>
      </c>
      <c r="I76">
        <v>18083768</v>
      </c>
      <c r="J76">
        <v>2</v>
      </c>
    </row>
    <row r="77" spans="1:10" x14ac:dyDescent="0.25">
      <c r="A77" t="s">
        <v>1</v>
      </c>
      <c r="B77" s="1" t="str">
        <f>HYPERLINK("http://3m.com.sa","3m.com.sa")</f>
        <v>3m.com.sa</v>
      </c>
      <c r="C77" t="s">
        <v>494</v>
      </c>
      <c r="D77" t="s">
        <v>868</v>
      </c>
      <c r="F77">
        <v>3.3038184789369201E-8</v>
      </c>
      <c r="G77">
        <v>1563717</v>
      </c>
      <c r="H77">
        <v>12475707</v>
      </c>
      <c r="I77">
        <v>17640188</v>
      </c>
      <c r="J77">
        <v>2</v>
      </c>
    </row>
    <row r="78" spans="1:10" x14ac:dyDescent="0.25">
      <c r="A78" t="s">
        <v>1</v>
      </c>
      <c r="B78" s="1" t="str">
        <f>HYPERLINK("http://3m.com.sg","3m.com.sg")</f>
        <v>3m.com.sg</v>
      </c>
      <c r="C78" t="s">
        <v>496</v>
      </c>
      <c r="D78" t="s">
        <v>870</v>
      </c>
      <c r="E78">
        <v>533287</v>
      </c>
      <c r="F78">
        <v>4.7958025647627498E-8</v>
      </c>
      <c r="G78">
        <v>969905</v>
      </c>
      <c r="H78">
        <v>13963377</v>
      </c>
      <c r="I78">
        <v>4098033</v>
      </c>
      <c r="J78">
        <v>2</v>
      </c>
    </row>
    <row r="79" spans="1:10" x14ac:dyDescent="0.25">
      <c r="A79" t="s">
        <v>1</v>
      </c>
      <c r="B79" s="1" t="str">
        <f>HYPERLINK("http://3m.com.sv","3m.com.sv")</f>
        <v>3m.com.sv</v>
      </c>
      <c r="C79" t="s">
        <v>499</v>
      </c>
      <c r="D79" t="s">
        <v>873</v>
      </c>
      <c r="F79">
        <v>1.88892877092906E-8</v>
      </c>
      <c r="G79">
        <v>2855354</v>
      </c>
      <c r="H79">
        <v>12466680</v>
      </c>
      <c r="I79">
        <v>17796070</v>
      </c>
      <c r="J79">
        <v>2</v>
      </c>
    </row>
    <row r="80" spans="1:10" x14ac:dyDescent="0.25">
      <c r="A80" t="s">
        <v>1</v>
      </c>
      <c r="B80" s="1" t="str">
        <f>HYPERLINK("http://3m.co.th","3m.co.th")</f>
        <v>3m.co.th</v>
      </c>
      <c r="C80" t="s">
        <v>500</v>
      </c>
      <c r="D80" t="s">
        <v>874</v>
      </c>
      <c r="F80">
        <v>2.55827632095282E-8</v>
      </c>
      <c r="G80">
        <v>2015673</v>
      </c>
      <c r="H80">
        <v>12885573</v>
      </c>
      <c r="I80">
        <v>13965561</v>
      </c>
      <c r="J80">
        <v>2</v>
      </c>
    </row>
    <row r="81" spans="1:10" x14ac:dyDescent="0.25">
      <c r="A81" t="s">
        <v>1</v>
      </c>
      <c r="B81" s="1" t="str">
        <f>HYPERLINK("http://3m.com.tn","3m.com.tn")</f>
        <v>3m.com.tn</v>
      </c>
      <c r="C81" t="s">
        <v>501</v>
      </c>
      <c r="D81" t="s">
        <v>875</v>
      </c>
      <c r="F81">
        <v>1.6811072268468701E-8</v>
      </c>
      <c r="G81">
        <v>3330687</v>
      </c>
      <c r="H81">
        <v>12444881</v>
      </c>
      <c r="I81">
        <v>18086461</v>
      </c>
      <c r="J81">
        <v>2</v>
      </c>
    </row>
    <row r="82" spans="1:10" x14ac:dyDescent="0.25">
      <c r="A82" t="s">
        <v>1</v>
      </c>
      <c r="B82" s="1" t="str">
        <f>HYPERLINK("http://3m.com.tr","3m.com.tr")</f>
        <v>3m.com.tr</v>
      </c>
      <c r="C82" t="s">
        <v>502</v>
      </c>
      <c r="D82" t="s">
        <v>876</v>
      </c>
      <c r="F82">
        <v>3.4064235785448502E-8</v>
      </c>
      <c r="G82">
        <v>1520533</v>
      </c>
      <c r="H82">
        <v>13779671</v>
      </c>
      <c r="I82">
        <v>6484092</v>
      </c>
      <c r="J82">
        <v>2</v>
      </c>
    </row>
    <row r="83" spans="1:10" x14ac:dyDescent="0.25">
      <c r="A83" t="s">
        <v>1</v>
      </c>
      <c r="B83" s="1" t="str">
        <f>HYPERLINK("http://3m.com.tt","3m.com.tt")</f>
        <v>3m.com.tt</v>
      </c>
      <c r="C83" t="s">
        <v>503</v>
      </c>
      <c r="D83" t="s">
        <v>877</v>
      </c>
      <c r="F83">
        <v>1.7535150341364501E-8</v>
      </c>
      <c r="G83">
        <v>3137910</v>
      </c>
      <c r="H83">
        <v>12464994</v>
      </c>
      <c r="I83">
        <v>17817675</v>
      </c>
      <c r="J83">
        <v>2</v>
      </c>
    </row>
    <row r="84" spans="1:10" x14ac:dyDescent="0.25">
      <c r="A84" t="s">
        <v>1</v>
      </c>
      <c r="B84" s="1" t="str">
        <f>HYPERLINK("http://3m.com.tw","3m.com.tw")</f>
        <v>3m.com.tw</v>
      </c>
      <c r="C84" t="s">
        <v>504</v>
      </c>
      <c r="D84" t="s">
        <v>878</v>
      </c>
      <c r="E84">
        <v>531214</v>
      </c>
      <c r="F84">
        <v>6.5676033953198097E-8</v>
      </c>
      <c r="G84">
        <v>654260</v>
      </c>
      <c r="H84">
        <v>14377725</v>
      </c>
      <c r="I84">
        <v>1208331</v>
      </c>
      <c r="J84">
        <v>2</v>
      </c>
    </row>
    <row r="85" spans="1:10" x14ac:dyDescent="0.25">
      <c r="A85" t="s">
        <v>1</v>
      </c>
      <c r="B85" s="1" t="str">
        <f>HYPERLINK("http://3m.com.ua","3m.com.ua")</f>
        <v>3m.com.ua</v>
      </c>
      <c r="C85" t="s">
        <v>505</v>
      </c>
      <c r="D85" t="s">
        <v>879</v>
      </c>
      <c r="F85">
        <v>2.5671472821562101E-8</v>
      </c>
      <c r="G85">
        <v>2008481</v>
      </c>
      <c r="H85">
        <v>12490633</v>
      </c>
      <c r="I85">
        <v>17483008</v>
      </c>
      <c r="J85">
        <v>2</v>
      </c>
    </row>
    <row r="86" spans="1:10" x14ac:dyDescent="0.25">
      <c r="A86" t="s">
        <v>1</v>
      </c>
      <c r="B86" s="1" t="str">
        <f>HYPERLINK("http://3m.co.uk","3m.co.uk")</f>
        <v>3m.co.uk</v>
      </c>
      <c r="C86" t="s">
        <v>506</v>
      </c>
      <c r="D86" t="s">
        <v>880</v>
      </c>
      <c r="E86">
        <v>128914</v>
      </c>
      <c r="F86">
        <v>2.8183624081825501E-7</v>
      </c>
      <c r="G86">
        <v>131938</v>
      </c>
      <c r="H86">
        <v>17082384</v>
      </c>
      <c r="I86">
        <v>67763</v>
      </c>
      <c r="J86">
        <v>2</v>
      </c>
    </row>
    <row r="87" spans="1:10" x14ac:dyDescent="0.25">
      <c r="A87" t="s">
        <v>1</v>
      </c>
      <c r="B87" s="1" t="str">
        <f>HYPERLINK("http://meguiars.co.uk","meguiars.co.uk")</f>
        <v>meguiars.co.uk</v>
      </c>
      <c r="C87" t="s">
        <v>506</v>
      </c>
      <c r="D87" t="s">
        <v>880</v>
      </c>
      <c r="E87">
        <v>657997</v>
      </c>
      <c r="F87">
        <v>1.5691516995045599E-8</v>
      </c>
      <c r="G87">
        <v>3629881</v>
      </c>
      <c r="H87">
        <v>14132466</v>
      </c>
      <c r="I87">
        <v>1999147</v>
      </c>
      <c r="J87">
        <v>4</v>
      </c>
    </row>
    <row r="88" spans="1:10" x14ac:dyDescent="0.25">
      <c r="A88" t="s">
        <v>1</v>
      </c>
      <c r="B88" s="1" t="str">
        <f>HYPERLINK("http://systagenix.co.uk","systagenix.co.uk")</f>
        <v>systagenix.co.uk</v>
      </c>
      <c r="C88" t="s">
        <v>506</v>
      </c>
      <c r="D88" t="s">
        <v>880</v>
      </c>
      <c r="F88">
        <v>5.6100822207906396E-9</v>
      </c>
      <c r="G88">
        <v>19761635</v>
      </c>
      <c r="H88">
        <v>9767741</v>
      </c>
      <c r="I88">
        <v>62839041</v>
      </c>
      <c r="J88">
        <v>3</v>
      </c>
    </row>
    <row r="89" spans="1:10" x14ac:dyDescent="0.25">
      <c r="A89" t="s">
        <v>1</v>
      </c>
      <c r="B89" s="1" t="str">
        <f>HYPERLINK("http://3m.com.uy","3m.com.uy")</f>
        <v>3m.com.uy</v>
      </c>
      <c r="C89" t="s">
        <v>507</v>
      </c>
      <c r="D89" t="s">
        <v>881</v>
      </c>
      <c r="F89">
        <v>1.5480435868759101E-8</v>
      </c>
      <c r="G89">
        <v>3690234</v>
      </c>
      <c r="H89">
        <v>12440437</v>
      </c>
      <c r="I89">
        <v>18139665</v>
      </c>
      <c r="J89">
        <v>2</v>
      </c>
    </row>
    <row r="90" spans="1:10" x14ac:dyDescent="0.25">
      <c r="A90" t="s">
        <v>1</v>
      </c>
      <c r="B90" s="1" t="str">
        <f>HYPERLINK("http://3m.com.ve","3m.com.ve")</f>
        <v>3m.com.ve</v>
      </c>
      <c r="C90" t="s">
        <v>508</v>
      </c>
      <c r="D90" t="s">
        <v>882</v>
      </c>
      <c r="F90">
        <v>9.2394944337676596E-9</v>
      </c>
      <c r="G90">
        <v>7657411</v>
      </c>
      <c r="H90">
        <v>12430058</v>
      </c>
      <c r="I90">
        <v>18301630</v>
      </c>
      <c r="J90">
        <v>2</v>
      </c>
    </row>
    <row r="91" spans="1:10" x14ac:dyDescent="0.25">
      <c r="A91" t="s">
        <v>1</v>
      </c>
      <c r="B91" s="1" t="str">
        <f>HYPERLINK("http://3m.com.vn","3m.com.vn")</f>
        <v>3m.com.vn</v>
      </c>
      <c r="C91" t="s">
        <v>509</v>
      </c>
      <c r="D91" t="s">
        <v>883</v>
      </c>
      <c r="F91">
        <v>4.1306016368709403E-8</v>
      </c>
      <c r="G91">
        <v>1218381</v>
      </c>
      <c r="H91">
        <v>12598463</v>
      </c>
      <c r="I91">
        <v>16341027</v>
      </c>
      <c r="J91">
        <v>2</v>
      </c>
    </row>
    <row r="92" spans="1:10" x14ac:dyDescent="0.25">
      <c r="A92" t="s">
        <v>1</v>
      </c>
      <c r="B92" s="1" t="str">
        <f>HYPERLINK("http://3m.co.za","3m.co.za")</f>
        <v>3m.co.za</v>
      </c>
      <c r="C92" t="s">
        <v>510</v>
      </c>
      <c r="D92" t="s">
        <v>884</v>
      </c>
      <c r="F92">
        <v>3.5490301411797497E-8</v>
      </c>
      <c r="G92">
        <v>1466603</v>
      </c>
      <c r="H92">
        <v>12523050</v>
      </c>
      <c r="I92">
        <v>17119536</v>
      </c>
      <c r="J92">
        <v>2</v>
      </c>
    </row>
    <row r="93" spans="1:10" x14ac:dyDescent="0.25">
      <c r="A93" t="s">
        <v>2</v>
      </c>
      <c r="B93" s="1" t="str">
        <f>HYPERLINK("http://aia.com.au","aia.com.au")</f>
        <v>aia.com.au</v>
      </c>
      <c r="C93" t="s">
        <v>420</v>
      </c>
      <c r="D93" t="s">
        <v>802</v>
      </c>
      <c r="E93">
        <v>535410</v>
      </c>
      <c r="F93">
        <v>5.2005722856685099E-8</v>
      </c>
      <c r="G93">
        <v>878093</v>
      </c>
      <c r="H93">
        <v>13951263</v>
      </c>
      <c r="I93">
        <v>4166481</v>
      </c>
      <c r="J93">
        <v>2</v>
      </c>
    </row>
    <row r="94" spans="1:10" x14ac:dyDescent="0.25">
      <c r="A94" t="s">
        <v>2</v>
      </c>
      <c r="B94" s="1" t="str">
        <f>HYPERLINK("http://aia.com.bn","aia.com.bn")</f>
        <v>aia.com.bn</v>
      </c>
      <c r="C94" t="s">
        <v>511</v>
      </c>
      <c r="D94" t="s">
        <v>885</v>
      </c>
      <c r="F94">
        <v>1.5989036120786101E-8</v>
      </c>
      <c r="G94">
        <v>3549066</v>
      </c>
      <c r="H94">
        <v>12635328</v>
      </c>
      <c r="I94">
        <v>15913203</v>
      </c>
      <c r="J94">
        <v>3</v>
      </c>
    </row>
    <row r="95" spans="1:10" x14ac:dyDescent="0.25">
      <c r="A95" t="s">
        <v>2</v>
      </c>
      <c r="B95" s="1" t="str">
        <f>HYPERLINK("http://aia.com.cn","aia.com.cn")</f>
        <v>aia.com.cn</v>
      </c>
      <c r="C95" t="s">
        <v>431</v>
      </c>
      <c r="D95" t="s">
        <v>812</v>
      </c>
      <c r="E95">
        <v>250250</v>
      </c>
      <c r="F95">
        <v>1.4507056611793801E-7</v>
      </c>
      <c r="G95">
        <v>268309</v>
      </c>
      <c r="H95">
        <v>14433232</v>
      </c>
      <c r="I95">
        <v>1071173</v>
      </c>
      <c r="J95">
        <v>2</v>
      </c>
    </row>
    <row r="96" spans="1:10" x14ac:dyDescent="0.25">
      <c r="A96" t="s">
        <v>2</v>
      </c>
      <c r="B96" s="1" t="str">
        <f>HYPERLINK("http://aia.com","aia.com")</f>
        <v>aia.com</v>
      </c>
      <c r="C96" t="s">
        <v>433</v>
      </c>
      <c r="E96">
        <v>183325</v>
      </c>
      <c r="F96">
        <v>2.8083174454333498E-7</v>
      </c>
      <c r="G96">
        <v>132419</v>
      </c>
      <c r="H96">
        <v>14619685</v>
      </c>
      <c r="I96">
        <v>659728</v>
      </c>
      <c r="J96">
        <v>1</v>
      </c>
    </row>
    <row r="97" spans="1:10" x14ac:dyDescent="0.25">
      <c r="A97" t="s">
        <v>2</v>
      </c>
      <c r="B97" s="1" t="str">
        <f>HYPERLINK("http://aia-prs.com","aia-prs.com")</f>
        <v>aia-prs.com</v>
      </c>
      <c r="C97" t="s">
        <v>433</v>
      </c>
      <c r="J97">
        <v>3</v>
      </c>
    </row>
    <row r="98" spans="1:10" x14ac:dyDescent="0.25">
      <c r="A98" t="s">
        <v>2</v>
      </c>
      <c r="B98" s="1" t="str">
        <f>HYPERLINK("http://philamlife.com","philamlife.com")</f>
        <v>philamlife.com</v>
      </c>
      <c r="C98" t="s">
        <v>433</v>
      </c>
      <c r="F98">
        <v>3.1673092307205997E-8</v>
      </c>
      <c r="G98">
        <v>1629771</v>
      </c>
      <c r="H98">
        <v>14631381</v>
      </c>
      <c r="I98">
        <v>644552</v>
      </c>
      <c r="J98">
        <v>4</v>
      </c>
    </row>
    <row r="99" spans="1:10" x14ac:dyDescent="0.25">
      <c r="A99" t="s">
        <v>2</v>
      </c>
      <c r="B99" s="1" t="str">
        <f>HYPERLINK("http://sumaiyatakaful.com","sumaiyatakaful.com")</f>
        <v>sumaiyatakaful.com</v>
      </c>
      <c r="C99" t="s">
        <v>433</v>
      </c>
      <c r="F99">
        <v>3.8779090066506401E-8</v>
      </c>
      <c r="G99">
        <v>1329552</v>
      </c>
      <c r="H99">
        <v>14073416</v>
      </c>
      <c r="I99">
        <v>2996144</v>
      </c>
      <c r="J99">
        <v>5</v>
      </c>
    </row>
    <row r="100" spans="1:10" x14ac:dyDescent="0.25">
      <c r="A100" t="s">
        <v>2</v>
      </c>
      <c r="B100" s="1" t="str">
        <f>HYPERLINK("http://aia.com.hk","aia.com.hk")</f>
        <v>aia.com.hk</v>
      </c>
      <c r="C100" t="s">
        <v>450</v>
      </c>
      <c r="D100" t="s">
        <v>827</v>
      </c>
      <c r="E100">
        <v>66616</v>
      </c>
      <c r="F100">
        <v>1.39441663278099E-7</v>
      </c>
      <c r="G100">
        <v>279378</v>
      </c>
      <c r="H100">
        <v>14510654</v>
      </c>
      <c r="I100">
        <v>823309</v>
      </c>
      <c r="J100">
        <v>2</v>
      </c>
    </row>
    <row r="101" spans="1:10" x14ac:dyDescent="0.25">
      <c r="A101" t="s">
        <v>2</v>
      </c>
      <c r="B101" s="1" t="str">
        <f>HYPERLINK("http://aia.id","aia.id")</f>
        <v>aia.id</v>
      </c>
      <c r="C101" t="s">
        <v>454</v>
      </c>
      <c r="D101" t="s">
        <v>831</v>
      </c>
      <c r="F101">
        <v>4.6493369937820402E-9</v>
      </c>
      <c r="G101">
        <v>44184951</v>
      </c>
      <c r="H101">
        <v>10741547</v>
      </c>
      <c r="I101">
        <v>40366210</v>
      </c>
      <c r="J101">
        <v>5</v>
      </c>
    </row>
    <row r="102" spans="1:10" x14ac:dyDescent="0.25">
      <c r="A102" t="s">
        <v>2</v>
      </c>
      <c r="B102" s="1" t="str">
        <f>HYPERLINK("http://aia-financial.co.id","aia-financial.co.id")</f>
        <v>aia-financial.co.id</v>
      </c>
      <c r="C102" t="s">
        <v>454</v>
      </c>
      <c r="D102" t="s">
        <v>831</v>
      </c>
      <c r="E102">
        <v>585184</v>
      </c>
      <c r="F102">
        <v>3.2815134604604901E-8</v>
      </c>
      <c r="G102">
        <v>1574414</v>
      </c>
      <c r="H102">
        <v>14074892</v>
      </c>
      <c r="I102">
        <v>2925851</v>
      </c>
      <c r="J102">
        <v>4</v>
      </c>
    </row>
    <row r="103" spans="1:10" x14ac:dyDescent="0.25">
      <c r="A103" t="s">
        <v>2</v>
      </c>
      <c r="B103" s="1" t="str">
        <f>HYPERLINK("http://aia.com.kh","aia.com.kh")</f>
        <v>aia.com.kh</v>
      </c>
      <c r="C103" t="s">
        <v>512</v>
      </c>
      <c r="D103" t="s">
        <v>886</v>
      </c>
      <c r="F103">
        <v>9.9000245450737007E-9</v>
      </c>
      <c r="G103">
        <v>6859479</v>
      </c>
      <c r="H103">
        <v>13124701</v>
      </c>
      <c r="I103">
        <v>11963929</v>
      </c>
      <c r="J103">
        <v>2</v>
      </c>
    </row>
    <row r="104" spans="1:10" x14ac:dyDescent="0.25">
      <c r="A104" t="s">
        <v>2</v>
      </c>
      <c r="B104" s="1" t="str">
        <f>HYPERLINK("http://aia.co.kr","aia.co.kr")</f>
        <v>aia.co.kr</v>
      </c>
      <c r="C104" t="s">
        <v>463</v>
      </c>
      <c r="D104" t="s">
        <v>839</v>
      </c>
      <c r="F104">
        <v>3.9395314799288E-8</v>
      </c>
      <c r="G104">
        <v>1310084</v>
      </c>
      <c r="H104">
        <v>14424246</v>
      </c>
      <c r="I104">
        <v>1081821</v>
      </c>
      <c r="J104">
        <v>2</v>
      </c>
    </row>
    <row r="105" spans="1:10" x14ac:dyDescent="0.25">
      <c r="A105" t="s">
        <v>2</v>
      </c>
      <c r="B105" s="1" t="str">
        <f>HYPERLINK("http://aia.com.mm","aia.com.mm")</f>
        <v>aia.com.mm</v>
      </c>
      <c r="C105" t="s">
        <v>513</v>
      </c>
      <c r="D105" t="s">
        <v>887</v>
      </c>
      <c r="F105">
        <v>1.35909880637269E-8</v>
      </c>
      <c r="G105">
        <v>4365519</v>
      </c>
      <c r="H105">
        <v>12736560</v>
      </c>
      <c r="I105">
        <v>15160166</v>
      </c>
      <c r="J105">
        <v>2</v>
      </c>
    </row>
    <row r="106" spans="1:10" x14ac:dyDescent="0.25">
      <c r="A106" t="s">
        <v>2</v>
      </c>
      <c r="B106" s="1" t="str">
        <f>HYPERLINK("http://aia.com.my","aia.com.my")</f>
        <v>aia.com.my</v>
      </c>
      <c r="C106" t="s">
        <v>472</v>
      </c>
      <c r="D106" t="s">
        <v>848</v>
      </c>
      <c r="E106">
        <v>155537</v>
      </c>
      <c r="F106">
        <v>1.3564484578164699E-7</v>
      </c>
      <c r="G106">
        <v>287627</v>
      </c>
      <c r="H106">
        <v>17077536</v>
      </c>
      <c r="I106">
        <v>68958</v>
      </c>
      <c r="J106">
        <v>2</v>
      </c>
    </row>
    <row r="107" spans="1:10" x14ac:dyDescent="0.25">
      <c r="A107" t="s">
        <v>2</v>
      </c>
      <c r="B107" s="1" t="str">
        <f>HYPERLINK("http://aia-prs.com.my","aia-prs.com.my")</f>
        <v>aia-prs.com.my</v>
      </c>
      <c r="C107" t="s">
        <v>472</v>
      </c>
      <c r="D107" t="s">
        <v>848</v>
      </c>
      <c r="F107">
        <v>5.1881014931159399E-9</v>
      </c>
      <c r="G107">
        <v>25369415</v>
      </c>
      <c r="H107">
        <v>12105411</v>
      </c>
      <c r="I107">
        <v>25838684</v>
      </c>
      <c r="J107">
        <v>4</v>
      </c>
    </row>
    <row r="108" spans="1:10" x14ac:dyDescent="0.25">
      <c r="A108" t="s">
        <v>2</v>
      </c>
      <c r="B108" s="1" t="str">
        <f>HYPERLINK("http://aia.net.my","aia.net.my")</f>
        <v>aia.net.my</v>
      </c>
      <c r="C108" t="s">
        <v>472</v>
      </c>
      <c r="D108" t="s">
        <v>848</v>
      </c>
      <c r="E108">
        <v>425219</v>
      </c>
      <c r="F108">
        <v>6.9074644864540301E-9</v>
      </c>
      <c r="G108">
        <v>12598123</v>
      </c>
      <c r="H108">
        <v>13764754</v>
      </c>
      <c r="I108">
        <v>7197662</v>
      </c>
      <c r="J108">
        <v>3</v>
      </c>
    </row>
    <row r="109" spans="1:10" x14ac:dyDescent="0.25">
      <c r="A109" t="s">
        <v>2</v>
      </c>
      <c r="B109" s="1" t="str">
        <f>HYPERLINK("http://aia-uat.net.my","aia-uat.net.my")</f>
        <v>aia-uat.net.my</v>
      </c>
      <c r="C109" t="s">
        <v>472</v>
      </c>
      <c r="D109" t="s">
        <v>848</v>
      </c>
      <c r="F109">
        <v>4.44381528729582E-9</v>
      </c>
      <c r="G109">
        <v>79417135</v>
      </c>
      <c r="H109">
        <v>10358497</v>
      </c>
      <c r="I109">
        <v>55403317</v>
      </c>
      <c r="J109">
        <v>3</v>
      </c>
    </row>
    <row r="110" spans="1:10" x14ac:dyDescent="0.25">
      <c r="A110" t="s">
        <v>2</v>
      </c>
      <c r="B110" s="1" t="str">
        <f>HYPERLINK("http://aia.co.nz","aia.co.nz")</f>
        <v>aia.co.nz</v>
      </c>
      <c r="C110" t="s">
        <v>479</v>
      </c>
      <c r="D110" t="s">
        <v>854</v>
      </c>
      <c r="F110">
        <v>2.2812873797941399E-8</v>
      </c>
      <c r="G110">
        <v>2292450</v>
      </c>
      <c r="H110">
        <v>13536441</v>
      </c>
      <c r="I110">
        <v>9912145</v>
      </c>
      <c r="J110">
        <v>2</v>
      </c>
    </row>
    <row r="111" spans="1:10" x14ac:dyDescent="0.25">
      <c r="A111" t="s">
        <v>2</v>
      </c>
      <c r="B111" s="1" t="str">
        <f>HYPERLINK("http://aia.com.ph","aia.com.ph")</f>
        <v>aia.com.ph</v>
      </c>
      <c r="C111" t="s">
        <v>484</v>
      </c>
      <c r="D111" t="s">
        <v>858</v>
      </c>
      <c r="E111">
        <v>662439</v>
      </c>
      <c r="F111">
        <v>5.5209587489158999E-8</v>
      </c>
      <c r="G111">
        <v>813832</v>
      </c>
      <c r="H111">
        <v>13884083</v>
      </c>
      <c r="I111">
        <v>5973096</v>
      </c>
      <c r="J111">
        <v>2</v>
      </c>
    </row>
    <row r="112" spans="1:10" x14ac:dyDescent="0.25">
      <c r="A112" t="s">
        <v>2</v>
      </c>
      <c r="B112" s="1" t="str">
        <f>HYPERLINK("http://aia.com.sg","aia.com.sg")</f>
        <v>aia.com.sg</v>
      </c>
      <c r="C112" t="s">
        <v>496</v>
      </c>
      <c r="D112" t="s">
        <v>870</v>
      </c>
      <c r="E112">
        <v>101215</v>
      </c>
      <c r="F112">
        <v>1.27424669138087E-7</v>
      </c>
      <c r="G112">
        <v>308316</v>
      </c>
      <c r="H112">
        <v>14865455</v>
      </c>
      <c r="I112">
        <v>481864</v>
      </c>
      <c r="J112">
        <v>2</v>
      </c>
    </row>
    <row r="113" spans="1:10" x14ac:dyDescent="0.25">
      <c r="A113" t="s">
        <v>2</v>
      </c>
      <c r="B113" s="1" t="str">
        <f>HYPERLINK("http://aia.co.th","aia.co.th")</f>
        <v>aia.co.th</v>
      </c>
      <c r="C113" t="s">
        <v>500</v>
      </c>
      <c r="D113" t="s">
        <v>874</v>
      </c>
      <c r="E113">
        <v>151698</v>
      </c>
      <c r="F113">
        <v>1.4712434258923599E-7</v>
      </c>
      <c r="G113">
        <v>264630</v>
      </c>
      <c r="H113">
        <v>17000858</v>
      </c>
      <c r="I113">
        <v>93583</v>
      </c>
      <c r="J113">
        <v>2</v>
      </c>
    </row>
    <row r="114" spans="1:10" x14ac:dyDescent="0.25">
      <c r="A114" t="s">
        <v>2</v>
      </c>
      <c r="B114" s="1" t="str">
        <f>HYPERLINK("http://aia.com.tw","aia.com.tw")</f>
        <v>aia.com.tw</v>
      </c>
      <c r="C114" t="s">
        <v>504</v>
      </c>
      <c r="D114" t="s">
        <v>878</v>
      </c>
      <c r="F114">
        <v>1.32876314583648E-8</v>
      </c>
      <c r="G114">
        <v>4498865</v>
      </c>
      <c r="H114">
        <v>14145650</v>
      </c>
      <c r="I114">
        <v>1899166</v>
      </c>
      <c r="J114">
        <v>2</v>
      </c>
    </row>
    <row r="115" spans="1:10" x14ac:dyDescent="0.25">
      <c r="A115" t="s">
        <v>2</v>
      </c>
      <c r="B115" s="1" t="str">
        <f>HYPERLINK("http://aia.com.vn","aia.com.vn")</f>
        <v>aia.com.vn</v>
      </c>
      <c r="C115" t="s">
        <v>509</v>
      </c>
      <c r="D115" t="s">
        <v>883</v>
      </c>
      <c r="E115">
        <v>29947</v>
      </c>
      <c r="F115">
        <v>8.7831745740476894E-8</v>
      </c>
      <c r="G115">
        <v>466784</v>
      </c>
      <c r="H115">
        <v>14427708</v>
      </c>
      <c r="I115">
        <v>1077491</v>
      </c>
      <c r="J115">
        <v>2</v>
      </c>
    </row>
    <row r="116" spans="1:10" x14ac:dyDescent="0.25">
      <c r="A116" t="s">
        <v>3</v>
      </c>
      <c r="B116" s="1" t="str">
        <f>HYPERLINK("http://arcteryx.com.au","arcteryx.com.au")</f>
        <v>arcteryx.com.au</v>
      </c>
      <c r="C116" t="s">
        <v>420</v>
      </c>
      <c r="D116" t="s">
        <v>802</v>
      </c>
      <c r="E116">
        <v>608832</v>
      </c>
      <c r="F116">
        <v>2.44253121188994E-8</v>
      </c>
      <c r="G116">
        <v>2121518</v>
      </c>
      <c r="H116">
        <v>12913843</v>
      </c>
      <c r="I116">
        <v>13527145</v>
      </c>
      <c r="J116">
        <v>5</v>
      </c>
    </row>
    <row r="117" spans="1:10" x14ac:dyDescent="0.25">
      <c r="A117" t="s">
        <v>3</v>
      </c>
      <c r="B117" s="1" t="str">
        <f>HYPERLINK("http://anta.cn","anta.cn")</f>
        <v>anta.cn</v>
      </c>
      <c r="C117" t="s">
        <v>431</v>
      </c>
      <c r="D117" t="s">
        <v>812</v>
      </c>
      <c r="F117">
        <v>4.8913293511340403E-8</v>
      </c>
      <c r="G117">
        <v>947211</v>
      </c>
      <c r="H117">
        <v>12982370</v>
      </c>
      <c r="I117">
        <v>12940261</v>
      </c>
      <c r="J117">
        <v>2</v>
      </c>
    </row>
    <row r="118" spans="1:10" x14ac:dyDescent="0.25">
      <c r="A118" t="s">
        <v>3</v>
      </c>
      <c r="B118" s="1" t="str">
        <f>HYPERLINK("http://anta.com.cn","anta.com.cn")</f>
        <v>anta.com.cn</v>
      </c>
      <c r="C118" t="s">
        <v>431</v>
      </c>
      <c r="D118" t="s">
        <v>812</v>
      </c>
      <c r="F118">
        <v>2.88264548951723E-8</v>
      </c>
      <c r="G118">
        <v>1785517</v>
      </c>
      <c r="H118">
        <v>13165764</v>
      </c>
      <c r="I118">
        <v>11741041</v>
      </c>
      <c r="J118">
        <v>4</v>
      </c>
    </row>
    <row r="119" spans="1:10" x14ac:dyDescent="0.25">
      <c r="A119" t="s">
        <v>3</v>
      </c>
      <c r="B119" s="1" t="str">
        <f>HYPERLINK("http://suunto.cn","suunto.cn")</f>
        <v>suunto.cn</v>
      </c>
      <c r="C119" t="s">
        <v>431</v>
      </c>
      <c r="D119" t="s">
        <v>812</v>
      </c>
      <c r="F119">
        <v>1.8377432432688201E-8</v>
      </c>
      <c r="G119">
        <v>2952402</v>
      </c>
      <c r="H119">
        <v>12568136</v>
      </c>
      <c r="I119">
        <v>16642241</v>
      </c>
      <c r="J119">
        <v>6</v>
      </c>
    </row>
    <row r="120" spans="1:10" x14ac:dyDescent="0.25">
      <c r="A120" t="s">
        <v>3</v>
      </c>
      <c r="B120" s="1" t="str">
        <f>HYPERLINK("http://amersports.com","amersports.com")</f>
        <v>amersports.com</v>
      </c>
      <c r="C120" t="s">
        <v>433</v>
      </c>
      <c r="E120">
        <v>151630</v>
      </c>
      <c r="F120">
        <v>2.6455650174222998E-7</v>
      </c>
      <c r="G120">
        <v>141000</v>
      </c>
      <c r="H120">
        <v>15207486</v>
      </c>
      <c r="I120">
        <v>394906</v>
      </c>
      <c r="J120">
        <v>4</v>
      </c>
    </row>
    <row r="121" spans="1:10" x14ac:dyDescent="0.25">
      <c r="A121" t="s">
        <v>3</v>
      </c>
      <c r="B121" s="1" t="str">
        <f>HYPERLINK("http://anta.com","anta.com")</f>
        <v>anta.com</v>
      </c>
      <c r="C121" t="s">
        <v>433</v>
      </c>
      <c r="E121">
        <v>193866</v>
      </c>
      <c r="F121">
        <v>1.38744381890703E-7</v>
      </c>
      <c r="G121">
        <v>280807</v>
      </c>
      <c r="H121">
        <v>14665773</v>
      </c>
      <c r="I121">
        <v>617244</v>
      </c>
      <c r="J121">
        <v>1</v>
      </c>
    </row>
    <row r="122" spans="1:10" x14ac:dyDescent="0.25">
      <c r="A122" t="s">
        <v>3</v>
      </c>
      <c r="B122" s="1" t="str">
        <f>HYPERLINK("http://arcteryx.com","arcteryx.com")</f>
        <v>arcteryx.com</v>
      </c>
      <c r="C122" t="s">
        <v>433</v>
      </c>
      <c r="E122">
        <v>15517</v>
      </c>
      <c r="F122">
        <v>4.8806406111316699E-6</v>
      </c>
      <c r="G122">
        <v>7159</v>
      </c>
      <c r="H122">
        <v>18563316</v>
      </c>
      <c r="I122">
        <v>1373</v>
      </c>
      <c r="J122">
        <v>4</v>
      </c>
    </row>
    <row r="123" spans="1:10" x14ac:dyDescent="0.25">
      <c r="A123" t="s">
        <v>3</v>
      </c>
      <c r="B123" s="1" t="str">
        <f>HYPERLINK("http://armadaskis.com","armadaskis.com")</f>
        <v>armadaskis.com</v>
      </c>
      <c r="C123" t="s">
        <v>433</v>
      </c>
      <c r="E123">
        <v>462128</v>
      </c>
      <c r="F123">
        <v>6.9059560215247698E-8</v>
      </c>
      <c r="G123">
        <v>615365</v>
      </c>
      <c r="H123">
        <v>14260779</v>
      </c>
      <c r="I123">
        <v>1418630</v>
      </c>
      <c r="J123">
        <v>5</v>
      </c>
    </row>
    <row r="124" spans="1:10" x14ac:dyDescent="0.25">
      <c r="A124" t="s">
        <v>3</v>
      </c>
      <c r="B124" s="1" t="str">
        <f>HYPERLINK("http://atomic.com","atomic.com")</f>
        <v>atomic.com</v>
      </c>
      <c r="C124" t="s">
        <v>433</v>
      </c>
      <c r="E124">
        <v>108132</v>
      </c>
      <c r="F124">
        <v>4.5242689823945003E-7</v>
      </c>
      <c r="G124">
        <v>83551</v>
      </c>
      <c r="H124">
        <v>15261389</v>
      </c>
      <c r="I124">
        <v>389259</v>
      </c>
      <c r="J124">
        <v>5</v>
      </c>
    </row>
    <row r="125" spans="1:10" x14ac:dyDescent="0.25">
      <c r="A125" t="s">
        <v>3</v>
      </c>
      <c r="B125" s="1" t="str">
        <f>HYPERLINK("http://atomicsnow.com","atomicsnow.com")</f>
        <v>atomicsnow.com</v>
      </c>
      <c r="C125" t="s">
        <v>433</v>
      </c>
      <c r="F125">
        <v>5.1805276141724701E-8</v>
      </c>
      <c r="G125">
        <v>882106</v>
      </c>
      <c r="H125">
        <v>14502371</v>
      </c>
      <c r="I125">
        <v>846380</v>
      </c>
      <c r="J125">
        <v>8</v>
      </c>
    </row>
    <row r="126" spans="1:10" x14ac:dyDescent="0.25">
      <c r="A126" t="s">
        <v>3</v>
      </c>
      <c r="B126" s="1" t="str">
        <f>HYPERLINK("http://demarini.com","demarini.com")</f>
        <v>demarini.com</v>
      </c>
      <c r="C126" t="s">
        <v>433</v>
      </c>
      <c r="E126">
        <v>325222</v>
      </c>
      <c r="F126">
        <v>7.8872643948854496E-8</v>
      </c>
      <c r="G126">
        <v>529957</v>
      </c>
      <c r="H126">
        <v>14212387</v>
      </c>
      <c r="I126">
        <v>1699508</v>
      </c>
      <c r="J126">
        <v>5</v>
      </c>
    </row>
    <row r="127" spans="1:10" x14ac:dyDescent="0.25">
      <c r="A127" t="s">
        <v>3</v>
      </c>
      <c r="B127" s="1" t="str">
        <f>HYPERLINK("http://evoshield.com","evoshield.com")</f>
        <v>evoshield.com</v>
      </c>
      <c r="C127" t="s">
        <v>433</v>
      </c>
      <c r="E127">
        <v>361510</v>
      </c>
      <c r="F127">
        <v>7.0689662618961198E-8</v>
      </c>
      <c r="G127">
        <v>598700</v>
      </c>
      <c r="H127">
        <v>13578462</v>
      </c>
      <c r="I127">
        <v>9694136</v>
      </c>
      <c r="J127">
        <v>6</v>
      </c>
    </row>
    <row r="128" spans="1:10" x14ac:dyDescent="0.25">
      <c r="A128" t="s">
        <v>3</v>
      </c>
      <c r="B128" s="1" t="str">
        <f>HYPERLINK("http://narrowjeans.com","narrowjeans.com")</f>
        <v>narrowjeans.com</v>
      </c>
      <c r="C128" t="s">
        <v>433</v>
      </c>
      <c r="F128">
        <v>4.9120976055489402E-9</v>
      </c>
      <c r="G128">
        <v>32117895</v>
      </c>
      <c r="H128">
        <v>12255439</v>
      </c>
      <c r="I128">
        <v>21881689</v>
      </c>
      <c r="J128">
        <v>5</v>
      </c>
    </row>
    <row r="129" spans="1:10" x14ac:dyDescent="0.25">
      <c r="A129" t="s">
        <v>3</v>
      </c>
      <c r="B129" s="1" t="str">
        <f>HYPERLINK("http://peakperformance.com","peakperformance.com")</f>
        <v>peakperformance.com</v>
      </c>
      <c r="C129" t="s">
        <v>433</v>
      </c>
      <c r="E129">
        <v>99760</v>
      </c>
      <c r="F129">
        <v>1.2637039412198901E-7</v>
      </c>
      <c r="G129">
        <v>312082</v>
      </c>
      <c r="H129">
        <v>14941628</v>
      </c>
      <c r="I129">
        <v>443413</v>
      </c>
      <c r="J129">
        <v>5</v>
      </c>
    </row>
    <row r="130" spans="1:10" x14ac:dyDescent="0.25">
      <c r="A130" t="s">
        <v>3</v>
      </c>
      <c r="B130" s="1" t="str">
        <f>HYPERLINK("http://salomon.com","salomon.com")</f>
        <v>salomon.com</v>
      </c>
      <c r="C130" t="s">
        <v>433</v>
      </c>
      <c r="E130">
        <v>21924</v>
      </c>
      <c r="F130">
        <v>1.23573818844516E-6</v>
      </c>
      <c r="G130">
        <v>31491</v>
      </c>
      <c r="H130">
        <v>17570442</v>
      </c>
      <c r="I130">
        <v>10612</v>
      </c>
      <c r="J130">
        <v>7</v>
      </c>
    </row>
    <row r="131" spans="1:10" x14ac:dyDescent="0.25">
      <c r="A131" t="s">
        <v>3</v>
      </c>
      <c r="B131" s="1" t="str">
        <f>HYPERLINK("http://salomonsports.com","salomonsports.com")</f>
        <v>salomonsports.com</v>
      </c>
      <c r="C131" t="s">
        <v>433</v>
      </c>
      <c r="E131">
        <v>730513</v>
      </c>
      <c r="F131">
        <v>4.83516080377031E-8</v>
      </c>
      <c r="G131">
        <v>960465</v>
      </c>
      <c r="H131">
        <v>14512126</v>
      </c>
      <c r="I131">
        <v>819868</v>
      </c>
      <c r="J131">
        <v>5</v>
      </c>
    </row>
    <row r="132" spans="1:10" x14ac:dyDescent="0.25">
      <c r="A132" t="s">
        <v>3</v>
      </c>
      <c r="B132" s="1" t="str">
        <f>HYPERLINK("http://suunto.com","suunto.com")</f>
        <v>suunto.com</v>
      </c>
      <c r="C132" t="s">
        <v>433</v>
      </c>
      <c r="E132">
        <v>22969</v>
      </c>
      <c r="F132">
        <v>1.4732755648304199E-6</v>
      </c>
      <c r="G132">
        <v>26619</v>
      </c>
      <c r="H132">
        <v>17519566</v>
      </c>
      <c r="I132">
        <v>12758</v>
      </c>
      <c r="J132">
        <v>5</v>
      </c>
    </row>
    <row r="133" spans="1:10" x14ac:dyDescent="0.25">
      <c r="A133" t="s">
        <v>3</v>
      </c>
      <c r="B133" s="1" t="str">
        <f>HYPERLINK("http://volantski.com","volantski.com")</f>
        <v>volantski.com</v>
      </c>
      <c r="C133" t="s">
        <v>433</v>
      </c>
      <c r="F133">
        <v>1.32451269861979E-8</v>
      </c>
      <c r="G133">
        <v>4517938</v>
      </c>
      <c r="H133">
        <v>12674569</v>
      </c>
      <c r="I133">
        <v>15561977</v>
      </c>
      <c r="J133">
        <v>7</v>
      </c>
    </row>
    <row r="134" spans="1:10" x14ac:dyDescent="0.25">
      <c r="A134" t="s">
        <v>3</v>
      </c>
      <c r="B134" s="1" t="str">
        <f>HYPERLINK("http://wilson.com","wilson.com")</f>
        <v>wilson.com</v>
      </c>
      <c r="C134" t="s">
        <v>433</v>
      </c>
      <c r="E134">
        <v>32425</v>
      </c>
      <c r="F134">
        <v>1.07515993383736E-6</v>
      </c>
      <c r="G134">
        <v>35792</v>
      </c>
      <c r="H134">
        <v>15620710</v>
      </c>
      <c r="I134">
        <v>371490</v>
      </c>
      <c r="J134">
        <v>5</v>
      </c>
    </row>
    <row r="135" spans="1:10" x14ac:dyDescent="0.25">
      <c r="A135" t="s">
        <v>3</v>
      </c>
      <c r="B135" s="1" t="str">
        <f>HYPERLINK("http://arcteryx.de","arcteryx.de")</f>
        <v>arcteryx.de</v>
      </c>
      <c r="C135" t="s">
        <v>436</v>
      </c>
      <c r="D135" t="s">
        <v>815</v>
      </c>
      <c r="F135">
        <v>1.52473053061207E-8</v>
      </c>
      <c r="G135">
        <v>3761634</v>
      </c>
      <c r="H135">
        <v>12784204</v>
      </c>
      <c r="I135">
        <v>14721402</v>
      </c>
      <c r="J135">
        <v>5</v>
      </c>
    </row>
    <row r="136" spans="1:10" x14ac:dyDescent="0.25">
      <c r="A136" t="s">
        <v>3</v>
      </c>
      <c r="B136" s="1" t="str">
        <f>HYPERLINK("http://suunto.eu","suunto.eu")</f>
        <v>suunto.eu</v>
      </c>
      <c r="C136" t="s">
        <v>444</v>
      </c>
      <c r="F136">
        <v>7.9127353386900293E-9</v>
      </c>
      <c r="G136">
        <v>10086843</v>
      </c>
      <c r="H136">
        <v>12258227</v>
      </c>
      <c r="I136">
        <v>21811611</v>
      </c>
      <c r="J136">
        <v>6</v>
      </c>
    </row>
    <row r="137" spans="1:10" x14ac:dyDescent="0.25">
      <c r="A137" t="s">
        <v>3</v>
      </c>
      <c r="B137" s="1" t="str">
        <f>HYPERLINK("http://amer.fi","amer.fi")</f>
        <v>amer.fi</v>
      </c>
      <c r="C137" t="s">
        <v>445</v>
      </c>
      <c r="D137" t="s">
        <v>823</v>
      </c>
      <c r="F137">
        <v>5.1631743904143902E-9</v>
      </c>
      <c r="G137">
        <v>25843785</v>
      </c>
      <c r="H137">
        <v>14071793</v>
      </c>
      <c r="I137">
        <v>3367370</v>
      </c>
      <c r="J137">
        <v>6</v>
      </c>
    </row>
    <row r="138" spans="1:10" x14ac:dyDescent="0.25">
      <c r="A138" t="s">
        <v>3</v>
      </c>
      <c r="B138" s="1" t="str">
        <f>HYPERLINK("http://amersport.fi","amersport.fi")</f>
        <v>amersport.fi</v>
      </c>
      <c r="C138" t="s">
        <v>445</v>
      </c>
      <c r="D138" t="s">
        <v>823</v>
      </c>
      <c r="J138">
        <v>6</v>
      </c>
    </row>
    <row r="139" spans="1:10" x14ac:dyDescent="0.25">
      <c r="A139" t="s">
        <v>3</v>
      </c>
      <c r="B139" s="1" t="str">
        <f>HYPERLINK("http://amersports.fi","amersports.fi")</f>
        <v>amersports.fi</v>
      </c>
      <c r="C139" t="s">
        <v>445</v>
      </c>
      <c r="D139" t="s">
        <v>823</v>
      </c>
      <c r="F139">
        <v>6.7620825768696299E-9</v>
      </c>
      <c r="G139">
        <v>13088270</v>
      </c>
      <c r="H139">
        <v>11090253</v>
      </c>
      <c r="I139">
        <v>32379459</v>
      </c>
      <c r="J139">
        <v>6</v>
      </c>
    </row>
    <row r="140" spans="1:10" x14ac:dyDescent="0.25">
      <c r="A140" t="s">
        <v>3</v>
      </c>
      <c r="B140" s="1" t="str">
        <f>HYPERLINK("http://atomic.fi","atomic.fi")</f>
        <v>atomic.fi</v>
      </c>
      <c r="C140" t="s">
        <v>445</v>
      </c>
      <c r="D140" t="s">
        <v>823</v>
      </c>
      <c r="J140">
        <v>6</v>
      </c>
    </row>
    <row r="141" spans="1:10" x14ac:dyDescent="0.25">
      <c r="A141" t="s">
        <v>3</v>
      </c>
      <c r="B141" s="1" t="str">
        <f>HYPERLINK("http://atomicskiing.fi","atomicskiing.fi")</f>
        <v>atomicskiing.fi</v>
      </c>
      <c r="C141" t="s">
        <v>445</v>
      </c>
      <c r="D141" t="s">
        <v>823</v>
      </c>
      <c r="J141">
        <v>6</v>
      </c>
    </row>
    <row r="142" spans="1:10" x14ac:dyDescent="0.25">
      <c r="A142" t="s">
        <v>3</v>
      </c>
      <c r="B142" s="1" t="str">
        <f>HYPERLINK("http://movescount.fi","movescount.fi")</f>
        <v>movescount.fi</v>
      </c>
      <c r="C142" t="s">
        <v>445</v>
      </c>
      <c r="D142" t="s">
        <v>823</v>
      </c>
      <c r="J142">
        <v>9</v>
      </c>
    </row>
    <row r="143" spans="1:10" x14ac:dyDescent="0.25">
      <c r="A143" t="s">
        <v>3</v>
      </c>
      <c r="B143" s="1" t="str">
        <f>HYPERLINK("http://mysuunto.fi","mysuunto.fi")</f>
        <v>mysuunto.fi</v>
      </c>
      <c r="C143" t="s">
        <v>445</v>
      </c>
      <c r="D143" t="s">
        <v>823</v>
      </c>
      <c r="J143">
        <v>9</v>
      </c>
    </row>
    <row r="144" spans="1:10" x14ac:dyDescent="0.25">
      <c r="A144" t="s">
        <v>3</v>
      </c>
      <c r="B144" s="1" t="str">
        <f>HYPERLINK("http://peakperformance.fi","peakperformance.fi")</f>
        <v>peakperformance.fi</v>
      </c>
      <c r="C144" t="s">
        <v>445</v>
      </c>
      <c r="D144" t="s">
        <v>823</v>
      </c>
      <c r="F144">
        <v>4.5265517328319301E-9</v>
      </c>
      <c r="G144">
        <v>55430996</v>
      </c>
      <c r="H144">
        <v>8294599.5</v>
      </c>
      <c r="I144">
        <v>74621830</v>
      </c>
      <c r="J144">
        <v>7</v>
      </c>
    </row>
    <row r="145" spans="1:10" x14ac:dyDescent="0.25">
      <c r="A145" t="s">
        <v>3</v>
      </c>
      <c r="B145" s="1" t="str">
        <f>HYPERLINK("http://precor.fi","precor.fi")</f>
        <v>precor.fi</v>
      </c>
      <c r="C145" t="s">
        <v>445</v>
      </c>
      <c r="D145" t="s">
        <v>823</v>
      </c>
      <c r="J145">
        <v>6</v>
      </c>
    </row>
    <row r="146" spans="1:10" x14ac:dyDescent="0.25">
      <c r="A146" t="s">
        <v>3</v>
      </c>
      <c r="B146" s="1" t="str">
        <f>HYPERLINK("http://suunto.fi","suunto.fi")</f>
        <v>suunto.fi</v>
      </c>
      <c r="C146" t="s">
        <v>445</v>
      </c>
      <c r="D146" t="s">
        <v>823</v>
      </c>
      <c r="F146">
        <v>1.28563037415395E-8</v>
      </c>
      <c r="G146">
        <v>4701197</v>
      </c>
      <c r="H146">
        <v>13770422</v>
      </c>
      <c r="I146">
        <v>6730451</v>
      </c>
      <c r="J146">
        <v>9</v>
      </c>
    </row>
    <row r="147" spans="1:10" x14ac:dyDescent="0.25">
      <c r="A147" t="s">
        <v>3</v>
      </c>
      <c r="B147" s="1" t="str">
        <f>HYPERLINK("http://wilson.fi","wilson.fi")</f>
        <v>wilson.fi</v>
      </c>
      <c r="C147" t="s">
        <v>445</v>
      </c>
      <c r="D147" t="s">
        <v>823</v>
      </c>
      <c r="J147">
        <v>6</v>
      </c>
    </row>
    <row r="148" spans="1:10" x14ac:dyDescent="0.25">
      <c r="A148" t="s">
        <v>3</v>
      </c>
      <c r="B148" s="1" t="str">
        <f>HYPERLINK("http://wilsonsports.fi","wilsonsports.fi")</f>
        <v>wilsonsports.fi</v>
      </c>
      <c r="C148" t="s">
        <v>445</v>
      </c>
      <c r="D148" t="s">
        <v>823</v>
      </c>
      <c r="J148">
        <v>6</v>
      </c>
    </row>
    <row r="149" spans="1:10" x14ac:dyDescent="0.25">
      <c r="A149" t="s">
        <v>3</v>
      </c>
      <c r="B149" s="1" t="str">
        <f>HYPERLINK("http://arcteryx.jp","arcteryx.jp")</f>
        <v>arcteryx.jp</v>
      </c>
      <c r="C149" t="s">
        <v>461</v>
      </c>
      <c r="D149" t="s">
        <v>837</v>
      </c>
      <c r="E149">
        <v>172971</v>
      </c>
      <c r="F149">
        <v>4.8451259450715497E-8</v>
      </c>
      <c r="G149">
        <v>957702</v>
      </c>
      <c r="H149">
        <v>13302702</v>
      </c>
      <c r="I149">
        <v>10814353</v>
      </c>
      <c r="J149">
        <v>5</v>
      </c>
    </row>
    <row r="150" spans="1:10" x14ac:dyDescent="0.25">
      <c r="A150" t="s">
        <v>3</v>
      </c>
      <c r="B150" s="1" t="str">
        <f>HYPERLINK("http://armadaskis.jp","armadaskis.jp")</f>
        <v>armadaskis.jp</v>
      </c>
      <c r="C150" t="s">
        <v>461</v>
      </c>
      <c r="D150" t="s">
        <v>837</v>
      </c>
      <c r="F150">
        <v>9.4675902978385796E-9</v>
      </c>
      <c r="G150">
        <v>7361694</v>
      </c>
      <c r="H150">
        <v>13776090</v>
      </c>
      <c r="I150">
        <v>6562985</v>
      </c>
      <c r="J150">
        <v>6</v>
      </c>
    </row>
    <row r="151" spans="1:10" x14ac:dyDescent="0.25">
      <c r="A151" t="s">
        <v>3</v>
      </c>
      <c r="B151" s="1" t="str">
        <f>HYPERLINK("http://wilson.co.jp","wilson.co.jp")</f>
        <v>wilson.co.jp</v>
      </c>
      <c r="C151" t="s">
        <v>461</v>
      </c>
      <c r="D151" t="s">
        <v>837</v>
      </c>
      <c r="F151">
        <v>6.4260753932321396E-8</v>
      </c>
      <c r="G151">
        <v>673832</v>
      </c>
      <c r="H151">
        <v>14355148</v>
      </c>
      <c r="I151">
        <v>1306902</v>
      </c>
      <c r="J151">
        <v>6</v>
      </c>
    </row>
    <row r="152" spans="1:10" x14ac:dyDescent="0.25">
      <c r="A152" t="s">
        <v>3</v>
      </c>
      <c r="B152" s="1" t="str">
        <f>HYPERLINK("http://wilson.jp","wilson.jp")</f>
        <v>wilson.jp</v>
      </c>
      <c r="C152" t="s">
        <v>461</v>
      </c>
      <c r="D152" t="s">
        <v>837</v>
      </c>
      <c r="F152">
        <v>1.8670697917931201E-8</v>
      </c>
      <c r="G152">
        <v>2894620</v>
      </c>
      <c r="H152">
        <v>11538870</v>
      </c>
      <c r="I152">
        <v>29979948</v>
      </c>
      <c r="J152">
        <v>6</v>
      </c>
    </row>
    <row r="153" spans="1:10" x14ac:dyDescent="0.25">
      <c r="A153" t="s">
        <v>3</v>
      </c>
      <c r="B153" s="1" t="str">
        <f>HYPERLINK("http://atomic.kr","atomic.kr")</f>
        <v>atomic.kr</v>
      </c>
      <c r="C153" t="s">
        <v>463</v>
      </c>
      <c r="D153" t="s">
        <v>839</v>
      </c>
      <c r="F153">
        <v>4.5239956630527098E-9</v>
      </c>
      <c r="G153">
        <v>55731719</v>
      </c>
      <c r="H153">
        <v>9936650</v>
      </c>
      <c r="I153">
        <v>61360092</v>
      </c>
      <c r="J153">
        <v>6</v>
      </c>
    </row>
    <row r="154" spans="1:10" x14ac:dyDescent="0.25">
      <c r="A154" t="s">
        <v>3</v>
      </c>
      <c r="B154" s="1" t="str">
        <f>HYPERLINK("http://arcteryx.co.kr","arcteryx.co.kr")</f>
        <v>arcteryx.co.kr</v>
      </c>
      <c r="C154" t="s">
        <v>463</v>
      </c>
      <c r="D154" t="s">
        <v>839</v>
      </c>
      <c r="F154">
        <v>1.4846124841875201E-8</v>
      </c>
      <c r="G154">
        <v>3890959</v>
      </c>
      <c r="H154">
        <v>13466989</v>
      </c>
      <c r="I154">
        <v>10052536</v>
      </c>
      <c r="J154">
        <v>5</v>
      </c>
    </row>
    <row r="155" spans="1:10" x14ac:dyDescent="0.25">
      <c r="A155" t="s">
        <v>3</v>
      </c>
      <c r="B155" s="1" t="str">
        <f>HYPERLINK("http://salomon.co.kr","salomon.co.kr")</f>
        <v>salomon.co.kr</v>
      </c>
      <c r="C155" t="s">
        <v>463</v>
      </c>
      <c r="D155" t="s">
        <v>839</v>
      </c>
      <c r="F155">
        <v>7.5836839929121297E-9</v>
      </c>
      <c r="G155">
        <v>10829334</v>
      </c>
      <c r="H155">
        <v>11167226</v>
      </c>
      <c r="I155">
        <v>31563651</v>
      </c>
      <c r="J155">
        <v>6</v>
      </c>
    </row>
    <row r="156" spans="1:10" x14ac:dyDescent="0.25">
      <c r="A156" t="s">
        <v>3</v>
      </c>
      <c r="B156" s="1" t="str">
        <f>HYPERLINK("http://wilson.co.kr","wilson.co.kr")</f>
        <v>wilson.co.kr</v>
      </c>
      <c r="C156" t="s">
        <v>463</v>
      </c>
      <c r="D156" t="s">
        <v>839</v>
      </c>
      <c r="F156">
        <v>1.21914640308925E-8</v>
      </c>
      <c r="G156">
        <v>5055543</v>
      </c>
      <c r="H156">
        <v>11329333</v>
      </c>
      <c r="I156">
        <v>30467180</v>
      </c>
      <c r="J156">
        <v>6</v>
      </c>
    </row>
    <row r="157" spans="1:10" x14ac:dyDescent="0.25">
      <c r="A157" t="s">
        <v>3</v>
      </c>
      <c r="B157" s="1" t="str">
        <f>HYPERLINK("http://arcteryx.co.nz","arcteryx.co.nz")</f>
        <v>arcteryx.co.nz</v>
      </c>
      <c r="C157" t="s">
        <v>479</v>
      </c>
      <c r="D157" t="s">
        <v>854</v>
      </c>
      <c r="F157">
        <v>4.5308568664967103E-9</v>
      </c>
      <c r="G157">
        <v>54967846</v>
      </c>
      <c r="H157">
        <v>10372365</v>
      </c>
      <c r="I157">
        <v>54786512</v>
      </c>
      <c r="J157">
        <v>5</v>
      </c>
    </row>
    <row r="158" spans="1:10" x14ac:dyDescent="0.25">
      <c r="A158" t="s">
        <v>3</v>
      </c>
      <c r="B158" s="1" t="str">
        <f>HYPERLINK("http://salomon.ro","salomon.ro")</f>
        <v>salomon.ro</v>
      </c>
      <c r="C158" t="s">
        <v>491</v>
      </c>
      <c r="D158" t="s">
        <v>865</v>
      </c>
      <c r="F158">
        <v>4.3438051434535699E-8</v>
      </c>
      <c r="G158">
        <v>1101781</v>
      </c>
      <c r="H158">
        <v>14120650</v>
      </c>
      <c r="I158">
        <v>2336036</v>
      </c>
      <c r="J158">
        <v>8</v>
      </c>
    </row>
    <row r="159" spans="1:10" x14ac:dyDescent="0.25">
      <c r="A159" t="s">
        <v>1582</v>
      </c>
      <c r="B159" s="1" t="str">
        <f>HYPERLINK("http://anz.com.au","anz.com.au")</f>
        <v>anz.com.au</v>
      </c>
      <c r="C159" t="s">
        <v>420</v>
      </c>
      <c r="D159" t="s">
        <v>802</v>
      </c>
      <c r="E159">
        <v>22030</v>
      </c>
      <c r="F159">
        <v>5.7177706006780497E-7</v>
      </c>
      <c r="G159">
        <v>66839</v>
      </c>
      <c r="H159">
        <v>15051480</v>
      </c>
      <c r="I159">
        <v>414325</v>
      </c>
      <c r="J159">
        <v>3</v>
      </c>
    </row>
    <row r="160" spans="1:10" x14ac:dyDescent="0.25">
      <c r="A160" t="s">
        <v>1582</v>
      </c>
      <c r="B160" s="1" t="str">
        <f>HYPERLINK("http://redstarcoffee.com.au","redstarcoffee.com.au")</f>
        <v>redstarcoffee.com.au</v>
      </c>
      <c r="C160" t="s">
        <v>420</v>
      </c>
      <c r="D160" t="s">
        <v>802</v>
      </c>
      <c r="F160">
        <v>4.5501810367019897E-9</v>
      </c>
      <c r="G160">
        <v>52170427</v>
      </c>
      <c r="H160">
        <v>10780722</v>
      </c>
      <c r="I160">
        <v>38912127</v>
      </c>
      <c r="J160">
        <v>6</v>
      </c>
    </row>
    <row r="161" spans="1:10" x14ac:dyDescent="0.25">
      <c r="A161" t="s">
        <v>1582</v>
      </c>
      <c r="B161" s="1" t="str">
        <f>HYPERLINK("http://anz.com","anz.com")</f>
        <v>anz.com</v>
      </c>
      <c r="C161" t="s">
        <v>433</v>
      </c>
      <c r="E161">
        <v>14899</v>
      </c>
      <c r="F161">
        <v>2.3859978392495198E-6</v>
      </c>
      <c r="G161">
        <v>15565</v>
      </c>
      <c r="H161">
        <v>17648292</v>
      </c>
      <c r="I161">
        <v>8415</v>
      </c>
      <c r="J161">
        <v>3</v>
      </c>
    </row>
    <row r="162" spans="1:10" x14ac:dyDescent="0.25">
      <c r="A162" t="s">
        <v>1582</v>
      </c>
      <c r="B162" s="1" t="str">
        <f>HYPERLINK("http://anz.co.jp","anz.co.jp")</f>
        <v>anz.co.jp</v>
      </c>
      <c r="C162" t="s">
        <v>461</v>
      </c>
      <c r="D162" t="s">
        <v>837</v>
      </c>
      <c r="F162">
        <v>1.4616268119192901E-8</v>
      </c>
      <c r="G162">
        <v>3971234</v>
      </c>
      <c r="H162">
        <v>13289031</v>
      </c>
      <c r="I162">
        <v>10879995</v>
      </c>
      <c r="J162">
        <v>4</v>
      </c>
    </row>
    <row r="163" spans="1:10" x14ac:dyDescent="0.25">
      <c r="A163" t="s">
        <v>1582</v>
      </c>
      <c r="B163" s="1" t="str">
        <f>HYPERLINK("http://anz.co.nz","anz.co.nz")</f>
        <v>anz.co.nz</v>
      </c>
      <c r="C163" t="s">
        <v>479</v>
      </c>
      <c r="D163" t="s">
        <v>854</v>
      </c>
      <c r="E163">
        <v>49619</v>
      </c>
      <c r="F163">
        <v>2.48516041874963E-7</v>
      </c>
      <c r="G163">
        <v>150522</v>
      </c>
      <c r="H163">
        <v>15102366</v>
      </c>
      <c r="I163">
        <v>406168</v>
      </c>
      <c r="J163">
        <v>2</v>
      </c>
    </row>
    <row r="164" spans="1:10" x14ac:dyDescent="0.25">
      <c r="A164" t="s">
        <v>1582</v>
      </c>
      <c r="B164" s="1" t="str">
        <f>HYPERLINK("http://anzdirect.co.nz","anzdirect.co.nz")</f>
        <v>anzdirect.co.nz</v>
      </c>
      <c r="C164" t="s">
        <v>479</v>
      </c>
      <c r="D164" t="s">
        <v>854</v>
      </c>
      <c r="F164">
        <v>1.7958201880093201E-8</v>
      </c>
      <c r="G164">
        <v>3041304</v>
      </c>
      <c r="H164">
        <v>14261096</v>
      </c>
      <c r="I164">
        <v>1417946</v>
      </c>
      <c r="J164">
        <v>2</v>
      </c>
    </row>
    <row r="165" spans="1:10" x14ac:dyDescent="0.25">
      <c r="A165" t="s">
        <v>1582</v>
      </c>
      <c r="B165" s="1" t="str">
        <f>HYPERLINK("http://anznational.co.nz","anznational.co.nz")</f>
        <v>anznational.co.nz</v>
      </c>
      <c r="C165" t="s">
        <v>479</v>
      </c>
      <c r="D165" t="s">
        <v>854</v>
      </c>
      <c r="J165">
        <v>4</v>
      </c>
    </row>
    <row r="166" spans="1:10" x14ac:dyDescent="0.25">
      <c r="A166" t="s">
        <v>1582</v>
      </c>
      <c r="B166" s="1" t="str">
        <f>HYPERLINK("http://anz.tw","anz.tw")</f>
        <v>anz.tw</v>
      </c>
      <c r="C166" t="s">
        <v>504</v>
      </c>
      <c r="D166" t="s">
        <v>878</v>
      </c>
      <c r="F166">
        <v>7.5917265346666299E-9</v>
      </c>
      <c r="G166">
        <v>10812262</v>
      </c>
      <c r="H166">
        <v>12176171</v>
      </c>
      <c r="I166">
        <v>23902312</v>
      </c>
      <c r="J166">
        <v>4</v>
      </c>
    </row>
    <row r="167" spans="1:10" x14ac:dyDescent="0.25">
      <c r="A167" t="s">
        <v>4</v>
      </c>
      <c r="B167" s="1" t="str">
        <f>HYPERLINK("http://apmterminals.com.ar","apmterminals.com.ar")</f>
        <v>apmterminals.com.ar</v>
      </c>
      <c r="C167" t="s">
        <v>418</v>
      </c>
      <c r="D167" t="s">
        <v>800</v>
      </c>
      <c r="F167">
        <v>6.0450451797818398E-9</v>
      </c>
      <c r="G167">
        <v>16411730</v>
      </c>
      <c r="H167">
        <v>12212316</v>
      </c>
      <c r="I167">
        <v>22970041</v>
      </c>
      <c r="J167">
        <v>4</v>
      </c>
    </row>
    <row r="168" spans="1:10" x14ac:dyDescent="0.25">
      <c r="A168" t="s">
        <v>4</v>
      </c>
      <c r="B168" s="1" t="str">
        <f>HYPERLINK("http://terminal4.com.ar","terminal4.com.ar")</f>
        <v>terminal4.com.ar</v>
      </c>
      <c r="C168" t="s">
        <v>418</v>
      </c>
      <c r="D168" t="s">
        <v>800</v>
      </c>
      <c r="J168">
        <v>3</v>
      </c>
    </row>
    <row r="169" spans="1:10" x14ac:dyDescent="0.25">
      <c r="A169" t="s">
        <v>4</v>
      </c>
      <c r="B169" s="1" t="str">
        <f>HYPERLINK("http://svitzer.com.au","svitzer.com.au")</f>
        <v>svitzer.com.au</v>
      </c>
      <c r="C169" t="s">
        <v>420</v>
      </c>
      <c r="D169" t="s">
        <v>802</v>
      </c>
      <c r="F169">
        <v>1.00383313223599E-8</v>
      </c>
      <c r="G169">
        <v>6717115</v>
      </c>
      <c r="H169">
        <v>13765576</v>
      </c>
      <c r="I169">
        <v>7088280</v>
      </c>
      <c r="J169">
        <v>4</v>
      </c>
    </row>
    <row r="170" spans="1:10" x14ac:dyDescent="0.25">
      <c r="A170" t="s">
        <v>4</v>
      </c>
      <c r="B170" s="1" t="str">
        <f>HYPERLINK("http://alianca.com.br","alianca.com.br")</f>
        <v>alianca.com.br</v>
      </c>
      <c r="C170" t="s">
        <v>425</v>
      </c>
      <c r="D170" t="s">
        <v>806</v>
      </c>
      <c r="E170">
        <v>909019</v>
      </c>
      <c r="F170">
        <v>3.0420208457317301E-8</v>
      </c>
      <c r="G170">
        <v>1692426</v>
      </c>
      <c r="H170">
        <v>14237501</v>
      </c>
      <c r="I170">
        <v>1548461</v>
      </c>
      <c r="J170">
        <v>3</v>
      </c>
    </row>
    <row r="171" spans="1:10" x14ac:dyDescent="0.25">
      <c r="A171" t="s">
        <v>4</v>
      </c>
      <c r="B171" s="1" t="str">
        <f>HYPERLINK("http://apmterminals.com.br","apmterminals.com.br")</f>
        <v>apmterminals.com.br</v>
      </c>
      <c r="C171" t="s">
        <v>425</v>
      </c>
      <c r="D171" t="s">
        <v>806</v>
      </c>
      <c r="F171">
        <v>6.1925656810972696E-9</v>
      </c>
      <c r="G171">
        <v>15575035</v>
      </c>
      <c r="H171">
        <v>12108668</v>
      </c>
      <c r="I171">
        <v>25771467</v>
      </c>
      <c r="J171">
        <v>3</v>
      </c>
    </row>
    <row r="172" spans="1:10" x14ac:dyDescent="0.25">
      <c r="A172" t="s">
        <v>4</v>
      </c>
      <c r="B172" s="1" t="str">
        <f>HYPERLINK("http://braporto.com.br","braporto.com.br")</f>
        <v>braporto.com.br</v>
      </c>
      <c r="C172" t="s">
        <v>425</v>
      </c>
      <c r="D172" t="s">
        <v>806</v>
      </c>
      <c r="F172">
        <v>4.47235669368806E-9</v>
      </c>
      <c r="G172">
        <v>63991440</v>
      </c>
      <c r="H172">
        <v>9576180</v>
      </c>
      <c r="I172">
        <v>64664762</v>
      </c>
      <c r="J172">
        <v>4</v>
      </c>
    </row>
    <row r="173" spans="1:10" x14ac:dyDescent="0.25">
      <c r="A173" t="s">
        <v>4</v>
      </c>
      <c r="B173" s="1" t="str">
        <f>HYPERLINK("http://ecotug.com.br","ecotug.com.br")</f>
        <v>ecotug.com.br</v>
      </c>
      <c r="C173" t="s">
        <v>425</v>
      </c>
      <c r="D173" t="s">
        <v>806</v>
      </c>
      <c r="J173">
        <v>4</v>
      </c>
    </row>
    <row r="174" spans="1:10" x14ac:dyDescent="0.25">
      <c r="A174" t="s">
        <v>4</v>
      </c>
      <c r="B174" s="1" t="str">
        <f>HYPERLINK("http://mercosul-line.com.br","mercosul-line.com.br")</f>
        <v>mercosul-line.com.br</v>
      </c>
      <c r="C174" t="s">
        <v>425</v>
      </c>
      <c r="D174" t="s">
        <v>806</v>
      </c>
      <c r="E174">
        <v>872280</v>
      </c>
      <c r="F174">
        <v>1.10376754499241E-8</v>
      </c>
      <c r="G174">
        <v>5831531</v>
      </c>
      <c r="H174">
        <v>13763639</v>
      </c>
      <c r="I174">
        <v>7952896</v>
      </c>
      <c r="J174">
        <v>4</v>
      </c>
    </row>
    <row r="175" spans="1:10" x14ac:dyDescent="0.25">
      <c r="A175" t="s">
        <v>4</v>
      </c>
      <c r="B175" s="1" t="str">
        <f>HYPERLINK("http://hermesrichard.ch","hermesrichard.ch")</f>
        <v>hermesrichard.ch</v>
      </c>
      <c r="C175" t="s">
        <v>429</v>
      </c>
      <c r="D175" t="s">
        <v>810</v>
      </c>
      <c r="F175">
        <v>4.7075211700070103E-9</v>
      </c>
      <c r="G175">
        <v>40861513</v>
      </c>
      <c r="H175">
        <v>10485504</v>
      </c>
      <c r="I175">
        <v>50821253</v>
      </c>
      <c r="J175">
        <v>3</v>
      </c>
    </row>
    <row r="176" spans="1:10" x14ac:dyDescent="0.25">
      <c r="A176" t="s">
        <v>4</v>
      </c>
      <c r="B176" s="1" t="str">
        <f>HYPERLINK("http://maersk.com.cn","maersk.com.cn")</f>
        <v>maersk.com.cn</v>
      </c>
      <c r="C176" t="s">
        <v>431</v>
      </c>
      <c r="D176" t="s">
        <v>812</v>
      </c>
      <c r="E176">
        <v>481558</v>
      </c>
      <c r="F176">
        <v>3.3839216445630101E-8</v>
      </c>
      <c r="G176">
        <v>1529291</v>
      </c>
      <c r="H176">
        <v>14085819</v>
      </c>
      <c r="I176">
        <v>2775066</v>
      </c>
      <c r="J176">
        <v>2</v>
      </c>
    </row>
    <row r="177" spans="1:10" x14ac:dyDescent="0.25">
      <c r="A177" t="s">
        <v>4</v>
      </c>
      <c r="B177" s="1" t="str">
        <f>HYPERLINK("http://nissens.cn","nissens.cn")</f>
        <v>nissens.cn</v>
      </c>
      <c r="C177" t="s">
        <v>431</v>
      </c>
      <c r="D177" t="s">
        <v>812</v>
      </c>
      <c r="F177">
        <v>6.1986028199386301E-9</v>
      </c>
      <c r="G177">
        <v>15543823</v>
      </c>
      <c r="H177">
        <v>10618743</v>
      </c>
      <c r="I177">
        <v>44320958</v>
      </c>
      <c r="J177">
        <v>8</v>
      </c>
    </row>
    <row r="178" spans="1:10" x14ac:dyDescent="0.25">
      <c r="A178" t="s">
        <v>4</v>
      </c>
      <c r="B178" s="1" t="str">
        <f>HYPERLINK("http://apmoller.com","apmoller.com")</f>
        <v>apmoller.com</v>
      </c>
      <c r="C178" t="s">
        <v>433</v>
      </c>
      <c r="F178">
        <v>2.1337691295312902E-8</v>
      </c>
      <c r="G178">
        <v>2469506</v>
      </c>
      <c r="H178">
        <v>13769133</v>
      </c>
      <c r="I178">
        <v>6809532</v>
      </c>
      <c r="J178">
        <v>3</v>
      </c>
    </row>
    <row r="179" spans="1:10" x14ac:dyDescent="0.25">
      <c r="A179" t="s">
        <v>4</v>
      </c>
      <c r="B179" s="1" t="str">
        <f>HYPERLINK("http://apmterminals.com","apmterminals.com")</f>
        <v>apmterminals.com</v>
      </c>
      <c r="C179" t="s">
        <v>433</v>
      </c>
      <c r="E179">
        <v>56231</v>
      </c>
      <c r="F179">
        <v>2.2957702436817399E-7</v>
      </c>
      <c r="G179">
        <v>163750</v>
      </c>
      <c r="H179">
        <v>14639743</v>
      </c>
      <c r="I179">
        <v>637567</v>
      </c>
      <c r="J179">
        <v>3</v>
      </c>
    </row>
    <row r="180" spans="1:10" x14ac:dyDescent="0.25">
      <c r="A180" t="s">
        <v>4</v>
      </c>
      <c r="B180" s="1" t="str">
        <f>HYPERLINK("http://apmterminls.com","apmterminls.com")</f>
        <v>apmterminls.com</v>
      </c>
      <c r="C180" t="s">
        <v>433</v>
      </c>
      <c r="J180">
        <v>4</v>
      </c>
    </row>
    <row r="181" spans="1:10" x14ac:dyDescent="0.25">
      <c r="A181" t="s">
        <v>4</v>
      </c>
      <c r="B181" s="1" t="str">
        <f>HYPERLINK("http://brostrom.com","brostrom.com")</f>
        <v>brostrom.com</v>
      </c>
      <c r="C181" t="s">
        <v>433</v>
      </c>
      <c r="F181">
        <v>4.98036709670105E-9</v>
      </c>
      <c r="G181">
        <v>29986290</v>
      </c>
      <c r="H181">
        <v>12288973</v>
      </c>
      <c r="I181">
        <v>21135309</v>
      </c>
      <c r="J181">
        <v>3</v>
      </c>
    </row>
    <row r="182" spans="1:10" x14ac:dyDescent="0.25">
      <c r="A182" t="s">
        <v>4</v>
      </c>
      <c r="B182" s="1" t="str">
        <f>HYPERLINK("http://damco.com","damco.com")</f>
        <v>damco.com</v>
      </c>
      <c r="C182" t="s">
        <v>433</v>
      </c>
      <c r="E182">
        <v>241149</v>
      </c>
      <c r="F182">
        <v>5.9264585900157998E-8</v>
      </c>
      <c r="G182">
        <v>747459</v>
      </c>
      <c r="H182">
        <v>14151465</v>
      </c>
      <c r="I182">
        <v>1873163</v>
      </c>
      <c r="J182">
        <v>3</v>
      </c>
    </row>
    <row r="183" spans="1:10" x14ac:dyDescent="0.25">
      <c r="A183" t="s">
        <v>4</v>
      </c>
      <c r="B183" s="1" t="str">
        <f>HYPERLINK("http://esc-systems.com","esc-systems.com")</f>
        <v>esc-systems.com</v>
      </c>
      <c r="C183" t="s">
        <v>433</v>
      </c>
      <c r="J183">
        <v>3</v>
      </c>
    </row>
    <row r="184" spans="1:10" x14ac:dyDescent="0.25">
      <c r="A184" t="s">
        <v>4</v>
      </c>
      <c r="B184" s="1" t="str">
        <f>HYPERLINK("http://farrell-lines.com","farrell-lines.com")</f>
        <v>farrell-lines.com</v>
      </c>
      <c r="C184" t="s">
        <v>433</v>
      </c>
      <c r="F184">
        <v>5.1727384071896202E-9</v>
      </c>
      <c r="G184">
        <v>25677001</v>
      </c>
      <c r="H184">
        <v>12354094</v>
      </c>
      <c r="I184">
        <v>19695370</v>
      </c>
      <c r="J184">
        <v>3</v>
      </c>
    </row>
    <row r="185" spans="1:10" x14ac:dyDescent="0.25">
      <c r="A185" t="s">
        <v>4</v>
      </c>
      <c r="B185" s="1" t="str">
        <f>HYPERLINK("http://gatewayterminals.com","gatewayterminals.com")</f>
        <v>gatewayterminals.com</v>
      </c>
      <c r="C185" t="s">
        <v>433</v>
      </c>
      <c r="F185">
        <v>5.37655688862448E-9</v>
      </c>
      <c r="G185">
        <v>22461263</v>
      </c>
      <c r="H185">
        <v>10684492</v>
      </c>
      <c r="I185">
        <v>42645926</v>
      </c>
      <c r="J185">
        <v>3</v>
      </c>
    </row>
    <row r="186" spans="1:10" x14ac:dyDescent="0.25">
      <c r="A186" t="s">
        <v>4</v>
      </c>
      <c r="B186" s="1" t="str">
        <f>HYPERLINK("http://gruptcb.com","gruptcb.com")</f>
        <v>gruptcb.com</v>
      </c>
      <c r="C186" t="s">
        <v>433</v>
      </c>
      <c r="F186">
        <v>6.6406027910820596E-9</v>
      </c>
      <c r="G186">
        <v>13519759</v>
      </c>
      <c r="H186">
        <v>13778198</v>
      </c>
      <c r="I186">
        <v>6524674</v>
      </c>
      <c r="J186">
        <v>3</v>
      </c>
    </row>
    <row r="187" spans="1:10" x14ac:dyDescent="0.25">
      <c r="A187" t="s">
        <v>4</v>
      </c>
      <c r="B187" s="1" t="str">
        <f>HYPERLINK("http://gtdsolution.com","gtdsolution.com")</f>
        <v>gtdsolution.com</v>
      </c>
      <c r="C187" t="s">
        <v>433</v>
      </c>
      <c r="J187">
        <v>3</v>
      </c>
    </row>
    <row r="188" spans="1:10" x14ac:dyDescent="0.25">
      <c r="A188" t="s">
        <v>4</v>
      </c>
      <c r="B188" s="1" t="str">
        <f>HYPERLINK("http://hamburg-sued.com","hamburg-sued.com")</f>
        <v>hamburg-sued.com</v>
      </c>
      <c r="C188" t="s">
        <v>433</v>
      </c>
      <c r="F188">
        <v>1.3728361445338199E-8</v>
      </c>
      <c r="G188">
        <v>4309804</v>
      </c>
      <c r="H188">
        <v>13777702</v>
      </c>
      <c r="I188">
        <v>6533197</v>
      </c>
      <c r="J188">
        <v>3</v>
      </c>
    </row>
    <row r="189" spans="1:10" x14ac:dyDescent="0.25">
      <c r="A189" t="s">
        <v>4</v>
      </c>
      <c r="B189" s="1" t="str">
        <f>HYPERLINK("http://hamburgsud.com","hamburgsud.com")</f>
        <v>hamburgsud.com</v>
      </c>
      <c r="C189" t="s">
        <v>433</v>
      </c>
      <c r="E189">
        <v>71890</v>
      </c>
      <c r="F189">
        <v>2.01264323657602E-7</v>
      </c>
      <c r="G189">
        <v>189093</v>
      </c>
      <c r="H189">
        <v>14502849</v>
      </c>
      <c r="I189">
        <v>844748</v>
      </c>
      <c r="J189">
        <v>2</v>
      </c>
    </row>
    <row r="190" spans="1:10" x14ac:dyDescent="0.25">
      <c r="A190" t="s">
        <v>4</v>
      </c>
      <c r="B190" s="1" t="str">
        <f>HYPERLINK("http://hoeghautoliners.com","hoeghautoliners.com")</f>
        <v>hoeghautoliners.com</v>
      </c>
      <c r="C190" t="s">
        <v>433</v>
      </c>
      <c r="E190">
        <v>982468</v>
      </c>
      <c r="F190">
        <v>6.2238784039348998E-8</v>
      </c>
      <c r="G190">
        <v>706145</v>
      </c>
      <c r="H190">
        <v>14552930</v>
      </c>
      <c r="I190">
        <v>756110</v>
      </c>
      <c r="J190">
        <v>3</v>
      </c>
    </row>
    <row r="191" spans="1:10" x14ac:dyDescent="0.25">
      <c r="A191" t="s">
        <v>4</v>
      </c>
      <c r="B191" s="1" t="str">
        <f>HYPERLINK("http://kghav.com","kghav.com")</f>
        <v>kghav.com</v>
      </c>
      <c r="C191" t="s">
        <v>433</v>
      </c>
      <c r="F191">
        <v>6.6694201114139898E-9</v>
      </c>
      <c r="G191">
        <v>13414142</v>
      </c>
      <c r="H191">
        <v>12249640</v>
      </c>
      <c r="I191">
        <v>22021377</v>
      </c>
      <c r="J191">
        <v>4</v>
      </c>
    </row>
    <row r="192" spans="1:10" x14ac:dyDescent="0.25">
      <c r="A192" t="s">
        <v>4</v>
      </c>
      <c r="B192" s="1" t="str">
        <f>HYPERLINK("http://kghcustoms.com","kghcustoms.com")</f>
        <v>kghcustoms.com</v>
      </c>
      <c r="C192" t="s">
        <v>433</v>
      </c>
      <c r="E192">
        <v>957808</v>
      </c>
      <c r="F192">
        <v>6.1889284828687898E-8</v>
      </c>
      <c r="G192">
        <v>710601</v>
      </c>
      <c r="H192">
        <v>13368042</v>
      </c>
      <c r="I192">
        <v>10475104</v>
      </c>
      <c r="J192">
        <v>3</v>
      </c>
    </row>
    <row r="193" spans="1:10" x14ac:dyDescent="0.25">
      <c r="A193" t="s">
        <v>4</v>
      </c>
      <c r="B193" s="1" t="str">
        <f>HYPERLINK("http://lflogistics.com","lflogistics.com")</f>
        <v>lflogistics.com</v>
      </c>
      <c r="C193" t="s">
        <v>433</v>
      </c>
      <c r="F193">
        <v>2.0336662956411999E-8</v>
      </c>
      <c r="G193">
        <v>2608668</v>
      </c>
      <c r="H193">
        <v>13245145</v>
      </c>
      <c r="I193">
        <v>11148491</v>
      </c>
      <c r="J193">
        <v>3</v>
      </c>
    </row>
    <row r="194" spans="1:10" x14ac:dyDescent="0.25">
      <c r="A194" t="s">
        <v>4</v>
      </c>
      <c r="B194" s="1" t="str">
        <f>HYPERLINK("http://maersk.com","maersk.com")</f>
        <v>maersk.com</v>
      </c>
      <c r="C194" t="s">
        <v>433</v>
      </c>
      <c r="E194">
        <v>11284</v>
      </c>
      <c r="F194">
        <v>1.9002645418108101E-6</v>
      </c>
      <c r="G194">
        <v>19530</v>
      </c>
      <c r="H194">
        <v>17506110</v>
      </c>
      <c r="I194">
        <v>13421</v>
      </c>
      <c r="J194">
        <v>1</v>
      </c>
    </row>
    <row r="195" spans="1:10" x14ac:dyDescent="0.25">
      <c r="A195" t="s">
        <v>4</v>
      </c>
      <c r="B195" s="1" t="str">
        <f>HYPERLINK("http://maerskdrilling.com","maerskdrilling.com")</f>
        <v>maerskdrilling.com</v>
      </c>
      <c r="C195" t="s">
        <v>433</v>
      </c>
      <c r="E195">
        <v>661194</v>
      </c>
      <c r="F195">
        <v>1.11074402487414E-7</v>
      </c>
      <c r="G195">
        <v>359896</v>
      </c>
      <c r="H195">
        <v>14581971</v>
      </c>
      <c r="I195">
        <v>707299</v>
      </c>
      <c r="J195">
        <v>3</v>
      </c>
    </row>
    <row r="196" spans="1:10" x14ac:dyDescent="0.25">
      <c r="A196" t="s">
        <v>4</v>
      </c>
      <c r="B196" s="1" t="str">
        <f>HYPERLINK("http://maerskh2s.com","maerskh2s.com")</f>
        <v>maerskh2s.com</v>
      </c>
      <c r="C196" t="s">
        <v>433</v>
      </c>
      <c r="F196">
        <v>1.05312907950672E-8</v>
      </c>
      <c r="G196">
        <v>6242783</v>
      </c>
      <c r="H196">
        <v>12413098</v>
      </c>
      <c r="I196">
        <v>18562867</v>
      </c>
      <c r="J196">
        <v>3</v>
      </c>
    </row>
    <row r="197" spans="1:10" x14ac:dyDescent="0.25">
      <c r="A197" t="s">
        <v>4</v>
      </c>
      <c r="B197" s="1" t="str">
        <f>HYPERLINK("http://maerskline.com","maerskline.com")</f>
        <v>maerskline.com</v>
      </c>
      <c r="C197" t="s">
        <v>433</v>
      </c>
      <c r="E197">
        <v>53317</v>
      </c>
      <c r="F197">
        <v>5.2464684031805696E-7</v>
      </c>
      <c r="G197">
        <v>73296</v>
      </c>
      <c r="H197">
        <v>17255206</v>
      </c>
      <c r="I197">
        <v>33298</v>
      </c>
      <c r="J197">
        <v>3</v>
      </c>
    </row>
    <row r="198" spans="1:10" x14ac:dyDescent="0.25">
      <c r="A198" t="s">
        <v>4</v>
      </c>
      <c r="B198" s="1" t="str">
        <f>HYPERLINK("http://maersklinelimited.com","maersklinelimited.com")</f>
        <v>maersklinelimited.com</v>
      </c>
      <c r="C198" t="s">
        <v>433</v>
      </c>
      <c r="E198">
        <v>933234</v>
      </c>
      <c r="F198">
        <v>2.7087869955356099E-8</v>
      </c>
      <c r="G198">
        <v>1898600</v>
      </c>
      <c r="H198">
        <v>14808622</v>
      </c>
      <c r="I198">
        <v>539501</v>
      </c>
      <c r="J198">
        <v>3</v>
      </c>
    </row>
    <row r="199" spans="1:10" x14ac:dyDescent="0.25">
      <c r="A199" t="s">
        <v>4</v>
      </c>
      <c r="B199" s="1" t="str">
        <f>HYPERLINK("http://maerskoiltrading.com","maerskoiltrading.com")</f>
        <v>maerskoiltrading.com</v>
      </c>
      <c r="C199" t="s">
        <v>433</v>
      </c>
      <c r="F199">
        <v>8.6492604095491803E-9</v>
      </c>
      <c r="G199">
        <v>8567902</v>
      </c>
      <c r="H199">
        <v>12261188</v>
      </c>
      <c r="I199">
        <v>21739088</v>
      </c>
      <c r="J199">
        <v>3</v>
      </c>
    </row>
    <row r="200" spans="1:10" x14ac:dyDescent="0.25">
      <c r="A200" t="s">
        <v>4</v>
      </c>
      <c r="B200" s="1" t="str">
        <f>HYPERLINK("http://maersksupply.com","maersksupply.com")</f>
        <v>maersksupply.com</v>
      </c>
      <c r="C200" t="s">
        <v>433</v>
      </c>
      <c r="F200">
        <v>5.4132935509420002E-9</v>
      </c>
      <c r="G200">
        <v>21943565</v>
      </c>
      <c r="H200">
        <v>10832332</v>
      </c>
      <c r="I200">
        <v>37339300</v>
      </c>
      <c r="J200">
        <v>2</v>
      </c>
    </row>
    <row r="201" spans="1:10" x14ac:dyDescent="0.25">
      <c r="A201" t="s">
        <v>4</v>
      </c>
      <c r="B201" s="1" t="str">
        <f>HYPERLINK("http://maersksupplyservice.com","maersksupplyservice.com")</f>
        <v>maersksupplyservice.com</v>
      </c>
      <c r="C201" t="s">
        <v>433</v>
      </c>
      <c r="F201">
        <v>4.77649502049679E-8</v>
      </c>
      <c r="G201">
        <v>974345</v>
      </c>
      <c r="H201">
        <v>14473858</v>
      </c>
      <c r="I201">
        <v>1040503</v>
      </c>
      <c r="J201">
        <v>3</v>
      </c>
    </row>
    <row r="202" spans="1:10" x14ac:dyDescent="0.25">
      <c r="A202" t="s">
        <v>4</v>
      </c>
      <c r="B202" s="1" t="str">
        <f>HYPERLINK("http://maersktankers.com","maersktankers.com")</f>
        <v>maersktankers.com</v>
      </c>
      <c r="C202" t="s">
        <v>433</v>
      </c>
      <c r="F202">
        <v>4.0143057315686399E-8</v>
      </c>
      <c r="G202">
        <v>1288364</v>
      </c>
      <c r="H202">
        <v>14411737</v>
      </c>
      <c r="I202">
        <v>1143408</v>
      </c>
      <c r="J202">
        <v>3</v>
      </c>
    </row>
    <row r="203" spans="1:10" x14ac:dyDescent="0.25">
      <c r="A203" t="s">
        <v>4</v>
      </c>
      <c r="B203" s="1" t="str">
        <f>HYPERLINK("http://maersktraining.com","maersktraining.com")</f>
        <v>maersktraining.com</v>
      </c>
      <c r="C203" t="s">
        <v>433</v>
      </c>
      <c r="F203">
        <v>4.0401504796116898E-8</v>
      </c>
      <c r="G203">
        <v>1281299</v>
      </c>
      <c r="H203">
        <v>14335430</v>
      </c>
      <c r="I203">
        <v>1319921</v>
      </c>
      <c r="J203">
        <v>3</v>
      </c>
    </row>
    <row r="204" spans="1:10" x14ac:dyDescent="0.25">
      <c r="A204" t="s">
        <v>4</v>
      </c>
      <c r="B204" s="1" t="str">
        <f>HYPERLINK("http://marine-salvage.com","marine-salvage.com")</f>
        <v>marine-salvage.com</v>
      </c>
      <c r="C204" t="s">
        <v>433</v>
      </c>
      <c r="F204">
        <v>5.9336045923886001E-8</v>
      </c>
      <c r="G204">
        <v>746395</v>
      </c>
      <c r="H204">
        <v>14385034</v>
      </c>
      <c r="I204">
        <v>1180888</v>
      </c>
      <c r="J204">
        <v>3</v>
      </c>
    </row>
    <row r="205" spans="1:10" x14ac:dyDescent="0.25">
      <c r="A205" t="s">
        <v>4</v>
      </c>
      <c r="B205" s="1" t="str">
        <f>HYPERLINK("http://mcicontainers.com","mcicontainers.com")</f>
        <v>mcicontainers.com</v>
      </c>
      <c r="C205" t="s">
        <v>433</v>
      </c>
      <c r="F205">
        <v>5.0410971902011197E-8</v>
      </c>
      <c r="G205">
        <v>911732</v>
      </c>
      <c r="H205">
        <v>14519331</v>
      </c>
      <c r="I205">
        <v>806745</v>
      </c>
      <c r="J205">
        <v>3</v>
      </c>
    </row>
    <row r="206" spans="1:10" x14ac:dyDescent="0.25">
      <c r="A206" t="s">
        <v>4</v>
      </c>
      <c r="B206" s="1" t="str">
        <f>HYPERLINK("http://nissens.com","nissens.com")</f>
        <v>nissens.com</v>
      </c>
      <c r="C206" t="s">
        <v>433</v>
      </c>
      <c r="E206">
        <v>536068</v>
      </c>
      <c r="F206">
        <v>7.0787367025207706E-8</v>
      </c>
      <c r="G206">
        <v>597743</v>
      </c>
      <c r="H206">
        <v>13076197</v>
      </c>
      <c r="I206">
        <v>12209278</v>
      </c>
      <c r="J206">
        <v>7</v>
      </c>
    </row>
    <row r="207" spans="1:10" x14ac:dyDescent="0.25">
      <c r="A207" t="s">
        <v>4</v>
      </c>
      <c r="B207" s="1" t="str">
        <f>HYPERLINK("http://pilotair.com","pilotair.com")</f>
        <v>pilotair.com</v>
      </c>
      <c r="C207" t="s">
        <v>433</v>
      </c>
      <c r="F207">
        <v>9.2417283293025907E-9</v>
      </c>
      <c r="G207">
        <v>7649484</v>
      </c>
      <c r="H207">
        <v>13096120</v>
      </c>
      <c r="I207">
        <v>12121225</v>
      </c>
      <c r="J207">
        <v>3</v>
      </c>
    </row>
    <row r="208" spans="1:10" x14ac:dyDescent="0.25">
      <c r="A208" t="s">
        <v>4</v>
      </c>
      <c r="B208" s="1" t="str">
        <f>HYPERLINK("http://pilotdelivers.com","pilotdelivers.com")</f>
        <v>pilotdelivers.com</v>
      </c>
      <c r="C208" t="s">
        <v>433</v>
      </c>
      <c r="E208">
        <v>252318</v>
      </c>
      <c r="F208">
        <v>7.1633824469229996E-8</v>
      </c>
      <c r="G208">
        <v>589832</v>
      </c>
      <c r="H208">
        <v>14181478</v>
      </c>
      <c r="I208">
        <v>1778722</v>
      </c>
      <c r="J208">
        <v>4</v>
      </c>
    </row>
    <row r="209" spans="1:10" x14ac:dyDescent="0.25">
      <c r="A209" t="s">
        <v>4</v>
      </c>
      <c r="B209" s="1" t="str">
        <f>HYPERLINK("http://pipavav.com","pipavav.com")</f>
        <v>pipavav.com</v>
      </c>
      <c r="C209" t="s">
        <v>433</v>
      </c>
      <c r="F209">
        <v>1.44904884472577E-8</v>
      </c>
      <c r="G209">
        <v>4025840</v>
      </c>
      <c r="H209">
        <v>14078053</v>
      </c>
      <c r="I209">
        <v>2853476</v>
      </c>
      <c r="J209">
        <v>3</v>
      </c>
    </row>
    <row r="210" spans="1:10" x14ac:dyDescent="0.25">
      <c r="A210" t="s">
        <v>4</v>
      </c>
      <c r="B210" s="1" t="str">
        <f>HYPERLINK("http://ponl.com","ponl.com")</f>
        <v>ponl.com</v>
      </c>
      <c r="C210" t="s">
        <v>433</v>
      </c>
      <c r="E210">
        <v>445785</v>
      </c>
      <c r="F210">
        <v>1.9161151264575999E-8</v>
      </c>
      <c r="G210">
        <v>2805212</v>
      </c>
      <c r="H210">
        <v>14241923</v>
      </c>
      <c r="I210">
        <v>1488064</v>
      </c>
      <c r="J210">
        <v>4</v>
      </c>
    </row>
    <row r="211" spans="1:10" x14ac:dyDescent="0.25">
      <c r="A211" t="s">
        <v>4</v>
      </c>
      <c r="B211" s="1" t="str">
        <f>HYPERLINK("http://prostar.com","prostar.com")</f>
        <v>prostar.com</v>
      </c>
      <c r="C211" t="s">
        <v>433</v>
      </c>
      <c r="F211">
        <v>1.8445107498062601E-8</v>
      </c>
      <c r="G211">
        <v>2936885</v>
      </c>
      <c r="H211">
        <v>13797903</v>
      </c>
      <c r="I211">
        <v>6294460</v>
      </c>
      <c r="J211">
        <v>6</v>
      </c>
    </row>
    <row r="212" spans="1:10" x14ac:dyDescent="0.25">
      <c r="A212" t="s">
        <v>4</v>
      </c>
      <c r="B212" s="1" t="str">
        <f>HYPERLINK("http://prostarfulfillment.com","prostarfulfillment.com")</f>
        <v>prostarfulfillment.com</v>
      </c>
      <c r="C212" t="s">
        <v>433</v>
      </c>
      <c r="F212">
        <v>5.80300824038845E-9</v>
      </c>
      <c r="G212">
        <v>18064117</v>
      </c>
      <c r="H212">
        <v>12113702</v>
      </c>
      <c r="I212">
        <v>25635880</v>
      </c>
      <c r="J212">
        <v>6</v>
      </c>
    </row>
    <row r="213" spans="1:10" x14ac:dyDescent="0.25">
      <c r="A213" t="s">
        <v>4</v>
      </c>
      <c r="B213" s="1" t="str">
        <f>HYPERLINK("http://prostarlogistics.com","prostarlogistics.com")</f>
        <v>prostarlogistics.com</v>
      </c>
      <c r="C213" t="s">
        <v>433</v>
      </c>
      <c r="F213">
        <v>4.44907591980345E-9</v>
      </c>
      <c r="G213">
        <v>72459693</v>
      </c>
      <c r="H213">
        <v>10508616</v>
      </c>
      <c r="I213">
        <v>50263316</v>
      </c>
      <c r="J213">
        <v>7</v>
      </c>
    </row>
    <row r="214" spans="1:10" x14ac:dyDescent="0.25">
      <c r="A214" t="s">
        <v>4</v>
      </c>
      <c r="B214" s="1" t="str">
        <f>HYPERLINK("http://safmarine.com","safmarine.com")</f>
        <v>safmarine.com</v>
      </c>
      <c r="C214" t="s">
        <v>433</v>
      </c>
      <c r="E214">
        <v>294466</v>
      </c>
      <c r="F214">
        <v>7.0072129360769595E-8</v>
      </c>
      <c r="G214">
        <v>604662</v>
      </c>
      <c r="H214">
        <v>13961305</v>
      </c>
      <c r="I214">
        <v>4108279</v>
      </c>
      <c r="J214">
        <v>3</v>
      </c>
    </row>
    <row r="215" spans="1:10" x14ac:dyDescent="0.25">
      <c r="A215" t="s">
        <v>4</v>
      </c>
      <c r="B215" s="1" t="str">
        <f>HYPERLINK("http://safmarinempv.com","safmarinempv.com")</f>
        <v>safmarinempv.com</v>
      </c>
      <c r="C215" t="s">
        <v>433</v>
      </c>
      <c r="F215">
        <v>5.18233110533769E-9</v>
      </c>
      <c r="G215">
        <v>25478814</v>
      </c>
      <c r="H215">
        <v>10898513</v>
      </c>
      <c r="I215">
        <v>35870453</v>
      </c>
      <c r="J215">
        <v>3</v>
      </c>
    </row>
    <row r="216" spans="1:10" x14ac:dyDescent="0.25">
      <c r="A216" t="s">
        <v>4</v>
      </c>
      <c r="B216" s="1" t="str">
        <f>HYPERLINK("http://seagoline.com","seagoline.com")</f>
        <v>seagoline.com</v>
      </c>
      <c r="C216" t="s">
        <v>433</v>
      </c>
      <c r="F216">
        <v>1.9561709814068198E-8</v>
      </c>
      <c r="G216">
        <v>2734520</v>
      </c>
      <c r="H216">
        <v>14077577</v>
      </c>
      <c r="I216">
        <v>2862709</v>
      </c>
      <c r="J216">
        <v>3</v>
      </c>
    </row>
    <row r="217" spans="1:10" x14ac:dyDescent="0.25">
      <c r="A217" t="s">
        <v>4</v>
      </c>
      <c r="B217" s="1" t="str">
        <f>HYPERLINK("http://sealand.com","sealand.com")</f>
        <v>sealand.com</v>
      </c>
      <c r="C217" t="s">
        <v>433</v>
      </c>
      <c r="F217">
        <v>2.3882002222302999E-8</v>
      </c>
      <c r="G217">
        <v>2174651</v>
      </c>
      <c r="H217">
        <v>14175371</v>
      </c>
      <c r="I217">
        <v>1791185</v>
      </c>
      <c r="J217">
        <v>6</v>
      </c>
    </row>
    <row r="218" spans="1:10" x14ac:dyDescent="0.25">
      <c r="A218" t="s">
        <v>4</v>
      </c>
      <c r="B218" s="1" t="str">
        <f>HYPERLINK("http://sealandmaersk.com","sealandmaersk.com")</f>
        <v>sealandmaersk.com</v>
      </c>
      <c r="C218" t="s">
        <v>433</v>
      </c>
      <c r="E218">
        <v>125221</v>
      </c>
      <c r="F218">
        <v>1.21794897387784E-7</v>
      </c>
      <c r="G218">
        <v>324226</v>
      </c>
      <c r="H218">
        <v>13948665</v>
      </c>
      <c r="I218">
        <v>4192686</v>
      </c>
      <c r="J218">
        <v>3</v>
      </c>
    </row>
    <row r="219" spans="1:10" x14ac:dyDescent="0.25">
      <c r="A219" t="s">
        <v>4</v>
      </c>
      <c r="B219" s="1" t="str">
        <f>HYPERLINK("http://senator-international.com","senator-international.com")</f>
        <v>senator-international.com</v>
      </c>
      <c r="C219" t="s">
        <v>433</v>
      </c>
      <c r="E219">
        <v>286190</v>
      </c>
      <c r="F219">
        <v>2.8627263231215801E-8</v>
      </c>
      <c r="G219">
        <v>1797494</v>
      </c>
      <c r="H219">
        <v>13205871</v>
      </c>
      <c r="I219">
        <v>11528568</v>
      </c>
      <c r="J219">
        <v>3</v>
      </c>
    </row>
    <row r="220" spans="1:10" x14ac:dyDescent="0.25">
      <c r="A220" t="s">
        <v>4</v>
      </c>
      <c r="B220" s="1" t="str">
        <f>HYPERLINK("http://starair.com","starair.com")</f>
        <v>starair.com</v>
      </c>
      <c r="C220" t="s">
        <v>433</v>
      </c>
      <c r="F220">
        <v>4.62198589752634E-9</v>
      </c>
      <c r="G220">
        <v>45998664</v>
      </c>
      <c r="H220">
        <v>10751080</v>
      </c>
      <c r="I220">
        <v>40055832</v>
      </c>
      <c r="J220">
        <v>3</v>
      </c>
    </row>
    <row r="221" spans="1:10" x14ac:dyDescent="0.25">
      <c r="A221" t="s">
        <v>4</v>
      </c>
      <c r="B221" s="1" t="str">
        <f>HYPERLINK("http://svitzer.com","svitzer.com")</f>
        <v>svitzer.com</v>
      </c>
      <c r="C221" t="s">
        <v>433</v>
      </c>
      <c r="F221">
        <v>5.7104313173066801E-8</v>
      </c>
      <c r="G221">
        <v>781652</v>
      </c>
      <c r="H221">
        <v>14854977</v>
      </c>
      <c r="I221">
        <v>487748</v>
      </c>
      <c r="J221">
        <v>3</v>
      </c>
    </row>
    <row r="222" spans="1:10" x14ac:dyDescent="0.25">
      <c r="A222" t="s">
        <v>4</v>
      </c>
      <c r="B222" s="1" t="str">
        <f>HYPERLINK("http://tcgijon.com","tcgijon.com")</f>
        <v>tcgijon.com</v>
      </c>
      <c r="C222" t="s">
        <v>433</v>
      </c>
      <c r="F222">
        <v>5.4155338651432201E-9</v>
      </c>
      <c r="G222">
        <v>21915610</v>
      </c>
      <c r="H222">
        <v>10799390</v>
      </c>
      <c r="I222">
        <v>38181015</v>
      </c>
      <c r="J222">
        <v>3</v>
      </c>
    </row>
    <row r="223" spans="1:10" x14ac:dyDescent="0.25">
      <c r="A223" t="s">
        <v>4</v>
      </c>
      <c r="B223" s="1" t="str">
        <f>HYPERLINK("http://towageamsterdam.com","towageamsterdam.com")</f>
        <v>towageamsterdam.com</v>
      </c>
      <c r="C223" t="s">
        <v>433</v>
      </c>
      <c r="F223">
        <v>7.7203118446841999E-9</v>
      </c>
      <c r="G223">
        <v>10528386</v>
      </c>
      <c r="H223">
        <v>13933311</v>
      </c>
      <c r="I223">
        <v>4790886</v>
      </c>
      <c r="J223">
        <v>3</v>
      </c>
    </row>
    <row r="224" spans="1:10" x14ac:dyDescent="0.25">
      <c r="A224" t="s">
        <v>4</v>
      </c>
      <c r="B224" s="1" t="str">
        <f>HYPERLINK("http://vandegriftinc.com","vandegriftinc.com")</f>
        <v>vandegriftinc.com</v>
      </c>
      <c r="C224" t="s">
        <v>433</v>
      </c>
      <c r="F224">
        <v>8.0981575813410997E-9</v>
      </c>
      <c r="G224">
        <v>9744768</v>
      </c>
      <c r="H224">
        <v>13566275</v>
      </c>
      <c r="I224">
        <v>9757460</v>
      </c>
      <c r="J224">
        <v>3</v>
      </c>
    </row>
    <row r="225" spans="1:10" x14ac:dyDescent="0.25">
      <c r="A225" t="s">
        <v>4</v>
      </c>
      <c r="B225" s="1" t="str">
        <f>HYPERLINK("http://visiblescm.com","visiblescm.com")</f>
        <v>visiblescm.com</v>
      </c>
      <c r="C225" t="s">
        <v>433</v>
      </c>
      <c r="F225">
        <v>6.5154623249698205E-8</v>
      </c>
      <c r="G225">
        <v>660931</v>
      </c>
      <c r="H225">
        <v>13795470</v>
      </c>
      <c r="I225">
        <v>6309429</v>
      </c>
      <c r="J225">
        <v>3</v>
      </c>
    </row>
    <row r="226" spans="1:10" x14ac:dyDescent="0.25">
      <c r="A226" t="s">
        <v>4</v>
      </c>
      <c r="B226" s="1" t="str">
        <f>HYPERLINK("http://nissens.cz","nissens.cz")</f>
        <v>nissens.cz</v>
      </c>
      <c r="C226" t="s">
        <v>435</v>
      </c>
      <c r="D226" t="s">
        <v>814</v>
      </c>
      <c r="F226">
        <v>1.10192296179141E-8</v>
      </c>
      <c r="G226">
        <v>5845269</v>
      </c>
      <c r="H226">
        <v>10961381</v>
      </c>
      <c r="I226">
        <v>34323286</v>
      </c>
      <c r="J226">
        <v>8</v>
      </c>
    </row>
    <row r="227" spans="1:10" x14ac:dyDescent="0.25">
      <c r="A227" t="s">
        <v>4</v>
      </c>
      <c r="B227" s="1" t="str">
        <f>HYPERLINK("http://datenschutz-cert.de","datenschutz-cert.de")</f>
        <v>datenschutz-cert.de</v>
      </c>
      <c r="C227" t="s">
        <v>436</v>
      </c>
      <c r="D227" t="s">
        <v>815</v>
      </c>
      <c r="F227">
        <v>2.9107518877384099E-7</v>
      </c>
      <c r="G227">
        <v>127865</v>
      </c>
      <c r="H227">
        <v>14396673</v>
      </c>
      <c r="I227">
        <v>1158960</v>
      </c>
      <c r="J227">
        <v>3</v>
      </c>
    </row>
    <row r="228" spans="1:10" x14ac:dyDescent="0.25">
      <c r="A228" t="s">
        <v>4</v>
      </c>
      <c r="B228" s="1" t="str">
        <f>HYPERLINK("http://apmollerfonde.dk","apmollerfonde.dk")</f>
        <v>apmollerfonde.dk</v>
      </c>
      <c r="C228" t="s">
        <v>437</v>
      </c>
      <c r="D228" t="s">
        <v>816</v>
      </c>
      <c r="F228">
        <v>1.3444206805548499E-7</v>
      </c>
      <c r="G228">
        <v>290394</v>
      </c>
      <c r="H228">
        <v>14311206</v>
      </c>
      <c r="I228">
        <v>1341022</v>
      </c>
      <c r="J228">
        <v>6</v>
      </c>
    </row>
    <row r="229" spans="1:10" x14ac:dyDescent="0.25">
      <c r="A229" t="s">
        <v>4</v>
      </c>
      <c r="B229" s="1" t="str">
        <f>HYPERLINK("http://duc.dk","duc.dk")</f>
        <v>duc.dk</v>
      </c>
      <c r="C229" t="s">
        <v>437</v>
      </c>
      <c r="D229" t="s">
        <v>816</v>
      </c>
      <c r="F229">
        <v>4.44380395335525E-9</v>
      </c>
      <c r="G229">
        <v>84638366</v>
      </c>
      <c r="H229">
        <v>0</v>
      </c>
      <c r="I229">
        <v>85728458</v>
      </c>
      <c r="J229">
        <v>3</v>
      </c>
    </row>
    <row r="230" spans="1:10" x14ac:dyDescent="0.25">
      <c r="A230" t="s">
        <v>4</v>
      </c>
      <c r="B230" s="1" t="str">
        <f>HYPERLINK("http://nissens.dk","nissens.dk")</f>
        <v>nissens.dk</v>
      </c>
      <c r="C230" t="s">
        <v>437</v>
      </c>
      <c r="D230" t="s">
        <v>816</v>
      </c>
      <c r="F230">
        <v>1.6382772024597399E-8</v>
      </c>
      <c r="G230">
        <v>3450248</v>
      </c>
      <c r="H230">
        <v>12717099</v>
      </c>
      <c r="I230">
        <v>15267196</v>
      </c>
      <c r="J230">
        <v>8</v>
      </c>
    </row>
    <row r="231" spans="1:10" x14ac:dyDescent="0.25">
      <c r="A231" t="s">
        <v>4</v>
      </c>
      <c r="B231" s="1" t="str">
        <f>HYPERLINK("http://starair.dk","starair.dk")</f>
        <v>starair.dk</v>
      </c>
      <c r="C231" t="s">
        <v>437</v>
      </c>
      <c r="D231" t="s">
        <v>816</v>
      </c>
      <c r="F231">
        <v>9.8729830058395705E-9</v>
      </c>
      <c r="G231">
        <v>6888487</v>
      </c>
      <c r="H231">
        <v>14072781</v>
      </c>
      <c r="I231">
        <v>3045586</v>
      </c>
      <c r="J231">
        <v>3</v>
      </c>
    </row>
    <row r="232" spans="1:10" x14ac:dyDescent="0.25">
      <c r="A232" t="s">
        <v>4</v>
      </c>
      <c r="B232" s="1" t="str">
        <f>HYPERLINK("http://scct.com.eg","scct.com.eg")</f>
        <v>scct.com.eg</v>
      </c>
      <c r="C232" t="s">
        <v>442</v>
      </c>
      <c r="D232" t="s">
        <v>821</v>
      </c>
      <c r="F232">
        <v>7.3633839112045099E-9</v>
      </c>
      <c r="G232">
        <v>11329740</v>
      </c>
      <c r="H232">
        <v>14089711</v>
      </c>
      <c r="I232">
        <v>2752838</v>
      </c>
      <c r="J232">
        <v>3</v>
      </c>
    </row>
    <row r="233" spans="1:10" x14ac:dyDescent="0.25">
      <c r="A233" t="s">
        <v>4</v>
      </c>
      <c r="B233" s="1" t="str">
        <f>HYPERLINK("http://nissens.es","nissens.es")</f>
        <v>nissens.es</v>
      </c>
      <c r="C233" t="s">
        <v>443</v>
      </c>
      <c r="D233" t="s">
        <v>822</v>
      </c>
      <c r="F233">
        <v>1.05606486484271E-8</v>
      </c>
      <c r="G233">
        <v>6217343</v>
      </c>
      <c r="H233">
        <v>10733058</v>
      </c>
      <c r="I233">
        <v>40778184</v>
      </c>
      <c r="J233">
        <v>8</v>
      </c>
    </row>
    <row r="234" spans="1:10" x14ac:dyDescent="0.25">
      <c r="A234" t="s">
        <v>4</v>
      </c>
      <c r="B234" s="1" t="str">
        <f>HYPERLINK("http://starcontainer.es","starcontainer.es")</f>
        <v>starcontainer.es</v>
      </c>
      <c r="C234" t="s">
        <v>443</v>
      </c>
      <c r="D234" t="s">
        <v>822</v>
      </c>
      <c r="F234">
        <v>5.6480413481971999E-9</v>
      </c>
      <c r="G234">
        <v>19409876</v>
      </c>
      <c r="H234">
        <v>10928497</v>
      </c>
      <c r="I234">
        <v>35096189</v>
      </c>
      <c r="J234">
        <v>3</v>
      </c>
    </row>
    <row r="235" spans="1:10" x14ac:dyDescent="0.25">
      <c r="A235" t="s">
        <v>4</v>
      </c>
      <c r="B235" s="1" t="str">
        <f>HYPERLINK("http://tcv.es","tcv.es")</f>
        <v>tcv.es</v>
      </c>
      <c r="C235" t="s">
        <v>443</v>
      </c>
      <c r="D235" t="s">
        <v>822</v>
      </c>
      <c r="F235">
        <v>4.6027774622209203E-9</v>
      </c>
      <c r="G235">
        <v>47394215</v>
      </c>
      <c r="H235">
        <v>11019361</v>
      </c>
      <c r="I235">
        <v>33267363</v>
      </c>
      <c r="J235">
        <v>3</v>
      </c>
    </row>
    <row r="236" spans="1:10" x14ac:dyDescent="0.25">
      <c r="A236" t="s">
        <v>4</v>
      </c>
      <c r="B236" s="1" t="str">
        <f>HYPERLINK("http://starcontainer.eu","starcontainer.eu")</f>
        <v>starcontainer.eu</v>
      </c>
      <c r="C236" t="s">
        <v>444</v>
      </c>
      <c r="F236">
        <v>4.4776436167666699E-9</v>
      </c>
      <c r="G236">
        <v>62839727</v>
      </c>
      <c r="H236">
        <v>9576344</v>
      </c>
      <c r="I236">
        <v>64663135</v>
      </c>
      <c r="J236">
        <v>4</v>
      </c>
    </row>
    <row r="237" spans="1:10" x14ac:dyDescent="0.25">
      <c r="A237" t="s">
        <v>4</v>
      </c>
      <c r="B237" s="1" t="str">
        <f>HYPERLINK("http://ctds.fi","ctds.fi")</f>
        <v>ctds.fi</v>
      </c>
      <c r="C237" t="s">
        <v>445</v>
      </c>
      <c r="D237" t="s">
        <v>823</v>
      </c>
      <c r="J237">
        <v>2</v>
      </c>
    </row>
    <row r="238" spans="1:10" x14ac:dyDescent="0.25">
      <c r="A238" t="s">
        <v>4</v>
      </c>
      <c r="B238" s="1" t="str">
        <f>HYPERLINK("http://ctdssuite.fi","ctdssuite.fi")</f>
        <v>ctdssuite.fi</v>
      </c>
      <c r="C238" t="s">
        <v>445</v>
      </c>
      <c r="D238" t="s">
        <v>823</v>
      </c>
      <c r="J238">
        <v>2</v>
      </c>
    </row>
    <row r="239" spans="1:10" x14ac:dyDescent="0.25">
      <c r="A239" t="s">
        <v>4</v>
      </c>
      <c r="B239" s="1" t="str">
        <f>HYPERLINK("http://kghcustoms.fi","kghcustoms.fi")</f>
        <v>kghcustoms.fi</v>
      </c>
      <c r="C239" t="s">
        <v>445</v>
      </c>
      <c r="D239" t="s">
        <v>823</v>
      </c>
      <c r="J239">
        <v>2</v>
      </c>
    </row>
    <row r="240" spans="1:10" x14ac:dyDescent="0.25">
      <c r="A240" t="s">
        <v>4</v>
      </c>
      <c r="B240" s="1" t="str">
        <f>HYPERLINK("http://maersk.fi","maersk.fi")</f>
        <v>maersk.fi</v>
      </c>
      <c r="C240" t="s">
        <v>445</v>
      </c>
      <c r="D240" t="s">
        <v>823</v>
      </c>
      <c r="J240">
        <v>4</v>
      </c>
    </row>
    <row r="241" spans="1:10" x14ac:dyDescent="0.25">
      <c r="A241" t="s">
        <v>4</v>
      </c>
      <c r="B241" s="1" t="str">
        <f>HYPERLINK("http://maersk-line.fi","maersk-line.fi")</f>
        <v>maersk-line.fi</v>
      </c>
      <c r="C241" t="s">
        <v>445</v>
      </c>
      <c r="D241" t="s">
        <v>823</v>
      </c>
      <c r="J241">
        <v>4</v>
      </c>
    </row>
    <row r="242" spans="1:10" x14ac:dyDescent="0.25">
      <c r="A242" t="s">
        <v>4</v>
      </c>
      <c r="B242" s="1" t="str">
        <f>HYPERLINK("http://maerskline.fi","maerskline.fi")</f>
        <v>maerskline.fi</v>
      </c>
      <c r="C242" t="s">
        <v>445</v>
      </c>
      <c r="D242" t="s">
        <v>823</v>
      </c>
      <c r="J242">
        <v>4</v>
      </c>
    </row>
    <row r="243" spans="1:10" x14ac:dyDescent="0.25">
      <c r="A243" t="s">
        <v>4</v>
      </c>
      <c r="B243" s="1" t="str">
        <f>HYPERLINK("http://maersksealand.fi","maersksealand.fi")</f>
        <v>maersksealand.fi</v>
      </c>
      <c r="C243" t="s">
        <v>445</v>
      </c>
      <c r="D243" t="s">
        <v>823</v>
      </c>
      <c r="J243">
        <v>4</v>
      </c>
    </row>
    <row r="244" spans="1:10" x14ac:dyDescent="0.25">
      <c r="A244" t="s">
        <v>4</v>
      </c>
      <c r="B244" s="1" t="str">
        <f>HYPERLINK("http://maersktransport.fi","maersktransport.fi")</f>
        <v>maersktransport.fi</v>
      </c>
      <c r="C244" t="s">
        <v>445</v>
      </c>
      <c r="D244" t="s">
        <v>823</v>
      </c>
      <c r="J244">
        <v>4</v>
      </c>
    </row>
    <row r="245" spans="1:10" x14ac:dyDescent="0.25">
      <c r="A245" t="s">
        <v>4</v>
      </c>
      <c r="B245" s="1" t="str">
        <f>HYPERLINK("http://maersktransport-logistics.fi","maersktransport-logistics.fi")</f>
        <v>maersktransport-logistics.fi</v>
      </c>
      <c r="C245" t="s">
        <v>445</v>
      </c>
      <c r="D245" t="s">
        <v>823</v>
      </c>
      <c r="J245">
        <v>4</v>
      </c>
    </row>
    <row r="246" spans="1:10" x14ac:dyDescent="0.25">
      <c r="A246" t="s">
        <v>4</v>
      </c>
      <c r="B246" s="1" t="str">
        <f>HYPERLINK("http://maersktransportandlogistics.fi","maersktransportandlogistics.fi")</f>
        <v>maersktransportandlogistics.fi</v>
      </c>
      <c r="C246" t="s">
        <v>445</v>
      </c>
      <c r="D246" t="s">
        <v>823</v>
      </c>
      <c r="J246">
        <v>4</v>
      </c>
    </row>
    <row r="247" spans="1:10" x14ac:dyDescent="0.25">
      <c r="A247" t="s">
        <v>4</v>
      </c>
      <c r="B247" s="1" t="str">
        <f>HYPERLINK("http://safmarine.fi","safmarine.fi")</f>
        <v>safmarine.fi</v>
      </c>
      <c r="C247" t="s">
        <v>445</v>
      </c>
      <c r="D247" t="s">
        <v>823</v>
      </c>
      <c r="J247">
        <v>4</v>
      </c>
    </row>
    <row r="248" spans="1:10" x14ac:dyDescent="0.25">
      <c r="A248" t="s">
        <v>4</v>
      </c>
      <c r="B248" s="1" t="str">
        <f>HYPERLINK("http://seago.fi","seago.fi")</f>
        <v>seago.fi</v>
      </c>
      <c r="C248" t="s">
        <v>445</v>
      </c>
      <c r="D248" t="s">
        <v>823</v>
      </c>
      <c r="J248">
        <v>4</v>
      </c>
    </row>
    <row r="249" spans="1:10" x14ac:dyDescent="0.25">
      <c r="A249" t="s">
        <v>4</v>
      </c>
      <c r="B249" s="1" t="str">
        <f>HYPERLINK("http://seago-line.fi","seago-line.fi")</f>
        <v>seago-line.fi</v>
      </c>
      <c r="C249" t="s">
        <v>445</v>
      </c>
      <c r="D249" t="s">
        <v>823</v>
      </c>
      <c r="J249">
        <v>4</v>
      </c>
    </row>
    <row r="250" spans="1:10" x14ac:dyDescent="0.25">
      <c r="A250" t="s">
        <v>4</v>
      </c>
      <c r="B250" s="1" t="str">
        <f>HYPERLINK("http://seagoline.fi","seagoline.fi")</f>
        <v>seagoline.fi</v>
      </c>
      <c r="C250" t="s">
        <v>445</v>
      </c>
      <c r="D250" t="s">
        <v>823</v>
      </c>
      <c r="J250">
        <v>4</v>
      </c>
    </row>
    <row r="251" spans="1:10" x14ac:dyDescent="0.25">
      <c r="A251" t="s">
        <v>4</v>
      </c>
      <c r="B251" s="1" t="str">
        <f>HYPERLINK("http://youship.fi","youship.fi")</f>
        <v>youship.fi</v>
      </c>
      <c r="C251" t="s">
        <v>445</v>
      </c>
      <c r="D251" t="s">
        <v>823</v>
      </c>
      <c r="J251">
        <v>4</v>
      </c>
    </row>
    <row r="252" spans="1:10" x14ac:dyDescent="0.25">
      <c r="A252" t="s">
        <v>4</v>
      </c>
      <c r="B252" s="1" t="str">
        <f>HYPERLINK("http://nissens.fr","nissens.fr")</f>
        <v>nissens.fr</v>
      </c>
      <c r="C252" t="s">
        <v>446</v>
      </c>
      <c r="D252" t="s">
        <v>824</v>
      </c>
      <c r="F252">
        <v>1.1217671992538601E-8</v>
      </c>
      <c r="G252">
        <v>5700751</v>
      </c>
      <c r="H252">
        <v>10029830</v>
      </c>
      <c r="I252">
        <v>60604855</v>
      </c>
      <c r="J252">
        <v>8</v>
      </c>
    </row>
    <row r="253" spans="1:10" x14ac:dyDescent="0.25">
      <c r="A253" t="s">
        <v>4</v>
      </c>
      <c r="B253" s="1" t="str">
        <f>HYPERLINK("http://nissens.it","nissens.it")</f>
        <v>nissens.it</v>
      </c>
      <c r="C253" t="s">
        <v>459</v>
      </c>
      <c r="D253" t="s">
        <v>835</v>
      </c>
      <c r="F253">
        <v>1.0943587901129999E-8</v>
      </c>
      <c r="G253">
        <v>5908346</v>
      </c>
      <c r="H253">
        <v>10764187</v>
      </c>
      <c r="I253">
        <v>39463324</v>
      </c>
      <c r="J253">
        <v>8</v>
      </c>
    </row>
    <row r="254" spans="1:10" x14ac:dyDescent="0.25">
      <c r="A254" t="s">
        <v>4</v>
      </c>
      <c r="B254" s="1" t="str">
        <f>HYPERLINK("http://maersk.com.mx","maersk.com.mx")</f>
        <v>maersk.com.mx</v>
      </c>
      <c r="C254" t="s">
        <v>471</v>
      </c>
      <c r="D254" t="s">
        <v>847</v>
      </c>
      <c r="J254">
        <v>3</v>
      </c>
    </row>
    <row r="255" spans="1:10" x14ac:dyDescent="0.25">
      <c r="A255" t="s">
        <v>4</v>
      </c>
      <c r="B255" s="1" t="str">
        <f>HYPERLINK("http://tcy.com.mx","tcy.com.mx")</f>
        <v>tcy.com.mx</v>
      </c>
      <c r="C255" t="s">
        <v>471</v>
      </c>
      <c r="D255" t="s">
        <v>847</v>
      </c>
      <c r="F255">
        <v>5.1035106003343804E-9</v>
      </c>
      <c r="G255">
        <v>27005451</v>
      </c>
      <c r="H255">
        <v>11120233</v>
      </c>
      <c r="I255">
        <v>32046751</v>
      </c>
      <c r="J255">
        <v>3</v>
      </c>
    </row>
    <row r="256" spans="1:10" x14ac:dyDescent="0.25">
      <c r="A256" t="s">
        <v>4</v>
      </c>
      <c r="B256" s="1" t="str">
        <f>HYPERLINK("http://apmoller.net","apmoller.net")</f>
        <v>apmoller.net</v>
      </c>
      <c r="C256" t="s">
        <v>474</v>
      </c>
      <c r="E256">
        <v>256272</v>
      </c>
      <c r="F256">
        <v>4.6844658819697196E-9</v>
      </c>
      <c r="G256">
        <v>42084836</v>
      </c>
      <c r="H256">
        <v>12004520</v>
      </c>
      <c r="I256">
        <v>28176795</v>
      </c>
      <c r="J256">
        <v>4</v>
      </c>
    </row>
    <row r="257" spans="1:10" x14ac:dyDescent="0.25">
      <c r="A257" t="s">
        <v>4</v>
      </c>
      <c r="B257" s="1" t="str">
        <f>HYPERLINK("http://kghav.no","kghav.no")</f>
        <v>kghav.no</v>
      </c>
      <c r="C257" t="s">
        <v>478</v>
      </c>
      <c r="D257" t="s">
        <v>853</v>
      </c>
      <c r="F257">
        <v>6.2777959007617303E-9</v>
      </c>
      <c r="G257">
        <v>15137925</v>
      </c>
      <c r="H257">
        <v>10158299</v>
      </c>
      <c r="I257">
        <v>59396152</v>
      </c>
      <c r="J257">
        <v>3</v>
      </c>
    </row>
    <row r="258" spans="1:10" x14ac:dyDescent="0.25">
      <c r="A258" t="s">
        <v>4</v>
      </c>
      <c r="B258" s="1" t="str">
        <f>HYPERLINK("http://resq.no","resq.no")</f>
        <v>resq.no</v>
      </c>
      <c r="C258" t="s">
        <v>478</v>
      </c>
      <c r="D258" t="s">
        <v>853</v>
      </c>
      <c r="F258">
        <v>1.0691151545163899E-8</v>
      </c>
      <c r="G258">
        <v>6107937</v>
      </c>
      <c r="H258">
        <v>13764396</v>
      </c>
      <c r="I258">
        <v>7277615</v>
      </c>
      <c r="J258">
        <v>3</v>
      </c>
    </row>
    <row r="259" spans="1:10" x14ac:dyDescent="0.25">
      <c r="A259" t="s">
        <v>4</v>
      </c>
      <c r="B259" s="1" t="str">
        <f>HYPERLINK("http://nissens.com.pl","nissens.com.pl")</f>
        <v>nissens.com.pl</v>
      </c>
      <c r="C259" t="s">
        <v>486</v>
      </c>
      <c r="D259" t="s">
        <v>860</v>
      </c>
      <c r="F259">
        <v>1.6053255622180101E-8</v>
      </c>
      <c r="G259">
        <v>3532479</v>
      </c>
      <c r="H259">
        <v>12075430</v>
      </c>
      <c r="I259">
        <v>26675080</v>
      </c>
      <c r="J259">
        <v>8</v>
      </c>
    </row>
    <row r="260" spans="1:10" x14ac:dyDescent="0.25">
      <c r="A260" t="s">
        <v>4</v>
      </c>
      <c r="B260" s="1" t="str">
        <f>HYPERLINK("http://maersk.ru","maersk.ru")</f>
        <v>maersk.ru</v>
      </c>
      <c r="C260" t="s">
        <v>493</v>
      </c>
      <c r="D260" t="s">
        <v>867</v>
      </c>
      <c r="F260">
        <v>1.0629322317618E-8</v>
      </c>
      <c r="G260">
        <v>6158881</v>
      </c>
      <c r="H260">
        <v>10935993</v>
      </c>
      <c r="I260">
        <v>34936807</v>
      </c>
      <c r="J260">
        <v>2</v>
      </c>
    </row>
    <row r="261" spans="1:10" x14ac:dyDescent="0.25">
      <c r="A261" t="s">
        <v>4</v>
      </c>
      <c r="B261" s="1" t="str">
        <f>HYPERLINK("http://nissens.ru","nissens.ru")</f>
        <v>nissens.ru</v>
      </c>
      <c r="C261" t="s">
        <v>493</v>
      </c>
      <c r="D261" t="s">
        <v>867</v>
      </c>
      <c r="F261">
        <v>6.4038432989902502E-9</v>
      </c>
      <c r="G261">
        <v>14498990</v>
      </c>
      <c r="H261">
        <v>10372874</v>
      </c>
      <c r="I261">
        <v>54773191</v>
      </c>
      <c r="J261">
        <v>8</v>
      </c>
    </row>
    <row r="262" spans="1:10" x14ac:dyDescent="0.25">
      <c r="A262" t="s">
        <v>4</v>
      </c>
      <c r="B262" s="1" t="str">
        <f>HYPERLINK("http://skandiacontainer.se","skandiacontainer.se")</f>
        <v>skandiacontainer.se</v>
      </c>
      <c r="C262" t="s">
        <v>495</v>
      </c>
      <c r="D262" t="s">
        <v>869</v>
      </c>
      <c r="J262">
        <v>3</v>
      </c>
    </row>
    <row r="263" spans="1:10" x14ac:dyDescent="0.25">
      <c r="A263" t="s">
        <v>4</v>
      </c>
      <c r="B263" s="1" t="str">
        <f>HYPERLINK("http://apmsingapore.com.sg","apmsingapore.com.sg")</f>
        <v>apmsingapore.com.sg</v>
      </c>
      <c r="C263" t="s">
        <v>496</v>
      </c>
      <c r="D263" t="s">
        <v>870</v>
      </c>
      <c r="F263">
        <v>4.5698631042560998E-9</v>
      </c>
      <c r="G263">
        <v>50197108</v>
      </c>
      <c r="H263">
        <v>11028206</v>
      </c>
      <c r="I263">
        <v>33130315</v>
      </c>
      <c r="J263">
        <v>3</v>
      </c>
    </row>
    <row r="264" spans="1:10" x14ac:dyDescent="0.25">
      <c r="A264" t="s">
        <v>4</v>
      </c>
      <c r="B264" s="1" t="str">
        <f>HYPERLINK("http://nissens.sk","nissens.sk")</f>
        <v>nissens.sk</v>
      </c>
      <c r="C264" t="s">
        <v>498</v>
      </c>
      <c r="D264" t="s">
        <v>872</v>
      </c>
      <c r="F264">
        <v>1.13495497700813E-8</v>
      </c>
      <c r="G264">
        <v>5608530</v>
      </c>
      <c r="H264">
        <v>12168468</v>
      </c>
      <c r="I264">
        <v>24110155</v>
      </c>
      <c r="J264">
        <v>8</v>
      </c>
    </row>
    <row r="265" spans="1:10" x14ac:dyDescent="0.25">
      <c r="A265" t="s">
        <v>4</v>
      </c>
      <c r="B265" s="1" t="str">
        <f>HYPERLINK("http://maersk.co.uk","maersk.co.uk")</f>
        <v>maersk.co.uk</v>
      </c>
      <c r="C265" t="s">
        <v>506</v>
      </c>
      <c r="D265" t="s">
        <v>880</v>
      </c>
      <c r="F265">
        <v>5.1017844113887003E-9</v>
      </c>
      <c r="G265">
        <v>27039798</v>
      </c>
      <c r="H265">
        <v>10955560</v>
      </c>
      <c r="I265">
        <v>34458958</v>
      </c>
      <c r="J265">
        <v>4</v>
      </c>
    </row>
    <row r="266" spans="1:10" x14ac:dyDescent="0.25">
      <c r="A266" t="s">
        <v>4</v>
      </c>
      <c r="B266" s="1" t="str">
        <f>HYPERLINK("http://alianca.com.vc","alianca.com.vc")</f>
        <v>alianca.com.vc</v>
      </c>
      <c r="C266" t="s">
        <v>520</v>
      </c>
      <c r="D266" t="s">
        <v>890</v>
      </c>
      <c r="J266">
        <v>4</v>
      </c>
    </row>
    <row r="267" spans="1:10" x14ac:dyDescent="0.25">
      <c r="A267" t="s">
        <v>5</v>
      </c>
      <c r="B267" s="1" t="str">
        <f>HYPERLINK("http://asml.com","asml.com")</f>
        <v>asml.com</v>
      </c>
      <c r="C267" t="s">
        <v>433</v>
      </c>
      <c r="E267">
        <v>29037</v>
      </c>
      <c r="F267">
        <v>6.9651621015892896E-7</v>
      </c>
      <c r="G267">
        <v>55465</v>
      </c>
      <c r="H267">
        <v>17306172</v>
      </c>
      <c r="I267">
        <v>27184</v>
      </c>
      <c r="J267">
        <v>1</v>
      </c>
    </row>
    <row r="268" spans="1:10" x14ac:dyDescent="0.25">
      <c r="A268" t="s">
        <v>5</v>
      </c>
      <c r="B268" s="1" t="str">
        <f>HYPERLINK("http://berlinerglas.com","berlinerglas.com")</f>
        <v>berlinerglas.com</v>
      </c>
      <c r="C268" t="s">
        <v>433</v>
      </c>
      <c r="F268">
        <v>9.6621153085724196E-9</v>
      </c>
      <c r="G268">
        <v>7126225</v>
      </c>
      <c r="H268">
        <v>13049658</v>
      </c>
      <c r="I268">
        <v>12590653</v>
      </c>
      <c r="J268">
        <v>6</v>
      </c>
    </row>
    <row r="269" spans="1:10" x14ac:dyDescent="0.25">
      <c r="A269" t="s">
        <v>5</v>
      </c>
      <c r="B269" s="1" t="str">
        <f>HYPERLINK("http://brion.com","brion.com")</f>
        <v>brion.com</v>
      </c>
      <c r="C269" t="s">
        <v>433</v>
      </c>
      <c r="F269">
        <v>7.5984812534133906E-9</v>
      </c>
      <c r="G269">
        <v>10798045</v>
      </c>
      <c r="H269">
        <v>12777329</v>
      </c>
      <c r="I269">
        <v>14785934</v>
      </c>
      <c r="J269">
        <v>3</v>
      </c>
    </row>
    <row r="270" spans="1:10" x14ac:dyDescent="0.25">
      <c r="A270" t="s">
        <v>5</v>
      </c>
      <c r="B270" s="1" t="str">
        <f>HYPERLINK("http://briontech.com","briontech.com")</f>
        <v>briontech.com</v>
      </c>
      <c r="C270" t="s">
        <v>433</v>
      </c>
      <c r="F270">
        <v>4.5605630668289498E-9</v>
      </c>
      <c r="G270">
        <v>51118539</v>
      </c>
      <c r="H270">
        <v>10814754</v>
      </c>
      <c r="I270">
        <v>37743977</v>
      </c>
      <c r="J270">
        <v>4</v>
      </c>
    </row>
    <row r="271" spans="1:10" x14ac:dyDescent="0.25">
      <c r="A271" t="s">
        <v>5</v>
      </c>
      <c r="B271" s="1" t="str">
        <f>HYPERLINK("http://cymer.com","cymer.com")</f>
        <v>cymer.com</v>
      </c>
      <c r="C271" t="s">
        <v>433</v>
      </c>
      <c r="E271">
        <v>379005</v>
      </c>
      <c r="F271">
        <v>4.4550850984519297E-8</v>
      </c>
      <c r="G271">
        <v>1063483</v>
      </c>
      <c r="H271">
        <v>14628708</v>
      </c>
      <c r="I271">
        <v>647318</v>
      </c>
      <c r="J271">
        <v>3</v>
      </c>
    </row>
    <row r="272" spans="1:10" x14ac:dyDescent="0.25">
      <c r="A272" t="s">
        <v>5</v>
      </c>
      <c r="B272" s="1" t="str">
        <f>HYPERLINK("http://berlinerglas.de","berlinerglas.de")</f>
        <v>berlinerglas.de</v>
      </c>
      <c r="C272" t="s">
        <v>436</v>
      </c>
      <c r="D272" t="s">
        <v>815</v>
      </c>
      <c r="F272">
        <v>3.1964909501919302E-8</v>
      </c>
      <c r="G272">
        <v>1616653</v>
      </c>
      <c r="H272">
        <v>13761146</v>
      </c>
      <c r="I272">
        <v>9413695</v>
      </c>
      <c r="J272">
        <v>5</v>
      </c>
    </row>
    <row r="273" spans="1:10" x14ac:dyDescent="0.25">
      <c r="A273" t="s">
        <v>6</v>
      </c>
      <c r="B273" s="1" t="str">
        <f>HYPERLINK("http://playartepictures.com.br","playartepictures.com.br")</f>
        <v>playartepictures.com.br</v>
      </c>
      <c r="C273" t="s">
        <v>425</v>
      </c>
      <c r="D273" t="s">
        <v>806</v>
      </c>
      <c r="F273">
        <v>5.3605915663396499E-9</v>
      </c>
      <c r="G273">
        <v>22662094</v>
      </c>
      <c r="H273">
        <v>14119737</v>
      </c>
      <c r="I273">
        <v>2478131</v>
      </c>
      <c r="J273">
        <v>3</v>
      </c>
    </row>
    <row r="274" spans="1:10" x14ac:dyDescent="0.25">
      <c r="A274" t="s">
        <v>6</v>
      </c>
      <c r="B274" s="1" t="str">
        <f>HYPERLINK("http://aiowireless.com","aiowireless.com")</f>
        <v>aiowireless.com</v>
      </c>
      <c r="C274" t="s">
        <v>433</v>
      </c>
      <c r="E274">
        <v>573573</v>
      </c>
      <c r="F274">
        <v>3.0138370614071003E-7</v>
      </c>
      <c r="G274">
        <v>123406</v>
      </c>
      <c r="H274">
        <v>14347301</v>
      </c>
      <c r="I274">
        <v>1311365</v>
      </c>
      <c r="J274">
        <v>4</v>
      </c>
    </row>
    <row r="275" spans="1:10" x14ac:dyDescent="0.25">
      <c r="A275" t="s">
        <v>6</v>
      </c>
      <c r="B275" s="1" t="str">
        <f>HYPERLINK("http://aitcusa.com","aitcusa.com")</f>
        <v>aitcusa.com</v>
      </c>
      <c r="C275" t="s">
        <v>433</v>
      </c>
      <c r="F275">
        <v>6.0211659612999197E-9</v>
      </c>
      <c r="G275">
        <v>16554772</v>
      </c>
      <c r="H275">
        <v>13295651</v>
      </c>
      <c r="I275">
        <v>10849925</v>
      </c>
      <c r="J275">
        <v>4</v>
      </c>
    </row>
    <row r="276" spans="1:10" x14ac:dyDescent="0.25">
      <c r="A276" t="s">
        <v>6</v>
      </c>
      <c r="B276" s="1" t="str">
        <f>HYPERLINK("http://alienvault.com","alienvault.com")</f>
        <v>alienvault.com</v>
      </c>
      <c r="C276" t="s">
        <v>433</v>
      </c>
      <c r="E276">
        <v>18526</v>
      </c>
      <c r="F276">
        <v>1.0969654427696599E-6</v>
      </c>
      <c r="G276">
        <v>35062</v>
      </c>
      <c r="H276">
        <v>17373480</v>
      </c>
      <c r="I276">
        <v>21178</v>
      </c>
      <c r="J276">
        <v>6</v>
      </c>
    </row>
    <row r="277" spans="1:10" x14ac:dyDescent="0.25">
      <c r="A277" t="s">
        <v>6</v>
      </c>
      <c r="B277" s="1" t="str">
        <f>HYPERLINK("http://atandt.com","atandt.com")</f>
        <v>atandt.com</v>
      </c>
      <c r="C277" t="s">
        <v>433</v>
      </c>
      <c r="F277">
        <v>1.08218664753416E-8</v>
      </c>
      <c r="G277">
        <v>6003549</v>
      </c>
      <c r="H277">
        <v>12976264</v>
      </c>
      <c r="I277">
        <v>13012087</v>
      </c>
      <c r="J277">
        <v>5</v>
      </c>
    </row>
    <row r="278" spans="1:10" x14ac:dyDescent="0.25">
      <c r="A278" t="s">
        <v>6</v>
      </c>
      <c r="B278" s="1" t="str">
        <f>HYPERLINK("http://atant.com","atant.com")</f>
        <v>atant.com</v>
      </c>
      <c r="C278" t="s">
        <v>433</v>
      </c>
      <c r="J278">
        <v>5</v>
      </c>
    </row>
    <row r="279" spans="1:10" x14ac:dyDescent="0.25">
      <c r="A279" t="s">
        <v>6</v>
      </c>
      <c r="B279" s="1" t="str">
        <f>HYPERLINK("http://att.com","att.com")</f>
        <v>att.com</v>
      </c>
      <c r="C279" t="s">
        <v>433</v>
      </c>
      <c r="E279">
        <v>514</v>
      </c>
      <c r="F279">
        <v>2.5267485007881402E-5</v>
      </c>
      <c r="G279">
        <v>1162</v>
      </c>
      <c r="H279">
        <v>18470962</v>
      </c>
      <c r="I279">
        <v>1700</v>
      </c>
      <c r="J279">
        <v>1</v>
      </c>
    </row>
    <row r="280" spans="1:10" x14ac:dyDescent="0.25">
      <c r="A280" t="s">
        <v>6</v>
      </c>
      <c r="B280" s="1" t="str">
        <f>HYPERLINK("http://att-mail.com","att-mail.com")</f>
        <v>att-mail.com</v>
      </c>
      <c r="C280" t="s">
        <v>433</v>
      </c>
      <c r="E280">
        <v>51757</v>
      </c>
      <c r="F280">
        <v>2.1597989178981899E-8</v>
      </c>
      <c r="G280">
        <v>2436833</v>
      </c>
      <c r="H280">
        <v>13961404</v>
      </c>
      <c r="I280">
        <v>4107857</v>
      </c>
      <c r="J280">
        <v>3</v>
      </c>
    </row>
    <row r="281" spans="1:10" x14ac:dyDescent="0.25">
      <c r="A281" t="s">
        <v>6</v>
      </c>
      <c r="B281" s="1" t="str">
        <f>HYPERLINK("http://attcompute.com","attcompute.com")</f>
        <v>attcompute.com</v>
      </c>
      <c r="C281" t="s">
        <v>433</v>
      </c>
      <c r="E281">
        <v>6353</v>
      </c>
      <c r="F281">
        <v>2.40882342399128E-8</v>
      </c>
      <c r="G281">
        <v>2154373</v>
      </c>
      <c r="H281">
        <v>13808578</v>
      </c>
      <c r="I281">
        <v>6219887</v>
      </c>
      <c r="J281">
        <v>3</v>
      </c>
    </row>
    <row r="282" spans="1:10" x14ac:dyDescent="0.25">
      <c r="A282" t="s">
        <v>6</v>
      </c>
      <c r="B282" s="1" t="str">
        <f>HYPERLINK("http://attexperience.com","attexperience.com")</f>
        <v>attexperience.com</v>
      </c>
      <c r="C282" t="s">
        <v>433</v>
      </c>
      <c r="F282">
        <v>1.2921708062889301E-8</v>
      </c>
      <c r="G282">
        <v>4669143</v>
      </c>
      <c r="H282">
        <v>13570720</v>
      </c>
      <c r="I282">
        <v>9722963</v>
      </c>
      <c r="J282">
        <v>4</v>
      </c>
    </row>
    <row r="283" spans="1:10" x14ac:dyDescent="0.25">
      <c r="A283" t="s">
        <v>6</v>
      </c>
      <c r="B283" s="1" t="str">
        <f>HYPERLINK("http://attinox.com","attinox.com")</f>
        <v>attinox.com</v>
      </c>
      <c r="C283" t="s">
        <v>433</v>
      </c>
      <c r="F283">
        <v>5.4456775959422401E-9</v>
      </c>
      <c r="G283">
        <v>21550110</v>
      </c>
      <c r="H283">
        <v>10724025</v>
      </c>
      <c r="I283">
        <v>41439734</v>
      </c>
      <c r="J283">
        <v>6</v>
      </c>
    </row>
    <row r="284" spans="1:10" x14ac:dyDescent="0.25">
      <c r="A284" t="s">
        <v>6</v>
      </c>
      <c r="B284" s="1" t="str">
        <f>HYPERLINK("http://attpurchasing.com","attpurchasing.com")</f>
        <v>attpurchasing.com</v>
      </c>
      <c r="C284" t="s">
        <v>433</v>
      </c>
      <c r="F284">
        <v>4.7438457884800002E-9</v>
      </c>
      <c r="G284">
        <v>38617905</v>
      </c>
      <c r="H284">
        <v>12522064</v>
      </c>
      <c r="I284">
        <v>17127671</v>
      </c>
      <c r="J284">
        <v>3</v>
      </c>
    </row>
    <row r="285" spans="1:10" x14ac:dyDescent="0.25">
      <c r="A285" t="s">
        <v>6</v>
      </c>
      <c r="B285" s="1" t="str">
        <f>HYPERLINK("http://attsavings.com","attsavings.com")</f>
        <v>attsavings.com</v>
      </c>
      <c r="C285" t="s">
        <v>433</v>
      </c>
      <c r="E285">
        <v>141997</v>
      </c>
      <c r="F285">
        <v>2.3322807985481699E-7</v>
      </c>
      <c r="G285">
        <v>160825</v>
      </c>
      <c r="H285">
        <v>17057954</v>
      </c>
      <c r="I285">
        <v>74599</v>
      </c>
      <c r="J285">
        <v>4</v>
      </c>
    </row>
    <row r="286" spans="1:10" x14ac:dyDescent="0.25">
      <c r="A286" t="s">
        <v>6</v>
      </c>
      <c r="B286" s="1" t="str">
        <f>HYPERLINK("http://attsuppliers.com","attsuppliers.com")</f>
        <v>attsuppliers.com</v>
      </c>
      <c r="C286" t="s">
        <v>433</v>
      </c>
      <c r="E286">
        <v>482888</v>
      </c>
      <c r="F286">
        <v>2.6912229574533101E-8</v>
      </c>
      <c r="G286">
        <v>1911332</v>
      </c>
      <c r="H286">
        <v>13127984</v>
      </c>
      <c r="I286">
        <v>11949533</v>
      </c>
      <c r="J286">
        <v>3</v>
      </c>
    </row>
    <row r="287" spans="1:10" x14ac:dyDescent="0.25">
      <c r="A287" t="s">
        <v>6</v>
      </c>
      <c r="B287" s="1" t="str">
        <f>HYPERLINK("http://atttest.com","atttest.com")</f>
        <v>atttest.com</v>
      </c>
      <c r="C287" t="s">
        <v>433</v>
      </c>
      <c r="E287">
        <v>106275</v>
      </c>
      <c r="F287">
        <v>4.4438099640082497E-9</v>
      </c>
      <c r="G287">
        <v>79609770</v>
      </c>
      <c r="H287">
        <v>10351910</v>
      </c>
      <c r="I287">
        <v>56116547</v>
      </c>
      <c r="J287">
        <v>3</v>
      </c>
    </row>
    <row r="288" spans="1:10" x14ac:dyDescent="0.25">
      <c r="A288" t="s">
        <v>6</v>
      </c>
      <c r="B288" s="1" t="str">
        <f>HYPERLINK("http://attvip.com","attvip.com")</f>
        <v>attvip.com</v>
      </c>
      <c r="C288" t="s">
        <v>433</v>
      </c>
      <c r="E288">
        <v>316784</v>
      </c>
      <c r="F288">
        <v>1.01850254050744E-8</v>
      </c>
      <c r="G288">
        <v>6561741</v>
      </c>
      <c r="H288">
        <v>12813381</v>
      </c>
      <c r="I288">
        <v>14546994</v>
      </c>
      <c r="J288">
        <v>4</v>
      </c>
    </row>
    <row r="289" spans="1:10" x14ac:dyDescent="0.25">
      <c r="A289" t="s">
        <v>6</v>
      </c>
      <c r="B289" s="1" t="str">
        <f>HYPERLINK("http://attws.com","attws.com")</f>
        <v>attws.com</v>
      </c>
      <c r="C289" t="s">
        <v>433</v>
      </c>
      <c r="E289">
        <v>292300</v>
      </c>
      <c r="F289">
        <v>9.6330316772265003E-8</v>
      </c>
      <c r="G289">
        <v>419895</v>
      </c>
      <c r="H289">
        <v>14218769</v>
      </c>
      <c r="I289">
        <v>1688509</v>
      </c>
      <c r="J289">
        <v>3</v>
      </c>
    </row>
    <row r="290" spans="1:10" x14ac:dyDescent="0.25">
      <c r="A290" t="s">
        <v>6</v>
      </c>
      <c r="B290" s="1" t="str">
        <f>HYPERLINK("http://awcc.com","awcc.com")</f>
        <v>awcc.com</v>
      </c>
      <c r="C290" t="s">
        <v>433</v>
      </c>
      <c r="F290">
        <v>5.1541768452494499E-9</v>
      </c>
      <c r="G290">
        <v>26002661</v>
      </c>
      <c r="H290">
        <v>12458248</v>
      </c>
      <c r="I290">
        <v>17898969</v>
      </c>
      <c r="J290">
        <v>4</v>
      </c>
    </row>
    <row r="291" spans="1:10" x14ac:dyDescent="0.25">
      <c r="A291" t="s">
        <v>6</v>
      </c>
      <c r="B291" s="1" t="str">
        <f>HYPERLINK("http://bellsouth.com","bellsouth.com")</f>
        <v>bellsouth.com</v>
      </c>
      <c r="C291" t="s">
        <v>433</v>
      </c>
      <c r="E291">
        <v>106820</v>
      </c>
      <c r="F291">
        <v>1.2600025780311E-7</v>
      </c>
      <c r="G291">
        <v>313033</v>
      </c>
      <c r="H291">
        <v>14900275</v>
      </c>
      <c r="I291">
        <v>462811</v>
      </c>
      <c r="J291">
        <v>3</v>
      </c>
    </row>
    <row r="292" spans="1:10" x14ac:dyDescent="0.25">
      <c r="A292" t="s">
        <v>6</v>
      </c>
      <c r="B292" s="1" t="str">
        <f>HYPERLINK("http://connectwireless.com","connectwireless.com")</f>
        <v>connectwireless.com</v>
      </c>
      <c r="C292" t="s">
        <v>433</v>
      </c>
      <c r="F292">
        <v>5.1648509179547996E-9</v>
      </c>
      <c r="G292">
        <v>25813583</v>
      </c>
      <c r="H292">
        <v>12242655</v>
      </c>
      <c r="I292">
        <v>22180001</v>
      </c>
      <c r="J292">
        <v>4</v>
      </c>
    </row>
    <row r="293" spans="1:10" x14ac:dyDescent="0.25">
      <c r="A293" t="s">
        <v>6</v>
      </c>
      <c r="B293" s="1" t="str">
        <f>HYPERLINK("http://cricketwireless.com","cricketwireless.com")</f>
        <v>cricketwireless.com</v>
      </c>
      <c r="C293" t="s">
        <v>433</v>
      </c>
      <c r="E293">
        <v>15888</v>
      </c>
      <c r="F293">
        <v>1.3764803693624301E-6</v>
      </c>
      <c r="G293">
        <v>28296</v>
      </c>
      <c r="H293">
        <v>17468976</v>
      </c>
      <c r="I293">
        <v>15125</v>
      </c>
      <c r="J293">
        <v>3</v>
      </c>
    </row>
    <row r="294" spans="1:10" x14ac:dyDescent="0.25">
      <c r="A294" t="s">
        <v>6</v>
      </c>
      <c r="B294" s="1" t="str">
        <f>HYPERLINK("http://cricketwirless.com","cricketwirless.com")</f>
        <v>cricketwirless.com</v>
      </c>
      <c r="C294" t="s">
        <v>433</v>
      </c>
      <c r="J294">
        <v>4</v>
      </c>
    </row>
    <row r="295" spans="1:10" x14ac:dyDescent="0.25">
      <c r="A295" t="s">
        <v>6</v>
      </c>
      <c r="B295" s="1" t="str">
        <f>HYPERLINK("http://directv.com","directv.com")</f>
        <v>directv.com</v>
      </c>
      <c r="C295" t="s">
        <v>433</v>
      </c>
      <c r="E295">
        <v>4715</v>
      </c>
      <c r="F295">
        <v>5.5875799985358696E-6</v>
      </c>
      <c r="G295">
        <v>6223</v>
      </c>
      <c r="H295">
        <v>17546310</v>
      </c>
      <c r="I295">
        <v>11435</v>
      </c>
      <c r="J295">
        <v>3</v>
      </c>
    </row>
    <row r="296" spans="1:10" x14ac:dyDescent="0.25">
      <c r="A296" t="s">
        <v>6</v>
      </c>
      <c r="B296" s="1" t="str">
        <f>HYPERLINK("http://iusacel.com","iusacel.com")</f>
        <v>iusacel.com</v>
      </c>
      <c r="C296" t="s">
        <v>433</v>
      </c>
      <c r="J296">
        <v>7</v>
      </c>
    </row>
    <row r="297" spans="1:10" x14ac:dyDescent="0.25">
      <c r="A297" t="s">
        <v>6</v>
      </c>
      <c r="B297" s="1" t="str">
        <f>HYPERLINK("http://iusacell.com","iusacell.com")</f>
        <v>iusacell.com</v>
      </c>
      <c r="C297" t="s">
        <v>433</v>
      </c>
      <c r="E297">
        <v>622454</v>
      </c>
      <c r="F297">
        <v>6.2860621415087403E-9</v>
      </c>
      <c r="G297">
        <v>15098825</v>
      </c>
      <c r="H297">
        <v>13820941</v>
      </c>
      <c r="I297">
        <v>6143067</v>
      </c>
      <c r="J297">
        <v>5</v>
      </c>
    </row>
    <row r="298" spans="1:10" x14ac:dyDescent="0.25">
      <c r="A298" t="s">
        <v>6</v>
      </c>
      <c r="B298" s="1" t="str">
        <f>HYPERLINK("http://mycricket.com","mycricket.com")</f>
        <v>mycricket.com</v>
      </c>
      <c r="C298" t="s">
        <v>433</v>
      </c>
      <c r="E298">
        <v>316490</v>
      </c>
      <c r="F298">
        <v>1.22906497702082E-7</v>
      </c>
      <c r="G298">
        <v>321105</v>
      </c>
      <c r="H298">
        <v>14549878</v>
      </c>
      <c r="I298">
        <v>760647</v>
      </c>
      <c r="J298">
        <v>4</v>
      </c>
    </row>
    <row r="299" spans="1:10" x14ac:dyDescent="0.25">
      <c r="A299" t="s">
        <v>6</v>
      </c>
      <c r="B299" s="1" t="str">
        <f>HYPERLINK("http://mymobiledirect.com","mymobiledirect.com")</f>
        <v>mymobiledirect.com</v>
      </c>
      <c r="C299" t="s">
        <v>433</v>
      </c>
      <c r="F299">
        <v>4.4673942347730098E-9</v>
      </c>
      <c r="G299">
        <v>65322792</v>
      </c>
      <c r="H299">
        <v>9499168</v>
      </c>
      <c r="I299">
        <v>65744854</v>
      </c>
      <c r="J299">
        <v>4</v>
      </c>
    </row>
    <row r="300" spans="1:10" x14ac:dyDescent="0.25">
      <c r="A300" t="s">
        <v>6</v>
      </c>
      <c r="B300" s="1" t="str">
        <f>HYPERLINK("http://numerocom.com","numerocom.com")</f>
        <v>numerocom.com</v>
      </c>
      <c r="C300" t="s">
        <v>433</v>
      </c>
      <c r="J300">
        <v>5</v>
      </c>
    </row>
    <row r="301" spans="1:10" x14ac:dyDescent="0.25">
      <c r="A301" t="s">
        <v>6</v>
      </c>
      <c r="B301" s="1" t="str">
        <f>HYPERLINK("http://numerounocom.com","numerounocom.com")</f>
        <v>numerounocom.com</v>
      </c>
      <c r="C301" t="s">
        <v>433</v>
      </c>
      <c r="J301">
        <v>3</v>
      </c>
    </row>
    <row r="302" spans="1:10" x14ac:dyDescent="0.25">
      <c r="A302" t="s">
        <v>6</v>
      </c>
      <c r="B302" s="1" t="str">
        <f>HYPERLINK("http://sbc.com","sbc.com")</f>
        <v>sbc.com</v>
      </c>
      <c r="C302" t="s">
        <v>433</v>
      </c>
      <c r="E302">
        <v>8808</v>
      </c>
      <c r="F302">
        <v>3.1379259702386299E-7</v>
      </c>
      <c r="G302">
        <v>118466</v>
      </c>
      <c r="H302">
        <v>17267930</v>
      </c>
      <c r="I302">
        <v>31616</v>
      </c>
      <c r="J302">
        <v>3</v>
      </c>
    </row>
    <row r="303" spans="1:10" x14ac:dyDescent="0.25">
      <c r="A303" t="s">
        <v>6</v>
      </c>
      <c r="B303" s="1" t="str">
        <f>HYPERLINK("http://skaggsfamilytree.com","skaggsfamilytree.com")</f>
        <v>skaggsfamilytree.com</v>
      </c>
      <c r="C303" t="s">
        <v>433</v>
      </c>
      <c r="F303">
        <v>4.44380395335525E-9</v>
      </c>
      <c r="G303">
        <v>83434344</v>
      </c>
      <c r="H303">
        <v>0</v>
      </c>
      <c r="I303">
        <v>84258381</v>
      </c>
      <c r="J303">
        <v>3</v>
      </c>
    </row>
    <row r="304" spans="1:10" x14ac:dyDescent="0.25">
      <c r="A304" t="s">
        <v>6</v>
      </c>
      <c r="B304" s="1" t="str">
        <f>HYPERLINK("http://springmobile.com","springmobile.com")</f>
        <v>springmobile.com</v>
      </c>
      <c r="C304" t="s">
        <v>433</v>
      </c>
      <c r="F304">
        <v>4.5993069750560301E-8</v>
      </c>
      <c r="G304">
        <v>1020758</v>
      </c>
      <c r="H304">
        <v>13537853</v>
      </c>
      <c r="I304">
        <v>9910744</v>
      </c>
      <c r="J304">
        <v>4</v>
      </c>
    </row>
    <row r="305" spans="1:10" x14ac:dyDescent="0.25">
      <c r="A305" t="s">
        <v>6</v>
      </c>
      <c r="B305" s="1" t="str">
        <f>HYPERLINK("http://att.eu","att.eu")</f>
        <v>att.eu</v>
      </c>
      <c r="C305" t="s">
        <v>444</v>
      </c>
      <c r="F305">
        <v>2.3390523276052201E-8</v>
      </c>
      <c r="G305">
        <v>2226835</v>
      </c>
      <c r="H305">
        <v>12059132</v>
      </c>
      <c r="I305">
        <v>27033309</v>
      </c>
      <c r="J305">
        <v>4</v>
      </c>
    </row>
    <row r="306" spans="1:10" x14ac:dyDescent="0.25">
      <c r="A306" t="s">
        <v>6</v>
      </c>
      <c r="B306" s="1" t="str">
        <f>HYPERLINK("http://directv.fi","directv.fi")</f>
        <v>directv.fi</v>
      </c>
      <c r="C306" t="s">
        <v>445</v>
      </c>
      <c r="D306" t="s">
        <v>823</v>
      </c>
      <c r="F306">
        <v>4.44381528729582E-9</v>
      </c>
      <c r="G306">
        <v>79407513</v>
      </c>
      <c r="H306">
        <v>10358497</v>
      </c>
      <c r="I306">
        <v>55392322</v>
      </c>
      <c r="J306">
        <v>4</v>
      </c>
    </row>
    <row r="307" spans="1:10" x14ac:dyDescent="0.25">
      <c r="A307" t="s">
        <v>6</v>
      </c>
      <c r="B307" s="1" t="str">
        <f>HYPERLINK("http://att.is","att.is")</f>
        <v>att.is</v>
      </c>
      <c r="C307" t="s">
        <v>594</v>
      </c>
      <c r="D307" t="s">
        <v>929</v>
      </c>
      <c r="F307">
        <v>5.9592209959081103E-9</v>
      </c>
      <c r="G307">
        <v>16960054</v>
      </c>
      <c r="H307">
        <v>11443006</v>
      </c>
      <c r="I307">
        <v>30130190</v>
      </c>
      <c r="J307">
        <v>3</v>
      </c>
    </row>
    <row r="308" spans="1:10" x14ac:dyDescent="0.25">
      <c r="A308" t="s">
        <v>6</v>
      </c>
      <c r="B308" s="1" t="str">
        <f>HYPERLINK("http://att.jobs","att.jobs")</f>
        <v>att.jobs</v>
      </c>
      <c r="C308" t="s">
        <v>521</v>
      </c>
      <c r="E308">
        <v>88206</v>
      </c>
      <c r="F308">
        <v>2.6492907560267498E-6</v>
      </c>
      <c r="G308">
        <v>14338</v>
      </c>
      <c r="H308">
        <v>14838083</v>
      </c>
      <c r="I308">
        <v>499246</v>
      </c>
      <c r="J308">
        <v>2</v>
      </c>
    </row>
    <row r="309" spans="1:10" x14ac:dyDescent="0.25">
      <c r="A309" t="s">
        <v>6</v>
      </c>
      <c r="B309" s="1" t="str">
        <f>HYPERLINK("http://att.mx","att.mx")</f>
        <v>att.mx</v>
      </c>
      <c r="C309" t="s">
        <v>471</v>
      </c>
      <c r="D309" t="s">
        <v>847</v>
      </c>
      <c r="F309">
        <v>4.7294939934659101E-9</v>
      </c>
      <c r="G309">
        <v>39372231</v>
      </c>
      <c r="H309">
        <v>10545421</v>
      </c>
      <c r="I309">
        <v>46940820</v>
      </c>
      <c r="J309">
        <v>3</v>
      </c>
    </row>
    <row r="310" spans="1:10" x14ac:dyDescent="0.25">
      <c r="A310" t="s">
        <v>6</v>
      </c>
      <c r="B310" s="1" t="str">
        <f>HYPERLINK("http://at8t.com.mx","at8t.com.mx")</f>
        <v>at8t.com.mx</v>
      </c>
      <c r="C310" t="s">
        <v>471</v>
      </c>
      <c r="D310" t="s">
        <v>847</v>
      </c>
      <c r="J310">
        <v>4</v>
      </c>
    </row>
    <row r="311" spans="1:10" x14ac:dyDescent="0.25">
      <c r="A311" t="s">
        <v>6</v>
      </c>
      <c r="B311" s="1" t="str">
        <f>HYPERLINK("http://att.com.mx","att.com.mx")</f>
        <v>att.com.mx</v>
      </c>
      <c r="C311" t="s">
        <v>471</v>
      </c>
      <c r="D311" t="s">
        <v>847</v>
      </c>
      <c r="E311">
        <v>47070</v>
      </c>
      <c r="F311">
        <v>1.8348495383608599E-7</v>
      </c>
      <c r="G311">
        <v>210176</v>
      </c>
      <c r="H311">
        <v>17098226</v>
      </c>
      <c r="I311">
        <v>64239</v>
      </c>
      <c r="J311">
        <v>2</v>
      </c>
    </row>
    <row r="312" spans="1:10" x14ac:dyDescent="0.25">
      <c r="A312" t="s">
        <v>6</v>
      </c>
      <c r="B312" s="1" t="str">
        <f>HYPERLINK("http://atyt.com.mx","atyt.com.mx")</f>
        <v>atyt.com.mx</v>
      </c>
      <c r="C312" t="s">
        <v>471</v>
      </c>
      <c r="D312" t="s">
        <v>847</v>
      </c>
      <c r="J312">
        <v>3</v>
      </c>
    </row>
    <row r="313" spans="1:10" x14ac:dyDescent="0.25">
      <c r="A313" t="s">
        <v>6</v>
      </c>
      <c r="B313" s="1" t="str">
        <f>HYPERLINK("http://bcapromociones.com.mx","bcapromociones.com.mx")</f>
        <v>bcapromociones.com.mx</v>
      </c>
      <c r="C313" t="s">
        <v>471</v>
      </c>
      <c r="D313" t="s">
        <v>847</v>
      </c>
      <c r="J313">
        <v>7</v>
      </c>
    </row>
    <row r="314" spans="1:10" x14ac:dyDescent="0.25">
      <c r="A314" t="s">
        <v>6</v>
      </c>
      <c r="B314" s="1" t="str">
        <f>HYPERLINK("http://cdc.com.mx","cdc.com.mx")</f>
        <v>cdc.com.mx</v>
      </c>
      <c r="C314" t="s">
        <v>471</v>
      </c>
      <c r="D314" t="s">
        <v>847</v>
      </c>
      <c r="F314">
        <v>4.49939685048637E-9</v>
      </c>
      <c r="G314">
        <v>59033720</v>
      </c>
      <c r="H314">
        <v>9501339</v>
      </c>
      <c r="I314">
        <v>65713020</v>
      </c>
      <c r="J314">
        <v>4</v>
      </c>
    </row>
    <row r="315" spans="1:10" x14ac:dyDescent="0.25">
      <c r="A315" t="s">
        <v>6</v>
      </c>
      <c r="B315" s="1" t="str">
        <f>HYPERLINK("http://isucell.com.mx","isucell.com.mx")</f>
        <v>isucell.com.mx</v>
      </c>
      <c r="C315" t="s">
        <v>471</v>
      </c>
      <c r="D315" t="s">
        <v>847</v>
      </c>
      <c r="J315">
        <v>5</v>
      </c>
    </row>
    <row r="316" spans="1:10" x14ac:dyDescent="0.25">
      <c r="A316" t="s">
        <v>6</v>
      </c>
      <c r="B316" s="1" t="str">
        <f>HYPERLINK("http://iusacell.com.mx","iusacell.com.mx")</f>
        <v>iusacell.com.mx</v>
      </c>
      <c r="C316" t="s">
        <v>471</v>
      </c>
      <c r="D316" t="s">
        <v>847</v>
      </c>
      <c r="E316">
        <v>363223</v>
      </c>
      <c r="F316">
        <v>1.9935365201578099E-8</v>
      </c>
      <c r="G316">
        <v>2669177</v>
      </c>
      <c r="H316">
        <v>14498181</v>
      </c>
      <c r="I316">
        <v>862656</v>
      </c>
      <c r="J316">
        <v>5</v>
      </c>
    </row>
    <row r="317" spans="1:10" x14ac:dyDescent="0.25">
      <c r="A317" t="s">
        <v>6</v>
      </c>
      <c r="B317" s="1" t="str">
        <f>HYPERLINK("http://nextel.com.mx","nextel.com.mx")</f>
        <v>nextel.com.mx</v>
      </c>
      <c r="C317" t="s">
        <v>471</v>
      </c>
      <c r="D317" t="s">
        <v>847</v>
      </c>
      <c r="F317">
        <v>1.48886986102994E-8</v>
      </c>
      <c r="G317">
        <v>3876450</v>
      </c>
      <c r="H317">
        <v>14076428</v>
      </c>
      <c r="I317">
        <v>2887571</v>
      </c>
      <c r="J317">
        <v>3</v>
      </c>
    </row>
    <row r="318" spans="1:10" x14ac:dyDescent="0.25">
      <c r="A318" t="s">
        <v>6</v>
      </c>
      <c r="B318" s="1" t="str">
        <f>HYPERLINK("http://plazasteren.com.mx","plazasteren.com.mx")</f>
        <v>plazasteren.com.mx</v>
      </c>
      <c r="C318" t="s">
        <v>471</v>
      </c>
      <c r="D318" t="s">
        <v>847</v>
      </c>
      <c r="J318">
        <v>7</v>
      </c>
    </row>
    <row r="319" spans="1:10" x14ac:dyDescent="0.25">
      <c r="A319" t="s">
        <v>6</v>
      </c>
      <c r="B319" s="1" t="str">
        <f>HYPERLINK("http://att.net","att.net")</f>
        <v>att.net</v>
      </c>
      <c r="C319" t="s">
        <v>474</v>
      </c>
      <c r="E319">
        <v>339</v>
      </c>
      <c r="F319">
        <v>3.1574557227234698E-6</v>
      </c>
      <c r="G319">
        <v>12538</v>
      </c>
      <c r="H319">
        <v>17595956</v>
      </c>
      <c r="I319">
        <v>9791</v>
      </c>
      <c r="J319">
        <v>2</v>
      </c>
    </row>
    <row r="320" spans="1:10" x14ac:dyDescent="0.25">
      <c r="A320" t="s">
        <v>6</v>
      </c>
      <c r="B320" s="1" t="str">
        <f>HYPERLINK("http://boaw.net","boaw.net")</f>
        <v>boaw.net</v>
      </c>
      <c r="C320" t="s">
        <v>474</v>
      </c>
      <c r="F320">
        <v>4.4460207385707997E-9</v>
      </c>
      <c r="G320">
        <v>74669345</v>
      </c>
      <c r="H320">
        <v>10243072</v>
      </c>
      <c r="I320">
        <v>58746360</v>
      </c>
      <c r="J320">
        <v>4</v>
      </c>
    </row>
    <row r="321" spans="1:10" x14ac:dyDescent="0.25">
      <c r="A321" t="s">
        <v>6</v>
      </c>
      <c r="B321" s="1" t="str">
        <f>HYPERLINK("http://cingular.net","cingular.net")</f>
        <v>cingular.net</v>
      </c>
      <c r="C321" t="s">
        <v>474</v>
      </c>
      <c r="E321">
        <v>77610</v>
      </c>
      <c r="F321">
        <v>1.48565872493435E-8</v>
      </c>
      <c r="G321">
        <v>3887402</v>
      </c>
      <c r="H321">
        <v>12838441</v>
      </c>
      <c r="I321">
        <v>14361732</v>
      </c>
      <c r="J321">
        <v>3</v>
      </c>
    </row>
    <row r="322" spans="1:10" x14ac:dyDescent="0.25">
      <c r="A322" t="s">
        <v>6</v>
      </c>
      <c r="B322" s="1" t="str">
        <f>HYPERLINK("http://mycingular.net","mycingular.net")</f>
        <v>mycingular.net</v>
      </c>
      <c r="C322" t="s">
        <v>474</v>
      </c>
      <c r="E322">
        <v>29398</v>
      </c>
      <c r="F322">
        <v>4.4928122801444904E-9</v>
      </c>
      <c r="G322">
        <v>60046445</v>
      </c>
      <c r="H322">
        <v>10764029</v>
      </c>
      <c r="I322">
        <v>39469061</v>
      </c>
      <c r="J322">
        <v>3</v>
      </c>
    </row>
    <row r="323" spans="1:10" x14ac:dyDescent="0.25">
      <c r="A323" t="s">
        <v>6</v>
      </c>
      <c r="B323" s="1" t="str">
        <f>HYPERLINK("http://prodigy.net","prodigy.net")</f>
        <v>prodigy.net</v>
      </c>
      <c r="C323" t="s">
        <v>474</v>
      </c>
      <c r="E323">
        <v>16386</v>
      </c>
      <c r="F323">
        <v>5.7519151157172705E-7</v>
      </c>
      <c r="G323">
        <v>66397</v>
      </c>
      <c r="H323">
        <v>17476880</v>
      </c>
      <c r="I323">
        <v>14757</v>
      </c>
      <c r="J323">
        <v>3</v>
      </c>
    </row>
    <row r="324" spans="1:10" x14ac:dyDescent="0.25">
      <c r="A324" t="s">
        <v>6</v>
      </c>
      <c r="B324" s="1" t="str">
        <f>HYPERLINK("http://sbcglobal.net","sbcglobal.net")</f>
        <v>sbcglobal.net</v>
      </c>
      <c r="C324" t="s">
        <v>474</v>
      </c>
      <c r="E324">
        <v>6094</v>
      </c>
      <c r="F324">
        <v>1.2418476617878699E-6</v>
      </c>
      <c r="G324">
        <v>31355</v>
      </c>
      <c r="H324">
        <v>17623996</v>
      </c>
      <c r="I324">
        <v>9014</v>
      </c>
      <c r="J324">
        <v>3</v>
      </c>
    </row>
    <row r="325" spans="1:10" x14ac:dyDescent="0.25">
      <c r="A325" t="s">
        <v>6</v>
      </c>
      <c r="B325" s="1" t="str">
        <f>HYPERLINK("http://telcel.net.ve","telcel.net.ve")</f>
        <v>telcel.net.ve</v>
      </c>
      <c r="C325" t="s">
        <v>508</v>
      </c>
      <c r="D325" t="s">
        <v>882</v>
      </c>
      <c r="E325">
        <v>53178</v>
      </c>
      <c r="F325">
        <v>4.9605976268833199E-9</v>
      </c>
      <c r="G325">
        <v>30493045</v>
      </c>
      <c r="H325">
        <v>13763992</v>
      </c>
      <c r="I325">
        <v>7441509</v>
      </c>
      <c r="J325">
        <v>4</v>
      </c>
    </row>
    <row r="326" spans="1:10" x14ac:dyDescent="0.25">
      <c r="A326" t="s">
        <v>7</v>
      </c>
      <c r="B326" s="1" t="str">
        <f>HYPERLINK("http://axa-im.at","axa-im.at")</f>
        <v>axa-im.at</v>
      </c>
      <c r="C326" t="s">
        <v>419</v>
      </c>
      <c r="D326" t="s">
        <v>801</v>
      </c>
      <c r="F326">
        <v>1.1268099382907499E-8</v>
      </c>
      <c r="G326">
        <v>5664636</v>
      </c>
      <c r="H326">
        <v>12209830</v>
      </c>
      <c r="I326">
        <v>23032258</v>
      </c>
      <c r="J326">
        <v>5</v>
      </c>
    </row>
    <row r="327" spans="1:10" x14ac:dyDescent="0.25">
      <c r="A327" t="s">
        <v>7</v>
      </c>
      <c r="B327" s="1" t="str">
        <f>HYPERLINK("http://roland-rechtsschutz.at","roland-rechtsschutz.at")</f>
        <v>roland-rechtsschutz.at</v>
      </c>
      <c r="C327" t="s">
        <v>419</v>
      </c>
      <c r="D327" t="s">
        <v>801</v>
      </c>
      <c r="F327">
        <v>1.82200473928539E-8</v>
      </c>
      <c r="G327">
        <v>2983005</v>
      </c>
      <c r="H327">
        <v>12645502</v>
      </c>
      <c r="I327">
        <v>15830374</v>
      </c>
      <c r="J327">
        <v>4</v>
      </c>
    </row>
    <row r="328" spans="1:10" x14ac:dyDescent="0.25">
      <c r="A328" t="s">
        <v>7</v>
      </c>
      <c r="B328" s="1" t="str">
        <f>HYPERLINK("http://axa-im.com.au","axa-im.com.au")</f>
        <v>axa-im.com.au</v>
      </c>
      <c r="C328" t="s">
        <v>420</v>
      </c>
      <c r="D328" t="s">
        <v>802</v>
      </c>
      <c r="F328">
        <v>7.7964477975726993E-9</v>
      </c>
      <c r="G328">
        <v>10330633</v>
      </c>
      <c r="H328">
        <v>12569224</v>
      </c>
      <c r="I328">
        <v>16631745</v>
      </c>
      <c r="J328">
        <v>5</v>
      </c>
    </row>
    <row r="329" spans="1:10" x14ac:dyDescent="0.25">
      <c r="A329" t="s">
        <v>7</v>
      </c>
      <c r="B329" s="1" t="str">
        <f>HYPERLINK("http://climate.axa","climate.axa")</f>
        <v>climate.axa</v>
      </c>
      <c r="C329" t="s">
        <v>537</v>
      </c>
      <c r="F329">
        <v>5.5479800003262202E-8</v>
      </c>
      <c r="G329">
        <v>808947</v>
      </c>
      <c r="H329">
        <v>13580334</v>
      </c>
      <c r="I329">
        <v>9689081</v>
      </c>
      <c r="J329">
        <v>4</v>
      </c>
    </row>
    <row r="330" spans="1:10" x14ac:dyDescent="0.25">
      <c r="A330" t="s">
        <v>7</v>
      </c>
      <c r="B330" s="1" t="str">
        <f>HYPERLINK("http://axa.be","axa.be")</f>
        <v>axa.be</v>
      </c>
      <c r="C330" t="s">
        <v>421</v>
      </c>
      <c r="D330" t="s">
        <v>803</v>
      </c>
      <c r="E330">
        <v>49419</v>
      </c>
      <c r="F330">
        <v>3.03770033808232E-7</v>
      </c>
      <c r="G330">
        <v>122396</v>
      </c>
      <c r="H330">
        <v>14546192</v>
      </c>
      <c r="I330">
        <v>767792</v>
      </c>
      <c r="J330">
        <v>3</v>
      </c>
    </row>
    <row r="331" spans="1:10" x14ac:dyDescent="0.25">
      <c r="A331" t="s">
        <v>7</v>
      </c>
      <c r="B331" s="1" t="str">
        <f>HYPERLINK("http://axa-im.be","axa-im.be")</f>
        <v>axa-im.be</v>
      </c>
      <c r="C331" t="s">
        <v>421</v>
      </c>
      <c r="D331" t="s">
        <v>803</v>
      </c>
      <c r="F331">
        <v>1.4506557031262901E-8</v>
      </c>
      <c r="G331">
        <v>4011320</v>
      </c>
      <c r="H331">
        <v>11326344</v>
      </c>
      <c r="I331">
        <v>30478368</v>
      </c>
      <c r="J331">
        <v>5</v>
      </c>
    </row>
    <row r="332" spans="1:10" x14ac:dyDescent="0.25">
      <c r="A332" t="s">
        <v>7</v>
      </c>
      <c r="B332" s="1" t="str">
        <f>HYPERLINK("http://ip-assistance.be","ip-assistance.be")</f>
        <v>ip-assistance.be</v>
      </c>
      <c r="C332" t="s">
        <v>421</v>
      </c>
      <c r="D332" t="s">
        <v>803</v>
      </c>
      <c r="F332">
        <v>3.6905410563454201E-8</v>
      </c>
      <c r="G332">
        <v>1417175</v>
      </c>
      <c r="H332">
        <v>12193192</v>
      </c>
      <c r="I332">
        <v>23506282</v>
      </c>
      <c r="J332">
        <v>8</v>
      </c>
    </row>
    <row r="333" spans="1:10" x14ac:dyDescent="0.25">
      <c r="A333" t="s">
        <v>7</v>
      </c>
      <c r="B333" s="1" t="str">
        <f>HYPERLINK("http://yuzzu.be","yuzzu.be")</f>
        <v>yuzzu.be</v>
      </c>
      <c r="C333" t="s">
        <v>421</v>
      </c>
      <c r="D333" t="s">
        <v>803</v>
      </c>
      <c r="F333">
        <v>1.6178202577503701E-8</v>
      </c>
      <c r="G333">
        <v>3500947</v>
      </c>
      <c r="H333">
        <v>12459738</v>
      </c>
      <c r="I333">
        <v>17884900</v>
      </c>
      <c r="J333">
        <v>3</v>
      </c>
    </row>
    <row r="334" spans="1:10" x14ac:dyDescent="0.25">
      <c r="A334" t="s">
        <v>7</v>
      </c>
      <c r="B334" s="1" t="str">
        <f>HYPERLINK("http://taking.care","taking.care")</f>
        <v>taking.care</v>
      </c>
      <c r="C334" t="s">
        <v>538</v>
      </c>
      <c r="F334">
        <v>6.3360297276828497E-8</v>
      </c>
      <c r="G334">
        <v>686283</v>
      </c>
      <c r="H334">
        <v>16757228</v>
      </c>
      <c r="I334">
        <v>233458</v>
      </c>
      <c r="J334">
        <v>5</v>
      </c>
    </row>
    <row r="335" spans="1:10" x14ac:dyDescent="0.25">
      <c r="A335" t="s">
        <v>7</v>
      </c>
      <c r="B335" s="1" t="str">
        <f>HYPERLINK("http://axa.ch","axa.ch")</f>
        <v>axa.ch</v>
      </c>
      <c r="C335" t="s">
        <v>429</v>
      </c>
      <c r="D335" t="s">
        <v>810</v>
      </c>
      <c r="E335">
        <v>122542</v>
      </c>
      <c r="F335">
        <v>6.7264053020200898E-7</v>
      </c>
      <c r="G335">
        <v>57276</v>
      </c>
      <c r="H335">
        <v>17127380</v>
      </c>
      <c r="I335">
        <v>57506</v>
      </c>
      <c r="J335">
        <v>3</v>
      </c>
    </row>
    <row r="336" spans="1:10" x14ac:dyDescent="0.25">
      <c r="A336" t="s">
        <v>7</v>
      </c>
      <c r="B336" s="1" t="str">
        <f>HYPERLINK("http://axa-im.ch","axa-im.ch")</f>
        <v>axa-im.ch</v>
      </c>
      <c r="C336" t="s">
        <v>429</v>
      </c>
      <c r="D336" t="s">
        <v>810</v>
      </c>
      <c r="F336">
        <v>1.5033902030074801E-8</v>
      </c>
      <c r="G336">
        <v>3828745</v>
      </c>
      <c r="H336">
        <v>12350284</v>
      </c>
      <c r="I336">
        <v>19762214</v>
      </c>
      <c r="J336">
        <v>4</v>
      </c>
    </row>
    <row r="337" spans="1:10" x14ac:dyDescent="0.25">
      <c r="A337" t="s">
        <v>7</v>
      </c>
      <c r="B337" s="1" t="str">
        <f>HYPERLINK("http://axa-winterthur.ch","axa-winterthur.ch")</f>
        <v>axa-winterthur.ch</v>
      </c>
      <c r="C337" t="s">
        <v>429</v>
      </c>
      <c r="D337" t="s">
        <v>810</v>
      </c>
      <c r="F337">
        <v>8.0809897247658197E-8</v>
      </c>
      <c r="G337">
        <v>516687</v>
      </c>
      <c r="H337">
        <v>14398534</v>
      </c>
      <c r="I337">
        <v>1156507</v>
      </c>
      <c r="J337">
        <v>6</v>
      </c>
    </row>
    <row r="338" spans="1:10" x14ac:dyDescent="0.25">
      <c r="A338" t="s">
        <v>7</v>
      </c>
      <c r="B338" s="1" t="str">
        <f>HYPERLINK("http://axa-assistance.com.cn","axa-assistance.com.cn")</f>
        <v>axa-assistance.com.cn</v>
      </c>
      <c r="C338" t="s">
        <v>431</v>
      </c>
      <c r="D338" t="s">
        <v>812</v>
      </c>
      <c r="E338">
        <v>800165</v>
      </c>
      <c r="F338">
        <v>1.9835633971525901E-8</v>
      </c>
      <c r="G338">
        <v>2687514</v>
      </c>
      <c r="H338">
        <v>14071792</v>
      </c>
      <c r="I338">
        <v>3381184</v>
      </c>
      <c r="J338">
        <v>6</v>
      </c>
    </row>
    <row r="339" spans="1:10" x14ac:dyDescent="0.25">
      <c r="A339" t="s">
        <v>7</v>
      </c>
      <c r="B339" s="1" t="str">
        <f>HYPERLINK("http://xlinsurance.cn","xlinsurance.cn")</f>
        <v>xlinsurance.cn</v>
      </c>
      <c r="C339" t="s">
        <v>431</v>
      </c>
      <c r="D339" t="s">
        <v>812</v>
      </c>
      <c r="F339">
        <v>4.4660444240930798E-9</v>
      </c>
      <c r="G339">
        <v>65919096</v>
      </c>
      <c r="H339">
        <v>10196290</v>
      </c>
      <c r="I339">
        <v>59065350</v>
      </c>
      <c r="J339">
        <v>4</v>
      </c>
    </row>
    <row r="340" spans="1:10" x14ac:dyDescent="0.25">
      <c r="A340" t="s">
        <v>7</v>
      </c>
      <c r="B340" s="1" t="str">
        <f>HYPERLINK("http://abglobal.com","abglobal.com")</f>
        <v>abglobal.com</v>
      </c>
      <c r="C340" t="s">
        <v>433</v>
      </c>
      <c r="E340">
        <v>289827</v>
      </c>
      <c r="F340">
        <v>9.32485066174892E-8</v>
      </c>
      <c r="G340">
        <v>435997</v>
      </c>
      <c r="H340">
        <v>14236417</v>
      </c>
      <c r="I340">
        <v>1586899</v>
      </c>
      <c r="J340">
        <v>7</v>
      </c>
    </row>
    <row r="341" spans="1:10" x14ac:dyDescent="0.25">
      <c r="A341" t="s">
        <v>7</v>
      </c>
      <c r="B341" s="1" t="str">
        <f>HYPERLINK("http://alliancebernstein.com","alliancebernstein.com")</f>
        <v>alliancebernstein.com</v>
      </c>
      <c r="C341" t="s">
        <v>433</v>
      </c>
      <c r="E341">
        <v>72638</v>
      </c>
      <c r="F341">
        <v>7.6430423872653103E-7</v>
      </c>
      <c r="G341">
        <v>51113</v>
      </c>
      <c r="H341">
        <v>15102222</v>
      </c>
      <c r="I341">
        <v>406181</v>
      </c>
      <c r="J341">
        <v>4</v>
      </c>
    </row>
    <row r="342" spans="1:10" x14ac:dyDescent="0.25">
      <c r="A342" t="s">
        <v>7</v>
      </c>
      <c r="B342" s="1" t="str">
        <f>HYPERLINK("http://alliedspecialty.com","alliedspecialty.com")</f>
        <v>alliedspecialty.com</v>
      </c>
      <c r="C342" t="s">
        <v>433</v>
      </c>
      <c r="F342">
        <v>8.1395001574709703E-9</v>
      </c>
      <c r="G342">
        <v>9673863</v>
      </c>
      <c r="H342">
        <v>12553425</v>
      </c>
      <c r="I342">
        <v>16797387</v>
      </c>
      <c r="J342">
        <v>4</v>
      </c>
    </row>
    <row r="343" spans="1:10" x14ac:dyDescent="0.25">
      <c r="A343" t="s">
        <v>7</v>
      </c>
      <c r="B343" s="1" t="str">
        <f>HYPERLINK("http://architas.com","architas.com")</f>
        <v>architas.com</v>
      </c>
      <c r="C343" t="s">
        <v>433</v>
      </c>
      <c r="F343">
        <v>6.34478291925204E-8</v>
      </c>
      <c r="G343">
        <v>684970</v>
      </c>
      <c r="H343">
        <v>16827320</v>
      </c>
      <c r="I343">
        <v>176918</v>
      </c>
      <c r="J343">
        <v>4</v>
      </c>
    </row>
    <row r="344" spans="1:10" x14ac:dyDescent="0.25">
      <c r="A344" t="s">
        <v>7</v>
      </c>
      <c r="B344" s="1" t="str">
        <f>HYPERLINK("http://architas-mm.com","architas-mm.com")</f>
        <v>architas-mm.com</v>
      </c>
      <c r="C344" t="s">
        <v>433</v>
      </c>
      <c r="F344">
        <v>1.33949556741977E-8</v>
      </c>
      <c r="G344">
        <v>4450004</v>
      </c>
      <c r="H344">
        <v>13144576</v>
      </c>
      <c r="I344">
        <v>11858351</v>
      </c>
      <c r="J344">
        <v>7</v>
      </c>
    </row>
    <row r="345" spans="1:10" x14ac:dyDescent="0.25">
      <c r="A345" t="s">
        <v>7</v>
      </c>
      <c r="B345" s="1" t="str">
        <f>HYPERLINK("http://ardenne-prevoyante.com","ardenne-prevoyante.com")</f>
        <v>ardenne-prevoyante.com</v>
      </c>
      <c r="C345" t="s">
        <v>433</v>
      </c>
      <c r="J345">
        <v>3</v>
      </c>
    </row>
    <row r="346" spans="1:10" x14ac:dyDescent="0.25">
      <c r="A346" t="s">
        <v>7</v>
      </c>
      <c r="B346" s="1" t="str">
        <f>HYPERLINK("http://asia-assistance.com","asia-assistance.com")</f>
        <v>asia-assistance.com</v>
      </c>
      <c r="C346" t="s">
        <v>433</v>
      </c>
      <c r="F346">
        <v>5.8453315136077301E-9</v>
      </c>
      <c r="G346">
        <v>17742807</v>
      </c>
      <c r="H346">
        <v>12338966</v>
      </c>
      <c r="I346">
        <v>20029421</v>
      </c>
      <c r="J346">
        <v>6</v>
      </c>
    </row>
    <row r="347" spans="1:10" x14ac:dyDescent="0.25">
      <c r="A347" t="s">
        <v>7</v>
      </c>
      <c r="B347" s="1" t="str">
        <f>HYPERLINK("http://autonomous.com","autonomous.com")</f>
        <v>autonomous.com</v>
      </c>
      <c r="C347" t="s">
        <v>433</v>
      </c>
      <c r="E347">
        <v>585634</v>
      </c>
      <c r="F347">
        <v>1.2805095114732301E-7</v>
      </c>
      <c r="G347">
        <v>306395</v>
      </c>
      <c r="H347">
        <v>14525720</v>
      </c>
      <c r="I347">
        <v>795333</v>
      </c>
      <c r="J347">
        <v>7</v>
      </c>
    </row>
    <row r="348" spans="1:10" x14ac:dyDescent="0.25">
      <c r="A348" t="s">
        <v>7</v>
      </c>
      <c r="B348" s="1" t="str">
        <f>HYPERLINK("http://axa.com","axa.com")</f>
        <v>axa.com</v>
      </c>
      <c r="C348" t="s">
        <v>433</v>
      </c>
      <c r="E348">
        <v>19919</v>
      </c>
      <c r="F348">
        <v>1.2356806078899601E-6</v>
      </c>
      <c r="G348">
        <v>31494</v>
      </c>
      <c r="H348">
        <v>17455348</v>
      </c>
      <c r="I348">
        <v>15868</v>
      </c>
      <c r="J348">
        <v>1</v>
      </c>
    </row>
    <row r="349" spans="1:10" x14ac:dyDescent="0.25">
      <c r="A349" t="s">
        <v>7</v>
      </c>
      <c r="B349" s="1" t="str">
        <f>HYPERLINK("http://axa-asr.com","axa-asr.com")</f>
        <v>axa-asr.com</v>
      </c>
      <c r="C349" t="s">
        <v>433</v>
      </c>
      <c r="F349">
        <v>5.8119878079480803E-9</v>
      </c>
      <c r="G349">
        <v>17997560</v>
      </c>
      <c r="H349">
        <v>12511812</v>
      </c>
      <c r="I349">
        <v>17228623</v>
      </c>
      <c r="J349">
        <v>4</v>
      </c>
    </row>
    <row r="350" spans="1:10" x14ac:dyDescent="0.25">
      <c r="A350" t="s">
        <v>7</v>
      </c>
      <c r="B350" s="1" t="str">
        <f>HYPERLINK("http://axa-assistance.com","axa-assistance.com")</f>
        <v>axa-assistance.com</v>
      </c>
      <c r="C350" t="s">
        <v>433</v>
      </c>
      <c r="F350">
        <v>3.7887722262193099E-8</v>
      </c>
      <c r="G350">
        <v>1365913</v>
      </c>
      <c r="H350">
        <v>14079566</v>
      </c>
      <c r="I350">
        <v>2831269</v>
      </c>
      <c r="J350">
        <v>2</v>
      </c>
    </row>
    <row r="351" spans="1:10" x14ac:dyDescent="0.25">
      <c r="A351" t="s">
        <v>7</v>
      </c>
      <c r="B351" s="1" t="str">
        <f>HYPERLINK("http://axa-assistance-la.com","axa-assistance-la.com")</f>
        <v>axa-assistance-la.com</v>
      </c>
      <c r="C351" t="s">
        <v>433</v>
      </c>
      <c r="F351">
        <v>5.5035128488875101E-9</v>
      </c>
      <c r="G351">
        <v>20861460</v>
      </c>
      <c r="H351">
        <v>12921563</v>
      </c>
      <c r="I351">
        <v>13422063</v>
      </c>
      <c r="J351">
        <v>6</v>
      </c>
    </row>
    <row r="352" spans="1:10" x14ac:dyDescent="0.25">
      <c r="A352" t="s">
        <v>7</v>
      </c>
      <c r="B352" s="1" t="str">
        <f>HYPERLINK("http://axa-assistance-th.com","axa-assistance-th.com")</f>
        <v>axa-assistance-th.com</v>
      </c>
      <c r="C352" t="s">
        <v>433</v>
      </c>
      <c r="F352">
        <v>5.9030257963671898E-9</v>
      </c>
      <c r="G352">
        <v>17338845</v>
      </c>
      <c r="H352">
        <v>12112148</v>
      </c>
      <c r="I352">
        <v>25669817</v>
      </c>
      <c r="J352">
        <v>6</v>
      </c>
    </row>
    <row r="353" spans="1:10" x14ac:dyDescent="0.25">
      <c r="A353" t="s">
        <v>7</v>
      </c>
      <c r="B353" s="1" t="str">
        <f>HYPERLINK("http://axa-direct.com","axa-direct.com")</f>
        <v>axa-direct.com</v>
      </c>
      <c r="C353" t="s">
        <v>433</v>
      </c>
      <c r="F353">
        <v>5.5893260049377597E-9</v>
      </c>
      <c r="G353">
        <v>19961963</v>
      </c>
      <c r="H353">
        <v>11477588</v>
      </c>
      <c r="I353">
        <v>30068547</v>
      </c>
      <c r="J353">
        <v>2</v>
      </c>
    </row>
    <row r="354" spans="1:10" x14ac:dyDescent="0.25">
      <c r="A354" t="s">
        <v>7</v>
      </c>
      <c r="B354" s="1" t="str">
        <f>HYPERLINK("http://axa-equitable.com","axa-equitable.com")</f>
        <v>axa-equitable.com</v>
      </c>
      <c r="C354" t="s">
        <v>433</v>
      </c>
      <c r="E354">
        <v>372394</v>
      </c>
      <c r="F354">
        <v>5.4628303243904201E-8</v>
      </c>
      <c r="G354">
        <v>825321</v>
      </c>
      <c r="H354">
        <v>14591888</v>
      </c>
      <c r="I354">
        <v>694129</v>
      </c>
      <c r="J354">
        <v>4</v>
      </c>
    </row>
    <row r="355" spans="1:10" x14ac:dyDescent="0.25">
      <c r="A355" t="s">
        <v>7</v>
      </c>
      <c r="B355" s="1" t="str">
        <f>HYPERLINK("http://axa-icas.com","axa-icas.com")</f>
        <v>axa-icas.com</v>
      </c>
      <c r="C355" t="s">
        <v>433</v>
      </c>
      <c r="F355">
        <v>4.4582876100095496E-9</v>
      </c>
      <c r="G355">
        <v>68302317</v>
      </c>
      <c r="H355">
        <v>10537020</v>
      </c>
      <c r="I355">
        <v>47463587</v>
      </c>
      <c r="J355">
        <v>4</v>
      </c>
    </row>
    <row r="356" spans="1:10" x14ac:dyDescent="0.25">
      <c r="A356" t="s">
        <v>7</v>
      </c>
      <c r="B356" s="1" t="str">
        <f>HYPERLINK("http://axa-im.com","axa-im.com")</f>
        <v>axa-im.com</v>
      </c>
      <c r="C356" t="s">
        <v>433</v>
      </c>
      <c r="E356">
        <v>270759</v>
      </c>
      <c r="F356">
        <v>3.1015448910884102E-7</v>
      </c>
      <c r="G356">
        <v>119911</v>
      </c>
      <c r="H356">
        <v>14789166</v>
      </c>
      <c r="I356">
        <v>551453</v>
      </c>
      <c r="J356">
        <v>4</v>
      </c>
    </row>
    <row r="357" spans="1:10" x14ac:dyDescent="0.25">
      <c r="A357" t="s">
        <v>7</v>
      </c>
      <c r="B357" s="1" t="str">
        <f>HYPERLINK("http://axa-lifeeurope.com","axa-lifeeurope.com")</f>
        <v>axa-lifeeurope.com</v>
      </c>
      <c r="C357" t="s">
        <v>433</v>
      </c>
      <c r="F357">
        <v>4.78514387393358E-9</v>
      </c>
      <c r="G357">
        <v>36743838</v>
      </c>
      <c r="H357">
        <v>12561684</v>
      </c>
      <c r="I357">
        <v>16695788</v>
      </c>
      <c r="J357">
        <v>4</v>
      </c>
    </row>
    <row r="358" spans="1:10" x14ac:dyDescent="0.25">
      <c r="A358" t="s">
        <v>7</v>
      </c>
      <c r="B358" s="1" t="str">
        <f>HYPERLINK("http://axa-nudge.com","axa-nudge.com")</f>
        <v>axa-nudge.com</v>
      </c>
      <c r="C358" t="s">
        <v>433</v>
      </c>
      <c r="J358">
        <v>5</v>
      </c>
    </row>
    <row r="359" spans="1:10" x14ac:dyDescent="0.25">
      <c r="A359" t="s">
        <v>7</v>
      </c>
      <c r="B359" s="1" t="str">
        <f>HYPERLINK("http://axa-travel-insurance.com","axa-travel-insurance.com")</f>
        <v>axa-travel-insurance.com</v>
      </c>
      <c r="C359" t="s">
        <v>433</v>
      </c>
      <c r="F359">
        <v>2.9464317958962799E-8</v>
      </c>
      <c r="G359">
        <v>1749234</v>
      </c>
      <c r="H359">
        <v>13141307</v>
      </c>
      <c r="I359">
        <v>11873341</v>
      </c>
      <c r="J359">
        <v>5</v>
      </c>
    </row>
    <row r="360" spans="1:10" x14ac:dyDescent="0.25">
      <c r="A360" t="s">
        <v>7</v>
      </c>
      <c r="B360" s="1" t="str">
        <f>HYPERLINK("http://axa-ukraine.com","axa-ukraine.com")</f>
        <v>axa-ukraine.com</v>
      </c>
      <c r="C360" t="s">
        <v>433</v>
      </c>
      <c r="F360">
        <v>3.0192316243539103E-8</v>
      </c>
      <c r="G360">
        <v>1704465</v>
      </c>
      <c r="H360">
        <v>13105924</v>
      </c>
      <c r="I360">
        <v>12066454</v>
      </c>
      <c r="J360">
        <v>6</v>
      </c>
    </row>
    <row r="361" spans="1:10" x14ac:dyDescent="0.25">
      <c r="A361" t="s">
        <v>7</v>
      </c>
      <c r="B361" s="1" t="str">
        <f>HYPERLINK("http://axaequitableholdings.com","axaequitableholdings.com")</f>
        <v>axaequitableholdings.com</v>
      </c>
      <c r="C361" t="s">
        <v>433</v>
      </c>
      <c r="F361">
        <v>9.42960486926766E-9</v>
      </c>
      <c r="G361">
        <v>7407845</v>
      </c>
      <c r="H361">
        <v>13186291</v>
      </c>
      <c r="I361">
        <v>11617688</v>
      </c>
      <c r="J361">
        <v>9</v>
      </c>
    </row>
    <row r="362" spans="1:10" x14ac:dyDescent="0.25">
      <c r="A362" t="s">
        <v>7</v>
      </c>
      <c r="B362" s="1" t="str">
        <f>HYPERLINK("http://axaglobalhealthcare.com","axaglobalhealthcare.com")</f>
        <v>axaglobalhealthcare.com</v>
      </c>
      <c r="C362" t="s">
        <v>433</v>
      </c>
      <c r="E362">
        <v>398652</v>
      </c>
      <c r="F362">
        <v>8.7688351529486198E-8</v>
      </c>
      <c r="G362">
        <v>467718</v>
      </c>
      <c r="H362">
        <v>14291816</v>
      </c>
      <c r="I362">
        <v>1364772</v>
      </c>
      <c r="J362">
        <v>4</v>
      </c>
    </row>
    <row r="363" spans="1:10" x14ac:dyDescent="0.25">
      <c r="A363" t="s">
        <v>7</v>
      </c>
      <c r="B363" s="1" t="str">
        <f>HYPERLINK("http://axainsurancecompany.com","axainsurancecompany.com")</f>
        <v>axainsurancecompany.com</v>
      </c>
      <c r="C363" t="s">
        <v>433</v>
      </c>
      <c r="F363">
        <v>4.8001398613835404E-9</v>
      </c>
      <c r="G363">
        <v>36082365</v>
      </c>
      <c r="H363">
        <v>11412446</v>
      </c>
      <c r="I363">
        <v>30190555</v>
      </c>
      <c r="J363">
        <v>4</v>
      </c>
    </row>
    <row r="364" spans="1:10" x14ac:dyDescent="0.25">
      <c r="A364" t="s">
        <v>7</v>
      </c>
      <c r="B364" s="1" t="str">
        <f>HYPERLINK("http://axapartners.com","axapartners.com")</f>
        <v>axapartners.com</v>
      </c>
      <c r="C364" t="s">
        <v>433</v>
      </c>
      <c r="F364">
        <v>4.1981761115635103E-8</v>
      </c>
      <c r="G364">
        <v>1167394</v>
      </c>
      <c r="H364">
        <v>13556974</v>
      </c>
      <c r="I364">
        <v>9883357</v>
      </c>
      <c r="J364">
        <v>5</v>
      </c>
    </row>
    <row r="365" spans="1:10" x14ac:dyDescent="0.25">
      <c r="A365" t="s">
        <v>7</v>
      </c>
      <c r="B365" s="1" t="str">
        <f>HYPERLINK("http://axapppinternational.com","axapppinternational.com")</f>
        <v>axapppinternational.com</v>
      </c>
      <c r="C365" t="s">
        <v>433</v>
      </c>
      <c r="F365">
        <v>1.24004619864439E-8</v>
      </c>
      <c r="G365">
        <v>4939068</v>
      </c>
      <c r="H365">
        <v>13284682</v>
      </c>
      <c r="I365">
        <v>10896663</v>
      </c>
      <c r="J365">
        <v>7</v>
      </c>
    </row>
    <row r="366" spans="1:10" x14ac:dyDescent="0.25">
      <c r="A366" t="s">
        <v>7</v>
      </c>
      <c r="B366" s="1" t="str">
        <f>HYPERLINK("http://axaxl.com","axaxl.com")</f>
        <v>axaxl.com</v>
      </c>
      <c r="C366" t="s">
        <v>433</v>
      </c>
      <c r="E366">
        <v>105599</v>
      </c>
      <c r="F366">
        <v>5.8470733761829903E-7</v>
      </c>
      <c r="G366">
        <v>65361</v>
      </c>
      <c r="H366">
        <v>14853785</v>
      </c>
      <c r="I366">
        <v>488478</v>
      </c>
      <c r="J366">
        <v>4</v>
      </c>
    </row>
    <row r="367" spans="1:10" x14ac:dyDescent="0.25">
      <c r="A367" t="s">
        <v>7</v>
      </c>
      <c r="B367" s="1" t="str">
        <f>HYPERLINK("http://bernsteinresearch.com","bernsteinresearch.com")</f>
        <v>bernsteinresearch.com</v>
      </c>
      <c r="C367" t="s">
        <v>433</v>
      </c>
      <c r="E367">
        <v>411391</v>
      </c>
      <c r="F367">
        <v>1.00113785047475E-7</v>
      </c>
      <c r="G367">
        <v>401870</v>
      </c>
      <c r="H367">
        <v>14352227</v>
      </c>
      <c r="I367">
        <v>1308409</v>
      </c>
      <c r="J367">
        <v>6</v>
      </c>
    </row>
    <row r="368" spans="1:10" x14ac:dyDescent="0.25">
      <c r="A368" t="s">
        <v>7</v>
      </c>
      <c r="B368" s="1" t="str">
        <f>HYPERLINK("http://capeasi.com","capeasi.com")</f>
        <v>capeasi.com</v>
      </c>
      <c r="C368" t="s">
        <v>433</v>
      </c>
      <c r="F368">
        <v>5.9068891328286799E-9</v>
      </c>
      <c r="G368">
        <v>17311572</v>
      </c>
      <c r="H368">
        <v>10568823</v>
      </c>
      <c r="I368">
        <v>46128947</v>
      </c>
      <c r="J368">
        <v>2</v>
      </c>
    </row>
    <row r="369" spans="1:10" x14ac:dyDescent="0.25">
      <c r="A369" t="s">
        <v>7</v>
      </c>
      <c r="B369" s="1" t="str">
        <f>HYPERLINK("http://catlin.com","catlin.com")</f>
        <v>catlin.com</v>
      </c>
      <c r="C369" t="s">
        <v>433</v>
      </c>
      <c r="E369">
        <v>313615</v>
      </c>
      <c r="F369">
        <v>3.2329827354203298E-8</v>
      </c>
      <c r="G369">
        <v>1598226</v>
      </c>
      <c r="H369">
        <v>13788707</v>
      </c>
      <c r="I369">
        <v>6361656</v>
      </c>
      <c r="J369">
        <v>4</v>
      </c>
    </row>
    <row r="370" spans="1:10" x14ac:dyDescent="0.25">
      <c r="A370" t="s">
        <v>7</v>
      </c>
      <c r="B370" s="1" t="str">
        <f>HYPERLINK("http://dailydroits.com","dailydroits.com")</f>
        <v>dailydroits.com</v>
      </c>
      <c r="C370" t="s">
        <v>433</v>
      </c>
      <c r="J370">
        <v>2</v>
      </c>
    </row>
    <row r="371" spans="1:10" x14ac:dyDescent="0.25">
      <c r="A371" t="s">
        <v>7</v>
      </c>
      <c r="B371" s="1" t="str">
        <f>HYPERLINK("http://equitable.com","equitable.com")</f>
        <v>equitable.com</v>
      </c>
      <c r="C371" t="s">
        <v>433</v>
      </c>
      <c r="E371">
        <v>48431</v>
      </c>
      <c r="F371">
        <v>5.0303807585620699E-7</v>
      </c>
      <c r="G371">
        <v>76049</v>
      </c>
      <c r="H371">
        <v>15338193</v>
      </c>
      <c r="I371">
        <v>383514</v>
      </c>
      <c r="J371">
        <v>4</v>
      </c>
    </row>
    <row r="372" spans="1:10" x14ac:dyDescent="0.25">
      <c r="A372" t="s">
        <v>7</v>
      </c>
      <c r="B372" s="1" t="str">
        <f>HYPERLINK("http://equitableholdings.com","equitableholdings.com")</f>
        <v>equitableholdings.com</v>
      </c>
      <c r="C372" t="s">
        <v>433</v>
      </c>
      <c r="F372">
        <v>4.2633797396667403E-8</v>
      </c>
      <c r="G372">
        <v>1134142</v>
      </c>
      <c r="H372">
        <v>14180755</v>
      </c>
      <c r="I372">
        <v>1780054</v>
      </c>
      <c r="J372">
        <v>6</v>
      </c>
    </row>
    <row r="373" spans="1:10" x14ac:dyDescent="0.25">
      <c r="A373" t="s">
        <v>7</v>
      </c>
      <c r="B373" s="1" t="str">
        <f>HYPERLINK("http://eufinancials.com","eufinancials.com")</f>
        <v>eufinancials.com</v>
      </c>
      <c r="C373" t="s">
        <v>433</v>
      </c>
      <c r="J373">
        <v>6</v>
      </c>
    </row>
    <row r="374" spans="1:10" x14ac:dyDescent="0.25">
      <c r="A374" t="s">
        <v>7</v>
      </c>
      <c r="B374" s="1" t="str">
        <f>HYPERLINK("http://financialhealthgroup.com","financialhealthgroup.com")</f>
        <v>financialhealthgroup.com</v>
      </c>
      <c r="C374" t="s">
        <v>433</v>
      </c>
      <c r="F374">
        <v>4.5013969770984402E-9</v>
      </c>
      <c r="G374">
        <v>58739589</v>
      </c>
      <c r="H374">
        <v>12122451</v>
      </c>
      <c r="I374">
        <v>25343761</v>
      </c>
      <c r="J374">
        <v>6</v>
      </c>
    </row>
    <row r="375" spans="1:10" x14ac:dyDescent="0.25">
      <c r="A375" t="s">
        <v>7</v>
      </c>
      <c r="B375" s="1" t="str">
        <f>HYPERLINK("http://gotomyukapps.com","gotomyukapps.com")</f>
        <v>gotomyukapps.com</v>
      </c>
      <c r="C375" t="s">
        <v>433</v>
      </c>
      <c r="F375">
        <v>4.4447683803649103E-9</v>
      </c>
      <c r="G375">
        <v>76139904</v>
      </c>
      <c r="H375">
        <v>9692489</v>
      </c>
      <c r="I375">
        <v>63455471</v>
      </c>
      <c r="J375">
        <v>5</v>
      </c>
    </row>
    <row r="376" spans="1:10" x14ac:dyDescent="0.25">
      <c r="A376" t="s">
        <v>7</v>
      </c>
      <c r="B376" s="1" t="str">
        <f>HYPERLINK("http://mybenefits-online.com","mybenefits-online.com")</f>
        <v>mybenefits-online.com</v>
      </c>
      <c r="C376" t="s">
        <v>433</v>
      </c>
      <c r="J376">
        <v>2</v>
      </c>
    </row>
    <row r="377" spans="1:10" x14ac:dyDescent="0.25">
      <c r="A377" t="s">
        <v>7</v>
      </c>
      <c r="B377" s="1" t="str">
        <f>HYPERLINK("http://newenergyrisk.com","newenergyrisk.com")</f>
        <v>newenergyrisk.com</v>
      </c>
      <c r="C377" t="s">
        <v>433</v>
      </c>
      <c r="F377">
        <v>1.2092336900747099E-8</v>
      </c>
      <c r="G377">
        <v>5118021</v>
      </c>
      <c r="H377">
        <v>13529312</v>
      </c>
      <c r="I377">
        <v>9920276</v>
      </c>
      <c r="J377">
        <v>4</v>
      </c>
    </row>
    <row r="378" spans="1:10" x14ac:dyDescent="0.25">
      <c r="A378" t="s">
        <v>7</v>
      </c>
      <c r="B378" s="1" t="str">
        <f>HYPERLINK("http://newoceancap.com","newoceancap.com")</f>
        <v>newoceancap.com</v>
      </c>
      <c r="C378" t="s">
        <v>433</v>
      </c>
      <c r="F378">
        <v>4.5144837564137503E-9</v>
      </c>
      <c r="G378">
        <v>56916437</v>
      </c>
      <c r="H378">
        <v>10752418</v>
      </c>
      <c r="I378">
        <v>39990792</v>
      </c>
      <c r="J378">
        <v>4</v>
      </c>
    </row>
    <row r="379" spans="1:10" x14ac:dyDescent="0.25">
      <c r="A379" t="s">
        <v>7</v>
      </c>
      <c r="B379" s="1" t="str">
        <f>HYPERLINK("http://quotemepmi.com","quotemepmi.com")</f>
        <v>quotemepmi.com</v>
      </c>
      <c r="C379" t="s">
        <v>433</v>
      </c>
      <c r="J379">
        <v>5</v>
      </c>
    </row>
    <row r="380" spans="1:10" x14ac:dyDescent="0.25">
      <c r="A380" t="s">
        <v>7</v>
      </c>
      <c r="B380" s="1" t="str">
        <f>HYPERLINK("http://swiftcover.com","swiftcover.com")</f>
        <v>swiftcover.com</v>
      </c>
      <c r="C380" t="s">
        <v>433</v>
      </c>
      <c r="E380">
        <v>743960</v>
      </c>
      <c r="F380">
        <v>1.57067605312112E-8</v>
      </c>
      <c r="G380">
        <v>3625488</v>
      </c>
      <c r="H380">
        <v>14502237</v>
      </c>
      <c r="I380">
        <v>846881</v>
      </c>
      <c r="J380">
        <v>5</v>
      </c>
    </row>
    <row r="381" spans="1:10" x14ac:dyDescent="0.25">
      <c r="A381" t="s">
        <v>7</v>
      </c>
      <c r="B381" s="1" t="str">
        <f>HYPERLINK("http://xlcatlin.com","xlcatlin.com")</f>
        <v>xlcatlin.com</v>
      </c>
      <c r="C381" t="s">
        <v>433</v>
      </c>
      <c r="E381">
        <v>294681</v>
      </c>
      <c r="F381">
        <v>7.4987129545861304E-8</v>
      </c>
      <c r="G381">
        <v>560929</v>
      </c>
      <c r="H381">
        <v>13673713</v>
      </c>
      <c r="I381">
        <v>9542404</v>
      </c>
      <c r="J381">
        <v>4</v>
      </c>
    </row>
    <row r="382" spans="1:10" x14ac:dyDescent="0.25">
      <c r="A382" t="s">
        <v>7</v>
      </c>
      <c r="B382" s="1" t="str">
        <f>HYPERLINK("http://xlgroup.com","xlgroup.com")</f>
        <v>xlgroup.com</v>
      </c>
      <c r="C382" t="s">
        <v>433</v>
      </c>
      <c r="E382">
        <v>188807</v>
      </c>
      <c r="F382">
        <v>5.2216674200009697E-8</v>
      </c>
      <c r="G382">
        <v>874021</v>
      </c>
      <c r="H382">
        <v>14424226</v>
      </c>
      <c r="I382">
        <v>1081849</v>
      </c>
      <c r="J382">
        <v>4</v>
      </c>
    </row>
    <row r="383" spans="1:10" x14ac:dyDescent="0.25">
      <c r="A383" t="s">
        <v>7</v>
      </c>
      <c r="B383" s="1" t="str">
        <f>HYPERLINK("http://xlinnovate.com","xlinnovate.com")</f>
        <v>xlinnovate.com</v>
      </c>
      <c r="C383" t="s">
        <v>433</v>
      </c>
      <c r="F383">
        <v>1.3685245775501E-8</v>
      </c>
      <c r="G383">
        <v>4327021</v>
      </c>
      <c r="H383">
        <v>13513991</v>
      </c>
      <c r="I383">
        <v>9946185</v>
      </c>
      <c r="J383">
        <v>4</v>
      </c>
    </row>
    <row r="384" spans="1:10" x14ac:dyDescent="0.25">
      <c r="A384" t="s">
        <v>7</v>
      </c>
      <c r="B384" s="1" t="str">
        <f>HYPERLINK("http://aerzteversicherung.de","aerzteversicherung.de")</f>
        <v>aerzteversicherung.de</v>
      </c>
      <c r="C384" t="s">
        <v>436</v>
      </c>
      <c r="D384" t="s">
        <v>815</v>
      </c>
      <c r="F384">
        <v>6.9740820304125695E-8</v>
      </c>
      <c r="G384">
        <v>608004</v>
      </c>
      <c r="H384">
        <v>14084642</v>
      </c>
      <c r="I384">
        <v>2786113</v>
      </c>
      <c r="J384">
        <v>3</v>
      </c>
    </row>
    <row r="385" spans="1:10" x14ac:dyDescent="0.25">
      <c r="A385" t="s">
        <v>7</v>
      </c>
      <c r="B385" s="1" t="str">
        <f>HYPERLINK("http://agentur-spilles.de","agentur-spilles.de")</f>
        <v>agentur-spilles.de</v>
      </c>
      <c r="C385" t="s">
        <v>436</v>
      </c>
      <c r="D385" t="s">
        <v>815</v>
      </c>
      <c r="F385">
        <v>8.9873427319194503E-9</v>
      </c>
      <c r="G385">
        <v>8011224</v>
      </c>
      <c r="H385">
        <v>10055301</v>
      </c>
      <c r="I385">
        <v>60318745</v>
      </c>
      <c r="J385">
        <v>4</v>
      </c>
    </row>
    <row r="386" spans="1:10" x14ac:dyDescent="0.25">
      <c r="A386" t="s">
        <v>7</v>
      </c>
      <c r="B386" s="1" t="str">
        <f>HYPERLINK("http://axa.de","axa.de")</f>
        <v>axa.de</v>
      </c>
      <c r="C386" t="s">
        <v>436</v>
      </c>
      <c r="D386" t="s">
        <v>815</v>
      </c>
      <c r="E386">
        <v>112186</v>
      </c>
      <c r="F386">
        <v>6.5889741742944899E-7</v>
      </c>
      <c r="G386">
        <v>58423</v>
      </c>
      <c r="H386">
        <v>17099194</v>
      </c>
      <c r="I386">
        <v>64055</v>
      </c>
      <c r="J386">
        <v>2</v>
      </c>
    </row>
    <row r="387" spans="1:10" x14ac:dyDescent="0.25">
      <c r="A387" t="s">
        <v>7</v>
      </c>
      <c r="B387" s="1" t="str">
        <f>HYPERLINK("http://axa-assistance.de","axa-assistance.de")</f>
        <v>axa-assistance.de</v>
      </c>
      <c r="C387" t="s">
        <v>436</v>
      </c>
      <c r="D387" t="s">
        <v>815</v>
      </c>
      <c r="F387">
        <v>9.6300311227380395E-9</v>
      </c>
      <c r="G387">
        <v>7163217</v>
      </c>
      <c r="H387">
        <v>12956173</v>
      </c>
      <c r="I387">
        <v>13184522</v>
      </c>
      <c r="J387">
        <v>4</v>
      </c>
    </row>
    <row r="388" spans="1:10" x14ac:dyDescent="0.25">
      <c r="A388" t="s">
        <v>7</v>
      </c>
      <c r="B388" s="1" t="str">
        <f>HYPERLINK("http://axa-betreuer.de","axa-betreuer.de")</f>
        <v>axa-betreuer.de</v>
      </c>
      <c r="C388" t="s">
        <v>436</v>
      </c>
      <c r="D388" t="s">
        <v>815</v>
      </c>
      <c r="E388">
        <v>527014</v>
      </c>
      <c r="F388">
        <v>4.4623214655911601E-7</v>
      </c>
      <c r="G388">
        <v>84598</v>
      </c>
      <c r="H388">
        <v>14227525</v>
      </c>
      <c r="I388">
        <v>1677484</v>
      </c>
      <c r="J388">
        <v>4</v>
      </c>
    </row>
    <row r="389" spans="1:10" x14ac:dyDescent="0.25">
      <c r="A389" t="s">
        <v>7</v>
      </c>
      <c r="B389" s="1" t="str">
        <f>HYPERLINK("http://axa-im.de","axa-im.de")</f>
        <v>axa-im.de</v>
      </c>
      <c r="C389" t="s">
        <v>436</v>
      </c>
      <c r="D389" t="s">
        <v>815</v>
      </c>
      <c r="F389">
        <v>3.3531132108527102E-8</v>
      </c>
      <c r="G389">
        <v>1541864</v>
      </c>
      <c r="H389">
        <v>12593951</v>
      </c>
      <c r="I389">
        <v>16381712</v>
      </c>
      <c r="J389">
        <v>4</v>
      </c>
    </row>
    <row r="390" spans="1:10" x14ac:dyDescent="0.25">
      <c r="A390" t="s">
        <v>7</v>
      </c>
      <c r="B390" s="1" t="str">
        <f>HYPERLINK("http://axa-spilles.de","axa-spilles.de")</f>
        <v>axa-spilles.de</v>
      </c>
      <c r="C390" t="s">
        <v>436</v>
      </c>
      <c r="D390" t="s">
        <v>815</v>
      </c>
      <c r="F390">
        <v>4.4438792963307198E-9</v>
      </c>
      <c r="G390">
        <v>78071050</v>
      </c>
      <c r="H390">
        <v>11974556</v>
      </c>
      <c r="I390">
        <v>28623940</v>
      </c>
      <c r="J390">
        <v>6</v>
      </c>
    </row>
    <row r="391" spans="1:10" x14ac:dyDescent="0.25">
      <c r="A391" t="s">
        <v>7</v>
      </c>
      <c r="B391" s="1" t="str">
        <f>HYPERLINK("http://dbv.de","dbv.de")</f>
        <v>dbv.de</v>
      </c>
      <c r="C391" t="s">
        <v>436</v>
      </c>
      <c r="D391" t="s">
        <v>815</v>
      </c>
      <c r="F391">
        <v>9.7329688796992099E-8</v>
      </c>
      <c r="G391">
        <v>415033</v>
      </c>
      <c r="H391">
        <v>13431703</v>
      </c>
      <c r="I391">
        <v>10278925</v>
      </c>
      <c r="J391">
        <v>2</v>
      </c>
    </row>
    <row r="392" spans="1:10" x14ac:dyDescent="0.25">
      <c r="A392" t="s">
        <v>7</v>
      </c>
      <c r="B392" s="1" t="str">
        <f>HYPERLINK("http://dbv-betreuer.de","dbv-betreuer.de")</f>
        <v>dbv-betreuer.de</v>
      </c>
      <c r="C392" t="s">
        <v>436</v>
      </c>
      <c r="D392" t="s">
        <v>815</v>
      </c>
      <c r="F392">
        <v>6.2437827377515796E-8</v>
      </c>
      <c r="G392">
        <v>702979</v>
      </c>
      <c r="H392">
        <v>12891957</v>
      </c>
      <c r="I392">
        <v>13923829</v>
      </c>
      <c r="J392">
        <v>4</v>
      </c>
    </row>
    <row r="393" spans="1:10" x14ac:dyDescent="0.25">
      <c r="A393" t="s">
        <v>7</v>
      </c>
      <c r="B393" s="1" t="str">
        <f>HYPERLINK("http://erftstadt.de","erftstadt.de")</f>
        <v>erftstadt.de</v>
      </c>
      <c r="C393" t="s">
        <v>436</v>
      </c>
      <c r="D393" t="s">
        <v>815</v>
      </c>
      <c r="F393">
        <v>7.5782747942687895E-8</v>
      </c>
      <c r="G393">
        <v>554439</v>
      </c>
      <c r="H393">
        <v>14359831</v>
      </c>
      <c r="I393">
        <v>1304659</v>
      </c>
      <c r="J393">
        <v>6</v>
      </c>
    </row>
    <row r="394" spans="1:10" x14ac:dyDescent="0.25">
      <c r="A394" t="s">
        <v>7</v>
      </c>
      <c r="B394" s="1" t="str">
        <f>HYPERLINK("http://kita-herrig.de","kita-herrig.de")</f>
        <v>kita-herrig.de</v>
      </c>
      <c r="C394" t="s">
        <v>436</v>
      </c>
      <c r="D394" t="s">
        <v>815</v>
      </c>
      <c r="J394">
        <v>8</v>
      </c>
    </row>
    <row r="395" spans="1:10" x14ac:dyDescent="0.25">
      <c r="A395" t="s">
        <v>7</v>
      </c>
      <c r="B395" s="1" t="str">
        <f>HYPERLINK("http://roland-direct.de","roland-direct.de")</f>
        <v>roland-direct.de</v>
      </c>
      <c r="C395" t="s">
        <v>436</v>
      </c>
      <c r="D395" t="s">
        <v>815</v>
      </c>
      <c r="J395">
        <v>2</v>
      </c>
    </row>
    <row r="396" spans="1:10" x14ac:dyDescent="0.25">
      <c r="A396" t="s">
        <v>7</v>
      </c>
      <c r="B396" s="1" t="str">
        <f>HYPERLINK("http://roland-konzern.de","roland-konzern.de")</f>
        <v>roland-konzern.de</v>
      </c>
      <c r="C396" t="s">
        <v>436</v>
      </c>
      <c r="D396" t="s">
        <v>815</v>
      </c>
      <c r="F396">
        <v>8.07430490295183E-9</v>
      </c>
      <c r="G396">
        <v>9787072</v>
      </c>
      <c r="H396">
        <v>12798557</v>
      </c>
      <c r="I396">
        <v>14644588</v>
      </c>
      <c r="J396">
        <v>6</v>
      </c>
    </row>
    <row r="397" spans="1:10" x14ac:dyDescent="0.25">
      <c r="A397" t="s">
        <v>7</v>
      </c>
      <c r="B397" s="1" t="str">
        <f>HYPERLINK("http://roland-rechtsschutz.de","roland-rechtsschutz.de")</f>
        <v>roland-rechtsschutz.de</v>
      </c>
      <c r="C397" t="s">
        <v>436</v>
      </c>
      <c r="D397" t="s">
        <v>815</v>
      </c>
      <c r="E397">
        <v>593592</v>
      </c>
      <c r="F397">
        <v>2.1184356330197101E-7</v>
      </c>
      <c r="G397">
        <v>178327</v>
      </c>
      <c r="H397">
        <v>13898368</v>
      </c>
      <c r="I397">
        <v>5952827</v>
      </c>
      <c r="J397">
        <v>3</v>
      </c>
    </row>
    <row r="398" spans="1:10" x14ac:dyDescent="0.25">
      <c r="A398" t="s">
        <v>7</v>
      </c>
      <c r="B398" s="1" t="str">
        <f>HYPERLINK("http://axa-forsikring.dk","axa-forsikring.dk")</f>
        <v>axa-forsikring.dk</v>
      </c>
      <c r="C398" t="s">
        <v>437</v>
      </c>
      <c r="D398" t="s">
        <v>816</v>
      </c>
      <c r="F398">
        <v>7.96854636177956E-9</v>
      </c>
      <c r="G398">
        <v>9979113</v>
      </c>
      <c r="H398">
        <v>10607096</v>
      </c>
      <c r="I398">
        <v>44650373</v>
      </c>
      <c r="J398">
        <v>2</v>
      </c>
    </row>
    <row r="399" spans="1:10" x14ac:dyDescent="0.25">
      <c r="A399" t="s">
        <v>7</v>
      </c>
      <c r="B399" s="1" t="str">
        <f>HYPERLINK("http://axa.es","axa.es")</f>
        <v>axa.es</v>
      </c>
      <c r="C399" t="s">
        <v>443</v>
      </c>
      <c r="D399" t="s">
        <v>822</v>
      </c>
      <c r="E399">
        <v>128219</v>
      </c>
      <c r="F399">
        <v>3.6931910066081899E-7</v>
      </c>
      <c r="G399">
        <v>101358</v>
      </c>
      <c r="H399">
        <v>17143524</v>
      </c>
      <c r="I399">
        <v>53517</v>
      </c>
      <c r="J399">
        <v>3</v>
      </c>
    </row>
    <row r="400" spans="1:10" x14ac:dyDescent="0.25">
      <c r="A400" t="s">
        <v>7</v>
      </c>
      <c r="B400" s="1" t="str">
        <f>HYPERLINK("http://axa-assistance.es","axa-assistance.es")</f>
        <v>axa-assistance.es</v>
      </c>
      <c r="C400" t="s">
        <v>443</v>
      </c>
      <c r="D400" t="s">
        <v>822</v>
      </c>
      <c r="F400">
        <v>7.3713748263468099E-9</v>
      </c>
      <c r="G400">
        <v>11310726</v>
      </c>
      <c r="H400">
        <v>11031786</v>
      </c>
      <c r="I400">
        <v>33077734</v>
      </c>
      <c r="J400">
        <v>5</v>
      </c>
    </row>
    <row r="401" spans="1:10" x14ac:dyDescent="0.25">
      <c r="A401" t="s">
        <v>7</v>
      </c>
      <c r="B401" s="1" t="str">
        <f>HYPERLINK("http://axa-im.es","axa-im.es")</f>
        <v>axa-im.es</v>
      </c>
      <c r="C401" t="s">
        <v>443</v>
      </c>
      <c r="D401" t="s">
        <v>822</v>
      </c>
      <c r="F401">
        <v>2.8501145469488302E-8</v>
      </c>
      <c r="G401">
        <v>1805975</v>
      </c>
      <c r="H401">
        <v>12496180</v>
      </c>
      <c r="I401">
        <v>17409465</v>
      </c>
      <c r="J401">
        <v>5</v>
      </c>
    </row>
    <row r="402" spans="1:10" x14ac:dyDescent="0.25">
      <c r="A402" t="s">
        <v>7</v>
      </c>
      <c r="B402" s="1" t="str">
        <f>HYPERLINK("http://axastore.es","axastore.es")</f>
        <v>axastore.es</v>
      </c>
      <c r="C402" t="s">
        <v>443</v>
      </c>
      <c r="D402" t="s">
        <v>822</v>
      </c>
      <c r="J402">
        <v>4</v>
      </c>
    </row>
    <row r="403" spans="1:10" x14ac:dyDescent="0.25">
      <c r="A403" t="s">
        <v>7</v>
      </c>
      <c r="B403" s="1" t="str">
        <f>HYPERLINK("http://notfallhilfe.eu","notfallhilfe.eu")</f>
        <v>notfallhilfe.eu</v>
      </c>
      <c r="C403" t="s">
        <v>444</v>
      </c>
      <c r="J403">
        <v>2</v>
      </c>
    </row>
    <row r="404" spans="1:10" x14ac:dyDescent="0.25">
      <c r="A404" t="s">
        <v>7</v>
      </c>
      <c r="B404" s="1" t="str">
        <f>HYPERLINK("http://axa-trading.fi","axa-trading.fi")</f>
        <v>axa-trading.fi</v>
      </c>
      <c r="C404" t="s">
        <v>445</v>
      </c>
      <c r="D404" t="s">
        <v>823</v>
      </c>
      <c r="J404">
        <v>2</v>
      </c>
    </row>
    <row r="405" spans="1:10" x14ac:dyDescent="0.25">
      <c r="A405" t="s">
        <v>7</v>
      </c>
      <c r="B405" s="1" t="str">
        <f>HYPERLINK("http://axapartners.fi","axapartners.fi")</f>
        <v>axapartners.fi</v>
      </c>
      <c r="C405" t="s">
        <v>445</v>
      </c>
      <c r="D405" t="s">
        <v>823</v>
      </c>
      <c r="J405">
        <v>6</v>
      </c>
    </row>
    <row r="406" spans="1:10" x14ac:dyDescent="0.25">
      <c r="A406" t="s">
        <v>7</v>
      </c>
      <c r="B406" s="1" t="str">
        <f>HYPERLINK("http://roland24.fi","roland24.fi")</f>
        <v>roland24.fi</v>
      </c>
      <c r="C406" t="s">
        <v>445</v>
      </c>
      <c r="D406" t="s">
        <v>823</v>
      </c>
      <c r="J406">
        <v>4</v>
      </c>
    </row>
    <row r="407" spans="1:10" x14ac:dyDescent="0.25">
      <c r="A407" t="s">
        <v>7</v>
      </c>
      <c r="B407" s="1" t="str">
        <f>HYPERLINK("http://axa.fr","axa.fr")</f>
        <v>axa.fr</v>
      </c>
      <c r="C407" t="s">
        <v>446</v>
      </c>
      <c r="D407" t="s">
        <v>824</v>
      </c>
      <c r="E407">
        <v>51355</v>
      </c>
      <c r="F407">
        <v>1.0104765933699101E-6</v>
      </c>
      <c r="G407">
        <v>37889</v>
      </c>
      <c r="H407">
        <v>17268766</v>
      </c>
      <c r="I407">
        <v>31516</v>
      </c>
      <c r="J407">
        <v>2</v>
      </c>
    </row>
    <row r="408" spans="1:10" x14ac:dyDescent="0.25">
      <c r="A408" t="s">
        <v>7</v>
      </c>
      <c r="B408" s="1" t="str">
        <f>HYPERLINK("http://axa-im.fr","axa-im.fr")</f>
        <v>axa-im.fr</v>
      </c>
      <c r="C408" t="s">
        <v>446</v>
      </c>
      <c r="D408" t="s">
        <v>824</v>
      </c>
      <c r="F408">
        <v>4.9826477166697602E-8</v>
      </c>
      <c r="G408">
        <v>925524</v>
      </c>
      <c r="H408">
        <v>13293603</v>
      </c>
      <c r="I408">
        <v>10860379</v>
      </c>
      <c r="J408">
        <v>5</v>
      </c>
    </row>
    <row r="409" spans="1:10" x14ac:dyDescent="0.25">
      <c r="A409" t="s">
        <v>7</v>
      </c>
      <c r="B409" s="1" t="str">
        <f>HYPERLINK("http://axa-reimsgp.fr","axa-reimsgp.fr")</f>
        <v>axa-reimsgp.fr</v>
      </c>
      <c r="C409" t="s">
        <v>446</v>
      </c>
      <c r="D409" t="s">
        <v>824</v>
      </c>
      <c r="F409">
        <v>1.00797139510631E-8</v>
      </c>
      <c r="G409">
        <v>6670686</v>
      </c>
      <c r="H409">
        <v>12587512</v>
      </c>
      <c r="I409">
        <v>16437604</v>
      </c>
      <c r="J409">
        <v>4</v>
      </c>
    </row>
    <row r="410" spans="1:10" x14ac:dyDescent="0.25">
      <c r="A410" t="s">
        <v>7</v>
      </c>
      <c r="B410" s="1" t="str">
        <f>HYPERLINK("http://axabanque.fr","axabanque.fr")</f>
        <v>axabanque.fr</v>
      </c>
      <c r="C410" t="s">
        <v>446</v>
      </c>
      <c r="D410" t="s">
        <v>824</v>
      </c>
      <c r="F410">
        <v>1.05149807669814E-7</v>
      </c>
      <c r="G410">
        <v>381007</v>
      </c>
      <c r="H410">
        <v>14012286</v>
      </c>
      <c r="I410">
        <v>3999573</v>
      </c>
      <c r="J410">
        <v>2</v>
      </c>
    </row>
    <row r="411" spans="1:10" x14ac:dyDescent="0.25">
      <c r="A411" t="s">
        <v>7</v>
      </c>
      <c r="B411" s="1" t="str">
        <f>HYPERLINK("http://axathema.fr","axathema.fr")</f>
        <v>axathema.fr</v>
      </c>
      <c r="C411" t="s">
        <v>446</v>
      </c>
      <c r="D411" t="s">
        <v>824</v>
      </c>
      <c r="F411">
        <v>1.7442712038605098E-8</v>
      </c>
      <c r="G411">
        <v>3161683</v>
      </c>
      <c r="H411">
        <v>12191817</v>
      </c>
      <c r="I411">
        <v>23539742</v>
      </c>
      <c r="J411">
        <v>2</v>
      </c>
    </row>
    <row r="412" spans="1:10" x14ac:dyDescent="0.25">
      <c r="A412" t="s">
        <v>7</v>
      </c>
      <c r="B412" s="1" t="str">
        <f>HYPERLINK("http://boutique-axa.fr","boutique-axa.fr")</f>
        <v>boutique-axa.fr</v>
      </c>
      <c r="C412" t="s">
        <v>446</v>
      </c>
      <c r="D412" t="s">
        <v>824</v>
      </c>
      <c r="J412">
        <v>2</v>
      </c>
    </row>
    <row r="413" spans="1:10" x14ac:dyDescent="0.25">
      <c r="A413" t="s">
        <v>7</v>
      </c>
      <c r="B413" s="1" t="str">
        <f>HYPERLINK("http://dailydroits.fr","dailydroits.fr")</f>
        <v>dailydroits.fr</v>
      </c>
      <c r="C413" t="s">
        <v>446</v>
      </c>
      <c r="D413" t="s">
        <v>824</v>
      </c>
      <c r="F413">
        <v>1.0892010301928099E-8</v>
      </c>
      <c r="G413">
        <v>5948491</v>
      </c>
      <c r="H413">
        <v>12570554</v>
      </c>
      <c r="I413">
        <v>16622136</v>
      </c>
      <c r="J413">
        <v>2</v>
      </c>
    </row>
    <row r="414" spans="1:10" x14ac:dyDescent="0.25">
      <c r="A414" t="s">
        <v>7</v>
      </c>
      <c r="B414" s="1" t="str">
        <f>HYPERLINK("http://direct-assurance.fr","direct-assurance.fr")</f>
        <v>direct-assurance.fr</v>
      </c>
      <c r="C414" t="s">
        <v>446</v>
      </c>
      <c r="D414" t="s">
        <v>824</v>
      </c>
      <c r="E414">
        <v>283689</v>
      </c>
      <c r="F414">
        <v>7.3132735032923604E-8</v>
      </c>
      <c r="G414">
        <v>576519</v>
      </c>
      <c r="H414">
        <v>14500236</v>
      </c>
      <c r="I414">
        <v>854108</v>
      </c>
      <c r="J414">
        <v>2</v>
      </c>
    </row>
    <row r="415" spans="1:10" x14ac:dyDescent="0.25">
      <c r="A415" t="s">
        <v>7</v>
      </c>
      <c r="B415" s="1" t="str">
        <f>HYPERLINK("http://entreaidants.fr","entreaidants.fr")</f>
        <v>entreaidants.fr</v>
      </c>
      <c r="C415" t="s">
        <v>446</v>
      </c>
      <c r="D415" t="s">
        <v>824</v>
      </c>
      <c r="F415">
        <v>7.5257265136699499E-9</v>
      </c>
      <c r="G415">
        <v>10956907</v>
      </c>
      <c r="H415">
        <v>13061325</v>
      </c>
      <c r="I415">
        <v>12326252</v>
      </c>
      <c r="J415">
        <v>2</v>
      </c>
    </row>
    <row r="416" spans="1:10" x14ac:dyDescent="0.25">
      <c r="A416" t="s">
        <v>7</v>
      </c>
      <c r="B416" s="1" t="str">
        <f>HYPERLINK("http://juridica.fr","juridica.fr")</f>
        <v>juridica.fr</v>
      </c>
      <c r="C416" t="s">
        <v>446</v>
      </c>
      <c r="D416" t="s">
        <v>824</v>
      </c>
      <c r="F416">
        <v>1.23135971794812E-8</v>
      </c>
      <c r="G416">
        <v>4986936</v>
      </c>
      <c r="H416">
        <v>12197635</v>
      </c>
      <c r="I416">
        <v>23381844</v>
      </c>
      <c r="J416">
        <v>2</v>
      </c>
    </row>
    <row r="417" spans="1:10" x14ac:dyDescent="0.25">
      <c r="A417" t="s">
        <v>7</v>
      </c>
      <c r="B417" s="1" t="str">
        <f>HYPERLINK("http://ma-protectionsociale.fr","ma-protectionsociale.fr")</f>
        <v>ma-protectionsociale.fr</v>
      </c>
      <c r="C417" t="s">
        <v>446</v>
      </c>
      <c r="D417" t="s">
        <v>824</v>
      </c>
      <c r="F417">
        <v>6.7575995699451598E-9</v>
      </c>
      <c r="G417">
        <v>13103482</v>
      </c>
      <c r="H417">
        <v>10348539</v>
      </c>
      <c r="I417">
        <v>56539929</v>
      </c>
      <c r="J417">
        <v>2</v>
      </c>
    </row>
    <row r="418" spans="1:10" x14ac:dyDescent="0.25">
      <c r="A418" t="s">
        <v>7</v>
      </c>
      <c r="B418" s="1" t="str">
        <f>HYPERLINK("http://axa.gr","axa.gr")</f>
        <v>axa.gr</v>
      </c>
      <c r="C418" t="s">
        <v>447</v>
      </c>
      <c r="D418" t="s">
        <v>825</v>
      </c>
      <c r="F418">
        <v>2.5242025882357801E-8</v>
      </c>
      <c r="G418">
        <v>2044766</v>
      </c>
      <c r="H418">
        <v>13222044</v>
      </c>
      <c r="I418">
        <v>11324275</v>
      </c>
      <c r="J418">
        <v>4</v>
      </c>
    </row>
    <row r="419" spans="1:10" x14ac:dyDescent="0.25">
      <c r="A419" t="s">
        <v>7</v>
      </c>
      <c r="B419" s="1" t="str">
        <f>HYPERLINK("http://axa.com.hk","axa.com.hk")</f>
        <v>axa.com.hk</v>
      </c>
      <c r="C419" t="s">
        <v>450</v>
      </c>
      <c r="D419" t="s">
        <v>827</v>
      </c>
      <c r="E419">
        <v>201308</v>
      </c>
      <c r="F419">
        <v>1.9108688556721199E-7</v>
      </c>
      <c r="G419">
        <v>201659</v>
      </c>
      <c r="H419">
        <v>17001620</v>
      </c>
      <c r="I419">
        <v>93414</v>
      </c>
      <c r="J419">
        <v>3</v>
      </c>
    </row>
    <row r="420" spans="1:10" x14ac:dyDescent="0.25">
      <c r="A420" t="s">
        <v>7</v>
      </c>
      <c r="B420" s="1" t="str">
        <f>HYPERLINK("http://axa-im.com.hk","axa-im.com.hk")</f>
        <v>axa-im.com.hk</v>
      </c>
      <c r="C420" t="s">
        <v>450</v>
      </c>
      <c r="D420" t="s">
        <v>827</v>
      </c>
      <c r="F420">
        <v>8.0506525841897501E-9</v>
      </c>
      <c r="G420">
        <v>9829194</v>
      </c>
      <c r="H420">
        <v>12252064</v>
      </c>
      <c r="I420">
        <v>21962932</v>
      </c>
      <c r="J420">
        <v>4</v>
      </c>
    </row>
    <row r="421" spans="1:10" x14ac:dyDescent="0.25">
      <c r="A421" t="s">
        <v>7</v>
      </c>
      <c r="B421" s="1" t="str">
        <f>HYPERLINK("http://axa.id","axa.id")</f>
        <v>axa.id</v>
      </c>
      <c r="C421" t="s">
        <v>454</v>
      </c>
      <c r="D421" t="s">
        <v>831</v>
      </c>
      <c r="F421">
        <v>6.26958016285823E-9</v>
      </c>
      <c r="G421">
        <v>15177495</v>
      </c>
      <c r="H421">
        <v>10725705</v>
      </c>
      <c r="I421">
        <v>41294130</v>
      </c>
      <c r="J421">
        <v>6</v>
      </c>
    </row>
    <row r="422" spans="1:10" x14ac:dyDescent="0.25">
      <c r="A422" t="s">
        <v>7</v>
      </c>
      <c r="B422" s="1" t="str">
        <f>HYPERLINK("http://axa.co.id","axa.co.id")</f>
        <v>axa.co.id</v>
      </c>
      <c r="C422" t="s">
        <v>454</v>
      </c>
      <c r="D422" t="s">
        <v>831</v>
      </c>
      <c r="E422">
        <v>917867</v>
      </c>
      <c r="F422">
        <v>1.13424357620463E-7</v>
      </c>
      <c r="G422">
        <v>351593</v>
      </c>
      <c r="H422">
        <v>14375385</v>
      </c>
      <c r="I422">
        <v>1226464</v>
      </c>
      <c r="J422">
        <v>5</v>
      </c>
    </row>
    <row r="423" spans="1:10" x14ac:dyDescent="0.25">
      <c r="A423" t="s">
        <v>7</v>
      </c>
      <c r="B423" s="1" t="str">
        <f>HYPERLINK("http://axa.ie","axa.ie")</f>
        <v>axa.ie</v>
      </c>
      <c r="C423" t="s">
        <v>455</v>
      </c>
      <c r="D423" t="s">
        <v>832</v>
      </c>
      <c r="E423">
        <v>353438</v>
      </c>
      <c r="F423">
        <v>7.0075070283302596E-8</v>
      </c>
      <c r="G423">
        <v>604632</v>
      </c>
      <c r="H423">
        <v>14788585</v>
      </c>
      <c r="I423">
        <v>551634</v>
      </c>
      <c r="J423">
        <v>2</v>
      </c>
    </row>
    <row r="424" spans="1:10" x14ac:dyDescent="0.25">
      <c r="A424" t="s">
        <v>7</v>
      </c>
      <c r="B424" s="1" t="str">
        <f>HYPERLINK("http://axa.it","axa.it")</f>
        <v>axa.it</v>
      </c>
      <c r="C424" t="s">
        <v>459</v>
      </c>
      <c r="D424" t="s">
        <v>835</v>
      </c>
      <c r="E424">
        <v>521786</v>
      </c>
      <c r="F424">
        <v>1.7674849575983301E-7</v>
      </c>
      <c r="G424">
        <v>218949</v>
      </c>
      <c r="H424">
        <v>17063700</v>
      </c>
      <c r="I424">
        <v>72995</v>
      </c>
      <c r="J424">
        <v>2</v>
      </c>
    </row>
    <row r="425" spans="1:10" x14ac:dyDescent="0.25">
      <c r="A425" t="s">
        <v>7</v>
      </c>
      <c r="B425" s="1" t="str">
        <f>HYPERLINK("http://axa-agenzie.it","axa-agenzie.it")</f>
        <v>axa-agenzie.it</v>
      </c>
      <c r="C425" t="s">
        <v>459</v>
      </c>
      <c r="D425" t="s">
        <v>835</v>
      </c>
      <c r="F425">
        <v>4.4810973044438096E-9</v>
      </c>
      <c r="G425">
        <v>62124223</v>
      </c>
      <c r="H425">
        <v>9464490</v>
      </c>
      <c r="I425">
        <v>66286412</v>
      </c>
      <c r="J425">
        <v>4</v>
      </c>
    </row>
    <row r="426" spans="1:10" x14ac:dyDescent="0.25">
      <c r="A426" t="s">
        <v>7</v>
      </c>
      <c r="B426" s="1" t="str">
        <f>HYPERLINK("http://axa-im.it","axa-im.it")</f>
        <v>axa-im.it</v>
      </c>
      <c r="C426" t="s">
        <v>459</v>
      </c>
      <c r="D426" t="s">
        <v>835</v>
      </c>
      <c r="F426">
        <v>2.60651501846464E-8</v>
      </c>
      <c r="G426">
        <v>1976492</v>
      </c>
      <c r="H426">
        <v>12416602</v>
      </c>
      <c r="I426">
        <v>18513655</v>
      </c>
      <c r="J426">
        <v>5</v>
      </c>
    </row>
    <row r="427" spans="1:10" x14ac:dyDescent="0.25">
      <c r="A427" t="s">
        <v>7</v>
      </c>
      <c r="B427" s="1" t="str">
        <f>HYPERLINK("http://axa-italia.it","axa-italia.it")</f>
        <v>axa-italia.it</v>
      </c>
      <c r="C427" t="s">
        <v>459</v>
      </c>
      <c r="D427" t="s">
        <v>835</v>
      </c>
      <c r="E427">
        <v>949057</v>
      </c>
      <c r="F427">
        <v>2.1948216867036099E-8</v>
      </c>
      <c r="G427">
        <v>2392364</v>
      </c>
      <c r="H427">
        <v>13946976</v>
      </c>
      <c r="I427">
        <v>4212650</v>
      </c>
      <c r="J427">
        <v>2</v>
      </c>
    </row>
    <row r="428" spans="1:10" x14ac:dyDescent="0.25">
      <c r="A428" t="s">
        <v>7</v>
      </c>
      <c r="B428" s="1" t="str">
        <f>HYPERLINK("http://axa-mps.it","axa-mps.it")</f>
        <v>axa-mps.it</v>
      </c>
      <c r="C428" t="s">
        <v>459</v>
      </c>
      <c r="D428" t="s">
        <v>835</v>
      </c>
      <c r="F428">
        <v>3.28328501698899E-8</v>
      </c>
      <c r="G428">
        <v>1573570</v>
      </c>
      <c r="H428">
        <v>14376738</v>
      </c>
      <c r="I428">
        <v>1214969</v>
      </c>
      <c r="J428">
        <v>4</v>
      </c>
    </row>
    <row r="429" spans="1:10" x14ac:dyDescent="0.25">
      <c r="A429" t="s">
        <v>7</v>
      </c>
      <c r="B429" s="1" t="str">
        <f>HYPERLINK("http://alliancebernstein.co.jp","alliancebernstein.co.jp")</f>
        <v>alliancebernstein.co.jp</v>
      </c>
      <c r="C429" t="s">
        <v>461</v>
      </c>
      <c r="D429" t="s">
        <v>837</v>
      </c>
      <c r="F429">
        <v>2.08795612342357E-8</v>
      </c>
      <c r="G429">
        <v>2532110</v>
      </c>
      <c r="H429">
        <v>13426590</v>
      </c>
      <c r="I429">
        <v>10292398</v>
      </c>
      <c r="J429">
        <v>5</v>
      </c>
    </row>
    <row r="430" spans="1:10" x14ac:dyDescent="0.25">
      <c r="A430" t="s">
        <v>7</v>
      </c>
      <c r="B430" s="1" t="str">
        <f>HYPERLINK("http://axa-direct-life.co.jp","axa-direct-life.co.jp")</f>
        <v>axa-direct-life.co.jp</v>
      </c>
      <c r="C430" t="s">
        <v>461</v>
      </c>
      <c r="D430" t="s">
        <v>837</v>
      </c>
      <c r="E430">
        <v>933636</v>
      </c>
      <c r="F430">
        <v>6.2859393817930897E-8</v>
      </c>
      <c r="G430">
        <v>697573</v>
      </c>
      <c r="H430">
        <v>13172937</v>
      </c>
      <c r="I430">
        <v>11715005</v>
      </c>
      <c r="J430">
        <v>3</v>
      </c>
    </row>
    <row r="431" spans="1:10" x14ac:dyDescent="0.25">
      <c r="A431" t="s">
        <v>7</v>
      </c>
      <c r="B431" s="1" t="str">
        <f>HYPERLINK("http://axa-im.co.jp","axa-im.co.jp")</f>
        <v>axa-im.co.jp</v>
      </c>
      <c r="C431" t="s">
        <v>461</v>
      </c>
      <c r="D431" t="s">
        <v>837</v>
      </c>
      <c r="F431">
        <v>8.2585086857461497E-9</v>
      </c>
      <c r="G431">
        <v>9356360</v>
      </c>
      <c r="H431">
        <v>11116497</v>
      </c>
      <c r="I431">
        <v>32085440</v>
      </c>
      <c r="J431">
        <v>4</v>
      </c>
    </row>
    <row r="432" spans="1:10" x14ac:dyDescent="0.25">
      <c r="A432" t="s">
        <v>7</v>
      </c>
      <c r="B432" s="1" t="str">
        <f>HYPERLINK("http://alliancebernstein.co.kr","alliancebernstein.co.kr")</f>
        <v>alliancebernstein.co.kr</v>
      </c>
      <c r="C432" t="s">
        <v>463</v>
      </c>
      <c r="D432" t="s">
        <v>839</v>
      </c>
      <c r="F432">
        <v>5.4282576709884699E-9</v>
      </c>
      <c r="G432">
        <v>21762790</v>
      </c>
      <c r="H432">
        <v>12418838</v>
      </c>
      <c r="I432">
        <v>18479663</v>
      </c>
      <c r="J432">
        <v>5</v>
      </c>
    </row>
    <row r="433" spans="1:10" x14ac:dyDescent="0.25">
      <c r="A433" t="s">
        <v>7</v>
      </c>
      <c r="B433" s="1" t="str">
        <f>HYPERLINK("http://axa.li","axa.li")</f>
        <v>axa.li</v>
      </c>
      <c r="C433" t="s">
        <v>545</v>
      </c>
      <c r="D433" t="s">
        <v>903</v>
      </c>
      <c r="F433">
        <v>6.2305053617043401E-9</v>
      </c>
      <c r="G433">
        <v>15372478</v>
      </c>
      <c r="H433">
        <v>12061646</v>
      </c>
      <c r="I433">
        <v>26970034</v>
      </c>
      <c r="J433">
        <v>4</v>
      </c>
    </row>
    <row r="434" spans="1:10" x14ac:dyDescent="0.25">
      <c r="A434" t="s">
        <v>7</v>
      </c>
      <c r="B434" s="1" t="str">
        <f>HYPERLINK("http://axa-im.li","axa-im.li")</f>
        <v>axa-im.li</v>
      </c>
      <c r="C434" t="s">
        <v>545</v>
      </c>
      <c r="D434" t="s">
        <v>903</v>
      </c>
      <c r="F434">
        <v>6.9897094845583802E-9</v>
      </c>
      <c r="G434">
        <v>12342360</v>
      </c>
      <c r="H434">
        <v>10878839</v>
      </c>
      <c r="I434">
        <v>36348833</v>
      </c>
      <c r="J434">
        <v>5</v>
      </c>
    </row>
    <row r="435" spans="1:10" x14ac:dyDescent="0.25">
      <c r="A435" t="s">
        <v>7</v>
      </c>
      <c r="B435" s="1" t="str">
        <f>HYPERLINK("http://axa.lu","axa.lu")</f>
        <v>axa.lu</v>
      </c>
      <c r="C435" t="s">
        <v>547</v>
      </c>
      <c r="D435" t="s">
        <v>904</v>
      </c>
      <c r="F435">
        <v>4.78608518790493E-8</v>
      </c>
      <c r="G435">
        <v>972083</v>
      </c>
      <c r="H435">
        <v>13459714</v>
      </c>
      <c r="I435">
        <v>10170860</v>
      </c>
      <c r="J435">
        <v>3</v>
      </c>
    </row>
    <row r="436" spans="1:10" x14ac:dyDescent="0.25">
      <c r="A436" t="s">
        <v>7</v>
      </c>
      <c r="B436" s="1" t="str">
        <f>HYPERLINK("http://axa-im.lu","axa-im.lu")</f>
        <v>axa-im.lu</v>
      </c>
      <c r="C436" t="s">
        <v>547</v>
      </c>
      <c r="D436" t="s">
        <v>904</v>
      </c>
      <c r="F436">
        <v>1.35259632137313E-8</v>
      </c>
      <c r="G436">
        <v>4393069</v>
      </c>
      <c r="H436">
        <v>12327392</v>
      </c>
      <c r="I436">
        <v>20258687</v>
      </c>
      <c r="J436">
        <v>5</v>
      </c>
    </row>
    <row r="437" spans="1:10" x14ac:dyDescent="0.25">
      <c r="A437" t="s">
        <v>7</v>
      </c>
      <c r="B437" s="1" t="str">
        <f>HYPERLINK("http://axa.ma","axa.ma")</f>
        <v>axa.ma</v>
      </c>
      <c r="C437" t="s">
        <v>469</v>
      </c>
      <c r="D437" t="s">
        <v>845</v>
      </c>
      <c r="F437">
        <v>2.6464309656500999E-8</v>
      </c>
      <c r="G437">
        <v>1945532</v>
      </c>
      <c r="H437">
        <v>13566999</v>
      </c>
      <c r="I437">
        <v>9748228</v>
      </c>
      <c r="J437">
        <v>3</v>
      </c>
    </row>
    <row r="438" spans="1:10" x14ac:dyDescent="0.25">
      <c r="A438" t="s">
        <v>7</v>
      </c>
      <c r="B438" s="1" t="str">
        <f>HYPERLINK("http://axa.mx","axa.mx")</f>
        <v>axa.mx</v>
      </c>
      <c r="C438" t="s">
        <v>471</v>
      </c>
      <c r="D438" t="s">
        <v>847</v>
      </c>
      <c r="E438">
        <v>354407</v>
      </c>
      <c r="F438">
        <v>5.6538372340618801E-8</v>
      </c>
      <c r="G438">
        <v>790874</v>
      </c>
      <c r="H438">
        <v>14409160</v>
      </c>
      <c r="I438">
        <v>1146174</v>
      </c>
      <c r="J438">
        <v>3</v>
      </c>
    </row>
    <row r="439" spans="1:10" x14ac:dyDescent="0.25">
      <c r="A439" t="s">
        <v>7</v>
      </c>
      <c r="B439" s="1" t="str">
        <f>HYPERLINK("http://axa.com.mx","axa.com.mx")</f>
        <v>axa.com.mx</v>
      </c>
      <c r="C439" t="s">
        <v>471</v>
      </c>
      <c r="D439" t="s">
        <v>847</v>
      </c>
      <c r="E439">
        <v>261515</v>
      </c>
      <c r="F439">
        <v>1.0792780623224499E-8</v>
      </c>
      <c r="G439">
        <v>6026427</v>
      </c>
      <c r="H439">
        <v>14383237</v>
      </c>
      <c r="I439">
        <v>1186659</v>
      </c>
      <c r="J439">
        <v>4</v>
      </c>
    </row>
    <row r="440" spans="1:10" x14ac:dyDescent="0.25">
      <c r="A440" t="s">
        <v>7</v>
      </c>
      <c r="B440" s="1" t="str">
        <f>HYPERLINK("http://axa-im.com.mx","axa-im.com.mx")</f>
        <v>axa-im.com.mx</v>
      </c>
      <c r="C440" t="s">
        <v>471</v>
      </c>
      <c r="D440" t="s">
        <v>847</v>
      </c>
      <c r="F440">
        <v>6.3268847800874902E-9</v>
      </c>
      <c r="G440">
        <v>14905067</v>
      </c>
      <c r="H440">
        <v>10877885</v>
      </c>
      <c r="I440">
        <v>36362556</v>
      </c>
      <c r="J440">
        <v>5</v>
      </c>
    </row>
    <row r="441" spans="1:10" x14ac:dyDescent="0.25">
      <c r="A441" t="s">
        <v>7</v>
      </c>
      <c r="B441" s="1" t="str">
        <f>HYPERLINK("http://axatiendachurubusco.com.mx","axatiendachurubusco.com.mx")</f>
        <v>axatiendachurubusco.com.mx</v>
      </c>
      <c r="C441" t="s">
        <v>471</v>
      </c>
      <c r="D441" t="s">
        <v>847</v>
      </c>
      <c r="J441">
        <v>5</v>
      </c>
    </row>
    <row r="442" spans="1:10" x14ac:dyDescent="0.25">
      <c r="A442" t="s">
        <v>7</v>
      </c>
      <c r="B442" s="1" t="str">
        <f>HYPERLINK("http://axxa.com.mx","axxa.com.mx")</f>
        <v>axxa.com.mx</v>
      </c>
      <c r="C442" t="s">
        <v>471</v>
      </c>
      <c r="D442" t="s">
        <v>847</v>
      </c>
      <c r="J442">
        <v>5</v>
      </c>
    </row>
    <row r="443" spans="1:10" x14ac:dyDescent="0.25">
      <c r="A443" t="s">
        <v>7</v>
      </c>
      <c r="B443" s="1" t="str">
        <f>HYPERLINK("http://qax.com.mx","qax.com.mx")</f>
        <v>qax.com.mx</v>
      </c>
      <c r="C443" t="s">
        <v>471</v>
      </c>
      <c r="D443" t="s">
        <v>847</v>
      </c>
      <c r="J443">
        <v>5</v>
      </c>
    </row>
    <row r="444" spans="1:10" x14ac:dyDescent="0.25">
      <c r="A444" t="s">
        <v>7</v>
      </c>
      <c r="B444" s="1" t="str">
        <f>HYPERLINK("http://axa.com.my","axa.com.my")</f>
        <v>axa.com.my</v>
      </c>
      <c r="C444" t="s">
        <v>472</v>
      </c>
      <c r="D444" t="s">
        <v>848</v>
      </c>
      <c r="E444">
        <v>524326</v>
      </c>
      <c r="F444">
        <v>8.3512330856362201E-8</v>
      </c>
      <c r="G444">
        <v>497000</v>
      </c>
      <c r="H444">
        <v>14311514</v>
      </c>
      <c r="I444">
        <v>1340563</v>
      </c>
      <c r="J444">
        <v>3</v>
      </c>
    </row>
    <row r="445" spans="1:10" x14ac:dyDescent="0.25">
      <c r="A445" t="s">
        <v>7</v>
      </c>
      <c r="B445" s="1" t="str">
        <f>HYPERLINK("http://blueridgeins.net","blueridgeins.net")</f>
        <v>blueridgeins.net</v>
      </c>
      <c r="C445" t="s">
        <v>474</v>
      </c>
      <c r="F445">
        <v>4.8091547498092901E-9</v>
      </c>
      <c r="G445">
        <v>35730318</v>
      </c>
      <c r="H445">
        <v>11321968</v>
      </c>
      <c r="I445">
        <v>30498743</v>
      </c>
      <c r="J445">
        <v>4</v>
      </c>
    </row>
    <row r="446" spans="1:10" x14ac:dyDescent="0.25">
      <c r="A446" t="s">
        <v>7</v>
      </c>
      <c r="B446" s="1" t="str">
        <f>HYPERLINK("http://axa-im.nl","axa-im.nl")</f>
        <v>axa-im.nl</v>
      </c>
      <c r="C446" t="s">
        <v>477</v>
      </c>
      <c r="D446" t="s">
        <v>852</v>
      </c>
      <c r="F446">
        <v>1.1451399119601E-8</v>
      </c>
      <c r="G446">
        <v>5538254</v>
      </c>
      <c r="H446">
        <v>12696085</v>
      </c>
      <c r="I446">
        <v>15380601</v>
      </c>
      <c r="J446">
        <v>5</v>
      </c>
    </row>
    <row r="447" spans="1:10" x14ac:dyDescent="0.25">
      <c r="A447" t="s">
        <v>7</v>
      </c>
      <c r="B447" s="1" t="str">
        <f>HYPERLINK("http://feuerwehrmann.nrw","feuerwehrmann.nrw")</f>
        <v>feuerwehrmann.nrw</v>
      </c>
      <c r="C447" t="s">
        <v>549</v>
      </c>
      <c r="F447">
        <v>4.6825302446718596E-9</v>
      </c>
      <c r="G447">
        <v>42186106</v>
      </c>
      <c r="H447">
        <v>8107101.5</v>
      </c>
      <c r="I447">
        <v>75007451</v>
      </c>
      <c r="J447">
        <v>6</v>
      </c>
    </row>
    <row r="448" spans="1:10" x14ac:dyDescent="0.25">
      <c r="A448" t="s">
        <v>7</v>
      </c>
      <c r="B448" s="1" t="str">
        <f>HYPERLINK("http://axa.com.ph","axa.com.ph")</f>
        <v>axa.com.ph</v>
      </c>
      <c r="C448" t="s">
        <v>484</v>
      </c>
      <c r="D448" t="s">
        <v>858</v>
      </c>
      <c r="E448">
        <v>529521</v>
      </c>
      <c r="F448">
        <v>4.5099830363704697E-8</v>
      </c>
      <c r="G448">
        <v>1046487</v>
      </c>
      <c r="H448">
        <v>14349022</v>
      </c>
      <c r="I448">
        <v>1310295</v>
      </c>
      <c r="J448">
        <v>2</v>
      </c>
    </row>
    <row r="449" spans="1:10" x14ac:dyDescent="0.25">
      <c r="A449" t="s">
        <v>7</v>
      </c>
      <c r="B449" s="1" t="str">
        <f>HYPERLINK("http://axa-im.pt","axa-im.pt")</f>
        <v>axa-im.pt</v>
      </c>
      <c r="C449" t="s">
        <v>488</v>
      </c>
      <c r="D449" t="s">
        <v>862</v>
      </c>
      <c r="J449">
        <v>5</v>
      </c>
    </row>
    <row r="450" spans="1:10" x14ac:dyDescent="0.25">
      <c r="A450" t="s">
        <v>7</v>
      </c>
      <c r="B450" s="1" t="str">
        <f>HYPERLINK("http://viagemsegura.pt","viagemsegura.pt")</f>
        <v>viagemsegura.pt</v>
      </c>
      <c r="C450" t="s">
        <v>488</v>
      </c>
      <c r="D450" t="s">
        <v>862</v>
      </c>
      <c r="F450">
        <v>5.2516965425526197E-9</v>
      </c>
      <c r="G450">
        <v>24231889</v>
      </c>
      <c r="H450">
        <v>9992451</v>
      </c>
      <c r="I450">
        <v>60880866</v>
      </c>
      <c r="J450">
        <v>6</v>
      </c>
    </row>
    <row r="451" spans="1:10" x14ac:dyDescent="0.25">
      <c r="A451" t="s">
        <v>7</v>
      </c>
      <c r="B451" s="1" t="str">
        <f>HYPERLINK("http://axa-im.se","axa-im.se")</f>
        <v>axa-im.se</v>
      </c>
      <c r="C451" t="s">
        <v>495</v>
      </c>
      <c r="D451" t="s">
        <v>869</v>
      </c>
      <c r="F451">
        <v>6.8993788651976399E-9</v>
      </c>
      <c r="G451">
        <v>12636720</v>
      </c>
      <c r="H451">
        <v>10882368</v>
      </c>
      <c r="I451">
        <v>36298425</v>
      </c>
      <c r="J451">
        <v>5</v>
      </c>
    </row>
    <row r="452" spans="1:10" x14ac:dyDescent="0.25">
      <c r="A452" t="s">
        <v>7</v>
      </c>
      <c r="B452" s="1" t="str">
        <f>HYPERLINK("http://alliancebernstein.com.sg","alliancebernstein.com.sg")</f>
        <v>alliancebernstein.com.sg</v>
      </c>
      <c r="C452" t="s">
        <v>496</v>
      </c>
      <c r="D452" t="s">
        <v>870</v>
      </c>
      <c r="F452">
        <v>5.43010407694415E-9</v>
      </c>
      <c r="G452">
        <v>21739223</v>
      </c>
      <c r="H452">
        <v>9995050</v>
      </c>
      <c r="I452">
        <v>60859434</v>
      </c>
      <c r="J452">
        <v>5</v>
      </c>
    </row>
    <row r="453" spans="1:10" x14ac:dyDescent="0.25">
      <c r="A453" t="s">
        <v>7</v>
      </c>
      <c r="B453" s="1" t="str">
        <f>HYPERLINK("http://axa.com.sg","axa.com.sg")</f>
        <v>axa.com.sg</v>
      </c>
      <c r="C453" t="s">
        <v>496</v>
      </c>
      <c r="D453" t="s">
        <v>870</v>
      </c>
      <c r="E453">
        <v>253914</v>
      </c>
      <c r="F453">
        <v>8.8446388570783105E-8</v>
      </c>
      <c r="G453">
        <v>462840</v>
      </c>
      <c r="H453">
        <v>14269156</v>
      </c>
      <c r="I453">
        <v>1402365</v>
      </c>
      <c r="J453">
        <v>2</v>
      </c>
    </row>
    <row r="454" spans="1:10" x14ac:dyDescent="0.25">
      <c r="A454" t="s">
        <v>7</v>
      </c>
      <c r="B454" s="1" t="str">
        <f>HYPERLINK("http://axa-im.com.sg","axa-im.com.sg")</f>
        <v>axa-im.com.sg</v>
      </c>
      <c r="C454" t="s">
        <v>496</v>
      </c>
      <c r="D454" t="s">
        <v>870</v>
      </c>
      <c r="F454">
        <v>6.7608715226329103E-9</v>
      </c>
      <c r="G454">
        <v>13092547</v>
      </c>
      <c r="H454">
        <v>10904364</v>
      </c>
      <c r="I454">
        <v>35736669</v>
      </c>
      <c r="J454">
        <v>5</v>
      </c>
    </row>
    <row r="455" spans="1:10" x14ac:dyDescent="0.25">
      <c r="A455" t="s">
        <v>7</v>
      </c>
      <c r="B455" s="1" t="str">
        <f>HYPERLINK("http://axasigorta.com.tr","axasigorta.com.tr")</f>
        <v>axasigorta.com.tr</v>
      </c>
      <c r="C455" t="s">
        <v>502</v>
      </c>
      <c r="D455" t="s">
        <v>876</v>
      </c>
      <c r="E455">
        <v>167397</v>
      </c>
      <c r="F455">
        <v>6.1866169465687303E-8</v>
      </c>
      <c r="G455">
        <v>710898</v>
      </c>
      <c r="H455">
        <v>14120830</v>
      </c>
      <c r="I455">
        <v>2325593</v>
      </c>
      <c r="J455">
        <v>3</v>
      </c>
    </row>
    <row r="456" spans="1:10" x14ac:dyDescent="0.25">
      <c r="A456" t="s">
        <v>7</v>
      </c>
      <c r="B456" s="1" t="str">
        <f>HYPERLINK("http://axa.co.uk","axa.co.uk")</f>
        <v>axa.co.uk</v>
      </c>
      <c r="C456" t="s">
        <v>506</v>
      </c>
      <c r="D456" t="s">
        <v>880</v>
      </c>
      <c r="E456">
        <v>74997</v>
      </c>
      <c r="F456">
        <v>2.23117867807014E-7</v>
      </c>
      <c r="G456">
        <v>168938</v>
      </c>
      <c r="H456">
        <v>14908029</v>
      </c>
      <c r="I456">
        <v>459280</v>
      </c>
      <c r="J456">
        <v>3</v>
      </c>
    </row>
    <row r="457" spans="1:10" x14ac:dyDescent="0.25">
      <c r="A457" t="s">
        <v>7</v>
      </c>
      <c r="B457" s="1" t="str">
        <f>HYPERLINK("http://axa-assistance.co.uk","axa-assistance.co.uk")</f>
        <v>axa-assistance.co.uk</v>
      </c>
      <c r="C457" t="s">
        <v>506</v>
      </c>
      <c r="D457" t="s">
        <v>880</v>
      </c>
      <c r="F457">
        <v>8.8770443024213197E-9</v>
      </c>
      <c r="G457">
        <v>8181111</v>
      </c>
      <c r="H457">
        <v>12404967</v>
      </c>
      <c r="I457">
        <v>18689469</v>
      </c>
      <c r="J457">
        <v>9</v>
      </c>
    </row>
    <row r="458" spans="1:10" x14ac:dyDescent="0.25">
      <c r="A458" t="s">
        <v>7</v>
      </c>
      <c r="B458" s="1" t="str">
        <f>HYPERLINK("http://axa-im.co.uk","axa-im.co.uk")</f>
        <v>axa-im.co.uk</v>
      </c>
      <c r="C458" t="s">
        <v>506</v>
      </c>
      <c r="D458" t="s">
        <v>880</v>
      </c>
      <c r="F458">
        <v>6.1165232773823704E-8</v>
      </c>
      <c r="G458">
        <v>720086</v>
      </c>
      <c r="H458">
        <v>13412231</v>
      </c>
      <c r="I458">
        <v>10325805</v>
      </c>
      <c r="J458">
        <v>4</v>
      </c>
    </row>
    <row r="459" spans="1:10" x14ac:dyDescent="0.25">
      <c r="A459" t="s">
        <v>7</v>
      </c>
      <c r="B459" s="1" t="str">
        <f>HYPERLINK("http://axa-insurance.co.uk","axa-insurance.co.uk")</f>
        <v>axa-insurance.co.uk</v>
      </c>
      <c r="C459" t="s">
        <v>506</v>
      </c>
      <c r="D459" t="s">
        <v>880</v>
      </c>
      <c r="F459">
        <v>4.6483119466139501E-9</v>
      </c>
      <c r="G459">
        <v>44246569</v>
      </c>
      <c r="H459">
        <v>12165840</v>
      </c>
      <c r="I459">
        <v>24177140</v>
      </c>
      <c r="J459">
        <v>4</v>
      </c>
    </row>
    <row r="460" spans="1:10" x14ac:dyDescent="0.25">
      <c r="A460" t="s">
        <v>7</v>
      </c>
      <c r="B460" s="1" t="str">
        <f>HYPERLINK("http://axa-uk.co.uk","axa-uk.co.uk")</f>
        <v>axa-uk.co.uk</v>
      </c>
      <c r="C460" t="s">
        <v>506</v>
      </c>
      <c r="D460" t="s">
        <v>880</v>
      </c>
      <c r="F460">
        <v>4.48818580935252E-9</v>
      </c>
      <c r="G460">
        <v>60818067</v>
      </c>
      <c r="H460">
        <v>12228938</v>
      </c>
      <c r="I460">
        <v>22534223</v>
      </c>
      <c r="J460">
        <v>4</v>
      </c>
    </row>
    <row r="461" spans="1:10" x14ac:dyDescent="0.25">
      <c r="A461" t="s">
        <v>7</v>
      </c>
      <c r="B461" s="1" t="str">
        <f>HYPERLINK("http://axahealth.co.uk","axahealth.co.uk")</f>
        <v>axahealth.co.uk</v>
      </c>
      <c r="C461" t="s">
        <v>506</v>
      </c>
      <c r="D461" t="s">
        <v>880</v>
      </c>
      <c r="E461">
        <v>123255</v>
      </c>
      <c r="F461">
        <v>6.0498414087691901E-8</v>
      </c>
      <c r="G461">
        <v>728829</v>
      </c>
      <c r="H461">
        <v>14410223</v>
      </c>
      <c r="I461">
        <v>1145398</v>
      </c>
      <c r="J461">
        <v>2</v>
      </c>
    </row>
    <row r="462" spans="1:10" x14ac:dyDescent="0.25">
      <c r="A462" t="s">
        <v>7</v>
      </c>
      <c r="B462" s="1" t="str">
        <f>HYPERLINK("http://axappphealthcare.co.uk","axappphealthcare.co.uk")</f>
        <v>axappphealthcare.co.uk</v>
      </c>
      <c r="C462" t="s">
        <v>506</v>
      </c>
      <c r="D462" t="s">
        <v>880</v>
      </c>
      <c r="E462">
        <v>274179</v>
      </c>
      <c r="F462">
        <v>1.3705766390097399E-7</v>
      </c>
      <c r="G462">
        <v>284382</v>
      </c>
      <c r="H462">
        <v>14675446</v>
      </c>
      <c r="I462">
        <v>611412</v>
      </c>
      <c r="J462">
        <v>3</v>
      </c>
    </row>
    <row r="463" spans="1:10" x14ac:dyDescent="0.25">
      <c r="A463" t="s">
        <v>7</v>
      </c>
      <c r="B463" s="1" t="str">
        <f>HYPERLINK("http://health-on-line.co.uk","health-on-line.co.uk")</f>
        <v>health-on-line.co.uk</v>
      </c>
      <c r="C463" t="s">
        <v>506</v>
      </c>
      <c r="D463" t="s">
        <v>880</v>
      </c>
      <c r="F463">
        <v>1.44594267809155E-8</v>
      </c>
      <c r="G463">
        <v>4036776</v>
      </c>
      <c r="H463">
        <v>14075909</v>
      </c>
      <c r="I463">
        <v>2897929</v>
      </c>
      <c r="J463">
        <v>5</v>
      </c>
    </row>
    <row r="464" spans="1:10" x14ac:dyDescent="0.25">
      <c r="A464" t="s">
        <v>7</v>
      </c>
      <c r="B464" s="1" t="str">
        <f>HYPERLINK("http://hol-apps.co.uk","hol-apps.co.uk")</f>
        <v>hol-apps.co.uk</v>
      </c>
      <c r="C464" t="s">
        <v>506</v>
      </c>
      <c r="D464" t="s">
        <v>880</v>
      </c>
      <c r="J464">
        <v>5</v>
      </c>
    </row>
    <row r="465" spans="1:10" x14ac:dyDescent="0.25">
      <c r="A465" t="s">
        <v>7</v>
      </c>
      <c r="B465" s="1" t="str">
        <f>HYPERLINK("http://ppptakingcare.co.uk","ppptakingcare.co.uk")</f>
        <v>ppptakingcare.co.uk</v>
      </c>
      <c r="C465" t="s">
        <v>506</v>
      </c>
      <c r="D465" t="s">
        <v>880</v>
      </c>
      <c r="F465">
        <v>5.48663112930269E-9</v>
      </c>
      <c r="G465">
        <v>21053518</v>
      </c>
      <c r="H465">
        <v>11499530</v>
      </c>
      <c r="I465">
        <v>30031611</v>
      </c>
      <c r="J465">
        <v>5</v>
      </c>
    </row>
    <row r="466" spans="1:10" x14ac:dyDescent="0.25">
      <c r="A466" t="s">
        <v>7</v>
      </c>
      <c r="B466" s="1" t="str">
        <f>HYPERLINK("http://sbj.co.uk","sbj.co.uk")</f>
        <v>sbj.co.uk</v>
      </c>
      <c r="C466" t="s">
        <v>506</v>
      </c>
      <c r="D466" t="s">
        <v>880</v>
      </c>
      <c r="F466">
        <v>4.4439461590803803E-9</v>
      </c>
      <c r="G466">
        <v>77837111</v>
      </c>
      <c r="H466">
        <v>10356126</v>
      </c>
      <c r="I466">
        <v>55649373</v>
      </c>
      <c r="J466">
        <v>4</v>
      </c>
    </row>
    <row r="467" spans="1:10" x14ac:dyDescent="0.25">
      <c r="A467" t="s">
        <v>7</v>
      </c>
      <c r="B467" s="1" t="str">
        <f>HYPERLINK("http://thephc.co.uk","thephc.co.uk")</f>
        <v>thephc.co.uk</v>
      </c>
      <c r="C467" t="s">
        <v>506</v>
      </c>
      <c r="D467" t="s">
        <v>880</v>
      </c>
      <c r="F467">
        <v>6.3273529794636798E-9</v>
      </c>
      <c r="G467">
        <v>14901062</v>
      </c>
      <c r="H467">
        <v>12948988</v>
      </c>
      <c r="I467">
        <v>13217346</v>
      </c>
      <c r="J467">
        <v>4</v>
      </c>
    </row>
    <row r="468" spans="1:10" x14ac:dyDescent="0.25">
      <c r="A468" t="s">
        <v>7</v>
      </c>
      <c r="B468" s="1" t="str">
        <f>HYPERLINK("http://axa-assistance.us","axa-assistance.us")</f>
        <v>axa-assistance.us</v>
      </c>
      <c r="C468" t="s">
        <v>522</v>
      </c>
      <c r="D468" t="s">
        <v>891</v>
      </c>
      <c r="E468">
        <v>238424</v>
      </c>
      <c r="F468">
        <v>1.5290162119837999E-7</v>
      </c>
      <c r="G468">
        <v>254042</v>
      </c>
      <c r="H468">
        <v>14177402</v>
      </c>
      <c r="I468">
        <v>1787000</v>
      </c>
      <c r="J468">
        <v>6</v>
      </c>
    </row>
    <row r="469" spans="1:10" x14ac:dyDescent="0.25">
      <c r="A469" t="s">
        <v>8</v>
      </c>
      <c r="B469" s="1" t="str">
        <f>HYPERLINK("http://global.abb","global.abb")</f>
        <v>global.abb</v>
      </c>
      <c r="C469" t="s">
        <v>554</v>
      </c>
      <c r="E469">
        <v>17854</v>
      </c>
      <c r="F469">
        <v>8.9989221963658104E-7</v>
      </c>
      <c r="G469">
        <v>44863</v>
      </c>
      <c r="H469">
        <v>17303672</v>
      </c>
      <c r="I469">
        <v>27468</v>
      </c>
      <c r="J469">
        <v>1</v>
      </c>
    </row>
    <row r="470" spans="1:10" x14ac:dyDescent="0.25">
      <c r="A470" t="s">
        <v>8</v>
      </c>
      <c r="B470" s="1" t="str">
        <f>HYPERLINK("http://abb.com.ar","abb.com.ar")</f>
        <v>abb.com.ar</v>
      </c>
      <c r="C470" t="s">
        <v>418</v>
      </c>
      <c r="D470" t="s">
        <v>800</v>
      </c>
      <c r="F470">
        <v>7.6127403380396094E-9</v>
      </c>
      <c r="G470">
        <v>10768181</v>
      </c>
      <c r="H470">
        <v>12380283</v>
      </c>
      <c r="I470">
        <v>19206903</v>
      </c>
      <c r="J470">
        <v>3</v>
      </c>
    </row>
    <row r="471" spans="1:10" x14ac:dyDescent="0.25">
      <c r="A471" t="s">
        <v>8</v>
      </c>
      <c r="B471" s="1" t="str">
        <f>HYPERLINK("http://abb.at","abb.at")</f>
        <v>abb.at</v>
      </c>
      <c r="C471" t="s">
        <v>419</v>
      </c>
      <c r="D471" t="s">
        <v>801</v>
      </c>
      <c r="F471">
        <v>1.3728490278263099E-8</v>
      </c>
      <c r="G471">
        <v>4309752</v>
      </c>
      <c r="H471">
        <v>12514231</v>
      </c>
      <c r="I471">
        <v>17205223</v>
      </c>
      <c r="J471">
        <v>3</v>
      </c>
    </row>
    <row r="472" spans="1:10" x14ac:dyDescent="0.25">
      <c r="A472" t="s">
        <v>8</v>
      </c>
      <c r="B472" s="1" t="str">
        <f>HYPERLINK("http://busch-jaeger.at","busch-jaeger.at")</f>
        <v>busch-jaeger.at</v>
      </c>
      <c r="C472" t="s">
        <v>419</v>
      </c>
      <c r="D472" t="s">
        <v>801</v>
      </c>
      <c r="F472">
        <v>1.3450297300912499E-8</v>
      </c>
      <c r="G472">
        <v>4426479</v>
      </c>
      <c r="H472">
        <v>12232503</v>
      </c>
      <c r="I472">
        <v>22436467</v>
      </c>
      <c r="J472">
        <v>4</v>
      </c>
    </row>
    <row r="473" spans="1:10" x14ac:dyDescent="0.25">
      <c r="A473" t="s">
        <v>8</v>
      </c>
      <c r="B473" s="1" t="str">
        <f>HYPERLINK("http://abb.be","abb.be")</f>
        <v>abb.be</v>
      </c>
      <c r="C473" t="s">
        <v>421</v>
      </c>
      <c r="D473" t="s">
        <v>803</v>
      </c>
      <c r="F473">
        <v>1.1384603138439401E-8</v>
      </c>
      <c r="G473">
        <v>5584577</v>
      </c>
      <c r="H473">
        <v>12408169</v>
      </c>
      <c r="I473">
        <v>18634332</v>
      </c>
      <c r="J473">
        <v>3</v>
      </c>
    </row>
    <row r="474" spans="1:10" x14ac:dyDescent="0.25">
      <c r="A474" t="s">
        <v>8</v>
      </c>
      <c r="B474" s="1" t="str">
        <f>HYPERLINK("http://abb.bg","abb.bg")</f>
        <v>abb.bg</v>
      </c>
      <c r="C474" t="s">
        <v>422</v>
      </c>
      <c r="D474" t="s">
        <v>804</v>
      </c>
      <c r="F474">
        <v>9.5565490244026496E-9</v>
      </c>
      <c r="G474">
        <v>7255130</v>
      </c>
      <c r="H474">
        <v>12475166</v>
      </c>
      <c r="I474">
        <v>17644910</v>
      </c>
      <c r="J474">
        <v>3</v>
      </c>
    </row>
    <row r="475" spans="1:10" x14ac:dyDescent="0.25">
      <c r="A475" t="s">
        <v>8</v>
      </c>
      <c r="B475" s="1" t="str">
        <f>HYPERLINK("http://abb.com.br","abb.com.br")</f>
        <v>abb.com.br</v>
      </c>
      <c r="C475" t="s">
        <v>425</v>
      </c>
      <c r="D475" t="s">
        <v>806</v>
      </c>
      <c r="F475">
        <v>1.02591867287296E-8</v>
      </c>
      <c r="G475">
        <v>6489815</v>
      </c>
      <c r="H475">
        <v>14091646</v>
      </c>
      <c r="I475">
        <v>2742978</v>
      </c>
      <c r="J475">
        <v>3</v>
      </c>
    </row>
    <row r="476" spans="1:10" x14ac:dyDescent="0.25">
      <c r="A476" t="s">
        <v>8</v>
      </c>
      <c r="B476" s="1" t="str">
        <f>HYPERLINK("http://abb.by","abb.by")</f>
        <v>abb.by</v>
      </c>
      <c r="C476" t="s">
        <v>427</v>
      </c>
      <c r="D476" t="s">
        <v>808</v>
      </c>
      <c r="F476">
        <v>6.0320641140616697E-9</v>
      </c>
      <c r="G476">
        <v>16487994</v>
      </c>
      <c r="H476">
        <v>10632941</v>
      </c>
      <c r="I476">
        <v>43916190</v>
      </c>
      <c r="J476">
        <v>3</v>
      </c>
    </row>
    <row r="477" spans="1:10" x14ac:dyDescent="0.25">
      <c r="A477" t="s">
        <v>8</v>
      </c>
      <c r="B477" s="1" t="str">
        <f>HYPERLINK("http://abb.ca","abb.ca")</f>
        <v>abb.ca</v>
      </c>
      <c r="C477" t="s">
        <v>428</v>
      </c>
      <c r="D477" t="s">
        <v>809</v>
      </c>
      <c r="F477">
        <v>1.98919882282695E-8</v>
      </c>
      <c r="G477">
        <v>2676077</v>
      </c>
      <c r="H477">
        <v>13891220</v>
      </c>
      <c r="I477">
        <v>5961375</v>
      </c>
      <c r="J477">
        <v>3</v>
      </c>
    </row>
    <row r="478" spans="1:10" x14ac:dyDescent="0.25">
      <c r="A478" t="s">
        <v>8</v>
      </c>
      <c r="B478" s="1" t="str">
        <f>HYPERLINK("http://tnb.ca","tnb.ca")</f>
        <v>tnb.ca</v>
      </c>
      <c r="C478" t="s">
        <v>428</v>
      </c>
      <c r="D478" t="s">
        <v>809</v>
      </c>
      <c r="F478">
        <v>4.7249717065147298E-8</v>
      </c>
      <c r="G478">
        <v>986729</v>
      </c>
      <c r="H478">
        <v>13786753</v>
      </c>
      <c r="I478">
        <v>6381700</v>
      </c>
      <c r="J478">
        <v>4</v>
      </c>
    </row>
    <row r="479" spans="1:10" x14ac:dyDescent="0.25">
      <c r="A479" t="s">
        <v>8</v>
      </c>
      <c r="B479" s="1" t="str">
        <f>HYPERLINK("http://abb.ch","abb.ch")</f>
        <v>abb.ch</v>
      </c>
      <c r="C479" t="s">
        <v>429</v>
      </c>
      <c r="D479" t="s">
        <v>810</v>
      </c>
      <c r="F479">
        <v>5.8613630815526497E-8</v>
      </c>
      <c r="G479">
        <v>757483</v>
      </c>
      <c r="H479">
        <v>14754142</v>
      </c>
      <c r="I479">
        <v>562358</v>
      </c>
      <c r="J479">
        <v>3</v>
      </c>
    </row>
    <row r="480" spans="1:10" x14ac:dyDescent="0.25">
      <c r="A480" t="s">
        <v>8</v>
      </c>
      <c r="B480" s="1" t="str">
        <f>HYPERLINK("http://trasfor.ch","trasfor.ch")</f>
        <v>trasfor.ch</v>
      </c>
      <c r="C480" t="s">
        <v>429</v>
      </c>
      <c r="D480" t="s">
        <v>810</v>
      </c>
      <c r="F480">
        <v>6.3385217295063103E-9</v>
      </c>
      <c r="G480">
        <v>14818922</v>
      </c>
      <c r="H480">
        <v>12306502</v>
      </c>
      <c r="I480">
        <v>20705009</v>
      </c>
      <c r="J480">
        <v>7</v>
      </c>
    </row>
    <row r="481" spans="1:10" x14ac:dyDescent="0.25">
      <c r="A481" t="s">
        <v>8</v>
      </c>
      <c r="B481" s="1" t="str">
        <f>HYPERLINK("http://abb.cl","abb.cl")</f>
        <v>abb.cl</v>
      </c>
      <c r="C481" t="s">
        <v>430</v>
      </c>
      <c r="D481" t="s">
        <v>811</v>
      </c>
      <c r="F481">
        <v>1.0794141187523401E-8</v>
      </c>
      <c r="G481">
        <v>6025389</v>
      </c>
      <c r="H481">
        <v>13368216</v>
      </c>
      <c r="I481">
        <v>10474522</v>
      </c>
      <c r="J481">
        <v>3</v>
      </c>
    </row>
    <row r="482" spans="1:10" x14ac:dyDescent="0.25">
      <c r="A482" t="s">
        <v>8</v>
      </c>
      <c r="B482" s="1" t="str">
        <f>HYPERLINK("http://abb.com.cn","abb.com.cn")</f>
        <v>abb.com.cn</v>
      </c>
      <c r="C482" t="s">
        <v>431</v>
      </c>
      <c r="D482" t="s">
        <v>812</v>
      </c>
      <c r="E482">
        <v>229072</v>
      </c>
      <c r="F482">
        <v>6.6238015367847604E-8</v>
      </c>
      <c r="G482">
        <v>647406</v>
      </c>
      <c r="H482">
        <v>14132704</v>
      </c>
      <c r="I482">
        <v>1996566</v>
      </c>
      <c r="J482">
        <v>3</v>
      </c>
    </row>
    <row r="483" spans="1:10" x14ac:dyDescent="0.25">
      <c r="A483" t="s">
        <v>8</v>
      </c>
      <c r="B483" s="1" t="str">
        <f>HYPERLINK("http://abb.com.co","abb.com.co")</f>
        <v>abb.com.co</v>
      </c>
      <c r="C483" t="s">
        <v>432</v>
      </c>
      <c r="F483">
        <v>5.4981612237507897E-9</v>
      </c>
      <c r="G483">
        <v>20923200</v>
      </c>
      <c r="H483">
        <v>12287809</v>
      </c>
      <c r="I483">
        <v>21158461</v>
      </c>
      <c r="J483">
        <v>3</v>
      </c>
    </row>
    <row r="484" spans="1:10" x14ac:dyDescent="0.25">
      <c r="A484" t="s">
        <v>8</v>
      </c>
      <c r="B484" s="1" t="str">
        <f>HYPERLINK("http://abb.com","abb.com")</f>
        <v>abb.com</v>
      </c>
      <c r="C484" t="s">
        <v>433</v>
      </c>
      <c r="E484">
        <v>3628</v>
      </c>
      <c r="F484">
        <v>6.0867304667240597E-6</v>
      </c>
      <c r="G484">
        <v>5662</v>
      </c>
      <c r="H484">
        <v>17742140</v>
      </c>
      <c r="I484">
        <v>6504</v>
      </c>
      <c r="J484">
        <v>2</v>
      </c>
    </row>
    <row r="485" spans="1:10" x14ac:dyDescent="0.25">
      <c r="A485" t="s">
        <v>8</v>
      </c>
      <c r="B485" s="1" t="str">
        <f>HYPERLINK("http://abbwireless.com","abbwireless.com")</f>
        <v>abbwireless.com</v>
      </c>
      <c r="C485" t="s">
        <v>433</v>
      </c>
      <c r="F485">
        <v>4.4557442510260297E-9</v>
      </c>
      <c r="G485">
        <v>69219403</v>
      </c>
      <c r="H485">
        <v>10428863</v>
      </c>
      <c r="I485">
        <v>53863760</v>
      </c>
      <c r="J485">
        <v>4</v>
      </c>
    </row>
    <row r="486" spans="1:10" x14ac:dyDescent="0.25">
      <c r="A486" t="s">
        <v>8</v>
      </c>
      <c r="B486" s="1" t="str">
        <f>HYPERLINK("http://baldor.com","baldor.com")</f>
        <v>baldor.com</v>
      </c>
      <c r="C486" t="s">
        <v>433</v>
      </c>
      <c r="E486">
        <v>136238</v>
      </c>
      <c r="F486">
        <v>2.22975432450426E-7</v>
      </c>
      <c r="G486">
        <v>169051</v>
      </c>
      <c r="H486">
        <v>14368928</v>
      </c>
      <c r="I486">
        <v>1300658</v>
      </c>
      <c r="J486">
        <v>3</v>
      </c>
    </row>
    <row r="487" spans="1:10" x14ac:dyDescent="0.25">
      <c r="A487" t="s">
        <v>8</v>
      </c>
      <c r="B487" s="1" t="str">
        <f>HYPERLINK("http://br-automation.com","br-automation.com")</f>
        <v>br-automation.com</v>
      </c>
      <c r="C487" t="s">
        <v>433</v>
      </c>
      <c r="E487">
        <v>104752</v>
      </c>
      <c r="F487">
        <v>4.0291830487255802E-7</v>
      </c>
      <c r="G487">
        <v>93191</v>
      </c>
      <c r="H487">
        <v>14659400</v>
      </c>
      <c r="I487">
        <v>620873</v>
      </c>
      <c r="J487">
        <v>3</v>
      </c>
    </row>
    <row r="488" spans="1:10" x14ac:dyDescent="0.25">
      <c r="A488" t="s">
        <v>8</v>
      </c>
      <c r="B488" s="1" t="str">
        <f>HYPERLINK("http://busch-jaeger.com","busch-jaeger.com")</f>
        <v>busch-jaeger.com</v>
      </c>
      <c r="C488" t="s">
        <v>433</v>
      </c>
      <c r="F488">
        <v>1.00878301239386E-8</v>
      </c>
      <c r="G488">
        <v>6661917</v>
      </c>
      <c r="H488">
        <v>13772989</v>
      </c>
      <c r="I488">
        <v>6643316</v>
      </c>
      <c r="J488">
        <v>6</v>
      </c>
    </row>
    <row r="489" spans="1:10" x14ac:dyDescent="0.25">
      <c r="A489" t="s">
        <v>8</v>
      </c>
      <c r="B489" s="1" t="str">
        <f>HYPERLINK("http://cm-products.com","cm-products.com")</f>
        <v>cm-products.com</v>
      </c>
      <c r="C489" t="s">
        <v>433</v>
      </c>
      <c r="F489">
        <v>4.5190858416997801E-9</v>
      </c>
      <c r="G489">
        <v>56340292</v>
      </c>
      <c r="H489">
        <v>12320822</v>
      </c>
      <c r="I489">
        <v>20402569</v>
      </c>
      <c r="J489">
        <v>6</v>
      </c>
    </row>
    <row r="490" spans="1:10" x14ac:dyDescent="0.25">
      <c r="A490" t="s">
        <v>8</v>
      </c>
      <c r="B490" s="1" t="str">
        <f>HYPERLINK("http://cylon.com","cylon.com")</f>
        <v>cylon.com</v>
      </c>
      <c r="C490" t="s">
        <v>433</v>
      </c>
      <c r="F490">
        <v>5.87088729557556E-8</v>
      </c>
      <c r="G490">
        <v>756024</v>
      </c>
      <c r="H490">
        <v>13938980</v>
      </c>
      <c r="I490">
        <v>4407430</v>
      </c>
      <c r="J490">
        <v>3</v>
      </c>
    </row>
    <row r="491" spans="1:10" x14ac:dyDescent="0.25">
      <c r="A491" t="s">
        <v>8</v>
      </c>
      <c r="B491" s="1" t="str">
        <f>HYPERLINK("http://intrion.com","intrion.com")</f>
        <v>intrion.com</v>
      </c>
      <c r="C491" t="s">
        <v>433</v>
      </c>
      <c r="F491">
        <v>7.5958955105834108E-9</v>
      </c>
      <c r="G491">
        <v>10803493</v>
      </c>
      <c r="H491">
        <v>12896252</v>
      </c>
      <c r="I491">
        <v>13896395</v>
      </c>
      <c r="J491">
        <v>4</v>
      </c>
    </row>
    <row r="492" spans="1:10" x14ac:dyDescent="0.25">
      <c r="A492" t="s">
        <v>8</v>
      </c>
      <c r="B492" s="1" t="str">
        <f>HYPERLINK("http://lgrinc.com","lgrinc.com")</f>
        <v>lgrinc.com</v>
      </c>
      <c r="C492" t="s">
        <v>433</v>
      </c>
      <c r="F492">
        <v>3.8107424905416097E-8</v>
      </c>
      <c r="G492">
        <v>1358258</v>
      </c>
      <c r="H492">
        <v>13655649</v>
      </c>
      <c r="I492">
        <v>9603574</v>
      </c>
      <c r="J492">
        <v>3</v>
      </c>
    </row>
    <row r="493" spans="1:10" x14ac:dyDescent="0.25">
      <c r="A493" t="s">
        <v>8</v>
      </c>
      <c r="B493" s="1" t="str">
        <f>HYPERLINK("http://mxabb.com","mxabb.com")</f>
        <v>mxabb.com</v>
      </c>
      <c r="C493" t="s">
        <v>433</v>
      </c>
      <c r="J493">
        <v>4</v>
      </c>
    </row>
    <row r="494" spans="1:10" x14ac:dyDescent="0.25">
      <c r="A494" t="s">
        <v>8</v>
      </c>
      <c r="B494" s="1" t="str">
        <f>HYPERLINK("http://pucaro.com","pucaro.com")</f>
        <v>pucaro.com</v>
      </c>
      <c r="C494" t="s">
        <v>433</v>
      </c>
      <c r="F494">
        <v>9.8318871548658796E-9</v>
      </c>
      <c r="G494">
        <v>6935092</v>
      </c>
      <c r="H494">
        <v>14072968</v>
      </c>
      <c r="I494">
        <v>3028384</v>
      </c>
      <c r="J494">
        <v>4</v>
      </c>
    </row>
    <row r="495" spans="1:10" x14ac:dyDescent="0.25">
      <c r="A495" t="s">
        <v>8</v>
      </c>
      <c r="B495" s="1" t="str">
        <f>HYPERLINK("http://seid-2012.com","seid-2012.com")</f>
        <v>seid-2012.com</v>
      </c>
      <c r="C495" t="s">
        <v>433</v>
      </c>
      <c r="J495">
        <v>4</v>
      </c>
    </row>
    <row r="496" spans="1:10" x14ac:dyDescent="0.25">
      <c r="A496" t="s">
        <v>8</v>
      </c>
      <c r="B496" s="1" t="str">
        <f>HYPERLINK("http://spiritit.com","spiritit.com")</f>
        <v>spiritit.com</v>
      </c>
      <c r="C496" t="s">
        <v>433</v>
      </c>
      <c r="F496">
        <v>8.3246915972941692E-9</v>
      </c>
      <c r="G496">
        <v>9201399</v>
      </c>
      <c r="H496">
        <v>12381122</v>
      </c>
      <c r="I496">
        <v>19186578</v>
      </c>
      <c r="J496">
        <v>4</v>
      </c>
    </row>
    <row r="497" spans="1:10" x14ac:dyDescent="0.25">
      <c r="A497" t="s">
        <v>8</v>
      </c>
      <c r="B497" s="1" t="str">
        <f>HYPERLINK("http://striebelundjohn.com","striebelundjohn.com")</f>
        <v>striebelundjohn.com</v>
      </c>
      <c r="C497" t="s">
        <v>433</v>
      </c>
      <c r="F497">
        <v>4.4074027529194898E-8</v>
      </c>
      <c r="G497">
        <v>1079113</v>
      </c>
      <c r="H497">
        <v>14251039</v>
      </c>
      <c r="I497">
        <v>1445203</v>
      </c>
      <c r="J497">
        <v>3</v>
      </c>
    </row>
    <row r="498" spans="1:10" x14ac:dyDescent="0.25">
      <c r="A498" t="s">
        <v>8</v>
      </c>
      <c r="B498" s="1" t="str">
        <f>HYPERLINK("http://tnb.com","tnb.com")</f>
        <v>tnb.com</v>
      </c>
      <c r="C498" t="s">
        <v>433</v>
      </c>
      <c r="E498">
        <v>102915</v>
      </c>
      <c r="F498">
        <v>1.65936313834044E-7</v>
      </c>
      <c r="G498">
        <v>233884</v>
      </c>
      <c r="H498">
        <v>14781197</v>
      </c>
      <c r="I498">
        <v>554442</v>
      </c>
      <c r="J498">
        <v>3</v>
      </c>
    </row>
    <row r="499" spans="1:10" x14ac:dyDescent="0.25">
      <c r="A499" t="s">
        <v>8</v>
      </c>
      <c r="B499" s="1" t="str">
        <f>HYPERLINK("http://trasfor.com","trasfor.com")</f>
        <v>trasfor.com</v>
      </c>
      <c r="C499" t="s">
        <v>433</v>
      </c>
      <c r="F499">
        <v>1.17162880159113E-8</v>
      </c>
      <c r="G499">
        <v>5355936</v>
      </c>
      <c r="H499">
        <v>12943855</v>
      </c>
      <c r="I499">
        <v>13264515</v>
      </c>
      <c r="J499">
        <v>6</v>
      </c>
    </row>
    <row r="500" spans="1:10" x14ac:dyDescent="0.25">
      <c r="A500" t="s">
        <v>8</v>
      </c>
      <c r="B500" s="1" t="str">
        <f>HYPERLINK("http://abb.cz","abb.cz")</f>
        <v>abb.cz</v>
      </c>
      <c r="C500" t="s">
        <v>435</v>
      </c>
      <c r="D500" t="s">
        <v>814</v>
      </c>
      <c r="F500">
        <v>3.84493361612459E-8</v>
      </c>
      <c r="G500">
        <v>1342001</v>
      </c>
      <c r="H500">
        <v>14088856</v>
      </c>
      <c r="I500">
        <v>2756501</v>
      </c>
      <c r="J500">
        <v>3</v>
      </c>
    </row>
    <row r="501" spans="1:10" x14ac:dyDescent="0.25">
      <c r="A501" t="s">
        <v>8</v>
      </c>
      <c r="B501" s="1" t="str">
        <f>HYPERLINK("http://abb.de","abb.de")</f>
        <v>abb.de</v>
      </c>
      <c r="C501" t="s">
        <v>436</v>
      </c>
      <c r="D501" t="s">
        <v>815</v>
      </c>
      <c r="E501">
        <v>324282</v>
      </c>
      <c r="F501">
        <v>1.1427385405138201E-7</v>
      </c>
      <c r="G501">
        <v>348523</v>
      </c>
      <c r="H501">
        <v>14837078</v>
      </c>
      <c r="I501">
        <v>500008</v>
      </c>
      <c r="J501">
        <v>3</v>
      </c>
    </row>
    <row r="502" spans="1:10" x14ac:dyDescent="0.25">
      <c r="A502" t="s">
        <v>8</v>
      </c>
      <c r="B502" s="1" t="str">
        <f>HYPERLINK("http://busch-jaeger.de","busch-jaeger.de")</f>
        <v>busch-jaeger.de</v>
      </c>
      <c r="C502" t="s">
        <v>436</v>
      </c>
      <c r="D502" t="s">
        <v>815</v>
      </c>
      <c r="E502">
        <v>160186</v>
      </c>
      <c r="F502">
        <v>6.08279363455776E-7</v>
      </c>
      <c r="G502">
        <v>62865</v>
      </c>
      <c r="H502">
        <v>17178028</v>
      </c>
      <c r="I502">
        <v>45972</v>
      </c>
      <c r="J502">
        <v>3</v>
      </c>
    </row>
    <row r="503" spans="1:10" x14ac:dyDescent="0.25">
      <c r="A503" t="s">
        <v>8</v>
      </c>
      <c r="B503" s="1" t="str">
        <f>HYPERLINK("http://kaufel.de","kaufel.de")</f>
        <v>kaufel.de</v>
      </c>
      <c r="C503" t="s">
        <v>436</v>
      </c>
      <c r="D503" t="s">
        <v>815</v>
      </c>
      <c r="F503">
        <v>1.0394607628539E-8</v>
      </c>
      <c r="G503">
        <v>6363815</v>
      </c>
      <c r="H503">
        <v>12384261</v>
      </c>
      <c r="I503">
        <v>19133128</v>
      </c>
      <c r="J503">
        <v>6</v>
      </c>
    </row>
    <row r="504" spans="1:10" x14ac:dyDescent="0.25">
      <c r="A504" t="s">
        <v>8</v>
      </c>
      <c r="B504" s="1" t="str">
        <f>HYPERLINK("http://abb.dk","abb.dk")</f>
        <v>abb.dk</v>
      </c>
      <c r="C504" t="s">
        <v>437</v>
      </c>
      <c r="D504" t="s">
        <v>816</v>
      </c>
      <c r="F504">
        <v>1.2304271782624401E-8</v>
      </c>
      <c r="G504">
        <v>4991964</v>
      </c>
      <c r="H504">
        <v>12468925</v>
      </c>
      <c r="I504">
        <v>17769979</v>
      </c>
      <c r="J504">
        <v>3</v>
      </c>
    </row>
    <row r="505" spans="1:10" x14ac:dyDescent="0.25">
      <c r="A505" t="s">
        <v>8</v>
      </c>
      <c r="B505" s="1" t="str">
        <f>HYPERLINK("http://abb.ee","abb.ee")</f>
        <v>abb.ee</v>
      </c>
      <c r="C505" t="s">
        <v>441</v>
      </c>
      <c r="D505" t="s">
        <v>820</v>
      </c>
      <c r="F505">
        <v>1.42061710483241E-8</v>
      </c>
      <c r="G505">
        <v>4126778</v>
      </c>
      <c r="H505">
        <v>14102291</v>
      </c>
      <c r="I505">
        <v>2699194</v>
      </c>
      <c r="J505">
        <v>3</v>
      </c>
    </row>
    <row r="506" spans="1:10" x14ac:dyDescent="0.25">
      <c r="A506" t="s">
        <v>8</v>
      </c>
      <c r="B506" s="1" t="str">
        <f>HYPERLINK("http://abb.com.eg","abb.com.eg")</f>
        <v>abb.com.eg</v>
      </c>
      <c r="C506" t="s">
        <v>442</v>
      </c>
      <c r="D506" t="s">
        <v>821</v>
      </c>
      <c r="F506">
        <v>6.6643964815497E-9</v>
      </c>
      <c r="G506">
        <v>13432717</v>
      </c>
      <c r="H506">
        <v>13067672</v>
      </c>
      <c r="I506">
        <v>12271443</v>
      </c>
      <c r="J506">
        <v>3</v>
      </c>
    </row>
    <row r="507" spans="1:10" x14ac:dyDescent="0.25">
      <c r="A507" t="s">
        <v>8</v>
      </c>
      <c r="B507" s="1" t="str">
        <f>HYPERLINK("http://abb.es","abb.es")</f>
        <v>abb.es</v>
      </c>
      <c r="C507" t="s">
        <v>443</v>
      </c>
      <c r="D507" t="s">
        <v>822</v>
      </c>
      <c r="F507">
        <v>7.1781319613434606E-8</v>
      </c>
      <c r="G507">
        <v>588519</v>
      </c>
      <c r="H507">
        <v>14540508</v>
      </c>
      <c r="I507">
        <v>775318</v>
      </c>
      <c r="J507">
        <v>3</v>
      </c>
    </row>
    <row r="508" spans="1:10" x14ac:dyDescent="0.25">
      <c r="A508" t="s">
        <v>8</v>
      </c>
      <c r="B508" s="1" t="str">
        <f>HYPERLINK("http://asti.es","asti.es")</f>
        <v>asti.es</v>
      </c>
      <c r="C508" t="s">
        <v>443</v>
      </c>
      <c r="D508" t="s">
        <v>822</v>
      </c>
      <c r="F508">
        <v>3.0615422068194499E-8</v>
      </c>
      <c r="G508">
        <v>1682295</v>
      </c>
      <c r="H508">
        <v>14221045</v>
      </c>
      <c r="I508">
        <v>1685391</v>
      </c>
      <c r="J508">
        <v>4</v>
      </c>
    </row>
    <row r="509" spans="1:10" x14ac:dyDescent="0.25">
      <c r="A509" t="s">
        <v>8</v>
      </c>
      <c r="B509" s="1" t="str">
        <f>HYPERLINK("http://abb.fi","abb.fi")</f>
        <v>abb.fi</v>
      </c>
      <c r="C509" t="s">
        <v>445</v>
      </c>
      <c r="D509" t="s">
        <v>823</v>
      </c>
      <c r="F509">
        <v>5.4276533911220902E-8</v>
      </c>
      <c r="G509">
        <v>832503</v>
      </c>
      <c r="H509">
        <v>14685078</v>
      </c>
      <c r="I509">
        <v>605548</v>
      </c>
      <c r="J509">
        <v>2</v>
      </c>
    </row>
    <row r="510" spans="1:10" x14ac:dyDescent="0.25">
      <c r="A510" t="s">
        <v>8</v>
      </c>
      <c r="B510" s="1" t="str">
        <f>HYPERLINK("http://abb-livingspace.fi","abb-livingspace.fi")</f>
        <v>abb-livingspace.fi</v>
      </c>
      <c r="C510" t="s">
        <v>445</v>
      </c>
      <c r="D510" t="s">
        <v>823</v>
      </c>
      <c r="J510">
        <v>2</v>
      </c>
    </row>
    <row r="511" spans="1:10" x14ac:dyDescent="0.25">
      <c r="A511" t="s">
        <v>8</v>
      </c>
      <c r="B511" s="1" t="str">
        <f>HYPERLINK("http://abbability.fi","abbability.fi")</f>
        <v>abbability.fi</v>
      </c>
      <c r="C511" t="s">
        <v>445</v>
      </c>
      <c r="D511" t="s">
        <v>823</v>
      </c>
      <c r="J511">
        <v>2</v>
      </c>
    </row>
    <row r="512" spans="1:10" x14ac:dyDescent="0.25">
      <c r="A512" t="s">
        <v>8</v>
      </c>
      <c r="B512" s="1" t="str">
        <f>HYPERLINK("http://aseabrownboveri.fi","aseabrownboveri.fi")</f>
        <v>aseabrownboveri.fi</v>
      </c>
      <c r="C512" t="s">
        <v>445</v>
      </c>
      <c r="D512" t="s">
        <v>823</v>
      </c>
      <c r="J512">
        <v>2</v>
      </c>
    </row>
    <row r="513" spans="1:10" x14ac:dyDescent="0.25">
      <c r="A513" t="s">
        <v>8</v>
      </c>
      <c r="B513" s="1" t="str">
        <f>HYPERLINK("http://asennustuotteet.fi","asennustuotteet.fi")</f>
        <v>asennustuotteet.fi</v>
      </c>
      <c r="C513" t="s">
        <v>445</v>
      </c>
      <c r="D513" t="s">
        <v>823</v>
      </c>
      <c r="F513">
        <v>2.3308878244904001E-8</v>
      </c>
      <c r="G513">
        <v>2237984</v>
      </c>
      <c r="H513">
        <v>13765841</v>
      </c>
      <c r="I513">
        <v>7059520</v>
      </c>
      <c r="J513">
        <v>2</v>
      </c>
    </row>
    <row r="514" spans="1:10" x14ac:dyDescent="0.25">
      <c r="A514" t="s">
        <v>8</v>
      </c>
      <c r="B514" s="1" t="str">
        <f>HYPERLINK("http://busch-jaeger.fi","busch-jaeger.fi")</f>
        <v>busch-jaeger.fi</v>
      </c>
      <c r="C514" t="s">
        <v>445</v>
      </c>
      <c r="D514" t="s">
        <v>823</v>
      </c>
      <c r="J514">
        <v>4</v>
      </c>
    </row>
    <row r="515" spans="1:10" x14ac:dyDescent="0.25">
      <c r="A515" t="s">
        <v>8</v>
      </c>
      <c r="B515" s="1" t="str">
        <f>HYPERLINK("http://buschjaeger.fi","buschjaeger.fi")</f>
        <v>buschjaeger.fi</v>
      </c>
      <c r="C515" t="s">
        <v>445</v>
      </c>
      <c r="D515" t="s">
        <v>823</v>
      </c>
      <c r="J515">
        <v>4</v>
      </c>
    </row>
    <row r="516" spans="1:10" x14ac:dyDescent="0.25">
      <c r="A516" t="s">
        <v>8</v>
      </c>
      <c r="B516" s="1" t="str">
        <f>HYPERLINK("http://free-at-home.fi","free-at-home.fi")</f>
        <v>free-at-home.fi</v>
      </c>
      <c r="C516" t="s">
        <v>445</v>
      </c>
      <c r="D516" t="s">
        <v>823</v>
      </c>
      <c r="J516">
        <v>2</v>
      </c>
    </row>
    <row r="517" spans="1:10" x14ac:dyDescent="0.25">
      <c r="A517" t="s">
        <v>8</v>
      </c>
      <c r="B517" s="1" t="str">
        <f>HYPERLINK("http://freeathome.fi","freeathome.fi")</f>
        <v>freeathome.fi</v>
      </c>
      <c r="C517" t="s">
        <v>445</v>
      </c>
      <c r="D517" t="s">
        <v>823</v>
      </c>
      <c r="J517">
        <v>2</v>
      </c>
    </row>
    <row r="518" spans="1:10" x14ac:dyDescent="0.25">
      <c r="A518" t="s">
        <v>8</v>
      </c>
      <c r="B518" s="1" t="str">
        <f>HYPERLINK("http://newavenergy.fi","newavenergy.fi")</f>
        <v>newavenergy.fi</v>
      </c>
      <c r="C518" t="s">
        <v>445</v>
      </c>
      <c r="D518" t="s">
        <v>823</v>
      </c>
      <c r="J518">
        <v>2</v>
      </c>
    </row>
    <row r="519" spans="1:10" x14ac:dyDescent="0.25">
      <c r="A519" t="s">
        <v>8</v>
      </c>
      <c r="B519" s="1" t="str">
        <f>HYPERLINK("http://tellusreservation.fi","tellusreservation.fi")</f>
        <v>tellusreservation.fi</v>
      </c>
      <c r="C519" t="s">
        <v>445</v>
      </c>
      <c r="D519" t="s">
        <v>823</v>
      </c>
      <c r="J519">
        <v>2</v>
      </c>
    </row>
    <row r="520" spans="1:10" x14ac:dyDescent="0.25">
      <c r="A520" t="s">
        <v>8</v>
      </c>
      <c r="B520" s="1" t="str">
        <f>HYPERLINK("http://abb.fr","abb.fr")</f>
        <v>abb.fr</v>
      </c>
      <c r="C520" t="s">
        <v>446</v>
      </c>
      <c r="D520" t="s">
        <v>824</v>
      </c>
      <c r="F520">
        <v>1.55869130816101E-8</v>
      </c>
      <c r="G520">
        <v>3658846</v>
      </c>
      <c r="H520">
        <v>14384715</v>
      </c>
      <c r="I520">
        <v>1181824</v>
      </c>
      <c r="J520">
        <v>3</v>
      </c>
    </row>
    <row r="521" spans="1:10" x14ac:dyDescent="0.25">
      <c r="A521" t="s">
        <v>8</v>
      </c>
      <c r="B521" s="1" t="str">
        <f>HYPERLINK("http://abb.gr","abb.gr")</f>
        <v>abb.gr</v>
      </c>
      <c r="C521" t="s">
        <v>447</v>
      </c>
      <c r="D521" t="s">
        <v>825</v>
      </c>
      <c r="F521">
        <v>9.7709878586713994E-9</v>
      </c>
      <c r="G521">
        <v>7000229</v>
      </c>
      <c r="H521">
        <v>14237607</v>
      </c>
      <c r="I521">
        <v>1545812</v>
      </c>
      <c r="J521">
        <v>3</v>
      </c>
    </row>
    <row r="522" spans="1:10" x14ac:dyDescent="0.25">
      <c r="A522" t="s">
        <v>8</v>
      </c>
      <c r="B522" s="1" t="str">
        <f>HYPERLINK("http://abb.hr","abb.hr")</f>
        <v>abb.hr</v>
      </c>
      <c r="C522" t="s">
        <v>452</v>
      </c>
      <c r="D522" t="s">
        <v>829</v>
      </c>
      <c r="F522">
        <v>7.8235962261416501E-9</v>
      </c>
      <c r="G522">
        <v>10269303</v>
      </c>
      <c r="H522">
        <v>12410520</v>
      </c>
      <c r="I522">
        <v>18602219</v>
      </c>
      <c r="J522">
        <v>3</v>
      </c>
    </row>
    <row r="523" spans="1:10" x14ac:dyDescent="0.25">
      <c r="A523" t="s">
        <v>8</v>
      </c>
      <c r="B523" s="1" t="str">
        <f>HYPERLINK("http://abb.hu","abb.hu")</f>
        <v>abb.hu</v>
      </c>
      <c r="C523" t="s">
        <v>453</v>
      </c>
      <c r="D523" t="s">
        <v>830</v>
      </c>
      <c r="F523">
        <v>1.2714356060129899E-8</v>
      </c>
      <c r="G523">
        <v>4772428</v>
      </c>
      <c r="H523">
        <v>14073468</v>
      </c>
      <c r="I523">
        <v>2993069</v>
      </c>
      <c r="J523">
        <v>3</v>
      </c>
    </row>
    <row r="524" spans="1:10" x14ac:dyDescent="0.25">
      <c r="A524" t="s">
        <v>8</v>
      </c>
      <c r="B524" s="1" t="str">
        <f>HYPERLINK("http://abb.ie","abb.ie")</f>
        <v>abb.ie</v>
      </c>
      <c r="C524" t="s">
        <v>455</v>
      </c>
      <c r="D524" t="s">
        <v>832</v>
      </c>
      <c r="F524">
        <v>7.6920016440201906E-9</v>
      </c>
      <c r="G524">
        <v>10599629</v>
      </c>
      <c r="H524">
        <v>13936300</v>
      </c>
      <c r="I524">
        <v>4499622</v>
      </c>
      <c r="J524">
        <v>3</v>
      </c>
    </row>
    <row r="525" spans="1:10" x14ac:dyDescent="0.25">
      <c r="A525" t="s">
        <v>8</v>
      </c>
      <c r="B525" s="1" t="str">
        <f>HYPERLINK("http://abb.co.il","abb.co.il")</f>
        <v>abb.co.il</v>
      </c>
      <c r="C525" t="s">
        <v>456</v>
      </c>
      <c r="D525" t="s">
        <v>833</v>
      </c>
      <c r="F525">
        <v>6.3299581264195699E-9</v>
      </c>
      <c r="G525">
        <v>14888594</v>
      </c>
      <c r="H525">
        <v>12376532</v>
      </c>
      <c r="I525">
        <v>19282229</v>
      </c>
      <c r="J525">
        <v>3</v>
      </c>
    </row>
    <row r="526" spans="1:10" x14ac:dyDescent="0.25">
      <c r="A526" t="s">
        <v>8</v>
      </c>
      <c r="B526" s="1" t="str">
        <f>HYPERLINK("http://abb.co.in","abb.co.in")</f>
        <v>abb.co.in</v>
      </c>
      <c r="C526" t="s">
        <v>457</v>
      </c>
      <c r="D526" t="s">
        <v>834</v>
      </c>
      <c r="F526">
        <v>2.0961871345374701E-8</v>
      </c>
      <c r="G526">
        <v>2521088</v>
      </c>
      <c r="H526">
        <v>14137704</v>
      </c>
      <c r="I526">
        <v>1952485</v>
      </c>
      <c r="J526">
        <v>3</v>
      </c>
    </row>
    <row r="527" spans="1:10" x14ac:dyDescent="0.25">
      <c r="A527" t="s">
        <v>8</v>
      </c>
      <c r="B527" s="1" t="str">
        <f>HYPERLINK("http://abb.it","abb.it")</f>
        <v>abb.it</v>
      </c>
      <c r="C527" t="s">
        <v>459</v>
      </c>
      <c r="D527" t="s">
        <v>835</v>
      </c>
      <c r="F527">
        <v>2.8581533858670598E-8</v>
      </c>
      <c r="G527">
        <v>1800430</v>
      </c>
      <c r="H527">
        <v>14140095</v>
      </c>
      <c r="I527">
        <v>1936263</v>
      </c>
      <c r="J527">
        <v>3</v>
      </c>
    </row>
    <row r="528" spans="1:10" x14ac:dyDescent="0.25">
      <c r="A528" t="s">
        <v>8</v>
      </c>
      <c r="B528" s="1" t="str">
        <f>HYPERLINK("http://abb.co.jp","abb.co.jp")</f>
        <v>abb.co.jp</v>
      </c>
      <c r="C528" t="s">
        <v>461</v>
      </c>
      <c r="D528" t="s">
        <v>837</v>
      </c>
      <c r="F528">
        <v>9.9710779835069604E-9</v>
      </c>
      <c r="G528">
        <v>6784685</v>
      </c>
      <c r="H528">
        <v>14073487</v>
      </c>
      <c r="I528">
        <v>2992012</v>
      </c>
      <c r="J528">
        <v>3</v>
      </c>
    </row>
    <row r="529" spans="1:10" x14ac:dyDescent="0.25">
      <c r="A529" t="s">
        <v>8</v>
      </c>
      <c r="B529" s="1" t="str">
        <f>HYPERLINK("http://bailey.co.jp","bailey.co.jp")</f>
        <v>bailey.co.jp</v>
      </c>
      <c r="C529" t="s">
        <v>461</v>
      </c>
      <c r="D529" t="s">
        <v>837</v>
      </c>
      <c r="F529">
        <v>5.8718696807650798E-9</v>
      </c>
      <c r="G529">
        <v>17555010</v>
      </c>
      <c r="H529">
        <v>12614799</v>
      </c>
      <c r="I529">
        <v>16144869</v>
      </c>
      <c r="J529">
        <v>4</v>
      </c>
    </row>
    <row r="530" spans="1:10" x14ac:dyDescent="0.25">
      <c r="A530" t="s">
        <v>8</v>
      </c>
      <c r="B530" s="1" t="str">
        <f>HYPERLINK("http://turbo.co.jp","turbo.co.jp")</f>
        <v>turbo.co.jp</v>
      </c>
      <c r="C530" t="s">
        <v>461</v>
      </c>
      <c r="D530" t="s">
        <v>837</v>
      </c>
      <c r="F530">
        <v>8.0741197238449404E-9</v>
      </c>
      <c r="G530">
        <v>9787394</v>
      </c>
      <c r="H530">
        <v>13238417</v>
      </c>
      <c r="I530">
        <v>11229080</v>
      </c>
      <c r="J530">
        <v>4</v>
      </c>
    </row>
    <row r="531" spans="1:10" x14ac:dyDescent="0.25">
      <c r="A531" t="s">
        <v>8</v>
      </c>
      <c r="B531" s="1" t="str">
        <f>HYPERLINK("http://abb.kr","abb.kr")</f>
        <v>abb.kr</v>
      </c>
      <c r="C531" t="s">
        <v>463</v>
      </c>
      <c r="D531" t="s">
        <v>839</v>
      </c>
      <c r="F531">
        <v>7.1262933320063596E-9</v>
      </c>
      <c r="G531">
        <v>11942165</v>
      </c>
      <c r="H531">
        <v>12385035</v>
      </c>
      <c r="I531">
        <v>19123101</v>
      </c>
      <c r="J531">
        <v>3</v>
      </c>
    </row>
    <row r="532" spans="1:10" x14ac:dyDescent="0.25">
      <c r="A532" t="s">
        <v>8</v>
      </c>
      <c r="B532" s="1" t="str">
        <f>HYPERLINK("http://abb.co.kr","abb.co.kr")</f>
        <v>abb.co.kr</v>
      </c>
      <c r="C532" t="s">
        <v>463</v>
      </c>
      <c r="D532" t="s">
        <v>839</v>
      </c>
      <c r="F532">
        <v>8.3106700690755598E-9</v>
      </c>
      <c r="G532">
        <v>9232964</v>
      </c>
      <c r="H532">
        <v>12753523</v>
      </c>
      <c r="I532">
        <v>15001249</v>
      </c>
      <c r="J532">
        <v>3</v>
      </c>
    </row>
    <row r="533" spans="1:10" x14ac:dyDescent="0.25">
      <c r="A533" t="s">
        <v>8</v>
      </c>
      <c r="B533" s="1" t="str">
        <f>HYPERLINK("http://abb.lv","abb.lv")</f>
        <v>abb.lv</v>
      </c>
      <c r="C533" t="s">
        <v>468</v>
      </c>
      <c r="D533" t="s">
        <v>844</v>
      </c>
      <c r="F533">
        <v>1.30014132809419E-8</v>
      </c>
      <c r="G533">
        <v>4631071</v>
      </c>
      <c r="H533">
        <v>12382991</v>
      </c>
      <c r="I533">
        <v>19155860</v>
      </c>
      <c r="J533">
        <v>3</v>
      </c>
    </row>
    <row r="534" spans="1:10" x14ac:dyDescent="0.25">
      <c r="A534" t="s">
        <v>8</v>
      </c>
      <c r="B534" s="1" t="str">
        <f>HYPERLINK("http://abb.com.mx","abb.com.mx")</f>
        <v>abb.com.mx</v>
      </c>
      <c r="C534" t="s">
        <v>471</v>
      </c>
      <c r="D534" t="s">
        <v>847</v>
      </c>
      <c r="F534">
        <v>9.7269528522781008E-9</v>
      </c>
      <c r="G534">
        <v>7050058</v>
      </c>
      <c r="H534">
        <v>13765452</v>
      </c>
      <c r="I534">
        <v>7102331</v>
      </c>
      <c r="J534">
        <v>3</v>
      </c>
    </row>
    <row r="535" spans="1:10" x14ac:dyDescent="0.25">
      <c r="A535" t="s">
        <v>8</v>
      </c>
      <c r="B535" s="1" t="str">
        <f>HYPERLINK("http://abb.com.my","abb.com.my")</f>
        <v>abb.com.my</v>
      </c>
      <c r="C535" t="s">
        <v>472</v>
      </c>
      <c r="D535" t="s">
        <v>848</v>
      </c>
      <c r="F535">
        <v>6.4291412879329101E-9</v>
      </c>
      <c r="G535">
        <v>14384965</v>
      </c>
      <c r="H535">
        <v>13765442</v>
      </c>
      <c r="I535">
        <v>7103269</v>
      </c>
      <c r="J535">
        <v>3</v>
      </c>
    </row>
    <row r="536" spans="1:10" x14ac:dyDescent="0.25">
      <c r="A536" t="s">
        <v>8</v>
      </c>
      <c r="B536" s="1" t="str">
        <f>HYPERLINK("http://abb.com.ng","abb.com.ng")</f>
        <v>abb.com.ng</v>
      </c>
      <c r="C536" t="s">
        <v>475</v>
      </c>
      <c r="D536" t="s">
        <v>850</v>
      </c>
      <c r="F536">
        <v>6.3975431239292196E-9</v>
      </c>
      <c r="G536">
        <v>14528030</v>
      </c>
      <c r="H536">
        <v>12384883</v>
      </c>
      <c r="I536">
        <v>19124995</v>
      </c>
      <c r="J536">
        <v>3</v>
      </c>
    </row>
    <row r="537" spans="1:10" x14ac:dyDescent="0.25">
      <c r="A537" t="s">
        <v>8</v>
      </c>
      <c r="B537" s="1" t="str">
        <f>HYPERLINK("http://abb.nl","abb.nl")</f>
        <v>abb.nl</v>
      </c>
      <c r="C537" t="s">
        <v>477</v>
      </c>
      <c r="D537" t="s">
        <v>852</v>
      </c>
      <c r="F537">
        <v>3.0446473026764E-8</v>
      </c>
      <c r="G537">
        <v>1691038</v>
      </c>
      <c r="H537">
        <v>12838129</v>
      </c>
      <c r="I537">
        <v>14364734</v>
      </c>
      <c r="J537">
        <v>3</v>
      </c>
    </row>
    <row r="538" spans="1:10" x14ac:dyDescent="0.25">
      <c r="A538" t="s">
        <v>8</v>
      </c>
      <c r="B538" s="1" t="str">
        <f>HYPERLINK("http://busch-jaeger.nl","busch-jaeger.nl")</f>
        <v>busch-jaeger.nl</v>
      </c>
      <c r="C538" t="s">
        <v>477</v>
      </c>
      <c r="D538" t="s">
        <v>852</v>
      </c>
      <c r="F538">
        <v>3.7475027518519697E-8</v>
      </c>
      <c r="G538">
        <v>1381137</v>
      </c>
      <c r="H538">
        <v>12714568</v>
      </c>
      <c r="I538">
        <v>15278202</v>
      </c>
      <c r="J538">
        <v>4</v>
      </c>
    </row>
    <row r="539" spans="1:10" x14ac:dyDescent="0.25">
      <c r="A539" t="s">
        <v>8</v>
      </c>
      <c r="B539" s="1" t="str">
        <f>HYPERLINK("http://intrion.nl","intrion.nl")</f>
        <v>intrion.nl</v>
      </c>
      <c r="C539" t="s">
        <v>477</v>
      </c>
      <c r="D539" t="s">
        <v>852</v>
      </c>
      <c r="J539">
        <v>7</v>
      </c>
    </row>
    <row r="540" spans="1:10" x14ac:dyDescent="0.25">
      <c r="A540" t="s">
        <v>8</v>
      </c>
      <c r="B540" s="1" t="str">
        <f>HYPERLINK("http://abb.no","abb.no")</f>
        <v>abb.no</v>
      </c>
      <c r="C540" t="s">
        <v>478</v>
      </c>
      <c r="D540" t="s">
        <v>853</v>
      </c>
      <c r="F540">
        <v>1.6823529921228601E-8</v>
      </c>
      <c r="G540">
        <v>3327642</v>
      </c>
      <c r="H540">
        <v>14080131</v>
      </c>
      <c r="I540">
        <v>2823368</v>
      </c>
      <c r="J540">
        <v>3</v>
      </c>
    </row>
    <row r="541" spans="1:10" x14ac:dyDescent="0.25">
      <c r="A541" t="s">
        <v>8</v>
      </c>
      <c r="B541" s="1" t="str">
        <f>HYPERLINK("http://robotnorge.no","robotnorge.no")</f>
        <v>robotnorge.no</v>
      </c>
      <c r="C541" t="s">
        <v>478</v>
      </c>
      <c r="D541" t="s">
        <v>853</v>
      </c>
      <c r="F541">
        <v>1.21517215658262E-8</v>
      </c>
      <c r="G541">
        <v>5078410</v>
      </c>
      <c r="H541">
        <v>12494014</v>
      </c>
      <c r="I541">
        <v>17436258</v>
      </c>
      <c r="J541">
        <v>4</v>
      </c>
    </row>
    <row r="542" spans="1:10" x14ac:dyDescent="0.25">
      <c r="A542" t="s">
        <v>8</v>
      </c>
      <c r="B542" s="1" t="str">
        <f>HYPERLINK("http://busch-jaeger.nu","busch-jaeger.nu")</f>
        <v>busch-jaeger.nu</v>
      </c>
      <c r="C542" t="s">
        <v>533</v>
      </c>
      <c r="D542" t="s">
        <v>896</v>
      </c>
      <c r="F542">
        <v>7.0225119961849903E-9</v>
      </c>
      <c r="G542">
        <v>12246238</v>
      </c>
      <c r="H542">
        <v>12379105</v>
      </c>
      <c r="I542">
        <v>19232533</v>
      </c>
      <c r="J542">
        <v>5</v>
      </c>
    </row>
    <row r="543" spans="1:10" x14ac:dyDescent="0.25">
      <c r="A543" t="s">
        <v>8</v>
      </c>
      <c r="B543" s="1" t="str">
        <f>HYPERLINK("http://abb.co.nz","abb.co.nz")</f>
        <v>abb.co.nz</v>
      </c>
      <c r="C543" t="s">
        <v>479</v>
      </c>
      <c r="D543" t="s">
        <v>854</v>
      </c>
      <c r="F543">
        <v>6.9976085675594597E-9</v>
      </c>
      <c r="G543">
        <v>12318849</v>
      </c>
      <c r="H543">
        <v>13088640</v>
      </c>
      <c r="I543">
        <v>12150767</v>
      </c>
      <c r="J543">
        <v>3</v>
      </c>
    </row>
    <row r="544" spans="1:10" x14ac:dyDescent="0.25">
      <c r="A544" t="s">
        <v>8</v>
      </c>
      <c r="B544" s="1" t="str">
        <f>HYPERLINK("http://abb.com.pa","abb.com.pa")</f>
        <v>abb.com.pa</v>
      </c>
      <c r="C544" t="s">
        <v>482</v>
      </c>
      <c r="D544" t="s">
        <v>856</v>
      </c>
      <c r="F544">
        <v>6.3299581264195798E-9</v>
      </c>
      <c r="G544">
        <v>14888532</v>
      </c>
      <c r="H544">
        <v>12376532</v>
      </c>
      <c r="I544">
        <v>19282248</v>
      </c>
      <c r="J544">
        <v>3</v>
      </c>
    </row>
    <row r="545" spans="1:10" x14ac:dyDescent="0.25">
      <c r="A545" t="s">
        <v>8</v>
      </c>
      <c r="B545" s="1" t="str">
        <f>HYPERLINK("http://abb.com.pe","abb.com.pe")</f>
        <v>abb.com.pe</v>
      </c>
      <c r="C545" t="s">
        <v>483</v>
      </c>
      <c r="D545" t="s">
        <v>857</v>
      </c>
      <c r="F545">
        <v>4.9775947929381596E-9</v>
      </c>
      <c r="G545">
        <v>30057429</v>
      </c>
      <c r="H545">
        <v>12412321</v>
      </c>
      <c r="I545">
        <v>18573082</v>
      </c>
      <c r="J545">
        <v>3</v>
      </c>
    </row>
    <row r="546" spans="1:10" x14ac:dyDescent="0.25">
      <c r="A546" t="s">
        <v>8</v>
      </c>
      <c r="B546" s="1" t="str">
        <f>HYPERLINK("http://abb.ph","abb.ph")</f>
        <v>abb.ph</v>
      </c>
      <c r="C546" t="s">
        <v>484</v>
      </c>
      <c r="D546" t="s">
        <v>858</v>
      </c>
      <c r="F546">
        <v>4.5147955738769898E-9</v>
      </c>
      <c r="G546">
        <v>56874676</v>
      </c>
      <c r="H546">
        <v>12823506</v>
      </c>
      <c r="I546">
        <v>14475748</v>
      </c>
      <c r="J546">
        <v>3</v>
      </c>
    </row>
    <row r="547" spans="1:10" x14ac:dyDescent="0.25">
      <c r="A547" t="s">
        <v>8</v>
      </c>
      <c r="B547" s="1" t="str">
        <f>HYPERLINK("http://abb.pl","abb.pl")</f>
        <v>abb.pl</v>
      </c>
      <c r="C547" t="s">
        <v>486</v>
      </c>
      <c r="D547" t="s">
        <v>860</v>
      </c>
      <c r="F547">
        <v>3.1158259254948798E-8</v>
      </c>
      <c r="G547">
        <v>1654619</v>
      </c>
      <c r="H547">
        <v>12814641</v>
      </c>
      <c r="I547">
        <v>14539716</v>
      </c>
      <c r="J547">
        <v>3</v>
      </c>
    </row>
    <row r="548" spans="1:10" x14ac:dyDescent="0.25">
      <c r="A548" t="s">
        <v>8</v>
      </c>
      <c r="B548" s="1" t="str">
        <f>HYPERLINK("http://abb.pt","abb.pt")</f>
        <v>abb.pt</v>
      </c>
      <c r="C548" t="s">
        <v>488</v>
      </c>
      <c r="D548" t="s">
        <v>862</v>
      </c>
      <c r="F548">
        <v>1.00028201855232E-8</v>
      </c>
      <c r="G548">
        <v>6752971</v>
      </c>
      <c r="H548">
        <v>12479756</v>
      </c>
      <c r="I548">
        <v>17600951</v>
      </c>
      <c r="J548">
        <v>3</v>
      </c>
    </row>
    <row r="549" spans="1:10" x14ac:dyDescent="0.25">
      <c r="A549" t="s">
        <v>8</v>
      </c>
      <c r="B549" s="1" t="str">
        <f>HYPERLINK("http://abb.com.ro","abb.com.ro")</f>
        <v>abb.com.ro</v>
      </c>
      <c r="C549" t="s">
        <v>491</v>
      </c>
      <c r="D549" t="s">
        <v>865</v>
      </c>
      <c r="F549">
        <v>7.6192205999712202E-9</v>
      </c>
      <c r="G549">
        <v>10755180</v>
      </c>
      <c r="H549">
        <v>13765448</v>
      </c>
      <c r="I549">
        <v>7102733</v>
      </c>
      <c r="J549">
        <v>3</v>
      </c>
    </row>
    <row r="550" spans="1:10" x14ac:dyDescent="0.25">
      <c r="A550" t="s">
        <v>8</v>
      </c>
      <c r="B550" s="1" t="str">
        <f>HYPERLINK("http://abb.rs","abb.rs")</f>
        <v>abb.rs</v>
      </c>
      <c r="C550" t="s">
        <v>492</v>
      </c>
      <c r="D550" t="s">
        <v>866</v>
      </c>
      <c r="F550">
        <v>8.3686463073461498E-9</v>
      </c>
      <c r="G550">
        <v>9107534</v>
      </c>
      <c r="H550">
        <v>12525443</v>
      </c>
      <c r="I550">
        <v>17091892</v>
      </c>
      <c r="J550">
        <v>3</v>
      </c>
    </row>
    <row r="551" spans="1:10" x14ac:dyDescent="0.25">
      <c r="A551" t="s">
        <v>8</v>
      </c>
      <c r="B551" s="1" t="str">
        <f>HYPERLINK("http://abb.ru","abb.ru")</f>
        <v>abb.ru</v>
      </c>
      <c r="C551" t="s">
        <v>493</v>
      </c>
      <c r="D551" t="s">
        <v>867</v>
      </c>
      <c r="F551">
        <v>4.8699872249886298E-8</v>
      </c>
      <c r="G551">
        <v>951989</v>
      </c>
      <c r="H551">
        <v>14247165</v>
      </c>
      <c r="I551">
        <v>1458516</v>
      </c>
      <c r="J551">
        <v>3</v>
      </c>
    </row>
    <row r="552" spans="1:10" x14ac:dyDescent="0.25">
      <c r="A552" t="s">
        <v>8</v>
      </c>
      <c r="B552" s="1" t="str">
        <f>HYPERLINK("http://abb.com.sa","abb.com.sa")</f>
        <v>abb.com.sa</v>
      </c>
      <c r="C552" t="s">
        <v>494</v>
      </c>
      <c r="D552" t="s">
        <v>868</v>
      </c>
      <c r="F552">
        <v>5.1387830462141499E-9</v>
      </c>
      <c r="G552">
        <v>26287934</v>
      </c>
      <c r="H552">
        <v>12901553</v>
      </c>
      <c r="I552">
        <v>13853337</v>
      </c>
      <c r="J552">
        <v>3</v>
      </c>
    </row>
    <row r="553" spans="1:10" x14ac:dyDescent="0.25">
      <c r="A553" t="s">
        <v>8</v>
      </c>
      <c r="B553" s="1" t="str">
        <f>HYPERLINK("http://abb.se","abb.se")</f>
        <v>abb.se</v>
      </c>
      <c r="C553" t="s">
        <v>495</v>
      </c>
      <c r="D553" t="s">
        <v>869</v>
      </c>
      <c r="F553">
        <v>6.9072745923714496E-8</v>
      </c>
      <c r="G553">
        <v>615232</v>
      </c>
      <c r="H553">
        <v>14497415</v>
      </c>
      <c r="I553">
        <v>866259</v>
      </c>
      <c r="J553">
        <v>3</v>
      </c>
    </row>
    <row r="554" spans="1:10" x14ac:dyDescent="0.25">
      <c r="A554" t="s">
        <v>8</v>
      </c>
      <c r="B554" s="1" t="str">
        <f>HYPERLINK("http://abb.com.sg","abb.com.sg")</f>
        <v>abb.com.sg</v>
      </c>
      <c r="C554" t="s">
        <v>496</v>
      </c>
      <c r="D554" t="s">
        <v>870</v>
      </c>
      <c r="F554">
        <v>1.23098883455958E-8</v>
      </c>
      <c r="G554">
        <v>4988985</v>
      </c>
      <c r="H554">
        <v>13429700</v>
      </c>
      <c r="I554">
        <v>10282314</v>
      </c>
      <c r="J554">
        <v>3</v>
      </c>
    </row>
    <row r="555" spans="1:10" x14ac:dyDescent="0.25">
      <c r="A555" t="s">
        <v>8</v>
      </c>
      <c r="B555" s="1" t="str">
        <f>HYPERLINK("http://abb.si","abb.si")</f>
        <v>abb.si</v>
      </c>
      <c r="C555" t="s">
        <v>497</v>
      </c>
      <c r="D555" t="s">
        <v>871</v>
      </c>
      <c r="F555">
        <v>6.5814205961305297E-9</v>
      </c>
      <c r="G555">
        <v>13748446</v>
      </c>
      <c r="H555">
        <v>12380887</v>
      </c>
      <c r="I555">
        <v>19193348</v>
      </c>
      <c r="J555">
        <v>3</v>
      </c>
    </row>
    <row r="556" spans="1:10" x14ac:dyDescent="0.25">
      <c r="A556" t="s">
        <v>8</v>
      </c>
      <c r="B556" s="1" t="str">
        <f>HYPERLINK("http://abb.sk","abb.sk")</f>
        <v>abb.sk</v>
      </c>
      <c r="C556" t="s">
        <v>498</v>
      </c>
      <c r="D556" t="s">
        <v>872</v>
      </c>
      <c r="F556">
        <v>2.032141526486E-8</v>
      </c>
      <c r="G556">
        <v>2610898</v>
      </c>
      <c r="H556">
        <v>12586363</v>
      </c>
      <c r="I556">
        <v>16445170</v>
      </c>
      <c r="J556">
        <v>3</v>
      </c>
    </row>
    <row r="557" spans="1:10" x14ac:dyDescent="0.25">
      <c r="A557" t="s">
        <v>8</v>
      </c>
      <c r="B557" s="1" t="str">
        <f>HYPERLINK("http://abb.co.th","abb.co.th")</f>
        <v>abb.co.th</v>
      </c>
      <c r="C557" t="s">
        <v>500</v>
      </c>
      <c r="D557" t="s">
        <v>874</v>
      </c>
      <c r="F557">
        <v>7.2087139815063897E-9</v>
      </c>
      <c r="G557">
        <v>11717464</v>
      </c>
      <c r="H557">
        <v>12621328</v>
      </c>
      <c r="I557">
        <v>16080611</v>
      </c>
      <c r="J557">
        <v>3</v>
      </c>
    </row>
    <row r="558" spans="1:10" x14ac:dyDescent="0.25">
      <c r="A558" t="s">
        <v>8</v>
      </c>
      <c r="B558" s="1" t="str">
        <f>HYPERLINK("http://abb.com.tr","abb.com.tr")</f>
        <v>abb.com.tr</v>
      </c>
      <c r="C558" t="s">
        <v>502</v>
      </c>
      <c r="D558" t="s">
        <v>876</v>
      </c>
      <c r="F558">
        <v>8.0800478099155701E-9</v>
      </c>
      <c r="G558">
        <v>9777317</v>
      </c>
      <c r="H558">
        <v>12435368</v>
      </c>
      <c r="I558">
        <v>18209946</v>
      </c>
      <c r="J558">
        <v>3</v>
      </c>
    </row>
    <row r="559" spans="1:10" x14ac:dyDescent="0.25">
      <c r="A559" t="s">
        <v>8</v>
      </c>
      <c r="B559" s="1" t="str">
        <f>HYPERLINK("http://abb.com.tw","abb.com.tw")</f>
        <v>abb.com.tw</v>
      </c>
      <c r="C559" t="s">
        <v>504</v>
      </c>
      <c r="D559" t="s">
        <v>878</v>
      </c>
      <c r="F559">
        <v>8.0880116551504605E-9</v>
      </c>
      <c r="G559">
        <v>9762868</v>
      </c>
      <c r="H559">
        <v>13464857</v>
      </c>
      <c r="I559">
        <v>10071321</v>
      </c>
      <c r="J559">
        <v>3</v>
      </c>
    </row>
    <row r="560" spans="1:10" x14ac:dyDescent="0.25">
      <c r="A560" t="s">
        <v>8</v>
      </c>
      <c r="B560" s="1" t="str">
        <f>HYPERLINK("http://abb.co.uk","abb.co.uk")</f>
        <v>abb.co.uk</v>
      </c>
      <c r="C560" t="s">
        <v>506</v>
      </c>
      <c r="D560" t="s">
        <v>880</v>
      </c>
      <c r="F560">
        <v>2.5190006227296899E-8</v>
      </c>
      <c r="G560">
        <v>2049842</v>
      </c>
      <c r="H560">
        <v>14264946</v>
      </c>
      <c r="I560">
        <v>1409735</v>
      </c>
      <c r="J560">
        <v>3</v>
      </c>
    </row>
    <row r="561" spans="1:10" x14ac:dyDescent="0.25">
      <c r="A561" t="s">
        <v>8</v>
      </c>
      <c r="B561" s="1" t="str">
        <f>HYPERLINK("http://abb.us","abb.us")</f>
        <v>abb.us</v>
      </c>
      <c r="C561" t="s">
        <v>522</v>
      </c>
      <c r="D561" t="s">
        <v>891</v>
      </c>
      <c r="F561">
        <v>5.3886089249128102E-8</v>
      </c>
      <c r="G561">
        <v>843309</v>
      </c>
      <c r="H561">
        <v>14249711</v>
      </c>
      <c r="I561">
        <v>1448882</v>
      </c>
      <c r="J561">
        <v>3</v>
      </c>
    </row>
    <row r="562" spans="1:10" x14ac:dyDescent="0.25">
      <c r="A562" t="s">
        <v>8</v>
      </c>
      <c r="B562" s="1" t="str">
        <f>HYPERLINK("http://abb.com.vn","abb.com.vn")</f>
        <v>abb.com.vn</v>
      </c>
      <c r="C562" t="s">
        <v>509</v>
      </c>
      <c r="D562" t="s">
        <v>883</v>
      </c>
      <c r="F562">
        <v>9.97592229634111E-9</v>
      </c>
      <c r="G562">
        <v>6779784</v>
      </c>
      <c r="H562">
        <v>12385429</v>
      </c>
      <c r="I562">
        <v>19116990</v>
      </c>
      <c r="J562">
        <v>3</v>
      </c>
    </row>
    <row r="563" spans="1:10" x14ac:dyDescent="0.25">
      <c r="A563" t="s">
        <v>8</v>
      </c>
      <c r="B563" s="1" t="str">
        <f>HYPERLINK("http://abb.co.za","abb.co.za")</f>
        <v>abb.co.za</v>
      </c>
      <c r="C563" t="s">
        <v>510</v>
      </c>
      <c r="D563" t="s">
        <v>884</v>
      </c>
      <c r="F563">
        <v>6.4947052577722998E-9</v>
      </c>
      <c r="G563">
        <v>14100278</v>
      </c>
      <c r="H563">
        <v>12396592</v>
      </c>
      <c r="I563">
        <v>18901822</v>
      </c>
      <c r="J563">
        <v>3</v>
      </c>
    </row>
    <row r="564" spans="1:10" x14ac:dyDescent="0.25">
      <c r="A564" t="s">
        <v>9</v>
      </c>
      <c r="B564" s="1" t="str">
        <f>HYPERLINK("http://cardiovascular.abbott","cardiovascular.abbott")</f>
        <v>cardiovascular.abbott</v>
      </c>
      <c r="C564" t="s">
        <v>556</v>
      </c>
      <c r="E564">
        <v>138892</v>
      </c>
      <c r="F564">
        <v>4.2300267439309801E-7</v>
      </c>
      <c r="G564">
        <v>89049</v>
      </c>
      <c r="H564">
        <v>17042894</v>
      </c>
      <c r="I564">
        <v>78517</v>
      </c>
      <c r="J564">
        <v>4</v>
      </c>
    </row>
    <row r="565" spans="1:10" x14ac:dyDescent="0.25">
      <c r="A565" t="s">
        <v>9</v>
      </c>
      <c r="B565" s="1" t="str">
        <f>HYPERLINK("http://collaboratory.abbott","collaboratory.abbott")</f>
        <v>collaboratory.abbott</v>
      </c>
      <c r="C565" t="s">
        <v>556</v>
      </c>
      <c r="J565">
        <v>3</v>
      </c>
    </row>
    <row r="566" spans="1:10" x14ac:dyDescent="0.25">
      <c r="A566" t="s">
        <v>9</v>
      </c>
      <c r="B566" s="1" t="str">
        <f>HYPERLINK("http://corelab.abbott","corelab.abbott")</f>
        <v>corelab.abbott</v>
      </c>
      <c r="C566" t="s">
        <v>556</v>
      </c>
      <c r="J566">
        <v>3</v>
      </c>
    </row>
    <row r="567" spans="1:10" x14ac:dyDescent="0.25">
      <c r="A567" t="s">
        <v>9</v>
      </c>
      <c r="B567" s="1" t="str">
        <f>HYPERLINK("http://corelaboratory.abbott","corelaboratory.abbott")</f>
        <v>corelaboratory.abbott</v>
      </c>
      <c r="C567" t="s">
        <v>556</v>
      </c>
      <c r="E567">
        <v>696801</v>
      </c>
      <c r="F567">
        <v>1.16466985730473E-7</v>
      </c>
      <c r="G567">
        <v>341416</v>
      </c>
      <c r="H567">
        <v>14013964</v>
      </c>
      <c r="I567">
        <v>3998344</v>
      </c>
      <c r="J567">
        <v>3</v>
      </c>
    </row>
    <row r="568" spans="1:10" x14ac:dyDescent="0.25">
      <c r="A568" t="s">
        <v>9</v>
      </c>
      <c r="B568" s="1" t="str">
        <f>HYPERLINK("http://corelabportal.abbott","corelabportal.abbott")</f>
        <v>corelabportal.abbott</v>
      </c>
      <c r="C568" t="s">
        <v>556</v>
      </c>
      <c r="J568">
        <v>3</v>
      </c>
    </row>
    <row r="569" spans="1:10" x14ac:dyDescent="0.25">
      <c r="A569" t="s">
        <v>9</v>
      </c>
      <c r="B569" s="1" t="str">
        <f>HYPERLINK("http://de.abbott","de.abbott")</f>
        <v>de.abbott</v>
      </c>
      <c r="C569" t="s">
        <v>556</v>
      </c>
      <c r="F569">
        <v>9.0158056532475705E-8</v>
      </c>
      <c r="G569">
        <v>452553</v>
      </c>
      <c r="H569">
        <v>14091518</v>
      </c>
      <c r="I569">
        <v>2743551</v>
      </c>
      <c r="J569">
        <v>3</v>
      </c>
    </row>
    <row r="570" spans="1:10" x14ac:dyDescent="0.25">
      <c r="A570" t="s">
        <v>9</v>
      </c>
      <c r="B570" s="1" t="str">
        <f>HYPERLINK("http://diagnostics.abbott","diagnostics.abbott")</f>
        <v>diagnostics.abbott</v>
      </c>
      <c r="C570" t="s">
        <v>556</v>
      </c>
      <c r="F570">
        <v>3.56478182863017E-8</v>
      </c>
      <c r="G570">
        <v>1461041</v>
      </c>
      <c r="H570">
        <v>13734216</v>
      </c>
      <c r="I570">
        <v>9455034</v>
      </c>
      <c r="J570">
        <v>3</v>
      </c>
    </row>
    <row r="571" spans="1:10" x14ac:dyDescent="0.25">
      <c r="A571" t="s">
        <v>9</v>
      </c>
      <c r="B571" s="1" t="str">
        <f>HYPERLINK("http://diagnosticssurvey.abbott","diagnosticssurvey.abbott")</f>
        <v>diagnosticssurvey.abbott</v>
      </c>
      <c r="C571" t="s">
        <v>556</v>
      </c>
      <c r="J571">
        <v>3</v>
      </c>
    </row>
    <row r="572" spans="1:10" x14ac:dyDescent="0.25">
      <c r="A572" t="s">
        <v>9</v>
      </c>
      <c r="B572" s="1" t="str">
        <f>HYPERLINK("http://fr.abbott","fr.abbott")</f>
        <v>fr.abbott</v>
      </c>
      <c r="C572" t="s">
        <v>556</v>
      </c>
      <c r="F572">
        <v>6.7306808143720302E-8</v>
      </c>
      <c r="G572">
        <v>635127</v>
      </c>
      <c r="H572">
        <v>13731179</v>
      </c>
      <c r="I572">
        <v>9457338</v>
      </c>
      <c r="J572">
        <v>3</v>
      </c>
    </row>
    <row r="573" spans="1:10" x14ac:dyDescent="0.25">
      <c r="A573" t="s">
        <v>9</v>
      </c>
      <c r="B573" s="1" t="str">
        <f>HYPERLINK("http://latam.abbott","latam.abbott")</f>
        <v>latam.abbott</v>
      </c>
      <c r="C573" t="s">
        <v>556</v>
      </c>
      <c r="F573">
        <v>3.0541896214452202E-8</v>
      </c>
      <c r="G573">
        <v>1686095</v>
      </c>
      <c r="H573">
        <v>12363714</v>
      </c>
      <c r="I573">
        <v>19520456</v>
      </c>
      <c r="J573">
        <v>4</v>
      </c>
    </row>
    <row r="574" spans="1:10" x14ac:dyDescent="0.25">
      <c r="A574" t="s">
        <v>9</v>
      </c>
      <c r="B574" s="1" t="str">
        <f>HYPERLINK("http://medicine.abbott","medicine.abbott")</f>
        <v>medicine.abbott</v>
      </c>
      <c r="C574" t="s">
        <v>556</v>
      </c>
      <c r="F574">
        <v>2.3845669194140101E-8</v>
      </c>
      <c r="G574">
        <v>2178500</v>
      </c>
      <c r="H574">
        <v>12603282</v>
      </c>
      <c r="I574">
        <v>16293958</v>
      </c>
      <c r="J574">
        <v>3</v>
      </c>
    </row>
    <row r="575" spans="1:10" x14ac:dyDescent="0.25">
      <c r="A575" t="s">
        <v>9</v>
      </c>
      <c r="B575" s="1" t="str">
        <f>HYPERLINK("http://mycorelab.abbott","mycorelab.abbott")</f>
        <v>mycorelab.abbott</v>
      </c>
      <c r="C575" t="s">
        <v>556</v>
      </c>
      <c r="J575">
        <v>3</v>
      </c>
    </row>
    <row r="576" spans="1:10" x14ac:dyDescent="0.25">
      <c r="A576" t="s">
        <v>9</v>
      </c>
      <c r="B576" s="1" t="str">
        <f>HYPERLINK("http://mycorelabus.abbott","mycorelabus.abbott")</f>
        <v>mycorelabus.abbott</v>
      </c>
      <c r="C576" t="s">
        <v>556</v>
      </c>
      <c r="J576">
        <v>3</v>
      </c>
    </row>
    <row r="577" spans="1:10" x14ac:dyDescent="0.25">
      <c r="A577" t="s">
        <v>9</v>
      </c>
      <c r="B577" s="1" t="str">
        <f>HYPERLINK("http://mypath.abbott","mypath.abbott")</f>
        <v>mypath.abbott</v>
      </c>
      <c r="C577" t="s">
        <v>556</v>
      </c>
      <c r="J577">
        <v>4</v>
      </c>
    </row>
    <row r="578" spans="1:10" x14ac:dyDescent="0.25">
      <c r="A578" t="s">
        <v>9</v>
      </c>
      <c r="B578" s="1" t="str">
        <f>HYPERLINK("http://navica.abbott","navica.abbott")</f>
        <v>navica.abbott</v>
      </c>
      <c r="C578" t="s">
        <v>556</v>
      </c>
      <c r="F578">
        <v>1.2778868022521799E-8</v>
      </c>
      <c r="G578">
        <v>4740129</v>
      </c>
      <c r="H578">
        <v>13573341</v>
      </c>
      <c r="I578">
        <v>9710516</v>
      </c>
      <c r="J578">
        <v>3</v>
      </c>
    </row>
    <row r="579" spans="1:10" x14ac:dyDescent="0.25">
      <c r="A579" t="s">
        <v>9</v>
      </c>
      <c r="B579" s="1" t="str">
        <f>HYPERLINK("http://navicatravel.abbott","navicatravel.abbott")</f>
        <v>navicatravel.abbott</v>
      </c>
      <c r="C579" t="s">
        <v>556</v>
      </c>
      <c r="J579">
        <v>3</v>
      </c>
    </row>
    <row r="580" spans="1:10" x14ac:dyDescent="0.25">
      <c r="A580" t="s">
        <v>9</v>
      </c>
      <c r="B580" s="1" t="str">
        <f>HYPERLINK("http://nl.abbott","nl.abbott")</f>
        <v>nl.abbott</v>
      </c>
      <c r="C580" t="s">
        <v>556</v>
      </c>
      <c r="F580">
        <v>3.6357936346861997E-8</v>
      </c>
      <c r="G580">
        <v>1435252</v>
      </c>
      <c r="H580">
        <v>13081987</v>
      </c>
      <c r="I580">
        <v>12179580</v>
      </c>
      <c r="J580">
        <v>3</v>
      </c>
    </row>
    <row r="581" spans="1:10" x14ac:dyDescent="0.25">
      <c r="A581" t="s">
        <v>9</v>
      </c>
      <c r="B581" s="1" t="str">
        <f>HYPERLINK("http://pediasure.abbott","pediasure.abbott")</f>
        <v>pediasure.abbott</v>
      </c>
      <c r="C581" t="s">
        <v>556</v>
      </c>
      <c r="F581">
        <v>3.3027730496399698E-8</v>
      </c>
      <c r="G581">
        <v>1564204</v>
      </c>
      <c r="H581">
        <v>12513787</v>
      </c>
      <c r="I581">
        <v>17208863</v>
      </c>
      <c r="J581">
        <v>4</v>
      </c>
    </row>
    <row r="582" spans="1:10" x14ac:dyDescent="0.25">
      <c r="A582" t="s">
        <v>9</v>
      </c>
      <c r="B582" s="1" t="str">
        <f>HYPERLINK("http://pk.abbott","pk.abbott")</f>
        <v>pk.abbott</v>
      </c>
      <c r="C582" t="s">
        <v>556</v>
      </c>
      <c r="F582">
        <v>2.8370268431378499E-8</v>
      </c>
      <c r="G582">
        <v>1813912</v>
      </c>
      <c r="H582">
        <v>12347462</v>
      </c>
      <c r="I582">
        <v>19806406</v>
      </c>
      <c r="J582">
        <v>4</v>
      </c>
    </row>
    <row r="583" spans="1:10" x14ac:dyDescent="0.25">
      <c r="A583" t="s">
        <v>9</v>
      </c>
      <c r="B583" s="1" t="str">
        <f>HYPERLINK("http://products.abbott","products.abbott")</f>
        <v>products.abbott</v>
      </c>
      <c r="C583" t="s">
        <v>556</v>
      </c>
      <c r="E583">
        <v>80595</v>
      </c>
      <c r="F583">
        <v>4.4438099640082497E-9</v>
      </c>
      <c r="G583">
        <v>79600470</v>
      </c>
      <c r="H583">
        <v>10351910</v>
      </c>
      <c r="I583">
        <v>56106387</v>
      </c>
      <c r="J583">
        <v>3</v>
      </c>
    </row>
    <row r="584" spans="1:10" x14ac:dyDescent="0.25">
      <c r="A584" t="s">
        <v>9</v>
      </c>
      <c r="B584" s="1" t="str">
        <f>HYPERLINK("http://transfusion.abbott","transfusion.abbott")</f>
        <v>transfusion.abbott</v>
      </c>
      <c r="C584" t="s">
        <v>556</v>
      </c>
      <c r="F584">
        <v>1.6840090204132902E-8</v>
      </c>
      <c r="G584">
        <v>3323628</v>
      </c>
      <c r="H584">
        <v>12370191</v>
      </c>
      <c r="I584">
        <v>19410563</v>
      </c>
      <c r="J584">
        <v>3</v>
      </c>
    </row>
    <row r="585" spans="1:10" x14ac:dyDescent="0.25">
      <c r="A585" t="s">
        <v>9</v>
      </c>
      <c r="B585" s="1" t="str">
        <f>HYPERLINK("http://virtualclinic.abbott","virtualclinic.abbott")</f>
        <v>virtualclinic.abbott</v>
      </c>
      <c r="C585" t="s">
        <v>556</v>
      </c>
      <c r="F585">
        <v>4.4439836504869204E-9</v>
      </c>
      <c r="G585">
        <v>77712259</v>
      </c>
      <c r="H585">
        <v>1.0003663</v>
      </c>
      <c r="I585">
        <v>78192796</v>
      </c>
      <c r="J585">
        <v>4</v>
      </c>
    </row>
    <row r="586" spans="1:10" x14ac:dyDescent="0.25">
      <c r="A586" t="s">
        <v>9</v>
      </c>
      <c r="B586" s="1" t="str">
        <f>HYPERLINK("http://atlasfarmaceutica.com.ar","atlasfarmaceutica.com.ar")</f>
        <v>atlasfarmaceutica.com.ar</v>
      </c>
      <c r="C586" t="s">
        <v>418</v>
      </c>
      <c r="D586" t="s">
        <v>800</v>
      </c>
      <c r="F586">
        <v>6.1760935968072502E-9</v>
      </c>
      <c r="G586">
        <v>15660365</v>
      </c>
      <c r="H586">
        <v>11965424</v>
      </c>
      <c r="I586">
        <v>28792623</v>
      </c>
      <c r="J586">
        <v>3</v>
      </c>
    </row>
    <row r="587" spans="1:10" x14ac:dyDescent="0.25">
      <c r="A587" t="s">
        <v>9</v>
      </c>
      <c r="B587" s="1" t="str">
        <f>HYPERLINK("http://abbott.at","abbott.at")</f>
        <v>abbott.at</v>
      </c>
      <c r="C587" t="s">
        <v>419</v>
      </c>
      <c r="D587" t="s">
        <v>801</v>
      </c>
      <c r="F587">
        <v>4.7516823948369899E-9</v>
      </c>
      <c r="G587">
        <v>38248797</v>
      </c>
      <c r="H587">
        <v>12057445</v>
      </c>
      <c r="I587">
        <v>27065263</v>
      </c>
      <c r="J587">
        <v>3</v>
      </c>
    </row>
    <row r="588" spans="1:10" x14ac:dyDescent="0.25">
      <c r="A588" t="s">
        <v>9</v>
      </c>
      <c r="B588" s="1" t="str">
        <f>HYPERLINK("http://abbottdiagnostics.com.au","abbottdiagnostics.com.au")</f>
        <v>abbottdiagnostics.com.au</v>
      </c>
      <c r="C588" t="s">
        <v>420</v>
      </c>
      <c r="D588" t="s">
        <v>802</v>
      </c>
      <c r="F588">
        <v>4.4678436746578104E-9</v>
      </c>
      <c r="G588">
        <v>65190676</v>
      </c>
      <c r="H588">
        <v>12316333</v>
      </c>
      <c r="I588">
        <v>20491206</v>
      </c>
      <c r="J588">
        <v>3</v>
      </c>
    </row>
    <row r="589" spans="1:10" x14ac:dyDescent="0.25">
      <c r="A589" t="s">
        <v>9</v>
      </c>
      <c r="B589" s="1" t="str">
        <f>HYPERLINK("http://freestylelibre.be","freestylelibre.be")</f>
        <v>freestylelibre.be</v>
      </c>
      <c r="C589" t="s">
        <v>421</v>
      </c>
      <c r="D589" t="s">
        <v>803</v>
      </c>
      <c r="F589">
        <v>7.5181682787022703E-9</v>
      </c>
      <c r="G589">
        <v>10973077</v>
      </c>
      <c r="H589">
        <v>11988409</v>
      </c>
      <c r="I589">
        <v>28397815</v>
      </c>
      <c r="J589">
        <v>5</v>
      </c>
    </row>
    <row r="590" spans="1:10" x14ac:dyDescent="0.25">
      <c r="A590" t="s">
        <v>9</v>
      </c>
      <c r="B590" s="1" t="str">
        <f>HYPERLINK("http://abbottbrasil.com.br","abbottbrasil.com.br")</f>
        <v>abbottbrasil.com.br</v>
      </c>
      <c r="C590" t="s">
        <v>425</v>
      </c>
      <c r="D590" t="s">
        <v>806</v>
      </c>
      <c r="F590">
        <v>3.8644098149857701E-8</v>
      </c>
      <c r="G590">
        <v>1334249</v>
      </c>
      <c r="H590">
        <v>14500489</v>
      </c>
      <c r="I590">
        <v>853162</v>
      </c>
      <c r="J590">
        <v>4</v>
      </c>
    </row>
    <row r="591" spans="1:10" x14ac:dyDescent="0.25">
      <c r="A591" t="s">
        <v>9</v>
      </c>
      <c r="B591" s="1" t="str">
        <f>HYPERLINK("http://abbott.ca","abbott.ca")</f>
        <v>abbott.ca</v>
      </c>
      <c r="C591" t="s">
        <v>428</v>
      </c>
      <c r="D591" t="s">
        <v>809</v>
      </c>
      <c r="F591">
        <v>1.38811416783075E-8</v>
      </c>
      <c r="G591">
        <v>4248507</v>
      </c>
      <c r="H591">
        <v>13837242</v>
      </c>
      <c r="I591">
        <v>6082852</v>
      </c>
      <c r="J591">
        <v>3</v>
      </c>
    </row>
    <row r="592" spans="1:10" x14ac:dyDescent="0.25">
      <c r="A592" t="s">
        <v>9</v>
      </c>
      <c r="B592" s="1" t="str">
        <f>HYPERLINK("http://pediasure.ca","pediasure.ca")</f>
        <v>pediasure.ca</v>
      </c>
      <c r="C592" t="s">
        <v>428</v>
      </c>
      <c r="D592" t="s">
        <v>809</v>
      </c>
      <c r="F592">
        <v>1.23578819804785E-8</v>
      </c>
      <c r="G592">
        <v>4962132</v>
      </c>
      <c r="H592">
        <v>12295127</v>
      </c>
      <c r="I592">
        <v>20961972</v>
      </c>
      <c r="J592">
        <v>4</v>
      </c>
    </row>
    <row r="593" spans="1:10" x14ac:dyDescent="0.25">
      <c r="A593" t="s">
        <v>9</v>
      </c>
      <c r="B593" s="1" t="str">
        <f>HYPERLINK("http://abbott.ch","abbott.ch")</f>
        <v>abbott.ch</v>
      </c>
      <c r="C593" t="s">
        <v>429</v>
      </c>
      <c r="D593" t="s">
        <v>810</v>
      </c>
      <c r="F593">
        <v>1.0292388290291701E-8</v>
      </c>
      <c r="G593">
        <v>6457983</v>
      </c>
      <c r="H593">
        <v>12475789</v>
      </c>
      <c r="I593">
        <v>17638579</v>
      </c>
      <c r="J593">
        <v>3</v>
      </c>
    </row>
    <row r="594" spans="1:10" x14ac:dyDescent="0.25">
      <c r="A594" t="s">
        <v>9</v>
      </c>
      <c r="B594" s="1" t="str">
        <f>HYPERLINK("http://freestylelibre.ch","freestylelibre.ch")</f>
        <v>freestylelibre.ch</v>
      </c>
      <c r="C594" t="s">
        <v>429</v>
      </c>
      <c r="D594" t="s">
        <v>810</v>
      </c>
      <c r="F594">
        <v>1.29798146743033E-8</v>
      </c>
      <c r="G594">
        <v>4641203</v>
      </c>
      <c r="H594">
        <v>12546122</v>
      </c>
      <c r="I594">
        <v>16858020</v>
      </c>
      <c r="J594">
        <v>5</v>
      </c>
    </row>
    <row r="595" spans="1:10" x14ac:dyDescent="0.25">
      <c r="A595" t="s">
        <v>9</v>
      </c>
      <c r="B595" s="1" t="str">
        <f>HYPERLINK("http://abbott-md.cn","abbott-md.cn")</f>
        <v>abbott-md.cn</v>
      </c>
      <c r="C595" t="s">
        <v>431</v>
      </c>
      <c r="D595" t="s">
        <v>812</v>
      </c>
      <c r="J595">
        <v>3</v>
      </c>
    </row>
    <row r="596" spans="1:10" x14ac:dyDescent="0.25">
      <c r="A596" t="s">
        <v>9</v>
      </c>
      <c r="B596" s="1" t="str">
        <f>HYPERLINK("http://abbott.com.cn","abbott.com.cn")</f>
        <v>abbott.com.cn</v>
      </c>
      <c r="C596" t="s">
        <v>431</v>
      </c>
      <c r="D596" t="s">
        <v>812</v>
      </c>
      <c r="E596">
        <v>942734</v>
      </c>
      <c r="F596">
        <v>4.0808983873259003E-8</v>
      </c>
      <c r="G596">
        <v>1270426</v>
      </c>
      <c r="H596">
        <v>12942122</v>
      </c>
      <c r="I596">
        <v>13275436</v>
      </c>
      <c r="J596">
        <v>2</v>
      </c>
    </row>
    <row r="597" spans="1:10" x14ac:dyDescent="0.25">
      <c r="A597" t="s">
        <v>9</v>
      </c>
      <c r="B597" s="1" t="str">
        <f>HYPERLINK("http://abbottmama.com.cn","abbottmama.com.cn")</f>
        <v>abbottmama.com.cn</v>
      </c>
      <c r="C597" t="s">
        <v>431</v>
      </c>
      <c r="D597" t="s">
        <v>812</v>
      </c>
      <c r="F597">
        <v>7.1971237467181101E-9</v>
      </c>
      <c r="G597">
        <v>11748544</v>
      </c>
      <c r="H597">
        <v>10668325</v>
      </c>
      <c r="I597">
        <v>43023299</v>
      </c>
      <c r="J597">
        <v>3</v>
      </c>
    </row>
    <row r="598" spans="1:10" x14ac:dyDescent="0.25">
      <c r="A598" t="s">
        <v>9</v>
      </c>
      <c r="B598" s="1" t="str">
        <f>HYPERLINK("http://abon.com.cn","abon.com.cn")</f>
        <v>abon.com.cn</v>
      </c>
      <c r="C598" t="s">
        <v>431</v>
      </c>
      <c r="D598" t="s">
        <v>812</v>
      </c>
      <c r="F598">
        <v>4.6975771360194897E-9</v>
      </c>
      <c r="G598">
        <v>41368749</v>
      </c>
      <c r="H598">
        <v>9387929</v>
      </c>
      <c r="I598">
        <v>67449772</v>
      </c>
      <c r="J598">
        <v>3</v>
      </c>
    </row>
    <row r="599" spans="1:10" x14ac:dyDescent="0.25">
      <c r="A599" t="s">
        <v>9</v>
      </c>
      <c r="B599" s="1" t="str">
        <f>HYPERLINK("http://starlims.cn","starlims.cn")</f>
        <v>starlims.cn</v>
      </c>
      <c r="C599" t="s">
        <v>431</v>
      </c>
      <c r="D599" t="s">
        <v>812</v>
      </c>
      <c r="F599">
        <v>1.04632841941323E-8</v>
      </c>
      <c r="G599">
        <v>6301613</v>
      </c>
      <c r="H599">
        <v>11020674</v>
      </c>
      <c r="I599">
        <v>33238061</v>
      </c>
      <c r="J599">
        <v>6</v>
      </c>
    </row>
    <row r="600" spans="1:10" x14ac:dyDescent="0.25">
      <c r="A600" t="s">
        <v>9</v>
      </c>
      <c r="B600" s="1" t="str">
        <f>HYPERLINK("http://abbott.com","abbott.com")</f>
        <v>abbott.com</v>
      </c>
      <c r="C600" t="s">
        <v>433</v>
      </c>
      <c r="E600">
        <v>9099</v>
      </c>
      <c r="F600">
        <v>2.8111279449898001E-6</v>
      </c>
      <c r="G600">
        <v>13675</v>
      </c>
      <c r="H600">
        <v>17486458</v>
      </c>
      <c r="I600">
        <v>14300</v>
      </c>
      <c r="J600">
        <v>1</v>
      </c>
    </row>
    <row r="601" spans="1:10" x14ac:dyDescent="0.25">
      <c r="A601" t="s">
        <v>9</v>
      </c>
      <c r="B601" s="1" t="str">
        <f>HYPERLINK("http://abbott-campaigns.com","abbott-campaigns.com")</f>
        <v>abbott-campaigns.com</v>
      </c>
      <c r="C601" t="s">
        <v>433</v>
      </c>
      <c r="F601">
        <v>1.5927083262420701E-8</v>
      </c>
      <c r="G601">
        <v>3565459</v>
      </c>
      <c r="H601">
        <v>13561649</v>
      </c>
      <c r="I601">
        <v>9846619</v>
      </c>
      <c r="J601">
        <v>3</v>
      </c>
    </row>
    <row r="602" spans="1:10" x14ac:dyDescent="0.25">
      <c r="A602" t="s">
        <v>9</v>
      </c>
      <c r="B602" s="1" t="str">
        <f>HYPERLINK("http://abbottaaccworkshop.com","abbottaaccworkshop.com")</f>
        <v>abbottaaccworkshop.com</v>
      </c>
      <c r="C602" t="s">
        <v>433</v>
      </c>
      <c r="J602">
        <v>3</v>
      </c>
    </row>
    <row r="603" spans="1:10" x14ac:dyDescent="0.25">
      <c r="A603" t="s">
        <v>9</v>
      </c>
      <c r="B603" s="1" t="str">
        <f>HYPERLINK("http://abbottdiabetescare.com","abbottdiabetescare.com")</f>
        <v>abbottdiabetescare.com</v>
      </c>
      <c r="C603" t="s">
        <v>433</v>
      </c>
      <c r="F603">
        <v>4.5704867415369398E-8</v>
      </c>
      <c r="G603">
        <v>1028685</v>
      </c>
      <c r="H603">
        <v>14521768</v>
      </c>
      <c r="I603">
        <v>801997</v>
      </c>
      <c r="J603">
        <v>3</v>
      </c>
    </row>
    <row r="604" spans="1:10" x14ac:dyDescent="0.25">
      <c r="A604" t="s">
        <v>9</v>
      </c>
      <c r="B604" s="1" t="str">
        <f>HYPERLINK("http://abbottdiagnostics.com","abbottdiagnostics.com")</f>
        <v>abbottdiagnostics.com</v>
      </c>
      <c r="C604" t="s">
        <v>433</v>
      </c>
      <c r="F604">
        <v>2.8144112811463899E-8</v>
      </c>
      <c r="G604">
        <v>1828362</v>
      </c>
      <c r="H604">
        <v>14379650</v>
      </c>
      <c r="I604">
        <v>1198085</v>
      </c>
      <c r="J604">
        <v>3</v>
      </c>
    </row>
    <row r="605" spans="1:10" x14ac:dyDescent="0.25">
      <c r="A605" t="s">
        <v>9</v>
      </c>
      <c r="B605" s="1" t="str">
        <f>HYPERLINK("http://abbottdiagnostics-aabb.com","abbottdiagnostics-aabb.com")</f>
        <v>abbottdiagnostics-aabb.com</v>
      </c>
      <c r="C605" t="s">
        <v>433</v>
      </c>
      <c r="J605">
        <v>3</v>
      </c>
    </row>
    <row r="606" spans="1:10" x14ac:dyDescent="0.25">
      <c r="A606" t="s">
        <v>9</v>
      </c>
      <c r="B606" s="1" t="str">
        <f>HYPERLINK("http://abbottdiagnostics-aacc.com","abbottdiagnostics-aacc.com")</f>
        <v>abbottdiagnostics-aacc.com</v>
      </c>
      <c r="C606" t="s">
        <v>433</v>
      </c>
      <c r="F606">
        <v>4.8159809226803904E-9</v>
      </c>
      <c r="G606">
        <v>35417832</v>
      </c>
      <c r="H606">
        <v>10822596</v>
      </c>
      <c r="I606">
        <v>37562573</v>
      </c>
      <c r="J606">
        <v>3</v>
      </c>
    </row>
    <row r="607" spans="1:10" x14ac:dyDescent="0.25">
      <c r="A607" t="s">
        <v>9</v>
      </c>
      <c r="B607" s="1" t="str">
        <f>HYPERLINK("http://abbottitalia.com","abbottitalia.com")</f>
        <v>abbottitalia.com</v>
      </c>
      <c r="C607" t="s">
        <v>433</v>
      </c>
      <c r="F607">
        <v>1.7177792537406701E-8</v>
      </c>
      <c r="G607">
        <v>3231830</v>
      </c>
      <c r="H607">
        <v>13764917</v>
      </c>
      <c r="I607">
        <v>7171435</v>
      </c>
      <c r="J607">
        <v>4</v>
      </c>
    </row>
    <row r="608" spans="1:10" x14ac:dyDescent="0.25">
      <c r="A608" t="s">
        <v>9</v>
      </c>
      <c r="B608" s="1" t="str">
        <f>HYPERLINK("http://abbottmedicaloptics.com","abbottmedicaloptics.com")</f>
        <v>abbottmedicaloptics.com</v>
      </c>
      <c r="C608" t="s">
        <v>433</v>
      </c>
      <c r="F608">
        <v>3.0934436060322097E-8</v>
      </c>
      <c r="G608">
        <v>1665606</v>
      </c>
      <c r="H608">
        <v>13817336</v>
      </c>
      <c r="I608">
        <v>6157973</v>
      </c>
      <c r="J608">
        <v>4</v>
      </c>
    </row>
    <row r="609" spans="1:10" x14ac:dyDescent="0.25">
      <c r="A609" t="s">
        <v>9</v>
      </c>
      <c r="B609" s="1" t="str">
        <f>HYPERLINK("http://abbottnutrition.com","abbottnutrition.com")</f>
        <v>abbottnutrition.com</v>
      </c>
      <c r="C609" t="s">
        <v>433</v>
      </c>
      <c r="E609">
        <v>116805</v>
      </c>
      <c r="F609">
        <v>4.2925459614195902E-7</v>
      </c>
      <c r="G609">
        <v>87783</v>
      </c>
      <c r="H609">
        <v>14741973</v>
      </c>
      <c r="I609">
        <v>566893</v>
      </c>
      <c r="J609">
        <v>3</v>
      </c>
    </row>
    <row r="610" spans="1:10" x14ac:dyDescent="0.25">
      <c r="A610" t="s">
        <v>9</v>
      </c>
      <c r="B610" s="1" t="str">
        <f>HYPERLINK("http://abbottnyc.com","abbottnyc.com")</f>
        <v>abbottnyc.com</v>
      </c>
      <c r="C610" t="s">
        <v>433</v>
      </c>
      <c r="F610">
        <v>2.0856709606586101E-8</v>
      </c>
      <c r="G610">
        <v>2535135</v>
      </c>
      <c r="H610">
        <v>13547445</v>
      </c>
      <c r="I610">
        <v>9899534</v>
      </c>
      <c r="J610">
        <v>4</v>
      </c>
    </row>
    <row r="611" spans="1:10" x14ac:dyDescent="0.25">
      <c r="A611" t="s">
        <v>9</v>
      </c>
      <c r="B611" s="1" t="str">
        <f>HYPERLINK("http://abbottpointofcare.com","abbottpointofcare.com")</f>
        <v>abbottpointofcare.com</v>
      </c>
      <c r="C611" t="s">
        <v>433</v>
      </c>
      <c r="F611">
        <v>2.1488816353977099E-8</v>
      </c>
      <c r="G611">
        <v>2450469</v>
      </c>
      <c r="H611">
        <v>14172393</v>
      </c>
      <c r="I611">
        <v>1798981</v>
      </c>
      <c r="J611">
        <v>3</v>
      </c>
    </row>
    <row r="612" spans="1:10" x14ac:dyDescent="0.25">
      <c r="A612" t="s">
        <v>9</v>
      </c>
      <c r="B612" s="1" t="str">
        <f>HYPERLINK("http://abbottsciencebook.com","abbottsciencebook.com")</f>
        <v>abbottsciencebook.com</v>
      </c>
      <c r="C612" t="s">
        <v>433</v>
      </c>
      <c r="J612">
        <v>3</v>
      </c>
    </row>
    <row r="613" spans="1:10" x14ac:dyDescent="0.25">
      <c r="A613" t="s">
        <v>9</v>
      </c>
      <c r="B613" s="1" t="str">
        <f>HYPERLINK("http://abbottvascular.com","abbottvascular.com")</f>
        <v>abbottvascular.com</v>
      </c>
      <c r="C613" t="s">
        <v>433</v>
      </c>
      <c r="F613">
        <v>5.3066423846536201E-8</v>
      </c>
      <c r="G613">
        <v>858135</v>
      </c>
      <c r="H613">
        <v>14292453</v>
      </c>
      <c r="I613">
        <v>1364098</v>
      </c>
      <c r="J613">
        <v>3</v>
      </c>
    </row>
    <row r="614" spans="1:10" x14ac:dyDescent="0.25">
      <c r="A614" t="s">
        <v>9</v>
      </c>
      <c r="B614" s="1" t="str">
        <f>HYPERLINK("http://alere.com","alere.com")</f>
        <v>alere.com</v>
      </c>
      <c r="C614" t="s">
        <v>433</v>
      </c>
      <c r="E614">
        <v>45267</v>
      </c>
      <c r="F614">
        <v>2.97895710423998E-7</v>
      </c>
      <c r="G614">
        <v>124841</v>
      </c>
      <c r="H614">
        <v>14805547</v>
      </c>
      <c r="I614">
        <v>547004</v>
      </c>
      <c r="J614">
        <v>3</v>
      </c>
    </row>
    <row r="615" spans="1:10" x14ac:dyDescent="0.25">
      <c r="A615" t="s">
        <v>9</v>
      </c>
      <c r="B615" s="1" t="str">
        <f>HYPERLINK("http://aleretoxicology.com","aleretoxicology.com")</f>
        <v>aleretoxicology.com</v>
      </c>
      <c r="C615" t="s">
        <v>433</v>
      </c>
      <c r="F615">
        <v>2.6671968237468001E-8</v>
      </c>
      <c r="G615">
        <v>1929740</v>
      </c>
      <c r="H615">
        <v>12500702</v>
      </c>
      <c r="I615">
        <v>17351906</v>
      </c>
      <c r="J615">
        <v>5</v>
      </c>
    </row>
    <row r="616" spans="1:10" x14ac:dyDescent="0.25">
      <c r="A616" t="s">
        <v>9</v>
      </c>
      <c r="B616" s="1" t="str">
        <f>HYPERLINK("http://alerewellbeing.com","alerewellbeing.com")</f>
        <v>alerewellbeing.com</v>
      </c>
      <c r="C616" t="s">
        <v>433</v>
      </c>
      <c r="F616">
        <v>1.9551315340128001E-8</v>
      </c>
      <c r="G616">
        <v>2736411</v>
      </c>
      <c r="H616">
        <v>14125735</v>
      </c>
      <c r="I616">
        <v>2113593</v>
      </c>
      <c r="J616">
        <v>6</v>
      </c>
    </row>
    <row r="617" spans="1:10" x14ac:dyDescent="0.25">
      <c r="A617" t="s">
        <v>9</v>
      </c>
      <c r="B617" s="1" t="str">
        <f>HYPERLINK("http://aliniq.com","aliniq.com")</f>
        <v>aliniq.com</v>
      </c>
      <c r="C617" t="s">
        <v>433</v>
      </c>
      <c r="J617">
        <v>3</v>
      </c>
    </row>
    <row r="618" spans="1:10" x14ac:dyDescent="0.25">
      <c r="A618" t="s">
        <v>9</v>
      </c>
      <c r="B618" s="1" t="str">
        <f>HYPERLINK("http://alinity.com","alinity.com")</f>
        <v>alinity.com</v>
      </c>
      <c r="C618" t="s">
        <v>433</v>
      </c>
      <c r="F618">
        <v>5.1580817782993602E-9</v>
      </c>
      <c r="G618">
        <v>25935396</v>
      </c>
      <c r="H618">
        <v>12142166</v>
      </c>
      <c r="I618">
        <v>24832291</v>
      </c>
      <c r="J618">
        <v>3</v>
      </c>
    </row>
    <row r="619" spans="1:10" x14ac:dyDescent="0.25">
      <c r="A619" t="s">
        <v>9</v>
      </c>
      <c r="B619" s="1" t="str">
        <f>HYPERLINK("http://americandiabetic.com","americandiabetic.com")</f>
        <v>americandiabetic.com</v>
      </c>
      <c r="C619" t="s">
        <v>433</v>
      </c>
      <c r="J619">
        <v>3</v>
      </c>
    </row>
    <row r="620" spans="1:10" x14ac:dyDescent="0.25">
      <c r="A620" t="s">
        <v>9</v>
      </c>
      <c r="B620" s="1" t="str">
        <f>HYPERLINK("http://amplatzer.com","amplatzer.com")</f>
        <v>amplatzer.com</v>
      </c>
      <c r="C620" t="s">
        <v>433</v>
      </c>
      <c r="F620">
        <v>2.4154123242850201E-8</v>
      </c>
      <c r="G620">
        <v>2148002</v>
      </c>
      <c r="H620">
        <v>14501958</v>
      </c>
      <c r="I620">
        <v>847819</v>
      </c>
      <c r="J620">
        <v>3</v>
      </c>
    </row>
    <row r="621" spans="1:10" x14ac:dyDescent="0.25">
      <c r="A621" t="s">
        <v>9</v>
      </c>
      <c r="B621" s="1" t="str">
        <f>HYPERLINK("http://anappstore.com","anappstore.com")</f>
        <v>anappstore.com</v>
      </c>
      <c r="C621" t="s">
        <v>433</v>
      </c>
      <c r="J621">
        <v>3</v>
      </c>
    </row>
    <row r="622" spans="1:10" x14ac:dyDescent="0.25">
      <c r="A622" t="s">
        <v>9</v>
      </c>
      <c r="B622" s="1" t="str">
        <f>HYPERLINK("http://ans-medical.com","ans-medical.com")</f>
        <v>ans-medical.com</v>
      </c>
      <c r="C622" t="s">
        <v>433</v>
      </c>
      <c r="F622">
        <v>8.3825994103674097E-9</v>
      </c>
      <c r="G622">
        <v>9079002</v>
      </c>
      <c r="H622">
        <v>12641967</v>
      </c>
      <c r="I622">
        <v>15854763</v>
      </c>
      <c r="J622">
        <v>3</v>
      </c>
    </row>
    <row r="623" spans="1:10" x14ac:dyDescent="0.25">
      <c r="A623" t="s">
        <v>9</v>
      </c>
      <c r="B623" s="1" t="str">
        <f>HYPERLINK("http://arrivadiabeticsupply.com","arrivadiabeticsupply.com")</f>
        <v>arrivadiabeticsupply.com</v>
      </c>
      <c r="C623" t="s">
        <v>433</v>
      </c>
      <c r="F623">
        <v>4.5716717435626802E-9</v>
      </c>
      <c r="G623">
        <v>50030606</v>
      </c>
      <c r="H623">
        <v>10860805</v>
      </c>
      <c r="I623">
        <v>36658274</v>
      </c>
      <c r="J623">
        <v>3</v>
      </c>
    </row>
    <row r="624" spans="1:10" x14ac:dyDescent="0.25">
      <c r="A624" t="s">
        <v>9</v>
      </c>
      <c r="B624" s="1" t="str">
        <f>HYPERLINK("http://arrivamedical.com","arrivamedical.com")</f>
        <v>arrivamedical.com</v>
      </c>
      <c r="C624" t="s">
        <v>433</v>
      </c>
      <c r="F624">
        <v>9.2902516123109604E-9</v>
      </c>
      <c r="G624">
        <v>7585347</v>
      </c>
      <c r="H624">
        <v>12483947</v>
      </c>
      <c r="I624">
        <v>17561271</v>
      </c>
      <c r="J624">
        <v>7</v>
      </c>
    </row>
    <row r="625" spans="1:10" x14ac:dyDescent="0.25">
      <c r="A625" t="s">
        <v>9</v>
      </c>
      <c r="B625" s="1" t="str">
        <f>HYPERLINK("http://bethe1donor.com","bethe1donor.com")</f>
        <v>bethe1donor.com</v>
      </c>
      <c r="C625" t="s">
        <v>433</v>
      </c>
      <c r="F625">
        <v>1.46020250930716E-8</v>
      </c>
      <c r="G625">
        <v>3976215</v>
      </c>
      <c r="H625">
        <v>13150463</v>
      </c>
      <c r="I625">
        <v>11826129</v>
      </c>
      <c r="J625">
        <v>3</v>
      </c>
    </row>
    <row r="626" spans="1:10" x14ac:dyDescent="0.25">
      <c r="A626" t="s">
        <v>9</v>
      </c>
      <c r="B626" s="1" t="str">
        <f>HYPERLINK("http://clearlumen.com","clearlumen.com")</f>
        <v>clearlumen.com</v>
      </c>
      <c r="C626" t="s">
        <v>433</v>
      </c>
      <c r="J626">
        <v>3</v>
      </c>
    </row>
    <row r="627" spans="1:10" x14ac:dyDescent="0.25">
      <c r="A627" t="s">
        <v>9</v>
      </c>
      <c r="B627" s="1" t="str">
        <f>HYPERLINK("http://coagnow.com","coagnow.com")</f>
        <v>coagnow.com</v>
      </c>
      <c r="C627" t="s">
        <v>433</v>
      </c>
      <c r="J627">
        <v>3</v>
      </c>
    </row>
    <row r="628" spans="1:10" x14ac:dyDescent="0.25">
      <c r="A628" t="s">
        <v>9</v>
      </c>
      <c r="B628" s="1" t="str">
        <f>HYPERLINK("http://concateno.com","concateno.com")</f>
        <v>concateno.com</v>
      </c>
      <c r="C628" t="s">
        <v>433</v>
      </c>
      <c r="F628">
        <v>5.5767646693780396E-9</v>
      </c>
      <c r="G628">
        <v>20087885</v>
      </c>
      <c r="H628">
        <v>14374085</v>
      </c>
      <c r="I628">
        <v>1249240</v>
      </c>
      <c r="J628">
        <v>3</v>
      </c>
    </row>
    <row r="629" spans="1:10" x14ac:dyDescent="0.25">
      <c r="A629" t="s">
        <v>9</v>
      </c>
      <c r="B629" s="1" t="str">
        <f>HYPERLINK("http://diagnosticslibrary.com","diagnosticslibrary.com")</f>
        <v>diagnosticslibrary.com</v>
      </c>
      <c r="C629" t="s">
        <v>433</v>
      </c>
      <c r="J629">
        <v>3</v>
      </c>
    </row>
    <row r="630" spans="1:10" x14ac:dyDescent="0.25">
      <c r="A630" t="s">
        <v>9</v>
      </c>
      <c r="B630" s="1" t="str">
        <f>HYPERLINK("http://domesco.com","domesco.com")</f>
        <v>domesco.com</v>
      </c>
      <c r="C630" t="s">
        <v>433</v>
      </c>
      <c r="F630">
        <v>9.9577756928006701E-9</v>
      </c>
      <c r="G630">
        <v>6798416</v>
      </c>
      <c r="H630">
        <v>12378921</v>
      </c>
      <c r="I630">
        <v>19234827</v>
      </c>
      <c r="J630">
        <v>3</v>
      </c>
    </row>
    <row r="631" spans="1:10" x14ac:dyDescent="0.25">
      <c r="A631" t="s">
        <v>9</v>
      </c>
      <c r="B631" s="1" t="str">
        <f>HYPERLINK("http://escreen.com","escreen.com")</f>
        <v>escreen.com</v>
      </c>
      <c r="C631" t="s">
        <v>433</v>
      </c>
      <c r="E631">
        <v>301330</v>
      </c>
      <c r="F631">
        <v>5.67089784095653E-8</v>
      </c>
      <c r="G631">
        <v>788066</v>
      </c>
      <c r="H631">
        <v>13796642</v>
      </c>
      <c r="I631">
        <v>6301524</v>
      </c>
      <c r="J631">
        <v>5</v>
      </c>
    </row>
    <row r="632" spans="1:10" x14ac:dyDescent="0.25">
      <c r="A632" t="s">
        <v>9</v>
      </c>
      <c r="B632" s="1" t="str">
        <f>HYPERLINK("http://fournierpharma.com","fournierpharma.com")</f>
        <v>fournierpharma.com</v>
      </c>
      <c r="C632" t="s">
        <v>433</v>
      </c>
      <c r="F632">
        <v>4.6895090254883802E-9</v>
      </c>
      <c r="G632">
        <v>41814328</v>
      </c>
      <c r="H632">
        <v>11019942</v>
      </c>
      <c r="I632">
        <v>33249248</v>
      </c>
      <c r="J632">
        <v>3</v>
      </c>
    </row>
    <row r="633" spans="1:10" x14ac:dyDescent="0.25">
      <c r="A633" t="s">
        <v>9</v>
      </c>
      <c r="B633" s="1" t="str">
        <f>HYPERLINK("http://freestyleserver.com","freestyleserver.com")</f>
        <v>freestyleserver.com</v>
      </c>
      <c r="C633" t="s">
        <v>433</v>
      </c>
      <c r="E633">
        <v>202495</v>
      </c>
      <c r="F633">
        <v>6.7703433713781605E-8</v>
      </c>
      <c r="G633">
        <v>630787</v>
      </c>
      <c r="H633">
        <v>13461430</v>
      </c>
      <c r="I633">
        <v>10152487</v>
      </c>
      <c r="J633">
        <v>3</v>
      </c>
    </row>
    <row r="634" spans="1:10" x14ac:dyDescent="0.25">
      <c r="A634" t="s">
        <v>9</v>
      </c>
      <c r="B634" s="1" t="str">
        <f>HYPERLINK("http://groupefounier.com","groupefounier.com")</f>
        <v>groupefounier.com</v>
      </c>
      <c r="C634" t="s">
        <v>433</v>
      </c>
      <c r="J634">
        <v>3</v>
      </c>
    </row>
    <row r="635" spans="1:10" x14ac:dyDescent="0.25">
      <c r="A635" t="s">
        <v>9</v>
      </c>
      <c r="B635" s="1" t="str">
        <f>HYPERLINK("http://healthierlabs.com","healthierlabs.com")</f>
        <v>healthierlabs.com</v>
      </c>
      <c r="C635" t="s">
        <v>433</v>
      </c>
      <c r="J635">
        <v>3</v>
      </c>
    </row>
    <row r="636" spans="1:10" x14ac:dyDescent="0.25">
      <c r="A636" t="s">
        <v>9</v>
      </c>
      <c r="B636" s="1" t="str">
        <f>HYPERLINK("http://hivcombo.com","hivcombo.com")</f>
        <v>hivcombo.com</v>
      </c>
      <c r="C636" t="s">
        <v>433</v>
      </c>
      <c r="F636">
        <v>4.5768195389266198E-9</v>
      </c>
      <c r="G636">
        <v>49572533</v>
      </c>
      <c r="H636">
        <v>9821105</v>
      </c>
      <c r="I636">
        <v>62421040</v>
      </c>
      <c r="J636">
        <v>3</v>
      </c>
    </row>
    <row r="637" spans="1:10" x14ac:dyDescent="0.25">
      <c r="A637" t="s">
        <v>9</v>
      </c>
      <c r="B637" s="1" t="str">
        <f>HYPERLINK("http://ibisbiosciences.com","ibisbiosciences.com")</f>
        <v>ibisbiosciences.com</v>
      </c>
      <c r="C637" t="s">
        <v>433</v>
      </c>
      <c r="F637">
        <v>8.9535029901990007E-9</v>
      </c>
      <c r="G637">
        <v>8061936</v>
      </c>
      <c r="H637">
        <v>13298111</v>
      </c>
      <c r="I637">
        <v>10839004</v>
      </c>
      <c r="J637">
        <v>3</v>
      </c>
    </row>
    <row r="638" spans="1:10" x14ac:dyDescent="0.25">
      <c r="A638" t="s">
        <v>9</v>
      </c>
      <c r="B638" s="1" t="str">
        <f>HYPERLINK("http://idevtechnologies.com","idevtechnologies.com")</f>
        <v>idevtechnologies.com</v>
      </c>
      <c r="C638" t="s">
        <v>433</v>
      </c>
      <c r="F638">
        <v>4.7351807776587802E-9</v>
      </c>
      <c r="G638">
        <v>39043474</v>
      </c>
      <c r="H638">
        <v>12122784</v>
      </c>
      <c r="I638">
        <v>25336295</v>
      </c>
      <c r="J638">
        <v>3</v>
      </c>
    </row>
    <row r="639" spans="1:10" x14ac:dyDescent="0.25">
      <c r="A639" t="s">
        <v>9</v>
      </c>
      <c r="B639" s="1" t="str">
        <f>HYPERLINK("http://immunalysis.com","immunalysis.com")</f>
        <v>immunalysis.com</v>
      </c>
      <c r="C639" t="s">
        <v>433</v>
      </c>
      <c r="F639">
        <v>1.52715190307685E-8</v>
      </c>
      <c r="G639">
        <v>3754250</v>
      </c>
      <c r="H639">
        <v>13769282</v>
      </c>
      <c r="I639">
        <v>6799847</v>
      </c>
      <c r="J639">
        <v>5</v>
      </c>
    </row>
    <row r="640" spans="1:10" x14ac:dyDescent="0.25">
      <c r="A640" t="s">
        <v>9</v>
      </c>
      <c r="B640" s="1" t="str">
        <f>HYPERLINK("http://innovaconinc.com","innovaconinc.com")</f>
        <v>innovaconinc.com</v>
      </c>
      <c r="C640" t="s">
        <v>433</v>
      </c>
      <c r="F640">
        <v>5.2476294538370396E-9</v>
      </c>
      <c r="G640">
        <v>24293148</v>
      </c>
      <c r="H640">
        <v>10965794</v>
      </c>
      <c r="I640">
        <v>34227793</v>
      </c>
      <c r="J640">
        <v>3</v>
      </c>
    </row>
    <row r="641" spans="1:10" x14ac:dyDescent="0.25">
      <c r="A641" t="s">
        <v>9</v>
      </c>
      <c r="B641" s="1" t="str">
        <f>HYPERLINK("http://invernessmedical.com","invernessmedical.com")</f>
        <v>invernessmedical.com</v>
      </c>
      <c r="C641" t="s">
        <v>433</v>
      </c>
      <c r="F641">
        <v>8.39730054486452E-9</v>
      </c>
      <c r="G641">
        <v>9048386</v>
      </c>
      <c r="H641">
        <v>13776850</v>
      </c>
      <c r="I641">
        <v>6547261</v>
      </c>
      <c r="J641">
        <v>7</v>
      </c>
    </row>
    <row r="642" spans="1:10" x14ac:dyDescent="0.25">
      <c r="A642" t="s">
        <v>9</v>
      </c>
      <c r="B642" s="1" t="str">
        <f>HYPERLINK("http://kidneycarenutrition.com","kidneycarenutrition.com")</f>
        <v>kidneycarenutrition.com</v>
      </c>
      <c r="C642" t="s">
        <v>433</v>
      </c>
      <c r="J642">
        <v>3</v>
      </c>
    </row>
    <row r="643" spans="1:10" x14ac:dyDescent="0.25">
      <c r="A643" t="s">
        <v>9</v>
      </c>
      <c r="B643" s="1" t="str">
        <f>HYPERLINK("http://lightlabimaging.com","lightlabimaging.com")</f>
        <v>lightlabimaging.com</v>
      </c>
      <c r="C643" t="s">
        <v>433</v>
      </c>
      <c r="F643">
        <v>7.0470658164614596E-9</v>
      </c>
      <c r="G643">
        <v>12173633</v>
      </c>
      <c r="H643">
        <v>13778409</v>
      </c>
      <c r="I643">
        <v>6521119</v>
      </c>
      <c r="J643">
        <v>3</v>
      </c>
    </row>
    <row r="644" spans="1:10" x14ac:dyDescent="0.25">
      <c r="A644" t="s">
        <v>9</v>
      </c>
      <c r="B644" s="1" t="str">
        <f>HYPERLINK("http://medicalautomation.com","medicalautomation.com")</f>
        <v>medicalautomation.com</v>
      </c>
      <c r="C644" t="s">
        <v>433</v>
      </c>
      <c r="F644">
        <v>4.8940829883815301E-9</v>
      </c>
      <c r="G644">
        <v>32639321</v>
      </c>
      <c r="H644">
        <v>13763841</v>
      </c>
      <c r="I644">
        <v>7566208</v>
      </c>
      <c r="J644">
        <v>3</v>
      </c>
    </row>
    <row r="645" spans="1:10" x14ac:dyDescent="0.25">
      <c r="A645" t="s">
        <v>9</v>
      </c>
      <c r="B645" s="1" t="str">
        <f>HYPERLINK("http://mybenefitsabbott.com","mybenefitsabbott.com")</f>
        <v>mybenefitsabbott.com</v>
      </c>
      <c r="C645" t="s">
        <v>433</v>
      </c>
      <c r="J645">
        <v>3</v>
      </c>
    </row>
    <row r="646" spans="1:10" x14ac:dyDescent="0.25">
      <c r="A646" t="s">
        <v>9</v>
      </c>
      <c r="B646" s="1" t="str">
        <f>HYPERLINK("http://nanostim.com","nanostim.com")</f>
        <v>nanostim.com</v>
      </c>
      <c r="C646" t="s">
        <v>433</v>
      </c>
      <c r="F646">
        <v>6.9585124817101704E-9</v>
      </c>
      <c r="G646">
        <v>12437445</v>
      </c>
      <c r="H646">
        <v>13221663</v>
      </c>
      <c r="I646">
        <v>11326413</v>
      </c>
      <c r="J646">
        <v>8</v>
      </c>
    </row>
    <row r="647" spans="1:10" x14ac:dyDescent="0.25">
      <c r="A647" t="s">
        <v>9</v>
      </c>
      <c r="B647" s="1" t="str">
        <f>HYPERLINK("http://oneabbott.com","oneabbott.com")</f>
        <v>oneabbott.com</v>
      </c>
      <c r="C647" t="s">
        <v>433</v>
      </c>
      <c r="E647">
        <v>59011</v>
      </c>
      <c r="F647">
        <v>5.6549867582583197E-9</v>
      </c>
      <c r="G647">
        <v>19348007</v>
      </c>
      <c r="H647">
        <v>13769451</v>
      </c>
      <c r="I647">
        <v>6787328</v>
      </c>
      <c r="J647">
        <v>3</v>
      </c>
    </row>
    <row r="648" spans="1:10" x14ac:dyDescent="0.25">
      <c r="A648" t="s">
        <v>9</v>
      </c>
      <c r="B648" s="1" t="str">
        <f>HYPERLINK("http://optimedica.com","optimedica.com")</f>
        <v>optimedica.com</v>
      </c>
      <c r="C648" t="s">
        <v>433</v>
      </c>
      <c r="F648">
        <v>1.2512301365907801E-8</v>
      </c>
      <c r="G648">
        <v>4878895</v>
      </c>
      <c r="H648">
        <v>14120733</v>
      </c>
      <c r="I648">
        <v>2331094</v>
      </c>
      <c r="J648">
        <v>6</v>
      </c>
    </row>
    <row r="649" spans="1:10" x14ac:dyDescent="0.25">
      <c r="A649" t="s">
        <v>9</v>
      </c>
      <c r="B649" s="1" t="str">
        <f>HYPERLINK("http://pediasure.com","pediasure.com")</f>
        <v>pediasure.com</v>
      </c>
      <c r="C649" t="s">
        <v>433</v>
      </c>
      <c r="E649">
        <v>479467</v>
      </c>
      <c r="F649">
        <v>7.2065294038829299E-8</v>
      </c>
      <c r="G649">
        <v>585914</v>
      </c>
      <c r="H649">
        <v>14654134</v>
      </c>
      <c r="I649">
        <v>624834</v>
      </c>
      <c r="J649">
        <v>4</v>
      </c>
    </row>
    <row r="650" spans="1:10" x14ac:dyDescent="0.25">
      <c r="A650" t="s">
        <v>9</v>
      </c>
      <c r="B650" s="1" t="str">
        <f>HYPERLINK("http://pembrooke.com","pembrooke.com")</f>
        <v>pembrooke.com</v>
      </c>
      <c r="C650" t="s">
        <v>433</v>
      </c>
      <c r="F650">
        <v>9.7151691802177397E-9</v>
      </c>
      <c r="G650">
        <v>7063318</v>
      </c>
      <c r="H650">
        <v>12886073</v>
      </c>
      <c r="I650">
        <v>13962641</v>
      </c>
      <c r="J650">
        <v>6</v>
      </c>
    </row>
    <row r="651" spans="1:10" x14ac:dyDescent="0.25">
      <c r="A651" t="s">
        <v>9</v>
      </c>
      <c r="B651" s="1" t="str">
        <f>HYPERLINK("http://pulselibrary.com","pulselibrary.com")</f>
        <v>pulselibrary.com</v>
      </c>
      <c r="C651" t="s">
        <v>433</v>
      </c>
      <c r="J651">
        <v>3</v>
      </c>
    </row>
    <row r="652" spans="1:10" x14ac:dyDescent="0.25">
      <c r="A652" t="s">
        <v>9</v>
      </c>
      <c r="B652" s="1" t="str">
        <f>HYPERLINK("http://redwoodtoxicology.com","redwoodtoxicology.com")</f>
        <v>redwoodtoxicology.com</v>
      </c>
      <c r="C652" t="s">
        <v>433</v>
      </c>
      <c r="E652">
        <v>457783</v>
      </c>
      <c r="F652">
        <v>7.6033673138590905E-8</v>
      </c>
      <c r="G652">
        <v>552413</v>
      </c>
      <c r="H652">
        <v>16940780</v>
      </c>
      <c r="I652">
        <v>112466</v>
      </c>
      <c r="J652">
        <v>5</v>
      </c>
    </row>
    <row r="653" spans="1:10" x14ac:dyDescent="0.25">
      <c r="A653" t="s">
        <v>9</v>
      </c>
      <c r="B653" s="1" t="str">
        <f>HYPERLINK("http://simplexhealthcare.com","simplexhealthcare.com")</f>
        <v>simplexhealthcare.com</v>
      </c>
      <c r="C653" t="s">
        <v>433</v>
      </c>
      <c r="F653">
        <v>4.5584823603891702E-9</v>
      </c>
      <c r="G653">
        <v>51315950</v>
      </c>
      <c r="H653">
        <v>13763633</v>
      </c>
      <c r="I653">
        <v>8993734</v>
      </c>
      <c r="J653">
        <v>6</v>
      </c>
    </row>
    <row r="654" spans="1:10" x14ac:dyDescent="0.25">
      <c r="A654" t="s">
        <v>9</v>
      </c>
      <c r="B654" s="1" t="str">
        <f>HYPERLINK("http://sixsigmarugged.com","sixsigmarugged.com")</f>
        <v>sixsigmarugged.com</v>
      </c>
      <c r="C654" t="s">
        <v>433</v>
      </c>
      <c r="J654">
        <v>3</v>
      </c>
    </row>
    <row r="655" spans="1:10" x14ac:dyDescent="0.25">
      <c r="A655" t="s">
        <v>9</v>
      </c>
      <c r="B655" s="1" t="str">
        <f>HYPERLINK("http://sjm.com","sjm.com")</f>
        <v>sjm.com</v>
      </c>
      <c r="C655" t="s">
        <v>433</v>
      </c>
      <c r="E655">
        <v>33777</v>
      </c>
      <c r="F655">
        <v>2.8912021150198598E-7</v>
      </c>
      <c r="G655">
        <v>128654</v>
      </c>
      <c r="H655">
        <v>14834801</v>
      </c>
      <c r="I655">
        <v>501973</v>
      </c>
      <c r="J655">
        <v>3</v>
      </c>
    </row>
    <row r="656" spans="1:10" x14ac:dyDescent="0.25">
      <c r="A656" t="s">
        <v>9</v>
      </c>
      <c r="B656" s="1" t="str">
        <f>HYPERLINK("http://sjmglobal.com","sjmglobal.com")</f>
        <v>sjmglobal.com</v>
      </c>
      <c r="C656" t="s">
        <v>433</v>
      </c>
      <c r="F656">
        <v>2.12618810942933E-8</v>
      </c>
      <c r="G656">
        <v>2479011</v>
      </c>
      <c r="H656">
        <v>13819980</v>
      </c>
      <c r="I656">
        <v>6146655</v>
      </c>
      <c r="J656">
        <v>6</v>
      </c>
    </row>
    <row r="657" spans="1:10" x14ac:dyDescent="0.25">
      <c r="A657" t="s">
        <v>9</v>
      </c>
      <c r="B657" s="1" t="str">
        <f>HYPERLINK("http://sjminternational.com","sjminternational.com")</f>
        <v>sjminternational.com</v>
      </c>
      <c r="C657" t="s">
        <v>433</v>
      </c>
      <c r="F657">
        <v>7.8632983708511708E-9</v>
      </c>
      <c r="G657">
        <v>10185691</v>
      </c>
      <c r="H657">
        <v>12390539</v>
      </c>
      <c r="I657">
        <v>19028331</v>
      </c>
      <c r="J657">
        <v>3</v>
      </c>
    </row>
    <row r="658" spans="1:10" x14ac:dyDescent="0.25">
      <c r="A658" t="s">
        <v>9</v>
      </c>
      <c r="B658" s="1" t="str">
        <f>HYPERLINK("http://spinalmodulation.com","spinalmodulation.com")</f>
        <v>spinalmodulation.com</v>
      </c>
      <c r="C658" t="s">
        <v>433</v>
      </c>
      <c r="F658">
        <v>7.9014292511943705E-9</v>
      </c>
      <c r="G658">
        <v>10108708</v>
      </c>
      <c r="H658">
        <v>13304575</v>
      </c>
      <c r="I658">
        <v>10807596</v>
      </c>
      <c r="J658">
        <v>3</v>
      </c>
    </row>
    <row r="659" spans="1:10" x14ac:dyDescent="0.25">
      <c r="A659" t="s">
        <v>9</v>
      </c>
      <c r="B659" s="1" t="str">
        <f>HYPERLINK("http://starlims.com","starlims.com")</f>
        <v>starlims.com</v>
      </c>
      <c r="C659" t="s">
        <v>433</v>
      </c>
      <c r="F659">
        <v>3.2014366487727198E-8</v>
      </c>
      <c r="G659">
        <v>1614472</v>
      </c>
      <c r="H659">
        <v>13980219</v>
      </c>
      <c r="I659">
        <v>4052283</v>
      </c>
      <c r="J659">
        <v>5</v>
      </c>
    </row>
    <row r="660" spans="1:10" x14ac:dyDescent="0.25">
      <c r="A660" t="s">
        <v>9</v>
      </c>
      <c r="B660" s="1" t="str">
        <f>HYPERLINK("http://tendyne.com","tendyne.com")</f>
        <v>tendyne.com</v>
      </c>
      <c r="C660" t="s">
        <v>433</v>
      </c>
      <c r="F660">
        <v>6.8498169662751099E-9</v>
      </c>
      <c r="G660">
        <v>12795994</v>
      </c>
      <c r="H660">
        <v>13934200</v>
      </c>
      <c r="I660">
        <v>4618702</v>
      </c>
      <c r="J660">
        <v>3</v>
      </c>
    </row>
    <row r="661" spans="1:10" x14ac:dyDescent="0.25">
      <c r="A661" t="s">
        <v>9</v>
      </c>
      <c r="B661" s="1" t="str">
        <f>HYPERLINK("http://toddlersbest.com","toddlersbest.com")</f>
        <v>toddlersbest.com</v>
      </c>
      <c r="C661" t="s">
        <v>433</v>
      </c>
      <c r="J661">
        <v>3</v>
      </c>
    </row>
    <row r="662" spans="1:10" x14ac:dyDescent="0.25">
      <c r="A662" t="s">
        <v>9</v>
      </c>
      <c r="B662" s="1" t="str">
        <f>HYPERLINK("http://univants.com","univants.com")</f>
        <v>univants.com</v>
      </c>
      <c r="C662" t="s">
        <v>433</v>
      </c>
      <c r="J662">
        <v>3</v>
      </c>
    </row>
    <row r="663" spans="1:10" x14ac:dyDescent="0.25">
      <c r="A663" t="s">
        <v>9</v>
      </c>
      <c r="B663" s="1" t="str">
        <f>HYPERLINK("http://univantshce.com","univantshce.com")</f>
        <v>univantshce.com</v>
      </c>
      <c r="C663" t="s">
        <v>433</v>
      </c>
      <c r="F663">
        <v>2.1567638061946E-8</v>
      </c>
      <c r="G663">
        <v>2440587</v>
      </c>
      <c r="H663">
        <v>13099221</v>
      </c>
      <c r="I663">
        <v>12108191</v>
      </c>
      <c r="J663">
        <v>3</v>
      </c>
    </row>
    <row r="664" spans="1:10" x14ac:dyDescent="0.25">
      <c r="A664" t="s">
        <v>9</v>
      </c>
      <c r="B664" s="1" t="str">
        <f>HYPERLINK("http://abbott.cz","abbott.cz")</f>
        <v>abbott.cz</v>
      </c>
      <c r="C664" t="s">
        <v>435</v>
      </c>
      <c r="D664" t="s">
        <v>814</v>
      </c>
      <c r="F664">
        <v>3.7346652431391198E-8</v>
      </c>
      <c r="G664">
        <v>1386290</v>
      </c>
      <c r="H664">
        <v>12405896</v>
      </c>
      <c r="I664">
        <v>18672992</v>
      </c>
      <c r="J664">
        <v>4</v>
      </c>
    </row>
    <row r="665" spans="1:10" x14ac:dyDescent="0.25">
      <c r="A665" t="s">
        <v>9</v>
      </c>
      <c r="B665" s="1" t="str">
        <f>HYPERLINK("http://abbott.de","abbott.de")</f>
        <v>abbott.de</v>
      </c>
      <c r="C665" t="s">
        <v>436</v>
      </c>
      <c r="D665" t="s">
        <v>815</v>
      </c>
      <c r="F665">
        <v>4.0964268193031399E-8</v>
      </c>
      <c r="G665">
        <v>1266342</v>
      </c>
      <c r="H665">
        <v>14423787</v>
      </c>
      <c r="I665">
        <v>1082509</v>
      </c>
      <c r="J665">
        <v>3</v>
      </c>
    </row>
    <row r="666" spans="1:10" x14ac:dyDescent="0.25">
      <c r="A666" t="s">
        <v>9</v>
      </c>
      <c r="B666" s="1" t="str">
        <f>HYPERLINK("http://abbottdiagnostics.de","abbottdiagnostics.de")</f>
        <v>abbottdiagnostics.de</v>
      </c>
      <c r="C666" t="s">
        <v>436</v>
      </c>
      <c r="D666" t="s">
        <v>815</v>
      </c>
      <c r="F666">
        <v>7.4471794456688002E-9</v>
      </c>
      <c r="G666">
        <v>11133445</v>
      </c>
      <c r="H666">
        <v>12402197</v>
      </c>
      <c r="I666">
        <v>18746178</v>
      </c>
      <c r="J666">
        <v>3</v>
      </c>
    </row>
    <row r="667" spans="1:10" x14ac:dyDescent="0.25">
      <c r="A667" t="s">
        <v>9</v>
      </c>
      <c r="B667" s="1" t="str">
        <f>HYPERLINK("http://freestylelibre.de","freestylelibre.de")</f>
        <v>freestylelibre.de</v>
      </c>
      <c r="C667" t="s">
        <v>436</v>
      </c>
      <c r="D667" t="s">
        <v>815</v>
      </c>
      <c r="E667">
        <v>135443</v>
      </c>
      <c r="F667">
        <v>5.0249398860746897E-8</v>
      </c>
      <c r="G667">
        <v>915441</v>
      </c>
      <c r="H667">
        <v>14147041</v>
      </c>
      <c r="I667">
        <v>1892118</v>
      </c>
      <c r="J667">
        <v>4</v>
      </c>
    </row>
    <row r="668" spans="1:10" x14ac:dyDescent="0.25">
      <c r="A668" t="s">
        <v>9</v>
      </c>
      <c r="B668" s="1" t="str">
        <f>HYPERLINK("http://abbott.dk","abbott.dk")</f>
        <v>abbott.dk</v>
      </c>
      <c r="C668" t="s">
        <v>437</v>
      </c>
      <c r="D668" t="s">
        <v>816</v>
      </c>
      <c r="F668">
        <v>5.3155207259619499E-9</v>
      </c>
      <c r="G668">
        <v>23272852</v>
      </c>
      <c r="H668">
        <v>13763679</v>
      </c>
      <c r="I668">
        <v>7826541</v>
      </c>
      <c r="J668">
        <v>3</v>
      </c>
    </row>
    <row r="669" spans="1:10" x14ac:dyDescent="0.25">
      <c r="A669" t="s">
        <v>9</v>
      </c>
      <c r="B669" s="1" t="str">
        <f>HYPERLINK("http://alere.dk","alere.dk")</f>
        <v>alere.dk</v>
      </c>
      <c r="C669" t="s">
        <v>437</v>
      </c>
      <c r="D669" t="s">
        <v>816</v>
      </c>
      <c r="F669">
        <v>9.6279616265383293E-9</v>
      </c>
      <c r="G669">
        <v>7165829</v>
      </c>
      <c r="H669">
        <v>11056572</v>
      </c>
      <c r="I669">
        <v>32720677</v>
      </c>
      <c r="J669">
        <v>3</v>
      </c>
    </row>
    <row r="670" spans="1:10" x14ac:dyDescent="0.25">
      <c r="A670" t="s">
        <v>9</v>
      </c>
      <c r="B670" s="1" t="str">
        <f>HYPERLINK("http://abbott.es","abbott.es")</f>
        <v>abbott.es</v>
      </c>
      <c r="C670" t="s">
        <v>443</v>
      </c>
      <c r="D670" t="s">
        <v>822</v>
      </c>
      <c r="F670">
        <v>3.3413320385143399E-8</v>
      </c>
      <c r="G670">
        <v>1547011</v>
      </c>
      <c r="H670">
        <v>13885767</v>
      </c>
      <c r="I670">
        <v>5970103</v>
      </c>
      <c r="J670">
        <v>3</v>
      </c>
    </row>
    <row r="671" spans="1:10" x14ac:dyDescent="0.25">
      <c r="A671" t="s">
        <v>9</v>
      </c>
      <c r="B671" s="1" t="str">
        <f>HYPERLINK("http://freestylelibre.es","freestylelibre.es")</f>
        <v>freestylelibre.es</v>
      </c>
      <c r="C671" t="s">
        <v>443</v>
      </c>
      <c r="D671" t="s">
        <v>822</v>
      </c>
      <c r="F671">
        <v>2.8850730886938699E-8</v>
      </c>
      <c r="G671">
        <v>1784086</v>
      </c>
      <c r="H671">
        <v>13768745</v>
      </c>
      <c r="I671">
        <v>6858992</v>
      </c>
      <c r="J671">
        <v>4</v>
      </c>
    </row>
    <row r="672" spans="1:10" x14ac:dyDescent="0.25">
      <c r="A672" t="s">
        <v>9</v>
      </c>
      <c r="B672" s="1" t="str">
        <f>HYPERLINK("http://abbott.fi","abbott.fi")</f>
        <v>abbott.fi</v>
      </c>
      <c r="C672" t="s">
        <v>445</v>
      </c>
      <c r="D672" t="s">
        <v>823</v>
      </c>
      <c r="F672">
        <v>4.4727940889945599E-9</v>
      </c>
      <c r="G672">
        <v>63894723</v>
      </c>
      <c r="H672">
        <v>10996641</v>
      </c>
      <c r="I672">
        <v>33638194</v>
      </c>
      <c r="J672">
        <v>2</v>
      </c>
    </row>
    <row r="673" spans="1:10" x14ac:dyDescent="0.25">
      <c r="A673" t="s">
        <v>9</v>
      </c>
      <c r="B673" s="1" t="str">
        <f>HYPERLINK("http://abbottdiabetescare.fi","abbottdiabetescare.fi")</f>
        <v>abbottdiabetescare.fi</v>
      </c>
      <c r="C673" t="s">
        <v>445</v>
      </c>
      <c r="D673" t="s">
        <v>823</v>
      </c>
      <c r="F673">
        <v>6.2874635330076398E-9</v>
      </c>
      <c r="G673">
        <v>15092306</v>
      </c>
      <c r="H673">
        <v>13763812</v>
      </c>
      <c r="I673">
        <v>7597858</v>
      </c>
      <c r="J673">
        <v>4</v>
      </c>
    </row>
    <row r="674" spans="1:10" x14ac:dyDescent="0.25">
      <c r="A674" t="s">
        <v>9</v>
      </c>
      <c r="B674" s="1" t="str">
        <f>HYPERLINK("http://abbottdiagnostics.fi","abbottdiagnostics.fi")</f>
        <v>abbottdiagnostics.fi</v>
      </c>
      <c r="C674" t="s">
        <v>445</v>
      </c>
      <c r="D674" t="s">
        <v>823</v>
      </c>
      <c r="J674">
        <v>2</v>
      </c>
    </row>
    <row r="675" spans="1:10" x14ac:dyDescent="0.25">
      <c r="A675" t="s">
        <v>9</v>
      </c>
      <c r="B675" s="1" t="str">
        <f>HYPERLINK("http://alere.fi","alere.fi")</f>
        <v>alere.fi</v>
      </c>
      <c r="C675" t="s">
        <v>445</v>
      </c>
      <c r="D675" t="s">
        <v>823</v>
      </c>
      <c r="F675">
        <v>4.4828529937921499E-9</v>
      </c>
      <c r="G675">
        <v>61788394</v>
      </c>
      <c r="H675">
        <v>10330014</v>
      </c>
      <c r="I675">
        <v>58337111</v>
      </c>
      <c r="J675">
        <v>4</v>
      </c>
    </row>
    <row r="676" spans="1:10" x14ac:dyDescent="0.25">
      <c r="A676" t="s">
        <v>9</v>
      </c>
      <c r="B676" s="1" t="str">
        <f>HYPERLINK("http://freestyleautoassist.fi","freestyleautoassist.fi")</f>
        <v>freestyleautoassist.fi</v>
      </c>
      <c r="C676" t="s">
        <v>445</v>
      </c>
      <c r="D676" t="s">
        <v>823</v>
      </c>
      <c r="J676">
        <v>2</v>
      </c>
    </row>
    <row r="677" spans="1:10" x14ac:dyDescent="0.25">
      <c r="A677" t="s">
        <v>9</v>
      </c>
      <c r="B677" s="1" t="str">
        <f>HYPERLINK("http://freestylediabetes.fi","freestylediabetes.fi")</f>
        <v>freestylediabetes.fi</v>
      </c>
      <c r="C677" t="s">
        <v>445</v>
      </c>
      <c r="D677" t="s">
        <v>823</v>
      </c>
      <c r="F677">
        <v>6.2857147992206396E-9</v>
      </c>
      <c r="G677">
        <v>15100453</v>
      </c>
      <c r="H677">
        <v>10911763</v>
      </c>
      <c r="I677">
        <v>35583700</v>
      </c>
      <c r="J677">
        <v>2</v>
      </c>
    </row>
    <row r="678" spans="1:10" x14ac:dyDescent="0.25">
      <c r="A678" t="s">
        <v>9</v>
      </c>
      <c r="B678" s="1" t="str">
        <f>HYPERLINK("http://freestylelibre.fi","freestylelibre.fi")</f>
        <v>freestylelibre.fi</v>
      </c>
      <c r="C678" t="s">
        <v>445</v>
      </c>
      <c r="D678" t="s">
        <v>823</v>
      </c>
      <c r="F678">
        <v>6.3152030293801898E-9</v>
      </c>
      <c r="G678">
        <v>14959421</v>
      </c>
      <c r="H678">
        <v>10676322</v>
      </c>
      <c r="I678">
        <v>42827103</v>
      </c>
      <c r="J678">
        <v>2</v>
      </c>
    </row>
    <row r="679" spans="1:10" x14ac:dyDescent="0.25">
      <c r="A679" t="s">
        <v>9</v>
      </c>
      <c r="B679" s="1" t="str">
        <f>HYPERLINK("http://freestylelibre3.fi","freestylelibre3.fi")</f>
        <v>freestylelibre3.fi</v>
      </c>
      <c r="C679" t="s">
        <v>445</v>
      </c>
      <c r="D679" t="s">
        <v>823</v>
      </c>
      <c r="J679">
        <v>2</v>
      </c>
    </row>
    <row r="680" spans="1:10" x14ac:dyDescent="0.25">
      <c r="A680" t="s">
        <v>9</v>
      </c>
      <c r="B680" s="1" t="str">
        <f>HYPERLINK("http://freestylelibrepro.fi","freestylelibrepro.fi")</f>
        <v>freestylelibrepro.fi</v>
      </c>
      <c r="C680" t="s">
        <v>445</v>
      </c>
      <c r="D680" t="s">
        <v>823</v>
      </c>
      <c r="J680">
        <v>2</v>
      </c>
    </row>
    <row r="681" spans="1:10" x14ac:dyDescent="0.25">
      <c r="A681" t="s">
        <v>9</v>
      </c>
      <c r="B681" s="1" t="str">
        <f>HYPERLINK("http://heartasure.fi","heartasure.fi")</f>
        <v>heartasure.fi</v>
      </c>
      <c r="C681" t="s">
        <v>445</v>
      </c>
      <c r="D681" t="s">
        <v>823</v>
      </c>
      <c r="J681">
        <v>2</v>
      </c>
    </row>
    <row r="682" spans="1:10" x14ac:dyDescent="0.25">
      <c r="A682" t="s">
        <v>9</v>
      </c>
      <c r="B682" s="1" t="str">
        <f>HYPERLINK("http://knowmoremr.fi","knowmoremr.fi")</f>
        <v>knowmoremr.fi</v>
      </c>
      <c r="C682" t="s">
        <v>445</v>
      </c>
      <c r="D682" t="s">
        <v>823</v>
      </c>
      <c r="J682">
        <v>2</v>
      </c>
    </row>
    <row r="683" spans="1:10" x14ac:dyDescent="0.25">
      <c r="A683" t="s">
        <v>9</v>
      </c>
      <c r="B683" s="1" t="str">
        <f>HYPERLINK("http://nomoremr.fi","nomoremr.fi")</f>
        <v>nomoremr.fi</v>
      </c>
      <c r="C683" t="s">
        <v>445</v>
      </c>
      <c r="D683" t="s">
        <v>823</v>
      </c>
      <c r="J683">
        <v>2</v>
      </c>
    </row>
    <row r="684" spans="1:10" x14ac:dyDescent="0.25">
      <c r="A684" t="s">
        <v>9</v>
      </c>
      <c r="B684" s="1" t="str">
        <f>HYPERLINK("http://panbio.fi","panbio.fi")</f>
        <v>panbio.fi</v>
      </c>
      <c r="C684" t="s">
        <v>445</v>
      </c>
      <c r="D684" t="s">
        <v>823</v>
      </c>
      <c r="J684">
        <v>2</v>
      </c>
    </row>
    <row r="685" spans="1:10" x14ac:dyDescent="0.25">
      <c r="A685" t="s">
        <v>9</v>
      </c>
      <c r="B685" s="1" t="str">
        <f>HYPERLINK("http://pathvysion.fi","pathvysion.fi")</f>
        <v>pathvysion.fi</v>
      </c>
      <c r="C685" t="s">
        <v>445</v>
      </c>
      <c r="D685" t="s">
        <v>823</v>
      </c>
      <c r="J685">
        <v>2</v>
      </c>
    </row>
    <row r="686" spans="1:10" x14ac:dyDescent="0.25">
      <c r="A686" t="s">
        <v>9</v>
      </c>
      <c r="B686" s="1" t="str">
        <f>HYPERLINK("http://urovysion.fi","urovysion.fi")</f>
        <v>urovysion.fi</v>
      </c>
      <c r="C686" t="s">
        <v>445</v>
      </c>
      <c r="D686" t="s">
        <v>823</v>
      </c>
      <c r="J686">
        <v>2</v>
      </c>
    </row>
    <row r="687" spans="1:10" x14ac:dyDescent="0.25">
      <c r="A687" t="s">
        <v>9</v>
      </c>
      <c r="B687" s="1" t="str">
        <f>HYPERLINK("http://vysis.fi","vysis.fi")</f>
        <v>vysis.fi</v>
      </c>
      <c r="C687" t="s">
        <v>445</v>
      </c>
      <c r="D687" t="s">
        <v>823</v>
      </c>
      <c r="J687">
        <v>2</v>
      </c>
    </row>
    <row r="688" spans="1:10" x14ac:dyDescent="0.25">
      <c r="A688" t="s">
        <v>9</v>
      </c>
      <c r="B688" s="1" t="str">
        <f>HYPERLINK("http://freestylelibre.fr","freestylelibre.fr")</f>
        <v>freestylelibre.fr</v>
      </c>
      <c r="C688" t="s">
        <v>446</v>
      </c>
      <c r="D688" t="s">
        <v>824</v>
      </c>
      <c r="F688">
        <v>3.53048517469503E-8</v>
      </c>
      <c r="G688">
        <v>1473222</v>
      </c>
      <c r="H688">
        <v>13704270</v>
      </c>
      <c r="I688">
        <v>9511451</v>
      </c>
      <c r="J688">
        <v>4</v>
      </c>
    </row>
    <row r="689" spans="1:10" x14ac:dyDescent="0.25">
      <c r="A689" t="s">
        <v>9</v>
      </c>
      <c r="B689" s="1" t="str">
        <f>HYPERLINK("http://freestylelibre.gr","freestylelibre.gr")</f>
        <v>freestylelibre.gr</v>
      </c>
      <c r="C689" t="s">
        <v>447</v>
      </c>
      <c r="D689" t="s">
        <v>825</v>
      </c>
      <c r="F689">
        <v>8.5126692866610694E-9</v>
      </c>
      <c r="G689">
        <v>8822021</v>
      </c>
      <c r="H689">
        <v>12111613</v>
      </c>
      <c r="I689">
        <v>25682548</v>
      </c>
      <c r="J689">
        <v>5</v>
      </c>
    </row>
    <row r="690" spans="1:10" x14ac:dyDescent="0.25">
      <c r="A690" t="s">
        <v>9</v>
      </c>
      <c r="B690" s="1" t="str">
        <f>HYPERLINK("http://abbott.com.hk","abbott.com.hk")</f>
        <v>abbott.com.hk</v>
      </c>
      <c r="C690" t="s">
        <v>450</v>
      </c>
      <c r="D690" t="s">
        <v>827</v>
      </c>
      <c r="F690">
        <v>9.5360190034269907E-9</v>
      </c>
      <c r="G690">
        <v>7280016</v>
      </c>
      <c r="H690">
        <v>13765711</v>
      </c>
      <c r="I690">
        <v>7071986</v>
      </c>
      <c r="J690">
        <v>4</v>
      </c>
    </row>
    <row r="691" spans="1:10" x14ac:dyDescent="0.25">
      <c r="A691" t="s">
        <v>9</v>
      </c>
      <c r="B691" s="1" t="str">
        <f>HYPERLINK("http://abbott.co.id","abbott.co.id")</f>
        <v>abbott.co.id</v>
      </c>
      <c r="C691" t="s">
        <v>454</v>
      </c>
      <c r="D691" t="s">
        <v>831</v>
      </c>
      <c r="F691">
        <v>5.8433535216498503E-9</v>
      </c>
      <c r="G691">
        <v>17757441</v>
      </c>
      <c r="H691">
        <v>12022318</v>
      </c>
      <c r="I691">
        <v>27829217</v>
      </c>
      <c r="J691">
        <v>3</v>
      </c>
    </row>
    <row r="692" spans="1:10" x14ac:dyDescent="0.25">
      <c r="A692" t="s">
        <v>9</v>
      </c>
      <c r="B692" s="1" t="str">
        <f>HYPERLINK("http://pediasure.co.il","pediasure.co.il")</f>
        <v>pediasure.co.il</v>
      </c>
      <c r="C692" t="s">
        <v>456</v>
      </c>
      <c r="D692" t="s">
        <v>833</v>
      </c>
      <c r="F692">
        <v>9.8364792508050594E-9</v>
      </c>
      <c r="G692">
        <v>6930206</v>
      </c>
      <c r="H692">
        <v>12622445</v>
      </c>
      <c r="I692">
        <v>16073490</v>
      </c>
      <c r="J692">
        <v>5</v>
      </c>
    </row>
    <row r="693" spans="1:10" x14ac:dyDescent="0.25">
      <c r="A693" t="s">
        <v>9</v>
      </c>
      <c r="B693" s="1" t="str">
        <f>HYPERLINK("http://abbott.in","abbott.in")</f>
        <v>abbott.in</v>
      </c>
      <c r="C693" t="s">
        <v>457</v>
      </c>
      <c r="D693" t="s">
        <v>834</v>
      </c>
      <c r="E693">
        <v>593436</v>
      </c>
      <c r="F693">
        <v>4.7416134206887197E-8</v>
      </c>
      <c r="G693">
        <v>982553</v>
      </c>
      <c r="H693">
        <v>12855563</v>
      </c>
      <c r="I693">
        <v>14230389</v>
      </c>
      <c r="J693">
        <v>2</v>
      </c>
    </row>
    <row r="694" spans="1:10" x14ac:dyDescent="0.25">
      <c r="A694" t="s">
        <v>9</v>
      </c>
      <c r="B694" s="1" t="str">
        <f>HYPERLINK("http://abbott.co.in","abbott.co.in")</f>
        <v>abbott.co.in</v>
      </c>
      <c r="C694" t="s">
        <v>457</v>
      </c>
      <c r="D694" t="s">
        <v>834</v>
      </c>
      <c r="F694">
        <v>3.2747375467516598E-8</v>
      </c>
      <c r="G694">
        <v>1577499</v>
      </c>
      <c r="H694">
        <v>13799466</v>
      </c>
      <c r="I694">
        <v>6285612</v>
      </c>
      <c r="J694">
        <v>2</v>
      </c>
    </row>
    <row r="695" spans="1:10" x14ac:dyDescent="0.25">
      <c r="A695" t="s">
        <v>9</v>
      </c>
      <c r="B695" s="1" t="str">
        <f>HYPERLINK("http://pediasure.in","pediasure.in")</f>
        <v>pediasure.in</v>
      </c>
      <c r="C695" t="s">
        <v>457</v>
      </c>
      <c r="D695" t="s">
        <v>834</v>
      </c>
      <c r="F695">
        <v>1.1836074912404601E-8</v>
      </c>
      <c r="G695">
        <v>5279202</v>
      </c>
      <c r="H695">
        <v>13763987</v>
      </c>
      <c r="I695">
        <v>7446423</v>
      </c>
      <c r="J695">
        <v>3</v>
      </c>
    </row>
    <row r="696" spans="1:10" x14ac:dyDescent="0.25">
      <c r="A696" t="s">
        <v>9</v>
      </c>
      <c r="B696" s="1" t="str">
        <f>HYPERLINK("http://freestylelibre.it","freestylelibre.it")</f>
        <v>freestylelibre.it</v>
      </c>
      <c r="C696" t="s">
        <v>459</v>
      </c>
      <c r="D696" t="s">
        <v>835</v>
      </c>
      <c r="F696">
        <v>3.5216255656945699E-8</v>
      </c>
      <c r="G696">
        <v>1476418</v>
      </c>
      <c r="H696">
        <v>13700370</v>
      </c>
      <c r="I696">
        <v>9514305</v>
      </c>
      <c r="J696">
        <v>4</v>
      </c>
    </row>
    <row r="697" spans="1:10" x14ac:dyDescent="0.25">
      <c r="A697" t="s">
        <v>9</v>
      </c>
      <c r="B697" s="1" t="str">
        <f>HYPERLINK("http://abbottvascular.jp","abbottvascular.jp")</f>
        <v>abbottvascular.jp</v>
      </c>
      <c r="C697" t="s">
        <v>461</v>
      </c>
      <c r="D697" t="s">
        <v>837</v>
      </c>
      <c r="F697">
        <v>4.77131647207799E-9</v>
      </c>
      <c r="G697">
        <v>37321854</v>
      </c>
      <c r="H697">
        <v>12766100</v>
      </c>
      <c r="I697">
        <v>14893256</v>
      </c>
      <c r="J697">
        <v>4</v>
      </c>
    </row>
    <row r="698" spans="1:10" x14ac:dyDescent="0.25">
      <c r="A698" t="s">
        <v>9</v>
      </c>
      <c r="B698" s="1" t="str">
        <f>HYPERLINK("http://abbott.co.jp","abbott.co.jp")</f>
        <v>abbott.co.jp</v>
      </c>
      <c r="C698" t="s">
        <v>461</v>
      </c>
      <c r="D698" t="s">
        <v>837</v>
      </c>
      <c r="E698">
        <v>618741</v>
      </c>
      <c r="F698">
        <v>7.7364517231621702E-8</v>
      </c>
      <c r="G698">
        <v>541192</v>
      </c>
      <c r="H698">
        <v>14213382</v>
      </c>
      <c r="I698">
        <v>1697748</v>
      </c>
      <c r="J698">
        <v>2</v>
      </c>
    </row>
    <row r="699" spans="1:10" x14ac:dyDescent="0.25">
      <c r="A699" t="s">
        <v>9</v>
      </c>
      <c r="B699" s="1" t="str">
        <f>HYPERLINK("http://sjm.co.jp","sjm.co.jp")</f>
        <v>sjm.co.jp</v>
      </c>
      <c r="C699" t="s">
        <v>461</v>
      </c>
      <c r="D699" t="s">
        <v>837</v>
      </c>
      <c r="F699">
        <v>1.0074093574161801E-8</v>
      </c>
      <c r="G699">
        <v>6677473</v>
      </c>
      <c r="H699">
        <v>14107171</v>
      </c>
      <c r="I699">
        <v>2684084</v>
      </c>
      <c r="J699">
        <v>3</v>
      </c>
    </row>
    <row r="700" spans="1:10" x14ac:dyDescent="0.25">
      <c r="A700" t="s">
        <v>9</v>
      </c>
      <c r="B700" s="1" t="str">
        <f>HYPERLINK("http://abbott.co.kr","abbott.co.kr")</f>
        <v>abbott.co.kr</v>
      </c>
      <c r="C700" t="s">
        <v>463</v>
      </c>
      <c r="D700" t="s">
        <v>839</v>
      </c>
      <c r="F700">
        <v>4.7601556425854401E-9</v>
      </c>
      <c r="G700">
        <v>37814937</v>
      </c>
      <c r="H700">
        <v>9925880</v>
      </c>
      <c r="I700">
        <v>61430138</v>
      </c>
      <c r="J700">
        <v>3</v>
      </c>
    </row>
    <row r="701" spans="1:10" x14ac:dyDescent="0.25">
      <c r="A701" t="s">
        <v>9</v>
      </c>
      <c r="B701" s="1" t="str">
        <f>HYPERLINK("http://freestylelibre.lu","freestylelibre.lu")</f>
        <v>freestylelibre.lu</v>
      </c>
      <c r="C701" t="s">
        <v>547</v>
      </c>
      <c r="D701" t="s">
        <v>904</v>
      </c>
      <c r="F701">
        <v>7.7247665071373193E-9</v>
      </c>
      <c r="G701">
        <v>10519274</v>
      </c>
      <c r="H701">
        <v>12218976</v>
      </c>
      <c r="I701">
        <v>22810773</v>
      </c>
      <c r="J701">
        <v>4</v>
      </c>
    </row>
    <row r="702" spans="1:10" x14ac:dyDescent="0.25">
      <c r="A702" t="s">
        <v>9</v>
      </c>
      <c r="B702" s="1" t="str">
        <f>HYPERLINK("http://abbott.com.my","abbott.com.my")</f>
        <v>abbott.com.my</v>
      </c>
      <c r="C702" t="s">
        <v>472</v>
      </c>
      <c r="D702" t="s">
        <v>848</v>
      </c>
      <c r="F702">
        <v>6.0038234538959598E-9</v>
      </c>
      <c r="G702">
        <v>16659757</v>
      </c>
      <c r="H702">
        <v>14120978</v>
      </c>
      <c r="I702">
        <v>2297725</v>
      </c>
      <c r="J702">
        <v>4</v>
      </c>
    </row>
    <row r="703" spans="1:10" x14ac:dyDescent="0.25">
      <c r="A703" t="s">
        <v>9</v>
      </c>
      <c r="B703" s="1" t="str">
        <f>HYPERLINK("http://abbottapps.net","abbottapps.net")</f>
        <v>abbottapps.net</v>
      </c>
      <c r="C703" t="s">
        <v>474</v>
      </c>
      <c r="E703">
        <v>144848</v>
      </c>
      <c r="F703">
        <v>4.44380996400719E-9</v>
      </c>
      <c r="G703">
        <v>79639365</v>
      </c>
      <c r="H703">
        <v>10351910</v>
      </c>
      <c r="I703">
        <v>56145267</v>
      </c>
      <c r="J703">
        <v>3</v>
      </c>
    </row>
    <row r="704" spans="1:10" x14ac:dyDescent="0.25">
      <c r="A704" t="s">
        <v>9</v>
      </c>
      <c r="B704" s="1" t="str">
        <f>HYPERLINK("http://abbottdiagnostics.nl","abbottdiagnostics.nl")</f>
        <v>abbottdiagnostics.nl</v>
      </c>
      <c r="C704" t="s">
        <v>477</v>
      </c>
      <c r="D704" t="s">
        <v>852</v>
      </c>
      <c r="J704">
        <v>3</v>
      </c>
    </row>
    <row r="705" spans="1:10" x14ac:dyDescent="0.25">
      <c r="A705" t="s">
        <v>9</v>
      </c>
      <c r="B705" s="1" t="str">
        <f>HYPERLINK("http://abbottnederland.nl","abbottnederland.nl")</f>
        <v>abbottnederland.nl</v>
      </c>
      <c r="C705" t="s">
        <v>477</v>
      </c>
      <c r="D705" t="s">
        <v>852</v>
      </c>
      <c r="F705">
        <v>1.0501758593772899E-8</v>
      </c>
      <c r="G705">
        <v>6267927</v>
      </c>
      <c r="H705">
        <v>14076018</v>
      </c>
      <c r="I705">
        <v>2895811</v>
      </c>
      <c r="J705">
        <v>4</v>
      </c>
    </row>
    <row r="706" spans="1:10" x14ac:dyDescent="0.25">
      <c r="A706" t="s">
        <v>9</v>
      </c>
      <c r="B706" s="1" t="str">
        <f>HYPERLINK("http://alerehealth.nl","alerehealth.nl")</f>
        <v>alerehealth.nl</v>
      </c>
      <c r="C706" t="s">
        <v>477</v>
      </c>
      <c r="D706" t="s">
        <v>852</v>
      </c>
      <c r="F706">
        <v>4.6372047039138203E-9</v>
      </c>
      <c r="G706">
        <v>44958171</v>
      </c>
      <c r="H706">
        <v>9691551</v>
      </c>
      <c r="I706">
        <v>63538168</v>
      </c>
      <c r="J706">
        <v>3</v>
      </c>
    </row>
    <row r="707" spans="1:10" x14ac:dyDescent="0.25">
      <c r="A707" t="s">
        <v>9</v>
      </c>
      <c r="B707" s="1" t="str">
        <f>HYPERLINK("http://freestylelibre.nl","freestylelibre.nl")</f>
        <v>freestylelibre.nl</v>
      </c>
      <c r="C707" t="s">
        <v>477</v>
      </c>
      <c r="D707" t="s">
        <v>852</v>
      </c>
      <c r="F707">
        <v>1.99143014797276E-8</v>
      </c>
      <c r="G707">
        <v>2672453</v>
      </c>
      <c r="H707">
        <v>12807742</v>
      </c>
      <c r="I707">
        <v>14600036</v>
      </c>
      <c r="J707">
        <v>5</v>
      </c>
    </row>
    <row r="708" spans="1:10" x14ac:dyDescent="0.25">
      <c r="A708" t="s">
        <v>9</v>
      </c>
      <c r="B708" s="1" t="str">
        <f>HYPERLINK("http://abbott.no","abbott.no")</f>
        <v>abbott.no</v>
      </c>
      <c r="C708" t="s">
        <v>478</v>
      </c>
      <c r="D708" t="s">
        <v>853</v>
      </c>
      <c r="F708">
        <v>4.4462530532863697E-9</v>
      </c>
      <c r="G708">
        <v>74473628</v>
      </c>
      <c r="H708">
        <v>10720851</v>
      </c>
      <c r="I708">
        <v>41836686</v>
      </c>
      <c r="J708">
        <v>4</v>
      </c>
    </row>
    <row r="709" spans="1:10" x14ac:dyDescent="0.25">
      <c r="A709" t="s">
        <v>9</v>
      </c>
      <c r="B709" s="1" t="str">
        <f>HYPERLINK("http://alere.no","alere.no")</f>
        <v>alere.no</v>
      </c>
      <c r="C709" t="s">
        <v>478</v>
      </c>
      <c r="D709" t="s">
        <v>853</v>
      </c>
      <c r="F709">
        <v>6.3360048019288904E-9</v>
      </c>
      <c r="G709">
        <v>14832390</v>
      </c>
      <c r="H709">
        <v>12151641</v>
      </c>
      <c r="I709">
        <v>24581904</v>
      </c>
      <c r="J709">
        <v>4</v>
      </c>
    </row>
    <row r="710" spans="1:10" x14ac:dyDescent="0.25">
      <c r="A710" t="s">
        <v>9</v>
      </c>
      <c r="B710" s="1" t="str">
        <f>HYPERLINK("http://freestylelibre.no","freestylelibre.no")</f>
        <v>freestylelibre.no</v>
      </c>
      <c r="C710" t="s">
        <v>478</v>
      </c>
      <c r="D710" t="s">
        <v>853</v>
      </c>
      <c r="F710">
        <v>8.1390337547540098E-9</v>
      </c>
      <c r="G710">
        <v>9674641</v>
      </c>
      <c r="H710">
        <v>12118232</v>
      </c>
      <c r="I710">
        <v>25451782</v>
      </c>
      <c r="J710">
        <v>5</v>
      </c>
    </row>
    <row r="711" spans="1:10" x14ac:dyDescent="0.25">
      <c r="A711" t="s">
        <v>9</v>
      </c>
      <c r="B711" s="1" t="str">
        <f>HYPERLINK("http://abbottdiagnostics.co.nz","abbottdiagnostics.co.nz")</f>
        <v>abbottdiagnostics.co.nz</v>
      </c>
      <c r="C711" t="s">
        <v>479</v>
      </c>
      <c r="D711" t="s">
        <v>854</v>
      </c>
      <c r="F711">
        <v>4.4454438533961202E-9</v>
      </c>
      <c r="G711">
        <v>75272428</v>
      </c>
      <c r="H711">
        <v>10638229</v>
      </c>
      <c r="I711">
        <v>43807365</v>
      </c>
      <c r="J711">
        <v>3</v>
      </c>
    </row>
    <row r="712" spans="1:10" x14ac:dyDescent="0.25">
      <c r="A712" t="s">
        <v>9</v>
      </c>
      <c r="B712" s="1" t="str">
        <f>HYPERLINK("http://farmindustria.com.pe","farmindustria.com.pe")</f>
        <v>farmindustria.com.pe</v>
      </c>
      <c r="C712" t="s">
        <v>483</v>
      </c>
      <c r="D712" t="s">
        <v>857</v>
      </c>
      <c r="F712">
        <v>4.91789281616674E-9</v>
      </c>
      <c r="G712">
        <v>31759606</v>
      </c>
      <c r="H712">
        <v>13764136</v>
      </c>
      <c r="I712">
        <v>7366230</v>
      </c>
      <c r="J712">
        <v>4</v>
      </c>
    </row>
    <row r="713" spans="1:10" x14ac:dyDescent="0.25">
      <c r="A713" t="s">
        <v>9</v>
      </c>
      <c r="B713" s="1" t="str">
        <f>HYPERLINK("http://abbott.com.pk","abbott.com.pk")</f>
        <v>abbott.com.pk</v>
      </c>
      <c r="C713" t="s">
        <v>485</v>
      </c>
      <c r="D713" t="s">
        <v>859</v>
      </c>
      <c r="F713">
        <v>1.3430525487200701E-8</v>
      </c>
      <c r="G713">
        <v>4434719</v>
      </c>
      <c r="H713">
        <v>14416375</v>
      </c>
      <c r="I713">
        <v>1103862</v>
      </c>
      <c r="J713">
        <v>4</v>
      </c>
    </row>
    <row r="714" spans="1:10" x14ac:dyDescent="0.25">
      <c r="A714" t="s">
        <v>9</v>
      </c>
      <c r="B714" s="1" t="str">
        <f>HYPERLINK("http://abbott.pl","abbott.pl")</f>
        <v>abbott.pl</v>
      </c>
      <c r="C714" t="s">
        <v>486</v>
      </c>
      <c r="D714" t="s">
        <v>860</v>
      </c>
      <c r="F714">
        <v>8.3653909618814193E-9</v>
      </c>
      <c r="G714">
        <v>9114482</v>
      </c>
      <c r="H714">
        <v>10783564</v>
      </c>
      <c r="I714">
        <v>38775233</v>
      </c>
      <c r="J714">
        <v>4</v>
      </c>
    </row>
    <row r="715" spans="1:10" x14ac:dyDescent="0.25">
      <c r="A715" t="s">
        <v>9</v>
      </c>
      <c r="B715" s="1" t="str">
        <f>HYPERLINK("http://abbott.pt","abbott.pt")</f>
        <v>abbott.pt</v>
      </c>
      <c r="C715" t="s">
        <v>488</v>
      </c>
      <c r="D715" t="s">
        <v>862</v>
      </c>
      <c r="F715">
        <v>5.7709452261544699E-9</v>
      </c>
      <c r="G715">
        <v>18318612</v>
      </c>
      <c r="H715">
        <v>12684268</v>
      </c>
      <c r="I715">
        <v>15462599</v>
      </c>
      <c r="J715">
        <v>3</v>
      </c>
    </row>
    <row r="716" spans="1:10" x14ac:dyDescent="0.25">
      <c r="A716" t="s">
        <v>9</v>
      </c>
      <c r="B716" s="1" t="str">
        <f>HYPERLINK("http://abbott-russia.ru","abbott-russia.ru")</f>
        <v>abbott-russia.ru</v>
      </c>
      <c r="C716" t="s">
        <v>493</v>
      </c>
      <c r="D716" t="s">
        <v>867</v>
      </c>
      <c r="F716">
        <v>3.1522459145861198E-8</v>
      </c>
      <c r="G716">
        <v>1636838</v>
      </c>
      <c r="H716">
        <v>13249636</v>
      </c>
      <c r="I716">
        <v>11088145</v>
      </c>
      <c r="J716">
        <v>4</v>
      </c>
    </row>
    <row r="717" spans="1:10" x14ac:dyDescent="0.25">
      <c r="A717" t="s">
        <v>9</v>
      </c>
      <c r="B717" s="1" t="str">
        <f>HYPERLINK("http://freestylelibre.ru","freestylelibre.ru")</f>
        <v>freestylelibre.ru</v>
      </c>
      <c r="C717" t="s">
        <v>493</v>
      </c>
      <c r="D717" t="s">
        <v>867</v>
      </c>
      <c r="E717">
        <v>508363</v>
      </c>
      <c r="F717">
        <v>9.5636426250855597E-9</v>
      </c>
      <c r="G717">
        <v>7246841</v>
      </c>
      <c r="H717">
        <v>12497275</v>
      </c>
      <c r="I717">
        <v>17390144</v>
      </c>
      <c r="J717">
        <v>3</v>
      </c>
    </row>
    <row r="718" spans="1:10" x14ac:dyDescent="0.25">
      <c r="A718" t="s">
        <v>9</v>
      </c>
      <c r="B718" s="1" t="str">
        <f>HYPERLINK("http://veropharm.ru","veropharm.ru")</f>
        <v>veropharm.ru</v>
      </c>
      <c r="C718" t="s">
        <v>493</v>
      </c>
      <c r="D718" t="s">
        <v>867</v>
      </c>
      <c r="E718">
        <v>218106</v>
      </c>
      <c r="F718">
        <v>4.23794672878765E-8</v>
      </c>
      <c r="G718">
        <v>1145960</v>
      </c>
      <c r="H718">
        <v>14237850</v>
      </c>
      <c r="I718">
        <v>1539079</v>
      </c>
      <c r="J718">
        <v>3</v>
      </c>
    </row>
    <row r="719" spans="1:10" x14ac:dyDescent="0.25">
      <c r="A719" t="s">
        <v>9</v>
      </c>
      <c r="B719" s="1" t="str">
        <f>HYPERLINK("http://abbott.se","abbott.se")</f>
        <v>abbott.se</v>
      </c>
      <c r="C719" t="s">
        <v>495</v>
      </c>
      <c r="D719" t="s">
        <v>869</v>
      </c>
      <c r="F719">
        <v>6.0899276943611499E-9</v>
      </c>
      <c r="G719">
        <v>16149595</v>
      </c>
      <c r="H719">
        <v>13937151</v>
      </c>
      <c r="I719">
        <v>4472992</v>
      </c>
      <c r="J719">
        <v>3</v>
      </c>
    </row>
    <row r="720" spans="1:10" x14ac:dyDescent="0.25">
      <c r="A720" t="s">
        <v>9</v>
      </c>
      <c r="B720" s="1" t="str">
        <f>HYPERLINK("http://freestylelibre.se","freestylelibre.se")</f>
        <v>freestylelibre.se</v>
      </c>
      <c r="C720" t="s">
        <v>495</v>
      </c>
      <c r="D720" t="s">
        <v>869</v>
      </c>
      <c r="F720">
        <v>9.3995048952368798E-9</v>
      </c>
      <c r="G720">
        <v>7445052</v>
      </c>
      <c r="H720">
        <v>13464595</v>
      </c>
      <c r="I720">
        <v>10085787</v>
      </c>
      <c r="J720">
        <v>5</v>
      </c>
    </row>
    <row r="721" spans="1:10" x14ac:dyDescent="0.25">
      <c r="A721" t="s">
        <v>9</v>
      </c>
      <c r="B721" s="1" t="str">
        <f>HYPERLINK("http://sjm.se","sjm.se")</f>
        <v>sjm.se</v>
      </c>
      <c r="C721" t="s">
        <v>495</v>
      </c>
      <c r="D721" t="s">
        <v>869</v>
      </c>
      <c r="F721">
        <v>1.15014180141781E-8</v>
      </c>
      <c r="G721">
        <v>5504894</v>
      </c>
      <c r="H721">
        <v>13717913</v>
      </c>
      <c r="I721">
        <v>9488364</v>
      </c>
      <c r="J721">
        <v>3</v>
      </c>
    </row>
    <row r="722" spans="1:10" x14ac:dyDescent="0.25">
      <c r="A722" t="s">
        <v>9</v>
      </c>
      <c r="B722" s="1" t="str">
        <f>HYPERLINK("http://abbott.com.sg","abbott.com.sg")</f>
        <v>abbott.com.sg</v>
      </c>
      <c r="C722" t="s">
        <v>496</v>
      </c>
      <c r="D722" t="s">
        <v>870</v>
      </c>
      <c r="F722">
        <v>2.88421963085105E-8</v>
      </c>
      <c r="G722">
        <v>1784589</v>
      </c>
      <c r="H722">
        <v>13770137</v>
      </c>
      <c r="I722">
        <v>6743217</v>
      </c>
      <c r="J722">
        <v>2</v>
      </c>
    </row>
    <row r="723" spans="1:10" x14ac:dyDescent="0.25">
      <c r="A723" t="s">
        <v>9</v>
      </c>
      <c r="B723" s="1" t="str">
        <f>HYPERLINK("http://abbott.sk","abbott.sk")</f>
        <v>abbott.sk</v>
      </c>
      <c r="C723" t="s">
        <v>498</v>
      </c>
      <c r="D723" t="s">
        <v>872</v>
      </c>
      <c r="F723">
        <v>9.1259096099959908E-9</v>
      </c>
      <c r="G723">
        <v>7811267</v>
      </c>
      <c r="H723">
        <v>12235440</v>
      </c>
      <c r="I723">
        <v>22363601</v>
      </c>
      <c r="J723">
        <v>3</v>
      </c>
    </row>
    <row r="724" spans="1:10" x14ac:dyDescent="0.25">
      <c r="A724" t="s">
        <v>9</v>
      </c>
      <c r="B724" s="1" t="str">
        <f>HYPERLINK("http://abbott.co.th","abbott.co.th")</f>
        <v>abbott.co.th</v>
      </c>
      <c r="C724" t="s">
        <v>500</v>
      </c>
      <c r="D724" t="s">
        <v>874</v>
      </c>
      <c r="F724">
        <v>6.0815908860597003E-9</v>
      </c>
      <c r="G724">
        <v>16198443</v>
      </c>
      <c r="H724">
        <v>12437444</v>
      </c>
      <c r="I724">
        <v>18176746</v>
      </c>
      <c r="J724">
        <v>4</v>
      </c>
    </row>
    <row r="725" spans="1:10" x14ac:dyDescent="0.25">
      <c r="A725" t="s">
        <v>9</v>
      </c>
      <c r="B725" s="1" t="str">
        <f>HYPERLINK("http://abbott.com.tr","abbott.com.tr")</f>
        <v>abbott.com.tr</v>
      </c>
      <c r="C725" t="s">
        <v>502</v>
      </c>
      <c r="D725" t="s">
        <v>876</v>
      </c>
      <c r="F725">
        <v>6.0153614580644599E-9</v>
      </c>
      <c r="G725">
        <v>16590230</v>
      </c>
      <c r="H725">
        <v>10635938</v>
      </c>
      <c r="I725">
        <v>43849207</v>
      </c>
      <c r="J725">
        <v>3</v>
      </c>
    </row>
    <row r="726" spans="1:10" x14ac:dyDescent="0.25">
      <c r="A726" t="s">
        <v>9</v>
      </c>
      <c r="B726" s="1" t="str">
        <f>HYPERLINK("http://freestylelibre.com.tr","freestylelibre.com.tr")</f>
        <v>freestylelibre.com.tr</v>
      </c>
      <c r="C726" t="s">
        <v>502</v>
      </c>
      <c r="D726" t="s">
        <v>876</v>
      </c>
      <c r="F726">
        <v>7.0805089016681599E-9</v>
      </c>
      <c r="G726">
        <v>12069897</v>
      </c>
      <c r="H726">
        <v>11991348</v>
      </c>
      <c r="I726">
        <v>28371035</v>
      </c>
      <c r="J726">
        <v>4</v>
      </c>
    </row>
    <row r="727" spans="1:10" x14ac:dyDescent="0.25">
      <c r="A727" t="s">
        <v>9</v>
      </c>
      <c r="B727" s="1" t="str">
        <f>HYPERLINK("http://abbott.co.uk","abbott.co.uk")</f>
        <v>abbott.co.uk</v>
      </c>
      <c r="C727" t="s">
        <v>506</v>
      </c>
      <c r="D727" t="s">
        <v>880</v>
      </c>
      <c r="F727">
        <v>8.3719734188262204E-8</v>
      </c>
      <c r="G727">
        <v>495055</v>
      </c>
      <c r="H727">
        <v>13329785</v>
      </c>
      <c r="I727">
        <v>10721758</v>
      </c>
      <c r="J727">
        <v>2</v>
      </c>
    </row>
    <row r="728" spans="1:10" x14ac:dyDescent="0.25">
      <c r="A728" t="s">
        <v>9</v>
      </c>
      <c r="B728" s="1" t="str">
        <f>HYPERLINK("http://abbottdiabetescare.co.uk","abbottdiabetescare.co.uk")</f>
        <v>abbottdiabetescare.co.uk</v>
      </c>
      <c r="C728" t="s">
        <v>506</v>
      </c>
      <c r="D728" t="s">
        <v>880</v>
      </c>
      <c r="F728">
        <v>8.0294893375117498E-9</v>
      </c>
      <c r="G728">
        <v>9867217</v>
      </c>
      <c r="H728">
        <v>14003494</v>
      </c>
      <c r="I728">
        <v>4008993</v>
      </c>
      <c r="J728">
        <v>3</v>
      </c>
    </row>
    <row r="729" spans="1:10" x14ac:dyDescent="0.25">
      <c r="A729" t="s">
        <v>9</v>
      </c>
      <c r="B729" s="1" t="str">
        <f>HYPERLINK("http://aleretoxicology.co.uk","aleretoxicology.co.uk")</f>
        <v>aleretoxicology.co.uk</v>
      </c>
      <c r="C729" t="s">
        <v>506</v>
      </c>
      <c r="D729" t="s">
        <v>880</v>
      </c>
      <c r="F729">
        <v>2.51580160417093E-8</v>
      </c>
      <c r="G729">
        <v>2052568</v>
      </c>
      <c r="H729">
        <v>13356826</v>
      </c>
      <c r="I729">
        <v>10595940</v>
      </c>
      <c r="J729">
        <v>3</v>
      </c>
    </row>
    <row r="730" spans="1:10" x14ac:dyDescent="0.25">
      <c r="A730" t="s">
        <v>9</v>
      </c>
      <c r="B730" s="1" t="str">
        <f>HYPERLINK("http://freestylelibre.co.uk","freestylelibre.co.uk")</f>
        <v>freestylelibre.co.uk</v>
      </c>
      <c r="C730" t="s">
        <v>506</v>
      </c>
      <c r="D730" t="s">
        <v>880</v>
      </c>
      <c r="E730">
        <v>591169</v>
      </c>
      <c r="F730">
        <v>5.9055612711636602E-8</v>
      </c>
      <c r="G730">
        <v>750797</v>
      </c>
      <c r="H730">
        <v>14604308</v>
      </c>
      <c r="I730">
        <v>682803</v>
      </c>
      <c r="J730">
        <v>4</v>
      </c>
    </row>
    <row r="731" spans="1:10" x14ac:dyDescent="0.25">
      <c r="A731" t="s">
        <v>10</v>
      </c>
      <c r="B731" s="1" t="str">
        <f>HYPERLINK("http://abbvie.com.ar","abbvie.com.ar")</f>
        <v>abbvie.com.ar</v>
      </c>
      <c r="C731" t="s">
        <v>418</v>
      </c>
      <c r="D731" t="s">
        <v>800</v>
      </c>
      <c r="F731">
        <v>1.5173017563162202E-8</v>
      </c>
      <c r="G731">
        <v>3784213</v>
      </c>
      <c r="H731">
        <v>12212364</v>
      </c>
      <c r="I731">
        <v>22968649</v>
      </c>
      <c r="J731">
        <v>2</v>
      </c>
    </row>
    <row r="732" spans="1:10" x14ac:dyDescent="0.25">
      <c r="A732" t="s">
        <v>10</v>
      </c>
      <c r="B732" s="1" t="str">
        <f>HYPERLINK("http://allergan.com.ar","allergan.com.ar")</f>
        <v>allergan.com.ar</v>
      </c>
      <c r="C732" t="s">
        <v>418</v>
      </c>
      <c r="D732" t="s">
        <v>800</v>
      </c>
      <c r="F732">
        <v>3.9277108503574702E-8</v>
      </c>
      <c r="G732">
        <v>1313609</v>
      </c>
      <c r="H732">
        <v>12288717</v>
      </c>
      <c r="I732">
        <v>21141374</v>
      </c>
      <c r="J732">
        <v>3</v>
      </c>
    </row>
    <row r="733" spans="1:10" x14ac:dyDescent="0.25">
      <c r="A733" t="s">
        <v>10</v>
      </c>
      <c r="B733" s="1" t="str">
        <f>HYPERLINK("http://allerganmi.com.ar","allerganmi.com.ar")</f>
        <v>allerganmi.com.ar</v>
      </c>
      <c r="C733" t="s">
        <v>418</v>
      </c>
      <c r="D733" t="s">
        <v>800</v>
      </c>
      <c r="J733">
        <v>2</v>
      </c>
    </row>
    <row r="734" spans="1:10" x14ac:dyDescent="0.25">
      <c r="A734" t="s">
        <v>10</v>
      </c>
      <c r="B734" s="1" t="str">
        <f>HYPERLINK("http://abbvie.at","abbvie.at")</f>
        <v>abbvie.at</v>
      </c>
      <c r="C734" t="s">
        <v>419</v>
      </c>
      <c r="D734" t="s">
        <v>801</v>
      </c>
      <c r="F734">
        <v>3.6405679672735003E-8</v>
      </c>
      <c r="G734">
        <v>1433705</v>
      </c>
      <c r="H734">
        <v>12754084</v>
      </c>
      <c r="I734">
        <v>14994209</v>
      </c>
      <c r="J734">
        <v>2</v>
      </c>
    </row>
    <row r="735" spans="1:10" x14ac:dyDescent="0.25">
      <c r="A735" t="s">
        <v>10</v>
      </c>
      <c r="B735" s="1" t="str">
        <f>HYPERLINK("http://acne-inversa.at","acne-inversa.at")</f>
        <v>acne-inversa.at</v>
      </c>
      <c r="C735" t="s">
        <v>419</v>
      </c>
      <c r="D735" t="s">
        <v>801</v>
      </c>
      <c r="E735">
        <v>370259</v>
      </c>
      <c r="F735">
        <v>6.7472587482330203E-9</v>
      </c>
      <c r="G735">
        <v>13138402</v>
      </c>
      <c r="H735">
        <v>10738231</v>
      </c>
      <c r="I735">
        <v>40536551</v>
      </c>
      <c r="J735">
        <v>2</v>
      </c>
    </row>
    <row r="736" spans="1:10" x14ac:dyDescent="0.25">
      <c r="A736" t="s">
        <v>10</v>
      </c>
      <c r="B736" s="1" t="str">
        <f>HYPERLINK("http://allergan.at","allergan.at")</f>
        <v>allergan.at</v>
      </c>
      <c r="C736" t="s">
        <v>419</v>
      </c>
      <c r="D736" t="s">
        <v>801</v>
      </c>
      <c r="F736">
        <v>4.4761563498626297E-8</v>
      </c>
      <c r="G736">
        <v>1056800</v>
      </c>
      <c r="H736">
        <v>13060253</v>
      </c>
      <c r="I736">
        <v>12351424</v>
      </c>
      <c r="J736">
        <v>3</v>
      </c>
    </row>
    <row r="737" spans="1:10" x14ac:dyDescent="0.25">
      <c r="A737" t="s">
        <v>10</v>
      </c>
      <c r="B737" s="1" t="str">
        <f>HYPERLINK("http://abbvie.com.au","abbvie.com.au")</f>
        <v>abbvie.com.au</v>
      </c>
      <c r="C737" t="s">
        <v>420</v>
      </c>
      <c r="D737" t="s">
        <v>802</v>
      </c>
      <c r="E737">
        <v>556947</v>
      </c>
      <c r="F737">
        <v>3.5123377594044403E-8</v>
      </c>
      <c r="G737">
        <v>1479861</v>
      </c>
      <c r="H737">
        <v>13056005</v>
      </c>
      <c r="I737">
        <v>12564276</v>
      </c>
      <c r="J737">
        <v>2</v>
      </c>
    </row>
    <row r="738" spans="1:10" x14ac:dyDescent="0.25">
      <c r="A738" t="s">
        <v>10</v>
      </c>
      <c r="B738" s="1" t="str">
        <f>HYPERLINK("http://allergan.com.au","allergan.com.au")</f>
        <v>allergan.com.au</v>
      </c>
      <c r="C738" t="s">
        <v>420</v>
      </c>
      <c r="D738" t="s">
        <v>802</v>
      </c>
      <c r="F738">
        <v>4.4388482856492103E-8</v>
      </c>
      <c r="G738">
        <v>1068615</v>
      </c>
      <c r="H738">
        <v>13937400</v>
      </c>
      <c r="I738">
        <v>4465117</v>
      </c>
      <c r="J738">
        <v>3</v>
      </c>
    </row>
    <row r="739" spans="1:10" x14ac:dyDescent="0.25">
      <c r="A739" t="s">
        <v>10</v>
      </c>
      <c r="B739" s="1" t="str">
        <f>HYPERLINK("http://coolsculpting.com.au","coolsculpting.com.au")</f>
        <v>coolsculpting.com.au</v>
      </c>
      <c r="C739" t="s">
        <v>420</v>
      </c>
      <c r="D739" t="s">
        <v>802</v>
      </c>
      <c r="F739">
        <v>2.2137505097677901E-8</v>
      </c>
      <c r="G739">
        <v>2370138</v>
      </c>
      <c r="H739">
        <v>10993399</v>
      </c>
      <c r="I739">
        <v>33690679</v>
      </c>
      <c r="J739">
        <v>3</v>
      </c>
    </row>
    <row r="740" spans="1:10" x14ac:dyDescent="0.25">
      <c r="A740" t="s">
        <v>10</v>
      </c>
      <c r="B740" s="1" t="str">
        <f>HYPERLINK("http://juvederm.az","juvederm.az")</f>
        <v>juvederm.az</v>
      </c>
      <c r="C740" t="s">
        <v>561</v>
      </c>
      <c r="D740" t="s">
        <v>911</v>
      </c>
      <c r="E740">
        <v>489723</v>
      </c>
      <c r="F740">
        <v>1.35619508474755E-8</v>
      </c>
      <c r="G740">
        <v>4377741</v>
      </c>
      <c r="H740">
        <v>9794822</v>
      </c>
      <c r="I740">
        <v>62639387</v>
      </c>
      <c r="J740">
        <v>3</v>
      </c>
    </row>
    <row r="741" spans="1:10" x14ac:dyDescent="0.25">
      <c r="A741" t="s">
        <v>10</v>
      </c>
      <c r="B741" s="1" t="str">
        <f>HYPERLINK("http://abbvie.be","abbvie.be")</f>
        <v>abbvie.be</v>
      </c>
      <c r="C741" t="s">
        <v>421</v>
      </c>
      <c r="D741" t="s">
        <v>803</v>
      </c>
      <c r="F741">
        <v>3.6098548065500303E-8</v>
      </c>
      <c r="G741">
        <v>1444093</v>
      </c>
      <c r="H741">
        <v>12555493</v>
      </c>
      <c r="I741">
        <v>16768027</v>
      </c>
      <c r="J741">
        <v>2</v>
      </c>
    </row>
    <row r="742" spans="1:10" x14ac:dyDescent="0.25">
      <c r="A742" t="s">
        <v>10</v>
      </c>
      <c r="B742" s="1" t="str">
        <f>HYPERLINK("http://allergan.be","allergan.be")</f>
        <v>allergan.be</v>
      </c>
      <c r="C742" t="s">
        <v>421</v>
      </c>
      <c r="D742" t="s">
        <v>803</v>
      </c>
      <c r="F742">
        <v>2.59090656045444E-8</v>
      </c>
      <c r="G742">
        <v>1988941</v>
      </c>
      <c r="H742">
        <v>12500657</v>
      </c>
      <c r="I742">
        <v>17352224</v>
      </c>
      <c r="J742">
        <v>3</v>
      </c>
    </row>
    <row r="743" spans="1:10" x14ac:dyDescent="0.25">
      <c r="A743" t="s">
        <v>10</v>
      </c>
      <c r="B743" s="1" t="str">
        <f>HYPERLINK("http://odyssea-pharma.be","odyssea-pharma.be")</f>
        <v>odyssea-pharma.be</v>
      </c>
      <c r="C743" t="s">
        <v>421</v>
      </c>
      <c r="D743" t="s">
        <v>803</v>
      </c>
      <c r="F743">
        <v>5.3026894503605298E-9</v>
      </c>
      <c r="G743">
        <v>23452918</v>
      </c>
      <c r="H743">
        <v>11374073</v>
      </c>
      <c r="I743">
        <v>30307183</v>
      </c>
      <c r="J743">
        <v>3</v>
      </c>
    </row>
    <row r="744" spans="1:10" x14ac:dyDescent="0.25">
      <c r="A744" t="s">
        <v>10</v>
      </c>
      <c r="B744" s="1" t="str">
        <f>HYPERLINK("http://spa-online.be","spa-online.be")</f>
        <v>spa-online.be</v>
      </c>
      <c r="C744" t="s">
        <v>421</v>
      </c>
      <c r="D744" t="s">
        <v>803</v>
      </c>
      <c r="F744">
        <v>5.3636214685347702E-9</v>
      </c>
      <c r="G744">
        <v>22624501</v>
      </c>
      <c r="H744">
        <v>10528707</v>
      </c>
      <c r="I744">
        <v>48651798</v>
      </c>
      <c r="J744">
        <v>2</v>
      </c>
    </row>
    <row r="745" spans="1:10" x14ac:dyDescent="0.25">
      <c r="A745" t="s">
        <v>10</v>
      </c>
      <c r="B745" s="1" t="str">
        <f>HYPERLINK("http://abbvie.bg","abbvie.bg")</f>
        <v>abbvie.bg</v>
      </c>
      <c r="C745" t="s">
        <v>422</v>
      </c>
      <c r="D745" t="s">
        <v>804</v>
      </c>
      <c r="F745">
        <v>1.1715705105908501E-8</v>
      </c>
      <c r="G745">
        <v>5356319</v>
      </c>
      <c r="H745">
        <v>12231349</v>
      </c>
      <c r="I745">
        <v>22470401</v>
      </c>
      <c r="J745">
        <v>2</v>
      </c>
    </row>
    <row r="746" spans="1:10" x14ac:dyDescent="0.25">
      <c r="A746" t="s">
        <v>10</v>
      </c>
      <c r="B746" s="1" t="str">
        <f>HYPERLINK("http://abbvie.com.br","abbvie.com.br")</f>
        <v>abbvie.com.br</v>
      </c>
      <c r="C746" t="s">
        <v>425</v>
      </c>
      <c r="D746" t="s">
        <v>806</v>
      </c>
      <c r="F746">
        <v>1.61774537329324E-8</v>
      </c>
      <c r="G746">
        <v>3501134</v>
      </c>
      <c r="H746">
        <v>12466846</v>
      </c>
      <c r="I746">
        <v>17794553</v>
      </c>
      <c r="J746">
        <v>2</v>
      </c>
    </row>
    <row r="747" spans="1:10" x14ac:dyDescent="0.25">
      <c r="A747" t="s">
        <v>10</v>
      </c>
      <c r="B747" s="1" t="str">
        <f>HYPERLINK("http://allergan.com.br","allergan.com.br")</f>
        <v>allergan.com.br</v>
      </c>
      <c r="C747" t="s">
        <v>425</v>
      </c>
      <c r="D747" t="s">
        <v>806</v>
      </c>
      <c r="F747">
        <v>4.2516306316686303E-8</v>
      </c>
      <c r="G747">
        <v>1139404</v>
      </c>
      <c r="H747">
        <v>14123869</v>
      </c>
      <c r="I747">
        <v>2160869</v>
      </c>
      <c r="J747">
        <v>3</v>
      </c>
    </row>
    <row r="748" spans="1:10" x14ac:dyDescent="0.25">
      <c r="A748" t="s">
        <v>10</v>
      </c>
      <c r="B748" s="1" t="str">
        <f>HYPERLINK("http://coolsculpting.com.br","coolsculpting.com.br")</f>
        <v>coolsculpting.com.br</v>
      </c>
      <c r="C748" t="s">
        <v>425</v>
      </c>
      <c r="D748" t="s">
        <v>806</v>
      </c>
      <c r="F748">
        <v>2.06927721631754E-8</v>
      </c>
      <c r="G748">
        <v>2557816</v>
      </c>
      <c r="H748">
        <v>10696620</v>
      </c>
      <c r="I748">
        <v>42375838</v>
      </c>
      <c r="J748">
        <v>3</v>
      </c>
    </row>
    <row r="749" spans="1:10" x14ac:dyDescent="0.25">
      <c r="A749" t="s">
        <v>10</v>
      </c>
      <c r="B749" s="1" t="str">
        <f>HYPERLINK("http://garantiacui.com.br","garantiacui.com.br")</f>
        <v>garantiacui.com.br</v>
      </c>
      <c r="C749" t="s">
        <v>425</v>
      </c>
      <c r="D749" t="s">
        <v>806</v>
      </c>
      <c r="J749">
        <v>2</v>
      </c>
    </row>
    <row r="750" spans="1:10" x14ac:dyDescent="0.25">
      <c r="A750" t="s">
        <v>10</v>
      </c>
      <c r="B750" s="1" t="str">
        <f>HYPERLINK("http://garantianatrelle.com.br","garantianatrelle.com.br")</f>
        <v>garantianatrelle.com.br</v>
      </c>
      <c r="C750" t="s">
        <v>425</v>
      </c>
      <c r="D750" t="s">
        <v>806</v>
      </c>
      <c r="F750">
        <v>5.3881531055240503E-9</v>
      </c>
      <c r="G750">
        <v>22277615</v>
      </c>
      <c r="H750">
        <v>10483830</v>
      </c>
      <c r="I750">
        <v>50850747</v>
      </c>
      <c r="J750">
        <v>2</v>
      </c>
    </row>
    <row r="751" spans="1:10" x14ac:dyDescent="0.25">
      <c r="A751" t="s">
        <v>10</v>
      </c>
      <c r="B751" s="1" t="str">
        <f>HYPERLINK("http://juvederm.com.br","juvederm.com.br")</f>
        <v>juvederm.com.br</v>
      </c>
      <c r="C751" t="s">
        <v>425</v>
      </c>
      <c r="D751" t="s">
        <v>806</v>
      </c>
      <c r="F751">
        <v>1.35982672301206E-8</v>
      </c>
      <c r="G751">
        <v>4362488</v>
      </c>
      <c r="H751">
        <v>12831246</v>
      </c>
      <c r="I751">
        <v>14411050</v>
      </c>
      <c r="J751">
        <v>3</v>
      </c>
    </row>
    <row r="752" spans="1:10" x14ac:dyDescent="0.25">
      <c r="A752" t="s">
        <v>10</v>
      </c>
      <c r="B752" s="1" t="str">
        <f>HYPERLINK("http://abbvie.ca","abbvie.ca")</f>
        <v>abbvie.ca</v>
      </c>
      <c r="C752" t="s">
        <v>428</v>
      </c>
      <c r="D752" t="s">
        <v>809</v>
      </c>
      <c r="F752">
        <v>1.67034998725114E-7</v>
      </c>
      <c r="G752">
        <v>232339</v>
      </c>
      <c r="H752">
        <v>16828758</v>
      </c>
      <c r="I752">
        <v>172510</v>
      </c>
      <c r="J752">
        <v>2</v>
      </c>
    </row>
    <row r="753" spans="1:10" x14ac:dyDescent="0.25">
      <c r="A753" t="s">
        <v>10</v>
      </c>
      <c r="B753" s="1" t="str">
        <f>HYPERLINK("http://adieudoublementon.ca","adieudoublementon.ca")</f>
        <v>adieudoublementon.ca</v>
      </c>
      <c r="C753" t="s">
        <v>428</v>
      </c>
      <c r="D753" t="s">
        <v>809</v>
      </c>
      <c r="J753">
        <v>2</v>
      </c>
    </row>
    <row r="754" spans="1:10" x14ac:dyDescent="0.25">
      <c r="A754" t="s">
        <v>10</v>
      </c>
      <c r="B754" s="1" t="str">
        <f>HYPERLINK("http://allergan.ca","allergan.ca")</f>
        <v>allergan.ca</v>
      </c>
      <c r="C754" t="s">
        <v>428</v>
      </c>
      <c r="D754" t="s">
        <v>809</v>
      </c>
      <c r="F754">
        <v>7.8933147533959697E-8</v>
      </c>
      <c r="G754">
        <v>529520</v>
      </c>
      <c r="H754">
        <v>13839700</v>
      </c>
      <c r="I754">
        <v>6075055</v>
      </c>
      <c r="J754">
        <v>3</v>
      </c>
    </row>
    <row r="755" spans="1:10" x14ac:dyDescent="0.25">
      <c r="A755" t="s">
        <v>10</v>
      </c>
      <c r="B755" s="1" t="str">
        <f>HYPERLINK("http://coolsculpting.ca","coolsculpting.ca")</f>
        <v>coolsculpting.ca</v>
      </c>
      <c r="C755" t="s">
        <v>428</v>
      </c>
      <c r="D755" t="s">
        <v>809</v>
      </c>
      <c r="F755">
        <v>1.87558726613409E-8</v>
      </c>
      <c r="G755">
        <v>2879472</v>
      </c>
      <c r="H755">
        <v>10696104</v>
      </c>
      <c r="I755">
        <v>42385680</v>
      </c>
      <c r="J755">
        <v>4</v>
      </c>
    </row>
    <row r="756" spans="1:10" x14ac:dyDescent="0.25">
      <c r="A756" t="s">
        <v>10</v>
      </c>
      <c r="B756" s="1" t="str">
        <f>HYPERLINK("http://lifecellcorp.ca","lifecellcorp.ca")</f>
        <v>lifecellcorp.ca</v>
      </c>
      <c r="C756" t="s">
        <v>428</v>
      </c>
      <c r="D756" t="s">
        <v>809</v>
      </c>
      <c r="F756">
        <v>4.8872687692475001E-9</v>
      </c>
      <c r="G756">
        <v>32851911</v>
      </c>
      <c r="H756">
        <v>10628095</v>
      </c>
      <c r="I756">
        <v>44041208</v>
      </c>
      <c r="J756">
        <v>3</v>
      </c>
    </row>
    <row r="757" spans="1:10" x14ac:dyDescent="0.25">
      <c r="A757" t="s">
        <v>10</v>
      </c>
      <c r="B757" s="1" t="str">
        <f>HYPERLINK("http://nomoredoublechin.ca","nomoredoublechin.ca")</f>
        <v>nomoredoublechin.ca</v>
      </c>
      <c r="C757" t="s">
        <v>428</v>
      </c>
      <c r="D757" t="s">
        <v>809</v>
      </c>
      <c r="F757">
        <v>4.7937935951636497E-9</v>
      </c>
      <c r="G757">
        <v>36333066</v>
      </c>
      <c r="H757">
        <v>7381925.5</v>
      </c>
      <c r="I757">
        <v>76277664</v>
      </c>
      <c r="J757">
        <v>2</v>
      </c>
    </row>
    <row r="758" spans="1:10" x14ac:dyDescent="0.25">
      <c r="A758" t="s">
        <v>10</v>
      </c>
      <c r="B758" s="1" t="str">
        <f>HYPERLINK("http://abbvie.ch","abbvie.ch")</f>
        <v>abbvie.ch</v>
      </c>
      <c r="C758" t="s">
        <v>429</v>
      </c>
      <c r="D758" t="s">
        <v>810</v>
      </c>
      <c r="F758">
        <v>4.67071975282369E-8</v>
      </c>
      <c r="G758">
        <v>1000448</v>
      </c>
      <c r="H758">
        <v>12603098</v>
      </c>
      <c r="I758">
        <v>16295467</v>
      </c>
      <c r="J758">
        <v>2</v>
      </c>
    </row>
    <row r="759" spans="1:10" x14ac:dyDescent="0.25">
      <c r="A759" t="s">
        <v>10</v>
      </c>
      <c r="B759" s="1" t="str">
        <f>HYPERLINK("http://allergan.ch","allergan.ch")</f>
        <v>allergan.ch</v>
      </c>
      <c r="C759" t="s">
        <v>429</v>
      </c>
      <c r="D759" t="s">
        <v>810</v>
      </c>
      <c r="F759">
        <v>3.8214990977606602E-8</v>
      </c>
      <c r="G759">
        <v>1354456</v>
      </c>
      <c r="H759">
        <v>12406138</v>
      </c>
      <c r="I759">
        <v>18669855</v>
      </c>
      <c r="J759">
        <v>3</v>
      </c>
    </row>
    <row r="760" spans="1:10" x14ac:dyDescent="0.25">
      <c r="A760" t="s">
        <v>10</v>
      </c>
      <c r="B760" s="1" t="str">
        <f>HYPERLINK("http://abbvie.cl","abbvie.cl")</f>
        <v>abbvie.cl</v>
      </c>
      <c r="C760" t="s">
        <v>430</v>
      </c>
      <c r="D760" t="s">
        <v>811</v>
      </c>
      <c r="F760">
        <v>1.05098463505625E-8</v>
      </c>
      <c r="G760">
        <v>6260927</v>
      </c>
      <c r="H760">
        <v>12197224</v>
      </c>
      <c r="I760">
        <v>23393059</v>
      </c>
      <c r="J760">
        <v>2</v>
      </c>
    </row>
    <row r="761" spans="1:10" x14ac:dyDescent="0.25">
      <c r="A761" t="s">
        <v>10</v>
      </c>
      <c r="B761" s="1" t="str">
        <f>HYPERLINK("http://allergan.cl","allergan.cl")</f>
        <v>allergan.cl</v>
      </c>
      <c r="C761" t="s">
        <v>430</v>
      </c>
      <c r="D761" t="s">
        <v>811</v>
      </c>
      <c r="F761">
        <v>3.7169296235505403E-8</v>
      </c>
      <c r="G761">
        <v>1393753</v>
      </c>
      <c r="H761">
        <v>12253821</v>
      </c>
      <c r="I761">
        <v>21923480</v>
      </c>
      <c r="J761">
        <v>3</v>
      </c>
    </row>
    <row r="762" spans="1:10" x14ac:dyDescent="0.25">
      <c r="A762" t="s">
        <v>10</v>
      </c>
      <c r="B762" s="1" t="str">
        <f>HYPERLINK("http://allerganmi.cl","allerganmi.cl")</f>
        <v>allerganmi.cl</v>
      </c>
      <c r="C762" t="s">
        <v>430</v>
      </c>
      <c r="D762" t="s">
        <v>811</v>
      </c>
      <c r="J762">
        <v>2</v>
      </c>
    </row>
    <row r="763" spans="1:10" x14ac:dyDescent="0.25">
      <c r="A763" t="s">
        <v>10</v>
      </c>
      <c r="B763" s="1" t="str">
        <f>HYPERLINK("http://abbvie.com.cn","abbvie.com.cn")</f>
        <v>abbvie.com.cn</v>
      </c>
      <c r="C763" t="s">
        <v>431</v>
      </c>
      <c r="D763" t="s">
        <v>812</v>
      </c>
      <c r="F763">
        <v>2.15614908414278E-8</v>
      </c>
      <c r="G763">
        <v>2441351</v>
      </c>
      <c r="H763">
        <v>12205930</v>
      </c>
      <c r="I763">
        <v>23132159</v>
      </c>
      <c r="J763">
        <v>2</v>
      </c>
    </row>
    <row r="764" spans="1:10" x14ac:dyDescent="0.25">
      <c r="A764" t="s">
        <v>10</v>
      </c>
      <c r="B764" s="1" t="str">
        <f>HYPERLINK("http://abbvie.com.co","abbvie.com.co")</f>
        <v>abbvie.com.co</v>
      </c>
      <c r="C764" t="s">
        <v>432</v>
      </c>
      <c r="F764">
        <v>1.47517512741163E-8</v>
      </c>
      <c r="G764">
        <v>3923364</v>
      </c>
      <c r="H764">
        <v>13110126</v>
      </c>
      <c r="I764">
        <v>12037139</v>
      </c>
      <c r="J764">
        <v>2</v>
      </c>
    </row>
    <row r="765" spans="1:10" x14ac:dyDescent="0.25">
      <c r="A765" t="s">
        <v>10</v>
      </c>
      <c r="B765" s="1" t="str">
        <f>HYPERLINK("http://allergan.com.co","allergan.com.co")</f>
        <v>allergan.com.co</v>
      </c>
      <c r="C765" t="s">
        <v>432</v>
      </c>
      <c r="F765">
        <v>3.7218027578450097E-8</v>
      </c>
      <c r="G765">
        <v>1391695</v>
      </c>
      <c r="H765">
        <v>12253819</v>
      </c>
      <c r="I765">
        <v>21923503</v>
      </c>
      <c r="J765">
        <v>3</v>
      </c>
    </row>
    <row r="766" spans="1:10" x14ac:dyDescent="0.25">
      <c r="A766" t="s">
        <v>10</v>
      </c>
      <c r="B766" s="1" t="str">
        <f>HYPERLINK("http://allerganmi.com.co","allerganmi.com.co")</f>
        <v>allerganmi.com.co</v>
      </c>
      <c r="C766" t="s">
        <v>432</v>
      </c>
      <c r="J766">
        <v>2</v>
      </c>
    </row>
    <row r="767" spans="1:10" x14ac:dyDescent="0.25">
      <c r="A767" t="s">
        <v>10</v>
      </c>
      <c r="B767" s="1" t="str">
        <f>HYPERLINK("http://abbvie.com","abbvie.com")</f>
        <v>abbvie.com</v>
      </c>
      <c r="C767" t="s">
        <v>433</v>
      </c>
      <c r="E767">
        <v>7735</v>
      </c>
      <c r="F767">
        <v>3.4046122148269702E-6</v>
      </c>
      <c r="G767">
        <v>11872</v>
      </c>
      <c r="H767">
        <v>17390752</v>
      </c>
      <c r="I767">
        <v>19865</v>
      </c>
      <c r="J767">
        <v>1</v>
      </c>
    </row>
    <row r="768" spans="1:10" x14ac:dyDescent="0.25">
      <c r="A768" t="s">
        <v>10</v>
      </c>
      <c r="B768" s="1" t="str">
        <f>HYPERLINK("http://abbviecampus.com","abbviecampus.com")</f>
        <v>abbviecampus.com</v>
      </c>
      <c r="C768" t="s">
        <v>433</v>
      </c>
      <c r="F768">
        <v>4.4756696826809403E-9</v>
      </c>
      <c r="G768">
        <v>63269456</v>
      </c>
      <c r="H768">
        <v>10720245</v>
      </c>
      <c r="I768">
        <v>41944817</v>
      </c>
      <c r="J768">
        <v>2</v>
      </c>
    </row>
    <row r="769" spans="1:10" x14ac:dyDescent="0.25">
      <c r="A769" t="s">
        <v>10</v>
      </c>
      <c r="B769" s="1" t="str">
        <f>HYPERLINK("http://abbviecfscholarship.com","abbviecfscholarship.com")</f>
        <v>abbviecfscholarship.com</v>
      </c>
      <c r="C769" t="s">
        <v>433</v>
      </c>
      <c r="F769">
        <v>2.9669642051579501E-8</v>
      </c>
      <c r="G769">
        <v>1735133</v>
      </c>
      <c r="H769">
        <v>13488703</v>
      </c>
      <c r="I769">
        <v>9990148</v>
      </c>
      <c r="J769">
        <v>3</v>
      </c>
    </row>
    <row r="770" spans="1:10" x14ac:dyDescent="0.25">
      <c r="A770" t="s">
        <v>10</v>
      </c>
      <c r="B770" s="1" t="str">
        <f>HYPERLINK("http://abbviemedicalresearch.com","abbviemedicalresearch.com")</f>
        <v>abbviemedicalresearch.com</v>
      </c>
      <c r="C770" t="s">
        <v>433</v>
      </c>
      <c r="F770">
        <v>1.6870239935681501E-8</v>
      </c>
      <c r="G770">
        <v>3316342</v>
      </c>
      <c r="H770">
        <v>12993283</v>
      </c>
      <c r="I770">
        <v>12832927</v>
      </c>
      <c r="J770">
        <v>2</v>
      </c>
    </row>
    <row r="771" spans="1:10" x14ac:dyDescent="0.25">
      <c r="A771" t="s">
        <v>10</v>
      </c>
      <c r="B771" s="1" t="str">
        <f>HYPERLINK("http://abbvienet.com","abbvienet.com")</f>
        <v>abbvienet.com</v>
      </c>
      <c r="C771" t="s">
        <v>433</v>
      </c>
      <c r="E771">
        <v>537973</v>
      </c>
      <c r="F771">
        <v>6.0776643992528603E-9</v>
      </c>
      <c r="G771">
        <v>16220597</v>
      </c>
      <c r="H771">
        <v>12215414</v>
      </c>
      <c r="I771">
        <v>22894846</v>
      </c>
      <c r="J771">
        <v>2</v>
      </c>
    </row>
    <row r="772" spans="1:10" x14ac:dyDescent="0.25">
      <c r="A772" t="s">
        <v>10</v>
      </c>
      <c r="B772" s="1" t="str">
        <f>HYPERLINK("http://aestheticsmba.com","aestheticsmba.com")</f>
        <v>aestheticsmba.com</v>
      </c>
      <c r="C772" t="s">
        <v>433</v>
      </c>
      <c r="F772">
        <v>3.9737424939996398E-8</v>
      </c>
      <c r="G772">
        <v>1299904</v>
      </c>
      <c r="H772">
        <v>10965441</v>
      </c>
      <c r="I772">
        <v>34234531</v>
      </c>
      <c r="J772">
        <v>2</v>
      </c>
    </row>
    <row r="773" spans="1:10" x14ac:dyDescent="0.25">
      <c r="A773" t="s">
        <v>10</v>
      </c>
      <c r="B773" s="1" t="str">
        <f>HYPERLINK("http://akarna.com","akarna.com")</f>
        <v>akarna.com</v>
      </c>
      <c r="C773" t="s">
        <v>433</v>
      </c>
      <c r="F773">
        <v>6.7788973027946398E-9</v>
      </c>
      <c r="G773">
        <v>13031318</v>
      </c>
      <c r="H773">
        <v>12441451</v>
      </c>
      <c r="I773">
        <v>18127665</v>
      </c>
      <c r="J773">
        <v>3</v>
      </c>
    </row>
    <row r="774" spans="1:10" x14ac:dyDescent="0.25">
      <c r="A774" t="s">
        <v>10</v>
      </c>
      <c r="B774" s="1" t="str">
        <f>HYPERLINK("http://allergan.com","allergan.com")</f>
        <v>allergan.com</v>
      </c>
      <c r="C774" t="s">
        <v>433</v>
      </c>
      <c r="E774">
        <v>13562</v>
      </c>
      <c r="F774">
        <v>1.57024908294135E-6</v>
      </c>
      <c r="G774">
        <v>25006</v>
      </c>
      <c r="H774">
        <v>17331118</v>
      </c>
      <c r="I774">
        <v>24800</v>
      </c>
      <c r="J774">
        <v>2</v>
      </c>
    </row>
    <row r="775" spans="1:10" x14ac:dyDescent="0.25">
      <c r="A775" t="s">
        <v>10</v>
      </c>
      <c r="B775" s="1" t="str">
        <f>HYPERLINK("http://allerganaestheticsgiftcard.com","allerganaestheticsgiftcard.com")</f>
        <v>allerganaestheticsgiftcard.com</v>
      </c>
      <c r="C775" t="s">
        <v>433</v>
      </c>
      <c r="F775">
        <v>1.0382585513420899E-8</v>
      </c>
      <c r="G775">
        <v>6374776</v>
      </c>
      <c r="H775">
        <v>12614599</v>
      </c>
      <c r="I775">
        <v>16146269</v>
      </c>
      <c r="J775">
        <v>2</v>
      </c>
    </row>
    <row r="776" spans="1:10" x14ac:dyDescent="0.25">
      <c r="A776" t="s">
        <v>10</v>
      </c>
      <c r="B776" s="1" t="str">
        <f>HYPERLINK("http://allergancustomersupport.com","allergancustomersupport.com")</f>
        <v>allergancustomersupport.com</v>
      </c>
      <c r="C776" t="s">
        <v>433</v>
      </c>
      <c r="J776">
        <v>2</v>
      </c>
    </row>
    <row r="777" spans="1:10" x14ac:dyDescent="0.25">
      <c r="A777" t="s">
        <v>10</v>
      </c>
      <c r="B777" s="1" t="str">
        <f>HYPERLINK("http://allerganindia.com","allerganindia.com")</f>
        <v>allerganindia.com</v>
      </c>
      <c r="C777" t="s">
        <v>433</v>
      </c>
      <c r="F777">
        <v>5.1680877803493197E-9</v>
      </c>
      <c r="G777">
        <v>25758229</v>
      </c>
      <c r="H777">
        <v>12623705</v>
      </c>
      <c r="I777">
        <v>16050551</v>
      </c>
      <c r="J777">
        <v>3</v>
      </c>
    </row>
    <row r="778" spans="1:10" x14ac:dyDescent="0.25">
      <c r="A778" t="s">
        <v>10</v>
      </c>
      <c r="B778" s="1" t="str">
        <f>HYPERLINK("http://aptalispharma.com","aptalispharma.com")</f>
        <v>aptalispharma.com</v>
      </c>
      <c r="C778" t="s">
        <v>433</v>
      </c>
      <c r="F778">
        <v>1.0055747071659099E-8</v>
      </c>
      <c r="G778">
        <v>6699698</v>
      </c>
      <c r="H778">
        <v>14375168</v>
      </c>
      <c r="I778">
        <v>1228894</v>
      </c>
      <c r="J778">
        <v>3</v>
      </c>
    </row>
    <row r="779" spans="1:10" x14ac:dyDescent="0.25">
      <c r="A779" t="s">
        <v>10</v>
      </c>
      <c r="B779" s="1" t="str">
        <f>HYPERLINK("http://aquesys.com","aquesys.com")</f>
        <v>aquesys.com</v>
      </c>
      <c r="C779" t="s">
        <v>433</v>
      </c>
      <c r="F779">
        <v>1.5563614511047799E-8</v>
      </c>
      <c r="G779">
        <v>3666411</v>
      </c>
      <c r="H779">
        <v>14422171</v>
      </c>
      <c r="I779">
        <v>1085631</v>
      </c>
      <c r="J779">
        <v>3</v>
      </c>
    </row>
    <row r="780" spans="1:10" x14ac:dyDescent="0.25">
      <c r="A780" t="s">
        <v>10</v>
      </c>
      <c r="B780" s="1" t="str">
        <f>HYPERLINK("http://cllbim.com","cllbim.com")</f>
        <v>cllbim.com</v>
      </c>
      <c r="C780" t="s">
        <v>433</v>
      </c>
      <c r="J780">
        <v>2</v>
      </c>
    </row>
    <row r="781" spans="1:10" x14ac:dyDescent="0.25">
      <c r="A781" t="s">
        <v>10</v>
      </c>
      <c r="B781" s="1" t="str">
        <f>HYPERLINK("http://commercialwebhostingredirect.com","commercialwebhostingredirect.com")</f>
        <v>commercialwebhostingredirect.com</v>
      </c>
      <c r="C781" t="s">
        <v>433</v>
      </c>
      <c r="J781">
        <v>2</v>
      </c>
    </row>
    <row r="782" spans="1:10" x14ac:dyDescent="0.25">
      <c r="A782" t="s">
        <v>10</v>
      </c>
      <c r="B782" s="1" t="str">
        <f>HYPERLINK("http://coolsculpting.com","coolsculpting.com")</f>
        <v>coolsculpting.com</v>
      </c>
      <c r="C782" t="s">
        <v>433</v>
      </c>
      <c r="E782">
        <v>138553</v>
      </c>
      <c r="F782">
        <v>6.0066890553073305E-7</v>
      </c>
      <c r="G782">
        <v>63651</v>
      </c>
      <c r="H782">
        <v>14439031</v>
      </c>
      <c r="I782">
        <v>1065559</v>
      </c>
      <c r="J782">
        <v>3</v>
      </c>
    </row>
    <row r="783" spans="1:10" x14ac:dyDescent="0.25">
      <c r="A783" t="s">
        <v>10</v>
      </c>
      <c r="B783" s="1" t="str">
        <f>HYPERLINK("http://coolsculptinghcp.com","coolsculptinghcp.com")</f>
        <v>coolsculptinghcp.com</v>
      </c>
      <c r="C783" t="s">
        <v>433</v>
      </c>
      <c r="F783">
        <v>7.6787769654451995E-8</v>
      </c>
      <c r="G783">
        <v>545693</v>
      </c>
      <c r="H783">
        <v>13633420</v>
      </c>
      <c r="I783">
        <v>9615860</v>
      </c>
      <c r="J783">
        <v>2</v>
      </c>
    </row>
    <row r="784" spans="1:10" x14ac:dyDescent="0.25">
      <c r="A784" t="s">
        <v>10</v>
      </c>
      <c r="B784" s="1" t="str">
        <f>HYPERLINK("http://djsantibodies.com","djsantibodies.com")</f>
        <v>djsantibodies.com</v>
      </c>
      <c r="C784" t="s">
        <v>433</v>
      </c>
      <c r="F784">
        <v>6.5989223379328701E-9</v>
      </c>
      <c r="G784">
        <v>13681172</v>
      </c>
      <c r="H784">
        <v>13178836</v>
      </c>
      <c r="I784">
        <v>11688199</v>
      </c>
      <c r="J784">
        <v>3</v>
      </c>
    </row>
    <row r="785" spans="1:10" x14ac:dyDescent="0.25">
      <c r="A785" t="s">
        <v>10</v>
      </c>
      <c r="B785" s="1" t="str">
        <f>HYPERLINK("http://durysta.com","durysta.com")</f>
        <v>durysta.com</v>
      </c>
      <c r="C785" t="s">
        <v>433</v>
      </c>
      <c r="F785">
        <v>1.3650271050125301E-8</v>
      </c>
      <c r="G785">
        <v>4341217</v>
      </c>
      <c r="H785">
        <v>13174141</v>
      </c>
      <c r="I785">
        <v>11711400</v>
      </c>
      <c r="J785">
        <v>4</v>
      </c>
    </row>
    <row r="786" spans="1:10" x14ac:dyDescent="0.25">
      <c r="A786" t="s">
        <v>10</v>
      </c>
      <c r="B786" s="1" t="str">
        <f>HYPERLINK("http://e-dermatologija.com","e-dermatologija.com")</f>
        <v>e-dermatologija.com</v>
      </c>
      <c r="C786" t="s">
        <v>433</v>
      </c>
      <c r="F786">
        <v>4.8184986060526102E-9</v>
      </c>
      <c r="G786">
        <v>35325457</v>
      </c>
      <c r="H786">
        <v>10318200</v>
      </c>
      <c r="I786">
        <v>58397998</v>
      </c>
      <c r="J786">
        <v>2</v>
      </c>
    </row>
    <row r="787" spans="1:10" x14ac:dyDescent="0.25">
      <c r="A787" t="s">
        <v>10</v>
      </c>
      <c r="B787" s="1" t="str">
        <f>HYPERLINK("http://earfold.com","earfold.com")</f>
        <v>earfold.com</v>
      </c>
      <c r="C787" t="s">
        <v>433</v>
      </c>
      <c r="F787">
        <v>6.8252977144877902E-9</v>
      </c>
      <c r="G787">
        <v>12877350</v>
      </c>
      <c r="H787">
        <v>11059007</v>
      </c>
      <c r="I787">
        <v>32694382</v>
      </c>
      <c r="J787">
        <v>2</v>
      </c>
    </row>
    <row r="788" spans="1:10" x14ac:dyDescent="0.25">
      <c r="A788" t="s">
        <v>10</v>
      </c>
      <c r="B788" s="1" t="str">
        <f>HYPERLINK("http://envymedical.com","envymedical.com")</f>
        <v>envymedical.com</v>
      </c>
      <c r="C788" t="s">
        <v>433</v>
      </c>
      <c r="F788">
        <v>2.5354454860633099E-8</v>
      </c>
      <c r="G788">
        <v>2035029</v>
      </c>
      <c r="H788">
        <v>13345590</v>
      </c>
      <c r="I788">
        <v>10650899</v>
      </c>
      <c r="J788">
        <v>3</v>
      </c>
    </row>
    <row r="789" spans="1:10" x14ac:dyDescent="0.25">
      <c r="A789" t="s">
        <v>10</v>
      </c>
      <c r="B789" s="1" t="str">
        <f>HYPERLINK("http://exemplarpharm.com","exemplarpharm.com")</f>
        <v>exemplarpharm.com</v>
      </c>
      <c r="C789" t="s">
        <v>433</v>
      </c>
      <c r="J789">
        <v>3</v>
      </c>
    </row>
    <row r="790" spans="1:10" x14ac:dyDescent="0.25">
      <c r="A790" t="s">
        <v>10</v>
      </c>
      <c r="B790" s="1" t="str">
        <f>HYPERLINK("http://forsightlabs.com","forsightlabs.com")</f>
        <v>forsightlabs.com</v>
      </c>
      <c r="C790" t="s">
        <v>433</v>
      </c>
      <c r="F790">
        <v>7.7579391868502398E-9</v>
      </c>
      <c r="G790">
        <v>10419719</v>
      </c>
      <c r="H790">
        <v>13821365</v>
      </c>
      <c r="I790">
        <v>6141374</v>
      </c>
      <c r="J790">
        <v>3</v>
      </c>
    </row>
    <row r="791" spans="1:10" x14ac:dyDescent="0.25">
      <c r="A791" t="s">
        <v>10</v>
      </c>
      <c r="B791" s="1" t="str">
        <f>HYPERLINK("http://furiex.com","furiex.com")</f>
        <v>furiex.com</v>
      </c>
      <c r="C791" t="s">
        <v>433</v>
      </c>
      <c r="F791">
        <v>8.0486382969724796E-9</v>
      </c>
      <c r="G791">
        <v>9832682</v>
      </c>
      <c r="H791">
        <v>13776530</v>
      </c>
      <c r="I791">
        <v>6553379</v>
      </c>
      <c r="J791">
        <v>5</v>
      </c>
    </row>
    <row r="792" spans="1:10" x14ac:dyDescent="0.25">
      <c r="A792" t="s">
        <v>10</v>
      </c>
      <c r="B792" s="1" t="str">
        <f>HYPERLINK("http://garantiacui.com","garantiacui.com")</f>
        <v>garantiacui.com</v>
      </c>
      <c r="C792" t="s">
        <v>433</v>
      </c>
      <c r="J792">
        <v>2</v>
      </c>
    </row>
    <row r="793" spans="1:10" x14ac:dyDescent="0.25">
      <c r="A793" t="s">
        <v>10</v>
      </c>
      <c r="B793" s="1" t="str">
        <f>HYPERLINK("http://garantianatrelle.com","garantianatrelle.com")</f>
        <v>garantianatrelle.com</v>
      </c>
      <c r="C793" t="s">
        <v>433</v>
      </c>
      <c r="F793">
        <v>4.44380395335525E-9</v>
      </c>
      <c r="G793">
        <v>81736109</v>
      </c>
      <c r="H793">
        <v>0</v>
      </c>
      <c r="I793">
        <v>82183236</v>
      </c>
      <c r="J793">
        <v>2</v>
      </c>
    </row>
    <row r="794" spans="1:10" x14ac:dyDescent="0.25">
      <c r="A794" t="s">
        <v>10</v>
      </c>
      <c r="B794" s="1" t="str">
        <f>HYPERLINK("http://gengraf.com","gengraf.com")</f>
        <v>gengraf.com</v>
      </c>
      <c r="C794" t="s">
        <v>433</v>
      </c>
      <c r="E794">
        <v>648731</v>
      </c>
      <c r="F794">
        <v>5.8732134776417399E-9</v>
      </c>
      <c r="G794">
        <v>17545767</v>
      </c>
      <c r="H794">
        <v>11395508</v>
      </c>
      <c r="I794">
        <v>30237278</v>
      </c>
      <c r="J794">
        <v>2</v>
      </c>
    </row>
    <row r="795" spans="1:10" x14ac:dyDescent="0.25">
      <c r="A795" t="s">
        <v>10</v>
      </c>
      <c r="B795" s="1" t="str">
        <f>HYPERLINK("http://kellerfunnel.com","kellerfunnel.com")</f>
        <v>kellerfunnel.com</v>
      </c>
      <c r="C795" t="s">
        <v>433</v>
      </c>
      <c r="F795">
        <v>2.5985101560572499E-8</v>
      </c>
      <c r="G795">
        <v>1982787</v>
      </c>
      <c r="H795">
        <v>13772383</v>
      </c>
      <c r="I795">
        <v>6662671</v>
      </c>
      <c r="J795">
        <v>3</v>
      </c>
    </row>
    <row r="796" spans="1:10" x14ac:dyDescent="0.25">
      <c r="A796" t="s">
        <v>10</v>
      </c>
      <c r="B796" s="1" t="str">
        <f>HYPERLINK("http://kurikaesuitaiodeki.com","kurikaesuitaiodeki.com")</f>
        <v>kurikaesuitaiodeki.com</v>
      </c>
      <c r="C796" t="s">
        <v>433</v>
      </c>
      <c r="F796">
        <v>4.7430055529907997E-9</v>
      </c>
      <c r="G796">
        <v>38655597</v>
      </c>
      <c r="H796">
        <v>12388765</v>
      </c>
      <c r="I796">
        <v>19070490</v>
      </c>
      <c r="J796">
        <v>2</v>
      </c>
    </row>
    <row r="797" spans="1:10" x14ac:dyDescent="0.25">
      <c r="A797" t="s">
        <v>10</v>
      </c>
      <c r="B797" s="1" t="str">
        <f>HYPERLINK("http://managepd.com","managepd.com")</f>
        <v>managepd.com</v>
      </c>
      <c r="C797" t="s">
        <v>433</v>
      </c>
      <c r="F797">
        <v>7.2921705343626797E-9</v>
      </c>
      <c r="G797">
        <v>11499797</v>
      </c>
      <c r="H797">
        <v>12206084</v>
      </c>
      <c r="I797">
        <v>23127895</v>
      </c>
      <c r="J797">
        <v>2</v>
      </c>
    </row>
    <row r="798" spans="1:10" x14ac:dyDescent="0.25">
      <c r="A798" t="s">
        <v>10</v>
      </c>
      <c r="B798" s="1" t="str">
        <f>HYPERLINK("http://mavupharma.com","mavupharma.com")</f>
        <v>mavupharma.com</v>
      </c>
      <c r="C798" t="s">
        <v>433</v>
      </c>
      <c r="F798">
        <v>5.2262170587604503E-9</v>
      </c>
      <c r="G798">
        <v>24639919</v>
      </c>
      <c r="H798">
        <v>11030151</v>
      </c>
      <c r="I798">
        <v>33102036</v>
      </c>
      <c r="J798">
        <v>3</v>
      </c>
    </row>
    <row r="799" spans="1:10" x14ac:dyDescent="0.25">
      <c r="A799" t="s">
        <v>10</v>
      </c>
      <c r="B799" s="1" t="str">
        <f>HYPERLINK("http://minastrin24.com","minastrin24.com")</f>
        <v>minastrin24.com</v>
      </c>
      <c r="C799" t="s">
        <v>433</v>
      </c>
      <c r="F799">
        <v>6.5180414860090597E-9</v>
      </c>
      <c r="G799">
        <v>14003634</v>
      </c>
      <c r="H799">
        <v>13293018</v>
      </c>
      <c r="I799">
        <v>10867753</v>
      </c>
      <c r="J799">
        <v>2</v>
      </c>
    </row>
    <row r="800" spans="1:10" x14ac:dyDescent="0.25">
      <c r="A800" t="s">
        <v>10</v>
      </c>
      <c r="B800" s="1" t="str">
        <f>HYPERLINK("http://motustx.com","motustx.com")</f>
        <v>motustx.com</v>
      </c>
      <c r="C800" t="s">
        <v>433</v>
      </c>
      <c r="F800">
        <v>6.4752576776443003E-9</v>
      </c>
      <c r="G800">
        <v>14182660</v>
      </c>
      <c r="H800">
        <v>13162339</v>
      </c>
      <c r="I800">
        <v>11774793</v>
      </c>
      <c r="J800">
        <v>3</v>
      </c>
    </row>
    <row r="801" spans="1:10" x14ac:dyDescent="0.25">
      <c r="A801" t="s">
        <v>10</v>
      </c>
      <c r="B801" s="1" t="str">
        <f>HYPERLINK("http://mytarka.com","mytarka.com")</f>
        <v>mytarka.com</v>
      </c>
      <c r="C801" t="s">
        <v>433</v>
      </c>
      <c r="E801">
        <v>711258</v>
      </c>
      <c r="F801">
        <v>4.5377023149906998E-9</v>
      </c>
      <c r="G801">
        <v>53609062</v>
      </c>
      <c r="H801">
        <v>10539923</v>
      </c>
      <c r="I801">
        <v>47286236</v>
      </c>
      <c r="J801">
        <v>2</v>
      </c>
    </row>
    <row r="802" spans="1:10" x14ac:dyDescent="0.25">
      <c r="A802" t="s">
        <v>10</v>
      </c>
      <c r="B802" s="1" t="str">
        <f>HYPERLINK("http://nagabiku-yotu.com","nagabiku-yotu.com")</f>
        <v>nagabiku-yotu.com</v>
      </c>
      <c r="C802" t="s">
        <v>433</v>
      </c>
      <c r="F802">
        <v>5.1373492392798398E-9</v>
      </c>
      <c r="G802">
        <v>26316056</v>
      </c>
      <c r="H802">
        <v>12676060</v>
      </c>
      <c r="I802">
        <v>15552802</v>
      </c>
      <c r="J802">
        <v>2</v>
      </c>
    </row>
    <row r="803" spans="1:10" x14ac:dyDescent="0.25">
      <c r="A803" t="s">
        <v>10</v>
      </c>
      <c r="B803" s="1" t="str">
        <f>HYPERLINK("http://natrellesurgeon.com","natrellesurgeon.com")</f>
        <v>natrellesurgeon.com</v>
      </c>
      <c r="C803" t="s">
        <v>433</v>
      </c>
      <c r="F803">
        <v>1.8794066425148899E-8</v>
      </c>
      <c r="G803">
        <v>2872650</v>
      </c>
      <c r="H803">
        <v>12449086</v>
      </c>
      <c r="I803">
        <v>18031496</v>
      </c>
      <c r="J803">
        <v>2</v>
      </c>
    </row>
    <row r="804" spans="1:10" x14ac:dyDescent="0.25">
      <c r="A804" t="s">
        <v>10</v>
      </c>
      <c r="B804" s="1" t="str">
        <f>HYPERLINK("http://niaspan.com","niaspan.com")</f>
        <v>niaspan.com</v>
      </c>
      <c r="C804" t="s">
        <v>433</v>
      </c>
      <c r="E804">
        <v>406354</v>
      </c>
      <c r="F804">
        <v>1.5112788298032301E-8</v>
      </c>
      <c r="G804">
        <v>3803656</v>
      </c>
      <c r="H804">
        <v>14585355</v>
      </c>
      <c r="I804">
        <v>701818</v>
      </c>
      <c r="J804">
        <v>2</v>
      </c>
    </row>
    <row r="805" spans="1:10" x14ac:dyDescent="0.25">
      <c r="A805" t="s">
        <v>10</v>
      </c>
      <c r="B805" s="1" t="str">
        <f>HYPERLINK("http://oculeve.com","oculeve.com")</f>
        <v>oculeve.com</v>
      </c>
      <c r="C805" t="s">
        <v>433</v>
      </c>
      <c r="F805">
        <v>6.7446919716674002E-9</v>
      </c>
      <c r="G805">
        <v>13146975</v>
      </c>
      <c r="H805">
        <v>13387078</v>
      </c>
      <c r="I805">
        <v>10401721</v>
      </c>
      <c r="J805">
        <v>3</v>
      </c>
    </row>
    <row r="806" spans="1:10" x14ac:dyDescent="0.25">
      <c r="A806" t="s">
        <v>10</v>
      </c>
      <c r="B806" s="1" t="str">
        <f>HYPERLINK("http://pharmacyclics.com","pharmacyclics.com")</f>
        <v>pharmacyclics.com</v>
      </c>
      <c r="C806" t="s">
        <v>433</v>
      </c>
      <c r="E806">
        <v>140888</v>
      </c>
      <c r="F806">
        <v>8.2144027802154696E-8</v>
      </c>
      <c r="G806">
        <v>507978</v>
      </c>
      <c r="H806">
        <v>14536548</v>
      </c>
      <c r="I806">
        <v>779521</v>
      </c>
      <c r="J806">
        <v>2</v>
      </c>
    </row>
    <row r="807" spans="1:10" x14ac:dyDescent="0.25">
      <c r="A807" t="s">
        <v>10</v>
      </c>
      <c r="B807" s="1" t="str">
        <f>HYPERLINK("http://quliptalive.com","quliptalive.com")</f>
        <v>quliptalive.com</v>
      </c>
      <c r="C807" t="s">
        <v>433</v>
      </c>
      <c r="F807">
        <v>4.5863153603787196E-9</v>
      </c>
      <c r="G807">
        <v>48726538</v>
      </c>
      <c r="H807">
        <v>9528145</v>
      </c>
      <c r="I807">
        <v>65316623</v>
      </c>
      <c r="J807">
        <v>2</v>
      </c>
    </row>
    <row r="808" spans="1:10" x14ac:dyDescent="0.25">
      <c r="A808" t="s">
        <v>10</v>
      </c>
      <c r="B808" s="1" t="str">
        <f>HYPERLINK("http://reprosrx.com","reprosrx.com")</f>
        <v>reprosrx.com</v>
      </c>
      <c r="C808" t="s">
        <v>433</v>
      </c>
      <c r="F808">
        <v>9.67435906109666E-9</v>
      </c>
      <c r="G808">
        <v>7110928</v>
      </c>
      <c r="H808">
        <v>14073849</v>
      </c>
      <c r="I808">
        <v>2968484</v>
      </c>
      <c r="J808">
        <v>3</v>
      </c>
    </row>
    <row r="809" spans="1:10" x14ac:dyDescent="0.25">
      <c r="A809" t="s">
        <v>10</v>
      </c>
      <c r="B809" s="1" t="str">
        <f>HYPERLINK("http://soliton.com","soliton.com")</f>
        <v>soliton.com</v>
      </c>
      <c r="C809" t="s">
        <v>433</v>
      </c>
      <c r="F809">
        <v>1.9867068152226201E-8</v>
      </c>
      <c r="G809">
        <v>2680047</v>
      </c>
      <c r="H809">
        <v>14165043</v>
      </c>
      <c r="I809">
        <v>1823177</v>
      </c>
      <c r="J809">
        <v>3</v>
      </c>
    </row>
    <row r="810" spans="1:10" x14ac:dyDescent="0.25">
      <c r="A810" t="s">
        <v>10</v>
      </c>
      <c r="B810" s="1" t="str">
        <f>HYPERLINK("http://syndesitherapeutics.com","syndesitherapeutics.com")</f>
        <v>syndesitherapeutics.com</v>
      </c>
      <c r="C810" t="s">
        <v>433</v>
      </c>
      <c r="F810">
        <v>9.2546285405442708E-9</v>
      </c>
      <c r="G810">
        <v>7632393</v>
      </c>
      <c r="H810">
        <v>13279849</v>
      </c>
      <c r="I810">
        <v>10915885</v>
      </c>
      <c r="J810">
        <v>3</v>
      </c>
    </row>
    <row r="811" spans="1:10" x14ac:dyDescent="0.25">
      <c r="A811" t="s">
        <v>10</v>
      </c>
      <c r="B811" s="1" t="str">
        <f>HYPERLINK("http://transderminc.com","transderminc.com")</f>
        <v>transderminc.com</v>
      </c>
      <c r="C811" t="s">
        <v>433</v>
      </c>
      <c r="F811">
        <v>1.17990241871837E-8</v>
      </c>
      <c r="G811">
        <v>5302831</v>
      </c>
      <c r="H811">
        <v>13432458</v>
      </c>
      <c r="I811">
        <v>10277159</v>
      </c>
      <c r="J811">
        <v>3</v>
      </c>
    </row>
    <row r="812" spans="1:10" x14ac:dyDescent="0.25">
      <c r="A812" t="s">
        <v>10</v>
      </c>
      <c r="B812" s="1" t="str">
        <f>HYPERLINK("http://trilipix.com","trilipix.com")</f>
        <v>trilipix.com</v>
      </c>
      <c r="C812" t="s">
        <v>433</v>
      </c>
      <c r="E812">
        <v>865516</v>
      </c>
      <c r="F812">
        <v>6.0201021209688E-9</v>
      </c>
      <c r="G812">
        <v>16561358</v>
      </c>
      <c r="H812">
        <v>12410878</v>
      </c>
      <c r="I812">
        <v>18598372</v>
      </c>
      <c r="J812">
        <v>2</v>
      </c>
    </row>
    <row r="813" spans="1:10" x14ac:dyDescent="0.25">
      <c r="A813" t="s">
        <v>10</v>
      </c>
      <c r="B813" s="1" t="str">
        <f>HYPERLINK("http://ubrelvylive.com","ubrelvylive.com")</f>
        <v>ubrelvylive.com</v>
      </c>
      <c r="C813" t="s">
        <v>433</v>
      </c>
      <c r="F813">
        <v>4.8846704954636898E-9</v>
      </c>
      <c r="G813">
        <v>32932385</v>
      </c>
      <c r="H813">
        <v>9528312</v>
      </c>
      <c r="I813">
        <v>65314997</v>
      </c>
      <c r="J813">
        <v>2</v>
      </c>
    </row>
    <row r="814" spans="1:10" x14ac:dyDescent="0.25">
      <c r="A814" t="s">
        <v>10</v>
      </c>
      <c r="B814" s="1" t="str">
        <f>HYPERLINK("http://venclextabim.com","venclextabim.com")</f>
        <v>venclextabim.com</v>
      </c>
      <c r="C814" t="s">
        <v>433</v>
      </c>
      <c r="J814">
        <v>2</v>
      </c>
    </row>
    <row r="815" spans="1:10" x14ac:dyDescent="0.25">
      <c r="A815" t="s">
        <v>10</v>
      </c>
      <c r="B815" s="1" t="str">
        <f>HYPERLINK("http://vicepttx.com","vicepttx.com")</f>
        <v>vicepttx.com</v>
      </c>
      <c r="C815" t="s">
        <v>433</v>
      </c>
      <c r="F815">
        <v>6.8483394622231298E-9</v>
      </c>
      <c r="G815">
        <v>12800782</v>
      </c>
      <c r="H815">
        <v>12349170</v>
      </c>
      <c r="I815">
        <v>19778925</v>
      </c>
      <c r="J815">
        <v>5</v>
      </c>
    </row>
    <row r="816" spans="1:10" x14ac:dyDescent="0.25">
      <c r="A816" t="s">
        <v>10</v>
      </c>
      <c r="B816" s="1" t="str">
        <f>HYPERLINK("http://youandisupport.com","youandisupport.com")</f>
        <v>youandisupport.com</v>
      </c>
      <c r="C816" t="s">
        <v>433</v>
      </c>
      <c r="E816">
        <v>469116</v>
      </c>
      <c r="F816">
        <v>8.0839600984005705E-9</v>
      </c>
      <c r="G816">
        <v>9770280</v>
      </c>
      <c r="H816">
        <v>12038677</v>
      </c>
      <c r="I816">
        <v>27491728</v>
      </c>
      <c r="J816">
        <v>2</v>
      </c>
    </row>
    <row r="817" spans="1:10" x14ac:dyDescent="0.25">
      <c r="A817" t="s">
        <v>10</v>
      </c>
      <c r="B817" s="1" t="str">
        <f>HYPERLINK("http://zeltiq.com","zeltiq.com")</f>
        <v>zeltiq.com</v>
      </c>
      <c r="C817" t="s">
        <v>433</v>
      </c>
      <c r="F817">
        <v>1.56835552942668E-8</v>
      </c>
      <c r="G817">
        <v>3632014</v>
      </c>
      <c r="H817">
        <v>13886001</v>
      </c>
      <c r="I817">
        <v>5969720</v>
      </c>
      <c r="J817">
        <v>6</v>
      </c>
    </row>
    <row r="818" spans="1:10" x14ac:dyDescent="0.25">
      <c r="A818" t="s">
        <v>10</v>
      </c>
      <c r="B818" s="1" t="str">
        <f>HYPERLINK("http://abbvie.cz","abbvie.cz")</f>
        <v>abbvie.cz</v>
      </c>
      <c r="C818" t="s">
        <v>435</v>
      </c>
      <c r="D818" t="s">
        <v>814</v>
      </c>
      <c r="F818">
        <v>9.68266276599373E-8</v>
      </c>
      <c r="G818">
        <v>417381</v>
      </c>
      <c r="H818">
        <v>12952360</v>
      </c>
      <c r="I818">
        <v>13200478</v>
      </c>
      <c r="J818">
        <v>2</v>
      </c>
    </row>
    <row r="819" spans="1:10" x14ac:dyDescent="0.25">
      <c r="A819" t="s">
        <v>10</v>
      </c>
      <c r="B819" s="1" t="str">
        <f>HYPERLINK("http://allergan.cz","allergan.cz")</f>
        <v>allergan.cz</v>
      </c>
      <c r="C819" t="s">
        <v>435</v>
      </c>
      <c r="D819" t="s">
        <v>814</v>
      </c>
      <c r="F819">
        <v>3.8453842576308099E-8</v>
      </c>
      <c r="G819">
        <v>1341768</v>
      </c>
      <c r="H819">
        <v>12257876</v>
      </c>
      <c r="I819">
        <v>21828307</v>
      </c>
      <c r="J819">
        <v>3</v>
      </c>
    </row>
    <row r="820" spans="1:10" x14ac:dyDescent="0.25">
      <c r="A820" t="s">
        <v>10</v>
      </c>
      <c r="B820" s="1" t="str">
        <f>HYPERLINK("http://juvederm.cz","juvederm.cz")</f>
        <v>juvederm.cz</v>
      </c>
      <c r="C820" t="s">
        <v>435</v>
      </c>
      <c r="D820" t="s">
        <v>814</v>
      </c>
      <c r="F820">
        <v>2.1466460972046801E-8</v>
      </c>
      <c r="G820">
        <v>2453230</v>
      </c>
      <c r="H820">
        <v>10759720</v>
      </c>
      <c r="I820">
        <v>39618705</v>
      </c>
      <c r="J820">
        <v>3</v>
      </c>
    </row>
    <row r="821" spans="1:10" x14ac:dyDescent="0.25">
      <c r="A821" t="s">
        <v>10</v>
      </c>
      <c r="B821" s="1" t="str">
        <f>HYPERLINK("http://abbvie.de","abbvie.de")</f>
        <v>abbvie.de</v>
      </c>
      <c r="C821" t="s">
        <v>436</v>
      </c>
      <c r="D821" t="s">
        <v>815</v>
      </c>
      <c r="E821">
        <v>374513</v>
      </c>
      <c r="F821">
        <v>1.9096759636396001E-7</v>
      </c>
      <c r="G821">
        <v>201790</v>
      </c>
      <c r="H821">
        <v>14485164</v>
      </c>
      <c r="I821">
        <v>1020719</v>
      </c>
      <c r="J821">
        <v>2</v>
      </c>
    </row>
    <row r="822" spans="1:10" x14ac:dyDescent="0.25">
      <c r="A822" t="s">
        <v>10</v>
      </c>
      <c r="B822" s="1" t="str">
        <f>HYPERLINK("http://allergan.de","allergan.de")</f>
        <v>allergan.de</v>
      </c>
      <c r="C822" t="s">
        <v>436</v>
      </c>
      <c r="D822" t="s">
        <v>815</v>
      </c>
      <c r="F822">
        <v>6.7609188783350403E-8</v>
      </c>
      <c r="G822">
        <v>631842</v>
      </c>
      <c r="H822">
        <v>12504623</v>
      </c>
      <c r="I822">
        <v>17299758</v>
      </c>
      <c r="J822">
        <v>3</v>
      </c>
    </row>
    <row r="823" spans="1:10" x14ac:dyDescent="0.25">
      <c r="A823" t="s">
        <v>10</v>
      </c>
      <c r="B823" s="1" t="str">
        <f>HYPERLINK("http://allergan-earfold.de","allergan-earfold.de")</f>
        <v>allergan-earfold.de</v>
      </c>
      <c r="C823" t="s">
        <v>436</v>
      </c>
      <c r="D823" t="s">
        <v>815</v>
      </c>
      <c r="F823">
        <v>5.3426297763474203E-9</v>
      </c>
      <c r="G823">
        <v>22898891</v>
      </c>
      <c r="H823">
        <v>10445349</v>
      </c>
      <c r="I823">
        <v>52218554</v>
      </c>
      <c r="J823">
        <v>2</v>
      </c>
    </row>
    <row r="824" spans="1:10" x14ac:dyDescent="0.25">
      <c r="A824" t="s">
        <v>10</v>
      </c>
      <c r="B824" s="1" t="str">
        <f>HYPERLINK("http://coolsculpting.de","coolsculpting.de")</f>
        <v>coolsculpting.de</v>
      </c>
      <c r="C824" t="s">
        <v>436</v>
      </c>
      <c r="D824" t="s">
        <v>815</v>
      </c>
      <c r="F824">
        <v>2.28508371479279E-8</v>
      </c>
      <c r="G824">
        <v>2288112</v>
      </c>
      <c r="H824">
        <v>12484131</v>
      </c>
      <c r="I824">
        <v>17559986</v>
      </c>
      <c r="J824">
        <v>3</v>
      </c>
    </row>
    <row r="825" spans="1:10" x14ac:dyDescent="0.25">
      <c r="A825" t="s">
        <v>10</v>
      </c>
      <c r="B825" s="1" t="str">
        <f>HYPERLINK("http://juvederm.de","juvederm.de")</f>
        <v>juvederm.de</v>
      </c>
      <c r="C825" t="s">
        <v>436</v>
      </c>
      <c r="D825" t="s">
        <v>815</v>
      </c>
      <c r="F825">
        <v>4.5637866036059197E-8</v>
      </c>
      <c r="G825">
        <v>1030621</v>
      </c>
      <c r="H825">
        <v>12508313</v>
      </c>
      <c r="I825">
        <v>17260482</v>
      </c>
      <c r="J825">
        <v>3</v>
      </c>
    </row>
    <row r="826" spans="1:10" x14ac:dyDescent="0.25">
      <c r="A826" t="s">
        <v>10</v>
      </c>
      <c r="B826" s="1" t="str">
        <f>HYPERLINK("http://abbvie.dk","abbvie.dk")</f>
        <v>abbvie.dk</v>
      </c>
      <c r="C826" t="s">
        <v>437</v>
      </c>
      <c r="D826" t="s">
        <v>816</v>
      </c>
      <c r="F826">
        <v>2.2803811924918301E-8</v>
      </c>
      <c r="G826">
        <v>2293565</v>
      </c>
      <c r="H826">
        <v>12246344</v>
      </c>
      <c r="I826">
        <v>22089035</v>
      </c>
      <c r="J826">
        <v>2</v>
      </c>
    </row>
    <row r="827" spans="1:10" x14ac:dyDescent="0.25">
      <c r="A827" t="s">
        <v>10</v>
      </c>
      <c r="B827" s="1" t="str">
        <f>HYPERLINK("http://coolsculpting.dk","coolsculpting.dk")</f>
        <v>coolsculpting.dk</v>
      </c>
      <c r="C827" t="s">
        <v>437</v>
      </c>
      <c r="D827" t="s">
        <v>816</v>
      </c>
      <c r="F827">
        <v>2.04556788424922E-8</v>
      </c>
      <c r="G827">
        <v>2590905</v>
      </c>
      <c r="H827">
        <v>10696930</v>
      </c>
      <c r="I827">
        <v>42370175</v>
      </c>
      <c r="J827">
        <v>3</v>
      </c>
    </row>
    <row r="828" spans="1:10" x14ac:dyDescent="0.25">
      <c r="A828" t="s">
        <v>10</v>
      </c>
      <c r="B828" s="1" t="str">
        <f>HYPERLINK("http://juvederm.dk","juvederm.dk")</f>
        <v>juvederm.dk</v>
      </c>
      <c r="C828" t="s">
        <v>437</v>
      </c>
      <c r="D828" t="s">
        <v>816</v>
      </c>
      <c r="F828">
        <v>1.29507961719601E-8</v>
      </c>
      <c r="G828">
        <v>4655403</v>
      </c>
      <c r="H828">
        <v>9794756</v>
      </c>
      <c r="I828">
        <v>62639892</v>
      </c>
      <c r="J828">
        <v>3</v>
      </c>
    </row>
    <row r="829" spans="1:10" x14ac:dyDescent="0.25">
      <c r="A829" t="s">
        <v>10</v>
      </c>
      <c r="B829" s="1" t="str">
        <f>HYPERLINK("http://juvederm.ee","juvederm.ee")</f>
        <v>juvederm.ee</v>
      </c>
      <c r="C829" t="s">
        <v>441</v>
      </c>
      <c r="D829" t="s">
        <v>820</v>
      </c>
      <c r="F829">
        <v>1.32483144623971E-8</v>
      </c>
      <c r="G829">
        <v>4516479</v>
      </c>
      <c r="H829">
        <v>9794756</v>
      </c>
      <c r="I829">
        <v>62639893</v>
      </c>
      <c r="J829">
        <v>4</v>
      </c>
    </row>
    <row r="830" spans="1:10" x14ac:dyDescent="0.25">
      <c r="A830" t="s">
        <v>10</v>
      </c>
      <c r="B830" s="1" t="str">
        <f>HYPERLINK("http://abbvie.es","abbvie.es")</f>
        <v>abbvie.es</v>
      </c>
      <c r="C830" t="s">
        <v>443</v>
      </c>
      <c r="D830" t="s">
        <v>822</v>
      </c>
      <c r="F830">
        <v>6.7781559307134801E-8</v>
      </c>
      <c r="G830">
        <v>629991</v>
      </c>
      <c r="H830">
        <v>13895885</v>
      </c>
      <c r="I830">
        <v>5955439</v>
      </c>
      <c r="J830">
        <v>2</v>
      </c>
    </row>
    <row r="831" spans="1:10" x14ac:dyDescent="0.25">
      <c r="A831" t="s">
        <v>10</v>
      </c>
      <c r="B831" s="1" t="str">
        <f>HYPERLINK("http://allergan.es","allergan.es")</f>
        <v>allergan.es</v>
      </c>
      <c r="C831" t="s">
        <v>443</v>
      </c>
      <c r="D831" t="s">
        <v>822</v>
      </c>
      <c r="F831">
        <v>6.21994531268324E-8</v>
      </c>
      <c r="G831">
        <v>706641</v>
      </c>
      <c r="H831">
        <v>13780839</v>
      </c>
      <c r="I831">
        <v>6466354</v>
      </c>
      <c r="J831">
        <v>3</v>
      </c>
    </row>
    <row r="832" spans="1:10" x14ac:dyDescent="0.25">
      <c r="A832" t="s">
        <v>10</v>
      </c>
      <c r="B832" s="1" t="str">
        <f>HYPERLINK("http://abbvie.fi","abbvie.fi")</f>
        <v>abbvie.fi</v>
      </c>
      <c r="C832" t="s">
        <v>445</v>
      </c>
      <c r="D832" t="s">
        <v>823</v>
      </c>
      <c r="F832">
        <v>3.0028963176020198E-8</v>
      </c>
      <c r="G832">
        <v>1713442</v>
      </c>
      <c r="H832">
        <v>12430806</v>
      </c>
      <c r="I832">
        <v>18292132</v>
      </c>
      <c r="J832">
        <v>2</v>
      </c>
    </row>
    <row r="833" spans="1:10" x14ac:dyDescent="0.25">
      <c r="A833" t="s">
        <v>10</v>
      </c>
      <c r="B833" s="1" t="str">
        <f>HYPERLINK("http://abbviecare.fi","abbviecare.fi")</f>
        <v>abbviecare.fi</v>
      </c>
      <c r="C833" t="s">
        <v>445</v>
      </c>
      <c r="D833" t="s">
        <v>823</v>
      </c>
      <c r="J833">
        <v>2</v>
      </c>
    </row>
    <row r="834" spans="1:10" x14ac:dyDescent="0.25">
      <c r="A834" t="s">
        <v>10</v>
      </c>
      <c r="B834" s="1" t="str">
        <f>HYPERLINK("http://abbviedigitalhub.fi","abbviedigitalhub.fi")</f>
        <v>abbviedigitalhub.fi</v>
      </c>
      <c r="C834" t="s">
        <v>445</v>
      </c>
      <c r="D834" t="s">
        <v>823</v>
      </c>
      <c r="J834">
        <v>2</v>
      </c>
    </row>
    <row r="835" spans="1:10" x14ac:dyDescent="0.25">
      <c r="A835" t="s">
        <v>10</v>
      </c>
      <c r="B835" s="1" t="str">
        <f>HYPERLINK("http://abbviemail.fi","abbviemail.fi")</f>
        <v>abbviemail.fi</v>
      </c>
      <c r="C835" t="s">
        <v>445</v>
      </c>
      <c r="D835" t="s">
        <v>823</v>
      </c>
      <c r="J835">
        <v>2</v>
      </c>
    </row>
    <row r="836" spans="1:10" x14ac:dyDescent="0.25">
      <c r="A836" t="s">
        <v>10</v>
      </c>
      <c r="B836" s="1" t="str">
        <f>HYPERLINK("http://abbviepharmaceuticals.fi","abbviepharmaceuticals.fi")</f>
        <v>abbviepharmaceuticals.fi</v>
      </c>
      <c r="C836" t="s">
        <v>445</v>
      </c>
      <c r="D836" t="s">
        <v>823</v>
      </c>
      <c r="J836">
        <v>2</v>
      </c>
    </row>
    <row r="837" spans="1:10" x14ac:dyDescent="0.25">
      <c r="A837" t="s">
        <v>10</v>
      </c>
      <c r="B837" s="1" t="str">
        <f>HYPERLINK("http://abbviepro.fi","abbviepro.fi")</f>
        <v>abbviepro.fi</v>
      </c>
      <c r="C837" t="s">
        <v>445</v>
      </c>
      <c r="D837" t="s">
        <v>823</v>
      </c>
      <c r="J837">
        <v>2</v>
      </c>
    </row>
    <row r="838" spans="1:10" x14ac:dyDescent="0.25">
      <c r="A838" t="s">
        <v>10</v>
      </c>
      <c r="B838" s="1" t="str">
        <f>HYPERLINK("http://allergan.fi","allergan.fi")</f>
        <v>allergan.fi</v>
      </c>
      <c r="C838" t="s">
        <v>445</v>
      </c>
      <c r="D838" t="s">
        <v>823</v>
      </c>
      <c r="J838">
        <v>2</v>
      </c>
    </row>
    <row r="839" spans="1:10" x14ac:dyDescent="0.25">
      <c r="A839" t="s">
        <v>10</v>
      </c>
      <c r="B839" s="1" t="str">
        <f>HYPERLINK("http://allerganaestheticsadvantage.fi","allerganaestheticsadvantage.fi")</f>
        <v>allerganaestheticsadvantage.fi</v>
      </c>
      <c r="C839" t="s">
        <v>445</v>
      </c>
      <c r="D839" t="s">
        <v>823</v>
      </c>
      <c r="J839">
        <v>2</v>
      </c>
    </row>
    <row r="840" spans="1:10" x14ac:dyDescent="0.25">
      <c r="A840" t="s">
        <v>10</v>
      </c>
      <c r="B840" s="1" t="str">
        <f>HYPERLINK("http://allerganeducation.fi","allerganeducation.fi")</f>
        <v>allerganeducation.fi</v>
      </c>
      <c r="C840" t="s">
        <v>445</v>
      </c>
      <c r="D840" t="s">
        <v>823</v>
      </c>
      <c r="J840">
        <v>2</v>
      </c>
    </row>
    <row r="841" spans="1:10" x14ac:dyDescent="0.25">
      <c r="A841" t="s">
        <v>10</v>
      </c>
      <c r="B841" s="1" t="str">
        <f>HYPERLINK("http://allerganmedicalinstitute.fi","allerganmedicalinstitute.fi")</f>
        <v>allerganmedicalinstitute.fi</v>
      </c>
      <c r="C841" t="s">
        <v>445</v>
      </c>
      <c r="D841" t="s">
        <v>823</v>
      </c>
      <c r="J841">
        <v>2</v>
      </c>
    </row>
    <row r="842" spans="1:10" x14ac:dyDescent="0.25">
      <c r="A842" t="s">
        <v>10</v>
      </c>
      <c r="B842" s="1" t="str">
        <f>HYPERLINK("http://allergannorden.fi","allergannorden.fi")</f>
        <v>allergannorden.fi</v>
      </c>
      <c r="C842" t="s">
        <v>445</v>
      </c>
      <c r="D842" t="s">
        <v>823</v>
      </c>
      <c r="J842">
        <v>2</v>
      </c>
    </row>
    <row r="843" spans="1:10" x14ac:dyDescent="0.25">
      <c r="A843" t="s">
        <v>10</v>
      </c>
      <c r="B843" s="1" t="str">
        <f>HYPERLINK("http://atooppineniho.fi","atooppineniho.fi")</f>
        <v>atooppineniho.fi</v>
      </c>
      <c r="C843" t="s">
        <v>445</v>
      </c>
      <c r="D843" t="s">
        <v>823</v>
      </c>
      <c r="J843">
        <v>2</v>
      </c>
    </row>
    <row r="844" spans="1:10" x14ac:dyDescent="0.25">
      <c r="A844" t="s">
        <v>10</v>
      </c>
      <c r="B844" s="1" t="str">
        <f>HYPERLINK("http://atooppinenihottuma.fi","atooppinenihottuma.fi")</f>
        <v>atooppinenihottuma.fi</v>
      </c>
      <c r="C844" t="s">
        <v>445</v>
      </c>
      <c r="D844" t="s">
        <v>823</v>
      </c>
      <c r="F844">
        <v>1.2796832337451001E-8</v>
      </c>
      <c r="G844">
        <v>4730302</v>
      </c>
      <c r="H844">
        <v>14231088</v>
      </c>
      <c r="I844">
        <v>1673635</v>
      </c>
      <c r="J844">
        <v>2</v>
      </c>
    </row>
    <row r="845" spans="1:10" x14ac:dyDescent="0.25">
      <c r="A845" t="s">
        <v>10</v>
      </c>
      <c r="B845" s="1" t="str">
        <f>HYPERLINK("http://botox.fi","botox.fi")</f>
        <v>botox.fi</v>
      </c>
      <c r="C845" t="s">
        <v>445</v>
      </c>
      <c r="D845" t="s">
        <v>823</v>
      </c>
      <c r="J845">
        <v>2</v>
      </c>
    </row>
    <row r="846" spans="1:10" x14ac:dyDescent="0.25">
      <c r="A846" t="s">
        <v>10</v>
      </c>
      <c r="B846" s="1" t="str">
        <f>HYPERLINK("http://botoxpolitas.fi","botoxpolitas.fi")</f>
        <v>botoxpolitas.fi</v>
      </c>
      <c r="C846" t="s">
        <v>445</v>
      </c>
      <c r="D846" t="s">
        <v>823</v>
      </c>
      <c r="J846">
        <v>2</v>
      </c>
    </row>
    <row r="847" spans="1:10" x14ac:dyDescent="0.25">
      <c r="A847" t="s">
        <v>10</v>
      </c>
      <c r="B847" s="1" t="str">
        <f>HYPERLINK("http://c-hepatiitti.fi","c-hepatiitti.fi")</f>
        <v>c-hepatiitti.fi</v>
      </c>
      <c r="C847" t="s">
        <v>445</v>
      </c>
      <c r="D847" t="s">
        <v>823</v>
      </c>
      <c r="J847">
        <v>2</v>
      </c>
    </row>
    <row r="848" spans="1:10" x14ac:dyDescent="0.25">
      <c r="A848" t="s">
        <v>10</v>
      </c>
      <c r="B848" s="1" t="str">
        <f>HYPERLINK("http://chepatiitti.fi","chepatiitti.fi")</f>
        <v>chepatiitti.fi</v>
      </c>
      <c r="C848" t="s">
        <v>445</v>
      </c>
      <c r="D848" t="s">
        <v>823</v>
      </c>
      <c r="J848">
        <v>2</v>
      </c>
    </row>
    <row r="849" spans="1:10" x14ac:dyDescent="0.25">
      <c r="A849" t="s">
        <v>10</v>
      </c>
      <c r="B849" s="1" t="str">
        <f>HYPERLINK("http://coolsculpting.fi","coolsculpting.fi")</f>
        <v>coolsculpting.fi</v>
      </c>
      <c r="C849" t="s">
        <v>445</v>
      </c>
      <c r="D849" t="s">
        <v>823</v>
      </c>
      <c r="F849">
        <v>2.0351687799087E-8</v>
      </c>
      <c r="G849">
        <v>2606626</v>
      </c>
      <c r="H849">
        <v>10696620</v>
      </c>
      <c r="I849">
        <v>42375848</v>
      </c>
      <c r="J849">
        <v>2</v>
      </c>
    </row>
    <row r="850" spans="1:10" x14ac:dyDescent="0.25">
      <c r="A850" t="s">
        <v>10</v>
      </c>
      <c r="B850" s="1" t="str">
        <f>HYPERLINK("http://duodopa.fi","duodopa.fi")</f>
        <v>duodopa.fi</v>
      </c>
      <c r="C850" t="s">
        <v>445</v>
      </c>
      <c r="D850" t="s">
        <v>823</v>
      </c>
      <c r="J850">
        <v>2</v>
      </c>
    </row>
    <row r="851" spans="1:10" x14ac:dyDescent="0.25">
      <c r="A851" t="s">
        <v>10</v>
      </c>
      <c r="B851" s="1" t="str">
        <f>HYPERLINK("http://earfold.fi","earfold.fi")</f>
        <v>earfold.fi</v>
      </c>
      <c r="C851" t="s">
        <v>445</v>
      </c>
      <c r="D851" t="s">
        <v>823</v>
      </c>
      <c r="J851">
        <v>2</v>
      </c>
    </row>
    <row r="852" spans="1:10" x14ac:dyDescent="0.25">
      <c r="A852" t="s">
        <v>10</v>
      </c>
      <c r="B852" s="1" t="str">
        <f>HYPERLINK("http://elamaaverisyovankanssa.fi","elamaaverisyovankanssa.fi")</f>
        <v>elamaaverisyovankanssa.fi</v>
      </c>
      <c r="C852" t="s">
        <v>445</v>
      </c>
      <c r="D852" t="s">
        <v>823</v>
      </c>
      <c r="F852">
        <v>4.6310678179228196E-9</v>
      </c>
      <c r="G852">
        <v>45374043</v>
      </c>
      <c r="H852">
        <v>10112746</v>
      </c>
      <c r="I852">
        <v>59783916</v>
      </c>
      <c r="J852">
        <v>2</v>
      </c>
    </row>
    <row r="853" spans="1:10" x14ac:dyDescent="0.25">
      <c r="A853" t="s">
        <v>10</v>
      </c>
      <c r="B853" s="1" t="str">
        <f>HYPERLINK("http://episodisetmigreeni.fi","episodisetmigreeni.fi")</f>
        <v>episodisetmigreeni.fi</v>
      </c>
      <c r="C853" t="s">
        <v>445</v>
      </c>
      <c r="D853" t="s">
        <v>823</v>
      </c>
      <c r="J853">
        <v>2</v>
      </c>
    </row>
    <row r="854" spans="1:10" x14ac:dyDescent="0.25">
      <c r="A854" t="s">
        <v>10</v>
      </c>
      <c r="B854" s="1" t="str">
        <f>HYPERLINK("http://fosduodopa.fi","fosduodopa.fi")</f>
        <v>fosduodopa.fi</v>
      </c>
      <c r="C854" t="s">
        <v>445</v>
      </c>
      <c r="D854" t="s">
        <v>823</v>
      </c>
      <c r="J854">
        <v>2</v>
      </c>
    </row>
    <row r="855" spans="1:10" x14ac:dyDescent="0.25">
      <c r="A855" t="s">
        <v>10</v>
      </c>
      <c r="B855" s="1" t="str">
        <f>HYPERLINK("http://harmonyca.fi","harmonyca.fi")</f>
        <v>harmonyca.fi</v>
      </c>
      <c r="C855" t="s">
        <v>445</v>
      </c>
      <c r="D855" t="s">
        <v>823</v>
      </c>
      <c r="J855">
        <v>2</v>
      </c>
    </row>
    <row r="856" spans="1:10" x14ac:dyDescent="0.25">
      <c r="A856" t="s">
        <v>10</v>
      </c>
      <c r="B856" s="1" t="str">
        <f>HYPERLINK("http://hcv.fi","hcv.fi")</f>
        <v>hcv.fi</v>
      </c>
      <c r="C856" t="s">
        <v>445</v>
      </c>
      <c r="D856" t="s">
        <v>823</v>
      </c>
      <c r="J856">
        <v>2</v>
      </c>
    </row>
    <row r="857" spans="1:10" x14ac:dyDescent="0.25">
      <c r="A857" t="s">
        <v>10</v>
      </c>
      <c r="B857" s="1" t="str">
        <f>HYPERLINK("http://hidradenitisonline.fi","hidradenitisonline.fi")</f>
        <v>hidradenitisonline.fi</v>
      </c>
      <c r="C857" t="s">
        <v>445</v>
      </c>
      <c r="D857" t="s">
        <v>823</v>
      </c>
      <c r="J857">
        <v>2</v>
      </c>
    </row>
    <row r="858" spans="1:10" x14ac:dyDescent="0.25">
      <c r="A858" t="s">
        <v>10</v>
      </c>
      <c r="B858" s="1" t="str">
        <f>HYPERLINK("http://hidradenitissuppurativa.fi","hidradenitissuppurativa.fi")</f>
        <v>hidradenitissuppurativa.fi</v>
      </c>
      <c r="C858" t="s">
        <v>445</v>
      </c>
      <c r="D858" t="s">
        <v>823</v>
      </c>
      <c r="J858">
        <v>2</v>
      </c>
    </row>
    <row r="859" spans="1:10" x14ac:dyDescent="0.25">
      <c r="A859" t="s">
        <v>10</v>
      </c>
      <c r="B859" s="1" t="str">
        <f>HYPERLINK("http://hikirauhastulehdus.fi","hikirauhastulehdus.fi")</f>
        <v>hikirauhastulehdus.fi</v>
      </c>
      <c r="C859" t="s">
        <v>445</v>
      </c>
      <c r="D859" t="s">
        <v>823</v>
      </c>
      <c r="J859">
        <v>2</v>
      </c>
    </row>
    <row r="860" spans="1:10" x14ac:dyDescent="0.25">
      <c r="A860" t="s">
        <v>10</v>
      </c>
      <c r="B860" s="1" t="str">
        <f>HYPERLINK("http://hoidontueksi.fi","hoidontueksi.fi")</f>
        <v>hoidontueksi.fi</v>
      </c>
      <c r="C860" t="s">
        <v>445</v>
      </c>
      <c r="D860" t="s">
        <v>823</v>
      </c>
      <c r="J860">
        <v>2</v>
      </c>
    </row>
    <row r="861" spans="1:10" x14ac:dyDescent="0.25">
      <c r="A861" t="s">
        <v>10</v>
      </c>
      <c r="B861" s="1" t="str">
        <f>HYPERLINK("http://hsonline.fi","hsonline.fi")</f>
        <v>hsonline.fi</v>
      </c>
      <c r="C861" t="s">
        <v>445</v>
      </c>
      <c r="D861" t="s">
        <v>823</v>
      </c>
      <c r="E861">
        <v>637198</v>
      </c>
      <c r="F861">
        <v>6.85922152899127E-9</v>
      </c>
      <c r="G861">
        <v>12763417</v>
      </c>
      <c r="H861">
        <v>13177932</v>
      </c>
      <c r="I861">
        <v>11690937</v>
      </c>
      <c r="J861">
        <v>2</v>
      </c>
    </row>
    <row r="862" spans="1:10" x14ac:dyDescent="0.25">
      <c r="A862" t="s">
        <v>10</v>
      </c>
      <c r="B862" s="1" t="str">
        <f>HYPERLINK("http://humira.fi","humira.fi")</f>
        <v>humira.fi</v>
      </c>
      <c r="C862" t="s">
        <v>445</v>
      </c>
      <c r="D862" t="s">
        <v>823</v>
      </c>
      <c r="J862">
        <v>2</v>
      </c>
    </row>
    <row r="863" spans="1:10" x14ac:dyDescent="0.25">
      <c r="A863" t="s">
        <v>10</v>
      </c>
      <c r="B863" s="1" t="str">
        <f>HYPERLINK("http://ibdnurseforum.fi","ibdnurseforum.fi")</f>
        <v>ibdnurseforum.fi</v>
      </c>
      <c r="C863" t="s">
        <v>445</v>
      </c>
      <c r="D863" t="s">
        <v>823</v>
      </c>
      <c r="J863">
        <v>2</v>
      </c>
    </row>
    <row r="864" spans="1:10" x14ac:dyDescent="0.25">
      <c r="A864" t="s">
        <v>10</v>
      </c>
      <c r="B864" s="1" t="str">
        <f>HYPERLINK("http://imidginaatio.fi","imidginaatio.fi")</f>
        <v>imidginaatio.fi</v>
      </c>
      <c r="C864" t="s">
        <v>445</v>
      </c>
      <c r="D864" t="s">
        <v>823</v>
      </c>
      <c r="J864">
        <v>2</v>
      </c>
    </row>
    <row r="865" spans="1:10" x14ac:dyDescent="0.25">
      <c r="A865" t="s">
        <v>10</v>
      </c>
      <c r="B865" s="1" t="str">
        <f>HYPERLINK("http://juvederm.fi","juvederm.fi")</f>
        <v>juvederm.fi</v>
      </c>
      <c r="C865" t="s">
        <v>445</v>
      </c>
      <c r="D865" t="s">
        <v>823</v>
      </c>
      <c r="E865">
        <v>712193</v>
      </c>
      <c r="F865">
        <v>1.3048458391043499E-8</v>
      </c>
      <c r="G865">
        <v>4608150</v>
      </c>
      <c r="H865">
        <v>9801652</v>
      </c>
      <c r="I865">
        <v>62592388</v>
      </c>
      <c r="J865">
        <v>2</v>
      </c>
    </row>
    <row r="866" spans="1:10" x14ac:dyDescent="0.25">
      <c r="A866" t="s">
        <v>10</v>
      </c>
      <c r="B866" s="1" t="str">
        <f>HYPERLINK("http://juvedermultra.fi","juvedermultra.fi")</f>
        <v>juvedermultra.fi</v>
      </c>
      <c r="C866" t="s">
        <v>445</v>
      </c>
      <c r="D866" t="s">
        <v>823</v>
      </c>
      <c r="J866">
        <v>2</v>
      </c>
    </row>
    <row r="867" spans="1:10" x14ac:dyDescent="0.25">
      <c r="A867" t="s">
        <v>10</v>
      </c>
      <c r="B867" s="1" t="str">
        <f>HYPERLINK("http://katsoimid.fi","katsoimid.fi")</f>
        <v>katsoimid.fi</v>
      </c>
      <c r="C867" t="s">
        <v>445</v>
      </c>
      <c r="D867" t="s">
        <v>823</v>
      </c>
      <c r="J867">
        <v>2</v>
      </c>
    </row>
    <row r="868" spans="1:10" x14ac:dyDescent="0.25">
      <c r="A868" t="s">
        <v>10</v>
      </c>
      <c r="B868" s="1" t="str">
        <f>HYPERLINK("http://krooninenmigreeni.fi","krooninenmigreeni.fi")</f>
        <v>krooninenmigreeni.fi</v>
      </c>
      <c r="C868" t="s">
        <v>445</v>
      </c>
      <c r="D868" t="s">
        <v>823</v>
      </c>
      <c r="J868">
        <v>2</v>
      </c>
    </row>
    <row r="869" spans="1:10" x14ac:dyDescent="0.25">
      <c r="A869" t="s">
        <v>10</v>
      </c>
      <c r="B869" s="1" t="str">
        <f>HYPERLINK("http://kysypasia.fi","kysypasia.fi")</f>
        <v>kysypasia.fi</v>
      </c>
      <c r="C869" t="s">
        <v>445</v>
      </c>
      <c r="D869" t="s">
        <v>823</v>
      </c>
      <c r="F869">
        <v>4.5982419893600604E-9</v>
      </c>
      <c r="G869">
        <v>47743494</v>
      </c>
      <c r="H869">
        <v>10594229</v>
      </c>
      <c r="I869">
        <v>45346554</v>
      </c>
      <c r="J869">
        <v>2</v>
      </c>
    </row>
    <row r="870" spans="1:10" x14ac:dyDescent="0.25">
      <c r="A870" t="s">
        <v>10</v>
      </c>
      <c r="B870" s="1" t="str">
        <f>HYPERLINK("http://latisse.fi","latisse.fi")</f>
        <v>latisse.fi</v>
      </c>
      <c r="C870" t="s">
        <v>445</v>
      </c>
      <c r="D870" t="s">
        <v>823</v>
      </c>
      <c r="J870">
        <v>2</v>
      </c>
    </row>
    <row r="871" spans="1:10" x14ac:dyDescent="0.25">
      <c r="A871" t="s">
        <v>10</v>
      </c>
      <c r="B871" s="1" t="str">
        <f>HYPERLINK("http://levdela.fi","levdela.fi")</f>
        <v>levdela.fi</v>
      </c>
      <c r="C871" t="s">
        <v>445</v>
      </c>
      <c r="D871" t="s">
        <v>823</v>
      </c>
      <c r="J871">
        <v>2</v>
      </c>
    </row>
    <row r="872" spans="1:10" x14ac:dyDescent="0.25">
      <c r="A872" t="s">
        <v>10</v>
      </c>
      <c r="B872" s="1" t="str">
        <f>HYPERLINK("http://ludelva.fi","ludelva.fi")</f>
        <v>ludelva.fi</v>
      </c>
      <c r="C872" t="s">
        <v>445</v>
      </c>
      <c r="D872" t="s">
        <v>823</v>
      </c>
      <c r="J872">
        <v>2</v>
      </c>
    </row>
    <row r="873" spans="1:10" x14ac:dyDescent="0.25">
      <c r="A873" t="s">
        <v>10</v>
      </c>
      <c r="B873" s="1" t="str">
        <f>HYPERLINK("http://maviret.fi","maviret.fi")</f>
        <v>maviret.fi</v>
      </c>
      <c r="C873" t="s">
        <v>445</v>
      </c>
      <c r="D873" t="s">
        <v>823</v>
      </c>
      <c r="J873">
        <v>2</v>
      </c>
    </row>
    <row r="874" spans="1:10" x14ac:dyDescent="0.25">
      <c r="A874" t="s">
        <v>10</v>
      </c>
      <c r="B874" s="1" t="str">
        <f>HYPERLINK("http://natrelle.fi","natrelle.fi")</f>
        <v>natrelle.fi</v>
      </c>
      <c r="C874" t="s">
        <v>445</v>
      </c>
      <c r="D874" t="s">
        <v>823</v>
      </c>
      <c r="J874">
        <v>2</v>
      </c>
    </row>
    <row r="875" spans="1:10" x14ac:dyDescent="0.25">
      <c r="A875" t="s">
        <v>10</v>
      </c>
      <c r="B875" s="1" t="str">
        <f>HYPERLINK("http://nivelreumapuheeksi.fi","nivelreumapuheeksi.fi")</f>
        <v>nivelreumapuheeksi.fi</v>
      </c>
      <c r="C875" t="s">
        <v>445</v>
      </c>
      <c r="D875" t="s">
        <v>823</v>
      </c>
      <c r="F875">
        <v>4.9780479428914104E-9</v>
      </c>
      <c r="G875">
        <v>30046511</v>
      </c>
      <c r="H875">
        <v>9775966</v>
      </c>
      <c r="I875">
        <v>62763282</v>
      </c>
      <c r="J875">
        <v>2</v>
      </c>
    </row>
    <row r="876" spans="1:10" x14ac:dyDescent="0.25">
      <c r="A876" t="s">
        <v>10</v>
      </c>
      <c r="B876" s="1" t="str">
        <f>HYPERLINK("http://optive.fi","optive.fi")</f>
        <v>optive.fi</v>
      </c>
      <c r="C876" t="s">
        <v>445</v>
      </c>
      <c r="D876" t="s">
        <v>823</v>
      </c>
      <c r="F876">
        <v>4.8913846480999801E-9</v>
      </c>
      <c r="G876">
        <v>32724556</v>
      </c>
      <c r="H876">
        <v>10727238</v>
      </c>
      <c r="I876">
        <v>41131599</v>
      </c>
      <c r="J876">
        <v>2</v>
      </c>
    </row>
    <row r="877" spans="1:10" x14ac:dyDescent="0.25">
      <c r="A877" t="s">
        <v>10</v>
      </c>
      <c r="B877" s="1" t="str">
        <f>HYPERLINK("http://ozurdex.fi","ozurdex.fi")</f>
        <v>ozurdex.fi</v>
      </c>
      <c r="C877" t="s">
        <v>445</v>
      </c>
      <c r="D877" t="s">
        <v>823</v>
      </c>
      <c r="J877">
        <v>2</v>
      </c>
    </row>
    <row r="878" spans="1:10" x14ac:dyDescent="0.25">
      <c r="A878" t="s">
        <v>10</v>
      </c>
      <c r="B878" s="1" t="str">
        <f>HYPERLINK("http://paansarky.fi","paansarky.fi")</f>
        <v>paansarky.fi</v>
      </c>
      <c r="C878" t="s">
        <v>445</v>
      </c>
      <c r="D878" t="s">
        <v>823</v>
      </c>
      <c r="J878">
        <v>2</v>
      </c>
    </row>
    <row r="879" spans="1:10" x14ac:dyDescent="0.25">
      <c r="A879" t="s">
        <v>10</v>
      </c>
      <c r="B879" s="1" t="str">
        <f>HYPERLINK("http://potilastieto.fi","potilastieto.fi")</f>
        <v>potilastieto.fi</v>
      </c>
      <c r="C879" t="s">
        <v>445</v>
      </c>
      <c r="D879" t="s">
        <v>823</v>
      </c>
      <c r="J879">
        <v>2</v>
      </c>
    </row>
    <row r="880" spans="1:10" x14ac:dyDescent="0.25">
      <c r="A880" t="s">
        <v>10</v>
      </c>
      <c r="B880" s="1" t="str">
        <f>HYPERLINK("http://produodopa.fi","produodopa.fi")</f>
        <v>produodopa.fi</v>
      </c>
      <c r="C880" t="s">
        <v>445</v>
      </c>
      <c r="D880" t="s">
        <v>823</v>
      </c>
      <c r="J880">
        <v>2</v>
      </c>
    </row>
    <row r="881" spans="1:10" x14ac:dyDescent="0.25">
      <c r="A881" t="s">
        <v>10</v>
      </c>
      <c r="B881" s="1" t="str">
        <f>HYPERLINK("http://puhupsorista.fi","puhupsorista.fi")</f>
        <v>puhupsorista.fi</v>
      </c>
      <c r="C881" t="s">
        <v>445</v>
      </c>
      <c r="D881" t="s">
        <v>823</v>
      </c>
      <c r="J881">
        <v>2</v>
      </c>
    </row>
    <row r="882" spans="1:10" x14ac:dyDescent="0.25">
      <c r="A882" t="s">
        <v>10</v>
      </c>
      <c r="B882" s="1" t="str">
        <f>HYPERLINK("http://reumankumous.fi","reumankumous.fi")</f>
        <v>reumankumous.fi</v>
      </c>
      <c r="C882" t="s">
        <v>445</v>
      </c>
      <c r="D882" t="s">
        <v>823</v>
      </c>
      <c r="J882">
        <v>2</v>
      </c>
    </row>
    <row r="883" spans="1:10" x14ac:dyDescent="0.25">
      <c r="A883" t="s">
        <v>10</v>
      </c>
      <c r="B883" s="1" t="str">
        <f>HYPERLINK("http://rinvoq.fi","rinvoq.fi")</f>
        <v>rinvoq.fi</v>
      </c>
      <c r="C883" t="s">
        <v>445</v>
      </c>
      <c r="D883" t="s">
        <v>823</v>
      </c>
      <c r="J883">
        <v>2</v>
      </c>
    </row>
    <row r="884" spans="1:10" x14ac:dyDescent="0.25">
      <c r="A884" t="s">
        <v>10</v>
      </c>
      <c r="B884" s="1" t="str">
        <f>HYPERLINK("http://selkapeli.fi","selkapeli.fi")</f>
        <v>selkapeli.fi</v>
      </c>
      <c r="C884" t="s">
        <v>445</v>
      </c>
      <c r="D884" t="s">
        <v>823</v>
      </c>
      <c r="J884">
        <v>2</v>
      </c>
    </row>
    <row r="885" spans="1:10" x14ac:dyDescent="0.25">
      <c r="A885" t="s">
        <v>10</v>
      </c>
      <c r="B885" s="1" t="str">
        <f>HYPERLINK("http://skinmedica.fi","skinmedica.fi")</f>
        <v>skinmedica.fi</v>
      </c>
      <c r="C885" t="s">
        <v>445</v>
      </c>
      <c r="D885" t="s">
        <v>823</v>
      </c>
      <c r="J885">
        <v>2</v>
      </c>
    </row>
    <row r="886" spans="1:10" x14ac:dyDescent="0.25">
      <c r="A886" t="s">
        <v>10</v>
      </c>
      <c r="B886" s="1" t="str">
        <f>HYPERLINK("http://skinvive.fi","skinvive.fi")</f>
        <v>skinvive.fi</v>
      </c>
      <c r="C886" t="s">
        <v>445</v>
      </c>
      <c r="D886" t="s">
        <v>823</v>
      </c>
      <c r="J886">
        <v>2</v>
      </c>
    </row>
    <row r="887" spans="1:10" x14ac:dyDescent="0.25">
      <c r="A887" t="s">
        <v>10</v>
      </c>
      <c r="B887" s="1" t="str">
        <f>HYPERLINK("http://skyrizi.fi","skyrizi.fi")</f>
        <v>skyrizi.fi</v>
      </c>
      <c r="C887" t="s">
        <v>445</v>
      </c>
      <c r="D887" t="s">
        <v>823</v>
      </c>
      <c r="J887">
        <v>2</v>
      </c>
    </row>
    <row r="888" spans="1:10" x14ac:dyDescent="0.25">
      <c r="A888" t="s">
        <v>10</v>
      </c>
      <c r="B888" s="1" t="str">
        <f>HYPERLINK("http://talkoverra.fi","talkoverra.fi")</f>
        <v>talkoverra.fi</v>
      </c>
      <c r="C888" t="s">
        <v>445</v>
      </c>
      <c r="D888" t="s">
        <v>823</v>
      </c>
      <c r="J888">
        <v>2</v>
      </c>
    </row>
    <row r="889" spans="1:10" x14ac:dyDescent="0.25">
      <c r="A889" t="s">
        <v>10</v>
      </c>
      <c r="B889" s="1" t="str">
        <f>HYPERLINK("http://tastaeteenpain.fi","tastaeteenpain.fi")</f>
        <v>tastaeteenpain.fi</v>
      </c>
      <c r="C889" t="s">
        <v>445</v>
      </c>
      <c r="D889" t="s">
        <v>823</v>
      </c>
      <c r="J889">
        <v>2</v>
      </c>
    </row>
    <row r="890" spans="1:10" x14ac:dyDescent="0.25">
      <c r="A890" t="s">
        <v>10</v>
      </c>
      <c r="B890" s="1" t="str">
        <f>HYPERLINK("http://understandingbiologicmedicine.fi","understandingbiologicmedicine.fi")</f>
        <v>understandingbiologicmedicine.fi</v>
      </c>
      <c r="C890" t="s">
        <v>445</v>
      </c>
      <c r="D890" t="s">
        <v>823</v>
      </c>
      <c r="J890">
        <v>2</v>
      </c>
    </row>
    <row r="891" spans="1:10" x14ac:dyDescent="0.25">
      <c r="A891" t="s">
        <v>10</v>
      </c>
      <c r="B891" s="1" t="str">
        <f>HYPERLINK("http://upadacitinib.fi","upadacitinib.fi")</f>
        <v>upadacitinib.fi</v>
      </c>
      <c r="C891" t="s">
        <v>445</v>
      </c>
      <c r="D891" t="s">
        <v>823</v>
      </c>
      <c r="J891">
        <v>2</v>
      </c>
    </row>
    <row r="892" spans="1:10" x14ac:dyDescent="0.25">
      <c r="A892" t="s">
        <v>10</v>
      </c>
      <c r="B892" s="1" t="str">
        <f>HYPERLINK("http://uveiitti.fi","uveiitti.fi")</f>
        <v>uveiitti.fi</v>
      </c>
      <c r="C892" t="s">
        <v>445</v>
      </c>
      <c r="D892" t="s">
        <v>823</v>
      </c>
      <c r="J892">
        <v>2</v>
      </c>
    </row>
    <row r="893" spans="1:10" x14ac:dyDescent="0.25">
      <c r="A893" t="s">
        <v>10</v>
      </c>
      <c r="B893" s="1" t="str">
        <f>HYPERLINK("http://venclyxto.fi","venclyxto.fi")</f>
        <v>venclyxto.fi</v>
      </c>
      <c r="C893" t="s">
        <v>445</v>
      </c>
      <c r="D893" t="s">
        <v>823</v>
      </c>
      <c r="J893">
        <v>2</v>
      </c>
    </row>
    <row r="894" spans="1:10" x14ac:dyDescent="0.25">
      <c r="A894" t="s">
        <v>10</v>
      </c>
      <c r="B894" s="1" t="str">
        <f>HYPERLINK("http://vistabel.fi","vistabel.fi")</f>
        <v>vistabel.fi</v>
      </c>
      <c r="C894" t="s">
        <v>445</v>
      </c>
      <c r="D894" t="s">
        <v>823</v>
      </c>
      <c r="J894">
        <v>2</v>
      </c>
    </row>
    <row r="895" spans="1:10" x14ac:dyDescent="0.25">
      <c r="A895" t="s">
        <v>10</v>
      </c>
      <c r="B895" s="1" t="str">
        <f>HYPERLINK("http://vyalev.fi","vyalev.fi")</f>
        <v>vyalev.fi</v>
      </c>
      <c r="C895" t="s">
        <v>445</v>
      </c>
      <c r="D895" t="s">
        <v>823</v>
      </c>
      <c r="J895">
        <v>2</v>
      </c>
    </row>
    <row r="896" spans="1:10" x14ac:dyDescent="0.25">
      <c r="A896" t="s">
        <v>10</v>
      </c>
      <c r="B896" s="1" t="str">
        <f>HYPERLINK("http://yournordicspark.fi","yournordicspark.fi")</f>
        <v>yournordicspark.fi</v>
      </c>
      <c r="C896" t="s">
        <v>445</v>
      </c>
      <c r="D896" t="s">
        <v>823</v>
      </c>
      <c r="J896">
        <v>2</v>
      </c>
    </row>
    <row r="897" spans="1:10" x14ac:dyDescent="0.25">
      <c r="A897" t="s">
        <v>10</v>
      </c>
      <c r="B897" s="1" t="str">
        <f>HYPERLINK("http://abbvie.fr","abbvie.fr")</f>
        <v>abbvie.fr</v>
      </c>
      <c r="C897" t="s">
        <v>446</v>
      </c>
      <c r="D897" t="s">
        <v>824</v>
      </c>
      <c r="E897">
        <v>355341</v>
      </c>
      <c r="F897">
        <v>7.4658786839198606E-8</v>
      </c>
      <c r="G897">
        <v>563525</v>
      </c>
      <c r="H897">
        <v>14135906</v>
      </c>
      <c r="I897">
        <v>1966122</v>
      </c>
      <c r="J897">
        <v>2</v>
      </c>
    </row>
    <row r="898" spans="1:10" x14ac:dyDescent="0.25">
      <c r="A898" t="s">
        <v>10</v>
      </c>
      <c r="B898" s="1" t="str">
        <f>HYPERLINK("http://allergan.fr","allergan.fr")</f>
        <v>allergan.fr</v>
      </c>
      <c r="C898" t="s">
        <v>446</v>
      </c>
      <c r="D898" t="s">
        <v>824</v>
      </c>
      <c r="F898">
        <v>6.0552391792767703E-8</v>
      </c>
      <c r="G898">
        <v>728115</v>
      </c>
      <c r="H898">
        <v>13804942</v>
      </c>
      <c r="I898">
        <v>6241224</v>
      </c>
      <c r="J898">
        <v>3</v>
      </c>
    </row>
    <row r="899" spans="1:10" x14ac:dyDescent="0.25">
      <c r="A899" t="s">
        <v>10</v>
      </c>
      <c r="B899" s="1" t="str">
        <f>HYPERLINK("http://earfold.fr","earfold.fr")</f>
        <v>earfold.fr</v>
      </c>
      <c r="C899" t="s">
        <v>446</v>
      </c>
      <c r="D899" t="s">
        <v>824</v>
      </c>
      <c r="F899">
        <v>5.2326775338632004E-9</v>
      </c>
      <c r="G899">
        <v>24531559</v>
      </c>
      <c r="H899">
        <v>10676857</v>
      </c>
      <c r="I899">
        <v>42816361</v>
      </c>
      <c r="J899">
        <v>2</v>
      </c>
    </row>
    <row r="900" spans="1:10" x14ac:dyDescent="0.25">
      <c r="A900" t="s">
        <v>10</v>
      </c>
      <c r="B900" s="1" t="str">
        <f>HYPERLINK("http://juvederm.fr","juvederm.fr")</f>
        <v>juvederm.fr</v>
      </c>
      <c r="C900" t="s">
        <v>446</v>
      </c>
      <c r="D900" t="s">
        <v>824</v>
      </c>
      <c r="F900">
        <v>2.2827586017568298E-8</v>
      </c>
      <c r="G900">
        <v>2290834</v>
      </c>
      <c r="H900">
        <v>12051118</v>
      </c>
      <c r="I900">
        <v>27208838</v>
      </c>
      <c r="J900">
        <v>3</v>
      </c>
    </row>
    <row r="901" spans="1:10" x14ac:dyDescent="0.25">
      <c r="A901" t="s">
        <v>10</v>
      </c>
      <c r="B901" s="1" t="str">
        <f>HYPERLINK("http://monhumira.fr","monhumira.fr")</f>
        <v>monhumira.fr</v>
      </c>
      <c r="C901" t="s">
        <v>446</v>
      </c>
      <c r="D901" t="s">
        <v>824</v>
      </c>
      <c r="J901">
        <v>2</v>
      </c>
    </row>
    <row r="902" spans="1:10" x14ac:dyDescent="0.25">
      <c r="A902" t="s">
        <v>10</v>
      </c>
      <c r="B902" s="1" t="str">
        <f>HYPERLINK("http://monskyrizi.fr","monskyrizi.fr")</f>
        <v>monskyrizi.fr</v>
      </c>
      <c r="C902" t="s">
        <v>446</v>
      </c>
      <c r="D902" t="s">
        <v>824</v>
      </c>
      <c r="J902">
        <v>2</v>
      </c>
    </row>
    <row r="903" spans="1:10" x14ac:dyDescent="0.25">
      <c r="A903" t="s">
        <v>10</v>
      </c>
      <c r="B903" s="1" t="str">
        <f>HYPERLINK("http://abbvie.gr","abbvie.gr")</f>
        <v>abbvie.gr</v>
      </c>
      <c r="C903" t="s">
        <v>447</v>
      </c>
      <c r="D903" t="s">
        <v>825</v>
      </c>
      <c r="F903">
        <v>2.42476302419513E-8</v>
      </c>
      <c r="G903">
        <v>2138759</v>
      </c>
      <c r="H903">
        <v>12365730</v>
      </c>
      <c r="I903">
        <v>19486379</v>
      </c>
      <c r="J903">
        <v>2</v>
      </c>
    </row>
    <row r="904" spans="1:10" x14ac:dyDescent="0.25">
      <c r="A904" t="s">
        <v>10</v>
      </c>
      <c r="B904" s="1" t="str">
        <f>HYPERLINK("http://juvederm.gr","juvederm.gr")</f>
        <v>juvederm.gr</v>
      </c>
      <c r="C904" t="s">
        <v>447</v>
      </c>
      <c r="D904" t="s">
        <v>825</v>
      </c>
      <c r="F904">
        <v>1.48596595596995E-8</v>
      </c>
      <c r="G904">
        <v>3886366</v>
      </c>
      <c r="H904">
        <v>12329365</v>
      </c>
      <c r="I904">
        <v>20220601</v>
      </c>
      <c r="J904">
        <v>3</v>
      </c>
    </row>
    <row r="905" spans="1:10" x14ac:dyDescent="0.25">
      <c r="A905" t="s">
        <v>10</v>
      </c>
      <c r="B905" s="1" t="str">
        <f>HYPERLINK("http://abbvie.com.hk","abbvie.com.hk")</f>
        <v>abbvie.com.hk</v>
      </c>
      <c r="C905" t="s">
        <v>450</v>
      </c>
      <c r="D905" t="s">
        <v>827</v>
      </c>
      <c r="F905">
        <v>2.1096815905344E-8</v>
      </c>
      <c r="G905">
        <v>2503159</v>
      </c>
      <c r="H905">
        <v>12470024</v>
      </c>
      <c r="I905">
        <v>17748214</v>
      </c>
      <c r="J905">
        <v>2</v>
      </c>
    </row>
    <row r="906" spans="1:10" x14ac:dyDescent="0.25">
      <c r="A906" t="s">
        <v>10</v>
      </c>
      <c r="B906" s="1" t="str">
        <f>HYPERLINK("http://coolsculpting.hk","coolsculpting.hk")</f>
        <v>coolsculpting.hk</v>
      </c>
      <c r="C906" t="s">
        <v>450</v>
      </c>
      <c r="D906" t="s">
        <v>827</v>
      </c>
      <c r="F906">
        <v>2.0277497526870299E-8</v>
      </c>
      <c r="G906">
        <v>2617439</v>
      </c>
      <c r="H906">
        <v>10696623</v>
      </c>
      <c r="I906">
        <v>42375741</v>
      </c>
      <c r="J906">
        <v>3</v>
      </c>
    </row>
    <row r="907" spans="1:10" x14ac:dyDescent="0.25">
      <c r="A907" t="s">
        <v>10</v>
      </c>
      <c r="B907" s="1" t="str">
        <f>HYPERLINK("http://abbvie.hu","abbvie.hu")</f>
        <v>abbvie.hu</v>
      </c>
      <c r="C907" t="s">
        <v>453</v>
      </c>
      <c r="D907" t="s">
        <v>830</v>
      </c>
      <c r="F907">
        <v>2.08946132375963E-8</v>
      </c>
      <c r="G907">
        <v>2530115</v>
      </c>
      <c r="H907">
        <v>12379466</v>
      </c>
      <c r="I907">
        <v>19219525</v>
      </c>
      <c r="J907">
        <v>2</v>
      </c>
    </row>
    <row r="908" spans="1:10" x14ac:dyDescent="0.25">
      <c r="A908" t="s">
        <v>10</v>
      </c>
      <c r="B908" s="1" t="str">
        <f>HYPERLINK("http://juvederm.hu","juvederm.hu")</f>
        <v>juvederm.hu</v>
      </c>
      <c r="C908" t="s">
        <v>453</v>
      </c>
      <c r="D908" t="s">
        <v>830</v>
      </c>
      <c r="F908">
        <v>1.45021017035298E-8</v>
      </c>
      <c r="G908">
        <v>4021959</v>
      </c>
      <c r="H908">
        <v>10725876</v>
      </c>
      <c r="I908">
        <v>41280742</v>
      </c>
      <c r="J908">
        <v>3</v>
      </c>
    </row>
    <row r="909" spans="1:10" x14ac:dyDescent="0.25">
      <c r="A909" t="s">
        <v>10</v>
      </c>
      <c r="B909" s="1" t="str">
        <f>HYPERLINK("http://abbvie.ie","abbvie.ie")</f>
        <v>abbvie.ie</v>
      </c>
      <c r="C909" t="s">
        <v>455</v>
      </c>
      <c r="D909" t="s">
        <v>832</v>
      </c>
      <c r="F909">
        <v>7.65826944576324E-8</v>
      </c>
      <c r="G909">
        <v>547508</v>
      </c>
      <c r="H909">
        <v>12762198</v>
      </c>
      <c r="I909">
        <v>14938671</v>
      </c>
      <c r="J909">
        <v>2</v>
      </c>
    </row>
    <row r="910" spans="1:10" x14ac:dyDescent="0.25">
      <c r="A910" t="s">
        <v>10</v>
      </c>
      <c r="B910" s="1" t="str">
        <f>HYPERLINK("http://allergan.ie","allergan.ie")</f>
        <v>allergan.ie</v>
      </c>
      <c r="C910" t="s">
        <v>455</v>
      </c>
      <c r="D910" t="s">
        <v>832</v>
      </c>
      <c r="F910">
        <v>5.0909344035095401E-8</v>
      </c>
      <c r="G910">
        <v>900810</v>
      </c>
      <c r="H910">
        <v>12703854</v>
      </c>
      <c r="I910">
        <v>15333662</v>
      </c>
      <c r="J910">
        <v>3</v>
      </c>
    </row>
    <row r="911" spans="1:10" x14ac:dyDescent="0.25">
      <c r="A911" t="s">
        <v>10</v>
      </c>
      <c r="B911" s="1" t="str">
        <f>HYPERLINK("http://abbvie.co.il","abbvie.co.il")</f>
        <v>abbvie.co.il</v>
      </c>
      <c r="C911" t="s">
        <v>456</v>
      </c>
      <c r="D911" t="s">
        <v>833</v>
      </c>
      <c r="F911">
        <v>1.2735450806178499E-8</v>
      </c>
      <c r="G911">
        <v>4761652</v>
      </c>
      <c r="H911">
        <v>12244545</v>
      </c>
      <c r="I911">
        <v>22136528</v>
      </c>
      <c r="J911">
        <v>2</v>
      </c>
    </row>
    <row r="912" spans="1:10" x14ac:dyDescent="0.25">
      <c r="A912" t="s">
        <v>10</v>
      </c>
      <c r="B912" s="1" t="str">
        <f>HYPERLINK("http://allergan.co.in","allergan.co.in")</f>
        <v>allergan.co.in</v>
      </c>
      <c r="C912" t="s">
        <v>457</v>
      </c>
      <c r="D912" t="s">
        <v>834</v>
      </c>
      <c r="F912">
        <v>4.65114781260315E-8</v>
      </c>
      <c r="G912">
        <v>1005528</v>
      </c>
      <c r="H912">
        <v>12774604</v>
      </c>
      <c r="I912">
        <v>14804493</v>
      </c>
      <c r="J912">
        <v>3</v>
      </c>
    </row>
    <row r="913" spans="1:10" x14ac:dyDescent="0.25">
      <c r="A913" t="s">
        <v>10</v>
      </c>
      <c r="B913" s="1" t="str">
        <f>HYPERLINK("http://abbvie.it","abbvie.it")</f>
        <v>abbvie.it</v>
      </c>
      <c r="C913" t="s">
        <v>459</v>
      </c>
      <c r="D913" t="s">
        <v>835</v>
      </c>
      <c r="F913">
        <v>3.8846420622016803E-8</v>
      </c>
      <c r="G913">
        <v>1327338</v>
      </c>
      <c r="H913">
        <v>13951326</v>
      </c>
      <c r="I913">
        <v>4165929</v>
      </c>
      <c r="J913">
        <v>2</v>
      </c>
    </row>
    <row r="914" spans="1:10" x14ac:dyDescent="0.25">
      <c r="A914" t="s">
        <v>10</v>
      </c>
      <c r="B914" s="1" t="str">
        <f>HYPERLINK("http://allergan.it","allergan.it")</f>
        <v>allergan.it</v>
      </c>
      <c r="C914" t="s">
        <v>459</v>
      </c>
      <c r="D914" t="s">
        <v>835</v>
      </c>
      <c r="F914">
        <v>4.40681661500323E-8</v>
      </c>
      <c r="G914">
        <v>1079297</v>
      </c>
      <c r="H914">
        <v>12482706</v>
      </c>
      <c r="I914">
        <v>17574492</v>
      </c>
      <c r="J914">
        <v>3</v>
      </c>
    </row>
    <row r="915" spans="1:10" x14ac:dyDescent="0.25">
      <c r="A915" t="s">
        <v>10</v>
      </c>
      <c r="B915" s="1" t="str">
        <f>HYPERLINK("http://coolsculpting.it","coolsculpting.it")</f>
        <v>coolsculpting.it</v>
      </c>
      <c r="C915" t="s">
        <v>459</v>
      </c>
      <c r="D915" t="s">
        <v>835</v>
      </c>
      <c r="F915">
        <v>2.07928516259417E-8</v>
      </c>
      <c r="G915">
        <v>2544026</v>
      </c>
      <c r="H915">
        <v>12176339</v>
      </c>
      <c r="I915">
        <v>23899059</v>
      </c>
      <c r="J915">
        <v>3</v>
      </c>
    </row>
    <row r="916" spans="1:10" x14ac:dyDescent="0.25">
      <c r="A916" t="s">
        <v>10</v>
      </c>
      <c r="B916" s="1" t="str">
        <f>HYPERLINK("http://rcpabbvie.it","rcpabbvie.it")</f>
        <v>rcpabbvie.it</v>
      </c>
      <c r="C916" t="s">
        <v>459</v>
      </c>
      <c r="D916" t="s">
        <v>835</v>
      </c>
      <c r="J916">
        <v>2</v>
      </c>
    </row>
    <row r="917" spans="1:10" x14ac:dyDescent="0.25">
      <c r="A917" t="s">
        <v>10</v>
      </c>
      <c r="B917" s="1" t="str">
        <f>HYPERLINK("http://allergan.jp","allergan.jp")</f>
        <v>allergan.jp</v>
      </c>
      <c r="C917" t="s">
        <v>461</v>
      </c>
      <c r="D917" t="s">
        <v>837</v>
      </c>
      <c r="F917">
        <v>7.7009467161015403E-8</v>
      </c>
      <c r="G917">
        <v>544005</v>
      </c>
      <c r="H917">
        <v>13051937</v>
      </c>
      <c r="I917">
        <v>12577092</v>
      </c>
      <c r="J917">
        <v>3</v>
      </c>
    </row>
    <row r="918" spans="1:10" x14ac:dyDescent="0.25">
      <c r="A918" t="s">
        <v>10</v>
      </c>
      <c r="B918" s="1" t="str">
        <f>HYPERLINK("http://abbvie.co.jp","abbvie.co.jp")</f>
        <v>abbvie.co.jp</v>
      </c>
      <c r="C918" t="s">
        <v>461</v>
      </c>
      <c r="D918" t="s">
        <v>837</v>
      </c>
      <c r="F918">
        <v>9.1987730802749406E-8</v>
      </c>
      <c r="G918">
        <v>442738</v>
      </c>
      <c r="H918">
        <v>14107677</v>
      </c>
      <c r="I918">
        <v>2682461</v>
      </c>
      <c r="J918">
        <v>2</v>
      </c>
    </row>
    <row r="919" spans="1:10" x14ac:dyDescent="0.25">
      <c r="A919" t="s">
        <v>10</v>
      </c>
      <c r="B919" s="1" t="str">
        <f>HYPERLINK("http://rinvoq.jp","rinvoq.jp")</f>
        <v>rinvoq.jp</v>
      </c>
      <c r="C919" t="s">
        <v>461</v>
      </c>
      <c r="D919" t="s">
        <v>837</v>
      </c>
      <c r="F919">
        <v>7.40337541035343E-9</v>
      </c>
      <c r="G919">
        <v>11236219</v>
      </c>
      <c r="H919">
        <v>11272269</v>
      </c>
      <c r="I919">
        <v>30749717</v>
      </c>
      <c r="J919">
        <v>2</v>
      </c>
    </row>
    <row r="920" spans="1:10" x14ac:dyDescent="0.25">
      <c r="A920" t="s">
        <v>10</v>
      </c>
      <c r="B920" s="1" t="str">
        <f>HYPERLINK("http://abbvie.co.kr","abbvie.co.kr")</f>
        <v>abbvie.co.kr</v>
      </c>
      <c r="C920" t="s">
        <v>463</v>
      </c>
      <c r="D920" t="s">
        <v>839</v>
      </c>
      <c r="F920">
        <v>2.0902751523396301E-8</v>
      </c>
      <c r="G920">
        <v>2529015</v>
      </c>
      <c r="H920">
        <v>12212666</v>
      </c>
      <c r="I920">
        <v>22961719</v>
      </c>
      <c r="J920">
        <v>2</v>
      </c>
    </row>
    <row r="921" spans="1:10" x14ac:dyDescent="0.25">
      <c r="A921" t="s">
        <v>10</v>
      </c>
      <c r="B921" s="1" t="str">
        <f>HYPERLINK("http://allergan.co.kr","allergan.co.kr")</f>
        <v>allergan.co.kr</v>
      </c>
      <c r="C921" t="s">
        <v>463</v>
      </c>
      <c r="D921" t="s">
        <v>839</v>
      </c>
      <c r="F921">
        <v>3.9991588510377902E-8</v>
      </c>
      <c r="G921">
        <v>1292630</v>
      </c>
      <c r="H921">
        <v>12314411</v>
      </c>
      <c r="I921">
        <v>20525500</v>
      </c>
      <c r="J921">
        <v>3</v>
      </c>
    </row>
    <row r="922" spans="1:10" x14ac:dyDescent="0.25">
      <c r="A922" t="s">
        <v>10</v>
      </c>
      <c r="B922" s="1" t="str">
        <f>HYPERLINK("http://coolsculpting.kr","coolsculpting.kr")</f>
        <v>coolsculpting.kr</v>
      </c>
      <c r="C922" t="s">
        <v>463</v>
      </c>
      <c r="D922" t="s">
        <v>839</v>
      </c>
      <c r="F922">
        <v>2.0989579941575899E-8</v>
      </c>
      <c r="G922">
        <v>2517182</v>
      </c>
      <c r="H922">
        <v>11024593</v>
      </c>
      <c r="I922">
        <v>33187440</v>
      </c>
      <c r="J922">
        <v>3</v>
      </c>
    </row>
    <row r="923" spans="1:10" x14ac:dyDescent="0.25">
      <c r="A923" t="s">
        <v>10</v>
      </c>
      <c r="B923" s="1" t="str">
        <f>HYPERLINK("http://juvederm.kz","juvederm.kz")</f>
        <v>juvederm.kz</v>
      </c>
      <c r="C923" t="s">
        <v>465</v>
      </c>
      <c r="D923" t="s">
        <v>841</v>
      </c>
      <c r="F923">
        <v>1.29855120960378E-8</v>
      </c>
      <c r="G923">
        <v>4638496</v>
      </c>
      <c r="H923">
        <v>9794756</v>
      </c>
      <c r="I923">
        <v>62639894</v>
      </c>
      <c r="J923">
        <v>3</v>
      </c>
    </row>
    <row r="924" spans="1:10" x14ac:dyDescent="0.25">
      <c r="A924" t="s">
        <v>10</v>
      </c>
      <c r="B924" s="1" t="str">
        <f>HYPERLINK("http://juvederm.lv","juvederm.lv")</f>
        <v>juvederm.lv</v>
      </c>
      <c r="C924" t="s">
        <v>468</v>
      </c>
      <c r="D924" t="s">
        <v>844</v>
      </c>
      <c r="F924">
        <v>1.4940247963363899E-8</v>
      </c>
      <c r="G924">
        <v>3859276</v>
      </c>
      <c r="H924">
        <v>10727183</v>
      </c>
      <c r="I924">
        <v>41137030</v>
      </c>
      <c r="J924">
        <v>3</v>
      </c>
    </row>
    <row r="925" spans="1:10" x14ac:dyDescent="0.25">
      <c r="A925" t="s">
        <v>10</v>
      </c>
      <c r="B925" s="1" t="str">
        <f>HYPERLINK("http://allergan.mx","allergan.mx")</f>
        <v>allergan.mx</v>
      </c>
      <c r="C925" t="s">
        <v>471</v>
      </c>
      <c r="D925" t="s">
        <v>847</v>
      </c>
      <c r="F925">
        <v>4.4438486064529903E-9</v>
      </c>
      <c r="G925">
        <v>78533344</v>
      </c>
      <c r="H925">
        <v>10541462</v>
      </c>
      <c r="I925">
        <v>47186293</v>
      </c>
      <c r="J925">
        <v>4</v>
      </c>
    </row>
    <row r="926" spans="1:10" x14ac:dyDescent="0.25">
      <c r="A926" t="s">
        <v>10</v>
      </c>
      <c r="B926" s="1" t="str">
        <f>HYPERLINK("http://abbvie.com.mx","abbvie.com.mx")</f>
        <v>abbvie.com.mx</v>
      </c>
      <c r="C926" t="s">
        <v>471</v>
      </c>
      <c r="D926" t="s">
        <v>847</v>
      </c>
      <c r="F926">
        <v>1.4950273867576599E-8</v>
      </c>
      <c r="G926">
        <v>3856009</v>
      </c>
      <c r="H926">
        <v>12208272</v>
      </c>
      <c r="I926">
        <v>23068864</v>
      </c>
      <c r="J926">
        <v>2</v>
      </c>
    </row>
    <row r="927" spans="1:10" x14ac:dyDescent="0.25">
      <c r="A927" t="s">
        <v>10</v>
      </c>
      <c r="B927" s="1" t="str">
        <f>HYPERLINK("http://allergan.com.mx","allergan.com.mx")</f>
        <v>allergan.com.mx</v>
      </c>
      <c r="C927" t="s">
        <v>471</v>
      </c>
      <c r="D927" t="s">
        <v>847</v>
      </c>
      <c r="F927">
        <v>7.3152400003351604E-8</v>
      </c>
      <c r="G927">
        <v>576344</v>
      </c>
      <c r="H927">
        <v>13117693</v>
      </c>
      <c r="I927">
        <v>12002533</v>
      </c>
      <c r="J927">
        <v>3</v>
      </c>
    </row>
    <row r="928" spans="1:10" x14ac:dyDescent="0.25">
      <c r="A928" t="s">
        <v>10</v>
      </c>
      <c r="B928" s="1" t="str">
        <f>HYPERLINK("http://allerganmi.com.mx","allerganmi.com.mx")</f>
        <v>allerganmi.com.mx</v>
      </c>
      <c r="C928" t="s">
        <v>471</v>
      </c>
      <c r="D928" t="s">
        <v>847</v>
      </c>
      <c r="J928">
        <v>2</v>
      </c>
    </row>
    <row r="929" spans="1:10" x14ac:dyDescent="0.25">
      <c r="A929" t="s">
        <v>10</v>
      </c>
      <c r="B929" s="1" t="str">
        <f>HYPERLINK("http://garantianatrelle.com.mx","garantianatrelle.com.mx")</f>
        <v>garantianatrelle.com.mx</v>
      </c>
      <c r="C929" t="s">
        <v>471</v>
      </c>
      <c r="D929" t="s">
        <v>847</v>
      </c>
      <c r="F929">
        <v>5.3881307458110402E-9</v>
      </c>
      <c r="G929">
        <v>22278363</v>
      </c>
      <c r="H929">
        <v>10458399</v>
      </c>
      <c r="I929">
        <v>51867985</v>
      </c>
      <c r="J929">
        <v>2</v>
      </c>
    </row>
    <row r="930" spans="1:10" x14ac:dyDescent="0.25">
      <c r="A930" t="s">
        <v>10</v>
      </c>
      <c r="B930" s="1" t="str">
        <f>HYPERLINK("http://abbvie.com.my","abbvie.com.my")</f>
        <v>abbvie.com.my</v>
      </c>
      <c r="C930" t="s">
        <v>472</v>
      </c>
      <c r="D930" t="s">
        <v>848</v>
      </c>
      <c r="F930">
        <v>1.6891206527137301E-8</v>
      </c>
      <c r="G930">
        <v>3310110</v>
      </c>
      <c r="H930">
        <v>12225388</v>
      </c>
      <c r="I930">
        <v>22644499</v>
      </c>
      <c r="J930">
        <v>2</v>
      </c>
    </row>
    <row r="931" spans="1:10" x14ac:dyDescent="0.25">
      <c r="A931" t="s">
        <v>10</v>
      </c>
      <c r="B931" s="1" t="str">
        <f>HYPERLINK("http://juvederm.com.my","juvederm.com.my")</f>
        <v>juvederm.com.my</v>
      </c>
      <c r="C931" t="s">
        <v>472</v>
      </c>
      <c r="D931" t="s">
        <v>848</v>
      </c>
      <c r="F931">
        <v>1.3266931866882299E-8</v>
      </c>
      <c r="G931">
        <v>4508041</v>
      </c>
      <c r="H931">
        <v>9794767</v>
      </c>
      <c r="I931">
        <v>62639842</v>
      </c>
      <c r="J931">
        <v>3</v>
      </c>
    </row>
    <row r="932" spans="1:10" x14ac:dyDescent="0.25">
      <c r="A932" t="s">
        <v>10</v>
      </c>
      <c r="B932" s="1" t="str">
        <f>HYPERLINK("http://coolsculpting.my","coolsculpting.my")</f>
        <v>coolsculpting.my</v>
      </c>
      <c r="C932" t="s">
        <v>472</v>
      </c>
      <c r="D932" t="s">
        <v>848</v>
      </c>
      <c r="F932">
        <v>2.0692769452212499E-8</v>
      </c>
      <c r="G932">
        <v>2557818</v>
      </c>
      <c r="H932">
        <v>10696619</v>
      </c>
      <c r="I932">
        <v>42375866</v>
      </c>
      <c r="J932">
        <v>3</v>
      </c>
    </row>
    <row r="933" spans="1:10" x14ac:dyDescent="0.25">
      <c r="A933" t="s">
        <v>10</v>
      </c>
      <c r="B933" s="1" t="str">
        <f>HYPERLINK("http://abbvie.net","abbvie.net")</f>
        <v>abbvie.net</v>
      </c>
      <c r="C933" t="s">
        <v>474</v>
      </c>
      <c r="E933">
        <v>19782</v>
      </c>
      <c r="F933">
        <v>1.4054972158250501E-8</v>
      </c>
      <c r="G933">
        <v>4182193</v>
      </c>
      <c r="H933">
        <v>12209521</v>
      </c>
      <c r="I933">
        <v>23039381</v>
      </c>
      <c r="J933">
        <v>2</v>
      </c>
    </row>
    <row r="934" spans="1:10" x14ac:dyDescent="0.25">
      <c r="A934" t="s">
        <v>10</v>
      </c>
      <c r="B934" s="1" t="str">
        <f>HYPERLINK("http://abbvie.nl","abbvie.nl")</f>
        <v>abbvie.nl</v>
      </c>
      <c r="C934" t="s">
        <v>477</v>
      </c>
      <c r="D934" t="s">
        <v>852</v>
      </c>
      <c r="E934">
        <v>932328</v>
      </c>
      <c r="F934">
        <v>5.81813538360267E-8</v>
      </c>
      <c r="G934">
        <v>764539</v>
      </c>
      <c r="H934">
        <v>13452518</v>
      </c>
      <c r="I934">
        <v>10204651</v>
      </c>
      <c r="J934">
        <v>2</v>
      </c>
    </row>
    <row r="935" spans="1:10" x14ac:dyDescent="0.25">
      <c r="A935" t="s">
        <v>10</v>
      </c>
      <c r="B935" s="1" t="str">
        <f>HYPERLINK("http://allergan.nl","allergan.nl")</f>
        <v>allergan.nl</v>
      </c>
      <c r="C935" t="s">
        <v>477</v>
      </c>
      <c r="D935" t="s">
        <v>852</v>
      </c>
      <c r="F935">
        <v>3.8452531922219099E-8</v>
      </c>
      <c r="G935">
        <v>1341818</v>
      </c>
      <c r="H935">
        <v>12286857</v>
      </c>
      <c r="I935">
        <v>21176755</v>
      </c>
      <c r="J935">
        <v>3</v>
      </c>
    </row>
    <row r="936" spans="1:10" x14ac:dyDescent="0.25">
      <c r="A936" t="s">
        <v>10</v>
      </c>
      <c r="B936" s="1" t="str">
        <f>HYPERLINK("http://coolsculpting.nl","coolsculpting.nl")</f>
        <v>coolsculpting.nl</v>
      </c>
      <c r="C936" t="s">
        <v>477</v>
      </c>
      <c r="D936" t="s">
        <v>852</v>
      </c>
      <c r="F936">
        <v>2.4821070557019199E-8</v>
      </c>
      <c r="G936">
        <v>2083404</v>
      </c>
      <c r="H936">
        <v>10696621</v>
      </c>
      <c r="I936">
        <v>42375834</v>
      </c>
      <c r="J936">
        <v>3</v>
      </c>
    </row>
    <row r="937" spans="1:10" x14ac:dyDescent="0.25">
      <c r="A937" t="s">
        <v>10</v>
      </c>
      <c r="B937" s="1" t="str">
        <f>HYPERLINK("http://juvederm.nl","juvederm.nl")</f>
        <v>juvederm.nl</v>
      </c>
      <c r="C937" t="s">
        <v>477</v>
      </c>
      <c r="D937" t="s">
        <v>852</v>
      </c>
      <c r="F937">
        <v>2.9894145655551302E-8</v>
      </c>
      <c r="G937">
        <v>1721442</v>
      </c>
      <c r="H937">
        <v>12604556</v>
      </c>
      <c r="I937">
        <v>16281043</v>
      </c>
      <c r="J937">
        <v>3</v>
      </c>
    </row>
    <row r="938" spans="1:10" x14ac:dyDescent="0.25">
      <c r="A938" t="s">
        <v>10</v>
      </c>
      <c r="B938" s="1" t="str">
        <f>HYPERLINK("http://partnersinhcv.nl","partnersinhcv.nl")</f>
        <v>partnersinhcv.nl</v>
      </c>
      <c r="C938" t="s">
        <v>477</v>
      </c>
      <c r="D938" t="s">
        <v>852</v>
      </c>
      <c r="F938">
        <v>6.39639105854638E-9</v>
      </c>
      <c r="G938">
        <v>14533410</v>
      </c>
      <c r="H938">
        <v>8354554.5</v>
      </c>
      <c r="I938">
        <v>73759174</v>
      </c>
      <c r="J938">
        <v>2</v>
      </c>
    </row>
    <row r="939" spans="1:10" x14ac:dyDescent="0.25">
      <c r="A939" t="s">
        <v>10</v>
      </c>
      <c r="B939" s="1" t="str">
        <f>HYPERLINK("http://partnersinoncologie.nl","partnersinoncologie.nl")</f>
        <v>partnersinoncologie.nl</v>
      </c>
      <c r="C939" t="s">
        <v>477</v>
      </c>
      <c r="D939" t="s">
        <v>852</v>
      </c>
      <c r="J939">
        <v>2</v>
      </c>
    </row>
    <row r="940" spans="1:10" x14ac:dyDescent="0.25">
      <c r="A940" t="s">
        <v>10</v>
      </c>
      <c r="B940" s="1" t="str">
        <f>HYPERLINK("http://partnersinparkinson.nl","partnersinparkinson.nl")</f>
        <v>partnersinparkinson.nl</v>
      </c>
      <c r="C940" t="s">
        <v>477</v>
      </c>
      <c r="D940" t="s">
        <v>852</v>
      </c>
      <c r="F940">
        <v>4.4438168976926404E-9</v>
      </c>
      <c r="G940">
        <v>79305029</v>
      </c>
      <c r="H940">
        <v>10455066</v>
      </c>
      <c r="I940">
        <v>52001237</v>
      </c>
      <c r="J940">
        <v>2</v>
      </c>
    </row>
    <row r="941" spans="1:10" x14ac:dyDescent="0.25">
      <c r="A941" t="s">
        <v>10</v>
      </c>
      <c r="B941" s="1" t="str">
        <f>HYPERLINK("http://abbvie.no","abbvie.no")</f>
        <v>abbvie.no</v>
      </c>
      <c r="C941" t="s">
        <v>478</v>
      </c>
      <c r="D941" t="s">
        <v>853</v>
      </c>
      <c r="F941">
        <v>2.9300252694179901E-8</v>
      </c>
      <c r="G941">
        <v>1758345</v>
      </c>
      <c r="H941">
        <v>12512324</v>
      </c>
      <c r="I941">
        <v>17223369</v>
      </c>
      <c r="J941">
        <v>2</v>
      </c>
    </row>
    <row r="942" spans="1:10" x14ac:dyDescent="0.25">
      <c r="A942" t="s">
        <v>10</v>
      </c>
      <c r="B942" s="1" t="str">
        <f>HYPERLINK("http://abbvie.co.nz","abbvie.co.nz")</f>
        <v>abbvie.co.nz</v>
      </c>
      <c r="C942" t="s">
        <v>479</v>
      </c>
      <c r="D942" t="s">
        <v>854</v>
      </c>
      <c r="F942">
        <v>1.7080358986154098E-8</v>
      </c>
      <c r="G942">
        <v>3265080</v>
      </c>
      <c r="H942">
        <v>12230139</v>
      </c>
      <c r="I942">
        <v>22499288</v>
      </c>
      <c r="J942">
        <v>2</v>
      </c>
    </row>
    <row r="943" spans="1:10" x14ac:dyDescent="0.25">
      <c r="A943" t="s">
        <v>10</v>
      </c>
      <c r="B943" s="1" t="str">
        <f>HYPERLINK("http://allergan.co.nz","allergan.co.nz")</f>
        <v>allergan.co.nz</v>
      </c>
      <c r="C943" t="s">
        <v>479</v>
      </c>
      <c r="D943" t="s">
        <v>854</v>
      </c>
      <c r="F943">
        <v>3.2288512654627503E-8</v>
      </c>
      <c r="G943">
        <v>1601629</v>
      </c>
      <c r="H943">
        <v>12283075</v>
      </c>
      <c r="I943">
        <v>21248691</v>
      </c>
      <c r="J943">
        <v>3</v>
      </c>
    </row>
    <row r="944" spans="1:10" x14ac:dyDescent="0.25">
      <c r="A944" t="s">
        <v>10</v>
      </c>
      <c r="B944" s="1" t="str">
        <f>HYPERLINK("http://mymoodmatters.org","mymoodmatters.org")</f>
        <v>mymoodmatters.org</v>
      </c>
      <c r="C944" t="s">
        <v>481</v>
      </c>
      <c r="J944">
        <v>2</v>
      </c>
    </row>
    <row r="945" spans="1:10" x14ac:dyDescent="0.25">
      <c r="A945" t="s">
        <v>10</v>
      </c>
      <c r="B945" s="1" t="str">
        <f>HYPERLINK("http://juvederm.com.ph","juvederm.com.ph")</f>
        <v>juvederm.com.ph</v>
      </c>
      <c r="C945" t="s">
        <v>484</v>
      </c>
      <c r="D945" t="s">
        <v>858</v>
      </c>
      <c r="F945">
        <v>1.3357319891828501E-8</v>
      </c>
      <c r="G945">
        <v>4468350</v>
      </c>
      <c r="H945">
        <v>11156208</v>
      </c>
      <c r="I945">
        <v>31663133</v>
      </c>
      <c r="J945">
        <v>3</v>
      </c>
    </row>
    <row r="946" spans="1:10" x14ac:dyDescent="0.25">
      <c r="A946" t="s">
        <v>10</v>
      </c>
      <c r="B946" s="1" t="str">
        <f>HYPERLINK("http://abbvie.pl","abbvie.pl")</f>
        <v>abbvie.pl</v>
      </c>
      <c r="C946" t="s">
        <v>486</v>
      </c>
      <c r="D946" t="s">
        <v>860</v>
      </c>
      <c r="F946">
        <v>6.8275511446346098E-8</v>
      </c>
      <c r="G946">
        <v>624855</v>
      </c>
      <c r="H946">
        <v>12558794</v>
      </c>
      <c r="I946">
        <v>16730300</v>
      </c>
      <c r="J946">
        <v>2</v>
      </c>
    </row>
    <row r="947" spans="1:10" x14ac:dyDescent="0.25">
      <c r="A947" t="s">
        <v>10</v>
      </c>
      <c r="B947" s="1" t="str">
        <f>HYPERLINK("http://allergan.pl","allergan.pl")</f>
        <v>allergan.pl</v>
      </c>
      <c r="C947" t="s">
        <v>486</v>
      </c>
      <c r="D947" t="s">
        <v>860</v>
      </c>
      <c r="F947">
        <v>4.29484829463211E-8</v>
      </c>
      <c r="G947">
        <v>1120785</v>
      </c>
      <c r="H947">
        <v>12486453</v>
      </c>
      <c r="I947">
        <v>17529023</v>
      </c>
      <c r="J947">
        <v>3</v>
      </c>
    </row>
    <row r="948" spans="1:10" x14ac:dyDescent="0.25">
      <c r="A948" t="s">
        <v>10</v>
      </c>
      <c r="B948" s="1" t="str">
        <f>HYPERLINK("http://juvederm.pl","juvederm.pl")</f>
        <v>juvederm.pl</v>
      </c>
      <c r="C948" t="s">
        <v>486</v>
      </c>
      <c r="D948" t="s">
        <v>860</v>
      </c>
      <c r="F948">
        <v>1.3500225544308801E-8</v>
      </c>
      <c r="G948">
        <v>4403670</v>
      </c>
      <c r="H948">
        <v>9844053</v>
      </c>
      <c r="I948">
        <v>62216501</v>
      </c>
      <c r="J948">
        <v>3</v>
      </c>
    </row>
    <row r="949" spans="1:10" x14ac:dyDescent="0.25">
      <c r="A949" t="s">
        <v>10</v>
      </c>
      <c r="B949" s="1" t="str">
        <f>HYPERLINK("http://abbvie.pr","abbvie.pr")</f>
        <v>abbvie.pr</v>
      </c>
      <c r="C949" t="s">
        <v>487</v>
      </c>
      <c r="D949" t="s">
        <v>861</v>
      </c>
      <c r="F949">
        <v>1.6011995593142401E-8</v>
      </c>
      <c r="G949">
        <v>3543015</v>
      </c>
      <c r="H949">
        <v>12208000</v>
      </c>
      <c r="I949">
        <v>23076901</v>
      </c>
      <c r="J949">
        <v>2</v>
      </c>
    </row>
    <row r="950" spans="1:10" x14ac:dyDescent="0.25">
      <c r="A950" t="s">
        <v>10</v>
      </c>
      <c r="B950" s="1" t="str">
        <f>HYPERLINK("http://abbvie.pt","abbvie.pt")</f>
        <v>abbvie.pt</v>
      </c>
      <c r="C950" t="s">
        <v>488</v>
      </c>
      <c r="D950" t="s">
        <v>862</v>
      </c>
      <c r="F950">
        <v>4.2946909982298499E-8</v>
      </c>
      <c r="G950">
        <v>1120845</v>
      </c>
      <c r="H950">
        <v>13765746</v>
      </c>
      <c r="I950">
        <v>7068701</v>
      </c>
      <c r="J950">
        <v>2</v>
      </c>
    </row>
    <row r="951" spans="1:10" x14ac:dyDescent="0.25">
      <c r="A951" t="s">
        <v>10</v>
      </c>
      <c r="B951" s="1" t="str">
        <f>HYPERLINK("http://abbviecare.pt","abbviecare.pt")</f>
        <v>abbviecare.pt</v>
      </c>
      <c r="C951" t="s">
        <v>488</v>
      </c>
      <c r="D951" t="s">
        <v>862</v>
      </c>
      <c r="J951">
        <v>2</v>
      </c>
    </row>
    <row r="952" spans="1:10" x14ac:dyDescent="0.25">
      <c r="A952" t="s">
        <v>10</v>
      </c>
      <c r="B952" s="1" t="str">
        <f>HYPERLINK("http://allergan.pt","allergan.pt")</f>
        <v>allergan.pt</v>
      </c>
      <c r="C952" t="s">
        <v>488</v>
      </c>
      <c r="D952" t="s">
        <v>862</v>
      </c>
      <c r="F952">
        <v>3.07950805631086E-8</v>
      </c>
      <c r="G952">
        <v>1672767</v>
      </c>
      <c r="H952">
        <v>12253795</v>
      </c>
      <c r="I952">
        <v>21923818</v>
      </c>
      <c r="J952">
        <v>3</v>
      </c>
    </row>
    <row r="953" spans="1:10" x14ac:dyDescent="0.25">
      <c r="A953" t="s">
        <v>10</v>
      </c>
      <c r="B953" s="1" t="str">
        <f>HYPERLINK("http://juvederm.ro","juvederm.ro")</f>
        <v>juvederm.ro</v>
      </c>
      <c r="C953" t="s">
        <v>491</v>
      </c>
      <c r="D953" t="s">
        <v>865</v>
      </c>
      <c r="E953">
        <v>764327</v>
      </c>
      <c r="F953">
        <v>1.3648348435836499E-8</v>
      </c>
      <c r="G953">
        <v>4341999</v>
      </c>
      <c r="H953">
        <v>10758236</v>
      </c>
      <c r="I953">
        <v>39693434</v>
      </c>
      <c r="J953">
        <v>3</v>
      </c>
    </row>
    <row r="954" spans="1:10" x14ac:dyDescent="0.25">
      <c r="A954" t="s">
        <v>10</v>
      </c>
      <c r="B954" s="1" t="str">
        <f>HYPERLINK("http://allergan.co.rs","allergan.co.rs")</f>
        <v>allergan.co.rs</v>
      </c>
      <c r="C954" t="s">
        <v>492</v>
      </c>
      <c r="D954" t="s">
        <v>866</v>
      </c>
      <c r="F954">
        <v>3.0479423980657097E-8</v>
      </c>
      <c r="G954">
        <v>1689323</v>
      </c>
      <c r="H954">
        <v>12253796</v>
      </c>
      <c r="I954">
        <v>21923807</v>
      </c>
      <c r="J954">
        <v>3</v>
      </c>
    </row>
    <row r="955" spans="1:10" x14ac:dyDescent="0.25">
      <c r="A955" t="s">
        <v>10</v>
      </c>
      <c r="B955" s="1" t="str">
        <f>HYPERLINK("http://abbvie.ru","abbvie.ru")</f>
        <v>abbvie.ru</v>
      </c>
      <c r="C955" t="s">
        <v>493</v>
      </c>
      <c r="D955" t="s">
        <v>867</v>
      </c>
      <c r="F955">
        <v>3.6314413581587399E-8</v>
      </c>
      <c r="G955">
        <v>1436692</v>
      </c>
      <c r="H955">
        <v>12661813</v>
      </c>
      <c r="I955">
        <v>15709848</v>
      </c>
      <c r="J955">
        <v>2</v>
      </c>
    </row>
    <row r="956" spans="1:10" x14ac:dyDescent="0.25">
      <c r="A956" t="s">
        <v>10</v>
      </c>
      <c r="B956" s="1" t="str">
        <f>HYPERLINK("http://allergan.ru","allergan.ru")</f>
        <v>allergan.ru</v>
      </c>
      <c r="C956" t="s">
        <v>493</v>
      </c>
      <c r="D956" t="s">
        <v>867</v>
      </c>
      <c r="F956">
        <v>4.1186814709959402E-8</v>
      </c>
      <c r="G956">
        <v>1260655</v>
      </c>
      <c r="H956">
        <v>12414143</v>
      </c>
      <c r="I956">
        <v>18549843</v>
      </c>
      <c r="J956">
        <v>3</v>
      </c>
    </row>
    <row r="957" spans="1:10" x14ac:dyDescent="0.25">
      <c r="A957" t="s">
        <v>10</v>
      </c>
      <c r="B957" s="1" t="str">
        <f>HYPERLINK("http://abbvie.se","abbvie.se")</f>
        <v>abbvie.se</v>
      </c>
      <c r="C957" t="s">
        <v>495</v>
      </c>
      <c r="D957" t="s">
        <v>869</v>
      </c>
      <c r="F957">
        <v>9.7339292847026895E-8</v>
      </c>
      <c r="G957">
        <v>414991</v>
      </c>
      <c r="H957">
        <v>13880281</v>
      </c>
      <c r="I957">
        <v>5983504</v>
      </c>
      <c r="J957">
        <v>2</v>
      </c>
    </row>
    <row r="958" spans="1:10" x14ac:dyDescent="0.25">
      <c r="A958" t="s">
        <v>10</v>
      </c>
      <c r="B958" s="1" t="str">
        <f>HYPERLINK("http://allergan.se","allergan.se")</f>
        <v>allergan.se</v>
      </c>
      <c r="C958" t="s">
        <v>495</v>
      </c>
      <c r="D958" t="s">
        <v>869</v>
      </c>
      <c r="F958">
        <v>3.8284739687694603E-8</v>
      </c>
      <c r="G958">
        <v>1352168</v>
      </c>
      <c r="H958">
        <v>13363164</v>
      </c>
      <c r="I958">
        <v>10498592</v>
      </c>
      <c r="J958">
        <v>3</v>
      </c>
    </row>
    <row r="959" spans="1:10" x14ac:dyDescent="0.25">
      <c r="A959" t="s">
        <v>10</v>
      </c>
      <c r="B959" s="1" t="str">
        <f>HYPERLINK("http://coolsculpting.se","coolsculpting.se")</f>
        <v>coolsculpting.se</v>
      </c>
      <c r="C959" t="s">
        <v>495</v>
      </c>
      <c r="D959" t="s">
        <v>869</v>
      </c>
      <c r="F959">
        <v>2.0427998684008201E-8</v>
      </c>
      <c r="G959">
        <v>2594889</v>
      </c>
      <c r="H959">
        <v>10696639</v>
      </c>
      <c r="I959">
        <v>42375430</v>
      </c>
      <c r="J959">
        <v>3</v>
      </c>
    </row>
    <row r="960" spans="1:10" x14ac:dyDescent="0.25">
      <c r="A960" t="s">
        <v>10</v>
      </c>
      <c r="B960" s="1" t="str">
        <f>HYPERLINK("http://earfold.se","earfold.se")</f>
        <v>earfold.se</v>
      </c>
      <c r="C960" t="s">
        <v>495</v>
      </c>
      <c r="D960" t="s">
        <v>869</v>
      </c>
      <c r="J960">
        <v>2</v>
      </c>
    </row>
    <row r="961" spans="1:10" x14ac:dyDescent="0.25">
      <c r="A961" t="s">
        <v>10</v>
      </c>
      <c r="B961" s="1" t="str">
        <f>HYPERLINK("http://juvederm.se","juvederm.se")</f>
        <v>juvederm.se</v>
      </c>
      <c r="C961" t="s">
        <v>495</v>
      </c>
      <c r="D961" t="s">
        <v>869</v>
      </c>
      <c r="E961">
        <v>464405</v>
      </c>
      <c r="F961">
        <v>2.1854223390294101E-8</v>
      </c>
      <c r="G961">
        <v>2403377</v>
      </c>
      <c r="H961">
        <v>10306755</v>
      </c>
      <c r="I961">
        <v>58429343</v>
      </c>
      <c r="J961">
        <v>3</v>
      </c>
    </row>
    <row r="962" spans="1:10" x14ac:dyDescent="0.25">
      <c r="A962" t="s">
        <v>10</v>
      </c>
      <c r="B962" s="1" t="str">
        <f>HYPERLINK("http://abbvie.com.sg","abbvie.com.sg")</f>
        <v>abbvie.com.sg</v>
      </c>
      <c r="C962" t="s">
        <v>496</v>
      </c>
      <c r="D962" t="s">
        <v>870</v>
      </c>
      <c r="F962">
        <v>2.04847105486109E-8</v>
      </c>
      <c r="G962">
        <v>2586848</v>
      </c>
      <c r="H962">
        <v>12237261</v>
      </c>
      <c r="I962">
        <v>22326965</v>
      </c>
      <c r="J962">
        <v>2</v>
      </c>
    </row>
    <row r="963" spans="1:10" x14ac:dyDescent="0.25">
      <c r="A963" t="s">
        <v>10</v>
      </c>
      <c r="B963" s="1" t="str">
        <f>HYPERLINK("http://coolsculpting.sg","coolsculpting.sg")</f>
        <v>coolsculpting.sg</v>
      </c>
      <c r="C963" t="s">
        <v>496</v>
      </c>
      <c r="D963" t="s">
        <v>870</v>
      </c>
      <c r="F963">
        <v>2.0662473441471202E-8</v>
      </c>
      <c r="G963">
        <v>2562057</v>
      </c>
      <c r="H963">
        <v>11073059</v>
      </c>
      <c r="I963">
        <v>32547476</v>
      </c>
      <c r="J963">
        <v>3</v>
      </c>
    </row>
    <row r="964" spans="1:10" x14ac:dyDescent="0.25">
      <c r="A964" t="s">
        <v>10</v>
      </c>
      <c r="B964" s="1" t="str">
        <f>HYPERLINK("http://luskavica-psoriaza.si","luskavica-psoriaza.si")</f>
        <v>luskavica-psoriaza.si</v>
      </c>
      <c r="C964" t="s">
        <v>497</v>
      </c>
      <c r="D964" t="s">
        <v>871</v>
      </c>
      <c r="F964">
        <v>4.9043291031274196E-9</v>
      </c>
      <c r="G964">
        <v>32341981</v>
      </c>
      <c r="H964">
        <v>12061315</v>
      </c>
      <c r="I964">
        <v>26979454</v>
      </c>
      <c r="J964">
        <v>3</v>
      </c>
    </row>
    <row r="965" spans="1:10" x14ac:dyDescent="0.25">
      <c r="A965" t="s">
        <v>10</v>
      </c>
      <c r="B965" s="1" t="str">
        <f>HYPERLINK("http://abbvie.sk","abbvie.sk")</f>
        <v>abbvie.sk</v>
      </c>
      <c r="C965" t="s">
        <v>498</v>
      </c>
      <c r="D965" t="s">
        <v>872</v>
      </c>
      <c r="F965">
        <v>1.7536124291845102E-8</v>
      </c>
      <c r="G965">
        <v>3137660</v>
      </c>
      <c r="H965">
        <v>12290198</v>
      </c>
      <c r="I965">
        <v>21106253</v>
      </c>
      <c r="J965">
        <v>2</v>
      </c>
    </row>
    <row r="966" spans="1:10" x14ac:dyDescent="0.25">
      <c r="A966" t="s">
        <v>10</v>
      </c>
      <c r="B966" s="1" t="str">
        <f>HYPERLINK("http://coolsculpting.co.th","coolsculpting.co.th")</f>
        <v>coolsculpting.co.th</v>
      </c>
      <c r="C966" t="s">
        <v>500</v>
      </c>
      <c r="D966" t="s">
        <v>874</v>
      </c>
      <c r="F966">
        <v>1.18862307667411E-8</v>
      </c>
      <c r="G966">
        <v>5247592</v>
      </c>
      <c r="H966">
        <v>10825735</v>
      </c>
      <c r="I966">
        <v>37489753</v>
      </c>
      <c r="J966">
        <v>4</v>
      </c>
    </row>
    <row r="967" spans="1:10" x14ac:dyDescent="0.25">
      <c r="A967" t="s">
        <v>10</v>
      </c>
      <c r="B967" s="1" t="str">
        <f>HYPERLINK("http://abbvie.com.tr","abbvie.com.tr")</f>
        <v>abbvie.com.tr</v>
      </c>
      <c r="C967" t="s">
        <v>502</v>
      </c>
      <c r="D967" t="s">
        <v>876</v>
      </c>
      <c r="F967">
        <v>2.3302032641164699E-8</v>
      </c>
      <c r="G967">
        <v>2238696</v>
      </c>
      <c r="H967">
        <v>12241133</v>
      </c>
      <c r="I967">
        <v>22230485</v>
      </c>
      <c r="J967">
        <v>2</v>
      </c>
    </row>
    <row r="968" spans="1:10" x14ac:dyDescent="0.25">
      <c r="A968" t="s">
        <v>10</v>
      </c>
      <c r="B968" s="1" t="str">
        <f>HYPERLINK("http://allergan.com.tr","allergan.com.tr")</f>
        <v>allergan.com.tr</v>
      </c>
      <c r="C968" t="s">
        <v>502</v>
      </c>
      <c r="D968" t="s">
        <v>876</v>
      </c>
      <c r="F968">
        <v>4.1089282184741302E-8</v>
      </c>
      <c r="G968">
        <v>1263154</v>
      </c>
      <c r="H968">
        <v>12276226</v>
      </c>
      <c r="I968">
        <v>21386293</v>
      </c>
      <c r="J968">
        <v>3</v>
      </c>
    </row>
    <row r="969" spans="1:10" x14ac:dyDescent="0.25">
      <c r="A969" t="s">
        <v>10</v>
      </c>
      <c r="B969" s="1" t="str">
        <f>HYPERLINK("http://abbvie.com.tw","abbvie.com.tw")</f>
        <v>abbvie.com.tw</v>
      </c>
      <c r="C969" t="s">
        <v>504</v>
      </c>
      <c r="D969" t="s">
        <v>878</v>
      </c>
      <c r="F969">
        <v>2.0545397182536798E-8</v>
      </c>
      <c r="G969">
        <v>2578269</v>
      </c>
      <c r="H969">
        <v>12299718</v>
      </c>
      <c r="I969">
        <v>20840232</v>
      </c>
      <c r="J969">
        <v>2</v>
      </c>
    </row>
    <row r="970" spans="1:10" x14ac:dyDescent="0.25">
      <c r="A970" t="s">
        <v>10</v>
      </c>
      <c r="B970" s="1" t="str">
        <f>HYPERLINK("http://allergan.com.tw","allergan.com.tw")</f>
        <v>allergan.com.tw</v>
      </c>
      <c r="C970" t="s">
        <v>504</v>
      </c>
      <c r="D970" t="s">
        <v>878</v>
      </c>
      <c r="F970">
        <v>3.6508526336929001E-8</v>
      </c>
      <c r="G970">
        <v>1430296</v>
      </c>
      <c r="H970">
        <v>12397721</v>
      </c>
      <c r="I970">
        <v>18886720</v>
      </c>
      <c r="J970">
        <v>3</v>
      </c>
    </row>
    <row r="971" spans="1:10" x14ac:dyDescent="0.25">
      <c r="A971" t="s">
        <v>10</v>
      </c>
      <c r="B971" s="1" t="str">
        <f>HYPERLINK("http://abbvie.ua","abbvie.ua")</f>
        <v>abbvie.ua</v>
      </c>
      <c r="C971" t="s">
        <v>505</v>
      </c>
      <c r="D971" t="s">
        <v>879</v>
      </c>
      <c r="F971">
        <v>1.59301818711521E-8</v>
      </c>
      <c r="G971">
        <v>3564669</v>
      </c>
      <c r="H971">
        <v>12228817</v>
      </c>
      <c r="I971">
        <v>22538466</v>
      </c>
      <c r="J971">
        <v>2</v>
      </c>
    </row>
    <row r="972" spans="1:10" x14ac:dyDescent="0.25">
      <c r="A972" t="s">
        <v>10</v>
      </c>
      <c r="B972" s="1" t="str">
        <f>HYPERLINK("http://juvederm.ua","juvederm.ua")</f>
        <v>juvederm.ua</v>
      </c>
      <c r="C972" t="s">
        <v>505</v>
      </c>
      <c r="D972" t="s">
        <v>879</v>
      </c>
      <c r="E972">
        <v>708328</v>
      </c>
      <c r="F972">
        <v>1.33290739117045E-8</v>
      </c>
      <c r="G972">
        <v>4480785</v>
      </c>
      <c r="H972">
        <v>9815582</v>
      </c>
      <c r="I972">
        <v>62474093</v>
      </c>
      <c r="J972">
        <v>3</v>
      </c>
    </row>
    <row r="973" spans="1:10" x14ac:dyDescent="0.25">
      <c r="A973" t="s">
        <v>10</v>
      </c>
      <c r="B973" s="1" t="str">
        <f>HYPERLINK("http://abbvie.co.uk","abbvie.co.uk")</f>
        <v>abbvie.co.uk</v>
      </c>
      <c r="C973" t="s">
        <v>506</v>
      </c>
      <c r="D973" t="s">
        <v>880</v>
      </c>
      <c r="F973">
        <v>3.6907665372722698E-8</v>
      </c>
      <c r="G973">
        <v>1417094</v>
      </c>
      <c r="H973">
        <v>13391884</v>
      </c>
      <c r="I973">
        <v>10387186</v>
      </c>
      <c r="J973">
        <v>2</v>
      </c>
    </row>
    <row r="974" spans="1:10" x14ac:dyDescent="0.25">
      <c r="A974" t="s">
        <v>10</v>
      </c>
      <c r="B974" s="1" t="str">
        <f>HYPERLINK("http://allergan.co.uk","allergan.co.uk")</f>
        <v>allergan.co.uk</v>
      </c>
      <c r="C974" t="s">
        <v>506</v>
      </c>
      <c r="D974" t="s">
        <v>880</v>
      </c>
      <c r="F974">
        <v>8.4079811661693997E-8</v>
      </c>
      <c r="G974">
        <v>492078</v>
      </c>
      <c r="H974">
        <v>13828548</v>
      </c>
      <c r="I974">
        <v>6115312</v>
      </c>
      <c r="J974">
        <v>3</v>
      </c>
    </row>
    <row r="975" spans="1:10" x14ac:dyDescent="0.25">
      <c r="A975" t="s">
        <v>10</v>
      </c>
      <c r="B975" s="1" t="str">
        <f>HYPERLINK("http://earfold.co.uk","earfold.co.uk")</f>
        <v>earfold.co.uk</v>
      </c>
      <c r="C975" t="s">
        <v>506</v>
      </c>
      <c r="D975" t="s">
        <v>880</v>
      </c>
      <c r="F975">
        <v>6.8155992680478998E-9</v>
      </c>
      <c r="G975">
        <v>12908378</v>
      </c>
      <c r="H975">
        <v>10915234</v>
      </c>
      <c r="I975">
        <v>35510507</v>
      </c>
      <c r="J975">
        <v>2</v>
      </c>
    </row>
    <row r="976" spans="1:10" x14ac:dyDescent="0.25">
      <c r="A976" t="s">
        <v>10</v>
      </c>
      <c r="B976" s="1" t="str">
        <f>HYPERLINK("http://juvederm.co.uk","juvederm.co.uk")</f>
        <v>juvederm.co.uk</v>
      </c>
      <c r="C976" t="s">
        <v>506</v>
      </c>
      <c r="D976" t="s">
        <v>880</v>
      </c>
      <c r="F976">
        <v>3.8063418990771397E-8</v>
      </c>
      <c r="G976">
        <v>1359747</v>
      </c>
      <c r="H976">
        <v>12910053</v>
      </c>
      <c r="I976">
        <v>13564587</v>
      </c>
      <c r="J976">
        <v>3</v>
      </c>
    </row>
    <row r="977" spans="1:10" x14ac:dyDescent="0.25">
      <c r="A977" t="s">
        <v>10</v>
      </c>
      <c r="B977" s="1" t="str">
        <f>HYPERLINK("http://abbvie.com.uy","abbvie.com.uy")</f>
        <v>abbvie.com.uy</v>
      </c>
      <c r="C977" t="s">
        <v>507</v>
      </c>
      <c r="D977" t="s">
        <v>881</v>
      </c>
      <c r="F977">
        <v>1.25674507894305E-8</v>
      </c>
      <c r="G977">
        <v>4849266</v>
      </c>
      <c r="H977">
        <v>12205280</v>
      </c>
      <c r="I977">
        <v>23184379</v>
      </c>
      <c r="J977">
        <v>2</v>
      </c>
    </row>
    <row r="978" spans="1:10" x14ac:dyDescent="0.25">
      <c r="A978" t="s">
        <v>10</v>
      </c>
      <c r="B978" s="1" t="str">
        <f>HYPERLINK("http://allergan.co.za","allergan.co.za")</f>
        <v>allergan.co.za</v>
      </c>
      <c r="C978" t="s">
        <v>510</v>
      </c>
      <c r="D978" t="s">
        <v>884</v>
      </c>
      <c r="F978">
        <v>3.2010064177113399E-8</v>
      </c>
      <c r="G978">
        <v>1614648</v>
      </c>
      <c r="H978">
        <v>12253931</v>
      </c>
      <c r="I978">
        <v>21921412</v>
      </c>
      <c r="J978">
        <v>3</v>
      </c>
    </row>
    <row r="979" spans="1:10" x14ac:dyDescent="0.25">
      <c r="A979" t="s">
        <v>11</v>
      </c>
      <c r="B979" s="1" t="str">
        <f>HYPERLINK("http://tapco.ae","tapco.ae")</f>
        <v>tapco.ae</v>
      </c>
      <c r="C979" t="s">
        <v>417</v>
      </c>
      <c r="D979" t="s">
        <v>799</v>
      </c>
      <c r="F979">
        <v>5.2366677018353698E-9</v>
      </c>
      <c r="G979">
        <v>24467343</v>
      </c>
      <c r="H979">
        <v>12227448</v>
      </c>
      <c r="I979">
        <v>22570504</v>
      </c>
      <c r="J979">
        <v>4</v>
      </c>
    </row>
    <row r="980" spans="1:10" x14ac:dyDescent="0.25">
      <c r="A980" t="s">
        <v>11</v>
      </c>
      <c r="B980" s="1" t="str">
        <f>HYPERLINK("http://taqa.ae","taqa.ae")</f>
        <v>taqa.ae</v>
      </c>
      <c r="C980" t="s">
        <v>417</v>
      </c>
      <c r="D980" t="s">
        <v>799</v>
      </c>
      <c r="F980">
        <v>1.09679522211399E-8</v>
      </c>
      <c r="G980">
        <v>5885895</v>
      </c>
      <c r="H980">
        <v>13167082</v>
      </c>
      <c r="I980">
        <v>11736059</v>
      </c>
      <c r="J980">
        <v>3</v>
      </c>
    </row>
    <row r="981" spans="1:10" x14ac:dyDescent="0.25">
      <c r="A981" t="s">
        <v>11</v>
      </c>
      <c r="B981" s="1" t="str">
        <f>HYPERLINK("http://emsembcorp.com","emsembcorp.com")</f>
        <v>emsembcorp.com</v>
      </c>
      <c r="C981" t="s">
        <v>433</v>
      </c>
      <c r="F981">
        <v>8.8445421895087198E-9</v>
      </c>
      <c r="G981">
        <v>8233052</v>
      </c>
      <c r="H981">
        <v>14071791</v>
      </c>
      <c r="I981">
        <v>3423910</v>
      </c>
      <c r="J981">
        <v>4</v>
      </c>
    </row>
    <row r="982" spans="1:10" x14ac:dyDescent="0.25">
      <c r="A982" t="s">
        <v>11</v>
      </c>
      <c r="B982" s="1" t="str">
        <f>HYPERLINK("http://gasstoragebergermeer.com","gasstoragebergermeer.com")</f>
        <v>gasstoragebergermeer.com</v>
      </c>
      <c r="C982" t="s">
        <v>433</v>
      </c>
      <c r="F982">
        <v>1.1711256054412001E-8</v>
      </c>
      <c r="G982">
        <v>5359264</v>
      </c>
      <c r="H982">
        <v>12332387</v>
      </c>
      <c r="I982">
        <v>20161816</v>
      </c>
      <c r="J982">
        <v>4</v>
      </c>
    </row>
    <row r="983" spans="1:10" x14ac:dyDescent="0.25">
      <c r="A983" t="s">
        <v>11</v>
      </c>
      <c r="B983" s="1" t="str">
        <f>HYPERLINK("http://taqa.com","taqa.com")</f>
        <v>taqa.com</v>
      </c>
      <c r="C983" t="s">
        <v>433</v>
      </c>
      <c r="E983">
        <v>828084</v>
      </c>
      <c r="F983">
        <v>1.3462900136064801E-7</v>
      </c>
      <c r="G983">
        <v>289955</v>
      </c>
      <c r="H983">
        <v>13259689</v>
      </c>
      <c r="I983">
        <v>11042543</v>
      </c>
      <c r="J983">
        <v>4</v>
      </c>
    </row>
    <row r="984" spans="1:10" x14ac:dyDescent="0.25">
      <c r="A984" t="s">
        <v>11</v>
      </c>
      <c r="B984" s="1" t="str">
        <f>HYPERLINK("http://taqaglobal.com","taqaglobal.com")</f>
        <v>taqaglobal.com</v>
      </c>
      <c r="C984" t="s">
        <v>433</v>
      </c>
      <c r="F984">
        <v>6.2805188291957096E-8</v>
      </c>
      <c r="G984">
        <v>698250</v>
      </c>
      <c r="H984">
        <v>13962973</v>
      </c>
      <c r="I984">
        <v>4099572</v>
      </c>
      <c r="J984">
        <v>1</v>
      </c>
    </row>
    <row r="985" spans="1:10" x14ac:dyDescent="0.25">
      <c r="A985" t="s">
        <v>11</v>
      </c>
      <c r="B985" s="1" t="str">
        <f>HYPERLINK("http://taqamorocco.ma","taqamorocco.ma")</f>
        <v>taqamorocco.ma</v>
      </c>
      <c r="C985" t="s">
        <v>469</v>
      </c>
      <c r="D985" t="s">
        <v>845</v>
      </c>
      <c r="E985">
        <v>103925</v>
      </c>
      <c r="F985">
        <v>1.5436240876159598E-8</v>
      </c>
      <c r="G985">
        <v>3703385</v>
      </c>
      <c r="H985">
        <v>13381040</v>
      </c>
      <c r="I985">
        <v>10423926</v>
      </c>
      <c r="J985">
        <v>3</v>
      </c>
    </row>
    <row r="986" spans="1:10" x14ac:dyDescent="0.25">
      <c r="A986" t="s">
        <v>12</v>
      </c>
      <c r="B986" s="1" t="str">
        <f>HYPERLINK("http://octo.academy","octo.academy")</f>
        <v>octo.academy</v>
      </c>
      <c r="C986" t="s">
        <v>514</v>
      </c>
      <c r="F986">
        <v>1.2949395603480501E-8</v>
      </c>
      <c r="G986">
        <v>4656033</v>
      </c>
      <c r="H986">
        <v>12571856</v>
      </c>
      <c r="I986">
        <v>16608211</v>
      </c>
      <c r="J986">
        <v>4</v>
      </c>
    </row>
    <row r="987" spans="1:10" x14ac:dyDescent="0.25">
      <c r="A987" t="s">
        <v>12</v>
      </c>
      <c r="B987" s="1" t="str">
        <f>HYPERLINK("http://accenture.ae","accenture.ae")</f>
        <v>accenture.ae</v>
      </c>
      <c r="C987" t="s">
        <v>417</v>
      </c>
      <c r="D987" t="s">
        <v>799</v>
      </c>
      <c r="F987">
        <v>1.04023266256659E-8</v>
      </c>
      <c r="G987">
        <v>6356786</v>
      </c>
      <c r="H987">
        <v>12873834</v>
      </c>
      <c r="I987">
        <v>14042819</v>
      </c>
      <c r="J987">
        <v>2</v>
      </c>
    </row>
    <row r="988" spans="1:10" x14ac:dyDescent="0.25">
      <c r="A988" t="s">
        <v>12</v>
      </c>
      <c r="B988" s="1" t="str">
        <f>HYPERLINK("http://sinnerschrader.ag","sinnerschrader.ag")</f>
        <v>sinnerschrader.ag</v>
      </c>
      <c r="C988" t="s">
        <v>564</v>
      </c>
      <c r="D988" t="s">
        <v>912</v>
      </c>
      <c r="F988">
        <v>1.2268890916201699E-8</v>
      </c>
      <c r="G988">
        <v>5011553</v>
      </c>
      <c r="H988">
        <v>14241716</v>
      </c>
      <c r="I988">
        <v>1489597</v>
      </c>
      <c r="J988">
        <v>3</v>
      </c>
    </row>
    <row r="989" spans="1:10" x14ac:dyDescent="0.25">
      <c r="A989" t="s">
        <v>12</v>
      </c>
      <c r="B989" s="1" t="str">
        <f>HYPERLINK("http://wolox.com.ar","wolox.com.ar")</f>
        <v>wolox.com.ar</v>
      </c>
      <c r="C989" t="s">
        <v>418</v>
      </c>
      <c r="D989" t="s">
        <v>800</v>
      </c>
      <c r="F989">
        <v>4.1450873509558002E-8</v>
      </c>
      <c r="G989">
        <v>1204208</v>
      </c>
      <c r="H989">
        <v>13762012</v>
      </c>
      <c r="I989">
        <v>9413243</v>
      </c>
      <c r="J989">
        <v>3</v>
      </c>
    </row>
    <row r="990" spans="1:10" x14ac:dyDescent="0.25">
      <c r="A990" t="s">
        <v>12</v>
      </c>
      <c r="B990" s="1" t="str">
        <f>HYPERLINK("http://avanade.at","avanade.at")</f>
        <v>avanade.at</v>
      </c>
      <c r="C990" t="s">
        <v>419</v>
      </c>
      <c r="D990" t="s">
        <v>801</v>
      </c>
      <c r="F990">
        <v>6.5571190150811498E-9</v>
      </c>
      <c r="G990">
        <v>13844738</v>
      </c>
      <c r="H990">
        <v>12360511</v>
      </c>
      <c r="I990">
        <v>19575559</v>
      </c>
      <c r="J990">
        <v>4</v>
      </c>
    </row>
    <row r="991" spans="1:10" x14ac:dyDescent="0.25">
      <c r="A991" t="s">
        <v>12</v>
      </c>
      <c r="B991" s="1" t="str">
        <f>HYPERLINK("http://analytics8.com.au","analytics8.com.au")</f>
        <v>analytics8.com.au</v>
      </c>
      <c r="C991" t="s">
        <v>420</v>
      </c>
      <c r="D991" t="s">
        <v>802</v>
      </c>
      <c r="F991">
        <v>5.6413385067411599E-9</v>
      </c>
      <c r="G991">
        <v>19472486</v>
      </c>
      <c r="H991">
        <v>12595691</v>
      </c>
      <c r="I991">
        <v>16371562</v>
      </c>
      <c r="J991">
        <v>3</v>
      </c>
    </row>
    <row r="992" spans="1:10" x14ac:dyDescent="0.25">
      <c r="A992" t="s">
        <v>12</v>
      </c>
      <c r="B992" s="1" t="str">
        <f>HYPERLINK("http://apisgroup.com.au","apisgroup.com.au")</f>
        <v>apisgroup.com.au</v>
      </c>
      <c r="C992" t="s">
        <v>420</v>
      </c>
      <c r="D992" t="s">
        <v>802</v>
      </c>
      <c r="F992">
        <v>1.14704242658195E-8</v>
      </c>
      <c r="G992">
        <v>5525239</v>
      </c>
      <c r="H992">
        <v>13290690</v>
      </c>
      <c r="I992">
        <v>10874705</v>
      </c>
      <c r="J992">
        <v>3</v>
      </c>
    </row>
    <row r="993" spans="1:10" x14ac:dyDescent="0.25">
      <c r="A993" t="s">
        <v>12</v>
      </c>
      <c r="B993" s="1" t="str">
        <f>HYPERLINK("http://electro80.com.au","electro80.com.au")</f>
        <v>electro80.com.au</v>
      </c>
      <c r="C993" t="s">
        <v>420</v>
      </c>
      <c r="D993" t="s">
        <v>802</v>
      </c>
      <c r="F993">
        <v>1.5124044160014001E-8</v>
      </c>
      <c r="G993">
        <v>3800093</v>
      </c>
      <c r="H993">
        <v>13307432</v>
      </c>
      <c r="I993">
        <v>10792769</v>
      </c>
      <c r="J993">
        <v>3</v>
      </c>
    </row>
    <row r="994" spans="1:10" x14ac:dyDescent="0.25">
      <c r="A994" t="s">
        <v>12</v>
      </c>
      <c r="B994" s="1" t="str">
        <f>HYPERLINK("http://iconintegration.com.au","iconintegration.com.au")</f>
        <v>iconintegration.com.au</v>
      </c>
      <c r="C994" t="s">
        <v>420</v>
      </c>
      <c r="D994" t="s">
        <v>802</v>
      </c>
      <c r="F994">
        <v>1.0653674409433299E-8</v>
      </c>
      <c r="G994">
        <v>6138432</v>
      </c>
      <c r="H994">
        <v>12873850</v>
      </c>
      <c r="I994">
        <v>14042690</v>
      </c>
      <c r="J994">
        <v>3</v>
      </c>
    </row>
    <row r="995" spans="1:10" x14ac:dyDescent="0.25">
      <c r="A995" t="s">
        <v>12</v>
      </c>
      <c r="B995" s="1" t="str">
        <f>HYPERLINK("http://loudclear.com.au","loudclear.com.au")</f>
        <v>loudclear.com.au</v>
      </c>
      <c r="C995" t="s">
        <v>420</v>
      </c>
      <c r="D995" t="s">
        <v>802</v>
      </c>
      <c r="F995">
        <v>1.24729718442215E-8</v>
      </c>
      <c r="G995">
        <v>4899726</v>
      </c>
      <c r="H995">
        <v>14036327</v>
      </c>
      <c r="I995">
        <v>3914238</v>
      </c>
      <c r="J995">
        <v>3</v>
      </c>
    </row>
    <row r="996" spans="1:10" x14ac:dyDescent="0.25">
      <c r="A996" t="s">
        <v>12</v>
      </c>
      <c r="B996" s="1" t="str">
        <f>HYPERLINK("http://olikka.com.au","olikka.com.au")</f>
        <v>olikka.com.au</v>
      </c>
      <c r="C996" t="s">
        <v>420</v>
      </c>
      <c r="D996" t="s">
        <v>802</v>
      </c>
      <c r="F996">
        <v>4.9466396381838702E-8</v>
      </c>
      <c r="G996">
        <v>935409</v>
      </c>
      <c r="H996">
        <v>14109968</v>
      </c>
      <c r="I996">
        <v>2676225</v>
      </c>
      <c r="J996">
        <v>3</v>
      </c>
    </row>
    <row r="997" spans="1:10" x14ac:dyDescent="0.25">
      <c r="A997" t="s">
        <v>12</v>
      </c>
      <c r="B997" s="1" t="str">
        <f>HYPERLINK("http://primeq.com.au","primeq.com.au")</f>
        <v>primeq.com.au</v>
      </c>
      <c r="C997" t="s">
        <v>420</v>
      </c>
      <c r="D997" t="s">
        <v>802</v>
      </c>
      <c r="F997">
        <v>5.4342714654259197E-9</v>
      </c>
      <c r="G997">
        <v>21688374</v>
      </c>
      <c r="H997">
        <v>12488856</v>
      </c>
      <c r="I997">
        <v>17502287</v>
      </c>
      <c r="J997">
        <v>3</v>
      </c>
    </row>
    <row r="998" spans="1:10" x14ac:dyDescent="0.25">
      <c r="A998" t="s">
        <v>12</v>
      </c>
      <c r="B998" s="1" t="str">
        <f>HYPERLINK("http://themonkeys.com.au","themonkeys.com.au")</f>
        <v>themonkeys.com.au</v>
      </c>
      <c r="C998" t="s">
        <v>420</v>
      </c>
      <c r="D998" t="s">
        <v>802</v>
      </c>
      <c r="F998">
        <v>1.15988428146861E-7</v>
      </c>
      <c r="G998">
        <v>342891</v>
      </c>
      <c r="H998">
        <v>17099450</v>
      </c>
      <c r="I998">
        <v>64003</v>
      </c>
      <c r="J998">
        <v>3</v>
      </c>
    </row>
    <row r="999" spans="1:10" x14ac:dyDescent="0.25">
      <c r="A999" t="s">
        <v>12</v>
      </c>
      <c r="B999" s="1" t="str">
        <f>HYPERLINK("http://accenture.com.br","accenture.com.br")</f>
        <v>accenture.com.br</v>
      </c>
      <c r="C999" t="s">
        <v>425</v>
      </c>
      <c r="D999" t="s">
        <v>806</v>
      </c>
      <c r="F999">
        <v>1.2356962120215501E-8</v>
      </c>
      <c r="G999">
        <v>4962690</v>
      </c>
      <c r="H999">
        <v>13001001</v>
      </c>
      <c r="I999">
        <v>12791244</v>
      </c>
      <c r="J999">
        <v>2</v>
      </c>
    </row>
    <row r="1000" spans="1:10" x14ac:dyDescent="0.25">
      <c r="A1000" t="s">
        <v>12</v>
      </c>
      <c r="B1000" s="1" t="str">
        <f>HYPERLINK("http://upinnovationlab.com.br","upinnovationlab.com.br")</f>
        <v>upinnovationlab.com.br</v>
      </c>
      <c r="C1000" t="s">
        <v>425</v>
      </c>
      <c r="D1000" t="s">
        <v>806</v>
      </c>
      <c r="F1000">
        <v>4.4566618959035398E-9</v>
      </c>
      <c r="G1000">
        <v>68873703</v>
      </c>
      <c r="H1000">
        <v>11983875</v>
      </c>
      <c r="I1000">
        <v>28452498</v>
      </c>
      <c r="J1000">
        <v>5</v>
      </c>
    </row>
    <row r="1001" spans="1:10" x14ac:dyDescent="0.25">
      <c r="A1001" t="s">
        <v>12</v>
      </c>
      <c r="B1001" s="1" t="str">
        <f>HYPERLINK("http://accenture.ch","accenture.ch")</f>
        <v>accenture.ch</v>
      </c>
      <c r="C1001" t="s">
        <v>429</v>
      </c>
      <c r="D1001" t="s">
        <v>810</v>
      </c>
      <c r="F1001">
        <v>2.0988094786147801E-8</v>
      </c>
      <c r="G1001">
        <v>2517370</v>
      </c>
      <c r="H1001">
        <v>13241079</v>
      </c>
      <c r="I1001">
        <v>11214238</v>
      </c>
      <c r="J1001">
        <v>2</v>
      </c>
    </row>
    <row r="1002" spans="1:10" x14ac:dyDescent="0.25">
      <c r="A1002" t="s">
        <v>12</v>
      </c>
      <c r="B1002" s="1" t="str">
        <f>HYPERLINK("http://accenture.cn","accenture.cn")</f>
        <v>accenture.cn</v>
      </c>
      <c r="C1002" t="s">
        <v>431</v>
      </c>
      <c r="D1002" t="s">
        <v>812</v>
      </c>
      <c r="E1002">
        <v>180239</v>
      </c>
      <c r="F1002">
        <v>1.19430890793343E-7</v>
      </c>
      <c r="G1002">
        <v>331180</v>
      </c>
      <c r="H1002">
        <v>13879483</v>
      </c>
      <c r="I1002">
        <v>5984588</v>
      </c>
      <c r="J1002">
        <v>2</v>
      </c>
    </row>
    <row r="1003" spans="1:10" x14ac:dyDescent="0.25">
      <c r="A1003" t="s">
        <v>12</v>
      </c>
      <c r="B1003" s="1" t="str">
        <f>HYPERLINK("http://futuremove.cn","futuremove.cn")</f>
        <v>futuremove.cn</v>
      </c>
      <c r="C1003" t="s">
        <v>431</v>
      </c>
      <c r="D1003" t="s">
        <v>812</v>
      </c>
      <c r="F1003">
        <v>1.3264391595252301E-8</v>
      </c>
      <c r="G1003">
        <v>4509116</v>
      </c>
      <c r="H1003">
        <v>12973559</v>
      </c>
      <c r="I1003">
        <v>13026130</v>
      </c>
      <c r="J1003">
        <v>3</v>
      </c>
    </row>
    <row r="1004" spans="1:10" x14ac:dyDescent="0.25">
      <c r="A1004" t="s">
        <v>12</v>
      </c>
      <c r="B1004" s="1" t="str">
        <f>HYPERLINK("http://hocomm.cn","hocomm.cn")</f>
        <v>hocomm.cn</v>
      </c>
      <c r="C1004" t="s">
        <v>431</v>
      </c>
      <c r="D1004" t="s">
        <v>812</v>
      </c>
      <c r="F1004">
        <v>1.0469868273037201E-8</v>
      </c>
      <c r="G1004">
        <v>6295726</v>
      </c>
      <c r="H1004">
        <v>12887277</v>
      </c>
      <c r="I1004">
        <v>13953863</v>
      </c>
      <c r="J1004">
        <v>3</v>
      </c>
    </row>
    <row r="1005" spans="1:10" x14ac:dyDescent="0.25">
      <c r="A1005" t="s">
        <v>12</v>
      </c>
      <c r="B1005" s="1" t="str">
        <f>HYPERLINK("http://accenture.com","accenture.com")</f>
        <v>accenture.com</v>
      </c>
      <c r="C1005" t="s">
        <v>433</v>
      </c>
      <c r="E1005">
        <v>1434</v>
      </c>
      <c r="F1005">
        <v>4.1534398064431101E-5</v>
      </c>
      <c r="G1005">
        <v>650</v>
      </c>
      <c r="H1005">
        <v>18736336</v>
      </c>
      <c r="I1005">
        <v>937</v>
      </c>
      <c r="J1005">
        <v>1</v>
      </c>
    </row>
    <row r="1006" spans="1:10" x14ac:dyDescent="0.25">
      <c r="A1006" t="s">
        <v>12</v>
      </c>
      <c r="B1006" s="1" t="str">
        <f>HYPERLINK("http://accenturefederal.com","accenturefederal.com")</f>
        <v>accenturefederal.com</v>
      </c>
      <c r="C1006" t="s">
        <v>433</v>
      </c>
      <c r="E1006">
        <v>88237</v>
      </c>
      <c r="F1006">
        <v>3.0284224071977399E-8</v>
      </c>
      <c r="G1006">
        <v>1699649</v>
      </c>
      <c r="H1006">
        <v>13987845</v>
      </c>
      <c r="I1006">
        <v>4036556</v>
      </c>
      <c r="J1006">
        <v>4</v>
      </c>
    </row>
    <row r="1007" spans="1:10" x14ac:dyDescent="0.25">
      <c r="A1007" t="s">
        <v>12</v>
      </c>
      <c r="B1007" s="1" t="str">
        <f>HYPERLINK("http://acenture.com","acenture.com")</f>
        <v>acenture.com</v>
      </c>
      <c r="C1007" t="s">
        <v>433</v>
      </c>
      <c r="F1007">
        <v>1.0921196910162401E-8</v>
      </c>
      <c r="G1007">
        <v>5926085</v>
      </c>
      <c r="H1007">
        <v>12895223</v>
      </c>
      <c r="I1007">
        <v>13901142</v>
      </c>
      <c r="J1007">
        <v>3</v>
      </c>
    </row>
    <row r="1008" spans="1:10" x14ac:dyDescent="0.25">
      <c r="A1008" t="s">
        <v>12</v>
      </c>
      <c r="B1008" s="1" t="str">
        <f>HYPERLINK("http://acnms.com","acnms.com")</f>
        <v>acnms.com</v>
      </c>
      <c r="C1008" t="s">
        <v>433</v>
      </c>
      <c r="F1008">
        <v>4.4447683803649103E-9</v>
      </c>
      <c r="G1008">
        <v>76134261</v>
      </c>
      <c r="H1008">
        <v>9692489</v>
      </c>
      <c r="I1008">
        <v>63449159</v>
      </c>
      <c r="J1008">
        <v>3</v>
      </c>
    </row>
    <row r="1009" spans="1:10" x14ac:dyDescent="0.25">
      <c r="A1009" t="s">
        <v>12</v>
      </c>
      <c r="B1009" s="1" t="str">
        <f>HYPERLINK("http://advocateinsiders.com","advocateinsiders.com")</f>
        <v>advocateinsiders.com</v>
      </c>
      <c r="C1009" t="s">
        <v>433</v>
      </c>
      <c r="F1009">
        <v>2.37715803120078E-8</v>
      </c>
      <c r="G1009">
        <v>2186176</v>
      </c>
      <c r="H1009">
        <v>13511735</v>
      </c>
      <c r="I1009">
        <v>9949055</v>
      </c>
      <c r="J1009">
        <v>3</v>
      </c>
    </row>
    <row r="1010" spans="1:10" x14ac:dyDescent="0.25">
      <c r="A1010" t="s">
        <v>12</v>
      </c>
      <c r="B1010" s="1" t="str">
        <f>HYPERLINK("http://altiusdata.com","altiusdata.com")</f>
        <v>altiusdata.com</v>
      </c>
      <c r="C1010" t="s">
        <v>433</v>
      </c>
      <c r="F1010">
        <v>6.3759293986353002E-9</v>
      </c>
      <c r="G1010">
        <v>14636762</v>
      </c>
      <c r="H1010">
        <v>12337328</v>
      </c>
      <c r="I1010">
        <v>20062405</v>
      </c>
      <c r="J1010">
        <v>3</v>
      </c>
    </row>
    <row r="1011" spans="1:10" x14ac:dyDescent="0.25">
      <c r="A1011" t="s">
        <v>12</v>
      </c>
      <c r="B1011" s="1" t="str">
        <f>HYPERLINK("http://arcatelecom.com","arcatelecom.com")</f>
        <v>arcatelecom.com</v>
      </c>
      <c r="C1011" t="s">
        <v>433</v>
      </c>
      <c r="F1011">
        <v>1.60298109798613E-8</v>
      </c>
      <c r="G1011">
        <v>3538502</v>
      </c>
      <c r="H1011">
        <v>13001881</v>
      </c>
      <c r="I1011">
        <v>12787235</v>
      </c>
      <c r="J1011">
        <v>3</v>
      </c>
    </row>
    <row r="1012" spans="1:10" x14ac:dyDescent="0.25">
      <c r="A1012" t="s">
        <v>12</v>
      </c>
      <c r="B1012" s="1" t="str">
        <f>HYPERLINK("http://asysco.com","asysco.com")</f>
        <v>asysco.com</v>
      </c>
      <c r="C1012" t="s">
        <v>433</v>
      </c>
      <c r="F1012">
        <v>2.53074120544548E-8</v>
      </c>
      <c r="G1012">
        <v>2038970</v>
      </c>
      <c r="H1012">
        <v>14610692</v>
      </c>
      <c r="I1012">
        <v>677014</v>
      </c>
      <c r="J1012">
        <v>3</v>
      </c>
    </row>
    <row r="1013" spans="1:10" x14ac:dyDescent="0.25">
      <c r="A1013" t="s">
        <v>12</v>
      </c>
      <c r="B1013" s="1" t="str">
        <f>HYPERLINK("http://avanade.com","avanade.com")</f>
        <v>avanade.com</v>
      </c>
      <c r="C1013" t="s">
        <v>433</v>
      </c>
      <c r="E1013">
        <v>45439</v>
      </c>
      <c r="F1013">
        <v>1.31423779113087E-6</v>
      </c>
      <c r="G1013">
        <v>29539</v>
      </c>
      <c r="H1013">
        <v>15338558</v>
      </c>
      <c r="I1013">
        <v>383495</v>
      </c>
      <c r="J1013">
        <v>3</v>
      </c>
    </row>
    <row r="1014" spans="1:10" x14ac:dyDescent="0.25">
      <c r="A1014" t="s">
        <v>12</v>
      </c>
      <c r="B1014" s="1" t="str">
        <f>HYPERLINK("http://bcsplc.com","bcsplc.com")</f>
        <v>bcsplc.com</v>
      </c>
      <c r="C1014" t="s">
        <v>433</v>
      </c>
      <c r="F1014">
        <v>6.9563350304413902E-9</v>
      </c>
      <c r="G1014">
        <v>12444065</v>
      </c>
      <c r="H1014">
        <v>13163013</v>
      </c>
      <c r="I1014">
        <v>11760487</v>
      </c>
      <c r="J1014">
        <v>3</v>
      </c>
    </row>
    <row r="1015" spans="1:10" x14ac:dyDescent="0.25">
      <c r="A1015" t="s">
        <v>12</v>
      </c>
      <c r="B1015" s="1" t="str">
        <f>HYPERLINK("http://bericotechnologies.com","bericotechnologies.com")</f>
        <v>bericotechnologies.com</v>
      </c>
      <c r="C1015" t="s">
        <v>433</v>
      </c>
      <c r="F1015">
        <v>3.4877430206270297E-8</v>
      </c>
      <c r="G1015">
        <v>1488990</v>
      </c>
      <c r="H1015">
        <v>13895437</v>
      </c>
      <c r="I1015">
        <v>5955938</v>
      </c>
      <c r="J1015">
        <v>3</v>
      </c>
    </row>
    <row r="1016" spans="1:10" x14ac:dyDescent="0.25">
      <c r="A1016" t="s">
        <v>12</v>
      </c>
      <c r="B1016" s="1" t="str">
        <f>HYPERLINK("http://bnsbeacon.com","bnsbeacon.com")</f>
        <v>bnsbeacon.com</v>
      </c>
      <c r="C1016" t="s">
        <v>433</v>
      </c>
      <c r="J1016">
        <v>3</v>
      </c>
    </row>
    <row r="1017" spans="1:10" x14ac:dyDescent="0.25">
      <c r="A1017" t="s">
        <v>12</v>
      </c>
      <c r="B1017" s="1" t="str">
        <f>HYPERLINK("http://bowandarrow.com","bowandarrow.com")</f>
        <v>bowandarrow.com</v>
      </c>
      <c r="C1017" t="s">
        <v>433</v>
      </c>
      <c r="F1017">
        <v>1.8766978369663199E-8</v>
      </c>
      <c r="G1017">
        <v>2877484</v>
      </c>
      <c r="H1017">
        <v>13790670</v>
      </c>
      <c r="I1017">
        <v>6345761</v>
      </c>
      <c r="J1017">
        <v>3</v>
      </c>
    </row>
    <row r="1018" spans="1:10" x14ac:dyDescent="0.25">
      <c r="A1018" t="s">
        <v>12</v>
      </c>
      <c r="B1018" s="1" t="str">
        <f>HYPERLINK("http://bridgei2i.com","bridgei2i.com")</f>
        <v>bridgei2i.com</v>
      </c>
      <c r="C1018" t="s">
        <v>433</v>
      </c>
      <c r="F1018">
        <v>7.06261127482207E-8</v>
      </c>
      <c r="G1018">
        <v>599290</v>
      </c>
      <c r="H1018">
        <v>14286184</v>
      </c>
      <c r="I1018">
        <v>1371157</v>
      </c>
      <c r="J1018">
        <v>3</v>
      </c>
    </row>
    <row r="1019" spans="1:10" x14ac:dyDescent="0.25">
      <c r="A1019" t="s">
        <v>12</v>
      </c>
      <c r="B1019" s="1" t="str">
        <f>HYPERLINK("http://byteprophecy.com","byteprophecy.com")</f>
        <v>byteprophecy.com</v>
      </c>
      <c r="C1019" t="s">
        <v>433</v>
      </c>
      <c r="F1019">
        <v>2.11610133558908E-8</v>
      </c>
      <c r="G1019">
        <v>2492703</v>
      </c>
      <c r="H1019">
        <v>13339306</v>
      </c>
      <c r="I1019">
        <v>10673986</v>
      </c>
      <c r="J1019">
        <v>3</v>
      </c>
    </row>
    <row r="1020" spans="1:10" x14ac:dyDescent="0.25">
      <c r="A1020" t="s">
        <v>12</v>
      </c>
      <c r="B1020" s="1" t="str">
        <f>HYPERLINK("http://callistointegration.com","callistointegration.com")</f>
        <v>callistointegration.com</v>
      </c>
      <c r="C1020" t="s">
        <v>433</v>
      </c>
      <c r="F1020">
        <v>7.5257244894931292E-9</v>
      </c>
      <c r="G1020">
        <v>10956913</v>
      </c>
      <c r="H1020">
        <v>13342195</v>
      </c>
      <c r="I1020">
        <v>10665521</v>
      </c>
      <c r="J1020">
        <v>3</v>
      </c>
    </row>
    <row r="1021" spans="1:10" x14ac:dyDescent="0.25">
      <c r="A1021" t="s">
        <v>12</v>
      </c>
      <c r="B1021" s="1" t="str">
        <f>HYPERLINK("http://cas.com","cas.com")</f>
        <v>cas.com</v>
      </c>
      <c r="C1021" t="s">
        <v>433</v>
      </c>
      <c r="F1021">
        <v>2.0269132968449899E-8</v>
      </c>
      <c r="G1021">
        <v>2618708</v>
      </c>
      <c r="H1021">
        <v>13786821</v>
      </c>
      <c r="I1021">
        <v>6380986</v>
      </c>
      <c r="J1021">
        <v>4</v>
      </c>
    </row>
    <row r="1022" spans="1:10" x14ac:dyDescent="0.25">
      <c r="A1022" t="s">
        <v>12</v>
      </c>
      <c r="B1022" s="1" t="str">
        <f>HYPERLINK("http://cirrus-connect.com","cirrus-connect.com")</f>
        <v>cirrus-connect.com</v>
      </c>
      <c r="C1022" t="s">
        <v>433</v>
      </c>
      <c r="F1022">
        <v>2.0586882346369401E-8</v>
      </c>
      <c r="G1022">
        <v>2572273</v>
      </c>
      <c r="H1022">
        <v>13260751</v>
      </c>
      <c r="I1022">
        <v>11038743</v>
      </c>
      <c r="J1022">
        <v>3</v>
      </c>
    </row>
    <row r="1023" spans="1:10" x14ac:dyDescent="0.25">
      <c r="A1023" t="s">
        <v>12</v>
      </c>
      <c r="B1023" s="1" t="str">
        <f>HYPERLINK("http://contextis.com","contextis.com")</f>
        <v>contextis.com</v>
      </c>
      <c r="C1023" t="s">
        <v>433</v>
      </c>
      <c r="E1023">
        <v>369365</v>
      </c>
      <c r="F1023">
        <v>5.8210442370846096E-7</v>
      </c>
      <c r="G1023">
        <v>65639</v>
      </c>
      <c r="H1023">
        <v>15331273</v>
      </c>
      <c r="I1023">
        <v>383930</v>
      </c>
      <c r="J1023">
        <v>3</v>
      </c>
    </row>
    <row r="1024" spans="1:10" x14ac:dyDescent="0.25">
      <c r="A1024" t="s">
        <v>12</v>
      </c>
      <c r="B1024" s="1" t="str">
        <f>HYPERLINK("http://designaffairs.com","designaffairs.com")</f>
        <v>designaffairs.com</v>
      </c>
      <c r="C1024" t="s">
        <v>433</v>
      </c>
      <c r="F1024">
        <v>3.70441963059386E-8</v>
      </c>
      <c r="G1024">
        <v>1399728</v>
      </c>
      <c r="H1024">
        <v>14158464</v>
      </c>
      <c r="I1024">
        <v>1844808</v>
      </c>
      <c r="J1024">
        <v>3</v>
      </c>
    </row>
    <row r="1025" spans="1:10" x14ac:dyDescent="0.25">
      <c r="A1025" t="s">
        <v>12</v>
      </c>
      <c r="B1025" s="1" t="str">
        <f>HYPERLINK("http://droga5.com","droga5.com")</f>
        <v>droga5.com</v>
      </c>
      <c r="C1025" t="s">
        <v>433</v>
      </c>
      <c r="E1025">
        <v>317808</v>
      </c>
      <c r="F1025">
        <v>3.38340452675855E-7</v>
      </c>
      <c r="G1025">
        <v>110276</v>
      </c>
      <c r="H1025">
        <v>14685745</v>
      </c>
      <c r="I1025">
        <v>605113</v>
      </c>
      <c r="J1025">
        <v>3</v>
      </c>
    </row>
    <row r="1026" spans="1:10" x14ac:dyDescent="0.25">
      <c r="A1026" t="s">
        <v>12</v>
      </c>
      <c r="B1026" s="1" t="str">
        <f>HYPERLINK("http://e2eanalytics.com","e2eanalytics.com")</f>
        <v>e2eanalytics.com</v>
      </c>
      <c r="C1026" t="s">
        <v>433</v>
      </c>
      <c r="F1026">
        <v>1.9876533837518401E-8</v>
      </c>
      <c r="G1026">
        <v>2678409</v>
      </c>
      <c r="H1026">
        <v>13484430</v>
      </c>
      <c r="I1026">
        <v>9998161</v>
      </c>
      <c r="J1026">
        <v>3</v>
      </c>
    </row>
    <row r="1027" spans="1:10" x14ac:dyDescent="0.25">
      <c r="A1027" t="s">
        <v>12</v>
      </c>
      <c r="B1027" s="1" t="str">
        <f>HYPERLINK("http://eclipseautomation.com","eclipseautomation.com")</f>
        <v>eclipseautomation.com</v>
      </c>
      <c r="C1027" t="s">
        <v>433</v>
      </c>
      <c r="F1027">
        <v>4.9826597035804202E-8</v>
      </c>
      <c r="G1027">
        <v>925520</v>
      </c>
      <c r="H1027">
        <v>13448809</v>
      </c>
      <c r="I1027">
        <v>10211819</v>
      </c>
      <c r="J1027">
        <v>3</v>
      </c>
    </row>
    <row r="1028" spans="1:10" x14ac:dyDescent="0.25">
      <c r="A1028" t="s">
        <v>12</v>
      </c>
      <c r="B1028" s="1" t="str">
        <f>HYPERLINK("http://eclipseinnovations.com","eclipseinnovations.com")</f>
        <v>eclipseinnovations.com</v>
      </c>
      <c r="C1028" t="s">
        <v>433</v>
      </c>
      <c r="F1028">
        <v>5.6033950714845399E-9</v>
      </c>
      <c r="G1028">
        <v>19825404</v>
      </c>
      <c r="H1028">
        <v>12529526</v>
      </c>
      <c r="I1028">
        <v>17039772</v>
      </c>
      <c r="J1028">
        <v>5</v>
      </c>
    </row>
    <row r="1029" spans="1:10" x14ac:dyDescent="0.25">
      <c r="A1029" t="s">
        <v>12</v>
      </c>
      <c r="B1029" s="1" t="str">
        <f>HYPERLINK("http://esrlabs.com","esrlabs.com")</f>
        <v>esrlabs.com</v>
      </c>
      <c r="C1029" t="s">
        <v>433</v>
      </c>
      <c r="F1029">
        <v>3.1277366224520297E-8</v>
      </c>
      <c r="G1029">
        <v>1648589</v>
      </c>
      <c r="H1029">
        <v>13600729</v>
      </c>
      <c r="I1029">
        <v>9649435</v>
      </c>
      <c r="J1029">
        <v>3</v>
      </c>
    </row>
    <row r="1030" spans="1:10" x14ac:dyDescent="0.25">
      <c r="A1030" t="s">
        <v>12</v>
      </c>
      <c r="B1030" s="1" t="str">
        <f>HYPERLINK("http://excellenceinworkforce.com","excellenceinworkforce.com")</f>
        <v>excellenceinworkforce.com</v>
      </c>
      <c r="C1030" t="s">
        <v>433</v>
      </c>
      <c r="F1030">
        <v>5.5718751849912298E-9</v>
      </c>
      <c r="G1030">
        <v>20160661</v>
      </c>
      <c r="H1030">
        <v>13161261</v>
      </c>
      <c r="I1030">
        <v>11779769</v>
      </c>
      <c r="J1030">
        <v>3</v>
      </c>
    </row>
    <row r="1031" spans="1:10" x14ac:dyDescent="0.25">
      <c r="A1031" t="s">
        <v>12</v>
      </c>
      <c r="B1031" s="1" t="str">
        <f>HYPERLINK("http://futurepdx.com","futurepdx.com")</f>
        <v>futurepdx.com</v>
      </c>
      <c r="C1031" t="s">
        <v>433</v>
      </c>
      <c r="J1031">
        <v>3</v>
      </c>
    </row>
    <row r="1032" spans="1:10" x14ac:dyDescent="0.25">
      <c r="A1032" t="s">
        <v>12</v>
      </c>
      <c r="B1032" s="1" t="str">
        <f>HYPERLINK("http://happen.com","happen.com")</f>
        <v>happen.com</v>
      </c>
      <c r="C1032" t="s">
        <v>433</v>
      </c>
      <c r="F1032">
        <v>1.41055266190184E-8</v>
      </c>
      <c r="G1032">
        <v>4163617</v>
      </c>
      <c r="H1032">
        <v>13942006</v>
      </c>
      <c r="I1032">
        <v>4338309</v>
      </c>
      <c r="J1032">
        <v>3</v>
      </c>
    </row>
    <row r="1033" spans="1:10" x14ac:dyDescent="0.25">
      <c r="A1033" t="s">
        <v>12</v>
      </c>
      <c r="B1033" s="1" t="str">
        <f>HYPERLINK("http://ibgweb.com","ibgweb.com")</f>
        <v>ibgweb.com</v>
      </c>
      <c r="C1033" t="s">
        <v>433</v>
      </c>
      <c r="F1033">
        <v>8.8158210505936603E-9</v>
      </c>
      <c r="G1033">
        <v>8279060</v>
      </c>
      <c r="H1033">
        <v>13603136</v>
      </c>
      <c r="I1033">
        <v>9646367</v>
      </c>
      <c r="J1033">
        <v>3</v>
      </c>
    </row>
    <row r="1034" spans="1:10" x14ac:dyDescent="0.25">
      <c r="A1034" t="s">
        <v>12</v>
      </c>
      <c r="B1034" s="1" t="str">
        <f>HYPERLINK("http://imaginea.com","imaginea.com")</f>
        <v>imaginea.com</v>
      </c>
      <c r="C1034" t="s">
        <v>433</v>
      </c>
      <c r="F1034">
        <v>9.1016642108710695E-8</v>
      </c>
      <c r="G1034">
        <v>447980</v>
      </c>
      <c r="H1034">
        <v>14076369</v>
      </c>
      <c r="I1034">
        <v>2889030</v>
      </c>
      <c r="J1034">
        <v>3</v>
      </c>
    </row>
    <row r="1035" spans="1:10" x14ac:dyDescent="0.25">
      <c r="A1035" t="s">
        <v>12</v>
      </c>
      <c r="B1035" s="1" t="str">
        <f>HYPERLINK("http://infinityworks.com","infinityworks.com")</f>
        <v>infinityworks.com</v>
      </c>
      <c r="C1035" t="s">
        <v>433</v>
      </c>
      <c r="F1035">
        <v>8.47230148356415E-8</v>
      </c>
      <c r="G1035">
        <v>487316</v>
      </c>
      <c r="H1035">
        <v>13816284</v>
      </c>
      <c r="I1035">
        <v>6162984</v>
      </c>
      <c r="J1035">
        <v>3</v>
      </c>
    </row>
    <row r="1036" spans="1:10" x14ac:dyDescent="0.25">
      <c r="A1036" t="s">
        <v>12</v>
      </c>
      <c r="B1036" s="1" t="str">
        <f>HYPERLINK("http://intelligencemarket.com","intelligencemarket.com")</f>
        <v>intelligencemarket.com</v>
      </c>
      <c r="C1036" t="s">
        <v>433</v>
      </c>
      <c r="F1036">
        <v>4.44380395335525E-9</v>
      </c>
      <c r="G1036">
        <v>82084600</v>
      </c>
      <c r="H1036">
        <v>0</v>
      </c>
      <c r="I1036">
        <v>82615209</v>
      </c>
      <c r="J1036">
        <v>4</v>
      </c>
    </row>
    <row r="1037" spans="1:10" x14ac:dyDescent="0.25">
      <c r="A1037" t="s">
        <v>12</v>
      </c>
      <c r="B1037" s="1" t="str">
        <f>HYPERLINK("http://itoneco.com","itoneco.com")</f>
        <v>itoneco.com</v>
      </c>
      <c r="C1037" t="s">
        <v>433</v>
      </c>
      <c r="F1037">
        <v>1.5610539124480301E-8</v>
      </c>
      <c r="G1037">
        <v>3652217</v>
      </c>
      <c r="H1037">
        <v>11324106</v>
      </c>
      <c r="I1037">
        <v>30487933</v>
      </c>
      <c r="J1037">
        <v>3</v>
      </c>
    </row>
    <row r="1038" spans="1:10" x14ac:dyDescent="0.25">
      <c r="A1038" t="s">
        <v>12</v>
      </c>
      <c r="B1038" s="1" t="str">
        <f>HYPERLINK("http://karmarama.com","karmarama.com")</f>
        <v>karmarama.com</v>
      </c>
      <c r="C1038" t="s">
        <v>433</v>
      </c>
      <c r="F1038">
        <v>1.2274526737026001E-7</v>
      </c>
      <c r="G1038">
        <v>321569</v>
      </c>
      <c r="H1038">
        <v>16962520</v>
      </c>
      <c r="I1038">
        <v>104945</v>
      </c>
      <c r="J1038">
        <v>5</v>
      </c>
    </row>
    <row r="1039" spans="1:10" x14ac:dyDescent="0.25">
      <c r="A1039" t="s">
        <v>12</v>
      </c>
      <c r="B1039" s="1" t="str">
        <f>HYPERLINK("http://knowledgent.com","knowledgent.com")</f>
        <v>knowledgent.com</v>
      </c>
      <c r="C1039" t="s">
        <v>433</v>
      </c>
      <c r="F1039">
        <v>2.8569909988402499E-8</v>
      </c>
      <c r="G1039">
        <v>1801113</v>
      </c>
      <c r="H1039">
        <v>14100725</v>
      </c>
      <c r="I1039">
        <v>2704616</v>
      </c>
      <c r="J1039">
        <v>3</v>
      </c>
    </row>
    <row r="1040" spans="1:10" x14ac:dyDescent="0.25">
      <c r="A1040" t="s">
        <v>12</v>
      </c>
      <c r="B1040" s="1" t="str">
        <f>HYPERLINK("http://kogentix.com","kogentix.com")</f>
        <v>kogentix.com</v>
      </c>
      <c r="C1040" t="s">
        <v>433</v>
      </c>
      <c r="F1040">
        <v>1.26120533621735E-8</v>
      </c>
      <c r="G1040">
        <v>4824819</v>
      </c>
      <c r="H1040">
        <v>13302845</v>
      </c>
      <c r="I1040">
        <v>10813871</v>
      </c>
      <c r="J1040">
        <v>3</v>
      </c>
    </row>
    <row r="1041" spans="1:10" x14ac:dyDescent="0.25">
      <c r="A1041" t="s">
        <v>12</v>
      </c>
      <c r="B1041" s="1" t="str">
        <f>HYPERLINK("http://kurtsalmon.com","kurtsalmon.com")</f>
        <v>kurtsalmon.com</v>
      </c>
      <c r="C1041" t="s">
        <v>433</v>
      </c>
      <c r="F1041">
        <v>1.3008308109658599E-7</v>
      </c>
      <c r="G1041">
        <v>300865</v>
      </c>
      <c r="H1041">
        <v>14642706</v>
      </c>
      <c r="I1041">
        <v>635335</v>
      </c>
      <c r="J1041">
        <v>3</v>
      </c>
    </row>
    <row r="1042" spans="1:10" x14ac:dyDescent="0.25">
      <c r="A1042" t="s">
        <v>12</v>
      </c>
      <c r="B1042" s="1" t="str">
        <f>HYPERLINK("http://ls-cloud.com","ls-cloud.com")</f>
        <v>ls-cloud.com</v>
      </c>
      <c r="C1042" t="s">
        <v>433</v>
      </c>
      <c r="J1042">
        <v>4</v>
      </c>
    </row>
    <row r="1043" spans="1:10" x14ac:dyDescent="0.25">
      <c r="A1043" t="s">
        <v>12</v>
      </c>
      <c r="B1043" s="1" t="str">
        <f>HYPERLINK("http://mackevision.com","mackevision.com")</f>
        <v>mackevision.com</v>
      </c>
      <c r="C1043" t="s">
        <v>433</v>
      </c>
      <c r="F1043">
        <v>8.8169103489172899E-8</v>
      </c>
      <c r="G1043">
        <v>464770</v>
      </c>
      <c r="H1043">
        <v>14502524</v>
      </c>
      <c r="I1043">
        <v>845886</v>
      </c>
      <c r="J1043">
        <v>3</v>
      </c>
    </row>
    <row r="1044" spans="1:10" x14ac:dyDescent="0.25">
      <c r="A1044" t="s">
        <v>12</v>
      </c>
      <c r="B1044" s="1" t="str">
        <f>HYPERLINK("http://mainframe-migrations.com","mainframe-migrations.com")</f>
        <v>mainframe-migrations.com</v>
      </c>
      <c r="C1044" t="s">
        <v>433</v>
      </c>
      <c r="J1044">
        <v>3</v>
      </c>
    </row>
    <row r="1045" spans="1:10" x14ac:dyDescent="0.25">
      <c r="A1045" t="s">
        <v>12</v>
      </c>
      <c r="B1045" s="1" t="str">
        <f>HYPERLINK("http://meredithxceleratedmarketing.com","meredithxceleratedmarketing.com")</f>
        <v>meredithxceleratedmarketing.com</v>
      </c>
      <c r="C1045" t="s">
        <v>433</v>
      </c>
      <c r="F1045">
        <v>2.78375175435645E-8</v>
      </c>
      <c r="G1045">
        <v>1847503</v>
      </c>
      <c r="H1045">
        <v>13532180</v>
      </c>
      <c r="I1045">
        <v>9916484</v>
      </c>
      <c r="J1045">
        <v>8</v>
      </c>
    </row>
    <row r="1046" spans="1:10" x14ac:dyDescent="0.25">
      <c r="A1046" t="s">
        <v>12</v>
      </c>
      <c r="B1046" s="1" t="str">
        <f>HYPERLINK("http://mortgagecadence.com","mortgagecadence.com")</f>
        <v>mortgagecadence.com</v>
      </c>
      <c r="C1046" t="s">
        <v>433</v>
      </c>
      <c r="E1046">
        <v>152217</v>
      </c>
      <c r="F1046">
        <v>7.1457560334230806E-8</v>
      </c>
      <c r="G1046">
        <v>591400</v>
      </c>
      <c r="H1046">
        <v>13208212</v>
      </c>
      <c r="I1046">
        <v>11516478</v>
      </c>
      <c r="J1046">
        <v>3</v>
      </c>
    </row>
    <row r="1047" spans="1:10" x14ac:dyDescent="0.25">
      <c r="A1047" t="s">
        <v>12</v>
      </c>
      <c r="B1047" s="1" t="str">
        <f>HYPERLINK("http://mudano.com","mudano.com")</f>
        <v>mudano.com</v>
      </c>
      <c r="C1047" t="s">
        <v>433</v>
      </c>
      <c r="F1047">
        <v>2.4318741541112501E-8</v>
      </c>
      <c r="G1047">
        <v>2132053</v>
      </c>
      <c r="H1047">
        <v>13310629</v>
      </c>
      <c r="I1047">
        <v>10775650</v>
      </c>
      <c r="J1047">
        <v>3</v>
      </c>
    </row>
    <row r="1048" spans="1:10" x14ac:dyDescent="0.25">
      <c r="A1048" t="s">
        <v>12</v>
      </c>
      <c r="B1048" s="1" t="str">
        <f>HYPERLINK("http://mxm.com","mxm.com")</f>
        <v>mxm.com</v>
      </c>
      <c r="C1048" t="s">
        <v>433</v>
      </c>
      <c r="F1048">
        <v>9.2931779778392107E-9</v>
      </c>
      <c r="G1048">
        <v>7581289</v>
      </c>
      <c r="H1048">
        <v>13973892</v>
      </c>
      <c r="I1048">
        <v>4066140</v>
      </c>
      <c r="J1048">
        <v>3</v>
      </c>
    </row>
    <row r="1049" spans="1:10" x14ac:dyDescent="0.25">
      <c r="A1049" t="s">
        <v>12</v>
      </c>
      <c r="B1049" s="1" t="str">
        <f>HYPERLINK("http://myrtlegroup.com","myrtlegroup.com")</f>
        <v>myrtlegroup.com</v>
      </c>
      <c r="C1049" t="s">
        <v>433</v>
      </c>
      <c r="F1049">
        <v>2.4427340885373801E-8</v>
      </c>
      <c r="G1049">
        <v>2121313</v>
      </c>
      <c r="H1049">
        <v>13367373</v>
      </c>
      <c r="I1049">
        <v>10477708</v>
      </c>
      <c r="J1049">
        <v>3</v>
      </c>
    </row>
    <row r="1050" spans="1:10" x14ac:dyDescent="0.25">
      <c r="A1050" t="s">
        <v>12</v>
      </c>
      <c r="B1050" s="1" t="str">
        <f>HYPERLINK("http://nms.com","nms.com")</f>
        <v>nms.com</v>
      </c>
      <c r="C1050" t="s">
        <v>433</v>
      </c>
      <c r="F1050">
        <v>5.1135036170795299E-8</v>
      </c>
      <c r="G1050">
        <v>896009</v>
      </c>
      <c r="H1050">
        <v>14465208</v>
      </c>
      <c r="I1050">
        <v>1044760</v>
      </c>
      <c r="J1050">
        <v>10</v>
      </c>
    </row>
    <row r="1051" spans="1:10" x14ac:dyDescent="0.25">
      <c r="A1051" t="s">
        <v>12</v>
      </c>
      <c r="B1051" s="1" t="str">
        <f>HYPERLINK("http://octo.com","octo.com")</f>
        <v>octo.com</v>
      </c>
      <c r="C1051" t="s">
        <v>433</v>
      </c>
      <c r="E1051">
        <v>332507</v>
      </c>
      <c r="F1051">
        <v>3.69478061886875E-7</v>
      </c>
      <c r="G1051">
        <v>101320</v>
      </c>
      <c r="H1051">
        <v>17217724</v>
      </c>
      <c r="I1051">
        <v>38813</v>
      </c>
      <c r="J1051">
        <v>3</v>
      </c>
    </row>
    <row r="1052" spans="1:10" x14ac:dyDescent="0.25">
      <c r="A1052" t="s">
        <v>12</v>
      </c>
      <c r="B1052" s="1" t="str">
        <f>HYPERLINK("http://ogm.com","ogm.com")</f>
        <v>ogm.com</v>
      </c>
      <c r="C1052" t="s">
        <v>433</v>
      </c>
      <c r="F1052">
        <v>4.6815734706227102E-9</v>
      </c>
      <c r="G1052">
        <v>42241520</v>
      </c>
      <c r="H1052">
        <v>12670881</v>
      </c>
      <c r="I1052">
        <v>15614869</v>
      </c>
      <c r="J1052">
        <v>8</v>
      </c>
    </row>
    <row r="1053" spans="1:10" x14ac:dyDescent="0.25">
      <c r="A1053" t="s">
        <v>12</v>
      </c>
      <c r="B1053" s="1" t="str">
        <f>HYPERLINK("http://replgroup.com","replgroup.com")</f>
        <v>replgroup.com</v>
      </c>
      <c r="C1053" t="s">
        <v>433</v>
      </c>
      <c r="F1053">
        <v>4.0475180908836999E-8</v>
      </c>
      <c r="G1053">
        <v>1279279</v>
      </c>
      <c r="H1053">
        <v>13848746</v>
      </c>
      <c r="I1053">
        <v>6056289</v>
      </c>
      <c r="J1053">
        <v>3</v>
      </c>
    </row>
    <row r="1054" spans="1:10" x14ac:dyDescent="0.25">
      <c r="A1054" t="s">
        <v>12</v>
      </c>
      <c r="B1054" s="1" t="str">
        <f>HYPERLINK("http://sinnerschrader.com","sinnerschrader.com")</f>
        <v>sinnerschrader.com</v>
      </c>
      <c r="C1054" t="s">
        <v>433</v>
      </c>
      <c r="F1054">
        <v>1.06911003596242E-7</v>
      </c>
      <c r="G1054">
        <v>374468</v>
      </c>
      <c r="H1054">
        <v>14249990</v>
      </c>
      <c r="I1054">
        <v>1448106</v>
      </c>
      <c r="J1054">
        <v>5</v>
      </c>
    </row>
    <row r="1055" spans="1:10" x14ac:dyDescent="0.25">
      <c r="A1055" t="s">
        <v>12</v>
      </c>
      <c r="B1055" s="1" t="str">
        <f>HYPERLINK("http://sinnerschraderswipe.com","sinnerschraderswipe.com")</f>
        <v>sinnerschraderswipe.com</v>
      </c>
      <c r="C1055" t="s">
        <v>433</v>
      </c>
      <c r="F1055">
        <v>6.1081673575173103E-9</v>
      </c>
      <c r="G1055">
        <v>16047106</v>
      </c>
      <c r="H1055">
        <v>11790718</v>
      </c>
      <c r="I1055">
        <v>29818251</v>
      </c>
      <c r="J1055">
        <v>7</v>
      </c>
    </row>
    <row r="1056" spans="1:10" x14ac:dyDescent="0.25">
      <c r="A1056" t="s">
        <v>12</v>
      </c>
      <c r="B1056" s="1" t="str">
        <f>HYPERLINK("http://solid-servision.com","solid-servision.com")</f>
        <v>solid-servision.com</v>
      </c>
      <c r="C1056" t="s">
        <v>433</v>
      </c>
      <c r="F1056">
        <v>5.2702095107089399E-9</v>
      </c>
      <c r="G1056">
        <v>23950245</v>
      </c>
      <c r="H1056">
        <v>10794888</v>
      </c>
      <c r="I1056">
        <v>38323584</v>
      </c>
      <c r="J1056">
        <v>3</v>
      </c>
    </row>
    <row r="1057" spans="1:10" x14ac:dyDescent="0.25">
      <c r="A1057" t="s">
        <v>12</v>
      </c>
      <c r="B1057" s="1" t="str">
        <f>HYPERLINK("http://tar-experts.com","tar-experts.com")</f>
        <v>tar-experts.com</v>
      </c>
      <c r="C1057" t="s">
        <v>433</v>
      </c>
      <c r="J1057">
        <v>3</v>
      </c>
    </row>
    <row r="1058" spans="1:10" x14ac:dyDescent="0.25">
      <c r="A1058" t="s">
        <v>12</v>
      </c>
      <c r="B1058" s="1" t="str">
        <f>HYPERLINK("http://tecnilogica.com","tecnilogica.com")</f>
        <v>tecnilogica.com</v>
      </c>
      <c r="C1058" t="s">
        <v>433</v>
      </c>
      <c r="F1058">
        <v>1.7257187725943301E-8</v>
      </c>
      <c r="G1058">
        <v>3209733</v>
      </c>
      <c r="H1058">
        <v>14137115</v>
      </c>
      <c r="I1058">
        <v>1956529</v>
      </c>
      <c r="J1058">
        <v>5</v>
      </c>
    </row>
    <row r="1059" spans="1:10" x14ac:dyDescent="0.25">
      <c r="A1059" t="s">
        <v>12</v>
      </c>
      <c r="B1059" s="1" t="str">
        <f>HYPERLINK("http://thehyperfactory.com","thehyperfactory.com")</f>
        <v>thehyperfactory.com</v>
      </c>
      <c r="C1059" t="s">
        <v>433</v>
      </c>
      <c r="F1059">
        <v>1.0449022290580499E-8</v>
      </c>
      <c r="G1059">
        <v>6314478</v>
      </c>
      <c r="H1059">
        <v>14139017</v>
      </c>
      <c r="I1059">
        <v>1943239</v>
      </c>
      <c r="J1059">
        <v>10</v>
      </c>
    </row>
    <row r="1060" spans="1:10" x14ac:dyDescent="0.25">
      <c r="A1060" t="s">
        <v>12</v>
      </c>
      <c r="B1060" s="1" t="str">
        <f>HYPERLINK("http://tquila.com","tquila.com")</f>
        <v>tquila.com</v>
      </c>
      <c r="C1060" t="s">
        <v>433</v>
      </c>
      <c r="F1060">
        <v>6.9505127564570498E-8</v>
      </c>
      <c r="G1060">
        <v>610786</v>
      </c>
      <c r="H1060">
        <v>13968210</v>
      </c>
      <c r="I1060">
        <v>4081582</v>
      </c>
      <c r="J1060">
        <v>3</v>
      </c>
    </row>
    <row r="1061" spans="1:10" x14ac:dyDescent="0.25">
      <c r="A1061" t="s">
        <v>12</v>
      </c>
      <c r="B1061" s="1" t="str">
        <f>HYPERLINK("http://umlaut.com","umlaut.com")</f>
        <v>umlaut.com</v>
      </c>
      <c r="C1061" t="s">
        <v>433</v>
      </c>
      <c r="E1061">
        <v>344673</v>
      </c>
      <c r="F1061">
        <v>4.0756012435611198E-7</v>
      </c>
      <c r="G1061">
        <v>92214</v>
      </c>
      <c r="H1061">
        <v>17000840</v>
      </c>
      <c r="I1061">
        <v>93590</v>
      </c>
      <c r="J1061">
        <v>3</v>
      </c>
    </row>
    <row r="1062" spans="1:10" x14ac:dyDescent="0.25">
      <c r="A1062" t="s">
        <v>12</v>
      </c>
      <c r="B1062" s="1" t="str">
        <f>HYPERLINK("http://vanberloagency.com","vanberloagency.com")</f>
        <v>vanberloagency.com</v>
      </c>
      <c r="C1062" t="s">
        <v>433</v>
      </c>
      <c r="F1062">
        <v>4.8834822132235498E-8</v>
      </c>
      <c r="G1062">
        <v>948960</v>
      </c>
      <c r="H1062">
        <v>13432330</v>
      </c>
      <c r="I1062">
        <v>10277935</v>
      </c>
      <c r="J1062">
        <v>5</v>
      </c>
    </row>
    <row r="1063" spans="1:10" x14ac:dyDescent="0.25">
      <c r="A1063" t="s">
        <v>12</v>
      </c>
      <c r="B1063" s="1" t="str">
        <f>HYPERLINK("http://wavestrike.com","wavestrike.com")</f>
        <v>wavestrike.com</v>
      </c>
      <c r="C1063" t="s">
        <v>433</v>
      </c>
      <c r="F1063">
        <v>4.7627683592623797E-9</v>
      </c>
      <c r="G1063">
        <v>37694689</v>
      </c>
      <c r="H1063">
        <v>12633595</v>
      </c>
      <c r="I1063">
        <v>15947627</v>
      </c>
      <c r="J1063">
        <v>3</v>
      </c>
    </row>
    <row r="1064" spans="1:10" x14ac:dyDescent="0.25">
      <c r="A1064" t="s">
        <v>12</v>
      </c>
      <c r="B1064" s="1" t="str">
        <f>HYPERLINK("http://whitecliffsconsulting.com","whitecliffsconsulting.com")</f>
        <v>whitecliffsconsulting.com</v>
      </c>
      <c r="C1064" t="s">
        <v>433</v>
      </c>
      <c r="F1064">
        <v>4.6652184414672797E-9</v>
      </c>
      <c r="G1064">
        <v>43220524</v>
      </c>
      <c r="H1064">
        <v>10977422</v>
      </c>
      <c r="I1064">
        <v>33987191</v>
      </c>
      <c r="J1064">
        <v>3</v>
      </c>
    </row>
    <row r="1065" spans="1:10" x14ac:dyDescent="0.25">
      <c r="A1065" t="s">
        <v>12</v>
      </c>
      <c r="B1065" s="1" t="str">
        <f>HYPERLINK("http://wirestone.com","wirestone.com")</f>
        <v>wirestone.com</v>
      </c>
      <c r="C1065" t="s">
        <v>433</v>
      </c>
      <c r="F1065">
        <v>4.1849359356753798E-8</v>
      </c>
      <c r="G1065">
        <v>1175239</v>
      </c>
      <c r="H1065">
        <v>14165762</v>
      </c>
      <c r="I1065">
        <v>1820682</v>
      </c>
      <c r="J1065">
        <v>3</v>
      </c>
    </row>
    <row r="1066" spans="1:10" x14ac:dyDescent="0.25">
      <c r="A1066" t="s">
        <v>12</v>
      </c>
      <c r="B1066" s="1" t="str">
        <f>HYPERLINK("http://workforceinsight.com","workforceinsight.com")</f>
        <v>workforceinsight.com</v>
      </c>
      <c r="C1066" t="s">
        <v>433</v>
      </c>
      <c r="F1066">
        <v>1.94363776588258E-8</v>
      </c>
      <c r="G1066">
        <v>2757212</v>
      </c>
      <c r="H1066">
        <v>13197753</v>
      </c>
      <c r="I1066">
        <v>11567607</v>
      </c>
      <c r="J1066">
        <v>3</v>
      </c>
    </row>
    <row r="1067" spans="1:10" x14ac:dyDescent="0.25">
      <c r="A1067" t="s">
        <v>12</v>
      </c>
      <c r="B1067" s="1" t="str">
        <f>HYPERLINK("http://xoomworks.com","xoomworks.com")</f>
        <v>xoomworks.com</v>
      </c>
      <c r="C1067" t="s">
        <v>433</v>
      </c>
      <c r="F1067">
        <v>5.3887639982101297E-8</v>
      </c>
      <c r="G1067">
        <v>843275</v>
      </c>
      <c r="H1067">
        <v>13492228</v>
      </c>
      <c r="I1067">
        <v>9984380</v>
      </c>
      <c r="J1067">
        <v>3</v>
      </c>
    </row>
    <row r="1068" spans="1:10" x14ac:dyDescent="0.25">
      <c r="A1068" t="s">
        <v>12</v>
      </c>
      <c r="B1068" s="1" t="str">
        <f>HYPERLINK("http://xtreme-eda.com","xtreme-eda.com")</f>
        <v>xtreme-eda.com</v>
      </c>
      <c r="C1068" t="s">
        <v>433</v>
      </c>
      <c r="F1068">
        <v>2.32748269149178E-8</v>
      </c>
      <c r="G1068">
        <v>2241720</v>
      </c>
      <c r="H1068">
        <v>14076962</v>
      </c>
      <c r="I1068">
        <v>2875511</v>
      </c>
      <c r="J1068">
        <v>3</v>
      </c>
    </row>
    <row r="1069" spans="1:10" x14ac:dyDescent="0.25">
      <c r="A1069" t="s">
        <v>12</v>
      </c>
      <c r="B1069" s="1" t="str">
        <f>HYPERLINK("http://ysc.com","ysc.com")</f>
        <v>ysc.com</v>
      </c>
      <c r="C1069" t="s">
        <v>433</v>
      </c>
      <c r="F1069">
        <v>5.0043969278973803E-8</v>
      </c>
      <c r="G1069">
        <v>920259</v>
      </c>
      <c r="H1069">
        <v>14873065</v>
      </c>
      <c r="I1069">
        <v>476933</v>
      </c>
      <c r="J1069">
        <v>3</v>
      </c>
    </row>
    <row r="1070" spans="1:10" x14ac:dyDescent="0.25">
      <c r="A1070" t="s">
        <v>12</v>
      </c>
      <c r="B1070" s="1" t="str">
        <f>HYPERLINK("http://accenture.cz","accenture.cz")</f>
        <v>accenture.cz</v>
      </c>
      <c r="C1070" t="s">
        <v>435</v>
      </c>
      <c r="D1070" t="s">
        <v>814</v>
      </c>
      <c r="F1070">
        <v>6.6936489824676497E-9</v>
      </c>
      <c r="G1070">
        <v>13325409</v>
      </c>
      <c r="H1070">
        <v>14072449</v>
      </c>
      <c r="I1070">
        <v>3091018</v>
      </c>
      <c r="J1070">
        <v>2</v>
      </c>
    </row>
    <row r="1071" spans="1:10" x14ac:dyDescent="0.25">
      <c r="A1071" t="s">
        <v>12</v>
      </c>
      <c r="B1071" s="1" t="str">
        <f>HYPERLINK("http://accenture.de","accenture.de")</f>
        <v>accenture.de</v>
      </c>
      <c r="C1071" t="s">
        <v>436</v>
      </c>
      <c r="D1071" t="s">
        <v>815</v>
      </c>
      <c r="F1071">
        <v>2.0696500192331099E-7</v>
      </c>
      <c r="G1071">
        <v>183352</v>
      </c>
      <c r="H1071">
        <v>14738376</v>
      </c>
      <c r="I1071">
        <v>568460</v>
      </c>
      <c r="J1071">
        <v>2</v>
      </c>
    </row>
    <row r="1072" spans="1:10" x14ac:dyDescent="0.25">
      <c r="A1072" t="s">
        <v>12</v>
      </c>
      <c r="B1072" s="1" t="str">
        <f>HYPERLINK("http://akzente.de","akzente.de")</f>
        <v>akzente.de</v>
      </c>
      <c r="C1072" t="s">
        <v>436</v>
      </c>
      <c r="D1072" t="s">
        <v>815</v>
      </c>
      <c r="F1072">
        <v>4.07366834867476E-8</v>
      </c>
      <c r="G1072">
        <v>1272279</v>
      </c>
      <c r="H1072">
        <v>12681681</v>
      </c>
      <c r="I1072">
        <v>15481673</v>
      </c>
      <c r="J1072">
        <v>3</v>
      </c>
    </row>
    <row r="1073" spans="1:10" x14ac:dyDescent="0.25">
      <c r="A1073" t="s">
        <v>12</v>
      </c>
      <c r="B1073" s="1" t="str">
        <f>HYPERLINK("http://aswhcm.de","aswhcm.de")</f>
        <v>aswhcm.de</v>
      </c>
      <c r="C1073" t="s">
        <v>436</v>
      </c>
      <c r="D1073" t="s">
        <v>815</v>
      </c>
      <c r="J1073">
        <v>3</v>
      </c>
    </row>
    <row r="1074" spans="1:10" x14ac:dyDescent="0.25">
      <c r="A1074" t="s">
        <v>12</v>
      </c>
      <c r="B1074" s="1" t="str">
        <f>HYPERLINK("http://avanade.de","avanade.de")</f>
        <v>avanade.de</v>
      </c>
      <c r="C1074" t="s">
        <v>436</v>
      </c>
      <c r="D1074" t="s">
        <v>815</v>
      </c>
      <c r="F1074">
        <v>7.7887146097564194E-9</v>
      </c>
      <c r="G1074">
        <v>10348934</v>
      </c>
      <c r="H1074">
        <v>12421250</v>
      </c>
      <c r="I1074">
        <v>18430309</v>
      </c>
      <c r="J1074">
        <v>4</v>
      </c>
    </row>
    <row r="1075" spans="1:10" x14ac:dyDescent="0.25">
      <c r="A1075" t="s">
        <v>12</v>
      </c>
      <c r="B1075" s="1" t="str">
        <f>HYPERLINK("http://sicoda.de","sicoda.de")</f>
        <v>sicoda.de</v>
      </c>
      <c r="C1075" t="s">
        <v>436</v>
      </c>
      <c r="D1075" t="s">
        <v>815</v>
      </c>
      <c r="F1075">
        <v>2.40738983730248E-7</v>
      </c>
      <c r="G1075">
        <v>155397</v>
      </c>
      <c r="H1075">
        <v>12468652</v>
      </c>
      <c r="I1075">
        <v>17773257</v>
      </c>
      <c r="J1075">
        <v>4</v>
      </c>
    </row>
    <row r="1076" spans="1:10" x14ac:dyDescent="0.25">
      <c r="A1076" t="s">
        <v>12</v>
      </c>
      <c r="B1076" s="1" t="str">
        <f>HYPERLINK("http://swipe.de","swipe.de")</f>
        <v>swipe.de</v>
      </c>
      <c r="C1076" t="s">
        <v>436</v>
      </c>
      <c r="D1076" t="s">
        <v>815</v>
      </c>
      <c r="F1076">
        <v>1.06784673818349E-8</v>
      </c>
      <c r="G1076">
        <v>6118109</v>
      </c>
      <c r="H1076">
        <v>13959421</v>
      </c>
      <c r="I1076">
        <v>4118572</v>
      </c>
      <c r="J1076">
        <v>7</v>
      </c>
    </row>
    <row r="1077" spans="1:10" x14ac:dyDescent="0.25">
      <c r="A1077" t="s">
        <v>12</v>
      </c>
      <c r="B1077" s="1" t="str">
        <f>HYPERLINK("http://tic-mobile.de","tic-mobile.de")</f>
        <v>tic-mobile.de</v>
      </c>
      <c r="C1077" t="s">
        <v>436</v>
      </c>
      <c r="D1077" t="s">
        <v>815</v>
      </c>
      <c r="F1077">
        <v>4.6181876686665198E-9</v>
      </c>
      <c r="G1077">
        <v>46262815</v>
      </c>
      <c r="H1077">
        <v>10730364</v>
      </c>
      <c r="I1077">
        <v>40919329</v>
      </c>
      <c r="J1077">
        <v>5</v>
      </c>
    </row>
    <row r="1078" spans="1:10" x14ac:dyDescent="0.25">
      <c r="A1078" t="s">
        <v>12</v>
      </c>
      <c r="B1078" s="1" t="str">
        <f>HYPERLINK("http://accenture.es","accenture.es")</f>
        <v>accenture.es</v>
      </c>
      <c r="C1078" t="s">
        <v>443</v>
      </c>
      <c r="D1078" t="s">
        <v>822</v>
      </c>
      <c r="F1078">
        <v>5.55937529676442E-8</v>
      </c>
      <c r="G1078">
        <v>806919</v>
      </c>
      <c r="H1078">
        <v>14352272</v>
      </c>
      <c r="I1078">
        <v>1308383</v>
      </c>
      <c r="J1078">
        <v>2</v>
      </c>
    </row>
    <row r="1079" spans="1:10" x14ac:dyDescent="0.25">
      <c r="A1079" t="s">
        <v>12</v>
      </c>
      <c r="B1079" s="1" t="str">
        <f>HYPERLINK("http://accenture.fi","accenture.fi")</f>
        <v>accenture.fi</v>
      </c>
      <c r="C1079" t="s">
        <v>445</v>
      </c>
      <c r="D1079" t="s">
        <v>823</v>
      </c>
      <c r="F1079">
        <v>7.3609991233687699E-9</v>
      </c>
      <c r="G1079">
        <v>11335315</v>
      </c>
      <c r="H1079">
        <v>11377164</v>
      </c>
      <c r="I1079">
        <v>30297387</v>
      </c>
      <c r="J1079">
        <v>4</v>
      </c>
    </row>
    <row r="1080" spans="1:10" x14ac:dyDescent="0.25">
      <c r="A1080" t="s">
        <v>12</v>
      </c>
      <c r="B1080" s="1" t="str">
        <f>HYPERLINK("http://accenture-careers.fi","accenture-careers.fi")</f>
        <v>accenture-careers.fi</v>
      </c>
      <c r="C1080" t="s">
        <v>445</v>
      </c>
      <c r="D1080" t="s">
        <v>823</v>
      </c>
      <c r="J1080">
        <v>2</v>
      </c>
    </row>
    <row r="1081" spans="1:10" x14ac:dyDescent="0.25">
      <c r="A1081" t="s">
        <v>12</v>
      </c>
      <c r="B1081" s="1" t="str">
        <f>HYPERLINK("http://accenture-consulting.fi","accenture-consulting.fi")</f>
        <v>accenture-consulting.fi</v>
      </c>
      <c r="C1081" t="s">
        <v>445</v>
      </c>
      <c r="D1081" t="s">
        <v>823</v>
      </c>
      <c r="J1081">
        <v>4</v>
      </c>
    </row>
    <row r="1082" spans="1:10" x14ac:dyDescent="0.25">
      <c r="A1082" t="s">
        <v>12</v>
      </c>
      <c r="B1082" s="1" t="str">
        <f>HYPERLINK("http://accenturecareers.fi","accenturecareers.fi")</f>
        <v>accenturecareers.fi</v>
      </c>
      <c r="C1082" t="s">
        <v>445</v>
      </c>
      <c r="D1082" t="s">
        <v>823</v>
      </c>
      <c r="J1082">
        <v>4</v>
      </c>
    </row>
    <row r="1083" spans="1:10" x14ac:dyDescent="0.25">
      <c r="A1083" t="s">
        <v>12</v>
      </c>
      <c r="B1083" s="1" t="str">
        <f>HYPERLINK("http://accentureconsulting.fi","accentureconsulting.fi")</f>
        <v>accentureconsulting.fi</v>
      </c>
      <c r="C1083" t="s">
        <v>445</v>
      </c>
      <c r="D1083" t="s">
        <v>823</v>
      </c>
      <c r="J1083">
        <v>4</v>
      </c>
    </row>
    <row r="1084" spans="1:10" x14ac:dyDescent="0.25">
      <c r="A1084" t="s">
        <v>12</v>
      </c>
      <c r="B1084" s="1" t="str">
        <f>HYPERLINK("http://avanade.fi","avanade.fi")</f>
        <v>avanade.fi</v>
      </c>
      <c r="C1084" t="s">
        <v>445</v>
      </c>
      <c r="D1084" t="s">
        <v>823</v>
      </c>
      <c r="F1084">
        <v>4.6069384868095403E-9</v>
      </c>
      <c r="G1084">
        <v>47086988</v>
      </c>
      <c r="H1084">
        <v>10343676</v>
      </c>
      <c r="I1084">
        <v>58151144</v>
      </c>
      <c r="J1084">
        <v>4</v>
      </c>
    </row>
    <row r="1085" spans="1:10" x14ac:dyDescent="0.25">
      <c r="A1085" t="s">
        <v>12</v>
      </c>
      <c r="B1085" s="1" t="str">
        <f>HYPERLINK("http://careers-accenture.fi","careers-accenture.fi")</f>
        <v>careers-accenture.fi</v>
      </c>
      <c r="C1085" t="s">
        <v>445</v>
      </c>
      <c r="D1085" t="s">
        <v>823</v>
      </c>
      <c r="J1085">
        <v>2</v>
      </c>
    </row>
    <row r="1086" spans="1:10" x14ac:dyDescent="0.25">
      <c r="A1086" t="s">
        <v>12</v>
      </c>
      <c r="B1086" s="1" t="str">
        <f>HYPERLINK("http://careersaccenture.fi","careersaccenture.fi")</f>
        <v>careersaccenture.fi</v>
      </c>
      <c r="C1086" t="s">
        <v>445</v>
      </c>
      <c r="D1086" t="s">
        <v>823</v>
      </c>
      <c r="J1086">
        <v>4</v>
      </c>
    </row>
    <row r="1087" spans="1:10" x14ac:dyDescent="0.25">
      <c r="A1087" t="s">
        <v>12</v>
      </c>
      <c r="B1087" s="1" t="str">
        <f>HYPERLINK("http://cygni.fi","cygni.fi")</f>
        <v>cygni.fi</v>
      </c>
      <c r="C1087" t="s">
        <v>445</v>
      </c>
      <c r="D1087" t="s">
        <v>823</v>
      </c>
      <c r="J1087">
        <v>4</v>
      </c>
    </row>
    <row r="1088" spans="1:10" x14ac:dyDescent="0.25">
      <c r="A1088" t="s">
        <v>12</v>
      </c>
      <c r="B1088" s="1" t="str">
        <f>HYPERLINK("http://liquid-studio.fi","liquid-studio.fi")</f>
        <v>liquid-studio.fi</v>
      </c>
      <c r="C1088" t="s">
        <v>445</v>
      </c>
      <c r="D1088" t="s">
        <v>823</v>
      </c>
      <c r="J1088">
        <v>2</v>
      </c>
    </row>
    <row r="1089" spans="1:10" x14ac:dyDescent="0.25">
      <c r="A1089" t="s">
        <v>12</v>
      </c>
      <c r="B1089" s="1" t="str">
        <f>HYPERLINK("http://liquidstudio.fi","liquidstudio.fi")</f>
        <v>liquidstudio.fi</v>
      </c>
      <c r="C1089" t="s">
        <v>445</v>
      </c>
      <c r="D1089" t="s">
        <v>823</v>
      </c>
      <c r="J1089">
        <v>2</v>
      </c>
    </row>
    <row r="1090" spans="1:10" x14ac:dyDescent="0.25">
      <c r="A1090" t="s">
        <v>12</v>
      </c>
      <c r="B1090" s="1" t="str">
        <f>HYPERLINK("http://lsh.fi","lsh.fi")</f>
        <v>lsh.fi</v>
      </c>
      <c r="C1090" t="s">
        <v>445</v>
      </c>
      <c r="D1090" t="s">
        <v>823</v>
      </c>
      <c r="J1090">
        <v>2</v>
      </c>
    </row>
    <row r="1091" spans="1:10" x14ac:dyDescent="0.25">
      <c r="A1091" t="s">
        <v>12</v>
      </c>
      <c r="B1091" s="1" t="str">
        <f>HYPERLINK("http://lsh-map.fi","lsh-map.fi")</f>
        <v>lsh-map.fi</v>
      </c>
      <c r="C1091" t="s">
        <v>445</v>
      </c>
      <c r="D1091" t="s">
        <v>823</v>
      </c>
      <c r="J1091">
        <v>2</v>
      </c>
    </row>
    <row r="1092" spans="1:10" x14ac:dyDescent="0.25">
      <c r="A1092" t="s">
        <v>12</v>
      </c>
      <c r="B1092" s="1" t="str">
        <f>HYPERLINK("http://lsh-sandbox.fi","lsh-sandbox.fi")</f>
        <v>lsh-sandbox.fi</v>
      </c>
      <c r="C1092" t="s">
        <v>445</v>
      </c>
      <c r="D1092" t="s">
        <v>823</v>
      </c>
      <c r="J1092">
        <v>2</v>
      </c>
    </row>
    <row r="1093" spans="1:10" x14ac:dyDescent="0.25">
      <c r="A1093" t="s">
        <v>12</v>
      </c>
      <c r="B1093" s="1" t="str">
        <f>HYPERLINK("http://sentor.fi","sentor.fi")</f>
        <v>sentor.fi</v>
      </c>
      <c r="C1093" t="s">
        <v>445</v>
      </c>
      <c r="D1093" t="s">
        <v>823</v>
      </c>
      <c r="J1093">
        <v>4</v>
      </c>
    </row>
    <row r="1094" spans="1:10" x14ac:dyDescent="0.25">
      <c r="A1094" t="s">
        <v>12</v>
      </c>
      <c r="B1094" s="1" t="str">
        <f>HYPERLINK("http://sentorsecurity.fi","sentorsecurity.fi")</f>
        <v>sentorsecurity.fi</v>
      </c>
      <c r="C1094" t="s">
        <v>445</v>
      </c>
      <c r="D1094" t="s">
        <v>823</v>
      </c>
      <c r="J1094">
        <v>4</v>
      </c>
    </row>
    <row r="1095" spans="1:10" x14ac:dyDescent="0.25">
      <c r="A1095" t="s">
        <v>12</v>
      </c>
      <c r="B1095" s="1" t="str">
        <f>HYPERLINK("http://accenture.fr","accenture.fr")</f>
        <v>accenture.fr</v>
      </c>
      <c r="C1095" t="s">
        <v>446</v>
      </c>
      <c r="D1095" t="s">
        <v>824</v>
      </c>
      <c r="F1095">
        <v>2.5298811387947899E-8</v>
      </c>
      <c r="G1095">
        <v>2039698</v>
      </c>
      <c r="H1095">
        <v>13801127</v>
      </c>
      <c r="I1095">
        <v>6275769</v>
      </c>
      <c r="J1095">
        <v>2</v>
      </c>
    </row>
    <row r="1096" spans="1:10" x14ac:dyDescent="0.25">
      <c r="A1096" t="s">
        <v>12</v>
      </c>
      <c r="B1096" s="1" t="str">
        <f>HYPERLINK("http://accenture.in","accenture.in")</f>
        <v>accenture.in</v>
      </c>
      <c r="C1096" t="s">
        <v>457</v>
      </c>
      <c r="D1096" t="s">
        <v>834</v>
      </c>
      <c r="F1096">
        <v>1.39393779356773E-8</v>
      </c>
      <c r="G1096">
        <v>4225936</v>
      </c>
      <c r="H1096">
        <v>12880887</v>
      </c>
      <c r="I1096">
        <v>13995748</v>
      </c>
      <c r="J1096">
        <v>2</v>
      </c>
    </row>
    <row r="1097" spans="1:10" x14ac:dyDescent="0.25">
      <c r="A1097" t="s">
        <v>12</v>
      </c>
      <c r="B1097" s="1" t="str">
        <f>HYPERLINK("http://accenture.it","accenture.it")</f>
        <v>accenture.it</v>
      </c>
      <c r="C1097" t="s">
        <v>459</v>
      </c>
      <c r="D1097" t="s">
        <v>835</v>
      </c>
      <c r="F1097">
        <v>5.6922479869881299E-8</v>
      </c>
      <c r="G1097">
        <v>784602</v>
      </c>
      <c r="H1097">
        <v>14411198</v>
      </c>
      <c r="I1097">
        <v>1144052</v>
      </c>
      <c r="J1097">
        <v>2</v>
      </c>
    </row>
    <row r="1098" spans="1:10" x14ac:dyDescent="0.25">
      <c r="A1098" t="s">
        <v>12</v>
      </c>
      <c r="B1098" s="1" t="str">
        <f>HYPERLINK("http://accenturehrservices.it","accenturehrservices.it")</f>
        <v>accenturehrservices.it</v>
      </c>
      <c r="C1098" t="s">
        <v>459</v>
      </c>
      <c r="D1098" t="s">
        <v>835</v>
      </c>
      <c r="F1098">
        <v>4.5348972669401197E-9</v>
      </c>
      <c r="G1098">
        <v>54523861</v>
      </c>
      <c r="H1098">
        <v>11974939</v>
      </c>
      <c r="I1098">
        <v>28571176</v>
      </c>
      <c r="J1098">
        <v>3</v>
      </c>
    </row>
    <row r="1099" spans="1:10" x14ac:dyDescent="0.25">
      <c r="A1099" t="s">
        <v>12</v>
      </c>
      <c r="B1099" s="1" t="str">
        <f>HYPERLINK("http://fruendo.it","fruendo.it")</f>
        <v>fruendo.it</v>
      </c>
      <c r="C1099" t="s">
        <v>459</v>
      </c>
      <c r="D1099" t="s">
        <v>835</v>
      </c>
      <c r="F1099">
        <v>4.6148979282290497E-9</v>
      </c>
      <c r="G1099">
        <v>46506714</v>
      </c>
      <c r="H1099">
        <v>12467255</v>
      </c>
      <c r="I1099">
        <v>17790403</v>
      </c>
      <c r="J1099">
        <v>3</v>
      </c>
    </row>
    <row r="1100" spans="1:10" x14ac:dyDescent="0.25">
      <c r="A1100" t="s">
        <v>12</v>
      </c>
      <c r="B1100" s="1" t="str">
        <f>HYPERLINK("http://sinnerschrader.jobs","sinnerschrader.jobs")</f>
        <v>sinnerschrader.jobs</v>
      </c>
      <c r="C1100" t="s">
        <v>521</v>
      </c>
      <c r="F1100">
        <v>9.0862385613441007E-9</v>
      </c>
      <c r="G1100">
        <v>7865967</v>
      </c>
      <c r="H1100">
        <v>12845226</v>
      </c>
      <c r="I1100">
        <v>14318851</v>
      </c>
      <c r="J1100">
        <v>6</v>
      </c>
    </row>
    <row r="1101" spans="1:10" x14ac:dyDescent="0.25">
      <c r="A1101" t="s">
        <v>12</v>
      </c>
      <c r="B1101" s="1" t="str">
        <f>HYPERLINK("http://accenture.jp","accenture.jp")</f>
        <v>accenture.jp</v>
      </c>
      <c r="C1101" t="s">
        <v>461</v>
      </c>
      <c r="D1101" t="s">
        <v>837</v>
      </c>
      <c r="F1101">
        <v>5.69401495430892E-8</v>
      </c>
      <c r="G1101">
        <v>784329</v>
      </c>
      <c r="H1101">
        <v>14109926</v>
      </c>
      <c r="I1101">
        <v>2676315</v>
      </c>
      <c r="J1101">
        <v>2</v>
      </c>
    </row>
    <row r="1102" spans="1:10" x14ac:dyDescent="0.25">
      <c r="A1102" t="s">
        <v>12</v>
      </c>
      <c r="B1102" s="1" t="str">
        <f>HYPERLINK("http://clearhead.me","clearhead.me")</f>
        <v>clearhead.me</v>
      </c>
      <c r="C1102" t="s">
        <v>470</v>
      </c>
      <c r="D1102" t="s">
        <v>846</v>
      </c>
      <c r="F1102">
        <v>5.3981136203744897E-8</v>
      </c>
      <c r="G1102">
        <v>839418</v>
      </c>
      <c r="H1102">
        <v>13650596</v>
      </c>
      <c r="I1102">
        <v>9605862</v>
      </c>
      <c r="J1102">
        <v>3</v>
      </c>
    </row>
    <row r="1103" spans="1:10" x14ac:dyDescent="0.25">
      <c r="A1103" t="s">
        <v>12</v>
      </c>
      <c r="B1103" s="1" t="str">
        <f>HYPERLINK("http://kcs.net","kcs.net")</f>
        <v>kcs.net</v>
      </c>
      <c r="C1103" t="s">
        <v>474</v>
      </c>
      <c r="F1103">
        <v>1.9440279070993501E-8</v>
      </c>
      <c r="G1103">
        <v>2756597</v>
      </c>
      <c r="H1103">
        <v>14101615</v>
      </c>
      <c r="I1103">
        <v>2701191</v>
      </c>
      <c r="J1103">
        <v>7</v>
      </c>
    </row>
    <row r="1104" spans="1:10" x14ac:dyDescent="0.25">
      <c r="A1104" t="s">
        <v>12</v>
      </c>
      <c r="B1104" s="1" t="str">
        <f>HYPERLINK("http://sinnerschrader.news","sinnerschrader.news")</f>
        <v>sinnerschrader.news</v>
      </c>
      <c r="C1104" t="s">
        <v>573</v>
      </c>
      <c r="F1104">
        <v>4.5962245264370603E-9</v>
      </c>
      <c r="G1104">
        <v>47900195</v>
      </c>
      <c r="H1104">
        <v>11003140</v>
      </c>
      <c r="I1104">
        <v>33533529</v>
      </c>
      <c r="J1104">
        <v>6</v>
      </c>
    </row>
    <row r="1105" spans="1:10" x14ac:dyDescent="0.25">
      <c r="A1105" t="s">
        <v>12</v>
      </c>
      <c r="B1105" s="1" t="str">
        <f>HYPERLINK("http://vanberlo.nl","vanberlo.nl")</f>
        <v>vanberlo.nl</v>
      </c>
      <c r="C1105" t="s">
        <v>477</v>
      </c>
      <c r="D1105" t="s">
        <v>852</v>
      </c>
      <c r="F1105">
        <v>2.3372373185226001E-8</v>
      </c>
      <c r="G1105">
        <v>2231294</v>
      </c>
      <c r="H1105">
        <v>13738137</v>
      </c>
      <c r="I1105">
        <v>9437414</v>
      </c>
      <c r="J1105">
        <v>3</v>
      </c>
    </row>
    <row r="1106" spans="1:10" x14ac:dyDescent="0.25">
      <c r="A1106" t="s">
        <v>12</v>
      </c>
      <c r="B1106" s="1" t="str">
        <f>HYPERLINK("http://accenture.no","accenture.no")</f>
        <v>accenture.no</v>
      </c>
      <c r="C1106" t="s">
        <v>478</v>
      </c>
      <c r="D1106" t="s">
        <v>853</v>
      </c>
      <c r="F1106">
        <v>1.37031517348511E-8</v>
      </c>
      <c r="G1106">
        <v>4319861</v>
      </c>
      <c r="H1106">
        <v>14074538</v>
      </c>
      <c r="I1106">
        <v>2939559</v>
      </c>
      <c r="J1106">
        <v>2</v>
      </c>
    </row>
    <row r="1107" spans="1:10" x14ac:dyDescent="0.25">
      <c r="A1107" t="s">
        <v>12</v>
      </c>
      <c r="B1107" s="1" t="str">
        <f>HYPERLINK("http://accenture.pl","accenture.pl")</f>
        <v>accenture.pl</v>
      </c>
      <c r="C1107" t="s">
        <v>486</v>
      </c>
      <c r="D1107" t="s">
        <v>860</v>
      </c>
      <c r="F1107">
        <v>1.2769456868888999E-8</v>
      </c>
      <c r="G1107">
        <v>4744769</v>
      </c>
      <c r="H1107">
        <v>12938760</v>
      </c>
      <c r="I1107">
        <v>13307921</v>
      </c>
      <c r="J1107">
        <v>2</v>
      </c>
    </row>
    <row r="1108" spans="1:10" x14ac:dyDescent="0.25">
      <c r="A1108" t="s">
        <v>12</v>
      </c>
      <c r="B1108" s="1" t="str">
        <f>HYPERLINK("http://accenture.pt","accenture.pt")</f>
        <v>accenture.pt</v>
      </c>
      <c r="C1108" t="s">
        <v>488</v>
      </c>
      <c r="D1108" t="s">
        <v>862</v>
      </c>
      <c r="F1108">
        <v>1.28968664138374E-8</v>
      </c>
      <c r="G1108">
        <v>4680923</v>
      </c>
      <c r="H1108">
        <v>12914837</v>
      </c>
      <c r="I1108">
        <v>13521368</v>
      </c>
      <c r="J1108">
        <v>2</v>
      </c>
    </row>
    <row r="1109" spans="1:10" x14ac:dyDescent="0.25">
      <c r="A1109" t="s">
        <v>12</v>
      </c>
      <c r="B1109" s="1" t="str">
        <f>HYPERLINK("http://accenture.ru","accenture.ru")</f>
        <v>accenture.ru</v>
      </c>
      <c r="C1109" t="s">
        <v>493</v>
      </c>
      <c r="D1109" t="s">
        <v>867</v>
      </c>
      <c r="F1109">
        <v>7.1202483445626399E-9</v>
      </c>
      <c r="G1109">
        <v>11958608</v>
      </c>
      <c r="H1109">
        <v>12317617</v>
      </c>
      <c r="I1109">
        <v>20460720</v>
      </c>
      <c r="J1109">
        <v>2</v>
      </c>
    </row>
    <row r="1110" spans="1:10" x14ac:dyDescent="0.25">
      <c r="A1110" t="s">
        <v>12</v>
      </c>
      <c r="B1110" s="1" t="str">
        <f>HYPERLINK("http://accenture.sg","accenture.sg")</f>
        <v>accenture.sg</v>
      </c>
      <c r="C1110" t="s">
        <v>496</v>
      </c>
      <c r="D1110" t="s">
        <v>870</v>
      </c>
      <c r="F1110">
        <v>2.18668030468999E-8</v>
      </c>
      <c r="G1110">
        <v>2401909</v>
      </c>
      <c r="H1110">
        <v>12921986</v>
      </c>
      <c r="I1110">
        <v>13417799</v>
      </c>
      <c r="J1110">
        <v>2</v>
      </c>
    </row>
    <row r="1111" spans="1:10" x14ac:dyDescent="0.25">
      <c r="A1111" t="s">
        <v>12</v>
      </c>
      <c r="B1111" s="1" t="str">
        <f>HYPERLINK("http://newspage.com.sg","newspage.com.sg")</f>
        <v>newspage.com.sg</v>
      </c>
      <c r="C1111" t="s">
        <v>496</v>
      </c>
      <c r="D1111" t="s">
        <v>870</v>
      </c>
      <c r="F1111">
        <v>1.75984390345448E-8</v>
      </c>
      <c r="G1111">
        <v>3119298</v>
      </c>
      <c r="H1111">
        <v>13756631</v>
      </c>
      <c r="I1111">
        <v>9416404</v>
      </c>
      <c r="J1111">
        <v>3</v>
      </c>
    </row>
    <row r="1112" spans="1:10" x14ac:dyDescent="0.25">
      <c r="A1112" t="s">
        <v>12</v>
      </c>
      <c r="B1112" s="1" t="str">
        <f>HYPERLINK("http://itone.co.th","itone.co.th")</f>
        <v>itone.co.th</v>
      </c>
      <c r="C1112" t="s">
        <v>500</v>
      </c>
      <c r="D1112" t="s">
        <v>874</v>
      </c>
      <c r="F1112">
        <v>5.6498154789714699E-9</v>
      </c>
      <c r="G1112">
        <v>19393776</v>
      </c>
      <c r="H1112">
        <v>12368945</v>
      </c>
      <c r="I1112">
        <v>19426972</v>
      </c>
      <c r="J1112">
        <v>6</v>
      </c>
    </row>
    <row r="1113" spans="1:10" x14ac:dyDescent="0.25">
      <c r="A1113" t="s">
        <v>12</v>
      </c>
      <c r="B1113" s="1" t="str">
        <f>HYPERLINK("http://accenture.co.uk","accenture.co.uk")</f>
        <v>accenture.co.uk</v>
      </c>
      <c r="C1113" t="s">
        <v>506</v>
      </c>
      <c r="D1113" t="s">
        <v>880</v>
      </c>
      <c r="F1113">
        <v>1.6697966558708101E-8</v>
      </c>
      <c r="G1113">
        <v>3359216</v>
      </c>
      <c r="H1113">
        <v>13068666</v>
      </c>
      <c r="I1113">
        <v>12259711</v>
      </c>
      <c r="J1113">
        <v>2</v>
      </c>
    </row>
    <row r="1114" spans="1:10" x14ac:dyDescent="0.25">
      <c r="A1114" t="s">
        <v>12</v>
      </c>
      <c r="B1114" s="1" t="str">
        <f>HYPERLINK("http://altius.co.uk","altius.co.uk")</f>
        <v>altius.co.uk</v>
      </c>
      <c r="C1114" t="s">
        <v>506</v>
      </c>
      <c r="D1114" t="s">
        <v>880</v>
      </c>
      <c r="F1114">
        <v>7.1339777001089098E-9</v>
      </c>
      <c r="G1114">
        <v>11920503</v>
      </c>
      <c r="H1114">
        <v>12972569</v>
      </c>
      <c r="I1114">
        <v>13032088</v>
      </c>
      <c r="J1114">
        <v>6</v>
      </c>
    </row>
    <row r="1115" spans="1:10" x14ac:dyDescent="0.25">
      <c r="A1115" t="s">
        <v>12</v>
      </c>
      <c r="B1115" s="1" t="str">
        <f>HYPERLINK("http://droga5.co.uk","droga5.co.uk")</f>
        <v>droga5.co.uk</v>
      </c>
      <c r="C1115" t="s">
        <v>506</v>
      </c>
      <c r="D1115" t="s">
        <v>880</v>
      </c>
      <c r="F1115">
        <v>2.4534524435805001E-8</v>
      </c>
      <c r="G1115">
        <v>2111381</v>
      </c>
      <c r="H1115">
        <v>13952822</v>
      </c>
      <c r="I1115">
        <v>4154228</v>
      </c>
      <c r="J1115">
        <v>3</v>
      </c>
    </row>
    <row r="1116" spans="1:10" x14ac:dyDescent="0.25">
      <c r="A1116" t="s">
        <v>12</v>
      </c>
      <c r="B1116" s="1" t="str">
        <f>HYPERLINK("http://edenhousesolutions.co.uk","edenhousesolutions.co.uk")</f>
        <v>edenhousesolutions.co.uk</v>
      </c>
      <c r="C1116" t="s">
        <v>506</v>
      </c>
      <c r="D1116" t="s">
        <v>880</v>
      </c>
      <c r="F1116">
        <v>2.1067345192861398E-8</v>
      </c>
      <c r="G1116">
        <v>2507012</v>
      </c>
      <c r="H1116">
        <v>13016990</v>
      </c>
      <c r="I1116">
        <v>12725288</v>
      </c>
      <c r="J1116">
        <v>3</v>
      </c>
    </row>
    <row r="1117" spans="1:10" x14ac:dyDescent="0.25">
      <c r="A1117" t="s">
        <v>12</v>
      </c>
      <c r="B1117" s="1" t="str">
        <f>HYPERLINK("http://edenonesolutions.co.uk","edenonesolutions.co.uk")</f>
        <v>edenonesolutions.co.uk</v>
      </c>
      <c r="C1117" t="s">
        <v>506</v>
      </c>
      <c r="D1117" t="s">
        <v>880</v>
      </c>
      <c r="F1117">
        <v>4.6020243278616399E-9</v>
      </c>
      <c r="G1117">
        <v>47448648</v>
      </c>
      <c r="H1117">
        <v>10390267</v>
      </c>
      <c r="I1117">
        <v>54393757</v>
      </c>
      <c r="J1117">
        <v>3</v>
      </c>
    </row>
    <row r="1118" spans="1:10" x14ac:dyDescent="0.25">
      <c r="A1118" t="s">
        <v>12</v>
      </c>
      <c r="B1118" s="1" t="str">
        <f>HYPERLINK("http://accenture.co.za","accenture.co.za")</f>
        <v>accenture.co.za</v>
      </c>
      <c r="C1118" t="s">
        <v>510</v>
      </c>
      <c r="D1118" t="s">
        <v>884</v>
      </c>
      <c r="F1118">
        <v>4.4611281516037598E-9</v>
      </c>
      <c r="G1118">
        <v>67402094</v>
      </c>
      <c r="H1118">
        <v>10358525</v>
      </c>
      <c r="I1118">
        <v>55316922</v>
      </c>
      <c r="J1118">
        <v>2</v>
      </c>
    </row>
    <row r="1119" spans="1:10" x14ac:dyDescent="0.25">
      <c r="A1119" t="s">
        <v>13</v>
      </c>
      <c r="B1119" s="1" t="str">
        <f>HYPERLINK("http://radical.ca","radical.ca")</f>
        <v>radical.ca</v>
      </c>
      <c r="C1119" t="s">
        <v>428</v>
      </c>
      <c r="D1119" t="s">
        <v>809</v>
      </c>
      <c r="F1119">
        <v>2.11428237853355E-8</v>
      </c>
      <c r="G1119">
        <v>2495104</v>
      </c>
      <c r="H1119">
        <v>14584586</v>
      </c>
      <c r="I1119">
        <v>702865</v>
      </c>
      <c r="J1119">
        <v>4</v>
      </c>
    </row>
    <row r="1120" spans="1:10" x14ac:dyDescent="0.25">
      <c r="A1120" t="s">
        <v>13</v>
      </c>
      <c r="B1120" s="1" t="str">
        <f>HYPERLINK("http://blizzard.cn","blizzard.cn")</f>
        <v>blizzard.cn</v>
      </c>
      <c r="C1120" t="s">
        <v>431</v>
      </c>
      <c r="D1120" t="s">
        <v>812</v>
      </c>
      <c r="E1120">
        <v>7507</v>
      </c>
      <c r="F1120">
        <v>7.2079397021134201E-7</v>
      </c>
      <c r="G1120">
        <v>53874</v>
      </c>
      <c r="H1120">
        <v>14874867</v>
      </c>
      <c r="I1120">
        <v>475852</v>
      </c>
      <c r="J1120">
        <v>4</v>
      </c>
    </row>
    <row r="1121" spans="1:10" x14ac:dyDescent="0.25">
      <c r="A1121" t="s">
        <v>13</v>
      </c>
      <c r="B1121" s="1" t="str">
        <f>HYPERLINK("http://activision.com","activision.com")</f>
        <v>activision.com</v>
      </c>
      <c r="C1121" t="s">
        <v>433</v>
      </c>
      <c r="E1121">
        <v>2878</v>
      </c>
      <c r="F1121">
        <v>2.7321906640038001E-6</v>
      </c>
      <c r="G1121">
        <v>13973</v>
      </c>
      <c r="H1121">
        <v>17533996</v>
      </c>
      <c r="I1121">
        <v>11887</v>
      </c>
      <c r="J1121">
        <v>2</v>
      </c>
    </row>
    <row r="1122" spans="1:10" x14ac:dyDescent="0.25">
      <c r="A1122" t="s">
        <v>13</v>
      </c>
      <c r="B1122" s="1" t="str">
        <f>HYPERLINK("http://activisionblizzard.com","activisionblizzard.com")</f>
        <v>activisionblizzard.com</v>
      </c>
      <c r="C1122" t="s">
        <v>433</v>
      </c>
      <c r="E1122">
        <v>17649</v>
      </c>
      <c r="F1122">
        <v>8.1646278770029099E-7</v>
      </c>
      <c r="G1122">
        <v>48396</v>
      </c>
      <c r="H1122">
        <v>17383594</v>
      </c>
      <c r="I1122">
        <v>20379</v>
      </c>
      <c r="J1122">
        <v>1</v>
      </c>
    </row>
    <row r="1123" spans="1:10" x14ac:dyDescent="0.25">
      <c r="A1123" t="s">
        <v>13</v>
      </c>
      <c r="B1123" s="1" t="str">
        <f>HYPERLINK("http://beenox.com","beenox.com")</f>
        <v>beenox.com</v>
      </c>
      <c r="C1123" t="s">
        <v>433</v>
      </c>
      <c r="E1123">
        <v>786612</v>
      </c>
      <c r="F1123">
        <v>8.8191287629334304E-8</v>
      </c>
      <c r="G1123">
        <v>464613</v>
      </c>
      <c r="H1123">
        <v>14622660</v>
      </c>
      <c r="I1123">
        <v>654889</v>
      </c>
      <c r="J1123">
        <v>3</v>
      </c>
    </row>
    <row r="1124" spans="1:10" x14ac:dyDescent="0.25">
      <c r="A1124" t="s">
        <v>13</v>
      </c>
      <c r="B1124" s="1" t="str">
        <f>HYPERLINK("http://blizzard.com","blizzard.com")</f>
        <v>blizzard.com</v>
      </c>
      <c r="C1124" t="s">
        <v>433</v>
      </c>
      <c r="E1124">
        <v>1122</v>
      </c>
      <c r="F1124">
        <v>5.1303505947309998E-6</v>
      </c>
      <c r="G1124">
        <v>6759</v>
      </c>
      <c r="H1124">
        <v>17899026</v>
      </c>
      <c r="I1124">
        <v>4472</v>
      </c>
      <c r="J1124">
        <v>3</v>
      </c>
    </row>
    <row r="1125" spans="1:10" x14ac:dyDescent="0.25">
      <c r="A1125" t="s">
        <v>13</v>
      </c>
      <c r="B1125" s="1" t="str">
        <f>HYPERLINK("http://candycrushsaga.com","candycrushsaga.com")</f>
        <v>candycrushsaga.com</v>
      </c>
      <c r="C1125" t="s">
        <v>433</v>
      </c>
      <c r="E1125">
        <v>564501</v>
      </c>
      <c r="F1125">
        <v>2.2914671795413101E-7</v>
      </c>
      <c r="G1125">
        <v>164094</v>
      </c>
      <c r="H1125">
        <v>17127210</v>
      </c>
      <c r="I1125">
        <v>57545</v>
      </c>
      <c r="J1125">
        <v>5</v>
      </c>
    </row>
    <row r="1126" spans="1:10" x14ac:dyDescent="0.25">
      <c r="A1126" t="s">
        <v>13</v>
      </c>
      <c r="B1126" s="1" t="str">
        <f>HYPERLINK("http://highmoonstudios.com","highmoonstudios.com")</f>
        <v>highmoonstudios.com</v>
      </c>
      <c r="C1126" t="s">
        <v>433</v>
      </c>
      <c r="E1126">
        <v>999664</v>
      </c>
      <c r="F1126">
        <v>8.9566755804360098E-8</v>
      </c>
      <c r="G1126">
        <v>455908</v>
      </c>
      <c r="H1126">
        <v>14258087</v>
      </c>
      <c r="I1126">
        <v>1425823</v>
      </c>
      <c r="J1126">
        <v>3</v>
      </c>
    </row>
    <row r="1127" spans="1:10" x14ac:dyDescent="0.25">
      <c r="A1127" t="s">
        <v>13</v>
      </c>
      <c r="B1127" s="1" t="str">
        <f>HYPERLINK("http://infinityward.com","infinityward.com")</f>
        <v>infinityward.com</v>
      </c>
      <c r="C1127" t="s">
        <v>433</v>
      </c>
      <c r="E1127">
        <v>55801</v>
      </c>
      <c r="F1127">
        <v>2.7044380899836002E-7</v>
      </c>
      <c r="G1127">
        <v>137706</v>
      </c>
      <c r="H1127">
        <v>14809776</v>
      </c>
      <c r="I1127">
        <v>536184</v>
      </c>
      <c r="J1127">
        <v>3</v>
      </c>
    </row>
    <row r="1128" spans="1:10" x14ac:dyDescent="0.25">
      <c r="A1128" t="s">
        <v>13</v>
      </c>
      <c r="B1128" s="1" t="str">
        <f>HYPERLINK("http://king.com","king.com")</f>
        <v>king.com</v>
      </c>
      <c r="C1128" t="s">
        <v>433</v>
      </c>
      <c r="E1128">
        <v>2046</v>
      </c>
      <c r="F1128">
        <v>2.2282862458468401E-6</v>
      </c>
      <c r="G1128">
        <v>16500</v>
      </c>
      <c r="H1128">
        <v>17554558</v>
      </c>
      <c r="I1128">
        <v>11128</v>
      </c>
      <c r="J1128">
        <v>2</v>
      </c>
    </row>
    <row r="1129" spans="1:10" x14ac:dyDescent="0.25">
      <c r="A1129" t="s">
        <v>13</v>
      </c>
      <c r="B1129" s="1" t="str">
        <f>HYPERLINK("http://midasplayer.com","midasplayer.com")</f>
        <v>midasplayer.com</v>
      </c>
      <c r="C1129" t="s">
        <v>433</v>
      </c>
      <c r="E1129">
        <v>28496</v>
      </c>
      <c r="F1129">
        <v>2.65557944295073E-8</v>
      </c>
      <c r="G1129">
        <v>1938576</v>
      </c>
      <c r="H1129">
        <v>14125031</v>
      </c>
      <c r="I1129">
        <v>2130713</v>
      </c>
      <c r="J1129">
        <v>4</v>
      </c>
    </row>
    <row r="1130" spans="1:10" x14ac:dyDescent="0.25">
      <c r="A1130" t="s">
        <v>13</v>
      </c>
      <c r="B1130" s="1" t="str">
        <f>HYPERLINK("http://toysforbob.com","toysforbob.com")</f>
        <v>toysforbob.com</v>
      </c>
      <c r="C1130" t="s">
        <v>433</v>
      </c>
      <c r="E1130">
        <v>720440</v>
      </c>
      <c r="F1130">
        <v>9.2297149421186994E-8</v>
      </c>
      <c r="G1130">
        <v>441017</v>
      </c>
      <c r="H1130">
        <v>14817698</v>
      </c>
      <c r="I1130">
        <v>521173</v>
      </c>
      <c r="J1130">
        <v>3</v>
      </c>
    </row>
    <row r="1131" spans="1:10" x14ac:dyDescent="0.25">
      <c r="A1131" t="s">
        <v>13</v>
      </c>
      <c r="B1131" s="1" t="str">
        <f>HYPERLINK("http://treyarch.com","treyarch.com")</f>
        <v>treyarch.com</v>
      </c>
      <c r="C1131" t="s">
        <v>433</v>
      </c>
      <c r="E1131">
        <v>177253</v>
      </c>
      <c r="F1131">
        <v>2.14956968955611E-7</v>
      </c>
      <c r="G1131">
        <v>175553</v>
      </c>
      <c r="H1131">
        <v>14965870</v>
      </c>
      <c r="I1131">
        <v>435400</v>
      </c>
      <c r="J1131">
        <v>3</v>
      </c>
    </row>
    <row r="1132" spans="1:10" x14ac:dyDescent="0.25">
      <c r="A1132" t="s">
        <v>13</v>
      </c>
      <c r="B1132" s="1" t="str">
        <f>HYPERLINK("http://vvisions.com","vvisions.com")</f>
        <v>vvisions.com</v>
      </c>
      <c r="C1132" t="s">
        <v>433</v>
      </c>
      <c r="E1132">
        <v>902170</v>
      </c>
      <c r="F1132">
        <v>5.95481280229285E-8</v>
      </c>
      <c r="G1132">
        <v>742213</v>
      </c>
      <c r="H1132">
        <v>14840787</v>
      </c>
      <c r="I1132">
        <v>497163</v>
      </c>
      <c r="J1132">
        <v>4</v>
      </c>
    </row>
    <row r="1133" spans="1:10" x14ac:dyDescent="0.25">
      <c r="A1133" t="s">
        <v>13</v>
      </c>
      <c r="B1133" s="1" t="str">
        <f>HYPERLINK("http://activision.fi","activision.fi")</f>
        <v>activision.fi</v>
      </c>
      <c r="C1133" t="s">
        <v>445</v>
      </c>
      <c r="D1133" t="s">
        <v>823</v>
      </c>
      <c r="F1133">
        <v>4.44380927664388E-9</v>
      </c>
      <c r="G1133">
        <v>79825162</v>
      </c>
      <c r="H1133">
        <v>10352960</v>
      </c>
      <c r="I1133">
        <v>55971470</v>
      </c>
      <c r="J1133">
        <v>4</v>
      </c>
    </row>
    <row r="1134" spans="1:10" x14ac:dyDescent="0.25">
      <c r="A1134" t="s">
        <v>13</v>
      </c>
      <c r="B1134" s="1" t="str">
        <f>HYPERLINK("http://pelaawarcraft.fi","pelaawarcraft.fi")</f>
        <v>pelaawarcraft.fi</v>
      </c>
      <c r="C1134" t="s">
        <v>445</v>
      </c>
      <c r="D1134" t="s">
        <v>823</v>
      </c>
      <c r="J1134">
        <v>4</v>
      </c>
    </row>
    <row r="1135" spans="1:10" x14ac:dyDescent="0.25">
      <c r="A1135" t="s">
        <v>13</v>
      </c>
      <c r="B1135" s="1" t="str">
        <f>HYPERLINK("http://blizzard.kr","blizzard.kr")</f>
        <v>blizzard.kr</v>
      </c>
      <c r="C1135" t="s">
        <v>463</v>
      </c>
      <c r="D1135" t="s">
        <v>839</v>
      </c>
      <c r="E1135">
        <v>306541</v>
      </c>
      <c r="F1135">
        <v>6.7177098959868606E-8</v>
      </c>
      <c r="G1135">
        <v>636578</v>
      </c>
      <c r="H1135">
        <v>12942998</v>
      </c>
      <c r="I1135">
        <v>13269057</v>
      </c>
      <c r="J1135">
        <v>4</v>
      </c>
    </row>
    <row r="1136" spans="1:10" x14ac:dyDescent="0.25">
      <c r="A1136" t="s">
        <v>13</v>
      </c>
      <c r="B1136" s="1" t="str">
        <f>HYPERLINK("http://battle.net","battle.net")</f>
        <v>battle.net</v>
      </c>
      <c r="C1136" t="s">
        <v>474</v>
      </c>
      <c r="E1136">
        <v>1093</v>
      </c>
      <c r="F1136">
        <v>4.7854822527058797E-6</v>
      </c>
      <c r="G1136">
        <v>7327</v>
      </c>
      <c r="H1136">
        <v>18128584</v>
      </c>
      <c r="I1136">
        <v>3013</v>
      </c>
      <c r="J1136">
        <v>5</v>
      </c>
    </row>
    <row r="1137" spans="1:10" x14ac:dyDescent="0.25">
      <c r="A1137" t="s">
        <v>13</v>
      </c>
      <c r="B1137" s="1" t="str">
        <f>HYPERLINK("http://blizzard.net","blizzard.net")</f>
        <v>blizzard.net</v>
      </c>
      <c r="C1137" t="s">
        <v>474</v>
      </c>
      <c r="E1137">
        <v>34670</v>
      </c>
      <c r="F1137">
        <v>2.12409892120582E-8</v>
      </c>
      <c r="G1137">
        <v>2481830</v>
      </c>
      <c r="H1137">
        <v>13477878</v>
      </c>
      <c r="I1137">
        <v>10015362</v>
      </c>
      <c r="J1137">
        <v>4</v>
      </c>
    </row>
    <row r="1138" spans="1:10" x14ac:dyDescent="0.25">
      <c r="A1138" t="s">
        <v>13</v>
      </c>
      <c r="B1138" s="1" t="str">
        <f>HYPERLINK("http://centresoft.co.uk","centresoft.co.uk")</f>
        <v>centresoft.co.uk</v>
      </c>
      <c r="C1138" t="s">
        <v>506</v>
      </c>
      <c r="D1138" t="s">
        <v>880</v>
      </c>
      <c r="F1138">
        <v>5.8024581746143904E-9</v>
      </c>
      <c r="G1138">
        <v>18068273</v>
      </c>
      <c r="H1138">
        <v>14071796</v>
      </c>
      <c r="I1138">
        <v>3334797</v>
      </c>
      <c r="J1138">
        <v>5</v>
      </c>
    </row>
    <row r="1139" spans="1:10" x14ac:dyDescent="0.25">
      <c r="A1139" t="s">
        <v>1583</v>
      </c>
      <c r="B1139" s="1" t="str">
        <f>HYPERLINK("http://csmia.aero","csmia.aero")</f>
        <v>csmia.aero</v>
      </c>
      <c r="C1139" t="s">
        <v>601</v>
      </c>
      <c r="F1139">
        <v>4.13243307988321E-8</v>
      </c>
      <c r="G1139">
        <v>1216113</v>
      </c>
      <c r="H1139">
        <v>14435987</v>
      </c>
      <c r="I1139">
        <v>1068562</v>
      </c>
      <c r="J1139">
        <v>3</v>
      </c>
    </row>
    <row r="1140" spans="1:10" x14ac:dyDescent="0.25">
      <c r="A1140" t="s">
        <v>1583</v>
      </c>
      <c r="B1140" s="1" t="str">
        <f>HYPERLINK("http://adani.com","adani.com")</f>
        <v>adani.com</v>
      </c>
      <c r="C1140" t="s">
        <v>433</v>
      </c>
      <c r="E1140">
        <v>100725</v>
      </c>
      <c r="F1140">
        <v>2.0825149926202701E-7</v>
      </c>
      <c r="G1140">
        <v>181923</v>
      </c>
      <c r="H1140">
        <v>14989100</v>
      </c>
      <c r="I1140">
        <v>428544</v>
      </c>
      <c r="J1140">
        <v>5</v>
      </c>
    </row>
    <row r="1141" spans="1:10" x14ac:dyDescent="0.25">
      <c r="A1141" t="s">
        <v>1583</v>
      </c>
      <c r="B1141" s="1" t="str">
        <f>HYPERLINK("http://adaniagrilogistics.com","adaniagrilogistics.com")</f>
        <v>adaniagrilogistics.com</v>
      </c>
      <c r="C1141" t="s">
        <v>433</v>
      </c>
      <c r="F1141">
        <v>1.8304967151321599E-8</v>
      </c>
      <c r="G1141">
        <v>2966450</v>
      </c>
      <c r="H1141">
        <v>13933710</v>
      </c>
      <c r="I1141">
        <v>4682375</v>
      </c>
      <c r="J1141">
        <v>11</v>
      </c>
    </row>
    <row r="1142" spans="1:10" x14ac:dyDescent="0.25">
      <c r="A1142" t="s">
        <v>1583</v>
      </c>
      <c r="B1142" s="1" t="str">
        <f>HYPERLINK("http://adaniconnex.com","adaniconnex.com")</f>
        <v>adaniconnex.com</v>
      </c>
      <c r="C1142" t="s">
        <v>433</v>
      </c>
      <c r="F1142">
        <v>1.31373314151009E-8</v>
      </c>
      <c r="G1142">
        <v>4566816</v>
      </c>
      <c r="H1142">
        <v>12259059</v>
      </c>
      <c r="I1142">
        <v>21794777</v>
      </c>
      <c r="J1142">
        <v>4</v>
      </c>
    </row>
    <row r="1143" spans="1:10" x14ac:dyDescent="0.25">
      <c r="A1143" t="s">
        <v>1583</v>
      </c>
      <c r="B1143" s="1" t="str">
        <f>HYPERLINK("http://adanielectricity.com","adanielectricity.com")</f>
        <v>adanielectricity.com</v>
      </c>
      <c r="C1143" t="s">
        <v>433</v>
      </c>
      <c r="E1143">
        <v>345410</v>
      </c>
      <c r="F1143">
        <v>3.0763196929926799E-8</v>
      </c>
      <c r="G1143">
        <v>1674439</v>
      </c>
      <c r="H1143">
        <v>12528275</v>
      </c>
      <c r="I1143">
        <v>17056780</v>
      </c>
      <c r="J1143">
        <v>6</v>
      </c>
    </row>
    <row r="1144" spans="1:10" x14ac:dyDescent="0.25">
      <c r="A1144" t="s">
        <v>1583</v>
      </c>
      <c r="B1144" s="1" t="str">
        <f>HYPERLINK("http://adanienterprises.com","adanienterprises.com")</f>
        <v>adanienterprises.com</v>
      </c>
      <c r="C1144" t="s">
        <v>433</v>
      </c>
      <c r="E1144">
        <v>729579</v>
      </c>
      <c r="F1144">
        <v>1.33582328002188E-7</v>
      </c>
      <c r="G1144">
        <v>292369</v>
      </c>
      <c r="H1144">
        <v>14222567</v>
      </c>
      <c r="I1144">
        <v>1683447</v>
      </c>
      <c r="J1144">
        <v>1</v>
      </c>
    </row>
    <row r="1145" spans="1:10" x14ac:dyDescent="0.25">
      <c r="A1145" t="s">
        <v>1583</v>
      </c>
      <c r="B1145" s="1" t="str">
        <f>HYPERLINK("http://adanigas.com","adanigas.com")</f>
        <v>adanigas.com</v>
      </c>
      <c r="C1145" t="s">
        <v>433</v>
      </c>
      <c r="E1145">
        <v>690675</v>
      </c>
      <c r="F1145">
        <v>4.6976357275633198E-8</v>
      </c>
      <c r="G1145">
        <v>993663</v>
      </c>
      <c r="H1145">
        <v>14082271</v>
      </c>
      <c r="I1145">
        <v>2801861</v>
      </c>
      <c r="J1145">
        <v>7</v>
      </c>
    </row>
    <row r="1146" spans="1:10" x14ac:dyDescent="0.25">
      <c r="A1146" t="s">
        <v>1583</v>
      </c>
      <c r="B1146" s="1" t="str">
        <f>HYPERLINK("http://adanigreenenergy.com","adanigreenenergy.com")</f>
        <v>adanigreenenergy.com</v>
      </c>
      <c r="C1146" t="s">
        <v>433</v>
      </c>
      <c r="F1146">
        <v>4.8851965180780202E-8</v>
      </c>
      <c r="G1146">
        <v>948482</v>
      </c>
      <c r="H1146">
        <v>14500869</v>
      </c>
      <c r="I1146">
        <v>851740</v>
      </c>
      <c r="J1146">
        <v>6</v>
      </c>
    </row>
    <row r="1147" spans="1:10" x14ac:dyDescent="0.25">
      <c r="A1147" t="s">
        <v>1583</v>
      </c>
      <c r="B1147" s="1" t="str">
        <f>HYPERLINK("http://adanihaziraport.com","adanihaziraport.com")</f>
        <v>adanihaziraport.com</v>
      </c>
      <c r="C1147" t="s">
        <v>433</v>
      </c>
      <c r="F1147">
        <v>4.9157974097240399E-9</v>
      </c>
      <c r="G1147">
        <v>32015943</v>
      </c>
      <c r="H1147">
        <v>10222916</v>
      </c>
      <c r="I1147">
        <v>58923259</v>
      </c>
      <c r="J1147">
        <v>11</v>
      </c>
    </row>
    <row r="1148" spans="1:10" x14ac:dyDescent="0.25">
      <c r="A1148" t="s">
        <v>1583</v>
      </c>
      <c r="B1148" s="1" t="str">
        <f>HYPERLINK("http://adaniinfra.com","adaniinfra.com")</f>
        <v>adaniinfra.com</v>
      </c>
      <c r="C1148" t="s">
        <v>433</v>
      </c>
      <c r="F1148">
        <v>8.8372926495398806E-9</v>
      </c>
      <c r="G1148">
        <v>8244627</v>
      </c>
      <c r="H1148">
        <v>14074549</v>
      </c>
      <c r="I1148">
        <v>2939170</v>
      </c>
      <c r="J1148">
        <v>7</v>
      </c>
    </row>
    <row r="1149" spans="1:10" x14ac:dyDescent="0.25">
      <c r="A1149" t="s">
        <v>1583</v>
      </c>
      <c r="B1149" s="1" t="str">
        <f>HYPERLINK("http://adaniports.com","adaniports.com")</f>
        <v>adaniports.com</v>
      </c>
      <c r="C1149" t="s">
        <v>433</v>
      </c>
      <c r="E1149">
        <v>440049</v>
      </c>
      <c r="F1149">
        <v>1.04775858308161E-7</v>
      </c>
      <c r="G1149">
        <v>382505</v>
      </c>
      <c r="H1149">
        <v>14880779</v>
      </c>
      <c r="I1149">
        <v>472353</v>
      </c>
      <c r="J1149">
        <v>6</v>
      </c>
    </row>
    <row r="1150" spans="1:10" x14ac:dyDescent="0.25">
      <c r="A1150" t="s">
        <v>1583</v>
      </c>
      <c r="B1150" s="1" t="str">
        <f>HYPERLINK("http://adanipower.com","adanipower.com")</f>
        <v>adanipower.com</v>
      </c>
      <c r="C1150" t="s">
        <v>433</v>
      </c>
      <c r="E1150">
        <v>905607</v>
      </c>
      <c r="F1150">
        <v>4.2237179380725002E-8</v>
      </c>
      <c r="G1150">
        <v>1153506</v>
      </c>
      <c r="H1150">
        <v>14522683</v>
      </c>
      <c r="I1150">
        <v>800314</v>
      </c>
      <c r="J1150">
        <v>5</v>
      </c>
    </row>
    <row r="1151" spans="1:10" x14ac:dyDescent="0.25">
      <c r="A1151" t="s">
        <v>1583</v>
      </c>
      <c r="B1151" s="1" t="str">
        <f>HYPERLINK("http://adanisolar.com","adanisolar.com")</f>
        <v>adanisolar.com</v>
      </c>
      <c r="C1151" t="s">
        <v>433</v>
      </c>
      <c r="F1151">
        <v>2.4626707350913E-8</v>
      </c>
      <c r="G1151">
        <v>2103056</v>
      </c>
      <c r="H1151">
        <v>12468991</v>
      </c>
      <c r="I1151">
        <v>17769397</v>
      </c>
      <c r="J1151">
        <v>11</v>
      </c>
    </row>
    <row r="1152" spans="1:10" x14ac:dyDescent="0.25">
      <c r="A1152" t="s">
        <v>1583</v>
      </c>
      <c r="B1152" s="1" t="str">
        <f>HYPERLINK("http://adanitransmission.com","adanitransmission.com")</f>
        <v>adanitransmission.com</v>
      </c>
      <c r="C1152" t="s">
        <v>433</v>
      </c>
      <c r="F1152">
        <v>3.9747868417535101E-8</v>
      </c>
      <c r="G1152">
        <v>1299621</v>
      </c>
      <c r="H1152">
        <v>13409388</v>
      </c>
      <c r="I1152">
        <v>10341657</v>
      </c>
      <c r="J1152">
        <v>3</v>
      </c>
    </row>
    <row r="1153" spans="1:10" x14ac:dyDescent="0.25">
      <c r="A1153" t="s">
        <v>1583</v>
      </c>
      <c r="B1153" s="1" t="str">
        <f>HYPERLINK("http://adaniwelspun.com","adaniwelspun.com")</f>
        <v>adaniwelspun.com</v>
      </c>
      <c r="C1153" t="s">
        <v>433</v>
      </c>
      <c r="F1153">
        <v>9.7202674450692595E-9</v>
      </c>
      <c r="G1153">
        <v>7057609</v>
      </c>
      <c r="H1153">
        <v>10745928</v>
      </c>
      <c r="I1153">
        <v>40212778</v>
      </c>
      <c r="J1153">
        <v>3</v>
      </c>
    </row>
    <row r="1154" spans="1:10" x14ac:dyDescent="0.25">
      <c r="A1154" t="s">
        <v>1583</v>
      </c>
      <c r="B1154" s="1" t="str">
        <f>HYPERLINK("http://adaniwilmar.com","adaniwilmar.com")</f>
        <v>adaniwilmar.com</v>
      </c>
      <c r="C1154" t="s">
        <v>433</v>
      </c>
      <c r="E1154">
        <v>796258</v>
      </c>
      <c r="F1154">
        <v>7.8657940075721499E-8</v>
      </c>
      <c r="G1154">
        <v>531417</v>
      </c>
      <c r="H1154">
        <v>14102825</v>
      </c>
      <c r="I1154">
        <v>2697672</v>
      </c>
      <c r="J1154">
        <v>5</v>
      </c>
    </row>
    <row r="1155" spans="1:10" x14ac:dyDescent="0.25">
      <c r="A1155" t="s">
        <v>1583</v>
      </c>
      <c r="B1155" s="1" t="str">
        <f>HYPERLINK("http://chemoiladani.com","chemoiladani.com")</f>
        <v>chemoiladani.com</v>
      </c>
      <c r="C1155" t="s">
        <v>433</v>
      </c>
      <c r="J1155">
        <v>3</v>
      </c>
    </row>
    <row r="1156" spans="1:10" x14ac:dyDescent="0.25">
      <c r="A1156" t="s">
        <v>1583</v>
      </c>
      <c r="B1156" s="1" t="str">
        <f>HYPERLINK("http://gadgets360.com","gadgets360.com")</f>
        <v>gadgets360.com</v>
      </c>
      <c r="C1156" t="s">
        <v>433</v>
      </c>
      <c r="E1156">
        <v>8695</v>
      </c>
      <c r="F1156">
        <v>9.2573863236930895E-7</v>
      </c>
      <c r="G1156">
        <v>41634</v>
      </c>
      <c r="H1156">
        <v>15285891</v>
      </c>
      <c r="I1156">
        <v>387205</v>
      </c>
      <c r="J1156">
        <v>8</v>
      </c>
    </row>
    <row r="1157" spans="1:10" x14ac:dyDescent="0.25">
      <c r="A1157" t="s">
        <v>1583</v>
      </c>
      <c r="B1157" s="1" t="str">
        <f>HYPERLINK("http://ioagpl.com","ioagpl.com")</f>
        <v>ioagpl.com</v>
      </c>
      <c r="C1157" t="s">
        <v>433</v>
      </c>
      <c r="F1157">
        <v>1.05139809877674E-8</v>
      </c>
      <c r="G1157">
        <v>6257474</v>
      </c>
      <c r="H1157">
        <v>12503397</v>
      </c>
      <c r="I1157">
        <v>17310686</v>
      </c>
      <c r="J1157">
        <v>11</v>
      </c>
    </row>
    <row r="1158" spans="1:10" x14ac:dyDescent="0.25">
      <c r="A1158" t="s">
        <v>1583</v>
      </c>
      <c r="B1158" s="1" t="str">
        <f>HYPERLINK("http://mundraenergy.com","mundraenergy.com")</f>
        <v>mundraenergy.com</v>
      </c>
      <c r="C1158" t="s">
        <v>433</v>
      </c>
      <c r="F1158">
        <v>4.5023004433068104E-9</v>
      </c>
      <c r="G1158">
        <v>58599265</v>
      </c>
      <c r="H1158">
        <v>10957245</v>
      </c>
      <c r="I1158">
        <v>34420258</v>
      </c>
      <c r="J1158">
        <v>3</v>
      </c>
    </row>
    <row r="1159" spans="1:10" x14ac:dyDescent="0.25">
      <c r="A1159" t="s">
        <v>1583</v>
      </c>
      <c r="B1159" s="1" t="str">
        <f>HYPERLINK("http://naamkarantv.com","naamkarantv.com")</f>
        <v>naamkarantv.com</v>
      </c>
      <c r="C1159" t="s">
        <v>433</v>
      </c>
      <c r="F1159">
        <v>4.61312263709898E-9</v>
      </c>
      <c r="G1159">
        <v>46626301</v>
      </c>
      <c r="H1159">
        <v>12431651</v>
      </c>
      <c r="I1159">
        <v>18278022</v>
      </c>
      <c r="J1159">
        <v>7</v>
      </c>
    </row>
    <row r="1160" spans="1:10" x14ac:dyDescent="0.25">
      <c r="A1160" t="s">
        <v>1583</v>
      </c>
      <c r="B1160" s="1" t="str">
        <f>HYPERLINK("http://ndtv.com","ndtv.com")</f>
        <v>ndtv.com</v>
      </c>
      <c r="C1160" t="s">
        <v>433</v>
      </c>
      <c r="E1160">
        <v>1217</v>
      </c>
      <c r="F1160">
        <v>1.7305199221540199E-5</v>
      </c>
      <c r="G1160">
        <v>1928</v>
      </c>
      <c r="H1160">
        <v>18333918</v>
      </c>
      <c r="I1160">
        <v>2223</v>
      </c>
      <c r="J1160">
        <v>5</v>
      </c>
    </row>
    <row r="1161" spans="1:10" x14ac:dyDescent="0.25">
      <c r="A1161" t="s">
        <v>1583</v>
      </c>
      <c r="B1161" s="1" t="str">
        <f>HYPERLINK("http://ndtv1.com","ndtv1.com")</f>
        <v>ndtv1.com</v>
      </c>
      <c r="C1161" t="s">
        <v>433</v>
      </c>
      <c r="E1161">
        <v>433525</v>
      </c>
      <c r="F1161">
        <v>9.6915667433688008E-9</v>
      </c>
      <c r="G1161">
        <v>7090245</v>
      </c>
      <c r="H1161">
        <v>12668898</v>
      </c>
      <c r="I1161">
        <v>15632826</v>
      </c>
      <c r="J1161">
        <v>7</v>
      </c>
    </row>
    <row r="1162" spans="1:10" x14ac:dyDescent="0.25">
      <c r="A1162" t="s">
        <v>1583</v>
      </c>
      <c r="B1162" s="1" t="str">
        <f>HYPERLINK("http://udupipower.com","udupipower.com")</f>
        <v>udupipower.com</v>
      </c>
      <c r="C1162" t="s">
        <v>433</v>
      </c>
      <c r="F1162">
        <v>4.4631739088830703E-9</v>
      </c>
      <c r="G1162">
        <v>66771924</v>
      </c>
      <c r="H1162">
        <v>10135955</v>
      </c>
      <c r="I1162">
        <v>59539978</v>
      </c>
      <c r="J1162">
        <v>10</v>
      </c>
    </row>
    <row r="1163" spans="1:10" x14ac:dyDescent="0.25">
      <c r="A1163" t="s">
        <v>1583</v>
      </c>
      <c r="B1163" s="1" t="str">
        <f>HYPERLINK("http://adtl.co.in","adtl.co.in")</f>
        <v>adtl.co.in</v>
      </c>
      <c r="C1163" t="s">
        <v>457</v>
      </c>
      <c r="D1163" t="s">
        <v>834</v>
      </c>
      <c r="F1163">
        <v>8.3583715869641998E-9</v>
      </c>
      <c r="G1163">
        <v>9128871</v>
      </c>
      <c r="H1163">
        <v>12726323</v>
      </c>
      <c r="I1163">
        <v>15217292</v>
      </c>
      <c r="J1163">
        <v>5</v>
      </c>
    </row>
    <row r="1164" spans="1:10" x14ac:dyDescent="0.25">
      <c r="A1164" t="s">
        <v>1583</v>
      </c>
      <c r="B1164" s="1" t="str">
        <f>HYPERLINK("http://dighiport.in","dighiport.in")</f>
        <v>dighiport.in</v>
      </c>
      <c r="C1164" t="s">
        <v>457</v>
      </c>
      <c r="D1164" t="s">
        <v>834</v>
      </c>
      <c r="F1164">
        <v>4.5586607323239501E-9</v>
      </c>
      <c r="G1164">
        <v>51297514</v>
      </c>
      <c r="H1164">
        <v>10667174</v>
      </c>
      <c r="I1164">
        <v>43060892</v>
      </c>
      <c r="J1164">
        <v>11</v>
      </c>
    </row>
    <row r="1165" spans="1:10" x14ac:dyDescent="0.25">
      <c r="A1165" t="s">
        <v>1583</v>
      </c>
      <c r="B1165" s="1" t="str">
        <f>HYPERLINK("http://ndtv.in","ndtv.in")</f>
        <v>ndtv.in</v>
      </c>
      <c r="C1165" t="s">
        <v>457</v>
      </c>
      <c r="D1165" t="s">
        <v>834</v>
      </c>
      <c r="E1165">
        <v>25980</v>
      </c>
      <c r="F1165">
        <v>1.81764207106655E-7</v>
      </c>
      <c r="G1165">
        <v>212323</v>
      </c>
      <c r="H1165">
        <v>17301818</v>
      </c>
      <c r="I1165">
        <v>27683</v>
      </c>
      <c r="J1165">
        <v>6</v>
      </c>
    </row>
    <row r="1166" spans="1:10" x14ac:dyDescent="0.25">
      <c r="A1166" t="s">
        <v>1583</v>
      </c>
      <c r="B1166" s="1" t="str">
        <f>HYPERLINK("http://plrsystem.in","plrsystem.in")</f>
        <v>plrsystem.in</v>
      </c>
      <c r="C1166" t="s">
        <v>457</v>
      </c>
      <c r="D1166" t="s">
        <v>834</v>
      </c>
      <c r="F1166">
        <v>5.12041832444625E-9</v>
      </c>
      <c r="G1166">
        <v>26649132</v>
      </c>
      <c r="H1166">
        <v>12441589</v>
      </c>
      <c r="I1166">
        <v>18126401</v>
      </c>
      <c r="J1166">
        <v>5</v>
      </c>
    </row>
    <row r="1167" spans="1:10" x14ac:dyDescent="0.25">
      <c r="A1167" t="s">
        <v>1583</v>
      </c>
      <c r="B1167" s="1" t="str">
        <f>HYPERLINK("http://trytoquit.org","trytoquit.org")</f>
        <v>trytoquit.org</v>
      </c>
      <c r="C1167" t="s">
        <v>481</v>
      </c>
      <c r="F1167">
        <v>1.0733489108914399E-8</v>
      </c>
      <c r="G1167">
        <v>6072973</v>
      </c>
      <c r="H1167">
        <v>11972178</v>
      </c>
      <c r="I1167">
        <v>28673117</v>
      </c>
      <c r="J1167">
        <v>9</v>
      </c>
    </row>
    <row r="1168" spans="1:10" x14ac:dyDescent="0.25">
      <c r="A1168" t="s">
        <v>14</v>
      </c>
      <c r="B1168" s="1" t="str">
        <f>HYPERLINK("http://adobe.com.br","adobe.com.br")</f>
        <v>adobe.com.br</v>
      </c>
      <c r="C1168" t="s">
        <v>425</v>
      </c>
      <c r="D1168" t="s">
        <v>806</v>
      </c>
      <c r="F1168">
        <v>1.2471315835101599E-7</v>
      </c>
      <c r="G1168">
        <v>316408</v>
      </c>
      <c r="H1168">
        <v>13719227</v>
      </c>
      <c r="I1168">
        <v>9478635</v>
      </c>
      <c r="J1168">
        <v>2</v>
      </c>
    </row>
    <row r="1169" spans="1:10" x14ac:dyDescent="0.25">
      <c r="A1169" t="s">
        <v>14</v>
      </c>
      <c r="B1169" s="1" t="str">
        <f>HYPERLINK("http://adobe.co","adobe.co")</f>
        <v>adobe.co</v>
      </c>
      <c r="C1169" t="s">
        <v>432</v>
      </c>
      <c r="F1169">
        <v>7.1154018403919601E-8</v>
      </c>
      <c r="G1169">
        <v>594236</v>
      </c>
      <c r="H1169">
        <v>13701019</v>
      </c>
      <c r="I1169">
        <v>9513742</v>
      </c>
      <c r="J1169">
        <v>2</v>
      </c>
    </row>
    <row r="1170" spans="1:10" x14ac:dyDescent="0.25">
      <c r="A1170" t="s">
        <v>14</v>
      </c>
      <c r="B1170" s="1" t="str">
        <f>HYPERLINK("http://3xianqiu6.com","3xianqiu6.com")</f>
        <v>3xianqiu6.com</v>
      </c>
      <c r="C1170" t="s">
        <v>433</v>
      </c>
      <c r="F1170">
        <v>7.2074467543978006E-8</v>
      </c>
      <c r="G1170">
        <v>585839</v>
      </c>
      <c r="H1170">
        <v>11166896</v>
      </c>
      <c r="I1170">
        <v>31566422</v>
      </c>
      <c r="J1170">
        <v>3</v>
      </c>
    </row>
    <row r="1171" spans="1:10" x14ac:dyDescent="0.25">
      <c r="A1171" t="s">
        <v>14</v>
      </c>
      <c r="B1171" s="1" t="str">
        <f>HYPERLINK("http://adobe.com","adobe.com")</f>
        <v>adobe.com</v>
      </c>
      <c r="C1171" t="s">
        <v>433</v>
      </c>
      <c r="E1171">
        <v>44</v>
      </c>
      <c r="F1171">
        <v>1.46984936345744E-3</v>
      </c>
      <c r="G1171">
        <v>23</v>
      </c>
      <c r="H1171">
        <v>20484072</v>
      </c>
      <c r="I1171">
        <v>36</v>
      </c>
      <c r="J1171">
        <v>1</v>
      </c>
    </row>
    <row r="1172" spans="1:10" x14ac:dyDescent="0.25">
      <c r="A1172" t="s">
        <v>14</v>
      </c>
      <c r="B1172" s="1" t="str">
        <f>HYPERLINK("http://adobeindia.com","adobeindia.com")</f>
        <v>adobeindia.com</v>
      </c>
      <c r="C1172" t="s">
        <v>433</v>
      </c>
      <c r="F1172">
        <v>1.5379889856106699E-8</v>
      </c>
      <c r="G1172">
        <v>3721596</v>
      </c>
      <c r="H1172">
        <v>14191153</v>
      </c>
      <c r="I1172">
        <v>1750538</v>
      </c>
      <c r="J1172">
        <v>3</v>
      </c>
    </row>
    <row r="1173" spans="1:10" x14ac:dyDescent="0.25">
      <c r="A1173" t="s">
        <v>14</v>
      </c>
      <c r="B1173" s="1" t="str">
        <f>HYPERLINK("http://allegorithmic.com","allegorithmic.com")</f>
        <v>allegorithmic.com</v>
      </c>
      <c r="C1173" t="s">
        <v>433</v>
      </c>
      <c r="E1173">
        <v>202197</v>
      </c>
      <c r="F1173">
        <v>1.1012556481959401E-6</v>
      </c>
      <c r="G1173">
        <v>34928</v>
      </c>
      <c r="H1173">
        <v>15253182</v>
      </c>
      <c r="I1173">
        <v>389975</v>
      </c>
      <c r="J1173">
        <v>3</v>
      </c>
    </row>
    <row r="1174" spans="1:10" x14ac:dyDescent="0.25">
      <c r="A1174" t="s">
        <v>14</v>
      </c>
      <c r="B1174" s="1" t="str">
        <f>HYPERLINK("http://angkor9.com","angkor9.com")</f>
        <v>angkor9.com</v>
      </c>
      <c r="C1174" t="s">
        <v>433</v>
      </c>
      <c r="F1174">
        <v>4.8833643213074001E-9</v>
      </c>
      <c r="G1174">
        <v>32973416</v>
      </c>
      <c r="H1174">
        <v>12617468</v>
      </c>
      <c r="I1174">
        <v>16110810</v>
      </c>
      <c r="J1174">
        <v>3</v>
      </c>
    </row>
    <row r="1175" spans="1:10" x14ac:dyDescent="0.25">
      <c r="A1175" t="s">
        <v>14</v>
      </c>
      <c r="B1175" s="1" t="str">
        <f>HYPERLINK("http://contentcal.com","contentcal.com")</f>
        <v>contentcal.com</v>
      </c>
      <c r="C1175" t="s">
        <v>433</v>
      </c>
      <c r="E1175">
        <v>338318</v>
      </c>
      <c r="F1175">
        <v>2.8733350050660602E-7</v>
      </c>
      <c r="G1175">
        <v>129384</v>
      </c>
      <c r="H1175">
        <v>16837008</v>
      </c>
      <c r="I1175">
        <v>162871</v>
      </c>
      <c r="J1175">
        <v>4</v>
      </c>
    </row>
    <row r="1176" spans="1:10" x14ac:dyDescent="0.25">
      <c r="A1176" t="s">
        <v>14</v>
      </c>
      <c r="B1176" s="1" t="str">
        <f>HYPERLINK("http://cut-daily.com","cut-daily.com")</f>
        <v>cut-daily.com</v>
      </c>
      <c r="C1176" t="s">
        <v>433</v>
      </c>
      <c r="F1176">
        <v>9.4941323813588808E-9</v>
      </c>
      <c r="G1176">
        <v>7329412</v>
      </c>
      <c r="H1176">
        <v>12636834</v>
      </c>
      <c r="I1176">
        <v>15898475</v>
      </c>
      <c r="J1176">
        <v>6</v>
      </c>
    </row>
    <row r="1177" spans="1:10" x14ac:dyDescent="0.25">
      <c r="A1177" t="s">
        <v>14</v>
      </c>
      <c r="B1177" s="1" t="str">
        <f>HYPERLINK("http://day.com","day.com")</f>
        <v>day.com</v>
      </c>
      <c r="C1177" t="s">
        <v>433</v>
      </c>
      <c r="E1177">
        <v>525898</v>
      </c>
      <c r="F1177">
        <v>2.8980489471625999E-7</v>
      </c>
      <c r="G1177">
        <v>128371</v>
      </c>
      <c r="H1177">
        <v>14765968</v>
      </c>
      <c r="I1177">
        <v>559023</v>
      </c>
      <c r="J1177">
        <v>3</v>
      </c>
    </row>
    <row r="1178" spans="1:10" x14ac:dyDescent="0.25">
      <c r="A1178" t="s">
        <v>14</v>
      </c>
      <c r="B1178" s="1" t="str">
        <f>HYPERLINK("http://e-junkie.com","e-junkie.com")</f>
        <v>e-junkie.com</v>
      </c>
      <c r="C1178" t="s">
        <v>433</v>
      </c>
      <c r="E1178">
        <v>21266</v>
      </c>
      <c r="F1178">
        <v>4.9514246474518098E-6</v>
      </c>
      <c r="G1178">
        <v>7058</v>
      </c>
      <c r="H1178">
        <v>17977998</v>
      </c>
      <c r="I1178">
        <v>3831</v>
      </c>
      <c r="J1178">
        <v>5</v>
      </c>
    </row>
    <row r="1179" spans="1:10" x14ac:dyDescent="0.25">
      <c r="A1179" t="s">
        <v>14</v>
      </c>
      <c r="B1179" s="1" t="str">
        <f>HYPERLINK("http://editvideofaster.com","editvideofaster.com")</f>
        <v>editvideofaster.com</v>
      </c>
      <c r="C1179" t="s">
        <v>433</v>
      </c>
      <c r="F1179">
        <v>1.2115403912053999E-8</v>
      </c>
      <c r="G1179">
        <v>5100223</v>
      </c>
      <c r="H1179">
        <v>13955144</v>
      </c>
      <c r="I1179">
        <v>4139973</v>
      </c>
      <c r="J1179">
        <v>6</v>
      </c>
    </row>
    <row r="1180" spans="1:10" x14ac:dyDescent="0.25">
      <c r="A1180" t="s">
        <v>14</v>
      </c>
      <c r="B1180" s="1" t="str">
        <f>HYPERLINK("http://io.com","io.com")</f>
        <v>io.com</v>
      </c>
      <c r="C1180" t="s">
        <v>433</v>
      </c>
      <c r="E1180">
        <v>28842</v>
      </c>
      <c r="F1180">
        <v>1.0274003630157801E-6</v>
      </c>
      <c r="G1180">
        <v>37277</v>
      </c>
      <c r="H1180">
        <v>17523070</v>
      </c>
      <c r="I1180">
        <v>12379</v>
      </c>
      <c r="J1180">
        <v>3</v>
      </c>
    </row>
    <row r="1181" spans="1:10" x14ac:dyDescent="0.25">
      <c r="A1181" t="s">
        <v>14</v>
      </c>
      <c r="B1181" s="1" t="str">
        <f>HYPERLINK("http://ladyandlara.com","ladyandlara.com")</f>
        <v>ladyandlara.com</v>
      </c>
      <c r="C1181" t="s">
        <v>433</v>
      </c>
      <c r="F1181">
        <v>4.4444094174719502E-9</v>
      </c>
      <c r="G1181">
        <v>76805390</v>
      </c>
      <c r="H1181">
        <v>9957273</v>
      </c>
      <c r="I1181">
        <v>61156042</v>
      </c>
      <c r="J1181">
        <v>7</v>
      </c>
    </row>
    <row r="1182" spans="1:10" x14ac:dyDescent="0.25">
      <c r="A1182" t="s">
        <v>14</v>
      </c>
      <c r="B1182" s="1" t="str">
        <f>HYPERLINK("http://magento.com","magento.com")</f>
        <v>magento.com</v>
      </c>
      <c r="C1182" t="s">
        <v>433</v>
      </c>
      <c r="E1182">
        <v>1415</v>
      </c>
      <c r="F1182">
        <v>1.5705225984298399E-5</v>
      </c>
      <c r="G1182">
        <v>2177</v>
      </c>
      <c r="H1182">
        <v>18060354</v>
      </c>
      <c r="I1182">
        <v>3331</v>
      </c>
      <c r="J1182">
        <v>3</v>
      </c>
    </row>
    <row r="1183" spans="1:10" x14ac:dyDescent="0.25">
      <c r="A1183" t="s">
        <v>14</v>
      </c>
      <c r="B1183" s="1" t="str">
        <f>HYPERLINK("http://mageplaza.com","mageplaza.com")</f>
        <v>mageplaza.com</v>
      </c>
      <c r="C1183" t="s">
        <v>433</v>
      </c>
      <c r="E1183">
        <v>52597</v>
      </c>
      <c r="F1183">
        <v>1.4375427492857201E-6</v>
      </c>
      <c r="G1183">
        <v>27245</v>
      </c>
      <c r="H1183">
        <v>14951852</v>
      </c>
      <c r="I1183">
        <v>439908</v>
      </c>
      <c r="J1183">
        <v>6</v>
      </c>
    </row>
    <row r="1184" spans="1:10" x14ac:dyDescent="0.25">
      <c r="A1184" t="s">
        <v>14</v>
      </c>
      <c r="B1184" s="1" t="str">
        <f>HYPERLINK("http://marketo.com","marketo.com")</f>
        <v>marketo.com</v>
      </c>
      <c r="C1184" t="s">
        <v>433</v>
      </c>
      <c r="E1184">
        <v>4889</v>
      </c>
      <c r="F1184">
        <v>2.9763822425170602E-5</v>
      </c>
      <c r="G1184">
        <v>973</v>
      </c>
      <c r="H1184">
        <v>18469910</v>
      </c>
      <c r="I1184">
        <v>1703</v>
      </c>
      <c r="J1184">
        <v>3</v>
      </c>
    </row>
    <row r="1185" spans="1:10" x14ac:dyDescent="0.25">
      <c r="A1185" t="s">
        <v>14</v>
      </c>
      <c r="B1185" s="1" t="str">
        <f>HYPERLINK("http://mixinglight.com","mixinglight.com")</f>
        <v>mixinglight.com</v>
      </c>
      <c r="C1185" t="s">
        <v>433</v>
      </c>
      <c r="E1185">
        <v>605763</v>
      </c>
      <c r="F1185">
        <v>1.0799623023802101E-7</v>
      </c>
      <c r="G1185">
        <v>370652</v>
      </c>
      <c r="H1185">
        <v>14661182</v>
      </c>
      <c r="I1185">
        <v>619804</v>
      </c>
      <c r="J1185">
        <v>6</v>
      </c>
    </row>
    <row r="1186" spans="1:10" x14ac:dyDescent="0.25">
      <c r="A1186" t="s">
        <v>14</v>
      </c>
      <c r="B1186" s="1" t="str">
        <f>HYPERLINK("http://scene7.com","scene7.com")</f>
        <v>scene7.com</v>
      </c>
      <c r="C1186" t="s">
        <v>433</v>
      </c>
      <c r="E1186">
        <v>4112</v>
      </c>
      <c r="F1186">
        <v>1.8302429334406001E-5</v>
      </c>
      <c r="G1186">
        <v>1826</v>
      </c>
      <c r="H1186">
        <v>17794946</v>
      </c>
      <c r="I1186">
        <v>5659</v>
      </c>
      <c r="J1186">
        <v>3</v>
      </c>
    </row>
    <row r="1187" spans="1:10" x14ac:dyDescent="0.25">
      <c r="A1187" t="s">
        <v>14</v>
      </c>
      <c r="B1187" s="1" t="str">
        <f>HYPERLINK("http://shesteps.com","shesteps.com")</f>
        <v>shesteps.com</v>
      </c>
      <c r="C1187" t="s">
        <v>433</v>
      </c>
      <c r="J1187">
        <v>7</v>
      </c>
    </row>
    <row r="1188" spans="1:10" x14ac:dyDescent="0.25">
      <c r="A1188" t="s">
        <v>14</v>
      </c>
      <c r="B1188" s="1" t="str">
        <f>HYPERLINK("http://substance3d.com","substance3d.com")</f>
        <v>substance3d.com</v>
      </c>
      <c r="C1188" t="s">
        <v>433</v>
      </c>
      <c r="E1188">
        <v>19798</v>
      </c>
      <c r="F1188">
        <v>9.2542958240142195E-7</v>
      </c>
      <c r="G1188">
        <v>41660</v>
      </c>
      <c r="H1188">
        <v>17299988</v>
      </c>
      <c r="I1188">
        <v>27890</v>
      </c>
      <c r="J1188">
        <v>3</v>
      </c>
    </row>
    <row r="1189" spans="1:10" x14ac:dyDescent="0.25">
      <c r="A1189" t="s">
        <v>14</v>
      </c>
      <c r="B1189" s="1" t="str">
        <f>HYPERLINK("http://tubemogul.com","tubemogul.com")</f>
        <v>tubemogul.com</v>
      </c>
      <c r="C1189" t="s">
        <v>433</v>
      </c>
      <c r="E1189">
        <v>3206</v>
      </c>
      <c r="F1189">
        <v>2.6848378139337699E-6</v>
      </c>
      <c r="G1189">
        <v>14180</v>
      </c>
      <c r="H1189">
        <v>17748266</v>
      </c>
      <c r="I1189">
        <v>6387</v>
      </c>
      <c r="J1189">
        <v>3</v>
      </c>
    </row>
    <row r="1190" spans="1:10" x14ac:dyDescent="0.25">
      <c r="A1190" t="s">
        <v>14</v>
      </c>
      <c r="B1190" s="1" t="str">
        <f>HYPERLINK("http://tufanminnullin.com","tufanminnullin.com")</f>
        <v>tufanminnullin.com</v>
      </c>
      <c r="C1190" t="s">
        <v>433</v>
      </c>
      <c r="F1190">
        <v>4.9517359104077102E-9</v>
      </c>
      <c r="G1190">
        <v>30733303</v>
      </c>
      <c r="H1190">
        <v>14072598</v>
      </c>
      <c r="I1190">
        <v>3068427</v>
      </c>
      <c r="J1190">
        <v>3</v>
      </c>
    </row>
    <row r="1191" spans="1:10" x14ac:dyDescent="0.25">
      <c r="A1191" t="s">
        <v>14</v>
      </c>
      <c r="B1191" s="1" t="str">
        <f>HYPERLINK("http://workfront.com","workfront.com")</f>
        <v>workfront.com</v>
      </c>
      <c r="C1191" t="s">
        <v>433</v>
      </c>
      <c r="E1191">
        <v>3186</v>
      </c>
      <c r="F1191">
        <v>1.63895404636886E-6</v>
      </c>
      <c r="G1191">
        <v>24097</v>
      </c>
      <c r="H1191">
        <v>17404096</v>
      </c>
      <c r="I1191">
        <v>18906</v>
      </c>
      <c r="J1191">
        <v>3</v>
      </c>
    </row>
    <row r="1192" spans="1:10" x14ac:dyDescent="0.25">
      <c r="A1192" t="s">
        <v>14</v>
      </c>
      <c r="B1192" s="1" t="str">
        <f>HYPERLINK("http://adobe.de","adobe.de")</f>
        <v>adobe.de</v>
      </c>
      <c r="C1192" t="s">
        <v>436</v>
      </c>
      <c r="D1192" t="s">
        <v>815</v>
      </c>
      <c r="E1192">
        <v>49138</v>
      </c>
      <c r="F1192">
        <v>4.92461082529044E-6</v>
      </c>
      <c r="G1192">
        <v>7092</v>
      </c>
      <c r="H1192">
        <v>17132748</v>
      </c>
      <c r="I1192">
        <v>56100</v>
      </c>
      <c r="J1192">
        <v>2</v>
      </c>
    </row>
    <row r="1193" spans="1:10" x14ac:dyDescent="0.25">
      <c r="A1193" t="s">
        <v>14</v>
      </c>
      <c r="B1193" s="1" t="str">
        <f>HYPERLINK("http://marketo.de","marketo.de")</f>
        <v>marketo.de</v>
      </c>
      <c r="C1193" t="s">
        <v>436</v>
      </c>
      <c r="D1193" t="s">
        <v>815</v>
      </c>
      <c r="F1193">
        <v>1.27551017435783E-8</v>
      </c>
      <c r="G1193">
        <v>4752074</v>
      </c>
      <c r="H1193">
        <v>12743113</v>
      </c>
      <c r="I1193">
        <v>15101677</v>
      </c>
      <c r="J1193">
        <v>4</v>
      </c>
    </row>
    <row r="1194" spans="1:10" x14ac:dyDescent="0.25">
      <c r="A1194" t="s">
        <v>14</v>
      </c>
      <c r="B1194" s="1" t="str">
        <f>HYPERLINK("http://adobe.design","adobe.design")</f>
        <v>adobe.design</v>
      </c>
      <c r="C1194" t="s">
        <v>582</v>
      </c>
      <c r="E1194">
        <v>810011</v>
      </c>
      <c r="F1194">
        <v>1.8125166462606901E-7</v>
      </c>
      <c r="G1194">
        <v>213024</v>
      </c>
      <c r="H1194">
        <v>16833570</v>
      </c>
      <c r="I1194">
        <v>165304</v>
      </c>
      <c r="J1194">
        <v>2</v>
      </c>
    </row>
    <row r="1195" spans="1:10" x14ac:dyDescent="0.25">
      <c r="A1195" t="s">
        <v>14</v>
      </c>
      <c r="B1195" s="1" t="str">
        <f>HYPERLINK("http://adobe.es","adobe.es")</f>
        <v>adobe.es</v>
      </c>
      <c r="C1195" t="s">
        <v>443</v>
      </c>
      <c r="D1195" t="s">
        <v>822</v>
      </c>
      <c r="E1195">
        <v>378653</v>
      </c>
      <c r="F1195">
        <v>5.8669785186073304E-7</v>
      </c>
      <c r="G1195">
        <v>65177</v>
      </c>
      <c r="H1195">
        <v>14646280</v>
      </c>
      <c r="I1195">
        <v>632298</v>
      </c>
      <c r="J1195">
        <v>2</v>
      </c>
    </row>
    <row r="1196" spans="1:10" x14ac:dyDescent="0.25">
      <c r="A1196" t="s">
        <v>14</v>
      </c>
      <c r="B1196" s="1" t="str">
        <f>HYPERLINK("http://fotolia.fi","fotolia.fi")</f>
        <v>fotolia.fi</v>
      </c>
      <c r="C1196" t="s">
        <v>445</v>
      </c>
      <c r="D1196" t="s">
        <v>823</v>
      </c>
      <c r="J1196">
        <v>2</v>
      </c>
    </row>
    <row r="1197" spans="1:10" x14ac:dyDescent="0.25">
      <c r="A1197" t="s">
        <v>14</v>
      </c>
      <c r="B1197" s="1" t="str">
        <f>HYPERLINK("http://xcommerce.fi","xcommerce.fi")</f>
        <v>xcommerce.fi</v>
      </c>
      <c r="C1197" t="s">
        <v>445</v>
      </c>
      <c r="D1197" t="s">
        <v>823</v>
      </c>
      <c r="J1197">
        <v>2</v>
      </c>
    </row>
    <row r="1198" spans="1:10" x14ac:dyDescent="0.25">
      <c r="A1198" t="s">
        <v>14</v>
      </c>
      <c r="B1198" s="1" t="str">
        <f>HYPERLINK("http://adobe.hu","adobe.hu")</f>
        <v>adobe.hu</v>
      </c>
      <c r="C1198" t="s">
        <v>453</v>
      </c>
      <c r="D1198" t="s">
        <v>830</v>
      </c>
      <c r="F1198">
        <v>9.0717829091855598E-9</v>
      </c>
      <c r="G1198">
        <v>7887142</v>
      </c>
      <c r="H1198">
        <v>12113401</v>
      </c>
      <c r="I1198">
        <v>25642256</v>
      </c>
      <c r="J1198">
        <v>2</v>
      </c>
    </row>
    <row r="1199" spans="1:10" x14ac:dyDescent="0.25">
      <c r="A1199" t="s">
        <v>14</v>
      </c>
      <c r="B1199" s="1" t="str">
        <f>HYPERLINK("http://adobe.io","adobe.io")</f>
        <v>adobe.io</v>
      </c>
      <c r="C1199" t="s">
        <v>518</v>
      </c>
      <c r="E1199">
        <v>283</v>
      </c>
      <c r="F1199">
        <v>1.21545431863388E-5</v>
      </c>
      <c r="G1199">
        <v>2846</v>
      </c>
      <c r="H1199">
        <v>17692728</v>
      </c>
      <c r="I1199">
        <v>7465</v>
      </c>
      <c r="J1199">
        <v>2</v>
      </c>
    </row>
    <row r="1200" spans="1:10" x14ac:dyDescent="0.25">
      <c r="A1200" t="s">
        <v>14</v>
      </c>
      <c r="B1200" s="1" t="str">
        <f>HYPERLINK("http://contentcal.io","contentcal.io")</f>
        <v>contentcal.io</v>
      </c>
      <c r="C1200" t="s">
        <v>518</v>
      </c>
      <c r="E1200">
        <v>180972</v>
      </c>
      <c r="F1200">
        <v>2.9640256903027601E-7</v>
      </c>
      <c r="G1200">
        <v>125497</v>
      </c>
      <c r="H1200">
        <v>17010864</v>
      </c>
      <c r="I1200">
        <v>91434</v>
      </c>
      <c r="J1200">
        <v>3</v>
      </c>
    </row>
    <row r="1201" spans="1:10" x14ac:dyDescent="0.25">
      <c r="A1201" t="s">
        <v>14</v>
      </c>
      <c r="B1201" s="1" t="str">
        <f>HYPERLINK("http://frame.io","frame.io")</f>
        <v>frame.io</v>
      </c>
      <c r="C1201" t="s">
        <v>518</v>
      </c>
      <c r="E1201">
        <v>8114</v>
      </c>
      <c r="F1201">
        <v>4.3603789824719896E-6</v>
      </c>
      <c r="G1201">
        <v>8123</v>
      </c>
      <c r="H1201">
        <v>17723432</v>
      </c>
      <c r="I1201">
        <v>6857</v>
      </c>
      <c r="J1201">
        <v>4</v>
      </c>
    </row>
    <row r="1202" spans="1:10" x14ac:dyDescent="0.25">
      <c r="A1202" t="s">
        <v>14</v>
      </c>
      <c r="B1202" s="1" t="str">
        <f>HYPERLINK("http://adobe.co.jp","adobe.co.jp")</f>
        <v>adobe.co.jp</v>
      </c>
      <c r="C1202" t="s">
        <v>461</v>
      </c>
      <c r="D1202" t="s">
        <v>837</v>
      </c>
      <c r="E1202">
        <v>34763</v>
      </c>
      <c r="F1202">
        <v>4.2628287928538799E-6</v>
      </c>
      <c r="G1202">
        <v>8382</v>
      </c>
      <c r="H1202">
        <v>14660881</v>
      </c>
      <c r="I1202">
        <v>619991</v>
      </c>
      <c r="J1202">
        <v>2</v>
      </c>
    </row>
    <row r="1203" spans="1:10" x14ac:dyDescent="0.25">
      <c r="A1203" t="s">
        <v>14</v>
      </c>
      <c r="B1203" s="1" t="str">
        <f>HYPERLINK("http://adobe.ly","adobe.ly")</f>
        <v>adobe.ly</v>
      </c>
      <c r="C1203" t="s">
        <v>583</v>
      </c>
      <c r="D1203" t="s">
        <v>923</v>
      </c>
      <c r="E1203">
        <v>33783</v>
      </c>
      <c r="F1203">
        <v>3.2735463423787701E-6</v>
      </c>
      <c r="G1203">
        <v>12242</v>
      </c>
      <c r="H1203">
        <v>17941396</v>
      </c>
      <c r="I1203">
        <v>4120</v>
      </c>
      <c r="J1203">
        <v>2</v>
      </c>
    </row>
    <row r="1204" spans="1:10" x14ac:dyDescent="0.25">
      <c r="A1204" t="s">
        <v>14</v>
      </c>
      <c r="B1204" s="1" t="str">
        <f>HYPERLINK("http://adobe.net","adobe.net")</f>
        <v>adobe.net</v>
      </c>
      <c r="C1204" t="s">
        <v>474</v>
      </c>
      <c r="E1204">
        <v>636</v>
      </c>
      <c r="F1204">
        <v>6.5454866296599095E-7</v>
      </c>
      <c r="G1204">
        <v>58822</v>
      </c>
      <c r="H1204">
        <v>14473803</v>
      </c>
      <c r="I1204">
        <v>1040528</v>
      </c>
      <c r="J1204">
        <v>2</v>
      </c>
    </row>
    <row r="1205" spans="1:10" x14ac:dyDescent="0.25">
      <c r="A1205" t="s">
        <v>14</v>
      </c>
      <c r="B1205" s="1" t="str">
        <f>HYPERLINK("http://adobe.nl","adobe.nl")</f>
        <v>adobe.nl</v>
      </c>
      <c r="C1205" t="s">
        <v>477</v>
      </c>
      <c r="D1205" t="s">
        <v>852</v>
      </c>
      <c r="E1205">
        <v>617127</v>
      </c>
      <c r="F1205">
        <v>4.1482107272298998E-7</v>
      </c>
      <c r="G1205">
        <v>90735</v>
      </c>
      <c r="H1205">
        <v>14702387</v>
      </c>
      <c r="I1205">
        <v>590286</v>
      </c>
      <c r="J1205">
        <v>2</v>
      </c>
    </row>
    <row r="1206" spans="1:10" x14ac:dyDescent="0.25">
      <c r="A1206" t="s">
        <v>14</v>
      </c>
      <c r="B1206" s="1" t="str">
        <f>HYPERLINK("http://adobe.no","adobe.no")</f>
        <v>adobe.no</v>
      </c>
      <c r="C1206" t="s">
        <v>478</v>
      </c>
      <c r="D1206" t="s">
        <v>853</v>
      </c>
      <c r="F1206">
        <v>5.7186265846111E-8</v>
      </c>
      <c r="G1206">
        <v>780317</v>
      </c>
      <c r="H1206">
        <v>14072390</v>
      </c>
      <c r="I1206">
        <v>3099815</v>
      </c>
      <c r="J1206">
        <v>2</v>
      </c>
    </row>
    <row r="1207" spans="1:10" x14ac:dyDescent="0.25">
      <c r="A1207" t="s">
        <v>14</v>
      </c>
      <c r="B1207" s="1" t="str">
        <f>HYPERLINK("http://adobe.si","adobe.si")</f>
        <v>adobe.si</v>
      </c>
      <c r="C1207" t="s">
        <v>497</v>
      </c>
      <c r="D1207" t="s">
        <v>871</v>
      </c>
      <c r="F1207">
        <v>6.7995558070469906E-8</v>
      </c>
      <c r="G1207">
        <v>627738</v>
      </c>
      <c r="H1207">
        <v>13696413</v>
      </c>
      <c r="I1207">
        <v>9523857</v>
      </c>
      <c r="J1207">
        <v>2</v>
      </c>
    </row>
    <row r="1208" spans="1:10" x14ac:dyDescent="0.25">
      <c r="A1208" t="s">
        <v>14</v>
      </c>
      <c r="B1208" s="1" t="str">
        <f>HYPERLINK("http://w1c87qy.top","w1c87qy.top")</f>
        <v>w1c87qy.top</v>
      </c>
      <c r="C1208" t="s">
        <v>606</v>
      </c>
      <c r="F1208">
        <v>4.5648291294115903E-9</v>
      </c>
      <c r="G1208">
        <v>50698971</v>
      </c>
      <c r="H1208">
        <v>2.0009769999999998</v>
      </c>
      <c r="I1208">
        <v>77978106</v>
      </c>
      <c r="J1208">
        <v>4</v>
      </c>
    </row>
    <row r="1209" spans="1:10" x14ac:dyDescent="0.25">
      <c r="A1209" t="s">
        <v>14</v>
      </c>
      <c r="B1209" s="1" t="str">
        <f>HYPERLINK("http://adobe.co.uk","adobe.co.uk")</f>
        <v>adobe.co.uk</v>
      </c>
      <c r="C1209" t="s">
        <v>506</v>
      </c>
      <c r="D1209" t="s">
        <v>880</v>
      </c>
      <c r="E1209">
        <v>394254</v>
      </c>
      <c r="F1209">
        <v>2.58496691028334E-7</v>
      </c>
      <c r="G1209">
        <v>144696</v>
      </c>
      <c r="H1209">
        <v>14388716</v>
      </c>
      <c r="I1209">
        <v>1172336</v>
      </c>
      <c r="J1209">
        <v>2</v>
      </c>
    </row>
    <row r="1210" spans="1:10" x14ac:dyDescent="0.25">
      <c r="A1210" t="s">
        <v>15</v>
      </c>
      <c r="B1210" s="1" t="str">
        <f>HYPERLINK("http://xilinx.cn","xilinx.cn")</f>
        <v>xilinx.cn</v>
      </c>
      <c r="C1210" t="s">
        <v>431</v>
      </c>
      <c r="D1210" t="s">
        <v>812</v>
      </c>
      <c r="F1210">
        <v>4.81938751301789E-9</v>
      </c>
      <c r="G1210">
        <v>35293402</v>
      </c>
      <c r="H1210">
        <v>8448324</v>
      </c>
      <c r="I1210">
        <v>72601113</v>
      </c>
      <c r="J1210">
        <v>4</v>
      </c>
    </row>
    <row r="1211" spans="1:10" x14ac:dyDescent="0.25">
      <c r="A1211" t="s">
        <v>15</v>
      </c>
      <c r="B1211" s="1" t="str">
        <f>HYPERLINK("http://airrays.com","airrays.com")</f>
        <v>airrays.com</v>
      </c>
      <c r="C1211" t="s">
        <v>433</v>
      </c>
      <c r="F1211">
        <v>8.3973182894322693E-9</v>
      </c>
      <c r="G1211">
        <v>9048354</v>
      </c>
      <c r="H1211">
        <v>12458548</v>
      </c>
      <c r="I1211">
        <v>17896216</v>
      </c>
      <c r="J1211">
        <v>3</v>
      </c>
    </row>
    <row r="1212" spans="1:10" x14ac:dyDescent="0.25">
      <c r="A1212" t="s">
        <v>15</v>
      </c>
      <c r="B1212" s="1" t="str">
        <f>HYPERLINK("http://amd.com","amd.com")</f>
        <v>amd.com</v>
      </c>
      <c r="C1212" t="s">
        <v>433</v>
      </c>
      <c r="E1212">
        <v>1305</v>
      </c>
      <c r="F1212">
        <v>1.40732209612855E-5</v>
      </c>
      <c r="G1212">
        <v>2505</v>
      </c>
      <c r="H1212">
        <v>18220954</v>
      </c>
      <c r="I1212">
        <v>2651</v>
      </c>
      <c r="J1212">
        <v>1</v>
      </c>
    </row>
    <row r="1213" spans="1:10" x14ac:dyDescent="0.25">
      <c r="A1213" t="s">
        <v>15</v>
      </c>
      <c r="B1213" s="1" t="str">
        <f>HYPERLINK("http://auvizsystems.com","auvizsystems.com")</f>
        <v>auvizsystems.com</v>
      </c>
      <c r="C1213" t="s">
        <v>433</v>
      </c>
      <c r="F1213">
        <v>9.9576517650080602E-9</v>
      </c>
      <c r="G1213">
        <v>6798550</v>
      </c>
      <c r="H1213">
        <v>12319126</v>
      </c>
      <c r="I1213">
        <v>20436520</v>
      </c>
      <c r="J1213">
        <v>3</v>
      </c>
    </row>
    <row r="1214" spans="1:10" x14ac:dyDescent="0.25">
      <c r="A1214" t="s">
        <v>15</v>
      </c>
      <c r="B1214" s="1" t="str">
        <f>HYPERLINK("http://hialgo.com","hialgo.com")</f>
        <v>hialgo.com</v>
      </c>
      <c r="C1214" t="s">
        <v>433</v>
      </c>
      <c r="F1214">
        <v>1.01120369126279E-8</v>
      </c>
      <c r="G1214">
        <v>6635459</v>
      </c>
      <c r="H1214">
        <v>13330445</v>
      </c>
      <c r="I1214">
        <v>10720242</v>
      </c>
      <c r="J1214">
        <v>3</v>
      </c>
    </row>
    <row r="1215" spans="1:10" x14ac:dyDescent="0.25">
      <c r="A1215" t="s">
        <v>15</v>
      </c>
      <c r="B1215" s="1" t="str">
        <f>HYPERLINK("http://level5networks.com","level5networks.com")</f>
        <v>level5networks.com</v>
      </c>
      <c r="C1215" t="s">
        <v>433</v>
      </c>
      <c r="F1215">
        <v>1.6651161072207901E-8</v>
      </c>
      <c r="G1215">
        <v>3376604</v>
      </c>
      <c r="H1215">
        <v>13416671</v>
      </c>
      <c r="I1215">
        <v>10312557</v>
      </c>
      <c r="J1215">
        <v>3</v>
      </c>
    </row>
    <row r="1216" spans="1:10" x14ac:dyDescent="0.25">
      <c r="A1216" t="s">
        <v>15</v>
      </c>
      <c r="B1216" s="1" t="str">
        <f>HYPERLINK("http://omiino.com","omiino.com")</f>
        <v>omiino.com</v>
      </c>
      <c r="C1216" t="s">
        <v>433</v>
      </c>
      <c r="F1216">
        <v>4.44380395335525E-9</v>
      </c>
      <c r="G1216">
        <v>87300752</v>
      </c>
      <c r="H1216">
        <v>0</v>
      </c>
      <c r="I1216">
        <v>83587847</v>
      </c>
      <c r="J1216">
        <v>3</v>
      </c>
    </row>
    <row r="1217" spans="1:10" x14ac:dyDescent="0.25">
      <c r="A1217" t="s">
        <v>15</v>
      </c>
      <c r="B1217" s="1" t="str">
        <f>HYPERLINK("http://radeon.com","radeon.com")</f>
        <v>radeon.com</v>
      </c>
      <c r="C1217" t="s">
        <v>433</v>
      </c>
      <c r="E1217">
        <v>280552</v>
      </c>
      <c r="F1217">
        <v>1.8931040860012601E-7</v>
      </c>
      <c r="G1217">
        <v>203530</v>
      </c>
      <c r="H1217">
        <v>15034457</v>
      </c>
      <c r="I1217">
        <v>417700</v>
      </c>
      <c r="J1217">
        <v>2</v>
      </c>
    </row>
    <row r="1218" spans="1:10" x14ac:dyDescent="0.25">
      <c r="A1218" t="s">
        <v>15</v>
      </c>
      <c r="B1218" s="1" t="str">
        <f>HYPERLINK("http://seamicro.com","seamicro.com")</f>
        <v>seamicro.com</v>
      </c>
      <c r="C1218" t="s">
        <v>433</v>
      </c>
      <c r="F1218">
        <v>4.5022076204740902E-8</v>
      </c>
      <c r="G1218">
        <v>1048837</v>
      </c>
      <c r="H1218">
        <v>13990342</v>
      </c>
      <c r="I1218">
        <v>4032596</v>
      </c>
      <c r="J1218">
        <v>3</v>
      </c>
    </row>
    <row r="1219" spans="1:10" x14ac:dyDescent="0.25">
      <c r="A1219" t="s">
        <v>15</v>
      </c>
      <c r="B1219" s="1" t="str">
        <f>HYPERLINK("http://silexica.com","silexica.com")</f>
        <v>silexica.com</v>
      </c>
      <c r="C1219" t="s">
        <v>433</v>
      </c>
      <c r="F1219">
        <v>3.25541216115585E-8</v>
      </c>
      <c r="G1219">
        <v>1587193</v>
      </c>
      <c r="H1219">
        <v>14210963</v>
      </c>
      <c r="I1219">
        <v>1702190</v>
      </c>
      <c r="J1219">
        <v>3</v>
      </c>
    </row>
    <row r="1220" spans="1:10" x14ac:dyDescent="0.25">
      <c r="A1220" t="s">
        <v>15</v>
      </c>
      <c r="B1220" s="1" t="str">
        <f>HYPERLINK("http://solarflare.com","solarflare.com")</f>
        <v>solarflare.com</v>
      </c>
      <c r="C1220" t="s">
        <v>433</v>
      </c>
      <c r="E1220">
        <v>778822</v>
      </c>
      <c r="F1220">
        <v>9.5344989902627603E-7</v>
      </c>
      <c r="G1220">
        <v>40144</v>
      </c>
      <c r="H1220">
        <v>14672581</v>
      </c>
      <c r="I1220">
        <v>613147</v>
      </c>
      <c r="J1220">
        <v>3</v>
      </c>
    </row>
    <row r="1221" spans="1:10" x14ac:dyDescent="0.25">
      <c r="A1221" t="s">
        <v>15</v>
      </c>
      <c r="B1221" s="1" t="str">
        <f>HYPERLINK("http://xilinx.com","xilinx.com")</f>
        <v>xilinx.com</v>
      </c>
      <c r="C1221" t="s">
        <v>433</v>
      </c>
      <c r="E1221">
        <v>10271</v>
      </c>
      <c r="F1221">
        <v>2.7393789249324098E-6</v>
      </c>
      <c r="G1221">
        <v>13946</v>
      </c>
      <c r="H1221">
        <v>17624940</v>
      </c>
      <c r="I1221">
        <v>8994</v>
      </c>
      <c r="J1221">
        <v>3</v>
      </c>
    </row>
    <row r="1222" spans="1:10" x14ac:dyDescent="0.25">
      <c r="A1222" t="s">
        <v>15</v>
      </c>
      <c r="B1222" s="1" t="str">
        <f>HYPERLINK("http://amd.fi","amd.fi")</f>
        <v>amd.fi</v>
      </c>
      <c r="C1222" t="s">
        <v>445</v>
      </c>
      <c r="D1222" t="s">
        <v>823</v>
      </c>
      <c r="J1222">
        <v>2</v>
      </c>
    </row>
    <row r="1223" spans="1:10" x14ac:dyDescent="0.25">
      <c r="A1223" t="s">
        <v>15</v>
      </c>
      <c r="B1223" s="1" t="str">
        <f>HYPERLINK("http://athlon.fi","athlon.fi")</f>
        <v>athlon.fi</v>
      </c>
      <c r="C1223" t="s">
        <v>445</v>
      </c>
      <c r="D1223" t="s">
        <v>823</v>
      </c>
      <c r="J1223">
        <v>2</v>
      </c>
    </row>
    <row r="1224" spans="1:10" x14ac:dyDescent="0.25">
      <c r="A1224" t="s">
        <v>15</v>
      </c>
      <c r="B1224" s="1" t="str">
        <f>HYPERLINK("http://opteron.fi","opteron.fi")</f>
        <v>opteron.fi</v>
      </c>
      <c r="C1224" t="s">
        <v>445</v>
      </c>
      <c r="D1224" t="s">
        <v>823</v>
      </c>
      <c r="J1224">
        <v>2</v>
      </c>
    </row>
    <row r="1225" spans="1:10" x14ac:dyDescent="0.25">
      <c r="A1225" t="s">
        <v>15</v>
      </c>
      <c r="B1225" s="1" t="str">
        <f>HYPERLINK("http://xilinx.fi","xilinx.fi")</f>
        <v>xilinx.fi</v>
      </c>
      <c r="C1225" t="s">
        <v>445</v>
      </c>
      <c r="D1225" t="s">
        <v>823</v>
      </c>
      <c r="J1225">
        <v>2</v>
      </c>
    </row>
    <row r="1226" spans="1:10" x14ac:dyDescent="0.25">
      <c r="A1226" t="s">
        <v>15</v>
      </c>
      <c r="B1226" s="1" t="str">
        <f>HYPERLINK("http://pensando.io","pensando.io")</f>
        <v>pensando.io</v>
      </c>
      <c r="C1226" t="s">
        <v>518</v>
      </c>
      <c r="F1226">
        <v>1.09689863538259E-7</v>
      </c>
      <c r="G1226">
        <v>364696</v>
      </c>
      <c r="H1226">
        <v>14920074</v>
      </c>
      <c r="I1226">
        <v>452065</v>
      </c>
      <c r="J1226">
        <v>3</v>
      </c>
    </row>
    <row r="1227" spans="1:10" x14ac:dyDescent="0.25">
      <c r="A1227" t="s">
        <v>16</v>
      </c>
      <c r="B1227" s="1" t="str">
        <f>HYPERLINK("http://adyen.com","adyen.com")</f>
        <v>adyen.com</v>
      </c>
      <c r="C1227" t="s">
        <v>433</v>
      </c>
      <c r="E1227">
        <v>2843</v>
      </c>
      <c r="F1227">
        <v>2.50876702601426E-5</v>
      </c>
      <c r="G1227">
        <v>1173</v>
      </c>
      <c r="H1227">
        <v>18125820</v>
      </c>
      <c r="I1227">
        <v>3021</v>
      </c>
      <c r="J1227">
        <v>1</v>
      </c>
    </row>
    <row r="1228" spans="1:10" x14ac:dyDescent="0.25">
      <c r="A1228" t="s">
        <v>16</v>
      </c>
      <c r="B1228" s="1" t="str">
        <f>HYPERLINK("http://adyen.de","adyen.de")</f>
        <v>adyen.de</v>
      </c>
      <c r="C1228" t="s">
        <v>436</v>
      </c>
      <c r="D1228" t="s">
        <v>815</v>
      </c>
      <c r="F1228">
        <v>3.1017362754713002E-8</v>
      </c>
      <c r="G1228">
        <v>1661495</v>
      </c>
      <c r="H1228">
        <v>12568828</v>
      </c>
      <c r="I1228">
        <v>16635522</v>
      </c>
      <c r="J1228">
        <v>2</v>
      </c>
    </row>
    <row r="1229" spans="1:10" x14ac:dyDescent="0.25">
      <c r="A1229" t="s">
        <v>16</v>
      </c>
      <c r="B1229" s="1" t="str">
        <f>HYPERLINK("http://adyen.help","adyen.help")</f>
        <v>adyen.help</v>
      </c>
      <c r="C1229" t="s">
        <v>586</v>
      </c>
      <c r="F1229">
        <v>1.19540119153961E-7</v>
      </c>
      <c r="G1229">
        <v>330829</v>
      </c>
      <c r="H1229">
        <v>13598081</v>
      </c>
      <c r="I1229">
        <v>9653419</v>
      </c>
      <c r="J1229">
        <v>2</v>
      </c>
    </row>
    <row r="1230" spans="1:10" x14ac:dyDescent="0.25">
      <c r="A1230" t="s">
        <v>16</v>
      </c>
      <c r="B1230" s="1" t="str">
        <f>HYPERLINK("http://adyen.link","adyen.link")</f>
        <v>adyen.link</v>
      </c>
      <c r="C1230" t="s">
        <v>546</v>
      </c>
      <c r="E1230">
        <v>133111</v>
      </c>
      <c r="F1230">
        <v>3.0993621185360198E-8</v>
      </c>
      <c r="G1230">
        <v>1662621</v>
      </c>
      <c r="H1230">
        <v>12678146</v>
      </c>
      <c r="I1230">
        <v>15517567</v>
      </c>
      <c r="J1230">
        <v>2</v>
      </c>
    </row>
    <row r="1231" spans="1:10" x14ac:dyDescent="0.25">
      <c r="A1231" t="s">
        <v>1584</v>
      </c>
      <c r="B1231" s="1" t="str">
        <f>HYPERLINK("http://aflac.com","aflac.com")</f>
        <v>aflac.com</v>
      </c>
      <c r="C1231" t="s">
        <v>433</v>
      </c>
      <c r="E1231">
        <v>25710</v>
      </c>
      <c r="F1231">
        <v>1.4493234362205999E-6</v>
      </c>
      <c r="G1231">
        <v>27025</v>
      </c>
      <c r="H1231">
        <v>15542245</v>
      </c>
      <c r="I1231">
        <v>373981</v>
      </c>
      <c r="J1231">
        <v>1</v>
      </c>
    </row>
    <row r="1232" spans="1:10" x14ac:dyDescent="0.25">
      <c r="A1232" t="s">
        <v>1584</v>
      </c>
      <c r="B1232" s="1" t="str">
        <f>HYPERLINK("http://caicworksite.com","caicworksite.com")</f>
        <v>caicworksite.com</v>
      </c>
      <c r="C1232" t="s">
        <v>433</v>
      </c>
      <c r="F1232">
        <v>4.89562706487245E-9</v>
      </c>
      <c r="G1232">
        <v>32594707</v>
      </c>
      <c r="H1232">
        <v>11366224</v>
      </c>
      <c r="I1232">
        <v>30339957</v>
      </c>
      <c r="J1232">
        <v>4</v>
      </c>
    </row>
    <row r="1233" spans="1:10" x14ac:dyDescent="0.25">
      <c r="A1233" t="s">
        <v>1584</v>
      </c>
      <c r="B1233" s="1" t="str">
        <f>HYPERLINK("http://lapetussolutions.com","lapetussolutions.com")</f>
        <v>lapetussolutions.com</v>
      </c>
      <c r="C1233" t="s">
        <v>433</v>
      </c>
      <c r="F1233">
        <v>1.6399370750325199E-8</v>
      </c>
      <c r="G1233">
        <v>3446359</v>
      </c>
      <c r="H1233">
        <v>14104278</v>
      </c>
      <c r="I1233">
        <v>2693865</v>
      </c>
      <c r="J1233">
        <v>3</v>
      </c>
    </row>
    <row r="1234" spans="1:10" x14ac:dyDescent="0.25">
      <c r="A1234" t="s">
        <v>1584</v>
      </c>
      <c r="B1234" s="1" t="str">
        <f>HYPERLINK("http://varagon.com","varagon.com")</f>
        <v>varagon.com</v>
      </c>
      <c r="C1234" t="s">
        <v>433</v>
      </c>
      <c r="F1234">
        <v>1.02374447069825E-8</v>
      </c>
      <c r="G1234">
        <v>6510540</v>
      </c>
      <c r="H1234">
        <v>13286821</v>
      </c>
      <c r="I1234">
        <v>10889512</v>
      </c>
      <c r="J1234">
        <v>3</v>
      </c>
    </row>
    <row r="1235" spans="1:10" x14ac:dyDescent="0.25">
      <c r="A1235" t="s">
        <v>1584</v>
      </c>
      <c r="B1235" s="1" t="str">
        <f>HYPERLINK("http://andscan.jp","andscan.jp")</f>
        <v>andscan.jp</v>
      </c>
      <c r="C1235" t="s">
        <v>461</v>
      </c>
      <c r="D1235" t="s">
        <v>837</v>
      </c>
      <c r="F1235">
        <v>6.6389377689247302E-9</v>
      </c>
      <c r="G1235">
        <v>13525825</v>
      </c>
      <c r="H1235">
        <v>10818851</v>
      </c>
      <c r="I1235">
        <v>37649938</v>
      </c>
      <c r="J1235">
        <v>6</v>
      </c>
    </row>
    <row r="1236" spans="1:10" x14ac:dyDescent="0.25">
      <c r="A1236" t="s">
        <v>1584</v>
      </c>
      <c r="B1236" s="1" t="str">
        <f>HYPERLINK("http://aflac.co.jp","aflac.co.jp")</f>
        <v>aflac.co.jp</v>
      </c>
      <c r="C1236" t="s">
        <v>461</v>
      </c>
      <c r="D1236" t="s">
        <v>837</v>
      </c>
      <c r="E1236">
        <v>122146</v>
      </c>
      <c r="F1236">
        <v>5.0444250807643999E-7</v>
      </c>
      <c r="G1236">
        <v>75854</v>
      </c>
      <c r="H1236">
        <v>14468250</v>
      </c>
      <c r="I1236">
        <v>1043264</v>
      </c>
      <c r="J1236">
        <v>2</v>
      </c>
    </row>
    <row r="1237" spans="1:10" x14ac:dyDescent="0.25">
      <c r="A1237" t="s">
        <v>1584</v>
      </c>
      <c r="B1237" s="1" t="str">
        <f>HYPERLINK("http://hatch-healthcare.co.jp","hatch-healthcare.co.jp")</f>
        <v>hatch-healthcare.co.jp</v>
      </c>
      <c r="C1237" t="s">
        <v>461</v>
      </c>
      <c r="D1237" t="s">
        <v>837</v>
      </c>
      <c r="F1237">
        <v>1.2251047681704701E-8</v>
      </c>
      <c r="G1237">
        <v>5021789</v>
      </c>
      <c r="H1237">
        <v>12602799</v>
      </c>
      <c r="I1237">
        <v>16300463</v>
      </c>
      <c r="J1237">
        <v>3</v>
      </c>
    </row>
    <row r="1238" spans="1:10" x14ac:dyDescent="0.25">
      <c r="A1238" t="s">
        <v>1584</v>
      </c>
      <c r="B1238" s="1" t="str">
        <f>HYPERLINK("http://hatch-insight.co.jp","hatch-insight.co.jp")</f>
        <v>hatch-insight.co.jp</v>
      </c>
      <c r="C1238" t="s">
        <v>461</v>
      </c>
      <c r="D1238" t="s">
        <v>837</v>
      </c>
      <c r="F1238">
        <v>8.9653569700514602E-9</v>
      </c>
      <c r="G1238">
        <v>8043551</v>
      </c>
      <c r="H1238">
        <v>12521042</v>
      </c>
      <c r="I1238">
        <v>17139280</v>
      </c>
      <c r="J1238">
        <v>3</v>
      </c>
    </row>
    <row r="1239" spans="1:10" x14ac:dyDescent="0.25">
      <c r="A1239" t="s">
        <v>1584</v>
      </c>
      <c r="B1239" s="1" t="str">
        <f>HYPERLINK("http://sudachi.co.jp","sudachi.co.jp")</f>
        <v>sudachi.co.jp</v>
      </c>
      <c r="C1239" t="s">
        <v>461</v>
      </c>
      <c r="D1239" t="s">
        <v>837</v>
      </c>
      <c r="F1239">
        <v>2.4876026305868702E-8</v>
      </c>
      <c r="G1239">
        <v>2078517</v>
      </c>
      <c r="H1239">
        <v>12581953</v>
      </c>
      <c r="I1239">
        <v>16488770</v>
      </c>
      <c r="J1239">
        <v>3</v>
      </c>
    </row>
    <row r="1240" spans="1:10" x14ac:dyDescent="0.25">
      <c r="A1240" t="s">
        <v>1584</v>
      </c>
      <c r="B1240" s="1" t="str">
        <f>HYPERLINK("http://workers-portal.jp","workers-portal.jp")</f>
        <v>workers-portal.jp</v>
      </c>
      <c r="C1240" t="s">
        <v>461</v>
      </c>
      <c r="D1240" t="s">
        <v>837</v>
      </c>
      <c r="F1240">
        <v>6.4733374879780998E-9</v>
      </c>
      <c r="G1240">
        <v>14190644</v>
      </c>
      <c r="H1240">
        <v>10509472</v>
      </c>
      <c r="I1240">
        <v>49784041</v>
      </c>
      <c r="J1240">
        <v>4</v>
      </c>
    </row>
    <row r="1241" spans="1:10" x14ac:dyDescent="0.25">
      <c r="A1241" t="s">
        <v>17</v>
      </c>
      <c r="B1241" s="1" t="str">
        <f>HYPERLINK("http://agilent.com.cn","agilent.com.cn")</f>
        <v>agilent.com.cn</v>
      </c>
      <c r="C1241" t="s">
        <v>431</v>
      </c>
      <c r="D1241" t="s">
        <v>812</v>
      </c>
      <c r="E1241">
        <v>753023</v>
      </c>
      <c r="F1241">
        <v>8.3701381857939299E-8</v>
      </c>
      <c r="G1241">
        <v>495218</v>
      </c>
      <c r="H1241">
        <v>13103676</v>
      </c>
      <c r="I1241">
        <v>12082130</v>
      </c>
      <c r="J1241">
        <v>2</v>
      </c>
    </row>
    <row r="1242" spans="1:10" x14ac:dyDescent="0.25">
      <c r="A1242" t="s">
        <v>17</v>
      </c>
      <c r="B1242" s="1" t="str">
        <f>HYPERLINK("http://aati-us.com","aati-us.com")</f>
        <v>aati-us.com</v>
      </c>
      <c r="C1242" t="s">
        <v>433</v>
      </c>
      <c r="F1242">
        <v>2.9130552231444001E-8</v>
      </c>
      <c r="G1242">
        <v>1767889</v>
      </c>
      <c r="H1242">
        <v>13856471</v>
      </c>
      <c r="I1242">
        <v>6044167</v>
      </c>
      <c r="J1242">
        <v>3</v>
      </c>
    </row>
    <row r="1243" spans="1:10" x14ac:dyDescent="0.25">
      <c r="A1243" t="s">
        <v>17</v>
      </c>
      <c r="B1243" s="1" t="str">
        <f>HYPERLINK("http://agilent.com","agilent.com")</f>
        <v>agilent.com</v>
      </c>
      <c r="C1243" t="s">
        <v>433</v>
      </c>
      <c r="E1243">
        <v>8086</v>
      </c>
      <c r="F1243">
        <v>2.51316103635773E-6</v>
      </c>
      <c r="G1243">
        <v>14950</v>
      </c>
      <c r="H1243">
        <v>17509122</v>
      </c>
      <c r="I1243">
        <v>13277</v>
      </c>
      <c r="J1243">
        <v>1</v>
      </c>
    </row>
    <row r="1244" spans="1:10" x14ac:dyDescent="0.25">
      <c r="A1244" t="s">
        <v>17</v>
      </c>
      <c r="B1244" s="1" t="str">
        <f>HYPERLINK("http://gotostrata.com","gotostrata.com")</f>
        <v>gotostrata.com</v>
      </c>
      <c r="C1244" t="s">
        <v>433</v>
      </c>
      <c r="E1244">
        <v>405094</v>
      </c>
      <c r="F1244">
        <v>1.36388689612964E-7</v>
      </c>
      <c r="G1244">
        <v>285862</v>
      </c>
      <c r="H1244">
        <v>13902748</v>
      </c>
      <c r="I1244">
        <v>5948536</v>
      </c>
      <c r="J1244">
        <v>8</v>
      </c>
    </row>
    <row r="1245" spans="1:10" x14ac:dyDescent="0.25">
      <c r="A1245" t="s">
        <v>17</v>
      </c>
      <c r="B1245" s="1" t="str">
        <f>HYPERLINK("http://varianinc.com","varianinc.com")</f>
        <v>varianinc.com</v>
      </c>
      <c r="C1245" t="s">
        <v>433</v>
      </c>
      <c r="E1245">
        <v>716168</v>
      </c>
      <c r="F1245">
        <v>5.0005867713045403E-8</v>
      </c>
      <c r="G1245">
        <v>921148</v>
      </c>
      <c r="H1245">
        <v>14845914</v>
      </c>
      <c r="I1245">
        <v>493750</v>
      </c>
      <c r="J1245">
        <v>3</v>
      </c>
    </row>
    <row r="1246" spans="1:10" x14ac:dyDescent="0.25">
      <c r="A1246" t="s">
        <v>17</v>
      </c>
      <c r="B1246" s="1" t="str">
        <f>HYPERLINK("http://spidia.eu","spidia.eu")</f>
        <v>spidia.eu</v>
      </c>
      <c r="C1246" t="s">
        <v>444</v>
      </c>
      <c r="F1246">
        <v>6.5655021193297694E-8</v>
      </c>
      <c r="G1246">
        <v>654506</v>
      </c>
      <c r="H1246">
        <v>13861996</v>
      </c>
      <c r="I1246">
        <v>6018135</v>
      </c>
      <c r="J1246">
        <v>3</v>
      </c>
    </row>
    <row r="1247" spans="1:10" x14ac:dyDescent="0.25">
      <c r="A1247" t="s">
        <v>17</v>
      </c>
      <c r="B1247" s="1" t="str">
        <f>HYPERLINK("http://dako.fi","dako.fi")</f>
        <v>dako.fi</v>
      </c>
      <c r="C1247" t="s">
        <v>445</v>
      </c>
      <c r="D1247" t="s">
        <v>823</v>
      </c>
      <c r="J1247">
        <v>2</v>
      </c>
    </row>
    <row r="1248" spans="1:10" x14ac:dyDescent="0.25">
      <c r="A1248" t="s">
        <v>17</v>
      </c>
      <c r="B1248" s="1" t="str">
        <f>HYPERLINK("http://agilent.co.jp","agilent.co.jp")</f>
        <v>agilent.co.jp</v>
      </c>
      <c r="C1248" t="s">
        <v>461</v>
      </c>
      <c r="D1248" t="s">
        <v>837</v>
      </c>
      <c r="E1248">
        <v>656050</v>
      </c>
      <c r="F1248">
        <v>1.5774775703482699E-8</v>
      </c>
      <c r="G1248">
        <v>3606916</v>
      </c>
      <c r="H1248">
        <v>12994742</v>
      </c>
      <c r="I1248">
        <v>12826071</v>
      </c>
      <c r="J1248">
        <v>2</v>
      </c>
    </row>
    <row r="1249" spans="1:10" x14ac:dyDescent="0.25">
      <c r="A1249" t="s">
        <v>17</v>
      </c>
      <c r="B1249" s="1" t="str">
        <f>HYPERLINK("http://agilent.co.kr","agilent.co.kr")</f>
        <v>agilent.co.kr</v>
      </c>
      <c r="C1249" t="s">
        <v>463</v>
      </c>
      <c r="D1249" t="s">
        <v>839</v>
      </c>
      <c r="F1249">
        <v>8.36789373099257E-9</v>
      </c>
      <c r="G1249">
        <v>9109063</v>
      </c>
      <c r="H1249">
        <v>12307924</v>
      </c>
      <c r="I1249">
        <v>20678411</v>
      </c>
      <c r="J1249">
        <v>4</v>
      </c>
    </row>
    <row r="1250" spans="1:10" x14ac:dyDescent="0.25">
      <c r="A1250" t="s">
        <v>17</v>
      </c>
      <c r="B1250" s="1" t="str">
        <f>HYPERLINK("http://stratag.org","stratag.org")</f>
        <v>stratag.org</v>
      </c>
      <c r="C1250" t="s">
        <v>481</v>
      </c>
      <c r="F1250">
        <v>1.12731385616189E-8</v>
      </c>
      <c r="G1250">
        <v>5661196</v>
      </c>
      <c r="H1250">
        <v>13153143</v>
      </c>
      <c r="I1250">
        <v>11813355</v>
      </c>
      <c r="J1250">
        <v>4</v>
      </c>
    </row>
    <row r="1251" spans="1:10" x14ac:dyDescent="0.25">
      <c r="A1251" t="s">
        <v>18</v>
      </c>
      <c r="B1251" s="1" t="str">
        <f>HYPERLINK("http://95599.cn","95599.cn")</f>
        <v>95599.cn</v>
      </c>
      <c r="C1251" t="s">
        <v>431</v>
      </c>
      <c r="D1251" t="s">
        <v>812</v>
      </c>
      <c r="E1251">
        <v>58231</v>
      </c>
      <c r="F1251">
        <v>3.9634501167047002E-7</v>
      </c>
      <c r="G1251">
        <v>94690</v>
      </c>
      <c r="H1251">
        <v>13680514</v>
      </c>
      <c r="I1251">
        <v>9535481</v>
      </c>
      <c r="J1251">
        <v>2</v>
      </c>
    </row>
    <row r="1252" spans="1:10" x14ac:dyDescent="0.25">
      <c r="A1252" t="s">
        <v>18</v>
      </c>
      <c r="B1252" s="1" t="str">
        <f>HYPERLINK("http://abc-ca.cn","abc-ca.cn")</f>
        <v>abc-ca.cn</v>
      </c>
      <c r="C1252" t="s">
        <v>431</v>
      </c>
      <c r="D1252" t="s">
        <v>812</v>
      </c>
      <c r="F1252">
        <v>1.11716844854323E-8</v>
      </c>
      <c r="G1252">
        <v>5733101</v>
      </c>
      <c r="H1252">
        <v>9828641</v>
      </c>
      <c r="I1252">
        <v>62345634</v>
      </c>
      <c r="J1252">
        <v>4</v>
      </c>
    </row>
    <row r="1253" spans="1:10" x14ac:dyDescent="0.25">
      <c r="A1253" t="s">
        <v>18</v>
      </c>
      <c r="B1253" s="1" t="str">
        <f>HYPERLINK("http://abchinalife.cn","abchinalife.cn")</f>
        <v>abchinalife.cn</v>
      </c>
      <c r="C1253" t="s">
        <v>431</v>
      </c>
      <c r="D1253" t="s">
        <v>812</v>
      </c>
      <c r="F1253">
        <v>8.3051621904489399E-8</v>
      </c>
      <c r="G1253">
        <v>502200</v>
      </c>
      <c r="H1253">
        <v>12472579</v>
      </c>
      <c r="I1253">
        <v>17671352</v>
      </c>
      <c r="J1253">
        <v>3</v>
      </c>
    </row>
    <row r="1254" spans="1:10" x14ac:dyDescent="0.25">
      <c r="A1254" t="s">
        <v>18</v>
      </c>
      <c r="B1254" s="1" t="str">
        <f>HYPERLINK("http://abchina.com.cn","abchina.com.cn")</f>
        <v>abchina.com.cn</v>
      </c>
      <c r="C1254" t="s">
        <v>431</v>
      </c>
      <c r="D1254" t="s">
        <v>812</v>
      </c>
      <c r="E1254">
        <v>92399</v>
      </c>
      <c r="F1254">
        <v>2.0877712930285E-7</v>
      </c>
      <c r="G1254">
        <v>181335</v>
      </c>
      <c r="H1254">
        <v>13022467</v>
      </c>
      <c r="I1254">
        <v>12703697</v>
      </c>
      <c r="J1254">
        <v>2</v>
      </c>
    </row>
    <row r="1255" spans="1:10" x14ac:dyDescent="0.25">
      <c r="A1255" t="s">
        <v>18</v>
      </c>
      <c r="B1255" s="1" t="str">
        <f>HYPERLINK("http://abc-ca.com","abc-ca.com")</f>
        <v>abc-ca.com</v>
      </c>
      <c r="C1255" t="s">
        <v>433</v>
      </c>
      <c r="F1255">
        <v>1.6621818904420801E-7</v>
      </c>
      <c r="G1255">
        <v>233462</v>
      </c>
      <c r="H1255">
        <v>12869412</v>
      </c>
      <c r="I1255">
        <v>14080602</v>
      </c>
      <c r="J1255">
        <v>3</v>
      </c>
    </row>
    <row r="1256" spans="1:10" x14ac:dyDescent="0.25">
      <c r="A1256" t="s">
        <v>18</v>
      </c>
      <c r="B1256" s="1" t="str">
        <f>HYPERLINK("http://abchina.com","abchina.com")</f>
        <v>abchina.com</v>
      </c>
      <c r="C1256" t="s">
        <v>433</v>
      </c>
      <c r="E1256">
        <v>9015</v>
      </c>
      <c r="F1256">
        <v>5.6716700290537704E-6</v>
      </c>
      <c r="G1256">
        <v>6119</v>
      </c>
      <c r="H1256">
        <v>14903933</v>
      </c>
      <c r="I1256">
        <v>461325</v>
      </c>
      <c r="J1256">
        <v>1</v>
      </c>
    </row>
    <row r="1257" spans="1:10" x14ac:dyDescent="0.25">
      <c r="A1257" t="s">
        <v>18</v>
      </c>
      <c r="B1257" s="1" t="str">
        <f>HYPERLINK("http://abchinalife.com","abchinalife.com")</f>
        <v>abchinalife.com</v>
      </c>
      <c r="C1257" t="s">
        <v>433</v>
      </c>
      <c r="F1257">
        <v>1.03296796082028E-8</v>
      </c>
      <c r="G1257">
        <v>6423426</v>
      </c>
      <c r="H1257">
        <v>10629470</v>
      </c>
      <c r="I1257">
        <v>44007554</v>
      </c>
      <c r="J1257">
        <v>4</v>
      </c>
    </row>
    <row r="1258" spans="1:10" x14ac:dyDescent="0.25">
      <c r="A1258" t="s">
        <v>18</v>
      </c>
      <c r="B1258" s="1" t="str">
        <f>HYPERLINK("http://anchina.com","anchina.com")</f>
        <v>anchina.com</v>
      </c>
      <c r="C1258" t="s">
        <v>433</v>
      </c>
      <c r="J1258">
        <v>3</v>
      </c>
    </row>
    <row r="1259" spans="1:10" x14ac:dyDescent="0.25">
      <c r="A1259" t="s">
        <v>18</v>
      </c>
      <c r="B1259" s="1" t="str">
        <f>HYPERLINK("http://abci.com.hk","abci.com.hk")</f>
        <v>abci.com.hk</v>
      </c>
      <c r="C1259" t="s">
        <v>450</v>
      </c>
      <c r="D1259" t="s">
        <v>827</v>
      </c>
      <c r="F1259">
        <v>7.6645587326297097E-8</v>
      </c>
      <c r="G1259">
        <v>546827</v>
      </c>
      <c r="H1259">
        <v>12670495</v>
      </c>
      <c r="I1259">
        <v>15621751</v>
      </c>
      <c r="J1259">
        <v>6</v>
      </c>
    </row>
    <row r="1260" spans="1:10" x14ac:dyDescent="0.25">
      <c r="A1260" t="s">
        <v>19</v>
      </c>
      <c r="B1260" s="1" t="str">
        <f>HYPERLINK("http://airproducts.ae","airproducts.ae")</f>
        <v>airproducts.ae</v>
      </c>
      <c r="C1260" t="s">
        <v>417</v>
      </c>
      <c r="D1260" t="s">
        <v>799</v>
      </c>
      <c r="F1260">
        <v>4.9999634051770298E-9</v>
      </c>
      <c r="G1260">
        <v>29412732</v>
      </c>
      <c r="H1260">
        <v>10663509</v>
      </c>
      <c r="I1260">
        <v>43233670</v>
      </c>
      <c r="J1260">
        <v>4</v>
      </c>
    </row>
    <row r="1261" spans="1:10" x14ac:dyDescent="0.25">
      <c r="A1261" t="s">
        <v>19</v>
      </c>
      <c r="B1261" s="1" t="str">
        <f>HYPERLINK("http://airproducts.be","airproducts.be")</f>
        <v>airproducts.be</v>
      </c>
      <c r="C1261" t="s">
        <v>421</v>
      </c>
      <c r="D1261" t="s">
        <v>803</v>
      </c>
      <c r="F1261">
        <v>1.9948005514735598E-8</v>
      </c>
      <c r="G1261">
        <v>2667229</v>
      </c>
      <c r="H1261">
        <v>12549268</v>
      </c>
      <c r="I1261">
        <v>16830578</v>
      </c>
      <c r="J1261">
        <v>2</v>
      </c>
    </row>
    <row r="1262" spans="1:10" x14ac:dyDescent="0.25">
      <c r="A1262" t="s">
        <v>19</v>
      </c>
      <c r="B1262" s="1" t="str">
        <f>HYPERLINK("http://airproducts.com.br","airproducts.com.br")</f>
        <v>airproducts.com.br</v>
      </c>
      <c r="C1262" t="s">
        <v>425</v>
      </c>
      <c r="D1262" t="s">
        <v>806</v>
      </c>
      <c r="F1262">
        <v>1.6447493146043399E-8</v>
      </c>
      <c r="G1262">
        <v>3427006</v>
      </c>
      <c r="H1262">
        <v>12386157</v>
      </c>
      <c r="I1262">
        <v>19106873</v>
      </c>
      <c r="J1262">
        <v>2</v>
      </c>
    </row>
    <row r="1263" spans="1:10" x14ac:dyDescent="0.25">
      <c r="A1263" t="s">
        <v>19</v>
      </c>
      <c r="B1263" s="1" t="str">
        <f>HYPERLINK("http://airproducts.ca","airproducts.ca")</f>
        <v>airproducts.ca</v>
      </c>
      <c r="C1263" t="s">
        <v>428</v>
      </c>
      <c r="D1263" t="s">
        <v>809</v>
      </c>
      <c r="F1263">
        <v>2.22549029079057E-8</v>
      </c>
      <c r="G1263">
        <v>2356198</v>
      </c>
      <c r="H1263">
        <v>13204907</v>
      </c>
      <c r="I1263">
        <v>11532610</v>
      </c>
      <c r="J1263">
        <v>2</v>
      </c>
    </row>
    <row r="1264" spans="1:10" x14ac:dyDescent="0.25">
      <c r="A1264" t="s">
        <v>19</v>
      </c>
      <c r="B1264" s="1" t="str">
        <f>HYPERLINK("http://airproducts.cl","airproducts.cl")</f>
        <v>airproducts.cl</v>
      </c>
      <c r="C1264" t="s">
        <v>430</v>
      </c>
      <c r="D1264" t="s">
        <v>811</v>
      </c>
      <c r="F1264">
        <v>6.0037162122325703E-9</v>
      </c>
      <c r="G1264">
        <v>16660401</v>
      </c>
      <c r="H1264">
        <v>10667401</v>
      </c>
      <c r="I1264">
        <v>43052780</v>
      </c>
      <c r="J1264">
        <v>7</v>
      </c>
    </row>
    <row r="1265" spans="1:10" x14ac:dyDescent="0.25">
      <c r="A1265" t="s">
        <v>19</v>
      </c>
      <c r="B1265" s="1" t="str">
        <f>HYPERLINK("http://indura.cl","indura.cl")</f>
        <v>indura.cl</v>
      </c>
      <c r="C1265" t="s">
        <v>430</v>
      </c>
      <c r="D1265" t="s">
        <v>811</v>
      </c>
      <c r="F1265">
        <v>2.5692672499156001E-8</v>
      </c>
      <c r="G1265">
        <v>2006724</v>
      </c>
      <c r="H1265">
        <v>14383689</v>
      </c>
      <c r="I1265">
        <v>1185091</v>
      </c>
      <c r="J1265">
        <v>4</v>
      </c>
    </row>
    <row r="1266" spans="1:10" x14ac:dyDescent="0.25">
      <c r="A1266" t="s">
        <v>19</v>
      </c>
      <c r="B1266" s="1" t="str">
        <f>HYPERLINK("http://airproducts.com.cn","airproducts.com.cn")</f>
        <v>airproducts.com.cn</v>
      </c>
      <c r="C1266" t="s">
        <v>431</v>
      </c>
      <c r="D1266" t="s">
        <v>812</v>
      </c>
      <c r="F1266">
        <v>2.3694282810598402E-8</v>
      </c>
      <c r="G1266">
        <v>2194082</v>
      </c>
      <c r="H1266">
        <v>13474272</v>
      </c>
      <c r="I1266">
        <v>10024702</v>
      </c>
      <c r="J1266">
        <v>2</v>
      </c>
    </row>
    <row r="1267" spans="1:10" x14ac:dyDescent="0.25">
      <c r="A1267" t="s">
        <v>19</v>
      </c>
      <c r="B1267" s="1" t="str">
        <f>HYPERLINK("http://permea.com.cn","permea.com.cn")</f>
        <v>permea.com.cn</v>
      </c>
      <c r="C1267" t="s">
        <v>431</v>
      </c>
      <c r="D1267" t="s">
        <v>812</v>
      </c>
      <c r="F1267">
        <v>8.1594562056385497E-9</v>
      </c>
      <c r="G1267">
        <v>9640105</v>
      </c>
      <c r="H1267">
        <v>10799274</v>
      </c>
      <c r="I1267">
        <v>38184486</v>
      </c>
      <c r="J1267">
        <v>3</v>
      </c>
    </row>
    <row r="1268" spans="1:10" x14ac:dyDescent="0.25">
      <c r="A1268" t="s">
        <v>19</v>
      </c>
      <c r="B1268" s="1" t="str">
        <f>HYPERLINK("http://airproducts.com","airproducts.com")</f>
        <v>airproducts.com</v>
      </c>
      <c r="C1268" t="s">
        <v>433</v>
      </c>
      <c r="E1268">
        <v>63393</v>
      </c>
      <c r="F1268">
        <v>6.0817766168051804E-7</v>
      </c>
      <c r="G1268">
        <v>62876</v>
      </c>
      <c r="H1268">
        <v>17318636</v>
      </c>
      <c r="I1268">
        <v>25962</v>
      </c>
      <c r="J1268">
        <v>1</v>
      </c>
    </row>
    <row r="1269" spans="1:10" x14ac:dyDescent="0.25">
      <c r="A1269" t="s">
        <v>19</v>
      </c>
      <c r="B1269" s="1" t="str">
        <f>HYPERLINK("http://apcscpl.com","apcscpl.com")</f>
        <v>apcscpl.com</v>
      </c>
      <c r="C1269" t="s">
        <v>433</v>
      </c>
      <c r="J1269">
        <v>2</v>
      </c>
    </row>
    <row r="1270" spans="1:10" x14ac:dyDescent="0.25">
      <c r="A1270" t="s">
        <v>19</v>
      </c>
      <c r="B1270" s="1" t="str">
        <f>HYPERLINK("http://carburos.com","carburos.com")</f>
        <v>carburos.com</v>
      </c>
      <c r="C1270" t="s">
        <v>433</v>
      </c>
      <c r="F1270">
        <v>5.9066737493457097E-8</v>
      </c>
      <c r="G1270">
        <v>750593</v>
      </c>
      <c r="H1270">
        <v>14042573</v>
      </c>
      <c r="I1270">
        <v>3905949</v>
      </c>
      <c r="J1270">
        <v>4</v>
      </c>
    </row>
    <row r="1271" spans="1:10" x14ac:dyDescent="0.25">
      <c r="A1271" t="s">
        <v>19</v>
      </c>
      <c r="B1271" s="1" t="str">
        <f>HYPERLINK("http://dtd1940.com","dtd1940.com")</f>
        <v>dtd1940.com</v>
      </c>
      <c r="C1271" t="s">
        <v>433</v>
      </c>
      <c r="J1271">
        <v>2</v>
      </c>
    </row>
    <row r="1272" spans="1:10" x14ac:dyDescent="0.25">
      <c r="A1272" t="s">
        <v>19</v>
      </c>
      <c r="B1272" s="1" t="str">
        <f>HYPERLINK("http://epcoco2.com","epcoco2.com")</f>
        <v>epcoco2.com</v>
      </c>
      <c r="C1272" t="s">
        <v>433</v>
      </c>
      <c r="J1272">
        <v>3</v>
      </c>
    </row>
    <row r="1273" spans="1:10" x14ac:dyDescent="0.25">
      <c r="A1273" t="s">
        <v>19</v>
      </c>
      <c r="B1273" s="1" t="str">
        <f>HYPERLINK("http://nanoslurry.com","nanoslurry.com")</f>
        <v>nanoslurry.com</v>
      </c>
      <c r="C1273" t="s">
        <v>433</v>
      </c>
      <c r="F1273">
        <v>4.5700543075019604E-9</v>
      </c>
      <c r="G1273">
        <v>50179765</v>
      </c>
      <c r="H1273">
        <v>11089570</v>
      </c>
      <c r="I1273">
        <v>32387643</v>
      </c>
      <c r="J1273">
        <v>4</v>
      </c>
    </row>
    <row r="1274" spans="1:10" x14ac:dyDescent="0.25">
      <c r="A1274" t="s">
        <v>19</v>
      </c>
      <c r="B1274" s="1" t="str">
        <f>HYPERLINK("http://airproducts.cz","airproducts.cz")</f>
        <v>airproducts.cz</v>
      </c>
      <c r="C1274" t="s">
        <v>435</v>
      </c>
      <c r="D1274" t="s">
        <v>814</v>
      </c>
      <c r="F1274">
        <v>2.28976367898866E-8</v>
      </c>
      <c r="G1274">
        <v>2283173</v>
      </c>
      <c r="H1274">
        <v>12417249</v>
      </c>
      <c r="I1274">
        <v>18504654</v>
      </c>
      <c r="J1274">
        <v>2</v>
      </c>
    </row>
    <row r="1275" spans="1:10" x14ac:dyDescent="0.25">
      <c r="A1275" t="s">
        <v>19</v>
      </c>
      <c r="B1275" s="1" t="str">
        <f>HYPERLINK("http://airproducts.de","airproducts.de")</f>
        <v>airproducts.de</v>
      </c>
      <c r="C1275" t="s">
        <v>436</v>
      </c>
      <c r="D1275" t="s">
        <v>815</v>
      </c>
      <c r="F1275">
        <v>4.1597123726505898E-8</v>
      </c>
      <c r="G1275">
        <v>1193242</v>
      </c>
      <c r="H1275">
        <v>14569943</v>
      </c>
      <c r="I1275">
        <v>735844</v>
      </c>
      <c r="J1275">
        <v>2</v>
      </c>
    </row>
    <row r="1276" spans="1:10" x14ac:dyDescent="0.25">
      <c r="A1276" t="s">
        <v>19</v>
      </c>
      <c r="B1276" s="1" t="str">
        <f>HYPERLINK("http://airproducts.expert","airproducts.expert")</f>
        <v>airproducts.expert</v>
      </c>
      <c r="C1276" t="s">
        <v>557</v>
      </c>
      <c r="F1276">
        <v>1.98792194757034E-8</v>
      </c>
      <c r="G1276">
        <v>2677987</v>
      </c>
      <c r="H1276">
        <v>12490102</v>
      </c>
      <c r="I1276">
        <v>17490362</v>
      </c>
      <c r="J1276">
        <v>2</v>
      </c>
    </row>
    <row r="1277" spans="1:10" x14ac:dyDescent="0.25">
      <c r="A1277" t="s">
        <v>19</v>
      </c>
      <c r="B1277" s="1" t="str">
        <f>HYPERLINK("http://carburos.expert","carburos.expert")</f>
        <v>carburos.expert</v>
      </c>
      <c r="C1277" t="s">
        <v>557</v>
      </c>
      <c r="F1277">
        <v>1.0123120502475299E-8</v>
      </c>
      <c r="G1277">
        <v>6623776</v>
      </c>
      <c r="H1277">
        <v>12414102</v>
      </c>
      <c r="I1277">
        <v>18550554</v>
      </c>
      <c r="J1277">
        <v>5</v>
      </c>
    </row>
    <row r="1278" spans="1:10" x14ac:dyDescent="0.25">
      <c r="A1278" t="s">
        <v>19</v>
      </c>
      <c r="B1278" s="1" t="str">
        <f>HYPERLINK("http://airproducts.fr","airproducts.fr")</f>
        <v>airproducts.fr</v>
      </c>
      <c r="C1278" t="s">
        <v>446</v>
      </c>
      <c r="D1278" t="s">
        <v>824</v>
      </c>
      <c r="F1278">
        <v>2.9748431825374902E-8</v>
      </c>
      <c r="G1278">
        <v>1729979</v>
      </c>
      <c r="H1278">
        <v>14076357</v>
      </c>
      <c r="I1278">
        <v>2889285</v>
      </c>
      <c r="J1278">
        <v>2</v>
      </c>
    </row>
    <row r="1279" spans="1:10" x14ac:dyDescent="0.25">
      <c r="A1279" t="s">
        <v>19</v>
      </c>
      <c r="B1279" s="1" t="str">
        <f>HYPERLINK("http://airproducts.com.hk","airproducts.com.hk")</f>
        <v>airproducts.com.hk</v>
      </c>
      <c r="C1279" t="s">
        <v>450</v>
      </c>
      <c r="D1279" t="s">
        <v>827</v>
      </c>
      <c r="F1279">
        <v>1.6165845653873E-8</v>
      </c>
      <c r="G1279">
        <v>3504001</v>
      </c>
      <c r="H1279">
        <v>13468334</v>
      </c>
      <c r="I1279">
        <v>10045515</v>
      </c>
      <c r="J1279">
        <v>2</v>
      </c>
    </row>
    <row r="1280" spans="1:10" x14ac:dyDescent="0.25">
      <c r="A1280" t="s">
        <v>19</v>
      </c>
      <c r="B1280" s="1" t="str">
        <f>HYPERLINK("http://airproducts.hu","airproducts.hu")</f>
        <v>airproducts.hu</v>
      </c>
      <c r="C1280" t="s">
        <v>453</v>
      </c>
      <c r="D1280" t="s">
        <v>830</v>
      </c>
      <c r="F1280">
        <v>1.3827960504354101E-8</v>
      </c>
      <c r="G1280">
        <v>4269424</v>
      </c>
      <c r="H1280">
        <v>12244024</v>
      </c>
      <c r="I1280">
        <v>22149381</v>
      </c>
      <c r="J1280">
        <v>2</v>
      </c>
    </row>
    <row r="1281" spans="1:10" x14ac:dyDescent="0.25">
      <c r="A1281" t="s">
        <v>19</v>
      </c>
      <c r="B1281" s="1" t="str">
        <f>HYPERLINK("http://airproducts.co.id","airproducts.co.id")</f>
        <v>airproducts.co.id</v>
      </c>
      <c r="C1281" t="s">
        <v>454</v>
      </c>
      <c r="D1281" t="s">
        <v>831</v>
      </c>
      <c r="F1281">
        <v>1.65703280817226E-8</v>
      </c>
      <c r="G1281">
        <v>3396568</v>
      </c>
      <c r="H1281">
        <v>12256369</v>
      </c>
      <c r="I1281">
        <v>21860826</v>
      </c>
      <c r="J1281">
        <v>2</v>
      </c>
    </row>
    <row r="1282" spans="1:10" x14ac:dyDescent="0.25">
      <c r="A1282" t="s">
        <v>19</v>
      </c>
      <c r="B1282" s="1" t="str">
        <f>HYPERLINK("http://airproducts.ie","airproducts.ie")</f>
        <v>airproducts.ie</v>
      </c>
      <c r="C1282" t="s">
        <v>455</v>
      </c>
      <c r="D1282" t="s">
        <v>832</v>
      </c>
      <c r="F1282">
        <v>1.6211078753870801E-8</v>
      </c>
      <c r="G1282">
        <v>3492556</v>
      </c>
      <c r="H1282">
        <v>12256568</v>
      </c>
      <c r="I1282">
        <v>21856980</v>
      </c>
      <c r="J1282">
        <v>2</v>
      </c>
    </row>
    <row r="1283" spans="1:10" x14ac:dyDescent="0.25">
      <c r="A1283" t="s">
        <v>19</v>
      </c>
      <c r="B1283" s="1" t="str">
        <f>HYPERLINK("http://airproducts.co.il","airproducts.co.il")</f>
        <v>airproducts.co.il</v>
      </c>
      <c r="C1283" t="s">
        <v>456</v>
      </c>
      <c r="D1283" t="s">
        <v>833</v>
      </c>
      <c r="F1283">
        <v>1.48815051269337E-8</v>
      </c>
      <c r="G1283">
        <v>3878835</v>
      </c>
      <c r="H1283">
        <v>14071802</v>
      </c>
      <c r="I1283">
        <v>3316951</v>
      </c>
      <c r="J1283">
        <v>3</v>
      </c>
    </row>
    <row r="1284" spans="1:10" x14ac:dyDescent="0.25">
      <c r="A1284" t="s">
        <v>19</v>
      </c>
      <c r="B1284" s="1" t="str">
        <f>HYPERLINK("http://airproducts.in","airproducts.in")</f>
        <v>airproducts.in</v>
      </c>
      <c r="C1284" t="s">
        <v>457</v>
      </c>
      <c r="D1284" t="s">
        <v>834</v>
      </c>
      <c r="F1284">
        <v>1.4584500520364699E-8</v>
      </c>
      <c r="G1284">
        <v>3982569</v>
      </c>
      <c r="H1284">
        <v>12283433</v>
      </c>
      <c r="I1284">
        <v>21242050</v>
      </c>
      <c r="J1284">
        <v>2</v>
      </c>
    </row>
    <row r="1285" spans="1:10" x14ac:dyDescent="0.25">
      <c r="A1285" t="s">
        <v>19</v>
      </c>
      <c r="B1285" s="1" t="str">
        <f>HYPERLINK("http://airproducts.it","airproducts.it")</f>
        <v>airproducts.it</v>
      </c>
      <c r="C1285" t="s">
        <v>459</v>
      </c>
      <c r="D1285" t="s">
        <v>835</v>
      </c>
      <c r="F1285">
        <v>1.5137163720709899E-8</v>
      </c>
      <c r="G1285">
        <v>3795800</v>
      </c>
      <c r="H1285">
        <v>14071880</v>
      </c>
      <c r="I1285">
        <v>3252475</v>
      </c>
      <c r="J1285">
        <v>3</v>
      </c>
    </row>
    <row r="1286" spans="1:10" x14ac:dyDescent="0.25">
      <c r="A1286" t="s">
        <v>19</v>
      </c>
      <c r="B1286" s="1" t="str">
        <f>HYPERLINK("http://airproducts.co.jp","airproducts.co.jp")</f>
        <v>airproducts.co.jp</v>
      </c>
      <c r="C1286" t="s">
        <v>461</v>
      </c>
      <c r="D1286" t="s">
        <v>837</v>
      </c>
      <c r="F1286">
        <v>1.44086707384869E-8</v>
      </c>
      <c r="G1286">
        <v>4054183</v>
      </c>
      <c r="H1286">
        <v>12244031</v>
      </c>
      <c r="I1286">
        <v>22149238</v>
      </c>
      <c r="J1286">
        <v>2</v>
      </c>
    </row>
    <row r="1287" spans="1:10" x14ac:dyDescent="0.25">
      <c r="A1287" t="s">
        <v>19</v>
      </c>
      <c r="B1287" s="1" t="str">
        <f>HYPERLINK("http://airproducts.co.kr","airproducts.co.kr")</f>
        <v>airproducts.co.kr</v>
      </c>
      <c r="C1287" t="s">
        <v>463</v>
      </c>
      <c r="D1287" t="s">
        <v>839</v>
      </c>
      <c r="F1287">
        <v>9.0345228138803798E-9</v>
      </c>
      <c r="G1287">
        <v>7941085</v>
      </c>
      <c r="H1287">
        <v>12163251</v>
      </c>
      <c r="I1287">
        <v>24279008</v>
      </c>
      <c r="J1287">
        <v>2</v>
      </c>
    </row>
    <row r="1288" spans="1:10" x14ac:dyDescent="0.25">
      <c r="A1288" t="s">
        <v>19</v>
      </c>
      <c r="B1288" s="1" t="str">
        <f>HYPERLINK("http://airproducts.me","airproducts.me")</f>
        <v>airproducts.me</v>
      </c>
      <c r="C1288" t="s">
        <v>470</v>
      </c>
      <c r="D1288" t="s">
        <v>846</v>
      </c>
      <c r="F1288">
        <v>1.5096207026517701E-8</v>
      </c>
      <c r="G1288">
        <v>3808952</v>
      </c>
      <c r="H1288">
        <v>12324827</v>
      </c>
      <c r="I1288">
        <v>20327990</v>
      </c>
      <c r="J1288">
        <v>2</v>
      </c>
    </row>
    <row r="1289" spans="1:10" x14ac:dyDescent="0.25">
      <c r="A1289" t="s">
        <v>19</v>
      </c>
      <c r="B1289" s="1" t="str">
        <f>HYPERLINK("http://airproducts.com.my","airproducts.com.my")</f>
        <v>airproducts.com.my</v>
      </c>
      <c r="C1289" t="s">
        <v>472</v>
      </c>
      <c r="D1289" t="s">
        <v>848</v>
      </c>
      <c r="F1289">
        <v>1.4418905954141701E-8</v>
      </c>
      <c r="G1289">
        <v>4050639</v>
      </c>
      <c r="H1289">
        <v>12269017</v>
      </c>
      <c r="I1289">
        <v>21543862</v>
      </c>
      <c r="J1289">
        <v>2</v>
      </c>
    </row>
    <row r="1290" spans="1:10" x14ac:dyDescent="0.25">
      <c r="A1290" t="s">
        <v>19</v>
      </c>
      <c r="B1290" s="1" t="str">
        <f>HYPERLINK("http://airproducts.nl","airproducts.nl")</f>
        <v>airproducts.nl</v>
      </c>
      <c r="C1290" t="s">
        <v>477</v>
      </c>
      <c r="D1290" t="s">
        <v>852</v>
      </c>
      <c r="F1290">
        <v>2.58077901345675E-8</v>
      </c>
      <c r="G1290">
        <v>1997271</v>
      </c>
      <c r="H1290">
        <v>14072141</v>
      </c>
      <c r="I1290">
        <v>3153011</v>
      </c>
      <c r="J1290">
        <v>2</v>
      </c>
    </row>
    <row r="1291" spans="1:10" x14ac:dyDescent="0.25">
      <c r="A1291" t="s">
        <v>19</v>
      </c>
      <c r="B1291" s="1" t="str">
        <f>HYPERLINK("http://airproducts.no","airproducts.no")</f>
        <v>airproducts.no</v>
      </c>
      <c r="C1291" t="s">
        <v>478</v>
      </c>
      <c r="D1291" t="s">
        <v>853</v>
      </c>
      <c r="F1291">
        <v>1.7170651467050599E-8</v>
      </c>
      <c r="G1291">
        <v>3245170</v>
      </c>
      <c r="H1291">
        <v>13764243</v>
      </c>
      <c r="I1291">
        <v>7322595</v>
      </c>
      <c r="J1291">
        <v>2</v>
      </c>
    </row>
    <row r="1292" spans="1:10" x14ac:dyDescent="0.25">
      <c r="A1292" t="s">
        <v>19</v>
      </c>
      <c r="B1292" s="1" t="str">
        <f>HYPERLINK("http://airproducts.com.pe","airproducts.com.pe")</f>
        <v>airproducts.com.pe</v>
      </c>
      <c r="C1292" t="s">
        <v>483</v>
      </c>
      <c r="D1292" t="s">
        <v>857</v>
      </c>
      <c r="F1292">
        <v>1.9170767632141399E-8</v>
      </c>
      <c r="G1292">
        <v>2803597</v>
      </c>
      <c r="H1292">
        <v>12258617</v>
      </c>
      <c r="I1292">
        <v>21803125</v>
      </c>
      <c r="J1292">
        <v>2</v>
      </c>
    </row>
    <row r="1293" spans="1:10" x14ac:dyDescent="0.25">
      <c r="A1293" t="s">
        <v>19</v>
      </c>
      <c r="B1293" s="1" t="str">
        <f>HYPERLINK("http://airproducts.pl","airproducts.pl")</f>
        <v>airproducts.pl</v>
      </c>
      <c r="C1293" t="s">
        <v>486</v>
      </c>
      <c r="D1293" t="s">
        <v>860</v>
      </c>
      <c r="F1293">
        <v>5.1232267106672998E-9</v>
      </c>
      <c r="G1293">
        <v>26585765</v>
      </c>
      <c r="H1293">
        <v>10738417</v>
      </c>
      <c r="I1293">
        <v>40508487</v>
      </c>
      <c r="J1293">
        <v>3</v>
      </c>
    </row>
    <row r="1294" spans="1:10" x14ac:dyDescent="0.25">
      <c r="A1294" t="s">
        <v>19</v>
      </c>
      <c r="B1294" s="1" t="str">
        <f>HYPERLINK("http://airproducts.com.pl","airproducts.com.pl")</f>
        <v>airproducts.com.pl</v>
      </c>
      <c r="C1294" t="s">
        <v>486</v>
      </c>
      <c r="D1294" t="s">
        <v>860</v>
      </c>
      <c r="F1294">
        <v>3.3555591417176602E-8</v>
      </c>
      <c r="G1294">
        <v>1540875</v>
      </c>
      <c r="H1294">
        <v>12688273</v>
      </c>
      <c r="I1294">
        <v>15431902</v>
      </c>
      <c r="J1294">
        <v>2</v>
      </c>
    </row>
    <row r="1295" spans="1:10" x14ac:dyDescent="0.25">
      <c r="A1295" t="s">
        <v>19</v>
      </c>
      <c r="B1295" s="1" t="str">
        <f>HYPERLINK("http://airproducts.ru","airproducts.ru")</f>
        <v>airproducts.ru</v>
      </c>
      <c r="C1295" t="s">
        <v>493</v>
      </c>
      <c r="D1295" t="s">
        <v>867</v>
      </c>
      <c r="F1295">
        <v>7.8800723778256605E-8</v>
      </c>
      <c r="G1295">
        <v>530403</v>
      </c>
      <c r="H1295">
        <v>13522585</v>
      </c>
      <c r="I1295">
        <v>9935527</v>
      </c>
      <c r="J1295">
        <v>2</v>
      </c>
    </row>
    <row r="1296" spans="1:10" x14ac:dyDescent="0.25">
      <c r="A1296" t="s">
        <v>19</v>
      </c>
      <c r="B1296" s="1" t="str">
        <f>HYPERLINK("http://airproducts.com.sg","airproducts.com.sg")</f>
        <v>airproducts.com.sg</v>
      </c>
      <c r="C1296" t="s">
        <v>496</v>
      </c>
      <c r="D1296" t="s">
        <v>870</v>
      </c>
      <c r="F1296">
        <v>1.46443498363202E-8</v>
      </c>
      <c r="G1296">
        <v>3960501</v>
      </c>
      <c r="H1296">
        <v>12409720</v>
      </c>
      <c r="I1296">
        <v>18612199</v>
      </c>
      <c r="J1296">
        <v>2</v>
      </c>
    </row>
    <row r="1297" spans="1:10" x14ac:dyDescent="0.25">
      <c r="A1297" t="s">
        <v>19</v>
      </c>
      <c r="B1297" s="1" t="str">
        <f>HYPERLINK("http://airproducts.sk","airproducts.sk")</f>
        <v>airproducts.sk</v>
      </c>
      <c r="C1297" t="s">
        <v>498</v>
      </c>
      <c r="D1297" t="s">
        <v>872</v>
      </c>
      <c r="F1297">
        <v>1.6062455639476399E-8</v>
      </c>
      <c r="G1297">
        <v>3530168</v>
      </c>
      <c r="H1297">
        <v>12282044</v>
      </c>
      <c r="I1297">
        <v>21265790</v>
      </c>
      <c r="J1297">
        <v>2</v>
      </c>
    </row>
    <row r="1298" spans="1:10" x14ac:dyDescent="0.25">
      <c r="A1298" t="s">
        <v>19</v>
      </c>
      <c r="B1298" s="1" t="str">
        <f>HYPERLINK("http://airproducts.com.tw","airproducts.com.tw")</f>
        <v>airproducts.com.tw</v>
      </c>
      <c r="C1298" t="s">
        <v>504</v>
      </c>
      <c r="D1298" t="s">
        <v>878</v>
      </c>
      <c r="F1298">
        <v>1.7454548191738102E-8</v>
      </c>
      <c r="G1298">
        <v>3157216</v>
      </c>
      <c r="H1298">
        <v>13185567</v>
      </c>
      <c r="I1298">
        <v>11622733</v>
      </c>
      <c r="J1298">
        <v>2</v>
      </c>
    </row>
    <row r="1299" spans="1:10" x14ac:dyDescent="0.25">
      <c r="A1299" t="s">
        <v>19</v>
      </c>
      <c r="B1299" s="1" t="str">
        <f>HYPERLINK("http://airproducts.ua","airproducts.ua")</f>
        <v>airproducts.ua</v>
      </c>
      <c r="C1299" t="s">
        <v>505</v>
      </c>
      <c r="D1299" t="s">
        <v>879</v>
      </c>
      <c r="F1299">
        <v>1.0478818945364799E-8</v>
      </c>
      <c r="G1299">
        <v>6287990</v>
      </c>
      <c r="H1299">
        <v>12181552</v>
      </c>
      <c r="I1299">
        <v>23782897</v>
      </c>
      <c r="J1299">
        <v>2</v>
      </c>
    </row>
    <row r="1300" spans="1:10" x14ac:dyDescent="0.25">
      <c r="A1300" t="s">
        <v>19</v>
      </c>
      <c r="B1300" s="1" t="str">
        <f>HYPERLINK("http://airproducts.co.uk","airproducts.co.uk")</f>
        <v>airproducts.co.uk</v>
      </c>
      <c r="C1300" t="s">
        <v>506</v>
      </c>
      <c r="D1300" t="s">
        <v>880</v>
      </c>
      <c r="F1300">
        <v>6.4247734939541805E-8</v>
      </c>
      <c r="G1300">
        <v>674018</v>
      </c>
      <c r="H1300">
        <v>13859234</v>
      </c>
      <c r="I1300">
        <v>6024742</v>
      </c>
      <c r="J1300">
        <v>2</v>
      </c>
    </row>
    <row r="1301" spans="1:10" x14ac:dyDescent="0.25">
      <c r="A1301" t="s">
        <v>19</v>
      </c>
      <c r="B1301" s="1" t="str">
        <f>HYPERLINK("http://airproducts.uz","airproducts.uz")</f>
        <v>airproducts.uz</v>
      </c>
      <c r="C1301" t="s">
        <v>560</v>
      </c>
      <c r="D1301" t="s">
        <v>910</v>
      </c>
      <c r="F1301">
        <v>1.25201463371199E-8</v>
      </c>
      <c r="G1301">
        <v>4874761</v>
      </c>
      <c r="H1301">
        <v>12173288</v>
      </c>
      <c r="I1301">
        <v>23985375</v>
      </c>
      <c r="J1301">
        <v>2</v>
      </c>
    </row>
    <row r="1302" spans="1:10" x14ac:dyDescent="0.25">
      <c r="A1302" t="s">
        <v>20</v>
      </c>
      <c r="B1302" s="1" t="str">
        <f>HYPERLINK("http://airbnb.ae","airbnb.ae")</f>
        <v>airbnb.ae</v>
      </c>
      <c r="C1302" t="s">
        <v>417</v>
      </c>
      <c r="D1302" t="s">
        <v>799</v>
      </c>
      <c r="E1302">
        <v>142596</v>
      </c>
      <c r="F1302">
        <v>1.5052037757391799E-7</v>
      </c>
      <c r="G1302">
        <v>258083</v>
      </c>
      <c r="H1302">
        <v>14185327</v>
      </c>
      <c r="I1302">
        <v>1770419</v>
      </c>
      <c r="J1302">
        <v>2</v>
      </c>
    </row>
    <row r="1303" spans="1:10" x14ac:dyDescent="0.25">
      <c r="A1303" t="s">
        <v>20</v>
      </c>
      <c r="B1303" s="1" t="str">
        <f>HYPERLINK("http://airbnb.am","airbnb.am")</f>
        <v>airbnb.am</v>
      </c>
      <c r="C1303" t="s">
        <v>565</v>
      </c>
      <c r="D1303" t="s">
        <v>913</v>
      </c>
      <c r="F1303">
        <v>1.18798108870352E-7</v>
      </c>
      <c r="G1303">
        <v>333200</v>
      </c>
      <c r="H1303">
        <v>13104774</v>
      </c>
      <c r="I1303">
        <v>12071498</v>
      </c>
      <c r="J1303">
        <v>2</v>
      </c>
    </row>
    <row r="1304" spans="1:10" x14ac:dyDescent="0.25">
      <c r="A1304" t="s">
        <v>20</v>
      </c>
      <c r="B1304" s="1" t="str">
        <f>HYPERLINK("http://airbnb.com.ar","airbnb.com.ar")</f>
        <v>airbnb.com.ar</v>
      </c>
      <c r="C1304" t="s">
        <v>418</v>
      </c>
      <c r="D1304" t="s">
        <v>800</v>
      </c>
      <c r="E1304">
        <v>127090</v>
      </c>
      <c r="F1304">
        <v>2.19430518722216E-7</v>
      </c>
      <c r="G1304">
        <v>171810</v>
      </c>
      <c r="H1304">
        <v>14824942</v>
      </c>
      <c r="I1304">
        <v>511737</v>
      </c>
      <c r="J1304">
        <v>2</v>
      </c>
    </row>
    <row r="1305" spans="1:10" x14ac:dyDescent="0.25">
      <c r="A1305" t="s">
        <v>20</v>
      </c>
      <c r="B1305" s="1" t="str">
        <f>HYPERLINK("http://airbnb.at","airbnb.at")</f>
        <v>airbnb.at</v>
      </c>
      <c r="C1305" t="s">
        <v>419</v>
      </c>
      <c r="D1305" t="s">
        <v>801</v>
      </c>
      <c r="E1305">
        <v>229764</v>
      </c>
      <c r="F1305">
        <v>3.1324910910805999E-7</v>
      </c>
      <c r="G1305">
        <v>118692</v>
      </c>
      <c r="H1305">
        <v>14584827</v>
      </c>
      <c r="I1305">
        <v>702516</v>
      </c>
      <c r="J1305">
        <v>2</v>
      </c>
    </row>
    <row r="1306" spans="1:10" x14ac:dyDescent="0.25">
      <c r="A1306" t="s">
        <v>20</v>
      </c>
      <c r="B1306" s="1" t="str">
        <f>HYPERLINK("http://airbnb.com.au","airbnb.com.au")</f>
        <v>airbnb.com.au</v>
      </c>
      <c r="C1306" t="s">
        <v>420</v>
      </c>
      <c r="D1306" t="s">
        <v>802</v>
      </c>
      <c r="E1306">
        <v>22896</v>
      </c>
      <c r="F1306">
        <v>8.3189702960900298E-7</v>
      </c>
      <c r="G1306">
        <v>47640</v>
      </c>
      <c r="H1306">
        <v>15492213</v>
      </c>
      <c r="I1306">
        <v>376945</v>
      </c>
      <c r="J1306">
        <v>2</v>
      </c>
    </row>
    <row r="1307" spans="1:10" x14ac:dyDescent="0.25">
      <c r="A1307" t="s">
        <v>20</v>
      </c>
      <c r="B1307" s="1" t="str">
        <f>HYPERLINK("http://airbnb.az","airbnb.az")</f>
        <v>airbnb.az</v>
      </c>
      <c r="C1307" t="s">
        <v>561</v>
      </c>
      <c r="D1307" t="s">
        <v>911</v>
      </c>
      <c r="F1307">
        <v>1.18804002400003E-7</v>
      </c>
      <c r="G1307">
        <v>333180</v>
      </c>
      <c r="H1307">
        <v>13105398</v>
      </c>
      <c r="I1307">
        <v>12069050</v>
      </c>
      <c r="J1307">
        <v>2</v>
      </c>
    </row>
    <row r="1308" spans="1:10" x14ac:dyDescent="0.25">
      <c r="A1308" t="s">
        <v>20</v>
      </c>
      <c r="B1308" s="1" t="str">
        <f>HYPERLINK("http://airbnb.ba","airbnb.ba")</f>
        <v>airbnb.ba</v>
      </c>
      <c r="C1308" t="s">
        <v>526</v>
      </c>
      <c r="D1308" t="s">
        <v>893</v>
      </c>
      <c r="F1308">
        <v>1.10133746805746E-7</v>
      </c>
      <c r="G1308">
        <v>363116</v>
      </c>
      <c r="H1308">
        <v>13110767</v>
      </c>
      <c r="I1308">
        <v>12033766</v>
      </c>
      <c r="J1308">
        <v>2</v>
      </c>
    </row>
    <row r="1309" spans="1:10" x14ac:dyDescent="0.25">
      <c r="A1309" t="s">
        <v>20</v>
      </c>
      <c r="B1309" s="1" t="str">
        <f>HYPERLINK("http://airbnb.be","airbnb.be")</f>
        <v>airbnb.be</v>
      </c>
      <c r="C1309" t="s">
        <v>421</v>
      </c>
      <c r="D1309" t="s">
        <v>803</v>
      </c>
      <c r="E1309">
        <v>134124</v>
      </c>
      <c r="F1309">
        <v>3.7659830056072999E-7</v>
      </c>
      <c r="G1309">
        <v>99414</v>
      </c>
      <c r="H1309">
        <v>14623405</v>
      </c>
      <c r="I1309">
        <v>653864</v>
      </c>
      <c r="J1309">
        <v>2</v>
      </c>
    </row>
    <row r="1310" spans="1:10" x14ac:dyDescent="0.25">
      <c r="A1310" t="s">
        <v>20</v>
      </c>
      <c r="B1310" s="1" t="str">
        <f>HYPERLINK("http://airbnb.biz","airbnb.biz")</f>
        <v>airbnb.biz</v>
      </c>
      <c r="C1310" t="s">
        <v>423</v>
      </c>
      <c r="E1310">
        <v>28103</v>
      </c>
      <c r="F1310">
        <v>4.4522908055460202E-9</v>
      </c>
      <c r="G1310">
        <v>70715544</v>
      </c>
      <c r="H1310">
        <v>11980920</v>
      </c>
      <c r="I1310">
        <v>28496692</v>
      </c>
      <c r="J1310">
        <v>2</v>
      </c>
    </row>
    <row r="1311" spans="1:10" x14ac:dyDescent="0.25">
      <c r="A1311" t="s">
        <v>20</v>
      </c>
      <c r="B1311" s="1" t="str">
        <f>HYPERLINK("http://airbnb.com.bo","airbnb.com.bo")</f>
        <v>airbnb.com.bo</v>
      </c>
      <c r="C1311" t="s">
        <v>424</v>
      </c>
      <c r="D1311" t="s">
        <v>805</v>
      </c>
      <c r="E1311">
        <v>943830</v>
      </c>
      <c r="F1311">
        <v>1.12589845825163E-7</v>
      </c>
      <c r="G1311">
        <v>354651</v>
      </c>
      <c r="H1311">
        <v>13644331</v>
      </c>
      <c r="I1311">
        <v>9609048</v>
      </c>
      <c r="J1311">
        <v>2</v>
      </c>
    </row>
    <row r="1312" spans="1:10" x14ac:dyDescent="0.25">
      <c r="A1312" t="s">
        <v>20</v>
      </c>
      <c r="B1312" s="1" t="str">
        <f>HYPERLINK("http://airbnb.com.br","airbnb.com.br")</f>
        <v>airbnb.com.br</v>
      </c>
      <c r="C1312" t="s">
        <v>425</v>
      </c>
      <c r="D1312" t="s">
        <v>806</v>
      </c>
      <c r="E1312">
        <v>25836</v>
      </c>
      <c r="F1312">
        <v>6.3865745380744205E-7</v>
      </c>
      <c r="G1312">
        <v>60145</v>
      </c>
      <c r="H1312">
        <v>15478809</v>
      </c>
      <c r="I1312">
        <v>377308</v>
      </c>
      <c r="J1312">
        <v>2</v>
      </c>
    </row>
    <row r="1313" spans="1:10" x14ac:dyDescent="0.25">
      <c r="A1313" t="s">
        <v>20</v>
      </c>
      <c r="B1313" s="1" t="str">
        <f>HYPERLINK("http://airbnb.com.bz","airbnb.com.bz")</f>
        <v>airbnb.com.bz</v>
      </c>
      <c r="C1313" t="s">
        <v>590</v>
      </c>
      <c r="D1313" t="s">
        <v>926</v>
      </c>
      <c r="E1313">
        <v>434789</v>
      </c>
      <c r="F1313">
        <v>1.10895158689867E-7</v>
      </c>
      <c r="G1313">
        <v>360512</v>
      </c>
      <c r="H1313">
        <v>13807535</v>
      </c>
      <c r="I1313">
        <v>6225930</v>
      </c>
      <c r="J1313">
        <v>2</v>
      </c>
    </row>
    <row r="1314" spans="1:10" x14ac:dyDescent="0.25">
      <c r="A1314" t="s">
        <v>20</v>
      </c>
      <c r="B1314" s="1" t="str">
        <f>HYPERLINK("http://airbnb.ca","airbnb.ca")</f>
        <v>airbnb.ca</v>
      </c>
      <c r="C1314" t="s">
        <v>428</v>
      </c>
      <c r="D1314" t="s">
        <v>809</v>
      </c>
      <c r="E1314">
        <v>15879</v>
      </c>
      <c r="F1314">
        <v>1.8615391393087201E-6</v>
      </c>
      <c r="G1314">
        <v>20093</v>
      </c>
      <c r="H1314">
        <v>15974523</v>
      </c>
      <c r="I1314">
        <v>366587</v>
      </c>
      <c r="J1314">
        <v>2</v>
      </c>
    </row>
    <row r="1315" spans="1:10" x14ac:dyDescent="0.25">
      <c r="A1315" t="s">
        <v>20</v>
      </c>
      <c r="B1315" s="1" t="str">
        <f>HYPERLINK("http://airbnb.cat","airbnb.cat")</f>
        <v>airbnb.cat</v>
      </c>
      <c r="C1315" t="s">
        <v>591</v>
      </c>
      <c r="E1315">
        <v>820707</v>
      </c>
      <c r="F1315">
        <v>1.5418941691421701E-7</v>
      </c>
      <c r="G1315">
        <v>251906</v>
      </c>
      <c r="H1315">
        <v>14155499</v>
      </c>
      <c r="I1315">
        <v>1859450</v>
      </c>
      <c r="J1315">
        <v>2</v>
      </c>
    </row>
    <row r="1316" spans="1:10" x14ac:dyDescent="0.25">
      <c r="A1316" t="s">
        <v>20</v>
      </c>
      <c r="B1316" s="1" t="str">
        <f>HYPERLINK("http://airbnb.ch","airbnb.ch")</f>
        <v>airbnb.ch</v>
      </c>
      <c r="C1316" t="s">
        <v>429</v>
      </c>
      <c r="D1316" t="s">
        <v>810</v>
      </c>
      <c r="E1316">
        <v>161726</v>
      </c>
      <c r="F1316">
        <v>3.7737828437425E-7</v>
      </c>
      <c r="G1316">
        <v>99177</v>
      </c>
      <c r="H1316">
        <v>14425822</v>
      </c>
      <c r="I1316">
        <v>1079714</v>
      </c>
      <c r="J1316">
        <v>2</v>
      </c>
    </row>
    <row r="1317" spans="1:10" x14ac:dyDescent="0.25">
      <c r="A1317" t="s">
        <v>20</v>
      </c>
      <c r="B1317" s="1" t="str">
        <f>HYPERLINK("http://airbnb.cl","airbnb.cl")</f>
        <v>airbnb.cl</v>
      </c>
      <c r="C1317" t="s">
        <v>430</v>
      </c>
      <c r="D1317" t="s">
        <v>811</v>
      </c>
      <c r="E1317">
        <v>186154</v>
      </c>
      <c r="F1317">
        <v>1.37053187629907E-7</v>
      </c>
      <c r="G1317">
        <v>284389</v>
      </c>
      <c r="H1317">
        <v>14231691</v>
      </c>
      <c r="I1317">
        <v>1672754</v>
      </c>
      <c r="J1317">
        <v>2</v>
      </c>
    </row>
    <row r="1318" spans="1:10" x14ac:dyDescent="0.25">
      <c r="A1318" t="s">
        <v>20</v>
      </c>
      <c r="B1318" s="1" t="str">
        <f>HYPERLINK("http://airbnb.cn","airbnb.cn")</f>
        <v>airbnb.cn</v>
      </c>
      <c r="C1318" t="s">
        <v>431</v>
      </c>
      <c r="D1318" t="s">
        <v>812</v>
      </c>
      <c r="E1318">
        <v>150646</v>
      </c>
      <c r="F1318">
        <v>2.3531268122929499E-7</v>
      </c>
      <c r="G1318">
        <v>159248</v>
      </c>
      <c r="H1318">
        <v>14250366</v>
      </c>
      <c r="I1318">
        <v>1446981</v>
      </c>
      <c r="J1318">
        <v>2</v>
      </c>
    </row>
    <row r="1319" spans="1:10" x14ac:dyDescent="0.25">
      <c r="A1319" t="s">
        <v>20</v>
      </c>
      <c r="B1319" s="1" t="str">
        <f>HYPERLINK("http://airbnb.com.co","airbnb.com.co")</f>
        <v>airbnb.com.co</v>
      </c>
      <c r="C1319" t="s">
        <v>432</v>
      </c>
      <c r="E1319">
        <v>103203</v>
      </c>
      <c r="F1319">
        <v>1.70105598654726E-7</v>
      </c>
      <c r="G1319">
        <v>228041</v>
      </c>
      <c r="H1319">
        <v>14024589</v>
      </c>
      <c r="I1319">
        <v>3976537</v>
      </c>
      <c r="J1319">
        <v>2</v>
      </c>
    </row>
    <row r="1320" spans="1:10" x14ac:dyDescent="0.25">
      <c r="A1320" t="s">
        <v>20</v>
      </c>
      <c r="B1320" s="1" t="str">
        <f>HYPERLINK("http://airbnb.com","airbnb.com")</f>
        <v>airbnb.com</v>
      </c>
      <c r="C1320" t="s">
        <v>433</v>
      </c>
      <c r="E1320">
        <v>787</v>
      </c>
      <c r="F1320">
        <v>4.6829153792209099E-5</v>
      </c>
      <c r="G1320">
        <v>572</v>
      </c>
      <c r="H1320">
        <v>19070624</v>
      </c>
      <c r="I1320">
        <v>478</v>
      </c>
      <c r="J1320">
        <v>2</v>
      </c>
    </row>
    <row r="1321" spans="1:10" x14ac:dyDescent="0.25">
      <c r="A1321" t="s">
        <v>20</v>
      </c>
      <c r="B1321" s="1" t="str">
        <f>HYPERLINK("http://hoteltonight.com","hoteltonight.com")</f>
        <v>hoteltonight.com</v>
      </c>
      <c r="C1321" t="s">
        <v>433</v>
      </c>
      <c r="E1321">
        <v>21741</v>
      </c>
      <c r="F1321">
        <v>1.7416130686090399E-6</v>
      </c>
      <c r="G1321">
        <v>22961</v>
      </c>
      <c r="H1321">
        <v>17795174</v>
      </c>
      <c r="I1321">
        <v>5655</v>
      </c>
      <c r="J1321">
        <v>3</v>
      </c>
    </row>
    <row r="1322" spans="1:10" x14ac:dyDescent="0.25">
      <c r="A1322" t="s">
        <v>20</v>
      </c>
      <c r="B1322" s="1" t="str">
        <f>HYPERLINK("http://infobonaire.com","infobonaire.com")</f>
        <v>infobonaire.com</v>
      </c>
      <c r="C1322" t="s">
        <v>433</v>
      </c>
      <c r="E1322">
        <v>578461</v>
      </c>
      <c r="F1322">
        <v>1.40308751998762E-7</v>
      </c>
      <c r="G1322">
        <v>277599</v>
      </c>
      <c r="H1322">
        <v>14748163</v>
      </c>
      <c r="I1322">
        <v>564440</v>
      </c>
      <c r="J1322">
        <v>4</v>
      </c>
    </row>
    <row r="1323" spans="1:10" x14ac:dyDescent="0.25">
      <c r="A1323" t="s">
        <v>20</v>
      </c>
      <c r="B1323" s="1" t="str">
        <f>HYPERLINK("http://localmind.com","localmind.com")</f>
        <v>localmind.com</v>
      </c>
      <c r="C1323" t="s">
        <v>433</v>
      </c>
      <c r="F1323">
        <v>4.9004476357408397E-8</v>
      </c>
      <c r="G1323">
        <v>945187</v>
      </c>
      <c r="H1323">
        <v>14199447</v>
      </c>
      <c r="I1323">
        <v>1725868</v>
      </c>
      <c r="J1323">
        <v>5</v>
      </c>
    </row>
    <row r="1324" spans="1:10" x14ac:dyDescent="0.25">
      <c r="A1324" t="s">
        <v>20</v>
      </c>
      <c r="B1324" s="1" t="str">
        <f>HYPERLINK("http://luxuryretreats.com","luxuryretreats.com")</f>
        <v>luxuryretreats.com</v>
      </c>
      <c r="C1324" t="s">
        <v>433</v>
      </c>
      <c r="E1324">
        <v>12819</v>
      </c>
      <c r="F1324">
        <v>1.9956239420755899E-7</v>
      </c>
      <c r="G1324">
        <v>191220</v>
      </c>
      <c r="H1324">
        <v>15283981</v>
      </c>
      <c r="I1324">
        <v>387373</v>
      </c>
      <c r="J1324">
        <v>4</v>
      </c>
    </row>
    <row r="1325" spans="1:10" x14ac:dyDescent="0.25">
      <c r="A1325" t="s">
        <v>20</v>
      </c>
      <c r="B1325" s="1" t="str">
        <f>HYPERLINK("http://muscache.com","muscache.com")</f>
        <v>muscache.com</v>
      </c>
      <c r="C1325" t="s">
        <v>433</v>
      </c>
      <c r="E1325">
        <v>15882</v>
      </c>
      <c r="F1325">
        <v>1.1563351360109299E-6</v>
      </c>
      <c r="G1325">
        <v>33552</v>
      </c>
      <c r="H1325">
        <v>17171810</v>
      </c>
      <c r="I1325">
        <v>47352</v>
      </c>
      <c r="J1325">
        <v>4</v>
      </c>
    </row>
    <row r="1326" spans="1:10" x14ac:dyDescent="0.25">
      <c r="A1326" t="s">
        <v>20</v>
      </c>
      <c r="B1326" s="1" t="str">
        <f>HYPERLINK("http://withairbnb.com","withairbnb.com")</f>
        <v>withairbnb.com</v>
      </c>
      <c r="C1326" t="s">
        <v>433</v>
      </c>
      <c r="E1326">
        <v>12793</v>
      </c>
      <c r="F1326">
        <v>5.1212087614413003E-7</v>
      </c>
      <c r="G1326">
        <v>74851</v>
      </c>
      <c r="H1326">
        <v>14857377</v>
      </c>
      <c r="I1326">
        <v>486293</v>
      </c>
      <c r="J1326">
        <v>4</v>
      </c>
    </row>
    <row r="1327" spans="1:10" x14ac:dyDescent="0.25">
      <c r="A1327" t="s">
        <v>20</v>
      </c>
      <c r="B1327" s="1" t="str">
        <f>HYPERLINK("http://airbnb.co.cr","airbnb.co.cr")</f>
        <v>airbnb.co.cr</v>
      </c>
      <c r="C1327" t="s">
        <v>434</v>
      </c>
      <c r="D1327" t="s">
        <v>813</v>
      </c>
      <c r="E1327">
        <v>521637</v>
      </c>
      <c r="F1327">
        <v>1.2099221953243099E-7</v>
      </c>
      <c r="G1327">
        <v>326483</v>
      </c>
      <c r="H1327">
        <v>13122683</v>
      </c>
      <c r="I1327">
        <v>11983066</v>
      </c>
      <c r="J1327">
        <v>2</v>
      </c>
    </row>
    <row r="1328" spans="1:10" x14ac:dyDescent="0.25">
      <c r="A1328" t="s">
        <v>20</v>
      </c>
      <c r="B1328" s="1" t="str">
        <f>HYPERLINK("http://com;nidiacecilia@nauta.cu","com;nidiacecilia@nauta.cu")</f>
        <v>com;nidiacecilia@nauta.cu</v>
      </c>
      <c r="C1328" t="s">
        <v>592</v>
      </c>
      <c r="D1328" t="s">
        <v>927</v>
      </c>
      <c r="J1328">
        <v>4</v>
      </c>
    </row>
    <row r="1329" spans="1:10" x14ac:dyDescent="0.25">
      <c r="A1329" t="s">
        <v>20</v>
      </c>
      <c r="B1329" s="1" t="str">
        <f>HYPERLINK("http://airbnb.cz","airbnb.cz")</f>
        <v>airbnb.cz</v>
      </c>
      <c r="C1329" t="s">
        <v>435</v>
      </c>
      <c r="D1329" t="s">
        <v>814</v>
      </c>
      <c r="E1329">
        <v>153529</v>
      </c>
      <c r="F1329">
        <v>3.20680661305426E-7</v>
      </c>
      <c r="G1329">
        <v>116025</v>
      </c>
      <c r="H1329">
        <v>15047039</v>
      </c>
      <c r="I1329">
        <v>415223</v>
      </c>
      <c r="J1329">
        <v>2</v>
      </c>
    </row>
    <row r="1330" spans="1:10" x14ac:dyDescent="0.25">
      <c r="A1330" t="s">
        <v>20</v>
      </c>
      <c r="B1330" s="1" t="str">
        <f>HYPERLINK("http://airbnb.de","airbnb.de")</f>
        <v>airbnb.de</v>
      </c>
      <c r="C1330" t="s">
        <v>436</v>
      </c>
      <c r="D1330" t="s">
        <v>815</v>
      </c>
      <c r="E1330">
        <v>27684</v>
      </c>
      <c r="F1330">
        <v>2.0981767953904702E-6</v>
      </c>
      <c r="G1330">
        <v>17446</v>
      </c>
      <c r="H1330">
        <v>16165534</v>
      </c>
      <c r="I1330">
        <v>365681</v>
      </c>
      <c r="J1330">
        <v>2</v>
      </c>
    </row>
    <row r="1331" spans="1:10" x14ac:dyDescent="0.25">
      <c r="A1331" t="s">
        <v>20</v>
      </c>
      <c r="B1331" s="1" t="str">
        <f>HYPERLINK("http://bauernhof-maier.de","bauernhof-maier.de")</f>
        <v>bauernhof-maier.de</v>
      </c>
      <c r="C1331" t="s">
        <v>436</v>
      </c>
      <c r="D1331" t="s">
        <v>815</v>
      </c>
      <c r="F1331">
        <v>4.44380395335525E-9</v>
      </c>
      <c r="G1331">
        <v>84258019</v>
      </c>
      <c r="H1331">
        <v>0</v>
      </c>
      <c r="I1331">
        <v>85275662</v>
      </c>
      <c r="J1331">
        <v>4</v>
      </c>
    </row>
    <row r="1332" spans="1:10" x14ac:dyDescent="0.25">
      <c r="A1332" t="s">
        <v>20</v>
      </c>
      <c r="B1332" s="1" t="str">
        <f>HYPERLINK("http://belaxed.de","belaxed.de")</f>
        <v>belaxed.de</v>
      </c>
      <c r="C1332" t="s">
        <v>436</v>
      </c>
      <c r="D1332" t="s">
        <v>815</v>
      </c>
      <c r="J1332">
        <v>4</v>
      </c>
    </row>
    <row r="1333" spans="1:10" x14ac:dyDescent="0.25">
      <c r="A1333" t="s">
        <v>20</v>
      </c>
      <c r="B1333" s="1" t="str">
        <f>HYPERLINK("http://lionheart.de","lionheart.de")</f>
        <v>lionheart.de</v>
      </c>
      <c r="C1333" t="s">
        <v>436</v>
      </c>
      <c r="D1333" t="s">
        <v>815</v>
      </c>
      <c r="F1333">
        <v>1.01866638979647E-8</v>
      </c>
      <c r="G1333">
        <v>6560232</v>
      </c>
      <c r="H1333">
        <v>10533196</v>
      </c>
      <c r="I1333">
        <v>47897161</v>
      </c>
      <c r="J1333">
        <v>4</v>
      </c>
    </row>
    <row r="1334" spans="1:10" x14ac:dyDescent="0.25">
      <c r="A1334" t="s">
        <v>20</v>
      </c>
      <c r="B1334" s="1" t="str">
        <f>HYPERLINK("http://somsdorf.de","somsdorf.de")</f>
        <v>somsdorf.de</v>
      </c>
      <c r="C1334" t="s">
        <v>436</v>
      </c>
      <c r="D1334" t="s">
        <v>815</v>
      </c>
      <c r="F1334">
        <v>4.7464466412331296E-9</v>
      </c>
      <c r="G1334">
        <v>38491398</v>
      </c>
      <c r="H1334">
        <v>9389210</v>
      </c>
      <c r="I1334">
        <v>67435600</v>
      </c>
      <c r="J1334">
        <v>4</v>
      </c>
    </row>
    <row r="1335" spans="1:10" x14ac:dyDescent="0.25">
      <c r="A1335" t="s">
        <v>20</v>
      </c>
      <c r="B1335" s="1" t="str">
        <f>HYPERLINK("http://airbnb.design","airbnb.design")</f>
        <v>airbnb.design</v>
      </c>
      <c r="C1335" t="s">
        <v>582</v>
      </c>
      <c r="E1335">
        <v>154305</v>
      </c>
      <c r="F1335">
        <v>1.47809795348331E-6</v>
      </c>
      <c r="G1335">
        <v>26538</v>
      </c>
      <c r="H1335">
        <v>15521607</v>
      </c>
      <c r="I1335">
        <v>376110</v>
      </c>
      <c r="J1335">
        <v>3</v>
      </c>
    </row>
    <row r="1336" spans="1:10" x14ac:dyDescent="0.25">
      <c r="A1336" t="s">
        <v>20</v>
      </c>
      <c r="B1336" s="1" t="str">
        <f>HYPERLINK("http://airbnb.dk","airbnb.dk")</f>
        <v>airbnb.dk</v>
      </c>
      <c r="C1336" t="s">
        <v>437</v>
      </c>
      <c r="D1336" t="s">
        <v>816</v>
      </c>
      <c r="E1336">
        <v>256190</v>
      </c>
      <c r="F1336">
        <v>3.0063174843089598E-7</v>
      </c>
      <c r="G1336">
        <v>123723</v>
      </c>
      <c r="H1336">
        <v>14746729</v>
      </c>
      <c r="I1336">
        <v>564958</v>
      </c>
      <c r="J1336">
        <v>2</v>
      </c>
    </row>
    <row r="1337" spans="1:10" x14ac:dyDescent="0.25">
      <c r="A1337" t="s">
        <v>20</v>
      </c>
      <c r="B1337" s="1" t="str">
        <f>HYPERLINK("http://airbnb.com.ec","airbnb.com.ec")</f>
        <v>airbnb.com.ec</v>
      </c>
      <c r="C1337" t="s">
        <v>440</v>
      </c>
      <c r="D1337" t="s">
        <v>819</v>
      </c>
      <c r="E1337">
        <v>500301</v>
      </c>
      <c r="F1337">
        <v>1.33948724677609E-7</v>
      </c>
      <c r="G1337">
        <v>291499</v>
      </c>
      <c r="H1337">
        <v>14589043</v>
      </c>
      <c r="I1337">
        <v>697336</v>
      </c>
      <c r="J1337">
        <v>2</v>
      </c>
    </row>
    <row r="1338" spans="1:10" x14ac:dyDescent="0.25">
      <c r="A1338" t="s">
        <v>20</v>
      </c>
      <c r="B1338" s="1" t="str">
        <f>HYPERLINK("http://airbnb.com.ee","airbnb.com.ee")</f>
        <v>airbnb.com.ee</v>
      </c>
      <c r="C1338" t="s">
        <v>441</v>
      </c>
      <c r="D1338" t="s">
        <v>820</v>
      </c>
      <c r="F1338">
        <v>1.46775729531409E-7</v>
      </c>
      <c r="G1338">
        <v>265273</v>
      </c>
      <c r="H1338">
        <v>13212591</v>
      </c>
      <c r="I1338">
        <v>11395252</v>
      </c>
      <c r="J1338">
        <v>2</v>
      </c>
    </row>
    <row r="1339" spans="1:10" x14ac:dyDescent="0.25">
      <c r="A1339" t="s">
        <v>20</v>
      </c>
      <c r="B1339" s="1" t="str">
        <f>HYPERLINK("http://airbnb.es","airbnb.es")</f>
        <v>airbnb.es</v>
      </c>
      <c r="C1339" t="s">
        <v>443</v>
      </c>
      <c r="D1339" t="s">
        <v>822</v>
      </c>
      <c r="E1339">
        <v>32113</v>
      </c>
      <c r="F1339">
        <v>9.5470229343526598E-7</v>
      </c>
      <c r="G1339">
        <v>40079</v>
      </c>
      <c r="H1339">
        <v>15371524</v>
      </c>
      <c r="I1339">
        <v>381637</v>
      </c>
      <c r="J1339">
        <v>2</v>
      </c>
    </row>
    <row r="1340" spans="1:10" x14ac:dyDescent="0.25">
      <c r="A1340" t="s">
        <v>20</v>
      </c>
      <c r="B1340" s="1" t="str">
        <f>HYPERLINK("http://airbnb.fi","airbnb.fi")</f>
        <v>airbnb.fi</v>
      </c>
      <c r="C1340" t="s">
        <v>445</v>
      </c>
      <c r="D1340" t="s">
        <v>823</v>
      </c>
      <c r="E1340">
        <v>308614</v>
      </c>
      <c r="F1340">
        <v>2.7499917540748001E-7</v>
      </c>
      <c r="G1340">
        <v>135268</v>
      </c>
      <c r="H1340">
        <v>14535767</v>
      </c>
      <c r="I1340">
        <v>780442</v>
      </c>
      <c r="J1340">
        <v>2</v>
      </c>
    </row>
    <row r="1341" spans="1:10" x14ac:dyDescent="0.25">
      <c r="A1341" t="s">
        <v>20</v>
      </c>
      <c r="B1341" s="1" t="str">
        <f>HYPERLINK("http://airbnbeventspaces.fi","airbnbeventspaces.fi")</f>
        <v>airbnbeventspaces.fi</v>
      </c>
      <c r="C1341" t="s">
        <v>445</v>
      </c>
      <c r="D1341" t="s">
        <v>823</v>
      </c>
      <c r="J1341">
        <v>2</v>
      </c>
    </row>
    <row r="1342" spans="1:10" x14ac:dyDescent="0.25">
      <c r="A1342" t="s">
        <v>20</v>
      </c>
      <c r="B1342" s="1" t="str">
        <f>HYPERLINK("http://airbnbforwork.fi","airbnbforwork.fi")</f>
        <v>airbnbforwork.fi</v>
      </c>
      <c r="C1342" t="s">
        <v>445</v>
      </c>
      <c r="D1342" t="s">
        <v>823</v>
      </c>
      <c r="J1342">
        <v>2</v>
      </c>
    </row>
    <row r="1343" spans="1:10" x14ac:dyDescent="0.25">
      <c r="A1343" t="s">
        <v>20</v>
      </c>
      <c r="B1343" s="1" t="str">
        <f>HYPERLINK("http://airbnbspaces.fi","airbnbspaces.fi")</f>
        <v>airbnbspaces.fi</v>
      </c>
      <c r="C1343" t="s">
        <v>445</v>
      </c>
      <c r="D1343" t="s">
        <v>823</v>
      </c>
      <c r="J1343">
        <v>2</v>
      </c>
    </row>
    <row r="1344" spans="1:10" x14ac:dyDescent="0.25">
      <c r="A1344" t="s">
        <v>20</v>
      </c>
      <c r="B1344" s="1" t="str">
        <f>HYPERLINK("http://belonganywhere.fi","belonganywhere.fi")</f>
        <v>belonganywhere.fi</v>
      </c>
      <c r="C1344" t="s">
        <v>445</v>
      </c>
      <c r="D1344" t="s">
        <v>823</v>
      </c>
      <c r="J1344">
        <v>2</v>
      </c>
    </row>
    <row r="1345" spans="1:10" x14ac:dyDescent="0.25">
      <c r="A1345" t="s">
        <v>20</v>
      </c>
      <c r="B1345" s="1" t="str">
        <f>HYPERLINK("http://airbnb.fr","airbnb.fr")</f>
        <v>airbnb.fr</v>
      </c>
      <c r="C1345" t="s">
        <v>446</v>
      </c>
      <c r="D1345" t="s">
        <v>824</v>
      </c>
      <c r="E1345">
        <v>17984</v>
      </c>
      <c r="F1345">
        <v>2.5933786682808602E-6</v>
      </c>
      <c r="G1345">
        <v>14595</v>
      </c>
      <c r="H1345">
        <v>17708290</v>
      </c>
      <c r="I1345">
        <v>7135</v>
      </c>
      <c r="J1345">
        <v>2</v>
      </c>
    </row>
    <row r="1346" spans="1:10" x14ac:dyDescent="0.25">
      <c r="A1346" t="s">
        <v>20</v>
      </c>
      <c r="B1346" s="1" t="str">
        <f>HYPERLINK("http://airbnb.gr","airbnb.gr")</f>
        <v>airbnb.gr</v>
      </c>
      <c r="C1346" t="s">
        <v>447</v>
      </c>
      <c r="D1346" t="s">
        <v>825</v>
      </c>
      <c r="E1346">
        <v>110085</v>
      </c>
      <c r="F1346">
        <v>2.9044646141382402E-7</v>
      </c>
      <c r="G1346">
        <v>128115</v>
      </c>
      <c r="H1346">
        <v>14998969</v>
      </c>
      <c r="I1346">
        <v>426087</v>
      </c>
      <c r="J1346">
        <v>2</v>
      </c>
    </row>
    <row r="1347" spans="1:10" x14ac:dyDescent="0.25">
      <c r="A1347" t="s">
        <v>20</v>
      </c>
      <c r="B1347" s="1" t="str">
        <f>HYPERLINK("http://airbnb.com.gt","airbnb.com.gt")</f>
        <v>airbnb.com.gt</v>
      </c>
      <c r="C1347" t="s">
        <v>448</v>
      </c>
      <c r="D1347" t="s">
        <v>826</v>
      </c>
      <c r="E1347">
        <v>513444</v>
      </c>
      <c r="F1347">
        <v>1.14820992278113E-7</v>
      </c>
      <c r="G1347">
        <v>346721</v>
      </c>
      <c r="H1347">
        <v>13644316</v>
      </c>
      <c r="I1347">
        <v>9609062</v>
      </c>
      <c r="J1347">
        <v>2</v>
      </c>
    </row>
    <row r="1348" spans="1:10" x14ac:dyDescent="0.25">
      <c r="A1348" t="s">
        <v>20</v>
      </c>
      <c r="B1348" s="1" t="str">
        <f>HYPERLINK("http://airbnb.gy","airbnb.gy")</f>
        <v>airbnb.gy</v>
      </c>
      <c r="C1348" t="s">
        <v>593</v>
      </c>
      <c r="D1348" t="s">
        <v>928</v>
      </c>
      <c r="E1348">
        <v>670234</v>
      </c>
      <c r="F1348">
        <v>1.12565933017041E-7</v>
      </c>
      <c r="G1348">
        <v>354736</v>
      </c>
      <c r="H1348">
        <v>13981217</v>
      </c>
      <c r="I1348">
        <v>4048799</v>
      </c>
      <c r="J1348">
        <v>2</v>
      </c>
    </row>
    <row r="1349" spans="1:10" x14ac:dyDescent="0.25">
      <c r="A1349" t="s">
        <v>20</v>
      </c>
      <c r="B1349" s="1" t="str">
        <f>HYPERLINK("http://airbnb.com.hk","airbnb.com.hk")</f>
        <v>airbnb.com.hk</v>
      </c>
      <c r="C1349" t="s">
        <v>450</v>
      </c>
      <c r="D1349" t="s">
        <v>827</v>
      </c>
      <c r="E1349">
        <v>202742</v>
      </c>
      <c r="F1349">
        <v>1.6481560133105099E-7</v>
      </c>
      <c r="G1349">
        <v>235556</v>
      </c>
      <c r="H1349">
        <v>14784450</v>
      </c>
      <c r="I1349">
        <v>553017</v>
      </c>
      <c r="J1349">
        <v>2</v>
      </c>
    </row>
    <row r="1350" spans="1:10" x14ac:dyDescent="0.25">
      <c r="A1350" t="s">
        <v>20</v>
      </c>
      <c r="B1350" s="1" t="str">
        <f>HYPERLINK("http://airbnb.com.hn","airbnb.com.hn")</f>
        <v>airbnb.com.hn</v>
      </c>
      <c r="C1350" t="s">
        <v>451</v>
      </c>
      <c r="D1350" t="s">
        <v>828</v>
      </c>
      <c r="F1350">
        <v>1.17720882211173E-7</v>
      </c>
      <c r="G1350">
        <v>337438</v>
      </c>
      <c r="H1350">
        <v>13319371</v>
      </c>
      <c r="I1350">
        <v>10749990</v>
      </c>
      <c r="J1350">
        <v>2</v>
      </c>
    </row>
    <row r="1351" spans="1:10" x14ac:dyDescent="0.25">
      <c r="A1351" t="s">
        <v>20</v>
      </c>
      <c r="B1351" s="1" t="str">
        <f>HYPERLINK("http://airbnb.hu","airbnb.hu")</f>
        <v>airbnb.hu</v>
      </c>
      <c r="C1351" t="s">
        <v>453</v>
      </c>
      <c r="D1351" t="s">
        <v>830</v>
      </c>
      <c r="E1351">
        <v>357131</v>
      </c>
      <c r="F1351">
        <v>1.8085285926976499E-7</v>
      </c>
      <c r="G1351">
        <v>213613</v>
      </c>
      <c r="H1351">
        <v>15165323</v>
      </c>
      <c r="I1351">
        <v>398629</v>
      </c>
      <c r="J1351">
        <v>2</v>
      </c>
    </row>
    <row r="1352" spans="1:10" x14ac:dyDescent="0.25">
      <c r="A1352" t="s">
        <v>20</v>
      </c>
      <c r="B1352" s="1" t="str">
        <f>HYPERLINK("http://airbnb.co.id","airbnb.co.id")</f>
        <v>airbnb.co.id</v>
      </c>
      <c r="C1352" t="s">
        <v>454</v>
      </c>
      <c r="D1352" t="s">
        <v>831</v>
      </c>
      <c r="E1352">
        <v>506968</v>
      </c>
      <c r="F1352">
        <v>3.7006171742871599E-7</v>
      </c>
      <c r="G1352">
        <v>101162</v>
      </c>
      <c r="H1352">
        <v>14361950</v>
      </c>
      <c r="I1352">
        <v>1303709</v>
      </c>
      <c r="J1352">
        <v>2</v>
      </c>
    </row>
    <row r="1353" spans="1:10" x14ac:dyDescent="0.25">
      <c r="A1353" t="s">
        <v>20</v>
      </c>
      <c r="B1353" s="1" t="str">
        <f>HYPERLINK("http://airbnb.ie","airbnb.ie")</f>
        <v>airbnb.ie</v>
      </c>
      <c r="C1353" t="s">
        <v>455</v>
      </c>
      <c r="D1353" t="s">
        <v>832</v>
      </c>
      <c r="E1353">
        <v>90459</v>
      </c>
      <c r="F1353">
        <v>4.2516059263055299E-7</v>
      </c>
      <c r="G1353">
        <v>88588</v>
      </c>
      <c r="H1353">
        <v>15184401</v>
      </c>
      <c r="I1353">
        <v>396912</v>
      </c>
      <c r="J1353">
        <v>2</v>
      </c>
    </row>
    <row r="1354" spans="1:10" x14ac:dyDescent="0.25">
      <c r="A1354" t="s">
        <v>20</v>
      </c>
      <c r="B1354" s="1" t="str">
        <f>HYPERLINK("http://airbnb.co.in","airbnb.co.in")</f>
        <v>airbnb.co.in</v>
      </c>
      <c r="C1354" t="s">
        <v>457</v>
      </c>
      <c r="D1354" t="s">
        <v>834</v>
      </c>
      <c r="E1354">
        <v>20233</v>
      </c>
      <c r="F1354">
        <v>6.2547040132613699E-7</v>
      </c>
      <c r="G1354">
        <v>61279</v>
      </c>
      <c r="H1354">
        <v>14643446</v>
      </c>
      <c r="I1354">
        <v>634749</v>
      </c>
      <c r="J1354">
        <v>1</v>
      </c>
    </row>
    <row r="1355" spans="1:10" x14ac:dyDescent="0.25">
      <c r="A1355" t="s">
        <v>20</v>
      </c>
      <c r="B1355" s="1" t="str">
        <f>HYPERLINK("http://airbnb.io","airbnb.io")</f>
        <v>airbnb.io</v>
      </c>
      <c r="C1355" t="s">
        <v>518</v>
      </c>
      <c r="E1355">
        <v>161489</v>
      </c>
      <c r="F1355">
        <v>2.6210284334775098E-6</v>
      </c>
      <c r="G1355">
        <v>14466</v>
      </c>
      <c r="H1355">
        <v>16324653</v>
      </c>
      <c r="I1355">
        <v>365216</v>
      </c>
      <c r="J1355">
        <v>3</v>
      </c>
    </row>
    <row r="1356" spans="1:10" x14ac:dyDescent="0.25">
      <c r="A1356" t="s">
        <v>20</v>
      </c>
      <c r="B1356" s="1" t="str">
        <f>HYPERLINK("http://airbnb.is","airbnb.is")</f>
        <v>airbnb.is</v>
      </c>
      <c r="C1356" t="s">
        <v>594</v>
      </c>
      <c r="D1356" t="s">
        <v>929</v>
      </c>
      <c r="E1356">
        <v>753757</v>
      </c>
      <c r="F1356">
        <v>1.2613039329130599E-7</v>
      </c>
      <c r="G1356">
        <v>312710</v>
      </c>
      <c r="H1356">
        <v>14051809</v>
      </c>
      <c r="I1356">
        <v>3893600</v>
      </c>
      <c r="J1356">
        <v>2</v>
      </c>
    </row>
    <row r="1357" spans="1:10" x14ac:dyDescent="0.25">
      <c r="A1357" t="s">
        <v>20</v>
      </c>
      <c r="B1357" s="1" t="str">
        <f>HYPERLINK("http://airbnb.it","airbnb.it")</f>
        <v>airbnb.it</v>
      </c>
      <c r="C1357" t="s">
        <v>459</v>
      </c>
      <c r="D1357" t="s">
        <v>835</v>
      </c>
      <c r="E1357">
        <v>36619</v>
      </c>
      <c r="F1357">
        <v>1.40575975595996E-6</v>
      </c>
      <c r="G1357">
        <v>27820</v>
      </c>
      <c r="H1357">
        <v>17730468</v>
      </c>
      <c r="I1357">
        <v>6730</v>
      </c>
      <c r="J1357">
        <v>2</v>
      </c>
    </row>
    <row r="1358" spans="1:10" x14ac:dyDescent="0.25">
      <c r="A1358" t="s">
        <v>20</v>
      </c>
      <c r="B1358" s="1" t="str">
        <f>HYPERLINK("http://airbnb.jp","airbnb.jp")</f>
        <v>airbnb.jp</v>
      </c>
      <c r="C1358" t="s">
        <v>461</v>
      </c>
      <c r="D1358" t="s">
        <v>837</v>
      </c>
      <c r="E1358">
        <v>81361</v>
      </c>
      <c r="F1358">
        <v>1.3012462449541701E-6</v>
      </c>
      <c r="G1358">
        <v>29850</v>
      </c>
      <c r="H1358">
        <v>17613988</v>
      </c>
      <c r="I1358">
        <v>9269</v>
      </c>
      <c r="J1358">
        <v>2</v>
      </c>
    </row>
    <row r="1359" spans="1:10" x14ac:dyDescent="0.25">
      <c r="A1359" t="s">
        <v>20</v>
      </c>
      <c r="B1359" s="1" t="str">
        <f>HYPERLINK("http://airbnb.co.kr","airbnb.co.kr")</f>
        <v>airbnb.co.kr</v>
      </c>
      <c r="C1359" t="s">
        <v>463</v>
      </c>
      <c r="D1359" t="s">
        <v>839</v>
      </c>
      <c r="E1359">
        <v>92876</v>
      </c>
      <c r="F1359">
        <v>2.77209929180119E-7</v>
      </c>
      <c r="G1359">
        <v>134185</v>
      </c>
      <c r="H1359">
        <v>14572608</v>
      </c>
      <c r="I1359">
        <v>733280</v>
      </c>
      <c r="J1359">
        <v>2</v>
      </c>
    </row>
    <row r="1360" spans="1:10" x14ac:dyDescent="0.25">
      <c r="A1360" t="s">
        <v>20</v>
      </c>
      <c r="B1360" s="1" t="str">
        <f>HYPERLINK("http://airbnb.lt","airbnb.lt")</f>
        <v>airbnb.lt</v>
      </c>
      <c r="C1360" t="s">
        <v>467</v>
      </c>
      <c r="D1360" t="s">
        <v>843</v>
      </c>
      <c r="F1360">
        <v>1.30741356963606E-7</v>
      </c>
      <c r="G1360">
        <v>299274</v>
      </c>
      <c r="H1360">
        <v>13334059</v>
      </c>
      <c r="I1360">
        <v>10699326</v>
      </c>
      <c r="J1360">
        <v>2</v>
      </c>
    </row>
    <row r="1361" spans="1:10" x14ac:dyDescent="0.25">
      <c r="A1361" t="s">
        <v>20</v>
      </c>
      <c r="B1361" s="1" t="str">
        <f>HYPERLINK("http://airbnb.lv","airbnb.lv")</f>
        <v>airbnb.lv</v>
      </c>
      <c r="C1361" t="s">
        <v>468</v>
      </c>
      <c r="D1361" t="s">
        <v>844</v>
      </c>
      <c r="F1361">
        <v>1.26923123218204E-7</v>
      </c>
      <c r="G1361">
        <v>310704</v>
      </c>
      <c r="H1361">
        <v>13337540</v>
      </c>
      <c r="I1361">
        <v>10678888</v>
      </c>
      <c r="J1361">
        <v>2</v>
      </c>
    </row>
    <row r="1362" spans="1:10" x14ac:dyDescent="0.25">
      <c r="A1362" t="s">
        <v>20</v>
      </c>
      <c r="B1362" s="1" t="str">
        <f>HYPERLINK("http://airbnb.me","airbnb.me")</f>
        <v>airbnb.me</v>
      </c>
      <c r="C1362" t="s">
        <v>470</v>
      </c>
      <c r="D1362" t="s">
        <v>846</v>
      </c>
      <c r="F1362">
        <v>1.10599781835569E-7</v>
      </c>
      <c r="G1362">
        <v>361588</v>
      </c>
      <c r="H1362">
        <v>13110738</v>
      </c>
      <c r="I1362">
        <v>12033909</v>
      </c>
      <c r="J1362">
        <v>2</v>
      </c>
    </row>
    <row r="1363" spans="1:10" x14ac:dyDescent="0.25">
      <c r="A1363" t="s">
        <v>20</v>
      </c>
      <c r="B1363" s="1" t="str">
        <f>HYPERLINK("http://airbnb.com.mt","airbnb.com.mt")</f>
        <v>airbnb.com.mt</v>
      </c>
      <c r="C1363" t="s">
        <v>597</v>
      </c>
      <c r="D1363" t="s">
        <v>932</v>
      </c>
      <c r="E1363">
        <v>248600</v>
      </c>
      <c r="F1363">
        <v>1.4561993466647099E-7</v>
      </c>
      <c r="G1363">
        <v>267328</v>
      </c>
      <c r="H1363">
        <v>14237828</v>
      </c>
      <c r="I1363">
        <v>1539614</v>
      </c>
      <c r="J1363">
        <v>2</v>
      </c>
    </row>
    <row r="1364" spans="1:10" x14ac:dyDescent="0.25">
      <c r="A1364" t="s">
        <v>20</v>
      </c>
      <c r="B1364" s="1" t="str">
        <f>HYPERLINK("http://airbnb.mx","airbnb.mx")</f>
        <v>airbnb.mx</v>
      </c>
      <c r="C1364" t="s">
        <v>471</v>
      </c>
      <c r="D1364" t="s">
        <v>847</v>
      </c>
      <c r="E1364">
        <v>39700</v>
      </c>
      <c r="F1364">
        <v>3.4386091281213898E-7</v>
      </c>
      <c r="G1364">
        <v>108593</v>
      </c>
      <c r="H1364">
        <v>14827884</v>
      </c>
      <c r="I1364">
        <v>508420</v>
      </c>
      <c r="J1364">
        <v>2</v>
      </c>
    </row>
    <row r="1365" spans="1:10" x14ac:dyDescent="0.25">
      <c r="A1365" t="s">
        <v>20</v>
      </c>
      <c r="B1365" s="1" t="str">
        <f>HYPERLINK("http://airbnb.com.my","airbnb.com.my")</f>
        <v>airbnb.com.my</v>
      </c>
      <c r="C1365" t="s">
        <v>472</v>
      </c>
      <c r="D1365" t="s">
        <v>848</v>
      </c>
      <c r="E1365">
        <v>446965</v>
      </c>
      <c r="F1365">
        <v>1.23140849079969E-7</v>
      </c>
      <c r="G1365">
        <v>320497</v>
      </c>
      <c r="H1365">
        <v>13808355</v>
      </c>
      <c r="I1365">
        <v>6222335</v>
      </c>
      <c r="J1365">
        <v>2</v>
      </c>
    </row>
    <row r="1366" spans="1:10" x14ac:dyDescent="0.25">
      <c r="A1366" t="s">
        <v>20</v>
      </c>
      <c r="B1366" s="1" t="str">
        <f>HYPERLINK("http://ilha10.net","ilha10.net")</f>
        <v>ilha10.net</v>
      </c>
      <c r="C1366" t="s">
        <v>474</v>
      </c>
      <c r="F1366">
        <v>4.5541011484846396E-9</v>
      </c>
      <c r="G1366">
        <v>51762133</v>
      </c>
      <c r="H1366">
        <v>10603809</v>
      </c>
      <c r="I1366">
        <v>44755197</v>
      </c>
      <c r="J1366">
        <v>4</v>
      </c>
    </row>
    <row r="1367" spans="1:10" x14ac:dyDescent="0.25">
      <c r="A1367" t="s">
        <v>20</v>
      </c>
      <c r="B1367" s="1" t="str">
        <f>HYPERLINK("http://nordstrasse.net","nordstrasse.net")</f>
        <v>nordstrasse.net</v>
      </c>
      <c r="C1367" t="s">
        <v>474</v>
      </c>
      <c r="J1367">
        <v>4</v>
      </c>
    </row>
    <row r="1368" spans="1:10" x14ac:dyDescent="0.25">
      <c r="A1368" t="s">
        <v>20</v>
      </c>
      <c r="B1368" s="1" t="str">
        <f>HYPERLINK("http://airbnb.com.ni","airbnb.com.ni")</f>
        <v>airbnb.com.ni</v>
      </c>
      <c r="C1368" t="s">
        <v>476</v>
      </c>
      <c r="D1368" t="s">
        <v>851</v>
      </c>
      <c r="F1368">
        <v>1.1023964216514501E-7</v>
      </c>
      <c r="G1368">
        <v>362768</v>
      </c>
      <c r="H1368">
        <v>13106060</v>
      </c>
      <c r="I1368">
        <v>12065748</v>
      </c>
      <c r="J1368">
        <v>2</v>
      </c>
    </row>
    <row r="1369" spans="1:10" x14ac:dyDescent="0.25">
      <c r="A1369" t="s">
        <v>20</v>
      </c>
      <c r="B1369" s="1" t="str">
        <f>HYPERLINK("http://airbnb.nl","airbnb.nl")</f>
        <v>airbnb.nl</v>
      </c>
      <c r="C1369" t="s">
        <v>477</v>
      </c>
      <c r="D1369" t="s">
        <v>852</v>
      </c>
      <c r="E1369">
        <v>69892</v>
      </c>
      <c r="F1369">
        <v>8.6216769373453998E-7</v>
      </c>
      <c r="G1369">
        <v>46331</v>
      </c>
      <c r="H1369">
        <v>15604441</v>
      </c>
      <c r="I1369">
        <v>372446</v>
      </c>
      <c r="J1369">
        <v>2</v>
      </c>
    </row>
    <row r="1370" spans="1:10" x14ac:dyDescent="0.25">
      <c r="A1370" t="s">
        <v>20</v>
      </c>
      <c r="B1370" s="1" t="str">
        <f>HYPERLINK("http://airbnb.no","airbnb.no")</f>
        <v>airbnb.no</v>
      </c>
      <c r="C1370" t="s">
        <v>478</v>
      </c>
      <c r="D1370" t="s">
        <v>853</v>
      </c>
      <c r="E1370">
        <v>208098</v>
      </c>
      <c r="F1370">
        <v>3.1286296428520898E-7</v>
      </c>
      <c r="G1370">
        <v>118848</v>
      </c>
      <c r="H1370">
        <v>15006378</v>
      </c>
      <c r="I1370">
        <v>424242</v>
      </c>
      <c r="J1370">
        <v>2</v>
      </c>
    </row>
    <row r="1371" spans="1:10" x14ac:dyDescent="0.25">
      <c r="A1371" t="s">
        <v>20</v>
      </c>
      <c r="B1371" s="1" t="str">
        <f>HYPERLINK("http://airbnb.co.nz","airbnb.co.nz")</f>
        <v>airbnb.co.nz</v>
      </c>
      <c r="C1371" t="s">
        <v>479</v>
      </c>
      <c r="D1371" t="s">
        <v>854</v>
      </c>
      <c r="E1371">
        <v>85246</v>
      </c>
      <c r="F1371">
        <v>2.5905621186878101E-7</v>
      </c>
      <c r="G1371">
        <v>144381</v>
      </c>
      <c r="H1371">
        <v>14431596</v>
      </c>
      <c r="I1371">
        <v>1072925</v>
      </c>
      <c r="J1371">
        <v>2</v>
      </c>
    </row>
    <row r="1372" spans="1:10" x14ac:dyDescent="0.25">
      <c r="A1372" t="s">
        <v>20</v>
      </c>
      <c r="B1372" s="1" t="str">
        <f>HYPERLINK("http://airbnb.org","airbnb.org")</f>
        <v>airbnb.org</v>
      </c>
      <c r="C1372" t="s">
        <v>481</v>
      </c>
      <c r="E1372">
        <v>119230</v>
      </c>
      <c r="F1372">
        <v>6.6170670783434104E-7</v>
      </c>
      <c r="G1372">
        <v>58186</v>
      </c>
      <c r="H1372">
        <v>17145940</v>
      </c>
      <c r="I1372">
        <v>53061</v>
      </c>
      <c r="J1372">
        <v>2</v>
      </c>
    </row>
    <row r="1373" spans="1:10" x14ac:dyDescent="0.25">
      <c r="A1373" t="s">
        <v>20</v>
      </c>
      <c r="B1373" s="1" t="str">
        <f>HYPERLINK("http://airbnb.com.pa","airbnb.com.pa")</f>
        <v>airbnb.com.pa</v>
      </c>
      <c r="C1373" t="s">
        <v>482</v>
      </c>
      <c r="D1373" t="s">
        <v>856</v>
      </c>
      <c r="E1373">
        <v>953609</v>
      </c>
      <c r="F1373">
        <v>1.11384147614835E-7</v>
      </c>
      <c r="G1373">
        <v>358868</v>
      </c>
      <c r="H1373">
        <v>13104728</v>
      </c>
      <c r="I1373">
        <v>12071718</v>
      </c>
      <c r="J1373">
        <v>2</v>
      </c>
    </row>
    <row r="1374" spans="1:10" x14ac:dyDescent="0.25">
      <c r="A1374" t="s">
        <v>20</v>
      </c>
      <c r="B1374" s="1" t="str">
        <f>HYPERLINK("http://airbnb.com.pe","airbnb.com.pe")</f>
        <v>airbnb.com.pe</v>
      </c>
      <c r="C1374" t="s">
        <v>483</v>
      </c>
      <c r="D1374" t="s">
        <v>857</v>
      </c>
      <c r="E1374">
        <v>176938</v>
      </c>
      <c r="F1374">
        <v>1.20566024657001E-7</v>
      </c>
      <c r="G1374">
        <v>327722</v>
      </c>
      <c r="H1374">
        <v>13735362</v>
      </c>
      <c r="I1374">
        <v>9454174</v>
      </c>
      <c r="J1374">
        <v>2</v>
      </c>
    </row>
    <row r="1375" spans="1:10" x14ac:dyDescent="0.25">
      <c r="A1375" t="s">
        <v>20</v>
      </c>
      <c r="B1375" s="1" t="str">
        <f>HYPERLINK("http://airbnb.com.ph","airbnb.com.ph")</f>
        <v>airbnb.com.ph</v>
      </c>
      <c r="C1375" t="s">
        <v>484</v>
      </c>
      <c r="D1375" t="s">
        <v>858</v>
      </c>
      <c r="F1375">
        <v>1.1921928723236299E-7</v>
      </c>
      <c r="G1375">
        <v>331801</v>
      </c>
      <c r="H1375">
        <v>13807455</v>
      </c>
      <c r="I1375">
        <v>6226331</v>
      </c>
      <c r="J1375">
        <v>2</v>
      </c>
    </row>
    <row r="1376" spans="1:10" x14ac:dyDescent="0.25">
      <c r="A1376" t="s">
        <v>20</v>
      </c>
      <c r="B1376" s="1" t="str">
        <f>HYPERLINK("http://airbnb.pl","airbnb.pl")</f>
        <v>airbnb.pl</v>
      </c>
      <c r="C1376" t="s">
        <v>486</v>
      </c>
      <c r="D1376" t="s">
        <v>860</v>
      </c>
      <c r="E1376">
        <v>126074</v>
      </c>
      <c r="F1376">
        <v>3.31712005540292E-7</v>
      </c>
      <c r="G1376">
        <v>112348</v>
      </c>
      <c r="H1376">
        <v>14401542</v>
      </c>
      <c r="I1376">
        <v>1153055</v>
      </c>
      <c r="J1376">
        <v>2</v>
      </c>
    </row>
    <row r="1377" spans="1:10" x14ac:dyDescent="0.25">
      <c r="A1377" t="s">
        <v>20</v>
      </c>
      <c r="B1377" s="1" t="str">
        <f>HYPERLINK("http://airbnb.pt","airbnb.pt")</f>
        <v>airbnb.pt</v>
      </c>
      <c r="C1377" t="s">
        <v>488</v>
      </c>
      <c r="D1377" t="s">
        <v>862</v>
      </c>
      <c r="E1377">
        <v>150610</v>
      </c>
      <c r="F1377">
        <v>3.0456802934410801E-7</v>
      </c>
      <c r="G1377">
        <v>122053</v>
      </c>
      <c r="H1377">
        <v>14664756</v>
      </c>
      <c r="I1377">
        <v>617776</v>
      </c>
      <c r="J1377">
        <v>2</v>
      </c>
    </row>
    <row r="1378" spans="1:10" x14ac:dyDescent="0.25">
      <c r="A1378" t="s">
        <v>20</v>
      </c>
      <c r="B1378" s="1" t="str">
        <f>HYPERLINK("http://airbnb.com.py","airbnb.com.py")</f>
        <v>airbnb.com.py</v>
      </c>
      <c r="C1378" t="s">
        <v>489</v>
      </c>
      <c r="D1378" t="s">
        <v>863</v>
      </c>
      <c r="F1378">
        <v>1.1121749616279E-7</v>
      </c>
      <c r="G1378">
        <v>359414</v>
      </c>
      <c r="H1378">
        <v>13644813</v>
      </c>
      <c r="I1378">
        <v>9608792</v>
      </c>
      <c r="J1378">
        <v>2</v>
      </c>
    </row>
    <row r="1379" spans="1:10" x14ac:dyDescent="0.25">
      <c r="A1379" t="s">
        <v>20</v>
      </c>
      <c r="B1379" s="1" t="str">
        <f>HYPERLINK("http://airbnb.com.ro","airbnb.com.ro")</f>
        <v>airbnb.com.ro</v>
      </c>
      <c r="C1379" t="s">
        <v>491</v>
      </c>
      <c r="D1379" t="s">
        <v>865</v>
      </c>
      <c r="E1379">
        <v>406098</v>
      </c>
      <c r="F1379">
        <v>1.3050394382297501E-7</v>
      </c>
      <c r="G1379">
        <v>299871</v>
      </c>
      <c r="H1379">
        <v>13119165</v>
      </c>
      <c r="I1379">
        <v>11996845</v>
      </c>
      <c r="J1379">
        <v>2</v>
      </c>
    </row>
    <row r="1380" spans="1:10" x14ac:dyDescent="0.25">
      <c r="A1380" t="s">
        <v>20</v>
      </c>
      <c r="B1380" s="1" t="str">
        <f>HYPERLINK("http://airbnb.rs","airbnb.rs")</f>
        <v>airbnb.rs</v>
      </c>
      <c r="C1380" t="s">
        <v>492</v>
      </c>
      <c r="D1380" t="s">
        <v>866</v>
      </c>
      <c r="F1380">
        <v>1.3182657453160801E-7</v>
      </c>
      <c r="G1380">
        <v>296501</v>
      </c>
      <c r="H1380">
        <v>13117211</v>
      </c>
      <c r="I1380">
        <v>12004238</v>
      </c>
      <c r="J1380">
        <v>2</v>
      </c>
    </row>
    <row r="1381" spans="1:10" x14ac:dyDescent="0.25">
      <c r="A1381" t="s">
        <v>20</v>
      </c>
      <c r="B1381" s="1" t="str">
        <f>HYPERLINK("http://airbnb.ru","airbnb.ru")</f>
        <v>airbnb.ru</v>
      </c>
      <c r="C1381" t="s">
        <v>493</v>
      </c>
      <c r="D1381" t="s">
        <v>867</v>
      </c>
      <c r="E1381">
        <v>57040</v>
      </c>
      <c r="F1381">
        <v>5.6447502083044399E-7</v>
      </c>
      <c r="G1381">
        <v>67872</v>
      </c>
      <c r="H1381">
        <v>15114176</v>
      </c>
      <c r="I1381">
        <v>404569</v>
      </c>
      <c r="J1381">
        <v>2</v>
      </c>
    </row>
    <row r="1382" spans="1:10" x14ac:dyDescent="0.25">
      <c r="A1382" t="s">
        <v>20</v>
      </c>
      <c r="B1382" s="1" t="str">
        <f>HYPERLINK("http://airbnb.se","airbnb.se")</f>
        <v>airbnb.se</v>
      </c>
      <c r="C1382" t="s">
        <v>495</v>
      </c>
      <c r="D1382" t="s">
        <v>869</v>
      </c>
      <c r="E1382">
        <v>194387</v>
      </c>
      <c r="F1382">
        <v>3.46972083816848E-7</v>
      </c>
      <c r="G1382">
        <v>107673</v>
      </c>
      <c r="H1382">
        <v>15319354</v>
      </c>
      <c r="I1382">
        <v>384691</v>
      </c>
      <c r="J1382">
        <v>2</v>
      </c>
    </row>
    <row r="1383" spans="1:10" x14ac:dyDescent="0.25">
      <c r="A1383" t="s">
        <v>20</v>
      </c>
      <c r="B1383" s="1" t="str">
        <f>HYPERLINK("http://airbnb.com.sg","airbnb.com.sg")</f>
        <v>airbnb.com.sg</v>
      </c>
      <c r="C1383" t="s">
        <v>496</v>
      </c>
      <c r="D1383" t="s">
        <v>870</v>
      </c>
      <c r="E1383">
        <v>76320</v>
      </c>
      <c r="F1383">
        <v>2.5541093295653999E-7</v>
      </c>
      <c r="G1383">
        <v>146457</v>
      </c>
      <c r="H1383">
        <v>14438510</v>
      </c>
      <c r="I1383">
        <v>1066133</v>
      </c>
      <c r="J1383">
        <v>2</v>
      </c>
    </row>
    <row r="1384" spans="1:10" x14ac:dyDescent="0.25">
      <c r="A1384" t="s">
        <v>20</v>
      </c>
      <c r="B1384" s="1" t="str">
        <f>HYPERLINK("http://airbnb.si","airbnb.si")</f>
        <v>airbnb.si</v>
      </c>
      <c r="C1384" t="s">
        <v>497</v>
      </c>
      <c r="D1384" t="s">
        <v>871</v>
      </c>
      <c r="F1384">
        <v>1.34340444749186E-7</v>
      </c>
      <c r="G1384">
        <v>290627</v>
      </c>
      <c r="H1384">
        <v>13974311</v>
      </c>
      <c r="I1384">
        <v>4065111</v>
      </c>
      <c r="J1384">
        <v>2</v>
      </c>
    </row>
    <row r="1385" spans="1:10" x14ac:dyDescent="0.25">
      <c r="A1385" t="s">
        <v>20</v>
      </c>
      <c r="B1385" s="1" t="str">
        <f>HYPERLINK("http://airbnb.com.sv","airbnb.com.sv")</f>
        <v>airbnb.com.sv</v>
      </c>
      <c r="C1385" t="s">
        <v>499</v>
      </c>
      <c r="D1385" t="s">
        <v>873</v>
      </c>
      <c r="F1385">
        <v>1.11726653460355E-7</v>
      </c>
      <c r="G1385">
        <v>357626</v>
      </c>
      <c r="H1385">
        <v>13643988</v>
      </c>
      <c r="I1385">
        <v>9609242</v>
      </c>
      <c r="J1385">
        <v>2</v>
      </c>
    </row>
    <row r="1386" spans="1:10" x14ac:dyDescent="0.25">
      <c r="A1386" t="s">
        <v>20</v>
      </c>
      <c r="B1386" s="1" t="str">
        <f>HYPERLINK("http://airbnb.com.tr","airbnb.com.tr")</f>
        <v>airbnb.com.tr</v>
      </c>
      <c r="C1386" t="s">
        <v>502</v>
      </c>
      <c r="D1386" t="s">
        <v>876</v>
      </c>
      <c r="E1386">
        <v>97860</v>
      </c>
      <c r="F1386">
        <v>2.22343618240535E-7</v>
      </c>
      <c r="G1386">
        <v>169523</v>
      </c>
      <c r="H1386">
        <v>14588433</v>
      </c>
      <c r="I1386">
        <v>697974</v>
      </c>
      <c r="J1386">
        <v>2</v>
      </c>
    </row>
    <row r="1387" spans="1:10" x14ac:dyDescent="0.25">
      <c r="A1387" t="s">
        <v>20</v>
      </c>
      <c r="B1387" s="1" t="str">
        <f>HYPERLINK("http://airbnb.com.tw","airbnb.com.tw")</f>
        <v>airbnb.com.tw</v>
      </c>
      <c r="C1387" t="s">
        <v>504</v>
      </c>
      <c r="D1387" t="s">
        <v>878</v>
      </c>
      <c r="E1387">
        <v>109331</v>
      </c>
      <c r="F1387">
        <v>6.9735928819895904E-7</v>
      </c>
      <c r="G1387">
        <v>55404</v>
      </c>
      <c r="H1387">
        <v>14972671</v>
      </c>
      <c r="I1387">
        <v>433205</v>
      </c>
      <c r="J1387">
        <v>2</v>
      </c>
    </row>
    <row r="1388" spans="1:10" x14ac:dyDescent="0.25">
      <c r="A1388" t="s">
        <v>20</v>
      </c>
      <c r="B1388" s="1" t="str">
        <f>HYPERLINK("http://airbnb.com.ua","airbnb.com.ua")</f>
        <v>airbnb.com.ua</v>
      </c>
      <c r="C1388" t="s">
        <v>505</v>
      </c>
      <c r="D1388" t="s">
        <v>879</v>
      </c>
      <c r="E1388">
        <v>550846</v>
      </c>
      <c r="F1388">
        <v>1.34733506029891E-7</v>
      </c>
      <c r="G1388">
        <v>289710</v>
      </c>
      <c r="H1388">
        <v>13364731</v>
      </c>
      <c r="I1388">
        <v>10490232</v>
      </c>
      <c r="J1388">
        <v>2</v>
      </c>
    </row>
    <row r="1389" spans="1:10" x14ac:dyDescent="0.25">
      <c r="A1389" t="s">
        <v>20</v>
      </c>
      <c r="B1389" s="1" t="str">
        <f>HYPERLINK("http://airbnb.co.uk","airbnb.co.uk")</f>
        <v>airbnb.co.uk</v>
      </c>
      <c r="C1389" t="s">
        <v>506</v>
      </c>
      <c r="D1389" t="s">
        <v>880</v>
      </c>
      <c r="E1389">
        <v>8566</v>
      </c>
      <c r="F1389">
        <v>6.5763767439579496E-6</v>
      </c>
      <c r="G1389">
        <v>5151</v>
      </c>
      <c r="H1389">
        <v>18688202</v>
      </c>
      <c r="I1389">
        <v>1041</v>
      </c>
      <c r="J1389">
        <v>2</v>
      </c>
    </row>
    <row r="1390" spans="1:10" x14ac:dyDescent="0.25">
      <c r="A1390" t="s">
        <v>20</v>
      </c>
      <c r="B1390" s="1" t="str">
        <f>HYPERLINK("http://castlegateway.co.uk","castlegateway.co.uk")</f>
        <v>castlegateway.co.uk</v>
      </c>
      <c r="C1390" t="s">
        <v>506</v>
      </c>
      <c r="D1390" t="s">
        <v>880</v>
      </c>
      <c r="J1390">
        <v>4</v>
      </c>
    </row>
    <row r="1391" spans="1:10" x14ac:dyDescent="0.25">
      <c r="A1391" t="s">
        <v>20</v>
      </c>
      <c r="B1391" s="1" t="str">
        <f>HYPERLINK("http://airbnb.co.ve","airbnb.co.ve")</f>
        <v>airbnb.co.ve</v>
      </c>
      <c r="C1391" t="s">
        <v>508</v>
      </c>
      <c r="D1391" t="s">
        <v>882</v>
      </c>
      <c r="F1391">
        <v>1.2120917366313699E-7</v>
      </c>
      <c r="G1391">
        <v>325859</v>
      </c>
      <c r="H1391">
        <v>13323940</v>
      </c>
      <c r="I1391">
        <v>10735986</v>
      </c>
      <c r="J1391">
        <v>2</v>
      </c>
    </row>
    <row r="1392" spans="1:10" x14ac:dyDescent="0.25">
      <c r="A1392" t="s">
        <v>20</v>
      </c>
      <c r="B1392" s="1" t="str">
        <f>HYPERLINK("http://airbnb.com.vn","airbnb.com.vn")</f>
        <v>airbnb.com.vn</v>
      </c>
      <c r="C1392" t="s">
        <v>509</v>
      </c>
      <c r="D1392" t="s">
        <v>883</v>
      </c>
      <c r="E1392">
        <v>364542</v>
      </c>
      <c r="F1392">
        <v>2.1579048917765399E-7</v>
      </c>
      <c r="G1392">
        <v>174819</v>
      </c>
      <c r="H1392">
        <v>14685460</v>
      </c>
      <c r="I1392">
        <v>605300</v>
      </c>
      <c r="J1392">
        <v>2</v>
      </c>
    </row>
    <row r="1393" spans="1:10" x14ac:dyDescent="0.25">
      <c r="A1393" t="s">
        <v>20</v>
      </c>
      <c r="B1393" s="1" t="str">
        <f>HYPERLINK("http://airbnb.co.za","airbnb.co.za")</f>
        <v>airbnb.co.za</v>
      </c>
      <c r="C1393" t="s">
        <v>510</v>
      </c>
      <c r="D1393" t="s">
        <v>884</v>
      </c>
      <c r="E1393">
        <v>106987</v>
      </c>
      <c r="F1393">
        <v>1.94748296330314E-7</v>
      </c>
      <c r="G1393">
        <v>197969</v>
      </c>
      <c r="H1393">
        <v>14129645</v>
      </c>
      <c r="I1393">
        <v>2042859</v>
      </c>
      <c r="J1393">
        <v>2</v>
      </c>
    </row>
    <row r="1394" spans="1:10" x14ac:dyDescent="0.25">
      <c r="A1394" t="s">
        <v>21</v>
      </c>
      <c r="B1394" s="1" t="str">
        <f>HYPERLINK("http://efw.aero","efw.aero")</f>
        <v>efw.aero</v>
      </c>
      <c r="C1394" t="s">
        <v>601</v>
      </c>
      <c r="F1394">
        <v>1.27615899604375E-8</v>
      </c>
      <c r="G1394">
        <v>4748656</v>
      </c>
      <c r="H1394">
        <v>12511441</v>
      </c>
      <c r="I1394">
        <v>17232908</v>
      </c>
      <c r="J1394">
        <v>3</v>
      </c>
    </row>
    <row r="1395" spans="1:10" x14ac:dyDescent="0.25">
      <c r="A1395" t="s">
        <v>21</v>
      </c>
      <c r="B1395" s="1" t="str">
        <f>HYPERLINK("http://airbushelicopters.asia","airbushelicopters.asia")</f>
        <v>airbushelicopters.asia</v>
      </c>
      <c r="C1395" t="s">
        <v>525</v>
      </c>
      <c r="F1395">
        <v>2.45951623869773E-8</v>
      </c>
      <c r="G1395">
        <v>2105840</v>
      </c>
      <c r="H1395">
        <v>13766665</v>
      </c>
      <c r="I1395">
        <v>6984013</v>
      </c>
      <c r="J1395">
        <v>4</v>
      </c>
    </row>
    <row r="1396" spans="1:10" x14ac:dyDescent="0.25">
      <c r="A1396" t="s">
        <v>21</v>
      </c>
      <c r="B1396" s="1" t="str">
        <f>HYPERLINK("http://helibras.com.br","helibras.com.br")</f>
        <v>helibras.com.br</v>
      </c>
      <c r="C1396" t="s">
        <v>425</v>
      </c>
      <c r="D1396" t="s">
        <v>806</v>
      </c>
      <c r="F1396">
        <v>2.9942400097416802E-8</v>
      </c>
      <c r="G1396">
        <v>1718228</v>
      </c>
      <c r="H1396">
        <v>14239103</v>
      </c>
      <c r="I1396">
        <v>1516805</v>
      </c>
      <c r="J1396">
        <v>3</v>
      </c>
    </row>
    <row r="1397" spans="1:10" x14ac:dyDescent="0.25">
      <c r="A1397" t="s">
        <v>21</v>
      </c>
      <c r="B1397" s="1" t="str">
        <f>HYPERLINK("http://airbushelicopters.ca","airbushelicopters.ca")</f>
        <v>airbushelicopters.ca</v>
      </c>
      <c r="C1397" t="s">
        <v>428</v>
      </c>
      <c r="D1397" t="s">
        <v>809</v>
      </c>
      <c r="F1397">
        <v>2.9171984381236499E-8</v>
      </c>
      <c r="G1397">
        <v>1765549</v>
      </c>
      <c r="H1397">
        <v>14319538</v>
      </c>
      <c r="I1397">
        <v>1332405</v>
      </c>
      <c r="J1397">
        <v>4</v>
      </c>
    </row>
    <row r="1398" spans="1:10" x14ac:dyDescent="0.25">
      <c r="A1398" t="s">
        <v>21</v>
      </c>
      <c r="B1398" s="1" t="str">
        <f>HYPERLINK("http://airbus.com","airbus.com")</f>
        <v>airbus.com</v>
      </c>
      <c r="C1398" t="s">
        <v>433</v>
      </c>
      <c r="E1398">
        <v>7025</v>
      </c>
      <c r="F1398">
        <v>4.9948696271165901E-6</v>
      </c>
      <c r="G1398">
        <v>6967</v>
      </c>
      <c r="H1398">
        <v>17786000</v>
      </c>
      <c r="I1398">
        <v>5800</v>
      </c>
      <c r="J1398">
        <v>1</v>
      </c>
    </row>
    <row r="1399" spans="1:10" x14ac:dyDescent="0.25">
      <c r="A1399" t="s">
        <v>21</v>
      </c>
      <c r="B1399" s="1" t="str">
        <f>HYPERLINK("http://airbus-finland.com","airbus-finland.com")</f>
        <v>airbus-finland.com</v>
      </c>
      <c r="C1399" t="s">
        <v>433</v>
      </c>
      <c r="F1399">
        <v>5.7065122904641398E-9</v>
      </c>
      <c r="G1399">
        <v>18870155</v>
      </c>
      <c r="H1399">
        <v>10766140</v>
      </c>
      <c r="I1399">
        <v>39406235</v>
      </c>
      <c r="J1399">
        <v>5</v>
      </c>
    </row>
    <row r="1400" spans="1:10" x14ac:dyDescent="0.25">
      <c r="A1400" t="s">
        <v>21</v>
      </c>
      <c r="B1400" s="1" t="str">
        <f>HYPERLINK("http://airbus-group-bank.com","airbus-group-bank.com")</f>
        <v>airbus-group-bank.com</v>
      </c>
      <c r="C1400" t="s">
        <v>433</v>
      </c>
      <c r="F1400">
        <v>7.1572698928735197E-9</v>
      </c>
      <c r="G1400">
        <v>11857648</v>
      </c>
      <c r="H1400">
        <v>12134852</v>
      </c>
      <c r="I1400">
        <v>25002764</v>
      </c>
      <c r="J1400">
        <v>3</v>
      </c>
    </row>
    <row r="1401" spans="1:10" x14ac:dyDescent="0.25">
      <c r="A1401" t="s">
        <v>21</v>
      </c>
      <c r="B1401" s="1" t="str">
        <f>HYPERLINK("http://airbus-sv.com","airbus-sv.com")</f>
        <v>airbus-sv.com</v>
      </c>
      <c r="C1401" t="s">
        <v>433</v>
      </c>
      <c r="F1401">
        <v>7.8342734047064595E-8</v>
      </c>
      <c r="G1401">
        <v>533730</v>
      </c>
      <c r="H1401">
        <v>14256510</v>
      </c>
      <c r="I1401">
        <v>1430260</v>
      </c>
      <c r="J1401">
        <v>3</v>
      </c>
    </row>
    <row r="1402" spans="1:10" x14ac:dyDescent="0.25">
      <c r="A1402" t="s">
        <v>21</v>
      </c>
      <c r="B1402" s="1" t="str">
        <f>HYPERLINK("http://airbusafran-launchers.com","airbusafran-launchers.com")</f>
        <v>airbusafran-launchers.com</v>
      </c>
      <c r="C1402" t="s">
        <v>433</v>
      </c>
      <c r="F1402">
        <v>2.3061109330514601E-8</v>
      </c>
      <c r="G1402">
        <v>2264086</v>
      </c>
      <c r="H1402">
        <v>14488814</v>
      </c>
      <c r="I1402">
        <v>929045</v>
      </c>
      <c r="J1402">
        <v>4</v>
      </c>
    </row>
    <row r="1403" spans="1:10" x14ac:dyDescent="0.25">
      <c r="A1403" t="s">
        <v>21</v>
      </c>
      <c r="B1403" s="1" t="str">
        <f>HYPERLINK("http://airbuscorporatehelicopters.com","airbuscorporatehelicopters.com")</f>
        <v>airbuscorporatehelicopters.com</v>
      </c>
      <c r="C1403" t="s">
        <v>433</v>
      </c>
      <c r="F1403">
        <v>3.2026682769642297E-8</v>
      </c>
      <c r="G1403">
        <v>1613934</v>
      </c>
      <c r="H1403">
        <v>14077669</v>
      </c>
      <c r="I1403">
        <v>2860899</v>
      </c>
      <c r="J1403">
        <v>4</v>
      </c>
    </row>
    <row r="1404" spans="1:10" x14ac:dyDescent="0.25">
      <c r="A1404" t="s">
        <v>21</v>
      </c>
      <c r="B1404" s="1" t="str">
        <f>HYPERLINK("http://airbusdefenceandspace.com","airbusdefenceandspace.com")</f>
        <v>airbusdefenceandspace.com</v>
      </c>
      <c r="C1404" t="s">
        <v>433</v>
      </c>
      <c r="E1404">
        <v>246885</v>
      </c>
      <c r="F1404">
        <v>2.7331604307416102E-7</v>
      </c>
      <c r="G1404">
        <v>136098</v>
      </c>
      <c r="H1404">
        <v>15101503</v>
      </c>
      <c r="I1404">
        <v>406277</v>
      </c>
      <c r="J1404">
        <v>4</v>
      </c>
    </row>
    <row r="1405" spans="1:10" x14ac:dyDescent="0.25">
      <c r="A1405" t="s">
        <v>21</v>
      </c>
      <c r="B1405" s="1" t="str">
        <f>HYPERLINK("http://airbusgroup.com","airbusgroup.com")</f>
        <v>airbusgroup.com</v>
      </c>
      <c r="C1405" t="s">
        <v>433</v>
      </c>
      <c r="E1405">
        <v>234490</v>
      </c>
      <c r="F1405">
        <v>3.4955975408563098E-7</v>
      </c>
      <c r="G1405">
        <v>106945</v>
      </c>
      <c r="H1405">
        <v>15204888</v>
      </c>
      <c r="I1405">
        <v>395266</v>
      </c>
      <c r="J1405">
        <v>4</v>
      </c>
    </row>
    <row r="1406" spans="1:10" x14ac:dyDescent="0.25">
      <c r="A1406" t="s">
        <v>21</v>
      </c>
      <c r="B1406" s="1" t="str">
        <f>HYPERLINK("http://airbushelicopters.com","airbushelicopters.com")</f>
        <v>airbushelicopters.com</v>
      </c>
      <c r="C1406" t="s">
        <v>433</v>
      </c>
      <c r="E1406">
        <v>324608</v>
      </c>
      <c r="F1406">
        <v>2.4297374627185702E-7</v>
      </c>
      <c r="G1406">
        <v>153966</v>
      </c>
      <c r="H1406">
        <v>17286252</v>
      </c>
      <c r="I1406">
        <v>29464</v>
      </c>
      <c r="J1406">
        <v>3</v>
      </c>
    </row>
    <row r="1407" spans="1:10" x14ac:dyDescent="0.25">
      <c r="A1407" t="s">
        <v>21</v>
      </c>
      <c r="B1407" s="1" t="str">
        <f>HYPERLINK("http://apsys-airbus.com","apsys-airbus.com")</f>
        <v>apsys-airbus.com</v>
      </c>
      <c r="C1407" t="s">
        <v>433</v>
      </c>
      <c r="F1407">
        <v>2.5335138461787E-8</v>
      </c>
      <c r="G1407">
        <v>2036678</v>
      </c>
      <c r="H1407">
        <v>14415617</v>
      </c>
      <c r="I1407">
        <v>1111134</v>
      </c>
      <c r="J1407">
        <v>7</v>
      </c>
    </row>
    <row r="1408" spans="1:10" x14ac:dyDescent="0.25">
      <c r="A1408" t="s">
        <v>21</v>
      </c>
      <c r="B1408" s="1" t="str">
        <f>HYPERLINK("http://arianespace.com","arianespace.com")</f>
        <v>arianespace.com</v>
      </c>
      <c r="C1408" t="s">
        <v>433</v>
      </c>
      <c r="E1408">
        <v>108054</v>
      </c>
      <c r="F1408">
        <v>5.1856653641795597E-7</v>
      </c>
      <c r="G1408">
        <v>74064</v>
      </c>
      <c r="H1408">
        <v>15374181</v>
      </c>
      <c r="I1408">
        <v>381491</v>
      </c>
      <c r="J1408">
        <v>4</v>
      </c>
    </row>
    <row r="1409" spans="1:10" x14ac:dyDescent="0.25">
      <c r="A1409" t="s">
        <v>21</v>
      </c>
      <c r="B1409" s="1" t="str">
        <f>HYPERLINK("http://asb-group.com","asb-group.com")</f>
        <v>asb-group.com</v>
      </c>
      <c r="C1409" t="s">
        <v>433</v>
      </c>
      <c r="F1409">
        <v>1.1491300650965101E-8</v>
      </c>
      <c r="G1409">
        <v>5511443</v>
      </c>
      <c r="H1409">
        <v>13939739</v>
      </c>
      <c r="I1409">
        <v>4385230</v>
      </c>
      <c r="J1409">
        <v>4</v>
      </c>
    </row>
    <row r="1410" spans="1:10" x14ac:dyDescent="0.25">
      <c r="A1410" t="s">
        <v>21</v>
      </c>
      <c r="B1410" s="1" t="str">
        <f>HYPERLINK("http://astrium-geo.com","astrium-geo.com")</f>
        <v>astrium-geo.com</v>
      </c>
      <c r="C1410" t="s">
        <v>433</v>
      </c>
      <c r="F1410">
        <v>9.4942858741838794E-8</v>
      </c>
      <c r="G1410">
        <v>427041</v>
      </c>
      <c r="H1410">
        <v>14859145</v>
      </c>
      <c r="I1410">
        <v>485303</v>
      </c>
      <c r="J1410">
        <v>4</v>
      </c>
    </row>
    <row r="1411" spans="1:10" x14ac:dyDescent="0.25">
      <c r="A1411" t="s">
        <v>21</v>
      </c>
      <c r="B1411" s="1" t="str">
        <f>HYPERLINK("http://astrium-space.com","astrium-space.com")</f>
        <v>astrium-space.com</v>
      </c>
      <c r="C1411" t="s">
        <v>433</v>
      </c>
      <c r="F1411">
        <v>9.8807001552250092E-9</v>
      </c>
      <c r="G1411">
        <v>6880134</v>
      </c>
      <c r="H1411">
        <v>13265306</v>
      </c>
      <c r="I1411">
        <v>11010485</v>
      </c>
      <c r="J1411">
        <v>5</v>
      </c>
    </row>
    <row r="1412" spans="1:10" x14ac:dyDescent="0.25">
      <c r="A1412" t="s">
        <v>21</v>
      </c>
      <c r="B1412" s="1" t="str">
        <f>HYPERLINK("http://atr-aircraft.com","atr-aircraft.com")</f>
        <v>atr-aircraft.com</v>
      </c>
      <c r="C1412" t="s">
        <v>433</v>
      </c>
      <c r="E1412">
        <v>354874</v>
      </c>
      <c r="F1412">
        <v>2.3858006624976898E-7</v>
      </c>
      <c r="G1412">
        <v>156930</v>
      </c>
      <c r="H1412">
        <v>14163953</v>
      </c>
      <c r="I1412">
        <v>1828339</v>
      </c>
      <c r="J1412">
        <v>6</v>
      </c>
    </row>
    <row r="1413" spans="1:10" x14ac:dyDescent="0.25">
      <c r="A1413" t="s">
        <v>21</v>
      </c>
      <c r="B1413" s="1" t="str">
        <f>HYPERLINK("http://atraircraft.com","atraircraft.com")</f>
        <v>atraircraft.com</v>
      </c>
      <c r="C1413" t="s">
        <v>433</v>
      </c>
      <c r="E1413">
        <v>691161</v>
      </c>
      <c r="F1413">
        <v>9.0004306896433194E-8</v>
      </c>
      <c r="G1413">
        <v>453460</v>
      </c>
      <c r="H1413">
        <v>15025212</v>
      </c>
      <c r="I1413">
        <v>419751</v>
      </c>
      <c r="J1413">
        <v>3</v>
      </c>
    </row>
    <row r="1414" spans="1:10" x14ac:dyDescent="0.25">
      <c r="A1414" t="s">
        <v>21</v>
      </c>
      <c r="B1414" s="1" t="str">
        <f>HYPERLINK("http://carmatsa.com","carmatsa.com")</f>
        <v>carmatsa.com</v>
      </c>
      <c r="C1414" t="s">
        <v>433</v>
      </c>
      <c r="F1414">
        <v>7.1664008095663201E-8</v>
      </c>
      <c r="G1414">
        <v>589576</v>
      </c>
      <c r="H1414">
        <v>14591122</v>
      </c>
      <c r="I1414">
        <v>695032</v>
      </c>
      <c r="J1414">
        <v>3</v>
      </c>
    </row>
    <row r="1415" spans="1:10" x14ac:dyDescent="0.25">
      <c r="A1415" t="s">
        <v>21</v>
      </c>
      <c r="B1415" s="1" t="str">
        <f>HYPERLINK("http://cilas.com","cilas.com")</f>
        <v>cilas.com</v>
      </c>
      <c r="C1415" t="s">
        <v>433</v>
      </c>
      <c r="F1415">
        <v>3.2910569638772699E-8</v>
      </c>
      <c r="G1415">
        <v>1569944</v>
      </c>
      <c r="H1415">
        <v>14780247</v>
      </c>
      <c r="I1415">
        <v>554691</v>
      </c>
      <c r="J1415">
        <v>4</v>
      </c>
    </row>
    <row r="1416" spans="1:10" x14ac:dyDescent="0.25">
      <c r="A1416" t="s">
        <v>21</v>
      </c>
      <c r="B1416" s="1" t="str">
        <f>HYPERLINK("http://compositesatlantic.com","compositesatlantic.com")</f>
        <v>compositesatlantic.com</v>
      </c>
      <c r="C1416" t="s">
        <v>433</v>
      </c>
      <c r="F1416">
        <v>4.82806113934719E-9</v>
      </c>
      <c r="G1416">
        <v>34915554</v>
      </c>
      <c r="H1416">
        <v>10992874</v>
      </c>
      <c r="I1416">
        <v>33700248</v>
      </c>
      <c r="J1416">
        <v>4</v>
      </c>
    </row>
    <row r="1417" spans="1:10" x14ac:dyDescent="0.25">
      <c r="A1417" t="s">
        <v>21</v>
      </c>
      <c r="B1417" s="1" t="str">
        <f>HYPERLINK("http://eads.com","eads.com")</f>
        <v>eads.com</v>
      </c>
      <c r="C1417" t="s">
        <v>433</v>
      </c>
      <c r="E1417">
        <v>168894</v>
      </c>
      <c r="F1417">
        <v>2.20149454900754E-7</v>
      </c>
      <c r="G1417">
        <v>171202</v>
      </c>
      <c r="H1417">
        <v>15279868</v>
      </c>
      <c r="I1417">
        <v>387692</v>
      </c>
      <c r="J1417">
        <v>4</v>
      </c>
    </row>
    <row r="1418" spans="1:10" x14ac:dyDescent="0.25">
      <c r="A1418" t="s">
        <v>21</v>
      </c>
      <c r="B1418" s="1" t="str">
        <f>HYPERLINK("http://eadsnorthamerica.com","eadsnorthamerica.com")</f>
        <v>eadsnorthamerica.com</v>
      </c>
      <c r="C1418" t="s">
        <v>433</v>
      </c>
      <c r="F1418">
        <v>1.1461096793899001E-8</v>
      </c>
      <c r="G1418">
        <v>5531537</v>
      </c>
      <c r="H1418">
        <v>14488563</v>
      </c>
      <c r="I1418">
        <v>931943</v>
      </c>
      <c r="J1418">
        <v>5</v>
      </c>
    </row>
    <row r="1419" spans="1:10" x14ac:dyDescent="0.25">
      <c r="A1419" t="s">
        <v>21</v>
      </c>
      <c r="B1419" s="1" t="str">
        <f>HYPERLINK("http://elbeflugzeugwerke.com","elbeflugzeugwerke.com")</f>
        <v>elbeflugzeugwerke.com</v>
      </c>
      <c r="C1419" t="s">
        <v>433</v>
      </c>
      <c r="F1419">
        <v>5.6587437414321699E-8</v>
      </c>
      <c r="G1419">
        <v>790109</v>
      </c>
      <c r="H1419">
        <v>14141823</v>
      </c>
      <c r="I1419">
        <v>1924323</v>
      </c>
      <c r="J1419">
        <v>6</v>
      </c>
    </row>
    <row r="1420" spans="1:10" x14ac:dyDescent="0.25">
      <c r="A1420" t="s">
        <v>21</v>
      </c>
      <c r="B1420" s="1" t="str">
        <f>HYPERLINK("http://eurockot.com","eurockot.com")</f>
        <v>eurockot.com</v>
      </c>
      <c r="C1420" t="s">
        <v>433</v>
      </c>
      <c r="F1420">
        <v>3.6339293949145902E-8</v>
      </c>
      <c r="G1420">
        <v>1435874</v>
      </c>
      <c r="H1420">
        <v>14828987</v>
      </c>
      <c r="I1420">
        <v>507301</v>
      </c>
      <c r="J1420">
        <v>4</v>
      </c>
    </row>
    <row r="1421" spans="1:10" x14ac:dyDescent="0.25">
      <c r="A1421" t="s">
        <v>21</v>
      </c>
      <c r="B1421" s="1" t="str">
        <f>HYPERLINK("http://eurocopterusa.com","eurocopterusa.com")</f>
        <v>eurocopterusa.com</v>
      </c>
      <c r="C1421" t="s">
        <v>433</v>
      </c>
      <c r="F1421">
        <v>1.62165938694092E-8</v>
      </c>
      <c r="G1421">
        <v>3491287</v>
      </c>
      <c r="H1421">
        <v>14242478</v>
      </c>
      <c r="I1421">
        <v>1483962</v>
      </c>
      <c r="J1421">
        <v>4</v>
      </c>
    </row>
    <row r="1422" spans="1:10" x14ac:dyDescent="0.25">
      <c r="A1422" t="s">
        <v>21</v>
      </c>
      <c r="B1422" s="1" t="str">
        <f>HYPERLINK("http://geo-airbusds.com","geo-airbusds.com")</f>
        <v>geo-airbusds.com</v>
      </c>
      <c r="C1422" t="s">
        <v>433</v>
      </c>
      <c r="F1422">
        <v>1.11245089458014E-7</v>
      </c>
      <c r="G1422">
        <v>359331</v>
      </c>
      <c r="H1422">
        <v>14482378</v>
      </c>
      <c r="I1422">
        <v>1023481</v>
      </c>
      <c r="J1422">
        <v>5</v>
      </c>
    </row>
    <row r="1423" spans="1:10" x14ac:dyDescent="0.25">
      <c r="A1423" t="s">
        <v>21</v>
      </c>
      <c r="B1423" s="1" t="str">
        <f>HYPERLINK("http://intelligence-airbusds.com","intelligence-airbusds.com")</f>
        <v>intelligence-airbusds.com</v>
      </c>
      <c r="C1423" t="s">
        <v>433</v>
      </c>
      <c r="E1423">
        <v>310124</v>
      </c>
      <c r="F1423">
        <v>4.54303751532463E-7</v>
      </c>
      <c r="G1423">
        <v>83214</v>
      </c>
      <c r="H1423">
        <v>15280285</v>
      </c>
      <c r="I1423">
        <v>387661</v>
      </c>
      <c r="J1423">
        <v>5</v>
      </c>
    </row>
    <row r="1424" spans="1:10" x14ac:dyDescent="0.25">
      <c r="A1424" t="s">
        <v>21</v>
      </c>
      <c r="B1424" s="1" t="str">
        <f>HYPERLINK("http://metronaviation.com","metronaviation.com")</f>
        <v>metronaviation.com</v>
      </c>
      <c r="C1424" t="s">
        <v>433</v>
      </c>
      <c r="F1424">
        <v>3.48837680633365E-8</v>
      </c>
      <c r="G1424">
        <v>1488739</v>
      </c>
      <c r="H1424">
        <v>13082175</v>
      </c>
      <c r="I1424">
        <v>12178706</v>
      </c>
      <c r="J1424">
        <v>4</v>
      </c>
    </row>
    <row r="1425" spans="1:10" x14ac:dyDescent="0.25">
      <c r="A1425" t="s">
        <v>21</v>
      </c>
      <c r="B1425" s="1" t="str">
        <f>HYPERLINK("http://nhindustries.com","nhindustries.com")</f>
        <v>nhindustries.com</v>
      </c>
      <c r="C1425" t="s">
        <v>433</v>
      </c>
      <c r="F1425">
        <v>3.8714913054891403E-8</v>
      </c>
      <c r="G1425">
        <v>1331644</v>
      </c>
      <c r="H1425">
        <v>14603114</v>
      </c>
      <c r="I1425">
        <v>683723</v>
      </c>
      <c r="J1425">
        <v>4</v>
      </c>
    </row>
    <row r="1426" spans="1:10" x14ac:dyDescent="0.25">
      <c r="A1426" t="s">
        <v>21</v>
      </c>
      <c r="B1426" s="1" t="str">
        <f>HYPERLINK("http://paradigmsecure.com","paradigmsecure.com")</f>
        <v>paradigmsecure.com</v>
      </c>
      <c r="C1426" t="s">
        <v>433</v>
      </c>
      <c r="F1426">
        <v>1.27612994701088E-8</v>
      </c>
      <c r="G1426">
        <v>4748805</v>
      </c>
      <c r="H1426">
        <v>14698898</v>
      </c>
      <c r="I1426">
        <v>596630</v>
      </c>
      <c r="J1426">
        <v>4</v>
      </c>
    </row>
    <row r="1427" spans="1:10" x14ac:dyDescent="0.25">
      <c r="A1427" t="s">
        <v>21</v>
      </c>
      <c r="B1427" s="1" t="str">
        <f>HYPERLINK("http://premium-aerotec.com","premium-aerotec.com")</f>
        <v>premium-aerotec.com</v>
      </c>
      <c r="C1427" t="s">
        <v>433</v>
      </c>
      <c r="F1427">
        <v>6.9737251062329695E-8</v>
      </c>
      <c r="G1427">
        <v>608046</v>
      </c>
      <c r="H1427">
        <v>14504691</v>
      </c>
      <c r="I1427">
        <v>838628</v>
      </c>
      <c r="J1427">
        <v>3</v>
      </c>
    </row>
    <row r="1428" spans="1:10" x14ac:dyDescent="0.25">
      <c r="A1428" t="s">
        <v>21</v>
      </c>
      <c r="B1428" s="1" t="str">
        <f>HYPERLINK("http://satair.com","satair.com")</f>
        <v>satair.com</v>
      </c>
      <c r="C1428" t="s">
        <v>433</v>
      </c>
      <c r="E1428">
        <v>414365</v>
      </c>
      <c r="F1428">
        <v>1.1651715950154001E-7</v>
      </c>
      <c r="G1428">
        <v>341250</v>
      </c>
      <c r="H1428">
        <v>16959430</v>
      </c>
      <c r="I1428">
        <v>105829</v>
      </c>
      <c r="J1428">
        <v>4</v>
      </c>
    </row>
    <row r="1429" spans="1:10" x14ac:dyDescent="0.25">
      <c r="A1429" t="s">
        <v>21</v>
      </c>
      <c r="B1429" s="1" t="str">
        <f>HYPERLINK("http://skytra.com","skytra.com")</f>
        <v>skytra.com</v>
      </c>
      <c r="C1429" t="s">
        <v>433</v>
      </c>
      <c r="F1429">
        <v>5.4109175843074398E-9</v>
      </c>
      <c r="G1429">
        <v>21974318</v>
      </c>
      <c r="H1429">
        <v>12290561</v>
      </c>
      <c r="I1429">
        <v>21100487</v>
      </c>
      <c r="J1429">
        <v>4</v>
      </c>
    </row>
    <row r="1430" spans="1:10" x14ac:dyDescent="0.25">
      <c r="A1430" t="s">
        <v>21</v>
      </c>
      <c r="B1430" s="1" t="str">
        <f>HYPERLINK("http://sodern.com","sodern.com")</f>
        <v>sodern.com</v>
      </c>
      <c r="C1430" t="s">
        <v>433</v>
      </c>
      <c r="F1430">
        <v>2.5128468492471099E-8</v>
      </c>
      <c r="G1430">
        <v>2055567</v>
      </c>
      <c r="H1430">
        <v>14232968</v>
      </c>
      <c r="I1430">
        <v>1671290</v>
      </c>
      <c r="J1430">
        <v>4</v>
      </c>
    </row>
    <row r="1431" spans="1:10" x14ac:dyDescent="0.25">
      <c r="A1431" t="s">
        <v>21</v>
      </c>
      <c r="B1431" s="1" t="str">
        <f>HYPERLINK("http://spotimage.com","spotimage.com")</f>
        <v>spotimage.com</v>
      </c>
      <c r="C1431" t="s">
        <v>433</v>
      </c>
      <c r="F1431">
        <v>3.2525806771696203E-8</v>
      </c>
      <c r="G1431">
        <v>1588534</v>
      </c>
      <c r="H1431">
        <v>14519892</v>
      </c>
      <c r="I1431">
        <v>805878</v>
      </c>
      <c r="J1431">
        <v>5</v>
      </c>
    </row>
    <row r="1432" spans="1:10" x14ac:dyDescent="0.25">
      <c r="A1432" t="s">
        <v>21</v>
      </c>
      <c r="B1432" s="1" t="str">
        <f>HYPERLINK("http://starsem.com","starsem.com")</f>
        <v>starsem.com</v>
      </c>
      <c r="C1432" t="s">
        <v>433</v>
      </c>
      <c r="F1432">
        <v>2.3600707836808499E-8</v>
      </c>
      <c r="G1432">
        <v>2203871</v>
      </c>
      <c r="H1432">
        <v>14583115</v>
      </c>
      <c r="I1432">
        <v>705167</v>
      </c>
      <c r="J1432">
        <v>5</v>
      </c>
    </row>
    <row r="1433" spans="1:10" x14ac:dyDescent="0.25">
      <c r="A1433" t="s">
        <v>21</v>
      </c>
      <c r="B1433" s="1" t="str">
        <f>HYPERLINK("http://stelia-aerospace.com","stelia-aerospace.com")</f>
        <v>stelia-aerospace.com</v>
      </c>
      <c r="C1433" t="s">
        <v>433</v>
      </c>
      <c r="F1433">
        <v>4.6545939844896203E-8</v>
      </c>
      <c r="G1433">
        <v>1004628</v>
      </c>
      <c r="H1433">
        <v>14087179</v>
      </c>
      <c r="I1433">
        <v>2765200</v>
      </c>
      <c r="J1433">
        <v>3</v>
      </c>
    </row>
    <row r="1434" spans="1:10" x14ac:dyDescent="0.25">
      <c r="A1434" t="s">
        <v>21</v>
      </c>
      <c r="B1434" s="1" t="str">
        <f>HYPERLINK("http://kid-systeme.de","kid-systeme.de")</f>
        <v>kid-systeme.de</v>
      </c>
      <c r="C1434" t="s">
        <v>436</v>
      </c>
      <c r="D1434" t="s">
        <v>815</v>
      </c>
      <c r="F1434">
        <v>1.3967174351279E-8</v>
      </c>
      <c r="G1434">
        <v>4215124</v>
      </c>
      <c r="H1434">
        <v>14073977</v>
      </c>
      <c r="I1434">
        <v>2961779</v>
      </c>
      <c r="J1434">
        <v>4</v>
      </c>
    </row>
    <row r="1435" spans="1:10" x14ac:dyDescent="0.25">
      <c r="A1435" t="s">
        <v>21</v>
      </c>
      <c r="B1435" s="1" t="str">
        <f>HYPERLINK("http://panavia.de","panavia.de")</f>
        <v>panavia.de</v>
      </c>
      <c r="C1435" t="s">
        <v>436</v>
      </c>
      <c r="D1435" t="s">
        <v>815</v>
      </c>
      <c r="F1435">
        <v>1.9624483144933699E-8</v>
      </c>
      <c r="G1435">
        <v>2723529</v>
      </c>
      <c r="H1435">
        <v>14810430</v>
      </c>
      <c r="I1435">
        <v>534585</v>
      </c>
      <c r="J1435">
        <v>3</v>
      </c>
    </row>
    <row r="1436" spans="1:10" x14ac:dyDescent="0.25">
      <c r="A1436" t="s">
        <v>21</v>
      </c>
      <c r="B1436" s="1" t="str">
        <f>HYPERLINK("http://tesat.de","tesat.de")</f>
        <v>tesat.de</v>
      </c>
      <c r="C1436" t="s">
        <v>436</v>
      </c>
      <c r="D1436" t="s">
        <v>815</v>
      </c>
      <c r="F1436">
        <v>5.62668585905292E-8</v>
      </c>
      <c r="G1436">
        <v>795298</v>
      </c>
      <c r="H1436">
        <v>14514244</v>
      </c>
      <c r="I1436">
        <v>815620</v>
      </c>
      <c r="J1436">
        <v>4</v>
      </c>
    </row>
    <row r="1437" spans="1:10" x14ac:dyDescent="0.25">
      <c r="A1437" t="s">
        <v>21</v>
      </c>
      <c r="B1437" s="1" t="str">
        <f>HYPERLINK("http://esg.eu","esg.eu")</f>
        <v>esg.eu</v>
      </c>
      <c r="C1437" t="s">
        <v>444</v>
      </c>
      <c r="F1437">
        <v>4.9787272313421399E-9</v>
      </c>
      <c r="G1437">
        <v>30028181</v>
      </c>
      <c r="H1437">
        <v>11320044</v>
      </c>
      <c r="I1437">
        <v>30506402</v>
      </c>
      <c r="J1437">
        <v>3</v>
      </c>
    </row>
    <row r="1438" spans="1:10" x14ac:dyDescent="0.25">
      <c r="A1438" t="s">
        <v>21</v>
      </c>
      <c r="B1438" s="1" t="str">
        <f>HYPERLINK("http://cassidian.fi","cassidian.fi")</f>
        <v>cassidian.fi</v>
      </c>
      <c r="C1438" t="s">
        <v>445</v>
      </c>
      <c r="D1438" t="s">
        <v>823</v>
      </c>
      <c r="J1438">
        <v>3</v>
      </c>
    </row>
    <row r="1439" spans="1:10" x14ac:dyDescent="0.25">
      <c r="A1439" t="s">
        <v>21</v>
      </c>
      <c r="B1439" s="1" t="str">
        <f>HYPERLINK("http://claricor.fi","claricor.fi")</f>
        <v>claricor.fi</v>
      </c>
      <c r="C1439" t="s">
        <v>445</v>
      </c>
      <c r="D1439" t="s">
        <v>823</v>
      </c>
      <c r="J1439">
        <v>3</v>
      </c>
    </row>
    <row r="1440" spans="1:10" x14ac:dyDescent="0.25">
      <c r="A1440" t="s">
        <v>21</v>
      </c>
      <c r="B1440" s="1" t="str">
        <f>HYPERLINK("http://evercor.fi","evercor.fi")</f>
        <v>evercor.fi</v>
      </c>
      <c r="C1440" t="s">
        <v>445</v>
      </c>
      <c r="D1440" t="s">
        <v>823</v>
      </c>
      <c r="J1440">
        <v>3</v>
      </c>
    </row>
    <row r="1441" spans="1:10" x14ac:dyDescent="0.25">
      <c r="A1441" t="s">
        <v>21</v>
      </c>
      <c r="B1441" s="1" t="str">
        <f>HYPERLINK("http://fortecor.fi","fortecor.fi")</f>
        <v>fortecor.fi</v>
      </c>
      <c r="C1441" t="s">
        <v>445</v>
      </c>
      <c r="D1441" t="s">
        <v>823</v>
      </c>
      <c r="J1441">
        <v>3</v>
      </c>
    </row>
    <row r="1442" spans="1:10" x14ac:dyDescent="0.25">
      <c r="A1442" t="s">
        <v>21</v>
      </c>
      <c r="B1442" s="1" t="str">
        <f>HYPERLINK("http://gelocor.fi","gelocor.fi")</f>
        <v>gelocor.fi</v>
      </c>
      <c r="C1442" t="s">
        <v>445</v>
      </c>
      <c r="D1442" t="s">
        <v>823</v>
      </c>
      <c r="J1442">
        <v>3</v>
      </c>
    </row>
    <row r="1443" spans="1:10" x14ac:dyDescent="0.25">
      <c r="A1443" t="s">
        <v>21</v>
      </c>
      <c r="B1443" s="1" t="str">
        <f>HYPERLINK("http://keytouch.fi","keytouch.fi")</f>
        <v>keytouch.fi</v>
      </c>
      <c r="C1443" t="s">
        <v>445</v>
      </c>
      <c r="D1443" t="s">
        <v>823</v>
      </c>
      <c r="J1443">
        <v>3</v>
      </c>
    </row>
    <row r="1444" spans="1:10" x14ac:dyDescent="0.25">
      <c r="A1444" t="s">
        <v>21</v>
      </c>
      <c r="B1444" s="1" t="str">
        <f>HYPERLINK("http://milicor.fi","milicor.fi")</f>
        <v>milicor.fi</v>
      </c>
      <c r="C1444" t="s">
        <v>445</v>
      </c>
      <c r="D1444" t="s">
        <v>823</v>
      </c>
      <c r="J1444">
        <v>3</v>
      </c>
    </row>
    <row r="1445" spans="1:10" x14ac:dyDescent="0.25">
      <c r="A1445" t="s">
        <v>21</v>
      </c>
      <c r="B1445" s="1" t="str">
        <f>HYPERLINK("http://taqto.fi","taqto.fi")</f>
        <v>taqto.fi</v>
      </c>
      <c r="C1445" t="s">
        <v>445</v>
      </c>
      <c r="D1445" t="s">
        <v>823</v>
      </c>
      <c r="J1445">
        <v>3</v>
      </c>
    </row>
    <row r="1446" spans="1:10" x14ac:dyDescent="0.25">
      <c r="A1446" t="s">
        <v>21</v>
      </c>
      <c r="B1446" s="1" t="str">
        <f>HYPERLINK("http://tetratouch.fi","tetratouch.fi")</f>
        <v>tetratouch.fi</v>
      </c>
      <c r="C1446" t="s">
        <v>445</v>
      </c>
      <c r="D1446" t="s">
        <v>823</v>
      </c>
      <c r="J1446">
        <v>3</v>
      </c>
    </row>
    <row r="1447" spans="1:10" x14ac:dyDescent="0.25">
      <c r="A1447" t="s">
        <v>21</v>
      </c>
      <c r="B1447" s="1" t="str">
        <f>HYPERLINK("http://viewcor.fi","viewcor.fi")</f>
        <v>viewcor.fi</v>
      </c>
      <c r="C1447" t="s">
        <v>445</v>
      </c>
      <c r="D1447" t="s">
        <v>823</v>
      </c>
      <c r="J1447">
        <v>3</v>
      </c>
    </row>
    <row r="1448" spans="1:10" x14ac:dyDescent="0.25">
      <c r="A1448" t="s">
        <v>21</v>
      </c>
      <c r="B1448" s="1" t="str">
        <f>HYPERLINK("http://arianespace.fr","arianespace.fr")</f>
        <v>arianespace.fr</v>
      </c>
      <c r="C1448" t="s">
        <v>446</v>
      </c>
      <c r="D1448" t="s">
        <v>824</v>
      </c>
      <c r="F1448">
        <v>4.4995143222242797E-9</v>
      </c>
      <c r="G1448">
        <v>59015194</v>
      </c>
      <c r="H1448">
        <v>10961499</v>
      </c>
      <c r="I1448">
        <v>34320822</v>
      </c>
      <c r="J1448">
        <v>7</v>
      </c>
    </row>
    <row r="1449" spans="1:10" x14ac:dyDescent="0.25">
      <c r="A1449" t="s">
        <v>21</v>
      </c>
      <c r="B1449" s="1" t="str">
        <f>HYPERLINK("http://pyroalliance.fr","pyroalliance.fr")</f>
        <v>pyroalliance.fr</v>
      </c>
      <c r="C1449" t="s">
        <v>446</v>
      </c>
      <c r="D1449" t="s">
        <v>824</v>
      </c>
      <c r="F1449">
        <v>4.4584305758842698E-9</v>
      </c>
      <c r="G1449">
        <v>68254969</v>
      </c>
      <c r="H1449">
        <v>10910922</v>
      </c>
      <c r="I1449">
        <v>35608723</v>
      </c>
      <c r="J1449">
        <v>6</v>
      </c>
    </row>
    <row r="1450" spans="1:10" x14ac:dyDescent="0.25">
      <c r="A1450" t="s">
        <v>21</v>
      </c>
      <c r="B1450" s="1" t="str">
        <f>HYPERLINK("http://spotimage.fr","spotimage.fr")</f>
        <v>spotimage.fr</v>
      </c>
      <c r="C1450" t="s">
        <v>446</v>
      </c>
      <c r="D1450" t="s">
        <v>824</v>
      </c>
      <c r="F1450">
        <v>3.7026574592235902E-8</v>
      </c>
      <c r="G1450">
        <v>1400774</v>
      </c>
      <c r="H1450">
        <v>14767911</v>
      </c>
      <c r="I1450">
        <v>558411</v>
      </c>
      <c r="J1450">
        <v>5</v>
      </c>
    </row>
    <row r="1451" spans="1:10" x14ac:dyDescent="0.25">
      <c r="A1451" t="s">
        <v>21</v>
      </c>
      <c r="B1451" s="1" t="str">
        <f>HYPERLINK("http://ariane.group","ariane.group")</f>
        <v>ariane.group</v>
      </c>
      <c r="C1451" t="s">
        <v>602</v>
      </c>
      <c r="E1451">
        <v>334569</v>
      </c>
      <c r="F1451">
        <v>2.9538235453331201E-7</v>
      </c>
      <c r="G1451">
        <v>125948</v>
      </c>
      <c r="H1451">
        <v>15089610</v>
      </c>
      <c r="I1451">
        <v>408102</v>
      </c>
      <c r="J1451">
        <v>3</v>
      </c>
    </row>
    <row r="1452" spans="1:10" x14ac:dyDescent="0.25">
      <c r="A1452" t="s">
        <v>21</v>
      </c>
      <c r="B1452" s="1" t="str">
        <f>HYPERLINK("http://aersud.it","aersud.it")</f>
        <v>aersud.it</v>
      </c>
      <c r="C1452" t="s">
        <v>459</v>
      </c>
      <c r="D1452" t="s">
        <v>835</v>
      </c>
      <c r="F1452">
        <v>6.4707117915807403E-9</v>
      </c>
      <c r="G1452">
        <v>14202501</v>
      </c>
      <c r="H1452">
        <v>12938067</v>
      </c>
      <c r="I1452">
        <v>13315077</v>
      </c>
      <c r="J1452">
        <v>4</v>
      </c>
    </row>
    <row r="1453" spans="1:10" x14ac:dyDescent="0.25">
      <c r="A1453" t="s">
        <v>21</v>
      </c>
      <c r="B1453" s="1" t="str">
        <f>HYPERLINK("http://airbushelicopters.co.jp","airbushelicopters.co.jp")</f>
        <v>airbushelicopters.co.jp</v>
      </c>
      <c r="C1453" t="s">
        <v>461</v>
      </c>
      <c r="D1453" t="s">
        <v>837</v>
      </c>
      <c r="F1453">
        <v>1.40661471059644E-8</v>
      </c>
      <c r="G1453">
        <v>4178081</v>
      </c>
      <c r="H1453">
        <v>14098716</v>
      </c>
      <c r="I1453">
        <v>2716610</v>
      </c>
      <c r="J1453">
        <v>4</v>
      </c>
    </row>
    <row r="1454" spans="1:10" x14ac:dyDescent="0.25">
      <c r="A1454" t="s">
        <v>21</v>
      </c>
      <c r="B1454" s="1" t="str">
        <f>HYPERLINK("http://airbushelicopters.com.mx","airbushelicopters.com.mx")</f>
        <v>airbushelicopters.com.mx</v>
      </c>
      <c r="C1454" t="s">
        <v>471</v>
      </c>
      <c r="D1454" t="s">
        <v>847</v>
      </c>
      <c r="J1454">
        <v>3</v>
      </c>
    </row>
    <row r="1455" spans="1:10" x14ac:dyDescent="0.25">
      <c r="A1455" t="s">
        <v>21</v>
      </c>
      <c r="B1455" s="1" t="str">
        <f>HYPERLINK("http://eads.net","eads.net")</f>
        <v>eads.net</v>
      </c>
      <c r="C1455" t="s">
        <v>474</v>
      </c>
      <c r="E1455">
        <v>22242</v>
      </c>
      <c r="F1455">
        <v>2.8585862084695001E-7</v>
      </c>
      <c r="G1455">
        <v>130012</v>
      </c>
      <c r="H1455">
        <v>17285406</v>
      </c>
      <c r="I1455">
        <v>29565</v>
      </c>
      <c r="J1455">
        <v>4</v>
      </c>
    </row>
    <row r="1456" spans="1:10" x14ac:dyDescent="0.25">
      <c r="A1456" t="s">
        <v>21</v>
      </c>
      <c r="B1456" s="1" t="str">
        <f>HYPERLINK("http://airbusdefenceandspacenetherlands.nl","airbusdefenceandspacenetherlands.nl")</f>
        <v>airbusdefenceandspacenetherlands.nl</v>
      </c>
      <c r="C1456" t="s">
        <v>477</v>
      </c>
      <c r="D1456" t="s">
        <v>852</v>
      </c>
      <c r="F1456">
        <v>4.7533251152711203E-8</v>
      </c>
      <c r="G1456">
        <v>979733</v>
      </c>
      <c r="H1456">
        <v>14397155</v>
      </c>
      <c r="I1456">
        <v>1158404</v>
      </c>
      <c r="J1456">
        <v>4</v>
      </c>
    </row>
    <row r="1457" spans="1:10" x14ac:dyDescent="0.25">
      <c r="A1457" t="s">
        <v>21</v>
      </c>
      <c r="B1457" s="1" t="str">
        <f>HYPERLINK("http://airbusds.nl","airbusds.nl")</f>
        <v>airbusds.nl</v>
      </c>
      <c r="C1457" t="s">
        <v>477</v>
      </c>
      <c r="D1457" t="s">
        <v>852</v>
      </c>
      <c r="F1457">
        <v>2.4601124064322801E-8</v>
      </c>
      <c r="G1457">
        <v>2105313</v>
      </c>
      <c r="H1457">
        <v>12772234</v>
      </c>
      <c r="I1457">
        <v>14825172</v>
      </c>
      <c r="J1457">
        <v>6</v>
      </c>
    </row>
    <row r="1458" spans="1:10" x14ac:dyDescent="0.25">
      <c r="A1458" t="s">
        <v>21</v>
      </c>
      <c r="B1458" s="1" t="str">
        <f>HYPERLINK("http://dutchspace.nl","dutchspace.nl")</f>
        <v>dutchspace.nl</v>
      </c>
      <c r="C1458" t="s">
        <v>477</v>
      </c>
      <c r="D1458" t="s">
        <v>852</v>
      </c>
      <c r="F1458">
        <v>1.8398653927311699E-8</v>
      </c>
      <c r="G1458">
        <v>2946021</v>
      </c>
      <c r="H1458">
        <v>14582031</v>
      </c>
      <c r="I1458">
        <v>707198</v>
      </c>
      <c r="J1458">
        <v>2</v>
      </c>
    </row>
    <row r="1459" spans="1:10" x14ac:dyDescent="0.25">
      <c r="A1459" t="s">
        <v>21</v>
      </c>
      <c r="B1459" s="1" t="str">
        <f>HYPERLINK("http://airbushelicopters.ru","airbushelicopters.ru")</f>
        <v>airbushelicopters.ru</v>
      </c>
      <c r="C1459" t="s">
        <v>493</v>
      </c>
      <c r="D1459" t="s">
        <v>867</v>
      </c>
      <c r="F1459">
        <v>2.1278854967708399E-8</v>
      </c>
      <c r="G1459">
        <v>2476884</v>
      </c>
      <c r="H1459">
        <v>14082434</v>
      </c>
      <c r="I1459">
        <v>2800535</v>
      </c>
      <c r="J1459">
        <v>4</v>
      </c>
    </row>
    <row r="1460" spans="1:10" x14ac:dyDescent="0.25">
      <c r="A1460" t="s">
        <v>21</v>
      </c>
      <c r="B1460" s="1" t="str">
        <f>HYPERLINK("http://airtanker.co.uk","airtanker.co.uk")</f>
        <v>airtanker.co.uk</v>
      </c>
      <c r="C1460" t="s">
        <v>506</v>
      </c>
      <c r="D1460" t="s">
        <v>880</v>
      </c>
      <c r="F1460">
        <v>2.0633027430196899E-8</v>
      </c>
      <c r="G1460">
        <v>2566070</v>
      </c>
      <c r="H1460">
        <v>14810119</v>
      </c>
      <c r="I1460">
        <v>535327</v>
      </c>
      <c r="J1460">
        <v>5</v>
      </c>
    </row>
    <row r="1461" spans="1:10" x14ac:dyDescent="0.25">
      <c r="A1461" t="s">
        <v>21</v>
      </c>
      <c r="B1461" s="1" t="str">
        <f>HYPERLINK("http://eurocopter.co.uk","eurocopter.co.uk")</f>
        <v>eurocopter.co.uk</v>
      </c>
      <c r="C1461" t="s">
        <v>506</v>
      </c>
      <c r="D1461" t="s">
        <v>880</v>
      </c>
      <c r="F1461">
        <v>5.2045495599669701E-9</v>
      </c>
      <c r="G1461">
        <v>25023223</v>
      </c>
      <c r="H1461">
        <v>13947014</v>
      </c>
      <c r="I1461">
        <v>4212224</v>
      </c>
      <c r="J1461">
        <v>4</v>
      </c>
    </row>
    <row r="1462" spans="1:10" x14ac:dyDescent="0.25">
      <c r="A1462" t="s">
        <v>21</v>
      </c>
      <c r="B1462" s="1" t="str">
        <f>HYPERLINK("http://infoterra.co.uk","infoterra.co.uk")</f>
        <v>infoterra.co.uk</v>
      </c>
      <c r="C1462" t="s">
        <v>506</v>
      </c>
      <c r="D1462" t="s">
        <v>880</v>
      </c>
      <c r="F1462">
        <v>1.15302177704287E-8</v>
      </c>
      <c r="G1462">
        <v>5482680</v>
      </c>
      <c r="H1462">
        <v>14491522</v>
      </c>
      <c r="I1462">
        <v>902503</v>
      </c>
      <c r="J1462">
        <v>4</v>
      </c>
    </row>
    <row r="1463" spans="1:10" x14ac:dyDescent="0.25">
      <c r="A1463" t="s">
        <v>21</v>
      </c>
      <c r="B1463" s="1" t="str">
        <f>HYPERLINK("http://sstl.co.uk","sstl.co.uk")</f>
        <v>sstl.co.uk</v>
      </c>
      <c r="C1463" t="s">
        <v>506</v>
      </c>
      <c r="D1463" t="s">
        <v>880</v>
      </c>
      <c r="E1463">
        <v>340873</v>
      </c>
      <c r="F1463">
        <v>1.9672291443527701E-7</v>
      </c>
      <c r="G1463">
        <v>196020</v>
      </c>
      <c r="H1463">
        <v>14973910</v>
      </c>
      <c r="I1463">
        <v>432827</v>
      </c>
      <c r="J1463">
        <v>3</v>
      </c>
    </row>
    <row r="1464" spans="1:10" x14ac:dyDescent="0.25">
      <c r="A1464" t="s">
        <v>22</v>
      </c>
      <c r="B1464" s="1" t="str">
        <f>HYPERLINK("http://alrajhi-capital.com","alrajhi-capital.com")</f>
        <v>alrajhi-capital.com</v>
      </c>
      <c r="C1464" t="s">
        <v>433</v>
      </c>
      <c r="F1464">
        <v>4.7384934205495198E-8</v>
      </c>
      <c r="G1464">
        <v>983333</v>
      </c>
      <c r="H1464">
        <v>14586128</v>
      </c>
      <c r="I1464">
        <v>700788</v>
      </c>
      <c r="J1464">
        <v>4</v>
      </c>
    </row>
    <row r="1465" spans="1:10" x14ac:dyDescent="0.25">
      <c r="A1465" t="s">
        <v>22</v>
      </c>
      <c r="B1465" s="1" t="str">
        <f>HYPERLINK("http://alrajhibank.com.jo","alrajhibank.com.jo")</f>
        <v>alrajhibank.com.jo</v>
      </c>
      <c r="C1465" t="s">
        <v>519</v>
      </c>
      <c r="D1465" t="s">
        <v>889</v>
      </c>
      <c r="F1465">
        <v>1.9805684392565E-8</v>
      </c>
      <c r="G1465">
        <v>2692259</v>
      </c>
      <c r="H1465">
        <v>12344538</v>
      </c>
      <c r="I1465">
        <v>19860880</v>
      </c>
      <c r="J1465">
        <v>2</v>
      </c>
    </row>
    <row r="1466" spans="1:10" x14ac:dyDescent="0.25">
      <c r="A1466" t="s">
        <v>22</v>
      </c>
      <c r="B1466" s="1" t="str">
        <f>HYPERLINK("http://alrajhibank.com.my","alrajhibank.com.my")</f>
        <v>alrajhibank.com.my</v>
      </c>
      <c r="C1466" t="s">
        <v>472</v>
      </c>
      <c r="D1466" t="s">
        <v>848</v>
      </c>
      <c r="E1466">
        <v>783349</v>
      </c>
      <c r="F1466">
        <v>4.5971838657367902E-8</v>
      </c>
      <c r="G1466">
        <v>1021339</v>
      </c>
      <c r="H1466">
        <v>14552292</v>
      </c>
      <c r="I1466">
        <v>756946</v>
      </c>
      <c r="J1466">
        <v>2</v>
      </c>
    </row>
    <row r="1467" spans="1:10" x14ac:dyDescent="0.25">
      <c r="A1467" t="s">
        <v>22</v>
      </c>
      <c r="B1467" s="1" t="str">
        <f>HYPERLINK("http://alrajhicashbiz24seven.com.my","alrajhicashbiz24seven.com.my")</f>
        <v>alrajhicashbiz24seven.com.my</v>
      </c>
      <c r="C1467" t="s">
        <v>472</v>
      </c>
      <c r="D1467" t="s">
        <v>848</v>
      </c>
      <c r="F1467">
        <v>5.6288622077331397E-9</v>
      </c>
      <c r="G1467">
        <v>19588313</v>
      </c>
      <c r="H1467">
        <v>10965639</v>
      </c>
      <c r="I1467">
        <v>34230491</v>
      </c>
      <c r="J1467">
        <v>5</v>
      </c>
    </row>
    <row r="1468" spans="1:10" x14ac:dyDescent="0.25">
      <c r="A1468" t="s">
        <v>22</v>
      </c>
      <c r="B1468" s="1" t="str">
        <f>HYPERLINK("http://arb.sa","arb.sa")</f>
        <v>arb.sa</v>
      </c>
      <c r="C1468" t="s">
        <v>494</v>
      </c>
      <c r="D1468" t="s">
        <v>868</v>
      </c>
      <c r="F1468">
        <v>9.5088827307333298E-9</v>
      </c>
      <c r="G1468">
        <v>7312055</v>
      </c>
      <c r="H1468">
        <v>12173050</v>
      </c>
      <c r="I1468">
        <v>23990035</v>
      </c>
      <c r="J1468">
        <v>2</v>
      </c>
    </row>
    <row r="1469" spans="1:10" x14ac:dyDescent="0.25">
      <c r="A1469" t="s">
        <v>22</v>
      </c>
      <c r="B1469" s="1" t="str">
        <f>HYPERLINK("http://almubasher.com.sa","almubasher.com.sa")</f>
        <v>almubasher.com.sa</v>
      </c>
      <c r="C1469" t="s">
        <v>494</v>
      </c>
      <c r="D1469" t="s">
        <v>868</v>
      </c>
      <c r="E1469">
        <v>29325</v>
      </c>
      <c r="F1469">
        <v>3.2692551372837499E-8</v>
      </c>
      <c r="G1469">
        <v>1580608</v>
      </c>
      <c r="H1469">
        <v>13242778</v>
      </c>
      <c r="I1469">
        <v>11203454</v>
      </c>
      <c r="J1469">
        <v>2</v>
      </c>
    </row>
    <row r="1470" spans="1:10" x14ac:dyDescent="0.25">
      <c r="A1470" t="s">
        <v>22</v>
      </c>
      <c r="B1470" s="1" t="str">
        <f>HYPERLINK("http://alrajhibank.com.sa","alrajhibank.com.sa")</f>
        <v>alrajhibank.com.sa</v>
      </c>
      <c r="C1470" t="s">
        <v>494</v>
      </c>
      <c r="D1470" t="s">
        <v>868</v>
      </c>
      <c r="E1470">
        <v>16437</v>
      </c>
      <c r="F1470">
        <v>3.13515147788446E-7</v>
      </c>
      <c r="G1470">
        <v>118567</v>
      </c>
      <c r="H1470">
        <v>17025794</v>
      </c>
      <c r="I1470">
        <v>86767</v>
      </c>
      <c r="J1470">
        <v>1</v>
      </c>
    </row>
    <row r="1471" spans="1:10" x14ac:dyDescent="0.25">
      <c r="A1471" t="s">
        <v>23</v>
      </c>
      <c r="B1471" s="1" t="str">
        <f>HYPERLINK("http://alcon.at","alcon.at")</f>
        <v>alcon.at</v>
      </c>
      <c r="C1471" t="s">
        <v>419</v>
      </c>
      <c r="D1471" t="s">
        <v>801</v>
      </c>
      <c r="F1471">
        <v>1.10348981677224E-8</v>
      </c>
      <c r="G1471">
        <v>5833598</v>
      </c>
      <c r="H1471">
        <v>12130741</v>
      </c>
      <c r="I1471">
        <v>25121200</v>
      </c>
      <c r="J1471">
        <v>2</v>
      </c>
    </row>
    <row r="1472" spans="1:10" x14ac:dyDescent="0.25">
      <c r="A1472" t="s">
        <v>23</v>
      </c>
      <c r="B1472" s="1" t="str">
        <f>HYPERLINK("http://alcon.ca","alcon.ca")</f>
        <v>alcon.ca</v>
      </c>
      <c r="C1472" t="s">
        <v>428</v>
      </c>
      <c r="D1472" t="s">
        <v>809</v>
      </c>
      <c r="F1472">
        <v>4.7373032398760202E-8</v>
      </c>
      <c r="G1472">
        <v>983636</v>
      </c>
      <c r="H1472">
        <v>12745202</v>
      </c>
      <c r="I1472">
        <v>15089949</v>
      </c>
      <c r="J1472">
        <v>2</v>
      </c>
    </row>
    <row r="1473" spans="1:10" x14ac:dyDescent="0.25">
      <c r="A1473" t="s">
        <v>23</v>
      </c>
      <c r="B1473" s="1" t="str">
        <f>HYPERLINK("http://alcon.ch","alcon.ch")</f>
        <v>alcon.ch</v>
      </c>
      <c r="C1473" t="s">
        <v>429</v>
      </c>
      <c r="D1473" t="s">
        <v>810</v>
      </c>
      <c r="F1473">
        <v>2.32262477550829E-8</v>
      </c>
      <c r="G1473">
        <v>2246803</v>
      </c>
      <c r="H1473">
        <v>12292094</v>
      </c>
      <c r="I1473">
        <v>21056754</v>
      </c>
      <c r="J1473">
        <v>2</v>
      </c>
    </row>
    <row r="1474" spans="1:10" x14ac:dyDescent="0.25">
      <c r="A1474" t="s">
        <v>23</v>
      </c>
      <c r="B1474" s="1" t="str">
        <f>HYPERLINK("http://alcon.com.cn","alcon.com.cn")</f>
        <v>alcon.com.cn</v>
      </c>
      <c r="C1474" t="s">
        <v>431</v>
      </c>
      <c r="D1474" t="s">
        <v>812</v>
      </c>
      <c r="F1474">
        <v>3.4665943892362801E-8</v>
      </c>
      <c r="G1474">
        <v>1496994</v>
      </c>
      <c r="H1474">
        <v>12319429</v>
      </c>
      <c r="I1474">
        <v>20430648</v>
      </c>
      <c r="J1474">
        <v>2</v>
      </c>
    </row>
    <row r="1475" spans="1:10" x14ac:dyDescent="0.25">
      <c r="A1475" t="s">
        <v>23</v>
      </c>
      <c r="B1475" s="1" t="str">
        <f>HYPERLINK("http://aeriepharma.com","aeriepharma.com")</f>
        <v>aeriepharma.com</v>
      </c>
      <c r="C1475" t="s">
        <v>433</v>
      </c>
      <c r="F1475">
        <v>4.4130482058658402E-8</v>
      </c>
      <c r="G1475">
        <v>1077252</v>
      </c>
      <c r="H1475">
        <v>14234368</v>
      </c>
      <c r="I1475">
        <v>1669374</v>
      </c>
      <c r="J1475">
        <v>3</v>
      </c>
    </row>
    <row r="1476" spans="1:10" x14ac:dyDescent="0.25">
      <c r="A1476" t="s">
        <v>23</v>
      </c>
      <c r="B1476" s="1" t="str">
        <f>HYPERLINK("http://alcon.com","alcon.com")</f>
        <v>alcon.com</v>
      </c>
      <c r="C1476" t="s">
        <v>433</v>
      </c>
      <c r="E1476">
        <v>69598</v>
      </c>
      <c r="F1476">
        <v>6.71699693792062E-7</v>
      </c>
      <c r="G1476">
        <v>57338</v>
      </c>
      <c r="H1476">
        <v>17196158</v>
      </c>
      <c r="I1476">
        <v>42480</v>
      </c>
      <c r="J1476">
        <v>1</v>
      </c>
    </row>
    <row r="1477" spans="1:10" x14ac:dyDescent="0.25">
      <c r="A1477" t="s">
        <v>23</v>
      </c>
      <c r="B1477" s="1" t="str">
        <f>HYPERLINK("http://alconmagnifeye.com","alconmagnifeye.com")</f>
        <v>alconmagnifeye.com</v>
      </c>
      <c r="C1477" t="s">
        <v>433</v>
      </c>
      <c r="J1477">
        <v>3</v>
      </c>
    </row>
    <row r="1478" spans="1:10" x14ac:dyDescent="0.25">
      <c r="A1478" t="s">
        <v>23</v>
      </c>
      <c r="B1478" s="1" t="str">
        <f>HYPERLINK("http://ivantisinc.com","ivantisinc.com")</f>
        <v>ivantisinc.com</v>
      </c>
      <c r="C1478" t="s">
        <v>433</v>
      </c>
      <c r="F1478">
        <v>3.1403314917481201E-8</v>
      </c>
      <c r="G1478">
        <v>1642473</v>
      </c>
      <c r="H1478">
        <v>13447414</v>
      </c>
      <c r="I1478">
        <v>10214622</v>
      </c>
      <c r="J1478">
        <v>3</v>
      </c>
    </row>
    <row r="1479" spans="1:10" x14ac:dyDescent="0.25">
      <c r="A1479" t="s">
        <v>23</v>
      </c>
      <c r="B1479" s="1" t="str">
        <f>HYPERLINK("http://myalcon.com","myalcon.com")</f>
        <v>myalcon.com</v>
      </c>
      <c r="C1479" t="s">
        <v>433</v>
      </c>
      <c r="E1479">
        <v>82316</v>
      </c>
      <c r="F1479">
        <v>9.1363815236018799E-7</v>
      </c>
      <c r="G1479">
        <v>42476</v>
      </c>
      <c r="H1479">
        <v>14168095</v>
      </c>
      <c r="I1479">
        <v>1813639</v>
      </c>
      <c r="J1479">
        <v>3</v>
      </c>
    </row>
    <row r="1480" spans="1:10" x14ac:dyDescent="0.25">
      <c r="A1480" t="s">
        <v>23</v>
      </c>
      <c r="B1480" s="1" t="str">
        <f>HYPERLINK("http://powervisionlens.com","powervisionlens.com")</f>
        <v>powervisionlens.com</v>
      </c>
      <c r="C1480" t="s">
        <v>433</v>
      </c>
      <c r="F1480">
        <v>8.8485251598973405E-9</v>
      </c>
      <c r="G1480">
        <v>8226795</v>
      </c>
      <c r="H1480">
        <v>13298780</v>
      </c>
      <c r="I1480">
        <v>10836836</v>
      </c>
      <c r="J1480">
        <v>3</v>
      </c>
    </row>
    <row r="1481" spans="1:10" x14ac:dyDescent="0.25">
      <c r="A1481" t="s">
        <v>23</v>
      </c>
      <c r="B1481" s="1" t="str">
        <f>HYPERLINK("http://tearfilm.com","tearfilm.com")</f>
        <v>tearfilm.com</v>
      </c>
      <c r="C1481" t="s">
        <v>433</v>
      </c>
      <c r="F1481">
        <v>8.8405847101907307E-9</v>
      </c>
      <c r="G1481">
        <v>8239526</v>
      </c>
      <c r="H1481">
        <v>11668964</v>
      </c>
      <c r="I1481">
        <v>29869279</v>
      </c>
      <c r="J1481">
        <v>3</v>
      </c>
    </row>
    <row r="1482" spans="1:10" x14ac:dyDescent="0.25">
      <c r="A1482" t="s">
        <v>23</v>
      </c>
      <c r="B1482" s="1" t="str">
        <f>HYPERLINK("http://truevisionsys.com","truevisionsys.com")</f>
        <v>truevisionsys.com</v>
      </c>
      <c r="C1482" t="s">
        <v>433</v>
      </c>
      <c r="F1482">
        <v>1.61287600485089E-8</v>
      </c>
      <c r="G1482">
        <v>3513402</v>
      </c>
      <c r="H1482">
        <v>13788907</v>
      </c>
      <c r="I1482">
        <v>6359858</v>
      </c>
      <c r="J1482">
        <v>6</v>
      </c>
    </row>
    <row r="1483" spans="1:10" x14ac:dyDescent="0.25">
      <c r="A1483" t="s">
        <v>23</v>
      </c>
      <c r="B1483" s="1" t="str">
        <f>HYPERLINK("http://alcon-pharma.de","alcon-pharma.de")</f>
        <v>alcon-pharma.de</v>
      </c>
      <c r="C1483" t="s">
        <v>436</v>
      </c>
      <c r="D1483" t="s">
        <v>815</v>
      </c>
      <c r="F1483">
        <v>1.13150798651702E-8</v>
      </c>
      <c r="G1483">
        <v>5632182</v>
      </c>
      <c r="H1483">
        <v>12356678</v>
      </c>
      <c r="I1483">
        <v>19649168</v>
      </c>
      <c r="J1483">
        <v>4</v>
      </c>
    </row>
    <row r="1484" spans="1:10" x14ac:dyDescent="0.25">
      <c r="A1484" t="s">
        <v>23</v>
      </c>
      <c r="B1484" s="1" t="str">
        <f>HYPERLINK("http://cibavision.de","cibavision.de")</f>
        <v>cibavision.de</v>
      </c>
      <c r="C1484" t="s">
        <v>436</v>
      </c>
      <c r="D1484" t="s">
        <v>815</v>
      </c>
      <c r="F1484">
        <v>1.7060616498593401E-8</v>
      </c>
      <c r="G1484">
        <v>3269489</v>
      </c>
      <c r="H1484">
        <v>14072536</v>
      </c>
      <c r="I1484">
        <v>3076720</v>
      </c>
      <c r="J1484">
        <v>3</v>
      </c>
    </row>
    <row r="1485" spans="1:10" x14ac:dyDescent="0.25">
      <c r="A1485" t="s">
        <v>23</v>
      </c>
      <c r="B1485" s="1" t="str">
        <f>HYPERLINK("http://alcon.dk","alcon.dk")</f>
        <v>alcon.dk</v>
      </c>
      <c r="C1485" t="s">
        <v>437</v>
      </c>
      <c r="D1485" t="s">
        <v>816</v>
      </c>
      <c r="F1485">
        <v>1.9280828986098499E-8</v>
      </c>
      <c r="G1485">
        <v>2785243</v>
      </c>
      <c r="H1485">
        <v>12133292</v>
      </c>
      <c r="I1485">
        <v>25045729</v>
      </c>
      <c r="J1485">
        <v>2</v>
      </c>
    </row>
    <row r="1486" spans="1:10" x14ac:dyDescent="0.25">
      <c r="A1486" t="s">
        <v>23</v>
      </c>
      <c r="B1486" s="1" t="str">
        <f>HYPERLINK("http://alcon.es","alcon.es")</f>
        <v>alcon.es</v>
      </c>
      <c r="C1486" t="s">
        <v>443</v>
      </c>
      <c r="D1486" t="s">
        <v>822</v>
      </c>
      <c r="F1486">
        <v>3.3649767368407202E-8</v>
      </c>
      <c r="G1486">
        <v>1537094</v>
      </c>
      <c r="H1486">
        <v>13941939</v>
      </c>
      <c r="I1486">
        <v>4339379</v>
      </c>
      <c r="J1486">
        <v>2</v>
      </c>
    </row>
    <row r="1487" spans="1:10" x14ac:dyDescent="0.25">
      <c r="A1487" t="s">
        <v>23</v>
      </c>
      <c r="B1487" s="1" t="str">
        <f>HYPERLINK("http://airoptix.fi","airoptix.fi")</f>
        <v>airoptix.fi</v>
      </c>
      <c r="C1487" t="s">
        <v>445</v>
      </c>
      <c r="D1487" t="s">
        <v>823</v>
      </c>
      <c r="F1487">
        <v>4.5840980093510399E-9</v>
      </c>
      <c r="G1487">
        <v>48942061</v>
      </c>
      <c r="H1487">
        <v>8514177</v>
      </c>
      <c r="I1487">
        <v>71917012</v>
      </c>
      <c r="J1487">
        <v>4</v>
      </c>
    </row>
    <row r="1488" spans="1:10" x14ac:dyDescent="0.25">
      <c r="A1488" t="s">
        <v>23</v>
      </c>
      <c r="B1488" s="1" t="str">
        <f>HYPERLINK("http://alcon.fi","alcon.fi")</f>
        <v>alcon.fi</v>
      </c>
      <c r="C1488" t="s">
        <v>445</v>
      </c>
      <c r="D1488" t="s">
        <v>823</v>
      </c>
      <c r="F1488">
        <v>1.7338368829556601E-8</v>
      </c>
      <c r="G1488">
        <v>3189822</v>
      </c>
      <c r="H1488">
        <v>12303718</v>
      </c>
      <c r="I1488">
        <v>20758045</v>
      </c>
      <c r="J1488">
        <v>2</v>
      </c>
    </row>
    <row r="1489" spans="1:10" x14ac:dyDescent="0.25">
      <c r="A1489" t="s">
        <v>23</v>
      </c>
      <c r="B1489" s="1" t="str">
        <f>HYPERLINK("http://alconchoice.fi","alconchoice.fi")</f>
        <v>alconchoice.fi</v>
      </c>
      <c r="C1489" t="s">
        <v>445</v>
      </c>
      <c r="D1489" t="s">
        <v>823</v>
      </c>
      <c r="J1489">
        <v>4</v>
      </c>
    </row>
    <row r="1490" spans="1:10" x14ac:dyDescent="0.25">
      <c r="A1490" t="s">
        <v>23</v>
      </c>
      <c r="B1490" s="1" t="str">
        <f>HYPERLINK("http://cibavision.fi","cibavision.fi")</f>
        <v>cibavision.fi</v>
      </c>
      <c r="C1490" t="s">
        <v>445</v>
      </c>
      <c r="D1490" t="s">
        <v>823</v>
      </c>
      <c r="F1490">
        <v>4.4885066828258698E-9</v>
      </c>
      <c r="G1490">
        <v>60762032</v>
      </c>
      <c r="H1490">
        <v>10508617</v>
      </c>
      <c r="I1490">
        <v>50239548</v>
      </c>
      <c r="J1490">
        <v>4</v>
      </c>
    </row>
    <row r="1491" spans="1:10" x14ac:dyDescent="0.25">
      <c r="A1491" t="s">
        <v>23</v>
      </c>
      <c r="B1491" s="1" t="str">
        <f>HYPERLINK("http://dailies.fi","dailies.fi")</f>
        <v>dailies.fi</v>
      </c>
      <c r="C1491" t="s">
        <v>445</v>
      </c>
      <c r="D1491" t="s">
        <v>823</v>
      </c>
      <c r="F1491">
        <v>4.6395962601647097E-9</v>
      </c>
      <c r="G1491">
        <v>44809185</v>
      </c>
      <c r="H1491">
        <v>13763634</v>
      </c>
      <c r="I1491">
        <v>8460590</v>
      </c>
      <c r="J1491">
        <v>4</v>
      </c>
    </row>
    <row r="1492" spans="1:10" x14ac:dyDescent="0.25">
      <c r="A1492" t="s">
        <v>23</v>
      </c>
      <c r="B1492" s="1" t="str">
        <f>HYPERLINK("http://kokeilepiilareita.fi","kokeilepiilareita.fi")</f>
        <v>kokeilepiilareita.fi</v>
      </c>
      <c r="C1492" t="s">
        <v>445</v>
      </c>
      <c r="D1492" t="s">
        <v>823</v>
      </c>
      <c r="F1492">
        <v>5.0164252737528097E-9</v>
      </c>
      <c r="G1492">
        <v>28984902</v>
      </c>
      <c r="H1492">
        <v>9399136</v>
      </c>
      <c r="I1492">
        <v>67283953</v>
      </c>
      <c r="J1492">
        <v>4</v>
      </c>
    </row>
    <row r="1493" spans="1:10" x14ac:dyDescent="0.25">
      <c r="A1493" t="s">
        <v>23</v>
      </c>
      <c r="B1493" s="1" t="str">
        <f>HYPERLINK("http://myalcon.fi","myalcon.fi")</f>
        <v>myalcon.fi</v>
      </c>
      <c r="C1493" t="s">
        <v>445</v>
      </c>
      <c r="D1493" t="s">
        <v>823</v>
      </c>
      <c r="F1493">
        <v>7.8800536414356001E-9</v>
      </c>
      <c r="G1493">
        <v>10151502</v>
      </c>
      <c r="H1493">
        <v>10554994</v>
      </c>
      <c r="I1493">
        <v>46524776</v>
      </c>
      <c r="J1493">
        <v>4</v>
      </c>
    </row>
    <row r="1494" spans="1:10" x14ac:dyDescent="0.25">
      <c r="A1494" t="s">
        <v>23</v>
      </c>
      <c r="B1494" s="1" t="str">
        <f>HYPERLINK("http://nako55.fi","nako55.fi")</f>
        <v>nako55.fi</v>
      </c>
      <c r="C1494" t="s">
        <v>445</v>
      </c>
      <c r="D1494" t="s">
        <v>823</v>
      </c>
      <c r="F1494">
        <v>4.44380395335525E-9</v>
      </c>
      <c r="G1494">
        <v>84778977</v>
      </c>
      <c r="H1494">
        <v>0</v>
      </c>
      <c r="I1494">
        <v>85893569</v>
      </c>
      <c r="J1494">
        <v>4</v>
      </c>
    </row>
    <row r="1495" spans="1:10" x14ac:dyDescent="0.25">
      <c r="A1495" t="s">
        <v>23</v>
      </c>
      <c r="B1495" s="1" t="str">
        <f>HYPERLINK("http://nk55.fi","nk55.fi")</f>
        <v>nk55.fi</v>
      </c>
      <c r="C1495" t="s">
        <v>445</v>
      </c>
      <c r="D1495" t="s">
        <v>823</v>
      </c>
      <c r="J1495">
        <v>4</v>
      </c>
    </row>
    <row r="1496" spans="1:10" x14ac:dyDescent="0.25">
      <c r="A1496" t="s">
        <v>23</v>
      </c>
      <c r="B1496" s="1" t="str">
        <f>HYPERLINK("http://precision1.fi","precision1.fi")</f>
        <v>precision1.fi</v>
      </c>
      <c r="C1496" t="s">
        <v>445</v>
      </c>
      <c r="D1496" t="s">
        <v>823</v>
      </c>
      <c r="J1496">
        <v>4</v>
      </c>
    </row>
    <row r="1497" spans="1:10" x14ac:dyDescent="0.25">
      <c r="A1497" t="s">
        <v>23</v>
      </c>
      <c r="B1497" s="1" t="str">
        <f>HYPERLINK("http://seethedetails.fi","seethedetails.fi")</f>
        <v>seethedetails.fi</v>
      </c>
      <c r="C1497" t="s">
        <v>445</v>
      </c>
      <c r="D1497" t="s">
        <v>823</v>
      </c>
      <c r="J1497">
        <v>4</v>
      </c>
    </row>
    <row r="1498" spans="1:10" x14ac:dyDescent="0.25">
      <c r="A1498" t="s">
        <v>23</v>
      </c>
      <c r="B1498" s="1" t="str">
        <f>HYPERLINK("http://sinunnakosisinunvalintasi.fi","sinunnakosisinunvalintasi.fi")</f>
        <v>sinunnakosisinunvalintasi.fi</v>
      </c>
      <c r="C1498" t="s">
        <v>445</v>
      </c>
      <c r="D1498" t="s">
        <v>823</v>
      </c>
      <c r="F1498">
        <v>5.1825238691680003E-9</v>
      </c>
      <c r="G1498">
        <v>25475114</v>
      </c>
      <c r="H1498">
        <v>9478413</v>
      </c>
      <c r="I1498">
        <v>66048899</v>
      </c>
      <c r="J1498">
        <v>4</v>
      </c>
    </row>
    <row r="1499" spans="1:10" x14ac:dyDescent="0.25">
      <c r="A1499" t="s">
        <v>23</v>
      </c>
      <c r="B1499" s="1" t="str">
        <f>HYPERLINK("http://systane.fi","systane.fi")</f>
        <v>systane.fi</v>
      </c>
      <c r="C1499" t="s">
        <v>445</v>
      </c>
      <c r="D1499" t="s">
        <v>823</v>
      </c>
      <c r="F1499">
        <v>8.0700615173716302E-9</v>
      </c>
      <c r="G1499">
        <v>9794312</v>
      </c>
      <c r="H1499">
        <v>13763722</v>
      </c>
      <c r="I1499">
        <v>7745613</v>
      </c>
      <c r="J1499">
        <v>4</v>
      </c>
    </row>
    <row r="1500" spans="1:10" x14ac:dyDescent="0.25">
      <c r="A1500" t="s">
        <v>23</v>
      </c>
      <c r="B1500" s="1" t="str">
        <f>HYPERLINK("http://systane-learning.fi","systane-learning.fi")</f>
        <v>systane-learning.fi</v>
      </c>
      <c r="C1500" t="s">
        <v>445</v>
      </c>
      <c r="D1500" t="s">
        <v>823</v>
      </c>
      <c r="J1500">
        <v>4</v>
      </c>
    </row>
    <row r="1501" spans="1:10" x14ac:dyDescent="0.25">
      <c r="A1501" t="s">
        <v>23</v>
      </c>
      <c r="B1501" s="1" t="str">
        <f>HYPERLINK("http://total1.fi","total1.fi")</f>
        <v>total1.fi</v>
      </c>
      <c r="C1501" t="s">
        <v>445</v>
      </c>
      <c r="D1501" t="s">
        <v>823</v>
      </c>
      <c r="J1501">
        <v>4</v>
      </c>
    </row>
    <row r="1502" spans="1:10" x14ac:dyDescent="0.25">
      <c r="A1502" t="s">
        <v>23</v>
      </c>
      <c r="B1502" s="1" t="str">
        <f>HYPERLINK("http://total30.fi","total30.fi")</f>
        <v>total30.fi</v>
      </c>
      <c r="C1502" t="s">
        <v>445</v>
      </c>
      <c r="D1502" t="s">
        <v>823</v>
      </c>
      <c r="J1502">
        <v>4</v>
      </c>
    </row>
    <row r="1503" spans="1:10" x14ac:dyDescent="0.25">
      <c r="A1503" t="s">
        <v>23</v>
      </c>
      <c r="B1503" s="1" t="str">
        <f>HYPERLINK("http://wearlenses.fi","wearlenses.fi")</f>
        <v>wearlenses.fi</v>
      </c>
      <c r="C1503" t="s">
        <v>445</v>
      </c>
      <c r="D1503" t="s">
        <v>823</v>
      </c>
      <c r="F1503">
        <v>1.31855180310015E-8</v>
      </c>
      <c r="G1503">
        <v>4544680</v>
      </c>
      <c r="H1503">
        <v>12142588</v>
      </c>
      <c r="I1503">
        <v>24819623</v>
      </c>
      <c r="J1503">
        <v>4</v>
      </c>
    </row>
    <row r="1504" spans="1:10" x14ac:dyDescent="0.25">
      <c r="A1504" t="s">
        <v>23</v>
      </c>
      <c r="B1504" s="1" t="str">
        <f>HYPERLINK("http://alcon.fr","alcon.fr")</f>
        <v>alcon.fr</v>
      </c>
      <c r="C1504" t="s">
        <v>446</v>
      </c>
      <c r="D1504" t="s">
        <v>824</v>
      </c>
      <c r="F1504">
        <v>2.6168141912954899E-8</v>
      </c>
      <c r="G1504">
        <v>1968501</v>
      </c>
      <c r="H1504">
        <v>12220890</v>
      </c>
      <c r="I1504">
        <v>22769121</v>
      </c>
      <c r="J1504">
        <v>2</v>
      </c>
    </row>
    <row r="1505" spans="1:10" x14ac:dyDescent="0.25">
      <c r="A1505" t="s">
        <v>23</v>
      </c>
      <c r="B1505" s="1" t="str">
        <f>HYPERLINK("http://alcon.hu","alcon.hu")</f>
        <v>alcon.hu</v>
      </c>
      <c r="C1505" t="s">
        <v>453</v>
      </c>
      <c r="D1505" t="s">
        <v>830</v>
      </c>
      <c r="F1505">
        <v>1.2208466936990199E-8</v>
      </c>
      <c r="G1505">
        <v>5045702</v>
      </c>
      <c r="H1505">
        <v>12130294</v>
      </c>
      <c r="I1505">
        <v>25131925</v>
      </c>
      <c r="J1505">
        <v>2</v>
      </c>
    </row>
    <row r="1506" spans="1:10" x14ac:dyDescent="0.25">
      <c r="A1506" t="s">
        <v>23</v>
      </c>
      <c r="B1506" s="1" t="str">
        <f>HYPERLINK("http://alcon.co.it","alcon.co.it")</f>
        <v>alcon.co.it</v>
      </c>
      <c r="C1506" t="s">
        <v>459</v>
      </c>
      <c r="D1506" t="s">
        <v>835</v>
      </c>
      <c r="F1506">
        <v>1.40226096685036E-8</v>
      </c>
      <c r="G1506">
        <v>4194190</v>
      </c>
      <c r="H1506">
        <v>12108493</v>
      </c>
      <c r="I1506">
        <v>25774891</v>
      </c>
      <c r="J1506">
        <v>2</v>
      </c>
    </row>
    <row r="1507" spans="1:10" x14ac:dyDescent="0.25">
      <c r="A1507" t="s">
        <v>23</v>
      </c>
      <c r="B1507" s="1" t="str">
        <f>HYPERLINK("http://alcon.co.jp","alcon.co.jp")</f>
        <v>alcon.co.jp</v>
      </c>
      <c r="C1507" t="s">
        <v>461</v>
      </c>
      <c r="D1507" t="s">
        <v>837</v>
      </c>
      <c r="F1507">
        <v>1.130742477072E-7</v>
      </c>
      <c r="G1507">
        <v>353020</v>
      </c>
      <c r="H1507">
        <v>17004912</v>
      </c>
      <c r="I1507">
        <v>92809</v>
      </c>
      <c r="J1507">
        <v>2</v>
      </c>
    </row>
    <row r="1508" spans="1:10" x14ac:dyDescent="0.25">
      <c r="A1508" t="s">
        <v>23</v>
      </c>
      <c r="B1508" s="1" t="str">
        <f>HYPERLINK("http://alcon.co.kr","alcon.co.kr")</f>
        <v>alcon.co.kr</v>
      </c>
      <c r="C1508" t="s">
        <v>463</v>
      </c>
      <c r="D1508" t="s">
        <v>839</v>
      </c>
      <c r="F1508">
        <v>1.30923438602651E-8</v>
      </c>
      <c r="G1508">
        <v>4587566</v>
      </c>
      <c r="H1508">
        <v>12131012</v>
      </c>
      <c r="I1508">
        <v>25108772</v>
      </c>
      <c r="J1508">
        <v>2</v>
      </c>
    </row>
    <row r="1509" spans="1:10" x14ac:dyDescent="0.25">
      <c r="A1509" t="s">
        <v>23</v>
      </c>
      <c r="B1509" s="1" t="str">
        <f>HYPERLINK("http://alcon.mx","alcon.mx")</f>
        <v>alcon.mx</v>
      </c>
      <c r="C1509" t="s">
        <v>471</v>
      </c>
      <c r="D1509" t="s">
        <v>847</v>
      </c>
      <c r="F1509">
        <v>9.4275374886992801E-9</v>
      </c>
      <c r="G1509">
        <v>7410311</v>
      </c>
      <c r="H1509">
        <v>12118221</v>
      </c>
      <c r="I1509">
        <v>25452159</v>
      </c>
      <c r="J1509">
        <v>2</v>
      </c>
    </row>
    <row r="1510" spans="1:10" x14ac:dyDescent="0.25">
      <c r="A1510" t="s">
        <v>23</v>
      </c>
      <c r="B1510" s="1" t="str">
        <f>HYPERLINK("http://alcon.net","alcon.net")</f>
        <v>alcon.net</v>
      </c>
      <c r="C1510" t="s">
        <v>474</v>
      </c>
      <c r="E1510">
        <v>132698</v>
      </c>
      <c r="F1510">
        <v>4.44380996400719E-9</v>
      </c>
      <c r="G1510">
        <v>79639477</v>
      </c>
      <c r="H1510">
        <v>10351910</v>
      </c>
      <c r="I1510">
        <v>56145385</v>
      </c>
      <c r="J1510">
        <v>3</v>
      </c>
    </row>
    <row r="1511" spans="1:10" x14ac:dyDescent="0.25">
      <c r="A1511" t="s">
        <v>23</v>
      </c>
      <c r="B1511" s="1" t="str">
        <f>HYPERLINK("http://myalconstore.net","myalconstore.net")</f>
        <v>myalconstore.net</v>
      </c>
      <c r="C1511" t="s">
        <v>474</v>
      </c>
      <c r="J1511">
        <v>3</v>
      </c>
    </row>
    <row r="1512" spans="1:10" x14ac:dyDescent="0.25">
      <c r="A1512" t="s">
        <v>23</v>
      </c>
      <c r="B1512" s="1" t="str">
        <f>HYPERLINK("http://alcon.no","alcon.no")</f>
        <v>alcon.no</v>
      </c>
      <c r="C1512" t="s">
        <v>478</v>
      </c>
      <c r="D1512" t="s">
        <v>853</v>
      </c>
      <c r="F1512">
        <v>1.61880037392617E-8</v>
      </c>
      <c r="G1512">
        <v>3498461</v>
      </c>
      <c r="H1512">
        <v>12110525</v>
      </c>
      <c r="I1512">
        <v>25711674</v>
      </c>
      <c r="J1512">
        <v>2</v>
      </c>
    </row>
    <row r="1513" spans="1:10" x14ac:dyDescent="0.25">
      <c r="A1513" t="s">
        <v>23</v>
      </c>
      <c r="B1513" s="1" t="str">
        <f>HYPERLINK("http://myalcon.no","myalcon.no")</f>
        <v>myalcon.no</v>
      </c>
      <c r="C1513" t="s">
        <v>478</v>
      </c>
      <c r="D1513" t="s">
        <v>853</v>
      </c>
      <c r="F1513">
        <v>7.8800536414356001E-9</v>
      </c>
      <c r="G1513">
        <v>10151505</v>
      </c>
      <c r="H1513">
        <v>10554994</v>
      </c>
      <c r="I1513">
        <v>46524797</v>
      </c>
      <c r="J1513">
        <v>4</v>
      </c>
    </row>
    <row r="1514" spans="1:10" x14ac:dyDescent="0.25">
      <c r="A1514" t="s">
        <v>23</v>
      </c>
      <c r="B1514" s="1" t="str">
        <f>HYPERLINK("http://alcon.pt","alcon.pt")</f>
        <v>alcon.pt</v>
      </c>
      <c r="C1514" t="s">
        <v>488</v>
      </c>
      <c r="D1514" t="s">
        <v>862</v>
      </c>
      <c r="F1514">
        <v>1.3622950070557201E-8</v>
      </c>
      <c r="G1514">
        <v>4352456</v>
      </c>
      <c r="H1514">
        <v>12323300</v>
      </c>
      <c r="I1514">
        <v>20352734</v>
      </c>
      <c r="J1514">
        <v>2</v>
      </c>
    </row>
    <row r="1515" spans="1:10" x14ac:dyDescent="0.25">
      <c r="A1515" t="s">
        <v>23</v>
      </c>
      <c r="B1515" s="1" t="str">
        <f>HYPERLINK("http://alcon.ru","alcon.ru")</f>
        <v>alcon.ru</v>
      </c>
      <c r="C1515" t="s">
        <v>493</v>
      </c>
      <c r="D1515" t="s">
        <v>867</v>
      </c>
      <c r="F1515">
        <v>2.4316180697535601E-8</v>
      </c>
      <c r="G1515">
        <v>2132333</v>
      </c>
      <c r="H1515">
        <v>12299469</v>
      </c>
      <c r="I1515">
        <v>20846250</v>
      </c>
      <c r="J1515">
        <v>2</v>
      </c>
    </row>
    <row r="1516" spans="1:10" x14ac:dyDescent="0.25">
      <c r="A1516" t="s">
        <v>23</v>
      </c>
      <c r="B1516" s="1" t="str">
        <f>HYPERLINK("http://alcon.se","alcon.se")</f>
        <v>alcon.se</v>
      </c>
      <c r="C1516" t="s">
        <v>495</v>
      </c>
      <c r="D1516" t="s">
        <v>869</v>
      </c>
      <c r="F1516">
        <v>1.8315028579450201E-8</v>
      </c>
      <c r="G1516">
        <v>2964512</v>
      </c>
      <c r="H1516">
        <v>12147339</v>
      </c>
      <c r="I1516">
        <v>24692853</v>
      </c>
      <c r="J1516">
        <v>2</v>
      </c>
    </row>
    <row r="1517" spans="1:10" x14ac:dyDescent="0.25">
      <c r="A1517" t="s">
        <v>23</v>
      </c>
      <c r="B1517" s="1" t="str">
        <f>HYPERLINK("http://myalcon.se","myalcon.se")</f>
        <v>myalcon.se</v>
      </c>
      <c r="C1517" t="s">
        <v>495</v>
      </c>
      <c r="D1517" t="s">
        <v>869</v>
      </c>
      <c r="F1517">
        <v>7.8800536414356001E-9</v>
      </c>
      <c r="G1517">
        <v>10151508</v>
      </c>
      <c r="H1517">
        <v>10554994</v>
      </c>
      <c r="I1517">
        <v>46524801</v>
      </c>
      <c r="J1517">
        <v>4</v>
      </c>
    </row>
    <row r="1518" spans="1:10" x14ac:dyDescent="0.25">
      <c r="A1518" t="s">
        <v>23</v>
      </c>
      <c r="B1518" s="1" t="str">
        <f>HYPERLINK("http://cibavision.com.sg","cibavision.com.sg")</f>
        <v>cibavision.com.sg</v>
      </c>
      <c r="C1518" t="s">
        <v>496</v>
      </c>
      <c r="D1518" t="s">
        <v>870</v>
      </c>
      <c r="F1518">
        <v>7.2550573240915497E-9</v>
      </c>
      <c r="G1518">
        <v>11592862</v>
      </c>
      <c r="H1518">
        <v>14073314</v>
      </c>
      <c r="I1518">
        <v>3002662</v>
      </c>
      <c r="J1518">
        <v>3</v>
      </c>
    </row>
    <row r="1519" spans="1:10" x14ac:dyDescent="0.25">
      <c r="A1519" t="s">
        <v>23</v>
      </c>
      <c r="B1519" s="1" t="str">
        <f>HYPERLINK("http://alcon.com.tw","alcon.com.tw")</f>
        <v>alcon.com.tw</v>
      </c>
      <c r="C1519" t="s">
        <v>504</v>
      </c>
      <c r="D1519" t="s">
        <v>878</v>
      </c>
      <c r="F1519">
        <v>9.06115396101113E-9</v>
      </c>
      <c r="G1519">
        <v>7902123</v>
      </c>
      <c r="H1519">
        <v>12107699</v>
      </c>
      <c r="I1519">
        <v>25792245</v>
      </c>
      <c r="J1519">
        <v>2</v>
      </c>
    </row>
    <row r="1520" spans="1:10" x14ac:dyDescent="0.25">
      <c r="A1520" t="s">
        <v>23</v>
      </c>
      <c r="B1520" s="1" t="str">
        <f>HYPERLINK("http://alcon.ua","alcon.ua")</f>
        <v>alcon.ua</v>
      </c>
      <c r="C1520" t="s">
        <v>505</v>
      </c>
      <c r="D1520" t="s">
        <v>879</v>
      </c>
      <c r="F1520">
        <v>9.9269635181891806E-9</v>
      </c>
      <c r="G1520">
        <v>6830458</v>
      </c>
      <c r="H1520">
        <v>12096272</v>
      </c>
      <c r="I1520">
        <v>26068743</v>
      </c>
      <c r="J1520">
        <v>2</v>
      </c>
    </row>
    <row r="1521" spans="1:10" x14ac:dyDescent="0.25">
      <c r="A1521" t="s">
        <v>23</v>
      </c>
      <c r="B1521" s="1" t="str">
        <f>HYPERLINK("http://myalcon.co.uk","myalcon.co.uk")</f>
        <v>myalcon.co.uk</v>
      </c>
      <c r="C1521" t="s">
        <v>506</v>
      </c>
      <c r="D1521" t="s">
        <v>880</v>
      </c>
      <c r="F1521">
        <v>6.4453286972905804E-9</v>
      </c>
      <c r="G1521">
        <v>14314928</v>
      </c>
      <c r="H1521">
        <v>9463398</v>
      </c>
      <c r="I1521">
        <v>66304480</v>
      </c>
      <c r="J1521">
        <v>4</v>
      </c>
    </row>
    <row r="1522" spans="1:10" x14ac:dyDescent="0.25">
      <c r="A1522" t="s">
        <v>24</v>
      </c>
      <c r="B1522" s="1" t="str">
        <f>HYPERLINK("http://worldfirst.com.au","worldfirst.com.au")</f>
        <v>worldfirst.com.au</v>
      </c>
      <c r="C1522" t="s">
        <v>420</v>
      </c>
      <c r="D1522" t="s">
        <v>802</v>
      </c>
      <c r="F1522">
        <v>4.8123423827503803E-9</v>
      </c>
      <c r="G1522">
        <v>35569741</v>
      </c>
      <c r="H1522">
        <v>12153960</v>
      </c>
      <c r="I1522">
        <v>24522014</v>
      </c>
      <c r="J1522">
        <v>8</v>
      </c>
    </row>
    <row r="1523" spans="1:10" x14ac:dyDescent="0.25">
      <c r="A1523" t="s">
        <v>24</v>
      </c>
      <c r="B1523" s="1" t="str">
        <f>HYPERLINK("http://9game.cn","9game.cn")</f>
        <v>9game.cn</v>
      </c>
      <c r="C1523" t="s">
        <v>431</v>
      </c>
      <c r="D1523" t="s">
        <v>812</v>
      </c>
      <c r="E1523">
        <v>2705</v>
      </c>
      <c r="F1523">
        <v>2.19415943278977E-6</v>
      </c>
      <c r="G1523">
        <v>16720</v>
      </c>
      <c r="H1523">
        <v>14797113</v>
      </c>
      <c r="I1523">
        <v>549071</v>
      </c>
      <c r="J1523">
        <v>2</v>
      </c>
    </row>
    <row r="1524" spans="1:10" x14ac:dyDescent="0.25">
      <c r="A1524" t="s">
        <v>24</v>
      </c>
      <c r="B1524" s="1" t="str">
        <f>HYPERLINK("http://guobei.com.cn","guobei.com.cn")</f>
        <v>guobei.com.cn</v>
      </c>
      <c r="C1524" t="s">
        <v>431</v>
      </c>
      <c r="D1524" t="s">
        <v>812</v>
      </c>
      <c r="J1524">
        <v>2</v>
      </c>
    </row>
    <row r="1525" spans="1:10" x14ac:dyDescent="0.25">
      <c r="A1525" t="s">
        <v>24</v>
      </c>
      <c r="B1525" s="1" t="str">
        <f>HYPERLINK("http://intime.com.cn","intime.com.cn")</f>
        <v>intime.com.cn</v>
      </c>
      <c r="C1525" t="s">
        <v>431</v>
      </c>
      <c r="D1525" t="s">
        <v>812</v>
      </c>
      <c r="F1525">
        <v>1.5518778508447601E-7</v>
      </c>
      <c r="G1525">
        <v>250217</v>
      </c>
      <c r="H1525">
        <v>14310183</v>
      </c>
      <c r="I1525">
        <v>1342649</v>
      </c>
      <c r="J1525">
        <v>3</v>
      </c>
    </row>
    <row r="1526" spans="1:10" x14ac:dyDescent="0.25">
      <c r="A1526" t="s">
        <v>24</v>
      </c>
      <c r="B1526" s="1" t="str">
        <f>HYPERLINK("http://worldfirst.com.cn","worldfirst.com.cn")</f>
        <v>worldfirst.com.cn</v>
      </c>
      <c r="C1526" t="s">
        <v>431</v>
      </c>
      <c r="D1526" t="s">
        <v>812</v>
      </c>
      <c r="E1526">
        <v>30391</v>
      </c>
      <c r="F1526">
        <v>5.4429529016709998E-8</v>
      </c>
      <c r="G1526">
        <v>829296</v>
      </c>
      <c r="H1526">
        <v>13578126</v>
      </c>
      <c r="I1526">
        <v>9695367</v>
      </c>
      <c r="J1526">
        <v>9</v>
      </c>
    </row>
    <row r="1527" spans="1:10" x14ac:dyDescent="0.25">
      <c r="A1527" t="s">
        <v>24</v>
      </c>
      <c r="B1527" s="1" t="str">
        <f>HYPERLINK("http://ykse.com.cn","ykse.com.cn")</f>
        <v>ykse.com.cn</v>
      </c>
      <c r="C1527" t="s">
        <v>431</v>
      </c>
      <c r="D1527" t="s">
        <v>812</v>
      </c>
      <c r="F1527">
        <v>4.63500800828852E-9</v>
      </c>
      <c r="G1527">
        <v>45093066</v>
      </c>
      <c r="H1527">
        <v>12557346</v>
      </c>
      <c r="I1527">
        <v>16744229</v>
      </c>
      <c r="J1527">
        <v>2</v>
      </c>
    </row>
    <row r="1528" spans="1:10" x14ac:dyDescent="0.25">
      <c r="A1528" t="s">
        <v>24</v>
      </c>
      <c r="B1528" s="1" t="str">
        <f>HYPERLINK("http://z-real.com.cn","z-real.com.cn")</f>
        <v>z-real.com.cn</v>
      </c>
      <c r="C1528" t="s">
        <v>431</v>
      </c>
      <c r="D1528" t="s">
        <v>812</v>
      </c>
      <c r="J1528">
        <v>2</v>
      </c>
    </row>
    <row r="1529" spans="1:10" x14ac:dyDescent="0.25">
      <c r="A1529" t="s">
        <v>24</v>
      </c>
      <c r="B1529" s="1" t="str">
        <f>HYPERLINK("http://doctoryou.cn","doctoryou.cn")</f>
        <v>doctoryou.cn</v>
      </c>
      <c r="C1529" t="s">
        <v>431</v>
      </c>
      <c r="D1529" t="s">
        <v>812</v>
      </c>
      <c r="J1529">
        <v>2</v>
      </c>
    </row>
    <row r="1530" spans="1:10" x14ac:dyDescent="0.25">
      <c r="A1530" t="s">
        <v>24</v>
      </c>
      <c r="B1530" s="1" t="str">
        <f>HYPERLINK("http://eleme.cn","eleme.cn")</f>
        <v>eleme.cn</v>
      </c>
      <c r="C1530" t="s">
        <v>431</v>
      </c>
      <c r="D1530" t="s">
        <v>812</v>
      </c>
      <c r="E1530">
        <v>7313</v>
      </c>
      <c r="F1530">
        <v>2.22372591626327E-7</v>
      </c>
      <c r="G1530">
        <v>169503</v>
      </c>
      <c r="H1530">
        <v>13774163</v>
      </c>
      <c r="I1530">
        <v>6613075</v>
      </c>
      <c r="J1530">
        <v>2</v>
      </c>
    </row>
    <row r="1531" spans="1:10" x14ac:dyDescent="0.25">
      <c r="A1531" t="s">
        <v>24</v>
      </c>
      <c r="B1531" s="1" t="str">
        <f>HYPERLINK("http://jiaoyimao.cn","jiaoyimao.cn")</f>
        <v>jiaoyimao.cn</v>
      </c>
      <c r="C1531" t="s">
        <v>431</v>
      </c>
      <c r="D1531" t="s">
        <v>812</v>
      </c>
      <c r="F1531">
        <v>6.65966004681738E-8</v>
      </c>
      <c r="G1531">
        <v>643125</v>
      </c>
      <c r="H1531">
        <v>10626572</v>
      </c>
      <c r="I1531">
        <v>44076165</v>
      </c>
      <c r="J1531">
        <v>3</v>
      </c>
    </row>
    <row r="1532" spans="1:10" x14ac:dyDescent="0.25">
      <c r="A1532" t="s">
        <v>24</v>
      </c>
      <c r="B1532" s="1" t="str">
        <f>HYPERLINK("http://mybank.cn","mybank.cn")</f>
        <v>mybank.cn</v>
      </c>
      <c r="C1532" t="s">
        <v>431</v>
      </c>
      <c r="D1532" t="s">
        <v>812</v>
      </c>
      <c r="E1532">
        <v>51675</v>
      </c>
      <c r="F1532">
        <v>3.3705620294434698E-6</v>
      </c>
      <c r="G1532">
        <v>11959</v>
      </c>
      <c r="H1532">
        <v>14711587</v>
      </c>
      <c r="I1532">
        <v>582941</v>
      </c>
      <c r="J1532">
        <v>9</v>
      </c>
    </row>
    <row r="1533" spans="1:10" x14ac:dyDescent="0.25">
      <c r="A1533" t="s">
        <v>24</v>
      </c>
      <c r="B1533" s="1" t="str">
        <f>HYPERLINK("http://aliyun.net.cn","aliyun.net.cn")</f>
        <v>aliyun.net.cn</v>
      </c>
      <c r="C1533" t="s">
        <v>431</v>
      </c>
      <c r="D1533" t="s">
        <v>812</v>
      </c>
      <c r="F1533">
        <v>2.1393318395057799E-6</v>
      </c>
      <c r="G1533">
        <v>17123</v>
      </c>
      <c r="H1533">
        <v>13290711</v>
      </c>
      <c r="I1533">
        <v>10874647</v>
      </c>
      <c r="J1533">
        <v>3</v>
      </c>
    </row>
    <row r="1534" spans="1:10" x14ac:dyDescent="0.25">
      <c r="A1534" t="s">
        <v>24</v>
      </c>
      <c r="B1534" s="1" t="str">
        <f>HYPERLINK("http://onetouch.cn","onetouch.cn")</f>
        <v>onetouch.cn</v>
      </c>
      <c r="C1534" t="s">
        <v>431</v>
      </c>
      <c r="D1534" t="s">
        <v>812</v>
      </c>
      <c r="F1534">
        <v>4.68472029629272E-9</v>
      </c>
      <c r="G1534">
        <v>42072177</v>
      </c>
      <c r="H1534">
        <v>13763633</v>
      </c>
      <c r="I1534">
        <v>8625224</v>
      </c>
      <c r="J1534">
        <v>6</v>
      </c>
    </row>
    <row r="1535" spans="1:10" x14ac:dyDescent="0.25">
      <c r="A1535" t="s">
        <v>24</v>
      </c>
      <c r="B1535" s="1" t="str">
        <f>HYPERLINK("http://pp.cn","pp.cn")</f>
        <v>pp.cn</v>
      </c>
      <c r="C1535" t="s">
        <v>431</v>
      </c>
      <c r="D1535" t="s">
        <v>812</v>
      </c>
      <c r="E1535">
        <v>91524</v>
      </c>
      <c r="F1535">
        <v>3.5501996017768499E-7</v>
      </c>
      <c r="G1535">
        <v>105288</v>
      </c>
      <c r="H1535">
        <v>13267876</v>
      </c>
      <c r="I1535">
        <v>11000583</v>
      </c>
      <c r="J1535">
        <v>2</v>
      </c>
    </row>
    <row r="1536" spans="1:10" x14ac:dyDescent="0.25">
      <c r="A1536" t="s">
        <v>24</v>
      </c>
      <c r="B1536" s="1" t="str">
        <f>HYPERLINK("http://quark.cn","quark.cn")</f>
        <v>quark.cn</v>
      </c>
      <c r="C1536" t="s">
        <v>431</v>
      </c>
      <c r="D1536" t="s">
        <v>812</v>
      </c>
      <c r="E1536">
        <v>1517</v>
      </c>
      <c r="F1536">
        <v>2.1387282090914699E-7</v>
      </c>
      <c r="G1536">
        <v>176507</v>
      </c>
      <c r="H1536">
        <v>14014402</v>
      </c>
      <c r="I1536">
        <v>3998039</v>
      </c>
      <c r="J1536">
        <v>2</v>
      </c>
    </row>
    <row r="1537" spans="1:10" x14ac:dyDescent="0.25">
      <c r="A1537" t="s">
        <v>24</v>
      </c>
      <c r="B1537" s="1" t="str">
        <f>HYPERLINK("http://sm.cn","sm.cn")</f>
        <v>sm.cn</v>
      </c>
      <c r="C1537" t="s">
        <v>431</v>
      </c>
      <c r="D1537" t="s">
        <v>812</v>
      </c>
      <c r="E1537">
        <v>10471</v>
      </c>
      <c r="F1537">
        <v>1.58531934657626E-6</v>
      </c>
      <c r="G1537">
        <v>24806</v>
      </c>
      <c r="H1537">
        <v>17067128</v>
      </c>
      <c r="I1537">
        <v>71885</v>
      </c>
      <c r="J1537">
        <v>2</v>
      </c>
    </row>
    <row r="1538" spans="1:10" x14ac:dyDescent="0.25">
      <c r="A1538" t="s">
        <v>24</v>
      </c>
      <c r="B1538" s="1" t="str">
        <f>HYPERLINK("http://tb.cn","tb.cn")</f>
        <v>tb.cn</v>
      </c>
      <c r="C1538" t="s">
        <v>431</v>
      </c>
      <c r="D1538" t="s">
        <v>812</v>
      </c>
      <c r="E1538">
        <v>6226</v>
      </c>
      <c r="F1538">
        <v>4.1964752646753601E-6</v>
      </c>
      <c r="G1538">
        <v>8585</v>
      </c>
      <c r="H1538">
        <v>14951615</v>
      </c>
      <c r="I1538">
        <v>439968</v>
      </c>
      <c r="J1538">
        <v>2</v>
      </c>
    </row>
    <row r="1539" spans="1:10" x14ac:dyDescent="0.25">
      <c r="A1539" t="s">
        <v>24</v>
      </c>
      <c r="B1539" s="1" t="str">
        <f>HYPERLINK("http://uc.cn","uc.cn")</f>
        <v>uc.cn</v>
      </c>
      <c r="C1539" t="s">
        <v>431</v>
      </c>
      <c r="D1539" t="s">
        <v>812</v>
      </c>
      <c r="E1539">
        <v>1381</v>
      </c>
      <c r="F1539">
        <v>1.9154109188185901E-5</v>
      </c>
      <c r="G1539">
        <v>1598</v>
      </c>
      <c r="H1539">
        <v>15306970</v>
      </c>
      <c r="I1539">
        <v>385538</v>
      </c>
      <c r="J1539">
        <v>2</v>
      </c>
    </row>
    <row r="1540" spans="1:10" x14ac:dyDescent="0.25">
      <c r="A1540" t="s">
        <v>24</v>
      </c>
      <c r="B1540" s="1" t="str">
        <f>HYPERLINK("http://yousuode.cn","yousuode.cn")</f>
        <v>yousuode.cn</v>
      </c>
      <c r="C1540" t="s">
        <v>431</v>
      </c>
      <c r="D1540" t="s">
        <v>812</v>
      </c>
      <c r="F1540">
        <v>1.2950116619689399E-8</v>
      </c>
      <c r="G1540">
        <v>4655698</v>
      </c>
      <c r="H1540">
        <v>10889326</v>
      </c>
      <c r="I1540">
        <v>36110385</v>
      </c>
      <c r="J1540">
        <v>2</v>
      </c>
    </row>
    <row r="1541" spans="1:10" x14ac:dyDescent="0.25">
      <c r="A1541" t="s">
        <v>24</v>
      </c>
      <c r="B1541" s="1" t="str">
        <f>HYPERLINK("http://yuekeyun.cn","yuekeyun.cn")</f>
        <v>yuekeyun.cn</v>
      </c>
      <c r="C1541" t="s">
        <v>431</v>
      </c>
      <c r="D1541" t="s">
        <v>812</v>
      </c>
      <c r="J1541">
        <v>2</v>
      </c>
    </row>
    <row r="1542" spans="1:10" x14ac:dyDescent="0.25">
      <c r="A1542" t="s">
        <v>24</v>
      </c>
      <c r="B1542" s="1" t="str">
        <f>HYPERLINK("http://1688.com","1688.com")</f>
        <v>1688.com</v>
      </c>
      <c r="C1542" t="s">
        <v>433</v>
      </c>
      <c r="E1542">
        <v>196</v>
      </c>
      <c r="F1542">
        <v>4.0835677568578499E-5</v>
      </c>
      <c r="G1542">
        <v>663</v>
      </c>
      <c r="H1542">
        <v>17748084</v>
      </c>
      <c r="I1542">
        <v>6388</v>
      </c>
      <c r="J1542">
        <v>2</v>
      </c>
    </row>
    <row r="1543" spans="1:10" x14ac:dyDescent="0.25">
      <c r="A1543" t="s">
        <v>24</v>
      </c>
      <c r="B1543" s="1" t="str">
        <f>HYPERLINK("http://25pp.com","25pp.com")</f>
        <v>25pp.com</v>
      </c>
      <c r="C1543" t="s">
        <v>433</v>
      </c>
      <c r="E1543">
        <v>70655</v>
      </c>
      <c r="F1543">
        <v>5.9849138051605295E-7</v>
      </c>
      <c r="G1543">
        <v>63887</v>
      </c>
      <c r="H1543">
        <v>14527934</v>
      </c>
      <c r="I1543">
        <v>790925</v>
      </c>
      <c r="J1543">
        <v>2</v>
      </c>
    </row>
    <row r="1544" spans="1:10" x14ac:dyDescent="0.25">
      <c r="A1544" t="s">
        <v>24</v>
      </c>
      <c r="B1544" s="1" t="str">
        <f>HYPERLINK("http://alibaba.com","alibaba.com")</f>
        <v>alibaba.com</v>
      </c>
      <c r="C1544" t="s">
        <v>433</v>
      </c>
      <c r="E1544">
        <v>262</v>
      </c>
      <c r="F1544">
        <v>4.7612191692191001E-5</v>
      </c>
      <c r="G1544">
        <v>557</v>
      </c>
      <c r="H1544">
        <v>18517810</v>
      </c>
      <c r="I1544">
        <v>1520</v>
      </c>
      <c r="J1544">
        <v>2</v>
      </c>
    </row>
    <row r="1545" spans="1:10" x14ac:dyDescent="0.25">
      <c r="A1545" t="s">
        <v>24</v>
      </c>
      <c r="B1545" s="1" t="str">
        <f>HYPERLINK("http://alibaba-inc.com","alibaba-inc.com")</f>
        <v>alibaba-inc.com</v>
      </c>
      <c r="C1545" t="s">
        <v>433</v>
      </c>
      <c r="E1545">
        <v>1815</v>
      </c>
      <c r="F1545">
        <v>1.45906543459507E-5</v>
      </c>
      <c r="G1545">
        <v>2433</v>
      </c>
      <c r="H1545">
        <v>16914532</v>
      </c>
      <c r="I1545">
        <v>130275</v>
      </c>
      <c r="J1545">
        <v>2</v>
      </c>
    </row>
    <row r="1546" spans="1:10" x14ac:dyDescent="0.25">
      <c r="A1546" t="s">
        <v>24</v>
      </c>
      <c r="B1546" s="1" t="str">
        <f>HYPERLINK("http://alibabacloud.com","alibabacloud.com")</f>
        <v>alibabacloud.com</v>
      </c>
      <c r="C1546" t="s">
        <v>433</v>
      </c>
      <c r="E1546">
        <v>9301</v>
      </c>
      <c r="F1546">
        <v>1.1876134048256999E-5</v>
      </c>
      <c r="G1546">
        <v>2901</v>
      </c>
      <c r="H1546">
        <v>18006786</v>
      </c>
      <c r="I1546">
        <v>3645</v>
      </c>
      <c r="J1546">
        <v>3</v>
      </c>
    </row>
    <row r="1547" spans="1:10" x14ac:dyDescent="0.25">
      <c r="A1547" t="s">
        <v>24</v>
      </c>
      <c r="B1547" s="1" t="str">
        <f>HYPERLINK("http://alibabafapiao.com","alibabafapiao.com")</f>
        <v>alibabafapiao.com</v>
      </c>
      <c r="C1547" t="s">
        <v>433</v>
      </c>
      <c r="F1547">
        <v>4.4438121425626699E-9</v>
      </c>
      <c r="G1547">
        <v>79555910</v>
      </c>
      <c r="H1547">
        <v>10344021</v>
      </c>
      <c r="I1547">
        <v>57406658</v>
      </c>
      <c r="J1547">
        <v>2</v>
      </c>
    </row>
    <row r="1548" spans="1:10" x14ac:dyDescent="0.25">
      <c r="A1548" t="s">
        <v>24</v>
      </c>
      <c r="B1548" s="1" t="str">
        <f>HYPERLINK("http://alibabagroup.com","alibabagroup.com")</f>
        <v>alibabagroup.com</v>
      </c>
      <c r="C1548" t="s">
        <v>433</v>
      </c>
      <c r="E1548">
        <v>16247</v>
      </c>
      <c r="F1548">
        <v>1.4827886447022799E-5</v>
      </c>
      <c r="G1548">
        <v>2403</v>
      </c>
      <c r="H1548">
        <v>18708946</v>
      </c>
      <c r="I1548">
        <v>994</v>
      </c>
      <c r="J1548">
        <v>1</v>
      </c>
    </row>
    <row r="1549" spans="1:10" x14ac:dyDescent="0.25">
      <c r="A1549" t="s">
        <v>24</v>
      </c>
      <c r="B1549" s="1" t="str">
        <f>HYPERLINK("http://alibabapictures.com","alibabapictures.com")</f>
        <v>alibabapictures.com</v>
      </c>
      <c r="C1549" t="s">
        <v>433</v>
      </c>
      <c r="F1549">
        <v>1.83685206168719E-6</v>
      </c>
      <c r="G1549">
        <v>20503</v>
      </c>
      <c r="H1549">
        <v>14207896</v>
      </c>
      <c r="I1549">
        <v>1707821</v>
      </c>
      <c r="J1549">
        <v>3</v>
      </c>
    </row>
    <row r="1550" spans="1:10" x14ac:dyDescent="0.25">
      <c r="A1550" t="s">
        <v>24</v>
      </c>
      <c r="B1550" s="1" t="str">
        <f>HYPERLINK("http://alibabastars.com","alibabastars.com")</f>
        <v>alibabastars.com</v>
      </c>
      <c r="C1550" t="s">
        <v>433</v>
      </c>
      <c r="J1550">
        <v>2</v>
      </c>
    </row>
    <row r="1551" spans="1:10" x14ac:dyDescent="0.25">
      <c r="A1551" t="s">
        <v>24</v>
      </c>
      <c r="B1551" s="1" t="str">
        <f>HYPERLINK("http://alicdn.com","alicdn.com")</f>
        <v>alicdn.com</v>
      </c>
      <c r="C1551" t="s">
        <v>433</v>
      </c>
      <c r="E1551">
        <v>676</v>
      </c>
      <c r="F1551">
        <v>2.9677358029803799E-4</v>
      </c>
      <c r="G1551">
        <v>124</v>
      </c>
      <c r="H1551">
        <v>19220130</v>
      </c>
      <c r="I1551">
        <v>348</v>
      </c>
      <c r="J1551">
        <v>2</v>
      </c>
    </row>
    <row r="1552" spans="1:10" x14ac:dyDescent="0.25">
      <c r="A1552" t="s">
        <v>24</v>
      </c>
      <c r="B1552" s="1" t="str">
        <f>HYPERLINK("http://aliexpress.com","aliexpress.com")</f>
        <v>aliexpress.com</v>
      </c>
      <c r="C1552" t="s">
        <v>433</v>
      </c>
      <c r="E1552">
        <v>131</v>
      </c>
      <c r="F1552">
        <v>2.7122364427107098E-5</v>
      </c>
      <c r="G1552">
        <v>1080</v>
      </c>
      <c r="H1552">
        <v>18429316</v>
      </c>
      <c r="I1552">
        <v>1869</v>
      </c>
      <c r="J1552">
        <v>2</v>
      </c>
    </row>
    <row r="1553" spans="1:10" x14ac:dyDescent="0.25">
      <c r="A1553" t="s">
        <v>24</v>
      </c>
      <c r="B1553" s="1" t="str">
        <f>HYPERLINK("http://aliexpress-media.com","aliexpress-media.com")</f>
        <v>aliexpress-media.com</v>
      </c>
      <c r="C1553" t="s">
        <v>433</v>
      </c>
      <c r="E1553">
        <v>47192</v>
      </c>
      <c r="F1553">
        <v>4.6789559105981E-7</v>
      </c>
      <c r="G1553">
        <v>81026</v>
      </c>
      <c r="H1553">
        <v>13651516</v>
      </c>
      <c r="I1553">
        <v>9605451</v>
      </c>
      <c r="J1553">
        <v>2</v>
      </c>
    </row>
    <row r="1554" spans="1:10" x14ac:dyDescent="0.25">
      <c r="A1554" t="s">
        <v>24</v>
      </c>
      <c r="B1554" s="1" t="str">
        <f>HYPERLINK("http://aliimg.com","aliimg.com")</f>
        <v>aliimg.com</v>
      </c>
      <c r="C1554" t="s">
        <v>433</v>
      </c>
      <c r="E1554">
        <v>51226</v>
      </c>
      <c r="F1554">
        <v>6.3640276083296404E-6</v>
      </c>
      <c r="G1554">
        <v>5352</v>
      </c>
      <c r="H1554">
        <v>15031430</v>
      </c>
      <c r="I1554">
        <v>418372</v>
      </c>
      <c r="J1554">
        <v>2</v>
      </c>
    </row>
    <row r="1555" spans="1:10" x14ac:dyDescent="0.25">
      <c r="A1555" t="s">
        <v>24</v>
      </c>
      <c r="B1555" s="1" t="str">
        <f>HYPERLINK("http://alipay.com","alipay.com")</f>
        <v>alipay.com</v>
      </c>
      <c r="C1555" t="s">
        <v>433</v>
      </c>
      <c r="E1555">
        <v>249</v>
      </c>
      <c r="F1555">
        <v>5.1806743081197701E-5</v>
      </c>
      <c r="G1555">
        <v>502</v>
      </c>
      <c r="H1555">
        <v>18010414</v>
      </c>
      <c r="I1555">
        <v>3619</v>
      </c>
      <c r="J1555">
        <v>7</v>
      </c>
    </row>
    <row r="1556" spans="1:10" x14ac:dyDescent="0.25">
      <c r="A1556" t="s">
        <v>24</v>
      </c>
      <c r="B1556" s="1" t="str">
        <f>HYPERLINK("http://aliplus.com","aliplus.com")</f>
        <v>aliplus.com</v>
      </c>
      <c r="C1556" t="s">
        <v>433</v>
      </c>
      <c r="F1556">
        <v>2.6915372856369599E-8</v>
      </c>
      <c r="G1556">
        <v>1911070</v>
      </c>
      <c r="H1556">
        <v>12961226</v>
      </c>
      <c r="I1556">
        <v>13162642</v>
      </c>
      <c r="J1556">
        <v>2</v>
      </c>
    </row>
    <row r="1557" spans="1:10" x14ac:dyDescent="0.25">
      <c r="A1557" t="s">
        <v>24</v>
      </c>
      <c r="B1557" s="1" t="str">
        <f>HYPERLINK("http://aliyun.com","aliyun.com")</f>
        <v>aliyun.com</v>
      </c>
      <c r="C1557" t="s">
        <v>433</v>
      </c>
      <c r="E1557">
        <v>200</v>
      </c>
      <c r="F1557">
        <v>5.1841905098235699E-5</v>
      </c>
      <c r="G1557">
        <v>500</v>
      </c>
      <c r="H1557">
        <v>18066036</v>
      </c>
      <c r="I1557">
        <v>3300</v>
      </c>
      <c r="J1557">
        <v>2</v>
      </c>
    </row>
    <row r="1558" spans="1:10" x14ac:dyDescent="0.25">
      <c r="A1558" t="s">
        <v>24</v>
      </c>
      <c r="B1558" s="1" t="str">
        <f>HYPERLINK("http://aliyuncs.com","aliyuncs.com")</f>
        <v>aliyuncs.com</v>
      </c>
      <c r="C1558" t="s">
        <v>433</v>
      </c>
      <c r="E1558">
        <v>312</v>
      </c>
      <c r="F1558">
        <v>1.0540706820815701E-4</v>
      </c>
      <c r="G1558">
        <v>252</v>
      </c>
      <c r="H1558">
        <v>19018294</v>
      </c>
      <c r="I1558">
        <v>523</v>
      </c>
      <c r="J1558">
        <v>2</v>
      </c>
    </row>
    <row r="1559" spans="1:10" x14ac:dyDescent="0.25">
      <c r="A1559" t="s">
        <v>24</v>
      </c>
      <c r="B1559" s="1" t="str">
        <f>HYPERLINK("http://alizila.com","alizila.com")</f>
        <v>alizila.com</v>
      </c>
      <c r="C1559" t="s">
        <v>433</v>
      </c>
      <c r="E1559">
        <v>67008</v>
      </c>
      <c r="F1559">
        <v>1.3257728984085001E-6</v>
      </c>
      <c r="G1559">
        <v>29292</v>
      </c>
      <c r="H1559">
        <v>15564822</v>
      </c>
      <c r="I1559">
        <v>373333</v>
      </c>
      <c r="J1559">
        <v>3</v>
      </c>
    </row>
    <row r="1560" spans="1:10" x14ac:dyDescent="0.25">
      <c r="A1560" t="s">
        <v>24</v>
      </c>
      <c r="B1560" s="1" t="str">
        <f>HYPERLINK("http://amap.com","amap.com")</f>
        <v>amap.com</v>
      </c>
      <c r="C1560" t="s">
        <v>433</v>
      </c>
      <c r="E1560">
        <v>1541</v>
      </c>
      <c r="F1560">
        <v>1.21965856236661E-4</v>
      </c>
      <c r="G1560">
        <v>218</v>
      </c>
      <c r="H1560">
        <v>17546134</v>
      </c>
      <c r="I1560">
        <v>11444</v>
      </c>
      <c r="J1560">
        <v>6</v>
      </c>
    </row>
    <row r="1561" spans="1:10" x14ac:dyDescent="0.25">
      <c r="A1561" t="s">
        <v>24</v>
      </c>
      <c r="B1561" s="1" t="str">
        <f>HYPERLINK("http://antgroup.com","antgroup.com")</f>
        <v>antgroup.com</v>
      </c>
      <c r="C1561" t="s">
        <v>433</v>
      </c>
      <c r="E1561">
        <v>28446</v>
      </c>
      <c r="F1561">
        <v>6.79635011968152E-6</v>
      </c>
      <c r="G1561">
        <v>4936</v>
      </c>
      <c r="H1561">
        <v>14894190</v>
      </c>
      <c r="I1561">
        <v>465417</v>
      </c>
      <c r="J1561">
        <v>3</v>
      </c>
    </row>
    <row r="1562" spans="1:10" x14ac:dyDescent="0.25">
      <c r="A1562" t="s">
        <v>24</v>
      </c>
      <c r="B1562" s="1" t="str">
        <f>HYPERLINK("http://antimpex.com","antimpex.com")</f>
        <v>antimpex.com</v>
      </c>
      <c r="C1562" t="s">
        <v>433</v>
      </c>
      <c r="F1562">
        <v>5.4935156748323E-9</v>
      </c>
      <c r="G1562">
        <v>20973838</v>
      </c>
      <c r="H1562">
        <v>11109348</v>
      </c>
      <c r="I1562">
        <v>32167296</v>
      </c>
      <c r="J1562">
        <v>6</v>
      </c>
    </row>
    <row r="1563" spans="1:10" x14ac:dyDescent="0.25">
      <c r="A1563" t="s">
        <v>24</v>
      </c>
      <c r="B1563" s="1" t="str">
        <f>HYPERLINK("http://antrating.com","antrating.com")</f>
        <v>antrating.com</v>
      </c>
      <c r="C1563" t="s">
        <v>433</v>
      </c>
      <c r="J1563">
        <v>9</v>
      </c>
    </row>
    <row r="1564" spans="1:10" x14ac:dyDescent="0.25">
      <c r="A1564" t="s">
        <v>24</v>
      </c>
      <c r="B1564" s="1" t="str">
        <f>HYPERLINK("http://autonavi.com","autonavi.com")</f>
        <v>autonavi.com</v>
      </c>
      <c r="C1564" t="s">
        <v>433</v>
      </c>
      <c r="E1564">
        <v>29409</v>
      </c>
      <c r="F1564">
        <v>4.48096552441519E-6</v>
      </c>
      <c r="G1564">
        <v>7861</v>
      </c>
      <c r="H1564">
        <v>14077964</v>
      </c>
      <c r="I1564">
        <v>2855083</v>
      </c>
      <c r="J1564">
        <v>3</v>
      </c>
    </row>
    <row r="1565" spans="1:10" x14ac:dyDescent="0.25">
      <c r="A1565" t="s">
        <v>24</v>
      </c>
      <c r="B1565" s="1" t="str">
        <f>HYPERLINK("http://cainiao.com","cainiao.com")</f>
        <v>cainiao.com</v>
      </c>
      <c r="C1565" t="s">
        <v>433</v>
      </c>
      <c r="E1565">
        <v>5655</v>
      </c>
      <c r="F1565">
        <v>4.9868385951518499E-6</v>
      </c>
      <c r="G1565">
        <v>6983</v>
      </c>
      <c r="H1565">
        <v>14784069</v>
      </c>
      <c r="I1565">
        <v>553136</v>
      </c>
      <c r="J1565">
        <v>3</v>
      </c>
    </row>
    <row r="1566" spans="1:10" x14ac:dyDescent="0.25">
      <c r="A1566" t="s">
        <v>24</v>
      </c>
      <c r="B1566" s="1" t="str">
        <f>HYPERLINK("http://dingtalk.com","dingtalk.com")</f>
        <v>dingtalk.com</v>
      </c>
      <c r="C1566" t="s">
        <v>433</v>
      </c>
      <c r="E1566">
        <v>1351</v>
      </c>
      <c r="F1566">
        <v>1.1201735156796501E-5</v>
      </c>
      <c r="G1566">
        <v>3039</v>
      </c>
      <c r="H1566">
        <v>17436550</v>
      </c>
      <c r="I1566">
        <v>16886</v>
      </c>
      <c r="J1566">
        <v>2</v>
      </c>
    </row>
    <row r="1567" spans="1:10" x14ac:dyDescent="0.25">
      <c r="A1567" t="s">
        <v>24</v>
      </c>
      <c r="B1567" s="1" t="str">
        <f>HYPERLINK("http://dingtalkapps.com","dingtalkapps.com")</f>
        <v>dingtalkapps.com</v>
      </c>
      <c r="C1567" t="s">
        <v>433</v>
      </c>
      <c r="E1567">
        <v>192510</v>
      </c>
      <c r="F1567">
        <v>4.4438158103253002E-9</v>
      </c>
      <c r="G1567">
        <v>79335354</v>
      </c>
      <c r="H1567">
        <v>10355415</v>
      </c>
      <c r="I1567">
        <v>55764488</v>
      </c>
      <c r="J1567">
        <v>2</v>
      </c>
    </row>
    <row r="1568" spans="1:10" x14ac:dyDescent="0.25">
      <c r="A1568" t="s">
        <v>24</v>
      </c>
      <c r="B1568" s="1" t="str">
        <f>HYPERLINK("http://elemecdn.com","elemecdn.com")</f>
        <v>elemecdn.com</v>
      </c>
      <c r="C1568" t="s">
        <v>433</v>
      </c>
      <c r="E1568">
        <v>156918</v>
      </c>
      <c r="F1568">
        <v>1.00246969193188E-6</v>
      </c>
      <c r="G1568">
        <v>38177</v>
      </c>
      <c r="H1568">
        <v>13663978</v>
      </c>
      <c r="I1568">
        <v>9565515</v>
      </c>
      <c r="J1568">
        <v>2</v>
      </c>
    </row>
    <row r="1569" spans="1:10" x14ac:dyDescent="0.25">
      <c r="A1569" t="s">
        <v>24</v>
      </c>
      <c r="B1569" s="1" t="str">
        <f>HYPERLINK("http://fliggy.com","fliggy.com")</f>
        <v>fliggy.com</v>
      </c>
      <c r="C1569" t="s">
        <v>433</v>
      </c>
      <c r="E1569">
        <v>28397</v>
      </c>
      <c r="F1569">
        <v>7.60464561357675E-6</v>
      </c>
      <c r="G1569">
        <v>4417</v>
      </c>
      <c r="H1569">
        <v>14735175</v>
      </c>
      <c r="I1569">
        <v>569872</v>
      </c>
      <c r="J1569">
        <v>2</v>
      </c>
    </row>
    <row r="1570" spans="1:10" x14ac:dyDescent="0.25">
      <c r="A1570" t="s">
        <v>24</v>
      </c>
      <c r="B1570" s="1" t="str">
        <f>HYPERLINK("http://forexcracked.com","forexcracked.com")</f>
        <v>forexcracked.com</v>
      </c>
      <c r="C1570" t="s">
        <v>433</v>
      </c>
      <c r="E1570">
        <v>193515</v>
      </c>
      <c r="F1570">
        <v>1.5983366143911301E-8</v>
      </c>
      <c r="G1570">
        <v>3550594</v>
      </c>
      <c r="H1570">
        <v>14212844</v>
      </c>
      <c r="I1570">
        <v>1698650</v>
      </c>
      <c r="J1570">
        <v>7</v>
      </c>
    </row>
    <row r="1571" spans="1:10" x14ac:dyDescent="0.25">
      <c r="A1571" t="s">
        <v>24</v>
      </c>
      <c r="B1571" s="1" t="str">
        <f>HYPERLINK("http://futurehotel.com","futurehotel.com")</f>
        <v>futurehotel.com</v>
      </c>
      <c r="C1571" t="s">
        <v>433</v>
      </c>
      <c r="F1571">
        <v>4.4460103335350102E-9</v>
      </c>
      <c r="G1571">
        <v>74678888</v>
      </c>
      <c r="H1571">
        <v>8834498</v>
      </c>
      <c r="I1571">
        <v>69246639</v>
      </c>
      <c r="J1571">
        <v>2</v>
      </c>
    </row>
    <row r="1572" spans="1:10" x14ac:dyDescent="0.25">
      <c r="A1572" t="s">
        <v>24</v>
      </c>
      <c r="B1572" s="1" t="str">
        <f>HYPERLINK("http://fwosapp.com","fwosapp.com")</f>
        <v>fwosapp.com</v>
      </c>
      <c r="C1572" t="s">
        <v>433</v>
      </c>
      <c r="J1572">
        <v>2</v>
      </c>
    </row>
    <row r="1573" spans="1:10" x14ac:dyDescent="0.25">
      <c r="A1573" t="s">
        <v>24</v>
      </c>
      <c r="B1573" s="1" t="str">
        <f>HYPERLINK("http://ialicdn.com","ialicdn.com")</f>
        <v>ialicdn.com</v>
      </c>
      <c r="C1573" t="s">
        <v>433</v>
      </c>
      <c r="E1573">
        <v>121161</v>
      </c>
      <c r="F1573">
        <v>4.4438486064592198E-9</v>
      </c>
      <c r="G1573">
        <v>78528148</v>
      </c>
      <c r="H1573">
        <v>10541462</v>
      </c>
      <c r="I1573">
        <v>47177321</v>
      </c>
      <c r="J1573">
        <v>2</v>
      </c>
    </row>
    <row r="1574" spans="1:10" x14ac:dyDescent="0.25">
      <c r="A1574" t="s">
        <v>24</v>
      </c>
      <c r="B1574" s="1" t="str">
        <f>HYPERLINK("http://iyunzhi.com","iyunzhi.com")</f>
        <v>iyunzhi.com</v>
      </c>
      <c r="C1574" t="s">
        <v>433</v>
      </c>
      <c r="F1574">
        <v>4.44381528729672E-9</v>
      </c>
      <c r="G1574">
        <v>79370254</v>
      </c>
      <c r="H1574">
        <v>10358497</v>
      </c>
      <c r="I1574">
        <v>55362992</v>
      </c>
      <c r="J1574">
        <v>2</v>
      </c>
    </row>
    <row r="1575" spans="1:10" x14ac:dyDescent="0.25">
      <c r="A1575" t="s">
        <v>24</v>
      </c>
      <c r="B1575" s="1" t="str">
        <f>HYPERLINK("http://jaeapp.com","jaeapp.com")</f>
        <v>jaeapp.com</v>
      </c>
      <c r="C1575" t="s">
        <v>433</v>
      </c>
      <c r="F1575">
        <v>5.0134491602673104E-7</v>
      </c>
      <c r="G1575">
        <v>76255</v>
      </c>
      <c r="H1575">
        <v>13627524</v>
      </c>
      <c r="I1575">
        <v>9620063</v>
      </c>
      <c r="J1575">
        <v>2</v>
      </c>
    </row>
    <row r="1576" spans="1:10" x14ac:dyDescent="0.25">
      <c r="A1576" t="s">
        <v>24</v>
      </c>
      <c r="B1576" s="1" t="str">
        <f>HYPERLINK("http://jiaoyimao.com","jiaoyimao.com")</f>
        <v>jiaoyimao.com</v>
      </c>
      <c r="C1576" t="s">
        <v>433</v>
      </c>
      <c r="E1576">
        <v>57487</v>
      </c>
      <c r="F1576">
        <v>2.5640906607816399E-7</v>
      </c>
      <c r="G1576">
        <v>145914</v>
      </c>
      <c r="H1576">
        <v>13582215</v>
      </c>
      <c r="I1576">
        <v>9684400</v>
      </c>
      <c r="J1576">
        <v>2</v>
      </c>
    </row>
    <row r="1577" spans="1:10" x14ac:dyDescent="0.25">
      <c r="A1577" t="s">
        <v>24</v>
      </c>
      <c r="B1577" s="1" t="str">
        <f>HYPERLINK("http://kaolacdn.com","kaolacdn.com")</f>
        <v>kaolacdn.com</v>
      </c>
      <c r="C1577" t="s">
        <v>433</v>
      </c>
      <c r="F1577">
        <v>8.0909959178095901E-8</v>
      </c>
      <c r="G1577">
        <v>515991</v>
      </c>
      <c r="H1577">
        <v>13316975</v>
      </c>
      <c r="I1577">
        <v>10755967</v>
      </c>
      <c r="J1577">
        <v>2</v>
      </c>
    </row>
    <row r="1578" spans="1:10" x14ac:dyDescent="0.25">
      <c r="A1578" t="s">
        <v>24</v>
      </c>
      <c r="B1578" s="1" t="str">
        <f>HYPERLINK("http://khovienthong.com","khovienthong.com")</f>
        <v>khovienthong.com</v>
      </c>
      <c r="C1578" t="s">
        <v>433</v>
      </c>
      <c r="F1578">
        <v>4.8202145603269703E-9</v>
      </c>
      <c r="G1578">
        <v>35263164</v>
      </c>
      <c r="H1578">
        <v>12234264</v>
      </c>
      <c r="I1578">
        <v>22395804</v>
      </c>
      <c r="J1578">
        <v>6</v>
      </c>
    </row>
    <row r="1579" spans="1:10" x14ac:dyDescent="0.25">
      <c r="A1579" t="s">
        <v>24</v>
      </c>
      <c r="B1579" s="1" t="str">
        <f>HYPERLINK("http://laifeng.com","laifeng.com")</f>
        <v>laifeng.com</v>
      </c>
      <c r="C1579" t="s">
        <v>433</v>
      </c>
      <c r="E1579">
        <v>484400</v>
      </c>
      <c r="F1579">
        <v>6.3926955151543003E-6</v>
      </c>
      <c r="G1579">
        <v>5325</v>
      </c>
      <c r="H1579">
        <v>13421375</v>
      </c>
      <c r="I1579">
        <v>10302599</v>
      </c>
      <c r="J1579">
        <v>2</v>
      </c>
    </row>
    <row r="1580" spans="1:10" x14ac:dyDescent="0.25">
      <c r="A1580" t="s">
        <v>24</v>
      </c>
      <c r="B1580" s="1" t="str">
        <f>HYPERLINK("http://lazada.com","lazada.com")</f>
        <v>lazada.com</v>
      </c>
      <c r="C1580" t="s">
        <v>433</v>
      </c>
      <c r="E1580">
        <v>15475</v>
      </c>
      <c r="F1580">
        <v>1.6976174180152901E-5</v>
      </c>
      <c r="G1580">
        <v>1970</v>
      </c>
      <c r="H1580">
        <v>18003484</v>
      </c>
      <c r="I1580">
        <v>3664</v>
      </c>
      <c r="J1580">
        <v>3</v>
      </c>
    </row>
    <row r="1581" spans="1:10" x14ac:dyDescent="0.25">
      <c r="A1581" t="s">
        <v>24</v>
      </c>
      <c r="B1581" s="1" t="str">
        <f>HYPERLINK("http://maitix.com","maitix.com")</f>
        <v>maitix.com</v>
      </c>
      <c r="C1581" t="s">
        <v>433</v>
      </c>
      <c r="F1581">
        <v>4.9459492512568003E-8</v>
      </c>
      <c r="G1581">
        <v>935561</v>
      </c>
      <c r="H1581">
        <v>12082711</v>
      </c>
      <c r="I1581">
        <v>26496560</v>
      </c>
      <c r="J1581">
        <v>2</v>
      </c>
    </row>
    <row r="1582" spans="1:10" x14ac:dyDescent="0.25">
      <c r="A1582" t="s">
        <v>24</v>
      </c>
      <c r="B1582" s="1" t="str">
        <f>HYPERLINK("http://myalicdn.com","myalicdn.com")</f>
        <v>myalicdn.com</v>
      </c>
      <c r="C1582" t="s">
        <v>433</v>
      </c>
      <c r="E1582">
        <v>140207</v>
      </c>
      <c r="F1582">
        <v>5.9125703282985003E-8</v>
      </c>
      <c r="G1582">
        <v>749684</v>
      </c>
      <c r="H1582">
        <v>12644359</v>
      </c>
      <c r="I1582">
        <v>15839038</v>
      </c>
      <c r="J1582">
        <v>2</v>
      </c>
    </row>
    <row r="1583" spans="1:10" x14ac:dyDescent="0.25">
      <c r="A1583" t="s">
        <v>24</v>
      </c>
      <c r="B1583" s="1" t="str">
        <f>HYPERLINK("http://news-postseven.com","news-postseven.com")</f>
        <v>news-postseven.com</v>
      </c>
      <c r="C1583" t="s">
        <v>433</v>
      </c>
      <c r="E1583">
        <v>31226</v>
      </c>
      <c r="F1583">
        <v>7.2411094701474905E-7</v>
      </c>
      <c r="G1583">
        <v>53646</v>
      </c>
      <c r="H1583">
        <v>15636852</v>
      </c>
      <c r="I1583">
        <v>371102</v>
      </c>
      <c r="J1583">
        <v>6</v>
      </c>
    </row>
    <row r="1584" spans="1:10" x14ac:dyDescent="0.25">
      <c r="A1584" t="s">
        <v>24</v>
      </c>
      <c r="B1584" s="1" t="str">
        <f>HYPERLINK("http://pipepredict.com","pipepredict.com")</f>
        <v>pipepredict.com</v>
      </c>
      <c r="C1584" t="s">
        <v>433</v>
      </c>
      <c r="F1584">
        <v>2.05863028995669E-8</v>
      </c>
      <c r="G1584">
        <v>2572349</v>
      </c>
      <c r="H1584">
        <v>12686952</v>
      </c>
      <c r="I1584">
        <v>15442730</v>
      </c>
      <c r="J1584">
        <v>4</v>
      </c>
    </row>
    <row r="1585" spans="1:10" x14ac:dyDescent="0.25">
      <c r="A1585" t="s">
        <v>24</v>
      </c>
      <c r="B1585" s="1" t="str">
        <f>HYPERLINK("http://qookkagames.com","qookkagames.com")</f>
        <v>qookkagames.com</v>
      </c>
      <c r="C1585" t="s">
        <v>433</v>
      </c>
      <c r="E1585">
        <v>149093</v>
      </c>
      <c r="F1585">
        <v>1.2048728174319899E-7</v>
      </c>
      <c r="G1585">
        <v>327954</v>
      </c>
      <c r="H1585">
        <v>16814326</v>
      </c>
      <c r="I1585">
        <v>189991</v>
      </c>
      <c r="J1585">
        <v>2</v>
      </c>
    </row>
    <row r="1586" spans="1:10" x14ac:dyDescent="0.25">
      <c r="A1586" t="s">
        <v>24</v>
      </c>
      <c r="B1586" s="1" t="str">
        <f>HYPERLINK("http://redmart.com","redmart.com")</f>
        <v>redmart.com</v>
      </c>
      <c r="C1586" t="s">
        <v>433</v>
      </c>
      <c r="E1586">
        <v>4030</v>
      </c>
      <c r="F1586">
        <v>1.96490547248891E-7</v>
      </c>
      <c r="G1586">
        <v>196267</v>
      </c>
      <c r="H1586">
        <v>14578528</v>
      </c>
      <c r="I1586">
        <v>714746</v>
      </c>
      <c r="J1586">
        <v>5</v>
      </c>
    </row>
    <row r="1587" spans="1:10" x14ac:dyDescent="0.25">
      <c r="A1587" t="s">
        <v>24</v>
      </c>
      <c r="B1587" s="1" t="str">
        <f>HYPERLINK("http://scmp.com","scmp.com")</f>
        <v>scmp.com</v>
      </c>
      <c r="C1587" t="s">
        <v>433</v>
      </c>
      <c r="E1587">
        <v>1365</v>
      </c>
      <c r="F1587">
        <v>2.6483451552645099E-5</v>
      </c>
      <c r="G1587">
        <v>1111</v>
      </c>
      <c r="H1587">
        <v>19293548</v>
      </c>
      <c r="I1587">
        <v>285</v>
      </c>
      <c r="J1587">
        <v>3</v>
      </c>
    </row>
    <row r="1588" spans="1:10" x14ac:dyDescent="0.25">
      <c r="A1588" t="s">
        <v>24</v>
      </c>
      <c r="B1588" s="1" t="str">
        <f>HYPERLINK("http://sooqua.com","sooqua.com")</f>
        <v>sooqua.com</v>
      </c>
      <c r="C1588" t="s">
        <v>433</v>
      </c>
      <c r="F1588">
        <v>1.13904381422043E-8</v>
      </c>
      <c r="G1588">
        <v>5580703</v>
      </c>
      <c r="H1588">
        <v>12881235</v>
      </c>
      <c r="I1588">
        <v>13994004</v>
      </c>
      <c r="J1588">
        <v>5</v>
      </c>
    </row>
    <row r="1589" spans="1:10" x14ac:dyDescent="0.25">
      <c r="A1589" t="s">
        <v>24</v>
      </c>
      <c r="B1589" s="1" t="str">
        <f>HYPERLINK("http://sunartretail.com","sunartretail.com")</f>
        <v>sunartretail.com</v>
      </c>
      <c r="C1589" t="s">
        <v>433</v>
      </c>
      <c r="F1589">
        <v>1.8189815964119701E-7</v>
      </c>
      <c r="G1589">
        <v>212154</v>
      </c>
      <c r="H1589">
        <v>13489525</v>
      </c>
      <c r="I1589">
        <v>9988822</v>
      </c>
      <c r="J1589">
        <v>3</v>
      </c>
    </row>
    <row r="1590" spans="1:10" x14ac:dyDescent="0.25">
      <c r="A1590" t="s">
        <v>24</v>
      </c>
      <c r="B1590" s="1" t="str">
        <f>HYPERLINK("http://taeapp.com","taeapp.com")</f>
        <v>taeapp.com</v>
      </c>
      <c r="C1590" t="s">
        <v>433</v>
      </c>
      <c r="F1590">
        <v>7.1025617236967501E-9</v>
      </c>
      <c r="G1590">
        <v>12008263</v>
      </c>
      <c r="H1590">
        <v>10515128</v>
      </c>
      <c r="I1590">
        <v>49244392</v>
      </c>
      <c r="J1590">
        <v>2</v>
      </c>
    </row>
    <row r="1591" spans="1:10" x14ac:dyDescent="0.25">
      <c r="A1591" t="s">
        <v>24</v>
      </c>
      <c r="B1591" s="1" t="str">
        <f>HYPERLINK("http://taobao.com","taobao.com")</f>
        <v>taobao.com</v>
      </c>
      <c r="C1591" t="s">
        <v>433</v>
      </c>
      <c r="E1591">
        <v>68</v>
      </c>
      <c r="F1591">
        <v>8.9639437023311894E-5</v>
      </c>
      <c r="G1591">
        <v>295</v>
      </c>
      <c r="H1591">
        <v>18453114</v>
      </c>
      <c r="I1591">
        <v>1781</v>
      </c>
      <c r="J1591">
        <v>2</v>
      </c>
    </row>
    <row r="1592" spans="1:10" x14ac:dyDescent="0.25">
      <c r="A1592" t="s">
        <v>24</v>
      </c>
      <c r="B1592" s="1" t="str">
        <f>HYPERLINK("http://tmall.com","tmall.com")</f>
        <v>tmall.com</v>
      </c>
      <c r="C1592" t="s">
        <v>433</v>
      </c>
      <c r="E1592">
        <v>186</v>
      </c>
      <c r="F1592">
        <v>4.5128119250454603E-5</v>
      </c>
      <c r="G1592">
        <v>592</v>
      </c>
      <c r="H1592">
        <v>16553413</v>
      </c>
      <c r="I1592">
        <v>364869</v>
      </c>
      <c r="J1592">
        <v>2</v>
      </c>
    </row>
    <row r="1593" spans="1:10" x14ac:dyDescent="0.25">
      <c r="A1593" t="s">
        <v>24</v>
      </c>
      <c r="B1593" s="1" t="str">
        <f>HYPERLINK("http://trendyol.com","trendyol.com")</f>
        <v>trendyol.com</v>
      </c>
      <c r="C1593" t="s">
        <v>433</v>
      </c>
      <c r="E1593">
        <v>908</v>
      </c>
      <c r="F1593">
        <v>2.2001644293638902E-6</v>
      </c>
      <c r="G1593">
        <v>16678</v>
      </c>
      <c r="H1593">
        <v>17685750</v>
      </c>
      <c r="I1593">
        <v>7603</v>
      </c>
      <c r="J1593">
        <v>4</v>
      </c>
    </row>
    <row r="1594" spans="1:10" x14ac:dyDescent="0.25">
      <c r="A1594" t="s">
        <v>24</v>
      </c>
      <c r="B1594" s="1" t="str">
        <f>HYPERLINK("http://tyinfra.com","tyinfra.com")</f>
        <v>tyinfra.com</v>
      </c>
      <c r="C1594" t="s">
        <v>433</v>
      </c>
      <c r="J1594">
        <v>6</v>
      </c>
    </row>
    <row r="1595" spans="1:10" x14ac:dyDescent="0.25">
      <c r="A1595" t="s">
        <v>24</v>
      </c>
      <c r="B1595" s="1" t="str">
        <f>HYPERLINK("http://ucweb.com","ucweb.com")</f>
        <v>ucweb.com</v>
      </c>
      <c r="C1595" t="s">
        <v>433</v>
      </c>
      <c r="E1595">
        <v>1605</v>
      </c>
      <c r="F1595">
        <v>2.7979862419973598E-6</v>
      </c>
      <c r="G1595">
        <v>13724</v>
      </c>
      <c r="H1595">
        <v>17384326</v>
      </c>
      <c r="I1595">
        <v>20332</v>
      </c>
      <c r="J1595">
        <v>3</v>
      </c>
    </row>
    <row r="1596" spans="1:10" x14ac:dyDescent="0.25">
      <c r="A1596" t="s">
        <v>24</v>
      </c>
      <c r="B1596" s="1" t="str">
        <f>HYPERLINK("http://worldfirst.com","worldfirst.com")</f>
        <v>worldfirst.com</v>
      </c>
      <c r="C1596" t="s">
        <v>433</v>
      </c>
      <c r="E1596">
        <v>136166</v>
      </c>
      <c r="F1596">
        <v>3.4409141071807201E-7</v>
      </c>
      <c r="G1596">
        <v>108530</v>
      </c>
      <c r="H1596">
        <v>14673851</v>
      </c>
      <c r="I1596">
        <v>612412</v>
      </c>
      <c r="J1596">
        <v>8</v>
      </c>
    </row>
    <row r="1597" spans="1:10" x14ac:dyDescent="0.25">
      <c r="A1597" t="s">
        <v>24</v>
      </c>
      <c r="B1597" s="1" t="str">
        <f>HYPERLINK("http://xixikf.com","xixikf.com")</f>
        <v>xixikf.com</v>
      </c>
      <c r="C1597" t="s">
        <v>433</v>
      </c>
      <c r="F1597">
        <v>4.44380395335525E-9</v>
      </c>
      <c r="G1597">
        <v>84052510</v>
      </c>
      <c r="H1597">
        <v>0</v>
      </c>
      <c r="I1597">
        <v>85015689</v>
      </c>
      <c r="J1597">
        <v>2</v>
      </c>
    </row>
    <row r="1598" spans="1:10" x14ac:dyDescent="0.25">
      <c r="A1598" t="s">
        <v>24</v>
      </c>
      <c r="B1598" s="1" t="str">
        <f>HYPERLINK("http://youku.com","youku.com")</f>
        <v>youku.com</v>
      </c>
      <c r="C1598" t="s">
        <v>433</v>
      </c>
      <c r="E1598">
        <v>219</v>
      </c>
      <c r="F1598">
        <v>1.5352373528860499E-4</v>
      </c>
      <c r="G1598">
        <v>180</v>
      </c>
      <c r="H1598">
        <v>18485378</v>
      </c>
      <c r="I1598">
        <v>1644</v>
      </c>
      <c r="J1598">
        <v>3</v>
      </c>
    </row>
    <row r="1599" spans="1:10" x14ac:dyDescent="0.25">
      <c r="A1599" t="s">
        <v>24</v>
      </c>
      <c r="B1599" s="1" t="str">
        <f>HYPERLINK("http://yuekeyun.com","yuekeyun.com")</f>
        <v>yuekeyun.com</v>
      </c>
      <c r="C1599" t="s">
        <v>433</v>
      </c>
      <c r="E1599">
        <v>117512</v>
      </c>
      <c r="F1599">
        <v>1.13164829726338E-8</v>
      </c>
      <c r="G1599">
        <v>5631228</v>
      </c>
      <c r="H1599">
        <v>10554363</v>
      </c>
      <c r="I1599">
        <v>46547899</v>
      </c>
      <c r="J1599">
        <v>2</v>
      </c>
    </row>
    <row r="1600" spans="1:10" x14ac:dyDescent="0.25">
      <c r="A1600" t="s">
        <v>24</v>
      </c>
      <c r="B1600" s="1" t="str">
        <f>HYPERLINK("http://zoloz.com","zoloz.com")</f>
        <v>zoloz.com</v>
      </c>
      <c r="C1600" t="s">
        <v>433</v>
      </c>
      <c r="F1600">
        <v>5.7058274792675602E-8</v>
      </c>
      <c r="G1600">
        <v>782434</v>
      </c>
      <c r="H1600">
        <v>13372021</v>
      </c>
      <c r="I1600">
        <v>10460842</v>
      </c>
      <c r="J1600">
        <v>9</v>
      </c>
    </row>
    <row r="1601" spans="1:10" x14ac:dyDescent="0.25">
      <c r="A1601" t="s">
        <v>24</v>
      </c>
      <c r="B1601" s="1" t="str">
        <f>HYPERLINK("http://trendyol.de","trendyol.de")</f>
        <v>trendyol.de</v>
      </c>
      <c r="C1601" t="s">
        <v>436</v>
      </c>
      <c r="D1601" t="s">
        <v>815</v>
      </c>
      <c r="F1601">
        <v>5.6796830746143201E-9</v>
      </c>
      <c r="G1601">
        <v>19132719</v>
      </c>
      <c r="H1601">
        <v>12352731</v>
      </c>
      <c r="I1601">
        <v>19722384</v>
      </c>
      <c r="J1601">
        <v>6</v>
      </c>
    </row>
    <row r="1602" spans="1:10" x14ac:dyDescent="0.25">
      <c r="A1602" t="s">
        <v>24</v>
      </c>
      <c r="B1602" s="1" t="str">
        <f>HYPERLINK("http://trendyol.fi","trendyol.fi")</f>
        <v>trendyol.fi</v>
      </c>
      <c r="C1602" t="s">
        <v>445</v>
      </c>
      <c r="D1602" t="s">
        <v>823</v>
      </c>
      <c r="J1602">
        <v>5</v>
      </c>
    </row>
    <row r="1603" spans="1:10" x14ac:dyDescent="0.25">
      <c r="A1603" t="s">
        <v>24</v>
      </c>
      <c r="B1603" s="1" t="str">
        <f>HYPERLINK("http://taobao.global","taobao.global")</f>
        <v>taobao.global</v>
      </c>
      <c r="C1603" t="s">
        <v>517</v>
      </c>
      <c r="F1603">
        <v>7.2260045903452698E-9</v>
      </c>
      <c r="G1603">
        <v>11667825</v>
      </c>
      <c r="H1603">
        <v>12116890</v>
      </c>
      <c r="I1603">
        <v>25490995</v>
      </c>
      <c r="J1603">
        <v>2</v>
      </c>
    </row>
    <row r="1604" spans="1:10" x14ac:dyDescent="0.25">
      <c r="A1604" t="s">
        <v>24</v>
      </c>
      <c r="B1604" s="1" t="str">
        <f>HYPERLINK("http://mysrc.group","mysrc.group")</f>
        <v>mysrc.group</v>
      </c>
      <c r="C1604" t="s">
        <v>602</v>
      </c>
      <c r="J1604">
        <v>9</v>
      </c>
    </row>
    <row r="1605" spans="1:10" x14ac:dyDescent="0.25">
      <c r="A1605" t="s">
        <v>24</v>
      </c>
      <c r="B1605" s="1" t="str">
        <f>HYPERLINK("http://alipay.hk","alipay.hk")</f>
        <v>alipay.hk</v>
      </c>
      <c r="C1605" t="s">
        <v>450</v>
      </c>
      <c r="D1605" t="s">
        <v>827</v>
      </c>
      <c r="E1605">
        <v>193739</v>
      </c>
      <c r="F1605">
        <v>3.8635262909723999E-7</v>
      </c>
      <c r="G1605">
        <v>96964</v>
      </c>
      <c r="H1605">
        <v>16850300</v>
      </c>
      <c r="I1605">
        <v>157758</v>
      </c>
      <c r="J1605">
        <v>8</v>
      </c>
    </row>
    <row r="1606" spans="1:10" x14ac:dyDescent="0.25">
      <c r="A1606" t="s">
        <v>24</v>
      </c>
      <c r="B1606" s="1" t="str">
        <f>HYPERLINK("http://fliggy.hk","fliggy.hk")</f>
        <v>fliggy.hk</v>
      </c>
      <c r="C1606" t="s">
        <v>450</v>
      </c>
      <c r="D1606" t="s">
        <v>827</v>
      </c>
      <c r="F1606">
        <v>2.8458575876416999E-7</v>
      </c>
      <c r="G1606">
        <v>130620</v>
      </c>
      <c r="H1606">
        <v>13000441</v>
      </c>
      <c r="I1606">
        <v>12793895</v>
      </c>
      <c r="J1606">
        <v>3</v>
      </c>
    </row>
    <row r="1607" spans="1:10" x14ac:dyDescent="0.25">
      <c r="A1607" t="s">
        <v>24</v>
      </c>
      <c r="B1607" s="1" t="str">
        <f>HYPERLINK("http://jumpstarter.hk","jumpstarter.hk")</f>
        <v>jumpstarter.hk</v>
      </c>
      <c r="C1607" t="s">
        <v>450</v>
      </c>
      <c r="D1607" t="s">
        <v>827</v>
      </c>
      <c r="F1607">
        <v>4.6030783274290303E-8</v>
      </c>
      <c r="G1607">
        <v>1019747</v>
      </c>
      <c r="H1607">
        <v>13712094</v>
      </c>
      <c r="I1607">
        <v>9505514</v>
      </c>
      <c r="J1607">
        <v>2</v>
      </c>
    </row>
    <row r="1608" spans="1:10" x14ac:dyDescent="0.25">
      <c r="A1608" t="s">
        <v>24</v>
      </c>
      <c r="B1608" s="1" t="str">
        <f>HYPERLINK("http://venturehours.hk","venturehours.hk")</f>
        <v>venturehours.hk</v>
      </c>
      <c r="C1608" t="s">
        <v>450</v>
      </c>
      <c r="D1608" t="s">
        <v>827</v>
      </c>
      <c r="F1608">
        <v>6.43018015722531E-9</v>
      </c>
      <c r="G1608">
        <v>14380447</v>
      </c>
      <c r="H1608">
        <v>11079996</v>
      </c>
      <c r="I1608">
        <v>32482805</v>
      </c>
      <c r="J1608">
        <v>2</v>
      </c>
    </row>
    <row r="1609" spans="1:10" x14ac:dyDescent="0.25">
      <c r="A1609" t="s">
        <v>24</v>
      </c>
      <c r="B1609" s="1" t="str">
        <f>HYPERLINK("http://lazada.co.id","lazada.co.id")</f>
        <v>lazada.co.id</v>
      </c>
      <c r="C1609" t="s">
        <v>454</v>
      </c>
      <c r="D1609" t="s">
        <v>831</v>
      </c>
      <c r="E1609">
        <v>4646</v>
      </c>
      <c r="F1609">
        <v>3.35739679861647E-6</v>
      </c>
      <c r="G1609">
        <v>11991</v>
      </c>
      <c r="H1609">
        <v>15512026</v>
      </c>
      <c r="I1609">
        <v>376360</v>
      </c>
      <c r="J1609">
        <v>4</v>
      </c>
    </row>
    <row r="1610" spans="1:10" x14ac:dyDescent="0.25">
      <c r="A1610" t="s">
        <v>24</v>
      </c>
      <c r="B1610" s="1" t="str">
        <f>HYPERLINK("http://alibaba.co.jp","alibaba.co.jp")</f>
        <v>alibaba.co.jp</v>
      </c>
      <c r="C1610" t="s">
        <v>461</v>
      </c>
      <c r="D1610" t="s">
        <v>837</v>
      </c>
      <c r="E1610">
        <v>531726</v>
      </c>
      <c r="F1610">
        <v>9.9764915277069091E-7</v>
      </c>
      <c r="G1610">
        <v>38335</v>
      </c>
      <c r="H1610">
        <v>14717243</v>
      </c>
      <c r="I1610">
        <v>579666</v>
      </c>
      <c r="J1610">
        <v>3</v>
      </c>
    </row>
    <row r="1611" spans="1:10" x14ac:dyDescent="0.25">
      <c r="A1611" t="s">
        <v>24</v>
      </c>
      <c r="B1611" s="1" t="str">
        <f>HYPERLINK("http://dingtalk.jp","dingtalk.jp")</f>
        <v>dingtalk.jp</v>
      </c>
      <c r="C1611" t="s">
        <v>461</v>
      </c>
      <c r="D1611" t="s">
        <v>837</v>
      </c>
      <c r="F1611">
        <v>1.91792435488054E-7</v>
      </c>
      <c r="G1611">
        <v>200957</v>
      </c>
      <c r="H1611">
        <v>12226505</v>
      </c>
      <c r="I1611">
        <v>22611452</v>
      </c>
      <c r="J1611">
        <v>3</v>
      </c>
    </row>
    <row r="1612" spans="1:10" x14ac:dyDescent="0.25">
      <c r="A1612" t="s">
        <v>24</v>
      </c>
      <c r="B1612" s="1" t="str">
        <f>HYPERLINK("http://megalodon.jp","megalodon.jp")</f>
        <v>megalodon.jp</v>
      </c>
      <c r="C1612" t="s">
        <v>461</v>
      </c>
      <c r="D1612" t="s">
        <v>837</v>
      </c>
      <c r="E1612">
        <v>34456</v>
      </c>
      <c r="F1612">
        <v>3.6844278778528799E-7</v>
      </c>
      <c r="G1612">
        <v>101592</v>
      </c>
      <c r="H1612">
        <v>15499637</v>
      </c>
      <c r="I1612">
        <v>376734</v>
      </c>
      <c r="J1612">
        <v>4</v>
      </c>
    </row>
    <row r="1613" spans="1:10" x14ac:dyDescent="0.25">
      <c r="A1613" t="s">
        <v>24</v>
      </c>
      <c r="B1613" s="1" t="str">
        <f>HYPERLINK("http://ele.me","ele.me")</f>
        <v>ele.me</v>
      </c>
      <c r="C1613" t="s">
        <v>470</v>
      </c>
      <c r="D1613" t="s">
        <v>846</v>
      </c>
      <c r="E1613">
        <v>24610</v>
      </c>
      <c r="F1613">
        <v>3.7300759038103302E-6</v>
      </c>
      <c r="G1613">
        <v>11167</v>
      </c>
      <c r="H1613">
        <v>15053226</v>
      </c>
      <c r="I1613">
        <v>413978</v>
      </c>
      <c r="J1613">
        <v>2</v>
      </c>
    </row>
    <row r="1614" spans="1:10" x14ac:dyDescent="0.25">
      <c r="A1614" t="s">
        <v>24</v>
      </c>
      <c r="B1614" s="1" t="str">
        <f>HYPERLINK("http://lazada.com.my","lazada.com.my")</f>
        <v>lazada.com.my</v>
      </c>
      <c r="C1614" t="s">
        <v>472</v>
      </c>
      <c r="D1614" t="s">
        <v>848</v>
      </c>
      <c r="E1614">
        <v>2889</v>
      </c>
      <c r="F1614">
        <v>8.0596138239398294E-6</v>
      </c>
      <c r="G1614">
        <v>4162</v>
      </c>
      <c r="H1614">
        <v>15912361</v>
      </c>
      <c r="I1614">
        <v>367087</v>
      </c>
      <c r="J1614">
        <v>4</v>
      </c>
    </row>
    <row r="1615" spans="1:10" x14ac:dyDescent="0.25">
      <c r="A1615" t="s">
        <v>24</v>
      </c>
      <c r="B1615" s="1" t="str">
        <f>HYPERLINK("http://ent-fund.org","ent-fund.org")</f>
        <v>ent-fund.org</v>
      </c>
      <c r="C1615" t="s">
        <v>481</v>
      </c>
      <c r="F1615">
        <v>1.3612795088567299E-7</v>
      </c>
      <c r="G1615">
        <v>286476</v>
      </c>
      <c r="H1615">
        <v>13744004</v>
      </c>
      <c r="I1615">
        <v>9425408</v>
      </c>
      <c r="J1615">
        <v>6</v>
      </c>
    </row>
    <row r="1616" spans="1:10" x14ac:dyDescent="0.25">
      <c r="A1616" t="s">
        <v>24</v>
      </c>
      <c r="B1616" s="1" t="str">
        <f>HYPERLINK("http://taobao.org","taobao.org")</f>
        <v>taobao.org</v>
      </c>
      <c r="C1616" t="s">
        <v>481</v>
      </c>
      <c r="E1616">
        <v>38181</v>
      </c>
      <c r="F1616">
        <v>2.1902975634395499E-5</v>
      </c>
      <c r="G1616">
        <v>1339</v>
      </c>
      <c r="H1616">
        <v>15319868</v>
      </c>
      <c r="I1616">
        <v>384650</v>
      </c>
      <c r="J1616">
        <v>2</v>
      </c>
    </row>
    <row r="1617" spans="1:10" x14ac:dyDescent="0.25">
      <c r="A1617" t="s">
        <v>24</v>
      </c>
      <c r="B1617" s="1" t="str">
        <f>HYPERLINK("http://lazada.com.ph","lazada.com.ph")</f>
        <v>lazada.com.ph</v>
      </c>
      <c r="C1617" t="s">
        <v>484</v>
      </c>
      <c r="D1617" t="s">
        <v>858</v>
      </c>
      <c r="E1617">
        <v>3210</v>
      </c>
      <c r="F1617">
        <v>3.4379967676693002E-6</v>
      </c>
      <c r="G1617">
        <v>11803</v>
      </c>
      <c r="H1617">
        <v>17665952</v>
      </c>
      <c r="I1617">
        <v>8033</v>
      </c>
      <c r="J1617">
        <v>4</v>
      </c>
    </row>
    <row r="1618" spans="1:10" x14ac:dyDescent="0.25">
      <c r="A1618" t="s">
        <v>24</v>
      </c>
      <c r="B1618" s="1" t="str">
        <f>HYPERLINK("http://aliexpress.ru","aliexpress.ru")</f>
        <v>aliexpress.ru</v>
      </c>
      <c r="C1618" t="s">
        <v>493</v>
      </c>
      <c r="D1618" t="s">
        <v>867</v>
      </c>
      <c r="E1618">
        <v>838</v>
      </c>
      <c r="F1618">
        <v>7.7486944653351097E-6</v>
      </c>
      <c r="G1618">
        <v>4342</v>
      </c>
      <c r="H1618">
        <v>17649772</v>
      </c>
      <c r="I1618">
        <v>8388</v>
      </c>
      <c r="J1618">
        <v>3</v>
      </c>
    </row>
    <row r="1619" spans="1:10" x14ac:dyDescent="0.25">
      <c r="A1619" t="s">
        <v>24</v>
      </c>
      <c r="B1619" s="1" t="str">
        <f>HYPERLINK("http://lazada.sg","lazada.sg")</f>
        <v>lazada.sg</v>
      </c>
      <c r="C1619" t="s">
        <v>496</v>
      </c>
      <c r="D1619" t="s">
        <v>870</v>
      </c>
      <c r="E1619">
        <v>1511</v>
      </c>
      <c r="F1619">
        <v>4.27230134196812E-6</v>
      </c>
      <c r="G1619">
        <v>8350</v>
      </c>
      <c r="H1619">
        <v>17640426</v>
      </c>
      <c r="I1619">
        <v>8598</v>
      </c>
      <c r="J1619">
        <v>4</v>
      </c>
    </row>
    <row r="1620" spans="1:10" x14ac:dyDescent="0.25">
      <c r="A1620" t="s">
        <v>24</v>
      </c>
      <c r="B1620" s="1" t="str">
        <f>HYPERLINK("http://vktech.store","vktech.store")</f>
        <v>vktech.store</v>
      </c>
      <c r="C1620" t="s">
        <v>559</v>
      </c>
      <c r="J1620">
        <v>5</v>
      </c>
    </row>
    <row r="1621" spans="1:10" x14ac:dyDescent="0.25">
      <c r="A1621" t="s">
        <v>24</v>
      </c>
      <c r="B1621" s="1" t="str">
        <f>HYPERLINK("http://zoloz.tech","zoloz.tech")</f>
        <v>zoloz.tech</v>
      </c>
      <c r="C1621" t="s">
        <v>534</v>
      </c>
      <c r="J1621">
        <v>9</v>
      </c>
    </row>
    <row r="1622" spans="1:10" x14ac:dyDescent="0.25">
      <c r="A1622" t="s">
        <v>24</v>
      </c>
      <c r="B1622" s="1" t="str">
        <f>HYPERLINK("http://lazada.co.th","lazada.co.th")</f>
        <v>lazada.co.th</v>
      </c>
      <c r="C1622" t="s">
        <v>500</v>
      </c>
      <c r="D1622" t="s">
        <v>874</v>
      </c>
      <c r="E1622">
        <v>2209</v>
      </c>
      <c r="F1622">
        <v>3.7414554280579902E-6</v>
      </c>
      <c r="G1622">
        <v>11143</v>
      </c>
      <c r="H1622">
        <v>17661254</v>
      </c>
      <c r="I1622">
        <v>8135</v>
      </c>
      <c r="J1622">
        <v>4</v>
      </c>
    </row>
    <row r="1623" spans="1:10" x14ac:dyDescent="0.25">
      <c r="A1623" t="s">
        <v>24</v>
      </c>
      <c r="B1623" s="1" t="str">
        <f>HYPERLINK("http://ddurl.to","ddurl.to")</f>
        <v>ddurl.to</v>
      </c>
      <c r="C1623" t="s">
        <v>578</v>
      </c>
      <c r="D1623" t="s">
        <v>921</v>
      </c>
      <c r="F1623">
        <v>4.4847315338829902E-9</v>
      </c>
      <c r="G1623">
        <v>61446584</v>
      </c>
      <c r="H1623">
        <v>2.0010992999999999</v>
      </c>
      <c r="I1623">
        <v>77881599</v>
      </c>
      <c r="J1623">
        <v>2</v>
      </c>
    </row>
    <row r="1624" spans="1:10" x14ac:dyDescent="0.25">
      <c r="A1624" t="s">
        <v>24</v>
      </c>
      <c r="B1624" s="1" t="str">
        <f>HYPERLINK("http://wasu.tv","wasu.tv")</f>
        <v>wasu.tv</v>
      </c>
      <c r="C1624" t="s">
        <v>535</v>
      </c>
      <c r="D1624" t="s">
        <v>897</v>
      </c>
      <c r="E1624">
        <v>40931</v>
      </c>
      <c r="F1624">
        <v>1.6431055476981601E-7</v>
      </c>
      <c r="G1624">
        <v>236256</v>
      </c>
      <c r="H1624">
        <v>13501353</v>
      </c>
      <c r="I1624">
        <v>9968502</v>
      </c>
      <c r="J1624">
        <v>2</v>
      </c>
    </row>
    <row r="1625" spans="1:10" x14ac:dyDescent="0.25">
      <c r="A1625" t="s">
        <v>24</v>
      </c>
      <c r="B1625" s="1" t="str">
        <f>HYPERLINK("http://aliexpress.us","aliexpress.us")</f>
        <v>aliexpress.us</v>
      </c>
      <c r="C1625" t="s">
        <v>522</v>
      </c>
      <c r="D1625" t="s">
        <v>891</v>
      </c>
      <c r="E1625">
        <v>1607</v>
      </c>
      <c r="F1625">
        <v>4.9077332288474902E-7</v>
      </c>
      <c r="G1625">
        <v>77720</v>
      </c>
      <c r="H1625">
        <v>17174030</v>
      </c>
      <c r="I1625">
        <v>46863</v>
      </c>
      <c r="J1625">
        <v>3</v>
      </c>
    </row>
    <row r="1626" spans="1:10" x14ac:dyDescent="0.25">
      <c r="A1626" t="s">
        <v>24</v>
      </c>
      <c r="B1626" s="1" t="str">
        <f>HYPERLINK("http://lamido.vn","lamido.vn")</f>
        <v>lamido.vn</v>
      </c>
      <c r="C1626" t="s">
        <v>509</v>
      </c>
      <c r="D1626" t="s">
        <v>883</v>
      </c>
      <c r="F1626">
        <v>6.2141900252003002E-9</v>
      </c>
      <c r="G1626">
        <v>15459964</v>
      </c>
      <c r="H1626">
        <v>12085769</v>
      </c>
      <c r="I1626">
        <v>26387679</v>
      </c>
      <c r="J1626">
        <v>6</v>
      </c>
    </row>
    <row r="1627" spans="1:10" x14ac:dyDescent="0.25">
      <c r="A1627" t="s">
        <v>24</v>
      </c>
      <c r="B1627" s="1" t="str">
        <f>HYPERLINK("http://lazada.vn","lazada.vn")</f>
        <v>lazada.vn</v>
      </c>
      <c r="C1627" t="s">
        <v>509</v>
      </c>
      <c r="D1627" t="s">
        <v>883</v>
      </c>
      <c r="E1627">
        <v>5067</v>
      </c>
      <c r="F1627">
        <v>4.3325230028462001E-6</v>
      </c>
      <c r="G1627">
        <v>8193</v>
      </c>
      <c r="H1627">
        <v>15205035</v>
      </c>
      <c r="I1627">
        <v>395256</v>
      </c>
      <c r="J1627">
        <v>4</v>
      </c>
    </row>
    <row r="1628" spans="1:10" x14ac:dyDescent="0.25">
      <c r="A1628" t="s">
        <v>24</v>
      </c>
      <c r="B1628" s="1" t="str">
        <f>HYPERLINK("http://dayu.work","dayu.work")</f>
        <v>dayu.work</v>
      </c>
      <c r="C1628" t="s">
        <v>608</v>
      </c>
      <c r="J1628">
        <v>2</v>
      </c>
    </row>
    <row r="1629" spans="1:10" x14ac:dyDescent="0.25">
      <c r="A1629" t="s">
        <v>24</v>
      </c>
      <c r="B1629" s="1" t="str">
        <f>HYPERLINK("http://nic.xin","nic.xin")</f>
        <v>nic.xin</v>
      </c>
      <c r="C1629" t="s">
        <v>609</v>
      </c>
      <c r="E1629">
        <v>279732</v>
      </c>
      <c r="F1629">
        <v>2.33317998108895E-7</v>
      </c>
      <c r="G1629">
        <v>160746</v>
      </c>
      <c r="H1629">
        <v>12908304</v>
      </c>
      <c r="I1629">
        <v>13805933</v>
      </c>
      <c r="J1629">
        <v>2</v>
      </c>
    </row>
    <row r="1630" spans="1:10" x14ac:dyDescent="0.25">
      <c r="A1630" t="s">
        <v>25</v>
      </c>
      <c r="B1630" s="1" t="str">
        <f>HYPERLINK("http://circlekontario.ca","circlekontario.ca")</f>
        <v>circlekontario.ca</v>
      </c>
      <c r="C1630" t="s">
        <v>428</v>
      </c>
      <c r="D1630" t="s">
        <v>809</v>
      </c>
      <c r="F1630">
        <v>1.2167719556038199E-8</v>
      </c>
      <c r="G1630">
        <v>5069347</v>
      </c>
      <c r="H1630">
        <v>12360681</v>
      </c>
      <c r="I1630">
        <v>19573369</v>
      </c>
      <c r="J1630">
        <v>5</v>
      </c>
    </row>
    <row r="1631" spans="1:10" x14ac:dyDescent="0.25">
      <c r="A1631" t="s">
        <v>25</v>
      </c>
      <c r="B1631" s="1" t="str">
        <f>HYPERLINK("http://macs.ca","macs.ca")</f>
        <v>macs.ca</v>
      </c>
      <c r="C1631" t="s">
        <v>428</v>
      </c>
      <c r="D1631" t="s">
        <v>809</v>
      </c>
      <c r="F1631">
        <v>1.01619880399474E-8</v>
      </c>
      <c r="G1631">
        <v>6584406</v>
      </c>
      <c r="H1631">
        <v>14123019</v>
      </c>
      <c r="I1631">
        <v>2190369</v>
      </c>
      <c r="J1631">
        <v>4</v>
      </c>
    </row>
    <row r="1632" spans="1:10" x14ac:dyDescent="0.25">
      <c r="A1632" t="s">
        <v>25</v>
      </c>
      <c r="B1632" s="1" t="str">
        <f>HYPERLINK("http://mymacs.ca","mymacs.ca")</f>
        <v>mymacs.ca</v>
      </c>
      <c r="C1632" t="s">
        <v>428</v>
      </c>
      <c r="D1632" t="s">
        <v>809</v>
      </c>
      <c r="F1632">
        <v>1.8373073458311001E-8</v>
      </c>
      <c r="G1632">
        <v>2953239</v>
      </c>
      <c r="H1632">
        <v>13765223</v>
      </c>
      <c r="I1632">
        <v>7127524</v>
      </c>
      <c r="J1632">
        <v>5</v>
      </c>
    </row>
    <row r="1633" spans="1:10" x14ac:dyDescent="0.25">
      <c r="A1633" t="s">
        <v>25</v>
      </c>
      <c r="B1633" s="1" t="str">
        <f>HYPERLINK("http://newyorknews.ca","newyorknews.ca")</f>
        <v>newyorknews.ca</v>
      </c>
      <c r="C1633" t="s">
        <v>428</v>
      </c>
      <c r="D1633" t="s">
        <v>809</v>
      </c>
      <c r="J1633">
        <v>5</v>
      </c>
    </row>
    <row r="1634" spans="1:10" x14ac:dyDescent="0.25">
      <c r="A1634" t="s">
        <v>25</v>
      </c>
      <c r="B1634" s="1" t="str">
        <f>HYPERLINK("http://circlek.com","circlek.com")</f>
        <v>circlek.com</v>
      </c>
      <c r="C1634" t="s">
        <v>433</v>
      </c>
      <c r="E1634">
        <v>50151</v>
      </c>
      <c r="F1634">
        <v>7.9980732084762103E-7</v>
      </c>
      <c r="G1634">
        <v>49238</v>
      </c>
      <c r="H1634">
        <v>14768639</v>
      </c>
      <c r="I1634">
        <v>558161</v>
      </c>
      <c r="J1634">
        <v>3</v>
      </c>
    </row>
    <row r="1635" spans="1:10" x14ac:dyDescent="0.25">
      <c r="A1635" t="s">
        <v>25</v>
      </c>
      <c r="B1635" s="1" t="str">
        <f>HYPERLINK("http://circlekconserve.com","circlekconserve.com")</f>
        <v>circlekconserve.com</v>
      </c>
      <c r="C1635" t="s">
        <v>433</v>
      </c>
      <c r="F1635">
        <v>4.7560309243201899E-9</v>
      </c>
      <c r="G1635">
        <v>38059359</v>
      </c>
      <c r="H1635">
        <v>10886310</v>
      </c>
      <c r="I1635">
        <v>36202190</v>
      </c>
      <c r="J1635">
        <v>5</v>
      </c>
    </row>
    <row r="1636" spans="1:10" x14ac:dyDescent="0.25">
      <c r="A1636" t="s">
        <v>25</v>
      </c>
      <c r="B1636" s="1" t="str">
        <f>HYPERLINK("http://circlekeurope.com","circlekeurope.com")</f>
        <v>circlekeurope.com</v>
      </c>
      <c r="C1636" t="s">
        <v>433</v>
      </c>
      <c r="E1636">
        <v>266267</v>
      </c>
      <c r="F1636">
        <v>5.6462988091091899E-8</v>
      </c>
      <c r="G1636">
        <v>792088</v>
      </c>
      <c r="H1636">
        <v>12506605</v>
      </c>
      <c r="I1636">
        <v>17279962</v>
      </c>
      <c r="J1636">
        <v>5</v>
      </c>
    </row>
    <row r="1637" spans="1:10" x14ac:dyDescent="0.25">
      <c r="A1637" t="s">
        <v>25</v>
      </c>
      <c r="B1637" s="1" t="str">
        <f>HYPERLINK("http://circlekflorida.com","circlekflorida.com")</f>
        <v>circlekflorida.com</v>
      </c>
      <c r="C1637" t="s">
        <v>433</v>
      </c>
      <c r="F1637">
        <v>2.06961460875082E-8</v>
      </c>
      <c r="G1637">
        <v>2557357</v>
      </c>
      <c r="H1637">
        <v>12741012</v>
      </c>
      <c r="I1637">
        <v>15125524</v>
      </c>
      <c r="J1637">
        <v>5</v>
      </c>
    </row>
    <row r="1638" spans="1:10" x14ac:dyDescent="0.25">
      <c r="A1638" t="s">
        <v>25</v>
      </c>
      <c r="B1638" s="1" t="str">
        <f>HYPERLINK("http://circlekgreatlakes.com","circlekgreatlakes.com")</f>
        <v>circlekgreatlakes.com</v>
      </c>
      <c r="C1638" t="s">
        <v>433</v>
      </c>
      <c r="F1638">
        <v>1.08205528660582E-8</v>
      </c>
      <c r="G1638">
        <v>6004564</v>
      </c>
      <c r="H1638">
        <v>13763725</v>
      </c>
      <c r="I1638">
        <v>7729696</v>
      </c>
      <c r="J1638">
        <v>5</v>
      </c>
    </row>
    <row r="1639" spans="1:10" x14ac:dyDescent="0.25">
      <c r="A1639" t="s">
        <v>25</v>
      </c>
      <c r="B1639" s="1" t="str">
        <f>HYPERLINK("http://circleksouthatlantic.com","circleksouthatlantic.com")</f>
        <v>circleksouthatlantic.com</v>
      </c>
      <c r="C1639" t="s">
        <v>433</v>
      </c>
      <c r="F1639">
        <v>1.05684546084947E-8</v>
      </c>
      <c r="G1639">
        <v>6210605</v>
      </c>
      <c r="H1639">
        <v>10866325</v>
      </c>
      <c r="I1639">
        <v>36568740</v>
      </c>
      <c r="J1639">
        <v>5</v>
      </c>
    </row>
    <row r="1640" spans="1:10" x14ac:dyDescent="0.25">
      <c r="A1640" t="s">
        <v>25</v>
      </c>
      <c r="B1640" s="1" t="str">
        <f>HYPERLINK("http://cornerstore.com","cornerstore.com")</f>
        <v>cornerstore.com</v>
      </c>
      <c r="C1640" t="s">
        <v>433</v>
      </c>
      <c r="F1640">
        <v>1.6572938811162901E-8</v>
      </c>
      <c r="G1640">
        <v>3395924</v>
      </c>
      <c r="H1640">
        <v>13599903</v>
      </c>
      <c r="I1640">
        <v>9650636</v>
      </c>
      <c r="J1640">
        <v>5</v>
      </c>
    </row>
    <row r="1641" spans="1:10" x14ac:dyDescent="0.25">
      <c r="A1641" t="s">
        <v>25</v>
      </c>
      <c r="B1641" s="1" t="str">
        <f>HYPERLINK("http://couche-tard.com","couche-tard.com")</f>
        <v>couche-tard.com</v>
      </c>
      <c r="C1641" t="s">
        <v>433</v>
      </c>
      <c r="E1641">
        <v>252588</v>
      </c>
      <c r="F1641">
        <v>2.5724621491348102E-7</v>
      </c>
      <c r="G1641">
        <v>145399</v>
      </c>
      <c r="H1641">
        <v>17161150</v>
      </c>
      <c r="I1641">
        <v>49720</v>
      </c>
      <c r="J1641">
        <v>1</v>
      </c>
    </row>
    <row r="1642" spans="1:10" x14ac:dyDescent="0.25">
      <c r="A1642" t="s">
        <v>25</v>
      </c>
      <c r="B1642" s="1" t="str">
        <f>HYPERLINK("http://crackerbarrelcstores.com","crackerbarrelcstores.com")</f>
        <v>crackerbarrelcstores.com</v>
      </c>
      <c r="C1642" t="s">
        <v>433</v>
      </c>
      <c r="F1642">
        <v>4.4851723898140604E-9</v>
      </c>
      <c r="G1642">
        <v>61362081</v>
      </c>
      <c r="H1642">
        <v>12158824</v>
      </c>
      <c r="I1642">
        <v>24400694</v>
      </c>
      <c r="J1642">
        <v>5</v>
      </c>
    </row>
    <row r="1643" spans="1:10" x14ac:dyDescent="0.25">
      <c r="A1643" t="s">
        <v>25</v>
      </c>
      <c r="B1643" s="1" t="str">
        <f>HYPERLINK("http://flashfoods.com","flashfoods.com")</f>
        <v>flashfoods.com</v>
      </c>
      <c r="C1643" t="s">
        <v>433</v>
      </c>
      <c r="F1643">
        <v>1.54885854407153E-8</v>
      </c>
      <c r="G1643">
        <v>3688001</v>
      </c>
      <c r="H1643">
        <v>13740251</v>
      </c>
      <c r="I1643">
        <v>9430197</v>
      </c>
      <c r="J1643">
        <v>5</v>
      </c>
    </row>
    <row r="1644" spans="1:10" x14ac:dyDescent="0.25">
      <c r="A1644" t="s">
        <v>25</v>
      </c>
      <c r="B1644" s="1" t="str">
        <f>HYPERLINK("http://freelikesfacebook.com","freelikesfacebook.com")</f>
        <v>freelikesfacebook.com</v>
      </c>
      <c r="C1644" t="s">
        <v>433</v>
      </c>
      <c r="F1644">
        <v>4.9206076015651404E-9</v>
      </c>
      <c r="G1644">
        <v>31669454</v>
      </c>
      <c r="H1644">
        <v>12749904</v>
      </c>
      <c r="I1644">
        <v>15050845</v>
      </c>
      <c r="J1644">
        <v>5</v>
      </c>
    </row>
    <row r="1645" spans="1:10" x14ac:dyDescent="0.25">
      <c r="A1645" t="s">
        <v>25</v>
      </c>
      <c r="B1645" s="1" t="str">
        <f>HYPERLINK("http://holidaycompanies.com","holidaycompanies.com")</f>
        <v>holidaycompanies.com</v>
      </c>
      <c r="C1645" t="s">
        <v>433</v>
      </c>
      <c r="F1645">
        <v>4.50719843069979E-9</v>
      </c>
      <c r="G1645">
        <v>57897755</v>
      </c>
      <c r="H1645">
        <v>10915198</v>
      </c>
      <c r="I1645">
        <v>35511252</v>
      </c>
      <c r="J1645">
        <v>4</v>
      </c>
    </row>
    <row r="1646" spans="1:10" x14ac:dyDescent="0.25">
      <c r="A1646" t="s">
        <v>25</v>
      </c>
      <c r="B1646" s="1" t="str">
        <f>HYPERLINK("http://holidayoil.com","holidayoil.com")</f>
        <v>holidayoil.com</v>
      </c>
      <c r="C1646" t="s">
        <v>433</v>
      </c>
      <c r="F1646">
        <v>7.7940210095490593E-9</v>
      </c>
      <c r="G1646">
        <v>10335807</v>
      </c>
      <c r="H1646">
        <v>12415345</v>
      </c>
      <c r="I1646">
        <v>18535707</v>
      </c>
      <c r="J1646">
        <v>6</v>
      </c>
    </row>
    <row r="1647" spans="1:10" x14ac:dyDescent="0.25">
      <c r="A1647" t="s">
        <v>25</v>
      </c>
      <c r="B1647" s="1" t="str">
        <f>HYPERLINK("http://holidaystationstores.com","holidaystationstores.com")</f>
        <v>holidaystationstores.com</v>
      </c>
      <c r="C1647" t="s">
        <v>433</v>
      </c>
      <c r="E1647">
        <v>404659</v>
      </c>
      <c r="F1647">
        <v>7.9341424025234698E-8</v>
      </c>
      <c r="G1647">
        <v>526668</v>
      </c>
      <c r="H1647">
        <v>13867898</v>
      </c>
      <c r="I1647">
        <v>6003883</v>
      </c>
      <c r="J1647">
        <v>3</v>
      </c>
    </row>
    <row r="1648" spans="1:10" x14ac:dyDescent="0.25">
      <c r="A1648" t="s">
        <v>25</v>
      </c>
      <c r="B1648" s="1" t="str">
        <f>HYPERLINK("http://kangarooexpress.com","kangarooexpress.com")</f>
        <v>kangarooexpress.com</v>
      </c>
      <c r="C1648" t="s">
        <v>433</v>
      </c>
      <c r="F1648">
        <v>1.24342145754908E-8</v>
      </c>
      <c r="G1648">
        <v>4920824</v>
      </c>
      <c r="H1648">
        <v>13808933</v>
      </c>
      <c r="I1648">
        <v>6218013</v>
      </c>
      <c r="J1648">
        <v>5</v>
      </c>
    </row>
    <row r="1649" spans="1:10" x14ac:dyDescent="0.25">
      <c r="A1649" t="s">
        <v>25</v>
      </c>
      <c r="B1649" s="1" t="str">
        <f>HYPERLINK("http://kmexico.com","kmexico.com")</f>
        <v>kmexico.com</v>
      </c>
      <c r="C1649" t="s">
        <v>433</v>
      </c>
      <c r="F1649">
        <v>4.44380395335525E-9</v>
      </c>
      <c r="G1649">
        <v>87177094</v>
      </c>
      <c r="H1649">
        <v>0</v>
      </c>
      <c r="I1649">
        <v>82890572</v>
      </c>
      <c r="J1649">
        <v>8</v>
      </c>
    </row>
    <row r="1650" spans="1:10" x14ac:dyDescent="0.25">
      <c r="A1650" t="s">
        <v>25</v>
      </c>
      <c r="B1650" s="1" t="str">
        <f>HYPERLINK("http://macs.com","macs.com")</f>
        <v>macs.com</v>
      </c>
      <c r="C1650" t="s">
        <v>433</v>
      </c>
      <c r="F1650">
        <v>5.2136141764337598E-9</v>
      </c>
      <c r="G1650">
        <v>24858489</v>
      </c>
      <c r="H1650">
        <v>12266859</v>
      </c>
      <c r="I1650">
        <v>21598066</v>
      </c>
      <c r="J1650">
        <v>5</v>
      </c>
    </row>
    <row r="1651" spans="1:10" x14ac:dyDescent="0.25">
      <c r="A1651" t="s">
        <v>25</v>
      </c>
      <c r="B1651" s="1" t="str">
        <f>HYPERLINK("http://myirving.com","myirving.com")</f>
        <v>myirving.com</v>
      </c>
      <c r="C1651" t="s">
        <v>433</v>
      </c>
      <c r="F1651">
        <v>4.7490337278983197E-9</v>
      </c>
      <c r="G1651">
        <v>38369406</v>
      </c>
      <c r="H1651">
        <v>10682330</v>
      </c>
      <c r="I1651">
        <v>42705503</v>
      </c>
      <c r="J1651">
        <v>5</v>
      </c>
    </row>
    <row r="1652" spans="1:10" x14ac:dyDescent="0.25">
      <c r="A1652" t="s">
        <v>25</v>
      </c>
      <c r="B1652" s="1" t="str">
        <f>HYPERLINK("http://prowash.com","prowash.com")</f>
        <v>prowash.com</v>
      </c>
      <c r="C1652" t="s">
        <v>433</v>
      </c>
      <c r="J1652">
        <v>5</v>
      </c>
    </row>
    <row r="1653" spans="1:10" x14ac:dyDescent="0.25">
      <c r="A1653" t="s">
        <v>25</v>
      </c>
      <c r="B1653" s="1" t="str">
        <f>HYPERLINK("http://signaturesaigonhotel.com","signaturesaigonhotel.com")</f>
        <v>signaturesaigonhotel.com</v>
      </c>
      <c r="C1653" t="s">
        <v>433</v>
      </c>
      <c r="F1653">
        <v>4.6220994474226403E-9</v>
      </c>
      <c r="G1653">
        <v>45991420</v>
      </c>
      <c r="H1653">
        <v>12162553</v>
      </c>
      <c r="I1653">
        <v>24293187</v>
      </c>
      <c r="J1653">
        <v>5</v>
      </c>
    </row>
    <row r="1654" spans="1:10" x14ac:dyDescent="0.25">
      <c r="A1654" t="s">
        <v>25</v>
      </c>
      <c r="B1654" s="1" t="str">
        <f>HYPERLINK("http://statoilfuelretail.com","statoilfuelretail.com")</f>
        <v>statoilfuelretail.com</v>
      </c>
      <c r="C1654" t="s">
        <v>433</v>
      </c>
      <c r="E1654">
        <v>490505</v>
      </c>
      <c r="F1654">
        <v>1.26112000413041E-8</v>
      </c>
      <c r="G1654">
        <v>4825223</v>
      </c>
      <c r="H1654">
        <v>14239110</v>
      </c>
      <c r="I1654">
        <v>1516706</v>
      </c>
      <c r="J1654">
        <v>4</v>
      </c>
    </row>
    <row r="1655" spans="1:10" x14ac:dyDescent="0.25">
      <c r="A1655" t="s">
        <v>25</v>
      </c>
      <c r="B1655" s="1" t="str">
        <f>HYPERLINK("http://thepantry.com","thepantry.com")</f>
        <v>thepantry.com</v>
      </c>
      <c r="C1655" t="s">
        <v>433</v>
      </c>
      <c r="F1655">
        <v>1.9727221546000399E-8</v>
      </c>
      <c r="G1655">
        <v>2704787</v>
      </c>
      <c r="H1655">
        <v>14045507</v>
      </c>
      <c r="I1655">
        <v>3901008</v>
      </c>
      <c r="J1655">
        <v>6</v>
      </c>
    </row>
    <row r="1656" spans="1:10" x14ac:dyDescent="0.25">
      <c r="A1656" t="s">
        <v>25</v>
      </c>
      <c r="B1656" s="1" t="str">
        <f>HYPERLINK("http://unlockiphone4se.com","unlockiphone4se.com")</f>
        <v>unlockiphone4se.com</v>
      </c>
      <c r="C1656" t="s">
        <v>433</v>
      </c>
      <c r="F1656">
        <v>4.4468988257070902E-9</v>
      </c>
      <c r="G1656">
        <v>73917787</v>
      </c>
      <c r="H1656">
        <v>10430588</v>
      </c>
      <c r="I1656">
        <v>53727255</v>
      </c>
      <c r="J1656">
        <v>5</v>
      </c>
    </row>
    <row r="1657" spans="1:10" x14ac:dyDescent="0.25">
      <c r="A1657" t="s">
        <v>25</v>
      </c>
      <c r="B1657" s="1" t="str">
        <f>HYPERLINK("http://circlek.coupons","circlek.coupons")</f>
        <v>circlek.coupons</v>
      </c>
      <c r="C1657" t="s">
        <v>1667</v>
      </c>
      <c r="F1657">
        <v>1.41963838168588E-8</v>
      </c>
      <c r="G1657">
        <v>4130207</v>
      </c>
      <c r="H1657">
        <v>13764351</v>
      </c>
      <c r="I1657">
        <v>7288937</v>
      </c>
      <c r="J1657">
        <v>4</v>
      </c>
    </row>
    <row r="1658" spans="1:10" x14ac:dyDescent="0.25">
      <c r="A1658" t="s">
        <v>25</v>
      </c>
      <c r="B1658" s="1" t="str">
        <f>HYPERLINK("http://circlek.dk","circlek.dk")</f>
        <v>circlek.dk</v>
      </c>
      <c r="C1658" t="s">
        <v>437</v>
      </c>
      <c r="D1658" t="s">
        <v>816</v>
      </c>
      <c r="F1658">
        <v>9.4245217250449101E-8</v>
      </c>
      <c r="G1658">
        <v>430657</v>
      </c>
      <c r="H1658">
        <v>14081931</v>
      </c>
      <c r="I1658">
        <v>2805087</v>
      </c>
      <c r="J1658">
        <v>4</v>
      </c>
    </row>
    <row r="1659" spans="1:10" x14ac:dyDescent="0.25">
      <c r="A1659" t="s">
        <v>25</v>
      </c>
      <c r="B1659" s="1" t="str">
        <f>HYPERLINK("http://ingo.dk","ingo.dk")</f>
        <v>ingo.dk</v>
      </c>
      <c r="C1659" t="s">
        <v>437</v>
      </c>
      <c r="D1659" t="s">
        <v>816</v>
      </c>
      <c r="F1659">
        <v>1.01775005193493E-8</v>
      </c>
      <c r="G1659">
        <v>6569089</v>
      </c>
      <c r="H1659">
        <v>14072341</v>
      </c>
      <c r="I1659">
        <v>3112983</v>
      </c>
      <c r="J1659">
        <v>8</v>
      </c>
    </row>
    <row r="1660" spans="1:10" x14ac:dyDescent="0.25">
      <c r="A1660" t="s">
        <v>25</v>
      </c>
      <c r="B1660" s="1" t="str">
        <f>HYPERLINK("http://circlek.ee","circlek.ee")</f>
        <v>circlek.ee</v>
      </c>
      <c r="C1660" t="s">
        <v>441</v>
      </c>
      <c r="D1660" t="s">
        <v>820</v>
      </c>
      <c r="E1660">
        <v>695610</v>
      </c>
      <c r="F1660">
        <v>4.3280229501067301E-8</v>
      </c>
      <c r="G1660">
        <v>1107676</v>
      </c>
      <c r="H1660">
        <v>12279337</v>
      </c>
      <c r="I1660">
        <v>21321458</v>
      </c>
      <c r="J1660">
        <v>4</v>
      </c>
    </row>
    <row r="1661" spans="1:10" x14ac:dyDescent="0.25">
      <c r="A1661" t="s">
        <v>25</v>
      </c>
      <c r="B1661" s="1" t="str">
        <f>HYPERLINK("http://statoil.ee","statoil.ee")</f>
        <v>statoil.ee</v>
      </c>
      <c r="C1661" t="s">
        <v>441</v>
      </c>
      <c r="D1661" t="s">
        <v>820</v>
      </c>
      <c r="F1661">
        <v>6.1992100299352699E-9</v>
      </c>
      <c r="G1661">
        <v>15540734</v>
      </c>
      <c r="H1661">
        <v>13763644</v>
      </c>
      <c r="I1661">
        <v>7910868</v>
      </c>
      <c r="J1661">
        <v>5</v>
      </c>
    </row>
    <row r="1662" spans="1:10" x14ac:dyDescent="0.25">
      <c r="A1662" t="s">
        <v>25</v>
      </c>
      <c r="B1662" s="1" t="str">
        <f>HYPERLINK("http://ok-computer.es","ok-computer.es")</f>
        <v>ok-computer.es</v>
      </c>
      <c r="C1662" t="s">
        <v>443</v>
      </c>
      <c r="D1662" t="s">
        <v>822</v>
      </c>
      <c r="F1662">
        <v>1.09924417897706E-8</v>
      </c>
      <c r="G1662">
        <v>5866772</v>
      </c>
      <c r="H1662">
        <v>8797976</v>
      </c>
      <c r="I1662">
        <v>69410065</v>
      </c>
      <c r="J1662">
        <v>5</v>
      </c>
    </row>
    <row r="1663" spans="1:10" x14ac:dyDescent="0.25">
      <c r="A1663" t="s">
        <v>25</v>
      </c>
      <c r="B1663" s="1" t="str">
        <f>HYPERLINK("http://circlek.eu","circlek.eu")</f>
        <v>circlek.eu</v>
      </c>
      <c r="C1663" t="s">
        <v>444</v>
      </c>
      <c r="F1663">
        <v>8.7062713729655497E-8</v>
      </c>
      <c r="G1663">
        <v>471581</v>
      </c>
      <c r="H1663">
        <v>16819808</v>
      </c>
      <c r="I1663">
        <v>185937</v>
      </c>
      <c r="J1663">
        <v>4</v>
      </c>
    </row>
    <row r="1664" spans="1:10" x14ac:dyDescent="0.25">
      <c r="A1664" t="s">
        <v>25</v>
      </c>
      <c r="B1664" s="1" t="str">
        <f>HYPERLINK("http://okpeintures.fr","okpeintures.fr")</f>
        <v>okpeintures.fr</v>
      </c>
      <c r="C1664" t="s">
        <v>446</v>
      </c>
      <c r="D1664" t="s">
        <v>824</v>
      </c>
      <c r="J1664">
        <v>5</v>
      </c>
    </row>
    <row r="1665" spans="1:10" x14ac:dyDescent="0.25">
      <c r="A1665" t="s">
        <v>25</v>
      </c>
      <c r="B1665" s="1" t="str">
        <f>HYPERLINK("http://circlek.hk","circlek.hk")</f>
        <v>circlek.hk</v>
      </c>
      <c r="C1665" t="s">
        <v>450</v>
      </c>
      <c r="D1665" t="s">
        <v>827</v>
      </c>
      <c r="E1665">
        <v>460093</v>
      </c>
      <c r="F1665">
        <v>2.6242647130790999E-7</v>
      </c>
      <c r="G1665">
        <v>142509</v>
      </c>
      <c r="H1665">
        <v>16998904</v>
      </c>
      <c r="I1665">
        <v>93949</v>
      </c>
      <c r="J1665">
        <v>5</v>
      </c>
    </row>
    <row r="1666" spans="1:10" x14ac:dyDescent="0.25">
      <c r="A1666" t="s">
        <v>25</v>
      </c>
      <c r="B1666" s="1" t="str">
        <f>HYPERLINK("http://circlek.ie","circlek.ie")</f>
        <v>circlek.ie</v>
      </c>
      <c r="C1666" t="s">
        <v>455</v>
      </c>
      <c r="D1666" t="s">
        <v>832</v>
      </c>
      <c r="E1666">
        <v>828004</v>
      </c>
      <c r="F1666">
        <v>8.0740251579294704E-8</v>
      </c>
      <c r="G1666">
        <v>517186</v>
      </c>
      <c r="H1666">
        <v>16877902</v>
      </c>
      <c r="I1666">
        <v>140564</v>
      </c>
      <c r="J1666">
        <v>4</v>
      </c>
    </row>
    <row r="1667" spans="1:10" x14ac:dyDescent="0.25">
      <c r="A1667" t="s">
        <v>25</v>
      </c>
      <c r="B1667" s="1" t="str">
        <f>HYPERLINK("http://topaz.ie","topaz.ie")</f>
        <v>topaz.ie</v>
      </c>
      <c r="C1667" t="s">
        <v>455</v>
      </c>
      <c r="D1667" t="s">
        <v>832</v>
      </c>
      <c r="F1667">
        <v>1.60190287453108E-8</v>
      </c>
      <c r="G1667">
        <v>3541191</v>
      </c>
      <c r="H1667">
        <v>13934316</v>
      </c>
      <c r="I1667">
        <v>4608142</v>
      </c>
      <c r="J1667">
        <v>6</v>
      </c>
    </row>
    <row r="1668" spans="1:10" x14ac:dyDescent="0.25">
      <c r="A1668" t="s">
        <v>25</v>
      </c>
      <c r="B1668" s="1" t="str">
        <f>HYPERLINK("http://couche-tard.jobs","couche-tard.jobs")</f>
        <v>couche-tard.jobs</v>
      </c>
      <c r="C1668" t="s">
        <v>521</v>
      </c>
      <c r="F1668">
        <v>1.56417145794188E-8</v>
      </c>
      <c r="G1668">
        <v>3643627</v>
      </c>
      <c r="H1668">
        <v>13948957</v>
      </c>
      <c r="I1668">
        <v>4188456</v>
      </c>
      <c r="J1668">
        <v>2</v>
      </c>
    </row>
    <row r="1669" spans="1:10" x14ac:dyDescent="0.25">
      <c r="A1669" t="s">
        <v>25</v>
      </c>
      <c r="B1669" s="1" t="str">
        <f>HYPERLINK("http://circlek.lt","circlek.lt")</f>
        <v>circlek.lt</v>
      </c>
      <c r="C1669" t="s">
        <v>467</v>
      </c>
      <c r="D1669" t="s">
        <v>843</v>
      </c>
      <c r="F1669">
        <v>4.5811272565778403E-8</v>
      </c>
      <c r="G1669">
        <v>1025660</v>
      </c>
      <c r="H1669">
        <v>12933191</v>
      </c>
      <c r="I1669">
        <v>13353057</v>
      </c>
      <c r="J1669">
        <v>4</v>
      </c>
    </row>
    <row r="1670" spans="1:10" x14ac:dyDescent="0.25">
      <c r="A1670" t="s">
        <v>25</v>
      </c>
      <c r="B1670" s="1" t="str">
        <f>HYPERLINK("http://circlek.lv","circlek.lv")</f>
        <v>circlek.lv</v>
      </c>
      <c r="C1670" t="s">
        <v>468</v>
      </c>
      <c r="D1670" t="s">
        <v>844</v>
      </c>
      <c r="F1670">
        <v>6.4814905773598395E-8</v>
      </c>
      <c r="G1670">
        <v>665596</v>
      </c>
      <c r="H1670">
        <v>14468537</v>
      </c>
      <c r="I1670">
        <v>1043114</v>
      </c>
      <c r="J1670">
        <v>4</v>
      </c>
    </row>
    <row r="1671" spans="1:10" x14ac:dyDescent="0.25">
      <c r="A1671" t="s">
        <v>25</v>
      </c>
      <c r="B1671" s="1" t="str">
        <f>HYPERLINK("http://cck.com.mx","cck.com.mx")</f>
        <v>cck.com.mx</v>
      </c>
      <c r="C1671" t="s">
        <v>471</v>
      </c>
      <c r="D1671" t="s">
        <v>847</v>
      </c>
      <c r="J1671">
        <v>7</v>
      </c>
    </row>
    <row r="1672" spans="1:10" x14ac:dyDescent="0.25">
      <c r="A1672" t="s">
        <v>25</v>
      </c>
      <c r="B1672" s="1" t="str">
        <f>HYPERLINK("http://circlek.com.mx","circlek.com.mx")</f>
        <v>circlek.com.mx</v>
      </c>
      <c r="C1672" t="s">
        <v>471</v>
      </c>
      <c r="D1672" t="s">
        <v>847</v>
      </c>
      <c r="F1672">
        <v>6.1647637059595601E-9</v>
      </c>
      <c r="G1672">
        <v>15721332</v>
      </c>
      <c r="H1672">
        <v>12884781</v>
      </c>
      <c r="I1672">
        <v>13969743</v>
      </c>
      <c r="J1672">
        <v>5</v>
      </c>
    </row>
    <row r="1673" spans="1:10" x14ac:dyDescent="0.25">
      <c r="A1673" t="s">
        <v>25</v>
      </c>
      <c r="B1673" s="1" t="str">
        <f>HYPERLINK("http://circlek.no","circlek.no")</f>
        <v>circlek.no</v>
      </c>
      <c r="C1673" t="s">
        <v>478</v>
      </c>
      <c r="D1673" t="s">
        <v>853</v>
      </c>
      <c r="E1673">
        <v>746675</v>
      </c>
      <c r="F1673">
        <v>1.58030603293049E-7</v>
      </c>
      <c r="G1673">
        <v>245677</v>
      </c>
      <c r="H1673">
        <v>16998870</v>
      </c>
      <c r="I1673">
        <v>93958</v>
      </c>
      <c r="J1673">
        <v>3</v>
      </c>
    </row>
    <row r="1674" spans="1:10" x14ac:dyDescent="0.25">
      <c r="A1674" t="s">
        <v>25</v>
      </c>
      <c r="B1674" s="1" t="str">
        <f>HYPERLINK("http://circlek.co.nz","circlek.co.nz")</f>
        <v>circlek.co.nz</v>
      </c>
      <c r="C1674" t="s">
        <v>479</v>
      </c>
      <c r="D1674" t="s">
        <v>854</v>
      </c>
      <c r="F1674">
        <v>4.4549850378225103E-9</v>
      </c>
      <c r="G1674">
        <v>69524838</v>
      </c>
      <c r="H1674">
        <v>10347200</v>
      </c>
      <c r="I1674">
        <v>56703664</v>
      </c>
      <c r="J1674">
        <v>5</v>
      </c>
    </row>
    <row r="1675" spans="1:10" x14ac:dyDescent="0.25">
      <c r="A1675" t="s">
        <v>25</v>
      </c>
      <c r="B1675" s="1" t="str">
        <f>HYPERLINK("http://circlek.pl","circlek.pl")</f>
        <v>circlek.pl</v>
      </c>
      <c r="C1675" t="s">
        <v>486</v>
      </c>
      <c r="D1675" t="s">
        <v>860</v>
      </c>
      <c r="F1675">
        <v>5.7682217157616301E-8</v>
      </c>
      <c r="G1675">
        <v>772538</v>
      </c>
      <c r="H1675">
        <v>14074736</v>
      </c>
      <c r="I1675">
        <v>2931246</v>
      </c>
      <c r="J1675">
        <v>3</v>
      </c>
    </row>
    <row r="1676" spans="1:10" x14ac:dyDescent="0.25">
      <c r="A1676" t="s">
        <v>25</v>
      </c>
      <c r="B1676" s="1" t="str">
        <f>HYPERLINK("http://comweb.pl","comweb.pl")</f>
        <v>comweb.pl</v>
      </c>
      <c r="C1676" t="s">
        <v>486</v>
      </c>
      <c r="D1676" t="s">
        <v>860</v>
      </c>
      <c r="E1676">
        <v>460510</v>
      </c>
      <c r="F1676">
        <v>3.8997112176048603E-8</v>
      </c>
      <c r="G1676">
        <v>1322358</v>
      </c>
      <c r="H1676">
        <v>13784634</v>
      </c>
      <c r="I1676">
        <v>6410747</v>
      </c>
      <c r="J1676">
        <v>7</v>
      </c>
    </row>
    <row r="1677" spans="1:10" x14ac:dyDescent="0.25">
      <c r="A1677" t="s">
        <v>25</v>
      </c>
      <c r="B1677" s="1" t="str">
        <f>HYPERLINK("http://statoil.pl","statoil.pl")</f>
        <v>statoil.pl</v>
      </c>
      <c r="C1677" t="s">
        <v>486</v>
      </c>
      <c r="D1677" t="s">
        <v>860</v>
      </c>
      <c r="F1677">
        <v>1.2993915395665699E-8</v>
      </c>
      <c r="G1677">
        <v>4634553</v>
      </c>
      <c r="H1677">
        <v>14072721</v>
      </c>
      <c r="I1677">
        <v>3053903</v>
      </c>
      <c r="J1677">
        <v>5</v>
      </c>
    </row>
    <row r="1678" spans="1:10" x14ac:dyDescent="0.25">
      <c r="A1678" t="s">
        <v>25</v>
      </c>
      <c r="B1678" s="1" t="str">
        <f>HYPERLINK("http://circlekrussia.ru","circlekrussia.ru")</f>
        <v>circlekrussia.ru</v>
      </c>
      <c r="C1678" t="s">
        <v>493</v>
      </c>
      <c r="D1678" t="s">
        <v>867</v>
      </c>
      <c r="F1678">
        <v>1.82891641983265E-8</v>
      </c>
      <c r="G1678">
        <v>2969529</v>
      </c>
      <c r="H1678">
        <v>12213639</v>
      </c>
      <c r="I1678">
        <v>22936023</v>
      </c>
      <c r="J1678">
        <v>5</v>
      </c>
    </row>
    <row r="1679" spans="1:10" x14ac:dyDescent="0.25">
      <c r="A1679" t="s">
        <v>25</v>
      </c>
      <c r="B1679" s="1" t="str">
        <f>HYPERLINK("http://circlek.se","circlek.se")</f>
        <v>circlek.se</v>
      </c>
      <c r="C1679" t="s">
        <v>495</v>
      </c>
      <c r="D1679" t="s">
        <v>869</v>
      </c>
      <c r="E1679">
        <v>523521</v>
      </c>
      <c r="F1679">
        <v>1.3142267253016599E-7</v>
      </c>
      <c r="G1679">
        <v>297525</v>
      </c>
      <c r="H1679">
        <v>14400027</v>
      </c>
      <c r="I1679">
        <v>1154750</v>
      </c>
      <c r="J1679">
        <v>3</v>
      </c>
    </row>
    <row r="1680" spans="1:10" x14ac:dyDescent="0.25">
      <c r="A1680" t="s">
        <v>25</v>
      </c>
      <c r="B1680" s="1" t="str">
        <f>HYPERLINK("http://ingo.se","ingo.se")</f>
        <v>ingo.se</v>
      </c>
      <c r="C1680" t="s">
        <v>495</v>
      </c>
      <c r="D1680" t="s">
        <v>869</v>
      </c>
      <c r="F1680">
        <v>5.3782574983419303E-8</v>
      </c>
      <c r="G1680">
        <v>845207</v>
      </c>
      <c r="H1680">
        <v>16874786</v>
      </c>
      <c r="I1680">
        <v>142436</v>
      </c>
      <c r="J1680">
        <v>7</v>
      </c>
    </row>
    <row r="1681" spans="1:10" x14ac:dyDescent="0.25">
      <c r="A1681" t="s">
        <v>25</v>
      </c>
      <c r="B1681" s="1" t="str">
        <f>HYPERLINK("http://cieclek.com.vn","cieclek.com.vn")</f>
        <v>cieclek.com.vn</v>
      </c>
      <c r="C1681" t="s">
        <v>509</v>
      </c>
      <c r="D1681" t="s">
        <v>883</v>
      </c>
      <c r="J1681">
        <v>5</v>
      </c>
    </row>
    <row r="1682" spans="1:10" x14ac:dyDescent="0.25">
      <c r="A1682" t="s">
        <v>25</v>
      </c>
      <c r="B1682" s="1" t="str">
        <f>HYPERLINK("http://circlek.com.vn","circlek.com.vn")</f>
        <v>circlek.com.vn</v>
      </c>
      <c r="C1682" t="s">
        <v>509</v>
      </c>
      <c r="D1682" t="s">
        <v>883</v>
      </c>
      <c r="F1682">
        <v>2.8796522055598101E-8</v>
      </c>
      <c r="G1682">
        <v>1787364</v>
      </c>
      <c r="H1682">
        <v>12902675</v>
      </c>
      <c r="I1682">
        <v>13844807</v>
      </c>
      <c r="J1682">
        <v>5</v>
      </c>
    </row>
    <row r="1683" spans="1:10" x14ac:dyDescent="0.25">
      <c r="A1683" t="s">
        <v>26</v>
      </c>
      <c r="B1683" s="1" t="str">
        <f>HYPERLINK("http://dubaireview.ae","dubaireview.ae")</f>
        <v>dubaireview.ae</v>
      </c>
      <c r="C1683" t="s">
        <v>417</v>
      </c>
      <c r="D1683" t="s">
        <v>799</v>
      </c>
      <c r="F1683">
        <v>7.5497482287290602E-9</v>
      </c>
      <c r="G1683">
        <v>10905709</v>
      </c>
      <c r="H1683">
        <v>12038966</v>
      </c>
      <c r="I1683">
        <v>27484784</v>
      </c>
      <c r="J1683">
        <v>6</v>
      </c>
    </row>
    <row r="1684" spans="1:10" x14ac:dyDescent="0.25">
      <c r="A1684" t="s">
        <v>26</v>
      </c>
      <c r="B1684" s="1" t="str">
        <f>HYPERLINK("http://eulerhermes.ae","eulerhermes.ae")</f>
        <v>eulerhermes.ae</v>
      </c>
      <c r="C1684" t="s">
        <v>417</v>
      </c>
      <c r="D1684" t="s">
        <v>799</v>
      </c>
      <c r="F1684">
        <v>9.2809655299498801E-9</v>
      </c>
      <c r="G1684">
        <v>7597358</v>
      </c>
      <c r="H1684">
        <v>11145389</v>
      </c>
      <c r="I1684">
        <v>31784783</v>
      </c>
      <c r="J1684">
        <v>4</v>
      </c>
    </row>
    <row r="1685" spans="1:10" x14ac:dyDescent="0.25">
      <c r="A1685" t="s">
        <v>26</v>
      </c>
      <c r="B1685" s="1" t="str">
        <f>HYPERLINK("http://pimco.ae","pimco.ae")</f>
        <v>pimco.ae</v>
      </c>
      <c r="C1685" t="s">
        <v>417</v>
      </c>
      <c r="D1685" t="s">
        <v>799</v>
      </c>
      <c r="F1685">
        <v>1.17021134521966E-8</v>
      </c>
      <c r="G1685">
        <v>5365123</v>
      </c>
      <c r="H1685">
        <v>12251287</v>
      </c>
      <c r="I1685">
        <v>21989110</v>
      </c>
      <c r="J1685">
        <v>4</v>
      </c>
    </row>
    <row r="1686" spans="1:10" x14ac:dyDescent="0.25">
      <c r="A1686" t="s">
        <v>26</v>
      </c>
      <c r="B1686" s="1" t="str">
        <f>HYPERLINK("http://allianz.com.ar","allianz.com.ar")</f>
        <v>allianz.com.ar</v>
      </c>
      <c r="C1686" t="s">
        <v>418</v>
      </c>
      <c r="D1686" t="s">
        <v>800</v>
      </c>
      <c r="F1686">
        <v>3.2475215224101403E-8</v>
      </c>
      <c r="G1686">
        <v>1590965</v>
      </c>
      <c r="H1686">
        <v>13366285</v>
      </c>
      <c r="I1686">
        <v>10482719</v>
      </c>
      <c r="J1686">
        <v>2</v>
      </c>
    </row>
    <row r="1687" spans="1:10" x14ac:dyDescent="0.25">
      <c r="A1687" t="s">
        <v>26</v>
      </c>
      <c r="B1687" s="1" t="str">
        <f>HYPERLINK("http://allianz.at","allianz.at")</f>
        <v>allianz.at</v>
      </c>
      <c r="C1687" t="s">
        <v>419</v>
      </c>
      <c r="D1687" t="s">
        <v>801</v>
      </c>
      <c r="E1687">
        <v>214906</v>
      </c>
      <c r="F1687">
        <v>2.1445769260845399E-7</v>
      </c>
      <c r="G1687">
        <v>176014</v>
      </c>
      <c r="H1687">
        <v>14532594</v>
      </c>
      <c r="I1687">
        <v>784199</v>
      </c>
      <c r="J1687">
        <v>2</v>
      </c>
    </row>
    <row r="1688" spans="1:10" x14ac:dyDescent="0.25">
      <c r="A1688" t="s">
        <v>26</v>
      </c>
      <c r="B1688" s="1" t="str">
        <f>HYPERLINK("http://allianzinvest.at","allianzinvest.at")</f>
        <v>allianzinvest.at</v>
      </c>
      <c r="C1688" t="s">
        <v>419</v>
      </c>
      <c r="D1688" t="s">
        <v>801</v>
      </c>
      <c r="F1688">
        <v>1.4404761895747799E-8</v>
      </c>
      <c r="G1688">
        <v>4055489</v>
      </c>
      <c r="H1688">
        <v>13165660</v>
      </c>
      <c r="I1688">
        <v>11741412</v>
      </c>
      <c r="J1688">
        <v>3</v>
      </c>
    </row>
    <row r="1689" spans="1:10" x14ac:dyDescent="0.25">
      <c r="A1689" t="s">
        <v>26</v>
      </c>
      <c r="B1689" s="1" t="str">
        <f>HYPERLINK("http://appartementuh55.at","appartementuh55.at")</f>
        <v>appartementuh55.at</v>
      </c>
      <c r="C1689" t="s">
        <v>419</v>
      </c>
      <c r="D1689" t="s">
        <v>801</v>
      </c>
      <c r="F1689">
        <v>4.4645242992184702E-9</v>
      </c>
      <c r="G1689">
        <v>66394032</v>
      </c>
      <c r="H1689">
        <v>8688444</v>
      </c>
      <c r="I1689">
        <v>70036801</v>
      </c>
      <c r="J1689">
        <v>7</v>
      </c>
    </row>
    <row r="1690" spans="1:10" x14ac:dyDescent="0.25">
      <c r="A1690" t="s">
        <v>26</v>
      </c>
      <c r="B1690" s="1" t="str">
        <f>HYPERLINK("http://bawag-allianz-vk.at","bawag-allianz-vk.at")</f>
        <v>bawag-allianz-vk.at</v>
      </c>
      <c r="C1690" t="s">
        <v>419</v>
      </c>
      <c r="D1690" t="s">
        <v>801</v>
      </c>
      <c r="F1690">
        <v>4.4872249644136797E-9</v>
      </c>
      <c r="G1690">
        <v>60977717</v>
      </c>
      <c r="H1690">
        <v>10510960</v>
      </c>
      <c r="I1690">
        <v>49550284</v>
      </c>
      <c r="J1690">
        <v>4</v>
      </c>
    </row>
    <row r="1691" spans="1:10" x14ac:dyDescent="0.25">
      <c r="A1691" t="s">
        <v>26</v>
      </c>
      <c r="B1691" s="1" t="str">
        <f>HYPERLINK("http://caverion.at","caverion.at")</f>
        <v>caverion.at</v>
      </c>
      <c r="C1691" t="s">
        <v>419</v>
      </c>
      <c r="D1691" t="s">
        <v>801</v>
      </c>
      <c r="F1691">
        <v>2.7057507293524301E-8</v>
      </c>
      <c r="G1691">
        <v>1900779</v>
      </c>
      <c r="H1691">
        <v>13206714</v>
      </c>
      <c r="I1691">
        <v>11525733</v>
      </c>
      <c r="J1691">
        <v>6</v>
      </c>
    </row>
    <row r="1692" spans="1:10" x14ac:dyDescent="0.25">
      <c r="A1692" t="s">
        <v>26</v>
      </c>
      <c r="B1692" s="1" t="str">
        <f>HYPERLINK("http://ff-altenberg.at","ff-altenberg.at")</f>
        <v>ff-altenberg.at</v>
      </c>
      <c r="C1692" t="s">
        <v>419</v>
      </c>
      <c r="D1692" t="s">
        <v>801</v>
      </c>
      <c r="F1692">
        <v>4.9868231770053601E-9</v>
      </c>
      <c r="G1692">
        <v>29759934</v>
      </c>
      <c r="H1692">
        <v>11208922</v>
      </c>
      <c r="I1692">
        <v>31172184</v>
      </c>
      <c r="J1692">
        <v>7</v>
      </c>
    </row>
    <row r="1693" spans="1:10" x14ac:dyDescent="0.25">
      <c r="A1693" t="s">
        <v>26</v>
      </c>
      <c r="B1693" s="1" t="str">
        <f>HYPERLINK("http://niederoesterreich.at","niederoesterreich.at")</f>
        <v>niederoesterreich.at</v>
      </c>
      <c r="C1693" t="s">
        <v>419</v>
      </c>
      <c r="D1693" t="s">
        <v>801</v>
      </c>
      <c r="E1693">
        <v>279678</v>
      </c>
      <c r="F1693">
        <v>5.4162594921531803E-7</v>
      </c>
      <c r="G1693">
        <v>71319</v>
      </c>
      <c r="H1693">
        <v>17080048</v>
      </c>
      <c r="I1693">
        <v>68337</v>
      </c>
      <c r="J1693">
        <v>3</v>
      </c>
    </row>
    <row r="1694" spans="1:10" x14ac:dyDescent="0.25">
      <c r="A1694" t="s">
        <v>26</v>
      </c>
      <c r="B1694" s="1" t="str">
        <f>HYPERLINK("http://outlook.at","outlook.at")</f>
        <v>outlook.at</v>
      </c>
      <c r="C1694" t="s">
        <v>419</v>
      </c>
      <c r="D1694" t="s">
        <v>801</v>
      </c>
      <c r="F1694">
        <v>1.0013216742101E-8</v>
      </c>
      <c r="G1694">
        <v>6742545</v>
      </c>
      <c r="H1694">
        <v>12751458</v>
      </c>
      <c r="I1694">
        <v>15019445</v>
      </c>
      <c r="J1694">
        <v>5</v>
      </c>
    </row>
    <row r="1695" spans="1:10" x14ac:dyDescent="0.25">
      <c r="A1695" t="s">
        <v>26</v>
      </c>
      <c r="B1695" s="1" t="str">
        <f>HYPERLINK("http://stadtbranchenbuch.at","stadtbranchenbuch.at")</f>
        <v>stadtbranchenbuch.at</v>
      </c>
      <c r="C1695" t="s">
        <v>419</v>
      </c>
      <c r="D1695" t="s">
        <v>801</v>
      </c>
      <c r="F1695">
        <v>2.6802965828595099E-8</v>
      </c>
      <c r="G1695">
        <v>1919330</v>
      </c>
      <c r="H1695">
        <v>13258048</v>
      </c>
      <c r="I1695">
        <v>11048414</v>
      </c>
      <c r="J1695">
        <v>5</v>
      </c>
    </row>
    <row r="1696" spans="1:10" x14ac:dyDescent="0.25">
      <c r="A1696" t="s">
        <v>26</v>
      </c>
      <c r="B1696" s="1" t="str">
        <f>HYPERLINK("http://top-vs.at","top-vs.at")</f>
        <v>top-vs.at</v>
      </c>
      <c r="C1696" t="s">
        <v>419</v>
      </c>
      <c r="D1696" t="s">
        <v>801</v>
      </c>
      <c r="J1696">
        <v>2</v>
      </c>
    </row>
    <row r="1697" spans="1:10" x14ac:dyDescent="0.25">
      <c r="A1697" t="s">
        <v>26</v>
      </c>
      <c r="B1697" s="1" t="str">
        <f>HYPERLINK("http://urnenwald-ternitz.at","urnenwald-ternitz.at")</f>
        <v>urnenwald-ternitz.at</v>
      </c>
      <c r="C1697" t="s">
        <v>419</v>
      </c>
      <c r="D1697" t="s">
        <v>801</v>
      </c>
      <c r="F1697">
        <v>4.44380395335525E-9</v>
      </c>
      <c r="G1697">
        <v>79986068</v>
      </c>
      <c r="H1697">
        <v>0</v>
      </c>
      <c r="I1697">
        <v>79997929</v>
      </c>
      <c r="J1697">
        <v>7</v>
      </c>
    </row>
    <row r="1698" spans="1:10" x14ac:dyDescent="0.25">
      <c r="A1698" t="s">
        <v>26</v>
      </c>
      <c r="B1698" s="1" t="str">
        <f>HYPERLINK("http://allianz.com.au","allianz.com.au")</f>
        <v>allianz.com.au</v>
      </c>
      <c r="C1698" t="s">
        <v>420</v>
      </c>
      <c r="D1698" t="s">
        <v>802</v>
      </c>
      <c r="E1698">
        <v>138750</v>
      </c>
      <c r="F1698">
        <v>2.2427324018915001E-7</v>
      </c>
      <c r="G1698">
        <v>168052</v>
      </c>
      <c r="H1698">
        <v>14844177</v>
      </c>
      <c r="I1698">
        <v>494888</v>
      </c>
      <c r="J1698">
        <v>2</v>
      </c>
    </row>
    <row r="1699" spans="1:10" x14ac:dyDescent="0.25">
      <c r="A1699" t="s">
        <v>26</v>
      </c>
      <c r="B1699" s="1" t="str">
        <f>HYPERLINK("http://allianz-assistance.com.au","allianz-assistance.com.au")</f>
        <v>allianz-assistance.com.au</v>
      </c>
      <c r="C1699" t="s">
        <v>420</v>
      </c>
      <c r="D1699" t="s">
        <v>802</v>
      </c>
      <c r="F1699">
        <v>5.1785917127113599E-9</v>
      </c>
      <c r="G1699">
        <v>25575550</v>
      </c>
      <c r="H1699">
        <v>12083244</v>
      </c>
      <c r="I1699">
        <v>26482262</v>
      </c>
      <c r="J1699">
        <v>5</v>
      </c>
    </row>
    <row r="1700" spans="1:10" x14ac:dyDescent="0.25">
      <c r="A1700" t="s">
        <v>26</v>
      </c>
      <c r="B1700" s="1" t="str">
        <f>HYPERLINK("http://allianzcare.com.au","allianzcare.com.au")</f>
        <v>allianzcare.com.au</v>
      </c>
      <c r="C1700" t="s">
        <v>420</v>
      </c>
      <c r="D1700" t="s">
        <v>802</v>
      </c>
      <c r="E1700">
        <v>482467</v>
      </c>
      <c r="F1700">
        <v>3.5808555359809101E-8</v>
      </c>
      <c r="G1700">
        <v>1454457</v>
      </c>
      <c r="H1700">
        <v>13390055</v>
      </c>
      <c r="I1700">
        <v>10391848</v>
      </c>
      <c r="J1700">
        <v>4</v>
      </c>
    </row>
    <row r="1701" spans="1:10" x14ac:dyDescent="0.25">
      <c r="A1701" t="s">
        <v>26</v>
      </c>
      <c r="B1701" s="1" t="str">
        <f>HYPERLINK("http://allianzpartners.com.au","allianzpartners.com.au")</f>
        <v>allianzpartners.com.au</v>
      </c>
      <c r="C1701" t="s">
        <v>420</v>
      </c>
      <c r="D1701" t="s">
        <v>802</v>
      </c>
      <c r="F1701">
        <v>1.7406863972498499E-8</v>
      </c>
      <c r="G1701">
        <v>3171569</v>
      </c>
      <c r="H1701">
        <v>12634690</v>
      </c>
      <c r="I1701">
        <v>15921613</v>
      </c>
      <c r="J1701">
        <v>8</v>
      </c>
    </row>
    <row r="1702" spans="1:10" x14ac:dyDescent="0.25">
      <c r="A1702" t="s">
        <v>26</v>
      </c>
      <c r="B1702" s="1" t="str">
        <f>HYPERLINK("http://eulerhermes.com.au","eulerhermes.com.au")</f>
        <v>eulerhermes.com.au</v>
      </c>
      <c r="C1702" t="s">
        <v>420</v>
      </c>
      <c r="D1702" t="s">
        <v>802</v>
      </c>
      <c r="F1702">
        <v>9.41631251188889E-9</v>
      </c>
      <c r="G1702">
        <v>7423894</v>
      </c>
      <c r="H1702">
        <v>11138108</v>
      </c>
      <c r="I1702">
        <v>31855454</v>
      </c>
      <c r="J1702">
        <v>4</v>
      </c>
    </row>
    <row r="1703" spans="1:10" x14ac:dyDescent="0.25">
      <c r="A1703" t="s">
        <v>26</v>
      </c>
      <c r="B1703" s="1" t="str">
        <f>HYPERLINK("http://pimco.com.au","pimco.com.au")</f>
        <v>pimco.com.au</v>
      </c>
      <c r="C1703" t="s">
        <v>420</v>
      </c>
      <c r="D1703" t="s">
        <v>802</v>
      </c>
      <c r="F1703">
        <v>1.8887070148539799E-8</v>
      </c>
      <c r="G1703">
        <v>2855777</v>
      </c>
      <c r="H1703">
        <v>13776305</v>
      </c>
      <c r="I1703">
        <v>6557901</v>
      </c>
      <c r="J1703">
        <v>3</v>
      </c>
    </row>
    <row r="1704" spans="1:10" x14ac:dyDescent="0.25">
      <c r="A1704" t="s">
        <v>26</v>
      </c>
      <c r="B1704" s="1" t="str">
        <f>HYPERLINK("http://agf.be","agf.be")</f>
        <v>agf.be</v>
      </c>
      <c r="C1704" t="s">
        <v>421</v>
      </c>
      <c r="D1704" t="s">
        <v>803</v>
      </c>
      <c r="F1704">
        <v>6.7294959773503104E-9</v>
      </c>
      <c r="G1704">
        <v>13198912</v>
      </c>
      <c r="H1704">
        <v>14071792</v>
      </c>
      <c r="I1704">
        <v>3378768</v>
      </c>
      <c r="J1704">
        <v>3</v>
      </c>
    </row>
    <row r="1705" spans="1:10" x14ac:dyDescent="0.25">
      <c r="A1705" t="s">
        <v>26</v>
      </c>
      <c r="B1705" s="1" t="str">
        <f>HYPERLINK("http://allianz.be","allianz.be")</f>
        <v>allianz.be</v>
      </c>
      <c r="C1705" t="s">
        <v>421</v>
      </c>
      <c r="D1705" t="s">
        <v>803</v>
      </c>
      <c r="E1705">
        <v>402189</v>
      </c>
      <c r="F1705">
        <v>1.9627702024470199E-7</v>
      </c>
      <c r="G1705">
        <v>196488</v>
      </c>
      <c r="H1705">
        <v>14242912</v>
      </c>
      <c r="I1705">
        <v>1480664</v>
      </c>
      <c r="J1705">
        <v>2</v>
      </c>
    </row>
    <row r="1706" spans="1:10" x14ac:dyDescent="0.25">
      <c r="A1706" t="s">
        <v>26</v>
      </c>
      <c r="B1706" s="1" t="str">
        <f>HYPERLINK("http://allianz-assistance.be","allianz-assistance.be")</f>
        <v>allianz-assistance.be</v>
      </c>
      <c r="C1706" t="s">
        <v>421</v>
      </c>
      <c r="D1706" t="s">
        <v>803</v>
      </c>
      <c r="E1706">
        <v>872242</v>
      </c>
      <c r="F1706">
        <v>1.1353787125071099E-7</v>
      </c>
      <c r="G1706">
        <v>351131</v>
      </c>
      <c r="H1706">
        <v>12948441</v>
      </c>
      <c r="I1706">
        <v>13223518</v>
      </c>
      <c r="J1706">
        <v>6</v>
      </c>
    </row>
    <row r="1707" spans="1:10" x14ac:dyDescent="0.25">
      <c r="A1707" t="s">
        <v>26</v>
      </c>
      <c r="B1707" s="1" t="str">
        <f>HYPERLINK("http://eulerhermes.be","eulerhermes.be")</f>
        <v>eulerhermes.be</v>
      </c>
      <c r="C1707" t="s">
        <v>421</v>
      </c>
      <c r="D1707" t="s">
        <v>803</v>
      </c>
      <c r="F1707">
        <v>1.3255080532998899E-8</v>
      </c>
      <c r="G1707">
        <v>4513551</v>
      </c>
      <c r="H1707">
        <v>12198818</v>
      </c>
      <c r="I1707">
        <v>23344911</v>
      </c>
      <c r="J1707">
        <v>4</v>
      </c>
    </row>
    <row r="1708" spans="1:10" x14ac:dyDescent="0.25">
      <c r="A1708" t="s">
        <v>26</v>
      </c>
      <c r="B1708" s="1" t="str">
        <f>HYPERLINK("http://pimco.be","pimco.be")</f>
        <v>pimco.be</v>
      </c>
      <c r="C1708" t="s">
        <v>421</v>
      </c>
      <c r="D1708" t="s">
        <v>803</v>
      </c>
      <c r="F1708">
        <v>1.5065355502127901E-8</v>
      </c>
      <c r="G1708">
        <v>3818677</v>
      </c>
      <c r="H1708">
        <v>12264684</v>
      </c>
      <c r="I1708">
        <v>21644269</v>
      </c>
      <c r="J1708">
        <v>4</v>
      </c>
    </row>
    <row r="1709" spans="1:10" x14ac:dyDescent="0.25">
      <c r="A1709" t="s">
        <v>26</v>
      </c>
      <c r="B1709" s="1" t="str">
        <f>HYPERLINK("http://allianz.bg","allianz.bg")</f>
        <v>allianz.bg</v>
      </c>
      <c r="C1709" t="s">
        <v>422</v>
      </c>
      <c r="D1709" t="s">
        <v>804</v>
      </c>
      <c r="E1709">
        <v>311093</v>
      </c>
      <c r="F1709">
        <v>1.3097771895439599E-7</v>
      </c>
      <c r="G1709">
        <v>298657</v>
      </c>
      <c r="H1709">
        <v>17018472</v>
      </c>
      <c r="I1709">
        <v>89765</v>
      </c>
      <c r="J1709">
        <v>2</v>
      </c>
    </row>
    <row r="1710" spans="1:10" x14ac:dyDescent="0.25">
      <c r="A1710" t="s">
        <v>26</v>
      </c>
      <c r="B1710" s="1" t="str">
        <f>HYPERLINK("http://allianz.com.br","allianz.com.br")</f>
        <v>allianz.com.br</v>
      </c>
      <c r="C1710" t="s">
        <v>425</v>
      </c>
      <c r="D1710" t="s">
        <v>806</v>
      </c>
      <c r="E1710">
        <v>564721</v>
      </c>
      <c r="F1710">
        <v>3.62831340251304E-8</v>
      </c>
      <c r="G1710">
        <v>1437768</v>
      </c>
      <c r="H1710">
        <v>14409211</v>
      </c>
      <c r="I1710">
        <v>1146134</v>
      </c>
      <c r="J1710">
        <v>2</v>
      </c>
    </row>
    <row r="1711" spans="1:10" x14ac:dyDescent="0.25">
      <c r="A1711" t="s">
        <v>26</v>
      </c>
      <c r="B1711" s="1" t="str">
        <f>HYPERLINK("http://eulerhermes.com.br","eulerhermes.com.br")</f>
        <v>eulerhermes.com.br</v>
      </c>
      <c r="C1711" t="s">
        <v>425</v>
      </c>
      <c r="D1711" t="s">
        <v>806</v>
      </c>
      <c r="F1711">
        <v>9.6896314222471907E-9</v>
      </c>
      <c r="G1711">
        <v>7092446</v>
      </c>
      <c r="H1711">
        <v>11067564</v>
      </c>
      <c r="I1711">
        <v>32607072</v>
      </c>
      <c r="J1711">
        <v>4</v>
      </c>
    </row>
    <row r="1712" spans="1:10" x14ac:dyDescent="0.25">
      <c r="A1712" t="s">
        <v>26</v>
      </c>
      <c r="B1712" s="1" t="str">
        <f>HYPERLINK("http://pimco.com.br","pimco.com.br")</f>
        <v>pimco.com.br</v>
      </c>
      <c r="C1712" t="s">
        <v>425</v>
      </c>
      <c r="D1712" t="s">
        <v>806</v>
      </c>
      <c r="F1712">
        <v>2.6902629256276098E-8</v>
      </c>
      <c r="G1712">
        <v>1912013</v>
      </c>
      <c r="H1712">
        <v>13115699</v>
      </c>
      <c r="I1712">
        <v>12013352</v>
      </c>
      <c r="J1712">
        <v>3</v>
      </c>
    </row>
    <row r="1713" spans="1:10" x14ac:dyDescent="0.25">
      <c r="A1713" t="s">
        <v>26</v>
      </c>
      <c r="B1713" s="1" t="str">
        <f>HYPERLINK("http://allianz-assistance.ca","allianz-assistance.ca")</f>
        <v>allianz-assistance.ca</v>
      </c>
      <c r="C1713" t="s">
        <v>428</v>
      </c>
      <c r="D1713" t="s">
        <v>809</v>
      </c>
      <c r="E1713">
        <v>547776</v>
      </c>
      <c r="F1713">
        <v>9.20519060229705E-8</v>
      </c>
      <c r="G1713">
        <v>442364</v>
      </c>
      <c r="H1713">
        <v>13794304</v>
      </c>
      <c r="I1713">
        <v>6316581</v>
      </c>
      <c r="J1713">
        <v>3</v>
      </c>
    </row>
    <row r="1714" spans="1:10" x14ac:dyDescent="0.25">
      <c r="A1714" t="s">
        <v>26</v>
      </c>
      <c r="B1714" s="1" t="str">
        <f>HYPERLINK("http://eulerhermes.ca","eulerhermes.ca")</f>
        <v>eulerhermes.ca</v>
      </c>
      <c r="C1714" t="s">
        <v>428</v>
      </c>
      <c r="D1714" t="s">
        <v>809</v>
      </c>
      <c r="F1714">
        <v>1.13602078888376E-8</v>
      </c>
      <c r="G1714">
        <v>5601244</v>
      </c>
      <c r="H1714">
        <v>12823928</v>
      </c>
      <c r="I1714">
        <v>14473071</v>
      </c>
      <c r="J1714">
        <v>4</v>
      </c>
    </row>
    <row r="1715" spans="1:10" x14ac:dyDescent="0.25">
      <c r="A1715" t="s">
        <v>26</v>
      </c>
      <c r="B1715" s="1" t="str">
        <f>HYPERLINK("http://i-hire.ca","i-hire.ca")</f>
        <v>i-hire.ca</v>
      </c>
      <c r="C1715" t="s">
        <v>428</v>
      </c>
      <c r="D1715" t="s">
        <v>809</v>
      </c>
      <c r="E1715">
        <v>374800</v>
      </c>
      <c r="F1715">
        <v>1.66644185639486E-7</v>
      </c>
      <c r="G1715">
        <v>232899</v>
      </c>
      <c r="H1715">
        <v>14941641</v>
      </c>
      <c r="I1715">
        <v>443402</v>
      </c>
      <c r="J1715">
        <v>5</v>
      </c>
    </row>
    <row r="1716" spans="1:10" x14ac:dyDescent="0.25">
      <c r="A1716" t="s">
        <v>26</v>
      </c>
      <c r="B1716" s="1" t="str">
        <f>HYPERLINK("http://pimco.ca","pimco.ca")</f>
        <v>pimco.ca</v>
      </c>
      <c r="C1716" t="s">
        <v>428</v>
      </c>
      <c r="D1716" t="s">
        <v>809</v>
      </c>
      <c r="F1716">
        <v>3.0740613624471397E-8</v>
      </c>
      <c r="G1716">
        <v>1675832</v>
      </c>
      <c r="H1716">
        <v>13954391</v>
      </c>
      <c r="I1716">
        <v>4145206</v>
      </c>
      <c r="J1716">
        <v>3</v>
      </c>
    </row>
    <row r="1717" spans="1:10" x14ac:dyDescent="0.25">
      <c r="A1717" t="s">
        <v>26</v>
      </c>
      <c r="B1717" s="1" t="str">
        <f>HYPERLINK("http://travelinsurance.ca","travelinsurance.ca")</f>
        <v>travelinsurance.ca</v>
      </c>
      <c r="C1717" t="s">
        <v>428</v>
      </c>
      <c r="D1717" t="s">
        <v>809</v>
      </c>
      <c r="E1717">
        <v>504879</v>
      </c>
      <c r="F1717">
        <v>6.0941255957389999E-8</v>
      </c>
      <c r="G1717">
        <v>723041</v>
      </c>
      <c r="H1717">
        <v>12899983</v>
      </c>
      <c r="I1717">
        <v>13880518</v>
      </c>
      <c r="J1717">
        <v>5</v>
      </c>
    </row>
    <row r="1718" spans="1:10" x14ac:dyDescent="0.25">
      <c r="A1718" t="s">
        <v>26</v>
      </c>
      <c r="B1718" s="1" t="str">
        <f>HYPERLINK("http://allianz.ch","allianz.ch")</f>
        <v>allianz.ch</v>
      </c>
      <c r="C1718" t="s">
        <v>429</v>
      </c>
      <c r="D1718" t="s">
        <v>810</v>
      </c>
      <c r="E1718">
        <v>399039</v>
      </c>
      <c r="F1718">
        <v>2.8894643645871503E-7</v>
      </c>
      <c r="G1718">
        <v>128737</v>
      </c>
      <c r="H1718">
        <v>14376231</v>
      </c>
      <c r="I1718">
        <v>1219055</v>
      </c>
      <c r="J1718">
        <v>2</v>
      </c>
    </row>
    <row r="1719" spans="1:10" x14ac:dyDescent="0.25">
      <c r="A1719" t="s">
        <v>26</v>
      </c>
      <c r="B1719" s="1" t="str">
        <f>HYPERLINK("http://allianz-suisse.ch","allianz-suisse.ch")</f>
        <v>allianz-suisse.ch</v>
      </c>
      <c r="C1719" t="s">
        <v>429</v>
      </c>
      <c r="D1719" t="s">
        <v>810</v>
      </c>
      <c r="E1719">
        <v>292110</v>
      </c>
      <c r="F1719">
        <v>3.05385366695046E-8</v>
      </c>
      <c r="G1719">
        <v>1686272</v>
      </c>
      <c r="H1719">
        <v>12726613</v>
      </c>
      <c r="I1719">
        <v>15215679</v>
      </c>
      <c r="J1719">
        <v>2</v>
      </c>
    </row>
    <row r="1720" spans="1:10" x14ac:dyDescent="0.25">
      <c r="A1720" t="s">
        <v>26</v>
      </c>
      <c r="B1720" s="1" t="str">
        <f>HYPERLINK("http://allianz-trade.ch","allianz-trade.ch")</f>
        <v>allianz-trade.ch</v>
      </c>
      <c r="C1720" t="s">
        <v>429</v>
      </c>
      <c r="D1720" t="s">
        <v>810</v>
      </c>
      <c r="F1720">
        <v>8.3368097075401692E-9</v>
      </c>
      <c r="G1720">
        <v>9174468</v>
      </c>
      <c r="H1720">
        <v>10626899</v>
      </c>
      <c r="I1720">
        <v>44068210</v>
      </c>
      <c r="J1720">
        <v>6</v>
      </c>
    </row>
    <row r="1721" spans="1:10" x14ac:dyDescent="0.25">
      <c r="A1721" t="s">
        <v>26</v>
      </c>
      <c r="B1721" s="1" t="str">
        <f>HYPERLINK("http://cap.ch","cap.ch")</f>
        <v>cap.ch</v>
      </c>
      <c r="C1721" t="s">
        <v>429</v>
      </c>
      <c r="D1721" t="s">
        <v>810</v>
      </c>
      <c r="F1721">
        <v>3.13172311813936E-8</v>
      </c>
      <c r="G1721">
        <v>1646652</v>
      </c>
      <c r="H1721">
        <v>12426351</v>
      </c>
      <c r="I1721">
        <v>18358562</v>
      </c>
      <c r="J1721">
        <v>3</v>
      </c>
    </row>
    <row r="1722" spans="1:10" x14ac:dyDescent="0.25">
      <c r="A1722" t="s">
        <v>26</v>
      </c>
      <c r="B1722" s="1" t="str">
        <f>HYPERLINK("http://elvia.ch","elvia.ch")</f>
        <v>elvia.ch</v>
      </c>
      <c r="C1722" t="s">
        <v>429</v>
      </c>
      <c r="D1722" t="s">
        <v>810</v>
      </c>
      <c r="F1722">
        <v>4.0117051624439201E-8</v>
      </c>
      <c r="G1722">
        <v>1289087</v>
      </c>
      <c r="H1722">
        <v>12943320</v>
      </c>
      <c r="I1722">
        <v>13267449</v>
      </c>
      <c r="J1722">
        <v>3</v>
      </c>
    </row>
    <row r="1723" spans="1:10" x14ac:dyDescent="0.25">
      <c r="A1723" t="s">
        <v>26</v>
      </c>
      <c r="B1723" s="1" t="str">
        <f>HYPERLINK("http://eulerhermes.ch","eulerhermes.ch")</f>
        <v>eulerhermes.ch</v>
      </c>
      <c r="C1723" t="s">
        <v>429</v>
      </c>
      <c r="D1723" t="s">
        <v>810</v>
      </c>
      <c r="F1723">
        <v>1.4923257312912801E-8</v>
      </c>
      <c r="G1723">
        <v>3864875</v>
      </c>
      <c r="H1723">
        <v>12348980</v>
      </c>
      <c r="I1723">
        <v>19781903</v>
      </c>
      <c r="J1723">
        <v>4</v>
      </c>
    </row>
    <row r="1724" spans="1:10" x14ac:dyDescent="0.25">
      <c r="A1724" t="s">
        <v>26</v>
      </c>
      <c r="B1724" s="1" t="str">
        <f>HYPERLINK("http://feri.ch","feri.ch")</f>
        <v>feri.ch</v>
      </c>
      <c r="C1724" t="s">
        <v>429</v>
      </c>
      <c r="D1724" t="s">
        <v>810</v>
      </c>
      <c r="F1724">
        <v>6.7493121054151403E-9</v>
      </c>
      <c r="G1724">
        <v>13131397</v>
      </c>
      <c r="H1724">
        <v>10793968</v>
      </c>
      <c r="I1724">
        <v>38354740</v>
      </c>
      <c r="J1724">
        <v>6</v>
      </c>
    </row>
    <row r="1725" spans="1:10" x14ac:dyDescent="0.25">
      <c r="A1725" t="s">
        <v>26</v>
      </c>
      <c r="B1725" s="1" t="str">
        <f>HYPERLINK("http://medvantis.ch","medvantis.ch")</f>
        <v>medvantis.ch</v>
      </c>
      <c r="C1725" t="s">
        <v>429</v>
      </c>
      <c r="D1725" t="s">
        <v>810</v>
      </c>
      <c r="F1725">
        <v>4.90013697596309E-9</v>
      </c>
      <c r="G1725">
        <v>32462151</v>
      </c>
      <c r="H1725">
        <v>8383289</v>
      </c>
      <c r="I1725">
        <v>73475393</v>
      </c>
      <c r="J1725">
        <v>3</v>
      </c>
    </row>
    <row r="1726" spans="1:10" x14ac:dyDescent="0.25">
      <c r="A1726" t="s">
        <v>26</v>
      </c>
      <c r="B1726" s="1" t="str">
        <f>HYPERLINK("http://pimco.ch","pimco.ch")</f>
        <v>pimco.ch</v>
      </c>
      <c r="C1726" t="s">
        <v>429</v>
      </c>
      <c r="D1726" t="s">
        <v>810</v>
      </c>
      <c r="F1726">
        <v>1.9306630062574202E-8</v>
      </c>
      <c r="G1726">
        <v>2781055</v>
      </c>
      <c r="H1726">
        <v>12516904</v>
      </c>
      <c r="I1726">
        <v>17178519</v>
      </c>
      <c r="J1726">
        <v>4</v>
      </c>
    </row>
    <row r="1727" spans="1:10" x14ac:dyDescent="0.25">
      <c r="A1727" t="s">
        <v>26</v>
      </c>
      <c r="B1727" s="1" t="str">
        <f>HYPERLINK("http://stadtbranchenbuch.ch","stadtbranchenbuch.ch")</f>
        <v>stadtbranchenbuch.ch</v>
      </c>
      <c r="C1727" t="s">
        <v>429</v>
      </c>
      <c r="D1727" t="s">
        <v>810</v>
      </c>
      <c r="F1727">
        <v>7.30677602504076E-9</v>
      </c>
      <c r="G1727">
        <v>11463237</v>
      </c>
      <c r="H1727">
        <v>12298324</v>
      </c>
      <c r="I1727">
        <v>20878018</v>
      </c>
      <c r="J1727">
        <v>5</v>
      </c>
    </row>
    <row r="1728" spans="1:10" x14ac:dyDescent="0.25">
      <c r="A1728" t="s">
        <v>26</v>
      </c>
      <c r="B1728" s="1" t="str">
        <f>HYPERLINK("http://allianz.ci","allianz.ci")</f>
        <v>allianz.ci</v>
      </c>
      <c r="C1728" t="s">
        <v>539</v>
      </c>
      <c r="D1728" t="s">
        <v>899</v>
      </c>
      <c r="F1728">
        <v>9.2235930700076698E-9</v>
      </c>
      <c r="G1728">
        <v>7678424</v>
      </c>
      <c r="H1728">
        <v>12290752</v>
      </c>
      <c r="I1728">
        <v>21097505</v>
      </c>
      <c r="J1728">
        <v>2</v>
      </c>
    </row>
    <row r="1729" spans="1:10" x14ac:dyDescent="0.25">
      <c r="A1729" t="s">
        <v>26</v>
      </c>
      <c r="B1729" s="1" t="str">
        <f>HYPERLINK("http://allianz-partners.cn","allianz-partners.cn")</f>
        <v>allianz-partners.cn</v>
      </c>
      <c r="C1729" t="s">
        <v>431</v>
      </c>
      <c r="D1729" t="s">
        <v>812</v>
      </c>
      <c r="F1729">
        <v>5.9324982073372804E-9</v>
      </c>
      <c r="G1729">
        <v>17136160</v>
      </c>
      <c r="H1729">
        <v>10416639</v>
      </c>
      <c r="I1729">
        <v>53976426</v>
      </c>
      <c r="J1729">
        <v>6</v>
      </c>
    </row>
    <row r="1730" spans="1:10" x14ac:dyDescent="0.25">
      <c r="A1730" t="s">
        <v>26</v>
      </c>
      <c r="B1730" s="1" t="str">
        <f>HYPERLINK("http://allianz-trade.cn","allianz-trade.cn")</f>
        <v>allianz-trade.cn</v>
      </c>
      <c r="C1730" t="s">
        <v>431</v>
      </c>
      <c r="D1730" t="s">
        <v>812</v>
      </c>
      <c r="F1730">
        <v>2.1863269090478301E-8</v>
      </c>
      <c r="G1730">
        <v>2402342</v>
      </c>
      <c r="H1730">
        <v>12294209</v>
      </c>
      <c r="I1730">
        <v>20983471</v>
      </c>
      <c r="J1730">
        <v>6</v>
      </c>
    </row>
    <row r="1731" spans="1:10" x14ac:dyDescent="0.25">
      <c r="A1731" t="s">
        <v>26</v>
      </c>
      <c r="B1731" s="1" t="str">
        <f>HYPERLINK("http://allianz.com.cn","allianz.com.cn")</f>
        <v>allianz.com.cn</v>
      </c>
      <c r="C1731" t="s">
        <v>431</v>
      </c>
      <c r="D1731" t="s">
        <v>812</v>
      </c>
      <c r="F1731">
        <v>4.5205297036256298E-8</v>
      </c>
      <c r="G1731">
        <v>1043374</v>
      </c>
      <c r="H1731">
        <v>12809582</v>
      </c>
      <c r="I1731">
        <v>14590552</v>
      </c>
      <c r="J1731">
        <v>2</v>
      </c>
    </row>
    <row r="1732" spans="1:10" x14ac:dyDescent="0.25">
      <c r="A1732" t="s">
        <v>26</v>
      </c>
      <c r="B1732" s="1" t="str">
        <f>HYPERLINK("http://allianz.co","allianz.co")</f>
        <v>allianz.co</v>
      </c>
      <c r="C1732" t="s">
        <v>432</v>
      </c>
      <c r="E1732">
        <v>595371</v>
      </c>
      <c r="F1732">
        <v>4.4694017547863602E-8</v>
      </c>
      <c r="G1732">
        <v>1058973</v>
      </c>
      <c r="H1732">
        <v>14376192</v>
      </c>
      <c r="I1732">
        <v>1219336</v>
      </c>
      <c r="J1732">
        <v>2</v>
      </c>
    </row>
    <row r="1733" spans="1:10" x14ac:dyDescent="0.25">
      <c r="A1733" t="s">
        <v>26</v>
      </c>
      <c r="B1733" s="1" t="str">
        <f>HYPERLINK("http://adeus.com","adeus.com")</f>
        <v>adeus.com</v>
      </c>
      <c r="C1733" t="s">
        <v>433</v>
      </c>
      <c r="F1733">
        <v>1.1550680214115899E-8</v>
      </c>
      <c r="G1733">
        <v>5468107</v>
      </c>
      <c r="H1733">
        <v>12310228</v>
      </c>
      <c r="I1733">
        <v>20609506</v>
      </c>
      <c r="J1733">
        <v>4</v>
      </c>
    </row>
    <row r="1734" spans="1:10" x14ac:dyDescent="0.25">
      <c r="A1734" t="s">
        <v>26</v>
      </c>
      <c r="B1734" s="1" t="str">
        <f>HYPERLINK("http://aero-dienst.com","aero-dienst.com")</f>
        <v>aero-dienst.com</v>
      </c>
      <c r="C1734" t="s">
        <v>433</v>
      </c>
      <c r="F1734">
        <v>2.8691113340702401E-8</v>
      </c>
      <c r="G1734">
        <v>1793738</v>
      </c>
      <c r="H1734">
        <v>11306101</v>
      </c>
      <c r="I1734">
        <v>30580827</v>
      </c>
      <c r="J1734">
        <v>11</v>
      </c>
    </row>
    <row r="1735" spans="1:10" x14ac:dyDescent="0.25">
      <c r="A1735" t="s">
        <v>26</v>
      </c>
      <c r="B1735" s="1" t="str">
        <f>HYPERLINK("http://agl-allianz.com","agl-allianz.com")</f>
        <v>agl-allianz.com</v>
      </c>
      <c r="C1735" t="s">
        <v>433</v>
      </c>
      <c r="F1735">
        <v>1.0578480179546599E-8</v>
      </c>
      <c r="G1735">
        <v>6202093</v>
      </c>
      <c r="H1735">
        <v>12298163</v>
      </c>
      <c r="I1735">
        <v>20884062</v>
      </c>
      <c r="J1735">
        <v>4</v>
      </c>
    </row>
    <row r="1736" spans="1:10" x14ac:dyDescent="0.25">
      <c r="A1736" t="s">
        <v>26</v>
      </c>
      <c r="B1736" s="1" t="str">
        <f>HYPERLINK("http://aic-allianz.com","aic-allianz.com")</f>
        <v>aic-allianz.com</v>
      </c>
      <c r="C1736" t="s">
        <v>433</v>
      </c>
      <c r="F1736">
        <v>4.6267080201379E-9</v>
      </c>
      <c r="G1736">
        <v>45659794</v>
      </c>
      <c r="H1736">
        <v>10816537</v>
      </c>
      <c r="I1736">
        <v>37704796</v>
      </c>
      <c r="J1736">
        <v>4</v>
      </c>
    </row>
    <row r="1737" spans="1:10" x14ac:dyDescent="0.25">
      <c r="A1737" t="s">
        <v>26</v>
      </c>
      <c r="B1737" s="1" t="str">
        <f>HYPERLINK("http://allianz.com","allianz.com")</f>
        <v>allianz.com</v>
      </c>
      <c r="C1737" t="s">
        <v>433</v>
      </c>
      <c r="E1737">
        <v>11536</v>
      </c>
      <c r="F1737">
        <v>3.05700834665569E-6</v>
      </c>
      <c r="G1737">
        <v>12824</v>
      </c>
      <c r="H1737">
        <v>17577106</v>
      </c>
      <c r="I1737">
        <v>10404</v>
      </c>
      <c r="J1737">
        <v>1</v>
      </c>
    </row>
    <row r="1738" spans="1:10" x14ac:dyDescent="0.25">
      <c r="A1738" t="s">
        <v>26</v>
      </c>
      <c r="B1738" s="1" t="str">
        <f>HYPERLINK("http://allianz-africa.com","allianz-africa.com")</f>
        <v>allianz-africa.com</v>
      </c>
      <c r="C1738" t="s">
        <v>433</v>
      </c>
      <c r="F1738">
        <v>3.8332701058717499E-8</v>
      </c>
      <c r="G1738">
        <v>1350576</v>
      </c>
      <c r="H1738">
        <v>13817493</v>
      </c>
      <c r="I1738">
        <v>6157361</v>
      </c>
      <c r="J1738">
        <v>4</v>
      </c>
    </row>
    <row r="1739" spans="1:10" x14ac:dyDescent="0.25">
      <c r="A1739" t="s">
        <v>26</v>
      </c>
      <c r="B1739" s="1" t="str">
        <f>HYPERLINK("http://allianz-aix.com","allianz-aix.com")</f>
        <v>allianz-aix.com</v>
      </c>
      <c r="C1739" t="s">
        <v>433</v>
      </c>
      <c r="J1739">
        <v>4</v>
      </c>
    </row>
    <row r="1740" spans="1:10" x14ac:dyDescent="0.25">
      <c r="A1740" t="s">
        <v>26</v>
      </c>
      <c r="B1740" s="1" t="str">
        <f>HYPERLINK("http://allianz-assistance.com","allianz-assistance.com")</f>
        <v>allianz-assistance.com</v>
      </c>
      <c r="C1740" t="s">
        <v>433</v>
      </c>
      <c r="E1740">
        <v>43734</v>
      </c>
      <c r="F1740">
        <v>1.84274864464447E-7</v>
      </c>
      <c r="G1740">
        <v>209253</v>
      </c>
      <c r="H1740">
        <v>13837371</v>
      </c>
      <c r="I1740">
        <v>6082442</v>
      </c>
      <c r="J1740">
        <v>6</v>
      </c>
    </row>
    <row r="1741" spans="1:10" x14ac:dyDescent="0.25">
      <c r="A1741" t="s">
        <v>26</v>
      </c>
      <c r="B1741" s="1" t="str">
        <f>HYPERLINK("http://allianz-fischer.com","allianz-fischer.com")</f>
        <v>allianz-fischer.com</v>
      </c>
      <c r="C1741" t="s">
        <v>433</v>
      </c>
      <c r="F1741">
        <v>5.0884970524274999E-9</v>
      </c>
      <c r="G1741">
        <v>27320002</v>
      </c>
      <c r="H1741">
        <v>8523122</v>
      </c>
      <c r="I1741">
        <v>71827380</v>
      </c>
      <c r="J1741">
        <v>4</v>
      </c>
    </row>
    <row r="1742" spans="1:10" x14ac:dyDescent="0.25">
      <c r="A1742" t="s">
        <v>26</v>
      </c>
      <c r="B1742" s="1" t="str">
        <f>HYPERLINK("http://allianz-partners.com","allianz-partners.com")</f>
        <v>allianz-partners.com</v>
      </c>
      <c r="C1742" t="s">
        <v>433</v>
      </c>
      <c r="E1742">
        <v>289180</v>
      </c>
      <c r="F1742">
        <v>3.9756884940270301E-7</v>
      </c>
      <c r="G1742">
        <v>94401</v>
      </c>
      <c r="H1742">
        <v>13884674</v>
      </c>
      <c r="I1742">
        <v>5971939</v>
      </c>
      <c r="J1742">
        <v>5</v>
      </c>
    </row>
    <row r="1743" spans="1:10" x14ac:dyDescent="0.25">
      <c r="A1743" t="s">
        <v>26</v>
      </c>
      <c r="B1743" s="1" t="str">
        <f>HYPERLINK("http://allianz-realestate.com","allianz-realestate.com")</f>
        <v>allianz-realestate.com</v>
      </c>
      <c r="C1743" t="s">
        <v>433</v>
      </c>
      <c r="F1743">
        <v>7.1649339104663806E-8</v>
      </c>
      <c r="G1743">
        <v>589696</v>
      </c>
      <c r="H1743">
        <v>14201411</v>
      </c>
      <c r="I1743">
        <v>1720671</v>
      </c>
      <c r="J1743">
        <v>3</v>
      </c>
    </row>
    <row r="1744" spans="1:10" x14ac:dyDescent="0.25">
      <c r="A1744" t="s">
        <v>26</v>
      </c>
      <c r="B1744" s="1" t="str">
        <f>HYPERLINK("http://allianz-technology.com","allianz-technology.com")</f>
        <v>allianz-technology.com</v>
      </c>
      <c r="C1744" t="s">
        <v>433</v>
      </c>
      <c r="J1744">
        <v>4</v>
      </c>
    </row>
    <row r="1745" spans="1:10" x14ac:dyDescent="0.25">
      <c r="A1745" t="s">
        <v>26</v>
      </c>
      <c r="B1745" s="1" t="str">
        <f>HYPERLINK("http://allianz-trade.com","allianz-trade.com")</f>
        <v>allianz-trade.com</v>
      </c>
      <c r="C1745" t="s">
        <v>433</v>
      </c>
      <c r="E1745">
        <v>87950</v>
      </c>
      <c r="F1745">
        <v>2.6842121994481199E-7</v>
      </c>
      <c r="G1745">
        <v>138791</v>
      </c>
      <c r="H1745">
        <v>14160475</v>
      </c>
      <c r="I1745">
        <v>1838323</v>
      </c>
      <c r="J1745">
        <v>5</v>
      </c>
    </row>
    <row r="1746" spans="1:10" x14ac:dyDescent="0.25">
      <c r="A1746" t="s">
        <v>26</v>
      </c>
      <c r="B1746" s="1" t="str">
        <f>HYPERLINK("http://allianz-warranty.com","allianz-warranty.com")</f>
        <v>allianz-warranty.com</v>
      </c>
      <c r="C1746" t="s">
        <v>433</v>
      </c>
      <c r="F1746">
        <v>1.4254755731776801E-8</v>
      </c>
      <c r="G1746">
        <v>4109465</v>
      </c>
      <c r="H1746">
        <v>12377913</v>
      </c>
      <c r="I1746">
        <v>19263017</v>
      </c>
      <c r="J1746">
        <v>3</v>
      </c>
    </row>
    <row r="1747" spans="1:10" x14ac:dyDescent="0.25">
      <c r="A1747" t="s">
        <v>26</v>
      </c>
      <c r="B1747" s="1" t="str">
        <f>HYPERLINK("http://allianz-weiss.com","allianz-weiss.com")</f>
        <v>allianz-weiss.com</v>
      </c>
      <c r="C1747" t="s">
        <v>433</v>
      </c>
      <c r="F1747">
        <v>4.4648268812070603E-9</v>
      </c>
      <c r="G1747">
        <v>66309967</v>
      </c>
      <c r="H1747">
        <v>9516150</v>
      </c>
      <c r="I1747">
        <v>65485800</v>
      </c>
      <c r="J1747">
        <v>4</v>
      </c>
    </row>
    <row r="1748" spans="1:10" x14ac:dyDescent="0.25">
      <c r="A1748" t="s">
        <v>26</v>
      </c>
      <c r="B1748" s="1" t="str">
        <f>HYPERLINK("http://allianzam.com","allianzam.com")</f>
        <v>allianzam.com</v>
      </c>
      <c r="C1748" t="s">
        <v>433</v>
      </c>
      <c r="F1748">
        <v>4.5398811666972997E-9</v>
      </c>
      <c r="G1748">
        <v>53354175</v>
      </c>
      <c r="H1748">
        <v>12110833</v>
      </c>
      <c r="I1748">
        <v>25704117</v>
      </c>
      <c r="J1748">
        <v>3</v>
      </c>
    </row>
    <row r="1749" spans="1:10" x14ac:dyDescent="0.25">
      <c r="A1749" t="s">
        <v>26</v>
      </c>
      <c r="B1749" s="1" t="str">
        <f>HYPERLINK("http://allianzcapitalpartners.com","allianzcapitalpartners.com")</f>
        <v>allianzcapitalpartners.com</v>
      </c>
      <c r="C1749" t="s">
        <v>433</v>
      </c>
      <c r="F1749">
        <v>4.0673204771415003E-8</v>
      </c>
      <c r="G1749">
        <v>1273947</v>
      </c>
      <c r="H1749">
        <v>13807012</v>
      </c>
      <c r="I1749">
        <v>6228457</v>
      </c>
      <c r="J1749">
        <v>3</v>
      </c>
    </row>
    <row r="1750" spans="1:10" x14ac:dyDescent="0.25">
      <c r="A1750" t="s">
        <v>26</v>
      </c>
      <c r="B1750" s="1" t="str">
        <f>HYPERLINK("http://allianzcare.com","allianzcare.com")</f>
        <v>allianzcare.com</v>
      </c>
      <c r="C1750" t="s">
        <v>433</v>
      </c>
      <c r="E1750">
        <v>154166</v>
      </c>
      <c r="F1750">
        <v>1.15480777412341E-7</v>
      </c>
      <c r="G1750">
        <v>344552</v>
      </c>
      <c r="H1750">
        <v>14051939</v>
      </c>
      <c r="I1750">
        <v>3893482</v>
      </c>
      <c r="J1750">
        <v>3</v>
      </c>
    </row>
    <row r="1751" spans="1:10" x14ac:dyDescent="0.25">
      <c r="A1751" t="s">
        <v>26</v>
      </c>
      <c r="B1751" s="1" t="str">
        <f>HYPERLINK("http://allianzgi.com","allianzgi.com")</f>
        <v>allianzgi.com</v>
      </c>
      <c r="C1751" t="s">
        <v>433</v>
      </c>
      <c r="E1751">
        <v>128553</v>
      </c>
      <c r="F1751">
        <v>6.0509076652232001E-7</v>
      </c>
      <c r="G1751">
        <v>63201</v>
      </c>
      <c r="H1751">
        <v>17200784</v>
      </c>
      <c r="I1751">
        <v>41665</v>
      </c>
      <c r="J1751">
        <v>3</v>
      </c>
    </row>
    <row r="1752" spans="1:10" x14ac:dyDescent="0.25">
      <c r="A1752" t="s">
        <v>26</v>
      </c>
      <c r="B1752" s="1" t="str">
        <f>HYPERLINK("http://allianzglobalinvestors.com","allianzglobalinvestors.com")</f>
        <v>allianzglobalinvestors.com</v>
      </c>
      <c r="C1752" t="s">
        <v>433</v>
      </c>
      <c r="F1752">
        <v>1.0224524725661801E-8</v>
      </c>
      <c r="G1752">
        <v>6522991</v>
      </c>
      <c r="H1752">
        <v>13784892</v>
      </c>
      <c r="I1752">
        <v>6407470</v>
      </c>
      <c r="J1752">
        <v>4</v>
      </c>
    </row>
    <row r="1753" spans="1:10" x14ac:dyDescent="0.25">
      <c r="A1753" t="s">
        <v>26</v>
      </c>
      <c r="B1753" s="1" t="str">
        <f>HYPERLINK("http://allianzgloballife.com","allianzgloballife.com")</f>
        <v>allianzgloballife.com</v>
      </c>
      <c r="C1753" t="s">
        <v>433</v>
      </c>
      <c r="E1753">
        <v>168531</v>
      </c>
      <c r="F1753">
        <v>2.8770291644028199E-8</v>
      </c>
      <c r="G1753">
        <v>1788913</v>
      </c>
      <c r="H1753">
        <v>12320076</v>
      </c>
      <c r="I1753">
        <v>20418614</v>
      </c>
      <c r="J1753">
        <v>3</v>
      </c>
    </row>
    <row r="1754" spans="1:10" x14ac:dyDescent="0.25">
      <c r="A1754" t="s">
        <v>26</v>
      </c>
      <c r="B1754" s="1" t="str">
        <f>HYPERLINK("http://allianzim.com","allianzim.com")</f>
        <v>allianzim.com</v>
      </c>
      <c r="C1754" t="s">
        <v>433</v>
      </c>
      <c r="F1754">
        <v>2.1070571124935801E-8</v>
      </c>
      <c r="G1754">
        <v>2506592</v>
      </c>
      <c r="H1754">
        <v>13387093</v>
      </c>
      <c r="I1754">
        <v>10401562</v>
      </c>
      <c r="J1754">
        <v>4</v>
      </c>
    </row>
    <row r="1755" spans="1:10" x14ac:dyDescent="0.25">
      <c r="A1755" t="s">
        <v>26</v>
      </c>
      <c r="B1755" s="1" t="str">
        <f>HYPERLINK("http://allianzlife.com","allianzlife.com")</f>
        <v>allianzlife.com</v>
      </c>
      <c r="C1755" t="s">
        <v>433</v>
      </c>
      <c r="E1755">
        <v>81374</v>
      </c>
      <c r="F1755">
        <v>5.1024162602992103E-7</v>
      </c>
      <c r="G1755">
        <v>75090</v>
      </c>
      <c r="H1755">
        <v>14540109</v>
      </c>
      <c r="I1755">
        <v>775702</v>
      </c>
      <c r="J1755">
        <v>3</v>
      </c>
    </row>
    <row r="1756" spans="1:10" x14ac:dyDescent="0.25">
      <c r="A1756" t="s">
        <v>26</v>
      </c>
      <c r="B1756" s="1" t="str">
        <f>HYPERLINK("http://allianzsf.com","allianzsf.com")</f>
        <v>allianzsf.com</v>
      </c>
      <c r="C1756" t="s">
        <v>433</v>
      </c>
      <c r="F1756">
        <v>1.7247989130587999E-8</v>
      </c>
      <c r="G1756">
        <v>3212071</v>
      </c>
      <c r="H1756">
        <v>12546767</v>
      </c>
      <c r="I1756">
        <v>16852446</v>
      </c>
      <c r="J1756">
        <v>3</v>
      </c>
    </row>
    <row r="1757" spans="1:10" x14ac:dyDescent="0.25">
      <c r="A1757" t="s">
        <v>26</v>
      </c>
      <c r="B1757" s="1" t="str">
        <f>HYPERLINK("http://allianzsna.com","allianzsna.com")</f>
        <v>allianzsna.com</v>
      </c>
      <c r="C1757" t="s">
        <v>433</v>
      </c>
      <c r="F1757">
        <v>1.1699147632203801E-8</v>
      </c>
      <c r="G1757">
        <v>5367004</v>
      </c>
      <c r="H1757">
        <v>12337728</v>
      </c>
      <c r="I1757">
        <v>20056200</v>
      </c>
      <c r="J1757">
        <v>3</v>
      </c>
    </row>
    <row r="1758" spans="1:10" x14ac:dyDescent="0.25">
      <c r="A1758" t="s">
        <v>26</v>
      </c>
      <c r="B1758" s="1" t="str">
        <f>HYPERLINK("http://allianztravelinsurance.com","allianztravelinsurance.com")</f>
        <v>allianztravelinsurance.com</v>
      </c>
      <c r="C1758" t="s">
        <v>433</v>
      </c>
      <c r="E1758">
        <v>53546</v>
      </c>
      <c r="F1758">
        <v>6.6914456961957503E-7</v>
      </c>
      <c r="G1758">
        <v>57562</v>
      </c>
      <c r="H1758">
        <v>17272886</v>
      </c>
      <c r="I1758">
        <v>30999</v>
      </c>
      <c r="J1758">
        <v>10</v>
      </c>
    </row>
    <row r="1759" spans="1:10" x14ac:dyDescent="0.25">
      <c r="A1759" t="s">
        <v>26</v>
      </c>
      <c r="B1759" s="1" t="str">
        <f>HYPERLINK("http://allianzworldwidepartners.com","allianzworldwidepartners.com")</f>
        <v>allianzworldwidepartners.com</v>
      </c>
      <c r="C1759" t="s">
        <v>433</v>
      </c>
      <c r="E1759">
        <v>166862</v>
      </c>
      <c r="F1759">
        <v>1.4801292123421101E-7</v>
      </c>
      <c r="G1759">
        <v>262993</v>
      </c>
      <c r="H1759">
        <v>13829356</v>
      </c>
      <c r="I1759">
        <v>6113174</v>
      </c>
      <c r="J1759">
        <v>8</v>
      </c>
    </row>
    <row r="1760" spans="1:10" x14ac:dyDescent="0.25">
      <c r="A1760" t="s">
        <v>26</v>
      </c>
      <c r="B1760" s="1" t="str">
        <f>HYPERLINK("http://allianzx.com","allianzx.com")</f>
        <v>allianzx.com</v>
      </c>
      <c r="C1760" t="s">
        <v>433</v>
      </c>
      <c r="F1760">
        <v>5.4515017886311001E-8</v>
      </c>
      <c r="G1760">
        <v>827578</v>
      </c>
      <c r="H1760">
        <v>14083671</v>
      </c>
      <c r="I1760">
        <v>2792070</v>
      </c>
      <c r="J1760">
        <v>3</v>
      </c>
    </row>
    <row r="1761" spans="1:10" x14ac:dyDescent="0.25">
      <c r="A1761" t="s">
        <v>26</v>
      </c>
      <c r="B1761" s="1" t="str">
        <f>HYPERLINK("http://allienz.com","allienz.com")</f>
        <v>allienz.com</v>
      </c>
      <c r="C1761" t="s">
        <v>433</v>
      </c>
      <c r="J1761">
        <v>4</v>
      </c>
    </row>
    <row r="1762" spans="1:10" x14ac:dyDescent="0.25">
      <c r="A1762" t="s">
        <v>26</v>
      </c>
      <c r="B1762" s="1" t="str">
        <f>HYPERLINK("http://almaviva-sante.com","almaviva-sante.com")</f>
        <v>almaviva-sante.com</v>
      </c>
      <c r="C1762" t="s">
        <v>433</v>
      </c>
      <c r="F1762">
        <v>1.51820576997513E-8</v>
      </c>
      <c r="G1762">
        <v>3781411</v>
      </c>
      <c r="H1762">
        <v>10748174</v>
      </c>
      <c r="I1762">
        <v>40139887</v>
      </c>
      <c r="J1762">
        <v>7</v>
      </c>
    </row>
    <row r="1763" spans="1:10" x14ac:dyDescent="0.25">
      <c r="A1763" t="s">
        <v>26</v>
      </c>
      <c r="B1763" s="1" t="str">
        <f>HYPERLINK("http://arratum.com","arratum.com")</f>
        <v>arratum.com</v>
      </c>
      <c r="C1763" t="s">
        <v>433</v>
      </c>
      <c r="J1763">
        <v>9</v>
      </c>
    </row>
    <row r="1764" spans="1:10" x14ac:dyDescent="0.25">
      <c r="A1764" t="s">
        <v>26</v>
      </c>
      <c r="B1764" s="1" t="str">
        <f>HYPERLINK("http://bmwbenefit.com","bmwbenefit.com")</f>
        <v>bmwbenefit.com</v>
      </c>
      <c r="C1764" t="s">
        <v>433</v>
      </c>
      <c r="J1764">
        <v>4</v>
      </c>
    </row>
    <row r="1765" spans="1:10" x14ac:dyDescent="0.25">
      <c r="A1765" t="s">
        <v>26</v>
      </c>
      <c r="B1765" s="1" t="str">
        <f>HYPERLINK("http://caverion.com","caverion.com")</f>
        <v>caverion.com</v>
      </c>
      <c r="C1765" t="s">
        <v>433</v>
      </c>
      <c r="E1765">
        <v>874791</v>
      </c>
      <c r="F1765">
        <v>7.8564477630836097E-8</v>
      </c>
      <c r="G1765">
        <v>532106</v>
      </c>
      <c r="H1765">
        <v>14413202</v>
      </c>
      <c r="I1765">
        <v>1142167</v>
      </c>
      <c r="J1765">
        <v>6</v>
      </c>
    </row>
    <row r="1766" spans="1:10" x14ac:dyDescent="0.25">
      <c r="A1766" t="s">
        <v>26</v>
      </c>
      <c r="B1766" s="1" t="str">
        <f>HYPERLINK("http://christoph-westfalen.com","christoph-westfalen.com")</f>
        <v>christoph-westfalen.com</v>
      </c>
      <c r="C1766" t="s">
        <v>433</v>
      </c>
      <c r="F1766">
        <v>7.3388621991581397E-9</v>
      </c>
      <c r="G1766">
        <v>11386659</v>
      </c>
      <c r="H1766">
        <v>12194747</v>
      </c>
      <c r="I1766">
        <v>23461348</v>
      </c>
      <c r="J1766">
        <v>8</v>
      </c>
    </row>
    <row r="1767" spans="1:10" x14ac:dyDescent="0.25">
      <c r="A1767" t="s">
        <v>26</v>
      </c>
      <c r="B1767" s="1" t="str">
        <f>HYPERLINK("http://clinique-arago.com","clinique-arago.com")</f>
        <v>clinique-arago.com</v>
      </c>
      <c r="C1767" t="s">
        <v>433</v>
      </c>
      <c r="F1767">
        <v>9.2727697821441095E-9</v>
      </c>
      <c r="G1767">
        <v>7608131</v>
      </c>
      <c r="H1767">
        <v>10859689</v>
      </c>
      <c r="I1767">
        <v>36674201</v>
      </c>
      <c r="J1767">
        <v>3</v>
      </c>
    </row>
    <row r="1768" spans="1:10" x14ac:dyDescent="0.25">
      <c r="A1768" t="s">
        <v>26</v>
      </c>
      <c r="B1768" s="1" t="str">
        <f>HYPERLINK("http://cnportocristo.com","cnportocristo.com")</f>
        <v>cnportocristo.com</v>
      </c>
      <c r="C1768" t="s">
        <v>433</v>
      </c>
      <c r="F1768">
        <v>1.1093617408969399E-8</v>
      </c>
      <c r="G1768">
        <v>5790217</v>
      </c>
      <c r="H1768">
        <v>12110924</v>
      </c>
      <c r="I1768">
        <v>25702468</v>
      </c>
      <c r="J1768">
        <v>7</v>
      </c>
    </row>
    <row r="1769" spans="1:10" x14ac:dyDescent="0.25">
      <c r="A1769" t="s">
        <v>26</v>
      </c>
      <c r="B1769" s="1" t="str">
        <f>HYPERLINK("http://controlexpert.com","controlexpert.com")</f>
        <v>controlexpert.com</v>
      </c>
      <c r="C1769" t="s">
        <v>433</v>
      </c>
      <c r="E1769">
        <v>455259</v>
      </c>
      <c r="F1769">
        <v>5.0307602329889E-8</v>
      </c>
      <c r="G1769">
        <v>914108</v>
      </c>
      <c r="H1769">
        <v>13644925</v>
      </c>
      <c r="I1769">
        <v>9608736</v>
      </c>
      <c r="J1769">
        <v>3</v>
      </c>
    </row>
    <row r="1770" spans="1:10" x14ac:dyDescent="0.25">
      <c r="A1770" t="s">
        <v>26</v>
      </c>
      <c r="B1770" s="1" t="str">
        <f>HYPERLINK("http://coveraxis.com","coveraxis.com")</f>
        <v>coveraxis.com</v>
      </c>
      <c r="C1770" t="s">
        <v>433</v>
      </c>
      <c r="J1770">
        <v>5</v>
      </c>
    </row>
    <row r="1771" spans="1:10" x14ac:dyDescent="0.25">
      <c r="A1771" t="s">
        <v>26</v>
      </c>
      <c r="B1771" s="1" t="str">
        <f>HYPERLINK("http://elixvrs.com","elixvrs.com")</f>
        <v>elixvrs.com</v>
      </c>
      <c r="C1771" t="s">
        <v>433</v>
      </c>
      <c r="F1771">
        <v>5.3095853773312901E-9</v>
      </c>
      <c r="G1771">
        <v>23354052</v>
      </c>
      <c r="H1771">
        <v>12440291</v>
      </c>
      <c r="I1771">
        <v>18141540</v>
      </c>
      <c r="J1771">
        <v>3</v>
      </c>
    </row>
    <row r="1772" spans="1:10" x14ac:dyDescent="0.25">
      <c r="A1772" t="s">
        <v>26</v>
      </c>
      <c r="B1772" s="1" t="str">
        <f>HYPERLINK("http://eric-laloy.com","eric-laloy.com")</f>
        <v>eric-laloy.com</v>
      </c>
      <c r="C1772" t="s">
        <v>433</v>
      </c>
      <c r="J1772">
        <v>4</v>
      </c>
    </row>
    <row r="1773" spans="1:10" x14ac:dyDescent="0.25">
      <c r="A1773" t="s">
        <v>26</v>
      </c>
      <c r="B1773" s="1" t="str">
        <f>HYPERLINK("http://eulerhermes.com","eulerhermes.com")</f>
        <v>eulerhermes.com</v>
      </c>
      <c r="C1773" t="s">
        <v>433</v>
      </c>
      <c r="E1773">
        <v>89608</v>
      </c>
      <c r="F1773">
        <v>4.2368146824213699E-7</v>
      </c>
      <c r="G1773">
        <v>88894</v>
      </c>
      <c r="H1773">
        <v>15163887</v>
      </c>
      <c r="I1773">
        <v>398764</v>
      </c>
      <c r="J1773">
        <v>3</v>
      </c>
    </row>
    <row r="1774" spans="1:10" x14ac:dyDescent="0.25">
      <c r="A1774" t="s">
        <v>26</v>
      </c>
      <c r="B1774" s="1" t="str">
        <f>HYPERLINK("http://fenixdirecto.com","fenixdirecto.com")</f>
        <v>fenixdirecto.com</v>
      </c>
      <c r="C1774" t="s">
        <v>433</v>
      </c>
      <c r="F1774">
        <v>3.2550915361292402E-8</v>
      </c>
      <c r="G1774">
        <v>1587341</v>
      </c>
      <c r="H1774">
        <v>14238307</v>
      </c>
      <c r="I1774">
        <v>1529447</v>
      </c>
      <c r="J1774">
        <v>4</v>
      </c>
    </row>
    <row r="1775" spans="1:10" x14ac:dyDescent="0.25">
      <c r="A1775" t="s">
        <v>26</v>
      </c>
      <c r="B1775" s="1" t="str">
        <f>HYPERLINK("http://ffic.com","ffic.com")</f>
        <v>ffic.com</v>
      </c>
      <c r="C1775" t="s">
        <v>433</v>
      </c>
      <c r="F1775">
        <v>6.68389555085979E-9</v>
      </c>
      <c r="G1775">
        <v>13360178</v>
      </c>
      <c r="H1775">
        <v>12340638</v>
      </c>
      <c r="I1775">
        <v>19991962</v>
      </c>
      <c r="J1775">
        <v>3</v>
      </c>
    </row>
    <row r="1776" spans="1:10" x14ac:dyDescent="0.25">
      <c r="A1776" t="s">
        <v>26</v>
      </c>
      <c r="B1776" s="1" t="str">
        <f>HYPERLINK("http://firemansfund.com","firemansfund.com")</f>
        <v>firemansfund.com</v>
      </c>
      <c r="C1776" t="s">
        <v>433</v>
      </c>
      <c r="E1776">
        <v>894993</v>
      </c>
      <c r="F1776">
        <v>9.1194926501741806E-8</v>
      </c>
      <c r="G1776">
        <v>447030</v>
      </c>
      <c r="H1776">
        <v>14039240</v>
      </c>
      <c r="I1776">
        <v>3909801</v>
      </c>
      <c r="J1776">
        <v>4</v>
      </c>
    </row>
    <row r="1777" spans="1:10" x14ac:dyDescent="0.25">
      <c r="A1777" t="s">
        <v>26</v>
      </c>
      <c r="B1777" s="1" t="str">
        <f>HYPERLINK("http://global-automative-group.com","global-automative-group.com")</f>
        <v>global-automative-group.com</v>
      </c>
      <c r="C1777" t="s">
        <v>433</v>
      </c>
      <c r="J1777">
        <v>3</v>
      </c>
    </row>
    <row r="1778" spans="1:10" x14ac:dyDescent="0.25">
      <c r="A1778" t="s">
        <v>26</v>
      </c>
      <c r="B1778" s="1" t="str">
        <f>HYPERLINK("http://gtmotive.com","gtmotive.com")</f>
        <v>gtmotive.com</v>
      </c>
      <c r="C1778" t="s">
        <v>433</v>
      </c>
      <c r="E1778">
        <v>457544</v>
      </c>
      <c r="F1778">
        <v>3.7601469660877401E-8</v>
      </c>
      <c r="G1778">
        <v>1376233</v>
      </c>
      <c r="H1778">
        <v>13783055</v>
      </c>
      <c r="I1778">
        <v>6430433</v>
      </c>
      <c r="J1778">
        <v>3</v>
      </c>
    </row>
    <row r="1779" spans="1:10" x14ac:dyDescent="0.25">
      <c r="A1779" t="s">
        <v>26</v>
      </c>
      <c r="B1779" s="1" t="str">
        <f>HYPERLINK("http://gurtin.com","gurtin.com")</f>
        <v>gurtin.com</v>
      </c>
      <c r="C1779" t="s">
        <v>433</v>
      </c>
      <c r="F1779">
        <v>1.3287035273308499E-8</v>
      </c>
      <c r="G1779">
        <v>4499142</v>
      </c>
      <c r="H1779">
        <v>13598386</v>
      </c>
      <c r="I1779">
        <v>9652973</v>
      </c>
      <c r="J1779">
        <v>3</v>
      </c>
    </row>
    <row r="1780" spans="1:10" x14ac:dyDescent="0.25">
      <c r="A1780" t="s">
        <v>26</v>
      </c>
      <c r="B1780" s="1" t="str">
        <f>HYPERLINK("http://innovation-group.com","innovation-group.com")</f>
        <v>innovation-group.com</v>
      </c>
      <c r="C1780" t="s">
        <v>433</v>
      </c>
      <c r="F1780">
        <v>1.0297829545622501E-8</v>
      </c>
      <c r="G1780">
        <v>6452939</v>
      </c>
      <c r="H1780">
        <v>12640159</v>
      </c>
      <c r="I1780">
        <v>15875049</v>
      </c>
      <c r="J1780">
        <v>11</v>
      </c>
    </row>
    <row r="1781" spans="1:10" x14ac:dyDescent="0.25">
      <c r="A1781" t="s">
        <v>26</v>
      </c>
      <c r="B1781" s="1" t="str">
        <f>HYPERLINK("http://j-peham.com","j-peham.com")</f>
        <v>j-peham.com</v>
      </c>
      <c r="C1781" t="s">
        <v>433</v>
      </c>
      <c r="J1781">
        <v>5</v>
      </c>
    </row>
    <row r="1782" spans="1:10" x14ac:dyDescent="0.25">
      <c r="A1782" t="s">
        <v>26</v>
      </c>
      <c r="B1782" s="1" t="str">
        <f>HYPERLINK("http://jdallianz.com","jdallianz.com")</f>
        <v>jdallianz.com</v>
      </c>
      <c r="C1782" t="s">
        <v>433</v>
      </c>
      <c r="F1782">
        <v>5.7052977989703098E-8</v>
      </c>
      <c r="G1782">
        <v>782511</v>
      </c>
      <c r="H1782">
        <v>12316639</v>
      </c>
      <c r="I1782">
        <v>20479722</v>
      </c>
      <c r="J1782">
        <v>3</v>
      </c>
    </row>
    <row r="1783" spans="1:10" x14ac:dyDescent="0.25">
      <c r="A1783" t="s">
        <v>26</v>
      </c>
      <c r="B1783" s="1" t="str">
        <f>HYPERLINK("http://kaiser-x.com","kaiser-x.com")</f>
        <v>kaiser-x.com</v>
      </c>
      <c r="C1783" t="s">
        <v>433</v>
      </c>
      <c r="F1783">
        <v>1.0813671258697599E-8</v>
      </c>
      <c r="G1783">
        <v>6009882</v>
      </c>
      <c r="H1783">
        <v>12787373</v>
      </c>
      <c r="I1783">
        <v>14702372</v>
      </c>
      <c r="J1783">
        <v>3</v>
      </c>
    </row>
    <row r="1784" spans="1:10" x14ac:dyDescent="0.25">
      <c r="A1784" t="s">
        <v>26</v>
      </c>
      <c r="B1784" s="1" t="str">
        <f>HYPERLINK("http://kundler.com","kundler.com")</f>
        <v>kundler.com</v>
      </c>
      <c r="C1784" t="s">
        <v>433</v>
      </c>
      <c r="F1784">
        <v>1.52861557108687E-8</v>
      </c>
      <c r="G1784">
        <v>3749892</v>
      </c>
      <c r="H1784">
        <v>12507758</v>
      </c>
      <c r="I1784">
        <v>17266566</v>
      </c>
      <c r="J1784">
        <v>4</v>
      </c>
    </row>
    <row r="1785" spans="1:10" x14ac:dyDescent="0.25">
      <c r="A1785" t="s">
        <v>26</v>
      </c>
      <c r="B1785" s="1" t="str">
        <f>HYPERLINK("http://lamarlending.com","lamarlending.com")</f>
        <v>lamarlending.com</v>
      </c>
      <c r="C1785" t="s">
        <v>433</v>
      </c>
      <c r="E1785">
        <v>282794</v>
      </c>
      <c r="F1785">
        <v>7.2466232784883099E-8</v>
      </c>
      <c r="G1785">
        <v>582303</v>
      </c>
      <c r="H1785">
        <v>13545899</v>
      </c>
      <c r="I1785">
        <v>9900865</v>
      </c>
      <c r="J1785">
        <v>8</v>
      </c>
    </row>
    <row r="1786" spans="1:10" x14ac:dyDescent="0.25">
      <c r="A1786" t="s">
        <v>26</v>
      </c>
      <c r="B1786" s="1" t="str">
        <f>HYPERLINK("http://luluhypermarket.com","luluhypermarket.com")</f>
        <v>luluhypermarket.com</v>
      </c>
      <c r="C1786" t="s">
        <v>433</v>
      </c>
      <c r="E1786">
        <v>18116</v>
      </c>
      <c r="F1786">
        <v>3.4438705673814098E-7</v>
      </c>
      <c r="G1786">
        <v>108441</v>
      </c>
      <c r="H1786">
        <v>17169018</v>
      </c>
      <c r="I1786">
        <v>47902</v>
      </c>
      <c r="J1786">
        <v>8</v>
      </c>
    </row>
    <row r="1787" spans="1:10" x14ac:dyDescent="0.25">
      <c r="A1787" t="s">
        <v>26</v>
      </c>
      <c r="B1787" s="1" t="str">
        <f>HYPERLINK("http://lv.com","lv.com")</f>
        <v>lv.com</v>
      </c>
      <c r="C1787" t="s">
        <v>433</v>
      </c>
      <c r="E1787">
        <v>32245</v>
      </c>
      <c r="F1787">
        <v>4.1954164481370997E-7</v>
      </c>
      <c r="G1787">
        <v>89755</v>
      </c>
      <c r="H1787">
        <v>17227736</v>
      </c>
      <c r="I1787">
        <v>37251</v>
      </c>
      <c r="J1787">
        <v>3</v>
      </c>
    </row>
    <row r="1788" spans="1:10" x14ac:dyDescent="0.25">
      <c r="A1788" t="s">
        <v>26</v>
      </c>
      <c r="B1788" s="1" t="str">
        <f>HYPERLINK("http://matikarevista.com","matikarevista.com")</f>
        <v>matikarevista.com</v>
      </c>
      <c r="C1788" t="s">
        <v>433</v>
      </c>
      <c r="F1788">
        <v>4.6852861437542004E-9</v>
      </c>
      <c r="G1788">
        <v>42037939</v>
      </c>
      <c r="H1788">
        <v>12058455</v>
      </c>
      <c r="I1788">
        <v>27045365</v>
      </c>
      <c r="J1788">
        <v>7</v>
      </c>
    </row>
    <row r="1789" spans="1:10" x14ac:dyDescent="0.25">
      <c r="A1789" t="s">
        <v>26</v>
      </c>
      <c r="B1789" s="1" t="str">
        <f>HYPERLINK("http://mira-autoservice.com","mira-autoservice.com")</f>
        <v>mira-autoservice.com</v>
      </c>
      <c r="C1789" t="s">
        <v>433</v>
      </c>
      <c r="J1789">
        <v>7</v>
      </c>
    </row>
    <row r="1790" spans="1:10" x14ac:dyDescent="0.25">
      <c r="A1790" t="s">
        <v>26</v>
      </c>
      <c r="B1790" s="1" t="str">
        <f>HYPERLINK("http://mlp-ag.com","mlp-ag.com")</f>
        <v>mlp-ag.com</v>
      </c>
      <c r="C1790" t="s">
        <v>433</v>
      </c>
      <c r="F1790">
        <v>8.6471493196992393E-9</v>
      </c>
      <c r="G1790">
        <v>8571608</v>
      </c>
      <c r="H1790">
        <v>13763753</v>
      </c>
      <c r="I1790">
        <v>7672190</v>
      </c>
      <c r="J1790">
        <v>6</v>
      </c>
    </row>
    <row r="1791" spans="1:10" x14ac:dyDescent="0.25">
      <c r="A1791" t="s">
        <v>26</v>
      </c>
      <c r="B1791" s="1" t="str">
        <f>HYPERLINK("http://mlp-se.com","mlp-se.com")</f>
        <v>mlp-se.com</v>
      </c>
      <c r="C1791" t="s">
        <v>433</v>
      </c>
      <c r="F1791">
        <v>2.43441897839545E-8</v>
      </c>
      <c r="G1791">
        <v>2129492</v>
      </c>
      <c r="H1791">
        <v>13570789</v>
      </c>
      <c r="I1791">
        <v>9722550</v>
      </c>
      <c r="J1791">
        <v>4</v>
      </c>
    </row>
    <row r="1792" spans="1:10" x14ac:dyDescent="0.25">
      <c r="A1792" t="s">
        <v>26</v>
      </c>
      <c r="B1792" s="1" t="str">
        <f>HYPERLINK("http://mreiiiproyectocincosocimi.com","mreiiiproyectocincosocimi.com")</f>
        <v>mreiiiproyectocincosocimi.com</v>
      </c>
      <c r="C1792" t="s">
        <v>433</v>
      </c>
      <c r="F1792">
        <v>4.44380395335525E-9</v>
      </c>
      <c r="G1792">
        <v>82706460</v>
      </c>
      <c r="H1792">
        <v>0</v>
      </c>
      <c r="I1792">
        <v>83372290</v>
      </c>
      <c r="J1792">
        <v>3</v>
      </c>
    </row>
    <row r="1793" spans="1:10" x14ac:dyDescent="0.25">
      <c r="A1793" t="s">
        <v>26</v>
      </c>
      <c r="B1793" s="1" t="str">
        <f>HYPERLINK("http://multiasistencia.com","multiasistencia.com")</f>
        <v>multiasistencia.com</v>
      </c>
      <c r="C1793" t="s">
        <v>433</v>
      </c>
      <c r="E1793">
        <v>822749</v>
      </c>
      <c r="F1793">
        <v>9.8794788578866708E-9</v>
      </c>
      <c r="G1793">
        <v>6881403</v>
      </c>
      <c r="H1793">
        <v>13774475</v>
      </c>
      <c r="I1793">
        <v>6604611</v>
      </c>
      <c r="J1793">
        <v>3</v>
      </c>
    </row>
    <row r="1794" spans="1:10" x14ac:dyDescent="0.25">
      <c r="A1794" t="s">
        <v>26</v>
      </c>
      <c r="B1794" s="1" t="str">
        <f>HYPERLINK("http://nextcarehealth.com","nextcarehealth.com")</f>
        <v>nextcarehealth.com</v>
      </c>
      <c r="C1794" t="s">
        <v>433</v>
      </c>
      <c r="F1794">
        <v>7.2389613542131104E-8</v>
      </c>
      <c r="G1794">
        <v>582987</v>
      </c>
      <c r="H1794">
        <v>16751250</v>
      </c>
      <c r="I1794">
        <v>266062</v>
      </c>
      <c r="J1794">
        <v>4</v>
      </c>
    </row>
    <row r="1795" spans="1:10" x14ac:dyDescent="0.25">
      <c r="A1795" t="s">
        <v>26</v>
      </c>
      <c r="B1795" s="1" t="str">
        <f>HYPERLINK("http://ox2.com","ox2.com")</f>
        <v>ox2.com</v>
      </c>
      <c r="C1795" t="s">
        <v>433</v>
      </c>
      <c r="F1795">
        <v>1.1657052081220801E-7</v>
      </c>
      <c r="G1795">
        <v>341087</v>
      </c>
      <c r="H1795">
        <v>14548259</v>
      </c>
      <c r="I1795">
        <v>763349</v>
      </c>
      <c r="J1795">
        <v>5</v>
      </c>
    </row>
    <row r="1796" spans="1:10" x14ac:dyDescent="0.25">
      <c r="A1796" t="s">
        <v>26</v>
      </c>
      <c r="B1796" s="1" t="str">
        <f>HYPERLINK("http://pimco.com","pimco.com")</f>
        <v>pimco.com</v>
      </c>
      <c r="C1796" t="s">
        <v>433</v>
      </c>
      <c r="E1796">
        <v>46034</v>
      </c>
      <c r="F1796">
        <v>8.1977084724952404E-7</v>
      </c>
      <c r="G1796">
        <v>48219</v>
      </c>
      <c r="H1796">
        <v>17502814</v>
      </c>
      <c r="I1796">
        <v>13565</v>
      </c>
      <c r="J1796">
        <v>3</v>
      </c>
    </row>
    <row r="1797" spans="1:10" x14ac:dyDescent="0.25">
      <c r="A1797" t="s">
        <v>26</v>
      </c>
      <c r="B1797" s="1" t="str">
        <f>HYPERLINK("http://rmpaservices.com","rmpaservices.com")</f>
        <v>rmpaservices.com</v>
      </c>
      <c r="C1797" t="s">
        <v>433</v>
      </c>
      <c r="J1797">
        <v>5</v>
      </c>
    </row>
    <row r="1798" spans="1:10" x14ac:dyDescent="0.25">
      <c r="A1798" t="s">
        <v>26</v>
      </c>
      <c r="B1798" s="1" t="str">
        <f>HYPERLINK("http://samperseguros.com","samperseguros.com")</f>
        <v>samperseguros.com</v>
      </c>
      <c r="C1798" t="s">
        <v>433</v>
      </c>
      <c r="F1798">
        <v>4.44380395335525E-9</v>
      </c>
      <c r="G1798">
        <v>83285681</v>
      </c>
      <c r="H1798">
        <v>0</v>
      </c>
      <c r="I1798">
        <v>84076034</v>
      </c>
      <c r="J1798">
        <v>4</v>
      </c>
    </row>
    <row r="1799" spans="1:10" x14ac:dyDescent="0.25">
      <c r="A1799" t="s">
        <v>26</v>
      </c>
      <c r="B1799" s="1" t="str">
        <f>HYPERLINK("http://stadtbranchenbuch.com","stadtbranchenbuch.com")</f>
        <v>stadtbranchenbuch.com</v>
      </c>
      <c r="C1799" t="s">
        <v>433</v>
      </c>
      <c r="E1799">
        <v>144826</v>
      </c>
      <c r="F1799">
        <v>4.0659350438182402E-7</v>
      </c>
      <c r="G1799">
        <v>92431</v>
      </c>
      <c r="H1799">
        <v>14720021</v>
      </c>
      <c r="I1799">
        <v>578118</v>
      </c>
      <c r="J1799">
        <v>4</v>
      </c>
    </row>
    <row r="1800" spans="1:10" x14ac:dyDescent="0.25">
      <c r="A1800" t="s">
        <v>26</v>
      </c>
      <c r="B1800" s="1" t="str">
        <f>HYPERLINK("http://syncier.com","syncier.com")</f>
        <v>syncier.com</v>
      </c>
      <c r="C1800" t="s">
        <v>433</v>
      </c>
      <c r="F1800">
        <v>5.1180018893236098E-8</v>
      </c>
      <c r="G1800">
        <v>895086</v>
      </c>
      <c r="H1800">
        <v>14042979</v>
      </c>
      <c r="I1800">
        <v>3905500</v>
      </c>
      <c r="J1800">
        <v>3</v>
      </c>
    </row>
    <row r="1801" spans="1:10" x14ac:dyDescent="0.25">
      <c r="A1801" t="s">
        <v>26</v>
      </c>
      <c r="B1801" s="1" t="str">
        <f>HYPERLINK("http://tpc-bremen.com","tpc-bremen.com")</f>
        <v>tpc-bremen.com</v>
      </c>
      <c r="C1801" t="s">
        <v>433</v>
      </c>
      <c r="J1801">
        <v>6</v>
      </c>
    </row>
    <row r="1802" spans="1:10" x14ac:dyDescent="0.25">
      <c r="A1802" t="s">
        <v>26</v>
      </c>
      <c r="B1802" s="1" t="str">
        <f>HYPERLINK("http://tpc-management.com","tpc-management.com")</f>
        <v>tpc-management.com</v>
      </c>
      <c r="C1802" t="s">
        <v>433</v>
      </c>
      <c r="F1802">
        <v>7.8661523813340306E-9</v>
      </c>
      <c r="G1802">
        <v>10180014</v>
      </c>
      <c r="H1802">
        <v>10965488</v>
      </c>
      <c r="I1802">
        <v>34233796</v>
      </c>
      <c r="J1802">
        <v>6</v>
      </c>
    </row>
    <row r="1803" spans="1:10" x14ac:dyDescent="0.25">
      <c r="A1803" t="s">
        <v>26</v>
      </c>
      <c r="B1803" s="1" t="str">
        <f>HYPERLINK("http://tpc-pension.com","tpc-pension.com")</f>
        <v>tpc-pension.com</v>
      </c>
      <c r="C1803" t="s">
        <v>433</v>
      </c>
      <c r="F1803">
        <v>4.5449829697827298E-9</v>
      </c>
      <c r="G1803">
        <v>52731008</v>
      </c>
      <c r="H1803">
        <v>10620432</v>
      </c>
      <c r="I1803">
        <v>44245765</v>
      </c>
      <c r="J1803">
        <v>6</v>
      </c>
    </row>
    <row r="1804" spans="1:10" x14ac:dyDescent="0.25">
      <c r="A1804" t="s">
        <v>26</v>
      </c>
      <c r="B1804" s="1" t="str">
        <f>HYPERLINK("http://tpc-services.com","tpc-services.com")</f>
        <v>tpc-services.com</v>
      </c>
      <c r="C1804" t="s">
        <v>433</v>
      </c>
      <c r="J1804">
        <v>6</v>
      </c>
    </row>
    <row r="1805" spans="1:10" x14ac:dyDescent="0.25">
      <c r="A1805" t="s">
        <v>26</v>
      </c>
      <c r="B1805" s="1" t="str">
        <f>HYPERLINK("http://tpc-vorsorge.com","tpc-vorsorge.com")</f>
        <v>tpc-vorsorge.com</v>
      </c>
      <c r="C1805" t="s">
        <v>433</v>
      </c>
      <c r="F1805">
        <v>8.4935213592720994E-9</v>
      </c>
      <c r="G1805">
        <v>8857740</v>
      </c>
      <c r="H1805">
        <v>12383555</v>
      </c>
      <c r="I1805">
        <v>19146359</v>
      </c>
      <c r="J1805">
        <v>6</v>
      </c>
    </row>
    <row r="1806" spans="1:10" x14ac:dyDescent="0.25">
      <c r="A1806" t="s">
        <v>26</v>
      </c>
      <c r="B1806" s="1" t="str">
        <f>HYPERLINK("http://trivore.com","trivore.com")</f>
        <v>trivore.com</v>
      </c>
      <c r="C1806" t="s">
        <v>433</v>
      </c>
      <c r="E1806">
        <v>208965</v>
      </c>
      <c r="F1806">
        <v>2.4310845884959501E-8</v>
      </c>
      <c r="G1806">
        <v>2132843</v>
      </c>
      <c r="H1806">
        <v>13721741</v>
      </c>
      <c r="I1806">
        <v>9470914</v>
      </c>
      <c r="J1806">
        <v>9</v>
      </c>
    </row>
    <row r="1807" spans="1:10" x14ac:dyDescent="0.25">
      <c r="A1807" t="s">
        <v>26</v>
      </c>
      <c r="B1807" s="1" t="str">
        <f>HYPERLINK("http://uwe-springborn.com","uwe-springborn.com")</f>
        <v>uwe-springborn.com</v>
      </c>
      <c r="C1807" t="s">
        <v>433</v>
      </c>
      <c r="J1807">
        <v>4</v>
      </c>
    </row>
    <row r="1808" spans="1:10" x14ac:dyDescent="0.25">
      <c r="A1808" t="s">
        <v>26</v>
      </c>
      <c r="B1808" s="1" t="str">
        <f>HYPERLINK("http://vigny-depierre.com","vigny-depierre.com")</f>
        <v>vigny-depierre.com</v>
      </c>
      <c r="C1808" t="s">
        <v>433</v>
      </c>
      <c r="F1808">
        <v>6.91717335394593E-8</v>
      </c>
      <c r="G1808">
        <v>614173</v>
      </c>
      <c r="H1808">
        <v>13701129</v>
      </c>
      <c r="I1808">
        <v>9513654</v>
      </c>
      <c r="J1808">
        <v>4</v>
      </c>
    </row>
    <row r="1809" spans="1:10" x14ac:dyDescent="0.25">
      <c r="A1809" t="s">
        <v>26</v>
      </c>
      <c r="B1809" s="1" t="str">
        <f>HYPERLINK("http://wealthwizards.com","wealthwizards.com")</f>
        <v>wealthwizards.com</v>
      </c>
      <c r="C1809" t="s">
        <v>433</v>
      </c>
      <c r="F1809">
        <v>3.2631564536164097E-8</v>
      </c>
      <c r="G1809">
        <v>1583507</v>
      </c>
      <c r="H1809">
        <v>13095469</v>
      </c>
      <c r="I1809">
        <v>12123935</v>
      </c>
      <c r="J1809">
        <v>8</v>
      </c>
    </row>
    <row r="1810" spans="1:10" x14ac:dyDescent="0.25">
      <c r="A1810" t="s">
        <v>26</v>
      </c>
      <c r="B1810" s="1" t="str">
        <f>HYPERLINK("http://allianz.cz","allianz.cz")</f>
        <v>allianz.cz</v>
      </c>
      <c r="C1810" t="s">
        <v>435</v>
      </c>
      <c r="D1810" t="s">
        <v>814</v>
      </c>
      <c r="E1810">
        <v>425931</v>
      </c>
      <c r="F1810">
        <v>2.8690132336288802E-7</v>
      </c>
      <c r="G1810">
        <v>129573</v>
      </c>
      <c r="H1810">
        <v>16933274</v>
      </c>
      <c r="I1810">
        <v>116920</v>
      </c>
      <c r="J1810">
        <v>2</v>
      </c>
    </row>
    <row r="1811" spans="1:10" x14ac:dyDescent="0.25">
      <c r="A1811" t="s">
        <v>26</v>
      </c>
      <c r="B1811" s="1" t="str">
        <f>HYPERLINK("http://allianz-assistance.cz","allianz-assistance.cz")</f>
        <v>allianz-assistance.cz</v>
      </c>
      <c r="C1811" t="s">
        <v>435</v>
      </c>
      <c r="D1811" t="s">
        <v>814</v>
      </c>
      <c r="F1811">
        <v>3.6535114794034499E-8</v>
      </c>
      <c r="G1811">
        <v>1429404</v>
      </c>
      <c r="H1811">
        <v>12349704</v>
      </c>
      <c r="I1811">
        <v>19770894</v>
      </c>
      <c r="J1811">
        <v>3</v>
      </c>
    </row>
    <row r="1812" spans="1:10" x14ac:dyDescent="0.25">
      <c r="A1812" t="s">
        <v>26</v>
      </c>
      <c r="B1812" s="1" t="str">
        <f>HYPERLINK("http://diamondpoint.cz","diamondpoint.cz")</f>
        <v>diamondpoint.cz</v>
      </c>
      <c r="C1812" t="s">
        <v>435</v>
      </c>
      <c r="D1812" t="s">
        <v>814</v>
      </c>
      <c r="F1812">
        <v>7.2132554090796201E-9</v>
      </c>
      <c r="G1812">
        <v>11705867</v>
      </c>
      <c r="H1812">
        <v>10651497</v>
      </c>
      <c r="I1812">
        <v>43586420</v>
      </c>
      <c r="J1812">
        <v>3</v>
      </c>
    </row>
    <row r="1813" spans="1:10" x14ac:dyDescent="0.25">
      <c r="A1813" t="s">
        <v>26</v>
      </c>
      <c r="B1813" s="1" t="str">
        <f>HYPERLINK("http://eulerhermes.cz","eulerhermes.cz")</f>
        <v>eulerhermes.cz</v>
      </c>
      <c r="C1813" t="s">
        <v>435</v>
      </c>
      <c r="D1813" t="s">
        <v>814</v>
      </c>
      <c r="F1813">
        <v>1.18914039497783E-8</v>
      </c>
      <c r="G1813">
        <v>5244595</v>
      </c>
      <c r="H1813">
        <v>11092303</v>
      </c>
      <c r="I1813">
        <v>32359138</v>
      </c>
      <c r="J1813">
        <v>4</v>
      </c>
    </row>
    <row r="1814" spans="1:10" x14ac:dyDescent="0.25">
      <c r="A1814" t="s">
        <v>26</v>
      </c>
      <c r="B1814" s="1" t="str">
        <f>HYPERLINK("http://iallianz.cz","iallianz.cz")</f>
        <v>iallianz.cz</v>
      </c>
      <c r="C1814" t="s">
        <v>435</v>
      </c>
      <c r="D1814" t="s">
        <v>814</v>
      </c>
      <c r="F1814">
        <v>4.5691249131882504E-9</v>
      </c>
      <c r="G1814">
        <v>50272082</v>
      </c>
      <c r="H1814">
        <v>11941457</v>
      </c>
      <c r="I1814">
        <v>29189484</v>
      </c>
      <c r="J1814">
        <v>4</v>
      </c>
    </row>
    <row r="1815" spans="1:10" x14ac:dyDescent="0.25">
      <c r="A1815" t="s">
        <v>26</v>
      </c>
      <c r="B1815" s="1" t="str">
        <f>HYPERLINK("http://n4gh.cz","n4gh.cz")</f>
        <v>n4gh.cz</v>
      </c>
      <c r="C1815" t="s">
        <v>435</v>
      </c>
      <c r="D1815" t="s">
        <v>814</v>
      </c>
      <c r="J1815">
        <v>7</v>
      </c>
    </row>
    <row r="1816" spans="1:10" x14ac:dyDescent="0.25">
      <c r="A1816" t="s">
        <v>26</v>
      </c>
      <c r="B1816" s="1" t="str">
        <f>HYPERLINK("http://net4gas.cz","net4gas.cz")</f>
        <v>net4gas.cz</v>
      </c>
      <c r="C1816" t="s">
        <v>435</v>
      </c>
      <c r="D1816" t="s">
        <v>814</v>
      </c>
      <c r="F1816">
        <v>6.9050727638042394E-8</v>
      </c>
      <c r="G1816">
        <v>615458</v>
      </c>
      <c r="H1816">
        <v>14084876</v>
      </c>
      <c r="I1816">
        <v>2783887</v>
      </c>
      <c r="J1816">
        <v>6</v>
      </c>
    </row>
    <row r="1817" spans="1:10" x14ac:dyDescent="0.25">
      <c r="A1817" t="s">
        <v>26</v>
      </c>
      <c r="B1817" s="1" t="str">
        <f>HYPERLINK("http://adac.de","adac.de")</f>
        <v>adac.de</v>
      </c>
      <c r="C1817" t="s">
        <v>436</v>
      </c>
      <c r="D1817" t="s">
        <v>815</v>
      </c>
      <c r="E1817">
        <v>6920</v>
      </c>
      <c r="F1817">
        <v>5.7627497217814804E-6</v>
      </c>
      <c r="G1817">
        <v>6019</v>
      </c>
      <c r="H1817">
        <v>17730370</v>
      </c>
      <c r="I1817">
        <v>6732</v>
      </c>
      <c r="J1817">
        <v>5</v>
      </c>
    </row>
    <row r="1818" spans="1:10" x14ac:dyDescent="0.25">
      <c r="A1818" t="s">
        <v>26</v>
      </c>
      <c r="B1818" s="1" t="str">
        <f>HYPERLINK("http://adac-lingen.de","adac-lingen.de")</f>
        <v>adac-lingen.de</v>
      </c>
      <c r="C1818" t="s">
        <v>436</v>
      </c>
      <c r="D1818" t="s">
        <v>815</v>
      </c>
      <c r="F1818">
        <v>1.15044243584611E-8</v>
      </c>
      <c r="G1818">
        <v>5502887</v>
      </c>
      <c r="H1818">
        <v>12364865</v>
      </c>
      <c r="I1818">
        <v>19500250</v>
      </c>
      <c r="J1818">
        <v>8</v>
      </c>
    </row>
    <row r="1819" spans="1:10" x14ac:dyDescent="0.25">
      <c r="A1819" t="s">
        <v>26</v>
      </c>
      <c r="B1819" s="1" t="str">
        <f>HYPERLINK("http://adac-nordrhein.de","adac-nordrhein.de")</f>
        <v>adac-nordrhein.de</v>
      </c>
      <c r="C1819" t="s">
        <v>436</v>
      </c>
      <c r="D1819" t="s">
        <v>815</v>
      </c>
      <c r="E1819">
        <v>839585</v>
      </c>
      <c r="F1819">
        <v>4.4466511954568402E-8</v>
      </c>
      <c r="G1819">
        <v>1066158</v>
      </c>
      <c r="H1819">
        <v>13034774</v>
      </c>
      <c r="I1819">
        <v>12649944</v>
      </c>
      <c r="J1819">
        <v>8</v>
      </c>
    </row>
    <row r="1820" spans="1:10" x14ac:dyDescent="0.25">
      <c r="A1820" t="s">
        <v>26</v>
      </c>
      <c r="B1820" s="1" t="str">
        <f>HYPERLINK("http://adac-oldenburg.de","adac-oldenburg.de")</f>
        <v>adac-oldenburg.de</v>
      </c>
      <c r="C1820" t="s">
        <v>436</v>
      </c>
      <c r="D1820" t="s">
        <v>815</v>
      </c>
      <c r="F1820">
        <v>2.2085966921981899E-8</v>
      </c>
      <c r="G1820">
        <v>2376140</v>
      </c>
      <c r="H1820">
        <v>12443452</v>
      </c>
      <c r="I1820">
        <v>18101490</v>
      </c>
      <c r="J1820">
        <v>7</v>
      </c>
    </row>
    <row r="1821" spans="1:10" x14ac:dyDescent="0.25">
      <c r="A1821" t="s">
        <v>26</v>
      </c>
      <c r="B1821" s="1" t="str">
        <f>HYPERLINK("http://adac-sh.de","adac-sh.de")</f>
        <v>adac-sh.de</v>
      </c>
      <c r="C1821" t="s">
        <v>436</v>
      </c>
      <c r="D1821" t="s">
        <v>815</v>
      </c>
      <c r="F1821">
        <v>5.2020942743791497E-8</v>
      </c>
      <c r="G1821">
        <v>877797</v>
      </c>
      <c r="H1821">
        <v>12742351</v>
      </c>
      <c r="I1821">
        <v>15115594</v>
      </c>
      <c r="J1821">
        <v>7</v>
      </c>
    </row>
    <row r="1822" spans="1:10" x14ac:dyDescent="0.25">
      <c r="A1822" t="s">
        <v>26</v>
      </c>
      <c r="B1822" s="1" t="str">
        <f>HYPERLINK("http://adacreisen.de","adacreisen.de")</f>
        <v>adacreisen.de</v>
      </c>
      <c r="C1822" t="s">
        <v>436</v>
      </c>
      <c r="D1822" t="s">
        <v>815</v>
      </c>
      <c r="E1822">
        <v>800420</v>
      </c>
      <c r="F1822">
        <v>8.1462892144552801E-8</v>
      </c>
      <c r="G1822">
        <v>512371</v>
      </c>
      <c r="H1822">
        <v>13133342</v>
      </c>
      <c r="I1822">
        <v>11923996</v>
      </c>
      <c r="J1822">
        <v>7</v>
      </c>
    </row>
    <row r="1823" spans="1:10" x14ac:dyDescent="0.25">
      <c r="A1823" t="s">
        <v>26</v>
      </c>
      <c r="B1823" s="1" t="str">
        <f>HYPERLINK("http://adeus.de","adeus.de")</f>
        <v>adeus.de</v>
      </c>
      <c r="C1823" t="s">
        <v>436</v>
      </c>
      <c r="D1823" t="s">
        <v>815</v>
      </c>
      <c r="F1823">
        <v>6.8370181247844094E-8</v>
      </c>
      <c r="G1823">
        <v>623908</v>
      </c>
      <c r="H1823">
        <v>12888598</v>
      </c>
      <c r="I1823">
        <v>13946339</v>
      </c>
      <c r="J1823">
        <v>3</v>
      </c>
    </row>
    <row r="1824" spans="1:10" x14ac:dyDescent="0.25">
      <c r="A1824" t="s">
        <v>26</v>
      </c>
      <c r="B1824" s="1" t="str">
        <f>HYPERLINK("http://advania.de","advania.de")</f>
        <v>advania.de</v>
      </c>
      <c r="C1824" t="s">
        <v>436</v>
      </c>
      <c r="D1824" t="s">
        <v>815</v>
      </c>
      <c r="F1824">
        <v>4.44380395335525E-9</v>
      </c>
      <c r="G1824">
        <v>84230837</v>
      </c>
      <c r="H1824">
        <v>0</v>
      </c>
      <c r="I1824">
        <v>85243503</v>
      </c>
      <c r="J1824">
        <v>3</v>
      </c>
    </row>
    <row r="1825" spans="1:10" x14ac:dyDescent="0.25">
      <c r="A1825" t="s">
        <v>26</v>
      </c>
      <c r="B1825" s="1" t="str">
        <f>HYPERLINK("http://aero-dienst.de","aero-dienst.de")</f>
        <v>aero-dienst.de</v>
      </c>
      <c r="C1825" t="s">
        <v>436</v>
      </c>
      <c r="D1825" t="s">
        <v>815</v>
      </c>
      <c r="F1825">
        <v>1.9368622040739199E-8</v>
      </c>
      <c r="G1825">
        <v>2768054</v>
      </c>
      <c r="H1825">
        <v>13478995</v>
      </c>
      <c r="I1825">
        <v>10012933</v>
      </c>
      <c r="J1825">
        <v>10</v>
      </c>
    </row>
    <row r="1826" spans="1:10" x14ac:dyDescent="0.25">
      <c r="A1826" t="s">
        <v>26</v>
      </c>
      <c r="B1826" s="1" t="str">
        <f>HYPERLINK("http://allainz.de","allainz.de")</f>
        <v>allainz.de</v>
      </c>
      <c r="C1826" t="s">
        <v>436</v>
      </c>
      <c r="D1826" t="s">
        <v>815</v>
      </c>
      <c r="J1826">
        <v>4</v>
      </c>
    </row>
    <row r="1827" spans="1:10" x14ac:dyDescent="0.25">
      <c r="A1827" t="s">
        <v>26</v>
      </c>
      <c r="B1827" s="1" t="str">
        <f>HYPERLINK("http://allianz.de","allianz.de")</f>
        <v>allianz.de</v>
      </c>
      <c r="C1827" t="s">
        <v>436</v>
      </c>
      <c r="D1827" t="s">
        <v>815</v>
      </c>
      <c r="E1827">
        <v>5682</v>
      </c>
      <c r="F1827">
        <v>7.3676018316857799E-6</v>
      </c>
      <c r="G1827">
        <v>4553</v>
      </c>
      <c r="H1827">
        <v>17281792</v>
      </c>
      <c r="I1827">
        <v>29954</v>
      </c>
      <c r="J1827">
        <v>2</v>
      </c>
    </row>
    <row r="1828" spans="1:10" x14ac:dyDescent="0.25">
      <c r="A1828" t="s">
        <v>26</v>
      </c>
      <c r="B1828" s="1" t="str">
        <f>HYPERLINK("http://allianz-angerer.de","allianz-angerer.de")</f>
        <v>allianz-angerer.de</v>
      </c>
      <c r="C1828" t="s">
        <v>436</v>
      </c>
      <c r="D1828" t="s">
        <v>815</v>
      </c>
      <c r="F1828">
        <v>6.9481127613192801E-9</v>
      </c>
      <c r="G1828">
        <v>12469411</v>
      </c>
      <c r="H1828">
        <v>8600937</v>
      </c>
      <c r="I1828">
        <v>70775045</v>
      </c>
      <c r="J1828">
        <v>4</v>
      </c>
    </row>
    <row r="1829" spans="1:10" x14ac:dyDescent="0.25">
      <c r="A1829" t="s">
        <v>26</v>
      </c>
      <c r="B1829" s="1" t="str">
        <f>HYPERLINK("http://allianz-athenstaedt.de","allianz-athenstaedt.de")</f>
        <v>allianz-athenstaedt.de</v>
      </c>
      <c r="C1829" t="s">
        <v>436</v>
      </c>
      <c r="D1829" t="s">
        <v>815</v>
      </c>
      <c r="J1829">
        <v>4</v>
      </c>
    </row>
    <row r="1830" spans="1:10" x14ac:dyDescent="0.25">
      <c r="A1830" t="s">
        <v>26</v>
      </c>
      <c r="B1830" s="1" t="str">
        <f>HYPERLINK("http://allianz-azt.de","allianz-azt.de")</f>
        <v>allianz-azt.de</v>
      </c>
      <c r="C1830" t="s">
        <v>436</v>
      </c>
      <c r="D1830" t="s">
        <v>815</v>
      </c>
      <c r="F1830">
        <v>8.3912618821057305E-9</v>
      </c>
      <c r="G1830">
        <v>9060745</v>
      </c>
      <c r="H1830">
        <v>12293173</v>
      </c>
      <c r="I1830">
        <v>21005411</v>
      </c>
      <c r="J1830">
        <v>3</v>
      </c>
    </row>
    <row r="1831" spans="1:10" x14ac:dyDescent="0.25">
      <c r="A1831" t="s">
        <v>26</v>
      </c>
      <c r="B1831" s="1" t="str">
        <f>HYPERLINK("http://allianz-bachmann.de","allianz-bachmann.de")</f>
        <v>allianz-bachmann.de</v>
      </c>
      <c r="C1831" t="s">
        <v>436</v>
      </c>
      <c r="D1831" t="s">
        <v>815</v>
      </c>
      <c r="F1831">
        <v>4.44380395335525E-9</v>
      </c>
      <c r="G1831">
        <v>84235849</v>
      </c>
      <c r="H1831">
        <v>0</v>
      </c>
      <c r="I1831">
        <v>85249497</v>
      </c>
      <c r="J1831">
        <v>4</v>
      </c>
    </row>
    <row r="1832" spans="1:10" x14ac:dyDescent="0.25">
      <c r="A1832" t="s">
        <v>26</v>
      </c>
      <c r="B1832" s="1" t="str">
        <f>HYPERLINK("http://allianz-ballichar.de","allianz-ballichar.de")</f>
        <v>allianz-ballichar.de</v>
      </c>
      <c r="C1832" t="s">
        <v>436</v>
      </c>
      <c r="D1832" t="s">
        <v>815</v>
      </c>
      <c r="J1832">
        <v>4</v>
      </c>
    </row>
    <row r="1833" spans="1:10" x14ac:dyDescent="0.25">
      <c r="A1833" t="s">
        <v>26</v>
      </c>
      <c r="B1833" s="1" t="str">
        <f>HYPERLINK("http://allianz-balmer-degant.de","allianz-balmer-degant.de")</f>
        <v>allianz-balmer-degant.de</v>
      </c>
      <c r="C1833" t="s">
        <v>436</v>
      </c>
      <c r="D1833" t="s">
        <v>815</v>
      </c>
      <c r="J1833">
        <v>4</v>
      </c>
    </row>
    <row r="1834" spans="1:10" x14ac:dyDescent="0.25">
      <c r="A1834" t="s">
        <v>26</v>
      </c>
      <c r="B1834" s="1" t="str">
        <f>HYPERLINK("http://allianz-barleon.de","allianz-barleon.de")</f>
        <v>allianz-barleon.de</v>
      </c>
      <c r="C1834" t="s">
        <v>436</v>
      </c>
      <c r="D1834" t="s">
        <v>815</v>
      </c>
      <c r="J1834">
        <v>4</v>
      </c>
    </row>
    <row r="1835" spans="1:10" x14ac:dyDescent="0.25">
      <c r="A1835" t="s">
        <v>26</v>
      </c>
      <c r="B1835" s="1" t="str">
        <f>HYPERLINK("http://allianz-bastian-wenner.de","allianz-bastian-wenner.de")</f>
        <v>allianz-bastian-wenner.de</v>
      </c>
      <c r="C1835" t="s">
        <v>436</v>
      </c>
      <c r="D1835" t="s">
        <v>815</v>
      </c>
      <c r="F1835">
        <v>7.6685524378727095E-9</v>
      </c>
      <c r="G1835">
        <v>10646808</v>
      </c>
      <c r="H1835">
        <v>12138428</v>
      </c>
      <c r="I1835">
        <v>24912591</v>
      </c>
      <c r="J1835">
        <v>4</v>
      </c>
    </row>
    <row r="1836" spans="1:10" x14ac:dyDescent="0.25">
      <c r="A1836" t="s">
        <v>26</v>
      </c>
      <c r="B1836" s="1" t="str">
        <f>HYPERLINK("http://allianz-bastianessing.de","allianz-bastianessing.de")</f>
        <v>allianz-bastianessing.de</v>
      </c>
      <c r="C1836" t="s">
        <v>436</v>
      </c>
      <c r="D1836" t="s">
        <v>815</v>
      </c>
      <c r="J1836">
        <v>4</v>
      </c>
    </row>
    <row r="1837" spans="1:10" x14ac:dyDescent="0.25">
      <c r="A1837" t="s">
        <v>26</v>
      </c>
      <c r="B1837" s="1" t="str">
        <f>HYPERLINK("http://allianz-bazzanella.de","allianz-bazzanella.de")</f>
        <v>allianz-bazzanella.de</v>
      </c>
      <c r="C1837" t="s">
        <v>436</v>
      </c>
      <c r="D1837" t="s">
        <v>815</v>
      </c>
      <c r="F1837">
        <v>4.7960166401169403E-9</v>
      </c>
      <c r="G1837">
        <v>36243111</v>
      </c>
      <c r="H1837">
        <v>10440025</v>
      </c>
      <c r="I1837">
        <v>52446717</v>
      </c>
      <c r="J1837">
        <v>4</v>
      </c>
    </row>
    <row r="1838" spans="1:10" x14ac:dyDescent="0.25">
      <c r="A1838" t="s">
        <v>26</v>
      </c>
      <c r="B1838" s="1" t="str">
        <f>HYPERLINK("http://allianz-bernhard.de","allianz-bernhard.de")</f>
        <v>allianz-bernhard.de</v>
      </c>
      <c r="C1838" t="s">
        <v>436</v>
      </c>
      <c r="D1838" t="s">
        <v>815</v>
      </c>
      <c r="F1838">
        <v>4.6849373436955496E-9</v>
      </c>
      <c r="G1838">
        <v>42057912</v>
      </c>
      <c r="H1838">
        <v>11975176</v>
      </c>
      <c r="I1838">
        <v>28567460</v>
      </c>
      <c r="J1838">
        <v>4</v>
      </c>
    </row>
    <row r="1839" spans="1:10" x14ac:dyDescent="0.25">
      <c r="A1839" t="s">
        <v>26</v>
      </c>
      <c r="B1839" s="1" t="str">
        <f>HYPERLINK("http://allianz-bienek.de","allianz-bienek.de")</f>
        <v>allianz-bienek.de</v>
      </c>
      <c r="C1839" t="s">
        <v>436</v>
      </c>
      <c r="D1839" t="s">
        <v>815</v>
      </c>
      <c r="F1839">
        <v>4.5806643073051499E-9</v>
      </c>
      <c r="G1839">
        <v>49235221</v>
      </c>
      <c r="H1839">
        <v>10434111</v>
      </c>
      <c r="I1839">
        <v>52906052</v>
      </c>
      <c r="J1839">
        <v>4</v>
      </c>
    </row>
    <row r="1840" spans="1:10" x14ac:dyDescent="0.25">
      <c r="A1840" t="s">
        <v>26</v>
      </c>
      <c r="B1840" s="1" t="str">
        <f>HYPERLINK("http://allianz-brokmeier.de","allianz-brokmeier.de")</f>
        <v>allianz-brokmeier.de</v>
      </c>
      <c r="C1840" t="s">
        <v>436</v>
      </c>
      <c r="D1840" t="s">
        <v>815</v>
      </c>
      <c r="J1840">
        <v>4</v>
      </c>
    </row>
    <row r="1841" spans="1:10" x14ac:dyDescent="0.25">
      <c r="A1841" t="s">
        <v>26</v>
      </c>
      <c r="B1841" s="1" t="str">
        <f>HYPERLINK("http://allianz-dellmann.de","allianz-dellmann.de")</f>
        <v>allianz-dellmann.de</v>
      </c>
      <c r="C1841" t="s">
        <v>436</v>
      </c>
      <c r="D1841" t="s">
        <v>815</v>
      </c>
      <c r="F1841">
        <v>4.4439019904721401E-9</v>
      </c>
      <c r="G1841">
        <v>77924209</v>
      </c>
      <c r="H1841">
        <v>11974581</v>
      </c>
      <c r="I1841">
        <v>28584196</v>
      </c>
      <c r="J1841">
        <v>4</v>
      </c>
    </row>
    <row r="1842" spans="1:10" x14ac:dyDescent="0.25">
      <c r="A1842" t="s">
        <v>26</v>
      </c>
      <c r="B1842" s="1" t="str">
        <f>HYPERLINK("http://allianz-duttenhfer.de","allianz-duttenhfer.de")</f>
        <v>allianz-duttenhfer.de</v>
      </c>
      <c r="C1842" t="s">
        <v>436</v>
      </c>
      <c r="D1842" t="s">
        <v>815</v>
      </c>
      <c r="J1842">
        <v>4</v>
      </c>
    </row>
    <row r="1843" spans="1:10" x14ac:dyDescent="0.25">
      <c r="A1843" t="s">
        <v>26</v>
      </c>
      <c r="B1843" s="1" t="str">
        <f>HYPERLINK("http://allianz-falcone.de","allianz-falcone.de")</f>
        <v>allianz-falcone.de</v>
      </c>
      <c r="C1843" t="s">
        <v>436</v>
      </c>
      <c r="D1843" t="s">
        <v>815</v>
      </c>
      <c r="F1843">
        <v>4.5747736459333703E-9</v>
      </c>
      <c r="G1843">
        <v>49749221</v>
      </c>
      <c r="H1843">
        <v>9533758</v>
      </c>
      <c r="I1843">
        <v>65234581</v>
      </c>
      <c r="J1843">
        <v>4</v>
      </c>
    </row>
    <row r="1844" spans="1:10" x14ac:dyDescent="0.25">
      <c r="A1844" t="s">
        <v>26</v>
      </c>
      <c r="B1844" s="1" t="str">
        <f>HYPERLINK("http://allianz-fenzlein.de","allianz-fenzlein.de")</f>
        <v>allianz-fenzlein.de</v>
      </c>
      <c r="C1844" t="s">
        <v>436</v>
      </c>
      <c r="D1844" t="s">
        <v>815</v>
      </c>
      <c r="J1844">
        <v>4</v>
      </c>
    </row>
    <row r="1845" spans="1:10" x14ac:dyDescent="0.25">
      <c r="A1845" t="s">
        <v>26</v>
      </c>
      <c r="B1845" s="1" t="str">
        <f>HYPERLINK("http://allianz-frankbraun.de","allianz-frankbraun.de")</f>
        <v>allianz-frankbraun.de</v>
      </c>
      <c r="C1845" t="s">
        <v>436</v>
      </c>
      <c r="D1845" t="s">
        <v>815</v>
      </c>
      <c r="F1845">
        <v>4.5082357550484798E-9</v>
      </c>
      <c r="G1845">
        <v>57762506</v>
      </c>
      <c r="H1845">
        <v>10841245</v>
      </c>
      <c r="I1845">
        <v>37099121</v>
      </c>
      <c r="J1845">
        <v>4</v>
      </c>
    </row>
    <row r="1846" spans="1:10" x14ac:dyDescent="0.25">
      <c r="A1846" t="s">
        <v>26</v>
      </c>
      <c r="B1846" s="1" t="str">
        <f>HYPERLINK("http://allianz-furchert.de","allianz-furchert.de")</f>
        <v>allianz-furchert.de</v>
      </c>
      <c r="C1846" t="s">
        <v>436</v>
      </c>
      <c r="D1846" t="s">
        <v>815</v>
      </c>
      <c r="J1846">
        <v>4</v>
      </c>
    </row>
    <row r="1847" spans="1:10" x14ac:dyDescent="0.25">
      <c r="A1847" t="s">
        <v>26</v>
      </c>
      <c r="B1847" s="1" t="str">
        <f>HYPERLINK("http://allianz-gruber.de","allianz-gruber.de")</f>
        <v>allianz-gruber.de</v>
      </c>
      <c r="C1847" t="s">
        <v>436</v>
      </c>
      <c r="D1847" t="s">
        <v>815</v>
      </c>
      <c r="F1847">
        <v>4.44380395335525E-9</v>
      </c>
      <c r="G1847">
        <v>84235921</v>
      </c>
      <c r="H1847">
        <v>0</v>
      </c>
      <c r="I1847">
        <v>85249576</v>
      </c>
      <c r="J1847">
        <v>4</v>
      </c>
    </row>
    <row r="1848" spans="1:10" x14ac:dyDescent="0.25">
      <c r="A1848" t="s">
        <v>26</v>
      </c>
      <c r="B1848" s="1" t="str">
        <f>HYPERLINK("http://allianz-haderlein.de","allianz-haderlein.de")</f>
        <v>allianz-haderlein.de</v>
      </c>
      <c r="C1848" t="s">
        <v>436</v>
      </c>
      <c r="D1848" t="s">
        <v>815</v>
      </c>
      <c r="F1848">
        <v>7.6685528497540408E-9</v>
      </c>
      <c r="G1848">
        <v>10646699</v>
      </c>
      <c r="H1848">
        <v>12138428</v>
      </c>
      <c r="I1848">
        <v>24912628</v>
      </c>
      <c r="J1848">
        <v>4</v>
      </c>
    </row>
    <row r="1849" spans="1:10" x14ac:dyDescent="0.25">
      <c r="A1849" t="s">
        <v>26</v>
      </c>
      <c r="B1849" s="1" t="str">
        <f>HYPERLINK("http://allianz-handwerker.de","allianz-handwerker.de")</f>
        <v>allianz-handwerker.de</v>
      </c>
      <c r="C1849" t="s">
        <v>436</v>
      </c>
      <c r="D1849" t="s">
        <v>815</v>
      </c>
      <c r="F1849">
        <v>2.1420554829844499E-8</v>
      </c>
      <c r="G1849">
        <v>2459104</v>
      </c>
      <c r="H1849">
        <v>13166080</v>
      </c>
      <c r="I1849">
        <v>11739869</v>
      </c>
      <c r="J1849">
        <v>3</v>
      </c>
    </row>
    <row r="1850" spans="1:10" x14ac:dyDescent="0.25">
      <c r="A1850" t="s">
        <v>26</v>
      </c>
      <c r="B1850" s="1" t="str">
        <f>HYPERLINK("http://allianz-heikostreit.de","allianz-heikostreit.de")</f>
        <v>allianz-heikostreit.de</v>
      </c>
      <c r="C1850" t="s">
        <v>436</v>
      </c>
      <c r="D1850" t="s">
        <v>815</v>
      </c>
      <c r="F1850">
        <v>4.7600190416616501E-9</v>
      </c>
      <c r="G1850">
        <v>37821301</v>
      </c>
      <c r="H1850">
        <v>10842650</v>
      </c>
      <c r="I1850">
        <v>37046188</v>
      </c>
      <c r="J1850">
        <v>4</v>
      </c>
    </row>
    <row r="1851" spans="1:10" x14ac:dyDescent="0.25">
      <c r="A1851" t="s">
        <v>26</v>
      </c>
      <c r="B1851" s="1" t="str">
        <f>HYPERLINK("http://allianz-hopfe.de","allianz-hopfe.de")</f>
        <v>allianz-hopfe.de</v>
      </c>
      <c r="C1851" t="s">
        <v>436</v>
      </c>
      <c r="D1851" t="s">
        <v>815</v>
      </c>
      <c r="J1851">
        <v>4</v>
      </c>
    </row>
    <row r="1852" spans="1:10" x14ac:dyDescent="0.25">
      <c r="A1852" t="s">
        <v>26</v>
      </c>
      <c r="B1852" s="1" t="str">
        <f>HYPERLINK("http://allianz-jauchstetter.de","allianz-jauchstetter.de")</f>
        <v>allianz-jauchstetter.de</v>
      </c>
      <c r="C1852" t="s">
        <v>436</v>
      </c>
      <c r="D1852" t="s">
        <v>815</v>
      </c>
      <c r="F1852">
        <v>4.6177916975036204E-9</v>
      </c>
      <c r="G1852">
        <v>46288954</v>
      </c>
      <c r="H1852">
        <v>11974590</v>
      </c>
      <c r="I1852">
        <v>28578554</v>
      </c>
      <c r="J1852">
        <v>4</v>
      </c>
    </row>
    <row r="1853" spans="1:10" x14ac:dyDescent="0.25">
      <c r="A1853" t="s">
        <v>26</v>
      </c>
      <c r="B1853" s="1" t="str">
        <f>HYPERLINK("http://allianz-kammerbauer.de","allianz-kammerbauer.de")</f>
        <v>allianz-kammerbauer.de</v>
      </c>
      <c r="C1853" t="s">
        <v>436</v>
      </c>
      <c r="D1853" t="s">
        <v>815</v>
      </c>
      <c r="J1853">
        <v>4</v>
      </c>
    </row>
    <row r="1854" spans="1:10" x14ac:dyDescent="0.25">
      <c r="A1854" t="s">
        <v>26</v>
      </c>
      <c r="B1854" s="1" t="str">
        <f>HYPERLINK("http://allianz-kolepka.de","allianz-kolepka.de")</f>
        <v>allianz-kolepka.de</v>
      </c>
      <c r="C1854" t="s">
        <v>436</v>
      </c>
      <c r="D1854" t="s">
        <v>815</v>
      </c>
      <c r="F1854">
        <v>9.11917002686028E-9</v>
      </c>
      <c r="G1854">
        <v>7820512</v>
      </c>
      <c r="H1854">
        <v>12840351</v>
      </c>
      <c r="I1854">
        <v>14348342</v>
      </c>
      <c r="J1854">
        <v>4</v>
      </c>
    </row>
    <row r="1855" spans="1:10" x14ac:dyDescent="0.25">
      <c r="A1855" t="s">
        <v>26</v>
      </c>
      <c r="B1855" s="1" t="str">
        <f>HYPERLINK("http://allianz-kosmider.de","allianz-kosmider.de")</f>
        <v>allianz-kosmider.de</v>
      </c>
      <c r="C1855" t="s">
        <v>436</v>
      </c>
      <c r="D1855" t="s">
        <v>815</v>
      </c>
      <c r="J1855">
        <v>4</v>
      </c>
    </row>
    <row r="1856" spans="1:10" x14ac:dyDescent="0.25">
      <c r="A1856" t="s">
        <v>26</v>
      </c>
      <c r="B1856" s="1" t="str">
        <f>HYPERLINK("http://allianz-krause.de","allianz-krause.de")</f>
        <v>allianz-krause.de</v>
      </c>
      <c r="C1856" t="s">
        <v>436</v>
      </c>
      <c r="D1856" t="s">
        <v>815</v>
      </c>
      <c r="F1856">
        <v>4.6176936603867204E-9</v>
      </c>
      <c r="G1856">
        <v>46296081</v>
      </c>
      <c r="H1856">
        <v>9424139</v>
      </c>
      <c r="I1856">
        <v>66909077</v>
      </c>
      <c r="J1856">
        <v>4</v>
      </c>
    </row>
    <row r="1857" spans="1:10" x14ac:dyDescent="0.25">
      <c r="A1857" t="s">
        <v>26</v>
      </c>
      <c r="B1857" s="1" t="str">
        <f>HYPERLINK("http://allianz-leibold.de","allianz-leibold.de")</f>
        <v>allianz-leibold.de</v>
      </c>
      <c r="C1857" t="s">
        <v>436</v>
      </c>
      <c r="D1857" t="s">
        <v>815</v>
      </c>
      <c r="F1857">
        <v>7.6723861389135702E-9</v>
      </c>
      <c r="G1857">
        <v>10638889</v>
      </c>
      <c r="H1857">
        <v>12138471</v>
      </c>
      <c r="I1857">
        <v>24911766</v>
      </c>
      <c r="J1857">
        <v>4</v>
      </c>
    </row>
    <row r="1858" spans="1:10" x14ac:dyDescent="0.25">
      <c r="A1858" t="s">
        <v>26</v>
      </c>
      <c r="B1858" s="1" t="str">
        <f>HYPERLINK("http://allianz-lena-lux.de","allianz-lena-lux.de")</f>
        <v>allianz-lena-lux.de</v>
      </c>
      <c r="C1858" t="s">
        <v>436</v>
      </c>
      <c r="D1858" t="s">
        <v>815</v>
      </c>
      <c r="J1858">
        <v>4</v>
      </c>
    </row>
    <row r="1859" spans="1:10" x14ac:dyDescent="0.25">
      <c r="A1859" t="s">
        <v>26</v>
      </c>
      <c r="B1859" s="1" t="str">
        <f>HYPERLINK("http://allianz-lerche.de","allianz-lerche.de")</f>
        <v>allianz-lerche.de</v>
      </c>
      <c r="C1859" t="s">
        <v>436</v>
      </c>
      <c r="D1859" t="s">
        <v>815</v>
      </c>
      <c r="F1859">
        <v>7.6685528497540408E-9</v>
      </c>
      <c r="G1859">
        <v>10646722</v>
      </c>
      <c r="H1859">
        <v>12138428</v>
      </c>
      <c r="I1859">
        <v>24912664</v>
      </c>
      <c r="J1859">
        <v>4</v>
      </c>
    </row>
    <row r="1860" spans="1:10" x14ac:dyDescent="0.25">
      <c r="A1860" t="s">
        <v>26</v>
      </c>
      <c r="B1860" s="1" t="str">
        <f>HYPERLINK("http://allianz-maikgey.de","allianz-maikgey.de")</f>
        <v>allianz-maikgey.de</v>
      </c>
      <c r="C1860" t="s">
        <v>436</v>
      </c>
      <c r="D1860" t="s">
        <v>815</v>
      </c>
      <c r="J1860">
        <v>4</v>
      </c>
    </row>
    <row r="1861" spans="1:10" x14ac:dyDescent="0.25">
      <c r="A1861" t="s">
        <v>26</v>
      </c>
      <c r="B1861" s="1" t="str">
        <f>HYPERLINK("http://allianz-mesaric.de","allianz-mesaric.de")</f>
        <v>allianz-mesaric.de</v>
      </c>
      <c r="C1861" t="s">
        <v>436</v>
      </c>
      <c r="D1861" t="s">
        <v>815</v>
      </c>
      <c r="J1861">
        <v>4</v>
      </c>
    </row>
    <row r="1862" spans="1:10" x14ac:dyDescent="0.25">
      <c r="A1862" t="s">
        <v>26</v>
      </c>
      <c r="B1862" s="1" t="str">
        <f>HYPERLINK("http://allianz-munzig.de","allianz-munzig.de")</f>
        <v>allianz-munzig.de</v>
      </c>
      <c r="C1862" t="s">
        <v>436</v>
      </c>
      <c r="D1862" t="s">
        <v>815</v>
      </c>
      <c r="J1862">
        <v>4</v>
      </c>
    </row>
    <row r="1863" spans="1:10" x14ac:dyDescent="0.25">
      <c r="A1863" t="s">
        <v>26</v>
      </c>
      <c r="B1863" s="1" t="str">
        <f>HYPERLINK("http://allianz-naegelein.de","allianz-naegelein.de")</f>
        <v>allianz-naegelein.de</v>
      </c>
      <c r="C1863" t="s">
        <v>436</v>
      </c>
      <c r="D1863" t="s">
        <v>815</v>
      </c>
      <c r="F1863">
        <v>4.4516413779338303E-9</v>
      </c>
      <c r="G1863">
        <v>71057558</v>
      </c>
      <c r="H1863">
        <v>8556541</v>
      </c>
      <c r="I1863">
        <v>71279186</v>
      </c>
      <c r="J1863">
        <v>4</v>
      </c>
    </row>
    <row r="1864" spans="1:10" x14ac:dyDescent="0.25">
      <c r="A1864" t="s">
        <v>26</v>
      </c>
      <c r="B1864" s="1" t="str">
        <f>HYPERLINK("http://allianz-nicoletti.de","allianz-nicoletti.de")</f>
        <v>allianz-nicoletti.de</v>
      </c>
      <c r="C1864" t="s">
        <v>436</v>
      </c>
      <c r="D1864" t="s">
        <v>815</v>
      </c>
      <c r="F1864">
        <v>4.5258732987852998E-9</v>
      </c>
      <c r="G1864">
        <v>55516707</v>
      </c>
      <c r="H1864">
        <v>10011767</v>
      </c>
      <c r="I1864">
        <v>60740781</v>
      </c>
      <c r="J1864">
        <v>4</v>
      </c>
    </row>
    <row r="1865" spans="1:10" x14ac:dyDescent="0.25">
      <c r="A1865" t="s">
        <v>26</v>
      </c>
      <c r="B1865" s="1" t="str">
        <f>HYPERLINK("http://allianz-ortung.de","allianz-ortung.de")</f>
        <v>allianz-ortung.de</v>
      </c>
      <c r="C1865" t="s">
        <v>436</v>
      </c>
      <c r="D1865" t="s">
        <v>815</v>
      </c>
      <c r="F1865">
        <v>4.4692170131410899E-9</v>
      </c>
      <c r="G1865">
        <v>64753843</v>
      </c>
      <c r="H1865">
        <v>10773958</v>
      </c>
      <c r="I1865">
        <v>39106744</v>
      </c>
      <c r="J1865">
        <v>3</v>
      </c>
    </row>
    <row r="1866" spans="1:10" x14ac:dyDescent="0.25">
      <c r="A1866" t="s">
        <v>26</v>
      </c>
      <c r="B1866" s="1" t="str">
        <f>HYPERLINK("http://allianz-partners.de","allianz-partners.de")</f>
        <v>allianz-partners.de</v>
      </c>
      <c r="C1866" t="s">
        <v>436</v>
      </c>
      <c r="D1866" t="s">
        <v>815</v>
      </c>
      <c r="F1866">
        <v>5.8052538887694998E-8</v>
      </c>
      <c r="G1866">
        <v>766814</v>
      </c>
      <c r="H1866">
        <v>12530299</v>
      </c>
      <c r="I1866">
        <v>17031721</v>
      </c>
      <c r="J1866">
        <v>6</v>
      </c>
    </row>
    <row r="1867" spans="1:10" x14ac:dyDescent="0.25">
      <c r="A1867" t="s">
        <v>26</v>
      </c>
      <c r="B1867" s="1" t="str">
        <f>HYPERLINK("http://allianz-pelz.de","allianz-pelz.de")</f>
        <v>allianz-pelz.de</v>
      </c>
      <c r="C1867" t="s">
        <v>436</v>
      </c>
      <c r="D1867" t="s">
        <v>815</v>
      </c>
      <c r="F1867">
        <v>4.44380395335525E-9</v>
      </c>
      <c r="G1867">
        <v>84236023</v>
      </c>
      <c r="H1867">
        <v>0</v>
      </c>
      <c r="I1867">
        <v>85249682</v>
      </c>
      <c r="J1867">
        <v>4</v>
      </c>
    </row>
    <row r="1868" spans="1:10" x14ac:dyDescent="0.25">
      <c r="A1868" t="s">
        <v>26</v>
      </c>
      <c r="B1868" s="1" t="str">
        <f>HYPERLINK("http://allianz-poller.de","allianz-poller.de")</f>
        <v>allianz-poller.de</v>
      </c>
      <c r="C1868" t="s">
        <v>436</v>
      </c>
      <c r="D1868" t="s">
        <v>815</v>
      </c>
      <c r="J1868">
        <v>4</v>
      </c>
    </row>
    <row r="1869" spans="1:10" x14ac:dyDescent="0.25">
      <c r="A1869" t="s">
        <v>26</v>
      </c>
      <c r="B1869" s="1" t="str">
        <f>HYPERLINK("http://allianz-profi.de","allianz-profi.de")</f>
        <v>allianz-profi.de</v>
      </c>
      <c r="C1869" t="s">
        <v>436</v>
      </c>
      <c r="D1869" t="s">
        <v>815</v>
      </c>
      <c r="F1869">
        <v>6.7383886202675797E-9</v>
      </c>
      <c r="G1869">
        <v>13168418</v>
      </c>
      <c r="H1869">
        <v>12482470</v>
      </c>
      <c r="I1869">
        <v>17576517</v>
      </c>
      <c r="J1869">
        <v>3</v>
      </c>
    </row>
    <row r="1870" spans="1:10" x14ac:dyDescent="0.25">
      <c r="A1870" t="s">
        <v>26</v>
      </c>
      <c r="B1870" s="1" t="str">
        <f>HYPERLINK("http://allianz-rellecke.de","allianz-rellecke.de")</f>
        <v>allianz-rellecke.de</v>
      </c>
      <c r="C1870" t="s">
        <v>436</v>
      </c>
      <c r="D1870" t="s">
        <v>815</v>
      </c>
      <c r="F1870">
        <v>4.6624842471843098E-9</v>
      </c>
      <c r="G1870">
        <v>43371403</v>
      </c>
      <c r="H1870">
        <v>10676954</v>
      </c>
      <c r="I1870">
        <v>42814253</v>
      </c>
      <c r="J1870">
        <v>4</v>
      </c>
    </row>
    <row r="1871" spans="1:10" x14ac:dyDescent="0.25">
      <c r="A1871" t="s">
        <v>26</v>
      </c>
      <c r="B1871" s="1" t="str">
        <f>HYPERLINK("http://allianz-robin-lenz.de","allianz-robin-lenz.de")</f>
        <v>allianz-robin-lenz.de</v>
      </c>
      <c r="C1871" t="s">
        <v>436</v>
      </c>
      <c r="D1871" t="s">
        <v>815</v>
      </c>
      <c r="F1871">
        <v>4.44380395335525E-9</v>
      </c>
      <c r="G1871">
        <v>84236044</v>
      </c>
      <c r="H1871">
        <v>0</v>
      </c>
      <c r="I1871">
        <v>85249704</v>
      </c>
      <c r="J1871">
        <v>4</v>
      </c>
    </row>
    <row r="1872" spans="1:10" x14ac:dyDescent="0.25">
      <c r="A1872" t="s">
        <v>26</v>
      </c>
      <c r="B1872" s="1" t="str">
        <f>HYPERLINK("http://allianz-rockel.de","allianz-rockel.de")</f>
        <v>allianz-rockel.de</v>
      </c>
      <c r="C1872" t="s">
        <v>436</v>
      </c>
      <c r="D1872" t="s">
        <v>815</v>
      </c>
      <c r="J1872">
        <v>4</v>
      </c>
    </row>
    <row r="1873" spans="1:10" x14ac:dyDescent="0.25">
      <c r="A1873" t="s">
        <v>26</v>
      </c>
      <c r="B1873" s="1" t="str">
        <f>HYPERLINK("http://allianz-ruesseler-marpe.de","allianz-ruesseler-marpe.de")</f>
        <v>allianz-ruesseler-marpe.de</v>
      </c>
      <c r="C1873" t="s">
        <v>436</v>
      </c>
      <c r="D1873" t="s">
        <v>815</v>
      </c>
      <c r="J1873">
        <v>4</v>
      </c>
    </row>
    <row r="1874" spans="1:10" x14ac:dyDescent="0.25">
      <c r="A1874" t="s">
        <v>26</v>
      </c>
      <c r="B1874" s="1" t="str">
        <f>HYPERLINK("http://allianz-sachsse.de","allianz-sachsse.de")</f>
        <v>allianz-sachsse.de</v>
      </c>
      <c r="C1874" t="s">
        <v>436</v>
      </c>
      <c r="D1874" t="s">
        <v>815</v>
      </c>
      <c r="J1874">
        <v>4</v>
      </c>
    </row>
    <row r="1875" spans="1:10" x14ac:dyDescent="0.25">
      <c r="A1875" t="s">
        <v>26</v>
      </c>
      <c r="B1875" s="1" t="str">
        <f>HYPERLINK("http://allianz-schkeuditz-lange.de","allianz-schkeuditz-lange.de")</f>
        <v>allianz-schkeuditz-lange.de</v>
      </c>
      <c r="C1875" t="s">
        <v>436</v>
      </c>
      <c r="D1875" t="s">
        <v>815</v>
      </c>
      <c r="J1875">
        <v>4</v>
      </c>
    </row>
    <row r="1876" spans="1:10" x14ac:dyDescent="0.25">
      <c r="A1876" t="s">
        <v>26</v>
      </c>
      <c r="B1876" s="1" t="str">
        <f>HYPERLINK("http://allianz-sigloch.de","allianz-sigloch.de")</f>
        <v>allianz-sigloch.de</v>
      </c>
      <c r="C1876" t="s">
        <v>436</v>
      </c>
      <c r="D1876" t="s">
        <v>815</v>
      </c>
      <c r="F1876">
        <v>4.7389117304227999E-9</v>
      </c>
      <c r="G1876">
        <v>38853914</v>
      </c>
      <c r="H1876">
        <v>9703103</v>
      </c>
      <c r="I1876">
        <v>63341831</v>
      </c>
      <c r="J1876">
        <v>4</v>
      </c>
    </row>
    <row r="1877" spans="1:10" x14ac:dyDescent="0.25">
      <c r="A1877" t="s">
        <v>26</v>
      </c>
      <c r="B1877" s="1" t="str">
        <f>HYPERLINK("http://allianz-stegemann.de","allianz-stegemann.de")</f>
        <v>allianz-stegemann.de</v>
      </c>
      <c r="C1877" t="s">
        <v>436</v>
      </c>
      <c r="D1877" t="s">
        <v>815</v>
      </c>
      <c r="J1877">
        <v>4</v>
      </c>
    </row>
    <row r="1878" spans="1:10" x14ac:dyDescent="0.25">
      <c r="A1878" t="s">
        <v>26</v>
      </c>
      <c r="B1878" s="1" t="str">
        <f>HYPERLINK("http://allianz-subgang.de","allianz-subgang.de")</f>
        <v>allianz-subgang.de</v>
      </c>
      <c r="C1878" t="s">
        <v>436</v>
      </c>
      <c r="D1878" t="s">
        <v>815</v>
      </c>
      <c r="J1878">
        <v>4</v>
      </c>
    </row>
    <row r="1879" spans="1:10" x14ac:dyDescent="0.25">
      <c r="A1879" t="s">
        <v>26</v>
      </c>
      <c r="B1879" s="1" t="str">
        <f>HYPERLINK("http://allianz-tchanra.de","allianz-tchanra.de")</f>
        <v>allianz-tchanra.de</v>
      </c>
      <c r="C1879" t="s">
        <v>436</v>
      </c>
      <c r="D1879" t="s">
        <v>815</v>
      </c>
      <c r="F1879">
        <v>7.8028797061503693E-9</v>
      </c>
      <c r="G1879">
        <v>10313911</v>
      </c>
      <c r="H1879">
        <v>12138628</v>
      </c>
      <c r="I1879">
        <v>24907959</v>
      </c>
      <c r="J1879">
        <v>4</v>
      </c>
    </row>
    <row r="1880" spans="1:10" x14ac:dyDescent="0.25">
      <c r="A1880" t="s">
        <v>26</v>
      </c>
      <c r="B1880" s="1" t="str">
        <f>HYPERLINK("http://allianz-trade.de","allianz-trade.de")</f>
        <v>allianz-trade.de</v>
      </c>
      <c r="C1880" t="s">
        <v>436</v>
      </c>
      <c r="D1880" t="s">
        <v>815</v>
      </c>
      <c r="F1880">
        <v>1.8019672557954801E-7</v>
      </c>
      <c r="G1880">
        <v>214410</v>
      </c>
      <c r="H1880">
        <v>13678685</v>
      </c>
      <c r="I1880">
        <v>9536907</v>
      </c>
      <c r="J1880">
        <v>6</v>
      </c>
    </row>
    <row r="1881" spans="1:10" x14ac:dyDescent="0.25">
      <c r="A1881" t="s">
        <v>26</v>
      </c>
      <c r="B1881" s="1" t="str">
        <f>HYPERLINK("http://allianz-versicherungsvertreter.de","allianz-versicherungsvertreter.de")</f>
        <v>allianz-versicherungsvertreter.de</v>
      </c>
      <c r="C1881" t="s">
        <v>436</v>
      </c>
      <c r="D1881" t="s">
        <v>815</v>
      </c>
      <c r="F1881">
        <v>1.06613116679132E-8</v>
      </c>
      <c r="G1881">
        <v>6132119</v>
      </c>
      <c r="H1881">
        <v>12148272</v>
      </c>
      <c r="I1881">
        <v>24670754</v>
      </c>
      <c r="J1881">
        <v>4</v>
      </c>
    </row>
    <row r="1882" spans="1:10" x14ac:dyDescent="0.25">
      <c r="A1882" t="s">
        <v>26</v>
      </c>
      <c r="B1882" s="1" t="str">
        <f>HYPERLINK("http://allianz-vertrieb.de","allianz-vertrieb.de")</f>
        <v>allianz-vertrieb.de</v>
      </c>
      <c r="C1882" t="s">
        <v>436</v>
      </c>
      <c r="D1882" t="s">
        <v>815</v>
      </c>
      <c r="F1882">
        <v>8.5559099735621295E-8</v>
      </c>
      <c r="G1882">
        <v>481632</v>
      </c>
      <c r="H1882">
        <v>12558199</v>
      </c>
      <c r="I1882">
        <v>16736596</v>
      </c>
      <c r="J1882">
        <v>4</v>
      </c>
    </row>
    <row r="1883" spans="1:10" x14ac:dyDescent="0.25">
      <c r="A1883" t="s">
        <v>26</v>
      </c>
      <c r="B1883" s="1" t="str">
        <f>HYPERLINK("http://allianz-vierlinger.de","allianz-vierlinger.de")</f>
        <v>allianz-vierlinger.de</v>
      </c>
      <c r="C1883" t="s">
        <v>436</v>
      </c>
      <c r="D1883" t="s">
        <v>815</v>
      </c>
      <c r="F1883">
        <v>4.7914979756193598E-9</v>
      </c>
      <c r="G1883">
        <v>36427063</v>
      </c>
      <c r="H1883">
        <v>8506536</v>
      </c>
      <c r="I1883">
        <v>71976309</v>
      </c>
      <c r="J1883">
        <v>4</v>
      </c>
    </row>
    <row r="1884" spans="1:10" x14ac:dyDescent="0.25">
      <c r="A1884" t="s">
        <v>26</v>
      </c>
      <c r="B1884" s="1" t="str">
        <f>HYPERLINK("http://allianz-vonminden.de","allianz-vonminden.de")</f>
        <v>allianz-vonminden.de</v>
      </c>
      <c r="C1884" t="s">
        <v>436</v>
      </c>
      <c r="D1884" t="s">
        <v>815</v>
      </c>
      <c r="J1884">
        <v>4</v>
      </c>
    </row>
    <row r="1885" spans="1:10" x14ac:dyDescent="0.25">
      <c r="A1885" t="s">
        <v>26</v>
      </c>
      <c r="B1885" s="1" t="str">
        <f>HYPERLINK("http://allianz-weissig-richter.de","allianz-weissig-richter.de")</f>
        <v>allianz-weissig-richter.de</v>
      </c>
      <c r="C1885" t="s">
        <v>436</v>
      </c>
      <c r="D1885" t="s">
        <v>815</v>
      </c>
      <c r="J1885">
        <v>4</v>
      </c>
    </row>
    <row r="1886" spans="1:10" x14ac:dyDescent="0.25">
      <c r="A1886" t="s">
        <v>26</v>
      </c>
      <c r="B1886" s="1" t="str">
        <f>HYPERLINK("http://allianz-zahn.de","allianz-zahn.de")</f>
        <v>allianz-zahn.de</v>
      </c>
      <c r="C1886" t="s">
        <v>436</v>
      </c>
      <c r="D1886" t="s">
        <v>815</v>
      </c>
      <c r="J1886">
        <v>4</v>
      </c>
    </row>
    <row r="1887" spans="1:10" x14ac:dyDescent="0.25">
      <c r="A1887" t="s">
        <v>26</v>
      </c>
      <c r="B1887" s="1" t="str">
        <f>HYPERLINK("http://allianz-zalder.de","allianz-zalder.de")</f>
        <v>allianz-zalder.de</v>
      </c>
      <c r="C1887" t="s">
        <v>436</v>
      </c>
      <c r="D1887" t="s">
        <v>815</v>
      </c>
      <c r="F1887">
        <v>7.6685528497540408E-9</v>
      </c>
      <c r="G1887">
        <v>10646753</v>
      </c>
      <c r="H1887">
        <v>12138428</v>
      </c>
      <c r="I1887">
        <v>24912714</v>
      </c>
      <c r="J1887">
        <v>4</v>
      </c>
    </row>
    <row r="1888" spans="1:10" x14ac:dyDescent="0.25">
      <c r="A1888" t="s">
        <v>26</v>
      </c>
      <c r="B1888" s="1" t="str">
        <f>HYPERLINK("http://allianz-zitzmann.de","allianz-zitzmann.de")</f>
        <v>allianz-zitzmann.de</v>
      </c>
      <c r="C1888" t="s">
        <v>436</v>
      </c>
      <c r="D1888" t="s">
        <v>815</v>
      </c>
      <c r="F1888">
        <v>4.44380395335525E-9</v>
      </c>
      <c r="G1888">
        <v>84236114</v>
      </c>
      <c r="H1888">
        <v>0</v>
      </c>
      <c r="I1888">
        <v>85249782</v>
      </c>
      <c r="J1888">
        <v>4</v>
      </c>
    </row>
    <row r="1889" spans="1:10" x14ac:dyDescent="0.25">
      <c r="A1889" t="s">
        <v>26</v>
      </c>
      <c r="B1889" s="1" t="str">
        <f>HYPERLINK("http://allianz-zschiesche.de","allianz-zschiesche.de")</f>
        <v>allianz-zschiesche.de</v>
      </c>
      <c r="C1889" t="s">
        <v>436</v>
      </c>
      <c r="D1889" t="s">
        <v>815</v>
      </c>
      <c r="J1889">
        <v>4</v>
      </c>
    </row>
    <row r="1890" spans="1:10" x14ac:dyDescent="0.25">
      <c r="A1890" t="s">
        <v>26</v>
      </c>
      <c r="B1890" s="1" t="str">
        <f>HYPERLINK("http://allianzdeutschland.de","allianzdeutschland.de")</f>
        <v>allianzdeutschland.de</v>
      </c>
      <c r="C1890" t="s">
        <v>436</v>
      </c>
      <c r="D1890" t="s">
        <v>815</v>
      </c>
      <c r="F1890">
        <v>9.1849031205931998E-8</v>
      </c>
      <c r="G1890">
        <v>443485</v>
      </c>
      <c r="H1890">
        <v>14506537</v>
      </c>
      <c r="I1890">
        <v>833130</v>
      </c>
      <c r="J1890">
        <v>3</v>
      </c>
    </row>
    <row r="1891" spans="1:10" x14ac:dyDescent="0.25">
      <c r="A1891" t="s">
        <v>26</v>
      </c>
      <c r="B1891" s="1" t="str">
        <f>HYPERLINK("http://allianzdirect.de","allianzdirect.de")</f>
        <v>allianzdirect.de</v>
      </c>
      <c r="C1891" t="s">
        <v>436</v>
      </c>
      <c r="D1891" t="s">
        <v>815</v>
      </c>
      <c r="E1891">
        <v>189935</v>
      </c>
      <c r="F1891">
        <v>1.4086677957121999E-7</v>
      </c>
      <c r="G1891">
        <v>276499</v>
      </c>
      <c r="H1891">
        <v>14289656</v>
      </c>
      <c r="I1891">
        <v>1367061</v>
      </c>
      <c r="J1891">
        <v>4</v>
      </c>
    </row>
    <row r="1892" spans="1:10" x14ac:dyDescent="0.25">
      <c r="A1892" t="s">
        <v>26</v>
      </c>
      <c r="B1892" s="1" t="str">
        <f>HYPERLINK("http://allianzpp.de","allianzpp.de")</f>
        <v>allianzpp.de</v>
      </c>
      <c r="C1892" t="s">
        <v>436</v>
      </c>
      <c r="D1892" t="s">
        <v>815</v>
      </c>
      <c r="F1892">
        <v>4.4564528639474099E-9</v>
      </c>
      <c r="G1892">
        <v>68947062</v>
      </c>
      <c r="H1892">
        <v>9676196</v>
      </c>
      <c r="I1892">
        <v>63670838</v>
      </c>
      <c r="J1892">
        <v>3</v>
      </c>
    </row>
    <row r="1893" spans="1:10" x14ac:dyDescent="0.25">
      <c r="A1893" t="s">
        <v>26</v>
      </c>
      <c r="B1893" s="1" t="str">
        <f>HYPERLINK("http://allsecur.de","allsecur.de")</f>
        <v>allsecur.de</v>
      </c>
      <c r="C1893" t="s">
        <v>436</v>
      </c>
      <c r="D1893" t="s">
        <v>815</v>
      </c>
      <c r="E1893">
        <v>919791</v>
      </c>
      <c r="F1893">
        <v>3.3683015901075303E-8</v>
      </c>
      <c r="G1893">
        <v>1535678</v>
      </c>
      <c r="H1893">
        <v>14018071</v>
      </c>
      <c r="I1893">
        <v>3992088</v>
      </c>
      <c r="J1893">
        <v>4</v>
      </c>
    </row>
    <row r="1894" spans="1:10" x14ac:dyDescent="0.25">
      <c r="A1894" t="s">
        <v>26</v>
      </c>
      <c r="B1894" s="1" t="str">
        <f>HYPERLINK("http://alt-heliservice.de","alt-heliservice.de")</f>
        <v>alt-heliservice.de</v>
      </c>
      <c r="C1894" t="s">
        <v>436</v>
      </c>
      <c r="D1894" t="s">
        <v>815</v>
      </c>
      <c r="F1894">
        <v>7.7947553337300806E-9</v>
      </c>
      <c r="G1894">
        <v>10334292</v>
      </c>
      <c r="H1894">
        <v>13124959</v>
      </c>
      <c r="I1894">
        <v>11962774</v>
      </c>
      <c r="J1894">
        <v>7</v>
      </c>
    </row>
    <row r="1895" spans="1:10" x14ac:dyDescent="0.25">
      <c r="A1895" t="s">
        <v>26</v>
      </c>
      <c r="B1895" s="1" t="str">
        <f>HYPERLINK("http://art-invest.de","art-invest.de")</f>
        <v>art-invest.de</v>
      </c>
      <c r="C1895" t="s">
        <v>436</v>
      </c>
      <c r="D1895" t="s">
        <v>815</v>
      </c>
      <c r="E1895">
        <v>726764</v>
      </c>
      <c r="F1895">
        <v>9.24740040766737E-8</v>
      </c>
      <c r="G1895">
        <v>440066</v>
      </c>
      <c r="H1895">
        <v>14113730</v>
      </c>
      <c r="I1895">
        <v>2666756</v>
      </c>
      <c r="J1895">
        <v>3</v>
      </c>
    </row>
    <row r="1896" spans="1:10" x14ac:dyDescent="0.25">
      <c r="A1896" t="s">
        <v>26</v>
      </c>
      <c r="B1896" s="1" t="str">
        <f>HYPERLINK("http://avs-automotive.de","avs-automotive.de")</f>
        <v>avs-automotive.de</v>
      </c>
      <c r="C1896" t="s">
        <v>436</v>
      </c>
      <c r="D1896" t="s">
        <v>815</v>
      </c>
      <c r="F1896">
        <v>4.0892195033042602E-8</v>
      </c>
      <c r="G1896">
        <v>1268275</v>
      </c>
      <c r="H1896">
        <v>12088797</v>
      </c>
      <c r="I1896">
        <v>26285849</v>
      </c>
      <c r="J1896">
        <v>3</v>
      </c>
    </row>
    <row r="1897" spans="1:10" x14ac:dyDescent="0.25">
      <c r="A1897" t="s">
        <v>26</v>
      </c>
      <c r="B1897" s="1" t="str">
        <f>HYPERLINK("http://caverion.de","caverion.de")</f>
        <v>caverion.de</v>
      </c>
      <c r="C1897" t="s">
        <v>436</v>
      </c>
      <c r="D1897" t="s">
        <v>815</v>
      </c>
      <c r="F1897">
        <v>3.8779842700275102E-8</v>
      </c>
      <c r="G1897">
        <v>1329524</v>
      </c>
      <c r="H1897">
        <v>13264040</v>
      </c>
      <c r="I1897">
        <v>11019136</v>
      </c>
      <c r="J1897">
        <v>6</v>
      </c>
    </row>
    <row r="1898" spans="1:10" x14ac:dyDescent="0.25">
      <c r="A1898" t="s">
        <v>26</v>
      </c>
      <c r="B1898" s="1" t="str">
        <f>HYPERLINK("http://christoph16.de","christoph16.de")</f>
        <v>christoph16.de</v>
      </c>
      <c r="C1898" t="s">
        <v>436</v>
      </c>
      <c r="D1898" t="s">
        <v>815</v>
      </c>
      <c r="F1898">
        <v>7.26436161331799E-9</v>
      </c>
      <c r="G1898">
        <v>11568183</v>
      </c>
      <c r="H1898">
        <v>12769752</v>
      </c>
      <c r="I1898">
        <v>14843099</v>
      </c>
      <c r="J1898">
        <v>8</v>
      </c>
    </row>
    <row r="1899" spans="1:10" x14ac:dyDescent="0.25">
      <c r="A1899" t="s">
        <v>26</v>
      </c>
      <c r="B1899" s="1" t="str">
        <f>HYPERLINK("http://christoph77.de","christoph77.de")</f>
        <v>christoph77.de</v>
      </c>
      <c r="C1899" t="s">
        <v>436</v>
      </c>
      <c r="D1899" t="s">
        <v>815</v>
      </c>
      <c r="F1899">
        <v>5.3858937782227203E-9</v>
      </c>
      <c r="G1899">
        <v>22344946</v>
      </c>
      <c r="H1899">
        <v>12100096</v>
      </c>
      <c r="I1899">
        <v>25962674</v>
      </c>
      <c r="J1899">
        <v>8</v>
      </c>
    </row>
    <row r="1900" spans="1:10" x14ac:dyDescent="0.25">
      <c r="A1900" t="s">
        <v>26</v>
      </c>
      <c r="B1900" s="1" t="str">
        <f>HYPERLINK("http://clannadtattoo.de","clannadtattoo.de")</f>
        <v>clannadtattoo.de</v>
      </c>
      <c r="C1900" t="s">
        <v>436</v>
      </c>
      <c r="D1900" t="s">
        <v>815</v>
      </c>
      <c r="F1900">
        <v>4.7051570624173303E-9</v>
      </c>
      <c r="G1900">
        <v>40977053</v>
      </c>
      <c r="H1900">
        <v>7732989</v>
      </c>
      <c r="I1900">
        <v>75842113</v>
      </c>
      <c r="J1900">
        <v>4</v>
      </c>
    </row>
    <row r="1901" spans="1:10" x14ac:dyDescent="0.25">
      <c r="A1901" t="s">
        <v>26</v>
      </c>
      <c r="B1901" s="1" t="str">
        <f>HYPERLINK("http://danieldaehne.de","danieldaehne.de")</f>
        <v>danieldaehne.de</v>
      </c>
      <c r="C1901" t="s">
        <v>436</v>
      </c>
      <c r="D1901" t="s">
        <v>815</v>
      </c>
      <c r="F1901">
        <v>4.7350374336425599E-9</v>
      </c>
      <c r="G1901">
        <v>39051230</v>
      </c>
      <c r="H1901">
        <v>10581644</v>
      </c>
      <c r="I1901">
        <v>45780458</v>
      </c>
      <c r="J1901">
        <v>5</v>
      </c>
    </row>
    <row r="1902" spans="1:10" x14ac:dyDescent="0.25">
      <c r="A1902" t="s">
        <v>26</v>
      </c>
      <c r="B1902" s="1" t="str">
        <f>HYPERLINK("http://denkerwulf.de","denkerwulf.de")</f>
        <v>denkerwulf.de</v>
      </c>
      <c r="C1902" t="s">
        <v>436</v>
      </c>
      <c r="D1902" t="s">
        <v>815</v>
      </c>
      <c r="F1902">
        <v>2.4839387301668401E-8</v>
      </c>
      <c r="G1902">
        <v>2081760</v>
      </c>
      <c r="H1902">
        <v>14072474</v>
      </c>
      <c r="I1902">
        <v>3086926</v>
      </c>
      <c r="J1902">
        <v>3</v>
      </c>
    </row>
    <row r="1903" spans="1:10" x14ac:dyDescent="0.25">
      <c r="A1903" t="s">
        <v>26</v>
      </c>
      <c r="B1903" s="1" t="str">
        <f>HYPERLINK("http://dlvag.de","dlvag.de")</f>
        <v>dlvag.de</v>
      </c>
      <c r="C1903" t="s">
        <v>436</v>
      </c>
      <c r="D1903" t="s">
        <v>815</v>
      </c>
      <c r="F1903">
        <v>9.1741854121906697E-9</v>
      </c>
      <c r="G1903">
        <v>7744623</v>
      </c>
      <c r="H1903">
        <v>12382375</v>
      </c>
      <c r="I1903">
        <v>19166235</v>
      </c>
      <c r="J1903">
        <v>3</v>
      </c>
    </row>
    <row r="1904" spans="1:10" x14ac:dyDescent="0.25">
      <c r="A1904" t="s">
        <v>26</v>
      </c>
      <c r="B1904" s="1" t="str">
        <f>HYPERLINK("http://eulerhermes.de","eulerhermes.de")</f>
        <v>eulerhermes.de</v>
      </c>
      <c r="C1904" t="s">
        <v>436</v>
      </c>
      <c r="D1904" t="s">
        <v>815</v>
      </c>
      <c r="F1904">
        <v>1.5612482943566199E-7</v>
      </c>
      <c r="G1904">
        <v>248747</v>
      </c>
      <c r="H1904">
        <v>14594029</v>
      </c>
      <c r="I1904">
        <v>691842</v>
      </c>
      <c r="J1904">
        <v>4</v>
      </c>
    </row>
    <row r="1905" spans="1:10" x14ac:dyDescent="0.25">
      <c r="A1905" t="s">
        <v>26</v>
      </c>
      <c r="B1905" s="1" t="str">
        <f>HYPERLINK("http://eulerhermes-collections.de","eulerhermes-collections.de")</f>
        <v>eulerhermes-collections.de</v>
      </c>
      <c r="C1905" t="s">
        <v>436</v>
      </c>
      <c r="D1905" t="s">
        <v>815</v>
      </c>
      <c r="F1905">
        <v>4.9163486943717898E-9</v>
      </c>
      <c r="G1905">
        <v>31899358</v>
      </c>
      <c r="H1905">
        <v>14071789</v>
      </c>
      <c r="I1905">
        <v>3622538</v>
      </c>
      <c r="J1905">
        <v>3</v>
      </c>
    </row>
    <row r="1906" spans="1:10" x14ac:dyDescent="0.25">
      <c r="A1906" t="s">
        <v>26</v>
      </c>
      <c r="B1906" s="1" t="str">
        <f>HYPERLINK("http://fahrsicherheitstraining-weser-ems.de","fahrsicherheitstraining-weser-ems.de")</f>
        <v>fahrsicherheitstraining-weser-ems.de</v>
      </c>
      <c r="C1906" t="s">
        <v>436</v>
      </c>
      <c r="D1906" t="s">
        <v>815</v>
      </c>
      <c r="F1906">
        <v>1.7862929772437101E-8</v>
      </c>
      <c r="G1906">
        <v>3061307</v>
      </c>
      <c r="H1906">
        <v>12364947</v>
      </c>
      <c r="I1906">
        <v>19498859</v>
      </c>
      <c r="J1906">
        <v>7</v>
      </c>
    </row>
    <row r="1907" spans="1:10" x14ac:dyDescent="0.25">
      <c r="A1907" t="s">
        <v>26</v>
      </c>
      <c r="B1907" s="1" t="str">
        <f>HYPERLINK("http://fereal.de","fereal.de")</f>
        <v>fereal.de</v>
      </c>
      <c r="C1907" t="s">
        <v>436</v>
      </c>
      <c r="D1907" t="s">
        <v>815</v>
      </c>
      <c r="J1907">
        <v>8</v>
      </c>
    </row>
    <row r="1908" spans="1:10" x14ac:dyDescent="0.25">
      <c r="A1908" t="s">
        <v>26</v>
      </c>
      <c r="B1908" s="1" t="str">
        <f>HYPERLINK("http://feri.de","feri.de")</f>
        <v>feri.de</v>
      </c>
      <c r="C1908" t="s">
        <v>436</v>
      </c>
      <c r="D1908" t="s">
        <v>815</v>
      </c>
      <c r="F1908">
        <v>5.03214497672481E-8</v>
      </c>
      <c r="G1908">
        <v>913790</v>
      </c>
      <c r="H1908">
        <v>13824493</v>
      </c>
      <c r="I1908">
        <v>6129059</v>
      </c>
      <c r="J1908">
        <v>5</v>
      </c>
    </row>
    <row r="1909" spans="1:10" x14ac:dyDescent="0.25">
      <c r="A1909" t="s">
        <v>26</v>
      </c>
      <c r="B1909" s="1" t="str">
        <f>HYPERLINK("http://fischers-allianz.de","fischers-allianz.de")</f>
        <v>fischers-allianz.de</v>
      </c>
      <c r="C1909" t="s">
        <v>436</v>
      </c>
      <c r="D1909" t="s">
        <v>815</v>
      </c>
      <c r="J1909">
        <v>4</v>
      </c>
    </row>
    <row r="1910" spans="1:10" x14ac:dyDescent="0.25">
      <c r="A1910" t="s">
        <v>26</v>
      </c>
      <c r="B1910" s="1" t="str">
        <f>HYPERLINK("http://graf-allianz.de","graf-allianz.de")</f>
        <v>graf-allianz.de</v>
      </c>
      <c r="C1910" t="s">
        <v>436</v>
      </c>
      <c r="D1910" t="s">
        <v>815</v>
      </c>
      <c r="F1910">
        <v>4.4439042534859699E-9</v>
      </c>
      <c r="G1910">
        <v>77919206</v>
      </c>
      <c r="H1910">
        <v>11974587</v>
      </c>
      <c r="I1910">
        <v>28581020</v>
      </c>
      <c r="J1910">
        <v>4</v>
      </c>
    </row>
    <row r="1911" spans="1:10" x14ac:dyDescent="0.25">
      <c r="A1911" t="s">
        <v>26</v>
      </c>
      <c r="B1911" s="1" t="str">
        <f>HYPERLINK("http://gtmotive.de","gtmotive.de")</f>
        <v>gtmotive.de</v>
      </c>
      <c r="C1911" t="s">
        <v>436</v>
      </c>
      <c r="D1911" t="s">
        <v>815</v>
      </c>
      <c r="F1911">
        <v>4.6375084940325003E-9</v>
      </c>
      <c r="G1911">
        <v>44938349</v>
      </c>
      <c r="H1911">
        <v>10354062</v>
      </c>
      <c r="I1911">
        <v>55834332</v>
      </c>
      <c r="J1911">
        <v>4</v>
      </c>
    </row>
    <row r="1912" spans="1:10" x14ac:dyDescent="0.25">
      <c r="A1912" t="s">
        <v>26</v>
      </c>
      <c r="B1912" s="1" t="str">
        <f>HYPERLINK("http://heider-allianz.de","heider-allianz.de")</f>
        <v>heider-allianz.de</v>
      </c>
      <c r="C1912" t="s">
        <v>436</v>
      </c>
      <c r="D1912" t="s">
        <v>815</v>
      </c>
      <c r="J1912">
        <v>4</v>
      </c>
    </row>
    <row r="1913" spans="1:10" x14ac:dyDescent="0.25">
      <c r="A1913" t="s">
        <v>26</v>
      </c>
      <c r="B1913" s="1" t="str">
        <f>HYPERLINK("http://heinz-ehlert-allianz.de","heinz-ehlert-allianz.de")</f>
        <v>heinz-ehlert-allianz.de</v>
      </c>
      <c r="C1913" t="s">
        <v>436</v>
      </c>
      <c r="D1913" t="s">
        <v>815</v>
      </c>
      <c r="J1913">
        <v>4</v>
      </c>
    </row>
    <row r="1914" spans="1:10" x14ac:dyDescent="0.25">
      <c r="A1914" t="s">
        <v>26</v>
      </c>
      <c r="B1914" s="1" t="str">
        <f>HYPERLINK("http://hemsing-allianz.de","hemsing-allianz.de")</f>
        <v>hemsing-allianz.de</v>
      </c>
      <c r="C1914" t="s">
        <v>436</v>
      </c>
      <c r="D1914" t="s">
        <v>815</v>
      </c>
      <c r="J1914">
        <v>4</v>
      </c>
    </row>
    <row r="1915" spans="1:10" x14ac:dyDescent="0.25">
      <c r="A1915" t="s">
        <v>26</v>
      </c>
      <c r="B1915" s="1" t="str">
        <f>HYPERLINK("http://herzog-allianz.de","herzog-allianz.de")</f>
        <v>herzog-allianz.de</v>
      </c>
      <c r="C1915" t="s">
        <v>436</v>
      </c>
      <c r="D1915" t="s">
        <v>815</v>
      </c>
      <c r="F1915">
        <v>7.7914415495835106E-9</v>
      </c>
      <c r="G1915">
        <v>10342533</v>
      </c>
      <c r="H1915">
        <v>12138430</v>
      </c>
      <c r="I1915">
        <v>24912517</v>
      </c>
      <c r="J1915">
        <v>4</v>
      </c>
    </row>
    <row r="1916" spans="1:10" x14ac:dyDescent="0.25">
      <c r="A1916" t="s">
        <v>26</v>
      </c>
      <c r="B1916" s="1" t="str">
        <f>HYPERLINK("http://keidel-allianz.de","keidel-allianz.de")</f>
        <v>keidel-allianz.de</v>
      </c>
      <c r="C1916" t="s">
        <v>436</v>
      </c>
      <c r="D1916" t="s">
        <v>815</v>
      </c>
      <c r="J1916">
        <v>4</v>
      </c>
    </row>
    <row r="1917" spans="1:10" x14ac:dyDescent="0.25">
      <c r="A1917" t="s">
        <v>26</v>
      </c>
      <c r="B1917" s="1" t="str">
        <f>HYPERLINK("http://metafinanz.de","metafinanz.de")</f>
        <v>metafinanz.de</v>
      </c>
      <c r="C1917" t="s">
        <v>436</v>
      </c>
      <c r="D1917" t="s">
        <v>815</v>
      </c>
      <c r="F1917">
        <v>5.9020456281040001E-8</v>
      </c>
      <c r="G1917">
        <v>751351</v>
      </c>
      <c r="H1917">
        <v>13611239</v>
      </c>
      <c r="I1917">
        <v>9635007</v>
      </c>
      <c r="J1917">
        <v>3</v>
      </c>
    </row>
    <row r="1918" spans="1:10" x14ac:dyDescent="0.25">
      <c r="A1918" t="s">
        <v>26</v>
      </c>
      <c r="B1918" s="1" t="str">
        <f>HYPERLINK("http://michael-stegemann.de","michael-stegemann.de")</f>
        <v>michael-stegemann.de</v>
      </c>
      <c r="C1918" t="s">
        <v>436</v>
      </c>
      <c r="D1918" t="s">
        <v>815</v>
      </c>
      <c r="F1918">
        <v>4.45494791327328E-9</v>
      </c>
      <c r="G1918">
        <v>69536622</v>
      </c>
      <c r="H1918">
        <v>10601108</v>
      </c>
      <c r="I1918">
        <v>44860730</v>
      </c>
      <c r="J1918">
        <v>4</v>
      </c>
    </row>
    <row r="1919" spans="1:10" x14ac:dyDescent="0.25">
      <c r="A1919" t="s">
        <v>26</v>
      </c>
      <c r="B1919" s="1" t="str">
        <f>HYPERLINK("http://mira-autoservice.de","mira-autoservice.de")</f>
        <v>mira-autoservice.de</v>
      </c>
      <c r="C1919" t="s">
        <v>436</v>
      </c>
      <c r="D1919" t="s">
        <v>815</v>
      </c>
      <c r="F1919">
        <v>5.0817255494495301E-9</v>
      </c>
      <c r="G1919">
        <v>27471340</v>
      </c>
      <c r="H1919">
        <v>10169880</v>
      </c>
      <c r="I1919">
        <v>59338353</v>
      </c>
      <c r="J1919">
        <v>9</v>
      </c>
    </row>
    <row r="1920" spans="1:10" x14ac:dyDescent="0.25">
      <c r="A1920" t="s">
        <v>26</v>
      </c>
      <c r="B1920" s="1" t="str">
        <f>HYPERLINK("http://mlp.de","mlp.de")</f>
        <v>mlp.de</v>
      </c>
      <c r="C1920" t="s">
        <v>436</v>
      </c>
      <c r="D1920" t="s">
        <v>815</v>
      </c>
      <c r="E1920">
        <v>65856</v>
      </c>
      <c r="F1920">
        <v>2.7625697513609702E-7</v>
      </c>
      <c r="G1920">
        <v>134666</v>
      </c>
      <c r="H1920">
        <v>17039832</v>
      </c>
      <c r="I1920">
        <v>79586</v>
      </c>
      <c r="J1920">
        <v>6</v>
      </c>
    </row>
    <row r="1921" spans="1:10" x14ac:dyDescent="0.25">
      <c r="A1921" t="s">
        <v>26</v>
      </c>
      <c r="B1921" s="1" t="str">
        <f>HYPERLINK("http://mlp-aachen.de","mlp-aachen.de")</f>
        <v>mlp-aachen.de</v>
      </c>
      <c r="C1921" t="s">
        <v>436</v>
      </c>
      <c r="D1921" t="s">
        <v>815</v>
      </c>
      <c r="F1921">
        <v>5.24523995220736E-9</v>
      </c>
      <c r="G1921">
        <v>24329982</v>
      </c>
      <c r="H1921">
        <v>12132670</v>
      </c>
      <c r="I1921">
        <v>25066830</v>
      </c>
      <c r="J1921">
        <v>5</v>
      </c>
    </row>
    <row r="1922" spans="1:10" x14ac:dyDescent="0.25">
      <c r="A1922" t="s">
        <v>26</v>
      </c>
      <c r="B1922" s="1" t="str">
        <f>HYPERLINK("http://mlp-banking.de","mlp-banking.de")</f>
        <v>mlp-banking.de</v>
      </c>
      <c r="C1922" t="s">
        <v>436</v>
      </c>
      <c r="D1922" t="s">
        <v>815</v>
      </c>
      <c r="F1922">
        <v>4.1791931724706999E-8</v>
      </c>
      <c r="G1922">
        <v>1178778</v>
      </c>
      <c r="H1922">
        <v>16872662</v>
      </c>
      <c r="I1922">
        <v>146797</v>
      </c>
      <c r="J1922">
        <v>5</v>
      </c>
    </row>
    <row r="1923" spans="1:10" x14ac:dyDescent="0.25">
      <c r="A1923" t="s">
        <v>26</v>
      </c>
      <c r="B1923" s="1" t="str">
        <f>HYPERLINK("http://mlp-fulda.de","mlp-fulda.de")</f>
        <v>mlp-fulda.de</v>
      </c>
      <c r="C1923" t="s">
        <v>436</v>
      </c>
      <c r="D1923" t="s">
        <v>815</v>
      </c>
      <c r="F1923">
        <v>8.2289402881627704E-9</v>
      </c>
      <c r="G1923">
        <v>9436832</v>
      </c>
      <c r="H1923">
        <v>7929399</v>
      </c>
      <c r="I1923">
        <v>75355083</v>
      </c>
      <c r="J1923">
        <v>5</v>
      </c>
    </row>
    <row r="1924" spans="1:10" x14ac:dyDescent="0.25">
      <c r="A1924" t="s">
        <v>26</v>
      </c>
      <c r="B1924" s="1" t="str">
        <f>HYPERLINK("http://mlp-kaiserslautern.de","mlp-kaiserslautern.de")</f>
        <v>mlp-kaiserslautern.de</v>
      </c>
      <c r="C1924" t="s">
        <v>436</v>
      </c>
      <c r="D1924" t="s">
        <v>815</v>
      </c>
      <c r="F1924">
        <v>4.81289810004375E-9</v>
      </c>
      <c r="G1924">
        <v>35549038</v>
      </c>
      <c r="H1924">
        <v>12089809</v>
      </c>
      <c r="I1924">
        <v>26256231</v>
      </c>
      <c r="J1924">
        <v>5</v>
      </c>
    </row>
    <row r="1925" spans="1:10" x14ac:dyDescent="0.25">
      <c r="A1925" t="s">
        <v>26</v>
      </c>
      <c r="B1925" s="1" t="str">
        <f>HYPERLINK("http://mlp-mannheim.de","mlp-mannheim.de")</f>
        <v>mlp-mannheim.de</v>
      </c>
      <c r="C1925" t="s">
        <v>436</v>
      </c>
      <c r="D1925" t="s">
        <v>815</v>
      </c>
      <c r="F1925">
        <v>5.4315495373131304E-9</v>
      </c>
      <c r="G1925">
        <v>21720704</v>
      </c>
      <c r="H1925">
        <v>12089649</v>
      </c>
      <c r="I1925">
        <v>26261403</v>
      </c>
      <c r="J1925">
        <v>8</v>
      </c>
    </row>
    <row r="1926" spans="1:10" x14ac:dyDescent="0.25">
      <c r="A1926" t="s">
        <v>26</v>
      </c>
      <c r="B1926" s="1" t="str">
        <f>HYPERLINK("http://mlp-muenchen.de","mlp-muenchen.de")</f>
        <v>mlp-muenchen.de</v>
      </c>
      <c r="C1926" t="s">
        <v>436</v>
      </c>
      <c r="D1926" t="s">
        <v>815</v>
      </c>
      <c r="F1926">
        <v>8.2770400981769599E-9</v>
      </c>
      <c r="G1926">
        <v>9312103</v>
      </c>
      <c r="H1926">
        <v>12883440</v>
      </c>
      <c r="I1926">
        <v>13976652</v>
      </c>
      <c r="J1926">
        <v>8</v>
      </c>
    </row>
    <row r="1927" spans="1:10" x14ac:dyDescent="0.25">
      <c r="A1927" t="s">
        <v>26</v>
      </c>
      <c r="B1927" s="1" t="str">
        <f>HYPERLINK("http://mlp-saarbruecken.de","mlp-saarbruecken.de")</f>
        <v>mlp-saarbruecken.de</v>
      </c>
      <c r="C1927" t="s">
        <v>436</v>
      </c>
      <c r="D1927" t="s">
        <v>815</v>
      </c>
      <c r="F1927">
        <v>4.5060150915977597E-9</v>
      </c>
      <c r="G1927">
        <v>58072038</v>
      </c>
      <c r="H1927">
        <v>10841247</v>
      </c>
      <c r="I1927">
        <v>37093401</v>
      </c>
      <c r="J1927">
        <v>5</v>
      </c>
    </row>
    <row r="1928" spans="1:10" x14ac:dyDescent="0.25">
      <c r="A1928" t="s">
        <v>26</v>
      </c>
      <c r="B1928" s="1" t="str">
        <f>HYPERLINK("http://mlp-se.de","mlp-se.de")</f>
        <v>mlp-se.de</v>
      </c>
      <c r="C1928" t="s">
        <v>436</v>
      </c>
      <c r="D1928" t="s">
        <v>815</v>
      </c>
      <c r="F1928">
        <v>1.3008401879707399E-7</v>
      </c>
      <c r="G1928">
        <v>300859</v>
      </c>
      <c r="H1928">
        <v>14175745</v>
      </c>
      <c r="I1928">
        <v>1790368</v>
      </c>
      <c r="J1928">
        <v>5</v>
      </c>
    </row>
    <row r="1929" spans="1:10" x14ac:dyDescent="0.25">
      <c r="A1929" t="s">
        <v>26</v>
      </c>
      <c r="B1929" s="1" t="str">
        <f>HYPERLINK("http://mlp-trier.de","mlp-trier.de")</f>
        <v>mlp-trier.de</v>
      </c>
      <c r="C1929" t="s">
        <v>436</v>
      </c>
      <c r="D1929" t="s">
        <v>815</v>
      </c>
      <c r="F1929">
        <v>8.8233146678136199E-9</v>
      </c>
      <c r="G1929">
        <v>8266928</v>
      </c>
      <c r="H1929">
        <v>10598866</v>
      </c>
      <c r="I1929">
        <v>44964065</v>
      </c>
      <c r="J1929">
        <v>7</v>
      </c>
    </row>
    <row r="1930" spans="1:10" x14ac:dyDescent="0.25">
      <c r="A1930" t="s">
        <v>26</v>
      </c>
      <c r="B1930" s="1" t="str">
        <f>HYPERLINK("http://mlpdresden.de","mlpdresden.de")</f>
        <v>mlpdresden.de</v>
      </c>
      <c r="C1930" t="s">
        <v>436</v>
      </c>
      <c r="D1930" t="s">
        <v>815</v>
      </c>
      <c r="F1930">
        <v>5.0630159454190098E-9</v>
      </c>
      <c r="G1930">
        <v>27939294</v>
      </c>
      <c r="H1930">
        <v>9657378</v>
      </c>
      <c r="I1930">
        <v>63833755</v>
      </c>
      <c r="J1930">
        <v>5</v>
      </c>
    </row>
    <row r="1931" spans="1:10" x14ac:dyDescent="0.25">
      <c r="A1931" t="s">
        <v>26</v>
      </c>
      <c r="B1931" s="1" t="str">
        <f>HYPERLINK("http://mmagrar.de","mmagrar.de")</f>
        <v>mmagrar.de</v>
      </c>
      <c r="C1931" t="s">
        <v>436</v>
      </c>
      <c r="D1931" t="s">
        <v>815</v>
      </c>
      <c r="F1931">
        <v>1.8263433117101099E-8</v>
      </c>
      <c r="G1931">
        <v>2974505</v>
      </c>
      <c r="H1931">
        <v>12920291</v>
      </c>
      <c r="I1931">
        <v>13433838</v>
      </c>
      <c r="J1931">
        <v>3</v>
      </c>
    </row>
    <row r="1932" spans="1:10" x14ac:dyDescent="0.25">
      <c r="A1932" t="s">
        <v>26</v>
      </c>
      <c r="B1932" s="1" t="str">
        <f>HYPERLINK("http://mondial-kundenservice.de","mondial-kundenservice.de")</f>
        <v>mondial-kundenservice.de</v>
      </c>
      <c r="C1932" t="s">
        <v>436</v>
      </c>
      <c r="D1932" t="s">
        <v>815</v>
      </c>
      <c r="F1932">
        <v>4.4560576167397497E-9</v>
      </c>
      <c r="G1932">
        <v>69090473</v>
      </c>
      <c r="H1932">
        <v>10929388</v>
      </c>
      <c r="I1932">
        <v>35080907</v>
      </c>
      <c r="J1932">
        <v>3</v>
      </c>
    </row>
    <row r="1933" spans="1:10" x14ac:dyDescent="0.25">
      <c r="A1933" t="s">
        <v>26</v>
      </c>
      <c r="B1933" s="1" t="str">
        <f>HYPERLINK("http://oswald-allianz.de","oswald-allianz.de")</f>
        <v>oswald-allianz.de</v>
      </c>
      <c r="C1933" t="s">
        <v>436</v>
      </c>
      <c r="D1933" t="s">
        <v>815</v>
      </c>
      <c r="J1933">
        <v>4</v>
      </c>
    </row>
    <row r="1934" spans="1:10" x14ac:dyDescent="0.25">
      <c r="A1934" t="s">
        <v>26</v>
      </c>
      <c r="B1934" s="1" t="str">
        <f>HYPERLINK("http://pimco.de","pimco.de")</f>
        <v>pimco.de</v>
      </c>
      <c r="C1934" t="s">
        <v>436</v>
      </c>
      <c r="D1934" t="s">
        <v>815</v>
      </c>
      <c r="F1934">
        <v>3.0638764193220403E-8</v>
      </c>
      <c r="G1934">
        <v>1681089</v>
      </c>
      <c r="H1934">
        <v>13590428</v>
      </c>
      <c r="I1934">
        <v>9667782</v>
      </c>
      <c r="J1934">
        <v>4</v>
      </c>
    </row>
    <row r="1935" spans="1:10" x14ac:dyDescent="0.25">
      <c r="A1935" t="s">
        <v>26</v>
      </c>
      <c r="B1935" s="1" t="str">
        <f>HYPERLINK("http://pitz-allianz.de","pitz-allianz.de")</f>
        <v>pitz-allianz.de</v>
      </c>
      <c r="C1935" t="s">
        <v>436</v>
      </c>
      <c r="D1935" t="s">
        <v>815</v>
      </c>
      <c r="J1935">
        <v>4</v>
      </c>
    </row>
    <row r="1936" spans="1:10" x14ac:dyDescent="0.25">
      <c r="A1936" t="s">
        <v>26</v>
      </c>
      <c r="B1936" s="1" t="str">
        <f>HYPERLINK("http://regis-breitingen.de","regis-breitingen.de")</f>
        <v>regis-breitingen.de</v>
      </c>
      <c r="C1936" t="s">
        <v>436</v>
      </c>
      <c r="D1936" t="s">
        <v>815</v>
      </c>
      <c r="F1936">
        <v>9.8651961348059493E-9</v>
      </c>
      <c r="G1936">
        <v>6896936</v>
      </c>
      <c r="H1936">
        <v>14237155</v>
      </c>
      <c r="I1936">
        <v>1558352</v>
      </c>
      <c r="J1936">
        <v>4</v>
      </c>
    </row>
    <row r="1937" spans="1:10" x14ac:dyDescent="0.25">
      <c r="A1937" t="s">
        <v>26</v>
      </c>
      <c r="B1937" s="1" t="str">
        <f>HYPERLINK("http://sachsenfonds.de","sachsenfonds.de")</f>
        <v>sachsenfonds.de</v>
      </c>
      <c r="C1937" t="s">
        <v>436</v>
      </c>
      <c r="D1937" t="s">
        <v>815</v>
      </c>
      <c r="J1937">
        <v>3</v>
      </c>
    </row>
    <row r="1938" spans="1:10" x14ac:dyDescent="0.25">
      <c r="A1938" t="s">
        <v>26</v>
      </c>
      <c r="B1938" s="1" t="str">
        <f>HYPERLINK("http://schatke-allianz.de","schatke-allianz.de")</f>
        <v>schatke-allianz.de</v>
      </c>
      <c r="C1938" t="s">
        <v>436</v>
      </c>
      <c r="D1938" t="s">
        <v>815</v>
      </c>
      <c r="F1938">
        <v>7.9876616061353208E-9</v>
      </c>
      <c r="G1938">
        <v>9943156</v>
      </c>
      <c r="H1938">
        <v>12787323</v>
      </c>
      <c r="I1938">
        <v>14702624</v>
      </c>
      <c r="J1938">
        <v>4</v>
      </c>
    </row>
    <row r="1939" spans="1:10" x14ac:dyDescent="0.25">
      <c r="A1939" t="s">
        <v>26</v>
      </c>
      <c r="B1939" s="1" t="str">
        <f>HYPERLINK("http://schmidtallianz.de","schmidtallianz.de")</f>
        <v>schmidtallianz.de</v>
      </c>
      <c r="C1939" t="s">
        <v>436</v>
      </c>
      <c r="D1939" t="s">
        <v>815</v>
      </c>
      <c r="J1939">
        <v>4</v>
      </c>
    </row>
    <row r="1940" spans="1:10" x14ac:dyDescent="0.25">
      <c r="A1940" t="s">
        <v>26</v>
      </c>
      <c r="B1940" s="1" t="str">
        <f>HYPERLINK("http://sena-allianz.de","sena-allianz.de")</f>
        <v>sena-allianz.de</v>
      </c>
      <c r="C1940" t="s">
        <v>436</v>
      </c>
      <c r="D1940" t="s">
        <v>815</v>
      </c>
      <c r="F1940">
        <v>4.4438312567182202E-9</v>
      </c>
      <c r="G1940">
        <v>79024712</v>
      </c>
      <c r="H1940">
        <v>10477002</v>
      </c>
      <c r="I1940">
        <v>51110436</v>
      </c>
      <c r="J1940">
        <v>4</v>
      </c>
    </row>
    <row r="1941" spans="1:10" x14ac:dyDescent="0.25">
      <c r="A1941" t="s">
        <v>26</v>
      </c>
      <c r="B1941" s="1" t="str">
        <f>HYPERLINK("http://stefan-ellrich-allianz.de","stefan-ellrich-allianz.de")</f>
        <v>stefan-ellrich-allianz.de</v>
      </c>
      <c r="C1941" t="s">
        <v>436</v>
      </c>
      <c r="D1941" t="s">
        <v>815</v>
      </c>
      <c r="J1941">
        <v>4</v>
      </c>
    </row>
    <row r="1942" spans="1:10" x14ac:dyDescent="0.25">
      <c r="A1942" t="s">
        <v>26</v>
      </c>
      <c r="B1942" s="1" t="str">
        <f>HYPERLINK("http://steudel-steudel.de","steudel-steudel.de")</f>
        <v>steudel-steudel.de</v>
      </c>
      <c r="C1942" t="s">
        <v>436</v>
      </c>
      <c r="D1942" t="s">
        <v>815</v>
      </c>
      <c r="F1942">
        <v>5.6000297333495798E-9</v>
      </c>
      <c r="G1942">
        <v>19857027</v>
      </c>
      <c r="H1942">
        <v>10484833</v>
      </c>
      <c r="I1942">
        <v>50830605</v>
      </c>
      <c r="J1942">
        <v>4</v>
      </c>
    </row>
    <row r="1943" spans="1:10" x14ac:dyDescent="0.25">
      <c r="A1943" t="s">
        <v>26</v>
      </c>
      <c r="B1943" s="1" t="str">
        <f>HYPERLINK("http://svengross-allianz.de","svengross-allianz.de")</f>
        <v>svengross-allianz.de</v>
      </c>
      <c r="C1943" t="s">
        <v>436</v>
      </c>
      <c r="D1943" t="s">
        <v>815</v>
      </c>
      <c r="J1943">
        <v>4</v>
      </c>
    </row>
    <row r="1944" spans="1:10" x14ac:dyDescent="0.25">
      <c r="A1944" t="s">
        <v>26</v>
      </c>
      <c r="B1944" s="1" t="str">
        <f>HYPERLINK("http://tpc-bremen.de","tpc-bremen.de")</f>
        <v>tpc-bremen.de</v>
      </c>
      <c r="C1944" t="s">
        <v>436</v>
      </c>
      <c r="D1944" t="s">
        <v>815</v>
      </c>
      <c r="J1944">
        <v>6</v>
      </c>
    </row>
    <row r="1945" spans="1:10" x14ac:dyDescent="0.25">
      <c r="A1945" t="s">
        <v>26</v>
      </c>
      <c r="B1945" s="1" t="str">
        <f>HYPERLINK("http://tpc-management.de","tpc-management.de")</f>
        <v>tpc-management.de</v>
      </c>
      <c r="C1945" t="s">
        <v>436</v>
      </c>
      <c r="D1945" t="s">
        <v>815</v>
      </c>
      <c r="J1945">
        <v>6</v>
      </c>
    </row>
    <row r="1946" spans="1:10" x14ac:dyDescent="0.25">
      <c r="A1946" t="s">
        <v>26</v>
      </c>
      <c r="B1946" s="1" t="str">
        <f>HYPERLINK("http://tpc-pension.de","tpc-pension.de")</f>
        <v>tpc-pension.de</v>
      </c>
      <c r="C1946" t="s">
        <v>436</v>
      </c>
      <c r="D1946" t="s">
        <v>815</v>
      </c>
      <c r="J1946">
        <v>6</v>
      </c>
    </row>
    <row r="1947" spans="1:10" x14ac:dyDescent="0.25">
      <c r="A1947" t="s">
        <v>26</v>
      </c>
      <c r="B1947" s="1" t="str">
        <f>HYPERLINK("http://tpc-vorsorge.de","tpc-vorsorge.de")</f>
        <v>tpc-vorsorge.de</v>
      </c>
      <c r="C1947" t="s">
        <v>436</v>
      </c>
      <c r="D1947" t="s">
        <v>815</v>
      </c>
      <c r="F1947">
        <v>1.1926259767629E-8</v>
      </c>
      <c r="G1947">
        <v>5221348</v>
      </c>
      <c r="H1947">
        <v>12038087</v>
      </c>
      <c r="I1947">
        <v>27501843</v>
      </c>
      <c r="J1947">
        <v>6</v>
      </c>
    </row>
    <row r="1948" spans="1:10" x14ac:dyDescent="0.25">
      <c r="A1948" t="s">
        <v>26</v>
      </c>
      <c r="B1948" s="1" t="str">
        <f>HYPERLINK("http://travering.de","travering.de")</f>
        <v>travering.de</v>
      </c>
      <c r="C1948" t="s">
        <v>436</v>
      </c>
      <c r="D1948" t="s">
        <v>815</v>
      </c>
      <c r="F1948">
        <v>6.0567200356689199E-9</v>
      </c>
      <c r="G1948">
        <v>16343790</v>
      </c>
      <c r="H1948">
        <v>13935265</v>
      </c>
      <c r="I1948">
        <v>4541717</v>
      </c>
      <c r="J1948">
        <v>8</v>
      </c>
    </row>
    <row r="1949" spans="1:10" x14ac:dyDescent="0.25">
      <c r="A1949" t="s">
        <v>26</v>
      </c>
      <c r="B1949" s="1" t="str">
        <f>HYPERLINK("http://tts-deggendorf.de","tts-deggendorf.de")</f>
        <v>tts-deggendorf.de</v>
      </c>
      <c r="C1949" t="s">
        <v>436</v>
      </c>
      <c r="D1949" t="s">
        <v>815</v>
      </c>
      <c r="J1949">
        <v>8</v>
      </c>
    </row>
    <row r="1950" spans="1:10" x14ac:dyDescent="0.25">
      <c r="A1950" t="s">
        <v>26</v>
      </c>
      <c r="B1950" s="1" t="str">
        <f>HYPERLINK("http://tuescher-allianz.de","tuescher-allianz.de")</f>
        <v>tuescher-allianz.de</v>
      </c>
      <c r="C1950" t="s">
        <v>436</v>
      </c>
      <c r="D1950" t="s">
        <v>815</v>
      </c>
      <c r="F1950">
        <v>4.9596775209483498E-9</v>
      </c>
      <c r="G1950">
        <v>30518986</v>
      </c>
      <c r="H1950">
        <v>12852220</v>
      </c>
      <c r="I1950">
        <v>14253246</v>
      </c>
      <c r="J1950">
        <v>4</v>
      </c>
    </row>
    <row r="1951" spans="1:10" x14ac:dyDescent="0.25">
      <c r="A1951" t="s">
        <v>26</v>
      </c>
      <c r="B1951" s="1" t="str">
        <f>HYPERLINK("http://vfp-erding.de","vfp-erding.de")</f>
        <v>vfp-erding.de</v>
      </c>
      <c r="C1951" t="s">
        <v>436</v>
      </c>
      <c r="D1951" t="s">
        <v>815</v>
      </c>
      <c r="F1951">
        <v>4.8199232555291298E-9</v>
      </c>
      <c r="G1951">
        <v>35273373</v>
      </c>
      <c r="H1951">
        <v>9310018</v>
      </c>
      <c r="I1951">
        <v>68408687</v>
      </c>
      <c r="J1951">
        <v>4</v>
      </c>
    </row>
    <row r="1952" spans="1:10" x14ac:dyDescent="0.25">
      <c r="A1952" t="s">
        <v>26</v>
      </c>
      <c r="B1952" s="1" t="str">
        <f>HYPERLINK("http://volkswagen-autoversicherung.de","volkswagen-autoversicherung.de")</f>
        <v>volkswagen-autoversicherung.de</v>
      </c>
      <c r="C1952" t="s">
        <v>436</v>
      </c>
      <c r="D1952" t="s">
        <v>815</v>
      </c>
      <c r="F1952">
        <v>4.8104491132097003E-9</v>
      </c>
      <c r="G1952">
        <v>35683283</v>
      </c>
      <c r="H1952">
        <v>12026670</v>
      </c>
      <c r="I1952">
        <v>27740506</v>
      </c>
      <c r="J1952">
        <v>4</v>
      </c>
    </row>
    <row r="1953" spans="1:10" x14ac:dyDescent="0.25">
      <c r="A1953" t="s">
        <v>26</v>
      </c>
      <c r="B1953" s="1" t="str">
        <f>HYPERLINK("http://wessling-allianz.de","wessling-allianz.de")</f>
        <v>wessling-allianz.de</v>
      </c>
      <c r="C1953" t="s">
        <v>436</v>
      </c>
      <c r="D1953" t="s">
        <v>815</v>
      </c>
      <c r="J1953">
        <v>4</v>
      </c>
    </row>
    <row r="1954" spans="1:10" x14ac:dyDescent="0.25">
      <c r="A1954" t="s">
        <v>26</v>
      </c>
      <c r="B1954" s="1" t="str">
        <f>HYPERLINK("http://yallianz.de","yallianz.de")</f>
        <v>yallianz.de</v>
      </c>
      <c r="C1954" t="s">
        <v>436</v>
      </c>
      <c r="D1954" t="s">
        <v>815</v>
      </c>
      <c r="J1954">
        <v>4</v>
      </c>
    </row>
    <row r="1955" spans="1:10" x14ac:dyDescent="0.25">
      <c r="A1955" t="s">
        <v>26</v>
      </c>
      <c r="B1955" s="1" t="str">
        <f>HYPERLINK("http://yilmaz-allianz.de","yilmaz-allianz.de")</f>
        <v>yilmaz-allianz.de</v>
      </c>
      <c r="C1955" t="s">
        <v>436</v>
      </c>
      <c r="D1955" t="s">
        <v>815</v>
      </c>
      <c r="J1955">
        <v>4</v>
      </c>
    </row>
    <row r="1956" spans="1:10" x14ac:dyDescent="0.25">
      <c r="A1956" t="s">
        <v>26</v>
      </c>
      <c r="B1956" s="1" t="str">
        <f>HYPERLINK("http://caverion.dk","caverion.dk")</f>
        <v>caverion.dk</v>
      </c>
      <c r="C1956" t="s">
        <v>437</v>
      </c>
      <c r="D1956" t="s">
        <v>816</v>
      </c>
      <c r="F1956">
        <v>1.72519108990321E-8</v>
      </c>
      <c r="G1956">
        <v>3211065</v>
      </c>
      <c r="H1956">
        <v>12644519</v>
      </c>
      <c r="I1956">
        <v>15837887</v>
      </c>
      <c r="J1956">
        <v>6</v>
      </c>
    </row>
    <row r="1957" spans="1:10" x14ac:dyDescent="0.25">
      <c r="A1957" t="s">
        <v>26</v>
      </c>
      <c r="B1957" s="1" t="str">
        <f>HYPERLINK("http://eulerhermes.dk","eulerhermes.dk")</f>
        <v>eulerhermes.dk</v>
      </c>
      <c r="C1957" t="s">
        <v>437</v>
      </c>
      <c r="D1957" t="s">
        <v>816</v>
      </c>
      <c r="F1957">
        <v>1.23511626972753E-8</v>
      </c>
      <c r="G1957">
        <v>4965850</v>
      </c>
      <c r="H1957">
        <v>13767747</v>
      </c>
      <c r="I1957">
        <v>6915483</v>
      </c>
      <c r="J1957">
        <v>4</v>
      </c>
    </row>
    <row r="1958" spans="1:10" x14ac:dyDescent="0.25">
      <c r="A1958" t="s">
        <v>26</v>
      </c>
      <c r="B1958" s="1" t="str">
        <f>HYPERLINK("http://pimco.dk","pimco.dk")</f>
        <v>pimco.dk</v>
      </c>
      <c r="C1958" t="s">
        <v>437</v>
      </c>
      <c r="D1958" t="s">
        <v>816</v>
      </c>
      <c r="F1958">
        <v>1.27140910199701E-8</v>
      </c>
      <c r="G1958">
        <v>4772555</v>
      </c>
      <c r="H1958">
        <v>12272568</v>
      </c>
      <c r="I1958">
        <v>21467088</v>
      </c>
      <c r="J1958">
        <v>4</v>
      </c>
    </row>
    <row r="1959" spans="1:10" x14ac:dyDescent="0.25">
      <c r="A1959" t="s">
        <v>26</v>
      </c>
      <c r="B1959" s="1" t="str">
        <f>HYPERLINK("http://allianz-trade.ee","allianz-trade.ee")</f>
        <v>allianz-trade.ee</v>
      </c>
      <c r="C1959" t="s">
        <v>441</v>
      </c>
      <c r="D1959" t="s">
        <v>820</v>
      </c>
      <c r="F1959">
        <v>5.8018875066474502E-9</v>
      </c>
      <c r="G1959">
        <v>18072590</v>
      </c>
      <c r="H1959">
        <v>10554354</v>
      </c>
      <c r="I1959">
        <v>46548146</v>
      </c>
      <c r="J1959">
        <v>6</v>
      </c>
    </row>
    <row r="1960" spans="1:10" x14ac:dyDescent="0.25">
      <c r="A1960" t="s">
        <v>26</v>
      </c>
      <c r="B1960" s="1" t="str">
        <f>HYPERLINK("http://caverion.ee","caverion.ee")</f>
        <v>caverion.ee</v>
      </c>
      <c r="C1960" t="s">
        <v>441</v>
      </c>
      <c r="D1960" t="s">
        <v>820</v>
      </c>
      <c r="F1960">
        <v>1.03298739207439E-8</v>
      </c>
      <c r="G1960">
        <v>6423262</v>
      </c>
      <c r="H1960">
        <v>11131031</v>
      </c>
      <c r="I1960">
        <v>31935930</v>
      </c>
      <c r="J1960">
        <v>6</v>
      </c>
    </row>
    <row r="1961" spans="1:10" x14ac:dyDescent="0.25">
      <c r="A1961" t="s">
        <v>26</v>
      </c>
      <c r="B1961" s="1" t="str">
        <f>HYPERLINK("http://allianz.com.eg","allianz.com.eg")</f>
        <v>allianz.com.eg</v>
      </c>
      <c r="C1961" t="s">
        <v>442</v>
      </c>
      <c r="D1961" t="s">
        <v>821</v>
      </c>
      <c r="E1961">
        <v>962661</v>
      </c>
      <c r="F1961">
        <v>4.8397809275083402E-8</v>
      </c>
      <c r="G1961">
        <v>959373</v>
      </c>
      <c r="H1961">
        <v>14039095</v>
      </c>
      <c r="I1961">
        <v>3909964</v>
      </c>
      <c r="J1961">
        <v>2</v>
      </c>
    </row>
    <row r="1962" spans="1:10" x14ac:dyDescent="0.25">
      <c r="A1962" t="s">
        <v>26</v>
      </c>
      <c r="B1962" s="1" t="str">
        <f>HYPERLINK("http://allianz.es","allianz.es")</f>
        <v>allianz.es</v>
      </c>
      <c r="C1962" t="s">
        <v>443</v>
      </c>
      <c r="D1962" t="s">
        <v>822</v>
      </c>
      <c r="E1962">
        <v>97415</v>
      </c>
      <c r="F1962">
        <v>3.39536422170649E-7</v>
      </c>
      <c r="G1962">
        <v>109899</v>
      </c>
      <c r="H1962">
        <v>17076500</v>
      </c>
      <c r="I1962">
        <v>69211</v>
      </c>
      <c r="J1962">
        <v>2</v>
      </c>
    </row>
    <row r="1963" spans="1:10" x14ac:dyDescent="0.25">
      <c r="A1963" t="s">
        <v>26</v>
      </c>
      <c r="B1963" s="1" t="str">
        <f>HYPERLINK("http://allianz-assistance.es","allianz-assistance.es")</f>
        <v>allianz-assistance.es</v>
      </c>
      <c r="C1963" t="s">
        <v>443</v>
      </c>
      <c r="D1963" t="s">
        <v>822</v>
      </c>
      <c r="E1963">
        <v>688058</v>
      </c>
      <c r="F1963">
        <v>1.17248720070897E-7</v>
      </c>
      <c r="G1963">
        <v>338933</v>
      </c>
      <c r="H1963">
        <v>14396608</v>
      </c>
      <c r="I1963">
        <v>1159040</v>
      </c>
      <c r="J1963">
        <v>5</v>
      </c>
    </row>
    <row r="1964" spans="1:10" x14ac:dyDescent="0.25">
      <c r="A1964" t="s">
        <v>26</v>
      </c>
      <c r="B1964" s="1" t="str">
        <f>HYPERLINK("http://allianz-partners.es","allianz-partners.es")</f>
        <v>allianz-partners.es</v>
      </c>
      <c r="C1964" t="s">
        <v>443</v>
      </c>
      <c r="D1964" t="s">
        <v>822</v>
      </c>
      <c r="F1964">
        <v>1.9550443224463399E-8</v>
      </c>
      <c r="G1964">
        <v>2736529</v>
      </c>
      <c r="H1964">
        <v>12919208</v>
      </c>
      <c r="I1964">
        <v>13445143</v>
      </c>
      <c r="J1964">
        <v>5</v>
      </c>
    </row>
    <row r="1965" spans="1:10" x14ac:dyDescent="0.25">
      <c r="A1965" t="s">
        <v>26</v>
      </c>
      <c r="B1965" s="1" t="str">
        <f>HYPERLINK("http://allianzmed.es","allianzmed.es")</f>
        <v>allianzmed.es</v>
      </c>
      <c r="C1965" t="s">
        <v>443</v>
      </c>
      <c r="D1965" t="s">
        <v>822</v>
      </c>
      <c r="F1965">
        <v>4.5316639990197001E-9</v>
      </c>
      <c r="G1965">
        <v>54874493</v>
      </c>
      <c r="H1965">
        <v>8501881</v>
      </c>
      <c r="I1965">
        <v>72014671</v>
      </c>
      <c r="J1965">
        <v>4</v>
      </c>
    </row>
    <row r="1966" spans="1:10" x14ac:dyDescent="0.25">
      <c r="A1966" t="s">
        <v>26</v>
      </c>
      <c r="B1966" s="1" t="str">
        <f>HYPERLINK("http://gtmotive.es","gtmotive.es")</f>
        <v>gtmotive.es</v>
      </c>
      <c r="C1966" t="s">
        <v>443</v>
      </c>
      <c r="D1966" t="s">
        <v>822</v>
      </c>
      <c r="F1966">
        <v>6.57523907332775E-9</v>
      </c>
      <c r="G1966">
        <v>13772642</v>
      </c>
      <c r="H1966">
        <v>13796639</v>
      </c>
      <c r="I1966">
        <v>6301547</v>
      </c>
      <c r="J1966">
        <v>4</v>
      </c>
    </row>
    <row r="1967" spans="1:10" x14ac:dyDescent="0.25">
      <c r="A1967" t="s">
        <v>26</v>
      </c>
      <c r="B1967" s="1" t="str">
        <f>HYPERLINK("http://pimco.es","pimco.es")</f>
        <v>pimco.es</v>
      </c>
      <c r="C1967" t="s">
        <v>443</v>
      </c>
      <c r="D1967" t="s">
        <v>822</v>
      </c>
      <c r="F1967">
        <v>1.5164476035690999E-8</v>
      </c>
      <c r="G1967">
        <v>3787164</v>
      </c>
      <c r="H1967">
        <v>12560472</v>
      </c>
      <c r="I1967">
        <v>16708685</v>
      </c>
      <c r="J1967">
        <v>4</v>
      </c>
    </row>
    <row r="1968" spans="1:10" x14ac:dyDescent="0.25">
      <c r="A1968" t="s">
        <v>26</v>
      </c>
      <c r="B1968" s="1" t="str">
        <f>HYPERLINK("http://aero-dienst.eu","aero-dienst.eu")</f>
        <v>aero-dienst.eu</v>
      </c>
      <c r="C1968" t="s">
        <v>444</v>
      </c>
      <c r="F1968">
        <v>5.7273537607024598E-9</v>
      </c>
      <c r="G1968">
        <v>18687001</v>
      </c>
      <c r="H1968">
        <v>8883503</v>
      </c>
      <c r="I1968">
        <v>69077815</v>
      </c>
      <c r="J1968">
        <v>12</v>
      </c>
    </row>
    <row r="1969" spans="1:10" x14ac:dyDescent="0.25">
      <c r="A1969" t="s">
        <v>26</v>
      </c>
      <c r="B1969" s="1" t="str">
        <f>HYPERLINK("http://0x2.fi","0x2.fi")</f>
        <v>0x2.fi</v>
      </c>
      <c r="C1969" t="s">
        <v>445</v>
      </c>
      <c r="D1969" t="s">
        <v>823</v>
      </c>
      <c r="J1969">
        <v>8</v>
      </c>
    </row>
    <row r="1970" spans="1:10" x14ac:dyDescent="0.25">
      <c r="A1970" t="s">
        <v>26</v>
      </c>
      <c r="B1970" s="1" t="str">
        <f>HYPERLINK("http://8760.fi","8760.fi")</f>
        <v>8760.fi</v>
      </c>
      <c r="C1970" t="s">
        <v>445</v>
      </c>
      <c r="D1970" t="s">
        <v>823</v>
      </c>
      <c r="J1970">
        <v>10</v>
      </c>
    </row>
    <row r="1971" spans="1:10" x14ac:dyDescent="0.25">
      <c r="A1971" t="s">
        <v>26</v>
      </c>
      <c r="B1971" s="1" t="str">
        <f>HYPERLINK("http://8760control.fi","8760control.fi")</f>
        <v>8760control.fi</v>
      </c>
      <c r="C1971" t="s">
        <v>445</v>
      </c>
      <c r="D1971" t="s">
        <v>823</v>
      </c>
      <c r="J1971">
        <v>7</v>
      </c>
    </row>
    <row r="1972" spans="1:10" x14ac:dyDescent="0.25">
      <c r="A1972" t="s">
        <v>26</v>
      </c>
      <c r="B1972" s="1" t="str">
        <f>HYPERLINK("http://allianz.fi","allianz.fi")</f>
        <v>allianz.fi</v>
      </c>
      <c r="C1972" t="s">
        <v>445</v>
      </c>
      <c r="D1972" t="s">
        <v>823</v>
      </c>
      <c r="J1972">
        <v>2</v>
      </c>
    </row>
    <row r="1973" spans="1:10" x14ac:dyDescent="0.25">
      <c r="A1973" t="s">
        <v>26</v>
      </c>
      <c r="B1973" s="1" t="str">
        <f>HYPERLINK("http://allianz-partners.fi","allianz-partners.fi")</f>
        <v>allianz-partners.fi</v>
      </c>
      <c r="C1973" t="s">
        <v>445</v>
      </c>
      <c r="D1973" t="s">
        <v>823</v>
      </c>
      <c r="J1973">
        <v>4</v>
      </c>
    </row>
    <row r="1974" spans="1:10" x14ac:dyDescent="0.25">
      <c r="A1974" t="s">
        <v>26</v>
      </c>
      <c r="B1974" s="1" t="str">
        <f>HYPERLINK("http://allianz-trade.fi","allianz-trade.fi")</f>
        <v>allianz-trade.fi</v>
      </c>
      <c r="C1974" t="s">
        <v>445</v>
      </c>
      <c r="D1974" t="s">
        <v>823</v>
      </c>
      <c r="J1974">
        <v>2</v>
      </c>
    </row>
    <row r="1975" spans="1:10" x14ac:dyDescent="0.25">
      <c r="A1975" t="s">
        <v>26</v>
      </c>
      <c r="B1975" s="1" t="str">
        <f>HYPERLINK("http://allianzpartners.fi","allianzpartners.fi")</f>
        <v>allianzpartners.fi</v>
      </c>
      <c r="C1975" t="s">
        <v>445</v>
      </c>
      <c r="D1975" t="s">
        <v>823</v>
      </c>
      <c r="J1975">
        <v>4</v>
      </c>
    </row>
    <row r="1976" spans="1:10" x14ac:dyDescent="0.25">
      <c r="A1976" t="s">
        <v>26</v>
      </c>
      <c r="B1976" s="1" t="str">
        <f>HYPERLINK("http://allianztrade.fi","allianztrade.fi")</f>
        <v>allianztrade.fi</v>
      </c>
      <c r="C1976" t="s">
        <v>445</v>
      </c>
      <c r="D1976" t="s">
        <v>823</v>
      </c>
      <c r="J1976">
        <v>2</v>
      </c>
    </row>
    <row r="1977" spans="1:10" x14ac:dyDescent="0.25">
      <c r="A1977" t="s">
        <v>26</v>
      </c>
      <c r="B1977" s="1" t="str">
        <f>HYPERLINK("http://boms.fi","boms.fi")</f>
        <v>boms.fi</v>
      </c>
      <c r="C1977" t="s">
        <v>445</v>
      </c>
      <c r="D1977" t="s">
        <v>823</v>
      </c>
      <c r="J1977">
        <v>10</v>
      </c>
    </row>
    <row r="1978" spans="1:10" x14ac:dyDescent="0.25">
      <c r="A1978" t="s">
        <v>26</v>
      </c>
      <c r="B1978" s="1" t="str">
        <f>HYPERLINK("http://caverion.fi","caverion.fi")</f>
        <v>caverion.fi</v>
      </c>
      <c r="C1978" t="s">
        <v>445</v>
      </c>
      <c r="D1978" t="s">
        <v>823</v>
      </c>
      <c r="F1978">
        <v>9.6204111276191502E-8</v>
      </c>
      <c r="G1978">
        <v>420521</v>
      </c>
      <c r="H1978">
        <v>14304120</v>
      </c>
      <c r="I1978">
        <v>1352567</v>
      </c>
      <c r="J1978">
        <v>5</v>
      </c>
    </row>
    <row r="1979" spans="1:10" x14ac:dyDescent="0.25">
      <c r="A1979" t="s">
        <v>26</v>
      </c>
      <c r="B1979" s="1" t="str">
        <f>HYPERLINK("http://caverion-service.fi","caverion-service.fi")</f>
        <v>caverion-service.fi</v>
      </c>
      <c r="C1979" t="s">
        <v>445</v>
      </c>
      <c r="D1979" t="s">
        <v>823</v>
      </c>
      <c r="F1979">
        <v>4.4438097996714899E-9</v>
      </c>
      <c r="G1979">
        <v>79694004</v>
      </c>
      <c r="H1979">
        <v>9692421</v>
      </c>
      <c r="I1979">
        <v>63516572</v>
      </c>
      <c r="J1979">
        <v>8</v>
      </c>
    </row>
    <row r="1980" spans="1:10" x14ac:dyDescent="0.25">
      <c r="A1980" t="s">
        <v>26</v>
      </c>
      <c r="B1980" s="1" t="str">
        <f>HYPERLINK("http://caverionvalvomo.fi","caverionvalvomo.fi")</f>
        <v>caverionvalvomo.fi</v>
      </c>
      <c r="C1980" t="s">
        <v>445</v>
      </c>
      <c r="D1980" t="s">
        <v>823</v>
      </c>
      <c r="J1980">
        <v>8</v>
      </c>
    </row>
    <row r="1981" spans="1:10" x14ac:dyDescent="0.25">
      <c r="A1981" t="s">
        <v>26</v>
      </c>
      <c r="B1981" s="1" t="str">
        <f>HYPERLINK("http://computec.fi","computec.fi")</f>
        <v>computec.fi</v>
      </c>
      <c r="C1981" t="s">
        <v>445</v>
      </c>
      <c r="D1981" t="s">
        <v>823</v>
      </c>
      <c r="J1981">
        <v>7</v>
      </c>
    </row>
    <row r="1982" spans="1:10" x14ac:dyDescent="0.25">
      <c r="A1982" t="s">
        <v>26</v>
      </c>
      <c r="B1982" s="1" t="str">
        <f>HYPERLINK("http://delta-house.fi","delta-house.fi")</f>
        <v>delta-house.fi</v>
      </c>
      <c r="C1982" t="s">
        <v>445</v>
      </c>
      <c r="D1982" t="s">
        <v>823</v>
      </c>
      <c r="J1982">
        <v>10</v>
      </c>
    </row>
    <row r="1983" spans="1:10" x14ac:dyDescent="0.25">
      <c r="A1983" t="s">
        <v>26</v>
      </c>
      <c r="B1983" s="1" t="str">
        <f>HYPERLINK("http://digioneid.fi","digioneid.fi")</f>
        <v>digioneid.fi</v>
      </c>
      <c r="C1983" t="s">
        <v>445</v>
      </c>
      <c r="D1983" t="s">
        <v>823</v>
      </c>
      <c r="J1983">
        <v>10</v>
      </c>
    </row>
    <row r="1984" spans="1:10" x14ac:dyDescent="0.25">
      <c r="A1984" t="s">
        <v>26</v>
      </c>
      <c r="B1984" s="1" t="str">
        <f>HYPERLINK("http://ecmr.fi","ecmr.fi")</f>
        <v>ecmr.fi</v>
      </c>
      <c r="C1984" t="s">
        <v>445</v>
      </c>
      <c r="D1984" t="s">
        <v>823</v>
      </c>
      <c r="F1984">
        <v>4.8529526466434303E-8</v>
      </c>
      <c r="G1984">
        <v>955819</v>
      </c>
      <c r="H1984">
        <v>14416138</v>
      </c>
      <c r="I1984">
        <v>1105658</v>
      </c>
      <c r="J1984">
        <v>10</v>
      </c>
    </row>
    <row r="1985" spans="1:10" x14ac:dyDescent="0.25">
      <c r="A1985" t="s">
        <v>26</v>
      </c>
      <c r="B1985" s="1" t="str">
        <f>HYPERLINK("http://ehuoltokirja.fi","ehuoltokirja.fi")</f>
        <v>ehuoltokirja.fi</v>
      </c>
      <c r="C1985" t="s">
        <v>445</v>
      </c>
      <c r="D1985" t="s">
        <v>823</v>
      </c>
      <c r="J1985">
        <v>7</v>
      </c>
    </row>
    <row r="1986" spans="1:10" x14ac:dyDescent="0.25">
      <c r="A1986" t="s">
        <v>26</v>
      </c>
      <c r="B1986" s="1" t="str">
        <f>HYPERLINK("http://ekasikirja.fi","ekasikirja.fi")</f>
        <v>ekasikirja.fi</v>
      </c>
      <c r="C1986" t="s">
        <v>445</v>
      </c>
      <c r="D1986" t="s">
        <v>823</v>
      </c>
      <c r="J1986">
        <v>7</v>
      </c>
    </row>
    <row r="1987" spans="1:10" x14ac:dyDescent="0.25">
      <c r="A1987" t="s">
        <v>26</v>
      </c>
      <c r="B1987" s="1" t="str">
        <f>HYPERLINK("http://ennakoi.fi","ennakoi.fi")</f>
        <v>ennakoi.fi</v>
      </c>
      <c r="C1987" t="s">
        <v>445</v>
      </c>
      <c r="D1987" t="s">
        <v>823</v>
      </c>
      <c r="F1987">
        <v>5.1482819025054297E-9</v>
      </c>
      <c r="G1987">
        <v>26115734</v>
      </c>
      <c r="H1987">
        <v>10955506</v>
      </c>
      <c r="I1987">
        <v>34460516</v>
      </c>
      <c r="J1987">
        <v>7</v>
      </c>
    </row>
    <row r="1988" spans="1:10" x14ac:dyDescent="0.25">
      <c r="A1988" t="s">
        <v>26</v>
      </c>
      <c r="B1988" s="1" t="str">
        <f>HYPERLINK("http://eulerhermes.fi","eulerhermes.fi")</f>
        <v>eulerhermes.fi</v>
      </c>
      <c r="C1988" t="s">
        <v>445</v>
      </c>
      <c r="D1988" t="s">
        <v>823</v>
      </c>
      <c r="F1988">
        <v>1.11775208031908E-8</v>
      </c>
      <c r="G1988">
        <v>5728813</v>
      </c>
      <c r="H1988">
        <v>13764587</v>
      </c>
      <c r="I1988">
        <v>7231330</v>
      </c>
      <c r="J1988">
        <v>4</v>
      </c>
    </row>
    <row r="1989" spans="1:10" x14ac:dyDescent="0.25">
      <c r="A1989" t="s">
        <v>26</v>
      </c>
      <c r="B1989" s="1" t="str">
        <f>HYPERLINK("http://goelectrix.fi","goelectrix.fi")</f>
        <v>goelectrix.fi</v>
      </c>
      <c r="C1989" t="s">
        <v>445</v>
      </c>
      <c r="D1989" t="s">
        <v>823</v>
      </c>
      <c r="J1989">
        <v>4</v>
      </c>
    </row>
    <row r="1990" spans="1:10" x14ac:dyDescent="0.25">
      <c r="A1990" t="s">
        <v>26</v>
      </c>
      <c r="B1990" s="1" t="str">
        <f>HYPERLINK("http://hslid.fi","hslid.fi")</f>
        <v>hslid.fi</v>
      </c>
      <c r="C1990" t="s">
        <v>445</v>
      </c>
      <c r="D1990" t="s">
        <v>823</v>
      </c>
      <c r="F1990">
        <v>8.9029216090106192E-9</v>
      </c>
      <c r="G1990">
        <v>8139536</v>
      </c>
      <c r="H1990">
        <v>10998937</v>
      </c>
      <c r="I1990">
        <v>33601819</v>
      </c>
      <c r="J1990">
        <v>10</v>
      </c>
    </row>
    <row r="1991" spans="1:10" x14ac:dyDescent="0.25">
      <c r="A1991" t="s">
        <v>26</v>
      </c>
      <c r="B1991" s="1" t="str">
        <f>HYPERLINK("http://iotflex.fi","iotflex.fi")</f>
        <v>iotflex.fi</v>
      </c>
      <c r="C1991" t="s">
        <v>445</v>
      </c>
      <c r="D1991" t="s">
        <v>823</v>
      </c>
      <c r="J1991">
        <v>7</v>
      </c>
    </row>
    <row r="1992" spans="1:10" x14ac:dyDescent="0.25">
      <c r="A1992" t="s">
        <v>26</v>
      </c>
      <c r="B1992" s="1" t="str">
        <f>HYPERLINK("http://jobkauppa.fi","jobkauppa.fi")</f>
        <v>jobkauppa.fi</v>
      </c>
      <c r="C1992" t="s">
        <v>445</v>
      </c>
      <c r="D1992" t="s">
        <v>823</v>
      </c>
      <c r="F1992">
        <v>6.8814909946035199E-9</v>
      </c>
      <c r="G1992">
        <v>12692116</v>
      </c>
      <c r="H1992">
        <v>12413772</v>
      </c>
      <c r="I1992">
        <v>18554516</v>
      </c>
      <c r="J1992">
        <v>10</v>
      </c>
    </row>
    <row r="1993" spans="1:10" x14ac:dyDescent="0.25">
      <c r="A1993" t="s">
        <v>26</v>
      </c>
      <c r="B1993" s="1" t="str">
        <f>HYPERLINK("http://jobkiinteistotekniikka.fi","jobkiinteistotekniikka.fi")</f>
        <v>jobkiinteistotekniikka.fi</v>
      </c>
      <c r="C1993" t="s">
        <v>445</v>
      </c>
      <c r="D1993" t="s">
        <v>823</v>
      </c>
      <c r="F1993">
        <v>4.4438321757244099E-9</v>
      </c>
      <c r="G1993">
        <v>79016385</v>
      </c>
      <c r="H1993">
        <v>10350525</v>
      </c>
      <c r="I1993">
        <v>56339959</v>
      </c>
      <c r="J1993">
        <v>9</v>
      </c>
    </row>
    <row r="1994" spans="1:10" x14ac:dyDescent="0.25">
      <c r="A1994" t="s">
        <v>26</v>
      </c>
      <c r="B1994" s="1" t="str">
        <f>HYPERLINK("http://kara.fi","kara.fi")</f>
        <v>kara.fi</v>
      </c>
      <c r="C1994" t="s">
        <v>445</v>
      </c>
      <c r="D1994" t="s">
        <v>823</v>
      </c>
      <c r="F1994">
        <v>5.5575015466498101E-9</v>
      </c>
      <c r="G1994">
        <v>20299665</v>
      </c>
      <c r="H1994">
        <v>10343789</v>
      </c>
      <c r="I1994">
        <v>57702462</v>
      </c>
      <c r="J1994">
        <v>10</v>
      </c>
    </row>
    <row r="1995" spans="1:10" x14ac:dyDescent="0.25">
      <c r="A1995" t="s">
        <v>26</v>
      </c>
      <c r="B1995" s="1" t="str">
        <f>HYPERLINK("http://kiinteistotekniikka.fi","kiinteistotekniikka.fi")</f>
        <v>kiinteistotekniikka.fi</v>
      </c>
      <c r="C1995" t="s">
        <v>445</v>
      </c>
      <c r="D1995" t="s">
        <v>823</v>
      </c>
      <c r="J1995">
        <v>7</v>
      </c>
    </row>
    <row r="1996" spans="1:10" x14ac:dyDescent="0.25">
      <c r="A1996" t="s">
        <v>26</v>
      </c>
      <c r="B1996" s="1" t="str">
        <f>HYPERLINK("http://kiinteistovalvomo.fi","kiinteistovalvomo.fi")</f>
        <v>kiinteistovalvomo.fi</v>
      </c>
      <c r="C1996" t="s">
        <v>445</v>
      </c>
      <c r="D1996" t="s">
        <v>823</v>
      </c>
      <c r="J1996">
        <v>8</v>
      </c>
    </row>
    <row r="1997" spans="1:10" x14ac:dyDescent="0.25">
      <c r="A1997" t="s">
        <v>26</v>
      </c>
      <c r="B1997" s="1" t="str">
        <f>HYPERLINK("http://kodinuudistajat.fi","kodinuudistajat.fi")</f>
        <v>kodinuudistajat.fi</v>
      </c>
      <c r="C1997" t="s">
        <v>445</v>
      </c>
      <c r="D1997" t="s">
        <v>823</v>
      </c>
      <c r="J1997">
        <v>7</v>
      </c>
    </row>
    <row r="1998" spans="1:10" x14ac:dyDescent="0.25">
      <c r="A1998" t="s">
        <v>26</v>
      </c>
      <c r="B1998" s="1" t="str">
        <f>HYPERLINK("http://luottovakuutus.fi","luottovakuutus.fi")</f>
        <v>luottovakuutus.fi</v>
      </c>
      <c r="C1998" t="s">
        <v>445</v>
      </c>
      <c r="D1998" t="s">
        <v>823</v>
      </c>
      <c r="J1998">
        <v>2</v>
      </c>
    </row>
    <row r="1999" spans="1:10" x14ac:dyDescent="0.25">
      <c r="A1999" t="s">
        <v>26</v>
      </c>
      <c r="B1999" s="1" t="str">
        <f>HYPERLINK("http://luxcool.fi","luxcool.fi")</f>
        <v>luxcool.fi</v>
      </c>
      <c r="C1999" t="s">
        <v>445</v>
      </c>
      <c r="D1999" t="s">
        <v>823</v>
      </c>
      <c r="J1999">
        <v>7</v>
      </c>
    </row>
    <row r="2000" spans="1:10" x14ac:dyDescent="0.25">
      <c r="A2000" t="s">
        <v>26</v>
      </c>
      <c r="B2000" s="1" t="str">
        <f>HYPERLINK("http://mysync.fi","mysync.fi")</f>
        <v>mysync.fi</v>
      </c>
      <c r="C2000" t="s">
        <v>445</v>
      </c>
      <c r="D2000" t="s">
        <v>823</v>
      </c>
      <c r="F2000">
        <v>7.0345003496649399E-9</v>
      </c>
      <c r="G2000">
        <v>12210884</v>
      </c>
      <c r="H2000">
        <v>12398526</v>
      </c>
      <c r="I2000">
        <v>18876876</v>
      </c>
      <c r="J2000">
        <v>10</v>
      </c>
    </row>
    <row r="2001" spans="1:10" x14ac:dyDescent="0.25">
      <c r="A2001" t="s">
        <v>26</v>
      </c>
      <c r="B2001" s="1" t="str">
        <f>HYPERLINK("http://niagara.fi","niagara.fi")</f>
        <v>niagara.fi</v>
      </c>
      <c r="C2001" t="s">
        <v>445</v>
      </c>
      <c r="D2001" t="s">
        <v>823</v>
      </c>
      <c r="J2001">
        <v>7</v>
      </c>
    </row>
    <row r="2002" spans="1:10" x14ac:dyDescent="0.25">
      <c r="A2002" t="s">
        <v>26</v>
      </c>
      <c r="B2002" s="1" t="str">
        <f>HYPERLINK("http://oneportal.fi","oneportal.fi")</f>
        <v>oneportal.fi</v>
      </c>
      <c r="C2002" t="s">
        <v>445</v>
      </c>
      <c r="D2002" t="s">
        <v>823</v>
      </c>
      <c r="F2002">
        <v>4.44380395335525E-9</v>
      </c>
      <c r="G2002">
        <v>84779629</v>
      </c>
      <c r="H2002">
        <v>0</v>
      </c>
      <c r="I2002">
        <v>85894354</v>
      </c>
      <c r="J2002">
        <v>10</v>
      </c>
    </row>
    <row r="2003" spans="1:10" x14ac:dyDescent="0.25">
      <c r="A2003" t="s">
        <v>26</v>
      </c>
      <c r="B2003" s="1" t="str">
        <f>HYPERLINK("http://ox2.fi","ox2.fi")</f>
        <v>ox2.fi</v>
      </c>
      <c r="C2003" t="s">
        <v>445</v>
      </c>
      <c r="D2003" t="s">
        <v>823</v>
      </c>
      <c r="J2003">
        <v>8</v>
      </c>
    </row>
    <row r="2004" spans="1:10" x14ac:dyDescent="0.25">
      <c r="A2004" t="s">
        <v>26</v>
      </c>
      <c r="B2004" s="1" t="str">
        <f>HYPERLINK("http://ox2-info.fi","ox2-info.fi")</f>
        <v>ox2-info.fi</v>
      </c>
      <c r="C2004" t="s">
        <v>445</v>
      </c>
      <c r="D2004" t="s">
        <v>823</v>
      </c>
      <c r="J2004">
        <v>8</v>
      </c>
    </row>
    <row r="2005" spans="1:10" x14ac:dyDescent="0.25">
      <c r="A2005" t="s">
        <v>26</v>
      </c>
      <c r="B2005" s="1" t="str">
        <f>HYPERLINK("http://petplan.fi","petplan.fi")</f>
        <v>petplan.fi</v>
      </c>
      <c r="C2005" t="s">
        <v>445</v>
      </c>
      <c r="D2005" t="s">
        <v>823</v>
      </c>
      <c r="J2005">
        <v>4</v>
      </c>
    </row>
    <row r="2006" spans="1:10" x14ac:dyDescent="0.25">
      <c r="A2006" t="s">
        <v>26</v>
      </c>
      <c r="B2006" s="1" t="str">
        <f>HYPERLINK("http://pimco.fi","pimco.fi")</f>
        <v>pimco.fi</v>
      </c>
      <c r="C2006" t="s">
        <v>445</v>
      </c>
      <c r="D2006" t="s">
        <v>823</v>
      </c>
      <c r="F2006">
        <v>1.28266967085095E-8</v>
      </c>
      <c r="G2006">
        <v>4715553</v>
      </c>
      <c r="H2006">
        <v>12251298</v>
      </c>
      <c r="I2006">
        <v>21988937</v>
      </c>
      <c r="J2006">
        <v>4</v>
      </c>
    </row>
    <row r="2007" spans="1:10" x14ac:dyDescent="0.25">
      <c r="A2007" t="s">
        <v>26</v>
      </c>
      <c r="B2007" s="1" t="str">
        <f>HYPERLINK("http://powerpp.fi","powerpp.fi")</f>
        <v>powerpp.fi</v>
      </c>
      <c r="C2007" t="s">
        <v>445</v>
      </c>
      <c r="D2007" t="s">
        <v>823</v>
      </c>
      <c r="F2007">
        <v>6.46504744231843E-9</v>
      </c>
      <c r="G2007">
        <v>14227110</v>
      </c>
      <c r="H2007">
        <v>11966749</v>
      </c>
      <c r="I2007">
        <v>28767925</v>
      </c>
      <c r="J2007">
        <v>6</v>
      </c>
    </row>
    <row r="2008" spans="1:10" x14ac:dyDescent="0.25">
      <c r="A2008" t="s">
        <v>26</v>
      </c>
      <c r="B2008" s="1" t="str">
        <f>HYPERLINK("http://serviflex.fi","serviflex.fi")</f>
        <v>serviflex.fi</v>
      </c>
      <c r="C2008" t="s">
        <v>445</v>
      </c>
      <c r="D2008" t="s">
        <v>823</v>
      </c>
      <c r="J2008">
        <v>7</v>
      </c>
    </row>
    <row r="2009" spans="1:10" x14ac:dyDescent="0.25">
      <c r="A2009" t="s">
        <v>26</v>
      </c>
      <c r="B2009" s="1" t="str">
        <f>HYPERLINK("http://serviflexplus.fi","serviflexplus.fi")</f>
        <v>serviflexplus.fi</v>
      </c>
      <c r="C2009" t="s">
        <v>445</v>
      </c>
      <c r="D2009" t="s">
        <v>823</v>
      </c>
      <c r="J2009">
        <v>7</v>
      </c>
    </row>
    <row r="2010" spans="1:10" x14ac:dyDescent="0.25">
      <c r="A2010" t="s">
        <v>26</v>
      </c>
      <c r="B2010" s="1" t="str">
        <f>HYPERLINK("http://simplesurance.fi","simplesurance.fi")</f>
        <v>simplesurance.fi</v>
      </c>
      <c r="C2010" t="s">
        <v>445</v>
      </c>
      <c r="D2010" t="s">
        <v>823</v>
      </c>
      <c r="J2010">
        <v>2</v>
      </c>
    </row>
    <row r="2011" spans="1:10" x14ac:dyDescent="0.25">
      <c r="A2011" t="s">
        <v>26</v>
      </c>
      <c r="B2011" s="1" t="str">
        <f>HYPERLINK("http://stenius.fi","stenius.fi")</f>
        <v>stenius.fi</v>
      </c>
      <c r="C2011" t="s">
        <v>445</v>
      </c>
      <c r="D2011" t="s">
        <v>823</v>
      </c>
      <c r="J2011">
        <v>10</v>
      </c>
    </row>
    <row r="2012" spans="1:10" x14ac:dyDescent="0.25">
      <c r="A2012" t="s">
        <v>26</v>
      </c>
      <c r="B2012" s="1" t="str">
        <f>HYPERLINK("http://suomiid.fi","suomiid.fi")</f>
        <v>suomiid.fi</v>
      </c>
      <c r="C2012" t="s">
        <v>445</v>
      </c>
      <c r="D2012" t="s">
        <v>823</v>
      </c>
      <c r="J2012">
        <v>10</v>
      </c>
    </row>
    <row r="2013" spans="1:10" x14ac:dyDescent="0.25">
      <c r="A2013" t="s">
        <v>26</v>
      </c>
      <c r="B2013" s="1" t="str">
        <f>HYPERLINK("http://t5.fi","t5.fi")</f>
        <v>t5.fi</v>
      </c>
      <c r="C2013" t="s">
        <v>445</v>
      </c>
      <c r="D2013" t="s">
        <v>823</v>
      </c>
      <c r="F2013">
        <v>4.4807815228384399E-8</v>
      </c>
      <c r="G2013">
        <v>1055313</v>
      </c>
      <c r="H2013">
        <v>14238035</v>
      </c>
      <c r="I2013">
        <v>1534718</v>
      </c>
      <c r="J2013">
        <v>10</v>
      </c>
    </row>
    <row r="2014" spans="1:10" x14ac:dyDescent="0.25">
      <c r="A2014" t="s">
        <v>26</v>
      </c>
      <c r="B2014" s="1" t="str">
        <f>HYPERLINK("http://taloyhtiopalvelut.fi","taloyhtiopalvelut.fi")</f>
        <v>taloyhtiopalvelut.fi</v>
      </c>
      <c r="C2014" t="s">
        <v>445</v>
      </c>
      <c r="D2014" t="s">
        <v>823</v>
      </c>
      <c r="J2014">
        <v>7</v>
      </c>
    </row>
    <row r="2015" spans="1:10" x14ac:dyDescent="0.25">
      <c r="A2015" t="s">
        <v>26</v>
      </c>
      <c r="B2015" s="1" t="str">
        <f>HYPERLINK("http://tievalot.fi","tievalot.fi")</f>
        <v>tievalot.fi</v>
      </c>
      <c r="C2015" t="s">
        <v>445</v>
      </c>
      <c r="D2015" t="s">
        <v>823</v>
      </c>
      <c r="J2015">
        <v>8</v>
      </c>
    </row>
    <row r="2016" spans="1:10" x14ac:dyDescent="0.25">
      <c r="A2016" t="s">
        <v>26</v>
      </c>
      <c r="B2016" s="1" t="str">
        <f>HYPERLINK("http://tmvjakelu.fi","tmvjakelu.fi")</f>
        <v>tmvjakelu.fi</v>
      </c>
      <c r="C2016" t="s">
        <v>445</v>
      </c>
      <c r="D2016" t="s">
        <v>823</v>
      </c>
      <c r="J2016">
        <v>5</v>
      </c>
    </row>
    <row r="2017" spans="1:10" x14ac:dyDescent="0.25">
      <c r="A2017" t="s">
        <v>26</v>
      </c>
      <c r="B2017" s="1" t="str">
        <f>HYPERLINK("http://tmvline.fi","tmvline.fi")</f>
        <v>tmvline.fi</v>
      </c>
      <c r="C2017" t="s">
        <v>445</v>
      </c>
      <c r="D2017" t="s">
        <v>823</v>
      </c>
      <c r="J2017">
        <v>5</v>
      </c>
    </row>
    <row r="2018" spans="1:10" x14ac:dyDescent="0.25">
      <c r="A2018" t="s">
        <v>26</v>
      </c>
      <c r="B2018" s="1" t="str">
        <f>HYPERLINK("http://tmvoima.fi","tmvoima.fi")</f>
        <v>tmvoima.fi</v>
      </c>
      <c r="C2018" t="s">
        <v>445</v>
      </c>
      <c r="D2018" t="s">
        <v>823</v>
      </c>
      <c r="F2018">
        <v>5.5199133709885496E-9</v>
      </c>
      <c r="G2018">
        <v>20688497</v>
      </c>
      <c r="H2018">
        <v>10857454</v>
      </c>
      <c r="I2018">
        <v>36711471</v>
      </c>
      <c r="J2018">
        <v>3</v>
      </c>
    </row>
    <row r="2019" spans="1:10" x14ac:dyDescent="0.25">
      <c r="A2019" t="s">
        <v>26</v>
      </c>
      <c r="B2019" s="1" t="str">
        <f>HYPERLINK("http://tmvpower.fi","tmvpower.fi")</f>
        <v>tmvpower.fi</v>
      </c>
      <c r="C2019" t="s">
        <v>445</v>
      </c>
      <c r="D2019" t="s">
        <v>823</v>
      </c>
      <c r="J2019">
        <v>5</v>
      </c>
    </row>
    <row r="2020" spans="1:10" x14ac:dyDescent="0.25">
      <c r="A2020" t="s">
        <v>26</v>
      </c>
      <c r="B2020" s="1" t="str">
        <f>HYPERLINK("http://tmvservice.fi","tmvservice.fi")</f>
        <v>tmvservice.fi</v>
      </c>
      <c r="C2020" t="s">
        <v>445</v>
      </c>
      <c r="D2020" t="s">
        <v>823</v>
      </c>
      <c r="J2020">
        <v>5</v>
      </c>
    </row>
    <row r="2021" spans="1:10" x14ac:dyDescent="0.25">
      <c r="A2021" t="s">
        <v>26</v>
      </c>
      <c r="B2021" s="1" t="str">
        <f>HYPERLINK("http://toimitilajohtaminen.fi","toimitilajohtaminen.fi")</f>
        <v>toimitilajohtaminen.fi</v>
      </c>
      <c r="C2021" t="s">
        <v>445</v>
      </c>
      <c r="D2021" t="s">
        <v>823</v>
      </c>
      <c r="J2021">
        <v>7</v>
      </c>
    </row>
    <row r="2022" spans="1:10" x14ac:dyDescent="0.25">
      <c r="A2022" t="s">
        <v>26</v>
      </c>
      <c r="B2022" s="1" t="str">
        <f>HYPERLINK("http://tradehouse.fi","tradehouse.fi")</f>
        <v>tradehouse.fi</v>
      </c>
      <c r="C2022" t="s">
        <v>445</v>
      </c>
      <c r="D2022" t="s">
        <v>823</v>
      </c>
      <c r="J2022">
        <v>10</v>
      </c>
    </row>
    <row r="2023" spans="1:10" x14ac:dyDescent="0.25">
      <c r="A2023" t="s">
        <v>26</v>
      </c>
      <c r="B2023" s="1" t="str">
        <f>HYPERLINK("http://trivore.fi","trivore.fi")</f>
        <v>trivore.fi</v>
      </c>
      <c r="C2023" t="s">
        <v>445</v>
      </c>
      <c r="D2023" t="s">
        <v>823</v>
      </c>
      <c r="F2023">
        <v>5.0164076139239802E-9</v>
      </c>
      <c r="G2023">
        <v>28985332</v>
      </c>
      <c r="H2023">
        <v>8680312</v>
      </c>
      <c r="I2023">
        <v>70103314</v>
      </c>
      <c r="J2023">
        <v>10</v>
      </c>
    </row>
    <row r="2024" spans="1:10" x14ac:dyDescent="0.25">
      <c r="A2024" t="s">
        <v>26</v>
      </c>
      <c r="B2024" s="1" t="str">
        <f>HYPERLINK("http://trivoreiam.fi","trivoreiam.fi")</f>
        <v>trivoreiam.fi</v>
      </c>
      <c r="C2024" t="s">
        <v>445</v>
      </c>
      <c r="D2024" t="s">
        <v>823</v>
      </c>
      <c r="J2024">
        <v>10</v>
      </c>
    </row>
    <row r="2025" spans="1:10" x14ac:dyDescent="0.25">
      <c r="A2025" t="s">
        <v>26</v>
      </c>
      <c r="B2025" s="1" t="str">
        <f>HYPERLINK("http://trivoreid.fi","trivoreid.fi")</f>
        <v>trivoreid.fi</v>
      </c>
      <c r="C2025" t="s">
        <v>445</v>
      </c>
      <c r="D2025" t="s">
        <v>823</v>
      </c>
      <c r="J2025">
        <v>10</v>
      </c>
    </row>
    <row r="2026" spans="1:10" x14ac:dyDescent="0.25">
      <c r="A2026" t="s">
        <v>26</v>
      </c>
      <c r="B2026" s="1" t="str">
        <f>HYPERLINK("http://ulkovalot.fi","ulkovalot.fi")</f>
        <v>ulkovalot.fi</v>
      </c>
      <c r="C2026" t="s">
        <v>445</v>
      </c>
      <c r="D2026" t="s">
        <v>823</v>
      </c>
      <c r="J2026">
        <v>8</v>
      </c>
    </row>
    <row r="2027" spans="1:10" x14ac:dyDescent="0.25">
      <c r="A2027" t="s">
        <v>26</v>
      </c>
      <c r="B2027" s="1" t="str">
        <f>HYPERLINK("http://uudistajat.fi","uudistajat.fi")</f>
        <v>uudistajat.fi</v>
      </c>
      <c r="C2027" t="s">
        <v>445</v>
      </c>
      <c r="D2027" t="s">
        <v>823</v>
      </c>
      <c r="J2027">
        <v>7</v>
      </c>
    </row>
    <row r="2028" spans="1:10" x14ac:dyDescent="0.25">
      <c r="A2028" t="s">
        <v>26</v>
      </c>
      <c r="B2028" s="1" t="str">
        <f>HYPERLINK("http://veikkola.fi","veikkola.fi")</f>
        <v>veikkola.fi</v>
      </c>
      <c r="C2028" t="s">
        <v>445</v>
      </c>
      <c r="D2028" t="s">
        <v>823</v>
      </c>
      <c r="F2028">
        <v>4.6290822434076702E-9</v>
      </c>
      <c r="G2028">
        <v>45499323</v>
      </c>
      <c r="H2028">
        <v>10534100</v>
      </c>
      <c r="I2028">
        <v>47789080</v>
      </c>
      <c r="J2028">
        <v>10</v>
      </c>
    </row>
    <row r="2029" spans="1:10" x14ac:dyDescent="0.25">
      <c r="A2029" t="s">
        <v>26</v>
      </c>
      <c r="B2029" s="1" t="str">
        <f>HYPERLINK("http://visi.fi","visi.fi")</f>
        <v>visi.fi</v>
      </c>
      <c r="C2029" t="s">
        <v>445</v>
      </c>
      <c r="D2029" t="s">
        <v>823</v>
      </c>
      <c r="F2029">
        <v>5.4785589585451999E-9</v>
      </c>
      <c r="G2029">
        <v>21144220</v>
      </c>
      <c r="H2029">
        <v>10836192</v>
      </c>
      <c r="I2029">
        <v>37258642</v>
      </c>
      <c r="J2029">
        <v>7</v>
      </c>
    </row>
    <row r="2030" spans="1:10" x14ac:dyDescent="0.25">
      <c r="A2030" t="s">
        <v>26</v>
      </c>
      <c r="B2030" s="1" t="str">
        <f>HYPERLINK("http://walttiid.fi","walttiid.fi")</f>
        <v>walttiid.fi</v>
      </c>
      <c r="C2030" t="s">
        <v>445</v>
      </c>
      <c r="D2030" t="s">
        <v>823</v>
      </c>
      <c r="J2030">
        <v>10</v>
      </c>
    </row>
    <row r="2031" spans="1:10" x14ac:dyDescent="0.25">
      <c r="A2031" t="s">
        <v>26</v>
      </c>
      <c r="B2031" s="1" t="str">
        <f>HYPERLINK("http://wico.fi","wico.fi")</f>
        <v>wico.fi</v>
      </c>
      <c r="C2031" t="s">
        <v>445</v>
      </c>
      <c r="D2031" t="s">
        <v>823</v>
      </c>
      <c r="J2031">
        <v>7</v>
      </c>
    </row>
    <row r="2032" spans="1:10" x14ac:dyDescent="0.25">
      <c r="A2032" t="s">
        <v>26</v>
      </c>
      <c r="B2032" s="1" t="str">
        <f>HYPERLINK("http://wicoinspections.fi","wicoinspections.fi")</f>
        <v>wicoinspections.fi</v>
      </c>
      <c r="C2032" t="s">
        <v>445</v>
      </c>
      <c r="D2032" t="s">
        <v>823</v>
      </c>
      <c r="F2032">
        <v>5.2062996467793797E-9</v>
      </c>
      <c r="G2032">
        <v>24991061</v>
      </c>
      <c r="H2032">
        <v>9397372</v>
      </c>
      <c r="I2032">
        <v>67308985</v>
      </c>
      <c r="J2032">
        <v>7</v>
      </c>
    </row>
    <row r="2033" spans="1:10" x14ac:dyDescent="0.25">
      <c r="A2033" t="s">
        <v>26</v>
      </c>
      <c r="B2033" s="1" t="str">
        <f>HYPERLINK("http://wicosafety.fi","wicosafety.fi")</f>
        <v>wicosafety.fi</v>
      </c>
      <c r="C2033" t="s">
        <v>445</v>
      </c>
      <c r="D2033" t="s">
        <v>823</v>
      </c>
      <c r="F2033">
        <v>5.1571016733662703E-9</v>
      </c>
      <c r="G2033">
        <v>25951975</v>
      </c>
      <c r="H2033">
        <v>9397372</v>
      </c>
      <c r="I2033">
        <v>67308986</v>
      </c>
      <c r="J2033">
        <v>7</v>
      </c>
    </row>
    <row r="2034" spans="1:10" x14ac:dyDescent="0.25">
      <c r="A2034" t="s">
        <v>26</v>
      </c>
      <c r="B2034" s="1" t="str">
        <f>HYPERLINK("http://windcontroller.fi","windcontroller.fi")</f>
        <v>windcontroller.fi</v>
      </c>
      <c r="C2034" t="s">
        <v>445</v>
      </c>
      <c r="D2034" t="s">
        <v>823</v>
      </c>
      <c r="F2034">
        <v>8.4113132830716998E-9</v>
      </c>
      <c r="G2034">
        <v>9019727</v>
      </c>
      <c r="H2034">
        <v>12158057</v>
      </c>
      <c r="I2034">
        <v>24419969</v>
      </c>
      <c r="J2034">
        <v>7</v>
      </c>
    </row>
    <row r="2035" spans="1:10" x14ac:dyDescent="0.25">
      <c r="A2035" t="s">
        <v>26</v>
      </c>
      <c r="B2035" s="1" t="str">
        <f>HYPERLINK("http://wt-service.fi","wt-service.fi")</f>
        <v>wt-service.fi</v>
      </c>
      <c r="C2035" t="s">
        <v>445</v>
      </c>
      <c r="D2035" t="s">
        <v>823</v>
      </c>
      <c r="J2035">
        <v>7</v>
      </c>
    </row>
    <row r="2036" spans="1:10" x14ac:dyDescent="0.25">
      <c r="A2036" t="s">
        <v>26</v>
      </c>
      <c r="B2036" s="1" t="str">
        <f>HYPERLINK("http://wtservice.fi","wtservice.fi")</f>
        <v>wtservice.fi</v>
      </c>
      <c r="C2036" t="s">
        <v>445</v>
      </c>
      <c r="D2036" t="s">
        <v>823</v>
      </c>
      <c r="F2036">
        <v>4.5098661916850803E-9</v>
      </c>
      <c r="G2036">
        <v>57521357</v>
      </c>
      <c r="H2036">
        <v>10723301</v>
      </c>
      <c r="I2036">
        <v>41514989</v>
      </c>
      <c r="J2036">
        <v>7</v>
      </c>
    </row>
    <row r="2037" spans="1:10" x14ac:dyDescent="0.25">
      <c r="A2037" t="s">
        <v>26</v>
      </c>
      <c r="B2037" s="1" t="str">
        <f>HYPERLINK("http://xii.fi","xii.fi")</f>
        <v>xii.fi</v>
      </c>
      <c r="C2037" t="s">
        <v>445</v>
      </c>
      <c r="D2037" t="s">
        <v>823</v>
      </c>
      <c r="J2037">
        <v>10</v>
      </c>
    </row>
    <row r="2038" spans="1:10" x14ac:dyDescent="0.25">
      <c r="A2038" t="s">
        <v>26</v>
      </c>
      <c r="B2038" s="1" t="str">
        <f>HYPERLINK("http://yitvalvomo.fi","yitvalvomo.fi")</f>
        <v>yitvalvomo.fi</v>
      </c>
      <c r="C2038" t="s">
        <v>445</v>
      </c>
      <c r="D2038" t="s">
        <v>823</v>
      </c>
      <c r="J2038">
        <v>8</v>
      </c>
    </row>
    <row r="2039" spans="1:10" x14ac:dyDescent="0.25">
      <c r="A2039" t="s">
        <v>26</v>
      </c>
      <c r="B2039" s="1" t="str">
        <f>HYPERLINK("http://allianz.fr","allianz.fr")</f>
        <v>allianz.fr</v>
      </c>
      <c r="C2039" t="s">
        <v>446</v>
      </c>
      <c r="D2039" t="s">
        <v>824</v>
      </c>
      <c r="E2039">
        <v>101680</v>
      </c>
      <c r="F2039">
        <v>9.1844452637404701E-7</v>
      </c>
      <c r="G2039">
        <v>42105</v>
      </c>
      <c r="H2039">
        <v>17116226</v>
      </c>
      <c r="I2039">
        <v>60957</v>
      </c>
      <c r="J2039">
        <v>2</v>
      </c>
    </row>
    <row r="2040" spans="1:10" x14ac:dyDescent="0.25">
      <c r="A2040" t="s">
        <v>26</v>
      </c>
      <c r="B2040" s="1" t="str">
        <f>HYPERLINK("http://allianz-fabien-ducluzeau.fr","allianz-fabien-ducluzeau.fr")</f>
        <v>allianz-fabien-ducluzeau.fr</v>
      </c>
      <c r="C2040" t="s">
        <v>446</v>
      </c>
      <c r="D2040" t="s">
        <v>824</v>
      </c>
      <c r="J2040">
        <v>4</v>
      </c>
    </row>
    <row r="2041" spans="1:10" x14ac:dyDescent="0.25">
      <c r="A2041" t="s">
        <v>26</v>
      </c>
      <c r="B2041" s="1" t="str">
        <f>HYPERLINK("http://allianz-partners.fr","allianz-partners.fr")</f>
        <v>allianz-partners.fr</v>
      </c>
      <c r="C2041" t="s">
        <v>446</v>
      </c>
      <c r="D2041" t="s">
        <v>824</v>
      </c>
      <c r="F2041">
        <v>4.42527678956857E-8</v>
      </c>
      <c r="G2041">
        <v>1073136</v>
      </c>
      <c r="H2041">
        <v>14236872</v>
      </c>
      <c r="I2041">
        <v>1567350</v>
      </c>
      <c r="J2041">
        <v>5</v>
      </c>
    </row>
    <row r="2042" spans="1:10" x14ac:dyDescent="0.25">
      <c r="A2042" t="s">
        <v>26</v>
      </c>
      <c r="B2042" s="1" t="str">
        <f>HYPERLINK("http://allianz-trade.fr","allianz-trade.fr")</f>
        <v>allianz-trade.fr</v>
      </c>
      <c r="C2042" t="s">
        <v>446</v>
      </c>
      <c r="D2042" t="s">
        <v>824</v>
      </c>
      <c r="E2042">
        <v>842969</v>
      </c>
      <c r="F2042">
        <v>1.5880112136238601E-7</v>
      </c>
      <c r="G2042">
        <v>244487</v>
      </c>
      <c r="H2042">
        <v>12681001</v>
      </c>
      <c r="I2042">
        <v>15491849</v>
      </c>
      <c r="J2042">
        <v>6</v>
      </c>
    </row>
    <row r="2043" spans="1:10" x14ac:dyDescent="0.25">
      <c r="A2043" t="s">
        <v>26</v>
      </c>
      <c r="B2043" s="1" t="str">
        <f>HYPERLINK("http://allianz-voyage.fr","allianz-voyage.fr")</f>
        <v>allianz-voyage.fr</v>
      </c>
      <c r="C2043" t="s">
        <v>446</v>
      </c>
      <c r="D2043" t="s">
        <v>824</v>
      </c>
      <c r="E2043">
        <v>435449</v>
      </c>
      <c r="F2043">
        <v>1.09501391261967E-7</v>
      </c>
      <c r="G2043">
        <v>365332</v>
      </c>
      <c r="H2043">
        <v>13070187</v>
      </c>
      <c r="I2043">
        <v>12246894</v>
      </c>
      <c r="J2043">
        <v>3</v>
      </c>
    </row>
    <row r="2044" spans="1:10" x14ac:dyDescent="0.25">
      <c r="A2044" t="s">
        <v>26</v>
      </c>
      <c r="B2044" s="1" t="str">
        <f>HYPERLINK("http://allianz-worldwide-partners.fr","allianz-worldwide-partners.fr")</f>
        <v>allianz-worldwide-partners.fr</v>
      </c>
      <c r="C2044" t="s">
        <v>446</v>
      </c>
      <c r="D2044" t="s">
        <v>824</v>
      </c>
      <c r="F2044">
        <v>2.9011931805491401E-8</v>
      </c>
      <c r="G2044">
        <v>1774670</v>
      </c>
      <c r="H2044">
        <v>13395938</v>
      </c>
      <c r="I2044">
        <v>10377604</v>
      </c>
      <c r="J2044">
        <v>5</v>
      </c>
    </row>
    <row r="2045" spans="1:10" x14ac:dyDescent="0.25">
      <c r="A2045" t="s">
        <v>26</v>
      </c>
      <c r="B2045" s="1" t="str">
        <f>HYPERLINK("http://allianzbanque.fr","allianzbanque.fr")</f>
        <v>allianzbanque.fr</v>
      </c>
      <c r="C2045" t="s">
        <v>446</v>
      </c>
      <c r="D2045" t="s">
        <v>824</v>
      </c>
      <c r="F2045">
        <v>4.39578533876141E-8</v>
      </c>
      <c r="G2045">
        <v>1083032</v>
      </c>
      <c r="H2045">
        <v>13006807</v>
      </c>
      <c r="I2045">
        <v>12765256</v>
      </c>
      <c r="J2045">
        <v>3</v>
      </c>
    </row>
    <row r="2046" spans="1:10" x14ac:dyDescent="0.25">
      <c r="A2046" t="s">
        <v>26</v>
      </c>
      <c r="B2046" s="1" t="str">
        <f>HYPERLINK("http://allienz.fr","allienz.fr")</f>
        <v>allienz.fr</v>
      </c>
      <c r="C2046" t="s">
        <v>446</v>
      </c>
      <c r="D2046" t="s">
        <v>824</v>
      </c>
      <c r="J2046">
        <v>4</v>
      </c>
    </row>
    <row r="2047" spans="1:10" x14ac:dyDescent="0.25">
      <c r="A2047" t="s">
        <v>26</v>
      </c>
      <c r="B2047" s="1" t="str">
        <f>HYPERLINK("http://almaviva-sante.fr","almaviva-sante.fr")</f>
        <v>almaviva-sante.fr</v>
      </c>
      <c r="C2047" t="s">
        <v>446</v>
      </c>
      <c r="D2047" t="s">
        <v>824</v>
      </c>
      <c r="F2047">
        <v>2.5526565798338801E-8</v>
      </c>
      <c r="G2047">
        <v>2020523</v>
      </c>
      <c r="H2047">
        <v>14075767</v>
      </c>
      <c r="I2047">
        <v>2901273</v>
      </c>
      <c r="J2047">
        <v>6</v>
      </c>
    </row>
    <row r="2048" spans="1:10" x14ac:dyDescent="0.25">
      <c r="A2048" t="s">
        <v>26</v>
      </c>
      <c r="B2048" s="1" t="str">
        <f>HYPERLINK("http://assurance-charente.fr","assurance-charente.fr")</f>
        <v>assurance-charente.fr</v>
      </c>
      <c r="C2048" t="s">
        <v>446</v>
      </c>
      <c r="D2048" t="s">
        <v>824</v>
      </c>
      <c r="F2048">
        <v>4.6236722251522698E-9</v>
      </c>
      <c r="G2048">
        <v>45871646</v>
      </c>
      <c r="H2048">
        <v>1.0003663</v>
      </c>
      <c r="I2048">
        <v>79369338</v>
      </c>
      <c r="J2048">
        <v>4</v>
      </c>
    </row>
    <row r="2049" spans="1:10" x14ac:dyDescent="0.25">
      <c r="A2049" t="s">
        <v>26</v>
      </c>
      <c r="B2049" s="1" t="str">
        <f>HYPERLINK("http://assurances-est-parisien.fr","assurances-est-parisien.fr")</f>
        <v>assurances-est-parisien.fr</v>
      </c>
      <c r="C2049" t="s">
        <v>446</v>
      </c>
      <c r="D2049" t="s">
        <v>824</v>
      </c>
      <c r="F2049">
        <v>5.0047561454712598E-9</v>
      </c>
      <c r="G2049">
        <v>29296370</v>
      </c>
      <c r="H2049">
        <v>7983990</v>
      </c>
      <c r="I2049">
        <v>75242705</v>
      </c>
      <c r="J2049">
        <v>4</v>
      </c>
    </row>
    <row r="2050" spans="1:10" x14ac:dyDescent="0.25">
      <c r="A2050" t="s">
        <v>26</v>
      </c>
      <c r="B2050" s="1" t="str">
        <f>HYPERLINK("http://assurances-peyre.fr","assurances-peyre.fr")</f>
        <v>assurances-peyre.fr</v>
      </c>
      <c r="C2050" t="s">
        <v>446</v>
      </c>
      <c r="D2050" t="s">
        <v>824</v>
      </c>
      <c r="F2050">
        <v>4.5632254447032904E-9</v>
      </c>
      <c r="G2050">
        <v>50842299</v>
      </c>
      <c r="H2050">
        <v>10733043</v>
      </c>
      <c r="I2050">
        <v>40778947</v>
      </c>
      <c r="J2050">
        <v>4</v>
      </c>
    </row>
    <row r="2051" spans="1:10" x14ac:dyDescent="0.25">
      <c r="A2051" t="s">
        <v>26</v>
      </c>
      <c r="B2051" s="1" t="str">
        <f>HYPERLINK("http://carene.fr","carene.fr")</f>
        <v>carene.fr</v>
      </c>
      <c r="C2051" t="s">
        <v>446</v>
      </c>
      <c r="D2051" t="s">
        <v>824</v>
      </c>
      <c r="F2051">
        <v>1.6989427104000199E-8</v>
      </c>
      <c r="G2051">
        <v>3285696</v>
      </c>
      <c r="H2051">
        <v>12415756</v>
      </c>
      <c r="I2051">
        <v>18530252</v>
      </c>
      <c r="J2051">
        <v>3</v>
      </c>
    </row>
    <row r="2052" spans="1:10" x14ac:dyDescent="0.25">
      <c r="A2052" t="s">
        <v>26</v>
      </c>
      <c r="B2052" s="1" t="str">
        <f>HYPERLINK("http://cliniqueaxium.fr","cliniqueaxium.fr")</f>
        <v>cliniqueaxium.fr</v>
      </c>
      <c r="C2052" t="s">
        <v>446</v>
      </c>
      <c r="D2052" t="s">
        <v>824</v>
      </c>
      <c r="F2052">
        <v>1.34323159719926E-8</v>
      </c>
      <c r="G2052">
        <v>4433942</v>
      </c>
      <c r="H2052">
        <v>13764735</v>
      </c>
      <c r="I2052">
        <v>7201091</v>
      </c>
      <c r="J2052">
        <v>7</v>
      </c>
    </row>
    <row r="2053" spans="1:10" x14ac:dyDescent="0.25">
      <c r="A2053" t="s">
        <v>26</v>
      </c>
      <c r="B2053" s="1" t="str">
        <f>HYPERLINK("http://cliniquetoutesaures.fr","cliniquetoutesaures.fr")</f>
        <v>cliniquetoutesaures.fr</v>
      </c>
      <c r="C2053" t="s">
        <v>446</v>
      </c>
      <c r="D2053" t="s">
        <v>824</v>
      </c>
      <c r="F2053">
        <v>6.4518065072719797E-9</v>
      </c>
      <c r="G2053">
        <v>14286571</v>
      </c>
      <c r="H2053">
        <v>10696728</v>
      </c>
      <c r="I2053">
        <v>42373242</v>
      </c>
      <c r="J2053">
        <v>7</v>
      </c>
    </row>
    <row r="2054" spans="1:10" x14ac:dyDescent="0.25">
      <c r="A2054" t="s">
        <v>26</v>
      </c>
      <c r="B2054" s="1" t="str">
        <f>HYPERLINK("http://eulerhermes.fr","eulerhermes.fr")</f>
        <v>eulerhermes.fr</v>
      </c>
      <c r="C2054" t="s">
        <v>446</v>
      </c>
      <c r="D2054" t="s">
        <v>824</v>
      </c>
      <c r="E2054">
        <v>556524</v>
      </c>
      <c r="F2054">
        <v>1.34787112609444E-7</v>
      </c>
      <c r="G2054">
        <v>289583</v>
      </c>
      <c r="H2054">
        <v>14838025</v>
      </c>
      <c r="I2054">
        <v>499280</v>
      </c>
      <c r="J2054">
        <v>4</v>
      </c>
    </row>
    <row r="2055" spans="1:10" x14ac:dyDescent="0.25">
      <c r="A2055" t="s">
        <v>26</v>
      </c>
      <c r="B2055" s="1" t="str">
        <f>HYPERLINK("http://generationvie.fr","generationvie.fr")</f>
        <v>generationvie.fr</v>
      </c>
      <c r="C2055" t="s">
        <v>446</v>
      </c>
      <c r="D2055" t="s">
        <v>824</v>
      </c>
      <c r="F2055">
        <v>7.2299456097540899E-9</v>
      </c>
      <c r="G2055">
        <v>11657209</v>
      </c>
      <c r="H2055">
        <v>10507045</v>
      </c>
      <c r="I2055">
        <v>50391656</v>
      </c>
      <c r="J2055">
        <v>4</v>
      </c>
    </row>
    <row r="2056" spans="1:10" x14ac:dyDescent="0.25">
      <c r="A2056" t="s">
        <v>26</v>
      </c>
      <c r="B2056" s="1" t="str">
        <f>HYPERLINK("http://gts-teleassistance.fr","gts-teleassistance.fr")</f>
        <v>gts-teleassistance.fr</v>
      </c>
      <c r="C2056" t="s">
        <v>446</v>
      </c>
      <c r="D2056" t="s">
        <v>824</v>
      </c>
      <c r="F2056">
        <v>4.8099924357749698E-9</v>
      </c>
      <c r="G2056">
        <v>35699610</v>
      </c>
      <c r="H2056">
        <v>10835426</v>
      </c>
      <c r="I2056">
        <v>37275174</v>
      </c>
      <c r="J2056">
        <v>5</v>
      </c>
    </row>
    <row r="2057" spans="1:10" x14ac:dyDescent="0.25">
      <c r="A2057" t="s">
        <v>26</v>
      </c>
      <c r="B2057" s="1" t="str">
        <f>HYPERLINK("http://immovalor.fr","immovalor.fr")</f>
        <v>immovalor.fr</v>
      </c>
      <c r="C2057" t="s">
        <v>446</v>
      </c>
      <c r="D2057" t="s">
        <v>824</v>
      </c>
      <c r="F2057">
        <v>1.28625710687858E-8</v>
      </c>
      <c r="G2057">
        <v>4698042</v>
      </c>
      <c r="H2057">
        <v>12607855</v>
      </c>
      <c r="I2057">
        <v>16253076</v>
      </c>
      <c r="J2057">
        <v>3</v>
      </c>
    </row>
    <row r="2058" spans="1:10" x14ac:dyDescent="0.25">
      <c r="A2058" t="s">
        <v>26</v>
      </c>
      <c r="B2058" s="1" t="str">
        <f>HYPERLINK("http://pimco.fr","pimco.fr")</f>
        <v>pimco.fr</v>
      </c>
      <c r="C2058" t="s">
        <v>446</v>
      </c>
      <c r="D2058" t="s">
        <v>824</v>
      </c>
      <c r="F2058">
        <v>1.39290324562156E-8</v>
      </c>
      <c r="G2058">
        <v>4229905</v>
      </c>
      <c r="H2058">
        <v>13935808</v>
      </c>
      <c r="I2058">
        <v>4515697</v>
      </c>
      <c r="J2058">
        <v>4</v>
      </c>
    </row>
    <row r="2059" spans="1:10" x14ac:dyDescent="0.25">
      <c r="A2059" t="s">
        <v>26</v>
      </c>
      <c r="B2059" s="1" t="str">
        <f>HYPERLINK("http://promultitravaux.fr","promultitravaux.fr")</f>
        <v>promultitravaux.fr</v>
      </c>
      <c r="C2059" t="s">
        <v>446</v>
      </c>
      <c r="D2059" t="s">
        <v>824</v>
      </c>
      <c r="J2059">
        <v>3</v>
      </c>
    </row>
    <row r="2060" spans="1:10" x14ac:dyDescent="0.25">
      <c r="A2060" t="s">
        <v>26</v>
      </c>
      <c r="B2060" s="1" t="str">
        <f>HYPERLINK("http://rota@allianz.fr","rota@allianz.fr")</f>
        <v>rota@allianz.fr</v>
      </c>
      <c r="C2060" t="s">
        <v>446</v>
      </c>
      <c r="D2060" t="s">
        <v>824</v>
      </c>
      <c r="J2060">
        <v>4</v>
      </c>
    </row>
    <row r="2061" spans="1:10" x14ac:dyDescent="0.25">
      <c r="A2061" t="s">
        <v>26</v>
      </c>
      <c r="B2061" s="1" t="str">
        <f>HYPERLINK("http://spaceco.fr","spaceco.fr")</f>
        <v>spaceco.fr</v>
      </c>
      <c r="C2061" t="s">
        <v>446</v>
      </c>
      <c r="D2061" t="s">
        <v>824</v>
      </c>
      <c r="J2061">
        <v>3</v>
      </c>
    </row>
    <row r="2062" spans="1:10" x14ac:dyDescent="0.25">
      <c r="A2062" t="s">
        <v>26</v>
      </c>
      <c r="B2062" s="1" t="str">
        <f>HYPERLINK("http://allianz.gr","allianz.gr")</f>
        <v>allianz.gr</v>
      </c>
      <c r="C2062" t="s">
        <v>447</v>
      </c>
      <c r="D2062" t="s">
        <v>825</v>
      </c>
      <c r="F2062">
        <v>2.0917417879245999E-8</v>
      </c>
      <c r="G2062">
        <v>2526995</v>
      </c>
      <c r="H2062">
        <v>12387113</v>
      </c>
      <c r="I2062">
        <v>19094926</v>
      </c>
      <c r="J2062">
        <v>3</v>
      </c>
    </row>
    <row r="2063" spans="1:10" x14ac:dyDescent="0.25">
      <c r="A2063" t="s">
        <v>26</v>
      </c>
      <c r="B2063" s="1" t="str">
        <f>HYPERLINK("http://allianz-partners.gr","allianz-partners.gr")</f>
        <v>allianz-partners.gr</v>
      </c>
      <c r="C2063" t="s">
        <v>447</v>
      </c>
      <c r="D2063" t="s">
        <v>825</v>
      </c>
      <c r="F2063">
        <v>5.9324978828367299E-9</v>
      </c>
      <c r="G2063">
        <v>17136164</v>
      </c>
      <c r="H2063">
        <v>10416639</v>
      </c>
      <c r="I2063">
        <v>53976429</v>
      </c>
      <c r="J2063">
        <v>6</v>
      </c>
    </row>
    <row r="2064" spans="1:10" x14ac:dyDescent="0.25">
      <c r="A2064" t="s">
        <v>26</v>
      </c>
      <c r="B2064" s="1" t="str">
        <f>HYPERLINK("http://allianz-trade.gr","allianz-trade.gr")</f>
        <v>allianz-trade.gr</v>
      </c>
      <c r="C2064" t="s">
        <v>447</v>
      </c>
      <c r="D2064" t="s">
        <v>825</v>
      </c>
      <c r="F2064">
        <v>6.1362193811209102E-9</v>
      </c>
      <c r="G2064">
        <v>15882091</v>
      </c>
      <c r="H2064">
        <v>10908160</v>
      </c>
      <c r="I2064">
        <v>35664429</v>
      </c>
      <c r="J2064">
        <v>6</v>
      </c>
    </row>
    <row r="2065" spans="1:10" x14ac:dyDescent="0.25">
      <c r="A2065" t="s">
        <v>26</v>
      </c>
      <c r="B2065" s="1" t="str">
        <f>HYPERLINK("http://allianz.com.gr","allianz.com.gr")</f>
        <v>allianz.com.gr</v>
      </c>
      <c r="C2065" t="s">
        <v>447</v>
      </c>
      <c r="D2065" t="s">
        <v>825</v>
      </c>
      <c r="F2065">
        <v>4.5864294707877697E-8</v>
      </c>
      <c r="G2065">
        <v>1024229</v>
      </c>
      <c r="H2065">
        <v>14260505</v>
      </c>
      <c r="I2065">
        <v>1419263</v>
      </c>
      <c r="J2065">
        <v>2</v>
      </c>
    </row>
    <row r="2066" spans="1:10" x14ac:dyDescent="0.25">
      <c r="A2066" t="s">
        <v>26</v>
      </c>
      <c r="B2066" s="1" t="str">
        <f>HYPERLINK("http://eulerhermes.gr","eulerhermes.gr")</f>
        <v>eulerhermes.gr</v>
      </c>
      <c r="C2066" t="s">
        <v>447</v>
      </c>
      <c r="D2066" t="s">
        <v>825</v>
      </c>
      <c r="F2066">
        <v>1.19872685593977E-8</v>
      </c>
      <c r="G2066">
        <v>5184493</v>
      </c>
      <c r="H2066">
        <v>13764025</v>
      </c>
      <c r="I2066">
        <v>7423136</v>
      </c>
      <c r="J2066">
        <v>4</v>
      </c>
    </row>
    <row r="2067" spans="1:10" x14ac:dyDescent="0.25">
      <c r="A2067" t="s">
        <v>26</v>
      </c>
      <c r="B2067" s="1" t="str">
        <f>HYPERLINK("http://europaikipisti.gr","europaikipisti.gr")</f>
        <v>europaikipisti.gr</v>
      </c>
      <c r="C2067" t="s">
        <v>447</v>
      </c>
      <c r="D2067" t="s">
        <v>825</v>
      </c>
      <c r="F2067">
        <v>4.1575758059329301E-8</v>
      </c>
      <c r="G2067">
        <v>1194683</v>
      </c>
      <c r="H2067">
        <v>13792691</v>
      </c>
      <c r="I2067">
        <v>6327953</v>
      </c>
      <c r="J2067">
        <v>3</v>
      </c>
    </row>
    <row r="2068" spans="1:10" x14ac:dyDescent="0.25">
      <c r="A2068" t="s">
        <v>26</v>
      </c>
      <c r="B2068" s="1" t="str">
        <f>HYPERLINK("http://europisti.gr","europisti.gr")</f>
        <v>europisti.gr</v>
      </c>
      <c r="C2068" t="s">
        <v>447</v>
      </c>
      <c r="D2068" t="s">
        <v>825</v>
      </c>
      <c r="F2068">
        <v>1.08996119770271E-8</v>
      </c>
      <c r="G2068">
        <v>5942692</v>
      </c>
      <c r="H2068">
        <v>13933160</v>
      </c>
      <c r="I2068">
        <v>4891847</v>
      </c>
      <c r="J2068">
        <v>6</v>
      </c>
    </row>
    <row r="2069" spans="1:10" x14ac:dyDescent="0.25">
      <c r="A2069" t="s">
        <v>26</v>
      </c>
      <c r="B2069" s="1" t="str">
        <f>HYPERLINK("http://europistiaedak.gr","europistiaedak.gr")</f>
        <v>europistiaedak.gr</v>
      </c>
      <c r="C2069" t="s">
        <v>447</v>
      </c>
      <c r="D2069" t="s">
        <v>825</v>
      </c>
      <c r="F2069">
        <v>8.3405617722300903E-9</v>
      </c>
      <c r="G2069">
        <v>9166256</v>
      </c>
      <c r="H2069">
        <v>12332746</v>
      </c>
      <c r="I2069">
        <v>20154543</v>
      </c>
      <c r="J2069">
        <v>6</v>
      </c>
    </row>
    <row r="2070" spans="1:10" x14ac:dyDescent="0.25">
      <c r="A2070" t="s">
        <v>26</v>
      </c>
      <c r="B2070" s="1" t="str">
        <f>HYPERLINK("http://innovation.group","innovation.group")</f>
        <v>innovation.group</v>
      </c>
      <c r="C2070" t="s">
        <v>602</v>
      </c>
      <c r="E2070">
        <v>391352</v>
      </c>
      <c r="F2070">
        <v>4.6152005791846501E-8</v>
      </c>
      <c r="G2070">
        <v>1015766</v>
      </c>
      <c r="H2070">
        <v>13092416</v>
      </c>
      <c r="I2070">
        <v>12138015</v>
      </c>
      <c r="J2070">
        <v>8</v>
      </c>
    </row>
    <row r="2071" spans="1:10" x14ac:dyDescent="0.25">
      <c r="A2071" t="s">
        <v>26</v>
      </c>
      <c r="B2071" s="1" t="str">
        <f>HYPERLINK("http://pimco.com.hk","pimco.com.hk")</f>
        <v>pimco.com.hk</v>
      </c>
      <c r="C2071" t="s">
        <v>450</v>
      </c>
      <c r="D2071" t="s">
        <v>827</v>
      </c>
      <c r="F2071">
        <v>1.8483623403239601E-8</v>
      </c>
      <c r="G2071">
        <v>2928660</v>
      </c>
      <c r="H2071">
        <v>12439211</v>
      </c>
      <c r="I2071">
        <v>18153227</v>
      </c>
      <c r="J2071">
        <v>4</v>
      </c>
    </row>
    <row r="2072" spans="1:10" x14ac:dyDescent="0.25">
      <c r="A2072" t="s">
        <v>26</v>
      </c>
      <c r="B2072" s="1" t="str">
        <f>HYPERLINK("http://eulerhermes.hk","eulerhermes.hk")</f>
        <v>eulerhermes.hk</v>
      </c>
      <c r="C2072" t="s">
        <v>450</v>
      </c>
      <c r="D2072" t="s">
        <v>827</v>
      </c>
      <c r="F2072">
        <v>9.1530292923983892E-9</v>
      </c>
      <c r="G2072">
        <v>7774424</v>
      </c>
      <c r="H2072">
        <v>13763783</v>
      </c>
      <c r="I2072">
        <v>7629856</v>
      </c>
      <c r="J2072">
        <v>4</v>
      </c>
    </row>
    <row r="2073" spans="1:10" x14ac:dyDescent="0.25">
      <c r="A2073" t="s">
        <v>26</v>
      </c>
      <c r="B2073" s="1" t="str">
        <f>HYPERLINK("http://allianz.hr","allianz.hr")</f>
        <v>allianz.hr</v>
      </c>
      <c r="C2073" t="s">
        <v>452</v>
      </c>
      <c r="D2073" t="s">
        <v>829</v>
      </c>
      <c r="E2073">
        <v>947976</v>
      </c>
      <c r="F2073">
        <v>5.0449953280214798E-8</v>
      </c>
      <c r="G2073">
        <v>910854</v>
      </c>
      <c r="H2073">
        <v>13392693</v>
      </c>
      <c r="I2073">
        <v>10385130</v>
      </c>
      <c r="J2073">
        <v>2</v>
      </c>
    </row>
    <row r="2074" spans="1:10" x14ac:dyDescent="0.25">
      <c r="A2074" t="s">
        <v>26</v>
      </c>
      <c r="B2074" s="1" t="str">
        <f>HYPERLINK("http://azfond.hr","azfond.hr")</f>
        <v>azfond.hr</v>
      </c>
      <c r="C2074" t="s">
        <v>452</v>
      </c>
      <c r="D2074" t="s">
        <v>829</v>
      </c>
      <c r="F2074">
        <v>1.73764212697076E-8</v>
      </c>
      <c r="G2074">
        <v>3180665</v>
      </c>
      <c r="H2074">
        <v>13942638</v>
      </c>
      <c r="I2074">
        <v>4327532</v>
      </c>
      <c r="J2074">
        <v>4</v>
      </c>
    </row>
    <row r="2075" spans="1:10" x14ac:dyDescent="0.25">
      <c r="A2075" t="s">
        <v>26</v>
      </c>
      <c r="B2075" s="1" t="str">
        <f>HYPERLINK("http://azinvest.hr","azinvest.hr")</f>
        <v>azinvest.hr</v>
      </c>
      <c r="C2075" t="s">
        <v>452</v>
      </c>
      <c r="D2075" t="s">
        <v>829</v>
      </c>
      <c r="F2075">
        <v>6.0137125629649496E-9</v>
      </c>
      <c r="G2075">
        <v>16600164</v>
      </c>
      <c r="H2075">
        <v>12294178</v>
      </c>
      <c r="I2075">
        <v>20983963</v>
      </c>
      <c r="J2075">
        <v>3</v>
      </c>
    </row>
    <row r="2076" spans="1:10" x14ac:dyDescent="0.25">
      <c r="A2076" t="s">
        <v>26</v>
      </c>
      <c r="B2076" s="1" t="str">
        <f>HYPERLINK("http://allianz.hu","allianz.hu")</f>
        <v>allianz.hu</v>
      </c>
      <c r="C2076" t="s">
        <v>453</v>
      </c>
      <c r="D2076" t="s">
        <v>830</v>
      </c>
      <c r="E2076">
        <v>142778</v>
      </c>
      <c r="F2076">
        <v>1.4385893135399501E-7</v>
      </c>
      <c r="G2076">
        <v>270658</v>
      </c>
      <c r="H2076">
        <v>14522676</v>
      </c>
      <c r="I2076">
        <v>800335</v>
      </c>
      <c r="J2076">
        <v>2</v>
      </c>
    </row>
    <row r="2077" spans="1:10" x14ac:dyDescent="0.25">
      <c r="A2077" t="s">
        <v>26</v>
      </c>
      <c r="B2077" s="1" t="str">
        <f>HYPERLINK("http://eulerhermes.hu","eulerhermes.hu")</f>
        <v>eulerhermes.hu</v>
      </c>
      <c r="C2077" t="s">
        <v>453</v>
      </c>
      <c r="D2077" t="s">
        <v>830</v>
      </c>
      <c r="F2077">
        <v>1.07073065291643E-8</v>
      </c>
      <c r="G2077">
        <v>6093849</v>
      </c>
      <c r="H2077">
        <v>12260815</v>
      </c>
      <c r="I2077">
        <v>21747226</v>
      </c>
      <c r="J2077">
        <v>4</v>
      </c>
    </row>
    <row r="2078" spans="1:10" x14ac:dyDescent="0.25">
      <c r="A2078" t="s">
        <v>26</v>
      </c>
      <c r="B2078" s="1" t="str">
        <f>HYPERLINK("http://allianz.co.id","allianz.co.id")</f>
        <v>allianz.co.id</v>
      </c>
      <c r="C2078" t="s">
        <v>454</v>
      </c>
      <c r="D2078" t="s">
        <v>831</v>
      </c>
      <c r="E2078">
        <v>335209</v>
      </c>
      <c r="F2078">
        <v>1.33387562765949E-7</v>
      </c>
      <c r="G2078">
        <v>292800</v>
      </c>
      <c r="H2078">
        <v>14530893</v>
      </c>
      <c r="I2078">
        <v>786401</v>
      </c>
      <c r="J2078">
        <v>2</v>
      </c>
    </row>
    <row r="2079" spans="1:10" x14ac:dyDescent="0.25">
      <c r="A2079" t="s">
        <v>26</v>
      </c>
      <c r="B2079" s="1" t="str">
        <f>HYPERLINK("http://allianz.ie","allianz.ie")</f>
        <v>allianz.ie</v>
      </c>
      <c r="C2079" t="s">
        <v>455</v>
      </c>
      <c r="D2079" t="s">
        <v>832</v>
      </c>
      <c r="E2079">
        <v>420588</v>
      </c>
      <c r="F2079">
        <v>7.9699065039404597E-8</v>
      </c>
      <c r="G2079">
        <v>524166</v>
      </c>
      <c r="H2079">
        <v>14501366</v>
      </c>
      <c r="I2079">
        <v>849932</v>
      </c>
      <c r="J2079">
        <v>2</v>
      </c>
    </row>
    <row r="2080" spans="1:10" x14ac:dyDescent="0.25">
      <c r="A2080" t="s">
        <v>26</v>
      </c>
      <c r="B2080" s="1" t="str">
        <f>HYPERLINK("http://allianz-assistance.ie","allianz-assistance.ie")</f>
        <v>allianz-assistance.ie</v>
      </c>
      <c r="C2080" t="s">
        <v>455</v>
      </c>
      <c r="D2080" t="s">
        <v>832</v>
      </c>
      <c r="F2080">
        <v>1.48100537683129E-8</v>
      </c>
      <c r="G2080">
        <v>3903819</v>
      </c>
      <c r="H2080">
        <v>12608627</v>
      </c>
      <c r="I2080">
        <v>16248850</v>
      </c>
      <c r="J2080">
        <v>5</v>
      </c>
    </row>
    <row r="2081" spans="1:10" x14ac:dyDescent="0.25">
      <c r="A2081" t="s">
        <v>26</v>
      </c>
      <c r="B2081" s="1" t="str">
        <f>HYPERLINK("http://allianz-partners.ie","allianz-partners.ie")</f>
        <v>allianz-partners.ie</v>
      </c>
      <c r="C2081" t="s">
        <v>455</v>
      </c>
      <c r="D2081" t="s">
        <v>832</v>
      </c>
      <c r="F2081">
        <v>7.0478795282424501E-9</v>
      </c>
      <c r="G2081">
        <v>12171320</v>
      </c>
      <c r="H2081">
        <v>10697941</v>
      </c>
      <c r="I2081">
        <v>42353120</v>
      </c>
      <c r="J2081">
        <v>6</v>
      </c>
    </row>
    <row r="2082" spans="1:10" x14ac:dyDescent="0.25">
      <c r="A2082" t="s">
        <v>26</v>
      </c>
      <c r="B2082" s="1" t="str">
        <f>HYPERLINK("http://darta.ie","darta.ie")</f>
        <v>darta.ie</v>
      </c>
      <c r="C2082" t="s">
        <v>455</v>
      </c>
      <c r="D2082" t="s">
        <v>832</v>
      </c>
      <c r="F2082">
        <v>7.2254864889079097E-9</v>
      </c>
      <c r="G2082">
        <v>11669202</v>
      </c>
      <c r="H2082">
        <v>14071993</v>
      </c>
      <c r="I2082">
        <v>3191844</v>
      </c>
      <c r="J2082">
        <v>3</v>
      </c>
    </row>
    <row r="2083" spans="1:10" x14ac:dyDescent="0.25">
      <c r="A2083" t="s">
        <v>26</v>
      </c>
      <c r="B2083" s="1" t="str">
        <f>HYPERLINK("http://awpassistance.in","awpassistance.in")</f>
        <v>awpassistance.in</v>
      </c>
      <c r="C2083" t="s">
        <v>457</v>
      </c>
      <c r="D2083" t="s">
        <v>834</v>
      </c>
      <c r="F2083">
        <v>8.5142564944288096E-9</v>
      </c>
      <c r="G2083">
        <v>8818643</v>
      </c>
      <c r="H2083">
        <v>12284381</v>
      </c>
      <c r="I2083">
        <v>21224021</v>
      </c>
      <c r="J2083">
        <v>4</v>
      </c>
    </row>
    <row r="2084" spans="1:10" x14ac:dyDescent="0.25">
      <c r="A2084" t="s">
        <v>26</v>
      </c>
      <c r="B2084" s="1" t="str">
        <f>HYPERLINK("http://luluhypermarket.in","luluhypermarket.in")</f>
        <v>luluhypermarket.in</v>
      </c>
      <c r="C2084" t="s">
        <v>457</v>
      </c>
      <c r="D2084" t="s">
        <v>834</v>
      </c>
      <c r="E2084">
        <v>440417</v>
      </c>
      <c r="F2084">
        <v>2.1498757294524501E-8</v>
      </c>
      <c r="G2084">
        <v>2449273</v>
      </c>
      <c r="H2084">
        <v>13560563</v>
      </c>
      <c r="I2084">
        <v>9850146</v>
      </c>
      <c r="J2084">
        <v>8</v>
      </c>
    </row>
    <row r="2085" spans="1:10" x14ac:dyDescent="0.25">
      <c r="A2085" t="s">
        <v>26</v>
      </c>
      <c r="B2085" s="1" t="str">
        <f>HYPERLINK("http://christoph5.info","christoph5.info")</f>
        <v>christoph5.info</v>
      </c>
      <c r="C2085" t="s">
        <v>458</v>
      </c>
      <c r="F2085">
        <v>5.92997927306656E-9</v>
      </c>
      <c r="G2085">
        <v>17152265</v>
      </c>
      <c r="H2085">
        <v>13933065</v>
      </c>
      <c r="I2085">
        <v>5008967</v>
      </c>
      <c r="J2085">
        <v>8</v>
      </c>
    </row>
    <row r="2086" spans="1:10" x14ac:dyDescent="0.25">
      <c r="A2086" t="s">
        <v>26</v>
      </c>
      <c r="B2086" s="1" t="str">
        <f>HYPERLINK("http://investmentdataservices.info","investmentdataservices.info")</f>
        <v>investmentdataservices.info</v>
      </c>
      <c r="C2086" t="s">
        <v>458</v>
      </c>
      <c r="F2086">
        <v>6.5881325159521302E-9</v>
      </c>
      <c r="G2086">
        <v>13722106</v>
      </c>
      <c r="H2086">
        <v>12991141</v>
      </c>
      <c r="I2086">
        <v>12850017</v>
      </c>
      <c r="J2086">
        <v>3</v>
      </c>
    </row>
    <row r="2087" spans="1:10" x14ac:dyDescent="0.25">
      <c r="A2087" t="s">
        <v>26</v>
      </c>
      <c r="B2087" s="1" t="str">
        <f>HYPERLINK("http://allianz.io","allianz.io")</f>
        <v>allianz.io</v>
      </c>
      <c r="C2087" t="s">
        <v>518</v>
      </c>
      <c r="E2087">
        <v>41699</v>
      </c>
      <c r="F2087">
        <v>8.0427891984463698E-9</v>
      </c>
      <c r="G2087">
        <v>9843102</v>
      </c>
      <c r="H2087">
        <v>12291223</v>
      </c>
      <c r="I2087">
        <v>21086298</v>
      </c>
      <c r="J2087">
        <v>2</v>
      </c>
    </row>
    <row r="2088" spans="1:10" x14ac:dyDescent="0.25">
      <c r="A2088" t="s">
        <v>26</v>
      </c>
      <c r="B2088" s="1" t="str">
        <f>HYPERLINK("http://allianz.is","allianz.is")</f>
        <v>allianz.is</v>
      </c>
      <c r="C2088" t="s">
        <v>594</v>
      </c>
      <c r="D2088" t="s">
        <v>929</v>
      </c>
      <c r="F2088">
        <v>1.65770521333637E-8</v>
      </c>
      <c r="G2088">
        <v>3394973</v>
      </c>
      <c r="H2088">
        <v>12970790</v>
      </c>
      <c r="I2088">
        <v>13042971</v>
      </c>
      <c r="J2088">
        <v>2</v>
      </c>
    </row>
    <row r="2089" spans="1:10" x14ac:dyDescent="0.25">
      <c r="A2089" t="s">
        <v>26</v>
      </c>
      <c r="B2089" s="1" t="str">
        <f>HYPERLINK("http://matthe.is","matthe.is")</f>
        <v>matthe.is</v>
      </c>
      <c r="C2089" t="s">
        <v>594</v>
      </c>
      <c r="D2089" t="s">
        <v>929</v>
      </c>
      <c r="J2089">
        <v>4</v>
      </c>
    </row>
    <row r="2090" spans="1:10" x14ac:dyDescent="0.25">
      <c r="A2090" t="s">
        <v>26</v>
      </c>
      <c r="B2090" s="1" t="str">
        <f>HYPERLINK("http://ageallianz.it","ageallianz.it")</f>
        <v>ageallianz.it</v>
      </c>
      <c r="C2090" t="s">
        <v>459</v>
      </c>
      <c r="D2090" t="s">
        <v>835</v>
      </c>
      <c r="F2090">
        <v>8.2052862850584797E-8</v>
      </c>
      <c r="G2090">
        <v>508530</v>
      </c>
      <c r="H2090">
        <v>13383454</v>
      </c>
      <c r="I2090">
        <v>10416117</v>
      </c>
      <c r="J2090">
        <v>4</v>
      </c>
    </row>
    <row r="2091" spans="1:10" x14ac:dyDescent="0.25">
      <c r="A2091" t="s">
        <v>26</v>
      </c>
      <c r="B2091" s="1" t="str">
        <f>HYPERLINK("http://allianz.it","allianz.it")</f>
        <v>allianz.it</v>
      </c>
      <c r="C2091" t="s">
        <v>459</v>
      </c>
      <c r="D2091" t="s">
        <v>835</v>
      </c>
      <c r="E2091">
        <v>38760</v>
      </c>
      <c r="F2091">
        <v>2.9306409628714199E-7</v>
      </c>
      <c r="G2091">
        <v>127013</v>
      </c>
      <c r="H2091">
        <v>17086268</v>
      </c>
      <c r="I2091">
        <v>66820</v>
      </c>
      <c r="J2091">
        <v>2</v>
      </c>
    </row>
    <row r="2092" spans="1:10" x14ac:dyDescent="0.25">
      <c r="A2092" t="s">
        <v>26</v>
      </c>
      <c r="B2092" s="1" t="str">
        <f>HYPERLINK("http://allianzbank.it","allianzbank.it")</f>
        <v>allianzbank.it</v>
      </c>
      <c r="C2092" t="s">
        <v>459</v>
      </c>
      <c r="D2092" t="s">
        <v>835</v>
      </c>
      <c r="E2092">
        <v>94542</v>
      </c>
      <c r="F2092">
        <v>3.1632864214921699E-8</v>
      </c>
      <c r="G2092">
        <v>1631690</v>
      </c>
      <c r="H2092">
        <v>13768751</v>
      </c>
      <c r="I2092">
        <v>6858739</v>
      </c>
      <c r="J2092">
        <v>3</v>
      </c>
    </row>
    <row r="2093" spans="1:10" x14ac:dyDescent="0.25">
      <c r="A2093" t="s">
        <v>26</v>
      </c>
      <c r="B2093" s="1" t="str">
        <f>HYPERLINK("http://allianzdirect.it","allianzdirect.it")</f>
        <v>allianzdirect.it</v>
      </c>
      <c r="C2093" t="s">
        <v>459</v>
      </c>
      <c r="D2093" t="s">
        <v>835</v>
      </c>
      <c r="E2093">
        <v>231985</v>
      </c>
      <c r="F2093">
        <v>3.6954835615441698E-8</v>
      </c>
      <c r="G2093">
        <v>1405191</v>
      </c>
      <c r="H2093">
        <v>13936714</v>
      </c>
      <c r="I2093">
        <v>4486537</v>
      </c>
      <c r="J2093">
        <v>5</v>
      </c>
    </row>
    <row r="2094" spans="1:10" x14ac:dyDescent="0.25">
      <c r="A2094" t="s">
        <v>26</v>
      </c>
      <c r="B2094" s="1" t="str">
        <f>HYPERLINK("http://allianzras.it","allianzras.it")</f>
        <v>allianzras.it</v>
      </c>
      <c r="C2094" t="s">
        <v>459</v>
      </c>
      <c r="D2094" t="s">
        <v>835</v>
      </c>
      <c r="F2094">
        <v>9.8661918643464795E-9</v>
      </c>
      <c r="G2094">
        <v>6895856</v>
      </c>
      <c r="H2094">
        <v>14074341</v>
      </c>
      <c r="I2094">
        <v>2946774</v>
      </c>
      <c r="J2094">
        <v>4</v>
      </c>
    </row>
    <row r="2095" spans="1:10" x14ac:dyDescent="0.25">
      <c r="A2095" t="s">
        <v>26</v>
      </c>
      <c r="B2095" s="1" t="str">
        <f>HYPERLINK("http://creditrasassicurazioni.it","creditrasassicurazioni.it")</f>
        <v>creditrasassicurazioni.it</v>
      </c>
      <c r="C2095" t="s">
        <v>459</v>
      </c>
      <c r="D2095" t="s">
        <v>835</v>
      </c>
      <c r="F2095">
        <v>7.85546436713207E-9</v>
      </c>
      <c r="G2095">
        <v>10201844</v>
      </c>
      <c r="H2095">
        <v>13933179</v>
      </c>
      <c r="I2095">
        <v>4882342</v>
      </c>
      <c r="J2095">
        <v>7</v>
      </c>
    </row>
    <row r="2096" spans="1:10" x14ac:dyDescent="0.25">
      <c r="A2096" t="s">
        <v>26</v>
      </c>
      <c r="B2096" s="1" t="str">
        <f>HYPERLINK("http://creditrasvita.it","creditrasvita.it")</f>
        <v>creditrasvita.it</v>
      </c>
      <c r="C2096" t="s">
        <v>459</v>
      </c>
      <c r="D2096" t="s">
        <v>835</v>
      </c>
      <c r="F2096">
        <v>5.9644048179675703E-9</v>
      </c>
      <c r="G2096">
        <v>16917050</v>
      </c>
      <c r="H2096">
        <v>12113348</v>
      </c>
      <c r="I2096">
        <v>25643240</v>
      </c>
      <c r="J2096">
        <v>4</v>
      </c>
    </row>
    <row r="2097" spans="1:10" x14ac:dyDescent="0.25">
      <c r="A2097" t="s">
        <v>26</v>
      </c>
      <c r="B2097" s="1" t="str">
        <f>HYPERLINK("http://eulerhermes.it","eulerhermes.it")</f>
        <v>eulerhermes.it</v>
      </c>
      <c r="C2097" t="s">
        <v>459</v>
      </c>
      <c r="D2097" t="s">
        <v>835</v>
      </c>
      <c r="F2097">
        <v>1.7129191334125098E-8</v>
      </c>
      <c r="G2097">
        <v>3254331</v>
      </c>
      <c r="H2097">
        <v>13935865</v>
      </c>
      <c r="I2097">
        <v>4513411</v>
      </c>
      <c r="J2097">
        <v>4</v>
      </c>
    </row>
    <row r="2098" spans="1:10" x14ac:dyDescent="0.25">
      <c r="A2098" t="s">
        <v>26</v>
      </c>
      <c r="B2098" s="1" t="str">
        <f>HYPERLINK("http://genialloyd.it","genialloyd.it")</f>
        <v>genialloyd.it</v>
      </c>
      <c r="C2098" t="s">
        <v>459</v>
      </c>
      <c r="D2098" t="s">
        <v>835</v>
      </c>
      <c r="E2098">
        <v>749307</v>
      </c>
      <c r="F2098">
        <v>2.75273179654738E-8</v>
      </c>
      <c r="G2098">
        <v>1867490</v>
      </c>
      <c r="H2098">
        <v>14127266</v>
      </c>
      <c r="I2098">
        <v>2086425</v>
      </c>
      <c r="J2098">
        <v>4</v>
      </c>
    </row>
    <row r="2099" spans="1:10" x14ac:dyDescent="0.25">
      <c r="A2099" t="s">
        <v>26</v>
      </c>
      <c r="B2099" s="1" t="str">
        <f>HYPERLINK("http://milanoaquileia.it","milanoaquileia.it")</f>
        <v>milanoaquileia.it</v>
      </c>
      <c r="C2099" t="s">
        <v>459</v>
      </c>
      <c r="D2099" t="s">
        <v>835</v>
      </c>
      <c r="J2099">
        <v>4</v>
      </c>
    </row>
    <row r="2100" spans="1:10" x14ac:dyDescent="0.25">
      <c r="A2100" t="s">
        <v>26</v>
      </c>
      <c r="B2100" s="1" t="str">
        <f>HYPERLINK("http://pimco.it","pimco.it")</f>
        <v>pimco.it</v>
      </c>
      <c r="C2100" t="s">
        <v>459</v>
      </c>
      <c r="D2100" t="s">
        <v>835</v>
      </c>
      <c r="F2100">
        <v>2.99334789710141E-8</v>
      </c>
      <c r="G2100">
        <v>1718777</v>
      </c>
      <c r="H2100">
        <v>12518604</v>
      </c>
      <c r="I2100">
        <v>17164083</v>
      </c>
      <c r="J2100">
        <v>4</v>
      </c>
    </row>
    <row r="2101" spans="1:10" x14ac:dyDescent="0.25">
      <c r="A2101" t="s">
        <v>26</v>
      </c>
      <c r="B2101" s="1" t="str">
        <f>HYPERLINK("http://allianz.co.jp","allianz.co.jp")</f>
        <v>allianz.co.jp</v>
      </c>
      <c r="C2101" t="s">
        <v>461</v>
      </c>
      <c r="D2101" t="s">
        <v>837</v>
      </c>
      <c r="F2101">
        <v>2.0532542836960901E-8</v>
      </c>
      <c r="G2101">
        <v>2580140</v>
      </c>
      <c r="H2101">
        <v>14082473</v>
      </c>
      <c r="I2101">
        <v>2800230</v>
      </c>
      <c r="J2101">
        <v>2</v>
      </c>
    </row>
    <row r="2102" spans="1:10" x14ac:dyDescent="0.25">
      <c r="A2102" t="s">
        <v>26</v>
      </c>
      <c r="B2102" s="1" t="str">
        <f>HYPERLINK("http://allianz-worldwide-partners.co.jp","allianz-worldwide-partners.co.jp")</f>
        <v>allianz-worldwide-partners.co.jp</v>
      </c>
      <c r="C2102" t="s">
        <v>461</v>
      </c>
      <c r="D2102" t="s">
        <v>837</v>
      </c>
      <c r="F2102">
        <v>1.02334433970307E-8</v>
      </c>
      <c r="G2102">
        <v>6514363</v>
      </c>
      <c r="H2102">
        <v>10947830</v>
      </c>
      <c r="I2102">
        <v>34636186</v>
      </c>
      <c r="J2102">
        <v>3</v>
      </c>
    </row>
    <row r="2103" spans="1:10" x14ac:dyDescent="0.25">
      <c r="A2103" t="s">
        <v>26</v>
      </c>
      <c r="B2103" s="1" t="str">
        <f>HYPERLINK("http://c-com.co.jp","c-com.co.jp")</f>
        <v>c-com.co.jp</v>
      </c>
      <c r="C2103" t="s">
        <v>461</v>
      </c>
      <c r="D2103" t="s">
        <v>837</v>
      </c>
      <c r="F2103">
        <v>1.34665137318989E-8</v>
      </c>
      <c r="G2103">
        <v>4418092</v>
      </c>
      <c r="H2103">
        <v>12737933</v>
      </c>
      <c r="I2103">
        <v>15153738</v>
      </c>
      <c r="J2103">
        <v>8</v>
      </c>
    </row>
    <row r="2104" spans="1:10" x14ac:dyDescent="0.25">
      <c r="A2104" t="s">
        <v>26</v>
      </c>
      <c r="B2104" s="1" t="str">
        <f>HYPERLINK("http://eulerhermes.jp","eulerhermes.jp")</f>
        <v>eulerhermes.jp</v>
      </c>
      <c r="C2104" t="s">
        <v>461</v>
      </c>
      <c r="D2104" t="s">
        <v>837</v>
      </c>
      <c r="F2104">
        <v>9.4507006696024495E-9</v>
      </c>
      <c r="G2104">
        <v>7381888</v>
      </c>
      <c r="H2104">
        <v>11067559</v>
      </c>
      <c r="I2104">
        <v>32607117</v>
      </c>
      <c r="J2104">
        <v>4</v>
      </c>
    </row>
    <row r="2105" spans="1:10" x14ac:dyDescent="0.25">
      <c r="A2105" t="s">
        <v>26</v>
      </c>
      <c r="B2105" s="1" t="str">
        <f>HYPERLINK("http://ticketguard.jp","ticketguard.jp")</f>
        <v>ticketguard.jp</v>
      </c>
      <c r="C2105" t="s">
        <v>461</v>
      </c>
      <c r="D2105" t="s">
        <v>837</v>
      </c>
      <c r="F2105">
        <v>1.7885956952462398E-8</v>
      </c>
      <c r="G2105">
        <v>3056479</v>
      </c>
      <c r="H2105">
        <v>12793616</v>
      </c>
      <c r="I2105">
        <v>14670574</v>
      </c>
      <c r="J2105">
        <v>3</v>
      </c>
    </row>
    <row r="2106" spans="1:10" x14ac:dyDescent="0.25">
      <c r="A2106" t="s">
        <v>26</v>
      </c>
      <c r="B2106" s="1" t="str">
        <f>HYPERLINK("http://allianz.co.ke","allianz.co.ke")</f>
        <v>allianz.co.ke</v>
      </c>
      <c r="C2106" t="s">
        <v>462</v>
      </c>
      <c r="D2106" t="s">
        <v>838</v>
      </c>
      <c r="F2106">
        <v>1.15343617418495E-8</v>
      </c>
      <c r="G2106">
        <v>5479742</v>
      </c>
      <c r="H2106">
        <v>14072077</v>
      </c>
      <c r="I2106">
        <v>3172493</v>
      </c>
      <c r="J2106">
        <v>2</v>
      </c>
    </row>
    <row r="2107" spans="1:10" x14ac:dyDescent="0.25">
      <c r="A2107" t="s">
        <v>26</v>
      </c>
      <c r="B2107" s="1" t="str">
        <f>HYPERLINK("http://allianz.com.lb","allianz.com.lb")</f>
        <v>allianz.com.lb</v>
      </c>
      <c r="C2107" t="s">
        <v>612</v>
      </c>
      <c r="D2107" t="s">
        <v>938</v>
      </c>
      <c r="F2107">
        <v>1.45434188717646E-8</v>
      </c>
      <c r="G2107">
        <v>3997540</v>
      </c>
      <c r="H2107">
        <v>12296111</v>
      </c>
      <c r="I2107">
        <v>20941348</v>
      </c>
      <c r="J2107">
        <v>2</v>
      </c>
    </row>
    <row r="2108" spans="1:10" x14ac:dyDescent="0.25">
      <c r="A2108" t="s">
        <v>26</v>
      </c>
      <c r="B2108" s="1" t="str">
        <f>HYPERLINK("http://allianz.lk","allianz.lk")</f>
        <v>allianz.lk</v>
      </c>
      <c r="C2108" t="s">
        <v>466</v>
      </c>
      <c r="D2108" t="s">
        <v>842</v>
      </c>
      <c r="F2108">
        <v>9.9972247631901193E-9</v>
      </c>
      <c r="G2108">
        <v>6758556</v>
      </c>
      <c r="H2108">
        <v>12365057</v>
      </c>
      <c r="I2108">
        <v>19497659</v>
      </c>
      <c r="J2108">
        <v>2</v>
      </c>
    </row>
    <row r="2109" spans="1:10" x14ac:dyDescent="0.25">
      <c r="A2109" t="s">
        <v>26</v>
      </c>
      <c r="B2109" s="1" t="str">
        <f>HYPERLINK("http://allianz.lt","allianz.lt")</f>
        <v>allianz.lt</v>
      </c>
      <c r="C2109" t="s">
        <v>467</v>
      </c>
      <c r="D2109" t="s">
        <v>843</v>
      </c>
      <c r="F2109">
        <v>1.95696803620212E-8</v>
      </c>
      <c r="G2109">
        <v>2732962</v>
      </c>
      <c r="H2109">
        <v>12344514</v>
      </c>
      <c r="I2109">
        <v>19861154</v>
      </c>
      <c r="J2109">
        <v>2</v>
      </c>
    </row>
    <row r="2110" spans="1:10" x14ac:dyDescent="0.25">
      <c r="A2110" t="s">
        <v>26</v>
      </c>
      <c r="B2110" s="1" t="str">
        <f>HYPERLINK("http://caverion.lt","caverion.lt")</f>
        <v>caverion.lt</v>
      </c>
      <c r="C2110" t="s">
        <v>467</v>
      </c>
      <c r="D2110" t="s">
        <v>843</v>
      </c>
      <c r="F2110">
        <v>1.4408484114494399E-8</v>
      </c>
      <c r="G2110">
        <v>4054251</v>
      </c>
      <c r="H2110">
        <v>13773537</v>
      </c>
      <c r="I2110">
        <v>6628867</v>
      </c>
      <c r="J2110">
        <v>6</v>
      </c>
    </row>
    <row r="2111" spans="1:10" x14ac:dyDescent="0.25">
      <c r="A2111" t="s">
        <v>26</v>
      </c>
      <c r="B2111" s="1" t="str">
        <f>HYPERLINK("http://allianz.lu","allianz.lu")</f>
        <v>allianz.lu</v>
      </c>
      <c r="C2111" t="s">
        <v>547</v>
      </c>
      <c r="D2111" t="s">
        <v>904</v>
      </c>
      <c r="F2111">
        <v>2.0956059108862602E-8</v>
      </c>
      <c r="G2111">
        <v>2521847</v>
      </c>
      <c r="H2111">
        <v>12497363</v>
      </c>
      <c r="I2111">
        <v>17387801</v>
      </c>
      <c r="J2111">
        <v>2</v>
      </c>
    </row>
    <row r="2112" spans="1:10" x14ac:dyDescent="0.25">
      <c r="A2112" t="s">
        <v>26</v>
      </c>
      <c r="B2112" s="1" t="str">
        <f>HYPERLINK("http://feri.lu","feri.lu")</f>
        <v>feri.lu</v>
      </c>
      <c r="C2112" t="s">
        <v>547</v>
      </c>
      <c r="D2112" t="s">
        <v>904</v>
      </c>
      <c r="F2112">
        <v>8.5661643379872504E-9</v>
      </c>
      <c r="G2112">
        <v>8717872</v>
      </c>
      <c r="H2112">
        <v>12437044</v>
      </c>
      <c r="I2112">
        <v>18187724</v>
      </c>
      <c r="J2112">
        <v>6</v>
      </c>
    </row>
    <row r="2113" spans="1:10" x14ac:dyDescent="0.25">
      <c r="A2113" t="s">
        <v>26</v>
      </c>
      <c r="B2113" s="1" t="str">
        <f>HYPERLINK("http://pimco.lu","pimco.lu")</f>
        <v>pimco.lu</v>
      </c>
      <c r="C2113" t="s">
        <v>547</v>
      </c>
      <c r="D2113" t="s">
        <v>904</v>
      </c>
      <c r="F2113">
        <v>1.4954496406763001E-8</v>
      </c>
      <c r="G2113">
        <v>3854634</v>
      </c>
      <c r="H2113">
        <v>12269438</v>
      </c>
      <c r="I2113">
        <v>21534108</v>
      </c>
      <c r="J2113">
        <v>4</v>
      </c>
    </row>
    <row r="2114" spans="1:10" x14ac:dyDescent="0.25">
      <c r="A2114" t="s">
        <v>26</v>
      </c>
      <c r="B2114" s="1" t="str">
        <f>HYPERLINK("http://caverion.lv","caverion.lv")</f>
        <v>caverion.lv</v>
      </c>
      <c r="C2114" t="s">
        <v>468</v>
      </c>
      <c r="D2114" t="s">
        <v>844</v>
      </c>
      <c r="F2114">
        <v>9.9618236595866008E-9</v>
      </c>
      <c r="G2114">
        <v>6794254</v>
      </c>
      <c r="H2114">
        <v>11033734</v>
      </c>
      <c r="I2114">
        <v>33016320</v>
      </c>
      <c r="J2114">
        <v>6</v>
      </c>
    </row>
    <row r="2115" spans="1:10" x14ac:dyDescent="0.25">
      <c r="A2115" t="s">
        <v>26</v>
      </c>
      <c r="B2115" s="1" t="str">
        <f>HYPERLINK("http://allianz.ma","allianz.ma")</f>
        <v>allianz.ma</v>
      </c>
      <c r="C2115" t="s">
        <v>469</v>
      </c>
      <c r="D2115" t="s">
        <v>845</v>
      </c>
      <c r="F2115">
        <v>1.4167825278897999E-8</v>
      </c>
      <c r="G2115">
        <v>4140564</v>
      </c>
      <c r="H2115">
        <v>13571148</v>
      </c>
      <c r="I2115">
        <v>9720654</v>
      </c>
      <c r="J2115">
        <v>2</v>
      </c>
    </row>
    <row r="2116" spans="1:10" x14ac:dyDescent="0.25">
      <c r="A2116" t="s">
        <v>26</v>
      </c>
      <c r="B2116" s="1" t="str">
        <f>HYPERLINK("http://allianz.mg","allianz.mg")</f>
        <v>allianz.mg</v>
      </c>
      <c r="C2116" t="s">
        <v>615</v>
      </c>
      <c r="D2116" t="s">
        <v>940</v>
      </c>
      <c r="F2116">
        <v>1.4103092191331401E-8</v>
      </c>
      <c r="G2116">
        <v>4164517</v>
      </c>
      <c r="H2116">
        <v>12757511</v>
      </c>
      <c r="I2116">
        <v>14975999</v>
      </c>
      <c r="J2116">
        <v>2</v>
      </c>
    </row>
    <row r="2117" spans="1:10" x14ac:dyDescent="0.25">
      <c r="A2117" t="s">
        <v>26</v>
      </c>
      <c r="B2117" s="1" t="str">
        <f>HYPERLINK("http://alianz.com.mx","alianz.com.mx")</f>
        <v>alianz.com.mx</v>
      </c>
      <c r="C2117" t="s">
        <v>471</v>
      </c>
      <c r="D2117" t="s">
        <v>847</v>
      </c>
      <c r="F2117">
        <v>7.1750587288458396E-9</v>
      </c>
      <c r="G2117">
        <v>11809783</v>
      </c>
      <c r="H2117">
        <v>13123426</v>
      </c>
      <c r="I2117">
        <v>11979331</v>
      </c>
      <c r="J2117">
        <v>4</v>
      </c>
    </row>
    <row r="2118" spans="1:10" x14ac:dyDescent="0.25">
      <c r="A2118" t="s">
        <v>26</v>
      </c>
      <c r="B2118" s="1" t="str">
        <f>HYPERLINK("http://allianz.com.mx","allianz.com.mx")</f>
        <v>allianz.com.mx</v>
      </c>
      <c r="C2118" t="s">
        <v>471</v>
      </c>
      <c r="D2118" t="s">
        <v>847</v>
      </c>
      <c r="E2118">
        <v>294841</v>
      </c>
      <c r="F2118">
        <v>1.96433928539695E-8</v>
      </c>
      <c r="G2118">
        <v>2720463</v>
      </c>
      <c r="H2118">
        <v>14072108</v>
      </c>
      <c r="I2118">
        <v>3161882</v>
      </c>
      <c r="J2118">
        <v>2</v>
      </c>
    </row>
    <row r="2119" spans="1:10" x14ac:dyDescent="0.25">
      <c r="A2119" t="s">
        <v>26</v>
      </c>
      <c r="B2119" s="1" t="str">
        <f>HYPERLINK("http://allianz-aqssistance.com.mx","allianz-aqssistance.com.mx")</f>
        <v>allianz-aqssistance.com.mx</v>
      </c>
      <c r="C2119" t="s">
        <v>471</v>
      </c>
      <c r="D2119" t="s">
        <v>847</v>
      </c>
      <c r="J2119">
        <v>4</v>
      </c>
    </row>
    <row r="2120" spans="1:10" x14ac:dyDescent="0.25">
      <c r="A2120" t="s">
        <v>26</v>
      </c>
      <c r="B2120" s="1" t="str">
        <f>HYPERLINK("http://allianz-assistance.com.mx","allianz-assistance.com.mx")</f>
        <v>allianz-assistance.com.mx</v>
      </c>
      <c r="C2120" t="s">
        <v>471</v>
      </c>
      <c r="D2120" t="s">
        <v>847</v>
      </c>
      <c r="E2120">
        <v>974907</v>
      </c>
      <c r="F2120">
        <v>1.13946616071991E-8</v>
      </c>
      <c r="G2120">
        <v>5577890</v>
      </c>
      <c r="H2120">
        <v>12435985</v>
      </c>
      <c r="I2120">
        <v>18202051</v>
      </c>
      <c r="J2120">
        <v>3</v>
      </c>
    </row>
    <row r="2121" spans="1:10" x14ac:dyDescent="0.25">
      <c r="A2121" t="s">
        <v>26</v>
      </c>
      <c r="B2121" s="1" t="str">
        <f>HYPERLINK("http://eulerhermes.com.mx","eulerhermes.com.mx")</f>
        <v>eulerhermes.com.mx</v>
      </c>
      <c r="C2121" t="s">
        <v>471</v>
      </c>
      <c r="D2121" t="s">
        <v>847</v>
      </c>
      <c r="J2121">
        <v>5</v>
      </c>
    </row>
    <row r="2122" spans="1:10" x14ac:dyDescent="0.25">
      <c r="A2122" t="s">
        <v>26</v>
      </c>
      <c r="B2122" s="1" t="str">
        <f>HYPERLINK("http://allianz.com.my","allianz.com.my")</f>
        <v>allianz.com.my</v>
      </c>
      <c r="C2122" t="s">
        <v>472</v>
      </c>
      <c r="D2122" t="s">
        <v>848</v>
      </c>
      <c r="E2122">
        <v>211860</v>
      </c>
      <c r="F2122">
        <v>9.21414447324944E-8</v>
      </c>
      <c r="G2122">
        <v>441862</v>
      </c>
      <c r="H2122">
        <v>14020488</v>
      </c>
      <c r="I2122">
        <v>3984747</v>
      </c>
      <c r="J2122">
        <v>2</v>
      </c>
    </row>
    <row r="2123" spans="1:10" x14ac:dyDescent="0.25">
      <c r="A2123" t="s">
        <v>26</v>
      </c>
      <c r="B2123" s="1" t="str">
        <f>HYPERLINK("http://mlp-ag.net","mlp-ag.net")</f>
        <v>mlp-ag.net</v>
      </c>
      <c r="C2123" t="s">
        <v>474</v>
      </c>
      <c r="F2123">
        <v>5.9895088419608698E-9</v>
      </c>
      <c r="G2123">
        <v>16759941</v>
      </c>
      <c r="H2123">
        <v>12197618</v>
      </c>
      <c r="I2123">
        <v>23382424</v>
      </c>
      <c r="J2123">
        <v>6</v>
      </c>
    </row>
    <row r="2124" spans="1:10" x14ac:dyDescent="0.25">
      <c r="A2124" t="s">
        <v>26</v>
      </c>
      <c r="B2124" s="1" t="str">
        <f>HYPERLINK("http://rehacare.net","rehacare.net")</f>
        <v>rehacare.net</v>
      </c>
      <c r="C2124" t="s">
        <v>474</v>
      </c>
      <c r="F2124">
        <v>1.6707842899168999E-8</v>
      </c>
      <c r="G2124">
        <v>3356835</v>
      </c>
      <c r="H2124">
        <v>13137654</v>
      </c>
      <c r="I2124">
        <v>11895645</v>
      </c>
      <c r="J2124">
        <v>3</v>
      </c>
    </row>
    <row r="2125" spans="1:10" x14ac:dyDescent="0.25">
      <c r="A2125" t="s">
        <v>26</v>
      </c>
      <c r="B2125" s="1" t="str">
        <f>HYPERLINK("http://sicherheitstraining.net","sicherheitstraining.net")</f>
        <v>sicherheitstraining.net</v>
      </c>
      <c r="C2125" t="s">
        <v>474</v>
      </c>
      <c r="F2125">
        <v>4.0204156193147001E-8</v>
      </c>
      <c r="G2125">
        <v>1286680</v>
      </c>
      <c r="H2125">
        <v>13943623</v>
      </c>
      <c r="I2125">
        <v>4311459</v>
      </c>
      <c r="J2125">
        <v>7</v>
      </c>
    </row>
    <row r="2126" spans="1:10" x14ac:dyDescent="0.25">
      <c r="A2126" t="s">
        <v>26</v>
      </c>
      <c r="B2126" s="1" t="str">
        <f>HYPERLINK("http://sportundkulturverein.net","sportundkulturverein.net")</f>
        <v>sportundkulturverein.net</v>
      </c>
      <c r="C2126" t="s">
        <v>474</v>
      </c>
      <c r="F2126">
        <v>4.44380395335525E-9</v>
      </c>
      <c r="G2126">
        <v>85582481</v>
      </c>
      <c r="H2126">
        <v>0</v>
      </c>
      <c r="I2126">
        <v>86876029</v>
      </c>
      <c r="J2126">
        <v>7</v>
      </c>
    </row>
    <row r="2127" spans="1:10" x14ac:dyDescent="0.25">
      <c r="A2127" t="s">
        <v>26</v>
      </c>
      <c r="B2127" s="1" t="str">
        <f>HYPERLINK("http://test-mlp-ag.net","test-mlp-ag.net")</f>
        <v>test-mlp-ag.net</v>
      </c>
      <c r="C2127" t="s">
        <v>474</v>
      </c>
      <c r="J2127">
        <v>6</v>
      </c>
    </row>
    <row r="2128" spans="1:10" x14ac:dyDescent="0.25">
      <c r="A2128" t="s">
        <v>26</v>
      </c>
      <c r="B2128" s="1" t="str">
        <f>HYPERLINK("http://allianz.ng","allianz.ng")</f>
        <v>allianz.ng</v>
      </c>
      <c r="C2128" t="s">
        <v>475</v>
      </c>
      <c r="D2128" t="s">
        <v>850</v>
      </c>
      <c r="F2128">
        <v>1.36858861386041E-8</v>
      </c>
      <c r="G2128">
        <v>4326760</v>
      </c>
      <c r="H2128">
        <v>12875671</v>
      </c>
      <c r="I2128">
        <v>14028808</v>
      </c>
      <c r="J2128">
        <v>2</v>
      </c>
    </row>
    <row r="2129" spans="1:10" x14ac:dyDescent="0.25">
      <c r="A2129" t="s">
        <v>26</v>
      </c>
      <c r="B2129" s="1" t="str">
        <f>HYPERLINK("http://allianz.nl","allianz.nl")</f>
        <v>allianz.nl</v>
      </c>
      <c r="C2129" t="s">
        <v>477</v>
      </c>
      <c r="D2129" t="s">
        <v>852</v>
      </c>
      <c r="E2129">
        <v>338949</v>
      </c>
      <c r="F2129">
        <v>2.1451345758739501E-7</v>
      </c>
      <c r="G2129">
        <v>175963</v>
      </c>
      <c r="H2129">
        <v>14622182</v>
      </c>
      <c r="I2129">
        <v>655614</v>
      </c>
      <c r="J2129">
        <v>2</v>
      </c>
    </row>
    <row r="2130" spans="1:10" x14ac:dyDescent="0.25">
      <c r="A2130" t="s">
        <v>26</v>
      </c>
      <c r="B2130" s="1" t="str">
        <f>HYPERLINK("http://allianz-assistance.nl","allianz-assistance.nl")</f>
        <v>allianz-assistance.nl</v>
      </c>
      <c r="C2130" t="s">
        <v>477</v>
      </c>
      <c r="D2130" t="s">
        <v>852</v>
      </c>
      <c r="E2130">
        <v>333174</v>
      </c>
      <c r="F2130">
        <v>2.4060558440627502E-7</v>
      </c>
      <c r="G2130">
        <v>155517</v>
      </c>
      <c r="H2130">
        <v>13777576</v>
      </c>
      <c r="I2130">
        <v>6535356</v>
      </c>
      <c r="J2130">
        <v>5</v>
      </c>
    </row>
    <row r="2131" spans="1:10" x14ac:dyDescent="0.25">
      <c r="A2131" t="s">
        <v>26</v>
      </c>
      <c r="B2131" s="1" t="str">
        <f>HYPERLINK("http://allianz-partners.nl","allianz-partners.nl")</f>
        <v>allianz-partners.nl</v>
      </c>
      <c r="C2131" t="s">
        <v>477</v>
      </c>
      <c r="D2131" t="s">
        <v>852</v>
      </c>
      <c r="F2131">
        <v>6.0522149729511403E-9</v>
      </c>
      <c r="G2131">
        <v>16369454</v>
      </c>
      <c r="H2131">
        <v>10631845</v>
      </c>
      <c r="I2131">
        <v>43940031</v>
      </c>
      <c r="J2131">
        <v>6</v>
      </c>
    </row>
    <row r="2132" spans="1:10" x14ac:dyDescent="0.25">
      <c r="A2132" t="s">
        <v>26</v>
      </c>
      <c r="B2132" s="1" t="str">
        <f>HYPERLINK("http://allianz-trade.nl","allianz-trade.nl")</f>
        <v>allianz-trade.nl</v>
      </c>
      <c r="C2132" t="s">
        <v>477</v>
      </c>
      <c r="D2132" t="s">
        <v>852</v>
      </c>
      <c r="F2132">
        <v>7.3277835678308004E-9</v>
      </c>
      <c r="G2132">
        <v>11412820</v>
      </c>
      <c r="H2132">
        <v>11083135</v>
      </c>
      <c r="I2132">
        <v>32453647</v>
      </c>
      <c r="J2132">
        <v>6</v>
      </c>
    </row>
    <row r="2133" spans="1:10" x14ac:dyDescent="0.25">
      <c r="A2133" t="s">
        <v>26</v>
      </c>
      <c r="B2133" s="1" t="str">
        <f>HYPERLINK("http://allianzdirect.nl","allianzdirect.nl")</f>
        <v>allianzdirect.nl</v>
      </c>
      <c r="C2133" t="s">
        <v>477</v>
      </c>
      <c r="D2133" t="s">
        <v>852</v>
      </c>
      <c r="E2133">
        <v>229804</v>
      </c>
      <c r="F2133">
        <v>1.4160614616662801E-7</v>
      </c>
      <c r="G2133">
        <v>274968</v>
      </c>
      <c r="H2133">
        <v>13362517</v>
      </c>
      <c r="I2133">
        <v>10502791</v>
      </c>
      <c r="J2133">
        <v>5</v>
      </c>
    </row>
    <row r="2134" spans="1:10" x14ac:dyDescent="0.25">
      <c r="A2134" t="s">
        <v>26</v>
      </c>
      <c r="B2134" s="1" t="str">
        <f>HYPERLINK("http://allianzvermogen.nl","allianzvermogen.nl")</f>
        <v>allianzvermogen.nl</v>
      </c>
      <c r="C2134" t="s">
        <v>477</v>
      </c>
      <c r="D2134" t="s">
        <v>852</v>
      </c>
      <c r="F2134">
        <v>4.4438364415277001E-9</v>
      </c>
      <c r="G2134">
        <v>78910479</v>
      </c>
      <c r="H2134">
        <v>10482326</v>
      </c>
      <c r="I2134">
        <v>50966154</v>
      </c>
      <c r="J2134">
        <v>3</v>
      </c>
    </row>
    <row r="2135" spans="1:10" x14ac:dyDescent="0.25">
      <c r="A2135" t="s">
        <v>26</v>
      </c>
      <c r="B2135" s="1" t="str">
        <f>HYPERLINK("http://eulerhermes.nl","eulerhermes.nl")</f>
        <v>eulerhermes.nl</v>
      </c>
      <c r="C2135" t="s">
        <v>477</v>
      </c>
      <c r="D2135" t="s">
        <v>852</v>
      </c>
      <c r="F2135">
        <v>3.8155546045695001E-8</v>
      </c>
      <c r="G2135">
        <v>1356650</v>
      </c>
      <c r="H2135">
        <v>13722639</v>
      </c>
      <c r="I2135">
        <v>9468963</v>
      </c>
      <c r="J2135">
        <v>4</v>
      </c>
    </row>
    <row r="2136" spans="1:10" x14ac:dyDescent="0.25">
      <c r="A2136" t="s">
        <v>26</v>
      </c>
      <c r="B2136" s="1" t="str">
        <f>HYPERLINK("http://caverion.no","caverion.no")</f>
        <v>caverion.no</v>
      </c>
      <c r="C2136" t="s">
        <v>478</v>
      </c>
      <c r="D2136" t="s">
        <v>853</v>
      </c>
      <c r="F2136">
        <v>4.1567042639088302E-8</v>
      </c>
      <c r="G2136">
        <v>1195267</v>
      </c>
      <c r="H2136">
        <v>14078318</v>
      </c>
      <c r="I2136">
        <v>2848844</v>
      </c>
      <c r="J2136">
        <v>6</v>
      </c>
    </row>
    <row r="2137" spans="1:10" x14ac:dyDescent="0.25">
      <c r="A2137" t="s">
        <v>26</v>
      </c>
      <c r="B2137" s="1" t="str">
        <f>HYPERLINK("http://eulerhermes.no","eulerhermes.no")</f>
        <v>eulerhermes.no</v>
      </c>
      <c r="C2137" t="s">
        <v>478</v>
      </c>
      <c r="D2137" t="s">
        <v>853</v>
      </c>
      <c r="F2137">
        <v>9.4298730009248607E-9</v>
      </c>
      <c r="G2137">
        <v>7407509</v>
      </c>
      <c r="H2137">
        <v>13764137</v>
      </c>
      <c r="I2137">
        <v>7365740</v>
      </c>
      <c r="J2137">
        <v>4</v>
      </c>
    </row>
    <row r="2138" spans="1:10" x14ac:dyDescent="0.25">
      <c r="A2138" t="s">
        <v>26</v>
      </c>
      <c r="B2138" s="1" t="str">
        <f>HYPERLINK("http://pimco.no","pimco.no")</f>
        <v>pimco.no</v>
      </c>
      <c r="C2138" t="s">
        <v>478</v>
      </c>
      <c r="D2138" t="s">
        <v>853</v>
      </c>
      <c r="F2138">
        <v>1.26984227517202E-8</v>
      </c>
      <c r="G2138">
        <v>4780444</v>
      </c>
      <c r="H2138">
        <v>12251288</v>
      </c>
      <c r="I2138">
        <v>21989107</v>
      </c>
      <c r="J2138">
        <v>4</v>
      </c>
    </row>
    <row r="2139" spans="1:10" x14ac:dyDescent="0.25">
      <c r="A2139" t="s">
        <v>26</v>
      </c>
      <c r="B2139" s="1" t="str">
        <f>HYPERLINK("http://allianz.co.nz","allianz.co.nz")</f>
        <v>allianz.co.nz</v>
      </c>
      <c r="C2139" t="s">
        <v>479</v>
      </c>
      <c r="D2139" t="s">
        <v>854</v>
      </c>
      <c r="F2139">
        <v>9.9453277997196099E-9</v>
      </c>
      <c r="G2139">
        <v>6811320</v>
      </c>
      <c r="H2139">
        <v>12310338</v>
      </c>
      <c r="I2139">
        <v>20607523</v>
      </c>
      <c r="J2139">
        <v>2</v>
      </c>
    </row>
    <row r="2140" spans="1:10" x14ac:dyDescent="0.25">
      <c r="A2140" t="s">
        <v>26</v>
      </c>
      <c r="B2140" s="1" t="str">
        <f>HYPERLINK("http://allianzworldwidepartners.co.nz","allianzworldwidepartners.co.nz")</f>
        <v>allianzworldwidepartners.co.nz</v>
      </c>
      <c r="C2140" t="s">
        <v>479</v>
      </c>
      <c r="D2140" t="s">
        <v>854</v>
      </c>
      <c r="F2140">
        <v>5.9324978828367299E-9</v>
      </c>
      <c r="G2140">
        <v>17136165</v>
      </c>
      <c r="H2140">
        <v>10416639</v>
      </c>
      <c r="I2140">
        <v>53976432</v>
      </c>
      <c r="J2140">
        <v>8</v>
      </c>
    </row>
    <row r="2141" spans="1:10" x14ac:dyDescent="0.25">
      <c r="A2141" t="s">
        <v>26</v>
      </c>
      <c r="B2141" s="1" t="str">
        <f>HYPERLINK("http://eulerhermes.co.nz","eulerhermes.co.nz")</f>
        <v>eulerhermes.co.nz</v>
      </c>
      <c r="C2141" t="s">
        <v>479</v>
      </c>
      <c r="D2141" t="s">
        <v>854</v>
      </c>
      <c r="F2141">
        <v>9.0608455944554493E-9</v>
      </c>
      <c r="G2141">
        <v>7902564</v>
      </c>
      <c r="H2141">
        <v>11067558</v>
      </c>
      <c r="I2141">
        <v>32607127</v>
      </c>
      <c r="J2141">
        <v>4</v>
      </c>
    </row>
    <row r="2142" spans="1:10" x14ac:dyDescent="0.25">
      <c r="A2142" t="s">
        <v>26</v>
      </c>
      <c r="B2142" s="1" t="str">
        <f>HYPERLINK("http://allianzfoundation.org","allianzfoundation.org")</f>
        <v>allianzfoundation.org</v>
      </c>
      <c r="C2142" t="s">
        <v>481</v>
      </c>
      <c r="F2142">
        <v>4.3176656637334701E-8</v>
      </c>
      <c r="G2142">
        <v>1111706</v>
      </c>
      <c r="H2142">
        <v>12300503</v>
      </c>
      <c r="I2142">
        <v>20822141</v>
      </c>
      <c r="J2142">
        <v>4</v>
      </c>
    </row>
    <row r="2143" spans="1:10" x14ac:dyDescent="0.25">
      <c r="A2143" t="s">
        <v>26</v>
      </c>
      <c r="B2143" s="1" t="str">
        <f>HYPERLINK("http://allianzpnblife.ph","allianzpnblife.ph")</f>
        <v>allianzpnblife.ph</v>
      </c>
      <c r="C2143" t="s">
        <v>484</v>
      </c>
      <c r="D2143" t="s">
        <v>858</v>
      </c>
      <c r="F2143">
        <v>2.19212136166421E-8</v>
      </c>
      <c r="G2143">
        <v>2395542</v>
      </c>
      <c r="H2143">
        <v>14238677</v>
      </c>
      <c r="I2143">
        <v>1522844</v>
      </c>
      <c r="J2143">
        <v>3</v>
      </c>
    </row>
    <row r="2144" spans="1:10" x14ac:dyDescent="0.25">
      <c r="A2144" t="s">
        <v>26</v>
      </c>
      <c r="B2144" s="1" t="str">
        <f>HYPERLINK("http://allianz.pl","allianz.pl")</f>
        <v>allianz.pl</v>
      </c>
      <c r="C2144" t="s">
        <v>486</v>
      </c>
      <c r="D2144" t="s">
        <v>860</v>
      </c>
      <c r="E2144">
        <v>165892</v>
      </c>
      <c r="F2144">
        <v>2.37713131892543E-7</v>
      </c>
      <c r="G2144">
        <v>157533</v>
      </c>
      <c r="H2144">
        <v>14267012</v>
      </c>
      <c r="I2144">
        <v>1406003</v>
      </c>
      <c r="J2144">
        <v>2</v>
      </c>
    </row>
    <row r="2145" spans="1:10" x14ac:dyDescent="0.25">
      <c r="A2145" t="s">
        <v>26</v>
      </c>
      <c r="B2145" s="1" t="str">
        <f>HYPERLINK("http://caverion.pl","caverion.pl")</f>
        <v>caverion.pl</v>
      </c>
      <c r="C2145" t="s">
        <v>486</v>
      </c>
      <c r="D2145" t="s">
        <v>860</v>
      </c>
      <c r="F2145">
        <v>1.0952262927330801E-8</v>
      </c>
      <c r="G2145">
        <v>5901688</v>
      </c>
      <c r="H2145">
        <v>12142231</v>
      </c>
      <c r="I2145">
        <v>24830905</v>
      </c>
      <c r="J2145">
        <v>6</v>
      </c>
    </row>
    <row r="2146" spans="1:10" x14ac:dyDescent="0.25">
      <c r="A2146" t="s">
        <v>26</v>
      </c>
      <c r="B2146" s="1" t="str">
        <f>HYPERLINK("http://allianz.com.pl","allianz.com.pl")</f>
        <v>allianz.com.pl</v>
      </c>
      <c r="C2146" t="s">
        <v>486</v>
      </c>
      <c r="D2146" t="s">
        <v>860</v>
      </c>
      <c r="F2146">
        <v>5.8252002150865602E-9</v>
      </c>
      <c r="G2146">
        <v>17899480</v>
      </c>
      <c r="H2146">
        <v>10845557</v>
      </c>
      <c r="I2146">
        <v>36972380</v>
      </c>
      <c r="J2146">
        <v>3</v>
      </c>
    </row>
    <row r="2147" spans="1:10" x14ac:dyDescent="0.25">
      <c r="A2147" t="s">
        <v>26</v>
      </c>
      <c r="B2147" s="1" t="str">
        <f>HYPERLINK("http://eulerhermes.pl","eulerhermes.pl")</f>
        <v>eulerhermes.pl</v>
      </c>
      <c r="C2147" t="s">
        <v>486</v>
      </c>
      <c r="D2147" t="s">
        <v>860</v>
      </c>
      <c r="F2147">
        <v>1.9478900702580001E-8</v>
      </c>
      <c r="G2147">
        <v>2747752</v>
      </c>
      <c r="H2147">
        <v>13051447</v>
      </c>
      <c r="I2147">
        <v>12578598</v>
      </c>
      <c r="J2147">
        <v>3</v>
      </c>
    </row>
    <row r="2148" spans="1:10" x14ac:dyDescent="0.25">
      <c r="A2148" t="s">
        <v>26</v>
      </c>
      <c r="B2148" s="1" t="str">
        <f>HYPERLINK("http://expander.pl","expander.pl")</f>
        <v>expander.pl</v>
      </c>
      <c r="C2148" t="s">
        <v>486</v>
      </c>
      <c r="D2148" t="s">
        <v>860</v>
      </c>
      <c r="E2148">
        <v>688296</v>
      </c>
      <c r="F2148">
        <v>9.2321870515225898E-8</v>
      </c>
      <c r="G2148">
        <v>440881</v>
      </c>
      <c r="H2148">
        <v>14366356</v>
      </c>
      <c r="I2148">
        <v>1301719</v>
      </c>
      <c r="J2148">
        <v>3</v>
      </c>
    </row>
    <row r="2149" spans="1:10" x14ac:dyDescent="0.25">
      <c r="A2149" t="s">
        <v>26</v>
      </c>
      <c r="B2149" s="1" t="str">
        <f>HYPERLINK("http://allianz.pt","allianz.pt")</f>
        <v>allianz.pt</v>
      </c>
      <c r="C2149" t="s">
        <v>488</v>
      </c>
      <c r="D2149" t="s">
        <v>862</v>
      </c>
      <c r="E2149">
        <v>694266</v>
      </c>
      <c r="F2149">
        <v>7.9715453527327295E-8</v>
      </c>
      <c r="G2149">
        <v>524065</v>
      </c>
      <c r="H2149">
        <v>13896939</v>
      </c>
      <c r="I2149">
        <v>5954335</v>
      </c>
      <c r="J2149">
        <v>2</v>
      </c>
    </row>
    <row r="2150" spans="1:10" x14ac:dyDescent="0.25">
      <c r="A2150" t="s">
        <v>26</v>
      </c>
      <c r="B2150" s="1" t="str">
        <f>HYPERLINK("http://allianz-assistance.pt","allianz-assistance.pt")</f>
        <v>allianz-assistance.pt</v>
      </c>
      <c r="C2150" t="s">
        <v>488</v>
      </c>
      <c r="D2150" t="s">
        <v>862</v>
      </c>
      <c r="F2150">
        <v>1.1712049847918001E-8</v>
      </c>
      <c r="G2150">
        <v>5358772</v>
      </c>
      <c r="H2150">
        <v>13361782</v>
      </c>
      <c r="I2150">
        <v>10508143</v>
      </c>
      <c r="J2150">
        <v>3</v>
      </c>
    </row>
    <row r="2151" spans="1:10" x14ac:dyDescent="0.25">
      <c r="A2151" t="s">
        <v>26</v>
      </c>
      <c r="B2151" s="1" t="str">
        <f>HYPERLINK("http://allianznet.pt","allianznet.pt")</f>
        <v>allianznet.pt</v>
      </c>
      <c r="C2151" t="s">
        <v>488</v>
      </c>
      <c r="D2151" t="s">
        <v>862</v>
      </c>
      <c r="J2151">
        <v>4</v>
      </c>
    </row>
    <row r="2152" spans="1:10" x14ac:dyDescent="0.25">
      <c r="A2152" t="s">
        <v>26</v>
      </c>
      <c r="B2152" s="1" t="str">
        <f>HYPERLINK("http://allianz-partners.re","allianz-partners.re")</f>
        <v>allianz-partners.re</v>
      </c>
      <c r="C2152" t="s">
        <v>575</v>
      </c>
      <c r="D2152" t="s">
        <v>920</v>
      </c>
      <c r="F2152">
        <v>9.2579604999801707E-9</v>
      </c>
      <c r="G2152">
        <v>7628022</v>
      </c>
      <c r="H2152">
        <v>12315937</v>
      </c>
      <c r="I2152">
        <v>20498785</v>
      </c>
      <c r="J2152">
        <v>6</v>
      </c>
    </row>
    <row r="2153" spans="1:10" x14ac:dyDescent="0.25">
      <c r="A2153" t="s">
        <v>26</v>
      </c>
      <c r="B2153" s="1" t="str">
        <f>HYPERLINK("http://allianztiriac.ro","allianztiriac.ro")</f>
        <v>allianztiriac.ro</v>
      </c>
      <c r="C2153" t="s">
        <v>491</v>
      </c>
      <c r="D2153" t="s">
        <v>865</v>
      </c>
      <c r="E2153">
        <v>504671</v>
      </c>
      <c r="F2153">
        <v>6.4407285074378695E-8</v>
      </c>
      <c r="G2153">
        <v>671976</v>
      </c>
      <c r="H2153">
        <v>14238044</v>
      </c>
      <c r="I2153">
        <v>1534511</v>
      </c>
      <c r="J2153">
        <v>3</v>
      </c>
    </row>
    <row r="2154" spans="1:10" x14ac:dyDescent="0.25">
      <c r="A2154" t="s">
        <v>26</v>
      </c>
      <c r="B2154" s="1" t="str">
        <f>HYPERLINK("http://aztpensii.ro","aztpensii.ro")</f>
        <v>aztpensii.ro</v>
      </c>
      <c r="C2154" t="s">
        <v>491</v>
      </c>
      <c r="D2154" t="s">
        <v>865</v>
      </c>
      <c r="F2154">
        <v>1.1445603332920499E-8</v>
      </c>
      <c r="G2154">
        <v>5542472</v>
      </c>
      <c r="H2154">
        <v>12484544</v>
      </c>
      <c r="I2154">
        <v>17554130</v>
      </c>
      <c r="J2154">
        <v>3</v>
      </c>
    </row>
    <row r="2155" spans="1:10" x14ac:dyDescent="0.25">
      <c r="A2155" t="s">
        <v>26</v>
      </c>
      <c r="B2155" s="1" t="str">
        <f>HYPERLINK("http://eulerhermes.ro","eulerhermes.ro")</f>
        <v>eulerhermes.ro</v>
      </c>
      <c r="C2155" t="s">
        <v>491</v>
      </c>
      <c r="D2155" t="s">
        <v>865</v>
      </c>
      <c r="F2155">
        <v>9.5188778893771198E-9</v>
      </c>
      <c r="G2155">
        <v>7300093</v>
      </c>
      <c r="H2155">
        <v>11104647</v>
      </c>
      <c r="I2155">
        <v>32214882</v>
      </c>
      <c r="J2155">
        <v>4</v>
      </c>
    </row>
    <row r="2156" spans="1:10" x14ac:dyDescent="0.25">
      <c r="A2156" t="s">
        <v>26</v>
      </c>
      <c r="B2156" s="1" t="str">
        <f>HYPERLINK("http://allianz.ru","allianz.ru")</f>
        <v>allianz.ru</v>
      </c>
      <c r="C2156" t="s">
        <v>493</v>
      </c>
      <c r="D2156" t="s">
        <v>867</v>
      </c>
      <c r="E2156">
        <v>202751</v>
      </c>
      <c r="F2156">
        <v>6.5903169946863799E-7</v>
      </c>
      <c r="G2156">
        <v>58410</v>
      </c>
      <c r="H2156">
        <v>14330774</v>
      </c>
      <c r="I2156">
        <v>1322875</v>
      </c>
      <c r="J2156">
        <v>2</v>
      </c>
    </row>
    <row r="2157" spans="1:10" x14ac:dyDescent="0.25">
      <c r="A2157" t="s">
        <v>26</v>
      </c>
      <c r="B2157" s="1" t="str">
        <f>HYPERLINK("http://caverion.ru","caverion.ru")</f>
        <v>caverion.ru</v>
      </c>
      <c r="C2157" t="s">
        <v>493</v>
      </c>
      <c r="D2157" t="s">
        <v>867</v>
      </c>
      <c r="F2157">
        <v>1.11638718190172E-8</v>
      </c>
      <c r="G2157">
        <v>5739193</v>
      </c>
      <c r="H2157">
        <v>13140446</v>
      </c>
      <c r="I2157">
        <v>11877896</v>
      </c>
      <c r="J2157">
        <v>6</v>
      </c>
    </row>
    <row r="2158" spans="1:10" x14ac:dyDescent="0.25">
      <c r="A2158" t="s">
        <v>26</v>
      </c>
      <c r="B2158" s="1" t="str">
        <f>HYPERLINK("http://caverion.se","caverion.se")</f>
        <v>caverion.se</v>
      </c>
      <c r="C2158" t="s">
        <v>495</v>
      </c>
      <c r="D2158" t="s">
        <v>869</v>
      </c>
      <c r="F2158">
        <v>5.1735592552823097E-8</v>
      </c>
      <c r="G2158">
        <v>883468</v>
      </c>
      <c r="H2158">
        <v>13762452</v>
      </c>
      <c r="I2158">
        <v>9413012</v>
      </c>
      <c r="J2158">
        <v>6</v>
      </c>
    </row>
    <row r="2159" spans="1:10" x14ac:dyDescent="0.25">
      <c r="A2159" t="s">
        <v>26</v>
      </c>
      <c r="B2159" s="1" t="str">
        <f>HYPERLINK("http://allianz-assistance.com.sg","allianz-assistance.com.sg")</f>
        <v>allianz-assistance.com.sg</v>
      </c>
      <c r="C2159" t="s">
        <v>496</v>
      </c>
      <c r="D2159" t="s">
        <v>870</v>
      </c>
      <c r="E2159">
        <v>615377</v>
      </c>
      <c r="F2159">
        <v>3.1969246060622398E-8</v>
      </c>
      <c r="G2159">
        <v>1616493</v>
      </c>
      <c r="H2159">
        <v>12742786</v>
      </c>
      <c r="I2159">
        <v>15113729</v>
      </c>
      <c r="J2159">
        <v>3</v>
      </c>
    </row>
    <row r="2160" spans="1:10" x14ac:dyDescent="0.25">
      <c r="A2160" t="s">
        <v>26</v>
      </c>
      <c r="B2160" s="1" t="str">
        <f>HYPERLINK("http://pimco.com.sg","pimco.com.sg")</f>
        <v>pimco.com.sg</v>
      </c>
      <c r="C2160" t="s">
        <v>496</v>
      </c>
      <c r="D2160" t="s">
        <v>870</v>
      </c>
      <c r="F2160">
        <v>2.0998577793297901E-8</v>
      </c>
      <c r="G2160">
        <v>2516042</v>
      </c>
      <c r="H2160">
        <v>13767629</v>
      </c>
      <c r="I2160">
        <v>6921718</v>
      </c>
      <c r="J2160">
        <v>3</v>
      </c>
    </row>
    <row r="2161" spans="1:10" x14ac:dyDescent="0.25">
      <c r="A2161" t="s">
        <v>26</v>
      </c>
      <c r="B2161" s="1" t="str">
        <f>HYPERLINK("http://eulerhermes.sg","eulerhermes.sg")</f>
        <v>eulerhermes.sg</v>
      </c>
      <c r="C2161" t="s">
        <v>496</v>
      </c>
      <c r="D2161" t="s">
        <v>870</v>
      </c>
      <c r="F2161">
        <v>9.3468457763848403E-9</v>
      </c>
      <c r="G2161">
        <v>7512041</v>
      </c>
      <c r="H2161">
        <v>11133707</v>
      </c>
      <c r="I2161">
        <v>31908781</v>
      </c>
      <c r="J2161">
        <v>4</v>
      </c>
    </row>
    <row r="2162" spans="1:10" x14ac:dyDescent="0.25">
      <c r="A2162" t="s">
        <v>26</v>
      </c>
      <c r="B2162" s="1" t="str">
        <f>HYPERLINK("http://allianz.sk","allianz.sk")</f>
        <v>allianz.sk</v>
      </c>
      <c r="C2162" t="s">
        <v>498</v>
      </c>
      <c r="D2162" t="s">
        <v>872</v>
      </c>
      <c r="E2162">
        <v>542514</v>
      </c>
      <c r="F2162">
        <v>8.7203003978211803E-8</v>
      </c>
      <c r="G2162">
        <v>470706</v>
      </c>
      <c r="H2162">
        <v>12484203</v>
      </c>
      <c r="I2162">
        <v>17559270</v>
      </c>
      <c r="J2162">
        <v>2</v>
      </c>
    </row>
    <row r="2163" spans="1:10" x14ac:dyDescent="0.25">
      <c r="A2163" t="s">
        <v>26</v>
      </c>
      <c r="B2163" s="1" t="str">
        <f>HYPERLINK("http://allianzsp.sk","allianzsp.sk")</f>
        <v>allianzsp.sk</v>
      </c>
      <c r="C2163" t="s">
        <v>498</v>
      </c>
      <c r="D2163" t="s">
        <v>872</v>
      </c>
      <c r="E2163">
        <v>990998</v>
      </c>
      <c r="F2163">
        <v>1.27179608092988E-7</v>
      </c>
      <c r="G2163">
        <v>310077</v>
      </c>
      <c r="H2163">
        <v>14243862</v>
      </c>
      <c r="I2163">
        <v>1474911</v>
      </c>
      <c r="J2163">
        <v>4</v>
      </c>
    </row>
    <row r="2164" spans="1:10" x14ac:dyDescent="0.25">
      <c r="A2164" t="s">
        <v>26</v>
      </c>
      <c r="B2164" s="1" t="str">
        <f>HYPERLINK("http://asdss.sk","asdss.sk")</f>
        <v>asdss.sk</v>
      </c>
      <c r="C2164" t="s">
        <v>498</v>
      </c>
      <c r="D2164" t="s">
        <v>872</v>
      </c>
      <c r="F2164">
        <v>2.4082130620327899E-8</v>
      </c>
      <c r="G2164">
        <v>2154971</v>
      </c>
      <c r="H2164">
        <v>12623080</v>
      </c>
      <c r="I2164">
        <v>16055573</v>
      </c>
      <c r="J2164">
        <v>3</v>
      </c>
    </row>
    <row r="2165" spans="1:10" x14ac:dyDescent="0.25">
      <c r="A2165" t="s">
        <v>26</v>
      </c>
      <c r="B2165" s="1" t="str">
        <f>HYPERLINK("http://allianz.sn","allianz.sn")</f>
        <v>allianz.sn</v>
      </c>
      <c r="C2165" t="s">
        <v>551</v>
      </c>
      <c r="D2165" t="s">
        <v>907</v>
      </c>
      <c r="F2165">
        <v>9.2047042057469899E-9</v>
      </c>
      <c r="G2165">
        <v>7703902</v>
      </c>
      <c r="H2165">
        <v>12290750</v>
      </c>
      <c r="I2165">
        <v>21097554</v>
      </c>
      <c r="J2165">
        <v>2</v>
      </c>
    </row>
    <row r="2166" spans="1:10" x14ac:dyDescent="0.25">
      <c r="A2166" t="s">
        <v>26</v>
      </c>
      <c r="B2166" s="1" t="str">
        <f>HYPERLINK("http://allianz-assistance.co.th","allianz-assistance.co.th")</f>
        <v>allianz-assistance.co.th</v>
      </c>
      <c r="C2166" t="s">
        <v>500</v>
      </c>
      <c r="D2166" t="s">
        <v>874</v>
      </c>
      <c r="F2166">
        <v>3.7022784808326603E-8</v>
      </c>
      <c r="G2166">
        <v>1401065</v>
      </c>
      <c r="H2166">
        <v>12691433</v>
      </c>
      <c r="I2166">
        <v>15410785</v>
      </c>
      <c r="J2166">
        <v>4</v>
      </c>
    </row>
    <row r="2167" spans="1:10" x14ac:dyDescent="0.25">
      <c r="A2167" t="s">
        <v>26</v>
      </c>
      <c r="B2167" s="1" t="str">
        <f>HYPERLINK("http://azay.co.th","azay.co.th")</f>
        <v>azay.co.th</v>
      </c>
      <c r="C2167" t="s">
        <v>500</v>
      </c>
      <c r="D2167" t="s">
        <v>874</v>
      </c>
      <c r="E2167">
        <v>504242</v>
      </c>
      <c r="F2167">
        <v>2.9738735419794499E-8</v>
      </c>
      <c r="G2167">
        <v>1731187</v>
      </c>
      <c r="H2167">
        <v>12766056</v>
      </c>
      <c r="I2167">
        <v>14912614</v>
      </c>
      <c r="J2167">
        <v>4</v>
      </c>
    </row>
    <row r="2168" spans="1:10" x14ac:dyDescent="0.25">
      <c r="A2168" t="s">
        <v>26</v>
      </c>
      <c r="B2168" s="1" t="str">
        <f>HYPERLINK("http://sagi.co.th","sagi.co.th")</f>
        <v>sagi.co.th</v>
      </c>
      <c r="C2168" t="s">
        <v>500</v>
      </c>
      <c r="D2168" t="s">
        <v>874</v>
      </c>
      <c r="F2168">
        <v>6.4841332100507604E-9</v>
      </c>
      <c r="G2168">
        <v>14144292</v>
      </c>
      <c r="H2168">
        <v>13763869</v>
      </c>
      <c r="I2168">
        <v>7539232</v>
      </c>
      <c r="J2168">
        <v>3</v>
      </c>
    </row>
    <row r="2169" spans="1:10" x14ac:dyDescent="0.25">
      <c r="A2169" t="s">
        <v>26</v>
      </c>
      <c r="B2169" s="1" t="str">
        <f>HYPERLINK("http://tillfussalm.tirol","tillfussalm.tirol")</f>
        <v>tillfussalm.tirol</v>
      </c>
      <c r="C2169" t="s">
        <v>1668</v>
      </c>
      <c r="F2169">
        <v>7.3186581316393204E-9</v>
      </c>
      <c r="G2169">
        <v>11434391</v>
      </c>
      <c r="H2169">
        <v>12352895</v>
      </c>
      <c r="I2169">
        <v>19719990</v>
      </c>
      <c r="J2169">
        <v>7</v>
      </c>
    </row>
    <row r="2170" spans="1:10" x14ac:dyDescent="0.25">
      <c r="A2170" t="s">
        <v>26</v>
      </c>
      <c r="B2170" s="1" t="str">
        <f>HYPERLINK("http://allianz.com.tr","allianz.com.tr")</f>
        <v>allianz.com.tr</v>
      </c>
      <c r="C2170" t="s">
        <v>502</v>
      </c>
      <c r="D2170" t="s">
        <v>876</v>
      </c>
      <c r="E2170">
        <v>94168</v>
      </c>
      <c r="F2170">
        <v>1.02164979302187E-7</v>
      </c>
      <c r="G2170">
        <v>393151</v>
      </c>
      <c r="H2170">
        <v>14576591</v>
      </c>
      <c r="I2170">
        <v>720690</v>
      </c>
      <c r="J2170">
        <v>2</v>
      </c>
    </row>
    <row r="2171" spans="1:10" x14ac:dyDescent="0.25">
      <c r="A2171" t="s">
        <v>26</v>
      </c>
      <c r="B2171" s="1" t="str">
        <f>HYPERLINK("http://allianzemeklilik.com.tr","allianzemeklilik.com.tr")</f>
        <v>allianzemeklilik.com.tr</v>
      </c>
      <c r="C2171" t="s">
        <v>502</v>
      </c>
      <c r="D2171" t="s">
        <v>876</v>
      </c>
      <c r="F2171">
        <v>1.16526770229682E-8</v>
      </c>
      <c r="G2171">
        <v>5397055</v>
      </c>
      <c r="H2171">
        <v>12295040</v>
      </c>
      <c r="I2171">
        <v>20963654</v>
      </c>
      <c r="J2171">
        <v>3</v>
      </c>
    </row>
    <row r="2172" spans="1:10" x14ac:dyDescent="0.25">
      <c r="A2172" t="s">
        <v>26</v>
      </c>
      <c r="B2172" s="1" t="str">
        <f>HYPERLINK("http://allianzteknik.com.tr","allianzteknik.com.tr")</f>
        <v>allianzteknik.com.tr</v>
      </c>
      <c r="C2172" t="s">
        <v>502</v>
      </c>
      <c r="D2172" t="s">
        <v>876</v>
      </c>
      <c r="F2172">
        <v>4.4755413935898698E-9</v>
      </c>
      <c r="G2172">
        <v>63297206</v>
      </c>
      <c r="H2172">
        <v>10430589</v>
      </c>
      <c r="I2172">
        <v>53599636</v>
      </c>
      <c r="J2172">
        <v>4</v>
      </c>
    </row>
    <row r="2173" spans="1:10" x14ac:dyDescent="0.25">
      <c r="A2173" t="s">
        <v>26</v>
      </c>
      <c r="B2173" s="1" t="str">
        <f>HYPERLINK("http://eulerhermes.com.tr","eulerhermes.com.tr")</f>
        <v>eulerhermes.com.tr</v>
      </c>
      <c r="C2173" t="s">
        <v>502</v>
      </c>
      <c r="D2173" t="s">
        <v>876</v>
      </c>
      <c r="F2173">
        <v>1.13065867563315E-8</v>
      </c>
      <c r="G2173">
        <v>5637833</v>
      </c>
      <c r="H2173">
        <v>13763784</v>
      </c>
      <c r="I2173">
        <v>7628713</v>
      </c>
      <c r="J2173">
        <v>3</v>
      </c>
    </row>
    <row r="2174" spans="1:10" x14ac:dyDescent="0.25">
      <c r="A2174" t="s">
        <v>26</v>
      </c>
      <c r="B2174" s="1" t="str">
        <f>HYPERLINK("http://allianz-trade.tw","allianz-trade.tw")</f>
        <v>allianz-trade.tw</v>
      </c>
      <c r="C2174" t="s">
        <v>504</v>
      </c>
      <c r="D2174" t="s">
        <v>878</v>
      </c>
      <c r="F2174">
        <v>5.8018875066474502E-9</v>
      </c>
      <c r="G2174">
        <v>18072589</v>
      </c>
      <c r="H2174">
        <v>10554354</v>
      </c>
      <c r="I2174">
        <v>46548154</v>
      </c>
      <c r="J2174">
        <v>6</v>
      </c>
    </row>
    <row r="2175" spans="1:10" x14ac:dyDescent="0.25">
      <c r="A2175" t="s">
        <v>26</v>
      </c>
      <c r="B2175" s="1" t="str">
        <f>HYPERLINK("http://allianz.com.tw","allianz.com.tw")</f>
        <v>allianz.com.tw</v>
      </c>
      <c r="C2175" t="s">
        <v>504</v>
      </c>
      <c r="D2175" t="s">
        <v>878</v>
      </c>
      <c r="E2175">
        <v>317785</v>
      </c>
      <c r="F2175">
        <v>2.23174297293481E-8</v>
      </c>
      <c r="G2175">
        <v>2348971</v>
      </c>
      <c r="H2175">
        <v>13885537</v>
      </c>
      <c r="I2175">
        <v>5970461</v>
      </c>
      <c r="J2175">
        <v>2</v>
      </c>
    </row>
    <row r="2176" spans="1:10" x14ac:dyDescent="0.25">
      <c r="A2176" t="s">
        <v>26</v>
      </c>
      <c r="B2176" s="1" t="str">
        <f>HYPERLINK("http://allianzgi.com.tw","allianzgi.com.tw")</f>
        <v>allianzgi.com.tw</v>
      </c>
      <c r="C2176" t="s">
        <v>504</v>
      </c>
      <c r="D2176" t="s">
        <v>878</v>
      </c>
      <c r="F2176">
        <v>9.1579371416725699E-9</v>
      </c>
      <c r="G2176">
        <v>7767581</v>
      </c>
      <c r="H2176">
        <v>13564971</v>
      </c>
      <c r="I2176">
        <v>9837658</v>
      </c>
      <c r="J2176">
        <v>4</v>
      </c>
    </row>
    <row r="2177" spans="1:10" x14ac:dyDescent="0.25">
      <c r="A2177" t="s">
        <v>26</v>
      </c>
      <c r="B2177" s="1" t="str">
        <f>HYPERLINK("http://pimco.com.tw","pimco.com.tw")</f>
        <v>pimco.com.tw</v>
      </c>
      <c r="C2177" t="s">
        <v>504</v>
      </c>
      <c r="D2177" t="s">
        <v>878</v>
      </c>
      <c r="F2177">
        <v>1.4646546644267E-8</v>
      </c>
      <c r="G2177">
        <v>3959593</v>
      </c>
      <c r="H2177">
        <v>13765086</v>
      </c>
      <c r="I2177">
        <v>7144924</v>
      </c>
      <c r="J2177">
        <v>4</v>
      </c>
    </row>
    <row r="2178" spans="1:10" x14ac:dyDescent="0.25">
      <c r="A2178" t="s">
        <v>26</v>
      </c>
      <c r="B2178" s="1" t="str">
        <f>HYPERLINK("http://echop.tw","echop.tw")</f>
        <v>echop.tw</v>
      </c>
      <c r="C2178" t="s">
        <v>504</v>
      </c>
      <c r="D2178" t="s">
        <v>878</v>
      </c>
      <c r="J2178">
        <v>4</v>
      </c>
    </row>
    <row r="2179" spans="1:10" x14ac:dyDescent="0.25">
      <c r="A2179" t="s">
        <v>26</v>
      </c>
      <c r="B2179" s="1" t="str">
        <f>HYPERLINK("http://allianz.ua","allianz.ua")</f>
        <v>allianz.ua</v>
      </c>
      <c r="C2179" t="s">
        <v>505</v>
      </c>
      <c r="D2179" t="s">
        <v>879</v>
      </c>
      <c r="F2179">
        <v>1.02483567510453E-8</v>
      </c>
      <c r="G2179">
        <v>6500145</v>
      </c>
      <c r="H2179">
        <v>14072076</v>
      </c>
      <c r="I2179">
        <v>3172700</v>
      </c>
      <c r="J2179">
        <v>2</v>
      </c>
    </row>
    <row r="2180" spans="1:10" x14ac:dyDescent="0.25">
      <c r="A2180" t="s">
        <v>26</v>
      </c>
      <c r="B2180" s="1" t="str">
        <f>HYPERLINK("http://allianz.co.uk","allianz.co.uk")</f>
        <v>allianz.co.uk</v>
      </c>
      <c r="C2180" t="s">
        <v>506</v>
      </c>
      <c r="D2180" t="s">
        <v>880</v>
      </c>
      <c r="E2180">
        <v>252070</v>
      </c>
      <c r="F2180">
        <v>1.0678119964137999E-7</v>
      </c>
      <c r="G2180">
        <v>374918</v>
      </c>
      <c r="H2180">
        <v>14443782</v>
      </c>
      <c r="I2180">
        <v>1059267</v>
      </c>
      <c r="J2180">
        <v>2</v>
      </c>
    </row>
    <row r="2181" spans="1:10" x14ac:dyDescent="0.25">
      <c r="A2181" t="s">
        <v>26</v>
      </c>
      <c r="B2181" s="1" t="str">
        <f>HYPERLINK("http://allianz-assistance.co.uk","allianz-assistance.co.uk")</f>
        <v>allianz-assistance.co.uk</v>
      </c>
      <c r="C2181" t="s">
        <v>506</v>
      </c>
      <c r="D2181" t="s">
        <v>880</v>
      </c>
      <c r="E2181">
        <v>628936</v>
      </c>
      <c r="F2181">
        <v>3.2521288386523199E-8</v>
      </c>
      <c r="G2181">
        <v>1588766</v>
      </c>
      <c r="H2181">
        <v>13461467</v>
      </c>
      <c r="I2181">
        <v>10152343</v>
      </c>
      <c r="J2181">
        <v>4</v>
      </c>
    </row>
    <row r="2182" spans="1:10" x14ac:dyDescent="0.25">
      <c r="A2182" t="s">
        <v>26</v>
      </c>
      <c r="B2182" s="1" t="str">
        <f>HYPERLINK("http://allianz-partners.co.uk","allianz-partners.co.uk")</f>
        <v>allianz-partners.co.uk</v>
      </c>
      <c r="C2182" t="s">
        <v>506</v>
      </c>
      <c r="D2182" t="s">
        <v>880</v>
      </c>
      <c r="F2182">
        <v>1.4758226558758201E-8</v>
      </c>
      <c r="G2182">
        <v>3921224</v>
      </c>
      <c r="H2182">
        <v>12427233</v>
      </c>
      <c r="I2182">
        <v>18343067</v>
      </c>
      <c r="J2182">
        <v>4</v>
      </c>
    </row>
    <row r="2183" spans="1:10" x14ac:dyDescent="0.25">
      <c r="A2183" t="s">
        <v>26</v>
      </c>
      <c r="B2183" s="1" t="str">
        <f>HYPERLINK("http://allianz-trade.co.uk","allianz-trade.co.uk")</f>
        <v>allianz-trade.co.uk</v>
      </c>
      <c r="C2183" t="s">
        <v>506</v>
      </c>
      <c r="D2183" t="s">
        <v>880</v>
      </c>
      <c r="F2183">
        <v>5.8018875066474502E-9</v>
      </c>
      <c r="G2183">
        <v>18072592</v>
      </c>
      <c r="H2183">
        <v>10554354</v>
      </c>
      <c r="I2183">
        <v>46548155</v>
      </c>
      <c r="J2183">
        <v>6</v>
      </c>
    </row>
    <row r="2184" spans="1:10" x14ac:dyDescent="0.25">
      <c r="A2184" t="s">
        <v>26</v>
      </c>
      <c r="B2184" s="1" t="str">
        <f>HYPERLINK("http://eulerhermes.co.uk","eulerhermes.co.uk")</f>
        <v>eulerhermes.co.uk</v>
      </c>
      <c r="C2184" t="s">
        <v>506</v>
      </c>
      <c r="D2184" t="s">
        <v>880</v>
      </c>
      <c r="F2184">
        <v>4.1992982855202499E-8</v>
      </c>
      <c r="G2184">
        <v>1166810</v>
      </c>
      <c r="H2184">
        <v>13777089</v>
      </c>
      <c r="I2184">
        <v>6543195</v>
      </c>
      <c r="J2184">
        <v>4</v>
      </c>
    </row>
    <row r="2185" spans="1:10" x14ac:dyDescent="0.25">
      <c r="A2185" t="s">
        <v>26</v>
      </c>
      <c r="B2185" s="1" t="str">
        <f>HYPERLINK("http://mondial-assistance.co.uk","mondial-assistance.co.uk")</f>
        <v>mondial-assistance.co.uk</v>
      </c>
      <c r="C2185" t="s">
        <v>506</v>
      </c>
      <c r="D2185" t="s">
        <v>880</v>
      </c>
      <c r="F2185">
        <v>5.4299466400112598E-9</v>
      </c>
      <c r="G2185">
        <v>21741022</v>
      </c>
      <c r="H2185">
        <v>12160953</v>
      </c>
      <c r="I2185">
        <v>24338685</v>
      </c>
      <c r="J2185">
        <v>3</v>
      </c>
    </row>
    <row r="2186" spans="1:10" x14ac:dyDescent="0.25">
      <c r="A2186" t="s">
        <v>26</v>
      </c>
      <c r="B2186" s="1" t="str">
        <f>HYPERLINK("http://petplan.co.uk","petplan.co.uk")</f>
        <v>petplan.co.uk</v>
      </c>
      <c r="C2186" t="s">
        <v>506</v>
      </c>
      <c r="D2186" t="s">
        <v>880</v>
      </c>
      <c r="E2186">
        <v>155405</v>
      </c>
      <c r="F2186">
        <v>1.38343816582122E-7</v>
      </c>
      <c r="G2186">
        <v>281604</v>
      </c>
      <c r="H2186">
        <v>14769736</v>
      </c>
      <c r="I2186">
        <v>557857</v>
      </c>
      <c r="J2186">
        <v>3</v>
      </c>
    </row>
    <row r="2187" spans="1:10" x14ac:dyDescent="0.25">
      <c r="A2187" t="s">
        <v>26</v>
      </c>
      <c r="B2187" s="1" t="str">
        <f>HYPERLINK("http://pimco.co.uk","pimco.co.uk")</f>
        <v>pimco.co.uk</v>
      </c>
      <c r="C2187" t="s">
        <v>506</v>
      </c>
      <c r="D2187" t="s">
        <v>880</v>
      </c>
      <c r="F2187">
        <v>6.9394857445233794E-8</v>
      </c>
      <c r="G2187">
        <v>611929</v>
      </c>
      <c r="H2187">
        <v>14020369</v>
      </c>
      <c r="I2187">
        <v>3985378</v>
      </c>
      <c r="J2187">
        <v>4</v>
      </c>
    </row>
    <row r="2188" spans="1:10" x14ac:dyDescent="0.25">
      <c r="A2188" t="s">
        <v>26</v>
      </c>
      <c r="B2188" s="1" t="str">
        <f>HYPERLINK("http://teachersassurance.co.uk","teachersassurance.co.uk")</f>
        <v>teachersassurance.co.uk</v>
      </c>
      <c r="C2188" t="s">
        <v>506</v>
      </c>
      <c r="D2188" t="s">
        <v>880</v>
      </c>
      <c r="F2188">
        <v>5.3910952211038596E-9</v>
      </c>
      <c r="G2188">
        <v>22233009</v>
      </c>
      <c r="H2188">
        <v>12417620</v>
      </c>
      <c r="I2188">
        <v>18500359</v>
      </c>
      <c r="J2188">
        <v>6</v>
      </c>
    </row>
    <row r="2189" spans="1:10" x14ac:dyDescent="0.25">
      <c r="A2189" t="s">
        <v>26</v>
      </c>
      <c r="B2189" s="1" t="str">
        <f>HYPERLINK("http://allianz-trade.us","allianz-trade.us")</f>
        <v>allianz-trade.us</v>
      </c>
      <c r="C2189" t="s">
        <v>522</v>
      </c>
      <c r="D2189" t="s">
        <v>891</v>
      </c>
      <c r="F2189">
        <v>5.4828465654238497E-9</v>
      </c>
      <c r="G2189">
        <v>21096016</v>
      </c>
      <c r="H2189">
        <v>11092732</v>
      </c>
      <c r="I2189">
        <v>32354366</v>
      </c>
      <c r="J2189">
        <v>6</v>
      </c>
    </row>
    <row r="2190" spans="1:10" x14ac:dyDescent="0.25">
      <c r="A2190" t="s">
        <v>26</v>
      </c>
      <c r="B2190" s="1" t="str">
        <f>HYPERLINK("http://eulerhermes.us","eulerhermes.us")</f>
        <v>eulerhermes.us</v>
      </c>
      <c r="C2190" t="s">
        <v>522</v>
      </c>
      <c r="D2190" t="s">
        <v>891</v>
      </c>
      <c r="F2190">
        <v>2.4257279818296199E-8</v>
      </c>
      <c r="G2190">
        <v>2137848</v>
      </c>
      <c r="H2190">
        <v>13831449</v>
      </c>
      <c r="I2190">
        <v>6105913</v>
      </c>
      <c r="J2190">
        <v>3</v>
      </c>
    </row>
    <row r="2191" spans="1:10" x14ac:dyDescent="0.25">
      <c r="A2191" t="s">
        <v>26</v>
      </c>
      <c r="B2191" s="1" t="str">
        <f>HYPERLINK("http://eulerhermes.co.za","eulerhermes.co.za")</f>
        <v>eulerhermes.co.za</v>
      </c>
      <c r="C2191" t="s">
        <v>510</v>
      </c>
      <c r="D2191" t="s">
        <v>884</v>
      </c>
      <c r="F2191">
        <v>9.0991580380231998E-9</v>
      </c>
      <c r="G2191">
        <v>7848107</v>
      </c>
      <c r="H2191">
        <v>11120458</v>
      </c>
      <c r="I2191">
        <v>32044720</v>
      </c>
      <c r="J2191">
        <v>4</v>
      </c>
    </row>
    <row r="2192" spans="1:10" x14ac:dyDescent="0.25">
      <c r="A2192" t="s">
        <v>1585</v>
      </c>
      <c r="B2192" s="1" t="str">
        <f>HYPERLINK("http://squaretrade.at","squaretrade.at")</f>
        <v>squaretrade.at</v>
      </c>
      <c r="C2192" t="s">
        <v>419</v>
      </c>
      <c r="D2192" t="s">
        <v>801</v>
      </c>
      <c r="F2192">
        <v>2.3308291706786601E-8</v>
      </c>
      <c r="G2192">
        <v>2238067</v>
      </c>
      <c r="H2192">
        <v>12235501</v>
      </c>
      <c r="I2192">
        <v>22362735</v>
      </c>
      <c r="J2192">
        <v>4</v>
      </c>
    </row>
    <row r="2193" spans="1:10" x14ac:dyDescent="0.25">
      <c r="A2193" t="s">
        <v>1585</v>
      </c>
      <c r="B2193" s="1" t="str">
        <f>HYPERLINK("http://squaretrade.com.au","squaretrade.com.au")</f>
        <v>squaretrade.com.au</v>
      </c>
      <c r="C2193" t="s">
        <v>420</v>
      </c>
      <c r="D2193" t="s">
        <v>802</v>
      </c>
      <c r="F2193">
        <v>1.22561112325583E-8</v>
      </c>
      <c r="G2193">
        <v>5018938</v>
      </c>
      <c r="H2193">
        <v>10392611</v>
      </c>
      <c r="I2193">
        <v>54363712</v>
      </c>
      <c r="J2193">
        <v>4</v>
      </c>
    </row>
    <row r="2194" spans="1:10" x14ac:dyDescent="0.25">
      <c r="A2194" t="s">
        <v>1585</v>
      </c>
      <c r="B2194" s="1" t="str">
        <f>HYPERLINK("http://allstate.ca","allstate.ca")</f>
        <v>allstate.ca</v>
      </c>
      <c r="C2194" t="s">
        <v>428</v>
      </c>
      <c r="D2194" t="s">
        <v>809</v>
      </c>
      <c r="E2194">
        <v>266221</v>
      </c>
      <c r="F2194">
        <v>1.7163544475010801E-7</v>
      </c>
      <c r="G2194">
        <v>225994</v>
      </c>
      <c r="H2194">
        <v>14300213</v>
      </c>
      <c r="I2194">
        <v>1356370</v>
      </c>
      <c r="J2194">
        <v>3</v>
      </c>
    </row>
    <row r="2195" spans="1:10" x14ac:dyDescent="0.25">
      <c r="A2195" t="s">
        <v>1585</v>
      </c>
      <c r="B2195" s="1" t="str">
        <f>HYPERLINK("http://assistplus.ca","assistplus.ca")</f>
        <v>assistplus.ca</v>
      </c>
      <c r="C2195" t="s">
        <v>428</v>
      </c>
      <c r="D2195" t="s">
        <v>809</v>
      </c>
      <c r="F2195">
        <v>4.4439140362128198E-9</v>
      </c>
      <c r="G2195">
        <v>77893479</v>
      </c>
      <c r="H2195">
        <v>10059403</v>
      </c>
      <c r="I2195">
        <v>60260134</v>
      </c>
      <c r="J2195">
        <v>4</v>
      </c>
    </row>
    <row r="2196" spans="1:10" x14ac:dyDescent="0.25">
      <c r="A2196" t="s">
        <v>1585</v>
      </c>
      <c r="B2196" s="1" t="str">
        <f>HYPERLINK("http://squaretrade.ca","squaretrade.ca")</f>
        <v>squaretrade.ca</v>
      </c>
      <c r="C2196" t="s">
        <v>428</v>
      </c>
      <c r="D2196" t="s">
        <v>809</v>
      </c>
      <c r="J2196">
        <v>4</v>
      </c>
    </row>
    <row r="2197" spans="1:10" x14ac:dyDescent="0.25">
      <c r="A2197" t="s">
        <v>1585</v>
      </c>
      <c r="B2197" s="1" t="str">
        <f>HYPERLINK("http://agentcubed.com","agentcubed.com")</f>
        <v>agentcubed.com</v>
      </c>
      <c r="C2197" t="s">
        <v>433</v>
      </c>
      <c r="F2197">
        <v>1.15952098551153E-8</v>
      </c>
      <c r="G2197">
        <v>5436198</v>
      </c>
      <c r="H2197">
        <v>11254998</v>
      </c>
      <c r="I2197">
        <v>30863807</v>
      </c>
      <c r="J2197">
        <v>3</v>
      </c>
    </row>
    <row r="2198" spans="1:10" x14ac:dyDescent="0.25">
      <c r="A2198" t="s">
        <v>1585</v>
      </c>
      <c r="B2198" s="1" t="str">
        <f>HYPERLINK("http://ahcpsales.com","ahcpsales.com")</f>
        <v>ahcpsales.com</v>
      </c>
      <c r="C2198" t="s">
        <v>433</v>
      </c>
      <c r="F2198">
        <v>5.5236934354227601E-9</v>
      </c>
      <c r="G2198">
        <v>20648053</v>
      </c>
      <c r="H2198">
        <v>13764089</v>
      </c>
      <c r="I2198">
        <v>7387802</v>
      </c>
      <c r="J2198">
        <v>3</v>
      </c>
    </row>
    <row r="2199" spans="1:10" x14ac:dyDescent="0.25">
      <c r="A2199" t="s">
        <v>1585</v>
      </c>
      <c r="B2199" s="1" t="str">
        <f>HYPERLINK("http://ahlcorp.com","ahlcorp.com")</f>
        <v>ahlcorp.com</v>
      </c>
      <c r="C2199" t="s">
        <v>433</v>
      </c>
      <c r="F2199">
        <v>4.7148586642916403E-9</v>
      </c>
      <c r="G2199">
        <v>40470633</v>
      </c>
      <c r="H2199">
        <v>12066725</v>
      </c>
      <c r="I2199">
        <v>26857708</v>
      </c>
      <c r="J2199">
        <v>2</v>
      </c>
    </row>
    <row r="2200" spans="1:10" x14ac:dyDescent="0.25">
      <c r="A2200" t="s">
        <v>1585</v>
      </c>
      <c r="B2200" s="1" t="str">
        <f>HYPERLINK("http://allstate.com","allstate.com")</f>
        <v>allstate.com</v>
      </c>
      <c r="C2200" t="s">
        <v>433</v>
      </c>
      <c r="E2200">
        <v>4622</v>
      </c>
      <c r="F2200">
        <v>4.4385367071020804E-6</v>
      </c>
      <c r="G2200">
        <v>7961</v>
      </c>
      <c r="H2200">
        <v>16254402</v>
      </c>
      <c r="I2200">
        <v>365396</v>
      </c>
      <c r="J2200">
        <v>2</v>
      </c>
    </row>
    <row r="2201" spans="1:10" x14ac:dyDescent="0.25">
      <c r="A2201" t="s">
        <v>1585</v>
      </c>
      <c r="B2201" s="1" t="str">
        <f>HYPERLINK("http://allstateagencies.com","allstateagencies.com")</f>
        <v>allstateagencies.com</v>
      </c>
      <c r="C2201" t="s">
        <v>433</v>
      </c>
      <c r="E2201">
        <v>181935</v>
      </c>
      <c r="F2201">
        <v>9.2345909748072698E-8</v>
      </c>
      <c r="G2201">
        <v>440760</v>
      </c>
      <c r="H2201">
        <v>14238696</v>
      </c>
      <c r="I2201">
        <v>1522544</v>
      </c>
      <c r="J2201">
        <v>3</v>
      </c>
    </row>
    <row r="2202" spans="1:10" x14ac:dyDescent="0.25">
      <c r="A2202" t="s">
        <v>1585</v>
      </c>
      <c r="B2202" s="1" t="str">
        <f>HYPERLINK("http://allstateatwork.com","allstateatwork.com")</f>
        <v>allstateatwork.com</v>
      </c>
      <c r="C2202" t="s">
        <v>433</v>
      </c>
      <c r="F2202">
        <v>3.6596388862491501E-8</v>
      </c>
      <c r="G2202">
        <v>1427256</v>
      </c>
      <c r="H2202">
        <v>13480394</v>
      </c>
      <c r="I2202">
        <v>10009436</v>
      </c>
      <c r="J2202">
        <v>2</v>
      </c>
    </row>
    <row r="2203" spans="1:10" x14ac:dyDescent="0.25">
      <c r="A2203" t="s">
        <v>1585</v>
      </c>
      <c r="B2203" s="1" t="str">
        <f>HYPERLINK("http://allstatebenefits.com","allstatebenefits.com")</f>
        <v>allstatebenefits.com</v>
      </c>
      <c r="C2203" t="s">
        <v>433</v>
      </c>
      <c r="E2203">
        <v>384719</v>
      </c>
      <c r="F2203">
        <v>2.6612675037617102E-7</v>
      </c>
      <c r="G2203">
        <v>140067</v>
      </c>
      <c r="H2203">
        <v>13215940</v>
      </c>
      <c r="I2203">
        <v>11361206</v>
      </c>
      <c r="J2203">
        <v>2</v>
      </c>
    </row>
    <row r="2204" spans="1:10" x14ac:dyDescent="0.25">
      <c r="A2204" t="s">
        <v>1585</v>
      </c>
      <c r="B2204" s="1" t="str">
        <f>HYPERLINK("http://allstatecapital.com","allstatecapital.com")</f>
        <v>allstatecapital.com</v>
      </c>
      <c r="C2204" t="s">
        <v>433</v>
      </c>
      <c r="F2204">
        <v>1.07878062089114E-8</v>
      </c>
      <c r="G2204">
        <v>6030362</v>
      </c>
      <c r="H2204">
        <v>12255506</v>
      </c>
      <c r="I2204">
        <v>21880522</v>
      </c>
      <c r="J2204">
        <v>4</v>
      </c>
    </row>
    <row r="2205" spans="1:10" x14ac:dyDescent="0.25">
      <c r="A2205" t="s">
        <v>1585</v>
      </c>
      <c r="B2205" s="1" t="str">
        <f>HYPERLINK("http://allstatecorporation.com","allstatecorporation.com")</f>
        <v>allstatecorporation.com</v>
      </c>
      <c r="C2205" t="s">
        <v>433</v>
      </c>
      <c r="E2205">
        <v>583029</v>
      </c>
      <c r="F2205">
        <v>3.2899582864956299E-8</v>
      </c>
      <c r="G2205">
        <v>1570447</v>
      </c>
      <c r="H2205">
        <v>13461146</v>
      </c>
      <c r="I2205">
        <v>10164315</v>
      </c>
      <c r="J2205">
        <v>3</v>
      </c>
    </row>
    <row r="2206" spans="1:10" x14ac:dyDescent="0.25">
      <c r="A2206" t="s">
        <v>1585</v>
      </c>
      <c r="B2206" s="1" t="str">
        <f>HYPERLINK("http://allstateinvestors.com","allstateinvestors.com")</f>
        <v>allstateinvestors.com</v>
      </c>
      <c r="C2206" t="s">
        <v>433</v>
      </c>
      <c r="F2206">
        <v>8.6603588613450801E-8</v>
      </c>
      <c r="G2206">
        <v>474530</v>
      </c>
      <c r="H2206">
        <v>13805414</v>
      </c>
      <c r="I2206">
        <v>6238002</v>
      </c>
      <c r="J2206">
        <v>1</v>
      </c>
    </row>
    <row r="2207" spans="1:10" x14ac:dyDescent="0.25">
      <c r="A2207" t="s">
        <v>1585</v>
      </c>
      <c r="B2207" s="1" t="str">
        <f>HYPERLINK("http://allstatemotorclub.com","allstatemotorclub.com")</f>
        <v>allstatemotorclub.com</v>
      </c>
      <c r="C2207" t="s">
        <v>433</v>
      </c>
      <c r="F2207">
        <v>2.40440550108428E-8</v>
      </c>
      <c r="G2207">
        <v>2158682</v>
      </c>
      <c r="H2207">
        <v>13026175</v>
      </c>
      <c r="I2207">
        <v>12687378</v>
      </c>
      <c r="J2207">
        <v>3</v>
      </c>
    </row>
    <row r="2208" spans="1:10" x14ac:dyDescent="0.25">
      <c r="A2208" t="s">
        <v>1585</v>
      </c>
      <c r="B2208" s="1" t="str">
        <f>HYPERLINK("http://allstateni.com","allstateni.com")</f>
        <v>allstateni.com</v>
      </c>
      <c r="C2208" t="s">
        <v>433</v>
      </c>
      <c r="F2208">
        <v>2.0773369866252299E-8</v>
      </c>
      <c r="G2208">
        <v>2546674</v>
      </c>
      <c r="H2208">
        <v>12955047</v>
      </c>
      <c r="I2208">
        <v>13188722</v>
      </c>
      <c r="J2208">
        <v>3</v>
      </c>
    </row>
    <row r="2209" spans="1:10" x14ac:dyDescent="0.25">
      <c r="A2209" t="s">
        <v>1585</v>
      </c>
      <c r="B2209" s="1" t="str">
        <f>HYPERLINK("http://allstatevoluntary.com","allstatevoluntary.com")</f>
        <v>allstatevoluntary.com</v>
      </c>
      <c r="C2209" t="s">
        <v>433</v>
      </c>
      <c r="F2209">
        <v>3.6702817119980701E-8</v>
      </c>
      <c r="G2209">
        <v>1423822</v>
      </c>
      <c r="H2209">
        <v>12434174</v>
      </c>
      <c r="I2209">
        <v>18227058</v>
      </c>
      <c r="J2209">
        <v>2</v>
      </c>
    </row>
    <row r="2210" spans="1:10" x14ac:dyDescent="0.25">
      <c r="A2210" t="s">
        <v>1585</v>
      </c>
      <c r="B2210" s="1" t="str">
        <f>HYPERLINK("http://answerfinancial.com","answerfinancial.com")</f>
        <v>answerfinancial.com</v>
      </c>
      <c r="C2210" t="s">
        <v>433</v>
      </c>
      <c r="E2210">
        <v>168430</v>
      </c>
      <c r="F2210">
        <v>7.3113785174116599E-8</v>
      </c>
      <c r="G2210">
        <v>576672</v>
      </c>
      <c r="H2210">
        <v>14219316</v>
      </c>
      <c r="I2210">
        <v>1687789</v>
      </c>
      <c r="J2210">
        <v>3</v>
      </c>
    </row>
    <row r="2211" spans="1:10" x14ac:dyDescent="0.25">
      <c r="A2211" t="s">
        <v>1585</v>
      </c>
      <c r="B2211" s="1" t="str">
        <f>HYPERLINK("http://autoclub.com","autoclub.com")</f>
        <v>autoclub.com</v>
      </c>
      <c r="C2211" t="s">
        <v>433</v>
      </c>
      <c r="F2211">
        <v>4.5593065586781104E-9</v>
      </c>
      <c r="G2211">
        <v>51236539</v>
      </c>
      <c r="H2211">
        <v>12113615</v>
      </c>
      <c r="I2211">
        <v>25638436</v>
      </c>
      <c r="J2211">
        <v>3</v>
      </c>
    </row>
    <row r="2212" spans="1:10" x14ac:dyDescent="0.25">
      <c r="A2212" t="s">
        <v>1585</v>
      </c>
      <c r="B2212" s="1" t="str">
        <f>HYPERLINK("http://autotexmga.com","autotexmga.com")</f>
        <v>autotexmga.com</v>
      </c>
      <c r="C2212" t="s">
        <v>433</v>
      </c>
      <c r="J2212">
        <v>3</v>
      </c>
    </row>
    <row r="2213" spans="1:10" x14ac:dyDescent="0.25">
      <c r="A2213" t="s">
        <v>1585</v>
      </c>
      <c r="B2213" s="1" t="str">
        <f>HYPERLINK("http://deerbrook.com","deerbrook.com")</f>
        <v>deerbrook.com</v>
      </c>
      <c r="C2213" t="s">
        <v>433</v>
      </c>
      <c r="F2213">
        <v>6.0869044752991399E-9</v>
      </c>
      <c r="G2213">
        <v>16166816</v>
      </c>
      <c r="H2213">
        <v>10269860</v>
      </c>
      <c r="I2213">
        <v>58564243</v>
      </c>
      <c r="J2213">
        <v>3</v>
      </c>
    </row>
    <row r="2214" spans="1:10" x14ac:dyDescent="0.25">
      <c r="A2214" t="s">
        <v>1585</v>
      </c>
      <c r="B2214" s="1" t="str">
        <f>HYPERLINK("http://ehealthbroker.com","ehealthbroker.com")</f>
        <v>ehealthbroker.com</v>
      </c>
      <c r="C2214" t="s">
        <v>433</v>
      </c>
      <c r="F2214">
        <v>4.5372229006079102E-9</v>
      </c>
      <c r="G2214">
        <v>53662581</v>
      </c>
      <c r="H2214">
        <v>10529250</v>
      </c>
      <c r="I2214">
        <v>48478881</v>
      </c>
      <c r="J2214">
        <v>3</v>
      </c>
    </row>
    <row r="2215" spans="1:10" x14ac:dyDescent="0.25">
      <c r="A2215" t="s">
        <v>1585</v>
      </c>
      <c r="B2215" s="1" t="str">
        <f>HYPERLINK("http://encompassinsurance.com","encompassinsurance.com")</f>
        <v>encompassinsurance.com</v>
      </c>
      <c r="C2215" t="s">
        <v>433</v>
      </c>
      <c r="E2215">
        <v>136560</v>
      </c>
      <c r="F2215">
        <v>3.5168148453994498E-7</v>
      </c>
      <c r="G2215">
        <v>106313</v>
      </c>
      <c r="H2215">
        <v>16983922</v>
      </c>
      <c r="I2215">
        <v>97634</v>
      </c>
      <c r="J2215">
        <v>3</v>
      </c>
    </row>
    <row r="2216" spans="1:10" x14ac:dyDescent="0.25">
      <c r="A2216" t="s">
        <v>1585</v>
      </c>
      <c r="B2216" s="1" t="str">
        <f>HYPERLINK("http://esurance.com","esurance.com")</f>
        <v>esurance.com</v>
      </c>
      <c r="C2216" t="s">
        <v>433</v>
      </c>
      <c r="E2216">
        <v>53500</v>
      </c>
      <c r="F2216">
        <v>6.3097999676352697E-7</v>
      </c>
      <c r="G2216">
        <v>60793</v>
      </c>
      <c r="H2216">
        <v>17164592</v>
      </c>
      <c r="I2216">
        <v>48940</v>
      </c>
      <c r="J2216">
        <v>3</v>
      </c>
    </row>
    <row r="2217" spans="1:10" x14ac:dyDescent="0.25">
      <c r="A2217" t="s">
        <v>1585</v>
      </c>
      <c r="B2217" s="1" t="str">
        <f>HYPERLINK("http://farmersunioninsurance.com","farmersunioninsurance.com")</f>
        <v>farmersunioninsurance.com</v>
      </c>
      <c r="C2217" t="s">
        <v>433</v>
      </c>
      <c r="F2217">
        <v>3.73224403014351E-8</v>
      </c>
      <c r="G2217">
        <v>1387239</v>
      </c>
      <c r="H2217">
        <v>13963046</v>
      </c>
      <c r="I2217">
        <v>4099260</v>
      </c>
      <c r="J2217">
        <v>3</v>
      </c>
    </row>
    <row r="2218" spans="1:10" x14ac:dyDescent="0.25">
      <c r="A2218" t="s">
        <v>1585</v>
      </c>
      <c r="B2218" s="1" t="str">
        <f>HYPERLINK("http://gannettridge.com","gannettridge.com")</f>
        <v>gannettridge.com</v>
      </c>
      <c r="C2218" t="s">
        <v>433</v>
      </c>
      <c r="F2218">
        <v>6.2432889189933204E-9</v>
      </c>
      <c r="G2218">
        <v>15308554</v>
      </c>
      <c r="H2218">
        <v>13063272</v>
      </c>
      <c r="I2218">
        <v>12308023</v>
      </c>
      <c r="J2218">
        <v>3</v>
      </c>
    </row>
    <row r="2219" spans="1:10" x14ac:dyDescent="0.25">
      <c r="A2219" t="s">
        <v>1585</v>
      </c>
      <c r="B2219" s="1" t="str">
        <f>HYPERLINK("http://gordonsstringmusic.com","gordonsstringmusic.com")</f>
        <v>gordonsstringmusic.com</v>
      </c>
      <c r="C2219" t="s">
        <v>433</v>
      </c>
      <c r="F2219">
        <v>5.2798372050913696E-9</v>
      </c>
      <c r="G2219">
        <v>23792454</v>
      </c>
      <c r="H2219">
        <v>12224573</v>
      </c>
      <c r="I2219">
        <v>22666991</v>
      </c>
      <c r="J2219">
        <v>3</v>
      </c>
    </row>
    <row r="2220" spans="1:10" x14ac:dyDescent="0.25">
      <c r="A2220" t="s">
        <v>1585</v>
      </c>
      <c r="B2220" s="1" t="str">
        <f>HYPERLINK("http://healthcompare.com","healthcompare.com")</f>
        <v>healthcompare.com</v>
      </c>
      <c r="C2220" t="s">
        <v>433</v>
      </c>
      <c r="F2220">
        <v>1.5317314780983302E-8</v>
      </c>
      <c r="G2220">
        <v>3740611</v>
      </c>
      <c r="H2220">
        <v>12988527</v>
      </c>
      <c r="I2220">
        <v>12877377</v>
      </c>
      <c r="J2220">
        <v>3</v>
      </c>
    </row>
    <row r="2221" spans="1:10" x14ac:dyDescent="0.25">
      <c r="A2221" t="s">
        <v>1585</v>
      </c>
      <c r="B2221" s="1" t="str">
        <f>HYPERLINK("http://infoarmor.com","infoarmor.com")</f>
        <v>infoarmor.com</v>
      </c>
      <c r="C2221" t="s">
        <v>433</v>
      </c>
      <c r="E2221">
        <v>135933</v>
      </c>
      <c r="F2221">
        <v>1.5924623224586401E-7</v>
      </c>
      <c r="G2221">
        <v>243789</v>
      </c>
      <c r="H2221">
        <v>14324942</v>
      </c>
      <c r="I2221">
        <v>1327667</v>
      </c>
      <c r="J2221">
        <v>3</v>
      </c>
    </row>
    <row r="2222" spans="1:10" x14ac:dyDescent="0.25">
      <c r="A2222" t="s">
        <v>1585</v>
      </c>
      <c r="B2222" s="1" t="str">
        <f>HYPERLINK("http://intelcrawler.com","intelcrawler.com")</f>
        <v>intelcrawler.com</v>
      </c>
      <c r="C2222" t="s">
        <v>433</v>
      </c>
      <c r="F2222">
        <v>6.1104025103157205E-8</v>
      </c>
      <c r="G2222">
        <v>720930</v>
      </c>
      <c r="H2222">
        <v>13872405</v>
      </c>
      <c r="I2222">
        <v>5995820</v>
      </c>
      <c r="J2222">
        <v>7</v>
      </c>
    </row>
    <row r="2223" spans="1:10" x14ac:dyDescent="0.25">
      <c r="A2223" t="s">
        <v>1585</v>
      </c>
      <c r="B2223" s="1" t="str">
        <f>HYPERLINK("http://ivantagemarkets.com","ivantagemarkets.com")</f>
        <v>ivantagemarkets.com</v>
      </c>
      <c r="C2223" t="s">
        <v>433</v>
      </c>
      <c r="J2223">
        <v>2</v>
      </c>
    </row>
    <row r="2224" spans="1:10" x14ac:dyDescent="0.25">
      <c r="A2224" t="s">
        <v>1585</v>
      </c>
      <c r="B2224" s="1" t="str">
        <f>HYPERLINK("http://joppel.com","joppel.com")</f>
        <v>joppel.com</v>
      </c>
      <c r="C2224" t="s">
        <v>433</v>
      </c>
      <c r="F2224">
        <v>5.5035425964281702E-9</v>
      </c>
      <c r="G2224">
        <v>20861128</v>
      </c>
      <c r="H2224">
        <v>10815334</v>
      </c>
      <c r="I2224">
        <v>37731903</v>
      </c>
      <c r="J2224">
        <v>7</v>
      </c>
    </row>
    <row r="2225" spans="1:10" x14ac:dyDescent="0.25">
      <c r="A2225" t="s">
        <v>1585</v>
      </c>
      <c r="B2225" s="1" t="str">
        <f>HYPERLINK("http://mccoolinsurance.com","mccoolinsurance.com")</f>
        <v>mccoolinsurance.com</v>
      </c>
      <c r="C2225" t="s">
        <v>433</v>
      </c>
      <c r="F2225">
        <v>5.0680993917684202E-9</v>
      </c>
      <c r="G2225">
        <v>27830174</v>
      </c>
      <c r="H2225">
        <v>12249598</v>
      </c>
      <c r="I2225">
        <v>22022259</v>
      </c>
      <c r="J2225">
        <v>3</v>
      </c>
    </row>
    <row r="2226" spans="1:10" x14ac:dyDescent="0.25">
      <c r="A2226" t="s">
        <v>1585</v>
      </c>
      <c r="B2226" s="1" t="str">
        <f>HYPERLINK("http://mopsprint.com","mopsprint.com")</f>
        <v>mopsprint.com</v>
      </c>
      <c r="C2226" t="s">
        <v>433</v>
      </c>
      <c r="J2226">
        <v>4</v>
      </c>
    </row>
    <row r="2227" spans="1:10" x14ac:dyDescent="0.25">
      <c r="A2227" t="s">
        <v>1585</v>
      </c>
      <c r="B2227" s="1" t="str">
        <f>HYPERLINK("http://myallstateflood.com","myallstateflood.com")</f>
        <v>myallstateflood.com</v>
      </c>
      <c r="C2227" t="s">
        <v>433</v>
      </c>
      <c r="F2227">
        <v>4.6555416794329804E-9</v>
      </c>
      <c r="G2227">
        <v>43774512</v>
      </c>
      <c r="H2227">
        <v>10359777</v>
      </c>
      <c r="I2227">
        <v>55243809</v>
      </c>
      <c r="J2227">
        <v>2</v>
      </c>
    </row>
    <row r="2228" spans="1:10" x14ac:dyDescent="0.25">
      <c r="A2228" t="s">
        <v>1585</v>
      </c>
      <c r="B2228" s="1" t="str">
        <f>HYPERLINK("http://nationalgeneral.com","nationalgeneral.com")</f>
        <v>nationalgeneral.com</v>
      </c>
      <c r="C2228" t="s">
        <v>433</v>
      </c>
      <c r="E2228">
        <v>85239</v>
      </c>
      <c r="F2228">
        <v>8.0911207201584097E-7</v>
      </c>
      <c r="G2228">
        <v>48784</v>
      </c>
      <c r="H2228">
        <v>15350108</v>
      </c>
      <c r="I2228">
        <v>382822</v>
      </c>
      <c r="J2228">
        <v>3</v>
      </c>
    </row>
    <row r="2229" spans="1:10" x14ac:dyDescent="0.25">
      <c r="A2229" t="s">
        <v>1585</v>
      </c>
      <c r="B2229" s="1" t="str">
        <f>HYPERLINK("http://ngic.com","ngic.com")</f>
        <v>ngic.com</v>
      </c>
      <c r="C2229" t="s">
        <v>433</v>
      </c>
      <c r="E2229">
        <v>42406</v>
      </c>
      <c r="F2229">
        <v>2.8721670941687799E-8</v>
      </c>
      <c r="G2229">
        <v>1791852</v>
      </c>
      <c r="H2229">
        <v>13956970</v>
      </c>
      <c r="I2229">
        <v>4129534</v>
      </c>
      <c r="J2229">
        <v>4</v>
      </c>
    </row>
    <row r="2230" spans="1:10" x14ac:dyDescent="0.25">
      <c r="A2230" t="s">
        <v>1585</v>
      </c>
      <c r="B2230" s="1" t="str">
        <f>HYPERLINK("http://nrlcainsurance.com","nrlcainsurance.com")</f>
        <v>nrlcainsurance.com</v>
      </c>
      <c r="C2230" t="s">
        <v>433</v>
      </c>
      <c r="F2230">
        <v>7.0817720370249304E-9</v>
      </c>
      <c r="G2230">
        <v>12066561</v>
      </c>
      <c r="H2230">
        <v>11382381</v>
      </c>
      <c r="I2230">
        <v>30276195</v>
      </c>
      <c r="J2230">
        <v>6</v>
      </c>
    </row>
    <row r="2231" spans="1:10" x14ac:dyDescent="0.25">
      <c r="A2231" t="s">
        <v>1585</v>
      </c>
      <c r="B2231" s="1" t="str">
        <f>HYPERLINK("http://onedui.com","onedui.com")</f>
        <v>onedui.com</v>
      </c>
      <c r="C2231" t="s">
        <v>433</v>
      </c>
      <c r="F2231">
        <v>6.0893966543185204E-9</v>
      </c>
      <c r="G2231">
        <v>16152660</v>
      </c>
      <c r="H2231">
        <v>12364931</v>
      </c>
      <c r="I2231">
        <v>19499050</v>
      </c>
      <c r="J2231">
        <v>6</v>
      </c>
    </row>
    <row r="2232" spans="1:10" x14ac:dyDescent="0.25">
      <c r="A2232" t="s">
        <v>1585</v>
      </c>
      <c r="B2232" s="1" t="str">
        <f>HYPERLINK("http://pembridge.com","pembridge.com")</f>
        <v>pembridge.com</v>
      </c>
      <c r="C2232" t="s">
        <v>433</v>
      </c>
      <c r="F2232">
        <v>5.0918576909984599E-8</v>
      </c>
      <c r="G2232">
        <v>900597</v>
      </c>
      <c r="H2232">
        <v>12380005</v>
      </c>
      <c r="I2232">
        <v>19210972</v>
      </c>
      <c r="J2232">
        <v>3</v>
      </c>
    </row>
    <row r="2233" spans="1:10" x14ac:dyDescent="0.25">
      <c r="A2233" t="s">
        <v>1585</v>
      </c>
      <c r="B2233" s="1" t="str">
        <f>HYPERLINK("http://plumchoice.com","plumchoice.com")</f>
        <v>plumchoice.com</v>
      </c>
      <c r="C2233" t="s">
        <v>433</v>
      </c>
      <c r="F2233">
        <v>3.6322712906833898E-8</v>
      </c>
      <c r="G2233">
        <v>1436432</v>
      </c>
      <c r="H2233">
        <v>14191517</v>
      </c>
      <c r="I2233">
        <v>1748898</v>
      </c>
      <c r="J2233">
        <v>3</v>
      </c>
    </row>
    <row r="2234" spans="1:10" x14ac:dyDescent="0.25">
      <c r="A2234" t="s">
        <v>1585</v>
      </c>
      <c r="B2234" s="1" t="str">
        <f>HYPERLINK("http://safeauto.com","safeauto.com")</f>
        <v>safeauto.com</v>
      </c>
      <c r="C2234" t="s">
        <v>433</v>
      </c>
      <c r="E2234">
        <v>238317</v>
      </c>
      <c r="F2234">
        <v>1.3660707433807701E-7</v>
      </c>
      <c r="G2234">
        <v>285381</v>
      </c>
      <c r="H2234">
        <v>16938494</v>
      </c>
      <c r="I2234">
        <v>114999</v>
      </c>
      <c r="J2234">
        <v>3</v>
      </c>
    </row>
    <row r="2235" spans="1:10" x14ac:dyDescent="0.25">
      <c r="A2235" t="s">
        <v>1585</v>
      </c>
      <c r="B2235" s="1" t="str">
        <f>HYPERLINK("http://salmonagency.com","salmonagency.com")</f>
        <v>salmonagency.com</v>
      </c>
      <c r="C2235" t="s">
        <v>433</v>
      </c>
      <c r="F2235">
        <v>4.7281814313898699E-9</v>
      </c>
      <c r="G2235">
        <v>39434744</v>
      </c>
      <c r="H2235">
        <v>10572158</v>
      </c>
      <c r="I2235">
        <v>46023728</v>
      </c>
      <c r="J2235">
        <v>3</v>
      </c>
    </row>
    <row r="2236" spans="1:10" x14ac:dyDescent="0.25">
      <c r="A2236" t="s">
        <v>1585</v>
      </c>
      <c r="B2236" s="1" t="str">
        <f>HYPERLINK("http://seattlespecialty.com","seattlespecialty.com")</f>
        <v>seattlespecialty.com</v>
      </c>
      <c r="C2236" t="s">
        <v>433</v>
      </c>
      <c r="F2236">
        <v>5.0847270382263499E-9</v>
      </c>
      <c r="G2236">
        <v>27406389</v>
      </c>
      <c r="H2236">
        <v>12078018</v>
      </c>
      <c r="I2236">
        <v>26607018</v>
      </c>
      <c r="J2236">
        <v>3</v>
      </c>
    </row>
    <row r="2237" spans="1:10" x14ac:dyDescent="0.25">
      <c r="A2237" t="s">
        <v>1585</v>
      </c>
      <c r="B2237" s="1" t="str">
        <f>HYPERLINK("http://sigmotorclub.com","sigmotorclub.com")</f>
        <v>sigmotorclub.com</v>
      </c>
      <c r="C2237" t="s">
        <v>433</v>
      </c>
      <c r="F2237">
        <v>5.4210004020517697E-9</v>
      </c>
      <c r="G2237">
        <v>21849647</v>
      </c>
      <c r="H2237">
        <v>10344526</v>
      </c>
      <c r="I2237">
        <v>57175756</v>
      </c>
      <c r="J2237">
        <v>3</v>
      </c>
    </row>
    <row r="2238" spans="1:10" x14ac:dyDescent="0.25">
      <c r="A2238" t="s">
        <v>1585</v>
      </c>
      <c r="B2238" s="1" t="str">
        <f>HYPERLINK("http://squaretrade.com","squaretrade.com")</f>
        <v>squaretrade.com</v>
      </c>
      <c r="C2238" t="s">
        <v>433</v>
      </c>
      <c r="E2238">
        <v>48244</v>
      </c>
      <c r="F2238">
        <v>5.2453856907380501E-7</v>
      </c>
      <c r="G2238">
        <v>73310</v>
      </c>
      <c r="H2238">
        <v>15378722</v>
      </c>
      <c r="I2238">
        <v>381233</v>
      </c>
      <c r="J2238">
        <v>3</v>
      </c>
    </row>
    <row r="2239" spans="1:10" x14ac:dyDescent="0.25">
      <c r="A2239" t="s">
        <v>1585</v>
      </c>
      <c r="B2239" s="1" t="str">
        <f>HYPERLINK("http://techforward.com","techforward.com")</f>
        <v>techforward.com</v>
      </c>
      <c r="C2239" t="s">
        <v>433</v>
      </c>
      <c r="F2239">
        <v>1.2982338547720799E-8</v>
      </c>
      <c r="G2239">
        <v>4640014</v>
      </c>
      <c r="H2239">
        <v>13981859</v>
      </c>
      <c r="I2239">
        <v>4047273</v>
      </c>
      <c r="J2239">
        <v>6</v>
      </c>
    </row>
    <row r="2240" spans="1:10" x14ac:dyDescent="0.25">
      <c r="A2240" t="s">
        <v>1585</v>
      </c>
      <c r="B2240" s="1" t="str">
        <f>HYPERLINK("http://squaretrade.de","squaretrade.de")</f>
        <v>squaretrade.de</v>
      </c>
      <c r="C2240" t="s">
        <v>436</v>
      </c>
      <c r="D2240" t="s">
        <v>815</v>
      </c>
      <c r="F2240">
        <v>2.1348260962723298E-8</v>
      </c>
      <c r="G2240">
        <v>2468181</v>
      </c>
      <c r="H2240">
        <v>12284584</v>
      </c>
      <c r="I2240">
        <v>21218304</v>
      </c>
      <c r="J2240">
        <v>4</v>
      </c>
    </row>
    <row r="2241" spans="1:10" x14ac:dyDescent="0.25">
      <c r="A2241" t="s">
        <v>1585</v>
      </c>
      <c r="B2241" s="1" t="str">
        <f>HYPERLINK("http://squaretrade.dk","squaretrade.dk")</f>
        <v>squaretrade.dk</v>
      </c>
      <c r="C2241" t="s">
        <v>437</v>
      </c>
      <c r="D2241" t="s">
        <v>816</v>
      </c>
      <c r="F2241">
        <v>4.8176523782294297E-8</v>
      </c>
      <c r="G2241">
        <v>964496</v>
      </c>
      <c r="H2241">
        <v>13418754</v>
      </c>
      <c r="I2241">
        <v>10307980</v>
      </c>
      <c r="J2241">
        <v>4</v>
      </c>
    </row>
    <row r="2242" spans="1:10" x14ac:dyDescent="0.25">
      <c r="A2242" t="s">
        <v>1585</v>
      </c>
      <c r="B2242" s="1" t="str">
        <f>HYPERLINK("http://squaretrade.es","squaretrade.es")</f>
        <v>squaretrade.es</v>
      </c>
      <c r="C2242" t="s">
        <v>443</v>
      </c>
      <c r="D2242" t="s">
        <v>822</v>
      </c>
      <c r="F2242">
        <v>1.3379622998631E-8</v>
      </c>
      <c r="G2242">
        <v>4457095</v>
      </c>
      <c r="H2242">
        <v>11210495</v>
      </c>
      <c r="I2242">
        <v>31161440</v>
      </c>
      <c r="J2242">
        <v>4</v>
      </c>
    </row>
    <row r="2243" spans="1:10" x14ac:dyDescent="0.25">
      <c r="A2243" t="s">
        <v>1585</v>
      </c>
      <c r="B2243" s="1" t="str">
        <f>HYPERLINK("http://squaretrade.eu","squaretrade.eu")</f>
        <v>squaretrade.eu</v>
      </c>
      <c r="C2243" t="s">
        <v>444</v>
      </c>
      <c r="F2243">
        <v>6.81162703963909E-9</v>
      </c>
      <c r="G2243">
        <v>12921518</v>
      </c>
      <c r="H2243">
        <v>9482226</v>
      </c>
      <c r="I2243">
        <v>65991268</v>
      </c>
      <c r="J2243">
        <v>5</v>
      </c>
    </row>
    <row r="2244" spans="1:10" x14ac:dyDescent="0.25">
      <c r="A2244" t="s">
        <v>1585</v>
      </c>
      <c r="B2244" s="1" t="str">
        <f>HYPERLINK("http://squaretrade.fi","squaretrade.fi")</f>
        <v>squaretrade.fi</v>
      </c>
      <c r="C2244" t="s">
        <v>445</v>
      </c>
      <c r="D2244" t="s">
        <v>823</v>
      </c>
      <c r="F2244">
        <v>2.5464241700111499E-8</v>
      </c>
      <c r="G2244">
        <v>2025678</v>
      </c>
      <c r="H2244">
        <v>12293571</v>
      </c>
      <c r="I2244">
        <v>20998454</v>
      </c>
      <c r="J2244">
        <v>4</v>
      </c>
    </row>
    <row r="2245" spans="1:10" x14ac:dyDescent="0.25">
      <c r="A2245" t="s">
        <v>1585</v>
      </c>
      <c r="B2245" s="1" t="str">
        <f>HYPERLINK("http://squaretrade.it","squaretrade.it")</f>
        <v>squaretrade.it</v>
      </c>
      <c r="C2245" t="s">
        <v>459</v>
      </c>
      <c r="D2245" t="s">
        <v>835</v>
      </c>
      <c r="F2245">
        <v>4.5300750428397697E-9</v>
      </c>
      <c r="G2245">
        <v>55047914</v>
      </c>
      <c r="H2245">
        <v>12225632</v>
      </c>
      <c r="I2245">
        <v>22636663</v>
      </c>
      <c r="J2245">
        <v>4</v>
      </c>
    </row>
    <row r="2246" spans="1:10" x14ac:dyDescent="0.25">
      <c r="A2246" t="s">
        <v>1585</v>
      </c>
      <c r="B2246" s="1" t="str">
        <f>HYPERLINK("http://allstate.jobs","allstate.jobs")</f>
        <v>allstate.jobs</v>
      </c>
      <c r="C2246" t="s">
        <v>521</v>
      </c>
      <c r="E2246">
        <v>327993</v>
      </c>
      <c r="F2246">
        <v>9.5695378590406706E-8</v>
      </c>
      <c r="G2246">
        <v>423117</v>
      </c>
      <c r="H2246">
        <v>13544751</v>
      </c>
      <c r="I2246">
        <v>9901831</v>
      </c>
      <c r="J2246">
        <v>3</v>
      </c>
    </row>
    <row r="2247" spans="1:10" x14ac:dyDescent="0.25">
      <c r="A2247" t="s">
        <v>1585</v>
      </c>
      <c r="B2247" s="1" t="str">
        <f>HYPERLINK("http://squaretrade.co.jp","squaretrade.co.jp")</f>
        <v>squaretrade.co.jp</v>
      </c>
      <c r="C2247" t="s">
        <v>461</v>
      </c>
      <c r="D2247" t="s">
        <v>837</v>
      </c>
      <c r="F2247">
        <v>1.22749386793855E-8</v>
      </c>
      <c r="G2247">
        <v>5008163</v>
      </c>
      <c r="H2247">
        <v>10420221</v>
      </c>
      <c r="I2247">
        <v>53943635</v>
      </c>
      <c r="J2247">
        <v>5</v>
      </c>
    </row>
    <row r="2248" spans="1:10" x14ac:dyDescent="0.25">
      <c r="A2248" t="s">
        <v>1585</v>
      </c>
      <c r="B2248" s="1" t="str">
        <f>HYPERLINK("http://squaretrade.nl","squaretrade.nl")</f>
        <v>squaretrade.nl</v>
      </c>
      <c r="C2248" t="s">
        <v>477</v>
      </c>
      <c r="D2248" t="s">
        <v>852</v>
      </c>
      <c r="F2248">
        <v>1.2676077465906699E-8</v>
      </c>
      <c r="G2248">
        <v>4791613</v>
      </c>
      <c r="H2248">
        <v>11184848</v>
      </c>
      <c r="I2248">
        <v>31394698</v>
      </c>
      <c r="J2248">
        <v>4</v>
      </c>
    </row>
    <row r="2249" spans="1:10" x14ac:dyDescent="0.25">
      <c r="A2249" t="s">
        <v>1585</v>
      </c>
      <c r="B2249" s="1" t="str">
        <f>HYPERLINK("http://squaretrade.no","squaretrade.no")</f>
        <v>squaretrade.no</v>
      </c>
      <c r="C2249" t="s">
        <v>478</v>
      </c>
      <c r="D2249" t="s">
        <v>853</v>
      </c>
      <c r="F2249">
        <v>1.39613683313569E-8</v>
      </c>
      <c r="G2249">
        <v>4217364</v>
      </c>
      <c r="H2249">
        <v>12118375</v>
      </c>
      <c r="I2249">
        <v>25448763</v>
      </c>
      <c r="J2249">
        <v>4</v>
      </c>
    </row>
    <row r="2250" spans="1:10" x14ac:dyDescent="0.25">
      <c r="A2250" t="s">
        <v>1585</v>
      </c>
      <c r="B2250" s="1" t="str">
        <f>HYPERLINK("http://squaretrade.pl","squaretrade.pl")</f>
        <v>squaretrade.pl</v>
      </c>
      <c r="C2250" t="s">
        <v>486</v>
      </c>
      <c r="D2250" t="s">
        <v>860</v>
      </c>
      <c r="J2250">
        <v>4</v>
      </c>
    </row>
    <row r="2251" spans="1:10" x14ac:dyDescent="0.25">
      <c r="A2251" t="s">
        <v>1585</v>
      </c>
      <c r="B2251" s="1" t="str">
        <f>HYPERLINK("http://squaretrade.pt","squaretrade.pt")</f>
        <v>squaretrade.pt</v>
      </c>
      <c r="C2251" t="s">
        <v>488</v>
      </c>
      <c r="D2251" t="s">
        <v>862</v>
      </c>
      <c r="F2251">
        <v>1.36048437676234E-8</v>
      </c>
      <c r="G2251">
        <v>4359814</v>
      </c>
      <c r="H2251">
        <v>11185438</v>
      </c>
      <c r="I2251">
        <v>31390330</v>
      </c>
      <c r="J2251">
        <v>4</v>
      </c>
    </row>
    <row r="2252" spans="1:10" x14ac:dyDescent="0.25">
      <c r="A2252" t="s">
        <v>1585</v>
      </c>
      <c r="B2252" s="1" t="str">
        <f>HYPERLINK("http://squaretrade.se","squaretrade.se")</f>
        <v>squaretrade.se</v>
      </c>
      <c r="C2252" t="s">
        <v>495</v>
      </c>
      <c r="D2252" t="s">
        <v>869</v>
      </c>
      <c r="F2252">
        <v>2.4567270518513499E-8</v>
      </c>
      <c r="G2252">
        <v>2108355</v>
      </c>
      <c r="H2252">
        <v>12319636</v>
      </c>
      <c r="I2252">
        <v>20426706</v>
      </c>
      <c r="J2252">
        <v>4</v>
      </c>
    </row>
    <row r="2253" spans="1:10" x14ac:dyDescent="0.25">
      <c r="A2253" t="s">
        <v>1585</v>
      </c>
      <c r="B2253" s="1" t="str">
        <f>HYPERLINK("http://al.st","al.st")</f>
        <v>al.st</v>
      </c>
      <c r="C2253" t="s">
        <v>669</v>
      </c>
      <c r="D2253" t="s">
        <v>988</v>
      </c>
      <c r="F2253">
        <v>3.8722144783687397E-8</v>
      </c>
      <c r="G2253">
        <v>1331418</v>
      </c>
      <c r="H2253">
        <v>13788667</v>
      </c>
      <c r="I2253">
        <v>6362032</v>
      </c>
      <c r="J2253">
        <v>5</v>
      </c>
    </row>
    <row r="2254" spans="1:10" x14ac:dyDescent="0.25">
      <c r="A2254" t="s">
        <v>1585</v>
      </c>
      <c r="B2254" s="1" t="str">
        <f>HYPERLINK("http://squaretrade.co.uk","squaretrade.co.uk")</f>
        <v>squaretrade.co.uk</v>
      </c>
      <c r="C2254" t="s">
        <v>506</v>
      </c>
      <c r="D2254" t="s">
        <v>880</v>
      </c>
      <c r="F2254">
        <v>2.07097852531258E-8</v>
      </c>
      <c r="G2254">
        <v>2555485</v>
      </c>
      <c r="H2254">
        <v>13477712</v>
      </c>
      <c r="I2254">
        <v>10015859</v>
      </c>
      <c r="J2254">
        <v>4</v>
      </c>
    </row>
    <row r="2255" spans="1:10" x14ac:dyDescent="0.25">
      <c r="A2255" t="s">
        <v>27</v>
      </c>
      <c r="B2255" s="1" t="str">
        <f>HYPERLINK("http://google.ac","google.ac")</f>
        <v>google.ac</v>
      </c>
      <c r="C2255" t="s">
        <v>618</v>
      </c>
      <c r="E2255">
        <v>15716</v>
      </c>
      <c r="F2255">
        <v>1.07517887169452E-6</v>
      </c>
      <c r="G2255">
        <v>35790</v>
      </c>
      <c r="H2255">
        <v>17655154</v>
      </c>
      <c r="I2255">
        <v>8265</v>
      </c>
      <c r="J2255">
        <v>4</v>
      </c>
    </row>
    <row r="2256" spans="1:10" x14ac:dyDescent="0.25">
      <c r="A2256" t="s">
        <v>27</v>
      </c>
      <c r="B2256" s="1" t="str">
        <f>HYPERLINK("http://google.ad","google.ad")</f>
        <v>google.ad</v>
      </c>
      <c r="C2256" t="s">
        <v>619</v>
      </c>
      <c r="D2256" t="s">
        <v>943</v>
      </c>
      <c r="E2256">
        <v>10804</v>
      </c>
      <c r="F2256">
        <v>1.2870717306656699E-6</v>
      </c>
      <c r="G2256">
        <v>30174</v>
      </c>
      <c r="H2256">
        <v>17678354</v>
      </c>
      <c r="I2256">
        <v>7772</v>
      </c>
      <c r="J2256">
        <v>4</v>
      </c>
    </row>
    <row r="2257" spans="1:10" x14ac:dyDescent="0.25">
      <c r="A2257" t="s">
        <v>27</v>
      </c>
      <c r="B2257" s="1" t="str">
        <f>HYPERLINK("http://google.ae","google.ae")</f>
        <v>google.ae</v>
      </c>
      <c r="C2257" t="s">
        <v>417</v>
      </c>
      <c r="D2257" t="s">
        <v>799</v>
      </c>
      <c r="E2257">
        <v>4046</v>
      </c>
      <c r="F2257">
        <v>3.2385950416061799E-6</v>
      </c>
      <c r="G2257">
        <v>12330</v>
      </c>
      <c r="H2257">
        <v>17863916</v>
      </c>
      <c r="I2257">
        <v>4817</v>
      </c>
      <c r="J2257">
        <v>4</v>
      </c>
    </row>
    <row r="2258" spans="1:10" x14ac:dyDescent="0.25">
      <c r="A2258" t="s">
        <v>27</v>
      </c>
      <c r="B2258" s="1" t="str">
        <f>HYPERLINK("http://google.com.af","google.com.af")</f>
        <v>google.com.af</v>
      </c>
      <c r="C2258" t="s">
        <v>620</v>
      </c>
      <c r="D2258" t="s">
        <v>944</v>
      </c>
      <c r="E2258">
        <v>11287</v>
      </c>
      <c r="F2258">
        <v>1.43668513057837E-6</v>
      </c>
      <c r="G2258">
        <v>27265</v>
      </c>
      <c r="H2258">
        <v>17700862</v>
      </c>
      <c r="I2258">
        <v>7297</v>
      </c>
      <c r="J2258">
        <v>4</v>
      </c>
    </row>
    <row r="2259" spans="1:10" x14ac:dyDescent="0.25">
      <c r="A2259" t="s">
        <v>27</v>
      </c>
      <c r="B2259" s="1" t="str">
        <f>HYPERLINK("http://google.af","google.af")</f>
        <v>google.af</v>
      </c>
      <c r="C2259" t="s">
        <v>620</v>
      </c>
      <c r="D2259" t="s">
        <v>944</v>
      </c>
      <c r="E2259">
        <v>421136</v>
      </c>
      <c r="F2259">
        <v>1.08549406867537E-7</v>
      </c>
      <c r="G2259">
        <v>368662</v>
      </c>
      <c r="H2259">
        <v>16984960</v>
      </c>
      <c r="I2259">
        <v>97366</v>
      </c>
      <c r="J2259">
        <v>4</v>
      </c>
    </row>
    <row r="2260" spans="1:10" x14ac:dyDescent="0.25">
      <c r="A2260" t="s">
        <v>27</v>
      </c>
      <c r="B2260" s="1" t="str">
        <f>HYPERLINK("http://google.com.ag","google.com.ag")</f>
        <v>google.com.ag</v>
      </c>
      <c r="C2260" t="s">
        <v>564</v>
      </c>
      <c r="D2260" t="s">
        <v>912</v>
      </c>
      <c r="E2260">
        <v>11362</v>
      </c>
      <c r="F2260">
        <v>1.3517051499337499E-6</v>
      </c>
      <c r="G2260">
        <v>28773</v>
      </c>
      <c r="H2260">
        <v>17826044</v>
      </c>
      <c r="I2260">
        <v>5262</v>
      </c>
      <c r="J2260">
        <v>4</v>
      </c>
    </row>
    <row r="2261" spans="1:10" x14ac:dyDescent="0.25">
      <c r="A2261" t="s">
        <v>27</v>
      </c>
      <c r="B2261" s="1" t="str">
        <f>HYPERLINK("http://google.ag","google.ag")</f>
        <v>google.ag</v>
      </c>
      <c r="C2261" t="s">
        <v>564</v>
      </c>
      <c r="D2261" t="s">
        <v>912</v>
      </c>
      <c r="E2261">
        <v>430351</v>
      </c>
      <c r="F2261">
        <v>1.0245298769260601E-7</v>
      </c>
      <c r="G2261">
        <v>391938</v>
      </c>
      <c r="H2261">
        <v>16967278</v>
      </c>
      <c r="I2261">
        <v>103582</v>
      </c>
      <c r="J2261">
        <v>4</v>
      </c>
    </row>
    <row r="2262" spans="1:10" x14ac:dyDescent="0.25">
      <c r="A2262" t="s">
        <v>27</v>
      </c>
      <c r="B2262" s="1" t="str">
        <f>HYPERLINK("http://google.com.ai","google.com.ai")</f>
        <v>google.com.ai</v>
      </c>
      <c r="C2262" t="s">
        <v>524</v>
      </c>
      <c r="D2262" t="s">
        <v>892</v>
      </c>
      <c r="E2262">
        <v>11843</v>
      </c>
      <c r="F2262">
        <v>9.3445004015735198E-7</v>
      </c>
      <c r="G2262">
        <v>41119</v>
      </c>
      <c r="H2262">
        <v>17612536</v>
      </c>
      <c r="I2262">
        <v>9313</v>
      </c>
      <c r="J2262">
        <v>4</v>
      </c>
    </row>
    <row r="2263" spans="1:10" x14ac:dyDescent="0.25">
      <c r="A2263" t="s">
        <v>27</v>
      </c>
      <c r="B2263" s="1" t="str">
        <f>HYPERLINK("http://google.off.ai","google.off.ai")</f>
        <v>google.off.ai</v>
      </c>
      <c r="C2263" t="s">
        <v>524</v>
      </c>
      <c r="D2263" t="s">
        <v>892</v>
      </c>
      <c r="F2263">
        <v>2.0023780652530001E-7</v>
      </c>
      <c r="G2263">
        <v>190315</v>
      </c>
      <c r="H2263">
        <v>16979654</v>
      </c>
      <c r="I2263">
        <v>98727</v>
      </c>
      <c r="J2263">
        <v>4</v>
      </c>
    </row>
    <row r="2264" spans="1:10" x14ac:dyDescent="0.25">
      <c r="A2264" t="s">
        <v>27</v>
      </c>
      <c r="B2264" s="1" t="str">
        <f>HYPERLINK("http://google.al","google.al")</f>
        <v>google.al</v>
      </c>
      <c r="C2264" t="s">
        <v>588</v>
      </c>
      <c r="D2264" t="s">
        <v>924</v>
      </c>
      <c r="E2264">
        <v>11370</v>
      </c>
      <c r="F2264">
        <v>9.5463646905457707E-7</v>
      </c>
      <c r="G2264">
        <v>40082</v>
      </c>
      <c r="H2264">
        <v>17751816</v>
      </c>
      <c r="I2264">
        <v>6330</v>
      </c>
      <c r="J2264">
        <v>4</v>
      </c>
    </row>
    <row r="2265" spans="1:10" x14ac:dyDescent="0.25">
      <c r="A2265" t="s">
        <v>27</v>
      </c>
      <c r="B2265" s="1" t="str">
        <f>HYPERLINK("http://google.am","google.am")</f>
        <v>google.am</v>
      </c>
      <c r="C2265" t="s">
        <v>565</v>
      </c>
      <c r="D2265" t="s">
        <v>913</v>
      </c>
      <c r="E2265">
        <v>9478</v>
      </c>
      <c r="F2265">
        <v>1.23419062855562E-6</v>
      </c>
      <c r="G2265">
        <v>31525</v>
      </c>
      <c r="H2265">
        <v>17547834</v>
      </c>
      <c r="I2265">
        <v>11373</v>
      </c>
      <c r="J2265">
        <v>4</v>
      </c>
    </row>
    <row r="2266" spans="1:10" x14ac:dyDescent="0.25">
      <c r="A2266" t="s">
        <v>27</v>
      </c>
      <c r="B2266" s="1" t="str">
        <f>HYPERLINK("http://google.co.ao","google.co.ao")</f>
        <v>google.co.ao</v>
      </c>
      <c r="C2266" t="s">
        <v>566</v>
      </c>
      <c r="D2266" t="s">
        <v>914</v>
      </c>
      <c r="E2266">
        <v>11879</v>
      </c>
      <c r="F2266">
        <v>9.95709957139701E-7</v>
      </c>
      <c r="G2266">
        <v>38406</v>
      </c>
      <c r="H2266">
        <v>17514442</v>
      </c>
      <c r="I2266">
        <v>13038</v>
      </c>
      <c r="J2266">
        <v>4</v>
      </c>
    </row>
    <row r="2267" spans="1:10" x14ac:dyDescent="0.25">
      <c r="A2267" t="s">
        <v>27</v>
      </c>
      <c r="B2267" s="1" t="str">
        <f>HYPERLINK("http://google.it.ao","google.it.ao")</f>
        <v>google.it.ao</v>
      </c>
      <c r="C2267" t="s">
        <v>566</v>
      </c>
      <c r="D2267" t="s">
        <v>914</v>
      </c>
      <c r="E2267">
        <v>230124</v>
      </c>
      <c r="F2267">
        <v>8.4044111246864497E-8</v>
      </c>
      <c r="G2267">
        <v>492359</v>
      </c>
      <c r="H2267">
        <v>14489101</v>
      </c>
      <c r="I2267">
        <v>925885</v>
      </c>
      <c r="J2267">
        <v>4</v>
      </c>
    </row>
    <row r="2268" spans="1:10" x14ac:dyDescent="0.25">
      <c r="A2268" t="s">
        <v>27</v>
      </c>
      <c r="B2268" s="1" t="str">
        <f>HYPERLINK("http://google.com.ar","google.com.ar")</f>
        <v>google.com.ar</v>
      </c>
      <c r="C2268" t="s">
        <v>418</v>
      </c>
      <c r="D2268" t="s">
        <v>800</v>
      </c>
      <c r="E2268">
        <v>1475</v>
      </c>
      <c r="F2268">
        <v>6.78520633636294E-6</v>
      </c>
      <c r="G2268">
        <v>4949</v>
      </c>
      <c r="H2268">
        <v>17949408</v>
      </c>
      <c r="I2268">
        <v>4059</v>
      </c>
      <c r="J2268">
        <v>4</v>
      </c>
    </row>
    <row r="2269" spans="1:10" x14ac:dyDescent="0.25">
      <c r="A2269" t="s">
        <v>27</v>
      </c>
      <c r="B2269" s="1" t="str">
        <f>HYPERLINK("http://google.as","google.as")</f>
        <v>google.as</v>
      </c>
      <c r="C2269" t="s">
        <v>555</v>
      </c>
      <c r="D2269" t="s">
        <v>909</v>
      </c>
      <c r="E2269">
        <v>9898</v>
      </c>
      <c r="F2269">
        <v>1.23205676892574E-6</v>
      </c>
      <c r="G2269">
        <v>31572</v>
      </c>
      <c r="H2269">
        <v>17768066</v>
      </c>
      <c r="I2269">
        <v>6052</v>
      </c>
      <c r="J2269">
        <v>4</v>
      </c>
    </row>
    <row r="2270" spans="1:10" x14ac:dyDescent="0.25">
      <c r="A2270" t="s">
        <v>27</v>
      </c>
      <c r="B2270" s="1" t="str">
        <f>HYPERLINK("http://google.at","google.at")</f>
        <v>google.at</v>
      </c>
      <c r="C2270" t="s">
        <v>419</v>
      </c>
      <c r="D2270" t="s">
        <v>801</v>
      </c>
      <c r="E2270">
        <v>3106</v>
      </c>
      <c r="F2270">
        <v>1.9690512170331699E-5</v>
      </c>
      <c r="G2270">
        <v>1522</v>
      </c>
      <c r="H2270">
        <v>18119566</v>
      </c>
      <c r="I2270">
        <v>3046</v>
      </c>
      <c r="J2270">
        <v>4</v>
      </c>
    </row>
    <row r="2271" spans="1:10" x14ac:dyDescent="0.25">
      <c r="A2271" t="s">
        <v>27</v>
      </c>
      <c r="B2271" s="1" t="str">
        <f>HYPERLINK("http://google.com.au","google.com.au")</f>
        <v>google.com.au</v>
      </c>
      <c r="C2271" t="s">
        <v>420</v>
      </c>
      <c r="D2271" t="s">
        <v>802</v>
      </c>
      <c r="E2271">
        <v>997</v>
      </c>
      <c r="F2271">
        <v>1.44688035081989E-5</v>
      </c>
      <c r="G2271">
        <v>2452</v>
      </c>
      <c r="H2271">
        <v>18546684</v>
      </c>
      <c r="I2271">
        <v>1434</v>
      </c>
      <c r="J2271">
        <v>4</v>
      </c>
    </row>
    <row r="2272" spans="1:10" x14ac:dyDescent="0.25">
      <c r="A2272" t="s">
        <v>27</v>
      </c>
      <c r="B2272" s="1" t="str">
        <f>HYPERLINK("http://termitespecialist.com.au","termitespecialist.com.au")</f>
        <v>termitespecialist.com.au</v>
      </c>
      <c r="C2272" t="s">
        <v>420</v>
      </c>
      <c r="D2272" t="s">
        <v>802</v>
      </c>
      <c r="F2272">
        <v>6.0786782577552899E-9</v>
      </c>
      <c r="G2272">
        <v>16214848</v>
      </c>
      <c r="H2272">
        <v>12884703</v>
      </c>
      <c r="I2272">
        <v>13970077</v>
      </c>
      <c r="J2272">
        <v>6</v>
      </c>
    </row>
    <row r="2273" spans="1:10" x14ac:dyDescent="0.25">
      <c r="A2273" t="s">
        <v>27</v>
      </c>
      <c r="B2273" s="1" t="str">
        <f>HYPERLINK("http://google.az","google.az")</f>
        <v>google.az</v>
      </c>
      <c r="C2273" t="s">
        <v>561</v>
      </c>
      <c r="D2273" t="s">
        <v>911</v>
      </c>
      <c r="E2273">
        <v>2076</v>
      </c>
      <c r="F2273">
        <v>1.3855955158536E-6</v>
      </c>
      <c r="G2273">
        <v>28144</v>
      </c>
      <c r="H2273">
        <v>17739472</v>
      </c>
      <c r="I2273">
        <v>6558</v>
      </c>
      <c r="J2273">
        <v>4</v>
      </c>
    </row>
    <row r="2274" spans="1:10" x14ac:dyDescent="0.25">
      <c r="A2274" t="s">
        <v>27</v>
      </c>
      <c r="B2274" s="1" t="str">
        <f>HYPERLINK("http://google.ba","google.ba")</f>
        <v>google.ba</v>
      </c>
      <c r="C2274" t="s">
        <v>526</v>
      </c>
      <c r="D2274" t="s">
        <v>893</v>
      </c>
      <c r="E2274">
        <v>8090</v>
      </c>
      <c r="F2274">
        <v>1.4116371332960701E-6</v>
      </c>
      <c r="G2274">
        <v>27714</v>
      </c>
      <c r="H2274">
        <v>17761206</v>
      </c>
      <c r="I2274">
        <v>6171</v>
      </c>
      <c r="J2274">
        <v>4</v>
      </c>
    </row>
    <row r="2275" spans="1:10" x14ac:dyDescent="0.25">
      <c r="A2275" t="s">
        <v>27</v>
      </c>
      <c r="B2275" s="1" t="str">
        <f>HYPERLINK("http://google.com.bd","google.com.bd")</f>
        <v>google.com.bd</v>
      </c>
      <c r="C2275" t="s">
        <v>603</v>
      </c>
      <c r="D2275" t="s">
        <v>934</v>
      </c>
      <c r="E2275">
        <v>6111</v>
      </c>
      <c r="F2275">
        <v>1.6163069782348799E-6</v>
      </c>
      <c r="G2275">
        <v>24368</v>
      </c>
      <c r="H2275">
        <v>17859460</v>
      </c>
      <c r="I2275">
        <v>4871</v>
      </c>
      <c r="J2275">
        <v>4</v>
      </c>
    </row>
    <row r="2276" spans="1:10" x14ac:dyDescent="0.25">
      <c r="A2276" t="s">
        <v>27</v>
      </c>
      <c r="B2276" s="1" t="str">
        <f>HYPERLINK("http://youtube.com.bd","youtube.com.bd")</f>
        <v>youtube.com.bd</v>
      </c>
      <c r="C2276" t="s">
        <v>603</v>
      </c>
      <c r="D2276" t="s">
        <v>934</v>
      </c>
      <c r="E2276">
        <v>847762</v>
      </c>
      <c r="F2276">
        <v>1.80461420610285E-6</v>
      </c>
      <c r="G2276">
        <v>21317</v>
      </c>
      <c r="H2276">
        <v>15745307</v>
      </c>
      <c r="I2276">
        <v>368989</v>
      </c>
      <c r="J2276">
        <v>5</v>
      </c>
    </row>
    <row r="2277" spans="1:10" x14ac:dyDescent="0.25">
      <c r="A2277" t="s">
        <v>27</v>
      </c>
      <c r="B2277" s="1" t="str">
        <f>HYPERLINK("http://google.be","google.be")</f>
        <v>google.be</v>
      </c>
      <c r="C2277" t="s">
        <v>421</v>
      </c>
      <c r="D2277" t="s">
        <v>803</v>
      </c>
      <c r="E2277">
        <v>2809</v>
      </c>
      <c r="F2277">
        <v>1.7867082577687401E-5</v>
      </c>
      <c r="G2277">
        <v>1869</v>
      </c>
      <c r="H2277">
        <v>18500702</v>
      </c>
      <c r="I2277">
        <v>1587</v>
      </c>
      <c r="J2277">
        <v>4</v>
      </c>
    </row>
    <row r="2278" spans="1:10" x14ac:dyDescent="0.25">
      <c r="A2278" t="s">
        <v>27</v>
      </c>
      <c r="B2278" s="1" t="str">
        <f>HYPERLINK("http://google.bf","google.bf")</f>
        <v>google.bf</v>
      </c>
      <c r="C2278" t="s">
        <v>621</v>
      </c>
      <c r="D2278" t="s">
        <v>945</v>
      </c>
      <c r="E2278">
        <v>11703</v>
      </c>
      <c r="F2278">
        <v>1.05921656260812E-6</v>
      </c>
      <c r="G2278">
        <v>36239</v>
      </c>
      <c r="H2278">
        <v>17711814</v>
      </c>
      <c r="I2278">
        <v>7071</v>
      </c>
      <c r="J2278">
        <v>4</v>
      </c>
    </row>
    <row r="2279" spans="1:10" x14ac:dyDescent="0.25">
      <c r="A2279" t="s">
        <v>27</v>
      </c>
      <c r="B2279" s="1" t="str">
        <f>HYPERLINK("http://google.bg","google.bg")</f>
        <v>google.bg</v>
      </c>
      <c r="C2279" t="s">
        <v>422</v>
      </c>
      <c r="D2279" t="s">
        <v>804</v>
      </c>
      <c r="E2279">
        <v>5896</v>
      </c>
      <c r="F2279">
        <v>5.7271046379580802E-6</v>
      </c>
      <c r="G2279">
        <v>6062</v>
      </c>
      <c r="H2279">
        <v>18011020</v>
      </c>
      <c r="I2279">
        <v>3612</v>
      </c>
      <c r="J2279">
        <v>4</v>
      </c>
    </row>
    <row r="2280" spans="1:10" x14ac:dyDescent="0.25">
      <c r="A2280" t="s">
        <v>27</v>
      </c>
      <c r="B2280" s="1" t="str">
        <f>HYPERLINK("http://google.com.bh","google.com.bh")</f>
        <v>google.com.bh</v>
      </c>
      <c r="C2280" t="s">
        <v>580</v>
      </c>
      <c r="D2280" t="s">
        <v>922</v>
      </c>
      <c r="E2280">
        <v>10189</v>
      </c>
      <c r="F2280">
        <v>1.2959543872960901E-6</v>
      </c>
      <c r="G2280">
        <v>29969</v>
      </c>
      <c r="H2280">
        <v>17762846</v>
      </c>
      <c r="I2280">
        <v>6132</v>
      </c>
      <c r="J2280">
        <v>4</v>
      </c>
    </row>
    <row r="2281" spans="1:10" x14ac:dyDescent="0.25">
      <c r="A2281" t="s">
        <v>27</v>
      </c>
      <c r="B2281" s="1" t="str">
        <f>HYPERLINK("http://google.bi","google.bi")</f>
        <v>google.bi</v>
      </c>
      <c r="C2281" t="s">
        <v>622</v>
      </c>
      <c r="D2281" t="s">
        <v>946</v>
      </c>
      <c r="E2281">
        <v>10977</v>
      </c>
      <c r="F2281">
        <v>1.20993748737579E-6</v>
      </c>
      <c r="G2281">
        <v>32139</v>
      </c>
      <c r="H2281">
        <v>17657050</v>
      </c>
      <c r="I2281">
        <v>8208</v>
      </c>
      <c r="J2281">
        <v>4</v>
      </c>
    </row>
    <row r="2282" spans="1:10" x14ac:dyDescent="0.25">
      <c r="A2282" t="s">
        <v>27</v>
      </c>
      <c r="B2282" s="1" t="str">
        <f>HYPERLINK("http://galvani.bio","galvani.bio")</f>
        <v>galvani.bio</v>
      </c>
      <c r="C2282" t="s">
        <v>728</v>
      </c>
      <c r="F2282">
        <v>3.6649041503919299E-8</v>
      </c>
      <c r="G2282">
        <v>1425521</v>
      </c>
      <c r="H2282">
        <v>14540169</v>
      </c>
      <c r="I2282">
        <v>775650</v>
      </c>
      <c r="J2282">
        <v>6</v>
      </c>
    </row>
    <row r="2283" spans="1:10" x14ac:dyDescent="0.25">
      <c r="A2283" t="s">
        <v>27</v>
      </c>
      <c r="B2283" s="1" t="str">
        <f>HYPERLINK("http://bamas.biz","bamas.biz")</f>
        <v>bamas.biz</v>
      </c>
      <c r="C2283" t="s">
        <v>423</v>
      </c>
      <c r="F2283">
        <v>4.44380395335525E-9</v>
      </c>
      <c r="G2283">
        <v>80048638</v>
      </c>
      <c r="H2283">
        <v>0</v>
      </c>
      <c r="I2283">
        <v>80070747</v>
      </c>
      <c r="J2283">
        <v>8</v>
      </c>
    </row>
    <row r="2284" spans="1:10" x14ac:dyDescent="0.25">
      <c r="A2284" t="s">
        <v>27</v>
      </c>
      <c r="B2284" s="1" t="str">
        <f>HYPERLINK("http://google.bj","google.bj")</f>
        <v>google.bj</v>
      </c>
      <c r="C2284" t="s">
        <v>515</v>
      </c>
      <c r="D2284" t="s">
        <v>888</v>
      </c>
      <c r="E2284">
        <v>11873</v>
      </c>
      <c r="F2284">
        <v>9.2877882272185095E-7</v>
      </c>
      <c r="G2284">
        <v>41441</v>
      </c>
      <c r="H2284">
        <v>17648686</v>
      </c>
      <c r="I2284">
        <v>8408</v>
      </c>
      <c r="J2284">
        <v>4</v>
      </c>
    </row>
    <row r="2285" spans="1:10" x14ac:dyDescent="0.25">
      <c r="A2285" t="s">
        <v>27</v>
      </c>
      <c r="B2285" s="1" t="str">
        <f>HYPERLINK("http://google.com.bn","google.com.bn")</f>
        <v>google.com.bn</v>
      </c>
      <c r="C2285" t="s">
        <v>511</v>
      </c>
      <c r="D2285" t="s">
        <v>885</v>
      </c>
      <c r="E2285">
        <v>11461</v>
      </c>
      <c r="F2285">
        <v>1.1323220381092099E-6</v>
      </c>
      <c r="G2285">
        <v>34100</v>
      </c>
      <c r="H2285">
        <v>17732934</v>
      </c>
      <c r="I2285">
        <v>6683</v>
      </c>
      <c r="J2285">
        <v>4</v>
      </c>
    </row>
    <row r="2286" spans="1:10" x14ac:dyDescent="0.25">
      <c r="A2286" t="s">
        <v>27</v>
      </c>
      <c r="B2286" s="1" t="str">
        <f>HYPERLINK("http://google.com.bo","google.com.bo")</f>
        <v>google.com.bo</v>
      </c>
      <c r="C2286" t="s">
        <v>424</v>
      </c>
      <c r="D2286" t="s">
        <v>805</v>
      </c>
      <c r="E2286">
        <v>9792</v>
      </c>
      <c r="F2286">
        <v>1.3108077966914001E-6</v>
      </c>
      <c r="G2286">
        <v>29623</v>
      </c>
      <c r="H2286">
        <v>17844548</v>
      </c>
      <c r="I2286">
        <v>5041</v>
      </c>
      <c r="J2286">
        <v>4</v>
      </c>
    </row>
    <row r="2287" spans="1:10" x14ac:dyDescent="0.25">
      <c r="A2287" t="s">
        <v>27</v>
      </c>
      <c r="B2287" s="1" t="str">
        <f>HYPERLINK("http://google.com.br","google.com.br")</f>
        <v>google.com.br</v>
      </c>
      <c r="C2287" t="s">
        <v>425</v>
      </c>
      <c r="D2287" t="s">
        <v>806</v>
      </c>
      <c r="E2287">
        <v>786</v>
      </c>
      <c r="F2287">
        <v>9.2788890713565306E-6</v>
      </c>
      <c r="G2287">
        <v>3654</v>
      </c>
      <c r="H2287">
        <v>18495412</v>
      </c>
      <c r="I2287">
        <v>1608</v>
      </c>
      <c r="J2287">
        <v>4</v>
      </c>
    </row>
    <row r="2288" spans="1:10" x14ac:dyDescent="0.25">
      <c r="A2288" t="s">
        <v>27</v>
      </c>
      <c r="B2288" s="1" t="str">
        <f>HYPERLINK("http://google.bs","google.bs")</f>
        <v>google.bs</v>
      </c>
      <c r="C2288" t="s">
        <v>623</v>
      </c>
      <c r="D2288" t="s">
        <v>947</v>
      </c>
      <c r="E2288">
        <v>10585</v>
      </c>
      <c r="F2288">
        <v>1.37246806824532E-6</v>
      </c>
      <c r="G2288">
        <v>28383</v>
      </c>
      <c r="H2288">
        <v>17741448</v>
      </c>
      <c r="I2288">
        <v>6519</v>
      </c>
      <c r="J2288">
        <v>4</v>
      </c>
    </row>
    <row r="2289" spans="1:10" x14ac:dyDescent="0.25">
      <c r="A2289" t="s">
        <v>27</v>
      </c>
      <c r="B2289" s="1" t="str">
        <f>HYPERLINK("http://google.bt","google.bt")</f>
        <v>google.bt</v>
      </c>
      <c r="C2289" t="s">
        <v>624</v>
      </c>
      <c r="D2289" t="s">
        <v>948</v>
      </c>
      <c r="E2289">
        <v>12617</v>
      </c>
      <c r="F2289">
        <v>1.05656249951086E-6</v>
      </c>
      <c r="G2289">
        <v>36324</v>
      </c>
      <c r="H2289">
        <v>17567820</v>
      </c>
      <c r="I2289">
        <v>10695</v>
      </c>
      <c r="J2289">
        <v>4</v>
      </c>
    </row>
    <row r="2290" spans="1:10" x14ac:dyDescent="0.25">
      <c r="A2290" t="s">
        <v>27</v>
      </c>
      <c r="B2290" s="1" t="str">
        <f>HYPERLINK("http://google.co.bw","google.co.bw")</f>
        <v>google.co.bw</v>
      </c>
      <c r="C2290" t="s">
        <v>426</v>
      </c>
      <c r="D2290" t="s">
        <v>807</v>
      </c>
      <c r="E2290">
        <v>10854</v>
      </c>
      <c r="F2290">
        <v>1.1834611118334599E-6</v>
      </c>
      <c r="G2290">
        <v>32894</v>
      </c>
      <c r="H2290">
        <v>17732294</v>
      </c>
      <c r="I2290">
        <v>6695</v>
      </c>
      <c r="J2290">
        <v>4</v>
      </c>
    </row>
    <row r="2291" spans="1:10" x14ac:dyDescent="0.25">
      <c r="A2291" t="s">
        <v>27</v>
      </c>
      <c r="B2291" s="1" t="str">
        <f>HYPERLINK("http://google.com.by","google.com.by")</f>
        <v>google.com.by</v>
      </c>
      <c r="C2291" t="s">
        <v>427</v>
      </c>
      <c r="D2291" t="s">
        <v>808</v>
      </c>
      <c r="E2291">
        <v>98632</v>
      </c>
      <c r="F2291">
        <v>1.9642535964485001E-7</v>
      </c>
      <c r="G2291">
        <v>196328</v>
      </c>
      <c r="H2291">
        <v>17102536</v>
      </c>
      <c r="I2291">
        <v>63404</v>
      </c>
      <c r="J2291">
        <v>4</v>
      </c>
    </row>
    <row r="2292" spans="1:10" x14ac:dyDescent="0.25">
      <c r="A2292" t="s">
        <v>27</v>
      </c>
      <c r="B2292" s="1" t="str">
        <f>HYPERLINK("http://google.by","google.by")</f>
        <v>google.by</v>
      </c>
      <c r="C2292" t="s">
        <v>427</v>
      </c>
      <c r="D2292" t="s">
        <v>808</v>
      </c>
      <c r="E2292">
        <v>6589</v>
      </c>
      <c r="F2292">
        <v>2.02201137160169E-6</v>
      </c>
      <c r="G2292">
        <v>18062</v>
      </c>
      <c r="H2292">
        <v>17846106</v>
      </c>
      <c r="I2292">
        <v>5026</v>
      </c>
      <c r="J2292">
        <v>4</v>
      </c>
    </row>
    <row r="2293" spans="1:10" x14ac:dyDescent="0.25">
      <c r="A2293" t="s">
        <v>27</v>
      </c>
      <c r="B2293" s="1" t="str">
        <f>HYPERLINK("http://google.com.bz","google.com.bz")</f>
        <v>google.com.bz</v>
      </c>
      <c r="C2293" t="s">
        <v>590</v>
      </c>
      <c r="D2293" t="s">
        <v>926</v>
      </c>
      <c r="E2293">
        <v>11304</v>
      </c>
      <c r="F2293">
        <v>1.04242310436428E-6</v>
      </c>
      <c r="G2293">
        <v>36776</v>
      </c>
      <c r="H2293">
        <v>17617706</v>
      </c>
      <c r="I2293">
        <v>9173</v>
      </c>
      <c r="J2293">
        <v>4</v>
      </c>
    </row>
    <row r="2294" spans="1:10" x14ac:dyDescent="0.25">
      <c r="A2294" t="s">
        <v>27</v>
      </c>
      <c r="B2294" s="1" t="str">
        <f>HYPERLINK("http://google.ca","google.ca")</f>
        <v>google.ca</v>
      </c>
      <c r="C2294" t="s">
        <v>428</v>
      </c>
      <c r="D2294" t="s">
        <v>809</v>
      </c>
      <c r="E2294">
        <v>532</v>
      </c>
      <c r="F2294">
        <v>4.39477829811525E-5</v>
      </c>
      <c r="G2294">
        <v>612</v>
      </c>
      <c r="H2294">
        <v>18628362</v>
      </c>
      <c r="I2294">
        <v>1201</v>
      </c>
      <c r="J2294">
        <v>4</v>
      </c>
    </row>
    <row r="2295" spans="1:10" x14ac:dyDescent="0.25">
      <c r="A2295" t="s">
        <v>27</v>
      </c>
      <c r="B2295" s="1" t="str">
        <f>HYPERLINK("http://google.cat","google.cat")</f>
        <v>google.cat</v>
      </c>
      <c r="C2295" t="s">
        <v>591</v>
      </c>
      <c r="E2295">
        <v>10291</v>
      </c>
      <c r="F2295">
        <v>1.3514544258495701E-6</v>
      </c>
      <c r="G2295">
        <v>28780</v>
      </c>
      <c r="H2295">
        <v>17672196</v>
      </c>
      <c r="I2295">
        <v>7894</v>
      </c>
      <c r="J2295">
        <v>4</v>
      </c>
    </row>
    <row r="2296" spans="1:10" x14ac:dyDescent="0.25">
      <c r="A2296" t="s">
        <v>27</v>
      </c>
      <c r="B2296" s="1" t="str">
        <f>HYPERLINK("http://google.cc","google.cc")</f>
        <v>google.cc</v>
      </c>
      <c r="C2296" t="s">
        <v>569</v>
      </c>
      <c r="D2296" t="s">
        <v>916</v>
      </c>
      <c r="E2296">
        <v>39293</v>
      </c>
      <c r="F2296">
        <v>4.4353880814421798E-7</v>
      </c>
      <c r="G2296">
        <v>85052</v>
      </c>
      <c r="H2296">
        <v>17301312</v>
      </c>
      <c r="I2296">
        <v>27741</v>
      </c>
      <c r="J2296">
        <v>4</v>
      </c>
    </row>
    <row r="2297" spans="1:10" x14ac:dyDescent="0.25">
      <c r="A2297" t="s">
        <v>27</v>
      </c>
      <c r="B2297" s="1" t="str">
        <f>HYPERLINK("http://google.cd","google.cd")</f>
        <v>google.cd</v>
      </c>
      <c r="C2297" t="s">
        <v>625</v>
      </c>
      <c r="D2297" t="s">
        <v>949</v>
      </c>
      <c r="E2297">
        <v>10765</v>
      </c>
      <c r="F2297">
        <v>1.03981824601934E-6</v>
      </c>
      <c r="G2297">
        <v>36867</v>
      </c>
      <c r="H2297">
        <v>17627642</v>
      </c>
      <c r="I2297">
        <v>8928</v>
      </c>
      <c r="J2297">
        <v>4</v>
      </c>
    </row>
    <row r="2298" spans="1:10" x14ac:dyDescent="0.25">
      <c r="A2298" t="s">
        <v>27</v>
      </c>
      <c r="B2298" s="1" t="str">
        <f>HYPERLINK("http://google.cf","google.cf")</f>
        <v>google.cf</v>
      </c>
      <c r="C2298" t="s">
        <v>626</v>
      </c>
      <c r="D2298" t="s">
        <v>950</v>
      </c>
      <c r="E2298">
        <v>11741</v>
      </c>
      <c r="F2298">
        <v>1.0758629502189599E-6</v>
      </c>
      <c r="G2298">
        <v>35780</v>
      </c>
      <c r="H2298">
        <v>17701134</v>
      </c>
      <c r="I2298">
        <v>7291</v>
      </c>
      <c r="J2298">
        <v>4</v>
      </c>
    </row>
    <row r="2299" spans="1:10" x14ac:dyDescent="0.25">
      <c r="A2299" t="s">
        <v>27</v>
      </c>
      <c r="B2299" s="1" t="str">
        <f>HYPERLINK("http://google.cg","google.cg")</f>
        <v>google.cg</v>
      </c>
      <c r="C2299" t="s">
        <v>627</v>
      </c>
      <c r="D2299" t="s">
        <v>951</v>
      </c>
      <c r="E2299">
        <v>11241</v>
      </c>
      <c r="F2299">
        <v>1.08890945163089E-6</v>
      </c>
      <c r="G2299">
        <v>35366</v>
      </c>
      <c r="H2299">
        <v>17699484</v>
      </c>
      <c r="I2299">
        <v>7336</v>
      </c>
      <c r="J2299">
        <v>4</v>
      </c>
    </row>
    <row r="2300" spans="1:10" x14ac:dyDescent="0.25">
      <c r="A2300" t="s">
        <v>27</v>
      </c>
      <c r="B2300" s="1" t="str">
        <f>HYPERLINK("http://google.ch","google.ch")</f>
        <v>google.ch</v>
      </c>
      <c r="C2300" t="s">
        <v>429</v>
      </c>
      <c r="D2300" t="s">
        <v>810</v>
      </c>
      <c r="E2300">
        <v>2607</v>
      </c>
      <c r="F2300">
        <v>2.04312089490987E-5</v>
      </c>
      <c r="G2300">
        <v>1453</v>
      </c>
      <c r="H2300">
        <v>18462276</v>
      </c>
      <c r="I2300">
        <v>1743</v>
      </c>
      <c r="J2300">
        <v>4</v>
      </c>
    </row>
    <row r="2301" spans="1:10" x14ac:dyDescent="0.25">
      <c r="A2301" t="s">
        <v>27</v>
      </c>
      <c r="B2301" s="1" t="str">
        <f>HYPERLINK("http://google.ci","google.ci")</f>
        <v>google.ci</v>
      </c>
      <c r="C2301" t="s">
        <v>539</v>
      </c>
      <c r="D2301" t="s">
        <v>899</v>
      </c>
      <c r="E2301">
        <v>10118</v>
      </c>
      <c r="F2301">
        <v>1.09965309784006E-6</v>
      </c>
      <c r="G2301">
        <v>34978</v>
      </c>
      <c r="H2301">
        <v>17736302</v>
      </c>
      <c r="I2301">
        <v>6624</v>
      </c>
      <c r="J2301">
        <v>4</v>
      </c>
    </row>
    <row r="2302" spans="1:10" x14ac:dyDescent="0.25">
      <c r="A2302" t="s">
        <v>27</v>
      </c>
      <c r="B2302" s="1" t="str">
        <f>HYPERLINK("http://google.co.ck","google.co.ck")</f>
        <v>google.co.ck</v>
      </c>
      <c r="C2302" t="s">
        <v>628</v>
      </c>
      <c r="D2302" t="s">
        <v>952</v>
      </c>
      <c r="E2302">
        <v>11756</v>
      </c>
      <c r="F2302">
        <v>1.2028985765374101E-6</v>
      </c>
      <c r="G2302">
        <v>32439</v>
      </c>
      <c r="H2302">
        <v>17725274</v>
      </c>
      <c r="I2302">
        <v>6822</v>
      </c>
      <c r="J2302">
        <v>4</v>
      </c>
    </row>
    <row r="2303" spans="1:10" x14ac:dyDescent="0.25">
      <c r="A2303" t="s">
        <v>27</v>
      </c>
      <c r="B2303" s="1" t="str">
        <f>HYPERLINK("http://google.cl","google.cl")</f>
        <v>google.cl</v>
      </c>
      <c r="C2303" t="s">
        <v>430</v>
      </c>
      <c r="D2303" t="s">
        <v>811</v>
      </c>
      <c r="E2303">
        <v>4039</v>
      </c>
      <c r="F2303">
        <v>3.7819743478914498E-6</v>
      </c>
      <c r="G2303">
        <v>11016</v>
      </c>
      <c r="H2303">
        <v>17798804</v>
      </c>
      <c r="I2303">
        <v>5601</v>
      </c>
      <c r="J2303">
        <v>4</v>
      </c>
    </row>
    <row r="2304" spans="1:10" x14ac:dyDescent="0.25">
      <c r="A2304" t="s">
        <v>27</v>
      </c>
      <c r="B2304" s="1" t="str">
        <f>HYPERLINK("http://google.cm","google.cm")</f>
        <v>google.cm</v>
      </c>
      <c r="C2304" t="s">
        <v>541</v>
      </c>
      <c r="D2304" t="s">
        <v>900</v>
      </c>
      <c r="E2304">
        <v>9387</v>
      </c>
      <c r="F2304">
        <v>1.3000149896790499E-6</v>
      </c>
      <c r="G2304">
        <v>29885</v>
      </c>
      <c r="H2304">
        <v>17593272</v>
      </c>
      <c r="I2304">
        <v>9865</v>
      </c>
      <c r="J2304">
        <v>4</v>
      </c>
    </row>
    <row r="2305" spans="1:10" x14ac:dyDescent="0.25">
      <c r="A2305" t="s">
        <v>27</v>
      </c>
      <c r="B2305" s="1" t="str">
        <f>HYPERLINK("http://google.cn","google.cn")</f>
        <v>google.cn</v>
      </c>
      <c r="C2305" t="s">
        <v>431</v>
      </c>
      <c r="D2305" t="s">
        <v>812</v>
      </c>
      <c r="E2305">
        <v>854</v>
      </c>
      <c r="F2305">
        <v>3.19580387470494E-5</v>
      </c>
      <c r="G2305">
        <v>918</v>
      </c>
      <c r="H2305">
        <v>18000062</v>
      </c>
      <c r="I2305">
        <v>3691</v>
      </c>
      <c r="J2305">
        <v>4</v>
      </c>
    </row>
    <row r="2306" spans="1:10" x14ac:dyDescent="0.25">
      <c r="A2306" t="s">
        <v>27</v>
      </c>
      <c r="B2306" s="1" t="str">
        <f>HYPERLINK("http://google.com.co","google.com.co")</f>
        <v>google.com.co</v>
      </c>
      <c r="C2306" t="s">
        <v>432</v>
      </c>
      <c r="E2306">
        <v>3779</v>
      </c>
      <c r="F2306">
        <v>2.71972173844062E-6</v>
      </c>
      <c r="G2306">
        <v>14025</v>
      </c>
      <c r="H2306">
        <v>17815200</v>
      </c>
      <c r="I2306">
        <v>5395</v>
      </c>
      <c r="J2306">
        <v>4</v>
      </c>
    </row>
    <row r="2307" spans="1:10" x14ac:dyDescent="0.25">
      <c r="A2307" t="s">
        <v>27</v>
      </c>
      <c r="B2307" s="1" t="str">
        <f>HYPERLINK("http://google.co","google.co")</f>
        <v>google.co</v>
      </c>
      <c r="C2307" t="s">
        <v>432</v>
      </c>
      <c r="E2307">
        <v>90786</v>
      </c>
      <c r="F2307">
        <v>2.0635015882659101E-7</v>
      </c>
      <c r="G2307">
        <v>183973</v>
      </c>
      <c r="H2307">
        <v>17153236</v>
      </c>
      <c r="I2307">
        <v>51566</v>
      </c>
      <c r="J2307">
        <v>4</v>
      </c>
    </row>
    <row r="2308" spans="1:10" x14ac:dyDescent="0.25">
      <c r="A2308" t="s">
        <v>27</v>
      </c>
      <c r="B2308" s="1" t="str">
        <f>HYPERLINK("http://googleadwords.co","googleadwords.co")</f>
        <v>googleadwords.co</v>
      </c>
      <c r="C2308" t="s">
        <v>432</v>
      </c>
      <c r="F2308">
        <v>1.9627159131349802E-8</v>
      </c>
      <c r="G2308">
        <v>2723049</v>
      </c>
      <c r="H2308">
        <v>14119736</v>
      </c>
      <c r="I2308">
        <v>2482314</v>
      </c>
      <c r="J2308">
        <v>6</v>
      </c>
    </row>
    <row r="2309" spans="1:10" x14ac:dyDescent="0.25">
      <c r="A2309" t="s">
        <v>27</v>
      </c>
      <c r="B2309" s="1" t="str">
        <f>HYPERLINK("http://tenor.co","tenor.co")</f>
        <v>tenor.co</v>
      </c>
      <c r="C2309" t="s">
        <v>432</v>
      </c>
      <c r="E2309">
        <v>11548</v>
      </c>
      <c r="F2309">
        <v>8.6871991830194203E-7</v>
      </c>
      <c r="G2309">
        <v>46072</v>
      </c>
      <c r="H2309">
        <v>17044222</v>
      </c>
      <c r="I2309">
        <v>78105</v>
      </c>
      <c r="J2309">
        <v>6</v>
      </c>
    </row>
    <row r="2310" spans="1:10" x14ac:dyDescent="0.25">
      <c r="A2310" t="s">
        <v>27</v>
      </c>
      <c r="B2310" s="1" t="str">
        <f>HYPERLINK("http://wing.co","wing.co")</f>
        <v>wing.co</v>
      </c>
      <c r="C2310" t="s">
        <v>432</v>
      </c>
      <c r="F2310">
        <v>6.9307300436445697E-9</v>
      </c>
      <c r="G2310">
        <v>12523387</v>
      </c>
      <c r="H2310">
        <v>11156712</v>
      </c>
      <c r="I2310">
        <v>31658388</v>
      </c>
      <c r="J2310">
        <v>4</v>
      </c>
    </row>
    <row r="2311" spans="1:10" x14ac:dyDescent="0.25">
      <c r="A2311" t="s">
        <v>27</v>
      </c>
      <c r="B2311" s="1" t="str">
        <f>HYPERLINK("http://youtube.co","youtube.co")</f>
        <v>youtube.co</v>
      </c>
      <c r="C2311" t="s">
        <v>432</v>
      </c>
      <c r="E2311">
        <v>122208</v>
      </c>
      <c r="F2311">
        <v>1.8825844703373499E-7</v>
      </c>
      <c r="G2311">
        <v>204667</v>
      </c>
      <c r="H2311">
        <v>17134766</v>
      </c>
      <c r="I2311">
        <v>55573</v>
      </c>
      <c r="J2311">
        <v>5</v>
      </c>
    </row>
    <row r="2312" spans="1:10" x14ac:dyDescent="0.25">
      <c r="A2312" t="s">
        <v>27</v>
      </c>
      <c r="B2312" s="1" t="str">
        <f>HYPERLINK("http://10teva.com","10teva.com")</f>
        <v>10teva.com</v>
      </c>
      <c r="C2312" t="s">
        <v>433</v>
      </c>
      <c r="F2312">
        <v>5.0443997690044899E-9</v>
      </c>
      <c r="G2312">
        <v>28345390</v>
      </c>
      <c r="H2312">
        <v>13360964</v>
      </c>
      <c r="I2312">
        <v>10527599</v>
      </c>
      <c r="J2312">
        <v>6</v>
      </c>
    </row>
    <row r="2313" spans="1:10" x14ac:dyDescent="0.25">
      <c r="A2313" t="s">
        <v>27</v>
      </c>
      <c r="B2313" s="1" t="str">
        <f>HYPERLINK("http://africaconnected.com","africaconnected.com")</f>
        <v>africaconnected.com</v>
      </c>
      <c r="C2313" t="s">
        <v>433</v>
      </c>
      <c r="F2313">
        <v>8.2751245215071604E-9</v>
      </c>
      <c r="G2313">
        <v>9316428</v>
      </c>
      <c r="H2313">
        <v>14119709</v>
      </c>
      <c r="I2313">
        <v>2656904</v>
      </c>
      <c r="J2313">
        <v>5</v>
      </c>
    </row>
    <row r="2314" spans="1:10" x14ac:dyDescent="0.25">
      <c r="A2314" t="s">
        <v>27</v>
      </c>
      <c r="B2314" s="1" t="str">
        <f>HYPERLINK("http://aliagency.com","aliagency.com")</f>
        <v>aliagency.com</v>
      </c>
      <c r="C2314" t="s">
        <v>433</v>
      </c>
      <c r="F2314">
        <v>4.7239451747061202E-9</v>
      </c>
      <c r="G2314">
        <v>39666008</v>
      </c>
      <c r="H2314">
        <v>13933060</v>
      </c>
      <c r="I2314">
        <v>5602659</v>
      </c>
      <c r="J2314">
        <v>8</v>
      </c>
    </row>
    <row r="2315" spans="1:10" x14ac:dyDescent="0.25">
      <c r="A2315" t="s">
        <v>27</v>
      </c>
      <c r="B2315" s="1" t="str">
        <f>HYPERLINK("http://alooma.com","alooma.com")</f>
        <v>alooma.com</v>
      </c>
      <c r="C2315" t="s">
        <v>433</v>
      </c>
      <c r="E2315">
        <v>100779</v>
      </c>
      <c r="F2315">
        <v>2.0586082344583901E-7</v>
      </c>
      <c r="G2315">
        <v>184473</v>
      </c>
      <c r="H2315">
        <v>17175858</v>
      </c>
      <c r="I2315">
        <v>46418</v>
      </c>
      <c r="J2315">
        <v>4</v>
      </c>
    </row>
    <row r="2316" spans="1:10" x14ac:dyDescent="0.25">
      <c r="A2316" t="s">
        <v>27</v>
      </c>
      <c r="B2316" s="1" t="str">
        <f>HYPERLINK("http://anvato.com","anvato.com")</f>
        <v>anvato.com</v>
      </c>
      <c r="C2316" t="s">
        <v>433</v>
      </c>
      <c r="F2316">
        <v>6.99391774102304E-8</v>
      </c>
      <c r="G2316">
        <v>605951</v>
      </c>
      <c r="H2316">
        <v>17063370</v>
      </c>
      <c r="I2316">
        <v>73130</v>
      </c>
      <c r="J2316">
        <v>4</v>
      </c>
    </row>
    <row r="2317" spans="1:10" x14ac:dyDescent="0.25">
      <c r="A2317" t="s">
        <v>27</v>
      </c>
      <c r="B2317" s="1" t="str">
        <f>HYPERLINK("http://apigee.com","apigee.com")</f>
        <v>apigee.com</v>
      </c>
      <c r="C2317" t="s">
        <v>433</v>
      </c>
      <c r="E2317">
        <v>45652</v>
      </c>
      <c r="F2317">
        <v>2.49624568172629E-6</v>
      </c>
      <c r="G2317">
        <v>15016</v>
      </c>
      <c r="H2317">
        <v>17654834</v>
      </c>
      <c r="I2317">
        <v>8270</v>
      </c>
      <c r="J2317">
        <v>4</v>
      </c>
    </row>
    <row r="2318" spans="1:10" x14ac:dyDescent="0.25">
      <c r="A2318" t="s">
        <v>27</v>
      </c>
      <c r="B2318" s="1" t="str">
        <f>HYPERLINK("http://backdroid.com","backdroid.com")</f>
        <v>backdroid.com</v>
      </c>
      <c r="C2318" t="s">
        <v>433</v>
      </c>
      <c r="F2318">
        <v>1.43294108818084E-8</v>
      </c>
      <c r="G2318">
        <v>4081716</v>
      </c>
      <c r="H2318">
        <v>14614386</v>
      </c>
      <c r="I2318">
        <v>669833</v>
      </c>
      <c r="J2318">
        <v>5</v>
      </c>
    </row>
    <row r="2319" spans="1:10" x14ac:dyDescent="0.25">
      <c r="A2319" t="s">
        <v>27</v>
      </c>
      <c r="B2319" s="1" t="str">
        <f>HYPERLINK("http://bgiworldwide.com","bgiworldwide.com")</f>
        <v>bgiworldwide.com</v>
      </c>
      <c r="C2319" t="s">
        <v>433</v>
      </c>
      <c r="F2319">
        <v>1.0913550583374001E-8</v>
      </c>
      <c r="G2319">
        <v>5931903</v>
      </c>
      <c r="H2319">
        <v>13766852</v>
      </c>
      <c r="I2319">
        <v>6971387</v>
      </c>
      <c r="J2319">
        <v>5</v>
      </c>
    </row>
    <row r="2320" spans="1:10" x14ac:dyDescent="0.25">
      <c r="A2320" t="s">
        <v>27</v>
      </c>
      <c r="B2320" s="1" t="str">
        <f>HYPERLINK("http://greenapelife.blogspot.com","greenapelife.blogspot.com")</f>
        <v>greenapelife.blogspot.com</v>
      </c>
      <c r="C2320" t="s">
        <v>433</v>
      </c>
      <c r="J2320">
        <v>6</v>
      </c>
    </row>
    <row r="2321" spans="1:10" x14ac:dyDescent="0.25">
      <c r="A2321" t="s">
        <v>27</v>
      </c>
      <c r="B2321" s="1" t="str">
        <f>HYPERLINK("http://kompidark.blogspot.com","kompidark.blogspot.com")</f>
        <v>kompidark.blogspot.com</v>
      </c>
      <c r="C2321" t="s">
        <v>433</v>
      </c>
      <c r="J2321">
        <v>6</v>
      </c>
    </row>
    <row r="2322" spans="1:10" x14ac:dyDescent="0.25">
      <c r="A2322" t="s">
        <v>27</v>
      </c>
      <c r="B2322" s="1" t="str">
        <f>HYPERLINK("http://oyedad-seoneurons.blogspot.com","oyedad-seoneurons.blogspot.com")</f>
        <v>oyedad-seoneurons.blogspot.com</v>
      </c>
      <c r="C2322" t="s">
        <v>433</v>
      </c>
      <c r="J2322">
        <v>8</v>
      </c>
    </row>
    <row r="2323" spans="1:10" x14ac:dyDescent="0.25">
      <c r="A2323" t="s">
        <v>27</v>
      </c>
      <c r="B2323" s="1" t="str">
        <f>HYPERLINK("http://bufferbox.com","bufferbox.com")</f>
        <v>bufferbox.com</v>
      </c>
      <c r="C2323" t="s">
        <v>433</v>
      </c>
      <c r="F2323">
        <v>3.8930087130682602E-8</v>
      </c>
      <c r="G2323">
        <v>1324538</v>
      </c>
      <c r="H2323">
        <v>14885965</v>
      </c>
      <c r="I2323">
        <v>469524</v>
      </c>
      <c r="J2323">
        <v>3</v>
      </c>
    </row>
    <row r="2324" spans="1:10" x14ac:dyDescent="0.25">
      <c r="A2324" t="s">
        <v>27</v>
      </c>
      <c r="B2324" s="1" t="str">
        <f>HYPERLINK("http://calicolabs.com","calicolabs.com")</f>
        <v>calicolabs.com</v>
      </c>
      <c r="C2324" t="s">
        <v>433</v>
      </c>
      <c r="E2324">
        <v>247928</v>
      </c>
      <c r="F2324">
        <v>5.2478158519792603E-7</v>
      </c>
      <c r="G2324">
        <v>73277</v>
      </c>
      <c r="H2324">
        <v>15281085</v>
      </c>
      <c r="I2324">
        <v>387603</v>
      </c>
      <c r="J2324">
        <v>3</v>
      </c>
    </row>
    <row r="2325" spans="1:10" x14ac:dyDescent="0.25">
      <c r="A2325" t="s">
        <v>27</v>
      </c>
      <c r="B2325" s="1" t="str">
        <f>HYPERLINK("http://campotx.com","campotx.com")</f>
        <v>campotx.com</v>
      </c>
      <c r="C2325" t="s">
        <v>433</v>
      </c>
      <c r="F2325">
        <v>5.1339143373324302E-9</v>
      </c>
      <c r="G2325">
        <v>26382173</v>
      </c>
      <c r="H2325">
        <v>12211818</v>
      </c>
      <c r="I2325">
        <v>22983003</v>
      </c>
      <c r="J2325">
        <v>5</v>
      </c>
    </row>
    <row r="2326" spans="1:10" x14ac:dyDescent="0.25">
      <c r="A2326" t="s">
        <v>27</v>
      </c>
      <c r="B2326" s="1" t="str">
        <f>HYPERLINK("http://capitalg.com","capitalg.com")</f>
        <v>capitalg.com</v>
      </c>
      <c r="C2326" t="s">
        <v>433</v>
      </c>
      <c r="E2326">
        <v>575788</v>
      </c>
      <c r="F2326">
        <v>1.6366809247602801E-7</v>
      </c>
      <c r="G2326">
        <v>237159</v>
      </c>
      <c r="H2326">
        <v>14516225</v>
      </c>
      <c r="I2326">
        <v>811899</v>
      </c>
      <c r="J2326">
        <v>3</v>
      </c>
    </row>
    <row r="2327" spans="1:10" x14ac:dyDescent="0.25">
      <c r="A2327" t="s">
        <v>27</v>
      </c>
      <c r="B2327" s="1" t="str">
        <f>HYPERLINK("http://clbug.com","clbug.com")</f>
        <v>clbug.com</v>
      </c>
      <c r="C2327" t="s">
        <v>433</v>
      </c>
      <c r="F2327">
        <v>8.66381117891825E-9</v>
      </c>
      <c r="G2327">
        <v>8543064</v>
      </c>
      <c r="H2327">
        <v>12952930</v>
      </c>
      <c r="I2327">
        <v>13197927</v>
      </c>
      <c r="J2327">
        <v>6</v>
      </c>
    </row>
    <row r="2328" spans="1:10" x14ac:dyDescent="0.25">
      <c r="A2328" t="s">
        <v>27</v>
      </c>
      <c r="B2328" s="1" t="str">
        <f>HYPERLINK("http://coretantangan.com","coretantangan.com")</f>
        <v>coretantangan.com</v>
      </c>
      <c r="C2328" t="s">
        <v>433</v>
      </c>
      <c r="F2328">
        <v>4.45737696795701E-9</v>
      </c>
      <c r="G2328">
        <v>68614663</v>
      </c>
      <c r="H2328">
        <v>10720701</v>
      </c>
      <c r="I2328">
        <v>41864106</v>
      </c>
      <c r="J2328">
        <v>6</v>
      </c>
    </row>
    <row r="2329" spans="1:10" x14ac:dyDescent="0.25">
      <c r="A2329" t="s">
        <v>27</v>
      </c>
      <c r="B2329" s="1" t="str">
        <f>HYPERLINK("http://cultocervecero.com","cultocervecero.com")</f>
        <v>cultocervecero.com</v>
      </c>
      <c r="C2329" t="s">
        <v>433</v>
      </c>
      <c r="F2329">
        <v>4.7433632514736097E-9</v>
      </c>
      <c r="G2329">
        <v>38639333</v>
      </c>
      <c r="H2329">
        <v>10850213</v>
      </c>
      <c r="I2329">
        <v>36859064</v>
      </c>
      <c r="J2329">
        <v>6</v>
      </c>
    </row>
    <row r="2330" spans="1:10" x14ac:dyDescent="0.25">
      <c r="A2330" t="s">
        <v>27</v>
      </c>
      <c r="B2330" s="1" t="str">
        <f>HYPERLINK("http://deepmind.com","deepmind.com")</f>
        <v>deepmind.com</v>
      </c>
      <c r="C2330" t="s">
        <v>433</v>
      </c>
      <c r="E2330">
        <v>15200</v>
      </c>
      <c r="F2330">
        <v>9.5923714199593999E-6</v>
      </c>
      <c r="G2330">
        <v>3519</v>
      </c>
      <c r="H2330">
        <v>19037044</v>
      </c>
      <c r="I2330">
        <v>505</v>
      </c>
      <c r="J2330">
        <v>3</v>
      </c>
    </row>
    <row r="2331" spans="1:10" x14ac:dyDescent="0.25">
      <c r="A2331" t="s">
        <v>27</v>
      </c>
      <c r="B2331" s="1" t="str">
        <f>HYPERLINK("http://diandrablog.com","diandrablog.com")</f>
        <v>diandrablog.com</v>
      </c>
      <c r="C2331" t="s">
        <v>433</v>
      </c>
      <c r="F2331">
        <v>5.3044873895831199E-9</v>
      </c>
      <c r="G2331">
        <v>23426961</v>
      </c>
      <c r="H2331">
        <v>13273770</v>
      </c>
      <c r="I2331">
        <v>10944606</v>
      </c>
      <c r="J2331">
        <v>6</v>
      </c>
    </row>
    <row r="2332" spans="1:10" x14ac:dyDescent="0.25">
      <c r="A2332" t="s">
        <v>27</v>
      </c>
      <c r="B2332" s="1" t="str">
        <f>HYPERLINK("http://doubleclick.com","doubleclick.com")</f>
        <v>doubleclick.com</v>
      </c>
      <c r="C2332" t="s">
        <v>433</v>
      </c>
      <c r="E2332">
        <v>798</v>
      </c>
      <c r="F2332">
        <v>3.5046825370371502E-6</v>
      </c>
      <c r="G2332">
        <v>11654</v>
      </c>
      <c r="H2332">
        <v>17153338</v>
      </c>
      <c r="I2332">
        <v>51549</v>
      </c>
      <c r="J2332">
        <v>9</v>
      </c>
    </row>
    <row r="2333" spans="1:10" x14ac:dyDescent="0.25">
      <c r="A2333" t="s">
        <v>27</v>
      </c>
      <c r="B2333" s="1" t="str">
        <f>HYPERLINK("http://doubleclickbygoogle.com","doubleclickbygoogle.com")</f>
        <v>doubleclickbygoogle.com</v>
      </c>
      <c r="C2333" t="s">
        <v>433</v>
      </c>
      <c r="E2333">
        <v>55254</v>
      </c>
      <c r="F2333">
        <v>8.17138354394127E-6</v>
      </c>
      <c r="G2333">
        <v>4118</v>
      </c>
      <c r="H2333">
        <v>17625360</v>
      </c>
      <c r="I2333">
        <v>8985</v>
      </c>
      <c r="J2333">
        <v>4</v>
      </c>
    </row>
    <row r="2334" spans="1:10" x14ac:dyDescent="0.25">
      <c r="A2334" t="s">
        <v>27</v>
      </c>
      <c r="B2334" s="1" t="str">
        <f>HYPERLINK("http://dropcam.com","dropcam.com")</f>
        <v>dropcam.com</v>
      </c>
      <c r="C2334" t="s">
        <v>433</v>
      </c>
      <c r="E2334">
        <v>3751</v>
      </c>
      <c r="F2334">
        <v>2.5157798165034101E-7</v>
      </c>
      <c r="G2334">
        <v>148687</v>
      </c>
      <c r="H2334">
        <v>14716783</v>
      </c>
      <c r="I2334">
        <v>579928</v>
      </c>
      <c r="J2334">
        <v>3</v>
      </c>
    </row>
    <row r="2335" spans="1:10" x14ac:dyDescent="0.25">
      <c r="A2335" t="s">
        <v>27</v>
      </c>
      <c r="B2335" s="1" t="str">
        <f>HYPERLINK("http://fitbit.com","fitbit.com")</f>
        <v>fitbit.com</v>
      </c>
      <c r="C2335" t="s">
        <v>433</v>
      </c>
      <c r="E2335">
        <v>2078</v>
      </c>
      <c r="F2335">
        <v>9.4361697377601792E-6</v>
      </c>
      <c r="G2335">
        <v>3586</v>
      </c>
      <c r="H2335">
        <v>18386812</v>
      </c>
      <c r="I2335">
        <v>2033</v>
      </c>
      <c r="J2335">
        <v>4</v>
      </c>
    </row>
    <row r="2336" spans="1:10" x14ac:dyDescent="0.25">
      <c r="A2336" t="s">
        <v>27</v>
      </c>
      <c r="B2336" s="1" t="str">
        <f>HYPERLINK("http://foundrystack.com","foundrystack.com")</f>
        <v>foundrystack.com</v>
      </c>
      <c r="C2336" t="s">
        <v>433</v>
      </c>
      <c r="F2336">
        <v>4.5381499578592098E-9</v>
      </c>
      <c r="G2336">
        <v>53551655</v>
      </c>
      <c r="H2336">
        <v>12418086</v>
      </c>
      <c r="I2336">
        <v>18491211</v>
      </c>
      <c r="J2336">
        <v>6</v>
      </c>
    </row>
    <row r="2337" spans="1:10" x14ac:dyDescent="0.25">
      <c r="A2337" t="s">
        <v>27</v>
      </c>
      <c r="B2337" s="1" t="str">
        <f>HYPERLINK("http://getzseoservices.com","getzseoservices.com")</f>
        <v>getzseoservices.com</v>
      </c>
      <c r="C2337" t="s">
        <v>433</v>
      </c>
      <c r="F2337">
        <v>5.4670959296062998E-9</v>
      </c>
      <c r="G2337">
        <v>21277371</v>
      </c>
      <c r="H2337">
        <v>13763726</v>
      </c>
      <c r="I2337">
        <v>7727318</v>
      </c>
      <c r="J2337">
        <v>9</v>
      </c>
    </row>
    <row r="2338" spans="1:10" x14ac:dyDescent="0.25">
      <c r="A2338" t="s">
        <v>27</v>
      </c>
      <c r="B2338" s="1" t="str">
        <f>HYPERLINK("http://ginatstyle.com","ginatstyle.com")</f>
        <v>ginatstyle.com</v>
      </c>
      <c r="C2338" t="s">
        <v>433</v>
      </c>
      <c r="F2338">
        <v>4.44380395335525E-9</v>
      </c>
      <c r="G2338">
        <v>81775386</v>
      </c>
      <c r="H2338">
        <v>0</v>
      </c>
      <c r="I2338">
        <v>82231357</v>
      </c>
      <c r="J2338">
        <v>6</v>
      </c>
    </row>
    <row r="2339" spans="1:10" x14ac:dyDescent="0.25">
      <c r="A2339" t="s">
        <v>27</v>
      </c>
      <c r="B2339" s="1" t="str">
        <f>HYPERLINK("http://google.com","google.com")</f>
        <v>google.com</v>
      </c>
      <c r="C2339" t="s">
        <v>433</v>
      </c>
      <c r="E2339">
        <v>1</v>
      </c>
      <c r="F2339">
        <v>1.56920133012678E-2</v>
      </c>
      <c r="G2339">
        <v>2</v>
      </c>
      <c r="H2339">
        <v>29384286</v>
      </c>
      <c r="I2339">
        <v>3</v>
      </c>
      <c r="J2339">
        <v>3</v>
      </c>
    </row>
    <row r="2340" spans="1:10" x14ac:dyDescent="0.25">
      <c r="A2340" t="s">
        <v>27</v>
      </c>
      <c r="B2340" s="1" t="str">
        <f>HYPERLINK("http://googlepartnerteam.com","googlepartnerteam.com")</f>
        <v>googlepartnerteam.com</v>
      </c>
      <c r="C2340" t="s">
        <v>433</v>
      </c>
      <c r="F2340">
        <v>5.1483026883342798E-9</v>
      </c>
      <c r="G2340">
        <v>26115377</v>
      </c>
      <c r="H2340">
        <v>14071790</v>
      </c>
      <c r="I2340">
        <v>3484837</v>
      </c>
      <c r="J2340">
        <v>4</v>
      </c>
    </row>
    <row r="2341" spans="1:10" x14ac:dyDescent="0.25">
      <c r="A2341" t="s">
        <v>27</v>
      </c>
      <c r="B2341" s="1" t="str">
        <f>HYPERLINK("http://googleusercontent.com","googleusercontent.com")</f>
        <v>googleusercontent.com</v>
      </c>
      <c r="C2341" t="s">
        <v>433</v>
      </c>
      <c r="E2341">
        <v>53</v>
      </c>
      <c r="F2341">
        <v>1.67420176983908E-3</v>
      </c>
      <c r="G2341">
        <v>19</v>
      </c>
      <c r="H2341">
        <v>20346992</v>
      </c>
      <c r="I2341">
        <v>41</v>
      </c>
      <c r="J2341">
        <v>5</v>
      </c>
    </row>
    <row r="2342" spans="1:10" x14ac:dyDescent="0.25">
      <c r="A2342" t="s">
        <v>27</v>
      </c>
      <c r="B2342" s="1" t="str">
        <f>HYPERLINK("http://gstatic.com","gstatic.com")</f>
        <v>gstatic.com</v>
      </c>
      <c r="C2342" t="s">
        <v>433</v>
      </c>
      <c r="E2342">
        <v>148</v>
      </c>
      <c r="F2342">
        <v>4.1618635294170502E-3</v>
      </c>
      <c r="G2342">
        <v>10</v>
      </c>
      <c r="H2342">
        <v>23278606</v>
      </c>
      <c r="I2342">
        <v>11</v>
      </c>
      <c r="J2342">
        <v>5</v>
      </c>
    </row>
    <row r="2343" spans="1:10" x14ac:dyDescent="0.25">
      <c r="A2343" t="s">
        <v>27</v>
      </c>
      <c r="B2343" s="1" t="str">
        <f>HYPERLINK("http://gv.com","gv.com")</f>
        <v>gv.com</v>
      </c>
      <c r="C2343" t="s">
        <v>433</v>
      </c>
      <c r="E2343">
        <v>50390</v>
      </c>
      <c r="F2343">
        <v>2.6049065613099698E-6</v>
      </c>
      <c r="G2343">
        <v>14550</v>
      </c>
      <c r="H2343">
        <v>17495506</v>
      </c>
      <c r="I2343">
        <v>13905</v>
      </c>
      <c r="J2343">
        <v>3</v>
      </c>
    </row>
    <row r="2344" spans="1:10" x14ac:dyDescent="0.25">
      <c r="A2344" t="s">
        <v>27</v>
      </c>
      <c r="B2344" s="1" t="str">
        <f>HYPERLINK("http://hanakatova.com","hanakatova.com")</f>
        <v>hanakatova.com</v>
      </c>
      <c r="C2344" t="s">
        <v>433</v>
      </c>
      <c r="F2344">
        <v>4.7289719640619702E-9</v>
      </c>
      <c r="G2344">
        <v>39396410</v>
      </c>
      <c r="H2344">
        <v>11966448</v>
      </c>
      <c r="I2344">
        <v>28772164</v>
      </c>
      <c r="J2344">
        <v>4</v>
      </c>
    </row>
    <row r="2345" spans="1:10" x14ac:dyDescent="0.25">
      <c r="A2345" t="s">
        <v>27</v>
      </c>
      <c r="B2345" s="1" t="str">
        <f>HYPERLINK("http://hlc-edu.com","hlc-edu.com")</f>
        <v>hlc-edu.com</v>
      </c>
      <c r="C2345" t="s">
        <v>433</v>
      </c>
      <c r="J2345">
        <v>6</v>
      </c>
    </row>
    <row r="2346" spans="1:10" x14ac:dyDescent="0.25">
      <c r="A2346" t="s">
        <v>27</v>
      </c>
      <c r="B2346" s="1" t="str">
        <f>HYPERLINK("http://isomorphiclabs.com","isomorphiclabs.com")</f>
        <v>isomorphiclabs.com</v>
      </c>
      <c r="C2346" t="s">
        <v>433</v>
      </c>
      <c r="F2346">
        <v>2.3560203636959199E-7</v>
      </c>
      <c r="G2346">
        <v>159027</v>
      </c>
      <c r="H2346">
        <v>17146054</v>
      </c>
      <c r="I2346">
        <v>53033</v>
      </c>
      <c r="J2346">
        <v>3</v>
      </c>
    </row>
    <row r="2347" spans="1:10" x14ac:dyDescent="0.25">
      <c r="A2347" t="s">
        <v>27</v>
      </c>
      <c r="B2347" s="1" t="str">
        <f>HYPERLINK("http://itasoftware.com","itasoftware.com")</f>
        <v>itasoftware.com</v>
      </c>
      <c r="C2347" t="s">
        <v>433</v>
      </c>
      <c r="E2347">
        <v>71184</v>
      </c>
      <c r="F2347">
        <v>5.0812859189472599E-7</v>
      </c>
      <c r="G2347">
        <v>75373</v>
      </c>
      <c r="H2347">
        <v>17283282</v>
      </c>
      <c r="I2347">
        <v>29797</v>
      </c>
      <c r="J2347">
        <v>4</v>
      </c>
    </row>
    <row r="2348" spans="1:10" x14ac:dyDescent="0.25">
      <c r="A2348" t="s">
        <v>27</v>
      </c>
      <c r="B2348" s="1" t="str">
        <f>HYPERLINK("http://jual-rebanamarawis.com","jual-rebanamarawis.com")</f>
        <v>jual-rebanamarawis.com</v>
      </c>
      <c r="C2348" t="s">
        <v>433</v>
      </c>
      <c r="F2348">
        <v>6.6361903862666803E-9</v>
      </c>
      <c r="G2348">
        <v>13536162</v>
      </c>
      <c r="H2348">
        <v>13763886</v>
      </c>
      <c r="I2348">
        <v>7519406</v>
      </c>
      <c r="J2348">
        <v>8</v>
      </c>
    </row>
    <row r="2349" spans="1:10" x14ac:dyDescent="0.25">
      <c r="A2349" t="s">
        <v>27</v>
      </c>
      <c r="B2349" s="1" t="str">
        <f>HYPERLINK("http://jualmarching-drumband.com","jualmarching-drumband.com")</f>
        <v>jualmarching-drumband.com</v>
      </c>
      <c r="C2349" t="s">
        <v>433</v>
      </c>
      <c r="F2349">
        <v>5.3141560395923297E-9</v>
      </c>
      <c r="G2349">
        <v>23290845</v>
      </c>
      <c r="H2349">
        <v>10669323</v>
      </c>
      <c r="I2349">
        <v>42995243</v>
      </c>
      <c r="J2349">
        <v>8</v>
      </c>
    </row>
    <row r="2350" spans="1:10" x14ac:dyDescent="0.25">
      <c r="A2350" t="s">
        <v>27</v>
      </c>
      <c r="B2350" s="1" t="str">
        <f>HYPERLINK("http://kaddex.com","kaddex.com")</f>
        <v>kaddex.com</v>
      </c>
      <c r="C2350" t="s">
        <v>433</v>
      </c>
      <c r="E2350">
        <v>236012</v>
      </c>
      <c r="F2350">
        <v>5.1193747883084897E-8</v>
      </c>
      <c r="G2350">
        <v>894788</v>
      </c>
      <c r="H2350">
        <v>16776663</v>
      </c>
      <c r="I2350">
        <v>218509</v>
      </c>
      <c r="J2350">
        <v>8</v>
      </c>
    </row>
    <row r="2351" spans="1:10" x14ac:dyDescent="0.25">
      <c r="A2351" t="s">
        <v>27</v>
      </c>
      <c r="B2351" s="1" t="str">
        <f>HYPERLINK("http://kaggle.com","kaggle.com")</f>
        <v>kaggle.com</v>
      </c>
      <c r="C2351" t="s">
        <v>433</v>
      </c>
      <c r="E2351">
        <v>3110</v>
      </c>
      <c r="F2351">
        <v>1.16717085080434E-5</v>
      </c>
      <c r="G2351">
        <v>2942</v>
      </c>
      <c r="H2351">
        <v>18993384</v>
      </c>
      <c r="I2351">
        <v>544</v>
      </c>
      <c r="J2351">
        <v>3</v>
      </c>
    </row>
    <row r="2352" spans="1:10" x14ac:dyDescent="0.25">
      <c r="A2352" t="s">
        <v>27</v>
      </c>
      <c r="B2352" s="1" t="str">
        <f>HYPERLINK("http://katanasforsale.com","katanasforsale.com")</f>
        <v>katanasforsale.com</v>
      </c>
      <c r="C2352" t="s">
        <v>433</v>
      </c>
      <c r="E2352">
        <v>901790</v>
      </c>
      <c r="F2352">
        <v>3.3552755732947999E-8</v>
      </c>
      <c r="G2352">
        <v>1540990</v>
      </c>
      <c r="H2352">
        <v>14096758</v>
      </c>
      <c r="I2352">
        <v>2724151</v>
      </c>
      <c r="J2352">
        <v>4</v>
      </c>
    </row>
    <row r="2353" spans="1:10" x14ac:dyDescent="0.25">
      <c r="A2353" t="s">
        <v>27</v>
      </c>
      <c r="B2353" s="1" t="str">
        <f>HYPERLINK("http://latentlogic.com","latentlogic.com")</f>
        <v>latentlogic.com</v>
      </c>
      <c r="C2353" t="s">
        <v>433</v>
      </c>
      <c r="F2353">
        <v>1.24215390559801E-8</v>
      </c>
      <c r="G2353">
        <v>4927789</v>
      </c>
      <c r="H2353">
        <v>13729228</v>
      </c>
      <c r="I2353">
        <v>9459012</v>
      </c>
      <c r="J2353">
        <v>6</v>
      </c>
    </row>
    <row r="2354" spans="1:10" x14ac:dyDescent="0.25">
      <c r="A2354" t="s">
        <v>27</v>
      </c>
      <c r="B2354" s="1" t="str">
        <f>HYPERLINK("http://leafletcorp.com","leafletcorp.com")</f>
        <v>leafletcorp.com</v>
      </c>
      <c r="C2354" t="s">
        <v>433</v>
      </c>
      <c r="F2354">
        <v>2.0384707696516499E-8</v>
      </c>
      <c r="G2354">
        <v>2601893</v>
      </c>
      <c r="H2354">
        <v>13815654</v>
      </c>
      <c r="I2354">
        <v>6166787</v>
      </c>
      <c r="J2354">
        <v>8</v>
      </c>
    </row>
    <row r="2355" spans="1:10" x14ac:dyDescent="0.25">
      <c r="A2355" t="s">
        <v>27</v>
      </c>
      <c r="B2355" s="1" t="str">
        <f>HYPERLINK("http://liftware.com","liftware.com")</f>
        <v>liftware.com</v>
      </c>
      <c r="C2355" t="s">
        <v>433</v>
      </c>
      <c r="E2355">
        <v>621342</v>
      </c>
      <c r="F2355">
        <v>1.7746284873466999E-7</v>
      </c>
      <c r="G2355">
        <v>217922</v>
      </c>
      <c r="H2355">
        <v>16939618</v>
      </c>
      <c r="I2355">
        <v>113256</v>
      </c>
      <c r="J2355">
        <v>4</v>
      </c>
    </row>
    <row r="2356" spans="1:10" x14ac:dyDescent="0.25">
      <c r="A2356" t="s">
        <v>27</v>
      </c>
      <c r="B2356" s="1" t="str">
        <f>HYPERLINK("http://makanipower.com","makanipower.com")</f>
        <v>makanipower.com</v>
      </c>
      <c r="C2356" t="s">
        <v>433</v>
      </c>
      <c r="F2356">
        <v>6.77013666491472E-8</v>
      </c>
      <c r="G2356">
        <v>630802</v>
      </c>
      <c r="H2356">
        <v>14563101</v>
      </c>
      <c r="I2356">
        <v>743047</v>
      </c>
      <c r="J2356">
        <v>3</v>
      </c>
    </row>
    <row r="2357" spans="1:10" x14ac:dyDescent="0.25">
      <c r="A2357" t="s">
        <v>27</v>
      </c>
      <c r="B2357" s="1" t="str">
        <f>HYPERLINK("http://masavoi.com","masavoi.com")</f>
        <v>masavoi.com</v>
      </c>
      <c r="C2357" t="s">
        <v>433</v>
      </c>
      <c r="F2357">
        <v>5.1644571242425802E-9</v>
      </c>
      <c r="G2357">
        <v>25820339</v>
      </c>
      <c r="H2357">
        <v>10759026</v>
      </c>
      <c r="I2357">
        <v>39666633</v>
      </c>
      <c r="J2357">
        <v>4</v>
      </c>
    </row>
    <row r="2358" spans="1:10" x14ac:dyDescent="0.25">
      <c r="A2358" t="s">
        <v>27</v>
      </c>
      <c r="B2358" s="1" t="str">
        <f>HYPERLINK("http://mashbasar.com","mashbasar.com")</f>
        <v>mashbasar.com</v>
      </c>
      <c r="C2358" t="s">
        <v>433</v>
      </c>
      <c r="F2358">
        <v>4.6616668233349201E-9</v>
      </c>
      <c r="G2358">
        <v>43416803</v>
      </c>
      <c r="H2358">
        <v>10867146</v>
      </c>
      <c r="I2358">
        <v>36555555</v>
      </c>
      <c r="J2358">
        <v>4</v>
      </c>
    </row>
    <row r="2359" spans="1:10" x14ac:dyDescent="0.25">
      <c r="A2359" t="s">
        <v>27</v>
      </c>
      <c r="B2359" s="1" t="str">
        <f>HYPERLINK("http://mayomo.com","mayomo.com")</f>
        <v>mayomo.com</v>
      </c>
      <c r="C2359" t="s">
        <v>433</v>
      </c>
      <c r="F2359">
        <v>1.6892471756394501E-8</v>
      </c>
      <c r="G2359">
        <v>3309780</v>
      </c>
      <c r="H2359">
        <v>14239823</v>
      </c>
      <c r="I2359">
        <v>1507603</v>
      </c>
      <c r="J2359">
        <v>9</v>
      </c>
    </row>
    <row r="2360" spans="1:10" x14ac:dyDescent="0.25">
      <c r="A2360" t="s">
        <v>27</v>
      </c>
      <c r="B2360" s="1" t="str">
        <f>HYPERLINK("http://medsper.com","medsper.com")</f>
        <v>medsper.com</v>
      </c>
      <c r="C2360" t="s">
        <v>433</v>
      </c>
      <c r="F2360">
        <v>4.5693484184834298E-9</v>
      </c>
      <c r="G2360">
        <v>50252045</v>
      </c>
      <c r="H2360">
        <v>10360147</v>
      </c>
      <c r="I2360">
        <v>55228552</v>
      </c>
      <c r="J2360">
        <v>6</v>
      </c>
    </row>
    <row r="2361" spans="1:10" x14ac:dyDescent="0.25">
      <c r="A2361" t="s">
        <v>27</v>
      </c>
      <c r="B2361" s="1" t="str">
        <f>HYPERLINK("http://menifah.com","menifah.com")</f>
        <v>menifah.com</v>
      </c>
      <c r="C2361" t="s">
        <v>433</v>
      </c>
      <c r="F2361">
        <v>4.5901663640705004E-9</v>
      </c>
      <c r="G2361">
        <v>48393361</v>
      </c>
      <c r="H2361">
        <v>10720888</v>
      </c>
      <c r="I2361">
        <v>41828605</v>
      </c>
      <c r="J2361">
        <v>6</v>
      </c>
    </row>
    <row r="2362" spans="1:10" x14ac:dyDescent="0.25">
      <c r="A2362" t="s">
        <v>27</v>
      </c>
      <c r="B2362" s="1" t="str">
        <f>HYPERLINK("http://neptrendsng.com","neptrendsng.com")</f>
        <v>neptrendsng.com</v>
      </c>
      <c r="C2362" t="s">
        <v>433</v>
      </c>
      <c r="F2362">
        <v>4.44380395335525E-9</v>
      </c>
      <c r="G2362">
        <v>82782329</v>
      </c>
      <c r="H2362">
        <v>0</v>
      </c>
      <c r="I2362">
        <v>83465510</v>
      </c>
      <c r="J2362">
        <v>8</v>
      </c>
    </row>
    <row r="2363" spans="1:10" x14ac:dyDescent="0.25">
      <c r="A2363" t="s">
        <v>27</v>
      </c>
      <c r="B2363" s="1" t="str">
        <f>HYPERLINK("http://nest.com","nest.com")</f>
        <v>nest.com</v>
      </c>
      <c r="C2363" t="s">
        <v>433</v>
      </c>
      <c r="E2363">
        <v>552</v>
      </c>
      <c r="F2363">
        <v>4.6553281930311397E-6</v>
      </c>
      <c r="G2363">
        <v>7553</v>
      </c>
      <c r="H2363">
        <v>17995270</v>
      </c>
      <c r="I2363">
        <v>3717</v>
      </c>
      <c r="J2363">
        <v>3</v>
      </c>
    </row>
    <row r="2364" spans="1:10" x14ac:dyDescent="0.25">
      <c r="A2364" t="s">
        <v>27</v>
      </c>
      <c r="B2364" s="1" t="str">
        <f>HYPERLINK("http://on2.com","on2.com")</f>
        <v>on2.com</v>
      </c>
      <c r="C2364" t="s">
        <v>433</v>
      </c>
      <c r="E2364">
        <v>487637</v>
      </c>
      <c r="F2364">
        <v>3.9991996050542499E-7</v>
      </c>
      <c r="G2364">
        <v>93848</v>
      </c>
      <c r="H2364">
        <v>15133969</v>
      </c>
      <c r="I2364">
        <v>401921</v>
      </c>
      <c r="J2364">
        <v>4</v>
      </c>
    </row>
    <row r="2365" spans="1:10" x14ac:dyDescent="0.25">
      <c r="A2365" t="s">
        <v>27</v>
      </c>
      <c r="B2365" s="1" t="str">
        <f>HYPERLINK("http://ornagolan.com","ornagolan.com")</f>
        <v>ornagolan.com</v>
      </c>
      <c r="C2365" t="s">
        <v>433</v>
      </c>
      <c r="F2365">
        <v>4.4438097996714899E-9</v>
      </c>
      <c r="G2365">
        <v>79675589</v>
      </c>
      <c r="H2365">
        <v>9692421</v>
      </c>
      <c r="I2365">
        <v>63506415</v>
      </c>
      <c r="J2365">
        <v>6</v>
      </c>
    </row>
    <row r="2366" spans="1:10" x14ac:dyDescent="0.25">
      <c r="A2366" t="s">
        <v>27</v>
      </c>
      <c r="B2366" s="1" t="str">
        <f>HYPERLINK("http://owlchemylabs.com","owlchemylabs.com")</f>
        <v>owlchemylabs.com</v>
      </c>
      <c r="C2366" t="s">
        <v>433</v>
      </c>
      <c r="E2366">
        <v>687441</v>
      </c>
      <c r="F2366">
        <v>8.3182573510676797E-7</v>
      </c>
      <c r="G2366">
        <v>47646</v>
      </c>
      <c r="H2366">
        <v>17133332</v>
      </c>
      <c r="I2366">
        <v>55937</v>
      </c>
      <c r="J2366">
        <v>3</v>
      </c>
    </row>
    <row r="2367" spans="1:10" x14ac:dyDescent="0.25">
      <c r="A2367" t="s">
        <v>27</v>
      </c>
      <c r="B2367" s="1" t="str">
        <f>HYPERLINK("http://oysterbooks.com","oysterbooks.com")</f>
        <v>oysterbooks.com</v>
      </c>
      <c r="C2367" t="s">
        <v>433</v>
      </c>
      <c r="E2367">
        <v>472936</v>
      </c>
      <c r="F2367">
        <v>1.5637442230551601E-7</v>
      </c>
      <c r="G2367">
        <v>248367</v>
      </c>
      <c r="H2367">
        <v>15076847</v>
      </c>
      <c r="I2367">
        <v>410066</v>
      </c>
      <c r="J2367">
        <v>3</v>
      </c>
    </row>
    <row r="2368" spans="1:10" x14ac:dyDescent="0.25">
      <c r="A2368" t="s">
        <v>27</v>
      </c>
      <c r="B2368" s="1" t="str">
        <f>HYPERLINK("http://oystermural.com","oystermural.com")</f>
        <v>oystermural.com</v>
      </c>
      <c r="C2368" t="s">
        <v>433</v>
      </c>
      <c r="F2368">
        <v>4.6146539975042001E-9</v>
      </c>
      <c r="G2368">
        <v>46522313</v>
      </c>
      <c r="H2368">
        <v>6944346</v>
      </c>
      <c r="I2368">
        <v>77046955</v>
      </c>
      <c r="J2368">
        <v>7</v>
      </c>
    </row>
    <row r="2369" spans="1:10" x14ac:dyDescent="0.25">
      <c r="A2369" t="s">
        <v>27</v>
      </c>
      <c r="B2369" s="1" t="str">
        <f>HYPERLINK("http://pooq.com","pooq.com")</f>
        <v>pooq.com</v>
      </c>
      <c r="C2369" t="s">
        <v>433</v>
      </c>
      <c r="E2369">
        <v>902177</v>
      </c>
      <c r="F2369">
        <v>1.22334757958767E-8</v>
      </c>
      <c r="G2369">
        <v>5031528</v>
      </c>
      <c r="H2369">
        <v>13964589</v>
      </c>
      <c r="I2369">
        <v>4093455</v>
      </c>
      <c r="J2369">
        <v>5</v>
      </c>
    </row>
    <row r="2370" spans="1:10" x14ac:dyDescent="0.25">
      <c r="A2370" t="s">
        <v>27</v>
      </c>
      <c r="B2370" s="1" t="str">
        <f>HYPERLINK("http://probender.com","probender.com")</f>
        <v>probender.com</v>
      </c>
      <c r="C2370" t="s">
        <v>433</v>
      </c>
      <c r="F2370">
        <v>4.5455023198224602E-9</v>
      </c>
      <c r="G2370">
        <v>52677839</v>
      </c>
      <c r="H2370">
        <v>10811195</v>
      </c>
      <c r="I2370">
        <v>37840978</v>
      </c>
      <c r="J2370">
        <v>6</v>
      </c>
    </row>
    <row r="2371" spans="1:10" x14ac:dyDescent="0.25">
      <c r="A2371" t="s">
        <v>27</v>
      </c>
      <c r="B2371" s="1" t="str">
        <f>HYPERLINK("http://procutcnc.com","procutcnc.com")</f>
        <v>procutcnc.com</v>
      </c>
      <c r="C2371" t="s">
        <v>433</v>
      </c>
      <c r="F2371">
        <v>4.85608926140659E-9</v>
      </c>
      <c r="G2371">
        <v>33939045</v>
      </c>
      <c r="H2371">
        <v>12185252</v>
      </c>
      <c r="I2371">
        <v>23691783</v>
      </c>
      <c r="J2371">
        <v>6</v>
      </c>
    </row>
    <row r="2372" spans="1:10" x14ac:dyDescent="0.25">
      <c r="A2372" t="s">
        <v>27</v>
      </c>
      <c r="B2372" s="1" t="str">
        <f>HYPERLINK("http://prodevconsultsph.com","prodevconsultsph.com")</f>
        <v>prodevconsultsph.com</v>
      </c>
      <c r="C2372" t="s">
        <v>433</v>
      </c>
      <c r="F2372">
        <v>5.2507268936651696E-9</v>
      </c>
      <c r="G2372">
        <v>24246237</v>
      </c>
      <c r="H2372">
        <v>12071617</v>
      </c>
      <c r="I2372">
        <v>26757806</v>
      </c>
      <c r="J2372">
        <v>4</v>
      </c>
    </row>
    <row r="2373" spans="1:10" x14ac:dyDescent="0.25">
      <c r="A2373" t="s">
        <v>27</v>
      </c>
      <c r="B2373" s="1" t="str">
        <f>HYPERLINK("http://pyra.com","pyra.com")</f>
        <v>pyra.com</v>
      </c>
      <c r="C2373" t="s">
        <v>433</v>
      </c>
      <c r="F2373">
        <v>4.91709992911904E-8</v>
      </c>
      <c r="G2373">
        <v>941596</v>
      </c>
      <c r="H2373">
        <v>14605438</v>
      </c>
      <c r="I2373">
        <v>682011</v>
      </c>
      <c r="J2373">
        <v>4</v>
      </c>
    </row>
    <row r="2374" spans="1:10" x14ac:dyDescent="0.25">
      <c r="A2374" t="s">
        <v>27</v>
      </c>
      <c r="B2374" s="1" t="str">
        <f>HYPERLINK("http://rightsflow.com","rightsflow.com")</f>
        <v>rightsflow.com</v>
      </c>
      <c r="C2374" t="s">
        <v>433</v>
      </c>
      <c r="F2374">
        <v>1.89597882385535E-8</v>
      </c>
      <c r="G2374">
        <v>2842805</v>
      </c>
      <c r="H2374">
        <v>14511626</v>
      </c>
      <c r="I2374">
        <v>820972</v>
      </c>
      <c r="J2374">
        <v>4</v>
      </c>
    </row>
    <row r="2375" spans="1:10" x14ac:dyDescent="0.25">
      <c r="A2375" t="s">
        <v>27</v>
      </c>
      <c r="B2375" s="1" t="str">
        <f>HYPERLINK("http://rinatiacbd.com","rinatiacbd.com")</f>
        <v>rinatiacbd.com</v>
      </c>
      <c r="C2375" t="s">
        <v>433</v>
      </c>
      <c r="F2375">
        <v>4.44380395335525E-9</v>
      </c>
      <c r="G2375">
        <v>83208243</v>
      </c>
      <c r="H2375">
        <v>0</v>
      </c>
      <c r="I2375">
        <v>83982762</v>
      </c>
      <c r="J2375">
        <v>4</v>
      </c>
    </row>
    <row r="2376" spans="1:10" x14ac:dyDescent="0.25">
      <c r="A2376" t="s">
        <v>27</v>
      </c>
      <c r="B2376" s="1" t="str">
        <f>HYPERLINK("http://sakassport.com","sakassport.com")</f>
        <v>sakassport.com</v>
      </c>
      <c r="C2376" t="s">
        <v>433</v>
      </c>
      <c r="F2376">
        <v>4.5948933016647496E-9</v>
      </c>
      <c r="G2376">
        <v>48009998</v>
      </c>
      <c r="H2376">
        <v>1.0003663</v>
      </c>
      <c r="I2376">
        <v>79023348</v>
      </c>
      <c r="J2376">
        <v>8</v>
      </c>
    </row>
    <row r="2377" spans="1:10" x14ac:dyDescent="0.25">
      <c r="A2377" t="s">
        <v>27</v>
      </c>
      <c r="B2377" s="1" t="str">
        <f>HYPERLINK("http://seoindia4u.com","seoindia4u.com")</f>
        <v>seoindia4u.com</v>
      </c>
      <c r="C2377" t="s">
        <v>433</v>
      </c>
      <c r="F2377">
        <v>5.0945211417196399E-9</v>
      </c>
      <c r="G2377">
        <v>27193180</v>
      </c>
      <c r="H2377">
        <v>13765516</v>
      </c>
      <c r="I2377">
        <v>7095778</v>
      </c>
      <c r="J2377">
        <v>9</v>
      </c>
    </row>
    <row r="2378" spans="1:10" x14ac:dyDescent="0.25">
      <c r="A2378" t="s">
        <v>27</v>
      </c>
      <c r="B2378" s="1" t="str">
        <f>HYPERLINK("http://snobmakeup.com","snobmakeup.com")</f>
        <v>snobmakeup.com</v>
      </c>
      <c r="C2378" t="s">
        <v>433</v>
      </c>
      <c r="F2378">
        <v>4.44380395335525E-9</v>
      </c>
      <c r="G2378">
        <v>83457503</v>
      </c>
      <c r="H2378">
        <v>0</v>
      </c>
      <c r="I2378">
        <v>84286630</v>
      </c>
      <c r="J2378">
        <v>8</v>
      </c>
    </row>
    <row r="2379" spans="1:10" x14ac:dyDescent="0.25">
      <c r="A2379" t="s">
        <v>27</v>
      </c>
      <c r="B2379" s="1" t="str">
        <f>HYPERLINK("http://songza.com","songza.com")</f>
        <v>songza.com</v>
      </c>
      <c r="C2379" t="s">
        <v>433</v>
      </c>
      <c r="E2379">
        <v>167551</v>
      </c>
      <c r="F2379">
        <v>2.7276788980157602E-7</v>
      </c>
      <c r="G2379">
        <v>136386</v>
      </c>
      <c r="H2379">
        <v>15226374</v>
      </c>
      <c r="I2379">
        <v>392672</v>
      </c>
      <c r="J2379">
        <v>3</v>
      </c>
    </row>
    <row r="2380" spans="1:10" x14ac:dyDescent="0.25">
      <c r="A2380" t="s">
        <v>27</v>
      </c>
      <c r="B2380" s="1" t="str">
        <f>HYPERLINK("http://tagteambackagain.com","tagteambackagain.com")</f>
        <v>tagteambackagain.com</v>
      </c>
      <c r="C2380" t="s">
        <v>433</v>
      </c>
      <c r="F2380">
        <v>1.3755937108654001E-8</v>
      </c>
      <c r="G2380">
        <v>4298709</v>
      </c>
      <c r="H2380">
        <v>13830188</v>
      </c>
      <c r="I2380">
        <v>6110608</v>
      </c>
      <c r="J2380">
        <v>8</v>
      </c>
    </row>
    <row r="2381" spans="1:10" x14ac:dyDescent="0.25">
      <c r="A2381" t="s">
        <v>27</v>
      </c>
      <c r="B2381" s="1" t="str">
        <f>HYPERLINK("http://technusm.com","technusm.com")</f>
        <v>technusm.com</v>
      </c>
      <c r="C2381" t="s">
        <v>433</v>
      </c>
      <c r="F2381">
        <v>4.4520636005792402E-9</v>
      </c>
      <c r="G2381">
        <v>70824011</v>
      </c>
      <c r="H2381">
        <v>10157454</v>
      </c>
      <c r="I2381">
        <v>59400324</v>
      </c>
      <c r="J2381">
        <v>8</v>
      </c>
    </row>
    <row r="2382" spans="1:10" x14ac:dyDescent="0.25">
      <c r="A2382" t="s">
        <v>27</v>
      </c>
      <c r="B2382" s="1" t="str">
        <f>HYPERLINK("http://tenor.com","tenor.com")</f>
        <v>tenor.com</v>
      </c>
      <c r="C2382" t="s">
        <v>433</v>
      </c>
      <c r="E2382">
        <v>1989</v>
      </c>
      <c r="F2382">
        <v>1.06314103952169E-5</v>
      </c>
      <c r="G2382">
        <v>3179</v>
      </c>
      <c r="H2382">
        <v>18268220</v>
      </c>
      <c r="I2382">
        <v>2475</v>
      </c>
      <c r="J2382">
        <v>4</v>
      </c>
    </row>
    <row r="2383" spans="1:10" x14ac:dyDescent="0.25">
      <c r="A2383" t="s">
        <v>27</v>
      </c>
      <c r="B2383" s="1" t="str">
        <f>HYPERLINK("http://thebrooklynboutique.com","thebrooklynboutique.com")</f>
        <v>thebrooklynboutique.com</v>
      </c>
      <c r="C2383" t="s">
        <v>433</v>
      </c>
      <c r="F2383">
        <v>4.4444422715856399E-9</v>
      </c>
      <c r="G2383">
        <v>76761051</v>
      </c>
      <c r="H2383">
        <v>9816950</v>
      </c>
      <c r="I2383">
        <v>62454762</v>
      </c>
      <c r="J2383">
        <v>6</v>
      </c>
    </row>
    <row r="2384" spans="1:10" x14ac:dyDescent="0.25">
      <c r="A2384" t="s">
        <v>27</v>
      </c>
      <c r="B2384" s="1" t="str">
        <f>HYPERLINK("http://thinkwithgoogle.com","thinkwithgoogle.com")</f>
        <v>thinkwithgoogle.com</v>
      </c>
      <c r="C2384" t="s">
        <v>433</v>
      </c>
      <c r="E2384">
        <v>3224</v>
      </c>
      <c r="F2384">
        <v>3.5656420047351603E-5</v>
      </c>
      <c r="G2384">
        <v>761</v>
      </c>
      <c r="H2384">
        <v>19029618</v>
      </c>
      <c r="I2384">
        <v>511</v>
      </c>
      <c r="J2384">
        <v>4</v>
      </c>
    </row>
    <row r="2385" spans="1:10" x14ac:dyDescent="0.25">
      <c r="A2385" t="s">
        <v>27</v>
      </c>
      <c r="B2385" s="1" t="str">
        <f>HYPERLINK("http://tryreason.com","tryreason.com")</f>
        <v>tryreason.com</v>
      </c>
      <c r="C2385" t="s">
        <v>433</v>
      </c>
      <c r="F2385">
        <v>4.69849245613265E-8</v>
      </c>
      <c r="G2385">
        <v>993443</v>
      </c>
      <c r="H2385">
        <v>13644871</v>
      </c>
      <c r="I2385">
        <v>9608762</v>
      </c>
      <c r="J2385">
        <v>5</v>
      </c>
    </row>
    <row r="2386" spans="1:10" x14ac:dyDescent="0.25">
      <c r="A2386" t="s">
        <v>27</v>
      </c>
      <c r="B2386" s="1" t="str">
        <f>HYPERLINK("http://verily.com","verily.com")</f>
        <v>verily.com</v>
      </c>
      <c r="C2386" t="s">
        <v>433</v>
      </c>
      <c r="E2386">
        <v>92068</v>
      </c>
      <c r="F2386">
        <v>9.0629304765365404E-7</v>
      </c>
      <c r="G2386">
        <v>43227</v>
      </c>
      <c r="H2386">
        <v>17334958</v>
      </c>
      <c r="I2386">
        <v>24486</v>
      </c>
      <c r="J2386">
        <v>6</v>
      </c>
    </row>
    <row r="2387" spans="1:10" x14ac:dyDescent="0.25">
      <c r="A2387" t="s">
        <v>27</v>
      </c>
      <c r="B2387" s="1" t="str">
        <f>HYPERLINK("http://waymo.com","waymo.com")</f>
        <v>waymo.com</v>
      </c>
      <c r="C2387" t="s">
        <v>433</v>
      </c>
      <c r="E2387">
        <v>35385</v>
      </c>
      <c r="F2387">
        <v>1.6312037576475401E-6</v>
      </c>
      <c r="G2387">
        <v>24193</v>
      </c>
      <c r="H2387">
        <v>17439646</v>
      </c>
      <c r="I2387">
        <v>16711</v>
      </c>
      <c r="J2387">
        <v>3</v>
      </c>
    </row>
    <row r="2388" spans="1:10" x14ac:dyDescent="0.25">
      <c r="A2388" t="s">
        <v>27</v>
      </c>
      <c r="B2388" s="1" t="str">
        <f>HYPERLINK("http://waze.com","waze.com")</f>
        <v>waze.com</v>
      </c>
      <c r="C2388" t="s">
        <v>433</v>
      </c>
      <c r="E2388">
        <v>2310</v>
      </c>
      <c r="F2388">
        <v>1.53411668280979E-5</v>
      </c>
      <c r="G2388">
        <v>2294</v>
      </c>
      <c r="H2388">
        <v>18244808</v>
      </c>
      <c r="I2388">
        <v>2558</v>
      </c>
      <c r="J2388">
        <v>4</v>
      </c>
    </row>
    <row r="2389" spans="1:10" x14ac:dyDescent="0.25">
      <c r="A2389" t="s">
        <v>27</v>
      </c>
      <c r="B2389" s="1" t="str">
        <f>HYPERLINK("http://webtutorialhindi.com","webtutorialhindi.com")</f>
        <v>webtutorialhindi.com</v>
      </c>
      <c r="C2389" t="s">
        <v>433</v>
      </c>
      <c r="F2389">
        <v>3.7673956630862999E-7</v>
      </c>
      <c r="G2389">
        <v>99366</v>
      </c>
      <c r="H2389">
        <v>14089339</v>
      </c>
      <c r="I2389">
        <v>2754393</v>
      </c>
      <c r="J2389">
        <v>6</v>
      </c>
    </row>
    <row r="2390" spans="1:10" x14ac:dyDescent="0.25">
      <c r="A2390" t="s">
        <v>27</v>
      </c>
      <c r="B2390" s="1" t="str">
        <f>HYPERLINK("http://wing.com","wing.com")</f>
        <v>wing.com</v>
      </c>
      <c r="C2390" t="s">
        <v>433</v>
      </c>
      <c r="E2390">
        <v>227080</v>
      </c>
      <c r="F2390">
        <v>2.8039771754955998E-7</v>
      </c>
      <c r="G2390">
        <v>132634</v>
      </c>
      <c r="H2390">
        <v>14742700</v>
      </c>
      <c r="I2390">
        <v>566566</v>
      </c>
      <c r="J2390">
        <v>3</v>
      </c>
    </row>
    <row r="2391" spans="1:10" x14ac:dyDescent="0.25">
      <c r="A2391" t="s">
        <v>27</v>
      </c>
      <c r="B2391" s="1" t="str">
        <f>HYPERLINK("http://wingaviation.com","wingaviation.com")</f>
        <v>wingaviation.com</v>
      </c>
      <c r="C2391" t="s">
        <v>433</v>
      </c>
      <c r="F2391">
        <v>1.13918790541599E-8</v>
      </c>
      <c r="G2391">
        <v>5579699</v>
      </c>
      <c r="H2391">
        <v>13098188</v>
      </c>
      <c r="I2391">
        <v>12114575</v>
      </c>
      <c r="J2391">
        <v>6</v>
      </c>
    </row>
    <row r="2392" spans="1:10" x14ac:dyDescent="0.25">
      <c r="A2392" t="s">
        <v>27</v>
      </c>
      <c r="B2392" s="1" t="str">
        <f>HYPERLINK("http://cloud.withgoogle.com","cloud.withgoogle.com")</f>
        <v>cloud.withgoogle.com</v>
      </c>
      <c r="C2392" t="s">
        <v>433</v>
      </c>
      <c r="J2392">
        <v>6</v>
      </c>
    </row>
    <row r="2393" spans="1:10" x14ac:dyDescent="0.25">
      <c r="A2393" t="s">
        <v>27</v>
      </c>
      <c r="B2393" s="1" t="str">
        <f>HYPERLINK("http://partnersdirectory.withgoogle.com","partnersdirectory.withgoogle.com")</f>
        <v>partnersdirectory.withgoogle.com</v>
      </c>
      <c r="C2393" t="s">
        <v>433</v>
      </c>
      <c r="J2393">
        <v>4</v>
      </c>
    </row>
    <row r="2394" spans="1:10" x14ac:dyDescent="0.25">
      <c r="A2394" t="s">
        <v>27</v>
      </c>
      <c r="B2394" s="1" t="str">
        <f>HYPERLINK("http://smallbusiness.withgoogle.com","smallbusiness.withgoogle.com")</f>
        <v>smallbusiness.withgoogle.com</v>
      </c>
      <c r="C2394" t="s">
        <v>433</v>
      </c>
      <c r="J2394">
        <v>6</v>
      </c>
    </row>
    <row r="2395" spans="1:10" x14ac:dyDescent="0.25">
      <c r="A2395" t="s">
        <v>27</v>
      </c>
      <c r="B2395" s="1" t="str">
        <f>HYPERLINK("http://wobily.com","wobily.com")</f>
        <v>wobily.com</v>
      </c>
      <c r="C2395" t="s">
        <v>433</v>
      </c>
      <c r="F2395">
        <v>2.1679363069368801E-8</v>
      </c>
      <c r="G2395">
        <v>2426327</v>
      </c>
      <c r="H2395">
        <v>11186217</v>
      </c>
      <c r="I2395">
        <v>31384067</v>
      </c>
      <c r="J2395">
        <v>6</v>
      </c>
    </row>
    <row r="2396" spans="1:10" x14ac:dyDescent="0.25">
      <c r="A2396" t="s">
        <v>27</v>
      </c>
      <c r="B2396" s="1" t="str">
        <f>HYPERLINK("http://youtube.com","youtube.com")</f>
        <v>youtube.com</v>
      </c>
      <c r="C2396" t="s">
        <v>433</v>
      </c>
      <c r="E2396">
        <v>3</v>
      </c>
      <c r="F2396">
        <v>5.9338833494973799E-3</v>
      </c>
      <c r="G2396">
        <v>6</v>
      </c>
      <c r="H2396">
        <v>26032564</v>
      </c>
      <c r="I2396">
        <v>4</v>
      </c>
      <c r="J2396">
        <v>4</v>
      </c>
    </row>
    <row r="2397" spans="1:10" x14ac:dyDescent="0.25">
      <c r="A2397" t="s">
        <v>27</v>
      </c>
      <c r="B2397" s="1" t="str">
        <f>HYPERLINK("http://youtubetheater.com","youtubetheater.com")</f>
        <v>youtubetheater.com</v>
      </c>
      <c r="C2397" t="s">
        <v>433</v>
      </c>
      <c r="F2397">
        <v>3.6223679022197201E-8</v>
      </c>
      <c r="G2397">
        <v>1439719</v>
      </c>
      <c r="H2397">
        <v>13942696</v>
      </c>
      <c r="I2397">
        <v>4326595</v>
      </c>
      <c r="J2397">
        <v>5</v>
      </c>
    </row>
    <row r="2398" spans="1:10" x14ac:dyDescent="0.25">
      <c r="A2398" t="s">
        <v>27</v>
      </c>
      <c r="B2398" s="1" t="str">
        <f>HYPERLINK("http://nothing.community","nothing.community")</f>
        <v>nothing.community</v>
      </c>
      <c r="C2398" t="s">
        <v>629</v>
      </c>
      <c r="F2398">
        <v>1.5593979486763901E-8</v>
      </c>
      <c r="G2398">
        <v>3656811</v>
      </c>
      <c r="H2398">
        <v>13192529</v>
      </c>
      <c r="I2398">
        <v>11591065</v>
      </c>
      <c r="J2398">
        <v>5</v>
      </c>
    </row>
    <row r="2399" spans="1:10" x14ac:dyDescent="0.25">
      <c r="A2399" t="s">
        <v>27</v>
      </c>
      <c r="B2399" s="1" t="str">
        <f>HYPERLINK("http://x.company","x.company")</f>
        <v>x.company</v>
      </c>
      <c r="C2399" t="s">
        <v>630</v>
      </c>
      <c r="E2399">
        <v>57892</v>
      </c>
      <c r="F2399">
        <v>1.3880634191019401E-6</v>
      </c>
      <c r="G2399">
        <v>28101</v>
      </c>
      <c r="H2399">
        <v>17527156</v>
      </c>
      <c r="I2399">
        <v>12202</v>
      </c>
      <c r="J2399">
        <v>3</v>
      </c>
    </row>
    <row r="2400" spans="1:10" x14ac:dyDescent="0.25">
      <c r="A2400" t="s">
        <v>27</v>
      </c>
      <c r="B2400" s="1" t="str">
        <f>HYPERLINK("http://google.co.cr","google.co.cr")</f>
        <v>google.co.cr</v>
      </c>
      <c r="C2400" t="s">
        <v>434</v>
      </c>
      <c r="D2400" t="s">
        <v>813</v>
      </c>
      <c r="E2400">
        <v>8369</v>
      </c>
      <c r="F2400">
        <v>1.3298484872098901E-6</v>
      </c>
      <c r="G2400">
        <v>29206</v>
      </c>
      <c r="H2400">
        <v>17699618</v>
      </c>
      <c r="I2400">
        <v>7331</v>
      </c>
      <c r="J2400">
        <v>4</v>
      </c>
    </row>
    <row r="2401" spans="1:10" x14ac:dyDescent="0.25">
      <c r="A2401" t="s">
        <v>27</v>
      </c>
      <c r="B2401" s="1" t="str">
        <f>HYPERLINK("http://google.com.cu","google.com.cu")</f>
        <v>google.com.cu</v>
      </c>
      <c r="C2401" t="s">
        <v>592</v>
      </c>
      <c r="D2401" t="s">
        <v>927</v>
      </c>
      <c r="E2401">
        <v>10377</v>
      </c>
      <c r="F2401">
        <v>1.30262485229249E-6</v>
      </c>
      <c r="G2401">
        <v>29812</v>
      </c>
      <c r="H2401">
        <v>17667030</v>
      </c>
      <c r="I2401">
        <v>8018</v>
      </c>
      <c r="J2401">
        <v>4</v>
      </c>
    </row>
    <row r="2402" spans="1:10" x14ac:dyDescent="0.25">
      <c r="A2402" t="s">
        <v>27</v>
      </c>
      <c r="B2402" s="1" t="str">
        <f>HYPERLINK("http://google.cv","google.cv")</f>
        <v>google.cv</v>
      </c>
      <c r="C2402" t="s">
        <v>631</v>
      </c>
      <c r="D2402" t="s">
        <v>953</v>
      </c>
      <c r="E2402">
        <v>12415</v>
      </c>
      <c r="F2402">
        <v>1.1277226363133399E-6</v>
      </c>
      <c r="G2402">
        <v>34203</v>
      </c>
      <c r="H2402">
        <v>17639110</v>
      </c>
      <c r="I2402">
        <v>8638</v>
      </c>
      <c r="J2402">
        <v>4</v>
      </c>
    </row>
    <row r="2403" spans="1:10" x14ac:dyDescent="0.25">
      <c r="A2403" t="s">
        <v>27</v>
      </c>
      <c r="B2403" s="1" t="str">
        <f>HYPERLINK("http://google.com.cy","google.com.cy")</f>
        <v>google.com.cy</v>
      </c>
      <c r="C2403" t="s">
        <v>610</v>
      </c>
      <c r="D2403" t="s">
        <v>937</v>
      </c>
      <c r="E2403">
        <v>11231</v>
      </c>
      <c r="F2403">
        <v>1.0721336545716E-6</v>
      </c>
      <c r="G2403">
        <v>35884</v>
      </c>
      <c r="H2403">
        <v>17472076</v>
      </c>
      <c r="I2403">
        <v>14958</v>
      </c>
      <c r="J2403">
        <v>4</v>
      </c>
    </row>
    <row r="2404" spans="1:10" x14ac:dyDescent="0.25">
      <c r="A2404" t="s">
        <v>27</v>
      </c>
      <c r="B2404" s="1" t="str">
        <f>HYPERLINK("http://google.cz","google.cz")</f>
        <v>google.cz</v>
      </c>
      <c r="C2404" t="s">
        <v>435</v>
      </c>
      <c r="D2404" t="s">
        <v>814</v>
      </c>
      <c r="E2404">
        <v>3295</v>
      </c>
      <c r="F2404">
        <v>1.8046509797651599E-5</v>
      </c>
      <c r="G2404">
        <v>1856</v>
      </c>
      <c r="H2404">
        <v>17887596</v>
      </c>
      <c r="I2404">
        <v>4590</v>
      </c>
      <c r="J2404">
        <v>4</v>
      </c>
    </row>
    <row r="2405" spans="1:10" x14ac:dyDescent="0.25">
      <c r="A2405" t="s">
        <v>27</v>
      </c>
      <c r="B2405" s="1" t="str">
        <f>HYPERLINK("http://google.de","google.de")</f>
        <v>google.de</v>
      </c>
      <c r="C2405" t="s">
        <v>436</v>
      </c>
      <c r="D2405" t="s">
        <v>815</v>
      </c>
      <c r="E2405">
        <v>310</v>
      </c>
      <c r="F2405">
        <v>3.11712477941763E-4</v>
      </c>
      <c r="G2405">
        <v>119</v>
      </c>
      <c r="H2405">
        <v>19143010</v>
      </c>
      <c r="I2405">
        <v>415</v>
      </c>
      <c r="J2405">
        <v>4</v>
      </c>
    </row>
    <row r="2406" spans="1:10" x14ac:dyDescent="0.25">
      <c r="A2406" t="s">
        <v>27</v>
      </c>
      <c r="B2406" s="1" t="str">
        <f>HYPERLINK("http://thinkwithgoogle.de","thinkwithgoogle.de")</f>
        <v>thinkwithgoogle.de</v>
      </c>
      <c r="C2406" t="s">
        <v>436</v>
      </c>
      <c r="D2406" t="s">
        <v>815</v>
      </c>
      <c r="F2406">
        <v>1.3126553371409399E-8</v>
      </c>
      <c r="G2406">
        <v>4571700</v>
      </c>
      <c r="H2406">
        <v>13020958</v>
      </c>
      <c r="I2406">
        <v>12708598</v>
      </c>
      <c r="J2406">
        <v>5</v>
      </c>
    </row>
    <row r="2407" spans="1:10" x14ac:dyDescent="0.25">
      <c r="A2407" t="s">
        <v>27</v>
      </c>
      <c r="B2407" s="1" t="str">
        <f>HYPERLINK("http://youtube.de","youtube.de")</f>
        <v>youtube.de</v>
      </c>
      <c r="C2407" t="s">
        <v>436</v>
      </c>
      <c r="D2407" t="s">
        <v>815</v>
      </c>
      <c r="E2407">
        <v>40103</v>
      </c>
      <c r="F2407">
        <v>2.3088558918699801E-6</v>
      </c>
      <c r="G2407">
        <v>16006</v>
      </c>
      <c r="H2407">
        <v>17379264</v>
      </c>
      <c r="I2407">
        <v>20727</v>
      </c>
      <c r="J2407">
        <v>5</v>
      </c>
    </row>
    <row r="2408" spans="1:10" x14ac:dyDescent="0.25">
      <c r="A2408" t="s">
        <v>27</v>
      </c>
      <c r="B2408" s="1" t="str">
        <f>HYPERLINK("http://google.dev","google.dev")</f>
        <v>google.dev</v>
      </c>
      <c r="C2408" t="s">
        <v>527</v>
      </c>
      <c r="F2408">
        <v>1.6086827968918001E-7</v>
      </c>
      <c r="G2408">
        <v>241315</v>
      </c>
      <c r="H2408">
        <v>16790536</v>
      </c>
      <c r="I2408">
        <v>211324</v>
      </c>
      <c r="J2408">
        <v>4</v>
      </c>
    </row>
    <row r="2409" spans="1:10" x14ac:dyDescent="0.25">
      <c r="A2409" t="s">
        <v>27</v>
      </c>
      <c r="B2409" s="1" t="str">
        <f>HYPERLINK("http://stadia.dev","stadia.dev")</f>
        <v>stadia.dev</v>
      </c>
      <c r="C2409" t="s">
        <v>527</v>
      </c>
      <c r="E2409">
        <v>447052</v>
      </c>
      <c r="F2409">
        <v>2.8218530905947002E-7</v>
      </c>
      <c r="G2409">
        <v>131788</v>
      </c>
      <c r="H2409">
        <v>17161134</v>
      </c>
      <c r="I2409">
        <v>49726</v>
      </c>
      <c r="J2409">
        <v>6</v>
      </c>
    </row>
    <row r="2410" spans="1:10" x14ac:dyDescent="0.25">
      <c r="A2410" t="s">
        <v>27</v>
      </c>
      <c r="B2410" s="1" t="str">
        <f>HYPERLINK("http://google.dj","google.dj")</f>
        <v>google.dj</v>
      </c>
      <c r="C2410" t="s">
        <v>632</v>
      </c>
      <c r="D2410" t="s">
        <v>954</v>
      </c>
      <c r="E2410">
        <v>12071</v>
      </c>
      <c r="F2410">
        <v>9.708562941583409E-7</v>
      </c>
      <c r="G2410">
        <v>39416</v>
      </c>
      <c r="H2410">
        <v>17673484</v>
      </c>
      <c r="I2410">
        <v>7872</v>
      </c>
      <c r="J2410">
        <v>4</v>
      </c>
    </row>
    <row r="2411" spans="1:10" x14ac:dyDescent="0.25">
      <c r="A2411" t="s">
        <v>27</v>
      </c>
      <c r="B2411" s="1" t="str">
        <f>HYPERLINK("http://google.dk","google.dk")</f>
        <v>google.dk</v>
      </c>
      <c r="C2411" t="s">
        <v>437</v>
      </c>
      <c r="D2411" t="s">
        <v>816</v>
      </c>
      <c r="E2411">
        <v>4392</v>
      </c>
      <c r="F2411">
        <v>1.0785118434454E-5</v>
      </c>
      <c r="G2411">
        <v>3139</v>
      </c>
      <c r="H2411">
        <v>18221050</v>
      </c>
      <c r="I2411">
        <v>2650</v>
      </c>
      <c r="J2411">
        <v>4</v>
      </c>
    </row>
    <row r="2412" spans="1:10" x14ac:dyDescent="0.25">
      <c r="A2412" t="s">
        <v>27</v>
      </c>
      <c r="B2412" s="1" t="str">
        <f>HYPERLINK("http://google.dm","google.dm")</f>
        <v>google.dm</v>
      </c>
      <c r="C2412" t="s">
        <v>633</v>
      </c>
      <c r="D2412" t="s">
        <v>955</v>
      </c>
      <c r="E2412">
        <v>11620</v>
      </c>
      <c r="F2412">
        <v>1.19321862233297E-6</v>
      </c>
      <c r="G2412">
        <v>32658</v>
      </c>
      <c r="H2412">
        <v>17745688</v>
      </c>
      <c r="I2412">
        <v>6436</v>
      </c>
      <c r="J2412">
        <v>4</v>
      </c>
    </row>
    <row r="2413" spans="1:10" x14ac:dyDescent="0.25">
      <c r="A2413" t="s">
        <v>27</v>
      </c>
      <c r="B2413" s="1" t="str">
        <f>HYPERLINK("http://google.com.do","google.com.do")</f>
        <v>google.com.do</v>
      </c>
      <c r="C2413" t="s">
        <v>438</v>
      </c>
      <c r="D2413" t="s">
        <v>817</v>
      </c>
      <c r="E2413">
        <v>7678</v>
      </c>
      <c r="F2413">
        <v>1.6717990492707099E-6</v>
      </c>
      <c r="G2413">
        <v>23733</v>
      </c>
      <c r="H2413">
        <v>17814772</v>
      </c>
      <c r="I2413">
        <v>5399</v>
      </c>
      <c r="J2413">
        <v>4</v>
      </c>
    </row>
    <row r="2414" spans="1:10" x14ac:dyDescent="0.25">
      <c r="A2414" t="s">
        <v>27</v>
      </c>
      <c r="B2414" s="1" t="str">
        <f>HYPERLINK("http://google.dz","google.dz")</f>
        <v>google.dz</v>
      </c>
      <c r="C2414" t="s">
        <v>439</v>
      </c>
      <c r="D2414" t="s">
        <v>818</v>
      </c>
      <c r="E2414">
        <v>4077</v>
      </c>
      <c r="F2414">
        <v>1.3463111015356999E-6</v>
      </c>
      <c r="G2414">
        <v>28875</v>
      </c>
      <c r="H2414">
        <v>17834428</v>
      </c>
      <c r="I2414">
        <v>5169</v>
      </c>
      <c r="J2414">
        <v>4</v>
      </c>
    </row>
    <row r="2415" spans="1:10" x14ac:dyDescent="0.25">
      <c r="A2415" t="s">
        <v>27</v>
      </c>
      <c r="B2415" s="1" t="str">
        <f>HYPERLINK("http://google.com.ec","google.com.ec")</f>
        <v>google.com.ec</v>
      </c>
      <c r="C2415" t="s">
        <v>440</v>
      </c>
      <c r="D2415" t="s">
        <v>819</v>
      </c>
      <c r="E2415">
        <v>6848</v>
      </c>
      <c r="F2415">
        <v>1.6372525593311301E-6</v>
      </c>
      <c r="G2415">
        <v>24115</v>
      </c>
      <c r="H2415">
        <v>17868704</v>
      </c>
      <c r="I2415">
        <v>4762</v>
      </c>
      <c r="J2415">
        <v>4</v>
      </c>
    </row>
    <row r="2416" spans="1:10" x14ac:dyDescent="0.25">
      <c r="A2416" t="s">
        <v>27</v>
      </c>
      <c r="B2416" s="1" t="str">
        <f>HYPERLINK("http://zoenet.com.ec","zoenet.com.ec")</f>
        <v>zoenet.com.ec</v>
      </c>
      <c r="C2416" t="s">
        <v>440</v>
      </c>
      <c r="D2416" t="s">
        <v>819</v>
      </c>
      <c r="F2416">
        <v>5.0408394939021796E-9</v>
      </c>
      <c r="G2416">
        <v>28424073</v>
      </c>
      <c r="H2416">
        <v>10355959</v>
      </c>
      <c r="I2416">
        <v>55661770</v>
      </c>
      <c r="J2416">
        <v>6</v>
      </c>
    </row>
    <row r="2417" spans="1:10" x14ac:dyDescent="0.25">
      <c r="A2417" t="s">
        <v>27</v>
      </c>
      <c r="B2417" s="1" t="str">
        <f>HYPERLINK("http://google.ec","google.ec")</f>
        <v>google.ec</v>
      </c>
      <c r="C2417" t="s">
        <v>440</v>
      </c>
      <c r="D2417" t="s">
        <v>819</v>
      </c>
      <c r="E2417">
        <v>468559</v>
      </c>
      <c r="F2417">
        <v>1.0501562434115099E-7</v>
      </c>
      <c r="G2417">
        <v>381576</v>
      </c>
      <c r="H2417">
        <v>16975032</v>
      </c>
      <c r="I2417">
        <v>100398</v>
      </c>
      <c r="J2417">
        <v>4</v>
      </c>
    </row>
    <row r="2418" spans="1:10" x14ac:dyDescent="0.25">
      <c r="A2418" t="s">
        <v>27</v>
      </c>
      <c r="B2418" s="1" t="str">
        <f>HYPERLINK("http://google.ee","google.ee")</f>
        <v>google.ee</v>
      </c>
      <c r="C2418" t="s">
        <v>441</v>
      </c>
      <c r="D2418" t="s">
        <v>820</v>
      </c>
      <c r="E2418">
        <v>8302</v>
      </c>
      <c r="F2418">
        <v>2.9166866314092798E-6</v>
      </c>
      <c r="G2418">
        <v>13260</v>
      </c>
      <c r="H2418">
        <v>17742588</v>
      </c>
      <c r="I2418">
        <v>6498</v>
      </c>
      <c r="J2418">
        <v>4</v>
      </c>
    </row>
    <row r="2419" spans="1:10" x14ac:dyDescent="0.25">
      <c r="A2419" t="s">
        <v>27</v>
      </c>
      <c r="B2419" s="1" t="str">
        <f>HYPERLINK("http://google.com.eg","google.com.eg")</f>
        <v>google.com.eg</v>
      </c>
      <c r="C2419" t="s">
        <v>442</v>
      </c>
      <c r="D2419" t="s">
        <v>821</v>
      </c>
      <c r="E2419">
        <v>1408</v>
      </c>
      <c r="F2419">
        <v>2.7834578955092501E-6</v>
      </c>
      <c r="G2419">
        <v>13778</v>
      </c>
      <c r="H2419">
        <v>17921432</v>
      </c>
      <c r="I2419">
        <v>4275</v>
      </c>
      <c r="J2419">
        <v>4</v>
      </c>
    </row>
    <row r="2420" spans="1:10" x14ac:dyDescent="0.25">
      <c r="A2420" t="s">
        <v>27</v>
      </c>
      <c r="B2420" s="1" t="str">
        <f>HYPERLINK("http://171.es","171.es")</f>
        <v>171.es</v>
      </c>
      <c r="C2420" t="s">
        <v>443</v>
      </c>
      <c r="D2420" t="s">
        <v>822</v>
      </c>
      <c r="F2420">
        <v>5.8057529645230803E-9</v>
      </c>
      <c r="G2420">
        <v>18043930</v>
      </c>
      <c r="H2420">
        <v>12681534</v>
      </c>
      <c r="I2420">
        <v>15482602</v>
      </c>
      <c r="J2420">
        <v>8</v>
      </c>
    </row>
    <row r="2421" spans="1:10" x14ac:dyDescent="0.25">
      <c r="A2421" t="s">
        <v>27</v>
      </c>
      <c r="B2421" s="1" t="str">
        <f>HYPERLINK("http://google.es","google.es")</f>
        <v>google.es</v>
      </c>
      <c r="C2421" t="s">
        <v>443</v>
      </c>
      <c r="D2421" t="s">
        <v>822</v>
      </c>
      <c r="E2421">
        <v>677</v>
      </c>
      <c r="F2421">
        <v>5.5064880188986102E-5</v>
      </c>
      <c r="G2421">
        <v>470</v>
      </c>
      <c r="H2421">
        <v>18510962</v>
      </c>
      <c r="I2421">
        <v>1544</v>
      </c>
      <c r="J2421">
        <v>4</v>
      </c>
    </row>
    <row r="2422" spans="1:10" x14ac:dyDescent="0.25">
      <c r="A2422" t="s">
        <v>27</v>
      </c>
      <c r="B2422" s="1" t="str">
        <f>HYPERLINK("http://google.com.et","google.com.et")</f>
        <v>google.com.et</v>
      </c>
      <c r="C2422" t="s">
        <v>635</v>
      </c>
      <c r="D2422" t="s">
        <v>956</v>
      </c>
      <c r="E2422">
        <v>10439</v>
      </c>
      <c r="F2422">
        <v>1.15614140635067E-6</v>
      </c>
      <c r="G2422">
        <v>33557</v>
      </c>
      <c r="H2422">
        <v>17651650</v>
      </c>
      <c r="I2422">
        <v>8343</v>
      </c>
      <c r="J2422">
        <v>4</v>
      </c>
    </row>
    <row r="2423" spans="1:10" x14ac:dyDescent="0.25">
      <c r="A2423" t="s">
        <v>27</v>
      </c>
      <c r="B2423" s="1" t="str">
        <f>HYPERLINK("http://admob.fi","admob.fi")</f>
        <v>admob.fi</v>
      </c>
      <c r="C2423" t="s">
        <v>445</v>
      </c>
      <c r="D2423" t="s">
        <v>823</v>
      </c>
      <c r="J2423">
        <v>4</v>
      </c>
    </row>
    <row r="2424" spans="1:10" x14ac:dyDescent="0.25">
      <c r="A2424" t="s">
        <v>27</v>
      </c>
      <c r="B2424" s="1" t="str">
        <f>HYPERLINK("http://adsense.fi","adsense.fi")</f>
        <v>adsense.fi</v>
      </c>
      <c r="C2424" t="s">
        <v>445</v>
      </c>
      <c r="D2424" t="s">
        <v>823</v>
      </c>
      <c r="J2424">
        <v>4</v>
      </c>
    </row>
    <row r="2425" spans="1:10" x14ac:dyDescent="0.25">
      <c r="A2425" t="s">
        <v>27</v>
      </c>
      <c r="B2425" s="1" t="str">
        <f>HYPERLINK("http://adsgoogle.fi","adsgoogle.fi")</f>
        <v>adsgoogle.fi</v>
      </c>
      <c r="C2425" t="s">
        <v>445</v>
      </c>
      <c r="D2425" t="s">
        <v>823</v>
      </c>
      <c r="J2425">
        <v>4</v>
      </c>
    </row>
    <row r="2426" spans="1:10" x14ac:dyDescent="0.25">
      <c r="A2426" t="s">
        <v>27</v>
      </c>
      <c r="B2426" s="1" t="str">
        <f>HYPERLINK("http://adwords.fi","adwords.fi")</f>
        <v>adwords.fi</v>
      </c>
      <c r="C2426" t="s">
        <v>445</v>
      </c>
      <c r="D2426" t="s">
        <v>823</v>
      </c>
      <c r="J2426">
        <v>4</v>
      </c>
    </row>
    <row r="2427" spans="1:10" x14ac:dyDescent="0.25">
      <c r="A2427" t="s">
        <v>27</v>
      </c>
      <c r="B2427" s="1" t="str">
        <f>HYPERLINK("http://appspot.fi","appspot.fi")</f>
        <v>appspot.fi</v>
      </c>
      <c r="C2427" t="s">
        <v>445</v>
      </c>
      <c r="D2427" t="s">
        <v>823</v>
      </c>
      <c r="F2427">
        <v>5.8437328246061699E-9</v>
      </c>
      <c r="G2427">
        <v>17754372</v>
      </c>
      <c r="H2427">
        <v>9755218</v>
      </c>
      <c r="I2427">
        <v>62951820</v>
      </c>
      <c r="J2427">
        <v>4</v>
      </c>
    </row>
    <row r="2428" spans="1:10" x14ac:dyDescent="0.25">
      <c r="A2428" t="s">
        <v>27</v>
      </c>
      <c r="B2428" s="1" t="str">
        <f>HYPERLINK("http://beatthatquote.fi","beatthatquote.fi")</f>
        <v>beatthatquote.fi</v>
      </c>
      <c r="C2428" t="s">
        <v>445</v>
      </c>
      <c r="D2428" t="s">
        <v>823</v>
      </c>
      <c r="J2428">
        <v>4</v>
      </c>
    </row>
    <row r="2429" spans="1:10" x14ac:dyDescent="0.25">
      <c r="A2429" t="s">
        <v>27</v>
      </c>
      <c r="B2429" s="1" t="str">
        <f>HYPERLINK("http://blogger.fi","blogger.fi")</f>
        <v>blogger.fi</v>
      </c>
      <c r="C2429" t="s">
        <v>445</v>
      </c>
      <c r="D2429" t="s">
        <v>823</v>
      </c>
      <c r="F2429">
        <v>4.5329453128699401E-9</v>
      </c>
      <c r="G2429">
        <v>54740188</v>
      </c>
      <c r="H2429">
        <v>10804872</v>
      </c>
      <c r="I2429">
        <v>38016492</v>
      </c>
      <c r="J2429">
        <v>4</v>
      </c>
    </row>
    <row r="2430" spans="1:10" x14ac:dyDescent="0.25">
      <c r="A2430" t="s">
        <v>27</v>
      </c>
      <c r="B2430" s="1" t="str">
        <f>HYPERLINK("http://chromebookpixel.fi","chromebookpixel.fi")</f>
        <v>chromebookpixel.fi</v>
      </c>
      <c r="C2430" t="s">
        <v>445</v>
      </c>
      <c r="D2430" t="s">
        <v>823</v>
      </c>
      <c r="J2430">
        <v>4</v>
      </c>
    </row>
    <row r="2431" spans="1:10" x14ac:dyDescent="0.25">
      <c r="A2431" t="s">
        <v>27</v>
      </c>
      <c r="B2431" s="1" t="str">
        <f>HYPERLINK("http://chromecast.fi","chromecast.fi")</f>
        <v>chromecast.fi</v>
      </c>
      <c r="C2431" t="s">
        <v>445</v>
      </c>
      <c r="D2431" t="s">
        <v>823</v>
      </c>
      <c r="J2431">
        <v>4</v>
      </c>
    </row>
    <row r="2432" spans="1:10" x14ac:dyDescent="0.25">
      <c r="A2432" t="s">
        <v>27</v>
      </c>
      <c r="B2432" s="1" t="str">
        <f>HYPERLINK("http://chromium.fi","chromium.fi")</f>
        <v>chromium.fi</v>
      </c>
      <c r="C2432" t="s">
        <v>445</v>
      </c>
      <c r="D2432" t="s">
        <v>823</v>
      </c>
      <c r="J2432">
        <v>4</v>
      </c>
    </row>
    <row r="2433" spans="1:10" x14ac:dyDescent="0.25">
      <c r="A2433" t="s">
        <v>27</v>
      </c>
      <c r="B2433" s="1" t="str">
        <f>HYPERLINK("http://designlamput.fi","designlamput.fi")</f>
        <v>designlamput.fi</v>
      </c>
      <c r="C2433" t="s">
        <v>445</v>
      </c>
      <c r="D2433" t="s">
        <v>823</v>
      </c>
      <c r="J2433">
        <v>4</v>
      </c>
    </row>
    <row r="2434" spans="1:10" x14ac:dyDescent="0.25">
      <c r="A2434" t="s">
        <v>27</v>
      </c>
      <c r="B2434" s="1" t="str">
        <f>HYPERLINK("http://domorewithgoogle.fi","domorewithgoogle.fi")</f>
        <v>domorewithgoogle.fi</v>
      </c>
      <c r="C2434" t="s">
        <v>445</v>
      </c>
      <c r="D2434" t="s">
        <v>823</v>
      </c>
      <c r="J2434">
        <v>4</v>
      </c>
    </row>
    <row r="2435" spans="1:10" x14ac:dyDescent="0.25">
      <c r="A2435" t="s">
        <v>27</v>
      </c>
      <c r="B2435" s="1" t="str">
        <f>HYPERLINK("http://drawelements.fi","drawelements.fi")</f>
        <v>drawelements.fi</v>
      </c>
      <c r="C2435" t="s">
        <v>445</v>
      </c>
      <c r="D2435" t="s">
        <v>823</v>
      </c>
      <c r="J2435">
        <v>4</v>
      </c>
    </row>
    <row r="2436" spans="1:10" x14ac:dyDescent="0.25">
      <c r="A2436" t="s">
        <v>27</v>
      </c>
      <c r="B2436" s="1" t="str">
        <f>HYPERLINK("http://froogle.fi","froogle.fi")</f>
        <v>froogle.fi</v>
      </c>
      <c r="C2436" t="s">
        <v>445</v>
      </c>
      <c r="D2436" t="s">
        <v>823</v>
      </c>
      <c r="J2436">
        <v>4</v>
      </c>
    </row>
    <row r="2437" spans="1:10" x14ac:dyDescent="0.25">
      <c r="A2437" t="s">
        <v>27</v>
      </c>
      <c r="B2437" s="1" t="str">
        <f>HYPERLINK("http://g-desktop.fi","g-desktop.fi")</f>
        <v>g-desktop.fi</v>
      </c>
      <c r="C2437" t="s">
        <v>445</v>
      </c>
      <c r="D2437" t="s">
        <v>823</v>
      </c>
      <c r="J2437">
        <v>4</v>
      </c>
    </row>
    <row r="2438" spans="1:10" x14ac:dyDescent="0.25">
      <c r="A2438" t="s">
        <v>27</v>
      </c>
      <c r="B2438" s="1" t="str">
        <f>HYPERLINK("http://gamut.fi","gamut.fi")</f>
        <v>gamut.fi</v>
      </c>
      <c r="C2438" t="s">
        <v>445</v>
      </c>
      <c r="D2438" t="s">
        <v>823</v>
      </c>
      <c r="J2438">
        <v>4</v>
      </c>
    </row>
    <row r="2439" spans="1:10" x14ac:dyDescent="0.25">
      <c r="A2439" t="s">
        <v>27</v>
      </c>
      <c r="B2439" s="1" t="str">
        <f>HYPERLINK("http://gbuzz.fi","gbuzz.fi")</f>
        <v>gbuzz.fi</v>
      </c>
      <c r="C2439" t="s">
        <v>445</v>
      </c>
      <c r="D2439" t="s">
        <v>823</v>
      </c>
      <c r="J2439">
        <v>4</v>
      </c>
    </row>
    <row r="2440" spans="1:10" x14ac:dyDescent="0.25">
      <c r="A2440" t="s">
        <v>27</v>
      </c>
      <c r="B2440" s="1" t="str">
        <f>HYPERLINK("http://gcp.fi","gcp.fi")</f>
        <v>gcp.fi</v>
      </c>
      <c r="C2440" t="s">
        <v>445</v>
      </c>
      <c r="D2440" t="s">
        <v>823</v>
      </c>
      <c r="J2440">
        <v>4</v>
      </c>
    </row>
    <row r="2441" spans="1:10" x14ac:dyDescent="0.25">
      <c r="A2441" t="s">
        <v>27</v>
      </c>
      <c r="B2441" s="1" t="str">
        <f>HYPERLINK("http://gdesktop.fi","gdesktop.fi")</f>
        <v>gdesktop.fi</v>
      </c>
      <c r="C2441" t="s">
        <v>445</v>
      </c>
      <c r="D2441" t="s">
        <v>823</v>
      </c>
      <c r="J2441">
        <v>4</v>
      </c>
    </row>
    <row r="2442" spans="1:10" x14ac:dyDescent="0.25">
      <c r="A2442" t="s">
        <v>27</v>
      </c>
      <c r="B2442" s="1" t="str">
        <f>HYPERLINK("http://getmobile.fi","getmobile.fi")</f>
        <v>getmobile.fi</v>
      </c>
      <c r="C2442" t="s">
        <v>445</v>
      </c>
      <c r="D2442" t="s">
        <v>823</v>
      </c>
      <c r="J2442">
        <v>4</v>
      </c>
    </row>
    <row r="2443" spans="1:10" x14ac:dyDescent="0.25">
      <c r="A2443" t="s">
        <v>27</v>
      </c>
      <c r="B2443" s="1" t="str">
        <f>HYPERLINK("http://gmail.fi","gmail.fi")</f>
        <v>gmail.fi</v>
      </c>
      <c r="C2443" t="s">
        <v>445</v>
      </c>
      <c r="D2443" t="s">
        <v>823</v>
      </c>
      <c r="F2443">
        <v>4.91679201021869E-9</v>
      </c>
      <c r="G2443">
        <v>31800586</v>
      </c>
      <c r="H2443">
        <v>8296296</v>
      </c>
      <c r="I2443">
        <v>74475943</v>
      </c>
      <c r="J2443">
        <v>4</v>
      </c>
    </row>
    <row r="2444" spans="1:10" x14ac:dyDescent="0.25">
      <c r="A2444" t="s">
        <v>27</v>
      </c>
      <c r="B2444" s="1" t="str">
        <f>HYPERLINK("http://gmailbuzz.fi","gmailbuzz.fi")</f>
        <v>gmailbuzz.fi</v>
      </c>
      <c r="C2444" t="s">
        <v>445</v>
      </c>
      <c r="D2444" t="s">
        <v>823</v>
      </c>
      <c r="J2444">
        <v>4</v>
      </c>
    </row>
    <row r="2445" spans="1:10" x14ac:dyDescent="0.25">
      <c r="A2445" t="s">
        <v>27</v>
      </c>
      <c r="B2445" s="1" t="str">
        <f>HYPERLINK("http://googel.fi","googel.fi")</f>
        <v>googel.fi</v>
      </c>
      <c r="C2445" t="s">
        <v>445</v>
      </c>
      <c r="D2445" t="s">
        <v>823</v>
      </c>
      <c r="F2445">
        <v>5.8646456263638197E-9</v>
      </c>
      <c r="G2445">
        <v>17605588</v>
      </c>
      <c r="H2445">
        <v>12593243</v>
      </c>
      <c r="I2445">
        <v>16386872</v>
      </c>
      <c r="J2445">
        <v>4</v>
      </c>
    </row>
    <row r="2446" spans="1:10" x14ac:dyDescent="0.25">
      <c r="A2446" t="s">
        <v>27</v>
      </c>
      <c r="B2446" s="1" t="str">
        <f>HYPERLINK("http://google.fi","google.fi")</f>
        <v>google.fi</v>
      </c>
      <c r="C2446" t="s">
        <v>445</v>
      </c>
      <c r="D2446" t="s">
        <v>823</v>
      </c>
      <c r="E2446">
        <v>4872</v>
      </c>
      <c r="F2446">
        <v>7.7248284365978599E-6</v>
      </c>
      <c r="G2446">
        <v>4354</v>
      </c>
      <c r="H2446">
        <v>18096820</v>
      </c>
      <c r="I2446">
        <v>3142</v>
      </c>
      <c r="J2446">
        <v>4</v>
      </c>
    </row>
    <row r="2447" spans="1:10" x14ac:dyDescent="0.25">
      <c r="A2447" t="s">
        <v>27</v>
      </c>
      <c r="B2447" s="1" t="str">
        <f>HYPERLINK("http://google-desktop.fi","google-desktop.fi")</f>
        <v>google-desktop.fi</v>
      </c>
      <c r="C2447" t="s">
        <v>445</v>
      </c>
      <c r="D2447" t="s">
        <v>823</v>
      </c>
      <c r="J2447">
        <v>4</v>
      </c>
    </row>
    <row r="2448" spans="1:10" x14ac:dyDescent="0.25">
      <c r="A2448" t="s">
        <v>27</v>
      </c>
      <c r="B2448" s="1" t="str">
        <f>HYPERLINK("http://google-kartat.fi","google-kartat.fi")</f>
        <v>google-kartat.fi</v>
      </c>
      <c r="C2448" t="s">
        <v>445</v>
      </c>
      <c r="D2448" t="s">
        <v>823</v>
      </c>
      <c r="J2448">
        <v>4</v>
      </c>
    </row>
    <row r="2449" spans="1:10" x14ac:dyDescent="0.25">
      <c r="A2449" t="s">
        <v>27</v>
      </c>
      <c r="B2449" s="1" t="str">
        <f>HYPERLINK("http://google-kartta.fi","google-kartta.fi")</f>
        <v>google-kartta.fi</v>
      </c>
      <c r="C2449" t="s">
        <v>445</v>
      </c>
      <c r="D2449" t="s">
        <v>823</v>
      </c>
      <c r="J2449">
        <v>4</v>
      </c>
    </row>
    <row r="2450" spans="1:10" x14ac:dyDescent="0.25">
      <c r="A2450" t="s">
        <v>27</v>
      </c>
      <c r="B2450" s="1" t="str">
        <f>HYPERLINK("http://google-karttoja.fi","google-karttoja.fi")</f>
        <v>google-karttoja.fi</v>
      </c>
      <c r="C2450" t="s">
        <v>445</v>
      </c>
      <c r="D2450" t="s">
        <v>823</v>
      </c>
      <c r="J2450">
        <v>4</v>
      </c>
    </row>
    <row r="2451" spans="1:10" x14ac:dyDescent="0.25">
      <c r="A2451" t="s">
        <v>27</v>
      </c>
      <c r="B2451" s="1" t="str">
        <f>HYPERLINK("http://google-map.fi","google-map.fi")</f>
        <v>google-map.fi</v>
      </c>
      <c r="C2451" t="s">
        <v>445</v>
      </c>
      <c r="D2451" t="s">
        <v>823</v>
      </c>
      <c r="J2451">
        <v>4</v>
      </c>
    </row>
    <row r="2452" spans="1:10" x14ac:dyDescent="0.25">
      <c r="A2452" t="s">
        <v>27</v>
      </c>
      <c r="B2452" s="1" t="str">
        <f>HYPERLINK("http://google-maps.fi","google-maps.fi")</f>
        <v>google-maps.fi</v>
      </c>
      <c r="C2452" t="s">
        <v>445</v>
      </c>
      <c r="D2452" t="s">
        <v>823</v>
      </c>
      <c r="J2452">
        <v>4</v>
      </c>
    </row>
    <row r="2453" spans="1:10" x14ac:dyDescent="0.25">
      <c r="A2453" t="s">
        <v>27</v>
      </c>
      <c r="B2453" s="1" t="str">
        <f>HYPERLINK("http://googleads.fi","googleads.fi")</f>
        <v>googleads.fi</v>
      </c>
      <c r="C2453" t="s">
        <v>445</v>
      </c>
      <c r="D2453" t="s">
        <v>823</v>
      </c>
      <c r="J2453">
        <v>4</v>
      </c>
    </row>
    <row r="2454" spans="1:10" x14ac:dyDescent="0.25">
      <c r="A2454" t="s">
        <v>27</v>
      </c>
      <c r="B2454" s="1" t="str">
        <f>HYPERLINK("http://googleanalytics.fi","googleanalytics.fi")</f>
        <v>googleanalytics.fi</v>
      </c>
      <c r="C2454" t="s">
        <v>445</v>
      </c>
      <c r="D2454" t="s">
        <v>823</v>
      </c>
      <c r="J2454">
        <v>4</v>
      </c>
    </row>
    <row r="2455" spans="1:10" x14ac:dyDescent="0.25">
      <c r="A2455" t="s">
        <v>27</v>
      </c>
      <c r="B2455" s="1" t="str">
        <f>HYPERLINK("http://googlebrowser.fi","googlebrowser.fi")</f>
        <v>googlebrowser.fi</v>
      </c>
      <c r="C2455" t="s">
        <v>445</v>
      </c>
      <c r="D2455" t="s">
        <v>823</v>
      </c>
      <c r="J2455">
        <v>4</v>
      </c>
    </row>
    <row r="2456" spans="1:10" x14ac:dyDescent="0.25">
      <c r="A2456" t="s">
        <v>27</v>
      </c>
      <c r="B2456" s="1" t="str">
        <f>HYPERLINK("http://googlebusiness.fi","googlebusiness.fi")</f>
        <v>googlebusiness.fi</v>
      </c>
      <c r="C2456" t="s">
        <v>445</v>
      </c>
      <c r="D2456" t="s">
        <v>823</v>
      </c>
      <c r="J2456">
        <v>4</v>
      </c>
    </row>
    <row r="2457" spans="1:10" x14ac:dyDescent="0.25">
      <c r="A2457" t="s">
        <v>27</v>
      </c>
      <c r="B2457" s="1" t="str">
        <f>HYPERLINK("http://googlebuzz.fi","googlebuzz.fi")</f>
        <v>googlebuzz.fi</v>
      </c>
      <c r="C2457" t="s">
        <v>445</v>
      </c>
      <c r="D2457" t="s">
        <v>823</v>
      </c>
      <c r="J2457">
        <v>4</v>
      </c>
    </row>
    <row r="2458" spans="1:10" x14ac:dyDescent="0.25">
      <c r="A2458" t="s">
        <v>27</v>
      </c>
      <c r="B2458" s="1" t="str">
        <f>HYPERLINK("http://googlecast.fi","googlecast.fi")</f>
        <v>googlecast.fi</v>
      </c>
      <c r="C2458" t="s">
        <v>445</v>
      </c>
      <c r="D2458" t="s">
        <v>823</v>
      </c>
      <c r="J2458">
        <v>4</v>
      </c>
    </row>
    <row r="2459" spans="1:10" x14ac:dyDescent="0.25">
      <c r="A2459" t="s">
        <v>27</v>
      </c>
      <c r="B2459" s="1" t="str">
        <f>HYPERLINK("http://googlechrome.fi","googlechrome.fi")</f>
        <v>googlechrome.fi</v>
      </c>
      <c r="C2459" t="s">
        <v>445</v>
      </c>
      <c r="D2459" t="s">
        <v>823</v>
      </c>
      <c r="J2459">
        <v>4</v>
      </c>
    </row>
    <row r="2460" spans="1:10" x14ac:dyDescent="0.25">
      <c r="A2460" t="s">
        <v>27</v>
      </c>
      <c r="B2460" s="1" t="str">
        <f>HYPERLINK("http://googlecloud.fi","googlecloud.fi")</f>
        <v>googlecloud.fi</v>
      </c>
      <c r="C2460" t="s">
        <v>445</v>
      </c>
      <c r="D2460" t="s">
        <v>823</v>
      </c>
      <c r="J2460">
        <v>4</v>
      </c>
    </row>
    <row r="2461" spans="1:10" x14ac:dyDescent="0.25">
      <c r="A2461" t="s">
        <v>27</v>
      </c>
      <c r="B2461" s="1" t="str">
        <f>HYPERLINK("http://googlecoronavirus.fi","googlecoronavirus.fi")</f>
        <v>googlecoronavirus.fi</v>
      </c>
      <c r="C2461" t="s">
        <v>445</v>
      </c>
      <c r="D2461" t="s">
        <v>823</v>
      </c>
      <c r="J2461">
        <v>4</v>
      </c>
    </row>
    <row r="2462" spans="1:10" x14ac:dyDescent="0.25">
      <c r="A2462" t="s">
        <v>27</v>
      </c>
      <c r="B2462" s="1" t="str">
        <f>HYPERLINK("http://googlecovid-19.fi","googlecovid-19.fi")</f>
        <v>googlecovid-19.fi</v>
      </c>
      <c r="C2462" t="s">
        <v>445</v>
      </c>
      <c r="D2462" t="s">
        <v>823</v>
      </c>
      <c r="J2462">
        <v>4</v>
      </c>
    </row>
    <row r="2463" spans="1:10" x14ac:dyDescent="0.25">
      <c r="A2463" t="s">
        <v>27</v>
      </c>
      <c r="B2463" s="1" t="str">
        <f>HYPERLINK("http://googlecovid19.fi","googlecovid19.fi")</f>
        <v>googlecovid19.fi</v>
      </c>
      <c r="C2463" t="s">
        <v>445</v>
      </c>
      <c r="D2463" t="s">
        <v>823</v>
      </c>
      <c r="J2463">
        <v>4</v>
      </c>
    </row>
    <row r="2464" spans="1:10" x14ac:dyDescent="0.25">
      <c r="A2464" t="s">
        <v>27</v>
      </c>
      <c r="B2464" s="1" t="str">
        <f>HYPERLINK("http://googled.fi","googled.fi")</f>
        <v>googled.fi</v>
      </c>
      <c r="C2464" t="s">
        <v>445</v>
      </c>
      <c r="D2464" t="s">
        <v>823</v>
      </c>
      <c r="J2464">
        <v>4</v>
      </c>
    </row>
    <row r="2465" spans="1:10" x14ac:dyDescent="0.25">
      <c r="A2465" t="s">
        <v>27</v>
      </c>
      <c r="B2465" s="1" t="str">
        <f>HYPERLINK("http://googledesktop.fi","googledesktop.fi")</f>
        <v>googledesktop.fi</v>
      </c>
      <c r="C2465" t="s">
        <v>445</v>
      </c>
      <c r="D2465" t="s">
        <v>823</v>
      </c>
      <c r="J2465">
        <v>4</v>
      </c>
    </row>
    <row r="2466" spans="1:10" x14ac:dyDescent="0.25">
      <c r="A2466" t="s">
        <v>27</v>
      </c>
      <c r="B2466" s="1" t="str">
        <f>HYPERLINK("http://googledrive.fi","googledrive.fi")</f>
        <v>googledrive.fi</v>
      </c>
      <c r="C2466" t="s">
        <v>445</v>
      </c>
      <c r="D2466" t="s">
        <v>823</v>
      </c>
      <c r="J2466">
        <v>4</v>
      </c>
    </row>
    <row r="2467" spans="1:10" x14ac:dyDescent="0.25">
      <c r="A2467" t="s">
        <v>27</v>
      </c>
      <c r="B2467" s="1" t="str">
        <f>HYPERLINK("http://googleearth.fi","googleearth.fi")</f>
        <v>googleearth.fi</v>
      </c>
      <c r="C2467" t="s">
        <v>445</v>
      </c>
      <c r="D2467" t="s">
        <v>823</v>
      </c>
      <c r="J2467">
        <v>4</v>
      </c>
    </row>
    <row r="2468" spans="1:10" x14ac:dyDescent="0.25">
      <c r="A2468" t="s">
        <v>27</v>
      </c>
      <c r="B2468" s="1" t="str">
        <f>HYPERLINK("http://googlefinance.fi","googlefinance.fi")</f>
        <v>googlefinance.fi</v>
      </c>
      <c r="C2468" t="s">
        <v>445</v>
      </c>
      <c r="D2468" t="s">
        <v>823</v>
      </c>
      <c r="J2468">
        <v>4</v>
      </c>
    </row>
    <row r="2469" spans="1:10" x14ac:dyDescent="0.25">
      <c r="A2469" t="s">
        <v>27</v>
      </c>
      <c r="B2469" s="1" t="str">
        <f>HYPERLINK("http://googleglass.fi","googleglass.fi")</f>
        <v>googleglass.fi</v>
      </c>
      <c r="C2469" t="s">
        <v>445</v>
      </c>
      <c r="D2469" t="s">
        <v>823</v>
      </c>
      <c r="J2469">
        <v>4</v>
      </c>
    </row>
    <row r="2470" spans="1:10" x14ac:dyDescent="0.25">
      <c r="A2470" t="s">
        <v>27</v>
      </c>
      <c r="B2470" s="1" t="str">
        <f>HYPERLINK("http://googleinstant.fi","googleinstant.fi")</f>
        <v>googleinstant.fi</v>
      </c>
      <c r="C2470" t="s">
        <v>445</v>
      </c>
      <c r="D2470" t="s">
        <v>823</v>
      </c>
      <c r="J2470">
        <v>4</v>
      </c>
    </row>
    <row r="2471" spans="1:10" x14ac:dyDescent="0.25">
      <c r="A2471" t="s">
        <v>27</v>
      </c>
      <c r="B2471" s="1" t="str">
        <f>HYPERLINK("http://googlekartat.fi","googlekartat.fi")</f>
        <v>googlekartat.fi</v>
      </c>
      <c r="C2471" t="s">
        <v>445</v>
      </c>
      <c r="D2471" t="s">
        <v>823</v>
      </c>
      <c r="J2471">
        <v>4</v>
      </c>
    </row>
    <row r="2472" spans="1:10" x14ac:dyDescent="0.25">
      <c r="A2472" t="s">
        <v>27</v>
      </c>
      <c r="B2472" s="1" t="str">
        <f>HYPERLINK("http://googlekartta.fi","googlekartta.fi")</f>
        <v>googlekartta.fi</v>
      </c>
      <c r="C2472" t="s">
        <v>445</v>
      </c>
      <c r="D2472" t="s">
        <v>823</v>
      </c>
      <c r="J2472">
        <v>4</v>
      </c>
    </row>
    <row r="2473" spans="1:10" x14ac:dyDescent="0.25">
      <c r="A2473" t="s">
        <v>27</v>
      </c>
      <c r="B2473" s="1" t="str">
        <f>HYPERLINK("http://googlekarttoja.fi","googlekarttoja.fi")</f>
        <v>googlekarttoja.fi</v>
      </c>
      <c r="C2473" t="s">
        <v>445</v>
      </c>
      <c r="D2473" t="s">
        <v>823</v>
      </c>
      <c r="J2473">
        <v>4</v>
      </c>
    </row>
    <row r="2474" spans="1:10" x14ac:dyDescent="0.25">
      <c r="A2474" t="s">
        <v>27</v>
      </c>
      <c r="B2474" s="1" t="str">
        <f>HYPERLINK("http://googlekoulutus.fi","googlekoulutus.fi")</f>
        <v>googlekoulutus.fi</v>
      </c>
      <c r="C2474" t="s">
        <v>445</v>
      </c>
      <c r="D2474" t="s">
        <v>823</v>
      </c>
      <c r="J2474">
        <v>4</v>
      </c>
    </row>
    <row r="2475" spans="1:10" x14ac:dyDescent="0.25">
      <c r="A2475" t="s">
        <v>27</v>
      </c>
      <c r="B2475" s="1" t="str">
        <f>HYPERLINK("http://googlemail.fi","googlemail.fi")</f>
        <v>googlemail.fi</v>
      </c>
      <c r="C2475" t="s">
        <v>445</v>
      </c>
      <c r="D2475" t="s">
        <v>823</v>
      </c>
      <c r="J2475">
        <v>4</v>
      </c>
    </row>
    <row r="2476" spans="1:10" x14ac:dyDescent="0.25">
      <c r="A2476" t="s">
        <v>27</v>
      </c>
      <c r="B2476" s="1" t="str">
        <f>HYPERLINK("http://googlemap.fi","googlemap.fi")</f>
        <v>googlemap.fi</v>
      </c>
      <c r="C2476" t="s">
        <v>445</v>
      </c>
      <c r="D2476" t="s">
        <v>823</v>
      </c>
      <c r="J2476">
        <v>4</v>
      </c>
    </row>
    <row r="2477" spans="1:10" x14ac:dyDescent="0.25">
      <c r="A2477" t="s">
        <v>27</v>
      </c>
      <c r="B2477" s="1" t="str">
        <f>HYPERLINK("http://googlemaps.fi","googlemaps.fi")</f>
        <v>googlemaps.fi</v>
      </c>
      <c r="C2477" t="s">
        <v>445</v>
      </c>
      <c r="D2477" t="s">
        <v>823</v>
      </c>
      <c r="E2477">
        <v>999567</v>
      </c>
      <c r="F2477">
        <v>1.80894143148607E-7</v>
      </c>
      <c r="G2477">
        <v>213550</v>
      </c>
      <c r="H2477">
        <v>13734608</v>
      </c>
      <c r="I2477">
        <v>9454746</v>
      </c>
      <c r="J2477">
        <v>4</v>
      </c>
    </row>
    <row r="2478" spans="1:10" x14ac:dyDescent="0.25">
      <c r="A2478" t="s">
        <v>27</v>
      </c>
      <c r="B2478" s="1" t="str">
        <f>HYPERLINK("http://googlen-kartat.fi","googlen-kartat.fi")</f>
        <v>googlen-kartat.fi</v>
      </c>
      <c r="C2478" t="s">
        <v>445</v>
      </c>
      <c r="D2478" t="s">
        <v>823</v>
      </c>
      <c r="J2478">
        <v>4</v>
      </c>
    </row>
    <row r="2479" spans="1:10" x14ac:dyDescent="0.25">
      <c r="A2479" t="s">
        <v>27</v>
      </c>
      <c r="B2479" s="1" t="str">
        <f>HYPERLINK("http://googlen-kartta.fi","googlen-kartta.fi")</f>
        <v>googlen-kartta.fi</v>
      </c>
      <c r="C2479" t="s">
        <v>445</v>
      </c>
      <c r="D2479" t="s">
        <v>823</v>
      </c>
      <c r="J2479">
        <v>4</v>
      </c>
    </row>
    <row r="2480" spans="1:10" x14ac:dyDescent="0.25">
      <c r="A2480" t="s">
        <v>27</v>
      </c>
      <c r="B2480" s="1" t="str">
        <f>HYPERLINK("http://googlenkartta.fi","googlenkartta.fi")</f>
        <v>googlenkartta.fi</v>
      </c>
      <c r="C2480" t="s">
        <v>445</v>
      </c>
      <c r="D2480" t="s">
        <v>823</v>
      </c>
      <c r="J2480">
        <v>4</v>
      </c>
    </row>
    <row r="2481" spans="1:10" x14ac:dyDescent="0.25">
      <c r="A2481" t="s">
        <v>27</v>
      </c>
      <c r="B2481" s="1" t="str">
        <f>HYPERLINK("http://googlenkarttoja.fi","googlenkarttoja.fi")</f>
        <v>googlenkarttoja.fi</v>
      </c>
      <c r="C2481" t="s">
        <v>445</v>
      </c>
      <c r="D2481" t="s">
        <v>823</v>
      </c>
      <c r="J2481">
        <v>4</v>
      </c>
    </row>
    <row r="2482" spans="1:10" x14ac:dyDescent="0.25">
      <c r="A2482" t="s">
        <v>27</v>
      </c>
      <c r="B2482" s="1" t="str">
        <f>HYPERLINK("http://googleoperationscenter.fi","googleoperationscenter.fi")</f>
        <v>googleoperationscenter.fi</v>
      </c>
      <c r="C2482" t="s">
        <v>445</v>
      </c>
      <c r="D2482" t="s">
        <v>823</v>
      </c>
      <c r="J2482">
        <v>4</v>
      </c>
    </row>
    <row r="2483" spans="1:10" x14ac:dyDescent="0.25">
      <c r="A2483" t="s">
        <v>27</v>
      </c>
      <c r="B2483" s="1" t="str">
        <f>HYPERLINK("http://googlepay.fi","googlepay.fi")</f>
        <v>googlepay.fi</v>
      </c>
      <c r="C2483" t="s">
        <v>445</v>
      </c>
      <c r="D2483" t="s">
        <v>823</v>
      </c>
      <c r="J2483">
        <v>4</v>
      </c>
    </row>
    <row r="2484" spans="1:10" x14ac:dyDescent="0.25">
      <c r="A2484" t="s">
        <v>27</v>
      </c>
      <c r="B2484" s="1" t="str">
        <f>HYPERLINK("http://googleplaces.fi","googleplaces.fi")</f>
        <v>googleplaces.fi</v>
      </c>
      <c r="C2484" t="s">
        <v>445</v>
      </c>
      <c r="D2484" t="s">
        <v>823</v>
      </c>
      <c r="J2484">
        <v>4</v>
      </c>
    </row>
    <row r="2485" spans="1:10" x14ac:dyDescent="0.25">
      <c r="A2485" t="s">
        <v>27</v>
      </c>
      <c r="B2485" s="1" t="str">
        <f>HYPERLINK("http://googleplay.fi","googleplay.fi")</f>
        <v>googleplay.fi</v>
      </c>
      <c r="C2485" t="s">
        <v>445</v>
      </c>
      <c r="D2485" t="s">
        <v>823</v>
      </c>
      <c r="J2485">
        <v>4</v>
      </c>
    </row>
    <row r="2486" spans="1:10" x14ac:dyDescent="0.25">
      <c r="A2486" t="s">
        <v>27</v>
      </c>
      <c r="B2486" s="1" t="str">
        <f>HYPERLINK("http://googleplus.fi","googleplus.fi")</f>
        <v>googleplus.fi</v>
      </c>
      <c r="C2486" t="s">
        <v>445</v>
      </c>
      <c r="D2486" t="s">
        <v>823</v>
      </c>
      <c r="J2486">
        <v>4</v>
      </c>
    </row>
    <row r="2487" spans="1:10" x14ac:dyDescent="0.25">
      <c r="A2487" t="s">
        <v>27</v>
      </c>
      <c r="B2487" s="1" t="str">
        <f>HYPERLINK("http://googlesms.fi","googlesms.fi")</f>
        <v>googlesms.fi</v>
      </c>
      <c r="C2487" t="s">
        <v>445</v>
      </c>
      <c r="D2487" t="s">
        <v>823</v>
      </c>
      <c r="J2487">
        <v>4</v>
      </c>
    </row>
    <row r="2488" spans="1:10" x14ac:dyDescent="0.25">
      <c r="A2488" t="s">
        <v>27</v>
      </c>
      <c r="B2488" s="1" t="str">
        <f>HYPERLINK("http://googlestore.fi","googlestore.fi")</f>
        <v>googlestore.fi</v>
      </c>
      <c r="C2488" t="s">
        <v>445</v>
      </c>
      <c r="D2488" t="s">
        <v>823</v>
      </c>
      <c r="J2488">
        <v>4</v>
      </c>
    </row>
    <row r="2489" spans="1:10" x14ac:dyDescent="0.25">
      <c r="A2489" t="s">
        <v>27</v>
      </c>
      <c r="B2489" s="1" t="str">
        <f>HYPERLINK("http://googlevideo.fi","googlevideo.fi")</f>
        <v>googlevideo.fi</v>
      </c>
      <c r="C2489" t="s">
        <v>445</v>
      </c>
      <c r="D2489" t="s">
        <v>823</v>
      </c>
      <c r="J2489">
        <v>4</v>
      </c>
    </row>
    <row r="2490" spans="1:10" x14ac:dyDescent="0.25">
      <c r="A2490" t="s">
        <v>27</v>
      </c>
      <c r="B2490" s="1" t="str">
        <f>HYPERLINK("http://googlewallet.fi","googlewallet.fi")</f>
        <v>googlewallet.fi</v>
      </c>
      <c r="C2490" t="s">
        <v>445</v>
      </c>
      <c r="D2490" t="s">
        <v>823</v>
      </c>
      <c r="J2490">
        <v>4</v>
      </c>
    </row>
    <row r="2491" spans="1:10" x14ac:dyDescent="0.25">
      <c r="A2491" t="s">
        <v>27</v>
      </c>
      <c r="B2491" s="1" t="str">
        <f>HYPERLINK("http://googlewave.fi","googlewave.fi")</f>
        <v>googlewave.fi</v>
      </c>
      <c r="C2491" t="s">
        <v>445</v>
      </c>
      <c r="D2491" t="s">
        <v>823</v>
      </c>
      <c r="J2491">
        <v>4</v>
      </c>
    </row>
    <row r="2492" spans="1:10" x14ac:dyDescent="0.25">
      <c r="A2492" t="s">
        <v>27</v>
      </c>
      <c r="B2492" s="1" t="str">
        <f>HYPERLINK("http://googleworkspace.fi","googleworkspace.fi")</f>
        <v>googleworkspace.fi</v>
      </c>
      <c r="C2492" t="s">
        <v>445</v>
      </c>
      <c r="D2492" t="s">
        <v>823</v>
      </c>
      <c r="J2492">
        <v>4</v>
      </c>
    </row>
    <row r="2493" spans="1:10" x14ac:dyDescent="0.25">
      <c r="A2493" t="s">
        <v>27</v>
      </c>
      <c r="B2493" s="1" t="str">
        <f>HYPERLINK("http://gooqle.fi","gooqle.fi")</f>
        <v>gooqle.fi</v>
      </c>
      <c r="C2493" t="s">
        <v>445</v>
      </c>
      <c r="D2493" t="s">
        <v>823</v>
      </c>
      <c r="J2493">
        <v>4</v>
      </c>
    </row>
    <row r="2494" spans="1:10" x14ac:dyDescent="0.25">
      <c r="A2494" t="s">
        <v>27</v>
      </c>
      <c r="B2494" s="1" t="str">
        <f>HYPERLINK("http://gsuite.fi","gsuite.fi")</f>
        <v>gsuite.fi</v>
      </c>
      <c r="C2494" t="s">
        <v>445</v>
      </c>
      <c r="D2494" t="s">
        <v>823</v>
      </c>
      <c r="J2494">
        <v>4</v>
      </c>
    </row>
    <row r="2495" spans="1:10" x14ac:dyDescent="0.25">
      <c r="A2495" t="s">
        <v>27</v>
      </c>
      <c r="B2495" s="1" t="str">
        <f>HYPERLINK("http://gugel.fi","gugel.fi")</f>
        <v>gugel.fi</v>
      </c>
      <c r="C2495" t="s">
        <v>445</v>
      </c>
      <c r="D2495" t="s">
        <v>823</v>
      </c>
      <c r="F2495">
        <v>4.44753222805974E-9</v>
      </c>
      <c r="G2495">
        <v>73456762</v>
      </c>
      <c r="H2495">
        <v>10530958</v>
      </c>
      <c r="I2495">
        <v>48190634</v>
      </c>
      <c r="J2495">
        <v>4</v>
      </c>
    </row>
    <row r="2496" spans="1:10" x14ac:dyDescent="0.25">
      <c r="A2496" t="s">
        <v>27</v>
      </c>
      <c r="B2496" s="1" t="str">
        <f>HYPERLINK("http://gugol.fi","gugol.fi")</f>
        <v>gugol.fi</v>
      </c>
      <c r="C2496" t="s">
        <v>445</v>
      </c>
      <c r="D2496" t="s">
        <v>823</v>
      </c>
      <c r="J2496">
        <v>4</v>
      </c>
    </row>
    <row r="2497" spans="1:10" x14ac:dyDescent="0.25">
      <c r="A2497" t="s">
        <v>27</v>
      </c>
      <c r="B2497" s="1" t="str">
        <f>HYPERLINK("http://gwave.fi","gwave.fi")</f>
        <v>gwave.fi</v>
      </c>
      <c r="C2497" t="s">
        <v>445</v>
      </c>
      <c r="D2497" t="s">
        <v>823</v>
      </c>
      <c r="J2497">
        <v>4</v>
      </c>
    </row>
    <row r="2498" spans="1:10" x14ac:dyDescent="0.25">
      <c r="A2498" t="s">
        <v>27</v>
      </c>
      <c r="B2498" s="1" t="str">
        <f>HYPERLINK("http://hangouts.fi","hangouts.fi")</f>
        <v>hangouts.fi</v>
      </c>
      <c r="C2498" t="s">
        <v>445</v>
      </c>
      <c r="D2498" t="s">
        <v>823</v>
      </c>
      <c r="J2498">
        <v>4</v>
      </c>
    </row>
    <row r="2499" spans="1:10" x14ac:dyDescent="0.25">
      <c r="A2499" t="s">
        <v>27</v>
      </c>
      <c r="B2499" s="1" t="str">
        <f>HYPERLINK("http://hantro.fi","hantro.fi")</f>
        <v>hantro.fi</v>
      </c>
      <c r="C2499" t="s">
        <v>445</v>
      </c>
      <c r="D2499" t="s">
        <v>823</v>
      </c>
      <c r="J2499">
        <v>4</v>
      </c>
    </row>
    <row r="2500" spans="1:10" x14ac:dyDescent="0.25">
      <c r="A2500" t="s">
        <v>27</v>
      </c>
      <c r="B2500" s="1" t="str">
        <f>HYPERLINK("http://howtogetmo.fi","howtogetmo.fi")</f>
        <v>howtogetmo.fi</v>
      </c>
      <c r="C2500" t="s">
        <v>445</v>
      </c>
      <c r="D2500" t="s">
        <v>823</v>
      </c>
      <c r="F2500">
        <v>4.9757595983231399E-9</v>
      </c>
      <c r="G2500">
        <v>30102754</v>
      </c>
      <c r="H2500">
        <v>13198663</v>
      </c>
      <c r="I2500">
        <v>11560632</v>
      </c>
      <c r="J2500">
        <v>4</v>
      </c>
    </row>
    <row r="2501" spans="1:10" x14ac:dyDescent="0.25">
      <c r="A2501" t="s">
        <v>27</v>
      </c>
      <c r="B2501" s="1" t="str">
        <f>HYPERLINK("http://howtogetmobile.fi","howtogetmobile.fi")</f>
        <v>howtogetmobile.fi</v>
      </c>
      <c r="C2501" t="s">
        <v>445</v>
      </c>
      <c r="D2501" t="s">
        <v>823</v>
      </c>
      <c r="J2501">
        <v>4</v>
      </c>
    </row>
    <row r="2502" spans="1:10" x14ac:dyDescent="0.25">
      <c r="A2502" t="s">
        <v>27</v>
      </c>
      <c r="B2502" s="1" t="str">
        <f>HYPERLINK("http://igoogle.fi","igoogle.fi")</f>
        <v>igoogle.fi</v>
      </c>
      <c r="C2502" t="s">
        <v>445</v>
      </c>
      <c r="D2502" t="s">
        <v>823</v>
      </c>
      <c r="J2502">
        <v>4</v>
      </c>
    </row>
    <row r="2503" spans="1:10" x14ac:dyDescent="0.25">
      <c r="A2503" t="s">
        <v>27</v>
      </c>
      <c r="B2503" s="1" t="str">
        <f>HYPERLINK("http://ingress.fi","ingress.fi")</f>
        <v>ingress.fi</v>
      </c>
      <c r="C2503" t="s">
        <v>445</v>
      </c>
      <c r="D2503" t="s">
        <v>823</v>
      </c>
      <c r="J2503">
        <v>4</v>
      </c>
    </row>
    <row r="2504" spans="1:10" x14ac:dyDescent="0.25">
      <c r="A2504" t="s">
        <v>27</v>
      </c>
      <c r="B2504" s="1" t="str">
        <f>HYPERLINK("http://instantgoogle.fi","instantgoogle.fi")</f>
        <v>instantgoogle.fi</v>
      </c>
      <c r="C2504" t="s">
        <v>445</v>
      </c>
      <c r="D2504" t="s">
        <v>823</v>
      </c>
      <c r="J2504">
        <v>4</v>
      </c>
    </row>
    <row r="2505" spans="1:10" x14ac:dyDescent="0.25">
      <c r="A2505" t="s">
        <v>27</v>
      </c>
      <c r="B2505" s="1" t="str">
        <f>HYPERLINK("http://kartat-google.fi","kartat-google.fi")</f>
        <v>kartat-google.fi</v>
      </c>
      <c r="C2505" t="s">
        <v>445</v>
      </c>
      <c r="D2505" t="s">
        <v>823</v>
      </c>
      <c r="J2505">
        <v>4</v>
      </c>
    </row>
    <row r="2506" spans="1:10" x14ac:dyDescent="0.25">
      <c r="A2506" t="s">
        <v>27</v>
      </c>
      <c r="B2506" s="1" t="str">
        <f>HYPERLINK("http://kartat-googlelta.fi","kartat-googlelta.fi")</f>
        <v>kartat-googlelta.fi</v>
      </c>
      <c r="C2506" t="s">
        <v>445</v>
      </c>
      <c r="D2506" t="s">
        <v>823</v>
      </c>
      <c r="J2506">
        <v>4</v>
      </c>
    </row>
    <row r="2507" spans="1:10" x14ac:dyDescent="0.25">
      <c r="A2507" t="s">
        <v>27</v>
      </c>
      <c r="B2507" s="1" t="str">
        <f>HYPERLINK("http://kartatgoogle.fi","kartatgoogle.fi")</f>
        <v>kartatgoogle.fi</v>
      </c>
      <c r="C2507" t="s">
        <v>445</v>
      </c>
      <c r="D2507" t="s">
        <v>823</v>
      </c>
      <c r="J2507">
        <v>4</v>
      </c>
    </row>
    <row r="2508" spans="1:10" x14ac:dyDescent="0.25">
      <c r="A2508" t="s">
        <v>27</v>
      </c>
      <c r="B2508" s="1" t="str">
        <f>HYPERLINK("http://kartatgooglelta.fi","kartatgooglelta.fi")</f>
        <v>kartatgooglelta.fi</v>
      </c>
      <c r="C2508" t="s">
        <v>445</v>
      </c>
      <c r="D2508" t="s">
        <v>823</v>
      </c>
      <c r="J2508">
        <v>4</v>
      </c>
    </row>
    <row r="2509" spans="1:10" x14ac:dyDescent="0.25">
      <c r="A2509" t="s">
        <v>27</v>
      </c>
      <c r="B2509" s="1" t="str">
        <f>HYPERLINK("http://kartta-google.fi","kartta-google.fi")</f>
        <v>kartta-google.fi</v>
      </c>
      <c r="C2509" t="s">
        <v>445</v>
      </c>
      <c r="D2509" t="s">
        <v>823</v>
      </c>
      <c r="J2509">
        <v>4</v>
      </c>
    </row>
    <row r="2510" spans="1:10" x14ac:dyDescent="0.25">
      <c r="A2510" t="s">
        <v>27</v>
      </c>
      <c r="B2510" s="1" t="str">
        <f>HYPERLINK("http://karttoja-google.fi","karttoja-google.fi")</f>
        <v>karttoja-google.fi</v>
      </c>
      <c r="C2510" t="s">
        <v>445</v>
      </c>
      <c r="D2510" t="s">
        <v>823</v>
      </c>
      <c r="J2510">
        <v>4</v>
      </c>
    </row>
    <row r="2511" spans="1:10" x14ac:dyDescent="0.25">
      <c r="A2511" t="s">
        <v>27</v>
      </c>
      <c r="B2511" s="1" t="str">
        <f>HYPERLINK("http://karttoja-googlelta.fi","karttoja-googlelta.fi")</f>
        <v>karttoja-googlelta.fi</v>
      </c>
      <c r="C2511" t="s">
        <v>445</v>
      </c>
      <c r="D2511" t="s">
        <v>823</v>
      </c>
      <c r="J2511">
        <v>4</v>
      </c>
    </row>
    <row r="2512" spans="1:10" x14ac:dyDescent="0.25">
      <c r="A2512" t="s">
        <v>27</v>
      </c>
      <c r="B2512" s="1" t="str">
        <f>HYPERLINK("http://karttojagoogle.fi","karttojagoogle.fi")</f>
        <v>karttojagoogle.fi</v>
      </c>
      <c r="C2512" t="s">
        <v>445</v>
      </c>
      <c r="D2512" t="s">
        <v>823</v>
      </c>
      <c r="J2512">
        <v>4</v>
      </c>
    </row>
    <row r="2513" spans="1:10" x14ac:dyDescent="0.25">
      <c r="A2513" t="s">
        <v>27</v>
      </c>
      <c r="B2513" s="1" t="str">
        <f>HYPERLINK("http://karttojagooglelta.fi","karttojagooglelta.fi")</f>
        <v>karttojagooglelta.fi</v>
      </c>
      <c r="C2513" t="s">
        <v>445</v>
      </c>
      <c r="D2513" t="s">
        <v>823</v>
      </c>
      <c r="J2513">
        <v>4</v>
      </c>
    </row>
    <row r="2514" spans="1:10" x14ac:dyDescent="0.25">
      <c r="A2514" t="s">
        <v>27</v>
      </c>
      <c r="B2514" s="1" t="str">
        <f>HYPERLINK("http://lookerstudio.fi","lookerstudio.fi")</f>
        <v>lookerstudio.fi</v>
      </c>
      <c r="C2514" t="s">
        <v>445</v>
      </c>
      <c r="D2514" t="s">
        <v>823</v>
      </c>
      <c r="J2514">
        <v>4</v>
      </c>
    </row>
    <row r="2515" spans="1:10" x14ac:dyDescent="0.25">
      <c r="A2515" t="s">
        <v>27</v>
      </c>
      <c r="B2515" s="1" t="str">
        <f>HYPERLINK("http://mandiant.fi","mandiant.fi")</f>
        <v>mandiant.fi</v>
      </c>
      <c r="C2515" t="s">
        <v>445</v>
      </c>
      <c r="D2515" t="s">
        <v>823</v>
      </c>
      <c r="J2515">
        <v>4</v>
      </c>
    </row>
    <row r="2516" spans="1:10" x14ac:dyDescent="0.25">
      <c r="A2516" t="s">
        <v>27</v>
      </c>
      <c r="B2516" s="1" t="str">
        <f>HYPERLINK("http://map-google.fi","map-google.fi")</f>
        <v>map-google.fi</v>
      </c>
      <c r="C2516" t="s">
        <v>445</v>
      </c>
      <c r="D2516" t="s">
        <v>823</v>
      </c>
      <c r="J2516">
        <v>4</v>
      </c>
    </row>
    <row r="2517" spans="1:10" x14ac:dyDescent="0.25">
      <c r="A2517" t="s">
        <v>27</v>
      </c>
      <c r="B2517" s="1" t="str">
        <f>HYPERLINK("http://mapgoogle.fi","mapgoogle.fi")</f>
        <v>mapgoogle.fi</v>
      </c>
      <c r="C2517" t="s">
        <v>445</v>
      </c>
      <c r="D2517" t="s">
        <v>823</v>
      </c>
      <c r="J2517">
        <v>4</v>
      </c>
    </row>
    <row r="2518" spans="1:10" x14ac:dyDescent="0.25">
      <c r="A2518" t="s">
        <v>27</v>
      </c>
      <c r="B2518" s="1" t="str">
        <f>HYPERLINK("http://maps-google.fi","maps-google.fi")</f>
        <v>maps-google.fi</v>
      </c>
      <c r="C2518" t="s">
        <v>445</v>
      </c>
      <c r="D2518" t="s">
        <v>823</v>
      </c>
      <c r="J2518">
        <v>4</v>
      </c>
    </row>
    <row r="2519" spans="1:10" x14ac:dyDescent="0.25">
      <c r="A2519" t="s">
        <v>27</v>
      </c>
      <c r="B2519" s="1" t="str">
        <f>HYPERLINK("http://mapsgoogle.fi","mapsgoogle.fi")</f>
        <v>mapsgoogle.fi</v>
      </c>
      <c r="C2519" t="s">
        <v>445</v>
      </c>
      <c r="D2519" t="s">
        <v>823</v>
      </c>
      <c r="J2519">
        <v>4</v>
      </c>
    </row>
    <row r="2520" spans="1:10" x14ac:dyDescent="0.25">
      <c r="A2520" t="s">
        <v>27</v>
      </c>
      <c r="B2520" s="1" t="str">
        <f>HYPERLINK("http://mndt.fi","mndt.fi")</f>
        <v>mndt.fi</v>
      </c>
      <c r="C2520" t="s">
        <v>445</v>
      </c>
      <c r="D2520" t="s">
        <v>823</v>
      </c>
      <c r="J2520">
        <v>4</v>
      </c>
    </row>
    <row r="2521" spans="1:10" x14ac:dyDescent="0.25">
      <c r="A2521" t="s">
        <v>27</v>
      </c>
      <c r="B2521" s="1" t="str">
        <f>HYPERLINK("http://musickey.fi","musickey.fi")</f>
        <v>musickey.fi</v>
      </c>
      <c r="C2521" t="s">
        <v>445</v>
      </c>
      <c r="D2521" t="s">
        <v>823</v>
      </c>
      <c r="J2521">
        <v>4</v>
      </c>
    </row>
    <row r="2522" spans="1:10" x14ac:dyDescent="0.25">
      <c r="A2522" t="s">
        <v>27</v>
      </c>
      <c r="B2522" s="1" t="str">
        <f>HYPERLINK("http://nestlabs.fi","nestlabs.fi")</f>
        <v>nestlabs.fi</v>
      </c>
      <c r="C2522" t="s">
        <v>445</v>
      </c>
      <c r="D2522" t="s">
        <v>823</v>
      </c>
      <c r="J2522">
        <v>4</v>
      </c>
    </row>
    <row r="2523" spans="1:10" x14ac:dyDescent="0.25">
      <c r="A2523" t="s">
        <v>27</v>
      </c>
      <c r="B2523" s="1" t="str">
        <f>HYPERLINK("http://on2.fi","on2.fi")</f>
        <v>on2.fi</v>
      </c>
      <c r="C2523" t="s">
        <v>445</v>
      </c>
      <c r="D2523" t="s">
        <v>823</v>
      </c>
      <c r="J2523">
        <v>4</v>
      </c>
    </row>
    <row r="2524" spans="1:10" x14ac:dyDescent="0.25">
      <c r="A2524" t="s">
        <v>27</v>
      </c>
      <c r="B2524" s="1" t="str">
        <f>HYPERLINK("http://onkaksi.fi","onkaksi.fi")</f>
        <v>onkaksi.fi</v>
      </c>
      <c r="C2524" t="s">
        <v>445</v>
      </c>
      <c r="D2524" t="s">
        <v>823</v>
      </c>
      <c r="J2524">
        <v>4</v>
      </c>
    </row>
    <row r="2525" spans="1:10" x14ac:dyDescent="0.25">
      <c r="A2525" t="s">
        <v>27</v>
      </c>
      <c r="B2525" s="1" t="str">
        <f>HYPERLINK("http://panoramio.fi","panoramio.fi")</f>
        <v>panoramio.fi</v>
      </c>
      <c r="C2525" t="s">
        <v>445</v>
      </c>
      <c r="D2525" t="s">
        <v>823</v>
      </c>
      <c r="J2525">
        <v>4</v>
      </c>
    </row>
    <row r="2526" spans="1:10" x14ac:dyDescent="0.25">
      <c r="A2526" t="s">
        <v>27</v>
      </c>
      <c r="B2526" s="1" t="str">
        <f>HYPERLINK("http://playgoogle.fi","playgoogle.fi")</f>
        <v>playgoogle.fi</v>
      </c>
      <c r="C2526" t="s">
        <v>445</v>
      </c>
      <c r="D2526" t="s">
        <v>823</v>
      </c>
      <c r="J2526">
        <v>4</v>
      </c>
    </row>
    <row r="2527" spans="1:10" x14ac:dyDescent="0.25">
      <c r="A2527" t="s">
        <v>27</v>
      </c>
      <c r="B2527" s="1" t="str">
        <f>HYPERLINK("http://quickoffice.fi","quickoffice.fi")</f>
        <v>quickoffice.fi</v>
      </c>
      <c r="C2527" t="s">
        <v>445</v>
      </c>
      <c r="D2527" t="s">
        <v>823</v>
      </c>
      <c r="J2527">
        <v>4</v>
      </c>
    </row>
    <row r="2528" spans="1:10" x14ac:dyDescent="0.25">
      <c r="A2528" t="s">
        <v>27</v>
      </c>
      <c r="B2528" s="1" t="str">
        <f>HYPERLINK("http://speedbook.fi","speedbook.fi")</f>
        <v>speedbook.fi</v>
      </c>
      <c r="C2528" t="s">
        <v>445</v>
      </c>
      <c r="D2528" t="s">
        <v>823</v>
      </c>
      <c r="J2528">
        <v>4</v>
      </c>
    </row>
    <row r="2529" spans="1:10" x14ac:dyDescent="0.25">
      <c r="A2529" t="s">
        <v>27</v>
      </c>
      <c r="B2529" s="1" t="str">
        <f>HYPERLINK("http://streetview.fi","streetview.fi")</f>
        <v>streetview.fi</v>
      </c>
      <c r="C2529" t="s">
        <v>445</v>
      </c>
      <c r="D2529" t="s">
        <v>823</v>
      </c>
      <c r="J2529">
        <v>4</v>
      </c>
    </row>
    <row r="2530" spans="1:10" x14ac:dyDescent="0.25">
      <c r="A2530" t="s">
        <v>27</v>
      </c>
      <c r="B2530" s="1" t="str">
        <f>HYPERLINK("http://thegooglestore.fi","thegooglestore.fi")</f>
        <v>thegooglestore.fi</v>
      </c>
      <c r="C2530" t="s">
        <v>445</v>
      </c>
      <c r="D2530" t="s">
        <v>823</v>
      </c>
      <c r="J2530">
        <v>4</v>
      </c>
    </row>
    <row r="2531" spans="1:10" x14ac:dyDescent="0.25">
      <c r="A2531" t="s">
        <v>27</v>
      </c>
      <c r="B2531" s="1" t="str">
        <f>HYPERLINK("http://thinkwithgoogle.fi","thinkwithgoogle.fi")</f>
        <v>thinkwithgoogle.fi</v>
      </c>
      <c r="C2531" t="s">
        <v>445</v>
      </c>
      <c r="D2531" t="s">
        <v>823</v>
      </c>
      <c r="J2531">
        <v>4</v>
      </c>
    </row>
    <row r="2532" spans="1:10" x14ac:dyDescent="0.25">
      <c r="A2532" t="s">
        <v>27</v>
      </c>
      <c r="B2532" s="1" t="str">
        <f>HYPERLINK("http://thoughtfulhome.fi","thoughtfulhome.fi")</f>
        <v>thoughtfulhome.fi</v>
      </c>
      <c r="C2532" t="s">
        <v>445</v>
      </c>
      <c r="D2532" t="s">
        <v>823</v>
      </c>
      <c r="J2532">
        <v>4</v>
      </c>
    </row>
    <row r="2533" spans="1:10" x14ac:dyDescent="0.25">
      <c r="A2533" t="s">
        <v>27</v>
      </c>
      <c r="B2533" s="1" t="str">
        <f>HYPERLINK("http://waze.fi","waze.fi")</f>
        <v>waze.fi</v>
      </c>
      <c r="C2533" t="s">
        <v>445</v>
      </c>
      <c r="D2533" t="s">
        <v>823</v>
      </c>
      <c r="J2533">
        <v>4</v>
      </c>
    </row>
    <row r="2534" spans="1:10" x14ac:dyDescent="0.25">
      <c r="A2534" t="s">
        <v>27</v>
      </c>
      <c r="B2534" s="1" t="str">
        <f>HYPERLINK("http://youtube.fi","youtube.fi")</f>
        <v>youtube.fi</v>
      </c>
      <c r="C2534" t="s">
        <v>445</v>
      </c>
      <c r="D2534" t="s">
        <v>823</v>
      </c>
      <c r="E2534">
        <v>695989</v>
      </c>
      <c r="F2534">
        <v>6.2897247976157105E-8</v>
      </c>
      <c r="G2534">
        <v>697099</v>
      </c>
      <c r="H2534">
        <v>14547036</v>
      </c>
      <c r="I2534">
        <v>765805</v>
      </c>
      <c r="J2534">
        <v>4</v>
      </c>
    </row>
    <row r="2535" spans="1:10" x14ac:dyDescent="0.25">
      <c r="A2535" t="s">
        <v>27</v>
      </c>
      <c r="B2535" s="1" t="str">
        <f>HYPERLINK("http://youtubecoronavirus.fi","youtubecoronavirus.fi")</f>
        <v>youtubecoronavirus.fi</v>
      </c>
      <c r="C2535" t="s">
        <v>445</v>
      </c>
      <c r="D2535" t="s">
        <v>823</v>
      </c>
      <c r="J2535">
        <v>4</v>
      </c>
    </row>
    <row r="2536" spans="1:10" x14ac:dyDescent="0.25">
      <c r="A2536" t="s">
        <v>27</v>
      </c>
      <c r="B2536" s="1" t="str">
        <f>HYPERLINK("http://youtubecovid19.fi","youtubecovid19.fi")</f>
        <v>youtubecovid19.fi</v>
      </c>
      <c r="C2536" t="s">
        <v>445</v>
      </c>
      <c r="D2536" t="s">
        <v>823</v>
      </c>
      <c r="J2536">
        <v>4</v>
      </c>
    </row>
    <row r="2537" spans="1:10" x14ac:dyDescent="0.25">
      <c r="A2537" t="s">
        <v>27</v>
      </c>
      <c r="B2537" s="1" t="str">
        <f>HYPERLINK("http://youtubemusickey.fi","youtubemusickey.fi")</f>
        <v>youtubemusickey.fi</v>
      </c>
      <c r="C2537" t="s">
        <v>445</v>
      </c>
      <c r="D2537" t="s">
        <v>823</v>
      </c>
      <c r="J2537">
        <v>4</v>
      </c>
    </row>
    <row r="2538" spans="1:10" x14ac:dyDescent="0.25">
      <c r="A2538" t="s">
        <v>27</v>
      </c>
      <c r="B2538" s="1" t="str">
        <f>HYPERLINK("http://google.com.fj","google.com.fj")</f>
        <v>google.com.fj</v>
      </c>
      <c r="C2538" t="s">
        <v>636</v>
      </c>
      <c r="D2538" t="s">
        <v>957</v>
      </c>
      <c r="E2538">
        <v>12032</v>
      </c>
      <c r="F2538">
        <v>1.00093592106778E-6</v>
      </c>
      <c r="G2538">
        <v>38228</v>
      </c>
      <c r="H2538">
        <v>17732138</v>
      </c>
      <c r="I2538">
        <v>6700</v>
      </c>
      <c r="J2538">
        <v>4</v>
      </c>
    </row>
    <row r="2539" spans="1:10" x14ac:dyDescent="0.25">
      <c r="A2539" t="s">
        <v>27</v>
      </c>
      <c r="B2539" s="1" t="str">
        <f>HYPERLINK("http://google.fm","google.fm")</f>
        <v>google.fm</v>
      </c>
      <c r="C2539" t="s">
        <v>528</v>
      </c>
      <c r="D2539" t="s">
        <v>894</v>
      </c>
      <c r="E2539">
        <v>11839</v>
      </c>
      <c r="F2539">
        <v>1.2362282890811E-6</v>
      </c>
      <c r="G2539">
        <v>31482</v>
      </c>
      <c r="H2539">
        <v>17742384</v>
      </c>
      <c r="I2539">
        <v>6502</v>
      </c>
      <c r="J2539">
        <v>4</v>
      </c>
    </row>
    <row r="2540" spans="1:10" x14ac:dyDescent="0.25">
      <c r="A2540" t="s">
        <v>27</v>
      </c>
      <c r="B2540" s="1" t="str">
        <f>HYPERLINK("http://crypto.fr","crypto.fr")</f>
        <v>crypto.fr</v>
      </c>
      <c r="C2540" t="s">
        <v>446</v>
      </c>
      <c r="D2540" t="s">
        <v>824</v>
      </c>
      <c r="F2540">
        <v>2.7122750281514901E-8</v>
      </c>
      <c r="G2540">
        <v>1896080</v>
      </c>
      <c r="H2540">
        <v>12401365</v>
      </c>
      <c r="I2540">
        <v>18759535</v>
      </c>
      <c r="J2540">
        <v>7</v>
      </c>
    </row>
    <row r="2541" spans="1:10" x14ac:dyDescent="0.25">
      <c r="A2541" t="s">
        <v>27</v>
      </c>
      <c r="B2541" s="1" t="str">
        <f>HYPERLINK("http://google.fr","google.fr")</f>
        <v>google.fr</v>
      </c>
      <c r="C2541" t="s">
        <v>446</v>
      </c>
      <c r="D2541" t="s">
        <v>824</v>
      </c>
      <c r="E2541">
        <v>487</v>
      </c>
      <c r="F2541">
        <v>6.1911509773046106E-5</v>
      </c>
      <c r="G2541">
        <v>418</v>
      </c>
      <c r="H2541">
        <v>18562534</v>
      </c>
      <c r="I2541">
        <v>1374</v>
      </c>
      <c r="J2541">
        <v>4</v>
      </c>
    </row>
    <row r="2542" spans="1:10" x14ac:dyDescent="0.25">
      <c r="A2542" t="s">
        <v>27</v>
      </c>
      <c r="B2542" s="1" t="str">
        <f>HYPERLINK("http://mutualite-comtoise.fr","mutualite-comtoise.fr")</f>
        <v>mutualite-comtoise.fr</v>
      </c>
      <c r="C2542" t="s">
        <v>446</v>
      </c>
      <c r="D2542" t="s">
        <v>824</v>
      </c>
      <c r="F2542">
        <v>7.2539869084197804E-9</v>
      </c>
      <c r="G2542">
        <v>11595577</v>
      </c>
      <c r="H2542">
        <v>12325480</v>
      </c>
      <c r="I2542">
        <v>20317335</v>
      </c>
      <c r="J2542">
        <v>7</v>
      </c>
    </row>
    <row r="2543" spans="1:10" x14ac:dyDescent="0.25">
      <c r="A2543" t="s">
        <v>27</v>
      </c>
      <c r="B2543" s="1" t="str">
        <f>HYPERLINK("http://youtube.fr","youtube.fr")</f>
        <v>youtube.fr</v>
      </c>
      <c r="C2543" t="s">
        <v>446</v>
      </c>
      <c r="D2543" t="s">
        <v>824</v>
      </c>
      <c r="E2543">
        <v>194065</v>
      </c>
      <c r="F2543">
        <v>2.0070493339363798E-6</v>
      </c>
      <c r="G2543">
        <v>18227</v>
      </c>
      <c r="H2543">
        <v>16373197</v>
      </c>
      <c r="I2543">
        <v>365109</v>
      </c>
      <c r="J2543">
        <v>5</v>
      </c>
    </row>
    <row r="2544" spans="1:10" x14ac:dyDescent="0.25">
      <c r="A2544" t="s">
        <v>27</v>
      </c>
      <c r="B2544" s="1" t="str">
        <f>HYPERLINK("http://google.ga","google.ga")</f>
        <v>google.ga</v>
      </c>
      <c r="C2544" t="s">
        <v>544</v>
      </c>
      <c r="D2544" t="s">
        <v>902</v>
      </c>
      <c r="E2544">
        <v>13445</v>
      </c>
      <c r="F2544">
        <v>8.0794733768339805E-7</v>
      </c>
      <c r="G2544">
        <v>48844</v>
      </c>
      <c r="H2544">
        <v>17603456</v>
      </c>
      <c r="I2544">
        <v>9573</v>
      </c>
      <c r="J2544">
        <v>4</v>
      </c>
    </row>
    <row r="2545" spans="1:10" x14ac:dyDescent="0.25">
      <c r="A2545" t="s">
        <v>27</v>
      </c>
      <c r="B2545" s="1" t="str">
        <f>HYPERLINK("http://google.com.ge","google.com.ge")</f>
        <v>google.com.ge</v>
      </c>
      <c r="C2545" t="s">
        <v>637</v>
      </c>
      <c r="D2545" t="s">
        <v>958</v>
      </c>
      <c r="E2545">
        <v>632562</v>
      </c>
      <c r="F2545">
        <v>9.2020991813652406E-8</v>
      </c>
      <c r="G2545">
        <v>442542</v>
      </c>
      <c r="H2545">
        <v>16873562</v>
      </c>
      <c r="I2545">
        <v>143888</v>
      </c>
      <c r="J2545">
        <v>4</v>
      </c>
    </row>
    <row r="2546" spans="1:10" x14ac:dyDescent="0.25">
      <c r="A2546" t="s">
        <v>27</v>
      </c>
      <c r="B2546" s="1" t="str">
        <f>HYPERLINK("http://google.ge","google.ge")</f>
        <v>google.ge</v>
      </c>
      <c r="C2546" t="s">
        <v>637</v>
      </c>
      <c r="D2546" t="s">
        <v>958</v>
      </c>
      <c r="E2546">
        <v>8171</v>
      </c>
      <c r="F2546">
        <v>1.3422809618344599E-6</v>
      </c>
      <c r="G2546">
        <v>28961</v>
      </c>
      <c r="H2546">
        <v>17814742</v>
      </c>
      <c r="I2546">
        <v>5401</v>
      </c>
      <c r="J2546">
        <v>4</v>
      </c>
    </row>
    <row r="2547" spans="1:10" x14ac:dyDescent="0.25">
      <c r="A2547" t="s">
        <v>27</v>
      </c>
      <c r="B2547" s="1" t="str">
        <f>HYPERLINK("http://google.gf","google.gf")</f>
        <v>google.gf</v>
      </c>
      <c r="C2547" t="s">
        <v>638</v>
      </c>
      <c r="D2547" t="s">
        <v>959</v>
      </c>
      <c r="E2547">
        <v>103928</v>
      </c>
      <c r="F2547">
        <v>1.3786607058227201E-7</v>
      </c>
      <c r="G2547">
        <v>282646</v>
      </c>
      <c r="H2547">
        <v>17152350</v>
      </c>
      <c r="I2547">
        <v>51756</v>
      </c>
      <c r="J2547">
        <v>4</v>
      </c>
    </row>
    <row r="2548" spans="1:10" x14ac:dyDescent="0.25">
      <c r="A2548" t="s">
        <v>27</v>
      </c>
      <c r="B2548" s="1" t="str">
        <f>HYPERLINK("http://google.gg","google.gg")</f>
        <v>google.gg</v>
      </c>
      <c r="C2548" t="s">
        <v>639</v>
      </c>
      <c r="D2548" t="s">
        <v>960</v>
      </c>
      <c r="E2548">
        <v>11616</v>
      </c>
      <c r="F2548">
        <v>1.1841181946756599E-6</v>
      </c>
      <c r="G2548">
        <v>32871</v>
      </c>
      <c r="H2548">
        <v>17744886</v>
      </c>
      <c r="I2548">
        <v>6455</v>
      </c>
      <c r="J2548">
        <v>4</v>
      </c>
    </row>
    <row r="2549" spans="1:10" x14ac:dyDescent="0.25">
      <c r="A2549" t="s">
        <v>27</v>
      </c>
      <c r="B2549" s="1" t="str">
        <f>HYPERLINK("http://google.com.gh","google.com.gh")</f>
        <v>google.com.gh</v>
      </c>
      <c r="C2549" t="s">
        <v>640</v>
      </c>
      <c r="D2549" t="s">
        <v>961</v>
      </c>
      <c r="E2549">
        <v>10306</v>
      </c>
      <c r="F2549">
        <v>1.2182485120326801E-6</v>
      </c>
      <c r="G2549">
        <v>31914</v>
      </c>
      <c r="H2549">
        <v>17779972</v>
      </c>
      <c r="I2549">
        <v>5883</v>
      </c>
      <c r="J2549">
        <v>4</v>
      </c>
    </row>
    <row r="2550" spans="1:10" x14ac:dyDescent="0.25">
      <c r="A2550" t="s">
        <v>27</v>
      </c>
      <c r="B2550" s="1" t="str">
        <f>HYPERLINK("http://google.com.gi","google.com.gi")</f>
        <v>google.com.gi</v>
      </c>
      <c r="C2550" t="s">
        <v>641</v>
      </c>
      <c r="D2550" t="s">
        <v>962</v>
      </c>
      <c r="E2550">
        <v>11725</v>
      </c>
      <c r="F2550">
        <v>1.20951969313649E-6</v>
      </c>
      <c r="G2550">
        <v>32159</v>
      </c>
      <c r="H2550">
        <v>17715360</v>
      </c>
      <c r="I2550">
        <v>7008</v>
      </c>
      <c r="J2550">
        <v>4</v>
      </c>
    </row>
    <row r="2551" spans="1:10" x14ac:dyDescent="0.25">
      <c r="A2551" t="s">
        <v>27</v>
      </c>
      <c r="B2551" s="1" t="str">
        <f>HYPERLINK("http://google.gl","google.gl")</f>
        <v>google.gl</v>
      </c>
      <c r="C2551" t="s">
        <v>642</v>
      </c>
      <c r="D2551" t="s">
        <v>963</v>
      </c>
      <c r="E2551">
        <v>11988</v>
      </c>
      <c r="F2551">
        <v>1.16444206303353E-6</v>
      </c>
      <c r="G2551">
        <v>33367</v>
      </c>
      <c r="H2551">
        <v>17665854</v>
      </c>
      <c r="I2551">
        <v>8037</v>
      </c>
      <c r="J2551">
        <v>4</v>
      </c>
    </row>
    <row r="2552" spans="1:10" x14ac:dyDescent="0.25">
      <c r="A2552" t="s">
        <v>27</v>
      </c>
      <c r="B2552" s="1" t="str">
        <f>HYPERLINK("http://google.gm","google.gm")</f>
        <v>google.gm</v>
      </c>
      <c r="C2552" t="s">
        <v>643</v>
      </c>
      <c r="D2552" t="s">
        <v>964</v>
      </c>
      <c r="E2552">
        <v>12530</v>
      </c>
      <c r="F2552">
        <v>9.7602769638990297E-7</v>
      </c>
      <c r="G2552">
        <v>39196</v>
      </c>
      <c r="H2552">
        <v>17669658</v>
      </c>
      <c r="I2552">
        <v>7959</v>
      </c>
      <c r="J2552">
        <v>4</v>
      </c>
    </row>
    <row r="2553" spans="1:10" x14ac:dyDescent="0.25">
      <c r="A2553" t="s">
        <v>27</v>
      </c>
      <c r="B2553" s="1" t="str">
        <f>HYPERLINK("http://about.google","about.google")</f>
        <v>about.google</v>
      </c>
      <c r="C2553" t="s">
        <v>644</v>
      </c>
      <c r="E2553">
        <v>5823</v>
      </c>
      <c r="F2553">
        <v>8.9579826613619805E-6</v>
      </c>
      <c r="G2553">
        <v>3773</v>
      </c>
      <c r="H2553">
        <v>18141680</v>
      </c>
      <c r="I2553">
        <v>2953</v>
      </c>
      <c r="J2553">
        <v>3</v>
      </c>
    </row>
    <row r="2554" spans="1:10" x14ac:dyDescent="0.25">
      <c r="A2554" t="s">
        <v>27</v>
      </c>
      <c r="B2554" s="1" t="str">
        <f>HYPERLINK("http://grow.google","grow.google")</f>
        <v>grow.google</v>
      </c>
      <c r="C2554" t="s">
        <v>644</v>
      </c>
      <c r="E2554">
        <v>33741</v>
      </c>
      <c r="F2554">
        <v>2.3060529932111499E-6</v>
      </c>
      <c r="G2554">
        <v>16022</v>
      </c>
      <c r="H2554">
        <v>17520290</v>
      </c>
      <c r="I2554">
        <v>12678</v>
      </c>
      <c r="J2554">
        <v>4</v>
      </c>
    </row>
    <row r="2555" spans="1:10" x14ac:dyDescent="0.25">
      <c r="A2555" t="s">
        <v>27</v>
      </c>
      <c r="B2555" s="1" t="str">
        <f>HYPERLINK("http://wallet.google","wallet.google")</f>
        <v>wallet.google</v>
      </c>
      <c r="C2555" t="s">
        <v>644</v>
      </c>
      <c r="E2555">
        <v>89460</v>
      </c>
      <c r="F2555">
        <v>4.9392931098538304E-7</v>
      </c>
      <c r="G2555">
        <v>77277</v>
      </c>
      <c r="H2555">
        <v>17087608</v>
      </c>
      <c r="I2555">
        <v>66511</v>
      </c>
      <c r="J2555">
        <v>5</v>
      </c>
    </row>
    <row r="2556" spans="1:10" x14ac:dyDescent="0.25">
      <c r="A2556" t="s">
        <v>27</v>
      </c>
      <c r="B2556" s="1" t="str">
        <f>HYPERLINK("http://google.gp","google.gp")</f>
        <v>google.gp</v>
      </c>
      <c r="C2556" t="s">
        <v>645</v>
      </c>
      <c r="E2556">
        <v>13116</v>
      </c>
      <c r="F2556">
        <v>1.07837832235889E-6</v>
      </c>
      <c r="G2556">
        <v>35705</v>
      </c>
      <c r="H2556">
        <v>17726656</v>
      </c>
      <c r="I2556">
        <v>6800</v>
      </c>
      <c r="J2556">
        <v>4</v>
      </c>
    </row>
    <row r="2557" spans="1:10" x14ac:dyDescent="0.25">
      <c r="A2557" t="s">
        <v>27</v>
      </c>
      <c r="B2557" s="1" t="str">
        <f>HYPERLINK("http://google.com.gr","google.com.gr")</f>
        <v>google.com.gr</v>
      </c>
      <c r="C2557" t="s">
        <v>447</v>
      </c>
      <c r="D2557" t="s">
        <v>825</v>
      </c>
      <c r="E2557">
        <v>69610</v>
      </c>
      <c r="F2557">
        <v>1.9571284169938299E-7</v>
      </c>
      <c r="G2557">
        <v>197052</v>
      </c>
      <c r="H2557">
        <v>17158918</v>
      </c>
      <c r="I2557">
        <v>50243</v>
      </c>
      <c r="J2557">
        <v>4</v>
      </c>
    </row>
    <row r="2558" spans="1:10" x14ac:dyDescent="0.25">
      <c r="A2558" t="s">
        <v>27</v>
      </c>
      <c r="B2558" s="1" t="str">
        <f>HYPERLINK("http://google.gr","google.gr")</f>
        <v>google.gr</v>
      </c>
      <c r="C2558" t="s">
        <v>447</v>
      </c>
      <c r="D2558" t="s">
        <v>825</v>
      </c>
      <c r="E2558">
        <v>3234</v>
      </c>
      <c r="F2558">
        <v>6.2843413265372496E-6</v>
      </c>
      <c r="G2558">
        <v>5446</v>
      </c>
      <c r="H2558">
        <v>17839626</v>
      </c>
      <c r="I2558">
        <v>5102</v>
      </c>
      <c r="J2558">
        <v>4</v>
      </c>
    </row>
    <row r="2559" spans="1:10" x14ac:dyDescent="0.25">
      <c r="A2559" t="s">
        <v>27</v>
      </c>
      <c r="B2559" s="1" t="str">
        <f>HYPERLINK("http://google.com.gt","google.com.gt")</f>
        <v>google.com.gt</v>
      </c>
      <c r="C2559" t="s">
        <v>448</v>
      </c>
      <c r="D2559" t="s">
        <v>826</v>
      </c>
      <c r="E2559">
        <v>8570</v>
      </c>
      <c r="F2559">
        <v>1.3725115750883899E-6</v>
      </c>
      <c r="G2559">
        <v>28381</v>
      </c>
      <c r="H2559">
        <v>17764660</v>
      </c>
      <c r="I2559">
        <v>6105</v>
      </c>
      <c r="J2559">
        <v>4</v>
      </c>
    </row>
    <row r="2560" spans="1:10" x14ac:dyDescent="0.25">
      <c r="A2560" t="s">
        <v>27</v>
      </c>
      <c r="B2560" s="1" t="str">
        <f>HYPERLINK("http://google.gy","google.gy")</f>
        <v>google.gy</v>
      </c>
      <c r="C2560" t="s">
        <v>593</v>
      </c>
      <c r="D2560" t="s">
        <v>928</v>
      </c>
      <c r="E2560">
        <v>12408</v>
      </c>
      <c r="F2560">
        <v>1.04328835260183E-6</v>
      </c>
      <c r="G2560">
        <v>36745</v>
      </c>
      <c r="H2560">
        <v>17606054</v>
      </c>
      <c r="I2560">
        <v>9498</v>
      </c>
      <c r="J2560">
        <v>4</v>
      </c>
    </row>
    <row r="2561" spans="1:10" x14ac:dyDescent="0.25">
      <c r="A2561" t="s">
        <v>27</v>
      </c>
      <c r="B2561" s="1" t="str">
        <f>HYPERLINK("http://google.com.hk","google.com.hk")</f>
        <v>google.com.hk</v>
      </c>
      <c r="C2561" t="s">
        <v>450</v>
      </c>
      <c r="D2561" t="s">
        <v>827</v>
      </c>
      <c r="E2561">
        <v>119</v>
      </c>
      <c r="F2561">
        <v>1.27926529354121E-5</v>
      </c>
      <c r="G2561">
        <v>2719</v>
      </c>
      <c r="H2561">
        <v>18957588</v>
      </c>
      <c r="I2561">
        <v>580</v>
      </c>
      <c r="J2561">
        <v>4</v>
      </c>
    </row>
    <row r="2562" spans="1:10" x14ac:dyDescent="0.25">
      <c r="A2562" t="s">
        <v>27</v>
      </c>
      <c r="B2562" s="1" t="str">
        <f>HYPERLINK("http://google.hk","google.hk")</f>
        <v>google.hk</v>
      </c>
      <c r="C2562" t="s">
        <v>450</v>
      </c>
      <c r="D2562" t="s">
        <v>827</v>
      </c>
      <c r="E2562">
        <v>85995</v>
      </c>
      <c r="F2562">
        <v>3.3980426058741503E-7</v>
      </c>
      <c r="G2562">
        <v>109819</v>
      </c>
      <c r="H2562">
        <v>17115416</v>
      </c>
      <c r="I2562">
        <v>61098</v>
      </c>
      <c r="J2562">
        <v>4</v>
      </c>
    </row>
    <row r="2563" spans="1:10" x14ac:dyDescent="0.25">
      <c r="A2563" t="s">
        <v>27</v>
      </c>
      <c r="B2563" s="1" t="str">
        <f>HYPERLINK("http://google.hn","google.hn")</f>
        <v>google.hn</v>
      </c>
      <c r="C2563" t="s">
        <v>451</v>
      </c>
      <c r="D2563" t="s">
        <v>828</v>
      </c>
      <c r="E2563">
        <v>10792</v>
      </c>
      <c r="F2563">
        <v>1.5666509301912999E-6</v>
      </c>
      <c r="G2563">
        <v>25053</v>
      </c>
      <c r="H2563">
        <v>17745824</v>
      </c>
      <c r="I2563">
        <v>6433</v>
      </c>
      <c r="J2563">
        <v>4</v>
      </c>
    </row>
    <row r="2564" spans="1:10" x14ac:dyDescent="0.25">
      <c r="A2564" t="s">
        <v>27</v>
      </c>
      <c r="B2564" s="1" t="str">
        <f>HYPERLINK("http://google.hr","google.hr")</f>
        <v>google.hr</v>
      </c>
      <c r="C2564" t="s">
        <v>452</v>
      </c>
      <c r="D2564" t="s">
        <v>829</v>
      </c>
      <c r="E2564">
        <v>6744</v>
      </c>
      <c r="F2564">
        <v>3.5379777401987101E-6</v>
      </c>
      <c r="G2564">
        <v>11568</v>
      </c>
      <c r="H2564">
        <v>17907900</v>
      </c>
      <c r="I2564">
        <v>4394</v>
      </c>
      <c r="J2564">
        <v>4</v>
      </c>
    </row>
    <row r="2565" spans="1:10" x14ac:dyDescent="0.25">
      <c r="A2565" t="s">
        <v>27</v>
      </c>
      <c r="B2565" s="1" t="str">
        <f>HYPERLINK("http://google.ht","google.ht")</f>
        <v>google.ht</v>
      </c>
      <c r="C2565" t="s">
        <v>646</v>
      </c>
      <c r="D2565" t="s">
        <v>965</v>
      </c>
      <c r="E2565">
        <v>11841</v>
      </c>
      <c r="F2565">
        <v>1.17553543728956E-6</v>
      </c>
      <c r="G2565">
        <v>33082</v>
      </c>
      <c r="H2565">
        <v>17810266</v>
      </c>
      <c r="I2565">
        <v>5458</v>
      </c>
      <c r="J2565">
        <v>4</v>
      </c>
    </row>
    <row r="2566" spans="1:10" x14ac:dyDescent="0.25">
      <c r="A2566" t="s">
        <v>27</v>
      </c>
      <c r="B2566" s="1" t="str">
        <f>HYPERLINK("http://google.co.hu","google.co.hu")</f>
        <v>google.co.hu</v>
      </c>
      <c r="C2566" t="s">
        <v>453</v>
      </c>
      <c r="D2566" t="s">
        <v>830</v>
      </c>
      <c r="E2566">
        <v>45719</v>
      </c>
      <c r="F2566">
        <v>2.8689649621240998E-7</v>
      </c>
      <c r="G2566">
        <v>129574</v>
      </c>
      <c r="H2566">
        <v>17091662</v>
      </c>
      <c r="I2566">
        <v>65554</v>
      </c>
      <c r="J2566">
        <v>4</v>
      </c>
    </row>
    <row r="2567" spans="1:10" x14ac:dyDescent="0.25">
      <c r="A2567" t="s">
        <v>27</v>
      </c>
      <c r="B2567" s="1" t="str">
        <f>HYPERLINK("http://google.hu","google.hu")</f>
        <v>google.hu</v>
      </c>
      <c r="C2567" t="s">
        <v>453</v>
      </c>
      <c r="D2567" t="s">
        <v>830</v>
      </c>
      <c r="E2567">
        <v>4322</v>
      </c>
      <c r="F2567">
        <v>9.3344222902986893E-6</v>
      </c>
      <c r="G2567">
        <v>3624</v>
      </c>
      <c r="H2567">
        <v>18114740</v>
      </c>
      <c r="I2567">
        <v>3063</v>
      </c>
      <c r="J2567">
        <v>4</v>
      </c>
    </row>
    <row r="2568" spans="1:10" x14ac:dyDescent="0.25">
      <c r="A2568" t="s">
        <v>27</v>
      </c>
      <c r="B2568" s="1" t="str">
        <f>HYPERLINK("http://waze.hu","waze.hu")</f>
        <v>waze.hu</v>
      </c>
      <c r="C2568" t="s">
        <v>453</v>
      </c>
      <c r="D2568" t="s">
        <v>830</v>
      </c>
      <c r="F2568">
        <v>9.1957054551379808E-9</v>
      </c>
      <c r="G2568">
        <v>7715784</v>
      </c>
      <c r="H2568">
        <v>13768577</v>
      </c>
      <c r="I2568">
        <v>6866830</v>
      </c>
      <c r="J2568">
        <v>5</v>
      </c>
    </row>
    <row r="2569" spans="1:10" x14ac:dyDescent="0.25">
      <c r="A2569" t="s">
        <v>27</v>
      </c>
      <c r="B2569" s="1" t="str">
        <f>HYPERLINK("http://google.co.id","google.co.id")</f>
        <v>google.co.id</v>
      </c>
      <c r="C2569" t="s">
        <v>454</v>
      </c>
      <c r="D2569" t="s">
        <v>831</v>
      </c>
      <c r="E2569">
        <v>1760</v>
      </c>
      <c r="F2569">
        <v>8.5323811712906799E-6</v>
      </c>
      <c r="G2569">
        <v>3957</v>
      </c>
      <c r="H2569">
        <v>18062336</v>
      </c>
      <c r="I2569">
        <v>3319</v>
      </c>
      <c r="J2569">
        <v>4</v>
      </c>
    </row>
    <row r="2570" spans="1:10" x14ac:dyDescent="0.25">
      <c r="A2570" t="s">
        <v>27</v>
      </c>
      <c r="B2570" s="1" t="str">
        <f>HYPERLINK("http://youtube.co.id","youtube.co.id")</f>
        <v>youtube.co.id</v>
      </c>
      <c r="C2570" t="s">
        <v>454</v>
      </c>
      <c r="D2570" t="s">
        <v>831</v>
      </c>
      <c r="E2570">
        <v>969896</v>
      </c>
      <c r="F2570">
        <v>1.8077606681396001E-6</v>
      </c>
      <c r="G2570">
        <v>21211</v>
      </c>
      <c r="H2570">
        <v>16004636</v>
      </c>
      <c r="I2570">
        <v>366383</v>
      </c>
      <c r="J2570">
        <v>5</v>
      </c>
    </row>
    <row r="2571" spans="1:10" x14ac:dyDescent="0.25">
      <c r="A2571" t="s">
        <v>27</v>
      </c>
      <c r="B2571" s="1" t="str">
        <f>HYPERLINK("http://google.ie","google.ie")</f>
        <v>google.ie</v>
      </c>
      <c r="C2571" t="s">
        <v>455</v>
      </c>
      <c r="D2571" t="s">
        <v>832</v>
      </c>
      <c r="E2571">
        <v>5400</v>
      </c>
      <c r="F2571">
        <v>7.0055834489316901E-6</v>
      </c>
      <c r="G2571">
        <v>4801</v>
      </c>
      <c r="H2571">
        <v>18236696</v>
      </c>
      <c r="I2571">
        <v>2590</v>
      </c>
      <c r="J2571">
        <v>4</v>
      </c>
    </row>
    <row r="2572" spans="1:10" x14ac:dyDescent="0.25">
      <c r="A2572" t="s">
        <v>27</v>
      </c>
      <c r="B2572" s="1" t="str">
        <f>HYPERLINK("http://youtube.ie","youtube.ie")</f>
        <v>youtube.ie</v>
      </c>
      <c r="C2572" t="s">
        <v>455</v>
      </c>
      <c r="D2572" t="s">
        <v>832</v>
      </c>
      <c r="E2572">
        <v>873523</v>
      </c>
      <c r="F2572">
        <v>1.80664178342512E-6</v>
      </c>
      <c r="G2572">
        <v>21247</v>
      </c>
      <c r="H2572">
        <v>15872727</v>
      </c>
      <c r="I2572">
        <v>367378</v>
      </c>
      <c r="J2572">
        <v>5</v>
      </c>
    </row>
    <row r="2573" spans="1:10" x14ac:dyDescent="0.25">
      <c r="A2573" t="s">
        <v>27</v>
      </c>
      <c r="B2573" s="1" t="str">
        <f>HYPERLINK("http://cashcow.co.il","cashcow.co.il")</f>
        <v>cashcow.co.il</v>
      </c>
      <c r="C2573" t="s">
        <v>456</v>
      </c>
      <c r="D2573" t="s">
        <v>833</v>
      </c>
      <c r="E2573">
        <v>485139</v>
      </c>
      <c r="F2573">
        <v>5.8590254269025802E-8</v>
      </c>
      <c r="G2573">
        <v>757839</v>
      </c>
      <c r="H2573">
        <v>13969237</v>
      </c>
      <c r="I2573">
        <v>4078912</v>
      </c>
      <c r="J2573">
        <v>9</v>
      </c>
    </row>
    <row r="2574" spans="1:10" x14ac:dyDescent="0.25">
      <c r="A2574" t="s">
        <v>27</v>
      </c>
      <c r="B2574" s="1" t="str">
        <f>HYPERLINK("http://google.co.il","google.co.il")</f>
        <v>google.co.il</v>
      </c>
      <c r="C2574" t="s">
        <v>456</v>
      </c>
      <c r="D2574" t="s">
        <v>833</v>
      </c>
      <c r="E2574">
        <v>3791</v>
      </c>
      <c r="F2574">
        <v>3.3066043023631501E-6</v>
      </c>
      <c r="G2574">
        <v>12150</v>
      </c>
      <c r="H2574">
        <v>17872224</v>
      </c>
      <c r="I2574">
        <v>4732</v>
      </c>
      <c r="J2574">
        <v>4</v>
      </c>
    </row>
    <row r="2575" spans="1:10" x14ac:dyDescent="0.25">
      <c r="A2575" t="s">
        <v>27</v>
      </c>
      <c r="B2575" s="1" t="str">
        <f>HYPERLINK("http://kidumplus.co.il","kidumplus.co.il")</f>
        <v>kidumplus.co.il</v>
      </c>
      <c r="C2575" t="s">
        <v>456</v>
      </c>
      <c r="D2575" t="s">
        <v>833</v>
      </c>
      <c r="E2575">
        <v>211726</v>
      </c>
      <c r="F2575">
        <v>8.1798729360523202E-8</v>
      </c>
      <c r="G2575">
        <v>510205</v>
      </c>
      <c r="H2575">
        <v>12938297</v>
      </c>
      <c r="I2575">
        <v>13311929</v>
      </c>
      <c r="J2575">
        <v>7</v>
      </c>
    </row>
    <row r="2576" spans="1:10" x14ac:dyDescent="0.25">
      <c r="A2576" t="s">
        <v>27</v>
      </c>
      <c r="B2576" s="1" t="str">
        <f>HYPERLINK("http://waze.co.il","waze.co.il")</f>
        <v>waze.co.il</v>
      </c>
      <c r="C2576" t="s">
        <v>456</v>
      </c>
      <c r="D2576" t="s">
        <v>833</v>
      </c>
      <c r="E2576">
        <v>208502</v>
      </c>
      <c r="F2576">
        <v>1.9960281007683599E-7</v>
      </c>
      <c r="G2576">
        <v>191160</v>
      </c>
      <c r="H2576">
        <v>14491826</v>
      </c>
      <c r="I2576">
        <v>899757</v>
      </c>
      <c r="J2576">
        <v>5</v>
      </c>
    </row>
    <row r="2577" spans="1:10" x14ac:dyDescent="0.25">
      <c r="A2577" t="s">
        <v>27</v>
      </c>
      <c r="B2577" s="1" t="str">
        <f>HYPERLINK("http://cityofdavid.org.il","cityofdavid.org.il")</f>
        <v>cityofdavid.org.il</v>
      </c>
      <c r="C2577" t="s">
        <v>456</v>
      </c>
      <c r="D2577" t="s">
        <v>833</v>
      </c>
      <c r="E2577">
        <v>433292</v>
      </c>
      <c r="F2577">
        <v>9.7553457302598805E-8</v>
      </c>
      <c r="G2577">
        <v>413935</v>
      </c>
      <c r="H2577">
        <v>15220174</v>
      </c>
      <c r="I2577">
        <v>393357</v>
      </c>
      <c r="J2577">
        <v>6</v>
      </c>
    </row>
    <row r="2578" spans="1:10" x14ac:dyDescent="0.25">
      <c r="A2578" t="s">
        <v>27</v>
      </c>
      <c r="B2578" s="1" t="str">
        <f>HYPERLINK("http://google.co.im","google.co.im")</f>
        <v>google.co.im</v>
      </c>
      <c r="C2578" t="s">
        <v>570</v>
      </c>
      <c r="D2578" t="s">
        <v>917</v>
      </c>
      <c r="E2578">
        <v>52018</v>
      </c>
      <c r="F2578">
        <v>3.13135717257063E-7</v>
      </c>
      <c r="G2578">
        <v>118733</v>
      </c>
      <c r="H2578">
        <v>17133194</v>
      </c>
      <c r="I2578">
        <v>55967</v>
      </c>
      <c r="J2578">
        <v>4</v>
      </c>
    </row>
    <row r="2579" spans="1:10" x14ac:dyDescent="0.25">
      <c r="A2579" t="s">
        <v>27</v>
      </c>
      <c r="B2579" s="1" t="str">
        <f>HYPERLINK("http://google.im","google.im")</f>
        <v>google.im</v>
      </c>
      <c r="C2579" t="s">
        <v>570</v>
      </c>
      <c r="D2579" t="s">
        <v>917</v>
      </c>
      <c r="E2579">
        <v>12731</v>
      </c>
      <c r="F2579">
        <v>9.9878535381863108E-7</v>
      </c>
      <c r="G2579">
        <v>38297</v>
      </c>
      <c r="H2579">
        <v>17647214</v>
      </c>
      <c r="I2579">
        <v>8444</v>
      </c>
      <c r="J2579">
        <v>4</v>
      </c>
    </row>
    <row r="2580" spans="1:10" x14ac:dyDescent="0.25">
      <c r="A2580" t="s">
        <v>27</v>
      </c>
      <c r="B2580" s="1" t="str">
        <f>HYPERLINK("http://ankitmahato.blogspot.in","ankitmahato.blogspot.in")</f>
        <v>ankitmahato.blogspot.in</v>
      </c>
      <c r="C2580" t="s">
        <v>457</v>
      </c>
      <c r="D2580" t="s">
        <v>834</v>
      </c>
      <c r="J2580">
        <v>5</v>
      </c>
    </row>
    <row r="2581" spans="1:10" x14ac:dyDescent="0.25">
      <c r="A2581" t="s">
        <v>27</v>
      </c>
      <c r="B2581" s="1" t="str">
        <f>HYPERLINK("http://bluppin.blogspot.in","bluppin.blogspot.in")</f>
        <v>bluppin.blogspot.in</v>
      </c>
      <c r="C2581" t="s">
        <v>457</v>
      </c>
      <c r="D2581" t="s">
        <v>834</v>
      </c>
      <c r="J2581">
        <v>5</v>
      </c>
    </row>
    <row r="2582" spans="1:10" x14ac:dyDescent="0.25">
      <c r="A2582" t="s">
        <v>27</v>
      </c>
      <c r="B2582" s="1" t="str">
        <f>HYPERLINK("http://smartsocialpcs.blogspot.in","smartsocialpcs.blogspot.in")</f>
        <v>smartsocialpcs.blogspot.in</v>
      </c>
      <c r="C2582" t="s">
        <v>457</v>
      </c>
      <c r="D2582" t="s">
        <v>834</v>
      </c>
      <c r="J2582">
        <v>5</v>
      </c>
    </row>
    <row r="2583" spans="1:10" x14ac:dyDescent="0.25">
      <c r="A2583" t="s">
        <v>27</v>
      </c>
      <c r="B2583" s="1" t="str">
        <f>HYPERLINK("http://google.co.in","google.co.in")</f>
        <v>google.co.in</v>
      </c>
      <c r="C2583" t="s">
        <v>457</v>
      </c>
      <c r="D2583" t="s">
        <v>834</v>
      </c>
      <c r="E2583">
        <v>240</v>
      </c>
      <c r="F2583">
        <v>2.58611002569182E-5</v>
      </c>
      <c r="G2583">
        <v>1145</v>
      </c>
      <c r="H2583">
        <v>18464392</v>
      </c>
      <c r="I2583">
        <v>1731</v>
      </c>
      <c r="J2583">
        <v>4</v>
      </c>
    </row>
    <row r="2584" spans="1:10" x14ac:dyDescent="0.25">
      <c r="A2584" t="s">
        <v>27</v>
      </c>
      <c r="B2584" s="1" t="str">
        <f>HYPERLINK("http://hindiaccounting.in","hindiaccounting.in")</f>
        <v>hindiaccounting.in</v>
      </c>
      <c r="C2584" t="s">
        <v>457</v>
      </c>
      <c r="D2584" t="s">
        <v>834</v>
      </c>
      <c r="F2584">
        <v>7.75602382045451E-9</v>
      </c>
      <c r="G2584">
        <v>10447983</v>
      </c>
      <c r="H2584">
        <v>14060724</v>
      </c>
      <c r="I2584">
        <v>3878985</v>
      </c>
      <c r="J2584">
        <v>8</v>
      </c>
    </row>
    <row r="2585" spans="1:10" x14ac:dyDescent="0.25">
      <c r="A2585" t="s">
        <v>27</v>
      </c>
      <c r="B2585" s="1" t="str">
        <f>HYPERLINK("http://google.info","google.info")</f>
        <v>google.info</v>
      </c>
      <c r="C2585" t="s">
        <v>458</v>
      </c>
      <c r="E2585">
        <v>125572</v>
      </c>
      <c r="F2585">
        <v>9.0323375583719194E-8</v>
      </c>
      <c r="G2585">
        <v>451659</v>
      </c>
      <c r="H2585">
        <v>16969522</v>
      </c>
      <c r="I2585">
        <v>102983</v>
      </c>
      <c r="J2585">
        <v>4</v>
      </c>
    </row>
    <row r="2586" spans="1:10" x14ac:dyDescent="0.25">
      <c r="A2586" t="s">
        <v>27</v>
      </c>
      <c r="B2586" s="1" t="str">
        <f>HYPERLINK("http://alooma.io","alooma.io")</f>
        <v>alooma.io</v>
      </c>
      <c r="C2586" t="s">
        <v>518</v>
      </c>
      <c r="E2586">
        <v>437419</v>
      </c>
      <c r="F2586">
        <v>1.0018367206432699E-8</v>
      </c>
      <c r="G2586">
        <v>6737533</v>
      </c>
      <c r="H2586">
        <v>12425369</v>
      </c>
      <c r="I2586">
        <v>18369864</v>
      </c>
      <c r="J2586">
        <v>7</v>
      </c>
    </row>
    <row r="2587" spans="1:10" x14ac:dyDescent="0.25">
      <c r="A2587" t="s">
        <v>27</v>
      </c>
      <c r="B2587" s="1" t="str">
        <f>HYPERLINK("http://apigee.io","apigee.io")</f>
        <v>apigee.io</v>
      </c>
      <c r="C2587" t="s">
        <v>518</v>
      </c>
      <c r="F2587">
        <v>1.4283499448663999E-7</v>
      </c>
      <c r="G2587">
        <v>272553</v>
      </c>
      <c r="H2587">
        <v>13492033</v>
      </c>
      <c r="I2587">
        <v>9984665</v>
      </c>
      <c r="J2587">
        <v>5</v>
      </c>
    </row>
    <row r="2588" spans="1:10" x14ac:dyDescent="0.25">
      <c r="A2588" t="s">
        <v>27</v>
      </c>
      <c r="B2588" s="1" t="str">
        <f>HYPERLINK("http://google.com.iq","google.com.iq")</f>
        <v>google.com.iq</v>
      </c>
      <c r="C2588" t="s">
        <v>647</v>
      </c>
      <c r="D2588" t="s">
        <v>966</v>
      </c>
      <c r="E2588">
        <v>32343</v>
      </c>
      <c r="F2588">
        <v>1.34287094571437E-7</v>
      </c>
      <c r="G2588">
        <v>290748</v>
      </c>
      <c r="H2588">
        <v>17069304</v>
      </c>
      <c r="I2588">
        <v>71178</v>
      </c>
      <c r="J2588">
        <v>4</v>
      </c>
    </row>
    <row r="2589" spans="1:10" x14ac:dyDescent="0.25">
      <c r="A2589" t="s">
        <v>27</v>
      </c>
      <c r="B2589" s="1" t="str">
        <f>HYPERLINK("http://google.iq","google.iq")</f>
        <v>google.iq</v>
      </c>
      <c r="C2589" t="s">
        <v>647</v>
      </c>
      <c r="D2589" t="s">
        <v>966</v>
      </c>
      <c r="E2589">
        <v>7922</v>
      </c>
      <c r="F2589">
        <v>1.1606890214967999E-6</v>
      </c>
      <c r="G2589">
        <v>33449</v>
      </c>
      <c r="H2589">
        <v>17658902</v>
      </c>
      <c r="I2589">
        <v>8173</v>
      </c>
      <c r="J2589">
        <v>4</v>
      </c>
    </row>
    <row r="2590" spans="1:10" x14ac:dyDescent="0.25">
      <c r="A2590" t="s">
        <v>27</v>
      </c>
      <c r="B2590" s="1" t="str">
        <f>HYPERLINK("http://google.is","google.is")</f>
        <v>google.is</v>
      </c>
      <c r="C2590" t="s">
        <v>594</v>
      </c>
      <c r="D2590" t="s">
        <v>929</v>
      </c>
      <c r="E2590">
        <v>10199</v>
      </c>
      <c r="F2590">
        <v>1.4804728067708001E-6</v>
      </c>
      <c r="G2590">
        <v>26481</v>
      </c>
      <c r="H2590">
        <v>17815072</v>
      </c>
      <c r="I2590">
        <v>5396</v>
      </c>
      <c r="J2590">
        <v>4</v>
      </c>
    </row>
    <row r="2591" spans="1:10" x14ac:dyDescent="0.25">
      <c r="A2591" t="s">
        <v>27</v>
      </c>
      <c r="B2591" s="1" t="str">
        <f>HYPERLINK("http://google.it","google.it")</f>
        <v>google.it</v>
      </c>
      <c r="C2591" t="s">
        <v>459</v>
      </c>
      <c r="D2591" t="s">
        <v>835</v>
      </c>
      <c r="E2591">
        <v>779</v>
      </c>
      <c r="F2591">
        <v>6.8832305563033204E-5</v>
      </c>
      <c r="G2591">
        <v>383</v>
      </c>
      <c r="H2591">
        <v>18760580</v>
      </c>
      <c r="I2591">
        <v>877</v>
      </c>
      <c r="J2591">
        <v>4</v>
      </c>
    </row>
    <row r="2592" spans="1:10" x14ac:dyDescent="0.25">
      <c r="A2592" t="s">
        <v>27</v>
      </c>
      <c r="B2592" s="1" t="str">
        <f>HYPERLINK("http://google.co.je","google.co.je")</f>
        <v>google.co.je</v>
      </c>
      <c r="C2592" t="s">
        <v>648</v>
      </c>
      <c r="D2592" t="s">
        <v>967</v>
      </c>
      <c r="E2592">
        <v>50404</v>
      </c>
      <c r="F2592">
        <v>2.9556271154820001E-7</v>
      </c>
      <c r="G2592">
        <v>125865</v>
      </c>
      <c r="H2592">
        <v>17056008</v>
      </c>
      <c r="I2592">
        <v>75036</v>
      </c>
      <c r="J2592">
        <v>4</v>
      </c>
    </row>
    <row r="2593" spans="1:10" x14ac:dyDescent="0.25">
      <c r="A2593" t="s">
        <v>27</v>
      </c>
      <c r="B2593" s="1" t="str">
        <f>HYPERLINK("http://google.je","google.je")</f>
        <v>google.je</v>
      </c>
      <c r="C2593" t="s">
        <v>648</v>
      </c>
      <c r="D2593" t="s">
        <v>967</v>
      </c>
      <c r="E2593">
        <v>12062</v>
      </c>
      <c r="F2593">
        <v>1.0881896682605399E-6</v>
      </c>
      <c r="G2593">
        <v>35415</v>
      </c>
      <c r="H2593">
        <v>17812348</v>
      </c>
      <c r="I2593">
        <v>5431</v>
      </c>
      <c r="J2593">
        <v>4</v>
      </c>
    </row>
    <row r="2594" spans="1:10" x14ac:dyDescent="0.25">
      <c r="A2594" t="s">
        <v>27</v>
      </c>
      <c r="B2594" s="1" t="str">
        <f>HYPERLINK("http://google.com.jm","google.com.jm")</f>
        <v>google.com.jm</v>
      </c>
      <c r="C2594" t="s">
        <v>460</v>
      </c>
      <c r="D2594" t="s">
        <v>836</v>
      </c>
      <c r="E2594">
        <v>10567</v>
      </c>
      <c r="F2594">
        <v>1.1919635367334601E-6</v>
      </c>
      <c r="G2594">
        <v>32699</v>
      </c>
      <c r="H2594">
        <v>17803136</v>
      </c>
      <c r="I2594">
        <v>5548</v>
      </c>
      <c r="J2594">
        <v>4</v>
      </c>
    </row>
    <row r="2595" spans="1:10" x14ac:dyDescent="0.25">
      <c r="A2595" t="s">
        <v>27</v>
      </c>
      <c r="B2595" s="1" t="str">
        <f>HYPERLINK("http://google.com.jo","google.com.jo")</f>
        <v>google.com.jo</v>
      </c>
      <c r="C2595" t="s">
        <v>519</v>
      </c>
      <c r="D2595" t="s">
        <v>889</v>
      </c>
      <c r="E2595">
        <v>668357</v>
      </c>
      <c r="F2595">
        <v>9.8648600112695805E-8</v>
      </c>
      <c r="G2595">
        <v>408559</v>
      </c>
      <c r="H2595">
        <v>16830996</v>
      </c>
      <c r="I2595">
        <v>168156</v>
      </c>
      <c r="J2595">
        <v>5</v>
      </c>
    </row>
    <row r="2596" spans="1:10" x14ac:dyDescent="0.25">
      <c r="A2596" t="s">
        <v>27</v>
      </c>
      <c r="B2596" s="1" t="str">
        <f>HYPERLINK("http://google.jo","google.jo")</f>
        <v>google.jo</v>
      </c>
      <c r="C2596" t="s">
        <v>519</v>
      </c>
      <c r="D2596" t="s">
        <v>889</v>
      </c>
      <c r="E2596">
        <v>8988</v>
      </c>
      <c r="F2596">
        <v>1.50528439682561E-6</v>
      </c>
      <c r="G2596">
        <v>26053</v>
      </c>
      <c r="H2596">
        <v>17763378</v>
      </c>
      <c r="I2596">
        <v>6124</v>
      </c>
      <c r="J2596">
        <v>4</v>
      </c>
    </row>
    <row r="2597" spans="1:10" x14ac:dyDescent="0.25">
      <c r="A2597" t="s">
        <v>27</v>
      </c>
      <c r="B2597" s="1" t="str">
        <f>HYPERLINK("http://google.co.jp","google.co.jp")</f>
        <v>google.co.jp</v>
      </c>
      <c r="C2597" t="s">
        <v>461</v>
      </c>
      <c r="D2597" t="s">
        <v>837</v>
      </c>
      <c r="E2597">
        <v>379</v>
      </c>
      <c r="F2597">
        <v>1.0961209462971701E-4</v>
      </c>
      <c r="G2597">
        <v>241</v>
      </c>
      <c r="H2597">
        <v>18828214</v>
      </c>
      <c r="I2597">
        <v>752</v>
      </c>
      <c r="J2597">
        <v>4</v>
      </c>
    </row>
    <row r="2598" spans="1:10" x14ac:dyDescent="0.25">
      <c r="A2598" t="s">
        <v>27</v>
      </c>
      <c r="B2598" s="1" t="str">
        <f>HYPERLINK("http://google.jp","google.jp")</f>
        <v>google.jp</v>
      </c>
      <c r="C2598" t="s">
        <v>461</v>
      </c>
      <c r="D2598" t="s">
        <v>837</v>
      </c>
      <c r="E2598">
        <v>55898</v>
      </c>
      <c r="F2598">
        <v>5.6987825036099297E-7</v>
      </c>
      <c r="G2598">
        <v>67045</v>
      </c>
      <c r="H2598">
        <v>17176266</v>
      </c>
      <c r="I2598">
        <v>46317</v>
      </c>
      <c r="J2598">
        <v>4</v>
      </c>
    </row>
    <row r="2599" spans="1:10" x14ac:dyDescent="0.25">
      <c r="A2599" t="s">
        <v>27</v>
      </c>
      <c r="B2599" s="1" t="str">
        <f>HYPERLINK("http://google.co.ke","google.co.ke")</f>
        <v>google.co.ke</v>
      </c>
      <c r="C2599" t="s">
        <v>462</v>
      </c>
      <c r="D2599" t="s">
        <v>838</v>
      </c>
      <c r="E2599">
        <v>9318</v>
      </c>
      <c r="F2599">
        <v>5.7768973905718198E-6</v>
      </c>
      <c r="G2599">
        <v>6003</v>
      </c>
      <c r="H2599">
        <v>18738996</v>
      </c>
      <c r="I2599">
        <v>930</v>
      </c>
      <c r="J2599">
        <v>4</v>
      </c>
    </row>
    <row r="2600" spans="1:10" x14ac:dyDescent="0.25">
      <c r="A2600" t="s">
        <v>27</v>
      </c>
      <c r="B2600" s="1" t="str">
        <f>HYPERLINK("http://youtube.co.ke","youtube.co.ke")</f>
        <v>youtube.co.ke</v>
      </c>
      <c r="C2600" t="s">
        <v>462</v>
      </c>
      <c r="D2600" t="s">
        <v>838</v>
      </c>
      <c r="F2600">
        <v>1.80454686389207E-6</v>
      </c>
      <c r="G2600">
        <v>21322</v>
      </c>
      <c r="H2600">
        <v>15922104</v>
      </c>
      <c r="I2600">
        <v>367003</v>
      </c>
      <c r="J2600">
        <v>5</v>
      </c>
    </row>
    <row r="2601" spans="1:10" x14ac:dyDescent="0.25">
      <c r="A2601" t="s">
        <v>27</v>
      </c>
      <c r="B2601" s="1" t="str">
        <f>HYPERLINK("http://google.kg","google.kg")</f>
        <v>google.kg</v>
      </c>
      <c r="C2601" t="s">
        <v>649</v>
      </c>
      <c r="D2601" t="s">
        <v>968</v>
      </c>
      <c r="E2601">
        <v>10886</v>
      </c>
      <c r="F2601">
        <v>1.1693082133941001E-6</v>
      </c>
      <c r="G2601">
        <v>33221</v>
      </c>
      <c r="H2601">
        <v>17661386</v>
      </c>
      <c r="I2601">
        <v>8134</v>
      </c>
      <c r="J2601">
        <v>4</v>
      </c>
    </row>
    <row r="2602" spans="1:10" x14ac:dyDescent="0.25">
      <c r="A2602" t="s">
        <v>27</v>
      </c>
      <c r="B2602" s="1" t="str">
        <f>HYPERLINK("http://google.com.kh","google.com.kh")</f>
        <v>google.com.kh</v>
      </c>
      <c r="C2602" t="s">
        <v>512</v>
      </c>
      <c r="D2602" t="s">
        <v>886</v>
      </c>
      <c r="E2602">
        <v>10006</v>
      </c>
      <c r="F2602">
        <v>1.36601719027287E-6</v>
      </c>
      <c r="G2602">
        <v>28502</v>
      </c>
      <c r="H2602">
        <v>17815450</v>
      </c>
      <c r="I2602">
        <v>5392</v>
      </c>
      <c r="J2602">
        <v>4</v>
      </c>
    </row>
    <row r="2603" spans="1:10" x14ac:dyDescent="0.25">
      <c r="A2603" t="s">
        <v>27</v>
      </c>
      <c r="B2603" s="1" t="str">
        <f>HYPERLINK("http://google.ki","google.ki")</f>
        <v>google.ki</v>
      </c>
      <c r="C2603" t="s">
        <v>650</v>
      </c>
      <c r="D2603" t="s">
        <v>969</v>
      </c>
      <c r="E2603">
        <v>12379</v>
      </c>
      <c r="F2603">
        <v>8.7651350050719702E-7</v>
      </c>
      <c r="G2603">
        <v>45748</v>
      </c>
      <c r="H2603">
        <v>17688204</v>
      </c>
      <c r="I2603">
        <v>7564</v>
      </c>
      <c r="J2603">
        <v>4</v>
      </c>
    </row>
    <row r="2604" spans="1:10" x14ac:dyDescent="0.25">
      <c r="A2604" t="s">
        <v>27</v>
      </c>
      <c r="B2604" s="1" t="str">
        <f>HYPERLINK("http://google.co.kr","google.co.kr")</f>
        <v>google.co.kr</v>
      </c>
      <c r="C2604" t="s">
        <v>463</v>
      </c>
      <c r="D2604" t="s">
        <v>839</v>
      </c>
      <c r="E2604">
        <v>1255</v>
      </c>
      <c r="F2604">
        <v>5.9659185464512399E-6</v>
      </c>
      <c r="G2604">
        <v>5776</v>
      </c>
      <c r="H2604">
        <v>17800648</v>
      </c>
      <c r="I2604">
        <v>5581</v>
      </c>
      <c r="J2604">
        <v>4</v>
      </c>
    </row>
    <row r="2605" spans="1:10" x14ac:dyDescent="0.25">
      <c r="A2605" t="s">
        <v>27</v>
      </c>
      <c r="B2605" s="1" t="str">
        <f>HYPERLINK("http://orgdot.co.kr","orgdot.co.kr")</f>
        <v>orgdot.co.kr</v>
      </c>
      <c r="C2605" t="s">
        <v>463</v>
      </c>
      <c r="D2605" t="s">
        <v>839</v>
      </c>
      <c r="F2605">
        <v>8.0102258529174795E-9</v>
      </c>
      <c r="G2605">
        <v>9902009</v>
      </c>
      <c r="H2605">
        <v>13019888</v>
      </c>
      <c r="I2605">
        <v>12713652</v>
      </c>
      <c r="J2605">
        <v>9</v>
      </c>
    </row>
    <row r="2606" spans="1:10" x14ac:dyDescent="0.25">
      <c r="A2606" t="s">
        <v>27</v>
      </c>
      <c r="B2606" s="1" t="str">
        <f>HYPERLINK("http://google.com.kw","google.com.kw")</f>
        <v>google.com.kw</v>
      </c>
      <c r="C2606" t="s">
        <v>464</v>
      </c>
      <c r="D2606" t="s">
        <v>840</v>
      </c>
      <c r="E2606">
        <v>7838</v>
      </c>
      <c r="F2606">
        <v>1.3221859860042801E-6</v>
      </c>
      <c r="G2606">
        <v>29366</v>
      </c>
      <c r="H2606">
        <v>17757548</v>
      </c>
      <c r="I2606">
        <v>6233</v>
      </c>
      <c r="J2606">
        <v>4</v>
      </c>
    </row>
    <row r="2607" spans="1:10" x14ac:dyDescent="0.25">
      <c r="A2607" t="s">
        <v>27</v>
      </c>
      <c r="B2607" s="1" t="str">
        <f>HYPERLINK("http://google.kz","google.kz")</f>
        <v>google.kz</v>
      </c>
      <c r="C2607" t="s">
        <v>465</v>
      </c>
      <c r="D2607" t="s">
        <v>841</v>
      </c>
      <c r="E2607">
        <v>5256</v>
      </c>
      <c r="F2607">
        <v>1.319648948962E-6</v>
      </c>
      <c r="G2607">
        <v>29412</v>
      </c>
      <c r="H2607">
        <v>17754582</v>
      </c>
      <c r="I2607">
        <v>6290</v>
      </c>
      <c r="J2607">
        <v>4</v>
      </c>
    </row>
    <row r="2608" spans="1:10" x14ac:dyDescent="0.25">
      <c r="A2608" t="s">
        <v>27</v>
      </c>
      <c r="B2608" s="1" t="str">
        <f>HYPERLINK("http://google.la","google.la")</f>
        <v>google.la</v>
      </c>
      <c r="C2608" t="s">
        <v>595</v>
      </c>
      <c r="D2608" t="s">
        <v>930</v>
      </c>
      <c r="E2608">
        <v>11440</v>
      </c>
      <c r="F2608">
        <v>1.1261772164100199E-6</v>
      </c>
      <c r="G2608">
        <v>34243</v>
      </c>
      <c r="H2608">
        <v>17819386</v>
      </c>
      <c r="I2608">
        <v>5340</v>
      </c>
      <c r="J2608">
        <v>4</v>
      </c>
    </row>
    <row r="2609" spans="1:10" x14ac:dyDescent="0.25">
      <c r="A2609" t="s">
        <v>27</v>
      </c>
      <c r="B2609" s="1" t="str">
        <f>HYPERLINK("http://google.com.lb","google.com.lb")</f>
        <v>google.com.lb</v>
      </c>
      <c r="C2609" t="s">
        <v>612</v>
      </c>
      <c r="D2609" t="s">
        <v>938</v>
      </c>
      <c r="E2609">
        <v>10079</v>
      </c>
      <c r="F2609">
        <v>1.71385921172876E-6</v>
      </c>
      <c r="G2609">
        <v>23246</v>
      </c>
      <c r="H2609">
        <v>17688626</v>
      </c>
      <c r="I2609">
        <v>7552</v>
      </c>
      <c r="J2609">
        <v>4</v>
      </c>
    </row>
    <row r="2610" spans="1:10" x14ac:dyDescent="0.25">
      <c r="A2610" t="s">
        <v>27</v>
      </c>
      <c r="B2610" s="1" t="str">
        <f>HYPERLINK("http://google.li","google.li")</f>
        <v>google.li</v>
      </c>
      <c r="C2610" t="s">
        <v>545</v>
      </c>
      <c r="D2610" t="s">
        <v>903</v>
      </c>
      <c r="E2610">
        <v>12228</v>
      </c>
      <c r="F2610">
        <v>1.20284086094653E-6</v>
      </c>
      <c r="G2610">
        <v>32441</v>
      </c>
      <c r="H2610">
        <v>17760682</v>
      </c>
      <c r="I2610">
        <v>6180</v>
      </c>
      <c r="J2610">
        <v>4</v>
      </c>
    </row>
    <row r="2611" spans="1:10" x14ac:dyDescent="0.25">
      <c r="A2611" t="s">
        <v>27</v>
      </c>
      <c r="B2611" s="1" t="str">
        <f>HYPERLINK("http://waze.link","waze.link")</f>
        <v>waze.link</v>
      </c>
      <c r="C2611" t="s">
        <v>546</v>
      </c>
      <c r="F2611">
        <v>7.7768179288427695E-9</v>
      </c>
      <c r="G2611">
        <v>10375923</v>
      </c>
      <c r="H2611">
        <v>12078956</v>
      </c>
      <c r="I2611">
        <v>26586342</v>
      </c>
      <c r="J2611">
        <v>5</v>
      </c>
    </row>
    <row r="2612" spans="1:10" x14ac:dyDescent="0.25">
      <c r="A2612" t="s">
        <v>27</v>
      </c>
      <c r="B2612" s="1" t="str">
        <f>HYPERLINK("http://fitbit.lk","fitbit.lk")</f>
        <v>fitbit.lk</v>
      </c>
      <c r="C2612" t="s">
        <v>466</v>
      </c>
      <c r="D2612" t="s">
        <v>842</v>
      </c>
      <c r="F2612">
        <v>8.2058791302296202E-9</v>
      </c>
      <c r="G2612">
        <v>9561364</v>
      </c>
      <c r="H2612">
        <v>12698179</v>
      </c>
      <c r="I2612">
        <v>15370241</v>
      </c>
      <c r="J2612">
        <v>5</v>
      </c>
    </row>
    <row r="2613" spans="1:10" x14ac:dyDescent="0.25">
      <c r="A2613" t="s">
        <v>27</v>
      </c>
      <c r="B2613" s="1" t="str">
        <f>HYPERLINK("http://google.lk","google.lk")</f>
        <v>google.lk</v>
      </c>
      <c r="C2613" t="s">
        <v>466</v>
      </c>
      <c r="D2613" t="s">
        <v>842</v>
      </c>
      <c r="E2613">
        <v>4908</v>
      </c>
      <c r="F2613">
        <v>1.5896294566764499E-6</v>
      </c>
      <c r="G2613">
        <v>24744</v>
      </c>
      <c r="H2613">
        <v>17790762</v>
      </c>
      <c r="I2613">
        <v>5724</v>
      </c>
      <c r="J2613">
        <v>4</v>
      </c>
    </row>
    <row r="2614" spans="1:10" x14ac:dyDescent="0.25">
      <c r="A2614" t="s">
        <v>27</v>
      </c>
      <c r="B2614" s="1" t="str">
        <f>HYPERLINK("http://google.co.ls","google.co.ls")</f>
        <v>google.co.ls</v>
      </c>
      <c r="C2614" t="s">
        <v>651</v>
      </c>
      <c r="D2614" t="s">
        <v>970</v>
      </c>
      <c r="E2614">
        <v>11950</v>
      </c>
      <c r="F2614">
        <v>1.15526508218785E-6</v>
      </c>
      <c r="G2614">
        <v>33575</v>
      </c>
      <c r="H2614">
        <v>17614708</v>
      </c>
      <c r="I2614">
        <v>9250</v>
      </c>
      <c r="J2614">
        <v>4</v>
      </c>
    </row>
    <row r="2615" spans="1:10" x14ac:dyDescent="0.25">
      <c r="A2615" t="s">
        <v>27</v>
      </c>
      <c r="B2615" s="1" t="str">
        <f>HYPERLINK("http://google.lt","google.lt")</f>
        <v>google.lt</v>
      </c>
      <c r="C2615" t="s">
        <v>467</v>
      </c>
      <c r="D2615" t="s">
        <v>843</v>
      </c>
      <c r="E2615">
        <v>6501</v>
      </c>
      <c r="F2615">
        <v>3.9126476613829398E-6</v>
      </c>
      <c r="G2615">
        <v>10021</v>
      </c>
      <c r="H2615">
        <v>17925514</v>
      </c>
      <c r="I2615">
        <v>4247</v>
      </c>
      <c r="J2615">
        <v>4</v>
      </c>
    </row>
    <row r="2616" spans="1:10" x14ac:dyDescent="0.25">
      <c r="A2616" t="s">
        <v>27</v>
      </c>
      <c r="B2616" s="1" t="str">
        <f>HYPERLINK("http://google.lu","google.lu")</f>
        <v>google.lu</v>
      </c>
      <c r="C2616" t="s">
        <v>547</v>
      </c>
      <c r="D2616" t="s">
        <v>904</v>
      </c>
      <c r="E2616">
        <v>9696</v>
      </c>
      <c r="F2616">
        <v>1.6488359181008899E-6</v>
      </c>
      <c r="G2616">
        <v>23976</v>
      </c>
      <c r="H2616">
        <v>17885924</v>
      </c>
      <c r="I2616">
        <v>4606</v>
      </c>
      <c r="J2616">
        <v>4</v>
      </c>
    </row>
    <row r="2617" spans="1:10" x14ac:dyDescent="0.25">
      <c r="A2617" t="s">
        <v>27</v>
      </c>
      <c r="B2617" s="1" t="str">
        <f>HYPERLINK("http://google.lv","google.lv")</f>
        <v>google.lv</v>
      </c>
      <c r="C2617" t="s">
        <v>468</v>
      </c>
      <c r="D2617" t="s">
        <v>844</v>
      </c>
      <c r="E2617">
        <v>7149</v>
      </c>
      <c r="F2617">
        <v>2.6063804719995498E-6</v>
      </c>
      <c r="G2617">
        <v>14541</v>
      </c>
      <c r="H2617">
        <v>17763200</v>
      </c>
      <c r="I2617">
        <v>6128</v>
      </c>
      <c r="J2617">
        <v>4</v>
      </c>
    </row>
    <row r="2618" spans="1:10" x14ac:dyDescent="0.25">
      <c r="A2618" t="s">
        <v>27</v>
      </c>
      <c r="B2618" s="1" t="str">
        <f>HYPERLINK("http://google.com.ly","google.com.ly")</f>
        <v>google.com.ly</v>
      </c>
      <c r="C2618" t="s">
        <v>583</v>
      </c>
      <c r="D2618" t="s">
        <v>923</v>
      </c>
      <c r="E2618">
        <v>7045</v>
      </c>
      <c r="F2618">
        <v>1.22281907541464E-6</v>
      </c>
      <c r="G2618">
        <v>31798</v>
      </c>
      <c r="H2618">
        <v>17734864</v>
      </c>
      <c r="I2618">
        <v>6650</v>
      </c>
      <c r="J2618">
        <v>4</v>
      </c>
    </row>
    <row r="2619" spans="1:10" x14ac:dyDescent="0.25">
      <c r="A2619" t="s">
        <v>27</v>
      </c>
      <c r="B2619" s="1" t="str">
        <f>HYPERLINK("http://google.co.ma","google.co.ma")</f>
        <v>google.co.ma</v>
      </c>
      <c r="C2619" t="s">
        <v>469</v>
      </c>
      <c r="D2619" t="s">
        <v>845</v>
      </c>
      <c r="E2619">
        <v>7046</v>
      </c>
      <c r="F2619">
        <v>1.62789181055986E-6</v>
      </c>
      <c r="G2619">
        <v>24232</v>
      </c>
      <c r="H2619">
        <v>17694362</v>
      </c>
      <c r="I2619">
        <v>7435</v>
      </c>
      <c r="J2619">
        <v>4</v>
      </c>
    </row>
    <row r="2620" spans="1:10" x14ac:dyDescent="0.25">
      <c r="A2620" t="s">
        <v>27</v>
      </c>
      <c r="B2620" s="1" t="str">
        <f>HYPERLINK("http://google.md","google.md")</f>
        <v>google.md</v>
      </c>
      <c r="C2620" t="s">
        <v>571</v>
      </c>
      <c r="D2620" t="s">
        <v>918</v>
      </c>
      <c r="E2620">
        <v>10983</v>
      </c>
      <c r="F2620">
        <v>1.1945437101935499E-6</v>
      </c>
      <c r="G2620">
        <v>32624</v>
      </c>
      <c r="H2620">
        <v>17654978</v>
      </c>
      <c r="I2620">
        <v>8266</v>
      </c>
      <c r="J2620">
        <v>4</v>
      </c>
    </row>
    <row r="2621" spans="1:10" x14ac:dyDescent="0.25">
      <c r="A2621" t="s">
        <v>27</v>
      </c>
      <c r="B2621" s="1" t="str">
        <f>HYPERLINK("http://google.me","google.me")</f>
        <v>google.me</v>
      </c>
      <c r="C2621" t="s">
        <v>470</v>
      </c>
      <c r="D2621" t="s">
        <v>846</v>
      </c>
      <c r="E2621">
        <v>12574</v>
      </c>
      <c r="F2621">
        <v>1.1315854747807801E-6</v>
      </c>
      <c r="G2621">
        <v>34121</v>
      </c>
      <c r="H2621">
        <v>17802450</v>
      </c>
      <c r="I2621">
        <v>5553</v>
      </c>
      <c r="J2621">
        <v>4</v>
      </c>
    </row>
    <row r="2622" spans="1:10" x14ac:dyDescent="0.25">
      <c r="A2622" t="s">
        <v>27</v>
      </c>
      <c r="B2622" s="1" t="str">
        <f>HYPERLINK("http://google.mg","google.mg")</f>
        <v>google.mg</v>
      </c>
      <c r="C2622" t="s">
        <v>615</v>
      </c>
      <c r="D2622" t="s">
        <v>940</v>
      </c>
      <c r="E2622">
        <v>11253</v>
      </c>
      <c r="F2622">
        <v>1.11840727511878E-6</v>
      </c>
      <c r="G2622">
        <v>34471</v>
      </c>
      <c r="H2622">
        <v>17735486</v>
      </c>
      <c r="I2622">
        <v>6641</v>
      </c>
      <c r="J2622">
        <v>4</v>
      </c>
    </row>
    <row r="2623" spans="1:10" x14ac:dyDescent="0.25">
      <c r="A2623" t="s">
        <v>27</v>
      </c>
      <c r="B2623" s="1" t="str">
        <f>HYPERLINK("http://google.mk","google.mk")</f>
        <v>google.mk</v>
      </c>
      <c r="C2623" t="s">
        <v>531</v>
      </c>
      <c r="D2623" t="s">
        <v>895</v>
      </c>
      <c r="E2623">
        <v>11774</v>
      </c>
      <c r="F2623">
        <v>1.1997356934016199E-6</v>
      </c>
      <c r="G2623">
        <v>32517</v>
      </c>
      <c r="H2623">
        <v>17734778</v>
      </c>
      <c r="I2623">
        <v>6655</v>
      </c>
      <c r="J2623">
        <v>4</v>
      </c>
    </row>
    <row r="2624" spans="1:10" x14ac:dyDescent="0.25">
      <c r="A2624" t="s">
        <v>27</v>
      </c>
      <c r="B2624" s="1" t="str">
        <f>HYPERLINK("http://google.ml","google.ml")</f>
        <v>google.ml</v>
      </c>
      <c r="C2624" t="s">
        <v>596</v>
      </c>
      <c r="D2624" t="s">
        <v>931</v>
      </c>
      <c r="E2624">
        <v>12653</v>
      </c>
      <c r="F2624">
        <v>7.6816639254621901E-7</v>
      </c>
      <c r="G2624">
        <v>50877</v>
      </c>
      <c r="H2624">
        <v>17416764</v>
      </c>
      <c r="I2624">
        <v>18084</v>
      </c>
      <c r="J2624">
        <v>4</v>
      </c>
    </row>
    <row r="2625" spans="1:10" x14ac:dyDescent="0.25">
      <c r="A2625" t="s">
        <v>27</v>
      </c>
      <c r="B2625" s="1" t="str">
        <f>HYPERLINK("http://google.com.mm","google.com.mm")</f>
        <v>google.com.mm</v>
      </c>
      <c r="C2625" t="s">
        <v>513</v>
      </c>
      <c r="D2625" t="s">
        <v>887</v>
      </c>
      <c r="E2625">
        <v>12319</v>
      </c>
      <c r="F2625">
        <v>9.7868640326999404E-7</v>
      </c>
      <c r="G2625">
        <v>39069</v>
      </c>
      <c r="H2625">
        <v>17576260</v>
      </c>
      <c r="I2625">
        <v>10426</v>
      </c>
      <c r="J2625">
        <v>4</v>
      </c>
    </row>
    <row r="2626" spans="1:10" x14ac:dyDescent="0.25">
      <c r="A2626" t="s">
        <v>27</v>
      </c>
      <c r="B2626" s="1" t="str">
        <f>HYPERLINK("http://google.mn","google.mn")</f>
        <v>google.mn</v>
      </c>
      <c r="C2626" t="s">
        <v>652</v>
      </c>
      <c r="D2626" t="s">
        <v>971</v>
      </c>
      <c r="E2626">
        <v>10606</v>
      </c>
      <c r="F2626">
        <v>1.2319532657626299E-6</v>
      </c>
      <c r="G2626">
        <v>31575</v>
      </c>
      <c r="H2626">
        <v>17816194</v>
      </c>
      <c r="I2626">
        <v>5380</v>
      </c>
      <c r="J2626">
        <v>4</v>
      </c>
    </row>
    <row r="2627" spans="1:10" x14ac:dyDescent="0.25">
      <c r="A2627" t="s">
        <v>27</v>
      </c>
      <c r="B2627" s="1" t="str">
        <f>HYPERLINK("http://google.ms","google.ms")</f>
        <v>google.ms</v>
      </c>
      <c r="C2627" t="s">
        <v>653</v>
      </c>
      <c r="D2627" t="s">
        <v>972</v>
      </c>
      <c r="E2627">
        <v>12262</v>
      </c>
      <c r="F2627">
        <v>9.6732982900145407E-7</v>
      </c>
      <c r="G2627">
        <v>39554</v>
      </c>
      <c r="H2627">
        <v>17696736</v>
      </c>
      <c r="I2627">
        <v>7388</v>
      </c>
      <c r="J2627">
        <v>4</v>
      </c>
    </row>
    <row r="2628" spans="1:10" x14ac:dyDescent="0.25">
      <c r="A2628" t="s">
        <v>27</v>
      </c>
      <c r="B2628" s="1" t="str">
        <f>HYPERLINK("http://google.com.mt","google.com.mt")</f>
        <v>google.com.mt</v>
      </c>
      <c r="C2628" t="s">
        <v>597</v>
      </c>
      <c r="D2628" t="s">
        <v>932</v>
      </c>
      <c r="E2628">
        <v>10952</v>
      </c>
      <c r="F2628">
        <v>1.6804981670293199E-6</v>
      </c>
      <c r="G2628">
        <v>23642</v>
      </c>
      <c r="H2628">
        <v>17863840</v>
      </c>
      <c r="I2628">
        <v>4819</v>
      </c>
      <c r="J2628">
        <v>4</v>
      </c>
    </row>
    <row r="2629" spans="1:10" x14ac:dyDescent="0.25">
      <c r="A2629" t="s">
        <v>27</v>
      </c>
      <c r="B2629" s="1" t="str">
        <f>HYPERLINK("http://google.mu","google.mu")</f>
        <v>google.mu</v>
      </c>
      <c r="C2629" t="s">
        <v>572</v>
      </c>
      <c r="D2629" t="s">
        <v>919</v>
      </c>
      <c r="E2629">
        <v>10869</v>
      </c>
      <c r="F2629">
        <v>1.28881334540338E-6</v>
      </c>
      <c r="G2629">
        <v>30131</v>
      </c>
      <c r="H2629">
        <v>17751394</v>
      </c>
      <c r="I2629">
        <v>6337</v>
      </c>
      <c r="J2629">
        <v>4</v>
      </c>
    </row>
    <row r="2630" spans="1:10" x14ac:dyDescent="0.25">
      <c r="A2630" t="s">
        <v>27</v>
      </c>
      <c r="B2630" s="1" t="str">
        <f>HYPERLINK("http://google.mv","google.mv")</f>
        <v>google.mv</v>
      </c>
      <c r="C2630" t="s">
        <v>654</v>
      </c>
      <c r="D2630" t="s">
        <v>973</v>
      </c>
      <c r="E2630">
        <v>12149</v>
      </c>
      <c r="F2630">
        <v>1.04936267785193E-6</v>
      </c>
      <c r="G2630">
        <v>36545</v>
      </c>
      <c r="H2630">
        <v>17593178</v>
      </c>
      <c r="I2630">
        <v>9871</v>
      </c>
      <c r="J2630">
        <v>4</v>
      </c>
    </row>
    <row r="2631" spans="1:10" x14ac:dyDescent="0.25">
      <c r="A2631" t="s">
        <v>27</v>
      </c>
      <c r="B2631" s="1" t="str">
        <f>HYPERLINK("http://google.mw","google.mw")</f>
        <v>google.mw</v>
      </c>
      <c r="C2631" t="s">
        <v>655</v>
      </c>
      <c r="D2631" t="s">
        <v>974</v>
      </c>
      <c r="E2631">
        <v>12261</v>
      </c>
      <c r="F2631">
        <v>1.00667166750765E-6</v>
      </c>
      <c r="G2631">
        <v>38021</v>
      </c>
      <c r="H2631">
        <v>17787922</v>
      </c>
      <c r="I2631">
        <v>5769</v>
      </c>
      <c r="J2631">
        <v>4</v>
      </c>
    </row>
    <row r="2632" spans="1:10" x14ac:dyDescent="0.25">
      <c r="A2632" t="s">
        <v>27</v>
      </c>
      <c r="B2632" s="1" t="str">
        <f>HYPERLINK("http://google.com.mx","google.com.mx")</f>
        <v>google.com.mx</v>
      </c>
      <c r="C2632" t="s">
        <v>471</v>
      </c>
      <c r="D2632" t="s">
        <v>847</v>
      </c>
      <c r="E2632">
        <v>928</v>
      </c>
      <c r="F2632">
        <v>6.3844039485347799E-6</v>
      </c>
      <c r="G2632">
        <v>5331</v>
      </c>
      <c r="H2632">
        <v>18070410</v>
      </c>
      <c r="I2632">
        <v>3268</v>
      </c>
      <c r="J2632">
        <v>4</v>
      </c>
    </row>
    <row r="2633" spans="1:10" x14ac:dyDescent="0.25">
      <c r="A2633" t="s">
        <v>27</v>
      </c>
      <c r="B2633" s="1" t="str">
        <f>HYPERLINK("http://google.com.my","google.com.my")</f>
        <v>google.com.my</v>
      </c>
      <c r="C2633" t="s">
        <v>472</v>
      </c>
      <c r="D2633" t="s">
        <v>848</v>
      </c>
      <c r="E2633">
        <v>3237</v>
      </c>
      <c r="F2633">
        <v>3.8537950282911003E-6</v>
      </c>
      <c r="G2633">
        <v>10899</v>
      </c>
      <c r="H2633">
        <v>17912426</v>
      </c>
      <c r="I2633">
        <v>4350</v>
      </c>
      <c r="J2633">
        <v>4</v>
      </c>
    </row>
    <row r="2634" spans="1:10" x14ac:dyDescent="0.25">
      <c r="A2634" t="s">
        <v>27</v>
      </c>
      <c r="B2634" s="1" t="str">
        <f>HYPERLINK("http://youtube.com.my","youtube.com.my")</f>
        <v>youtube.com.my</v>
      </c>
      <c r="C2634" t="s">
        <v>472</v>
      </c>
      <c r="D2634" t="s">
        <v>848</v>
      </c>
      <c r="E2634">
        <v>873318</v>
      </c>
      <c r="F2634">
        <v>1.8033823856519999E-6</v>
      </c>
      <c r="G2634">
        <v>21360</v>
      </c>
      <c r="H2634">
        <v>15876344</v>
      </c>
      <c r="I2634">
        <v>367349</v>
      </c>
      <c r="J2634">
        <v>5</v>
      </c>
    </row>
    <row r="2635" spans="1:10" x14ac:dyDescent="0.25">
      <c r="A2635" t="s">
        <v>27</v>
      </c>
      <c r="B2635" s="1" t="str">
        <f>HYPERLINK("http://google.co.mz","google.co.mz")</f>
        <v>google.co.mz</v>
      </c>
      <c r="C2635" t="s">
        <v>616</v>
      </c>
      <c r="D2635" t="s">
        <v>941</v>
      </c>
      <c r="E2635">
        <v>10933</v>
      </c>
      <c r="F2635">
        <v>8.3774347992759701E-7</v>
      </c>
      <c r="G2635">
        <v>47374</v>
      </c>
      <c r="H2635">
        <v>17500950</v>
      </c>
      <c r="I2635">
        <v>13652</v>
      </c>
      <c r="J2635">
        <v>4</v>
      </c>
    </row>
    <row r="2636" spans="1:10" x14ac:dyDescent="0.25">
      <c r="A2636" t="s">
        <v>27</v>
      </c>
      <c r="B2636" s="1" t="str">
        <f>HYPERLINK("http://google.com.na","google.com.na")</f>
        <v>google.com.na</v>
      </c>
      <c r="C2636" t="s">
        <v>473</v>
      </c>
      <c r="D2636" t="s">
        <v>849</v>
      </c>
      <c r="E2636">
        <v>11661</v>
      </c>
      <c r="F2636">
        <v>1.01852140827511E-6</v>
      </c>
      <c r="G2636">
        <v>37588</v>
      </c>
      <c r="H2636">
        <v>17788646</v>
      </c>
      <c r="I2636">
        <v>5757</v>
      </c>
      <c r="J2636">
        <v>4</v>
      </c>
    </row>
    <row r="2637" spans="1:10" x14ac:dyDescent="0.25">
      <c r="A2637" t="s">
        <v>27</v>
      </c>
      <c r="B2637" s="1" t="str">
        <f>HYPERLINK("http://google.ne","google.ne")</f>
        <v>google.ne</v>
      </c>
      <c r="C2637" t="s">
        <v>656</v>
      </c>
      <c r="D2637" t="s">
        <v>975</v>
      </c>
      <c r="E2637">
        <v>13214</v>
      </c>
      <c r="F2637">
        <v>1.0444529162458699E-6</v>
      </c>
      <c r="G2637">
        <v>36704</v>
      </c>
      <c r="H2637">
        <v>17594030</v>
      </c>
      <c r="I2637">
        <v>9841</v>
      </c>
      <c r="J2637">
        <v>4</v>
      </c>
    </row>
    <row r="2638" spans="1:10" x14ac:dyDescent="0.25">
      <c r="A2638" t="s">
        <v>27</v>
      </c>
      <c r="B2638" s="1" t="str">
        <f>HYPERLINK("http://gsearch.azurewebsites.net","gsearch.azurewebsites.net")</f>
        <v>gsearch.azurewebsites.net</v>
      </c>
      <c r="C2638" t="s">
        <v>474</v>
      </c>
      <c r="J2638">
        <v>6</v>
      </c>
    </row>
    <row r="2639" spans="1:10" x14ac:dyDescent="0.25">
      <c r="A2639" t="s">
        <v>27</v>
      </c>
      <c r="B2639" s="1" t="str">
        <f>HYPERLINK("http://detro.net","detro.net")</f>
        <v>detro.net</v>
      </c>
      <c r="C2639" t="s">
        <v>474</v>
      </c>
      <c r="F2639">
        <v>4.5710061491077603E-9</v>
      </c>
      <c r="G2639">
        <v>50096293</v>
      </c>
      <c r="H2639">
        <v>9675997</v>
      </c>
      <c r="I2639">
        <v>63672325</v>
      </c>
      <c r="J2639">
        <v>6</v>
      </c>
    </row>
    <row r="2640" spans="1:10" x14ac:dyDescent="0.25">
      <c r="A2640" t="s">
        <v>27</v>
      </c>
      <c r="B2640" s="1" t="str">
        <f>HYPERLINK("http://google.net","google.net")</f>
        <v>google.net</v>
      </c>
      <c r="C2640" t="s">
        <v>474</v>
      </c>
      <c r="E2640">
        <v>60219</v>
      </c>
      <c r="F2640">
        <v>2.48697465386277E-7</v>
      </c>
      <c r="G2640">
        <v>150419</v>
      </c>
      <c r="H2640">
        <v>17119078</v>
      </c>
      <c r="I2640">
        <v>60060</v>
      </c>
      <c r="J2640">
        <v>4</v>
      </c>
    </row>
    <row r="2641" spans="1:10" x14ac:dyDescent="0.25">
      <c r="A2641" t="s">
        <v>27</v>
      </c>
      <c r="B2641" s="1" t="str">
        <f>HYPERLINK("http://jv-conseil.net","jv-conseil.net")</f>
        <v>jv-conseil.net</v>
      </c>
      <c r="C2641" t="s">
        <v>474</v>
      </c>
      <c r="F2641">
        <v>7.9688804951180694E-9</v>
      </c>
      <c r="G2641">
        <v>9978470</v>
      </c>
      <c r="H2641">
        <v>13565324</v>
      </c>
      <c r="I2641">
        <v>9816946</v>
      </c>
      <c r="J2641">
        <v>7</v>
      </c>
    </row>
    <row r="2642" spans="1:10" x14ac:dyDescent="0.25">
      <c r="A2642" t="s">
        <v>27</v>
      </c>
      <c r="B2642" s="1" t="str">
        <f>HYPERLINK("http://ufukturu.net","ufukturu.net")</f>
        <v>ufukturu.net</v>
      </c>
      <c r="C2642" t="s">
        <v>474</v>
      </c>
      <c r="F2642">
        <v>4.7061959709809702E-9</v>
      </c>
      <c r="G2642">
        <v>40923781</v>
      </c>
      <c r="H2642">
        <v>12324136</v>
      </c>
      <c r="I2642">
        <v>20338136</v>
      </c>
      <c r="J2642">
        <v>4</v>
      </c>
    </row>
    <row r="2643" spans="1:10" x14ac:dyDescent="0.25">
      <c r="A2643" t="s">
        <v>27</v>
      </c>
      <c r="B2643" s="1" t="str">
        <f>HYPERLINK("http://google.com.nf","google.com.nf")</f>
        <v>google.com.nf</v>
      </c>
      <c r="C2643" t="s">
        <v>657</v>
      </c>
      <c r="D2643" t="s">
        <v>976</v>
      </c>
      <c r="E2643">
        <v>14681</v>
      </c>
      <c r="F2643">
        <v>7.9858418294913702E-7</v>
      </c>
      <c r="G2643">
        <v>49295</v>
      </c>
      <c r="H2643">
        <v>17572482</v>
      </c>
      <c r="I2643">
        <v>10554</v>
      </c>
      <c r="J2643">
        <v>4</v>
      </c>
    </row>
    <row r="2644" spans="1:10" x14ac:dyDescent="0.25">
      <c r="A2644" t="s">
        <v>27</v>
      </c>
      <c r="B2644" s="1" t="str">
        <f>HYPERLINK("http://google.com.ng","google.com.ng")</f>
        <v>google.com.ng</v>
      </c>
      <c r="C2644" t="s">
        <v>475</v>
      </c>
      <c r="D2644" t="s">
        <v>850</v>
      </c>
      <c r="E2644">
        <v>7188</v>
      </c>
      <c r="F2644">
        <v>1.82911235225107E-6</v>
      </c>
      <c r="G2644">
        <v>20670</v>
      </c>
      <c r="H2644">
        <v>17673884</v>
      </c>
      <c r="I2644">
        <v>7859</v>
      </c>
      <c r="J2644">
        <v>4</v>
      </c>
    </row>
    <row r="2645" spans="1:10" x14ac:dyDescent="0.25">
      <c r="A2645" t="s">
        <v>27</v>
      </c>
      <c r="B2645" s="1" t="str">
        <f>HYPERLINK("http://google.ng","google.ng")</f>
        <v>google.ng</v>
      </c>
      <c r="C2645" t="s">
        <v>475</v>
      </c>
      <c r="D2645" t="s">
        <v>850</v>
      </c>
      <c r="E2645">
        <v>30420</v>
      </c>
      <c r="F2645">
        <v>4.5270647223386399E-7</v>
      </c>
      <c r="G2645">
        <v>83500</v>
      </c>
      <c r="H2645">
        <v>17295880</v>
      </c>
      <c r="I2645">
        <v>28362</v>
      </c>
      <c r="J2645">
        <v>4</v>
      </c>
    </row>
    <row r="2646" spans="1:10" x14ac:dyDescent="0.25">
      <c r="A2646" t="s">
        <v>27</v>
      </c>
      <c r="B2646" s="1" t="str">
        <f>HYPERLINK("http://google.com.ni","google.com.ni")</f>
        <v>google.com.ni</v>
      </c>
      <c r="C2646" t="s">
        <v>476</v>
      </c>
      <c r="D2646" t="s">
        <v>851</v>
      </c>
      <c r="E2646">
        <v>10451</v>
      </c>
      <c r="F2646">
        <v>1.47212100055329E-6</v>
      </c>
      <c r="G2646">
        <v>26638</v>
      </c>
      <c r="H2646">
        <v>17743506</v>
      </c>
      <c r="I2646">
        <v>6482</v>
      </c>
      <c r="J2646">
        <v>4</v>
      </c>
    </row>
    <row r="2647" spans="1:10" x14ac:dyDescent="0.25">
      <c r="A2647" t="s">
        <v>27</v>
      </c>
      <c r="B2647" s="1" t="str">
        <f>HYPERLINK("http://dialicious.nl","dialicious.nl")</f>
        <v>dialicious.nl</v>
      </c>
      <c r="C2647" t="s">
        <v>477</v>
      </c>
      <c r="D2647" t="s">
        <v>852</v>
      </c>
      <c r="F2647">
        <v>5.07069238272371E-9</v>
      </c>
      <c r="G2647">
        <v>27774309</v>
      </c>
      <c r="H2647">
        <v>13933062</v>
      </c>
      <c r="I2647">
        <v>5219994</v>
      </c>
      <c r="J2647">
        <v>7</v>
      </c>
    </row>
    <row r="2648" spans="1:10" x14ac:dyDescent="0.25">
      <c r="A2648" t="s">
        <v>27</v>
      </c>
      <c r="B2648" s="1" t="str">
        <f>HYPERLINK("http://google.nl","google.nl")</f>
        <v>google.nl</v>
      </c>
      <c r="C2648" t="s">
        <v>477</v>
      </c>
      <c r="D2648" t="s">
        <v>852</v>
      </c>
      <c r="E2648">
        <v>1419</v>
      </c>
      <c r="F2648">
        <v>5.4113595075849398E-5</v>
      </c>
      <c r="G2648">
        <v>478</v>
      </c>
      <c r="H2648">
        <v>19146432</v>
      </c>
      <c r="I2648">
        <v>411</v>
      </c>
      <c r="J2648">
        <v>4</v>
      </c>
    </row>
    <row r="2649" spans="1:10" x14ac:dyDescent="0.25">
      <c r="A2649" t="s">
        <v>27</v>
      </c>
      <c r="B2649" s="1" t="str">
        <f>HYPERLINK("http://kunstkieken.nl","kunstkieken.nl")</f>
        <v>kunstkieken.nl</v>
      </c>
      <c r="C2649" t="s">
        <v>477</v>
      </c>
      <c r="D2649" t="s">
        <v>852</v>
      </c>
      <c r="F2649">
        <v>8.3688635598968908E-9</v>
      </c>
      <c r="G2649">
        <v>9107106</v>
      </c>
      <c r="H2649">
        <v>13763963</v>
      </c>
      <c r="I2649">
        <v>7464679</v>
      </c>
      <c r="J2649">
        <v>6</v>
      </c>
    </row>
    <row r="2650" spans="1:10" x14ac:dyDescent="0.25">
      <c r="A2650" t="s">
        <v>27</v>
      </c>
      <c r="B2650" s="1" t="str">
        <f>HYPERLINK("http://google.no","google.no")</f>
        <v>google.no</v>
      </c>
      <c r="C2650" t="s">
        <v>478</v>
      </c>
      <c r="D2650" t="s">
        <v>853</v>
      </c>
      <c r="E2650">
        <v>4944</v>
      </c>
      <c r="F2650">
        <v>6.6033687291127E-6</v>
      </c>
      <c r="G2650">
        <v>5128</v>
      </c>
      <c r="H2650">
        <v>17908284</v>
      </c>
      <c r="I2650">
        <v>4386</v>
      </c>
      <c r="J2650">
        <v>4</v>
      </c>
    </row>
    <row r="2651" spans="1:10" x14ac:dyDescent="0.25">
      <c r="A2651" t="s">
        <v>27</v>
      </c>
      <c r="B2651" s="1" t="str">
        <f>HYPERLINK("http://google.com.np","google.com.np")</f>
        <v>google.com.np</v>
      </c>
      <c r="C2651" t="s">
        <v>604</v>
      </c>
      <c r="D2651" t="s">
        <v>935</v>
      </c>
      <c r="E2651">
        <v>10210</v>
      </c>
      <c r="F2651">
        <v>2.0813067959317799E-6</v>
      </c>
      <c r="G2651">
        <v>17576</v>
      </c>
      <c r="H2651">
        <v>17874770</v>
      </c>
      <c r="I2651">
        <v>4707</v>
      </c>
      <c r="J2651">
        <v>4</v>
      </c>
    </row>
    <row r="2652" spans="1:10" x14ac:dyDescent="0.25">
      <c r="A2652" t="s">
        <v>27</v>
      </c>
      <c r="B2652" s="1" t="str">
        <f>HYPERLINK("http://google.com.nr","google.com.nr")</f>
        <v>google.com.nr</v>
      </c>
      <c r="C2652" t="s">
        <v>658</v>
      </c>
      <c r="D2652" t="s">
        <v>977</v>
      </c>
      <c r="E2652">
        <v>722864</v>
      </c>
      <c r="F2652">
        <v>2.5948332952137599E-7</v>
      </c>
      <c r="G2652">
        <v>144142</v>
      </c>
      <c r="H2652">
        <v>16849832</v>
      </c>
      <c r="I2652">
        <v>157923</v>
      </c>
      <c r="J2652">
        <v>4</v>
      </c>
    </row>
    <row r="2653" spans="1:10" x14ac:dyDescent="0.25">
      <c r="A2653" t="s">
        <v>27</v>
      </c>
      <c r="B2653" s="1" t="str">
        <f>HYPERLINK("http://google.nr","google.nr")</f>
        <v>google.nr</v>
      </c>
      <c r="C2653" t="s">
        <v>658</v>
      </c>
      <c r="D2653" t="s">
        <v>977</v>
      </c>
      <c r="E2653">
        <v>13066</v>
      </c>
      <c r="F2653">
        <v>1.28894378681258E-6</v>
      </c>
      <c r="G2653">
        <v>30128</v>
      </c>
      <c r="H2653">
        <v>17635600</v>
      </c>
      <c r="I2653">
        <v>8722</v>
      </c>
      <c r="J2653">
        <v>4</v>
      </c>
    </row>
    <row r="2654" spans="1:10" x14ac:dyDescent="0.25">
      <c r="A2654" t="s">
        <v>27</v>
      </c>
      <c r="B2654" s="1" t="str">
        <f>HYPERLINK("http://google.nu","google.nu")</f>
        <v>google.nu</v>
      </c>
      <c r="C2654" t="s">
        <v>533</v>
      </c>
      <c r="D2654" t="s">
        <v>896</v>
      </c>
      <c r="E2654">
        <v>12328</v>
      </c>
      <c r="F2654">
        <v>1.0344586331080901E-6</v>
      </c>
      <c r="G2654">
        <v>37048</v>
      </c>
      <c r="H2654">
        <v>17708958</v>
      </c>
      <c r="I2654">
        <v>7119</v>
      </c>
      <c r="J2654">
        <v>4</v>
      </c>
    </row>
    <row r="2655" spans="1:10" x14ac:dyDescent="0.25">
      <c r="A2655" t="s">
        <v>27</v>
      </c>
      <c r="B2655" s="1" t="str">
        <f>HYPERLINK("http://google.co.nz","google.co.nz")</f>
        <v>google.co.nz</v>
      </c>
      <c r="C2655" t="s">
        <v>479</v>
      </c>
      <c r="D2655" t="s">
        <v>854</v>
      </c>
      <c r="E2655">
        <v>5551</v>
      </c>
      <c r="F2655">
        <v>3.8045514355062302E-6</v>
      </c>
      <c r="G2655">
        <v>10979</v>
      </c>
      <c r="H2655">
        <v>18024312</v>
      </c>
      <c r="I2655">
        <v>3531</v>
      </c>
      <c r="J2655">
        <v>4</v>
      </c>
    </row>
    <row r="2656" spans="1:10" x14ac:dyDescent="0.25">
      <c r="A2656" t="s">
        <v>27</v>
      </c>
      <c r="B2656" s="1" t="str">
        <f>HYPERLINK("http://google.com.om","google.com.om")</f>
        <v>google.com.om</v>
      </c>
      <c r="C2656" t="s">
        <v>480</v>
      </c>
      <c r="D2656" t="s">
        <v>855</v>
      </c>
      <c r="E2656">
        <v>10900</v>
      </c>
      <c r="F2656">
        <v>1.16862294517738E-6</v>
      </c>
      <c r="G2656">
        <v>33243</v>
      </c>
      <c r="H2656">
        <v>17804090</v>
      </c>
      <c r="I2656">
        <v>5538</v>
      </c>
      <c r="J2656">
        <v>4</v>
      </c>
    </row>
    <row r="2657" spans="1:10" x14ac:dyDescent="0.25">
      <c r="A2657" t="s">
        <v>27</v>
      </c>
      <c r="B2657" s="1" t="str">
        <f>HYPERLINK("http://chalisalyricspdf.one","chalisalyricspdf.one")</f>
        <v>chalisalyricspdf.one</v>
      </c>
      <c r="C2657" t="s">
        <v>704</v>
      </c>
      <c r="F2657">
        <v>6.5238184389627399E-9</v>
      </c>
      <c r="G2657">
        <v>13979555</v>
      </c>
      <c r="H2657">
        <v>13200310</v>
      </c>
      <c r="I2657">
        <v>11550725</v>
      </c>
      <c r="J2657">
        <v>8</v>
      </c>
    </row>
    <row r="2658" spans="1:10" x14ac:dyDescent="0.25">
      <c r="A2658" t="s">
        <v>27</v>
      </c>
      <c r="B2658" s="1" t="str">
        <f>HYPERLINK("http://anonymousbrowser.org","anonymousbrowser.org")</f>
        <v>anonymousbrowser.org</v>
      </c>
      <c r="C2658" t="s">
        <v>481</v>
      </c>
      <c r="F2658">
        <v>4.4938890442481597E-9</v>
      </c>
      <c r="G2658">
        <v>59879016</v>
      </c>
      <c r="H2658">
        <v>10583440</v>
      </c>
      <c r="I2658">
        <v>45748247</v>
      </c>
      <c r="J2658">
        <v>6</v>
      </c>
    </row>
    <row r="2659" spans="1:10" x14ac:dyDescent="0.25">
      <c r="A2659" t="s">
        <v>27</v>
      </c>
      <c r="B2659" s="1" t="str">
        <f>HYPERLINK("http://asdp-infusinginstitute.org","asdp-infusinginstitute.org")</f>
        <v>asdp-infusinginstitute.org</v>
      </c>
      <c r="C2659" t="s">
        <v>481</v>
      </c>
      <c r="F2659">
        <v>5.7420349335461002E-9</v>
      </c>
      <c r="G2659">
        <v>18563261</v>
      </c>
      <c r="H2659">
        <v>12136205</v>
      </c>
      <c r="I2659">
        <v>24972556</v>
      </c>
      <c r="J2659">
        <v>4</v>
      </c>
    </row>
    <row r="2660" spans="1:10" x14ac:dyDescent="0.25">
      <c r="A2660" t="s">
        <v>27</v>
      </c>
      <c r="B2660" s="1" t="str">
        <f>HYPERLINK("http://bbministriesinc.org","bbministriesinc.org")</f>
        <v>bbministriesinc.org</v>
      </c>
      <c r="C2660" t="s">
        <v>481</v>
      </c>
      <c r="F2660">
        <v>6.18661539321542E-9</v>
      </c>
      <c r="G2660">
        <v>15606102</v>
      </c>
      <c r="H2660">
        <v>10791591</v>
      </c>
      <c r="I2660">
        <v>38438251</v>
      </c>
      <c r="J2660">
        <v>5</v>
      </c>
    </row>
    <row r="2661" spans="1:10" x14ac:dyDescent="0.25">
      <c r="A2661" t="s">
        <v>27</v>
      </c>
      <c r="B2661" s="1" t="str">
        <f>HYPERLINK("http://destan.eu.org","destan.eu.org")</f>
        <v>destan.eu.org</v>
      </c>
      <c r="C2661" t="s">
        <v>481</v>
      </c>
      <c r="J2661">
        <v>8</v>
      </c>
    </row>
    <row r="2662" spans="1:10" x14ac:dyDescent="0.25">
      <c r="A2662" t="s">
        <v>27</v>
      </c>
      <c r="B2662" s="1" t="str">
        <f>HYPERLINK("http://google.org","google.org")</f>
        <v>google.org</v>
      </c>
      <c r="C2662" t="s">
        <v>481</v>
      </c>
      <c r="E2662">
        <v>12768</v>
      </c>
      <c r="F2662">
        <v>6.29511547637469E-6</v>
      </c>
      <c r="G2662">
        <v>5430</v>
      </c>
      <c r="H2662">
        <v>18277016</v>
      </c>
      <c r="I2662">
        <v>2437</v>
      </c>
      <c r="J2662">
        <v>4</v>
      </c>
    </row>
    <row r="2663" spans="1:10" x14ac:dyDescent="0.25">
      <c r="A2663" t="s">
        <v>27</v>
      </c>
      <c r="B2663" s="1" t="str">
        <f>HYPERLINK("http://mainstreetconnect.org","mainstreetconnect.org")</f>
        <v>mainstreetconnect.org</v>
      </c>
      <c r="C2663" t="s">
        <v>481</v>
      </c>
      <c r="F2663">
        <v>1.9029489268094602E-8</v>
      </c>
      <c r="G2663">
        <v>2831010</v>
      </c>
      <c r="H2663">
        <v>13252376</v>
      </c>
      <c r="I2663">
        <v>11072001</v>
      </c>
      <c r="J2663">
        <v>6</v>
      </c>
    </row>
    <row r="2664" spans="1:10" x14ac:dyDescent="0.25">
      <c r="A2664" t="s">
        <v>27</v>
      </c>
      <c r="B2664" s="1" t="str">
        <f>HYPERLINK("http://ordb.org","ordb.org")</f>
        <v>ordb.org</v>
      </c>
      <c r="C2664" t="s">
        <v>481</v>
      </c>
      <c r="E2664">
        <v>287424</v>
      </c>
      <c r="F2664">
        <v>2.70277453934901E-7</v>
      </c>
      <c r="G2664">
        <v>137794</v>
      </c>
      <c r="H2664">
        <v>14101146</v>
      </c>
      <c r="I2664">
        <v>2702944</v>
      </c>
      <c r="J2664">
        <v>4</v>
      </c>
    </row>
    <row r="2665" spans="1:10" x14ac:dyDescent="0.25">
      <c r="A2665" t="s">
        <v>27</v>
      </c>
      <c r="B2665" s="1" t="str">
        <f>HYPERLINK("http://portervilleschools.org","portervilleschools.org")</f>
        <v>portervilleschools.org</v>
      </c>
      <c r="C2665" t="s">
        <v>481</v>
      </c>
      <c r="F2665">
        <v>2.5617547325932802E-8</v>
      </c>
      <c r="G2665">
        <v>2012838</v>
      </c>
      <c r="H2665">
        <v>13825561</v>
      </c>
      <c r="I2665">
        <v>6124896</v>
      </c>
      <c r="J2665">
        <v>7</v>
      </c>
    </row>
    <row r="2666" spans="1:10" x14ac:dyDescent="0.25">
      <c r="A2666" t="s">
        <v>27</v>
      </c>
      <c r="B2666" s="1" t="str">
        <f>HYPERLINK("http://reflexe-conseil-centre.org","reflexe-conseil-centre.org")</f>
        <v>reflexe-conseil-centre.org</v>
      </c>
      <c r="C2666" t="s">
        <v>481</v>
      </c>
      <c r="F2666">
        <v>4.44380395335525E-9</v>
      </c>
      <c r="G2666">
        <v>85922916</v>
      </c>
      <c r="H2666">
        <v>0</v>
      </c>
      <c r="I2666">
        <v>87287377</v>
      </c>
      <c r="J2666">
        <v>6</v>
      </c>
    </row>
    <row r="2667" spans="1:10" x14ac:dyDescent="0.25">
      <c r="A2667" t="s">
        <v>27</v>
      </c>
      <c r="B2667" s="1" t="str">
        <f>HYPERLINK("http://google.com.pa","google.com.pa")</f>
        <v>google.com.pa</v>
      </c>
      <c r="C2667" t="s">
        <v>482</v>
      </c>
      <c r="D2667" t="s">
        <v>856</v>
      </c>
      <c r="E2667">
        <v>10943</v>
      </c>
      <c r="F2667">
        <v>1.21731327573238E-6</v>
      </c>
      <c r="G2667">
        <v>31936</v>
      </c>
      <c r="H2667">
        <v>17801006</v>
      </c>
      <c r="I2667">
        <v>5573</v>
      </c>
      <c r="J2667">
        <v>4</v>
      </c>
    </row>
    <row r="2668" spans="1:10" x14ac:dyDescent="0.25">
      <c r="A2668" t="s">
        <v>27</v>
      </c>
      <c r="B2668" s="1" t="str">
        <f>HYPERLINK("http://google.com.pe","google.com.pe")</f>
        <v>google.com.pe</v>
      </c>
      <c r="C2668" t="s">
        <v>483</v>
      </c>
      <c r="D2668" t="s">
        <v>857</v>
      </c>
      <c r="E2668">
        <v>2979</v>
      </c>
      <c r="F2668">
        <v>2.46971830152977E-6</v>
      </c>
      <c r="G2668">
        <v>15135</v>
      </c>
      <c r="H2668">
        <v>17737736</v>
      </c>
      <c r="I2668">
        <v>6589</v>
      </c>
      <c r="J2668">
        <v>4</v>
      </c>
    </row>
    <row r="2669" spans="1:10" x14ac:dyDescent="0.25">
      <c r="A2669" t="s">
        <v>27</v>
      </c>
      <c r="B2669" s="1" t="str">
        <f>HYPERLINK("http://google.com.pg","google.com.pg")</f>
        <v>google.com.pg</v>
      </c>
      <c r="C2669" t="s">
        <v>659</v>
      </c>
      <c r="D2669" t="s">
        <v>978</v>
      </c>
      <c r="E2669">
        <v>13282</v>
      </c>
      <c r="F2669">
        <v>8.4057107245665001E-7</v>
      </c>
      <c r="G2669">
        <v>47256</v>
      </c>
      <c r="H2669">
        <v>17701268</v>
      </c>
      <c r="I2669">
        <v>7285</v>
      </c>
      <c r="J2669">
        <v>4</v>
      </c>
    </row>
    <row r="2670" spans="1:10" x14ac:dyDescent="0.25">
      <c r="A2670" t="s">
        <v>27</v>
      </c>
      <c r="B2670" s="1" t="str">
        <f>HYPERLINK("http://google.com.ph","google.com.ph")</f>
        <v>google.com.ph</v>
      </c>
      <c r="C2670" t="s">
        <v>484</v>
      </c>
      <c r="D2670" t="s">
        <v>858</v>
      </c>
      <c r="E2670">
        <v>3948</v>
      </c>
      <c r="F2670">
        <v>3.7767140484657101E-6</v>
      </c>
      <c r="G2670">
        <v>11028</v>
      </c>
      <c r="H2670">
        <v>18066668</v>
      </c>
      <c r="I2670">
        <v>3293</v>
      </c>
      <c r="J2670">
        <v>4</v>
      </c>
    </row>
    <row r="2671" spans="1:10" x14ac:dyDescent="0.25">
      <c r="A2671" t="s">
        <v>27</v>
      </c>
      <c r="B2671" s="1" t="str">
        <f>HYPERLINK("http://google.com.pk","google.com.pk")</f>
        <v>google.com.pk</v>
      </c>
      <c r="C2671" t="s">
        <v>485</v>
      </c>
      <c r="D2671" t="s">
        <v>859</v>
      </c>
      <c r="E2671">
        <v>3003</v>
      </c>
      <c r="F2671">
        <v>2.3993568787250402E-6</v>
      </c>
      <c r="G2671">
        <v>15489</v>
      </c>
      <c r="H2671">
        <v>17811102</v>
      </c>
      <c r="I2671">
        <v>5449</v>
      </c>
      <c r="J2671">
        <v>4</v>
      </c>
    </row>
    <row r="2672" spans="1:10" x14ac:dyDescent="0.25">
      <c r="A2672" t="s">
        <v>27</v>
      </c>
      <c r="B2672" s="1" t="str">
        <f>HYPERLINK("http://google.pk","google.pk")</f>
        <v>google.pk</v>
      </c>
      <c r="C2672" t="s">
        <v>485</v>
      </c>
      <c r="D2672" t="s">
        <v>859</v>
      </c>
      <c r="E2672">
        <v>420788</v>
      </c>
      <c r="F2672">
        <v>1.1535852625405701E-7</v>
      </c>
      <c r="G2672">
        <v>344961</v>
      </c>
      <c r="H2672">
        <v>17103258</v>
      </c>
      <c r="I2672">
        <v>63260</v>
      </c>
      <c r="J2672">
        <v>4</v>
      </c>
    </row>
    <row r="2673" spans="1:10" x14ac:dyDescent="0.25">
      <c r="A2673" t="s">
        <v>27</v>
      </c>
      <c r="B2673" s="1" t="str">
        <f>HYPERLINK("http://google.com.pl","google.com.pl")</f>
        <v>google.com.pl</v>
      </c>
      <c r="C2673" t="s">
        <v>486</v>
      </c>
      <c r="D2673" t="s">
        <v>860</v>
      </c>
      <c r="E2673">
        <v>95192</v>
      </c>
      <c r="F2673">
        <v>3.0116245236474502E-7</v>
      </c>
      <c r="G2673">
        <v>123497</v>
      </c>
      <c r="H2673">
        <v>17005812</v>
      </c>
      <c r="I2673">
        <v>92633</v>
      </c>
      <c r="J2673">
        <v>4</v>
      </c>
    </row>
    <row r="2674" spans="1:10" x14ac:dyDescent="0.25">
      <c r="A2674" t="s">
        <v>27</v>
      </c>
      <c r="B2674" s="1" t="str">
        <f>HYPERLINK("http://google.pl","google.pl")</f>
        <v>google.pl</v>
      </c>
      <c r="C2674" t="s">
        <v>486</v>
      </c>
      <c r="D2674" t="s">
        <v>860</v>
      </c>
      <c r="E2674">
        <v>1662</v>
      </c>
      <c r="F2674">
        <v>2.9493104428382402E-5</v>
      </c>
      <c r="G2674">
        <v>985</v>
      </c>
      <c r="H2674">
        <v>18521490</v>
      </c>
      <c r="I2674">
        <v>1512</v>
      </c>
      <c r="J2674">
        <v>4</v>
      </c>
    </row>
    <row r="2675" spans="1:10" x14ac:dyDescent="0.25">
      <c r="A2675" t="s">
        <v>27</v>
      </c>
      <c r="B2675" s="1" t="str">
        <f>HYPERLINK("http://google.pn","google.pn")</f>
        <v>google.pn</v>
      </c>
      <c r="C2675" t="s">
        <v>660</v>
      </c>
      <c r="D2675" t="s">
        <v>979</v>
      </c>
      <c r="E2675">
        <v>12717</v>
      </c>
      <c r="F2675">
        <v>1.1865482109847399E-6</v>
      </c>
      <c r="G2675">
        <v>32824</v>
      </c>
      <c r="H2675">
        <v>17701166</v>
      </c>
      <c r="I2675">
        <v>7290</v>
      </c>
      <c r="J2675">
        <v>4</v>
      </c>
    </row>
    <row r="2676" spans="1:10" x14ac:dyDescent="0.25">
      <c r="A2676" t="s">
        <v>27</v>
      </c>
      <c r="B2676" s="1" t="str">
        <f>HYPERLINK("http://google.com.pr","google.com.pr")</f>
        <v>google.com.pr</v>
      </c>
      <c r="C2676" t="s">
        <v>487</v>
      </c>
      <c r="D2676" t="s">
        <v>861</v>
      </c>
      <c r="E2676">
        <v>9621</v>
      </c>
      <c r="F2676">
        <v>1.4069834619019301E-6</v>
      </c>
      <c r="G2676">
        <v>27791</v>
      </c>
      <c r="H2676">
        <v>17756690</v>
      </c>
      <c r="I2676">
        <v>6253</v>
      </c>
      <c r="J2676">
        <v>4</v>
      </c>
    </row>
    <row r="2677" spans="1:10" x14ac:dyDescent="0.25">
      <c r="A2677" t="s">
        <v>27</v>
      </c>
      <c r="B2677" s="1" t="str">
        <f>HYPERLINK("http://gtool.pro","gtool.pro")</f>
        <v>gtool.pro</v>
      </c>
      <c r="C2677" t="s">
        <v>574</v>
      </c>
      <c r="F2677">
        <v>5.2928943514489301E-9</v>
      </c>
      <c r="G2677">
        <v>23600754</v>
      </c>
      <c r="H2677">
        <v>8408243</v>
      </c>
      <c r="I2677">
        <v>73178519</v>
      </c>
      <c r="J2677">
        <v>4</v>
      </c>
    </row>
    <row r="2678" spans="1:10" x14ac:dyDescent="0.25">
      <c r="A2678" t="s">
        <v>27</v>
      </c>
      <c r="B2678" s="1" t="str">
        <f>HYPERLINK("http://google.ps","google.ps")</f>
        <v>google.ps</v>
      </c>
      <c r="C2678" t="s">
        <v>661</v>
      </c>
      <c r="D2678" t="s">
        <v>980</v>
      </c>
      <c r="E2678">
        <v>11190</v>
      </c>
      <c r="F2678">
        <v>1.3217902626493501E-6</v>
      </c>
      <c r="G2678">
        <v>29377</v>
      </c>
      <c r="H2678">
        <v>17669258</v>
      </c>
      <c r="I2678">
        <v>7970</v>
      </c>
      <c r="J2678">
        <v>4</v>
      </c>
    </row>
    <row r="2679" spans="1:10" x14ac:dyDescent="0.25">
      <c r="A2679" t="s">
        <v>27</v>
      </c>
      <c r="B2679" s="1" t="str">
        <f>HYPERLINK("http://google.pt","google.pt")</f>
        <v>google.pt</v>
      </c>
      <c r="C2679" t="s">
        <v>488</v>
      </c>
      <c r="D2679" t="s">
        <v>862</v>
      </c>
      <c r="E2679">
        <v>4187</v>
      </c>
      <c r="F2679">
        <v>7.3211947179288001E-6</v>
      </c>
      <c r="G2679">
        <v>4591</v>
      </c>
      <c r="H2679">
        <v>17982598</v>
      </c>
      <c r="I2679">
        <v>3800</v>
      </c>
      <c r="J2679">
        <v>4</v>
      </c>
    </row>
    <row r="2680" spans="1:10" x14ac:dyDescent="0.25">
      <c r="A2680" t="s">
        <v>27</v>
      </c>
      <c r="B2680" s="1" t="str">
        <f>HYPERLINK("http://google.com.py","google.com.py")</f>
        <v>google.com.py</v>
      </c>
      <c r="C2680" t="s">
        <v>489</v>
      </c>
      <c r="D2680" t="s">
        <v>863</v>
      </c>
      <c r="E2680">
        <v>10491</v>
      </c>
      <c r="F2680">
        <v>1.3122590515264201E-6</v>
      </c>
      <c r="G2680">
        <v>29592</v>
      </c>
      <c r="H2680">
        <v>17761928</v>
      </c>
      <c r="I2680">
        <v>6156</v>
      </c>
      <c r="J2680">
        <v>4</v>
      </c>
    </row>
    <row r="2681" spans="1:10" x14ac:dyDescent="0.25">
      <c r="A2681" t="s">
        <v>27</v>
      </c>
      <c r="B2681" s="1" t="str">
        <f>HYPERLINK("http://google.com.qa","google.com.qa")</f>
        <v>google.com.qa</v>
      </c>
      <c r="C2681" t="s">
        <v>490</v>
      </c>
      <c r="D2681" t="s">
        <v>864</v>
      </c>
      <c r="E2681">
        <v>7208</v>
      </c>
      <c r="F2681">
        <v>1.11953951779434E-6</v>
      </c>
      <c r="G2681">
        <v>34431</v>
      </c>
      <c r="H2681">
        <v>17720668</v>
      </c>
      <c r="I2681">
        <v>6916</v>
      </c>
      <c r="J2681">
        <v>4</v>
      </c>
    </row>
    <row r="2682" spans="1:10" x14ac:dyDescent="0.25">
      <c r="A2682" t="s">
        <v>27</v>
      </c>
      <c r="B2682" s="1" t="str">
        <f>HYPERLINK("http://google.qa","google.qa")</f>
        <v>google.qa</v>
      </c>
      <c r="C2682" t="s">
        <v>490</v>
      </c>
      <c r="D2682" t="s">
        <v>864</v>
      </c>
      <c r="F2682">
        <v>2.8094724117160399E-8</v>
      </c>
      <c r="G2682">
        <v>1831334</v>
      </c>
      <c r="H2682">
        <v>14016283</v>
      </c>
      <c r="I2682">
        <v>3996588</v>
      </c>
      <c r="J2682">
        <v>5</v>
      </c>
    </row>
    <row r="2683" spans="1:10" x14ac:dyDescent="0.25">
      <c r="A2683" t="s">
        <v>27</v>
      </c>
      <c r="B2683" s="1" t="str">
        <f>HYPERLINK("http://google.ro","google.ro")</f>
        <v>google.ro</v>
      </c>
      <c r="C2683" t="s">
        <v>491</v>
      </c>
      <c r="D2683" t="s">
        <v>865</v>
      </c>
      <c r="E2683">
        <v>3332</v>
      </c>
      <c r="F2683">
        <v>6.4042248178551604E-6</v>
      </c>
      <c r="G2683">
        <v>5307</v>
      </c>
      <c r="H2683">
        <v>18001132</v>
      </c>
      <c r="I2683">
        <v>3681</v>
      </c>
      <c r="J2683">
        <v>4</v>
      </c>
    </row>
    <row r="2684" spans="1:10" x14ac:dyDescent="0.25">
      <c r="A2684" t="s">
        <v>27</v>
      </c>
      <c r="B2684" s="1" t="str">
        <f>HYPERLINK("http://waze.ro","waze.ro")</f>
        <v>waze.ro</v>
      </c>
      <c r="C2684" t="s">
        <v>491</v>
      </c>
      <c r="D2684" t="s">
        <v>865</v>
      </c>
      <c r="F2684">
        <v>5.2884717414238797E-9</v>
      </c>
      <c r="G2684">
        <v>23665921</v>
      </c>
      <c r="H2684">
        <v>11090472</v>
      </c>
      <c r="I2684">
        <v>32377342</v>
      </c>
      <c r="J2684">
        <v>5</v>
      </c>
    </row>
    <row r="2685" spans="1:10" x14ac:dyDescent="0.25">
      <c r="A2685" t="s">
        <v>27</v>
      </c>
      <c r="B2685" s="1" t="str">
        <f>HYPERLINK("http://google.rs","google.rs")</f>
        <v>google.rs</v>
      </c>
      <c r="C2685" t="s">
        <v>492</v>
      </c>
      <c r="D2685" t="s">
        <v>866</v>
      </c>
      <c r="E2685">
        <v>5083</v>
      </c>
      <c r="F2685">
        <v>4.3063993762231502E-6</v>
      </c>
      <c r="G2685">
        <v>8261</v>
      </c>
      <c r="H2685">
        <v>17734266</v>
      </c>
      <c r="I2685">
        <v>6661</v>
      </c>
      <c r="J2685">
        <v>4</v>
      </c>
    </row>
    <row r="2686" spans="1:10" x14ac:dyDescent="0.25">
      <c r="A2686" t="s">
        <v>27</v>
      </c>
      <c r="B2686" s="1" t="str">
        <f>HYPERLINK("http://google.ru","google.ru")</f>
        <v>google.ru</v>
      </c>
      <c r="C2686" t="s">
        <v>493</v>
      </c>
      <c r="D2686" t="s">
        <v>867</v>
      </c>
      <c r="E2686">
        <v>480</v>
      </c>
      <c r="F2686">
        <v>2.51449979139688E-5</v>
      </c>
      <c r="G2686">
        <v>1169</v>
      </c>
      <c r="H2686">
        <v>18302662</v>
      </c>
      <c r="I2686">
        <v>2344</v>
      </c>
      <c r="J2686">
        <v>4</v>
      </c>
    </row>
    <row r="2687" spans="1:10" x14ac:dyDescent="0.25">
      <c r="A2687" t="s">
        <v>27</v>
      </c>
      <c r="B2687" s="1" t="str">
        <f>HYPERLINK("http://google.rw","google.rw")</f>
        <v>google.rw</v>
      </c>
      <c r="C2687" t="s">
        <v>662</v>
      </c>
      <c r="D2687" t="s">
        <v>981</v>
      </c>
      <c r="E2687">
        <v>12020</v>
      </c>
      <c r="F2687">
        <v>1.23583140661321E-6</v>
      </c>
      <c r="G2687">
        <v>31489</v>
      </c>
      <c r="H2687">
        <v>17736510</v>
      </c>
      <c r="I2687">
        <v>6616</v>
      </c>
      <c r="J2687">
        <v>4</v>
      </c>
    </row>
    <row r="2688" spans="1:10" x14ac:dyDescent="0.25">
      <c r="A2688" t="s">
        <v>27</v>
      </c>
      <c r="B2688" s="1" t="str">
        <f>HYPERLINK("http://google.com.sa","google.com.sa")</f>
        <v>google.com.sa</v>
      </c>
      <c r="C2688" t="s">
        <v>494</v>
      </c>
      <c r="D2688" t="s">
        <v>868</v>
      </c>
      <c r="E2688">
        <v>1263</v>
      </c>
      <c r="F2688">
        <v>2.1838395346051299E-6</v>
      </c>
      <c r="G2688">
        <v>16796</v>
      </c>
      <c r="H2688">
        <v>17855060</v>
      </c>
      <c r="I2688">
        <v>4924</v>
      </c>
      <c r="J2688">
        <v>4</v>
      </c>
    </row>
    <row r="2689" spans="1:10" x14ac:dyDescent="0.25">
      <c r="A2689" t="s">
        <v>27</v>
      </c>
      <c r="B2689" s="1" t="str">
        <f>HYPERLINK("http://google.com.sb","google.com.sb")</f>
        <v>google.com.sb</v>
      </c>
      <c r="C2689" t="s">
        <v>663</v>
      </c>
      <c r="D2689" t="s">
        <v>982</v>
      </c>
      <c r="E2689">
        <v>12771</v>
      </c>
      <c r="F2689">
        <v>9.2702414557884103E-7</v>
      </c>
      <c r="G2689">
        <v>41544</v>
      </c>
      <c r="H2689">
        <v>17630508</v>
      </c>
      <c r="I2689">
        <v>8849</v>
      </c>
      <c r="J2689">
        <v>4</v>
      </c>
    </row>
    <row r="2690" spans="1:10" x14ac:dyDescent="0.25">
      <c r="A2690" t="s">
        <v>27</v>
      </c>
      <c r="B2690" s="1" t="str">
        <f>HYPERLINK("http://google.sc","google.sc")</f>
        <v>google.sc</v>
      </c>
      <c r="C2690" t="s">
        <v>664</v>
      </c>
      <c r="D2690" t="s">
        <v>983</v>
      </c>
      <c r="E2690">
        <v>12041</v>
      </c>
      <c r="F2690">
        <v>1.23350543676601E-6</v>
      </c>
      <c r="G2690">
        <v>31546</v>
      </c>
      <c r="H2690">
        <v>17769044</v>
      </c>
      <c r="I2690">
        <v>6035</v>
      </c>
      <c r="J2690">
        <v>4</v>
      </c>
    </row>
    <row r="2691" spans="1:10" x14ac:dyDescent="0.25">
      <c r="A2691" t="s">
        <v>27</v>
      </c>
      <c r="B2691" s="1" t="str">
        <f>HYPERLINK("http://google.se","google.se")</f>
        <v>google.se</v>
      </c>
      <c r="C2691" t="s">
        <v>495</v>
      </c>
      <c r="D2691" t="s">
        <v>869</v>
      </c>
      <c r="E2691">
        <v>3324</v>
      </c>
      <c r="F2691">
        <v>1.4591658906486899E-5</v>
      </c>
      <c r="G2691">
        <v>2431</v>
      </c>
      <c r="H2691">
        <v>18195744</v>
      </c>
      <c r="I2691">
        <v>2757</v>
      </c>
      <c r="J2691">
        <v>4</v>
      </c>
    </row>
    <row r="2692" spans="1:10" x14ac:dyDescent="0.25">
      <c r="A2692" t="s">
        <v>27</v>
      </c>
      <c r="B2692" s="1" t="str">
        <f>HYPERLINK("http://google.com.sg","google.com.sg")</f>
        <v>google.com.sg</v>
      </c>
      <c r="C2692" t="s">
        <v>496</v>
      </c>
      <c r="D2692" t="s">
        <v>870</v>
      </c>
      <c r="E2692">
        <v>1146</v>
      </c>
      <c r="F2692">
        <v>2.2874974455637799E-5</v>
      </c>
      <c r="G2692">
        <v>1273</v>
      </c>
      <c r="H2692">
        <v>18531708</v>
      </c>
      <c r="I2692">
        <v>1480</v>
      </c>
      <c r="J2692">
        <v>4</v>
      </c>
    </row>
    <row r="2693" spans="1:10" x14ac:dyDescent="0.25">
      <c r="A2693" t="s">
        <v>27</v>
      </c>
      <c r="B2693" s="1" t="str">
        <f>HYPERLINK("http://google.sh","google.sh")</f>
        <v>google.sh</v>
      </c>
      <c r="C2693" t="s">
        <v>665</v>
      </c>
      <c r="D2693" t="s">
        <v>984</v>
      </c>
      <c r="E2693">
        <v>12078</v>
      </c>
      <c r="F2693">
        <v>1.0790221227281201E-6</v>
      </c>
      <c r="G2693">
        <v>35686</v>
      </c>
      <c r="H2693">
        <v>17719248</v>
      </c>
      <c r="I2693">
        <v>6949</v>
      </c>
      <c r="J2693">
        <v>4</v>
      </c>
    </row>
    <row r="2694" spans="1:10" x14ac:dyDescent="0.25">
      <c r="A2694" t="s">
        <v>27</v>
      </c>
      <c r="B2694" s="1" t="str">
        <f>HYPERLINK("http://google.si","google.si")</f>
        <v>google.si</v>
      </c>
      <c r="C2694" t="s">
        <v>497</v>
      </c>
      <c r="D2694" t="s">
        <v>871</v>
      </c>
      <c r="E2694">
        <v>7180</v>
      </c>
      <c r="F2694">
        <v>4.2529705488433298E-6</v>
      </c>
      <c r="G2694">
        <v>8411</v>
      </c>
      <c r="H2694">
        <v>18131454</v>
      </c>
      <c r="I2694">
        <v>2996</v>
      </c>
      <c r="J2694">
        <v>4</v>
      </c>
    </row>
    <row r="2695" spans="1:10" x14ac:dyDescent="0.25">
      <c r="A2695" t="s">
        <v>27</v>
      </c>
      <c r="B2695" s="1" t="str">
        <f>HYPERLINK("http://waze.si","waze.si")</f>
        <v>waze.si</v>
      </c>
      <c r="C2695" t="s">
        <v>497</v>
      </c>
      <c r="D2695" t="s">
        <v>871</v>
      </c>
      <c r="F2695">
        <v>4.4438339758581399E-9</v>
      </c>
      <c r="G2695">
        <v>78946463</v>
      </c>
      <c r="H2695">
        <v>10350677</v>
      </c>
      <c r="I2695">
        <v>56312819</v>
      </c>
      <c r="J2695">
        <v>5</v>
      </c>
    </row>
    <row r="2696" spans="1:10" x14ac:dyDescent="0.25">
      <c r="A2696" t="s">
        <v>27</v>
      </c>
      <c r="B2696" s="1" t="str">
        <f>HYPERLINK("http://google.sk","google.sk")</f>
        <v>google.sk</v>
      </c>
      <c r="C2696" t="s">
        <v>498</v>
      </c>
      <c r="D2696" t="s">
        <v>872</v>
      </c>
      <c r="E2696">
        <v>5210</v>
      </c>
      <c r="F2696">
        <v>6.5144785286595296E-6</v>
      </c>
      <c r="G2696">
        <v>5222</v>
      </c>
      <c r="H2696">
        <v>17961278</v>
      </c>
      <c r="I2696">
        <v>3970</v>
      </c>
      <c r="J2696">
        <v>4</v>
      </c>
    </row>
    <row r="2697" spans="1:10" x14ac:dyDescent="0.25">
      <c r="A2697" t="s">
        <v>27</v>
      </c>
      <c r="B2697" s="1" t="str">
        <f>HYPERLINK("http://waze.sk","waze.sk")</f>
        <v>waze.sk</v>
      </c>
      <c r="C2697" t="s">
        <v>498</v>
      </c>
      <c r="D2697" t="s">
        <v>872</v>
      </c>
      <c r="F2697">
        <v>5.0525472097875801E-9</v>
      </c>
      <c r="G2697">
        <v>28163431</v>
      </c>
      <c r="H2697">
        <v>12045981</v>
      </c>
      <c r="I2697">
        <v>27345124</v>
      </c>
      <c r="J2697">
        <v>5</v>
      </c>
    </row>
    <row r="2698" spans="1:10" x14ac:dyDescent="0.25">
      <c r="A2698" t="s">
        <v>27</v>
      </c>
      <c r="B2698" s="1" t="str">
        <f>HYPERLINK("http://google.com.sl","google.com.sl")</f>
        <v>google.com.sl</v>
      </c>
      <c r="C2698" t="s">
        <v>666</v>
      </c>
      <c r="D2698" t="s">
        <v>985</v>
      </c>
      <c r="E2698">
        <v>13325</v>
      </c>
      <c r="F2698">
        <v>8.5134049897532896E-7</v>
      </c>
      <c r="G2698">
        <v>46759</v>
      </c>
      <c r="H2698">
        <v>17769558</v>
      </c>
      <c r="I2698">
        <v>6021</v>
      </c>
      <c r="J2698">
        <v>4</v>
      </c>
    </row>
    <row r="2699" spans="1:10" x14ac:dyDescent="0.25">
      <c r="A2699" t="s">
        <v>27</v>
      </c>
      <c r="B2699" s="1" t="str">
        <f>HYPERLINK("http://google.sm","google.sm")</f>
        <v>google.sm</v>
      </c>
      <c r="C2699" t="s">
        <v>667</v>
      </c>
      <c r="D2699" t="s">
        <v>986</v>
      </c>
      <c r="E2699">
        <v>12275</v>
      </c>
      <c r="F2699">
        <v>1.02354395173792E-6</v>
      </c>
      <c r="G2699">
        <v>37411</v>
      </c>
      <c r="H2699">
        <v>17676994</v>
      </c>
      <c r="I2699">
        <v>7797</v>
      </c>
      <c r="J2699">
        <v>4</v>
      </c>
    </row>
    <row r="2700" spans="1:10" x14ac:dyDescent="0.25">
      <c r="A2700" t="s">
        <v>27</v>
      </c>
      <c r="B2700" s="1" t="str">
        <f>HYPERLINK("http://google.sn","google.sn")</f>
        <v>google.sn</v>
      </c>
      <c r="C2700" t="s">
        <v>551</v>
      </c>
      <c r="D2700" t="s">
        <v>907</v>
      </c>
      <c r="E2700">
        <v>11046</v>
      </c>
      <c r="F2700">
        <v>1.2883847035298499E-6</v>
      </c>
      <c r="G2700">
        <v>30144</v>
      </c>
      <c r="H2700">
        <v>17663198</v>
      </c>
      <c r="I2700">
        <v>8101</v>
      </c>
      <c r="J2700">
        <v>4</v>
      </c>
    </row>
    <row r="2701" spans="1:10" x14ac:dyDescent="0.25">
      <c r="A2701" t="s">
        <v>27</v>
      </c>
      <c r="B2701" s="1" t="str">
        <f>HYPERLINK("http://google.so","google.so")</f>
        <v>google.so</v>
      </c>
      <c r="C2701" t="s">
        <v>605</v>
      </c>
      <c r="D2701" t="s">
        <v>936</v>
      </c>
      <c r="E2701">
        <v>12748</v>
      </c>
      <c r="F2701">
        <v>9.4829678408371403E-7</v>
      </c>
      <c r="G2701">
        <v>40403</v>
      </c>
      <c r="H2701">
        <v>17594620</v>
      </c>
      <c r="I2701">
        <v>9830</v>
      </c>
      <c r="J2701">
        <v>4</v>
      </c>
    </row>
    <row r="2702" spans="1:10" x14ac:dyDescent="0.25">
      <c r="A2702" t="s">
        <v>27</v>
      </c>
      <c r="B2702" s="1" t="str">
        <f>HYPERLINK("http://google.sr","google.sr")</f>
        <v>google.sr</v>
      </c>
      <c r="C2702" t="s">
        <v>668</v>
      </c>
      <c r="D2702" t="s">
        <v>987</v>
      </c>
      <c r="E2702">
        <v>14927</v>
      </c>
      <c r="F2702">
        <v>8.6052371603167301E-7</v>
      </c>
      <c r="G2702">
        <v>46386</v>
      </c>
      <c r="H2702">
        <v>17756624</v>
      </c>
      <c r="I2702">
        <v>6254</v>
      </c>
      <c r="J2702">
        <v>4</v>
      </c>
    </row>
    <row r="2703" spans="1:10" x14ac:dyDescent="0.25">
      <c r="A2703" t="s">
        <v>27</v>
      </c>
      <c r="B2703" s="1" t="str">
        <f>HYPERLINK("http://google.st","google.st")</f>
        <v>google.st</v>
      </c>
      <c r="C2703" t="s">
        <v>669</v>
      </c>
      <c r="D2703" t="s">
        <v>988</v>
      </c>
      <c r="E2703">
        <v>13248</v>
      </c>
      <c r="F2703">
        <v>2.8934952961535601E-6</v>
      </c>
      <c r="G2703">
        <v>13341</v>
      </c>
      <c r="H2703">
        <v>18085788</v>
      </c>
      <c r="I2703">
        <v>3193</v>
      </c>
      <c r="J2703">
        <v>4</v>
      </c>
    </row>
    <row r="2704" spans="1:10" x14ac:dyDescent="0.25">
      <c r="A2704" t="s">
        <v>27</v>
      </c>
      <c r="B2704" s="1" t="str">
        <f>HYPERLINK("http://waze.su","waze.su")</f>
        <v>waze.su</v>
      </c>
      <c r="C2704" t="s">
        <v>670</v>
      </c>
      <c r="F2704">
        <v>1.01103328543066E-8</v>
      </c>
      <c r="G2704">
        <v>6637237</v>
      </c>
      <c r="H2704">
        <v>14273256</v>
      </c>
      <c r="I2704">
        <v>1394077</v>
      </c>
      <c r="J2704">
        <v>5</v>
      </c>
    </row>
    <row r="2705" spans="1:10" x14ac:dyDescent="0.25">
      <c r="A2705" t="s">
        <v>27</v>
      </c>
      <c r="B2705" s="1" t="str">
        <f>HYPERLINK("http://google.com.sv","google.com.sv")</f>
        <v>google.com.sv</v>
      </c>
      <c r="C2705" t="s">
        <v>499</v>
      </c>
      <c r="D2705" t="s">
        <v>873</v>
      </c>
      <c r="E2705">
        <v>9893</v>
      </c>
      <c r="F2705">
        <v>1.23821229287242E-6</v>
      </c>
      <c r="G2705">
        <v>31437</v>
      </c>
      <c r="H2705">
        <v>17745750</v>
      </c>
      <c r="I2705">
        <v>6434</v>
      </c>
      <c r="J2705">
        <v>4</v>
      </c>
    </row>
    <row r="2706" spans="1:10" x14ac:dyDescent="0.25">
      <c r="A2706" t="s">
        <v>27</v>
      </c>
      <c r="B2706" s="1" t="str">
        <f>HYPERLINK("http://google.td","google.td")</f>
        <v>google.td</v>
      </c>
      <c r="C2706" t="s">
        <v>671</v>
      </c>
      <c r="D2706" t="s">
        <v>989</v>
      </c>
      <c r="E2706">
        <v>13212</v>
      </c>
      <c r="F2706">
        <v>9.1142985579501301E-7</v>
      </c>
      <c r="G2706">
        <v>42656</v>
      </c>
      <c r="H2706">
        <v>17667708</v>
      </c>
      <c r="I2706">
        <v>8003</v>
      </c>
      <c r="J2706">
        <v>4</v>
      </c>
    </row>
    <row r="2707" spans="1:10" x14ac:dyDescent="0.25">
      <c r="A2707" t="s">
        <v>27</v>
      </c>
      <c r="B2707" s="1" t="str">
        <f>HYPERLINK("http://x.team","x.team")</f>
        <v>x.team</v>
      </c>
      <c r="C2707" t="s">
        <v>577</v>
      </c>
      <c r="F2707">
        <v>1.2775077078818901E-8</v>
      </c>
      <c r="G2707">
        <v>4741956</v>
      </c>
      <c r="H2707">
        <v>12445780</v>
      </c>
      <c r="I2707">
        <v>18077716</v>
      </c>
      <c r="J2707">
        <v>4</v>
      </c>
    </row>
    <row r="2708" spans="1:10" x14ac:dyDescent="0.25">
      <c r="A2708" t="s">
        <v>27</v>
      </c>
      <c r="B2708" s="1" t="str">
        <f>HYPERLINK("http://nothing.tech","nothing.tech")</f>
        <v>nothing.tech</v>
      </c>
      <c r="C2708" t="s">
        <v>534</v>
      </c>
      <c r="E2708">
        <v>54014</v>
      </c>
      <c r="F2708">
        <v>4.56591534942416E-7</v>
      </c>
      <c r="G2708">
        <v>82821</v>
      </c>
      <c r="H2708">
        <v>17298152</v>
      </c>
      <c r="I2708">
        <v>28109</v>
      </c>
      <c r="J2708">
        <v>4</v>
      </c>
    </row>
    <row r="2709" spans="1:10" x14ac:dyDescent="0.25">
      <c r="A2709" t="s">
        <v>27</v>
      </c>
      <c r="B2709" s="1" t="str">
        <f>HYPERLINK("http://google.tg","google.tg")</f>
        <v>google.tg</v>
      </c>
      <c r="C2709" t="s">
        <v>672</v>
      </c>
      <c r="D2709" t="s">
        <v>990</v>
      </c>
      <c r="E2709">
        <v>12604</v>
      </c>
      <c r="F2709">
        <v>1.15138238686722E-6</v>
      </c>
      <c r="G2709">
        <v>33659</v>
      </c>
      <c r="H2709">
        <v>17735966</v>
      </c>
      <c r="I2709">
        <v>6631</v>
      </c>
      <c r="J2709">
        <v>4</v>
      </c>
    </row>
    <row r="2710" spans="1:10" x14ac:dyDescent="0.25">
      <c r="A2710" t="s">
        <v>27</v>
      </c>
      <c r="B2710" s="1" t="str">
        <f>HYPERLINK("http://google.co.th","google.co.th")</f>
        <v>google.co.th</v>
      </c>
      <c r="C2710" t="s">
        <v>500</v>
      </c>
      <c r="D2710" t="s">
        <v>874</v>
      </c>
      <c r="E2710">
        <v>911</v>
      </c>
      <c r="F2710">
        <v>6.7284458122731397E-6</v>
      </c>
      <c r="G2710">
        <v>4998</v>
      </c>
      <c r="H2710">
        <v>18076780</v>
      </c>
      <c r="I2710">
        <v>3239</v>
      </c>
      <c r="J2710">
        <v>4</v>
      </c>
    </row>
    <row r="2711" spans="1:10" x14ac:dyDescent="0.25">
      <c r="A2711" t="s">
        <v>27</v>
      </c>
      <c r="B2711" s="1" t="str">
        <f>HYPERLINK("http://google.com.tj","google.com.tj")</f>
        <v>google.com.tj</v>
      </c>
      <c r="C2711" t="s">
        <v>673</v>
      </c>
      <c r="D2711" t="s">
        <v>991</v>
      </c>
      <c r="E2711">
        <v>12419</v>
      </c>
      <c r="F2711">
        <v>8.8343017074505404E-7</v>
      </c>
      <c r="G2711">
        <v>45494</v>
      </c>
      <c r="H2711">
        <v>17699620</v>
      </c>
      <c r="I2711">
        <v>7330</v>
      </c>
      <c r="J2711">
        <v>4</v>
      </c>
    </row>
    <row r="2712" spans="1:10" x14ac:dyDescent="0.25">
      <c r="A2712" t="s">
        <v>27</v>
      </c>
      <c r="B2712" s="1" t="str">
        <f>HYPERLINK("http://google.tk","google.tk")</f>
        <v>google.tk</v>
      </c>
      <c r="C2712" t="s">
        <v>674</v>
      </c>
      <c r="D2712" t="s">
        <v>992</v>
      </c>
      <c r="E2712">
        <v>12644</v>
      </c>
      <c r="F2712">
        <v>9.0999416176832005E-7</v>
      </c>
      <c r="G2712">
        <v>42795</v>
      </c>
      <c r="H2712">
        <v>17592660</v>
      </c>
      <c r="I2712">
        <v>9891</v>
      </c>
      <c r="J2712">
        <v>4</v>
      </c>
    </row>
    <row r="2713" spans="1:10" x14ac:dyDescent="0.25">
      <c r="A2713" t="s">
        <v>27</v>
      </c>
      <c r="B2713" s="1" t="str">
        <f>HYPERLINK("http://google.tl","google.tl")</f>
        <v>google.tl</v>
      </c>
      <c r="C2713" t="s">
        <v>599</v>
      </c>
      <c r="D2713" t="s">
        <v>933</v>
      </c>
      <c r="E2713">
        <v>13241</v>
      </c>
      <c r="F2713">
        <v>1.14331184786241E-6</v>
      </c>
      <c r="G2713">
        <v>33831</v>
      </c>
      <c r="H2713">
        <v>17724742</v>
      </c>
      <c r="I2713">
        <v>6829</v>
      </c>
      <c r="J2713">
        <v>4</v>
      </c>
    </row>
    <row r="2714" spans="1:10" x14ac:dyDescent="0.25">
      <c r="A2714" t="s">
        <v>27</v>
      </c>
      <c r="B2714" s="1" t="str">
        <f>HYPERLINK("http://google.tm","google.tm")</f>
        <v>google.tm</v>
      </c>
      <c r="C2714" t="s">
        <v>675</v>
      </c>
      <c r="D2714" t="s">
        <v>993</v>
      </c>
      <c r="E2714">
        <v>12280</v>
      </c>
      <c r="F2714">
        <v>1.06204104164535E-6</v>
      </c>
      <c r="G2714">
        <v>36174</v>
      </c>
      <c r="H2714">
        <v>17719368</v>
      </c>
      <c r="I2714">
        <v>6946</v>
      </c>
      <c r="J2714">
        <v>4</v>
      </c>
    </row>
    <row r="2715" spans="1:10" x14ac:dyDescent="0.25">
      <c r="A2715" t="s">
        <v>27</v>
      </c>
      <c r="B2715" s="1" t="str">
        <f>HYPERLINK("http://google.com.tn","google.com.tn")</f>
        <v>google.com.tn</v>
      </c>
      <c r="C2715" t="s">
        <v>501</v>
      </c>
      <c r="D2715" t="s">
        <v>875</v>
      </c>
      <c r="E2715">
        <v>42876</v>
      </c>
      <c r="F2715">
        <v>1.9632889342236699E-7</v>
      </c>
      <c r="G2715">
        <v>196432</v>
      </c>
      <c r="H2715">
        <v>17159422</v>
      </c>
      <c r="I2715">
        <v>50129</v>
      </c>
      <c r="J2715">
        <v>4</v>
      </c>
    </row>
    <row r="2716" spans="1:10" x14ac:dyDescent="0.25">
      <c r="A2716" t="s">
        <v>27</v>
      </c>
      <c r="B2716" s="1" t="str">
        <f>HYPERLINK("http://google.tn","google.tn")</f>
        <v>google.tn</v>
      </c>
      <c r="C2716" t="s">
        <v>501</v>
      </c>
      <c r="D2716" t="s">
        <v>875</v>
      </c>
      <c r="E2716">
        <v>8958</v>
      </c>
      <c r="F2716">
        <v>1.44356212533124E-6</v>
      </c>
      <c r="G2716">
        <v>27146</v>
      </c>
      <c r="H2716">
        <v>17783512</v>
      </c>
      <c r="I2716">
        <v>5834</v>
      </c>
      <c r="J2716">
        <v>4</v>
      </c>
    </row>
    <row r="2717" spans="1:10" x14ac:dyDescent="0.25">
      <c r="A2717" t="s">
        <v>27</v>
      </c>
      <c r="B2717" s="1" t="str">
        <f>HYPERLINK("http://lebosphore.tn","lebosphore.tn")</f>
        <v>lebosphore.tn</v>
      </c>
      <c r="C2717" t="s">
        <v>501</v>
      </c>
      <c r="D2717" t="s">
        <v>875</v>
      </c>
      <c r="F2717">
        <v>4.7352201213597297E-9</v>
      </c>
      <c r="G2717">
        <v>39041379</v>
      </c>
      <c r="H2717">
        <v>10656846</v>
      </c>
      <c r="I2717">
        <v>43501239</v>
      </c>
      <c r="J2717">
        <v>6</v>
      </c>
    </row>
    <row r="2718" spans="1:10" x14ac:dyDescent="0.25">
      <c r="A2718" t="s">
        <v>27</v>
      </c>
      <c r="B2718" s="1" t="str">
        <f>HYPERLINK("http://google.to","google.to")</f>
        <v>google.to</v>
      </c>
      <c r="C2718" t="s">
        <v>578</v>
      </c>
      <c r="D2718" t="s">
        <v>921</v>
      </c>
      <c r="E2718">
        <v>12584</v>
      </c>
      <c r="F2718">
        <v>1.22002276061377E-6</v>
      </c>
      <c r="G2718">
        <v>31861</v>
      </c>
      <c r="H2718">
        <v>17725496</v>
      </c>
      <c r="I2718">
        <v>6818</v>
      </c>
      <c r="J2718">
        <v>4</v>
      </c>
    </row>
    <row r="2719" spans="1:10" x14ac:dyDescent="0.25">
      <c r="A2719" t="s">
        <v>27</v>
      </c>
      <c r="B2719" s="1" t="str">
        <f>HYPERLINK("http://waze.to","waze.to")</f>
        <v>waze.to</v>
      </c>
      <c r="C2719" t="s">
        <v>578</v>
      </c>
      <c r="D2719" t="s">
        <v>921</v>
      </c>
      <c r="E2719">
        <v>372707</v>
      </c>
      <c r="F2719">
        <v>4.1512812329357098E-7</v>
      </c>
      <c r="G2719">
        <v>90669</v>
      </c>
      <c r="H2719">
        <v>17176534</v>
      </c>
      <c r="I2719">
        <v>46253</v>
      </c>
      <c r="J2719">
        <v>5</v>
      </c>
    </row>
    <row r="2720" spans="1:10" x14ac:dyDescent="0.25">
      <c r="A2720" t="s">
        <v>27</v>
      </c>
      <c r="B2720" s="1" t="str">
        <f>HYPERLINK("http://waze.tools","waze.tools")</f>
        <v>waze.tools</v>
      </c>
      <c r="C2720" t="s">
        <v>600</v>
      </c>
      <c r="F2720">
        <v>7.3507536467377403E-9</v>
      </c>
      <c r="G2720">
        <v>11359071</v>
      </c>
      <c r="H2720">
        <v>12624343</v>
      </c>
      <c r="I2720">
        <v>16042130</v>
      </c>
      <c r="J2720">
        <v>5</v>
      </c>
    </row>
    <row r="2721" spans="1:10" x14ac:dyDescent="0.25">
      <c r="A2721" t="s">
        <v>27</v>
      </c>
      <c r="B2721" s="1" t="str">
        <f>HYPERLINK("http://joautum.top","joautum.top")</f>
        <v>joautum.top</v>
      </c>
      <c r="C2721" t="s">
        <v>606</v>
      </c>
      <c r="E2721">
        <v>508298</v>
      </c>
      <c r="F2721">
        <v>3.1703882396310198E-8</v>
      </c>
      <c r="G2721">
        <v>1628372</v>
      </c>
      <c r="H2721">
        <v>14152141</v>
      </c>
      <c r="I2721">
        <v>1870655</v>
      </c>
      <c r="J2721">
        <v>6</v>
      </c>
    </row>
    <row r="2722" spans="1:10" x14ac:dyDescent="0.25">
      <c r="A2722" t="s">
        <v>27</v>
      </c>
      <c r="B2722" s="1" t="str">
        <f>HYPERLINK("http://kidumplus.top","kidumplus.top")</f>
        <v>kidumplus.top</v>
      </c>
      <c r="C2722" t="s">
        <v>606</v>
      </c>
      <c r="F2722">
        <v>1.8131957610747901E-8</v>
      </c>
      <c r="G2722">
        <v>3003412</v>
      </c>
      <c r="H2722">
        <v>10529582</v>
      </c>
      <c r="I2722">
        <v>48404485</v>
      </c>
      <c r="J2722">
        <v>6</v>
      </c>
    </row>
    <row r="2723" spans="1:10" x14ac:dyDescent="0.25">
      <c r="A2723" t="s">
        <v>27</v>
      </c>
      <c r="B2723" s="1" t="str">
        <f>HYPERLINK("http://google.com.tr","google.com.tr")</f>
        <v>google.com.tr</v>
      </c>
      <c r="C2723" t="s">
        <v>502</v>
      </c>
      <c r="D2723" t="s">
        <v>876</v>
      </c>
      <c r="E2723">
        <v>919</v>
      </c>
      <c r="F2723">
        <v>7.17031988287356E-6</v>
      </c>
      <c r="G2723">
        <v>4697</v>
      </c>
      <c r="H2723">
        <v>18089026</v>
      </c>
      <c r="I2723">
        <v>3180</v>
      </c>
      <c r="J2723">
        <v>4</v>
      </c>
    </row>
    <row r="2724" spans="1:10" x14ac:dyDescent="0.25">
      <c r="A2724" t="s">
        <v>27</v>
      </c>
      <c r="B2724" s="1" t="str">
        <f>HYPERLINK("http://thinkwithgoogle.com.tr","thinkwithgoogle.com.tr")</f>
        <v>thinkwithgoogle.com.tr</v>
      </c>
      <c r="C2724" t="s">
        <v>502</v>
      </c>
      <c r="D2724" t="s">
        <v>876</v>
      </c>
      <c r="F2724">
        <v>1.27724538682354E-8</v>
      </c>
      <c r="G2724">
        <v>4743276</v>
      </c>
      <c r="H2724">
        <v>13018251</v>
      </c>
      <c r="I2724">
        <v>12720383</v>
      </c>
      <c r="J2724">
        <v>5</v>
      </c>
    </row>
    <row r="2725" spans="1:10" x14ac:dyDescent="0.25">
      <c r="A2725" t="s">
        <v>27</v>
      </c>
      <c r="B2725" s="1" t="str">
        <f>HYPERLINK("http://google.tt","google.tt")</f>
        <v>google.tt</v>
      </c>
      <c r="C2725" t="s">
        <v>503</v>
      </c>
      <c r="D2725" t="s">
        <v>877</v>
      </c>
      <c r="E2725">
        <v>11335</v>
      </c>
      <c r="F2725">
        <v>1.04269768512599E-6</v>
      </c>
      <c r="G2725">
        <v>36766</v>
      </c>
      <c r="H2725">
        <v>17621002</v>
      </c>
      <c r="I2725">
        <v>9097</v>
      </c>
      <c r="J2725">
        <v>4</v>
      </c>
    </row>
    <row r="2726" spans="1:10" x14ac:dyDescent="0.25">
      <c r="A2726" t="s">
        <v>27</v>
      </c>
      <c r="B2726" s="1" t="str">
        <f>HYPERLINK("http://google.com.tw","google.com.tw")</f>
        <v>google.com.tw</v>
      </c>
      <c r="C2726" t="s">
        <v>504</v>
      </c>
      <c r="D2726" t="s">
        <v>878</v>
      </c>
      <c r="E2726">
        <v>699</v>
      </c>
      <c r="F2726">
        <v>8.3994942071950908E-6</v>
      </c>
      <c r="G2726">
        <v>4016</v>
      </c>
      <c r="H2726">
        <v>18047442</v>
      </c>
      <c r="I2726">
        <v>3407</v>
      </c>
      <c r="J2726">
        <v>4</v>
      </c>
    </row>
    <row r="2727" spans="1:10" x14ac:dyDescent="0.25">
      <c r="A2727" t="s">
        <v>27</v>
      </c>
      <c r="B2727" s="1" t="str">
        <f>HYPERLINK("http://google.co.tz","google.co.tz")</f>
        <v>google.co.tz</v>
      </c>
      <c r="C2727" t="s">
        <v>676</v>
      </c>
      <c r="D2727" t="s">
        <v>994</v>
      </c>
      <c r="E2727">
        <v>10516</v>
      </c>
      <c r="F2727">
        <v>8.7840883254570403E-7</v>
      </c>
      <c r="G2727">
        <v>45673</v>
      </c>
      <c r="H2727">
        <v>17447512</v>
      </c>
      <c r="I2727">
        <v>16300</v>
      </c>
      <c r="J2727">
        <v>4</v>
      </c>
    </row>
    <row r="2728" spans="1:10" x14ac:dyDescent="0.25">
      <c r="A2728" t="s">
        <v>27</v>
      </c>
      <c r="B2728" s="1" t="str">
        <f>HYPERLINK("http://youtube.co.tz","youtube.co.tz")</f>
        <v>youtube.co.tz</v>
      </c>
      <c r="C2728" t="s">
        <v>676</v>
      </c>
      <c r="D2728" t="s">
        <v>994</v>
      </c>
      <c r="E2728">
        <v>989675</v>
      </c>
      <c r="F2728">
        <v>1.80625522776371E-6</v>
      </c>
      <c r="G2728">
        <v>21258</v>
      </c>
      <c r="H2728">
        <v>15749275</v>
      </c>
      <c r="I2728">
        <v>368937</v>
      </c>
      <c r="J2728">
        <v>5</v>
      </c>
    </row>
    <row r="2729" spans="1:10" x14ac:dyDescent="0.25">
      <c r="A2729" t="s">
        <v>27</v>
      </c>
      <c r="B2729" s="1" t="str">
        <f>HYPERLINK("http://google.com.ua","google.com.ua")</f>
        <v>google.com.ua</v>
      </c>
      <c r="C2729" t="s">
        <v>505</v>
      </c>
      <c r="D2729" t="s">
        <v>879</v>
      </c>
      <c r="E2729">
        <v>2250</v>
      </c>
      <c r="F2729">
        <v>1.05210755538168E-5</v>
      </c>
      <c r="G2729">
        <v>3213</v>
      </c>
      <c r="H2729">
        <v>18883802</v>
      </c>
      <c r="I2729">
        <v>670</v>
      </c>
      <c r="J2729">
        <v>4</v>
      </c>
    </row>
    <row r="2730" spans="1:10" x14ac:dyDescent="0.25">
      <c r="A2730" t="s">
        <v>27</v>
      </c>
      <c r="B2730" s="1" t="str">
        <f>HYPERLINK("http://singleprint.com.ua","singleprint.com.ua")</f>
        <v>singleprint.com.ua</v>
      </c>
      <c r="C2730" t="s">
        <v>505</v>
      </c>
      <c r="D2730" t="s">
        <v>879</v>
      </c>
      <c r="F2730">
        <v>4.7117461385193498E-9</v>
      </c>
      <c r="G2730">
        <v>40659129</v>
      </c>
      <c r="H2730">
        <v>12434950</v>
      </c>
      <c r="I2730">
        <v>18215123</v>
      </c>
      <c r="J2730">
        <v>6</v>
      </c>
    </row>
    <row r="2731" spans="1:10" x14ac:dyDescent="0.25">
      <c r="A2731" t="s">
        <v>27</v>
      </c>
      <c r="B2731" s="1" t="str">
        <f>HYPERLINK("http://google.co.ug","google.co.ug")</f>
        <v>google.co.ug</v>
      </c>
      <c r="C2731" t="s">
        <v>677</v>
      </c>
      <c r="D2731" t="s">
        <v>995</v>
      </c>
      <c r="E2731">
        <v>10782</v>
      </c>
      <c r="F2731">
        <v>1.2627656165098899E-6</v>
      </c>
      <c r="G2731">
        <v>30847</v>
      </c>
      <c r="H2731">
        <v>17805142</v>
      </c>
      <c r="I2731">
        <v>5522</v>
      </c>
      <c r="J2731">
        <v>4</v>
      </c>
    </row>
    <row r="2732" spans="1:10" x14ac:dyDescent="0.25">
      <c r="A2732" t="s">
        <v>27</v>
      </c>
      <c r="B2732" s="1" t="str">
        <f>HYPERLINK("http://google.co.uk","google.co.uk")</f>
        <v>google.co.uk</v>
      </c>
      <c r="C2732" t="s">
        <v>506</v>
      </c>
      <c r="D2732" t="s">
        <v>880</v>
      </c>
      <c r="E2732">
        <v>306</v>
      </c>
      <c r="F2732">
        <v>5.1871033442856901E-5</v>
      </c>
      <c r="G2732">
        <v>499</v>
      </c>
      <c r="H2732">
        <v>19506188</v>
      </c>
      <c r="I2732">
        <v>167</v>
      </c>
      <c r="J2732">
        <v>4</v>
      </c>
    </row>
    <row r="2733" spans="1:10" x14ac:dyDescent="0.25">
      <c r="A2733" t="s">
        <v>27</v>
      </c>
      <c r="B2733" s="1" t="str">
        <f>HYPERLINK("http://google.us","google.us")</f>
        <v>google.us</v>
      </c>
      <c r="C2733" t="s">
        <v>522</v>
      </c>
      <c r="D2733" t="s">
        <v>891</v>
      </c>
      <c r="E2733">
        <v>9598</v>
      </c>
      <c r="F2733">
        <v>4.7735682252514502E-7</v>
      </c>
      <c r="G2733">
        <v>79599</v>
      </c>
      <c r="H2733">
        <v>17221176</v>
      </c>
      <c r="I2733">
        <v>38260</v>
      </c>
      <c r="J2733">
        <v>4</v>
      </c>
    </row>
    <row r="2734" spans="1:10" x14ac:dyDescent="0.25">
      <c r="A2734" t="s">
        <v>27</v>
      </c>
      <c r="B2734" s="1" t="str">
        <f>HYPERLINK("http://google.com.uy","google.com.uy")</f>
        <v>google.com.uy</v>
      </c>
      <c r="C2734" t="s">
        <v>507</v>
      </c>
      <c r="D2734" t="s">
        <v>881</v>
      </c>
      <c r="E2734">
        <v>8649</v>
      </c>
      <c r="F2734">
        <v>1.4812878649245099E-6</v>
      </c>
      <c r="G2734">
        <v>26463</v>
      </c>
      <c r="H2734">
        <v>17830602</v>
      </c>
      <c r="I2734">
        <v>5214</v>
      </c>
      <c r="J2734">
        <v>4</v>
      </c>
    </row>
    <row r="2735" spans="1:10" x14ac:dyDescent="0.25">
      <c r="A2735" t="s">
        <v>27</v>
      </c>
      <c r="B2735" s="1" t="str">
        <f>HYPERLINK("http://google.co.uz","google.co.uz")</f>
        <v>google.co.uz</v>
      </c>
      <c r="C2735" t="s">
        <v>560</v>
      </c>
      <c r="D2735" t="s">
        <v>910</v>
      </c>
      <c r="E2735">
        <v>8614</v>
      </c>
      <c r="F2735">
        <v>1.02815374716962E-6</v>
      </c>
      <c r="G2735">
        <v>37254</v>
      </c>
      <c r="H2735">
        <v>17724602</v>
      </c>
      <c r="I2735">
        <v>6834</v>
      </c>
      <c r="J2735">
        <v>4</v>
      </c>
    </row>
    <row r="2736" spans="1:10" x14ac:dyDescent="0.25">
      <c r="A2736" t="s">
        <v>27</v>
      </c>
      <c r="B2736" s="1" t="str">
        <f>HYPERLINK("http://google.uz","google.uz")</f>
        <v>google.uz</v>
      </c>
      <c r="C2736" t="s">
        <v>560</v>
      </c>
      <c r="D2736" t="s">
        <v>910</v>
      </c>
      <c r="E2736">
        <v>74745</v>
      </c>
      <c r="F2736">
        <v>2.23700375604731E-7</v>
      </c>
      <c r="G2736">
        <v>168453</v>
      </c>
      <c r="H2736">
        <v>16908220</v>
      </c>
      <c r="I2736">
        <v>131455</v>
      </c>
      <c r="J2736">
        <v>4</v>
      </c>
    </row>
    <row r="2737" spans="1:10" x14ac:dyDescent="0.25">
      <c r="A2737" t="s">
        <v>27</v>
      </c>
      <c r="B2737" s="1" t="str">
        <f>HYPERLINK("http://google.com.vc","google.com.vc")</f>
        <v>google.com.vc</v>
      </c>
      <c r="C2737" t="s">
        <v>520</v>
      </c>
      <c r="D2737" t="s">
        <v>890</v>
      </c>
      <c r="E2737">
        <v>13143</v>
      </c>
      <c r="F2737">
        <v>1.10670108092103E-6</v>
      </c>
      <c r="G2737">
        <v>34763</v>
      </c>
      <c r="H2737">
        <v>17609910</v>
      </c>
      <c r="I2737">
        <v>9388</v>
      </c>
      <c r="J2737">
        <v>4</v>
      </c>
    </row>
    <row r="2738" spans="1:10" x14ac:dyDescent="0.25">
      <c r="A2738" t="s">
        <v>27</v>
      </c>
      <c r="B2738" s="1" t="str">
        <f>HYPERLINK("http://google.co.ve","google.co.ve")</f>
        <v>google.co.ve</v>
      </c>
      <c r="C2738" t="s">
        <v>508</v>
      </c>
      <c r="D2738" t="s">
        <v>882</v>
      </c>
      <c r="E2738">
        <v>2928</v>
      </c>
      <c r="F2738">
        <v>1.83207109915565E-6</v>
      </c>
      <c r="G2738">
        <v>20606</v>
      </c>
      <c r="H2738">
        <v>17703564</v>
      </c>
      <c r="I2738">
        <v>7240</v>
      </c>
      <c r="J2738">
        <v>4</v>
      </c>
    </row>
    <row r="2739" spans="1:10" x14ac:dyDescent="0.25">
      <c r="A2739" t="s">
        <v>27</v>
      </c>
      <c r="B2739" s="1" t="str">
        <f>HYPERLINK("http://google.com.ve","google.com.ve")</f>
        <v>google.com.ve</v>
      </c>
      <c r="C2739" t="s">
        <v>508</v>
      </c>
      <c r="D2739" t="s">
        <v>882</v>
      </c>
      <c r="E2739">
        <v>228477</v>
      </c>
      <c r="F2739">
        <v>6.0973975559069303E-8</v>
      </c>
      <c r="G2739">
        <v>722611</v>
      </c>
      <c r="H2739">
        <v>14335709</v>
      </c>
      <c r="I2739">
        <v>1319772</v>
      </c>
      <c r="J2739">
        <v>4</v>
      </c>
    </row>
    <row r="2740" spans="1:10" x14ac:dyDescent="0.25">
      <c r="A2740" t="s">
        <v>27</v>
      </c>
      <c r="B2740" s="1" t="str">
        <f>HYPERLINK("http://google.vg","google.vg")</f>
        <v>google.vg</v>
      </c>
      <c r="C2740" t="s">
        <v>678</v>
      </c>
      <c r="D2740" t="s">
        <v>996</v>
      </c>
      <c r="E2740">
        <v>12615</v>
      </c>
      <c r="F2740">
        <v>1.22433726118301E-6</v>
      </c>
      <c r="G2740">
        <v>31764</v>
      </c>
      <c r="H2740">
        <v>17661498</v>
      </c>
      <c r="I2740">
        <v>8128</v>
      </c>
      <c r="J2740">
        <v>4</v>
      </c>
    </row>
    <row r="2741" spans="1:10" x14ac:dyDescent="0.25">
      <c r="A2741" t="s">
        <v>27</v>
      </c>
      <c r="B2741" s="1" t="str">
        <f>HYPERLINK("http://google.co.vi","google.co.vi")</f>
        <v>google.co.vi</v>
      </c>
      <c r="C2741" t="s">
        <v>679</v>
      </c>
      <c r="D2741" t="s">
        <v>997</v>
      </c>
      <c r="E2741">
        <v>12436</v>
      </c>
      <c r="F2741">
        <v>1.0848107683499299E-6</v>
      </c>
      <c r="G2741">
        <v>35511</v>
      </c>
      <c r="H2741">
        <v>17583636</v>
      </c>
      <c r="I2741">
        <v>10185</v>
      </c>
      <c r="J2741">
        <v>4</v>
      </c>
    </row>
    <row r="2742" spans="1:10" x14ac:dyDescent="0.25">
      <c r="A2742" t="s">
        <v>27</v>
      </c>
      <c r="B2742" s="1" t="str">
        <f>HYPERLINK("http://google.com.vn","google.com.vn")</f>
        <v>google.com.vn</v>
      </c>
      <c r="C2742" t="s">
        <v>509</v>
      </c>
      <c r="D2742" t="s">
        <v>883</v>
      </c>
      <c r="E2742">
        <v>1832</v>
      </c>
      <c r="F2742">
        <v>9.5409323508126301E-6</v>
      </c>
      <c r="G2742">
        <v>3536</v>
      </c>
      <c r="H2742">
        <v>18763532</v>
      </c>
      <c r="I2742">
        <v>871</v>
      </c>
      <c r="J2742">
        <v>4</v>
      </c>
    </row>
    <row r="2743" spans="1:10" x14ac:dyDescent="0.25">
      <c r="A2743" t="s">
        <v>27</v>
      </c>
      <c r="B2743" s="1" t="str">
        <f>HYPERLINK("http://google.vu","google.vu")</f>
        <v>google.vu</v>
      </c>
      <c r="C2743" t="s">
        <v>680</v>
      </c>
      <c r="D2743" t="s">
        <v>998</v>
      </c>
      <c r="E2743">
        <v>12196</v>
      </c>
      <c r="F2743">
        <v>1.2465811676437999E-6</v>
      </c>
      <c r="G2743">
        <v>31258</v>
      </c>
      <c r="H2743">
        <v>17669704</v>
      </c>
      <c r="I2743">
        <v>7957</v>
      </c>
      <c r="J2743">
        <v>4</v>
      </c>
    </row>
    <row r="2744" spans="1:10" x14ac:dyDescent="0.25">
      <c r="A2744" t="s">
        <v>27</v>
      </c>
      <c r="B2744" s="1" t="str">
        <f>HYPERLINK("http://google.ws","google.ws")</f>
        <v>google.ws</v>
      </c>
      <c r="C2744" t="s">
        <v>536</v>
      </c>
      <c r="D2744" t="s">
        <v>898</v>
      </c>
      <c r="E2744">
        <v>12179</v>
      </c>
      <c r="F2744">
        <v>1.20655235178619E-6</v>
      </c>
      <c r="G2744">
        <v>32359</v>
      </c>
      <c r="H2744">
        <v>17688004</v>
      </c>
      <c r="I2744">
        <v>7570</v>
      </c>
      <c r="J2744">
        <v>4</v>
      </c>
    </row>
    <row r="2745" spans="1:10" x14ac:dyDescent="0.25">
      <c r="A2745" t="s">
        <v>27</v>
      </c>
      <c r="B2745" s="1" t="str">
        <f>HYPERLINK("http://abc.xyz","abc.xyz")</f>
        <v>abc.xyz</v>
      </c>
      <c r="C2745" t="s">
        <v>585</v>
      </c>
      <c r="E2745">
        <v>16562</v>
      </c>
      <c r="F2745">
        <v>2.7973730156364001E-6</v>
      </c>
      <c r="G2745">
        <v>13725</v>
      </c>
      <c r="H2745">
        <v>17591988</v>
      </c>
      <c r="I2745">
        <v>9915</v>
      </c>
      <c r="J2745">
        <v>1</v>
      </c>
    </row>
    <row r="2746" spans="1:10" x14ac:dyDescent="0.25">
      <c r="A2746" t="s">
        <v>27</v>
      </c>
      <c r="B2746" s="1" t="str">
        <f>HYPERLINK("http://gambarlucugif.xyz","gambarlucugif.xyz")</f>
        <v>gambarlucugif.xyz</v>
      </c>
      <c r="C2746" t="s">
        <v>585</v>
      </c>
      <c r="F2746">
        <v>4.8678581927493802E-9</v>
      </c>
      <c r="G2746">
        <v>33495370</v>
      </c>
      <c r="H2746">
        <v>11242733</v>
      </c>
      <c r="I2746">
        <v>30948236</v>
      </c>
      <c r="J2746">
        <v>6</v>
      </c>
    </row>
    <row r="2747" spans="1:10" x14ac:dyDescent="0.25">
      <c r="A2747" t="s">
        <v>27</v>
      </c>
      <c r="B2747" s="1" t="str">
        <f>HYPERLINK("http://google.co.za","google.co.za")</f>
        <v>google.co.za</v>
      </c>
      <c r="C2747" t="s">
        <v>510</v>
      </c>
      <c r="D2747" t="s">
        <v>884</v>
      </c>
      <c r="E2747">
        <v>3227</v>
      </c>
      <c r="F2747">
        <v>3.74649345503415E-6</v>
      </c>
      <c r="G2747">
        <v>11134</v>
      </c>
      <c r="H2747">
        <v>18046640</v>
      </c>
      <c r="I2747">
        <v>3411</v>
      </c>
      <c r="J2747">
        <v>4</v>
      </c>
    </row>
    <row r="2748" spans="1:10" x14ac:dyDescent="0.25">
      <c r="A2748" t="s">
        <v>27</v>
      </c>
      <c r="B2748" s="1" t="str">
        <f>HYPERLINK("http://google.co.zm","google.co.zm")</f>
        <v>google.co.zm</v>
      </c>
      <c r="C2748" t="s">
        <v>681</v>
      </c>
      <c r="D2748" t="s">
        <v>999</v>
      </c>
      <c r="E2748">
        <v>11303</v>
      </c>
      <c r="F2748">
        <v>1.2080010391673199E-6</v>
      </c>
      <c r="G2748">
        <v>32233</v>
      </c>
      <c r="H2748">
        <v>17710084</v>
      </c>
      <c r="I2748">
        <v>7103</v>
      </c>
      <c r="J2748">
        <v>4</v>
      </c>
    </row>
    <row r="2749" spans="1:10" x14ac:dyDescent="0.25">
      <c r="A2749" t="s">
        <v>27</v>
      </c>
      <c r="B2749" s="1" t="str">
        <f>HYPERLINK("http://google.co.zw","google.co.zw")</f>
        <v>google.co.zw</v>
      </c>
      <c r="C2749" t="s">
        <v>682</v>
      </c>
      <c r="D2749" t="s">
        <v>1000</v>
      </c>
      <c r="E2749">
        <v>11543</v>
      </c>
      <c r="F2749">
        <v>1.0903431184197801E-6</v>
      </c>
      <c r="G2749">
        <v>35281</v>
      </c>
      <c r="H2749">
        <v>17464248</v>
      </c>
      <c r="I2749">
        <v>15378</v>
      </c>
      <c r="J2749">
        <v>4</v>
      </c>
    </row>
    <row r="2750" spans="1:10" x14ac:dyDescent="0.25">
      <c r="A2750" t="s">
        <v>28</v>
      </c>
      <c r="B2750" s="1" t="str">
        <f>HYPERLINK("http://altria.com","altria.com")</f>
        <v>altria.com</v>
      </c>
      <c r="C2750" t="s">
        <v>433</v>
      </c>
      <c r="E2750">
        <v>59669</v>
      </c>
      <c r="F2750">
        <v>4.5636331417133798E-7</v>
      </c>
      <c r="G2750">
        <v>82857</v>
      </c>
      <c r="H2750">
        <v>15057352</v>
      </c>
      <c r="I2750">
        <v>413283</v>
      </c>
      <c r="J2750">
        <v>1</v>
      </c>
    </row>
    <row r="2751" spans="1:10" x14ac:dyDescent="0.25">
      <c r="A2751" t="s">
        <v>28</v>
      </c>
      <c r="B2751" s="1" t="str">
        <f>HYPERLINK("http://philipmorrisusa.com","philipmorrisusa.com")</f>
        <v>philipmorrisusa.com</v>
      </c>
      <c r="C2751" t="s">
        <v>433</v>
      </c>
      <c r="E2751">
        <v>666013</v>
      </c>
      <c r="F2751">
        <v>1.61142565691473E-7</v>
      </c>
      <c r="G2751">
        <v>240929</v>
      </c>
      <c r="H2751">
        <v>14878617</v>
      </c>
      <c r="I2751">
        <v>473560</v>
      </c>
      <c r="J2751">
        <v>3</v>
      </c>
    </row>
    <row r="2752" spans="1:10" x14ac:dyDescent="0.25">
      <c r="A2752" t="s">
        <v>28</v>
      </c>
      <c r="B2752" s="1" t="str">
        <f>HYPERLINK("http://ussmokeless.com","ussmokeless.com")</f>
        <v>ussmokeless.com</v>
      </c>
      <c r="C2752" t="s">
        <v>433</v>
      </c>
      <c r="F2752">
        <v>2.54432700586956E-8</v>
      </c>
      <c r="G2752">
        <v>2027423</v>
      </c>
      <c r="H2752">
        <v>13886367</v>
      </c>
      <c r="I2752">
        <v>5969141</v>
      </c>
      <c r="J2752">
        <v>3</v>
      </c>
    </row>
    <row r="2753" spans="1:10" x14ac:dyDescent="0.25">
      <c r="A2753" t="s">
        <v>29</v>
      </c>
      <c r="B2753" s="1" t="str">
        <f>HYPERLINK("http://amazon.ae","amazon.ae")</f>
        <v>amazon.ae</v>
      </c>
      <c r="C2753" t="s">
        <v>417</v>
      </c>
      <c r="D2753" t="s">
        <v>799</v>
      </c>
      <c r="E2753">
        <v>2269</v>
      </c>
      <c r="F2753">
        <v>5.4180739250614599E-6</v>
      </c>
      <c r="G2753">
        <v>6400</v>
      </c>
      <c r="H2753">
        <v>15830184</v>
      </c>
      <c r="I2753">
        <v>367759</v>
      </c>
      <c r="J2753">
        <v>2</v>
      </c>
    </row>
    <row r="2754" spans="1:10" x14ac:dyDescent="0.25">
      <c r="A2754" t="s">
        <v>29</v>
      </c>
      <c r="B2754" s="1" t="str">
        <f>HYPERLINK("http://universityesports.ae","universityesports.ae")</f>
        <v>universityesports.ae</v>
      </c>
      <c r="C2754" t="s">
        <v>417</v>
      </c>
      <c r="D2754" t="s">
        <v>799</v>
      </c>
      <c r="F2754">
        <v>5.1707934926670298E-9</v>
      </c>
      <c r="G2754">
        <v>25710671</v>
      </c>
      <c r="H2754">
        <v>10769715</v>
      </c>
      <c r="I2754">
        <v>39254089</v>
      </c>
      <c r="J2754">
        <v>5</v>
      </c>
    </row>
    <row r="2755" spans="1:10" x14ac:dyDescent="0.25">
      <c r="A2755" t="s">
        <v>29</v>
      </c>
      <c r="B2755" s="1" t="str">
        <f>HYPERLINK("http://amazon.at","amazon.at")</f>
        <v>amazon.at</v>
      </c>
      <c r="C2755" t="s">
        <v>419</v>
      </c>
      <c r="D2755" t="s">
        <v>801</v>
      </c>
      <c r="E2755">
        <v>517496</v>
      </c>
      <c r="F2755">
        <v>8.8124710974302794E-8</v>
      </c>
      <c r="G2755">
        <v>465018</v>
      </c>
      <c r="H2755">
        <v>14367512</v>
      </c>
      <c r="I2755">
        <v>1301232</v>
      </c>
      <c r="J2755">
        <v>2</v>
      </c>
    </row>
    <row r="2756" spans="1:10" x14ac:dyDescent="0.25">
      <c r="A2756" t="s">
        <v>29</v>
      </c>
      <c r="B2756" s="1" t="str">
        <f>HYPERLINK("http://aboutamazon.com.au","aboutamazon.com.au")</f>
        <v>aboutamazon.com.au</v>
      </c>
      <c r="C2756" t="s">
        <v>420</v>
      </c>
      <c r="D2756" t="s">
        <v>802</v>
      </c>
      <c r="E2756">
        <v>261992</v>
      </c>
      <c r="F2756">
        <v>6.3355849316077594E-8</v>
      </c>
      <c r="G2756">
        <v>686356</v>
      </c>
      <c r="H2756">
        <v>13899990</v>
      </c>
      <c r="I2756">
        <v>5951194</v>
      </c>
      <c r="J2756">
        <v>6</v>
      </c>
    </row>
    <row r="2757" spans="1:10" x14ac:dyDescent="0.25">
      <c r="A2757" t="s">
        <v>29</v>
      </c>
      <c r="B2757" s="1" t="str">
        <f>HYPERLINK("http://amazon.com.au","amazon.com.au")</f>
        <v>amazon.com.au</v>
      </c>
      <c r="C2757" t="s">
        <v>420</v>
      </c>
      <c r="D2757" t="s">
        <v>802</v>
      </c>
      <c r="E2757">
        <v>1523</v>
      </c>
      <c r="F2757">
        <v>1.5885770682262099E-5</v>
      </c>
      <c r="G2757">
        <v>2131</v>
      </c>
      <c r="H2757">
        <v>18327902</v>
      </c>
      <c r="I2757">
        <v>2247</v>
      </c>
      <c r="J2757">
        <v>2</v>
      </c>
    </row>
    <row r="2758" spans="1:10" x14ac:dyDescent="0.25">
      <c r="A2758" t="s">
        <v>29</v>
      </c>
      <c r="B2758" s="1" t="str">
        <f>HYPERLINK("http://amazonservices.com.au","amazonservices.com.au")</f>
        <v>amazonservices.com.au</v>
      </c>
      <c r="C2758" t="s">
        <v>420</v>
      </c>
      <c r="D2758" t="s">
        <v>802</v>
      </c>
      <c r="F2758">
        <v>2.53504857849813E-8</v>
      </c>
      <c r="G2758">
        <v>2035358</v>
      </c>
      <c r="H2758">
        <v>11395505</v>
      </c>
      <c r="I2758">
        <v>30237285</v>
      </c>
      <c r="J2758">
        <v>5</v>
      </c>
    </row>
    <row r="2759" spans="1:10" x14ac:dyDescent="0.25">
      <c r="A2759" t="s">
        <v>29</v>
      </c>
      <c r="B2759" s="1" t="str">
        <f>HYPERLINK("http://audible.com.au","audible.com.au")</f>
        <v>audible.com.au</v>
      </c>
      <c r="C2759" t="s">
        <v>420</v>
      </c>
      <c r="D2759" t="s">
        <v>802</v>
      </c>
      <c r="E2759">
        <v>74637</v>
      </c>
      <c r="F2759">
        <v>1.40419019737958E-6</v>
      </c>
      <c r="G2759">
        <v>27850</v>
      </c>
      <c r="H2759">
        <v>17390150</v>
      </c>
      <c r="I2759">
        <v>19910</v>
      </c>
      <c r="J2759">
        <v>4</v>
      </c>
    </row>
    <row r="2760" spans="1:10" x14ac:dyDescent="0.25">
      <c r="A2760" t="s">
        <v>29</v>
      </c>
      <c r="B2760" s="1" t="str">
        <f>HYPERLINK("http://zappos.biz","zappos.biz")</f>
        <v>zappos.biz</v>
      </c>
      <c r="C2760" t="s">
        <v>423</v>
      </c>
      <c r="E2760">
        <v>37915</v>
      </c>
      <c r="F2760">
        <v>8.7270045670194998E-8</v>
      </c>
      <c r="G2760">
        <v>470297</v>
      </c>
      <c r="H2760">
        <v>12477253</v>
      </c>
      <c r="I2760">
        <v>17623760</v>
      </c>
      <c r="J2760">
        <v>4</v>
      </c>
    </row>
    <row r="2761" spans="1:10" x14ac:dyDescent="0.25">
      <c r="A2761" t="s">
        <v>29</v>
      </c>
      <c r="B2761" s="1" t="str">
        <f>HYPERLINK("http://amazon.com.br","amazon.com.br")</f>
        <v>amazon.com.br</v>
      </c>
      <c r="C2761" t="s">
        <v>425</v>
      </c>
      <c r="D2761" t="s">
        <v>806</v>
      </c>
      <c r="E2761">
        <v>2379</v>
      </c>
      <c r="F2761">
        <v>9.0577362258755196E-6</v>
      </c>
      <c r="G2761">
        <v>3724</v>
      </c>
      <c r="H2761">
        <v>18055824</v>
      </c>
      <c r="I2761">
        <v>3357</v>
      </c>
      <c r="J2761">
        <v>2</v>
      </c>
    </row>
    <row r="2762" spans="1:10" x14ac:dyDescent="0.25">
      <c r="A2762" t="s">
        <v>29</v>
      </c>
      <c r="B2762" s="1" t="str">
        <f>HYPERLINK("http://abebooks.ca","abebooks.ca")</f>
        <v>abebooks.ca</v>
      </c>
      <c r="C2762" t="s">
        <v>428</v>
      </c>
      <c r="D2762" t="s">
        <v>809</v>
      </c>
      <c r="F2762">
        <v>5.3010370253542003E-8</v>
      </c>
      <c r="G2762">
        <v>859155</v>
      </c>
      <c r="H2762">
        <v>13939502</v>
      </c>
      <c r="I2762">
        <v>4391181</v>
      </c>
      <c r="J2762">
        <v>4</v>
      </c>
    </row>
    <row r="2763" spans="1:10" x14ac:dyDescent="0.25">
      <c r="A2763" t="s">
        <v>29</v>
      </c>
      <c r="B2763" s="1" t="str">
        <f>HYPERLINK("http://amazon.ca","amazon.ca")</f>
        <v>amazon.ca</v>
      </c>
      <c r="C2763" t="s">
        <v>428</v>
      </c>
      <c r="D2763" t="s">
        <v>809</v>
      </c>
      <c r="E2763">
        <v>419</v>
      </c>
      <c r="F2763">
        <v>4.0546077503683797E-5</v>
      </c>
      <c r="G2763">
        <v>667</v>
      </c>
      <c r="H2763">
        <v>19018120</v>
      </c>
      <c r="I2763">
        <v>525</v>
      </c>
      <c r="J2763">
        <v>2</v>
      </c>
    </row>
    <row r="2764" spans="1:10" x14ac:dyDescent="0.25">
      <c r="A2764" t="s">
        <v>29</v>
      </c>
      <c r="B2764" s="1" t="str">
        <f>HYPERLINK("http://amazonservices.ca","amazonservices.ca")</f>
        <v>amazonservices.ca</v>
      </c>
      <c r="C2764" t="s">
        <v>428</v>
      </c>
      <c r="D2764" t="s">
        <v>809</v>
      </c>
      <c r="F2764">
        <v>1.13521150683106E-7</v>
      </c>
      <c r="G2764">
        <v>351186</v>
      </c>
      <c r="H2764">
        <v>13400176</v>
      </c>
      <c r="I2764">
        <v>10367783</v>
      </c>
      <c r="J2764">
        <v>5</v>
      </c>
    </row>
    <row r="2765" spans="1:10" x14ac:dyDescent="0.25">
      <c r="A2765" t="s">
        <v>29</v>
      </c>
      <c r="B2765" s="1" t="str">
        <f>HYPERLINK("http://audible.ca","audible.ca")</f>
        <v>audible.ca</v>
      </c>
      <c r="C2765" t="s">
        <v>428</v>
      </c>
      <c r="D2765" t="s">
        <v>809</v>
      </c>
      <c r="E2765">
        <v>51458</v>
      </c>
      <c r="F2765">
        <v>7.6707578682032099E-7</v>
      </c>
      <c r="G2765">
        <v>50948</v>
      </c>
      <c r="H2765">
        <v>15030553</v>
      </c>
      <c r="I2765">
        <v>418534</v>
      </c>
      <c r="J2765">
        <v>3</v>
      </c>
    </row>
    <row r="2766" spans="1:10" x14ac:dyDescent="0.25">
      <c r="A2766" t="s">
        <v>29</v>
      </c>
      <c r="B2766" s="1" t="str">
        <f>HYPERLINK("http://amazon.care","amazon.care")</f>
        <v>amazon.care</v>
      </c>
      <c r="C2766" t="s">
        <v>538</v>
      </c>
      <c r="E2766">
        <v>393947</v>
      </c>
      <c r="F2766">
        <v>2.25721560342966E-7</v>
      </c>
      <c r="G2766">
        <v>166934</v>
      </c>
      <c r="H2766">
        <v>15019015</v>
      </c>
      <c r="I2766">
        <v>421194</v>
      </c>
      <c r="J2766">
        <v>2</v>
      </c>
    </row>
    <row r="2767" spans="1:10" x14ac:dyDescent="0.25">
      <c r="A2767" t="s">
        <v>29</v>
      </c>
      <c r="B2767" s="1" t="str">
        <f>HYPERLINK("http://amazon.cn","amazon.cn")</f>
        <v>amazon.cn</v>
      </c>
      <c r="C2767" t="s">
        <v>431</v>
      </c>
      <c r="D2767" t="s">
        <v>812</v>
      </c>
      <c r="E2767">
        <v>2534</v>
      </c>
      <c r="F2767">
        <v>1.7044937459465698E-5</v>
      </c>
      <c r="G2767">
        <v>1964</v>
      </c>
      <c r="H2767">
        <v>16641167</v>
      </c>
      <c r="I2767">
        <v>364804</v>
      </c>
      <c r="J2767">
        <v>2</v>
      </c>
    </row>
    <row r="2768" spans="1:10" x14ac:dyDescent="0.25">
      <c r="A2768" t="s">
        <v>29</v>
      </c>
      <c r="B2768" s="1" t="str">
        <f>HYPERLINK("http://a9.com","a9.com")</f>
        <v>a9.com</v>
      </c>
      <c r="C2768" t="s">
        <v>433</v>
      </c>
      <c r="E2768">
        <v>78092</v>
      </c>
      <c r="F2768">
        <v>3.19686579694007E-6</v>
      </c>
      <c r="G2768">
        <v>12447</v>
      </c>
      <c r="H2768">
        <v>17381570</v>
      </c>
      <c r="I2768">
        <v>20557</v>
      </c>
      <c r="J2768">
        <v>3</v>
      </c>
    </row>
    <row r="2769" spans="1:10" x14ac:dyDescent="0.25">
      <c r="A2769" t="s">
        <v>29</v>
      </c>
      <c r="B2769" s="1" t="str">
        <f>HYPERLINK("http://abebooks.com","abebooks.com")</f>
        <v>abebooks.com</v>
      </c>
      <c r="C2769" t="s">
        <v>433</v>
      </c>
      <c r="E2769">
        <v>2781</v>
      </c>
      <c r="F2769">
        <v>4.7289783702042502E-6</v>
      </c>
      <c r="G2769">
        <v>7423</v>
      </c>
      <c r="H2769">
        <v>17751554</v>
      </c>
      <c r="I2769">
        <v>6332</v>
      </c>
      <c r="J2769">
        <v>3</v>
      </c>
    </row>
    <row r="2770" spans="1:10" x14ac:dyDescent="0.25">
      <c r="A2770" t="s">
        <v>29</v>
      </c>
      <c r="B2770" s="1" t="str">
        <f>HYPERLINK("http://aboutamazon.com","aboutamazon.com")</f>
        <v>aboutamazon.com</v>
      </c>
      <c r="C2770" t="s">
        <v>433</v>
      </c>
      <c r="E2770">
        <v>3685</v>
      </c>
      <c r="F2770">
        <v>1.23094210716376E-5</v>
      </c>
      <c r="G2770">
        <v>2808</v>
      </c>
      <c r="H2770">
        <v>18991740</v>
      </c>
      <c r="I2770">
        <v>545</v>
      </c>
      <c r="J2770">
        <v>6</v>
      </c>
    </row>
    <row r="2771" spans="1:10" x14ac:dyDescent="0.25">
      <c r="A2771" t="s">
        <v>29</v>
      </c>
      <c r="B2771" s="1" t="str">
        <f>HYPERLINK("http://alexa.com","alexa.com")</f>
        <v>alexa.com</v>
      </c>
      <c r="C2771" t="s">
        <v>433</v>
      </c>
      <c r="E2771">
        <v>2074</v>
      </c>
      <c r="F2771">
        <v>2.4717132116403999E-5</v>
      </c>
      <c r="G2771">
        <v>1184</v>
      </c>
      <c r="H2771">
        <v>19336118</v>
      </c>
      <c r="I2771">
        <v>258</v>
      </c>
      <c r="J2771">
        <v>3</v>
      </c>
    </row>
    <row r="2772" spans="1:10" x14ac:dyDescent="0.25">
      <c r="A2772" t="s">
        <v>29</v>
      </c>
      <c r="B2772" s="1" t="str">
        <f>HYPERLINK("http://alexafund.com","alexafund.com")</f>
        <v>alexafund.com</v>
      </c>
      <c r="C2772" t="s">
        <v>433</v>
      </c>
      <c r="F2772">
        <v>2.8955624507348599E-8</v>
      </c>
      <c r="G2772">
        <v>1778064</v>
      </c>
      <c r="H2772">
        <v>13769181</v>
      </c>
      <c r="I2772">
        <v>6806363</v>
      </c>
      <c r="J2772">
        <v>4</v>
      </c>
    </row>
    <row r="2773" spans="1:10" x14ac:dyDescent="0.25">
      <c r="A2773" t="s">
        <v>29</v>
      </c>
      <c r="B2773" s="1" t="str">
        <f>HYPERLINK("http://amazon.com","amazon.com")</f>
        <v>amazon.com</v>
      </c>
      <c r="C2773" t="s">
        <v>433</v>
      </c>
      <c r="E2773">
        <v>17</v>
      </c>
      <c r="F2773">
        <v>7.0883918997184496E-4</v>
      </c>
      <c r="G2773">
        <v>48</v>
      </c>
      <c r="H2773">
        <v>20748850</v>
      </c>
      <c r="I2773">
        <v>24</v>
      </c>
      <c r="J2773">
        <v>1</v>
      </c>
    </row>
    <row r="2774" spans="1:10" x14ac:dyDescent="0.25">
      <c r="A2774" t="s">
        <v>29</v>
      </c>
      <c r="B2774" s="1" t="str">
        <f>HYPERLINK("http://amazonbusiness.com","amazonbusiness.com")</f>
        <v>amazonbusiness.com</v>
      </c>
      <c r="C2774" t="s">
        <v>433</v>
      </c>
      <c r="E2774">
        <v>135172</v>
      </c>
      <c r="F2774">
        <v>3.3749790424072599E-7</v>
      </c>
      <c r="G2774">
        <v>110546</v>
      </c>
      <c r="H2774">
        <v>13862498</v>
      </c>
      <c r="I2774">
        <v>6016941</v>
      </c>
      <c r="J2774">
        <v>4</v>
      </c>
    </row>
    <row r="2775" spans="1:10" x14ac:dyDescent="0.25">
      <c r="A2775" t="s">
        <v>29</v>
      </c>
      <c r="B2775" s="1" t="str">
        <f>HYPERLINK("http://amazongames.com","amazongames.com")</f>
        <v>amazongames.com</v>
      </c>
      <c r="C2775" t="s">
        <v>433</v>
      </c>
      <c r="E2775">
        <v>17730</v>
      </c>
      <c r="F2775">
        <v>4.2579013205537103E-7</v>
      </c>
      <c r="G2775">
        <v>88464</v>
      </c>
      <c r="H2775">
        <v>14523637</v>
      </c>
      <c r="I2775">
        <v>798680</v>
      </c>
      <c r="J2775">
        <v>3</v>
      </c>
    </row>
    <row r="2776" spans="1:10" x14ac:dyDescent="0.25">
      <c r="A2776" t="s">
        <v>29</v>
      </c>
      <c r="B2776" s="1" t="str">
        <f>HYPERLINK("http://amazonrobotics.com","amazonrobotics.com")</f>
        <v>amazonrobotics.com</v>
      </c>
      <c r="C2776" t="s">
        <v>433</v>
      </c>
      <c r="E2776">
        <v>922079</v>
      </c>
      <c r="F2776">
        <v>1.3860051275739099E-7</v>
      </c>
      <c r="G2776">
        <v>281076</v>
      </c>
      <c r="H2776">
        <v>14983663</v>
      </c>
      <c r="I2776">
        <v>429938</v>
      </c>
      <c r="J2776">
        <v>3</v>
      </c>
    </row>
    <row r="2777" spans="1:10" x14ac:dyDescent="0.25">
      <c r="A2777" t="s">
        <v>29</v>
      </c>
      <c r="B2777" s="1" t="str">
        <f>HYPERLINK("http://amazonservices.com","amazonservices.com")</f>
        <v>amazonservices.com</v>
      </c>
      <c r="C2777" t="s">
        <v>433</v>
      </c>
      <c r="E2777">
        <v>31321</v>
      </c>
      <c r="F2777">
        <v>1.26743068246339E-6</v>
      </c>
      <c r="G2777">
        <v>30750</v>
      </c>
      <c r="H2777">
        <v>15445987</v>
      </c>
      <c r="I2777">
        <v>378348</v>
      </c>
      <c r="J2777">
        <v>4</v>
      </c>
    </row>
    <row r="2778" spans="1:10" x14ac:dyDescent="0.25">
      <c r="A2778" t="s">
        <v>29</v>
      </c>
      <c r="B2778" s="1" t="str">
        <f>HYPERLINK("http://audible.com","audible.com")</f>
        <v>audible.com</v>
      </c>
      <c r="C2778" t="s">
        <v>433</v>
      </c>
      <c r="E2778">
        <v>1556</v>
      </c>
      <c r="F2778">
        <v>1.44189608955381E-5</v>
      </c>
      <c r="G2778">
        <v>2457</v>
      </c>
      <c r="H2778">
        <v>18011292</v>
      </c>
      <c r="I2778">
        <v>3610</v>
      </c>
      <c r="J2778">
        <v>3</v>
      </c>
    </row>
    <row r="2779" spans="1:10" x14ac:dyDescent="0.25">
      <c r="A2779" t="s">
        <v>29</v>
      </c>
      <c r="B2779" s="1" t="str">
        <f>HYPERLINK("http://awsevents.com","awsevents.com")</f>
        <v>awsevents.com</v>
      </c>
      <c r="C2779" t="s">
        <v>433</v>
      </c>
      <c r="E2779">
        <v>42874</v>
      </c>
      <c r="F2779">
        <v>2.8730351646103799E-6</v>
      </c>
      <c r="G2779">
        <v>13427</v>
      </c>
      <c r="H2779">
        <v>15326336</v>
      </c>
      <c r="I2779">
        <v>384244</v>
      </c>
      <c r="J2779">
        <v>5</v>
      </c>
    </row>
    <row r="2780" spans="1:10" x14ac:dyDescent="0.25">
      <c r="A2780" t="s">
        <v>29</v>
      </c>
      <c r="B2780" s="1" t="str">
        <f>HYPERLINK("http://blinkforhome.com","blinkforhome.com")</f>
        <v>blinkforhome.com</v>
      </c>
      <c r="C2780" t="s">
        <v>433</v>
      </c>
      <c r="E2780">
        <v>1763</v>
      </c>
      <c r="F2780">
        <v>7.7321165779578396E-7</v>
      </c>
      <c r="G2780">
        <v>50633</v>
      </c>
      <c r="H2780">
        <v>17221278</v>
      </c>
      <c r="I2780">
        <v>38234</v>
      </c>
      <c r="J2780">
        <v>3</v>
      </c>
    </row>
    <row r="2781" spans="1:10" x14ac:dyDescent="0.25">
      <c r="A2781" t="s">
        <v>29</v>
      </c>
      <c r="B2781" s="1" t="str">
        <f>HYPERLINK("http://bookdepository.com","bookdepository.com")</f>
        <v>bookdepository.com</v>
      </c>
      <c r="C2781" t="s">
        <v>433</v>
      </c>
      <c r="E2781">
        <v>3146</v>
      </c>
      <c r="F2781">
        <v>5.2726620629942601E-6</v>
      </c>
      <c r="G2781">
        <v>6554</v>
      </c>
      <c r="H2781">
        <v>17719406</v>
      </c>
      <c r="I2781">
        <v>6945</v>
      </c>
      <c r="J2781">
        <v>3</v>
      </c>
    </row>
    <row r="2782" spans="1:10" x14ac:dyDescent="0.25">
      <c r="A2782" t="s">
        <v>29</v>
      </c>
      <c r="B2782" s="1" t="str">
        <f>HYPERLINK("http://bookfinder.com","bookfinder.com")</f>
        <v>bookfinder.com</v>
      </c>
      <c r="C2782" t="s">
        <v>433</v>
      </c>
      <c r="E2782">
        <v>24602</v>
      </c>
      <c r="F2782">
        <v>1.471849600212E-6</v>
      </c>
      <c r="G2782">
        <v>26645</v>
      </c>
      <c r="H2782">
        <v>17353264</v>
      </c>
      <c r="I2782">
        <v>22803</v>
      </c>
      <c r="J2782">
        <v>4</v>
      </c>
    </row>
    <row r="2783" spans="1:10" x14ac:dyDescent="0.25">
      <c r="A2783" t="s">
        <v>29</v>
      </c>
      <c r="B2783" s="1" t="str">
        <f>HYPERLINK("http://booksurge.com","booksurge.com")</f>
        <v>booksurge.com</v>
      </c>
      <c r="C2783" t="s">
        <v>433</v>
      </c>
      <c r="E2783">
        <v>794397</v>
      </c>
      <c r="F2783">
        <v>5.7702487825195997E-8</v>
      </c>
      <c r="G2783">
        <v>772193</v>
      </c>
      <c r="H2783">
        <v>14559949</v>
      </c>
      <c r="I2783">
        <v>746648</v>
      </c>
      <c r="J2783">
        <v>7</v>
      </c>
    </row>
    <row r="2784" spans="1:10" x14ac:dyDescent="0.25">
      <c r="A2784" t="s">
        <v>29</v>
      </c>
      <c r="B2784" s="1" t="str">
        <f>HYPERLINK("http://chansilkflowers.com","chansilkflowers.com")</f>
        <v>chansilkflowers.com</v>
      </c>
      <c r="C2784" t="s">
        <v>433</v>
      </c>
      <c r="F2784">
        <v>4.8710077789849598E-9</v>
      </c>
      <c r="G2784">
        <v>33370089</v>
      </c>
      <c r="H2784">
        <v>11188250</v>
      </c>
      <c r="I2784">
        <v>31366512</v>
      </c>
      <c r="J2784">
        <v>5</v>
      </c>
    </row>
    <row r="2785" spans="1:10" x14ac:dyDescent="0.25">
      <c r="A2785" t="s">
        <v>29</v>
      </c>
      <c r="B2785" s="1" t="str">
        <f>HYPERLINK("http://comixology.com","comixology.com")</f>
        <v>comixology.com</v>
      </c>
      <c r="C2785" t="s">
        <v>433</v>
      </c>
      <c r="E2785">
        <v>6028</v>
      </c>
      <c r="F2785">
        <v>1.70598912887538E-6</v>
      </c>
      <c r="G2785">
        <v>23343</v>
      </c>
      <c r="H2785">
        <v>17544764</v>
      </c>
      <c r="I2785">
        <v>11485</v>
      </c>
      <c r="J2785">
        <v>3</v>
      </c>
    </row>
    <row r="2786" spans="1:10" x14ac:dyDescent="0.25">
      <c r="A2786" t="s">
        <v>29</v>
      </c>
      <c r="B2786" s="1" t="str">
        <f>HYPERLINK("http://createspace.com","createspace.com")</f>
        <v>createspace.com</v>
      </c>
      <c r="C2786" t="s">
        <v>433</v>
      </c>
      <c r="E2786">
        <v>15018</v>
      </c>
      <c r="F2786">
        <v>3.6205425634280399E-6</v>
      </c>
      <c r="G2786">
        <v>11397</v>
      </c>
      <c r="H2786">
        <v>17785070</v>
      </c>
      <c r="I2786">
        <v>5815</v>
      </c>
      <c r="J2786">
        <v>3</v>
      </c>
    </row>
    <row r="2787" spans="1:10" x14ac:dyDescent="0.25">
      <c r="A2787" t="s">
        <v>29</v>
      </c>
      <c r="B2787" s="1" t="str">
        <f>HYPERLINK("http://diapers.com","diapers.com")</f>
        <v>diapers.com</v>
      </c>
      <c r="C2787" t="s">
        <v>433</v>
      </c>
      <c r="E2787">
        <v>176860</v>
      </c>
      <c r="F2787">
        <v>2.2711827363726801E-7</v>
      </c>
      <c r="G2787">
        <v>165805</v>
      </c>
      <c r="H2787">
        <v>14737680</v>
      </c>
      <c r="I2787">
        <v>568757</v>
      </c>
      <c r="J2787">
        <v>3</v>
      </c>
    </row>
    <row r="2788" spans="1:10" x14ac:dyDescent="0.25">
      <c r="A2788" t="s">
        <v>29</v>
      </c>
      <c r="B2788" s="1" t="str">
        <f>HYPERLINK("http://dog-collars-reviews.com","dog-collars-reviews.com")</f>
        <v>dog-collars-reviews.com</v>
      </c>
      <c r="C2788" t="s">
        <v>433</v>
      </c>
      <c r="F2788">
        <v>6.1100777253043704E-9</v>
      </c>
      <c r="G2788">
        <v>16036684</v>
      </c>
      <c r="H2788">
        <v>12202925</v>
      </c>
      <c r="I2788">
        <v>23244498</v>
      </c>
      <c r="J2788">
        <v>4</v>
      </c>
    </row>
    <row r="2789" spans="1:10" x14ac:dyDescent="0.25">
      <c r="A2789" t="s">
        <v>29</v>
      </c>
      <c r="B2789" s="1" t="str">
        <f>HYPERLINK("http://dpreview.com","dpreview.com")</f>
        <v>dpreview.com</v>
      </c>
      <c r="C2789" t="s">
        <v>433</v>
      </c>
      <c r="E2789">
        <v>2667</v>
      </c>
      <c r="F2789">
        <v>3.56708904416592E-6</v>
      </c>
      <c r="G2789">
        <v>11511</v>
      </c>
      <c r="H2789">
        <v>18028430</v>
      </c>
      <c r="I2789">
        <v>3507</v>
      </c>
      <c r="J2789">
        <v>3</v>
      </c>
    </row>
    <row r="2790" spans="1:10" x14ac:dyDescent="0.25">
      <c r="A2790" t="s">
        <v>29</v>
      </c>
      <c r="B2790" s="1" t="str">
        <f>HYPERLINK("http://eero.com","eero.com")</f>
        <v>eero.com</v>
      </c>
      <c r="C2790" t="s">
        <v>433</v>
      </c>
      <c r="E2790">
        <v>7508</v>
      </c>
      <c r="F2790">
        <v>1.19243252010699E-6</v>
      </c>
      <c r="G2790">
        <v>32682</v>
      </c>
      <c r="H2790">
        <v>17255658</v>
      </c>
      <c r="I2790">
        <v>33237</v>
      </c>
      <c r="J2790">
        <v>3</v>
      </c>
    </row>
    <row r="2791" spans="1:10" x14ac:dyDescent="0.25">
      <c r="A2791" t="s">
        <v>29</v>
      </c>
      <c r="B2791" s="1" t="str">
        <f>HYPERLINK("http://elemental.com","elemental.com")</f>
        <v>elemental.com</v>
      </c>
      <c r="C2791" t="s">
        <v>433</v>
      </c>
      <c r="E2791">
        <v>635103</v>
      </c>
      <c r="F2791">
        <v>6.4097374703437105E-7</v>
      </c>
      <c r="G2791">
        <v>59937</v>
      </c>
      <c r="H2791">
        <v>14911271</v>
      </c>
      <c r="I2791">
        <v>457182</v>
      </c>
      <c r="J2791">
        <v>7</v>
      </c>
    </row>
    <row r="2792" spans="1:10" x14ac:dyDescent="0.25">
      <c r="A2792" t="s">
        <v>29</v>
      </c>
      <c r="B2792" s="1" t="str">
        <f>HYPERLINK("http://elementaltechnologies.com","elementaltechnologies.com")</f>
        <v>elementaltechnologies.com</v>
      </c>
      <c r="C2792" t="s">
        <v>433</v>
      </c>
      <c r="E2792">
        <v>768030</v>
      </c>
      <c r="F2792">
        <v>8.5157687737661304E-8</v>
      </c>
      <c r="G2792">
        <v>484354</v>
      </c>
      <c r="H2792">
        <v>14811740</v>
      </c>
      <c r="I2792">
        <v>531604</v>
      </c>
      <c r="J2792">
        <v>4</v>
      </c>
    </row>
    <row r="2793" spans="1:10" x14ac:dyDescent="0.25">
      <c r="A2793" t="s">
        <v>29</v>
      </c>
      <c r="B2793" s="1" t="str">
        <f>HYPERLINK("http://goodreads.com","goodreads.com")</f>
        <v>goodreads.com</v>
      </c>
      <c r="C2793" t="s">
        <v>433</v>
      </c>
      <c r="E2793">
        <v>358</v>
      </c>
      <c r="F2793">
        <v>5.4083320033703E-5</v>
      </c>
      <c r="G2793">
        <v>480</v>
      </c>
      <c r="H2793">
        <v>19506694</v>
      </c>
      <c r="I2793">
        <v>166</v>
      </c>
      <c r="J2793">
        <v>7</v>
      </c>
    </row>
    <row r="2794" spans="1:10" x14ac:dyDescent="0.25">
      <c r="A2794" t="s">
        <v>29</v>
      </c>
      <c r="B2794" s="1" t="str">
        <f>HYPERLINK("http://graphiq.com","graphiq.com")</f>
        <v>graphiq.com</v>
      </c>
      <c r="C2794" t="s">
        <v>433</v>
      </c>
      <c r="E2794">
        <v>261375</v>
      </c>
      <c r="F2794">
        <v>3.60371805927157E-7</v>
      </c>
      <c r="G2794">
        <v>103741</v>
      </c>
      <c r="H2794">
        <v>14929553</v>
      </c>
      <c r="I2794">
        <v>447967</v>
      </c>
      <c r="J2794">
        <v>3</v>
      </c>
    </row>
    <row r="2795" spans="1:10" x14ac:dyDescent="0.25">
      <c r="A2795" t="s">
        <v>29</v>
      </c>
      <c r="B2795" s="1" t="str">
        <f>HYPERLINK("http://iberlibro.com","iberlibro.com")</f>
        <v>iberlibro.com</v>
      </c>
      <c r="C2795" t="s">
        <v>433</v>
      </c>
      <c r="E2795">
        <v>44530</v>
      </c>
      <c r="F2795">
        <v>4.3909614020082302E-7</v>
      </c>
      <c r="G2795">
        <v>85848</v>
      </c>
      <c r="H2795">
        <v>17261288</v>
      </c>
      <c r="I2795">
        <v>32477</v>
      </c>
      <c r="J2795">
        <v>5</v>
      </c>
    </row>
    <row r="2796" spans="1:10" x14ac:dyDescent="0.25">
      <c r="A2796" t="s">
        <v>29</v>
      </c>
      <c r="B2796" s="1" t="str">
        <f>HYPERLINK("http://imdb.com","imdb.com")</f>
        <v>imdb.com</v>
      </c>
      <c r="C2796" t="s">
        <v>433</v>
      </c>
      <c r="E2796">
        <v>109</v>
      </c>
      <c r="F2796">
        <v>1.06843757244301E-4</v>
      </c>
      <c r="G2796">
        <v>249</v>
      </c>
      <c r="H2796">
        <v>19911002</v>
      </c>
      <c r="I2796">
        <v>69</v>
      </c>
      <c r="J2796">
        <v>4</v>
      </c>
    </row>
    <row r="2797" spans="1:10" x14ac:dyDescent="0.25">
      <c r="A2797" t="s">
        <v>29</v>
      </c>
      <c r="B2797" s="1" t="str">
        <f>HYPERLINK("http://immediasemi.com","immediasemi.com")</f>
        <v>immediasemi.com</v>
      </c>
      <c r="C2797" t="s">
        <v>433</v>
      </c>
      <c r="F2797">
        <v>6.4138729394362001E-9</v>
      </c>
      <c r="G2797">
        <v>14453393</v>
      </c>
      <c r="H2797">
        <v>13765702</v>
      </c>
      <c r="I2797">
        <v>7073252</v>
      </c>
      <c r="J2797">
        <v>5</v>
      </c>
    </row>
    <row r="2798" spans="1:10" x14ac:dyDescent="0.25">
      <c r="A2798" t="s">
        <v>29</v>
      </c>
      <c r="B2798" s="1" t="str">
        <f>HYPERLINK("http://inlt.com","inlt.com")</f>
        <v>inlt.com</v>
      </c>
      <c r="C2798" t="s">
        <v>433</v>
      </c>
      <c r="F2798">
        <v>6.8147168127063297E-9</v>
      </c>
      <c r="G2798">
        <v>12911200</v>
      </c>
      <c r="H2798">
        <v>12422559</v>
      </c>
      <c r="I2798">
        <v>18407213</v>
      </c>
      <c r="J2798">
        <v>3</v>
      </c>
    </row>
    <row r="2799" spans="1:10" x14ac:dyDescent="0.25">
      <c r="A2799" t="s">
        <v>29</v>
      </c>
      <c r="B2799" s="1" t="str">
        <f>HYPERLINK("http://kivasystems.com","kivasystems.com")</f>
        <v>kivasystems.com</v>
      </c>
      <c r="C2799" t="s">
        <v>433</v>
      </c>
      <c r="E2799">
        <v>882221</v>
      </c>
      <c r="F2799">
        <v>6.7497603421600104E-8</v>
      </c>
      <c r="G2799">
        <v>632994</v>
      </c>
      <c r="H2799">
        <v>14893064</v>
      </c>
      <c r="I2799">
        <v>465946</v>
      </c>
      <c r="J2799">
        <v>4</v>
      </c>
    </row>
    <row r="2800" spans="1:10" x14ac:dyDescent="0.25">
      <c r="A2800" t="s">
        <v>29</v>
      </c>
      <c r="B2800" s="1" t="str">
        <f>HYPERLINK("http://lab126.com","lab126.com")</f>
        <v>lab126.com</v>
      </c>
      <c r="C2800" t="s">
        <v>433</v>
      </c>
      <c r="F2800">
        <v>1.02970746669826E-7</v>
      </c>
      <c r="G2800">
        <v>389780</v>
      </c>
      <c r="H2800">
        <v>14778788</v>
      </c>
      <c r="I2800">
        <v>555097</v>
      </c>
      <c r="J2800">
        <v>3</v>
      </c>
    </row>
    <row r="2801" spans="1:10" x14ac:dyDescent="0.25">
      <c r="A2801" t="s">
        <v>29</v>
      </c>
      <c r="B2801" s="1" t="str">
        <f>HYPERLINK("http://lovefilm.com","lovefilm.com")</f>
        <v>lovefilm.com</v>
      </c>
      <c r="C2801" t="s">
        <v>433</v>
      </c>
      <c r="E2801">
        <v>214007</v>
      </c>
      <c r="F2801">
        <v>1.3183064314711301E-7</v>
      </c>
      <c r="G2801">
        <v>296496</v>
      </c>
      <c r="H2801">
        <v>15094965</v>
      </c>
      <c r="I2801">
        <v>407238</v>
      </c>
      <c r="J2801">
        <v>6</v>
      </c>
    </row>
    <row r="2802" spans="1:10" x14ac:dyDescent="0.25">
      <c r="A2802" t="s">
        <v>29</v>
      </c>
      <c r="B2802" s="1" t="str">
        <f>HYPERLINK("http://oregonbookseller.com","oregonbookseller.com")</f>
        <v>oregonbookseller.com</v>
      </c>
      <c r="C2802" t="s">
        <v>433</v>
      </c>
      <c r="J2802">
        <v>5</v>
      </c>
    </row>
    <row r="2803" spans="1:10" x14ac:dyDescent="0.25">
      <c r="A2803" t="s">
        <v>29</v>
      </c>
      <c r="B2803" s="1" t="str">
        <f>HYPERLINK("http://pillpack.com","pillpack.com")</f>
        <v>pillpack.com</v>
      </c>
      <c r="C2803" t="s">
        <v>433</v>
      </c>
      <c r="E2803">
        <v>6566</v>
      </c>
      <c r="F2803">
        <v>7.1528461026616997E-7</v>
      </c>
      <c r="G2803">
        <v>54255</v>
      </c>
      <c r="H2803">
        <v>15253792</v>
      </c>
      <c r="I2803">
        <v>389922</v>
      </c>
      <c r="J2803">
        <v>3</v>
      </c>
    </row>
    <row r="2804" spans="1:10" x14ac:dyDescent="0.25">
      <c r="A2804" t="s">
        <v>29</v>
      </c>
      <c r="B2804" s="1" t="str">
        <f>HYPERLINK("http://primevideo.com","primevideo.com")</f>
        <v>primevideo.com</v>
      </c>
      <c r="C2804" t="s">
        <v>433</v>
      </c>
      <c r="E2804">
        <v>637</v>
      </c>
      <c r="F2804">
        <v>1.08953765953581E-5</v>
      </c>
      <c r="G2804">
        <v>3116</v>
      </c>
      <c r="H2804">
        <v>17811594</v>
      </c>
      <c r="I2804">
        <v>5444</v>
      </c>
      <c r="J2804">
        <v>3</v>
      </c>
    </row>
    <row r="2805" spans="1:10" x14ac:dyDescent="0.25">
      <c r="A2805" t="s">
        <v>29</v>
      </c>
      <c r="B2805" s="1" t="str">
        <f>HYPERLINK("http://reflexive.com","reflexive.com")</f>
        <v>reflexive.com</v>
      </c>
      <c r="C2805" t="s">
        <v>433</v>
      </c>
      <c r="E2805">
        <v>500538</v>
      </c>
      <c r="F2805">
        <v>4.45509313065364E-8</v>
      </c>
      <c r="G2805">
        <v>1063478</v>
      </c>
      <c r="H2805">
        <v>14850023</v>
      </c>
      <c r="I2805">
        <v>491024</v>
      </c>
      <c r="J2805">
        <v>3</v>
      </c>
    </row>
    <row r="2806" spans="1:10" x14ac:dyDescent="0.25">
      <c r="A2806" t="s">
        <v>29</v>
      </c>
      <c r="B2806" s="1" t="str">
        <f>HYPERLINK("http://ring.com","ring.com")</f>
        <v>ring.com</v>
      </c>
      <c r="C2806" t="s">
        <v>433</v>
      </c>
      <c r="E2806">
        <v>169</v>
      </c>
      <c r="F2806">
        <v>3.06097516134928E-6</v>
      </c>
      <c r="G2806">
        <v>12815</v>
      </c>
      <c r="H2806">
        <v>17608092</v>
      </c>
      <c r="I2806">
        <v>9442</v>
      </c>
      <c r="J2806">
        <v>3</v>
      </c>
    </row>
    <row r="2807" spans="1:10" x14ac:dyDescent="0.25">
      <c r="A2807" t="s">
        <v>29</v>
      </c>
      <c r="B2807" s="1" t="str">
        <f>HYPERLINK("http://run2sport.com","run2sport.com")</f>
        <v>run2sport.com</v>
      </c>
      <c r="C2807" t="s">
        <v>433</v>
      </c>
      <c r="F2807">
        <v>4.6125745733801199E-9</v>
      </c>
      <c r="G2807">
        <v>46663483</v>
      </c>
      <c r="H2807">
        <v>12233101</v>
      </c>
      <c r="I2807">
        <v>22422080</v>
      </c>
      <c r="J2807">
        <v>7</v>
      </c>
    </row>
    <row r="2808" spans="1:10" x14ac:dyDescent="0.25">
      <c r="A2808" t="s">
        <v>29</v>
      </c>
      <c r="B2808" s="1" t="str">
        <f>HYPERLINK("http://sharacosmetics.com","sharacosmetics.com")</f>
        <v>sharacosmetics.com</v>
      </c>
      <c r="C2808" t="s">
        <v>433</v>
      </c>
      <c r="F2808">
        <v>6.0302363437330598E-9</v>
      </c>
      <c r="G2808">
        <v>16498355</v>
      </c>
      <c r="H2808">
        <v>13256393</v>
      </c>
      <c r="I2808">
        <v>11055001</v>
      </c>
      <c r="J2808">
        <v>3</v>
      </c>
    </row>
    <row r="2809" spans="1:10" x14ac:dyDescent="0.25">
      <c r="A2809" t="s">
        <v>29</v>
      </c>
      <c r="B2809" s="1" t="str">
        <f>HYPERLINK("http://shelfari.com","shelfari.com")</f>
        <v>shelfari.com</v>
      </c>
      <c r="C2809" t="s">
        <v>433</v>
      </c>
      <c r="E2809">
        <v>127928</v>
      </c>
      <c r="F2809">
        <v>3.9384989950629197E-7</v>
      </c>
      <c r="G2809">
        <v>95247</v>
      </c>
      <c r="H2809">
        <v>15602330</v>
      </c>
      <c r="I2809">
        <v>372503</v>
      </c>
      <c r="J2809">
        <v>3</v>
      </c>
    </row>
    <row r="2810" spans="1:10" x14ac:dyDescent="0.25">
      <c r="A2810" t="s">
        <v>29</v>
      </c>
      <c r="B2810" s="1" t="str">
        <f>HYPERLINK("http://shopbop.com","shopbop.com")</f>
        <v>shopbop.com</v>
      </c>
      <c r="C2810" t="s">
        <v>433</v>
      </c>
      <c r="E2810">
        <v>4357</v>
      </c>
      <c r="F2810">
        <v>2.48489727645269E-6</v>
      </c>
      <c r="G2810">
        <v>15064</v>
      </c>
      <c r="H2810">
        <v>16175558</v>
      </c>
      <c r="I2810">
        <v>365647</v>
      </c>
      <c r="J2810">
        <v>4</v>
      </c>
    </row>
    <row r="2811" spans="1:10" x14ac:dyDescent="0.25">
      <c r="A2811" t="s">
        <v>29</v>
      </c>
      <c r="B2811" s="1" t="str">
        <f>HYPERLINK("http://shopmox.com","shopmox.com")</f>
        <v>shopmox.com</v>
      </c>
      <c r="C2811" t="s">
        <v>433</v>
      </c>
      <c r="F2811">
        <v>5.2633008581460396E-9</v>
      </c>
      <c r="G2811">
        <v>24052717</v>
      </c>
      <c r="H2811">
        <v>13198392</v>
      </c>
      <c r="I2811">
        <v>11562995</v>
      </c>
      <c r="J2811">
        <v>10</v>
      </c>
    </row>
    <row r="2812" spans="1:10" x14ac:dyDescent="0.25">
      <c r="A2812" t="s">
        <v>29</v>
      </c>
      <c r="B2812" s="1" t="str">
        <f>HYPERLINK("http://shopyop.com","shopyop.com")</f>
        <v>shopyop.com</v>
      </c>
      <c r="C2812" t="s">
        <v>433</v>
      </c>
      <c r="F2812">
        <v>4.6219423259812101E-9</v>
      </c>
      <c r="G2812">
        <v>46001658</v>
      </c>
      <c r="H2812">
        <v>12449328</v>
      </c>
      <c r="I2812">
        <v>18005818</v>
      </c>
      <c r="J2812">
        <v>8</v>
      </c>
    </row>
    <row r="2813" spans="1:10" x14ac:dyDescent="0.25">
      <c r="A2813" t="s">
        <v>29</v>
      </c>
      <c r="B2813" s="1" t="str">
        <f>HYPERLINK("http://souq.com","souq.com")</f>
        <v>souq.com</v>
      </c>
      <c r="C2813" t="s">
        <v>433</v>
      </c>
      <c r="E2813">
        <v>70616</v>
      </c>
      <c r="F2813">
        <v>7.3731363494956303E-7</v>
      </c>
      <c r="G2813">
        <v>52831</v>
      </c>
      <c r="H2813">
        <v>15428816</v>
      </c>
      <c r="I2813">
        <v>378997</v>
      </c>
      <c r="J2813">
        <v>3</v>
      </c>
    </row>
    <row r="2814" spans="1:10" x14ac:dyDescent="0.25">
      <c r="A2814" t="s">
        <v>29</v>
      </c>
      <c r="B2814" s="1" t="str">
        <f>HYPERLINK("http://sqrrl.com","sqrrl.com")</f>
        <v>sqrrl.com</v>
      </c>
      <c r="C2814" t="s">
        <v>433</v>
      </c>
      <c r="F2814">
        <v>8.2324221553313603E-8</v>
      </c>
      <c r="G2814">
        <v>506788</v>
      </c>
      <c r="H2814">
        <v>14414661</v>
      </c>
      <c r="I2814">
        <v>1140794</v>
      </c>
      <c r="J2814">
        <v>3</v>
      </c>
    </row>
    <row r="2815" spans="1:10" x14ac:dyDescent="0.25">
      <c r="A2815" t="s">
        <v>29</v>
      </c>
      <c r="B2815" s="1" t="str">
        <f>HYPERLINK("http://textpayme.com","textpayme.com")</f>
        <v>textpayme.com</v>
      </c>
      <c r="C2815" t="s">
        <v>433</v>
      </c>
      <c r="F2815">
        <v>1.99185175760474E-8</v>
      </c>
      <c r="G2815">
        <v>2671780</v>
      </c>
      <c r="H2815">
        <v>13819317</v>
      </c>
      <c r="I2815">
        <v>6149056</v>
      </c>
      <c r="J2815">
        <v>3</v>
      </c>
    </row>
    <row r="2816" spans="1:10" x14ac:dyDescent="0.25">
      <c r="A2816" t="s">
        <v>29</v>
      </c>
      <c r="B2816" s="1" t="str">
        <f>HYPERLINK("http://theplotworks.com","theplotworks.com")</f>
        <v>theplotworks.com</v>
      </c>
      <c r="C2816" t="s">
        <v>433</v>
      </c>
      <c r="J2816">
        <v>8</v>
      </c>
    </row>
    <row r="2817" spans="1:10" x14ac:dyDescent="0.25">
      <c r="A2817" t="s">
        <v>29</v>
      </c>
      <c r="B2817" s="1" t="str">
        <f>HYPERLINK("http://tonikproductions.com","tonikproductions.com")</f>
        <v>tonikproductions.com</v>
      </c>
      <c r="C2817" t="s">
        <v>433</v>
      </c>
      <c r="F2817">
        <v>4.8666486497053404E-9</v>
      </c>
      <c r="G2817">
        <v>33535480</v>
      </c>
      <c r="H2817">
        <v>11347574</v>
      </c>
      <c r="I2817">
        <v>30398103</v>
      </c>
      <c r="J2817">
        <v>8</v>
      </c>
    </row>
    <row r="2818" spans="1:10" x14ac:dyDescent="0.25">
      <c r="A2818" t="s">
        <v>29</v>
      </c>
      <c r="B2818" s="1" t="str">
        <f>HYPERLINK("http://twitch.com","twitch.com")</f>
        <v>twitch.com</v>
      </c>
      <c r="C2818" t="s">
        <v>433</v>
      </c>
      <c r="E2818">
        <v>27593</v>
      </c>
      <c r="F2818">
        <v>1.5256537451010501E-6</v>
      </c>
      <c r="G2818">
        <v>25748</v>
      </c>
      <c r="H2818">
        <v>17473820</v>
      </c>
      <c r="I2818">
        <v>14893</v>
      </c>
      <c r="J2818">
        <v>4</v>
      </c>
    </row>
    <row r="2819" spans="1:10" x14ac:dyDescent="0.25">
      <c r="A2819" t="s">
        <v>29</v>
      </c>
      <c r="B2819" s="1" t="str">
        <f>HYPERLINK("http://utopiadeals.com","utopiadeals.com")</f>
        <v>utopiadeals.com</v>
      </c>
      <c r="C2819" t="s">
        <v>433</v>
      </c>
      <c r="F2819">
        <v>1.09559517876318E-8</v>
      </c>
      <c r="G2819">
        <v>5898969</v>
      </c>
      <c r="H2819">
        <v>12870608</v>
      </c>
      <c r="I2819">
        <v>14065065</v>
      </c>
      <c r="J2819">
        <v>4</v>
      </c>
    </row>
    <row r="2820" spans="1:10" x14ac:dyDescent="0.25">
      <c r="A2820" t="s">
        <v>29</v>
      </c>
      <c r="B2820" s="1" t="str">
        <f>HYPERLINK("http://wholefoods.com","wholefoods.com")</f>
        <v>wholefoods.com</v>
      </c>
      <c r="C2820" t="s">
        <v>433</v>
      </c>
      <c r="E2820">
        <v>51686</v>
      </c>
      <c r="F2820">
        <v>2.3909225424212201E-7</v>
      </c>
      <c r="G2820">
        <v>156550</v>
      </c>
      <c r="H2820">
        <v>14648215</v>
      </c>
      <c r="I2820">
        <v>630994</v>
      </c>
      <c r="J2820">
        <v>4</v>
      </c>
    </row>
    <row r="2821" spans="1:10" x14ac:dyDescent="0.25">
      <c r="A2821" t="s">
        <v>29</v>
      </c>
      <c r="B2821" s="1" t="str">
        <f>HYPERLINK("http://wholefoodsmarket.com","wholefoodsmarket.com")</f>
        <v>wholefoodsmarket.com</v>
      </c>
      <c r="C2821" t="s">
        <v>433</v>
      </c>
      <c r="E2821">
        <v>3626</v>
      </c>
      <c r="F2821">
        <v>5.46561230277154E-6</v>
      </c>
      <c r="G2821">
        <v>6345</v>
      </c>
      <c r="H2821">
        <v>17816960</v>
      </c>
      <c r="I2821">
        <v>5373</v>
      </c>
      <c r="J2821">
        <v>3</v>
      </c>
    </row>
    <row r="2822" spans="1:10" x14ac:dyDescent="0.25">
      <c r="A2822" t="s">
        <v>29</v>
      </c>
      <c r="B2822" s="1" t="str">
        <f>HYPERLINK("http://woodfallfilm.com","woodfallfilm.com")</f>
        <v>woodfallfilm.com</v>
      </c>
      <c r="C2822" t="s">
        <v>433</v>
      </c>
      <c r="F2822">
        <v>4.5480074932473801E-9</v>
      </c>
      <c r="G2822">
        <v>52416290</v>
      </c>
      <c r="H2822">
        <v>13763635</v>
      </c>
      <c r="I2822">
        <v>8211168</v>
      </c>
      <c r="J2822">
        <v>8</v>
      </c>
    </row>
    <row r="2823" spans="1:10" x14ac:dyDescent="0.25">
      <c r="A2823" t="s">
        <v>29</v>
      </c>
      <c r="B2823" s="1" t="str">
        <f>HYPERLINK("http://woot.com","woot.com")</f>
        <v>woot.com</v>
      </c>
      <c r="C2823" t="s">
        <v>433</v>
      </c>
      <c r="E2823">
        <v>3987</v>
      </c>
      <c r="F2823">
        <v>2.1902914269280199E-6</v>
      </c>
      <c r="G2823">
        <v>16748</v>
      </c>
      <c r="H2823">
        <v>17983854</v>
      </c>
      <c r="I2823">
        <v>3787</v>
      </c>
      <c r="J2823">
        <v>3</v>
      </c>
    </row>
    <row r="2824" spans="1:10" x14ac:dyDescent="0.25">
      <c r="A2824" t="s">
        <v>29</v>
      </c>
      <c r="B2824" s="1" t="str">
        <f>HYPERLINK("http://zappos.com","zappos.com")</f>
        <v>zappos.com</v>
      </c>
      <c r="C2824" t="s">
        <v>433</v>
      </c>
      <c r="E2824">
        <v>1622</v>
      </c>
      <c r="F2824">
        <v>5.6353462412011504E-6</v>
      </c>
      <c r="G2824">
        <v>6162</v>
      </c>
      <c r="H2824">
        <v>17942766</v>
      </c>
      <c r="I2824">
        <v>4109</v>
      </c>
      <c r="J2824">
        <v>3</v>
      </c>
    </row>
    <row r="2825" spans="1:10" x14ac:dyDescent="0.25">
      <c r="A2825" t="s">
        <v>29</v>
      </c>
      <c r="B2825" s="1" t="str">
        <f>HYPERLINK("http://zoox.com","zoox.com")</f>
        <v>zoox.com</v>
      </c>
      <c r="C2825" t="s">
        <v>433</v>
      </c>
      <c r="E2825">
        <v>150158</v>
      </c>
      <c r="F2825">
        <v>3.1110597951306698E-7</v>
      </c>
      <c r="G2825">
        <v>119536</v>
      </c>
      <c r="H2825">
        <v>14950535</v>
      </c>
      <c r="I2825">
        <v>440350</v>
      </c>
      <c r="J2825">
        <v>3</v>
      </c>
    </row>
    <row r="2826" spans="1:10" x14ac:dyDescent="0.25">
      <c r="A2826" t="s">
        <v>29</v>
      </c>
      <c r="B2826" s="1" t="str">
        <f>HYPERLINK("http://zvab.com","zvab.com")</f>
        <v>zvab.com</v>
      </c>
      <c r="C2826" t="s">
        <v>433</v>
      </c>
      <c r="E2826">
        <v>30923</v>
      </c>
      <c r="F2826">
        <v>8.4209715866980498E-7</v>
      </c>
      <c r="G2826">
        <v>47197</v>
      </c>
      <c r="H2826">
        <v>17193646</v>
      </c>
      <c r="I2826">
        <v>42952</v>
      </c>
      <c r="J2826">
        <v>5</v>
      </c>
    </row>
    <row r="2827" spans="1:10" x14ac:dyDescent="0.25">
      <c r="A2827" t="s">
        <v>29</v>
      </c>
      <c r="B2827" s="1" t="str">
        <f>HYPERLINK("http://amazon.cz","amazon.cz")</f>
        <v>amazon.cz</v>
      </c>
      <c r="C2827" t="s">
        <v>435</v>
      </c>
      <c r="D2827" t="s">
        <v>814</v>
      </c>
      <c r="F2827">
        <v>2.4486186389494999E-7</v>
      </c>
      <c r="G2827">
        <v>152807</v>
      </c>
      <c r="H2827">
        <v>13847101</v>
      </c>
      <c r="I2827">
        <v>6059063</v>
      </c>
      <c r="J2827">
        <v>3</v>
      </c>
    </row>
    <row r="2828" spans="1:10" x14ac:dyDescent="0.25">
      <c r="A2828" t="s">
        <v>29</v>
      </c>
      <c r="B2828" s="1" t="str">
        <f>HYPERLINK("http://abebooks.de","abebooks.de")</f>
        <v>abebooks.de</v>
      </c>
      <c r="C2828" t="s">
        <v>436</v>
      </c>
      <c r="D2828" t="s">
        <v>815</v>
      </c>
      <c r="E2828">
        <v>42149</v>
      </c>
      <c r="F2828">
        <v>3.2442515592155999E-7</v>
      </c>
      <c r="G2828">
        <v>114757</v>
      </c>
      <c r="H2828">
        <v>15033611</v>
      </c>
      <c r="I2828">
        <v>417897</v>
      </c>
      <c r="J2828">
        <v>4</v>
      </c>
    </row>
    <row r="2829" spans="1:10" x14ac:dyDescent="0.25">
      <c r="A2829" t="s">
        <v>29</v>
      </c>
      <c r="B2829" s="1" t="str">
        <f>HYPERLINK("http://aboutamazon.de","aboutamazon.de")</f>
        <v>aboutamazon.de</v>
      </c>
      <c r="C2829" t="s">
        <v>436</v>
      </c>
      <c r="D2829" t="s">
        <v>815</v>
      </c>
      <c r="E2829">
        <v>48550</v>
      </c>
      <c r="F2829">
        <v>3.8381111748012302E-7</v>
      </c>
      <c r="G2829">
        <v>97535</v>
      </c>
      <c r="H2829">
        <v>14863988</v>
      </c>
      <c r="I2829">
        <v>482606</v>
      </c>
      <c r="J2829">
        <v>6</v>
      </c>
    </row>
    <row r="2830" spans="1:10" x14ac:dyDescent="0.25">
      <c r="A2830" t="s">
        <v>29</v>
      </c>
      <c r="B2830" s="1" t="str">
        <f>HYPERLINK("http://amazon.de","amazon.de")</f>
        <v>amazon.de</v>
      </c>
      <c r="C2830" t="s">
        <v>436</v>
      </c>
      <c r="D2830" t="s">
        <v>815</v>
      </c>
      <c r="E2830">
        <v>231</v>
      </c>
      <c r="F2830">
        <v>9.6941119244314502E-5</v>
      </c>
      <c r="G2830">
        <v>271</v>
      </c>
      <c r="H2830">
        <v>18767292</v>
      </c>
      <c r="I2830">
        <v>863</v>
      </c>
      <c r="J2830">
        <v>2</v>
      </c>
    </row>
    <row r="2831" spans="1:10" x14ac:dyDescent="0.25">
      <c r="A2831" t="s">
        <v>29</v>
      </c>
      <c r="B2831" s="1" t="str">
        <f>HYPERLINK("http://amazonhub.de","amazonhub.de")</f>
        <v>amazonhub.de</v>
      </c>
      <c r="C2831" t="s">
        <v>436</v>
      </c>
      <c r="D2831" t="s">
        <v>815</v>
      </c>
      <c r="J2831">
        <v>6</v>
      </c>
    </row>
    <row r="2832" spans="1:10" x14ac:dyDescent="0.25">
      <c r="A2832" t="s">
        <v>29</v>
      </c>
      <c r="B2832" s="1" t="str">
        <f>HYPERLINK("http://amazonservices.de","amazonservices.de")</f>
        <v>amazonservices.de</v>
      </c>
      <c r="C2832" t="s">
        <v>436</v>
      </c>
      <c r="D2832" t="s">
        <v>815</v>
      </c>
      <c r="F2832">
        <v>1.2168364084226101E-7</v>
      </c>
      <c r="G2832">
        <v>324535</v>
      </c>
      <c r="H2832">
        <v>12990729</v>
      </c>
      <c r="I2832">
        <v>12855436</v>
      </c>
      <c r="J2832">
        <v>5</v>
      </c>
    </row>
    <row r="2833" spans="1:10" x14ac:dyDescent="0.25">
      <c r="A2833" t="s">
        <v>29</v>
      </c>
      <c r="B2833" s="1" t="str">
        <f>HYPERLINK("http://audible.de","audible.de")</f>
        <v>audible.de</v>
      </c>
      <c r="C2833" t="s">
        <v>436</v>
      </c>
      <c r="D2833" t="s">
        <v>815</v>
      </c>
      <c r="E2833">
        <v>18824</v>
      </c>
      <c r="F2833">
        <v>2.2188148454094602E-6</v>
      </c>
      <c r="G2833">
        <v>16554</v>
      </c>
      <c r="H2833">
        <v>17408048</v>
      </c>
      <c r="I2833">
        <v>18650</v>
      </c>
      <c r="J2833">
        <v>4</v>
      </c>
    </row>
    <row r="2834" spans="1:10" x14ac:dyDescent="0.25">
      <c r="A2834" t="s">
        <v>29</v>
      </c>
      <c r="B2834" s="1" t="str">
        <f>HYPERLINK("http://imdb.de","imdb.de")</f>
        <v>imdb.de</v>
      </c>
      <c r="C2834" t="s">
        <v>436</v>
      </c>
      <c r="D2834" t="s">
        <v>815</v>
      </c>
      <c r="E2834">
        <v>264795</v>
      </c>
      <c r="F2834">
        <v>1.7309080971860999E-7</v>
      </c>
      <c r="G2834">
        <v>224136</v>
      </c>
      <c r="H2834">
        <v>15089321</v>
      </c>
      <c r="I2834">
        <v>408144</v>
      </c>
      <c r="J2834">
        <v>5</v>
      </c>
    </row>
    <row r="2835" spans="1:10" x14ac:dyDescent="0.25">
      <c r="A2835" t="s">
        <v>29</v>
      </c>
      <c r="B2835" s="1" t="str">
        <f>HYPERLINK("http://justbooks.de","justbooks.de")</f>
        <v>justbooks.de</v>
      </c>
      <c r="C2835" t="s">
        <v>436</v>
      </c>
      <c r="D2835" t="s">
        <v>815</v>
      </c>
      <c r="E2835">
        <v>756345</v>
      </c>
      <c r="F2835">
        <v>1.8022244792439399E-7</v>
      </c>
      <c r="G2835">
        <v>214373</v>
      </c>
      <c r="H2835">
        <v>14502894</v>
      </c>
      <c r="I2835">
        <v>844580</v>
      </c>
      <c r="J2835">
        <v>8</v>
      </c>
    </row>
    <row r="2836" spans="1:10" x14ac:dyDescent="0.25">
      <c r="A2836" t="s">
        <v>29</v>
      </c>
      <c r="B2836" s="1" t="str">
        <f>HYPERLINK("http://lovefilm.de","lovefilm.de")</f>
        <v>lovefilm.de</v>
      </c>
      <c r="C2836" t="s">
        <v>436</v>
      </c>
      <c r="D2836" t="s">
        <v>815</v>
      </c>
      <c r="F2836">
        <v>3.56298746820028E-8</v>
      </c>
      <c r="G2836">
        <v>1461721</v>
      </c>
      <c r="H2836">
        <v>14158581</v>
      </c>
      <c r="I2836">
        <v>1844396</v>
      </c>
      <c r="J2836">
        <v>3</v>
      </c>
    </row>
    <row r="2837" spans="1:10" x14ac:dyDescent="0.25">
      <c r="A2837" t="s">
        <v>29</v>
      </c>
      <c r="B2837" s="1" t="str">
        <f>HYPERLINK("http://amazon.design","amazon.design")</f>
        <v>amazon.design</v>
      </c>
      <c r="C2837" t="s">
        <v>582</v>
      </c>
      <c r="F2837">
        <v>8.3272204982489905E-8</v>
      </c>
      <c r="G2837">
        <v>499382</v>
      </c>
      <c r="H2837">
        <v>13461661</v>
      </c>
      <c r="I2837">
        <v>10151660</v>
      </c>
      <c r="J2837">
        <v>3</v>
      </c>
    </row>
    <row r="2838" spans="1:10" x14ac:dyDescent="0.25">
      <c r="A2838" t="s">
        <v>29</v>
      </c>
      <c r="B2838" s="1" t="str">
        <f>HYPERLINK("http://amazon.dev","amazon.dev")</f>
        <v>amazon.dev</v>
      </c>
      <c r="C2838" t="s">
        <v>527</v>
      </c>
      <c r="E2838">
        <v>1051</v>
      </c>
      <c r="F2838">
        <v>5.2987454593190405E-7</v>
      </c>
      <c r="G2838">
        <v>72672</v>
      </c>
      <c r="H2838">
        <v>13864424</v>
      </c>
      <c r="I2838">
        <v>6011018</v>
      </c>
      <c r="J2838">
        <v>2</v>
      </c>
    </row>
    <row r="2839" spans="1:10" x14ac:dyDescent="0.25">
      <c r="A2839" t="s">
        <v>29</v>
      </c>
      <c r="B2839" s="1" t="str">
        <f>HYPERLINK("http://amazon.eg","amazon.eg")</f>
        <v>amazon.eg</v>
      </c>
      <c r="C2839" t="s">
        <v>442</v>
      </c>
      <c r="D2839" t="s">
        <v>821</v>
      </c>
      <c r="E2839">
        <v>3102</v>
      </c>
      <c r="F2839">
        <v>1.02266833582414E-6</v>
      </c>
      <c r="G2839">
        <v>37447</v>
      </c>
      <c r="H2839">
        <v>14817104</v>
      </c>
      <c r="I2839">
        <v>522035</v>
      </c>
      <c r="J2839">
        <v>2</v>
      </c>
    </row>
    <row r="2840" spans="1:10" x14ac:dyDescent="0.25">
      <c r="A2840" t="s">
        <v>29</v>
      </c>
      <c r="B2840" s="1" t="str">
        <f>HYPERLINK("http://universityesports.com.eg","universityesports.com.eg")</f>
        <v>universityesports.com.eg</v>
      </c>
      <c r="C2840" t="s">
        <v>442</v>
      </c>
      <c r="D2840" t="s">
        <v>821</v>
      </c>
      <c r="F2840">
        <v>4.4438564896721601E-9</v>
      </c>
      <c r="G2840">
        <v>78318550</v>
      </c>
      <c r="H2840">
        <v>10358365</v>
      </c>
      <c r="I2840">
        <v>55463118</v>
      </c>
      <c r="J2840">
        <v>5</v>
      </c>
    </row>
    <row r="2841" spans="1:10" x14ac:dyDescent="0.25">
      <c r="A2841" t="s">
        <v>29</v>
      </c>
      <c r="B2841" s="1" t="str">
        <f>HYPERLINK("http://aboutamazon.es","aboutamazon.es")</f>
        <v>aboutamazon.es</v>
      </c>
      <c r="C2841" t="s">
        <v>443</v>
      </c>
      <c r="D2841" t="s">
        <v>822</v>
      </c>
      <c r="E2841">
        <v>183924</v>
      </c>
      <c r="F2841">
        <v>1.6840293799714999E-7</v>
      </c>
      <c r="G2841">
        <v>230390</v>
      </c>
      <c r="H2841">
        <v>14171115</v>
      </c>
      <c r="I2841">
        <v>1802438</v>
      </c>
      <c r="J2841">
        <v>6</v>
      </c>
    </row>
    <row r="2842" spans="1:10" x14ac:dyDescent="0.25">
      <c r="A2842" t="s">
        <v>29</v>
      </c>
      <c r="B2842" s="1" t="str">
        <f>HYPERLINK("http://amazon.es","amazon.es")</f>
        <v>amazon.es</v>
      </c>
      <c r="C2842" t="s">
        <v>443</v>
      </c>
      <c r="D2842" t="s">
        <v>822</v>
      </c>
      <c r="E2842">
        <v>535</v>
      </c>
      <c r="F2842">
        <v>2.53391522627761E-5</v>
      </c>
      <c r="G2842">
        <v>1158</v>
      </c>
      <c r="H2842">
        <v>18312522</v>
      </c>
      <c r="I2842">
        <v>2307</v>
      </c>
      <c r="J2842">
        <v>2</v>
      </c>
    </row>
    <row r="2843" spans="1:10" x14ac:dyDescent="0.25">
      <c r="A2843" t="s">
        <v>29</v>
      </c>
      <c r="B2843" s="1" t="str">
        <f>HYPERLINK("http://amazonservices.es","amazonservices.es")</f>
        <v>amazonservices.es</v>
      </c>
      <c r="C2843" t="s">
        <v>443</v>
      </c>
      <c r="D2843" t="s">
        <v>822</v>
      </c>
      <c r="F2843">
        <v>6.7452777226313506E-8</v>
      </c>
      <c r="G2843">
        <v>633468</v>
      </c>
      <c r="H2843">
        <v>12732486</v>
      </c>
      <c r="I2843">
        <v>15186082</v>
      </c>
      <c r="J2843">
        <v>5</v>
      </c>
    </row>
    <row r="2844" spans="1:10" x14ac:dyDescent="0.25">
      <c r="A2844" t="s">
        <v>29</v>
      </c>
      <c r="B2844" s="1" t="str">
        <f>HYPERLINK("http://audible.es","audible.es")</f>
        <v>audible.es</v>
      </c>
      <c r="C2844" t="s">
        <v>443</v>
      </c>
      <c r="D2844" t="s">
        <v>822</v>
      </c>
      <c r="E2844">
        <v>97547</v>
      </c>
      <c r="F2844">
        <v>3.4692714535818802E-7</v>
      </c>
      <c r="G2844">
        <v>107688</v>
      </c>
      <c r="H2844">
        <v>14423334</v>
      </c>
      <c r="I2844">
        <v>1083300</v>
      </c>
      <c r="J2844">
        <v>4</v>
      </c>
    </row>
    <row r="2845" spans="1:10" x14ac:dyDescent="0.25">
      <c r="A2845" t="s">
        <v>29</v>
      </c>
      <c r="B2845" s="1" t="str">
        <f>HYPERLINK("http://imdb.es","imdb.es")</f>
        <v>imdb.es</v>
      </c>
      <c r="C2845" t="s">
        <v>443</v>
      </c>
      <c r="D2845" t="s">
        <v>822</v>
      </c>
      <c r="E2845">
        <v>440829</v>
      </c>
      <c r="F2845">
        <v>7.8951446990898204E-8</v>
      </c>
      <c r="G2845">
        <v>529373</v>
      </c>
      <c r="H2845">
        <v>14551048</v>
      </c>
      <c r="I2845">
        <v>758779</v>
      </c>
      <c r="J2845">
        <v>5</v>
      </c>
    </row>
    <row r="2846" spans="1:10" x14ac:dyDescent="0.25">
      <c r="A2846" t="s">
        <v>29</v>
      </c>
      <c r="B2846" s="1" t="str">
        <f>HYPERLINK("http://aboutamazon.eu","aboutamazon.eu")</f>
        <v>aboutamazon.eu</v>
      </c>
      <c r="C2846" t="s">
        <v>444</v>
      </c>
      <c r="E2846">
        <v>107290</v>
      </c>
      <c r="F2846">
        <v>7.0651015817906799E-7</v>
      </c>
      <c r="G2846">
        <v>54831</v>
      </c>
      <c r="H2846">
        <v>15000864</v>
      </c>
      <c r="I2846">
        <v>425634</v>
      </c>
      <c r="J2846">
        <v>6</v>
      </c>
    </row>
    <row r="2847" spans="1:10" x14ac:dyDescent="0.25">
      <c r="A2847" t="s">
        <v>29</v>
      </c>
      <c r="B2847" s="1" t="str">
        <f>HYPERLINK("http://amazon.eu","amazon.eu")</f>
        <v>amazon.eu</v>
      </c>
      <c r="C2847" t="s">
        <v>444</v>
      </c>
      <c r="E2847">
        <v>22610</v>
      </c>
      <c r="F2847">
        <v>3.6254501369229998E-7</v>
      </c>
      <c r="G2847">
        <v>103133</v>
      </c>
      <c r="H2847">
        <v>14296863</v>
      </c>
      <c r="I2847">
        <v>1359501</v>
      </c>
      <c r="J2847">
        <v>2</v>
      </c>
    </row>
    <row r="2848" spans="1:10" x14ac:dyDescent="0.25">
      <c r="A2848" t="s">
        <v>29</v>
      </c>
      <c r="B2848" s="1" t="str">
        <f>HYPERLINK("http://comixology.eu","comixology.eu")</f>
        <v>comixology.eu</v>
      </c>
      <c r="C2848" t="s">
        <v>444</v>
      </c>
      <c r="F2848">
        <v>3.5543848047058201E-8</v>
      </c>
      <c r="G2848">
        <v>1464728</v>
      </c>
      <c r="H2848">
        <v>14512858</v>
      </c>
      <c r="I2848">
        <v>818350</v>
      </c>
      <c r="J2848">
        <v>4</v>
      </c>
    </row>
    <row r="2849" spans="1:10" x14ac:dyDescent="0.25">
      <c r="A2849" t="s">
        <v>29</v>
      </c>
      <c r="B2849" s="1" t="str">
        <f>HYPERLINK("http://abebooks.fi","abebooks.fi")</f>
        <v>abebooks.fi</v>
      </c>
      <c r="C2849" t="s">
        <v>445</v>
      </c>
      <c r="D2849" t="s">
        <v>823</v>
      </c>
      <c r="J2849">
        <v>7</v>
      </c>
    </row>
    <row r="2850" spans="1:10" x14ac:dyDescent="0.25">
      <c r="A2850" t="s">
        <v>29</v>
      </c>
      <c r="B2850" s="1" t="str">
        <f>HYPERLINK("http://amazon.fi","amazon.fi")</f>
        <v>amazon.fi</v>
      </c>
      <c r="C2850" t="s">
        <v>445</v>
      </c>
      <c r="D2850" t="s">
        <v>823</v>
      </c>
      <c r="F2850">
        <v>4.5904794096835899E-9</v>
      </c>
      <c r="G2850">
        <v>48367718</v>
      </c>
      <c r="H2850">
        <v>10845843</v>
      </c>
      <c r="I2850">
        <v>36966255</v>
      </c>
      <c r="J2850">
        <v>5</v>
      </c>
    </row>
    <row r="2851" spans="1:10" x14ac:dyDescent="0.25">
      <c r="A2851" t="s">
        <v>29</v>
      </c>
      <c r="B2851" s="1" t="str">
        <f>HYPERLINK("http://amazonalexa.fi","amazonalexa.fi")</f>
        <v>amazonalexa.fi</v>
      </c>
      <c r="C2851" t="s">
        <v>445</v>
      </c>
      <c r="D2851" t="s">
        <v>823</v>
      </c>
      <c r="J2851">
        <v>4</v>
      </c>
    </row>
    <row r="2852" spans="1:10" x14ac:dyDescent="0.25">
      <c r="A2852" t="s">
        <v>29</v>
      </c>
      <c r="B2852" s="1" t="str">
        <f>HYPERLINK("http://amazonastro.fi","amazonastro.fi")</f>
        <v>amazonastro.fi</v>
      </c>
      <c r="C2852" t="s">
        <v>445</v>
      </c>
      <c r="D2852" t="s">
        <v>823</v>
      </c>
      <c r="J2852">
        <v>5</v>
      </c>
    </row>
    <row r="2853" spans="1:10" x14ac:dyDescent="0.25">
      <c r="A2853" t="s">
        <v>29</v>
      </c>
      <c r="B2853" s="1" t="str">
        <f>HYPERLINK("http://amazonaws.fi","amazonaws.fi")</f>
        <v>amazonaws.fi</v>
      </c>
      <c r="C2853" t="s">
        <v>445</v>
      </c>
      <c r="D2853" t="s">
        <v>823</v>
      </c>
      <c r="J2853">
        <v>5</v>
      </c>
    </row>
    <row r="2854" spans="1:10" x14ac:dyDescent="0.25">
      <c r="A2854" t="s">
        <v>29</v>
      </c>
      <c r="B2854" s="1" t="str">
        <f>HYPERLINK("http://amazonb2b.fi","amazonb2b.fi")</f>
        <v>amazonb2b.fi</v>
      </c>
      <c r="C2854" t="s">
        <v>445</v>
      </c>
      <c r="D2854" t="s">
        <v>823</v>
      </c>
      <c r="J2854">
        <v>5</v>
      </c>
    </row>
    <row r="2855" spans="1:10" x14ac:dyDescent="0.25">
      <c r="A2855" t="s">
        <v>29</v>
      </c>
      <c r="B2855" s="1" t="str">
        <f>HYPERLINK("http://amazonbroadband.fi","amazonbroadband.fi")</f>
        <v>amazonbroadband.fi</v>
      </c>
      <c r="C2855" t="s">
        <v>445</v>
      </c>
      <c r="D2855" t="s">
        <v>823</v>
      </c>
      <c r="J2855">
        <v>5</v>
      </c>
    </row>
    <row r="2856" spans="1:10" x14ac:dyDescent="0.25">
      <c r="A2856" t="s">
        <v>29</v>
      </c>
      <c r="B2856" s="1" t="str">
        <f>HYPERLINK("http://amazonclimatepledge.fi","amazonclimatepledge.fi")</f>
        <v>amazonclimatepledge.fi</v>
      </c>
      <c r="C2856" t="s">
        <v>445</v>
      </c>
      <c r="D2856" t="s">
        <v>823</v>
      </c>
      <c r="J2856">
        <v>5</v>
      </c>
    </row>
    <row r="2857" spans="1:10" x14ac:dyDescent="0.25">
      <c r="A2857" t="s">
        <v>29</v>
      </c>
      <c r="B2857" s="1" t="str">
        <f>HYPERLINK("http://amazonecho.fi","amazonecho.fi")</f>
        <v>amazonecho.fi</v>
      </c>
      <c r="C2857" t="s">
        <v>445</v>
      </c>
      <c r="D2857" t="s">
        <v>823</v>
      </c>
      <c r="J2857">
        <v>5</v>
      </c>
    </row>
    <row r="2858" spans="1:10" x14ac:dyDescent="0.25">
      <c r="A2858" t="s">
        <v>29</v>
      </c>
      <c r="B2858" s="1" t="str">
        <f>HYPERLINK("http://amazonfiretvstick.fi","amazonfiretvstick.fi")</f>
        <v>amazonfiretvstick.fi</v>
      </c>
      <c r="C2858" t="s">
        <v>445</v>
      </c>
      <c r="D2858" t="s">
        <v>823</v>
      </c>
      <c r="J2858">
        <v>5</v>
      </c>
    </row>
    <row r="2859" spans="1:10" x14ac:dyDescent="0.25">
      <c r="A2859" t="s">
        <v>29</v>
      </c>
      <c r="B2859" s="1" t="str">
        <f>HYPERLINK("http://amazonglow.fi","amazonglow.fi")</f>
        <v>amazonglow.fi</v>
      </c>
      <c r="C2859" t="s">
        <v>445</v>
      </c>
      <c r="D2859" t="s">
        <v>823</v>
      </c>
      <c r="J2859">
        <v>5</v>
      </c>
    </row>
    <row r="2860" spans="1:10" x14ac:dyDescent="0.25">
      <c r="A2860" t="s">
        <v>29</v>
      </c>
      <c r="B2860" s="1" t="str">
        <f>HYPERLINK("http://amazongo.fi","amazongo.fi")</f>
        <v>amazongo.fi</v>
      </c>
      <c r="C2860" t="s">
        <v>445</v>
      </c>
      <c r="D2860" t="s">
        <v>823</v>
      </c>
      <c r="J2860">
        <v>4</v>
      </c>
    </row>
    <row r="2861" spans="1:10" x14ac:dyDescent="0.25">
      <c r="A2861" t="s">
        <v>29</v>
      </c>
      <c r="B2861" s="1" t="str">
        <f>HYPERLINK("http://amazonluna.fi","amazonluna.fi")</f>
        <v>amazonluna.fi</v>
      </c>
      <c r="C2861" t="s">
        <v>445</v>
      </c>
      <c r="D2861" t="s">
        <v>823</v>
      </c>
      <c r="J2861">
        <v>5</v>
      </c>
    </row>
    <row r="2862" spans="1:10" x14ac:dyDescent="0.25">
      <c r="A2862" t="s">
        <v>29</v>
      </c>
      <c r="B2862" s="1" t="str">
        <f>HYPERLINK("http://amazonmusic.fi","amazonmusic.fi")</f>
        <v>amazonmusic.fi</v>
      </c>
      <c r="C2862" t="s">
        <v>445</v>
      </c>
      <c r="D2862" t="s">
        <v>823</v>
      </c>
      <c r="J2862">
        <v>5</v>
      </c>
    </row>
    <row r="2863" spans="1:10" x14ac:dyDescent="0.25">
      <c r="A2863" t="s">
        <v>29</v>
      </c>
      <c r="B2863" s="1" t="str">
        <f>HYPERLINK("http://amazonpay.fi","amazonpay.fi")</f>
        <v>amazonpay.fi</v>
      </c>
      <c r="C2863" t="s">
        <v>445</v>
      </c>
      <c r="D2863" t="s">
        <v>823</v>
      </c>
      <c r="J2863">
        <v>5</v>
      </c>
    </row>
    <row r="2864" spans="1:10" x14ac:dyDescent="0.25">
      <c r="A2864" t="s">
        <v>29</v>
      </c>
      <c r="B2864" s="1" t="str">
        <f>HYPERLINK("http://amazonpayinsurance.fi","amazonpayinsurance.fi")</f>
        <v>amazonpayinsurance.fi</v>
      </c>
      <c r="C2864" t="s">
        <v>445</v>
      </c>
      <c r="D2864" t="s">
        <v>823</v>
      </c>
      <c r="J2864">
        <v>4</v>
      </c>
    </row>
    <row r="2865" spans="1:10" x14ac:dyDescent="0.25">
      <c r="A2865" t="s">
        <v>29</v>
      </c>
      <c r="B2865" s="1" t="str">
        <f>HYPERLINK("http://amazonpayinsure.fi","amazonpayinsure.fi")</f>
        <v>amazonpayinsure.fi</v>
      </c>
      <c r="C2865" t="s">
        <v>445</v>
      </c>
      <c r="D2865" t="s">
        <v>823</v>
      </c>
      <c r="J2865">
        <v>4</v>
      </c>
    </row>
    <row r="2866" spans="1:10" x14ac:dyDescent="0.25">
      <c r="A2866" t="s">
        <v>29</v>
      </c>
      <c r="B2866" s="1" t="str">
        <f>HYPERLINK("http://amazonphone.fi","amazonphone.fi")</f>
        <v>amazonphone.fi</v>
      </c>
      <c r="C2866" t="s">
        <v>445</v>
      </c>
      <c r="D2866" t="s">
        <v>823</v>
      </c>
      <c r="J2866">
        <v>5</v>
      </c>
    </row>
    <row r="2867" spans="1:10" x14ac:dyDescent="0.25">
      <c r="A2867" t="s">
        <v>29</v>
      </c>
      <c r="B2867" s="1" t="str">
        <f>HYPERLINK("http://amazonprimevideo.fi","amazonprimevideo.fi")</f>
        <v>amazonprimevideo.fi</v>
      </c>
      <c r="C2867" t="s">
        <v>445</v>
      </c>
      <c r="D2867" t="s">
        <v>823</v>
      </c>
      <c r="J2867">
        <v>5</v>
      </c>
    </row>
    <row r="2868" spans="1:10" x14ac:dyDescent="0.25">
      <c r="A2868" t="s">
        <v>29</v>
      </c>
      <c r="B2868" s="1" t="str">
        <f>HYPERLINK("http://amazonprotect.fi","amazonprotect.fi")</f>
        <v>amazonprotect.fi</v>
      </c>
      <c r="C2868" t="s">
        <v>445</v>
      </c>
      <c r="D2868" t="s">
        <v>823</v>
      </c>
      <c r="J2868">
        <v>5</v>
      </c>
    </row>
    <row r="2869" spans="1:10" x14ac:dyDescent="0.25">
      <c r="A2869" t="s">
        <v>29</v>
      </c>
      <c r="B2869" s="1" t="str">
        <f>HYPERLINK("http://amazonrightnowclimatefund.fi","amazonrightnowclimatefund.fi")</f>
        <v>amazonrightnowclimatefund.fi</v>
      </c>
      <c r="C2869" t="s">
        <v>445</v>
      </c>
      <c r="D2869" t="s">
        <v>823</v>
      </c>
      <c r="J2869">
        <v>5</v>
      </c>
    </row>
    <row r="2870" spans="1:10" x14ac:dyDescent="0.25">
      <c r="A2870" t="s">
        <v>29</v>
      </c>
      <c r="B2870" s="1" t="str">
        <f>HYPERLINK("http://amazonsouk.fi","amazonsouk.fi")</f>
        <v>amazonsouk.fi</v>
      </c>
      <c r="C2870" t="s">
        <v>445</v>
      </c>
      <c r="D2870" t="s">
        <v>823</v>
      </c>
      <c r="J2870">
        <v>5</v>
      </c>
    </row>
    <row r="2871" spans="1:10" x14ac:dyDescent="0.25">
      <c r="A2871" t="s">
        <v>29</v>
      </c>
      <c r="B2871" s="1" t="str">
        <f>HYPERLINK("http://amazonsouq.fi","amazonsouq.fi")</f>
        <v>amazonsouq.fi</v>
      </c>
      <c r="C2871" t="s">
        <v>445</v>
      </c>
      <c r="D2871" t="s">
        <v>823</v>
      </c>
      <c r="J2871">
        <v>5</v>
      </c>
    </row>
    <row r="2872" spans="1:10" x14ac:dyDescent="0.25">
      <c r="A2872" t="s">
        <v>29</v>
      </c>
      <c r="B2872" s="1" t="str">
        <f>HYPERLINK("http://amazonsupplierdiversity.fi","amazonsupplierdiversity.fi")</f>
        <v>amazonsupplierdiversity.fi</v>
      </c>
      <c r="C2872" t="s">
        <v>445</v>
      </c>
      <c r="D2872" t="s">
        <v>823</v>
      </c>
      <c r="J2872">
        <v>4</v>
      </c>
    </row>
    <row r="2873" spans="1:10" x14ac:dyDescent="0.25">
      <c r="A2873" t="s">
        <v>29</v>
      </c>
      <c r="B2873" s="1" t="str">
        <f>HYPERLINK("http://amazonvideo.fi","amazonvideo.fi")</f>
        <v>amazonvideo.fi</v>
      </c>
      <c r="C2873" t="s">
        <v>445</v>
      </c>
      <c r="D2873" t="s">
        <v>823</v>
      </c>
      <c r="J2873">
        <v>5</v>
      </c>
    </row>
    <row r="2874" spans="1:10" x14ac:dyDescent="0.25">
      <c r="A2874" t="s">
        <v>29</v>
      </c>
      <c r="B2874" s="1" t="str">
        <f>HYPERLINK("http://audible.fi","audible.fi")</f>
        <v>audible.fi</v>
      </c>
      <c r="C2874" t="s">
        <v>445</v>
      </c>
      <c r="D2874" t="s">
        <v>823</v>
      </c>
      <c r="J2874">
        <v>6</v>
      </c>
    </row>
    <row r="2875" spans="1:10" x14ac:dyDescent="0.25">
      <c r="A2875" t="s">
        <v>29</v>
      </c>
      <c r="B2875" s="1" t="str">
        <f>HYPERLINK("http://audible-podcasts.fi","audible-podcasts.fi")</f>
        <v>audible-podcasts.fi</v>
      </c>
      <c r="C2875" t="s">
        <v>445</v>
      </c>
      <c r="D2875" t="s">
        <v>823</v>
      </c>
      <c r="J2875">
        <v>6</v>
      </c>
    </row>
    <row r="2876" spans="1:10" x14ac:dyDescent="0.25">
      <c r="A2876" t="s">
        <v>29</v>
      </c>
      <c r="B2876" s="1" t="str">
        <f>HYPERLINK("http://audible-studios.fi","audible-studios.fi")</f>
        <v>audible-studios.fi</v>
      </c>
      <c r="C2876" t="s">
        <v>445</v>
      </c>
      <c r="D2876" t="s">
        <v>823</v>
      </c>
      <c r="J2876">
        <v>6</v>
      </c>
    </row>
    <row r="2877" spans="1:10" x14ac:dyDescent="0.25">
      <c r="A2877" t="s">
        <v>29</v>
      </c>
      <c r="B2877" s="1" t="str">
        <f>HYPERLINK("http://audiblepodcasts.fi","audiblepodcasts.fi")</f>
        <v>audiblepodcasts.fi</v>
      </c>
      <c r="C2877" t="s">
        <v>445</v>
      </c>
      <c r="D2877" t="s">
        <v>823</v>
      </c>
      <c r="J2877">
        <v>6</v>
      </c>
    </row>
    <row r="2878" spans="1:10" x14ac:dyDescent="0.25">
      <c r="A2878" t="s">
        <v>29</v>
      </c>
      <c r="B2878" s="1" t="str">
        <f>HYPERLINK("http://audiblestudios.fi","audiblestudios.fi")</f>
        <v>audiblestudios.fi</v>
      </c>
      <c r="C2878" t="s">
        <v>445</v>
      </c>
      <c r="D2878" t="s">
        <v>823</v>
      </c>
      <c r="J2878">
        <v>6</v>
      </c>
    </row>
    <row r="2879" spans="1:10" x14ac:dyDescent="0.25">
      <c r="A2879" t="s">
        <v>29</v>
      </c>
      <c r="B2879" s="1" t="str">
        <f>HYPERLINK("http://awsgamedevcouncil.fi","awsgamedevcouncil.fi")</f>
        <v>awsgamedevcouncil.fi</v>
      </c>
      <c r="C2879" t="s">
        <v>445</v>
      </c>
      <c r="D2879" t="s">
        <v>823</v>
      </c>
      <c r="J2879">
        <v>5</v>
      </c>
    </row>
    <row r="2880" spans="1:10" x14ac:dyDescent="0.25">
      <c r="A2880" t="s">
        <v>29</v>
      </c>
      <c r="B2880" s="1" t="str">
        <f>HYPERLINK("http://awskarpenter.fi","awskarpenter.fi")</f>
        <v>awskarpenter.fi</v>
      </c>
      <c r="C2880" t="s">
        <v>445</v>
      </c>
      <c r="D2880" t="s">
        <v>823</v>
      </c>
      <c r="J2880">
        <v>5</v>
      </c>
    </row>
    <row r="2881" spans="1:10" x14ac:dyDescent="0.25">
      <c r="A2881" t="s">
        <v>29</v>
      </c>
      <c r="B2881" s="1" t="str">
        <f>HYPERLINK("http://awsratio.fi","awsratio.fi")</f>
        <v>awsratio.fi</v>
      </c>
      <c r="C2881" t="s">
        <v>445</v>
      </c>
      <c r="D2881" t="s">
        <v>823</v>
      </c>
      <c r="J2881">
        <v>5</v>
      </c>
    </row>
    <row r="2882" spans="1:10" x14ac:dyDescent="0.25">
      <c r="A2882" t="s">
        <v>29</v>
      </c>
      <c r="B2882" s="1" t="str">
        <f>HYPERLINK("http://awsrepost.fi","awsrepost.fi")</f>
        <v>awsrepost.fi</v>
      </c>
      <c r="C2882" t="s">
        <v>445</v>
      </c>
      <c r="D2882" t="s">
        <v>823</v>
      </c>
      <c r="J2882">
        <v>5</v>
      </c>
    </row>
    <row r="2883" spans="1:10" x14ac:dyDescent="0.25">
      <c r="A2883" t="s">
        <v>29</v>
      </c>
      <c r="B2883" s="1" t="str">
        <f>HYPERLINK("http://blinkforhome.fi","blinkforhome.fi")</f>
        <v>blinkforhome.fi</v>
      </c>
      <c r="C2883" t="s">
        <v>445</v>
      </c>
      <c r="D2883" t="s">
        <v>823</v>
      </c>
      <c r="J2883">
        <v>5</v>
      </c>
    </row>
    <row r="2884" spans="1:10" x14ac:dyDescent="0.25">
      <c r="A2884" t="s">
        <v>29</v>
      </c>
      <c r="B2884" s="1" t="str">
        <f>HYPERLINK("http://bookdepository.fi","bookdepository.fi")</f>
        <v>bookdepository.fi</v>
      </c>
      <c r="C2884" t="s">
        <v>445</v>
      </c>
      <c r="D2884" t="s">
        <v>823</v>
      </c>
      <c r="J2884">
        <v>5</v>
      </c>
    </row>
    <row r="2885" spans="1:10" x14ac:dyDescent="0.25">
      <c r="A2885" t="s">
        <v>29</v>
      </c>
      <c r="B2885" s="1" t="str">
        <f>HYPERLINK("http://bookworm.fi","bookworm.fi")</f>
        <v>bookworm.fi</v>
      </c>
      <c r="C2885" t="s">
        <v>445</v>
      </c>
      <c r="D2885" t="s">
        <v>823</v>
      </c>
      <c r="J2885">
        <v>5</v>
      </c>
    </row>
    <row r="2886" spans="1:10" x14ac:dyDescent="0.25">
      <c r="A2886" t="s">
        <v>29</v>
      </c>
      <c r="B2886" s="1" t="str">
        <f>HYPERLINK("http://buyvip.fi","buyvip.fi")</f>
        <v>buyvip.fi</v>
      </c>
      <c r="C2886" t="s">
        <v>445</v>
      </c>
      <c r="D2886" t="s">
        <v>823</v>
      </c>
      <c r="J2886">
        <v>5</v>
      </c>
    </row>
    <row r="2887" spans="1:10" x14ac:dyDescent="0.25">
      <c r="A2887" t="s">
        <v>29</v>
      </c>
      <c r="B2887" s="1" t="str">
        <f>HYPERLINK("http://climatepledge.fi","climatepledge.fi")</f>
        <v>climatepledge.fi</v>
      </c>
      <c r="C2887" t="s">
        <v>445</v>
      </c>
      <c r="D2887" t="s">
        <v>823</v>
      </c>
      <c r="J2887">
        <v>5</v>
      </c>
    </row>
    <row r="2888" spans="1:10" x14ac:dyDescent="0.25">
      <c r="A2888" t="s">
        <v>29</v>
      </c>
      <c r="B2888" s="1" t="str">
        <f>HYPERLINK("http://diapers.fi","diapers.fi")</f>
        <v>diapers.fi</v>
      </c>
      <c r="C2888" t="s">
        <v>445</v>
      </c>
      <c r="D2888" t="s">
        <v>823</v>
      </c>
      <c r="J2888">
        <v>5</v>
      </c>
    </row>
    <row r="2889" spans="1:10" x14ac:dyDescent="0.25">
      <c r="A2889" t="s">
        <v>29</v>
      </c>
      <c r="B2889" s="1" t="str">
        <f>HYPERLINK("http://doorviewcam.fi","doorviewcam.fi")</f>
        <v>doorviewcam.fi</v>
      </c>
      <c r="C2889" t="s">
        <v>445</v>
      </c>
      <c r="D2889" t="s">
        <v>823</v>
      </c>
      <c r="J2889">
        <v>5</v>
      </c>
    </row>
    <row r="2890" spans="1:10" x14ac:dyDescent="0.25">
      <c r="A2890" t="s">
        <v>29</v>
      </c>
      <c r="B2890" s="1" t="str">
        <f>HYPERLINK("http://firetvstick.fi","firetvstick.fi")</f>
        <v>firetvstick.fi</v>
      </c>
      <c r="C2890" t="s">
        <v>445</v>
      </c>
      <c r="D2890" t="s">
        <v>823</v>
      </c>
      <c r="J2890">
        <v>5</v>
      </c>
    </row>
    <row r="2891" spans="1:10" x14ac:dyDescent="0.25">
      <c r="A2891" t="s">
        <v>29</v>
      </c>
      <c r="B2891" s="1" t="str">
        <f>HYPERLINK("http://justbooks.fi","justbooks.fi")</f>
        <v>justbooks.fi</v>
      </c>
      <c r="C2891" t="s">
        <v>445</v>
      </c>
      <c r="D2891" t="s">
        <v>823</v>
      </c>
      <c r="J2891">
        <v>5</v>
      </c>
    </row>
    <row r="2892" spans="1:10" x14ac:dyDescent="0.25">
      <c r="A2892" t="s">
        <v>29</v>
      </c>
      <c r="B2892" s="1" t="str">
        <f>HYPERLINK("http://justwalkin.fi","justwalkin.fi")</f>
        <v>justwalkin.fi</v>
      </c>
      <c r="C2892" t="s">
        <v>445</v>
      </c>
      <c r="D2892" t="s">
        <v>823</v>
      </c>
      <c r="J2892">
        <v>4</v>
      </c>
    </row>
    <row r="2893" spans="1:10" x14ac:dyDescent="0.25">
      <c r="A2893" t="s">
        <v>29</v>
      </c>
      <c r="B2893" s="1" t="str">
        <f>HYPERLINK("http://kdp.fi","kdp.fi")</f>
        <v>kdp.fi</v>
      </c>
      <c r="C2893" t="s">
        <v>445</v>
      </c>
      <c r="D2893" t="s">
        <v>823</v>
      </c>
      <c r="J2893">
        <v>5</v>
      </c>
    </row>
    <row r="2894" spans="1:10" x14ac:dyDescent="0.25">
      <c r="A2894" t="s">
        <v>29</v>
      </c>
      <c r="B2894" s="1" t="str">
        <f>HYPERLINK("http://kindle.fi","kindle.fi")</f>
        <v>kindle.fi</v>
      </c>
      <c r="C2894" t="s">
        <v>445</v>
      </c>
      <c r="D2894" t="s">
        <v>823</v>
      </c>
      <c r="J2894">
        <v>5</v>
      </c>
    </row>
    <row r="2895" spans="1:10" x14ac:dyDescent="0.25">
      <c r="A2895" t="s">
        <v>29</v>
      </c>
      <c r="B2895" s="1" t="str">
        <f>HYPERLINK("http://lunagaming.fi","lunagaming.fi")</f>
        <v>lunagaming.fi</v>
      </c>
      <c r="C2895" t="s">
        <v>445</v>
      </c>
      <c r="D2895" t="s">
        <v>823</v>
      </c>
      <c r="J2895">
        <v>5</v>
      </c>
    </row>
    <row r="2896" spans="1:10" x14ac:dyDescent="0.25">
      <c r="A2896" t="s">
        <v>29</v>
      </c>
      <c r="B2896" s="1" t="str">
        <f>HYPERLINK("http://payfort.fi","payfort.fi")</f>
        <v>payfort.fi</v>
      </c>
      <c r="C2896" t="s">
        <v>445</v>
      </c>
      <c r="D2896" t="s">
        <v>823</v>
      </c>
      <c r="J2896">
        <v>5</v>
      </c>
    </row>
    <row r="2897" spans="1:10" x14ac:dyDescent="0.25">
      <c r="A2897" t="s">
        <v>29</v>
      </c>
      <c r="B2897" s="1" t="str">
        <f>HYPERLINK("http://primebroadband.fi","primebroadband.fi")</f>
        <v>primebroadband.fi</v>
      </c>
      <c r="C2897" t="s">
        <v>445</v>
      </c>
      <c r="D2897" t="s">
        <v>823</v>
      </c>
      <c r="J2897">
        <v>5</v>
      </c>
    </row>
    <row r="2898" spans="1:10" x14ac:dyDescent="0.25">
      <c r="A2898" t="s">
        <v>29</v>
      </c>
      <c r="B2898" s="1" t="str">
        <f>HYPERLINK("http://primevideo.fi","primevideo.fi")</f>
        <v>primevideo.fi</v>
      </c>
      <c r="C2898" t="s">
        <v>445</v>
      </c>
      <c r="D2898" t="s">
        <v>823</v>
      </c>
      <c r="J2898">
        <v>5</v>
      </c>
    </row>
    <row r="2899" spans="1:10" x14ac:dyDescent="0.25">
      <c r="A2899" t="s">
        <v>29</v>
      </c>
      <c r="B2899" s="1" t="str">
        <f>HYPERLINK("http://rightnowclimatefund.fi","rightnowclimatefund.fi")</f>
        <v>rightnowclimatefund.fi</v>
      </c>
      <c r="C2899" t="s">
        <v>445</v>
      </c>
      <c r="D2899" t="s">
        <v>823</v>
      </c>
      <c r="J2899">
        <v>5</v>
      </c>
    </row>
    <row r="2900" spans="1:10" x14ac:dyDescent="0.25">
      <c r="A2900" t="s">
        <v>29</v>
      </c>
      <c r="B2900" s="1" t="str">
        <f>HYPERLINK("http://ringdoorviewcam.fi","ringdoorviewcam.fi")</f>
        <v>ringdoorviewcam.fi</v>
      </c>
      <c r="C2900" t="s">
        <v>445</v>
      </c>
      <c r="D2900" t="s">
        <v>823</v>
      </c>
      <c r="J2900">
        <v>5</v>
      </c>
    </row>
    <row r="2901" spans="1:10" x14ac:dyDescent="0.25">
      <c r="A2901" t="s">
        <v>29</v>
      </c>
      <c r="B2901" s="1" t="str">
        <f>HYPERLINK("http://ringsofpower.fi","ringsofpower.fi")</f>
        <v>ringsofpower.fi</v>
      </c>
      <c r="C2901" t="s">
        <v>445</v>
      </c>
      <c r="D2901" t="s">
        <v>823</v>
      </c>
      <c r="J2901">
        <v>4</v>
      </c>
    </row>
    <row r="2902" spans="1:10" x14ac:dyDescent="0.25">
      <c r="A2902" t="s">
        <v>29</v>
      </c>
      <c r="B2902" s="1" t="str">
        <f>HYPERLINK("http://rt-p-mt-b1s7-fifi-1hgf.fi","rt-p-mt-b1s7-fifi-1hgf.fi")</f>
        <v>rt-p-mt-b1s7-fifi-1hgf.fi</v>
      </c>
      <c r="C2902" t="s">
        <v>445</v>
      </c>
      <c r="D2902" t="s">
        <v>823</v>
      </c>
      <c r="J2902">
        <v>4</v>
      </c>
    </row>
    <row r="2903" spans="1:10" x14ac:dyDescent="0.25">
      <c r="A2903" t="s">
        <v>29</v>
      </c>
      <c r="B2903" s="1" t="str">
        <f>HYPERLINK("http://rt-p-mt-b1s7-xsdq-3dgj.fi","rt-p-mt-b1s7-xsdq-3dgj.fi")</f>
        <v>rt-p-mt-b1s7-xsdq-3dgj.fi</v>
      </c>
      <c r="C2903" t="s">
        <v>445</v>
      </c>
      <c r="D2903" t="s">
        <v>823</v>
      </c>
      <c r="J2903">
        <v>4</v>
      </c>
    </row>
    <row r="2904" spans="1:10" x14ac:dyDescent="0.25">
      <c r="A2904" t="s">
        <v>29</v>
      </c>
      <c r="B2904" s="1" t="str">
        <f>HYPERLINK("http://scenestream.fi","scenestream.fi")</f>
        <v>scenestream.fi</v>
      </c>
      <c r="C2904" t="s">
        <v>445</v>
      </c>
      <c r="D2904" t="s">
        <v>823</v>
      </c>
      <c r="J2904">
        <v>5</v>
      </c>
    </row>
    <row r="2905" spans="1:10" x14ac:dyDescent="0.25">
      <c r="A2905" t="s">
        <v>29</v>
      </c>
      <c r="B2905" s="1" t="str">
        <f>HYPERLINK("http://tarusormustenherrasta.fi","tarusormustenherrasta.fi")</f>
        <v>tarusormustenherrasta.fi</v>
      </c>
      <c r="C2905" t="s">
        <v>445</v>
      </c>
      <c r="D2905" t="s">
        <v>823</v>
      </c>
      <c r="J2905">
        <v>4</v>
      </c>
    </row>
    <row r="2906" spans="1:10" x14ac:dyDescent="0.25">
      <c r="A2906" t="s">
        <v>29</v>
      </c>
      <c r="B2906" s="1" t="str">
        <f>HYPERLINK("http://tarusormustenherrasta-valtasormukset.fi","tarusormustenherrasta-valtasormukset.fi")</f>
        <v>tarusormustenherrasta-valtasormukset.fi</v>
      </c>
      <c r="C2906" t="s">
        <v>445</v>
      </c>
      <c r="D2906" t="s">
        <v>823</v>
      </c>
      <c r="J2906">
        <v>4</v>
      </c>
    </row>
    <row r="2907" spans="1:10" x14ac:dyDescent="0.25">
      <c r="A2907" t="s">
        <v>29</v>
      </c>
      <c r="B2907" s="1" t="str">
        <f>HYPERLINK("http://tarusormustenherrastavaltasormukset.fi","tarusormustenherrastavaltasormukset.fi")</f>
        <v>tarusormustenherrastavaltasormukset.fi</v>
      </c>
      <c r="C2907" t="s">
        <v>445</v>
      </c>
      <c r="D2907" t="s">
        <v>823</v>
      </c>
      <c r="J2907">
        <v>4</v>
      </c>
    </row>
    <row r="2908" spans="1:10" x14ac:dyDescent="0.25">
      <c r="A2908" t="s">
        <v>29</v>
      </c>
      <c r="B2908" s="1" t="str">
        <f>HYPERLINK("http://thebookdepository.fi","thebookdepository.fi")</f>
        <v>thebookdepository.fi</v>
      </c>
      <c r="C2908" t="s">
        <v>445</v>
      </c>
      <c r="D2908" t="s">
        <v>823</v>
      </c>
      <c r="J2908">
        <v>5</v>
      </c>
    </row>
    <row r="2909" spans="1:10" x14ac:dyDescent="0.25">
      <c r="A2909" t="s">
        <v>29</v>
      </c>
      <c r="B2909" s="1" t="str">
        <f>HYPERLINK("http://theclimatepledge.fi","theclimatepledge.fi")</f>
        <v>theclimatepledge.fi</v>
      </c>
      <c r="C2909" t="s">
        <v>445</v>
      </c>
      <c r="D2909" t="s">
        <v>823</v>
      </c>
      <c r="J2909">
        <v>5</v>
      </c>
    </row>
    <row r="2910" spans="1:10" x14ac:dyDescent="0.25">
      <c r="A2910" t="s">
        <v>29</v>
      </c>
      <c r="B2910" s="1" t="str">
        <f>HYPERLINK("http://thegrandtourseries.fi","thegrandtourseries.fi")</f>
        <v>thegrandtourseries.fi</v>
      </c>
      <c r="C2910" t="s">
        <v>445</v>
      </c>
      <c r="D2910" t="s">
        <v>823</v>
      </c>
      <c r="J2910">
        <v>5</v>
      </c>
    </row>
    <row r="2911" spans="1:10" x14ac:dyDescent="0.25">
      <c r="A2911" t="s">
        <v>29</v>
      </c>
      <c r="B2911" s="1" t="str">
        <f>HYPERLINK("http://thegrandtourtvseries.fi","thegrandtourtvseries.fi")</f>
        <v>thegrandtourtvseries.fi</v>
      </c>
      <c r="C2911" t="s">
        <v>445</v>
      </c>
      <c r="D2911" t="s">
        <v>823</v>
      </c>
      <c r="J2911">
        <v>5</v>
      </c>
    </row>
    <row r="2912" spans="1:10" x14ac:dyDescent="0.25">
      <c r="A2912" t="s">
        <v>29</v>
      </c>
      <c r="B2912" s="1" t="str">
        <f>HYPERLINK("http://thelordoftherings-theringsofpower.fi","thelordoftherings-theringsofpower.fi")</f>
        <v>thelordoftherings-theringsofpower.fi</v>
      </c>
      <c r="C2912" t="s">
        <v>445</v>
      </c>
      <c r="D2912" t="s">
        <v>823</v>
      </c>
      <c r="J2912">
        <v>4</v>
      </c>
    </row>
    <row r="2913" spans="1:10" x14ac:dyDescent="0.25">
      <c r="A2913" t="s">
        <v>29</v>
      </c>
      <c r="B2913" s="1" t="str">
        <f>HYPERLINK("http://thelordoftheringstheringsofpower.fi","thelordoftheringstheringsofpower.fi")</f>
        <v>thelordoftheringstheringsofpower.fi</v>
      </c>
      <c r="C2913" t="s">
        <v>445</v>
      </c>
      <c r="D2913" t="s">
        <v>823</v>
      </c>
      <c r="J2913">
        <v>4</v>
      </c>
    </row>
    <row r="2914" spans="1:10" x14ac:dyDescent="0.25">
      <c r="A2914" t="s">
        <v>29</v>
      </c>
      <c r="B2914" s="1" t="str">
        <f>HYPERLINK("http://therightnowclimatefund.fi","therightnowclimatefund.fi")</f>
        <v>therightnowclimatefund.fi</v>
      </c>
      <c r="C2914" t="s">
        <v>445</v>
      </c>
      <c r="D2914" t="s">
        <v>823</v>
      </c>
      <c r="J2914">
        <v>5</v>
      </c>
    </row>
    <row r="2915" spans="1:10" x14ac:dyDescent="0.25">
      <c r="A2915" t="s">
        <v>29</v>
      </c>
      <c r="B2915" s="1" t="str">
        <f>HYPERLINK("http://theringsofpower.fi","theringsofpower.fi")</f>
        <v>theringsofpower.fi</v>
      </c>
      <c r="C2915" t="s">
        <v>445</v>
      </c>
      <c r="D2915" t="s">
        <v>823</v>
      </c>
      <c r="J2915">
        <v>4</v>
      </c>
    </row>
    <row r="2916" spans="1:10" x14ac:dyDescent="0.25">
      <c r="A2916" t="s">
        <v>29</v>
      </c>
      <c r="B2916" s="1" t="str">
        <f>HYPERLINK("http://umbra.fi","umbra.fi")</f>
        <v>umbra.fi</v>
      </c>
      <c r="C2916" t="s">
        <v>445</v>
      </c>
      <c r="D2916" t="s">
        <v>823</v>
      </c>
      <c r="J2916">
        <v>5</v>
      </c>
    </row>
    <row r="2917" spans="1:10" x14ac:dyDescent="0.25">
      <c r="A2917" t="s">
        <v>29</v>
      </c>
      <c r="B2917" s="1" t="str">
        <f>HYPERLINK("http://umbra3d.fi","umbra3d.fi")</f>
        <v>umbra3d.fi</v>
      </c>
      <c r="C2917" t="s">
        <v>445</v>
      </c>
      <c r="D2917" t="s">
        <v>823</v>
      </c>
      <c r="J2917">
        <v>5</v>
      </c>
    </row>
    <row r="2918" spans="1:10" x14ac:dyDescent="0.25">
      <c r="A2918" t="s">
        <v>29</v>
      </c>
      <c r="B2918" s="1" t="str">
        <f>HYPERLINK("http://umbrascenestream.fi","umbrascenestream.fi")</f>
        <v>umbrascenestream.fi</v>
      </c>
      <c r="C2918" t="s">
        <v>445</v>
      </c>
      <c r="D2918" t="s">
        <v>823</v>
      </c>
      <c r="J2918">
        <v>5</v>
      </c>
    </row>
    <row r="2919" spans="1:10" x14ac:dyDescent="0.25">
      <c r="A2919" t="s">
        <v>29</v>
      </c>
      <c r="B2919" s="1" t="str">
        <f>HYPERLINK("http://valtasormukset.fi","valtasormukset.fi")</f>
        <v>valtasormukset.fi</v>
      </c>
      <c r="C2919" t="s">
        <v>445</v>
      </c>
      <c r="D2919" t="s">
        <v>823</v>
      </c>
      <c r="J2919">
        <v>4</v>
      </c>
    </row>
    <row r="2920" spans="1:10" x14ac:dyDescent="0.25">
      <c r="A2920" t="s">
        <v>29</v>
      </c>
      <c r="B2920" s="1" t="str">
        <f>HYPERLINK("http://wag.fi","wag.fi")</f>
        <v>wag.fi</v>
      </c>
      <c r="C2920" t="s">
        <v>445</v>
      </c>
      <c r="D2920" t="s">
        <v>823</v>
      </c>
      <c r="J2920">
        <v>5</v>
      </c>
    </row>
    <row r="2921" spans="1:10" x14ac:dyDescent="0.25">
      <c r="A2921" t="s">
        <v>29</v>
      </c>
      <c r="B2921" s="1" t="str">
        <f>HYPERLINK("http://wholefoods.fi","wholefoods.fi")</f>
        <v>wholefoods.fi</v>
      </c>
      <c r="C2921" t="s">
        <v>445</v>
      </c>
      <c r="D2921" t="s">
        <v>823</v>
      </c>
      <c r="J2921">
        <v>5</v>
      </c>
    </row>
    <row r="2922" spans="1:10" x14ac:dyDescent="0.25">
      <c r="A2922" t="s">
        <v>29</v>
      </c>
      <c r="B2922" s="1" t="str">
        <f>HYPERLINK("http://wholefoodsmarket.fi","wholefoodsmarket.fi")</f>
        <v>wholefoodsmarket.fi</v>
      </c>
      <c r="C2922" t="s">
        <v>445</v>
      </c>
      <c r="D2922" t="s">
        <v>823</v>
      </c>
      <c r="J2922">
        <v>5</v>
      </c>
    </row>
    <row r="2923" spans="1:10" x14ac:dyDescent="0.25">
      <c r="A2923" t="s">
        <v>29</v>
      </c>
      <c r="B2923" s="1" t="str">
        <f>HYPERLINK("http://abebooks.fr","abebooks.fr")</f>
        <v>abebooks.fr</v>
      </c>
      <c r="C2923" t="s">
        <v>446</v>
      </c>
      <c r="D2923" t="s">
        <v>824</v>
      </c>
      <c r="E2923">
        <v>69827</v>
      </c>
      <c r="F2923">
        <v>2.9559835697099198E-7</v>
      </c>
      <c r="G2923">
        <v>125849</v>
      </c>
      <c r="H2923">
        <v>15029667</v>
      </c>
      <c r="I2923">
        <v>418738</v>
      </c>
      <c r="J2923">
        <v>4</v>
      </c>
    </row>
    <row r="2924" spans="1:10" x14ac:dyDescent="0.25">
      <c r="A2924" t="s">
        <v>29</v>
      </c>
      <c r="B2924" s="1" t="str">
        <f>HYPERLINK("http://aboutamazon.fr","aboutamazon.fr")</f>
        <v>aboutamazon.fr</v>
      </c>
      <c r="C2924" t="s">
        <v>446</v>
      </c>
      <c r="D2924" t="s">
        <v>824</v>
      </c>
      <c r="E2924">
        <v>201684</v>
      </c>
      <c r="F2924">
        <v>1.85372836395998E-7</v>
      </c>
      <c r="G2924">
        <v>207900</v>
      </c>
      <c r="H2924">
        <v>14581343</v>
      </c>
      <c r="I2924">
        <v>708528</v>
      </c>
      <c r="J2924">
        <v>6</v>
      </c>
    </row>
    <row r="2925" spans="1:10" x14ac:dyDescent="0.25">
      <c r="A2925" t="s">
        <v>29</v>
      </c>
      <c r="B2925" s="1" t="str">
        <f>HYPERLINK("http://amazon.fr","amazon.fr")</f>
        <v>amazon.fr</v>
      </c>
      <c r="C2925" t="s">
        <v>446</v>
      </c>
      <c r="D2925" t="s">
        <v>824</v>
      </c>
      <c r="E2925">
        <v>467</v>
      </c>
      <c r="F2925">
        <v>3.9933858028479598E-5</v>
      </c>
      <c r="G2925">
        <v>676</v>
      </c>
      <c r="H2925">
        <v>18650976</v>
      </c>
      <c r="I2925">
        <v>1142</v>
      </c>
      <c r="J2925">
        <v>2</v>
      </c>
    </row>
    <row r="2926" spans="1:10" x14ac:dyDescent="0.25">
      <c r="A2926" t="s">
        <v>29</v>
      </c>
      <c r="B2926" s="1" t="str">
        <f>HYPERLINK("http://amazonservices.fr","amazonservices.fr")</f>
        <v>amazonservices.fr</v>
      </c>
      <c r="C2926" t="s">
        <v>446</v>
      </c>
      <c r="D2926" t="s">
        <v>824</v>
      </c>
      <c r="E2926">
        <v>342557</v>
      </c>
      <c r="F2926">
        <v>1.13973278642542E-7</v>
      </c>
      <c r="G2926">
        <v>349526</v>
      </c>
      <c r="H2926">
        <v>13589194</v>
      </c>
      <c r="I2926">
        <v>9669989</v>
      </c>
      <c r="J2926">
        <v>5</v>
      </c>
    </row>
    <row r="2927" spans="1:10" x14ac:dyDescent="0.25">
      <c r="A2927" t="s">
        <v>29</v>
      </c>
      <c r="B2927" s="1" t="str">
        <f>HYPERLINK("http://audible.fr","audible.fr")</f>
        <v>audible.fr</v>
      </c>
      <c r="C2927" t="s">
        <v>446</v>
      </c>
      <c r="D2927" t="s">
        <v>824</v>
      </c>
      <c r="E2927">
        <v>76695</v>
      </c>
      <c r="F2927">
        <v>1.4268447420363601E-6</v>
      </c>
      <c r="G2927">
        <v>27432</v>
      </c>
      <c r="H2927">
        <v>17237512</v>
      </c>
      <c r="I2927">
        <v>35742</v>
      </c>
      <c r="J2927">
        <v>4</v>
      </c>
    </row>
    <row r="2928" spans="1:10" x14ac:dyDescent="0.25">
      <c r="A2928" t="s">
        <v>29</v>
      </c>
      <c r="B2928" s="1" t="str">
        <f>HYPERLINK("http://comixology.fr","comixology.fr")</f>
        <v>comixology.fr</v>
      </c>
      <c r="C2928" t="s">
        <v>446</v>
      </c>
      <c r="D2928" t="s">
        <v>824</v>
      </c>
      <c r="F2928">
        <v>2.2593965660642301E-8</v>
      </c>
      <c r="G2928">
        <v>2318180</v>
      </c>
      <c r="H2928">
        <v>14599680</v>
      </c>
      <c r="I2928">
        <v>686592</v>
      </c>
      <c r="J2928">
        <v>4</v>
      </c>
    </row>
    <row r="2929" spans="1:10" x14ac:dyDescent="0.25">
      <c r="A2929" t="s">
        <v>29</v>
      </c>
      <c r="B2929" s="1" t="str">
        <f>HYPERLINK("http://imdb.fr","imdb.fr")</f>
        <v>imdb.fr</v>
      </c>
      <c r="C2929" t="s">
        <v>446</v>
      </c>
      <c r="D2929" t="s">
        <v>824</v>
      </c>
      <c r="E2929">
        <v>827230</v>
      </c>
      <c r="F2929">
        <v>5.1947386035288398E-8</v>
      </c>
      <c r="G2929">
        <v>879188</v>
      </c>
      <c r="H2929">
        <v>14842009</v>
      </c>
      <c r="I2929">
        <v>496343</v>
      </c>
      <c r="J2929">
        <v>5</v>
      </c>
    </row>
    <row r="2930" spans="1:10" x14ac:dyDescent="0.25">
      <c r="A2930" t="s">
        <v>29</v>
      </c>
      <c r="B2930" s="1" t="str">
        <f>HYPERLINK("http://justbooks.fr","justbooks.fr")</f>
        <v>justbooks.fr</v>
      </c>
      <c r="C2930" t="s">
        <v>446</v>
      </c>
      <c r="D2930" t="s">
        <v>824</v>
      </c>
      <c r="F2930">
        <v>1.3090710003286E-7</v>
      </c>
      <c r="G2930">
        <v>298849</v>
      </c>
      <c r="H2930">
        <v>14396473</v>
      </c>
      <c r="I2930">
        <v>1159192</v>
      </c>
      <c r="J2930">
        <v>9</v>
      </c>
    </row>
    <row r="2931" spans="1:10" x14ac:dyDescent="0.25">
      <c r="A2931" t="s">
        <v>29</v>
      </c>
      <c r="B2931" s="1" t="str">
        <f>HYPERLINK("http://uniliga.gg","uniliga.gg")</f>
        <v>uniliga.gg</v>
      </c>
      <c r="C2931" t="s">
        <v>639</v>
      </c>
      <c r="D2931" t="s">
        <v>960</v>
      </c>
      <c r="F2931">
        <v>4.9590522466777401E-8</v>
      </c>
      <c r="G2931">
        <v>931789</v>
      </c>
      <c r="H2931">
        <v>14078052</v>
      </c>
      <c r="I2931">
        <v>2853500</v>
      </c>
      <c r="J2931">
        <v>5</v>
      </c>
    </row>
    <row r="2932" spans="1:10" x14ac:dyDescent="0.25">
      <c r="A2932" t="s">
        <v>29</v>
      </c>
      <c r="B2932" s="1" t="str">
        <f>HYPERLINK("http://twitch.guru","twitch.guru")</f>
        <v>twitch.guru</v>
      </c>
      <c r="C2932" t="s">
        <v>1669</v>
      </c>
      <c r="E2932">
        <v>313623</v>
      </c>
      <c r="F2932">
        <v>6.6802153397894398E-9</v>
      </c>
      <c r="G2932">
        <v>13374555</v>
      </c>
      <c r="H2932">
        <v>12911594</v>
      </c>
      <c r="I2932">
        <v>13543612</v>
      </c>
      <c r="J2932">
        <v>4</v>
      </c>
    </row>
    <row r="2933" spans="1:10" x14ac:dyDescent="0.25">
      <c r="A2933" t="s">
        <v>29</v>
      </c>
      <c r="B2933" s="1" t="str">
        <f>HYPERLINK("http://amazon.ie","amazon.ie")</f>
        <v>amazon.ie</v>
      </c>
      <c r="C2933" t="s">
        <v>455</v>
      </c>
      <c r="D2933" t="s">
        <v>832</v>
      </c>
      <c r="F2933">
        <v>4.8971658678174997E-8</v>
      </c>
      <c r="G2933">
        <v>945903</v>
      </c>
      <c r="H2933">
        <v>13771012</v>
      </c>
      <c r="I2933">
        <v>6708245</v>
      </c>
      <c r="J2933">
        <v>2</v>
      </c>
    </row>
    <row r="2934" spans="1:10" x14ac:dyDescent="0.25">
      <c r="A2934" t="s">
        <v>29</v>
      </c>
      <c r="B2934" s="1" t="str">
        <f>HYPERLINK("http://aboutamazon.in","aboutamazon.in")</f>
        <v>aboutamazon.in</v>
      </c>
      <c r="C2934" t="s">
        <v>457</v>
      </c>
      <c r="D2934" t="s">
        <v>834</v>
      </c>
      <c r="E2934">
        <v>105718</v>
      </c>
      <c r="F2934">
        <v>3.02216610145566E-7</v>
      </c>
      <c r="G2934">
        <v>123036</v>
      </c>
      <c r="H2934">
        <v>15259568</v>
      </c>
      <c r="I2934">
        <v>389401</v>
      </c>
      <c r="J2934">
        <v>6</v>
      </c>
    </row>
    <row r="2935" spans="1:10" x14ac:dyDescent="0.25">
      <c r="A2935" t="s">
        <v>29</v>
      </c>
      <c r="B2935" s="1" t="str">
        <f>HYPERLINK("http://amazon.in","amazon.in")</f>
        <v>amazon.in</v>
      </c>
      <c r="C2935" t="s">
        <v>457</v>
      </c>
      <c r="D2935" t="s">
        <v>834</v>
      </c>
      <c r="E2935">
        <v>167</v>
      </c>
      <c r="F2935">
        <v>1.9601224183696801E-5</v>
      </c>
      <c r="G2935">
        <v>1535</v>
      </c>
      <c r="H2935">
        <v>18165062</v>
      </c>
      <c r="I2935">
        <v>2869</v>
      </c>
      <c r="J2935">
        <v>2</v>
      </c>
    </row>
    <row r="2936" spans="1:10" x14ac:dyDescent="0.25">
      <c r="A2936" t="s">
        <v>29</v>
      </c>
      <c r="B2936" s="1" t="str">
        <f>HYPERLINK("http://amazonbusiness.in","amazonbusiness.in")</f>
        <v>amazonbusiness.in</v>
      </c>
      <c r="C2936" t="s">
        <v>457</v>
      </c>
      <c r="D2936" t="s">
        <v>834</v>
      </c>
      <c r="F2936">
        <v>1.7045964161042299E-8</v>
      </c>
      <c r="G2936">
        <v>3272719</v>
      </c>
      <c r="H2936">
        <v>13318324</v>
      </c>
      <c r="I2936">
        <v>10752605</v>
      </c>
      <c r="J2936">
        <v>4</v>
      </c>
    </row>
    <row r="2937" spans="1:10" x14ac:dyDescent="0.25">
      <c r="A2937" t="s">
        <v>29</v>
      </c>
      <c r="B2937" s="1" t="str">
        <f>HYPERLINK("http://amazonservices.in","amazonservices.in")</f>
        <v>amazonservices.in</v>
      </c>
      <c r="C2937" t="s">
        <v>457</v>
      </c>
      <c r="D2937" t="s">
        <v>834</v>
      </c>
      <c r="F2937">
        <v>3.5082362970099601E-8</v>
      </c>
      <c r="G2937">
        <v>1481371</v>
      </c>
      <c r="H2937">
        <v>12913712</v>
      </c>
      <c r="I2937">
        <v>13527840</v>
      </c>
      <c r="J2937">
        <v>5</v>
      </c>
    </row>
    <row r="2938" spans="1:10" x14ac:dyDescent="0.25">
      <c r="A2938" t="s">
        <v>29</v>
      </c>
      <c r="B2938" s="1" t="str">
        <f>HYPERLINK("http://audible.in","audible.in")</f>
        <v>audible.in</v>
      </c>
      <c r="C2938" t="s">
        <v>457</v>
      </c>
      <c r="D2938" t="s">
        <v>834</v>
      </c>
      <c r="E2938">
        <v>54581</v>
      </c>
      <c r="F2938">
        <v>4.6444755817387801E-7</v>
      </c>
      <c r="G2938">
        <v>81526</v>
      </c>
      <c r="H2938">
        <v>14800127</v>
      </c>
      <c r="I2938">
        <v>548289</v>
      </c>
      <c r="J2938">
        <v>4</v>
      </c>
    </row>
    <row r="2939" spans="1:10" x14ac:dyDescent="0.25">
      <c r="A2939" t="s">
        <v>29</v>
      </c>
      <c r="B2939" s="1" t="str">
        <f>HYPERLINK("http://amazon.co.in","amazon.co.in")</f>
        <v>amazon.co.in</v>
      </c>
      <c r="C2939" t="s">
        <v>457</v>
      </c>
      <c r="D2939" t="s">
        <v>834</v>
      </c>
      <c r="F2939">
        <v>2.1290195709266499E-8</v>
      </c>
      <c r="G2939">
        <v>2475453</v>
      </c>
      <c r="H2939">
        <v>13780149</v>
      </c>
      <c r="I2939">
        <v>6476316</v>
      </c>
      <c r="J2939">
        <v>3</v>
      </c>
    </row>
    <row r="2940" spans="1:10" x14ac:dyDescent="0.25">
      <c r="A2940" t="s">
        <v>29</v>
      </c>
      <c r="B2940" s="1" t="str">
        <f>HYPERLINK("http://c9.io","c9.io")</f>
        <v>c9.io</v>
      </c>
      <c r="C2940" t="s">
        <v>518</v>
      </c>
      <c r="E2940">
        <v>36513</v>
      </c>
      <c r="F2940">
        <v>1.9030896077658501E-6</v>
      </c>
      <c r="G2940">
        <v>19483</v>
      </c>
      <c r="H2940">
        <v>17660494</v>
      </c>
      <c r="I2940">
        <v>8147</v>
      </c>
      <c r="J2940">
        <v>5</v>
      </c>
    </row>
    <row r="2941" spans="1:10" x14ac:dyDescent="0.25">
      <c r="A2941" t="s">
        <v>29</v>
      </c>
      <c r="B2941" s="1" t="str">
        <f>HYPERLINK("http://abebooks.it","abebooks.it")</f>
        <v>abebooks.it</v>
      </c>
      <c r="C2941" t="s">
        <v>459</v>
      </c>
      <c r="D2941" t="s">
        <v>835</v>
      </c>
      <c r="E2941">
        <v>96052</v>
      </c>
      <c r="F2941">
        <v>1.8476870628708501E-7</v>
      </c>
      <c r="G2941">
        <v>208642</v>
      </c>
      <c r="H2941">
        <v>15016745</v>
      </c>
      <c r="I2941">
        <v>421705</v>
      </c>
      <c r="J2941">
        <v>4</v>
      </c>
    </row>
    <row r="2942" spans="1:10" x14ac:dyDescent="0.25">
      <c r="A2942" t="s">
        <v>29</v>
      </c>
      <c r="B2942" s="1" t="str">
        <f>HYPERLINK("http://aboutamazon.it","aboutamazon.it")</f>
        <v>aboutamazon.it</v>
      </c>
      <c r="C2942" t="s">
        <v>459</v>
      </c>
      <c r="D2942" t="s">
        <v>835</v>
      </c>
      <c r="E2942">
        <v>232526</v>
      </c>
      <c r="F2942">
        <v>1.4847561777904299E-7</v>
      </c>
      <c r="G2942">
        <v>261789</v>
      </c>
      <c r="H2942">
        <v>14337124</v>
      </c>
      <c r="I2942">
        <v>1318555</v>
      </c>
      <c r="J2942">
        <v>6</v>
      </c>
    </row>
    <row r="2943" spans="1:10" x14ac:dyDescent="0.25">
      <c r="A2943" t="s">
        <v>29</v>
      </c>
      <c r="B2943" s="1" t="str">
        <f>HYPERLINK("http://amazon.it","amazon.it")</f>
        <v>amazon.it</v>
      </c>
      <c r="C2943" t="s">
        <v>459</v>
      </c>
      <c r="D2943" t="s">
        <v>835</v>
      </c>
      <c r="E2943">
        <v>432</v>
      </c>
      <c r="F2943">
        <v>2.9225115077060899E-5</v>
      </c>
      <c r="G2943">
        <v>1000</v>
      </c>
      <c r="H2943">
        <v>18338600</v>
      </c>
      <c r="I2943">
        <v>2207</v>
      </c>
      <c r="J2943">
        <v>2</v>
      </c>
    </row>
    <row r="2944" spans="1:10" x14ac:dyDescent="0.25">
      <c r="A2944" t="s">
        <v>29</v>
      </c>
      <c r="B2944" s="1" t="str">
        <f>HYPERLINK("http://amazonservices.it","amazonservices.it")</f>
        <v>amazonservices.it</v>
      </c>
      <c r="C2944" t="s">
        <v>459</v>
      </c>
      <c r="D2944" t="s">
        <v>835</v>
      </c>
      <c r="F2944">
        <v>7.6263575469859003E-8</v>
      </c>
      <c r="G2944">
        <v>550574</v>
      </c>
      <c r="H2944">
        <v>12739864</v>
      </c>
      <c r="I2944">
        <v>15136638</v>
      </c>
      <c r="J2944">
        <v>5</v>
      </c>
    </row>
    <row r="2945" spans="1:10" x14ac:dyDescent="0.25">
      <c r="A2945" t="s">
        <v>29</v>
      </c>
      <c r="B2945" s="1" t="str">
        <f>HYPERLINK("http://audible.it","audible.it")</f>
        <v>audible.it</v>
      </c>
      <c r="C2945" t="s">
        <v>459</v>
      </c>
      <c r="D2945" t="s">
        <v>835</v>
      </c>
      <c r="E2945">
        <v>84350</v>
      </c>
      <c r="F2945">
        <v>5.2426811705130105E-7</v>
      </c>
      <c r="G2945">
        <v>73339</v>
      </c>
      <c r="H2945">
        <v>17187866</v>
      </c>
      <c r="I2945">
        <v>44043</v>
      </c>
      <c r="J2945">
        <v>3</v>
      </c>
    </row>
    <row r="2946" spans="1:10" x14ac:dyDescent="0.25">
      <c r="A2946" t="s">
        <v>29</v>
      </c>
      <c r="B2946" s="1" t="str">
        <f>HYPERLINK("http://imdb.it","imdb.it")</f>
        <v>imdb.it</v>
      </c>
      <c r="C2946" t="s">
        <v>459</v>
      </c>
      <c r="D2946" t="s">
        <v>835</v>
      </c>
      <c r="F2946">
        <v>3.6815708058909603E-8</v>
      </c>
      <c r="G2946">
        <v>1420103</v>
      </c>
      <c r="H2946">
        <v>14558605</v>
      </c>
      <c r="I2946">
        <v>748372</v>
      </c>
      <c r="J2946">
        <v>5</v>
      </c>
    </row>
    <row r="2947" spans="1:10" x14ac:dyDescent="0.25">
      <c r="A2947" t="s">
        <v>29</v>
      </c>
      <c r="B2947" s="1" t="str">
        <f>HYPERLINK("http://amazon.jobs","amazon.jobs")</f>
        <v>amazon.jobs</v>
      </c>
      <c r="C2947" t="s">
        <v>521</v>
      </c>
      <c r="E2947">
        <v>3798</v>
      </c>
      <c r="F2947">
        <v>4.5621998648188603E-6</v>
      </c>
      <c r="G2947">
        <v>7720</v>
      </c>
      <c r="H2947">
        <v>17608092</v>
      </c>
      <c r="I2947">
        <v>9443</v>
      </c>
      <c r="J2947">
        <v>2</v>
      </c>
    </row>
    <row r="2948" spans="1:10" x14ac:dyDescent="0.25">
      <c r="A2948" t="s">
        <v>29</v>
      </c>
      <c r="B2948" s="1" t="str">
        <f>HYPERLINK("http://aboutamazon.jp","aboutamazon.jp")</f>
        <v>aboutamazon.jp</v>
      </c>
      <c r="C2948" t="s">
        <v>461</v>
      </c>
      <c r="D2948" t="s">
        <v>837</v>
      </c>
      <c r="E2948">
        <v>109439</v>
      </c>
      <c r="F2948">
        <v>1.5413364669713899E-7</v>
      </c>
      <c r="G2948">
        <v>252006</v>
      </c>
      <c r="H2948">
        <v>14614633</v>
      </c>
      <c r="I2948">
        <v>669054</v>
      </c>
      <c r="J2948">
        <v>6</v>
      </c>
    </row>
    <row r="2949" spans="1:10" x14ac:dyDescent="0.25">
      <c r="A2949" t="s">
        <v>29</v>
      </c>
      <c r="B2949" s="1" t="str">
        <f>HYPERLINK("http://amazon.jp","amazon.jp")</f>
        <v>amazon.jp</v>
      </c>
      <c r="C2949" t="s">
        <v>461</v>
      </c>
      <c r="D2949" t="s">
        <v>837</v>
      </c>
      <c r="E2949">
        <v>69002</v>
      </c>
      <c r="F2949">
        <v>1.2813390362497001E-6</v>
      </c>
      <c r="G2949">
        <v>30331</v>
      </c>
      <c r="H2949">
        <v>16151102</v>
      </c>
      <c r="I2949">
        <v>365731</v>
      </c>
      <c r="J2949">
        <v>3</v>
      </c>
    </row>
    <row r="2950" spans="1:10" x14ac:dyDescent="0.25">
      <c r="A2950" t="s">
        <v>29</v>
      </c>
      <c r="B2950" s="1" t="str">
        <f>HYPERLINK("http://amazonservices.jp","amazonservices.jp")</f>
        <v>amazonservices.jp</v>
      </c>
      <c r="C2950" t="s">
        <v>461</v>
      </c>
      <c r="D2950" t="s">
        <v>837</v>
      </c>
      <c r="F2950">
        <v>4.00208363594783E-8</v>
      </c>
      <c r="G2950">
        <v>1291791</v>
      </c>
      <c r="H2950">
        <v>13576002</v>
      </c>
      <c r="I2950">
        <v>9701351</v>
      </c>
      <c r="J2950">
        <v>5</v>
      </c>
    </row>
    <row r="2951" spans="1:10" x14ac:dyDescent="0.25">
      <c r="A2951" t="s">
        <v>29</v>
      </c>
      <c r="B2951" s="1" t="str">
        <f>HYPERLINK("http://amazon.co.jp","amazon.co.jp")</f>
        <v>amazon.co.jp</v>
      </c>
      <c r="C2951" t="s">
        <v>461</v>
      </c>
      <c r="D2951" t="s">
        <v>837</v>
      </c>
      <c r="E2951">
        <v>202</v>
      </c>
      <c r="F2951">
        <v>8.2402088541428897E-5</v>
      </c>
      <c r="G2951">
        <v>319</v>
      </c>
      <c r="H2951">
        <v>18944066</v>
      </c>
      <c r="I2951">
        <v>592</v>
      </c>
      <c r="J2951">
        <v>2</v>
      </c>
    </row>
    <row r="2952" spans="1:10" x14ac:dyDescent="0.25">
      <c r="A2952" t="s">
        <v>29</v>
      </c>
      <c r="B2952" s="1" t="str">
        <f>HYPERLINK("http://audible.co.jp","audible.co.jp")</f>
        <v>audible.co.jp</v>
      </c>
      <c r="C2952" t="s">
        <v>461</v>
      </c>
      <c r="D2952" t="s">
        <v>837</v>
      </c>
      <c r="E2952">
        <v>75789</v>
      </c>
      <c r="F2952">
        <v>4.9555945280994301E-7</v>
      </c>
      <c r="G2952">
        <v>77048</v>
      </c>
      <c r="H2952">
        <v>15438359</v>
      </c>
      <c r="I2952">
        <v>378646</v>
      </c>
      <c r="J2952">
        <v>4</v>
      </c>
    </row>
    <row r="2953" spans="1:10" x14ac:dyDescent="0.25">
      <c r="A2953" t="s">
        <v>29</v>
      </c>
      <c r="B2953" s="1" t="str">
        <f>HYPERLINK("http://amazon.co.kr","amazon.co.kr")</f>
        <v>amazon.co.kr</v>
      </c>
      <c r="C2953" t="s">
        <v>463</v>
      </c>
      <c r="D2953" t="s">
        <v>839</v>
      </c>
      <c r="E2953">
        <v>267107</v>
      </c>
      <c r="F2953">
        <v>5.0935262199489697E-7</v>
      </c>
      <c r="G2953">
        <v>75216</v>
      </c>
      <c r="H2953">
        <v>14442379</v>
      </c>
      <c r="I2953">
        <v>1060831</v>
      </c>
      <c r="J2953">
        <v>2</v>
      </c>
    </row>
    <row r="2954" spans="1:10" x14ac:dyDescent="0.25">
      <c r="A2954" t="s">
        <v>29</v>
      </c>
      <c r="B2954" s="1" t="str">
        <f>HYPERLINK("http://universityesports.ma","universityesports.ma")</f>
        <v>universityesports.ma</v>
      </c>
      <c r="C2954" t="s">
        <v>469</v>
      </c>
      <c r="D2954" t="s">
        <v>845</v>
      </c>
      <c r="F2954">
        <v>4.44380395335525E-9</v>
      </c>
      <c r="G2954">
        <v>85357200</v>
      </c>
      <c r="H2954">
        <v>0</v>
      </c>
      <c r="I2954">
        <v>86589821</v>
      </c>
      <c r="J2954">
        <v>5</v>
      </c>
    </row>
    <row r="2955" spans="1:10" x14ac:dyDescent="0.25">
      <c r="A2955" t="s">
        <v>29</v>
      </c>
      <c r="B2955" s="1" t="str">
        <f>HYPERLINK("http://imdb.me","imdb.me")</f>
        <v>imdb.me</v>
      </c>
      <c r="C2955" t="s">
        <v>470</v>
      </c>
      <c r="D2955" t="s">
        <v>846</v>
      </c>
      <c r="E2955">
        <v>80707</v>
      </c>
      <c r="F2955">
        <v>2.1779155646873E-6</v>
      </c>
      <c r="G2955">
        <v>16839</v>
      </c>
      <c r="H2955">
        <v>17780354</v>
      </c>
      <c r="I2955">
        <v>5874</v>
      </c>
      <c r="J2955">
        <v>5</v>
      </c>
    </row>
    <row r="2956" spans="1:10" x14ac:dyDescent="0.25">
      <c r="A2956" t="s">
        <v>29</v>
      </c>
      <c r="B2956" s="1" t="str">
        <f>HYPERLINK("http://amazon.mx","amazon.mx")</f>
        <v>amazon.mx</v>
      </c>
      <c r="C2956" t="s">
        <v>471</v>
      </c>
      <c r="D2956" t="s">
        <v>847</v>
      </c>
      <c r="E2956">
        <v>426046</v>
      </c>
      <c r="F2956">
        <v>1.61978289629256E-7</v>
      </c>
      <c r="G2956">
        <v>239635</v>
      </c>
      <c r="H2956">
        <v>14122346</v>
      </c>
      <c r="I2956">
        <v>2216712</v>
      </c>
      <c r="J2956">
        <v>3</v>
      </c>
    </row>
    <row r="2957" spans="1:10" x14ac:dyDescent="0.25">
      <c r="A2957" t="s">
        <v>29</v>
      </c>
      <c r="B2957" s="1" t="str">
        <f>HYPERLINK("http://amazon.com.mx","amazon.com.mx")</f>
        <v>amazon.com.mx</v>
      </c>
      <c r="C2957" t="s">
        <v>471</v>
      </c>
      <c r="D2957" t="s">
        <v>847</v>
      </c>
      <c r="E2957">
        <v>912</v>
      </c>
      <c r="F2957">
        <v>8.4469705872852408E-6</v>
      </c>
      <c r="G2957">
        <v>3998</v>
      </c>
      <c r="H2957">
        <v>17935946</v>
      </c>
      <c r="I2957">
        <v>4159</v>
      </c>
      <c r="J2957">
        <v>2</v>
      </c>
    </row>
    <row r="2958" spans="1:10" x14ac:dyDescent="0.25">
      <c r="A2958" t="s">
        <v>29</v>
      </c>
      <c r="B2958" s="1" t="str">
        <f>HYPERLINK("http://amazonservices.com.mx","amazonservices.com.mx")</f>
        <v>amazonservices.com.mx</v>
      </c>
      <c r="C2958" t="s">
        <v>471</v>
      </c>
      <c r="D2958" t="s">
        <v>847</v>
      </c>
      <c r="F2958">
        <v>2.6784258903142299E-8</v>
      </c>
      <c r="G2958">
        <v>1920675</v>
      </c>
      <c r="H2958">
        <v>11429479</v>
      </c>
      <c r="I2958">
        <v>30155238</v>
      </c>
      <c r="J2958">
        <v>5</v>
      </c>
    </row>
    <row r="2959" spans="1:10" x14ac:dyDescent="0.25">
      <c r="A2959" t="s">
        <v>29</v>
      </c>
      <c r="B2959" s="1" t="str">
        <f>HYPERLINK("http://live-video.net","live-video.net")</f>
        <v>live-video.net</v>
      </c>
      <c r="C2959" t="s">
        <v>474</v>
      </c>
      <c r="E2959">
        <v>4205</v>
      </c>
      <c r="F2959">
        <v>5.0387035236467297E-7</v>
      </c>
      <c r="G2959">
        <v>75929</v>
      </c>
      <c r="H2959">
        <v>14091804</v>
      </c>
      <c r="I2959">
        <v>2742216</v>
      </c>
      <c r="J2959">
        <v>5</v>
      </c>
    </row>
    <row r="2960" spans="1:10" x14ac:dyDescent="0.25">
      <c r="A2960" t="s">
        <v>29</v>
      </c>
      <c r="B2960" s="1" t="str">
        <f>HYPERLINK("http://universityesports.net","universityesports.net")</f>
        <v>universityesports.net</v>
      </c>
      <c r="C2960" t="s">
        <v>474</v>
      </c>
      <c r="F2960">
        <v>1.08691967721291E-8</v>
      </c>
      <c r="G2960">
        <v>5966164</v>
      </c>
      <c r="H2960">
        <v>10935829</v>
      </c>
      <c r="I2960">
        <v>34940764</v>
      </c>
      <c r="J2960">
        <v>3</v>
      </c>
    </row>
    <row r="2961" spans="1:10" x14ac:dyDescent="0.25">
      <c r="A2961" t="s">
        <v>29</v>
      </c>
      <c r="B2961" s="1" t="str">
        <f>HYPERLINK("http://zappos.net","zappos.net")</f>
        <v>zappos.net</v>
      </c>
      <c r="C2961" t="s">
        <v>474</v>
      </c>
      <c r="E2961">
        <v>636432</v>
      </c>
      <c r="F2961">
        <v>6.5082812056985406E-8</v>
      </c>
      <c r="G2961">
        <v>661868</v>
      </c>
      <c r="H2961">
        <v>12503923</v>
      </c>
      <c r="I2961">
        <v>17306650</v>
      </c>
      <c r="J2961">
        <v>4</v>
      </c>
    </row>
    <row r="2962" spans="1:10" x14ac:dyDescent="0.25">
      <c r="A2962" t="s">
        <v>29</v>
      </c>
      <c r="B2962" s="1" t="str">
        <f>HYPERLINK("http://amazon.nl","amazon.nl")</f>
        <v>amazon.nl</v>
      </c>
      <c r="C2962" t="s">
        <v>477</v>
      </c>
      <c r="D2962" t="s">
        <v>852</v>
      </c>
      <c r="E2962">
        <v>5940</v>
      </c>
      <c r="F2962">
        <v>7.28953864725523E-6</v>
      </c>
      <c r="G2962">
        <v>4625</v>
      </c>
      <c r="H2962">
        <v>16321281</v>
      </c>
      <c r="I2962">
        <v>365224</v>
      </c>
      <c r="J2962">
        <v>2</v>
      </c>
    </row>
    <row r="2963" spans="1:10" x14ac:dyDescent="0.25">
      <c r="A2963" t="s">
        <v>29</v>
      </c>
      <c r="B2963" s="1" t="str">
        <f>HYPERLINK("http://justbooks.nl","justbooks.nl")</f>
        <v>justbooks.nl</v>
      </c>
      <c r="C2963" t="s">
        <v>477</v>
      </c>
      <c r="D2963" t="s">
        <v>852</v>
      </c>
      <c r="F2963">
        <v>1.1206037833698899E-7</v>
      </c>
      <c r="G2963">
        <v>356512</v>
      </c>
      <c r="H2963">
        <v>12224428</v>
      </c>
      <c r="I2963">
        <v>22671613</v>
      </c>
      <c r="J2963">
        <v>9</v>
      </c>
    </row>
    <row r="2964" spans="1:10" x14ac:dyDescent="0.25">
      <c r="A2964" t="s">
        <v>29</v>
      </c>
      <c r="B2964" s="1" t="str">
        <f>HYPERLINK("http://amazon.om","amazon.om")</f>
        <v>amazon.om</v>
      </c>
      <c r="C2964" t="s">
        <v>480</v>
      </c>
      <c r="D2964" t="s">
        <v>855</v>
      </c>
      <c r="F2964">
        <v>5.5454034070398601E-9</v>
      </c>
      <c r="G2964">
        <v>20423808</v>
      </c>
      <c r="H2964">
        <v>12221305</v>
      </c>
      <c r="I2964">
        <v>22760988</v>
      </c>
      <c r="J2964">
        <v>6</v>
      </c>
    </row>
    <row r="2965" spans="1:10" x14ac:dyDescent="0.25">
      <c r="A2965" t="s">
        <v>29</v>
      </c>
      <c r="B2965" s="1" t="str">
        <f>HYPERLINK("http://eero.online","eero.online")</f>
        <v>eero.online</v>
      </c>
      <c r="C2965" t="s">
        <v>563</v>
      </c>
      <c r="F2965">
        <v>3.3337322525003401E-8</v>
      </c>
      <c r="G2965">
        <v>1550320</v>
      </c>
      <c r="H2965">
        <v>12128159</v>
      </c>
      <c r="I2965">
        <v>25192393</v>
      </c>
      <c r="J2965">
        <v>4</v>
      </c>
    </row>
    <row r="2966" spans="1:10" x14ac:dyDescent="0.25">
      <c r="A2966" t="s">
        <v>29</v>
      </c>
      <c r="B2966" s="1" t="str">
        <f>HYPERLINK("http://wegotta.org","wegotta.org")</f>
        <v>wegotta.org</v>
      </c>
      <c r="C2966" t="s">
        <v>481</v>
      </c>
      <c r="F2966">
        <v>4.8344741165463604E-9</v>
      </c>
      <c r="G2966">
        <v>34677495</v>
      </c>
      <c r="H2966">
        <v>2.5014048</v>
      </c>
      <c r="I2966">
        <v>77842190</v>
      </c>
      <c r="J2966">
        <v>3</v>
      </c>
    </row>
    <row r="2967" spans="1:10" x14ac:dyDescent="0.25">
      <c r="A2967" t="s">
        <v>29</v>
      </c>
      <c r="B2967" s="1" t="str">
        <f>HYPERLINK("http://aboutamazon.pl","aboutamazon.pl")</f>
        <v>aboutamazon.pl</v>
      </c>
      <c r="C2967" t="s">
        <v>486</v>
      </c>
      <c r="D2967" t="s">
        <v>860</v>
      </c>
      <c r="E2967">
        <v>223064</v>
      </c>
      <c r="F2967">
        <v>8.0274346590673601E-8</v>
      </c>
      <c r="G2967">
        <v>520333</v>
      </c>
      <c r="H2967">
        <v>13258192</v>
      </c>
      <c r="I2967">
        <v>11047963</v>
      </c>
      <c r="J2967">
        <v>6</v>
      </c>
    </row>
    <row r="2968" spans="1:10" x14ac:dyDescent="0.25">
      <c r="A2968" t="s">
        <v>29</v>
      </c>
      <c r="B2968" s="1" t="str">
        <f>HYPERLINK("http://amazon.pl","amazon.pl")</f>
        <v>amazon.pl</v>
      </c>
      <c r="C2968" t="s">
        <v>486</v>
      </c>
      <c r="D2968" t="s">
        <v>860</v>
      </c>
      <c r="E2968">
        <v>10618</v>
      </c>
      <c r="F2968">
        <v>4.17846091102215E-6</v>
      </c>
      <c r="G2968">
        <v>8643</v>
      </c>
      <c r="H2968">
        <v>15792174</v>
      </c>
      <c r="I2968">
        <v>368254</v>
      </c>
      <c r="J2968">
        <v>2</v>
      </c>
    </row>
    <row r="2969" spans="1:10" x14ac:dyDescent="0.25">
      <c r="A2969" t="s">
        <v>29</v>
      </c>
      <c r="B2969" s="1" t="str">
        <f>HYPERLINK("http://abelbooks.ru","abelbooks.ru")</f>
        <v>abelbooks.ru</v>
      </c>
      <c r="C2969" t="s">
        <v>493</v>
      </c>
      <c r="D2969" t="s">
        <v>867</v>
      </c>
      <c r="F2969">
        <v>5.4664524638994403E-9</v>
      </c>
      <c r="G2969">
        <v>21284953</v>
      </c>
      <c r="H2969">
        <v>12370635</v>
      </c>
      <c r="I2969">
        <v>19404473</v>
      </c>
      <c r="J2969">
        <v>4</v>
      </c>
    </row>
    <row r="2970" spans="1:10" x14ac:dyDescent="0.25">
      <c r="A2970" t="s">
        <v>29</v>
      </c>
      <c r="B2970" s="1" t="str">
        <f>HYPERLINK("http://amazon.sa","amazon.sa")</f>
        <v>amazon.sa</v>
      </c>
      <c r="C2970" t="s">
        <v>494</v>
      </c>
      <c r="D2970" t="s">
        <v>868</v>
      </c>
      <c r="E2970">
        <v>2911</v>
      </c>
      <c r="F2970">
        <v>4.6467411638613396E-6</v>
      </c>
      <c r="G2970">
        <v>7569</v>
      </c>
      <c r="H2970">
        <v>15638020</v>
      </c>
      <c r="I2970">
        <v>371070</v>
      </c>
      <c r="J2970">
        <v>2</v>
      </c>
    </row>
    <row r="2971" spans="1:10" x14ac:dyDescent="0.25">
      <c r="A2971" t="s">
        <v>29</v>
      </c>
      <c r="B2971" s="1" t="str">
        <f>HYPERLINK("http://amazon.science","amazon.science")</f>
        <v>amazon.science</v>
      </c>
      <c r="C2971" t="s">
        <v>684</v>
      </c>
      <c r="E2971">
        <v>9221</v>
      </c>
      <c r="F2971">
        <v>3.8734328176055303E-6</v>
      </c>
      <c r="G2971">
        <v>10617</v>
      </c>
      <c r="H2971">
        <v>17929468</v>
      </c>
      <c r="I2971">
        <v>4219</v>
      </c>
      <c r="J2971">
        <v>2</v>
      </c>
    </row>
    <row r="2972" spans="1:10" x14ac:dyDescent="0.25">
      <c r="A2972" t="s">
        <v>29</v>
      </c>
      <c r="B2972" s="1" t="str">
        <f>HYPERLINK("http://amazon.se","amazon.se")</f>
        <v>amazon.se</v>
      </c>
      <c r="C2972" t="s">
        <v>495</v>
      </c>
      <c r="D2972" t="s">
        <v>869</v>
      </c>
      <c r="E2972">
        <v>13524</v>
      </c>
      <c r="F2972">
        <v>4.7089700771892898E-6</v>
      </c>
      <c r="G2972">
        <v>7456</v>
      </c>
      <c r="H2972">
        <v>15518995</v>
      </c>
      <c r="I2972">
        <v>376174</v>
      </c>
      <c r="J2972">
        <v>2</v>
      </c>
    </row>
    <row r="2973" spans="1:10" x14ac:dyDescent="0.25">
      <c r="A2973" t="s">
        <v>29</v>
      </c>
      <c r="B2973" s="1" t="str">
        <f>HYPERLINK("http://aboutamazon.sg","aboutamazon.sg")</f>
        <v>aboutamazon.sg</v>
      </c>
      <c r="C2973" t="s">
        <v>496</v>
      </c>
      <c r="D2973" t="s">
        <v>870</v>
      </c>
      <c r="E2973">
        <v>521579</v>
      </c>
      <c r="F2973">
        <v>1.2069431930265199E-7</v>
      </c>
      <c r="G2973">
        <v>327352</v>
      </c>
      <c r="H2973">
        <v>13783387</v>
      </c>
      <c r="I2973">
        <v>6426542</v>
      </c>
      <c r="J2973">
        <v>6</v>
      </c>
    </row>
    <row r="2974" spans="1:10" x14ac:dyDescent="0.25">
      <c r="A2974" t="s">
        <v>29</v>
      </c>
      <c r="B2974" s="1" t="str">
        <f>HYPERLINK("http://amazon.sg","amazon.sg")</f>
        <v>amazon.sg</v>
      </c>
      <c r="C2974" t="s">
        <v>496</v>
      </c>
      <c r="D2974" t="s">
        <v>870</v>
      </c>
      <c r="E2974">
        <v>8271</v>
      </c>
      <c r="F2974">
        <v>5.3839367512128097E-6</v>
      </c>
      <c r="G2974">
        <v>6426</v>
      </c>
      <c r="H2974">
        <v>15810458</v>
      </c>
      <c r="I2974">
        <v>368027</v>
      </c>
      <c r="J2974">
        <v>2</v>
      </c>
    </row>
    <row r="2975" spans="1:10" x14ac:dyDescent="0.25">
      <c r="A2975" t="s">
        <v>29</v>
      </c>
      <c r="B2975" s="1" t="str">
        <f>HYPERLINK("http://amazon.com.sg","amazon.com.sg")</f>
        <v>amazon.com.sg</v>
      </c>
      <c r="C2975" t="s">
        <v>496</v>
      </c>
      <c r="D2975" t="s">
        <v>870</v>
      </c>
      <c r="E2975">
        <v>127152</v>
      </c>
      <c r="F2975">
        <v>7.65974182343586E-7</v>
      </c>
      <c r="G2975">
        <v>50998</v>
      </c>
      <c r="H2975">
        <v>14931066</v>
      </c>
      <c r="I2975">
        <v>447347</v>
      </c>
      <c r="J2975">
        <v>2</v>
      </c>
    </row>
    <row r="2976" spans="1:10" x14ac:dyDescent="0.25">
      <c r="A2976" t="s">
        <v>29</v>
      </c>
      <c r="B2976" s="1" t="str">
        <f>HYPERLINK("http://amazon.co.th","amazon.co.th")</f>
        <v>amazon.co.th</v>
      </c>
      <c r="C2976" t="s">
        <v>500</v>
      </c>
      <c r="D2976" t="s">
        <v>874</v>
      </c>
      <c r="E2976">
        <v>285939</v>
      </c>
      <c r="F2976">
        <v>4.2637315926829001E-7</v>
      </c>
      <c r="G2976">
        <v>88339</v>
      </c>
      <c r="H2976">
        <v>14069494</v>
      </c>
      <c r="I2976">
        <v>3719966</v>
      </c>
      <c r="J2976">
        <v>2</v>
      </c>
    </row>
    <row r="2977" spans="1:10" x14ac:dyDescent="0.25">
      <c r="A2977" t="s">
        <v>29</v>
      </c>
      <c r="B2977" s="1" t="str">
        <f>HYPERLINK("http://imdb.to","imdb.to")</f>
        <v>imdb.to</v>
      </c>
      <c r="C2977" t="s">
        <v>578</v>
      </c>
      <c r="D2977" t="s">
        <v>921</v>
      </c>
      <c r="E2977">
        <v>312399</v>
      </c>
      <c r="F2977">
        <v>2.9767493883152003E-7</v>
      </c>
      <c r="G2977">
        <v>124942</v>
      </c>
      <c r="H2977">
        <v>17234676</v>
      </c>
      <c r="I2977">
        <v>36198</v>
      </c>
      <c r="J2977">
        <v>5</v>
      </c>
    </row>
    <row r="2978" spans="1:10" x14ac:dyDescent="0.25">
      <c r="A2978" t="s">
        <v>29</v>
      </c>
      <c r="B2978" s="1" t="str">
        <f>HYPERLINK("http://amazon.com.tr","amazon.com.tr")</f>
        <v>amazon.com.tr</v>
      </c>
      <c r="C2978" t="s">
        <v>502</v>
      </c>
      <c r="D2978" t="s">
        <v>876</v>
      </c>
      <c r="E2978">
        <v>3356</v>
      </c>
      <c r="F2978">
        <v>4.45140082534865E-6</v>
      </c>
      <c r="G2978">
        <v>7932</v>
      </c>
      <c r="H2978">
        <v>15825824</v>
      </c>
      <c r="I2978">
        <v>367810</v>
      </c>
      <c r="J2978">
        <v>2</v>
      </c>
    </row>
    <row r="2979" spans="1:10" x14ac:dyDescent="0.25">
      <c r="A2979" t="s">
        <v>29</v>
      </c>
      <c r="B2979" s="1" t="str">
        <f>HYPERLINK("http://twitch.tv","twitch.tv")</f>
        <v>twitch.tv</v>
      </c>
      <c r="C2979" t="s">
        <v>535</v>
      </c>
      <c r="D2979" t="s">
        <v>897</v>
      </c>
      <c r="E2979">
        <v>155</v>
      </c>
      <c r="F2979">
        <v>8.2289690495737395E-5</v>
      </c>
      <c r="G2979">
        <v>321</v>
      </c>
      <c r="H2979">
        <v>19355798</v>
      </c>
      <c r="I2979">
        <v>244</v>
      </c>
      <c r="J2979">
        <v>3</v>
      </c>
    </row>
    <row r="2980" spans="1:10" x14ac:dyDescent="0.25">
      <c r="A2980" t="s">
        <v>29</v>
      </c>
      <c r="B2980" s="1" t="str">
        <f>HYPERLINK("http://amazon.com.tw","amazon.com.tw")</f>
        <v>amazon.com.tw</v>
      </c>
      <c r="C2980" t="s">
        <v>504</v>
      </c>
      <c r="D2980" t="s">
        <v>878</v>
      </c>
      <c r="E2980">
        <v>221347</v>
      </c>
      <c r="F2980">
        <v>4.4153755270178901E-7</v>
      </c>
      <c r="G2980">
        <v>85383</v>
      </c>
      <c r="H2980">
        <v>14284708</v>
      </c>
      <c r="I2980">
        <v>1373145</v>
      </c>
      <c r="J2980">
        <v>2</v>
      </c>
    </row>
    <row r="2981" spans="1:10" x14ac:dyDescent="0.25">
      <c r="A2981" t="s">
        <v>29</v>
      </c>
      <c r="B2981" s="1" t="str">
        <f>HYPERLINK("http://abebooks.co.uk","abebooks.co.uk")</f>
        <v>abebooks.co.uk</v>
      </c>
      <c r="C2981" t="s">
        <v>506</v>
      </c>
      <c r="D2981" t="s">
        <v>880</v>
      </c>
      <c r="E2981">
        <v>16156</v>
      </c>
      <c r="F2981">
        <v>8.4281582792714101E-7</v>
      </c>
      <c r="G2981">
        <v>47165</v>
      </c>
      <c r="H2981">
        <v>17461162</v>
      </c>
      <c r="I2981">
        <v>15541</v>
      </c>
      <c r="J2981">
        <v>4</v>
      </c>
    </row>
    <row r="2982" spans="1:10" x14ac:dyDescent="0.25">
      <c r="A2982" t="s">
        <v>29</v>
      </c>
      <c r="B2982" s="1" t="str">
        <f>HYPERLINK("http://aboutamazon.co.uk","aboutamazon.co.uk")</f>
        <v>aboutamazon.co.uk</v>
      </c>
      <c r="C2982" t="s">
        <v>506</v>
      </c>
      <c r="D2982" t="s">
        <v>880</v>
      </c>
      <c r="E2982">
        <v>43412</v>
      </c>
      <c r="F2982">
        <v>6.4850145185156297E-7</v>
      </c>
      <c r="G2982">
        <v>59333</v>
      </c>
      <c r="H2982">
        <v>15001416</v>
      </c>
      <c r="I2982">
        <v>425487</v>
      </c>
      <c r="J2982">
        <v>5</v>
      </c>
    </row>
    <row r="2983" spans="1:10" x14ac:dyDescent="0.25">
      <c r="A2983" t="s">
        <v>29</v>
      </c>
      <c r="B2983" s="1" t="str">
        <f>HYPERLINK("http://amazon.co.uk","amazon.co.uk")</f>
        <v>amazon.co.uk</v>
      </c>
      <c r="C2983" t="s">
        <v>506</v>
      </c>
      <c r="D2983" t="s">
        <v>880</v>
      </c>
      <c r="E2983">
        <v>159</v>
      </c>
      <c r="F2983">
        <v>8.0147814099060602E-5</v>
      </c>
      <c r="G2983">
        <v>331</v>
      </c>
      <c r="H2983">
        <v>19581664</v>
      </c>
      <c r="I2983">
        <v>145</v>
      </c>
      <c r="J2983">
        <v>2</v>
      </c>
    </row>
    <row r="2984" spans="1:10" x14ac:dyDescent="0.25">
      <c r="A2984" t="s">
        <v>29</v>
      </c>
      <c r="B2984" s="1" t="str">
        <f>HYPERLINK("http://amazon-operations.co.uk","amazon-operations.co.uk")</f>
        <v>amazon-operations.co.uk</v>
      </c>
      <c r="C2984" t="s">
        <v>506</v>
      </c>
      <c r="D2984" t="s">
        <v>880</v>
      </c>
      <c r="F2984">
        <v>9.3807380981580398E-9</v>
      </c>
      <c r="G2984">
        <v>7470001</v>
      </c>
      <c r="H2984">
        <v>14259277</v>
      </c>
      <c r="I2984">
        <v>1422445</v>
      </c>
      <c r="J2984">
        <v>6</v>
      </c>
    </row>
    <row r="2985" spans="1:10" x14ac:dyDescent="0.25">
      <c r="A2985" t="s">
        <v>29</v>
      </c>
      <c r="B2985" s="1" t="str">
        <f>HYPERLINK("http://amazonservices.co.uk","amazonservices.co.uk")</f>
        <v>amazonservices.co.uk</v>
      </c>
      <c r="C2985" t="s">
        <v>506</v>
      </c>
      <c r="D2985" t="s">
        <v>880</v>
      </c>
      <c r="F2985">
        <v>1.30365397483625E-7</v>
      </c>
      <c r="G2985">
        <v>300201</v>
      </c>
      <c r="H2985">
        <v>13779446</v>
      </c>
      <c r="I2985">
        <v>6487179</v>
      </c>
      <c r="J2985">
        <v>5</v>
      </c>
    </row>
    <row r="2986" spans="1:10" x14ac:dyDescent="0.25">
      <c r="A2986" t="s">
        <v>29</v>
      </c>
      <c r="B2986" s="1" t="str">
        <f>HYPERLINK("http://audible.co.uk","audible.co.uk")</f>
        <v>audible.co.uk</v>
      </c>
      <c r="C2986" t="s">
        <v>506</v>
      </c>
      <c r="D2986" t="s">
        <v>880</v>
      </c>
      <c r="E2986">
        <v>13965</v>
      </c>
      <c r="F2986">
        <v>2.6530664925773602E-6</v>
      </c>
      <c r="G2986">
        <v>14318</v>
      </c>
      <c r="H2986">
        <v>17506678</v>
      </c>
      <c r="I2986">
        <v>13399</v>
      </c>
      <c r="J2986">
        <v>4</v>
      </c>
    </row>
    <row r="2987" spans="1:10" x14ac:dyDescent="0.25">
      <c r="A2987" t="s">
        <v>29</v>
      </c>
      <c r="B2987" s="1" t="str">
        <f>HYPERLINK("http://bookdepository.co.uk","bookdepository.co.uk")</f>
        <v>bookdepository.co.uk</v>
      </c>
      <c r="C2987" t="s">
        <v>506</v>
      </c>
      <c r="D2987" t="s">
        <v>880</v>
      </c>
      <c r="E2987">
        <v>78468</v>
      </c>
      <c r="F2987">
        <v>4.4437249598396E-7</v>
      </c>
      <c r="G2987">
        <v>84899</v>
      </c>
      <c r="H2987">
        <v>17221428</v>
      </c>
      <c r="I2987">
        <v>38214</v>
      </c>
      <c r="J2987">
        <v>6</v>
      </c>
    </row>
    <row r="2988" spans="1:10" x14ac:dyDescent="0.25">
      <c r="A2988" t="s">
        <v>29</v>
      </c>
      <c r="B2988" s="1" t="str">
        <f>HYPERLINK("http://comixology.co.uk","comixology.co.uk")</f>
        <v>comixology.co.uk</v>
      </c>
      <c r="C2988" t="s">
        <v>506</v>
      </c>
      <c r="D2988" t="s">
        <v>880</v>
      </c>
      <c r="F2988">
        <v>7.2799771985342502E-8</v>
      </c>
      <c r="G2988">
        <v>579418</v>
      </c>
      <c r="H2988">
        <v>14946057</v>
      </c>
      <c r="I2988">
        <v>441806</v>
      </c>
      <c r="J2988">
        <v>4</v>
      </c>
    </row>
    <row r="2989" spans="1:10" x14ac:dyDescent="0.25">
      <c r="A2989" t="s">
        <v>29</v>
      </c>
      <c r="B2989" s="1" t="str">
        <f>HYPERLINK("http://justbooks.co.uk","justbooks.co.uk")</f>
        <v>justbooks.co.uk</v>
      </c>
      <c r="C2989" t="s">
        <v>506</v>
      </c>
      <c r="D2989" t="s">
        <v>880</v>
      </c>
      <c r="F2989">
        <v>1.2626430671629301E-7</v>
      </c>
      <c r="G2989">
        <v>312374</v>
      </c>
      <c r="H2989">
        <v>14376328</v>
      </c>
      <c r="I2989">
        <v>1217929</v>
      </c>
      <c r="J2989">
        <v>9</v>
      </c>
    </row>
    <row r="2990" spans="1:10" x14ac:dyDescent="0.25">
      <c r="A2990" t="s">
        <v>29</v>
      </c>
      <c r="B2990" s="1" t="str">
        <f>HYPERLINK("http://wholefoodsmarket.co.uk","wholefoodsmarket.co.uk")</f>
        <v>wholefoodsmarket.co.uk</v>
      </c>
      <c r="C2990" t="s">
        <v>506</v>
      </c>
      <c r="D2990" t="s">
        <v>880</v>
      </c>
      <c r="E2990">
        <v>35437</v>
      </c>
      <c r="F2990">
        <v>2.5112617700101501E-7</v>
      </c>
      <c r="G2990">
        <v>148951</v>
      </c>
      <c r="H2990">
        <v>14216855</v>
      </c>
      <c r="I2990">
        <v>1691368</v>
      </c>
      <c r="J2990">
        <v>4</v>
      </c>
    </row>
    <row r="2991" spans="1:10" x14ac:dyDescent="0.25">
      <c r="A2991" t="s">
        <v>29</v>
      </c>
      <c r="B2991" s="1" t="str">
        <f>HYPERLINK("http://amazon.vn","amazon.vn")</f>
        <v>amazon.vn</v>
      </c>
      <c r="C2991" t="s">
        <v>509</v>
      </c>
      <c r="D2991" t="s">
        <v>883</v>
      </c>
      <c r="E2991">
        <v>225238</v>
      </c>
      <c r="F2991">
        <v>4.7379561807928298E-7</v>
      </c>
      <c r="G2991">
        <v>80150</v>
      </c>
      <c r="H2991">
        <v>13856259</v>
      </c>
      <c r="I2991">
        <v>6044434</v>
      </c>
      <c r="J2991">
        <v>2</v>
      </c>
    </row>
    <row r="2992" spans="1:10" x14ac:dyDescent="0.25">
      <c r="A2992" t="s">
        <v>29</v>
      </c>
      <c r="B2992" s="1" t="str">
        <f>HYPERLINK("http://amazon.work","amazon.work")</f>
        <v>amazon.work</v>
      </c>
      <c r="C2992" t="s">
        <v>608</v>
      </c>
      <c r="E2992">
        <v>13294</v>
      </c>
      <c r="F2992">
        <v>9.7857273101558799E-8</v>
      </c>
      <c r="G2992">
        <v>412410</v>
      </c>
      <c r="H2992">
        <v>14243781</v>
      </c>
      <c r="I2992">
        <v>1475364</v>
      </c>
      <c r="J2992">
        <v>2</v>
      </c>
    </row>
    <row r="2993" spans="1:10" x14ac:dyDescent="0.25">
      <c r="A2993" t="s">
        <v>30</v>
      </c>
      <c r="B2993" s="1" t="str">
        <f>HYPERLINK("http://claro.com.ar","claro.com.ar")</f>
        <v>claro.com.ar</v>
      </c>
      <c r="C2993" t="s">
        <v>418</v>
      </c>
      <c r="D2993" t="s">
        <v>800</v>
      </c>
      <c r="E2993">
        <v>22308</v>
      </c>
      <c r="F2993">
        <v>1.3753184379497301E-7</v>
      </c>
      <c r="G2993">
        <v>283355</v>
      </c>
      <c r="H2993">
        <v>14874069</v>
      </c>
      <c r="I2993">
        <v>476310</v>
      </c>
      <c r="J2993">
        <v>4</v>
      </c>
    </row>
    <row r="2994" spans="1:10" x14ac:dyDescent="0.25">
      <c r="A2994" t="s">
        <v>30</v>
      </c>
      <c r="B2994" s="1" t="str">
        <f>HYPERLINK("http://clarotv.com.ar","clarotv.com.ar")</f>
        <v>clarotv.com.ar</v>
      </c>
      <c r="C2994" t="s">
        <v>418</v>
      </c>
      <c r="D2994" t="s">
        <v>800</v>
      </c>
      <c r="J2994">
        <v>6</v>
      </c>
    </row>
    <row r="2995" spans="1:10" x14ac:dyDescent="0.25">
      <c r="A2995" t="s">
        <v>30</v>
      </c>
      <c r="B2995" s="1" t="str">
        <f>HYPERLINK("http://a1.at","a1.at")</f>
        <v>a1.at</v>
      </c>
      <c r="C2995" t="s">
        <v>419</v>
      </c>
      <c r="D2995" t="s">
        <v>801</v>
      </c>
      <c r="F2995">
        <v>1.5915223583966999E-8</v>
      </c>
      <c r="G2995">
        <v>3568669</v>
      </c>
      <c r="H2995">
        <v>12760019</v>
      </c>
      <c r="I2995">
        <v>14952658</v>
      </c>
      <c r="J2995">
        <v>4</v>
      </c>
    </row>
    <row r="2996" spans="1:10" x14ac:dyDescent="0.25">
      <c r="A2996" t="s">
        <v>30</v>
      </c>
      <c r="B2996" s="1" t="str">
        <f>HYPERLINK("http://camping-wienerwald.at","camping-wienerwald.at")</f>
        <v>camping-wienerwald.at</v>
      </c>
      <c r="C2996" t="s">
        <v>419</v>
      </c>
      <c r="D2996" t="s">
        <v>801</v>
      </c>
      <c r="F2996">
        <v>6.4920984057410299E-9</v>
      </c>
      <c r="G2996">
        <v>14111099</v>
      </c>
      <c r="H2996">
        <v>12266077</v>
      </c>
      <c r="I2996">
        <v>21616769</v>
      </c>
      <c r="J2996">
        <v>6</v>
      </c>
    </row>
    <row r="2997" spans="1:10" x14ac:dyDescent="0.25">
      <c r="A2997" t="s">
        <v>30</v>
      </c>
      <c r="B2997" s="1" t="str">
        <f>HYPERLINK("http://gasthauskrapf.at","gasthauskrapf.at")</f>
        <v>gasthauskrapf.at</v>
      </c>
      <c r="C2997" t="s">
        <v>419</v>
      </c>
      <c r="D2997" t="s">
        <v>801</v>
      </c>
      <c r="F2997">
        <v>4.6566079143137201E-9</v>
      </c>
      <c r="G2997">
        <v>43710792</v>
      </c>
      <c r="H2997">
        <v>12223215</v>
      </c>
      <c r="I2997">
        <v>22700253</v>
      </c>
      <c r="J2997">
        <v>6</v>
      </c>
    </row>
    <row r="2998" spans="1:10" x14ac:dyDescent="0.25">
      <c r="A2998" t="s">
        <v>30</v>
      </c>
      <c r="B2998" s="1" t="str">
        <f>HYPERLINK("http://gasthof-grubmller.at","gasthof-grubmller.at")</f>
        <v>gasthof-grubmller.at</v>
      </c>
      <c r="C2998" t="s">
        <v>419</v>
      </c>
      <c r="D2998" t="s">
        <v>801</v>
      </c>
      <c r="J2998">
        <v>6</v>
      </c>
    </row>
    <row r="2999" spans="1:10" x14ac:dyDescent="0.25">
      <c r="A2999" t="s">
        <v>30</v>
      </c>
      <c r="B2999" s="1" t="str">
        <f>HYPERLINK("http://koni-oberhauser.at","koni-oberhauser.at")</f>
        <v>koni-oberhauser.at</v>
      </c>
      <c r="C2999" t="s">
        <v>419</v>
      </c>
      <c r="D2999" t="s">
        <v>801</v>
      </c>
      <c r="F2999">
        <v>7.6212748155463294E-9</v>
      </c>
      <c r="G2999">
        <v>10747620</v>
      </c>
      <c r="H2999">
        <v>10582119</v>
      </c>
      <c r="I2999">
        <v>45772491</v>
      </c>
      <c r="J2999">
        <v>6</v>
      </c>
    </row>
    <row r="3000" spans="1:10" x14ac:dyDescent="0.25">
      <c r="A3000" t="s">
        <v>30</v>
      </c>
      <c r="B3000" s="1" t="str">
        <f>HYPERLINK("http://reifen-wenzler.at","reifen-wenzler.at")</f>
        <v>reifen-wenzler.at</v>
      </c>
      <c r="C3000" t="s">
        <v>419</v>
      </c>
      <c r="D3000" t="s">
        <v>801</v>
      </c>
      <c r="F3000">
        <v>4.44380395335525E-9</v>
      </c>
      <c r="G3000">
        <v>86606232</v>
      </c>
      <c r="H3000">
        <v>0</v>
      </c>
      <c r="I3000">
        <v>79990894</v>
      </c>
      <c r="J3000">
        <v>6</v>
      </c>
    </row>
    <row r="3001" spans="1:10" x14ac:dyDescent="0.25">
      <c r="A3001" t="s">
        <v>30</v>
      </c>
      <c r="B3001" s="1" t="str">
        <f>HYPERLINK("http://a1.bg","a1.bg")</f>
        <v>a1.bg</v>
      </c>
      <c r="C3001" t="s">
        <v>422</v>
      </c>
      <c r="D3001" t="s">
        <v>804</v>
      </c>
      <c r="E3001">
        <v>75172</v>
      </c>
      <c r="F3001">
        <v>2.7226522076540598E-7</v>
      </c>
      <c r="G3001">
        <v>136679</v>
      </c>
      <c r="H3001">
        <v>14592816</v>
      </c>
      <c r="I3001">
        <v>693119</v>
      </c>
      <c r="J3001">
        <v>4</v>
      </c>
    </row>
    <row r="3002" spans="1:10" x14ac:dyDescent="0.25">
      <c r="A3002" t="s">
        <v>30</v>
      </c>
      <c r="B3002" s="1" t="str">
        <f>HYPERLINK("http://mtel.bg","mtel.bg")</f>
        <v>mtel.bg</v>
      </c>
      <c r="C3002" t="s">
        <v>422</v>
      </c>
      <c r="D3002" t="s">
        <v>804</v>
      </c>
      <c r="E3002">
        <v>391038</v>
      </c>
      <c r="F3002">
        <v>1.58018891547663E-7</v>
      </c>
      <c r="G3002">
        <v>245699</v>
      </c>
      <c r="H3002">
        <v>14570530</v>
      </c>
      <c r="I3002">
        <v>735242</v>
      </c>
      <c r="J3002">
        <v>6</v>
      </c>
    </row>
    <row r="3003" spans="1:10" x14ac:dyDescent="0.25">
      <c r="A3003" t="s">
        <v>30</v>
      </c>
      <c r="B3003" s="1" t="str">
        <f>HYPERLINK("http://claro.com.br","claro.com.br")</f>
        <v>claro.com.br</v>
      </c>
      <c r="C3003" t="s">
        <v>425</v>
      </c>
      <c r="D3003" t="s">
        <v>806</v>
      </c>
      <c r="E3003">
        <v>14815</v>
      </c>
      <c r="F3003">
        <v>7.9540010429883004E-7</v>
      </c>
      <c r="G3003">
        <v>49460</v>
      </c>
      <c r="H3003">
        <v>17409240</v>
      </c>
      <c r="I3003">
        <v>18563</v>
      </c>
      <c r="J3003">
        <v>4</v>
      </c>
    </row>
    <row r="3004" spans="1:10" x14ac:dyDescent="0.25">
      <c r="A3004" t="s">
        <v>30</v>
      </c>
      <c r="B3004" s="1" t="str">
        <f>HYPERLINK("http://embratel.com.br","embratel.com.br")</f>
        <v>embratel.com.br</v>
      </c>
      <c r="C3004" t="s">
        <v>425</v>
      </c>
      <c r="D3004" t="s">
        <v>806</v>
      </c>
      <c r="E3004">
        <v>195275</v>
      </c>
      <c r="F3004">
        <v>1.3351022289786299E-7</v>
      </c>
      <c r="G3004">
        <v>292536</v>
      </c>
      <c r="H3004">
        <v>14849156</v>
      </c>
      <c r="I3004">
        <v>491632</v>
      </c>
      <c r="J3004">
        <v>4</v>
      </c>
    </row>
    <row r="3005" spans="1:10" x14ac:dyDescent="0.25">
      <c r="A3005" t="s">
        <v>30</v>
      </c>
      <c r="B3005" s="1" t="str">
        <f>HYPERLINK("http://starone.com.br","starone.com.br")</f>
        <v>starone.com.br</v>
      </c>
      <c r="C3005" t="s">
        <v>425</v>
      </c>
      <c r="D3005" t="s">
        <v>806</v>
      </c>
      <c r="F3005">
        <v>1.0354231110542E-8</v>
      </c>
      <c r="G3005">
        <v>6400827</v>
      </c>
      <c r="H3005">
        <v>14278291</v>
      </c>
      <c r="I3005">
        <v>1385793</v>
      </c>
      <c r="J3005">
        <v>5</v>
      </c>
    </row>
    <row r="3006" spans="1:10" x14ac:dyDescent="0.25">
      <c r="A3006" t="s">
        <v>30</v>
      </c>
      <c r="B3006" s="1" t="str">
        <f>HYPERLINK("http://embratel.net.br","embratel.net.br")</f>
        <v>embratel.net.br</v>
      </c>
      <c r="C3006" t="s">
        <v>425</v>
      </c>
      <c r="D3006" t="s">
        <v>806</v>
      </c>
      <c r="E3006">
        <v>22767</v>
      </c>
      <c r="F3006">
        <v>2.4161178773518998E-8</v>
      </c>
      <c r="G3006">
        <v>2147327</v>
      </c>
      <c r="H3006">
        <v>13805646</v>
      </c>
      <c r="I3006">
        <v>6236174</v>
      </c>
      <c r="J3006">
        <v>5</v>
      </c>
    </row>
    <row r="3007" spans="1:10" x14ac:dyDescent="0.25">
      <c r="A3007" t="s">
        <v>30</v>
      </c>
      <c r="B3007" s="1" t="str">
        <f>HYPERLINK("http://a1.by","a1.by")</f>
        <v>a1.by</v>
      </c>
      <c r="C3007" t="s">
        <v>427</v>
      </c>
      <c r="D3007" t="s">
        <v>808</v>
      </c>
      <c r="E3007">
        <v>14174</v>
      </c>
      <c r="F3007">
        <v>3.10010291621591E-7</v>
      </c>
      <c r="G3007">
        <v>119970</v>
      </c>
      <c r="H3007">
        <v>14761256</v>
      </c>
      <c r="I3007">
        <v>560292</v>
      </c>
      <c r="J3007">
        <v>4</v>
      </c>
    </row>
    <row r="3008" spans="1:10" x14ac:dyDescent="0.25">
      <c r="A3008" t="s">
        <v>30</v>
      </c>
      <c r="B3008" s="1" t="str">
        <f>HYPERLINK("http://clarochile.cl","clarochile.cl")</f>
        <v>clarochile.cl</v>
      </c>
      <c r="C3008" t="s">
        <v>430</v>
      </c>
      <c r="D3008" t="s">
        <v>811</v>
      </c>
      <c r="E3008">
        <v>113613</v>
      </c>
      <c r="F3008">
        <v>1.2193474584926799E-7</v>
      </c>
      <c r="G3008">
        <v>323802</v>
      </c>
      <c r="H3008">
        <v>14588430</v>
      </c>
      <c r="I3008">
        <v>697976</v>
      </c>
      <c r="J3008">
        <v>4</v>
      </c>
    </row>
    <row r="3009" spans="1:10" x14ac:dyDescent="0.25">
      <c r="A3009" t="s">
        <v>30</v>
      </c>
      <c r="B3009" s="1" t="str">
        <f>HYPERLINK("http://clarocloud.cl","clarocloud.cl")</f>
        <v>clarocloud.cl</v>
      </c>
      <c r="C3009" t="s">
        <v>430</v>
      </c>
      <c r="D3009" t="s">
        <v>811</v>
      </c>
      <c r="E3009">
        <v>976561</v>
      </c>
      <c r="F3009">
        <v>6.9125920380074001E-9</v>
      </c>
      <c r="G3009">
        <v>12581684</v>
      </c>
      <c r="H3009">
        <v>12848672</v>
      </c>
      <c r="I3009">
        <v>14298068</v>
      </c>
      <c r="J3009">
        <v>7</v>
      </c>
    </row>
    <row r="3010" spans="1:10" x14ac:dyDescent="0.25">
      <c r="A3010" t="s">
        <v>30</v>
      </c>
      <c r="B3010" s="1" t="str">
        <f>HYPERLINK("http://claro.com.co","claro.com.co")</f>
        <v>claro.com.co</v>
      </c>
      <c r="C3010" t="s">
        <v>432</v>
      </c>
      <c r="E3010">
        <v>33102</v>
      </c>
      <c r="F3010">
        <v>3.9721093575282499E-7</v>
      </c>
      <c r="G3010">
        <v>94490</v>
      </c>
      <c r="H3010">
        <v>17091632</v>
      </c>
      <c r="I3010">
        <v>65563</v>
      </c>
      <c r="J3010">
        <v>4</v>
      </c>
    </row>
    <row r="3011" spans="1:10" x14ac:dyDescent="0.25">
      <c r="A3011" t="s">
        <v>30</v>
      </c>
      <c r="B3011" s="1" t="str">
        <f>HYPERLINK("http://contratarclaro.com.co","contratarclaro.com.co")</f>
        <v>contratarclaro.com.co</v>
      </c>
      <c r="C3011" t="s">
        <v>432</v>
      </c>
      <c r="F3011">
        <v>4.91216346764146E-9</v>
      </c>
      <c r="G3011">
        <v>32116090</v>
      </c>
      <c r="H3011">
        <v>10344022</v>
      </c>
      <c r="I3011">
        <v>57394222</v>
      </c>
      <c r="J3011">
        <v>5</v>
      </c>
    </row>
    <row r="3012" spans="1:10" x14ac:dyDescent="0.25">
      <c r="A3012" t="s">
        <v>30</v>
      </c>
      <c r="B3012" s="1" t="str">
        <f>HYPERLINK("http://ligadecampeonesclaro.com.co","ligadecampeonesclaro.com.co")</f>
        <v>ligadecampeonesclaro.com.co</v>
      </c>
      <c r="C3012" t="s">
        <v>432</v>
      </c>
      <c r="J3012">
        <v>6</v>
      </c>
    </row>
    <row r="3013" spans="1:10" x14ac:dyDescent="0.25">
      <c r="A3013" t="s">
        <v>30</v>
      </c>
      <c r="B3013" s="1" t="str">
        <f>HYPERLINK("http://a-movil.com","a-movil.com")</f>
        <v>a-movil.com</v>
      </c>
      <c r="C3013" t="s">
        <v>433</v>
      </c>
      <c r="F3013">
        <v>4.7244723890187898E-8</v>
      </c>
      <c r="G3013">
        <v>986860</v>
      </c>
      <c r="H3013">
        <v>16768070</v>
      </c>
      <c r="I3013">
        <v>223960</v>
      </c>
      <c r="J3013">
        <v>5</v>
      </c>
    </row>
    <row r="3014" spans="1:10" x14ac:dyDescent="0.25">
      <c r="A3014" t="s">
        <v>30</v>
      </c>
      <c r="B3014" s="1" t="str">
        <f>HYPERLINK("http://a1.com","a1.com")</f>
        <v>a1.com</v>
      </c>
      <c r="C3014" t="s">
        <v>433</v>
      </c>
      <c r="E3014">
        <v>887665</v>
      </c>
      <c r="F3014">
        <v>5.8182969181350097E-8</v>
      </c>
      <c r="G3014">
        <v>764513</v>
      </c>
      <c r="H3014">
        <v>14477431</v>
      </c>
      <c r="I3014">
        <v>1030455</v>
      </c>
      <c r="J3014">
        <v>4</v>
      </c>
    </row>
    <row r="3015" spans="1:10" x14ac:dyDescent="0.25">
      <c r="A3015" t="s">
        <v>30</v>
      </c>
      <c r="B3015" s="1" t="str">
        <f>HYPERLINK("http://americamovil.com","americamovil.com")</f>
        <v>americamovil.com</v>
      </c>
      <c r="C3015" t="s">
        <v>433</v>
      </c>
      <c r="E3015">
        <v>357359</v>
      </c>
      <c r="F3015">
        <v>2.3495314492753699E-7</v>
      </c>
      <c r="G3015">
        <v>159528</v>
      </c>
      <c r="H3015">
        <v>15160396</v>
      </c>
      <c r="I3015">
        <v>399116</v>
      </c>
      <c r="J3015">
        <v>1</v>
      </c>
    </row>
    <row r="3016" spans="1:10" x14ac:dyDescent="0.25">
      <c r="A3016" t="s">
        <v>30</v>
      </c>
      <c r="B3016" s="1" t="str">
        <f>HYPERLINK("http://centromedicolzc.com","centromedicolzc.com")</f>
        <v>centromedicolzc.com</v>
      </c>
      <c r="C3016" t="s">
        <v>433</v>
      </c>
      <c r="F3016">
        <v>4.44380395335525E-9</v>
      </c>
      <c r="G3016">
        <v>81072495</v>
      </c>
      <c r="H3016">
        <v>0</v>
      </c>
      <c r="I3016">
        <v>81371991</v>
      </c>
      <c r="J3016">
        <v>6</v>
      </c>
    </row>
    <row r="3017" spans="1:10" x14ac:dyDescent="0.25">
      <c r="A3017" t="s">
        <v>30</v>
      </c>
      <c r="B3017" s="1" t="str">
        <f>HYPERLINK("http://claro.com","claro.com")</f>
        <v>claro.com</v>
      </c>
      <c r="C3017" t="s">
        <v>433</v>
      </c>
      <c r="E3017">
        <v>683349</v>
      </c>
      <c r="F3017">
        <v>6.6480054766295905E-8</v>
      </c>
      <c r="G3017">
        <v>644475</v>
      </c>
      <c r="H3017">
        <v>14392603</v>
      </c>
      <c r="I3017">
        <v>1164706</v>
      </c>
      <c r="J3017">
        <v>4</v>
      </c>
    </row>
    <row r="3018" spans="1:10" x14ac:dyDescent="0.25">
      <c r="A3018" t="s">
        <v>30</v>
      </c>
      <c r="B3018" s="1" t="str">
        <f>HYPERLINK("http://claropr.com","claropr.com")</f>
        <v>claropr.com</v>
      </c>
      <c r="C3018" t="s">
        <v>433</v>
      </c>
      <c r="E3018">
        <v>430810</v>
      </c>
      <c r="F3018">
        <v>1.8287111404762399E-7</v>
      </c>
      <c r="G3018">
        <v>210864</v>
      </c>
      <c r="H3018">
        <v>17021900</v>
      </c>
      <c r="I3018">
        <v>89129</v>
      </c>
      <c r="J3018">
        <v>4</v>
      </c>
    </row>
    <row r="3019" spans="1:10" x14ac:dyDescent="0.25">
      <c r="A3019" t="s">
        <v>30</v>
      </c>
      <c r="B3019" s="1" t="str">
        <f>HYPERLINK("http://ctbr-mex.com","ctbr-mex.com")</f>
        <v>ctbr-mex.com</v>
      </c>
      <c r="C3019" t="s">
        <v>433</v>
      </c>
      <c r="J3019">
        <v>4</v>
      </c>
    </row>
    <row r="3020" spans="1:10" x14ac:dyDescent="0.25">
      <c r="A3020" t="s">
        <v>30</v>
      </c>
      <c r="B3020" s="1" t="str">
        <f>HYPERLINK("http://holatelcel.com","holatelcel.com")</f>
        <v>holatelcel.com</v>
      </c>
      <c r="C3020" t="s">
        <v>433</v>
      </c>
      <c r="E3020">
        <v>233278</v>
      </c>
      <c r="F3020">
        <v>4.5668454398854601E-8</v>
      </c>
      <c r="G3020">
        <v>1029732</v>
      </c>
      <c r="H3020">
        <v>14962262</v>
      </c>
      <c r="I3020">
        <v>436559</v>
      </c>
      <c r="J3020">
        <v>4</v>
      </c>
    </row>
    <row r="3021" spans="1:10" x14ac:dyDescent="0.25">
      <c r="A3021" t="s">
        <v>30</v>
      </c>
      <c r="B3021" s="1" t="str">
        <f>HYPERLINK("http://seccionamarilla.com","seccionamarilla.com")</f>
        <v>seccionamarilla.com</v>
      </c>
      <c r="C3021" t="s">
        <v>433</v>
      </c>
      <c r="E3021">
        <v>929799</v>
      </c>
      <c r="F3021">
        <v>2.3283470268708099E-6</v>
      </c>
      <c r="G3021">
        <v>15896</v>
      </c>
      <c r="H3021">
        <v>14078009</v>
      </c>
      <c r="I3021">
        <v>2854305</v>
      </c>
      <c r="J3021">
        <v>6</v>
      </c>
    </row>
    <row r="3022" spans="1:10" x14ac:dyDescent="0.25">
      <c r="A3022" t="s">
        <v>30</v>
      </c>
      <c r="B3022" s="1" t="str">
        <f>HYPERLINK("http://telcel.com","telcel.com")</f>
        <v>telcel.com</v>
      </c>
      <c r="C3022" t="s">
        <v>433</v>
      </c>
      <c r="E3022">
        <v>27876</v>
      </c>
      <c r="F3022">
        <v>3.7569421017866299E-7</v>
      </c>
      <c r="G3022">
        <v>99706</v>
      </c>
      <c r="H3022">
        <v>17220368</v>
      </c>
      <c r="I3022">
        <v>38382</v>
      </c>
      <c r="J3022">
        <v>3</v>
      </c>
    </row>
    <row r="3023" spans="1:10" x14ac:dyDescent="0.25">
      <c r="A3023" t="s">
        <v>30</v>
      </c>
      <c r="B3023" s="1" t="str">
        <f>HYPERLINK("http://telcelinstitucional.com","telcelinstitucional.com")</f>
        <v>telcelinstitucional.com</v>
      </c>
      <c r="C3023" t="s">
        <v>433</v>
      </c>
      <c r="E3023">
        <v>398637</v>
      </c>
      <c r="F3023">
        <v>4.4687493249586998E-9</v>
      </c>
      <c r="G3023">
        <v>64883591</v>
      </c>
      <c r="H3023">
        <v>12307813</v>
      </c>
      <c r="I3023">
        <v>20680909</v>
      </c>
      <c r="J3023">
        <v>3</v>
      </c>
    </row>
    <row r="3024" spans="1:10" x14ac:dyDescent="0.25">
      <c r="A3024" t="s">
        <v>30</v>
      </c>
      <c r="B3024" s="1" t="str">
        <f>HYPERLINK("http://telekomaustria.com","telekomaustria.com")</f>
        <v>telekomaustria.com</v>
      </c>
      <c r="C3024" t="s">
        <v>433</v>
      </c>
      <c r="E3024">
        <v>925375</v>
      </c>
      <c r="F3024">
        <v>9.0184663548862002E-8</v>
      </c>
      <c r="G3024">
        <v>452415</v>
      </c>
      <c r="H3024">
        <v>14889626</v>
      </c>
      <c r="I3024">
        <v>467655</v>
      </c>
      <c r="J3024">
        <v>7</v>
      </c>
    </row>
    <row r="3025" spans="1:10" x14ac:dyDescent="0.25">
      <c r="A3025" t="s">
        <v>30</v>
      </c>
      <c r="B3025" s="1" t="str">
        <f>HYPERLINK("http://telme.com","telme.com")</f>
        <v>telme.com</v>
      </c>
      <c r="C3025" t="s">
        <v>433</v>
      </c>
      <c r="F3025">
        <v>4.4998226722919396E-9</v>
      </c>
      <c r="G3025">
        <v>58970408</v>
      </c>
      <c r="H3025">
        <v>12061493</v>
      </c>
      <c r="I3025">
        <v>26975114</v>
      </c>
      <c r="J3025">
        <v>4</v>
      </c>
    </row>
    <row r="3026" spans="1:10" x14ac:dyDescent="0.25">
      <c r="A3026" t="s">
        <v>30</v>
      </c>
      <c r="B3026" s="1" t="str">
        <f>HYPERLINK("http://telmex.com","telmex.com")</f>
        <v>telmex.com</v>
      </c>
      <c r="C3026" t="s">
        <v>433</v>
      </c>
      <c r="E3026">
        <v>18202</v>
      </c>
      <c r="F3026">
        <v>4.0664248972147902E-7</v>
      </c>
      <c r="G3026">
        <v>92415</v>
      </c>
      <c r="H3026">
        <v>17207280</v>
      </c>
      <c r="I3026">
        <v>40495</v>
      </c>
      <c r="J3026">
        <v>3</v>
      </c>
    </row>
    <row r="3027" spans="1:10" x14ac:dyDescent="0.25">
      <c r="A3027" t="s">
        <v>30</v>
      </c>
      <c r="B3027" s="1" t="str">
        <f>HYPERLINK("http://telmexomsaci.com","telmexomsaci.com")</f>
        <v>telmexomsaci.com</v>
      </c>
      <c r="C3027" t="s">
        <v>433</v>
      </c>
      <c r="J3027">
        <v>4</v>
      </c>
    </row>
    <row r="3028" spans="1:10" x14ac:dyDescent="0.25">
      <c r="A3028" t="s">
        <v>30</v>
      </c>
      <c r="B3028" s="1" t="str">
        <f>HYPERLINK("http://telmexomsasi.com","telmexomsasi.com")</f>
        <v>telmexomsasi.com</v>
      </c>
      <c r="C3028" t="s">
        <v>433</v>
      </c>
      <c r="J3028">
        <v>4</v>
      </c>
    </row>
    <row r="3029" spans="1:10" x14ac:dyDescent="0.25">
      <c r="A3029" t="s">
        <v>30</v>
      </c>
      <c r="B3029" s="1" t="str">
        <f>HYPERLINK("http://telnor.com","telnor.com")</f>
        <v>telnor.com</v>
      </c>
      <c r="C3029" t="s">
        <v>433</v>
      </c>
      <c r="E3029">
        <v>432504</v>
      </c>
      <c r="F3029">
        <v>2.9977418406401602E-8</v>
      </c>
      <c r="G3029">
        <v>1716209</v>
      </c>
      <c r="H3029">
        <v>14430356</v>
      </c>
      <c r="I3029">
        <v>1074610</v>
      </c>
      <c r="J3029">
        <v>4</v>
      </c>
    </row>
    <row r="3030" spans="1:10" x14ac:dyDescent="0.25">
      <c r="A3030" t="s">
        <v>30</v>
      </c>
      <c r="B3030" s="1" t="str">
        <f>HYPERLINK("http://telonor.com","telonor.com")</f>
        <v>telonor.com</v>
      </c>
      <c r="C3030" t="s">
        <v>433</v>
      </c>
      <c r="J3030">
        <v>5</v>
      </c>
    </row>
    <row r="3031" spans="1:10" x14ac:dyDescent="0.25">
      <c r="A3031" t="s">
        <v>30</v>
      </c>
      <c r="B3031" s="1" t="str">
        <f>HYPERLINK("http://transforma-claro.com","transforma-claro.com")</f>
        <v>transforma-claro.com</v>
      </c>
      <c r="C3031" t="s">
        <v>433</v>
      </c>
      <c r="J3031">
        <v>2</v>
      </c>
    </row>
    <row r="3032" spans="1:10" x14ac:dyDescent="0.25">
      <c r="A3032" t="s">
        <v>30</v>
      </c>
      <c r="B3032" s="1" t="str">
        <f>HYPERLINK("http://wwwtelmex.com","wwwtelmex.com")</f>
        <v>wwwtelmex.com</v>
      </c>
      <c r="C3032" t="s">
        <v>433</v>
      </c>
      <c r="J3032">
        <v>4</v>
      </c>
    </row>
    <row r="3033" spans="1:10" x14ac:dyDescent="0.25">
      <c r="A3033" t="s">
        <v>30</v>
      </c>
      <c r="B3033" s="1" t="str">
        <f>HYPERLINK("http://claro.cr","claro.cr")</f>
        <v>claro.cr</v>
      </c>
      <c r="C3033" t="s">
        <v>434</v>
      </c>
      <c r="D3033" t="s">
        <v>813</v>
      </c>
      <c r="E3033">
        <v>542757</v>
      </c>
      <c r="F3033">
        <v>8.5192724221762998E-8</v>
      </c>
      <c r="G3033">
        <v>484128</v>
      </c>
      <c r="H3033">
        <v>14697595</v>
      </c>
      <c r="I3033">
        <v>598634</v>
      </c>
      <c r="J3033">
        <v>4</v>
      </c>
    </row>
    <row r="3034" spans="1:10" x14ac:dyDescent="0.25">
      <c r="A3034" t="s">
        <v>30</v>
      </c>
      <c r="B3034" s="1" t="str">
        <f>HYPERLINK("http://a1.digital","a1.digital")</f>
        <v>a1.digital</v>
      </c>
      <c r="C3034" t="s">
        <v>543</v>
      </c>
      <c r="F3034">
        <v>9.25847861337373E-8</v>
      </c>
      <c r="G3034">
        <v>439476</v>
      </c>
      <c r="H3034">
        <v>13456505</v>
      </c>
      <c r="I3034">
        <v>10184663</v>
      </c>
      <c r="J3034">
        <v>4</v>
      </c>
    </row>
    <row r="3035" spans="1:10" x14ac:dyDescent="0.25">
      <c r="A3035" t="s">
        <v>30</v>
      </c>
      <c r="B3035" s="1" t="str">
        <f>HYPERLINK("http://claro.com.do","claro.com.do")</f>
        <v>claro.com.do</v>
      </c>
      <c r="C3035" t="s">
        <v>438</v>
      </c>
      <c r="D3035" t="s">
        <v>817</v>
      </c>
      <c r="E3035">
        <v>83365</v>
      </c>
      <c r="F3035">
        <v>2.0747782096528101E-7</v>
      </c>
      <c r="G3035">
        <v>182853</v>
      </c>
      <c r="H3035">
        <v>17070422</v>
      </c>
      <c r="I3035">
        <v>70852</v>
      </c>
      <c r="J3035">
        <v>4</v>
      </c>
    </row>
    <row r="3036" spans="1:10" x14ac:dyDescent="0.25">
      <c r="A3036" t="s">
        <v>30</v>
      </c>
      <c r="B3036" s="1" t="str">
        <f>HYPERLINK("http://claro.com.ec","claro.com.ec")</f>
        <v>claro.com.ec</v>
      </c>
      <c r="C3036" t="s">
        <v>440</v>
      </c>
      <c r="D3036" t="s">
        <v>819</v>
      </c>
      <c r="E3036">
        <v>35136</v>
      </c>
      <c r="F3036">
        <v>7.5595615978111604E-8</v>
      </c>
      <c r="G3036">
        <v>556074</v>
      </c>
      <c r="H3036">
        <v>14433631</v>
      </c>
      <c r="I3036">
        <v>1070756</v>
      </c>
      <c r="J3036">
        <v>3</v>
      </c>
    </row>
    <row r="3037" spans="1:10" x14ac:dyDescent="0.25">
      <c r="A3037" t="s">
        <v>30</v>
      </c>
      <c r="B3037" s="1" t="str">
        <f>HYPERLINK("http://claro.com.es","claro.com.es")</f>
        <v>claro.com.es</v>
      </c>
      <c r="C3037" t="s">
        <v>443</v>
      </c>
      <c r="D3037" t="s">
        <v>822</v>
      </c>
      <c r="F3037">
        <v>2.1405637894526101E-8</v>
      </c>
      <c r="G3037">
        <v>2460936</v>
      </c>
      <c r="H3037">
        <v>12136426</v>
      </c>
      <c r="I3037">
        <v>24968022</v>
      </c>
      <c r="J3037">
        <v>4</v>
      </c>
    </row>
    <row r="3038" spans="1:10" x14ac:dyDescent="0.25">
      <c r="A3038" t="s">
        <v>30</v>
      </c>
      <c r="B3038" s="1" t="str">
        <f>HYPERLINK("http://a1.group","a1.group")</f>
        <v>a1.group</v>
      </c>
      <c r="C3038" t="s">
        <v>602</v>
      </c>
      <c r="E3038">
        <v>509979</v>
      </c>
      <c r="F3038">
        <v>2.24761013198902E-7</v>
      </c>
      <c r="G3038">
        <v>167671</v>
      </c>
      <c r="H3038">
        <v>17060304</v>
      </c>
      <c r="I3038">
        <v>73972</v>
      </c>
      <c r="J3038">
        <v>3</v>
      </c>
    </row>
    <row r="3039" spans="1:10" x14ac:dyDescent="0.25">
      <c r="A3039" t="s">
        <v>30</v>
      </c>
      <c r="B3039" s="1" t="str">
        <f>HYPERLINK("http://claro.com.gt","claro.com.gt")</f>
        <v>claro.com.gt</v>
      </c>
      <c r="C3039" t="s">
        <v>448</v>
      </c>
      <c r="D3039" t="s">
        <v>826</v>
      </c>
      <c r="E3039">
        <v>75036</v>
      </c>
      <c r="F3039">
        <v>6.2838341391052006E-8</v>
      </c>
      <c r="G3039">
        <v>697832</v>
      </c>
      <c r="H3039">
        <v>14700083</v>
      </c>
      <c r="I3039">
        <v>593038</v>
      </c>
      <c r="J3039">
        <v>4</v>
      </c>
    </row>
    <row r="3040" spans="1:10" x14ac:dyDescent="0.25">
      <c r="A3040" t="s">
        <v>30</v>
      </c>
      <c r="B3040" s="1" t="str">
        <f>HYPERLINK("http://claro.com.hn","claro.com.hn")</f>
        <v>claro.com.hn</v>
      </c>
      <c r="C3040" t="s">
        <v>451</v>
      </c>
      <c r="D3040" t="s">
        <v>828</v>
      </c>
      <c r="E3040">
        <v>437973</v>
      </c>
      <c r="F3040">
        <v>5.02540184914184E-8</v>
      </c>
      <c r="G3040">
        <v>915312</v>
      </c>
      <c r="H3040">
        <v>14575905</v>
      </c>
      <c r="I3040">
        <v>724754</v>
      </c>
      <c r="J3040">
        <v>4</v>
      </c>
    </row>
    <row r="3041" spans="1:10" x14ac:dyDescent="0.25">
      <c r="A3041" t="s">
        <v>30</v>
      </c>
      <c r="B3041" s="1" t="str">
        <f>HYPERLINK("http://a1.hr","a1.hr")</f>
        <v>a1.hr</v>
      </c>
      <c r="C3041" t="s">
        <v>452</v>
      </c>
      <c r="D3041" t="s">
        <v>829</v>
      </c>
      <c r="E3041">
        <v>50302</v>
      </c>
      <c r="F3041">
        <v>2.3366765080308999E-7</v>
      </c>
      <c r="G3041">
        <v>160481</v>
      </c>
      <c r="H3041">
        <v>14492685</v>
      </c>
      <c r="I3041">
        <v>893076</v>
      </c>
      <c r="J3041">
        <v>4</v>
      </c>
    </row>
    <row r="3042" spans="1:10" x14ac:dyDescent="0.25">
      <c r="A3042" t="s">
        <v>30</v>
      </c>
      <c r="B3042" s="1" t="str">
        <f>HYPERLINK("http://a1.mk","a1.mk")</f>
        <v>a1.mk</v>
      </c>
      <c r="C3042" t="s">
        <v>531</v>
      </c>
      <c r="D3042" t="s">
        <v>895</v>
      </c>
      <c r="E3042">
        <v>285853</v>
      </c>
      <c r="F3042">
        <v>2.35059809161079E-7</v>
      </c>
      <c r="G3042">
        <v>159450</v>
      </c>
      <c r="H3042">
        <v>16937410</v>
      </c>
      <c r="I3042">
        <v>115346</v>
      </c>
      <c r="J3042">
        <v>5</v>
      </c>
    </row>
    <row r="3043" spans="1:10" x14ac:dyDescent="0.25">
      <c r="A3043" t="s">
        <v>30</v>
      </c>
      <c r="B3043" s="1" t="str">
        <f>HYPERLINK("http://academica.mx","academica.mx")</f>
        <v>academica.mx</v>
      </c>
      <c r="C3043" t="s">
        <v>471</v>
      </c>
      <c r="D3043" t="s">
        <v>847</v>
      </c>
      <c r="E3043">
        <v>483609</v>
      </c>
      <c r="F3043">
        <v>7.6126174008459806E-8</v>
      </c>
      <c r="G3043">
        <v>551694</v>
      </c>
      <c r="H3043">
        <v>15178431</v>
      </c>
      <c r="I3043">
        <v>397449</v>
      </c>
      <c r="J3043">
        <v>4</v>
      </c>
    </row>
    <row r="3044" spans="1:10" x14ac:dyDescent="0.25">
      <c r="A3044" t="s">
        <v>30</v>
      </c>
      <c r="B3044" s="1" t="str">
        <f>HYPERLINK("http://seccionamarilla.com.mx","seccionamarilla.com.mx")</f>
        <v>seccionamarilla.com.mx</v>
      </c>
      <c r="C3044" t="s">
        <v>471</v>
      </c>
      <c r="D3044" t="s">
        <v>847</v>
      </c>
      <c r="E3044">
        <v>154555</v>
      </c>
      <c r="F3044">
        <v>3.92667872190368E-7</v>
      </c>
      <c r="G3044">
        <v>95503</v>
      </c>
      <c r="H3044">
        <v>15157085</v>
      </c>
      <c r="I3044">
        <v>399421</v>
      </c>
      <c r="J3044">
        <v>4</v>
      </c>
    </row>
    <row r="3045" spans="1:10" x14ac:dyDescent="0.25">
      <c r="A3045" t="s">
        <v>30</v>
      </c>
      <c r="B3045" s="1" t="str">
        <f>HYPERLINK("http://tecxico.com.mx","tecxico.com.mx")</f>
        <v>tecxico.com.mx</v>
      </c>
      <c r="C3045" t="s">
        <v>471</v>
      </c>
      <c r="D3045" t="s">
        <v>847</v>
      </c>
      <c r="J3045">
        <v>5</v>
      </c>
    </row>
    <row r="3046" spans="1:10" x14ac:dyDescent="0.25">
      <c r="A3046" t="s">
        <v>30</v>
      </c>
      <c r="B3046" s="1" t="str">
        <f>HYPERLINK("http://a1.net","a1.net")</f>
        <v>a1.net</v>
      </c>
      <c r="C3046" t="s">
        <v>474</v>
      </c>
      <c r="E3046">
        <v>9035</v>
      </c>
      <c r="F3046">
        <v>3.3212355113999599E-6</v>
      </c>
      <c r="G3046">
        <v>12103</v>
      </c>
      <c r="H3046">
        <v>17240674</v>
      </c>
      <c r="I3046">
        <v>35273</v>
      </c>
      <c r="J3046">
        <v>4</v>
      </c>
    </row>
    <row r="3047" spans="1:10" x14ac:dyDescent="0.25">
      <c r="A3047" t="s">
        <v>30</v>
      </c>
      <c r="B3047" s="1" t="str">
        <f>HYPERLINK("http://dlatv.net","dlatv.net")</f>
        <v>dlatv.net</v>
      </c>
      <c r="C3047" t="s">
        <v>474</v>
      </c>
      <c r="E3047">
        <v>114083</v>
      </c>
      <c r="F3047">
        <v>4.7641486596732899E-9</v>
      </c>
      <c r="G3047">
        <v>37631793</v>
      </c>
      <c r="H3047">
        <v>12891217</v>
      </c>
      <c r="I3047">
        <v>13929659</v>
      </c>
      <c r="J3047">
        <v>4</v>
      </c>
    </row>
    <row r="3048" spans="1:10" x14ac:dyDescent="0.25">
      <c r="A3048" t="s">
        <v>30</v>
      </c>
      <c r="B3048" s="1" t="str">
        <f>HYPERLINK("http://tmx-internacional.net","tmx-internacional.net")</f>
        <v>tmx-internacional.net</v>
      </c>
      <c r="C3048" t="s">
        <v>474</v>
      </c>
      <c r="E3048">
        <v>133075</v>
      </c>
      <c r="F3048">
        <v>8.9890298472741395E-9</v>
      </c>
      <c r="G3048">
        <v>8007727</v>
      </c>
      <c r="H3048">
        <v>12448827</v>
      </c>
      <c r="I3048">
        <v>18033832</v>
      </c>
      <c r="J3048">
        <v>6</v>
      </c>
    </row>
    <row r="3049" spans="1:10" x14ac:dyDescent="0.25">
      <c r="A3049" t="s">
        <v>30</v>
      </c>
      <c r="B3049" s="1" t="str">
        <f>HYPERLINK("http://claro.com.ni","claro.com.ni")</f>
        <v>claro.com.ni</v>
      </c>
      <c r="C3049" t="s">
        <v>476</v>
      </c>
      <c r="D3049" t="s">
        <v>851</v>
      </c>
      <c r="E3049">
        <v>593201</v>
      </c>
      <c r="F3049">
        <v>6.0383451630611106E-8</v>
      </c>
      <c r="G3049">
        <v>730347</v>
      </c>
      <c r="H3049">
        <v>14424705</v>
      </c>
      <c r="I3049">
        <v>1081186</v>
      </c>
      <c r="J3049">
        <v>4</v>
      </c>
    </row>
    <row r="3050" spans="1:10" x14ac:dyDescent="0.25">
      <c r="A3050" t="s">
        <v>30</v>
      </c>
      <c r="B3050" s="1" t="str">
        <f>HYPERLINK("http://claroblog.com.ni","claroblog.com.ni")</f>
        <v>claroblog.com.ni</v>
      </c>
      <c r="C3050" t="s">
        <v>476</v>
      </c>
      <c r="D3050" t="s">
        <v>851</v>
      </c>
      <c r="F3050">
        <v>4.4807750274036698E-9</v>
      </c>
      <c r="G3050">
        <v>62183293</v>
      </c>
      <c r="H3050">
        <v>10539181</v>
      </c>
      <c r="I3050">
        <v>47325681</v>
      </c>
      <c r="J3050">
        <v>6</v>
      </c>
    </row>
    <row r="3051" spans="1:10" x14ac:dyDescent="0.25">
      <c r="A3051" t="s">
        <v>30</v>
      </c>
      <c r="B3051" s="1" t="str">
        <f>HYPERLINK("http://claro.com.pa","claro.com.pa")</f>
        <v>claro.com.pa</v>
      </c>
      <c r="C3051" t="s">
        <v>482</v>
      </c>
      <c r="D3051" t="s">
        <v>856</v>
      </c>
      <c r="E3051">
        <v>377391</v>
      </c>
      <c r="F3051">
        <v>5.2668508049923601E-8</v>
      </c>
      <c r="G3051">
        <v>865462</v>
      </c>
      <c r="H3051">
        <v>14428759</v>
      </c>
      <c r="I3051">
        <v>1076411</v>
      </c>
      <c r="J3051">
        <v>4</v>
      </c>
    </row>
    <row r="3052" spans="1:10" x14ac:dyDescent="0.25">
      <c r="A3052" t="s">
        <v>30</v>
      </c>
      <c r="B3052" s="1" t="str">
        <f>HYPERLINK("http://claro.pe","claro.pe")</f>
        <v>claro.pe</v>
      </c>
      <c r="C3052" t="s">
        <v>483</v>
      </c>
      <c r="D3052" t="s">
        <v>857</v>
      </c>
      <c r="F3052">
        <v>5.6123823230668102E-9</v>
      </c>
      <c r="G3052">
        <v>19738900</v>
      </c>
      <c r="H3052">
        <v>12466470</v>
      </c>
      <c r="I3052">
        <v>17798575</v>
      </c>
      <c r="J3052">
        <v>5</v>
      </c>
    </row>
    <row r="3053" spans="1:10" x14ac:dyDescent="0.25">
      <c r="A3053" t="s">
        <v>30</v>
      </c>
      <c r="B3053" s="1" t="str">
        <f>HYPERLINK("http://claro.com.pe","claro.com.pe")</f>
        <v>claro.com.pe</v>
      </c>
      <c r="C3053" t="s">
        <v>483</v>
      </c>
      <c r="D3053" t="s">
        <v>857</v>
      </c>
      <c r="E3053">
        <v>72864</v>
      </c>
      <c r="F3053">
        <v>1.9402816179093999E-7</v>
      </c>
      <c r="G3053">
        <v>198712</v>
      </c>
      <c r="H3053">
        <v>17087026</v>
      </c>
      <c r="I3053">
        <v>66648</v>
      </c>
      <c r="J3053">
        <v>4</v>
      </c>
    </row>
    <row r="3054" spans="1:10" x14ac:dyDescent="0.25">
      <c r="A3054" t="s">
        <v>30</v>
      </c>
      <c r="B3054" s="1" t="str">
        <f>HYPERLINK("http://imiclaroapp.com.pe","imiclaroapp.com.pe")</f>
        <v>imiclaroapp.com.pe</v>
      </c>
      <c r="C3054" t="s">
        <v>483</v>
      </c>
      <c r="D3054" t="s">
        <v>857</v>
      </c>
      <c r="J3054">
        <v>6</v>
      </c>
    </row>
    <row r="3055" spans="1:10" x14ac:dyDescent="0.25">
      <c r="A3055" t="s">
        <v>30</v>
      </c>
      <c r="B3055" s="1" t="str">
        <f>HYPERLINK("http://claro.com.py","claro.com.py")</f>
        <v>claro.com.py</v>
      </c>
      <c r="C3055" t="s">
        <v>489</v>
      </c>
      <c r="D3055" t="s">
        <v>863</v>
      </c>
      <c r="E3055">
        <v>474245</v>
      </c>
      <c r="F3055">
        <v>5.7914711569594403E-8</v>
      </c>
      <c r="G3055">
        <v>768916</v>
      </c>
      <c r="H3055">
        <v>14578847</v>
      </c>
      <c r="I3055">
        <v>713957</v>
      </c>
      <c r="J3055">
        <v>4</v>
      </c>
    </row>
    <row r="3056" spans="1:10" x14ac:dyDescent="0.25">
      <c r="A3056" t="s">
        <v>30</v>
      </c>
      <c r="B3056" s="1" t="str">
        <f>HYPERLINK("http://a1.rs","a1.rs")</f>
        <v>a1.rs</v>
      </c>
      <c r="C3056" t="s">
        <v>492</v>
      </c>
      <c r="D3056" t="s">
        <v>866</v>
      </c>
      <c r="E3056">
        <v>99430</v>
      </c>
      <c r="F3056">
        <v>2.5920410271518702E-7</v>
      </c>
      <c r="G3056">
        <v>144304</v>
      </c>
      <c r="H3056">
        <v>16941650</v>
      </c>
      <c r="I3056">
        <v>111892</v>
      </c>
      <c r="J3056">
        <v>4</v>
      </c>
    </row>
    <row r="3057" spans="1:10" x14ac:dyDescent="0.25">
      <c r="A3057" t="s">
        <v>30</v>
      </c>
      <c r="B3057" s="1" t="str">
        <f>HYPERLINK("http://vipmobile.rs","vipmobile.rs")</f>
        <v>vipmobile.rs</v>
      </c>
      <c r="C3057" t="s">
        <v>492</v>
      </c>
      <c r="D3057" t="s">
        <v>866</v>
      </c>
      <c r="E3057">
        <v>813264</v>
      </c>
      <c r="F3057">
        <v>1.5516540519124301E-7</v>
      </c>
      <c r="G3057">
        <v>250261</v>
      </c>
      <c r="H3057">
        <v>17037922</v>
      </c>
      <c r="I3057">
        <v>80305</v>
      </c>
      <c r="J3057">
        <v>6</v>
      </c>
    </row>
    <row r="3058" spans="1:10" x14ac:dyDescent="0.25">
      <c r="A3058" t="s">
        <v>30</v>
      </c>
      <c r="B3058" s="1" t="str">
        <f>HYPERLINK("http://a1.si","a1.si")</f>
        <v>a1.si</v>
      </c>
      <c r="C3058" t="s">
        <v>497</v>
      </c>
      <c r="D3058" t="s">
        <v>871</v>
      </c>
      <c r="E3058">
        <v>264085</v>
      </c>
      <c r="F3058">
        <v>2.7902269780994101E-7</v>
      </c>
      <c r="G3058">
        <v>133299</v>
      </c>
      <c r="H3058">
        <v>16996544</v>
      </c>
      <c r="I3058">
        <v>94429</v>
      </c>
      <c r="J3058">
        <v>4</v>
      </c>
    </row>
    <row r="3059" spans="1:10" x14ac:dyDescent="0.25">
      <c r="A3059" t="s">
        <v>30</v>
      </c>
      <c r="B3059" s="1" t="str">
        <f>HYPERLINK("http://ikarus.si","ikarus.si")</f>
        <v>ikarus.si</v>
      </c>
      <c r="C3059" t="s">
        <v>497</v>
      </c>
      <c r="D3059" t="s">
        <v>871</v>
      </c>
      <c r="F3059">
        <v>4.4452720223400499E-9</v>
      </c>
      <c r="G3059">
        <v>75451364</v>
      </c>
      <c r="H3059">
        <v>10455748</v>
      </c>
      <c r="I3059">
        <v>51970051</v>
      </c>
      <c r="J3059">
        <v>7</v>
      </c>
    </row>
    <row r="3060" spans="1:10" x14ac:dyDescent="0.25">
      <c r="A3060" t="s">
        <v>30</v>
      </c>
      <c r="B3060" s="1" t="str">
        <f>HYPERLINK("http://simobil.si","simobil.si")</f>
        <v>simobil.si</v>
      </c>
      <c r="C3060" t="s">
        <v>497</v>
      </c>
      <c r="D3060" t="s">
        <v>871</v>
      </c>
      <c r="E3060">
        <v>56877</v>
      </c>
      <c r="F3060">
        <v>3.8532695960631901E-8</v>
      </c>
      <c r="G3060">
        <v>1338435</v>
      </c>
      <c r="H3060">
        <v>14279690</v>
      </c>
      <c r="I3060">
        <v>1382008</v>
      </c>
      <c r="J3060">
        <v>4</v>
      </c>
    </row>
    <row r="3061" spans="1:10" x14ac:dyDescent="0.25">
      <c r="A3061" t="s">
        <v>30</v>
      </c>
      <c r="B3061" s="1" t="str">
        <f>HYPERLINK("http://claro.com.sv","claro.com.sv")</f>
        <v>claro.com.sv</v>
      </c>
      <c r="C3061" t="s">
        <v>499</v>
      </c>
      <c r="D3061" t="s">
        <v>873</v>
      </c>
      <c r="E3061">
        <v>151837</v>
      </c>
      <c r="F3061">
        <v>7.6795344346320006E-8</v>
      </c>
      <c r="G3061">
        <v>545646</v>
      </c>
      <c r="H3061">
        <v>14794061</v>
      </c>
      <c r="I3061">
        <v>549936</v>
      </c>
      <c r="J3061">
        <v>4</v>
      </c>
    </row>
    <row r="3062" spans="1:10" x14ac:dyDescent="0.25">
      <c r="A3062" t="s">
        <v>30</v>
      </c>
      <c r="B3062" s="1" t="str">
        <f>HYPERLINK("http://voka.tv","voka.tv")</f>
        <v>voka.tv</v>
      </c>
      <c r="C3062" t="s">
        <v>535</v>
      </c>
      <c r="D3062" t="s">
        <v>897</v>
      </c>
      <c r="E3062">
        <v>4954</v>
      </c>
      <c r="F3062">
        <v>1.4409553809015701E-7</v>
      </c>
      <c r="G3062">
        <v>270242</v>
      </c>
      <c r="H3062">
        <v>14983932</v>
      </c>
      <c r="I3062">
        <v>429876</v>
      </c>
      <c r="J3062">
        <v>6</v>
      </c>
    </row>
    <row r="3063" spans="1:10" x14ac:dyDescent="0.25">
      <c r="A3063" t="s">
        <v>30</v>
      </c>
      <c r="B3063" s="1" t="str">
        <f>HYPERLINK("http://claro.com.uy","claro.com.uy")</f>
        <v>claro.com.uy</v>
      </c>
      <c r="C3063" t="s">
        <v>507</v>
      </c>
      <c r="D3063" t="s">
        <v>881</v>
      </c>
      <c r="F3063">
        <v>6.8996232477535006E-8</v>
      </c>
      <c r="G3063">
        <v>616028</v>
      </c>
      <c r="H3063">
        <v>14584558</v>
      </c>
      <c r="I3063">
        <v>702909</v>
      </c>
      <c r="J3063">
        <v>4</v>
      </c>
    </row>
    <row r="3064" spans="1:10" x14ac:dyDescent="0.25">
      <c r="A3064" t="s">
        <v>31</v>
      </c>
      <c r="B3064" s="1" t="str">
        <f>HYPERLINK("http://aep.com","aep.com")</f>
        <v>aep.com</v>
      </c>
      <c r="C3064" t="s">
        <v>433</v>
      </c>
      <c r="E3064">
        <v>17412</v>
      </c>
      <c r="F3064">
        <v>7.0541419105717702E-7</v>
      </c>
      <c r="G3064">
        <v>54919</v>
      </c>
      <c r="H3064">
        <v>15341333</v>
      </c>
      <c r="I3064">
        <v>383332</v>
      </c>
      <c r="J3064">
        <v>1</v>
      </c>
    </row>
    <row r="3065" spans="1:10" x14ac:dyDescent="0.25">
      <c r="A3065" t="s">
        <v>31</v>
      </c>
      <c r="B3065" s="1" t="str">
        <f>HYPERLINK("http://aepenergy.com","aepenergy.com")</f>
        <v>aepenergy.com</v>
      </c>
      <c r="C3065" t="s">
        <v>433</v>
      </c>
      <c r="E3065">
        <v>966978</v>
      </c>
      <c r="F3065">
        <v>6.2665631073974999E-8</v>
      </c>
      <c r="G3065">
        <v>700033</v>
      </c>
      <c r="H3065">
        <v>13470478</v>
      </c>
      <c r="I3065">
        <v>10035916</v>
      </c>
      <c r="J3065">
        <v>4</v>
      </c>
    </row>
    <row r="3066" spans="1:10" x14ac:dyDescent="0.25">
      <c r="A3066" t="s">
        <v>31</v>
      </c>
      <c r="B3066" s="1" t="str">
        <f>HYPERLINK("http://aepohio.com","aepohio.com")</f>
        <v>aepohio.com</v>
      </c>
      <c r="C3066" t="s">
        <v>433</v>
      </c>
      <c r="E3066">
        <v>144135</v>
      </c>
      <c r="F3066">
        <v>1.9979565440146499E-7</v>
      </c>
      <c r="G3066">
        <v>190883</v>
      </c>
      <c r="H3066">
        <v>14649200</v>
      </c>
      <c r="I3066">
        <v>628725</v>
      </c>
      <c r="J3066">
        <v>3</v>
      </c>
    </row>
    <row r="3067" spans="1:10" x14ac:dyDescent="0.25">
      <c r="A3067" t="s">
        <v>31</v>
      </c>
      <c r="B3067" s="1" t="str">
        <f>HYPERLINK("http://aeptexas.com","aeptexas.com")</f>
        <v>aeptexas.com</v>
      </c>
      <c r="C3067" t="s">
        <v>433</v>
      </c>
      <c r="E3067">
        <v>826073</v>
      </c>
      <c r="F3067">
        <v>1.1339826307731E-7</v>
      </c>
      <c r="G3067">
        <v>351734</v>
      </c>
      <c r="H3067">
        <v>14839182</v>
      </c>
      <c r="I3067">
        <v>498363</v>
      </c>
      <c r="J3067">
        <v>3</v>
      </c>
    </row>
    <row r="3068" spans="1:10" x14ac:dyDescent="0.25">
      <c r="A3068" t="s">
        <v>31</v>
      </c>
      <c r="B3068" s="1" t="str">
        <f>HYPERLINK("http://appalachianpower.com","appalachianpower.com")</f>
        <v>appalachianpower.com</v>
      </c>
      <c r="C3068" t="s">
        <v>433</v>
      </c>
      <c r="E3068">
        <v>126687</v>
      </c>
      <c r="F3068">
        <v>1.53680488374326E-7</v>
      </c>
      <c r="G3068">
        <v>252748</v>
      </c>
      <c r="H3068">
        <v>14256841</v>
      </c>
      <c r="I3068">
        <v>1429434</v>
      </c>
      <c r="J3068">
        <v>3</v>
      </c>
    </row>
    <row r="3069" spans="1:10" x14ac:dyDescent="0.25">
      <c r="A3069" t="s">
        <v>31</v>
      </c>
      <c r="B3069" s="1" t="str">
        <f>HYPERLINK("http://indianamichiganpower.com","indianamichiganpower.com")</f>
        <v>indianamichiganpower.com</v>
      </c>
      <c r="C3069" t="s">
        <v>433</v>
      </c>
      <c r="E3069">
        <v>294360</v>
      </c>
      <c r="F3069">
        <v>1.7163116098882399E-7</v>
      </c>
      <c r="G3069">
        <v>226001</v>
      </c>
      <c r="H3069">
        <v>17063762</v>
      </c>
      <c r="I3069">
        <v>72972</v>
      </c>
      <c r="J3069">
        <v>3</v>
      </c>
    </row>
    <row r="3070" spans="1:10" x14ac:dyDescent="0.25">
      <c r="A3070" t="s">
        <v>31</v>
      </c>
      <c r="B3070" s="1" t="str">
        <f>HYPERLINK("http://kentuckypower.com","kentuckypower.com")</f>
        <v>kentuckypower.com</v>
      </c>
      <c r="C3070" t="s">
        <v>433</v>
      </c>
      <c r="E3070">
        <v>961776</v>
      </c>
      <c r="F3070">
        <v>4.2656413253433698E-8</v>
      </c>
      <c r="G3070">
        <v>1133145</v>
      </c>
      <c r="H3070">
        <v>13248218</v>
      </c>
      <c r="I3070">
        <v>11096993</v>
      </c>
      <c r="J3070">
        <v>3</v>
      </c>
    </row>
    <row r="3071" spans="1:10" x14ac:dyDescent="0.25">
      <c r="A3071" t="s">
        <v>31</v>
      </c>
      <c r="B3071" s="1" t="str">
        <f>HYPERLINK("http://ovec.com","ovec.com")</f>
        <v>ovec.com</v>
      </c>
      <c r="C3071" t="s">
        <v>433</v>
      </c>
      <c r="F3071">
        <v>2.3936890400943399E-8</v>
      </c>
      <c r="G3071">
        <v>2169138</v>
      </c>
      <c r="H3071">
        <v>13817271</v>
      </c>
      <c r="I3071">
        <v>6158265</v>
      </c>
      <c r="J3071">
        <v>3</v>
      </c>
    </row>
    <row r="3072" spans="1:10" x14ac:dyDescent="0.25">
      <c r="A3072" t="s">
        <v>31</v>
      </c>
      <c r="B3072" s="1" t="str">
        <f>HYPERLINK("http://psoklahoma.com","psoklahoma.com")</f>
        <v>psoklahoma.com</v>
      </c>
      <c r="C3072" t="s">
        <v>433</v>
      </c>
      <c r="E3072">
        <v>113200</v>
      </c>
      <c r="F3072">
        <v>1.07669498267206E-7</v>
      </c>
      <c r="G3072">
        <v>371803</v>
      </c>
      <c r="H3072">
        <v>14476074</v>
      </c>
      <c r="I3072">
        <v>1032075</v>
      </c>
      <c r="J3072">
        <v>3</v>
      </c>
    </row>
    <row r="3073" spans="1:10" x14ac:dyDescent="0.25">
      <c r="A3073" t="s">
        <v>31</v>
      </c>
      <c r="B3073" s="1" t="str">
        <f>HYPERLINK("http://swepco.com","swepco.com")</f>
        <v>swepco.com</v>
      </c>
      <c r="C3073" t="s">
        <v>433</v>
      </c>
      <c r="E3073">
        <v>182104</v>
      </c>
      <c r="F3073">
        <v>1.7021900445770501E-7</v>
      </c>
      <c r="G3073">
        <v>227891</v>
      </c>
      <c r="H3073">
        <v>14610852</v>
      </c>
      <c r="I3073">
        <v>676858</v>
      </c>
      <c r="J3073">
        <v>3</v>
      </c>
    </row>
    <row r="3074" spans="1:10" x14ac:dyDescent="0.25">
      <c r="A3074" t="s">
        <v>32</v>
      </c>
      <c r="B3074" s="1" t="str">
        <f>HYPERLINK("http://americanexpress.ae","americanexpress.ae")</f>
        <v>americanexpress.ae</v>
      </c>
      <c r="C3074" t="s">
        <v>417</v>
      </c>
      <c r="D3074" t="s">
        <v>799</v>
      </c>
      <c r="F3074">
        <v>9.1732257168354793E-9</v>
      </c>
      <c r="G3074">
        <v>7745924</v>
      </c>
      <c r="H3074">
        <v>11643688</v>
      </c>
      <c r="I3074">
        <v>29886291</v>
      </c>
      <c r="J3074">
        <v>3</v>
      </c>
    </row>
    <row r="3075" spans="1:10" x14ac:dyDescent="0.25">
      <c r="A3075" t="s">
        <v>32</v>
      </c>
      <c r="B3075" s="1" t="str">
        <f>HYPERLINK("http://americanexpress.com.ar","americanexpress.com.ar")</f>
        <v>americanexpress.com.ar</v>
      </c>
      <c r="C3075" t="s">
        <v>418</v>
      </c>
      <c r="D3075" t="s">
        <v>800</v>
      </c>
      <c r="F3075">
        <v>1.1568563535393699E-8</v>
      </c>
      <c r="G3075">
        <v>5454978</v>
      </c>
      <c r="H3075">
        <v>12829746</v>
      </c>
      <c r="I3075">
        <v>14430594</v>
      </c>
      <c r="J3075">
        <v>2</v>
      </c>
    </row>
    <row r="3076" spans="1:10" x14ac:dyDescent="0.25">
      <c r="A3076" t="s">
        <v>32</v>
      </c>
      <c r="B3076" s="1" t="str">
        <f>HYPERLINK("http://americanexpress.at","americanexpress.at")</f>
        <v>americanexpress.at</v>
      </c>
      <c r="C3076" t="s">
        <v>419</v>
      </c>
      <c r="D3076" t="s">
        <v>801</v>
      </c>
      <c r="F3076">
        <v>1.02747282494191E-8</v>
      </c>
      <c r="G3076">
        <v>6474845</v>
      </c>
      <c r="H3076">
        <v>14074930</v>
      </c>
      <c r="I3076">
        <v>2924678</v>
      </c>
      <c r="J3076">
        <v>2</v>
      </c>
    </row>
    <row r="3077" spans="1:10" x14ac:dyDescent="0.25">
      <c r="A3077" t="s">
        <v>32</v>
      </c>
      <c r="B3077" s="1" t="str">
        <f>HYPERLINK("http://payback.at","payback.at")</f>
        <v>payback.at</v>
      </c>
      <c r="C3077" t="s">
        <v>419</v>
      </c>
      <c r="D3077" t="s">
        <v>801</v>
      </c>
      <c r="E3077">
        <v>340423</v>
      </c>
      <c r="F3077">
        <v>1.9641306170589299E-7</v>
      </c>
      <c r="G3077">
        <v>196343</v>
      </c>
      <c r="H3077">
        <v>16941170</v>
      </c>
      <c r="I3077">
        <v>112190</v>
      </c>
      <c r="J3077">
        <v>4</v>
      </c>
    </row>
    <row r="3078" spans="1:10" x14ac:dyDescent="0.25">
      <c r="A3078" t="s">
        <v>32</v>
      </c>
      <c r="B3078" s="1" t="str">
        <f>HYPERLINK("http://americanexpress.com.au","americanexpress.com.au")</f>
        <v>americanexpress.com.au</v>
      </c>
      <c r="C3078" t="s">
        <v>420</v>
      </c>
      <c r="D3078" t="s">
        <v>802</v>
      </c>
      <c r="E3078">
        <v>520781</v>
      </c>
      <c r="F3078">
        <v>4.5191362821580898E-8</v>
      </c>
      <c r="G3078">
        <v>1043821</v>
      </c>
      <c r="H3078">
        <v>13781297</v>
      </c>
      <c r="I3078">
        <v>6460117</v>
      </c>
      <c r="J3078">
        <v>2</v>
      </c>
    </row>
    <row r="3079" spans="1:10" x14ac:dyDescent="0.25">
      <c r="A3079" t="s">
        <v>32</v>
      </c>
      <c r="B3079" s="1" t="str">
        <f>HYPERLINK("http://loungebuddy.com.au","loungebuddy.com.au")</f>
        <v>loungebuddy.com.au</v>
      </c>
      <c r="C3079" t="s">
        <v>420</v>
      </c>
      <c r="D3079" t="s">
        <v>802</v>
      </c>
      <c r="F3079">
        <v>8.3052582230298698E-9</v>
      </c>
      <c r="G3079">
        <v>9245120</v>
      </c>
      <c r="H3079">
        <v>12180616</v>
      </c>
      <c r="I3079">
        <v>23803211</v>
      </c>
      <c r="J3079">
        <v>4</v>
      </c>
    </row>
    <row r="3080" spans="1:10" x14ac:dyDescent="0.25">
      <c r="A3080" t="s">
        <v>32</v>
      </c>
      <c r="B3080" s="1" t="str">
        <f>HYPERLINK("http://americanexpress.ba","americanexpress.ba")</f>
        <v>americanexpress.ba</v>
      </c>
      <c r="C3080" t="s">
        <v>526</v>
      </c>
      <c r="D3080" t="s">
        <v>893</v>
      </c>
      <c r="F3080">
        <v>7.2945658515494002E-9</v>
      </c>
      <c r="G3080">
        <v>11494072</v>
      </c>
      <c r="H3080">
        <v>12829357</v>
      </c>
      <c r="I3080">
        <v>14433256</v>
      </c>
      <c r="J3080">
        <v>2</v>
      </c>
    </row>
    <row r="3081" spans="1:10" x14ac:dyDescent="0.25">
      <c r="A3081" t="s">
        <v>32</v>
      </c>
      <c r="B3081" s="1" t="str">
        <f>HYPERLINK("http://americanexpress.com.bd","americanexpress.com.bd")</f>
        <v>americanexpress.com.bd</v>
      </c>
      <c r="C3081" t="s">
        <v>603</v>
      </c>
      <c r="D3081" t="s">
        <v>934</v>
      </c>
      <c r="F3081">
        <v>7.3820664195050504E-9</v>
      </c>
      <c r="G3081">
        <v>11284745</v>
      </c>
      <c r="H3081">
        <v>12890568</v>
      </c>
      <c r="I3081">
        <v>13934992</v>
      </c>
      <c r="J3081">
        <v>2</v>
      </c>
    </row>
    <row r="3082" spans="1:10" x14ac:dyDescent="0.25">
      <c r="A3082" t="s">
        <v>32</v>
      </c>
      <c r="B3082" s="1" t="str">
        <f>HYPERLINK("http://americanexpress.be","americanexpress.be")</f>
        <v>americanexpress.be</v>
      </c>
      <c r="C3082" t="s">
        <v>421</v>
      </c>
      <c r="D3082" t="s">
        <v>803</v>
      </c>
      <c r="F3082">
        <v>1.45973012148607E-8</v>
      </c>
      <c r="G3082">
        <v>3977855</v>
      </c>
      <c r="H3082">
        <v>13778441</v>
      </c>
      <c r="I3082">
        <v>6520676</v>
      </c>
      <c r="J3082">
        <v>2</v>
      </c>
    </row>
    <row r="3083" spans="1:10" x14ac:dyDescent="0.25">
      <c r="A3083" t="s">
        <v>32</v>
      </c>
      <c r="B3083" s="1" t="str">
        <f>HYPERLINK("http://americanexpress.com.bh","americanexpress.com.bh")</f>
        <v>americanexpress.com.bh</v>
      </c>
      <c r="C3083" t="s">
        <v>580</v>
      </c>
      <c r="D3083" t="s">
        <v>922</v>
      </c>
      <c r="E3083">
        <v>328842</v>
      </c>
      <c r="F3083">
        <v>3.11547324585077E-8</v>
      </c>
      <c r="G3083">
        <v>1654807</v>
      </c>
      <c r="H3083">
        <v>13411076</v>
      </c>
      <c r="I3083">
        <v>10333835</v>
      </c>
      <c r="J3083">
        <v>2</v>
      </c>
    </row>
    <row r="3084" spans="1:10" x14ac:dyDescent="0.25">
      <c r="A3084" t="s">
        <v>32</v>
      </c>
      <c r="B3084" s="1" t="str">
        <f>HYPERLINK("http://membershiprewards.com.bh","membershiprewards.com.bh")</f>
        <v>membershiprewards.com.bh</v>
      </c>
      <c r="C3084" t="s">
        <v>580</v>
      </c>
      <c r="D3084" t="s">
        <v>922</v>
      </c>
      <c r="F3084">
        <v>1.55804165912006E-8</v>
      </c>
      <c r="G3084">
        <v>3660678</v>
      </c>
      <c r="H3084">
        <v>12449314</v>
      </c>
      <c r="I3084">
        <v>18005967</v>
      </c>
      <c r="J3084">
        <v>4</v>
      </c>
    </row>
    <row r="3085" spans="1:10" x14ac:dyDescent="0.25">
      <c r="A3085" t="s">
        <v>32</v>
      </c>
      <c r="B3085" s="1" t="str">
        <f>HYPERLINK("http://americanexpress.com.br","americanexpress.com.br")</f>
        <v>americanexpress.com.br</v>
      </c>
      <c r="C3085" t="s">
        <v>425</v>
      </c>
      <c r="D3085" t="s">
        <v>806</v>
      </c>
      <c r="F3085">
        <v>7.7140219623306093E-9</v>
      </c>
      <c r="G3085">
        <v>10542163</v>
      </c>
      <c r="H3085">
        <v>13767200</v>
      </c>
      <c r="I3085">
        <v>6948142</v>
      </c>
      <c r="J3085">
        <v>2</v>
      </c>
    </row>
    <row r="3086" spans="1:10" x14ac:dyDescent="0.25">
      <c r="A3086" t="s">
        <v>32</v>
      </c>
      <c r="B3086" s="1" t="str">
        <f>HYPERLINK("http://americanexpress.ca","americanexpress.ca")</f>
        <v>americanexpress.ca</v>
      </c>
      <c r="C3086" t="s">
        <v>428</v>
      </c>
      <c r="D3086" t="s">
        <v>809</v>
      </c>
      <c r="E3086">
        <v>582356</v>
      </c>
      <c r="F3086">
        <v>3.1558050163000102E-7</v>
      </c>
      <c r="G3086">
        <v>117807</v>
      </c>
      <c r="H3086">
        <v>14418636</v>
      </c>
      <c r="I3086">
        <v>1094042</v>
      </c>
      <c r="J3086">
        <v>2</v>
      </c>
    </row>
    <row r="3087" spans="1:10" x14ac:dyDescent="0.25">
      <c r="A3087" t="s">
        <v>32</v>
      </c>
      <c r="B3087" s="1" t="str">
        <f>HYPERLINK("http://americanexpress.ch","americanexpress.ch")</f>
        <v>americanexpress.ch</v>
      </c>
      <c r="C3087" t="s">
        <v>429</v>
      </c>
      <c r="D3087" t="s">
        <v>810</v>
      </c>
      <c r="F3087">
        <v>6.1691686947441404E-8</v>
      </c>
      <c r="G3087">
        <v>713162</v>
      </c>
      <c r="H3087">
        <v>14246593</v>
      </c>
      <c r="I3087">
        <v>1460881</v>
      </c>
      <c r="J3087">
        <v>2</v>
      </c>
    </row>
    <row r="3088" spans="1:10" x14ac:dyDescent="0.25">
      <c r="A3088" t="s">
        <v>32</v>
      </c>
      <c r="B3088" s="1" t="str">
        <f>HYPERLINK("http://swisscard.ch","swisscard.ch")</f>
        <v>swisscard.ch</v>
      </c>
      <c r="C3088" t="s">
        <v>429</v>
      </c>
      <c r="D3088" t="s">
        <v>810</v>
      </c>
      <c r="E3088">
        <v>350349</v>
      </c>
      <c r="F3088">
        <v>9.8080251478201595E-8</v>
      </c>
      <c r="G3088">
        <v>411383</v>
      </c>
      <c r="H3088">
        <v>14435462</v>
      </c>
      <c r="I3088">
        <v>1069011</v>
      </c>
      <c r="J3088">
        <v>8</v>
      </c>
    </row>
    <row r="3089" spans="1:10" x14ac:dyDescent="0.25">
      <c r="A3089" t="s">
        <v>32</v>
      </c>
      <c r="B3089" s="1" t="str">
        <f>HYPERLINK("http://americanexpress.cl","americanexpress.cl")</f>
        <v>americanexpress.cl</v>
      </c>
      <c r="C3089" t="s">
        <v>430</v>
      </c>
      <c r="D3089" t="s">
        <v>811</v>
      </c>
      <c r="F3089">
        <v>6.3442036240342497E-9</v>
      </c>
      <c r="G3089">
        <v>14790294</v>
      </c>
      <c r="H3089">
        <v>12828359</v>
      </c>
      <c r="I3089">
        <v>14444616</v>
      </c>
      <c r="J3089">
        <v>2</v>
      </c>
    </row>
    <row r="3090" spans="1:10" x14ac:dyDescent="0.25">
      <c r="A3090" t="s">
        <v>32</v>
      </c>
      <c r="B3090" s="1" t="str">
        <f>HYPERLINK("http://americanexpress.com.cn","americanexpress.com.cn")</f>
        <v>americanexpress.com.cn</v>
      </c>
      <c r="C3090" t="s">
        <v>431</v>
      </c>
      <c r="D3090" t="s">
        <v>812</v>
      </c>
      <c r="F3090">
        <v>4.9376373416662701E-8</v>
      </c>
      <c r="G3090">
        <v>937275</v>
      </c>
      <c r="H3090">
        <v>14081015</v>
      </c>
      <c r="I3090">
        <v>2814335</v>
      </c>
      <c r="J3090">
        <v>2</v>
      </c>
    </row>
    <row r="3091" spans="1:10" x14ac:dyDescent="0.25">
      <c r="A3091" t="s">
        <v>32</v>
      </c>
      <c r="B3091" s="1" t="str">
        <f>HYPERLINK("http://aemeweb.com","aemeweb.com")</f>
        <v>aemeweb.com</v>
      </c>
      <c r="C3091" t="s">
        <v>433</v>
      </c>
      <c r="J3091">
        <v>4</v>
      </c>
    </row>
    <row r="3092" spans="1:10" x14ac:dyDescent="0.25">
      <c r="A3092" t="s">
        <v>32</v>
      </c>
      <c r="B3092" s="1" t="str">
        <f>HYPERLINK("http://aexp.com","aexp.com")</f>
        <v>aexp.com</v>
      </c>
      <c r="C3092" t="s">
        <v>433</v>
      </c>
      <c r="E3092">
        <v>6363</v>
      </c>
      <c r="F3092">
        <v>3.4249222866783998E-8</v>
      </c>
      <c r="G3092">
        <v>1513426</v>
      </c>
      <c r="H3092">
        <v>13255554</v>
      </c>
      <c r="I3092">
        <v>11058163</v>
      </c>
      <c r="J3092">
        <v>2</v>
      </c>
    </row>
    <row r="3093" spans="1:10" x14ac:dyDescent="0.25">
      <c r="A3093" t="s">
        <v>32</v>
      </c>
      <c r="B3093" s="1" t="str">
        <f>HYPERLINK("http://americanexpress.com","americanexpress.com")</f>
        <v>americanexpress.com</v>
      </c>
      <c r="C3093" t="s">
        <v>433</v>
      </c>
      <c r="E3093">
        <v>766</v>
      </c>
      <c r="F3093">
        <v>2.2685477331977002E-5</v>
      </c>
      <c r="G3093">
        <v>1291</v>
      </c>
      <c r="H3093">
        <v>18643004</v>
      </c>
      <c r="I3093">
        <v>1166</v>
      </c>
      <c r="J3093">
        <v>1</v>
      </c>
    </row>
    <row r="3094" spans="1:10" x14ac:dyDescent="0.25">
      <c r="A3094" t="s">
        <v>32</v>
      </c>
      <c r="B3094" s="1" t="str">
        <f>HYPERLINK("http://amexmena.com","amexmena.com")</f>
        <v>amexmena.com</v>
      </c>
      <c r="C3094" t="s">
        <v>433</v>
      </c>
      <c r="F3094">
        <v>4.4438147154621899E-9</v>
      </c>
      <c r="G3094">
        <v>79463315</v>
      </c>
      <c r="H3094">
        <v>10347198</v>
      </c>
      <c r="I3094">
        <v>56709622</v>
      </c>
      <c r="J3094">
        <v>4</v>
      </c>
    </row>
    <row r="3095" spans="1:10" x14ac:dyDescent="0.25">
      <c r="A3095" t="s">
        <v>32</v>
      </c>
      <c r="B3095" s="1" t="str">
        <f>HYPERLINK("http://icashendpoint.com","icashendpoint.com")</f>
        <v>icashendpoint.com</v>
      </c>
      <c r="C3095" t="s">
        <v>433</v>
      </c>
      <c r="E3095">
        <v>972953</v>
      </c>
      <c r="F3095">
        <v>4.44381528729671E-9</v>
      </c>
      <c r="G3095">
        <v>79371761</v>
      </c>
      <c r="H3095">
        <v>10358497</v>
      </c>
      <c r="I3095">
        <v>55361737</v>
      </c>
      <c r="J3095">
        <v>6</v>
      </c>
    </row>
    <row r="3096" spans="1:10" x14ac:dyDescent="0.25">
      <c r="A3096" t="s">
        <v>32</v>
      </c>
      <c r="B3096" s="1" t="str">
        <f>HYPERLINK("http://inauth.com","inauth.com")</f>
        <v>inauth.com</v>
      </c>
      <c r="C3096" t="s">
        <v>433</v>
      </c>
      <c r="E3096">
        <v>29587</v>
      </c>
      <c r="F3096">
        <v>6.2948552801960994E-8</v>
      </c>
      <c r="G3096">
        <v>693447</v>
      </c>
      <c r="H3096">
        <v>13538797</v>
      </c>
      <c r="I3096">
        <v>9908167</v>
      </c>
      <c r="J3096">
        <v>6</v>
      </c>
    </row>
    <row r="3097" spans="1:10" x14ac:dyDescent="0.25">
      <c r="A3097" t="s">
        <v>32</v>
      </c>
      <c r="B3097" s="1" t="str">
        <f>HYPERLINK("http://loungebuddy.com","loungebuddy.com")</f>
        <v>loungebuddy.com</v>
      </c>
      <c r="C3097" t="s">
        <v>433</v>
      </c>
      <c r="E3097">
        <v>112322</v>
      </c>
      <c r="F3097">
        <v>2.7202445058068001E-7</v>
      </c>
      <c r="G3097">
        <v>136807</v>
      </c>
      <c r="H3097">
        <v>15290016</v>
      </c>
      <c r="I3097">
        <v>386871</v>
      </c>
      <c r="J3097">
        <v>3</v>
      </c>
    </row>
    <row r="3098" spans="1:10" x14ac:dyDescent="0.25">
      <c r="A3098" t="s">
        <v>32</v>
      </c>
      <c r="B3098" s="1" t="str">
        <f>HYPERLINK("http://loyaltypartner.com","loyaltypartner.com")</f>
        <v>loyaltypartner.com</v>
      </c>
      <c r="C3098" t="s">
        <v>433</v>
      </c>
      <c r="F3098">
        <v>1.47975358633953E-8</v>
      </c>
      <c r="G3098">
        <v>3907972</v>
      </c>
      <c r="H3098">
        <v>14075969</v>
      </c>
      <c r="I3098">
        <v>2896708</v>
      </c>
      <c r="J3098">
        <v>4</v>
      </c>
    </row>
    <row r="3099" spans="1:10" x14ac:dyDescent="0.25">
      <c r="A3099" t="s">
        <v>32</v>
      </c>
      <c r="B3099" s="1" t="str">
        <f>HYPERLINK("http://lpsolutions.com","lpsolutions.com")</f>
        <v>lpsolutions.com</v>
      </c>
      <c r="C3099" t="s">
        <v>433</v>
      </c>
      <c r="F3099">
        <v>1.3195376400712801E-8</v>
      </c>
      <c r="G3099">
        <v>4540273</v>
      </c>
      <c r="H3099">
        <v>12366762</v>
      </c>
      <c r="I3099">
        <v>19469547</v>
      </c>
      <c r="J3099">
        <v>7</v>
      </c>
    </row>
    <row r="3100" spans="1:10" x14ac:dyDescent="0.25">
      <c r="A3100" t="s">
        <v>32</v>
      </c>
      <c r="B3100" s="1" t="str">
        <f>HYPERLINK("http://mezi.com","mezi.com")</f>
        <v>mezi.com</v>
      </c>
      <c r="C3100" t="s">
        <v>433</v>
      </c>
      <c r="F3100">
        <v>4.81348713759228E-8</v>
      </c>
      <c r="G3100">
        <v>965422</v>
      </c>
      <c r="H3100">
        <v>13573718</v>
      </c>
      <c r="I3100">
        <v>9708957</v>
      </c>
      <c r="J3100">
        <v>4</v>
      </c>
    </row>
    <row r="3101" spans="1:10" x14ac:dyDescent="0.25">
      <c r="A3101" t="s">
        <v>32</v>
      </c>
      <c r="B3101" s="1" t="str">
        <f>HYPERLINK("http://open.com","open.com")</f>
        <v>open.com</v>
      </c>
      <c r="C3101" t="s">
        <v>433</v>
      </c>
      <c r="F3101">
        <v>6.2675934363292296E-8</v>
      </c>
      <c r="G3101">
        <v>699909</v>
      </c>
      <c r="H3101">
        <v>16759502</v>
      </c>
      <c r="I3101">
        <v>230250</v>
      </c>
      <c r="J3101">
        <v>3</v>
      </c>
    </row>
    <row r="3102" spans="1:10" x14ac:dyDescent="0.25">
      <c r="A3102" t="s">
        <v>32</v>
      </c>
      <c r="B3102" s="1" t="str">
        <f>HYPERLINK("http://resy.com","resy.com")</f>
        <v>resy.com</v>
      </c>
      <c r="C3102" t="s">
        <v>433</v>
      </c>
      <c r="E3102">
        <v>9811</v>
      </c>
      <c r="F3102">
        <v>5.7587649118987402E-6</v>
      </c>
      <c r="G3102">
        <v>6026</v>
      </c>
      <c r="H3102">
        <v>15572297</v>
      </c>
      <c r="I3102">
        <v>373150</v>
      </c>
      <c r="J3102">
        <v>7</v>
      </c>
    </row>
    <row r="3103" spans="1:10" x14ac:dyDescent="0.25">
      <c r="A3103" t="s">
        <v>32</v>
      </c>
      <c r="B3103" s="1" t="str">
        <f>HYPERLINK("http://servyapp.com","servyapp.com")</f>
        <v>servyapp.com</v>
      </c>
      <c r="C3103" t="s">
        <v>433</v>
      </c>
      <c r="F3103">
        <v>8.7785064524297002E-9</v>
      </c>
      <c r="G3103">
        <v>8345574</v>
      </c>
      <c r="H3103">
        <v>13250752</v>
      </c>
      <c r="I3103">
        <v>11082395</v>
      </c>
      <c r="J3103">
        <v>10</v>
      </c>
    </row>
    <row r="3104" spans="1:10" x14ac:dyDescent="0.25">
      <c r="A3104" t="s">
        <v>32</v>
      </c>
      <c r="B3104" s="1" t="str">
        <f>HYPERLINK("http://americanexpress.cz","americanexpress.cz")</f>
        <v>americanexpress.cz</v>
      </c>
      <c r="C3104" t="s">
        <v>435</v>
      </c>
      <c r="D3104" t="s">
        <v>814</v>
      </c>
      <c r="F3104">
        <v>4.7563555742736603E-9</v>
      </c>
      <c r="G3104">
        <v>38044825</v>
      </c>
      <c r="H3104">
        <v>8826975</v>
      </c>
      <c r="I3104">
        <v>69278900</v>
      </c>
      <c r="J3104">
        <v>2</v>
      </c>
    </row>
    <row r="3105" spans="1:10" x14ac:dyDescent="0.25">
      <c r="A3105" t="s">
        <v>32</v>
      </c>
      <c r="B3105" s="1" t="str">
        <f>HYPERLINK("http://americanexpress.de","americanexpress.de")</f>
        <v>americanexpress.de</v>
      </c>
      <c r="C3105" t="s">
        <v>436</v>
      </c>
      <c r="D3105" t="s">
        <v>815</v>
      </c>
      <c r="E3105">
        <v>649847</v>
      </c>
      <c r="F3105">
        <v>9.5673158423022895E-8</v>
      </c>
      <c r="G3105">
        <v>423232</v>
      </c>
      <c r="H3105">
        <v>14092554</v>
      </c>
      <c r="I3105">
        <v>2739082</v>
      </c>
      <c r="J3105">
        <v>2</v>
      </c>
    </row>
    <row r="3106" spans="1:10" x14ac:dyDescent="0.25">
      <c r="A3106" t="s">
        <v>32</v>
      </c>
      <c r="B3106" s="1" t="str">
        <f>HYPERLINK("http://loungebuddy.de","loungebuddy.de")</f>
        <v>loungebuddy.de</v>
      </c>
      <c r="C3106" t="s">
        <v>436</v>
      </c>
      <c r="D3106" t="s">
        <v>815</v>
      </c>
      <c r="F3106">
        <v>9.8754144546263993E-9</v>
      </c>
      <c r="G3106">
        <v>6885901</v>
      </c>
      <c r="H3106">
        <v>12543792</v>
      </c>
      <c r="I3106">
        <v>16896698</v>
      </c>
      <c r="J3106">
        <v>4</v>
      </c>
    </row>
    <row r="3107" spans="1:10" x14ac:dyDescent="0.25">
      <c r="A3107" t="s">
        <v>32</v>
      </c>
      <c r="B3107" s="1" t="str">
        <f>HYPERLINK("http://payback.de","payback.de")</f>
        <v>payback.de</v>
      </c>
      <c r="C3107" t="s">
        <v>436</v>
      </c>
      <c r="D3107" t="s">
        <v>815</v>
      </c>
      <c r="E3107">
        <v>24740</v>
      </c>
      <c r="F3107">
        <v>8.8344522814073298E-7</v>
      </c>
      <c r="G3107">
        <v>45493</v>
      </c>
      <c r="H3107">
        <v>17144608</v>
      </c>
      <c r="I3107">
        <v>53313</v>
      </c>
      <c r="J3107">
        <v>4</v>
      </c>
    </row>
    <row r="3108" spans="1:10" x14ac:dyDescent="0.25">
      <c r="A3108" t="s">
        <v>32</v>
      </c>
      <c r="B3108" s="1" t="str">
        <f>HYPERLINK("http://pb-nonprod.de","pb-nonprod.de")</f>
        <v>pb-nonprod.de</v>
      </c>
      <c r="C3108" t="s">
        <v>436</v>
      </c>
      <c r="D3108" t="s">
        <v>815</v>
      </c>
      <c r="J3108">
        <v>6</v>
      </c>
    </row>
    <row r="3109" spans="1:10" x14ac:dyDescent="0.25">
      <c r="A3109" t="s">
        <v>32</v>
      </c>
      <c r="B3109" s="1" t="str">
        <f>HYPERLINK("http://americanexpress.dk","americanexpress.dk")</f>
        <v>americanexpress.dk</v>
      </c>
      <c r="C3109" t="s">
        <v>437</v>
      </c>
      <c r="D3109" t="s">
        <v>816</v>
      </c>
      <c r="F3109">
        <v>6.7975567188117597E-9</v>
      </c>
      <c r="G3109">
        <v>12969147</v>
      </c>
      <c r="H3109">
        <v>12828373</v>
      </c>
      <c r="I3109">
        <v>14444498</v>
      </c>
      <c r="J3109">
        <v>2</v>
      </c>
    </row>
    <row r="3110" spans="1:10" x14ac:dyDescent="0.25">
      <c r="A3110" t="s">
        <v>32</v>
      </c>
      <c r="B3110" s="1" t="str">
        <f>HYPERLINK("http://americanexpress.com.eg","americanexpress.com.eg")</f>
        <v>americanexpress.com.eg</v>
      </c>
      <c r="C3110" t="s">
        <v>442</v>
      </c>
      <c r="D3110" t="s">
        <v>821</v>
      </c>
      <c r="F3110">
        <v>5.0596533159071503E-9</v>
      </c>
      <c r="G3110">
        <v>28009600</v>
      </c>
      <c r="H3110">
        <v>10153447</v>
      </c>
      <c r="I3110">
        <v>59421393</v>
      </c>
      <c r="J3110">
        <v>3</v>
      </c>
    </row>
    <row r="3111" spans="1:10" x14ac:dyDescent="0.25">
      <c r="A3111" t="s">
        <v>32</v>
      </c>
      <c r="B3111" s="1" t="str">
        <f>HYPERLINK("http://americanexpress.es","americanexpress.es")</f>
        <v>americanexpress.es</v>
      </c>
      <c r="C3111" t="s">
        <v>443</v>
      </c>
      <c r="D3111" t="s">
        <v>822</v>
      </c>
      <c r="F3111">
        <v>4.4563028875366003E-8</v>
      </c>
      <c r="G3111">
        <v>1063099</v>
      </c>
      <c r="H3111">
        <v>13014366</v>
      </c>
      <c r="I3111">
        <v>12734491</v>
      </c>
      <c r="J3111">
        <v>2</v>
      </c>
    </row>
    <row r="3112" spans="1:10" x14ac:dyDescent="0.25">
      <c r="A3112" t="s">
        <v>32</v>
      </c>
      <c r="B3112" s="1" t="str">
        <f>HYPERLINK("http://aebt.fi","aebt.fi")</f>
        <v>aebt.fi</v>
      </c>
      <c r="C3112" t="s">
        <v>445</v>
      </c>
      <c r="D3112" t="s">
        <v>823</v>
      </c>
      <c r="J3112">
        <v>4</v>
      </c>
    </row>
    <row r="3113" spans="1:10" x14ac:dyDescent="0.25">
      <c r="A3113" t="s">
        <v>32</v>
      </c>
      <c r="B3113" s="1" t="str">
        <f>HYPERLINK("http://aexp.fi","aexp.fi")</f>
        <v>aexp.fi</v>
      </c>
      <c r="C3113" t="s">
        <v>445</v>
      </c>
      <c r="D3113" t="s">
        <v>823</v>
      </c>
      <c r="J3113">
        <v>4</v>
      </c>
    </row>
    <row r="3114" spans="1:10" x14ac:dyDescent="0.25">
      <c r="A3114" t="s">
        <v>32</v>
      </c>
      <c r="B3114" s="1" t="str">
        <f>HYPERLINK("http://american-express.fi","american-express.fi")</f>
        <v>american-express.fi</v>
      </c>
      <c r="C3114" t="s">
        <v>445</v>
      </c>
      <c r="D3114" t="s">
        <v>823</v>
      </c>
      <c r="J3114">
        <v>4</v>
      </c>
    </row>
    <row r="3115" spans="1:10" x14ac:dyDescent="0.25">
      <c r="A3115" t="s">
        <v>32</v>
      </c>
      <c r="B3115" s="1" t="str">
        <f>HYPERLINK("http://americanexpress.fi","americanexpress.fi")</f>
        <v>americanexpress.fi</v>
      </c>
      <c r="C3115" t="s">
        <v>445</v>
      </c>
      <c r="D3115" t="s">
        <v>823</v>
      </c>
      <c r="F3115">
        <v>7.24860859014581E-9</v>
      </c>
      <c r="G3115">
        <v>11609250</v>
      </c>
      <c r="H3115">
        <v>14075363</v>
      </c>
      <c r="I3115">
        <v>2911175</v>
      </c>
      <c r="J3115">
        <v>2</v>
      </c>
    </row>
    <row r="3116" spans="1:10" x14ac:dyDescent="0.25">
      <c r="A3116" t="s">
        <v>32</v>
      </c>
      <c r="B3116" s="1" t="str">
        <f>HYPERLINK("http://americanexpressgbt.fi","americanexpressgbt.fi")</f>
        <v>americanexpressgbt.fi</v>
      </c>
      <c r="C3116" t="s">
        <v>445</v>
      </c>
      <c r="D3116" t="s">
        <v>823</v>
      </c>
      <c r="J3116">
        <v>7</v>
      </c>
    </row>
    <row r="3117" spans="1:10" x14ac:dyDescent="0.25">
      <c r="A3117" t="s">
        <v>32</v>
      </c>
      <c r="B3117" s="1" t="str">
        <f>HYPERLINK("http://americanexpressliput.fi","americanexpressliput.fi")</f>
        <v>americanexpressliput.fi</v>
      </c>
      <c r="C3117" t="s">
        <v>445</v>
      </c>
      <c r="D3117" t="s">
        <v>823</v>
      </c>
      <c r="F3117">
        <v>7.2574918006773804E-9</v>
      </c>
      <c r="G3117">
        <v>11585323</v>
      </c>
      <c r="H3117">
        <v>11153264</v>
      </c>
      <c r="I3117">
        <v>31691819</v>
      </c>
      <c r="J3117">
        <v>4</v>
      </c>
    </row>
    <row r="3118" spans="1:10" x14ac:dyDescent="0.25">
      <c r="A3118" t="s">
        <v>32</v>
      </c>
      <c r="B3118" s="1" t="str">
        <f>HYPERLINK("http://americanexpressred.fi","americanexpressred.fi")</f>
        <v>americanexpressred.fi</v>
      </c>
      <c r="C3118" t="s">
        <v>445</v>
      </c>
      <c r="D3118" t="s">
        <v>823</v>
      </c>
      <c r="J3118">
        <v>4</v>
      </c>
    </row>
    <row r="3119" spans="1:10" x14ac:dyDescent="0.25">
      <c r="A3119" t="s">
        <v>32</v>
      </c>
      <c r="B3119" s="1" t="str">
        <f>HYPERLINK("http://amex-corporate-card.fi","amex-corporate-card.fi")</f>
        <v>amex-corporate-card.fi</v>
      </c>
      <c r="C3119" t="s">
        <v>445</v>
      </c>
      <c r="D3119" t="s">
        <v>823</v>
      </c>
      <c r="J3119">
        <v>4</v>
      </c>
    </row>
    <row r="3120" spans="1:10" x14ac:dyDescent="0.25">
      <c r="A3120" t="s">
        <v>32</v>
      </c>
      <c r="B3120" s="1" t="str">
        <f>HYPERLINK("http://amexgbt.fi","amexgbt.fi")</f>
        <v>amexgbt.fi</v>
      </c>
      <c r="C3120" t="s">
        <v>445</v>
      </c>
      <c r="D3120" t="s">
        <v>823</v>
      </c>
      <c r="J3120">
        <v>7</v>
      </c>
    </row>
    <row r="3121" spans="1:10" x14ac:dyDescent="0.25">
      <c r="A3121" t="s">
        <v>32</v>
      </c>
      <c r="B3121" s="1" t="str">
        <f>HYPERLINK("http://amexglobalbusinesstravel.fi","amexglobalbusinesstravel.fi")</f>
        <v>amexglobalbusinesstravel.fi</v>
      </c>
      <c r="C3121" t="s">
        <v>445</v>
      </c>
      <c r="D3121" t="s">
        <v>823</v>
      </c>
      <c r="F3121">
        <v>1.8325538086803202E-8</v>
      </c>
      <c r="G3121">
        <v>2962471</v>
      </c>
      <c r="H3121">
        <v>12778968</v>
      </c>
      <c r="I3121">
        <v>14774930</v>
      </c>
      <c r="J3121">
        <v>4</v>
      </c>
    </row>
    <row r="3122" spans="1:10" x14ac:dyDescent="0.25">
      <c r="A3122" t="s">
        <v>32</v>
      </c>
      <c r="B3122" s="1" t="str">
        <f>HYPERLINK("http://amexliput.fi","amexliput.fi")</f>
        <v>amexliput.fi</v>
      </c>
      <c r="C3122" t="s">
        <v>445</v>
      </c>
      <c r="D3122" t="s">
        <v>823</v>
      </c>
      <c r="F3122">
        <v>1.0860170062756E-8</v>
      </c>
      <c r="G3122">
        <v>5972914</v>
      </c>
      <c r="H3122">
        <v>12853344</v>
      </c>
      <c r="I3122">
        <v>14243866</v>
      </c>
      <c r="J3122">
        <v>4</v>
      </c>
    </row>
    <row r="3123" spans="1:10" x14ac:dyDescent="0.25">
      <c r="A3123" t="s">
        <v>32</v>
      </c>
      <c r="B3123" s="1" t="str">
        <f>HYPERLINK("http://amexmeetingsandevents.fi","amexmeetingsandevents.fi")</f>
        <v>amexmeetingsandevents.fi</v>
      </c>
      <c r="C3123" t="s">
        <v>445</v>
      </c>
      <c r="D3123" t="s">
        <v>823</v>
      </c>
      <c r="J3123">
        <v>7</v>
      </c>
    </row>
    <row r="3124" spans="1:10" x14ac:dyDescent="0.25">
      <c r="A3124" t="s">
        <v>32</v>
      </c>
      <c r="B3124" s="1" t="str">
        <f>HYPERLINK("http://amexmobile.fi","amexmobile.fi")</f>
        <v>amexmobile.fi</v>
      </c>
      <c r="C3124" t="s">
        <v>445</v>
      </c>
      <c r="D3124" t="s">
        <v>823</v>
      </c>
      <c r="J3124">
        <v>4</v>
      </c>
    </row>
    <row r="3125" spans="1:10" x14ac:dyDescent="0.25">
      <c r="A3125" t="s">
        <v>32</v>
      </c>
      <c r="B3125" s="1" t="str">
        <f>HYPERLINK("http://area.fi","area.fi")</f>
        <v>area.fi</v>
      </c>
      <c r="C3125" t="s">
        <v>445</v>
      </c>
      <c r="D3125" t="s">
        <v>823</v>
      </c>
      <c r="E3125">
        <v>895849</v>
      </c>
      <c r="F3125">
        <v>6.33229309130724E-9</v>
      </c>
      <c r="G3125">
        <v>14877893</v>
      </c>
      <c r="H3125">
        <v>14236139</v>
      </c>
      <c r="I3125">
        <v>1607058</v>
      </c>
      <c r="J3125">
        <v>7</v>
      </c>
    </row>
    <row r="3126" spans="1:10" x14ac:dyDescent="0.25">
      <c r="A3126" t="s">
        <v>32</v>
      </c>
      <c r="B3126" s="1" t="str">
        <f>HYPERLINK("http://avaamahdollisuudet.fi","avaamahdollisuudet.fi")</f>
        <v>avaamahdollisuudet.fi</v>
      </c>
      <c r="C3126" t="s">
        <v>445</v>
      </c>
      <c r="D3126" t="s">
        <v>823</v>
      </c>
      <c r="J3126">
        <v>4</v>
      </c>
    </row>
    <row r="3127" spans="1:10" x14ac:dyDescent="0.25">
      <c r="A3127" t="s">
        <v>32</v>
      </c>
      <c r="B3127" s="1" t="str">
        <f>HYPERLINK("http://bluenordic.fi","bluenordic.fi")</f>
        <v>bluenordic.fi</v>
      </c>
      <c r="C3127" t="s">
        <v>445</v>
      </c>
      <c r="D3127" t="s">
        <v>823</v>
      </c>
      <c r="F3127">
        <v>4.8441236782049803E-9</v>
      </c>
      <c r="G3127">
        <v>34336956</v>
      </c>
      <c r="H3127">
        <v>10371331</v>
      </c>
      <c r="I3127">
        <v>54817356</v>
      </c>
      <c r="J3127">
        <v>7</v>
      </c>
    </row>
    <row r="3128" spans="1:10" x14ac:dyDescent="0.25">
      <c r="A3128" t="s">
        <v>32</v>
      </c>
      <c r="B3128" s="1" t="str">
        <f>HYPERLINK("http://efgs2018.fi","efgs2018.fi")</f>
        <v>efgs2018.fi</v>
      </c>
      <c r="C3128" t="s">
        <v>445</v>
      </c>
      <c r="D3128" t="s">
        <v>823</v>
      </c>
      <c r="F3128">
        <v>8.6145513530484399E-9</v>
      </c>
      <c r="G3128">
        <v>8630616</v>
      </c>
      <c r="H3128">
        <v>12257103</v>
      </c>
      <c r="I3128">
        <v>21844870</v>
      </c>
      <c r="J3128">
        <v>7</v>
      </c>
    </row>
    <row r="3129" spans="1:10" x14ac:dyDescent="0.25">
      <c r="A3129" t="s">
        <v>32</v>
      </c>
      <c r="B3129" s="1" t="str">
        <f>HYPERLINK("http://etumatkat.fi","etumatkat.fi")</f>
        <v>etumatkat.fi</v>
      </c>
      <c r="C3129" t="s">
        <v>445</v>
      </c>
      <c r="D3129" t="s">
        <v>823</v>
      </c>
      <c r="J3129">
        <v>7</v>
      </c>
    </row>
    <row r="3130" spans="1:10" x14ac:dyDescent="0.25">
      <c r="A3130" t="s">
        <v>32</v>
      </c>
      <c r="B3130" s="1" t="str">
        <f>HYPERLINK("http://gbt.fi","gbt.fi")</f>
        <v>gbt.fi</v>
      </c>
      <c r="C3130" t="s">
        <v>445</v>
      </c>
      <c r="D3130" t="s">
        <v>823</v>
      </c>
      <c r="J3130">
        <v>7</v>
      </c>
    </row>
    <row r="3131" spans="1:10" x14ac:dyDescent="0.25">
      <c r="A3131" t="s">
        <v>32</v>
      </c>
      <c r="B3131" s="1" t="str">
        <f>HYPERLINK("http://gbtfinland.fi","gbtfinland.fi")</f>
        <v>gbtfinland.fi</v>
      </c>
      <c r="C3131" t="s">
        <v>445</v>
      </c>
      <c r="D3131" t="s">
        <v>823</v>
      </c>
      <c r="J3131">
        <v>7</v>
      </c>
    </row>
    <row r="3132" spans="1:10" x14ac:dyDescent="0.25">
      <c r="A3132" t="s">
        <v>32</v>
      </c>
      <c r="B3132" s="1" t="str">
        <f>HYPERLINK("http://gbtmeetingsandevents.fi","gbtmeetingsandevents.fi")</f>
        <v>gbtmeetingsandevents.fi</v>
      </c>
      <c r="C3132" t="s">
        <v>445</v>
      </c>
      <c r="D3132" t="s">
        <v>823</v>
      </c>
      <c r="J3132">
        <v>7</v>
      </c>
    </row>
    <row r="3133" spans="1:10" x14ac:dyDescent="0.25">
      <c r="A3133" t="s">
        <v>32</v>
      </c>
      <c r="B3133" s="1" t="str">
        <f>HYPERLINK("http://globalbusinesstravel.fi","globalbusinesstravel.fi")</f>
        <v>globalbusinesstravel.fi</v>
      </c>
      <c r="C3133" t="s">
        <v>445</v>
      </c>
      <c r="D3133" t="s">
        <v>823</v>
      </c>
      <c r="J3133">
        <v>7</v>
      </c>
    </row>
    <row r="3134" spans="1:10" x14ac:dyDescent="0.25">
      <c r="A3134" t="s">
        <v>32</v>
      </c>
      <c r="B3134" s="1" t="str">
        <f>HYPERLINK("http://loungebuddy.fi","loungebuddy.fi")</f>
        <v>loungebuddy.fi</v>
      </c>
      <c r="C3134" t="s">
        <v>445</v>
      </c>
      <c r="D3134" t="s">
        <v>823</v>
      </c>
      <c r="J3134">
        <v>4</v>
      </c>
    </row>
    <row r="3135" spans="1:10" x14ac:dyDescent="0.25">
      <c r="A3135" t="s">
        <v>32</v>
      </c>
      <c r="B3135" s="1" t="str">
        <f>HYPERLINK("http://meetingsandevents.fi","meetingsandevents.fi")</f>
        <v>meetingsandevents.fi</v>
      </c>
      <c r="C3135" t="s">
        <v>445</v>
      </c>
      <c r="D3135" t="s">
        <v>823</v>
      </c>
      <c r="J3135">
        <v>7</v>
      </c>
    </row>
    <row r="3136" spans="1:10" x14ac:dyDescent="0.25">
      <c r="A3136" t="s">
        <v>32</v>
      </c>
      <c r="B3136" s="1" t="str">
        <f>HYPERLINK("http://membershiprewards.fi","membershiprewards.fi")</f>
        <v>membershiprewards.fi</v>
      </c>
      <c r="C3136" t="s">
        <v>445</v>
      </c>
      <c r="D3136" t="s">
        <v>823</v>
      </c>
      <c r="F3136">
        <v>7.8399752394849898E-9</v>
      </c>
      <c r="G3136">
        <v>10235146</v>
      </c>
      <c r="H3136">
        <v>12828360</v>
      </c>
      <c r="I3136">
        <v>14444607</v>
      </c>
      <c r="J3136">
        <v>4</v>
      </c>
    </row>
    <row r="3137" spans="1:10" x14ac:dyDescent="0.25">
      <c r="A3137" t="s">
        <v>32</v>
      </c>
      <c r="B3137" s="1" t="str">
        <f>HYPERLINK("http://mybti.fi","mybti.fi")</f>
        <v>mybti.fi</v>
      </c>
      <c r="C3137" t="s">
        <v>445</v>
      </c>
      <c r="D3137" t="s">
        <v>823</v>
      </c>
      <c r="J3137">
        <v>7</v>
      </c>
    </row>
    <row r="3138" spans="1:10" x14ac:dyDescent="0.25">
      <c r="A3138" t="s">
        <v>32</v>
      </c>
      <c r="B3138" s="1" t="str">
        <f>HYPERLINK("http://platinumcard.fi","platinumcard.fi")</f>
        <v>platinumcard.fi</v>
      </c>
      <c r="C3138" t="s">
        <v>445</v>
      </c>
      <c r="D3138" t="s">
        <v>823</v>
      </c>
      <c r="J3138">
        <v>4</v>
      </c>
    </row>
    <row r="3139" spans="1:10" x14ac:dyDescent="0.25">
      <c r="A3139" t="s">
        <v>32</v>
      </c>
      <c r="B3139" s="1" t="str">
        <f>HYPERLINK("http://plussamatka.fi","plussamatka.fi")</f>
        <v>plussamatka.fi</v>
      </c>
      <c r="C3139" t="s">
        <v>445</v>
      </c>
      <c r="D3139" t="s">
        <v>823</v>
      </c>
      <c r="J3139">
        <v>7</v>
      </c>
    </row>
    <row r="3140" spans="1:10" x14ac:dyDescent="0.25">
      <c r="A3140" t="s">
        <v>32</v>
      </c>
      <c r="B3140" s="1" t="str">
        <f>HYPERLINK("http://suomenmatkatoimisto.fi","suomenmatkatoimisto.fi")</f>
        <v>suomenmatkatoimisto.fi</v>
      </c>
      <c r="C3140" t="s">
        <v>445</v>
      </c>
      <c r="D3140" t="s">
        <v>823</v>
      </c>
      <c r="J3140">
        <v>7</v>
      </c>
    </row>
    <row r="3141" spans="1:10" x14ac:dyDescent="0.25">
      <c r="A3141" t="s">
        <v>32</v>
      </c>
      <c r="B3141" s="1" t="str">
        <f>HYPERLINK("http://ystavatarjous.fi","ystavatarjous.fi")</f>
        <v>ystavatarjous.fi</v>
      </c>
      <c r="C3141" t="s">
        <v>445</v>
      </c>
      <c r="D3141" t="s">
        <v>823</v>
      </c>
      <c r="J3141">
        <v>4</v>
      </c>
    </row>
    <row r="3142" spans="1:10" x14ac:dyDescent="0.25">
      <c r="A3142" t="s">
        <v>32</v>
      </c>
      <c r="B3142" s="1" t="str">
        <f>HYPERLINK("http://americanexpress.fr","americanexpress.fr")</f>
        <v>americanexpress.fr</v>
      </c>
      <c r="C3142" t="s">
        <v>446</v>
      </c>
      <c r="D3142" t="s">
        <v>824</v>
      </c>
      <c r="F3142">
        <v>2.3999423781560902E-7</v>
      </c>
      <c r="G3142">
        <v>155901</v>
      </c>
      <c r="H3142">
        <v>13450729</v>
      </c>
      <c r="I3142">
        <v>10208197</v>
      </c>
      <c r="J3142">
        <v>2</v>
      </c>
    </row>
    <row r="3143" spans="1:10" x14ac:dyDescent="0.25">
      <c r="A3143" t="s">
        <v>32</v>
      </c>
      <c r="B3143" s="1" t="str">
        <f>HYPERLINK("http://loungebuddy.fr","loungebuddy.fr")</f>
        <v>loungebuddy.fr</v>
      </c>
      <c r="C3143" t="s">
        <v>446</v>
      </c>
      <c r="D3143" t="s">
        <v>824</v>
      </c>
      <c r="F3143">
        <v>8.0524626559566196E-9</v>
      </c>
      <c r="G3143">
        <v>9825973</v>
      </c>
      <c r="H3143">
        <v>12303638</v>
      </c>
      <c r="I3143">
        <v>20759159</v>
      </c>
      <c r="J3143">
        <v>4</v>
      </c>
    </row>
    <row r="3144" spans="1:10" x14ac:dyDescent="0.25">
      <c r="A3144" t="s">
        <v>32</v>
      </c>
      <c r="B3144" s="1" t="str">
        <f>HYPERLINK("http://payback.group","payback.group")</f>
        <v>payback.group</v>
      </c>
      <c r="C3144" t="s">
        <v>602</v>
      </c>
      <c r="F3144">
        <v>1.7732681341024799E-7</v>
      </c>
      <c r="G3144">
        <v>218119</v>
      </c>
      <c r="H3144">
        <v>14095030</v>
      </c>
      <c r="I3144">
        <v>2730380</v>
      </c>
      <c r="J3144">
        <v>3</v>
      </c>
    </row>
    <row r="3145" spans="1:10" x14ac:dyDescent="0.25">
      <c r="A3145" t="s">
        <v>32</v>
      </c>
      <c r="B3145" s="1" t="str">
        <f>HYPERLINK("http://americanexpress.com.hk","americanexpress.com.hk")</f>
        <v>americanexpress.com.hk</v>
      </c>
      <c r="C3145" t="s">
        <v>450</v>
      </c>
      <c r="D3145" t="s">
        <v>827</v>
      </c>
      <c r="F3145">
        <v>6.6555261222072395E-8</v>
      </c>
      <c r="G3145">
        <v>643633</v>
      </c>
      <c r="H3145">
        <v>14577609</v>
      </c>
      <c r="I3145">
        <v>717366</v>
      </c>
      <c r="J3145">
        <v>2</v>
      </c>
    </row>
    <row r="3146" spans="1:10" x14ac:dyDescent="0.25">
      <c r="A3146" t="s">
        <v>32</v>
      </c>
      <c r="B3146" s="1" t="str">
        <f>HYPERLINK("http://americanexpress.co.il","americanexpress.co.il")</f>
        <v>americanexpress.co.il</v>
      </c>
      <c r="C3146" t="s">
        <v>456</v>
      </c>
      <c r="D3146" t="s">
        <v>833</v>
      </c>
      <c r="E3146">
        <v>335176</v>
      </c>
      <c r="F3146">
        <v>1.6183851857988002E-8</v>
      </c>
      <c r="G3146">
        <v>3499533</v>
      </c>
      <c r="H3146">
        <v>14377947</v>
      </c>
      <c r="I3146">
        <v>1206966</v>
      </c>
      <c r="J3146">
        <v>2</v>
      </c>
    </row>
    <row r="3147" spans="1:10" x14ac:dyDescent="0.25">
      <c r="A3147" t="s">
        <v>32</v>
      </c>
      <c r="B3147" s="1" t="str">
        <f>HYPERLINK("http://americanexpress.co.in","americanexpress.co.in")</f>
        <v>americanexpress.co.in</v>
      </c>
      <c r="C3147" t="s">
        <v>457</v>
      </c>
      <c r="D3147" t="s">
        <v>834</v>
      </c>
      <c r="E3147">
        <v>727750</v>
      </c>
      <c r="F3147">
        <v>5.6285698546905902E-8</v>
      </c>
      <c r="G3147">
        <v>794969</v>
      </c>
      <c r="H3147">
        <v>13206344</v>
      </c>
      <c r="I3147">
        <v>11526929</v>
      </c>
      <c r="J3147">
        <v>2</v>
      </c>
    </row>
    <row r="3148" spans="1:10" x14ac:dyDescent="0.25">
      <c r="A3148" t="s">
        <v>32</v>
      </c>
      <c r="B3148" s="1" t="str">
        <f>HYPERLINK("http://payback.in","payback.in")</f>
        <v>payback.in</v>
      </c>
      <c r="C3148" t="s">
        <v>457</v>
      </c>
      <c r="D3148" t="s">
        <v>834</v>
      </c>
      <c r="E3148">
        <v>193415</v>
      </c>
      <c r="F3148">
        <v>8.5544123562418294E-8</v>
      </c>
      <c r="G3148">
        <v>481733</v>
      </c>
      <c r="H3148">
        <v>16923386</v>
      </c>
      <c r="I3148">
        <v>125565</v>
      </c>
      <c r="J3148">
        <v>6</v>
      </c>
    </row>
    <row r="3149" spans="1:10" x14ac:dyDescent="0.25">
      <c r="A3149" t="s">
        <v>32</v>
      </c>
      <c r="B3149" s="1" t="str">
        <f>HYPERLINK("http://pb-nonprod.io","pb-nonprod.io")</f>
        <v>pb-nonprod.io</v>
      </c>
      <c r="C3149" t="s">
        <v>518</v>
      </c>
      <c r="J3149">
        <v>6</v>
      </c>
    </row>
    <row r="3150" spans="1:10" x14ac:dyDescent="0.25">
      <c r="A3150" t="s">
        <v>32</v>
      </c>
      <c r="B3150" s="1" t="str">
        <f>HYPERLINK("http://pb-prod.io","pb-prod.io")</f>
        <v>pb-prod.io</v>
      </c>
      <c r="C3150" t="s">
        <v>518</v>
      </c>
      <c r="J3150">
        <v>6</v>
      </c>
    </row>
    <row r="3151" spans="1:10" x14ac:dyDescent="0.25">
      <c r="A3151" t="s">
        <v>32</v>
      </c>
      <c r="B3151" s="1" t="str">
        <f>HYPERLINK("http://americanexpress.it","americanexpress.it")</f>
        <v>americanexpress.it</v>
      </c>
      <c r="C3151" t="s">
        <v>459</v>
      </c>
      <c r="D3151" t="s">
        <v>835</v>
      </c>
      <c r="E3151">
        <v>692209</v>
      </c>
      <c r="F3151">
        <v>9.5097366349324102E-8</v>
      </c>
      <c r="G3151">
        <v>426228</v>
      </c>
      <c r="H3151">
        <v>14235443</v>
      </c>
      <c r="I3151">
        <v>1668227</v>
      </c>
      <c r="J3151">
        <v>2</v>
      </c>
    </row>
    <row r="3152" spans="1:10" x14ac:dyDescent="0.25">
      <c r="A3152" t="s">
        <v>32</v>
      </c>
      <c r="B3152" s="1" t="str">
        <f>HYPERLINK("http://payback.it","payback.it")</f>
        <v>payback.it</v>
      </c>
      <c r="C3152" t="s">
        <v>459</v>
      </c>
      <c r="D3152" t="s">
        <v>835</v>
      </c>
      <c r="E3152">
        <v>312999</v>
      </c>
      <c r="F3152">
        <v>1.7354532327103701E-7</v>
      </c>
      <c r="G3152">
        <v>223468</v>
      </c>
      <c r="H3152">
        <v>14258728</v>
      </c>
      <c r="I3152">
        <v>1424230</v>
      </c>
      <c r="J3152">
        <v>7</v>
      </c>
    </row>
    <row r="3153" spans="1:10" x14ac:dyDescent="0.25">
      <c r="A3153" t="s">
        <v>32</v>
      </c>
      <c r="B3153" s="1" t="str">
        <f>HYPERLINK("http://americanexpress.jp","americanexpress.jp")</f>
        <v>americanexpress.jp</v>
      </c>
      <c r="C3153" t="s">
        <v>461</v>
      </c>
      <c r="D3153" t="s">
        <v>837</v>
      </c>
      <c r="F3153">
        <v>4.6017774226390903E-9</v>
      </c>
      <c r="G3153">
        <v>47466641</v>
      </c>
      <c r="H3153">
        <v>11000732</v>
      </c>
      <c r="I3153">
        <v>33574296</v>
      </c>
      <c r="J3153">
        <v>2</v>
      </c>
    </row>
    <row r="3154" spans="1:10" x14ac:dyDescent="0.25">
      <c r="A3154" t="s">
        <v>32</v>
      </c>
      <c r="B3154" s="1" t="str">
        <f>HYPERLINK("http://americanexpress.co.jp","americanexpress.co.jp")</f>
        <v>americanexpress.co.jp</v>
      </c>
      <c r="C3154" t="s">
        <v>461</v>
      </c>
      <c r="D3154" t="s">
        <v>837</v>
      </c>
      <c r="F3154">
        <v>5.2982496877944697E-8</v>
      </c>
      <c r="G3154">
        <v>859611</v>
      </c>
      <c r="H3154">
        <v>13429435</v>
      </c>
      <c r="I3154">
        <v>10282853</v>
      </c>
      <c r="J3154">
        <v>2</v>
      </c>
    </row>
    <row r="3155" spans="1:10" x14ac:dyDescent="0.25">
      <c r="A3155" t="s">
        <v>32</v>
      </c>
      <c r="B3155" s="1" t="str">
        <f>HYPERLINK("http://pocket-concierge.jp","pocket-concierge.jp")</f>
        <v>pocket-concierge.jp</v>
      </c>
      <c r="C3155" t="s">
        <v>461</v>
      </c>
      <c r="D3155" t="s">
        <v>837</v>
      </c>
      <c r="E3155">
        <v>418001</v>
      </c>
      <c r="F3155">
        <v>2.5357978900814999E-7</v>
      </c>
      <c r="G3155">
        <v>147504</v>
      </c>
      <c r="H3155">
        <v>14213180</v>
      </c>
      <c r="I3155">
        <v>1698071</v>
      </c>
      <c r="J3155">
        <v>3</v>
      </c>
    </row>
    <row r="3156" spans="1:10" x14ac:dyDescent="0.25">
      <c r="A3156" t="s">
        <v>32</v>
      </c>
      <c r="B3156" s="1" t="str">
        <f>HYPERLINK("http://americanexpress.lk","americanexpress.lk")</f>
        <v>americanexpress.lk</v>
      </c>
      <c r="C3156" t="s">
        <v>466</v>
      </c>
      <c r="D3156" t="s">
        <v>842</v>
      </c>
      <c r="F3156">
        <v>9.8377225284161598E-9</v>
      </c>
      <c r="G3156">
        <v>6928936</v>
      </c>
      <c r="H3156">
        <v>13764182</v>
      </c>
      <c r="I3156">
        <v>7347037</v>
      </c>
      <c r="J3156">
        <v>2</v>
      </c>
    </row>
    <row r="3157" spans="1:10" x14ac:dyDescent="0.25">
      <c r="A3157" t="s">
        <v>32</v>
      </c>
      <c r="B3157" s="1" t="str">
        <f>HYPERLINK("http://americanexpress.lu","americanexpress.lu")</f>
        <v>americanexpress.lu</v>
      </c>
      <c r="C3157" t="s">
        <v>547</v>
      </c>
      <c r="D3157" t="s">
        <v>904</v>
      </c>
      <c r="F3157">
        <v>4.4438176373351598E-9</v>
      </c>
      <c r="G3157">
        <v>79278022</v>
      </c>
      <c r="H3157">
        <v>10349427</v>
      </c>
      <c r="I3157">
        <v>56440150</v>
      </c>
      <c r="J3157">
        <v>2</v>
      </c>
    </row>
    <row r="3158" spans="1:10" x14ac:dyDescent="0.25">
      <c r="A3158" t="s">
        <v>32</v>
      </c>
      <c r="B3158" s="1" t="str">
        <f>HYPERLINK("http://americanexpress.com.mo","americanexpress.com.mo")</f>
        <v>americanexpress.com.mo</v>
      </c>
      <c r="C3158" t="s">
        <v>548</v>
      </c>
      <c r="D3158" t="s">
        <v>905</v>
      </c>
      <c r="F3158">
        <v>6.9139184301835397E-9</v>
      </c>
      <c r="G3158">
        <v>12577386</v>
      </c>
      <c r="H3158">
        <v>14074922</v>
      </c>
      <c r="I3158">
        <v>2924980</v>
      </c>
      <c r="J3158">
        <v>2</v>
      </c>
    </row>
    <row r="3159" spans="1:10" x14ac:dyDescent="0.25">
      <c r="A3159" t="s">
        <v>32</v>
      </c>
      <c r="B3159" s="1" t="str">
        <f>HYPERLINK("http://americanexpress.com.mv","americanexpress.com.mv")</f>
        <v>americanexpress.com.mv</v>
      </c>
      <c r="C3159" t="s">
        <v>654</v>
      </c>
      <c r="D3159" t="s">
        <v>973</v>
      </c>
      <c r="F3159">
        <v>6.3987115266605702E-9</v>
      </c>
      <c r="G3159">
        <v>14522802</v>
      </c>
      <c r="H3159">
        <v>12828327</v>
      </c>
      <c r="I3159">
        <v>14445511</v>
      </c>
      <c r="J3159">
        <v>2</v>
      </c>
    </row>
    <row r="3160" spans="1:10" x14ac:dyDescent="0.25">
      <c r="A3160" t="s">
        <v>32</v>
      </c>
      <c r="B3160" s="1" t="str">
        <f>HYPERLINK("http://americanexpress.com.mx","americanexpress.com.mx")</f>
        <v>americanexpress.com.mx</v>
      </c>
      <c r="C3160" t="s">
        <v>471</v>
      </c>
      <c r="D3160" t="s">
        <v>847</v>
      </c>
      <c r="F3160">
        <v>4.2921455516335701E-8</v>
      </c>
      <c r="G3160">
        <v>1121879</v>
      </c>
      <c r="H3160">
        <v>13377270</v>
      </c>
      <c r="I3160">
        <v>10439043</v>
      </c>
      <c r="J3160">
        <v>2</v>
      </c>
    </row>
    <row r="3161" spans="1:10" x14ac:dyDescent="0.25">
      <c r="A3161" t="s">
        <v>32</v>
      </c>
      <c r="B3161" s="1" t="str">
        <f>HYPERLINK("http://loungebuddy.mx","loungebuddy.mx")</f>
        <v>loungebuddy.mx</v>
      </c>
      <c r="C3161" t="s">
        <v>471</v>
      </c>
      <c r="D3161" t="s">
        <v>847</v>
      </c>
      <c r="F3161">
        <v>7.3290885177610797E-9</v>
      </c>
      <c r="G3161">
        <v>11409832</v>
      </c>
      <c r="H3161">
        <v>11185170</v>
      </c>
      <c r="I3161">
        <v>31392283</v>
      </c>
      <c r="J3161">
        <v>4</v>
      </c>
    </row>
    <row r="3162" spans="1:10" x14ac:dyDescent="0.25">
      <c r="A3162" t="s">
        <v>32</v>
      </c>
      <c r="B3162" s="1" t="str">
        <f>HYPERLINK("http://payback.net","payback.net")</f>
        <v>payback.net</v>
      </c>
      <c r="C3162" t="s">
        <v>474</v>
      </c>
      <c r="F3162">
        <v>1.5072204042471E-7</v>
      </c>
      <c r="G3162">
        <v>257727</v>
      </c>
      <c r="H3162">
        <v>14146210</v>
      </c>
      <c r="I3162">
        <v>1896241</v>
      </c>
      <c r="J3162">
        <v>4</v>
      </c>
    </row>
    <row r="3163" spans="1:10" x14ac:dyDescent="0.25">
      <c r="A3163" t="s">
        <v>32</v>
      </c>
      <c r="B3163" s="1" t="str">
        <f>HYPERLINK("http://americanexpress.nl","americanexpress.nl")</f>
        <v>americanexpress.nl</v>
      </c>
      <c r="C3163" t="s">
        <v>477</v>
      </c>
      <c r="D3163" t="s">
        <v>852</v>
      </c>
      <c r="F3163">
        <v>5.8266594620118602E-8</v>
      </c>
      <c r="G3163">
        <v>763063</v>
      </c>
      <c r="H3163">
        <v>14037184</v>
      </c>
      <c r="I3163">
        <v>3912732</v>
      </c>
      <c r="J3163">
        <v>2</v>
      </c>
    </row>
    <row r="3164" spans="1:10" x14ac:dyDescent="0.25">
      <c r="A3164" t="s">
        <v>32</v>
      </c>
      <c r="B3164" s="1" t="str">
        <f>HYPERLINK("http://americanexpress.no","americanexpress.no")</f>
        <v>americanexpress.no</v>
      </c>
      <c r="C3164" t="s">
        <v>478</v>
      </c>
      <c r="D3164" t="s">
        <v>853</v>
      </c>
      <c r="F3164">
        <v>1.40376675230517E-8</v>
      </c>
      <c r="G3164">
        <v>4188569</v>
      </c>
      <c r="H3164">
        <v>12914135</v>
      </c>
      <c r="I3164">
        <v>13525682</v>
      </c>
      <c r="J3164">
        <v>2</v>
      </c>
    </row>
    <row r="3165" spans="1:10" x14ac:dyDescent="0.25">
      <c r="A3165" t="s">
        <v>32</v>
      </c>
      <c r="B3165" s="1" t="str">
        <f>HYPERLINK("http://americanexpress.co.nz","americanexpress.co.nz")</f>
        <v>americanexpress.co.nz</v>
      </c>
      <c r="C3165" t="s">
        <v>479</v>
      </c>
      <c r="D3165" t="s">
        <v>854</v>
      </c>
      <c r="F3165">
        <v>4.7308423132827103E-8</v>
      </c>
      <c r="G3165">
        <v>985180</v>
      </c>
      <c r="H3165">
        <v>12829085</v>
      </c>
      <c r="I3165">
        <v>14435541</v>
      </c>
      <c r="J3165">
        <v>2</v>
      </c>
    </row>
    <row r="3166" spans="1:10" x14ac:dyDescent="0.25">
      <c r="A3166" t="s">
        <v>32</v>
      </c>
      <c r="B3166" s="1" t="str">
        <f>HYPERLINK("http://americanexpress.pl","americanexpress.pl")</f>
        <v>americanexpress.pl</v>
      </c>
      <c r="C3166" t="s">
        <v>486</v>
      </c>
      <c r="D3166" t="s">
        <v>860</v>
      </c>
      <c r="F3166">
        <v>4.4608305775581697E-9</v>
      </c>
      <c r="G3166">
        <v>67495023</v>
      </c>
      <c r="H3166">
        <v>9824756</v>
      </c>
      <c r="I3166">
        <v>62392578</v>
      </c>
      <c r="J3166">
        <v>2</v>
      </c>
    </row>
    <row r="3167" spans="1:10" x14ac:dyDescent="0.25">
      <c r="A3167" t="s">
        <v>32</v>
      </c>
      <c r="B3167" s="1" t="str">
        <f>HYPERLINK("http://payback.pl","payback.pl")</f>
        <v>payback.pl</v>
      </c>
      <c r="C3167" t="s">
        <v>486</v>
      </c>
      <c r="D3167" t="s">
        <v>860</v>
      </c>
      <c r="E3167">
        <v>220443</v>
      </c>
      <c r="F3167">
        <v>9.6375250237489597E-8</v>
      </c>
      <c r="G3167">
        <v>419659</v>
      </c>
      <c r="H3167">
        <v>13946182</v>
      </c>
      <c r="I3167">
        <v>4224107</v>
      </c>
      <c r="J3167">
        <v>4</v>
      </c>
    </row>
    <row r="3168" spans="1:10" x14ac:dyDescent="0.25">
      <c r="A3168" t="s">
        <v>32</v>
      </c>
      <c r="B3168" s="1" t="str">
        <f>HYPERLINK("http://americanexpress.com.pr","americanexpress.com.pr")</f>
        <v>americanexpress.com.pr</v>
      </c>
      <c r="C3168" t="s">
        <v>487</v>
      </c>
      <c r="D3168" t="s">
        <v>861</v>
      </c>
      <c r="F3168">
        <v>4.4438176373351598E-9</v>
      </c>
      <c r="G3168">
        <v>79280160</v>
      </c>
      <c r="H3168">
        <v>10349427</v>
      </c>
      <c r="I3168">
        <v>56442704</v>
      </c>
      <c r="J3168">
        <v>2</v>
      </c>
    </row>
    <row r="3169" spans="1:10" x14ac:dyDescent="0.25">
      <c r="A3169" t="s">
        <v>32</v>
      </c>
      <c r="B3169" s="1" t="str">
        <f>HYPERLINK("http://americanexpress.ru","americanexpress.ru")</f>
        <v>americanexpress.ru</v>
      </c>
      <c r="C3169" t="s">
        <v>493</v>
      </c>
      <c r="D3169" t="s">
        <v>867</v>
      </c>
      <c r="F3169">
        <v>8.3259506409576998E-8</v>
      </c>
      <c r="G3169">
        <v>499505</v>
      </c>
      <c r="H3169">
        <v>13025959</v>
      </c>
      <c r="I3169">
        <v>12690955</v>
      </c>
      <c r="J3169">
        <v>2</v>
      </c>
    </row>
    <row r="3170" spans="1:10" x14ac:dyDescent="0.25">
      <c r="A3170" t="s">
        <v>32</v>
      </c>
      <c r="B3170" s="1" t="str">
        <f>HYPERLINK("http://americanexpress.com.sa","americanexpress.com.sa")</f>
        <v>americanexpress.com.sa</v>
      </c>
      <c r="C3170" t="s">
        <v>494</v>
      </c>
      <c r="D3170" t="s">
        <v>868</v>
      </c>
      <c r="F3170">
        <v>8.2209664728458504E-8</v>
      </c>
      <c r="G3170">
        <v>507530</v>
      </c>
      <c r="H3170">
        <v>16758136</v>
      </c>
      <c r="I3170">
        <v>232079</v>
      </c>
      <c r="J3170">
        <v>2</v>
      </c>
    </row>
    <row r="3171" spans="1:10" x14ac:dyDescent="0.25">
      <c r="A3171" t="s">
        <v>32</v>
      </c>
      <c r="B3171" s="1" t="str">
        <f>HYPERLINK("http://americanexpress.se","americanexpress.se")</f>
        <v>americanexpress.se</v>
      </c>
      <c r="C3171" t="s">
        <v>495</v>
      </c>
      <c r="D3171" t="s">
        <v>869</v>
      </c>
      <c r="F3171">
        <v>4.2998346833400703E-8</v>
      </c>
      <c r="G3171">
        <v>1118813</v>
      </c>
      <c r="H3171">
        <v>13360172</v>
      </c>
      <c r="I3171">
        <v>10587228</v>
      </c>
      <c r="J3171">
        <v>2</v>
      </c>
    </row>
    <row r="3172" spans="1:10" x14ac:dyDescent="0.25">
      <c r="A3172" t="s">
        <v>32</v>
      </c>
      <c r="B3172" s="1" t="str">
        <f>HYPERLINK("http://americanexpress.com.sg","americanexpress.com.sg")</f>
        <v>americanexpress.com.sg</v>
      </c>
      <c r="C3172" t="s">
        <v>496</v>
      </c>
      <c r="D3172" t="s">
        <v>870</v>
      </c>
      <c r="F3172">
        <v>4.4768601023563203E-8</v>
      </c>
      <c r="G3172">
        <v>1056565</v>
      </c>
      <c r="H3172">
        <v>13888972</v>
      </c>
      <c r="I3172">
        <v>5964575</v>
      </c>
      <c r="J3172">
        <v>2</v>
      </c>
    </row>
    <row r="3173" spans="1:10" x14ac:dyDescent="0.25">
      <c r="A3173" t="s">
        <v>32</v>
      </c>
      <c r="B3173" s="1" t="str">
        <f>HYPERLINK("http://americanexpress.si","americanexpress.si")</f>
        <v>americanexpress.si</v>
      </c>
      <c r="C3173" t="s">
        <v>497</v>
      </c>
      <c r="D3173" t="s">
        <v>871</v>
      </c>
      <c r="F3173">
        <v>8.3394546375105501E-9</v>
      </c>
      <c r="G3173">
        <v>9168567</v>
      </c>
      <c r="H3173">
        <v>12828381</v>
      </c>
      <c r="I3173">
        <v>14444446</v>
      </c>
      <c r="J3173">
        <v>2</v>
      </c>
    </row>
    <row r="3174" spans="1:10" x14ac:dyDescent="0.25">
      <c r="A3174" t="s">
        <v>32</v>
      </c>
      <c r="B3174" s="1" t="str">
        <f>HYPERLINK("http://americanexpress.co.th","americanexpress.co.th")</f>
        <v>americanexpress.co.th</v>
      </c>
      <c r="C3174" t="s">
        <v>500</v>
      </c>
      <c r="D3174" t="s">
        <v>874</v>
      </c>
      <c r="F3174">
        <v>8.1229401830198301E-9</v>
      </c>
      <c r="G3174">
        <v>9701851</v>
      </c>
      <c r="H3174">
        <v>12836432</v>
      </c>
      <c r="I3174">
        <v>14374223</v>
      </c>
      <c r="J3174">
        <v>7</v>
      </c>
    </row>
    <row r="3175" spans="1:10" x14ac:dyDescent="0.25">
      <c r="A3175" t="s">
        <v>32</v>
      </c>
      <c r="B3175" s="1" t="str">
        <f>HYPERLINK("http://americanexpress.com.tr","americanexpress.com.tr")</f>
        <v>americanexpress.com.tr</v>
      </c>
      <c r="C3175" t="s">
        <v>502</v>
      </c>
      <c r="D3175" t="s">
        <v>876</v>
      </c>
      <c r="F3175">
        <v>5.4860796059055301E-8</v>
      </c>
      <c r="G3175">
        <v>820327</v>
      </c>
      <c r="H3175">
        <v>12574235</v>
      </c>
      <c r="I3175">
        <v>16589142</v>
      </c>
      <c r="J3175">
        <v>2</v>
      </c>
    </row>
    <row r="3176" spans="1:10" x14ac:dyDescent="0.25">
      <c r="A3176" t="s">
        <v>32</v>
      </c>
      <c r="B3176" s="1" t="str">
        <f>HYPERLINK("http://americanexpress.com.tw","americanexpress.com.tw")</f>
        <v>americanexpress.com.tw</v>
      </c>
      <c r="C3176" t="s">
        <v>504</v>
      </c>
      <c r="D3176" t="s">
        <v>878</v>
      </c>
      <c r="F3176">
        <v>7.4014766899839199E-9</v>
      </c>
      <c r="G3176">
        <v>11240382</v>
      </c>
      <c r="H3176">
        <v>14074923</v>
      </c>
      <c r="I3176">
        <v>2924962</v>
      </c>
      <c r="J3176">
        <v>2</v>
      </c>
    </row>
    <row r="3177" spans="1:10" x14ac:dyDescent="0.25">
      <c r="A3177" t="s">
        <v>32</v>
      </c>
      <c r="B3177" s="1" t="str">
        <f>HYPERLINK("http://americanexpress.co.uk","americanexpress.co.uk")</f>
        <v>americanexpress.co.uk</v>
      </c>
      <c r="C3177" t="s">
        <v>506</v>
      </c>
      <c r="D3177" t="s">
        <v>880</v>
      </c>
      <c r="E3177">
        <v>578947</v>
      </c>
      <c r="F3177">
        <v>6.1437337535172795E-8</v>
      </c>
      <c r="G3177">
        <v>716403</v>
      </c>
      <c r="H3177">
        <v>14089321</v>
      </c>
      <c r="I3177">
        <v>2754465</v>
      </c>
      <c r="J3177">
        <v>2</v>
      </c>
    </row>
    <row r="3178" spans="1:10" x14ac:dyDescent="0.25">
      <c r="A3178" t="s">
        <v>32</v>
      </c>
      <c r="B3178" s="1" t="str">
        <f>HYPERLINK("http://loungebuddy.co.uk","loungebuddy.co.uk")</f>
        <v>loungebuddy.co.uk</v>
      </c>
      <c r="C3178" t="s">
        <v>506</v>
      </c>
      <c r="D3178" t="s">
        <v>880</v>
      </c>
      <c r="F3178">
        <v>2.08845941093534E-8</v>
      </c>
      <c r="G3178">
        <v>2531449</v>
      </c>
      <c r="H3178">
        <v>13571110</v>
      </c>
      <c r="I3178">
        <v>9720850</v>
      </c>
      <c r="J3178">
        <v>4</v>
      </c>
    </row>
    <row r="3179" spans="1:10" x14ac:dyDescent="0.25">
      <c r="A3179" t="s">
        <v>32</v>
      </c>
      <c r="B3179" s="1" t="str">
        <f>HYPERLINK("http://americanexpress.co.za","americanexpress.co.za")</f>
        <v>americanexpress.co.za</v>
      </c>
      <c r="C3179" t="s">
        <v>510</v>
      </c>
      <c r="D3179" t="s">
        <v>884</v>
      </c>
      <c r="F3179">
        <v>7.9219948057106892E-9</v>
      </c>
      <c r="G3179">
        <v>10068735</v>
      </c>
      <c r="H3179">
        <v>12869251</v>
      </c>
      <c r="I3179">
        <v>14082270</v>
      </c>
      <c r="J3179">
        <v>2</v>
      </c>
    </row>
    <row r="3180" spans="1:10" x14ac:dyDescent="0.25">
      <c r="A3180" t="s">
        <v>33</v>
      </c>
      <c r="B3180" s="1" t="str">
        <f>HYPERLINK("http://aig.ae","aig.ae")</f>
        <v>aig.ae</v>
      </c>
      <c r="C3180" t="s">
        <v>417</v>
      </c>
      <c r="D3180" t="s">
        <v>799</v>
      </c>
      <c r="F3180">
        <v>4.8965172332282599E-8</v>
      </c>
      <c r="G3180">
        <v>946052</v>
      </c>
      <c r="H3180">
        <v>13830446</v>
      </c>
      <c r="I3180">
        <v>6109642</v>
      </c>
      <c r="J3180">
        <v>2</v>
      </c>
    </row>
    <row r="3181" spans="1:10" x14ac:dyDescent="0.25">
      <c r="A3181" t="s">
        <v>33</v>
      </c>
      <c r="B3181" s="1" t="str">
        <f>HYPERLINK("http://aig.co.at","aig.co.at")</f>
        <v>aig.co.at</v>
      </c>
      <c r="C3181" t="s">
        <v>419</v>
      </c>
      <c r="D3181" t="s">
        <v>801</v>
      </c>
      <c r="F3181">
        <v>2.0771915992943E-8</v>
      </c>
      <c r="G3181">
        <v>2546877</v>
      </c>
      <c r="H3181">
        <v>12207891</v>
      </c>
      <c r="I3181">
        <v>23078769</v>
      </c>
      <c r="J3181">
        <v>2</v>
      </c>
    </row>
    <row r="3182" spans="1:10" x14ac:dyDescent="0.25">
      <c r="A3182" t="s">
        <v>33</v>
      </c>
      <c r="B3182" s="1" t="str">
        <f>HYPERLINK("http://aig.com.au","aig.com.au")</f>
        <v>aig.com.au</v>
      </c>
      <c r="C3182" t="s">
        <v>420</v>
      </c>
      <c r="D3182" t="s">
        <v>802</v>
      </c>
      <c r="F3182">
        <v>2.7638483228803201E-8</v>
      </c>
      <c r="G3182">
        <v>1860271</v>
      </c>
      <c r="H3182">
        <v>13018431</v>
      </c>
      <c r="I3182">
        <v>12719592</v>
      </c>
      <c r="J3182">
        <v>2</v>
      </c>
    </row>
    <row r="3183" spans="1:10" x14ac:dyDescent="0.25">
      <c r="A3183" t="s">
        <v>33</v>
      </c>
      <c r="B3183" s="1" t="str">
        <f>HYPERLINK("http://aig.be","aig.be")</f>
        <v>aig.be</v>
      </c>
      <c r="C3183" t="s">
        <v>421</v>
      </c>
      <c r="D3183" t="s">
        <v>803</v>
      </c>
      <c r="F3183">
        <v>4.0478244534613598E-8</v>
      </c>
      <c r="G3183">
        <v>1279187</v>
      </c>
      <c r="H3183">
        <v>12259300</v>
      </c>
      <c r="I3183">
        <v>21788538</v>
      </c>
      <c r="J3183">
        <v>2</v>
      </c>
    </row>
    <row r="3184" spans="1:10" x14ac:dyDescent="0.25">
      <c r="A3184" t="s">
        <v>33</v>
      </c>
      <c r="B3184" s="1" t="str">
        <f>HYPERLINK("http://aig.bg","aig.bg")</f>
        <v>aig.bg</v>
      </c>
      <c r="C3184" t="s">
        <v>422</v>
      </c>
      <c r="D3184" t="s">
        <v>804</v>
      </c>
      <c r="F3184">
        <v>1.52579715601849E-8</v>
      </c>
      <c r="G3184">
        <v>3758458</v>
      </c>
      <c r="H3184">
        <v>12209392</v>
      </c>
      <c r="I3184">
        <v>23042171</v>
      </c>
      <c r="J3184">
        <v>2</v>
      </c>
    </row>
    <row r="3185" spans="1:10" x14ac:dyDescent="0.25">
      <c r="A3185" t="s">
        <v>33</v>
      </c>
      <c r="B3185" s="1" t="str">
        <f>HYPERLINK("http://aig.bm","aig.bm")</f>
        <v>aig.bm</v>
      </c>
      <c r="C3185" t="s">
        <v>568</v>
      </c>
      <c r="D3185" t="s">
        <v>915</v>
      </c>
      <c r="F3185">
        <v>1.4128080343401599E-8</v>
      </c>
      <c r="G3185">
        <v>4155392</v>
      </c>
      <c r="H3185">
        <v>12210863</v>
      </c>
      <c r="I3185">
        <v>23007719</v>
      </c>
      <c r="J3185">
        <v>2</v>
      </c>
    </row>
    <row r="3186" spans="1:10" x14ac:dyDescent="0.25">
      <c r="A3186" t="s">
        <v>33</v>
      </c>
      <c r="B3186" s="1" t="str">
        <f>HYPERLINK("http://validusre.bm","validusre.bm")</f>
        <v>validusre.bm</v>
      </c>
      <c r="C3186" t="s">
        <v>568</v>
      </c>
      <c r="D3186" t="s">
        <v>915</v>
      </c>
      <c r="F3186">
        <v>5.9980686528346799E-9</v>
      </c>
      <c r="G3186">
        <v>16695788</v>
      </c>
      <c r="H3186">
        <v>12313174</v>
      </c>
      <c r="I3186">
        <v>20553705</v>
      </c>
      <c r="J3186">
        <v>4</v>
      </c>
    </row>
    <row r="3187" spans="1:10" x14ac:dyDescent="0.25">
      <c r="A3187" t="s">
        <v>33</v>
      </c>
      <c r="B3187" s="1" t="str">
        <f>HYPERLINK("http://aig.com.br","aig.com.br")</f>
        <v>aig.com.br</v>
      </c>
      <c r="C3187" t="s">
        <v>425</v>
      </c>
      <c r="D3187" t="s">
        <v>806</v>
      </c>
      <c r="F3187">
        <v>2.3311321653816999E-8</v>
      </c>
      <c r="G3187">
        <v>2237722</v>
      </c>
      <c r="H3187">
        <v>13870909</v>
      </c>
      <c r="I3187">
        <v>5998191</v>
      </c>
      <c r="J3187">
        <v>2</v>
      </c>
    </row>
    <row r="3188" spans="1:10" x14ac:dyDescent="0.25">
      <c r="A3188" t="s">
        <v>33</v>
      </c>
      <c r="B3188" s="1" t="str">
        <f>HYPERLINK("http://aig.ca","aig.ca")</f>
        <v>aig.ca</v>
      </c>
      <c r="C3188" t="s">
        <v>428</v>
      </c>
      <c r="D3188" t="s">
        <v>809</v>
      </c>
      <c r="F3188">
        <v>3.4500216254698401E-8</v>
      </c>
      <c r="G3188">
        <v>1503644</v>
      </c>
      <c r="H3188">
        <v>12676233</v>
      </c>
      <c r="I3188">
        <v>15551788</v>
      </c>
      <c r="J3188">
        <v>2</v>
      </c>
    </row>
    <row r="3189" spans="1:10" x14ac:dyDescent="0.25">
      <c r="A3189" t="s">
        <v>33</v>
      </c>
      <c r="B3189" s="1" t="str">
        <f>HYPERLINK("http://aig.ch","aig.ch")</f>
        <v>aig.ch</v>
      </c>
      <c r="C3189" t="s">
        <v>429</v>
      </c>
      <c r="D3189" t="s">
        <v>810</v>
      </c>
      <c r="F3189">
        <v>3.3678760595671999E-8</v>
      </c>
      <c r="G3189">
        <v>1535839</v>
      </c>
      <c r="H3189">
        <v>14033052</v>
      </c>
      <c r="I3189">
        <v>3921266</v>
      </c>
      <c r="J3189">
        <v>2</v>
      </c>
    </row>
    <row r="3190" spans="1:10" x14ac:dyDescent="0.25">
      <c r="A3190" t="s">
        <v>33</v>
      </c>
      <c r="B3190" s="1" t="str">
        <f>HYPERLINK("http://aig.com.cn","aig.com.cn")</f>
        <v>aig.com.cn</v>
      </c>
      <c r="C3190" t="s">
        <v>431</v>
      </c>
      <c r="D3190" t="s">
        <v>812</v>
      </c>
      <c r="E3190">
        <v>262246</v>
      </c>
      <c r="F3190">
        <v>5.0232245443002399E-8</v>
      </c>
      <c r="G3190">
        <v>915870</v>
      </c>
      <c r="H3190">
        <v>13570212</v>
      </c>
      <c r="I3190">
        <v>9725818</v>
      </c>
      <c r="J3190">
        <v>2</v>
      </c>
    </row>
    <row r="3191" spans="1:10" x14ac:dyDescent="0.25">
      <c r="A3191" t="s">
        <v>33</v>
      </c>
      <c r="B3191" s="1" t="str">
        <f>HYPERLINK("http://aig.com","aig.com")</f>
        <v>aig.com</v>
      </c>
      <c r="C3191" t="s">
        <v>433</v>
      </c>
      <c r="E3191">
        <v>10217</v>
      </c>
      <c r="F3191">
        <v>5.1074024060911501E-6</v>
      </c>
      <c r="G3191">
        <v>6793</v>
      </c>
      <c r="H3191">
        <v>17414178</v>
      </c>
      <c r="I3191">
        <v>18240</v>
      </c>
      <c r="J3191">
        <v>1</v>
      </c>
    </row>
    <row r="3192" spans="1:10" x14ac:dyDescent="0.25">
      <c r="A3192" t="s">
        <v>33</v>
      </c>
      <c r="B3192" s="1" t="str">
        <f>HYPERLINK("http://aigbank.com","aigbank.com")</f>
        <v>aigbank.com</v>
      </c>
      <c r="C3192" t="s">
        <v>433</v>
      </c>
      <c r="E3192">
        <v>714747</v>
      </c>
      <c r="F3192">
        <v>4.6876102693198804E-9</v>
      </c>
      <c r="G3192">
        <v>41916321</v>
      </c>
      <c r="H3192">
        <v>12125411</v>
      </c>
      <c r="I3192">
        <v>25269382</v>
      </c>
      <c r="J3192">
        <v>3</v>
      </c>
    </row>
    <row r="3193" spans="1:10" x14ac:dyDescent="0.25">
      <c r="A3193" t="s">
        <v>33</v>
      </c>
      <c r="B3193" s="1" t="str">
        <f>HYPERLINK("http://aigglobalrealestate.com","aigglobalrealestate.com")</f>
        <v>aigglobalrealestate.com</v>
      </c>
      <c r="C3193" t="s">
        <v>433</v>
      </c>
      <c r="F3193">
        <v>4.7419529662069599E-9</v>
      </c>
      <c r="G3193">
        <v>38705882</v>
      </c>
      <c r="H3193">
        <v>12950934</v>
      </c>
      <c r="I3193">
        <v>13206780</v>
      </c>
      <c r="J3193">
        <v>4</v>
      </c>
    </row>
    <row r="3194" spans="1:10" x14ac:dyDescent="0.25">
      <c r="A3194" t="s">
        <v>33</v>
      </c>
      <c r="B3194" s="1" t="str">
        <f>HYPERLINK("http://blackboardinsurance.com","blackboardinsurance.com")</f>
        <v>blackboardinsurance.com</v>
      </c>
      <c r="C3194" t="s">
        <v>433</v>
      </c>
      <c r="F3194">
        <v>6.0638038801177198E-9</v>
      </c>
      <c r="G3194">
        <v>16303129</v>
      </c>
      <c r="H3194">
        <v>11024913</v>
      </c>
      <c r="I3194">
        <v>33180086</v>
      </c>
      <c r="J3194">
        <v>3</v>
      </c>
    </row>
    <row r="3195" spans="1:10" x14ac:dyDescent="0.25">
      <c r="A3195" t="s">
        <v>33</v>
      </c>
      <c r="B3195" s="1" t="str">
        <f>HYPERLINK("http://chartisinsurance.com","chartisinsurance.com")</f>
        <v>chartisinsurance.com</v>
      </c>
      <c r="C3195" t="s">
        <v>433</v>
      </c>
      <c r="E3195">
        <v>452957</v>
      </c>
      <c r="F3195">
        <v>5.4862715549784798E-8</v>
      </c>
      <c r="G3195">
        <v>820296</v>
      </c>
      <c r="H3195">
        <v>14145903</v>
      </c>
      <c r="I3195">
        <v>1897766</v>
      </c>
      <c r="J3195">
        <v>4</v>
      </c>
    </row>
    <row r="3196" spans="1:10" x14ac:dyDescent="0.25">
      <c r="A3196" t="s">
        <v>33</v>
      </c>
      <c r="B3196" s="1" t="str">
        <f>HYPERLINK("http://corebridgefinancial.com","corebridgefinancial.com")</f>
        <v>corebridgefinancial.com</v>
      </c>
      <c r="C3196" t="s">
        <v>433</v>
      </c>
      <c r="E3196">
        <v>71655</v>
      </c>
      <c r="F3196">
        <v>8.1762466600151706E-8</v>
      </c>
      <c r="G3196">
        <v>510440</v>
      </c>
      <c r="H3196">
        <v>13694900</v>
      </c>
      <c r="I3196">
        <v>9526638</v>
      </c>
      <c r="J3196">
        <v>5</v>
      </c>
    </row>
    <row r="3197" spans="1:10" x14ac:dyDescent="0.25">
      <c r="A3197" t="s">
        <v>33</v>
      </c>
      <c r="B3197" s="1" t="str">
        <f>HYPERLINK("http://fpcmllc.com","fpcmllc.com")</f>
        <v>fpcmllc.com</v>
      </c>
      <c r="C3197" t="s">
        <v>433</v>
      </c>
      <c r="F3197">
        <v>4.4773564518710003E-9</v>
      </c>
      <c r="G3197">
        <v>62897192</v>
      </c>
      <c r="H3197">
        <v>10711730</v>
      </c>
      <c r="I3197">
        <v>42132065</v>
      </c>
      <c r="J3197">
        <v>4</v>
      </c>
    </row>
    <row r="3198" spans="1:10" x14ac:dyDescent="0.25">
      <c r="A3198" t="s">
        <v>33</v>
      </c>
      <c r="B3198" s="1" t="str">
        <f>HYPERLINK("http://glatfelters.com","glatfelters.com")</f>
        <v>glatfelters.com</v>
      </c>
      <c r="C3198" t="s">
        <v>433</v>
      </c>
      <c r="E3198">
        <v>221143</v>
      </c>
      <c r="F3198">
        <v>4.7534346597292203E-8</v>
      </c>
      <c r="G3198">
        <v>979702</v>
      </c>
      <c r="H3198">
        <v>13599424</v>
      </c>
      <c r="I3198">
        <v>9651370</v>
      </c>
      <c r="J3198">
        <v>4</v>
      </c>
    </row>
    <row r="3199" spans="1:10" x14ac:dyDescent="0.25">
      <c r="A3199" t="s">
        <v>33</v>
      </c>
      <c r="B3199" s="1" t="str">
        <f>HYPERLINK("http://lexingtoninsurance.com","lexingtoninsurance.com")</f>
        <v>lexingtoninsurance.com</v>
      </c>
      <c r="C3199" t="s">
        <v>433</v>
      </c>
      <c r="F3199">
        <v>7.7320986728685395E-8</v>
      </c>
      <c r="G3199">
        <v>541556</v>
      </c>
      <c r="H3199">
        <v>14192007</v>
      </c>
      <c r="I3199">
        <v>1747088</v>
      </c>
      <c r="J3199">
        <v>4</v>
      </c>
    </row>
    <row r="3200" spans="1:10" x14ac:dyDescent="0.25">
      <c r="A3200" t="s">
        <v>33</v>
      </c>
      <c r="B3200" s="1" t="str">
        <f>HYPERLINK("http://servicenet.com","servicenet.com")</f>
        <v>servicenet.com</v>
      </c>
      <c r="C3200" t="s">
        <v>433</v>
      </c>
      <c r="F3200">
        <v>8.3456252254828096E-9</v>
      </c>
      <c r="G3200">
        <v>9155685</v>
      </c>
      <c r="H3200">
        <v>13784396</v>
      </c>
      <c r="I3200">
        <v>6413249</v>
      </c>
      <c r="J3200">
        <v>4</v>
      </c>
    </row>
    <row r="3201" spans="1:10" x14ac:dyDescent="0.25">
      <c r="A3201" t="s">
        <v>33</v>
      </c>
      <c r="B3201" s="1" t="str">
        <f>HYPERLINK("http://sunamerica.com","sunamerica.com")</f>
        <v>sunamerica.com</v>
      </c>
      <c r="C3201" t="s">
        <v>433</v>
      </c>
      <c r="E3201">
        <v>65317</v>
      </c>
      <c r="F3201">
        <v>1.5646959004422701E-8</v>
      </c>
      <c r="G3201">
        <v>3642172</v>
      </c>
      <c r="H3201">
        <v>13639921</v>
      </c>
      <c r="I3201">
        <v>9611720</v>
      </c>
      <c r="J3201">
        <v>6</v>
      </c>
    </row>
    <row r="3202" spans="1:10" x14ac:dyDescent="0.25">
      <c r="A3202" t="s">
        <v>33</v>
      </c>
      <c r="B3202" s="1" t="str">
        <f>HYPERLINK("http://uslife.com","uslife.com")</f>
        <v>uslife.com</v>
      </c>
      <c r="C3202" t="s">
        <v>433</v>
      </c>
      <c r="F3202">
        <v>5.39870034962318E-9</v>
      </c>
      <c r="G3202">
        <v>22130838</v>
      </c>
      <c r="H3202">
        <v>10405001</v>
      </c>
      <c r="I3202">
        <v>54175233</v>
      </c>
      <c r="J3202">
        <v>4</v>
      </c>
    </row>
    <row r="3203" spans="1:10" x14ac:dyDescent="0.25">
      <c r="A3203" t="s">
        <v>33</v>
      </c>
      <c r="B3203" s="1" t="str">
        <f>HYPERLINK("http://valic.com","valic.com")</f>
        <v>valic.com</v>
      </c>
      <c r="C3203" t="s">
        <v>433</v>
      </c>
      <c r="E3203">
        <v>132685</v>
      </c>
      <c r="F3203">
        <v>1.38776928997688E-7</v>
      </c>
      <c r="G3203">
        <v>280733</v>
      </c>
      <c r="H3203">
        <v>14119114</v>
      </c>
      <c r="I3203">
        <v>2657647</v>
      </c>
      <c r="J3203">
        <v>4</v>
      </c>
    </row>
    <row r="3204" spans="1:10" x14ac:dyDescent="0.25">
      <c r="A3204" t="s">
        <v>33</v>
      </c>
      <c r="B3204" s="1" t="str">
        <f>HYPERLINK("http://validusholdings.com","validusholdings.com")</f>
        <v>validusholdings.com</v>
      </c>
      <c r="C3204" t="s">
        <v>433</v>
      </c>
      <c r="E3204">
        <v>595203</v>
      </c>
      <c r="F3204">
        <v>2.6811597231144501E-8</v>
      </c>
      <c r="G3204">
        <v>1918697</v>
      </c>
      <c r="H3204">
        <v>13272297</v>
      </c>
      <c r="I3204">
        <v>10950094</v>
      </c>
      <c r="J3204">
        <v>3</v>
      </c>
    </row>
    <row r="3205" spans="1:10" x14ac:dyDescent="0.25">
      <c r="A3205" t="s">
        <v>33</v>
      </c>
      <c r="B3205" s="1" t="str">
        <f>HYPERLINK("http://aig.com.cy","aig.com.cy")</f>
        <v>aig.com.cy</v>
      </c>
      <c r="C3205" t="s">
        <v>610</v>
      </c>
      <c r="D3205" t="s">
        <v>937</v>
      </c>
      <c r="F3205">
        <v>1.7472991911820199E-8</v>
      </c>
      <c r="G3205">
        <v>3152582</v>
      </c>
      <c r="H3205">
        <v>12211269</v>
      </c>
      <c r="I3205">
        <v>22995417</v>
      </c>
      <c r="J3205">
        <v>2</v>
      </c>
    </row>
    <row r="3206" spans="1:10" x14ac:dyDescent="0.25">
      <c r="A3206" t="s">
        <v>33</v>
      </c>
      <c r="B3206" s="1" t="str">
        <f>HYPERLINK("http://aig.cz","aig.cz")</f>
        <v>aig.cz</v>
      </c>
      <c r="C3206" t="s">
        <v>435</v>
      </c>
      <c r="D3206" t="s">
        <v>814</v>
      </c>
      <c r="F3206">
        <v>2.6398399334526399E-8</v>
      </c>
      <c r="G3206">
        <v>1950478</v>
      </c>
      <c r="H3206">
        <v>12321236</v>
      </c>
      <c r="I3206">
        <v>20391475</v>
      </c>
      <c r="J3206">
        <v>2</v>
      </c>
    </row>
    <row r="3207" spans="1:10" x14ac:dyDescent="0.25">
      <c r="A3207" t="s">
        <v>33</v>
      </c>
      <c r="B3207" s="1" t="str">
        <f>HYPERLINK("http://aig.de","aig.de")</f>
        <v>aig.de</v>
      </c>
      <c r="C3207" t="s">
        <v>436</v>
      </c>
      <c r="D3207" t="s">
        <v>815</v>
      </c>
      <c r="F3207">
        <v>4.5277126865476199E-8</v>
      </c>
      <c r="G3207">
        <v>1041144</v>
      </c>
      <c r="H3207">
        <v>14078442</v>
      </c>
      <c r="I3207">
        <v>2846667</v>
      </c>
      <c r="J3207">
        <v>2</v>
      </c>
    </row>
    <row r="3208" spans="1:10" x14ac:dyDescent="0.25">
      <c r="A3208" t="s">
        <v>33</v>
      </c>
      <c r="B3208" s="1" t="str">
        <f>HYPERLINK("http://aig.dk","aig.dk")</f>
        <v>aig.dk</v>
      </c>
      <c r="C3208" t="s">
        <v>437</v>
      </c>
      <c r="D3208" t="s">
        <v>816</v>
      </c>
      <c r="F3208">
        <v>3.1390929142117001E-8</v>
      </c>
      <c r="G3208">
        <v>1643044</v>
      </c>
      <c r="H3208">
        <v>12274168</v>
      </c>
      <c r="I3208">
        <v>21434797</v>
      </c>
      <c r="J3208">
        <v>2</v>
      </c>
    </row>
    <row r="3209" spans="1:10" x14ac:dyDescent="0.25">
      <c r="A3209" t="s">
        <v>33</v>
      </c>
      <c r="B3209" s="1" t="str">
        <f>HYPERLINK("http://aig.ec","aig.ec")</f>
        <v>aig.ec</v>
      </c>
      <c r="C3209" t="s">
        <v>440</v>
      </c>
      <c r="D3209" t="s">
        <v>819</v>
      </c>
      <c r="J3209">
        <v>3</v>
      </c>
    </row>
    <row r="3210" spans="1:10" x14ac:dyDescent="0.25">
      <c r="A3210" t="s">
        <v>33</v>
      </c>
      <c r="B3210" s="1" t="str">
        <f>HYPERLINK("http://aig.com.ec","aig.com.ec")</f>
        <v>aig.com.ec</v>
      </c>
      <c r="C3210" t="s">
        <v>440</v>
      </c>
      <c r="D3210" t="s">
        <v>819</v>
      </c>
      <c r="F3210">
        <v>1.59977764042444E-8</v>
      </c>
      <c r="G3210">
        <v>3546812</v>
      </c>
      <c r="H3210">
        <v>12256751</v>
      </c>
      <c r="I3210">
        <v>21852304</v>
      </c>
      <c r="J3210">
        <v>2</v>
      </c>
    </row>
    <row r="3211" spans="1:10" x14ac:dyDescent="0.25">
      <c r="A3211" t="s">
        <v>33</v>
      </c>
      <c r="B3211" s="1" t="str">
        <f>HYPERLINK("http://aig.eg","aig.eg")</f>
        <v>aig.eg</v>
      </c>
      <c r="C3211" t="s">
        <v>442</v>
      </c>
      <c r="D3211" t="s">
        <v>821</v>
      </c>
      <c r="F3211">
        <v>1.54883627609698E-8</v>
      </c>
      <c r="G3211">
        <v>3688058</v>
      </c>
      <c r="H3211">
        <v>12255065</v>
      </c>
      <c r="I3211">
        <v>21892790</v>
      </c>
      <c r="J3211">
        <v>2</v>
      </c>
    </row>
    <row r="3212" spans="1:10" x14ac:dyDescent="0.25">
      <c r="A3212" t="s">
        <v>33</v>
      </c>
      <c r="B3212" s="1" t="str">
        <f>HYPERLINK("http://aig.com.es","aig.com.es")</f>
        <v>aig.com.es</v>
      </c>
      <c r="C3212" t="s">
        <v>443</v>
      </c>
      <c r="D3212" t="s">
        <v>822</v>
      </c>
      <c r="F3212">
        <v>3.7495849329661202E-8</v>
      </c>
      <c r="G3212">
        <v>1380293</v>
      </c>
      <c r="H3212">
        <v>12550129</v>
      </c>
      <c r="I3212">
        <v>16823417</v>
      </c>
      <c r="J3212">
        <v>2</v>
      </c>
    </row>
    <row r="3213" spans="1:10" x14ac:dyDescent="0.25">
      <c r="A3213" t="s">
        <v>33</v>
      </c>
      <c r="B3213" s="1" t="str">
        <f>HYPERLINK("http://aig.fi","aig.fi")</f>
        <v>aig.fi</v>
      </c>
      <c r="C3213" t="s">
        <v>445</v>
      </c>
      <c r="D3213" t="s">
        <v>823</v>
      </c>
      <c r="F3213">
        <v>3.7378548833309897E-8</v>
      </c>
      <c r="G3213">
        <v>1385023</v>
      </c>
      <c r="H3213">
        <v>14075277</v>
      </c>
      <c r="I3213">
        <v>2913461</v>
      </c>
      <c r="J3213">
        <v>2</v>
      </c>
    </row>
    <row r="3214" spans="1:10" x14ac:dyDescent="0.25">
      <c r="A3214" t="s">
        <v>33</v>
      </c>
      <c r="B3214" s="1" t="str">
        <f>HYPERLINK("http://aigdirect.fi","aigdirect.fi")</f>
        <v>aigdirect.fi</v>
      </c>
      <c r="C3214" t="s">
        <v>445</v>
      </c>
      <c r="D3214" t="s">
        <v>823</v>
      </c>
      <c r="F3214">
        <v>5.3710170262340904E-9</v>
      </c>
      <c r="G3214">
        <v>22529000</v>
      </c>
      <c r="H3214">
        <v>13763635</v>
      </c>
      <c r="I3214">
        <v>8221262</v>
      </c>
      <c r="J3214">
        <v>4</v>
      </c>
    </row>
    <row r="3215" spans="1:10" x14ac:dyDescent="0.25">
      <c r="A3215" t="s">
        <v>33</v>
      </c>
      <c r="B3215" s="1" t="str">
        <f>HYPERLINK("http://aigdirecttravel.fi","aigdirecttravel.fi")</f>
        <v>aigdirecttravel.fi</v>
      </c>
      <c r="C3215" t="s">
        <v>445</v>
      </c>
      <c r="D3215" t="s">
        <v>823</v>
      </c>
      <c r="J3215">
        <v>4</v>
      </c>
    </row>
    <row r="3216" spans="1:10" x14ac:dyDescent="0.25">
      <c r="A3216" t="s">
        <v>33</v>
      </c>
      <c r="B3216" s="1" t="str">
        <f>HYPERLINK("http://aiggeneral.fi","aiggeneral.fi")</f>
        <v>aiggeneral.fi</v>
      </c>
      <c r="C3216" t="s">
        <v>445</v>
      </c>
      <c r="D3216" t="s">
        <v>823</v>
      </c>
      <c r="J3216">
        <v>4</v>
      </c>
    </row>
    <row r="3217" spans="1:10" x14ac:dyDescent="0.25">
      <c r="A3217" t="s">
        <v>33</v>
      </c>
      <c r="B3217" s="1" t="str">
        <f>HYPERLINK("http://aigmatkavakuutus.fi","aigmatkavakuutus.fi")</f>
        <v>aigmatkavakuutus.fi</v>
      </c>
      <c r="C3217" t="s">
        <v>445</v>
      </c>
      <c r="D3217" t="s">
        <v>823</v>
      </c>
      <c r="J3217">
        <v>4</v>
      </c>
    </row>
    <row r="3218" spans="1:10" x14ac:dyDescent="0.25">
      <c r="A3218" t="s">
        <v>33</v>
      </c>
      <c r="B3218" s="1" t="str">
        <f>HYPERLINK("http://aigtheftandloss.fi","aigtheftandloss.fi")</f>
        <v>aigtheftandloss.fi</v>
      </c>
      <c r="C3218" t="s">
        <v>445</v>
      </c>
      <c r="D3218" t="s">
        <v>823</v>
      </c>
      <c r="J3218">
        <v>2</v>
      </c>
    </row>
    <row r="3219" spans="1:10" x14ac:dyDescent="0.25">
      <c r="A3219" t="s">
        <v>33</v>
      </c>
      <c r="B3219" s="1" t="str">
        <f>HYPERLINK("http://aigtravel.fi","aigtravel.fi")</f>
        <v>aigtravel.fi</v>
      </c>
      <c r="C3219" t="s">
        <v>445</v>
      </c>
      <c r="D3219" t="s">
        <v>823</v>
      </c>
      <c r="J3219">
        <v>4</v>
      </c>
    </row>
    <row r="3220" spans="1:10" x14ac:dyDescent="0.25">
      <c r="A3220" t="s">
        <v>33</v>
      </c>
      <c r="B3220" s="1" t="str">
        <f>HYPERLINK("http://aigtravelguard.fi","aigtravelguard.fi")</f>
        <v>aigtravelguard.fi</v>
      </c>
      <c r="C3220" t="s">
        <v>445</v>
      </c>
      <c r="D3220" t="s">
        <v>823</v>
      </c>
      <c r="J3220">
        <v>4</v>
      </c>
    </row>
    <row r="3221" spans="1:10" x14ac:dyDescent="0.25">
      <c r="A3221" t="s">
        <v>33</v>
      </c>
      <c r="B3221" s="1" t="str">
        <f>HYPERLINK("http://b1ackb0ard1nsurance.fi","b1ackb0ard1nsurance.fi")</f>
        <v>b1ackb0ard1nsurance.fi</v>
      </c>
      <c r="C3221" t="s">
        <v>445</v>
      </c>
      <c r="D3221" t="s">
        <v>823</v>
      </c>
      <c r="J3221">
        <v>2</v>
      </c>
    </row>
    <row r="3222" spans="1:10" x14ac:dyDescent="0.25">
      <c r="A3222" t="s">
        <v>33</v>
      </c>
      <c r="B3222" s="1" t="str">
        <f>HYPERLINK("http://b1ackb0ardinsurance.fi","b1ackb0ardinsurance.fi")</f>
        <v>b1ackb0ardinsurance.fi</v>
      </c>
      <c r="C3222" t="s">
        <v>445</v>
      </c>
      <c r="D3222" t="s">
        <v>823</v>
      </c>
      <c r="J3222">
        <v>2</v>
      </c>
    </row>
    <row r="3223" spans="1:10" x14ac:dyDescent="0.25">
      <c r="A3223" t="s">
        <v>33</v>
      </c>
      <c r="B3223" s="1" t="str">
        <f>HYPERLINK("http://b1ackboard1nsurance.fi","b1ackboard1nsurance.fi")</f>
        <v>b1ackboard1nsurance.fi</v>
      </c>
      <c r="C3223" t="s">
        <v>445</v>
      </c>
      <c r="D3223" t="s">
        <v>823</v>
      </c>
      <c r="J3223">
        <v>2</v>
      </c>
    </row>
    <row r="3224" spans="1:10" x14ac:dyDescent="0.25">
      <c r="A3224" t="s">
        <v>33</v>
      </c>
      <c r="B3224" s="1" t="str">
        <f>HYPERLINK("http://b1ackboardinsurance.fi","b1ackboardinsurance.fi")</f>
        <v>b1ackboardinsurance.fi</v>
      </c>
      <c r="C3224" t="s">
        <v>445</v>
      </c>
      <c r="D3224" t="s">
        <v>823</v>
      </c>
      <c r="J3224">
        <v>2</v>
      </c>
    </row>
    <row r="3225" spans="1:10" x14ac:dyDescent="0.25">
      <c r="A3225" t="s">
        <v>33</v>
      </c>
      <c r="B3225" s="1" t="str">
        <f>HYPERLINK("http://blackb0ard1nsurance.fi","blackb0ard1nsurance.fi")</f>
        <v>blackb0ard1nsurance.fi</v>
      </c>
      <c r="C3225" t="s">
        <v>445</v>
      </c>
      <c r="D3225" t="s">
        <v>823</v>
      </c>
      <c r="J3225">
        <v>2</v>
      </c>
    </row>
    <row r="3226" spans="1:10" x14ac:dyDescent="0.25">
      <c r="A3226" t="s">
        <v>33</v>
      </c>
      <c r="B3226" s="1" t="str">
        <f>HYPERLINK("http://blackb0ardinsurance.fi","blackb0ardinsurance.fi")</f>
        <v>blackb0ardinsurance.fi</v>
      </c>
      <c r="C3226" t="s">
        <v>445</v>
      </c>
      <c r="D3226" t="s">
        <v>823</v>
      </c>
      <c r="J3226">
        <v>2</v>
      </c>
    </row>
    <row r="3227" spans="1:10" x14ac:dyDescent="0.25">
      <c r="A3227" t="s">
        <v>33</v>
      </c>
      <c r="B3227" s="1" t="str">
        <f>HYPERLINK("http://blackboard1nsurance.fi","blackboard1nsurance.fi")</f>
        <v>blackboard1nsurance.fi</v>
      </c>
      <c r="C3227" t="s">
        <v>445</v>
      </c>
      <c r="D3227" t="s">
        <v>823</v>
      </c>
      <c r="J3227">
        <v>2</v>
      </c>
    </row>
    <row r="3228" spans="1:10" x14ac:dyDescent="0.25">
      <c r="A3228" t="s">
        <v>33</v>
      </c>
      <c r="B3228" s="1" t="str">
        <f>HYPERLINK("http://blackboardinsurance.fi","blackboardinsurance.fi")</f>
        <v>blackboardinsurance.fi</v>
      </c>
      <c r="C3228" t="s">
        <v>445</v>
      </c>
      <c r="D3228" t="s">
        <v>823</v>
      </c>
      <c r="J3228">
        <v>2</v>
      </c>
    </row>
    <row r="3229" spans="1:10" x14ac:dyDescent="0.25">
      <c r="A3229" t="s">
        <v>33</v>
      </c>
      <c r="B3229" s="1" t="str">
        <f>HYPERLINK("http://kodinturvaksi.fi","kodinturvaksi.fi")</f>
        <v>kodinturvaksi.fi</v>
      </c>
      <c r="C3229" t="s">
        <v>445</v>
      </c>
      <c r="D3229" t="s">
        <v>823</v>
      </c>
      <c r="J3229">
        <v>4</v>
      </c>
    </row>
    <row r="3230" spans="1:10" x14ac:dyDescent="0.25">
      <c r="A3230" t="s">
        <v>33</v>
      </c>
      <c r="B3230" s="1" t="str">
        <f>HYPERLINK("http://listurva.fi","listurva.fi")</f>
        <v>listurva.fi</v>
      </c>
      <c r="C3230" t="s">
        <v>445</v>
      </c>
      <c r="D3230" t="s">
        <v>823</v>
      </c>
      <c r="J3230">
        <v>2</v>
      </c>
    </row>
    <row r="3231" spans="1:10" x14ac:dyDescent="0.25">
      <c r="A3231" t="s">
        <v>33</v>
      </c>
      <c r="B3231" s="1" t="str">
        <f>HYPERLINK("http://naistensyopavakuutus.fi","naistensyopavakuutus.fi")</f>
        <v>naistensyopavakuutus.fi</v>
      </c>
      <c r="C3231" t="s">
        <v>445</v>
      </c>
      <c r="D3231" t="s">
        <v>823</v>
      </c>
      <c r="J3231">
        <v>4</v>
      </c>
    </row>
    <row r="3232" spans="1:10" x14ac:dyDescent="0.25">
      <c r="A3232" t="s">
        <v>33</v>
      </c>
      <c r="B3232" s="1" t="str">
        <f>HYPERLINK("http://travelguard.fi","travelguard.fi")</f>
        <v>travelguard.fi</v>
      </c>
      <c r="C3232" t="s">
        <v>445</v>
      </c>
      <c r="D3232" t="s">
        <v>823</v>
      </c>
      <c r="F3232">
        <v>4.9062984263423601E-9</v>
      </c>
      <c r="G3232">
        <v>32287233</v>
      </c>
      <c r="H3232">
        <v>12469203</v>
      </c>
      <c r="I3232">
        <v>17767555</v>
      </c>
      <c r="J3232">
        <v>4</v>
      </c>
    </row>
    <row r="3233" spans="1:10" x14ac:dyDescent="0.25">
      <c r="A3233" t="s">
        <v>33</v>
      </c>
      <c r="B3233" s="1" t="str">
        <f>HYPERLINK("http://travelguardinsurance.fi","travelguardinsurance.fi")</f>
        <v>travelguardinsurance.fi</v>
      </c>
      <c r="C3233" t="s">
        <v>445</v>
      </c>
      <c r="D3233" t="s">
        <v>823</v>
      </c>
      <c r="J3233">
        <v>4</v>
      </c>
    </row>
    <row r="3234" spans="1:10" x14ac:dyDescent="0.25">
      <c r="A3234" t="s">
        <v>33</v>
      </c>
      <c r="B3234" s="1" t="str">
        <f>HYPERLINK("http://aig.com.gr","aig.com.gr")</f>
        <v>aig.com.gr</v>
      </c>
      <c r="C3234" t="s">
        <v>447</v>
      </c>
      <c r="D3234" t="s">
        <v>825</v>
      </c>
      <c r="F3234">
        <v>3.36675032327115E-8</v>
      </c>
      <c r="G3234">
        <v>1536306</v>
      </c>
      <c r="H3234">
        <v>13767419</v>
      </c>
      <c r="I3234">
        <v>6934326</v>
      </c>
      <c r="J3234">
        <v>2</v>
      </c>
    </row>
    <row r="3235" spans="1:10" x14ac:dyDescent="0.25">
      <c r="A3235" t="s">
        <v>33</v>
      </c>
      <c r="B3235" s="1" t="str">
        <f>HYPERLINK("http://aig.gu","aig.gu")</f>
        <v>aig.gu</v>
      </c>
      <c r="C3235" t="s">
        <v>686</v>
      </c>
      <c r="D3235" t="s">
        <v>1002</v>
      </c>
      <c r="F3235">
        <v>1.3860923357211E-8</v>
      </c>
      <c r="G3235">
        <v>4256351</v>
      </c>
      <c r="H3235">
        <v>12207070</v>
      </c>
      <c r="I3235">
        <v>23107318</v>
      </c>
      <c r="J3235">
        <v>2</v>
      </c>
    </row>
    <row r="3236" spans="1:10" x14ac:dyDescent="0.25">
      <c r="A3236" t="s">
        <v>33</v>
      </c>
      <c r="B3236" s="1" t="str">
        <f>HYPERLINK("http://aig.com.hk","aig.com.hk")</f>
        <v>aig.com.hk</v>
      </c>
      <c r="C3236" t="s">
        <v>450</v>
      </c>
      <c r="D3236" t="s">
        <v>827</v>
      </c>
      <c r="F3236">
        <v>6.7305169802933895E-8</v>
      </c>
      <c r="G3236">
        <v>635143</v>
      </c>
      <c r="H3236">
        <v>14159283</v>
      </c>
      <c r="I3236">
        <v>1842011</v>
      </c>
      <c r="J3236">
        <v>2</v>
      </c>
    </row>
    <row r="3237" spans="1:10" x14ac:dyDescent="0.25">
      <c r="A3237" t="s">
        <v>33</v>
      </c>
      <c r="B3237" s="1" t="str">
        <f>HYPERLINK("http://aig.hu","aig.hu")</f>
        <v>aig.hu</v>
      </c>
      <c r="C3237" t="s">
        <v>453</v>
      </c>
      <c r="D3237" t="s">
        <v>830</v>
      </c>
      <c r="F3237">
        <v>1.82610934307343E-8</v>
      </c>
      <c r="G3237">
        <v>2974980</v>
      </c>
      <c r="H3237">
        <v>12274454</v>
      </c>
      <c r="I3237">
        <v>21429132</v>
      </c>
      <c r="J3237">
        <v>2</v>
      </c>
    </row>
    <row r="3238" spans="1:10" x14ac:dyDescent="0.25">
      <c r="A3238" t="s">
        <v>33</v>
      </c>
      <c r="B3238" s="1" t="str">
        <f>HYPERLINK("http://aig.co.id","aig.co.id")</f>
        <v>aig.co.id</v>
      </c>
      <c r="C3238" t="s">
        <v>454</v>
      </c>
      <c r="D3238" t="s">
        <v>831</v>
      </c>
      <c r="F3238">
        <v>1.5931643892763199E-8</v>
      </c>
      <c r="G3238">
        <v>3564267</v>
      </c>
      <c r="H3238">
        <v>14072283</v>
      </c>
      <c r="I3238">
        <v>3122061</v>
      </c>
      <c r="J3238">
        <v>2</v>
      </c>
    </row>
    <row r="3239" spans="1:10" x14ac:dyDescent="0.25">
      <c r="A3239" t="s">
        <v>33</v>
      </c>
      <c r="B3239" s="1" t="str">
        <f>HYPERLINK("http://aig.ie","aig.ie")</f>
        <v>aig.ie</v>
      </c>
      <c r="C3239" t="s">
        <v>455</v>
      </c>
      <c r="D3239" t="s">
        <v>832</v>
      </c>
      <c r="E3239">
        <v>721217</v>
      </c>
      <c r="F3239">
        <v>7.0184163041543906E-8</v>
      </c>
      <c r="G3239">
        <v>603590</v>
      </c>
      <c r="H3239">
        <v>13786828</v>
      </c>
      <c r="I3239">
        <v>6380907</v>
      </c>
      <c r="J3239">
        <v>2</v>
      </c>
    </row>
    <row r="3240" spans="1:10" x14ac:dyDescent="0.25">
      <c r="A3240" t="s">
        <v>33</v>
      </c>
      <c r="B3240" s="1" t="str">
        <f>HYPERLINK("http://layahealthcare.ie","layahealthcare.ie")</f>
        <v>layahealthcare.ie</v>
      </c>
      <c r="C3240" t="s">
        <v>455</v>
      </c>
      <c r="D3240" t="s">
        <v>832</v>
      </c>
      <c r="E3240">
        <v>328883</v>
      </c>
      <c r="F3240">
        <v>1.3276118628065899E-7</v>
      </c>
      <c r="G3240">
        <v>294322</v>
      </c>
      <c r="H3240">
        <v>13927150</v>
      </c>
      <c r="I3240">
        <v>5930786</v>
      </c>
      <c r="J3240">
        <v>4</v>
      </c>
    </row>
    <row r="3241" spans="1:10" x14ac:dyDescent="0.25">
      <c r="A3241" t="s">
        <v>33</v>
      </c>
      <c r="B3241" s="1" t="str">
        <f>HYPERLINK("http://layalifeinsurance.ie","layalifeinsurance.ie")</f>
        <v>layalifeinsurance.ie</v>
      </c>
      <c r="C3241" t="s">
        <v>455</v>
      </c>
      <c r="D3241" t="s">
        <v>832</v>
      </c>
      <c r="F3241">
        <v>5.9844296288791603E-9</v>
      </c>
      <c r="G3241">
        <v>16791246</v>
      </c>
      <c r="H3241">
        <v>10635203</v>
      </c>
      <c r="I3241">
        <v>43867655</v>
      </c>
      <c r="J3241">
        <v>6</v>
      </c>
    </row>
    <row r="3242" spans="1:10" x14ac:dyDescent="0.25">
      <c r="A3242" t="s">
        <v>33</v>
      </c>
      <c r="B3242" s="1" t="str">
        <f>HYPERLINK("http://aig.co.il","aig.co.il")</f>
        <v>aig.co.il</v>
      </c>
      <c r="C3242" t="s">
        <v>456</v>
      </c>
      <c r="D3242" t="s">
        <v>833</v>
      </c>
      <c r="E3242">
        <v>438593</v>
      </c>
      <c r="F3242">
        <v>2.6797997314363899E-8</v>
      </c>
      <c r="G3242">
        <v>1919707</v>
      </c>
      <c r="H3242">
        <v>14077853</v>
      </c>
      <c r="I3242">
        <v>2857558</v>
      </c>
      <c r="J3242">
        <v>2</v>
      </c>
    </row>
    <row r="3243" spans="1:10" x14ac:dyDescent="0.25">
      <c r="A3243" t="s">
        <v>33</v>
      </c>
      <c r="B3243" s="1" t="str">
        <f>HYPERLINK("http://hpis.info","hpis.info")</f>
        <v>hpis.info</v>
      </c>
      <c r="C3243" t="s">
        <v>458</v>
      </c>
      <c r="F3243">
        <v>4.5110759096509098E-9</v>
      </c>
      <c r="G3243">
        <v>57366582</v>
      </c>
      <c r="H3243">
        <v>11181006</v>
      </c>
      <c r="I3243">
        <v>31425082</v>
      </c>
      <c r="J3243">
        <v>6</v>
      </c>
    </row>
    <row r="3244" spans="1:10" x14ac:dyDescent="0.25">
      <c r="A3244" t="s">
        <v>33</v>
      </c>
      <c r="B3244" s="1" t="str">
        <f>HYPERLINK("http://aig.co.it","aig.co.it")</f>
        <v>aig.co.it</v>
      </c>
      <c r="C3244" t="s">
        <v>459</v>
      </c>
      <c r="D3244" t="s">
        <v>835</v>
      </c>
      <c r="F3244">
        <v>6.9443470016280297E-8</v>
      </c>
      <c r="G3244">
        <v>611444</v>
      </c>
      <c r="H3244">
        <v>14392964</v>
      </c>
      <c r="I3244">
        <v>1164156</v>
      </c>
      <c r="J3244">
        <v>2</v>
      </c>
    </row>
    <row r="3245" spans="1:10" x14ac:dyDescent="0.25">
      <c r="A3245" t="s">
        <v>33</v>
      </c>
      <c r="B3245" s="1" t="str">
        <f>HYPERLINK("http://aig.co.jp","aig.co.jp")</f>
        <v>aig.co.jp</v>
      </c>
      <c r="C3245" t="s">
        <v>461</v>
      </c>
      <c r="D3245" t="s">
        <v>837</v>
      </c>
      <c r="E3245">
        <v>80182</v>
      </c>
      <c r="F3245">
        <v>3.9224520604955398E-7</v>
      </c>
      <c r="G3245">
        <v>95597</v>
      </c>
      <c r="H3245">
        <v>14440953</v>
      </c>
      <c r="I3245">
        <v>1062787</v>
      </c>
      <c r="J3245">
        <v>2</v>
      </c>
    </row>
    <row r="3246" spans="1:10" x14ac:dyDescent="0.25">
      <c r="A3246" t="s">
        <v>33</v>
      </c>
      <c r="B3246" s="1" t="str">
        <f>HYPERLINK("http://americanhome.co.jp","americanhome.co.jp")</f>
        <v>americanhome.co.jp</v>
      </c>
      <c r="C3246" t="s">
        <v>461</v>
      </c>
      <c r="D3246" t="s">
        <v>837</v>
      </c>
      <c r="F3246">
        <v>2.86350287311871E-8</v>
      </c>
      <c r="G3246">
        <v>1797065</v>
      </c>
      <c r="H3246">
        <v>13809099</v>
      </c>
      <c r="I3246">
        <v>6217220</v>
      </c>
      <c r="J3246">
        <v>4</v>
      </c>
    </row>
    <row r="3247" spans="1:10" x14ac:dyDescent="0.25">
      <c r="A3247" t="s">
        <v>33</v>
      </c>
      <c r="B3247" s="1" t="str">
        <f>HYPERLINK("http://aig.co.ke","aig.co.ke")</f>
        <v>aig.co.ke</v>
      </c>
      <c r="C3247" t="s">
        <v>462</v>
      </c>
      <c r="D3247" t="s">
        <v>838</v>
      </c>
      <c r="F3247">
        <v>2.3953185605034799E-8</v>
      </c>
      <c r="G3247">
        <v>2167504</v>
      </c>
      <c r="H3247">
        <v>12322208</v>
      </c>
      <c r="I3247">
        <v>20371683</v>
      </c>
      <c r="J3247">
        <v>2</v>
      </c>
    </row>
    <row r="3248" spans="1:10" x14ac:dyDescent="0.25">
      <c r="A3248" t="s">
        <v>33</v>
      </c>
      <c r="B3248" s="1" t="str">
        <f>HYPERLINK("http://aig.co.kr","aig.co.kr")</f>
        <v>aig.co.kr</v>
      </c>
      <c r="C3248" t="s">
        <v>463</v>
      </c>
      <c r="D3248" t="s">
        <v>839</v>
      </c>
      <c r="E3248">
        <v>181967</v>
      </c>
      <c r="F3248">
        <v>3.29527284079495E-8</v>
      </c>
      <c r="G3248">
        <v>1568062</v>
      </c>
      <c r="H3248">
        <v>14077102</v>
      </c>
      <c r="I3248">
        <v>2872873</v>
      </c>
      <c r="J3248">
        <v>7</v>
      </c>
    </row>
    <row r="3249" spans="1:10" x14ac:dyDescent="0.25">
      <c r="A3249" t="s">
        <v>33</v>
      </c>
      <c r="B3249" s="1" t="str">
        <f>HYPERLINK("http://aig.com.kw","aig.com.kw")</f>
        <v>aig.com.kw</v>
      </c>
      <c r="C3249" t="s">
        <v>464</v>
      </c>
      <c r="D3249" t="s">
        <v>840</v>
      </c>
      <c r="F3249">
        <v>2.22645431063478E-8</v>
      </c>
      <c r="G3249">
        <v>2355115</v>
      </c>
      <c r="H3249">
        <v>12458720</v>
      </c>
      <c r="I3249">
        <v>17894524</v>
      </c>
      <c r="J3249">
        <v>2</v>
      </c>
    </row>
    <row r="3250" spans="1:10" x14ac:dyDescent="0.25">
      <c r="A3250" t="s">
        <v>33</v>
      </c>
      <c r="B3250" s="1" t="str">
        <f>HYPERLINK("http://aig.com.kz","aig.com.kz")</f>
        <v>aig.com.kz</v>
      </c>
      <c r="C3250" t="s">
        <v>465</v>
      </c>
      <c r="D3250" t="s">
        <v>841</v>
      </c>
      <c r="F3250">
        <v>1.3860923357210899E-8</v>
      </c>
      <c r="G3250">
        <v>4256354</v>
      </c>
      <c r="H3250">
        <v>12207070</v>
      </c>
      <c r="I3250">
        <v>23107320</v>
      </c>
      <c r="J3250">
        <v>2</v>
      </c>
    </row>
    <row r="3251" spans="1:10" x14ac:dyDescent="0.25">
      <c r="A3251" t="s">
        <v>33</v>
      </c>
      <c r="B3251" s="1" t="str">
        <f>HYPERLINK("http://aig.li","aig.li")</f>
        <v>aig.li</v>
      </c>
      <c r="C3251" t="s">
        <v>545</v>
      </c>
      <c r="D3251" t="s">
        <v>903</v>
      </c>
      <c r="F3251">
        <v>1.56991009058399E-8</v>
      </c>
      <c r="G3251">
        <v>3627707</v>
      </c>
      <c r="H3251">
        <v>12207073</v>
      </c>
      <c r="I3251">
        <v>23107259</v>
      </c>
      <c r="J3251">
        <v>2</v>
      </c>
    </row>
    <row r="3252" spans="1:10" x14ac:dyDescent="0.25">
      <c r="A3252" t="s">
        <v>33</v>
      </c>
      <c r="B3252" s="1" t="str">
        <f>HYPERLINK("http://aig.lu","aig.lu")</f>
        <v>aig.lu</v>
      </c>
      <c r="C3252" t="s">
        <v>547</v>
      </c>
      <c r="D3252" t="s">
        <v>904</v>
      </c>
      <c r="F3252">
        <v>7.99247932744326E-8</v>
      </c>
      <c r="G3252">
        <v>522657</v>
      </c>
      <c r="H3252">
        <v>14045447</v>
      </c>
      <c r="I3252">
        <v>3901107</v>
      </c>
      <c r="J3252">
        <v>2</v>
      </c>
    </row>
    <row r="3253" spans="1:10" x14ac:dyDescent="0.25">
      <c r="A3253" t="s">
        <v>33</v>
      </c>
      <c r="B3253" s="1" t="str">
        <f>HYPERLINK("http://aig.com.mo","aig.com.mo")</f>
        <v>aig.com.mo</v>
      </c>
      <c r="C3253" t="s">
        <v>548</v>
      </c>
      <c r="D3253" t="s">
        <v>905</v>
      </c>
      <c r="F3253">
        <v>1.53052590894964E-8</v>
      </c>
      <c r="G3253">
        <v>3744192</v>
      </c>
      <c r="H3253">
        <v>12296713</v>
      </c>
      <c r="I3253">
        <v>20930475</v>
      </c>
      <c r="J3253">
        <v>2</v>
      </c>
    </row>
    <row r="3254" spans="1:10" x14ac:dyDescent="0.25">
      <c r="A3254" t="s">
        <v>33</v>
      </c>
      <c r="B3254" s="1" t="str">
        <f>HYPERLINK("http://aig.mp","aig.mp")</f>
        <v>aig.mp</v>
      </c>
      <c r="C3254" t="s">
        <v>688</v>
      </c>
      <c r="D3254" t="s">
        <v>1005</v>
      </c>
      <c r="F3254">
        <v>1.3860923357211E-8</v>
      </c>
      <c r="G3254">
        <v>4256352</v>
      </c>
      <c r="H3254">
        <v>12207070</v>
      </c>
      <c r="I3254">
        <v>23107321</v>
      </c>
      <c r="J3254">
        <v>2</v>
      </c>
    </row>
    <row r="3255" spans="1:10" x14ac:dyDescent="0.25">
      <c r="A3255" t="s">
        <v>33</v>
      </c>
      <c r="B3255" s="1" t="str">
        <f>HYPERLINK("http://aig.com.mt","aig.com.mt")</f>
        <v>aig.com.mt</v>
      </c>
      <c r="C3255" t="s">
        <v>597</v>
      </c>
      <c r="D3255" t="s">
        <v>932</v>
      </c>
      <c r="F3255">
        <v>1.6258827848852299E-8</v>
      </c>
      <c r="G3255">
        <v>3480810</v>
      </c>
      <c r="H3255">
        <v>12207130</v>
      </c>
      <c r="I3255">
        <v>23106207</v>
      </c>
      <c r="J3255">
        <v>2</v>
      </c>
    </row>
    <row r="3256" spans="1:10" x14ac:dyDescent="0.25">
      <c r="A3256" t="s">
        <v>33</v>
      </c>
      <c r="B3256" s="1" t="str">
        <f>HYPERLINK("http://aig.com.mx","aig.com.mx")</f>
        <v>aig.com.mx</v>
      </c>
      <c r="C3256" t="s">
        <v>471</v>
      </c>
      <c r="D3256" t="s">
        <v>847</v>
      </c>
      <c r="F3256">
        <v>2.1195647136141799E-8</v>
      </c>
      <c r="G3256">
        <v>2488282</v>
      </c>
      <c r="H3256">
        <v>12444354</v>
      </c>
      <c r="I3256">
        <v>18092481</v>
      </c>
      <c r="J3256">
        <v>2</v>
      </c>
    </row>
    <row r="3257" spans="1:10" x14ac:dyDescent="0.25">
      <c r="A3257" t="s">
        <v>33</v>
      </c>
      <c r="B3257" s="1" t="str">
        <f>HYPERLINK("http://aig.my","aig.my")</f>
        <v>aig.my</v>
      </c>
      <c r="C3257" t="s">
        <v>472</v>
      </c>
      <c r="D3257" t="s">
        <v>848</v>
      </c>
      <c r="F3257">
        <v>7.4352232352376305E-8</v>
      </c>
      <c r="G3257">
        <v>566030</v>
      </c>
      <c r="H3257">
        <v>13887011</v>
      </c>
      <c r="I3257">
        <v>5967924</v>
      </c>
      <c r="J3257">
        <v>2</v>
      </c>
    </row>
    <row r="3258" spans="1:10" x14ac:dyDescent="0.25">
      <c r="A3258" t="s">
        <v>33</v>
      </c>
      <c r="B3258" s="1" t="str">
        <f>HYPERLINK("http://aig.com.my","aig.com.my")</f>
        <v>aig.com.my</v>
      </c>
      <c r="C3258" t="s">
        <v>472</v>
      </c>
      <c r="D3258" t="s">
        <v>848</v>
      </c>
      <c r="F3258">
        <v>1.2900275016408399E-8</v>
      </c>
      <c r="G3258">
        <v>4679271</v>
      </c>
      <c r="H3258">
        <v>12172526</v>
      </c>
      <c r="I3258">
        <v>24004497</v>
      </c>
      <c r="J3258">
        <v>3</v>
      </c>
    </row>
    <row r="3259" spans="1:10" x14ac:dyDescent="0.25">
      <c r="A3259" t="s">
        <v>33</v>
      </c>
      <c r="B3259" s="1" t="str">
        <f>HYPERLINK("http://aig.no","aig.no")</f>
        <v>aig.no</v>
      </c>
      <c r="C3259" t="s">
        <v>478</v>
      </c>
      <c r="D3259" t="s">
        <v>853</v>
      </c>
      <c r="F3259">
        <v>3.6564004423973399E-8</v>
      </c>
      <c r="G3259">
        <v>1428363</v>
      </c>
      <c r="H3259">
        <v>13138733</v>
      </c>
      <c r="I3259">
        <v>11890481</v>
      </c>
      <c r="J3259">
        <v>2</v>
      </c>
    </row>
    <row r="3260" spans="1:10" x14ac:dyDescent="0.25">
      <c r="A3260" t="s">
        <v>33</v>
      </c>
      <c r="B3260" s="1" t="str">
        <f>HYPERLINK("http://aig.co.nz","aig.co.nz")</f>
        <v>aig.co.nz</v>
      </c>
      <c r="C3260" t="s">
        <v>479</v>
      </c>
      <c r="D3260" t="s">
        <v>854</v>
      </c>
      <c r="F3260">
        <v>2.23069829767421E-8</v>
      </c>
      <c r="G3260">
        <v>2350180</v>
      </c>
      <c r="H3260">
        <v>12629114</v>
      </c>
      <c r="I3260">
        <v>15998441</v>
      </c>
      <c r="J3260">
        <v>2</v>
      </c>
    </row>
    <row r="3261" spans="1:10" x14ac:dyDescent="0.25">
      <c r="A3261" t="s">
        <v>33</v>
      </c>
      <c r="B3261" s="1" t="str">
        <f>HYPERLINK("http://aig.co.om","aig.co.om")</f>
        <v>aig.co.om</v>
      </c>
      <c r="C3261" t="s">
        <v>480</v>
      </c>
      <c r="D3261" t="s">
        <v>855</v>
      </c>
      <c r="F3261">
        <v>2.1476178289677599E-8</v>
      </c>
      <c r="G3261">
        <v>2451993</v>
      </c>
      <c r="H3261">
        <v>12458718</v>
      </c>
      <c r="I3261">
        <v>17894539</v>
      </c>
      <c r="J3261">
        <v>2</v>
      </c>
    </row>
    <row r="3262" spans="1:10" x14ac:dyDescent="0.25">
      <c r="A3262" t="s">
        <v>33</v>
      </c>
      <c r="B3262" s="1" t="str">
        <f>HYPERLINK("http://aig.com.ph","aig.com.ph")</f>
        <v>aig.com.ph</v>
      </c>
      <c r="C3262" t="s">
        <v>484</v>
      </c>
      <c r="D3262" t="s">
        <v>858</v>
      </c>
      <c r="F3262">
        <v>1.6626447576719399E-8</v>
      </c>
      <c r="G3262">
        <v>3382544</v>
      </c>
      <c r="H3262">
        <v>13765198</v>
      </c>
      <c r="I3262">
        <v>7130324</v>
      </c>
      <c r="J3262">
        <v>2</v>
      </c>
    </row>
    <row r="3263" spans="1:10" x14ac:dyDescent="0.25">
      <c r="A3263" t="s">
        <v>33</v>
      </c>
      <c r="B3263" s="1" t="str">
        <f>HYPERLINK("http://aig.com.pk","aig.com.pk")</f>
        <v>aig.com.pk</v>
      </c>
      <c r="C3263" t="s">
        <v>485</v>
      </c>
      <c r="D3263" t="s">
        <v>859</v>
      </c>
      <c r="F3263">
        <v>1.39022353749468E-8</v>
      </c>
      <c r="G3263">
        <v>4240137</v>
      </c>
      <c r="H3263">
        <v>12220311</v>
      </c>
      <c r="I3263">
        <v>22781529</v>
      </c>
      <c r="J3263">
        <v>2</v>
      </c>
    </row>
    <row r="3264" spans="1:10" x14ac:dyDescent="0.25">
      <c r="A3264" t="s">
        <v>33</v>
      </c>
      <c r="B3264" s="1" t="str">
        <f>HYPERLINK("http://aig.pl","aig.pl")</f>
        <v>aig.pl</v>
      </c>
      <c r="C3264" t="s">
        <v>486</v>
      </c>
      <c r="D3264" t="s">
        <v>860</v>
      </c>
      <c r="F3264">
        <v>1.5341555355248099E-8</v>
      </c>
      <c r="G3264">
        <v>3733173</v>
      </c>
      <c r="H3264">
        <v>14072252</v>
      </c>
      <c r="I3264">
        <v>3128289</v>
      </c>
      <c r="J3264">
        <v>2</v>
      </c>
    </row>
    <row r="3265" spans="1:10" x14ac:dyDescent="0.25">
      <c r="A3265" t="s">
        <v>33</v>
      </c>
      <c r="B3265" s="1" t="str">
        <f>HYPERLINK("http://aig.com.pr","aig.com.pr")</f>
        <v>aig.com.pr</v>
      </c>
      <c r="C3265" t="s">
        <v>487</v>
      </c>
      <c r="D3265" t="s">
        <v>861</v>
      </c>
      <c r="F3265">
        <v>1.58390434104511E-8</v>
      </c>
      <c r="G3265">
        <v>3588797</v>
      </c>
      <c r="H3265">
        <v>12413221</v>
      </c>
      <c r="I3265">
        <v>18561351</v>
      </c>
      <c r="J3265">
        <v>2</v>
      </c>
    </row>
    <row r="3266" spans="1:10" x14ac:dyDescent="0.25">
      <c r="A3266" t="s">
        <v>33</v>
      </c>
      <c r="B3266" s="1" t="str">
        <f>HYPERLINK("http://aig.com.pt","aig.com.pt")</f>
        <v>aig.com.pt</v>
      </c>
      <c r="C3266" t="s">
        <v>488</v>
      </c>
      <c r="D3266" t="s">
        <v>862</v>
      </c>
      <c r="F3266">
        <v>2.1039433183190899E-8</v>
      </c>
      <c r="G3266">
        <v>2510656</v>
      </c>
      <c r="H3266">
        <v>12477096</v>
      </c>
      <c r="I3266">
        <v>17625356</v>
      </c>
      <c r="J3266">
        <v>2</v>
      </c>
    </row>
    <row r="3267" spans="1:10" x14ac:dyDescent="0.25">
      <c r="A3267" t="s">
        <v>33</v>
      </c>
      <c r="B3267" s="1" t="str">
        <f>HYPERLINK("http://aig.com.qa","aig.com.qa")</f>
        <v>aig.com.qa</v>
      </c>
      <c r="C3267" t="s">
        <v>490</v>
      </c>
      <c r="D3267" t="s">
        <v>864</v>
      </c>
      <c r="F3267">
        <v>2.22978685811768E-8</v>
      </c>
      <c r="G3267">
        <v>2351160</v>
      </c>
      <c r="H3267">
        <v>12607390</v>
      </c>
      <c r="I3267">
        <v>16255817</v>
      </c>
      <c r="J3267">
        <v>2</v>
      </c>
    </row>
    <row r="3268" spans="1:10" x14ac:dyDescent="0.25">
      <c r="A3268" t="s">
        <v>33</v>
      </c>
      <c r="B3268" s="1" t="str">
        <f>HYPERLINK("http://aig.com.ro","aig.com.ro")</f>
        <v>aig.com.ro</v>
      </c>
      <c r="C3268" t="s">
        <v>491</v>
      </c>
      <c r="D3268" t="s">
        <v>865</v>
      </c>
      <c r="F3268">
        <v>1.3914068770450999E-8</v>
      </c>
      <c r="G3268">
        <v>4235551</v>
      </c>
      <c r="H3268">
        <v>12264124</v>
      </c>
      <c r="I3268">
        <v>21654152</v>
      </c>
      <c r="J3268">
        <v>2</v>
      </c>
    </row>
    <row r="3269" spans="1:10" x14ac:dyDescent="0.25">
      <c r="A3269" t="s">
        <v>33</v>
      </c>
      <c r="B3269" s="1" t="str">
        <f>HYPERLINK("http://aig.ru","aig.ru")</f>
        <v>aig.ru</v>
      </c>
      <c r="C3269" t="s">
        <v>493</v>
      </c>
      <c r="D3269" t="s">
        <v>867</v>
      </c>
      <c r="F3269">
        <v>2.7743096669831199E-8</v>
      </c>
      <c r="G3269">
        <v>1853520</v>
      </c>
      <c r="H3269">
        <v>14077918</v>
      </c>
      <c r="I3269">
        <v>2856214</v>
      </c>
      <c r="J3269">
        <v>2</v>
      </c>
    </row>
    <row r="3270" spans="1:10" x14ac:dyDescent="0.25">
      <c r="A3270" t="s">
        <v>33</v>
      </c>
      <c r="B3270" s="1" t="str">
        <f>HYPERLINK("http://aig.se","aig.se")</f>
        <v>aig.se</v>
      </c>
      <c r="C3270" t="s">
        <v>495</v>
      </c>
      <c r="D3270" t="s">
        <v>869</v>
      </c>
      <c r="F3270">
        <v>5.0571894642726599E-8</v>
      </c>
      <c r="G3270">
        <v>908074</v>
      </c>
      <c r="H3270">
        <v>12630906</v>
      </c>
      <c r="I3270">
        <v>15976336</v>
      </c>
      <c r="J3270">
        <v>2</v>
      </c>
    </row>
    <row r="3271" spans="1:10" x14ac:dyDescent="0.25">
      <c r="A3271" t="s">
        <v>33</v>
      </c>
      <c r="B3271" s="1" t="str">
        <f>HYPERLINK("http://aig.sg","aig.sg")</f>
        <v>aig.sg</v>
      </c>
      <c r="C3271" t="s">
        <v>496</v>
      </c>
      <c r="D3271" t="s">
        <v>870</v>
      </c>
      <c r="E3271">
        <v>547154</v>
      </c>
      <c r="F3271">
        <v>1.0718484599104699E-7</v>
      </c>
      <c r="G3271">
        <v>373513</v>
      </c>
      <c r="H3271">
        <v>14132897</v>
      </c>
      <c r="I3271">
        <v>1994591</v>
      </c>
      <c r="J3271">
        <v>2</v>
      </c>
    </row>
    <row r="3272" spans="1:10" x14ac:dyDescent="0.25">
      <c r="A3272" t="s">
        <v>33</v>
      </c>
      <c r="B3272" s="1" t="str">
        <f>HYPERLINK("http://aig.com.sg","aig.com.sg")</f>
        <v>aig.com.sg</v>
      </c>
      <c r="C3272" t="s">
        <v>496</v>
      </c>
      <c r="D3272" t="s">
        <v>870</v>
      </c>
      <c r="F3272">
        <v>9.7635013265966196E-8</v>
      </c>
      <c r="G3272">
        <v>413540</v>
      </c>
      <c r="H3272">
        <v>16813290</v>
      </c>
      <c r="I3272">
        <v>191697</v>
      </c>
      <c r="J3272">
        <v>3</v>
      </c>
    </row>
    <row r="3273" spans="1:10" x14ac:dyDescent="0.25">
      <c r="A3273" t="s">
        <v>33</v>
      </c>
      <c r="B3273" s="1" t="str">
        <f>HYPERLINK("http://aig.co.th","aig.co.th")</f>
        <v>aig.co.th</v>
      </c>
      <c r="C3273" t="s">
        <v>500</v>
      </c>
      <c r="D3273" t="s">
        <v>874</v>
      </c>
      <c r="F3273">
        <v>2.2037730572054899E-8</v>
      </c>
      <c r="G3273">
        <v>2381669</v>
      </c>
      <c r="H3273">
        <v>12529786</v>
      </c>
      <c r="I3273">
        <v>17037682</v>
      </c>
      <c r="J3273">
        <v>2</v>
      </c>
    </row>
    <row r="3274" spans="1:10" x14ac:dyDescent="0.25">
      <c r="A3274" t="s">
        <v>33</v>
      </c>
      <c r="B3274" s="1" t="str">
        <f>HYPERLINK("http://aig.com.tw","aig.com.tw")</f>
        <v>aig.com.tw</v>
      </c>
      <c r="C3274" t="s">
        <v>504</v>
      </c>
      <c r="D3274" t="s">
        <v>878</v>
      </c>
      <c r="F3274">
        <v>3.10267778105271E-8</v>
      </c>
      <c r="G3274">
        <v>1661019</v>
      </c>
      <c r="H3274">
        <v>14501891</v>
      </c>
      <c r="I3274">
        <v>848034</v>
      </c>
      <c r="J3274">
        <v>2</v>
      </c>
    </row>
    <row r="3275" spans="1:10" x14ac:dyDescent="0.25">
      <c r="A3275" t="s">
        <v>33</v>
      </c>
      <c r="B3275" s="1" t="str">
        <f>HYPERLINK("http://aig.co.ug","aig.co.ug")</f>
        <v>aig.co.ug</v>
      </c>
      <c r="C3275" t="s">
        <v>677</v>
      </c>
      <c r="D3275" t="s">
        <v>995</v>
      </c>
      <c r="F3275">
        <v>1.42241949726248E-8</v>
      </c>
      <c r="G3275">
        <v>4120325</v>
      </c>
      <c r="H3275">
        <v>12220265</v>
      </c>
      <c r="I3275">
        <v>22782233</v>
      </c>
      <c r="J3275">
        <v>2</v>
      </c>
    </row>
    <row r="3276" spans="1:10" x14ac:dyDescent="0.25">
      <c r="A3276" t="s">
        <v>33</v>
      </c>
      <c r="B3276" s="1" t="str">
        <f>HYPERLINK("http://aig.co.uk","aig.co.uk")</f>
        <v>aig.co.uk</v>
      </c>
      <c r="C3276" t="s">
        <v>506</v>
      </c>
      <c r="D3276" t="s">
        <v>880</v>
      </c>
      <c r="E3276">
        <v>514495</v>
      </c>
      <c r="F3276">
        <v>1.73354896250583E-7</v>
      </c>
      <c r="G3276">
        <v>223708</v>
      </c>
      <c r="H3276">
        <v>14740093</v>
      </c>
      <c r="I3276">
        <v>567716</v>
      </c>
      <c r="J3276">
        <v>2</v>
      </c>
    </row>
    <row r="3277" spans="1:10" x14ac:dyDescent="0.25">
      <c r="A3277" t="s">
        <v>33</v>
      </c>
      <c r="B3277" s="1" t="str">
        <f>HYPERLINK("http://aiglife.co.uk","aiglife.co.uk")</f>
        <v>aiglife.co.uk</v>
      </c>
      <c r="C3277" t="s">
        <v>506</v>
      </c>
      <c r="D3277" t="s">
        <v>880</v>
      </c>
      <c r="E3277">
        <v>537189</v>
      </c>
      <c r="F3277">
        <v>1.6853453495662701E-8</v>
      </c>
      <c r="G3277">
        <v>3320396</v>
      </c>
      <c r="H3277">
        <v>12701836</v>
      </c>
      <c r="I3277">
        <v>15345139</v>
      </c>
      <c r="J3277">
        <v>4</v>
      </c>
    </row>
    <row r="3278" spans="1:10" x14ac:dyDescent="0.25">
      <c r="A3278" t="s">
        <v>33</v>
      </c>
      <c r="B3278" s="1" t="str">
        <f>HYPERLINK("http://aig.com.ve","aig.com.ve")</f>
        <v>aig.com.ve</v>
      </c>
      <c r="C3278" t="s">
        <v>508</v>
      </c>
      <c r="D3278" t="s">
        <v>882</v>
      </c>
      <c r="F3278">
        <v>1.86384207503418E-8</v>
      </c>
      <c r="G3278">
        <v>2900419</v>
      </c>
      <c r="H3278">
        <v>12269659</v>
      </c>
      <c r="I3278">
        <v>21530642</v>
      </c>
      <c r="J3278">
        <v>2</v>
      </c>
    </row>
    <row r="3279" spans="1:10" x14ac:dyDescent="0.25">
      <c r="A3279" t="s">
        <v>33</v>
      </c>
      <c r="B3279" s="1" t="str">
        <f>HYPERLINK("http://casai.com.ve","casai.com.ve")</f>
        <v>casai.com.ve</v>
      </c>
      <c r="C3279" t="s">
        <v>508</v>
      </c>
      <c r="D3279" t="s">
        <v>882</v>
      </c>
      <c r="F3279">
        <v>4.8125260625361001E-9</v>
      </c>
      <c r="G3279">
        <v>35562557</v>
      </c>
      <c r="H3279">
        <v>12862306</v>
      </c>
      <c r="I3279">
        <v>14185553</v>
      </c>
      <c r="J3279">
        <v>7</v>
      </c>
    </row>
    <row r="3280" spans="1:10" x14ac:dyDescent="0.25">
      <c r="A3280" t="s">
        <v>33</v>
      </c>
      <c r="B3280" s="1" t="str">
        <f>HYPERLINK("http://aig.com.vn","aig.com.vn")</f>
        <v>aig.com.vn</v>
      </c>
      <c r="C3280" t="s">
        <v>509</v>
      </c>
      <c r="D3280" t="s">
        <v>883</v>
      </c>
      <c r="F3280">
        <v>2.20637779053698E-8</v>
      </c>
      <c r="G3280">
        <v>2378732</v>
      </c>
      <c r="H3280">
        <v>12424253</v>
      </c>
      <c r="I3280">
        <v>18385014</v>
      </c>
      <c r="J3280">
        <v>2</v>
      </c>
    </row>
    <row r="3281" spans="1:10" x14ac:dyDescent="0.25">
      <c r="A3281" t="s">
        <v>33</v>
      </c>
      <c r="B3281" s="1" t="str">
        <f>HYPERLINK("http://aig.co.za","aig.co.za")</f>
        <v>aig.co.za</v>
      </c>
      <c r="C3281" t="s">
        <v>510</v>
      </c>
      <c r="D3281" t="s">
        <v>884</v>
      </c>
      <c r="F3281">
        <v>1.8883581620034799E-8</v>
      </c>
      <c r="G3281">
        <v>2856368</v>
      </c>
      <c r="H3281">
        <v>12794174</v>
      </c>
      <c r="I3281">
        <v>14668079</v>
      </c>
      <c r="J3281">
        <v>2</v>
      </c>
    </row>
    <row r="3282" spans="1:10" x14ac:dyDescent="0.25">
      <c r="A3282" t="s">
        <v>34</v>
      </c>
      <c r="B3282" s="1" t="str">
        <f>HYPERLINK("http://americantower.com.ar","americantower.com.ar")</f>
        <v>americantower.com.ar</v>
      </c>
      <c r="C3282" t="s">
        <v>418</v>
      </c>
      <c r="D3282" t="s">
        <v>800</v>
      </c>
      <c r="F3282">
        <v>1.0932457097248101E-8</v>
      </c>
      <c r="G3282">
        <v>5917546</v>
      </c>
      <c r="H3282">
        <v>12028003</v>
      </c>
      <c r="I3282">
        <v>27705175</v>
      </c>
      <c r="J3282">
        <v>2</v>
      </c>
    </row>
    <row r="3283" spans="1:10" x14ac:dyDescent="0.25">
      <c r="A3283" t="s">
        <v>34</v>
      </c>
      <c r="B3283" s="1" t="str">
        <f>HYPERLINK("http://americantower.com.br","americantower.com.br")</f>
        <v>americantower.com.br</v>
      </c>
      <c r="C3283" t="s">
        <v>425</v>
      </c>
      <c r="D3283" t="s">
        <v>806</v>
      </c>
      <c r="F3283">
        <v>1.5788030666424001E-8</v>
      </c>
      <c r="G3283">
        <v>3602828</v>
      </c>
      <c r="H3283">
        <v>13771429</v>
      </c>
      <c r="I3283">
        <v>6694234</v>
      </c>
      <c r="J3283">
        <v>2</v>
      </c>
    </row>
    <row r="3284" spans="1:10" x14ac:dyDescent="0.25">
      <c r="A3284" t="s">
        <v>34</v>
      </c>
      <c r="B3284" s="1" t="str">
        <f>HYPERLINK("http://americantower.cl","americantower.cl")</f>
        <v>americantower.cl</v>
      </c>
      <c r="C3284" t="s">
        <v>430</v>
      </c>
      <c r="D3284" t="s">
        <v>811</v>
      </c>
      <c r="F3284">
        <v>1.16160641136693E-8</v>
      </c>
      <c r="G3284">
        <v>5422535</v>
      </c>
      <c r="H3284">
        <v>12051980</v>
      </c>
      <c r="I3284">
        <v>27191860</v>
      </c>
      <c r="J3284">
        <v>2</v>
      </c>
    </row>
    <row r="3285" spans="1:10" x14ac:dyDescent="0.25">
      <c r="A3285" t="s">
        <v>34</v>
      </c>
      <c r="B3285" s="1" t="str">
        <f>HYPERLINK("http://atcsitios.com.co","atcsitios.com.co")</f>
        <v>atcsitios.com.co</v>
      </c>
      <c r="C3285" t="s">
        <v>432</v>
      </c>
      <c r="F3285">
        <v>1.1716232681722799E-8</v>
      </c>
      <c r="G3285">
        <v>5355969</v>
      </c>
      <c r="H3285">
        <v>12011526</v>
      </c>
      <c r="I3285">
        <v>28041277</v>
      </c>
      <c r="J3285">
        <v>3</v>
      </c>
    </row>
    <row r="3286" spans="1:10" x14ac:dyDescent="0.25">
      <c r="A3286" t="s">
        <v>34</v>
      </c>
      <c r="B3286" s="1" t="str">
        <f>HYPERLINK("http://americantower.com","americantower.com")</f>
        <v>americantower.com</v>
      </c>
      <c r="C3286" t="s">
        <v>433</v>
      </c>
      <c r="E3286">
        <v>86982</v>
      </c>
      <c r="F3286">
        <v>3.1802845662176798E-7</v>
      </c>
      <c r="G3286">
        <v>116973</v>
      </c>
      <c r="H3286">
        <v>17027188</v>
      </c>
      <c r="I3286">
        <v>85613</v>
      </c>
      <c r="J3286">
        <v>1</v>
      </c>
    </row>
    <row r="3287" spans="1:10" x14ac:dyDescent="0.25">
      <c r="A3287" t="s">
        <v>34</v>
      </c>
      <c r="B3287" s="1" t="str">
        <f>HYPERLINK("http://insightinfrastructure.com","insightinfrastructure.com")</f>
        <v>insightinfrastructure.com</v>
      </c>
      <c r="C3287" t="s">
        <v>433</v>
      </c>
      <c r="J3287">
        <v>3</v>
      </c>
    </row>
    <row r="3288" spans="1:10" x14ac:dyDescent="0.25">
      <c r="A3288" t="s">
        <v>34</v>
      </c>
      <c r="B3288" s="1" t="str">
        <f>HYPERLINK("http://insitewireless.com","insitewireless.com")</f>
        <v>insitewireless.com</v>
      </c>
      <c r="C3288" t="s">
        <v>433</v>
      </c>
      <c r="F3288">
        <v>8.8267178729336905E-9</v>
      </c>
      <c r="G3288">
        <v>8261427</v>
      </c>
      <c r="H3288">
        <v>13838034</v>
      </c>
      <c r="I3288">
        <v>6080049</v>
      </c>
      <c r="J3288">
        <v>3</v>
      </c>
    </row>
    <row r="3289" spans="1:10" x14ac:dyDescent="0.25">
      <c r="A3289" t="s">
        <v>34</v>
      </c>
      <c r="B3289" s="1" t="str">
        <f>HYPERLINK("http://k2towers.com","k2towers.com")</f>
        <v>k2towers.com</v>
      </c>
      <c r="C3289" t="s">
        <v>433</v>
      </c>
      <c r="F3289">
        <v>4.8256317789149103E-9</v>
      </c>
      <c r="G3289">
        <v>35005539</v>
      </c>
      <c r="H3289">
        <v>12094593</v>
      </c>
      <c r="I3289">
        <v>26106220</v>
      </c>
      <c r="J3289">
        <v>3</v>
      </c>
    </row>
    <row r="3290" spans="1:10" x14ac:dyDescent="0.25">
      <c r="A3290" t="s">
        <v>34</v>
      </c>
      <c r="B3290" s="1" t="str">
        <f>HYPERLINK("http://rfsites.com","rfsites.com")</f>
        <v>rfsites.com</v>
      </c>
      <c r="C3290" t="s">
        <v>433</v>
      </c>
      <c r="F3290">
        <v>7.1226754012689003E-9</v>
      </c>
      <c r="G3290">
        <v>11951986</v>
      </c>
      <c r="H3290">
        <v>12622849</v>
      </c>
      <c r="I3290">
        <v>16058525</v>
      </c>
      <c r="J3290">
        <v>3</v>
      </c>
    </row>
    <row r="3291" spans="1:10" x14ac:dyDescent="0.25">
      <c r="A3291" t="s">
        <v>34</v>
      </c>
      <c r="B3291" s="1" t="str">
        <f>HYPERLINK("http://rsamedia.com","rsamedia.com")</f>
        <v>rsamedia.com</v>
      </c>
      <c r="C3291" t="s">
        <v>433</v>
      </c>
      <c r="F3291">
        <v>6.3983734797553E-9</v>
      </c>
      <c r="G3291">
        <v>14524304</v>
      </c>
      <c r="H3291">
        <v>12097131</v>
      </c>
      <c r="I3291">
        <v>26050203</v>
      </c>
      <c r="J3291">
        <v>3</v>
      </c>
    </row>
    <row r="3292" spans="1:10" x14ac:dyDescent="0.25">
      <c r="A3292" t="s">
        <v>34</v>
      </c>
      <c r="B3292" s="1" t="str">
        <f>HYPERLINK("http://viomnetworks.com","viomnetworks.com")</f>
        <v>viomnetworks.com</v>
      </c>
      <c r="C3292" t="s">
        <v>433</v>
      </c>
      <c r="F3292">
        <v>8.2989192436947995E-9</v>
      </c>
      <c r="G3292">
        <v>9259517</v>
      </c>
      <c r="H3292">
        <v>13232627</v>
      </c>
      <c r="I3292">
        <v>11260643</v>
      </c>
      <c r="J3292">
        <v>4</v>
      </c>
    </row>
    <row r="3293" spans="1:10" x14ac:dyDescent="0.25">
      <c r="A3293" t="s">
        <v>34</v>
      </c>
      <c r="B3293" s="1" t="str">
        <f>HYPERLINK("http://americantower.cr","americantower.cr")</f>
        <v>americantower.cr</v>
      </c>
      <c r="C3293" t="s">
        <v>434</v>
      </c>
      <c r="D3293" t="s">
        <v>813</v>
      </c>
      <c r="F3293">
        <v>1.08907861919028E-8</v>
      </c>
      <c r="G3293">
        <v>5949420</v>
      </c>
      <c r="H3293">
        <v>12010473</v>
      </c>
      <c r="I3293">
        <v>28065293</v>
      </c>
      <c r="J3293">
        <v>2</v>
      </c>
    </row>
    <row r="3294" spans="1:10" x14ac:dyDescent="0.25">
      <c r="A3294" t="s">
        <v>34</v>
      </c>
      <c r="B3294" s="1" t="str">
        <f>HYPERLINK("http://americantower.com.de","americantower.com.de")</f>
        <v>americantower.com.de</v>
      </c>
      <c r="C3294" t="s">
        <v>436</v>
      </c>
      <c r="D3294" t="s">
        <v>815</v>
      </c>
      <c r="J3294">
        <v>3</v>
      </c>
    </row>
    <row r="3295" spans="1:10" x14ac:dyDescent="0.25">
      <c r="A3295" t="s">
        <v>34</v>
      </c>
      <c r="B3295" s="1" t="str">
        <f>HYPERLINK("http://americantower.es","americantower.es")</f>
        <v>americantower.es</v>
      </c>
      <c r="C3295" t="s">
        <v>443</v>
      </c>
      <c r="D3295" t="s">
        <v>822</v>
      </c>
      <c r="E3295">
        <v>450781</v>
      </c>
      <c r="F3295">
        <v>7.2870696914934798E-9</v>
      </c>
      <c r="G3295">
        <v>11512060</v>
      </c>
      <c r="H3295">
        <v>12066829</v>
      </c>
      <c r="I3295">
        <v>26854952</v>
      </c>
      <c r="J3295">
        <v>2</v>
      </c>
    </row>
    <row r="3296" spans="1:10" x14ac:dyDescent="0.25">
      <c r="A3296" t="s">
        <v>34</v>
      </c>
      <c r="B3296" s="1" t="str">
        <f>HYPERLINK("http://loxel.fr","loxel.fr")</f>
        <v>loxel.fr</v>
      </c>
      <c r="C3296" t="s">
        <v>446</v>
      </c>
      <c r="D3296" t="s">
        <v>824</v>
      </c>
      <c r="F3296">
        <v>4.4439211124578798E-9</v>
      </c>
      <c r="G3296">
        <v>77884459</v>
      </c>
      <c r="H3296">
        <v>11975843</v>
      </c>
      <c r="I3296">
        <v>28557383</v>
      </c>
      <c r="J3296">
        <v>3</v>
      </c>
    </row>
    <row r="3297" spans="1:10" x14ac:dyDescent="0.25">
      <c r="A3297" t="s">
        <v>34</v>
      </c>
      <c r="B3297" s="1" t="str">
        <f>HYPERLINK("http://americantower.com.gh","americantower.com.gh")</f>
        <v>americantower.com.gh</v>
      </c>
      <c r="C3297" t="s">
        <v>640</v>
      </c>
      <c r="D3297" t="s">
        <v>961</v>
      </c>
      <c r="F3297">
        <v>1.21667866147134E-8</v>
      </c>
      <c r="G3297">
        <v>5069849</v>
      </c>
      <c r="H3297">
        <v>12070927</v>
      </c>
      <c r="I3297">
        <v>26772279</v>
      </c>
      <c r="J3297">
        <v>2</v>
      </c>
    </row>
    <row r="3298" spans="1:10" x14ac:dyDescent="0.25">
      <c r="A3298" t="s">
        <v>34</v>
      </c>
      <c r="B3298" s="1" t="str">
        <f>HYPERLINK("http://atctower.in","atctower.in")</f>
        <v>atctower.in</v>
      </c>
      <c r="C3298" t="s">
        <v>457</v>
      </c>
      <c r="D3298" t="s">
        <v>834</v>
      </c>
      <c r="F3298">
        <v>1.48828976238032E-8</v>
      </c>
      <c r="G3298">
        <v>3878382</v>
      </c>
      <c r="H3298">
        <v>12209040</v>
      </c>
      <c r="I3298">
        <v>23049514</v>
      </c>
      <c r="J3298">
        <v>2</v>
      </c>
    </row>
    <row r="3299" spans="1:10" x14ac:dyDescent="0.25">
      <c r="A3299" t="s">
        <v>34</v>
      </c>
      <c r="B3299" s="1" t="str">
        <f>HYPERLINK("http://americantower.com.mx","americantower.com.mx")</f>
        <v>americantower.com.mx</v>
      </c>
      <c r="C3299" t="s">
        <v>471</v>
      </c>
      <c r="D3299" t="s">
        <v>847</v>
      </c>
      <c r="F3299">
        <v>1.3561499105501701E-8</v>
      </c>
      <c r="G3299">
        <v>4377946</v>
      </c>
      <c r="H3299">
        <v>12271935</v>
      </c>
      <c r="I3299">
        <v>21480359</v>
      </c>
      <c r="J3299">
        <v>2</v>
      </c>
    </row>
    <row r="3300" spans="1:10" x14ac:dyDescent="0.25">
      <c r="A3300" t="s">
        <v>34</v>
      </c>
      <c r="B3300" s="1" t="str">
        <f>HYPERLINK("http://americantower.pe","americantower.pe")</f>
        <v>americantower.pe</v>
      </c>
      <c r="C3300" t="s">
        <v>483</v>
      </c>
      <c r="D3300" t="s">
        <v>857</v>
      </c>
      <c r="F3300">
        <v>1.2065209195942599E-8</v>
      </c>
      <c r="G3300">
        <v>5134476</v>
      </c>
      <c r="H3300">
        <v>12298617</v>
      </c>
      <c r="I3300">
        <v>20871861</v>
      </c>
      <c r="J3300">
        <v>2</v>
      </c>
    </row>
    <row r="3301" spans="1:10" x14ac:dyDescent="0.25">
      <c r="A3301" t="s">
        <v>34</v>
      </c>
      <c r="B3301" s="1" t="str">
        <f>HYPERLINK("http://americantower.com.py","americantower.com.py")</f>
        <v>americantower.com.py</v>
      </c>
      <c r="C3301" t="s">
        <v>489</v>
      </c>
      <c r="D3301" t="s">
        <v>863</v>
      </c>
      <c r="F3301">
        <v>1.0789908964708099E-8</v>
      </c>
      <c r="G3301">
        <v>6028674</v>
      </c>
      <c r="H3301">
        <v>12077848</v>
      </c>
      <c r="I3301">
        <v>26610105</v>
      </c>
      <c r="J3301">
        <v>2</v>
      </c>
    </row>
    <row r="3302" spans="1:10" x14ac:dyDescent="0.25">
      <c r="A3302" t="s">
        <v>1586</v>
      </c>
      <c r="B3302" s="1" t="str">
        <f>HYPERLINK("http://columbiathreadneedle.at","columbiathreadneedle.at")</f>
        <v>columbiathreadneedle.at</v>
      </c>
      <c r="C3302" t="s">
        <v>419</v>
      </c>
      <c r="D3302" t="s">
        <v>801</v>
      </c>
      <c r="F3302">
        <v>8.6707032468198504E-9</v>
      </c>
      <c r="G3302">
        <v>8528672</v>
      </c>
      <c r="H3302">
        <v>11081363</v>
      </c>
      <c r="I3302">
        <v>32472340</v>
      </c>
      <c r="J3302">
        <v>5</v>
      </c>
    </row>
    <row r="3303" spans="1:10" x14ac:dyDescent="0.25">
      <c r="A3303" t="s">
        <v>1586</v>
      </c>
      <c r="B3303" s="1" t="str">
        <f>HYPERLINK("http://columbiathreadneedle.com.au","columbiathreadneedle.com.au")</f>
        <v>columbiathreadneedle.com.au</v>
      </c>
      <c r="C3303" t="s">
        <v>420</v>
      </c>
      <c r="D3303" t="s">
        <v>802</v>
      </c>
      <c r="F3303">
        <v>7.2740224967954701E-9</v>
      </c>
      <c r="G3303">
        <v>11544042</v>
      </c>
      <c r="H3303">
        <v>10926311</v>
      </c>
      <c r="I3303">
        <v>35142381</v>
      </c>
      <c r="J3303">
        <v>5</v>
      </c>
    </row>
    <row r="3304" spans="1:10" x14ac:dyDescent="0.25">
      <c r="A3304" t="s">
        <v>1586</v>
      </c>
      <c r="B3304" s="1" t="str">
        <f>HYPERLINK("http://columbiathreadneedle.be","columbiathreadneedle.be")</f>
        <v>columbiathreadneedle.be</v>
      </c>
      <c r="C3304" t="s">
        <v>421</v>
      </c>
      <c r="D3304" t="s">
        <v>803</v>
      </c>
      <c r="F3304">
        <v>8.04182890284615E-9</v>
      </c>
      <c r="G3304">
        <v>9844759</v>
      </c>
      <c r="H3304">
        <v>12243720</v>
      </c>
      <c r="I3304">
        <v>22157066</v>
      </c>
      <c r="J3304">
        <v>5</v>
      </c>
    </row>
    <row r="3305" spans="1:10" x14ac:dyDescent="0.25">
      <c r="A3305" t="s">
        <v>1586</v>
      </c>
      <c r="B3305" s="1" t="str">
        <f>HYPERLINK("http://columbiathreadneedle.ch","columbiathreadneedle.ch")</f>
        <v>columbiathreadneedle.ch</v>
      </c>
      <c r="C3305" t="s">
        <v>429</v>
      </c>
      <c r="D3305" t="s">
        <v>810</v>
      </c>
      <c r="F3305">
        <v>7.9022404662232898E-9</v>
      </c>
      <c r="G3305">
        <v>10107112</v>
      </c>
      <c r="H3305">
        <v>12289954</v>
      </c>
      <c r="I3305">
        <v>21109962</v>
      </c>
      <c r="J3305">
        <v>5</v>
      </c>
    </row>
    <row r="3306" spans="1:10" x14ac:dyDescent="0.25">
      <c r="A3306" t="s">
        <v>1586</v>
      </c>
      <c r="B3306" s="1" t="str">
        <f>HYPERLINK("http://columbiathreadneedle.cl","columbiathreadneedle.cl")</f>
        <v>columbiathreadneedle.cl</v>
      </c>
      <c r="C3306" t="s">
        <v>430</v>
      </c>
      <c r="D3306" t="s">
        <v>811</v>
      </c>
      <c r="F3306">
        <v>7.1993206386320098E-9</v>
      </c>
      <c r="G3306">
        <v>11742387</v>
      </c>
      <c r="H3306">
        <v>10857449</v>
      </c>
      <c r="I3306">
        <v>36711542</v>
      </c>
      <c r="J3306">
        <v>5</v>
      </c>
    </row>
    <row r="3307" spans="1:10" x14ac:dyDescent="0.25">
      <c r="A3307" t="s">
        <v>1586</v>
      </c>
      <c r="B3307" s="1" t="str">
        <f>HYPERLINK("http://adelante-am.com","adelante-am.com")</f>
        <v>adelante-am.com</v>
      </c>
      <c r="C3307" t="s">
        <v>433</v>
      </c>
      <c r="F3307">
        <v>4.4501835081813001E-9</v>
      </c>
      <c r="G3307">
        <v>71821737</v>
      </c>
      <c r="H3307">
        <v>9434765</v>
      </c>
      <c r="I3307">
        <v>66750574</v>
      </c>
      <c r="J3307">
        <v>9</v>
      </c>
    </row>
    <row r="3308" spans="1:10" x14ac:dyDescent="0.25">
      <c r="A3308" t="s">
        <v>1586</v>
      </c>
      <c r="B3308" s="1" t="str">
        <f>HYPERLINK("http://advisorcompass.com","advisorcompass.com")</f>
        <v>advisorcompass.com</v>
      </c>
      <c r="C3308" t="s">
        <v>433</v>
      </c>
      <c r="E3308">
        <v>834276</v>
      </c>
      <c r="F3308">
        <v>2.1274601127241401E-8</v>
      </c>
      <c r="G3308">
        <v>2477396</v>
      </c>
      <c r="H3308">
        <v>12257013</v>
      </c>
      <c r="I3308">
        <v>21847058</v>
      </c>
      <c r="J3308">
        <v>2</v>
      </c>
    </row>
    <row r="3309" spans="1:10" x14ac:dyDescent="0.25">
      <c r="A3309" t="s">
        <v>1586</v>
      </c>
      <c r="B3309" s="1" t="str">
        <f>HYPERLINK("http://ameriprise.com","ameriprise.com")</f>
        <v>ameriprise.com</v>
      </c>
      <c r="C3309" t="s">
        <v>433</v>
      </c>
      <c r="E3309">
        <v>16923</v>
      </c>
      <c r="F3309">
        <v>7.3664019093154699E-7</v>
      </c>
      <c r="G3309">
        <v>52876</v>
      </c>
      <c r="H3309">
        <v>17291808</v>
      </c>
      <c r="I3309">
        <v>28795</v>
      </c>
      <c r="J3309">
        <v>1</v>
      </c>
    </row>
    <row r="3310" spans="1:10" x14ac:dyDescent="0.25">
      <c r="A3310" t="s">
        <v>1586</v>
      </c>
      <c r="B3310" s="1" t="str">
        <f>HYPERLINK("http://bmogam.com","bmogam.com")</f>
        <v>bmogam.com</v>
      </c>
      <c r="C3310" t="s">
        <v>433</v>
      </c>
      <c r="E3310">
        <v>401287</v>
      </c>
      <c r="F3310">
        <v>1.4801816307556101E-7</v>
      </c>
      <c r="G3310">
        <v>262978</v>
      </c>
      <c r="H3310">
        <v>14027005</v>
      </c>
      <c r="I3310">
        <v>3972190</v>
      </c>
      <c r="J3310">
        <v>12</v>
      </c>
    </row>
    <row r="3311" spans="1:10" x14ac:dyDescent="0.25">
      <c r="A3311" t="s">
        <v>1586</v>
      </c>
      <c r="B3311" s="1" t="str">
        <f>HYPERLINK("http://bmorep.com","bmorep.com")</f>
        <v>bmorep.com</v>
      </c>
      <c r="C3311" t="s">
        <v>433</v>
      </c>
      <c r="F3311">
        <v>9.2346052715622895E-9</v>
      </c>
      <c r="G3311">
        <v>7664095</v>
      </c>
      <c r="H3311">
        <v>12186188</v>
      </c>
      <c r="I3311">
        <v>23670326</v>
      </c>
      <c r="J3311">
        <v>14</v>
      </c>
    </row>
    <row r="3312" spans="1:10" x14ac:dyDescent="0.25">
      <c r="A3312" t="s">
        <v>1586</v>
      </c>
      <c r="B3312" s="1" t="str">
        <f>HYPERLINK("http://columbiathreadneedle.com","columbiathreadneedle.com")</f>
        <v>columbiathreadneedle.com</v>
      </c>
      <c r="C3312" t="s">
        <v>433</v>
      </c>
      <c r="E3312">
        <v>623184</v>
      </c>
      <c r="F3312">
        <v>1.7436107906395401E-7</v>
      </c>
      <c r="G3312">
        <v>222424</v>
      </c>
      <c r="H3312">
        <v>14096368</v>
      </c>
      <c r="I3312">
        <v>2725332</v>
      </c>
      <c r="J3312">
        <v>5</v>
      </c>
    </row>
    <row r="3313" spans="1:10" x14ac:dyDescent="0.25">
      <c r="A3313" t="s">
        <v>1586</v>
      </c>
      <c r="B3313" s="1" t="str">
        <f>HYPERLINK("http://columbiathreadneedleus.com","columbiathreadneedleus.com")</f>
        <v>columbiathreadneedleus.com</v>
      </c>
      <c r="C3313" t="s">
        <v>433</v>
      </c>
      <c r="E3313">
        <v>399474</v>
      </c>
      <c r="F3313">
        <v>1.224789887609E-7</v>
      </c>
      <c r="G3313">
        <v>322328</v>
      </c>
      <c r="H3313">
        <v>14314353</v>
      </c>
      <c r="I3313">
        <v>1337137</v>
      </c>
      <c r="J3313">
        <v>3</v>
      </c>
    </row>
    <row r="3314" spans="1:10" x14ac:dyDescent="0.25">
      <c r="A3314" t="s">
        <v>1586</v>
      </c>
      <c r="B3314" s="1" t="str">
        <f>HYPERLINK("http://fandcreit.com","fandcreit.com")</f>
        <v>fandcreit.com</v>
      </c>
      <c r="C3314" t="s">
        <v>433</v>
      </c>
      <c r="F3314">
        <v>5.4076213258987797E-9</v>
      </c>
      <c r="G3314">
        <v>22015630</v>
      </c>
      <c r="H3314">
        <v>12823852</v>
      </c>
      <c r="I3314">
        <v>14473545</v>
      </c>
      <c r="J3314">
        <v>12</v>
      </c>
    </row>
    <row r="3315" spans="1:10" x14ac:dyDescent="0.25">
      <c r="A3315" t="s">
        <v>1586</v>
      </c>
      <c r="B3315" s="1" t="str">
        <f>HYPERLINK("http://joinameriprise.com","joinameriprise.com")</f>
        <v>joinameriprise.com</v>
      </c>
      <c r="C3315" t="s">
        <v>433</v>
      </c>
      <c r="F3315">
        <v>6.2312866568573103E-8</v>
      </c>
      <c r="G3315">
        <v>704634</v>
      </c>
      <c r="H3315">
        <v>12652431</v>
      </c>
      <c r="I3315">
        <v>15783693</v>
      </c>
      <c r="J3315">
        <v>2</v>
      </c>
    </row>
    <row r="3316" spans="1:10" x14ac:dyDescent="0.25">
      <c r="A3316" t="s">
        <v>1586</v>
      </c>
      <c r="B3316" s="1" t="str">
        <f>HYPERLINK("http://riversource.com","riversource.com")</f>
        <v>riversource.com</v>
      </c>
      <c r="C3316" t="s">
        <v>433</v>
      </c>
      <c r="F3316">
        <v>1.5378394195494E-8</v>
      </c>
      <c r="G3316">
        <v>3722026</v>
      </c>
      <c r="H3316">
        <v>12504537</v>
      </c>
      <c r="I3316">
        <v>17300536</v>
      </c>
      <c r="J3316">
        <v>2</v>
      </c>
    </row>
    <row r="3317" spans="1:10" x14ac:dyDescent="0.25">
      <c r="A3317" t="s">
        <v>1586</v>
      </c>
      <c r="B3317" s="1" t="str">
        <f>HYPERLINK("http://columbiathreadneedle.de","columbiathreadneedle.de")</f>
        <v>columbiathreadneedle.de</v>
      </c>
      <c r="C3317" t="s">
        <v>436</v>
      </c>
      <c r="D3317" t="s">
        <v>815</v>
      </c>
      <c r="F3317">
        <v>2.1521876359079599E-8</v>
      </c>
      <c r="G3317">
        <v>2446390</v>
      </c>
      <c r="H3317">
        <v>12719432</v>
      </c>
      <c r="I3317">
        <v>15255160</v>
      </c>
      <c r="J3317">
        <v>5</v>
      </c>
    </row>
    <row r="3318" spans="1:10" x14ac:dyDescent="0.25">
      <c r="A3318" t="s">
        <v>1586</v>
      </c>
      <c r="B3318" s="1" t="str">
        <f>HYPERLINK("http://columbiathreadneedle.dk","columbiathreadneedle.dk")</f>
        <v>columbiathreadneedle.dk</v>
      </c>
      <c r="C3318" t="s">
        <v>437</v>
      </c>
      <c r="D3318" t="s">
        <v>816</v>
      </c>
      <c r="F3318">
        <v>7.8743798434392395E-9</v>
      </c>
      <c r="G3318">
        <v>10163011</v>
      </c>
      <c r="H3318">
        <v>12241663</v>
      </c>
      <c r="I3318">
        <v>22208676</v>
      </c>
      <c r="J3318">
        <v>5</v>
      </c>
    </row>
    <row r="3319" spans="1:10" x14ac:dyDescent="0.25">
      <c r="A3319" t="s">
        <v>1586</v>
      </c>
      <c r="B3319" s="1" t="str">
        <f>HYPERLINK("http://columbiathreadneedle.es","columbiathreadneedle.es")</f>
        <v>columbiathreadneedle.es</v>
      </c>
      <c r="C3319" t="s">
        <v>443</v>
      </c>
      <c r="D3319" t="s">
        <v>822</v>
      </c>
      <c r="F3319">
        <v>8.8387922574279393E-9</v>
      </c>
      <c r="G3319">
        <v>8242265</v>
      </c>
      <c r="H3319">
        <v>11389038</v>
      </c>
      <c r="I3319">
        <v>30256844</v>
      </c>
      <c r="J3319">
        <v>5</v>
      </c>
    </row>
    <row r="3320" spans="1:10" x14ac:dyDescent="0.25">
      <c r="A3320" t="s">
        <v>1586</v>
      </c>
      <c r="B3320" s="1" t="str">
        <f>HYPERLINK("http://columbiathreadneedle.fi","columbiathreadneedle.fi")</f>
        <v>columbiathreadneedle.fi</v>
      </c>
      <c r="C3320" t="s">
        <v>445</v>
      </c>
      <c r="D3320" t="s">
        <v>823</v>
      </c>
      <c r="F3320">
        <v>7.2451699060622099E-9</v>
      </c>
      <c r="G3320">
        <v>11617919</v>
      </c>
      <c r="H3320">
        <v>10857449</v>
      </c>
      <c r="I3320">
        <v>36711549</v>
      </c>
      <c r="J3320">
        <v>5</v>
      </c>
    </row>
    <row r="3321" spans="1:10" x14ac:dyDescent="0.25">
      <c r="A3321" t="s">
        <v>1586</v>
      </c>
      <c r="B3321" s="1" t="str">
        <f>HYPERLINK("http://threadneedle.fi","threadneedle.fi")</f>
        <v>threadneedle.fi</v>
      </c>
      <c r="C3321" t="s">
        <v>445</v>
      </c>
      <c r="D3321" t="s">
        <v>823</v>
      </c>
      <c r="J3321">
        <v>6</v>
      </c>
    </row>
    <row r="3322" spans="1:10" x14ac:dyDescent="0.25">
      <c r="A3322" t="s">
        <v>1586</v>
      </c>
      <c r="B3322" s="1" t="str">
        <f>HYPERLINK("http://columbiathreadneedle.fr","columbiathreadneedle.fr")</f>
        <v>columbiathreadneedle.fr</v>
      </c>
      <c r="C3322" t="s">
        <v>446</v>
      </c>
      <c r="D3322" t="s">
        <v>824</v>
      </c>
      <c r="F3322">
        <v>1.85466748367938E-8</v>
      </c>
      <c r="G3322">
        <v>2916949</v>
      </c>
      <c r="H3322">
        <v>14231255</v>
      </c>
      <c r="I3322">
        <v>1673341</v>
      </c>
      <c r="J3322">
        <v>5</v>
      </c>
    </row>
    <row r="3323" spans="1:10" x14ac:dyDescent="0.25">
      <c r="A3323" t="s">
        <v>1586</v>
      </c>
      <c r="B3323" s="1" t="str">
        <f>HYPERLINK("http://columbiathreadneedle.hk","columbiathreadneedle.hk")</f>
        <v>columbiathreadneedle.hk</v>
      </c>
      <c r="C3323" t="s">
        <v>450</v>
      </c>
      <c r="D3323" t="s">
        <v>827</v>
      </c>
      <c r="F3323">
        <v>8.6092085471486694E-9</v>
      </c>
      <c r="G3323">
        <v>8640202</v>
      </c>
      <c r="H3323">
        <v>10931817</v>
      </c>
      <c r="I3323">
        <v>35029733</v>
      </c>
      <c r="J3323">
        <v>5</v>
      </c>
    </row>
    <row r="3324" spans="1:10" x14ac:dyDescent="0.25">
      <c r="A3324" t="s">
        <v>1586</v>
      </c>
      <c r="B3324" s="1" t="str">
        <f>HYPERLINK("http://columbiathreadneedle.ie","columbiathreadneedle.ie")</f>
        <v>columbiathreadneedle.ie</v>
      </c>
      <c r="C3324" t="s">
        <v>455</v>
      </c>
      <c r="D3324" t="s">
        <v>832</v>
      </c>
      <c r="F3324">
        <v>7.8513906951345608E-9</v>
      </c>
      <c r="G3324">
        <v>10211711</v>
      </c>
      <c r="H3324">
        <v>12242639</v>
      </c>
      <c r="I3324">
        <v>22180444</v>
      </c>
      <c r="J3324">
        <v>5</v>
      </c>
    </row>
    <row r="3325" spans="1:10" x14ac:dyDescent="0.25">
      <c r="A3325" t="s">
        <v>1586</v>
      </c>
      <c r="B3325" s="1" t="str">
        <f>HYPERLINK("http://columbiathreadneedle.is","columbiathreadneedle.is")</f>
        <v>columbiathreadneedle.is</v>
      </c>
      <c r="C3325" t="s">
        <v>594</v>
      </c>
      <c r="D3325" t="s">
        <v>929</v>
      </c>
      <c r="F3325">
        <v>7.1688861364272703E-9</v>
      </c>
      <c r="G3325">
        <v>11825831</v>
      </c>
      <c r="H3325">
        <v>10857449</v>
      </c>
      <c r="I3325">
        <v>36711550</v>
      </c>
      <c r="J3325">
        <v>5</v>
      </c>
    </row>
    <row r="3326" spans="1:10" x14ac:dyDescent="0.25">
      <c r="A3326" t="s">
        <v>1586</v>
      </c>
      <c r="B3326" s="1" t="str">
        <f>HYPERLINK("http://columbiathreadneedle.it","columbiathreadneedle.it")</f>
        <v>columbiathreadneedle.it</v>
      </c>
      <c r="C3326" t="s">
        <v>459</v>
      </c>
      <c r="D3326" t="s">
        <v>835</v>
      </c>
      <c r="F3326">
        <v>1.97543914199607E-8</v>
      </c>
      <c r="G3326">
        <v>2700350</v>
      </c>
      <c r="H3326">
        <v>13948346</v>
      </c>
      <c r="I3326">
        <v>4196051</v>
      </c>
      <c r="J3326">
        <v>5</v>
      </c>
    </row>
    <row r="3327" spans="1:10" x14ac:dyDescent="0.25">
      <c r="A3327" t="s">
        <v>1586</v>
      </c>
      <c r="B3327" s="1" t="str">
        <f>HYPERLINK("http://columbiathreadneedle.jp","columbiathreadneedle.jp")</f>
        <v>columbiathreadneedle.jp</v>
      </c>
      <c r="C3327" t="s">
        <v>461</v>
      </c>
      <c r="D3327" t="s">
        <v>837</v>
      </c>
      <c r="F3327">
        <v>8.6512664795553293E-9</v>
      </c>
      <c r="G3327">
        <v>8564513</v>
      </c>
      <c r="H3327">
        <v>10859356</v>
      </c>
      <c r="I3327">
        <v>36680402</v>
      </c>
      <c r="J3327">
        <v>5</v>
      </c>
    </row>
    <row r="3328" spans="1:10" x14ac:dyDescent="0.25">
      <c r="A3328" t="s">
        <v>1586</v>
      </c>
      <c r="B3328" s="1" t="str">
        <f>HYPERLINK("http://columbiathreadneedle.li","columbiathreadneedle.li")</f>
        <v>columbiathreadneedle.li</v>
      </c>
      <c r="C3328" t="s">
        <v>545</v>
      </c>
      <c r="D3328" t="s">
        <v>903</v>
      </c>
      <c r="F3328">
        <v>7.17064149721785E-9</v>
      </c>
      <c r="G3328">
        <v>11821204</v>
      </c>
      <c r="H3328">
        <v>10857449</v>
      </c>
      <c r="I3328">
        <v>36711551</v>
      </c>
      <c r="J3328">
        <v>5</v>
      </c>
    </row>
    <row r="3329" spans="1:10" x14ac:dyDescent="0.25">
      <c r="A3329" t="s">
        <v>1586</v>
      </c>
      <c r="B3329" s="1" t="str">
        <f>HYPERLINK("http://columbiathreadneedle.lu","columbiathreadneedle.lu")</f>
        <v>columbiathreadneedle.lu</v>
      </c>
      <c r="C3329" t="s">
        <v>547</v>
      </c>
      <c r="D3329" t="s">
        <v>904</v>
      </c>
      <c r="F3329">
        <v>9.3487524853975792E-9</v>
      </c>
      <c r="G3329">
        <v>7509539</v>
      </c>
      <c r="H3329">
        <v>12285896</v>
      </c>
      <c r="I3329">
        <v>21193008</v>
      </c>
      <c r="J3329">
        <v>5</v>
      </c>
    </row>
    <row r="3330" spans="1:10" x14ac:dyDescent="0.25">
      <c r="A3330" t="s">
        <v>1586</v>
      </c>
      <c r="B3330" s="1" t="str">
        <f>HYPERLINK("http://columbiathreadneedle.me","columbiathreadneedle.me")</f>
        <v>columbiathreadneedle.me</v>
      </c>
      <c r="C3330" t="s">
        <v>470</v>
      </c>
      <c r="D3330" t="s">
        <v>846</v>
      </c>
      <c r="F3330">
        <v>7.1895671430077599E-9</v>
      </c>
      <c r="G3330">
        <v>11771603</v>
      </c>
      <c r="H3330">
        <v>10857453</v>
      </c>
      <c r="I3330">
        <v>36711487</v>
      </c>
      <c r="J3330">
        <v>4</v>
      </c>
    </row>
    <row r="3331" spans="1:10" x14ac:dyDescent="0.25">
      <c r="A3331" t="s">
        <v>1586</v>
      </c>
      <c r="B3331" s="1" t="str">
        <f>HYPERLINK("http://columbiathreadneedle.nl","columbiathreadneedle.nl")</f>
        <v>columbiathreadneedle.nl</v>
      </c>
      <c r="C3331" t="s">
        <v>477</v>
      </c>
      <c r="D3331" t="s">
        <v>852</v>
      </c>
      <c r="F3331">
        <v>1.0468762445582199E-8</v>
      </c>
      <c r="G3331">
        <v>6296708</v>
      </c>
      <c r="H3331">
        <v>12120307</v>
      </c>
      <c r="I3331">
        <v>25397816</v>
      </c>
      <c r="J3331">
        <v>5</v>
      </c>
    </row>
    <row r="3332" spans="1:10" x14ac:dyDescent="0.25">
      <c r="A3332" t="s">
        <v>1586</v>
      </c>
      <c r="B3332" s="1" t="str">
        <f>HYPERLINK("http://columbiathreadneedle.pt","columbiathreadneedle.pt")</f>
        <v>columbiathreadneedle.pt</v>
      </c>
      <c r="C3332" t="s">
        <v>488</v>
      </c>
      <c r="D3332" t="s">
        <v>862</v>
      </c>
      <c r="F3332">
        <v>7.3801759899709897E-9</v>
      </c>
      <c r="G3332">
        <v>11289220</v>
      </c>
      <c r="H3332">
        <v>12078110</v>
      </c>
      <c r="I3332">
        <v>26605133</v>
      </c>
      <c r="J3332">
        <v>5</v>
      </c>
    </row>
    <row r="3333" spans="1:10" x14ac:dyDescent="0.25">
      <c r="A3333" t="s">
        <v>1586</v>
      </c>
      <c r="B3333" s="1" t="str">
        <f>HYPERLINK("http://columbiathreadneedle.se","columbiathreadneedle.se")</f>
        <v>columbiathreadneedle.se</v>
      </c>
      <c r="C3333" t="s">
        <v>495</v>
      </c>
      <c r="D3333" t="s">
        <v>869</v>
      </c>
      <c r="F3333">
        <v>7.2650873691154596E-9</v>
      </c>
      <c r="G3333">
        <v>11566333</v>
      </c>
      <c r="H3333">
        <v>10918618</v>
      </c>
      <c r="I3333">
        <v>35439948</v>
      </c>
      <c r="J3333">
        <v>5</v>
      </c>
    </row>
    <row r="3334" spans="1:10" x14ac:dyDescent="0.25">
      <c r="A3334" t="s">
        <v>1586</v>
      </c>
      <c r="B3334" s="1" t="str">
        <f>HYPERLINK("http://columbiathreadneedle.sg","columbiathreadneedle.sg")</f>
        <v>columbiathreadneedle.sg</v>
      </c>
      <c r="C3334" t="s">
        <v>496</v>
      </c>
      <c r="D3334" t="s">
        <v>870</v>
      </c>
      <c r="F3334">
        <v>1.25676520125278E-8</v>
      </c>
      <c r="G3334">
        <v>4849160</v>
      </c>
      <c r="H3334">
        <v>12490600</v>
      </c>
      <c r="I3334">
        <v>17483266</v>
      </c>
      <c r="J3334">
        <v>5</v>
      </c>
    </row>
    <row r="3335" spans="1:10" x14ac:dyDescent="0.25">
      <c r="A3335" t="s">
        <v>1586</v>
      </c>
      <c r="B3335" s="1" t="str">
        <f>HYPERLINK("http://columbiathreadneedle.co.uk","columbiathreadneedle.co.uk")</f>
        <v>columbiathreadneedle.co.uk</v>
      </c>
      <c r="C3335" t="s">
        <v>506</v>
      </c>
      <c r="D3335" t="s">
        <v>880</v>
      </c>
      <c r="F3335">
        <v>7.5235534673946903E-8</v>
      </c>
      <c r="G3335">
        <v>558993</v>
      </c>
      <c r="H3335">
        <v>14033033</v>
      </c>
      <c r="I3335">
        <v>3921317</v>
      </c>
      <c r="J3335">
        <v>5</v>
      </c>
    </row>
    <row r="3336" spans="1:10" x14ac:dyDescent="0.25">
      <c r="A3336" t="s">
        <v>1587</v>
      </c>
      <c r="B3336" s="1" t="str">
        <f>HYPERLINK("http://certio.ch","certio.ch")</f>
        <v>certio.ch</v>
      </c>
      <c r="C3336" t="s">
        <v>429</v>
      </c>
      <c r="D3336" t="s">
        <v>810</v>
      </c>
      <c r="J3336">
        <v>2</v>
      </c>
    </row>
    <row r="3337" spans="1:10" x14ac:dyDescent="0.25">
      <c r="A3337" t="s">
        <v>1587</v>
      </c>
      <c r="B3337" s="1" t="str">
        <f>HYPERLINK("http://absg.com","absg.com")</f>
        <v>absg.com</v>
      </c>
      <c r="C3337" t="s">
        <v>433</v>
      </c>
      <c r="F3337">
        <v>1.09503919892944E-8</v>
      </c>
      <c r="G3337">
        <v>5903144</v>
      </c>
      <c r="H3337">
        <v>12844539</v>
      </c>
      <c r="I3337">
        <v>14322021</v>
      </c>
      <c r="J3337">
        <v>3</v>
      </c>
    </row>
    <row r="3338" spans="1:10" x14ac:dyDescent="0.25">
      <c r="A3338" t="s">
        <v>1587</v>
      </c>
      <c r="B3338" s="1" t="str">
        <f>HYPERLINK("http://alliance-healthcare.com","alliance-healthcare.com")</f>
        <v>alliance-healthcare.com</v>
      </c>
      <c r="C3338" t="s">
        <v>433</v>
      </c>
      <c r="F3338">
        <v>1.8158681877705699E-8</v>
      </c>
      <c r="G3338">
        <v>2997975</v>
      </c>
      <c r="H3338">
        <v>12223490</v>
      </c>
      <c r="I3338">
        <v>22695085</v>
      </c>
      <c r="J3338">
        <v>9</v>
      </c>
    </row>
    <row r="3339" spans="1:10" x14ac:dyDescent="0.25">
      <c r="A3339" t="s">
        <v>1587</v>
      </c>
      <c r="B3339" s="1" t="str">
        <f>HYPERLINK("http://americanhealthpackaging.com","americanhealthpackaging.com")</f>
        <v>americanhealthpackaging.com</v>
      </c>
      <c r="C3339" t="s">
        <v>433</v>
      </c>
      <c r="F3339">
        <v>2.2740258377013902E-8</v>
      </c>
      <c r="G3339">
        <v>2302292</v>
      </c>
      <c r="H3339">
        <v>13445013</v>
      </c>
      <c r="I3339">
        <v>10220748</v>
      </c>
      <c r="J3339">
        <v>4</v>
      </c>
    </row>
    <row r="3340" spans="1:10" x14ac:dyDescent="0.25">
      <c r="A3340" t="s">
        <v>1587</v>
      </c>
      <c r="B3340" s="1" t="str">
        <f>HYPERLINK("http://amerisourcebergen.com","amerisourcebergen.com")</f>
        <v>amerisourcebergen.com</v>
      </c>
      <c r="C3340" t="s">
        <v>433</v>
      </c>
      <c r="E3340">
        <v>36427</v>
      </c>
      <c r="F3340">
        <v>6.4154166460701003E-7</v>
      </c>
      <c r="G3340">
        <v>59886</v>
      </c>
      <c r="H3340">
        <v>17192148</v>
      </c>
      <c r="I3340">
        <v>43236</v>
      </c>
      <c r="J3340">
        <v>1</v>
      </c>
    </row>
    <row r="3341" spans="1:10" x14ac:dyDescent="0.25">
      <c r="A3341" t="s">
        <v>1587</v>
      </c>
      <c r="B3341" s="1" t="str">
        <f>HYPERLINK("http://amerisourcebergendrug.com","amerisourcebergendrug.com")</f>
        <v>amerisourcebergendrug.com</v>
      </c>
      <c r="C3341" t="s">
        <v>433</v>
      </c>
      <c r="F3341">
        <v>5.13483781056123E-9</v>
      </c>
      <c r="G3341">
        <v>26364877</v>
      </c>
      <c r="H3341">
        <v>11028921</v>
      </c>
      <c r="I3341">
        <v>33117465</v>
      </c>
      <c r="J3341">
        <v>4</v>
      </c>
    </row>
    <row r="3342" spans="1:10" x14ac:dyDescent="0.25">
      <c r="A3342" t="s">
        <v>1587</v>
      </c>
      <c r="B3342" s="1" t="str">
        <f>HYPERLINK("http://asdhealthcare.com","asdhealthcare.com")</f>
        <v>asdhealthcare.com</v>
      </c>
      <c r="C3342" t="s">
        <v>433</v>
      </c>
      <c r="F3342">
        <v>3.9896635714149898E-8</v>
      </c>
      <c r="G3342">
        <v>1295245</v>
      </c>
      <c r="H3342">
        <v>13412767</v>
      </c>
      <c r="I3342">
        <v>10322571</v>
      </c>
      <c r="J3342">
        <v>4</v>
      </c>
    </row>
    <row r="3343" spans="1:10" x14ac:dyDescent="0.25">
      <c r="A3343" t="s">
        <v>1587</v>
      </c>
      <c r="B3343" s="1" t="str">
        <f>HYPERLINK("http://bellcogenerics.com","bellcogenerics.com")</f>
        <v>bellcogenerics.com</v>
      </c>
      <c r="C3343" t="s">
        <v>433</v>
      </c>
      <c r="F3343">
        <v>4.4960586462882403E-9</v>
      </c>
      <c r="G3343">
        <v>59537286</v>
      </c>
      <c r="H3343">
        <v>10345583</v>
      </c>
      <c r="I3343">
        <v>56948512</v>
      </c>
      <c r="J3343">
        <v>2</v>
      </c>
    </row>
    <row r="3344" spans="1:10" x14ac:dyDescent="0.25">
      <c r="A3344" t="s">
        <v>1587</v>
      </c>
      <c r="B3344" s="1" t="str">
        <f>HYPERLINK("http://cencora.com","cencora.com")</f>
        <v>cencora.com</v>
      </c>
      <c r="C3344" t="s">
        <v>433</v>
      </c>
      <c r="F3344">
        <v>2.1361931579130601E-8</v>
      </c>
      <c r="G3344">
        <v>2466428</v>
      </c>
      <c r="H3344">
        <v>12192329</v>
      </c>
      <c r="I3344">
        <v>23527379</v>
      </c>
      <c r="J3344">
        <v>2</v>
      </c>
    </row>
    <row r="3345" spans="1:10" x14ac:dyDescent="0.25">
      <c r="A3345" t="s">
        <v>1587</v>
      </c>
      <c r="B3345" s="1" t="str">
        <f>HYPERLINK("http://formularydecisions.com","formularydecisions.com")</f>
        <v>formularydecisions.com</v>
      </c>
      <c r="C3345" t="s">
        <v>433</v>
      </c>
      <c r="F3345">
        <v>2.3134276470499501E-8</v>
      </c>
      <c r="G3345">
        <v>2256262</v>
      </c>
      <c r="H3345">
        <v>13166714</v>
      </c>
      <c r="I3345">
        <v>11737506</v>
      </c>
      <c r="J3345">
        <v>2</v>
      </c>
    </row>
    <row r="3346" spans="1:10" x14ac:dyDescent="0.25">
      <c r="A3346" t="s">
        <v>1587</v>
      </c>
      <c r="B3346" s="1" t="str">
        <f>HYPERLINK("http://icsconnect.com","icsconnect.com")</f>
        <v>icsconnect.com</v>
      </c>
      <c r="C3346" t="s">
        <v>433</v>
      </c>
      <c r="F3346">
        <v>1.57474476978575E-8</v>
      </c>
      <c r="G3346">
        <v>3614134</v>
      </c>
      <c r="H3346">
        <v>12431781</v>
      </c>
      <c r="I3346">
        <v>18275242</v>
      </c>
      <c r="J3346">
        <v>2</v>
      </c>
    </row>
    <row r="3347" spans="1:10" x14ac:dyDescent="0.25">
      <c r="A3347" t="s">
        <v>1587</v>
      </c>
      <c r="B3347" s="1" t="str">
        <f>HYPERLINK("http://lashgroup.com","lashgroup.com")</f>
        <v>lashgroup.com</v>
      </c>
      <c r="C3347" t="s">
        <v>433</v>
      </c>
      <c r="F3347">
        <v>8.9319691626089206E-8</v>
      </c>
      <c r="G3347">
        <v>457414</v>
      </c>
      <c r="H3347">
        <v>13737706</v>
      </c>
      <c r="I3347">
        <v>9452595</v>
      </c>
      <c r="J3347">
        <v>4</v>
      </c>
    </row>
    <row r="3348" spans="1:10" x14ac:dyDescent="0.25">
      <c r="A3348" t="s">
        <v>1587</v>
      </c>
      <c r="B3348" s="1" t="str">
        <f>HYPERLINK("http://matulanedirect.com","matulanedirect.com")</f>
        <v>matulanedirect.com</v>
      </c>
      <c r="C3348" t="s">
        <v>433</v>
      </c>
      <c r="J3348">
        <v>2</v>
      </c>
    </row>
    <row r="3349" spans="1:10" x14ac:dyDescent="0.25">
      <c r="A3349" t="s">
        <v>1587</v>
      </c>
      <c r="B3349" s="1" t="str">
        <f>HYPERLINK("http://mozobildirect.com","mozobildirect.com")</f>
        <v>mozobildirect.com</v>
      </c>
      <c r="C3349" t="s">
        <v>433</v>
      </c>
      <c r="J3349">
        <v>2</v>
      </c>
    </row>
    <row r="3350" spans="1:10" x14ac:dyDescent="0.25">
      <c r="A3350" t="s">
        <v>1587</v>
      </c>
      <c r="B3350" s="1" t="str">
        <f>HYPERLINK("http://mwiah.com","mwiah.com")</f>
        <v>mwiah.com</v>
      </c>
      <c r="C3350" t="s">
        <v>433</v>
      </c>
      <c r="E3350">
        <v>350641</v>
      </c>
      <c r="F3350">
        <v>1.45252196461372E-7</v>
      </c>
      <c r="G3350">
        <v>267990</v>
      </c>
      <c r="H3350">
        <v>13421941</v>
      </c>
      <c r="I3350">
        <v>10301547</v>
      </c>
      <c r="J3350">
        <v>9</v>
      </c>
    </row>
    <row r="3351" spans="1:10" x14ac:dyDescent="0.25">
      <c r="A3351" t="s">
        <v>1587</v>
      </c>
      <c r="B3351" s="1" t="str">
        <f>HYPERLINK("http://pharmhs.com","pharmhs.com")</f>
        <v>pharmhs.com</v>
      </c>
      <c r="C3351" t="s">
        <v>433</v>
      </c>
      <c r="F3351">
        <v>6.1488757975093297E-9</v>
      </c>
      <c r="G3351">
        <v>15809672</v>
      </c>
      <c r="H3351">
        <v>11982085</v>
      </c>
      <c r="I3351">
        <v>28481065</v>
      </c>
      <c r="J3351">
        <v>4</v>
      </c>
    </row>
    <row r="3352" spans="1:10" x14ac:dyDescent="0.25">
      <c r="A3352" t="s">
        <v>1587</v>
      </c>
      <c r="B3352" s="1" t="str">
        <f>HYPERLINK("http://podisplusintegrationsapi.com","podisplusintegrationsapi.com")</f>
        <v>podisplusintegrationsapi.com</v>
      </c>
      <c r="C3352" t="s">
        <v>433</v>
      </c>
      <c r="J3352">
        <v>2</v>
      </c>
    </row>
    <row r="3353" spans="1:10" x14ac:dyDescent="0.25">
      <c r="A3353" t="s">
        <v>1587</v>
      </c>
      <c r="B3353" s="1" t="str">
        <f>HYPERLINK("http://thera.com","thera.com")</f>
        <v>thera.com</v>
      </c>
      <c r="C3353" t="s">
        <v>433</v>
      </c>
      <c r="F3353">
        <v>4.6708335997169702E-9</v>
      </c>
      <c r="G3353">
        <v>42877690</v>
      </c>
      <c r="H3353">
        <v>13763634</v>
      </c>
      <c r="I3353">
        <v>8426683</v>
      </c>
      <c r="J3353">
        <v>7</v>
      </c>
    </row>
    <row r="3354" spans="1:10" x14ac:dyDescent="0.25">
      <c r="A3354" t="s">
        <v>1587</v>
      </c>
      <c r="B3354" s="1" t="str">
        <f>HYPERLINK("http://viatrisadvocatemanufacturerportal.com","viatrisadvocatemanufacturerportal.com")</f>
        <v>viatrisadvocatemanufacturerportal.com</v>
      </c>
      <c r="C3354" t="s">
        <v>433</v>
      </c>
      <c r="J3354">
        <v>2</v>
      </c>
    </row>
    <row r="3355" spans="1:10" x14ac:dyDescent="0.25">
      <c r="A3355" t="s">
        <v>1587</v>
      </c>
      <c r="B3355" s="1" t="str">
        <f>HYPERLINK("http://worldcourier.com","worldcourier.com")</f>
        <v>worldcourier.com</v>
      </c>
      <c r="C3355" t="s">
        <v>433</v>
      </c>
      <c r="E3355">
        <v>266074</v>
      </c>
      <c r="F3355">
        <v>1.17600961341929E-7</v>
      </c>
      <c r="G3355">
        <v>337846</v>
      </c>
      <c r="H3355">
        <v>14160712</v>
      </c>
      <c r="I3355">
        <v>1837618</v>
      </c>
      <c r="J3355">
        <v>2</v>
      </c>
    </row>
    <row r="3356" spans="1:10" x14ac:dyDescent="0.25">
      <c r="A3356" t="s">
        <v>1587</v>
      </c>
      <c r="B3356" s="1" t="str">
        <f>HYPERLINK("http://worldcouriergroundeurope.com","worldcouriergroundeurope.com")</f>
        <v>worldcouriergroundeurope.com</v>
      </c>
      <c r="C3356" t="s">
        <v>433</v>
      </c>
      <c r="F3356">
        <v>4.5268385316475402E-9</v>
      </c>
      <c r="G3356">
        <v>55401108</v>
      </c>
      <c r="H3356">
        <v>10986495</v>
      </c>
      <c r="I3356">
        <v>33813876</v>
      </c>
      <c r="J3356">
        <v>10</v>
      </c>
    </row>
    <row r="3357" spans="1:10" x14ac:dyDescent="0.25">
      <c r="A3357" t="s">
        <v>1587</v>
      </c>
      <c r="B3357" s="1" t="str">
        <f>HYPERLINK("http://xcenda.com","xcenda.com")</f>
        <v>xcenda.com</v>
      </c>
      <c r="C3357" t="s">
        <v>433</v>
      </c>
      <c r="F3357">
        <v>5.4825281478426698E-8</v>
      </c>
      <c r="G3357">
        <v>821070</v>
      </c>
      <c r="H3357">
        <v>14253571</v>
      </c>
      <c r="I3357">
        <v>1438661</v>
      </c>
      <c r="J3357">
        <v>2</v>
      </c>
    </row>
    <row r="3358" spans="1:10" x14ac:dyDescent="0.25">
      <c r="A3358" t="s">
        <v>1587</v>
      </c>
      <c r="B3358" s="1" t="str">
        <f>HYPERLINK("http://alliance-healthcare.cz","alliance-healthcare.cz")</f>
        <v>alliance-healthcare.cz</v>
      </c>
      <c r="C3358" t="s">
        <v>435</v>
      </c>
      <c r="D3358" t="s">
        <v>814</v>
      </c>
      <c r="F3358">
        <v>3.8585256567232097E-8</v>
      </c>
      <c r="G3358">
        <v>1336452</v>
      </c>
      <c r="H3358">
        <v>12332476</v>
      </c>
      <c r="I3358">
        <v>20160337</v>
      </c>
      <c r="J3358">
        <v>4</v>
      </c>
    </row>
    <row r="3359" spans="1:10" x14ac:dyDescent="0.25">
      <c r="A3359" t="s">
        <v>1587</v>
      </c>
      <c r="B3359" s="1" t="str">
        <f>HYPERLINK("http://alliance-healthcare.de","alliance-healthcare.de")</f>
        <v>alliance-healthcare.de</v>
      </c>
      <c r="C3359" t="s">
        <v>436</v>
      </c>
      <c r="D3359" t="s">
        <v>815</v>
      </c>
      <c r="F3359">
        <v>3.1306038652639602E-8</v>
      </c>
      <c r="G3359">
        <v>1647214</v>
      </c>
      <c r="H3359">
        <v>13269582</v>
      </c>
      <c r="I3359">
        <v>10962959</v>
      </c>
      <c r="J3359">
        <v>9</v>
      </c>
    </row>
    <row r="3360" spans="1:10" x14ac:dyDescent="0.25">
      <c r="A3360" t="s">
        <v>1587</v>
      </c>
      <c r="B3360" s="1" t="str">
        <f>HYPERLINK("http://anzag.de","anzag.de")</f>
        <v>anzag.de</v>
      </c>
      <c r="C3360" t="s">
        <v>436</v>
      </c>
      <c r="D3360" t="s">
        <v>815</v>
      </c>
      <c r="F3360">
        <v>6.3662459405096298E-9</v>
      </c>
      <c r="G3360">
        <v>14683519</v>
      </c>
      <c r="H3360">
        <v>13766620</v>
      </c>
      <c r="I3360">
        <v>6988420</v>
      </c>
      <c r="J3360">
        <v>12</v>
      </c>
    </row>
    <row r="3361" spans="1:10" x14ac:dyDescent="0.25">
      <c r="A3361" t="s">
        <v>1587</v>
      </c>
      <c r="B3361" s="1" t="str">
        <f>HYPERLINK("http://xcenda.de","xcenda.de")</f>
        <v>xcenda.de</v>
      </c>
      <c r="C3361" t="s">
        <v>436</v>
      </c>
      <c r="D3361" t="s">
        <v>815</v>
      </c>
      <c r="F3361">
        <v>6.3935096199056399E-9</v>
      </c>
      <c r="G3361">
        <v>14553082</v>
      </c>
      <c r="H3361">
        <v>13172252</v>
      </c>
      <c r="I3361">
        <v>11717005</v>
      </c>
      <c r="J3361">
        <v>2</v>
      </c>
    </row>
    <row r="3362" spans="1:10" x14ac:dyDescent="0.25">
      <c r="A3362" t="s">
        <v>1587</v>
      </c>
      <c r="B3362" s="1" t="str">
        <f>HYPERLINK("http://alliance-healthcare.es","alliance-healthcare.es")</f>
        <v>alliance-healthcare.es</v>
      </c>
      <c r="C3362" t="s">
        <v>443</v>
      </c>
      <c r="D3362" t="s">
        <v>822</v>
      </c>
      <c r="F3362">
        <v>2.6802605260664501E-8</v>
      </c>
      <c r="G3362">
        <v>1919357</v>
      </c>
      <c r="H3362">
        <v>12923393</v>
      </c>
      <c r="I3362">
        <v>13406789</v>
      </c>
      <c r="J3362">
        <v>9</v>
      </c>
    </row>
    <row r="3363" spans="1:10" x14ac:dyDescent="0.25">
      <c r="A3363" t="s">
        <v>1587</v>
      </c>
      <c r="B3363" s="1" t="str">
        <f>HYPERLINK("http://alloga.es","alloga.es")</f>
        <v>alloga.es</v>
      </c>
      <c r="C3363" t="s">
        <v>443</v>
      </c>
      <c r="D3363" t="s">
        <v>822</v>
      </c>
      <c r="F3363">
        <v>8.1789748954461493E-9</v>
      </c>
      <c r="G3363">
        <v>9606669</v>
      </c>
      <c r="H3363">
        <v>10731664</v>
      </c>
      <c r="I3363">
        <v>40847101</v>
      </c>
      <c r="J3363">
        <v>9</v>
      </c>
    </row>
    <row r="3364" spans="1:10" x14ac:dyDescent="0.25">
      <c r="A3364" t="s">
        <v>1587</v>
      </c>
      <c r="B3364" s="1" t="str">
        <f>HYPERLINK("http://worldcourier.fi","worldcourier.fi")</f>
        <v>worldcourier.fi</v>
      </c>
      <c r="C3364" t="s">
        <v>445</v>
      </c>
      <c r="D3364" t="s">
        <v>823</v>
      </c>
      <c r="J3364">
        <v>8</v>
      </c>
    </row>
    <row r="3365" spans="1:10" x14ac:dyDescent="0.25">
      <c r="A3365" t="s">
        <v>1587</v>
      </c>
      <c r="B3365" s="1" t="str">
        <f>HYPERLINK("http://alliance-healthcare.fr","alliance-healthcare.fr")</f>
        <v>alliance-healthcare.fr</v>
      </c>
      <c r="C3365" t="s">
        <v>446</v>
      </c>
      <c r="D3365" t="s">
        <v>824</v>
      </c>
      <c r="F3365">
        <v>2.4294973368308098E-8</v>
      </c>
      <c r="G3365">
        <v>2134269</v>
      </c>
      <c r="H3365">
        <v>12624004</v>
      </c>
      <c r="I3365">
        <v>16045601</v>
      </c>
      <c r="J3365">
        <v>10</v>
      </c>
    </row>
    <row r="3366" spans="1:10" x14ac:dyDescent="0.25">
      <c r="A3366" t="s">
        <v>1587</v>
      </c>
      <c r="B3366" s="1" t="str">
        <f>HYPERLINK("http://alloga.fr","alloga.fr")</f>
        <v>alloga.fr</v>
      </c>
      <c r="C3366" t="s">
        <v>446</v>
      </c>
      <c r="D3366" t="s">
        <v>824</v>
      </c>
      <c r="F3366">
        <v>1.02503616143803E-8</v>
      </c>
      <c r="G3366">
        <v>6498330</v>
      </c>
      <c r="H3366">
        <v>12325376</v>
      </c>
      <c r="I3366">
        <v>20318845</v>
      </c>
      <c r="J3366">
        <v>9</v>
      </c>
    </row>
    <row r="3367" spans="1:10" x14ac:dyDescent="0.25">
      <c r="A3367" t="s">
        <v>1587</v>
      </c>
      <c r="B3367" s="1" t="str">
        <f>HYPERLINK("http://themrn.io","themrn.io")</f>
        <v>themrn.io</v>
      </c>
      <c r="C3367" t="s">
        <v>518</v>
      </c>
      <c r="F3367">
        <v>1.7919612546942501E-8</v>
      </c>
      <c r="G3367">
        <v>3049384</v>
      </c>
      <c r="H3367">
        <v>12715741</v>
      </c>
      <c r="I3367">
        <v>15273455</v>
      </c>
      <c r="J3367">
        <v>13</v>
      </c>
    </row>
    <row r="3368" spans="1:10" x14ac:dyDescent="0.25">
      <c r="A3368" t="s">
        <v>1587</v>
      </c>
      <c r="B3368" s="1" t="str">
        <f>HYPERLINK("http://alliance-healthcare.it","alliance-healthcare.it")</f>
        <v>alliance-healthcare.it</v>
      </c>
      <c r="C3368" t="s">
        <v>459</v>
      </c>
      <c r="D3368" t="s">
        <v>835</v>
      </c>
      <c r="E3368">
        <v>766379</v>
      </c>
      <c r="F3368">
        <v>1.2986794567272999E-8</v>
      </c>
      <c r="G3368">
        <v>4637871</v>
      </c>
      <c r="H3368">
        <v>12210946</v>
      </c>
      <c r="I3368">
        <v>23006210</v>
      </c>
      <c r="J3368">
        <v>9</v>
      </c>
    </row>
    <row r="3369" spans="1:10" x14ac:dyDescent="0.25">
      <c r="A3369" t="s">
        <v>1587</v>
      </c>
      <c r="B3369" s="1" t="str">
        <f>HYPERLINK("http://ahesp.net","ahesp.net")</f>
        <v>ahesp.net</v>
      </c>
      <c r="C3369" t="s">
        <v>474</v>
      </c>
      <c r="F3369">
        <v>4.44380996400719E-9</v>
      </c>
      <c r="G3369">
        <v>79639441</v>
      </c>
      <c r="H3369">
        <v>10351910</v>
      </c>
      <c r="I3369">
        <v>56145347</v>
      </c>
      <c r="J3369">
        <v>12</v>
      </c>
    </row>
    <row r="3370" spans="1:10" x14ac:dyDescent="0.25">
      <c r="A3370" t="s">
        <v>1587</v>
      </c>
      <c r="B3370" s="1" t="str">
        <f>HYPERLINK("http://alliance-healthcare.net","alliance-healthcare.net")</f>
        <v>alliance-healthcare.net</v>
      </c>
      <c r="C3370" t="s">
        <v>474</v>
      </c>
      <c r="F3370">
        <v>4.5997890301197202E-9</v>
      </c>
      <c r="G3370">
        <v>47633019</v>
      </c>
      <c r="H3370">
        <v>12167250</v>
      </c>
      <c r="I3370">
        <v>24140253</v>
      </c>
      <c r="J3370">
        <v>7</v>
      </c>
    </row>
    <row r="3371" spans="1:10" x14ac:dyDescent="0.25">
      <c r="A3371" t="s">
        <v>1587</v>
      </c>
      <c r="B3371" s="1" t="str">
        <f>HYPERLINK("http://alliance-healthcare.nl","alliance-healthcare.nl")</f>
        <v>alliance-healthcare.nl</v>
      </c>
      <c r="C3371" t="s">
        <v>477</v>
      </c>
      <c r="D3371" t="s">
        <v>852</v>
      </c>
      <c r="F3371">
        <v>6.2190469927679997E-8</v>
      </c>
      <c r="G3371">
        <v>706756</v>
      </c>
      <c r="H3371">
        <v>16751228</v>
      </c>
      <c r="I3371">
        <v>266964</v>
      </c>
      <c r="J3371">
        <v>9</v>
      </c>
    </row>
    <row r="3372" spans="1:10" x14ac:dyDescent="0.25">
      <c r="A3372" t="s">
        <v>1587</v>
      </c>
      <c r="B3372" s="1" t="str">
        <f>HYPERLINK("http://alloga.nl","alloga.nl")</f>
        <v>alloga.nl</v>
      </c>
      <c r="C3372" t="s">
        <v>477</v>
      </c>
      <c r="D3372" t="s">
        <v>852</v>
      </c>
      <c r="F3372">
        <v>1.21271001663787E-8</v>
      </c>
      <c r="G3372">
        <v>5093325</v>
      </c>
      <c r="H3372">
        <v>12004587</v>
      </c>
      <c r="I3372">
        <v>28176292</v>
      </c>
      <c r="J3372">
        <v>9</v>
      </c>
    </row>
    <row r="3373" spans="1:10" x14ac:dyDescent="0.25">
      <c r="A3373" t="s">
        <v>1587</v>
      </c>
      <c r="B3373" s="1" t="str">
        <f>HYPERLINK("http://alliance-healthcare.no","alliance-healthcare.no")</f>
        <v>alliance-healthcare.no</v>
      </c>
      <c r="C3373" t="s">
        <v>478</v>
      </c>
      <c r="D3373" t="s">
        <v>853</v>
      </c>
      <c r="F3373">
        <v>1.75695060075559E-8</v>
      </c>
      <c r="G3373">
        <v>3125842</v>
      </c>
      <c r="H3373">
        <v>12145401</v>
      </c>
      <c r="I3373">
        <v>24737775</v>
      </c>
      <c r="J3373">
        <v>9</v>
      </c>
    </row>
    <row r="3374" spans="1:10" x14ac:dyDescent="0.25">
      <c r="A3374" t="s">
        <v>1587</v>
      </c>
      <c r="B3374" s="1" t="str">
        <f>HYPERLINK("http://alliance-healthcare.pt","alliance-healthcare.pt")</f>
        <v>alliance-healthcare.pt</v>
      </c>
      <c r="C3374" t="s">
        <v>488</v>
      </c>
      <c r="D3374" t="s">
        <v>862</v>
      </c>
      <c r="F3374">
        <v>1.45950861307488E-8</v>
      </c>
      <c r="G3374">
        <v>3978597</v>
      </c>
      <c r="H3374">
        <v>12680851</v>
      </c>
      <c r="I3374">
        <v>15492951</v>
      </c>
      <c r="J3374">
        <v>9</v>
      </c>
    </row>
    <row r="3375" spans="1:10" x14ac:dyDescent="0.25">
      <c r="A3375" t="s">
        <v>1587</v>
      </c>
      <c r="B3375" s="1" t="str">
        <f>HYPERLINK("http://alliance-healthcare.ro","alliance-healthcare.ro")</f>
        <v>alliance-healthcare.ro</v>
      </c>
      <c r="C3375" t="s">
        <v>491</v>
      </c>
      <c r="D3375" t="s">
        <v>865</v>
      </c>
      <c r="F3375">
        <v>3.0994097071720901E-8</v>
      </c>
      <c r="G3375">
        <v>1662594</v>
      </c>
      <c r="H3375">
        <v>12140169</v>
      </c>
      <c r="I3375">
        <v>24877446</v>
      </c>
      <c r="J3375">
        <v>9</v>
      </c>
    </row>
    <row r="3376" spans="1:10" x14ac:dyDescent="0.25">
      <c r="A3376" t="s">
        <v>1587</v>
      </c>
      <c r="B3376" s="1" t="str">
        <f>HYPERLINK("http://alloga.ro","alloga.ro")</f>
        <v>alloga.ro</v>
      </c>
      <c r="C3376" t="s">
        <v>491</v>
      </c>
      <c r="D3376" t="s">
        <v>865</v>
      </c>
      <c r="F3376">
        <v>7.1842163327945203E-9</v>
      </c>
      <c r="G3376">
        <v>11785549</v>
      </c>
      <c r="H3376">
        <v>9557523</v>
      </c>
      <c r="I3376">
        <v>64883205</v>
      </c>
      <c r="J3376">
        <v>9</v>
      </c>
    </row>
    <row r="3377" spans="1:10" x14ac:dyDescent="0.25">
      <c r="A3377" t="s">
        <v>1587</v>
      </c>
      <c r="B3377" s="1" t="str">
        <f>HYPERLINK("http://alliance-healthcare.com.tr","alliance-healthcare.com.tr")</f>
        <v>alliance-healthcare.com.tr</v>
      </c>
      <c r="C3377" t="s">
        <v>502</v>
      </c>
      <c r="D3377" t="s">
        <v>876</v>
      </c>
      <c r="E3377">
        <v>290042</v>
      </c>
      <c r="F3377">
        <v>1.6288417461652899E-8</v>
      </c>
      <c r="G3377">
        <v>3473570</v>
      </c>
      <c r="H3377">
        <v>14072861</v>
      </c>
      <c r="I3377">
        <v>3038367</v>
      </c>
      <c r="J3377">
        <v>9</v>
      </c>
    </row>
    <row r="3378" spans="1:10" x14ac:dyDescent="0.25">
      <c r="A3378" t="s">
        <v>1587</v>
      </c>
      <c r="B3378" s="1" t="str">
        <f>HYPERLINK("http://alliance-healthcare.co.uk","alliance-healthcare.co.uk")</f>
        <v>alliance-healthcare.co.uk</v>
      </c>
      <c r="C3378" t="s">
        <v>506</v>
      </c>
      <c r="D3378" t="s">
        <v>880</v>
      </c>
      <c r="E3378">
        <v>397982</v>
      </c>
      <c r="F3378">
        <v>2.8267643170869998E-8</v>
      </c>
      <c r="G3378">
        <v>1820796</v>
      </c>
      <c r="H3378">
        <v>14104345</v>
      </c>
      <c r="I3378">
        <v>2693616</v>
      </c>
      <c r="J3378">
        <v>8</v>
      </c>
    </row>
    <row r="3379" spans="1:10" x14ac:dyDescent="0.25">
      <c r="A3379" t="s">
        <v>1587</v>
      </c>
      <c r="B3379" s="1" t="str">
        <f>HYPERLINK("http://alloga.co.uk","alloga.co.uk")</f>
        <v>alloga.co.uk</v>
      </c>
      <c r="C3379" t="s">
        <v>506</v>
      </c>
      <c r="D3379" t="s">
        <v>880</v>
      </c>
      <c r="F3379">
        <v>9.2624562689960501E-9</v>
      </c>
      <c r="G3379">
        <v>7622074</v>
      </c>
      <c r="H3379">
        <v>12293554</v>
      </c>
      <c r="I3379">
        <v>20998754</v>
      </c>
      <c r="J3379">
        <v>8</v>
      </c>
    </row>
    <row r="3380" spans="1:10" x14ac:dyDescent="0.25">
      <c r="A3380" t="s">
        <v>1587</v>
      </c>
      <c r="B3380" s="1" t="str">
        <f>HYPERLINK("http://mwiah.co.uk","mwiah.co.uk")</f>
        <v>mwiah.co.uk</v>
      </c>
      <c r="C3380" t="s">
        <v>506</v>
      </c>
      <c r="D3380" t="s">
        <v>880</v>
      </c>
      <c r="F3380">
        <v>1.2831106618764E-8</v>
      </c>
      <c r="G3380">
        <v>4713360</v>
      </c>
      <c r="H3380">
        <v>12435511</v>
      </c>
      <c r="I3380">
        <v>18207792</v>
      </c>
      <c r="J3380">
        <v>8</v>
      </c>
    </row>
    <row r="3381" spans="1:10" x14ac:dyDescent="0.25">
      <c r="A3381" t="s">
        <v>1587</v>
      </c>
      <c r="B3381" s="1" t="str">
        <f>HYPERLINK("http://otcdirectltd.co.uk","otcdirectltd.co.uk")</f>
        <v>otcdirectltd.co.uk</v>
      </c>
      <c r="C3381" t="s">
        <v>506</v>
      </c>
      <c r="D3381" t="s">
        <v>880</v>
      </c>
      <c r="F3381">
        <v>4.81684916012289E-9</v>
      </c>
      <c r="G3381">
        <v>35385377</v>
      </c>
      <c r="H3381">
        <v>8312475.5</v>
      </c>
      <c r="I3381">
        <v>74161132</v>
      </c>
      <c r="J3381">
        <v>8</v>
      </c>
    </row>
    <row r="3382" spans="1:10" x14ac:dyDescent="0.25">
      <c r="A3382" t="s">
        <v>1587</v>
      </c>
      <c r="B3382" s="1" t="str">
        <f>HYPERLINK("http://themrn.co.uk","themrn.co.uk")</f>
        <v>themrn.co.uk</v>
      </c>
      <c r="C3382" t="s">
        <v>506</v>
      </c>
      <c r="D3382" t="s">
        <v>880</v>
      </c>
      <c r="F3382">
        <v>8.1474837108051895E-9</v>
      </c>
      <c r="G3382">
        <v>9660480</v>
      </c>
      <c r="H3382">
        <v>12900395</v>
      </c>
      <c r="I3382">
        <v>13877944</v>
      </c>
      <c r="J3382">
        <v>11</v>
      </c>
    </row>
    <row r="3383" spans="1:10" x14ac:dyDescent="0.25">
      <c r="A3383" t="s">
        <v>1587</v>
      </c>
      <c r="B3383" s="1" t="str">
        <f>HYPERLINK("http://worldcourier.co.uk","worldcourier.co.uk")</f>
        <v>worldcourier.co.uk</v>
      </c>
      <c r="C3383" t="s">
        <v>506</v>
      </c>
      <c r="D3383" t="s">
        <v>880</v>
      </c>
      <c r="J3383">
        <v>9</v>
      </c>
    </row>
    <row r="3384" spans="1:10" x14ac:dyDescent="0.25">
      <c r="A3384" t="s">
        <v>35</v>
      </c>
      <c r="B3384" s="1" t="str">
        <f>HYPERLINK("http://amgen.com.ar","amgen.com.ar")</f>
        <v>amgen.com.ar</v>
      </c>
      <c r="C3384" t="s">
        <v>418</v>
      </c>
      <c r="D3384" t="s">
        <v>800</v>
      </c>
      <c r="F3384">
        <v>1.13132139721548E-8</v>
      </c>
      <c r="G3384">
        <v>5633467</v>
      </c>
      <c r="H3384">
        <v>12221959</v>
      </c>
      <c r="I3384">
        <v>22748235</v>
      </c>
      <c r="J3384">
        <v>2</v>
      </c>
    </row>
    <row r="3385" spans="1:10" x14ac:dyDescent="0.25">
      <c r="A3385" t="s">
        <v>35</v>
      </c>
      <c r="B3385" s="1" t="str">
        <f>HYPERLINK("http://amgen.at","amgen.at")</f>
        <v>amgen.at</v>
      </c>
      <c r="C3385" t="s">
        <v>419</v>
      </c>
      <c r="D3385" t="s">
        <v>801</v>
      </c>
      <c r="F3385">
        <v>3.28872093741639E-8</v>
      </c>
      <c r="G3385">
        <v>1571015</v>
      </c>
      <c r="H3385">
        <v>13729280</v>
      </c>
      <c r="I3385">
        <v>9458953</v>
      </c>
      <c r="J3385">
        <v>2</v>
      </c>
    </row>
    <row r="3386" spans="1:10" x14ac:dyDescent="0.25">
      <c r="A3386" t="s">
        <v>35</v>
      </c>
      <c r="B3386" s="1" t="str">
        <f>HYPERLINK("http://amgen.com.au","amgen.com.au")</f>
        <v>amgen.com.au</v>
      </c>
      <c r="C3386" t="s">
        <v>420</v>
      </c>
      <c r="D3386" t="s">
        <v>802</v>
      </c>
      <c r="F3386">
        <v>1.98408838912138E-8</v>
      </c>
      <c r="G3386">
        <v>2686679</v>
      </c>
      <c r="H3386">
        <v>12593161</v>
      </c>
      <c r="I3386">
        <v>16387399</v>
      </c>
      <c r="J3386">
        <v>2</v>
      </c>
    </row>
    <row r="3387" spans="1:10" x14ac:dyDescent="0.25">
      <c r="A3387" t="s">
        <v>35</v>
      </c>
      <c r="B3387" s="1" t="str">
        <f>HYPERLINK("http://amgen.be","amgen.be")</f>
        <v>amgen.be</v>
      </c>
      <c r="C3387" t="s">
        <v>421</v>
      </c>
      <c r="D3387" t="s">
        <v>803</v>
      </c>
      <c r="F3387">
        <v>1.9784498512616601E-8</v>
      </c>
      <c r="G3387">
        <v>2695677</v>
      </c>
      <c r="H3387">
        <v>12388442</v>
      </c>
      <c r="I3387">
        <v>19076662</v>
      </c>
      <c r="J3387">
        <v>2</v>
      </c>
    </row>
    <row r="3388" spans="1:10" x14ac:dyDescent="0.25">
      <c r="A3388" t="s">
        <v>35</v>
      </c>
      <c r="B3388" s="1" t="str">
        <f>HYPERLINK("http://amgen.bg","amgen.bg")</f>
        <v>amgen.bg</v>
      </c>
      <c r="C3388" t="s">
        <v>422</v>
      </c>
      <c r="D3388" t="s">
        <v>804</v>
      </c>
      <c r="F3388">
        <v>1.7620069357943399E-8</v>
      </c>
      <c r="G3388">
        <v>3114496</v>
      </c>
      <c r="H3388">
        <v>12520434</v>
      </c>
      <c r="I3388">
        <v>17146904</v>
      </c>
      <c r="J3388">
        <v>2</v>
      </c>
    </row>
    <row r="3389" spans="1:10" x14ac:dyDescent="0.25">
      <c r="A3389" t="s">
        <v>35</v>
      </c>
      <c r="B3389" s="1" t="str">
        <f>HYPERLINK("http://amgen.com.br","amgen.com.br")</f>
        <v>amgen.com.br</v>
      </c>
      <c r="C3389" t="s">
        <v>425</v>
      </c>
      <c r="D3389" t="s">
        <v>806</v>
      </c>
      <c r="F3389">
        <v>1.8681472148378499E-8</v>
      </c>
      <c r="G3389">
        <v>2892615</v>
      </c>
      <c r="H3389">
        <v>13772013</v>
      </c>
      <c r="I3389">
        <v>6673781</v>
      </c>
      <c r="J3389">
        <v>2</v>
      </c>
    </row>
    <row r="3390" spans="1:10" x14ac:dyDescent="0.25">
      <c r="A3390" t="s">
        <v>35</v>
      </c>
      <c r="B3390" s="1" t="str">
        <f>HYPERLINK("http://amgen.ca","amgen.ca")</f>
        <v>amgen.ca</v>
      </c>
      <c r="C3390" t="s">
        <v>428</v>
      </c>
      <c r="D3390" t="s">
        <v>809</v>
      </c>
      <c r="F3390">
        <v>1.0427176848260799E-7</v>
      </c>
      <c r="G3390">
        <v>384481</v>
      </c>
      <c r="H3390">
        <v>13594802</v>
      </c>
      <c r="I3390">
        <v>9659090</v>
      </c>
      <c r="J3390">
        <v>2</v>
      </c>
    </row>
    <row r="3391" spans="1:10" x14ac:dyDescent="0.25">
      <c r="A3391" t="s">
        <v>35</v>
      </c>
      <c r="B3391" s="1" t="str">
        <f>HYPERLINK("http://amgen.ch","amgen.ch")</f>
        <v>amgen.ch</v>
      </c>
      <c r="C3391" t="s">
        <v>429</v>
      </c>
      <c r="D3391" t="s">
        <v>810</v>
      </c>
      <c r="F3391">
        <v>2.5316402924462901E-8</v>
      </c>
      <c r="G3391">
        <v>2038226</v>
      </c>
      <c r="H3391">
        <v>12986067</v>
      </c>
      <c r="I3391">
        <v>12900435</v>
      </c>
      <c r="J3391">
        <v>2</v>
      </c>
    </row>
    <row r="3392" spans="1:10" x14ac:dyDescent="0.25">
      <c r="A3392" t="s">
        <v>35</v>
      </c>
      <c r="B3392" s="1" t="str">
        <f>HYPERLINK("http://amgen.cn","amgen.cn")</f>
        <v>amgen.cn</v>
      </c>
      <c r="C3392" t="s">
        <v>431</v>
      </c>
      <c r="D3392" t="s">
        <v>812</v>
      </c>
      <c r="F3392">
        <v>1.53465347517126E-8</v>
      </c>
      <c r="G3392">
        <v>3731728</v>
      </c>
      <c r="H3392">
        <v>11362798</v>
      </c>
      <c r="I3392">
        <v>30350256</v>
      </c>
      <c r="J3392">
        <v>2</v>
      </c>
    </row>
    <row r="3393" spans="1:10" x14ac:dyDescent="0.25">
      <c r="A3393" t="s">
        <v>35</v>
      </c>
      <c r="B3393" s="1" t="str">
        <f>HYPERLINK("http://amgen.com.cn","amgen.com.cn")</f>
        <v>amgen.com.cn</v>
      </c>
      <c r="C3393" t="s">
        <v>431</v>
      </c>
      <c r="D3393" t="s">
        <v>812</v>
      </c>
      <c r="F3393">
        <v>6.8663057396120896E-9</v>
      </c>
      <c r="G3393">
        <v>12741150</v>
      </c>
      <c r="H3393">
        <v>11275376</v>
      </c>
      <c r="I3393">
        <v>30734871</v>
      </c>
      <c r="J3393">
        <v>2</v>
      </c>
    </row>
    <row r="3394" spans="1:10" x14ac:dyDescent="0.25">
      <c r="A3394" t="s">
        <v>35</v>
      </c>
      <c r="B3394" s="1" t="str">
        <f>HYPERLINK("http://amgen.co","amgen.co")</f>
        <v>amgen.co</v>
      </c>
      <c r="C3394" t="s">
        <v>432</v>
      </c>
      <c r="F3394">
        <v>8.0232204676821305E-9</v>
      </c>
      <c r="G3394">
        <v>9878510</v>
      </c>
      <c r="H3394">
        <v>11277970</v>
      </c>
      <c r="I3394">
        <v>30719125</v>
      </c>
      <c r="J3394">
        <v>2</v>
      </c>
    </row>
    <row r="3395" spans="1:10" x14ac:dyDescent="0.25">
      <c r="A3395" t="s">
        <v>35</v>
      </c>
      <c r="B3395" s="1" t="str">
        <f>HYPERLINK("http://amgen.com","amgen.com")</f>
        <v>amgen.com</v>
      </c>
      <c r="C3395" t="s">
        <v>433</v>
      </c>
      <c r="E3395">
        <v>9178</v>
      </c>
      <c r="F3395">
        <v>2.19004708469736E-6</v>
      </c>
      <c r="G3395">
        <v>16750</v>
      </c>
      <c r="H3395">
        <v>15572188</v>
      </c>
      <c r="I3395">
        <v>373153</v>
      </c>
      <c r="J3395">
        <v>1</v>
      </c>
    </row>
    <row r="3396" spans="1:10" x14ac:dyDescent="0.25">
      <c r="A3396" t="s">
        <v>35</v>
      </c>
      <c r="B3396" s="1" t="str">
        <f>HYPERLINK("http://bloodcounts.com","bloodcounts.com")</f>
        <v>bloodcounts.com</v>
      </c>
      <c r="C3396" t="s">
        <v>433</v>
      </c>
      <c r="F3396">
        <v>7.2042947201396501E-9</v>
      </c>
      <c r="G3396">
        <v>11728938</v>
      </c>
      <c r="H3396">
        <v>11455204</v>
      </c>
      <c r="I3396">
        <v>30107722</v>
      </c>
      <c r="J3396">
        <v>4</v>
      </c>
    </row>
    <row r="3397" spans="1:10" x14ac:dyDescent="0.25">
      <c r="A3397" t="s">
        <v>35</v>
      </c>
      <c r="B3397" s="1" t="str">
        <f>HYPERLINK("http://chemocentryx.com","chemocentryx.com")</f>
        <v>chemocentryx.com</v>
      </c>
      <c r="C3397" t="s">
        <v>433</v>
      </c>
      <c r="E3397">
        <v>812481</v>
      </c>
      <c r="F3397">
        <v>7.4981989043011899E-8</v>
      </c>
      <c r="G3397">
        <v>560972</v>
      </c>
      <c r="H3397">
        <v>13737011</v>
      </c>
      <c r="I3397">
        <v>9453057</v>
      </c>
      <c r="J3397">
        <v>3</v>
      </c>
    </row>
    <row r="3398" spans="1:10" x14ac:dyDescent="0.25">
      <c r="A3398" t="s">
        <v>35</v>
      </c>
      <c r="B3398" s="1" t="str">
        <f>HYPERLINK("http://fiveprime.com","fiveprime.com")</f>
        <v>fiveprime.com</v>
      </c>
      <c r="C3398" t="s">
        <v>433</v>
      </c>
      <c r="F3398">
        <v>2.0078517703672699E-8</v>
      </c>
      <c r="G3398">
        <v>2647396</v>
      </c>
      <c r="H3398">
        <v>14185169</v>
      </c>
      <c r="I3398">
        <v>1770716</v>
      </c>
      <c r="J3398">
        <v>3</v>
      </c>
    </row>
    <row r="3399" spans="1:10" x14ac:dyDescent="0.25">
      <c r="A3399" t="s">
        <v>35</v>
      </c>
      <c r="B3399" s="1" t="str">
        <f>HYPERLINK("http://teneobio.com","teneobio.com")</f>
        <v>teneobio.com</v>
      </c>
      <c r="C3399" t="s">
        <v>433</v>
      </c>
      <c r="F3399">
        <v>9.49114656476077E-9</v>
      </c>
      <c r="G3399">
        <v>7332991</v>
      </c>
      <c r="H3399">
        <v>13153969</v>
      </c>
      <c r="I3399">
        <v>11810541</v>
      </c>
      <c r="J3399">
        <v>3</v>
      </c>
    </row>
    <row r="3400" spans="1:10" x14ac:dyDescent="0.25">
      <c r="A3400" t="s">
        <v>35</v>
      </c>
      <c r="B3400" s="1" t="str">
        <f>HYPERLINK("http://amgen.cz","amgen.cz")</f>
        <v>amgen.cz</v>
      </c>
      <c r="C3400" t="s">
        <v>435</v>
      </c>
      <c r="D3400" t="s">
        <v>814</v>
      </c>
      <c r="F3400">
        <v>8.9747341872665801E-8</v>
      </c>
      <c r="G3400">
        <v>454892</v>
      </c>
      <c r="H3400">
        <v>12987374</v>
      </c>
      <c r="I3400">
        <v>12884851</v>
      </c>
      <c r="J3400">
        <v>2</v>
      </c>
    </row>
    <row r="3401" spans="1:10" x14ac:dyDescent="0.25">
      <c r="A3401" t="s">
        <v>35</v>
      </c>
      <c r="B3401" s="1" t="str">
        <f>HYPERLINK("http://amgen.de","amgen.de")</f>
        <v>amgen.de</v>
      </c>
      <c r="C3401" t="s">
        <v>436</v>
      </c>
      <c r="D3401" t="s">
        <v>815</v>
      </c>
      <c r="E3401">
        <v>930966</v>
      </c>
      <c r="F3401">
        <v>1.08390063890472E-7</v>
      </c>
      <c r="G3401">
        <v>369204</v>
      </c>
      <c r="H3401">
        <v>14086664</v>
      </c>
      <c r="I3401">
        <v>2768615</v>
      </c>
      <c r="J3401">
        <v>2</v>
      </c>
    </row>
    <row r="3402" spans="1:10" x14ac:dyDescent="0.25">
      <c r="A3402" t="s">
        <v>35</v>
      </c>
      <c r="B3402" s="1" t="str">
        <f>HYPERLINK("http://amgen.dk","amgen.dk")</f>
        <v>amgen.dk</v>
      </c>
      <c r="C3402" t="s">
        <v>437</v>
      </c>
      <c r="D3402" t="s">
        <v>816</v>
      </c>
      <c r="F3402">
        <v>1.6045094509838401E-8</v>
      </c>
      <c r="G3402">
        <v>3534621</v>
      </c>
      <c r="H3402">
        <v>12279811</v>
      </c>
      <c r="I3402">
        <v>21308370</v>
      </c>
      <c r="J3402">
        <v>2</v>
      </c>
    </row>
    <row r="3403" spans="1:10" x14ac:dyDescent="0.25">
      <c r="A3403" t="s">
        <v>35</v>
      </c>
      <c r="B3403" s="1" t="str">
        <f>HYPERLINK("http://amgen.es","amgen.es")</f>
        <v>amgen.es</v>
      </c>
      <c r="C3403" t="s">
        <v>443</v>
      </c>
      <c r="D3403" t="s">
        <v>822</v>
      </c>
      <c r="F3403">
        <v>6.0569387705547004E-8</v>
      </c>
      <c r="G3403">
        <v>727901</v>
      </c>
      <c r="H3403">
        <v>14532936</v>
      </c>
      <c r="I3403">
        <v>783764</v>
      </c>
      <c r="J3403">
        <v>2</v>
      </c>
    </row>
    <row r="3404" spans="1:10" x14ac:dyDescent="0.25">
      <c r="A3404" t="s">
        <v>35</v>
      </c>
      <c r="B3404" s="1" t="str">
        <f>HYPERLINK("http://amgen.eu","amgen.eu")</f>
        <v>amgen.eu</v>
      </c>
      <c r="C3404" t="s">
        <v>444</v>
      </c>
      <c r="F3404">
        <v>5.9466863885163497E-8</v>
      </c>
      <c r="G3404">
        <v>743351</v>
      </c>
      <c r="H3404">
        <v>12358575</v>
      </c>
      <c r="I3404">
        <v>19612840</v>
      </c>
      <c r="J3404">
        <v>2</v>
      </c>
    </row>
    <row r="3405" spans="1:10" x14ac:dyDescent="0.25">
      <c r="A3405" t="s">
        <v>35</v>
      </c>
      <c r="B3405" s="1" t="str">
        <f>HYPERLINK("http://amg592studies.fi","amg592studies.fi")</f>
        <v>amg592studies.fi</v>
      </c>
      <c r="C3405" t="s">
        <v>445</v>
      </c>
      <c r="D3405" t="s">
        <v>823</v>
      </c>
      <c r="J3405">
        <v>2</v>
      </c>
    </row>
    <row r="3406" spans="1:10" x14ac:dyDescent="0.25">
      <c r="A3406" t="s">
        <v>35</v>
      </c>
      <c r="B3406" s="1" t="str">
        <f>HYPERLINK("http://amgen.fi","amgen.fi")</f>
        <v>amgen.fi</v>
      </c>
      <c r="C3406" t="s">
        <v>445</v>
      </c>
      <c r="D3406" t="s">
        <v>823</v>
      </c>
      <c r="F3406">
        <v>1.32624157245006E-8</v>
      </c>
      <c r="G3406">
        <v>4510019</v>
      </c>
      <c r="H3406">
        <v>11367501</v>
      </c>
      <c r="I3406">
        <v>30337045</v>
      </c>
      <c r="J3406">
        <v>2</v>
      </c>
    </row>
    <row r="3407" spans="1:10" x14ac:dyDescent="0.25">
      <c r="A3407" t="s">
        <v>35</v>
      </c>
      <c r="B3407" s="1" t="str">
        <f>HYPERLINK("http://amgen-arise.fi","amgen-arise.fi")</f>
        <v>amgen-arise.fi</v>
      </c>
      <c r="C3407" t="s">
        <v>445</v>
      </c>
      <c r="D3407" t="s">
        <v>823</v>
      </c>
      <c r="J3407">
        <v>4</v>
      </c>
    </row>
    <row r="3408" spans="1:10" x14ac:dyDescent="0.25">
      <c r="A3408" t="s">
        <v>35</v>
      </c>
      <c r="B3408" s="1" t="str">
        <f>HYPERLINK("http://amgenbiosimilars.fi","amgenbiosimilars.fi")</f>
        <v>amgenbiosimilars.fi</v>
      </c>
      <c r="C3408" t="s">
        <v>445</v>
      </c>
      <c r="D3408" t="s">
        <v>823</v>
      </c>
      <c r="F3408">
        <v>4.8325299314871603E-9</v>
      </c>
      <c r="G3408">
        <v>34748983</v>
      </c>
      <c r="H3408">
        <v>8921055</v>
      </c>
      <c r="I3408">
        <v>68995560</v>
      </c>
      <c r="J3408">
        <v>4</v>
      </c>
    </row>
    <row r="3409" spans="1:10" x14ac:dyDescent="0.25">
      <c r="A3409" t="s">
        <v>35</v>
      </c>
      <c r="B3409" s="1" t="str">
        <f>HYPERLINK("http://amgenbiotech.fi","amgenbiotech.fi")</f>
        <v>amgenbiotech.fi</v>
      </c>
      <c r="C3409" t="s">
        <v>445</v>
      </c>
      <c r="D3409" t="s">
        <v>823</v>
      </c>
      <c r="J3409">
        <v>4</v>
      </c>
    </row>
    <row r="3410" spans="1:10" x14ac:dyDescent="0.25">
      <c r="A3410" t="s">
        <v>35</v>
      </c>
      <c r="B3410" s="1" t="str">
        <f>HYPERLINK("http://amgenone.fi","amgenone.fi")</f>
        <v>amgenone.fi</v>
      </c>
      <c r="C3410" t="s">
        <v>445</v>
      </c>
      <c r="D3410" t="s">
        <v>823</v>
      </c>
      <c r="F3410">
        <v>4.44380395335525E-9</v>
      </c>
      <c r="G3410">
        <v>84768874</v>
      </c>
      <c r="H3410">
        <v>0</v>
      </c>
      <c r="I3410">
        <v>85881517</v>
      </c>
      <c r="J3410">
        <v>6</v>
      </c>
    </row>
    <row r="3411" spans="1:10" x14ac:dyDescent="0.25">
      <c r="A3411" t="s">
        <v>35</v>
      </c>
      <c r="B3411" s="1" t="str">
        <f>HYPERLINK("http://amgenteach.fi","amgenteach.fi")</f>
        <v>amgenteach.fi</v>
      </c>
      <c r="C3411" t="s">
        <v>445</v>
      </c>
      <c r="D3411" t="s">
        <v>823</v>
      </c>
      <c r="J3411">
        <v>4</v>
      </c>
    </row>
    <row r="3412" spans="1:10" x14ac:dyDescent="0.25">
      <c r="A3412" t="s">
        <v>35</v>
      </c>
      <c r="B3412" s="1" t="str">
        <f>HYPERLINK("http://aranesp.fi","aranesp.fi")</f>
        <v>aranesp.fi</v>
      </c>
      <c r="C3412" t="s">
        <v>445</v>
      </c>
      <c r="D3412" t="s">
        <v>823</v>
      </c>
      <c r="J3412">
        <v>4</v>
      </c>
    </row>
    <row r="3413" spans="1:10" x14ac:dyDescent="0.25">
      <c r="A3413" t="s">
        <v>35</v>
      </c>
      <c r="B3413" s="1" t="str">
        <f>HYPERLINK("http://biotechnologybyamgen.fi","biotechnologybyamgen.fi")</f>
        <v>biotechnologybyamgen.fi</v>
      </c>
      <c r="C3413" t="s">
        <v>445</v>
      </c>
      <c r="D3413" t="s">
        <v>823</v>
      </c>
      <c r="J3413">
        <v>4</v>
      </c>
    </row>
    <row r="3414" spans="1:10" x14ac:dyDescent="0.25">
      <c r="A3414" t="s">
        <v>35</v>
      </c>
      <c r="B3414" s="1" t="str">
        <f>HYPERLINK("http://cholesterolneversleeps.fi","cholesterolneversleeps.fi")</f>
        <v>cholesterolneversleeps.fi</v>
      </c>
      <c r="C3414" t="s">
        <v>445</v>
      </c>
      <c r="D3414" t="s">
        <v>823</v>
      </c>
      <c r="J3414">
        <v>4</v>
      </c>
    </row>
    <row r="3415" spans="1:10" x14ac:dyDescent="0.25">
      <c r="A3415" t="s">
        <v>35</v>
      </c>
      <c r="B3415" s="1" t="str">
        <f>HYPERLINK("http://denosumab.fi","denosumab.fi")</f>
        <v>denosumab.fi</v>
      </c>
      <c r="C3415" t="s">
        <v>445</v>
      </c>
      <c r="D3415" t="s">
        <v>823</v>
      </c>
      <c r="J3415">
        <v>4</v>
      </c>
    </row>
    <row r="3416" spans="1:10" x14ac:dyDescent="0.25">
      <c r="A3416" t="s">
        <v>35</v>
      </c>
      <c r="B3416" s="1" t="str">
        <f>HYPERLINK("http://explorerockettrials.fi","explorerockettrials.fi")</f>
        <v>explorerockettrials.fi</v>
      </c>
      <c r="C3416" t="s">
        <v>445</v>
      </c>
      <c r="D3416" t="s">
        <v>823</v>
      </c>
      <c r="J3416">
        <v>2</v>
      </c>
    </row>
    <row r="3417" spans="1:10" x14ac:dyDescent="0.25">
      <c r="A3417" t="s">
        <v>35</v>
      </c>
      <c r="B3417" s="1" t="str">
        <f>HYPERLINK("http://korkeakolesteroli.fi","korkeakolesteroli.fi")</f>
        <v>korkeakolesteroli.fi</v>
      </c>
      <c r="C3417" t="s">
        <v>445</v>
      </c>
      <c r="D3417" t="s">
        <v>823</v>
      </c>
      <c r="F3417">
        <v>4.44380395335525E-9</v>
      </c>
      <c r="G3417">
        <v>84775797</v>
      </c>
      <c r="H3417">
        <v>0</v>
      </c>
      <c r="I3417">
        <v>85889795</v>
      </c>
      <c r="J3417">
        <v>4</v>
      </c>
    </row>
    <row r="3418" spans="1:10" x14ac:dyDescent="0.25">
      <c r="A3418" t="s">
        <v>35</v>
      </c>
      <c r="B3418" s="1" t="str">
        <f>HYPERLINK("http://kyprolis.fi","kyprolis.fi")</f>
        <v>kyprolis.fi</v>
      </c>
      <c r="C3418" t="s">
        <v>445</v>
      </c>
      <c r="D3418" t="s">
        <v>823</v>
      </c>
      <c r="J3418">
        <v>4</v>
      </c>
    </row>
    <row r="3419" spans="1:10" x14ac:dyDescent="0.25">
      <c r="A3419" t="s">
        <v>35</v>
      </c>
      <c r="B3419" s="1" t="str">
        <f>HYPERLINK("http://mychemo.fi","mychemo.fi")</f>
        <v>mychemo.fi</v>
      </c>
      <c r="C3419" t="s">
        <v>445</v>
      </c>
      <c r="D3419" t="s">
        <v>823</v>
      </c>
      <c r="J3419">
        <v>4</v>
      </c>
    </row>
    <row r="3420" spans="1:10" x14ac:dyDescent="0.25">
      <c r="A3420" t="s">
        <v>35</v>
      </c>
      <c r="B3420" s="1" t="str">
        <f>HYPERLINK("http://neulasta.fi","neulasta.fi")</f>
        <v>neulasta.fi</v>
      </c>
      <c r="C3420" t="s">
        <v>445</v>
      </c>
      <c r="D3420" t="s">
        <v>823</v>
      </c>
      <c r="J3420">
        <v>4</v>
      </c>
    </row>
    <row r="3421" spans="1:10" x14ac:dyDescent="0.25">
      <c r="A3421" t="s">
        <v>35</v>
      </c>
      <c r="B3421" s="1" t="str">
        <f>HYPERLINK("http://neupogen.fi","neupogen.fi")</f>
        <v>neupogen.fi</v>
      </c>
      <c r="C3421" t="s">
        <v>445</v>
      </c>
      <c r="D3421" t="s">
        <v>823</v>
      </c>
      <c r="J3421">
        <v>4</v>
      </c>
    </row>
    <row r="3422" spans="1:10" x14ac:dyDescent="0.25">
      <c r="A3422" t="s">
        <v>35</v>
      </c>
      <c r="B3422" s="1" t="str">
        <f>HYPERLINK("http://prolia.fi","prolia.fi")</f>
        <v>prolia.fi</v>
      </c>
      <c r="C3422" t="s">
        <v>445</v>
      </c>
      <c r="D3422" t="s">
        <v>823</v>
      </c>
      <c r="J3422">
        <v>2</v>
      </c>
    </row>
    <row r="3423" spans="1:10" x14ac:dyDescent="0.25">
      <c r="A3423" t="s">
        <v>35</v>
      </c>
      <c r="B3423" s="1" t="str">
        <f>HYPERLINK("http://puhupsoristasi.fi","puhupsoristasi.fi")</f>
        <v>puhupsoristasi.fi</v>
      </c>
      <c r="C3423" t="s">
        <v>445</v>
      </c>
      <c r="D3423" t="s">
        <v>823</v>
      </c>
      <c r="J3423">
        <v>2</v>
      </c>
    </row>
    <row r="3424" spans="1:10" x14ac:dyDescent="0.25">
      <c r="A3424" t="s">
        <v>35</v>
      </c>
      <c r="B3424" s="1" t="str">
        <f>HYPERLINK("http://repatha.fi","repatha.fi")</f>
        <v>repatha.fi</v>
      </c>
      <c r="C3424" t="s">
        <v>445</v>
      </c>
      <c r="D3424" t="s">
        <v>823</v>
      </c>
      <c r="J3424">
        <v>4</v>
      </c>
    </row>
    <row r="3425" spans="1:10" x14ac:dyDescent="0.25">
      <c r="A3425" t="s">
        <v>35</v>
      </c>
      <c r="B3425" s="1" t="str">
        <f>HYPERLINK("http://rexadeve.fi","rexadeve.fi")</f>
        <v>rexadeve.fi</v>
      </c>
      <c r="C3425" t="s">
        <v>445</v>
      </c>
      <c r="D3425" t="s">
        <v>823</v>
      </c>
      <c r="J3425">
        <v>4</v>
      </c>
    </row>
    <row r="3426" spans="1:10" x14ac:dyDescent="0.25">
      <c r="A3426" t="s">
        <v>35</v>
      </c>
      <c r="B3426" s="1" t="str">
        <f>HYPERLINK("http://spotifile.fi","spotifile.fi")</f>
        <v>spotifile.fi</v>
      </c>
      <c r="C3426" t="s">
        <v>445</v>
      </c>
      <c r="D3426" t="s">
        <v>823</v>
      </c>
      <c r="J3426">
        <v>2</v>
      </c>
    </row>
    <row r="3427" spans="1:10" x14ac:dyDescent="0.25">
      <c r="A3427" t="s">
        <v>35</v>
      </c>
      <c r="B3427" s="1" t="str">
        <f>HYPERLINK("http://vectibix.fi","vectibix.fi")</f>
        <v>vectibix.fi</v>
      </c>
      <c r="C3427" t="s">
        <v>445</v>
      </c>
      <c r="D3427" t="s">
        <v>823</v>
      </c>
      <c r="J3427">
        <v>4</v>
      </c>
    </row>
    <row r="3428" spans="1:10" x14ac:dyDescent="0.25">
      <c r="A3428" t="s">
        <v>35</v>
      </c>
      <c r="B3428" s="1" t="str">
        <f>HYPERLINK("http://xgeva.fi","xgeva.fi")</f>
        <v>xgeva.fi</v>
      </c>
      <c r="C3428" t="s">
        <v>445</v>
      </c>
      <c r="D3428" t="s">
        <v>823</v>
      </c>
      <c r="J3428">
        <v>4</v>
      </c>
    </row>
    <row r="3429" spans="1:10" x14ac:dyDescent="0.25">
      <c r="A3429" t="s">
        <v>35</v>
      </c>
      <c r="B3429" s="1" t="str">
        <f>HYPERLINK("http://amgen.fr","amgen.fr")</f>
        <v>amgen.fr</v>
      </c>
      <c r="C3429" t="s">
        <v>446</v>
      </c>
      <c r="D3429" t="s">
        <v>824</v>
      </c>
      <c r="F3429">
        <v>5.9423316641820102E-8</v>
      </c>
      <c r="G3429">
        <v>743960</v>
      </c>
      <c r="H3429">
        <v>14129194</v>
      </c>
      <c r="I3429">
        <v>2050053</v>
      </c>
      <c r="J3429">
        <v>2</v>
      </c>
    </row>
    <row r="3430" spans="1:10" x14ac:dyDescent="0.25">
      <c r="A3430" t="s">
        <v>35</v>
      </c>
      <c r="B3430" s="1" t="str">
        <f>HYPERLINK("http://amgen.gr","amgen.gr")</f>
        <v>amgen.gr</v>
      </c>
      <c r="C3430" t="s">
        <v>447</v>
      </c>
      <c r="D3430" t="s">
        <v>825</v>
      </c>
      <c r="F3430">
        <v>1.6616662815328399E-8</v>
      </c>
      <c r="G3430">
        <v>3384856</v>
      </c>
      <c r="H3430">
        <v>12405047</v>
      </c>
      <c r="I3430">
        <v>18688381</v>
      </c>
      <c r="J3430">
        <v>2</v>
      </c>
    </row>
    <row r="3431" spans="1:10" x14ac:dyDescent="0.25">
      <c r="A3431" t="s">
        <v>35</v>
      </c>
      <c r="B3431" s="1" t="str">
        <f>HYPERLINK("http://amgen.hk","amgen.hk")</f>
        <v>amgen.hk</v>
      </c>
      <c r="C3431" t="s">
        <v>450</v>
      </c>
      <c r="D3431" t="s">
        <v>827</v>
      </c>
      <c r="F3431">
        <v>9.4766710613427601E-9</v>
      </c>
      <c r="G3431">
        <v>7350754</v>
      </c>
      <c r="H3431">
        <v>11275406</v>
      </c>
      <c r="I3431">
        <v>30734461</v>
      </c>
      <c r="J3431">
        <v>2</v>
      </c>
    </row>
    <row r="3432" spans="1:10" x14ac:dyDescent="0.25">
      <c r="A3432" t="s">
        <v>35</v>
      </c>
      <c r="B3432" s="1" t="str">
        <f>HYPERLINK("http://amgen.com.hk","amgen.com.hk")</f>
        <v>amgen.com.hk</v>
      </c>
      <c r="C3432" t="s">
        <v>450</v>
      </c>
      <c r="D3432" t="s">
        <v>827</v>
      </c>
      <c r="F3432">
        <v>1.06296509724482E-8</v>
      </c>
      <c r="G3432">
        <v>6158630</v>
      </c>
      <c r="H3432">
        <v>12509723</v>
      </c>
      <c r="I3432">
        <v>17248831</v>
      </c>
      <c r="J3432">
        <v>2</v>
      </c>
    </row>
    <row r="3433" spans="1:10" x14ac:dyDescent="0.25">
      <c r="A3433" t="s">
        <v>35</v>
      </c>
      <c r="B3433" s="1" t="str">
        <f>HYPERLINK("http://amgen.hr","amgen.hr")</f>
        <v>amgen.hr</v>
      </c>
      <c r="C3433" t="s">
        <v>452</v>
      </c>
      <c r="D3433" t="s">
        <v>829</v>
      </c>
      <c r="F3433">
        <v>1.1085767544539401E-8</v>
      </c>
      <c r="G3433">
        <v>5796010</v>
      </c>
      <c r="H3433">
        <v>11277178</v>
      </c>
      <c r="I3433">
        <v>30724284</v>
      </c>
      <c r="J3433">
        <v>2</v>
      </c>
    </row>
    <row r="3434" spans="1:10" x14ac:dyDescent="0.25">
      <c r="A3434" t="s">
        <v>35</v>
      </c>
      <c r="B3434" s="1" t="str">
        <f>HYPERLINK("http://amgen.co.hu","amgen.co.hu")</f>
        <v>amgen.co.hu</v>
      </c>
      <c r="C3434" t="s">
        <v>453</v>
      </c>
      <c r="D3434" t="s">
        <v>830</v>
      </c>
      <c r="F3434">
        <v>1.52474407869541E-8</v>
      </c>
      <c r="G3434">
        <v>3761592</v>
      </c>
      <c r="H3434">
        <v>11279723</v>
      </c>
      <c r="I3434">
        <v>30709135</v>
      </c>
      <c r="J3434">
        <v>2</v>
      </c>
    </row>
    <row r="3435" spans="1:10" x14ac:dyDescent="0.25">
      <c r="A3435" t="s">
        <v>35</v>
      </c>
      <c r="B3435" s="1" t="str">
        <f>HYPERLINK("http://amgen.it","amgen.it")</f>
        <v>amgen.it</v>
      </c>
      <c r="C3435" t="s">
        <v>459</v>
      </c>
      <c r="D3435" t="s">
        <v>835</v>
      </c>
      <c r="F3435">
        <v>2.8460104866087901E-8</v>
      </c>
      <c r="G3435">
        <v>1808475</v>
      </c>
      <c r="H3435">
        <v>12725621</v>
      </c>
      <c r="I3435">
        <v>15226415</v>
      </c>
      <c r="J3435">
        <v>2</v>
      </c>
    </row>
    <row r="3436" spans="1:10" x14ac:dyDescent="0.25">
      <c r="A3436" t="s">
        <v>35</v>
      </c>
      <c r="B3436" s="1" t="str">
        <f>HYPERLINK("http://amgen.co.jp","amgen.co.jp")</f>
        <v>amgen.co.jp</v>
      </c>
      <c r="C3436" t="s">
        <v>461</v>
      </c>
      <c r="D3436" t="s">
        <v>837</v>
      </c>
      <c r="F3436">
        <v>2.5770298283992301E-8</v>
      </c>
      <c r="G3436">
        <v>2000284</v>
      </c>
      <c r="H3436">
        <v>14080402</v>
      </c>
      <c r="I3436">
        <v>2820369</v>
      </c>
      <c r="J3436">
        <v>2</v>
      </c>
    </row>
    <row r="3437" spans="1:10" x14ac:dyDescent="0.25">
      <c r="A3437" t="s">
        <v>35</v>
      </c>
      <c r="B3437" s="1" t="str">
        <f>HYPERLINK("http://amgen.co.kr","amgen.co.kr")</f>
        <v>amgen.co.kr</v>
      </c>
      <c r="C3437" t="s">
        <v>463</v>
      </c>
      <c r="D3437" t="s">
        <v>839</v>
      </c>
      <c r="F3437">
        <v>1.5645454640176902E-8</v>
      </c>
      <c r="G3437">
        <v>3642574</v>
      </c>
      <c r="H3437">
        <v>11373018</v>
      </c>
      <c r="I3437">
        <v>30311094</v>
      </c>
      <c r="J3437">
        <v>2</v>
      </c>
    </row>
    <row r="3438" spans="1:10" x14ac:dyDescent="0.25">
      <c r="A3438" t="s">
        <v>35</v>
      </c>
      <c r="B3438" s="1" t="str">
        <f>HYPERLINK("http://amgen.mx","amgen.mx")</f>
        <v>amgen.mx</v>
      </c>
      <c r="C3438" t="s">
        <v>471</v>
      </c>
      <c r="D3438" t="s">
        <v>847</v>
      </c>
      <c r="F3438">
        <v>1.12386693807667E-8</v>
      </c>
      <c r="G3438">
        <v>5686185</v>
      </c>
      <c r="H3438">
        <v>13765542</v>
      </c>
      <c r="I3438">
        <v>7092188</v>
      </c>
      <c r="J3438">
        <v>3</v>
      </c>
    </row>
    <row r="3439" spans="1:10" x14ac:dyDescent="0.25">
      <c r="A3439" t="s">
        <v>35</v>
      </c>
      <c r="B3439" s="1" t="str">
        <f>HYPERLINK("http://amgen.com.mx","amgen.com.mx")</f>
        <v>amgen.com.mx</v>
      </c>
      <c r="C3439" t="s">
        <v>471</v>
      </c>
      <c r="D3439" t="s">
        <v>847</v>
      </c>
      <c r="F3439">
        <v>1.8674896925998299E-8</v>
      </c>
      <c r="G3439">
        <v>2893835</v>
      </c>
      <c r="H3439">
        <v>13766151</v>
      </c>
      <c r="I3439">
        <v>7034489</v>
      </c>
      <c r="J3439">
        <v>2</v>
      </c>
    </row>
    <row r="3440" spans="1:10" x14ac:dyDescent="0.25">
      <c r="A3440" t="s">
        <v>35</v>
      </c>
      <c r="B3440" s="1" t="str">
        <f>HYPERLINK("http://amgen.nl","amgen.nl")</f>
        <v>amgen.nl</v>
      </c>
      <c r="C3440" t="s">
        <v>477</v>
      </c>
      <c r="D3440" t="s">
        <v>852</v>
      </c>
      <c r="F3440">
        <v>3.8652839211580201E-8</v>
      </c>
      <c r="G3440">
        <v>1333953</v>
      </c>
      <c r="H3440">
        <v>14084233</v>
      </c>
      <c r="I3440">
        <v>2788574</v>
      </c>
      <c r="J3440">
        <v>2</v>
      </c>
    </row>
    <row r="3441" spans="1:10" x14ac:dyDescent="0.25">
      <c r="A3441" t="s">
        <v>35</v>
      </c>
      <c r="B3441" s="1" t="str">
        <f>HYPERLINK("http://amgen.no","amgen.no")</f>
        <v>amgen.no</v>
      </c>
      <c r="C3441" t="s">
        <v>478</v>
      </c>
      <c r="D3441" t="s">
        <v>853</v>
      </c>
      <c r="F3441">
        <v>1.5251145041273499E-8</v>
      </c>
      <c r="G3441">
        <v>3760461</v>
      </c>
      <c r="H3441">
        <v>12247046</v>
      </c>
      <c r="I3441">
        <v>22072588</v>
      </c>
      <c r="J3441">
        <v>2</v>
      </c>
    </row>
    <row r="3442" spans="1:10" x14ac:dyDescent="0.25">
      <c r="A3442" t="s">
        <v>35</v>
      </c>
      <c r="B3442" s="1" t="str">
        <f>HYPERLINK("http://amgen.pl","amgen.pl")</f>
        <v>amgen.pl</v>
      </c>
      <c r="C3442" t="s">
        <v>486</v>
      </c>
      <c r="D3442" t="s">
        <v>860</v>
      </c>
      <c r="F3442">
        <v>3.0824959985608897E-8</v>
      </c>
      <c r="G3442">
        <v>1671053</v>
      </c>
      <c r="H3442">
        <v>13730327</v>
      </c>
      <c r="I3442">
        <v>9458061</v>
      </c>
      <c r="J3442">
        <v>2</v>
      </c>
    </row>
    <row r="3443" spans="1:10" x14ac:dyDescent="0.25">
      <c r="A3443" t="s">
        <v>35</v>
      </c>
      <c r="B3443" s="1" t="str">
        <f>HYPERLINK("http://amgen.pt","amgen.pt")</f>
        <v>amgen.pt</v>
      </c>
      <c r="C3443" t="s">
        <v>488</v>
      </c>
      <c r="D3443" t="s">
        <v>862</v>
      </c>
      <c r="F3443">
        <v>1.54122200866363E-8</v>
      </c>
      <c r="G3443">
        <v>3710466</v>
      </c>
      <c r="H3443">
        <v>11567058</v>
      </c>
      <c r="I3443">
        <v>29955874</v>
      </c>
      <c r="J3443">
        <v>2</v>
      </c>
    </row>
    <row r="3444" spans="1:10" x14ac:dyDescent="0.25">
      <c r="A3444" t="s">
        <v>35</v>
      </c>
      <c r="B3444" s="1" t="str">
        <f>HYPERLINK("http://amgen.ro","amgen.ro")</f>
        <v>amgen.ro</v>
      </c>
      <c r="C3444" t="s">
        <v>491</v>
      </c>
      <c r="D3444" t="s">
        <v>865</v>
      </c>
      <c r="F3444">
        <v>1.1233624941487801E-8</v>
      </c>
      <c r="G3444">
        <v>5689687</v>
      </c>
      <c r="H3444">
        <v>11288973</v>
      </c>
      <c r="I3444">
        <v>30663575</v>
      </c>
      <c r="J3444">
        <v>2</v>
      </c>
    </row>
    <row r="3445" spans="1:10" x14ac:dyDescent="0.25">
      <c r="A3445" t="s">
        <v>35</v>
      </c>
      <c r="B3445" s="1" t="str">
        <f>HYPERLINK("http://amgen.ru","amgen.ru")</f>
        <v>amgen.ru</v>
      </c>
      <c r="C3445" t="s">
        <v>493</v>
      </c>
      <c r="D3445" t="s">
        <v>867</v>
      </c>
      <c r="F3445">
        <v>3.0751749490596201E-8</v>
      </c>
      <c r="G3445">
        <v>1675050</v>
      </c>
      <c r="H3445">
        <v>13815106</v>
      </c>
      <c r="I3445">
        <v>6171229</v>
      </c>
      <c r="J3445">
        <v>2</v>
      </c>
    </row>
    <row r="3446" spans="1:10" x14ac:dyDescent="0.25">
      <c r="A3446" t="s">
        <v>35</v>
      </c>
      <c r="B3446" s="1" t="str">
        <f>HYPERLINK("http://amgen.sa","amgen.sa")</f>
        <v>amgen.sa</v>
      </c>
      <c r="C3446" t="s">
        <v>494</v>
      </c>
      <c r="D3446" t="s">
        <v>868</v>
      </c>
      <c r="F3446">
        <v>6.8729997970942201E-9</v>
      </c>
      <c r="G3446">
        <v>12719292</v>
      </c>
      <c r="H3446">
        <v>12213787</v>
      </c>
      <c r="I3446">
        <v>22931557</v>
      </c>
      <c r="J3446">
        <v>2</v>
      </c>
    </row>
    <row r="3447" spans="1:10" x14ac:dyDescent="0.25">
      <c r="A3447" t="s">
        <v>35</v>
      </c>
      <c r="B3447" s="1" t="str">
        <f>HYPERLINK("http://amgen.se","amgen.se")</f>
        <v>amgen.se</v>
      </c>
      <c r="C3447" t="s">
        <v>495</v>
      </c>
      <c r="D3447" t="s">
        <v>869</v>
      </c>
      <c r="F3447">
        <v>2.9321775988481001E-8</v>
      </c>
      <c r="G3447">
        <v>1757146</v>
      </c>
      <c r="H3447">
        <v>12450853</v>
      </c>
      <c r="I3447">
        <v>17986721</v>
      </c>
      <c r="J3447">
        <v>2</v>
      </c>
    </row>
    <row r="3448" spans="1:10" x14ac:dyDescent="0.25">
      <c r="A3448" t="s">
        <v>35</v>
      </c>
      <c r="B3448" s="1" t="str">
        <f>HYPERLINK("http://amgen.com.sg","amgen.com.sg")</f>
        <v>amgen.com.sg</v>
      </c>
      <c r="C3448" t="s">
        <v>496</v>
      </c>
      <c r="D3448" t="s">
        <v>870</v>
      </c>
      <c r="F3448">
        <v>1.4980981781407899E-8</v>
      </c>
      <c r="G3448">
        <v>3846217</v>
      </c>
      <c r="H3448">
        <v>11445628</v>
      </c>
      <c r="I3448">
        <v>30126381</v>
      </c>
      <c r="J3448">
        <v>2</v>
      </c>
    </row>
    <row r="3449" spans="1:10" x14ac:dyDescent="0.25">
      <c r="A3449" t="s">
        <v>35</v>
      </c>
      <c r="B3449" s="1" t="str">
        <f>HYPERLINK("http://amgen.si","amgen.si")</f>
        <v>amgen.si</v>
      </c>
      <c r="C3449" t="s">
        <v>497</v>
      </c>
      <c r="D3449" t="s">
        <v>871</v>
      </c>
      <c r="F3449">
        <v>1.35349479407216E-8</v>
      </c>
      <c r="G3449">
        <v>4389280</v>
      </c>
      <c r="H3449">
        <v>11383814</v>
      </c>
      <c r="I3449">
        <v>30270608</v>
      </c>
      <c r="J3449">
        <v>2</v>
      </c>
    </row>
    <row r="3450" spans="1:10" x14ac:dyDescent="0.25">
      <c r="A3450" t="s">
        <v>35</v>
      </c>
      <c r="B3450" s="1" t="str">
        <f>HYPERLINK("http://amgen.sk","amgen.sk")</f>
        <v>amgen.sk</v>
      </c>
      <c r="C3450" t="s">
        <v>498</v>
      </c>
      <c r="D3450" t="s">
        <v>872</v>
      </c>
      <c r="F3450">
        <v>1.3030667458435201E-8</v>
      </c>
      <c r="G3450">
        <v>4616495</v>
      </c>
      <c r="H3450">
        <v>11357870</v>
      </c>
      <c r="I3450">
        <v>30367132</v>
      </c>
      <c r="J3450">
        <v>2</v>
      </c>
    </row>
    <row r="3451" spans="1:10" x14ac:dyDescent="0.25">
      <c r="A3451" t="s">
        <v>35</v>
      </c>
      <c r="B3451" s="1" t="str">
        <f>HYPERLINK("http://amgen.co.th","amgen.co.th")</f>
        <v>amgen.co.th</v>
      </c>
      <c r="C3451" t="s">
        <v>500</v>
      </c>
      <c r="D3451" t="s">
        <v>874</v>
      </c>
      <c r="F3451">
        <v>1.10189499435162E-8</v>
      </c>
      <c r="G3451">
        <v>5845494</v>
      </c>
      <c r="H3451">
        <v>12407035</v>
      </c>
      <c r="I3451">
        <v>18655872</v>
      </c>
      <c r="J3451">
        <v>2</v>
      </c>
    </row>
    <row r="3452" spans="1:10" x14ac:dyDescent="0.25">
      <c r="A3452" t="s">
        <v>35</v>
      </c>
      <c r="B3452" s="1" t="str">
        <f>HYPERLINK("http://amgen.com.tr","amgen.com.tr")</f>
        <v>amgen.com.tr</v>
      </c>
      <c r="C3452" t="s">
        <v>502</v>
      </c>
      <c r="D3452" t="s">
        <v>876</v>
      </c>
      <c r="F3452">
        <v>1.50081372942011E-8</v>
      </c>
      <c r="G3452">
        <v>3837170</v>
      </c>
      <c r="H3452">
        <v>11363647</v>
      </c>
      <c r="I3452">
        <v>30347911</v>
      </c>
      <c r="J3452">
        <v>2</v>
      </c>
    </row>
    <row r="3453" spans="1:10" x14ac:dyDescent="0.25">
      <c r="A3453" t="s">
        <v>35</v>
      </c>
      <c r="B3453" s="1" t="str">
        <f>HYPERLINK("http://amgen.com.tw","amgen.com.tw")</f>
        <v>amgen.com.tw</v>
      </c>
      <c r="C3453" t="s">
        <v>504</v>
      </c>
      <c r="D3453" t="s">
        <v>878</v>
      </c>
      <c r="F3453">
        <v>1.20445852348158E-8</v>
      </c>
      <c r="G3453">
        <v>5147589</v>
      </c>
      <c r="H3453">
        <v>12474296</v>
      </c>
      <c r="I3453">
        <v>17652251</v>
      </c>
      <c r="J3453">
        <v>2</v>
      </c>
    </row>
    <row r="3454" spans="1:10" x14ac:dyDescent="0.25">
      <c r="A3454" t="s">
        <v>35</v>
      </c>
      <c r="B3454" s="1" t="str">
        <f>HYPERLINK("http://amgen.co.uk","amgen.co.uk")</f>
        <v>amgen.co.uk</v>
      </c>
      <c r="C3454" t="s">
        <v>506</v>
      </c>
      <c r="D3454" t="s">
        <v>880</v>
      </c>
      <c r="F3454">
        <v>2.7396862182476499E-8</v>
      </c>
      <c r="G3454">
        <v>1876362</v>
      </c>
      <c r="H3454">
        <v>13345908</v>
      </c>
      <c r="I3454">
        <v>10649997</v>
      </c>
      <c r="J3454">
        <v>2</v>
      </c>
    </row>
    <row r="3455" spans="1:10" x14ac:dyDescent="0.25">
      <c r="A3455" t="s">
        <v>36</v>
      </c>
      <c r="B3455" s="1" t="str">
        <f>HYPERLINK("http://amphenol.com.ar","amphenol.com.ar")</f>
        <v>amphenol.com.ar</v>
      </c>
      <c r="C3455" t="s">
        <v>418</v>
      </c>
      <c r="D3455" t="s">
        <v>800</v>
      </c>
      <c r="F3455">
        <v>7.5320272013841292E-9</v>
      </c>
      <c r="G3455">
        <v>10943294</v>
      </c>
      <c r="H3455">
        <v>10769520</v>
      </c>
      <c r="I3455">
        <v>39260331</v>
      </c>
      <c r="J3455">
        <v>2</v>
      </c>
    </row>
    <row r="3456" spans="1:10" x14ac:dyDescent="0.25">
      <c r="A3456" t="s">
        <v>36</v>
      </c>
      <c r="B3456" s="1" t="str">
        <f>HYPERLINK("http://amphenol.com.au","amphenol.com.au")</f>
        <v>amphenol.com.au</v>
      </c>
      <c r="C3456" t="s">
        <v>420</v>
      </c>
      <c r="D3456" t="s">
        <v>802</v>
      </c>
      <c r="F3456">
        <v>1.90152088251288E-8</v>
      </c>
      <c r="G3456">
        <v>2833383</v>
      </c>
      <c r="H3456">
        <v>14071911</v>
      </c>
      <c r="I3456">
        <v>3228792</v>
      </c>
      <c r="J3456">
        <v>2</v>
      </c>
    </row>
    <row r="3457" spans="1:10" x14ac:dyDescent="0.25">
      <c r="A3457" t="s">
        <v>36</v>
      </c>
      <c r="B3457" s="1" t="str">
        <f>HYPERLINK("http://amphenol.com.br","amphenol.com.br")</f>
        <v>amphenol.com.br</v>
      </c>
      <c r="C3457" t="s">
        <v>425</v>
      </c>
      <c r="D3457" t="s">
        <v>806</v>
      </c>
      <c r="F3457">
        <v>4.9037859696428703E-9</v>
      </c>
      <c r="G3457">
        <v>32357285</v>
      </c>
      <c r="H3457">
        <v>10602681</v>
      </c>
      <c r="I3457">
        <v>44804138</v>
      </c>
      <c r="J3457">
        <v>2</v>
      </c>
    </row>
    <row r="3458" spans="1:10" x14ac:dyDescent="0.25">
      <c r="A3458" t="s">
        <v>36</v>
      </c>
      <c r="B3458" s="1" t="str">
        <f>HYPERLINK("http://amphenol-tfc.com.br","amphenol-tfc.com.br")</f>
        <v>amphenol-tfc.com.br</v>
      </c>
      <c r="C3458" t="s">
        <v>425</v>
      </c>
      <c r="D3458" t="s">
        <v>806</v>
      </c>
      <c r="F3458">
        <v>4.4438819316277697E-9</v>
      </c>
      <c r="G3458">
        <v>78048358</v>
      </c>
      <c r="H3458">
        <v>10474166</v>
      </c>
      <c r="I3458">
        <v>51164315</v>
      </c>
      <c r="J3458">
        <v>3</v>
      </c>
    </row>
    <row r="3459" spans="1:10" x14ac:dyDescent="0.25">
      <c r="A3459" t="s">
        <v>36</v>
      </c>
      <c r="B3459" s="1" t="str">
        <f>HYPERLINK("http://casco.com.br","casco.com.br")</f>
        <v>casco.com.br</v>
      </c>
      <c r="C3459" t="s">
        <v>425</v>
      </c>
      <c r="D3459" t="s">
        <v>806</v>
      </c>
      <c r="J3459">
        <v>3</v>
      </c>
    </row>
    <row r="3460" spans="1:10" x14ac:dyDescent="0.25">
      <c r="A3460" t="s">
        <v>36</v>
      </c>
      <c r="B3460" s="1" t="str">
        <f>HYPERLINK("http://flexus.ca","flexus.ca")</f>
        <v>flexus.ca</v>
      </c>
      <c r="C3460" t="s">
        <v>428</v>
      </c>
      <c r="D3460" t="s">
        <v>809</v>
      </c>
      <c r="J3460">
        <v>3</v>
      </c>
    </row>
    <row r="3461" spans="1:10" x14ac:dyDescent="0.25">
      <c r="A3461" t="s">
        <v>36</v>
      </c>
      <c r="B3461" s="1" t="str">
        <f>HYPERLINK("http://connectpositronic.cn","connectpositronic.cn")</f>
        <v>connectpositronic.cn</v>
      </c>
      <c r="C3461" t="s">
        <v>431</v>
      </c>
      <c r="D3461" t="s">
        <v>812</v>
      </c>
      <c r="F3461">
        <v>5.9758951231228303E-9</v>
      </c>
      <c r="G3461">
        <v>16844088</v>
      </c>
      <c r="H3461">
        <v>10546274</v>
      </c>
      <c r="I3461">
        <v>46905312</v>
      </c>
      <c r="J3461">
        <v>4</v>
      </c>
    </row>
    <row r="3462" spans="1:10" x14ac:dyDescent="0.25">
      <c r="A3462" t="s">
        <v>36</v>
      </c>
      <c r="B3462" s="1" t="str">
        <f>HYPERLINK("http://accriva.com","accriva.com")</f>
        <v>accriva.com</v>
      </c>
      <c r="C3462" t="s">
        <v>433</v>
      </c>
      <c r="F3462">
        <v>8.6983043559167896E-9</v>
      </c>
      <c r="G3462">
        <v>8480613</v>
      </c>
      <c r="H3462">
        <v>11497893</v>
      </c>
      <c r="I3462">
        <v>30033983</v>
      </c>
      <c r="J3462">
        <v>7</v>
      </c>
    </row>
    <row r="3463" spans="1:10" x14ac:dyDescent="0.25">
      <c r="A3463" t="s">
        <v>36</v>
      </c>
      <c r="B3463" s="1" t="str">
        <f>HYPERLINK("http://accumetrics.com","accumetrics.com")</f>
        <v>accumetrics.com</v>
      </c>
      <c r="C3463" t="s">
        <v>433</v>
      </c>
      <c r="F3463">
        <v>7.2191060542292296E-9</v>
      </c>
      <c r="G3463">
        <v>11690132</v>
      </c>
      <c r="H3463">
        <v>12487728</v>
      </c>
      <c r="I3463">
        <v>17514868</v>
      </c>
      <c r="J3463">
        <v>3</v>
      </c>
    </row>
    <row r="3464" spans="1:10" x14ac:dyDescent="0.25">
      <c r="A3464" t="s">
        <v>36</v>
      </c>
      <c r="B3464" s="1" t="str">
        <f>HYPERLINK("http://addoncomputer.com","addoncomputer.com")</f>
        <v>addoncomputer.com</v>
      </c>
      <c r="C3464" t="s">
        <v>433</v>
      </c>
      <c r="F3464">
        <v>8.6270727630361292E-9</v>
      </c>
      <c r="G3464">
        <v>8607544</v>
      </c>
      <c r="H3464">
        <v>12812321</v>
      </c>
      <c r="I3464">
        <v>14578588</v>
      </c>
      <c r="J3464">
        <v>3</v>
      </c>
    </row>
    <row r="3465" spans="1:10" x14ac:dyDescent="0.25">
      <c r="A3465" t="s">
        <v>36</v>
      </c>
      <c r="B3465" s="1" t="str">
        <f>HYPERLINK("http://addonnetworks.com","addonnetworks.com")</f>
        <v>addonnetworks.com</v>
      </c>
      <c r="C3465" t="s">
        <v>433</v>
      </c>
      <c r="F3465">
        <v>2.4157955372653001E-8</v>
      </c>
      <c r="G3465">
        <v>2147627</v>
      </c>
      <c r="H3465">
        <v>13198414</v>
      </c>
      <c r="I3465">
        <v>11562760</v>
      </c>
      <c r="J3465">
        <v>5</v>
      </c>
    </row>
    <row r="3466" spans="1:10" x14ac:dyDescent="0.25">
      <c r="A3466" t="s">
        <v>36</v>
      </c>
      <c r="B3466" s="1" t="str">
        <f>HYPERLINK("http://allsystemsbroadband.com","allsystemsbroadband.com")</f>
        <v>allsystemsbroadband.com</v>
      </c>
      <c r="C3466" t="s">
        <v>433</v>
      </c>
      <c r="F3466">
        <v>8.6916471476325497E-9</v>
      </c>
      <c r="G3466">
        <v>8492120</v>
      </c>
      <c r="H3466">
        <v>13154032</v>
      </c>
      <c r="I3466">
        <v>11810319</v>
      </c>
      <c r="J3466">
        <v>3</v>
      </c>
    </row>
    <row r="3467" spans="1:10" x14ac:dyDescent="0.25">
      <c r="A3467" t="s">
        <v>36</v>
      </c>
      <c r="B3467" s="1" t="str">
        <f>HYPERLINK("http://amhenol-sensors.com","amhenol-sensors.com")</f>
        <v>amhenol-sensors.com</v>
      </c>
      <c r="C3467" t="s">
        <v>433</v>
      </c>
      <c r="J3467">
        <v>4</v>
      </c>
    </row>
    <row r="3468" spans="1:10" x14ac:dyDescent="0.25">
      <c r="A3468" t="s">
        <v>36</v>
      </c>
      <c r="B3468" s="1" t="str">
        <f>HYPERLINK("http://amphenol.com","amphenol.com")</f>
        <v>amphenol.com</v>
      </c>
      <c r="C3468" t="s">
        <v>433</v>
      </c>
      <c r="E3468">
        <v>223343</v>
      </c>
      <c r="F3468">
        <v>1.7785479461936699E-6</v>
      </c>
      <c r="G3468">
        <v>22451</v>
      </c>
      <c r="H3468">
        <v>15292180</v>
      </c>
      <c r="I3468">
        <v>386710</v>
      </c>
      <c r="J3468">
        <v>1</v>
      </c>
    </row>
    <row r="3469" spans="1:10" x14ac:dyDescent="0.25">
      <c r="A3469" t="s">
        <v>36</v>
      </c>
      <c r="B3469" s="1" t="str">
        <f>HYPERLINK("http://amphenol-aipc.com","amphenol-aipc.com")</f>
        <v>amphenol-aipc.com</v>
      </c>
      <c r="C3469" t="s">
        <v>433</v>
      </c>
      <c r="F3469">
        <v>5.5144268942109097E-9</v>
      </c>
      <c r="G3469">
        <v>20745612</v>
      </c>
      <c r="H3469">
        <v>12350001</v>
      </c>
      <c r="I3469">
        <v>19766494</v>
      </c>
      <c r="J3469">
        <v>3</v>
      </c>
    </row>
    <row r="3470" spans="1:10" x14ac:dyDescent="0.25">
      <c r="A3470" t="s">
        <v>36</v>
      </c>
      <c r="B3470" s="1" t="str">
        <f>HYPERLINK("http://amphenol-airlb.com","amphenol-airlb.com")</f>
        <v>amphenol-airlb.com</v>
      </c>
      <c r="C3470" t="s">
        <v>433</v>
      </c>
      <c r="F3470">
        <v>4.6559134489710297E-9</v>
      </c>
      <c r="G3470">
        <v>43751873</v>
      </c>
      <c r="H3470">
        <v>12197889</v>
      </c>
      <c r="I3470">
        <v>23375697</v>
      </c>
      <c r="J3470">
        <v>3</v>
      </c>
    </row>
    <row r="3471" spans="1:10" x14ac:dyDescent="0.25">
      <c r="A3471" t="s">
        <v>36</v>
      </c>
      <c r="B3471" s="1" t="str">
        <f>HYPERLINK("http://amphenol-fci.com","amphenol-fci.com")</f>
        <v>amphenol-fci.com</v>
      </c>
      <c r="C3471" t="s">
        <v>433</v>
      </c>
      <c r="F3471">
        <v>4.9726751133491796E-9</v>
      </c>
      <c r="G3471">
        <v>30178720</v>
      </c>
      <c r="H3471">
        <v>10114097</v>
      </c>
      <c r="I3471">
        <v>59771534</v>
      </c>
      <c r="J3471">
        <v>4</v>
      </c>
    </row>
    <row r="3472" spans="1:10" x14ac:dyDescent="0.25">
      <c r="A3472" t="s">
        <v>36</v>
      </c>
      <c r="B3472" s="1" t="str">
        <f>HYPERLINK("http://amphenol-fsi.com","amphenol-fsi.com")</f>
        <v>amphenol-fsi.com</v>
      </c>
      <c r="C3472" t="s">
        <v>433</v>
      </c>
      <c r="J3472">
        <v>6</v>
      </c>
    </row>
    <row r="3473" spans="1:10" x14ac:dyDescent="0.25">
      <c r="A3473" t="s">
        <v>36</v>
      </c>
      <c r="B3473" s="1" t="str">
        <f>HYPERLINK("http://amphenol-fuyang.com","amphenol-fuyang.com")</f>
        <v>amphenol-fuyang.com</v>
      </c>
      <c r="C3473" t="s">
        <v>433</v>
      </c>
      <c r="F3473">
        <v>1.5692821439290702E-8</v>
      </c>
      <c r="G3473">
        <v>3629498</v>
      </c>
      <c r="H3473">
        <v>11133362</v>
      </c>
      <c r="I3473">
        <v>31912553</v>
      </c>
      <c r="J3473">
        <v>3</v>
      </c>
    </row>
    <row r="3474" spans="1:10" x14ac:dyDescent="0.25">
      <c r="A3474" t="s">
        <v>36</v>
      </c>
      <c r="B3474" s="1" t="str">
        <f>HYPERLINK("http://amphenol-hzp.com","amphenol-hzp.com")</f>
        <v>amphenol-hzp.com</v>
      </c>
      <c r="C3474" t="s">
        <v>433</v>
      </c>
      <c r="F3474">
        <v>1.7261048259973702E-8</v>
      </c>
      <c r="G3474">
        <v>3208804</v>
      </c>
      <c r="H3474">
        <v>11134231</v>
      </c>
      <c r="I3474">
        <v>31903768</v>
      </c>
      <c r="J3474">
        <v>3</v>
      </c>
    </row>
    <row r="3475" spans="1:10" x14ac:dyDescent="0.25">
      <c r="A3475" t="s">
        <v>36</v>
      </c>
      <c r="B3475" s="1" t="str">
        <f>HYPERLINK("http://amphenol-icc.com","amphenol-icc.com")</f>
        <v>amphenol-icc.com</v>
      </c>
      <c r="C3475" t="s">
        <v>433</v>
      </c>
      <c r="E3475">
        <v>724998</v>
      </c>
      <c r="F3475">
        <v>1.4335012751805899E-7</v>
      </c>
      <c r="G3475">
        <v>271607</v>
      </c>
      <c r="H3475">
        <v>14446866</v>
      </c>
      <c r="I3475">
        <v>1056263</v>
      </c>
      <c r="J3475">
        <v>6</v>
      </c>
    </row>
    <row r="3476" spans="1:10" x14ac:dyDescent="0.25">
      <c r="A3476" t="s">
        <v>36</v>
      </c>
      <c r="B3476" s="1" t="str">
        <f>HYPERLINK("http://amphenol-in.com","amphenol-in.com")</f>
        <v>amphenol-in.com</v>
      </c>
      <c r="C3476" t="s">
        <v>433</v>
      </c>
      <c r="F3476">
        <v>1.8751034632466E-8</v>
      </c>
      <c r="G3476">
        <v>2880322</v>
      </c>
      <c r="H3476">
        <v>12425301</v>
      </c>
      <c r="I3476">
        <v>18370790</v>
      </c>
      <c r="J3476">
        <v>3</v>
      </c>
    </row>
    <row r="3477" spans="1:10" x14ac:dyDescent="0.25">
      <c r="A3477" t="s">
        <v>36</v>
      </c>
      <c r="B3477" s="1" t="str">
        <f>HYPERLINK("http://amphenol-invotec.com","amphenol-invotec.com")</f>
        <v>amphenol-invotec.com</v>
      </c>
      <c r="C3477" t="s">
        <v>433</v>
      </c>
      <c r="F3477">
        <v>2.04629784798756E-8</v>
      </c>
      <c r="G3477">
        <v>2589859</v>
      </c>
      <c r="H3477">
        <v>11412835</v>
      </c>
      <c r="I3477">
        <v>30189737</v>
      </c>
      <c r="J3477">
        <v>3</v>
      </c>
    </row>
    <row r="3478" spans="1:10" x14ac:dyDescent="0.25">
      <c r="A3478" t="s">
        <v>36</v>
      </c>
      <c r="B3478" s="1" t="str">
        <f>HYPERLINK("http://amphenol-ipc.com","amphenol-ipc.com")</f>
        <v>amphenol-ipc.com</v>
      </c>
      <c r="C3478" t="s">
        <v>433</v>
      </c>
      <c r="F3478">
        <v>2.18534066425818E-8</v>
      </c>
      <c r="G3478">
        <v>2403473</v>
      </c>
      <c r="H3478">
        <v>13138631</v>
      </c>
      <c r="I3478">
        <v>11890833</v>
      </c>
      <c r="J3478">
        <v>3</v>
      </c>
    </row>
    <row r="3479" spans="1:10" x14ac:dyDescent="0.25">
      <c r="A3479" t="s">
        <v>36</v>
      </c>
      <c r="B3479" s="1" t="str">
        <f>HYPERLINK("http://amphenol-optimize.com","amphenol-optimize.com")</f>
        <v>amphenol-optimize.com</v>
      </c>
      <c r="C3479" t="s">
        <v>433</v>
      </c>
      <c r="F3479">
        <v>1.7428483285772301E-8</v>
      </c>
      <c r="G3479">
        <v>3166404</v>
      </c>
      <c r="H3479">
        <v>12185391</v>
      </c>
      <c r="I3479">
        <v>23686270</v>
      </c>
      <c r="J3479">
        <v>4</v>
      </c>
    </row>
    <row r="3480" spans="1:10" x14ac:dyDescent="0.25">
      <c r="A3480" t="s">
        <v>36</v>
      </c>
      <c r="B3480" s="1" t="str">
        <f>HYPERLINK("http://amphenol-saa.com","amphenol-saa.com")</f>
        <v>amphenol-saa.com</v>
      </c>
      <c r="C3480" t="s">
        <v>433</v>
      </c>
      <c r="F3480">
        <v>6.9351990838638697E-9</v>
      </c>
      <c r="G3480">
        <v>12509531</v>
      </c>
      <c r="H3480">
        <v>12337780</v>
      </c>
      <c r="I3480">
        <v>20055048</v>
      </c>
      <c r="J3480">
        <v>3</v>
      </c>
    </row>
    <row r="3481" spans="1:10" x14ac:dyDescent="0.25">
      <c r="A3481" t="s">
        <v>36</v>
      </c>
      <c r="B3481" s="1" t="str">
        <f>HYPERLINK("http://amphenol-sensors.com","amphenol-sensors.com")</f>
        <v>amphenol-sensors.com</v>
      </c>
      <c r="C3481" t="s">
        <v>433</v>
      </c>
      <c r="E3481">
        <v>607385</v>
      </c>
      <c r="F3481">
        <v>6.5359125811523195E-8</v>
      </c>
      <c r="G3481">
        <v>658227</v>
      </c>
      <c r="H3481">
        <v>13822122</v>
      </c>
      <c r="I3481">
        <v>6138201</v>
      </c>
      <c r="J3481">
        <v>3</v>
      </c>
    </row>
    <row r="3482" spans="1:10" x14ac:dyDescent="0.25">
      <c r="A3482" t="s">
        <v>36</v>
      </c>
      <c r="B3482" s="1" t="str">
        <f>HYPERLINK("http://amphenol-socapex.com","amphenol-socapex.com")</f>
        <v>amphenol-socapex.com</v>
      </c>
      <c r="C3482" t="s">
        <v>433</v>
      </c>
      <c r="F3482">
        <v>4.0162429148818402E-8</v>
      </c>
      <c r="G3482">
        <v>1287807</v>
      </c>
      <c r="H3482">
        <v>13260519</v>
      </c>
      <c r="I3482">
        <v>11039557</v>
      </c>
      <c r="J3482">
        <v>3</v>
      </c>
    </row>
    <row r="3483" spans="1:10" x14ac:dyDescent="0.25">
      <c r="A3483" t="s">
        <v>36</v>
      </c>
      <c r="B3483" s="1" t="str">
        <f>HYPERLINK("http://amphenol-tcs.com","amphenol-tcs.com")</f>
        <v>amphenol-tcs.com</v>
      </c>
      <c r="C3483" t="s">
        <v>433</v>
      </c>
      <c r="E3483">
        <v>986345</v>
      </c>
      <c r="F3483">
        <v>8.6497946849379398E-9</v>
      </c>
      <c r="G3483">
        <v>8566947</v>
      </c>
      <c r="H3483">
        <v>12680820</v>
      </c>
      <c r="I3483">
        <v>15493133</v>
      </c>
      <c r="J3483">
        <v>3</v>
      </c>
    </row>
    <row r="3484" spans="1:10" x14ac:dyDescent="0.25">
      <c r="A3484" t="s">
        <v>36</v>
      </c>
      <c r="B3484" s="1" t="str">
        <f>HYPERLINK("http://amphenolaudio.com","amphenolaudio.com")</f>
        <v>amphenolaudio.com</v>
      </c>
      <c r="C3484" t="s">
        <v>433</v>
      </c>
      <c r="F3484">
        <v>4.3697455836507001E-8</v>
      </c>
      <c r="G3484">
        <v>1092082</v>
      </c>
      <c r="H3484">
        <v>12998772</v>
      </c>
      <c r="I3484">
        <v>12803082</v>
      </c>
      <c r="J3484">
        <v>5</v>
      </c>
    </row>
    <row r="3485" spans="1:10" x14ac:dyDescent="0.25">
      <c r="A3485" t="s">
        <v>36</v>
      </c>
      <c r="B3485" s="1" t="str">
        <f>HYPERLINK("http://amphenolmcpkorea.com","amphenolmcpkorea.com")</f>
        <v>amphenolmcpkorea.com</v>
      </c>
      <c r="C3485" t="s">
        <v>433</v>
      </c>
      <c r="F3485">
        <v>1.6793367251179099E-8</v>
      </c>
      <c r="G3485">
        <v>3334947</v>
      </c>
      <c r="H3485">
        <v>11133358</v>
      </c>
      <c r="I3485">
        <v>31912580</v>
      </c>
      <c r="J3485">
        <v>3</v>
      </c>
    </row>
    <row r="3486" spans="1:10" x14ac:dyDescent="0.25">
      <c r="A3486" t="s">
        <v>36</v>
      </c>
      <c r="B3486" s="1" t="str">
        <f>HYPERLINK("http://amphenolmexico.com","amphenolmexico.com")</f>
        <v>amphenolmexico.com</v>
      </c>
      <c r="C3486" t="s">
        <v>433</v>
      </c>
      <c r="F3486">
        <v>6.0938843363656698E-9</v>
      </c>
      <c r="G3486">
        <v>16127432</v>
      </c>
      <c r="H3486">
        <v>9944865</v>
      </c>
      <c r="I3486">
        <v>61260314</v>
      </c>
      <c r="J3486">
        <v>3</v>
      </c>
    </row>
    <row r="3487" spans="1:10" x14ac:dyDescent="0.25">
      <c r="A3487" t="s">
        <v>36</v>
      </c>
      <c r="B3487" s="1" t="str">
        <f>HYPERLINK("http://amphenoloptimice.com","amphenoloptimice.com")</f>
        <v>amphenoloptimice.com</v>
      </c>
      <c r="C3487" t="s">
        <v>433</v>
      </c>
      <c r="J3487">
        <v>4</v>
      </c>
    </row>
    <row r="3488" spans="1:10" x14ac:dyDescent="0.25">
      <c r="A3488" t="s">
        <v>36</v>
      </c>
      <c r="B3488" s="1" t="str">
        <f>HYPERLINK("http://amphenolpcd.com","amphenolpcd.com")</f>
        <v>amphenolpcd.com</v>
      </c>
      <c r="C3488" t="s">
        <v>433</v>
      </c>
      <c r="F3488">
        <v>4.3458134241969302E-8</v>
      </c>
      <c r="G3488">
        <v>1101030</v>
      </c>
      <c r="H3488">
        <v>13809306</v>
      </c>
      <c r="I3488">
        <v>6216317</v>
      </c>
      <c r="J3488">
        <v>3</v>
      </c>
    </row>
    <row r="3489" spans="1:10" x14ac:dyDescent="0.25">
      <c r="A3489" t="s">
        <v>36</v>
      </c>
      <c r="B3489" s="1" t="str">
        <f>HYPERLINK("http://ardentconcepts.com","ardentconcepts.com")</f>
        <v>ardentconcepts.com</v>
      </c>
      <c r="C3489" t="s">
        <v>433</v>
      </c>
      <c r="F3489">
        <v>2.54061249542643E-8</v>
      </c>
      <c r="G3489">
        <v>2030632</v>
      </c>
      <c r="H3489">
        <v>13121515</v>
      </c>
      <c r="I3489">
        <v>11987399</v>
      </c>
      <c r="J3489">
        <v>3</v>
      </c>
    </row>
    <row r="3490" spans="1:10" x14ac:dyDescent="0.25">
      <c r="A3490" t="s">
        <v>36</v>
      </c>
      <c r="B3490" s="1" t="str">
        <f>HYPERLINK("http://bernd-richter-gmbh.com","bernd-richter-gmbh.com")</f>
        <v>bernd-richter-gmbh.com</v>
      </c>
      <c r="C3490" t="s">
        <v>433</v>
      </c>
      <c r="F3490">
        <v>1.6858844724273199E-8</v>
      </c>
      <c r="G3490">
        <v>3319139</v>
      </c>
      <c r="H3490">
        <v>12219356</v>
      </c>
      <c r="I3490">
        <v>22803030</v>
      </c>
      <c r="J3490">
        <v>3</v>
      </c>
    </row>
    <row r="3491" spans="1:10" x14ac:dyDescent="0.25">
      <c r="A3491" t="s">
        <v>36</v>
      </c>
      <c r="B3491" s="1" t="str">
        <f>HYPERLINK("http://cablesondemand.com","cablesondemand.com")</f>
        <v>cablesondemand.com</v>
      </c>
      <c r="C3491" t="s">
        <v>433</v>
      </c>
      <c r="F3491">
        <v>3.2678816494308998E-8</v>
      </c>
      <c r="G3491">
        <v>1581243</v>
      </c>
      <c r="H3491">
        <v>13307676</v>
      </c>
      <c r="I3491">
        <v>10788541</v>
      </c>
      <c r="J3491">
        <v>3</v>
      </c>
    </row>
    <row r="3492" spans="1:10" x14ac:dyDescent="0.25">
      <c r="A3492" t="s">
        <v>36</v>
      </c>
      <c r="B3492" s="1" t="str">
        <f>HYPERLINK("http://cascoauto.com","cascoauto.com")</f>
        <v>cascoauto.com</v>
      </c>
      <c r="C3492" t="s">
        <v>433</v>
      </c>
      <c r="F3492">
        <v>1.71200238566614E-8</v>
      </c>
      <c r="G3492">
        <v>3256346</v>
      </c>
      <c r="H3492">
        <v>11640963</v>
      </c>
      <c r="I3492">
        <v>29890276</v>
      </c>
      <c r="J3492">
        <v>3</v>
      </c>
    </row>
    <row r="3493" spans="1:10" x14ac:dyDescent="0.25">
      <c r="A3493" t="s">
        <v>36</v>
      </c>
      <c r="B3493" s="1" t="str">
        <f>HYPERLINK("http://cascofinancial.com","cascofinancial.com")</f>
        <v>cascofinancial.com</v>
      </c>
      <c r="C3493" t="s">
        <v>433</v>
      </c>
      <c r="F3493">
        <v>6.4519650907728202E-9</v>
      </c>
      <c r="G3493">
        <v>14285877</v>
      </c>
      <c r="H3493">
        <v>12897978</v>
      </c>
      <c r="I3493">
        <v>13889446</v>
      </c>
      <c r="J3493">
        <v>6</v>
      </c>
    </row>
    <row r="3494" spans="1:10" x14ac:dyDescent="0.25">
      <c r="A3494" t="s">
        <v>36</v>
      </c>
      <c r="B3494" s="1" t="str">
        <f>HYPERLINK("http://conec.com","conec.com")</f>
        <v>conec.com</v>
      </c>
      <c r="C3494" t="s">
        <v>433</v>
      </c>
      <c r="E3494">
        <v>726655</v>
      </c>
      <c r="F3494">
        <v>5.98496454742107E-8</v>
      </c>
      <c r="G3494">
        <v>738055</v>
      </c>
      <c r="H3494">
        <v>12976399</v>
      </c>
      <c r="I3494">
        <v>13011545</v>
      </c>
      <c r="J3494">
        <v>3</v>
      </c>
    </row>
    <row r="3495" spans="1:10" x14ac:dyDescent="0.25">
      <c r="A3495" t="s">
        <v>36</v>
      </c>
      <c r="B3495" s="1" t="str">
        <f>HYPERLINK("http://connectpositronic.com","connectpositronic.com")</f>
        <v>connectpositronic.com</v>
      </c>
      <c r="C3495" t="s">
        <v>433</v>
      </c>
      <c r="F3495">
        <v>1.4094871587459299E-7</v>
      </c>
      <c r="G3495">
        <v>276329</v>
      </c>
      <c r="H3495">
        <v>14107889</v>
      </c>
      <c r="I3495">
        <v>2681666</v>
      </c>
      <c r="J3495">
        <v>3</v>
      </c>
    </row>
    <row r="3496" spans="1:10" x14ac:dyDescent="0.25">
      <c r="A3496" t="s">
        <v>36</v>
      </c>
      <c r="B3496" s="1" t="str">
        <f>HYPERLINK("http://cti-ind.com","cti-ind.com")</f>
        <v>cti-ind.com</v>
      </c>
      <c r="C3496" t="s">
        <v>433</v>
      </c>
      <c r="F3496">
        <v>1.0213972427996299E-8</v>
      </c>
      <c r="G3496">
        <v>6533431</v>
      </c>
      <c r="H3496">
        <v>12062836</v>
      </c>
      <c r="I3496">
        <v>26943288</v>
      </c>
      <c r="J3496">
        <v>3</v>
      </c>
    </row>
    <row r="3497" spans="1:10" x14ac:dyDescent="0.25">
      <c r="A3497" t="s">
        <v>36</v>
      </c>
      <c r="B3497" s="1" t="str">
        <f>HYPERLINK("http://dcelectronics.com","dcelectronics.com")</f>
        <v>dcelectronics.com</v>
      </c>
      <c r="C3497" t="s">
        <v>433</v>
      </c>
      <c r="F3497">
        <v>1.7572957855258399E-8</v>
      </c>
      <c r="G3497">
        <v>3125007</v>
      </c>
      <c r="H3497">
        <v>12576042</v>
      </c>
      <c r="I3497">
        <v>16554453</v>
      </c>
      <c r="J3497">
        <v>3</v>
      </c>
    </row>
    <row r="3498" spans="1:10" x14ac:dyDescent="0.25">
      <c r="A3498" t="s">
        <v>36</v>
      </c>
      <c r="B3498" s="1" t="str">
        <f>HYPERLINK("http://fci.com","fci.com")</f>
        <v>fci.com</v>
      </c>
      <c r="C3498" t="s">
        <v>433</v>
      </c>
      <c r="F3498">
        <v>2.4454030951329499E-8</v>
      </c>
      <c r="G3498">
        <v>2118834</v>
      </c>
      <c r="H3498">
        <v>14136140</v>
      </c>
      <c r="I3498">
        <v>1964258</v>
      </c>
      <c r="J3498">
        <v>3</v>
      </c>
    </row>
    <row r="3499" spans="1:10" x14ac:dyDescent="0.25">
      <c r="A3499" t="s">
        <v>36</v>
      </c>
      <c r="B3499" s="1" t="str">
        <f>HYPERLINK("http://fciconnect.com","fciconnect.com")</f>
        <v>fciconnect.com</v>
      </c>
      <c r="C3499" t="s">
        <v>433</v>
      </c>
      <c r="E3499">
        <v>508722</v>
      </c>
      <c r="F3499">
        <v>6.10233178969191E-8</v>
      </c>
      <c r="G3499">
        <v>721997</v>
      </c>
      <c r="H3499">
        <v>14437867</v>
      </c>
      <c r="I3499">
        <v>1066746</v>
      </c>
      <c r="J3499">
        <v>3</v>
      </c>
    </row>
    <row r="3500" spans="1:10" x14ac:dyDescent="0.25">
      <c r="A3500" t="s">
        <v>36</v>
      </c>
      <c r="B3500" s="1" t="str">
        <f>HYPERLINK("http://fcoen.com","fcoen.com")</f>
        <v>fcoen.com</v>
      </c>
      <c r="C3500" t="s">
        <v>433</v>
      </c>
      <c r="F3500">
        <v>4.4675219963965296E-9</v>
      </c>
      <c r="G3500">
        <v>65282669</v>
      </c>
      <c r="H3500">
        <v>10664640</v>
      </c>
      <c r="I3500">
        <v>43168249</v>
      </c>
      <c r="J3500">
        <v>4</v>
      </c>
    </row>
    <row r="3501" spans="1:10" x14ac:dyDescent="0.25">
      <c r="A3501" t="s">
        <v>36</v>
      </c>
      <c r="B3501" s="1" t="str">
        <f>HYPERLINK("http://fibersystems.com","fibersystems.com")</f>
        <v>fibersystems.com</v>
      </c>
      <c r="C3501" t="s">
        <v>433</v>
      </c>
      <c r="F3501">
        <v>2.9207688817786801E-8</v>
      </c>
      <c r="G3501">
        <v>1763535</v>
      </c>
      <c r="H3501">
        <v>14237423</v>
      </c>
      <c r="I3501">
        <v>1550312</v>
      </c>
      <c r="J3501">
        <v>3</v>
      </c>
    </row>
    <row r="3502" spans="1:10" x14ac:dyDescent="0.25">
      <c r="A3502" t="s">
        <v>36</v>
      </c>
      <c r="B3502" s="1" t="str">
        <f>HYPERLINK("http://findeight.com","findeight.com")</f>
        <v>findeight.com</v>
      </c>
      <c r="C3502" t="s">
        <v>433</v>
      </c>
      <c r="F3502">
        <v>2.54529849211826E-8</v>
      </c>
      <c r="G3502">
        <v>2026604</v>
      </c>
      <c r="H3502">
        <v>13068651</v>
      </c>
      <c r="I3502">
        <v>12259794</v>
      </c>
      <c r="J3502">
        <v>6</v>
      </c>
    </row>
    <row r="3503" spans="1:10" x14ac:dyDescent="0.25">
      <c r="A3503" t="s">
        <v>36</v>
      </c>
      <c r="B3503" s="1" t="str">
        <f>HYPERLINK("http://gjm-group.com","gjm-group.com")</f>
        <v>gjm-group.com</v>
      </c>
      <c r="C3503" t="s">
        <v>433</v>
      </c>
      <c r="F3503">
        <v>1.6265199377269898E-8</v>
      </c>
      <c r="G3503">
        <v>3479240</v>
      </c>
      <c r="H3503">
        <v>11218825</v>
      </c>
      <c r="I3503">
        <v>31101064</v>
      </c>
      <c r="J3503">
        <v>4</v>
      </c>
    </row>
    <row r="3504" spans="1:10" x14ac:dyDescent="0.25">
      <c r="A3504" t="s">
        <v>36</v>
      </c>
      <c r="B3504" s="1" t="str">
        <f>HYPERLINK("http://hollandelectronics.com","hollandelectronics.com")</f>
        <v>hollandelectronics.com</v>
      </c>
      <c r="C3504" t="s">
        <v>433</v>
      </c>
      <c r="F3504">
        <v>2.80603311438542E-8</v>
      </c>
      <c r="G3504">
        <v>1833499</v>
      </c>
      <c r="H3504">
        <v>13766360</v>
      </c>
      <c r="I3504">
        <v>7012145</v>
      </c>
      <c r="J3504">
        <v>3</v>
      </c>
    </row>
    <row r="3505" spans="1:10" x14ac:dyDescent="0.25">
      <c r="A3505" t="s">
        <v>36</v>
      </c>
      <c r="B3505" s="1" t="str">
        <f>HYPERLINK("http://invotecgroup.com","invotecgroup.com")</f>
        <v>invotecgroup.com</v>
      </c>
      <c r="C3505" t="s">
        <v>433</v>
      </c>
      <c r="F3505">
        <v>5.8546675592578402E-9</v>
      </c>
      <c r="G3505">
        <v>17676735</v>
      </c>
      <c r="H3505">
        <v>12814070</v>
      </c>
      <c r="I3505">
        <v>14542516</v>
      </c>
      <c r="J3505">
        <v>6</v>
      </c>
    </row>
    <row r="3506" spans="1:10" x14ac:dyDescent="0.25">
      <c r="A3506" t="s">
        <v>36</v>
      </c>
      <c r="B3506" s="1" t="str">
        <f>HYPERLINK("http://ionix-systems.com","ionix-systems.com")</f>
        <v>ionix-systems.com</v>
      </c>
      <c r="C3506" t="s">
        <v>433</v>
      </c>
      <c r="F3506">
        <v>1.7022032647462299E-8</v>
      </c>
      <c r="G3506">
        <v>3278169</v>
      </c>
      <c r="H3506">
        <v>12464949</v>
      </c>
      <c r="I3506">
        <v>17818395</v>
      </c>
      <c r="J3506">
        <v>3</v>
      </c>
    </row>
    <row r="3507" spans="1:10" x14ac:dyDescent="0.25">
      <c r="A3507" t="s">
        <v>36</v>
      </c>
      <c r="B3507" s="1" t="str">
        <f>HYPERLINK("http://mergeoptics.com","mergeoptics.com")</f>
        <v>mergeoptics.com</v>
      </c>
      <c r="C3507" t="s">
        <v>433</v>
      </c>
      <c r="F3507">
        <v>6.0385151927637401E-9</v>
      </c>
      <c r="G3507">
        <v>16449706</v>
      </c>
      <c r="H3507">
        <v>12529078</v>
      </c>
      <c r="I3507">
        <v>17045199</v>
      </c>
      <c r="J3507">
        <v>6</v>
      </c>
    </row>
    <row r="3508" spans="1:10" x14ac:dyDescent="0.25">
      <c r="A3508" t="s">
        <v>36</v>
      </c>
      <c r="B3508" s="1" t="str">
        <f>HYPERLINK("http://mtssensor.com","mtssensor.com")</f>
        <v>mtssensor.com</v>
      </c>
      <c r="C3508" t="s">
        <v>433</v>
      </c>
      <c r="F3508">
        <v>4.7443635830881098E-9</v>
      </c>
      <c r="G3508">
        <v>38592810</v>
      </c>
      <c r="H3508">
        <v>10596193</v>
      </c>
      <c r="I3508">
        <v>45131082</v>
      </c>
      <c r="J3508">
        <v>3</v>
      </c>
    </row>
    <row r="3509" spans="1:10" x14ac:dyDescent="0.25">
      <c r="A3509" t="s">
        <v>36</v>
      </c>
      <c r="B3509" s="1" t="str">
        <f>HYPERLINK("http://onanon.com","onanon.com")</f>
        <v>onanon.com</v>
      </c>
      <c r="C3509" t="s">
        <v>433</v>
      </c>
      <c r="F3509">
        <v>1.78268649839528E-8</v>
      </c>
      <c r="G3509">
        <v>3069065</v>
      </c>
      <c r="H3509">
        <v>12533867</v>
      </c>
      <c r="I3509">
        <v>16996583</v>
      </c>
      <c r="J3509">
        <v>3</v>
      </c>
    </row>
    <row r="3510" spans="1:10" x14ac:dyDescent="0.25">
      <c r="A3510" t="s">
        <v>36</v>
      </c>
      <c r="B3510" s="1" t="str">
        <f>HYPERLINK("http://pcb.com","pcb.com")</f>
        <v>pcb.com</v>
      </c>
      <c r="C3510" t="s">
        <v>433</v>
      </c>
      <c r="E3510">
        <v>176843</v>
      </c>
      <c r="F3510">
        <v>1.4038372195510301E-7</v>
      </c>
      <c r="G3510">
        <v>277447</v>
      </c>
      <c r="H3510">
        <v>14711288</v>
      </c>
      <c r="I3510">
        <v>583138</v>
      </c>
      <c r="J3510">
        <v>3</v>
      </c>
    </row>
    <row r="3511" spans="1:10" x14ac:dyDescent="0.25">
      <c r="A3511" t="s">
        <v>36</v>
      </c>
      <c r="B3511" s="1" t="str">
        <f>HYPERLINK("http://prolabs.com","prolabs.com")</f>
        <v>prolabs.com</v>
      </c>
      <c r="C3511" t="s">
        <v>433</v>
      </c>
      <c r="F3511">
        <v>2.8023716637889698E-8</v>
      </c>
      <c r="G3511">
        <v>1835813</v>
      </c>
      <c r="H3511">
        <v>14092386</v>
      </c>
      <c r="I3511">
        <v>2739732</v>
      </c>
      <c r="J3511">
        <v>3</v>
      </c>
    </row>
    <row r="3512" spans="1:10" x14ac:dyDescent="0.25">
      <c r="A3512" t="s">
        <v>36</v>
      </c>
      <c r="B3512" s="1" t="str">
        <f>HYPERLINK("http://sefee.com","sefee.com")</f>
        <v>sefee.com</v>
      </c>
      <c r="C3512" t="s">
        <v>433</v>
      </c>
      <c r="F3512">
        <v>1.95006308720416E-8</v>
      </c>
      <c r="G3512">
        <v>2744300</v>
      </c>
      <c r="H3512">
        <v>14071894</v>
      </c>
      <c r="I3512">
        <v>3233498</v>
      </c>
      <c r="J3512">
        <v>3</v>
      </c>
    </row>
    <row r="3513" spans="1:10" x14ac:dyDescent="0.25">
      <c r="A3513" t="s">
        <v>36</v>
      </c>
      <c r="B3513" s="1" t="str">
        <f>HYPERLINK("http://solid-optics.com","solid-optics.com")</f>
        <v>solid-optics.com</v>
      </c>
      <c r="C3513" t="s">
        <v>433</v>
      </c>
      <c r="F3513">
        <v>2.44948612014538E-8</v>
      </c>
      <c r="G3513">
        <v>2115107</v>
      </c>
      <c r="H3513">
        <v>12790802</v>
      </c>
      <c r="I3513">
        <v>14684569</v>
      </c>
      <c r="J3513">
        <v>3</v>
      </c>
    </row>
    <row r="3514" spans="1:10" x14ac:dyDescent="0.25">
      <c r="A3514" t="s">
        <v>36</v>
      </c>
      <c r="B3514" s="1" t="str">
        <f>HYPERLINK("http://tecvox.com","tecvox.com")</f>
        <v>tecvox.com</v>
      </c>
      <c r="C3514" t="s">
        <v>433</v>
      </c>
      <c r="F3514">
        <v>1.6585741799783799E-8</v>
      </c>
      <c r="G3514">
        <v>3392806</v>
      </c>
      <c r="H3514">
        <v>12369337</v>
      </c>
      <c r="I3514">
        <v>19421377</v>
      </c>
      <c r="J3514">
        <v>4</v>
      </c>
    </row>
    <row r="3515" spans="1:10" x14ac:dyDescent="0.25">
      <c r="A3515" t="s">
        <v>36</v>
      </c>
      <c r="B3515" s="1" t="str">
        <f>HYPERLINK("http://telect.com","telect.com")</f>
        <v>telect.com</v>
      </c>
      <c r="C3515" t="s">
        <v>433</v>
      </c>
      <c r="F3515">
        <v>1.42936973963233E-8</v>
      </c>
      <c r="G3515">
        <v>4095537</v>
      </c>
      <c r="H3515">
        <v>13215506</v>
      </c>
      <c r="I3515">
        <v>11364644</v>
      </c>
      <c r="J3515">
        <v>3</v>
      </c>
    </row>
    <row r="3516" spans="1:10" x14ac:dyDescent="0.25">
      <c r="A3516" t="s">
        <v>36</v>
      </c>
      <c r="B3516" s="1" t="str">
        <f>HYPERLINK("http://timesfiber.com","timesfiber.com")</f>
        <v>timesfiber.com</v>
      </c>
      <c r="C3516" t="s">
        <v>433</v>
      </c>
      <c r="F3516">
        <v>8.9067916872697993E-9</v>
      </c>
      <c r="G3516">
        <v>8133656</v>
      </c>
      <c r="H3516">
        <v>12371894</v>
      </c>
      <c r="I3516">
        <v>19375648</v>
      </c>
      <c r="J3516">
        <v>3</v>
      </c>
    </row>
    <row r="3517" spans="1:10" x14ac:dyDescent="0.25">
      <c r="A3517" t="s">
        <v>36</v>
      </c>
      <c r="B3517" s="1" t="str">
        <f>HYPERLINK("http://tmantennas.com","tmantennas.com")</f>
        <v>tmantennas.com</v>
      </c>
      <c r="C3517" t="s">
        <v>433</v>
      </c>
      <c r="F3517">
        <v>5.6774425874686503E-9</v>
      </c>
      <c r="G3517">
        <v>19152996</v>
      </c>
      <c r="H3517">
        <v>10022830</v>
      </c>
      <c r="I3517">
        <v>60663832</v>
      </c>
      <c r="J3517">
        <v>3</v>
      </c>
    </row>
    <row r="3518" spans="1:10" x14ac:dyDescent="0.25">
      <c r="A3518" t="s">
        <v>36</v>
      </c>
      <c r="B3518" s="1" t="str">
        <f>HYPERLINK("http://tpil.com","tpil.com")</f>
        <v>tpil.com</v>
      </c>
      <c r="C3518" t="s">
        <v>433</v>
      </c>
      <c r="F3518">
        <v>1.6057001718542701E-8</v>
      </c>
      <c r="G3518">
        <v>3531567</v>
      </c>
      <c r="H3518">
        <v>11138193</v>
      </c>
      <c r="I3518">
        <v>31854670</v>
      </c>
      <c r="J3518">
        <v>3</v>
      </c>
    </row>
    <row r="3519" spans="1:10" x14ac:dyDescent="0.25">
      <c r="A3519" t="s">
        <v>36</v>
      </c>
      <c r="B3519" s="1" t="str">
        <f>HYPERLINK("http://wilcoxon.com","wilcoxon.com")</f>
        <v>wilcoxon.com</v>
      </c>
      <c r="C3519" t="s">
        <v>433</v>
      </c>
      <c r="F3519">
        <v>5.0159162876538101E-8</v>
      </c>
      <c r="G3519">
        <v>917596</v>
      </c>
      <c r="H3519">
        <v>14590541</v>
      </c>
      <c r="I3519">
        <v>695677</v>
      </c>
      <c r="J3519">
        <v>3</v>
      </c>
    </row>
    <row r="3520" spans="1:10" x14ac:dyDescent="0.25">
      <c r="A3520" t="s">
        <v>36</v>
      </c>
      <c r="B3520" s="1" t="str">
        <f>HYPERLINK("http://amphenol-airlb.de","amphenol-airlb.de")</f>
        <v>amphenol-airlb.de</v>
      </c>
      <c r="C3520" t="s">
        <v>436</v>
      </c>
      <c r="D3520" t="s">
        <v>815</v>
      </c>
      <c r="F3520">
        <v>2.7743435528216398E-8</v>
      </c>
      <c r="G3520">
        <v>1853488</v>
      </c>
      <c r="H3520">
        <v>13172000</v>
      </c>
      <c r="I3520">
        <v>11717747</v>
      </c>
      <c r="J3520">
        <v>3</v>
      </c>
    </row>
    <row r="3521" spans="1:10" x14ac:dyDescent="0.25">
      <c r="A3521" t="s">
        <v>36</v>
      </c>
      <c r="B3521" s="1" t="str">
        <f>HYPERLINK("http://bernd-richter-gmbh.de","bernd-richter-gmbh.de")</f>
        <v>bernd-richter-gmbh.de</v>
      </c>
      <c r="C3521" t="s">
        <v>436</v>
      </c>
      <c r="D3521" t="s">
        <v>815</v>
      </c>
      <c r="F3521">
        <v>5.4959218657642898E-9</v>
      </c>
      <c r="G3521">
        <v>20947029</v>
      </c>
      <c r="H3521">
        <v>9456555</v>
      </c>
      <c r="I3521">
        <v>66412963</v>
      </c>
      <c r="J3521">
        <v>4</v>
      </c>
    </row>
    <row r="3522" spans="1:10" x14ac:dyDescent="0.25">
      <c r="A3522" t="s">
        <v>36</v>
      </c>
      <c r="B3522" s="1" t="str">
        <f>HYPERLINK("http://casco-schoeller.de","casco-schoeller.de")</f>
        <v>casco-schoeller.de</v>
      </c>
      <c r="C3522" t="s">
        <v>436</v>
      </c>
      <c r="D3522" t="s">
        <v>815</v>
      </c>
      <c r="F3522">
        <v>4.56497013719348E-9</v>
      </c>
      <c r="G3522">
        <v>50681413</v>
      </c>
      <c r="H3522">
        <v>9715243</v>
      </c>
      <c r="I3522">
        <v>63222290</v>
      </c>
      <c r="J3522">
        <v>3</v>
      </c>
    </row>
    <row r="3523" spans="1:10" x14ac:dyDescent="0.25">
      <c r="A3523" t="s">
        <v>36</v>
      </c>
      <c r="B3523" s="1" t="str">
        <f>HYPERLINK("http://conec.de","conec.de")</f>
        <v>conec.de</v>
      </c>
      <c r="C3523" t="s">
        <v>436</v>
      </c>
      <c r="D3523" t="s">
        <v>815</v>
      </c>
      <c r="F3523">
        <v>4.9527781058302702E-9</v>
      </c>
      <c r="G3523">
        <v>30705913</v>
      </c>
      <c r="H3523">
        <v>10239877</v>
      </c>
      <c r="I3523">
        <v>58811187</v>
      </c>
      <c r="J3523">
        <v>3</v>
      </c>
    </row>
    <row r="3524" spans="1:10" x14ac:dyDescent="0.25">
      <c r="A3524" t="s">
        <v>36</v>
      </c>
      <c r="B3524" s="1" t="str">
        <f>HYPERLINK("http://deutgen-kt.de","deutgen-kt.de")</f>
        <v>deutgen-kt.de</v>
      </c>
      <c r="C3524" t="s">
        <v>436</v>
      </c>
      <c r="D3524" t="s">
        <v>815</v>
      </c>
      <c r="F3524">
        <v>1.6282455339874299E-8</v>
      </c>
      <c r="G3524">
        <v>3475009</v>
      </c>
      <c r="H3524">
        <v>11143104</v>
      </c>
      <c r="I3524">
        <v>31806857</v>
      </c>
      <c r="J3524">
        <v>3</v>
      </c>
    </row>
    <row r="3525" spans="1:10" x14ac:dyDescent="0.25">
      <c r="A3525" t="s">
        <v>36</v>
      </c>
      <c r="B3525" s="1" t="str">
        <f>HYPERLINK("http://ftg-germany.de","ftg-germany.de")</f>
        <v>ftg-germany.de</v>
      </c>
      <c r="C3525" t="s">
        <v>436</v>
      </c>
      <c r="D3525" t="s">
        <v>815</v>
      </c>
      <c r="F3525">
        <v>2.7378383981949101E-8</v>
      </c>
      <c r="G3525">
        <v>1877644</v>
      </c>
      <c r="H3525">
        <v>12313533</v>
      </c>
      <c r="I3525">
        <v>20546666</v>
      </c>
      <c r="J3525">
        <v>5</v>
      </c>
    </row>
    <row r="3526" spans="1:10" x14ac:dyDescent="0.25">
      <c r="A3526" t="s">
        <v>36</v>
      </c>
      <c r="B3526" s="1" t="str">
        <f>HYPERLINK("http://i2s-sensors.de","i2s-sensors.de")</f>
        <v>i2s-sensors.de</v>
      </c>
      <c r="C3526" t="s">
        <v>436</v>
      </c>
      <c r="D3526" t="s">
        <v>815</v>
      </c>
      <c r="F3526">
        <v>2.0703908660079E-8</v>
      </c>
      <c r="G3526">
        <v>2556260</v>
      </c>
      <c r="H3526">
        <v>12895408</v>
      </c>
      <c r="I3526">
        <v>13900266</v>
      </c>
      <c r="J3526">
        <v>3</v>
      </c>
    </row>
    <row r="3527" spans="1:10" x14ac:dyDescent="0.25">
      <c r="A3527" t="s">
        <v>36</v>
      </c>
      <c r="B3527" s="1" t="str">
        <f>HYPERLINK("http://ke-elektronik.de","ke-elektronik.de")</f>
        <v>ke-elektronik.de</v>
      </c>
      <c r="C3527" t="s">
        <v>436</v>
      </c>
      <c r="D3527" t="s">
        <v>815</v>
      </c>
      <c r="F3527">
        <v>2.8547718799758299E-8</v>
      </c>
      <c r="G3527">
        <v>1803139</v>
      </c>
      <c r="H3527">
        <v>13324457</v>
      </c>
      <c r="I3527">
        <v>10734719</v>
      </c>
      <c r="J3527">
        <v>6</v>
      </c>
    </row>
    <row r="3528" spans="1:10" x14ac:dyDescent="0.25">
      <c r="A3528" t="s">
        <v>36</v>
      </c>
      <c r="B3528" s="1" t="str">
        <f>HYPERLINK("http://konfektion-e.de","konfektion-e.de")</f>
        <v>konfektion-e.de</v>
      </c>
      <c r="C3528" t="s">
        <v>436</v>
      </c>
      <c r="D3528" t="s">
        <v>815</v>
      </c>
      <c r="J3528">
        <v>3</v>
      </c>
    </row>
    <row r="3529" spans="1:10" x14ac:dyDescent="0.25">
      <c r="A3529" t="s">
        <v>36</v>
      </c>
      <c r="B3529" s="1" t="str">
        <f>HYPERLINK("http://pcb-europe.de","pcb-europe.de")</f>
        <v>pcb-europe.de</v>
      </c>
      <c r="C3529" t="s">
        <v>436</v>
      </c>
      <c r="D3529" t="s">
        <v>815</v>
      </c>
      <c r="J3529">
        <v>3</v>
      </c>
    </row>
    <row r="3530" spans="1:10" x14ac:dyDescent="0.25">
      <c r="A3530" t="s">
        <v>36</v>
      </c>
      <c r="B3530" s="1" t="str">
        <f>HYPERLINK("http://procom-deutschland.de","procom-deutschland.de")</f>
        <v>procom-deutschland.de</v>
      </c>
      <c r="C3530" t="s">
        <v>436</v>
      </c>
      <c r="D3530" t="s">
        <v>815</v>
      </c>
      <c r="F3530">
        <v>9.3341246726631096E-9</v>
      </c>
      <c r="G3530">
        <v>7528987</v>
      </c>
      <c r="H3530">
        <v>12225461</v>
      </c>
      <c r="I3530">
        <v>22642921</v>
      </c>
      <c r="J3530">
        <v>3</v>
      </c>
    </row>
    <row r="3531" spans="1:10" x14ac:dyDescent="0.25">
      <c r="A3531" t="s">
        <v>36</v>
      </c>
      <c r="B3531" s="1" t="str">
        <f>HYPERLINK("http://sachsenkabel.de","sachsenkabel.de")</f>
        <v>sachsenkabel.de</v>
      </c>
      <c r="C3531" t="s">
        <v>436</v>
      </c>
      <c r="D3531" t="s">
        <v>815</v>
      </c>
      <c r="F3531">
        <v>3.6579467057876702E-8</v>
      </c>
      <c r="G3531">
        <v>1427856</v>
      </c>
      <c r="H3531">
        <v>13277149</v>
      </c>
      <c r="I3531">
        <v>10924536</v>
      </c>
      <c r="J3531">
        <v>3</v>
      </c>
    </row>
    <row r="3532" spans="1:10" x14ac:dyDescent="0.25">
      <c r="A3532" t="s">
        <v>36</v>
      </c>
      <c r="B3532" s="1" t="str">
        <f>HYPERLINK("http://synotech.de","synotech.de")</f>
        <v>synotech.de</v>
      </c>
      <c r="C3532" t="s">
        <v>436</v>
      </c>
      <c r="D3532" t="s">
        <v>815</v>
      </c>
      <c r="F3532">
        <v>1.8306574806550301E-8</v>
      </c>
      <c r="G3532">
        <v>2966149</v>
      </c>
      <c r="H3532">
        <v>14072052</v>
      </c>
      <c r="I3532">
        <v>3178162</v>
      </c>
      <c r="J3532">
        <v>3</v>
      </c>
    </row>
    <row r="3533" spans="1:10" x14ac:dyDescent="0.25">
      <c r="A3533" t="s">
        <v>36</v>
      </c>
      <c r="B3533" s="1" t="str">
        <f>HYPERLINK("http://amphenol-procom.fi","amphenol-procom.fi")</f>
        <v>amphenol-procom.fi</v>
      </c>
      <c r="C3533" t="s">
        <v>445</v>
      </c>
      <c r="D3533" t="s">
        <v>823</v>
      </c>
      <c r="J3533">
        <v>4</v>
      </c>
    </row>
    <row r="3534" spans="1:10" x14ac:dyDescent="0.25">
      <c r="A3534" t="s">
        <v>36</v>
      </c>
      <c r="B3534" s="1" t="str">
        <f>HYPERLINK("http://amphenolprocom.fi","amphenolprocom.fi")</f>
        <v>amphenolprocom.fi</v>
      </c>
      <c r="C3534" t="s">
        <v>445</v>
      </c>
      <c r="D3534" t="s">
        <v>823</v>
      </c>
      <c r="J3534">
        <v>4</v>
      </c>
    </row>
    <row r="3535" spans="1:10" x14ac:dyDescent="0.25">
      <c r="A3535" t="s">
        <v>36</v>
      </c>
      <c r="B3535" s="1" t="str">
        <f>HYPERLINK("http://sefee@sefee.fr","sefee@sefee.fr")</f>
        <v>sefee@sefee.fr</v>
      </c>
      <c r="C3535" t="s">
        <v>446</v>
      </c>
      <c r="D3535" t="s">
        <v>824</v>
      </c>
      <c r="J3535">
        <v>5</v>
      </c>
    </row>
    <row r="3536" spans="1:10" x14ac:dyDescent="0.25">
      <c r="A3536" t="s">
        <v>36</v>
      </c>
      <c r="B3536" s="1" t="str">
        <f>HYPERLINK("http://amphenol.com.hk","amphenol.com.hk")</f>
        <v>amphenol.com.hk</v>
      </c>
      <c r="C3536" t="s">
        <v>450</v>
      </c>
      <c r="D3536" t="s">
        <v>827</v>
      </c>
      <c r="F3536">
        <v>4.4438822844612803E-9</v>
      </c>
      <c r="G3536">
        <v>78039016</v>
      </c>
      <c r="H3536">
        <v>11869850</v>
      </c>
      <c r="I3536">
        <v>29765387</v>
      </c>
      <c r="J3536">
        <v>3</v>
      </c>
    </row>
    <row r="3537" spans="1:10" x14ac:dyDescent="0.25">
      <c r="A3537" t="s">
        <v>36</v>
      </c>
      <c r="B3537" s="1" t="str">
        <f>HYPERLINK("http://exathermometrics.co.in","exathermometrics.co.in")</f>
        <v>exathermometrics.co.in</v>
      </c>
      <c r="C3537" t="s">
        <v>457</v>
      </c>
      <c r="D3537" t="s">
        <v>834</v>
      </c>
      <c r="F3537">
        <v>1.65411622033612E-8</v>
      </c>
      <c r="G3537">
        <v>3403612</v>
      </c>
      <c r="H3537">
        <v>12772085</v>
      </c>
      <c r="I3537">
        <v>14826036</v>
      </c>
      <c r="J3537">
        <v>3</v>
      </c>
    </row>
    <row r="3538" spans="1:10" x14ac:dyDescent="0.25">
      <c r="A3538" t="s">
        <v>36</v>
      </c>
      <c r="B3538" s="1" t="str">
        <f>HYPERLINK("http://amphenol.co.jp","amphenol.co.jp")</f>
        <v>amphenol.co.jp</v>
      </c>
      <c r="C3538" t="s">
        <v>461</v>
      </c>
      <c r="D3538" t="s">
        <v>837</v>
      </c>
      <c r="F3538">
        <v>2.4851920294338802E-8</v>
      </c>
      <c r="G3538">
        <v>2080627</v>
      </c>
      <c r="H3538">
        <v>14077900</v>
      </c>
      <c r="I3538">
        <v>2856515</v>
      </c>
      <c r="J3538">
        <v>2</v>
      </c>
    </row>
    <row r="3539" spans="1:10" x14ac:dyDescent="0.25">
      <c r="A3539" t="s">
        <v>36</v>
      </c>
      <c r="B3539" s="1" t="str">
        <f>HYPERLINK("http://tcsj.co.jp","tcsj.co.jp")</f>
        <v>tcsj.co.jp</v>
      </c>
      <c r="C3539" t="s">
        <v>461</v>
      </c>
      <c r="D3539" t="s">
        <v>837</v>
      </c>
      <c r="F3539">
        <v>5.3369486789440301E-9</v>
      </c>
      <c r="G3539">
        <v>22974863</v>
      </c>
      <c r="H3539">
        <v>11869848</v>
      </c>
      <c r="I3539">
        <v>29787081</v>
      </c>
      <c r="J3539">
        <v>3</v>
      </c>
    </row>
    <row r="3540" spans="1:10" x14ac:dyDescent="0.25">
      <c r="A3540" t="s">
        <v>36</v>
      </c>
      <c r="B3540" s="1" t="str">
        <f>HYPERLINK("http://amphenol.co.kr","amphenol.co.kr")</f>
        <v>amphenol.co.kr</v>
      </c>
      <c r="C3540" t="s">
        <v>463</v>
      </c>
      <c r="D3540" t="s">
        <v>839</v>
      </c>
      <c r="F3540">
        <v>1.6177189339673901E-8</v>
      </c>
      <c r="G3540">
        <v>3501197</v>
      </c>
      <c r="H3540">
        <v>11225793</v>
      </c>
      <c r="I3540">
        <v>31053839</v>
      </c>
      <c r="J3540">
        <v>2</v>
      </c>
    </row>
    <row r="3541" spans="1:10" x14ac:dyDescent="0.25">
      <c r="A3541" t="s">
        <v>36</v>
      </c>
      <c r="B3541" s="1" t="str">
        <f>HYPERLINK("http://amphenol.com.mx","amphenol.com.mx")</f>
        <v>amphenol.com.mx</v>
      </c>
      <c r="C3541" t="s">
        <v>471</v>
      </c>
      <c r="D3541" t="s">
        <v>847</v>
      </c>
      <c r="J3541">
        <v>6</v>
      </c>
    </row>
    <row r="3542" spans="1:10" x14ac:dyDescent="0.25">
      <c r="A3542" t="s">
        <v>36</v>
      </c>
      <c r="B3542" s="1" t="str">
        <f>HYPERLINK("http://piher.net","piher.net")</f>
        <v>piher.net</v>
      </c>
      <c r="C3542" t="s">
        <v>474</v>
      </c>
      <c r="F3542">
        <v>4.4262244348988203E-8</v>
      </c>
      <c r="G3542">
        <v>1072804</v>
      </c>
      <c r="H3542">
        <v>13096126</v>
      </c>
      <c r="I3542">
        <v>12121205</v>
      </c>
      <c r="J3542">
        <v>3</v>
      </c>
    </row>
    <row r="3543" spans="1:10" x14ac:dyDescent="0.25">
      <c r="A3543" t="s">
        <v>36</v>
      </c>
      <c r="B3543" s="1" t="str">
        <f>HYPERLINK("http://cablescan.nl","cablescan.nl")</f>
        <v>cablescan.nl</v>
      </c>
      <c r="C3543" t="s">
        <v>477</v>
      </c>
      <c r="D3543" t="s">
        <v>852</v>
      </c>
      <c r="F3543">
        <v>5.6970643559350998E-9</v>
      </c>
      <c r="G3543">
        <v>18986685</v>
      </c>
      <c r="H3543">
        <v>11013607</v>
      </c>
      <c r="I3543">
        <v>33352388</v>
      </c>
      <c r="J3543">
        <v>4</v>
      </c>
    </row>
    <row r="3544" spans="1:10" x14ac:dyDescent="0.25">
      <c r="A3544" t="s">
        <v>36</v>
      </c>
      <c r="B3544" s="1" t="str">
        <f>HYPERLINK("http://el-cab.com.pl","el-cab.com.pl")</f>
        <v>el-cab.com.pl</v>
      </c>
      <c r="C3544" t="s">
        <v>486</v>
      </c>
      <c r="D3544" t="s">
        <v>860</v>
      </c>
      <c r="F3544">
        <v>2.59418134540197E-8</v>
      </c>
      <c r="G3544">
        <v>1986320</v>
      </c>
      <c r="H3544">
        <v>12523009</v>
      </c>
      <c r="I3544">
        <v>17119836</v>
      </c>
      <c r="J3544">
        <v>3</v>
      </c>
    </row>
    <row r="3545" spans="1:10" x14ac:dyDescent="0.25">
      <c r="A3545" t="s">
        <v>36</v>
      </c>
      <c r="B3545" s="1" t="str">
        <f>HYPERLINK("http://amphenol.se","amphenol.se")</f>
        <v>amphenol.se</v>
      </c>
      <c r="C3545" t="s">
        <v>495</v>
      </c>
      <c r="D3545" t="s">
        <v>869</v>
      </c>
      <c r="F3545">
        <v>4.4876637502584002E-9</v>
      </c>
      <c r="G3545">
        <v>60903768</v>
      </c>
      <c r="H3545">
        <v>10374110</v>
      </c>
      <c r="I3545">
        <v>54733740</v>
      </c>
      <c r="J3545">
        <v>3</v>
      </c>
    </row>
    <row r="3546" spans="1:10" x14ac:dyDescent="0.25">
      <c r="A3546" t="s">
        <v>36</v>
      </c>
      <c r="B3546" s="1" t="str">
        <f>HYPERLINK("http://anytek.com.tw","anytek.com.tw")</f>
        <v>anytek.com.tw</v>
      </c>
      <c r="C3546" t="s">
        <v>504</v>
      </c>
      <c r="D3546" t="s">
        <v>878</v>
      </c>
      <c r="F3546">
        <v>2.06422908654471E-8</v>
      </c>
      <c r="G3546">
        <v>2564796</v>
      </c>
      <c r="H3546">
        <v>12413254</v>
      </c>
      <c r="I3546">
        <v>18560971</v>
      </c>
      <c r="J3546">
        <v>3</v>
      </c>
    </row>
    <row r="3547" spans="1:10" x14ac:dyDescent="0.25">
      <c r="A3547" t="s">
        <v>36</v>
      </c>
      <c r="B3547" s="1" t="str">
        <f>HYPERLINK("http://amphenol.co.uk","amphenol.co.uk")</f>
        <v>amphenol.co.uk</v>
      </c>
      <c r="C3547" t="s">
        <v>506</v>
      </c>
      <c r="D3547" t="s">
        <v>880</v>
      </c>
      <c r="F3547">
        <v>2.9766094406199299E-8</v>
      </c>
      <c r="G3547">
        <v>1728975</v>
      </c>
      <c r="H3547">
        <v>14421944</v>
      </c>
      <c r="I3547">
        <v>1086130</v>
      </c>
      <c r="J3547">
        <v>2</v>
      </c>
    </row>
    <row r="3548" spans="1:10" x14ac:dyDescent="0.25">
      <c r="A3548" t="s">
        <v>36</v>
      </c>
      <c r="B3548" s="1" t="str">
        <f>HYPERLINK("http://cablescan.co.uk","cablescan.co.uk")</f>
        <v>cablescan.co.uk</v>
      </c>
      <c r="C3548" t="s">
        <v>506</v>
      </c>
      <c r="D3548" t="s">
        <v>880</v>
      </c>
      <c r="F3548">
        <v>1.8306889895341901E-8</v>
      </c>
      <c r="G3548">
        <v>2966076</v>
      </c>
      <c r="H3548">
        <v>11139262</v>
      </c>
      <c r="I3548">
        <v>31844374</v>
      </c>
      <c r="J3548">
        <v>3</v>
      </c>
    </row>
    <row r="3549" spans="1:10" x14ac:dyDescent="0.25">
      <c r="A3549" t="s">
        <v>36</v>
      </c>
      <c r="B3549" s="1" t="str">
        <f>HYPERLINK("http://ionix.co.uk","ionix.co.uk")</f>
        <v>ionix.co.uk</v>
      </c>
      <c r="C3549" t="s">
        <v>506</v>
      </c>
      <c r="D3549" t="s">
        <v>880</v>
      </c>
      <c r="J3549">
        <v>3</v>
      </c>
    </row>
    <row r="3550" spans="1:10" x14ac:dyDescent="0.25">
      <c r="A3550" t="s">
        <v>37</v>
      </c>
      <c r="B3550" s="1" t="str">
        <f>HYPERLINK("http://sensordynamics.cc","sensordynamics.cc")</f>
        <v>sensordynamics.cc</v>
      </c>
      <c r="C3550" t="s">
        <v>569</v>
      </c>
      <c r="D3550" t="s">
        <v>916</v>
      </c>
      <c r="F3550">
        <v>6.37463857288134E-9</v>
      </c>
      <c r="G3550">
        <v>14643013</v>
      </c>
      <c r="H3550">
        <v>12597148</v>
      </c>
      <c r="I3550">
        <v>16350568</v>
      </c>
      <c r="J3550">
        <v>7</v>
      </c>
    </row>
    <row r="3551" spans="1:10" x14ac:dyDescent="0.25">
      <c r="A3551" t="s">
        <v>37</v>
      </c>
      <c r="B3551" s="1" t="str">
        <f>HYPERLINK("http://analog.com","analog.com")</f>
        <v>analog.com</v>
      </c>
      <c r="C3551" t="s">
        <v>433</v>
      </c>
      <c r="E3551">
        <v>7266</v>
      </c>
      <c r="F3551">
        <v>3.3873719523106301E-6</v>
      </c>
      <c r="G3551">
        <v>11921</v>
      </c>
      <c r="H3551">
        <v>17531688</v>
      </c>
      <c r="I3551">
        <v>12007</v>
      </c>
      <c r="J3551">
        <v>1</v>
      </c>
    </row>
    <row r="3552" spans="1:10" x14ac:dyDescent="0.25">
      <c r="A3552" t="s">
        <v>37</v>
      </c>
      <c r="B3552" s="1" t="str">
        <f>HYPERLINK("http://bedrockautomation.com","bedrockautomation.com")</f>
        <v>bedrockautomation.com</v>
      </c>
      <c r="C3552" t="s">
        <v>433</v>
      </c>
      <c r="F3552">
        <v>6.3621955452903694E-8</v>
      </c>
      <c r="G3552">
        <v>682431</v>
      </c>
      <c r="H3552">
        <v>13774198</v>
      </c>
      <c r="I3552">
        <v>6612357</v>
      </c>
      <c r="J3552">
        <v>3</v>
      </c>
    </row>
    <row r="3553" spans="1:10" x14ac:dyDescent="0.25">
      <c r="A3553" t="s">
        <v>37</v>
      </c>
      <c r="B3553" s="1" t="str">
        <f>HYPERLINK("http://calvatec.com","calvatec.com")</f>
        <v>calvatec.com</v>
      </c>
      <c r="C3553" t="s">
        <v>433</v>
      </c>
      <c r="J3553">
        <v>3</v>
      </c>
    </row>
    <row r="3554" spans="1:10" x14ac:dyDescent="0.25">
      <c r="A3554" t="s">
        <v>37</v>
      </c>
      <c r="B3554" s="1" t="str">
        <f>HYPERLINK("http://icron.com","icron.com")</f>
        <v>icron.com</v>
      </c>
      <c r="C3554" t="s">
        <v>433</v>
      </c>
      <c r="F3554">
        <v>9.1208959626746495E-8</v>
      </c>
      <c r="G3554">
        <v>446944</v>
      </c>
      <c r="H3554">
        <v>16759395</v>
      </c>
      <c r="I3554">
        <v>230365</v>
      </c>
      <c r="J3554">
        <v>3</v>
      </c>
    </row>
    <row r="3555" spans="1:10" x14ac:dyDescent="0.25">
      <c r="A3555" t="s">
        <v>37</v>
      </c>
      <c r="B3555" s="1" t="str">
        <f>HYPERLINK("http://innovasic.com","innovasic.com")</f>
        <v>innovasic.com</v>
      </c>
      <c r="C3555" t="s">
        <v>433</v>
      </c>
      <c r="F3555">
        <v>2.03388549098298E-8</v>
      </c>
      <c r="G3555">
        <v>2608361</v>
      </c>
      <c r="H3555">
        <v>14077333</v>
      </c>
      <c r="I3555">
        <v>2868656</v>
      </c>
      <c r="J3555">
        <v>3</v>
      </c>
    </row>
    <row r="3556" spans="1:10" x14ac:dyDescent="0.25">
      <c r="A3556" t="s">
        <v>37</v>
      </c>
      <c r="B3556" s="1" t="str">
        <f>HYPERLINK("http://maxim-ic.com","maxim-ic.com")</f>
        <v>maxim-ic.com</v>
      </c>
      <c r="C3556" t="s">
        <v>433</v>
      </c>
      <c r="E3556">
        <v>51449</v>
      </c>
      <c r="F3556">
        <v>4.8787576451362996E-7</v>
      </c>
      <c r="G3556">
        <v>78116</v>
      </c>
      <c r="H3556">
        <v>17267704</v>
      </c>
      <c r="I3556">
        <v>31646</v>
      </c>
      <c r="J3556">
        <v>3</v>
      </c>
    </row>
    <row r="3557" spans="1:10" x14ac:dyDescent="0.25">
      <c r="A3557" t="s">
        <v>37</v>
      </c>
      <c r="B3557" s="1" t="str">
        <f>HYPERLINK("http://maximintegrated.com","maximintegrated.com")</f>
        <v>maximintegrated.com</v>
      </c>
      <c r="C3557" t="s">
        <v>433</v>
      </c>
      <c r="E3557">
        <v>29093</v>
      </c>
      <c r="F3557">
        <v>1.18313264867468E-6</v>
      </c>
      <c r="G3557">
        <v>32904</v>
      </c>
      <c r="H3557">
        <v>17508586</v>
      </c>
      <c r="I3557">
        <v>13299</v>
      </c>
      <c r="J3557">
        <v>3</v>
      </c>
    </row>
    <row r="3558" spans="1:10" x14ac:dyDescent="0.25">
      <c r="A3558" t="s">
        <v>37</v>
      </c>
      <c r="B3558" s="1" t="str">
        <f>HYPERLINK("http://mobilygen.com","mobilygen.com")</f>
        <v>mobilygen.com</v>
      </c>
      <c r="C3558" t="s">
        <v>433</v>
      </c>
      <c r="F3558">
        <v>6.8437380152438699E-9</v>
      </c>
      <c r="G3558">
        <v>12815648</v>
      </c>
      <c r="H3558">
        <v>13346614</v>
      </c>
      <c r="I3558">
        <v>10647210</v>
      </c>
      <c r="J3558">
        <v>3</v>
      </c>
    </row>
    <row r="3559" spans="1:10" x14ac:dyDescent="0.25">
      <c r="A3559" t="s">
        <v>37</v>
      </c>
      <c r="B3559" s="1" t="str">
        <f>HYPERLINK("http://onetreemicro.com","onetreemicro.com")</f>
        <v>onetreemicro.com</v>
      </c>
      <c r="C3559" t="s">
        <v>433</v>
      </c>
      <c r="F3559">
        <v>4.7710711124164199E-9</v>
      </c>
      <c r="G3559">
        <v>37332177</v>
      </c>
      <c r="H3559">
        <v>11394425</v>
      </c>
      <c r="I3559">
        <v>30240686</v>
      </c>
      <c r="J3559">
        <v>3</v>
      </c>
    </row>
    <row r="3560" spans="1:10" x14ac:dyDescent="0.25">
      <c r="A3560" t="s">
        <v>37</v>
      </c>
      <c r="B3560" s="1" t="str">
        <f>HYPERLINK("http://otosense.com","otosense.com")</f>
        <v>otosense.com</v>
      </c>
      <c r="C3560" t="s">
        <v>433</v>
      </c>
      <c r="F3560">
        <v>1.47223040254202E-8</v>
      </c>
      <c r="G3560">
        <v>3933239</v>
      </c>
      <c r="H3560">
        <v>14141777</v>
      </c>
      <c r="I3560">
        <v>1924655</v>
      </c>
      <c r="J3560">
        <v>3</v>
      </c>
    </row>
    <row r="3561" spans="1:10" x14ac:dyDescent="0.25">
      <c r="A3561" t="s">
        <v>37</v>
      </c>
      <c r="B3561" s="1" t="str">
        <f>HYPERLINK("http://tagarray.com","tagarray.com")</f>
        <v>tagarray.com</v>
      </c>
      <c r="C3561" t="s">
        <v>433</v>
      </c>
      <c r="F3561">
        <v>4.62746519401255E-9</v>
      </c>
      <c r="G3561">
        <v>45610095</v>
      </c>
      <c r="H3561">
        <v>12559546</v>
      </c>
      <c r="I3561">
        <v>16718420</v>
      </c>
      <c r="J3561">
        <v>3</v>
      </c>
    </row>
    <row r="3562" spans="1:10" x14ac:dyDescent="0.25">
      <c r="A3562" t="s">
        <v>37</v>
      </c>
      <c r="B3562" s="1" t="str">
        <f>HYPERLINK("http://testmotors.com","testmotors.com")</f>
        <v>testmotors.com</v>
      </c>
      <c r="C3562" t="s">
        <v>433</v>
      </c>
      <c r="F3562">
        <v>7.0738594868652603E-9</v>
      </c>
      <c r="G3562">
        <v>12088318</v>
      </c>
      <c r="H3562">
        <v>13766112</v>
      </c>
      <c r="I3562">
        <v>7037308</v>
      </c>
      <c r="J3562">
        <v>3</v>
      </c>
    </row>
    <row r="3563" spans="1:10" x14ac:dyDescent="0.25">
      <c r="A3563" t="s">
        <v>37</v>
      </c>
      <c r="B3563" s="1" t="str">
        <f>HYPERLINK("http://trinamic.com","trinamic.com")</f>
        <v>trinamic.com</v>
      </c>
      <c r="C3563" t="s">
        <v>433</v>
      </c>
      <c r="E3563">
        <v>429681</v>
      </c>
      <c r="F3563">
        <v>1.5564877004859601E-7</v>
      </c>
      <c r="G3563">
        <v>249490</v>
      </c>
      <c r="H3563">
        <v>14336965</v>
      </c>
      <c r="I3563">
        <v>1318683</v>
      </c>
      <c r="J3563">
        <v>3</v>
      </c>
    </row>
    <row r="3564" spans="1:10" x14ac:dyDescent="0.25">
      <c r="A3564" t="s">
        <v>37</v>
      </c>
      <c r="B3564" s="1" t="str">
        <f>HYPERLINK("http://linear-tech.co.jp","linear-tech.co.jp")</f>
        <v>linear-tech.co.jp</v>
      </c>
      <c r="C3564" t="s">
        <v>461</v>
      </c>
      <c r="D3564" t="s">
        <v>837</v>
      </c>
      <c r="F3564">
        <v>1.2780302831625399E-8</v>
      </c>
      <c r="G3564">
        <v>4739246</v>
      </c>
      <c r="H3564">
        <v>14519861</v>
      </c>
      <c r="I3564">
        <v>805930</v>
      </c>
      <c r="J3564">
        <v>3</v>
      </c>
    </row>
    <row r="3565" spans="1:10" x14ac:dyDescent="0.25">
      <c r="A3565" t="s">
        <v>38</v>
      </c>
      <c r="B3565" s="1" t="str">
        <f>HYPERLINK("http://angloamerican.com.au","angloamerican.com.au")</f>
        <v>angloamerican.com.au</v>
      </c>
      <c r="C3565" t="s">
        <v>420</v>
      </c>
      <c r="D3565" t="s">
        <v>802</v>
      </c>
      <c r="F3565">
        <v>1.1347011583918401E-8</v>
      </c>
      <c r="G3565">
        <v>5610287</v>
      </c>
      <c r="H3565">
        <v>13061810</v>
      </c>
      <c r="I3565">
        <v>12320868</v>
      </c>
      <c r="J3565">
        <v>3</v>
      </c>
    </row>
    <row r="3566" spans="1:10" x14ac:dyDescent="0.25">
      <c r="A3566" t="s">
        <v>38</v>
      </c>
      <c r="B3566" s="1" t="str">
        <f>HYPERLINK("http://debeers.ca","debeers.ca")</f>
        <v>debeers.ca</v>
      </c>
      <c r="C3566" t="s">
        <v>428</v>
      </c>
      <c r="D3566" t="s">
        <v>809</v>
      </c>
      <c r="F3566">
        <v>1.3996917121478901E-8</v>
      </c>
      <c r="G3566">
        <v>4203939</v>
      </c>
      <c r="H3566">
        <v>13407965</v>
      </c>
      <c r="I3566">
        <v>10345996</v>
      </c>
      <c r="J3566">
        <v>4</v>
      </c>
    </row>
    <row r="3567" spans="1:10" x14ac:dyDescent="0.25">
      <c r="A3567" t="s">
        <v>38</v>
      </c>
      <c r="B3567" s="1" t="str">
        <f>HYPERLINK("http://debeers.com.cn","debeers.com.cn")</f>
        <v>debeers.com.cn</v>
      </c>
      <c r="C3567" t="s">
        <v>431</v>
      </c>
      <c r="D3567" t="s">
        <v>812</v>
      </c>
      <c r="F3567">
        <v>1.47056430802889E-8</v>
      </c>
      <c r="G3567">
        <v>3939038</v>
      </c>
      <c r="H3567">
        <v>12973694</v>
      </c>
      <c r="I3567">
        <v>13024388</v>
      </c>
      <c r="J3567">
        <v>5</v>
      </c>
    </row>
    <row r="3568" spans="1:10" x14ac:dyDescent="0.25">
      <c r="A3568" t="s">
        <v>38</v>
      </c>
      <c r="B3568" s="1" t="str">
        <f>HYPERLINK("http://angloamerican.com","angloamerican.com")</f>
        <v>angloamerican.com</v>
      </c>
      <c r="C3568" t="s">
        <v>433</v>
      </c>
      <c r="E3568">
        <v>47781</v>
      </c>
      <c r="F3568">
        <v>5.7447428073139796E-7</v>
      </c>
      <c r="G3568">
        <v>66491</v>
      </c>
      <c r="H3568">
        <v>15129767</v>
      </c>
      <c r="I3568">
        <v>402432</v>
      </c>
      <c r="J3568">
        <v>1</v>
      </c>
    </row>
    <row r="3569" spans="1:10" x14ac:dyDescent="0.25">
      <c r="A3569" t="s">
        <v>38</v>
      </c>
      <c r="B3569" s="1" t="str">
        <f>HYPERLINK("http://angloamericanindia.com","angloamericanindia.com")</f>
        <v>angloamericanindia.com</v>
      </c>
      <c r="C3569" t="s">
        <v>433</v>
      </c>
      <c r="J3569">
        <v>3</v>
      </c>
    </row>
    <row r="3570" spans="1:10" x14ac:dyDescent="0.25">
      <c r="A3570" t="s">
        <v>38</v>
      </c>
      <c r="B3570" s="1" t="str">
        <f>HYPERLINK("http://angloamericankumba.com","angloamericankumba.com")</f>
        <v>angloamericankumba.com</v>
      </c>
      <c r="C3570" t="s">
        <v>433</v>
      </c>
      <c r="F3570">
        <v>1.8722748551909901E-8</v>
      </c>
      <c r="G3570">
        <v>2885268</v>
      </c>
      <c r="H3570">
        <v>14075503</v>
      </c>
      <c r="I3570">
        <v>2907443</v>
      </c>
      <c r="J3570">
        <v>3</v>
      </c>
    </row>
    <row r="3571" spans="1:10" x14ac:dyDescent="0.25">
      <c r="A3571" t="s">
        <v>38</v>
      </c>
      <c r="B3571" s="1" t="str">
        <f>HYPERLINK("http://angloamericanplatinum.com","angloamericanplatinum.com")</f>
        <v>angloamericanplatinum.com</v>
      </c>
      <c r="C3571" t="s">
        <v>433</v>
      </c>
      <c r="F3571">
        <v>4.5265851035880202E-8</v>
      </c>
      <c r="G3571">
        <v>1041483</v>
      </c>
      <c r="H3571">
        <v>13713324</v>
      </c>
      <c r="I3571">
        <v>9503614</v>
      </c>
      <c r="J3571">
        <v>3</v>
      </c>
    </row>
    <row r="3572" spans="1:10" x14ac:dyDescent="0.25">
      <c r="A3572" t="s">
        <v>38</v>
      </c>
      <c r="B3572" s="1" t="str">
        <f>HYPERLINK("http://angloplatinum.com","angloplatinum.com")</f>
        <v>angloplatinum.com</v>
      </c>
      <c r="C3572" t="s">
        <v>433</v>
      </c>
      <c r="F3572">
        <v>4.3980696631340002E-8</v>
      </c>
      <c r="G3572">
        <v>1082259</v>
      </c>
      <c r="H3572">
        <v>14457835</v>
      </c>
      <c r="I3572">
        <v>1048544</v>
      </c>
      <c r="J3572">
        <v>3</v>
      </c>
    </row>
    <row r="3573" spans="1:10" x14ac:dyDescent="0.25">
      <c r="A3573" t="s">
        <v>38</v>
      </c>
      <c r="B3573" s="1" t="str">
        <f>HYPERLINK("http://auspotash.com","auspotash.com")</f>
        <v>auspotash.com</v>
      </c>
      <c r="C3573" t="s">
        <v>433</v>
      </c>
      <c r="F3573">
        <v>4.4769961796591504E-9</v>
      </c>
      <c r="G3573">
        <v>62977906</v>
      </c>
      <c r="H3573">
        <v>10530743</v>
      </c>
      <c r="I3573">
        <v>48219342</v>
      </c>
      <c r="J3573">
        <v>3</v>
      </c>
    </row>
    <row r="3574" spans="1:10" x14ac:dyDescent="0.25">
      <c r="A3574" t="s">
        <v>38</v>
      </c>
      <c r="B3574" s="1" t="str">
        <f>HYPERLINK("http://debeers.com","debeers.com")</f>
        <v>debeers.com</v>
      </c>
      <c r="C3574" t="s">
        <v>433</v>
      </c>
      <c r="E3574">
        <v>129217</v>
      </c>
      <c r="F3574">
        <v>2.41214417388567E-7</v>
      </c>
      <c r="G3574">
        <v>155084</v>
      </c>
      <c r="H3574">
        <v>15191217</v>
      </c>
      <c r="I3574">
        <v>396337</v>
      </c>
      <c r="J3574">
        <v>4</v>
      </c>
    </row>
    <row r="3575" spans="1:10" x14ac:dyDescent="0.25">
      <c r="A3575" t="s">
        <v>38</v>
      </c>
      <c r="B3575" s="1" t="str">
        <f>HYPERLINK("http://debeersauctionsales.com","debeersauctionsales.com")</f>
        <v>debeersauctionsales.com</v>
      </c>
      <c r="C3575" t="s">
        <v>433</v>
      </c>
      <c r="F3575">
        <v>5.0016964939668001E-9</v>
      </c>
      <c r="G3575">
        <v>29370909</v>
      </c>
      <c r="H3575">
        <v>14071792</v>
      </c>
      <c r="I3575">
        <v>3383759</v>
      </c>
      <c r="J3575">
        <v>3</v>
      </c>
    </row>
    <row r="3576" spans="1:10" x14ac:dyDescent="0.25">
      <c r="A3576" t="s">
        <v>38</v>
      </c>
      <c r="B3576" s="1" t="str">
        <f>HYPERLINK("http://debeerscanada.com","debeerscanada.com")</f>
        <v>debeerscanada.com</v>
      </c>
      <c r="C3576" t="s">
        <v>433</v>
      </c>
      <c r="F3576">
        <v>1.4881590398552899E-8</v>
      </c>
      <c r="G3576">
        <v>3878806</v>
      </c>
      <c r="H3576">
        <v>14379316</v>
      </c>
      <c r="I3576">
        <v>1199668</v>
      </c>
      <c r="J3576">
        <v>5</v>
      </c>
    </row>
    <row r="3577" spans="1:10" x14ac:dyDescent="0.25">
      <c r="A3577" t="s">
        <v>38</v>
      </c>
      <c r="B3577" s="1" t="str">
        <f>HYPERLINK("http://debeersgroup.com","debeersgroup.com")</f>
        <v>debeersgroup.com</v>
      </c>
      <c r="C3577" t="s">
        <v>433</v>
      </c>
      <c r="E3577">
        <v>140444</v>
      </c>
      <c r="F3577">
        <v>6.7564781960980895E-7</v>
      </c>
      <c r="G3577">
        <v>57057</v>
      </c>
      <c r="H3577">
        <v>15243690</v>
      </c>
      <c r="I3577">
        <v>390956</v>
      </c>
      <c r="J3577">
        <v>3</v>
      </c>
    </row>
    <row r="3578" spans="1:10" x14ac:dyDescent="0.25">
      <c r="A3578" t="s">
        <v>38</v>
      </c>
      <c r="B3578" s="1" t="str">
        <f>HYPERLINK("http://debeerssightholder.com","debeerssightholder.com")</f>
        <v>debeerssightholder.com</v>
      </c>
      <c r="C3578" t="s">
        <v>433</v>
      </c>
      <c r="F3578">
        <v>6.0696095583948298E-9</v>
      </c>
      <c r="G3578">
        <v>16268098</v>
      </c>
      <c r="H3578">
        <v>14071866</v>
      </c>
      <c r="I3578">
        <v>3273495</v>
      </c>
      <c r="J3578">
        <v>2</v>
      </c>
    </row>
    <row r="3579" spans="1:10" x14ac:dyDescent="0.25">
      <c r="A3579" t="s">
        <v>38</v>
      </c>
      <c r="B3579" s="1" t="str">
        <f>HYPERLINK("http://debswana.com","debswana.com")</f>
        <v>debswana.com</v>
      </c>
      <c r="C3579" t="s">
        <v>433</v>
      </c>
      <c r="E3579">
        <v>746391</v>
      </c>
      <c r="F3579">
        <v>5.9646944839409704E-8</v>
      </c>
      <c r="G3579">
        <v>740839</v>
      </c>
      <c r="H3579">
        <v>15007932</v>
      </c>
      <c r="I3579">
        <v>423839</v>
      </c>
      <c r="J3579">
        <v>5</v>
      </c>
    </row>
    <row r="3580" spans="1:10" x14ac:dyDescent="0.25">
      <c r="A3580" t="s">
        <v>38</v>
      </c>
      <c r="B3580" s="1" t="str">
        <f>HYPERLINK("http://diamdel.com","diamdel.com")</f>
        <v>diamdel.com</v>
      </c>
      <c r="C3580" t="s">
        <v>433</v>
      </c>
      <c r="F3580">
        <v>5.0077318322712296E-9</v>
      </c>
      <c r="G3580">
        <v>29220953</v>
      </c>
      <c r="H3580">
        <v>14236064</v>
      </c>
      <c r="I3580">
        <v>1664769</v>
      </c>
      <c r="J3580">
        <v>3</v>
      </c>
    </row>
    <row r="3581" spans="1:10" x14ac:dyDescent="0.25">
      <c r="A3581" t="s">
        <v>38</v>
      </c>
      <c r="B3581" s="1" t="str">
        <f>HYPERLINK("http://e-six.com","e-six.com")</f>
        <v>e-six.com</v>
      </c>
      <c r="C3581" t="s">
        <v>433</v>
      </c>
      <c r="J3581">
        <v>2</v>
      </c>
    </row>
    <row r="3582" spans="1:10" x14ac:dyDescent="0.25">
      <c r="A3582" t="s">
        <v>38</v>
      </c>
      <c r="B3582" s="1" t="str">
        <f>HYPERLINK("http://e6.com","e6.com")</f>
        <v>e6.com</v>
      </c>
      <c r="C3582" t="s">
        <v>433</v>
      </c>
      <c r="F3582">
        <v>1.06290270588153E-7</v>
      </c>
      <c r="G3582">
        <v>376711</v>
      </c>
      <c r="H3582">
        <v>14953142</v>
      </c>
      <c r="I3582">
        <v>439488</v>
      </c>
      <c r="J3582">
        <v>2</v>
      </c>
    </row>
    <row r="3583" spans="1:10" x14ac:dyDescent="0.25">
      <c r="A3583" t="s">
        <v>38</v>
      </c>
      <c r="B3583" s="1" t="str">
        <f>HYPERLINK("http://iidgr.com","iidgr.com")</f>
        <v>iidgr.com</v>
      </c>
      <c r="C3583" t="s">
        <v>433</v>
      </c>
      <c r="F3583">
        <v>3.64323754964557E-8</v>
      </c>
      <c r="G3583">
        <v>1432815</v>
      </c>
      <c r="H3583">
        <v>13742297</v>
      </c>
      <c r="I3583">
        <v>9427354</v>
      </c>
      <c r="J3583">
        <v>3</v>
      </c>
    </row>
    <row r="3584" spans="1:10" x14ac:dyDescent="0.25">
      <c r="A3584" t="s">
        <v>38</v>
      </c>
      <c r="B3584" s="1" t="str">
        <f>HYPERLINK("http://siriusminerals.com","siriusminerals.com")</f>
        <v>siriusminerals.com</v>
      </c>
      <c r="C3584" t="s">
        <v>433</v>
      </c>
      <c r="F3584">
        <v>1.45854471742441E-8</v>
      </c>
      <c r="G3584">
        <v>3982243</v>
      </c>
      <c r="H3584">
        <v>13937704</v>
      </c>
      <c r="I3584">
        <v>4455787</v>
      </c>
      <c r="J3584">
        <v>3</v>
      </c>
    </row>
    <row r="3585" spans="1:10" x14ac:dyDescent="0.25">
      <c r="A3585" t="s">
        <v>38</v>
      </c>
      <c r="B3585" s="1" t="str">
        <f>HYPERLINK("http://angloamerican.fi","angloamerican.fi")</f>
        <v>angloamerican.fi</v>
      </c>
      <c r="C3585" t="s">
        <v>445</v>
      </c>
      <c r="D3585" t="s">
        <v>823</v>
      </c>
      <c r="J3585">
        <v>2</v>
      </c>
    </row>
    <row r="3586" spans="1:10" x14ac:dyDescent="0.25">
      <c r="A3586" t="s">
        <v>38</v>
      </c>
      <c r="B3586" s="1" t="str">
        <f>HYPERLINK("http://debeers.fi","debeers.fi")</f>
        <v>debeers.fi</v>
      </c>
      <c r="C3586" t="s">
        <v>445</v>
      </c>
      <c r="D3586" t="s">
        <v>823</v>
      </c>
      <c r="J3586">
        <v>2</v>
      </c>
    </row>
    <row r="3587" spans="1:10" x14ac:dyDescent="0.25">
      <c r="A3587" t="s">
        <v>38</v>
      </c>
      <c r="B3587" s="1" t="str">
        <f>HYPERLINK("http://nugen.fi","nugen.fi")</f>
        <v>nugen.fi</v>
      </c>
      <c r="C3587" t="s">
        <v>445</v>
      </c>
      <c r="D3587" t="s">
        <v>823</v>
      </c>
      <c r="J3587">
        <v>2</v>
      </c>
    </row>
    <row r="3588" spans="1:10" x14ac:dyDescent="0.25">
      <c r="A3588" t="s">
        <v>38</v>
      </c>
      <c r="B3588" s="1" t="str">
        <f>HYPERLINK("http://debeers.fr","debeers.fr")</f>
        <v>debeers.fr</v>
      </c>
      <c r="C3588" t="s">
        <v>446</v>
      </c>
      <c r="D3588" t="s">
        <v>824</v>
      </c>
      <c r="F3588">
        <v>1.6622014642338799E-8</v>
      </c>
      <c r="G3588">
        <v>3383579</v>
      </c>
      <c r="H3588">
        <v>14088230</v>
      </c>
      <c r="I3588">
        <v>2759693</v>
      </c>
      <c r="J3588">
        <v>4</v>
      </c>
    </row>
    <row r="3589" spans="1:10" x14ac:dyDescent="0.25">
      <c r="A3589" t="s">
        <v>38</v>
      </c>
      <c r="B3589" s="1" t="str">
        <f>HYPERLINK("http://debeers.hk","debeers.hk")</f>
        <v>debeers.hk</v>
      </c>
      <c r="C3589" t="s">
        <v>450</v>
      </c>
      <c r="D3589" t="s">
        <v>827</v>
      </c>
      <c r="F3589">
        <v>3.1402330325327903E-8</v>
      </c>
      <c r="G3589">
        <v>1642525</v>
      </c>
      <c r="H3589">
        <v>13857577</v>
      </c>
      <c r="I3589">
        <v>6030959</v>
      </c>
      <c r="J3589">
        <v>4</v>
      </c>
    </row>
    <row r="3590" spans="1:10" x14ac:dyDescent="0.25">
      <c r="A3590" t="s">
        <v>38</v>
      </c>
      <c r="B3590" s="1" t="str">
        <f>HYPERLINK("http://angloamerican.pe","angloamerican.pe")</f>
        <v>angloamerican.pe</v>
      </c>
      <c r="C3590" t="s">
        <v>483</v>
      </c>
      <c r="D3590" t="s">
        <v>857</v>
      </c>
      <c r="J3590">
        <v>2</v>
      </c>
    </row>
    <row r="3591" spans="1:10" x14ac:dyDescent="0.25">
      <c r="A3591" t="s">
        <v>38</v>
      </c>
      <c r="B3591" s="1" t="str">
        <f>HYPERLINK("http://debeers.tw","debeers.tw")</f>
        <v>debeers.tw</v>
      </c>
      <c r="C3591" t="s">
        <v>504</v>
      </c>
      <c r="D3591" t="s">
        <v>878</v>
      </c>
      <c r="F3591">
        <v>1.2376525674712601E-8</v>
      </c>
      <c r="G3591">
        <v>4952202</v>
      </c>
      <c r="H3591">
        <v>13567083</v>
      </c>
      <c r="I3591">
        <v>9747446</v>
      </c>
      <c r="J3591">
        <v>4</v>
      </c>
    </row>
    <row r="3592" spans="1:10" x14ac:dyDescent="0.25">
      <c r="A3592" t="s">
        <v>38</v>
      </c>
      <c r="B3592" s="1" t="str">
        <f>HYPERLINK("http://debeers.co.uk","debeers.co.uk")</f>
        <v>debeers.co.uk</v>
      </c>
      <c r="C3592" t="s">
        <v>506</v>
      </c>
      <c r="D3592" t="s">
        <v>880</v>
      </c>
      <c r="E3592">
        <v>567805</v>
      </c>
      <c r="F3592">
        <v>4.9183383628753699E-8</v>
      </c>
      <c r="G3592">
        <v>941315</v>
      </c>
      <c r="H3592">
        <v>14476878</v>
      </c>
      <c r="I3592">
        <v>1031012</v>
      </c>
      <c r="J3592">
        <v>3</v>
      </c>
    </row>
    <row r="3593" spans="1:10" x14ac:dyDescent="0.25">
      <c r="A3593" t="s">
        <v>38</v>
      </c>
      <c r="B3593" s="1" t="str">
        <f>HYPERLINK("http://yorkpotash.co.uk","yorkpotash.co.uk")</f>
        <v>yorkpotash.co.uk</v>
      </c>
      <c r="C3593" t="s">
        <v>506</v>
      </c>
      <c r="D3593" t="s">
        <v>880</v>
      </c>
      <c r="F3593">
        <v>7.0516095081236999E-9</v>
      </c>
      <c r="G3593">
        <v>12151060</v>
      </c>
      <c r="H3593">
        <v>13241088</v>
      </c>
      <c r="I3593">
        <v>11214194</v>
      </c>
      <c r="J3593">
        <v>4</v>
      </c>
    </row>
    <row r="3594" spans="1:10" x14ac:dyDescent="0.25">
      <c r="A3594" t="s">
        <v>38</v>
      </c>
      <c r="B3594" s="1" t="str">
        <f>HYPERLINK("http://kumba.co.za","kumba.co.za")</f>
        <v>kumba.co.za</v>
      </c>
      <c r="C3594" t="s">
        <v>510</v>
      </c>
      <c r="D3594" t="s">
        <v>884</v>
      </c>
      <c r="F3594">
        <v>5.4818737810162804E-9</v>
      </c>
      <c r="G3594">
        <v>21106851</v>
      </c>
      <c r="H3594">
        <v>12519610</v>
      </c>
      <c r="I3594">
        <v>17155618</v>
      </c>
      <c r="J3594">
        <v>4</v>
      </c>
    </row>
    <row r="3595" spans="1:10" x14ac:dyDescent="0.25">
      <c r="A3595" t="s">
        <v>1588</v>
      </c>
      <c r="B3595" s="1" t="str">
        <f>HYPERLINK("http://ab-inbev.be","ab-inbev.be")</f>
        <v>ab-inbev.be</v>
      </c>
      <c r="C3595" t="s">
        <v>421</v>
      </c>
      <c r="D3595" t="s">
        <v>803</v>
      </c>
      <c r="F3595">
        <v>6.3466716255832601E-8</v>
      </c>
      <c r="G3595">
        <v>684710</v>
      </c>
      <c r="H3595">
        <v>14535818</v>
      </c>
      <c r="I3595">
        <v>780384</v>
      </c>
      <c r="J3595">
        <v>4</v>
      </c>
    </row>
    <row r="3596" spans="1:10" x14ac:dyDescent="0.25">
      <c r="A3596" t="s">
        <v>1588</v>
      </c>
      <c r="B3596" s="1" t="str">
        <f>HYPERLINK("http://cbn.bo","cbn.bo")</f>
        <v>cbn.bo</v>
      </c>
      <c r="C3596" t="s">
        <v>424</v>
      </c>
      <c r="D3596" t="s">
        <v>805</v>
      </c>
      <c r="F3596">
        <v>5.5120679690659397E-8</v>
      </c>
      <c r="G3596">
        <v>815474</v>
      </c>
      <c r="H3596">
        <v>14239151</v>
      </c>
      <c r="I3596">
        <v>1516161</v>
      </c>
      <c r="J3596">
        <v>7</v>
      </c>
    </row>
    <row r="3597" spans="1:10" x14ac:dyDescent="0.25">
      <c r="A3597" t="s">
        <v>1588</v>
      </c>
      <c r="B3597" s="1" t="str">
        <f>HYPERLINK("http://cbn.com.bo","cbn.com.bo")</f>
        <v>cbn.com.bo</v>
      </c>
      <c r="C3597" t="s">
        <v>424</v>
      </c>
      <c r="D3597" t="s">
        <v>805</v>
      </c>
      <c r="F3597">
        <v>5.48622058691419E-9</v>
      </c>
      <c r="G3597">
        <v>21057879</v>
      </c>
      <c r="H3597">
        <v>14236067</v>
      </c>
      <c r="I3597">
        <v>1640702</v>
      </c>
      <c r="J3597">
        <v>5</v>
      </c>
    </row>
    <row r="3598" spans="1:10" x14ac:dyDescent="0.25">
      <c r="A3598" t="s">
        <v>1588</v>
      </c>
      <c r="B3598" s="1" t="str">
        <f>HYPERLINK("http://ambev.com.br","ambev.com.br")</f>
        <v>ambev.com.br</v>
      </c>
      <c r="C3598" t="s">
        <v>425</v>
      </c>
      <c r="D3598" t="s">
        <v>806</v>
      </c>
      <c r="E3598">
        <v>98158</v>
      </c>
      <c r="F3598">
        <v>1.9632788386064599E-7</v>
      </c>
      <c r="G3598">
        <v>196434</v>
      </c>
      <c r="H3598">
        <v>17079908</v>
      </c>
      <c r="I3598">
        <v>68367</v>
      </c>
      <c r="J3598">
        <v>3</v>
      </c>
    </row>
    <row r="3599" spans="1:10" x14ac:dyDescent="0.25">
      <c r="A3599" t="s">
        <v>1588</v>
      </c>
      <c r="B3599" s="1" t="str">
        <f>HYPERLINK("http://lizaradministradora.com.br","lizaradministradora.com.br")</f>
        <v>lizaradministradora.com.br</v>
      </c>
      <c r="C3599" t="s">
        <v>425</v>
      </c>
      <c r="D3599" t="s">
        <v>806</v>
      </c>
      <c r="J3599">
        <v>6</v>
      </c>
    </row>
    <row r="3600" spans="1:10" x14ac:dyDescent="0.25">
      <c r="A3600" t="s">
        <v>1588</v>
      </c>
      <c r="B3600" s="1" t="str">
        <f>HYPERLINK("http://visitasbeerlovers.com.br","visitasbeerlovers.com.br")</f>
        <v>visitasbeerlovers.com.br</v>
      </c>
      <c r="C3600" t="s">
        <v>425</v>
      </c>
      <c r="D3600" t="s">
        <v>806</v>
      </c>
      <c r="F3600">
        <v>4.44383963343863E-9</v>
      </c>
      <c r="G3600">
        <v>78793141</v>
      </c>
      <c r="H3600">
        <v>10482905</v>
      </c>
      <c r="I3600">
        <v>50927451</v>
      </c>
      <c r="J3600">
        <v>5</v>
      </c>
    </row>
    <row r="3601" spans="1:10" x14ac:dyDescent="0.25">
      <c r="A3601" t="s">
        <v>1588</v>
      </c>
      <c r="B3601" s="1" t="str">
        <f>HYPERLINK("http://keiths.ca","keiths.ca")</f>
        <v>keiths.ca</v>
      </c>
      <c r="C3601" t="s">
        <v>428</v>
      </c>
      <c r="D3601" t="s">
        <v>809</v>
      </c>
      <c r="F3601">
        <v>2.0752346130804999E-8</v>
      </c>
      <c r="G3601">
        <v>2549530</v>
      </c>
      <c r="H3601">
        <v>14539383</v>
      </c>
      <c r="I3601">
        <v>776461</v>
      </c>
      <c r="J3601">
        <v>5</v>
      </c>
    </row>
    <row r="3602" spans="1:10" x14ac:dyDescent="0.25">
      <c r="A3602" t="s">
        <v>1588</v>
      </c>
      <c r="B3602" s="1" t="str">
        <f>HYPERLINK("http://labatt.ca","labatt.ca")</f>
        <v>labatt.ca</v>
      </c>
      <c r="C3602" t="s">
        <v>428</v>
      </c>
      <c r="D3602" t="s">
        <v>809</v>
      </c>
      <c r="F3602">
        <v>5.4687202994791502E-9</v>
      </c>
      <c r="G3602">
        <v>21259321</v>
      </c>
      <c r="H3602">
        <v>14376436</v>
      </c>
      <c r="I3602">
        <v>1217133</v>
      </c>
      <c r="J3602">
        <v>5</v>
      </c>
    </row>
    <row r="3603" spans="1:10" x14ac:dyDescent="0.25">
      <c r="A3603" t="s">
        <v>1588</v>
      </c>
      <c r="B3603" s="1" t="str">
        <f>HYPERLINK("http://bavaria.co","bavaria.co")</f>
        <v>bavaria.co</v>
      </c>
      <c r="C3603" t="s">
        <v>432</v>
      </c>
      <c r="E3603">
        <v>865795</v>
      </c>
      <c r="F3603">
        <v>1.5710489925022601E-7</v>
      </c>
      <c r="G3603">
        <v>247186</v>
      </c>
      <c r="H3603">
        <v>14126846</v>
      </c>
      <c r="I3603">
        <v>2092972</v>
      </c>
      <c r="J3603">
        <v>5</v>
      </c>
    </row>
    <row r="3604" spans="1:10" x14ac:dyDescent="0.25">
      <c r="A3604" t="s">
        <v>1588</v>
      </c>
      <c r="B3604" s="1" t="str">
        <f>HYPERLINK("http://platformbeer.co","platformbeer.co")</f>
        <v>platformbeer.co</v>
      </c>
      <c r="C3604" t="s">
        <v>432</v>
      </c>
      <c r="F3604">
        <v>4.7490577928565102E-8</v>
      </c>
      <c r="G3604">
        <v>980774</v>
      </c>
      <c r="H3604">
        <v>14176172</v>
      </c>
      <c r="I3604">
        <v>1789408</v>
      </c>
      <c r="J3604">
        <v>5</v>
      </c>
    </row>
    <row r="3605" spans="1:10" x14ac:dyDescent="0.25">
      <c r="A3605" t="s">
        <v>1588</v>
      </c>
      <c r="B3605" s="1" t="str">
        <f>HYPERLINK("http://ab-inbev.com","ab-inbev.com")</f>
        <v>ab-inbev.com</v>
      </c>
      <c r="C3605" t="s">
        <v>433</v>
      </c>
      <c r="E3605">
        <v>32445</v>
      </c>
      <c r="F3605">
        <v>1.77114196465075E-6</v>
      </c>
      <c r="G3605">
        <v>22536</v>
      </c>
      <c r="H3605">
        <v>17528430</v>
      </c>
      <c r="I3605">
        <v>12142</v>
      </c>
      <c r="J3605">
        <v>3</v>
      </c>
    </row>
    <row r="3606" spans="1:10" x14ac:dyDescent="0.25">
      <c r="A3606" t="s">
        <v>1588</v>
      </c>
      <c r="B3606" s="1" t="str">
        <f>HYPERLINK("http://anheuser-busch.com","anheuser-busch.com")</f>
        <v>anheuser-busch.com</v>
      </c>
      <c r="C3606" t="s">
        <v>433</v>
      </c>
      <c r="E3606">
        <v>32334</v>
      </c>
      <c r="F3606">
        <v>1.47748528225551E-6</v>
      </c>
      <c r="G3606">
        <v>26547</v>
      </c>
      <c r="H3606">
        <v>17413768</v>
      </c>
      <c r="I3606">
        <v>18260</v>
      </c>
      <c r="J3606">
        <v>5</v>
      </c>
    </row>
    <row r="3607" spans="1:10" x14ac:dyDescent="0.25">
      <c r="A3607" t="s">
        <v>1588</v>
      </c>
      <c r="B3607" s="1" t="str">
        <f>HYPERLINK("http://atomdrinksgroup.com","atomdrinksgroup.com")</f>
        <v>atomdrinksgroup.com</v>
      </c>
      <c r="C3607" t="s">
        <v>433</v>
      </c>
      <c r="F3607">
        <v>9.5141687575616203E-9</v>
      </c>
      <c r="G3607">
        <v>7305673</v>
      </c>
      <c r="H3607">
        <v>12800999</v>
      </c>
      <c r="I3607">
        <v>14634064</v>
      </c>
      <c r="J3607">
        <v>7</v>
      </c>
    </row>
    <row r="3608" spans="1:10" x14ac:dyDescent="0.25">
      <c r="A3608" t="s">
        <v>1588</v>
      </c>
      <c r="B3608" s="1" t="str">
        <f>HYPERLINK("http://bees.com","bees.com")</f>
        <v>bees.com</v>
      </c>
      <c r="C3608" t="s">
        <v>433</v>
      </c>
      <c r="F3608">
        <v>3.3622417955748897E-8</v>
      </c>
      <c r="G3608">
        <v>1538185</v>
      </c>
      <c r="H3608">
        <v>13531971</v>
      </c>
      <c r="I3608">
        <v>9916699</v>
      </c>
      <c r="J3608">
        <v>5</v>
      </c>
    </row>
    <row r="3609" spans="1:10" x14ac:dyDescent="0.25">
      <c r="A3609" t="s">
        <v>1588</v>
      </c>
      <c r="B3609" s="1" t="str">
        <f>HYPERLINK("http://bluepointbrewing.com","bluepointbrewing.com")</f>
        <v>bluepointbrewing.com</v>
      </c>
      <c r="C3609" t="s">
        <v>433</v>
      </c>
      <c r="E3609">
        <v>674830</v>
      </c>
      <c r="F3609">
        <v>1.03025129621451E-7</v>
      </c>
      <c r="G3609">
        <v>389576</v>
      </c>
      <c r="H3609">
        <v>14330763</v>
      </c>
      <c r="I3609">
        <v>1322878</v>
      </c>
      <c r="J3609">
        <v>5</v>
      </c>
    </row>
    <row r="3610" spans="1:10" x14ac:dyDescent="0.25">
      <c r="A3610" t="s">
        <v>1588</v>
      </c>
      <c r="B3610" s="1" t="str">
        <f>HYPERLINK("http://breckbrew.com","breckbrew.com")</f>
        <v>breckbrew.com</v>
      </c>
      <c r="C3610" t="s">
        <v>433</v>
      </c>
      <c r="E3610">
        <v>274192</v>
      </c>
      <c r="F3610">
        <v>1.83967141300092E-7</v>
      </c>
      <c r="G3610">
        <v>209614</v>
      </c>
      <c r="H3610">
        <v>14467639</v>
      </c>
      <c r="I3610">
        <v>1043654</v>
      </c>
      <c r="J3610">
        <v>5</v>
      </c>
    </row>
    <row r="3611" spans="1:10" x14ac:dyDescent="0.25">
      <c r="A3611" t="s">
        <v>1588</v>
      </c>
      <c r="B3611" s="1" t="str">
        <f>HYPERLINK("http://budweiserapac.com","budweiserapac.com")</f>
        <v>budweiserapac.com</v>
      </c>
      <c r="C3611" t="s">
        <v>433</v>
      </c>
      <c r="F3611">
        <v>3.0764357994089502E-8</v>
      </c>
      <c r="G3611">
        <v>1674384</v>
      </c>
      <c r="H3611">
        <v>13672598</v>
      </c>
      <c r="I3611">
        <v>9544242</v>
      </c>
      <c r="J3611">
        <v>6</v>
      </c>
    </row>
    <row r="3612" spans="1:10" x14ac:dyDescent="0.25">
      <c r="A3612" t="s">
        <v>1588</v>
      </c>
      <c r="B3612" s="1" t="str">
        <f>HYPERLINK("http://buschjobs.com","buschjobs.com")</f>
        <v>buschjobs.com</v>
      </c>
      <c r="C3612" t="s">
        <v>433</v>
      </c>
      <c r="F3612">
        <v>6.8980658979119698E-9</v>
      </c>
      <c r="G3612">
        <v>12640709</v>
      </c>
      <c r="H3612">
        <v>13782117</v>
      </c>
      <c r="I3612">
        <v>6448536</v>
      </c>
      <c r="J3612">
        <v>8</v>
      </c>
    </row>
    <row r="3613" spans="1:10" x14ac:dyDescent="0.25">
      <c r="A3613" t="s">
        <v>1588</v>
      </c>
      <c r="B3613" s="1" t="str">
        <f>HYPERLINK("http://camdentownbrewery.com","camdentownbrewery.com")</f>
        <v>camdentownbrewery.com</v>
      </c>
      <c r="C3613" t="s">
        <v>433</v>
      </c>
      <c r="E3613">
        <v>619600</v>
      </c>
      <c r="F3613">
        <v>1.2693284657914E-7</v>
      </c>
      <c r="G3613">
        <v>310678</v>
      </c>
      <c r="H3613">
        <v>14303276</v>
      </c>
      <c r="I3613">
        <v>1353614</v>
      </c>
      <c r="J3613">
        <v>7</v>
      </c>
    </row>
    <row r="3614" spans="1:10" x14ac:dyDescent="0.25">
      <c r="A3614" t="s">
        <v>1588</v>
      </c>
      <c r="B3614" s="1" t="str">
        <f>HYPERLINK("http://cerveceriabucanero.com","cerveceriabucanero.com")</f>
        <v>cerveceriabucanero.com</v>
      </c>
      <c r="C3614" t="s">
        <v>433</v>
      </c>
      <c r="F3614">
        <v>6.6829318908510499E-9</v>
      </c>
      <c r="G3614">
        <v>13363572</v>
      </c>
      <c r="H3614">
        <v>14119779</v>
      </c>
      <c r="I3614">
        <v>2454695</v>
      </c>
      <c r="J3614">
        <v>5</v>
      </c>
    </row>
    <row r="3615" spans="1:10" x14ac:dyDescent="0.25">
      <c r="A3615" t="s">
        <v>1588</v>
      </c>
      <c r="B3615" s="1" t="str">
        <f>HYPERLINK("http://cerveceriamodelotr.com","cerveceriamodelotr.com")</f>
        <v>cerveceriamodelotr.com</v>
      </c>
      <c r="C3615" t="s">
        <v>433</v>
      </c>
      <c r="J3615">
        <v>9</v>
      </c>
    </row>
    <row r="3616" spans="1:10" x14ac:dyDescent="0.25">
      <c r="A3616" t="s">
        <v>1588</v>
      </c>
      <c r="B3616" s="1" t="str">
        <f>HYPERLINK("http://cerveceriaymalteriaquilmes.com","cerveceriaymalteriaquilmes.com")</f>
        <v>cerveceriaymalteriaquilmes.com</v>
      </c>
      <c r="C3616" t="s">
        <v>433</v>
      </c>
      <c r="F3616">
        <v>7.0402022750113304E-8</v>
      </c>
      <c r="G3616">
        <v>601490</v>
      </c>
      <c r="H3616">
        <v>14521270</v>
      </c>
      <c r="I3616">
        <v>802978</v>
      </c>
      <c r="J3616">
        <v>5</v>
      </c>
    </row>
    <row r="3617" spans="1:10" x14ac:dyDescent="0.25">
      <c r="A3617" t="s">
        <v>1588</v>
      </c>
      <c r="B3617" s="1" t="str">
        <f>HYPERLINK("http://craftbrew.com","craftbrew.com")</f>
        <v>craftbrew.com</v>
      </c>
      <c r="C3617" t="s">
        <v>433</v>
      </c>
      <c r="F3617">
        <v>5.7045792632741003E-8</v>
      </c>
      <c r="G3617">
        <v>782645</v>
      </c>
      <c r="H3617">
        <v>14162353</v>
      </c>
      <c r="I3617">
        <v>1832883</v>
      </c>
      <c r="J3617">
        <v>7</v>
      </c>
    </row>
    <row r="3618" spans="1:10" x14ac:dyDescent="0.25">
      <c r="A3618" t="s">
        <v>1588</v>
      </c>
      <c r="B3618" s="1" t="str">
        <f>HYPERLINK("http://fourpeaks.com","fourpeaks.com")</f>
        <v>fourpeaks.com</v>
      </c>
      <c r="C3618" t="s">
        <v>433</v>
      </c>
      <c r="E3618">
        <v>330454</v>
      </c>
      <c r="F3618">
        <v>1.00415274901165E-7</v>
      </c>
      <c r="G3618">
        <v>400510</v>
      </c>
      <c r="H3618">
        <v>14498713</v>
      </c>
      <c r="I3618">
        <v>860306</v>
      </c>
      <c r="J3618">
        <v>5</v>
      </c>
    </row>
    <row r="3619" spans="1:10" x14ac:dyDescent="0.25">
      <c r="A3619" t="s">
        <v>1588</v>
      </c>
      <c r="B3619" s="1" t="str">
        <f>HYPERLINK("http://gilde-brauerei.com","gilde-brauerei.com")</f>
        <v>gilde-brauerei.com</v>
      </c>
      <c r="C3619" t="s">
        <v>433</v>
      </c>
      <c r="F3619">
        <v>2.47361784104122E-8</v>
      </c>
      <c r="G3619">
        <v>2091133</v>
      </c>
      <c r="H3619">
        <v>13514939</v>
      </c>
      <c r="I3619">
        <v>9944630</v>
      </c>
      <c r="J3619">
        <v>6</v>
      </c>
    </row>
    <row r="3620" spans="1:10" x14ac:dyDescent="0.25">
      <c r="A3620" t="s">
        <v>1588</v>
      </c>
      <c r="B3620" s="1" t="str">
        <f>HYPERLINK("http://gooseisland.com","gooseisland.com")</f>
        <v>gooseisland.com</v>
      </c>
      <c r="C3620" t="s">
        <v>433</v>
      </c>
      <c r="E3620">
        <v>142369</v>
      </c>
      <c r="F3620">
        <v>3.1412235984981698E-7</v>
      </c>
      <c r="G3620">
        <v>118347</v>
      </c>
      <c r="H3620">
        <v>14871029</v>
      </c>
      <c r="I3620">
        <v>478347</v>
      </c>
      <c r="J3620">
        <v>5</v>
      </c>
    </row>
    <row r="3621" spans="1:10" x14ac:dyDescent="0.25">
      <c r="A3621" t="s">
        <v>1588</v>
      </c>
      <c r="B3621" s="1" t="str">
        <f>HYPERLINK("http://grupomodelo.com","grupomodelo.com")</f>
        <v>grupomodelo.com</v>
      </c>
      <c r="C3621" t="s">
        <v>433</v>
      </c>
      <c r="E3621">
        <v>546588</v>
      </c>
      <c r="F3621">
        <v>1.1945999322524601E-7</v>
      </c>
      <c r="G3621">
        <v>331092</v>
      </c>
      <c r="H3621">
        <v>14077681</v>
      </c>
      <c r="I3621">
        <v>2860637</v>
      </c>
      <c r="J3621">
        <v>7</v>
      </c>
    </row>
    <row r="3622" spans="1:10" x14ac:dyDescent="0.25">
      <c r="A3622" t="s">
        <v>1588</v>
      </c>
      <c r="B3622" s="1" t="str">
        <f>HYPERLINK("http://hiball.com","hiball.com")</f>
        <v>hiball.com</v>
      </c>
      <c r="C3622" t="s">
        <v>433</v>
      </c>
      <c r="F3622">
        <v>1.8214557929763501E-8</v>
      </c>
      <c r="G3622">
        <v>2984067</v>
      </c>
      <c r="H3622">
        <v>13337449</v>
      </c>
      <c r="I3622">
        <v>10679274</v>
      </c>
      <c r="J3622">
        <v>5</v>
      </c>
    </row>
    <row r="3623" spans="1:10" x14ac:dyDescent="0.25">
      <c r="A3623" t="s">
        <v>1588</v>
      </c>
      <c r="B3623" s="1" t="str">
        <f>HYPERLINK("http://hiballer.com","hiballer.com")</f>
        <v>hiballer.com</v>
      </c>
      <c r="C3623" t="s">
        <v>433</v>
      </c>
      <c r="F3623">
        <v>1.6822391736410801E-8</v>
      </c>
      <c r="G3623">
        <v>3327899</v>
      </c>
      <c r="H3623">
        <v>14197742</v>
      </c>
      <c r="I3623">
        <v>1730499</v>
      </c>
      <c r="J3623">
        <v>7</v>
      </c>
    </row>
    <row r="3624" spans="1:10" x14ac:dyDescent="0.25">
      <c r="A3624" t="s">
        <v>1588</v>
      </c>
      <c r="B3624" s="1" t="str">
        <f>HYPERLINK("http://hoegaarden.com","hoegaarden.com")</f>
        <v>hoegaarden.com</v>
      </c>
      <c r="C3624" t="s">
        <v>433</v>
      </c>
      <c r="E3624">
        <v>723671</v>
      </c>
      <c r="F3624">
        <v>5.8563969877619202E-8</v>
      </c>
      <c r="G3624">
        <v>758246</v>
      </c>
      <c r="H3624">
        <v>14513386</v>
      </c>
      <c r="I3624">
        <v>817302</v>
      </c>
      <c r="J3624">
        <v>5</v>
      </c>
    </row>
    <row r="3625" spans="1:10" x14ac:dyDescent="0.25">
      <c r="A3625" t="s">
        <v>1588</v>
      </c>
      <c r="B3625" s="1" t="str">
        <f>HYPERLINK("http://millstreetbrewery.com","millstreetbrewery.com")</f>
        <v>millstreetbrewery.com</v>
      </c>
      <c r="C3625" t="s">
        <v>433</v>
      </c>
      <c r="E3625">
        <v>696545</v>
      </c>
      <c r="F3625">
        <v>1.04158359649598E-7</v>
      </c>
      <c r="G3625">
        <v>384961</v>
      </c>
      <c r="H3625">
        <v>14242434</v>
      </c>
      <c r="I3625">
        <v>1484233</v>
      </c>
      <c r="J3625">
        <v>6</v>
      </c>
    </row>
    <row r="3626" spans="1:10" x14ac:dyDescent="0.25">
      <c r="A3626" t="s">
        <v>1588</v>
      </c>
      <c r="B3626" s="1" t="str">
        <f>HYPERLINK("http://modelousa.com","modelousa.com")</f>
        <v>modelousa.com</v>
      </c>
      <c r="C3626" t="s">
        <v>433</v>
      </c>
      <c r="E3626">
        <v>219085</v>
      </c>
      <c r="F3626">
        <v>1.1925497634062499E-7</v>
      </c>
      <c r="G3626">
        <v>331702</v>
      </c>
      <c r="H3626">
        <v>14220639</v>
      </c>
      <c r="I3626">
        <v>1685938</v>
      </c>
      <c r="J3626">
        <v>10</v>
      </c>
    </row>
    <row r="3627" spans="1:10" x14ac:dyDescent="0.25">
      <c r="A3627" t="s">
        <v>1588</v>
      </c>
      <c r="B3627" s="1" t="str">
        <f>HYPERLINK("http://ratebeer.com","ratebeer.com")</f>
        <v>ratebeer.com</v>
      </c>
      <c r="C3627" t="s">
        <v>433</v>
      </c>
      <c r="E3627">
        <v>33461</v>
      </c>
      <c r="F3627">
        <v>7.7512335705497405E-7</v>
      </c>
      <c r="G3627">
        <v>50522</v>
      </c>
      <c r="H3627">
        <v>17397356</v>
      </c>
      <c r="I3627">
        <v>19350</v>
      </c>
      <c r="J3627">
        <v>6</v>
      </c>
    </row>
    <row r="3628" spans="1:10" x14ac:dyDescent="0.25">
      <c r="A3628" t="s">
        <v>1588</v>
      </c>
      <c r="B3628" s="1" t="str">
        <f>HYPERLINK("http://sternbeverage.com","sternbeverage.com")</f>
        <v>sternbeverage.com</v>
      </c>
      <c r="C3628" t="s">
        <v>433</v>
      </c>
      <c r="F3628">
        <v>4.4984715240207904E-9</v>
      </c>
      <c r="G3628">
        <v>59168543</v>
      </c>
      <c r="H3628">
        <v>10721241</v>
      </c>
      <c r="I3628">
        <v>41772500</v>
      </c>
      <c r="J3628">
        <v>7</v>
      </c>
    </row>
    <row r="3629" spans="1:10" x14ac:dyDescent="0.25">
      <c r="A3629" t="s">
        <v>1588</v>
      </c>
      <c r="B3629" s="1" t="str">
        <f>HYPERLINK("http://tcb-beverages.com","tcb-beverages.com")</f>
        <v>tcb-beverages.com</v>
      </c>
      <c r="C3629" t="s">
        <v>433</v>
      </c>
      <c r="F3629">
        <v>8.2090574862361507E-9</v>
      </c>
      <c r="G3629">
        <v>9555600</v>
      </c>
      <c r="H3629">
        <v>14072556</v>
      </c>
      <c r="I3629">
        <v>3074269</v>
      </c>
      <c r="J3629">
        <v>7</v>
      </c>
    </row>
    <row r="3630" spans="1:10" x14ac:dyDescent="0.25">
      <c r="A3630" t="s">
        <v>1588</v>
      </c>
      <c r="B3630" s="1" t="str">
        <f>HYPERLINK("http://thetailguide.com","thetailguide.com")</f>
        <v>thetailguide.com</v>
      </c>
      <c r="C3630" t="s">
        <v>433</v>
      </c>
      <c r="F3630">
        <v>4.57535647078956E-9</v>
      </c>
      <c r="G3630">
        <v>49697351</v>
      </c>
      <c r="H3630">
        <v>10950582</v>
      </c>
      <c r="I3630">
        <v>34570985</v>
      </c>
      <c r="J3630">
        <v>8</v>
      </c>
    </row>
    <row r="3631" spans="1:10" x14ac:dyDescent="0.25">
      <c r="A3631" t="s">
        <v>1588</v>
      </c>
      <c r="B3631" s="1" t="str">
        <f>HYPERLINK("http://ukrburshtyn.com","ukrburshtyn.com")</f>
        <v>ukrburshtyn.com</v>
      </c>
      <c r="C3631" t="s">
        <v>433</v>
      </c>
      <c r="F3631">
        <v>6.3864506041927401E-9</v>
      </c>
      <c r="G3631">
        <v>14586959</v>
      </c>
      <c r="H3631">
        <v>14373847</v>
      </c>
      <c r="I3631">
        <v>1258993</v>
      </c>
      <c r="J3631">
        <v>8</v>
      </c>
    </row>
    <row r="3632" spans="1:10" x14ac:dyDescent="0.25">
      <c r="A3632" t="s">
        <v>1588</v>
      </c>
      <c r="B3632" s="1" t="str">
        <f>HYPERLINK("http://wonderbarasburypark.com","wonderbarasburypark.com")</f>
        <v>wonderbarasburypark.com</v>
      </c>
      <c r="C3632" t="s">
        <v>433</v>
      </c>
      <c r="F3632">
        <v>3.84110571992772E-8</v>
      </c>
      <c r="G3632">
        <v>1343808</v>
      </c>
      <c r="H3632">
        <v>14571162</v>
      </c>
      <c r="I3632">
        <v>734624</v>
      </c>
      <c r="J3632">
        <v>10</v>
      </c>
    </row>
    <row r="3633" spans="1:10" x14ac:dyDescent="0.25">
      <c r="A3633" t="s">
        <v>1588</v>
      </c>
      <c r="B3633" s="1" t="str">
        <f>HYPERLINK("http://zx-ventures.com","zx-ventures.com")</f>
        <v>zx-ventures.com</v>
      </c>
      <c r="C3633" t="s">
        <v>433</v>
      </c>
      <c r="F3633">
        <v>5.8592454674402E-8</v>
      </c>
      <c r="G3633">
        <v>757805</v>
      </c>
      <c r="H3633">
        <v>14424760</v>
      </c>
      <c r="I3633">
        <v>1081105</v>
      </c>
      <c r="J3633">
        <v>5</v>
      </c>
    </row>
    <row r="3634" spans="1:10" x14ac:dyDescent="0.25">
      <c r="A3634" t="s">
        <v>1588</v>
      </c>
      <c r="B3634" s="1" t="str">
        <f>HYPERLINK("http://samson.cz","samson.cz")</f>
        <v>samson.cz</v>
      </c>
      <c r="C3634" t="s">
        <v>435</v>
      </c>
      <c r="D3634" t="s">
        <v>814</v>
      </c>
      <c r="F3634">
        <v>1.5334588373319001E-8</v>
      </c>
      <c r="G3634">
        <v>3735304</v>
      </c>
      <c r="H3634">
        <v>14487870</v>
      </c>
      <c r="I3634">
        <v>941042</v>
      </c>
      <c r="J3634">
        <v>4</v>
      </c>
    </row>
    <row r="3635" spans="1:10" x14ac:dyDescent="0.25">
      <c r="A3635" t="s">
        <v>1588</v>
      </c>
      <c r="B3635" s="1" t="str">
        <f>HYPERLINK("http://ab-inbev.de","ab-inbev.de")</f>
        <v>ab-inbev.de</v>
      </c>
      <c r="C3635" t="s">
        <v>436</v>
      </c>
      <c r="D3635" t="s">
        <v>815</v>
      </c>
      <c r="F3635">
        <v>5.6191627056370997E-8</v>
      </c>
      <c r="G3635">
        <v>796595</v>
      </c>
      <c r="H3635">
        <v>14239848</v>
      </c>
      <c r="I3635">
        <v>1507303</v>
      </c>
      <c r="J3635">
        <v>4</v>
      </c>
    </row>
    <row r="3636" spans="1:10" x14ac:dyDescent="0.25">
      <c r="A3636" t="s">
        <v>1588</v>
      </c>
      <c r="B3636" s="1" t="str">
        <f>HYPERLINK("http://becks.de","becks.de")</f>
        <v>becks.de</v>
      </c>
      <c r="C3636" t="s">
        <v>436</v>
      </c>
      <c r="D3636" t="s">
        <v>815</v>
      </c>
      <c r="E3636">
        <v>482475</v>
      </c>
      <c r="F3636">
        <v>1.07989037076338E-7</v>
      </c>
      <c r="G3636">
        <v>370683</v>
      </c>
      <c r="H3636">
        <v>14559075</v>
      </c>
      <c r="I3636">
        <v>747749</v>
      </c>
      <c r="J3636">
        <v>5</v>
      </c>
    </row>
    <row r="3637" spans="1:10" x14ac:dyDescent="0.25">
      <c r="A3637" t="s">
        <v>1588</v>
      </c>
      <c r="B3637" s="1" t="str">
        <f>HYPERLINK("http://hasseroeder.de","hasseroeder.de")</f>
        <v>hasseroeder.de</v>
      </c>
      <c r="C3637" t="s">
        <v>436</v>
      </c>
      <c r="D3637" t="s">
        <v>815</v>
      </c>
      <c r="F3637">
        <v>3.0705235151674598E-8</v>
      </c>
      <c r="G3637">
        <v>1677679</v>
      </c>
      <c r="H3637">
        <v>14486989</v>
      </c>
      <c r="I3637">
        <v>955017</v>
      </c>
      <c r="J3637">
        <v>5</v>
      </c>
    </row>
    <row r="3638" spans="1:10" x14ac:dyDescent="0.25">
      <c r="A3638" t="s">
        <v>1588</v>
      </c>
      <c r="B3638" s="1" t="str">
        <f>HYPERLINK("http://shop-becks.de","shop-becks.de")</f>
        <v>shop-becks.de</v>
      </c>
      <c r="C3638" t="s">
        <v>436</v>
      </c>
      <c r="D3638" t="s">
        <v>815</v>
      </c>
      <c r="F3638">
        <v>9.5144088934847993E-9</v>
      </c>
      <c r="G3638">
        <v>7305391</v>
      </c>
      <c r="H3638">
        <v>10798184</v>
      </c>
      <c r="I3638">
        <v>38214183</v>
      </c>
      <c r="J3638">
        <v>8</v>
      </c>
    </row>
    <row r="3639" spans="1:10" x14ac:dyDescent="0.25">
      <c r="A3639" t="s">
        <v>1588</v>
      </c>
      <c r="B3639" s="1" t="str">
        <f>HYPERLINK("http://ab-inbev.dk","ab-inbev.dk")</f>
        <v>ab-inbev.dk</v>
      </c>
      <c r="C3639" t="s">
        <v>437</v>
      </c>
      <c r="D3639" t="s">
        <v>816</v>
      </c>
      <c r="F3639">
        <v>8.2953903655159797E-9</v>
      </c>
      <c r="G3639">
        <v>9270695</v>
      </c>
      <c r="H3639">
        <v>12266400</v>
      </c>
      <c r="I3639">
        <v>21609110</v>
      </c>
      <c r="J3639">
        <v>4</v>
      </c>
    </row>
    <row r="3640" spans="1:10" x14ac:dyDescent="0.25">
      <c r="A3640" t="s">
        <v>1588</v>
      </c>
      <c r="B3640" s="1" t="str">
        <f>HYPERLINK("http://ab-inbev.fi","ab-inbev.fi")</f>
        <v>ab-inbev.fi</v>
      </c>
      <c r="C3640" t="s">
        <v>445</v>
      </c>
      <c r="D3640" t="s">
        <v>823</v>
      </c>
      <c r="F3640">
        <v>7.8967183339817201E-9</v>
      </c>
      <c r="G3640">
        <v>10118301</v>
      </c>
      <c r="H3640">
        <v>12266393</v>
      </c>
      <c r="I3640">
        <v>21609248</v>
      </c>
      <c r="J3640">
        <v>4</v>
      </c>
    </row>
    <row r="3641" spans="1:10" x14ac:dyDescent="0.25">
      <c r="A3641" t="s">
        <v>1588</v>
      </c>
      <c r="B3641" s="1" t="str">
        <f>HYPERLINK("http://beerhawk.fi","beerhawk.fi")</f>
        <v>beerhawk.fi</v>
      </c>
      <c r="C3641" t="s">
        <v>445</v>
      </c>
      <c r="D3641" t="s">
        <v>823</v>
      </c>
      <c r="J3641">
        <v>2</v>
      </c>
    </row>
    <row r="3642" spans="1:10" x14ac:dyDescent="0.25">
      <c r="A3642" t="s">
        <v>1588</v>
      </c>
      <c r="B3642" s="1" t="str">
        <f>HYPERLINK("http://coronaextra-locator.fi","coronaextra-locator.fi")</f>
        <v>coronaextra-locator.fi</v>
      </c>
      <c r="C3642" t="s">
        <v>445</v>
      </c>
      <c r="D3642" t="s">
        <v>823</v>
      </c>
      <c r="J3642">
        <v>7</v>
      </c>
    </row>
    <row r="3643" spans="1:10" x14ac:dyDescent="0.25">
      <c r="A3643" t="s">
        <v>1588</v>
      </c>
      <c r="B3643" s="1" t="str">
        <f>HYPERLINK("http://hopt.fi","hopt.fi")</f>
        <v>hopt.fi</v>
      </c>
      <c r="C3643" t="s">
        <v>445</v>
      </c>
      <c r="D3643" t="s">
        <v>823</v>
      </c>
      <c r="J3643">
        <v>2</v>
      </c>
    </row>
    <row r="3644" spans="1:10" x14ac:dyDescent="0.25">
      <c r="A3644" t="s">
        <v>1588</v>
      </c>
      <c r="B3644" s="1" t="str">
        <f>HYPERLINK("http://ab-inbev.fr","ab-inbev.fr")</f>
        <v>ab-inbev.fr</v>
      </c>
      <c r="C3644" t="s">
        <v>446</v>
      </c>
      <c r="D3644" t="s">
        <v>824</v>
      </c>
      <c r="F3644">
        <v>8.3546409523626593E-9</v>
      </c>
      <c r="G3644">
        <v>9136575</v>
      </c>
      <c r="H3644">
        <v>13060184</v>
      </c>
      <c r="I3644">
        <v>12352721</v>
      </c>
      <c r="J3644">
        <v>4</v>
      </c>
    </row>
    <row r="3645" spans="1:10" x14ac:dyDescent="0.25">
      <c r="A3645" t="s">
        <v>1588</v>
      </c>
      <c r="B3645" s="1" t="str">
        <f>HYPERLINK("http://accrabrewery.com.gh","accrabrewery.com.gh")</f>
        <v>accrabrewery.com.gh</v>
      </c>
      <c r="C3645" t="s">
        <v>640</v>
      </c>
      <c r="D3645" t="s">
        <v>961</v>
      </c>
      <c r="F3645">
        <v>1.23734328186549E-8</v>
      </c>
      <c r="G3645">
        <v>4953866</v>
      </c>
      <c r="H3645">
        <v>13769283</v>
      </c>
      <c r="I3645">
        <v>6799802</v>
      </c>
      <c r="J3645">
        <v>5</v>
      </c>
    </row>
    <row r="3646" spans="1:10" x14ac:dyDescent="0.25">
      <c r="A3646" t="s">
        <v>1588</v>
      </c>
      <c r="B3646" s="1" t="str">
        <f>HYPERLINK("http://sabmiller.in","sabmiller.in")</f>
        <v>sabmiller.in</v>
      </c>
      <c r="C3646" t="s">
        <v>457</v>
      </c>
      <c r="D3646" t="s">
        <v>834</v>
      </c>
      <c r="F3646">
        <v>6.6079110541721196E-9</v>
      </c>
      <c r="G3646">
        <v>13647146</v>
      </c>
      <c r="H3646">
        <v>14129485</v>
      </c>
      <c r="I3646">
        <v>2045117</v>
      </c>
      <c r="J3646">
        <v>5</v>
      </c>
    </row>
    <row r="3647" spans="1:10" x14ac:dyDescent="0.25">
      <c r="A3647" t="s">
        <v>1588</v>
      </c>
      <c r="B3647" s="1" t="str">
        <f>HYPERLINK("http://ab-inbev.it","ab-inbev.it")</f>
        <v>ab-inbev.it</v>
      </c>
      <c r="C3647" t="s">
        <v>459</v>
      </c>
      <c r="D3647" t="s">
        <v>835</v>
      </c>
      <c r="F3647">
        <v>1.07672739744401E-8</v>
      </c>
      <c r="G3647">
        <v>6046595</v>
      </c>
      <c r="H3647">
        <v>12329903</v>
      </c>
      <c r="I3647">
        <v>20213279</v>
      </c>
      <c r="J3647">
        <v>4</v>
      </c>
    </row>
    <row r="3648" spans="1:10" x14ac:dyDescent="0.25">
      <c r="A3648" t="s">
        <v>1588</v>
      </c>
      <c r="B3648" s="1" t="str">
        <f>HYPERLINK("http://ob.co.kr","ob.co.kr")</f>
        <v>ob.co.kr</v>
      </c>
      <c r="C3648" t="s">
        <v>463</v>
      </c>
      <c r="D3648" t="s">
        <v>839</v>
      </c>
      <c r="F3648">
        <v>2.3777426283693799E-8</v>
      </c>
      <c r="G3648">
        <v>2185520</v>
      </c>
      <c r="H3648">
        <v>13116129</v>
      </c>
      <c r="I3648">
        <v>12008446</v>
      </c>
      <c r="J3648">
        <v>5</v>
      </c>
    </row>
    <row r="3649" spans="1:10" x14ac:dyDescent="0.25">
      <c r="A3649" t="s">
        <v>1588</v>
      </c>
      <c r="B3649" s="1" t="str">
        <f>HYPERLINK("http://mydiekirch.lu","mydiekirch.lu")</f>
        <v>mydiekirch.lu</v>
      </c>
      <c r="C3649" t="s">
        <v>547</v>
      </c>
      <c r="D3649" t="s">
        <v>904</v>
      </c>
      <c r="F3649">
        <v>9.5923142142700104E-9</v>
      </c>
      <c r="G3649">
        <v>7213845</v>
      </c>
      <c r="H3649">
        <v>13763806</v>
      </c>
      <c r="I3649">
        <v>7611634</v>
      </c>
      <c r="J3649">
        <v>5</v>
      </c>
    </row>
    <row r="3650" spans="1:10" x14ac:dyDescent="0.25">
      <c r="A3650" t="s">
        <v>1588</v>
      </c>
      <c r="B3650" s="1" t="str">
        <f>HYPERLINK("http://gmdelo.com.mx","gmdelo.com.mx")</f>
        <v>gmdelo.com.mx</v>
      </c>
      <c r="C3650" t="s">
        <v>471</v>
      </c>
      <c r="D3650" t="s">
        <v>847</v>
      </c>
      <c r="J3650">
        <v>7</v>
      </c>
    </row>
    <row r="3651" spans="1:10" x14ac:dyDescent="0.25">
      <c r="A3651" t="s">
        <v>1588</v>
      </c>
      <c r="B3651" s="1" t="str">
        <f>HYPERLINK("http://gmodelo.com.mx","gmodelo.com.mx")</f>
        <v>gmodelo.com.mx</v>
      </c>
      <c r="C3651" t="s">
        <v>471</v>
      </c>
      <c r="D3651" t="s">
        <v>847</v>
      </c>
      <c r="E3651">
        <v>625923</v>
      </c>
      <c r="F3651">
        <v>2.2037750763820101E-8</v>
      </c>
      <c r="G3651">
        <v>2381667</v>
      </c>
      <c r="H3651">
        <v>14544527</v>
      </c>
      <c r="I3651">
        <v>770466</v>
      </c>
      <c r="J3651">
        <v>7</v>
      </c>
    </row>
    <row r="3652" spans="1:10" x14ac:dyDescent="0.25">
      <c r="A3652" t="s">
        <v>1588</v>
      </c>
      <c r="B3652" s="1" t="str">
        <f>HYPERLINK("http://grupomodelo.com.mx","grupomodelo.com.mx")</f>
        <v>grupomodelo.com.mx</v>
      </c>
      <c r="C3652" t="s">
        <v>471</v>
      </c>
      <c r="D3652" t="s">
        <v>847</v>
      </c>
      <c r="F3652">
        <v>6.2978319053510204E-9</v>
      </c>
      <c r="G3652">
        <v>15042870</v>
      </c>
      <c r="H3652">
        <v>14485744</v>
      </c>
      <c r="I3652">
        <v>984776</v>
      </c>
      <c r="J3652">
        <v>7</v>
      </c>
    </row>
    <row r="3653" spans="1:10" x14ac:dyDescent="0.25">
      <c r="A3653" t="s">
        <v>1588</v>
      </c>
      <c r="B3653" s="1" t="str">
        <f>HYPERLINK("http://modelorama.com.mx","modelorama.com.mx")</f>
        <v>modelorama.com.mx</v>
      </c>
      <c r="C3653" t="s">
        <v>471</v>
      </c>
      <c r="D3653" t="s">
        <v>847</v>
      </c>
      <c r="F3653">
        <v>1.6197603718511999E-8</v>
      </c>
      <c r="G3653">
        <v>3495950</v>
      </c>
      <c r="H3653">
        <v>14073712</v>
      </c>
      <c r="I3653">
        <v>2976331</v>
      </c>
      <c r="J3653">
        <v>9</v>
      </c>
    </row>
    <row r="3654" spans="1:10" x14ac:dyDescent="0.25">
      <c r="A3654" t="s">
        <v>1588</v>
      </c>
      <c r="B3654" s="1" t="str">
        <f>HYPERLINK("http://gmodelo.mx","gmodelo.mx")</f>
        <v>gmodelo.mx</v>
      </c>
      <c r="C3654" t="s">
        <v>471</v>
      </c>
      <c r="D3654" t="s">
        <v>847</v>
      </c>
      <c r="E3654">
        <v>989714</v>
      </c>
      <c r="F3654">
        <v>8.1885251389250105E-8</v>
      </c>
      <c r="G3654">
        <v>509592</v>
      </c>
      <c r="H3654">
        <v>17053208</v>
      </c>
      <c r="I3654">
        <v>75685</v>
      </c>
      <c r="J3654">
        <v>5</v>
      </c>
    </row>
    <row r="3655" spans="1:10" x14ac:dyDescent="0.25">
      <c r="A3655" t="s">
        <v>1588</v>
      </c>
      <c r="B3655" s="1" t="str">
        <f>HYPERLINK("http://suninterbrew.net","suninterbrew.net")</f>
        <v>suninterbrew.net</v>
      </c>
      <c r="C3655" t="s">
        <v>474</v>
      </c>
      <c r="J3655">
        <v>6</v>
      </c>
    </row>
    <row r="3656" spans="1:10" x14ac:dyDescent="0.25">
      <c r="A3656" t="s">
        <v>1588</v>
      </c>
      <c r="B3656" s="1" t="str">
        <f>HYPERLINK("http://ab-inbev.nl","ab-inbev.nl")</f>
        <v>ab-inbev.nl</v>
      </c>
      <c r="C3656" t="s">
        <v>477</v>
      </c>
      <c r="D3656" t="s">
        <v>852</v>
      </c>
      <c r="F3656">
        <v>5.11013413730205E-8</v>
      </c>
      <c r="G3656">
        <v>896737</v>
      </c>
      <c r="H3656">
        <v>14082425</v>
      </c>
      <c r="I3656">
        <v>2800611</v>
      </c>
      <c r="J3656">
        <v>3</v>
      </c>
    </row>
    <row r="3657" spans="1:10" x14ac:dyDescent="0.25">
      <c r="A3657" t="s">
        <v>1588</v>
      </c>
      <c r="B3657" s="1" t="str">
        <f>HYPERLINK("http://dommelsch.nl","dommelsch.nl")</f>
        <v>dommelsch.nl</v>
      </c>
      <c r="C3657" t="s">
        <v>477</v>
      </c>
      <c r="D3657" t="s">
        <v>852</v>
      </c>
      <c r="F3657">
        <v>1.5954731311170801E-8</v>
      </c>
      <c r="G3657">
        <v>3558143</v>
      </c>
      <c r="H3657">
        <v>14377413</v>
      </c>
      <c r="I3657">
        <v>1210288</v>
      </c>
      <c r="J3657">
        <v>5</v>
      </c>
    </row>
    <row r="3658" spans="1:10" x14ac:dyDescent="0.25">
      <c r="A3658" t="s">
        <v>1588</v>
      </c>
      <c r="B3658" s="1" t="str">
        <f>HYPERLINK("http://ab-inbev.no","ab-inbev.no")</f>
        <v>ab-inbev.no</v>
      </c>
      <c r="C3658" t="s">
        <v>478</v>
      </c>
      <c r="D3658" t="s">
        <v>853</v>
      </c>
      <c r="F3658">
        <v>9.5617956012639693E-9</v>
      </c>
      <c r="G3658">
        <v>7248947</v>
      </c>
      <c r="H3658">
        <v>12276055</v>
      </c>
      <c r="I3658">
        <v>21390951</v>
      </c>
      <c r="J3658">
        <v>4</v>
      </c>
    </row>
    <row r="3659" spans="1:10" x14ac:dyDescent="0.25">
      <c r="A3659" t="s">
        <v>1588</v>
      </c>
      <c r="B3659" s="1" t="str">
        <f>HYPERLINK("http://backus.pe","backus.pe")</f>
        <v>backus.pe</v>
      </c>
      <c r="C3659" t="s">
        <v>483</v>
      </c>
      <c r="D3659" t="s">
        <v>857</v>
      </c>
      <c r="E3659">
        <v>665238</v>
      </c>
      <c r="F3659">
        <v>5.4666247817737801E-8</v>
      </c>
      <c r="G3659">
        <v>824559</v>
      </c>
      <c r="H3659">
        <v>13302542</v>
      </c>
      <c r="I3659">
        <v>10814988</v>
      </c>
      <c r="J3659">
        <v>8</v>
      </c>
    </row>
    <row r="3660" spans="1:10" x14ac:dyDescent="0.25">
      <c r="A3660" t="s">
        <v>1588</v>
      </c>
      <c r="B3660" s="1" t="str">
        <f>HYPERLINK("http://backus.com.pe","backus.com.pe")</f>
        <v>backus.com.pe</v>
      </c>
      <c r="C3660" t="s">
        <v>483</v>
      </c>
      <c r="D3660" t="s">
        <v>857</v>
      </c>
      <c r="F3660">
        <v>7.7090571742856296E-9</v>
      </c>
      <c r="G3660">
        <v>10552682</v>
      </c>
      <c r="H3660">
        <v>14238771</v>
      </c>
      <c r="I3660">
        <v>1521274</v>
      </c>
      <c r="J3660">
        <v>5</v>
      </c>
    </row>
    <row r="3661" spans="1:10" x14ac:dyDescent="0.25">
      <c r="A3661" t="s">
        <v>1588</v>
      </c>
      <c r="B3661" s="1" t="str">
        <f>HYPERLINK("http://abinbevefes.ru","abinbevefes.ru")</f>
        <v>abinbevefes.ru</v>
      </c>
      <c r="C3661" t="s">
        <v>493</v>
      </c>
      <c r="D3661" t="s">
        <v>867</v>
      </c>
      <c r="E3661">
        <v>924732</v>
      </c>
      <c r="F3661">
        <v>6.3433403035835796E-8</v>
      </c>
      <c r="G3661">
        <v>685178</v>
      </c>
      <c r="H3661">
        <v>14493101</v>
      </c>
      <c r="I3661">
        <v>890139</v>
      </c>
      <c r="J3661">
        <v>6</v>
      </c>
    </row>
    <row r="3662" spans="1:10" x14ac:dyDescent="0.25">
      <c r="A3662" t="s">
        <v>1588</v>
      </c>
      <c r="B3662" s="1" t="str">
        <f>HYPERLINK("http://ab-inbev.se","ab-inbev.se")</f>
        <v>ab-inbev.se</v>
      </c>
      <c r="C3662" t="s">
        <v>495</v>
      </c>
      <c r="D3662" t="s">
        <v>869</v>
      </c>
      <c r="F3662">
        <v>8.3867977105103001E-9</v>
      </c>
      <c r="G3662">
        <v>9070087</v>
      </c>
      <c r="H3662">
        <v>12266435</v>
      </c>
      <c r="I3662">
        <v>21608568</v>
      </c>
      <c r="J3662">
        <v>4</v>
      </c>
    </row>
    <row r="3663" spans="1:10" x14ac:dyDescent="0.25">
      <c r="A3663" t="s">
        <v>1588</v>
      </c>
      <c r="B3663" s="1" t="str">
        <f>HYPERLINK("http://chernigivske.ua","chernigivske.ua")</f>
        <v>chernigivske.ua</v>
      </c>
      <c r="C3663" t="s">
        <v>505</v>
      </c>
      <c r="D3663" t="s">
        <v>879</v>
      </c>
      <c r="F3663">
        <v>2.3167361520713201E-8</v>
      </c>
      <c r="G3663">
        <v>2252742</v>
      </c>
      <c r="H3663">
        <v>13383725</v>
      </c>
      <c r="I3663">
        <v>10415456</v>
      </c>
      <c r="J3663">
        <v>6</v>
      </c>
    </row>
    <row r="3664" spans="1:10" x14ac:dyDescent="0.25">
      <c r="A3664" t="s">
        <v>1588</v>
      </c>
      <c r="B3664" s="1" t="str">
        <f>HYPERLINK("http://abinbevefes.com.ua","abinbevefes.com.ua")</f>
        <v>abinbevefes.com.ua</v>
      </c>
      <c r="C3664" t="s">
        <v>505</v>
      </c>
      <c r="D3664" t="s">
        <v>879</v>
      </c>
      <c r="F3664">
        <v>1.93705508491806E-8</v>
      </c>
      <c r="G3664">
        <v>2767744</v>
      </c>
      <c r="H3664">
        <v>14075145</v>
      </c>
      <c r="I3664">
        <v>2917113</v>
      </c>
      <c r="J3664">
        <v>5</v>
      </c>
    </row>
    <row r="3665" spans="1:10" x14ac:dyDescent="0.25">
      <c r="A3665" t="s">
        <v>1588</v>
      </c>
      <c r="B3665" s="1" t="str">
        <f>HYPERLINK("http://rogan.ua","rogan.ua")</f>
        <v>rogan.ua</v>
      </c>
      <c r="C3665" t="s">
        <v>505</v>
      </c>
      <c r="D3665" t="s">
        <v>879</v>
      </c>
      <c r="F3665">
        <v>5.5657066441896898E-9</v>
      </c>
      <c r="G3665">
        <v>20219285</v>
      </c>
      <c r="H3665">
        <v>12812810</v>
      </c>
      <c r="I3665">
        <v>14552788</v>
      </c>
      <c r="J3665">
        <v>6</v>
      </c>
    </row>
    <row r="3666" spans="1:10" x14ac:dyDescent="0.25">
      <c r="A3666" t="s">
        <v>1588</v>
      </c>
      <c r="B3666" s="1" t="str">
        <f>HYPERLINK("http://yantar.ua","yantar.ua")</f>
        <v>yantar.ua</v>
      </c>
      <c r="C3666" t="s">
        <v>505</v>
      </c>
      <c r="D3666" t="s">
        <v>879</v>
      </c>
      <c r="F3666">
        <v>1.6186985681502198E-8</v>
      </c>
      <c r="G3666">
        <v>3498726</v>
      </c>
      <c r="H3666">
        <v>14727964</v>
      </c>
      <c r="I3666">
        <v>574031</v>
      </c>
      <c r="J3666">
        <v>6</v>
      </c>
    </row>
    <row r="3667" spans="1:10" x14ac:dyDescent="0.25">
      <c r="A3667" t="s">
        <v>1588</v>
      </c>
      <c r="B3667" s="1" t="str">
        <f>HYPERLINK("http://budweiser.co.uk","budweiser.co.uk")</f>
        <v>budweiser.co.uk</v>
      </c>
      <c r="C3667" t="s">
        <v>506</v>
      </c>
      <c r="D3667" t="s">
        <v>880</v>
      </c>
      <c r="F3667">
        <v>4.0892857475901E-8</v>
      </c>
      <c r="G3667">
        <v>1268253</v>
      </c>
      <c r="H3667">
        <v>14158996</v>
      </c>
      <c r="I3667">
        <v>1842944</v>
      </c>
      <c r="J3667">
        <v>6</v>
      </c>
    </row>
    <row r="3668" spans="1:10" x14ac:dyDescent="0.25">
      <c r="A3668" t="s">
        <v>1588</v>
      </c>
      <c r="B3668" s="1" t="str">
        <f>HYPERLINK("http://budweiserbrewinggroup.co.uk","budweiserbrewinggroup.co.uk")</f>
        <v>budweiserbrewinggroup.co.uk</v>
      </c>
      <c r="C3668" t="s">
        <v>506</v>
      </c>
      <c r="D3668" t="s">
        <v>880</v>
      </c>
      <c r="F3668">
        <v>3.0113304921387403E-8</v>
      </c>
      <c r="G3668">
        <v>1708817</v>
      </c>
      <c r="H3668">
        <v>13564554</v>
      </c>
      <c r="I3668">
        <v>9838799</v>
      </c>
      <c r="J3668">
        <v>6</v>
      </c>
    </row>
    <row r="3669" spans="1:10" x14ac:dyDescent="0.25">
      <c r="A3669" t="s">
        <v>1588</v>
      </c>
      <c r="B3669" s="1" t="str">
        <f>HYPERLINK("http://sablimited.co.za","sablimited.co.za")</f>
        <v>sablimited.co.za</v>
      </c>
      <c r="C3669" t="s">
        <v>510</v>
      </c>
      <c r="D3669" t="s">
        <v>884</v>
      </c>
      <c r="F3669">
        <v>9.8990781482659506E-9</v>
      </c>
      <c r="G3669">
        <v>6860403</v>
      </c>
      <c r="H3669">
        <v>14377172</v>
      </c>
      <c r="I3669">
        <v>1211849</v>
      </c>
      <c r="J3669">
        <v>5</v>
      </c>
    </row>
    <row r="3670" spans="1:10" x14ac:dyDescent="0.25">
      <c r="A3670" t="s">
        <v>39</v>
      </c>
      <c r="B3670" s="1" t="str">
        <f>HYPERLINK("http://aon.com.ar","aon.com.ar")</f>
        <v>aon.com.ar</v>
      </c>
      <c r="C3670" t="s">
        <v>418</v>
      </c>
      <c r="D3670" t="s">
        <v>800</v>
      </c>
      <c r="F3670">
        <v>5.7715478708253697E-9</v>
      </c>
      <c r="G3670">
        <v>18313912</v>
      </c>
      <c r="H3670">
        <v>10661929</v>
      </c>
      <c r="I3670">
        <v>43387895</v>
      </c>
      <c r="J3670">
        <v>3</v>
      </c>
    </row>
    <row r="3671" spans="1:10" x14ac:dyDescent="0.25">
      <c r="A3671" t="s">
        <v>39</v>
      </c>
      <c r="B3671" s="1" t="str">
        <f>HYPERLINK("http://bergkristall-hinterbichl.at","bergkristall-hinterbichl.at")</f>
        <v>bergkristall-hinterbichl.at</v>
      </c>
      <c r="C3671" t="s">
        <v>419</v>
      </c>
      <c r="D3671" t="s">
        <v>801</v>
      </c>
      <c r="F3671">
        <v>6.3625502718938803E-9</v>
      </c>
      <c r="G3671">
        <v>14701067</v>
      </c>
      <c r="H3671">
        <v>12361733</v>
      </c>
      <c r="I3671">
        <v>19552491</v>
      </c>
      <c r="J3671">
        <v>6</v>
      </c>
    </row>
    <row r="3672" spans="1:10" x14ac:dyDescent="0.25">
      <c r="A3672" t="s">
        <v>39</v>
      </c>
      <c r="B3672" s="1" t="str">
        <f>HYPERLINK("http://virgental.at","virgental.at")</f>
        <v>virgental.at</v>
      </c>
      <c r="C3672" t="s">
        <v>419</v>
      </c>
      <c r="D3672" t="s">
        <v>801</v>
      </c>
      <c r="F3672">
        <v>2.8901247573115401E-8</v>
      </c>
      <c r="G3672">
        <v>1781139</v>
      </c>
      <c r="H3672">
        <v>13776788</v>
      </c>
      <c r="I3672">
        <v>6548373</v>
      </c>
      <c r="J3672">
        <v>4</v>
      </c>
    </row>
    <row r="3673" spans="1:10" x14ac:dyDescent="0.25">
      <c r="A3673" t="s">
        <v>39</v>
      </c>
      <c r="B3673" s="1" t="str">
        <f>HYPERLINK("http://aon.com.au","aon.com.au")</f>
        <v>aon.com.au</v>
      </c>
      <c r="C3673" t="s">
        <v>420</v>
      </c>
      <c r="D3673" t="s">
        <v>802</v>
      </c>
      <c r="E3673">
        <v>644116</v>
      </c>
      <c r="F3673">
        <v>5.1119467225182097E-8</v>
      </c>
      <c r="G3673">
        <v>896328</v>
      </c>
      <c r="H3673">
        <v>14104434</v>
      </c>
      <c r="I3673">
        <v>2693382</v>
      </c>
      <c r="J3673">
        <v>2</v>
      </c>
    </row>
    <row r="3674" spans="1:10" x14ac:dyDescent="0.25">
      <c r="A3674" t="s">
        <v>39</v>
      </c>
      <c r="B3674" s="1" t="str">
        <f>HYPERLINK("http://aon.be","aon.be")</f>
        <v>aon.be</v>
      </c>
      <c r="C3674" t="s">
        <v>421</v>
      </c>
      <c r="D3674" t="s">
        <v>803</v>
      </c>
      <c r="F3674">
        <v>6.7495910450907496E-9</v>
      </c>
      <c r="G3674">
        <v>13130494</v>
      </c>
      <c r="H3674">
        <v>12331586</v>
      </c>
      <c r="I3674">
        <v>20176523</v>
      </c>
      <c r="J3674">
        <v>2</v>
      </c>
    </row>
    <row r="3675" spans="1:10" x14ac:dyDescent="0.25">
      <c r="A3675" t="s">
        <v>39</v>
      </c>
      <c r="B3675" s="1" t="str">
        <f>HYPERLINK("http://crion.be","crion.be")</f>
        <v>crion.be</v>
      </c>
      <c r="C3675" t="s">
        <v>421</v>
      </c>
      <c r="D3675" t="s">
        <v>803</v>
      </c>
      <c r="F3675">
        <v>9.5280760919845707E-9</v>
      </c>
      <c r="G3675">
        <v>7289178</v>
      </c>
      <c r="H3675">
        <v>13002134</v>
      </c>
      <c r="I3675">
        <v>12786215</v>
      </c>
      <c r="J3675">
        <v>6</v>
      </c>
    </row>
    <row r="3676" spans="1:10" x14ac:dyDescent="0.25">
      <c r="A3676" t="s">
        <v>39</v>
      </c>
      <c r="B3676" s="1" t="str">
        <f>HYPERLINK("http://aon.com.br","aon.com.br")</f>
        <v>aon.com.br</v>
      </c>
      <c r="C3676" t="s">
        <v>425</v>
      </c>
      <c r="D3676" t="s">
        <v>806</v>
      </c>
      <c r="F3676">
        <v>8.0483091977462501E-9</v>
      </c>
      <c r="G3676">
        <v>9833266</v>
      </c>
      <c r="H3676">
        <v>12858314</v>
      </c>
      <c r="I3676">
        <v>14209859</v>
      </c>
      <c r="J3676">
        <v>4</v>
      </c>
    </row>
    <row r="3677" spans="1:10" x14ac:dyDescent="0.25">
      <c r="A3677" t="s">
        <v>39</v>
      </c>
      <c r="B3677" s="1" t="str">
        <f>HYPERLINK("http://aon.ca","aon.ca")</f>
        <v>aon.ca</v>
      </c>
      <c r="C3677" t="s">
        <v>428</v>
      </c>
      <c r="D3677" t="s">
        <v>809</v>
      </c>
      <c r="E3677">
        <v>664367</v>
      </c>
      <c r="F3677">
        <v>6.6103830538285004E-8</v>
      </c>
      <c r="G3677">
        <v>649090</v>
      </c>
      <c r="H3677">
        <v>13335054</v>
      </c>
      <c r="I3677">
        <v>10690761</v>
      </c>
      <c r="J3677">
        <v>2</v>
      </c>
    </row>
    <row r="3678" spans="1:10" x14ac:dyDescent="0.25">
      <c r="A3678" t="s">
        <v>39</v>
      </c>
      <c r="B3678" s="1" t="str">
        <f>HYPERLINK("http://aon.ch","aon.ch")</f>
        <v>aon.ch</v>
      </c>
      <c r="C3678" t="s">
        <v>429</v>
      </c>
      <c r="D3678" t="s">
        <v>810</v>
      </c>
      <c r="F3678">
        <v>2.5612805056856402E-8</v>
      </c>
      <c r="G3678">
        <v>2013210</v>
      </c>
      <c r="H3678">
        <v>12557685</v>
      </c>
      <c r="I3678">
        <v>16741519</v>
      </c>
      <c r="J3678">
        <v>3</v>
      </c>
    </row>
    <row r="3679" spans="1:10" x14ac:dyDescent="0.25">
      <c r="A3679" t="s">
        <v>39</v>
      </c>
      <c r="B3679" s="1" t="str">
        <f>HYPERLINK("http://assimedia.ch","assimedia.ch")</f>
        <v>assimedia.ch</v>
      </c>
      <c r="C3679" t="s">
        <v>429</v>
      </c>
      <c r="D3679" t="s">
        <v>810</v>
      </c>
      <c r="F3679">
        <v>7.7590998545222508E-9</v>
      </c>
      <c r="G3679">
        <v>10416827</v>
      </c>
      <c r="H3679">
        <v>12321737</v>
      </c>
      <c r="I3679">
        <v>20379777</v>
      </c>
      <c r="J3679">
        <v>3</v>
      </c>
    </row>
    <row r="3680" spans="1:10" x14ac:dyDescent="0.25">
      <c r="A3680" t="s">
        <v>39</v>
      </c>
      <c r="B3680" s="1" t="str">
        <f>HYPERLINK("http://aon-hewitt.cn","aon-hewitt.cn")</f>
        <v>aon-hewitt.cn</v>
      </c>
      <c r="C3680" t="s">
        <v>431</v>
      </c>
      <c r="D3680" t="s">
        <v>812</v>
      </c>
      <c r="F3680">
        <v>4.4441599603022496E-9</v>
      </c>
      <c r="G3680">
        <v>77327303</v>
      </c>
      <c r="H3680">
        <v>1.0003663</v>
      </c>
      <c r="I3680">
        <v>78319254</v>
      </c>
      <c r="J3680">
        <v>3</v>
      </c>
    </row>
    <row r="3681" spans="1:10" x14ac:dyDescent="0.25">
      <c r="A3681" t="s">
        <v>39</v>
      </c>
      <c r="B3681" s="1" t="str">
        <f>HYPERLINK("http://aonhewittconsulting.com.cn","aonhewittconsulting.com.cn")</f>
        <v>aonhewittconsulting.com.cn</v>
      </c>
      <c r="C3681" t="s">
        <v>431</v>
      </c>
      <c r="D3681" t="s">
        <v>812</v>
      </c>
      <c r="J3681">
        <v>3</v>
      </c>
    </row>
    <row r="3682" spans="1:10" x14ac:dyDescent="0.25">
      <c r="A3682" t="s">
        <v>39</v>
      </c>
      <c r="B3682" s="1" t="str">
        <f>HYPERLINK("http://welloneapp.cn","welloneapp.cn")</f>
        <v>welloneapp.cn</v>
      </c>
      <c r="C3682" t="s">
        <v>431</v>
      </c>
      <c r="D3682" t="s">
        <v>812</v>
      </c>
      <c r="F3682">
        <v>4.7212924208162304E-9</v>
      </c>
      <c r="G3682">
        <v>40141950</v>
      </c>
      <c r="H3682">
        <v>10488233</v>
      </c>
      <c r="I3682">
        <v>50693596</v>
      </c>
      <c r="J3682">
        <v>3</v>
      </c>
    </row>
    <row r="3683" spans="1:10" x14ac:dyDescent="0.25">
      <c r="A3683" t="s">
        <v>39</v>
      </c>
      <c r="B3683" s="1" t="str">
        <f>HYPERLINK("http://aonenlinea.com.co","aonenlinea.com.co")</f>
        <v>aonenlinea.com.co</v>
      </c>
      <c r="C3683" t="s">
        <v>432</v>
      </c>
      <c r="J3683">
        <v>3</v>
      </c>
    </row>
    <row r="3684" spans="1:10" x14ac:dyDescent="0.25">
      <c r="A3684" t="s">
        <v>39</v>
      </c>
      <c r="B3684" s="1" t="str">
        <f>HYPERLINK("http://accessplans.com","accessplans.com")</f>
        <v>accessplans.com</v>
      </c>
      <c r="C3684" t="s">
        <v>433</v>
      </c>
      <c r="F3684">
        <v>1.1569634614586699E-8</v>
      </c>
      <c r="G3684">
        <v>5454245</v>
      </c>
      <c r="H3684">
        <v>13411806</v>
      </c>
      <c r="I3684">
        <v>10330882</v>
      </c>
      <c r="J3684">
        <v>3</v>
      </c>
    </row>
    <row r="3685" spans="1:10" x14ac:dyDescent="0.25">
      <c r="A3685" t="s">
        <v>39</v>
      </c>
      <c r="B3685" s="1" t="str">
        <f>HYPERLINK("http://accessplansusa.com","accessplansusa.com")</f>
        <v>accessplansusa.com</v>
      </c>
      <c r="C3685" t="s">
        <v>433</v>
      </c>
      <c r="F3685">
        <v>1.1881769693055899E-8</v>
      </c>
      <c r="G3685">
        <v>5250321</v>
      </c>
      <c r="H3685">
        <v>10951162</v>
      </c>
      <c r="I3685">
        <v>34557968</v>
      </c>
      <c r="J3685">
        <v>3</v>
      </c>
    </row>
    <row r="3686" spans="1:10" x14ac:dyDescent="0.25">
      <c r="A3686" t="s">
        <v>39</v>
      </c>
      <c r="B3686" s="1" t="str">
        <f>HYPERLINK("http://administradoraaon.com","administradoraaon.com")</f>
        <v>administradoraaon.com</v>
      </c>
      <c r="C3686" t="s">
        <v>433</v>
      </c>
      <c r="J3686">
        <v>3</v>
      </c>
    </row>
    <row r="3687" spans="1:10" x14ac:dyDescent="0.25">
      <c r="A3687" t="s">
        <v>39</v>
      </c>
      <c r="B3687" s="1" t="str">
        <f>HYPERLINK("http://affinityinsuranceservices.com","affinityinsuranceservices.com")</f>
        <v>affinityinsuranceservices.com</v>
      </c>
      <c r="C3687" t="s">
        <v>433</v>
      </c>
      <c r="F3687">
        <v>4.44797655560009E-9</v>
      </c>
      <c r="G3687">
        <v>73144501</v>
      </c>
      <c r="H3687">
        <v>10841706</v>
      </c>
      <c r="I3687">
        <v>37070725</v>
      </c>
      <c r="J3687">
        <v>3</v>
      </c>
    </row>
    <row r="3688" spans="1:10" x14ac:dyDescent="0.25">
      <c r="A3688" t="s">
        <v>39</v>
      </c>
      <c r="B3688" s="1" t="str">
        <f>HYPERLINK("http://aon.com","aon.com")</f>
        <v>aon.com</v>
      </c>
      <c r="C3688" t="s">
        <v>433</v>
      </c>
      <c r="E3688">
        <v>8826</v>
      </c>
      <c r="F3688">
        <v>4.1571304160731699E-6</v>
      </c>
      <c r="G3688">
        <v>8726</v>
      </c>
      <c r="H3688">
        <v>17621838</v>
      </c>
      <c r="I3688">
        <v>9072</v>
      </c>
      <c r="J3688">
        <v>1</v>
      </c>
    </row>
    <row r="3689" spans="1:10" x14ac:dyDescent="0.25">
      <c r="A3689" t="s">
        <v>39</v>
      </c>
      <c r="B3689" s="1" t="str">
        <f>HYPERLINK("http://aon-gate.com","aon-gate.com")</f>
        <v>aon-gate.com</v>
      </c>
      <c r="C3689" t="s">
        <v>433</v>
      </c>
      <c r="J3689">
        <v>3</v>
      </c>
    </row>
    <row r="3690" spans="1:10" x14ac:dyDescent="0.25">
      <c r="A3690" t="s">
        <v>39</v>
      </c>
      <c r="B3690" s="1" t="str">
        <f>HYPERLINK("http://aonahlc.com","aonahlc.com")</f>
        <v>aonahlc.com</v>
      </c>
      <c r="C3690" t="s">
        <v>433</v>
      </c>
      <c r="F3690">
        <v>6.4660316754916294E-8</v>
      </c>
      <c r="G3690">
        <v>668214</v>
      </c>
      <c r="H3690">
        <v>13696127</v>
      </c>
      <c r="I3690">
        <v>9525445</v>
      </c>
      <c r="J3690">
        <v>3</v>
      </c>
    </row>
    <row r="3691" spans="1:10" x14ac:dyDescent="0.25">
      <c r="A3691" t="s">
        <v>39</v>
      </c>
      <c r="B3691" s="1" t="str">
        <f>HYPERLINK("http://aonbaltic.com","aonbaltic.com")</f>
        <v>aonbaltic.com</v>
      </c>
      <c r="C3691" t="s">
        <v>433</v>
      </c>
      <c r="J3691">
        <v>3</v>
      </c>
    </row>
    <row r="3692" spans="1:10" x14ac:dyDescent="0.25">
      <c r="A3692" t="s">
        <v>39</v>
      </c>
      <c r="B3692" s="1" t="str">
        <f>HYPERLINK("http://aonbenfield.com","aonbenfield.com")</f>
        <v>aonbenfield.com</v>
      </c>
      <c r="C3692" t="s">
        <v>433</v>
      </c>
      <c r="E3692">
        <v>809706</v>
      </c>
      <c r="F3692">
        <v>1.8680265787669499E-7</v>
      </c>
      <c r="G3692">
        <v>206306</v>
      </c>
      <c r="H3692">
        <v>15124076</v>
      </c>
      <c r="I3692">
        <v>403169</v>
      </c>
      <c r="J3692">
        <v>3</v>
      </c>
    </row>
    <row r="3693" spans="1:10" x14ac:dyDescent="0.25">
      <c r="A3693" t="s">
        <v>39</v>
      </c>
      <c r="B3693" s="1" t="str">
        <f>HYPERLINK("http://aoncayman.com","aoncayman.com")</f>
        <v>aoncayman.com</v>
      </c>
      <c r="C3693" t="s">
        <v>433</v>
      </c>
      <c r="F3693">
        <v>4.7826137398625598E-9</v>
      </c>
      <c r="G3693">
        <v>36850192</v>
      </c>
      <c r="H3693">
        <v>10770929</v>
      </c>
      <c r="I3693">
        <v>39206423</v>
      </c>
      <c r="J3693">
        <v>3</v>
      </c>
    </row>
    <row r="3694" spans="1:10" x14ac:dyDescent="0.25">
      <c r="A3694" t="s">
        <v>39</v>
      </c>
      <c r="B3694" s="1" t="str">
        <f>HYPERLINK("http://aonexecutivebenefits.com","aonexecutivebenefits.com")</f>
        <v>aonexecutivebenefits.com</v>
      </c>
      <c r="C3694" t="s">
        <v>433</v>
      </c>
      <c r="F3694">
        <v>4.44473909094657E-9</v>
      </c>
      <c r="G3694">
        <v>76226916</v>
      </c>
      <c r="H3694">
        <v>10504411</v>
      </c>
      <c r="I3694">
        <v>50415680</v>
      </c>
      <c r="J3694">
        <v>3</v>
      </c>
    </row>
    <row r="3695" spans="1:10" x14ac:dyDescent="0.25">
      <c r="A3695" t="s">
        <v>39</v>
      </c>
      <c r="B3695" s="1" t="str">
        <f>HYPERLINK("http://aonhewitt.com","aonhewitt.com")</f>
        <v>aonhewitt.com</v>
      </c>
      <c r="C3695" t="s">
        <v>433</v>
      </c>
      <c r="E3695">
        <v>843796</v>
      </c>
      <c r="F3695">
        <v>6.9632579025846794E-8</v>
      </c>
      <c r="G3695">
        <v>609492</v>
      </c>
      <c r="H3695">
        <v>13994927</v>
      </c>
      <c r="I3695">
        <v>4022816</v>
      </c>
      <c r="J3695">
        <v>4</v>
      </c>
    </row>
    <row r="3696" spans="1:10" x14ac:dyDescent="0.25">
      <c r="A3696" t="s">
        <v>39</v>
      </c>
      <c r="B3696" s="1" t="str">
        <f>HYPERLINK("http://aonhewittnavigators.com","aonhewittnavigators.com")</f>
        <v>aonhewittnavigators.com</v>
      </c>
      <c r="C3696" t="s">
        <v>433</v>
      </c>
      <c r="F3696">
        <v>4.4915788600472703E-9</v>
      </c>
      <c r="G3696">
        <v>60262112</v>
      </c>
      <c r="H3696">
        <v>10348722</v>
      </c>
      <c r="I3696">
        <v>56526337</v>
      </c>
      <c r="J3696">
        <v>3</v>
      </c>
    </row>
    <row r="3697" spans="1:10" x14ac:dyDescent="0.25">
      <c r="A3697" t="s">
        <v>39</v>
      </c>
      <c r="B3697" s="1" t="str">
        <f>HYPERLINK("http://aonretiree.com","aonretiree.com")</f>
        <v>aonretiree.com</v>
      </c>
      <c r="C3697" t="s">
        <v>433</v>
      </c>
      <c r="J3697">
        <v>3</v>
      </c>
    </row>
    <row r="3698" spans="1:10" x14ac:dyDescent="0.25">
      <c r="A3698" t="s">
        <v>39</v>
      </c>
      <c r="B3698" s="1" t="str">
        <f>HYPERLINK("http://aontravelclaim.com","aontravelclaim.com")</f>
        <v>aontravelclaim.com</v>
      </c>
      <c r="C3698" t="s">
        <v>433</v>
      </c>
      <c r="E3698">
        <v>822650</v>
      </c>
      <c r="F3698">
        <v>4.5449125556230498E-8</v>
      </c>
      <c r="G3698">
        <v>1036042</v>
      </c>
      <c r="H3698">
        <v>12458238</v>
      </c>
      <c r="I3698">
        <v>17899051</v>
      </c>
      <c r="J3698">
        <v>3</v>
      </c>
    </row>
    <row r="3699" spans="1:10" x14ac:dyDescent="0.25">
      <c r="A3699" t="s">
        <v>39</v>
      </c>
      <c r="B3699" s="1" t="str">
        <f>HYPERLINK("http://aonunited.com","aonunited.com")</f>
        <v>aonunited.com</v>
      </c>
      <c r="C3699" t="s">
        <v>433</v>
      </c>
      <c r="F3699">
        <v>5.1753883527489801E-8</v>
      </c>
      <c r="G3699">
        <v>883091</v>
      </c>
      <c r="H3699">
        <v>13359954</v>
      </c>
      <c r="I3699">
        <v>10587720</v>
      </c>
      <c r="J3699">
        <v>3</v>
      </c>
    </row>
    <row r="3700" spans="1:10" x14ac:dyDescent="0.25">
      <c r="A3700" t="s">
        <v>39</v>
      </c>
      <c r="B3700" s="1" t="str">
        <f>HYPERLINK("http://benefitscompare.com","benefitscompare.com")</f>
        <v>benefitscompare.com</v>
      </c>
      <c r="C3700" t="s">
        <v>433</v>
      </c>
      <c r="J3700">
        <v>3</v>
      </c>
    </row>
    <row r="3701" spans="1:10" x14ac:dyDescent="0.25">
      <c r="A3701" t="s">
        <v>39</v>
      </c>
      <c r="B3701" s="1" t="str">
        <f>HYPERLINK("http://benefitsquest.com","benefitsquest.com")</f>
        <v>benefitsquest.com</v>
      </c>
      <c r="C3701" t="s">
        <v>433</v>
      </c>
      <c r="F3701">
        <v>6.8840394037785196E-9</v>
      </c>
      <c r="G3701">
        <v>12684278</v>
      </c>
      <c r="H3701">
        <v>12214339</v>
      </c>
      <c r="I3701">
        <v>22920493</v>
      </c>
      <c r="J3701">
        <v>3</v>
      </c>
    </row>
    <row r="3702" spans="1:10" x14ac:dyDescent="0.25">
      <c r="A3702" t="s">
        <v>39</v>
      </c>
      <c r="B3702" s="1" t="str">
        <f>HYPERLINK("http://benfieldgroup.com","benfieldgroup.com")</f>
        <v>benfieldgroup.com</v>
      </c>
      <c r="C3702" t="s">
        <v>433</v>
      </c>
      <c r="F3702">
        <v>1.31350343912901E-8</v>
      </c>
      <c r="G3702">
        <v>4567905</v>
      </c>
      <c r="H3702">
        <v>14575847</v>
      </c>
      <c r="I3702">
        <v>724992</v>
      </c>
      <c r="J3702">
        <v>5</v>
      </c>
    </row>
    <row r="3703" spans="1:10" x14ac:dyDescent="0.25">
      <c r="A3703" t="s">
        <v>39</v>
      </c>
      <c r="B3703" s="1" t="str">
        <f>HYPERLINK("http://cammackhealth.com","cammackhealth.com")</f>
        <v>cammackhealth.com</v>
      </c>
      <c r="C3703" t="s">
        <v>433</v>
      </c>
      <c r="F3703">
        <v>4.8243047596328303E-9</v>
      </c>
      <c r="G3703">
        <v>35054069</v>
      </c>
      <c r="H3703">
        <v>11139721</v>
      </c>
      <c r="I3703">
        <v>31840254</v>
      </c>
      <c r="J3703">
        <v>3</v>
      </c>
    </row>
    <row r="3704" spans="1:10" x14ac:dyDescent="0.25">
      <c r="A3704" t="s">
        <v>39</v>
      </c>
      <c r="B3704" s="1" t="str">
        <f>HYPERLINK("http://clubzc.com","clubzc.com")</f>
        <v>clubzc.com</v>
      </c>
      <c r="C3704" t="s">
        <v>433</v>
      </c>
      <c r="J3704">
        <v>4</v>
      </c>
    </row>
    <row r="3705" spans="1:10" x14ac:dyDescent="0.25">
      <c r="A3705" t="s">
        <v>39</v>
      </c>
      <c r="B3705" s="1" t="str">
        <f>HYPERLINK("http://coverwallet.com","coverwallet.com")</f>
        <v>coverwallet.com</v>
      </c>
      <c r="C3705" t="s">
        <v>433</v>
      </c>
      <c r="E3705">
        <v>212344</v>
      </c>
      <c r="F3705">
        <v>5.6409943643585499E-7</v>
      </c>
      <c r="G3705">
        <v>67929</v>
      </c>
      <c r="H3705">
        <v>14304453</v>
      </c>
      <c r="I3705">
        <v>1352200</v>
      </c>
      <c r="J3705">
        <v>3</v>
      </c>
    </row>
    <row r="3706" spans="1:10" x14ac:dyDescent="0.25">
      <c r="A3706" t="s">
        <v>39</v>
      </c>
      <c r="B3706" s="1" t="str">
        <f>HYPERLINK("http://cpai.com","cpai.com")</f>
        <v>cpai.com</v>
      </c>
      <c r="C3706" t="s">
        <v>433</v>
      </c>
      <c r="E3706">
        <v>735279</v>
      </c>
      <c r="F3706">
        <v>3.7167938575533502E-8</v>
      </c>
      <c r="G3706">
        <v>1393812</v>
      </c>
      <c r="H3706">
        <v>13325959</v>
      </c>
      <c r="I3706">
        <v>10731154</v>
      </c>
      <c r="J3706">
        <v>3</v>
      </c>
    </row>
    <row r="3707" spans="1:10" x14ac:dyDescent="0.25">
      <c r="A3707" t="s">
        <v>39</v>
      </c>
      <c r="B3707" s="1" t="str">
        <f>HYPERLINK("http://crion.com","crion.com")</f>
        <v>crion.com</v>
      </c>
      <c r="C3707" t="s">
        <v>433</v>
      </c>
      <c r="F3707">
        <v>7.2185899589142698E-9</v>
      </c>
      <c r="G3707">
        <v>11691459</v>
      </c>
      <c r="H3707">
        <v>12419730</v>
      </c>
      <c r="I3707">
        <v>18463125</v>
      </c>
      <c r="J3707">
        <v>3</v>
      </c>
    </row>
    <row r="3708" spans="1:10" x14ac:dyDescent="0.25">
      <c r="A3708" t="s">
        <v>39</v>
      </c>
      <c r="B3708" s="1" t="str">
        <f>HYPERLINK("http://cut-e.com","cut-e.com")</f>
        <v>cut-e.com</v>
      </c>
      <c r="C3708" t="s">
        <v>433</v>
      </c>
      <c r="F3708">
        <v>5.9376240287458397E-8</v>
      </c>
      <c r="G3708">
        <v>745818</v>
      </c>
      <c r="H3708">
        <v>13812221</v>
      </c>
      <c r="I3708">
        <v>6188814</v>
      </c>
      <c r="J3708">
        <v>3</v>
      </c>
    </row>
    <row r="3709" spans="1:10" x14ac:dyDescent="0.25">
      <c r="A3709" t="s">
        <v>39</v>
      </c>
      <c r="B3709" s="1" t="str">
        <f>HYPERLINK("http://dentists-advantage.com","dentists-advantage.com")</f>
        <v>dentists-advantage.com</v>
      </c>
      <c r="C3709" t="s">
        <v>433</v>
      </c>
      <c r="F3709">
        <v>1.6246203321691801E-8</v>
      </c>
      <c r="G3709">
        <v>3483914</v>
      </c>
      <c r="H3709">
        <v>12523372</v>
      </c>
      <c r="I3709">
        <v>17117333</v>
      </c>
      <c r="J3709">
        <v>3</v>
      </c>
    </row>
    <row r="3710" spans="1:10" x14ac:dyDescent="0.25">
      <c r="A3710" t="s">
        <v>39</v>
      </c>
      <c r="B3710" s="1" t="str">
        <f>HYPERLINK("http://elys.com","elys.com")</f>
        <v>elys.com</v>
      </c>
      <c r="C3710" t="s">
        <v>433</v>
      </c>
      <c r="F3710">
        <v>1.32984499387169E-7</v>
      </c>
      <c r="G3710">
        <v>293790</v>
      </c>
      <c r="H3710">
        <v>13717345</v>
      </c>
      <c r="I3710">
        <v>9500528</v>
      </c>
      <c r="J3710">
        <v>3</v>
      </c>
    </row>
    <row r="3711" spans="1:10" x14ac:dyDescent="0.25">
      <c r="A3711" t="s">
        <v>39</v>
      </c>
      <c r="B3711" s="1" t="str">
        <f>HYPERLINK("http://futuritygroup.com","futuritygroup.com")</f>
        <v>futuritygroup.com</v>
      </c>
      <c r="C3711" t="s">
        <v>433</v>
      </c>
      <c r="F3711">
        <v>7.9662063224926601E-9</v>
      </c>
      <c r="G3711">
        <v>9983492</v>
      </c>
      <c r="H3711">
        <v>10899208</v>
      </c>
      <c r="I3711">
        <v>35854345</v>
      </c>
      <c r="J3711">
        <v>3</v>
      </c>
    </row>
    <row r="3712" spans="1:10" x14ac:dyDescent="0.25">
      <c r="A3712" t="s">
        <v>39</v>
      </c>
      <c r="B3712" s="1" t="str">
        <f>HYPERLINK("http://gdssecurity.com","gdssecurity.com")</f>
        <v>gdssecurity.com</v>
      </c>
      <c r="C3712" t="s">
        <v>433</v>
      </c>
      <c r="E3712">
        <v>694980</v>
      </c>
      <c r="F3712">
        <v>1.6821096930510999E-7</v>
      </c>
      <c r="G3712">
        <v>230680</v>
      </c>
      <c r="H3712">
        <v>14634803</v>
      </c>
      <c r="I3712">
        <v>641542</v>
      </c>
      <c r="J3712">
        <v>3</v>
      </c>
    </row>
    <row r="3713" spans="1:10" x14ac:dyDescent="0.25">
      <c r="A3713" t="s">
        <v>39</v>
      </c>
      <c r="B3713" s="1" t="str">
        <f>HYPERLINK("http://hewittassocs.com","hewittassocs.com")</f>
        <v>hewittassocs.com</v>
      </c>
      <c r="C3713" t="s">
        <v>433</v>
      </c>
      <c r="J3713">
        <v>4</v>
      </c>
    </row>
    <row r="3714" spans="1:10" x14ac:dyDescent="0.25">
      <c r="A3714" t="s">
        <v>39</v>
      </c>
      <c r="B3714" s="1" t="str">
        <f>HYPERLINK("http://hinelegal.com","hinelegal.com")</f>
        <v>hinelegal.com</v>
      </c>
      <c r="C3714" t="s">
        <v>433</v>
      </c>
      <c r="F3714">
        <v>5.0972418105240901E-9</v>
      </c>
      <c r="G3714">
        <v>27136468</v>
      </c>
      <c r="H3714">
        <v>10938499</v>
      </c>
      <c r="I3714">
        <v>34868114</v>
      </c>
      <c r="J3714">
        <v>4</v>
      </c>
    </row>
    <row r="3715" spans="1:10" x14ac:dyDescent="0.25">
      <c r="A3715" t="s">
        <v>39</v>
      </c>
      <c r="B3715" s="1" t="str">
        <f>HYPERLINK("http://impactforecasting.com","impactforecasting.com")</f>
        <v>impactforecasting.com</v>
      </c>
      <c r="C3715" t="s">
        <v>433</v>
      </c>
      <c r="F3715">
        <v>2.3685953617436199E-8</v>
      </c>
      <c r="G3715">
        <v>2194939</v>
      </c>
      <c r="H3715">
        <v>13187321</v>
      </c>
      <c r="I3715">
        <v>11612527</v>
      </c>
      <c r="J3715">
        <v>3</v>
      </c>
    </row>
    <row r="3716" spans="1:10" x14ac:dyDescent="0.25">
      <c r="A3716" t="s">
        <v>39</v>
      </c>
      <c r="B3716" s="1" t="str">
        <f>HYPERLINK("http://inpoint.com","inpoint.com")</f>
        <v>inpoint.com</v>
      </c>
      <c r="C3716" t="s">
        <v>433</v>
      </c>
      <c r="F3716">
        <v>1.1484822187667301E-8</v>
      </c>
      <c r="G3716">
        <v>5515741</v>
      </c>
      <c r="H3716">
        <v>12685513</v>
      </c>
      <c r="I3716">
        <v>15453982</v>
      </c>
      <c r="J3716">
        <v>3</v>
      </c>
    </row>
    <row r="3717" spans="1:10" x14ac:dyDescent="0.25">
      <c r="A3717" t="s">
        <v>39</v>
      </c>
      <c r="B3717" s="1" t="str">
        <f>HYPERLINK("http://inspiringbenefits.com","inspiringbenefits.com")</f>
        <v>inspiringbenefits.com</v>
      </c>
      <c r="C3717" t="s">
        <v>433</v>
      </c>
      <c r="E3717">
        <v>769622</v>
      </c>
      <c r="F3717">
        <v>2.2970373114866799E-8</v>
      </c>
      <c r="G3717">
        <v>2275082</v>
      </c>
      <c r="H3717">
        <v>14125731</v>
      </c>
      <c r="I3717">
        <v>2113689</v>
      </c>
      <c r="J3717">
        <v>3</v>
      </c>
    </row>
    <row r="3718" spans="1:10" x14ac:dyDescent="0.25">
      <c r="A3718" t="s">
        <v>39</v>
      </c>
      <c r="B3718" s="1" t="str">
        <f>HYPERLINK("http://lorica.com","lorica.com")</f>
        <v>lorica.com</v>
      </c>
      <c r="C3718" t="s">
        <v>433</v>
      </c>
      <c r="F3718">
        <v>4.4951550641944603E-9</v>
      </c>
      <c r="G3718">
        <v>59677622</v>
      </c>
      <c r="H3718">
        <v>12099348</v>
      </c>
      <c r="I3718">
        <v>25983821</v>
      </c>
      <c r="J3718">
        <v>5</v>
      </c>
    </row>
    <row r="3719" spans="1:10" x14ac:dyDescent="0.25">
      <c r="A3719" t="s">
        <v>39</v>
      </c>
      <c r="B3719" s="1" t="str">
        <f>HYPERLINK("http://maptqcn.com","maptqcn.com")</f>
        <v>maptqcn.com</v>
      </c>
      <c r="C3719" t="s">
        <v>433</v>
      </c>
      <c r="F3719">
        <v>4.44382020308573E-9</v>
      </c>
      <c r="G3719">
        <v>79198872</v>
      </c>
      <c r="H3719">
        <v>10358499</v>
      </c>
      <c r="I3719">
        <v>55322826</v>
      </c>
      <c r="J3719">
        <v>3</v>
      </c>
    </row>
    <row r="3720" spans="1:10" x14ac:dyDescent="0.25">
      <c r="A3720" t="s">
        <v>39</v>
      </c>
      <c r="B3720" s="1" t="str">
        <f>HYPERLINK("http://meeus.com","meeus.com")</f>
        <v>meeus.com</v>
      </c>
      <c r="C3720" t="s">
        <v>433</v>
      </c>
      <c r="E3720">
        <v>949476</v>
      </c>
      <c r="F3720">
        <v>5.45919970227662E-8</v>
      </c>
      <c r="G3720">
        <v>826022</v>
      </c>
      <c r="H3720">
        <v>14010012</v>
      </c>
      <c r="I3720">
        <v>4001521</v>
      </c>
      <c r="J3720">
        <v>4</v>
      </c>
    </row>
    <row r="3721" spans="1:10" x14ac:dyDescent="0.25">
      <c r="A3721" t="s">
        <v>39</v>
      </c>
      <c r="B3721" s="1" t="str">
        <f>HYPERLINK("http://modernsurvey.com","modernsurvey.com")</f>
        <v>modernsurvey.com</v>
      </c>
      <c r="C3721" t="s">
        <v>433</v>
      </c>
      <c r="E3721">
        <v>207706</v>
      </c>
      <c r="F3721">
        <v>4.1890898100330697E-8</v>
      </c>
      <c r="G3721">
        <v>1172602</v>
      </c>
      <c r="H3721">
        <v>13948814</v>
      </c>
      <c r="I3721">
        <v>4190513</v>
      </c>
      <c r="J3721">
        <v>3</v>
      </c>
    </row>
    <row r="3722" spans="1:10" x14ac:dyDescent="0.25">
      <c r="A3722" t="s">
        <v>39</v>
      </c>
      <c r="B3722" s="1" t="str">
        <f>HYPERLINK("http://natlclub-ins.com","natlclub-ins.com")</f>
        <v>natlclub-ins.com</v>
      </c>
      <c r="C3722" t="s">
        <v>433</v>
      </c>
      <c r="J3722">
        <v>3</v>
      </c>
    </row>
    <row r="3723" spans="1:10" x14ac:dyDescent="0.25">
      <c r="A3723" t="s">
        <v>39</v>
      </c>
      <c r="B3723" s="1" t="str">
        <f>HYPERLINK("http://palabe.com","palabe.com")</f>
        <v>palabe.com</v>
      </c>
      <c r="C3723" t="s">
        <v>433</v>
      </c>
      <c r="F3723">
        <v>4.5394577595281202E-9</v>
      </c>
      <c r="G3723">
        <v>53398506</v>
      </c>
      <c r="H3723">
        <v>10430588</v>
      </c>
      <c r="I3723">
        <v>53701008</v>
      </c>
      <c r="J3723">
        <v>5</v>
      </c>
    </row>
    <row r="3724" spans="1:10" x14ac:dyDescent="0.25">
      <c r="A3724" t="s">
        <v>39</v>
      </c>
      <c r="B3724" s="1" t="str">
        <f>HYPERLINK("http://reinsuranceconnect.com","reinsuranceconnect.com")</f>
        <v>reinsuranceconnect.com</v>
      </c>
      <c r="C3724" t="s">
        <v>433</v>
      </c>
      <c r="J3724">
        <v>3</v>
      </c>
    </row>
    <row r="3725" spans="1:10" x14ac:dyDescent="0.25">
      <c r="A3725" t="s">
        <v>39</v>
      </c>
      <c r="B3725" s="1" t="str">
        <f>HYPERLINK("http://strozfriedberg.com","strozfriedberg.com")</f>
        <v>strozfriedberg.com</v>
      </c>
      <c r="C3725" t="s">
        <v>433</v>
      </c>
      <c r="F3725">
        <v>1.4311036945653599E-7</v>
      </c>
      <c r="G3725">
        <v>272034</v>
      </c>
      <c r="H3725">
        <v>14936081</v>
      </c>
      <c r="I3725">
        <v>445389</v>
      </c>
      <c r="J3725">
        <v>3</v>
      </c>
    </row>
    <row r="3726" spans="1:10" x14ac:dyDescent="0.25">
      <c r="A3726" t="s">
        <v>39</v>
      </c>
      <c r="B3726" s="1" t="str">
        <f>HYPERLINK("http://townsendgroup.com","townsendgroup.com")</f>
        <v>townsendgroup.com</v>
      </c>
      <c r="C3726" t="s">
        <v>433</v>
      </c>
      <c r="F3726">
        <v>1.11699300349023E-8</v>
      </c>
      <c r="G3726">
        <v>5734740</v>
      </c>
      <c r="H3726">
        <v>13808255</v>
      </c>
      <c r="I3726">
        <v>6222752</v>
      </c>
      <c r="J3726">
        <v>3</v>
      </c>
    </row>
    <row r="3727" spans="1:10" x14ac:dyDescent="0.25">
      <c r="A3727" t="s">
        <v>39</v>
      </c>
      <c r="B3727" s="1" t="str">
        <f>HYPERLINK("http://valleyoak.com","valleyoak.com")</f>
        <v>valleyoak.com</v>
      </c>
      <c r="C3727" t="s">
        <v>433</v>
      </c>
      <c r="F3727">
        <v>4.6937129788915899E-9</v>
      </c>
      <c r="G3727">
        <v>41603103</v>
      </c>
      <c r="H3727">
        <v>11290834</v>
      </c>
      <c r="I3727">
        <v>30652258</v>
      </c>
      <c r="J3727">
        <v>4</v>
      </c>
    </row>
    <row r="3728" spans="1:10" x14ac:dyDescent="0.25">
      <c r="A3728" t="s">
        <v>39</v>
      </c>
      <c r="B3728" s="1" t="str">
        <f>HYPERLINK("http://welloneapp.com","welloneapp.com")</f>
        <v>welloneapp.com</v>
      </c>
      <c r="C3728" t="s">
        <v>433</v>
      </c>
      <c r="F3728">
        <v>1.7628676141857099E-8</v>
      </c>
      <c r="G3728">
        <v>3112591</v>
      </c>
      <c r="H3728">
        <v>14030021</v>
      </c>
      <c r="I3728">
        <v>3947423</v>
      </c>
      <c r="J3728">
        <v>3</v>
      </c>
    </row>
    <row r="3729" spans="1:10" x14ac:dyDescent="0.25">
      <c r="A3729" t="s">
        <v>39</v>
      </c>
      <c r="B3729" s="1" t="str">
        <f>HYPERLINK("http://yianyouxuan.com","yianyouxuan.com")</f>
        <v>yianyouxuan.com</v>
      </c>
      <c r="C3729" t="s">
        <v>433</v>
      </c>
      <c r="J3729">
        <v>3</v>
      </c>
    </row>
    <row r="3730" spans="1:10" x14ac:dyDescent="0.25">
      <c r="A3730" t="s">
        <v>39</v>
      </c>
      <c r="B3730" s="1" t="str">
        <f>HYPERLINK("http://aon.de","aon.de")</f>
        <v>aon.de</v>
      </c>
      <c r="C3730" t="s">
        <v>436</v>
      </c>
      <c r="D3730" t="s">
        <v>815</v>
      </c>
      <c r="F3730">
        <v>3.4674153442167103E-8</v>
      </c>
      <c r="G3730">
        <v>1496691</v>
      </c>
      <c r="H3730">
        <v>14129024</v>
      </c>
      <c r="I3730">
        <v>2052368</v>
      </c>
      <c r="J3730">
        <v>2</v>
      </c>
    </row>
    <row r="3731" spans="1:10" x14ac:dyDescent="0.25">
      <c r="A3731" t="s">
        <v>39</v>
      </c>
      <c r="B3731" s="1" t="str">
        <f>HYPERLINK("http://aon-consulting-services.de","aon-consulting-services.de")</f>
        <v>aon-consulting-services.de</v>
      </c>
      <c r="C3731" t="s">
        <v>436</v>
      </c>
      <c r="D3731" t="s">
        <v>815</v>
      </c>
      <c r="J3731">
        <v>2</v>
      </c>
    </row>
    <row r="3732" spans="1:10" x14ac:dyDescent="0.25">
      <c r="A3732" t="s">
        <v>39</v>
      </c>
      <c r="B3732" s="1" t="str">
        <f>HYPERLINK("http://hgfv.de","hgfv.de")</f>
        <v>hgfv.de</v>
      </c>
      <c r="C3732" t="s">
        <v>436</v>
      </c>
      <c r="D3732" t="s">
        <v>815</v>
      </c>
      <c r="F3732">
        <v>4.7311874768094304E-9</v>
      </c>
      <c r="G3732">
        <v>39284497</v>
      </c>
      <c r="H3732">
        <v>12125819</v>
      </c>
      <c r="I3732">
        <v>25261318</v>
      </c>
      <c r="J3732">
        <v>3</v>
      </c>
    </row>
    <row r="3733" spans="1:10" x14ac:dyDescent="0.25">
      <c r="A3733" t="s">
        <v>39</v>
      </c>
      <c r="B3733" s="1" t="str">
        <f>HYPERLINK("http://trium-ib.de","trium-ib.de")</f>
        <v>trium-ib.de</v>
      </c>
      <c r="C3733" t="s">
        <v>436</v>
      </c>
      <c r="D3733" t="s">
        <v>815</v>
      </c>
      <c r="F3733">
        <v>5.9412526410141496E-9</v>
      </c>
      <c r="G3733">
        <v>17078331</v>
      </c>
      <c r="H3733">
        <v>10554230</v>
      </c>
      <c r="I3733">
        <v>46553333</v>
      </c>
      <c r="J3733">
        <v>3</v>
      </c>
    </row>
    <row r="3734" spans="1:10" x14ac:dyDescent="0.25">
      <c r="A3734" t="s">
        <v>39</v>
      </c>
      <c r="B3734" s="1" t="str">
        <f>HYPERLINK("http://unita.de","unita.de")</f>
        <v>unita.de</v>
      </c>
      <c r="C3734" t="s">
        <v>436</v>
      </c>
      <c r="D3734" t="s">
        <v>815</v>
      </c>
      <c r="F3734">
        <v>1.78030608823754E-8</v>
      </c>
      <c r="G3734">
        <v>3074165</v>
      </c>
      <c r="H3734">
        <v>12140638</v>
      </c>
      <c r="I3734">
        <v>24865527</v>
      </c>
      <c r="J3734">
        <v>3</v>
      </c>
    </row>
    <row r="3735" spans="1:10" x14ac:dyDescent="0.25">
      <c r="A3735" t="s">
        <v>39</v>
      </c>
      <c r="B3735" s="1" t="str">
        <f>HYPERLINK("http://aon.ee","aon.ee")</f>
        <v>aon.ee</v>
      </c>
      <c r="C3735" t="s">
        <v>441</v>
      </c>
      <c r="D3735" t="s">
        <v>820</v>
      </c>
      <c r="F3735">
        <v>5.4307339946578802E-9</v>
      </c>
      <c r="G3735">
        <v>21731116</v>
      </c>
      <c r="H3735">
        <v>9508771</v>
      </c>
      <c r="I3735">
        <v>65603993</v>
      </c>
      <c r="J3735">
        <v>3</v>
      </c>
    </row>
    <row r="3736" spans="1:10" x14ac:dyDescent="0.25">
      <c r="A3736" t="s">
        <v>39</v>
      </c>
      <c r="B3736" s="1" t="str">
        <f>HYPERLINK("http://aon.es","aon.es")</f>
        <v>aon.es</v>
      </c>
      <c r="C3736" t="s">
        <v>443</v>
      </c>
      <c r="D3736" t="s">
        <v>822</v>
      </c>
      <c r="E3736">
        <v>334802</v>
      </c>
      <c r="F3736">
        <v>5.3876272110874402E-8</v>
      </c>
      <c r="G3736">
        <v>843504</v>
      </c>
      <c r="H3736">
        <v>13082337</v>
      </c>
      <c r="I3736">
        <v>12175792</v>
      </c>
      <c r="J3736">
        <v>2</v>
      </c>
    </row>
    <row r="3737" spans="1:10" x14ac:dyDescent="0.25">
      <c r="A3737" t="s">
        <v>39</v>
      </c>
      <c r="B3737" s="1" t="str">
        <f>HYPERLINK("http://mascotasegura.es","mascotasegura.es")</f>
        <v>mascotasegura.es</v>
      </c>
      <c r="C3737" t="s">
        <v>443</v>
      </c>
      <c r="D3737" t="s">
        <v>822</v>
      </c>
      <c r="F3737">
        <v>6.6356148025827204E-9</v>
      </c>
      <c r="G3737">
        <v>13538279</v>
      </c>
      <c r="H3737">
        <v>11266209</v>
      </c>
      <c r="I3737">
        <v>30794001</v>
      </c>
      <c r="J3737">
        <v>4</v>
      </c>
    </row>
    <row r="3738" spans="1:10" x14ac:dyDescent="0.25">
      <c r="A3738" t="s">
        <v>39</v>
      </c>
      <c r="B3738" s="1" t="str">
        <f>HYPERLINK("http://wannet.eu","wannet.eu")</f>
        <v>wannet.eu</v>
      </c>
      <c r="C3738" t="s">
        <v>444</v>
      </c>
      <c r="F3738">
        <v>1.6322467514875699E-8</v>
      </c>
      <c r="G3738">
        <v>3465255</v>
      </c>
      <c r="H3738">
        <v>12825328</v>
      </c>
      <c r="I3738">
        <v>14462296</v>
      </c>
      <c r="J3738">
        <v>3</v>
      </c>
    </row>
    <row r="3739" spans="1:10" x14ac:dyDescent="0.25">
      <c r="A3739" t="s">
        <v>39</v>
      </c>
      <c r="B3739" s="1" t="str">
        <f>HYPERLINK("http://adconsulting.fi","adconsulting.fi")</f>
        <v>adconsulting.fi</v>
      </c>
      <c r="C3739" t="s">
        <v>445</v>
      </c>
      <c r="D3739" t="s">
        <v>823</v>
      </c>
      <c r="J3739">
        <v>6</v>
      </c>
    </row>
    <row r="3740" spans="1:10" x14ac:dyDescent="0.25">
      <c r="A3740" t="s">
        <v>39</v>
      </c>
      <c r="B3740" s="1" t="str">
        <f>HYPERLINK("http://adis.fi","adis.fi")</f>
        <v>adis.fi</v>
      </c>
      <c r="C3740" t="s">
        <v>445</v>
      </c>
      <c r="D3740" t="s">
        <v>823</v>
      </c>
      <c r="F3740">
        <v>8.8169651651235103E-9</v>
      </c>
      <c r="G3740">
        <v>8277121</v>
      </c>
      <c r="H3740">
        <v>12127819</v>
      </c>
      <c r="I3740">
        <v>25205588</v>
      </c>
      <c r="J3740">
        <v>4</v>
      </c>
    </row>
    <row r="3741" spans="1:10" x14ac:dyDescent="0.25">
      <c r="A3741" t="s">
        <v>39</v>
      </c>
      <c r="B3741" s="1" t="str">
        <f>HYPERLINK("http://aon.fi","aon.fi")</f>
        <v>aon.fi</v>
      </c>
      <c r="C3741" t="s">
        <v>445</v>
      </c>
      <c r="D3741" t="s">
        <v>823</v>
      </c>
      <c r="J3741">
        <v>2</v>
      </c>
    </row>
    <row r="3742" spans="1:10" x14ac:dyDescent="0.25">
      <c r="A3742" t="s">
        <v>39</v>
      </c>
      <c r="B3742" s="1" t="str">
        <f>HYPERLINK("http://aontotal.fi","aontotal.fi")</f>
        <v>aontotal.fi</v>
      </c>
      <c r="C3742" t="s">
        <v>445</v>
      </c>
      <c r="D3742" t="s">
        <v>823</v>
      </c>
      <c r="J3742">
        <v>4</v>
      </c>
    </row>
    <row r="3743" spans="1:10" x14ac:dyDescent="0.25">
      <c r="A3743" t="s">
        <v>39</v>
      </c>
      <c r="B3743" s="1" t="str">
        <f>HYPERLINK("http://aonverkkokauppa.fi","aonverkkokauppa.fi")</f>
        <v>aonverkkokauppa.fi</v>
      </c>
      <c r="C3743" t="s">
        <v>445</v>
      </c>
      <c r="D3743" t="s">
        <v>823</v>
      </c>
      <c r="F3743">
        <v>5.5594945451696399E-9</v>
      </c>
      <c r="G3743">
        <v>20279514</v>
      </c>
      <c r="H3743">
        <v>12083703</v>
      </c>
      <c r="I3743">
        <v>26471214</v>
      </c>
      <c r="J3743">
        <v>2</v>
      </c>
    </row>
    <row r="3744" spans="1:10" x14ac:dyDescent="0.25">
      <c r="A3744" t="s">
        <v>39</v>
      </c>
      <c r="B3744" s="1" t="str">
        <f>HYPERLINK("http://bia-test.fi","bia-test.fi")</f>
        <v>bia-test.fi</v>
      </c>
      <c r="C3744" t="s">
        <v>445</v>
      </c>
      <c r="D3744" t="s">
        <v>823</v>
      </c>
      <c r="J3744">
        <v>3</v>
      </c>
    </row>
    <row r="3745" spans="1:10" x14ac:dyDescent="0.25">
      <c r="A3745" t="s">
        <v>39</v>
      </c>
      <c r="B3745" s="1" t="str">
        <f>HYPERLINK("http://cut-e.fi","cut-e.fi")</f>
        <v>cut-e.fi</v>
      </c>
      <c r="C3745" t="s">
        <v>445</v>
      </c>
      <c r="D3745" t="s">
        <v>823</v>
      </c>
      <c r="J3745">
        <v>4</v>
      </c>
    </row>
    <row r="3746" spans="1:10" x14ac:dyDescent="0.25">
      <c r="A3746" t="s">
        <v>39</v>
      </c>
      <c r="B3746" s="1" t="str">
        <f>HYPERLINK("http://luottoriski.fi","luottoriski.fi")</f>
        <v>luottoriski.fi</v>
      </c>
      <c r="C3746" t="s">
        <v>445</v>
      </c>
      <c r="D3746" t="s">
        <v>823</v>
      </c>
      <c r="J3746">
        <v>2</v>
      </c>
    </row>
    <row r="3747" spans="1:10" x14ac:dyDescent="0.25">
      <c r="A3747" t="s">
        <v>39</v>
      </c>
      <c r="B3747" s="1" t="str">
        <f>HYPERLINK("http://welloneapp.fi","welloneapp.fi")</f>
        <v>welloneapp.fi</v>
      </c>
      <c r="C3747" t="s">
        <v>445</v>
      </c>
      <c r="D3747" t="s">
        <v>823</v>
      </c>
      <c r="J3747">
        <v>4</v>
      </c>
    </row>
    <row r="3748" spans="1:10" x14ac:dyDescent="0.25">
      <c r="A3748" t="s">
        <v>39</v>
      </c>
      <c r="B3748" s="1" t="str">
        <f>HYPERLINK("http://youngsurance.fi","youngsurance.fi")</f>
        <v>youngsurance.fi</v>
      </c>
      <c r="C3748" t="s">
        <v>445</v>
      </c>
      <c r="D3748" t="s">
        <v>823</v>
      </c>
      <c r="J3748">
        <v>4</v>
      </c>
    </row>
    <row r="3749" spans="1:10" x14ac:dyDescent="0.25">
      <c r="A3749" t="s">
        <v>39</v>
      </c>
      <c r="B3749" s="1" t="str">
        <f>HYPERLINK("http://aon.fr","aon.fr")</f>
        <v>aon.fr</v>
      </c>
      <c r="C3749" t="s">
        <v>446</v>
      </c>
      <c r="D3749" t="s">
        <v>824</v>
      </c>
      <c r="F3749">
        <v>3.8222814483331602E-8</v>
      </c>
      <c r="G3749">
        <v>1354223</v>
      </c>
      <c r="H3749">
        <v>13792732</v>
      </c>
      <c r="I3749">
        <v>6327629</v>
      </c>
      <c r="J3749">
        <v>2</v>
      </c>
    </row>
    <row r="3750" spans="1:10" x14ac:dyDescent="0.25">
      <c r="A3750" t="s">
        <v>39</v>
      </c>
      <c r="B3750" s="1" t="str">
        <f>HYPERLINK("http://aon.hu","aon.hu")</f>
        <v>aon.hu</v>
      </c>
      <c r="C3750" t="s">
        <v>453</v>
      </c>
      <c r="D3750" t="s">
        <v>830</v>
      </c>
      <c r="F3750">
        <v>1.08706271727835E-8</v>
      </c>
      <c r="G3750">
        <v>5965062</v>
      </c>
      <c r="H3750">
        <v>12398454</v>
      </c>
      <c r="I3750">
        <v>18877773</v>
      </c>
      <c r="J3750">
        <v>2</v>
      </c>
    </row>
    <row r="3751" spans="1:10" x14ac:dyDescent="0.25">
      <c r="A3751" t="s">
        <v>39</v>
      </c>
      <c r="B3751" s="1" t="str">
        <f>HYPERLINK("http://anviti.in","anviti.in")</f>
        <v>anviti.in</v>
      </c>
      <c r="C3751" t="s">
        <v>457</v>
      </c>
      <c r="D3751" t="s">
        <v>834</v>
      </c>
      <c r="F3751">
        <v>4.7629561512262103E-9</v>
      </c>
      <c r="G3751">
        <v>37686462</v>
      </c>
      <c r="H3751">
        <v>12521923</v>
      </c>
      <c r="I3751">
        <v>17129740</v>
      </c>
      <c r="J3751">
        <v>5</v>
      </c>
    </row>
    <row r="3752" spans="1:10" x14ac:dyDescent="0.25">
      <c r="A3752" t="s">
        <v>39</v>
      </c>
      <c r="B3752" s="1" t="str">
        <f>HYPERLINK("http://aon.io","aon.io")</f>
        <v>aon.io</v>
      </c>
      <c r="C3752" t="s">
        <v>518</v>
      </c>
      <c r="F3752">
        <v>8.9011713241443996E-8</v>
      </c>
      <c r="G3752">
        <v>459328</v>
      </c>
      <c r="H3752">
        <v>13935122</v>
      </c>
      <c r="I3752">
        <v>4550629</v>
      </c>
      <c r="J3752">
        <v>2</v>
      </c>
    </row>
    <row r="3753" spans="1:10" x14ac:dyDescent="0.25">
      <c r="A3753" t="s">
        <v>39</v>
      </c>
      <c r="B3753" s="1" t="str">
        <f>HYPERLINK("http://aon.it","aon.it")</f>
        <v>aon.it</v>
      </c>
      <c r="C3753" t="s">
        <v>459</v>
      </c>
      <c r="D3753" t="s">
        <v>835</v>
      </c>
      <c r="E3753">
        <v>279719</v>
      </c>
      <c r="F3753">
        <v>9.9163467298192601E-8</v>
      </c>
      <c r="G3753">
        <v>406192</v>
      </c>
      <c r="H3753">
        <v>13613230</v>
      </c>
      <c r="I3753">
        <v>9632837</v>
      </c>
      <c r="J3753">
        <v>2</v>
      </c>
    </row>
    <row r="3754" spans="1:10" x14ac:dyDescent="0.25">
      <c r="A3754" t="s">
        <v>39</v>
      </c>
      <c r="B3754" s="1" t="str">
        <f>HYPERLINK("http://aon.lt","aon.lt")</f>
        <v>aon.lt</v>
      </c>
      <c r="C3754" t="s">
        <v>467</v>
      </c>
      <c r="D3754" t="s">
        <v>843</v>
      </c>
      <c r="F3754">
        <v>1.77004499582991E-8</v>
      </c>
      <c r="G3754">
        <v>3096611</v>
      </c>
      <c r="H3754">
        <v>11219021</v>
      </c>
      <c r="I3754">
        <v>31099957</v>
      </c>
      <c r="J3754">
        <v>3</v>
      </c>
    </row>
    <row r="3755" spans="1:10" x14ac:dyDescent="0.25">
      <c r="A3755" t="s">
        <v>39</v>
      </c>
      <c r="B3755" s="1" t="str">
        <f>HYPERLINK("http://ou.lt","ou.lt")</f>
        <v>ou.lt</v>
      </c>
      <c r="C3755" t="s">
        <v>467</v>
      </c>
      <c r="D3755" t="s">
        <v>843</v>
      </c>
      <c r="F3755">
        <v>5.1641282393173903E-9</v>
      </c>
      <c r="G3755">
        <v>25826305</v>
      </c>
      <c r="H3755">
        <v>10959425</v>
      </c>
      <c r="I3755">
        <v>34371127</v>
      </c>
      <c r="J3755">
        <v>3</v>
      </c>
    </row>
    <row r="3756" spans="1:10" x14ac:dyDescent="0.25">
      <c r="A3756" t="s">
        <v>39</v>
      </c>
      <c r="B3756" s="1" t="str">
        <f>HYPERLINK("http://aon.lv","aon.lv")</f>
        <v>aon.lv</v>
      </c>
      <c r="C3756" t="s">
        <v>468</v>
      </c>
      <c r="D3756" t="s">
        <v>844</v>
      </c>
      <c r="F3756">
        <v>7.4764166785309002E-9</v>
      </c>
      <c r="G3756">
        <v>11066719</v>
      </c>
      <c r="H3756">
        <v>12313160</v>
      </c>
      <c r="I3756">
        <v>20553902</v>
      </c>
      <c r="J3756">
        <v>2</v>
      </c>
    </row>
    <row r="3757" spans="1:10" x14ac:dyDescent="0.25">
      <c r="A3757" t="s">
        <v>39</v>
      </c>
      <c r="B3757" s="1" t="str">
        <f>HYPERLINK("http://aon.com.mx","aon.com.mx")</f>
        <v>aon.com.mx</v>
      </c>
      <c r="C3757" t="s">
        <v>471</v>
      </c>
      <c r="D3757" t="s">
        <v>847</v>
      </c>
      <c r="F3757">
        <v>4.5171188118884298E-9</v>
      </c>
      <c r="G3757">
        <v>56576031</v>
      </c>
      <c r="H3757">
        <v>12358162</v>
      </c>
      <c r="I3757">
        <v>19621488</v>
      </c>
      <c r="J3757">
        <v>3</v>
      </c>
    </row>
    <row r="3758" spans="1:10" x14ac:dyDescent="0.25">
      <c r="A3758" t="s">
        <v>39</v>
      </c>
      <c r="B3758" s="1" t="str">
        <f>HYPERLINK("http://aon.net","aon.net")</f>
        <v>aon.net</v>
      </c>
      <c r="C3758" t="s">
        <v>474</v>
      </c>
      <c r="E3758">
        <v>56165</v>
      </c>
      <c r="F3758">
        <v>1.2183056901102799E-8</v>
      </c>
      <c r="G3758">
        <v>5060413</v>
      </c>
      <c r="H3758">
        <v>13945425</v>
      </c>
      <c r="I3758">
        <v>4251167</v>
      </c>
      <c r="J3758">
        <v>2</v>
      </c>
    </row>
    <row r="3759" spans="1:10" x14ac:dyDescent="0.25">
      <c r="A3759" t="s">
        <v>39</v>
      </c>
      <c r="B3759" s="1" t="str">
        <f>HYPERLINK("http://benfieldglobal.net","benfieldglobal.net")</f>
        <v>benfieldglobal.net</v>
      </c>
      <c r="C3759" t="s">
        <v>474</v>
      </c>
      <c r="F3759">
        <v>4.4709218720086902E-9</v>
      </c>
      <c r="G3759">
        <v>64346594</v>
      </c>
      <c r="H3759">
        <v>10003419</v>
      </c>
      <c r="I3759">
        <v>60794043</v>
      </c>
      <c r="J3759">
        <v>3</v>
      </c>
    </row>
    <row r="3760" spans="1:10" x14ac:dyDescent="0.25">
      <c r="A3760" t="s">
        <v>39</v>
      </c>
      <c r="B3760" s="1" t="str">
        <f>HYPERLINK("http://aon.nl","aon.nl")</f>
        <v>aon.nl</v>
      </c>
      <c r="C3760" t="s">
        <v>477</v>
      </c>
      <c r="D3760" t="s">
        <v>852</v>
      </c>
      <c r="E3760">
        <v>795300</v>
      </c>
      <c r="F3760">
        <v>1.02012381820969E-7</v>
      </c>
      <c r="G3760">
        <v>393831</v>
      </c>
      <c r="H3760">
        <v>13589079</v>
      </c>
      <c r="I3760">
        <v>9670214</v>
      </c>
      <c r="J3760">
        <v>2</v>
      </c>
    </row>
    <row r="3761" spans="1:10" x14ac:dyDescent="0.25">
      <c r="A3761" t="s">
        <v>39</v>
      </c>
      <c r="B3761" s="1" t="str">
        <f>HYPERLINK("http://aonverzekeringen.nl","aonverzekeringen.nl")</f>
        <v>aonverzekeringen.nl</v>
      </c>
      <c r="C3761" t="s">
        <v>477</v>
      </c>
      <c r="D3761" t="s">
        <v>852</v>
      </c>
      <c r="E3761">
        <v>535770</v>
      </c>
      <c r="F3761">
        <v>2.3846491265399399E-7</v>
      </c>
      <c r="G3761">
        <v>157000</v>
      </c>
      <c r="H3761">
        <v>16763807</v>
      </c>
      <c r="I3761">
        <v>226330</v>
      </c>
      <c r="J3761">
        <v>4</v>
      </c>
    </row>
    <row r="3762" spans="1:10" x14ac:dyDescent="0.25">
      <c r="A3762" t="s">
        <v>39</v>
      </c>
      <c r="B3762" s="1" t="str">
        <f>HYPERLINK("http://care2drive.nl","care2drive.nl")</f>
        <v>care2drive.nl</v>
      </c>
      <c r="C3762" t="s">
        <v>477</v>
      </c>
      <c r="D3762" t="s">
        <v>852</v>
      </c>
      <c r="J3762">
        <v>3</v>
      </c>
    </row>
    <row r="3763" spans="1:10" x14ac:dyDescent="0.25">
      <c r="A3763" t="s">
        <v>39</v>
      </c>
      <c r="B3763" s="1" t="str">
        <f>HYPERLINK("http://iak.nl","iak.nl")</f>
        <v>iak.nl</v>
      </c>
      <c r="C3763" t="s">
        <v>477</v>
      </c>
      <c r="D3763" t="s">
        <v>852</v>
      </c>
      <c r="E3763">
        <v>639095</v>
      </c>
      <c r="F3763">
        <v>3.8113753990312703E-8</v>
      </c>
      <c r="G3763">
        <v>1358034</v>
      </c>
      <c r="H3763">
        <v>13493078</v>
      </c>
      <c r="I3763">
        <v>9983113</v>
      </c>
      <c r="J3763">
        <v>4</v>
      </c>
    </row>
    <row r="3764" spans="1:10" x14ac:dyDescent="0.25">
      <c r="A3764" t="s">
        <v>39</v>
      </c>
      <c r="B3764" s="1" t="str">
        <f>HYPERLINK("http://ik.nl","ik.nl")</f>
        <v>ik.nl</v>
      </c>
      <c r="C3764" t="s">
        <v>477</v>
      </c>
      <c r="D3764" t="s">
        <v>852</v>
      </c>
      <c r="F3764">
        <v>7.3305497582477401E-9</v>
      </c>
      <c r="G3764">
        <v>11406239</v>
      </c>
      <c r="H3764">
        <v>12406622</v>
      </c>
      <c r="I3764">
        <v>18661822</v>
      </c>
      <c r="J3764">
        <v>4</v>
      </c>
    </row>
    <row r="3765" spans="1:10" x14ac:dyDescent="0.25">
      <c r="A3765" t="s">
        <v>39</v>
      </c>
      <c r="B3765" s="1" t="str">
        <f>HYPERLINK("http://kroller.nl","kroller.nl")</f>
        <v>kroller.nl</v>
      </c>
      <c r="C3765" t="s">
        <v>477</v>
      </c>
      <c r="D3765" t="s">
        <v>852</v>
      </c>
      <c r="F3765">
        <v>5.5260306820521097E-9</v>
      </c>
      <c r="G3765">
        <v>20624487</v>
      </c>
      <c r="H3765">
        <v>11356038</v>
      </c>
      <c r="I3765">
        <v>30373052</v>
      </c>
      <c r="J3765">
        <v>4</v>
      </c>
    </row>
    <row r="3766" spans="1:10" x14ac:dyDescent="0.25">
      <c r="A3766" t="s">
        <v>39</v>
      </c>
      <c r="B3766" s="1" t="str">
        <f>HYPERLINK("http://umg.nl","umg.nl")</f>
        <v>umg.nl</v>
      </c>
      <c r="C3766" t="s">
        <v>477</v>
      </c>
      <c r="D3766" t="s">
        <v>852</v>
      </c>
      <c r="F3766">
        <v>6.9071322410396498E-9</v>
      </c>
      <c r="G3766">
        <v>12599129</v>
      </c>
      <c r="H3766">
        <v>13935578</v>
      </c>
      <c r="I3766">
        <v>4526513</v>
      </c>
      <c r="J3766">
        <v>4</v>
      </c>
    </row>
    <row r="3767" spans="1:10" x14ac:dyDescent="0.25">
      <c r="A3767" t="s">
        <v>39</v>
      </c>
      <c r="B3767" s="1" t="str">
        <f>HYPERLINK("http://aon.no","aon.no")</f>
        <v>aon.no</v>
      </c>
      <c r="C3767" t="s">
        <v>478</v>
      </c>
      <c r="D3767" t="s">
        <v>853</v>
      </c>
      <c r="F3767">
        <v>5.2858509079070904E-9</v>
      </c>
      <c r="G3767">
        <v>23704366</v>
      </c>
      <c r="H3767">
        <v>11371431</v>
      </c>
      <c r="I3767">
        <v>30322929</v>
      </c>
      <c r="J3767">
        <v>3</v>
      </c>
    </row>
    <row r="3768" spans="1:10" x14ac:dyDescent="0.25">
      <c r="A3768" t="s">
        <v>39</v>
      </c>
      <c r="B3768" s="1" t="str">
        <f>HYPERLINK("http://aon.co.nz","aon.co.nz")</f>
        <v>aon.co.nz</v>
      </c>
      <c r="C3768" t="s">
        <v>479</v>
      </c>
      <c r="D3768" t="s">
        <v>854</v>
      </c>
      <c r="F3768">
        <v>2.42860821947921E-8</v>
      </c>
      <c r="G3768">
        <v>2135111</v>
      </c>
      <c r="H3768">
        <v>13808245</v>
      </c>
      <c r="I3768">
        <v>6222803</v>
      </c>
      <c r="J3768">
        <v>2</v>
      </c>
    </row>
    <row r="3769" spans="1:10" x14ac:dyDescent="0.25">
      <c r="A3769" t="s">
        <v>39</v>
      </c>
      <c r="B3769" s="1" t="str">
        <f>HYPERLINK("http://glassboro.org","glassboro.org")</f>
        <v>glassboro.org</v>
      </c>
      <c r="C3769" t="s">
        <v>481</v>
      </c>
      <c r="F3769">
        <v>1.68112708377576E-8</v>
      </c>
      <c r="G3769">
        <v>3330646</v>
      </c>
      <c r="H3769">
        <v>14380103</v>
      </c>
      <c r="I3769">
        <v>1196277</v>
      </c>
      <c r="J3769">
        <v>4</v>
      </c>
    </row>
    <row r="3770" spans="1:10" x14ac:dyDescent="0.25">
      <c r="A3770" t="s">
        <v>39</v>
      </c>
      <c r="B3770" s="1" t="str">
        <f>HYPERLINK("http://aon.pt","aon.pt")</f>
        <v>aon.pt</v>
      </c>
      <c r="C3770" t="s">
        <v>488</v>
      </c>
      <c r="D3770" t="s">
        <v>862</v>
      </c>
      <c r="F3770">
        <v>4.6223409415151E-9</v>
      </c>
      <c r="G3770">
        <v>45976469</v>
      </c>
      <c r="H3770">
        <v>11582900</v>
      </c>
      <c r="I3770">
        <v>29941194</v>
      </c>
      <c r="J3770">
        <v>2</v>
      </c>
    </row>
    <row r="3771" spans="1:10" x14ac:dyDescent="0.25">
      <c r="A3771" t="s">
        <v>39</v>
      </c>
      <c r="B3771" s="1" t="str">
        <f>HYPERLINK("http://aonaffinity.ru","aonaffinity.ru")</f>
        <v>aonaffinity.ru</v>
      </c>
      <c r="C3771" t="s">
        <v>493</v>
      </c>
      <c r="D3771" t="s">
        <v>867</v>
      </c>
      <c r="J3771">
        <v>3</v>
      </c>
    </row>
    <row r="3772" spans="1:10" x14ac:dyDescent="0.25">
      <c r="A3772" t="s">
        <v>39</v>
      </c>
      <c r="B3772" s="1" t="str">
        <f>HYPERLINK("http://aon.se","aon.se")</f>
        <v>aon.se</v>
      </c>
      <c r="C3772" t="s">
        <v>495</v>
      </c>
      <c r="D3772" t="s">
        <v>869</v>
      </c>
      <c r="F3772">
        <v>9.2810080771758897E-9</v>
      </c>
      <c r="G3772">
        <v>7597306</v>
      </c>
      <c r="H3772">
        <v>12317454</v>
      </c>
      <c r="I3772">
        <v>20463769</v>
      </c>
      <c r="J3772">
        <v>2</v>
      </c>
    </row>
    <row r="3773" spans="1:10" x14ac:dyDescent="0.25">
      <c r="A3773" t="s">
        <v>39</v>
      </c>
      <c r="B3773" s="1" t="str">
        <f>HYPERLINK("http://aonsolutions.com.tr","aonsolutions.com.tr")</f>
        <v>aonsolutions.com.tr</v>
      </c>
      <c r="C3773" t="s">
        <v>502</v>
      </c>
      <c r="D3773" t="s">
        <v>876</v>
      </c>
      <c r="J3773">
        <v>3</v>
      </c>
    </row>
    <row r="3774" spans="1:10" x14ac:dyDescent="0.25">
      <c r="A3774" t="s">
        <v>39</v>
      </c>
      <c r="B3774" s="1" t="str">
        <f>HYPERLINK("http://ian.com.tw","ian.com.tw")</f>
        <v>ian.com.tw</v>
      </c>
      <c r="C3774" t="s">
        <v>504</v>
      </c>
      <c r="D3774" t="s">
        <v>878</v>
      </c>
      <c r="J3774">
        <v>3</v>
      </c>
    </row>
    <row r="3775" spans="1:10" x14ac:dyDescent="0.25">
      <c r="A3775" t="s">
        <v>39</v>
      </c>
      <c r="B3775" s="1" t="str">
        <f>HYPERLINK("http://aon.co.uk","aon.co.uk")</f>
        <v>aon.co.uk</v>
      </c>
      <c r="C3775" t="s">
        <v>506</v>
      </c>
      <c r="D3775" t="s">
        <v>880</v>
      </c>
      <c r="E3775">
        <v>725120</v>
      </c>
      <c r="F3775">
        <v>7.9631231221346197E-8</v>
      </c>
      <c r="G3775">
        <v>524636</v>
      </c>
      <c r="H3775">
        <v>13882710</v>
      </c>
      <c r="I3775">
        <v>5975740</v>
      </c>
      <c r="J3775">
        <v>2</v>
      </c>
    </row>
    <row r="3776" spans="1:10" x14ac:dyDescent="0.25">
      <c r="A3776" t="s">
        <v>39</v>
      </c>
      <c r="B3776" s="1" t="str">
        <f>HYPERLINK("http://aonannuityfinder.co.uk","aonannuityfinder.co.uk")</f>
        <v>aonannuityfinder.co.uk</v>
      </c>
      <c r="C3776" t="s">
        <v>506</v>
      </c>
      <c r="D3776" t="s">
        <v>880</v>
      </c>
      <c r="J3776">
        <v>4</v>
      </c>
    </row>
    <row r="3777" spans="1:10" x14ac:dyDescent="0.25">
      <c r="A3777" t="s">
        <v>39</v>
      </c>
      <c r="B3777" s="1" t="str">
        <f>HYPERLINK("http://hibl.co.uk","hibl.co.uk")</f>
        <v>hibl.co.uk</v>
      </c>
      <c r="C3777" t="s">
        <v>506</v>
      </c>
      <c r="D3777" t="s">
        <v>880</v>
      </c>
      <c r="F3777">
        <v>6.0473809237743902E-9</v>
      </c>
      <c r="G3777">
        <v>16397444</v>
      </c>
      <c r="H3777">
        <v>13766488</v>
      </c>
      <c r="I3777">
        <v>7001356</v>
      </c>
      <c r="J3777">
        <v>3</v>
      </c>
    </row>
    <row r="3778" spans="1:10" x14ac:dyDescent="0.25">
      <c r="A3778" t="s">
        <v>1589</v>
      </c>
      <c r="B3778" s="1" t="str">
        <f>HYPERLINK("http://athene.bm","athene.bm")</f>
        <v>athene.bm</v>
      </c>
      <c r="C3778" t="s">
        <v>568</v>
      </c>
      <c r="D3778" t="s">
        <v>915</v>
      </c>
      <c r="F3778">
        <v>7.2981636820559001E-9</v>
      </c>
      <c r="G3778">
        <v>11484440</v>
      </c>
      <c r="H3778">
        <v>13307517</v>
      </c>
      <c r="I3778">
        <v>10791499</v>
      </c>
      <c r="J3778">
        <v>4</v>
      </c>
    </row>
    <row r="3779" spans="1:10" x14ac:dyDescent="0.25">
      <c r="A3779" t="s">
        <v>1589</v>
      </c>
      <c r="B3779" s="1" t="str">
        <f>HYPERLINK("http://athenelifere.bm","athenelifere.bm")</f>
        <v>athenelifere.bm</v>
      </c>
      <c r="C3779" t="s">
        <v>568</v>
      </c>
      <c r="D3779" t="s">
        <v>915</v>
      </c>
      <c r="F3779">
        <v>5.3918438677294198E-9</v>
      </c>
      <c r="G3779">
        <v>22222770</v>
      </c>
      <c r="H3779">
        <v>10677010</v>
      </c>
      <c r="I3779">
        <v>42813169</v>
      </c>
      <c r="J3779">
        <v>3</v>
      </c>
    </row>
    <row r="3780" spans="1:10" x14ac:dyDescent="0.25">
      <c r="A3780" t="s">
        <v>1589</v>
      </c>
      <c r="B3780" s="1" t="str">
        <f>HYPERLINK("http://aol.ca","aol.ca")</f>
        <v>aol.ca</v>
      </c>
      <c r="C3780" t="s">
        <v>428</v>
      </c>
      <c r="D3780" t="s">
        <v>809</v>
      </c>
      <c r="E3780">
        <v>41032</v>
      </c>
      <c r="F3780">
        <v>1.77407766556373E-7</v>
      </c>
      <c r="G3780">
        <v>218001</v>
      </c>
      <c r="H3780">
        <v>15021088</v>
      </c>
      <c r="I3780">
        <v>420749</v>
      </c>
      <c r="J3780">
        <v>8</v>
      </c>
    </row>
    <row r="3781" spans="1:10" x14ac:dyDescent="0.25">
      <c r="A3781" t="s">
        <v>1589</v>
      </c>
      <c r="B3781" s="1" t="str">
        <f>HYPERLINK("http://engadget.co","engadget.co")</f>
        <v>engadget.co</v>
      </c>
      <c r="C3781" t="s">
        <v>432</v>
      </c>
      <c r="F3781">
        <v>6.2283946889499296E-9</v>
      </c>
      <c r="G3781">
        <v>15382965</v>
      </c>
      <c r="H3781">
        <v>12914600</v>
      </c>
      <c r="I3781">
        <v>13522780</v>
      </c>
      <c r="J3781">
        <v>13</v>
      </c>
    </row>
    <row r="3782" spans="1:10" x14ac:dyDescent="0.25">
      <c r="A3782" t="s">
        <v>1589</v>
      </c>
      <c r="B3782" s="1" t="str">
        <f>HYPERLINK("http://911enable.com","911enable.com")</f>
        <v>911enable.com</v>
      </c>
      <c r="C3782" t="s">
        <v>433</v>
      </c>
      <c r="E3782">
        <v>64444</v>
      </c>
      <c r="F3782">
        <v>3.1336177440817099E-8</v>
      </c>
      <c r="G3782">
        <v>1645716</v>
      </c>
      <c r="H3782">
        <v>14593584</v>
      </c>
      <c r="I3782">
        <v>692284</v>
      </c>
      <c r="J3782">
        <v>14</v>
      </c>
    </row>
    <row r="3783" spans="1:10" x14ac:dyDescent="0.25">
      <c r="A3783" t="s">
        <v>1589</v>
      </c>
      <c r="B3783" s="1" t="str">
        <f>HYPERLINK("http://agm.com","agm.com")</f>
        <v>agm.com</v>
      </c>
      <c r="C3783" t="s">
        <v>433</v>
      </c>
      <c r="F3783">
        <v>6.9215998785253906E-8</v>
      </c>
      <c r="G3783">
        <v>613750</v>
      </c>
      <c r="H3783">
        <v>14616474</v>
      </c>
      <c r="I3783">
        <v>664950</v>
      </c>
      <c r="J3783">
        <v>3</v>
      </c>
    </row>
    <row r="3784" spans="1:10" x14ac:dyDescent="0.25">
      <c r="A3784" t="s">
        <v>1589</v>
      </c>
      <c r="B3784" s="1" t="str">
        <f>HYPERLINK("http://aol.com","aol.com")</f>
        <v>aol.com</v>
      </c>
      <c r="C3784" t="s">
        <v>433</v>
      </c>
      <c r="E3784">
        <v>282</v>
      </c>
      <c r="F3784">
        <v>5.2423502728294198E-5</v>
      </c>
      <c r="G3784">
        <v>493</v>
      </c>
      <c r="H3784">
        <v>18834884</v>
      </c>
      <c r="I3784">
        <v>740</v>
      </c>
      <c r="J3784">
        <v>7</v>
      </c>
    </row>
    <row r="3785" spans="1:10" x14ac:dyDescent="0.25">
      <c r="A3785" t="s">
        <v>1589</v>
      </c>
      <c r="B3785" s="1" t="str">
        <f>HYPERLINK("http://apollo.com","apollo.com")</f>
        <v>apollo.com</v>
      </c>
      <c r="C3785" t="s">
        <v>433</v>
      </c>
      <c r="E3785">
        <v>78450</v>
      </c>
      <c r="F3785">
        <v>4.2949689763779399E-7</v>
      </c>
      <c r="G3785">
        <v>87731</v>
      </c>
      <c r="H3785">
        <v>14974791</v>
      </c>
      <c r="I3785">
        <v>432567</v>
      </c>
      <c r="J3785">
        <v>3</v>
      </c>
    </row>
    <row r="3786" spans="1:10" x14ac:dyDescent="0.25">
      <c r="A3786" t="s">
        <v>1589</v>
      </c>
      <c r="B3786" s="1" t="str">
        <f>HYPERLINK("http://apolloic.com","apolloic.com")</f>
        <v>apolloic.com</v>
      </c>
      <c r="C3786" t="s">
        <v>433</v>
      </c>
      <c r="F3786">
        <v>2.3927062091048501E-8</v>
      </c>
      <c r="G3786">
        <v>2170115</v>
      </c>
      <c r="H3786">
        <v>13494616</v>
      </c>
      <c r="I3786">
        <v>9980959</v>
      </c>
      <c r="J3786">
        <v>6</v>
      </c>
    </row>
    <row r="3787" spans="1:10" x14ac:dyDescent="0.25">
      <c r="A3787" t="s">
        <v>1589</v>
      </c>
      <c r="B3787" s="1" t="str">
        <f>HYPERLINK("http://apollolp.com","apollolp.com")</f>
        <v>apollolp.com</v>
      </c>
      <c r="C3787" t="s">
        <v>433</v>
      </c>
      <c r="E3787">
        <v>88607</v>
      </c>
      <c r="F3787">
        <v>4.50424068105003E-9</v>
      </c>
      <c r="G3787">
        <v>58317741</v>
      </c>
      <c r="H3787">
        <v>10796912</v>
      </c>
      <c r="I3787">
        <v>38251373</v>
      </c>
      <c r="J3787">
        <v>4</v>
      </c>
    </row>
    <row r="3788" spans="1:10" x14ac:dyDescent="0.25">
      <c r="A3788" t="s">
        <v>1589</v>
      </c>
      <c r="B3788" s="1" t="str">
        <f>HYPERLINK("http://aquafinance.com","aquafinance.com")</f>
        <v>aquafinance.com</v>
      </c>
      <c r="C3788" t="s">
        <v>433</v>
      </c>
      <c r="E3788">
        <v>367550</v>
      </c>
      <c r="F3788">
        <v>6.0055007067135596E-8</v>
      </c>
      <c r="G3788">
        <v>735003</v>
      </c>
      <c r="H3788">
        <v>16760328</v>
      </c>
      <c r="I3788">
        <v>229241</v>
      </c>
      <c r="J3788">
        <v>6</v>
      </c>
    </row>
    <row r="3789" spans="1:10" x14ac:dyDescent="0.25">
      <c r="A3789" t="s">
        <v>1589</v>
      </c>
      <c r="B3789" s="1" t="str">
        <f>HYPERLINK("http://athene.com","athene.com")</f>
        <v>athene.com</v>
      </c>
      <c r="C3789" t="s">
        <v>433</v>
      </c>
      <c r="E3789">
        <v>141466</v>
      </c>
      <c r="F3789">
        <v>1.0472862297475201E-7</v>
      </c>
      <c r="G3789">
        <v>382689</v>
      </c>
      <c r="H3789">
        <v>13669536</v>
      </c>
      <c r="I3789">
        <v>9557555</v>
      </c>
      <c r="J3789">
        <v>3</v>
      </c>
    </row>
    <row r="3790" spans="1:10" x14ac:dyDescent="0.25">
      <c r="A3790" t="s">
        <v>1589</v>
      </c>
      <c r="B3790" s="1" t="str">
        <f>HYPERLINK("http://atheneannuity.com","atheneannuity.com")</f>
        <v>atheneannuity.com</v>
      </c>
      <c r="C3790" t="s">
        <v>433</v>
      </c>
      <c r="F3790">
        <v>2.28126576447023E-8</v>
      </c>
      <c r="G3790">
        <v>2292467</v>
      </c>
      <c r="H3790">
        <v>13299440</v>
      </c>
      <c r="I3790">
        <v>10834388</v>
      </c>
      <c r="J3790">
        <v>3</v>
      </c>
    </row>
    <row r="3791" spans="1:10" x14ac:dyDescent="0.25">
      <c r="A3791" t="s">
        <v>1589</v>
      </c>
      <c r="B3791" s="1" t="str">
        <f>HYPERLINK("http://blny.com","blny.com")</f>
        <v>blny.com</v>
      </c>
      <c r="C3791" t="s">
        <v>433</v>
      </c>
      <c r="F3791">
        <v>4.4879662326424596E-9</v>
      </c>
      <c r="G3791">
        <v>60850493</v>
      </c>
      <c r="H3791">
        <v>9388627</v>
      </c>
      <c r="I3791">
        <v>67442349</v>
      </c>
      <c r="J3791">
        <v>5</v>
      </c>
    </row>
    <row r="3792" spans="1:10" x14ac:dyDescent="0.25">
      <c r="A3792" t="s">
        <v>1589</v>
      </c>
      <c r="B3792" s="1" t="str">
        <f>HYPERLINK("http://cascades.com","cascades.com")</f>
        <v>cascades.com</v>
      </c>
      <c r="C3792" t="s">
        <v>433</v>
      </c>
      <c r="E3792">
        <v>190660</v>
      </c>
      <c r="F3792">
        <v>2.2479230566408099E-7</v>
      </c>
      <c r="G3792">
        <v>167643</v>
      </c>
      <c r="H3792">
        <v>14625327</v>
      </c>
      <c r="I3792">
        <v>651212</v>
      </c>
      <c r="J3792">
        <v>9</v>
      </c>
    </row>
    <row r="3793" spans="1:10" x14ac:dyDescent="0.25">
      <c r="A3793" t="s">
        <v>1589</v>
      </c>
      <c r="B3793" s="1" t="str">
        <f>HYPERLINK("http://centerpost.com","centerpost.com")</f>
        <v>centerpost.com</v>
      </c>
      <c r="C3793" t="s">
        <v>433</v>
      </c>
      <c r="F3793">
        <v>7.5124521025680797E-9</v>
      </c>
      <c r="G3793">
        <v>10985366</v>
      </c>
      <c r="H3793">
        <v>13304309</v>
      </c>
      <c r="I3793">
        <v>10809003</v>
      </c>
      <c r="J3793">
        <v>10</v>
      </c>
    </row>
    <row r="3794" spans="1:10" x14ac:dyDescent="0.25">
      <c r="A3794" t="s">
        <v>1589</v>
      </c>
      <c r="B3794" s="1" t="str">
        <f>HYPERLINK("http://compuserve.com","compuserve.com")</f>
        <v>compuserve.com</v>
      </c>
      <c r="C3794" t="s">
        <v>433</v>
      </c>
      <c r="E3794">
        <v>8971</v>
      </c>
      <c r="F3794">
        <v>1.3190003071194801E-6</v>
      </c>
      <c r="G3794">
        <v>29432</v>
      </c>
      <c r="H3794">
        <v>17456696</v>
      </c>
      <c r="I3794">
        <v>15795</v>
      </c>
      <c r="J3794">
        <v>7</v>
      </c>
    </row>
    <row r="3795" spans="1:10" x14ac:dyDescent="0.25">
      <c r="A3795" t="s">
        <v>1589</v>
      </c>
      <c r="B3795" s="1" t="str">
        <f>HYPERLINK("http://dailyfinance.com","dailyfinance.com")</f>
        <v>dailyfinance.com</v>
      </c>
      <c r="C3795" t="s">
        <v>433</v>
      </c>
      <c r="E3795">
        <v>26125</v>
      </c>
      <c r="F3795">
        <v>1.1548676218791E-6</v>
      </c>
      <c r="G3795">
        <v>33587</v>
      </c>
      <c r="H3795">
        <v>17371188</v>
      </c>
      <c r="I3795">
        <v>21346</v>
      </c>
      <c r="J3795">
        <v>10</v>
      </c>
    </row>
    <row r="3796" spans="1:10" x14ac:dyDescent="0.25">
      <c r="A3796" t="s">
        <v>1589</v>
      </c>
      <c r="B3796" s="1" t="str">
        <f>HYPERLINK("http://engadget.com","engadget.com")</f>
        <v>engadget.com</v>
      </c>
      <c r="C3796" t="s">
        <v>433</v>
      </c>
      <c r="E3796">
        <v>899</v>
      </c>
      <c r="F3796">
        <v>2.7394109919585301E-5</v>
      </c>
      <c r="G3796">
        <v>1071</v>
      </c>
      <c r="H3796">
        <v>18821762</v>
      </c>
      <c r="I3796">
        <v>760</v>
      </c>
      <c r="J3796">
        <v>12</v>
      </c>
    </row>
    <row r="3797" spans="1:10" x14ac:dyDescent="0.25">
      <c r="A3797" t="s">
        <v>1589</v>
      </c>
      <c r="B3797" s="1" t="str">
        <f>HYPERLINK("http://everlater.com","everlater.com")</f>
        <v>everlater.com</v>
      </c>
      <c r="C3797" t="s">
        <v>433</v>
      </c>
      <c r="F3797">
        <v>1.48679845222014E-8</v>
      </c>
      <c r="G3797">
        <v>3883461</v>
      </c>
      <c r="H3797">
        <v>14207383</v>
      </c>
      <c r="I3797">
        <v>1708814</v>
      </c>
      <c r="J3797">
        <v>12</v>
      </c>
    </row>
    <row r="3798" spans="1:10" x14ac:dyDescent="0.25">
      <c r="A3798" t="s">
        <v>1589</v>
      </c>
      <c r="B3798" s="1" t="str">
        <f>HYPERLINK("http://four11.com","four11.com")</f>
        <v>four11.com</v>
      </c>
      <c r="C3798" t="s">
        <v>433</v>
      </c>
      <c r="E3798">
        <v>269934</v>
      </c>
      <c r="F3798">
        <v>1.6336963771958699E-7</v>
      </c>
      <c r="G3798">
        <v>237559</v>
      </c>
      <c r="H3798">
        <v>16976008</v>
      </c>
      <c r="I3798">
        <v>100020</v>
      </c>
      <c r="J3798">
        <v>7</v>
      </c>
    </row>
    <row r="3799" spans="1:10" x14ac:dyDescent="0.25">
      <c r="A3799" t="s">
        <v>1589</v>
      </c>
      <c r="B3799" s="1" t="str">
        <f>HYPERLINK("http://gamedaily.com","gamedaily.com")</f>
        <v>gamedaily.com</v>
      </c>
      <c r="C3799" t="s">
        <v>433</v>
      </c>
      <c r="E3799">
        <v>158553</v>
      </c>
      <c r="F3799">
        <v>1.4887597110584801E-7</v>
      </c>
      <c r="G3799">
        <v>261066</v>
      </c>
      <c r="H3799">
        <v>15101336</v>
      </c>
      <c r="I3799">
        <v>406314</v>
      </c>
      <c r="J3799">
        <v>8</v>
      </c>
    </row>
    <row r="3800" spans="1:10" x14ac:dyDescent="0.25">
      <c r="A3800" t="s">
        <v>1589</v>
      </c>
      <c r="B3800" s="1" t="str">
        <f>HYPERLINK("http://gulfstreammgmt.com","gulfstreammgmt.com")</f>
        <v>gulfstreammgmt.com</v>
      </c>
      <c r="C3800" t="s">
        <v>433</v>
      </c>
      <c r="F3800">
        <v>4.5190858416997801E-9</v>
      </c>
      <c r="G3800">
        <v>56340815</v>
      </c>
      <c r="H3800">
        <v>12320822</v>
      </c>
      <c r="I3800">
        <v>20403206</v>
      </c>
      <c r="J3800">
        <v>3</v>
      </c>
    </row>
    <row r="3801" spans="1:10" x14ac:dyDescent="0.25">
      <c r="A3801" t="s">
        <v>1589</v>
      </c>
      <c r="B3801" s="1" t="str">
        <f>HYPERLINK("http://h3net.com","h3net.com")</f>
        <v>h3net.com</v>
      </c>
      <c r="C3801" t="s">
        <v>433</v>
      </c>
      <c r="F3801">
        <v>1.0942489530905499E-8</v>
      </c>
      <c r="G3801">
        <v>5909363</v>
      </c>
      <c r="H3801">
        <v>13225924</v>
      </c>
      <c r="I3801">
        <v>11304888</v>
      </c>
      <c r="J3801">
        <v>14</v>
      </c>
    </row>
    <row r="3802" spans="1:10" x14ac:dyDescent="0.25">
      <c r="A3802" t="s">
        <v>1589</v>
      </c>
      <c r="B3802" s="1" t="str">
        <f>HYPERLINK("http://hdbeat.com","hdbeat.com")</f>
        <v>hdbeat.com</v>
      </c>
      <c r="C3802" t="s">
        <v>433</v>
      </c>
      <c r="F3802">
        <v>1.5658317365126398E-8</v>
      </c>
      <c r="G3802">
        <v>3638919</v>
      </c>
      <c r="H3802">
        <v>14508100</v>
      </c>
      <c r="I3802">
        <v>829183</v>
      </c>
      <c r="J3802">
        <v>12</v>
      </c>
    </row>
    <row r="3803" spans="1:10" x14ac:dyDescent="0.25">
      <c r="A3803" t="s">
        <v>1589</v>
      </c>
      <c r="B3803" s="1" t="str">
        <f>HYPERLINK("http://iamaze.com","iamaze.com")</f>
        <v>iamaze.com</v>
      </c>
      <c r="C3803" t="s">
        <v>433</v>
      </c>
      <c r="F3803">
        <v>4.5494487947029999E-9</v>
      </c>
      <c r="G3803">
        <v>52248538</v>
      </c>
      <c r="H3803">
        <v>12019732</v>
      </c>
      <c r="I3803">
        <v>27874183</v>
      </c>
      <c r="J3803">
        <v>8</v>
      </c>
    </row>
    <row r="3804" spans="1:10" x14ac:dyDescent="0.25">
      <c r="A3804" t="s">
        <v>1589</v>
      </c>
      <c r="B3804" s="1" t="str">
        <f>HYPERLINK("http://intrado.com","intrado.com")</f>
        <v>intrado.com</v>
      </c>
      <c r="C3804" t="s">
        <v>433</v>
      </c>
      <c r="E3804">
        <v>64542</v>
      </c>
      <c r="F3804">
        <v>2.3876195051424101E-6</v>
      </c>
      <c r="G3804">
        <v>15559</v>
      </c>
      <c r="H3804">
        <v>17165952</v>
      </c>
      <c r="I3804">
        <v>48629</v>
      </c>
      <c r="J3804">
        <v>7</v>
      </c>
    </row>
    <row r="3805" spans="1:10" x14ac:dyDescent="0.25">
      <c r="A3805" t="s">
        <v>1589</v>
      </c>
      <c r="B3805" s="1" t="str">
        <f>HYPERLINK("http://mapquest.com","mapquest.com")</f>
        <v>mapquest.com</v>
      </c>
      <c r="C3805" t="s">
        <v>433</v>
      </c>
      <c r="E3805">
        <v>1609</v>
      </c>
      <c r="F3805">
        <v>2.17939615900541E-5</v>
      </c>
      <c r="G3805">
        <v>1348</v>
      </c>
      <c r="H3805">
        <v>18928430</v>
      </c>
      <c r="I3805">
        <v>609</v>
      </c>
      <c r="J3805">
        <v>8</v>
      </c>
    </row>
    <row r="3806" spans="1:10" x14ac:dyDescent="0.25">
      <c r="A3806" t="s">
        <v>1589</v>
      </c>
      <c r="B3806" s="1" t="str">
        <f>HYPERLINK("http://oath.com","oath.com")</f>
        <v>oath.com</v>
      </c>
      <c r="C3806" t="s">
        <v>433</v>
      </c>
      <c r="E3806">
        <v>5166</v>
      </c>
      <c r="F3806">
        <v>7.5567885254852999E-6</v>
      </c>
      <c r="G3806">
        <v>4444</v>
      </c>
      <c r="H3806">
        <v>17368090</v>
      </c>
      <c r="I3806">
        <v>21584</v>
      </c>
      <c r="J3806">
        <v>8</v>
      </c>
    </row>
    <row r="3807" spans="1:10" x14ac:dyDescent="0.25">
      <c r="A3807" t="s">
        <v>1589</v>
      </c>
      <c r="B3807" s="1" t="str">
        <f>HYPERLINK("http://onebyaol.com","onebyaol.com")</f>
        <v>onebyaol.com</v>
      </c>
      <c r="C3807" t="s">
        <v>433</v>
      </c>
      <c r="E3807">
        <v>474202</v>
      </c>
      <c r="F3807">
        <v>5.3860474009058399E-7</v>
      </c>
      <c r="G3807">
        <v>71683</v>
      </c>
      <c r="H3807">
        <v>13133958</v>
      </c>
      <c r="I3807">
        <v>11921333</v>
      </c>
      <c r="J3807">
        <v>8</v>
      </c>
    </row>
    <row r="3808" spans="1:10" x14ac:dyDescent="0.25">
      <c r="A3808" t="s">
        <v>1589</v>
      </c>
      <c r="B3808" s="1" t="str">
        <f>HYPERLINK("http://playeatdrank.com","playeatdrank.com")</f>
        <v>playeatdrank.com</v>
      </c>
      <c r="C3808" t="s">
        <v>433</v>
      </c>
      <c r="F3808">
        <v>4.7196907487793098E-9</v>
      </c>
      <c r="G3808">
        <v>40235936</v>
      </c>
      <c r="H3808">
        <v>12891198</v>
      </c>
      <c r="I3808">
        <v>13930881</v>
      </c>
      <c r="J3808">
        <v>12</v>
      </c>
    </row>
    <row r="3809" spans="1:10" x14ac:dyDescent="0.25">
      <c r="A3809" t="s">
        <v>1589</v>
      </c>
      <c r="B3809" s="1" t="str">
        <f>HYPERLINK("http://rdmgroup.com","rdmgroup.com")</f>
        <v>rdmgroup.com</v>
      </c>
      <c r="C3809" t="s">
        <v>433</v>
      </c>
      <c r="E3809">
        <v>912531</v>
      </c>
      <c r="F3809">
        <v>3.9994011188290197E-8</v>
      </c>
      <c r="G3809">
        <v>1292568</v>
      </c>
      <c r="H3809">
        <v>14158721</v>
      </c>
      <c r="I3809">
        <v>1843872</v>
      </c>
      <c r="J3809">
        <v>7</v>
      </c>
    </row>
    <row r="3810" spans="1:10" x14ac:dyDescent="0.25">
      <c r="A3810" t="s">
        <v>1589</v>
      </c>
      <c r="B3810" s="1" t="str">
        <f>HYPERLINK("http://relegence.com","relegence.com")</f>
        <v>relegence.com</v>
      </c>
      <c r="C3810" t="s">
        <v>433</v>
      </c>
      <c r="F3810">
        <v>6.3630748539577502E-9</v>
      </c>
      <c r="G3810">
        <v>14698260</v>
      </c>
      <c r="H3810">
        <v>13277527</v>
      </c>
      <c r="I3810">
        <v>10923198</v>
      </c>
      <c r="J3810">
        <v>8</v>
      </c>
    </row>
    <row r="3811" spans="1:10" x14ac:dyDescent="0.25">
      <c r="A3811" t="s">
        <v>1589</v>
      </c>
      <c r="B3811" s="1" t="str">
        <f>HYPERLINK("http://socialthing.com","socialthing.com")</f>
        <v>socialthing.com</v>
      </c>
      <c r="C3811" t="s">
        <v>433</v>
      </c>
      <c r="F3811">
        <v>4.9913341374971902E-8</v>
      </c>
      <c r="G3811">
        <v>923362</v>
      </c>
      <c r="H3811">
        <v>14395603</v>
      </c>
      <c r="I3811">
        <v>1160283</v>
      </c>
      <c r="J3811">
        <v>8</v>
      </c>
    </row>
    <row r="3812" spans="1:10" x14ac:dyDescent="0.25">
      <c r="A3812" t="s">
        <v>1589</v>
      </c>
      <c r="B3812" s="1" t="str">
        <f>HYPERLINK("http://spinner.com","spinner.com")</f>
        <v>spinner.com</v>
      </c>
      <c r="C3812" t="s">
        <v>433</v>
      </c>
      <c r="E3812">
        <v>82894</v>
      </c>
      <c r="F3812">
        <v>2.1150405286644601E-7</v>
      </c>
      <c r="G3812">
        <v>178651</v>
      </c>
      <c r="H3812">
        <v>15014475</v>
      </c>
      <c r="I3812">
        <v>422266</v>
      </c>
      <c r="J3812">
        <v>8</v>
      </c>
    </row>
    <row r="3813" spans="1:10" x14ac:dyDescent="0.25">
      <c r="A3813" t="s">
        <v>1589</v>
      </c>
      <c r="B3813" s="1" t="str">
        <f>HYPERLINK("http://televox.com","televox.com")</f>
        <v>televox.com</v>
      </c>
      <c r="C3813" t="s">
        <v>433</v>
      </c>
      <c r="E3813">
        <v>806909</v>
      </c>
      <c r="F3813">
        <v>3.58561877956124E-7</v>
      </c>
      <c r="G3813">
        <v>104264</v>
      </c>
      <c r="H3813">
        <v>13301486</v>
      </c>
      <c r="I3813">
        <v>10819000</v>
      </c>
      <c r="J3813">
        <v>10</v>
      </c>
    </row>
    <row r="3814" spans="1:10" x14ac:dyDescent="0.25">
      <c r="A3814" t="s">
        <v>1589</v>
      </c>
      <c r="B3814" s="1" t="str">
        <f>HYPERLINK("http://tfcci.com","tfcci.com")</f>
        <v>tfcci.com</v>
      </c>
      <c r="C3814" t="s">
        <v>433</v>
      </c>
      <c r="F3814">
        <v>2.53971845162087E-8</v>
      </c>
      <c r="G3814">
        <v>2031419</v>
      </c>
      <c r="H3814">
        <v>13971779</v>
      </c>
      <c r="I3814">
        <v>4072796</v>
      </c>
      <c r="J3814">
        <v>14</v>
      </c>
    </row>
    <row r="3815" spans="1:10" x14ac:dyDescent="0.25">
      <c r="A3815" t="s">
        <v>1589</v>
      </c>
      <c r="B3815" s="1" t="str">
        <f>HYPERLINK("http://theonlinexpo.com","theonlinexpo.com")</f>
        <v>theonlinexpo.com</v>
      </c>
      <c r="C3815" t="s">
        <v>433</v>
      </c>
      <c r="F3815">
        <v>4.47233826963984E-9</v>
      </c>
      <c r="G3815">
        <v>63997393</v>
      </c>
      <c r="H3815">
        <v>12393214</v>
      </c>
      <c r="I3815">
        <v>18979081</v>
      </c>
      <c r="J3815">
        <v>10</v>
      </c>
    </row>
    <row r="3816" spans="1:10" x14ac:dyDescent="0.25">
      <c r="A3816" t="s">
        <v>1589</v>
      </c>
      <c r="B3816" s="1" t="str">
        <f>HYPERLINK("http://thirdscreenmedia.com","thirdscreenmedia.com")</f>
        <v>thirdscreenmedia.com</v>
      </c>
      <c r="C3816" t="s">
        <v>433</v>
      </c>
      <c r="F3816">
        <v>1.09923835764635E-8</v>
      </c>
      <c r="G3816">
        <v>5866822</v>
      </c>
      <c r="H3816">
        <v>14150569</v>
      </c>
      <c r="I3816">
        <v>1876575</v>
      </c>
      <c r="J3816">
        <v>8</v>
      </c>
    </row>
    <row r="3817" spans="1:10" x14ac:dyDescent="0.25">
      <c r="A3817" t="s">
        <v>1589</v>
      </c>
      <c r="B3817" s="1" t="str">
        <f>HYPERLINK("http://tvox.com","tvox.com")</f>
        <v>tvox.com</v>
      </c>
      <c r="C3817" t="s">
        <v>433</v>
      </c>
      <c r="F3817">
        <v>4.8666930813945098E-9</v>
      </c>
      <c r="G3817">
        <v>33533970</v>
      </c>
      <c r="H3817">
        <v>10940146</v>
      </c>
      <c r="I3817">
        <v>34823730</v>
      </c>
      <c r="J3817">
        <v>10</v>
      </c>
    </row>
    <row r="3818" spans="1:10" x14ac:dyDescent="0.25">
      <c r="A3818" t="s">
        <v>1589</v>
      </c>
      <c r="B3818" s="1" t="str">
        <f>HYPERLINK("http://verizonmedia.com","verizonmedia.com")</f>
        <v>verizonmedia.com</v>
      </c>
      <c r="C3818" t="s">
        <v>433</v>
      </c>
      <c r="E3818">
        <v>10330</v>
      </c>
      <c r="F3818">
        <v>2.8877190642240199E-5</v>
      </c>
      <c r="G3818">
        <v>1018</v>
      </c>
      <c r="H3818">
        <v>18018660</v>
      </c>
      <c r="I3818">
        <v>3566</v>
      </c>
      <c r="J3818">
        <v>8</v>
      </c>
    </row>
    <row r="3819" spans="1:10" x14ac:dyDescent="0.25">
      <c r="A3819" t="s">
        <v>1589</v>
      </c>
      <c r="B3819" s="1" t="str">
        <f>HYPERLINK("http://weblogsinc.com","weblogsinc.com")</f>
        <v>weblogsinc.com</v>
      </c>
      <c r="C3819" t="s">
        <v>433</v>
      </c>
      <c r="E3819">
        <v>98490</v>
      </c>
      <c r="F3819">
        <v>4.9635619656981097E-7</v>
      </c>
      <c r="G3819">
        <v>76947</v>
      </c>
      <c r="H3819">
        <v>17208692</v>
      </c>
      <c r="I3819">
        <v>40274</v>
      </c>
      <c r="J3819">
        <v>8</v>
      </c>
    </row>
    <row r="3820" spans="1:10" x14ac:dyDescent="0.25">
      <c r="A3820" t="s">
        <v>1589</v>
      </c>
      <c r="B3820" s="1" t="str">
        <f>HYPERLINK("http://west.com","west.com")</f>
        <v>west.com</v>
      </c>
      <c r="C3820" t="s">
        <v>433</v>
      </c>
      <c r="E3820">
        <v>20049</v>
      </c>
      <c r="F3820">
        <v>8.1448754899965297E-7</v>
      </c>
      <c r="G3820">
        <v>48501</v>
      </c>
      <c r="H3820">
        <v>17071052</v>
      </c>
      <c r="I3820">
        <v>70669</v>
      </c>
      <c r="J3820">
        <v>10</v>
      </c>
    </row>
    <row r="3821" spans="1:10" x14ac:dyDescent="0.25">
      <c r="A3821" t="s">
        <v>1589</v>
      </c>
      <c r="B3821" s="1" t="str">
        <f>HYPERLINK("http://west-ts.com","west-ts.com")</f>
        <v>west-ts.com</v>
      </c>
      <c r="C3821" t="s">
        <v>433</v>
      </c>
      <c r="F3821">
        <v>1.3181557361299499E-8</v>
      </c>
      <c r="G3821">
        <v>4546437</v>
      </c>
      <c r="H3821">
        <v>12093843</v>
      </c>
      <c r="I3821">
        <v>26124425</v>
      </c>
      <c r="J3821">
        <v>10</v>
      </c>
    </row>
    <row r="3822" spans="1:10" x14ac:dyDescent="0.25">
      <c r="A3822" t="s">
        <v>1589</v>
      </c>
      <c r="B3822" s="1" t="str">
        <f>HYPERLINK("http://westutilities.com","westutilities.com")</f>
        <v>westutilities.com</v>
      </c>
      <c r="C3822" t="s">
        <v>433</v>
      </c>
      <c r="J3822">
        <v>10</v>
      </c>
    </row>
    <row r="3823" spans="1:10" x14ac:dyDescent="0.25">
      <c r="A3823" t="s">
        <v>1589</v>
      </c>
      <c r="B3823" s="1" t="str">
        <f>HYPERLINK("http://whistleblowerservices.com","whistleblowerservices.com")</f>
        <v>whistleblowerservices.com</v>
      </c>
      <c r="C3823" t="s">
        <v>433</v>
      </c>
      <c r="F3823">
        <v>3.0510147670025998E-7</v>
      </c>
      <c r="G3823">
        <v>121837</v>
      </c>
      <c r="H3823">
        <v>13109293</v>
      </c>
      <c r="I3823">
        <v>12042568</v>
      </c>
      <c r="J3823">
        <v>10</v>
      </c>
    </row>
    <row r="3824" spans="1:10" x14ac:dyDescent="0.25">
      <c r="A3824" t="s">
        <v>1589</v>
      </c>
      <c r="B3824" s="1" t="str">
        <f>HYPERLINK("http://yahooinc.com","yahooinc.com")</f>
        <v>yahooinc.com</v>
      </c>
      <c r="C3824" t="s">
        <v>433</v>
      </c>
      <c r="E3824">
        <v>11710</v>
      </c>
      <c r="F3824">
        <v>2.8784086009507199E-5</v>
      </c>
      <c r="G3824">
        <v>1025</v>
      </c>
      <c r="H3824">
        <v>15320785</v>
      </c>
      <c r="I3824">
        <v>384589</v>
      </c>
      <c r="J3824">
        <v>6</v>
      </c>
    </row>
    <row r="3825" spans="1:10" x14ac:dyDescent="0.25">
      <c r="A3825" t="s">
        <v>1589</v>
      </c>
      <c r="B3825" s="1" t="str">
        <f>HYPERLINK("http://aol.de","aol.de")</f>
        <v>aol.de</v>
      </c>
      <c r="C3825" t="s">
        <v>436</v>
      </c>
      <c r="D3825" t="s">
        <v>815</v>
      </c>
      <c r="E3825">
        <v>18131</v>
      </c>
      <c r="F3825">
        <v>3.9418812621010598E-7</v>
      </c>
      <c r="G3825">
        <v>95173</v>
      </c>
      <c r="H3825">
        <v>17112538</v>
      </c>
      <c r="I3825">
        <v>61588</v>
      </c>
      <c r="J3825">
        <v>8</v>
      </c>
    </row>
    <row r="3826" spans="1:10" x14ac:dyDescent="0.25">
      <c r="A3826" t="s">
        <v>1589</v>
      </c>
      <c r="B3826" s="1" t="str">
        <f>HYPERLINK("http://mapquest.fi","mapquest.fi")</f>
        <v>mapquest.fi</v>
      </c>
      <c r="C3826" t="s">
        <v>445</v>
      </c>
      <c r="D3826" t="s">
        <v>823</v>
      </c>
      <c r="F3826">
        <v>4.4689850069246601E-9</v>
      </c>
      <c r="G3826">
        <v>64823541</v>
      </c>
      <c r="H3826">
        <v>10489973</v>
      </c>
      <c r="I3826">
        <v>50634558</v>
      </c>
      <c r="J3826">
        <v>11</v>
      </c>
    </row>
    <row r="3827" spans="1:10" x14ac:dyDescent="0.25">
      <c r="A3827" t="s">
        <v>1589</v>
      </c>
      <c r="B3827" s="1" t="str">
        <f>HYPERLINK("http://aol.fr","aol.fr")</f>
        <v>aol.fr</v>
      </c>
      <c r="C3827" t="s">
        <v>446</v>
      </c>
      <c r="D3827" t="s">
        <v>824</v>
      </c>
      <c r="E3827">
        <v>51041</v>
      </c>
      <c r="F3827">
        <v>2.9037194804275499E-7</v>
      </c>
      <c r="G3827">
        <v>128144</v>
      </c>
      <c r="H3827">
        <v>17060620</v>
      </c>
      <c r="I3827">
        <v>73901</v>
      </c>
      <c r="J3827">
        <v>8</v>
      </c>
    </row>
    <row r="3828" spans="1:10" x14ac:dyDescent="0.25">
      <c r="A3828" t="s">
        <v>1589</v>
      </c>
      <c r="B3828" s="1" t="str">
        <f>HYPERLINK("http://aol.it","aol.it")</f>
        <v>aol.it</v>
      </c>
      <c r="C3828" t="s">
        <v>459</v>
      </c>
      <c r="D3828" t="s">
        <v>835</v>
      </c>
      <c r="E3828">
        <v>63213</v>
      </c>
      <c r="F3828">
        <v>1.12485876099797E-7</v>
      </c>
      <c r="G3828">
        <v>355016</v>
      </c>
      <c r="H3828">
        <v>14619720</v>
      </c>
      <c r="I3828">
        <v>659679</v>
      </c>
      <c r="J3828">
        <v>8</v>
      </c>
    </row>
    <row r="3829" spans="1:10" x14ac:dyDescent="0.25">
      <c r="A3829" t="s">
        <v>1589</v>
      </c>
      <c r="B3829" s="1" t="str">
        <f>HYPERLINK("http://aol.jp","aol.jp")</f>
        <v>aol.jp</v>
      </c>
      <c r="C3829" t="s">
        <v>461</v>
      </c>
      <c r="D3829" t="s">
        <v>837</v>
      </c>
      <c r="E3829">
        <v>68292</v>
      </c>
      <c r="F3829">
        <v>1.2584320133238101E-7</v>
      </c>
      <c r="G3829">
        <v>313434</v>
      </c>
      <c r="H3829">
        <v>14752128</v>
      </c>
      <c r="I3829">
        <v>563003</v>
      </c>
      <c r="J3829">
        <v>8</v>
      </c>
    </row>
    <row r="3830" spans="1:10" x14ac:dyDescent="0.25">
      <c r="A3830" t="s">
        <v>1589</v>
      </c>
      <c r="B3830" s="1" t="str">
        <f>HYPERLINK("http://intrado.me","intrado.me")</f>
        <v>intrado.me</v>
      </c>
      <c r="C3830" t="s">
        <v>470</v>
      </c>
      <c r="D3830" t="s">
        <v>846</v>
      </c>
      <c r="F3830">
        <v>1.5309568868870801E-8</v>
      </c>
      <c r="G3830">
        <v>3742913</v>
      </c>
      <c r="H3830">
        <v>12986893</v>
      </c>
      <c r="I3830">
        <v>12887763</v>
      </c>
      <c r="J3830">
        <v>8</v>
      </c>
    </row>
    <row r="3831" spans="1:10" x14ac:dyDescent="0.25">
      <c r="A3831" t="s">
        <v>1589</v>
      </c>
      <c r="B3831" s="1" t="str">
        <f>HYPERLINK("http://orderprocessing.net","orderprocessing.net")</f>
        <v>orderprocessing.net</v>
      </c>
      <c r="C3831" t="s">
        <v>474</v>
      </c>
      <c r="J3831">
        <v>10</v>
      </c>
    </row>
    <row r="3832" spans="1:10" x14ac:dyDescent="0.25">
      <c r="A3832" t="s">
        <v>1589</v>
      </c>
      <c r="B3832" s="1" t="str">
        <f>HYPERLINK("http://oathinc.org","oathinc.org")</f>
        <v>oathinc.org</v>
      </c>
      <c r="C3832" t="s">
        <v>481</v>
      </c>
      <c r="F3832">
        <v>1.09238949486605E-8</v>
      </c>
      <c r="G3832">
        <v>5924066</v>
      </c>
      <c r="H3832">
        <v>12355385</v>
      </c>
      <c r="I3832">
        <v>19672847</v>
      </c>
      <c r="J3832">
        <v>8</v>
      </c>
    </row>
    <row r="3833" spans="1:10" x14ac:dyDescent="0.25">
      <c r="A3833" t="s">
        <v>1589</v>
      </c>
      <c r="B3833" s="1" t="str">
        <f>HYPERLINK("http://aol.co.uk","aol.co.uk")</f>
        <v>aol.co.uk</v>
      </c>
      <c r="C3833" t="s">
        <v>506</v>
      </c>
      <c r="D3833" t="s">
        <v>880</v>
      </c>
      <c r="E3833">
        <v>1746</v>
      </c>
      <c r="F3833">
        <v>1.12291708769518E-6</v>
      </c>
      <c r="G3833">
        <v>34326</v>
      </c>
      <c r="H3833">
        <v>17492282</v>
      </c>
      <c r="I3833">
        <v>14052</v>
      </c>
      <c r="J3833">
        <v>8</v>
      </c>
    </row>
    <row r="3834" spans="1:10" x14ac:dyDescent="0.25">
      <c r="A3834" t="s">
        <v>1589</v>
      </c>
      <c r="B3834" s="1" t="str">
        <f>HYPERLINK("http://haydockfinance.co.uk","haydockfinance.co.uk")</f>
        <v>haydockfinance.co.uk</v>
      </c>
      <c r="C3834" t="s">
        <v>506</v>
      </c>
      <c r="D3834" t="s">
        <v>880</v>
      </c>
      <c r="F3834">
        <v>6.52946627268954E-9</v>
      </c>
      <c r="G3834">
        <v>13956793</v>
      </c>
      <c r="H3834">
        <v>11278747</v>
      </c>
      <c r="I3834">
        <v>30714580</v>
      </c>
      <c r="J3834">
        <v>11</v>
      </c>
    </row>
    <row r="3835" spans="1:10" x14ac:dyDescent="0.25">
      <c r="A3835" t="s">
        <v>1589</v>
      </c>
      <c r="B3835" s="1" t="str">
        <f>HYPERLINK("http://mapquest.co.uk","mapquest.co.uk")</f>
        <v>mapquest.co.uk</v>
      </c>
      <c r="C3835" t="s">
        <v>506</v>
      </c>
      <c r="D3835" t="s">
        <v>880</v>
      </c>
      <c r="F3835">
        <v>3.5336034183141398E-7</v>
      </c>
      <c r="G3835">
        <v>105820</v>
      </c>
      <c r="H3835">
        <v>15377020</v>
      </c>
      <c r="I3835">
        <v>381337</v>
      </c>
      <c r="J3835">
        <v>9</v>
      </c>
    </row>
    <row r="3836" spans="1:10" x14ac:dyDescent="0.25">
      <c r="A3836" t="s">
        <v>40</v>
      </c>
      <c r="B3836" s="1" t="str">
        <f>HYPERLINK("http://apple.com.ai","apple.com.ai")</f>
        <v>apple.com.ai</v>
      </c>
      <c r="C3836" t="s">
        <v>524</v>
      </c>
      <c r="D3836" t="s">
        <v>892</v>
      </c>
      <c r="J3836">
        <v>2</v>
      </c>
    </row>
    <row r="3837" spans="1:10" x14ac:dyDescent="0.25">
      <c r="A3837" t="s">
        <v>40</v>
      </c>
      <c r="B3837" s="1" t="str">
        <f>HYPERLINK("http://drive.ai","drive.ai")</f>
        <v>drive.ai</v>
      </c>
      <c r="C3837" t="s">
        <v>524</v>
      </c>
      <c r="D3837" t="s">
        <v>892</v>
      </c>
      <c r="E3837">
        <v>186954</v>
      </c>
      <c r="F3837">
        <v>1.91221083236276E-7</v>
      </c>
      <c r="G3837">
        <v>201525</v>
      </c>
      <c r="H3837">
        <v>14362224</v>
      </c>
      <c r="I3837">
        <v>1303602</v>
      </c>
      <c r="J3837">
        <v>3</v>
      </c>
    </row>
    <row r="3838" spans="1:10" x14ac:dyDescent="0.25">
      <c r="A3838" t="s">
        <v>40</v>
      </c>
      <c r="B3838" s="1" t="str">
        <f>HYPERLINK("http://applebooks.apple","applebooks.apple")</f>
        <v>applebooks.apple</v>
      </c>
      <c r="C3838" t="s">
        <v>691</v>
      </c>
      <c r="F3838">
        <v>5.6362374045011402E-8</v>
      </c>
      <c r="G3838">
        <v>793738</v>
      </c>
      <c r="H3838">
        <v>13545193</v>
      </c>
      <c r="I3838">
        <v>9901477</v>
      </c>
      <c r="J3838">
        <v>2</v>
      </c>
    </row>
    <row r="3839" spans="1:10" x14ac:dyDescent="0.25">
      <c r="A3839" t="s">
        <v>40</v>
      </c>
      <c r="B3839" s="1" t="str">
        <f>HYPERLINK("http://edge.apple","edge.apple")</f>
        <v>edge.apple</v>
      </c>
      <c r="C3839" t="s">
        <v>691</v>
      </c>
      <c r="E3839">
        <v>14066</v>
      </c>
      <c r="F3839">
        <v>1.3471504103338999E-8</v>
      </c>
      <c r="G3839">
        <v>4415911</v>
      </c>
      <c r="H3839">
        <v>13765146</v>
      </c>
      <c r="I3839">
        <v>7136469</v>
      </c>
      <c r="J3839">
        <v>2</v>
      </c>
    </row>
    <row r="3840" spans="1:10" x14ac:dyDescent="0.25">
      <c r="A3840" t="s">
        <v>40</v>
      </c>
      <c r="B3840" s="1" t="str">
        <f>HYPERLINK("http://nic.apple","nic.apple")</f>
        <v>nic.apple</v>
      </c>
      <c r="C3840" t="s">
        <v>691</v>
      </c>
      <c r="E3840">
        <v>164559</v>
      </c>
      <c r="F3840">
        <v>3.6638161846917898E-8</v>
      </c>
      <c r="G3840">
        <v>1425875</v>
      </c>
      <c r="H3840">
        <v>14067167</v>
      </c>
      <c r="I3840">
        <v>3728137</v>
      </c>
      <c r="J3840">
        <v>2</v>
      </c>
    </row>
    <row r="3841" spans="1:10" x14ac:dyDescent="0.25">
      <c r="A3841" t="s">
        <v>40</v>
      </c>
      <c r="B3841" s="1" t="str">
        <f>HYPERLINK("http://iphone.art","iphone.art")</f>
        <v>iphone.art</v>
      </c>
      <c r="C3841" t="s">
        <v>692</v>
      </c>
      <c r="F3841">
        <v>4.9405714817463598E-9</v>
      </c>
      <c r="G3841">
        <v>31070494</v>
      </c>
      <c r="H3841">
        <v>11057614</v>
      </c>
      <c r="I3841">
        <v>32708818</v>
      </c>
      <c r="J3841">
        <v>2</v>
      </c>
    </row>
    <row r="3842" spans="1:10" x14ac:dyDescent="0.25">
      <c r="A3842" t="s">
        <v>40</v>
      </c>
      <c r="B3842" s="1" t="str">
        <f>HYPERLINK("http://imac.at","imac.at")</f>
        <v>imac.at</v>
      </c>
      <c r="C3842" t="s">
        <v>419</v>
      </c>
      <c r="D3842" t="s">
        <v>801</v>
      </c>
      <c r="J3842">
        <v>2</v>
      </c>
    </row>
    <row r="3843" spans="1:10" x14ac:dyDescent="0.25">
      <c r="A3843" t="s">
        <v>40</v>
      </c>
      <c r="B3843" s="1" t="str">
        <f>HYPERLINK("http://1to1computing.com.au","1to1computing.com.au")</f>
        <v>1to1computing.com.au</v>
      </c>
      <c r="C3843" t="s">
        <v>420</v>
      </c>
      <c r="D3843" t="s">
        <v>802</v>
      </c>
      <c r="J3843">
        <v>2</v>
      </c>
    </row>
    <row r="3844" spans="1:10" x14ac:dyDescent="0.25">
      <c r="A3844" t="s">
        <v>40</v>
      </c>
      <c r="B3844" s="1" t="str">
        <f>HYPERLINK("http://1to1conference.com.au","1to1conference.com.au")</f>
        <v>1to1conference.com.au</v>
      </c>
      <c r="C3844" t="s">
        <v>420</v>
      </c>
      <c r="D3844" t="s">
        <v>802</v>
      </c>
      <c r="J3844">
        <v>2</v>
      </c>
    </row>
    <row r="3845" spans="1:10" x14ac:dyDescent="0.25">
      <c r="A3845" t="s">
        <v>40</v>
      </c>
      <c r="B3845" s="1" t="str">
        <f>HYPERLINK("http://apple.com.au","apple.com.au")</f>
        <v>apple.com.au</v>
      </c>
      <c r="C3845" t="s">
        <v>420</v>
      </c>
      <c r="D3845" t="s">
        <v>802</v>
      </c>
      <c r="E3845">
        <v>149931</v>
      </c>
      <c r="F3845">
        <v>5.4291201472496598E-8</v>
      </c>
      <c r="G3845">
        <v>832189</v>
      </c>
      <c r="H3845">
        <v>14231289</v>
      </c>
      <c r="I3845">
        <v>1673286</v>
      </c>
      <c r="J3845">
        <v>2</v>
      </c>
    </row>
    <row r="3846" spans="1:10" x14ac:dyDescent="0.25">
      <c r="A3846" t="s">
        <v>40</v>
      </c>
      <c r="B3846" s="1" t="str">
        <f>HYPERLINK("http://appleaustralia.com.au","appleaustralia.com.au")</f>
        <v>appleaustralia.com.au</v>
      </c>
      <c r="C3846" t="s">
        <v>420</v>
      </c>
      <c r="D3846" t="s">
        <v>802</v>
      </c>
      <c r="J3846">
        <v>2</v>
      </c>
    </row>
    <row r="3847" spans="1:10" x14ac:dyDescent="0.25">
      <c r="A3847" t="s">
        <v>40</v>
      </c>
      <c r="B3847" s="1" t="str">
        <f>HYPERLINK("http://applecentre.com.au","applecentre.com.au")</f>
        <v>applecentre.com.au</v>
      </c>
      <c r="C3847" t="s">
        <v>420</v>
      </c>
      <c r="D3847" t="s">
        <v>802</v>
      </c>
      <c r="J3847">
        <v>2</v>
      </c>
    </row>
    <row r="3848" spans="1:10" x14ac:dyDescent="0.25">
      <c r="A3848" t="s">
        <v>40</v>
      </c>
      <c r="B3848" s="1" t="str">
        <f>HYPERLINK("http://applemusic.com.au","applemusic.com.au")</f>
        <v>applemusic.com.au</v>
      </c>
      <c r="C3848" t="s">
        <v>420</v>
      </c>
      <c r="D3848" t="s">
        <v>802</v>
      </c>
      <c r="J3848">
        <v>2</v>
      </c>
    </row>
    <row r="3849" spans="1:10" x14ac:dyDescent="0.25">
      <c r="A3849" t="s">
        <v>40</v>
      </c>
      <c r="B3849" s="1" t="str">
        <f>HYPERLINK("http://applepremiumreseller.com.au","applepremiumreseller.com.au")</f>
        <v>applepremiumreseller.com.au</v>
      </c>
      <c r="C3849" t="s">
        <v>420</v>
      </c>
      <c r="D3849" t="s">
        <v>802</v>
      </c>
      <c r="J3849">
        <v>2</v>
      </c>
    </row>
    <row r="3850" spans="1:10" x14ac:dyDescent="0.25">
      <c r="A3850" t="s">
        <v>40</v>
      </c>
      <c r="B3850" s="1" t="str">
        <f>HYPERLINK("http://applepremiumresellers.com.au","applepremiumresellers.com.au")</f>
        <v>applepremiumresellers.com.au</v>
      </c>
      <c r="C3850" t="s">
        <v>420</v>
      </c>
      <c r="D3850" t="s">
        <v>802</v>
      </c>
      <c r="J3850">
        <v>2</v>
      </c>
    </row>
    <row r="3851" spans="1:10" x14ac:dyDescent="0.25">
      <c r="A3851" t="s">
        <v>40</v>
      </c>
      <c r="B3851" s="1" t="str">
        <f>HYPERLINK("http://applestore.com.au","applestore.com.au")</f>
        <v>applestore.com.au</v>
      </c>
      <c r="C3851" t="s">
        <v>420</v>
      </c>
      <c r="D3851" t="s">
        <v>802</v>
      </c>
      <c r="J3851">
        <v>2</v>
      </c>
    </row>
    <row r="3852" spans="1:10" x14ac:dyDescent="0.25">
      <c r="A3852" t="s">
        <v>40</v>
      </c>
      <c r="B3852" s="1" t="str">
        <f>HYPERLINK("http://iphone.com.au","iphone.com.au")</f>
        <v>iphone.com.au</v>
      </c>
      <c r="C3852" t="s">
        <v>420</v>
      </c>
      <c r="D3852" t="s">
        <v>802</v>
      </c>
      <c r="J3852">
        <v>2</v>
      </c>
    </row>
    <row r="3853" spans="1:10" x14ac:dyDescent="0.25">
      <c r="A3853" t="s">
        <v>40</v>
      </c>
      <c r="B3853" s="1" t="str">
        <f>HYPERLINK("http://ipod.com.au","ipod.com.au")</f>
        <v>ipod.com.au</v>
      </c>
      <c r="C3853" t="s">
        <v>420</v>
      </c>
      <c r="D3853" t="s">
        <v>802</v>
      </c>
      <c r="F3853">
        <v>4.5351871077723096E-9</v>
      </c>
      <c r="G3853">
        <v>53949302</v>
      </c>
      <c r="H3853">
        <v>13763633</v>
      </c>
      <c r="I3853">
        <v>8569704</v>
      </c>
      <c r="J3853">
        <v>2</v>
      </c>
    </row>
    <row r="3854" spans="1:10" x14ac:dyDescent="0.25">
      <c r="A3854" t="s">
        <v>40</v>
      </c>
      <c r="B3854" s="1" t="str">
        <f>HYPERLINK("http://ipodrocks.com.au","ipodrocks.com.au")</f>
        <v>ipodrocks.com.au</v>
      </c>
      <c r="C3854" t="s">
        <v>420</v>
      </c>
      <c r="D3854" t="s">
        <v>802</v>
      </c>
      <c r="J3854">
        <v>2</v>
      </c>
    </row>
    <row r="3855" spans="1:10" x14ac:dyDescent="0.25">
      <c r="A3855" t="s">
        <v>40</v>
      </c>
      <c r="B3855" s="1" t="str">
        <f>HYPERLINK("http://ipodshop.com.au","ipodshop.com.au")</f>
        <v>ipodshop.com.au</v>
      </c>
      <c r="C3855" t="s">
        <v>420</v>
      </c>
      <c r="D3855" t="s">
        <v>802</v>
      </c>
      <c r="J3855">
        <v>2</v>
      </c>
    </row>
    <row r="3856" spans="1:10" x14ac:dyDescent="0.25">
      <c r="A3856" t="s">
        <v>40</v>
      </c>
      <c r="B3856" s="1" t="str">
        <f>HYPERLINK("http://mac.com.au","mac.com.au")</f>
        <v>mac.com.au</v>
      </c>
      <c r="C3856" t="s">
        <v>420</v>
      </c>
      <c r="D3856" t="s">
        <v>802</v>
      </c>
      <c r="F3856">
        <v>4.4636553496536897E-9</v>
      </c>
      <c r="G3856">
        <v>66643136</v>
      </c>
      <c r="H3856">
        <v>10529339</v>
      </c>
      <c r="I3856">
        <v>48453986</v>
      </c>
      <c r="J3856">
        <v>2</v>
      </c>
    </row>
    <row r="3857" spans="1:10" x14ac:dyDescent="0.25">
      <c r="A3857" t="s">
        <v>40</v>
      </c>
      <c r="B3857" s="1" t="str">
        <f>HYPERLINK("http://macbookair.com.au","macbookair.com.au")</f>
        <v>macbookair.com.au</v>
      </c>
      <c r="C3857" t="s">
        <v>420</v>
      </c>
      <c r="D3857" t="s">
        <v>802</v>
      </c>
      <c r="J3857">
        <v>2</v>
      </c>
    </row>
    <row r="3858" spans="1:10" x14ac:dyDescent="0.25">
      <c r="A3858" t="s">
        <v>40</v>
      </c>
      <c r="B3858" s="1" t="str">
        <f>HYPERLINK("http://macbookpro.com.au","macbookpro.com.au")</f>
        <v>macbookpro.com.au</v>
      </c>
      <c r="C3858" t="s">
        <v>420</v>
      </c>
      <c r="D3858" t="s">
        <v>802</v>
      </c>
      <c r="J3858">
        <v>2</v>
      </c>
    </row>
    <row r="3859" spans="1:10" x14ac:dyDescent="0.25">
      <c r="A3859" t="s">
        <v>40</v>
      </c>
      <c r="B3859" s="1" t="str">
        <f>HYPERLINK("http://macos.com.au","macos.com.au")</f>
        <v>macos.com.au</v>
      </c>
      <c r="C3859" t="s">
        <v>420</v>
      </c>
      <c r="D3859" t="s">
        <v>802</v>
      </c>
      <c r="J3859">
        <v>2</v>
      </c>
    </row>
    <row r="3860" spans="1:10" x14ac:dyDescent="0.25">
      <c r="A3860" t="s">
        <v>40</v>
      </c>
      <c r="B3860" s="1" t="str">
        <f>HYPERLINK("http://quicktime.com.au","quicktime.com.au")</f>
        <v>quicktime.com.au</v>
      </c>
      <c r="C3860" t="s">
        <v>420</v>
      </c>
      <c r="D3860" t="s">
        <v>802</v>
      </c>
      <c r="J3860">
        <v>2</v>
      </c>
    </row>
    <row r="3861" spans="1:10" x14ac:dyDescent="0.25">
      <c r="A3861" t="s">
        <v>40</v>
      </c>
      <c r="B3861" s="1" t="str">
        <f>HYPERLINK("http://appleaustralia.net.au","appleaustralia.net.au")</f>
        <v>appleaustralia.net.au</v>
      </c>
      <c r="C3861" t="s">
        <v>420</v>
      </c>
      <c r="D3861" t="s">
        <v>802</v>
      </c>
      <c r="J3861">
        <v>2</v>
      </c>
    </row>
    <row r="3862" spans="1:10" x14ac:dyDescent="0.25">
      <c r="A3862" t="s">
        <v>40</v>
      </c>
      <c r="B3862" s="1" t="str">
        <f>HYPERLINK("http://almastore.az","almastore.az")</f>
        <v>almastore.az</v>
      </c>
      <c r="C3862" t="s">
        <v>561</v>
      </c>
      <c r="D3862" t="s">
        <v>911</v>
      </c>
      <c r="E3862">
        <v>751592</v>
      </c>
      <c r="F3862">
        <v>1.6141558201787201E-8</v>
      </c>
      <c r="G3862">
        <v>3510118</v>
      </c>
      <c r="H3862">
        <v>12792779</v>
      </c>
      <c r="I3862">
        <v>14674206</v>
      </c>
      <c r="J3862">
        <v>4</v>
      </c>
    </row>
    <row r="3863" spans="1:10" x14ac:dyDescent="0.25">
      <c r="A3863" t="s">
        <v>40</v>
      </c>
      <c r="B3863" s="1" t="str">
        <f>HYPERLINK("http://iphonecentre.be","iphonecentre.be")</f>
        <v>iphonecentre.be</v>
      </c>
      <c r="C3863" t="s">
        <v>421</v>
      </c>
      <c r="D3863" t="s">
        <v>803</v>
      </c>
      <c r="J3863">
        <v>2</v>
      </c>
    </row>
    <row r="3864" spans="1:10" x14ac:dyDescent="0.25">
      <c r="A3864" t="s">
        <v>40</v>
      </c>
      <c r="B3864" s="1" t="str">
        <f>HYPERLINK("http://appletv.berlin","appletv.berlin")</f>
        <v>appletv.berlin</v>
      </c>
      <c r="C3864" t="s">
        <v>567</v>
      </c>
      <c r="J3864">
        <v>2</v>
      </c>
    </row>
    <row r="3865" spans="1:10" x14ac:dyDescent="0.25">
      <c r="A3865" t="s">
        <v>40</v>
      </c>
      <c r="B3865" s="1" t="str">
        <f>HYPERLINK("http://applewatch.berlin","applewatch.berlin")</f>
        <v>applewatch.berlin</v>
      </c>
      <c r="C3865" t="s">
        <v>567</v>
      </c>
      <c r="J3865">
        <v>2</v>
      </c>
    </row>
    <row r="3866" spans="1:10" x14ac:dyDescent="0.25">
      <c r="A3866" t="s">
        <v>40</v>
      </c>
      <c r="B3866" s="1" t="str">
        <f>HYPERLINK("http://ipad.berlin","ipad.berlin")</f>
        <v>ipad.berlin</v>
      </c>
      <c r="C3866" t="s">
        <v>567</v>
      </c>
      <c r="J3866">
        <v>2</v>
      </c>
    </row>
    <row r="3867" spans="1:10" x14ac:dyDescent="0.25">
      <c r="A3867" t="s">
        <v>40</v>
      </c>
      <c r="B3867" s="1" t="str">
        <f>HYPERLINK("http://iphone.berlin","iphone.berlin")</f>
        <v>iphone.berlin</v>
      </c>
      <c r="C3867" t="s">
        <v>567</v>
      </c>
      <c r="J3867">
        <v>2</v>
      </c>
    </row>
    <row r="3868" spans="1:10" x14ac:dyDescent="0.25">
      <c r="A3868" t="s">
        <v>40</v>
      </c>
      <c r="B3868" s="1" t="str">
        <f>HYPERLINK("http://iphoneplus.berlin","iphoneplus.berlin")</f>
        <v>iphoneplus.berlin</v>
      </c>
      <c r="C3868" t="s">
        <v>567</v>
      </c>
      <c r="J3868">
        <v>2</v>
      </c>
    </row>
    <row r="3869" spans="1:10" x14ac:dyDescent="0.25">
      <c r="A3869" t="s">
        <v>40</v>
      </c>
      <c r="B3869" s="1" t="str">
        <f>HYPERLINK("http://ipod.berlin","ipod.berlin")</f>
        <v>ipod.berlin</v>
      </c>
      <c r="C3869" t="s">
        <v>567</v>
      </c>
      <c r="J3869">
        <v>2</v>
      </c>
    </row>
    <row r="3870" spans="1:10" x14ac:dyDescent="0.25">
      <c r="A3870" t="s">
        <v>40</v>
      </c>
      <c r="B3870" s="1" t="str">
        <f>HYPERLINK("http://itunes.berlin","itunes.berlin")</f>
        <v>itunes.berlin</v>
      </c>
      <c r="C3870" t="s">
        <v>567</v>
      </c>
      <c r="J3870">
        <v>2</v>
      </c>
    </row>
    <row r="3871" spans="1:10" x14ac:dyDescent="0.25">
      <c r="A3871" t="s">
        <v>40</v>
      </c>
      <c r="B3871" s="1" t="str">
        <f>HYPERLINK("http://itunesradio.berlin","itunesradio.berlin")</f>
        <v>itunesradio.berlin</v>
      </c>
      <c r="C3871" t="s">
        <v>567</v>
      </c>
      <c r="J3871">
        <v>2</v>
      </c>
    </row>
    <row r="3872" spans="1:10" x14ac:dyDescent="0.25">
      <c r="A3872" t="s">
        <v>40</v>
      </c>
      <c r="B3872" s="1" t="str">
        <f>HYPERLINK("http://itunesstore.berlin","itunesstore.berlin")</f>
        <v>itunesstore.berlin</v>
      </c>
      <c r="C3872" t="s">
        <v>567</v>
      </c>
      <c r="J3872">
        <v>2</v>
      </c>
    </row>
    <row r="3873" spans="1:10" x14ac:dyDescent="0.25">
      <c r="A3873" t="s">
        <v>40</v>
      </c>
      <c r="B3873" s="1" t="str">
        <f>HYPERLINK("http://macbook.berlin","macbook.berlin")</f>
        <v>macbook.berlin</v>
      </c>
      <c r="C3873" t="s">
        <v>567</v>
      </c>
      <c r="J3873">
        <v>2</v>
      </c>
    </row>
    <row r="3874" spans="1:10" x14ac:dyDescent="0.25">
      <c r="A3874" t="s">
        <v>40</v>
      </c>
      <c r="B3874" s="1" t="str">
        <f>HYPERLINK("http://macstore.berlin","macstore.berlin")</f>
        <v>macstore.berlin</v>
      </c>
      <c r="C3874" t="s">
        <v>567</v>
      </c>
      <c r="J3874">
        <v>2</v>
      </c>
    </row>
    <row r="3875" spans="1:10" x14ac:dyDescent="0.25">
      <c r="A3875" t="s">
        <v>40</v>
      </c>
      <c r="B3875" s="1" t="str">
        <f>HYPERLINK("http://researchkit.berlin","researchkit.berlin")</f>
        <v>researchkit.berlin</v>
      </c>
      <c r="C3875" t="s">
        <v>567</v>
      </c>
      <c r="J3875">
        <v>2</v>
      </c>
    </row>
    <row r="3876" spans="1:10" x14ac:dyDescent="0.25">
      <c r="A3876" t="s">
        <v>40</v>
      </c>
      <c r="B3876" s="1" t="str">
        <f>HYPERLINK("http://dvdstudiopro.biz","dvdstudiopro.biz")</f>
        <v>dvdstudiopro.biz</v>
      </c>
      <c r="C3876" t="s">
        <v>423</v>
      </c>
      <c r="F3876">
        <v>4.74667296022878E-9</v>
      </c>
      <c r="G3876">
        <v>38479649</v>
      </c>
      <c r="H3876">
        <v>12740293</v>
      </c>
      <c r="I3876">
        <v>15130840</v>
      </c>
      <c r="J3876">
        <v>2</v>
      </c>
    </row>
    <row r="3877" spans="1:10" x14ac:dyDescent="0.25">
      <c r="A3877" t="s">
        <v>40</v>
      </c>
      <c r="B3877" s="1" t="str">
        <f>HYPERLINK("http://forthecolorful.biz","forthecolorful.biz")</f>
        <v>forthecolorful.biz</v>
      </c>
      <c r="C3877" t="s">
        <v>423</v>
      </c>
      <c r="J3877">
        <v>2</v>
      </c>
    </row>
    <row r="3878" spans="1:10" x14ac:dyDescent="0.25">
      <c r="A3878" t="s">
        <v>40</v>
      </c>
      <c r="B3878" s="1" t="str">
        <f>HYPERLINK("http://apple.blog","apple.blog")</f>
        <v>apple.blog</v>
      </c>
      <c r="C3878" t="s">
        <v>581</v>
      </c>
      <c r="F3878">
        <v>5.7026868138756703E-9</v>
      </c>
      <c r="G3878">
        <v>18937814</v>
      </c>
      <c r="H3878">
        <v>12175763</v>
      </c>
      <c r="I3878">
        <v>23912870</v>
      </c>
      <c r="J3878">
        <v>2</v>
      </c>
    </row>
    <row r="3879" spans="1:10" x14ac:dyDescent="0.25">
      <c r="A3879" t="s">
        <v>40</v>
      </c>
      <c r="B3879" s="1" t="str">
        <f>HYPERLINK("http://ave.com.bn","ave.com.bn")</f>
        <v>ave.com.bn</v>
      </c>
      <c r="C3879" t="s">
        <v>511</v>
      </c>
      <c r="D3879" t="s">
        <v>885</v>
      </c>
      <c r="F3879">
        <v>6.2690836940218904E-9</v>
      </c>
      <c r="G3879">
        <v>15180692</v>
      </c>
      <c r="H3879">
        <v>12250876</v>
      </c>
      <c r="I3879">
        <v>21998567</v>
      </c>
      <c r="J3879">
        <v>4</v>
      </c>
    </row>
    <row r="3880" spans="1:10" x14ac:dyDescent="0.25">
      <c r="A3880" t="s">
        <v>40</v>
      </c>
      <c r="B3880" s="1" t="str">
        <f>HYPERLINK("http://12diasderegalosdeitunes.com.bo","12diasderegalosdeitunes.com.bo")</f>
        <v>12diasderegalosdeitunes.com.bo</v>
      </c>
      <c r="C3880" t="s">
        <v>424</v>
      </c>
      <c r="D3880" t="s">
        <v>805</v>
      </c>
      <c r="J3880">
        <v>2</v>
      </c>
    </row>
    <row r="3881" spans="1:10" x14ac:dyDescent="0.25">
      <c r="A3881" t="s">
        <v>40</v>
      </c>
      <c r="B3881" s="1" t="str">
        <f>HYPERLINK("http://apple.com.bo","apple.com.bo")</f>
        <v>apple.com.bo</v>
      </c>
      <c r="C3881" t="s">
        <v>424</v>
      </c>
      <c r="D3881" t="s">
        <v>805</v>
      </c>
      <c r="F3881">
        <v>4.74667296022878E-9</v>
      </c>
      <c r="G3881">
        <v>38479651</v>
      </c>
      <c r="H3881">
        <v>12740292</v>
      </c>
      <c r="I3881">
        <v>15131172</v>
      </c>
      <c r="J3881">
        <v>2</v>
      </c>
    </row>
    <row r="3882" spans="1:10" x14ac:dyDescent="0.25">
      <c r="A3882" t="s">
        <v>40</v>
      </c>
      <c r="B3882" s="1" t="str">
        <f>HYPERLINK("http://applebrazil.com.br","applebrazil.com.br")</f>
        <v>applebrazil.com.br</v>
      </c>
      <c r="C3882" t="s">
        <v>425</v>
      </c>
      <c r="D3882" t="s">
        <v>806</v>
      </c>
      <c r="J3882">
        <v>2</v>
      </c>
    </row>
    <row r="3883" spans="1:10" x14ac:dyDescent="0.25">
      <c r="A3883" t="s">
        <v>40</v>
      </c>
      <c r="B3883" s="1" t="str">
        <f>HYPERLINK("http://appleiphone.com.br","appleiphone.com.br")</f>
        <v>appleiphone.com.br</v>
      </c>
      <c r="C3883" t="s">
        <v>425</v>
      </c>
      <c r="D3883" t="s">
        <v>806</v>
      </c>
      <c r="J3883">
        <v>2</v>
      </c>
    </row>
    <row r="3884" spans="1:10" x14ac:dyDescent="0.25">
      <c r="A3884" t="s">
        <v>40</v>
      </c>
      <c r="B3884" s="1" t="str">
        <f>HYPERLINK("http://appleipod.com.br","appleipod.com.br")</f>
        <v>appleipod.com.br</v>
      </c>
      <c r="C3884" t="s">
        <v>425</v>
      </c>
      <c r="D3884" t="s">
        <v>806</v>
      </c>
      <c r="J3884">
        <v>2</v>
      </c>
    </row>
    <row r="3885" spans="1:10" x14ac:dyDescent="0.25">
      <c r="A3885" t="s">
        <v>40</v>
      </c>
      <c r="B3885" s="1" t="str">
        <f>HYPERLINK("http://applestore.com.br","applestore.com.br")</f>
        <v>applestore.com.br</v>
      </c>
      <c r="C3885" t="s">
        <v>425</v>
      </c>
      <c r="D3885" t="s">
        <v>806</v>
      </c>
      <c r="J3885">
        <v>2</v>
      </c>
    </row>
    <row r="3886" spans="1:10" x14ac:dyDescent="0.25">
      <c r="A3886" t="s">
        <v>40</v>
      </c>
      <c r="B3886" s="1" t="str">
        <f>HYPERLINK("http://ipadair.com.br","ipadair.com.br")</f>
        <v>ipadair.com.br</v>
      </c>
      <c r="C3886" t="s">
        <v>425</v>
      </c>
      <c r="D3886" t="s">
        <v>806</v>
      </c>
      <c r="J3886">
        <v>2</v>
      </c>
    </row>
    <row r="3887" spans="1:10" x14ac:dyDescent="0.25">
      <c r="A3887" t="s">
        <v>40</v>
      </c>
      <c r="B3887" s="1" t="str">
        <f>HYPERLINK("http://iphone4.com.br","iphone4.com.br")</f>
        <v>iphone4.com.br</v>
      </c>
      <c r="C3887" t="s">
        <v>425</v>
      </c>
      <c r="D3887" t="s">
        <v>806</v>
      </c>
      <c r="J3887">
        <v>2</v>
      </c>
    </row>
    <row r="3888" spans="1:10" x14ac:dyDescent="0.25">
      <c r="A3888" t="s">
        <v>40</v>
      </c>
      <c r="B3888" s="1" t="str">
        <f>HYPERLINK("http://iphoneacessorios.com.br","iphoneacessorios.com.br")</f>
        <v>iphoneacessorios.com.br</v>
      </c>
      <c r="C3888" t="s">
        <v>425</v>
      </c>
      <c r="D3888" t="s">
        <v>806</v>
      </c>
      <c r="J3888">
        <v>2</v>
      </c>
    </row>
    <row r="3889" spans="1:10" x14ac:dyDescent="0.25">
      <c r="A3889" t="s">
        <v>40</v>
      </c>
      <c r="B3889" s="1" t="str">
        <f>HYPERLINK("http://iphoneclaro.com.br","iphoneclaro.com.br")</f>
        <v>iphoneclaro.com.br</v>
      </c>
      <c r="C3889" t="s">
        <v>425</v>
      </c>
      <c r="D3889" t="s">
        <v>806</v>
      </c>
      <c r="J3889">
        <v>2</v>
      </c>
    </row>
    <row r="3890" spans="1:10" x14ac:dyDescent="0.25">
      <c r="A3890" t="s">
        <v>40</v>
      </c>
      <c r="B3890" s="1" t="str">
        <f>HYPERLINK("http://lojaiphone.com.br","lojaiphone.com.br")</f>
        <v>lojaiphone.com.br</v>
      </c>
      <c r="C3890" t="s">
        <v>425</v>
      </c>
      <c r="D3890" t="s">
        <v>806</v>
      </c>
      <c r="J3890">
        <v>2</v>
      </c>
    </row>
    <row r="3891" spans="1:10" x14ac:dyDescent="0.25">
      <c r="A3891" t="s">
        <v>40</v>
      </c>
      <c r="B3891" s="1" t="str">
        <f>HYPERLINK("http://applestore.net.br","applestore.net.br")</f>
        <v>applestore.net.br</v>
      </c>
      <c r="C3891" t="s">
        <v>425</v>
      </c>
      <c r="D3891" t="s">
        <v>806</v>
      </c>
      <c r="J3891">
        <v>2</v>
      </c>
    </row>
    <row r="3892" spans="1:10" x14ac:dyDescent="0.25">
      <c r="A3892" t="s">
        <v>40</v>
      </c>
      <c r="B3892" s="1" t="str">
        <f>HYPERLINK("http://airport.brussels","airport.brussels")</f>
        <v>airport.brussels</v>
      </c>
      <c r="C3892" t="s">
        <v>693</v>
      </c>
      <c r="J3892">
        <v>2</v>
      </c>
    </row>
    <row r="3893" spans="1:10" x14ac:dyDescent="0.25">
      <c r="A3893" t="s">
        <v>40</v>
      </c>
      <c r="B3893" s="1" t="str">
        <f>HYPERLINK("http://applestore.bs","applestore.bs")</f>
        <v>applestore.bs</v>
      </c>
      <c r="C3893" t="s">
        <v>623</v>
      </c>
      <c r="D3893" t="s">
        <v>947</v>
      </c>
      <c r="J3893">
        <v>2</v>
      </c>
    </row>
    <row r="3894" spans="1:10" x14ac:dyDescent="0.25">
      <c r="A3894" t="s">
        <v>40</v>
      </c>
      <c r="B3894" s="1" t="str">
        <f>HYPERLINK("http://applestore.com.bs","applestore.com.bs")</f>
        <v>applestore.com.bs</v>
      </c>
      <c r="C3894" t="s">
        <v>623</v>
      </c>
      <c r="D3894" t="s">
        <v>947</v>
      </c>
      <c r="J3894">
        <v>2</v>
      </c>
    </row>
    <row r="3895" spans="1:10" x14ac:dyDescent="0.25">
      <c r="A3895" t="s">
        <v>40</v>
      </c>
      <c r="B3895" s="1" t="str">
        <f>HYPERLINK("http://apple.buzz","apple.buzz")</f>
        <v>apple.buzz</v>
      </c>
      <c r="C3895" t="s">
        <v>694</v>
      </c>
      <c r="J3895">
        <v>2</v>
      </c>
    </row>
    <row r="3896" spans="1:10" x14ac:dyDescent="0.25">
      <c r="A3896" t="s">
        <v>40</v>
      </c>
      <c r="B3896" s="1" t="str">
        <f>HYPERLINK("http://ipadpro.buzz","ipadpro.buzz")</f>
        <v>ipadpro.buzz</v>
      </c>
      <c r="C3896" t="s">
        <v>694</v>
      </c>
      <c r="J3896">
        <v>2</v>
      </c>
    </row>
    <row r="3897" spans="1:10" x14ac:dyDescent="0.25">
      <c r="A3897" t="s">
        <v>40</v>
      </c>
      <c r="B3897" s="1" t="str">
        <f>HYPERLINK("http://devays.by","devays.by")</f>
        <v>devays.by</v>
      </c>
      <c r="C3897" t="s">
        <v>427</v>
      </c>
      <c r="D3897" t="s">
        <v>808</v>
      </c>
      <c r="F3897">
        <v>4.5651251246570199E-9</v>
      </c>
      <c r="G3897">
        <v>50668227</v>
      </c>
      <c r="H3897">
        <v>9524320</v>
      </c>
      <c r="I3897">
        <v>65370229</v>
      </c>
      <c r="J3897">
        <v>4</v>
      </c>
    </row>
    <row r="3898" spans="1:10" x14ac:dyDescent="0.25">
      <c r="A3898" t="s">
        <v>40</v>
      </c>
      <c r="B3898" s="1" t="str">
        <f>HYPERLINK("http://apple.ca","apple.ca")</f>
        <v>apple.ca</v>
      </c>
      <c r="C3898" t="s">
        <v>428</v>
      </c>
      <c r="D3898" t="s">
        <v>809</v>
      </c>
      <c r="E3898">
        <v>604279</v>
      </c>
      <c r="F3898">
        <v>5.2371098561409597E-8</v>
      </c>
      <c r="G3898">
        <v>871068</v>
      </c>
      <c r="H3898">
        <v>14515028</v>
      </c>
      <c r="I3898">
        <v>814039</v>
      </c>
      <c r="J3898">
        <v>2</v>
      </c>
    </row>
    <row r="3899" spans="1:10" x14ac:dyDescent="0.25">
      <c r="A3899" t="s">
        <v>40</v>
      </c>
      <c r="B3899" s="1" t="str">
        <f>HYPERLINK("http://apple-ipod.ca","apple-ipod.ca")</f>
        <v>apple-ipod.ca</v>
      </c>
      <c r="C3899" t="s">
        <v>428</v>
      </c>
      <c r="D3899" t="s">
        <v>809</v>
      </c>
      <c r="F3899">
        <v>4.74667296022878E-9</v>
      </c>
      <c r="G3899">
        <v>38479653</v>
      </c>
      <c r="H3899">
        <v>12740292</v>
      </c>
      <c r="I3899">
        <v>15131194</v>
      </c>
      <c r="J3899">
        <v>2</v>
      </c>
    </row>
    <row r="3900" spans="1:10" x14ac:dyDescent="0.25">
      <c r="A3900" t="s">
        <v>40</v>
      </c>
      <c r="B3900" s="1" t="str">
        <f>HYPERLINK("http://ipod.ca","ipod.ca")</f>
        <v>ipod.ca</v>
      </c>
      <c r="C3900" t="s">
        <v>428</v>
      </c>
      <c r="D3900" t="s">
        <v>809</v>
      </c>
      <c r="F3900">
        <v>4.74667296022878E-9</v>
      </c>
      <c r="G3900">
        <v>38479654</v>
      </c>
      <c r="H3900">
        <v>12740292</v>
      </c>
      <c r="I3900">
        <v>15131196</v>
      </c>
      <c r="J3900">
        <v>2</v>
      </c>
    </row>
    <row r="3901" spans="1:10" x14ac:dyDescent="0.25">
      <c r="A3901" t="s">
        <v>40</v>
      </c>
      <c r="B3901" s="1" t="str">
        <f>HYPERLINK("http://ipodrip.ca","ipodrip.ca")</f>
        <v>ipodrip.ca</v>
      </c>
      <c r="C3901" t="s">
        <v>428</v>
      </c>
      <c r="D3901" t="s">
        <v>809</v>
      </c>
      <c r="J3901">
        <v>2</v>
      </c>
    </row>
    <row r="3902" spans="1:10" x14ac:dyDescent="0.25">
      <c r="A3902" t="s">
        <v>40</v>
      </c>
      <c r="B3902" s="1" t="str">
        <f>HYPERLINK("http://applecare.cc","applecare.cc")</f>
        <v>applecare.cc</v>
      </c>
      <c r="C3902" t="s">
        <v>569</v>
      </c>
      <c r="D3902" t="s">
        <v>916</v>
      </c>
      <c r="J3902">
        <v>2</v>
      </c>
    </row>
    <row r="3903" spans="1:10" x14ac:dyDescent="0.25">
      <c r="A3903" t="s">
        <v>40</v>
      </c>
      <c r="B3903" s="1" t="str">
        <f>HYPERLINK("http://ptxx.cc","ptxx.cc")</f>
        <v>ptxx.cc</v>
      </c>
      <c r="C3903" t="s">
        <v>569</v>
      </c>
      <c r="D3903" t="s">
        <v>916</v>
      </c>
      <c r="F3903">
        <v>4.4514477321793699E-9</v>
      </c>
      <c r="G3903">
        <v>71151151</v>
      </c>
      <c r="H3903">
        <v>9804007</v>
      </c>
      <c r="I3903">
        <v>62569990</v>
      </c>
      <c r="J3903">
        <v>3</v>
      </c>
    </row>
    <row r="3904" spans="1:10" x14ac:dyDescent="0.25">
      <c r="A3904" t="s">
        <v>40</v>
      </c>
      <c r="B3904" s="1" t="str">
        <f>HYPERLINK("http://icloud.ch","icloud.ch")</f>
        <v>icloud.ch</v>
      </c>
      <c r="C3904" t="s">
        <v>429</v>
      </c>
      <c r="D3904" t="s">
        <v>810</v>
      </c>
      <c r="F3904">
        <v>4.7992758931755597E-9</v>
      </c>
      <c r="G3904">
        <v>36116091</v>
      </c>
      <c r="H3904">
        <v>9497827</v>
      </c>
      <c r="I3904">
        <v>65761450</v>
      </c>
      <c r="J3904">
        <v>2</v>
      </c>
    </row>
    <row r="3905" spans="1:10" x14ac:dyDescent="0.25">
      <c r="A3905" t="s">
        <v>40</v>
      </c>
      <c r="B3905" s="1" t="str">
        <f>HYPERLINK("http://applestore.cl","applestore.cl")</f>
        <v>applestore.cl</v>
      </c>
      <c r="C3905" t="s">
        <v>430</v>
      </c>
      <c r="D3905" t="s">
        <v>811</v>
      </c>
      <c r="J3905">
        <v>2</v>
      </c>
    </row>
    <row r="3906" spans="1:10" x14ac:dyDescent="0.25">
      <c r="A3906" t="s">
        <v>40</v>
      </c>
      <c r="B3906" s="1" t="str">
        <f>HYPERLINK("http://firewire.cl","firewire.cl")</f>
        <v>firewire.cl</v>
      </c>
      <c r="C3906" t="s">
        <v>430</v>
      </c>
      <c r="D3906" t="s">
        <v>811</v>
      </c>
      <c r="J3906">
        <v>2</v>
      </c>
    </row>
    <row r="3907" spans="1:10" x14ac:dyDescent="0.25">
      <c r="A3907" t="s">
        <v>40</v>
      </c>
      <c r="B3907" s="1" t="str">
        <f>HYPERLINK("http://ipadmini.cm","ipadmini.cm")</f>
        <v>ipadmini.cm</v>
      </c>
      <c r="C3907" t="s">
        <v>541</v>
      </c>
      <c r="D3907" t="s">
        <v>900</v>
      </c>
      <c r="J3907">
        <v>2</v>
      </c>
    </row>
    <row r="3908" spans="1:10" x14ac:dyDescent="0.25">
      <c r="A3908" t="s">
        <v>40</v>
      </c>
      <c r="B3908" s="1" t="str">
        <f>HYPERLINK("http://iwork.cm","iwork.cm")</f>
        <v>iwork.cm</v>
      </c>
      <c r="C3908" t="s">
        <v>541</v>
      </c>
      <c r="D3908" t="s">
        <v>900</v>
      </c>
      <c r="J3908">
        <v>2</v>
      </c>
    </row>
    <row r="3909" spans="1:10" x14ac:dyDescent="0.25">
      <c r="A3909" t="s">
        <v>40</v>
      </c>
      <c r="B3909" s="1" t="str">
        <f>HYPERLINK("http://apple.cn","apple.cn")</f>
        <v>apple.cn</v>
      </c>
      <c r="C3909" t="s">
        <v>431</v>
      </c>
      <c r="D3909" t="s">
        <v>812</v>
      </c>
      <c r="E3909">
        <v>78137</v>
      </c>
      <c r="F3909">
        <v>8.5596475807441903E-9</v>
      </c>
      <c r="G3909">
        <v>8730014</v>
      </c>
      <c r="H3909">
        <v>12787947</v>
      </c>
      <c r="I3909">
        <v>14699336</v>
      </c>
      <c r="J3909">
        <v>2</v>
      </c>
    </row>
    <row r="3910" spans="1:10" x14ac:dyDescent="0.25">
      <c r="A3910" t="s">
        <v>40</v>
      </c>
      <c r="B3910" s="1" t="str">
        <f>HYPERLINK("http://applecomputer.cn","applecomputer.cn")</f>
        <v>applecomputer.cn</v>
      </c>
      <c r="C3910" t="s">
        <v>431</v>
      </c>
      <c r="D3910" t="s">
        <v>812</v>
      </c>
      <c r="J3910">
        <v>2</v>
      </c>
    </row>
    <row r="3911" spans="1:10" x14ac:dyDescent="0.25">
      <c r="A3911" t="s">
        <v>40</v>
      </c>
      <c r="B3911" s="1" t="str">
        <f>HYPERLINK("http://applestore.cn","applestore.cn")</f>
        <v>applestore.cn</v>
      </c>
      <c r="C3911" t="s">
        <v>431</v>
      </c>
      <c r="D3911" t="s">
        <v>812</v>
      </c>
      <c r="J3911">
        <v>2</v>
      </c>
    </row>
    <row r="3912" spans="1:10" x14ac:dyDescent="0.25">
      <c r="A3912" t="s">
        <v>40</v>
      </c>
      <c r="B3912" s="1" t="str">
        <f>HYPERLINK("http://ads-apple.com.cn","ads-apple.com.cn")</f>
        <v>ads-apple.com.cn</v>
      </c>
      <c r="C3912" t="s">
        <v>431</v>
      </c>
      <c r="D3912" t="s">
        <v>812</v>
      </c>
      <c r="J3912">
        <v>2</v>
      </c>
    </row>
    <row r="3913" spans="1:10" x14ac:dyDescent="0.25">
      <c r="A3913" t="s">
        <v>40</v>
      </c>
      <c r="B3913" s="1" t="str">
        <f>HYPERLINK("http://apple.com.cn","apple.com.cn")</f>
        <v>apple.com.cn</v>
      </c>
      <c r="C3913" t="s">
        <v>431</v>
      </c>
      <c r="D3913" t="s">
        <v>812</v>
      </c>
      <c r="E3913">
        <v>1682</v>
      </c>
      <c r="F3913">
        <v>1.6224663217277801E-6</v>
      </c>
      <c r="G3913">
        <v>24290</v>
      </c>
      <c r="H3913">
        <v>17509834</v>
      </c>
      <c r="I3913">
        <v>13251</v>
      </c>
      <c r="J3913">
        <v>2</v>
      </c>
    </row>
    <row r="3914" spans="1:10" x14ac:dyDescent="0.25">
      <c r="A3914" t="s">
        <v>40</v>
      </c>
      <c r="B3914" s="1" t="str">
        <f>HYPERLINK("http://applecomputer.com.cn","applecomputer.com.cn")</f>
        <v>applecomputer.com.cn</v>
      </c>
      <c r="C3914" t="s">
        <v>431</v>
      </c>
      <c r="D3914" t="s">
        <v>812</v>
      </c>
      <c r="J3914">
        <v>2</v>
      </c>
    </row>
    <row r="3915" spans="1:10" x14ac:dyDescent="0.25">
      <c r="A3915" t="s">
        <v>40</v>
      </c>
      <c r="B3915" s="1" t="str">
        <f>HYPERLINK("http://applestore.com.cn","applestore.com.cn")</f>
        <v>applestore.com.cn</v>
      </c>
      <c r="C3915" t="s">
        <v>431</v>
      </c>
      <c r="D3915" t="s">
        <v>812</v>
      </c>
      <c r="J3915">
        <v>2</v>
      </c>
    </row>
    <row r="3916" spans="1:10" x14ac:dyDescent="0.25">
      <c r="A3916" t="s">
        <v>40</v>
      </c>
      <c r="B3916" s="1" t="str">
        <f>HYPERLINK("http://beatsbydre.com.cn","beatsbydre.com.cn")</f>
        <v>beatsbydre.com.cn</v>
      </c>
      <c r="C3916" t="s">
        <v>431</v>
      </c>
      <c r="D3916" t="s">
        <v>812</v>
      </c>
      <c r="E3916">
        <v>554179</v>
      </c>
      <c r="F3916">
        <v>5.3044272781447903E-8</v>
      </c>
      <c r="G3916">
        <v>858527</v>
      </c>
      <c r="H3916">
        <v>13044587</v>
      </c>
      <c r="I3916">
        <v>12608887</v>
      </c>
      <c r="J3916">
        <v>2</v>
      </c>
    </row>
    <row r="3917" spans="1:10" x14ac:dyDescent="0.25">
      <c r="A3917" t="s">
        <v>40</v>
      </c>
      <c r="B3917" s="1" t="str">
        <f>HYPERLINK("http://icloud.com.cn","icloud.com.cn")</f>
        <v>icloud.com.cn</v>
      </c>
      <c r="C3917" t="s">
        <v>431</v>
      </c>
      <c r="D3917" t="s">
        <v>812</v>
      </c>
      <c r="E3917">
        <v>6990</v>
      </c>
      <c r="F3917">
        <v>1.6876815694337901E-8</v>
      </c>
      <c r="G3917">
        <v>3314758</v>
      </c>
      <c r="H3917">
        <v>13567002</v>
      </c>
      <c r="I3917">
        <v>9748192</v>
      </c>
      <c r="J3917">
        <v>2</v>
      </c>
    </row>
    <row r="3918" spans="1:10" x14ac:dyDescent="0.25">
      <c r="A3918" t="s">
        <v>40</v>
      </c>
      <c r="B3918" s="1" t="str">
        <f>HYPERLINK("http://ipod.com.cn","ipod.com.cn")</f>
        <v>ipod.com.cn</v>
      </c>
      <c r="C3918" t="s">
        <v>431</v>
      </c>
      <c r="D3918" t="s">
        <v>812</v>
      </c>
      <c r="J3918">
        <v>2</v>
      </c>
    </row>
    <row r="3919" spans="1:10" x14ac:dyDescent="0.25">
      <c r="A3919" t="s">
        <v>40</v>
      </c>
      <c r="B3919" s="1" t="str">
        <f>HYPERLINK("http://macbookair.com.cn","macbookair.com.cn")</f>
        <v>macbookair.com.cn</v>
      </c>
      <c r="C3919" t="s">
        <v>431</v>
      </c>
      <c r="D3919" t="s">
        <v>812</v>
      </c>
      <c r="J3919">
        <v>2</v>
      </c>
    </row>
    <row r="3920" spans="1:10" x14ac:dyDescent="0.25">
      <c r="A3920" t="s">
        <v>40</v>
      </c>
      <c r="B3920" s="1" t="str">
        <f>HYPERLINK("http://wheti.cn","wheti.cn")</f>
        <v>wheti.cn</v>
      </c>
      <c r="C3920" t="s">
        <v>431</v>
      </c>
      <c r="D3920" t="s">
        <v>812</v>
      </c>
      <c r="F3920">
        <v>4.44380395335525E-9</v>
      </c>
      <c r="G3920">
        <v>80332538</v>
      </c>
      <c r="H3920">
        <v>0</v>
      </c>
      <c r="I3920">
        <v>80452296</v>
      </c>
      <c r="J3920">
        <v>3</v>
      </c>
    </row>
    <row r="3921" spans="1:10" x14ac:dyDescent="0.25">
      <c r="A3921" t="s">
        <v>40</v>
      </c>
      <c r="B3921" s="1" t="str">
        <f>HYPERLINK("http://xn--czrs0t4phtr3a.cn","xn--czrs0t4phtr3a.cn")</f>
        <v>xn--czrs0t4phtr3a.cn</v>
      </c>
      <c r="C3921" t="s">
        <v>431</v>
      </c>
      <c r="D3921" t="s">
        <v>812</v>
      </c>
      <c r="J3921">
        <v>2</v>
      </c>
    </row>
    <row r="3922" spans="1:10" x14ac:dyDescent="0.25">
      <c r="A3922" t="s">
        <v>40</v>
      </c>
      <c r="B3922" s="1" t="str">
        <f>HYPERLINK("http://xn--fhq39opmi2lj9z3aoue.cn","xn--fhq39opmi2lj9z3aoue.cn")</f>
        <v>xn--fhq39opmi2lj9z3aoue.cn</v>
      </c>
      <c r="C3922" t="s">
        <v>431</v>
      </c>
      <c r="D3922" t="s">
        <v>812</v>
      </c>
      <c r="J3922">
        <v>2</v>
      </c>
    </row>
    <row r="3923" spans="1:10" x14ac:dyDescent="0.25">
      <c r="A3923" t="s">
        <v>40</v>
      </c>
      <c r="B3923" s="1" t="str">
        <f>HYPERLINK("http://xn--fiqq24bfwftr3a.cn","xn--fiqq24bfwftr3a.cn")</f>
        <v>xn--fiqq24bfwftr3a.cn</v>
      </c>
      <c r="C3923" t="s">
        <v>431</v>
      </c>
      <c r="D3923" t="s">
        <v>812</v>
      </c>
      <c r="J3923">
        <v>2</v>
      </c>
    </row>
    <row r="3924" spans="1:10" x14ac:dyDescent="0.25">
      <c r="A3924" t="s">
        <v>40</v>
      </c>
      <c r="B3924" s="1" t="str">
        <f>HYPERLINK("http://xn--fiqs8sxootzz.cn","xn--fiqs8sxootzz.cn")</f>
        <v>xn--fiqs8sxootzz.cn</v>
      </c>
      <c r="C3924" t="s">
        <v>431</v>
      </c>
      <c r="D3924" t="s">
        <v>812</v>
      </c>
      <c r="J3924">
        <v>2</v>
      </c>
    </row>
    <row r="3925" spans="1:10" x14ac:dyDescent="0.25">
      <c r="A3925" t="s">
        <v>40</v>
      </c>
      <c r="B3925" s="1" t="str">
        <f>HYPERLINK("http://xn--ohq11k7pl25iyo8a.cn","xn--ohq11k7pl25iyo8a.cn")</f>
        <v>xn--ohq11k7pl25iyo8a.cn</v>
      </c>
      <c r="C3925" t="s">
        <v>431</v>
      </c>
      <c r="D3925" t="s">
        <v>812</v>
      </c>
      <c r="J3925">
        <v>2</v>
      </c>
    </row>
    <row r="3926" spans="1:10" x14ac:dyDescent="0.25">
      <c r="A3926" t="s">
        <v>40</v>
      </c>
      <c r="B3926" s="1" t="str">
        <f>HYPERLINK("http://zhoushanxiaojizhe.cn","zhoushanxiaojizhe.cn")</f>
        <v>zhoushanxiaojizhe.cn</v>
      </c>
      <c r="C3926" t="s">
        <v>431</v>
      </c>
      <c r="D3926" t="s">
        <v>812</v>
      </c>
      <c r="F3926">
        <v>4.44380395335525E-9</v>
      </c>
      <c r="G3926">
        <v>80342398</v>
      </c>
      <c r="H3926">
        <v>0</v>
      </c>
      <c r="I3926">
        <v>80469048</v>
      </c>
      <c r="J3926">
        <v>3</v>
      </c>
    </row>
    <row r="3927" spans="1:10" x14ac:dyDescent="0.25">
      <c r="A3927" t="s">
        <v>40</v>
      </c>
      <c r="B3927" s="1" t="str">
        <f>HYPERLINK("http://apple.co","apple.co")</f>
        <v>apple.co</v>
      </c>
      <c r="C3927" t="s">
        <v>432</v>
      </c>
      <c r="E3927">
        <v>3137</v>
      </c>
      <c r="F3927">
        <v>2.2857838473040702E-5</v>
      </c>
      <c r="G3927">
        <v>1275</v>
      </c>
      <c r="H3927">
        <v>18433212</v>
      </c>
      <c r="I3927">
        <v>1853</v>
      </c>
      <c r="J3927">
        <v>2</v>
      </c>
    </row>
    <row r="3928" spans="1:10" x14ac:dyDescent="0.25">
      <c r="A3928" t="s">
        <v>40</v>
      </c>
      <c r="B3928" s="1" t="str">
        <f>HYPERLINK("http://apple.com.co","apple.com.co")</f>
        <v>apple.com.co</v>
      </c>
      <c r="C3928" t="s">
        <v>432</v>
      </c>
      <c r="F3928">
        <v>4.74667296022878E-9</v>
      </c>
      <c r="G3928">
        <v>38479662</v>
      </c>
      <c r="H3928">
        <v>12740292</v>
      </c>
      <c r="I3928">
        <v>15131228</v>
      </c>
      <c r="J3928">
        <v>2</v>
      </c>
    </row>
    <row r="3929" spans="1:10" x14ac:dyDescent="0.25">
      <c r="A3929" t="s">
        <v>40</v>
      </c>
      <c r="B3929" s="1" t="str">
        <f>HYPERLINK("http://ibook.co","ibook.co")</f>
        <v>ibook.co</v>
      </c>
      <c r="C3929" t="s">
        <v>432</v>
      </c>
      <c r="J3929">
        <v>2</v>
      </c>
    </row>
    <row r="3930" spans="1:10" x14ac:dyDescent="0.25">
      <c r="A3930" t="s">
        <v>40</v>
      </c>
      <c r="B3930" s="1" t="str">
        <f>HYPERLINK("http://imac.co","imac.co")</f>
        <v>imac.co</v>
      </c>
      <c r="C3930" t="s">
        <v>432</v>
      </c>
      <c r="J3930">
        <v>2</v>
      </c>
    </row>
    <row r="3931" spans="1:10" x14ac:dyDescent="0.25">
      <c r="A3931" t="s">
        <v>40</v>
      </c>
      <c r="B3931" s="1" t="str">
        <f>HYPERLINK("http://ipad.co","ipad.co")</f>
        <v>ipad.co</v>
      </c>
      <c r="C3931" t="s">
        <v>432</v>
      </c>
      <c r="J3931">
        <v>2</v>
      </c>
    </row>
    <row r="3932" spans="1:10" x14ac:dyDescent="0.25">
      <c r="A3932" t="s">
        <v>40</v>
      </c>
      <c r="B3932" s="1" t="str">
        <f>HYPERLINK("http://ipod.co","ipod.co")</f>
        <v>ipod.co</v>
      </c>
      <c r="C3932" t="s">
        <v>432</v>
      </c>
      <c r="E3932">
        <v>996851</v>
      </c>
      <c r="J3932">
        <v>2</v>
      </c>
    </row>
    <row r="3933" spans="1:10" x14ac:dyDescent="0.25">
      <c r="A3933" t="s">
        <v>40</v>
      </c>
      <c r="B3933" s="1" t="str">
        <f>HYPERLINK("http://ipodtouch.co","ipodtouch.co")</f>
        <v>ipodtouch.co</v>
      </c>
      <c r="C3933" t="s">
        <v>432</v>
      </c>
      <c r="J3933">
        <v>2</v>
      </c>
    </row>
    <row r="3934" spans="1:10" x14ac:dyDescent="0.25">
      <c r="A3934" t="s">
        <v>40</v>
      </c>
      <c r="B3934" s="1" t="str">
        <f>HYPERLINK("http://itunes.co","itunes.co")</f>
        <v>itunes.co</v>
      </c>
      <c r="C3934" t="s">
        <v>432</v>
      </c>
      <c r="F3934">
        <v>7.0349173548515797E-9</v>
      </c>
      <c r="G3934">
        <v>12209060</v>
      </c>
      <c r="H3934">
        <v>12468200</v>
      </c>
      <c r="I3934">
        <v>17778776</v>
      </c>
      <c r="J3934">
        <v>2</v>
      </c>
    </row>
    <row r="3935" spans="1:10" x14ac:dyDescent="0.25">
      <c r="A3935" t="s">
        <v>40</v>
      </c>
      <c r="B3935" s="1" t="str">
        <f>HYPERLINK("http://itunesstore.co","itunesstore.co")</f>
        <v>itunesstore.co</v>
      </c>
      <c r="C3935" t="s">
        <v>432</v>
      </c>
      <c r="J3935">
        <v>2</v>
      </c>
    </row>
    <row r="3936" spans="1:10" x14ac:dyDescent="0.25">
      <c r="A3936" t="s">
        <v>40</v>
      </c>
      <c r="B3936" s="1" t="str">
        <f>HYPERLINK("http://macbook.co","macbook.co")</f>
        <v>macbook.co</v>
      </c>
      <c r="C3936" t="s">
        <v>432</v>
      </c>
      <c r="J3936">
        <v>2</v>
      </c>
    </row>
    <row r="3937" spans="1:10" x14ac:dyDescent="0.25">
      <c r="A3937" t="s">
        <v>40</v>
      </c>
      <c r="B3937" s="1" t="str">
        <f>HYPERLINK("http://macbookpro.co","macbookpro.co")</f>
        <v>macbookpro.co</v>
      </c>
      <c r="C3937" t="s">
        <v>432</v>
      </c>
      <c r="J3937">
        <v>2</v>
      </c>
    </row>
    <row r="3938" spans="1:10" x14ac:dyDescent="0.25">
      <c r="A3938" t="s">
        <v>40</v>
      </c>
      <c r="B3938" s="1" t="str">
        <f>HYPERLINK("http://aaplimg.com","aaplimg.com")</f>
        <v>aaplimg.com</v>
      </c>
      <c r="C3938" t="s">
        <v>433</v>
      </c>
      <c r="E3938">
        <v>64</v>
      </c>
      <c r="F3938">
        <v>3.2603726429549801E-8</v>
      </c>
      <c r="G3938">
        <v>1584800</v>
      </c>
      <c r="H3938">
        <v>14262031</v>
      </c>
      <c r="I3938">
        <v>1415811</v>
      </c>
      <c r="J3938">
        <v>2</v>
      </c>
    </row>
    <row r="3939" spans="1:10" x14ac:dyDescent="0.25">
      <c r="A3939" t="s">
        <v>40</v>
      </c>
      <c r="B3939" s="1" t="str">
        <f>HYPERLINK("http://acdn1.com","acdn1.com")</f>
        <v>acdn1.com</v>
      </c>
      <c r="C3939" t="s">
        <v>433</v>
      </c>
      <c r="F3939">
        <v>4.74667296022878E-9</v>
      </c>
      <c r="G3939">
        <v>38479669</v>
      </c>
      <c r="H3939">
        <v>12740292</v>
      </c>
      <c r="I3939">
        <v>15131246</v>
      </c>
      <c r="J3939">
        <v>2</v>
      </c>
    </row>
    <row r="3940" spans="1:10" x14ac:dyDescent="0.25">
      <c r="A3940" t="s">
        <v>40</v>
      </c>
      <c r="B3940" s="1" t="str">
        <f>HYPERLINK("http://airport.com","airport.com")</f>
        <v>airport.com</v>
      </c>
      <c r="C3940" t="s">
        <v>433</v>
      </c>
      <c r="F3940">
        <v>6.2370123356477196E-8</v>
      </c>
      <c r="G3940">
        <v>703901</v>
      </c>
      <c r="H3940">
        <v>13153483</v>
      </c>
      <c r="I3940">
        <v>11812170</v>
      </c>
      <c r="J3940">
        <v>2</v>
      </c>
    </row>
    <row r="3941" spans="1:10" x14ac:dyDescent="0.25">
      <c r="A3941" t="s">
        <v>40</v>
      </c>
      <c r="B3941" s="1" t="str">
        <f>HYPERLINK("http://airsupportapp.com","airsupportapp.com")</f>
        <v>airsupportapp.com</v>
      </c>
      <c r="C3941" t="s">
        <v>433</v>
      </c>
      <c r="J3941">
        <v>2</v>
      </c>
    </row>
    <row r="3942" spans="1:10" x14ac:dyDescent="0.25">
      <c r="A3942" t="s">
        <v>40</v>
      </c>
      <c r="B3942" s="1" t="str">
        <f>HYPERLINK("http://airtunes.com","airtunes.com")</f>
        <v>airtunes.com</v>
      </c>
      <c r="C3942" t="s">
        <v>433</v>
      </c>
      <c r="E3942">
        <v>914267</v>
      </c>
      <c r="F3942">
        <v>4.7900508703915902E-9</v>
      </c>
      <c r="G3942">
        <v>36488088</v>
      </c>
      <c r="H3942">
        <v>12745987</v>
      </c>
      <c r="I3942">
        <v>15085322</v>
      </c>
      <c r="J3942">
        <v>2</v>
      </c>
    </row>
    <row r="3943" spans="1:10" x14ac:dyDescent="0.25">
      <c r="A3943" t="s">
        <v>40</v>
      </c>
      <c r="B3943" s="1" t="str">
        <f>HYPERLINK("http://aknotepad.com","aknotepad.com")</f>
        <v>aknotepad.com</v>
      </c>
      <c r="C3943" t="s">
        <v>433</v>
      </c>
      <c r="F3943">
        <v>4.7467146754723399E-9</v>
      </c>
      <c r="G3943">
        <v>38477432</v>
      </c>
      <c r="H3943">
        <v>12740579</v>
      </c>
      <c r="I3943">
        <v>15128174</v>
      </c>
      <c r="J3943">
        <v>2</v>
      </c>
    </row>
    <row r="3944" spans="1:10" x14ac:dyDescent="0.25">
      <c r="A3944" t="s">
        <v>40</v>
      </c>
      <c r="B3944" s="1" t="str">
        <f>HYPERLINK("http://akoniaholographics.com","akoniaholographics.com")</f>
        <v>akoniaholographics.com</v>
      </c>
      <c r="C3944" t="s">
        <v>433</v>
      </c>
      <c r="F3944">
        <v>4.2174523369167202E-8</v>
      </c>
      <c r="G3944">
        <v>1156984</v>
      </c>
      <c r="H3944">
        <v>13617346</v>
      </c>
      <c r="I3944">
        <v>9628660</v>
      </c>
      <c r="J3944">
        <v>3</v>
      </c>
    </row>
    <row r="3945" spans="1:10" x14ac:dyDescent="0.25">
      <c r="A3945" t="s">
        <v>40</v>
      </c>
      <c r="B3945" s="1" t="str">
        <f>HYPERLINK("http://alchemysynth.com","alchemysynth.com")</f>
        <v>alchemysynth.com</v>
      </c>
      <c r="C3945" t="s">
        <v>433</v>
      </c>
      <c r="J3945">
        <v>2</v>
      </c>
    </row>
    <row r="3946" spans="1:10" x14ac:dyDescent="0.25">
      <c r="A3946" t="s">
        <v>40</v>
      </c>
      <c r="B3946" s="1" t="str">
        <f>HYPERLINK("http://allvoi.com","allvoi.com")</f>
        <v>allvoi.com</v>
      </c>
      <c r="C3946" t="s">
        <v>433</v>
      </c>
      <c r="F3946">
        <v>2.0666193620648E-8</v>
      </c>
      <c r="G3946">
        <v>2561572</v>
      </c>
      <c r="H3946">
        <v>13512158</v>
      </c>
      <c r="I3946">
        <v>9948507</v>
      </c>
      <c r="J3946">
        <v>3</v>
      </c>
    </row>
    <row r="3947" spans="1:10" x14ac:dyDescent="0.25">
      <c r="A3947" t="s">
        <v>40</v>
      </c>
      <c r="B3947" s="1" t="str">
        <f>HYPERLINK("http://anobit.com","anobit.com")</f>
        <v>anobit.com</v>
      </c>
      <c r="C3947" t="s">
        <v>433</v>
      </c>
      <c r="F3947">
        <v>3.0087507551726897E-8</v>
      </c>
      <c r="G3947">
        <v>1710228</v>
      </c>
      <c r="H3947">
        <v>14528766</v>
      </c>
      <c r="I3947">
        <v>789528</v>
      </c>
      <c r="J3947">
        <v>3</v>
      </c>
    </row>
    <row r="3948" spans="1:10" x14ac:dyDescent="0.25">
      <c r="A3948" t="s">
        <v>40</v>
      </c>
      <c r="B3948" s="1" t="str">
        <f>HYPERLINK("http://anonshacker.com","anonshacker.com")</f>
        <v>anonshacker.com</v>
      </c>
      <c r="C3948" t="s">
        <v>433</v>
      </c>
      <c r="E3948">
        <v>575870</v>
      </c>
      <c r="F3948">
        <v>1.1990879729660301E-8</v>
      </c>
      <c r="G3948">
        <v>5182355</v>
      </c>
      <c r="H3948">
        <v>13000348</v>
      </c>
      <c r="I3948">
        <v>12794277</v>
      </c>
      <c r="J3948">
        <v>3</v>
      </c>
    </row>
    <row r="3949" spans="1:10" x14ac:dyDescent="0.25">
      <c r="A3949" t="s">
        <v>40</v>
      </c>
      <c r="B3949" s="1" t="str">
        <f>HYPERLINK("http://apneecommunity.com","apneecommunity.com")</f>
        <v>apneecommunity.com</v>
      </c>
      <c r="C3949" t="s">
        <v>433</v>
      </c>
      <c r="F3949">
        <v>6.1717564981938196E-9</v>
      </c>
      <c r="G3949">
        <v>15683605</v>
      </c>
      <c r="H3949">
        <v>13772057</v>
      </c>
      <c r="I3949">
        <v>6672451</v>
      </c>
      <c r="J3949">
        <v>3</v>
      </c>
    </row>
    <row r="3950" spans="1:10" x14ac:dyDescent="0.25">
      <c r="A3950" t="s">
        <v>40</v>
      </c>
      <c r="B3950" s="1" t="str">
        <f>HYPERLINK("http://apple.com","apple.com")</f>
        <v>apple.com</v>
      </c>
      <c r="C3950" t="s">
        <v>433</v>
      </c>
      <c r="E3950">
        <v>12</v>
      </c>
      <c r="F3950">
        <v>1.8132088391201199E-3</v>
      </c>
      <c r="G3950">
        <v>17</v>
      </c>
      <c r="H3950">
        <v>21429174</v>
      </c>
      <c r="I3950">
        <v>17</v>
      </c>
      <c r="J3950">
        <v>1</v>
      </c>
    </row>
    <row r="3951" spans="1:10" x14ac:dyDescent="0.25">
      <c r="A3951" t="s">
        <v>40</v>
      </c>
      <c r="B3951" s="1" t="str">
        <f>HYPERLINK("http://apple-computer.com","apple-computer.com")</f>
        <v>apple-computer.com</v>
      </c>
      <c r="C3951" t="s">
        <v>433</v>
      </c>
      <c r="F3951">
        <v>4.7895170310361798E-9</v>
      </c>
      <c r="G3951">
        <v>36510626</v>
      </c>
      <c r="H3951">
        <v>12742045</v>
      </c>
      <c r="I3951">
        <v>15120008</v>
      </c>
      <c r="J3951">
        <v>2</v>
      </c>
    </row>
    <row r="3952" spans="1:10" x14ac:dyDescent="0.25">
      <c r="A3952" t="s">
        <v>40</v>
      </c>
      <c r="B3952" s="1" t="str">
        <f>HYPERLINK("http://apple-corner.com","apple-corner.com")</f>
        <v>apple-corner.com</v>
      </c>
      <c r="C3952" t="s">
        <v>433</v>
      </c>
      <c r="F3952">
        <v>5.7634045470659101E-9</v>
      </c>
      <c r="G3952">
        <v>18379365</v>
      </c>
      <c r="H3952">
        <v>12353217</v>
      </c>
      <c r="I3952">
        <v>19711552</v>
      </c>
      <c r="J3952">
        <v>4</v>
      </c>
    </row>
    <row r="3953" spans="1:10" x14ac:dyDescent="0.25">
      <c r="A3953" t="s">
        <v>40</v>
      </c>
      <c r="B3953" s="1" t="str">
        <f>HYPERLINK("http://apple-darwin.com","apple-darwin.com")</f>
        <v>apple-darwin.com</v>
      </c>
      <c r="C3953" t="s">
        <v>433</v>
      </c>
      <c r="J3953">
        <v>2</v>
      </c>
    </row>
    <row r="3954" spans="1:10" x14ac:dyDescent="0.25">
      <c r="A3954" t="s">
        <v>40</v>
      </c>
      <c r="B3954" s="1" t="str">
        <f>HYPERLINK("http://apple-enews.com","apple-enews.com")</f>
        <v>apple-enews.com</v>
      </c>
      <c r="C3954" t="s">
        <v>433</v>
      </c>
      <c r="J3954">
        <v>2</v>
      </c>
    </row>
    <row r="3955" spans="1:10" x14ac:dyDescent="0.25">
      <c r="A3955" t="s">
        <v>40</v>
      </c>
      <c r="B3955" s="1" t="str">
        <f>HYPERLINK("http://apple-geo.com","apple-geo.com")</f>
        <v>apple-geo.com</v>
      </c>
      <c r="C3955" t="s">
        <v>433</v>
      </c>
      <c r="J3955">
        <v>2</v>
      </c>
    </row>
    <row r="3956" spans="1:10" x14ac:dyDescent="0.25">
      <c r="A3956" t="s">
        <v>40</v>
      </c>
      <c r="B3956" s="1" t="str">
        <f>HYPERLINK("http://apple-hk.com","apple-hk.com")</f>
        <v>apple-hk.com</v>
      </c>
      <c r="C3956" t="s">
        <v>433</v>
      </c>
      <c r="J3956">
        <v>2</v>
      </c>
    </row>
    <row r="3957" spans="1:10" x14ac:dyDescent="0.25">
      <c r="A3957" t="s">
        <v>40</v>
      </c>
      <c r="B3957" s="1" t="str">
        <f>HYPERLINK("http://apple-imac.com","apple-imac.com")</f>
        <v>apple-imac.com</v>
      </c>
      <c r="C3957" t="s">
        <v>433</v>
      </c>
      <c r="F3957">
        <v>4.74667296022878E-9</v>
      </c>
      <c r="G3957">
        <v>38479686</v>
      </c>
      <c r="H3957">
        <v>12740292</v>
      </c>
      <c r="I3957">
        <v>15131281</v>
      </c>
      <c r="J3957">
        <v>2</v>
      </c>
    </row>
    <row r="3958" spans="1:10" x14ac:dyDescent="0.25">
      <c r="A3958" t="s">
        <v>40</v>
      </c>
      <c r="B3958" s="1" t="str">
        <f>HYPERLINK("http://apple-oem.com","apple-oem.com")</f>
        <v>apple-oem.com</v>
      </c>
      <c r="C3958" t="s">
        <v>433</v>
      </c>
      <c r="J3958">
        <v>2</v>
      </c>
    </row>
    <row r="3959" spans="1:10" x14ac:dyDescent="0.25">
      <c r="A3959" t="s">
        <v>40</v>
      </c>
      <c r="B3959" s="1" t="str">
        <f>HYPERLINK("http://apple401k.com","apple401k.com")</f>
        <v>apple401k.com</v>
      </c>
      <c r="C3959" t="s">
        <v>433</v>
      </c>
      <c r="J3959">
        <v>2</v>
      </c>
    </row>
    <row r="3960" spans="1:10" x14ac:dyDescent="0.25">
      <c r="A3960" t="s">
        <v>40</v>
      </c>
      <c r="B3960" s="1" t="str">
        <f>HYPERLINK("http://appleaustralia.com","appleaustralia.com")</f>
        <v>appleaustralia.com</v>
      </c>
      <c r="C3960" t="s">
        <v>433</v>
      </c>
      <c r="J3960">
        <v>2</v>
      </c>
    </row>
    <row r="3961" spans="1:10" x14ac:dyDescent="0.25">
      <c r="A3961" t="s">
        <v>40</v>
      </c>
      <c r="B3961" s="1" t="str">
        <f>HYPERLINK("http://applecarbon.com","applecarbon.com")</f>
        <v>applecarbon.com</v>
      </c>
      <c r="C3961" t="s">
        <v>433</v>
      </c>
      <c r="J3961">
        <v>2</v>
      </c>
    </row>
    <row r="3962" spans="1:10" x14ac:dyDescent="0.25">
      <c r="A3962" t="s">
        <v>40</v>
      </c>
      <c r="B3962" s="1" t="str">
        <f>HYPERLINK("http://applecomputer.com","applecomputer.com")</f>
        <v>applecomputer.com</v>
      </c>
      <c r="C3962" t="s">
        <v>433</v>
      </c>
      <c r="F3962">
        <v>4.7940839174362998E-9</v>
      </c>
      <c r="G3962">
        <v>36320822</v>
      </c>
      <c r="H3962">
        <v>12743495</v>
      </c>
      <c r="I3962">
        <v>15099528</v>
      </c>
      <c r="J3962">
        <v>2</v>
      </c>
    </row>
    <row r="3963" spans="1:10" x14ac:dyDescent="0.25">
      <c r="A3963" t="s">
        <v>40</v>
      </c>
      <c r="B3963" s="1" t="str">
        <f>HYPERLINK("http://applecomputer-imac.com","applecomputer-imac.com")</f>
        <v>applecomputer-imac.com</v>
      </c>
      <c r="C3963" t="s">
        <v>433</v>
      </c>
      <c r="J3963">
        <v>2</v>
      </c>
    </row>
    <row r="3964" spans="1:10" x14ac:dyDescent="0.25">
      <c r="A3964" t="s">
        <v>40</v>
      </c>
      <c r="B3964" s="1" t="str">
        <f>HYPERLINK("http://applecomputerimac.com","applecomputerimac.com")</f>
        <v>applecomputerimac.com</v>
      </c>
      <c r="C3964" t="s">
        <v>433</v>
      </c>
      <c r="J3964">
        <v>2</v>
      </c>
    </row>
    <row r="3965" spans="1:10" x14ac:dyDescent="0.25">
      <c r="A3965" t="s">
        <v>40</v>
      </c>
      <c r="B3965" s="1" t="str">
        <f>HYPERLINK("http://applecomputerinc.com","applecomputerinc.com")</f>
        <v>applecomputerinc.com</v>
      </c>
      <c r="C3965" t="s">
        <v>433</v>
      </c>
      <c r="J3965">
        <v>2</v>
      </c>
    </row>
    <row r="3966" spans="1:10" x14ac:dyDescent="0.25">
      <c r="A3966" t="s">
        <v>40</v>
      </c>
      <c r="B3966" s="1" t="str">
        <f>HYPERLINK("http://appledarwin.com","appledarwin.com")</f>
        <v>appledarwin.com</v>
      </c>
      <c r="C3966" t="s">
        <v>433</v>
      </c>
      <c r="J3966">
        <v>2</v>
      </c>
    </row>
    <row r="3967" spans="1:10" x14ac:dyDescent="0.25">
      <c r="A3967" t="s">
        <v>40</v>
      </c>
      <c r="B3967" s="1" t="str">
        <f>HYPERLINK("http://appleeducationaffiliates.com","appleeducationaffiliates.com")</f>
        <v>appleeducationaffiliates.com</v>
      </c>
      <c r="C3967" t="s">
        <v>433</v>
      </c>
      <c r="J3967">
        <v>2</v>
      </c>
    </row>
    <row r="3968" spans="1:10" x14ac:dyDescent="0.25">
      <c r="A3968" t="s">
        <v>40</v>
      </c>
      <c r="B3968" s="1" t="str">
        <f>HYPERLINK("http://appleenews.com","appleenews.com")</f>
        <v>appleenews.com</v>
      </c>
      <c r="C3968" t="s">
        <v>433</v>
      </c>
      <c r="F3968">
        <v>4.4438425958072798E-9</v>
      </c>
      <c r="G3968">
        <v>78685044</v>
      </c>
      <c r="H3968">
        <v>10535755</v>
      </c>
      <c r="I3968">
        <v>47586692</v>
      </c>
      <c r="J3968">
        <v>2</v>
      </c>
    </row>
    <row r="3969" spans="1:10" x14ac:dyDescent="0.25">
      <c r="A3969" t="s">
        <v>40</v>
      </c>
      <c r="B3969" s="1" t="str">
        <f>HYPERLINK("http://applefilmaker.com","applefilmaker.com")</f>
        <v>applefilmaker.com</v>
      </c>
      <c r="C3969" t="s">
        <v>433</v>
      </c>
      <c r="F3969">
        <v>4.74667296022878E-9</v>
      </c>
      <c r="G3969">
        <v>38479687</v>
      </c>
      <c r="H3969">
        <v>12740292</v>
      </c>
      <c r="I3969">
        <v>15131286</v>
      </c>
      <c r="J3969">
        <v>2</v>
      </c>
    </row>
    <row r="3970" spans="1:10" x14ac:dyDescent="0.25">
      <c r="A3970" t="s">
        <v>40</v>
      </c>
      <c r="B3970" s="1" t="str">
        <f>HYPERLINK("http://applefilmmaker.com","applefilmmaker.com")</f>
        <v>applefilmmaker.com</v>
      </c>
      <c r="C3970" t="s">
        <v>433</v>
      </c>
      <c r="F3970">
        <v>4.74667296022878E-9</v>
      </c>
      <c r="G3970">
        <v>38479688</v>
      </c>
      <c r="H3970">
        <v>12740293</v>
      </c>
      <c r="I3970">
        <v>15130859</v>
      </c>
      <c r="J3970">
        <v>2</v>
      </c>
    </row>
    <row r="3971" spans="1:10" x14ac:dyDescent="0.25">
      <c r="A3971" t="s">
        <v>40</v>
      </c>
      <c r="B3971" s="1" t="str">
        <f>HYPERLINK("http://applefinalcutproworld.com","applefinalcutproworld.com")</f>
        <v>applefinalcutproworld.com</v>
      </c>
      <c r="C3971" t="s">
        <v>433</v>
      </c>
      <c r="F3971">
        <v>4.74667296022878E-9</v>
      </c>
      <c r="G3971">
        <v>38479689</v>
      </c>
      <c r="H3971">
        <v>12740292</v>
      </c>
      <c r="I3971">
        <v>15131287</v>
      </c>
      <c r="J3971">
        <v>2</v>
      </c>
    </row>
    <row r="3972" spans="1:10" x14ac:dyDescent="0.25">
      <c r="A3972" t="s">
        <v>40</v>
      </c>
      <c r="B3972" s="1" t="str">
        <f>HYPERLINK("http://applehongkong.com","applehongkong.com")</f>
        <v>applehongkong.com</v>
      </c>
      <c r="C3972" t="s">
        <v>433</v>
      </c>
      <c r="F3972">
        <v>4.74667296022878E-9</v>
      </c>
      <c r="G3972">
        <v>38479690</v>
      </c>
      <c r="H3972">
        <v>12740292</v>
      </c>
      <c r="I3972">
        <v>15131290</v>
      </c>
      <c r="J3972">
        <v>2</v>
      </c>
    </row>
    <row r="3973" spans="1:10" x14ac:dyDescent="0.25">
      <c r="A3973" t="s">
        <v>40</v>
      </c>
      <c r="B3973" s="1" t="str">
        <f>HYPERLINK("http://appleid.com","appleid.com")</f>
        <v>appleid.com</v>
      </c>
      <c r="C3973" t="s">
        <v>433</v>
      </c>
      <c r="E3973">
        <v>95635</v>
      </c>
      <c r="F3973">
        <v>4.7021267913297801E-8</v>
      </c>
      <c r="G3973">
        <v>992511</v>
      </c>
      <c r="H3973">
        <v>13142948</v>
      </c>
      <c r="I3973">
        <v>11865667</v>
      </c>
      <c r="J3973">
        <v>2</v>
      </c>
    </row>
    <row r="3974" spans="1:10" x14ac:dyDescent="0.25">
      <c r="A3974" t="s">
        <v>40</v>
      </c>
      <c r="B3974" s="1" t="str">
        <f>HYPERLINK("http://appleimac.com","appleimac.com")</f>
        <v>appleimac.com</v>
      </c>
      <c r="C3974" t="s">
        <v>433</v>
      </c>
      <c r="F3974">
        <v>4.74667296022878E-9</v>
      </c>
      <c r="G3974">
        <v>38479691</v>
      </c>
      <c r="H3974">
        <v>12740292</v>
      </c>
      <c r="I3974">
        <v>15131291</v>
      </c>
      <c r="J3974">
        <v>2</v>
      </c>
    </row>
    <row r="3975" spans="1:10" x14ac:dyDescent="0.25">
      <c r="A3975" t="s">
        <v>40</v>
      </c>
      <c r="B3975" s="1" t="str">
        <f>HYPERLINK("http://appleiservices.com","appleiservices.com")</f>
        <v>appleiservices.com</v>
      </c>
      <c r="C3975" t="s">
        <v>433</v>
      </c>
      <c r="J3975">
        <v>2</v>
      </c>
    </row>
    <row r="3976" spans="1:10" x14ac:dyDescent="0.25">
      <c r="A3976" t="s">
        <v>40</v>
      </c>
      <c r="B3976" s="1" t="str">
        <f>HYPERLINK("http://applemagicmouse.com","applemagicmouse.com")</f>
        <v>applemagicmouse.com</v>
      </c>
      <c r="C3976" t="s">
        <v>433</v>
      </c>
      <c r="F3976">
        <v>4.74667296022878E-9</v>
      </c>
      <c r="G3976">
        <v>38479692</v>
      </c>
      <c r="H3976">
        <v>12740292</v>
      </c>
      <c r="I3976">
        <v>15131294</v>
      </c>
      <c r="J3976">
        <v>2</v>
      </c>
    </row>
    <row r="3977" spans="1:10" x14ac:dyDescent="0.25">
      <c r="A3977" t="s">
        <v>40</v>
      </c>
      <c r="B3977" s="1" t="str">
        <f>HYPERLINK("http://applemagictrackpad.com","applemagictrackpad.com")</f>
        <v>applemagictrackpad.com</v>
      </c>
      <c r="C3977" t="s">
        <v>433</v>
      </c>
      <c r="F3977">
        <v>4.74667296022878E-9</v>
      </c>
      <c r="G3977">
        <v>38479693</v>
      </c>
      <c r="H3977">
        <v>12740292</v>
      </c>
      <c r="I3977">
        <v>15131295</v>
      </c>
      <c r="J3977">
        <v>2</v>
      </c>
    </row>
    <row r="3978" spans="1:10" x14ac:dyDescent="0.25">
      <c r="A3978" t="s">
        <v>40</v>
      </c>
      <c r="B3978" s="1" t="str">
        <f>HYPERLINK("http://applemusic.com","applemusic.com")</f>
        <v>applemusic.com</v>
      </c>
      <c r="C3978" t="s">
        <v>433</v>
      </c>
      <c r="E3978">
        <v>76726</v>
      </c>
      <c r="F3978">
        <v>1.49570281132707E-6</v>
      </c>
      <c r="G3978">
        <v>26199</v>
      </c>
      <c r="H3978">
        <v>15342536</v>
      </c>
      <c r="I3978">
        <v>383268</v>
      </c>
      <c r="J3978">
        <v>2</v>
      </c>
    </row>
    <row r="3979" spans="1:10" x14ac:dyDescent="0.25">
      <c r="A3979" t="s">
        <v>40</v>
      </c>
      <c r="B3979" s="1" t="str">
        <f>HYPERLINK("http://appleoslion.com","appleoslion.com")</f>
        <v>appleoslion.com</v>
      </c>
      <c r="C3979" t="s">
        <v>433</v>
      </c>
      <c r="J3979">
        <v>2</v>
      </c>
    </row>
    <row r="3980" spans="1:10" x14ac:dyDescent="0.25">
      <c r="A3980" t="s">
        <v>40</v>
      </c>
      <c r="B3980" s="1" t="str">
        <f>HYPERLINK("http://appleosxlion.com","appleosxlion.com")</f>
        <v>appleosxlion.com</v>
      </c>
      <c r="C3980" t="s">
        <v>433</v>
      </c>
      <c r="J3980">
        <v>2</v>
      </c>
    </row>
    <row r="3981" spans="1:10" x14ac:dyDescent="0.25">
      <c r="A3981" t="s">
        <v>40</v>
      </c>
      <c r="B3981" s="1" t="str">
        <f>HYPERLINK("http://applereach.com","applereach.com")</f>
        <v>applereach.com</v>
      </c>
      <c r="C3981" t="s">
        <v>433</v>
      </c>
      <c r="J3981">
        <v>2</v>
      </c>
    </row>
    <row r="3982" spans="1:10" x14ac:dyDescent="0.25">
      <c r="A3982" t="s">
        <v>40</v>
      </c>
      <c r="B3982" s="1" t="str">
        <f>HYPERLINK("http://applersvp.com","applersvp.com")</f>
        <v>applersvp.com</v>
      </c>
      <c r="C3982" t="s">
        <v>433</v>
      </c>
      <c r="F3982">
        <v>1.1641056037597501E-8</v>
      </c>
      <c r="G3982">
        <v>5405133</v>
      </c>
      <c r="H3982">
        <v>14145450</v>
      </c>
      <c r="I3982">
        <v>1900232</v>
      </c>
      <c r="J3982">
        <v>2</v>
      </c>
    </row>
    <row r="3983" spans="1:10" x14ac:dyDescent="0.25">
      <c r="A3983" t="s">
        <v>40</v>
      </c>
      <c r="B3983" s="1" t="str">
        <f>HYPERLINK("http://apples-stores.com","apples-stores.com")</f>
        <v>apples-stores.com</v>
      </c>
      <c r="C3983" t="s">
        <v>433</v>
      </c>
      <c r="J3983">
        <v>2</v>
      </c>
    </row>
    <row r="3984" spans="1:10" x14ac:dyDescent="0.25">
      <c r="A3984" t="s">
        <v>40</v>
      </c>
      <c r="B3984" s="1" t="str">
        <f>HYPERLINK("http://applesmartcover.com","applesmartcover.com")</f>
        <v>applesmartcover.com</v>
      </c>
      <c r="C3984" t="s">
        <v>433</v>
      </c>
      <c r="J3984">
        <v>2</v>
      </c>
    </row>
    <row r="3985" spans="1:10" x14ac:dyDescent="0.25">
      <c r="A3985" t="s">
        <v>40</v>
      </c>
      <c r="B3985" s="1" t="str">
        <f>HYPERLINK("http://applesmartcovers.com","applesmartcovers.com")</f>
        <v>applesmartcovers.com</v>
      </c>
      <c r="C3985" t="s">
        <v>433</v>
      </c>
      <c r="J3985">
        <v>2</v>
      </c>
    </row>
    <row r="3986" spans="1:10" x14ac:dyDescent="0.25">
      <c r="A3986" t="s">
        <v>40</v>
      </c>
      <c r="B3986" s="1" t="str">
        <f>HYPERLINK("http://applesstores.com","applesstores.com")</f>
        <v>applesstores.com</v>
      </c>
      <c r="C3986" t="s">
        <v>433</v>
      </c>
      <c r="J3986">
        <v>2</v>
      </c>
    </row>
    <row r="3987" spans="1:10" x14ac:dyDescent="0.25">
      <c r="A3987" t="s">
        <v>40</v>
      </c>
      <c r="B3987" s="1" t="str">
        <f>HYPERLINK("http://applestarcomp.com","applestarcomp.com")</f>
        <v>applestarcomp.com</v>
      </c>
      <c r="C3987" t="s">
        <v>433</v>
      </c>
      <c r="F3987">
        <v>4.4470598478663299E-9</v>
      </c>
      <c r="G3987">
        <v>73815566</v>
      </c>
      <c r="H3987">
        <v>10358363</v>
      </c>
      <c r="I3987">
        <v>55469928</v>
      </c>
      <c r="J3987">
        <v>4</v>
      </c>
    </row>
    <row r="3988" spans="1:10" x14ac:dyDescent="0.25">
      <c r="A3988" t="s">
        <v>40</v>
      </c>
      <c r="B3988" s="1" t="str">
        <f>HYPERLINK("http://applestore.com","applestore.com")</f>
        <v>applestore.com</v>
      </c>
      <c r="C3988" t="s">
        <v>433</v>
      </c>
      <c r="F3988">
        <v>1.07253803300702E-8</v>
      </c>
      <c r="G3988">
        <v>6079465</v>
      </c>
      <c r="H3988">
        <v>14119743</v>
      </c>
      <c r="I3988">
        <v>2466576</v>
      </c>
      <c r="J3988">
        <v>2</v>
      </c>
    </row>
    <row r="3989" spans="1:10" x14ac:dyDescent="0.25">
      <c r="A3989" t="s">
        <v>40</v>
      </c>
      <c r="B3989" s="1" t="str">
        <f>HYPERLINK("http://applestoree.com","applestoree.com")</f>
        <v>applestoree.com</v>
      </c>
      <c r="C3989" t="s">
        <v>433</v>
      </c>
      <c r="J3989">
        <v>2</v>
      </c>
    </row>
    <row r="3990" spans="1:10" x14ac:dyDescent="0.25">
      <c r="A3990" t="s">
        <v>40</v>
      </c>
      <c r="B3990" s="1" t="str">
        <f>HYPERLINK("http://applestoremilano.com","applestoremilano.com")</f>
        <v>applestoremilano.com</v>
      </c>
      <c r="C3990" t="s">
        <v>433</v>
      </c>
      <c r="J3990">
        <v>2</v>
      </c>
    </row>
    <row r="3991" spans="1:10" x14ac:dyDescent="0.25">
      <c r="A3991" t="s">
        <v>40</v>
      </c>
      <c r="B3991" s="1" t="str">
        <f>HYPERLINK("http://applestores.com","applestores.com")</f>
        <v>applestores.com</v>
      </c>
      <c r="C3991" t="s">
        <v>433</v>
      </c>
      <c r="J3991">
        <v>2</v>
      </c>
    </row>
    <row r="3992" spans="1:10" x14ac:dyDescent="0.25">
      <c r="A3992" t="s">
        <v>40</v>
      </c>
      <c r="B3992" s="1" t="str">
        <f>HYPERLINK("http://appletaiwan.com","appletaiwan.com")</f>
        <v>appletaiwan.com</v>
      </c>
      <c r="C3992" t="s">
        <v>433</v>
      </c>
      <c r="J3992">
        <v>2</v>
      </c>
    </row>
    <row r="3993" spans="1:10" x14ac:dyDescent="0.25">
      <c r="A3993" t="s">
        <v>40</v>
      </c>
      <c r="B3993" s="1" t="str">
        <f>HYPERLINK("http://applethunderboltdisplay.com","applethunderboltdisplay.com")</f>
        <v>applethunderboltdisplay.com</v>
      </c>
      <c r="C3993" t="s">
        <v>433</v>
      </c>
      <c r="F3993">
        <v>4.74667296022878E-9</v>
      </c>
      <c r="G3993">
        <v>38479694</v>
      </c>
      <c r="H3993">
        <v>12740292</v>
      </c>
      <c r="I3993">
        <v>15131303</v>
      </c>
      <c r="J3993">
        <v>2</v>
      </c>
    </row>
    <row r="3994" spans="1:10" x14ac:dyDescent="0.25">
      <c r="A3994" t="s">
        <v>40</v>
      </c>
      <c r="B3994" s="1" t="str">
        <f>HYPERLINK("http://appletrackpad.com","appletrackpad.com")</f>
        <v>appletrackpad.com</v>
      </c>
      <c r="C3994" t="s">
        <v>433</v>
      </c>
      <c r="F3994">
        <v>4.74667296022878E-9</v>
      </c>
      <c r="G3994">
        <v>38479695</v>
      </c>
      <c r="H3994">
        <v>12740292</v>
      </c>
      <c r="I3994">
        <v>15131304</v>
      </c>
      <c r="J3994">
        <v>2</v>
      </c>
    </row>
    <row r="3995" spans="1:10" x14ac:dyDescent="0.25">
      <c r="A3995" t="s">
        <v>40</v>
      </c>
      <c r="B3995" s="1" t="str">
        <f>HYPERLINK("http://applexpo.com","applexpo.com")</f>
        <v>applexpo.com</v>
      </c>
      <c r="C3995" t="s">
        <v>433</v>
      </c>
      <c r="J3995">
        <v>2</v>
      </c>
    </row>
    <row r="3996" spans="1:10" x14ac:dyDescent="0.25">
      <c r="A3996" t="s">
        <v>40</v>
      </c>
      <c r="B3996" s="1" t="str">
        <f>HYPERLINK("http://applf.com","applf.com")</f>
        <v>applf.com</v>
      </c>
      <c r="C3996" t="s">
        <v>433</v>
      </c>
      <c r="J3996">
        <v>2</v>
      </c>
    </row>
    <row r="3997" spans="1:10" x14ac:dyDescent="0.25">
      <c r="A3997" t="s">
        <v>40</v>
      </c>
      <c r="B3997" s="1" t="str">
        <f>HYPERLINK("http://applle.com","applle.com")</f>
        <v>applle.com</v>
      </c>
      <c r="C3997" t="s">
        <v>433</v>
      </c>
      <c r="F3997">
        <v>5.1713216829067903E-9</v>
      </c>
      <c r="G3997">
        <v>25700708</v>
      </c>
      <c r="H3997">
        <v>12740304</v>
      </c>
      <c r="I3997">
        <v>15130142</v>
      </c>
      <c r="J3997">
        <v>2</v>
      </c>
    </row>
    <row r="3998" spans="1:10" x14ac:dyDescent="0.25">
      <c r="A3998" t="s">
        <v>40</v>
      </c>
      <c r="B3998" s="1" t="str">
        <f>HYPERLINK("http://applw.com","applw.com")</f>
        <v>applw.com</v>
      </c>
      <c r="C3998" t="s">
        <v>433</v>
      </c>
      <c r="F3998">
        <v>5.4317159994731504E-9</v>
      </c>
      <c r="G3998">
        <v>21718818</v>
      </c>
      <c r="H3998">
        <v>9721950</v>
      </c>
      <c r="I3998">
        <v>63168501</v>
      </c>
      <c r="J3998">
        <v>2</v>
      </c>
    </row>
    <row r="3999" spans="1:10" x14ac:dyDescent="0.25">
      <c r="A3999" t="s">
        <v>40</v>
      </c>
      <c r="B3999" s="1" t="str">
        <f>HYPERLINK("http://appmediagroup.com","appmediagroup.com")</f>
        <v>appmediagroup.com</v>
      </c>
      <c r="C3999" t="s">
        <v>433</v>
      </c>
      <c r="J3999">
        <v>2</v>
      </c>
    </row>
    <row r="4000" spans="1:10" x14ac:dyDescent="0.25">
      <c r="A4000" t="s">
        <v>40</v>
      </c>
      <c r="B4000" s="1" t="str">
        <f>HYPERLINK("http://appstore.com","appstore.com")</f>
        <v>appstore.com</v>
      </c>
      <c r="C4000" t="s">
        <v>433</v>
      </c>
      <c r="E4000">
        <v>33795</v>
      </c>
      <c r="F4000">
        <v>3.8856001276135702E-6</v>
      </c>
      <c r="G4000">
        <v>10348</v>
      </c>
      <c r="H4000">
        <v>16748365</v>
      </c>
      <c r="I4000">
        <v>364752</v>
      </c>
      <c r="J4000">
        <v>4</v>
      </c>
    </row>
    <row r="4001" spans="1:10" x14ac:dyDescent="0.25">
      <c r="A4001" t="s">
        <v>40</v>
      </c>
      <c r="B4001" s="1" t="str">
        <f>HYPERLINK("http://appule.com","appule.com")</f>
        <v>appule.com</v>
      </c>
      <c r="C4001" t="s">
        <v>433</v>
      </c>
      <c r="E4001">
        <v>790227</v>
      </c>
      <c r="F4001">
        <v>4.74667296022878E-9</v>
      </c>
      <c r="G4001">
        <v>38479697</v>
      </c>
      <c r="H4001">
        <v>12740292</v>
      </c>
      <c r="I4001">
        <v>15131307</v>
      </c>
      <c r="J4001">
        <v>2</v>
      </c>
    </row>
    <row r="4002" spans="1:10" x14ac:dyDescent="0.25">
      <c r="A4002" t="s">
        <v>40</v>
      </c>
      <c r="B4002" s="1" t="str">
        <f>HYPERLINK("http://artminddinner.com","artminddinner.com")</f>
        <v>artminddinner.com</v>
      </c>
      <c r="C4002" t="s">
        <v>433</v>
      </c>
      <c r="F4002">
        <v>4.8060754846374704E-9</v>
      </c>
      <c r="G4002">
        <v>35849202</v>
      </c>
      <c r="H4002">
        <v>10457664</v>
      </c>
      <c r="I4002">
        <v>51936087</v>
      </c>
      <c r="J4002">
        <v>3</v>
      </c>
    </row>
    <row r="4003" spans="1:10" x14ac:dyDescent="0.25">
      <c r="A4003" t="s">
        <v>40</v>
      </c>
      <c r="B4003" s="1" t="str">
        <f>HYPERLINK("http://authentec.com","authentec.com")</f>
        <v>authentec.com</v>
      </c>
      <c r="C4003" t="s">
        <v>433</v>
      </c>
      <c r="E4003">
        <v>206352</v>
      </c>
      <c r="F4003">
        <v>8.77799098974903E-8</v>
      </c>
      <c r="G4003">
        <v>467130</v>
      </c>
      <c r="H4003">
        <v>14815900</v>
      </c>
      <c r="I4003">
        <v>523859</v>
      </c>
      <c r="J4003">
        <v>3</v>
      </c>
    </row>
    <row r="4004" spans="1:10" x14ac:dyDescent="0.25">
      <c r="A4004" t="s">
        <v>40</v>
      </c>
      <c r="B4004" s="1" t="str">
        <f>HYPERLINK("http://axple.com","axple.com")</f>
        <v>axple.com</v>
      </c>
      <c r="C4004" t="s">
        <v>433</v>
      </c>
      <c r="F4004">
        <v>4.74667296022878E-9</v>
      </c>
      <c r="G4004">
        <v>38479701</v>
      </c>
      <c r="H4004">
        <v>12740292</v>
      </c>
      <c r="I4004">
        <v>15131336</v>
      </c>
      <c r="J4004">
        <v>2</v>
      </c>
    </row>
    <row r="4005" spans="1:10" x14ac:dyDescent="0.25">
      <c r="A4005" t="s">
        <v>40</v>
      </c>
      <c r="B4005" s="1" t="str">
        <f>HYPERLINK("http://azxylive.com","azxylive.com")</f>
        <v>azxylive.com</v>
      </c>
      <c r="C4005" t="s">
        <v>433</v>
      </c>
      <c r="F4005">
        <v>2.2510932285310899E-8</v>
      </c>
      <c r="G4005">
        <v>2327241</v>
      </c>
      <c r="H4005">
        <v>10821521</v>
      </c>
      <c r="I4005">
        <v>37593906</v>
      </c>
      <c r="J4005">
        <v>3</v>
      </c>
    </row>
    <row r="4006" spans="1:10" x14ac:dyDescent="0.25">
      <c r="A4006" t="s">
        <v>40</v>
      </c>
      <c r="B4006" s="1" t="str">
        <f>HYPERLINK("http://beats1radio.com","beats1radio.com")</f>
        <v>beats1radio.com</v>
      </c>
      <c r="C4006" t="s">
        <v>433</v>
      </c>
      <c r="F4006">
        <v>8.1116974441412803E-9</v>
      </c>
      <c r="G4006">
        <v>9721485</v>
      </c>
      <c r="H4006">
        <v>13205492</v>
      </c>
      <c r="I4006">
        <v>11530674</v>
      </c>
      <c r="J4006">
        <v>2</v>
      </c>
    </row>
    <row r="4007" spans="1:10" x14ac:dyDescent="0.25">
      <c r="A4007" t="s">
        <v>40</v>
      </c>
      <c r="B4007" s="1" t="str">
        <f>HYPERLINK("http://beatsbydre.com","beatsbydre.com")</f>
        <v>beatsbydre.com</v>
      </c>
      <c r="C4007" t="s">
        <v>433</v>
      </c>
      <c r="E4007">
        <v>17094</v>
      </c>
      <c r="F4007">
        <v>1.4488067798265999E-6</v>
      </c>
      <c r="G4007">
        <v>27036</v>
      </c>
      <c r="H4007">
        <v>16010006</v>
      </c>
      <c r="I4007">
        <v>366351</v>
      </c>
      <c r="J4007">
        <v>2</v>
      </c>
    </row>
    <row r="4008" spans="1:10" x14ac:dyDescent="0.25">
      <c r="A4008" t="s">
        <v>40</v>
      </c>
      <c r="B4008" s="1" t="str">
        <f>HYPERLINK("http://beddit.com","beddit.com")</f>
        <v>beddit.com</v>
      </c>
      <c r="C4008" t="s">
        <v>433</v>
      </c>
      <c r="E4008">
        <v>561866</v>
      </c>
      <c r="F4008">
        <v>1.1141871992498999E-7</v>
      </c>
      <c r="G4008">
        <v>358757</v>
      </c>
      <c r="H4008">
        <v>14925361</v>
      </c>
      <c r="I4008">
        <v>449635</v>
      </c>
      <c r="J4008">
        <v>3</v>
      </c>
    </row>
    <row r="4009" spans="1:10" x14ac:dyDescent="0.25">
      <c r="A4009" t="s">
        <v>40</v>
      </c>
      <c r="B4009" s="1" t="str">
        <f>HYPERLINK("http://believersark.com","believersark.com")</f>
        <v>believersark.com</v>
      </c>
      <c r="C4009" t="s">
        <v>433</v>
      </c>
      <c r="F4009">
        <v>4.8506614777876201E-9</v>
      </c>
      <c r="G4009">
        <v>34120246</v>
      </c>
      <c r="H4009">
        <v>11026579</v>
      </c>
      <c r="I4009">
        <v>33158623</v>
      </c>
      <c r="J4009">
        <v>3</v>
      </c>
    </row>
    <row r="4010" spans="1:10" x14ac:dyDescent="0.25">
      <c r="A4010" t="s">
        <v>40</v>
      </c>
      <c r="B4010" s="1" t="str">
        <f>HYPERLINK("http://bloomylab.com","bloomylab.com")</f>
        <v>bloomylab.com</v>
      </c>
      <c r="C4010" t="s">
        <v>433</v>
      </c>
      <c r="F4010">
        <v>6.4653809989437997E-9</v>
      </c>
      <c r="G4010">
        <v>14225759</v>
      </c>
      <c r="H4010">
        <v>12578958</v>
      </c>
      <c r="I4010">
        <v>16524029</v>
      </c>
      <c r="J4010">
        <v>4</v>
      </c>
    </row>
    <row r="4011" spans="1:10" x14ac:dyDescent="0.25">
      <c r="A4011" t="s">
        <v>40</v>
      </c>
      <c r="B4011" s="1" t="str">
        <f>HYPERLINK("http://braeburncapital.com","braeburncapital.com")</f>
        <v>braeburncapital.com</v>
      </c>
      <c r="C4011" t="s">
        <v>433</v>
      </c>
      <c r="F4011">
        <v>1.01352669633177E-8</v>
      </c>
      <c r="G4011">
        <v>6611449</v>
      </c>
      <c r="H4011">
        <v>13828771</v>
      </c>
      <c r="I4011">
        <v>6114703</v>
      </c>
      <c r="J4011">
        <v>2</v>
      </c>
    </row>
    <row r="4012" spans="1:10" x14ac:dyDescent="0.25">
      <c r="A4012" t="s">
        <v>40</v>
      </c>
      <c r="B4012" s="1" t="str">
        <f>HYPERLINK("http://burstlyrewards.com","burstlyrewards.com")</f>
        <v>burstlyrewards.com</v>
      </c>
      <c r="C4012" t="s">
        <v>433</v>
      </c>
      <c r="J4012">
        <v>2</v>
      </c>
    </row>
    <row r="4013" spans="1:10" x14ac:dyDescent="0.25">
      <c r="A4013" t="s">
        <v>40</v>
      </c>
      <c r="B4013" s="1" t="str">
        <f>HYPERLINK("http://buy-different.com","buy-different.com")</f>
        <v>buy-different.com</v>
      </c>
      <c r="C4013" t="s">
        <v>433</v>
      </c>
      <c r="F4013">
        <v>5.3924277126439497E-9</v>
      </c>
      <c r="G4013">
        <v>22215073</v>
      </c>
      <c r="H4013">
        <v>13295590</v>
      </c>
      <c r="I4013">
        <v>10851563</v>
      </c>
      <c r="J4013">
        <v>2</v>
      </c>
    </row>
    <row r="4014" spans="1:10" x14ac:dyDescent="0.25">
      <c r="A4014" t="s">
        <v>40</v>
      </c>
      <c r="B4014" s="1" t="str">
        <f>HYPERLINK("http://camelphat.com","camelphat.com")</f>
        <v>camelphat.com</v>
      </c>
      <c r="C4014" t="s">
        <v>433</v>
      </c>
      <c r="J4014">
        <v>2</v>
      </c>
    </row>
    <row r="4015" spans="1:10" x14ac:dyDescent="0.25">
      <c r="A4015" t="s">
        <v>40</v>
      </c>
      <c r="B4015" s="1" t="str">
        <f>HYPERLINK("http://camelspaceeffect.com","camelspaceeffect.com")</f>
        <v>camelspaceeffect.com</v>
      </c>
      <c r="C4015" t="s">
        <v>433</v>
      </c>
      <c r="J4015">
        <v>2</v>
      </c>
    </row>
    <row r="4016" spans="1:10" x14ac:dyDescent="0.25">
      <c r="A4016" t="s">
        <v>40</v>
      </c>
      <c r="B4016" s="1" t="str">
        <f>HYPERLINK("http://cdn-apple.com","cdn-apple.com")</f>
        <v>cdn-apple.com</v>
      </c>
      <c r="C4016" t="s">
        <v>433</v>
      </c>
      <c r="E4016">
        <v>690</v>
      </c>
      <c r="F4016">
        <v>1.19887211316255E-5</v>
      </c>
      <c r="G4016">
        <v>2885</v>
      </c>
      <c r="H4016">
        <v>16204183</v>
      </c>
      <c r="I4016">
        <v>365551</v>
      </c>
      <c r="J4016">
        <v>2</v>
      </c>
    </row>
    <row r="4017" spans="1:10" x14ac:dyDescent="0.25">
      <c r="A4017" t="s">
        <v>40</v>
      </c>
      <c r="B4017" s="1" t="str">
        <f>HYPERLINK("http://cekmekoyappleservis.com","cekmekoyappleservis.com")</f>
        <v>cekmekoyappleservis.com</v>
      </c>
      <c r="C4017" t="s">
        <v>433</v>
      </c>
      <c r="J4017">
        <v>4</v>
      </c>
    </row>
    <row r="4018" spans="1:10" x14ac:dyDescent="0.25">
      <c r="A4018" t="s">
        <v>40</v>
      </c>
      <c r="B4018" s="1" t="str">
        <f>HYPERLINK("http://chomp.com","chomp.com")</f>
        <v>chomp.com</v>
      </c>
      <c r="C4018" t="s">
        <v>433</v>
      </c>
      <c r="F4018">
        <v>3.8752192050243999E-8</v>
      </c>
      <c r="G4018">
        <v>1330447</v>
      </c>
      <c r="H4018">
        <v>14237655</v>
      </c>
      <c r="I4018">
        <v>1544245</v>
      </c>
      <c r="J4018">
        <v>2</v>
      </c>
    </row>
    <row r="4019" spans="1:10" x14ac:dyDescent="0.25">
      <c r="A4019" t="s">
        <v>40</v>
      </c>
      <c r="B4019" s="1" t="str">
        <f>HYPERLINK("http://claris.com","claris.com")</f>
        <v>claris.com</v>
      </c>
      <c r="C4019" t="s">
        <v>433</v>
      </c>
      <c r="E4019">
        <v>10830</v>
      </c>
      <c r="F4019">
        <v>9.48117464403901E-7</v>
      </c>
      <c r="G4019">
        <v>40411</v>
      </c>
      <c r="H4019">
        <v>17555330</v>
      </c>
      <c r="I4019">
        <v>11105</v>
      </c>
      <c r="J4019">
        <v>3</v>
      </c>
    </row>
    <row r="4020" spans="1:10" x14ac:dyDescent="0.25">
      <c r="A4020" t="s">
        <v>40</v>
      </c>
      <c r="B4020" s="1" t="str">
        <f>HYPERLINK("http://cleankeys.com","cleankeys.com")</f>
        <v>cleankeys.com</v>
      </c>
      <c r="C4020" t="s">
        <v>433</v>
      </c>
      <c r="F4020">
        <v>4.4543521113870596E-9</v>
      </c>
      <c r="G4020">
        <v>69770913</v>
      </c>
      <c r="H4020">
        <v>12239094</v>
      </c>
      <c r="I4020">
        <v>22281380</v>
      </c>
      <c r="J4020">
        <v>2</v>
      </c>
    </row>
    <row r="4021" spans="1:10" x14ac:dyDescent="0.25">
      <c r="A4021" t="s">
        <v>40</v>
      </c>
      <c r="B4021" s="1" t="str">
        <f>HYPERLINK("http://creditkudos.com","creditkudos.com")</f>
        <v>creditkudos.com</v>
      </c>
      <c r="C4021" t="s">
        <v>433</v>
      </c>
      <c r="E4021">
        <v>308579</v>
      </c>
      <c r="F4021">
        <v>7.19833553925117E-8</v>
      </c>
      <c r="G4021">
        <v>586697</v>
      </c>
      <c r="H4021">
        <v>13846386</v>
      </c>
      <c r="I4021">
        <v>6060375</v>
      </c>
      <c r="J4021">
        <v>4</v>
      </c>
    </row>
    <row r="4022" spans="1:10" x14ac:dyDescent="0.25">
      <c r="A4022" t="s">
        <v>40</v>
      </c>
      <c r="B4022" s="1" t="str">
        <f>HYPERLINK("http://csjmst.com","csjmst.com")</f>
        <v>csjmst.com</v>
      </c>
      <c r="C4022" t="s">
        <v>433</v>
      </c>
      <c r="F4022">
        <v>4.4438448956836104E-9</v>
      </c>
      <c r="G4022">
        <v>78639065</v>
      </c>
      <c r="H4022">
        <v>10467564</v>
      </c>
      <c r="I4022">
        <v>51375492</v>
      </c>
      <c r="J4022">
        <v>3</v>
      </c>
    </row>
    <row r="4023" spans="1:10" x14ac:dyDescent="0.25">
      <c r="A4023" t="s">
        <v>40</v>
      </c>
      <c r="B4023" s="1" t="str">
        <f>HYPERLINK("http://cueusercontent.com","cueusercontent.com")</f>
        <v>cueusercontent.com</v>
      </c>
      <c r="C4023" t="s">
        <v>433</v>
      </c>
      <c r="J4023">
        <v>2</v>
      </c>
    </row>
    <row r="4024" spans="1:10" x14ac:dyDescent="0.25">
      <c r="A4024" t="s">
        <v>40</v>
      </c>
      <c r="B4024" s="1" t="str">
        <f>HYPERLINK("http://dailyfreshshop.com","dailyfreshshop.com")</f>
        <v>dailyfreshshop.com</v>
      </c>
      <c r="C4024" t="s">
        <v>433</v>
      </c>
      <c r="F4024">
        <v>4.6339525930671099E-9</v>
      </c>
      <c r="G4024">
        <v>45161959</v>
      </c>
      <c r="H4024">
        <v>9869761</v>
      </c>
      <c r="I4024">
        <v>61985196</v>
      </c>
      <c r="J4024">
        <v>3</v>
      </c>
    </row>
    <row r="4025" spans="1:10" x14ac:dyDescent="0.25">
      <c r="A4025" t="s">
        <v>40</v>
      </c>
      <c r="B4025" s="1" t="str">
        <f>HYPERLINK("http://darwinsource.com","darwinsource.com")</f>
        <v>darwinsource.com</v>
      </c>
      <c r="C4025" t="s">
        <v>433</v>
      </c>
      <c r="J4025">
        <v>2</v>
      </c>
    </row>
    <row r="4026" spans="1:10" x14ac:dyDescent="0.25">
      <c r="A4026" t="s">
        <v>40</v>
      </c>
      <c r="B4026" s="1" t="str">
        <f>HYPERLINK("http://darwinsourcecode.com","darwinsourcecode.com")</f>
        <v>darwinsourcecode.com</v>
      </c>
      <c r="C4026" t="s">
        <v>433</v>
      </c>
      <c r="J4026">
        <v>2</v>
      </c>
    </row>
    <row r="4027" spans="1:10" x14ac:dyDescent="0.25">
      <c r="A4027" t="s">
        <v>40</v>
      </c>
      <c r="B4027" s="1" t="str">
        <f>HYPERLINK("http://desktopmovie.com","desktopmovie.com")</f>
        <v>desktopmovie.com</v>
      </c>
      <c r="C4027" t="s">
        <v>433</v>
      </c>
      <c r="F4027">
        <v>4.74667296022878E-9</v>
      </c>
      <c r="G4027">
        <v>38479725</v>
      </c>
      <c r="H4027">
        <v>12740292</v>
      </c>
      <c r="I4027">
        <v>15131431</v>
      </c>
      <c r="J4027">
        <v>2</v>
      </c>
    </row>
    <row r="4028" spans="1:10" x14ac:dyDescent="0.25">
      <c r="A4028" t="s">
        <v>40</v>
      </c>
      <c r="B4028" s="1" t="str">
        <f>HYPERLINK("http://dvdstudiopro.com","dvdstudiopro.com")</f>
        <v>dvdstudiopro.com</v>
      </c>
      <c r="C4028" t="s">
        <v>433</v>
      </c>
      <c r="F4028">
        <v>4.74667296022878E-9</v>
      </c>
      <c r="G4028">
        <v>38479736</v>
      </c>
      <c r="H4028">
        <v>12740292</v>
      </c>
      <c r="I4028">
        <v>15131453</v>
      </c>
      <c r="J4028">
        <v>2</v>
      </c>
    </row>
    <row r="4029" spans="1:10" x14ac:dyDescent="0.25">
      <c r="A4029" t="s">
        <v>40</v>
      </c>
      <c r="B4029" s="1" t="str">
        <f>HYPERLINK("http://euroapple.com","euroapple.com")</f>
        <v>euroapple.com</v>
      </c>
      <c r="C4029" t="s">
        <v>433</v>
      </c>
      <c r="F4029">
        <v>4.5908035714589103E-9</v>
      </c>
      <c r="G4029">
        <v>48339204</v>
      </c>
      <c r="H4029">
        <v>12235184</v>
      </c>
      <c r="I4029">
        <v>22371958</v>
      </c>
      <c r="J4029">
        <v>2</v>
      </c>
    </row>
    <row r="4030" spans="1:10" x14ac:dyDescent="0.25">
      <c r="A4030" t="s">
        <v>40</v>
      </c>
      <c r="B4030" s="1" t="str">
        <f>HYPERLINK("http://facetime.com","facetime.com")</f>
        <v>facetime.com</v>
      </c>
      <c r="C4030" t="s">
        <v>433</v>
      </c>
      <c r="E4030">
        <v>852979</v>
      </c>
      <c r="F4030">
        <v>6.2408204524819203E-8</v>
      </c>
      <c r="G4030">
        <v>703377</v>
      </c>
      <c r="H4030">
        <v>14849519</v>
      </c>
      <c r="I4030">
        <v>491375</v>
      </c>
      <c r="J4030">
        <v>2</v>
      </c>
    </row>
    <row r="4031" spans="1:10" x14ac:dyDescent="0.25">
      <c r="A4031" t="s">
        <v>40</v>
      </c>
      <c r="B4031" s="1" t="str">
        <f>HYPERLINK("http://fangjingping.com","fangjingping.com")</f>
        <v>fangjingping.com</v>
      </c>
      <c r="C4031" t="s">
        <v>433</v>
      </c>
      <c r="F4031">
        <v>4.44380395335525E-9</v>
      </c>
      <c r="G4031">
        <v>81609555</v>
      </c>
      <c r="H4031">
        <v>0</v>
      </c>
      <c r="I4031">
        <v>82028589</v>
      </c>
      <c r="J4031">
        <v>3</v>
      </c>
    </row>
    <row r="4032" spans="1:10" x14ac:dyDescent="0.25">
      <c r="A4032" t="s">
        <v>40</v>
      </c>
      <c r="B4032" s="1" t="str">
        <f>HYPERLINK("http://fbcont.com","fbcont.com")</f>
        <v>fbcont.com</v>
      </c>
      <c r="C4032" t="s">
        <v>433</v>
      </c>
      <c r="F4032">
        <v>6.3098265246926499E-9</v>
      </c>
      <c r="G4032">
        <v>14984581</v>
      </c>
      <c r="H4032">
        <v>12982212</v>
      </c>
      <c r="I4032">
        <v>12941679</v>
      </c>
      <c r="J4032">
        <v>3</v>
      </c>
    </row>
    <row r="4033" spans="1:10" x14ac:dyDescent="0.25">
      <c r="A4033" t="s">
        <v>40</v>
      </c>
      <c r="B4033" s="1" t="str">
        <f>HYPERLINK("http://filemaker.com","filemaker.com")</f>
        <v>filemaker.com</v>
      </c>
      <c r="C4033" t="s">
        <v>433</v>
      </c>
      <c r="E4033">
        <v>40527</v>
      </c>
      <c r="F4033">
        <v>8.7335047020498799E-7</v>
      </c>
      <c r="G4033">
        <v>45885</v>
      </c>
      <c r="H4033">
        <v>15797170</v>
      </c>
      <c r="I4033">
        <v>368186</v>
      </c>
      <c r="J4033">
        <v>3</v>
      </c>
    </row>
    <row r="4034" spans="1:10" x14ac:dyDescent="0.25">
      <c r="A4034" t="s">
        <v>40</v>
      </c>
      <c r="B4034" s="1" t="str">
        <f>HYPERLINK("http://finalcutpro.com","finalcutpro.com")</f>
        <v>finalcutpro.com</v>
      </c>
      <c r="C4034" t="s">
        <v>433</v>
      </c>
      <c r="F4034">
        <v>5.7663724282885601E-9</v>
      </c>
      <c r="G4034">
        <v>18356143</v>
      </c>
      <c r="H4034">
        <v>12753252</v>
      </c>
      <c r="I4034">
        <v>15003343</v>
      </c>
      <c r="J4034">
        <v>2</v>
      </c>
    </row>
    <row r="4035" spans="1:10" x14ac:dyDescent="0.25">
      <c r="A4035" t="s">
        <v>40</v>
      </c>
      <c r="B4035" s="1" t="str">
        <f>HYPERLINK("http://forthecolorful.com","forthecolorful.com")</f>
        <v>forthecolorful.com</v>
      </c>
      <c r="C4035" t="s">
        <v>433</v>
      </c>
      <c r="J4035">
        <v>2</v>
      </c>
    </row>
    <row r="4036" spans="1:10" x14ac:dyDescent="0.25">
      <c r="A4036" t="s">
        <v>40</v>
      </c>
      <c r="B4036" s="1" t="str">
        <f>HYPERLINK("http://forthecolourful.com","forthecolourful.com")</f>
        <v>forthecolourful.com</v>
      </c>
      <c r="C4036" t="s">
        <v>433</v>
      </c>
      <c r="J4036">
        <v>2</v>
      </c>
    </row>
    <row r="4037" spans="1:10" x14ac:dyDescent="0.25">
      <c r="A4037" t="s">
        <v>40</v>
      </c>
      <c r="B4037" s="1" t="str">
        <f>HYPERLINK("http://fs-mu.com","fs-mu.com")</f>
        <v>fs-mu.com</v>
      </c>
      <c r="C4037" t="s">
        <v>433</v>
      </c>
      <c r="F4037">
        <v>4.44380395335525E-9</v>
      </c>
      <c r="G4037">
        <v>81704363</v>
      </c>
      <c r="H4037">
        <v>0</v>
      </c>
      <c r="I4037">
        <v>82143639</v>
      </c>
      <c r="J4037">
        <v>3</v>
      </c>
    </row>
    <row r="4038" spans="1:10" x14ac:dyDescent="0.25">
      <c r="A4038" t="s">
        <v>40</v>
      </c>
      <c r="B4038" s="1" t="str">
        <f>HYPERLINK("http://futuragrafica.com","futuragrafica.com")</f>
        <v>futuragrafica.com</v>
      </c>
      <c r="C4038" t="s">
        <v>433</v>
      </c>
      <c r="F4038">
        <v>4.4519551428067602E-9</v>
      </c>
      <c r="G4038">
        <v>70868061</v>
      </c>
      <c r="H4038">
        <v>10752564</v>
      </c>
      <c r="I4038">
        <v>39983546</v>
      </c>
      <c r="J4038">
        <v>4</v>
      </c>
    </row>
    <row r="4039" spans="1:10" x14ac:dyDescent="0.25">
      <c r="A4039" t="s">
        <v>40</v>
      </c>
      <c r="B4039" s="1" t="str">
        <f>HYPERLINK("http://garageband.com","garageband.com")</f>
        <v>garageband.com</v>
      </c>
      <c r="C4039" t="s">
        <v>433</v>
      </c>
      <c r="E4039">
        <v>137407</v>
      </c>
      <c r="F4039">
        <v>2.39137743371076E-7</v>
      </c>
      <c r="G4039">
        <v>156516</v>
      </c>
      <c r="H4039">
        <v>17171372</v>
      </c>
      <c r="I4039">
        <v>47438</v>
      </c>
      <c r="J4039">
        <v>2</v>
      </c>
    </row>
    <row r="4040" spans="1:10" x14ac:dyDescent="0.25">
      <c r="A4040" t="s">
        <v>40</v>
      </c>
      <c r="B4040" s="1" t="str">
        <f>HYPERLINK("http://geoport.com","geoport.com")</f>
        <v>geoport.com</v>
      </c>
      <c r="C4040" t="s">
        <v>433</v>
      </c>
      <c r="F4040">
        <v>4.74667296022878E-9</v>
      </c>
      <c r="G4040">
        <v>38479753</v>
      </c>
      <c r="H4040">
        <v>12740292</v>
      </c>
      <c r="I4040">
        <v>15131510</v>
      </c>
      <c r="J4040">
        <v>2</v>
      </c>
    </row>
    <row r="4041" spans="1:10" x14ac:dyDescent="0.25">
      <c r="A4041" t="s">
        <v>40</v>
      </c>
      <c r="B4041" s="1" t="str">
        <f>HYPERLINK("http://gurmex.com","gurmex.com")</f>
        <v>gurmex.com</v>
      </c>
      <c r="C4041" t="s">
        <v>433</v>
      </c>
      <c r="F4041">
        <v>5.5033048261399803E-8</v>
      </c>
      <c r="G4041">
        <v>817064</v>
      </c>
      <c r="H4041">
        <v>16813252</v>
      </c>
      <c r="I4041">
        <v>192947</v>
      </c>
      <c r="J4041">
        <v>4</v>
      </c>
    </row>
    <row r="4042" spans="1:10" x14ac:dyDescent="0.25">
      <c r="A4042" t="s">
        <v>40</v>
      </c>
      <c r="B4042" s="1" t="str">
        <f>HYPERLINK("http://hikingtreks.com","hikingtreks.com")</f>
        <v>hikingtreks.com</v>
      </c>
      <c r="C4042" t="s">
        <v>433</v>
      </c>
      <c r="J4042">
        <v>2</v>
      </c>
    </row>
    <row r="4043" spans="1:10" x14ac:dyDescent="0.25">
      <c r="A4043" t="s">
        <v>40</v>
      </c>
      <c r="B4043" s="1" t="str">
        <f>HYPERLINK("http://ibookpartner.com","ibookpartner.com")</f>
        <v>ibookpartner.com</v>
      </c>
      <c r="C4043" t="s">
        <v>433</v>
      </c>
      <c r="J4043">
        <v>2</v>
      </c>
    </row>
    <row r="4044" spans="1:10" x14ac:dyDescent="0.25">
      <c r="A4044" t="s">
        <v>40</v>
      </c>
      <c r="B4044" s="1" t="str">
        <f>HYPERLINK("http://ichat.com","ichat.com")</f>
        <v>ichat.com</v>
      </c>
      <c r="C4044" t="s">
        <v>433</v>
      </c>
      <c r="E4044">
        <v>834090</v>
      </c>
      <c r="F4044">
        <v>3.7219178905658302E-8</v>
      </c>
      <c r="G4044">
        <v>1391659</v>
      </c>
      <c r="H4044">
        <v>14003868</v>
      </c>
      <c r="I4044">
        <v>4008481</v>
      </c>
      <c r="J4044">
        <v>2</v>
      </c>
    </row>
    <row r="4045" spans="1:10" x14ac:dyDescent="0.25">
      <c r="A4045" t="s">
        <v>40</v>
      </c>
      <c r="B4045" s="1" t="str">
        <f>HYPERLINK("http://icloud.com","icloud.com")</f>
        <v>icloud.com</v>
      </c>
      <c r="C4045" t="s">
        <v>433</v>
      </c>
      <c r="E4045">
        <v>92</v>
      </c>
      <c r="F4045">
        <v>2.9817489447648399E-5</v>
      </c>
      <c r="G4045">
        <v>972</v>
      </c>
      <c r="H4045">
        <v>18517082</v>
      </c>
      <c r="I4045">
        <v>1523</v>
      </c>
      <c r="J4045">
        <v>2</v>
      </c>
    </row>
    <row r="4046" spans="1:10" x14ac:dyDescent="0.25">
      <c r="A4046" t="s">
        <v>40</v>
      </c>
      <c r="B4046" s="1" t="str">
        <f>HYPERLINK("http://icloud-content.com","icloud-content.com")</f>
        <v>icloud-content.com</v>
      </c>
      <c r="C4046" t="s">
        <v>433</v>
      </c>
      <c r="E4046">
        <v>1115</v>
      </c>
      <c r="F4046">
        <v>5.4339300544366202E-8</v>
      </c>
      <c r="G4046">
        <v>831217</v>
      </c>
      <c r="H4046">
        <v>14620487</v>
      </c>
      <c r="I4046">
        <v>658603</v>
      </c>
      <c r="J4046">
        <v>2</v>
      </c>
    </row>
    <row r="4047" spans="1:10" x14ac:dyDescent="0.25">
      <c r="A4047" t="s">
        <v>40</v>
      </c>
      <c r="B4047" s="1" t="str">
        <f>HYPERLINK("http://ikids.com","ikids.com")</f>
        <v>ikids.com</v>
      </c>
      <c r="C4047" t="s">
        <v>433</v>
      </c>
      <c r="F4047">
        <v>4.7691245998664198E-9</v>
      </c>
      <c r="G4047">
        <v>37412546</v>
      </c>
      <c r="H4047">
        <v>12740455</v>
      </c>
      <c r="I4047">
        <v>15128790</v>
      </c>
      <c r="J4047">
        <v>2</v>
      </c>
    </row>
    <row r="4048" spans="1:10" x14ac:dyDescent="0.25">
      <c r="A4048" t="s">
        <v>40</v>
      </c>
      <c r="B4048" s="1" t="str">
        <f>HYPERLINK("http://imac.com","imac.com")</f>
        <v>imac.com</v>
      </c>
      <c r="C4048" t="s">
        <v>433</v>
      </c>
      <c r="F4048">
        <v>6.71124362988974E-9</v>
      </c>
      <c r="G4048">
        <v>13263843</v>
      </c>
      <c r="H4048">
        <v>13773481</v>
      </c>
      <c r="I4048">
        <v>6630670</v>
      </c>
      <c r="J4048">
        <v>2</v>
      </c>
    </row>
    <row r="4049" spans="1:10" x14ac:dyDescent="0.25">
      <c r="A4049" t="s">
        <v>40</v>
      </c>
      <c r="B4049" s="1" t="str">
        <f>HYPERLINK("http://imac-apple.com","imac-apple.com")</f>
        <v>imac-apple.com</v>
      </c>
      <c r="C4049" t="s">
        <v>433</v>
      </c>
      <c r="J4049">
        <v>2</v>
      </c>
    </row>
    <row r="4050" spans="1:10" x14ac:dyDescent="0.25">
      <c r="A4050" t="s">
        <v>40</v>
      </c>
      <c r="B4050" s="1" t="str">
        <f>HYPERLINK("http://imac-applecomputer.com","imac-applecomputer.com")</f>
        <v>imac-applecomputer.com</v>
      </c>
      <c r="C4050" t="s">
        <v>433</v>
      </c>
      <c r="F4050">
        <v>4.74667296022878E-9</v>
      </c>
      <c r="G4050">
        <v>38479766</v>
      </c>
      <c r="H4050">
        <v>12740293</v>
      </c>
      <c r="I4050">
        <v>15130906</v>
      </c>
      <c r="J4050">
        <v>2</v>
      </c>
    </row>
    <row r="4051" spans="1:10" x14ac:dyDescent="0.25">
      <c r="A4051" t="s">
        <v>40</v>
      </c>
      <c r="B4051" s="1" t="str">
        <f>HYPERLINK("http://imacapple.com","imacapple.com")</f>
        <v>imacapple.com</v>
      </c>
      <c r="C4051" t="s">
        <v>433</v>
      </c>
      <c r="F4051">
        <v>4.74667296022878E-9</v>
      </c>
      <c r="G4051">
        <v>38479767</v>
      </c>
      <c r="H4051">
        <v>12740294</v>
      </c>
      <c r="I4051">
        <v>15130730</v>
      </c>
      <c r="J4051">
        <v>2</v>
      </c>
    </row>
    <row r="4052" spans="1:10" x14ac:dyDescent="0.25">
      <c r="A4052" t="s">
        <v>40</v>
      </c>
      <c r="B4052" s="1" t="str">
        <f>HYPERLINK("http://imacapplecomputer.com","imacapplecomputer.com")</f>
        <v>imacapplecomputer.com</v>
      </c>
      <c r="C4052" t="s">
        <v>433</v>
      </c>
      <c r="F4052">
        <v>4.74667296022878E-9</v>
      </c>
      <c r="G4052">
        <v>38479768</v>
      </c>
      <c r="H4052">
        <v>12740292</v>
      </c>
      <c r="I4052">
        <v>15131547</v>
      </c>
      <c r="J4052">
        <v>2</v>
      </c>
    </row>
    <row r="4053" spans="1:10" x14ac:dyDescent="0.25">
      <c r="A4053" t="s">
        <v>40</v>
      </c>
      <c r="B4053" s="1" t="str">
        <f>HYPERLINK("http://imacstore.com","imacstore.com")</f>
        <v>imacstore.com</v>
      </c>
      <c r="C4053" t="s">
        <v>433</v>
      </c>
      <c r="J4053">
        <v>2</v>
      </c>
    </row>
    <row r="4054" spans="1:10" x14ac:dyDescent="0.25">
      <c r="A4054" t="s">
        <v>40</v>
      </c>
      <c r="B4054" s="1" t="str">
        <f>HYPERLINK("http://imoviegallery.com","imoviegallery.com")</f>
        <v>imoviegallery.com</v>
      </c>
      <c r="C4054" t="s">
        <v>433</v>
      </c>
      <c r="F4054">
        <v>4.74667296022878E-9</v>
      </c>
      <c r="G4054">
        <v>38479770</v>
      </c>
      <c r="H4054">
        <v>12740292</v>
      </c>
      <c r="I4054">
        <v>15131550</v>
      </c>
      <c r="J4054">
        <v>2</v>
      </c>
    </row>
    <row r="4055" spans="1:10" x14ac:dyDescent="0.25">
      <c r="A4055" t="s">
        <v>40</v>
      </c>
      <c r="B4055" s="1" t="str">
        <f>HYPERLINK("http://imoviestage.com","imoviestage.com")</f>
        <v>imoviestage.com</v>
      </c>
      <c r="C4055" t="s">
        <v>433</v>
      </c>
      <c r="F4055">
        <v>4.74667296022878E-9</v>
      </c>
      <c r="G4055">
        <v>38479771</v>
      </c>
      <c r="H4055">
        <v>12740292</v>
      </c>
      <c r="I4055">
        <v>15131551</v>
      </c>
      <c r="J4055">
        <v>2</v>
      </c>
    </row>
    <row r="4056" spans="1:10" x14ac:dyDescent="0.25">
      <c r="A4056" t="s">
        <v>40</v>
      </c>
      <c r="B4056" s="1" t="str">
        <f>HYPERLINK("http://indiaipad.com","indiaipad.com")</f>
        <v>indiaipad.com</v>
      </c>
      <c r="C4056" t="s">
        <v>433</v>
      </c>
      <c r="F4056">
        <v>4.5908035714589103E-9</v>
      </c>
      <c r="G4056">
        <v>48339334</v>
      </c>
      <c r="H4056">
        <v>12235184</v>
      </c>
      <c r="I4056">
        <v>22372133</v>
      </c>
      <c r="J4056">
        <v>2</v>
      </c>
    </row>
    <row r="4057" spans="1:10" x14ac:dyDescent="0.25">
      <c r="A4057" t="s">
        <v>40</v>
      </c>
      <c r="B4057" s="1" t="str">
        <f>HYPERLINK("http://insidemacintosh.com","insidemacintosh.com")</f>
        <v>insidemacintosh.com</v>
      </c>
      <c r="C4057" t="s">
        <v>433</v>
      </c>
      <c r="F4057">
        <v>4.74667296022878E-9</v>
      </c>
      <c r="G4057">
        <v>38479773</v>
      </c>
      <c r="H4057">
        <v>12740292</v>
      </c>
      <c r="I4057">
        <v>15131564</v>
      </c>
      <c r="J4057">
        <v>2</v>
      </c>
    </row>
    <row r="4058" spans="1:10" x14ac:dyDescent="0.25">
      <c r="A4058" t="s">
        <v>40</v>
      </c>
      <c r="B4058" s="1" t="str">
        <f>HYPERLINK("http://invisage.com","invisage.com")</f>
        <v>invisage.com</v>
      </c>
      <c r="C4058" t="s">
        <v>433</v>
      </c>
      <c r="F4058">
        <v>7.4234564594616794E-8</v>
      </c>
      <c r="G4058">
        <v>567004</v>
      </c>
      <c r="H4058">
        <v>14838955</v>
      </c>
      <c r="I4058">
        <v>498560</v>
      </c>
      <c r="J4058">
        <v>3</v>
      </c>
    </row>
    <row r="4059" spans="1:10" x14ac:dyDescent="0.25">
      <c r="A4059" t="s">
        <v>40</v>
      </c>
      <c r="B4059" s="1" t="str">
        <f>HYPERLINK("http://iosdm.com","iosdm.com")</f>
        <v>iosdm.com</v>
      </c>
      <c r="C4059" t="s">
        <v>433</v>
      </c>
      <c r="J4059">
        <v>2</v>
      </c>
    </row>
    <row r="4060" spans="1:10" x14ac:dyDescent="0.25">
      <c r="A4060" t="s">
        <v>40</v>
      </c>
      <c r="B4060" s="1" t="str">
        <f>HYPERLINK("http://ipad3.com","ipad3.com")</f>
        <v>ipad3.com</v>
      </c>
      <c r="C4060" t="s">
        <v>433</v>
      </c>
      <c r="F4060">
        <v>4.53537381656607E-9</v>
      </c>
      <c r="G4060">
        <v>53886977</v>
      </c>
      <c r="H4060">
        <v>8433168</v>
      </c>
      <c r="I4060">
        <v>72704251</v>
      </c>
      <c r="J4060">
        <v>2</v>
      </c>
    </row>
    <row r="4061" spans="1:10" x14ac:dyDescent="0.25">
      <c r="A4061" t="s">
        <v>40</v>
      </c>
      <c r="B4061" s="1" t="str">
        <f>HYPERLINK("http://ipadaustralia.com","ipadaustralia.com")</f>
        <v>ipadaustralia.com</v>
      </c>
      <c r="C4061" t="s">
        <v>433</v>
      </c>
      <c r="F4061">
        <v>4.5908035714589103E-9</v>
      </c>
      <c r="G4061">
        <v>48339340</v>
      </c>
      <c r="H4061">
        <v>12235184</v>
      </c>
      <c r="I4061">
        <v>22372140</v>
      </c>
      <c r="J4061">
        <v>2</v>
      </c>
    </row>
    <row r="4062" spans="1:10" x14ac:dyDescent="0.25">
      <c r="A4062" t="s">
        <v>40</v>
      </c>
      <c r="B4062" s="1" t="str">
        <f>HYPERLINK("http://ipados.com","ipados.com")</f>
        <v>ipados.com</v>
      </c>
      <c r="C4062" t="s">
        <v>433</v>
      </c>
      <c r="J4062">
        <v>2</v>
      </c>
    </row>
    <row r="4063" spans="1:10" x14ac:dyDescent="0.25">
      <c r="A4063" t="s">
        <v>40</v>
      </c>
      <c r="B4063" s="1" t="str">
        <f>HYPERLINK("http://iphone.com","iphone.com")</f>
        <v>iphone.com</v>
      </c>
      <c r="C4063" t="s">
        <v>433</v>
      </c>
      <c r="E4063">
        <v>919368</v>
      </c>
      <c r="F4063">
        <v>4.55453323124627E-8</v>
      </c>
      <c r="G4063">
        <v>1033238</v>
      </c>
      <c r="H4063">
        <v>14230531</v>
      </c>
      <c r="I4063">
        <v>1674219</v>
      </c>
      <c r="J4063">
        <v>2</v>
      </c>
    </row>
    <row r="4064" spans="1:10" x14ac:dyDescent="0.25">
      <c r="A4064" t="s">
        <v>40</v>
      </c>
      <c r="B4064" s="1" t="str">
        <f>HYPERLINK("http://iphone4.com","iphone4.com")</f>
        <v>iphone4.com</v>
      </c>
      <c r="C4064" t="s">
        <v>433</v>
      </c>
      <c r="F4064">
        <v>4.8497684632684603E-9</v>
      </c>
      <c r="G4064">
        <v>34149537</v>
      </c>
      <c r="H4064">
        <v>12746337</v>
      </c>
      <c r="I4064">
        <v>15082871</v>
      </c>
      <c r="J4064">
        <v>2</v>
      </c>
    </row>
    <row r="4065" spans="1:10" x14ac:dyDescent="0.25">
      <c r="A4065" t="s">
        <v>40</v>
      </c>
      <c r="B4065" s="1" t="str">
        <f>HYPERLINK("http://iphone4s.com","iphone4s.com")</f>
        <v>iphone4s.com</v>
      </c>
      <c r="C4065" t="s">
        <v>433</v>
      </c>
      <c r="F4065">
        <v>4.7542950864973499E-9</v>
      </c>
      <c r="G4065">
        <v>38133010</v>
      </c>
      <c r="H4065">
        <v>12740308</v>
      </c>
      <c r="I4065">
        <v>15130043</v>
      </c>
      <c r="J4065">
        <v>2</v>
      </c>
    </row>
    <row r="4066" spans="1:10" x14ac:dyDescent="0.25">
      <c r="A4066" t="s">
        <v>40</v>
      </c>
      <c r="B4066" s="1" t="str">
        <f>HYPERLINK("http://iphonefc.com","iphonefc.com")</f>
        <v>iphonefc.com</v>
      </c>
      <c r="C4066" t="s">
        <v>433</v>
      </c>
      <c r="J4066">
        <v>2</v>
      </c>
    </row>
    <row r="4067" spans="1:10" x14ac:dyDescent="0.25">
      <c r="A4067" t="s">
        <v>40</v>
      </c>
      <c r="B4067" s="1" t="str">
        <f>HYPERLINK("http://ipod.com","ipod.com")</f>
        <v>ipod.com</v>
      </c>
      <c r="C4067" t="s">
        <v>433</v>
      </c>
      <c r="F4067">
        <v>1.1545760091174401E-8</v>
      </c>
      <c r="G4067">
        <v>5471803</v>
      </c>
      <c r="H4067">
        <v>14196062</v>
      </c>
      <c r="I4067">
        <v>1735468</v>
      </c>
      <c r="J4067">
        <v>2</v>
      </c>
    </row>
    <row r="4068" spans="1:10" x14ac:dyDescent="0.25">
      <c r="A4068" t="s">
        <v>40</v>
      </c>
      <c r="B4068" s="1" t="str">
        <f>HYPERLINK("http://ipodcleaner.com","ipodcleaner.com")</f>
        <v>ipodcleaner.com</v>
      </c>
      <c r="C4068" t="s">
        <v>433</v>
      </c>
      <c r="F4068">
        <v>5.31121046087346E-9</v>
      </c>
      <c r="G4068">
        <v>23331260</v>
      </c>
      <c r="H4068">
        <v>12678909</v>
      </c>
      <c r="I4068">
        <v>15510557</v>
      </c>
      <c r="J4068">
        <v>2</v>
      </c>
    </row>
    <row r="4069" spans="1:10" x14ac:dyDescent="0.25">
      <c r="A4069" t="s">
        <v>40</v>
      </c>
      <c r="B4069" s="1" t="str">
        <f>HYPERLINK("http://ipodnano.com","ipodnano.com")</f>
        <v>ipodnano.com</v>
      </c>
      <c r="C4069" t="s">
        <v>433</v>
      </c>
      <c r="F4069">
        <v>4.74667296022878E-9</v>
      </c>
      <c r="G4069">
        <v>38479775</v>
      </c>
      <c r="H4069">
        <v>12740292</v>
      </c>
      <c r="I4069">
        <v>15131571</v>
      </c>
      <c r="J4069">
        <v>2</v>
      </c>
    </row>
    <row r="4070" spans="1:10" x14ac:dyDescent="0.25">
      <c r="A4070" t="s">
        <v>40</v>
      </c>
      <c r="B4070" s="1" t="str">
        <f>HYPERLINK("http://ipodprices.com","ipodprices.com")</f>
        <v>ipodprices.com</v>
      </c>
      <c r="C4070" t="s">
        <v>433</v>
      </c>
      <c r="F4070">
        <v>4.74667296022878E-9</v>
      </c>
      <c r="G4070">
        <v>38479776</v>
      </c>
      <c r="H4070">
        <v>12740295</v>
      </c>
      <c r="I4070">
        <v>15130621</v>
      </c>
      <c r="J4070">
        <v>2</v>
      </c>
    </row>
    <row r="4071" spans="1:10" x14ac:dyDescent="0.25">
      <c r="A4071" t="s">
        <v>40</v>
      </c>
      <c r="B4071" s="1" t="str">
        <f>HYPERLINK("http://ipods.com","ipods.com")</f>
        <v>ipods.com</v>
      </c>
      <c r="C4071" t="s">
        <v>433</v>
      </c>
      <c r="F4071">
        <v>4.7475419425672496E-9</v>
      </c>
      <c r="G4071">
        <v>38438698</v>
      </c>
      <c r="H4071">
        <v>12740467</v>
      </c>
      <c r="I4071">
        <v>15128722</v>
      </c>
      <c r="J4071">
        <v>2</v>
      </c>
    </row>
    <row r="4072" spans="1:10" x14ac:dyDescent="0.25">
      <c r="A4072" t="s">
        <v>40</v>
      </c>
      <c r="B4072" s="1" t="str">
        <f>HYPERLINK("http://ischool.com","ischool.com")</f>
        <v>ischool.com</v>
      </c>
      <c r="C4072" t="s">
        <v>433</v>
      </c>
      <c r="J4072">
        <v>2</v>
      </c>
    </row>
    <row r="4073" spans="1:10" x14ac:dyDescent="0.25">
      <c r="A4073" t="s">
        <v>40</v>
      </c>
      <c r="B4073" s="1" t="str">
        <f>HYPERLINK("http://itunes12days.com","itunes12days.com")</f>
        <v>itunes12days.com</v>
      </c>
      <c r="C4073" t="s">
        <v>433</v>
      </c>
      <c r="F4073">
        <v>4.4803109055503398E-9</v>
      </c>
      <c r="G4073">
        <v>62272766</v>
      </c>
      <c r="H4073">
        <v>10727582</v>
      </c>
      <c r="I4073">
        <v>41108695</v>
      </c>
      <c r="J4073">
        <v>2</v>
      </c>
    </row>
    <row r="4074" spans="1:10" x14ac:dyDescent="0.25">
      <c r="A4074" t="s">
        <v>40</v>
      </c>
      <c r="B4074" s="1" t="str">
        <f>HYPERLINK("http://itunes12daysofgifts.com","itunes12daysofgifts.com")</f>
        <v>itunes12daysofgifts.com</v>
      </c>
      <c r="C4074" t="s">
        <v>433</v>
      </c>
      <c r="J4074">
        <v>2</v>
      </c>
    </row>
    <row r="4075" spans="1:10" x14ac:dyDescent="0.25">
      <c r="A4075" t="s">
        <v>40</v>
      </c>
      <c r="B4075" s="1" t="str">
        <f>HYPERLINK("http://itunes12giornidiregali.com","itunes12giornidiregali.com")</f>
        <v>itunes12giornidiregali.com</v>
      </c>
      <c r="C4075" t="s">
        <v>433</v>
      </c>
      <c r="F4075">
        <v>4.74667296022878E-9</v>
      </c>
      <c r="G4075">
        <v>38479779</v>
      </c>
      <c r="H4075">
        <v>12740292</v>
      </c>
      <c r="I4075">
        <v>15131579</v>
      </c>
      <c r="J4075">
        <v>2</v>
      </c>
    </row>
    <row r="4076" spans="1:10" x14ac:dyDescent="0.25">
      <c r="A4076" t="s">
        <v>40</v>
      </c>
      <c r="B4076" s="1" t="str">
        <f>HYPERLINK("http://itunes12joursdecadeaux.com","itunes12joursdecadeaux.com")</f>
        <v>itunes12joursdecadeaux.com</v>
      </c>
      <c r="C4076" t="s">
        <v>433</v>
      </c>
      <c r="F4076">
        <v>4.74667296022878E-9</v>
      </c>
      <c r="G4076">
        <v>38479780</v>
      </c>
      <c r="H4076">
        <v>12740292</v>
      </c>
      <c r="I4076">
        <v>15131580</v>
      </c>
      <c r="J4076">
        <v>2</v>
      </c>
    </row>
    <row r="4077" spans="1:10" x14ac:dyDescent="0.25">
      <c r="A4077" t="s">
        <v>40</v>
      </c>
      <c r="B4077" s="1" t="str">
        <f>HYPERLINK("http://itunes12tagegeschenke.com","itunes12tagegeschenke.com")</f>
        <v>itunes12tagegeschenke.com</v>
      </c>
      <c r="C4077" t="s">
        <v>433</v>
      </c>
      <c r="F4077">
        <v>4.74667296022878E-9</v>
      </c>
      <c r="G4077">
        <v>38479781</v>
      </c>
      <c r="H4077">
        <v>12740292</v>
      </c>
      <c r="I4077">
        <v>15131581</v>
      </c>
      <c r="J4077">
        <v>2</v>
      </c>
    </row>
    <row r="4078" spans="1:10" x14ac:dyDescent="0.25">
      <c r="A4078" t="s">
        <v>40</v>
      </c>
      <c r="B4078" s="1" t="str">
        <f>HYPERLINK("http://itunesops.com","itunesops.com")</f>
        <v>itunesops.com</v>
      </c>
      <c r="C4078" t="s">
        <v>433</v>
      </c>
      <c r="F4078">
        <v>4.4806202516067399E-9</v>
      </c>
      <c r="G4078">
        <v>62212544</v>
      </c>
      <c r="H4078">
        <v>11380064</v>
      </c>
      <c r="I4078">
        <v>30283708</v>
      </c>
      <c r="J4078">
        <v>2</v>
      </c>
    </row>
    <row r="4079" spans="1:10" x14ac:dyDescent="0.25">
      <c r="A4079" t="s">
        <v>40</v>
      </c>
      <c r="B4079" s="1" t="str">
        <f>HYPERLINK("http://jetfuelapp.com","jetfuelapp.com")</f>
        <v>jetfuelapp.com</v>
      </c>
      <c r="C4079" t="s">
        <v>433</v>
      </c>
      <c r="J4079">
        <v>2</v>
      </c>
    </row>
    <row r="4080" spans="1:10" x14ac:dyDescent="0.25">
      <c r="A4080" t="s">
        <v>40</v>
      </c>
      <c r="B4080" s="1" t="str">
        <f>HYPERLINK("http://jetfuelapps.com","jetfuelapps.com")</f>
        <v>jetfuelapps.com</v>
      </c>
      <c r="C4080" t="s">
        <v>433</v>
      </c>
      <c r="J4080">
        <v>2</v>
      </c>
    </row>
    <row r="4081" spans="1:10" x14ac:dyDescent="0.25">
      <c r="A4081" t="s">
        <v>40</v>
      </c>
      <c r="B4081" s="1" t="str">
        <f>HYPERLINK("http://kinparenting.com","kinparenting.com")</f>
        <v>kinparenting.com</v>
      </c>
      <c r="C4081" t="s">
        <v>433</v>
      </c>
      <c r="F4081">
        <v>5.4543862444481997E-9</v>
      </c>
      <c r="G4081">
        <v>21430488</v>
      </c>
      <c r="H4081">
        <v>12024898</v>
      </c>
      <c r="I4081">
        <v>27782947</v>
      </c>
      <c r="J4081">
        <v>4</v>
      </c>
    </row>
    <row r="4082" spans="1:10" x14ac:dyDescent="0.25">
      <c r="A4082" t="s">
        <v>40</v>
      </c>
      <c r="B4082" s="1" t="str">
        <f>HYPERLINK("http://koneksi-aman.com","koneksi-aman.com")</f>
        <v>koneksi-aman.com</v>
      </c>
      <c r="C4082" t="s">
        <v>433</v>
      </c>
      <c r="F4082">
        <v>6.2826616646328097E-9</v>
      </c>
      <c r="G4082">
        <v>15114785</v>
      </c>
      <c r="H4082">
        <v>13000990</v>
      </c>
      <c r="I4082">
        <v>12791292</v>
      </c>
      <c r="J4082">
        <v>3</v>
      </c>
    </row>
    <row r="4083" spans="1:10" x14ac:dyDescent="0.25">
      <c r="A4083" t="s">
        <v>40</v>
      </c>
      <c r="B4083" s="1" t="str">
        <f>HYPERLINK("http://kopfhorerbeatsde.com","kopfhorerbeatsde.com")</f>
        <v>kopfhorerbeatsde.com</v>
      </c>
      <c r="C4083" t="s">
        <v>433</v>
      </c>
      <c r="J4083">
        <v>2</v>
      </c>
    </row>
    <row r="4084" spans="1:10" x14ac:dyDescent="0.25">
      <c r="A4084" t="s">
        <v>40</v>
      </c>
      <c r="B4084" s="1" t="str">
        <f>HYPERLINK("http://koptelefoonsbeatskopen.com","koptelefoonsbeatskopen.com")</f>
        <v>koptelefoonsbeatskopen.com</v>
      </c>
      <c r="C4084" t="s">
        <v>433</v>
      </c>
      <c r="J4084">
        <v>2</v>
      </c>
    </row>
    <row r="4085" spans="1:10" x14ac:dyDescent="0.25">
      <c r="A4085" t="s">
        <v>40</v>
      </c>
      <c r="B4085" s="1" t="str">
        <f>HYPERLINK("http://lescasquebeats.com","lescasquebeats.com")</f>
        <v>lescasquebeats.com</v>
      </c>
      <c r="C4085" t="s">
        <v>433</v>
      </c>
      <c r="J4085">
        <v>2</v>
      </c>
    </row>
    <row r="4086" spans="1:10" x14ac:dyDescent="0.25">
      <c r="A4086" t="s">
        <v>40</v>
      </c>
      <c r="B4086" s="1" t="str">
        <f>HYPERLINK("http://limzmachinery.com","limzmachinery.com")</f>
        <v>limzmachinery.com</v>
      </c>
      <c r="C4086" t="s">
        <v>433</v>
      </c>
      <c r="F4086">
        <v>5.2102061745633603E-9</v>
      </c>
      <c r="G4086">
        <v>24921596</v>
      </c>
      <c r="H4086">
        <v>12475816</v>
      </c>
      <c r="I4086">
        <v>17638359</v>
      </c>
      <c r="J4086">
        <v>6</v>
      </c>
    </row>
    <row r="4087" spans="1:10" x14ac:dyDescent="0.25">
      <c r="A4087" t="s">
        <v>40</v>
      </c>
      <c r="B4087" s="1" t="str">
        <f>HYPERLINK("http://linkapkku.com","linkapkku.com")</f>
        <v>linkapkku.com</v>
      </c>
      <c r="C4087" t="s">
        <v>433</v>
      </c>
      <c r="F4087">
        <v>4.44380395335525E-9</v>
      </c>
      <c r="G4087">
        <v>82432446</v>
      </c>
      <c r="H4087">
        <v>0</v>
      </c>
      <c r="I4087">
        <v>83040526</v>
      </c>
      <c r="J4087">
        <v>3</v>
      </c>
    </row>
    <row r="4088" spans="1:10" x14ac:dyDescent="0.25">
      <c r="A4088" t="s">
        <v>40</v>
      </c>
      <c r="B4088" s="1" t="str">
        <f>HYPERLINK("http://lotsabits.com","lotsabits.com")</f>
        <v>lotsabits.com</v>
      </c>
      <c r="C4088" t="s">
        <v>433</v>
      </c>
      <c r="F4088">
        <v>7.3693144449594499E-9</v>
      </c>
      <c r="G4088">
        <v>11315416</v>
      </c>
      <c r="H4088">
        <v>12631267</v>
      </c>
      <c r="I4088">
        <v>15973259</v>
      </c>
      <c r="J4088">
        <v>4</v>
      </c>
    </row>
    <row r="4089" spans="1:10" x14ac:dyDescent="0.25">
      <c r="A4089" t="s">
        <v>40</v>
      </c>
      <c r="B4089" s="1" t="str">
        <f>HYPERLINK("http://m-beatsbydre.com","m-beatsbydre.com")</f>
        <v>m-beatsbydre.com</v>
      </c>
      <c r="C4089" t="s">
        <v>433</v>
      </c>
      <c r="J4089">
        <v>2</v>
      </c>
    </row>
    <row r="4090" spans="1:10" x14ac:dyDescent="0.25">
      <c r="A4090" t="s">
        <v>40</v>
      </c>
      <c r="B4090" s="1" t="str">
        <f>HYPERLINK("http://macbookair.com","macbookair.com")</f>
        <v>macbookair.com</v>
      </c>
      <c r="C4090" t="s">
        <v>433</v>
      </c>
      <c r="F4090">
        <v>5.6462616649205702E-9</v>
      </c>
      <c r="G4090">
        <v>19425767</v>
      </c>
      <c r="H4090">
        <v>12933711</v>
      </c>
      <c r="I4090">
        <v>13350168</v>
      </c>
      <c r="J4090">
        <v>2</v>
      </c>
    </row>
    <row r="4091" spans="1:10" x14ac:dyDescent="0.25">
      <c r="A4091" t="s">
        <v>40</v>
      </c>
      <c r="B4091" s="1" t="str">
        <f>HYPERLINK("http://macbookpro.com","macbookpro.com")</f>
        <v>macbookpro.com</v>
      </c>
      <c r="C4091" t="s">
        <v>433</v>
      </c>
      <c r="F4091">
        <v>4.8054352512614501E-9</v>
      </c>
      <c r="G4091">
        <v>35875218</v>
      </c>
      <c r="H4091">
        <v>12741025</v>
      </c>
      <c r="I4091">
        <v>15125435</v>
      </c>
      <c r="J4091">
        <v>2</v>
      </c>
    </row>
    <row r="4092" spans="1:10" x14ac:dyDescent="0.25">
      <c r="A4092" t="s">
        <v>40</v>
      </c>
      <c r="B4092" s="1" t="str">
        <f>HYPERLINK("http://mach-os.com","mach-os.com")</f>
        <v>mach-os.com</v>
      </c>
      <c r="C4092" t="s">
        <v>433</v>
      </c>
      <c r="F4092">
        <v>4.74667296022878E-9</v>
      </c>
      <c r="G4092">
        <v>38479799</v>
      </c>
      <c r="H4092">
        <v>12740292</v>
      </c>
      <c r="I4092">
        <v>15131628</v>
      </c>
      <c r="J4092">
        <v>2</v>
      </c>
    </row>
    <row r="4093" spans="1:10" x14ac:dyDescent="0.25">
      <c r="A4093" t="s">
        <v>40</v>
      </c>
      <c r="B4093" s="1" t="str">
        <f>HYPERLINK("http://macintoshsoftware.com","macintoshsoftware.com")</f>
        <v>macintoshsoftware.com</v>
      </c>
      <c r="C4093" t="s">
        <v>433</v>
      </c>
      <c r="J4093">
        <v>2</v>
      </c>
    </row>
    <row r="4094" spans="1:10" x14ac:dyDescent="0.25">
      <c r="A4094" t="s">
        <v>40</v>
      </c>
      <c r="B4094" s="1" t="str">
        <f>HYPERLINK("http://macreach.com","macreach.com")</f>
        <v>macreach.com</v>
      </c>
      <c r="C4094" t="s">
        <v>433</v>
      </c>
      <c r="J4094">
        <v>2</v>
      </c>
    </row>
    <row r="4095" spans="1:10" x14ac:dyDescent="0.25">
      <c r="A4095" t="s">
        <v>40</v>
      </c>
      <c r="B4095" s="1" t="str">
        <f>HYPERLINK("http://mairbeats.com","mairbeats.com")</f>
        <v>mairbeats.com</v>
      </c>
      <c r="C4095" t="s">
        <v>433</v>
      </c>
      <c r="F4095">
        <v>4.4977014108045504E-9</v>
      </c>
      <c r="G4095">
        <v>59287448</v>
      </c>
      <c r="H4095">
        <v>10430588</v>
      </c>
      <c r="I4095">
        <v>53688284</v>
      </c>
      <c r="J4095">
        <v>2</v>
      </c>
    </row>
    <row r="4096" spans="1:10" x14ac:dyDescent="0.25">
      <c r="A4096" t="s">
        <v>40</v>
      </c>
      <c r="B4096" s="1" t="str">
        <f>HYPERLINK("http://mbeatsbydrecheap.com","mbeatsbydrecheap.com")</f>
        <v>mbeatsbydrecheap.com</v>
      </c>
      <c r="C4096" t="s">
        <v>433</v>
      </c>
      <c r="F4096">
        <v>4.4443024884205803E-9</v>
      </c>
      <c r="G4096">
        <v>77001600</v>
      </c>
      <c r="H4096">
        <v>10345160</v>
      </c>
      <c r="I4096">
        <v>57015220</v>
      </c>
      <c r="J4096">
        <v>2</v>
      </c>
    </row>
    <row r="4097" spans="1:10" x14ac:dyDescent="0.25">
      <c r="A4097" t="s">
        <v>40</v>
      </c>
      <c r="B4097" s="1" t="str">
        <f>HYPERLINK("http://mbeatsheadphones.com","mbeatsheadphones.com")</f>
        <v>mbeatsheadphones.com</v>
      </c>
      <c r="C4097" t="s">
        <v>433</v>
      </c>
      <c r="F4097">
        <v>4.4961082419331502E-9</v>
      </c>
      <c r="G4097">
        <v>59530208</v>
      </c>
      <c r="H4097">
        <v>12618748</v>
      </c>
      <c r="I4097">
        <v>16101204</v>
      </c>
      <c r="J4097">
        <v>2</v>
      </c>
    </row>
    <row r="4098" spans="1:10" x14ac:dyDescent="0.25">
      <c r="A4098" t="s">
        <v>40</v>
      </c>
      <c r="B4098" s="1" t="str">
        <f>HYPERLINK("http://mcsgroup-apr.com","mcsgroup-apr.com")</f>
        <v>mcsgroup-apr.com</v>
      </c>
      <c r="C4098" t="s">
        <v>433</v>
      </c>
      <c r="F4098">
        <v>1.467575801886E-8</v>
      </c>
      <c r="G4098">
        <v>3949388</v>
      </c>
      <c r="H4098">
        <v>10612819</v>
      </c>
      <c r="I4098">
        <v>44497396</v>
      </c>
      <c r="J4098">
        <v>4</v>
      </c>
    </row>
    <row r="4099" spans="1:10" x14ac:dyDescent="0.25">
      <c r="A4099" t="s">
        <v>40</v>
      </c>
      <c r="B4099" s="1" t="str">
        <f>HYPERLINK("http://monster-beat.com","monster-beat.com")</f>
        <v>monster-beat.com</v>
      </c>
      <c r="C4099" t="s">
        <v>433</v>
      </c>
      <c r="J4099">
        <v>2</v>
      </c>
    </row>
    <row r="4100" spans="1:10" x14ac:dyDescent="0.25">
      <c r="A4100" t="s">
        <v>40</v>
      </c>
      <c r="B4100" s="1" t="str">
        <f>HYPERLINK("http://monster-beatbydre.com","monster-beatbydre.com")</f>
        <v>monster-beatbydre.com</v>
      </c>
      <c r="C4100" t="s">
        <v>433</v>
      </c>
      <c r="J4100">
        <v>2</v>
      </c>
    </row>
    <row r="4101" spans="1:10" x14ac:dyDescent="0.25">
      <c r="A4101" t="s">
        <v>40</v>
      </c>
      <c r="B4101" s="1" t="str">
        <f>HYPERLINK("http://monster-beats-2012.com","monster-beats-2012.com")</f>
        <v>monster-beats-2012.com</v>
      </c>
      <c r="C4101" t="s">
        <v>433</v>
      </c>
      <c r="F4101">
        <v>4.4479199115259401E-9</v>
      </c>
      <c r="G4101">
        <v>73195034</v>
      </c>
      <c r="H4101">
        <v>10530689</v>
      </c>
      <c r="I4101">
        <v>48227102</v>
      </c>
      <c r="J4101">
        <v>2</v>
      </c>
    </row>
    <row r="4102" spans="1:10" x14ac:dyDescent="0.25">
      <c r="A4102" t="s">
        <v>40</v>
      </c>
      <c r="B4102" s="1" t="str">
        <f>HYPERLINK("http://monster-beats-fr.com","monster-beats-fr.com")</f>
        <v>monster-beats-fr.com</v>
      </c>
      <c r="C4102" t="s">
        <v>433</v>
      </c>
      <c r="J4102">
        <v>2</v>
      </c>
    </row>
    <row r="4103" spans="1:10" x14ac:dyDescent="0.25">
      <c r="A4103" t="s">
        <v>40</v>
      </c>
      <c r="B4103" s="1" t="str">
        <f>HYPERLINK("http://monster-beats-online.com","monster-beats-online.com")</f>
        <v>monster-beats-online.com</v>
      </c>
      <c r="C4103" t="s">
        <v>433</v>
      </c>
      <c r="J4103">
        <v>2</v>
      </c>
    </row>
    <row r="4104" spans="1:10" x14ac:dyDescent="0.25">
      <c r="A4104" t="s">
        <v>40</v>
      </c>
      <c r="B4104" s="1" t="str">
        <f>HYPERLINK("http://monster-beats-usa.com","monster-beats-usa.com")</f>
        <v>monster-beats-usa.com</v>
      </c>
      <c r="C4104" t="s">
        <v>433</v>
      </c>
      <c r="J4104">
        <v>2</v>
      </c>
    </row>
    <row r="4105" spans="1:10" x14ac:dyDescent="0.25">
      <c r="A4105" t="s">
        <v>40</v>
      </c>
      <c r="B4105" s="1" t="str">
        <f>HYPERLINK("http://monster-casquebeats.com","monster-casquebeats.com")</f>
        <v>monster-casquebeats.com</v>
      </c>
      <c r="C4105" t="s">
        <v>433</v>
      </c>
      <c r="J4105">
        <v>2</v>
      </c>
    </row>
    <row r="4106" spans="1:10" x14ac:dyDescent="0.25">
      <c r="A4106" t="s">
        <v>40</v>
      </c>
      <c r="B4106" s="1" t="str">
        <f>HYPERLINK("http://monster-cheapbeatsheadphones.com","monster-cheapbeatsheadphones.com")</f>
        <v>monster-cheapbeatsheadphones.com</v>
      </c>
      <c r="C4106" t="s">
        <v>433</v>
      </c>
      <c r="J4106">
        <v>2</v>
      </c>
    </row>
    <row r="4107" spans="1:10" x14ac:dyDescent="0.25">
      <c r="A4107" t="s">
        <v>40</v>
      </c>
      <c r="B4107" s="1" t="str">
        <f>HYPERLINK("http://monster-earphone-beats.com","monster-earphone-beats.com")</f>
        <v>monster-earphone-beats.com</v>
      </c>
      <c r="C4107" t="s">
        <v>433</v>
      </c>
      <c r="J4107">
        <v>2</v>
      </c>
    </row>
    <row r="4108" spans="1:10" x14ac:dyDescent="0.25">
      <c r="A4108" t="s">
        <v>40</v>
      </c>
      <c r="B4108" s="1" t="str">
        <f>HYPERLINK("http://monsterbeatkaufen.com","monsterbeatkaufen.com")</f>
        <v>monsterbeatkaufen.com</v>
      </c>
      <c r="C4108" t="s">
        <v>433</v>
      </c>
      <c r="J4108">
        <v>2</v>
      </c>
    </row>
    <row r="4109" spans="1:10" x14ac:dyDescent="0.25">
      <c r="A4109" t="s">
        <v>40</v>
      </c>
      <c r="B4109" s="1" t="str">
        <f>HYPERLINK("http://monsterbeatparcher.com","monsterbeatparcher.com")</f>
        <v>monsterbeatparcher.com</v>
      </c>
      <c r="C4109" t="s">
        <v>433</v>
      </c>
      <c r="J4109">
        <v>2</v>
      </c>
    </row>
    <row r="4110" spans="1:10" x14ac:dyDescent="0.25">
      <c r="A4110" t="s">
        <v>40</v>
      </c>
      <c r="B4110" s="1" t="str">
        <f>HYPERLINK("http://monsterbeats-1store.com","monsterbeats-1store.com")</f>
        <v>monsterbeats-1store.com</v>
      </c>
      <c r="C4110" t="s">
        <v>433</v>
      </c>
      <c r="J4110">
        <v>2</v>
      </c>
    </row>
    <row r="4111" spans="1:10" x14ac:dyDescent="0.25">
      <c r="A4111" t="s">
        <v>40</v>
      </c>
      <c r="B4111" s="1" t="str">
        <f>HYPERLINK("http://monsterbeats-cheapforsale.com","monsterbeats-cheapforsale.com")</f>
        <v>monsterbeats-cheapforsale.com</v>
      </c>
      <c r="C4111" t="s">
        <v>433</v>
      </c>
      <c r="F4111">
        <v>4.44456523231252E-9</v>
      </c>
      <c r="G4111">
        <v>76575286</v>
      </c>
      <c r="H4111">
        <v>9960394</v>
      </c>
      <c r="I4111">
        <v>61133699</v>
      </c>
      <c r="J4111">
        <v>2</v>
      </c>
    </row>
    <row r="4112" spans="1:10" x14ac:dyDescent="0.25">
      <c r="A4112" t="s">
        <v>40</v>
      </c>
      <c r="B4112" s="1" t="str">
        <f>HYPERLINK("http://monsterbeats-ge.com","monsterbeats-ge.com")</f>
        <v>monsterbeats-ge.com</v>
      </c>
      <c r="C4112" t="s">
        <v>433</v>
      </c>
      <c r="J4112">
        <v>2</v>
      </c>
    </row>
    <row r="4113" spans="1:10" x14ac:dyDescent="0.25">
      <c r="A4113" t="s">
        <v>40</v>
      </c>
      <c r="B4113" s="1" t="str">
        <f>HYPERLINK("http://monsterbeats-solo.com","monsterbeats-solo.com")</f>
        <v>monsterbeats-solo.com</v>
      </c>
      <c r="C4113" t="s">
        <v>433</v>
      </c>
      <c r="J4113">
        <v>2</v>
      </c>
    </row>
    <row r="4114" spans="1:10" x14ac:dyDescent="0.25">
      <c r="A4114" t="s">
        <v>40</v>
      </c>
      <c r="B4114" s="1" t="str">
        <f>HYPERLINK("http://monsterbeats-store.com","monsterbeats-store.com")</f>
        <v>monsterbeats-store.com</v>
      </c>
      <c r="C4114" t="s">
        <v>433</v>
      </c>
      <c r="J4114">
        <v>2</v>
      </c>
    </row>
    <row r="4115" spans="1:10" x14ac:dyDescent="0.25">
      <c r="A4115" t="s">
        <v>40</v>
      </c>
      <c r="B4115" s="1" t="str">
        <f>HYPERLINK("http://monsterbeats-studios.com","monsterbeats-studios.com")</f>
        <v>monsterbeats-studios.com</v>
      </c>
      <c r="C4115" t="s">
        <v>433</v>
      </c>
      <c r="J4115">
        <v>2</v>
      </c>
    </row>
    <row r="4116" spans="1:10" x14ac:dyDescent="0.25">
      <c r="A4116" t="s">
        <v>40</v>
      </c>
      <c r="B4116" s="1" t="str">
        <f>HYPERLINK("http://monsterbeats-usa.com","monsterbeats-usa.com")</f>
        <v>monsterbeats-usa.com</v>
      </c>
      <c r="C4116" t="s">
        <v>433</v>
      </c>
      <c r="F4116">
        <v>4.44456523231252E-9</v>
      </c>
      <c r="G4116">
        <v>76575287</v>
      </c>
      <c r="H4116">
        <v>9960394</v>
      </c>
      <c r="I4116">
        <v>61133700</v>
      </c>
      <c r="J4116">
        <v>2</v>
      </c>
    </row>
    <row r="4117" spans="1:10" x14ac:dyDescent="0.25">
      <c r="A4117" t="s">
        <v>40</v>
      </c>
      <c r="B4117" s="1" t="str">
        <f>HYPERLINK("http://monsterbeats365buy.com","monsterbeats365buy.com")</f>
        <v>monsterbeats365buy.com</v>
      </c>
      <c r="C4117" t="s">
        <v>433</v>
      </c>
      <c r="J4117">
        <v>2</v>
      </c>
    </row>
    <row r="4118" spans="1:10" x14ac:dyDescent="0.25">
      <c r="A4118" t="s">
        <v>40</v>
      </c>
      <c r="B4118" s="1" t="str">
        <f>HYPERLINK("http://monsterbeats8beatsbydre.com","monsterbeats8beatsbydre.com")</f>
        <v>monsterbeats8beatsbydre.com</v>
      </c>
      <c r="C4118" t="s">
        <v>433</v>
      </c>
      <c r="F4118">
        <v>4.4865525425171798E-9</v>
      </c>
      <c r="G4118">
        <v>61111030</v>
      </c>
      <c r="H4118">
        <v>10814752</v>
      </c>
      <c r="I4118">
        <v>37744030</v>
      </c>
      <c r="J4118">
        <v>2</v>
      </c>
    </row>
    <row r="4119" spans="1:10" x14ac:dyDescent="0.25">
      <c r="A4119" t="s">
        <v>40</v>
      </c>
      <c r="B4119" s="1" t="str">
        <f>HYPERLINK("http://monsterbeatsaa.com","monsterbeatsaa.com")</f>
        <v>monsterbeatsaa.com</v>
      </c>
      <c r="C4119" t="s">
        <v>433</v>
      </c>
      <c r="J4119">
        <v>2</v>
      </c>
    </row>
    <row r="4120" spans="1:10" x14ac:dyDescent="0.25">
      <c r="A4120" t="s">
        <v>40</v>
      </c>
      <c r="B4120" s="1" t="str">
        <f>HYPERLINK("http://monsterbeatsalestore.com","monsterbeatsalestore.com")</f>
        <v>monsterbeatsalestore.com</v>
      </c>
      <c r="C4120" t="s">
        <v>433</v>
      </c>
      <c r="J4120">
        <v>2</v>
      </c>
    </row>
    <row r="4121" spans="1:10" x14ac:dyDescent="0.25">
      <c r="A4121" t="s">
        <v>40</v>
      </c>
      <c r="B4121" s="1" t="str">
        <f>HYPERLINK("http://monsterbeatsau.com","monsterbeatsau.com")</f>
        <v>monsterbeatsau.com</v>
      </c>
      <c r="C4121" t="s">
        <v>433</v>
      </c>
      <c r="J4121">
        <v>2</v>
      </c>
    </row>
    <row r="4122" spans="1:10" x14ac:dyDescent="0.25">
      <c r="A4122" t="s">
        <v>40</v>
      </c>
      <c r="B4122" s="1" t="str">
        <f>HYPERLINK("http://monsterbeatsbuy.com","monsterbeatsbuy.com")</f>
        <v>monsterbeatsbuy.com</v>
      </c>
      <c r="C4122" t="s">
        <v>433</v>
      </c>
      <c r="J4122">
        <v>2</v>
      </c>
    </row>
    <row r="4123" spans="1:10" x14ac:dyDescent="0.25">
      <c r="A4123" t="s">
        <v>40</v>
      </c>
      <c r="B4123" s="1" t="str">
        <f>HYPERLINK("http://monsterbeatsbydr.com","monsterbeatsbydr.com")</f>
        <v>monsterbeatsbydr.com</v>
      </c>
      <c r="C4123" t="s">
        <v>433</v>
      </c>
      <c r="F4123">
        <v>4.5735474493777797E-9</v>
      </c>
      <c r="G4123">
        <v>49867108</v>
      </c>
      <c r="H4123">
        <v>12232687</v>
      </c>
      <c r="I4123">
        <v>22432057</v>
      </c>
      <c r="J4123">
        <v>2</v>
      </c>
    </row>
    <row r="4124" spans="1:10" x14ac:dyDescent="0.25">
      <c r="A4124" t="s">
        <v>40</v>
      </c>
      <c r="B4124" s="1" t="str">
        <f>HYPERLINK("http://monsterbeatsbydrdre-nz.com","monsterbeatsbydrdre-nz.com")</f>
        <v>monsterbeatsbydrdre-nz.com</v>
      </c>
      <c r="C4124" t="s">
        <v>433</v>
      </c>
      <c r="J4124">
        <v>2</v>
      </c>
    </row>
    <row r="4125" spans="1:10" x14ac:dyDescent="0.25">
      <c r="A4125" t="s">
        <v>40</v>
      </c>
      <c r="B4125" s="1" t="str">
        <f>HYPERLINK("http://monsterbeatsbydrdre-usa.com","monsterbeatsbydrdre-usa.com")</f>
        <v>monsterbeatsbydrdre-usa.com</v>
      </c>
      <c r="C4125" t="s">
        <v>433</v>
      </c>
      <c r="J4125">
        <v>2</v>
      </c>
    </row>
    <row r="4126" spans="1:10" x14ac:dyDescent="0.25">
      <c r="A4126" t="s">
        <v>40</v>
      </c>
      <c r="B4126" s="1" t="str">
        <f>HYPERLINK("http://monsterbeatsbydrdreau.com","monsterbeatsbydrdreau.com")</f>
        <v>monsterbeatsbydrdreau.com</v>
      </c>
      <c r="C4126" t="s">
        <v>433</v>
      </c>
      <c r="J4126">
        <v>2</v>
      </c>
    </row>
    <row r="4127" spans="1:10" x14ac:dyDescent="0.25">
      <c r="A4127" t="s">
        <v>40</v>
      </c>
      <c r="B4127" s="1" t="str">
        <f>HYPERLINK("http://monsterbeatsbydrdrecanada.com","monsterbeatsbydrdrecanada.com")</f>
        <v>monsterbeatsbydrdrecanada.com</v>
      </c>
      <c r="C4127" t="s">
        <v>433</v>
      </c>
      <c r="F4127">
        <v>4.44456523231252E-9</v>
      </c>
      <c r="G4127">
        <v>76575289</v>
      </c>
      <c r="H4127">
        <v>9960394</v>
      </c>
      <c r="I4127">
        <v>61133702</v>
      </c>
      <c r="J4127">
        <v>2</v>
      </c>
    </row>
    <row r="4128" spans="1:10" x14ac:dyDescent="0.25">
      <c r="A4128" t="s">
        <v>40</v>
      </c>
      <c r="B4128" s="1" t="str">
        <f>HYPERLINK("http://monsterbeatsbydrdredk.com","monsterbeatsbydrdredk.com")</f>
        <v>monsterbeatsbydrdredk.com</v>
      </c>
      <c r="C4128" t="s">
        <v>433</v>
      </c>
      <c r="J4128">
        <v>2</v>
      </c>
    </row>
    <row r="4129" spans="1:10" x14ac:dyDescent="0.25">
      <c r="A4129" t="s">
        <v>40</v>
      </c>
      <c r="B4129" s="1" t="str">
        <f>HYPERLINK("http://monsterbeatsbydrdrestudio.com","monsterbeatsbydrdrestudio.com")</f>
        <v>monsterbeatsbydrdrestudio.com</v>
      </c>
      <c r="C4129" t="s">
        <v>433</v>
      </c>
      <c r="J4129">
        <v>2</v>
      </c>
    </row>
    <row r="4130" spans="1:10" x14ac:dyDescent="0.25">
      <c r="A4130" t="s">
        <v>40</v>
      </c>
      <c r="B4130" s="1" t="str">
        <f>HYPERLINK("http://monsterbeatsbydrdrevip.com","monsterbeatsbydrdrevip.com")</f>
        <v>monsterbeatsbydrdrevip.com</v>
      </c>
      <c r="C4130" t="s">
        <v>433</v>
      </c>
      <c r="J4130">
        <v>2</v>
      </c>
    </row>
    <row r="4131" spans="1:10" x14ac:dyDescent="0.25">
      <c r="A4131" t="s">
        <v>40</v>
      </c>
      <c r="B4131" s="1" t="str">
        <f>HYPERLINK("http://monsterbeatsbydre-cheap.com","monsterbeatsbydre-cheap.com")</f>
        <v>monsterbeatsbydre-cheap.com</v>
      </c>
      <c r="C4131" t="s">
        <v>433</v>
      </c>
      <c r="J4131">
        <v>2</v>
      </c>
    </row>
    <row r="4132" spans="1:10" x14ac:dyDescent="0.25">
      <c r="A4132" t="s">
        <v>40</v>
      </c>
      <c r="B4132" s="1" t="str">
        <f>HYPERLINK("http://newmonsterheadphones.com","newmonsterheadphones.com")</f>
        <v>newmonsterheadphones.com</v>
      </c>
      <c r="C4132" t="s">
        <v>433</v>
      </c>
      <c r="J4132">
        <v>2</v>
      </c>
    </row>
    <row r="4133" spans="1:10" x14ac:dyDescent="0.25">
      <c r="A4133" t="s">
        <v>40</v>
      </c>
      <c r="B4133" s="1" t="str">
        <f>HYPERLINK("http://newworld-tech.com","newworld-tech.com")</f>
        <v>newworld-tech.com</v>
      </c>
      <c r="C4133" t="s">
        <v>433</v>
      </c>
      <c r="F4133">
        <v>5.0148581696425303E-9</v>
      </c>
      <c r="G4133">
        <v>29021200</v>
      </c>
      <c r="H4133">
        <v>10595538</v>
      </c>
      <c r="I4133">
        <v>45181510</v>
      </c>
      <c r="J4133">
        <v>4</v>
      </c>
    </row>
    <row r="4134" spans="1:10" x14ac:dyDescent="0.25">
      <c r="A4134" t="s">
        <v>40</v>
      </c>
      <c r="B4134" s="1" t="str">
        <f>HYPERLINK("http://nz-drebeats2014.com","nz-drebeats2014.com")</f>
        <v>nz-drebeats2014.com</v>
      </c>
      <c r="C4134" t="s">
        <v>433</v>
      </c>
      <c r="J4134">
        <v>2</v>
      </c>
    </row>
    <row r="4135" spans="1:10" x14ac:dyDescent="0.25">
      <c r="A4135" t="s">
        <v>40</v>
      </c>
      <c r="B4135" s="1" t="str">
        <f>HYPERLINK("http://officialdrdre.com","officialdrdre.com")</f>
        <v>officialdrdre.com</v>
      </c>
      <c r="C4135" t="s">
        <v>433</v>
      </c>
      <c r="F4135">
        <v>4.6912919450046199E-9</v>
      </c>
      <c r="G4135">
        <v>41722785</v>
      </c>
      <c r="H4135">
        <v>10884695</v>
      </c>
      <c r="I4135">
        <v>36255066</v>
      </c>
      <c r="J4135">
        <v>2</v>
      </c>
    </row>
    <row r="4136" spans="1:10" x14ac:dyDescent="0.25">
      <c r="A4136" t="s">
        <v>40</v>
      </c>
      <c r="B4136" s="1" t="str">
        <f>HYPERLINK("http://onev.com","onev.com")</f>
        <v>onev.com</v>
      </c>
      <c r="C4136" t="s">
        <v>433</v>
      </c>
      <c r="F4136">
        <v>6.9372304948023298E-9</v>
      </c>
      <c r="G4136">
        <v>12503305</v>
      </c>
      <c r="H4136">
        <v>13283800</v>
      </c>
      <c r="I4136">
        <v>10901502</v>
      </c>
      <c r="J4136">
        <v>3</v>
      </c>
    </row>
    <row r="4137" spans="1:10" x14ac:dyDescent="0.25">
      <c r="A4137" t="s">
        <v>40</v>
      </c>
      <c r="B4137" s="1" t="str">
        <f>HYPERLINK("http://outletbeatsshop.com","outletbeatsshop.com")</f>
        <v>outletbeatsshop.com</v>
      </c>
      <c r="C4137" t="s">
        <v>433</v>
      </c>
      <c r="J4137">
        <v>2</v>
      </c>
    </row>
    <row r="4138" spans="1:10" x14ac:dyDescent="0.25">
      <c r="A4138" t="s">
        <v>40</v>
      </c>
      <c r="B4138" s="1" t="str">
        <f>HYPERLINK("http://queueup.com","queueup.com")</f>
        <v>queueup.com</v>
      </c>
      <c r="C4138" t="s">
        <v>433</v>
      </c>
      <c r="J4138">
        <v>2</v>
      </c>
    </row>
    <row r="4139" spans="1:10" x14ac:dyDescent="0.25">
      <c r="A4139" t="s">
        <v>40</v>
      </c>
      <c r="B4139" s="1" t="str">
        <f>HYPERLINK("http://selectonline.com","selectonline.com")</f>
        <v>selectonline.com</v>
      </c>
      <c r="C4139" t="s">
        <v>433</v>
      </c>
      <c r="E4139">
        <v>910619</v>
      </c>
      <c r="F4139">
        <v>8.5283514220933802E-9</v>
      </c>
      <c r="G4139">
        <v>8790443</v>
      </c>
      <c r="H4139">
        <v>12536775</v>
      </c>
      <c r="I4139">
        <v>16972059</v>
      </c>
      <c r="J4139">
        <v>4</v>
      </c>
    </row>
    <row r="4140" spans="1:10" x14ac:dyDescent="0.25">
      <c r="A4140" t="s">
        <v>40</v>
      </c>
      <c r="B4140" s="1" t="str">
        <f>HYPERLINK("http://shazam.com","shazam.com")</f>
        <v>shazam.com</v>
      </c>
      <c r="C4140" t="s">
        <v>433</v>
      </c>
      <c r="E4140">
        <v>4743</v>
      </c>
      <c r="F4140">
        <v>2.85106263356857E-6</v>
      </c>
      <c r="G4140">
        <v>13504</v>
      </c>
      <c r="H4140">
        <v>17636150</v>
      </c>
      <c r="I4140">
        <v>8708</v>
      </c>
      <c r="J4140">
        <v>2</v>
      </c>
    </row>
    <row r="4141" spans="1:10" x14ac:dyDescent="0.25">
      <c r="A4141" t="s">
        <v>40</v>
      </c>
      <c r="B4141" s="1" t="str">
        <f>HYPERLINK("http://texture.com","texture.com")</f>
        <v>texture.com</v>
      </c>
      <c r="C4141" t="s">
        <v>433</v>
      </c>
      <c r="E4141">
        <v>905840</v>
      </c>
      <c r="F4141">
        <v>8.0338967617894403E-8</v>
      </c>
      <c r="G4141">
        <v>519899</v>
      </c>
      <c r="H4141">
        <v>14619565</v>
      </c>
      <c r="I4141">
        <v>659916</v>
      </c>
      <c r="J4141">
        <v>3</v>
      </c>
    </row>
    <row r="4142" spans="1:10" x14ac:dyDescent="0.25">
      <c r="A4142" t="s">
        <v>40</v>
      </c>
      <c r="B4142" s="1" t="str">
        <f>HYPERLINK("http://theposturehealth.com","theposturehealth.com")</f>
        <v>theposturehealth.com</v>
      </c>
      <c r="C4142" t="s">
        <v>433</v>
      </c>
      <c r="F4142">
        <v>5.5113929935288503E-9</v>
      </c>
      <c r="G4142">
        <v>20778060</v>
      </c>
      <c r="H4142">
        <v>13198359</v>
      </c>
      <c r="I4142">
        <v>11564086</v>
      </c>
      <c r="J4142">
        <v>4</v>
      </c>
    </row>
    <row r="4143" spans="1:10" x14ac:dyDescent="0.25">
      <c r="A4143" t="s">
        <v>40</v>
      </c>
      <c r="B4143" s="1" t="str">
        <f>HYPERLINK("http://theapplestore.uk.com","theapplestore.uk.com")</f>
        <v>theapplestore.uk.com</v>
      </c>
      <c r="C4143" t="s">
        <v>433</v>
      </c>
      <c r="J4143">
        <v>2</v>
      </c>
    </row>
    <row r="4144" spans="1:10" x14ac:dyDescent="0.25">
      <c r="A4144" t="s">
        <v>40</v>
      </c>
      <c r="B4144" s="1" t="str">
        <f>HYPERLINK("http://winssrl.com","winssrl.com")</f>
        <v>winssrl.com</v>
      </c>
      <c r="C4144" t="s">
        <v>433</v>
      </c>
      <c r="J4144">
        <v>4</v>
      </c>
    </row>
    <row r="4145" spans="1:10" x14ac:dyDescent="0.25">
      <c r="A4145" t="s">
        <v>40</v>
      </c>
      <c r="B4145" s="1" t="str">
        <f>HYPERLINK("http://wwdc.com","wwdc.com")</f>
        <v>wwdc.com</v>
      </c>
      <c r="C4145" t="s">
        <v>433</v>
      </c>
      <c r="F4145">
        <v>4.5250658370848199E-8</v>
      </c>
      <c r="G4145">
        <v>1041916</v>
      </c>
      <c r="H4145">
        <v>16751881</v>
      </c>
      <c r="I4145">
        <v>257053</v>
      </c>
      <c r="J4145">
        <v>2</v>
      </c>
    </row>
    <row r="4146" spans="1:10" x14ac:dyDescent="0.25">
      <c r="A4146" t="s">
        <v>40</v>
      </c>
      <c r="B4146" s="1" t="str">
        <f>HYPERLINK("http://zhumengeducation.com","zhumengeducation.com")</f>
        <v>zhumengeducation.com</v>
      </c>
      <c r="C4146" t="s">
        <v>433</v>
      </c>
      <c r="F4146">
        <v>4.4558936813044496E-9</v>
      </c>
      <c r="G4146">
        <v>69154167</v>
      </c>
      <c r="H4146">
        <v>1.5006717000000001</v>
      </c>
      <c r="I4146">
        <v>78124358</v>
      </c>
      <c r="J4146">
        <v>4</v>
      </c>
    </row>
    <row r="4147" spans="1:10" x14ac:dyDescent="0.25">
      <c r="A4147" t="s">
        <v>40</v>
      </c>
      <c r="B4147" s="1" t="str">
        <f>HYPERLINK("http://zrhillstudio.com","zrhillstudio.com")</f>
        <v>zrhillstudio.com</v>
      </c>
      <c r="C4147" t="s">
        <v>433</v>
      </c>
      <c r="F4147">
        <v>4.5759967053030298E-9</v>
      </c>
      <c r="G4147">
        <v>49641840</v>
      </c>
      <c r="H4147">
        <v>12259743</v>
      </c>
      <c r="I4147">
        <v>21779598</v>
      </c>
      <c r="J4147">
        <v>3</v>
      </c>
    </row>
    <row r="4148" spans="1:10" x14ac:dyDescent="0.25">
      <c r="A4148" t="s">
        <v>40</v>
      </c>
      <c r="B4148" s="1" t="str">
        <f>HYPERLINK("http://swift.courses","swift.courses")</f>
        <v>swift.courses</v>
      </c>
      <c r="C4148" t="s">
        <v>696</v>
      </c>
      <c r="J4148">
        <v>2</v>
      </c>
    </row>
    <row r="4149" spans="1:10" x14ac:dyDescent="0.25">
      <c r="A4149" t="s">
        <v>40</v>
      </c>
      <c r="B4149" s="1" t="str">
        <f>HYPERLINK("http://iphone3g.cz","iphone3g.cz")</f>
        <v>iphone3g.cz</v>
      </c>
      <c r="C4149" t="s">
        <v>435</v>
      </c>
      <c r="D4149" t="s">
        <v>814</v>
      </c>
      <c r="E4149">
        <v>553285</v>
      </c>
      <c r="J4149">
        <v>2</v>
      </c>
    </row>
    <row r="4150" spans="1:10" x14ac:dyDescent="0.25">
      <c r="A4150" t="s">
        <v>40</v>
      </c>
      <c r="B4150" s="1" t="str">
        <f>HYPERLINK("http://agelero.de","agelero.de")</f>
        <v>agelero.de</v>
      </c>
      <c r="C4150" t="s">
        <v>436</v>
      </c>
      <c r="D4150" t="s">
        <v>815</v>
      </c>
      <c r="F4150">
        <v>1.06979420786086E-8</v>
      </c>
      <c r="G4150">
        <v>6102444</v>
      </c>
      <c r="H4150">
        <v>12125542</v>
      </c>
      <c r="I4150">
        <v>25266692</v>
      </c>
      <c r="J4150">
        <v>3</v>
      </c>
    </row>
    <row r="4151" spans="1:10" x14ac:dyDescent="0.25">
      <c r="A4151" t="s">
        <v>40</v>
      </c>
      <c r="B4151" s="1" t="str">
        <f>HYPERLINK("http://apple.de","apple.de")</f>
        <v>apple.de</v>
      </c>
      <c r="C4151" t="s">
        <v>436</v>
      </c>
      <c r="D4151" t="s">
        <v>815</v>
      </c>
      <c r="E4151">
        <v>246007</v>
      </c>
      <c r="F4151">
        <v>1.5995612652947001E-7</v>
      </c>
      <c r="G4151">
        <v>242667</v>
      </c>
      <c r="H4151">
        <v>14844250</v>
      </c>
      <c r="I4151">
        <v>494834</v>
      </c>
      <c r="J4151">
        <v>2</v>
      </c>
    </row>
    <row r="4152" spans="1:10" x14ac:dyDescent="0.25">
      <c r="A4152" t="s">
        <v>40</v>
      </c>
      <c r="B4152" s="1" t="str">
        <f>HYPERLINK("http://apple-kiel.de","apple-kiel.de")</f>
        <v>apple-kiel.de</v>
      </c>
      <c r="C4152" t="s">
        <v>436</v>
      </c>
      <c r="D4152" t="s">
        <v>815</v>
      </c>
      <c r="F4152">
        <v>4.8856058491348799E-9</v>
      </c>
      <c r="G4152">
        <v>32902769</v>
      </c>
      <c r="H4152">
        <v>12739746</v>
      </c>
      <c r="I4152">
        <v>15140369</v>
      </c>
      <c r="J4152">
        <v>3</v>
      </c>
    </row>
    <row r="4153" spans="1:10" x14ac:dyDescent="0.25">
      <c r="A4153" t="s">
        <v>40</v>
      </c>
      <c r="B4153" s="1" t="str">
        <f>HYPERLINK("http://icloud.de","icloud.de")</f>
        <v>icloud.de</v>
      </c>
      <c r="C4153" t="s">
        <v>436</v>
      </c>
      <c r="D4153" t="s">
        <v>815</v>
      </c>
      <c r="F4153">
        <v>4.8283581014182999E-9</v>
      </c>
      <c r="G4153">
        <v>34904760</v>
      </c>
      <c r="H4153">
        <v>12428457</v>
      </c>
      <c r="I4153">
        <v>18325612</v>
      </c>
      <c r="J4153">
        <v>2</v>
      </c>
    </row>
    <row r="4154" spans="1:10" x14ac:dyDescent="0.25">
      <c r="A4154" t="s">
        <v>40</v>
      </c>
      <c r="B4154" s="1" t="str">
        <f>HYPERLINK("http://icloudo.de","icloudo.de")</f>
        <v>icloudo.de</v>
      </c>
      <c r="C4154" t="s">
        <v>436</v>
      </c>
      <c r="D4154" t="s">
        <v>815</v>
      </c>
      <c r="J4154">
        <v>2</v>
      </c>
    </row>
    <row r="4155" spans="1:10" x14ac:dyDescent="0.25">
      <c r="A4155" t="s">
        <v>40</v>
      </c>
      <c r="B4155" s="1" t="str">
        <f>HYPERLINK("http://icloudos.de","icloudos.de")</f>
        <v>icloudos.de</v>
      </c>
      <c r="C4155" t="s">
        <v>436</v>
      </c>
      <c r="D4155" t="s">
        <v>815</v>
      </c>
      <c r="J4155">
        <v>2</v>
      </c>
    </row>
    <row r="4156" spans="1:10" x14ac:dyDescent="0.25">
      <c r="A4156" t="s">
        <v>40</v>
      </c>
      <c r="B4156" s="1" t="str">
        <f>HYPERLINK("http://iphone.de","iphone.de")</f>
        <v>iphone.de</v>
      </c>
      <c r="C4156" t="s">
        <v>436</v>
      </c>
      <c r="D4156" t="s">
        <v>815</v>
      </c>
      <c r="F4156">
        <v>1.1875013359195299E-8</v>
      </c>
      <c r="G4156">
        <v>5254570</v>
      </c>
      <c r="H4156">
        <v>12748077</v>
      </c>
      <c r="I4156">
        <v>15061669</v>
      </c>
      <c r="J4156">
        <v>2</v>
      </c>
    </row>
    <row r="4157" spans="1:10" x14ac:dyDescent="0.25">
      <c r="A4157" t="s">
        <v>40</v>
      </c>
      <c r="B4157" s="1" t="str">
        <f>HYPERLINK("http://itunes12tage.de","itunes12tage.de")</f>
        <v>itunes12tage.de</v>
      </c>
      <c r="C4157" t="s">
        <v>436</v>
      </c>
      <c r="D4157" t="s">
        <v>815</v>
      </c>
      <c r="J4157">
        <v>2</v>
      </c>
    </row>
    <row r="4158" spans="1:10" x14ac:dyDescent="0.25">
      <c r="A4158" t="s">
        <v>40</v>
      </c>
      <c r="B4158" s="1" t="str">
        <f>HYPERLINK("http://luxvue.de","luxvue.de")</f>
        <v>luxvue.de</v>
      </c>
      <c r="C4158" t="s">
        <v>436</v>
      </c>
      <c r="D4158" t="s">
        <v>815</v>
      </c>
      <c r="J4158">
        <v>2</v>
      </c>
    </row>
    <row r="4159" spans="1:10" x14ac:dyDescent="0.25">
      <c r="A4159" t="s">
        <v>40</v>
      </c>
      <c r="B4159" s="1" t="str">
        <f>HYPERLINK("http://luxvuetechnology.de","luxvuetechnology.de")</f>
        <v>luxvuetechnology.de</v>
      </c>
      <c r="C4159" t="s">
        <v>436</v>
      </c>
      <c r="D4159" t="s">
        <v>815</v>
      </c>
      <c r="J4159">
        <v>2</v>
      </c>
    </row>
    <row r="4160" spans="1:10" x14ac:dyDescent="0.25">
      <c r="A4160" t="s">
        <v>40</v>
      </c>
      <c r="B4160" s="1" t="str">
        <f>HYPERLINK("http://macosx.de","macosx.de")</f>
        <v>macosx.de</v>
      </c>
      <c r="C4160" t="s">
        <v>436</v>
      </c>
      <c r="D4160" t="s">
        <v>815</v>
      </c>
      <c r="J4160">
        <v>2</v>
      </c>
    </row>
    <row r="4161" spans="1:10" x14ac:dyDescent="0.25">
      <c r="A4161" t="s">
        <v>40</v>
      </c>
      <c r="B4161" s="1" t="str">
        <f>HYPERLINK("http://applestorepro.dk","applestorepro.dk")</f>
        <v>applestorepro.dk</v>
      </c>
      <c r="C4161" t="s">
        <v>437</v>
      </c>
      <c r="D4161" t="s">
        <v>816</v>
      </c>
      <c r="J4161">
        <v>2</v>
      </c>
    </row>
    <row r="4162" spans="1:10" x14ac:dyDescent="0.25">
      <c r="A4162" t="s">
        <v>40</v>
      </c>
      <c r="B4162" s="1" t="str">
        <f>HYPERLINK("http://apple.com.do","apple.com.do")</f>
        <v>apple.com.do</v>
      </c>
      <c r="C4162" t="s">
        <v>438</v>
      </c>
      <c r="D4162" t="s">
        <v>817</v>
      </c>
      <c r="J4162">
        <v>2</v>
      </c>
    </row>
    <row r="4163" spans="1:10" x14ac:dyDescent="0.25">
      <c r="A4163" t="s">
        <v>40</v>
      </c>
      <c r="B4163" s="1" t="str">
        <f>HYPERLINK("http://macos.download","macos.download")</f>
        <v>macos.download</v>
      </c>
      <c r="C4163" t="s">
        <v>697</v>
      </c>
      <c r="J4163">
        <v>2</v>
      </c>
    </row>
    <row r="4164" spans="1:10" x14ac:dyDescent="0.25">
      <c r="A4164" t="s">
        <v>40</v>
      </c>
      <c r="B4164" s="1" t="str">
        <f>HYPERLINK("http://itunes.earth","itunes.earth")</f>
        <v>itunes.earth</v>
      </c>
      <c r="C4164" t="s">
        <v>698</v>
      </c>
      <c r="J4164">
        <v>2</v>
      </c>
    </row>
    <row r="4165" spans="1:10" x14ac:dyDescent="0.25">
      <c r="A4165" t="s">
        <v>40</v>
      </c>
      <c r="B4165" s="1" t="str">
        <f>HYPERLINK("http://icloud.ee","icloud.ee")</f>
        <v>icloud.ee</v>
      </c>
      <c r="C4165" t="s">
        <v>441</v>
      </c>
      <c r="D4165" t="s">
        <v>820</v>
      </c>
      <c r="E4165">
        <v>697084</v>
      </c>
      <c r="J4165">
        <v>2</v>
      </c>
    </row>
    <row r="4166" spans="1:10" x14ac:dyDescent="0.25">
      <c r="A4166" t="s">
        <v>40</v>
      </c>
      <c r="B4166" s="1" t="str">
        <f>HYPERLINK("http://apple.es","apple.es")</f>
        <v>apple.es</v>
      </c>
      <c r="C4166" t="s">
        <v>443</v>
      </c>
      <c r="D4166" t="s">
        <v>822</v>
      </c>
      <c r="E4166">
        <v>450502</v>
      </c>
      <c r="F4166">
        <v>1.2537066846031601E-7</v>
      </c>
      <c r="G4166">
        <v>314670</v>
      </c>
      <c r="H4166">
        <v>14717088</v>
      </c>
      <c r="I4166">
        <v>579757</v>
      </c>
      <c r="J4166">
        <v>2</v>
      </c>
    </row>
    <row r="4167" spans="1:10" x14ac:dyDescent="0.25">
      <c r="A4167" t="s">
        <v>40</v>
      </c>
      <c r="B4167" s="1" t="str">
        <f>HYPERLINK("http://icloud.es","icloud.es")</f>
        <v>icloud.es</v>
      </c>
      <c r="C4167" t="s">
        <v>443</v>
      </c>
      <c r="D4167" t="s">
        <v>822</v>
      </c>
      <c r="F4167">
        <v>4.5306310785017198E-9</v>
      </c>
      <c r="G4167">
        <v>54989909</v>
      </c>
      <c r="H4167">
        <v>12395825</v>
      </c>
      <c r="I4167">
        <v>18922501</v>
      </c>
      <c r="J4167">
        <v>2</v>
      </c>
    </row>
    <row r="4168" spans="1:10" x14ac:dyDescent="0.25">
      <c r="A4168" t="s">
        <v>40</v>
      </c>
      <c r="B4168" s="1" t="str">
        <f>HYPERLINK("http://mactoday.es","mactoday.es")</f>
        <v>mactoday.es</v>
      </c>
      <c r="C4168" t="s">
        <v>443</v>
      </c>
      <c r="D4168" t="s">
        <v>822</v>
      </c>
      <c r="J4168">
        <v>2</v>
      </c>
    </row>
    <row r="4169" spans="1:10" x14ac:dyDescent="0.25">
      <c r="A4169" t="s">
        <v>40</v>
      </c>
      <c r="B4169" s="1" t="str">
        <f>HYPERLINK("http://maerecovery.es","maerecovery.es")</f>
        <v>maerecovery.es</v>
      </c>
      <c r="C4169" t="s">
        <v>443</v>
      </c>
      <c r="D4169" t="s">
        <v>822</v>
      </c>
      <c r="F4169">
        <v>4.7846768025658E-9</v>
      </c>
      <c r="G4169">
        <v>36763301</v>
      </c>
      <c r="H4169">
        <v>8455707</v>
      </c>
      <c r="I4169">
        <v>72467829</v>
      </c>
      <c r="J4169">
        <v>4</v>
      </c>
    </row>
    <row r="4170" spans="1:10" x14ac:dyDescent="0.25">
      <c r="A4170" t="s">
        <v>40</v>
      </c>
      <c r="B4170" s="1" t="str">
        <f>HYPERLINK("http://quartcom.es","quartcom.es")</f>
        <v>quartcom.es</v>
      </c>
      <c r="C4170" t="s">
        <v>443</v>
      </c>
      <c r="D4170" t="s">
        <v>822</v>
      </c>
      <c r="F4170">
        <v>5.9450735358367802E-9</v>
      </c>
      <c r="G4170">
        <v>17053861</v>
      </c>
      <c r="H4170">
        <v>12342814</v>
      </c>
      <c r="I4170">
        <v>19895777</v>
      </c>
      <c r="J4170">
        <v>4</v>
      </c>
    </row>
    <row r="4171" spans="1:10" x14ac:dyDescent="0.25">
      <c r="A4171" t="s">
        <v>40</v>
      </c>
      <c r="B4171" s="1" t="str">
        <f>HYPERLINK("http://applestore.eu","applestore.eu")</f>
        <v>applestore.eu</v>
      </c>
      <c r="C4171" t="s">
        <v>444</v>
      </c>
      <c r="J4171">
        <v>2</v>
      </c>
    </row>
    <row r="4172" spans="1:10" x14ac:dyDescent="0.25">
      <c r="A4172" t="s">
        <v>40</v>
      </c>
      <c r="B4172" s="1" t="str">
        <f>HYPERLINK("http://applestorepro.eu","applestorepro.eu")</f>
        <v>applestorepro.eu</v>
      </c>
      <c r="C4172" t="s">
        <v>444</v>
      </c>
      <c r="J4172">
        <v>2</v>
      </c>
    </row>
    <row r="4173" spans="1:10" x14ac:dyDescent="0.25">
      <c r="A4173" t="s">
        <v>40</v>
      </c>
      <c r="B4173" s="1" t="str">
        <f>HYPERLINK("http://genius-bar.eu","genius-bar.eu")</f>
        <v>genius-bar.eu</v>
      </c>
      <c r="C4173" t="s">
        <v>444</v>
      </c>
      <c r="J4173">
        <v>2</v>
      </c>
    </row>
    <row r="4174" spans="1:10" x14ac:dyDescent="0.25">
      <c r="A4174" t="s">
        <v>40</v>
      </c>
      <c r="B4174" s="1" t="str">
        <f>HYPERLINK("http://geniusbar.eu","geniusbar.eu")</f>
        <v>geniusbar.eu</v>
      </c>
      <c r="C4174" t="s">
        <v>444</v>
      </c>
      <c r="J4174">
        <v>2</v>
      </c>
    </row>
    <row r="4175" spans="1:10" x14ac:dyDescent="0.25">
      <c r="A4175" t="s">
        <v>40</v>
      </c>
      <c r="B4175" s="1" t="str">
        <f>HYPERLINK("http://shop-different.eu","shop-different.eu")</f>
        <v>shop-different.eu</v>
      </c>
      <c r="C4175" t="s">
        <v>444</v>
      </c>
      <c r="J4175">
        <v>2</v>
      </c>
    </row>
    <row r="4176" spans="1:10" x14ac:dyDescent="0.25">
      <c r="A4176" t="s">
        <v>40</v>
      </c>
      <c r="B4176" s="1" t="str">
        <f>HYPERLINK("http://shopdifferent.eu","shopdifferent.eu")</f>
        <v>shopdifferent.eu</v>
      </c>
      <c r="C4176" t="s">
        <v>444</v>
      </c>
      <c r="J4176">
        <v>2</v>
      </c>
    </row>
    <row r="4177" spans="1:10" x14ac:dyDescent="0.25">
      <c r="A4177" t="s">
        <v>40</v>
      </c>
      <c r="B4177" s="1" t="str">
        <f>HYPERLINK("http://the-apple-store.eu","the-apple-store.eu")</f>
        <v>the-apple-store.eu</v>
      </c>
      <c r="C4177" t="s">
        <v>444</v>
      </c>
      <c r="E4177">
        <v>925913</v>
      </c>
      <c r="F4177">
        <v>4.74667296022878E-9</v>
      </c>
      <c r="G4177">
        <v>38480661</v>
      </c>
      <c r="H4177">
        <v>12740292</v>
      </c>
      <c r="I4177">
        <v>15131934</v>
      </c>
      <c r="J4177">
        <v>2</v>
      </c>
    </row>
    <row r="4178" spans="1:10" x14ac:dyDescent="0.25">
      <c r="A4178" t="s">
        <v>40</v>
      </c>
      <c r="B4178" s="1" t="str">
        <f>HYPERLINK("http://theapplestore.eu","theapplestore.eu")</f>
        <v>theapplestore.eu</v>
      </c>
      <c r="C4178" t="s">
        <v>444</v>
      </c>
      <c r="F4178">
        <v>4.74667296022878E-9</v>
      </c>
      <c r="G4178">
        <v>38479919</v>
      </c>
      <c r="H4178">
        <v>12740292</v>
      </c>
      <c r="I4178">
        <v>15131935</v>
      </c>
      <c r="J4178">
        <v>2</v>
      </c>
    </row>
    <row r="4179" spans="1:10" x14ac:dyDescent="0.25">
      <c r="A4179" t="s">
        <v>40</v>
      </c>
      <c r="B4179" s="1" t="str">
        <f>HYPERLINK("http://think-different.eu","think-different.eu")</f>
        <v>think-different.eu</v>
      </c>
      <c r="C4179" t="s">
        <v>444</v>
      </c>
      <c r="F4179">
        <v>4.74667296022878E-9</v>
      </c>
      <c r="G4179">
        <v>38479920</v>
      </c>
      <c r="H4179">
        <v>12740292</v>
      </c>
      <c r="I4179">
        <v>15131936</v>
      </c>
      <c r="J4179">
        <v>2</v>
      </c>
    </row>
    <row r="4180" spans="1:10" x14ac:dyDescent="0.25">
      <c r="A4180" t="s">
        <v>40</v>
      </c>
      <c r="B4180" s="1" t="str">
        <f>HYPERLINK("http://thinkdifferent.eu","thinkdifferent.eu")</f>
        <v>thinkdifferent.eu</v>
      </c>
      <c r="C4180" t="s">
        <v>444</v>
      </c>
      <c r="F4180">
        <v>4.74667296022878E-9</v>
      </c>
      <c r="G4180">
        <v>38479921</v>
      </c>
      <c r="H4180">
        <v>12740292</v>
      </c>
      <c r="I4180">
        <v>15131937</v>
      </c>
      <c r="J4180">
        <v>2</v>
      </c>
    </row>
    <row r="4181" spans="1:10" x14ac:dyDescent="0.25">
      <c r="A4181" t="s">
        <v>40</v>
      </c>
      <c r="B4181" s="1" t="str">
        <f>HYPERLINK("http://apple.events","apple.events")</f>
        <v>apple.events</v>
      </c>
      <c r="C4181" t="s">
        <v>699</v>
      </c>
      <c r="J4181">
        <v>2</v>
      </c>
    </row>
    <row r="4182" spans="1:10" x14ac:dyDescent="0.25">
      <c r="A4182" t="s">
        <v>40</v>
      </c>
      <c r="B4182" s="1" t="str">
        <f>HYPERLINK("http://wwdc.events","wwdc.events")</f>
        <v>wwdc.events</v>
      </c>
      <c r="C4182" t="s">
        <v>699</v>
      </c>
      <c r="J4182">
        <v>2</v>
      </c>
    </row>
    <row r="4183" spans="1:10" x14ac:dyDescent="0.25">
      <c r="A4183" t="s">
        <v>40</v>
      </c>
      <c r="B4183" s="1" t="str">
        <f>HYPERLINK("http://a12bionic.fi","a12bionic.fi")</f>
        <v>a12bionic.fi</v>
      </c>
      <c r="C4183" t="s">
        <v>445</v>
      </c>
      <c r="D4183" t="s">
        <v>823</v>
      </c>
      <c r="J4183">
        <v>2</v>
      </c>
    </row>
    <row r="4184" spans="1:10" x14ac:dyDescent="0.25">
      <c r="A4184" t="s">
        <v>40</v>
      </c>
      <c r="B4184" s="1" t="str">
        <f>HYPERLINK("http://air-power.fi","air-power.fi")</f>
        <v>air-power.fi</v>
      </c>
      <c r="C4184" t="s">
        <v>445</v>
      </c>
      <c r="D4184" t="s">
        <v>823</v>
      </c>
      <c r="J4184">
        <v>2</v>
      </c>
    </row>
    <row r="4185" spans="1:10" x14ac:dyDescent="0.25">
      <c r="A4185" t="s">
        <v>40</v>
      </c>
      <c r="B4185" s="1" t="str">
        <f>HYPERLINK("http://animoji.fi","animoji.fi")</f>
        <v>animoji.fi</v>
      </c>
      <c r="C4185" t="s">
        <v>445</v>
      </c>
      <c r="D4185" t="s">
        <v>823</v>
      </c>
      <c r="J4185">
        <v>2</v>
      </c>
    </row>
    <row r="4186" spans="1:10" x14ac:dyDescent="0.25">
      <c r="A4186" t="s">
        <v>40</v>
      </c>
      <c r="B4186" s="1" t="str">
        <f>HYPERLINK("http://apple.fi","apple.fi")</f>
        <v>apple.fi</v>
      </c>
      <c r="C4186" t="s">
        <v>445</v>
      </c>
      <c r="D4186" t="s">
        <v>823</v>
      </c>
      <c r="F4186">
        <v>7.0277759581223396E-8</v>
      </c>
      <c r="G4186">
        <v>602660</v>
      </c>
      <c r="H4186">
        <v>13988371</v>
      </c>
      <c r="I4186">
        <v>4035663</v>
      </c>
      <c r="J4186">
        <v>4</v>
      </c>
    </row>
    <row r="4187" spans="1:10" x14ac:dyDescent="0.25">
      <c r="A4187" t="s">
        <v>40</v>
      </c>
      <c r="B4187" s="1" t="str">
        <f>HYPERLINK("http://appleaccount.fi","appleaccount.fi")</f>
        <v>appleaccount.fi</v>
      </c>
      <c r="C4187" t="s">
        <v>445</v>
      </c>
      <c r="D4187" t="s">
        <v>823</v>
      </c>
      <c r="J4187">
        <v>2</v>
      </c>
    </row>
    <row r="4188" spans="1:10" x14ac:dyDescent="0.25">
      <c r="A4188" t="s">
        <v>40</v>
      </c>
      <c r="B4188" s="1" t="str">
        <f>HYPERLINK("http://appleaccounts.fi","appleaccounts.fi")</f>
        <v>appleaccounts.fi</v>
      </c>
      <c r="C4188" t="s">
        <v>445</v>
      </c>
      <c r="D4188" t="s">
        <v>823</v>
      </c>
      <c r="J4188">
        <v>2</v>
      </c>
    </row>
    <row r="4189" spans="1:10" x14ac:dyDescent="0.25">
      <c r="A4189" t="s">
        <v>40</v>
      </c>
      <c r="B4189" s="1" t="str">
        <f>HYPERLINK("http://applecard.fi","applecard.fi")</f>
        <v>applecard.fi</v>
      </c>
      <c r="C4189" t="s">
        <v>445</v>
      </c>
      <c r="D4189" t="s">
        <v>823</v>
      </c>
      <c r="J4189">
        <v>2</v>
      </c>
    </row>
    <row r="4190" spans="1:10" x14ac:dyDescent="0.25">
      <c r="A4190" t="s">
        <v>40</v>
      </c>
      <c r="B4190" s="1" t="str">
        <f>HYPERLINK("http://applecash.fi","applecash.fi")</f>
        <v>applecash.fi</v>
      </c>
      <c r="C4190" t="s">
        <v>445</v>
      </c>
      <c r="D4190" t="s">
        <v>823</v>
      </c>
      <c r="J4190">
        <v>2</v>
      </c>
    </row>
    <row r="4191" spans="1:10" x14ac:dyDescent="0.25">
      <c r="A4191" t="s">
        <v>40</v>
      </c>
      <c r="B4191" s="1" t="str">
        <f>HYPERLINK("http://applehome.fi","applehome.fi")</f>
        <v>applehome.fi</v>
      </c>
      <c r="C4191" t="s">
        <v>445</v>
      </c>
      <c r="D4191" t="s">
        <v>823</v>
      </c>
      <c r="J4191">
        <v>6</v>
      </c>
    </row>
    <row r="4192" spans="1:10" x14ac:dyDescent="0.25">
      <c r="A4192" t="s">
        <v>40</v>
      </c>
      <c r="B4192" s="1" t="str">
        <f>HYPERLINK("http://applelivephotos.fi","applelivephotos.fi")</f>
        <v>applelivephotos.fi</v>
      </c>
      <c r="C4192" t="s">
        <v>445</v>
      </c>
      <c r="D4192" t="s">
        <v>823</v>
      </c>
      <c r="J4192">
        <v>4</v>
      </c>
    </row>
    <row r="4193" spans="1:10" x14ac:dyDescent="0.25">
      <c r="A4193" t="s">
        <v>40</v>
      </c>
      <c r="B4193" s="1" t="str">
        <f>HYPERLINK("http://applemusic.fi","applemusic.fi")</f>
        <v>applemusic.fi</v>
      </c>
      <c r="C4193" t="s">
        <v>445</v>
      </c>
      <c r="D4193" t="s">
        <v>823</v>
      </c>
      <c r="J4193">
        <v>4</v>
      </c>
    </row>
    <row r="4194" spans="1:10" x14ac:dyDescent="0.25">
      <c r="A4194" t="s">
        <v>40</v>
      </c>
      <c r="B4194" s="1" t="str">
        <f>HYPERLINK("http://applemusicvoice.fi","applemusicvoice.fi")</f>
        <v>applemusicvoice.fi</v>
      </c>
      <c r="C4194" t="s">
        <v>445</v>
      </c>
      <c r="D4194" t="s">
        <v>823</v>
      </c>
      <c r="J4194">
        <v>2</v>
      </c>
    </row>
    <row r="4195" spans="1:10" x14ac:dyDescent="0.25">
      <c r="A4195" t="s">
        <v>40</v>
      </c>
      <c r="B4195" s="1" t="str">
        <f>HYPERLINK("http://applenews.fi","applenews.fi")</f>
        <v>applenews.fi</v>
      </c>
      <c r="C4195" t="s">
        <v>445</v>
      </c>
      <c r="D4195" t="s">
        <v>823</v>
      </c>
      <c r="J4195">
        <v>4</v>
      </c>
    </row>
    <row r="4196" spans="1:10" x14ac:dyDescent="0.25">
      <c r="A4196" t="s">
        <v>40</v>
      </c>
      <c r="B4196" s="1" t="str">
        <f>HYPERLINK("http://appleone.fi","appleone.fi")</f>
        <v>appleone.fi</v>
      </c>
      <c r="C4196" t="s">
        <v>445</v>
      </c>
      <c r="D4196" t="s">
        <v>823</v>
      </c>
      <c r="J4196">
        <v>2</v>
      </c>
    </row>
    <row r="4197" spans="1:10" x14ac:dyDescent="0.25">
      <c r="A4197" t="s">
        <v>40</v>
      </c>
      <c r="B4197" s="1" t="str">
        <f>HYPERLINK("http://applepay.fi","applepay.fi")</f>
        <v>applepay.fi</v>
      </c>
      <c r="C4197" t="s">
        <v>445</v>
      </c>
      <c r="D4197" t="s">
        <v>823</v>
      </c>
      <c r="J4197">
        <v>4</v>
      </c>
    </row>
    <row r="4198" spans="1:10" x14ac:dyDescent="0.25">
      <c r="A4198" t="s">
        <v>40</v>
      </c>
      <c r="B4198" s="1" t="str">
        <f>HYPERLINK("http://applepaycash.fi","applepaycash.fi")</f>
        <v>applepaycash.fi</v>
      </c>
      <c r="C4198" t="s">
        <v>445</v>
      </c>
      <c r="D4198" t="s">
        <v>823</v>
      </c>
      <c r="J4198">
        <v>2</v>
      </c>
    </row>
    <row r="4199" spans="1:10" x14ac:dyDescent="0.25">
      <c r="A4199" t="s">
        <v>40</v>
      </c>
      <c r="B4199" s="1" t="str">
        <f>HYPERLINK("http://applepaysupplies.fi","applepaysupplies.fi")</f>
        <v>applepaysupplies.fi</v>
      </c>
      <c r="C4199" t="s">
        <v>445</v>
      </c>
      <c r="D4199" t="s">
        <v>823</v>
      </c>
      <c r="J4199">
        <v>4</v>
      </c>
    </row>
    <row r="4200" spans="1:10" x14ac:dyDescent="0.25">
      <c r="A4200" t="s">
        <v>40</v>
      </c>
      <c r="B4200" s="1" t="str">
        <f>HYPERLINK("http://applestore.fi","applestore.fi")</f>
        <v>applestore.fi</v>
      </c>
      <c r="C4200" t="s">
        <v>445</v>
      </c>
      <c r="D4200" t="s">
        <v>823</v>
      </c>
      <c r="F4200">
        <v>4.96710552000204E-9</v>
      </c>
      <c r="G4200">
        <v>30320113</v>
      </c>
      <c r="H4200">
        <v>11000406</v>
      </c>
      <c r="I4200">
        <v>33579266</v>
      </c>
      <c r="J4200">
        <v>2</v>
      </c>
    </row>
    <row r="4201" spans="1:10" x14ac:dyDescent="0.25">
      <c r="A4201" t="s">
        <v>40</v>
      </c>
      <c r="B4201" s="1" t="str">
        <f>HYPERLINK("http://applestudiodisplay.fi","applestudiodisplay.fi")</f>
        <v>applestudiodisplay.fi</v>
      </c>
      <c r="C4201" t="s">
        <v>445</v>
      </c>
      <c r="D4201" t="s">
        <v>823</v>
      </c>
      <c r="J4201">
        <v>2</v>
      </c>
    </row>
    <row r="4202" spans="1:10" x14ac:dyDescent="0.25">
      <c r="A4202" t="s">
        <v>40</v>
      </c>
      <c r="B4202" s="1" t="str">
        <f>HYPERLINK("http://appletv.fi","appletv.fi")</f>
        <v>appletv.fi</v>
      </c>
      <c r="C4202" t="s">
        <v>445</v>
      </c>
      <c r="D4202" t="s">
        <v>823</v>
      </c>
      <c r="J4202">
        <v>2</v>
      </c>
    </row>
    <row r="4203" spans="1:10" x14ac:dyDescent="0.25">
      <c r="A4203" t="s">
        <v>40</v>
      </c>
      <c r="B4203" s="1" t="str">
        <f>HYPERLINK("http://appletvplus.fi","appletvplus.fi")</f>
        <v>appletvplus.fi</v>
      </c>
      <c r="C4203" t="s">
        <v>445</v>
      </c>
      <c r="D4203" t="s">
        <v>823</v>
      </c>
      <c r="J4203">
        <v>2</v>
      </c>
    </row>
    <row r="4204" spans="1:10" x14ac:dyDescent="0.25">
      <c r="A4204" t="s">
        <v>40</v>
      </c>
      <c r="B4204" s="1" t="str">
        <f>HYPERLINK("http://applewatch.fi","applewatch.fi")</f>
        <v>applewatch.fi</v>
      </c>
      <c r="C4204" t="s">
        <v>445</v>
      </c>
      <c r="D4204" t="s">
        <v>823</v>
      </c>
      <c r="J4204">
        <v>4</v>
      </c>
    </row>
    <row r="4205" spans="1:10" x14ac:dyDescent="0.25">
      <c r="A4205" t="s">
        <v>40</v>
      </c>
      <c r="B4205" s="1" t="str">
        <f>HYPERLINK("http://applewatchseries5.fi","applewatchseries5.fi")</f>
        <v>applewatchseries5.fi</v>
      </c>
      <c r="C4205" t="s">
        <v>445</v>
      </c>
      <c r="D4205" t="s">
        <v>823</v>
      </c>
      <c r="J4205">
        <v>2</v>
      </c>
    </row>
    <row r="4206" spans="1:10" x14ac:dyDescent="0.25">
      <c r="A4206" t="s">
        <v>40</v>
      </c>
      <c r="B4206" s="1" t="str">
        <f>HYPERLINK("http://applewatchultra.fi","applewatchultra.fi")</f>
        <v>applewatchultra.fi</v>
      </c>
      <c r="C4206" t="s">
        <v>445</v>
      </c>
      <c r="D4206" t="s">
        <v>823</v>
      </c>
      <c r="J4206">
        <v>2</v>
      </c>
    </row>
    <row r="4207" spans="1:10" x14ac:dyDescent="0.25">
      <c r="A4207" t="s">
        <v>40</v>
      </c>
      <c r="B4207" s="1" t="str">
        <f>HYPERLINK("http://beats1.fi","beats1.fi")</f>
        <v>beats1.fi</v>
      </c>
      <c r="C4207" t="s">
        <v>445</v>
      </c>
      <c r="D4207" t="s">
        <v>823</v>
      </c>
      <c r="J4207">
        <v>4</v>
      </c>
    </row>
    <row r="4208" spans="1:10" x14ac:dyDescent="0.25">
      <c r="A4208" t="s">
        <v>40</v>
      </c>
      <c r="B4208" s="1" t="str">
        <f>HYPERLINK("http://beats2.fi","beats2.fi")</f>
        <v>beats2.fi</v>
      </c>
      <c r="C4208" t="s">
        <v>445</v>
      </c>
      <c r="D4208" t="s">
        <v>823</v>
      </c>
      <c r="J4208">
        <v>4</v>
      </c>
    </row>
    <row r="4209" spans="1:10" x14ac:dyDescent="0.25">
      <c r="A4209" t="s">
        <v>40</v>
      </c>
      <c r="B4209" s="1" t="str">
        <f>HYPERLINK("http://beats3.fi","beats3.fi")</f>
        <v>beats3.fi</v>
      </c>
      <c r="C4209" t="s">
        <v>445</v>
      </c>
      <c r="D4209" t="s">
        <v>823</v>
      </c>
      <c r="J4209">
        <v>4</v>
      </c>
    </row>
    <row r="4210" spans="1:10" x14ac:dyDescent="0.25">
      <c r="A4210" t="s">
        <v>40</v>
      </c>
      <c r="B4210" s="1" t="str">
        <f>HYPERLINK("http://beats4.fi","beats4.fi")</f>
        <v>beats4.fi</v>
      </c>
      <c r="C4210" t="s">
        <v>445</v>
      </c>
      <c r="D4210" t="s">
        <v>823</v>
      </c>
      <c r="J4210">
        <v>4</v>
      </c>
    </row>
    <row r="4211" spans="1:10" x14ac:dyDescent="0.25">
      <c r="A4211" t="s">
        <v>40</v>
      </c>
      <c r="B4211" s="1" t="str">
        <f>HYPERLINK("http://beats5.fi","beats5.fi")</f>
        <v>beats5.fi</v>
      </c>
      <c r="C4211" t="s">
        <v>445</v>
      </c>
      <c r="D4211" t="s">
        <v>823</v>
      </c>
      <c r="J4211">
        <v>4</v>
      </c>
    </row>
    <row r="4212" spans="1:10" x14ac:dyDescent="0.25">
      <c r="A4212" t="s">
        <v>40</v>
      </c>
      <c r="B4212" s="1" t="str">
        <f>HYPERLINK("http://beatssolopro.fi","beatssolopro.fi")</f>
        <v>beatssolopro.fi</v>
      </c>
      <c r="C4212" t="s">
        <v>445</v>
      </c>
      <c r="D4212" t="s">
        <v>823</v>
      </c>
      <c r="J4212">
        <v>2</v>
      </c>
    </row>
    <row r="4213" spans="1:10" x14ac:dyDescent="0.25">
      <c r="A4213" t="s">
        <v>40</v>
      </c>
      <c r="B4213" s="1" t="str">
        <f>HYPERLINK("http://beddit.fi","beddit.fi")</f>
        <v>beddit.fi</v>
      </c>
      <c r="C4213" t="s">
        <v>445</v>
      </c>
      <c r="D4213" t="s">
        <v>823</v>
      </c>
      <c r="J4213">
        <v>2</v>
      </c>
    </row>
    <row r="4214" spans="1:10" x14ac:dyDescent="0.25">
      <c r="A4214" t="s">
        <v>40</v>
      </c>
      <c r="B4214" s="1" t="str">
        <f>HYPERLINK("http://dailycash.fi","dailycash.fi")</f>
        <v>dailycash.fi</v>
      </c>
      <c r="C4214" t="s">
        <v>445</v>
      </c>
      <c r="D4214" t="s">
        <v>823</v>
      </c>
      <c r="J4214">
        <v>2</v>
      </c>
    </row>
    <row r="4215" spans="1:10" x14ac:dyDescent="0.25">
      <c r="A4215" t="s">
        <v>40</v>
      </c>
      <c r="B4215" s="1" t="str">
        <f>HYPERLINK("http://face-id.fi","face-id.fi")</f>
        <v>face-id.fi</v>
      </c>
      <c r="C4215" t="s">
        <v>445</v>
      </c>
      <c r="D4215" t="s">
        <v>823</v>
      </c>
      <c r="J4215">
        <v>2</v>
      </c>
    </row>
    <row r="4216" spans="1:10" x14ac:dyDescent="0.25">
      <c r="A4216" t="s">
        <v>40</v>
      </c>
      <c r="B4216" s="1" t="str">
        <f>HYPERLINK("http://faceid.fi","faceid.fi")</f>
        <v>faceid.fi</v>
      </c>
      <c r="C4216" t="s">
        <v>445</v>
      </c>
      <c r="D4216" t="s">
        <v>823</v>
      </c>
      <c r="J4216">
        <v>2</v>
      </c>
    </row>
    <row r="4217" spans="1:10" x14ac:dyDescent="0.25">
      <c r="A4217" t="s">
        <v>40</v>
      </c>
      <c r="B4217" s="1" t="str">
        <f>HYPERLINK("http://icloud.fi","icloud.fi")</f>
        <v>icloud.fi</v>
      </c>
      <c r="C4217" t="s">
        <v>445</v>
      </c>
      <c r="D4217" t="s">
        <v>823</v>
      </c>
      <c r="J4217">
        <v>2</v>
      </c>
    </row>
    <row r="4218" spans="1:10" x14ac:dyDescent="0.25">
      <c r="A4218" t="s">
        <v>40</v>
      </c>
      <c r="B4218" s="1" t="str">
        <f>HYPERLINK("http://ipadair.fi","ipadair.fi")</f>
        <v>ipadair.fi</v>
      </c>
      <c r="C4218" t="s">
        <v>445</v>
      </c>
      <c r="D4218" t="s">
        <v>823</v>
      </c>
      <c r="J4218">
        <v>4</v>
      </c>
    </row>
    <row r="4219" spans="1:10" x14ac:dyDescent="0.25">
      <c r="A4219" t="s">
        <v>40</v>
      </c>
      <c r="B4219" s="1" t="str">
        <f>HYPERLINK("http://ipadmini.fi","ipadmini.fi")</f>
        <v>ipadmini.fi</v>
      </c>
      <c r="C4219" t="s">
        <v>445</v>
      </c>
      <c r="D4219" t="s">
        <v>823</v>
      </c>
      <c r="J4219">
        <v>2</v>
      </c>
    </row>
    <row r="4220" spans="1:10" x14ac:dyDescent="0.25">
      <c r="A4220" t="s">
        <v>40</v>
      </c>
      <c r="B4220" s="1" t="str">
        <f>HYPERLINK("http://ipadpro.fi","ipadpro.fi")</f>
        <v>ipadpro.fi</v>
      </c>
      <c r="C4220" t="s">
        <v>445</v>
      </c>
      <c r="D4220" t="s">
        <v>823</v>
      </c>
      <c r="J4220">
        <v>4</v>
      </c>
    </row>
    <row r="4221" spans="1:10" x14ac:dyDescent="0.25">
      <c r="A4221" t="s">
        <v>40</v>
      </c>
      <c r="B4221" s="1" t="str">
        <f>HYPERLINK("http://iphone-x.fi","iphone-x.fi")</f>
        <v>iphone-x.fi</v>
      </c>
      <c r="C4221" t="s">
        <v>445</v>
      </c>
      <c r="D4221" t="s">
        <v>823</v>
      </c>
      <c r="J4221">
        <v>2</v>
      </c>
    </row>
    <row r="4222" spans="1:10" x14ac:dyDescent="0.25">
      <c r="A4222" t="s">
        <v>40</v>
      </c>
      <c r="B4222" s="1" t="str">
        <f>HYPERLINK("http://iphone11.fi","iphone11.fi")</f>
        <v>iphone11.fi</v>
      </c>
      <c r="C4222" t="s">
        <v>445</v>
      </c>
      <c r="D4222" t="s">
        <v>823</v>
      </c>
      <c r="J4222">
        <v>2</v>
      </c>
    </row>
    <row r="4223" spans="1:10" x14ac:dyDescent="0.25">
      <c r="A4223" t="s">
        <v>40</v>
      </c>
      <c r="B4223" s="1" t="str">
        <f>HYPERLINK("http://iphone11pro.fi","iphone11pro.fi")</f>
        <v>iphone11pro.fi</v>
      </c>
      <c r="C4223" t="s">
        <v>445</v>
      </c>
      <c r="D4223" t="s">
        <v>823</v>
      </c>
      <c r="J4223">
        <v>2</v>
      </c>
    </row>
    <row r="4224" spans="1:10" x14ac:dyDescent="0.25">
      <c r="A4224" t="s">
        <v>40</v>
      </c>
      <c r="B4224" s="1" t="str">
        <f>HYPERLINK("http://iphone11promax.fi","iphone11promax.fi")</f>
        <v>iphone11promax.fi</v>
      </c>
      <c r="C4224" t="s">
        <v>445</v>
      </c>
      <c r="D4224" t="s">
        <v>823</v>
      </c>
      <c r="J4224">
        <v>2</v>
      </c>
    </row>
    <row r="4225" spans="1:10" x14ac:dyDescent="0.25">
      <c r="A4225" t="s">
        <v>40</v>
      </c>
      <c r="B4225" s="1" t="str">
        <f>HYPERLINK("http://iphone12.fi","iphone12.fi")</f>
        <v>iphone12.fi</v>
      </c>
      <c r="C4225" t="s">
        <v>445</v>
      </c>
      <c r="D4225" t="s">
        <v>823</v>
      </c>
      <c r="J4225">
        <v>2</v>
      </c>
    </row>
    <row r="4226" spans="1:10" x14ac:dyDescent="0.25">
      <c r="A4226" t="s">
        <v>40</v>
      </c>
      <c r="B4226" s="1" t="str">
        <f>HYPERLINK("http://iphone12mini.fi","iphone12mini.fi")</f>
        <v>iphone12mini.fi</v>
      </c>
      <c r="C4226" t="s">
        <v>445</v>
      </c>
      <c r="D4226" t="s">
        <v>823</v>
      </c>
      <c r="J4226">
        <v>2</v>
      </c>
    </row>
    <row r="4227" spans="1:10" x14ac:dyDescent="0.25">
      <c r="A4227" t="s">
        <v>40</v>
      </c>
      <c r="B4227" s="1" t="str">
        <f>HYPERLINK("http://iphone12pro.fi","iphone12pro.fi")</f>
        <v>iphone12pro.fi</v>
      </c>
      <c r="C4227" t="s">
        <v>445</v>
      </c>
      <c r="D4227" t="s">
        <v>823</v>
      </c>
      <c r="J4227">
        <v>2</v>
      </c>
    </row>
    <row r="4228" spans="1:10" x14ac:dyDescent="0.25">
      <c r="A4228" t="s">
        <v>40</v>
      </c>
      <c r="B4228" s="1" t="str">
        <f>HYPERLINK("http://iphone13.fi","iphone13.fi")</f>
        <v>iphone13.fi</v>
      </c>
      <c r="C4228" t="s">
        <v>445</v>
      </c>
      <c r="D4228" t="s">
        <v>823</v>
      </c>
      <c r="J4228">
        <v>2</v>
      </c>
    </row>
    <row r="4229" spans="1:10" x14ac:dyDescent="0.25">
      <c r="A4229" t="s">
        <v>40</v>
      </c>
      <c r="B4229" s="1" t="str">
        <f>HYPERLINK("http://iphone13mini.fi","iphone13mini.fi")</f>
        <v>iphone13mini.fi</v>
      </c>
      <c r="C4229" t="s">
        <v>445</v>
      </c>
      <c r="D4229" t="s">
        <v>823</v>
      </c>
      <c r="J4229">
        <v>2</v>
      </c>
    </row>
    <row r="4230" spans="1:10" x14ac:dyDescent="0.25">
      <c r="A4230" t="s">
        <v>40</v>
      </c>
      <c r="B4230" s="1" t="str">
        <f>HYPERLINK("http://iphone13pro.fi","iphone13pro.fi")</f>
        <v>iphone13pro.fi</v>
      </c>
      <c r="C4230" t="s">
        <v>445</v>
      </c>
      <c r="D4230" t="s">
        <v>823</v>
      </c>
      <c r="J4230">
        <v>2</v>
      </c>
    </row>
    <row r="4231" spans="1:10" x14ac:dyDescent="0.25">
      <c r="A4231" t="s">
        <v>40</v>
      </c>
      <c r="B4231" s="1" t="str">
        <f>HYPERLINK("http://iphone13promax.fi","iphone13promax.fi")</f>
        <v>iphone13promax.fi</v>
      </c>
      <c r="C4231" t="s">
        <v>445</v>
      </c>
      <c r="D4231" t="s">
        <v>823</v>
      </c>
      <c r="J4231">
        <v>2</v>
      </c>
    </row>
    <row r="4232" spans="1:10" x14ac:dyDescent="0.25">
      <c r="A4232" t="s">
        <v>40</v>
      </c>
      <c r="B4232" s="1" t="str">
        <f>HYPERLINK("http://iphone14.fi","iphone14.fi")</f>
        <v>iphone14.fi</v>
      </c>
      <c r="C4232" t="s">
        <v>445</v>
      </c>
      <c r="D4232" t="s">
        <v>823</v>
      </c>
      <c r="J4232">
        <v>2</v>
      </c>
    </row>
    <row r="4233" spans="1:10" x14ac:dyDescent="0.25">
      <c r="A4233" t="s">
        <v>40</v>
      </c>
      <c r="B4233" s="1" t="str">
        <f>HYPERLINK("http://iphone14plus.fi","iphone14plus.fi")</f>
        <v>iphone14plus.fi</v>
      </c>
      <c r="C4233" t="s">
        <v>445</v>
      </c>
      <c r="D4233" t="s">
        <v>823</v>
      </c>
      <c r="J4233">
        <v>2</v>
      </c>
    </row>
    <row r="4234" spans="1:10" x14ac:dyDescent="0.25">
      <c r="A4234" t="s">
        <v>40</v>
      </c>
      <c r="B4234" s="1" t="str">
        <f>HYPERLINK("http://iphone14pro.fi","iphone14pro.fi")</f>
        <v>iphone14pro.fi</v>
      </c>
      <c r="C4234" t="s">
        <v>445</v>
      </c>
      <c r="D4234" t="s">
        <v>823</v>
      </c>
      <c r="J4234">
        <v>2</v>
      </c>
    </row>
    <row r="4235" spans="1:10" x14ac:dyDescent="0.25">
      <c r="A4235" t="s">
        <v>40</v>
      </c>
      <c r="B4235" s="1" t="str">
        <f>HYPERLINK("http://iphone14promax.fi","iphone14promax.fi")</f>
        <v>iphone14promax.fi</v>
      </c>
      <c r="C4235" t="s">
        <v>445</v>
      </c>
      <c r="D4235" t="s">
        <v>823</v>
      </c>
      <c r="J4235">
        <v>2</v>
      </c>
    </row>
    <row r="4236" spans="1:10" x14ac:dyDescent="0.25">
      <c r="A4236" t="s">
        <v>40</v>
      </c>
      <c r="B4236" s="1" t="str">
        <f>HYPERLINK("http://iphoneplus.fi","iphoneplus.fi")</f>
        <v>iphoneplus.fi</v>
      </c>
      <c r="C4236" t="s">
        <v>445</v>
      </c>
      <c r="D4236" t="s">
        <v>823</v>
      </c>
      <c r="J4236">
        <v>4</v>
      </c>
    </row>
    <row r="4237" spans="1:10" x14ac:dyDescent="0.25">
      <c r="A4237" t="s">
        <v>40</v>
      </c>
      <c r="B4237" s="1" t="str">
        <f>HYPERLINK("http://iphonese.fi","iphonese.fi")</f>
        <v>iphonese.fi</v>
      </c>
      <c r="C4237" t="s">
        <v>445</v>
      </c>
      <c r="D4237" t="s">
        <v>823</v>
      </c>
      <c r="J4237">
        <v>4</v>
      </c>
    </row>
    <row r="4238" spans="1:10" x14ac:dyDescent="0.25">
      <c r="A4238" t="s">
        <v>40</v>
      </c>
      <c r="B4238" s="1" t="str">
        <f>HYPERLINK("http://iphonexr.fi","iphonexr.fi")</f>
        <v>iphonexr.fi</v>
      </c>
      <c r="C4238" t="s">
        <v>445</v>
      </c>
      <c r="D4238" t="s">
        <v>823</v>
      </c>
      <c r="J4238">
        <v>2</v>
      </c>
    </row>
    <row r="4239" spans="1:10" x14ac:dyDescent="0.25">
      <c r="A4239" t="s">
        <v>40</v>
      </c>
      <c r="B4239" s="1" t="str">
        <f>HYPERLINK("http://iphonexs.fi","iphonexs.fi")</f>
        <v>iphonexs.fi</v>
      </c>
      <c r="C4239" t="s">
        <v>445</v>
      </c>
      <c r="D4239" t="s">
        <v>823</v>
      </c>
      <c r="J4239">
        <v>2</v>
      </c>
    </row>
    <row r="4240" spans="1:10" x14ac:dyDescent="0.25">
      <c r="A4240" t="s">
        <v>40</v>
      </c>
      <c r="B4240" s="1" t="str">
        <f>HYPERLINK("http://iphonexsmax.fi","iphonexsmax.fi")</f>
        <v>iphonexsmax.fi</v>
      </c>
      <c r="C4240" t="s">
        <v>445</v>
      </c>
      <c r="D4240" t="s">
        <v>823</v>
      </c>
      <c r="J4240">
        <v>2</v>
      </c>
    </row>
    <row r="4241" spans="1:10" x14ac:dyDescent="0.25">
      <c r="A4241" t="s">
        <v>40</v>
      </c>
      <c r="B4241" s="1" t="str">
        <f>HYPERLINK("http://itunes.fi","itunes.fi")</f>
        <v>itunes.fi</v>
      </c>
      <c r="C4241" t="s">
        <v>445</v>
      </c>
      <c r="D4241" t="s">
        <v>823</v>
      </c>
      <c r="J4241">
        <v>4</v>
      </c>
    </row>
    <row r="4242" spans="1:10" x14ac:dyDescent="0.25">
      <c r="A4242" t="s">
        <v>40</v>
      </c>
      <c r="B4242" s="1" t="str">
        <f>HYPERLINK("http://itunes12daysofchristmas.fi","itunes12daysofchristmas.fi")</f>
        <v>itunes12daysofchristmas.fi</v>
      </c>
      <c r="C4242" t="s">
        <v>445</v>
      </c>
      <c r="D4242" t="s">
        <v>823</v>
      </c>
      <c r="F4242">
        <v>4.5347572356788096E-9</v>
      </c>
      <c r="G4242">
        <v>54544953</v>
      </c>
      <c r="H4242">
        <v>12082088</v>
      </c>
      <c r="I4242">
        <v>26510622</v>
      </c>
      <c r="J4242">
        <v>4</v>
      </c>
    </row>
    <row r="4243" spans="1:10" x14ac:dyDescent="0.25">
      <c r="A4243" t="s">
        <v>40</v>
      </c>
      <c r="B4243" s="1" t="str">
        <f>HYPERLINK("http://ituneslive.fi","ituneslive.fi")</f>
        <v>ituneslive.fi</v>
      </c>
      <c r="C4243" t="s">
        <v>445</v>
      </c>
      <c r="D4243" t="s">
        <v>823</v>
      </c>
      <c r="J4243">
        <v>4</v>
      </c>
    </row>
    <row r="4244" spans="1:10" x14ac:dyDescent="0.25">
      <c r="A4244" t="s">
        <v>40</v>
      </c>
      <c r="B4244" s="1" t="str">
        <f>HYPERLINK("http://itunesradio.fi","itunesradio.fi")</f>
        <v>itunesradio.fi</v>
      </c>
      <c r="C4244" t="s">
        <v>445</v>
      </c>
      <c r="D4244" t="s">
        <v>823</v>
      </c>
      <c r="J4244">
        <v>4</v>
      </c>
    </row>
    <row r="4245" spans="1:10" x14ac:dyDescent="0.25">
      <c r="A4245" t="s">
        <v>40</v>
      </c>
      <c r="B4245" s="1" t="str">
        <f>HYPERLINK("http://liquidretina.fi","liquidretina.fi")</f>
        <v>liquidretina.fi</v>
      </c>
      <c r="C4245" t="s">
        <v>445</v>
      </c>
      <c r="D4245" t="s">
        <v>823</v>
      </c>
      <c r="J4245">
        <v>2</v>
      </c>
    </row>
    <row r="4246" spans="1:10" x14ac:dyDescent="0.25">
      <c r="A4246" t="s">
        <v>40</v>
      </c>
      <c r="B4246" s="1" t="str">
        <f>HYPERLINK("http://livephotos.fi","livephotos.fi")</f>
        <v>livephotos.fi</v>
      </c>
      <c r="C4246" t="s">
        <v>445</v>
      </c>
      <c r="D4246" t="s">
        <v>823</v>
      </c>
      <c r="J4246">
        <v>4</v>
      </c>
    </row>
    <row r="4247" spans="1:10" x14ac:dyDescent="0.25">
      <c r="A4247" t="s">
        <v>40</v>
      </c>
      <c r="B4247" s="1" t="str">
        <f>HYPERLINK("http://livetext.fi","livetext.fi")</f>
        <v>livetext.fi</v>
      </c>
      <c r="C4247" t="s">
        <v>445</v>
      </c>
      <c r="D4247" t="s">
        <v>823</v>
      </c>
      <c r="J4247">
        <v>2</v>
      </c>
    </row>
    <row r="4248" spans="1:10" x14ac:dyDescent="0.25">
      <c r="A4248" t="s">
        <v>40</v>
      </c>
      <c r="B4248" s="1" t="str">
        <f>HYPERLINK("http://macosmonterey.fi","macosmonterey.fi")</f>
        <v>macosmonterey.fi</v>
      </c>
      <c r="C4248" t="s">
        <v>445</v>
      </c>
      <c r="D4248" t="s">
        <v>823</v>
      </c>
      <c r="J4248">
        <v>2</v>
      </c>
    </row>
    <row r="4249" spans="1:10" x14ac:dyDescent="0.25">
      <c r="A4249" t="s">
        <v>40</v>
      </c>
      <c r="B4249" s="1" t="str">
        <f>HYPERLINK("http://macosventura.fi","macosventura.fi")</f>
        <v>macosventura.fi</v>
      </c>
      <c r="C4249" t="s">
        <v>445</v>
      </c>
      <c r="D4249" t="s">
        <v>823</v>
      </c>
      <c r="J4249">
        <v>4</v>
      </c>
    </row>
    <row r="4250" spans="1:10" x14ac:dyDescent="0.25">
      <c r="A4250" t="s">
        <v>40</v>
      </c>
      <c r="B4250" s="1" t="str">
        <f>HYPERLINK("http://macstudio.fi","macstudio.fi")</f>
        <v>macstudio.fi</v>
      </c>
      <c r="C4250" t="s">
        <v>445</v>
      </c>
      <c r="D4250" t="s">
        <v>823</v>
      </c>
      <c r="J4250">
        <v>2</v>
      </c>
    </row>
    <row r="4251" spans="1:10" x14ac:dyDescent="0.25">
      <c r="A4251" t="s">
        <v>40</v>
      </c>
      <c r="B4251" s="1" t="str">
        <f>HYPERLINK("http://memorylook.fi","memorylook.fi")</f>
        <v>memorylook.fi</v>
      </c>
      <c r="C4251" t="s">
        <v>445</v>
      </c>
      <c r="D4251" t="s">
        <v>823</v>
      </c>
      <c r="J4251">
        <v>2</v>
      </c>
    </row>
    <row r="4252" spans="1:10" x14ac:dyDescent="0.25">
      <c r="A4252" t="s">
        <v>40</v>
      </c>
      <c r="B4252" s="1" t="str">
        <f>HYPERLINK("http://memorylooks.fi","memorylooks.fi")</f>
        <v>memorylooks.fi</v>
      </c>
      <c r="C4252" t="s">
        <v>445</v>
      </c>
      <c r="D4252" t="s">
        <v>823</v>
      </c>
      <c r="J4252">
        <v>2</v>
      </c>
    </row>
    <row r="4253" spans="1:10" x14ac:dyDescent="0.25">
      <c r="A4253" t="s">
        <v>40</v>
      </c>
      <c r="B4253" s="1" t="str">
        <f>HYPERLINK("http://memorymix.fi","memorymix.fi")</f>
        <v>memorymix.fi</v>
      </c>
      <c r="C4253" t="s">
        <v>445</v>
      </c>
      <c r="D4253" t="s">
        <v>823</v>
      </c>
      <c r="J4253">
        <v>2</v>
      </c>
    </row>
    <row r="4254" spans="1:10" x14ac:dyDescent="0.25">
      <c r="A4254" t="s">
        <v>40</v>
      </c>
      <c r="B4254" s="1" t="str">
        <f>HYPERLINK("http://memorymixes.fi","memorymixes.fi")</f>
        <v>memorymixes.fi</v>
      </c>
      <c r="C4254" t="s">
        <v>445</v>
      </c>
      <c r="D4254" t="s">
        <v>823</v>
      </c>
      <c r="J4254">
        <v>2</v>
      </c>
    </row>
    <row r="4255" spans="1:10" x14ac:dyDescent="0.25">
      <c r="A4255" t="s">
        <v>40</v>
      </c>
      <c r="B4255" s="1" t="str">
        <f>HYPERLINK("http://passkey.fi","passkey.fi")</f>
        <v>passkey.fi</v>
      </c>
      <c r="C4255" t="s">
        <v>445</v>
      </c>
      <c r="D4255" t="s">
        <v>823</v>
      </c>
      <c r="J4255">
        <v>2</v>
      </c>
    </row>
    <row r="4256" spans="1:10" x14ac:dyDescent="0.25">
      <c r="A4256" t="s">
        <v>40</v>
      </c>
      <c r="B4256" s="1" t="str">
        <f>HYPERLINK("http://quickboard.fi","quickboard.fi")</f>
        <v>quickboard.fi</v>
      </c>
      <c r="C4256" t="s">
        <v>445</v>
      </c>
      <c r="D4256" t="s">
        <v>823</v>
      </c>
      <c r="J4256">
        <v>2</v>
      </c>
    </row>
    <row r="4257" spans="1:10" x14ac:dyDescent="0.25">
      <c r="A4257" t="s">
        <v>40</v>
      </c>
      <c r="B4257" s="1" t="str">
        <f>HYPERLINK("http://quicknote.fi","quicknote.fi")</f>
        <v>quicknote.fi</v>
      </c>
      <c r="C4257" t="s">
        <v>445</v>
      </c>
      <c r="D4257" t="s">
        <v>823</v>
      </c>
      <c r="J4257">
        <v>2</v>
      </c>
    </row>
    <row r="4258" spans="1:10" x14ac:dyDescent="0.25">
      <c r="A4258" t="s">
        <v>40</v>
      </c>
      <c r="B4258" s="1" t="str">
        <f>HYPERLINK("http://shareplay.fi","shareplay.fi")</f>
        <v>shareplay.fi</v>
      </c>
      <c r="C4258" t="s">
        <v>445</v>
      </c>
      <c r="D4258" t="s">
        <v>823</v>
      </c>
      <c r="J4258">
        <v>2</v>
      </c>
    </row>
    <row r="4259" spans="1:10" x14ac:dyDescent="0.25">
      <c r="A4259" t="s">
        <v>40</v>
      </c>
      <c r="B4259" s="1" t="str">
        <f>HYPERLINK("http://solopro.fi","solopro.fi")</f>
        <v>solopro.fi</v>
      </c>
      <c r="C4259" t="s">
        <v>445</v>
      </c>
      <c r="D4259" t="s">
        <v>823</v>
      </c>
      <c r="J4259">
        <v>2</v>
      </c>
    </row>
    <row r="4260" spans="1:10" x14ac:dyDescent="0.25">
      <c r="A4260" t="s">
        <v>40</v>
      </c>
      <c r="B4260" s="1" t="str">
        <f>HYPERLINK("http://studiodisplay.fi","studiodisplay.fi")</f>
        <v>studiodisplay.fi</v>
      </c>
      <c r="C4260" t="s">
        <v>445</v>
      </c>
      <c r="D4260" t="s">
        <v>823</v>
      </c>
      <c r="J4260">
        <v>2</v>
      </c>
    </row>
    <row r="4261" spans="1:10" x14ac:dyDescent="0.25">
      <c r="A4261" t="s">
        <v>40</v>
      </c>
      <c r="B4261" s="1" t="str">
        <f>HYPERLINK("http://xcodecloud.fi","xcodecloud.fi")</f>
        <v>xcodecloud.fi</v>
      </c>
      <c r="C4261" t="s">
        <v>445</v>
      </c>
      <c r="D4261" t="s">
        <v>823</v>
      </c>
      <c r="J4261">
        <v>2</v>
      </c>
    </row>
    <row r="4262" spans="1:10" x14ac:dyDescent="0.25">
      <c r="A4262" t="s">
        <v>40</v>
      </c>
      <c r="B4262" s="1" t="str">
        <f>HYPERLINK("http://apple.fr","apple.fr")</f>
        <v>apple.fr</v>
      </c>
      <c r="C4262" t="s">
        <v>446</v>
      </c>
      <c r="D4262" t="s">
        <v>824</v>
      </c>
      <c r="E4262">
        <v>574241</v>
      </c>
      <c r="F4262">
        <v>1.38594239666654E-7</v>
      </c>
      <c r="G4262">
        <v>281092</v>
      </c>
      <c r="H4262">
        <v>14913137</v>
      </c>
      <c r="I4262">
        <v>455917</v>
      </c>
      <c r="J4262">
        <v>2</v>
      </c>
    </row>
    <row r="4263" spans="1:10" x14ac:dyDescent="0.25">
      <c r="A4263" t="s">
        <v>40</v>
      </c>
      <c r="B4263" s="1" t="str">
        <f>HYPERLINK("http://applestore.fr","applestore.fr")</f>
        <v>applestore.fr</v>
      </c>
      <c r="C4263" t="s">
        <v>446</v>
      </c>
      <c r="D4263" t="s">
        <v>824</v>
      </c>
      <c r="J4263">
        <v>2</v>
      </c>
    </row>
    <row r="4264" spans="1:10" x14ac:dyDescent="0.25">
      <c r="A4264" t="s">
        <v>40</v>
      </c>
      <c r="B4264" s="1" t="str">
        <f>HYPERLINK("http://appstore.fr","appstore.fr")</f>
        <v>appstore.fr</v>
      </c>
      <c r="C4264" t="s">
        <v>446</v>
      </c>
      <c r="D4264" t="s">
        <v>824</v>
      </c>
      <c r="E4264">
        <v>401342</v>
      </c>
      <c r="F4264">
        <v>5.0296318145579398E-9</v>
      </c>
      <c r="G4264">
        <v>28677025</v>
      </c>
      <c r="H4264">
        <v>12416423</v>
      </c>
      <c r="I4264">
        <v>18522390</v>
      </c>
      <c r="J4264">
        <v>2</v>
      </c>
    </row>
    <row r="4265" spans="1:10" x14ac:dyDescent="0.25">
      <c r="A4265" t="s">
        <v>40</v>
      </c>
      <c r="B4265" s="1" t="str">
        <f>HYPERLINK("http://icloud.fr","icloud.fr")</f>
        <v>icloud.fr</v>
      </c>
      <c r="C4265" t="s">
        <v>446</v>
      </c>
      <c r="D4265" t="s">
        <v>824</v>
      </c>
      <c r="F4265">
        <v>4.5161380248545596E-9</v>
      </c>
      <c r="G4265">
        <v>56709201</v>
      </c>
      <c r="H4265">
        <v>10786555</v>
      </c>
      <c r="I4265">
        <v>38635940</v>
      </c>
      <c r="J4265">
        <v>2</v>
      </c>
    </row>
    <row r="4266" spans="1:10" x14ac:dyDescent="0.25">
      <c r="A4266" t="s">
        <v>40</v>
      </c>
      <c r="B4266" s="1" t="str">
        <f>HYPERLINK("http://iweb.fr","iweb.fr")</f>
        <v>iweb.fr</v>
      </c>
      <c r="C4266" t="s">
        <v>446</v>
      </c>
      <c r="D4266" t="s">
        <v>824</v>
      </c>
      <c r="J4266">
        <v>2</v>
      </c>
    </row>
    <row r="4267" spans="1:10" x14ac:dyDescent="0.25">
      <c r="A4267" t="s">
        <v>40</v>
      </c>
      <c r="B4267" s="1" t="str">
        <f>HYPERLINK("http://xcod.fr","xcod.fr")</f>
        <v>xcod.fr</v>
      </c>
      <c r="C4267" t="s">
        <v>446</v>
      </c>
      <c r="D4267" t="s">
        <v>824</v>
      </c>
      <c r="J4267">
        <v>2</v>
      </c>
    </row>
    <row r="4268" spans="1:10" x14ac:dyDescent="0.25">
      <c r="A4268" t="s">
        <v>40</v>
      </c>
      <c r="B4268" s="1" t="str">
        <f>HYPERLINK("http://xcode.fr","xcode.fr")</f>
        <v>xcode.fr</v>
      </c>
      <c r="C4268" t="s">
        <v>446</v>
      </c>
      <c r="D4268" t="s">
        <v>824</v>
      </c>
      <c r="J4268">
        <v>2</v>
      </c>
    </row>
    <row r="4269" spans="1:10" x14ac:dyDescent="0.25">
      <c r="A4269" t="s">
        <v>40</v>
      </c>
      <c r="B4269" s="1" t="str">
        <f>HYPERLINK("http://appstore.games","appstore.games")</f>
        <v>appstore.games</v>
      </c>
      <c r="C4269" t="s">
        <v>700</v>
      </c>
      <c r="J4269">
        <v>2</v>
      </c>
    </row>
    <row r="4270" spans="1:10" x14ac:dyDescent="0.25">
      <c r="A4270" t="s">
        <v>40</v>
      </c>
      <c r="B4270" s="1" t="str">
        <f>HYPERLINK("http://gamecenter.games","gamecenter.games")</f>
        <v>gamecenter.games</v>
      </c>
      <c r="C4270" t="s">
        <v>700</v>
      </c>
      <c r="J4270">
        <v>2</v>
      </c>
    </row>
    <row r="4271" spans="1:10" x14ac:dyDescent="0.25">
      <c r="A4271" t="s">
        <v>40</v>
      </c>
      <c r="B4271" s="1" t="str">
        <f>HYPERLINK("http://mac.games","mac.games")</f>
        <v>mac.games</v>
      </c>
      <c r="C4271" t="s">
        <v>700</v>
      </c>
      <c r="J4271">
        <v>2</v>
      </c>
    </row>
    <row r="4272" spans="1:10" x14ac:dyDescent="0.25">
      <c r="A4272" t="s">
        <v>40</v>
      </c>
      <c r="B4272" s="1" t="str">
        <f>HYPERLINK("http://applestore.gr","applestore.gr")</f>
        <v>applestore.gr</v>
      </c>
      <c r="C4272" t="s">
        <v>447</v>
      </c>
      <c r="D4272" t="s">
        <v>825</v>
      </c>
      <c r="F4272">
        <v>4.7457639202269598E-9</v>
      </c>
      <c r="G4272">
        <v>38527272</v>
      </c>
      <c r="H4272">
        <v>12173539</v>
      </c>
      <c r="I4272">
        <v>23975323</v>
      </c>
      <c r="J4272">
        <v>2</v>
      </c>
    </row>
    <row r="4273" spans="1:10" x14ac:dyDescent="0.25">
      <c r="A4273" t="s">
        <v>40</v>
      </c>
      <c r="B4273" s="1" t="str">
        <f>HYPERLINK("http://applesupport.gr","applesupport.gr")</f>
        <v>applesupport.gr</v>
      </c>
      <c r="C4273" t="s">
        <v>447</v>
      </c>
      <c r="D4273" t="s">
        <v>825</v>
      </c>
      <c r="J4273">
        <v>2</v>
      </c>
    </row>
    <row r="4274" spans="1:10" x14ac:dyDescent="0.25">
      <c r="A4274" t="s">
        <v>40</v>
      </c>
      <c r="B4274" s="1" t="str">
        <f>HYPERLINK("http://applestore.net.gr","applestore.net.gr")</f>
        <v>applestore.net.gr</v>
      </c>
      <c r="C4274" t="s">
        <v>447</v>
      </c>
      <c r="D4274" t="s">
        <v>825</v>
      </c>
      <c r="J4274">
        <v>2</v>
      </c>
    </row>
    <row r="4275" spans="1:10" x14ac:dyDescent="0.25">
      <c r="A4275" t="s">
        <v>40</v>
      </c>
      <c r="B4275" s="1" t="str">
        <f>HYPERLINK("http://apple.com.gy","apple.com.gy")</f>
        <v>apple.com.gy</v>
      </c>
      <c r="C4275" t="s">
        <v>593</v>
      </c>
      <c r="D4275" t="s">
        <v>928</v>
      </c>
      <c r="J4275">
        <v>2</v>
      </c>
    </row>
    <row r="4276" spans="1:10" x14ac:dyDescent="0.25">
      <c r="A4276" t="s">
        <v>40</v>
      </c>
      <c r="B4276" s="1" t="str">
        <f>HYPERLINK("http://applestore.hamburg","applestore.hamburg")</f>
        <v>applestore.hamburg</v>
      </c>
      <c r="C4276" t="s">
        <v>611</v>
      </c>
      <c r="J4276">
        <v>2</v>
      </c>
    </row>
    <row r="4277" spans="1:10" x14ac:dyDescent="0.25">
      <c r="A4277" t="s">
        <v>40</v>
      </c>
      <c r="B4277" s="1" t="str">
        <f>HYPERLINK("http://appletv.hamburg","appletv.hamburg")</f>
        <v>appletv.hamburg</v>
      </c>
      <c r="C4277" t="s">
        <v>611</v>
      </c>
      <c r="J4277">
        <v>2</v>
      </c>
    </row>
    <row r="4278" spans="1:10" x14ac:dyDescent="0.25">
      <c r="A4278" t="s">
        <v>40</v>
      </c>
      <c r="B4278" s="1" t="str">
        <f>HYPERLINK("http://applewatch.hamburg","applewatch.hamburg")</f>
        <v>applewatch.hamburg</v>
      </c>
      <c r="C4278" t="s">
        <v>611</v>
      </c>
      <c r="J4278">
        <v>2</v>
      </c>
    </row>
    <row r="4279" spans="1:10" x14ac:dyDescent="0.25">
      <c r="A4279" t="s">
        <v>40</v>
      </c>
      <c r="B4279" s="1" t="str">
        <f>HYPERLINK("http://appstore.hamburg","appstore.hamburg")</f>
        <v>appstore.hamburg</v>
      </c>
      <c r="C4279" t="s">
        <v>611</v>
      </c>
      <c r="J4279">
        <v>2</v>
      </c>
    </row>
    <row r="4280" spans="1:10" x14ac:dyDescent="0.25">
      <c r="A4280" t="s">
        <v>40</v>
      </c>
      <c r="B4280" s="1" t="str">
        <f>HYPERLINK("http://icloud.hamburg","icloud.hamburg")</f>
        <v>icloud.hamburg</v>
      </c>
      <c r="C4280" t="s">
        <v>611</v>
      </c>
      <c r="J4280">
        <v>2</v>
      </c>
    </row>
    <row r="4281" spans="1:10" x14ac:dyDescent="0.25">
      <c r="A4281" t="s">
        <v>40</v>
      </c>
      <c r="B4281" s="1" t="str">
        <f>HYPERLINK("http://ipad.hamburg","ipad.hamburg")</f>
        <v>ipad.hamburg</v>
      </c>
      <c r="C4281" t="s">
        <v>611</v>
      </c>
      <c r="J4281">
        <v>2</v>
      </c>
    </row>
    <row r="4282" spans="1:10" x14ac:dyDescent="0.25">
      <c r="A4282" t="s">
        <v>40</v>
      </c>
      <c r="B4282" s="1" t="str">
        <f>HYPERLINK("http://iphone.hamburg","iphone.hamburg")</f>
        <v>iphone.hamburg</v>
      </c>
      <c r="C4282" t="s">
        <v>611</v>
      </c>
      <c r="J4282">
        <v>2</v>
      </c>
    </row>
    <row r="4283" spans="1:10" x14ac:dyDescent="0.25">
      <c r="A4283" t="s">
        <v>40</v>
      </c>
      <c r="B4283" s="1" t="str">
        <f>HYPERLINK("http://iphoneplus.hamburg","iphoneplus.hamburg")</f>
        <v>iphoneplus.hamburg</v>
      </c>
      <c r="C4283" t="s">
        <v>611</v>
      </c>
      <c r="J4283">
        <v>2</v>
      </c>
    </row>
    <row r="4284" spans="1:10" x14ac:dyDescent="0.25">
      <c r="A4284" t="s">
        <v>40</v>
      </c>
      <c r="B4284" s="1" t="str">
        <f>HYPERLINK("http://ipod.hamburg","ipod.hamburg")</f>
        <v>ipod.hamburg</v>
      </c>
      <c r="C4284" t="s">
        <v>611</v>
      </c>
      <c r="J4284">
        <v>2</v>
      </c>
    </row>
    <row r="4285" spans="1:10" x14ac:dyDescent="0.25">
      <c r="A4285" t="s">
        <v>40</v>
      </c>
      <c r="B4285" s="1" t="str">
        <f>HYPERLINK("http://itunes.hamburg","itunes.hamburg")</f>
        <v>itunes.hamburg</v>
      </c>
      <c r="C4285" t="s">
        <v>611</v>
      </c>
      <c r="J4285">
        <v>2</v>
      </c>
    </row>
    <row r="4286" spans="1:10" x14ac:dyDescent="0.25">
      <c r="A4286" t="s">
        <v>40</v>
      </c>
      <c r="B4286" s="1" t="str">
        <f>HYPERLINK("http://itunesradio.hamburg","itunesradio.hamburg")</f>
        <v>itunesradio.hamburg</v>
      </c>
      <c r="C4286" t="s">
        <v>611</v>
      </c>
      <c r="J4286">
        <v>2</v>
      </c>
    </row>
    <row r="4287" spans="1:10" x14ac:dyDescent="0.25">
      <c r="A4287" t="s">
        <v>40</v>
      </c>
      <c r="B4287" s="1" t="str">
        <f>HYPERLINK("http://itunesstore.hamburg","itunesstore.hamburg")</f>
        <v>itunesstore.hamburg</v>
      </c>
      <c r="C4287" t="s">
        <v>611</v>
      </c>
      <c r="J4287">
        <v>2</v>
      </c>
    </row>
    <row r="4288" spans="1:10" x14ac:dyDescent="0.25">
      <c r="A4288" t="s">
        <v>40</v>
      </c>
      <c r="B4288" s="1" t="str">
        <f>HYPERLINK("http://mac.hamburg","mac.hamburg")</f>
        <v>mac.hamburg</v>
      </c>
      <c r="C4288" t="s">
        <v>611</v>
      </c>
      <c r="J4288">
        <v>2</v>
      </c>
    </row>
    <row r="4289" spans="1:10" x14ac:dyDescent="0.25">
      <c r="A4289" t="s">
        <v>40</v>
      </c>
      <c r="B4289" s="1" t="str">
        <f>HYPERLINK("http://macbook.hamburg","macbook.hamburg")</f>
        <v>macbook.hamburg</v>
      </c>
      <c r="C4289" t="s">
        <v>611</v>
      </c>
      <c r="J4289">
        <v>2</v>
      </c>
    </row>
    <row r="4290" spans="1:10" x14ac:dyDescent="0.25">
      <c r="A4290" t="s">
        <v>40</v>
      </c>
      <c r="B4290" s="1" t="str">
        <f>HYPERLINK("http://macstore.hamburg","macstore.hamburg")</f>
        <v>macstore.hamburg</v>
      </c>
      <c r="C4290" t="s">
        <v>611</v>
      </c>
      <c r="J4290">
        <v>2</v>
      </c>
    </row>
    <row r="4291" spans="1:10" x14ac:dyDescent="0.25">
      <c r="A4291" t="s">
        <v>40</v>
      </c>
      <c r="B4291" s="1" t="str">
        <f>HYPERLINK("http://applestore.hk","applestore.hk")</f>
        <v>applestore.hk</v>
      </c>
      <c r="C4291" t="s">
        <v>450</v>
      </c>
      <c r="D4291" t="s">
        <v>827</v>
      </c>
      <c r="J4291">
        <v>2</v>
      </c>
    </row>
    <row r="4292" spans="1:10" x14ac:dyDescent="0.25">
      <c r="A4292" t="s">
        <v>40</v>
      </c>
      <c r="B4292" s="1" t="str">
        <f>HYPERLINK("http://appstore.hk","appstore.hk")</f>
        <v>appstore.hk</v>
      </c>
      <c r="C4292" t="s">
        <v>450</v>
      </c>
      <c r="D4292" t="s">
        <v>827</v>
      </c>
      <c r="J4292">
        <v>2</v>
      </c>
    </row>
    <row r="4293" spans="1:10" x14ac:dyDescent="0.25">
      <c r="A4293" t="s">
        <v>40</v>
      </c>
      <c r="B4293" s="1" t="str">
        <f>HYPERLINK("http://appleclub.com.hk","appleclub.com.hk")</f>
        <v>appleclub.com.hk</v>
      </c>
      <c r="C4293" t="s">
        <v>450</v>
      </c>
      <c r="D4293" t="s">
        <v>827</v>
      </c>
      <c r="F4293">
        <v>9.4980706266700494E-9</v>
      </c>
      <c r="G4293">
        <v>7324874</v>
      </c>
      <c r="H4293">
        <v>14236072</v>
      </c>
      <c r="I4293">
        <v>1620751</v>
      </c>
      <c r="J4293">
        <v>2</v>
      </c>
    </row>
    <row r="4294" spans="1:10" x14ac:dyDescent="0.25">
      <c r="A4294" t="s">
        <v>40</v>
      </c>
      <c r="B4294" s="1" t="str">
        <f>HYPERLINK("http://applecomputer.com.hk","applecomputer.com.hk")</f>
        <v>applecomputer.com.hk</v>
      </c>
      <c r="C4294" t="s">
        <v>450</v>
      </c>
      <c r="D4294" t="s">
        <v>827</v>
      </c>
      <c r="J4294">
        <v>2</v>
      </c>
    </row>
    <row r="4295" spans="1:10" x14ac:dyDescent="0.25">
      <c r="A4295" t="s">
        <v>40</v>
      </c>
      <c r="B4295" s="1" t="str">
        <f>HYPERLINK("http://applehongkong.com.hk","applehongkong.com.hk")</f>
        <v>applehongkong.com.hk</v>
      </c>
      <c r="C4295" t="s">
        <v>450</v>
      </c>
      <c r="D4295" t="s">
        <v>827</v>
      </c>
      <c r="J4295">
        <v>2</v>
      </c>
    </row>
    <row r="4296" spans="1:10" x14ac:dyDescent="0.25">
      <c r="A4296" t="s">
        <v>40</v>
      </c>
      <c r="B4296" s="1" t="str">
        <f>HYPERLINK("http://applestore.com.hk","applestore.com.hk")</f>
        <v>applestore.com.hk</v>
      </c>
      <c r="C4296" t="s">
        <v>450</v>
      </c>
      <c r="D4296" t="s">
        <v>827</v>
      </c>
      <c r="J4296">
        <v>2</v>
      </c>
    </row>
    <row r="4297" spans="1:10" x14ac:dyDescent="0.25">
      <c r="A4297" t="s">
        <v>40</v>
      </c>
      <c r="B4297" s="1" t="str">
        <f>HYPERLINK("http://ipod.com.hk","ipod.com.hk")</f>
        <v>ipod.com.hk</v>
      </c>
      <c r="C4297" t="s">
        <v>450</v>
      </c>
      <c r="D4297" t="s">
        <v>827</v>
      </c>
      <c r="J4297">
        <v>2</v>
      </c>
    </row>
    <row r="4298" spans="1:10" x14ac:dyDescent="0.25">
      <c r="A4298" t="s">
        <v>40</v>
      </c>
      <c r="B4298" s="1" t="str">
        <f>HYPERLINK("http://macbookair.com.hk","macbookair.com.hk")</f>
        <v>macbookair.com.hk</v>
      </c>
      <c r="C4298" t="s">
        <v>450</v>
      </c>
      <c r="D4298" t="s">
        <v>827</v>
      </c>
      <c r="J4298">
        <v>2</v>
      </c>
    </row>
    <row r="4299" spans="1:10" x14ac:dyDescent="0.25">
      <c r="A4299" t="s">
        <v>40</v>
      </c>
      <c r="B4299" s="1" t="str">
        <f>HYPERLINK("http://ipadair.hk","ipadair.hk")</f>
        <v>ipadair.hk</v>
      </c>
      <c r="C4299" t="s">
        <v>450</v>
      </c>
      <c r="D4299" t="s">
        <v>827</v>
      </c>
      <c r="J4299">
        <v>2</v>
      </c>
    </row>
    <row r="4300" spans="1:10" x14ac:dyDescent="0.25">
      <c r="A4300" t="s">
        <v>40</v>
      </c>
      <c r="B4300" s="1" t="str">
        <f>HYPERLINK("http://ipod.hk","ipod.hk")</f>
        <v>ipod.hk</v>
      </c>
      <c r="C4300" t="s">
        <v>450</v>
      </c>
      <c r="D4300" t="s">
        <v>827</v>
      </c>
      <c r="J4300">
        <v>2</v>
      </c>
    </row>
    <row r="4301" spans="1:10" x14ac:dyDescent="0.25">
      <c r="A4301" t="s">
        <v>40</v>
      </c>
      <c r="B4301" s="1" t="str">
        <f>HYPERLINK("http://macbook.hk","macbook.hk")</f>
        <v>macbook.hk</v>
      </c>
      <c r="C4301" t="s">
        <v>450</v>
      </c>
      <c r="D4301" t="s">
        <v>827</v>
      </c>
      <c r="J4301">
        <v>2</v>
      </c>
    </row>
    <row r="4302" spans="1:10" x14ac:dyDescent="0.25">
      <c r="A4302" t="s">
        <v>40</v>
      </c>
      <c r="B4302" s="1" t="str">
        <f>HYPERLINK("http://macbookair.hk","macbookair.hk")</f>
        <v>macbookair.hk</v>
      </c>
      <c r="C4302" t="s">
        <v>450</v>
      </c>
      <c r="D4302" t="s">
        <v>827</v>
      </c>
      <c r="J4302">
        <v>2</v>
      </c>
    </row>
    <row r="4303" spans="1:10" x14ac:dyDescent="0.25">
      <c r="A4303" t="s">
        <v>40</v>
      </c>
      <c r="B4303" s="1" t="str">
        <f>HYPERLINK("http://apple.com.hn","apple.com.hn")</f>
        <v>apple.com.hn</v>
      </c>
      <c r="C4303" t="s">
        <v>451</v>
      </c>
      <c r="D4303" t="s">
        <v>828</v>
      </c>
      <c r="J4303">
        <v>2</v>
      </c>
    </row>
    <row r="4304" spans="1:10" x14ac:dyDescent="0.25">
      <c r="A4304" t="s">
        <v>40</v>
      </c>
      <c r="B4304" s="1" t="str">
        <f>HYPERLINK("http://ipad.host","ipad.host")</f>
        <v>ipad.host</v>
      </c>
      <c r="C4304" t="s">
        <v>701</v>
      </c>
      <c r="J4304">
        <v>2</v>
      </c>
    </row>
    <row r="4305" spans="1:10" x14ac:dyDescent="0.25">
      <c r="A4305" t="s">
        <v>40</v>
      </c>
      <c r="B4305" s="1" t="str">
        <f>HYPERLINK("http://iphone.host","iphone.host")</f>
        <v>iphone.host</v>
      </c>
      <c r="C4305" t="s">
        <v>701</v>
      </c>
      <c r="J4305">
        <v>2</v>
      </c>
    </row>
    <row r="4306" spans="1:10" x14ac:dyDescent="0.25">
      <c r="A4306" t="s">
        <v>40</v>
      </c>
      <c r="B4306" s="1" t="str">
        <f>HYPERLINK("http://apple.hr","apple.hr")</f>
        <v>apple.hr</v>
      </c>
      <c r="C4306" t="s">
        <v>452</v>
      </c>
      <c r="D4306" t="s">
        <v>829</v>
      </c>
      <c r="F4306">
        <v>1.7933551540673101E-8</v>
      </c>
      <c r="G4306">
        <v>3046524</v>
      </c>
      <c r="H4306">
        <v>14421455</v>
      </c>
      <c r="I4306">
        <v>1087361</v>
      </c>
      <c r="J4306">
        <v>2</v>
      </c>
    </row>
    <row r="4307" spans="1:10" x14ac:dyDescent="0.25">
      <c r="A4307" t="s">
        <v>40</v>
      </c>
      <c r="B4307" s="1" t="str">
        <f>HYPERLINK("http://icloud.hu","icloud.hu")</f>
        <v>icloud.hu</v>
      </c>
      <c r="C4307" t="s">
        <v>453</v>
      </c>
      <c r="D4307" t="s">
        <v>830</v>
      </c>
      <c r="J4307">
        <v>2</v>
      </c>
    </row>
    <row r="4308" spans="1:10" x14ac:dyDescent="0.25">
      <c r="A4308" t="s">
        <v>40</v>
      </c>
      <c r="B4308" s="1" t="str">
        <f>HYPERLINK("http://appstore.co.id","appstore.co.id")</f>
        <v>appstore.co.id</v>
      </c>
      <c r="C4308" t="s">
        <v>454</v>
      </c>
      <c r="D4308" t="s">
        <v>831</v>
      </c>
      <c r="F4308">
        <v>4.4586852278918803E-9</v>
      </c>
      <c r="G4308">
        <v>68176726</v>
      </c>
      <c r="H4308">
        <v>9633306</v>
      </c>
      <c r="I4308">
        <v>64052048</v>
      </c>
      <c r="J4308">
        <v>2</v>
      </c>
    </row>
    <row r="4309" spans="1:10" x14ac:dyDescent="0.25">
      <c r="A4309" t="s">
        <v>40</v>
      </c>
      <c r="B4309" s="1" t="str">
        <f>HYPERLINK("http://applestore.ie","applestore.ie")</f>
        <v>applestore.ie</v>
      </c>
      <c r="C4309" t="s">
        <v>455</v>
      </c>
      <c r="D4309" t="s">
        <v>832</v>
      </c>
      <c r="J4309">
        <v>2</v>
      </c>
    </row>
    <row r="4310" spans="1:10" x14ac:dyDescent="0.25">
      <c r="A4310" t="s">
        <v>40</v>
      </c>
      <c r="B4310" s="1" t="str">
        <f>HYPERLINK("http://icloud.ie","icloud.ie")</f>
        <v>icloud.ie</v>
      </c>
      <c r="C4310" t="s">
        <v>455</v>
      </c>
      <c r="D4310" t="s">
        <v>832</v>
      </c>
      <c r="J4310">
        <v>2</v>
      </c>
    </row>
    <row r="4311" spans="1:10" x14ac:dyDescent="0.25">
      <c r="A4311" t="s">
        <v>40</v>
      </c>
      <c r="B4311" s="1" t="str">
        <f>HYPERLINK("http://apple.in","apple.in")</f>
        <v>apple.in</v>
      </c>
      <c r="C4311" t="s">
        <v>457</v>
      </c>
      <c r="D4311" t="s">
        <v>834</v>
      </c>
      <c r="F4311">
        <v>1.5211606768136299E-8</v>
      </c>
      <c r="G4311">
        <v>3772324</v>
      </c>
      <c r="H4311">
        <v>12782635</v>
      </c>
      <c r="I4311">
        <v>14733133</v>
      </c>
      <c r="J4311">
        <v>2</v>
      </c>
    </row>
    <row r="4312" spans="1:10" x14ac:dyDescent="0.25">
      <c r="A4312" t="s">
        <v>40</v>
      </c>
      <c r="B4312" s="1" t="str">
        <f>HYPERLINK("http://applecomputer.co.in","applecomputer.co.in")</f>
        <v>applecomputer.co.in</v>
      </c>
      <c r="C4312" t="s">
        <v>457</v>
      </c>
      <c r="D4312" t="s">
        <v>834</v>
      </c>
      <c r="J4312">
        <v>2</v>
      </c>
    </row>
    <row r="4313" spans="1:10" x14ac:dyDescent="0.25">
      <c r="A4313" t="s">
        <v>40</v>
      </c>
      <c r="B4313" s="1" t="str">
        <f>HYPERLINK("http://emac.co.in","emac.co.in")</f>
        <v>emac.co.in</v>
      </c>
      <c r="C4313" t="s">
        <v>457</v>
      </c>
      <c r="D4313" t="s">
        <v>834</v>
      </c>
      <c r="J4313">
        <v>2</v>
      </c>
    </row>
    <row r="4314" spans="1:10" x14ac:dyDescent="0.25">
      <c r="A4314" t="s">
        <v>40</v>
      </c>
      <c r="B4314" s="1" t="str">
        <f>HYPERLINK("http://ichat.co.in","ichat.co.in")</f>
        <v>ichat.co.in</v>
      </c>
      <c r="C4314" t="s">
        <v>457</v>
      </c>
      <c r="D4314" t="s">
        <v>834</v>
      </c>
      <c r="J4314">
        <v>2</v>
      </c>
    </row>
    <row r="4315" spans="1:10" x14ac:dyDescent="0.25">
      <c r="A4315" t="s">
        <v>40</v>
      </c>
      <c r="B4315" s="1" t="str">
        <f>HYPERLINK("http://emac.in","emac.in")</f>
        <v>emac.in</v>
      </c>
      <c r="C4315" t="s">
        <v>457</v>
      </c>
      <c r="D4315" t="s">
        <v>834</v>
      </c>
      <c r="J4315">
        <v>2</v>
      </c>
    </row>
    <row r="4316" spans="1:10" x14ac:dyDescent="0.25">
      <c r="A4316" t="s">
        <v>40</v>
      </c>
      <c r="B4316" s="1" t="str">
        <f>HYPERLINK("http://up-skills.in","up-skills.in")</f>
        <v>up-skills.in</v>
      </c>
      <c r="C4316" t="s">
        <v>457</v>
      </c>
      <c r="D4316" t="s">
        <v>834</v>
      </c>
      <c r="F4316">
        <v>5.7491445153940103E-9</v>
      </c>
      <c r="G4316">
        <v>18504144</v>
      </c>
      <c r="H4316">
        <v>12771044</v>
      </c>
      <c r="I4316">
        <v>14832166</v>
      </c>
      <c r="J4316">
        <v>3</v>
      </c>
    </row>
    <row r="4317" spans="1:10" x14ac:dyDescent="0.25">
      <c r="A4317" t="s">
        <v>40</v>
      </c>
      <c r="B4317" s="1" t="str">
        <f>HYPERLINK("http://airtunes.info","airtunes.info")</f>
        <v>airtunes.info</v>
      </c>
      <c r="C4317" t="s">
        <v>458</v>
      </c>
      <c r="F4317">
        <v>4.74667296022878E-9</v>
      </c>
      <c r="G4317">
        <v>38479946</v>
      </c>
      <c r="H4317">
        <v>12740292</v>
      </c>
      <c r="I4317">
        <v>15132026</v>
      </c>
      <c r="J4317">
        <v>2</v>
      </c>
    </row>
    <row r="4318" spans="1:10" x14ac:dyDescent="0.25">
      <c r="A4318" t="s">
        <v>40</v>
      </c>
      <c r="B4318" s="1" t="str">
        <f>HYPERLINK("http://applecentre.info","applecentre.info")</f>
        <v>applecentre.info</v>
      </c>
      <c r="C4318" t="s">
        <v>458</v>
      </c>
      <c r="F4318">
        <v>4.74667296022878E-9</v>
      </c>
      <c r="G4318">
        <v>38479949</v>
      </c>
      <c r="H4318">
        <v>12740294</v>
      </c>
      <c r="I4318">
        <v>15130782</v>
      </c>
      <c r="J4318">
        <v>2</v>
      </c>
    </row>
    <row r="4319" spans="1:10" x14ac:dyDescent="0.25">
      <c r="A4319" t="s">
        <v>40</v>
      </c>
      <c r="B4319" s="1" t="str">
        <f>HYPERLINK("http://applecomputerinc.info","applecomputerinc.info")</f>
        <v>applecomputerinc.info</v>
      </c>
      <c r="C4319" t="s">
        <v>458</v>
      </c>
      <c r="F4319">
        <v>4.74667296022878E-9</v>
      </c>
      <c r="G4319">
        <v>38479951</v>
      </c>
      <c r="H4319">
        <v>12740292</v>
      </c>
      <c r="I4319">
        <v>15132029</v>
      </c>
      <c r="J4319">
        <v>2</v>
      </c>
    </row>
    <row r="4320" spans="1:10" x14ac:dyDescent="0.25">
      <c r="A4320" t="s">
        <v>40</v>
      </c>
      <c r="B4320" s="1" t="str">
        <f>HYPERLINK("http://appleexpo.info","appleexpo.info")</f>
        <v>appleexpo.info</v>
      </c>
      <c r="C4320" t="s">
        <v>458</v>
      </c>
      <c r="F4320">
        <v>4.74667296022878E-9</v>
      </c>
      <c r="G4320">
        <v>38479952</v>
      </c>
      <c r="H4320">
        <v>12740292</v>
      </c>
      <c r="I4320">
        <v>15132030</v>
      </c>
      <c r="J4320">
        <v>2</v>
      </c>
    </row>
    <row r="4321" spans="1:10" x14ac:dyDescent="0.25">
      <c r="A4321" t="s">
        <v>40</v>
      </c>
      <c r="B4321" s="1" t="str">
        <f>HYPERLINK("http://applemasters.info","applemasters.info")</f>
        <v>applemasters.info</v>
      </c>
      <c r="C4321" t="s">
        <v>458</v>
      </c>
      <c r="F4321">
        <v>4.74667296022878E-9</v>
      </c>
      <c r="G4321">
        <v>38479953</v>
      </c>
      <c r="H4321">
        <v>12740292</v>
      </c>
      <c r="I4321">
        <v>15132031</v>
      </c>
      <c r="J4321">
        <v>2</v>
      </c>
    </row>
    <row r="4322" spans="1:10" x14ac:dyDescent="0.25">
      <c r="A4322" t="s">
        <v>40</v>
      </c>
      <c r="B4322" s="1" t="str">
        <f>HYPERLINK("http://applepay.info","applepay.info")</f>
        <v>applepay.info</v>
      </c>
      <c r="C4322" t="s">
        <v>458</v>
      </c>
      <c r="F4322">
        <v>4.74667296022878E-9</v>
      </c>
      <c r="G4322">
        <v>38479954</v>
      </c>
      <c r="H4322">
        <v>12740292</v>
      </c>
      <c r="I4322">
        <v>15132032</v>
      </c>
      <c r="J4322">
        <v>2</v>
      </c>
    </row>
    <row r="4323" spans="1:10" x14ac:dyDescent="0.25">
      <c r="A4323" t="s">
        <v>40</v>
      </c>
      <c r="B4323" s="1" t="str">
        <f>HYPERLINK("http://applepaymerchantsupplies.info","applepaymerchantsupplies.info")</f>
        <v>applepaymerchantsupplies.info</v>
      </c>
      <c r="C4323" t="s">
        <v>458</v>
      </c>
      <c r="F4323">
        <v>4.74667296022878E-9</v>
      </c>
      <c r="G4323">
        <v>38479955</v>
      </c>
      <c r="H4323">
        <v>12740292</v>
      </c>
      <c r="I4323">
        <v>15132033</v>
      </c>
      <c r="J4323">
        <v>2</v>
      </c>
    </row>
    <row r="4324" spans="1:10" x14ac:dyDescent="0.25">
      <c r="A4324" t="s">
        <v>40</v>
      </c>
      <c r="B4324" s="1" t="str">
        <f>HYPERLINK("http://applepaysupplies.info","applepaysupplies.info")</f>
        <v>applepaysupplies.info</v>
      </c>
      <c r="C4324" t="s">
        <v>458</v>
      </c>
      <c r="F4324">
        <v>4.74667296022878E-9</v>
      </c>
      <c r="G4324">
        <v>38479956</v>
      </c>
      <c r="H4324">
        <v>12740292</v>
      </c>
      <c r="I4324">
        <v>15132034</v>
      </c>
      <c r="J4324">
        <v>2</v>
      </c>
    </row>
    <row r="4325" spans="1:10" x14ac:dyDescent="0.25">
      <c r="A4325" t="s">
        <v>40</v>
      </c>
      <c r="B4325" s="1" t="str">
        <f>HYPERLINK("http://applescript.info","applescript.info")</f>
        <v>applescript.info</v>
      </c>
      <c r="C4325" t="s">
        <v>458</v>
      </c>
      <c r="F4325">
        <v>4.74667296022878E-9</v>
      </c>
      <c r="G4325">
        <v>38479957</v>
      </c>
      <c r="H4325">
        <v>12740292</v>
      </c>
      <c r="I4325">
        <v>15132035</v>
      </c>
      <c r="J4325">
        <v>2</v>
      </c>
    </row>
    <row r="4326" spans="1:10" x14ac:dyDescent="0.25">
      <c r="A4326" t="s">
        <v>40</v>
      </c>
      <c r="B4326" s="1" t="str">
        <f>HYPERLINK("http://appleshare.info","appleshare.info")</f>
        <v>appleshare.info</v>
      </c>
      <c r="C4326" t="s">
        <v>458</v>
      </c>
      <c r="F4326">
        <v>4.74667296022878E-9</v>
      </c>
      <c r="G4326">
        <v>38479958</v>
      </c>
      <c r="H4326">
        <v>12740292</v>
      </c>
      <c r="I4326">
        <v>15132036</v>
      </c>
      <c r="J4326">
        <v>2</v>
      </c>
    </row>
    <row r="4327" spans="1:10" x14ac:dyDescent="0.25">
      <c r="A4327" t="s">
        <v>40</v>
      </c>
      <c r="B4327" s="1" t="str">
        <f>HYPERLINK("http://dvdstudiopro.info","dvdstudiopro.info")</f>
        <v>dvdstudiopro.info</v>
      </c>
      <c r="C4327" t="s">
        <v>458</v>
      </c>
      <c r="F4327">
        <v>4.74667296022878E-9</v>
      </c>
      <c r="G4327">
        <v>38479961</v>
      </c>
      <c r="H4327">
        <v>12740292</v>
      </c>
      <c r="I4327">
        <v>15132045</v>
      </c>
      <c r="J4327">
        <v>2</v>
      </c>
    </row>
    <row r="4328" spans="1:10" x14ac:dyDescent="0.25">
      <c r="A4328" t="s">
        <v>40</v>
      </c>
      <c r="B4328" s="1" t="str">
        <f>HYPERLINK("http://forthecolorful.info","forthecolorful.info")</f>
        <v>forthecolorful.info</v>
      </c>
      <c r="C4328" t="s">
        <v>458</v>
      </c>
      <c r="J4328">
        <v>2</v>
      </c>
    </row>
    <row r="4329" spans="1:10" x14ac:dyDescent="0.25">
      <c r="A4329" t="s">
        <v>40</v>
      </c>
      <c r="B4329" s="1" t="str">
        <f>HYPERLINK("http://itools.info","itools.info")</f>
        <v>itools.info</v>
      </c>
      <c r="C4329" t="s">
        <v>458</v>
      </c>
      <c r="E4329">
        <v>251134</v>
      </c>
      <c r="F4329">
        <v>7.3043875334448203E-9</v>
      </c>
      <c r="G4329">
        <v>11469092</v>
      </c>
      <c r="H4329">
        <v>12723006</v>
      </c>
      <c r="I4329">
        <v>15238815</v>
      </c>
      <c r="J4329">
        <v>2</v>
      </c>
    </row>
    <row r="4330" spans="1:10" x14ac:dyDescent="0.25">
      <c r="A4330" t="s">
        <v>40</v>
      </c>
      <c r="B4330" s="1" t="str">
        <f>HYPERLINK("http://macosx.info","macosx.info")</f>
        <v>macosx.info</v>
      </c>
      <c r="C4330" t="s">
        <v>458</v>
      </c>
      <c r="F4330">
        <v>4.74667296022878E-9</v>
      </c>
      <c r="G4330">
        <v>38479966</v>
      </c>
      <c r="H4330">
        <v>12740292</v>
      </c>
      <c r="I4330">
        <v>15132057</v>
      </c>
      <c r="J4330">
        <v>2</v>
      </c>
    </row>
    <row r="4331" spans="1:10" x14ac:dyDescent="0.25">
      <c r="A4331" t="s">
        <v>40</v>
      </c>
      <c r="B4331" s="1" t="str">
        <f>HYPERLINK("http://monsterbeatbydrdre.info","monsterbeatbydrdre.info")</f>
        <v>monsterbeatbydrdre.info</v>
      </c>
      <c r="C4331" t="s">
        <v>458</v>
      </c>
      <c r="F4331">
        <v>5.1555153159304598E-9</v>
      </c>
      <c r="G4331">
        <v>25978915</v>
      </c>
      <c r="H4331">
        <v>9530180</v>
      </c>
      <c r="I4331">
        <v>65283177</v>
      </c>
      <c r="J4331">
        <v>2</v>
      </c>
    </row>
    <row r="4332" spans="1:10" x14ac:dyDescent="0.25">
      <c r="A4332" t="s">
        <v>40</v>
      </c>
      <c r="B4332" s="1" t="str">
        <f>HYPERLINK("http://monsterbeats-nl.info","monsterbeats-nl.info")</f>
        <v>monsterbeats-nl.info</v>
      </c>
      <c r="C4332" t="s">
        <v>458</v>
      </c>
      <c r="F4332">
        <v>4.4472617958241002E-9</v>
      </c>
      <c r="G4332">
        <v>73648291</v>
      </c>
      <c r="H4332">
        <v>8693558</v>
      </c>
      <c r="I4332">
        <v>69996412</v>
      </c>
      <c r="J4332">
        <v>2</v>
      </c>
    </row>
    <row r="4333" spans="1:10" x14ac:dyDescent="0.25">
      <c r="A4333" t="s">
        <v>40</v>
      </c>
      <c r="B4333" s="1" t="str">
        <f>HYPERLINK("http://cloudkit.io","cloudkit.io")</f>
        <v>cloudkit.io</v>
      </c>
      <c r="C4333" t="s">
        <v>518</v>
      </c>
      <c r="F4333">
        <v>4.74667296022878E-9</v>
      </c>
      <c r="G4333">
        <v>38479983</v>
      </c>
      <c r="H4333">
        <v>12740292</v>
      </c>
      <c r="I4333">
        <v>15132081</v>
      </c>
      <c r="J4333">
        <v>2</v>
      </c>
    </row>
    <row r="4334" spans="1:10" x14ac:dyDescent="0.25">
      <c r="A4334" t="s">
        <v>40</v>
      </c>
      <c r="B4334" s="1" t="str">
        <f>HYPERLINK("http://sk0.ir","sk0.ir")</f>
        <v>sk0.ir</v>
      </c>
      <c r="C4334" t="s">
        <v>751</v>
      </c>
      <c r="D4334" t="s">
        <v>1010</v>
      </c>
      <c r="F4334">
        <v>4.44380395335525E-9</v>
      </c>
      <c r="G4334">
        <v>85124282</v>
      </c>
      <c r="H4334">
        <v>0</v>
      </c>
      <c r="I4334">
        <v>86313538</v>
      </c>
      <c r="J4334">
        <v>3</v>
      </c>
    </row>
    <row r="4335" spans="1:10" x14ac:dyDescent="0.25">
      <c r="A4335" t="s">
        <v>40</v>
      </c>
      <c r="B4335" s="1" t="str">
        <f>HYPERLINK("http://icloud.is","icloud.is")</f>
        <v>icloud.is</v>
      </c>
      <c r="C4335" t="s">
        <v>594</v>
      </c>
      <c r="D4335" t="s">
        <v>929</v>
      </c>
      <c r="J4335">
        <v>2</v>
      </c>
    </row>
    <row r="4336" spans="1:10" x14ac:dyDescent="0.25">
      <c r="A4336" t="s">
        <v>40</v>
      </c>
      <c r="B4336" s="1" t="str">
        <f>HYPERLINK("http://mobileme.is","mobileme.is")</f>
        <v>mobileme.is</v>
      </c>
      <c r="C4336" t="s">
        <v>594</v>
      </c>
      <c r="D4336" t="s">
        <v>929</v>
      </c>
      <c r="J4336">
        <v>2</v>
      </c>
    </row>
    <row r="4337" spans="1:10" x14ac:dyDescent="0.25">
      <c r="A4337" t="s">
        <v>40</v>
      </c>
      <c r="B4337" s="1" t="str">
        <f>HYPERLINK("http://apple.it","apple.it")</f>
        <v>apple.it</v>
      </c>
      <c r="C4337" t="s">
        <v>459</v>
      </c>
      <c r="D4337" t="s">
        <v>835</v>
      </c>
      <c r="F4337">
        <v>1.01059218425384E-7</v>
      </c>
      <c r="G4337">
        <v>397878</v>
      </c>
      <c r="H4337">
        <v>14627223</v>
      </c>
      <c r="I4337">
        <v>648909</v>
      </c>
      <c r="J4337">
        <v>2</v>
      </c>
    </row>
    <row r="4338" spans="1:10" x14ac:dyDescent="0.25">
      <c r="A4338" t="s">
        <v>40</v>
      </c>
      <c r="B4338" s="1" t="str">
        <f>HYPERLINK("http://medstore.it","medstore.it")</f>
        <v>medstore.it</v>
      </c>
      <c r="C4338" t="s">
        <v>459</v>
      </c>
      <c r="D4338" t="s">
        <v>835</v>
      </c>
      <c r="E4338">
        <v>840291</v>
      </c>
      <c r="F4338">
        <v>1.16581332942664E-7</v>
      </c>
      <c r="G4338">
        <v>341047</v>
      </c>
      <c r="H4338">
        <v>14132931</v>
      </c>
      <c r="I4338">
        <v>1994272</v>
      </c>
      <c r="J4338">
        <v>4</v>
      </c>
    </row>
    <row r="4339" spans="1:10" x14ac:dyDescent="0.25">
      <c r="A4339" t="s">
        <v>40</v>
      </c>
      <c r="B4339" s="1" t="str">
        <f>HYPERLINK("http://apple.com.jm","apple.com.jm")</f>
        <v>apple.com.jm</v>
      </c>
      <c r="C4339" t="s">
        <v>460</v>
      </c>
      <c r="D4339" t="s">
        <v>836</v>
      </c>
      <c r="F4339">
        <v>4.74667296022878E-9</v>
      </c>
      <c r="G4339">
        <v>38479989</v>
      </c>
      <c r="H4339">
        <v>12740292</v>
      </c>
      <c r="I4339">
        <v>15132097</v>
      </c>
      <c r="J4339">
        <v>2</v>
      </c>
    </row>
    <row r="4340" spans="1:10" x14ac:dyDescent="0.25">
      <c r="A4340" t="s">
        <v>40</v>
      </c>
      <c r="B4340" s="1" t="str">
        <f>HYPERLINK("http://applestore.jo","applestore.jo")</f>
        <v>applestore.jo</v>
      </c>
      <c r="C4340" t="s">
        <v>519</v>
      </c>
      <c r="D4340" t="s">
        <v>889</v>
      </c>
      <c r="J4340">
        <v>2</v>
      </c>
    </row>
    <row r="4341" spans="1:10" x14ac:dyDescent="0.25">
      <c r="A4341" t="s">
        <v>40</v>
      </c>
      <c r="B4341" s="1" t="str">
        <f>HYPERLINK("http://apple.jobs","apple.jobs")</f>
        <v>apple.jobs</v>
      </c>
      <c r="C4341" t="s">
        <v>521</v>
      </c>
      <c r="F4341">
        <v>4.5853214918401802E-9</v>
      </c>
      <c r="G4341">
        <v>48811660</v>
      </c>
      <c r="H4341">
        <v>8382015.5</v>
      </c>
      <c r="I4341">
        <v>73484109</v>
      </c>
      <c r="J4341">
        <v>2</v>
      </c>
    </row>
    <row r="4342" spans="1:10" x14ac:dyDescent="0.25">
      <c r="A4342" t="s">
        <v>40</v>
      </c>
      <c r="B4342" s="1" t="str">
        <f>HYPERLINK("http://apple.jp","apple.jp")</f>
        <v>apple.jp</v>
      </c>
      <c r="C4342" t="s">
        <v>461</v>
      </c>
      <c r="D4342" t="s">
        <v>837</v>
      </c>
      <c r="F4342">
        <v>5.4520492526606403E-9</v>
      </c>
      <c r="G4342">
        <v>21457849</v>
      </c>
      <c r="H4342">
        <v>13057851</v>
      </c>
      <c r="I4342">
        <v>12550200</v>
      </c>
      <c r="J4342">
        <v>2</v>
      </c>
    </row>
    <row r="4343" spans="1:10" x14ac:dyDescent="0.25">
      <c r="A4343" t="s">
        <v>40</v>
      </c>
      <c r="B4343" s="1" t="str">
        <f>HYPERLINK("http://apple.co.jp","apple.co.jp")</f>
        <v>apple.co.jp</v>
      </c>
      <c r="C4343" t="s">
        <v>461</v>
      </c>
      <c r="D4343" t="s">
        <v>837</v>
      </c>
      <c r="E4343">
        <v>86131</v>
      </c>
      <c r="F4343">
        <v>3.1756525944712901E-7</v>
      </c>
      <c r="G4343">
        <v>117123</v>
      </c>
      <c r="H4343">
        <v>17008864</v>
      </c>
      <c r="I4343">
        <v>91867</v>
      </c>
      <c r="J4343">
        <v>2</v>
      </c>
    </row>
    <row r="4344" spans="1:10" x14ac:dyDescent="0.25">
      <c r="A4344" t="s">
        <v>40</v>
      </c>
      <c r="B4344" s="1" t="str">
        <f>HYPERLINK("http://applestore.co.jp","applestore.co.jp")</f>
        <v>applestore.co.jp</v>
      </c>
      <c r="C4344" t="s">
        <v>461</v>
      </c>
      <c r="D4344" t="s">
        <v>837</v>
      </c>
      <c r="J4344">
        <v>2</v>
      </c>
    </row>
    <row r="4345" spans="1:10" x14ac:dyDescent="0.25">
      <c r="A4345" t="s">
        <v>40</v>
      </c>
      <c r="B4345" s="1" t="str">
        <f>HYPERLINK("http://claris.co.jp","claris.co.jp")</f>
        <v>claris.co.jp</v>
      </c>
      <c r="C4345" t="s">
        <v>461</v>
      </c>
      <c r="D4345" t="s">
        <v>837</v>
      </c>
      <c r="F4345">
        <v>1.46999769118986E-8</v>
      </c>
      <c r="G4345">
        <v>3941055</v>
      </c>
      <c r="H4345">
        <v>13117764</v>
      </c>
      <c r="I4345">
        <v>12002198</v>
      </c>
      <c r="J4345">
        <v>4</v>
      </c>
    </row>
    <row r="4346" spans="1:10" x14ac:dyDescent="0.25">
      <c r="A4346" t="s">
        <v>40</v>
      </c>
      <c r="B4346" s="1" t="str">
        <f>HYPERLINK("http://ipadair.jp","ipadair.jp")</f>
        <v>ipadair.jp</v>
      </c>
      <c r="C4346" t="s">
        <v>461</v>
      </c>
      <c r="D4346" t="s">
        <v>837</v>
      </c>
      <c r="J4346">
        <v>2</v>
      </c>
    </row>
    <row r="4347" spans="1:10" x14ac:dyDescent="0.25">
      <c r="A4347" t="s">
        <v>40</v>
      </c>
      <c r="B4347" s="1" t="str">
        <f>HYPERLINK("http://macbookair.jp","macbookair.jp")</f>
        <v>macbookair.jp</v>
      </c>
      <c r="C4347" t="s">
        <v>461</v>
      </c>
      <c r="D4347" t="s">
        <v>837</v>
      </c>
      <c r="J4347">
        <v>2</v>
      </c>
    </row>
    <row r="4348" spans="1:10" x14ac:dyDescent="0.25">
      <c r="A4348" t="s">
        <v>40</v>
      </c>
      <c r="B4348" s="1" t="str">
        <f>HYPERLINK("http://apple.kr","apple.kr")</f>
        <v>apple.kr</v>
      </c>
      <c r="C4348" t="s">
        <v>463</v>
      </c>
      <c r="D4348" t="s">
        <v>839</v>
      </c>
      <c r="F4348">
        <v>4.7729910212936502E-9</v>
      </c>
      <c r="G4348">
        <v>37248371</v>
      </c>
      <c r="H4348">
        <v>12740293</v>
      </c>
      <c r="I4348">
        <v>15131034</v>
      </c>
      <c r="J4348">
        <v>2</v>
      </c>
    </row>
    <row r="4349" spans="1:10" x14ac:dyDescent="0.25">
      <c r="A4349" t="s">
        <v>40</v>
      </c>
      <c r="B4349" s="1" t="str">
        <f>HYPERLINK("http://applecomputer.kr","applecomputer.kr")</f>
        <v>applecomputer.kr</v>
      </c>
      <c r="C4349" t="s">
        <v>463</v>
      </c>
      <c r="D4349" t="s">
        <v>839</v>
      </c>
      <c r="J4349">
        <v>2</v>
      </c>
    </row>
    <row r="4350" spans="1:10" x14ac:dyDescent="0.25">
      <c r="A4350" t="s">
        <v>40</v>
      </c>
      <c r="B4350" s="1" t="str">
        <f>HYPERLINK("http://applestore.kr","applestore.kr")</f>
        <v>applestore.kr</v>
      </c>
      <c r="C4350" t="s">
        <v>463</v>
      </c>
      <c r="D4350" t="s">
        <v>839</v>
      </c>
      <c r="J4350">
        <v>2</v>
      </c>
    </row>
    <row r="4351" spans="1:10" x14ac:dyDescent="0.25">
      <c r="A4351" t="s">
        <v>40</v>
      </c>
      <c r="B4351" s="1" t="str">
        <f>HYPERLINK("http://apple.co.kr","apple.co.kr")</f>
        <v>apple.co.kr</v>
      </c>
      <c r="C4351" t="s">
        <v>463</v>
      </c>
      <c r="D4351" t="s">
        <v>839</v>
      </c>
      <c r="F4351">
        <v>8.8475113569898894E-9</v>
      </c>
      <c r="G4351">
        <v>8228452</v>
      </c>
      <c r="H4351">
        <v>14238786</v>
      </c>
      <c r="I4351">
        <v>1521055</v>
      </c>
      <c r="J4351">
        <v>2</v>
      </c>
    </row>
    <row r="4352" spans="1:10" x14ac:dyDescent="0.25">
      <c r="A4352" t="s">
        <v>40</v>
      </c>
      <c r="B4352" s="1" t="str">
        <f>HYPERLINK("http://ipad.co.kr","ipad.co.kr")</f>
        <v>ipad.co.kr</v>
      </c>
      <c r="C4352" t="s">
        <v>463</v>
      </c>
      <c r="D4352" t="s">
        <v>839</v>
      </c>
      <c r="J4352">
        <v>2</v>
      </c>
    </row>
    <row r="4353" spans="1:10" x14ac:dyDescent="0.25">
      <c r="A4353" t="s">
        <v>40</v>
      </c>
      <c r="B4353" s="1" t="str">
        <f>HYPERLINK("http://macbookair.co.kr","macbookair.co.kr")</f>
        <v>macbookair.co.kr</v>
      </c>
      <c r="C4353" t="s">
        <v>463</v>
      </c>
      <c r="D4353" t="s">
        <v>839</v>
      </c>
      <c r="J4353">
        <v>2</v>
      </c>
    </row>
    <row r="4354" spans="1:10" x14ac:dyDescent="0.25">
      <c r="A4354" t="s">
        <v>40</v>
      </c>
      <c r="B4354" s="1" t="str">
        <f>HYPERLINK("http://macbookair.kr","macbookair.kr")</f>
        <v>macbookair.kr</v>
      </c>
      <c r="C4354" t="s">
        <v>463</v>
      </c>
      <c r="D4354" t="s">
        <v>839</v>
      </c>
      <c r="J4354">
        <v>2</v>
      </c>
    </row>
    <row r="4355" spans="1:10" x14ac:dyDescent="0.25">
      <c r="A4355" t="s">
        <v>40</v>
      </c>
      <c r="B4355" s="1" t="str">
        <f>HYPERLINK("http://k8s.li","k8s.li")</f>
        <v>k8s.li</v>
      </c>
      <c r="C4355" t="s">
        <v>545</v>
      </c>
      <c r="D4355" t="s">
        <v>903</v>
      </c>
      <c r="F4355">
        <v>1.35913642630624E-8</v>
      </c>
      <c r="G4355">
        <v>4365372</v>
      </c>
      <c r="H4355">
        <v>13567768</v>
      </c>
      <c r="I4355">
        <v>9741324</v>
      </c>
      <c r="J4355">
        <v>3</v>
      </c>
    </row>
    <row r="4356" spans="1:10" x14ac:dyDescent="0.25">
      <c r="A4356" t="s">
        <v>40</v>
      </c>
      <c r="B4356" s="1" t="str">
        <f>HYPERLINK("http://medstore.link","medstore.link")</f>
        <v>medstore.link</v>
      </c>
      <c r="C4356" t="s">
        <v>546</v>
      </c>
      <c r="F4356">
        <v>6.5798268591807E-9</v>
      </c>
      <c r="G4356">
        <v>13754291</v>
      </c>
      <c r="H4356">
        <v>10543667</v>
      </c>
      <c r="I4356">
        <v>47017242</v>
      </c>
      <c r="J4356">
        <v>5</v>
      </c>
    </row>
    <row r="4357" spans="1:10" x14ac:dyDescent="0.25">
      <c r="A4357" t="s">
        <v>40</v>
      </c>
      <c r="B4357" s="1" t="str">
        <f>HYPERLINK("http://beats1.live","beats1.live")</f>
        <v>beats1.live</v>
      </c>
      <c r="C4357" t="s">
        <v>529</v>
      </c>
      <c r="J4357">
        <v>2</v>
      </c>
    </row>
    <row r="4358" spans="1:10" x14ac:dyDescent="0.25">
      <c r="A4358" t="s">
        <v>40</v>
      </c>
      <c r="B4358" s="1" t="str">
        <f>HYPERLINK("http://apple.lk","apple.lk")</f>
        <v>apple.lk</v>
      </c>
      <c r="C4358" t="s">
        <v>466</v>
      </c>
      <c r="D4358" t="s">
        <v>842</v>
      </c>
      <c r="J4358">
        <v>2</v>
      </c>
    </row>
    <row r="4359" spans="1:10" x14ac:dyDescent="0.25">
      <c r="A4359" t="s">
        <v>40</v>
      </c>
      <c r="B4359" s="1" t="str">
        <f>HYPERLINK("http://apple.com.lk","apple.com.lk")</f>
        <v>apple.com.lk</v>
      </c>
      <c r="C4359" t="s">
        <v>466</v>
      </c>
      <c r="D4359" t="s">
        <v>842</v>
      </c>
      <c r="F4359">
        <v>4.74667296022878E-9</v>
      </c>
      <c r="G4359">
        <v>38479998</v>
      </c>
      <c r="H4359">
        <v>12740292</v>
      </c>
      <c r="I4359">
        <v>15132114</v>
      </c>
      <c r="J4359">
        <v>2</v>
      </c>
    </row>
    <row r="4360" spans="1:10" x14ac:dyDescent="0.25">
      <c r="A4360" t="s">
        <v>40</v>
      </c>
      <c r="B4360" s="1" t="str">
        <f>HYPERLINK("http://ipadmini.com.lk","ipadmini.com.lk")</f>
        <v>ipadmini.com.lk</v>
      </c>
      <c r="C4360" t="s">
        <v>466</v>
      </c>
      <c r="D4360" t="s">
        <v>842</v>
      </c>
      <c r="J4360">
        <v>2</v>
      </c>
    </row>
    <row r="4361" spans="1:10" x14ac:dyDescent="0.25">
      <c r="A4361" t="s">
        <v>40</v>
      </c>
      <c r="B4361" s="1" t="str">
        <f>HYPERLINK("http://ipadmini.lk","ipadmini.lk")</f>
        <v>ipadmini.lk</v>
      </c>
      <c r="C4361" t="s">
        <v>466</v>
      </c>
      <c r="D4361" t="s">
        <v>842</v>
      </c>
      <c r="J4361">
        <v>2</v>
      </c>
    </row>
    <row r="4362" spans="1:10" x14ac:dyDescent="0.25">
      <c r="A4362" t="s">
        <v>40</v>
      </c>
      <c r="B4362" s="1" t="str">
        <f>HYPERLINK("http://apple.london","apple.london")</f>
        <v>apple.london</v>
      </c>
      <c r="C4362" t="s">
        <v>702</v>
      </c>
      <c r="J4362">
        <v>2</v>
      </c>
    </row>
    <row r="4363" spans="1:10" x14ac:dyDescent="0.25">
      <c r="A4363" t="s">
        <v>40</v>
      </c>
      <c r="B4363" s="1" t="str">
        <f>HYPERLINK("http://applestore.london","applestore.london")</f>
        <v>applestore.london</v>
      </c>
      <c r="C4363" t="s">
        <v>702</v>
      </c>
      <c r="J4363">
        <v>2</v>
      </c>
    </row>
    <row r="4364" spans="1:10" x14ac:dyDescent="0.25">
      <c r="A4364" t="s">
        <v>40</v>
      </c>
      <c r="B4364" s="1" t="str">
        <f>HYPERLINK("http://icloud.lv","icloud.lv")</f>
        <v>icloud.lv</v>
      </c>
      <c r="C4364" t="s">
        <v>468</v>
      </c>
      <c r="D4364" t="s">
        <v>844</v>
      </c>
      <c r="J4364">
        <v>2</v>
      </c>
    </row>
    <row r="4365" spans="1:10" x14ac:dyDescent="0.25">
      <c r="A4365" t="s">
        <v>40</v>
      </c>
      <c r="B4365" s="1" t="str">
        <f>HYPERLINK("http://altt.me","altt.me")</f>
        <v>altt.me</v>
      </c>
      <c r="C4365" t="s">
        <v>470</v>
      </c>
      <c r="D4365" t="s">
        <v>846</v>
      </c>
      <c r="E4365">
        <v>480730</v>
      </c>
      <c r="F4365">
        <v>1.4242596177596201E-7</v>
      </c>
      <c r="G4365">
        <v>273336</v>
      </c>
      <c r="H4365">
        <v>16962112</v>
      </c>
      <c r="I4365">
        <v>105080</v>
      </c>
      <c r="J4365">
        <v>3</v>
      </c>
    </row>
    <row r="4366" spans="1:10" x14ac:dyDescent="0.25">
      <c r="A4366" t="s">
        <v>40</v>
      </c>
      <c r="B4366" s="1" t="str">
        <f>HYPERLINK("http://applestore.me","applestore.me")</f>
        <v>applestore.me</v>
      </c>
      <c r="C4366" t="s">
        <v>470</v>
      </c>
      <c r="D4366" t="s">
        <v>846</v>
      </c>
      <c r="J4366">
        <v>2</v>
      </c>
    </row>
    <row r="4367" spans="1:10" x14ac:dyDescent="0.25">
      <c r="A4367" t="s">
        <v>40</v>
      </c>
      <c r="B4367" s="1" t="str">
        <f>HYPERLINK("http://apple.media","apple.media")</f>
        <v>apple.media</v>
      </c>
      <c r="C4367" t="s">
        <v>530</v>
      </c>
      <c r="E4367">
        <v>576846</v>
      </c>
      <c r="F4367">
        <v>5.9754789399903701E-7</v>
      </c>
      <c r="G4367">
        <v>63998</v>
      </c>
      <c r="H4367">
        <v>14413607</v>
      </c>
      <c r="I4367">
        <v>1141877</v>
      </c>
      <c r="J4367">
        <v>2</v>
      </c>
    </row>
    <row r="4368" spans="1:10" x14ac:dyDescent="0.25">
      <c r="A4368" t="s">
        <v>40</v>
      </c>
      <c r="B4368" s="1" t="str">
        <f>HYPERLINK("http://apple.com.mx","apple.com.mx")</f>
        <v>apple.com.mx</v>
      </c>
      <c r="C4368" t="s">
        <v>471</v>
      </c>
      <c r="D4368" t="s">
        <v>847</v>
      </c>
      <c r="F4368">
        <v>9.18667752957303E-9</v>
      </c>
      <c r="G4368">
        <v>7727743</v>
      </c>
      <c r="H4368">
        <v>14075225</v>
      </c>
      <c r="I4368">
        <v>2914884</v>
      </c>
      <c r="J4368">
        <v>2</v>
      </c>
    </row>
    <row r="4369" spans="1:10" x14ac:dyDescent="0.25">
      <c r="A4369" t="s">
        <v>40</v>
      </c>
      <c r="B4369" s="1" t="str">
        <f>HYPERLINK("http://apple.my","apple.my")</f>
        <v>apple.my</v>
      </c>
      <c r="C4369" t="s">
        <v>472</v>
      </c>
      <c r="D4369" t="s">
        <v>848</v>
      </c>
      <c r="F4369">
        <v>4.74667296022878E-9</v>
      </c>
      <c r="G4369">
        <v>38480016</v>
      </c>
      <c r="H4369">
        <v>12740292</v>
      </c>
      <c r="I4369">
        <v>15132159</v>
      </c>
      <c r="J4369">
        <v>2</v>
      </c>
    </row>
    <row r="4370" spans="1:10" x14ac:dyDescent="0.25">
      <c r="A4370" t="s">
        <v>40</v>
      </c>
      <c r="B4370" s="1" t="str">
        <f>HYPERLINK("http://appstore.my","appstore.my")</f>
        <v>appstore.my</v>
      </c>
      <c r="C4370" t="s">
        <v>472</v>
      </c>
      <c r="D4370" t="s">
        <v>848</v>
      </c>
      <c r="J4370">
        <v>2</v>
      </c>
    </row>
    <row r="4371" spans="1:10" x14ac:dyDescent="0.25">
      <c r="A4371" t="s">
        <v>40</v>
      </c>
      <c r="B4371" s="1" t="str">
        <f>HYPERLINK("http://apple.com.my","apple.com.my")</f>
        <v>apple.com.my</v>
      </c>
      <c r="C4371" t="s">
        <v>472</v>
      </c>
      <c r="D4371" t="s">
        <v>848</v>
      </c>
      <c r="F4371">
        <v>8.2874309988045107E-9</v>
      </c>
      <c r="G4371">
        <v>9288329</v>
      </c>
      <c r="H4371">
        <v>12139253</v>
      </c>
      <c r="I4371">
        <v>24896022</v>
      </c>
      <c r="J4371">
        <v>2</v>
      </c>
    </row>
    <row r="4372" spans="1:10" x14ac:dyDescent="0.25">
      <c r="A4372" t="s">
        <v>40</v>
      </c>
      <c r="B4372" s="1" t="str">
        <f>HYPERLINK("http://applemalaysia.com.my","applemalaysia.com.my")</f>
        <v>applemalaysia.com.my</v>
      </c>
      <c r="C4372" t="s">
        <v>472</v>
      </c>
      <c r="D4372" t="s">
        <v>848</v>
      </c>
      <c r="F4372">
        <v>4.92675813809139E-9</v>
      </c>
      <c r="G4372">
        <v>31477148</v>
      </c>
      <c r="H4372">
        <v>13764471</v>
      </c>
      <c r="I4372">
        <v>7257485</v>
      </c>
      <c r="J4372">
        <v>2</v>
      </c>
    </row>
    <row r="4373" spans="1:10" x14ac:dyDescent="0.25">
      <c r="A4373" t="s">
        <v>40</v>
      </c>
      <c r="B4373" s="1" t="str">
        <f>HYPERLINK("http://applestore.com.my","applestore.com.my")</f>
        <v>applestore.com.my</v>
      </c>
      <c r="C4373" t="s">
        <v>472</v>
      </c>
      <c r="D4373" t="s">
        <v>848</v>
      </c>
      <c r="J4373">
        <v>2</v>
      </c>
    </row>
    <row r="4374" spans="1:10" x14ac:dyDescent="0.25">
      <c r="A4374" t="s">
        <v>40</v>
      </c>
      <c r="B4374" s="1" t="str">
        <f>HYPERLINK("http://switch.com.my","switch.com.my")</f>
        <v>switch.com.my</v>
      </c>
      <c r="C4374" t="s">
        <v>472</v>
      </c>
      <c r="D4374" t="s">
        <v>848</v>
      </c>
      <c r="E4374">
        <v>501262</v>
      </c>
      <c r="F4374">
        <v>2.0703102551116299E-8</v>
      </c>
      <c r="G4374">
        <v>2556363</v>
      </c>
      <c r="H4374">
        <v>13221257</v>
      </c>
      <c r="I4374">
        <v>11328395</v>
      </c>
      <c r="J4374">
        <v>4</v>
      </c>
    </row>
    <row r="4375" spans="1:10" x14ac:dyDescent="0.25">
      <c r="A4375" t="s">
        <v>40</v>
      </c>
      <c r="B4375" s="1" t="str">
        <f>HYPERLINK("http://apple-darwin.net","apple-darwin.net")</f>
        <v>apple-darwin.net</v>
      </c>
      <c r="C4375" t="s">
        <v>474</v>
      </c>
      <c r="F4375">
        <v>4.74667296022878E-9</v>
      </c>
      <c r="G4375">
        <v>38480019</v>
      </c>
      <c r="H4375">
        <v>12740292</v>
      </c>
      <c r="I4375">
        <v>15132172</v>
      </c>
      <c r="J4375">
        <v>2</v>
      </c>
    </row>
    <row r="4376" spans="1:10" x14ac:dyDescent="0.25">
      <c r="A4376" t="s">
        <v>40</v>
      </c>
      <c r="B4376" s="1" t="str">
        <f>HYPERLINK("http://apple-inc.net","apple-inc.net")</f>
        <v>apple-inc.net</v>
      </c>
      <c r="C4376" t="s">
        <v>474</v>
      </c>
      <c r="F4376">
        <v>4.74667296022878E-9</v>
      </c>
      <c r="G4376">
        <v>38480020</v>
      </c>
      <c r="H4376">
        <v>12740292</v>
      </c>
      <c r="I4376">
        <v>15132174</v>
      </c>
      <c r="J4376">
        <v>2</v>
      </c>
    </row>
    <row r="4377" spans="1:10" x14ac:dyDescent="0.25">
      <c r="A4377" t="s">
        <v>40</v>
      </c>
      <c r="B4377" s="1" t="str">
        <f>HYPERLINK("http://apple-store.net","apple-store.net")</f>
        <v>apple-store.net</v>
      </c>
      <c r="C4377" t="s">
        <v>474</v>
      </c>
      <c r="F4377">
        <v>5.5300489345442399E-9</v>
      </c>
      <c r="G4377">
        <v>20583759</v>
      </c>
      <c r="H4377">
        <v>13311330</v>
      </c>
      <c r="I4377">
        <v>10773420</v>
      </c>
      <c r="J4377">
        <v>2</v>
      </c>
    </row>
    <row r="4378" spans="1:10" x14ac:dyDescent="0.25">
      <c r="A4378" t="s">
        <v>40</v>
      </c>
      <c r="B4378" s="1" t="str">
        <f>HYPERLINK("http://appledarwin.net","appledarwin.net")</f>
        <v>appledarwin.net</v>
      </c>
      <c r="C4378" t="s">
        <v>474</v>
      </c>
      <c r="F4378">
        <v>4.74667296022878E-9</v>
      </c>
      <c r="G4378">
        <v>38480021</v>
      </c>
      <c r="H4378">
        <v>12740292</v>
      </c>
      <c r="I4378">
        <v>15132183</v>
      </c>
      <c r="J4378">
        <v>2</v>
      </c>
    </row>
    <row r="4379" spans="1:10" x14ac:dyDescent="0.25">
      <c r="A4379" t="s">
        <v>40</v>
      </c>
      <c r="B4379" s="1" t="str">
        <f>HYPERLINK("http://applefinalcutproworld.net","applefinalcutproworld.net")</f>
        <v>applefinalcutproworld.net</v>
      </c>
      <c r="C4379" t="s">
        <v>474</v>
      </c>
      <c r="F4379">
        <v>4.74667296022878E-9</v>
      </c>
      <c r="G4379">
        <v>38480022</v>
      </c>
      <c r="H4379">
        <v>12740292</v>
      </c>
      <c r="I4379">
        <v>15132184</v>
      </c>
      <c r="J4379">
        <v>2</v>
      </c>
    </row>
    <row r="4380" spans="1:10" x14ac:dyDescent="0.25">
      <c r="A4380" t="s">
        <v>40</v>
      </c>
      <c r="B4380" s="1" t="str">
        <f>HYPERLINK("http://applereach.net","applereach.net")</f>
        <v>applereach.net</v>
      </c>
      <c r="C4380" t="s">
        <v>474</v>
      </c>
      <c r="F4380">
        <v>4.74667296022878E-9</v>
      </c>
      <c r="G4380">
        <v>38480023</v>
      </c>
      <c r="H4380">
        <v>12740292</v>
      </c>
      <c r="I4380">
        <v>15132194</v>
      </c>
      <c r="J4380">
        <v>2</v>
      </c>
    </row>
    <row r="4381" spans="1:10" x14ac:dyDescent="0.25">
      <c r="A4381" t="s">
        <v>40</v>
      </c>
      <c r="B4381" s="1" t="str">
        <f>HYPERLINK("http://applestore.net","applestore.net")</f>
        <v>applestore.net</v>
      </c>
      <c r="C4381" t="s">
        <v>474</v>
      </c>
      <c r="F4381">
        <v>4.74667296022878E-9</v>
      </c>
      <c r="G4381">
        <v>38480024</v>
      </c>
      <c r="H4381">
        <v>12740292</v>
      </c>
      <c r="I4381">
        <v>15132195</v>
      </c>
      <c r="J4381">
        <v>2</v>
      </c>
    </row>
    <row r="4382" spans="1:10" x14ac:dyDescent="0.25">
      <c r="A4382" t="s">
        <v>40</v>
      </c>
      <c r="B4382" s="1" t="str">
        <f>HYPERLINK("http://appleweb.net","appleweb.net")</f>
        <v>appleweb.net</v>
      </c>
      <c r="C4382" t="s">
        <v>474</v>
      </c>
      <c r="F4382">
        <v>4.74667296022878E-9</v>
      </c>
      <c r="G4382">
        <v>38480025</v>
      </c>
      <c r="H4382">
        <v>12740292</v>
      </c>
      <c r="I4382">
        <v>15132198</v>
      </c>
      <c r="J4382">
        <v>2</v>
      </c>
    </row>
    <row r="4383" spans="1:10" x14ac:dyDescent="0.25">
      <c r="A4383" t="s">
        <v>40</v>
      </c>
      <c r="B4383" s="1" t="str">
        <f>HYPERLINK("http://applexpo.net","applexpo.net")</f>
        <v>applexpo.net</v>
      </c>
      <c r="C4383" t="s">
        <v>474</v>
      </c>
      <c r="F4383">
        <v>4.74667296022878E-9</v>
      </c>
      <c r="G4383">
        <v>38480026</v>
      </c>
      <c r="H4383">
        <v>12740292</v>
      </c>
      <c r="I4383">
        <v>15132199</v>
      </c>
      <c r="J4383">
        <v>2</v>
      </c>
    </row>
    <row r="4384" spans="1:10" x14ac:dyDescent="0.25">
      <c r="A4384" t="s">
        <v>40</v>
      </c>
      <c r="B4384" s="1" t="str">
        <f>HYPERLINK("http://burstly.net","burstly.net")</f>
        <v>burstly.net</v>
      </c>
      <c r="C4384" t="s">
        <v>474</v>
      </c>
      <c r="F4384">
        <v>4.74667296022878E-9</v>
      </c>
      <c r="G4384">
        <v>38480027</v>
      </c>
      <c r="H4384">
        <v>12740293</v>
      </c>
      <c r="I4384">
        <v>15131055</v>
      </c>
      <c r="J4384">
        <v>2</v>
      </c>
    </row>
    <row r="4385" spans="1:10" x14ac:dyDescent="0.25">
      <c r="A4385" t="s">
        <v>40</v>
      </c>
      <c r="B4385" s="1" t="str">
        <f>HYPERLINK("http://buy-different.net","buy-different.net")</f>
        <v>buy-different.net</v>
      </c>
      <c r="C4385" t="s">
        <v>474</v>
      </c>
      <c r="F4385">
        <v>4.74667296022878E-9</v>
      </c>
      <c r="G4385">
        <v>38480028</v>
      </c>
      <c r="H4385">
        <v>12740292</v>
      </c>
      <c r="I4385">
        <v>15132214</v>
      </c>
      <c r="J4385">
        <v>2</v>
      </c>
    </row>
    <row r="4386" spans="1:10" x14ac:dyDescent="0.25">
      <c r="A4386" t="s">
        <v>40</v>
      </c>
      <c r="B4386" s="1" t="str">
        <f>HYPERLINK("http://desktopmovie.net","desktopmovie.net")</f>
        <v>desktopmovie.net</v>
      </c>
      <c r="C4386" t="s">
        <v>474</v>
      </c>
      <c r="F4386">
        <v>4.74667296022878E-9</v>
      </c>
      <c r="G4386">
        <v>38480033</v>
      </c>
      <c r="H4386">
        <v>12740292</v>
      </c>
      <c r="I4386">
        <v>15132225</v>
      </c>
      <c r="J4386">
        <v>2</v>
      </c>
    </row>
    <row r="4387" spans="1:10" x14ac:dyDescent="0.25">
      <c r="A4387" t="s">
        <v>40</v>
      </c>
      <c r="B4387" s="1" t="str">
        <f>HYPERLINK("http://desktopmovies.net","desktopmovies.net")</f>
        <v>desktopmovies.net</v>
      </c>
      <c r="C4387" t="s">
        <v>474</v>
      </c>
      <c r="F4387">
        <v>4.74667296022878E-9</v>
      </c>
      <c r="G4387">
        <v>38480034</v>
      </c>
      <c r="H4387">
        <v>12740292</v>
      </c>
      <c r="I4387">
        <v>15132226</v>
      </c>
      <c r="J4387">
        <v>2</v>
      </c>
    </row>
    <row r="4388" spans="1:10" x14ac:dyDescent="0.25">
      <c r="A4388" t="s">
        <v>40</v>
      </c>
      <c r="B4388" s="1" t="str">
        <f>HYPERLINK("http://dvdstudiopro.net","dvdstudiopro.net")</f>
        <v>dvdstudiopro.net</v>
      </c>
      <c r="C4388" t="s">
        <v>474</v>
      </c>
      <c r="F4388">
        <v>4.74667296022878E-9</v>
      </c>
      <c r="G4388">
        <v>38480035</v>
      </c>
      <c r="H4388">
        <v>12740292</v>
      </c>
      <c r="I4388">
        <v>15132229</v>
      </c>
      <c r="J4388">
        <v>2</v>
      </c>
    </row>
    <row r="4389" spans="1:10" x14ac:dyDescent="0.25">
      <c r="A4389" t="s">
        <v>40</v>
      </c>
      <c r="B4389" s="1" t="str">
        <f>HYPERLINK("http://earpod.net","earpod.net")</f>
        <v>earpod.net</v>
      </c>
      <c r="C4389" t="s">
        <v>474</v>
      </c>
      <c r="F4389">
        <v>4.74667296022878E-9</v>
      </c>
      <c r="G4389">
        <v>38480036</v>
      </c>
      <c r="H4389">
        <v>12740292</v>
      </c>
      <c r="I4389">
        <v>15132230</v>
      </c>
      <c r="J4389">
        <v>2</v>
      </c>
    </row>
    <row r="4390" spans="1:10" x14ac:dyDescent="0.25">
      <c r="A4390" t="s">
        <v>40</v>
      </c>
      <c r="B4390" s="1" t="str">
        <f>HYPERLINK("http://facetime.net","facetime.net")</f>
        <v>facetime.net</v>
      </c>
      <c r="C4390" t="s">
        <v>474</v>
      </c>
      <c r="F4390">
        <v>5.0171953647151698E-9</v>
      </c>
      <c r="G4390">
        <v>28967665</v>
      </c>
      <c r="H4390">
        <v>12756590</v>
      </c>
      <c r="I4390">
        <v>14980321</v>
      </c>
      <c r="J4390">
        <v>2</v>
      </c>
    </row>
    <row r="4391" spans="1:10" x14ac:dyDescent="0.25">
      <c r="A4391" t="s">
        <v>40</v>
      </c>
      <c r="B4391" s="1" t="str">
        <f>HYPERLINK("http://forthecolorful.net","forthecolorful.net")</f>
        <v>forthecolorful.net</v>
      </c>
      <c r="C4391" t="s">
        <v>474</v>
      </c>
      <c r="F4391">
        <v>4.74667296022878E-9</v>
      </c>
      <c r="G4391">
        <v>38480038</v>
      </c>
      <c r="H4391">
        <v>12740292</v>
      </c>
      <c r="I4391">
        <v>15132241</v>
      </c>
      <c r="J4391">
        <v>2</v>
      </c>
    </row>
    <row r="4392" spans="1:10" x14ac:dyDescent="0.25">
      <c r="A4392" t="s">
        <v>40</v>
      </c>
      <c r="B4392" s="1" t="str">
        <f>HYPERLINK("http://hard-pro.net","hard-pro.net")</f>
        <v>hard-pro.net</v>
      </c>
      <c r="C4392" t="s">
        <v>474</v>
      </c>
      <c r="J4392">
        <v>4</v>
      </c>
    </row>
    <row r="4393" spans="1:10" x14ac:dyDescent="0.25">
      <c r="A4393" t="s">
        <v>40</v>
      </c>
      <c r="B4393" s="1" t="str">
        <f>HYPERLINK("http://icloude.net","icloude.net")</f>
        <v>icloude.net</v>
      </c>
      <c r="C4393" t="s">
        <v>474</v>
      </c>
      <c r="F4393">
        <v>4.74667296022878E-9</v>
      </c>
      <c r="G4393">
        <v>38480039</v>
      </c>
      <c r="H4393">
        <v>12740292</v>
      </c>
      <c r="I4393">
        <v>15132262</v>
      </c>
      <c r="J4393">
        <v>2</v>
      </c>
    </row>
    <row r="4394" spans="1:10" x14ac:dyDescent="0.25">
      <c r="A4394" t="s">
        <v>40</v>
      </c>
      <c r="B4394" s="1" t="str">
        <f>HYPERLINK("http://ipa-iphone.net","ipa-iphone.net")</f>
        <v>ipa-iphone.net</v>
      </c>
      <c r="C4394" t="s">
        <v>474</v>
      </c>
      <c r="F4394">
        <v>4.7583037554605604E-9</v>
      </c>
      <c r="G4394">
        <v>37952645</v>
      </c>
      <c r="H4394">
        <v>12742193</v>
      </c>
      <c r="I4394">
        <v>15118044</v>
      </c>
      <c r="J4394">
        <v>2</v>
      </c>
    </row>
    <row r="4395" spans="1:10" x14ac:dyDescent="0.25">
      <c r="A4395" t="s">
        <v>40</v>
      </c>
      <c r="B4395" s="1" t="str">
        <f>HYPERLINK("http://mach-os.net","mach-os.net")</f>
        <v>mach-os.net</v>
      </c>
      <c r="C4395" t="s">
        <v>474</v>
      </c>
      <c r="F4395">
        <v>4.74667296022878E-9</v>
      </c>
      <c r="G4395">
        <v>38480048</v>
      </c>
      <c r="H4395">
        <v>12740292</v>
      </c>
      <c r="I4395">
        <v>15132331</v>
      </c>
      <c r="J4395">
        <v>2</v>
      </c>
    </row>
    <row r="4396" spans="1:10" x14ac:dyDescent="0.25">
      <c r="A4396" t="s">
        <v>40</v>
      </c>
      <c r="B4396" s="1" t="str">
        <f>HYPERLINK("http://machos.net","machos.net")</f>
        <v>machos.net</v>
      </c>
      <c r="C4396" t="s">
        <v>474</v>
      </c>
      <c r="F4396">
        <v>4.74667296022878E-9</v>
      </c>
      <c r="G4396">
        <v>38480049</v>
      </c>
      <c r="H4396">
        <v>12740292</v>
      </c>
      <c r="I4396">
        <v>15132332</v>
      </c>
      <c r="J4396">
        <v>2</v>
      </c>
    </row>
    <row r="4397" spans="1:10" x14ac:dyDescent="0.25">
      <c r="A4397" t="s">
        <v>40</v>
      </c>
      <c r="B4397" s="1" t="str">
        <f>HYPERLINK("http://macreach.net","macreach.net")</f>
        <v>macreach.net</v>
      </c>
      <c r="C4397" t="s">
        <v>474</v>
      </c>
      <c r="F4397">
        <v>4.74667296022878E-9</v>
      </c>
      <c r="G4397">
        <v>38480050</v>
      </c>
      <c r="H4397">
        <v>12740292</v>
      </c>
      <c r="I4397">
        <v>15132333</v>
      </c>
      <c r="J4397">
        <v>2</v>
      </c>
    </row>
    <row r="4398" spans="1:10" x14ac:dyDescent="0.25">
      <c r="A4398" t="s">
        <v>40</v>
      </c>
      <c r="B4398" s="1" t="str">
        <f>HYPERLINK("http://monsterbeats-solo.net","monsterbeats-solo.net")</f>
        <v>monsterbeats-solo.net</v>
      </c>
      <c r="C4398" t="s">
        <v>474</v>
      </c>
      <c r="J4398">
        <v>2</v>
      </c>
    </row>
    <row r="4399" spans="1:10" x14ac:dyDescent="0.25">
      <c r="A4399" t="s">
        <v>40</v>
      </c>
      <c r="B4399" s="1" t="str">
        <f>HYPERLINK("http://monsterbeatsbydrdre-cheap.net","monsterbeatsbydrdre-cheap.net")</f>
        <v>monsterbeatsbydrdre-cheap.net</v>
      </c>
      <c r="C4399" t="s">
        <v>474</v>
      </c>
      <c r="J4399">
        <v>2</v>
      </c>
    </row>
    <row r="4400" spans="1:10" x14ac:dyDescent="0.25">
      <c r="A4400" t="s">
        <v>40</v>
      </c>
      <c r="B4400" s="1" t="str">
        <f>HYPERLINK("http://monsterbeatsbydrdresale.net","monsterbeatsbydrdresale.net")</f>
        <v>monsterbeatsbydrdresale.net</v>
      </c>
      <c r="C4400" t="s">
        <v>474</v>
      </c>
      <c r="J4400">
        <v>2</v>
      </c>
    </row>
    <row r="4401" spans="1:10" x14ac:dyDescent="0.25">
      <c r="A4401" t="s">
        <v>40</v>
      </c>
      <c r="B4401" s="1" t="str">
        <f>HYPERLINK("http://runtopia.net","runtopia.net")</f>
        <v>runtopia.net</v>
      </c>
      <c r="C4401" t="s">
        <v>474</v>
      </c>
      <c r="F4401">
        <v>3.8001507932019101E-8</v>
      </c>
      <c r="G4401">
        <v>1361831</v>
      </c>
      <c r="H4401">
        <v>14156435</v>
      </c>
      <c r="I4401">
        <v>1853627</v>
      </c>
      <c r="J4401">
        <v>3</v>
      </c>
    </row>
    <row r="4402" spans="1:10" x14ac:dyDescent="0.25">
      <c r="A4402" t="s">
        <v>40</v>
      </c>
      <c r="B4402" s="1" t="str">
        <f>HYPERLINK("http://apple.news","apple.news")</f>
        <v>apple.news</v>
      </c>
      <c r="C4402" t="s">
        <v>573</v>
      </c>
      <c r="E4402">
        <v>969</v>
      </c>
      <c r="F4402">
        <v>2.86488786570133E-6</v>
      </c>
      <c r="G4402">
        <v>13457</v>
      </c>
      <c r="H4402">
        <v>17999028</v>
      </c>
      <c r="I4402">
        <v>3696</v>
      </c>
      <c r="J4402">
        <v>2</v>
      </c>
    </row>
    <row r="4403" spans="1:10" x14ac:dyDescent="0.25">
      <c r="A4403" t="s">
        <v>40</v>
      </c>
      <c r="B4403" s="1" t="str">
        <f>HYPERLINK("http://apple.nl","apple.nl")</f>
        <v>apple.nl</v>
      </c>
      <c r="C4403" t="s">
        <v>477</v>
      </c>
      <c r="D4403" t="s">
        <v>852</v>
      </c>
      <c r="F4403">
        <v>9.3122952092914502E-8</v>
      </c>
      <c r="G4403">
        <v>436672</v>
      </c>
      <c r="H4403">
        <v>14287088</v>
      </c>
      <c r="I4403">
        <v>1370072</v>
      </c>
      <c r="J4403">
        <v>2</v>
      </c>
    </row>
    <row r="4404" spans="1:10" x14ac:dyDescent="0.25">
      <c r="A4404" t="s">
        <v>40</v>
      </c>
      <c r="B4404" s="1" t="str">
        <f>HYPERLINK("http://digipas.nl","digipas.nl")</f>
        <v>digipas.nl</v>
      </c>
      <c r="C4404" t="s">
        <v>477</v>
      </c>
      <c r="D4404" t="s">
        <v>852</v>
      </c>
      <c r="F4404">
        <v>4.6649282094223798E-9</v>
      </c>
      <c r="G4404">
        <v>43236095</v>
      </c>
      <c r="H4404">
        <v>12133419</v>
      </c>
      <c r="I4404">
        <v>25041564</v>
      </c>
      <c r="J4404">
        <v>4</v>
      </c>
    </row>
    <row r="4405" spans="1:10" x14ac:dyDescent="0.25">
      <c r="A4405" t="s">
        <v>40</v>
      </c>
      <c r="B4405" s="1" t="str">
        <f>HYPERLINK("http://imac.nl","imac.nl")</f>
        <v>imac.nl</v>
      </c>
      <c r="C4405" t="s">
        <v>477</v>
      </c>
      <c r="D4405" t="s">
        <v>852</v>
      </c>
      <c r="F4405">
        <v>4.44380395335525E-9</v>
      </c>
      <c r="G4405">
        <v>85681603</v>
      </c>
      <c r="H4405">
        <v>0</v>
      </c>
      <c r="I4405">
        <v>86997445</v>
      </c>
      <c r="J4405">
        <v>2</v>
      </c>
    </row>
    <row r="4406" spans="1:10" x14ac:dyDescent="0.25">
      <c r="A4406" t="s">
        <v>40</v>
      </c>
      <c r="B4406" s="1" t="str">
        <f>HYPERLINK("http://imacshop.nl","imacshop.nl")</f>
        <v>imacshop.nl</v>
      </c>
      <c r="C4406" t="s">
        <v>477</v>
      </c>
      <c r="D4406" t="s">
        <v>852</v>
      </c>
      <c r="J4406">
        <v>2</v>
      </c>
    </row>
    <row r="4407" spans="1:10" x14ac:dyDescent="0.25">
      <c r="A4407" t="s">
        <v>40</v>
      </c>
      <c r="B4407" s="1" t="str">
        <f>HYPERLINK("http://iphonecentre.nl","iphonecentre.nl")</f>
        <v>iphonecentre.nl</v>
      </c>
      <c r="C4407" t="s">
        <v>477</v>
      </c>
      <c r="D4407" t="s">
        <v>852</v>
      </c>
      <c r="F4407">
        <v>4.6553035451959601E-9</v>
      </c>
      <c r="G4407">
        <v>43788617</v>
      </c>
      <c r="H4407">
        <v>12880429</v>
      </c>
      <c r="I4407">
        <v>13998501</v>
      </c>
      <c r="J4407">
        <v>2</v>
      </c>
    </row>
    <row r="4408" spans="1:10" x14ac:dyDescent="0.25">
      <c r="A4408" t="s">
        <v>40</v>
      </c>
      <c r="B4408" s="1" t="str">
        <f>HYPERLINK("http://applestore.nyc","applestore.nyc")</f>
        <v>applestore.nyc</v>
      </c>
      <c r="C4408" t="s">
        <v>703</v>
      </c>
      <c r="J4408">
        <v>2</v>
      </c>
    </row>
    <row r="4409" spans="1:10" x14ac:dyDescent="0.25">
      <c r="A4409" t="s">
        <v>40</v>
      </c>
      <c r="B4409" s="1" t="str">
        <f>HYPERLINK("http://apple.co.nz","apple.co.nz")</f>
        <v>apple.co.nz</v>
      </c>
      <c r="C4409" t="s">
        <v>479</v>
      </c>
      <c r="D4409" t="s">
        <v>854</v>
      </c>
      <c r="F4409">
        <v>1.98549186427984E-8</v>
      </c>
      <c r="G4409">
        <v>2683132</v>
      </c>
      <c r="H4409">
        <v>14259400</v>
      </c>
      <c r="I4409">
        <v>1422052</v>
      </c>
      <c r="J4409">
        <v>2</v>
      </c>
    </row>
    <row r="4410" spans="1:10" x14ac:dyDescent="0.25">
      <c r="A4410" t="s">
        <v>40</v>
      </c>
      <c r="B4410" s="1" t="str">
        <f>HYPERLINK("http://applecomputer.co.nz","applecomputer.co.nz")</f>
        <v>applecomputer.co.nz</v>
      </c>
      <c r="C4410" t="s">
        <v>479</v>
      </c>
      <c r="D4410" t="s">
        <v>854</v>
      </c>
      <c r="J4410">
        <v>2</v>
      </c>
    </row>
    <row r="4411" spans="1:10" x14ac:dyDescent="0.25">
      <c r="A4411" t="s">
        <v>40</v>
      </c>
      <c r="B4411" s="1" t="str">
        <f>HYPERLINK("http://applecomputers.co.nz","applecomputers.co.nz")</f>
        <v>applecomputers.co.nz</v>
      </c>
      <c r="C4411" t="s">
        <v>479</v>
      </c>
      <c r="D4411" t="s">
        <v>854</v>
      </c>
      <c r="F4411">
        <v>4.4517436368422002E-9</v>
      </c>
      <c r="G4411">
        <v>70967934</v>
      </c>
      <c r="H4411">
        <v>10411717</v>
      </c>
      <c r="I4411">
        <v>54032072</v>
      </c>
      <c r="J4411">
        <v>2</v>
      </c>
    </row>
    <row r="4412" spans="1:10" x14ac:dyDescent="0.25">
      <c r="A4412" t="s">
        <v>40</v>
      </c>
      <c r="B4412" s="1" t="str">
        <f>HYPERLINK("http://ibook.co.nz","ibook.co.nz")</f>
        <v>ibook.co.nz</v>
      </c>
      <c r="C4412" t="s">
        <v>479</v>
      </c>
      <c r="D4412" t="s">
        <v>854</v>
      </c>
      <c r="J4412">
        <v>2</v>
      </c>
    </row>
    <row r="4413" spans="1:10" x14ac:dyDescent="0.25">
      <c r="A4413" t="s">
        <v>40</v>
      </c>
      <c r="B4413" s="1" t="str">
        <f>HYPERLINK("http://ilecture.co.nz","ilecture.co.nz")</f>
        <v>ilecture.co.nz</v>
      </c>
      <c r="C4413" t="s">
        <v>479</v>
      </c>
      <c r="D4413" t="s">
        <v>854</v>
      </c>
      <c r="J4413">
        <v>2</v>
      </c>
    </row>
    <row r="4414" spans="1:10" x14ac:dyDescent="0.25">
      <c r="A4414" t="s">
        <v>40</v>
      </c>
      <c r="B4414" s="1" t="str">
        <f>HYPERLINK("http://imac.co.nz","imac.co.nz")</f>
        <v>imac.co.nz</v>
      </c>
      <c r="C4414" t="s">
        <v>479</v>
      </c>
      <c r="D4414" t="s">
        <v>854</v>
      </c>
      <c r="F4414">
        <v>4.5691329519276803E-9</v>
      </c>
      <c r="G4414">
        <v>50271493</v>
      </c>
      <c r="H4414">
        <v>10857288</v>
      </c>
      <c r="I4414">
        <v>36714072</v>
      </c>
      <c r="J4414">
        <v>2</v>
      </c>
    </row>
    <row r="4415" spans="1:10" x14ac:dyDescent="0.25">
      <c r="A4415" t="s">
        <v>40</v>
      </c>
      <c r="B4415" s="1" t="str">
        <f>HYPERLINK("http://ipod.co.nz","ipod.co.nz")</f>
        <v>ipod.co.nz</v>
      </c>
      <c r="C4415" t="s">
        <v>479</v>
      </c>
      <c r="D4415" t="s">
        <v>854</v>
      </c>
      <c r="J4415">
        <v>2</v>
      </c>
    </row>
    <row r="4416" spans="1:10" x14ac:dyDescent="0.25">
      <c r="A4416" t="s">
        <v>40</v>
      </c>
      <c r="B4416" s="1" t="str">
        <f>HYPERLINK("http://icloud.om","icloud.om")</f>
        <v>icloud.om</v>
      </c>
      <c r="C4416" t="s">
        <v>480</v>
      </c>
      <c r="D4416" t="s">
        <v>855</v>
      </c>
      <c r="F4416">
        <v>4.6778530944986303E-9</v>
      </c>
      <c r="G4416">
        <v>42493917</v>
      </c>
      <c r="H4416">
        <v>10358741</v>
      </c>
      <c r="I4416">
        <v>55300304</v>
      </c>
      <c r="J4416">
        <v>2</v>
      </c>
    </row>
    <row r="4417" spans="1:10" x14ac:dyDescent="0.25">
      <c r="A4417" t="s">
        <v>40</v>
      </c>
      <c r="B4417" s="1" t="str">
        <f>HYPERLINK("http://imac.one","imac.one")</f>
        <v>imac.one</v>
      </c>
      <c r="C4417" t="s">
        <v>704</v>
      </c>
      <c r="J4417">
        <v>2</v>
      </c>
    </row>
    <row r="4418" spans="1:10" x14ac:dyDescent="0.25">
      <c r="A4418" t="s">
        <v>40</v>
      </c>
      <c r="B4418" s="1" t="str">
        <f>HYPERLINK("http://mac.one","mac.one")</f>
        <v>mac.one</v>
      </c>
      <c r="C4418" t="s">
        <v>704</v>
      </c>
      <c r="J4418">
        <v>2</v>
      </c>
    </row>
    <row r="4419" spans="1:10" x14ac:dyDescent="0.25">
      <c r="A4419" t="s">
        <v>40</v>
      </c>
      <c r="B4419" s="1" t="str">
        <f>HYPERLINK("http://applestore.online","applestore.online")</f>
        <v>applestore.online</v>
      </c>
      <c r="C4419" t="s">
        <v>563</v>
      </c>
      <c r="J4419">
        <v>2</v>
      </c>
    </row>
    <row r="4420" spans="1:10" x14ac:dyDescent="0.25">
      <c r="A4420" t="s">
        <v>40</v>
      </c>
      <c r="B4420" s="1" t="str">
        <f>HYPERLINK("http://appstore.online","appstore.online")</f>
        <v>appstore.online</v>
      </c>
      <c r="C4420" t="s">
        <v>563</v>
      </c>
      <c r="J4420">
        <v>2</v>
      </c>
    </row>
    <row r="4421" spans="1:10" x14ac:dyDescent="0.25">
      <c r="A4421" t="s">
        <v>40</v>
      </c>
      <c r="B4421" s="1" t="str">
        <f>HYPERLINK("http://icloud.online","icloud.online")</f>
        <v>icloud.online</v>
      </c>
      <c r="C4421" t="s">
        <v>563</v>
      </c>
      <c r="J4421">
        <v>2</v>
      </c>
    </row>
    <row r="4422" spans="1:10" x14ac:dyDescent="0.25">
      <c r="A4422" t="s">
        <v>40</v>
      </c>
      <c r="B4422" s="1" t="str">
        <f>HYPERLINK("http://proxyplus.online","proxyplus.online")</f>
        <v>proxyplus.online</v>
      </c>
      <c r="C4422" t="s">
        <v>563</v>
      </c>
      <c r="J4422">
        <v>4</v>
      </c>
    </row>
    <row r="4423" spans="1:10" x14ac:dyDescent="0.25">
      <c r="A4423" t="s">
        <v>40</v>
      </c>
      <c r="B4423" s="1" t="str">
        <f>HYPERLINK("http://apple-darwin.org","apple-darwin.org")</f>
        <v>apple-darwin.org</v>
      </c>
      <c r="C4423" t="s">
        <v>481</v>
      </c>
      <c r="J4423">
        <v>2</v>
      </c>
    </row>
    <row r="4424" spans="1:10" x14ac:dyDescent="0.25">
      <c r="A4424" t="s">
        <v>40</v>
      </c>
      <c r="B4424" s="1" t="str">
        <f>HYPERLINK("http://appledarwin.org","appledarwin.org")</f>
        <v>appledarwin.org</v>
      </c>
      <c r="C4424" t="s">
        <v>481</v>
      </c>
      <c r="J4424">
        <v>2</v>
      </c>
    </row>
    <row r="4425" spans="1:10" x14ac:dyDescent="0.25">
      <c r="A4425" t="s">
        <v>40</v>
      </c>
      <c r="B4425" s="1" t="str">
        <f>HYPERLINK("http://applefinalcutproworld.org","applefinalcutproworld.org")</f>
        <v>applefinalcutproworld.org</v>
      </c>
      <c r="C4425" t="s">
        <v>481</v>
      </c>
      <c r="F4425">
        <v>4.74667296022878E-9</v>
      </c>
      <c r="G4425">
        <v>38480072</v>
      </c>
      <c r="H4425">
        <v>12740292</v>
      </c>
      <c r="I4425">
        <v>15132422</v>
      </c>
      <c r="J4425">
        <v>2</v>
      </c>
    </row>
    <row r="4426" spans="1:10" x14ac:dyDescent="0.25">
      <c r="A4426" t="s">
        <v>40</v>
      </c>
      <c r="B4426" s="1" t="str">
        <f>HYPERLINK("http://applestore.org","applestore.org")</f>
        <v>applestore.org</v>
      </c>
      <c r="C4426" t="s">
        <v>481</v>
      </c>
      <c r="J4426">
        <v>2</v>
      </c>
    </row>
    <row r="4427" spans="1:10" x14ac:dyDescent="0.25">
      <c r="A4427" t="s">
        <v>40</v>
      </c>
      <c r="B4427" s="1" t="str">
        <f>HYPERLINK("http://buy-different.org","buy-different.org")</f>
        <v>buy-different.org</v>
      </c>
      <c r="C4427" t="s">
        <v>481</v>
      </c>
      <c r="J4427">
        <v>2</v>
      </c>
    </row>
    <row r="4428" spans="1:10" x14ac:dyDescent="0.25">
      <c r="A4428" t="s">
        <v>40</v>
      </c>
      <c r="B4428" s="1" t="str">
        <f>HYPERLINK("http://carekit.org","carekit.org")</f>
        <v>carekit.org</v>
      </c>
      <c r="C4428" t="s">
        <v>481</v>
      </c>
      <c r="F4428">
        <v>5.4615420794339198E-8</v>
      </c>
      <c r="G4428">
        <v>825574</v>
      </c>
      <c r="H4428">
        <v>14353826</v>
      </c>
      <c r="I4428">
        <v>1307549</v>
      </c>
      <c r="J4428">
        <v>2</v>
      </c>
    </row>
    <row r="4429" spans="1:10" x14ac:dyDescent="0.25">
      <c r="A4429" t="s">
        <v>40</v>
      </c>
      <c r="B4429" s="1" t="str">
        <f>HYPERLINK("http://darwin.org","darwin.org")</f>
        <v>darwin.org</v>
      </c>
      <c r="C4429" t="s">
        <v>481</v>
      </c>
      <c r="F4429">
        <v>1.2581555208499499E-8</v>
      </c>
      <c r="G4429">
        <v>4840197</v>
      </c>
      <c r="H4429">
        <v>13406989</v>
      </c>
      <c r="I4429">
        <v>10350219</v>
      </c>
      <c r="J4429">
        <v>2</v>
      </c>
    </row>
    <row r="4430" spans="1:10" x14ac:dyDescent="0.25">
      <c r="A4430" t="s">
        <v>40</v>
      </c>
      <c r="B4430" s="1" t="str">
        <f>HYPERLINK("http://darwinsource.org","darwinsource.org")</f>
        <v>darwinsource.org</v>
      </c>
      <c r="C4430" t="s">
        <v>481</v>
      </c>
      <c r="J4430">
        <v>2</v>
      </c>
    </row>
    <row r="4431" spans="1:10" x14ac:dyDescent="0.25">
      <c r="A4431" t="s">
        <v>40</v>
      </c>
      <c r="B4431" s="1" t="str">
        <f>HYPERLINK("http://desktopmovie.org","desktopmovie.org")</f>
        <v>desktopmovie.org</v>
      </c>
      <c r="C4431" t="s">
        <v>481</v>
      </c>
      <c r="F4431">
        <v>4.74667296022878E-9</v>
      </c>
      <c r="G4431">
        <v>38480073</v>
      </c>
      <c r="H4431">
        <v>12740292</v>
      </c>
      <c r="I4431">
        <v>15132444</v>
      </c>
      <c r="J4431">
        <v>2</v>
      </c>
    </row>
    <row r="4432" spans="1:10" x14ac:dyDescent="0.25">
      <c r="A4432" t="s">
        <v>40</v>
      </c>
      <c r="B4432" s="1" t="str">
        <f>HYPERLINK("http://desktopmovies.org","desktopmovies.org")</f>
        <v>desktopmovies.org</v>
      </c>
      <c r="C4432" t="s">
        <v>481</v>
      </c>
      <c r="F4432">
        <v>4.74667296022878E-9</v>
      </c>
      <c r="G4432">
        <v>38480074</v>
      </c>
      <c r="H4432">
        <v>12740292</v>
      </c>
      <c r="I4432">
        <v>15132445</v>
      </c>
      <c r="J4432">
        <v>2</v>
      </c>
    </row>
    <row r="4433" spans="1:10" x14ac:dyDescent="0.25">
      <c r="A4433" t="s">
        <v>40</v>
      </c>
      <c r="B4433" s="1" t="str">
        <f>HYPERLINK("http://dvdstudiopro.org","dvdstudiopro.org")</f>
        <v>dvdstudiopro.org</v>
      </c>
      <c r="C4433" t="s">
        <v>481</v>
      </c>
      <c r="F4433">
        <v>4.74667296022878E-9</v>
      </c>
      <c r="G4433">
        <v>38480075</v>
      </c>
      <c r="H4433">
        <v>12740292</v>
      </c>
      <c r="I4433">
        <v>15132446</v>
      </c>
      <c r="J4433">
        <v>2</v>
      </c>
    </row>
    <row r="4434" spans="1:10" x14ac:dyDescent="0.25">
      <c r="A4434" t="s">
        <v>40</v>
      </c>
      <c r="B4434" s="1" t="str">
        <f>HYPERLINK("http://edu-research.org","edu-research.org")</f>
        <v>edu-research.org</v>
      </c>
      <c r="C4434" t="s">
        <v>481</v>
      </c>
      <c r="F4434">
        <v>4.74667296022878E-9</v>
      </c>
      <c r="G4434">
        <v>38480076</v>
      </c>
      <c r="H4434">
        <v>12740292</v>
      </c>
      <c r="I4434">
        <v>15132447</v>
      </c>
      <c r="J4434">
        <v>2</v>
      </c>
    </row>
    <row r="4435" spans="1:10" x14ac:dyDescent="0.25">
      <c r="A4435" t="s">
        <v>40</v>
      </c>
      <c r="B4435" s="1" t="str">
        <f>HYPERLINK("http://facetime.org","facetime.org")</f>
        <v>facetime.org</v>
      </c>
      <c r="C4435" t="s">
        <v>481</v>
      </c>
      <c r="J4435">
        <v>2</v>
      </c>
    </row>
    <row r="4436" spans="1:10" x14ac:dyDescent="0.25">
      <c r="A4436" t="s">
        <v>40</v>
      </c>
      <c r="B4436" s="1" t="str">
        <f>HYPERLINK("http://icloud.org","icloud.org")</f>
        <v>icloud.org</v>
      </c>
      <c r="C4436" t="s">
        <v>481</v>
      </c>
      <c r="F4436">
        <v>5.5258331687030904E-9</v>
      </c>
      <c r="G4436">
        <v>20626594</v>
      </c>
      <c r="H4436">
        <v>12933199</v>
      </c>
      <c r="I4436">
        <v>13353025</v>
      </c>
      <c r="J4436">
        <v>2</v>
      </c>
    </row>
    <row r="4437" spans="1:10" x14ac:dyDescent="0.25">
      <c r="A4437" t="s">
        <v>40</v>
      </c>
      <c r="B4437" s="1" t="str">
        <f>HYPERLINK("http://monsterbeats-outlet.org","monsterbeats-outlet.org")</f>
        <v>monsterbeats-outlet.org</v>
      </c>
      <c r="C4437" t="s">
        <v>481</v>
      </c>
      <c r="J4437">
        <v>2</v>
      </c>
    </row>
    <row r="4438" spans="1:10" x14ac:dyDescent="0.25">
      <c r="A4438" t="s">
        <v>40</v>
      </c>
      <c r="B4438" s="1" t="str">
        <f>HYPERLINK("http://apple.com.pa","apple.com.pa")</f>
        <v>apple.com.pa</v>
      </c>
      <c r="C4438" t="s">
        <v>482</v>
      </c>
      <c r="D4438" t="s">
        <v>856</v>
      </c>
      <c r="F4438">
        <v>4.74667296022878E-9</v>
      </c>
      <c r="G4438">
        <v>38480095</v>
      </c>
      <c r="H4438">
        <v>12740292</v>
      </c>
      <c r="I4438">
        <v>15132505</v>
      </c>
      <c r="J4438">
        <v>2</v>
      </c>
    </row>
    <row r="4439" spans="1:10" x14ac:dyDescent="0.25">
      <c r="A4439" t="s">
        <v>40</v>
      </c>
      <c r="B4439" s="1" t="str">
        <f>HYPERLINK("http://apple.parts","apple.parts")</f>
        <v>apple.parts</v>
      </c>
      <c r="C4439" t="s">
        <v>690</v>
      </c>
      <c r="J4439">
        <v>2</v>
      </c>
    </row>
    <row r="4440" spans="1:10" x14ac:dyDescent="0.25">
      <c r="A4440" t="s">
        <v>40</v>
      </c>
      <c r="B4440" s="1" t="str">
        <f>HYPERLINK("http://apple.com.pe","apple.com.pe")</f>
        <v>apple.com.pe</v>
      </c>
      <c r="C4440" t="s">
        <v>483</v>
      </c>
      <c r="D4440" t="s">
        <v>857</v>
      </c>
      <c r="F4440">
        <v>4.74667296022878E-9</v>
      </c>
      <c r="G4440">
        <v>38480096</v>
      </c>
      <c r="H4440">
        <v>12740292</v>
      </c>
      <c r="I4440">
        <v>15132506</v>
      </c>
      <c r="J4440">
        <v>2</v>
      </c>
    </row>
    <row r="4441" spans="1:10" x14ac:dyDescent="0.25">
      <c r="A4441" t="s">
        <v>40</v>
      </c>
      <c r="B4441" s="1" t="str">
        <f>HYPERLINK("http://applestore.ph","applestore.ph")</f>
        <v>applestore.ph</v>
      </c>
      <c r="C4441" t="s">
        <v>484</v>
      </c>
      <c r="D4441" t="s">
        <v>858</v>
      </c>
      <c r="J4441">
        <v>2</v>
      </c>
    </row>
    <row r="4442" spans="1:10" x14ac:dyDescent="0.25">
      <c r="A4442" t="s">
        <v>40</v>
      </c>
      <c r="B4442" s="1" t="str">
        <f>HYPERLINK("http://appstore.ph","appstore.ph")</f>
        <v>appstore.ph</v>
      </c>
      <c r="C4442" t="s">
        <v>484</v>
      </c>
      <c r="D4442" t="s">
        <v>858</v>
      </c>
      <c r="J4442">
        <v>2</v>
      </c>
    </row>
    <row r="4443" spans="1:10" x14ac:dyDescent="0.25">
      <c r="A4443" t="s">
        <v>40</v>
      </c>
      <c r="B4443" s="1" t="str">
        <f>HYPERLINK("http://applestore.com.ph","applestore.com.ph")</f>
        <v>applestore.com.ph</v>
      </c>
      <c r="C4443" t="s">
        <v>484</v>
      </c>
      <c r="D4443" t="s">
        <v>858</v>
      </c>
      <c r="J4443">
        <v>2</v>
      </c>
    </row>
    <row r="4444" spans="1:10" x14ac:dyDescent="0.25">
      <c r="A4444" t="s">
        <v>40</v>
      </c>
      <c r="B4444" s="1" t="str">
        <f>HYPERLINK("http://imad.pl","imad.pl")</f>
        <v>imad.pl</v>
      </c>
      <c r="C4444" t="s">
        <v>486</v>
      </c>
      <c r="D4444" t="s">
        <v>860</v>
      </c>
      <c r="F4444">
        <v>1.41680618432234E-8</v>
      </c>
      <c r="G4444">
        <v>4140496</v>
      </c>
      <c r="H4444">
        <v>12579928</v>
      </c>
      <c r="I4444">
        <v>16508942</v>
      </c>
      <c r="J4444">
        <v>4</v>
      </c>
    </row>
    <row r="4445" spans="1:10" x14ac:dyDescent="0.25">
      <c r="A4445" t="s">
        <v>40</v>
      </c>
      <c r="B4445" s="1" t="str">
        <f>HYPERLINK("http://yango.pro","yango.pro")</f>
        <v>yango.pro</v>
      </c>
      <c r="C4445" t="s">
        <v>574</v>
      </c>
      <c r="F4445">
        <v>2.6159054562694899E-8</v>
      </c>
      <c r="G4445">
        <v>1969224</v>
      </c>
      <c r="H4445">
        <v>14033314</v>
      </c>
      <c r="I4445">
        <v>3920558</v>
      </c>
      <c r="J4445">
        <v>3</v>
      </c>
    </row>
    <row r="4446" spans="1:10" x14ac:dyDescent="0.25">
      <c r="A4446" t="s">
        <v>40</v>
      </c>
      <c r="B4446" s="1" t="str">
        <f>HYPERLINK("http://apple.pt","apple.pt")</f>
        <v>apple.pt</v>
      </c>
      <c r="C4446" t="s">
        <v>488</v>
      </c>
      <c r="D4446" t="s">
        <v>862</v>
      </c>
      <c r="F4446">
        <v>9.2663175914354504E-8</v>
      </c>
      <c r="G4446">
        <v>439025</v>
      </c>
      <c r="H4446">
        <v>14549156</v>
      </c>
      <c r="I4446">
        <v>761811</v>
      </c>
      <c r="J4446">
        <v>2</v>
      </c>
    </row>
    <row r="4447" spans="1:10" x14ac:dyDescent="0.25">
      <c r="A4447" t="s">
        <v>40</v>
      </c>
      <c r="B4447" s="1" t="str">
        <f>HYPERLINK("http://appstore.pt","appstore.pt")</f>
        <v>appstore.pt</v>
      </c>
      <c r="C4447" t="s">
        <v>488</v>
      </c>
      <c r="D4447" t="s">
        <v>862</v>
      </c>
      <c r="J4447">
        <v>2</v>
      </c>
    </row>
    <row r="4448" spans="1:10" x14ac:dyDescent="0.25">
      <c r="A4448" t="s">
        <v>40</v>
      </c>
      <c r="B4448" s="1" t="str">
        <f>HYPERLINK("http://theapplestore.com.pt","theapplestore.com.pt")</f>
        <v>theapplestore.com.pt</v>
      </c>
      <c r="C4448" t="s">
        <v>488</v>
      </c>
      <c r="D4448" t="s">
        <v>862</v>
      </c>
      <c r="F4448">
        <v>4.74667296022878E-9</v>
      </c>
      <c r="G4448">
        <v>38480100</v>
      </c>
      <c r="H4448">
        <v>12740292</v>
      </c>
      <c r="I4448">
        <v>15132519</v>
      </c>
      <c r="J4448">
        <v>2</v>
      </c>
    </row>
    <row r="4449" spans="1:10" x14ac:dyDescent="0.25">
      <c r="A4449" t="s">
        <v>40</v>
      </c>
      <c r="B4449" s="1" t="str">
        <f>HYPERLINK("http://icloud.pt","icloud.pt")</f>
        <v>icloud.pt</v>
      </c>
      <c r="C4449" t="s">
        <v>488</v>
      </c>
      <c r="D4449" t="s">
        <v>862</v>
      </c>
      <c r="J4449">
        <v>2</v>
      </c>
    </row>
    <row r="4450" spans="1:10" x14ac:dyDescent="0.25">
      <c r="A4450" t="s">
        <v>40</v>
      </c>
      <c r="B4450" s="1" t="str">
        <f>HYPERLINK("http://theapplestore.pt","theapplestore.pt")</f>
        <v>theapplestore.pt</v>
      </c>
      <c r="C4450" t="s">
        <v>488</v>
      </c>
      <c r="D4450" t="s">
        <v>862</v>
      </c>
      <c r="F4450">
        <v>4.74667296022878E-9</v>
      </c>
      <c r="G4450">
        <v>38480101</v>
      </c>
      <c r="H4450">
        <v>12740292</v>
      </c>
      <c r="I4450">
        <v>15132520</v>
      </c>
      <c r="J4450">
        <v>2</v>
      </c>
    </row>
    <row r="4451" spans="1:10" x14ac:dyDescent="0.25">
      <c r="A4451" t="s">
        <v>40</v>
      </c>
      <c r="B4451" s="1" t="str">
        <f>HYPERLINK("http://apple.com.py","apple.com.py")</f>
        <v>apple.com.py</v>
      </c>
      <c r="C4451" t="s">
        <v>489</v>
      </c>
      <c r="D4451" t="s">
        <v>863</v>
      </c>
      <c r="F4451">
        <v>4.74667296022878E-9</v>
      </c>
      <c r="G4451">
        <v>38480109</v>
      </c>
      <c r="H4451">
        <v>12740292</v>
      </c>
      <c r="I4451">
        <v>15132538</v>
      </c>
      <c r="J4451">
        <v>2</v>
      </c>
    </row>
    <row r="4452" spans="1:10" x14ac:dyDescent="0.25">
      <c r="A4452" t="s">
        <v>40</v>
      </c>
      <c r="B4452" s="1" t="str">
        <f>HYPERLINK("http://applestore.qa","applestore.qa")</f>
        <v>applestore.qa</v>
      </c>
      <c r="C4452" t="s">
        <v>490</v>
      </c>
      <c r="D4452" t="s">
        <v>864</v>
      </c>
      <c r="J4452">
        <v>2</v>
      </c>
    </row>
    <row r="4453" spans="1:10" x14ac:dyDescent="0.25">
      <c r="A4453" t="s">
        <v>40</v>
      </c>
      <c r="B4453" s="1" t="str">
        <f>HYPERLINK("http://apple.re","apple.re")</f>
        <v>apple.re</v>
      </c>
      <c r="C4453" t="s">
        <v>575</v>
      </c>
      <c r="D4453" t="s">
        <v>920</v>
      </c>
      <c r="F4453">
        <v>1.9025176064838301E-8</v>
      </c>
      <c r="G4453">
        <v>2831725</v>
      </c>
      <c r="H4453">
        <v>11412903</v>
      </c>
      <c r="I4453">
        <v>30189610</v>
      </c>
      <c r="J4453">
        <v>2</v>
      </c>
    </row>
    <row r="4454" spans="1:10" x14ac:dyDescent="0.25">
      <c r="A4454" t="s">
        <v>40</v>
      </c>
      <c r="B4454" s="1" t="str">
        <f>HYPERLINK("http://asto.re","asto.re")</f>
        <v>asto.re</v>
      </c>
      <c r="C4454" t="s">
        <v>575</v>
      </c>
      <c r="D4454" t="s">
        <v>920</v>
      </c>
      <c r="J4454">
        <v>2</v>
      </c>
    </row>
    <row r="4455" spans="1:10" x14ac:dyDescent="0.25">
      <c r="A4455" t="s">
        <v>40</v>
      </c>
      <c r="B4455" s="1" t="str">
        <f>HYPERLINK("http://macbook.repair","macbook.repair")</f>
        <v>macbook.repair</v>
      </c>
      <c r="C4455" t="s">
        <v>706</v>
      </c>
      <c r="J4455">
        <v>2</v>
      </c>
    </row>
    <row r="4456" spans="1:10" x14ac:dyDescent="0.25">
      <c r="A4456" t="s">
        <v>40</v>
      </c>
      <c r="B4456" s="1" t="str">
        <f>HYPERLINK("http://applemusic.rio","applemusic.rio")</f>
        <v>applemusic.rio</v>
      </c>
      <c r="C4456" t="s">
        <v>707</v>
      </c>
      <c r="J4456">
        <v>2</v>
      </c>
    </row>
    <row r="4457" spans="1:10" x14ac:dyDescent="0.25">
      <c r="A4457" t="s">
        <v>40</v>
      </c>
      <c r="B4457" s="1" t="str">
        <f>HYPERLINK("http://applemusicfestival.rio","applemusicfestival.rio")</f>
        <v>applemusicfestival.rio</v>
      </c>
      <c r="C4457" t="s">
        <v>707</v>
      </c>
      <c r="J4457">
        <v>2</v>
      </c>
    </row>
    <row r="4458" spans="1:10" x14ac:dyDescent="0.25">
      <c r="A4458" t="s">
        <v>40</v>
      </c>
      <c r="B4458" s="1" t="str">
        <f>HYPERLINK("http://applestore.rio","applestore.rio")</f>
        <v>applestore.rio</v>
      </c>
      <c r="C4458" t="s">
        <v>707</v>
      </c>
      <c r="J4458">
        <v>2</v>
      </c>
    </row>
    <row r="4459" spans="1:10" x14ac:dyDescent="0.25">
      <c r="A4459" t="s">
        <v>40</v>
      </c>
      <c r="B4459" s="1" t="str">
        <f>HYPERLINK("http://appletv.rio","appletv.rio")</f>
        <v>appletv.rio</v>
      </c>
      <c r="C4459" t="s">
        <v>707</v>
      </c>
      <c r="J4459">
        <v>2</v>
      </c>
    </row>
    <row r="4460" spans="1:10" x14ac:dyDescent="0.25">
      <c r="A4460" t="s">
        <v>40</v>
      </c>
      <c r="B4460" s="1" t="str">
        <f>HYPERLINK("http://applewatch.rio","applewatch.rio")</f>
        <v>applewatch.rio</v>
      </c>
      <c r="C4460" t="s">
        <v>707</v>
      </c>
      <c r="J4460">
        <v>2</v>
      </c>
    </row>
    <row r="4461" spans="1:10" x14ac:dyDescent="0.25">
      <c r="A4461" t="s">
        <v>40</v>
      </c>
      <c r="B4461" s="1" t="str">
        <f>HYPERLINK("http://appstore.rio","appstore.rio")</f>
        <v>appstore.rio</v>
      </c>
      <c r="C4461" t="s">
        <v>707</v>
      </c>
      <c r="J4461">
        <v>2</v>
      </c>
    </row>
    <row r="4462" spans="1:10" x14ac:dyDescent="0.25">
      <c r="A4462" t="s">
        <v>40</v>
      </c>
      <c r="B4462" s="1" t="str">
        <f>HYPERLINK("http://beats1.rio","beats1.rio")</f>
        <v>beats1.rio</v>
      </c>
      <c r="C4462" t="s">
        <v>707</v>
      </c>
      <c r="J4462">
        <v>2</v>
      </c>
    </row>
    <row r="4463" spans="1:10" x14ac:dyDescent="0.25">
      <c r="A4463" t="s">
        <v>40</v>
      </c>
      <c r="B4463" s="1" t="str">
        <f>HYPERLINK("http://beats2.rio","beats2.rio")</f>
        <v>beats2.rio</v>
      </c>
      <c r="C4463" t="s">
        <v>707</v>
      </c>
      <c r="J4463">
        <v>2</v>
      </c>
    </row>
    <row r="4464" spans="1:10" x14ac:dyDescent="0.25">
      <c r="A4464" t="s">
        <v>40</v>
      </c>
      <c r="B4464" s="1" t="str">
        <f>HYPERLINK("http://beats3.rio","beats3.rio")</f>
        <v>beats3.rio</v>
      </c>
      <c r="C4464" t="s">
        <v>707</v>
      </c>
      <c r="J4464">
        <v>2</v>
      </c>
    </row>
    <row r="4465" spans="1:10" x14ac:dyDescent="0.25">
      <c r="A4465" t="s">
        <v>40</v>
      </c>
      <c r="B4465" s="1" t="str">
        <f>HYPERLINK("http://beats4.rio","beats4.rio")</f>
        <v>beats4.rio</v>
      </c>
      <c r="C4465" t="s">
        <v>707</v>
      </c>
      <c r="J4465">
        <v>2</v>
      </c>
    </row>
    <row r="4466" spans="1:10" x14ac:dyDescent="0.25">
      <c r="A4466" t="s">
        <v>40</v>
      </c>
      <c r="B4466" s="1" t="str">
        <f>HYPERLINK("http://beats5.rio","beats5.rio")</f>
        <v>beats5.rio</v>
      </c>
      <c r="C4466" t="s">
        <v>707</v>
      </c>
      <c r="J4466">
        <v>2</v>
      </c>
    </row>
    <row r="4467" spans="1:10" x14ac:dyDescent="0.25">
      <c r="A4467" t="s">
        <v>40</v>
      </c>
      <c r="B4467" s="1" t="str">
        <f>HYPERLINK("http://icloud.ro","icloud.ro")</f>
        <v>icloud.ro</v>
      </c>
      <c r="C4467" t="s">
        <v>491</v>
      </c>
      <c r="D4467" t="s">
        <v>865</v>
      </c>
      <c r="J4467">
        <v>2</v>
      </c>
    </row>
    <row r="4468" spans="1:10" x14ac:dyDescent="0.25">
      <c r="A4468" t="s">
        <v>40</v>
      </c>
      <c r="B4468" s="1" t="str">
        <f>HYPERLINK("http://epl.co.rs","epl.co.rs")</f>
        <v>epl.co.rs</v>
      </c>
      <c r="C4468" t="s">
        <v>492</v>
      </c>
      <c r="D4468" t="s">
        <v>866</v>
      </c>
      <c r="J4468">
        <v>2</v>
      </c>
    </row>
    <row r="4469" spans="1:10" x14ac:dyDescent="0.25">
      <c r="A4469" t="s">
        <v>40</v>
      </c>
      <c r="B4469" s="1" t="str">
        <f>HYPERLINK("http://eplsentr.co.rs","eplsentr.co.rs")</f>
        <v>eplsentr.co.rs</v>
      </c>
      <c r="C4469" t="s">
        <v>492</v>
      </c>
      <c r="D4469" t="s">
        <v>866</v>
      </c>
      <c r="J4469">
        <v>2</v>
      </c>
    </row>
    <row r="4470" spans="1:10" x14ac:dyDescent="0.25">
      <c r="A4470" t="s">
        <v>40</v>
      </c>
      <c r="B4470" s="1" t="str">
        <f>HYPERLINK("http://eplsentr.rs","eplsentr.rs")</f>
        <v>eplsentr.rs</v>
      </c>
      <c r="C4470" t="s">
        <v>492</v>
      </c>
      <c r="D4470" t="s">
        <v>866</v>
      </c>
      <c r="J4470">
        <v>2</v>
      </c>
    </row>
    <row r="4471" spans="1:10" x14ac:dyDescent="0.25">
      <c r="A4471" t="s">
        <v>40</v>
      </c>
      <c r="B4471" s="1" t="str">
        <f>HYPERLINK("http://apple.ru","apple.ru")</f>
        <v>apple.ru</v>
      </c>
      <c r="C4471" t="s">
        <v>493</v>
      </c>
      <c r="D4471" t="s">
        <v>867</v>
      </c>
      <c r="E4471">
        <v>244047</v>
      </c>
      <c r="F4471">
        <v>3.22808341461329E-8</v>
      </c>
      <c r="G4471">
        <v>1601980</v>
      </c>
      <c r="H4471">
        <v>14246788</v>
      </c>
      <c r="I4471">
        <v>1460071</v>
      </c>
      <c r="J4471">
        <v>2</v>
      </c>
    </row>
    <row r="4472" spans="1:10" x14ac:dyDescent="0.25">
      <c r="A4472" t="s">
        <v>40</v>
      </c>
      <c r="B4472" s="1" t="str">
        <f>HYPERLINK("http://apples-msk.ru","apples-msk.ru")</f>
        <v>apples-msk.ru</v>
      </c>
      <c r="C4472" t="s">
        <v>493</v>
      </c>
      <c r="D4472" t="s">
        <v>867</v>
      </c>
      <c r="F4472">
        <v>5.8935073857734396E-9</v>
      </c>
      <c r="G4472">
        <v>17405049</v>
      </c>
      <c r="H4472">
        <v>12850684</v>
      </c>
      <c r="I4472">
        <v>14266831</v>
      </c>
      <c r="J4472">
        <v>2</v>
      </c>
    </row>
    <row r="4473" spans="1:10" x14ac:dyDescent="0.25">
      <c r="A4473" t="s">
        <v>40</v>
      </c>
      <c r="B4473" s="1" t="str">
        <f>HYPERLINK("http://iport.ru","iport.ru")</f>
        <v>iport.ru</v>
      </c>
      <c r="C4473" t="s">
        <v>493</v>
      </c>
      <c r="D4473" t="s">
        <v>867</v>
      </c>
      <c r="E4473">
        <v>250945</v>
      </c>
      <c r="F4473">
        <v>1.07188856463135E-7</v>
      </c>
      <c r="G4473">
        <v>373496</v>
      </c>
      <c r="H4473">
        <v>14457249</v>
      </c>
      <c r="I4473">
        <v>1048849</v>
      </c>
      <c r="J4473">
        <v>4</v>
      </c>
    </row>
    <row r="4474" spans="1:10" x14ac:dyDescent="0.25">
      <c r="A4474" t="s">
        <v>40</v>
      </c>
      <c r="B4474" s="1" t="str">
        <f>HYPERLINK("http://pieapple.ru","pieapple.ru")</f>
        <v>pieapple.ru</v>
      </c>
      <c r="C4474" t="s">
        <v>493</v>
      </c>
      <c r="D4474" t="s">
        <v>867</v>
      </c>
      <c r="F4474">
        <v>5.22123384788324E-9</v>
      </c>
      <c r="G4474">
        <v>24723850</v>
      </c>
      <c r="H4474">
        <v>11077887</v>
      </c>
      <c r="I4474">
        <v>32502938</v>
      </c>
      <c r="J4474">
        <v>4</v>
      </c>
    </row>
    <row r="4475" spans="1:10" x14ac:dyDescent="0.25">
      <c r="A4475" t="s">
        <v>40</v>
      </c>
      <c r="B4475" s="1" t="str">
        <f>HYPERLINK("http://proxyplus.ru","proxyplus.ru")</f>
        <v>proxyplus.ru</v>
      </c>
      <c r="C4475" t="s">
        <v>493</v>
      </c>
      <c r="D4475" t="s">
        <v>867</v>
      </c>
      <c r="F4475">
        <v>7.4205854163604597E-9</v>
      </c>
      <c r="G4475">
        <v>11195070</v>
      </c>
      <c r="H4475">
        <v>13399022</v>
      </c>
      <c r="I4475">
        <v>10370218</v>
      </c>
      <c r="J4475">
        <v>3</v>
      </c>
    </row>
    <row r="4476" spans="1:10" x14ac:dyDescent="0.25">
      <c r="A4476" t="s">
        <v>40</v>
      </c>
      <c r="B4476" s="1" t="str">
        <f>HYPERLINK("http://apple.sa","apple.sa")</f>
        <v>apple.sa</v>
      </c>
      <c r="C4476" t="s">
        <v>494</v>
      </c>
      <c r="D4476" t="s">
        <v>868</v>
      </c>
      <c r="F4476">
        <v>4.74667296022878E-9</v>
      </c>
      <c r="G4476">
        <v>38480110</v>
      </c>
      <c r="H4476">
        <v>12740292</v>
      </c>
      <c r="I4476">
        <v>15132545</v>
      </c>
      <c r="J4476">
        <v>2</v>
      </c>
    </row>
    <row r="4477" spans="1:10" x14ac:dyDescent="0.25">
      <c r="A4477" t="s">
        <v>40</v>
      </c>
      <c r="B4477" s="1" t="str">
        <f>HYPERLINK("http://apple.se","apple.se")</f>
        <v>apple.se</v>
      </c>
      <c r="C4477" t="s">
        <v>495</v>
      </c>
      <c r="D4477" t="s">
        <v>869</v>
      </c>
      <c r="F4477">
        <v>9.2933528898618298E-8</v>
      </c>
      <c r="G4477">
        <v>437649</v>
      </c>
      <c r="H4477">
        <v>14690080</v>
      </c>
      <c r="I4477">
        <v>602536</v>
      </c>
      <c r="J4477">
        <v>2</v>
      </c>
    </row>
    <row r="4478" spans="1:10" x14ac:dyDescent="0.25">
      <c r="A4478" t="s">
        <v>40</v>
      </c>
      <c r="B4478" s="1" t="str">
        <f>HYPERLINK("http://icloud.se","icloud.se")</f>
        <v>icloud.se</v>
      </c>
      <c r="C4478" t="s">
        <v>495</v>
      </c>
      <c r="D4478" t="s">
        <v>869</v>
      </c>
      <c r="F4478">
        <v>4.6229887059455203E-9</v>
      </c>
      <c r="G4478">
        <v>45931628</v>
      </c>
      <c r="H4478">
        <v>12258044</v>
      </c>
      <c r="I4478">
        <v>21824695</v>
      </c>
      <c r="J4478">
        <v>2</v>
      </c>
    </row>
    <row r="4479" spans="1:10" x14ac:dyDescent="0.25">
      <c r="A4479" t="s">
        <v>40</v>
      </c>
      <c r="B4479" s="1" t="str">
        <f>HYPERLINK("http://appstore.services","appstore.services")</f>
        <v>appstore.services</v>
      </c>
      <c r="C4479" t="s">
        <v>579</v>
      </c>
      <c r="J4479">
        <v>2</v>
      </c>
    </row>
    <row r="4480" spans="1:10" x14ac:dyDescent="0.25">
      <c r="A4480" t="s">
        <v>40</v>
      </c>
      <c r="B4480" s="1" t="str">
        <f>HYPERLINK("http://apple.sg","apple.sg")</f>
        <v>apple.sg</v>
      </c>
      <c r="C4480" t="s">
        <v>496</v>
      </c>
      <c r="D4480" t="s">
        <v>870</v>
      </c>
      <c r="F4480">
        <v>5.0757301310630501E-9</v>
      </c>
      <c r="G4480">
        <v>27606816</v>
      </c>
      <c r="H4480">
        <v>12740393</v>
      </c>
      <c r="I4480">
        <v>15129181</v>
      </c>
      <c r="J4480">
        <v>2</v>
      </c>
    </row>
    <row r="4481" spans="1:10" x14ac:dyDescent="0.25">
      <c r="A4481" t="s">
        <v>40</v>
      </c>
      <c r="B4481" s="1" t="str">
        <f>HYPERLINK("http://applestore.sg","applestore.sg")</f>
        <v>applestore.sg</v>
      </c>
      <c r="C4481" t="s">
        <v>496</v>
      </c>
      <c r="D4481" t="s">
        <v>870</v>
      </c>
      <c r="J4481">
        <v>2</v>
      </c>
    </row>
    <row r="4482" spans="1:10" x14ac:dyDescent="0.25">
      <c r="A4482" t="s">
        <v>40</v>
      </c>
      <c r="B4482" s="1" t="str">
        <f>HYPERLINK("http://apple.com.sg","apple.com.sg")</f>
        <v>apple.com.sg</v>
      </c>
      <c r="C4482" t="s">
        <v>496</v>
      </c>
      <c r="D4482" t="s">
        <v>870</v>
      </c>
      <c r="F4482">
        <v>6.8032435487695801E-9</v>
      </c>
      <c r="G4482">
        <v>12948741</v>
      </c>
      <c r="H4482">
        <v>14121655</v>
      </c>
      <c r="I4482">
        <v>2244110</v>
      </c>
      <c r="J4482">
        <v>2</v>
      </c>
    </row>
    <row r="4483" spans="1:10" x14ac:dyDescent="0.25">
      <c r="A4483" t="s">
        <v>40</v>
      </c>
      <c r="B4483" s="1" t="str">
        <f>HYPERLINK("http://ipod.com.sg","ipod.com.sg")</f>
        <v>ipod.com.sg</v>
      </c>
      <c r="C4483" t="s">
        <v>496</v>
      </c>
      <c r="D4483" t="s">
        <v>870</v>
      </c>
      <c r="J4483">
        <v>2</v>
      </c>
    </row>
    <row r="4484" spans="1:10" x14ac:dyDescent="0.25">
      <c r="A4484" t="s">
        <v>40</v>
      </c>
      <c r="B4484" s="1" t="str">
        <f>HYPERLINK("http://airpods.shop","airpods.shop")</f>
        <v>airpods.shop</v>
      </c>
      <c r="C4484" t="s">
        <v>708</v>
      </c>
      <c r="J4484">
        <v>2</v>
      </c>
    </row>
    <row r="4485" spans="1:10" x14ac:dyDescent="0.25">
      <c r="A4485" t="s">
        <v>40</v>
      </c>
      <c r="B4485" s="1" t="str">
        <f>HYPERLINK("http://apple.shop","apple.shop")</f>
        <v>apple.shop</v>
      </c>
      <c r="C4485" t="s">
        <v>708</v>
      </c>
      <c r="J4485">
        <v>2</v>
      </c>
    </row>
    <row r="4486" spans="1:10" x14ac:dyDescent="0.25">
      <c r="A4486" t="s">
        <v>40</v>
      </c>
      <c r="B4486" s="1" t="str">
        <f>HYPERLINK("http://icloud.si","icloud.si")</f>
        <v>icloud.si</v>
      </c>
      <c r="C4486" t="s">
        <v>497</v>
      </c>
      <c r="D4486" t="s">
        <v>871</v>
      </c>
      <c r="J4486">
        <v>2</v>
      </c>
    </row>
    <row r="4487" spans="1:10" x14ac:dyDescent="0.25">
      <c r="A4487" t="s">
        <v>40</v>
      </c>
      <c r="B4487" s="1" t="str">
        <f>HYPERLINK("http://apple.site","apple.site")</f>
        <v>apple.site</v>
      </c>
      <c r="C4487" t="s">
        <v>558</v>
      </c>
      <c r="F4487">
        <v>4.5013940225873999E-9</v>
      </c>
      <c r="G4487">
        <v>58740108</v>
      </c>
      <c r="H4487">
        <v>11024464</v>
      </c>
      <c r="I4487">
        <v>33188784</v>
      </c>
      <c r="J4487">
        <v>2</v>
      </c>
    </row>
    <row r="4488" spans="1:10" x14ac:dyDescent="0.25">
      <c r="A4488" t="s">
        <v>40</v>
      </c>
      <c r="B4488" s="1" t="str">
        <f>HYPERLINK("http://applecare.site","applecare.site")</f>
        <v>applecare.site</v>
      </c>
      <c r="C4488" t="s">
        <v>558</v>
      </c>
      <c r="J4488">
        <v>2</v>
      </c>
    </row>
    <row r="4489" spans="1:10" x14ac:dyDescent="0.25">
      <c r="A4489" t="s">
        <v>40</v>
      </c>
      <c r="B4489" s="1" t="str">
        <f>HYPERLINK("http://applestore.site","applestore.site")</f>
        <v>applestore.site</v>
      </c>
      <c r="C4489" t="s">
        <v>558</v>
      </c>
      <c r="J4489">
        <v>2</v>
      </c>
    </row>
    <row r="4490" spans="1:10" x14ac:dyDescent="0.25">
      <c r="A4490" t="s">
        <v>40</v>
      </c>
      <c r="B4490" s="1" t="str">
        <f>HYPERLINK("http://appstore.site","appstore.site")</f>
        <v>appstore.site</v>
      </c>
      <c r="C4490" t="s">
        <v>558</v>
      </c>
      <c r="J4490">
        <v>2</v>
      </c>
    </row>
    <row r="4491" spans="1:10" x14ac:dyDescent="0.25">
      <c r="A4491" t="s">
        <v>40</v>
      </c>
      <c r="B4491" s="1" t="str">
        <f>HYPERLINK("http://icloud.site","icloud.site")</f>
        <v>icloud.site</v>
      </c>
      <c r="C4491" t="s">
        <v>558</v>
      </c>
      <c r="J4491">
        <v>2</v>
      </c>
    </row>
    <row r="4492" spans="1:10" x14ac:dyDescent="0.25">
      <c r="A4492" t="s">
        <v>40</v>
      </c>
      <c r="B4492" s="1" t="str">
        <f>HYPERLINK("http://icloud.sk","icloud.sk")</f>
        <v>icloud.sk</v>
      </c>
      <c r="C4492" t="s">
        <v>498</v>
      </c>
      <c r="D4492" t="s">
        <v>872</v>
      </c>
      <c r="J4492">
        <v>2</v>
      </c>
    </row>
    <row r="4493" spans="1:10" x14ac:dyDescent="0.25">
      <c r="A4493" t="s">
        <v>40</v>
      </c>
      <c r="B4493" s="1" t="str">
        <f>HYPERLINK("http://applestore.sn","applestore.sn")</f>
        <v>applestore.sn</v>
      </c>
      <c r="C4493" t="s">
        <v>551</v>
      </c>
      <c r="D4493" t="s">
        <v>907</v>
      </c>
      <c r="J4493">
        <v>2</v>
      </c>
    </row>
    <row r="4494" spans="1:10" x14ac:dyDescent="0.25">
      <c r="A4494" t="s">
        <v>40</v>
      </c>
      <c r="B4494" s="1" t="str">
        <f>HYPERLINK("http://mac.software","mac.software")</f>
        <v>mac.software</v>
      </c>
      <c r="C4494" t="s">
        <v>709</v>
      </c>
      <c r="J4494">
        <v>2</v>
      </c>
    </row>
    <row r="4495" spans="1:10" x14ac:dyDescent="0.25">
      <c r="A4495" t="s">
        <v>40</v>
      </c>
      <c r="B4495" s="1" t="str">
        <f>HYPERLINK("http://macos.software","macos.software")</f>
        <v>macos.software</v>
      </c>
      <c r="C4495" t="s">
        <v>709</v>
      </c>
      <c r="J4495">
        <v>2</v>
      </c>
    </row>
    <row r="4496" spans="1:10" x14ac:dyDescent="0.25">
      <c r="A4496" t="s">
        <v>40</v>
      </c>
      <c r="B4496" s="1" t="str">
        <f>HYPERLINK("http://mac.storage","mac.storage")</f>
        <v>mac.storage</v>
      </c>
      <c r="C4496" t="s">
        <v>710</v>
      </c>
      <c r="J4496">
        <v>2</v>
      </c>
    </row>
    <row r="4497" spans="1:10" x14ac:dyDescent="0.25">
      <c r="A4497" t="s">
        <v>40</v>
      </c>
      <c r="B4497" s="1" t="str">
        <f>HYPERLINK("http://apple.store","apple.store")</f>
        <v>apple.store</v>
      </c>
      <c r="C4497" t="s">
        <v>559</v>
      </c>
      <c r="F4497">
        <v>4.74667296022878E-9</v>
      </c>
      <c r="G4497">
        <v>38480117</v>
      </c>
      <c r="H4497">
        <v>12740292</v>
      </c>
      <c r="I4497">
        <v>15132575</v>
      </c>
      <c r="J4497">
        <v>2</v>
      </c>
    </row>
    <row r="4498" spans="1:10" x14ac:dyDescent="0.25">
      <c r="A4498" t="s">
        <v>40</v>
      </c>
      <c r="B4498" s="1" t="str">
        <f>HYPERLINK("http://mac.store","mac.store")</f>
        <v>mac.store</v>
      </c>
      <c r="C4498" t="s">
        <v>559</v>
      </c>
      <c r="J4498">
        <v>2</v>
      </c>
    </row>
    <row r="4499" spans="1:10" x14ac:dyDescent="0.25">
      <c r="A4499" t="s">
        <v>40</v>
      </c>
      <c r="B4499" s="1" t="str">
        <f>HYPERLINK("http://applemusic.stream","applemusic.stream")</f>
        <v>applemusic.stream</v>
      </c>
      <c r="C4499" t="s">
        <v>711</v>
      </c>
      <c r="J4499">
        <v>2</v>
      </c>
    </row>
    <row r="4500" spans="1:10" x14ac:dyDescent="0.25">
      <c r="A4500" t="s">
        <v>40</v>
      </c>
      <c r="B4500" s="1" t="str">
        <f>HYPERLINK("http://mac.support","mac.support")</f>
        <v>mac.support</v>
      </c>
      <c r="C4500" t="s">
        <v>712</v>
      </c>
      <c r="J4500">
        <v>2</v>
      </c>
    </row>
    <row r="4501" spans="1:10" x14ac:dyDescent="0.25">
      <c r="A4501" t="s">
        <v>40</v>
      </c>
      <c r="B4501" s="1" t="str">
        <f>HYPERLINK("http://apple.com.sv","apple.com.sv")</f>
        <v>apple.com.sv</v>
      </c>
      <c r="C4501" t="s">
        <v>499</v>
      </c>
      <c r="D4501" t="s">
        <v>873</v>
      </c>
      <c r="F4501">
        <v>4.74667296022878E-9</v>
      </c>
      <c r="G4501">
        <v>38480121</v>
      </c>
      <c r="H4501">
        <v>12740292</v>
      </c>
      <c r="I4501">
        <v>15132586</v>
      </c>
      <c r="J4501">
        <v>2</v>
      </c>
    </row>
    <row r="4502" spans="1:10" x14ac:dyDescent="0.25">
      <c r="A4502" t="s">
        <v>40</v>
      </c>
      <c r="B4502" s="1" t="str">
        <f>HYPERLINK("http://applestore.com.sv","applestore.com.sv")</f>
        <v>applestore.com.sv</v>
      </c>
      <c r="C4502" t="s">
        <v>499</v>
      </c>
      <c r="D4502" t="s">
        <v>873</v>
      </c>
      <c r="J4502">
        <v>2</v>
      </c>
    </row>
    <row r="4503" spans="1:10" x14ac:dyDescent="0.25">
      <c r="A4503" t="s">
        <v>40</v>
      </c>
      <c r="B4503" s="1" t="str">
        <f>HYPERLINK("http://apple.technology","apple.technology")</f>
        <v>apple.technology</v>
      </c>
      <c r="C4503" t="s">
        <v>713</v>
      </c>
      <c r="J4503">
        <v>2</v>
      </c>
    </row>
    <row r="4504" spans="1:10" x14ac:dyDescent="0.25">
      <c r="A4504" t="s">
        <v>40</v>
      </c>
      <c r="B4504" s="1" t="str">
        <f>HYPERLINK("http://apple.co.th","apple.co.th")</f>
        <v>apple.co.th</v>
      </c>
      <c r="C4504" t="s">
        <v>500</v>
      </c>
      <c r="D4504" t="s">
        <v>874</v>
      </c>
      <c r="F4504">
        <v>4.5317925040925403E-9</v>
      </c>
      <c r="G4504">
        <v>54860730</v>
      </c>
      <c r="H4504">
        <v>10578747</v>
      </c>
      <c r="I4504">
        <v>45849276</v>
      </c>
      <c r="J4504">
        <v>2</v>
      </c>
    </row>
    <row r="4505" spans="1:10" x14ac:dyDescent="0.25">
      <c r="A4505" t="s">
        <v>40</v>
      </c>
      <c r="B4505" s="1" t="str">
        <f>HYPERLINK("http://itunes.co.th","itunes.co.th")</f>
        <v>itunes.co.th</v>
      </c>
      <c r="C4505" t="s">
        <v>500</v>
      </c>
      <c r="D4505" t="s">
        <v>874</v>
      </c>
      <c r="J4505">
        <v>2</v>
      </c>
    </row>
    <row r="4506" spans="1:10" x14ac:dyDescent="0.25">
      <c r="A4506" t="s">
        <v>40</v>
      </c>
      <c r="B4506" s="1" t="str">
        <f>HYPERLINK("http://applemusicfestival.tickets","applemusicfestival.tickets")</f>
        <v>applemusicfestival.tickets</v>
      </c>
      <c r="C4506" t="s">
        <v>714</v>
      </c>
      <c r="J4506">
        <v>2</v>
      </c>
    </row>
    <row r="4507" spans="1:10" x14ac:dyDescent="0.25">
      <c r="A4507" t="s">
        <v>40</v>
      </c>
      <c r="B4507" s="1" t="str">
        <f>HYPERLINK("http://wwdc.tickets","wwdc.tickets")</f>
        <v>wwdc.tickets</v>
      </c>
      <c r="C4507" t="s">
        <v>714</v>
      </c>
      <c r="J4507">
        <v>2</v>
      </c>
    </row>
    <row r="4508" spans="1:10" x14ac:dyDescent="0.25">
      <c r="A4508" t="s">
        <v>40</v>
      </c>
      <c r="B4508" s="1" t="str">
        <f>HYPERLINK("http://ipad.tips","ipad.tips")</f>
        <v>ipad.tips</v>
      </c>
      <c r="C4508" t="s">
        <v>715</v>
      </c>
      <c r="J4508">
        <v>2</v>
      </c>
    </row>
    <row r="4509" spans="1:10" x14ac:dyDescent="0.25">
      <c r="A4509" t="s">
        <v>40</v>
      </c>
      <c r="B4509" s="1" t="str">
        <f>HYPERLINK("http://iphone.tips","iphone.tips")</f>
        <v>iphone.tips</v>
      </c>
      <c r="C4509" t="s">
        <v>715</v>
      </c>
      <c r="J4509">
        <v>2</v>
      </c>
    </row>
    <row r="4510" spans="1:10" x14ac:dyDescent="0.25">
      <c r="A4510" t="s">
        <v>40</v>
      </c>
      <c r="B4510" s="1" t="str">
        <f>HYPERLINK("http://mac.tips","mac.tips")</f>
        <v>mac.tips</v>
      </c>
      <c r="C4510" t="s">
        <v>715</v>
      </c>
      <c r="J4510">
        <v>2</v>
      </c>
    </row>
    <row r="4511" spans="1:10" x14ac:dyDescent="0.25">
      <c r="A4511" t="s">
        <v>40</v>
      </c>
      <c r="B4511" s="1" t="str">
        <f>HYPERLINK("http://apple.com.tt","apple.com.tt")</f>
        <v>apple.com.tt</v>
      </c>
      <c r="C4511" t="s">
        <v>503</v>
      </c>
      <c r="D4511" t="s">
        <v>877</v>
      </c>
      <c r="F4511">
        <v>4.74667296022878E-9</v>
      </c>
      <c r="G4511">
        <v>38480133</v>
      </c>
      <c r="H4511">
        <v>12740295</v>
      </c>
      <c r="I4511">
        <v>15130680</v>
      </c>
      <c r="J4511">
        <v>2</v>
      </c>
    </row>
    <row r="4512" spans="1:10" x14ac:dyDescent="0.25">
      <c r="A4512" t="s">
        <v>40</v>
      </c>
      <c r="B4512" s="1" t="str">
        <f>HYPERLINK("http://apple.tv","apple.tv")</f>
        <v>apple.tv</v>
      </c>
      <c r="C4512" t="s">
        <v>535</v>
      </c>
      <c r="D4512" t="s">
        <v>897</v>
      </c>
      <c r="F4512">
        <v>4.39427517139864E-8</v>
      </c>
      <c r="G4512">
        <v>1083529</v>
      </c>
      <c r="H4512">
        <v>16828910</v>
      </c>
      <c r="I4512">
        <v>172324</v>
      </c>
      <c r="J4512">
        <v>2</v>
      </c>
    </row>
    <row r="4513" spans="1:10" x14ac:dyDescent="0.25">
      <c r="A4513" t="s">
        <v>40</v>
      </c>
      <c r="B4513" s="1" t="str">
        <f>HYPERLINK("http://apple.com.tw","apple.com.tw")</f>
        <v>apple.com.tw</v>
      </c>
      <c r="C4513" t="s">
        <v>504</v>
      </c>
      <c r="D4513" t="s">
        <v>878</v>
      </c>
      <c r="F4513">
        <v>2.9282929095569899E-8</v>
      </c>
      <c r="G4513">
        <v>1759302</v>
      </c>
      <c r="H4513">
        <v>14582110</v>
      </c>
      <c r="I4513">
        <v>707026</v>
      </c>
      <c r="J4513">
        <v>2</v>
      </c>
    </row>
    <row r="4514" spans="1:10" x14ac:dyDescent="0.25">
      <c r="A4514" t="s">
        <v>40</v>
      </c>
      <c r="B4514" s="1" t="str">
        <f>HYPERLINK("http://applecomputer.com.tw","applecomputer.com.tw")</f>
        <v>applecomputer.com.tw</v>
      </c>
      <c r="C4514" t="s">
        <v>504</v>
      </c>
      <c r="D4514" t="s">
        <v>878</v>
      </c>
      <c r="J4514">
        <v>2</v>
      </c>
    </row>
    <row r="4515" spans="1:10" x14ac:dyDescent="0.25">
      <c r="A4515" t="s">
        <v>40</v>
      </c>
      <c r="B4515" s="1" t="str">
        <f>HYPERLINK("http://applestore.com.tw","applestore.com.tw")</f>
        <v>applestore.com.tw</v>
      </c>
      <c r="C4515" t="s">
        <v>504</v>
      </c>
      <c r="D4515" t="s">
        <v>878</v>
      </c>
      <c r="J4515">
        <v>2</v>
      </c>
    </row>
    <row r="4516" spans="1:10" x14ac:dyDescent="0.25">
      <c r="A4516" t="s">
        <v>40</v>
      </c>
      <c r="B4516" s="1" t="str">
        <f>HYPERLINK("http://ipadair.tw","ipadair.tw")</f>
        <v>ipadair.tw</v>
      </c>
      <c r="C4516" t="s">
        <v>504</v>
      </c>
      <c r="D4516" t="s">
        <v>878</v>
      </c>
      <c r="E4516">
        <v>915777</v>
      </c>
      <c r="J4516">
        <v>2</v>
      </c>
    </row>
    <row r="4517" spans="1:10" x14ac:dyDescent="0.25">
      <c r="A4517" t="s">
        <v>40</v>
      </c>
      <c r="B4517" s="1" t="str">
        <f>HYPERLINK("http://ipod.tw","ipod.tw")</f>
        <v>ipod.tw</v>
      </c>
      <c r="C4517" t="s">
        <v>504</v>
      </c>
      <c r="D4517" t="s">
        <v>878</v>
      </c>
      <c r="J4517">
        <v>2</v>
      </c>
    </row>
    <row r="4518" spans="1:10" x14ac:dyDescent="0.25">
      <c r="A4518" t="s">
        <v>40</v>
      </c>
      <c r="B4518" s="1" t="str">
        <f>HYPERLINK("http://macbook.tw","macbook.tw")</f>
        <v>macbook.tw</v>
      </c>
      <c r="C4518" t="s">
        <v>504</v>
      </c>
      <c r="D4518" t="s">
        <v>878</v>
      </c>
      <c r="J4518">
        <v>2</v>
      </c>
    </row>
    <row r="4519" spans="1:10" x14ac:dyDescent="0.25">
      <c r="A4519" t="s">
        <v>40</v>
      </c>
      <c r="B4519" s="1" t="str">
        <f>HYPERLINK("http://ex.ua","ex.ua")</f>
        <v>ex.ua</v>
      </c>
      <c r="C4519" t="s">
        <v>505</v>
      </c>
      <c r="D4519" t="s">
        <v>879</v>
      </c>
      <c r="E4519">
        <v>43669</v>
      </c>
      <c r="F4519">
        <v>2.3842419005634801E-7</v>
      </c>
      <c r="G4519">
        <v>157019</v>
      </c>
      <c r="H4519">
        <v>15145958</v>
      </c>
      <c r="I4519">
        <v>400588</v>
      </c>
      <c r="J4519">
        <v>4</v>
      </c>
    </row>
    <row r="4520" spans="1:10" x14ac:dyDescent="0.25">
      <c r="A4520" t="s">
        <v>40</v>
      </c>
      <c r="B4520" s="1" t="str">
        <f>HYPERLINK("http://icenter.in.ua","icenter.in.ua")</f>
        <v>icenter.in.ua</v>
      </c>
      <c r="C4520" t="s">
        <v>505</v>
      </c>
      <c r="D4520" t="s">
        <v>879</v>
      </c>
      <c r="J4520">
        <v>4</v>
      </c>
    </row>
    <row r="4521" spans="1:10" x14ac:dyDescent="0.25">
      <c r="A4521" t="s">
        <v>40</v>
      </c>
      <c r="B4521" s="1" t="str">
        <f>HYPERLINK("http://ipeople.in.ua","ipeople.in.ua")</f>
        <v>ipeople.in.ua</v>
      </c>
      <c r="C4521" t="s">
        <v>505</v>
      </c>
      <c r="D4521" t="s">
        <v>879</v>
      </c>
      <c r="F4521">
        <v>6.5119103843654098E-9</v>
      </c>
      <c r="G4521">
        <v>14029343</v>
      </c>
      <c r="H4521">
        <v>13200209</v>
      </c>
      <c r="I4521">
        <v>11551517</v>
      </c>
      <c r="J4521">
        <v>4</v>
      </c>
    </row>
    <row r="4522" spans="1:10" x14ac:dyDescent="0.25">
      <c r="A4522" t="s">
        <v>40</v>
      </c>
      <c r="B4522" s="1" t="str">
        <f>HYPERLINK("http://ipod.ua","ipod.ua")</f>
        <v>ipod.ua</v>
      </c>
      <c r="C4522" t="s">
        <v>505</v>
      </c>
      <c r="D4522" t="s">
        <v>879</v>
      </c>
      <c r="J4522">
        <v>2</v>
      </c>
    </row>
    <row r="4523" spans="1:10" x14ac:dyDescent="0.25">
      <c r="A4523" t="s">
        <v>40</v>
      </c>
      <c r="B4523" s="1" t="str">
        <f>HYPERLINK("http://apple.co.uk","apple.co.uk")</f>
        <v>apple.co.uk</v>
      </c>
      <c r="C4523" t="s">
        <v>506</v>
      </c>
      <c r="D4523" t="s">
        <v>880</v>
      </c>
      <c r="F4523">
        <v>5.1311037456391302E-8</v>
      </c>
      <c r="G4523">
        <v>892322</v>
      </c>
      <c r="H4523">
        <v>13832623</v>
      </c>
      <c r="I4523">
        <v>6101592</v>
      </c>
      <c r="J4523">
        <v>2</v>
      </c>
    </row>
    <row r="4524" spans="1:10" x14ac:dyDescent="0.25">
      <c r="A4524" t="s">
        <v>40</v>
      </c>
      <c r="B4524" s="1" t="str">
        <f>HYPERLINK("http://free-your-iphone.co.uk","free-your-iphone.co.uk")</f>
        <v>free-your-iphone.co.uk</v>
      </c>
      <c r="C4524" t="s">
        <v>506</v>
      </c>
      <c r="D4524" t="s">
        <v>880</v>
      </c>
      <c r="J4524">
        <v>2</v>
      </c>
    </row>
    <row r="4525" spans="1:10" x14ac:dyDescent="0.25">
      <c r="A4525" t="s">
        <v>40</v>
      </c>
      <c r="B4525" s="1" t="str">
        <f>HYPERLINK("http://ipadibooks.co.uk","ipadibooks.co.uk")</f>
        <v>ipadibooks.co.uk</v>
      </c>
      <c r="C4525" t="s">
        <v>506</v>
      </c>
      <c r="D4525" t="s">
        <v>880</v>
      </c>
      <c r="J4525">
        <v>2</v>
      </c>
    </row>
    <row r="4526" spans="1:10" x14ac:dyDescent="0.25">
      <c r="A4526" t="s">
        <v>40</v>
      </c>
      <c r="B4526" s="1" t="str">
        <f>HYPERLINK("http://iphoneteam.co.uk","iphoneteam.co.uk")</f>
        <v>iphoneteam.co.uk</v>
      </c>
      <c r="C4526" t="s">
        <v>506</v>
      </c>
      <c r="D4526" t="s">
        <v>880</v>
      </c>
      <c r="J4526">
        <v>2</v>
      </c>
    </row>
    <row r="4527" spans="1:10" x14ac:dyDescent="0.25">
      <c r="A4527" t="s">
        <v>40</v>
      </c>
      <c r="B4527" s="1" t="str">
        <f>HYPERLINK("http://iphoneworld.co.uk","iphoneworld.co.uk")</f>
        <v>iphoneworld.co.uk</v>
      </c>
      <c r="C4527" t="s">
        <v>506</v>
      </c>
      <c r="D4527" t="s">
        <v>880</v>
      </c>
      <c r="J4527">
        <v>2</v>
      </c>
    </row>
    <row r="4528" spans="1:10" x14ac:dyDescent="0.25">
      <c r="A4528" t="s">
        <v>40</v>
      </c>
      <c r="B4528" s="1" t="str">
        <f>HYPERLINK("http://panthercomputers.co.uk","panthercomputers.co.uk")</f>
        <v>panthercomputers.co.uk</v>
      </c>
      <c r="C4528" t="s">
        <v>506</v>
      </c>
      <c r="D4528" t="s">
        <v>880</v>
      </c>
      <c r="J4528">
        <v>2</v>
      </c>
    </row>
    <row r="4529" spans="1:10" x14ac:dyDescent="0.25">
      <c r="A4529" t="s">
        <v>40</v>
      </c>
      <c r="B4529" s="1" t="str">
        <f>HYPERLINK("http://powerbook.co.uk","powerbook.co.uk")</f>
        <v>powerbook.co.uk</v>
      </c>
      <c r="C4529" t="s">
        <v>506</v>
      </c>
      <c r="D4529" t="s">
        <v>880</v>
      </c>
      <c r="J4529">
        <v>2</v>
      </c>
    </row>
    <row r="4530" spans="1:10" x14ac:dyDescent="0.25">
      <c r="A4530" t="s">
        <v>40</v>
      </c>
      <c r="B4530" s="1" t="str">
        <f>HYPERLINK("http://theapplestore.co.uk","theapplestore.co.uk")</f>
        <v>theapplestore.co.uk</v>
      </c>
      <c r="C4530" t="s">
        <v>506</v>
      </c>
      <c r="D4530" t="s">
        <v>880</v>
      </c>
      <c r="F4530">
        <v>4.9233348499137702E-9</v>
      </c>
      <c r="G4530">
        <v>31580527</v>
      </c>
      <c r="H4530">
        <v>12747844</v>
      </c>
      <c r="I4530">
        <v>15062995</v>
      </c>
      <c r="J4530">
        <v>2</v>
      </c>
    </row>
    <row r="4531" spans="1:10" x14ac:dyDescent="0.25">
      <c r="A4531" t="s">
        <v>40</v>
      </c>
      <c r="B4531" s="1" t="str">
        <f>HYPERLINK("http://xemplar.co.uk","xemplar.co.uk")</f>
        <v>xemplar.co.uk</v>
      </c>
      <c r="C4531" t="s">
        <v>506</v>
      </c>
      <c r="D4531" t="s">
        <v>880</v>
      </c>
      <c r="F4531">
        <v>4.2514830825749702E-8</v>
      </c>
      <c r="G4531">
        <v>1139491</v>
      </c>
      <c r="H4531">
        <v>16751197</v>
      </c>
      <c r="I4531">
        <v>322291</v>
      </c>
      <c r="J4531">
        <v>2</v>
      </c>
    </row>
    <row r="4532" spans="1:10" x14ac:dyDescent="0.25">
      <c r="A4532" t="s">
        <v>40</v>
      </c>
      <c r="B4532" s="1" t="str">
        <f>HYPERLINK("http://apple.university","apple.university")</f>
        <v>apple.university</v>
      </c>
      <c r="C4532" t="s">
        <v>716</v>
      </c>
      <c r="J4532">
        <v>2</v>
      </c>
    </row>
    <row r="4533" spans="1:10" x14ac:dyDescent="0.25">
      <c r="A4533" t="s">
        <v>40</v>
      </c>
      <c r="B4533" s="1" t="str">
        <f>HYPERLINK("http://apple.us","apple.us")</f>
        <v>apple.us</v>
      </c>
      <c r="C4533" t="s">
        <v>522</v>
      </c>
      <c r="D4533" t="s">
        <v>891</v>
      </c>
      <c r="F4533">
        <v>4.8522216705283304E-9</v>
      </c>
      <c r="G4533">
        <v>34069027</v>
      </c>
      <c r="H4533">
        <v>12741345</v>
      </c>
      <c r="I4533">
        <v>15123188</v>
      </c>
      <c r="J4533">
        <v>2</v>
      </c>
    </row>
    <row r="4534" spans="1:10" x14ac:dyDescent="0.25">
      <c r="A4534" t="s">
        <v>40</v>
      </c>
      <c r="B4534" s="1" t="str">
        <f>HYPERLINK("http://apple-computers.us","apple-computers.us")</f>
        <v>apple-computers.us</v>
      </c>
      <c r="C4534" t="s">
        <v>522</v>
      </c>
      <c r="D4534" t="s">
        <v>891</v>
      </c>
      <c r="F4534">
        <v>4.4942450648237201E-9</v>
      </c>
      <c r="G4534">
        <v>59817343</v>
      </c>
      <c r="H4534">
        <v>10823801</v>
      </c>
      <c r="I4534">
        <v>37532866</v>
      </c>
      <c r="J4534">
        <v>2</v>
      </c>
    </row>
    <row r="4535" spans="1:10" x14ac:dyDescent="0.25">
      <c r="A4535" t="s">
        <v>40</v>
      </c>
      <c r="B4535" s="1" t="str">
        <f>HYPERLINK("http://applestore.us","applestore.us")</f>
        <v>applestore.us</v>
      </c>
      <c r="C4535" t="s">
        <v>522</v>
      </c>
      <c r="D4535" t="s">
        <v>891</v>
      </c>
      <c r="J4535">
        <v>2</v>
      </c>
    </row>
    <row r="4536" spans="1:10" x14ac:dyDescent="0.25">
      <c r="A4536" t="s">
        <v>40</v>
      </c>
      <c r="B4536" s="1" t="str">
        <f>HYPERLINK("http://appple.us","appple.us")</f>
        <v>appple.us</v>
      </c>
      <c r="C4536" t="s">
        <v>522</v>
      </c>
      <c r="D4536" t="s">
        <v>891</v>
      </c>
      <c r="F4536">
        <v>4.74667296022878E-9</v>
      </c>
      <c r="G4536">
        <v>38480136</v>
      </c>
      <c r="H4536">
        <v>12740292</v>
      </c>
      <c r="I4536">
        <v>15132636</v>
      </c>
      <c r="J4536">
        <v>2</v>
      </c>
    </row>
    <row r="4537" spans="1:10" x14ac:dyDescent="0.25">
      <c r="A4537" t="s">
        <v>40</v>
      </c>
      <c r="B4537" s="1" t="str">
        <f>HYPERLINK("http://com?cid=oas-us-domains-apple.us","com?cid=oas-us-domains-apple.us")</f>
        <v>com?cid=oas-us-domains-apple.us</v>
      </c>
      <c r="C4537" t="s">
        <v>522</v>
      </c>
      <c r="D4537" t="s">
        <v>891</v>
      </c>
      <c r="J4537">
        <v>3</v>
      </c>
    </row>
    <row r="4538" spans="1:10" x14ac:dyDescent="0.25">
      <c r="A4538" t="s">
        <v>40</v>
      </c>
      <c r="B4538" s="1" t="str">
        <f>HYPERLINK("http://dvdstudiopro.us","dvdstudiopro.us")</f>
        <v>dvdstudiopro.us</v>
      </c>
      <c r="C4538" t="s">
        <v>522</v>
      </c>
      <c r="D4538" t="s">
        <v>891</v>
      </c>
      <c r="F4538">
        <v>4.74667296022878E-9</v>
      </c>
      <c r="G4538">
        <v>38480137</v>
      </c>
      <c r="H4538">
        <v>12740293</v>
      </c>
      <c r="I4538">
        <v>15131107</v>
      </c>
      <c r="J4538">
        <v>2</v>
      </c>
    </row>
    <row r="4539" spans="1:10" x14ac:dyDescent="0.25">
      <c r="A4539" t="s">
        <v>40</v>
      </c>
      <c r="B4539" s="1" t="str">
        <f>HYPERLINK("http://forthecolorful.us","forthecolorful.us")</f>
        <v>forthecolorful.us</v>
      </c>
      <c r="C4539" t="s">
        <v>522</v>
      </c>
      <c r="D4539" t="s">
        <v>891</v>
      </c>
      <c r="J4539">
        <v>2</v>
      </c>
    </row>
    <row r="4540" spans="1:10" x14ac:dyDescent="0.25">
      <c r="A4540" t="s">
        <v>40</v>
      </c>
      <c r="B4540" s="1" t="str">
        <f>HYPERLINK("http://macbookpro.us","macbookpro.us")</f>
        <v>macbookpro.us</v>
      </c>
      <c r="C4540" t="s">
        <v>522</v>
      </c>
      <c r="D4540" t="s">
        <v>891</v>
      </c>
      <c r="F4540">
        <v>4.8887382011039603E-9</v>
      </c>
      <c r="G4540">
        <v>32805732</v>
      </c>
      <c r="H4540">
        <v>12743522</v>
      </c>
      <c r="I4540">
        <v>15099372</v>
      </c>
      <c r="J4540">
        <v>2</v>
      </c>
    </row>
    <row r="4541" spans="1:10" x14ac:dyDescent="0.25">
      <c r="A4541" t="s">
        <v>40</v>
      </c>
      <c r="B4541" s="1" t="str">
        <f>HYPERLINK("http://monsterbeat.us","monsterbeat.us")</f>
        <v>monsterbeat.us</v>
      </c>
      <c r="C4541" t="s">
        <v>522</v>
      </c>
      <c r="D4541" t="s">
        <v>891</v>
      </c>
      <c r="F4541">
        <v>4.74667296022878E-9</v>
      </c>
      <c r="G4541">
        <v>38481201</v>
      </c>
      <c r="H4541">
        <v>12740292</v>
      </c>
      <c r="I4541">
        <v>15132673</v>
      </c>
      <c r="J4541">
        <v>2</v>
      </c>
    </row>
    <row r="4542" spans="1:10" x14ac:dyDescent="0.25">
      <c r="A4542" t="s">
        <v>40</v>
      </c>
      <c r="B4542" s="1" t="str">
        <f>HYPERLINK("http://monsterbeats-sale.us","monsterbeats-sale.us")</f>
        <v>monsterbeats-sale.us</v>
      </c>
      <c r="C4542" t="s">
        <v>522</v>
      </c>
      <c r="D4542" t="s">
        <v>891</v>
      </c>
      <c r="F4542">
        <v>4.74667296022878E-9</v>
      </c>
      <c r="G4542">
        <v>38481202</v>
      </c>
      <c r="H4542">
        <v>12740293</v>
      </c>
      <c r="I4542">
        <v>15131110</v>
      </c>
      <c r="J4542">
        <v>2</v>
      </c>
    </row>
    <row r="4543" spans="1:10" x14ac:dyDescent="0.25">
      <c r="A4543" t="s">
        <v>40</v>
      </c>
      <c r="B4543" s="1" t="str">
        <f>HYPERLINK("http://apple.uy","apple.uy")</f>
        <v>apple.uy</v>
      </c>
      <c r="C4543" t="s">
        <v>507</v>
      </c>
      <c r="D4543" t="s">
        <v>881</v>
      </c>
      <c r="J4543">
        <v>2</v>
      </c>
    </row>
    <row r="4544" spans="1:10" x14ac:dyDescent="0.25">
      <c r="A4544" t="s">
        <v>40</v>
      </c>
      <c r="B4544" s="1" t="str">
        <f>HYPERLINK("http://apple.com.uy","apple.com.uy")</f>
        <v>apple.com.uy</v>
      </c>
      <c r="C4544" t="s">
        <v>507</v>
      </c>
      <c r="D4544" t="s">
        <v>881</v>
      </c>
      <c r="F4544">
        <v>4.74667296022878E-9</v>
      </c>
      <c r="G4544">
        <v>38480143</v>
      </c>
      <c r="H4544">
        <v>12740292</v>
      </c>
      <c r="I4544">
        <v>15132689</v>
      </c>
      <c r="J4544">
        <v>2</v>
      </c>
    </row>
    <row r="4545" spans="1:10" x14ac:dyDescent="0.25">
      <c r="A4545" t="s">
        <v>40</v>
      </c>
      <c r="B4545" s="1" t="str">
        <f>HYPERLINK("http://apple.com.ve","apple.com.ve")</f>
        <v>apple.com.ve</v>
      </c>
      <c r="C4545" t="s">
        <v>508</v>
      </c>
      <c r="D4545" t="s">
        <v>882</v>
      </c>
      <c r="F4545">
        <v>4.74667296022878E-9</v>
      </c>
      <c r="G4545">
        <v>38480144</v>
      </c>
      <c r="H4545">
        <v>12740293</v>
      </c>
      <c r="I4545">
        <v>15131116</v>
      </c>
      <c r="J4545">
        <v>2</v>
      </c>
    </row>
    <row r="4546" spans="1:10" x14ac:dyDescent="0.25">
      <c r="A4546" t="s">
        <v>40</v>
      </c>
      <c r="B4546" s="1" t="str">
        <f>HYPERLINK("http://icloud.vn","icloud.vn")</f>
        <v>icloud.vn</v>
      </c>
      <c r="C4546" t="s">
        <v>509</v>
      </c>
      <c r="D4546" t="s">
        <v>883</v>
      </c>
      <c r="J4546">
        <v>2</v>
      </c>
    </row>
    <row r="4547" spans="1:10" x14ac:dyDescent="0.25">
      <c r="A4547" t="s">
        <v>40</v>
      </c>
      <c r="B4547" s="1" t="str">
        <f>HYPERLINK("http://apple.watch","apple.watch")</f>
        <v>apple.watch</v>
      </c>
      <c r="C4547" t="s">
        <v>717</v>
      </c>
      <c r="F4547">
        <v>2.3310913411162701E-8</v>
      </c>
      <c r="G4547">
        <v>2237772</v>
      </c>
      <c r="H4547">
        <v>11997730</v>
      </c>
      <c r="I4547">
        <v>28278658</v>
      </c>
      <c r="J4547">
        <v>2</v>
      </c>
    </row>
    <row r="4548" spans="1:10" x14ac:dyDescent="0.25">
      <c r="A4548" t="s">
        <v>40</v>
      </c>
      <c r="B4548" s="1" t="str">
        <f>HYPERLINK("http://apple.website","apple.website")</f>
        <v>apple.website</v>
      </c>
      <c r="C4548" t="s">
        <v>718</v>
      </c>
      <c r="J4548">
        <v>2</v>
      </c>
    </row>
    <row r="4549" spans="1:10" x14ac:dyDescent="0.25">
      <c r="A4549" t="s">
        <v>40</v>
      </c>
      <c r="B4549" s="1" t="str">
        <f>HYPERLINK("http://applecare.website","applecare.website")</f>
        <v>applecare.website</v>
      </c>
      <c r="C4549" t="s">
        <v>718</v>
      </c>
      <c r="J4549">
        <v>2</v>
      </c>
    </row>
    <row r="4550" spans="1:10" x14ac:dyDescent="0.25">
      <c r="A4550" t="s">
        <v>40</v>
      </c>
      <c r="B4550" s="1" t="str">
        <f>HYPERLINK("http://applestore.website","applestore.website")</f>
        <v>applestore.website</v>
      </c>
      <c r="C4550" t="s">
        <v>718</v>
      </c>
      <c r="J4550">
        <v>2</v>
      </c>
    </row>
    <row r="4551" spans="1:10" x14ac:dyDescent="0.25">
      <c r="A4551" t="s">
        <v>40</v>
      </c>
      <c r="B4551" s="1" t="str">
        <f>HYPERLINK("http://appstore.website","appstore.website")</f>
        <v>appstore.website</v>
      </c>
      <c r="C4551" t="s">
        <v>718</v>
      </c>
      <c r="J4551">
        <v>2</v>
      </c>
    </row>
    <row r="4552" spans="1:10" x14ac:dyDescent="0.25">
      <c r="A4552" t="s">
        <v>40</v>
      </c>
      <c r="B4552" s="1" t="str">
        <f>HYPERLINK("http://icloud.website","icloud.website")</f>
        <v>icloud.website</v>
      </c>
      <c r="C4552" t="s">
        <v>718</v>
      </c>
      <c r="J4552">
        <v>2</v>
      </c>
    </row>
    <row r="4553" spans="1:10" x14ac:dyDescent="0.25">
      <c r="A4553" t="s">
        <v>40</v>
      </c>
      <c r="B4553" s="1" t="str">
        <f>HYPERLINK("http://mac.website","mac.website")</f>
        <v>mac.website</v>
      </c>
      <c r="C4553" t="s">
        <v>718</v>
      </c>
      <c r="F4553">
        <v>1.1557568633386401E-8</v>
      </c>
      <c r="G4553">
        <v>5462808</v>
      </c>
      <c r="H4553">
        <v>12193316</v>
      </c>
      <c r="I4553">
        <v>23503091</v>
      </c>
      <c r="J4553">
        <v>2</v>
      </c>
    </row>
    <row r="4554" spans="1:10" x14ac:dyDescent="0.25">
      <c r="A4554" t="s">
        <v>40</v>
      </c>
      <c r="B4554" s="1" t="str">
        <f>HYPERLINK("http://apple.xyz","apple.xyz")</f>
        <v>apple.xyz</v>
      </c>
      <c r="C4554" t="s">
        <v>585</v>
      </c>
      <c r="F4554">
        <v>6.3575873483830304E-9</v>
      </c>
      <c r="G4554">
        <v>14725389</v>
      </c>
      <c r="H4554">
        <v>11641623</v>
      </c>
      <c r="I4554">
        <v>29889892</v>
      </c>
      <c r="J4554">
        <v>2</v>
      </c>
    </row>
    <row r="4555" spans="1:10" x14ac:dyDescent="0.25">
      <c r="A4555" t="s">
        <v>40</v>
      </c>
      <c r="B4555" s="1" t="str">
        <f>HYPERLINK("http://appleweek.co.za","appleweek.co.za")</f>
        <v>appleweek.co.za</v>
      </c>
      <c r="C4555" t="s">
        <v>510</v>
      </c>
      <c r="D4555" t="s">
        <v>884</v>
      </c>
      <c r="J4555">
        <v>2</v>
      </c>
    </row>
    <row r="4556" spans="1:10" x14ac:dyDescent="0.25">
      <c r="A4556" t="s">
        <v>40</v>
      </c>
      <c r="B4556" s="1" t="str">
        <f>HYPERLINK("http://macintosh.co.za","macintosh.co.za")</f>
        <v>macintosh.co.za</v>
      </c>
      <c r="C4556" t="s">
        <v>510</v>
      </c>
      <c r="D4556" t="s">
        <v>884</v>
      </c>
      <c r="J4556">
        <v>2</v>
      </c>
    </row>
    <row r="4557" spans="1:10" x14ac:dyDescent="0.25">
      <c r="A4557" t="s">
        <v>40</v>
      </c>
      <c r="B4557" s="1" t="str">
        <f>HYPERLINK("http://mobileme.co.za","mobileme.co.za")</f>
        <v>mobileme.co.za</v>
      </c>
      <c r="C4557" t="s">
        <v>510</v>
      </c>
      <c r="D4557" t="s">
        <v>884</v>
      </c>
      <c r="J4557">
        <v>2</v>
      </c>
    </row>
    <row r="4558" spans="1:10" x14ac:dyDescent="0.25">
      <c r="A4558" t="s">
        <v>40</v>
      </c>
      <c r="B4558" s="1" t="str">
        <f>HYPERLINK("http://testdriveamac.co.za","testdriveamac.co.za")</f>
        <v>testdriveamac.co.za</v>
      </c>
      <c r="C4558" t="s">
        <v>510</v>
      </c>
      <c r="D4558" t="s">
        <v>884</v>
      </c>
      <c r="J4558">
        <v>2</v>
      </c>
    </row>
    <row r="4559" spans="1:10" x14ac:dyDescent="0.25">
      <c r="A4559" t="s">
        <v>40</v>
      </c>
      <c r="B4559" s="1" t="str">
        <f>HYPERLINK("http://whyapple.co.za","whyapple.co.za")</f>
        <v>whyapple.co.za</v>
      </c>
      <c r="C4559" t="s">
        <v>510</v>
      </c>
      <c r="D4559" t="s">
        <v>884</v>
      </c>
      <c r="J4559">
        <v>2</v>
      </c>
    </row>
    <row r="4560" spans="1:10" x14ac:dyDescent="0.25">
      <c r="A4560" t="s">
        <v>41</v>
      </c>
      <c r="B4560" s="1" t="str">
        <f>HYPERLINK("http://amat.com","amat.com")</f>
        <v>amat.com</v>
      </c>
      <c r="C4560" t="s">
        <v>433</v>
      </c>
      <c r="E4560">
        <v>55083</v>
      </c>
      <c r="F4560">
        <v>2.5734616804248001E-8</v>
      </c>
      <c r="G4560">
        <v>2003309</v>
      </c>
      <c r="H4560">
        <v>14391914</v>
      </c>
      <c r="I4560">
        <v>1165753</v>
      </c>
      <c r="J4560">
        <v>2</v>
      </c>
    </row>
    <row r="4561" spans="1:10" x14ac:dyDescent="0.25">
      <c r="A4561" t="s">
        <v>41</v>
      </c>
      <c r="B4561" s="1" t="str">
        <f>HYPERLINK("http://amtiengineering.com","amtiengineering.com")</f>
        <v>amtiengineering.com</v>
      </c>
      <c r="C4561" t="s">
        <v>433</v>
      </c>
      <c r="F4561">
        <v>4.44380395335525E-9</v>
      </c>
      <c r="G4561">
        <v>80637611</v>
      </c>
      <c r="H4561">
        <v>0</v>
      </c>
      <c r="I4561">
        <v>80842030</v>
      </c>
      <c r="J4561">
        <v>2</v>
      </c>
    </row>
    <row r="4562" spans="1:10" x14ac:dyDescent="0.25">
      <c r="A4562" t="s">
        <v>41</v>
      </c>
      <c r="B4562" s="1" t="str">
        <f>HYPERLINK("http://appliedmaterials.com","appliedmaterials.com")</f>
        <v>appliedmaterials.com</v>
      </c>
      <c r="C4562" t="s">
        <v>433</v>
      </c>
      <c r="E4562">
        <v>68042</v>
      </c>
      <c r="F4562">
        <v>8.4659286336498398E-7</v>
      </c>
      <c r="G4562">
        <v>46981</v>
      </c>
      <c r="H4562">
        <v>15416263</v>
      </c>
      <c r="I4562">
        <v>379516</v>
      </c>
      <c r="J4562">
        <v>1</v>
      </c>
    </row>
    <row r="4563" spans="1:10" x14ac:dyDescent="0.25">
      <c r="A4563" t="s">
        <v>41</v>
      </c>
      <c r="B4563" s="1" t="str">
        <f>HYPERLINK("http://np-komplete.com","np-komplete.com")</f>
        <v>np-komplete.com</v>
      </c>
      <c r="C4563" t="s">
        <v>433</v>
      </c>
      <c r="F4563">
        <v>4.4456397603994097E-9</v>
      </c>
      <c r="G4563">
        <v>75068921</v>
      </c>
      <c r="H4563">
        <v>10641130</v>
      </c>
      <c r="I4563">
        <v>43745063</v>
      </c>
      <c r="J4563">
        <v>3</v>
      </c>
    </row>
    <row r="4564" spans="1:10" x14ac:dyDescent="0.25">
      <c r="A4564" t="s">
        <v>41</v>
      </c>
      <c r="B4564" s="1" t="str">
        <f>HYPERLINK("http://perceptiveapc.com","perceptiveapc.com")</f>
        <v>perceptiveapc.com</v>
      </c>
      <c r="C4564" t="s">
        <v>433</v>
      </c>
      <c r="F4564">
        <v>1.3700950492103299E-8</v>
      </c>
      <c r="G4564">
        <v>4320737</v>
      </c>
      <c r="H4564">
        <v>13016310</v>
      </c>
      <c r="I4564">
        <v>12727561</v>
      </c>
      <c r="J4564">
        <v>3</v>
      </c>
    </row>
    <row r="4565" spans="1:10" x14ac:dyDescent="0.25">
      <c r="A4565" t="s">
        <v>41</v>
      </c>
      <c r="B4565" s="1" t="str">
        <f>HYPERLINK("http://picosun.com","picosun.com")</f>
        <v>picosun.com</v>
      </c>
      <c r="C4565" t="s">
        <v>433</v>
      </c>
      <c r="F4565">
        <v>3.4317155647953697E-8</v>
      </c>
      <c r="G4565">
        <v>1510769</v>
      </c>
      <c r="H4565">
        <v>14103576</v>
      </c>
      <c r="I4565">
        <v>2695683</v>
      </c>
      <c r="J4565">
        <v>3</v>
      </c>
    </row>
    <row r="4566" spans="1:10" x14ac:dyDescent="0.25">
      <c r="A4566" t="s">
        <v>41</v>
      </c>
      <c r="B4566" s="1" t="str">
        <f>HYPERLINK("http://semitool.com","semitool.com")</f>
        <v>semitool.com</v>
      </c>
      <c r="C4566" t="s">
        <v>433</v>
      </c>
      <c r="F4566">
        <v>4.5194746322915104E-9</v>
      </c>
      <c r="G4566">
        <v>56288445</v>
      </c>
      <c r="H4566">
        <v>11336005</v>
      </c>
      <c r="I4566">
        <v>30436757</v>
      </c>
      <c r="J4566">
        <v>3</v>
      </c>
    </row>
    <row r="4567" spans="1:10" x14ac:dyDescent="0.25">
      <c r="A4567" t="s">
        <v>41</v>
      </c>
      <c r="B4567" s="1" t="str">
        <f>HYPERLINK("http://stephenindustries.com","stephenindustries.com")</f>
        <v>stephenindustries.com</v>
      </c>
      <c r="C4567" t="s">
        <v>433</v>
      </c>
      <c r="F4567">
        <v>4.6628393935799901E-9</v>
      </c>
      <c r="G4567">
        <v>43351179</v>
      </c>
      <c r="H4567">
        <v>12142477</v>
      </c>
      <c r="I4567">
        <v>24824702</v>
      </c>
      <c r="J4567">
        <v>6</v>
      </c>
    </row>
    <row r="4568" spans="1:10" x14ac:dyDescent="0.25">
      <c r="A4568" t="s">
        <v>41</v>
      </c>
      <c r="B4568" s="1" t="str">
        <f>HYPERLINK("http://vsea.com","vsea.com")</f>
        <v>vsea.com</v>
      </c>
      <c r="C4568" t="s">
        <v>433</v>
      </c>
      <c r="F4568">
        <v>6.2470315295294104E-9</v>
      </c>
      <c r="G4568">
        <v>15290029</v>
      </c>
      <c r="H4568">
        <v>14236365</v>
      </c>
      <c r="I4568">
        <v>1590885</v>
      </c>
      <c r="J4568">
        <v>4</v>
      </c>
    </row>
    <row r="4569" spans="1:10" x14ac:dyDescent="0.25">
      <c r="A4569" t="s">
        <v>41</v>
      </c>
      <c r="B4569" s="1" t="str">
        <f>HYPERLINK("http://picosun.fi","picosun.fi")</f>
        <v>picosun.fi</v>
      </c>
      <c r="C4569" t="s">
        <v>445</v>
      </c>
      <c r="D4569" t="s">
        <v>823</v>
      </c>
      <c r="F4569">
        <v>5.0188078449727198E-9</v>
      </c>
      <c r="G4569">
        <v>28928855</v>
      </c>
      <c r="H4569">
        <v>10456122</v>
      </c>
      <c r="I4569">
        <v>51957557</v>
      </c>
      <c r="J4569">
        <v>2</v>
      </c>
    </row>
    <row r="4570" spans="1:10" x14ac:dyDescent="0.25">
      <c r="A4570" t="s">
        <v>41</v>
      </c>
      <c r="B4570" s="1" t="str">
        <f>HYPERLINK("http://saladinproject.fi","saladinproject.fi")</f>
        <v>saladinproject.fi</v>
      </c>
      <c r="C4570" t="s">
        <v>445</v>
      </c>
      <c r="D4570" t="s">
        <v>823</v>
      </c>
      <c r="J4570">
        <v>2</v>
      </c>
    </row>
    <row r="4571" spans="1:10" x14ac:dyDescent="0.25">
      <c r="A4571" t="s">
        <v>41</v>
      </c>
      <c r="B4571" s="1" t="str">
        <f>HYPERLINK("http://saladinprojekti.fi","saladinprojekti.fi")</f>
        <v>saladinprojekti.fi</v>
      </c>
      <c r="C4571" t="s">
        <v>445</v>
      </c>
      <c r="D4571" t="s">
        <v>823</v>
      </c>
      <c r="F4571">
        <v>4.44380395335525E-9</v>
      </c>
      <c r="G4571">
        <v>84782694</v>
      </c>
      <c r="H4571">
        <v>0</v>
      </c>
      <c r="I4571">
        <v>85897930</v>
      </c>
      <c r="J4571">
        <v>2</v>
      </c>
    </row>
    <row r="4572" spans="1:10" x14ac:dyDescent="0.25">
      <c r="A4572" t="s">
        <v>41</v>
      </c>
      <c r="B4572" s="1" t="str">
        <f>HYPERLINK("http://stephenindustries.fi","stephenindustries.fi")</f>
        <v>stephenindustries.fi</v>
      </c>
      <c r="C4572" t="s">
        <v>445</v>
      </c>
      <c r="D4572" t="s">
        <v>823</v>
      </c>
      <c r="J4572">
        <v>7</v>
      </c>
    </row>
    <row r="4573" spans="1:10" x14ac:dyDescent="0.25">
      <c r="A4573" t="s">
        <v>41</v>
      </c>
      <c r="B4573" s="1" t="str">
        <f>HYPERLINK("http://sigmameltec.co.jp","sigmameltec.co.jp")</f>
        <v>sigmameltec.co.jp</v>
      </c>
      <c r="C4573" t="s">
        <v>461</v>
      </c>
      <c r="D4573" t="s">
        <v>837</v>
      </c>
      <c r="J4573">
        <v>3</v>
      </c>
    </row>
    <row r="4574" spans="1:10" x14ac:dyDescent="0.25">
      <c r="A4574" t="s">
        <v>1590</v>
      </c>
      <c r="B4574" s="1" t="str">
        <f>HYPERLINK("http://brewboostr.ca","brewboostr.ca")</f>
        <v>brewboostr.ca</v>
      </c>
      <c r="C4574" t="s">
        <v>428</v>
      </c>
      <c r="D4574" t="s">
        <v>809</v>
      </c>
      <c r="F4574">
        <v>4.95390189511106E-9</v>
      </c>
      <c r="G4574">
        <v>30675160</v>
      </c>
      <c r="H4574">
        <v>10435406</v>
      </c>
      <c r="I4574">
        <v>52734939</v>
      </c>
      <c r="J4574">
        <v>9</v>
      </c>
    </row>
    <row r="4575" spans="1:10" x14ac:dyDescent="0.25">
      <c r="A4575" t="s">
        <v>1590</v>
      </c>
      <c r="B4575" s="1" t="str">
        <f>HYPERLINK("http://clubcoffee.ca","clubcoffee.ca")</f>
        <v>clubcoffee.ca</v>
      </c>
      <c r="C4575" t="s">
        <v>428</v>
      </c>
      <c r="D4575" t="s">
        <v>809</v>
      </c>
      <c r="F4575">
        <v>3.1667904204514099E-8</v>
      </c>
      <c r="G4575">
        <v>1630017</v>
      </c>
      <c r="H4575">
        <v>13942483</v>
      </c>
      <c r="I4575">
        <v>4329821</v>
      </c>
      <c r="J4575">
        <v>7</v>
      </c>
    </row>
    <row r="4576" spans="1:10" x14ac:dyDescent="0.25">
      <c r="A4576" t="s">
        <v>1590</v>
      </c>
      <c r="B4576" s="1" t="str">
        <f>HYPERLINK("http://launchcontrol.ca","launchcontrol.ca")</f>
        <v>launchcontrol.ca</v>
      </c>
      <c r="C4576" t="s">
        <v>428</v>
      </c>
      <c r="D4576" t="s">
        <v>809</v>
      </c>
      <c r="F4576">
        <v>8.5319751176360401E-9</v>
      </c>
      <c r="G4576">
        <v>8783600</v>
      </c>
      <c r="H4576">
        <v>10854791</v>
      </c>
      <c r="I4576">
        <v>36761084</v>
      </c>
      <c r="J4576">
        <v>9</v>
      </c>
    </row>
    <row r="4577" spans="1:10" x14ac:dyDescent="0.25">
      <c r="A4577" t="s">
        <v>1590</v>
      </c>
      <c r="B4577" s="1" t="str">
        <f>HYPERLINK("http://adm.com","adm.com")</f>
        <v>adm.com</v>
      </c>
      <c r="C4577" t="s">
        <v>433</v>
      </c>
      <c r="E4577">
        <v>31389</v>
      </c>
      <c r="F4577">
        <v>9.3601046883488404E-7</v>
      </c>
      <c r="G4577">
        <v>41052</v>
      </c>
      <c r="H4577">
        <v>15302627</v>
      </c>
      <c r="I4577">
        <v>385870</v>
      </c>
      <c r="J4577">
        <v>1</v>
      </c>
    </row>
    <row r="4578" spans="1:10" x14ac:dyDescent="0.25">
      <c r="A4578" t="s">
        <v>1590</v>
      </c>
      <c r="B4578" s="1" t="str">
        <f>HYPERLINK("http://admis.com","admis.com")</f>
        <v>admis.com</v>
      </c>
      <c r="C4578" t="s">
        <v>433</v>
      </c>
      <c r="E4578">
        <v>171871</v>
      </c>
      <c r="F4578">
        <v>8.0439813997573699E-8</v>
      </c>
      <c r="G4578">
        <v>519189</v>
      </c>
      <c r="H4578">
        <v>13383318</v>
      </c>
      <c r="I4578">
        <v>10416481</v>
      </c>
      <c r="J4578">
        <v>3</v>
      </c>
    </row>
    <row r="4579" spans="1:10" x14ac:dyDescent="0.25">
      <c r="A4579" t="s">
        <v>1590</v>
      </c>
      <c r="B4579" s="1" t="str">
        <f>HYPERLINK("http://admisi.com","admisi.com")</f>
        <v>admisi.com</v>
      </c>
      <c r="C4579" t="s">
        <v>433</v>
      </c>
      <c r="F4579">
        <v>1.9730672316210801E-8</v>
      </c>
      <c r="G4579">
        <v>2704272</v>
      </c>
      <c r="H4579">
        <v>13380925</v>
      </c>
      <c r="I4579">
        <v>10424261</v>
      </c>
      <c r="J4579">
        <v>4</v>
      </c>
    </row>
    <row r="4580" spans="1:10" x14ac:dyDescent="0.25">
      <c r="A4580" t="s">
        <v>1590</v>
      </c>
      <c r="B4580" s="1" t="str">
        <f>HYPERLINK("http://admmexico.com","admmexico.com")</f>
        <v>admmexico.com</v>
      </c>
      <c r="C4580" t="s">
        <v>433</v>
      </c>
      <c r="F4580">
        <v>4.44380395335525E-9</v>
      </c>
      <c r="G4580">
        <v>80530903</v>
      </c>
      <c r="H4580">
        <v>0</v>
      </c>
      <c r="I4580">
        <v>80712306</v>
      </c>
      <c r="J4580">
        <v>3</v>
      </c>
    </row>
    <row r="4581" spans="1:10" x14ac:dyDescent="0.25">
      <c r="A4581" t="s">
        <v>1590</v>
      </c>
      <c r="B4581" s="1" t="str">
        <f>HYPERLINK("http://admmilling.com","admmilling.com")</f>
        <v>admmilling.com</v>
      </c>
      <c r="C4581" t="s">
        <v>433</v>
      </c>
      <c r="F4581">
        <v>4.5142637120025499E-9</v>
      </c>
      <c r="G4581">
        <v>56942148</v>
      </c>
      <c r="H4581">
        <v>12078630</v>
      </c>
      <c r="I4581">
        <v>26592643</v>
      </c>
      <c r="J4581">
        <v>3</v>
      </c>
    </row>
    <row r="4582" spans="1:10" x14ac:dyDescent="0.25">
      <c r="A4582" t="s">
        <v>1590</v>
      </c>
      <c r="B4582" s="1" t="str">
        <f>HYPERLINK("http://admworld.com","admworld.com")</f>
        <v>admworld.com</v>
      </c>
      <c r="C4582" t="s">
        <v>433</v>
      </c>
      <c r="E4582">
        <v>54508</v>
      </c>
      <c r="F4582">
        <v>5.1348551450299402E-8</v>
      </c>
      <c r="G4582">
        <v>891512</v>
      </c>
      <c r="H4582">
        <v>14306234</v>
      </c>
      <c r="I4582">
        <v>1350229</v>
      </c>
      <c r="J4582">
        <v>3</v>
      </c>
    </row>
    <row r="4583" spans="1:10" x14ac:dyDescent="0.25">
      <c r="A4583" t="s">
        <v>1590</v>
      </c>
      <c r="B4583" s="1" t="str">
        <f>HYPERLINK("http://agranix.com","agranix.com")</f>
        <v>agranix.com</v>
      </c>
      <c r="C4583" t="s">
        <v>433</v>
      </c>
      <c r="J4583">
        <v>3</v>
      </c>
    </row>
    <row r="4584" spans="1:10" x14ac:dyDescent="0.25">
      <c r="A4584" t="s">
        <v>1590</v>
      </c>
      <c r="B4584" s="1" t="str">
        <f>HYPERLINK("http://balnova.com","balnova.com")</f>
        <v>balnova.com</v>
      </c>
      <c r="C4584" t="s">
        <v>433</v>
      </c>
      <c r="F4584">
        <v>7.6239527522120199E-9</v>
      </c>
      <c r="G4584">
        <v>10742139</v>
      </c>
      <c r="H4584">
        <v>12232244</v>
      </c>
      <c r="I4584">
        <v>22441749</v>
      </c>
      <c r="J4584">
        <v>3</v>
      </c>
    </row>
    <row r="4585" spans="1:10" x14ac:dyDescent="0.25">
      <c r="A4585" t="s">
        <v>1590</v>
      </c>
      <c r="B4585" s="1" t="str">
        <f>HYPERLINK("http://bernaqua.com","bernaqua.com")</f>
        <v>bernaqua.com</v>
      </c>
      <c r="C4585" t="s">
        <v>433</v>
      </c>
      <c r="F4585">
        <v>8.2013244257844399E-9</v>
      </c>
      <c r="G4585">
        <v>9568906</v>
      </c>
      <c r="H4585">
        <v>11245873</v>
      </c>
      <c r="I4585">
        <v>30927120</v>
      </c>
      <c r="J4585">
        <v>3</v>
      </c>
    </row>
    <row r="4586" spans="1:10" x14ac:dyDescent="0.25">
      <c r="A4586" t="s">
        <v>1590</v>
      </c>
      <c r="B4586" s="1" t="str">
        <f>HYPERLINK("http://bifodan.com","bifodan.com")</f>
        <v>bifodan.com</v>
      </c>
      <c r="C4586" t="s">
        <v>433</v>
      </c>
      <c r="F4586">
        <v>1.25985634374116E-8</v>
      </c>
      <c r="G4586">
        <v>4831682</v>
      </c>
      <c r="H4586">
        <v>12324879</v>
      </c>
      <c r="I4586">
        <v>20326494</v>
      </c>
      <c r="J4586">
        <v>4</v>
      </c>
    </row>
    <row r="4587" spans="1:10" x14ac:dyDescent="0.25">
      <c r="A4587" t="s">
        <v>1590</v>
      </c>
      <c r="B4587" s="1" t="str">
        <f>HYPERLINK("http://bqci.com","bqci.com")</f>
        <v>bqci.com</v>
      </c>
      <c r="C4587" t="s">
        <v>433</v>
      </c>
      <c r="F4587">
        <v>7.2855445590342204E-9</v>
      </c>
      <c r="G4587">
        <v>11515746</v>
      </c>
      <c r="H4587">
        <v>12981948</v>
      </c>
      <c r="I4587">
        <v>12944301</v>
      </c>
      <c r="J4587">
        <v>3</v>
      </c>
    </row>
    <row r="4588" spans="1:10" x14ac:dyDescent="0.25">
      <c r="A4588" t="s">
        <v>1590</v>
      </c>
      <c r="B4588" s="1" t="str">
        <f>HYPERLINK("http://brewboostr.com","brewboostr.com")</f>
        <v>brewboostr.com</v>
      </c>
      <c r="C4588" t="s">
        <v>433</v>
      </c>
      <c r="F4588">
        <v>4.9539018186224803E-9</v>
      </c>
      <c r="G4588">
        <v>30675161</v>
      </c>
      <c r="H4588">
        <v>10435406</v>
      </c>
      <c r="I4588">
        <v>52734946</v>
      </c>
      <c r="J4588">
        <v>9</v>
      </c>
    </row>
    <row r="4589" spans="1:10" x14ac:dyDescent="0.25">
      <c r="A4589" t="s">
        <v>1590</v>
      </c>
      <c r="B4589" s="1" t="str">
        <f>HYPERLINK("http://clubcoffee.com","clubcoffee.com")</f>
        <v>clubcoffee.com</v>
      </c>
      <c r="C4589" t="s">
        <v>433</v>
      </c>
      <c r="F4589">
        <v>1.06569245951787E-8</v>
      </c>
      <c r="G4589">
        <v>6135694</v>
      </c>
      <c r="H4589">
        <v>12208351</v>
      </c>
      <c r="I4589">
        <v>23067256</v>
      </c>
      <c r="J4589">
        <v>8</v>
      </c>
    </row>
    <row r="4590" spans="1:10" x14ac:dyDescent="0.25">
      <c r="A4590" t="s">
        <v>1590</v>
      </c>
      <c r="B4590" s="1" t="str">
        <f>HYPERLINK("http://deerland.com","deerland.com")</f>
        <v>deerland.com</v>
      </c>
      <c r="C4590" t="s">
        <v>433</v>
      </c>
      <c r="F4590">
        <v>3.8349028775797897E-8</v>
      </c>
      <c r="G4590">
        <v>1350049</v>
      </c>
      <c r="H4590">
        <v>13071755</v>
      </c>
      <c r="I4590">
        <v>12235376</v>
      </c>
      <c r="J4590">
        <v>3</v>
      </c>
    </row>
    <row r="4591" spans="1:10" x14ac:dyDescent="0.25">
      <c r="A4591" t="s">
        <v>1590</v>
      </c>
      <c r="B4591" s="1" t="str">
        <f>HYPERLINK("http://deerlandenzymes.com","deerlandenzymes.com")</f>
        <v>deerlandenzymes.com</v>
      </c>
      <c r="C4591" t="s">
        <v>433</v>
      </c>
      <c r="F4591">
        <v>1.5895645278397199E-8</v>
      </c>
      <c r="G4591">
        <v>3573787</v>
      </c>
      <c r="H4591">
        <v>12652138</v>
      </c>
      <c r="I4591">
        <v>15785240</v>
      </c>
      <c r="J4591">
        <v>6</v>
      </c>
    </row>
    <row r="4592" spans="1:10" x14ac:dyDescent="0.25">
      <c r="A4592" t="s">
        <v>1590</v>
      </c>
      <c r="B4592" s="1" t="str">
        <f>HYPERLINK("http://e-adm.com","e-adm.com")</f>
        <v>e-adm.com</v>
      </c>
      <c r="C4592" t="s">
        <v>433</v>
      </c>
      <c r="F4592">
        <v>3.5562491790821801E-8</v>
      </c>
      <c r="G4592">
        <v>1464074</v>
      </c>
      <c r="H4592">
        <v>12548809</v>
      </c>
      <c r="I4592">
        <v>16833839</v>
      </c>
      <c r="J4592">
        <v>3</v>
      </c>
    </row>
    <row r="4593" spans="1:10" x14ac:dyDescent="0.25">
      <c r="A4593" t="s">
        <v>1590</v>
      </c>
      <c r="B4593" s="1" t="str">
        <f>HYPERLINK("http://eatemfoods.com","eatemfoods.com")</f>
        <v>eatemfoods.com</v>
      </c>
      <c r="C4593" t="s">
        <v>433</v>
      </c>
      <c r="F4593">
        <v>5.2788839803377703E-9</v>
      </c>
      <c r="G4593">
        <v>23806727</v>
      </c>
      <c r="H4593">
        <v>12888291</v>
      </c>
      <c r="I4593">
        <v>13948022</v>
      </c>
      <c r="J4593">
        <v>3</v>
      </c>
    </row>
    <row r="4594" spans="1:10" x14ac:dyDescent="0.25">
      <c r="A4594" t="s">
        <v>1590</v>
      </c>
      <c r="B4594" s="1" t="str">
        <f>HYPERLINK("http://edibleoilsltd.com","edibleoilsltd.com")</f>
        <v>edibleoilsltd.com</v>
      </c>
      <c r="C4594" t="s">
        <v>433</v>
      </c>
      <c r="F4594">
        <v>4.9001250527122601E-9</v>
      </c>
      <c r="G4594">
        <v>32462462</v>
      </c>
      <c r="H4594">
        <v>10701621</v>
      </c>
      <c r="I4594">
        <v>42288535</v>
      </c>
      <c r="J4594">
        <v>5</v>
      </c>
    </row>
    <row r="4595" spans="1:10" x14ac:dyDescent="0.25">
      <c r="A4595" t="s">
        <v>1590</v>
      </c>
      <c r="B4595" s="1" t="str">
        <f>HYPERLINK("http://epicorebionetworks.com","epicorebionetworks.com")</f>
        <v>epicorebionetworks.com</v>
      </c>
      <c r="C4595" t="s">
        <v>433</v>
      </c>
      <c r="F4595">
        <v>9.0857185484544096E-9</v>
      </c>
      <c r="G4595">
        <v>7866710</v>
      </c>
      <c r="H4595">
        <v>13372327</v>
      </c>
      <c r="I4595">
        <v>10459883</v>
      </c>
      <c r="J4595">
        <v>3</v>
      </c>
    </row>
    <row r="4596" spans="1:10" x14ac:dyDescent="0.25">
      <c r="A4596" t="s">
        <v>1590</v>
      </c>
      <c r="B4596" s="1" t="str">
        <f>HYPERLINK("http://floridachemical.com","floridachemical.com")</f>
        <v>floridachemical.com</v>
      </c>
      <c r="C4596" t="s">
        <v>433</v>
      </c>
      <c r="F4596">
        <v>1.2363801351358299E-8</v>
      </c>
      <c r="G4596">
        <v>4958991</v>
      </c>
      <c r="H4596">
        <v>14242293</v>
      </c>
      <c r="I4596">
        <v>1485331</v>
      </c>
      <c r="J4596">
        <v>3</v>
      </c>
    </row>
    <row r="4597" spans="1:10" x14ac:dyDescent="0.25">
      <c r="A4597" t="s">
        <v>1590</v>
      </c>
      <c r="B4597" s="1" t="str">
        <f>HYPERLINK("http://goldenpeanut.com","goldenpeanut.com")</f>
        <v>goldenpeanut.com</v>
      </c>
      <c r="C4597" t="s">
        <v>433</v>
      </c>
      <c r="F4597">
        <v>1.923670041296E-8</v>
      </c>
      <c r="G4597">
        <v>2792596</v>
      </c>
      <c r="H4597">
        <v>14256785</v>
      </c>
      <c r="I4597">
        <v>1429567</v>
      </c>
      <c r="J4597">
        <v>3</v>
      </c>
    </row>
    <row r="4598" spans="1:10" x14ac:dyDescent="0.25">
      <c r="A4598" t="s">
        <v>1590</v>
      </c>
      <c r="B4598" s="1" t="str">
        <f>HYPERLINK("http://lysac.com","lysac.com")</f>
        <v>lysac.com</v>
      </c>
      <c r="C4598" t="s">
        <v>433</v>
      </c>
      <c r="F4598">
        <v>4.4567685399560798E-9</v>
      </c>
      <c r="G4598">
        <v>68821501</v>
      </c>
      <c r="H4598">
        <v>10540650</v>
      </c>
      <c r="I4598">
        <v>47242021</v>
      </c>
      <c r="J4598">
        <v>4</v>
      </c>
    </row>
    <row r="4599" spans="1:10" x14ac:dyDescent="0.25">
      <c r="A4599" t="s">
        <v>1590</v>
      </c>
      <c r="B4599" s="1" t="str">
        <f>HYPERLINK("http://nationalenzyme.com","nationalenzyme.com")</f>
        <v>nationalenzyme.com</v>
      </c>
      <c r="C4599" t="s">
        <v>433</v>
      </c>
      <c r="F4599">
        <v>9.2152725510993993E-9</v>
      </c>
      <c r="G4599">
        <v>7689462</v>
      </c>
      <c r="H4599">
        <v>13937683</v>
      </c>
      <c r="I4599">
        <v>4456339</v>
      </c>
      <c r="J4599">
        <v>3</v>
      </c>
    </row>
    <row r="4600" spans="1:10" x14ac:dyDescent="0.25">
      <c r="A4600" t="s">
        <v>1590</v>
      </c>
      <c r="B4600" s="1" t="str">
        <f>HYPERLINK("http://neovia-group.com","neovia-group.com")</f>
        <v>neovia-group.com</v>
      </c>
      <c r="C4600" t="s">
        <v>433</v>
      </c>
      <c r="F4600">
        <v>1.5447619481972899E-8</v>
      </c>
      <c r="G4600">
        <v>3699599</v>
      </c>
      <c r="H4600">
        <v>13938100</v>
      </c>
      <c r="I4600">
        <v>4445901</v>
      </c>
      <c r="J4600">
        <v>3</v>
      </c>
    </row>
    <row r="4601" spans="1:10" x14ac:dyDescent="0.25">
      <c r="A4601" t="s">
        <v>1590</v>
      </c>
      <c r="B4601" s="1" t="str">
        <f>HYPERLINK("http://ofi.com","ofi.com")</f>
        <v>ofi.com</v>
      </c>
      <c r="C4601" t="s">
        <v>433</v>
      </c>
      <c r="E4601">
        <v>522336</v>
      </c>
      <c r="F4601">
        <v>7.4910095425536E-8</v>
      </c>
      <c r="G4601">
        <v>561556</v>
      </c>
      <c r="H4601">
        <v>13401677</v>
      </c>
      <c r="I4601">
        <v>10364555</v>
      </c>
      <c r="J4601">
        <v>7</v>
      </c>
    </row>
    <row r="4602" spans="1:10" x14ac:dyDescent="0.25">
      <c r="A4602" t="s">
        <v>1590</v>
      </c>
      <c r="B4602" s="1" t="str">
        <f>HYPERLINK("http://oilio.com","oilio.com")</f>
        <v>oilio.com</v>
      </c>
      <c r="C4602" t="s">
        <v>433</v>
      </c>
      <c r="F4602">
        <v>6.36160827118183E-9</v>
      </c>
      <c r="G4602">
        <v>14705634</v>
      </c>
      <c r="H4602">
        <v>12202921</v>
      </c>
      <c r="I4602">
        <v>23244601</v>
      </c>
      <c r="J4602">
        <v>4</v>
      </c>
    </row>
    <row r="4603" spans="1:10" x14ac:dyDescent="0.25">
      <c r="A4603" t="s">
        <v>1590</v>
      </c>
      <c r="B4603" s="1" t="str">
        <f>HYPERLINK("http://olamagri.com","olamagri.com")</f>
        <v>olamagri.com</v>
      </c>
      <c r="C4603" t="s">
        <v>433</v>
      </c>
      <c r="F4603">
        <v>2.5824938985840099E-8</v>
      </c>
      <c r="G4603">
        <v>1995831</v>
      </c>
      <c r="H4603">
        <v>13068491</v>
      </c>
      <c r="I4603">
        <v>12261693</v>
      </c>
      <c r="J4603">
        <v>7</v>
      </c>
    </row>
    <row r="4604" spans="1:10" x14ac:dyDescent="0.25">
      <c r="A4604" t="s">
        <v>1590</v>
      </c>
      <c r="B4604" s="1" t="str">
        <f>HYPERLINK("http://olamgroup.com","olamgroup.com")</f>
        <v>olamgroup.com</v>
      </c>
      <c r="C4604" t="s">
        <v>433</v>
      </c>
      <c r="E4604">
        <v>212850</v>
      </c>
      <c r="F4604">
        <v>3.8755138204212801E-7</v>
      </c>
      <c r="G4604">
        <v>96671</v>
      </c>
      <c r="H4604">
        <v>14829844</v>
      </c>
      <c r="I4604">
        <v>506473</v>
      </c>
      <c r="J4604">
        <v>6</v>
      </c>
    </row>
    <row r="4605" spans="1:10" x14ac:dyDescent="0.25">
      <c r="A4605" t="s">
        <v>1590</v>
      </c>
      <c r="B4605" s="1" t="str">
        <f>HYPERLINK("http://olamnet.com","olamnet.com")</f>
        <v>olamnet.com</v>
      </c>
      <c r="C4605" t="s">
        <v>433</v>
      </c>
      <c r="E4605">
        <v>433196</v>
      </c>
      <c r="F4605">
        <v>5.7320020167260298E-9</v>
      </c>
      <c r="G4605">
        <v>18648126</v>
      </c>
      <c r="H4605">
        <v>12228606</v>
      </c>
      <c r="I4605">
        <v>22543482</v>
      </c>
      <c r="J4605">
        <v>7</v>
      </c>
    </row>
    <row r="4606" spans="1:10" x14ac:dyDescent="0.25">
      <c r="A4606" t="s">
        <v>1590</v>
      </c>
      <c r="B4606" s="1" t="str">
        <f>HYPERLINK("http://olamonline.com","olamonline.com")</f>
        <v>olamonline.com</v>
      </c>
      <c r="C4606" t="s">
        <v>433</v>
      </c>
      <c r="F4606">
        <v>2.2442586901131802E-8</v>
      </c>
      <c r="G4606">
        <v>2334986</v>
      </c>
      <c r="H4606">
        <v>14502866</v>
      </c>
      <c r="I4606">
        <v>844685</v>
      </c>
      <c r="J4606">
        <v>7</v>
      </c>
    </row>
    <row r="4607" spans="1:10" x14ac:dyDescent="0.25">
      <c r="A4607" t="s">
        <v>1590</v>
      </c>
      <c r="B4607" s="1" t="str">
        <f>HYPERLINK("http://pancosma.com","pancosma.com")</f>
        <v>pancosma.com</v>
      </c>
      <c r="C4607" t="s">
        <v>433</v>
      </c>
      <c r="F4607">
        <v>4.2800654341692902E-8</v>
      </c>
      <c r="G4607">
        <v>1126836</v>
      </c>
      <c r="H4607">
        <v>13384079</v>
      </c>
      <c r="I4607">
        <v>10414482</v>
      </c>
      <c r="J4607">
        <v>3</v>
      </c>
    </row>
    <row r="4608" spans="1:10" x14ac:dyDescent="0.25">
      <c r="A4608" t="s">
        <v>1590</v>
      </c>
      <c r="B4608" s="1" t="str">
        <f>HYPERLINK("http://protexin.com","protexin.com")</f>
        <v>protexin.com</v>
      </c>
      <c r="C4608" t="s">
        <v>433</v>
      </c>
      <c r="F4608">
        <v>2.4824681488707501E-8</v>
      </c>
      <c r="G4608">
        <v>2083055</v>
      </c>
      <c r="H4608">
        <v>14191777</v>
      </c>
      <c r="I4608">
        <v>1747893</v>
      </c>
      <c r="J4608">
        <v>3</v>
      </c>
    </row>
    <row r="4609" spans="1:10" x14ac:dyDescent="0.25">
      <c r="A4609" t="s">
        <v>1590</v>
      </c>
      <c r="B4609" s="1" t="str">
        <f>HYPERLINK("http://rodellekitchen.com","rodellekitchen.com")</f>
        <v>rodellekitchen.com</v>
      </c>
      <c r="C4609" t="s">
        <v>433</v>
      </c>
      <c r="F4609">
        <v>6.9729643954666699E-8</v>
      </c>
      <c r="G4609">
        <v>608123</v>
      </c>
      <c r="H4609">
        <v>15300229</v>
      </c>
      <c r="I4609">
        <v>386057</v>
      </c>
      <c r="J4609">
        <v>3</v>
      </c>
    </row>
    <row r="4610" spans="1:10" x14ac:dyDescent="0.25">
      <c r="A4610" t="s">
        <v>1590</v>
      </c>
      <c r="B4610" s="1" t="str">
        <f>HYPERLINK("http://toepfer.com","toepfer.com")</f>
        <v>toepfer.com</v>
      </c>
      <c r="C4610" t="s">
        <v>433</v>
      </c>
      <c r="F4610">
        <v>5.0597547458863397E-9</v>
      </c>
      <c r="G4610">
        <v>28007537</v>
      </c>
      <c r="H4610">
        <v>13763813</v>
      </c>
      <c r="I4610">
        <v>7594622</v>
      </c>
      <c r="J4610">
        <v>4</v>
      </c>
    </row>
    <row r="4611" spans="1:10" x14ac:dyDescent="0.25">
      <c r="A4611" t="s">
        <v>1590</v>
      </c>
      <c r="B4611" s="1" t="str">
        <f>HYPERLINK("http://wildflavors.com","wildflavors.com")</f>
        <v>wildflavors.com</v>
      </c>
      <c r="C4611" t="s">
        <v>433</v>
      </c>
      <c r="F4611">
        <v>4.3132212423157001E-8</v>
      </c>
      <c r="G4611">
        <v>1113432</v>
      </c>
      <c r="H4611">
        <v>14594135</v>
      </c>
      <c r="I4611">
        <v>691755</v>
      </c>
      <c r="J4611">
        <v>3</v>
      </c>
    </row>
    <row r="4612" spans="1:10" x14ac:dyDescent="0.25">
      <c r="A4612" t="s">
        <v>1590</v>
      </c>
      <c r="B4612" s="1" t="str">
        <f>HYPERLINK("http://yerbalatina.com","yerbalatina.com")</f>
        <v>yerbalatina.com</v>
      </c>
      <c r="C4612" t="s">
        <v>433</v>
      </c>
      <c r="F4612">
        <v>4.6026391147176903E-9</v>
      </c>
      <c r="G4612">
        <v>47403711</v>
      </c>
      <c r="H4612">
        <v>10953160</v>
      </c>
      <c r="I4612">
        <v>34511384</v>
      </c>
      <c r="J4612">
        <v>3</v>
      </c>
    </row>
    <row r="4613" spans="1:10" x14ac:dyDescent="0.25">
      <c r="A4613" t="s">
        <v>1590</v>
      </c>
      <c r="B4613" s="1" t="str">
        <f>HYPERLINK("http://acti.de","acti.de")</f>
        <v>acti.de</v>
      </c>
      <c r="C4613" t="s">
        <v>436</v>
      </c>
      <c r="D4613" t="s">
        <v>815</v>
      </c>
      <c r="F4613">
        <v>8.13379498958878E-9</v>
      </c>
      <c r="G4613">
        <v>9683608</v>
      </c>
      <c r="H4613">
        <v>13307533</v>
      </c>
      <c r="I4613">
        <v>10790273</v>
      </c>
      <c r="J4613">
        <v>3</v>
      </c>
    </row>
    <row r="4614" spans="1:10" x14ac:dyDescent="0.25">
      <c r="A4614" t="s">
        <v>1590</v>
      </c>
      <c r="B4614" s="1" t="str">
        <f>HYPERLINK("http://erich-ziegler.de","erich-ziegler.de")</f>
        <v>erich-ziegler.de</v>
      </c>
      <c r="C4614" t="s">
        <v>436</v>
      </c>
      <c r="D4614" t="s">
        <v>815</v>
      </c>
      <c r="F4614">
        <v>5.1998587077560399E-9</v>
      </c>
      <c r="G4614">
        <v>25118201</v>
      </c>
      <c r="H4614">
        <v>10866259</v>
      </c>
      <c r="I4614">
        <v>36569472</v>
      </c>
      <c r="J4614">
        <v>3</v>
      </c>
    </row>
    <row r="4615" spans="1:10" x14ac:dyDescent="0.25">
      <c r="A4615" t="s">
        <v>1590</v>
      </c>
      <c r="B4615" s="1" t="str">
        <f>HYPERLINK("http://oelag.de","oelag.de")</f>
        <v>oelag.de</v>
      </c>
      <c r="C4615" t="s">
        <v>436</v>
      </c>
      <c r="D4615" t="s">
        <v>815</v>
      </c>
      <c r="F4615">
        <v>6.3186866595885101E-9</v>
      </c>
      <c r="G4615">
        <v>14943532</v>
      </c>
      <c r="H4615">
        <v>12670412</v>
      </c>
      <c r="I4615">
        <v>15622140</v>
      </c>
      <c r="J4615">
        <v>3</v>
      </c>
    </row>
    <row r="4616" spans="1:10" x14ac:dyDescent="0.25">
      <c r="A4616" t="s">
        <v>1590</v>
      </c>
      <c r="B4616" s="1" t="str">
        <f>HYPERLINK("http://wild.de","wild.de")</f>
        <v>wild.de</v>
      </c>
      <c r="C4616" t="s">
        <v>436</v>
      </c>
      <c r="D4616" t="s">
        <v>815</v>
      </c>
      <c r="F4616">
        <v>1.6905613962628501E-8</v>
      </c>
      <c r="G4616">
        <v>3305801</v>
      </c>
      <c r="H4616">
        <v>14242804</v>
      </c>
      <c r="I4616">
        <v>1481557</v>
      </c>
      <c r="J4616">
        <v>3</v>
      </c>
    </row>
    <row r="4617" spans="1:10" x14ac:dyDescent="0.25">
      <c r="A4617" t="s">
        <v>1590</v>
      </c>
      <c r="B4617" s="1" t="str">
        <f>HYPERLINK("http://zuhorn.de","zuhorn.de")</f>
        <v>zuhorn.de</v>
      </c>
      <c r="C4617" t="s">
        <v>436</v>
      </c>
      <c r="D4617" t="s">
        <v>815</v>
      </c>
      <c r="F4617">
        <v>1.0487849000085799E-8</v>
      </c>
      <c r="G4617">
        <v>6280079</v>
      </c>
      <c r="H4617">
        <v>12194414</v>
      </c>
      <c r="I4617">
        <v>23469491</v>
      </c>
      <c r="J4617">
        <v>2</v>
      </c>
    </row>
    <row r="4618" spans="1:10" x14ac:dyDescent="0.25">
      <c r="A4618" t="s">
        <v>1590</v>
      </c>
      <c r="B4618" s="1" t="str">
        <f>HYPERLINK("http://biopolis.es","biopolis.es")</f>
        <v>biopolis.es</v>
      </c>
      <c r="C4618" t="s">
        <v>443</v>
      </c>
      <c r="D4618" t="s">
        <v>822</v>
      </c>
      <c r="F4618">
        <v>2.5189796082333899E-8</v>
      </c>
      <c r="G4618">
        <v>2049856</v>
      </c>
      <c r="H4618">
        <v>14072379</v>
      </c>
      <c r="I4618">
        <v>3102438</v>
      </c>
      <c r="J4618">
        <v>3</v>
      </c>
    </row>
    <row r="4619" spans="1:10" x14ac:dyDescent="0.25">
      <c r="A4619" t="s">
        <v>1590</v>
      </c>
      <c r="B4619" s="1" t="str">
        <f>HYPERLINK("http://pilardiere.eu","pilardiere.eu")</f>
        <v>pilardiere.eu</v>
      </c>
      <c r="C4619" t="s">
        <v>444</v>
      </c>
      <c r="F4619">
        <v>5.1337411638967303E-9</v>
      </c>
      <c r="G4619">
        <v>26385456</v>
      </c>
      <c r="H4619">
        <v>12250716</v>
      </c>
      <c r="I4619">
        <v>22001723</v>
      </c>
      <c r="J4619">
        <v>5</v>
      </c>
    </row>
    <row r="4620" spans="1:10" x14ac:dyDescent="0.25">
      <c r="A4620" t="s">
        <v>1590</v>
      </c>
      <c r="B4620" s="1" t="str">
        <f>HYPERLINK("http://neovia-group.fi","neovia-group.fi")</f>
        <v>neovia-group.fi</v>
      </c>
      <c r="C4620" t="s">
        <v>445</v>
      </c>
      <c r="D4620" t="s">
        <v>823</v>
      </c>
      <c r="J4620">
        <v>4</v>
      </c>
    </row>
    <row r="4621" spans="1:10" x14ac:dyDescent="0.25">
      <c r="A4621" t="s">
        <v>1590</v>
      </c>
      <c r="B4621" s="1" t="str">
        <f>HYPERLINK("http://adgene.fr","adgene.fr")</f>
        <v>adgene.fr</v>
      </c>
      <c r="C4621" t="s">
        <v>446</v>
      </c>
      <c r="D4621" t="s">
        <v>824</v>
      </c>
      <c r="F4621">
        <v>4.9935572193161498E-9</v>
      </c>
      <c r="G4621">
        <v>29577639</v>
      </c>
      <c r="H4621">
        <v>12209022</v>
      </c>
      <c r="I4621">
        <v>23050267</v>
      </c>
      <c r="J4621">
        <v>3</v>
      </c>
    </row>
    <row r="4622" spans="1:10" x14ac:dyDescent="0.25">
      <c r="A4622" t="s">
        <v>1590</v>
      </c>
      <c r="B4622" s="1" t="str">
        <f>HYPERLINK("http://chamtor.fr","chamtor.fr")</f>
        <v>chamtor.fr</v>
      </c>
      <c r="C4622" t="s">
        <v>446</v>
      </c>
      <c r="D4622" t="s">
        <v>824</v>
      </c>
      <c r="F4622">
        <v>5.1871700276277803E-9</v>
      </c>
      <c r="G4622">
        <v>25385275</v>
      </c>
      <c r="H4622">
        <v>13764653</v>
      </c>
      <c r="I4622">
        <v>7217861</v>
      </c>
      <c r="J4622">
        <v>4</v>
      </c>
    </row>
    <row r="4623" spans="1:10" x14ac:dyDescent="0.25">
      <c r="A4623" t="s">
        <v>1590</v>
      </c>
      <c r="B4623" s="1" t="str">
        <f>HYPERLINK("http://admis.com.hk","admis.com.hk")</f>
        <v>admis.com.hk</v>
      </c>
      <c r="C4623" t="s">
        <v>450</v>
      </c>
      <c r="D4623" t="s">
        <v>827</v>
      </c>
      <c r="F4623">
        <v>1.14886600014791E-8</v>
      </c>
      <c r="G4623">
        <v>5513271</v>
      </c>
      <c r="H4623">
        <v>13462057</v>
      </c>
      <c r="I4623">
        <v>10150517</v>
      </c>
      <c r="J4623">
        <v>3</v>
      </c>
    </row>
    <row r="4624" spans="1:10" x14ac:dyDescent="0.25">
      <c r="A4624" t="s">
        <v>1590</v>
      </c>
      <c r="B4624" s="1" t="str">
        <f>HYPERLINK("http://industries-centers.co.il","industries-centers.co.il")</f>
        <v>industries-centers.co.il</v>
      </c>
      <c r="C4624" t="s">
        <v>456</v>
      </c>
      <c r="D4624" t="s">
        <v>833</v>
      </c>
      <c r="F4624">
        <v>4.6645879356621204E-9</v>
      </c>
      <c r="G4624">
        <v>43254489</v>
      </c>
      <c r="H4624">
        <v>10511403</v>
      </c>
      <c r="I4624">
        <v>49505569</v>
      </c>
      <c r="J4624">
        <v>3</v>
      </c>
    </row>
    <row r="4625" spans="1:10" x14ac:dyDescent="0.25">
      <c r="A4625" t="s">
        <v>1590</v>
      </c>
      <c r="B4625" s="1" t="str">
        <f>HYPERLINK("http://maltacleyton.com.mx","maltacleyton.com.mx")</f>
        <v>maltacleyton.com.mx</v>
      </c>
      <c r="C4625" t="s">
        <v>471</v>
      </c>
      <c r="D4625" t="s">
        <v>847</v>
      </c>
      <c r="F4625">
        <v>8.2896642956806802E-9</v>
      </c>
      <c r="G4625">
        <v>9283449</v>
      </c>
      <c r="H4625">
        <v>12600935</v>
      </c>
      <c r="I4625">
        <v>16319533</v>
      </c>
      <c r="J4625">
        <v>3</v>
      </c>
    </row>
    <row r="4626" spans="1:10" x14ac:dyDescent="0.25">
      <c r="A4626" t="s">
        <v>1590</v>
      </c>
      <c r="B4626" s="1" t="str">
        <f>HYPERLINK("http://admnewzealand.co.nz","admnewzealand.co.nz")</f>
        <v>admnewzealand.co.nz</v>
      </c>
      <c r="C4626" t="s">
        <v>479</v>
      </c>
      <c r="D4626" t="s">
        <v>854</v>
      </c>
      <c r="J4626">
        <v>3</v>
      </c>
    </row>
    <row r="4627" spans="1:10" x14ac:dyDescent="0.25">
      <c r="A4627" t="s">
        <v>1590</v>
      </c>
      <c r="B4627" s="1" t="str">
        <f>HYPERLINK("http://invivo-nsa.pt","invivo-nsa.pt")</f>
        <v>invivo-nsa.pt</v>
      </c>
      <c r="C4627" t="s">
        <v>488</v>
      </c>
      <c r="D4627" t="s">
        <v>862</v>
      </c>
      <c r="F4627">
        <v>4.4559713715467202E-9</v>
      </c>
      <c r="G4627">
        <v>69125472</v>
      </c>
      <c r="H4627">
        <v>9165956</v>
      </c>
      <c r="I4627">
        <v>68781928</v>
      </c>
      <c r="J4627">
        <v>4</v>
      </c>
    </row>
    <row r="4628" spans="1:10" x14ac:dyDescent="0.25">
      <c r="A4628" t="s">
        <v>1590</v>
      </c>
      <c r="B4628" s="1" t="str">
        <f>HYPERLINK("http://nss.ro","nss.ro")</f>
        <v>nss.ro</v>
      </c>
      <c r="C4628" t="s">
        <v>491</v>
      </c>
      <c r="D4628" t="s">
        <v>865</v>
      </c>
      <c r="F4628">
        <v>4.57401132135496E-9</v>
      </c>
      <c r="G4628">
        <v>49828612</v>
      </c>
      <c r="H4628">
        <v>8881712</v>
      </c>
      <c r="I4628">
        <v>69082264</v>
      </c>
      <c r="J4628">
        <v>3</v>
      </c>
    </row>
    <row r="4629" spans="1:10" x14ac:dyDescent="0.25">
      <c r="A4629" t="s">
        <v>1590</v>
      </c>
      <c r="B4629" s="1" t="str">
        <f>HYPERLINK("http://admis.com.sg","admis.com.sg")</f>
        <v>admis.com.sg</v>
      </c>
      <c r="C4629" t="s">
        <v>496</v>
      </c>
      <c r="D4629" t="s">
        <v>870</v>
      </c>
      <c r="F4629">
        <v>8.9010252152769005E-9</v>
      </c>
      <c r="G4629">
        <v>8142406</v>
      </c>
      <c r="H4629">
        <v>11148043</v>
      </c>
      <c r="I4629">
        <v>31759311</v>
      </c>
      <c r="J4629">
        <v>3</v>
      </c>
    </row>
    <row r="4630" spans="1:10" x14ac:dyDescent="0.25">
      <c r="A4630" t="s">
        <v>1590</v>
      </c>
      <c r="B4630" s="1" t="str">
        <f>HYPERLINK("http://4flour.co.uk","4flour.co.uk")</f>
        <v>4flour.co.uk</v>
      </c>
      <c r="C4630" t="s">
        <v>506</v>
      </c>
      <c r="D4630" t="s">
        <v>880</v>
      </c>
      <c r="F4630">
        <v>8.1525004109905997E-9</v>
      </c>
      <c r="G4630">
        <v>9651963</v>
      </c>
      <c r="H4630">
        <v>12816297</v>
      </c>
      <c r="I4630">
        <v>14531375</v>
      </c>
      <c r="J4630">
        <v>3</v>
      </c>
    </row>
    <row r="4631" spans="1:10" x14ac:dyDescent="0.25">
      <c r="A4631" t="s">
        <v>1590</v>
      </c>
      <c r="B4631" s="1" t="str">
        <f>HYPERLINK("http://pura.co.uk","pura.co.uk")</f>
        <v>pura.co.uk</v>
      </c>
      <c r="C4631" t="s">
        <v>506</v>
      </c>
      <c r="D4631" t="s">
        <v>880</v>
      </c>
      <c r="F4631">
        <v>4.51262676656449E-9</v>
      </c>
      <c r="G4631">
        <v>57154330</v>
      </c>
      <c r="H4631">
        <v>10979354</v>
      </c>
      <c r="I4631">
        <v>33948455</v>
      </c>
      <c r="J4631">
        <v>3</v>
      </c>
    </row>
    <row r="4632" spans="1:10" x14ac:dyDescent="0.25">
      <c r="A4632" t="s">
        <v>42</v>
      </c>
      <c r="B4632" s="1" t="str">
        <f>HYPERLINK("http://airtightnetworks.com","airtightnetworks.com")</f>
        <v>airtightnetworks.com</v>
      </c>
      <c r="C4632" t="s">
        <v>433</v>
      </c>
      <c r="E4632">
        <v>127431</v>
      </c>
      <c r="F4632">
        <v>7.8918434830542796E-8</v>
      </c>
      <c r="G4632">
        <v>529625</v>
      </c>
      <c r="H4632">
        <v>14547299</v>
      </c>
      <c r="I4632">
        <v>765250</v>
      </c>
      <c r="J4632">
        <v>4</v>
      </c>
    </row>
    <row r="4633" spans="1:10" x14ac:dyDescent="0.25">
      <c r="A4633" t="s">
        <v>42</v>
      </c>
      <c r="B4633" s="1" t="str">
        <f>HYPERLINK("http://arista.com","arista.com")</f>
        <v>arista.com</v>
      </c>
      <c r="C4633" t="s">
        <v>433</v>
      </c>
      <c r="E4633">
        <v>32867</v>
      </c>
      <c r="F4633">
        <v>2.2758932370830999E-6</v>
      </c>
      <c r="G4633">
        <v>16205</v>
      </c>
      <c r="H4633">
        <v>17622954</v>
      </c>
      <c r="I4633">
        <v>9040</v>
      </c>
      <c r="J4633">
        <v>1</v>
      </c>
    </row>
    <row r="4634" spans="1:10" x14ac:dyDescent="0.25">
      <c r="A4634" t="s">
        <v>1591</v>
      </c>
      <c r="B4634" s="1" t="str">
        <f>HYPERLINK("http://parisco.as","parisco.as")</f>
        <v>parisco.as</v>
      </c>
      <c r="C4634" t="s">
        <v>555</v>
      </c>
      <c r="D4634" t="s">
        <v>909</v>
      </c>
      <c r="F4634">
        <v>4.44380395335525E-9</v>
      </c>
      <c r="G4634">
        <v>79952859</v>
      </c>
      <c r="H4634">
        <v>0</v>
      </c>
      <c r="I4634">
        <v>79958586</v>
      </c>
      <c r="J4634">
        <v>5</v>
      </c>
    </row>
    <row r="4635" spans="1:10" x14ac:dyDescent="0.25">
      <c r="A4635" t="s">
        <v>1591</v>
      </c>
      <c r="B4635" s="1" t="str">
        <f>HYPERLINK("http://aceirm.com.au","aceirm.com.au")</f>
        <v>aceirm.com.au</v>
      </c>
      <c r="C4635" t="s">
        <v>420</v>
      </c>
      <c r="D4635" t="s">
        <v>802</v>
      </c>
      <c r="F4635">
        <v>4.4455115879568901E-9</v>
      </c>
      <c r="G4635">
        <v>75210092</v>
      </c>
      <c r="H4635">
        <v>9400874</v>
      </c>
      <c r="I4635">
        <v>67259138</v>
      </c>
      <c r="J4635">
        <v>7</v>
      </c>
    </row>
    <row r="4636" spans="1:10" x14ac:dyDescent="0.25">
      <c r="A4636" t="s">
        <v>1591</v>
      </c>
      <c r="B4636" s="1" t="str">
        <f>HYPERLINK("http://ajg.com.au","ajg.com.au")</f>
        <v>ajg.com.au</v>
      </c>
      <c r="C4636" t="s">
        <v>420</v>
      </c>
      <c r="D4636" t="s">
        <v>802</v>
      </c>
      <c r="E4636">
        <v>343738</v>
      </c>
      <c r="F4636">
        <v>5.2577410208121799E-8</v>
      </c>
      <c r="G4636">
        <v>867120</v>
      </c>
      <c r="H4636">
        <v>13693970</v>
      </c>
      <c r="I4636">
        <v>9527137</v>
      </c>
      <c r="J4636">
        <v>2</v>
      </c>
    </row>
    <row r="4637" spans="1:10" x14ac:dyDescent="0.25">
      <c r="A4637" t="s">
        <v>1591</v>
      </c>
      <c r="B4637" s="1" t="str">
        <f>HYPERLINK("http://avantek.com.au","avantek.com.au")</f>
        <v>avantek.com.au</v>
      </c>
      <c r="C4637" t="s">
        <v>420</v>
      </c>
      <c r="D4637" t="s">
        <v>802</v>
      </c>
      <c r="J4637">
        <v>3</v>
      </c>
    </row>
    <row r="4638" spans="1:10" x14ac:dyDescent="0.25">
      <c r="A4638" t="s">
        <v>1591</v>
      </c>
      <c r="B4638" s="1" t="str">
        <f>HYPERLINK("http://completefinancialbalance.com.au","completefinancialbalance.com.au")</f>
        <v>completefinancialbalance.com.au</v>
      </c>
      <c r="C4638" t="s">
        <v>420</v>
      </c>
      <c r="D4638" t="s">
        <v>802</v>
      </c>
      <c r="J4638">
        <v>3</v>
      </c>
    </row>
    <row r="4639" spans="1:10" x14ac:dyDescent="0.25">
      <c r="A4639" t="s">
        <v>1591</v>
      </c>
      <c r="B4639" s="1" t="str">
        <f>HYPERLINK("http://effectus.com.au","effectus.com.au")</f>
        <v>effectus.com.au</v>
      </c>
      <c r="C4639" t="s">
        <v>420</v>
      </c>
      <c r="D4639" t="s">
        <v>802</v>
      </c>
      <c r="F4639">
        <v>4.47778453579319E-9</v>
      </c>
      <c r="G4639">
        <v>62814356</v>
      </c>
      <c r="H4639">
        <v>11133645</v>
      </c>
      <c r="I4639">
        <v>31909332</v>
      </c>
      <c r="J4639">
        <v>3</v>
      </c>
    </row>
    <row r="4640" spans="1:10" x14ac:dyDescent="0.25">
      <c r="A4640" t="s">
        <v>1591</v>
      </c>
      <c r="B4640" s="1" t="str">
        <f>HYPERLINK("http://finergy.com.au","finergy.com.au")</f>
        <v>finergy.com.au</v>
      </c>
      <c r="C4640" t="s">
        <v>420</v>
      </c>
      <c r="D4640" t="s">
        <v>802</v>
      </c>
      <c r="J4640">
        <v>3</v>
      </c>
    </row>
    <row r="4641" spans="1:10" x14ac:dyDescent="0.25">
      <c r="A4641" t="s">
        <v>1591</v>
      </c>
      <c r="B4641" s="1" t="str">
        <f>HYPERLINK("http://gallagherbassett.com.au","gallagherbassett.com.au")</f>
        <v>gallagherbassett.com.au</v>
      </c>
      <c r="C4641" t="s">
        <v>420</v>
      </c>
      <c r="D4641" t="s">
        <v>802</v>
      </c>
      <c r="F4641">
        <v>2.0217058933902999E-8</v>
      </c>
      <c r="G4641">
        <v>2626653</v>
      </c>
      <c r="H4641">
        <v>13773613</v>
      </c>
      <c r="I4641">
        <v>6626915</v>
      </c>
      <c r="J4641">
        <v>3</v>
      </c>
    </row>
    <row r="4642" spans="1:10" x14ac:dyDescent="0.25">
      <c r="A4642" t="s">
        <v>1591</v>
      </c>
      <c r="B4642" s="1" t="str">
        <f>HYPERLINK("http://milnealexander.com.au","milnealexander.com.au")</f>
        <v>milnealexander.com.au</v>
      </c>
      <c r="C4642" t="s">
        <v>420</v>
      </c>
      <c r="D4642" t="s">
        <v>802</v>
      </c>
      <c r="F4642">
        <v>4.5263774562378598E-9</v>
      </c>
      <c r="G4642">
        <v>55452790</v>
      </c>
      <c r="H4642">
        <v>11984445</v>
      </c>
      <c r="I4642">
        <v>28445526</v>
      </c>
      <c r="J4642">
        <v>3</v>
      </c>
    </row>
    <row r="4643" spans="1:10" x14ac:dyDescent="0.25">
      <c r="A4643" t="s">
        <v>1591</v>
      </c>
      <c r="B4643" s="1" t="str">
        <f>HYPERLINK("http://strathearn.com.au","strathearn.com.au")</f>
        <v>strathearn.com.au</v>
      </c>
      <c r="C4643" t="s">
        <v>420</v>
      </c>
      <c r="D4643" t="s">
        <v>802</v>
      </c>
      <c r="F4643">
        <v>4.4916886918736104E-9</v>
      </c>
      <c r="G4643">
        <v>60242594</v>
      </c>
      <c r="H4643">
        <v>12052804</v>
      </c>
      <c r="I4643">
        <v>27173938</v>
      </c>
      <c r="J4643">
        <v>5</v>
      </c>
    </row>
    <row r="4644" spans="1:10" x14ac:dyDescent="0.25">
      <c r="A4644" t="s">
        <v>1591</v>
      </c>
      <c r="B4644" s="1" t="str">
        <f>HYPERLINK("http://super-advice.com.au","super-advice.com.au")</f>
        <v>super-advice.com.au</v>
      </c>
      <c r="C4644" t="s">
        <v>420</v>
      </c>
      <c r="D4644" t="s">
        <v>802</v>
      </c>
      <c r="F4644">
        <v>4.4943002292278299E-9</v>
      </c>
      <c r="G4644">
        <v>59807863</v>
      </c>
      <c r="H4644">
        <v>12229176</v>
      </c>
      <c r="I4644">
        <v>22525442</v>
      </c>
      <c r="J4644">
        <v>3</v>
      </c>
    </row>
    <row r="4645" spans="1:10" x14ac:dyDescent="0.25">
      <c r="A4645" t="s">
        <v>1591</v>
      </c>
      <c r="B4645" s="1" t="str">
        <f>HYPERLINK("http://gallagherbassett.net.au","gallagherbassett.net.au")</f>
        <v>gallagherbassett.net.au</v>
      </c>
      <c r="C4645" t="s">
        <v>420</v>
      </c>
      <c r="D4645" t="s">
        <v>802</v>
      </c>
      <c r="F4645">
        <v>4.4438564139751003E-9</v>
      </c>
      <c r="G4645">
        <v>78319330</v>
      </c>
      <c r="H4645">
        <v>10370087</v>
      </c>
      <c r="I4645">
        <v>54861832</v>
      </c>
      <c r="J4645">
        <v>4</v>
      </c>
    </row>
    <row r="4646" spans="1:10" x14ac:dyDescent="0.25">
      <c r="A4646" t="s">
        <v>1591</v>
      </c>
      <c r="B4646" s="1" t="str">
        <f>HYPERLINK("http://caininsurance.ca","caininsurance.ca")</f>
        <v>caininsurance.ca</v>
      </c>
      <c r="C4646" t="s">
        <v>428</v>
      </c>
      <c r="D4646" t="s">
        <v>809</v>
      </c>
      <c r="F4646">
        <v>6.3015683944140904E-9</v>
      </c>
      <c r="G4646">
        <v>15024050</v>
      </c>
      <c r="H4646">
        <v>12578169</v>
      </c>
      <c r="I4646">
        <v>16534206</v>
      </c>
      <c r="J4646">
        <v>3</v>
      </c>
    </row>
    <row r="4647" spans="1:10" x14ac:dyDescent="0.25">
      <c r="A4647" t="s">
        <v>1591</v>
      </c>
      <c r="B4647" s="1" t="str">
        <f>HYPERLINK("http://verbag.ch","verbag.ch")</f>
        <v>verbag.ch</v>
      </c>
      <c r="C4647" t="s">
        <v>429</v>
      </c>
      <c r="D4647" t="s">
        <v>810</v>
      </c>
      <c r="J4647">
        <v>3</v>
      </c>
    </row>
    <row r="4648" spans="1:10" x14ac:dyDescent="0.25">
      <c r="A4648" t="s">
        <v>1591</v>
      </c>
      <c r="B4648" s="1" t="str">
        <f>HYPERLINK("http://ajgcolombia.com.co","ajgcolombia.com.co")</f>
        <v>ajgcolombia.com.co</v>
      </c>
      <c r="C4648" t="s">
        <v>432</v>
      </c>
      <c r="J4648">
        <v>3</v>
      </c>
    </row>
    <row r="4649" spans="1:10" x14ac:dyDescent="0.25">
      <c r="A4649" t="s">
        <v>1591</v>
      </c>
      <c r="B4649" s="1" t="str">
        <f>HYPERLINK("http://adcogen.com","adcogen.com")</f>
        <v>adcogen.com</v>
      </c>
      <c r="C4649" t="s">
        <v>433</v>
      </c>
      <c r="F4649">
        <v>7.8596010634446594E-9</v>
      </c>
      <c r="G4649">
        <v>10193627</v>
      </c>
      <c r="H4649">
        <v>13768887</v>
      </c>
      <c r="I4649">
        <v>6853085</v>
      </c>
      <c r="J4649">
        <v>6</v>
      </c>
    </row>
    <row r="4650" spans="1:10" x14ac:dyDescent="0.25">
      <c r="A4650" t="s">
        <v>1591</v>
      </c>
      <c r="B4650" s="1" t="str">
        <f>HYPERLINK("http://afrinsurance.com","afrinsurance.com")</f>
        <v>afrinsurance.com</v>
      </c>
      <c r="C4650" t="s">
        <v>433</v>
      </c>
      <c r="F4650">
        <v>4.5857989247270698E-9</v>
      </c>
      <c r="G4650">
        <v>48772675</v>
      </c>
      <c r="H4650">
        <v>10438367</v>
      </c>
      <c r="I4650">
        <v>52525651</v>
      </c>
      <c r="J4650">
        <v>4</v>
      </c>
    </row>
    <row r="4651" spans="1:10" x14ac:dyDescent="0.25">
      <c r="A4651" t="s">
        <v>1591</v>
      </c>
      <c r="B4651" s="1" t="str">
        <f>HYPERLINK("http://ajg.com","ajg.com")</f>
        <v>ajg.com</v>
      </c>
      <c r="C4651" t="s">
        <v>433</v>
      </c>
      <c r="E4651">
        <v>24813</v>
      </c>
      <c r="F4651">
        <v>2.96114284660919E-6</v>
      </c>
      <c r="G4651">
        <v>13118</v>
      </c>
      <c r="H4651">
        <v>17393950</v>
      </c>
      <c r="I4651">
        <v>19621</v>
      </c>
      <c r="J4651">
        <v>1</v>
      </c>
    </row>
    <row r="4652" spans="1:10" x14ac:dyDescent="0.25">
      <c r="A4652" t="s">
        <v>1591</v>
      </c>
      <c r="B4652" s="1" t="str">
        <f>HYPERLINK("http://ajgecommerce.com","ajgecommerce.com")</f>
        <v>ajgecommerce.com</v>
      </c>
      <c r="C4652" t="s">
        <v>433</v>
      </c>
      <c r="J4652">
        <v>2</v>
      </c>
    </row>
    <row r="4653" spans="1:10" x14ac:dyDescent="0.25">
      <c r="A4653" t="s">
        <v>1591</v>
      </c>
      <c r="B4653" s="1" t="str">
        <f>HYPERLINK("http://ajginternational.com","ajginternational.com")</f>
        <v>ajginternational.com</v>
      </c>
      <c r="C4653" t="s">
        <v>433</v>
      </c>
      <c r="E4653">
        <v>917317</v>
      </c>
      <c r="F4653">
        <v>3.7661736457899498E-8</v>
      </c>
      <c r="G4653">
        <v>1374029</v>
      </c>
      <c r="H4653">
        <v>13943688</v>
      </c>
      <c r="I4653">
        <v>4310617</v>
      </c>
      <c r="J4653">
        <v>2</v>
      </c>
    </row>
    <row r="4654" spans="1:10" x14ac:dyDescent="0.25">
      <c r="A4654" t="s">
        <v>1591</v>
      </c>
      <c r="B4654" s="1" t="str">
        <f>HYPERLINK("http://alescorms.com","alescorms.com")</f>
        <v>alescorms.com</v>
      </c>
      <c r="C4654" t="s">
        <v>433</v>
      </c>
      <c r="F4654">
        <v>1.2462880717877299E-8</v>
      </c>
      <c r="G4654">
        <v>4905336</v>
      </c>
      <c r="H4654">
        <v>12398036</v>
      </c>
      <c r="I4654">
        <v>18883114</v>
      </c>
      <c r="J4654">
        <v>2</v>
      </c>
    </row>
    <row r="4655" spans="1:10" x14ac:dyDescent="0.25">
      <c r="A4655" t="s">
        <v>1591</v>
      </c>
      <c r="B4655" s="1" t="str">
        <f>HYPERLINK("http://alliedclaims.com","alliedclaims.com")</f>
        <v>alliedclaims.com</v>
      </c>
      <c r="C4655" t="s">
        <v>433</v>
      </c>
      <c r="J4655">
        <v>3</v>
      </c>
    </row>
    <row r="4656" spans="1:10" x14ac:dyDescent="0.25">
      <c r="A4656" t="s">
        <v>1591</v>
      </c>
      <c r="B4656" s="1" t="str">
        <f>HYPERLINK("http://another-day.com","another-day.com")</f>
        <v>another-day.com</v>
      </c>
      <c r="C4656" t="s">
        <v>433</v>
      </c>
      <c r="F4656">
        <v>2.90624951050644E-8</v>
      </c>
      <c r="G4656">
        <v>1771682</v>
      </c>
      <c r="H4656">
        <v>12490575</v>
      </c>
      <c r="I4656">
        <v>17483492</v>
      </c>
      <c r="J4656">
        <v>3</v>
      </c>
    </row>
    <row r="4657" spans="1:10" x14ac:dyDescent="0.25">
      <c r="A4657" t="s">
        <v>1591</v>
      </c>
      <c r="B4657" s="1" t="str">
        <f>HYPERLINK("http://artexrisk.com","artexrisk.com")</f>
        <v>artexrisk.com</v>
      </c>
      <c r="C4657" t="s">
        <v>433</v>
      </c>
      <c r="F4657">
        <v>5.6860122745570298E-8</v>
      </c>
      <c r="G4657">
        <v>785614</v>
      </c>
      <c r="H4657">
        <v>13785623</v>
      </c>
      <c r="I4657">
        <v>6399544</v>
      </c>
      <c r="J4657">
        <v>2</v>
      </c>
    </row>
    <row r="4658" spans="1:10" x14ac:dyDescent="0.25">
      <c r="A4658" t="s">
        <v>1591</v>
      </c>
      <c r="B4658" s="1" t="str">
        <f>HYPERLINK("http://bergvallmarine.com","bergvallmarine.com")</f>
        <v>bergvallmarine.com</v>
      </c>
      <c r="C4658" t="s">
        <v>433</v>
      </c>
      <c r="F4658">
        <v>1.00041378563367E-8</v>
      </c>
      <c r="G4658">
        <v>6751634</v>
      </c>
      <c r="H4658">
        <v>12197069</v>
      </c>
      <c r="I4658">
        <v>23397334</v>
      </c>
      <c r="J4658">
        <v>3</v>
      </c>
    </row>
    <row r="4659" spans="1:10" x14ac:dyDescent="0.25">
      <c r="A4659" t="s">
        <v>1591</v>
      </c>
      <c r="B4659" s="1" t="str">
        <f>HYPERLINK("http://blueleafconsult.com","blueleafconsult.com")</f>
        <v>blueleafconsult.com</v>
      </c>
      <c r="C4659" t="s">
        <v>433</v>
      </c>
      <c r="F4659">
        <v>4.7199458044810296E-9</v>
      </c>
      <c r="G4659">
        <v>40223291</v>
      </c>
      <c r="H4659">
        <v>9783580</v>
      </c>
      <c r="I4659">
        <v>62709852</v>
      </c>
      <c r="J4659">
        <v>3</v>
      </c>
    </row>
    <row r="4660" spans="1:10" x14ac:dyDescent="0.25">
      <c r="A4660" t="s">
        <v>1591</v>
      </c>
      <c r="B4660" s="1" t="str">
        <f>HYPERLINK("http://bollington.com","bollington.com")</f>
        <v>bollington.com</v>
      </c>
      <c r="C4660" t="s">
        <v>433</v>
      </c>
      <c r="F4660">
        <v>1.3670164422220901E-8</v>
      </c>
      <c r="G4660">
        <v>4333070</v>
      </c>
      <c r="H4660">
        <v>12611856</v>
      </c>
      <c r="I4660">
        <v>16226436</v>
      </c>
      <c r="J4660">
        <v>3</v>
      </c>
    </row>
    <row r="4661" spans="1:10" x14ac:dyDescent="0.25">
      <c r="A4661" t="s">
        <v>1591</v>
      </c>
      <c r="B4661" s="1" t="str">
        <f>HYPERLINK("http://bollingtonunderwriting.com","bollingtonunderwriting.com")</f>
        <v>bollingtonunderwriting.com</v>
      </c>
      <c r="C4661" t="s">
        <v>433</v>
      </c>
      <c r="J4661">
        <v>3</v>
      </c>
    </row>
    <row r="4662" spans="1:10" x14ac:dyDescent="0.25">
      <c r="A4662" t="s">
        <v>1591</v>
      </c>
      <c r="B4662" s="1" t="str">
        <f>HYPERLINK("http://capsicumre.com","capsicumre.com")</f>
        <v>capsicumre.com</v>
      </c>
      <c r="C4662" t="s">
        <v>433</v>
      </c>
      <c r="F4662">
        <v>3.1511485208190398E-8</v>
      </c>
      <c r="G4662">
        <v>1637343</v>
      </c>
      <c r="H4662">
        <v>13416880</v>
      </c>
      <c r="I4662">
        <v>10312018</v>
      </c>
      <c r="J4662">
        <v>3</v>
      </c>
    </row>
    <row r="4663" spans="1:10" x14ac:dyDescent="0.25">
      <c r="A4663" t="s">
        <v>1591</v>
      </c>
      <c r="B4663" s="1" t="str">
        <f>HYPERLINK("http://charityfirst.com","charityfirst.com")</f>
        <v>charityfirst.com</v>
      </c>
      <c r="C4663" t="s">
        <v>433</v>
      </c>
      <c r="F4663">
        <v>1.13848161530203E-8</v>
      </c>
      <c r="G4663">
        <v>5584442</v>
      </c>
      <c r="H4663">
        <v>12274759</v>
      </c>
      <c r="I4663">
        <v>21419794</v>
      </c>
      <c r="J4663">
        <v>2</v>
      </c>
    </row>
    <row r="4664" spans="1:10" x14ac:dyDescent="0.25">
      <c r="A4664" t="s">
        <v>1591</v>
      </c>
      <c r="B4664" s="1" t="str">
        <f>HYPERLINK("http://csrins.com","csrins.com")</f>
        <v>csrins.com</v>
      </c>
      <c r="C4664" t="s">
        <v>433</v>
      </c>
      <c r="F4664">
        <v>4.9390138448878698E-9</v>
      </c>
      <c r="G4664">
        <v>31119509</v>
      </c>
      <c r="H4664">
        <v>12321747</v>
      </c>
      <c r="I4664">
        <v>20379661</v>
      </c>
      <c r="J4664">
        <v>6</v>
      </c>
    </row>
    <row r="4665" spans="1:10" x14ac:dyDescent="0.25">
      <c r="A4665" t="s">
        <v>1591</v>
      </c>
      <c r="B4665" s="1" t="str">
        <f>HYPERLINK("http://excelins.com","excelins.com")</f>
        <v>excelins.com</v>
      </c>
      <c r="C4665" t="s">
        <v>433</v>
      </c>
      <c r="J4665">
        <v>6</v>
      </c>
    </row>
    <row r="4666" spans="1:10" x14ac:dyDescent="0.25">
      <c r="A4666" t="s">
        <v>1591</v>
      </c>
      <c r="B4666" s="1" t="str">
        <f>HYPERLINK("http://flexibenefits.com","flexibenefits.com")</f>
        <v>flexibenefits.com</v>
      </c>
      <c r="C4666" t="s">
        <v>433</v>
      </c>
      <c r="F4666">
        <v>4.54617077108127E-9</v>
      </c>
      <c r="G4666">
        <v>52600064</v>
      </c>
      <c r="H4666">
        <v>10831595</v>
      </c>
      <c r="I4666">
        <v>37357886</v>
      </c>
      <c r="J4666">
        <v>4</v>
      </c>
    </row>
    <row r="4667" spans="1:10" x14ac:dyDescent="0.25">
      <c r="A4667" t="s">
        <v>1591</v>
      </c>
      <c r="B4667" s="1" t="str">
        <f>HYPERLINK("http://gallagherbassett.com","gallagherbassett.com")</f>
        <v>gallagherbassett.com</v>
      </c>
      <c r="C4667" t="s">
        <v>433</v>
      </c>
      <c r="E4667">
        <v>319364</v>
      </c>
      <c r="F4667">
        <v>5.9335414306667803E-8</v>
      </c>
      <c r="G4667">
        <v>746406</v>
      </c>
      <c r="H4667">
        <v>13328946</v>
      </c>
      <c r="I4667">
        <v>10723961</v>
      </c>
      <c r="J4667">
        <v>2</v>
      </c>
    </row>
    <row r="4668" spans="1:10" x14ac:dyDescent="0.25">
      <c r="A4668" t="s">
        <v>1591</v>
      </c>
      <c r="B4668" s="1" t="str">
        <f>HYPERLINK("http://gallagherglobalnetwork.com","gallagherglobalnetwork.com")</f>
        <v>gallagherglobalnetwork.com</v>
      </c>
      <c r="C4668" t="s">
        <v>433</v>
      </c>
      <c r="F4668">
        <v>4.44380395335525E-9</v>
      </c>
      <c r="G4668">
        <v>81728903</v>
      </c>
      <c r="H4668">
        <v>0</v>
      </c>
      <c r="I4668">
        <v>82174371</v>
      </c>
      <c r="J4668">
        <v>2</v>
      </c>
    </row>
    <row r="4669" spans="1:10" x14ac:dyDescent="0.25">
      <c r="A4669" t="s">
        <v>1591</v>
      </c>
      <c r="B4669" s="1" t="str">
        <f>HYPERLINK("http://gbtpa.com","gbtpa.com")</f>
        <v>gbtpa.com</v>
      </c>
      <c r="C4669" t="s">
        <v>433</v>
      </c>
      <c r="E4669">
        <v>677538</v>
      </c>
      <c r="F4669">
        <v>4.4439200468524703E-9</v>
      </c>
      <c r="G4669">
        <v>77886753</v>
      </c>
      <c r="H4669">
        <v>10370299</v>
      </c>
      <c r="I4669">
        <v>54852995</v>
      </c>
      <c r="J4669">
        <v>2</v>
      </c>
    </row>
    <row r="4670" spans="1:10" x14ac:dyDescent="0.25">
      <c r="A4670" t="s">
        <v>1591</v>
      </c>
      <c r="B4670" s="1" t="str">
        <f>HYPERLINK("http://gplassurance.com","gplassurance.com")</f>
        <v>gplassurance.com</v>
      </c>
      <c r="C4670" t="s">
        <v>433</v>
      </c>
      <c r="F4670">
        <v>1.61067290827701E-8</v>
      </c>
      <c r="G4670">
        <v>3518898</v>
      </c>
      <c r="H4670">
        <v>12431657</v>
      </c>
      <c r="I4670">
        <v>18277754</v>
      </c>
      <c r="J4670">
        <v>3</v>
      </c>
    </row>
    <row r="4671" spans="1:10" x14ac:dyDescent="0.25">
      <c r="A4671" t="s">
        <v>1591</v>
      </c>
      <c r="B4671" s="1" t="str">
        <f>HYPERLINK("http://hantzgroup.com","hantzgroup.com")</f>
        <v>hantzgroup.com</v>
      </c>
      <c r="C4671" t="s">
        <v>433</v>
      </c>
      <c r="F4671">
        <v>7.77273850616143E-8</v>
      </c>
      <c r="G4671">
        <v>538366</v>
      </c>
      <c r="H4671">
        <v>14279856</v>
      </c>
      <c r="I4671">
        <v>1381603</v>
      </c>
      <c r="J4671">
        <v>3</v>
      </c>
    </row>
    <row r="4672" spans="1:10" x14ac:dyDescent="0.25">
      <c r="A4672" t="s">
        <v>1591</v>
      </c>
      <c r="B4672" s="1" t="str">
        <f>HYPERLINK("http://hmg-pcms.com","hmg-pcms.com")</f>
        <v>hmg-pcms.com</v>
      </c>
      <c r="C4672" t="s">
        <v>433</v>
      </c>
      <c r="F4672">
        <v>4.4863292689228396E-9</v>
      </c>
      <c r="G4672">
        <v>61154606</v>
      </c>
      <c r="H4672">
        <v>12379119</v>
      </c>
      <c r="I4672">
        <v>19230177</v>
      </c>
      <c r="J4672">
        <v>3</v>
      </c>
    </row>
    <row r="4673" spans="1:10" x14ac:dyDescent="0.25">
      <c r="A4673" t="s">
        <v>1591</v>
      </c>
      <c r="B4673" s="1" t="str">
        <f>HYPERLINK("http://leichtgeneral.com","leichtgeneral.com")</f>
        <v>leichtgeneral.com</v>
      </c>
      <c r="C4673" t="s">
        <v>433</v>
      </c>
      <c r="F4673">
        <v>4.4544342385428702E-9</v>
      </c>
      <c r="G4673">
        <v>69738464</v>
      </c>
      <c r="H4673">
        <v>7939650.5</v>
      </c>
      <c r="I4673">
        <v>75338371</v>
      </c>
      <c r="J4673">
        <v>6</v>
      </c>
    </row>
    <row r="4674" spans="1:10" x14ac:dyDescent="0.25">
      <c r="A4674" t="s">
        <v>1591</v>
      </c>
      <c r="B4674" s="1" t="str">
        <f>HYPERLINK("http://lemacassociates.com","lemacassociates.com")</f>
        <v>lemacassociates.com</v>
      </c>
      <c r="C4674" t="s">
        <v>433</v>
      </c>
      <c r="J4674">
        <v>6</v>
      </c>
    </row>
    <row r="4675" spans="1:10" x14ac:dyDescent="0.25">
      <c r="A4675" t="s">
        <v>1591</v>
      </c>
      <c r="B4675" s="1" t="str">
        <f>HYPERLINK("http://luqit.com","luqit.com")</f>
        <v>luqit.com</v>
      </c>
      <c r="C4675" t="s">
        <v>433</v>
      </c>
      <c r="F4675">
        <v>5.1989780693565296E-9</v>
      </c>
      <c r="G4675">
        <v>25181774</v>
      </c>
      <c r="H4675">
        <v>12090772</v>
      </c>
      <c r="I4675">
        <v>26228315</v>
      </c>
      <c r="J4675">
        <v>7</v>
      </c>
    </row>
    <row r="4676" spans="1:10" x14ac:dyDescent="0.25">
      <c r="A4676" t="s">
        <v>1591</v>
      </c>
      <c r="B4676" s="1" t="str">
        <f>HYPERLINK("http://manchesterunderwriting.com","manchesterunderwriting.com")</f>
        <v>manchesterunderwriting.com</v>
      </c>
      <c r="C4676" t="s">
        <v>433</v>
      </c>
      <c r="F4676">
        <v>5.7648598438748498E-9</v>
      </c>
      <c r="G4676">
        <v>18368148</v>
      </c>
      <c r="H4676">
        <v>10645943</v>
      </c>
      <c r="I4676">
        <v>43666125</v>
      </c>
      <c r="J4676">
        <v>3</v>
      </c>
    </row>
    <row r="4677" spans="1:10" x14ac:dyDescent="0.25">
      <c r="A4677" t="s">
        <v>1591</v>
      </c>
      <c r="B4677" s="1" t="str">
        <f>HYPERLINK("http://nationalhangar.com","nationalhangar.com")</f>
        <v>nationalhangar.com</v>
      </c>
      <c r="C4677" t="s">
        <v>433</v>
      </c>
      <c r="F4677">
        <v>7.2218521210267402E-9</v>
      </c>
      <c r="G4677">
        <v>11678390</v>
      </c>
      <c r="H4677">
        <v>10432180</v>
      </c>
      <c r="I4677">
        <v>53065439</v>
      </c>
      <c r="J4677">
        <v>2</v>
      </c>
    </row>
    <row r="4678" spans="1:10" x14ac:dyDescent="0.25">
      <c r="A4678" t="s">
        <v>1591</v>
      </c>
      <c r="B4678" s="1" t="str">
        <f>HYPERLINK("http://olayan.com","olayan.com")</f>
        <v>olayan.com</v>
      </c>
      <c r="C4678" t="s">
        <v>433</v>
      </c>
      <c r="F4678">
        <v>1.2228147927426199E-7</v>
      </c>
      <c r="G4678">
        <v>322822</v>
      </c>
      <c r="H4678">
        <v>13992564</v>
      </c>
      <c r="I4678">
        <v>4029383</v>
      </c>
      <c r="J4678">
        <v>3</v>
      </c>
    </row>
    <row r="4679" spans="1:10" x14ac:dyDescent="0.25">
      <c r="A4679" t="s">
        <v>1591</v>
      </c>
      <c r="B4679" s="1" t="str">
        <f>HYPERLINK("http://partnersource.com","partnersource.com")</f>
        <v>partnersource.com</v>
      </c>
      <c r="C4679" t="s">
        <v>433</v>
      </c>
      <c r="F4679">
        <v>1.7913195753825001E-8</v>
      </c>
      <c r="G4679">
        <v>3050721</v>
      </c>
      <c r="H4679">
        <v>13762831</v>
      </c>
      <c r="I4679">
        <v>9412809</v>
      </c>
      <c r="J4679">
        <v>2</v>
      </c>
    </row>
    <row r="4680" spans="1:10" x14ac:dyDescent="0.25">
      <c r="A4680" t="s">
        <v>1591</v>
      </c>
      <c r="B4680" s="1" t="str">
        <f>HYPERLINK("http://pelicanunderwriting.com","pelicanunderwriting.com")</f>
        <v>pelicanunderwriting.com</v>
      </c>
      <c r="C4680" t="s">
        <v>433</v>
      </c>
      <c r="F4680">
        <v>4.44380395335525E-9</v>
      </c>
      <c r="G4680">
        <v>82973019</v>
      </c>
      <c r="H4680">
        <v>0</v>
      </c>
      <c r="I4680">
        <v>83696856</v>
      </c>
      <c r="J4680">
        <v>3</v>
      </c>
    </row>
    <row r="4681" spans="1:10" x14ac:dyDescent="0.25">
      <c r="A4681" t="s">
        <v>1591</v>
      </c>
      <c r="B4681" s="1" t="str">
        <f>HYPERLINK("http://penunderwriting.com","penunderwriting.com")</f>
        <v>penunderwriting.com</v>
      </c>
      <c r="C4681" t="s">
        <v>433</v>
      </c>
      <c r="J4681">
        <v>4</v>
      </c>
    </row>
    <row r="4682" spans="1:10" x14ac:dyDescent="0.25">
      <c r="A4682" t="s">
        <v>1591</v>
      </c>
      <c r="B4682" s="1" t="str">
        <f>HYPERLINK("http://piiuk.com","piiuk.com")</f>
        <v>piiuk.com</v>
      </c>
      <c r="C4682" t="s">
        <v>433</v>
      </c>
      <c r="F4682">
        <v>4.6007334939778699E-9</v>
      </c>
      <c r="G4682">
        <v>47565896</v>
      </c>
      <c r="H4682">
        <v>11985790</v>
      </c>
      <c r="I4682">
        <v>28430097</v>
      </c>
      <c r="J4682">
        <v>3</v>
      </c>
    </row>
    <row r="4683" spans="1:10" x14ac:dyDescent="0.25">
      <c r="A4683" t="s">
        <v>1591</v>
      </c>
      <c r="B4683" s="1" t="str">
        <f>HYPERLINK("http://prontofranchise.com","prontofranchise.com")</f>
        <v>prontofranchise.com</v>
      </c>
      <c r="C4683" t="s">
        <v>433</v>
      </c>
      <c r="F4683">
        <v>7.0042912860732096E-9</v>
      </c>
      <c r="G4683">
        <v>12299032</v>
      </c>
      <c r="H4683">
        <v>12992772</v>
      </c>
      <c r="I4683">
        <v>12835901</v>
      </c>
      <c r="J4683">
        <v>3</v>
      </c>
    </row>
    <row r="4684" spans="1:10" x14ac:dyDescent="0.25">
      <c r="A4684" t="s">
        <v>1591</v>
      </c>
      <c r="B4684" s="1" t="str">
        <f>HYPERLINK("http://prophetgroup.com","prophetgroup.com")</f>
        <v>prophetgroup.com</v>
      </c>
      <c r="C4684" t="s">
        <v>433</v>
      </c>
      <c r="F4684">
        <v>4.4815838578392797E-9</v>
      </c>
      <c r="G4684">
        <v>62032280</v>
      </c>
      <c r="H4684">
        <v>10508960</v>
      </c>
      <c r="I4684">
        <v>49949717</v>
      </c>
      <c r="J4684">
        <v>3</v>
      </c>
    </row>
    <row r="4685" spans="1:10" x14ac:dyDescent="0.25">
      <c r="A4685" t="s">
        <v>1591</v>
      </c>
      <c r="B4685" s="1" t="str">
        <f>HYPERLINK("http://quotelinedirect.com","quotelinedirect.com")</f>
        <v>quotelinedirect.com</v>
      </c>
      <c r="C4685" t="s">
        <v>433</v>
      </c>
      <c r="F4685">
        <v>4.8595736213060301E-9</v>
      </c>
      <c r="G4685">
        <v>33826419</v>
      </c>
      <c r="H4685">
        <v>12316411</v>
      </c>
      <c r="I4685">
        <v>20488730</v>
      </c>
      <c r="J4685">
        <v>6</v>
      </c>
    </row>
    <row r="4686" spans="1:10" x14ac:dyDescent="0.25">
      <c r="A4686" t="s">
        <v>1591</v>
      </c>
      <c r="B4686" s="1" t="str">
        <f>HYPERLINK("http://rileyassoc.com","rileyassoc.com")</f>
        <v>rileyassoc.com</v>
      </c>
      <c r="C4686" t="s">
        <v>433</v>
      </c>
      <c r="J4686">
        <v>4</v>
      </c>
    </row>
    <row r="4687" spans="1:10" x14ac:dyDescent="0.25">
      <c r="A4687" t="s">
        <v>1591</v>
      </c>
      <c r="B4687" s="1" t="str">
        <f>HYPERLINK("http://robanda.com","robanda.com")</f>
        <v>robanda.com</v>
      </c>
      <c r="C4687" t="s">
        <v>433</v>
      </c>
      <c r="F4687">
        <v>1.04688641161142E-8</v>
      </c>
      <c r="G4687">
        <v>6296611</v>
      </c>
      <c r="H4687">
        <v>12902434</v>
      </c>
      <c r="I4687">
        <v>13846977</v>
      </c>
      <c r="J4687">
        <v>5</v>
      </c>
    </row>
    <row r="4688" spans="1:10" x14ac:dyDescent="0.25">
      <c r="A4688" t="s">
        <v>1591</v>
      </c>
      <c r="B4688" s="1" t="str">
        <f>HYPERLINK("http://rpsins.com","rpsins.com")</f>
        <v>rpsins.com</v>
      </c>
      <c r="C4688" t="s">
        <v>433</v>
      </c>
      <c r="E4688">
        <v>277735</v>
      </c>
      <c r="F4688">
        <v>1.7541143578342699E-7</v>
      </c>
      <c r="G4688">
        <v>221073</v>
      </c>
      <c r="H4688">
        <v>13876086</v>
      </c>
      <c r="I4688">
        <v>5989679</v>
      </c>
      <c r="J4688">
        <v>2</v>
      </c>
    </row>
    <row r="4689" spans="1:10" x14ac:dyDescent="0.25">
      <c r="A4689" t="s">
        <v>1591</v>
      </c>
      <c r="B4689" s="1" t="str">
        <f>HYPERLINK("http://skippersplan.com","skippersplan.com")</f>
        <v>skippersplan.com</v>
      </c>
      <c r="C4689" t="s">
        <v>433</v>
      </c>
      <c r="F4689">
        <v>1.4566976318849399E-8</v>
      </c>
      <c r="G4689">
        <v>3988790</v>
      </c>
      <c r="H4689">
        <v>12609048</v>
      </c>
      <c r="I4689">
        <v>16244709</v>
      </c>
      <c r="J4689">
        <v>4</v>
      </c>
    </row>
    <row r="4690" spans="1:10" x14ac:dyDescent="0.25">
      <c r="A4690" t="s">
        <v>1591</v>
      </c>
      <c r="B4690" s="1" t="str">
        <f>HYPERLINK("http://statefundfirst.com","statefundfirst.com")</f>
        <v>statefundfirst.com</v>
      </c>
      <c r="C4690" t="s">
        <v>433</v>
      </c>
      <c r="F4690">
        <v>1.20224102046942E-8</v>
      </c>
      <c r="G4690">
        <v>5161321</v>
      </c>
      <c r="H4690">
        <v>11241494</v>
      </c>
      <c r="I4690">
        <v>30955782</v>
      </c>
      <c r="J4690">
        <v>2</v>
      </c>
    </row>
    <row r="4691" spans="1:10" x14ac:dyDescent="0.25">
      <c r="A4691" t="s">
        <v>1591</v>
      </c>
      <c r="B4691" s="1" t="str">
        <f>HYPERLINK("http://storagefirst.com","storagefirst.com")</f>
        <v>storagefirst.com</v>
      </c>
      <c r="C4691" t="s">
        <v>433</v>
      </c>
      <c r="F4691">
        <v>1.1591318369279999E-8</v>
      </c>
      <c r="G4691">
        <v>5439873</v>
      </c>
      <c r="H4691">
        <v>12340930</v>
      </c>
      <c r="I4691">
        <v>19986294</v>
      </c>
      <c r="J4691">
        <v>2</v>
      </c>
    </row>
    <row r="4692" spans="1:10" x14ac:dyDescent="0.25">
      <c r="A4692" t="s">
        <v>1591</v>
      </c>
      <c r="B4692" s="1" t="str">
        <f>HYPERLINK("http://stratasolicitors.com","stratasolicitors.com")</f>
        <v>stratasolicitors.com</v>
      </c>
      <c r="C4692" t="s">
        <v>433</v>
      </c>
      <c r="F4692">
        <v>6.0230287078541201E-9</v>
      </c>
      <c r="G4692">
        <v>16540716</v>
      </c>
      <c r="H4692">
        <v>9309033</v>
      </c>
      <c r="I4692">
        <v>68416237</v>
      </c>
      <c r="J4692">
        <v>3</v>
      </c>
    </row>
    <row r="4693" spans="1:10" x14ac:dyDescent="0.25">
      <c r="A4693" t="s">
        <v>1591</v>
      </c>
      <c r="B4693" s="1" t="str">
        <f>HYPERLINK("http://tgt-insurance.com","tgt-insurance.com")</f>
        <v>tgt-insurance.com</v>
      </c>
      <c r="C4693" t="s">
        <v>433</v>
      </c>
      <c r="J4693">
        <v>5</v>
      </c>
    </row>
    <row r="4694" spans="1:10" x14ac:dyDescent="0.25">
      <c r="A4694" t="s">
        <v>1591</v>
      </c>
      <c r="B4694" s="1" t="str">
        <f>HYPERLINK("http://tgtinsurance.com","tgtinsurance.com")</f>
        <v>tgtinsurance.com</v>
      </c>
      <c r="C4694" t="s">
        <v>433</v>
      </c>
      <c r="J4694">
        <v>6</v>
      </c>
    </row>
    <row r="4695" spans="1:10" x14ac:dyDescent="0.25">
      <c r="A4695" t="s">
        <v>1591</v>
      </c>
      <c r="B4695" s="1" t="str">
        <f>HYPERLINK("http://theovalgroup.com","theovalgroup.com")</f>
        <v>theovalgroup.com</v>
      </c>
      <c r="C4695" t="s">
        <v>433</v>
      </c>
      <c r="F4695">
        <v>5.1094033173133203E-9</v>
      </c>
      <c r="G4695">
        <v>26864357</v>
      </c>
      <c r="H4695">
        <v>13934180</v>
      </c>
      <c r="I4695">
        <v>4620484</v>
      </c>
      <c r="J4695">
        <v>5</v>
      </c>
    </row>
    <row r="4696" spans="1:10" x14ac:dyDescent="0.25">
      <c r="A4696" t="s">
        <v>1591</v>
      </c>
      <c r="B4696" s="1" t="str">
        <f>HYPERLINK("http://tsgia.com","tsgia.com")</f>
        <v>tsgia.com</v>
      </c>
      <c r="C4696" t="s">
        <v>433</v>
      </c>
      <c r="F4696">
        <v>5.0586037053051198E-9</v>
      </c>
      <c r="G4696">
        <v>28032234</v>
      </c>
      <c r="H4696">
        <v>10576594</v>
      </c>
      <c r="I4696">
        <v>45902153</v>
      </c>
      <c r="J4696">
        <v>6</v>
      </c>
    </row>
    <row r="4697" spans="1:10" x14ac:dyDescent="0.25">
      <c r="A4697" t="s">
        <v>1591</v>
      </c>
      <c r="B4697" s="1" t="str">
        <f>HYPERLINK("http://ahc.uk.com","ahc.uk.com")</f>
        <v>ahc.uk.com</v>
      </c>
      <c r="C4697" t="s">
        <v>433</v>
      </c>
      <c r="J4697">
        <v>3</v>
      </c>
    </row>
    <row r="4698" spans="1:10" x14ac:dyDescent="0.25">
      <c r="A4698" t="s">
        <v>1591</v>
      </c>
      <c r="B4698" s="1" t="str">
        <f>HYPERLINK("http://rmpartners.eu","rmpartners.eu")</f>
        <v>rmpartners.eu</v>
      </c>
      <c r="C4698" t="s">
        <v>444</v>
      </c>
      <c r="F4698">
        <v>4.44380395335525E-9</v>
      </c>
      <c r="G4698">
        <v>84756196</v>
      </c>
      <c r="H4698">
        <v>0</v>
      </c>
      <c r="I4698">
        <v>85866439</v>
      </c>
      <c r="J4698">
        <v>4</v>
      </c>
    </row>
    <row r="4699" spans="1:10" x14ac:dyDescent="0.25">
      <c r="A4699" t="s">
        <v>1591</v>
      </c>
      <c r="B4699" s="1" t="str">
        <f>HYPERLINK("http://brim.fi","brim.fi")</f>
        <v>brim.fi</v>
      </c>
      <c r="C4699" t="s">
        <v>445</v>
      </c>
      <c r="D4699" t="s">
        <v>823</v>
      </c>
      <c r="F4699">
        <v>6.8993077459418403E-9</v>
      </c>
      <c r="G4699">
        <v>12636950</v>
      </c>
      <c r="H4699">
        <v>9511693</v>
      </c>
      <c r="I4699">
        <v>65551694</v>
      </c>
      <c r="J4699">
        <v>4</v>
      </c>
    </row>
    <row r="4700" spans="1:10" x14ac:dyDescent="0.25">
      <c r="A4700" t="s">
        <v>1591</v>
      </c>
      <c r="B4700" s="1" t="str">
        <f>HYPERLINK("http://ajg.ie","ajg.ie")</f>
        <v>ajg.ie</v>
      </c>
      <c r="C4700" t="s">
        <v>455</v>
      </c>
      <c r="D4700" t="s">
        <v>832</v>
      </c>
      <c r="F4700">
        <v>1.7816273187117499E-8</v>
      </c>
      <c r="G4700">
        <v>3071251</v>
      </c>
      <c r="H4700">
        <v>12250364</v>
      </c>
      <c r="I4700">
        <v>22007787</v>
      </c>
      <c r="J4700">
        <v>2</v>
      </c>
    </row>
    <row r="4701" spans="1:10" x14ac:dyDescent="0.25">
      <c r="A4701" t="s">
        <v>1591</v>
      </c>
      <c r="B4701" s="1" t="str">
        <f>HYPERLINK("http://innovu.ie","innovu.ie")</f>
        <v>innovu.ie</v>
      </c>
      <c r="C4701" t="s">
        <v>455</v>
      </c>
      <c r="D4701" t="s">
        <v>832</v>
      </c>
      <c r="F4701">
        <v>1.2287972221158499E-8</v>
      </c>
      <c r="G4701">
        <v>5000828</v>
      </c>
      <c r="H4701">
        <v>12128614</v>
      </c>
      <c r="I4701">
        <v>25176778</v>
      </c>
      <c r="J4701">
        <v>8</v>
      </c>
    </row>
    <row r="4702" spans="1:10" x14ac:dyDescent="0.25">
      <c r="A4702" t="s">
        <v>1591</v>
      </c>
      <c r="B4702" s="1" t="str">
        <f>HYPERLINK("http://sheridan.ie","sheridan.ie")</f>
        <v>sheridan.ie</v>
      </c>
      <c r="C4702" t="s">
        <v>455</v>
      </c>
      <c r="D4702" t="s">
        <v>832</v>
      </c>
      <c r="F4702">
        <v>7.5857146444396804E-9</v>
      </c>
      <c r="G4702">
        <v>10825084</v>
      </c>
      <c r="H4702">
        <v>12139529</v>
      </c>
      <c r="I4702">
        <v>24889991</v>
      </c>
      <c r="J4702">
        <v>5</v>
      </c>
    </row>
    <row r="4703" spans="1:10" x14ac:dyDescent="0.25">
      <c r="A4703" t="s">
        <v>1591</v>
      </c>
      <c r="B4703" s="1" t="str">
        <f>HYPERLINK("http://gallagherbassett.co.nz","gallagherbassett.co.nz")</f>
        <v>gallagherbassett.co.nz</v>
      </c>
      <c r="C4703" t="s">
        <v>479</v>
      </c>
      <c r="D4703" t="s">
        <v>854</v>
      </c>
      <c r="F4703">
        <v>5.23489488307694E-9</v>
      </c>
      <c r="G4703">
        <v>24495292</v>
      </c>
      <c r="H4703">
        <v>11013429</v>
      </c>
      <c r="I4703">
        <v>33355188</v>
      </c>
      <c r="J4703">
        <v>3</v>
      </c>
    </row>
    <row r="4704" spans="1:10" x14ac:dyDescent="0.25">
      <c r="A4704" t="s">
        <v>1591</v>
      </c>
      <c r="B4704" s="1" t="str">
        <f>HYPERLINK("http://mhib.co.nz","mhib.co.nz")</f>
        <v>mhib.co.nz</v>
      </c>
      <c r="C4704" t="s">
        <v>479</v>
      </c>
      <c r="D4704" t="s">
        <v>854</v>
      </c>
      <c r="F4704">
        <v>4.5896746007178403E-9</v>
      </c>
      <c r="G4704">
        <v>48433045</v>
      </c>
      <c r="H4704">
        <v>9383586</v>
      </c>
      <c r="I4704">
        <v>67506952</v>
      </c>
      <c r="J4704">
        <v>3</v>
      </c>
    </row>
    <row r="4705" spans="1:10" x14ac:dyDescent="0.25">
      <c r="A4705" t="s">
        <v>1591</v>
      </c>
      <c r="B4705" s="1" t="str">
        <f>HYPERLINK("http://selfpool.org","selfpool.org")</f>
        <v>selfpool.org</v>
      </c>
      <c r="C4705" t="s">
        <v>481</v>
      </c>
      <c r="J4705">
        <v>2</v>
      </c>
    </row>
    <row r="4706" spans="1:10" x14ac:dyDescent="0.25">
      <c r="A4706" t="s">
        <v>1591</v>
      </c>
      <c r="B4706" s="1" t="str">
        <f>HYPERLINK("http://brim.se","brim.se")</f>
        <v>brim.se</v>
      </c>
      <c r="C4706" t="s">
        <v>495</v>
      </c>
      <c r="D4706" t="s">
        <v>869</v>
      </c>
      <c r="F4706">
        <v>1.7332965403712601E-8</v>
      </c>
      <c r="G4706">
        <v>3191114</v>
      </c>
      <c r="H4706">
        <v>12345648</v>
      </c>
      <c r="I4706">
        <v>19839347</v>
      </c>
      <c r="J4706">
        <v>3</v>
      </c>
    </row>
    <row r="4707" spans="1:10" x14ac:dyDescent="0.25">
      <c r="A4707" t="s">
        <v>1591</v>
      </c>
      <c r="B4707" s="1" t="str">
        <f>HYPERLINK("http://nordic.se","nordic.se")</f>
        <v>nordic.se</v>
      </c>
      <c r="C4707" t="s">
        <v>495</v>
      </c>
      <c r="D4707" t="s">
        <v>869</v>
      </c>
      <c r="F4707">
        <v>2.1709580071015499E-8</v>
      </c>
      <c r="G4707">
        <v>2422595</v>
      </c>
      <c r="H4707">
        <v>12471661</v>
      </c>
      <c r="I4707">
        <v>17683001</v>
      </c>
      <c r="J4707">
        <v>3</v>
      </c>
    </row>
    <row r="4708" spans="1:10" x14ac:dyDescent="0.25">
      <c r="A4708" t="s">
        <v>1591</v>
      </c>
      <c r="B4708" s="1" t="str">
        <f>HYPERLINK("http://proinova.se","proinova.se")</f>
        <v>proinova.se</v>
      </c>
      <c r="C4708" t="s">
        <v>495</v>
      </c>
      <c r="D4708" t="s">
        <v>869</v>
      </c>
      <c r="F4708">
        <v>3.7845653058595098E-8</v>
      </c>
      <c r="G4708">
        <v>1367395</v>
      </c>
      <c r="H4708">
        <v>12233662</v>
      </c>
      <c r="I4708">
        <v>22411022</v>
      </c>
      <c r="J4708">
        <v>3</v>
      </c>
    </row>
    <row r="4709" spans="1:10" x14ac:dyDescent="0.25">
      <c r="A4709" t="s">
        <v>1591</v>
      </c>
      <c r="B4709" s="1" t="str">
        <f>HYPERLINK("http://gallagherbassett.com.sg","gallagherbassett.com.sg")</f>
        <v>gallagherbassett.com.sg</v>
      </c>
      <c r="C4709" t="s">
        <v>496</v>
      </c>
      <c r="D4709" t="s">
        <v>870</v>
      </c>
      <c r="F4709">
        <v>4.5195323349778698E-9</v>
      </c>
      <c r="G4709">
        <v>56281874</v>
      </c>
      <c r="H4709">
        <v>10102507</v>
      </c>
      <c r="I4709">
        <v>59870952</v>
      </c>
      <c r="J4709">
        <v>3</v>
      </c>
    </row>
    <row r="4710" spans="1:10" x14ac:dyDescent="0.25">
      <c r="A4710" t="s">
        <v>1591</v>
      </c>
      <c r="B4710" s="1" t="str">
        <f>HYPERLINK("http://ajg.co.uk","ajg.co.uk")</f>
        <v>ajg.co.uk</v>
      </c>
      <c r="C4710" t="s">
        <v>506</v>
      </c>
      <c r="D4710" t="s">
        <v>880</v>
      </c>
      <c r="E4710">
        <v>168585</v>
      </c>
      <c r="F4710">
        <v>4.4760012078344098E-9</v>
      </c>
      <c r="G4710">
        <v>63195720</v>
      </c>
      <c r="H4710">
        <v>10655515</v>
      </c>
      <c r="I4710">
        <v>43541219</v>
      </c>
      <c r="J4710">
        <v>2</v>
      </c>
    </row>
    <row r="4711" spans="1:10" x14ac:dyDescent="0.25">
      <c r="A4711" t="s">
        <v>1591</v>
      </c>
      <c r="B4711" s="1" t="str">
        <f>HYPERLINK("http://argentisfm.co.uk","argentisfm.co.uk")</f>
        <v>argentisfm.co.uk</v>
      </c>
      <c r="C4711" t="s">
        <v>506</v>
      </c>
      <c r="D4711" t="s">
        <v>880</v>
      </c>
      <c r="F4711">
        <v>4.5472640127371702E-9</v>
      </c>
      <c r="G4711">
        <v>52489413</v>
      </c>
      <c r="H4711">
        <v>12142257</v>
      </c>
      <c r="I4711">
        <v>24830076</v>
      </c>
      <c r="J4711">
        <v>3</v>
      </c>
    </row>
    <row r="4712" spans="1:10" x14ac:dyDescent="0.25">
      <c r="A4712" t="s">
        <v>1591</v>
      </c>
      <c r="B4712" s="1" t="str">
        <f>HYPERLINK("http://ashgroveinsurance.co.uk","ashgroveinsurance.co.uk")</f>
        <v>ashgroveinsurance.co.uk</v>
      </c>
      <c r="C4712" t="s">
        <v>506</v>
      </c>
      <c r="D4712" t="s">
        <v>880</v>
      </c>
      <c r="F4712">
        <v>4.4525076259505497E-9</v>
      </c>
      <c r="G4712">
        <v>70624692</v>
      </c>
      <c r="H4712">
        <v>12198306</v>
      </c>
      <c r="I4712">
        <v>23365164</v>
      </c>
      <c r="J4712">
        <v>3</v>
      </c>
    </row>
    <row r="4713" spans="1:10" x14ac:dyDescent="0.25">
      <c r="A4713" t="s">
        <v>1591</v>
      </c>
      <c r="B4713" s="1" t="str">
        <f>HYPERLINK("http://deputybondsonline.co.uk","deputybondsonline.co.uk")</f>
        <v>deputybondsonline.co.uk</v>
      </c>
      <c r="C4713" t="s">
        <v>506</v>
      </c>
      <c r="D4713" t="s">
        <v>880</v>
      </c>
      <c r="J4713">
        <v>2</v>
      </c>
    </row>
    <row r="4714" spans="1:10" x14ac:dyDescent="0.25">
      <c r="A4714" t="s">
        <v>1591</v>
      </c>
      <c r="B4714" s="1" t="str">
        <f>HYPERLINK("http://educationprotect.co.uk","educationprotect.co.uk")</f>
        <v>educationprotect.co.uk</v>
      </c>
      <c r="C4714" t="s">
        <v>506</v>
      </c>
      <c r="D4714" t="s">
        <v>880</v>
      </c>
      <c r="F4714">
        <v>4.6841384040894604E-9</v>
      </c>
      <c r="G4714">
        <v>42101983</v>
      </c>
      <c r="H4714">
        <v>10403129</v>
      </c>
      <c r="I4714">
        <v>54197724</v>
      </c>
      <c r="J4714">
        <v>6</v>
      </c>
    </row>
    <row r="4715" spans="1:10" x14ac:dyDescent="0.25">
      <c r="A4715" t="s">
        <v>1591</v>
      </c>
      <c r="B4715" s="1" t="str">
        <f>HYPERLINK("http://gallagherbassett.co.uk","gallagherbassett.co.uk")</f>
        <v>gallagherbassett.co.uk</v>
      </c>
      <c r="C4715" t="s">
        <v>506</v>
      </c>
      <c r="D4715" t="s">
        <v>880</v>
      </c>
      <c r="F4715">
        <v>2.0184793632116801E-8</v>
      </c>
      <c r="G4715">
        <v>2631289</v>
      </c>
      <c r="H4715">
        <v>12640032</v>
      </c>
      <c r="I4715">
        <v>15875844</v>
      </c>
      <c r="J4715">
        <v>3</v>
      </c>
    </row>
    <row r="4716" spans="1:10" x14ac:dyDescent="0.25">
      <c r="A4716" t="s">
        <v>1591</v>
      </c>
      <c r="B4716" s="1" t="str">
        <f>HYPERLINK("http://honour-point.co.uk","honour-point.co.uk")</f>
        <v>honour-point.co.uk</v>
      </c>
      <c r="C4716" t="s">
        <v>506</v>
      </c>
      <c r="D4716" t="s">
        <v>880</v>
      </c>
      <c r="J4716">
        <v>3</v>
      </c>
    </row>
    <row r="4717" spans="1:10" x14ac:dyDescent="0.25">
      <c r="A4717" t="s">
        <v>1591</v>
      </c>
      <c r="B4717" s="1" t="str">
        <f>HYPERLINK("http://insure4retirement.co.uk","insure4retirement.co.uk")</f>
        <v>insure4retirement.co.uk</v>
      </c>
      <c r="C4717" t="s">
        <v>506</v>
      </c>
      <c r="D4717" t="s">
        <v>880</v>
      </c>
      <c r="F4717">
        <v>5.1275631603106502E-9</v>
      </c>
      <c r="G4717">
        <v>26501016</v>
      </c>
      <c r="H4717">
        <v>12358015</v>
      </c>
      <c r="I4717">
        <v>19624752</v>
      </c>
      <c r="J4717">
        <v>3</v>
      </c>
    </row>
    <row r="4718" spans="1:10" x14ac:dyDescent="0.25">
      <c r="A4718" t="s">
        <v>1591</v>
      </c>
      <c r="B4718" s="1" t="str">
        <f>HYPERLINK("http://quotelinedirect.co.uk","quotelinedirect.co.uk")</f>
        <v>quotelinedirect.co.uk</v>
      </c>
      <c r="C4718" t="s">
        <v>506</v>
      </c>
      <c r="D4718" t="s">
        <v>880</v>
      </c>
      <c r="F4718">
        <v>1.26604550583086E-8</v>
      </c>
      <c r="G4718">
        <v>4799458</v>
      </c>
      <c r="H4718">
        <v>12668527</v>
      </c>
      <c r="I4718">
        <v>15635545</v>
      </c>
      <c r="J4718">
        <v>3</v>
      </c>
    </row>
    <row r="4719" spans="1:10" x14ac:dyDescent="0.25">
      <c r="A4719" t="s">
        <v>1591</v>
      </c>
      <c r="B4719" s="1" t="str">
        <f>HYPERLINK("http://riskservicesnw.co.uk","riskservicesnw.co.uk")</f>
        <v>riskservicesnw.co.uk</v>
      </c>
      <c r="C4719" t="s">
        <v>506</v>
      </c>
      <c r="D4719" t="s">
        <v>880</v>
      </c>
      <c r="F4719">
        <v>4.6013350739703196E-9</v>
      </c>
      <c r="G4719">
        <v>47504642</v>
      </c>
      <c r="H4719">
        <v>12559339</v>
      </c>
      <c r="I4719">
        <v>16725934</v>
      </c>
      <c r="J4719">
        <v>3</v>
      </c>
    </row>
    <row r="4720" spans="1:10" x14ac:dyDescent="0.25">
      <c r="A4720" t="s">
        <v>1591</v>
      </c>
      <c r="B4720" s="1" t="str">
        <f>HYPERLINK("http://rmpartners.co.uk","rmpartners.co.uk")</f>
        <v>rmpartners.co.uk</v>
      </c>
      <c r="C4720" t="s">
        <v>506</v>
      </c>
      <c r="D4720" t="s">
        <v>880</v>
      </c>
      <c r="F4720">
        <v>5.3821550726687197E-9</v>
      </c>
      <c r="G4720">
        <v>22391701</v>
      </c>
      <c r="H4720">
        <v>12163802</v>
      </c>
      <c r="I4720">
        <v>24259434</v>
      </c>
      <c r="J4720">
        <v>3</v>
      </c>
    </row>
    <row r="4721" spans="1:10" x14ac:dyDescent="0.25">
      <c r="A4721" t="s">
        <v>1591</v>
      </c>
      <c r="B4721" s="1" t="str">
        <f>HYPERLINK("http://shilling.co.uk","shilling.co.uk")</f>
        <v>shilling.co.uk</v>
      </c>
      <c r="C4721" t="s">
        <v>506</v>
      </c>
      <c r="D4721" t="s">
        <v>880</v>
      </c>
      <c r="F4721">
        <v>6.3203912880173197E-9</v>
      </c>
      <c r="G4721">
        <v>14935785</v>
      </c>
      <c r="H4721">
        <v>12511048</v>
      </c>
      <c r="I4721">
        <v>17235818</v>
      </c>
      <c r="J4721">
        <v>3</v>
      </c>
    </row>
    <row r="4722" spans="1:10" x14ac:dyDescent="0.25">
      <c r="A4722" t="s">
        <v>1591</v>
      </c>
      <c r="B4722" s="1" t="str">
        <f>HYPERLINK("http://stackhouse.co.uk","stackhouse.co.uk")</f>
        <v>stackhouse.co.uk</v>
      </c>
      <c r="C4722" t="s">
        <v>506</v>
      </c>
      <c r="D4722" t="s">
        <v>880</v>
      </c>
      <c r="F4722">
        <v>4.9351503852048101E-9</v>
      </c>
      <c r="G4722">
        <v>31231951</v>
      </c>
      <c r="H4722">
        <v>12352692</v>
      </c>
      <c r="I4722">
        <v>19723318</v>
      </c>
      <c r="J4722">
        <v>3</v>
      </c>
    </row>
    <row r="4723" spans="1:10" x14ac:dyDescent="0.25">
      <c r="A4723" t="s">
        <v>43</v>
      </c>
      <c r="B4723" s="1" t="str">
        <f>HYPERLINK("http://asianpaints.com.bd","asianpaints.com.bd")</f>
        <v>asianpaints.com.bd</v>
      </c>
      <c r="C4723" t="s">
        <v>603</v>
      </c>
      <c r="D4723" t="s">
        <v>934</v>
      </c>
      <c r="F4723">
        <v>1.10531310785958E-8</v>
      </c>
      <c r="G4723">
        <v>5819946</v>
      </c>
      <c r="H4723">
        <v>12156908</v>
      </c>
      <c r="I4723">
        <v>24446430</v>
      </c>
      <c r="J4723">
        <v>2</v>
      </c>
    </row>
    <row r="4724" spans="1:10" x14ac:dyDescent="0.25">
      <c r="A4724" t="s">
        <v>43</v>
      </c>
      <c r="B4724" s="1" t="str">
        <f>HYPERLINK("http://asianpaints.com","asianpaints.com")</f>
        <v>asianpaints.com</v>
      </c>
      <c r="C4724" t="s">
        <v>433</v>
      </c>
      <c r="E4724">
        <v>75017</v>
      </c>
      <c r="F4724">
        <v>2.9337815602472699E-7</v>
      </c>
      <c r="G4724">
        <v>126867</v>
      </c>
      <c r="H4724">
        <v>17194708</v>
      </c>
      <c r="I4724">
        <v>42759</v>
      </c>
      <c r="J4724">
        <v>1</v>
      </c>
    </row>
    <row r="4725" spans="1:10" x14ac:dyDescent="0.25">
      <c r="A4725" t="s">
        <v>43</v>
      </c>
      <c r="B4725" s="1" t="str">
        <f>HYPERLINK("http://asianpaintsarabia.com","asianpaintsarabia.com")</f>
        <v>asianpaintsarabia.com</v>
      </c>
      <c r="C4725" t="s">
        <v>433</v>
      </c>
      <c r="F4725">
        <v>8.7852760257633302E-9</v>
      </c>
      <c r="G4725">
        <v>8334536</v>
      </c>
      <c r="H4725">
        <v>12109353</v>
      </c>
      <c r="I4725">
        <v>25753764</v>
      </c>
      <c r="J4725">
        <v>3</v>
      </c>
    </row>
    <row r="4726" spans="1:10" x14ac:dyDescent="0.25">
      <c r="A4726" t="s">
        <v>43</v>
      </c>
      <c r="B4726" s="1" t="str">
        <f>HYPERLINK("http://bergerpaintsarabia.com","bergerpaintsarabia.com")</f>
        <v>bergerpaintsarabia.com</v>
      </c>
      <c r="C4726" t="s">
        <v>433</v>
      </c>
      <c r="F4726">
        <v>1.2481470565967701E-8</v>
      </c>
      <c r="G4726">
        <v>4895252</v>
      </c>
      <c r="H4726">
        <v>12158292</v>
      </c>
      <c r="I4726">
        <v>24414071</v>
      </c>
      <c r="J4726">
        <v>3</v>
      </c>
    </row>
    <row r="4727" spans="1:10" x14ac:dyDescent="0.25">
      <c r="A4727" t="s">
        <v>43</v>
      </c>
      <c r="B4727" s="1" t="str">
        <f>HYPERLINK("http://ppgasianpaints.com","ppgasianpaints.com")</f>
        <v>ppgasianpaints.com</v>
      </c>
      <c r="C4727" t="s">
        <v>433</v>
      </c>
      <c r="F4727">
        <v>1.0000022220511699E-8</v>
      </c>
      <c r="G4727">
        <v>6755774</v>
      </c>
      <c r="H4727">
        <v>12232363</v>
      </c>
      <c r="I4727">
        <v>22438869</v>
      </c>
      <c r="J4727">
        <v>5</v>
      </c>
    </row>
    <row r="4728" spans="1:10" x14ac:dyDescent="0.25">
      <c r="A4728" t="s">
        <v>43</v>
      </c>
      <c r="B4728" s="1" t="str">
        <f>HYPERLINK("http://scibpaints.com","scibpaints.com")</f>
        <v>scibpaints.com</v>
      </c>
      <c r="C4728" t="s">
        <v>433</v>
      </c>
      <c r="F4728">
        <v>1.6363713715588999E-8</v>
      </c>
      <c r="G4728">
        <v>3455300</v>
      </c>
      <c r="H4728">
        <v>12215147</v>
      </c>
      <c r="I4728">
        <v>22901307</v>
      </c>
      <c r="J4728">
        <v>3</v>
      </c>
    </row>
    <row r="4729" spans="1:10" x14ac:dyDescent="0.25">
      <c r="A4729" t="s">
        <v>43</v>
      </c>
      <c r="B4729" s="1" t="str">
        <f>HYPERLINK("http://sleekworld.com","sleekworld.com")</f>
        <v>sleekworld.com</v>
      </c>
      <c r="C4729" t="s">
        <v>433</v>
      </c>
      <c r="F4729">
        <v>2.0359763776964501E-8</v>
      </c>
      <c r="G4729">
        <v>2605424</v>
      </c>
      <c r="H4729">
        <v>14066592</v>
      </c>
      <c r="I4729">
        <v>3730462</v>
      </c>
      <c r="J4729">
        <v>3</v>
      </c>
    </row>
    <row r="4730" spans="1:10" x14ac:dyDescent="0.25">
      <c r="A4730" t="s">
        <v>43</v>
      </c>
      <c r="B4730" s="1" t="str">
        <f>HYPERLINK("http://asianpaints.co.id","asianpaints.co.id")</f>
        <v>asianpaints.co.id</v>
      </c>
      <c r="C4730" t="s">
        <v>454</v>
      </c>
      <c r="D4730" t="s">
        <v>831</v>
      </c>
      <c r="F4730">
        <v>1.53188831914901E-8</v>
      </c>
      <c r="G4730">
        <v>3740075</v>
      </c>
      <c r="H4730">
        <v>12308527</v>
      </c>
      <c r="I4730">
        <v>20667359</v>
      </c>
      <c r="J4730">
        <v>2</v>
      </c>
    </row>
    <row r="4731" spans="1:10" x14ac:dyDescent="0.25">
      <c r="A4731" t="s">
        <v>43</v>
      </c>
      <c r="B4731" s="1" t="str">
        <f>HYPERLINK("http://asianpaints.com.sg","asianpaints.com.sg")</f>
        <v>asianpaints.com.sg</v>
      </c>
      <c r="C4731" t="s">
        <v>496</v>
      </c>
      <c r="D4731" t="s">
        <v>870</v>
      </c>
      <c r="F4731">
        <v>1.0453779264898E-8</v>
      </c>
      <c r="G4731">
        <v>6309898</v>
      </c>
      <c r="H4731">
        <v>12108202</v>
      </c>
      <c r="I4731">
        <v>25779792</v>
      </c>
      <c r="J4731">
        <v>2</v>
      </c>
    </row>
    <row r="4732" spans="1:10" x14ac:dyDescent="0.25">
      <c r="A4732" t="s">
        <v>44</v>
      </c>
      <c r="B4732" s="1" t="str">
        <f>HYPERLINK("http://astrazeneca.at","astrazeneca.at")</f>
        <v>astrazeneca.at</v>
      </c>
      <c r="C4732" t="s">
        <v>419</v>
      </c>
      <c r="D4732" t="s">
        <v>801</v>
      </c>
      <c r="F4732">
        <v>2.9292815951885601E-8</v>
      </c>
      <c r="G4732">
        <v>1758722</v>
      </c>
      <c r="H4732">
        <v>13271737</v>
      </c>
      <c r="I4732">
        <v>10952158</v>
      </c>
      <c r="J4732">
        <v>2</v>
      </c>
    </row>
    <row r="4733" spans="1:10" x14ac:dyDescent="0.25">
      <c r="A4733" t="s">
        <v>44</v>
      </c>
      <c r="B4733" s="1" t="str">
        <f>HYPERLINK("http://astrazeneca.com.au","astrazeneca.com.au")</f>
        <v>astrazeneca.com.au</v>
      </c>
      <c r="C4733" t="s">
        <v>420</v>
      </c>
      <c r="D4733" t="s">
        <v>802</v>
      </c>
      <c r="F4733">
        <v>8.7775298782375097E-8</v>
      </c>
      <c r="G4733">
        <v>467167</v>
      </c>
      <c r="H4733">
        <v>13990613</v>
      </c>
      <c r="I4733">
        <v>4032198</v>
      </c>
      <c r="J4733">
        <v>2</v>
      </c>
    </row>
    <row r="4734" spans="1:10" x14ac:dyDescent="0.25">
      <c r="A4734" t="s">
        <v>44</v>
      </c>
      <c r="B4734" s="1" t="str">
        <f>HYPERLINK("http://astrazeneca.be","astrazeneca.be")</f>
        <v>astrazeneca.be</v>
      </c>
      <c r="C4734" t="s">
        <v>421</v>
      </c>
      <c r="D4734" t="s">
        <v>803</v>
      </c>
      <c r="F4734">
        <v>9.1603334570937506E-9</v>
      </c>
      <c r="G4734">
        <v>7764402</v>
      </c>
      <c r="H4734">
        <v>14074801</v>
      </c>
      <c r="I4734">
        <v>2928937</v>
      </c>
      <c r="J4734">
        <v>2</v>
      </c>
    </row>
    <row r="4735" spans="1:10" x14ac:dyDescent="0.25">
      <c r="A4735" t="s">
        <v>44</v>
      </c>
      <c r="B4735" s="1" t="str">
        <f>HYPERLINK("http://astrazeneca.bg","astrazeneca.bg")</f>
        <v>astrazeneca.bg</v>
      </c>
      <c r="C4735" t="s">
        <v>422</v>
      </c>
      <c r="D4735" t="s">
        <v>804</v>
      </c>
      <c r="F4735">
        <v>1.6749814485441499E-8</v>
      </c>
      <c r="G4735">
        <v>3346021</v>
      </c>
      <c r="H4735">
        <v>13141613</v>
      </c>
      <c r="I4735">
        <v>11872245</v>
      </c>
      <c r="J4735">
        <v>2</v>
      </c>
    </row>
    <row r="4736" spans="1:10" x14ac:dyDescent="0.25">
      <c r="A4736" t="s">
        <v>44</v>
      </c>
      <c r="B4736" s="1" t="str">
        <f>HYPERLINK("http://astrazeneca.com.br","astrazeneca.com.br")</f>
        <v>astrazeneca.com.br</v>
      </c>
      <c r="C4736" t="s">
        <v>425</v>
      </c>
      <c r="D4736" t="s">
        <v>806</v>
      </c>
      <c r="F4736">
        <v>1.93285387041476E-8</v>
      </c>
      <c r="G4736">
        <v>2777487</v>
      </c>
      <c r="H4736">
        <v>13885854</v>
      </c>
      <c r="I4736">
        <v>5969946</v>
      </c>
      <c r="J4736">
        <v>2</v>
      </c>
    </row>
    <row r="4737" spans="1:10" x14ac:dyDescent="0.25">
      <c r="A4737" t="s">
        <v>44</v>
      </c>
      <c r="B4737" s="1" t="str">
        <f>HYPERLINK("http://astrazeneca.ca","astrazeneca.ca")</f>
        <v>astrazeneca.ca</v>
      </c>
      <c r="C4737" t="s">
        <v>428</v>
      </c>
      <c r="D4737" t="s">
        <v>809</v>
      </c>
      <c r="E4737">
        <v>878514</v>
      </c>
      <c r="F4737">
        <v>1.4600958952143201E-7</v>
      </c>
      <c r="G4737">
        <v>266642</v>
      </c>
      <c r="H4737">
        <v>14681293</v>
      </c>
      <c r="I4737">
        <v>608210</v>
      </c>
      <c r="J4737">
        <v>2</v>
      </c>
    </row>
    <row r="4738" spans="1:10" x14ac:dyDescent="0.25">
      <c r="A4738" t="s">
        <v>44</v>
      </c>
      <c r="B4738" s="1" t="str">
        <f>HYPERLINK("http://astrazeneca.ch","astrazeneca.ch")</f>
        <v>astrazeneca.ch</v>
      </c>
      <c r="C4738" t="s">
        <v>429</v>
      </c>
      <c r="D4738" t="s">
        <v>810</v>
      </c>
      <c r="F4738">
        <v>3.6182768460426602E-8</v>
      </c>
      <c r="G4738">
        <v>1441095</v>
      </c>
      <c r="H4738">
        <v>13423471</v>
      </c>
      <c r="I4738">
        <v>10298106</v>
      </c>
      <c r="J4738">
        <v>2</v>
      </c>
    </row>
    <row r="4739" spans="1:10" x14ac:dyDescent="0.25">
      <c r="A4739" t="s">
        <v>44</v>
      </c>
      <c r="B4739" s="1" t="str">
        <f>HYPERLINK("http://astrazeneca.cn","astrazeneca.cn")</f>
        <v>astrazeneca.cn</v>
      </c>
      <c r="C4739" t="s">
        <v>431</v>
      </c>
      <c r="D4739" t="s">
        <v>812</v>
      </c>
      <c r="E4739">
        <v>976648</v>
      </c>
      <c r="F4739">
        <v>8.5555451466394998E-8</v>
      </c>
      <c r="G4739">
        <v>481663</v>
      </c>
      <c r="H4739">
        <v>12347243</v>
      </c>
      <c r="I4739">
        <v>19810640</v>
      </c>
      <c r="J4739">
        <v>2</v>
      </c>
    </row>
    <row r="4740" spans="1:10" x14ac:dyDescent="0.25">
      <c r="A4740" t="s">
        <v>44</v>
      </c>
      <c r="B4740" s="1" t="str">
        <f>HYPERLINK("http://astrazeneca.com.cn","astrazeneca.com.cn")</f>
        <v>astrazeneca.com.cn</v>
      </c>
      <c r="C4740" t="s">
        <v>431</v>
      </c>
      <c r="D4740" t="s">
        <v>812</v>
      </c>
      <c r="F4740">
        <v>7.4840615899163995E-8</v>
      </c>
      <c r="G4740">
        <v>562147</v>
      </c>
      <c r="H4740">
        <v>14479780</v>
      </c>
      <c r="I4740">
        <v>1027371</v>
      </c>
      <c r="J4740">
        <v>2</v>
      </c>
    </row>
    <row r="4741" spans="1:10" x14ac:dyDescent="0.25">
      <c r="A4741" t="s">
        <v>44</v>
      </c>
      <c r="B4741" s="1" t="str">
        <f>HYPERLINK("http://astrazeneca.co","astrazeneca.co")</f>
        <v>astrazeneca.co</v>
      </c>
      <c r="C4741" t="s">
        <v>432</v>
      </c>
      <c r="F4741">
        <v>7.0582134135669999E-9</v>
      </c>
      <c r="G4741">
        <v>12131969</v>
      </c>
      <c r="H4741">
        <v>13006145</v>
      </c>
      <c r="I4741">
        <v>12767803</v>
      </c>
      <c r="J4741">
        <v>2</v>
      </c>
    </row>
    <row r="4742" spans="1:10" x14ac:dyDescent="0.25">
      <c r="A4742" t="s">
        <v>44</v>
      </c>
      <c r="B4742" s="1" t="str">
        <f>HYPERLINK("http://acerta-pharma.com","acerta-pharma.com")</f>
        <v>acerta-pharma.com</v>
      </c>
      <c r="C4742" t="s">
        <v>433</v>
      </c>
      <c r="F4742">
        <v>2.40186903426453E-8</v>
      </c>
      <c r="G4742">
        <v>2161151</v>
      </c>
      <c r="H4742">
        <v>13132424</v>
      </c>
      <c r="I4742">
        <v>11927243</v>
      </c>
      <c r="J4742">
        <v>3</v>
      </c>
    </row>
    <row r="4743" spans="1:10" x14ac:dyDescent="0.25">
      <c r="A4743" t="s">
        <v>44</v>
      </c>
      <c r="B4743" s="1" t="str">
        <f>HYPERLINK("http://achillion.com","achillion.com")</f>
        <v>achillion.com</v>
      </c>
      <c r="C4743" t="s">
        <v>433</v>
      </c>
      <c r="F4743">
        <v>2.7025187417235899E-8</v>
      </c>
      <c r="G4743">
        <v>1903086</v>
      </c>
      <c r="H4743">
        <v>13498585</v>
      </c>
      <c r="I4743">
        <v>9975302</v>
      </c>
      <c r="J4743">
        <v>3</v>
      </c>
    </row>
    <row r="4744" spans="1:10" x14ac:dyDescent="0.25">
      <c r="A4744" t="s">
        <v>44</v>
      </c>
      <c r="B4744" s="1" t="str">
        <f>HYPERLINK("http://adctherapeutics.com","adctherapeutics.com")</f>
        <v>adctherapeutics.com</v>
      </c>
      <c r="C4744" t="s">
        <v>433</v>
      </c>
      <c r="E4744">
        <v>788631</v>
      </c>
      <c r="F4744">
        <v>5.97048604808369E-8</v>
      </c>
      <c r="G4744">
        <v>740025</v>
      </c>
      <c r="H4744">
        <v>14339276</v>
      </c>
      <c r="I4744">
        <v>1317143</v>
      </c>
      <c r="J4744">
        <v>3</v>
      </c>
    </row>
    <row r="4745" spans="1:10" x14ac:dyDescent="0.25">
      <c r="A4745" t="s">
        <v>44</v>
      </c>
      <c r="B4745" s="1" t="str">
        <f>HYPERLINK("http://alexion.com","alexion.com")</f>
        <v>alexion.com</v>
      </c>
      <c r="C4745" t="s">
        <v>433</v>
      </c>
      <c r="E4745">
        <v>153795</v>
      </c>
      <c r="F4745">
        <v>5.3666519891818197E-7</v>
      </c>
      <c r="G4745">
        <v>71887</v>
      </c>
      <c r="H4745">
        <v>13988078</v>
      </c>
      <c r="I4745">
        <v>4036208</v>
      </c>
      <c r="J4745">
        <v>3</v>
      </c>
    </row>
    <row r="4746" spans="1:10" x14ac:dyDescent="0.25">
      <c r="A4746" t="s">
        <v>44</v>
      </c>
      <c r="B4746" s="1" t="str">
        <f>HYPERLINK("http://alexionpharma.com","alexionpharma.com")</f>
        <v>alexionpharma.com</v>
      </c>
      <c r="C4746" t="s">
        <v>433</v>
      </c>
      <c r="F4746">
        <v>4.3553135913089301E-8</v>
      </c>
      <c r="G4746">
        <v>1097419</v>
      </c>
      <c r="H4746">
        <v>13922913</v>
      </c>
      <c r="I4746">
        <v>5933228</v>
      </c>
      <c r="J4746">
        <v>4</v>
      </c>
    </row>
    <row r="4747" spans="1:10" x14ac:dyDescent="0.25">
      <c r="A4747" t="s">
        <v>44</v>
      </c>
      <c r="B4747" s="1" t="str">
        <f>HYPERLINK("http://alxn.com","alxn.com")</f>
        <v>alxn.com</v>
      </c>
      <c r="C4747" t="s">
        <v>433</v>
      </c>
      <c r="E4747">
        <v>385766</v>
      </c>
      <c r="F4747">
        <v>4.2779470970991302E-8</v>
      </c>
      <c r="G4747">
        <v>1127752</v>
      </c>
      <c r="H4747">
        <v>14846361</v>
      </c>
      <c r="I4747">
        <v>493423</v>
      </c>
      <c r="J4747">
        <v>3</v>
      </c>
    </row>
    <row r="4748" spans="1:10" x14ac:dyDescent="0.25">
      <c r="A4748" t="s">
        <v>44</v>
      </c>
      <c r="B4748" s="1" t="str">
        <f>HYPERLINK("http://amplimmune.com","amplimmune.com")</f>
        <v>amplimmune.com</v>
      </c>
      <c r="C4748" t="s">
        <v>433</v>
      </c>
      <c r="F4748">
        <v>9.0374856134639802E-9</v>
      </c>
      <c r="G4748">
        <v>7935994</v>
      </c>
      <c r="H4748">
        <v>14126700</v>
      </c>
      <c r="I4748">
        <v>2095608</v>
      </c>
      <c r="J4748">
        <v>5</v>
      </c>
    </row>
    <row r="4749" spans="1:10" x14ac:dyDescent="0.25">
      <c r="A4749" t="s">
        <v>44</v>
      </c>
      <c r="B4749" s="1" t="str">
        <f>HYPERLINK("http://amylin.com","amylin.com")</f>
        <v>amylin.com</v>
      </c>
      <c r="C4749" t="s">
        <v>433</v>
      </c>
      <c r="E4749">
        <v>965976</v>
      </c>
      <c r="F4749">
        <v>3.3439350808976199E-8</v>
      </c>
      <c r="G4749">
        <v>1545833</v>
      </c>
      <c r="H4749">
        <v>14280082</v>
      </c>
      <c r="I4749">
        <v>1381048</v>
      </c>
      <c r="J4749">
        <v>3</v>
      </c>
    </row>
    <row r="4750" spans="1:10" x14ac:dyDescent="0.25">
      <c r="A4750" t="s">
        <v>44</v>
      </c>
      <c r="B4750" s="1" t="str">
        <f>HYPERLINK("http://archigenbio.com","archigenbio.com")</f>
        <v>archigenbio.com</v>
      </c>
      <c r="C4750" t="s">
        <v>433</v>
      </c>
      <c r="F4750">
        <v>4.5501777745347996E-9</v>
      </c>
      <c r="G4750">
        <v>52170735</v>
      </c>
      <c r="H4750">
        <v>10248247</v>
      </c>
      <c r="I4750">
        <v>58687686</v>
      </c>
      <c r="J4750">
        <v>3</v>
      </c>
    </row>
    <row r="4751" spans="1:10" x14ac:dyDescent="0.25">
      <c r="A4751" t="s">
        <v>44</v>
      </c>
      <c r="B4751" s="1" t="str">
        <f>HYPERLINK("http://astrazeneca.com","astrazeneca.com")</f>
        <v>astrazeneca.com</v>
      </c>
      <c r="C4751" t="s">
        <v>433</v>
      </c>
      <c r="E4751">
        <v>10867</v>
      </c>
      <c r="F4751">
        <v>3.6654811518247202E-6</v>
      </c>
      <c r="G4751">
        <v>11311</v>
      </c>
      <c r="H4751">
        <v>17653926</v>
      </c>
      <c r="I4751">
        <v>8293</v>
      </c>
      <c r="J4751">
        <v>1</v>
      </c>
    </row>
    <row r="4752" spans="1:10" x14ac:dyDescent="0.25">
      <c r="A4752" t="s">
        <v>44</v>
      </c>
      <c r="B4752" s="1" t="str">
        <f>HYPERLINK("http://dizalpharma.com","dizalpharma.com")</f>
        <v>dizalpharma.com</v>
      </c>
      <c r="C4752" t="s">
        <v>433</v>
      </c>
      <c r="F4752">
        <v>7.13667887109328E-9</v>
      </c>
      <c r="G4752">
        <v>11912917</v>
      </c>
      <c r="H4752">
        <v>13162073</v>
      </c>
      <c r="I4752">
        <v>11775802</v>
      </c>
      <c r="J4752">
        <v>3</v>
      </c>
    </row>
    <row r="4753" spans="1:10" x14ac:dyDescent="0.25">
      <c r="A4753" t="s">
        <v>44</v>
      </c>
      <c r="B4753" s="1" t="str">
        <f>HYPERLINK("http://logicbio.com","logicbio.com")</f>
        <v>logicbio.com</v>
      </c>
      <c r="C4753" t="s">
        <v>433</v>
      </c>
      <c r="F4753">
        <v>2.3904095102542799E-8</v>
      </c>
      <c r="G4753">
        <v>2172461</v>
      </c>
      <c r="H4753">
        <v>13641835</v>
      </c>
      <c r="I4753">
        <v>9610497</v>
      </c>
      <c r="J4753">
        <v>3</v>
      </c>
    </row>
    <row r="4754" spans="1:10" x14ac:dyDescent="0.25">
      <c r="A4754" t="s">
        <v>44</v>
      </c>
      <c r="B4754" s="1" t="str">
        <f>HYPERLINK("http://medimmune.com","medimmune.com")</f>
        <v>medimmune.com</v>
      </c>
      <c r="C4754" t="s">
        <v>433</v>
      </c>
      <c r="E4754">
        <v>177429</v>
      </c>
      <c r="F4754">
        <v>1.2418426121050999E-7</v>
      </c>
      <c r="G4754">
        <v>317767</v>
      </c>
      <c r="H4754">
        <v>14648787</v>
      </c>
      <c r="I4754">
        <v>630627</v>
      </c>
      <c r="J4754">
        <v>3</v>
      </c>
    </row>
    <row r="4755" spans="1:10" x14ac:dyDescent="0.25">
      <c r="A4755" t="s">
        <v>44</v>
      </c>
      <c r="B4755" s="1" t="str">
        <f>HYPERLINK("http://medimmuneventures.com","medimmuneventures.com")</f>
        <v>medimmuneventures.com</v>
      </c>
      <c r="C4755" t="s">
        <v>433</v>
      </c>
      <c r="F4755">
        <v>6.5730671980963798E-9</v>
      </c>
      <c r="G4755">
        <v>13780890</v>
      </c>
      <c r="H4755">
        <v>12687073</v>
      </c>
      <c r="I4755">
        <v>15442034</v>
      </c>
      <c r="J4755">
        <v>5</v>
      </c>
    </row>
    <row r="4756" spans="1:10" x14ac:dyDescent="0.25">
      <c r="A4756" t="s">
        <v>44</v>
      </c>
      <c r="B4756" s="1" t="str">
        <f>HYPERLINK("http://portola.com","portola.com")</f>
        <v>portola.com</v>
      </c>
      <c r="C4756" t="s">
        <v>433</v>
      </c>
      <c r="E4756">
        <v>209728</v>
      </c>
      <c r="F4756">
        <v>6.3377753921708197E-8</v>
      </c>
      <c r="G4756">
        <v>686015</v>
      </c>
      <c r="H4756">
        <v>13923527</v>
      </c>
      <c r="I4756">
        <v>5932871</v>
      </c>
      <c r="J4756">
        <v>3</v>
      </c>
    </row>
    <row r="4757" spans="1:10" x14ac:dyDescent="0.25">
      <c r="A4757" t="s">
        <v>44</v>
      </c>
      <c r="B4757" s="1" t="str">
        <f>HYPERLINK("http://syntimmune.com","syntimmune.com")</f>
        <v>syntimmune.com</v>
      </c>
      <c r="C4757" t="s">
        <v>433</v>
      </c>
      <c r="F4757">
        <v>7.3739062587915604E-9</v>
      </c>
      <c r="G4757">
        <v>11305036</v>
      </c>
      <c r="H4757">
        <v>13259744</v>
      </c>
      <c r="I4757">
        <v>11042359</v>
      </c>
      <c r="J4757">
        <v>3</v>
      </c>
    </row>
    <row r="4758" spans="1:10" x14ac:dyDescent="0.25">
      <c r="A4758" t="s">
        <v>44</v>
      </c>
      <c r="B4758" s="1" t="str">
        <f>HYPERLINK("http://zspharma.com","zspharma.com")</f>
        <v>zspharma.com</v>
      </c>
      <c r="C4758" t="s">
        <v>433</v>
      </c>
      <c r="F4758">
        <v>1.5532842983786E-8</v>
      </c>
      <c r="G4758">
        <v>3675235</v>
      </c>
      <c r="H4758">
        <v>13385182</v>
      </c>
      <c r="I4758">
        <v>10411321</v>
      </c>
      <c r="J4758">
        <v>3</v>
      </c>
    </row>
    <row r="4759" spans="1:10" x14ac:dyDescent="0.25">
      <c r="A4759" t="s">
        <v>44</v>
      </c>
      <c r="B4759" s="1" t="str">
        <f>HYPERLINK("http://astrazeneca.cz","astrazeneca.cz")</f>
        <v>astrazeneca.cz</v>
      </c>
      <c r="C4759" t="s">
        <v>435</v>
      </c>
      <c r="D4759" t="s">
        <v>814</v>
      </c>
      <c r="F4759">
        <v>5.0344027871622303E-8</v>
      </c>
      <c r="G4759">
        <v>913237</v>
      </c>
      <c r="H4759">
        <v>13055866</v>
      </c>
      <c r="I4759">
        <v>12564718</v>
      </c>
      <c r="J4759">
        <v>2</v>
      </c>
    </row>
    <row r="4760" spans="1:10" x14ac:dyDescent="0.25">
      <c r="A4760" t="s">
        <v>44</v>
      </c>
      <c r="B4760" s="1" t="str">
        <f>HYPERLINK("http://alexion.de","alexion.de")</f>
        <v>alexion.de</v>
      </c>
      <c r="C4760" t="s">
        <v>436</v>
      </c>
      <c r="D4760" t="s">
        <v>815</v>
      </c>
      <c r="F4760">
        <v>4.5981465524635703E-8</v>
      </c>
      <c r="G4760">
        <v>1021061</v>
      </c>
      <c r="H4760">
        <v>13664284</v>
      </c>
      <c r="I4760">
        <v>9564418</v>
      </c>
      <c r="J4760">
        <v>4</v>
      </c>
    </row>
    <row r="4761" spans="1:10" x14ac:dyDescent="0.25">
      <c r="A4761" t="s">
        <v>44</v>
      </c>
      <c r="B4761" s="1" t="str">
        <f>HYPERLINK("http://astrazeneca.de","astrazeneca.de")</f>
        <v>astrazeneca.de</v>
      </c>
      <c r="C4761" t="s">
        <v>436</v>
      </c>
      <c r="D4761" t="s">
        <v>815</v>
      </c>
      <c r="E4761">
        <v>800977</v>
      </c>
      <c r="F4761">
        <v>2.00727935979287E-7</v>
      </c>
      <c r="G4761">
        <v>189718</v>
      </c>
      <c r="H4761">
        <v>14805368</v>
      </c>
      <c r="I4761">
        <v>547052</v>
      </c>
      <c r="J4761">
        <v>2</v>
      </c>
    </row>
    <row r="4762" spans="1:10" x14ac:dyDescent="0.25">
      <c r="A4762" t="s">
        <v>44</v>
      </c>
      <c r="B4762" s="1" t="str">
        <f>HYPERLINK("http://sofotec.de","sofotec.de")</f>
        <v>sofotec.de</v>
      </c>
      <c r="C4762" t="s">
        <v>436</v>
      </c>
      <c r="D4762" t="s">
        <v>815</v>
      </c>
      <c r="F4762">
        <v>4.5709776340033803E-9</v>
      </c>
      <c r="G4762">
        <v>50098635</v>
      </c>
      <c r="H4762">
        <v>10508692</v>
      </c>
      <c r="I4762">
        <v>50110645</v>
      </c>
      <c r="J4762">
        <v>3</v>
      </c>
    </row>
    <row r="4763" spans="1:10" x14ac:dyDescent="0.25">
      <c r="A4763" t="s">
        <v>44</v>
      </c>
      <c r="B4763" s="1" t="str">
        <f>HYPERLINK("http://astrazeneca.dk","astrazeneca.dk")</f>
        <v>astrazeneca.dk</v>
      </c>
      <c r="C4763" t="s">
        <v>437</v>
      </c>
      <c r="D4763" t="s">
        <v>816</v>
      </c>
      <c r="F4763">
        <v>1.47952095858626E-8</v>
      </c>
      <c r="G4763">
        <v>3908812</v>
      </c>
      <c r="H4763">
        <v>12446857</v>
      </c>
      <c r="I4763">
        <v>18065368</v>
      </c>
      <c r="J4763">
        <v>2</v>
      </c>
    </row>
    <row r="4764" spans="1:10" x14ac:dyDescent="0.25">
      <c r="A4764" t="s">
        <v>44</v>
      </c>
      <c r="B4764" s="1" t="str">
        <f>HYPERLINK("http://astrazeneca.es","astrazeneca.es")</f>
        <v>astrazeneca.es</v>
      </c>
      <c r="C4764" t="s">
        <v>443</v>
      </c>
      <c r="D4764" t="s">
        <v>822</v>
      </c>
      <c r="F4764">
        <v>8.61924555084303E-8</v>
      </c>
      <c r="G4764">
        <v>477266</v>
      </c>
      <c r="H4764">
        <v>14543613</v>
      </c>
      <c r="I4764">
        <v>771646</v>
      </c>
      <c r="J4764">
        <v>2</v>
      </c>
    </row>
    <row r="4765" spans="1:10" x14ac:dyDescent="0.25">
      <c r="A4765" t="s">
        <v>44</v>
      </c>
      <c r="B4765" s="1" t="str">
        <f>HYPERLINK("http://alexionpharma.eu","alexionpharma.eu")</f>
        <v>alexionpharma.eu</v>
      </c>
      <c r="C4765" t="s">
        <v>444</v>
      </c>
      <c r="F4765">
        <v>7.9948267072134095E-9</v>
      </c>
      <c r="G4765">
        <v>9930083</v>
      </c>
      <c r="H4765">
        <v>12240970</v>
      </c>
      <c r="I4765">
        <v>22233830</v>
      </c>
      <c r="J4765">
        <v>3</v>
      </c>
    </row>
    <row r="4766" spans="1:10" x14ac:dyDescent="0.25">
      <c r="A4766" t="s">
        <v>44</v>
      </c>
      <c r="B4766" s="1" t="str">
        <f>HYPERLINK("http://ahusregistry.fi","ahusregistry.fi")</f>
        <v>ahusregistry.fi</v>
      </c>
      <c r="C4766" t="s">
        <v>445</v>
      </c>
      <c r="D4766" t="s">
        <v>823</v>
      </c>
      <c r="J4766">
        <v>2</v>
      </c>
    </row>
    <row r="4767" spans="1:10" x14ac:dyDescent="0.25">
      <c r="A4767" t="s">
        <v>44</v>
      </c>
      <c r="B4767" s="1" t="str">
        <f>HYPERLINK("http://asfotaasialfa-potilas.fi","asfotaasialfa-potilas.fi")</f>
        <v>asfotaasialfa-potilas.fi</v>
      </c>
      <c r="C4767" t="s">
        <v>445</v>
      </c>
      <c r="D4767" t="s">
        <v>823</v>
      </c>
      <c r="J4767">
        <v>2</v>
      </c>
    </row>
    <row r="4768" spans="1:10" x14ac:dyDescent="0.25">
      <c r="A4768" t="s">
        <v>44</v>
      </c>
      <c r="B4768" s="1" t="str">
        <f>HYPERLINK("http://astmacopdakatemia.fi","astmacopdakatemia.fi")</f>
        <v>astmacopdakatemia.fi</v>
      </c>
      <c r="C4768" t="s">
        <v>445</v>
      </c>
      <c r="D4768" t="s">
        <v>823</v>
      </c>
      <c r="J4768">
        <v>4</v>
      </c>
    </row>
    <row r="4769" spans="1:10" x14ac:dyDescent="0.25">
      <c r="A4769" t="s">
        <v>44</v>
      </c>
      <c r="B4769" s="1" t="str">
        <f>HYPERLINK("http://astmahoitoon.fi","astmahoitoon.fi")</f>
        <v>astmahoitoon.fi</v>
      </c>
      <c r="C4769" t="s">
        <v>445</v>
      </c>
      <c r="D4769" t="s">
        <v>823</v>
      </c>
      <c r="J4769">
        <v>4</v>
      </c>
    </row>
    <row r="4770" spans="1:10" x14ac:dyDescent="0.25">
      <c r="A4770" t="s">
        <v>44</v>
      </c>
      <c r="B4770" s="1" t="str">
        <f>HYPERLINK("http://astmaonline.fi","astmaonline.fi")</f>
        <v>astmaonline.fi</v>
      </c>
      <c r="C4770" t="s">
        <v>445</v>
      </c>
      <c r="D4770" t="s">
        <v>823</v>
      </c>
      <c r="J4770">
        <v>4</v>
      </c>
    </row>
    <row r="4771" spans="1:10" x14ac:dyDescent="0.25">
      <c r="A4771" t="s">
        <v>44</v>
      </c>
      <c r="B4771" s="1" t="str">
        <f>HYPERLINK("http://astrazeneca.fi","astrazeneca.fi")</f>
        <v>astrazeneca.fi</v>
      </c>
      <c r="C4771" t="s">
        <v>445</v>
      </c>
      <c r="D4771" t="s">
        <v>823</v>
      </c>
      <c r="F4771">
        <v>1.37285089019504E-8</v>
      </c>
      <c r="G4771">
        <v>4309743</v>
      </c>
      <c r="H4771">
        <v>14239395</v>
      </c>
      <c r="I4771">
        <v>1513008</v>
      </c>
      <c r="J4771">
        <v>2</v>
      </c>
    </row>
    <row r="4772" spans="1:10" x14ac:dyDescent="0.25">
      <c r="A4772" t="s">
        <v>44</v>
      </c>
      <c r="B4772" s="1" t="str">
        <f>HYPERLINK("http://astrazenecaconnect.fi","astrazenecaconnect.fi")</f>
        <v>astrazenecaconnect.fi</v>
      </c>
      <c r="C4772" t="s">
        <v>445</v>
      </c>
      <c r="D4772" t="s">
        <v>823</v>
      </c>
      <c r="J4772">
        <v>2</v>
      </c>
    </row>
    <row r="4773" spans="1:10" x14ac:dyDescent="0.25">
      <c r="A4773" t="s">
        <v>44</v>
      </c>
      <c r="B4773" s="1" t="str">
        <f>HYPERLINK("http://astrazenecaoncology.fi","astrazenecaoncology.fi")</f>
        <v>astrazenecaoncology.fi</v>
      </c>
      <c r="C4773" t="s">
        <v>445</v>
      </c>
      <c r="D4773" t="s">
        <v>823</v>
      </c>
      <c r="J4773">
        <v>4</v>
      </c>
    </row>
    <row r="4774" spans="1:10" x14ac:dyDescent="0.25">
      <c r="A4774" t="s">
        <v>44</v>
      </c>
      <c r="B4774" s="1" t="str">
        <f>HYPERLINK("http://atacand.fi","atacand.fi")</f>
        <v>atacand.fi</v>
      </c>
      <c r="C4774" t="s">
        <v>445</v>
      </c>
      <c r="D4774" t="s">
        <v>823</v>
      </c>
      <c r="J4774">
        <v>4</v>
      </c>
    </row>
    <row r="4775" spans="1:10" x14ac:dyDescent="0.25">
      <c r="A4775" t="s">
        <v>44</v>
      </c>
      <c r="B4775" s="1" t="str">
        <f>HYPERLINK("http://azconnect.fi","azconnect.fi")</f>
        <v>azconnect.fi</v>
      </c>
      <c r="C4775" t="s">
        <v>445</v>
      </c>
      <c r="D4775" t="s">
        <v>823</v>
      </c>
      <c r="J4775">
        <v>4</v>
      </c>
    </row>
    <row r="4776" spans="1:10" x14ac:dyDescent="0.25">
      <c r="A4776" t="s">
        <v>44</v>
      </c>
      <c r="B4776" s="1" t="str">
        <f>HYPERLINK("http://azservices.fi","azservices.fi")</f>
        <v>azservices.fi</v>
      </c>
      <c r="C4776" t="s">
        <v>445</v>
      </c>
      <c r="D4776" t="s">
        <v>823</v>
      </c>
      <c r="J4776">
        <v>4</v>
      </c>
    </row>
    <row r="4777" spans="1:10" x14ac:dyDescent="0.25">
      <c r="A4777" t="s">
        <v>44</v>
      </c>
      <c r="B4777" s="1" t="str">
        <f>HYPERLINK("http://benralizumab.fi","benralizumab.fi")</f>
        <v>benralizumab.fi</v>
      </c>
      <c r="C4777" t="s">
        <v>445</v>
      </c>
      <c r="D4777" t="s">
        <v>823</v>
      </c>
      <c r="J4777">
        <v>2</v>
      </c>
    </row>
    <row r="4778" spans="1:10" x14ac:dyDescent="0.25">
      <c r="A4778" t="s">
        <v>44</v>
      </c>
      <c r="B4778" s="1" t="str">
        <f>HYPERLINK("http://bevespi.fi","bevespi.fi")</f>
        <v>bevespi.fi</v>
      </c>
      <c r="C4778" t="s">
        <v>445</v>
      </c>
      <c r="D4778" t="s">
        <v>823</v>
      </c>
      <c r="J4778">
        <v>4</v>
      </c>
    </row>
    <row r="4779" spans="1:10" x14ac:dyDescent="0.25">
      <c r="A4779" t="s">
        <v>44</v>
      </c>
      <c r="B4779" s="1" t="str">
        <f>HYPERLINK("http://brcageeni.fi","brcageeni.fi")</f>
        <v>brcageeni.fi</v>
      </c>
      <c r="C4779" t="s">
        <v>445</v>
      </c>
      <c r="D4779" t="s">
        <v>823</v>
      </c>
      <c r="J4779">
        <v>4</v>
      </c>
    </row>
    <row r="4780" spans="1:10" x14ac:dyDescent="0.25">
      <c r="A4780" t="s">
        <v>44</v>
      </c>
      <c r="B4780" s="1" t="str">
        <f>HYPERLINK("http://brcamunasarjasyopa.fi","brcamunasarjasyopa.fi")</f>
        <v>brcamunasarjasyopa.fi</v>
      </c>
      <c r="C4780" t="s">
        <v>445</v>
      </c>
      <c r="D4780" t="s">
        <v>823</v>
      </c>
      <c r="J4780">
        <v>4</v>
      </c>
    </row>
    <row r="4781" spans="1:10" x14ac:dyDescent="0.25">
      <c r="A4781" t="s">
        <v>44</v>
      </c>
      <c r="B4781" s="1" t="str">
        <f>HYPERLINK("http://brcamunasarjasyp.fi","brcamunasarjasyp.fi")</f>
        <v>brcamunasarjasyp.fi</v>
      </c>
      <c r="C4781" t="s">
        <v>445</v>
      </c>
      <c r="D4781" t="s">
        <v>823</v>
      </c>
      <c r="J4781">
        <v>4</v>
      </c>
    </row>
    <row r="4782" spans="1:10" x14ac:dyDescent="0.25">
      <c r="A4782" t="s">
        <v>44</v>
      </c>
      <c r="B4782" s="1" t="str">
        <f>HYPERLINK("http://brcamutaatio.fi","brcamutaatio.fi")</f>
        <v>brcamutaatio.fi</v>
      </c>
      <c r="C4782" t="s">
        <v>445</v>
      </c>
      <c r="D4782" t="s">
        <v>823</v>
      </c>
      <c r="J4782">
        <v>4</v>
      </c>
    </row>
    <row r="4783" spans="1:10" x14ac:dyDescent="0.25">
      <c r="A4783" t="s">
        <v>44</v>
      </c>
      <c r="B4783" s="1" t="str">
        <f>HYPERLINK("http://brcarintasyopa.fi","brcarintasyopa.fi")</f>
        <v>brcarintasyopa.fi</v>
      </c>
      <c r="C4783" t="s">
        <v>445</v>
      </c>
      <c r="D4783" t="s">
        <v>823</v>
      </c>
      <c r="J4783">
        <v>4</v>
      </c>
    </row>
    <row r="4784" spans="1:10" x14ac:dyDescent="0.25">
      <c r="A4784" t="s">
        <v>44</v>
      </c>
      <c r="B4784" s="1" t="str">
        <f>HYPERLINK("http://brcarintasyp.fi","brcarintasyp.fi")</f>
        <v>brcarintasyp.fi</v>
      </c>
      <c r="C4784" t="s">
        <v>445</v>
      </c>
      <c r="D4784" t="s">
        <v>823</v>
      </c>
      <c r="J4784">
        <v>4</v>
      </c>
    </row>
    <row r="4785" spans="1:10" x14ac:dyDescent="0.25">
      <c r="A4785" t="s">
        <v>44</v>
      </c>
      <c r="B4785" s="1" t="str">
        <f>HYPERLINK("http://brcatestaus.fi","brcatestaus.fi")</f>
        <v>brcatestaus.fi</v>
      </c>
      <c r="C4785" t="s">
        <v>445</v>
      </c>
      <c r="D4785" t="s">
        <v>823</v>
      </c>
      <c r="J4785">
        <v>4</v>
      </c>
    </row>
    <row r="4786" spans="1:10" x14ac:dyDescent="0.25">
      <c r="A4786" t="s">
        <v>44</v>
      </c>
      <c r="B4786" s="1" t="str">
        <f>HYPERLINK("http://bretaris.fi","bretaris.fi")</f>
        <v>bretaris.fi</v>
      </c>
      <c r="C4786" t="s">
        <v>445</v>
      </c>
      <c r="D4786" t="s">
        <v>823</v>
      </c>
      <c r="J4786">
        <v>4</v>
      </c>
    </row>
    <row r="4787" spans="1:10" x14ac:dyDescent="0.25">
      <c r="A4787" t="s">
        <v>44</v>
      </c>
      <c r="B4787" s="1" t="str">
        <f>HYPERLINK("http://bretaris-genuair.fi","bretaris-genuair.fi")</f>
        <v>bretaris-genuair.fi</v>
      </c>
      <c r="C4787" t="s">
        <v>445</v>
      </c>
      <c r="D4787" t="s">
        <v>823</v>
      </c>
      <c r="J4787">
        <v>4</v>
      </c>
    </row>
    <row r="4788" spans="1:10" x14ac:dyDescent="0.25">
      <c r="A4788" t="s">
        <v>44</v>
      </c>
      <c r="B4788" s="1" t="str">
        <f>HYPERLINK("http://bretarisgenuair.fi","bretarisgenuair.fi")</f>
        <v>bretarisgenuair.fi</v>
      </c>
      <c r="C4788" t="s">
        <v>445</v>
      </c>
      <c r="D4788" t="s">
        <v>823</v>
      </c>
      <c r="J4788">
        <v>4</v>
      </c>
    </row>
    <row r="4789" spans="1:10" x14ac:dyDescent="0.25">
      <c r="A4789" t="s">
        <v>44</v>
      </c>
      <c r="B4789" s="1" t="str">
        <f>HYPERLINK("http://bricanyl.fi","bricanyl.fi")</f>
        <v>bricanyl.fi</v>
      </c>
      <c r="C4789" t="s">
        <v>445</v>
      </c>
      <c r="D4789" t="s">
        <v>823</v>
      </c>
      <c r="J4789">
        <v>4</v>
      </c>
    </row>
    <row r="4790" spans="1:10" x14ac:dyDescent="0.25">
      <c r="A4790" t="s">
        <v>44</v>
      </c>
      <c r="B4790" s="1" t="str">
        <f>HYPERLINK("http://brilique.fi","brilique.fi")</f>
        <v>brilique.fi</v>
      </c>
      <c r="C4790" t="s">
        <v>445</v>
      </c>
      <c r="D4790" t="s">
        <v>823</v>
      </c>
      <c r="J4790">
        <v>4</v>
      </c>
    </row>
    <row r="4791" spans="1:10" x14ac:dyDescent="0.25">
      <c r="A4791" t="s">
        <v>44</v>
      </c>
      <c r="B4791" s="1" t="str">
        <f>HYPERLINK("http://brimica.fi","brimica.fi")</f>
        <v>brimica.fi</v>
      </c>
      <c r="C4791" t="s">
        <v>445</v>
      </c>
      <c r="D4791" t="s">
        <v>823</v>
      </c>
      <c r="J4791">
        <v>4</v>
      </c>
    </row>
    <row r="4792" spans="1:10" x14ac:dyDescent="0.25">
      <c r="A4792" t="s">
        <v>44</v>
      </c>
      <c r="B4792" s="1" t="str">
        <f>HYPERLINK("http://brimica-genuair.fi","brimica-genuair.fi")</f>
        <v>brimica-genuair.fi</v>
      </c>
      <c r="C4792" t="s">
        <v>445</v>
      </c>
      <c r="D4792" t="s">
        <v>823</v>
      </c>
      <c r="J4792">
        <v>4</v>
      </c>
    </row>
    <row r="4793" spans="1:10" x14ac:dyDescent="0.25">
      <c r="A4793" t="s">
        <v>44</v>
      </c>
      <c r="B4793" s="1" t="str">
        <f>HYPERLINK("http://brimicagenuair.fi","brimicagenuair.fi")</f>
        <v>brimicagenuair.fi</v>
      </c>
      <c r="C4793" t="s">
        <v>445</v>
      </c>
      <c r="D4793" t="s">
        <v>823</v>
      </c>
      <c r="J4793">
        <v>4</v>
      </c>
    </row>
    <row r="4794" spans="1:10" x14ac:dyDescent="0.25">
      <c r="A4794" t="s">
        <v>44</v>
      </c>
      <c r="B4794" s="1" t="str">
        <f>HYPERLINK("http://bydureon.fi","bydureon.fi")</f>
        <v>bydureon.fi</v>
      </c>
      <c r="C4794" t="s">
        <v>445</v>
      </c>
      <c r="D4794" t="s">
        <v>823</v>
      </c>
      <c r="J4794">
        <v>4</v>
      </c>
    </row>
    <row r="4795" spans="1:10" x14ac:dyDescent="0.25">
      <c r="A4795" t="s">
        <v>44</v>
      </c>
      <c r="B4795" s="1" t="str">
        <f>HYPERLINK("http://byetta.fi","byetta.fi")</f>
        <v>byetta.fi</v>
      </c>
      <c r="C4795" t="s">
        <v>445</v>
      </c>
      <c r="D4795" t="s">
        <v>823</v>
      </c>
      <c r="J4795">
        <v>4</v>
      </c>
    </row>
    <row r="4796" spans="1:10" x14ac:dyDescent="0.25">
      <c r="A4796" t="s">
        <v>44</v>
      </c>
      <c r="B4796" s="1" t="str">
        <f>HYPERLINK("http://cardionrenal.fi","cardionrenal.fi")</f>
        <v>cardionrenal.fi</v>
      </c>
      <c r="C4796" t="s">
        <v>445</v>
      </c>
      <c r="D4796" t="s">
        <v>823</v>
      </c>
      <c r="J4796">
        <v>2</v>
      </c>
    </row>
    <row r="4797" spans="1:10" x14ac:dyDescent="0.25">
      <c r="A4797" t="s">
        <v>44</v>
      </c>
      <c r="B4797" s="1" t="str">
        <f>HYPERLINK("http://cardiorenal.fi","cardiorenal.fi")</f>
        <v>cardiorenal.fi</v>
      </c>
      <c r="C4797" t="s">
        <v>445</v>
      </c>
      <c r="D4797" t="s">
        <v>823</v>
      </c>
      <c r="J4797">
        <v>2</v>
      </c>
    </row>
    <row r="4798" spans="1:10" x14ac:dyDescent="0.25">
      <c r="A4798" t="s">
        <v>44</v>
      </c>
      <c r="B4798" s="1" t="str">
        <f>HYPERLINK("http://casodex.fi","casodex.fi")</f>
        <v>casodex.fi</v>
      </c>
      <c r="C4798" t="s">
        <v>445</v>
      </c>
      <c r="D4798" t="s">
        <v>823</v>
      </c>
      <c r="J4798">
        <v>4</v>
      </c>
    </row>
    <row r="4799" spans="1:10" x14ac:dyDescent="0.25">
      <c r="A4799" t="s">
        <v>44</v>
      </c>
      <c r="B4799" s="1" t="str">
        <f>HYPERLINK("http://connect360.fi","connect360.fi")</f>
        <v>connect360.fi</v>
      </c>
      <c r="C4799" t="s">
        <v>445</v>
      </c>
      <c r="D4799" t="s">
        <v>823</v>
      </c>
      <c r="J4799">
        <v>2</v>
      </c>
    </row>
    <row r="4800" spans="1:10" x14ac:dyDescent="0.25">
      <c r="A4800" t="s">
        <v>44</v>
      </c>
      <c r="B4800" s="1" t="str">
        <f>HYPERLINK("http://connectinhealth.fi","connectinhealth.fi")</f>
        <v>connectinhealth.fi</v>
      </c>
      <c r="C4800" t="s">
        <v>445</v>
      </c>
      <c r="D4800" t="s">
        <v>823</v>
      </c>
      <c r="J4800">
        <v>4</v>
      </c>
    </row>
    <row r="4801" spans="1:10" x14ac:dyDescent="0.25">
      <c r="A4801" t="s">
        <v>44</v>
      </c>
      <c r="B4801" s="1" t="str">
        <f>HYPERLINK("http://copdhoitoon.fi","copdhoitoon.fi")</f>
        <v>copdhoitoon.fi</v>
      </c>
      <c r="C4801" t="s">
        <v>445</v>
      </c>
      <c r="D4801" t="s">
        <v>823</v>
      </c>
      <c r="J4801">
        <v>4</v>
      </c>
    </row>
    <row r="4802" spans="1:10" x14ac:dyDescent="0.25">
      <c r="A4802" t="s">
        <v>44</v>
      </c>
      <c r="B4802" s="1" t="str">
        <f>HYPERLINK("http://cvdreal.fi","cvdreal.fi")</f>
        <v>cvdreal.fi</v>
      </c>
      <c r="C4802" t="s">
        <v>445</v>
      </c>
      <c r="D4802" t="s">
        <v>823</v>
      </c>
      <c r="J4802">
        <v>2</v>
      </c>
    </row>
    <row r="4803" spans="1:10" x14ac:dyDescent="0.25">
      <c r="A4803" t="s">
        <v>44</v>
      </c>
      <c r="B4803" s="1" t="str">
        <f>HYPERLINK("http://dapagliflozin.fi","dapagliflozin.fi")</f>
        <v>dapagliflozin.fi</v>
      </c>
      <c r="C4803" t="s">
        <v>445</v>
      </c>
      <c r="D4803" t="s">
        <v>823</v>
      </c>
      <c r="J4803">
        <v>4</v>
      </c>
    </row>
    <row r="4804" spans="1:10" x14ac:dyDescent="0.25">
      <c r="A4804" t="s">
        <v>44</v>
      </c>
      <c r="B4804" s="1" t="str">
        <f>HYPERLINK("http://daxas.fi","daxas.fi")</f>
        <v>daxas.fi</v>
      </c>
      <c r="C4804" t="s">
        <v>445</v>
      </c>
      <c r="D4804" t="s">
        <v>823</v>
      </c>
      <c r="J4804">
        <v>4</v>
      </c>
    </row>
    <row r="4805" spans="1:10" x14ac:dyDescent="0.25">
      <c r="A4805" t="s">
        <v>44</v>
      </c>
      <c r="B4805" s="1" t="str">
        <f>HYPERLINK("http://diabeteksenhoitosuunnitelma.fi","diabeteksenhoitosuunnitelma.fi")</f>
        <v>diabeteksenhoitosuunnitelma.fi</v>
      </c>
      <c r="C4805" t="s">
        <v>445</v>
      </c>
      <c r="D4805" t="s">
        <v>823</v>
      </c>
      <c r="J4805">
        <v>4</v>
      </c>
    </row>
    <row r="4806" spans="1:10" x14ac:dyDescent="0.25">
      <c r="A4806" t="s">
        <v>44</v>
      </c>
      <c r="B4806" s="1" t="str">
        <f>HYPERLINK("http://duaklir.fi","duaklir.fi")</f>
        <v>duaklir.fi</v>
      </c>
      <c r="C4806" t="s">
        <v>445</v>
      </c>
      <c r="D4806" t="s">
        <v>823</v>
      </c>
      <c r="J4806">
        <v>4</v>
      </c>
    </row>
    <row r="4807" spans="1:10" x14ac:dyDescent="0.25">
      <c r="A4807" t="s">
        <v>44</v>
      </c>
      <c r="B4807" s="1" t="str">
        <f>HYPERLINK("http://duaklir-genuair.fi","duaklir-genuair.fi")</f>
        <v>duaklir-genuair.fi</v>
      </c>
      <c r="C4807" t="s">
        <v>445</v>
      </c>
      <c r="D4807" t="s">
        <v>823</v>
      </c>
      <c r="J4807">
        <v>4</v>
      </c>
    </row>
    <row r="4808" spans="1:10" x14ac:dyDescent="0.25">
      <c r="A4808" t="s">
        <v>44</v>
      </c>
      <c r="B4808" s="1" t="str">
        <f>HYPERLINK("http://duaklirgenuair.fi","duaklirgenuair.fi")</f>
        <v>duaklirgenuair.fi</v>
      </c>
      <c r="C4808" t="s">
        <v>445</v>
      </c>
      <c r="D4808" t="s">
        <v>823</v>
      </c>
      <c r="J4808">
        <v>4</v>
      </c>
    </row>
    <row r="4809" spans="1:10" x14ac:dyDescent="0.25">
      <c r="A4809" t="s">
        <v>44</v>
      </c>
      <c r="B4809" s="1" t="str">
        <f>HYPERLINK("http://eklira.fi","eklira.fi")</f>
        <v>eklira.fi</v>
      </c>
      <c r="C4809" t="s">
        <v>445</v>
      </c>
      <c r="D4809" t="s">
        <v>823</v>
      </c>
      <c r="J4809">
        <v>4</v>
      </c>
    </row>
    <row r="4810" spans="1:10" x14ac:dyDescent="0.25">
      <c r="A4810" t="s">
        <v>44</v>
      </c>
      <c r="B4810" s="1" t="str">
        <f>HYPERLINK("http://eklira-genuair.fi","eklira-genuair.fi")</f>
        <v>eklira-genuair.fi</v>
      </c>
      <c r="C4810" t="s">
        <v>445</v>
      </c>
      <c r="D4810" t="s">
        <v>823</v>
      </c>
      <c r="J4810">
        <v>4</v>
      </c>
    </row>
    <row r="4811" spans="1:10" x14ac:dyDescent="0.25">
      <c r="A4811" t="s">
        <v>44</v>
      </c>
      <c r="B4811" s="1" t="str">
        <f>HYPERLINK("http://ekliragenuair.fi","ekliragenuair.fi")</f>
        <v>ekliragenuair.fi</v>
      </c>
      <c r="C4811" t="s">
        <v>445</v>
      </c>
      <c r="D4811" t="s">
        <v>823</v>
      </c>
      <c r="J4811">
        <v>4</v>
      </c>
    </row>
    <row r="4812" spans="1:10" x14ac:dyDescent="0.25">
      <c r="A4812" t="s">
        <v>44</v>
      </c>
      <c r="B4812" s="1" t="str">
        <f>HYPERLINK("http://elamacopdnkanssa.fi","elamacopdnkanssa.fi")</f>
        <v>elamacopdnkanssa.fi</v>
      </c>
      <c r="C4812" t="s">
        <v>445</v>
      </c>
      <c r="D4812" t="s">
        <v>823</v>
      </c>
      <c r="J4812">
        <v>4</v>
      </c>
    </row>
    <row r="4813" spans="1:10" x14ac:dyDescent="0.25">
      <c r="A4813" t="s">
        <v>44</v>
      </c>
      <c r="B4813" s="1" t="str">
        <f>HYPERLINK("http://elintarke.fi","elintarke.fi")</f>
        <v>elintarke.fi</v>
      </c>
      <c r="C4813" t="s">
        <v>445</v>
      </c>
      <c r="D4813" t="s">
        <v>823</v>
      </c>
      <c r="J4813">
        <v>2</v>
      </c>
    </row>
    <row r="4814" spans="1:10" x14ac:dyDescent="0.25">
      <c r="A4814" t="s">
        <v>44</v>
      </c>
      <c r="B4814" s="1" t="str">
        <f>HYPERLINK("http://elintarkeaa.fi","elintarkeaa.fi")</f>
        <v>elintarkeaa.fi</v>
      </c>
      <c r="C4814" t="s">
        <v>445</v>
      </c>
      <c r="D4814" t="s">
        <v>823</v>
      </c>
      <c r="F4814">
        <v>4.5083643073236198E-9</v>
      </c>
      <c r="G4814">
        <v>57747899</v>
      </c>
      <c r="H4814">
        <v>10675174</v>
      </c>
      <c r="I4814">
        <v>42851648</v>
      </c>
      <c r="J4814">
        <v>2</v>
      </c>
    </row>
    <row r="4815" spans="1:10" x14ac:dyDescent="0.25">
      <c r="A4815" t="s">
        <v>44</v>
      </c>
      <c r="B4815" s="1" t="str">
        <f>HYPERLINK("http://elintrke.fi","elintrke.fi")</f>
        <v>elintrke.fi</v>
      </c>
      <c r="C4815" t="s">
        <v>445</v>
      </c>
      <c r="D4815" t="s">
        <v>823</v>
      </c>
      <c r="J4815">
        <v>2</v>
      </c>
    </row>
    <row r="4816" spans="1:10" x14ac:dyDescent="0.25">
      <c r="A4816" t="s">
        <v>44</v>
      </c>
      <c r="B4816" s="1" t="str">
        <f>HYPERLINK("http://fasenra.fi","fasenra.fi")</f>
        <v>fasenra.fi</v>
      </c>
      <c r="C4816" t="s">
        <v>445</v>
      </c>
      <c r="D4816" t="s">
        <v>823</v>
      </c>
      <c r="J4816">
        <v>2</v>
      </c>
    </row>
    <row r="4817" spans="1:10" x14ac:dyDescent="0.25">
      <c r="A4817" t="s">
        <v>44</v>
      </c>
      <c r="B4817" s="1" t="str">
        <f>HYPERLINK("http://faslodex.fi","faslodex.fi")</f>
        <v>faslodex.fi</v>
      </c>
      <c r="C4817" t="s">
        <v>445</v>
      </c>
      <c r="D4817" t="s">
        <v>823</v>
      </c>
      <c r="J4817">
        <v>4</v>
      </c>
    </row>
    <row r="4818" spans="1:10" x14ac:dyDescent="0.25">
      <c r="A4818" t="s">
        <v>44</v>
      </c>
      <c r="B4818" s="1" t="str">
        <f>HYPERLINK("http://fluenz.fi","fluenz.fi")</f>
        <v>fluenz.fi</v>
      </c>
      <c r="C4818" t="s">
        <v>445</v>
      </c>
      <c r="D4818" t="s">
        <v>823</v>
      </c>
      <c r="J4818">
        <v>4</v>
      </c>
    </row>
    <row r="4819" spans="1:10" x14ac:dyDescent="0.25">
      <c r="A4819" t="s">
        <v>44</v>
      </c>
      <c r="B4819" s="1" t="str">
        <f>HYPERLINK("http://fluenztetra.fi","fluenztetra.fi")</f>
        <v>fluenztetra.fi</v>
      </c>
      <c r="C4819" t="s">
        <v>445</v>
      </c>
      <c r="D4819" t="s">
        <v>823</v>
      </c>
      <c r="J4819">
        <v>4</v>
      </c>
    </row>
    <row r="4820" spans="1:10" x14ac:dyDescent="0.25">
      <c r="A4820" t="s">
        <v>44</v>
      </c>
      <c r="B4820" s="1" t="str">
        <f>HYPERLINK("http://forwardindiabetes.fi","forwardindiabetes.fi")</f>
        <v>forwardindiabetes.fi</v>
      </c>
      <c r="C4820" t="s">
        <v>445</v>
      </c>
      <c r="D4820" t="s">
        <v>823</v>
      </c>
      <c r="J4820">
        <v>4</v>
      </c>
    </row>
    <row r="4821" spans="1:10" x14ac:dyDescent="0.25">
      <c r="A4821" t="s">
        <v>44</v>
      </c>
      <c r="B4821" s="1" t="str">
        <f>HYPERLINK("http://genuair.fi","genuair.fi")</f>
        <v>genuair.fi</v>
      </c>
      <c r="C4821" t="s">
        <v>445</v>
      </c>
      <c r="D4821" t="s">
        <v>823</v>
      </c>
      <c r="J4821">
        <v>4</v>
      </c>
    </row>
    <row r="4822" spans="1:10" x14ac:dyDescent="0.25">
      <c r="A4822" t="s">
        <v>44</v>
      </c>
      <c r="B4822" s="1" t="str">
        <f>HYPERLINK("http://giveyourlungsavoice.fi","giveyourlungsavoice.fi")</f>
        <v>giveyourlungsavoice.fi</v>
      </c>
      <c r="C4822" t="s">
        <v>445</v>
      </c>
      <c r="D4822" t="s">
        <v>823</v>
      </c>
      <c r="J4822">
        <v>2</v>
      </c>
    </row>
    <row r="4823" spans="1:10" x14ac:dyDescent="0.25">
      <c r="A4823" t="s">
        <v>44</v>
      </c>
      <c r="B4823" s="1" t="str">
        <f>HYPERLINK("http://hoitosuunnitelma.fi","hoitosuunnitelma.fi")</f>
        <v>hoitosuunnitelma.fi</v>
      </c>
      <c r="C4823" t="s">
        <v>445</v>
      </c>
      <c r="D4823" t="s">
        <v>823</v>
      </c>
      <c r="J4823">
        <v>4</v>
      </c>
    </row>
    <row r="4824" spans="1:10" x14ac:dyDescent="0.25">
      <c r="A4824" t="s">
        <v>44</v>
      </c>
      <c r="B4824" s="1" t="str">
        <f>HYPERLINK("http://hpp-info.fi","hpp-info.fi")</f>
        <v>hpp-info.fi</v>
      </c>
      <c r="C4824" t="s">
        <v>445</v>
      </c>
      <c r="D4824" t="s">
        <v>823</v>
      </c>
      <c r="J4824">
        <v>2</v>
      </c>
    </row>
    <row r="4825" spans="1:10" x14ac:dyDescent="0.25">
      <c r="A4825" t="s">
        <v>44</v>
      </c>
      <c r="B4825" s="1" t="str">
        <f>HYPERLINK("http://hpp-support.fi","hpp-support.fi")</f>
        <v>hpp-support.fi</v>
      </c>
      <c r="C4825" t="s">
        <v>445</v>
      </c>
      <c r="D4825" t="s">
        <v>823</v>
      </c>
      <c r="J4825">
        <v>2</v>
      </c>
    </row>
    <row r="4826" spans="1:10" x14ac:dyDescent="0.25">
      <c r="A4826" t="s">
        <v>44</v>
      </c>
      <c r="B4826" s="1" t="str">
        <f>HYPERLINK("http://hppsource.fi","hppsource.fi")</f>
        <v>hppsource.fi</v>
      </c>
      <c r="C4826" t="s">
        <v>445</v>
      </c>
      <c r="D4826" t="s">
        <v>823</v>
      </c>
      <c r="J4826">
        <v>2</v>
      </c>
    </row>
    <row r="4827" spans="1:10" x14ac:dyDescent="0.25">
      <c r="A4827" t="s">
        <v>44</v>
      </c>
      <c r="B4827" s="1" t="str">
        <f>HYPERLINK("http://hypofosfatasia.fi","hypofosfatasia.fi")</f>
        <v>hypofosfatasia.fi</v>
      </c>
      <c r="C4827" t="s">
        <v>445</v>
      </c>
      <c r="D4827" t="s">
        <v>823</v>
      </c>
      <c r="J4827">
        <v>2</v>
      </c>
    </row>
    <row r="4828" spans="1:10" x14ac:dyDescent="0.25">
      <c r="A4828" t="s">
        <v>44</v>
      </c>
      <c r="B4828" s="1" t="str">
        <f>HYPERLINK("http://imfinzi.fi","imfinzi.fi")</f>
        <v>imfinzi.fi</v>
      </c>
      <c r="C4828" t="s">
        <v>445</v>
      </c>
      <c r="D4828" t="s">
        <v>823</v>
      </c>
      <c r="J4828">
        <v>2</v>
      </c>
    </row>
    <row r="4829" spans="1:10" x14ac:dyDescent="0.25">
      <c r="A4829" t="s">
        <v>44</v>
      </c>
      <c r="B4829" s="1" t="str">
        <f>HYPERLINK("http://iressa.fi","iressa.fi")</f>
        <v>iressa.fi</v>
      </c>
      <c r="C4829" t="s">
        <v>445</v>
      </c>
      <c r="D4829" t="s">
        <v>823</v>
      </c>
      <c r="J4829">
        <v>4</v>
      </c>
    </row>
    <row r="4830" spans="1:10" x14ac:dyDescent="0.25">
      <c r="A4830" t="s">
        <v>44</v>
      </c>
      <c r="B4830" s="1" t="str">
        <f>HYPERLINK("http://kanuma.fi","kanuma.fi")</f>
        <v>kanuma.fi</v>
      </c>
      <c r="C4830" t="s">
        <v>445</v>
      </c>
      <c r="D4830" t="s">
        <v>823</v>
      </c>
      <c r="J4830">
        <v>2</v>
      </c>
    </row>
    <row r="4831" spans="1:10" x14ac:dyDescent="0.25">
      <c r="A4831" t="s">
        <v>44</v>
      </c>
      <c r="B4831" s="1" t="str">
        <f>HYPERLINK("http://kardiorenaalinen.fi","kardiorenaalinen.fi")</f>
        <v>kardiorenaalinen.fi</v>
      </c>
      <c r="C4831" t="s">
        <v>445</v>
      </c>
      <c r="D4831" t="s">
        <v>823</v>
      </c>
      <c r="J4831">
        <v>2</v>
      </c>
    </row>
    <row r="4832" spans="1:10" x14ac:dyDescent="0.25">
      <c r="A4832" t="s">
        <v>44</v>
      </c>
      <c r="B4832" s="1" t="str">
        <f>HYPERLINK("http://keuhkoahtaumatauti.fi","keuhkoahtaumatauti.fi")</f>
        <v>keuhkoahtaumatauti.fi</v>
      </c>
      <c r="C4832" t="s">
        <v>445</v>
      </c>
      <c r="D4832" t="s">
        <v>823</v>
      </c>
      <c r="J4832">
        <v>2</v>
      </c>
    </row>
    <row r="4833" spans="1:10" x14ac:dyDescent="0.25">
      <c r="A4833" t="s">
        <v>44</v>
      </c>
      <c r="B4833" s="1" t="str">
        <f>HYPERLINK("http://lal-puutos.fi","lal-puutos.fi")</f>
        <v>lal-puutos.fi</v>
      </c>
      <c r="C4833" t="s">
        <v>445</v>
      </c>
      <c r="D4833" t="s">
        <v>823</v>
      </c>
      <c r="J4833">
        <v>2</v>
      </c>
    </row>
    <row r="4834" spans="1:10" x14ac:dyDescent="0.25">
      <c r="A4834" t="s">
        <v>44</v>
      </c>
      <c r="B4834" s="1" t="str">
        <f>HYPERLINK("http://lald-info.fi","lald-info.fi")</f>
        <v>lald-info.fi</v>
      </c>
      <c r="C4834" t="s">
        <v>445</v>
      </c>
      <c r="D4834" t="s">
        <v>823</v>
      </c>
      <c r="J4834">
        <v>2</v>
      </c>
    </row>
    <row r="4835" spans="1:10" x14ac:dyDescent="0.25">
      <c r="A4835" t="s">
        <v>44</v>
      </c>
      <c r="B4835" s="1" t="str">
        <f>HYPERLINK("http://lanabecestat.fi","lanabecestat.fi")</f>
        <v>lanabecestat.fi</v>
      </c>
      <c r="C4835" t="s">
        <v>445</v>
      </c>
      <c r="D4835" t="s">
        <v>823</v>
      </c>
      <c r="J4835">
        <v>2</v>
      </c>
    </row>
    <row r="4836" spans="1:10" x14ac:dyDescent="0.25">
      <c r="A4836" t="s">
        <v>44</v>
      </c>
      <c r="B4836" s="1" t="str">
        <f>HYPERLINK("http://lapsijainfluenssa.fi","lapsijainfluenssa.fi")</f>
        <v>lapsijainfluenssa.fi</v>
      </c>
      <c r="C4836" t="s">
        <v>445</v>
      </c>
      <c r="D4836" t="s">
        <v>823</v>
      </c>
      <c r="J4836">
        <v>4</v>
      </c>
    </row>
    <row r="4837" spans="1:10" x14ac:dyDescent="0.25">
      <c r="A4837" t="s">
        <v>44</v>
      </c>
      <c r="B4837" s="1" t="str">
        <f>HYPERLINK("http://logimax.fi","logimax.fi")</f>
        <v>logimax.fi</v>
      </c>
      <c r="C4837" t="s">
        <v>445</v>
      </c>
      <c r="D4837" t="s">
        <v>823</v>
      </c>
      <c r="J4837">
        <v>4</v>
      </c>
    </row>
    <row r="4838" spans="1:10" x14ac:dyDescent="0.25">
      <c r="A4838" t="s">
        <v>44</v>
      </c>
      <c r="B4838" s="1" t="str">
        <f>HYPERLINK("http://lokelma.fi","lokelma.fi")</f>
        <v>lokelma.fi</v>
      </c>
      <c r="C4838" t="s">
        <v>445</v>
      </c>
      <c r="D4838" t="s">
        <v>823</v>
      </c>
      <c r="J4838">
        <v>2</v>
      </c>
    </row>
    <row r="4839" spans="1:10" x14ac:dyDescent="0.25">
      <c r="A4839" t="s">
        <v>44</v>
      </c>
      <c r="B4839" s="1" t="str">
        <f>HYPERLINK("http://losecmups.fi","losecmups.fi")</f>
        <v>losecmups.fi</v>
      </c>
      <c r="C4839" t="s">
        <v>445</v>
      </c>
      <c r="D4839" t="s">
        <v>823</v>
      </c>
      <c r="J4839">
        <v>4</v>
      </c>
    </row>
    <row r="4840" spans="1:10" x14ac:dyDescent="0.25">
      <c r="A4840" t="s">
        <v>44</v>
      </c>
      <c r="B4840" s="1" t="str">
        <f>HYPERLINK("http://losecpro.fi","losecpro.fi")</f>
        <v>losecpro.fi</v>
      </c>
      <c r="C4840" t="s">
        <v>445</v>
      </c>
      <c r="D4840" t="s">
        <v>823</v>
      </c>
      <c r="J4840">
        <v>4</v>
      </c>
    </row>
    <row r="4841" spans="1:10" x14ac:dyDescent="0.25">
      <c r="A4841" t="s">
        <v>44</v>
      </c>
      <c r="B4841" s="1" t="str">
        <f>HYPERLINK("http://lynparza.fi","lynparza.fi")</f>
        <v>lynparza.fi</v>
      </c>
      <c r="C4841" t="s">
        <v>445</v>
      </c>
      <c r="D4841" t="s">
        <v>823</v>
      </c>
      <c r="J4841">
        <v>2</v>
      </c>
    </row>
    <row r="4842" spans="1:10" x14ac:dyDescent="0.25">
      <c r="A4842" t="s">
        <v>44</v>
      </c>
      <c r="B4842" s="1" t="str">
        <f>HYPERLINK("http://meronem.fi","meronem.fi")</f>
        <v>meronem.fi</v>
      </c>
      <c r="C4842" t="s">
        <v>445</v>
      </c>
      <c r="D4842" t="s">
        <v>823</v>
      </c>
      <c r="J4842">
        <v>4</v>
      </c>
    </row>
    <row r="4843" spans="1:10" x14ac:dyDescent="0.25">
      <c r="A4843" t="s">
        <v>44</v>
      </c>
      <c r="B4843" s="1" t="str">
        <f>HYPERLINK("http://nexiumchallenge.fi","nexiumchallenge.fi")</f>
        <v>nexiumchallenge.fi</v>
      </c>
      <c r="C4843" t="s">
        <v>445</v>
      </c>
      <c r="D4843" t="s">
        <v>823</v>
      </c>
      <c r="J4843">
        <v>4</v>
      </c>
    </row>
    <row r="4844" spans="1:10" x14ac:dyDescent="0.25">
      <c r="A4844" t="s">
        <v>44</v>
      </c>
      <c r="B4844" s="1" t="str">
        <f>HYPERLINK("http://nexiumcontrol.fi","nexiumcontrol.fi")</f>
        <v>nexiumcontrol.fi</v>
      </c>
      <c r="C4844" t="s">
        <v>445</v>
      </c>
      <c r="D4844" t="s">
        <v>823</v>
      </c>
      <c r="J4844">
        <v>4</v>
      </c>
    </row>
    <row r="4845" spans="1:10" x14ac:dyDescent="0.25">
      <c r="A4845" t="s">
        <v>44</v>
      </c>
      <c r="B4845" s="1" t="str">
        <f>HYPERLINK("http://ondexxya.fi","ondexxya.fi")</f>
        <v>ondexxya.fi</v>
      </c>
      <c r="C4845" t="s">
        <v>445</v>
      </c>
      <c r="D4845" t="s">
        <v>823</v>
      </c>
      <c r="J4845">
        <v>2</v>
      </c>
    </row>
    <row r="4846" spans="1:10" x14ac:dyDescent="0.25">
      <c r="A4846" t="s">
        <v>44</v>
      </c>
      <c r="B4846" s="1" t="str">
        <f>HYPERLINK("http://onglyza-saxagliptin.fi","onglyza-saxagliptin.fi")</f>
        <v>onglyza-saxagliptin.fi</v>
      </c>
      <c r="C4846" t="s">
        <v>445</v>
      </c>
      <c r="D4846" t="s">
        <v>823</v>
      </c>
      <c r="J4846">
        <v>4</v>
      </c>
    </row>
    <row r="4847" spans="1:10" x14ac:dyDescent="0.25">
      <c r="A4847" t="s">
        <v>44</v>
      </c>
      <c r="B4847" s="1" t="str">
        <f>HYPERLINK("http://oxis.fi","oxis.fi")</f>
        <v>oxis.fi</v>
      </c>
      <c r="C4847" t="s">
        <v>445</v>
      </c>
      <c r="D4847" t="s">
        <v>823</v>
      </c>
      <c r="J4847">
        <v>4</v>
      </c>
    </row>
    <row r="4848" spans="1:10" x14ac:dyDescent="0.25">
      <c r="A4848" t="s">
        <v>44</v>
      </c>
      <c r="B4848" s="1" t="str">
        <f>HYPERLINK("http://oxis-turbuhaler.fi","oxis-turbuhaler.fi")</f>
        <v>oxis-turbuhaler.fi</v>
      </c>
      <c r="C4848" t="s">
        <v>445</v>
      </c>
      <c r="D4848" t="s">
        <v>823</v>
      </c>
      <c r="J4848">
        <v>4</v>
      </c>
    </row>
    <row r="4849" spans="1:10" x14ac:dyDescent="0.25">
      <c r="A4849" t="s">
        <v>44</v>
      </c>
      <c r="B4849" s="1" t="str">
        <f>HYPERLINK("http://oxisturbuhaler.fi","oxisturbuhaler.fi")</f>
        <v>oxisturbuhaler.fi</v>
      </c>
      <c r="C4849" t="s">
        <v>445</v>
      </c>
      <c r="D4849" t="s">
        <v>823</v>
      </c>
      <c r="J4849">
        <v>4</v>
      </c>
    </row>
    <row r="4850" spans="1:10" x14ac:dyDescent="0.25">
      <c r="A4850" t="s">
        <v>44</v>
      </c>
      <c r="B4850" s="1" t="str">
        <f>HYPERLINK("http://paincatcher.fi","paincatcher.fi")</f>
        <v>paincatcher.fi</v>
      </c>
      <c r="C4850" t="s">
        <v>445</v>
      </c>
      <c r="D4850" t="s">
        <v>823</v>
      </c>
      <c r="J4850">
        <v>4</v>
      </c>
    </row>
    <row r="4851" spans="1:10" x14ac:dyDescent="0.25">
      <c r="A4851" t="s">
        <v>44</v>
      </c>
      <c r="B4851" s="1" t="str">
        <f>HYPERLINK("http://perinnllinensyp.fi","perinnllinensyp.fi")</f>
        <v>perinnllinensyp.fi</v>
      </c>
      <c r="C4851" t="s">
        <v>445</v>
      </c>
      <c r="D4851" t="s">
        <v>823</v>
      </c>
      <c r="J4851">
        <v>4</v>
      </c>
    </row>
    <row r="4852" spans="1:10" x14ac:dyDescent="0.25">
      <c r="A4852" t="s">
        <v>44</v>
      </c>
      <c r="B4852" s="1" t="str">
        <f>HYPERLINK("http://perinnollinensyopa.fi","perinnollinensyopa.fi")</f>
        <v>perinnollinensyopa.fi</v>
      </c>
      <c r="C4852" t="s">
        <v>445</v>
      </c>
      <c r="D4852" t="s">
        <v>823</v>
      </c>
      <c r="J4852">
        <v>4</v>
      </c>
    </row>
    <row r="4853" spans="1:10" x14ac:dyDescent="0.25">
      <c r="A4853" t="s">
        <v>44</v>
      </c>
      <c r="B4853" s="1" t="str">
        <f>HYPERLINK("http://plendil.fi","plendil.fi")</f>
        <v>plendil.fi</v>
      </c>
      <c r="C4853" t="s">
        <v>445</v>
      </c>
      <c r="D4853" t="s">
        <v>823</v>
      </c>
      <c r="J4853">
        <v>4</v>
      </c>
    </row>
    <row r="4854" spans="1:10" x14ac:dyDescent="0.25">
      <c r="A4854" t="s">
        <v>44</v>
      </c>
      <c r="B4854" s="1" t="str">
        <f>HYPERLINK("http://portola.fi","portola.fi")</f>
        <v>portola.fi</v>
      </c>
      <c r="C4854" t="s">
        <v>445</v>
      </c>
      <c r="D4854" t="s">
        <v>823</v>
      </c>
      <c r="J4854">
        <v>2</v>
      </c>
    </row>
    <row r="4855" spans="1:10" x14ac:dyDescent="0.25">
      <c r="A4855" t="s">
        <v>44</v>
      </c>
      <c r="B4855" s="1" t="str">
        <f>HYPERLINK("http://puhallanyt.fi","puhallanyt.fi")</f>
        <v>puhallanyt.fi</v>
      </c>
      <c r="C4855" t="s">
        <v>445</v>
      </c>
      <c r="D4855" t="s">
        <v>823</v>
      </c>
      <c r="J4855">
        <v>4</v>
      </c>
    </row>
    <row r="4856" spans="1:10" x14ac:dyDescent="0.25">
      <c r="A4856" t="s">
        <v>44</v>
      </c>
      <c r="B4856" s="1" t="str">
        <f>HYPERLINK("http://pulmicort.fi","pulmicort.fi")</f>
        <v>pulmicort.fi</v>
      </c>
      <c r="C4856" t="s">
        <v>445</v>
      </c>
      <c r="D4856" t="s">
        <v>823</v>
      </c>
      <c r="J4856">
        <v>4</v>
      </c>
    </row>
    <row r="4857" spans="1:10" x14ac:dyDescent="0.25">
      <c r="A4857" t="s">
        <v>44</v>
      </c>
      <c r="B4857" s="1" t="str">
        <f>HYPERLINK("http://pulmicort-turbuhaler.fi","pulmicort-turbuhaler.fi")</f>
        <v>pulmicort-turbuhaler.fi</v>
      </c>
      <c r="C4857" t="s">
        <v>445</v>
      </c>
      <c r="D4857" t="s">
        <v>823</v>
      </c>
      <c r="J4857">
        <v>4</v>
      </c>
    </row>
    <row r="4858" spans="1:10" x14ac:dyDescent="0.25">
      <c r="A4858" t="s">
        <v>44</v>
      </c>
      <c r="B4858" s="1" t="str">
        <f>HYPERLINK("http://pulmicortturbuhaler.fi","pulmicortturbuhaler.fi")</f>
        <v>pulmicortturbuhaler.fi</v>
      </c>
      <c r="C4858" t="s">
        <v>445</v>
      </c>
      <c r="D4858" t="s">
        <v>823</v>
      </c>
      <c r="J4858">
        <v>4</v>
      </c>
    </row>
    <row r="4859" spans="1:10" x14ac:dyDescent="0.25">
      <c r="A4859" t="s">
        <v>44</v>
      </c>
      <c r="B4859" s="1" t="str">
        <f>HYPERLINK("http://rarediseaseknowledge.fi","rarediseaseknowledge.fi")</f>
        <v>rarediseaseknowledge.fi</v>
      </c>
      <c r="C4859" t="s">
        <v>445</v>
      </c>
      <c r="D4859" t="s">
        <v>823</v>
      </c>
      <c r="J4859">
        <v>2</v>
      </c>
    </row>
    <row r="4860" spans="1:10" x14ac:dyDescent="0.25">
      <c r="A4860" t="s">
        <v>44</v>
      </c>
      <c r="B4860" s="1" t="str">
        <f>HYPERLINK("http://rinta.fi","rinta.fi")</f>
        <v>rinta.fi</v>
      </c>
      <c r="C4860" t="s">
        <v>445</v>
      </c>
      <c r="D4860" t="s">
        <v>823</v>
      </c>
      <c r="J4860">
        <v>4</v>
      </c>
    </row>
    <row r="4861" spans="1:10" x14ac:dyDescent="0.25">
      <c r="A4861" t="s">
        <v>44</v>
      </c>
      <c r="B4861" s="1" t="str">
        <f>HYPERLINK("http://rintasyovanriskigeeni.fi","rintasyovanriskigeeni.fi")</f>
        <v>rintasyovanriskigeeni.fi</v>
      </c>
      <c r="C4861" t="s">
        <v>445</v>
      </c>
      <c r="D4861" t="s">
        <v>823</v>
      </c>
      <c r="J4861">
        <v>4</v>
      </c>
    </row>
    <row r="4862" spans="1:10" x14ac:dyDescent="0.25">
      <c r="A4862" t="s">
        <v>44</v>
      </c>
      <c r="B4862" s="1" t="str">
        <f>HYPERLINK("http://rintasyvnriskigeeni.fi","rintasyvnriskigeeni.fi")</f>
        <v>rintasyvnriskigeeni.fi</v>
      </c>
      <c r="C4862" t="s">
        <v>445</v>
      </c>
      <c r="D4862" t="s">
        <v>823</v>
      </c>
      <c r="J4862">
        <v>4</v>
      </c>
    </row>
    <row r="4863" spans="1:10" x14ac:dyDescent="0.25">
      <c r="A4863" t="s">
        <v>44</v>
      </c>
      <c r="B4863" s="1" t="str">
        <f>HYPERLINK("http://saxagliption.fi","saxagliption.fi")</f>
        <v>saxagliption.fi</v>
      </c>
      <c r="C4863" t="s">
        <v>445</v>
      </c>
      <c r="D4863" t="s">
        <v>823</v>
      </c>
      <c r="J4863">
        <v>4</v>
      </c>
    </row>
    <row r="4864" spans="1:10" x14ac:dyDescent="0.25">
      <c r="A4864" t="s">
        <v>44</v>
      </c>
      <c r="B4864" s="1" t="str">
        <f>HYPERLINK("http://seloken.fi","seloken.fi")</f>
        <v>seloken.fi</v>
      </c>
      <c r="C4864" t="s">
        <v>445</v>
      </c>
      <c r="D4864" t="s">
        <v>823</v>
      </c>
      <c r="J4864">
        <v>4</v>
      </c>
    </row>
    <row r="4865" spans="1:10" x14ac:dyDescent="0.25">
      <c r="A4865" t="s">
        <v>44</v>
      </c>
      <c r="B4865" s="1" t="str">
        <f>HYPERLINK("http://seloken-zoc.fi","seloken-zoc.fi")</f>
        <v>seloken-zoc.fi</v>
      </c>
      <c r="C4865" t="s">
        <v>445</v>
      </c>
      <c r="D4865" t="s">
        <v>823</v>
      </c>
      <c r="J4865">
        <v>4</v>
      </c>
    </row>
    <row r="4866" spans="1:10" x14ac:dyDescent="0.25">
      <c r="A4866" t="s">
        <v>44</v>
      </c>
      <c r="B4866" s="1" t="str">
        <f>HYPERLINK("http://selokenzoc.fi","selokenzoc.fi")</f>
        <v>selokenzoc.fi</v>
      </c>
      <c r="C4866" t="s">
        <v>445</v>
      </c>
      <c r="D4866" t="s">
        <v>823</v>
      </c>
      <c r="J4866">
        <v>4</v>
      </c>
    </row>
    <row r="4867" spans="1:10" x14ac:dyDescent="0.25">
      <c r="A4867" t="s">
        <v>44</v>
      </c>
      <c r="B4867" s="1" t="str">
        <f>HYPERLINK("http://seroquel.fi","seroquel.fi")</f>
        <v>seroquel.fi</v>
      </c>
      <c r="C4867" t="s">
        <v>445</v>
      </c>
      <c r="D4867" t="s">
        <v>823</v>
      </c>
      <c r="J4867">
        <v>4</v>
      </c>
    </row>
    <row r="4868" spans="1:10" x14ac:dyDescent="0.25">
      <c r="A4868" t="s">
        <v>44</v>
      </c>
      <c r="B4868" s="1" t="str">
        <f>HYPERLINK("http://strensiq.fi","strensiq.fi")</f>
        <v>strensiq.fi</v>
      </c>
      <c r="C4868" t="s">
        <v>445</v>
      </c>
      <c r="D4868" t="s">
        <v>823</v>
      </c>
      <c r="J4868">
        <v>2</v>
      </c>
    </row>
    <row r="4869" spans="1:10" x14ac:dyDescent="0.25">
      <c r="A4869" t="s">
        <v>44</v>
      </c>
      <c r="B4869" s="1" t="str">
        <f>HYPERLINK("http://symbicort.fi","symbicort.fi")</f>
        <v>symbicort.fi</v>
      </c>
      <c r="C4869" t="s">
        <v>445</v>
      </c>
      <c r="D4869" t="s">
        <v>823</v>
      </c>
      <c r="J4869">
        <v>2</v>
      </c>
    </row>
    <row r="4870" spans="1:10" x14ac:dyDescent="0.25">
      <c r="A4870" t="s">
        <v>44</v>
      </c>
      <c r="B4870" s="1" t="str">
        <f>HYPERLINK("http://syopaonline.fi","syopaonline.fi")</f>
        <v>syopaonline.fi</v>
      </c>
      <c r="C4870" t="s">
        <v>445</v>
      </c>
      <c r="D4870" t="s">
        <v>823</v>
      </c>
      <c r="J4870">
        <v>4</v>
      </c>
    </row>
    <row r="4871" spans="1:10" x14ac:dyDescent="0.25">
      <c r="A4871" t="s">
        <v>44</v>
      </c>
      <c r="B4871" s="1" t="str">
        <f>HYPERLINK("http://tagrisso.fi","tagrisso.fi")</f>
        <v>tagrisso.fi</v>
      </c>
      <c r="C4871" t="s">
        <v>445</v>
      </c>
      <c r="D4871" t="s">
        <v>823</v>
      </c>
      <c r="J4871">
        <v>4</v>
      </c>
    </row>
    <row r="4872" spans="1:10" x14ac:dyDescent="0.25">
      <c r="A4872" t="s">
        <v>44</v>
      </c>
      <c r="B4872" s="1" t="str">
        <f>HYPERLINK("http://tezspire.fi","tezspire.fi")</f>
        <v>tezspire.fi</v>
      </c>
      <c r="C4872" t="s">
        <v>445</v>
      </c>
      <c r="D4872" t="s">
        <v>823</v>
      </c>
      <c r="J4872">
        <v>2</v>
      </c>
    </row>
    <row r="4873" spans="1:10" x14ac:dyDescent="0.25">
      <c r="A4873" t="s">
        <v>44</v>
      </c>
      <c r="B4873" s="1" t="str">
        <f>HYPERLINK("http://turbuhaler.fi","turbuhaler.fi")</f>
        <v>turbuhaler.fi</v>
      </c>
      <c r="C4873" t="s">
        <v>445</v>
      </c>
      <c r="D4873" t="s">
        <v>823</v>
      </c>
      <c r="J4873">
        <v>4</v>
      </c>
    </row>
    <row r="4874" spans="1:10" x14ac:dyDescent="0.25">
      <c r="A4874" t="s">
        <v>44</v>
      </c>
      <c r="B4874" s="1" t="str">
        <f>HYPERLINK("http://vaikea-astma.fi","vaikea-astma.fi")</f>
        <v>vaikea-astma.fi</v>
      </c>
      <c r="C4874" t="s">
        <v>445</v>
      </c>
      <c r="D4874" t="s">
        <v>823</v>
      </c>
      <c r="J4874">
        <v>2</v>
      </c>
    </row>
    <row r="4875" spans="1:10" x14ac:dyDescent="0.25">
      <c r="A4875" t="s">
        <v>44</v>
      </c>
      <c r="B4875" s="1" t="str">
        <f>HYPERLINK("http://vaikeaastma.fi","vaikeaastma.fi")</f>
        <v>vaikeaastma.fi</v>
      </c>
      <c r="C4875" t="s">
        <v>445</v>
      </c>
      <c r="D4875" t="s">
        <v>823</v>
      </c>
      <c r="F4875">
        <v>5.11351792574325E-9</v>
      </c>
      <c r="G4875">
        <v>26783685</v>
      </c>
      <c r="H4875">
        <v>10741411</v>
      </c>
      <c r="I4875">
        <v>40371855</v>
      </c>
      <c r="J4875">
        <v>2</v>
      </c>
    </row>
    <row r="4876" spans="1:10" x14ac:dyDescent="0.25">
      <c r="A4876" t="s">
        <v>44</v>
      </c>
      <c r="B4876" s="1" t="str">
        <f>HYPERLINK("http://vajaasydan.fi","vajaasydan.fi")</f>
        <v>vajaasydan.fi</v>
      </c>
      <c r="C4876" t="s">
        <v>445</v>
      </c>
      <c r="D4876" t="s">
        <v>823</v>
      </c>
      <c r="J4876">
        <v>2</v>
      </c>
    </row>
    <row r="4877" spans="1:10" x14ac:dyDescent="0.25">
      <c r="A4877" t="s">
        <v>44</v>
      </c>
      <c r="B4877" s="1" t="str">
        <f>HYPERLINK("http://vajaatoimintainensydan.fi","vajaatoimintainensydan.fi")</f>
        <v>vajaatoimintainensydan.fi</v>
      </c>
      <c r="C4877" t="s">
        <v>445</v>
      </c>
      <c r="D4877" t="s">
        <v>823</v>
      </c>
      <c r="J4877">
        <v>2</v>
      </c>
    </row>
    <row r="4878" spans="1:10" x14ac:dyDescent="0.25">
      <c r="A4878" t="s">
        <v>44</v>
      </c>
      <c r="B4878" s="1" t="str">
        <f>HYPERLINK("http://vaxevria.fi","vaxevria.fi")</f>
        <v>vaxevria.fi</v>
      </c>
      <c r="C4878" t="s">
        <v>445</v>
      </c>
      <c r="D4878" t="s">
        <v>823</v>
      </c>
      <c r="J4878">
        <v>2</v>
      </c>
    </row>
    <row r="4879" spans="1:10" x14ac:dyDescent="0.25">
      <c r="A4879" t="s">
        <v>44</v>
      </c>
      <c r="B4879" s="1" t="str">
        <f>HYPERLINK("http://vaxveria.fi","vaxveria.fi")</f>
        <v>vaxveria.fi</v>
      </c>
      <c r="C4879" t="s">
        <v>445</v>
      </c>
      <c r="D4879" t="s">
        <v>823</v>
      </c>
      <c r="J4879">
        <v>2</v>
      </c>
    </row>
    <row r="4880" spans="1:10" x14ac:dyDescent="0.25">
      <c r="A4880" t="s">
        <v>44</v>
      </c>
      <c r="B4880" s="1" t="str">
        <f>HYPERLINK("http://vaxzevria.fi","vaxzevria.fi")</f>
        <v>vaxzevria.fi</v>
      </c>
      <c r="C4880" t="s">
        <v>445</v>
      </c>
      <c r="D4880" t="s">
        <v>823</v>
      </c>
      <c r="J4880">
        <v>2</v>
      </c>
    </row>
    <row r="4881" spans="1:10" x14ac:dyDescent="0.25">
      <c r="A4881" t="s">
        <v>44</v>
      </c>
      <c r="B4881" s="1" t="str">
        <f>HYPERLINK("http://xigduo.fi","xigduo.fi")</f>
        <v>xigduo.fi</v>
      </c>
      <c r="C4881" t="s">
        <v>445</v>
      </c>
      <c r="D4881" t="s">
        <v>823</v>
      </c>
      <c r="J4881">
        <v>4</v>
      </c>
    </row>
    <row r="4882" spans="1:10" x14ac:dyDescent="0.25">
      <c r="A4882" t="s">
        <v>44</v>
      </c>
      <c r="B4882" s="1" t="str">
        <f>HYPERLINK("http://zoladex.fi","zoladex.fi")</f>
        <v>zoladex.fi</v>
      </c>
      <c r="C4882" t="s">
        <v>445</v>
      </c>
      <c r="D4882" t="s">
        <v>823</v>
      </c>
      <c r="J4882">
        <v>4</v>
      </c>
    </row>
    <row r="4883" spans="1:10" x14ac:dyDescent="0.25">
      <c r="A4883" t="s">
        <v>44</v>
      </c>
      <c r="B4883" s="1" t="str">
        <f>HYPERLINK("http://astrazeneca.fr","astrazeneca.fr")</f>
        <v>astrazeneca.fr</v>
      </c>
      <c r="C4883" t="s">
        <v>446</v>
      </c>
      <c r="D4883" t="s">
        <v>824</v>
      </c>
      <c r="F4883">
        <v>2.09856227333988E-7</v>
      </c>
      <c r="G4883">
        <v>180249</v>
      </c>
      <c r="H4883">
        <v>14291875</v>
      </c>
      <c r="I4883">
        <v>1364714</v>
      </c>
      <c r="J4883">
        <v>2</v>
      </c>
    </row>
    <row r="4884" spans="1:10" x14ac:dyDescent="0.25">
      <c r="A4884" t="s">
        <v>44</v>
      </c>
      <c r="B4884" s="1" t="str">
        <f>HYPERLINK("http://astrazeneca.gr","astrazeneca.gr")</f>
        <v>astrazeneca.gr</v>
      </c>
      <c r="C4884" t="s">
        <v>447</v>
      </c>
      <c r="D4884" t="s">
        <v>825</v>
      </c>
      <c r="F4884">
        <v>1.40218784376336E-8</v>
      </c>
      <c r="G4884">
        <v>4194464</v>
      </c>
      <c r="H4884">
        <v>13737877</v>
      </c>
      <c r="I4884">
        <v>9441916</v>
      </c>
      <c r="J4884">
        <v>2</v>
      </c>
    </row>
    <row r="4885" spans="1:10" x14ac:dyDescent="0.25">
      <c r="A4885" t="s">
        <v>44</v>
      </c>
      <c r="B4885" s="1" t="str">
        <f>HYPERLINK("http://astrazeneca.com.hk","astrazeneca.com.hk")</f>
        <v>astrazeneca.com.hk</v>
      </c>
      <c r="C4885" t="s">
        <v>450</v>
      </c>
      <c r="D4885" t="s">
        <v>827</v>
      </c>
      <c r="F4885">
        <v>1.0214668638548901E-8</v>
      </c>
      <c r="G4885">
        <v>6532746</v>
      </c>
      <c r="H4885">
        <v>12462774</v>
      </c>
      <c r="I4885">
        <v>17840954</v>
      </c>
      <c r="J4885">
        <v>3</v>
      </c>
    </row>
    <row r="4886" spans="1:10" x14ac:dyDescent="0.25">
      <c r="A4886" t="s">
        <v>44</v>
      </c>
      <c r="B4886" s="1" t="str">
        <f>HYPERLINK("http://astrazeneca.hr","astrazeneca.hr")</f>
        <v>astrazeneca.hr</v>
      </c>
      <c r="C4886" t="s">
        <v>452</v>
      </c>
      <c r="D4886" t="s">
        <v>829</v>
      </c>
      <c r="F4886">
        <v>4.8457844347690299E-9</v>
      </c>
      <c r="G4886">
        <v>34282780</v>
      </c>
      <c r="H4886">
        <v>9465258</v>
      </c>
      <c r="I4886">
        <v>66275756</v>
      </c>
      <c r="J4886">
        <v>3</v>
      </c>
    </row>
    <row r="4887" spans="1:10" x14ac:dyDescent="0.25">
      <c r="A4887" t="s">
        <v>44</v>
      </c>
      <c r="B4887" s="1" t="str">
        <f>HYPERLINK("http://astrazeneca.hu","astrazeneca.hu")</f>
        <v>astrazeneca.hu</v>
      </c>
      <c r="C4887" t="s">
        <v>453</v>
      </c>
      <c r="D4887" t="s">
        <v>830</v>
      </c>
      <c r="F4887">
        <v>7.0308500645479501E-9</v>
      </c>
      <c r="G4887">
        <v>12222088</v>
      </c>
      <c r="H4887">
        <v>12220283</v>
      </c>
      <c r="I4887">
        <v>22781969</v>
      </c>
      <c r="J4887">
        <v>3</v>
      </c>
    </row>
    <row r="4888" spans="1:10" x14ac:dyDescent="0.25">
      <c r="A4888" t="s">
        <v>44</v>
      </c>
      <c r="B4888" s="1" t="str">
        <f>HYPERLINK("http://astrazeneca.ie","astrazeneca.ie")</f>
        <v>astrazeneca.ie</v>
      </c>
      <c r="C4888" t="s">
        <v>455</v>
      </c>
      <c r="D4888" t="s">
        <v>832</v>
      </c>
      <c r="F4888">
        <v>4.8674933720719597E-9</v>
      </c>
      <c r="G4888">
        <v>33507209</v>
      </c>
      <c r="H4888">
        <v>10877391</v>
      </c>
      <c r="I4888">
        <v>36371634</v>
      </c>
      <c r="J4888">
        <v>3</v>
      </c>
    </row>
    <row r="4889" spans="1:10" x14ac:dyDescent="0.25">
      <c r="A4889" t="s">
        <v>44</v>
      </c>
      <c r="B4889" s="1" t="str">
        <f>HYPERLINK("http://astrazeneca.co.il","astrazeneca.co.il")</f>
        <v>astrazeneca.co.il</v>
      </c>
      <c r="C4889" t="s">
        <v>456</v>
      </c>
      <c r="D4889" t="s">
        <v>833</v>
      </c>
      <c r="F4889">
        <v>4.6256354692473604E-9</v>
      </c>
      <c r="G4889">
        <v>45731316</v>
      </c>
      <c r="H4889">
        <v>10736461</v>
      </c>
      <c r="I4889">
        <v>40599442</v>
      </c>
      <c r="J4889">
        <v>3</v>
      </c>
    </row>
    <row r="4890" spans="1:10" x14ac:dyDescent="0.25">
      <c r="A4890" t="s">
        <v>44</v>
      </c>
      <c r="B4890" s="1" t="str">
        <f>HYPERLINK("http://astrazeneca.in","astrazeneca.in")</f>
        <v>astrazeneca.in</v>
      </c>
      <c r="C4890" t="s">
        <v>457</v>
      </c>
      <c r="D4890" t="s">
        <v>834</v>
      </c>
      <c r="F4890">
        <v>6.6631003293464802E-8</v>
      </c>
      <c r="G4890">
        <v>642754</v>
      </c>
      <c r="H4890">
        <v>12383241</v>
      </c>
      <c r="I4890">
        <v>19152083</v>
      </c>
      <c r="J4890">
        <v>2</v>
      </c>
    </row>
    <row r="4891" spans="1:10" x14ac:dyDescent="0.25">
      <c r="A4891" t="s">
        <v>44</v>
      </c>
      <c r="B4891" s="1" t="str">
        <f>HYPERLINK("http://astrazeneca.it","astrazeneca.it")</f>
        <v>astrazeneca.it</v>
      </c>
      <c r="C4891" t="s">
        <v>459</v>
      </c>
      <c r="D4891" t="s">
        <v>835</v>
      </c>
      <c r="F4891">
        <v>1.14139924161427E-7</v>
      </c>
      <c r="G4891">
        <v>348977</v>
      </c>
      <c r="H4891">
        <v>14790635</v>
      </c>
      <c r="I4891">
        <v>551002</v>
      </c>
      <c r="J4891">
        <v>2</v>
      </c>
    </row>
    <row r="4892" spans="1:10" x14ac:dyDescent="0.25">
      <c r="A4892" t="s">
        <v>44</v>
      </c>
      <c r="B4892" s="1" t="str">
        <f>HYPERLINK("http://alexion.co.jp","alexion.co.jp")</f>
        <v>alexion.co.jp</v>
      </c>
      <c r="C4892" t="s">
        <v>461</v>
      </c>
      <c r="D4892" t="s">
        <v>837</v>
      </c>
      <c r="F4892">
        <v>4.6699204932104297E-9</v>
      </c>
      <c r="G4892">
        <v>42927696</v>
      </c>
      <c r="H4892">
        <v>10511495</v>
      </c>
      <c r="I4892">
        <v>49492089</v>
      </c>
      <c r="J4892">
        <v>3</v>
      </c>
    </row>
    <row r="4893" spans="1:10" x14ac:dyDescent="0.25">
      <c r="A4893" t="s">
        <v>44</v>
      </c>
      <c r="B4893" s="1" t="str">
        <f>HYPERLINK("http://astrazeneca.co.jp","astrazeneca.co.jp")</f>
        <v>astrazeneca.co.jp</v>
      </c>
      <c r="C4893" t="s">
        <v>461</v>
      </c>
      <c r="D4893" t="s">
        <v>837</v>
      </c>
      <c r="E4893">
        <v>910591</v>
      </c>
      <c r="F4893">
        <v>1.8446411581197999E-7</v>
      </c>
      <c r="G4893">
        <v>209035</v>
      </c>
      <c r="H4893">
        <v>14649761</v>
      </c>
      <c r="I4893">
        <v>628252</v>
      </c>
      <c r="J4893">
        <v>2</v>
      </c>
    </row>
    <row r="4894" spans="1:10" x14ac:dyDescent="0.25">
      <c r="A4894" t="s">
        <v>44</v>
      </c>
      <c r="B4894" s="1" t="str">
        <f>HYPERLINK("http://astrazeneca.co.kr","astrazeneca.co.kr")</f>
        <v>astrazeneca.co.kr</v>
      </c>
      <c r="C4894" t="s">
        <v>463</v>
      </c>
      <c r="D4894" t="s">
        <v>839</v>
      </c>
      <c r="F4894">
        <v>6.7956484311365194E-8</v>
      </c>
      <c r="G4894">
        <v>628135</v>
      </c>
      <c r="H4894">
        <v>13124445</v>
      </c>
      <c r="I4894">
        <v>11966437</v>
      </c>
      <c r="J4894">
        <v>2</v>
      </c>
    </row>
    <row r="4895" spans="1:10" x14ac:dyDescent="0.25">
      <c r="A4895" t="s">
        <v>44</v>
      </c>
      <c r="B4895" s="1" t="str">
        <f>HYPERLINK("http://astrazeneca.lt","astrazeneca.lt")</f>
        <v>astrazeneca.lt</v>
      </c>
      <c r="C4895" t="s">
        <v>467</v>
      </c>
      <c r="D4895" t="s">
        <v>843</v>
      </c>
      <c r="F4895">
        <v>4.6242611357237099E-9</v>
      </c>
      <c r="G4895">
        <v>45826469</v>
      </c>
      <c r="H4895">
        <v>10923299</v>
      </c>
      <c r="I4895">
        <v>35205214</v>
      </c>
      <c r="J4895">
        <v>2</v>
      </c>
    </row>
    <row r="4896" spans="1:10" x14ac:dyDescent="0.25">
      <c r="A4896" t="s">
        <v>44</v>
      </c>
      <c r="B4896" s="1" t="str">
        <f>HYPERLINK("http://astrazeneca.lu","astrazeneca.lu")</f>
        <v>astrazeneca.lu</v>
      </c>
      <c r="C4896" t="s">
        <v>547</v>
      </c>
      <c r="D4896" t="s">
        <v>904</v>
      </c>
      <c r="J4896">
        <v>3</v>
      </c>
    </row>
    <row r="4897" spans="1:10" x14ac:dyDescent="0.25">
      <c r="A4897" t="s">
        <v>44</v>
      </c>
      <c r="B4897" s="1" t="str">
        <f>HYPERLINK("http://astrazeneca.mx","astrazeneca.mx")</f>
        <v>astrazeneca.mx</v>
      </c>
      <c r="C4897" t="s">
        <v>471</v>
      </c>
      <c r="D4897" t="s">
        <v>847</v>
      </c>
      <c r="F4897">
        <v>7.2931092865991402E-9</v>
      </c>
      <c r="G4897">
        <v>11497556</v>
      </c>
      <c r="H4897">
        <v>12520563</v>
      </c>
      <c r="I4897">
        <v>17145839</v>
      </c>
      <c r="J4897">
        <v>2</v>
      </c>
    </row>
    <row r="4898" spans="1:10" x14ac:dyDescent="0.25">
      <c r="A4898" t="s">
        <v>44</v>
      </c>
      <c r="B4898" s="1" t="str">
        <f>HYPERLINK("http://astrazeneca.nl","astrazeneca.nl")</f>
        <v>astrazeneca.nl</v>
      </c>
      <c r="C4898" t="s">
        <v>477</v>
      </c>
      <c r="D4898" t="s">
        <v>852</v>
      </c>
      <c r="F4898">
        <v>6.1344907099413006E-8</v>
      </c>
      <c r="G4898">
        <v>717650</v>
      </c>
      <c r="H4898">
        <v>14500501</v>
      </c>
      <c r="I4898">
        <v>853134</v>
      </c>
      <c r="J4898">
        <v>2</v>
      </c>
    </row>
    <row r="4899" spans="1:10" x14ac:dyDescent="0.25">
      <c r="A4899" t="s">
        <v>44</v>
      </c>
      <c r="B4899" s="1" t="str">
        <f>HYPERLINK("http://astrazeneca.no","astrazeneca.no")</f>
        <v>astrazeneca.no</v>
      </c>
      <c r="C4899" t="s">
        <v>478</v>
      </c>
      <c r="D4899" t="s">
        <v>853</v>
      </c>
      <c r="F4899">
        <v>1.83993108976495E-8</v>
      </c>
      <c r="G4899">
        <v>2945917</v>
      </c>
      <c r="H4899">
        <v>13769694</v>
      </c>
      <c r="I4899">
        <v>6774237</v>
      </c>
      <c r="J4899">
        <v>2</v>
      </c>
    </row>
    <row r="4900" spans="1:10" x14ac:dyDescent="0.25">
      <c r="A4900" t="s">
        <v>44</v>
      </c>
      <c r="B4900" s="1" t="str">
        <f>HYPERLINK("http://astrazeneca.pl","astrazeneca.pl")</f>
        <v>astrazeneca.pl</v>
      </c>
      <c r="C4900" t="s">
        <v>486</v>
      </c>
      <c r="D4900" t="s">
        <v>860</v>
      </c>
      <c r="F4900">
        <v>1.05409539443601E-7</v>
      </c>
      <c r="G4900">
        <v>380020</v>
      </c>
      <c r="H4900">
        <v>14422620</v>
      </c>
      <c r="I4900">
        <v>1084687</v>
      </c>
      <c r="J4900">
        <v>2</v>
      </c>
    </row>
    <row r="4901" spans="1:10" x14ac:dyDescent="0.25">
      <c r="A4901" t="s">
        <v>44</v>
      </c>
      <c r="B4901" s="1" t="str">
        <f>HYPERLINK("http://astrazeneca.pt","astrazeneca.pt")</f>
        <v>astrazeneca.pt</v>
      </c>
      <c r="C4901" t="s">
        <v>488</v>
      </c>
      <c r="D4901" t="s">
        <v>862</v>
      </c>
      <c r="F4901">
        <v>2.1329791582673699E-8</v>
      </c>
      <c r="G4901">
        <v>2470458</v>
      </c>
      <c r="H4901">
        <v>13488512</v>
      </c>
      <c r="I4901">
        <v>9990458</v>
      </c>
      <c r="J4901">
        <v>2</v>
      </c>
    </row>
    <row r="4902" spans="1:10" x14ac:dyDescent="0.25">
      <c r="A4902" t="s">
        <v>44</v>
      </c>
      <c r="B4902" s="1" t="str">
        <f>HYPERLINK("http://astrazeneca.ru","astrazeneca.ru")</f>
        <v>astrazeneca.ru</v>
      </c>
      <c r="C4902" t="s">
        <v>493</v>
      </c>
      <c r="D4902" t="s">
        <v>867</v>
      </c>
      <c r="E4902">
        <v>772039</v>
      </c>
      <c r="F4902">
        <v>2.0693913135838501E-7</v>
      </c>
      <c r="G4902">
        <v>183380</v>
      </c>
      <c r="H4902">
        <v>14499639</v>
      </c>
      <c r="I4902">
        <v>856439</v>
      </c>
      <c r="J4902">
        <v>2</v>
      </c>
    </row>
    <row r="4903" spans="1:10" x14ac:dyDescent="0.25">
      <c r="A4903" t="s">
        <v>44</v>
      </c>
      <c r="B4903" s="1" t="str">
        <f>HYPERLINK("http://astrazeneca.se","astrazeneca.se")</f>
        <v>astrazeneca.se</v>
      </c>
      <c r="C4903" t="s">
        <v>495</v>
      </c>
      <c r="D4903" t="s">
        <v>869</v>
      </c>
      <c r="F4903">
        <v>1.5433955569373599E-7</v>
      </c>
      <c r="G4903">
        <v>251657</v>
      </c>
      <c r="H4903">
        <v>14512990</v>
      </c>
      <c r="I4903">
        <v>818081</v>
      </c>
      <c r="J4903">
        <v>2</v>
      </c>
    </row>
    <row r="4904" spans="1:10" x14ac:dyDescent="0.25">
      <c r="A4904" t="s">
        <v>44</v>
      </c>
      <c r="B4904" s="1" t="str">
        <f>HYPERLINK("http://astrazeneca.com.tr","astrazeneca.com.tr")</f>
        <v>astrazeneca.com.tr</v>
      </c>
      <c r="C4904" t="s">
        <v>502</v>
      </c>
      <c r="D4904" t="s">
        <v>876</v>
      </c>
      <c r="F4904">
        <v>1.1955941475542901E-8</v>
      </c>
      <c r="G4904">
        <v>5203618</v>
      </c>
      <c r="H4904">
        <v>12867738</v>
      </c>
      <c r="I4904">
        <v>14137302</v>
      </c>
      <c r="J4904">
        <v>2</v>
      </c>
    </row>
    <row r="4905" spans="1:10" x14ac:dyDescent="0.25">
      <c r="A4905" t="s">
        <v>44</v>
      </c>
      <c r="B4905" s="1" t="str">
        <f>HYPERLINK("http://astrazeneca.ua","astrazeneca.ua")</f>
        <v>astrazeneca.ua</v>
      </c>
      <c r="C4905" t="s">
        <v>505</v>
      </c>
      <c r="D4905" t="s">
        <v>879</v>
      </c>
      <c r="F4905">
        <v>1.8494519052728301E-8</v>
      </c>
      <c r="G4905">
        <v>2926676</v>
      </c>
      <c r="H4905">
        <v>13396248</v>
      </c>
      <c r="I4905">
        <v>10376940</v>
      </c>
      <c r="J4905">
        <v>2</v>
      </c>
    </row>
    <row r="4906" spans="1:10" x14ac:dyDescent="0.25">
      <c r="A4906" t="s">
        <v>44</v>
      </c>
      <c r="B4906" s="1" t="str">
        <f>HYPERLINK("http://astrazeneca.co.uk","astrazeneca.co.uk")</f>
        <v>astrazeneca.co.uk</v>
      </c>
      <c r="C4906" t="s">
        <v>506</v>
      </c>
      <c r="D4906" t="s">
        <v>880</v>
      </c>
      <c r="E4906">
        <v>348911</v>
      </c>
      <c r="F4906">
        <v>1.8208401770062699E-7</v>
      </c>
      <c r="G4906">
        <v>211888</v>
      </c>
      <c r="H4906">
        <v>15049654</v>
      </c>
      <c r="I4906">
        <v>414692</v>
      </c>
      <c r="J4906">
        <v>2</v>
      </c>
    </row>
    <row r="4907" spans="1:10" x14ac:dyDescent="0.25">
      <c r="A4907" t="s">
        <v>44</v>
      </c>
      <c r="B4907" s="1" t="str">
        <f>HYPERLINK("http://astrazeneca.com.ve","astrazeneca.com.ve")</f>
        <v>astrazeneca.com.ve</v>
      </c>
      <c r="C4907" t="s">
        <v>508</v>
      </c>
      <c r="D4907" t="s">
        <v>882</v>
      </c>
      <c r="F4907">
        <v>4.5080044879938303E-9</v>
      </c>
      <c r="G4907">
        <v>57792227</v>
      </c>
      <c r="H4907">
        <v>10430591</v>
      </c>
      <c r="I4907">
        <v>53517754</v>
      </c>
      <c r="J4907">
        <v>3</v>
      </c>
    </row>
    <row r="4908" spans="1:10" x14ac:dyDescent="0.25">
      <c r="A4908" t="s">
        <v>45</v>
      </c>
      <c r="B4908" s="1" t="str">
        <f>HYPERLINK("http://atlascopco.com.ar","atlascopco.com.ar")</f>
        <v>atlascopco.com.ar</v>
      </c>
      <c r="C4908" t="s">
        <v>418</v>
      </c>
      <c r="D4908" t="s">
        <v>800</v>
      </c>
      <c r="F4908">
        <v>5.6105075564646704E-9</v>
      </c>
      <c r="G4908">
        <v>19757717</v>
      </c>
      <c r="H4908">
        <v>10618615</v>
      </c>
      <c r="I4908">
        <v>44323842</v>
      </c>
      <c r="J4908">
        <v>2</v>
      </c>
    </row>
    <row r="4909" spans="1:10" x14ac:dyDescent="0.25">
      <c r="A4909" t="s">
        <v>45</v>
      </c>
      <c r="B4909" s="1" t="str">
        <f>HYPERLINK("http://agre.at","agre.at")</f>
        <v>agre.at</v>
      </c>
      <c r="C4909" t="s">
        <v>419</v>
      </c>
      <c r="D4909" t="s">
        <v>801</v>
      </c>
      <c r="F4909">
        <v>1.02770477063669E-8</v>
      </c>
      <c r="G4909">
        <v>6472666</v>
      </c>
      <c r="H4909">
        <v>12621325</v>
      </c>
      <c r="I4909">
        <v>16080623</v>
      </c>
      <c r="J4909">
        <v>2</v>
      </c>
    </row>
    <row r="4910" spans="1:10" x14ac:dyDescent="0.25">
      <c r="A4910" t="s">
        <v>45</v>
      </c>
      <c r="B4910" s="1" t="str">
        <f>HYPERLINK("http://atlascopco.at","atlascopco.at")</f>
        <v>atlascopco.at</v>
      </c>
      <c r="C4910" t="s">
        <v>419</v>
      </c>
      <c r="D4910" t="s">
        <v>801</v>
      </c>
      <c r="F4910">
        <v>7.0956582847525497E-9</v>
      </c>
      <c r="G4910">
        <v>12026969</v>
      </c>
      <c r="H4910">
        <v>12854650</v>
      </c>
      <c r="I4910">
        <v>14235218</v>
      </c>
      <c r="J4910">
        <v>4</v>
      </c>
    </row>
    <row r="4911" spans="1:10" x14ac:dyDescent="0.25">
      <c r="A4911" t="s">
        <v>45</v>
      </c>
      <c r="B4911" s="1" t="str">
        <f>HYPERLINK("http://medgas-technik.at","medgas-technik.at")</f>
        <v>medgas-technik.at</v>
      </c>
      <c r="C4911" t="s">
        <v>419</v>
      </c>
      <c r="D4911" t="s">
        <v>801</v>
      </c>
      <c r="F4911">
        <v>4.6100486661628099E-9</v>
      </c>
      <c r="G4911">
        <v>46840696</v>
      </c>
      <c r="H4911">
        <v>10332489</v>
      </c>
      <c r="I4911">
        <v>58317641</v>
      </c>
      <c r="J4911">
        <v>3</v>
      </c>
    </row>
    <row r="4912" spans="1:10" x14ac:dyDescent="0.25">
      <c r="A4912" t="s">
        <v>45</v>
      </c>
      <c r="B4912" s="1" t="str">
        <f>HYPERLINK("http://schneider-airsystems.at","schneider-airsystems.at")</f>
        <v>schneider-airsystems.at</v>
      </c>
      <c r="C4912" t="s">
        <v>419</v>
      </c>
      <c r="D4912" t="s">
        <v>801</v>
      </c>
      <c r="F4912">
        <v>7.28992384889298E-9</v>
      </c>
      <c r="G4912">
        <v>11505155</v>
      </c>
      <c r="H4912">
        <v>9707257</v>
      </c>
      <c r="I4912">
        <v>63296251</v>
      </c>
      <c r="J4912">
        <v>2</v>
      </c>
    </row>
    <row r="4913" spans="1:10" x14ac:dyDescent="0.25">
      <c r="A4913" t="s">
        <v>45</v>
      </c>
      <c r="B4913" s="1" t="str">
        <f>HYPERLINK("http://maescompressoren.be","maescompressoren.be")</f>
        <v>maescompressoren.be</v>
      </c>
      <c r="C4913" t="s">
        <v>421</v>
      </c>
      <c r="D4913" t="s">
        <v>803</v>
      </c>
      <c r="F4913">
        <v>4.9162429784565902E-9</v>
      </c>
      <c r="G4913">
        <v>31947394</v>
      </c>
      <c r="H4913">
        <v>10574854</v>
      </c>
      <c r="I4913">
        <v>45951906</v>
      </c>
      <c r="J4913">
        <v>2</v>
      </c>
    </row>
    <row r="4914" spans="1:10" x14ac:dyDescent="0.25">
      <c r="A4914" t="s">
        <v>45</v>
      </c>
      <c r="B4914" s="1" t="str">
        <f>HYPERLINK("http://atlascopco.com.br","atlascopco.com.br")</f>
        <v>atlascopco.com.br</v>
      </c>
      <c r="C4914" t="s">
        <v>425</v>
      </c>
      <c r="D4914" t="s">
        <v>806</v>
      </c>
      <c r="F4914">
        <v>9.7172350651446496E-9</v>
      </c>
      <c r="G4914">
        <v>7061012</v>
      </c>
      <c r="H4914">
        <v>11540558</v>
      </c>
      <c r="I4914">
        <v>29978172</v>
      </c>
      <c r="J4914">
        <v>2</v>
      </c>
    </row>
    <row r="4915" spans="1:10" x14ac:dyDescent="0.25">
      <c r="A4915" t="s">
        <v>45</v>
      </c>
      <c r="B4915" s="1" t="str">
        <f>HYPERLINK("http://itubombas.com.br","itubombas.com.br")</f>
        <v>itubombas.com.br</v>
      </c>
      <c r="C4915" t="s">
        <v>425</v>
      </c>
      <c r="D4915" t="s">
        <v>806</v>
      </c>
      <c r="F4915">
        <v>9.2961201414196096E-9</v>
      </c>
      <c r="G4915">
        <v>7577457</v>
      </c>
      <c r="H4915">
        <v>13763815</v>
      </c>
      <c r="I4915">
        <v>7589680</v>
      </c>
      <c r="J4915">
        <v>3</v>
      </c>
    </row>
    <row r="4916" spans="1:10" x14ac:dyDescent="0.25">
      <c r="A4916" t="s">
        <v>45</v>
      </c>
      <c r="B4916" s="1" t="str">
        <f>HYPERLINK("http://atlascopco.ca","atlascopco.ca")</f>
        <v>atlascopco.ca</v>
      </c>
      <c r="C4916" t="s">
        <v>428</v>
      </c>
      <c r="D4916" t="s">
        <v>809</v>
      </c>
      <c r="F4916">
        <v>1.03774622354248E-8</v>
      </c>
      <c r="G4916">
        <v>6379482</v>
      </c>
      <c r="H4916">
        <v>12771456</v>
      </c>
      <c r="I4916">
        <v>14829804</v>
      </c>
      <c r="J4916">
        <v>3</v>
      </c>
    </row>
    <row r="4917" spans="1:10" x14ac:dyDescent="0.25">
      <c r="A4917" t="s">
        <v>45</v>
      </c>
      <c r="B4917" s="1" t="str">
        <f>HYPERLINK("http://atlascopco.ch","atlascopco.ch")</f>
        <v>atlascopco.ch</v>
      </c>
      <c r="C4917" t="s">
        <v>429</v>
      </c>
      <c r="D4917" t="s">
        <v>810</v>
      </c>
      <c r="F4917">
        <v>5.8233871586598403E-9</v>
      </c>
      <c r="G4917">
        <v>17912942</v>
      </c>
      <c r="H4917">
        <v>10810751</v>
      </c>
      <c r="I4917">
        <v>37851253</v>
      </c>
      <c r="J4917">
        <v>3</v>
      </c>
    </row>
    <row r="4918" spans="1:10" x14ac:dyDescent="0.25">
      <c r="A4918" t="s">
        <v>45</v>
      </c>
      <c r="B4918" s="1" t="str">
        <f>HYPERLINK("http://servatechnik.ch","servatechnik.ch")</f>
        <v>servatechnik.ch</v>
      </c>
      <c r="C4918" t="s">
        <v>429</v>
      </c>
      <c r="D4918" t="s">
        <v>810</v>
      </c>
      <c r="F4918">
        <v>5.7307111473555498E-9</v>
      </c>
      <c r="G4918">
        <v>18658941</v>
      </c>
      <c r="H4918">
        <v>9752209</v>
      </c>
      <c r="I4918">
        <v>62974201</v>
      </c>
      <c r="J4918">
        <v>2</v>
      </c>
    </row>
    <row r="4919" spans="1:10" x14ac:dyDescent="0.25">
      <c r="A4919" t="s">
        <v>45</v>
      </c>
      <c r="B4919" s="1" t="str">
        <f>HYPERLINK("http://atlascopco.com.cn","atlascopco.com.cn")</f>
        <v>atlascopco.com.cn</v>
      </c>
      <c r="C4919" t="s">
        <v>431</v>
      </c>
      <c r="D4919" t="s">
        <v>812</v>
      </c>
      <c r="F4919">
        <v>4.9010344624670802E-8</v>
      </c>
      <c r="G4919">
        <v>945060</v>
      </c>
      <c r="H4919">
        <v>11889767</v>
      </c>
      <c r="I4919">
        <v>29566472</v>
      </c>
      <c r="J4919">
        <v>2</v>
      </c>
    </row>
    <row r="4920" spans="1:10" x14ac:dyDescent="0.25">
      <c r="A4920" t="s">
        <v>45</v>
      </c>
      <c r="B4920" s="1" t="str">
        <f>HYPERLINK("http://fujitools.com.cn","fujitools.com.cn")</f>
        <v>fujitools.com.cn</v>
      </c>
      <c r="C4920" t="s">
        <v>431</v>
      </c>
      <c r="D4920" t="s">
        <v>812</v>
      </c>
      <c r="F4920">
        <v>5.9548775594242202E-9</v>
      </c>
      <c r="G4920">
        <v>16988680</v>
      </c>
      <c r="H4920">
        <v>10345811</v>
      </c>
      <c r="I4920">
        <v>56919380</v>
      </c>
      <c r="J4920">
        <v>3</v>
      </c>
    </row>
    <row r="4921" spans="1:10" x14ac:dyDescent="0.25">
      <c r="A4921" t="s">
        <v>45</v>
      </c>
      <c r="B4921" s="1" t="str">
        <f>HYPERLINK("http://liutech.com.cn","liutech.com.cn")</f>
        <v>liutech.com.cn</v>
      </c>
      <c r="C4921" t="s">
        <v>431</v>
      </c>
      <c r="D4921" t="s">
        <v>812</v>
      </c>
      <c r="F4921">
        <v>6.1011644293265103E-8</v>
      </c>
      <c r="G4921">
        <v>722158</v>
      </c>
      <c r="H4921">
        <v>11554175</v>
      </c>
      <c r="I4921">
        <v>29966388</v>
      </c>
      <c r="J4921">
        <v>3</v>
      </c>
    </row>
    <row r="4922" spans="1:10" x14ac:dyDescent="0.25">
      <c r="A4922" t="s">
        <v>45</v>
      </c>
      <c r="B4922" s="1" t="str">
        <f>HYPERLINK("http://pneumatech.com.cn","pneumatech.com.cn")</f>
        <v>pneumatech.com.cn</v>
      </c>
      <c r="C4922" t="s">
        <v>431</v>
      </c>
      <c r="D4922" t="s">
        <v>812</v>
      </c>
      <c r="F4922">
        <v>9.3298372941075699E-9</v>
      </c>
      <c r="G4922">
        <v>7534522</v>
      </c>
      <c r="H4922">
        <v>10676660</v>
      </c>
      <c r="I4922">
        <v>42820092</v>
      </c>
      <c r="J4922">
        <v>3</v>
      </c>
    </row>
    <row r="4923" spans="1:10" x14ac:dyDescent="0.25">
      <c r="A4923" t="s">
        <v>45</v>
      </c>
      <c r="B4923" s="1" t="str">
        <f>HYPERLINK("http://edwardsvacuum.cn","edwardsvacuum.cn")</f>
        <v>edwardsvacuum.cn</v>
      </c>
      <c r="C4923" t="s">
        <v>431</v>
      </c>
      <c r="D4923" t="s">
        <v>812</v>
      </c>
      <c r="F4923">
        <v>7.0353081465343602E-9</v>
      </c>
      <c r="G4923">
        <v>12207105</v>
      </c>
      <c r="H4923">
        <v>10942452</v>
      </c>
      <c r="I4923">
        <v>34766678</v>
      </c>
      <c r="J4923">
        <v>3</v>
      </c>
    </row>
    <row r="4924" spans="1:10" x14ac:dyDescent="0.25">
      <c r="A4924" t="s">
        <v>45</v>
      </c>
      <c r="B4924" s="1" t="str">
        <f>HYPERLINK("http://isravision.cn","isravision.cn")</f>
        <v>isravision.cn</v>
      </c>
      <c r="C4924" t="s">
        <v>431</v>
      </c>
      <c r="D4924" t="s">
        <v>812</v>
      </c>
      <c r="F4924">
        <v>6.29365942946001E-9</v>
      </c>
      <c r="G4924">
        <v>15062458</v>
      </c>
      <c r="H4924">
        <v>10373538</v>
      </c>
      <c r="I4924">
        <v>54749019</v>
      </c>
      <c r="J4924">
        <v>7</v>
      </c>
    </row>
    <row r="4925" spans="1:10" x14ac:dyDescent="0.25">
      <c r="A4925" t="s">
        <v>45</v>
      </c>
      <c r="B4925" s="1" t="str">
        <f>HYPERLINK("http://leybold.cn","leybold.cn")</f>
        <v>leybold.cn</v>
      </c>
      <c r="C4925" t="s">
        <v>431</v>
      </c>
      <c r="D4925" t="s">
        <v>812</v>
      </c>
      <c r="F4925">
        <v>5.5911848394160599E-9</v>
      </c>
      <c r="G4925">
        <v>19942189</v>
      </c>
      <c r="H4925">
        <v>10901461</v>
      </c>
      <c r="I4925">
        <v>35800716</v>
      </c>
      <c r="J4925">
        <v>3</v>
      </c>
    </row>
    <row r="4926" spans="1:10" x14ac:dyDescent="0.25">
      <c r="A4926" t="s">
        <v>45</v>
      </c>
      <c r="B4926" s="1" t="str">
        <f>HYPERLINK("http://alup.co","alup.co")</f>
        <v>alup.co</v>
      </c>
      <c r="C4926" t="s">
        <v>432</v>
      </c>
      <c r="J4926">
        <v>2</v>
      </c>
    </row>
    <row r="4927" spans="1:10" x14ac:dyDescent="0.25">
      <c r="A4927" t="s">
        <v>45</v>
      </c>
      <c r="B4927" s="1" t="str">
        <f>HYPERLINK("http://ekomakglobal.co","ekomakglobal.co")</f>
        <v>ekomakglobal.co</v>
      </c>
      <c r="C4927" t="s">
        <v>432</v>
      </c>
      <c r="J4927">
        <v>2</v>
      </c>
    </row>
    <row r="4928" spans="1:10" x14ac:dyDescent="0.25">
      <c r="A4928" t="s">
        <v>45</v>
      </c>
      <c r="B4928" s="1" t="str">
        <f>HYPERLINK("http://abacaircompressors.com","abacaircompressors.com")</f>
        <v>abacaircompressors.com</v>
      </c>
      <c r="C4928" t="s">
        <v>433</v>
      </c>
      <c r="F4928">
        <v>8.4608732912898898E-8</v>
      </c>
      <c r="G4928">
        <v>488117</v>
      </c>
      <c r="H4928">
        <v>16821752</v>
      </c>
      <c r="I4928">
        <v>185183</v>
      </c>
      <c r="J4928">
        <v>2</v>
      </c>
    </row>
    <row r="4929" spans="1:10" x14ac:dyDescent="0.25">
      <c r="A4929" t="s">
        <v>45</v>
      </c>
      <c r="B4929" s="1" t="str">
        <f>HYPERLINK("http://acdsgarland.com","acdsgarland.com")</f>
        <v>acdsgarland.com</v>
      </c>
      <c r="C4929" t="s">
        <v>433</v>
      </c>
      <c r="J4929">
        <v>4</v>
      </c>
    </row>
    <row r="4930" spans="1:10" x14ac:dyDescent="0.25">
      <c r="A4930" t="s">
        <v>45</v>
      </c>
      <c r="B4930" s="1" t="str">
        <f>HYPERLINK("http://aircompressorblog.com","aircompressorblog.com")</f>
        <v>aircompressorblog.com</v>
      </c>
      <c r="C4930" t="s">
        <v>433</v>
      </c>
      <c r="F4930">
        <v>8.8965028022149007E-9</v>
      </c>
      <c r="G4930">
        <v>8149560</v>
      </c>
      <c r="H4930">
        <v>11520100</v>
      </c>
      <c r="I4930">
        <v>30003592</v>
      </c>
      <c r="J4930">
        <v>4</v>
      </c>
    </row>
    <row r="4931" spans="1:10" x14ac:dyDescent="0.25">
      <c r="A4931" t="s">
        <v>45</v>
      </c>
      <c r="B4931" s="1" t="str">
        <f>HYPERLINK("http://airnet-system.com","airnet-system.com")</f>
        <v>airnet-system.com</v>
      </c>
      <c r="C4931" t="s">
        <v>433</v>
      </c>
      <c r="F4931">
        <v>2.5321348871911301E-8</v>
      </c>
      <c r="G4931">
        <v>2037786</v>
      </c>
      <c r="H4931">
        <v>12330761</v>
      </c>
      <c r="I4931">
        <v>20200214</v>
      </c>
      <c r="J4931">
        <v>2</v>
      </c>
    </row>
    <row r="4932" spans="1:10" x14ac:dyDescent="0.25">
      <c r="A4932" t="s">
        <v>45</v>
      </c>
      <c r="B4932" s="1" t="str">
        <f>HYPERLINK("http://airwco.com","airwco.com")</f>
        <v>airwco.com</v>
      </c>
      <c r="C4932" t="s">
        <v>433</v>
      </c>
      <c r="F4932">
        <v>8.0340415501494105E-9</v>
      </c>
      <c r="G4932">
        <v>9859182</v>
      </c>
      <c r="H4932">
        <v>12110863</v>
      </c>
      <c r="I4932">
        <v>25703561</v>
      </c>
      <c r="J4932">
        <v>3</v>
      </c>
    </row>
    <row r="4933" spans="1:10" x14ac:dyDescent="0.25">
      <c r="A4933" t="s">
        <v>45</v>
      </c>
      <c r="B4933" s="1" t="str">
        <f>HYPERLINK("http://alup.com","alup.com")</f>
        <v>alup.com</v>
      </c>
      <c r="C4933" t="s">
        <v>433</v>
      </c>
      <c r="F4933">
        <v>4.2074790086409898E-8</v>
      </c>
      <c r="G4933">
        <v>1162349</v>
      </c>
      <c r="H4933">
        <v>12684682</v>
      </c>
      <c r="I4933">
        <v>15459945</v>
      </c>
      <c r="J4933">
        <v>2</v>
      </c>
    </row>
    <row r="4934" spans="1:10" x14ac:dyDescent="0.25">
      <c r="A4934" t="s">
        <v>45</v>
      </c>
      <c r="B4934" s="1" t="str">
        <f>HYPERLINK("http://apt-tools.com","apt-tools.com")</f>
        <v>apt-tools.com</v>
      </c>
      <c r="C4934" t="s">
        <v>433</v>
      </c>
      <c r="F4934">
        <v>1.3474946544791701E-8</v>
      </c>
      <c r="G4934">
        <v>4414473</v>
      </c>
      <c r="H4934">
        <v>11672744</v>
      </c>
      <c r="I4934">
        <v>29867064</v>
      </c>
      <c r="J4934">
        <v>2</v>
      </c>
    </row>
    <row r="4935" spans="1:10" x14ac:dyDescent="0.25">
      <c r="A4935" t="s">
        <v>45</v>
      </c>
      <c r="B4935" s="1" t="str">
        <f>HYPERLINK("http://atlascopco.com","atlascopco.com")</f>
        <v>atlascopco.com</v>
      </c>
      <c r="C4935" t="s">
        <v>433</v>
      </c>
      <c r="E4935">
        <v>22936</v>
      </c>
      <c r="F4935">
        <v>2.2772038274887101E-6</v>
      </c>
      <c r="G4935">
        <v>16201</v>
      </c>
      <c r="H4935">
        <v>16014106</v>
      </c>
      <c r="I4935">
        <v>366329</v>
      </c>
      <c r="J4935">
        <v>1</v>
      </c>
    </row>
    <row r="4936" spans="1:10" x14ac:dyDescent="0.25">
      <c r="A4936" t="s">
        <v>45</v>
      </c>
      <c r="B4936" s="1" t="str">
        <f>HYPERLINK("http://atlascopco-act.com","atlascopco-act.com")</f>
        <v>atlascopco-act.com</v>
      </c>
      <c r="C4936" t="s">
        <v>433</v>
      </c>
      <c r="F4936">
        <v>4.5465539096760604E-9</v>
      </c>
      <c r="G4936">
        <v>52561244</v>
      </c>
      <c r="H4936">
        <v>12208361</v>
      </c>
      <c r="I4936">
        <v>23066539</v>
      </c>
      <c r="J4936">
        <v>3</v>
      </c>
    </row>
    <row r="4937" spans="1:10" x14ac:dyDescent="0.25">
      <c r="A4937" t="s">
        <v>45</v>
      </c>
      <c r="B4937" s="1" t="str">
        <f>HYPERLINK("http://atlascopcogroup.com","atlascopcogroup.com")</f>
        <v>atlascopcogroup.com</v>
      </c>
      <c r="C4937" t="s">
        <v>433</v>
      </c>
      <c r="E4937">
        <v>397304</v>
      </c>
      <c r="F4937">
        <v>1.36807993841868E-7</v>
      </c>
      <c r="G4937">
        <v>284904</v>
      </c>
      <c r="H4937">
        <v>14364451</v>
      </c>
      <c r="I4937">
        <v>1302594</v>
      </c>
      <c r="J4937">
        <v>2</v>
      </c>
    </row>
    <row r="4938" spans="1:10" x14ac:dyDescent="0.25">
      <c r="A4938" t="s">
        <v>45</v>
      </c>
      <c r="B4938" s="1" t="str">
        <f>HYPERLINK("http://atlascopcorental.com","atlascopcorental.com")</f>
        <v>atlascopcorental.com</v>
      </c>
      <c r="C4938" t="s">
        <v>433</v>
      </c>
      <c r="F4938">
        <v>1.33763553799031E-8</v>
      </c>
      <c r="G4938">
        <v>4458480</v>
      </c>
      <c r="H4938">
        <v>12406324</v>
      </c>
      <c r="I4938">
        <v>18666350</v>
      </c>
      <c r="J4938">
        <v>2</v>
      </c>
    </row>
    <row r="4939" spans="1:10" x14ac:dyDescent="0.25">
      <c r="A4939" t="s">
        <v>45</v>
      </c>
      <c r="B4939" s="1" t="str">
        <f>HYPERLINK("http://atlascopoco.com","atlascopoco.com")</f>
        <v>atlascopoco.com</v>
      </c>
      <c r="C4939" t="s">
        <v>433</v>
      </c>
      <c r="J4939">
        <v>3</v>
      </c>
    </row>
    <row r="4940" spans="1:10" x14ac:dyDescent="0.25">
      <c r="A4940" t="s">
        <v>45</v>
      </c>
      <c r="B4940" s="1" t="str">
        <f>HYPERLINK("http://atlastcopco.com","atlastcopco.com")</f>
        <v>atlastcopco.com</v>
      </c>
      <c r="C4940" t="s">
        <v>433</v>
      </c>
      <c r="J4940">
        <v>5</v>
      </c>
    </row>
    <row r="4941" spans="1:10" x14ac:dyDescent="0.25">
      <c r="A4941" t="s">
        <v>45</v>
      </c>
      <c r="B4941" s="1" t="str">
        <f>HYPERLINK("http://beaconmedaes.com","beaconmedaes.com")</f>
        <v>beaconmedaes.com</v>
      </c>
      <c r="C4941" t="s">
        <v>433</v>
      </c>
      <c r="F4941">
        <v>2.5425428994876799E-8</v>
      </c>
      <c r="G4941">
        <v>2028974</v>
      </c>
      <c r="H4941">
        <v>12976168</v>
      </c>
      <c r="I4941">
        <v>13012514</v>
      </c>
      <c r="J4941">
        <v>2</v>
      </c>
    </row>
    <row r="4942" spans="1:10" x14ac:dyDescent="0.25">
      <c r="A4942" t="s">
        <v>45</v>
      </c>
      <c r="B4942" s="1" t="str">
        <f>HYPERLINK("http://beaconmedaeslab.com","beaconmedaeslab.com")</f>
        <v>beaconmedaeslab.com</v>
      </c>
      <c r="C4942" t="s">
        <v>433</v>
      </c>
      <c r="J4942">
        <v>2</v>
      </c>
    </row>
    <row r="4943" spans="1:10" x14ac:dyDescent="0.25">
      <c r="A4943" t="s">
        <v>45</v>
      </c>
      <c r="B4943" s="1" t="str">
        <f>HYPERLINK("http://boilerlogix.com","boilerlogix.com")</f>
        <v>boilerlogix.com</v>
      </c>
      <c r="C4943" t="s">
        <v>433</v>
      </c>
      <c r="J4943">
        <v>2</v>
      </c>
    </row>
    <row r="4944" spans="1:10" x14ac:dyDescent="0.25">
      <c r="A4944" t="s">
        <v>45</v>
      </c>
      <c r="B4944" s="1" t="str">
        <f>HYPERLINK("http://ceccato.com","ceccato.com")</f>
        <v>ceccato.com</v>
      </c>
      <c r="C4944" t="s">
        <v>433</v>
      </c>
      <c r="F4944">
        <v>2.6132240713455199E-8</v>
      </c>
      <c r="G4944">
        <v>1971251</v>
      </c>
      <c r="H4944">
        <v>11566687</v>
      </c>
      <c r="I4944">
        <v>29956156</v>
      </c>
      <c r="J4944">
        <v>2</v>
      </c>
    </row>
    <row r="4945" spans="1:10" x14ac:dyDescent="0.25">
      <c r="A4945" t="s">
        <v>45</v>
      </c>
      <c r="B4945" s="1" t="str">
        <f>HYPERLINK("http://ceccato-compressors.com","ceccato-compressors.com")</f>
        <v>ceccato-compressors.com</v>
      </c>
      <c r="C4945" t="s">
        <v>433</v>
      </c>
      <c r="F4945">
        <v>1.18885820697519E-8</v>
      </c>
      <c r="G4945">
        <v>5246210</v>
      </c>
      <c r="H4945">
        <v>10896021</v>
      </c>
      <c r="I4945">
        <v>35929304</v>
      </c>
      <c r="J4945">
        <v>3</v>
      </c>
    </row>
    <row r="4946" spans="1:10" x14ac:dyDescent="0.25">
      <c r="A4946" t="s">
        <v>45</v>
      </c>
      <c r="B4946" s="1" t="str">
        <f>HYPERLINK("http://cemfalcon.com","cemfalcon.com")</f>
        <v>cemfalcon.com</v>
      </c>
      <c r="C4946" t="s">
        <v>433</v>
      </c>
      <c r="J4946">
        <v>4</v>
      </c>
    </row>
    <row r="4947" spans="1:10" x14ac:dyDescent="0.25">
      <c r="A4947" t="s">
        <v>45</v>
      </c>
      <c r="B4947" s="1" t="str">
        <f>HYPERLINK("http://chicago-pneumatic.com","chicago-pneumatic.com")</f>
        <v>chicago-pneumatic.com</v>
      </c>
      <c r="C4947" t="s">
        <v>433</v>
      </c>
      <c r="F4947">
        <v>6.0071639792651602E-9</v>
      </c>
      <c r="G4947">
        <v>16639572</v>
      </c>
      <c r="H4947">
        <v>10540714</v>
      </c>
      <c r="I4947">
        <v>47238077</v>
      </c>
      <c r="J4947">
        <v>2</v>
      </c>
    </row>
    <row r="4948" spans="1:10" x14ac:dyDescent="0.25">
      <c r="A4948" t="s">
        <v>45</v>
      </c>
      <c r="B4948" s="1" t="str">
        <f>HYPERLINK("http://chspencer.com","chspencer.com")</f>
        <v>chspencer.com</v>
      </c>
      <c r="C4948" t="s">
        <v>433</v>
      </c>
      <c r="F4948">
        <v>6.1430200325750803E-9</v>
      </c>
      <c r="G4948">
        <v>15844065</v>
      </c>
      <c r="H4948">
        <v>10808765</v>
      </c>
      <c r="I4948">
        <v>37905929</v>
      </c>
      <c r="J4948">
        <v>3</v>
      </c>
    </row>
    <row r="4949" spans="1:10" x14ac:dyDescent="0.25">
      <c r="A4949" t="s">
        <v>45</v>
      </c>
      <c r="B4949" s="1" t="str">
        <f>HYPERLINK("http://class1.com","class1.com")</f>
        <v>class1.com</v>
      </c>
      <c r="C4949" t="s">
        <v>433</v>
      </c>
      <c r="F4949">
        <v>6.37020868547467E-9</v>
      </c>
      <c r="G4949">
        <v>14665146</v>
      </c>
      <c r="H4949">
        <v>11181686</v>
      </c>
      <c r="I4949">
        <v>31419759</v>
      </c>
      <c r="J4949">
        <v>3</v>
      </c>
    </row>
    <row r="4950" spans="1:10" x14ac:dyDescent="0.25">
      <c r="A4950" t="s">
        <v>45</v>
      </c>
      <c r="B4950" s="1" t="str">
        <f>HYPERLINK("http://compresseurs-air.com","compresseurs-air.com")</f>
        <v>compresseurs-air.com</v>
      </c>
      <c r="C4950" t="s">
        <v>433</v>
      </c>
      <c r="F4950">
        <v>8.8508500671287998E-9</v>
      </c>
      <c r="G4950">
        <v>8223028</v>
      </c>
      <c r="H4950">
        <v>8597848</v>
      </c>
      <c r="I4950">
        <v>70802148</v>
      </c>
      <c r="J4950">
        <v>5</v>
      </c>
    </row>
    <row r="4951" spans="1:10" x14ac:dyDescent="0.25">
      <c r="A4951" t="s">
        <v>45</v>
      </c>
      <c r="B4951" s="1" t="str">
        <f>HYPERLINK("http://comsolveinc.com","comsolveinc.com")</f>
        <v>comsolveinc.com</v>
      </c>
      <c r="C4951" t="s">
        <v>433</v>
      </c>
      <c r="F4951">
        <v>8.5211575788531206E-9</v>
      </c>
      <c r="G4951">
        <v>8803922</v>
      </c>
      <c r="H4951">
        <v>12193262</v>
      </c>
      <c r="I4951">
        <v>23504151</v>
      </c>
      <c r="J4951">
        <v>7</v>
      </c>
    </row>
    <row r="4952" spans="1:10" x14ac:dyDescent="0.25">
      <c r="A4952" t="s">
        <v>45</v>
      </c>
      <c r="B4952" s="1" t="str">
        <f>HYPERLINK("http://cp.com","cp.com")</f>
        <v>cp.com</v>
      </c>
      <c r="C4952" t="s">
        <v>433</v>
      </c>
      <c r="E4952">
        <v>177170</v>
      </c>
      <c r="F4952">
        <v>1.6553221162460699E-7</v>
      </c>
      <c r="G4952">
        <v>234478</v>
      </c>
      <c r="H4952">
        <v>14143925</v>
      </c>
      <c r="I4952">
        <v>1909675</v>
      </c>
      <c r="J4952">
        <v>2</v>
      </c>
    </row>
    <row r="4953" spans="1:10" x14ac:dyDescent="0.25">
      <c r="A4953" t="s">
        <v>45</v>
      </c>
      <c r="B4953" s="1" t="str">
        <f>HYPERLINK("http://cpcpumps.com","cpcpumps.com")</f>
        <v>cpcpumps.com</v>
      </c>
      <c r="C4953" t="s">
        <v>433</v>
      </c>
      <c r="F4953">
        <v>6.8947817415533798E-9</v>
      </c>
      <c r="G4953">
        <v>12650910</v>
      </c>
      <c r="H4953">
        <v>12061967</v>
      </c>
      <c r="I4953">
        <v>26962333</v>
      </c>
      <c r="J4953">
        <v>3</v>
      </c>
    </row>
    <row r="4954" spans="1:10" x14ac:dyDescent="0.25">
      <c r="A4954" t="s">
        <v>45</v>
      </c>
      <c r="B4954" s="1" t="str">
        <f>HYPERLINK("http://dekkervacuum.com","dekkervacuum.com")</f>
        <v>dekkervacuum.com</v>
      </c>
      <c r="C4954" t="s">
        <v>433</v>
      </c>
      <c r="F4954">
        <v>2.6699180704296299E-8</v>
      </c>
      <c r="G4954">
        <v>1927655</v>
      </c>
      <c r="H4954">
        <v>13169881</v>
      </c>
      <c r="I4954">
        <v>11724665</v>
      </c>
      <c r="J4954">
        <v>2</v>
      </c>
    </row>
    <row r="4955" spans="1:10" x14ac:dyDescent="0.25">
      <c r="A4955" t="s">
        <v>45</v>
      </c>
      <c r="B4955" s="1" t="str">
        <f>HYPERLINK("http://e-larry.com","e-larry.com")</f>
        <v>e-larry.com</v>
      </c>
      <c r="C4955" t="s">
        <v>433</v>
      </c>
      <c r="F4955">
        <v>9.9558690761890597E-9</v>
      </c>
      <c r="G4955">
        <v>6800310</v>
      </c>
      <c r="H4955">
        <v>12426307</v>
      </c>
      <c r="I4955">
        <v>18359247</v>
      </c>
      <c r="J4955">
        <v>5</v>
      </c>
    </row>
    <row r="4956" spans="1:10" x14ac:dyDescent="0.25">
      <c r="A4956" t="s">
        <v>45</v>
      </c>
      <c r="B4956" s="1" t="str">
        <f>HYPERLINK("http://eco-steamandheating.com","eco-steamandheating.com")</f>
        <v>eco-steamandheating.com</v>
      </c>
      <c r="C4956" t="s">
        <v>433</v>
      </c>
      <c r="F4956">
        <v>8.84051550698163E-9</v>
      </c>
      <c r="G4956">
        <v>8239636</v>
      </c>
      <c r="H4956">
        <v>12043254</v>
      </c>
      <c r="I4956">
        <v>27394285</v>
      </c>
      <c r="J4956">
        <v>3</v>
      </c>
    </row>
    <row r="4957" spans="1:10" x14ac:dyDescent="0.25">
      <c r="A4957" t="s">
        <v>45</v>
      </c>
      <c r="B4957" s="1" t="str">
        <f>HYPERLINK("http://edwardsvacuum.com","edwardsvacuum.com")</f>
        <v>edwardsvacuum.com</v>
      </c>
      <c r="C4957" t="s">
        <v>433</v>
      </c>
      <c r="E4957">
        <v>231041</v>
      </c>
      <c r="F4957">
        <v>2.2625083991853701E-7</v>
      </c>
      <c r="G4957">
        <v>166475</v>
      </c>
      <c r="H4957">
        <v>14877701</v>
      </c>
      <c r="I4957">
        <v>474105</v>
      </c>
      <c r="J4957">
        <v>2</v>
      </c>
    </row>
    <row r="4958" spans="1:10" x14ac:dyDescent="0.25">
      <c r="A4958" t="s">
        <v>45</v>
      </c>
      <c r="B4958" s="1" t="str">
        <f>HYPERLINK("http://ekomak.com","ekomak.com")</f>
        <v>ekomak.com</v>
      </c>
      <c r="C4958" t="s">
        <v>433</v>
      </c>
      <c r="F4958">
        <v>9.79796592530862E-9</v>
      </c>
      <c r="G4958">
        <v>6971021</v>
      </c>
      <c r="H4958">
        <v>11520568</v>
      </c>
      <c r="I4958">
        <v>30002413</v>
      </c>
      <c r="J4958">
        <v>2</v>
      </c>
    </row>
    <row r="4959" spans="1:10" x14ac:dyDescent="0.25">
      <c r="A4959" t="s">
        <v>45</v>
      </c>
      <c r="B4959" s="1" t="str">
        <f>HYPERLINK("http://eurochiller.com","eurochiller.com")</f>
        <v>eurochiller.com</v>
      </c>
      <c r="C4959" t="s">
        <v>433</v>
      </c>
      <c r="F4959">
        <v>1.6543313973765201E-8</v>
      </c>
      <c r="G4959">
        <v>3403104</v>
      </c>
      <c r="H4959">
        <v>12412845</v>
      </c>
      <c r="I4959">
        <v>18565823</v>
      </c>
      <c r="J4959">
        <v>3</v>
      </c>
    </row>
    <row r="4960" spans="1:10" x14ac:dyDescent="0.25">
      <c r="A4960" t="s">
        <v>45</v>
      </c>
      <c r="B4960" s="1" t="str">
        <f>HYPERLINK("http://fujitools.com","fujitools.com")</f>
        <v>fujitools.com</v>
      </c>
      <c r="C4960" t="s">
        <v>433</v>
      </c>
      <c r="F4960">
        <v>1.6506325907290001E-8</v>
      </c>
      <c r="G4960">
        <v>3412101</v>
      </c>
      <c r="H4960">
        <v>13767499</v>
      </c>
      <c r="I4960">
        <v>6929425</v>
      </c>
      <c r="J4960">
        <v>2</v>
      </c>
    </row>
    <row r="4961" spans="1:10" x14ac:dyDescent="0.25">
      <c r="A4961" t="s">
        <v>45</v>
      </c>
      <c r="B4961" s="1" t="str">
        <f>HYPERLINK("http://geveke.com","geveke.com")</f>
        <v>geveke.com</v>
      </c>
      <c r="C4961" t="s">
        <v>433</v>
      </c>
      <c r="F4961">
        <v>1.6465141843147701E-8</v>
      </c>
      <c r="G4961">
        <v>3422541</v>
      </c>
      <c r="H4961">
        <v>12587692</v>
      </c>
      <c r="I4961">
        <v>16436465</v>
      </c>
      <c r="J4961">
        <v>6</v>
      </c>
    </row>
    <row r="4962" spans="1:10" x14ac:dyDescent="0.25">
      <c r="A4962" t="s">
        <v>45</v>
      </c>
      <c r="B4962" s="1" t="str">
        <f>HYPERLINK("http://henrob.com","henrob.com")</f>
        <v>henrob.com</v>
      </c>
      <c r="C4962" t="s">
        <v>433</v>
      </c>
      <c r="F4962">
        <v>6.3474586449762504E-9</v>
      </c>
      <c r="G4962">
        <v>14774338</v>
      </c>
      <c r="H4962">
        <v>12519655</v>
      </c>
      <c r="I4962">
        <v>17155274</v>
      </c>
      <c r="J4962">
        <v>3</v>
      </c>
    </row>
    <row r="4963" spans="1:10" x14ac:dyDescent="0.25">
      <c r="A4963" t="s">
        <v>45</v>
      </c>
      <c r="B4963" s="1" t="str">
        <f>HYPERLINK("http://interactionplaces.com","interactionplaces.com")</f>
        <v>interactionplaces.com</v>
      </c>
      <c r="C4963" t="s">
        <v>433</v>
      </c>
      <c r="F4963">
        <v>5.2605400958057904E-9</v>
      </c>
      <c r="G4963">
        <v>24096052</v>
      </c>
      <c r="H4963">
        <v>9746493</v>
      </c>
      <c r="I4963">
        <v>63009362</v>
      </c>
      <c r="J4963">
        <v>2</v>
      </c>
    </row>
    <row r="4964" spans="1:10" x14ac:dyDescent="0.25">
      <c r="A4964" t="s">
        <v>45</v>
      </c>
      <c r="B4964" s="1" t="str">
        <f>HYPERLINK("http://isra-parsytec.com","isra-parsytec.com")</f>
        <v>isra-parsytec.com</v>
      </c>
      <c r="C4964" t="s">
        <v>433</v>
      </c>
      <c r="F4964">
        <v>1.15481363285382E-8</v>
      </c>
      <c r="G4964">
        <v>5470225</v>
      </c>
      <c r="H4964">
        <v>10251760</v>
      </c>
      <c r="I4964">
        <v>58655730</v>
      </c>
      <c r="J4964">
        <v>3</v>
      </c>
    </row>
    <row r="4965" spans="1:10" x14ac:dyDescent="0.25">
      <c r="A4965" t="s">
        <v>45</v>
      </c>
      <c r="B4965" s="1" t="str">
        <f>HYPERLINK("http://isravision.com","isravision.com")</f>
        <v>isravision.com</v>
      </c>
      <c r="C4965" t="s">
        <v>433</v>
      </c>
      <c r="E4965">
        <v>744111</v>
      </c>
      <c r="F4965">
        <v>8.6565765127228707E-8</v>
      </c>
      <c r="G4965">
        <v>474794</v>
      </c>
      <c r="H4965">
        <v>13809407</v>
      </c>
      <c r="I4965">
        <v>6215902</v>
      </c>
      <c r="J4965">
        <v>6</v>
      </c>
    </row>
    <row r="4966" spans="1:10" x14ac:dyDescent="0.25">
      <c r="A4966" t="s">
        <v>45</v>
      </c>
      <c r="B4966" s="1" t="str">
        <f>HYPERLINK("http://leybold.com","leybold.com")</f>
        <v>leybold.com</v>
      </c>
      <c r="C4966" t="s">
        <v>433</v>
      </c>
      <c r="E4966">
        <v>503917</v>
      </c>
      <c r="F4966">
        <v>1.13996241137884E-7</v>
      </c>
      <c r="G4966">
        <v>349446</v>
      </c>
      <c r="H4966">
        <v>14678156</v>
      </c>
      <c r="I4966">
        <v>609905</v>
      </c>
      <c r="J4966">
        <v>2</v>
      </c>
    </row>
    <row r="4967" spans="1:10" x14ac:dyDescent="0.25">
      <c r="A4967" t="s">
        <v>45</v>
      </c>
      <c r="B4967" s="1" t="str">
        <f>HYPERLINK("http://mark-compressors.com","mark-compressors.com")</f>
        <v>mark-compressors.com</v>
      </c>
      <c r="C4967" t="s">
        <v>433</v>
      </c>
      <c r="F4967">
        <v>1.8894240692017002E-8</v>
      </c>
      <c r="G4967">
        <v>2854490</v>
      </c>
      <c r="H4967">
        <v>12515742</v>
      </c>
      <c r="I4967">
        <v>17187846</v>
      </c>
      <c r="J4967">
        <v>2</v>
      </c>
    </row>
    <row r="4968" spans="1:10" x14ac:dyDescent="0.25">
      <c r="A4968" t="s">
        <v>45</v>
      </c>
      <c r="B4968" s="1" t="str">
        <f>HYPERLINK("http://mauguiere.com","mauguiere.com")</f>
        <v>mauguiere.com</v>
      </c>
      <c r="C4968" t="s">
        <v>433</v>
      </c>
      <c r="F4968">
        <v>5.9614559859848003E-9</v>
      </c>
      <c r="G4968">
        <v>16936068</v>
      </c>
      <c r="H4968">
        <v>12234739</v>
      </c>
      <c r="I4968">
        <v>22384936</v>
      </c>
      <c r="J4968">
        <v>2</v>
      </c>
    </row>
    <row r="4969" spans="1:10" x14ac:dyDescent="0.25">
      <c r="A4969" t="s">
        <v>45</v>
      </c>
      <c r="B4969" s="1" t="str">
        <f>HYPERLINK("http://midsouthmach.com","midsouthmach.com")</f>
        <v>midsouthmach.com</v>
      </c>
      <c r="C4969" t="s">
        <v>433</v>
      </c>
      <c r="F4969">
        <v>4.9167554597845202E-9</v>
      </c>
      <c r="G4969">
        <v>31801952</v>
      </c>
      <c r="H4969">
        <v>10517646</v>
      </c>
      <c r="I4969">
        <v>49148910</v>
      </c>
      <c r="J4969">
        <v>2</v>
      </c>
    </row>
    <row r="4970" spans="1:10" x14ac:dyDescent="0.25">
      <c r="A4970" t="s">
        <v>45</v>
      </c>
      <c r="B4970" s="1" t="str">
        <f>HYPERLINK("http://montanainstruments.com","montanainstruments.com")</f>
        <v>montanainstruments.com</v>
      </c>
      <c r="C4970" t="s">
        <v>433</v>
      </c>
      <c r="F4970">
        <v>2.4484304813837601E-8</v>
      </c>
      <c r="G4970">
        <v>2116079</v>
      </c>
      <c r="H4970">
        <v>13485626</v>
      </c>
      <c r="I4970">
        <v>9995823</v>
      </c>
      <c r="J4970">
        <v>3</v>
      </c>
    </row>
    <row r="4971" spans="1:10" x14ac:dyDescent="0.25">
      <c r="A4971" t="s">
        <v>45</v>
      </c>
      <c r="B4971" s="1" t="str">
        <f>HYPERLINK("http://multiairbelux.com","multiairbelux.com")</f>
        <v>multiairbelux.com</v>
      </c>
      <c r="C4971" t="s">
        <v>433</v>
      </c>
      <c r="F4971">
        <v>5.48544553724327E-9</v>
      </c>
      <c r="G4971">
        <v>21066070</v>
      </c>
      <c r="H4971">
        <v>9812963</v>
      </c>
      <c r="I4971">
        <v>62501374</v>
      </c>
      <c r="J4971">
        <v>2</v>
      </c>
    </row>
    <row r="4972" spans="1:10" x14ac:dyDescent="0.25">
      <c r="A4972" t="s">
        <v>45</v>
      </c>
      <c r="B4972" s="1" t="str">
        <f>HYPERLINK("http://mustangairservices.com","mustangairservices.com")</f>
        <v>mustangairservices.com</v>
      </c>
      <c r="C4972" t="s">
        <v>433</v>
      </c>
      <c r="F4972">
        <v>1.2828291106215899E-8</v>
      </c>
      <c r="G4972">
        <v>4714770</v>
      </c>
      <c r="H4972">
        <v>9023560</v>
      </c>
      <c r="I4972">
        <v>68847408</v>
      </c>
      <c r="J4972">
        <v>2</v>
      </c>
    </row>
    <row r="4973" spans="1:10" x14ac:dyDescent="0.25">
      <c r="A4973" t="s">
        <v>45</v>
      </c>
      <c r="B4973" s="1" t="str">
        <f>HYPERLINK("http://mymedgas.com","mymedgas.com")</f>
        <v>mymedgas.com</v>
      </c>
      <c r="C4973" t="s">
        <v>433</v>
      </c>
      <c r="F4973">
        <v>5.1890320445844002E-9</v>
      </c>
      <c r="G4973">
        <v>25353314</v>
      </c>
      <c r="H4973">
        <v>9892632</v>
      </c>
      <c r="I4973">
        <v>61739953</v>
      </c>
      <c r="J4973">
        <v>2</v>
      </c>
    </row>
    <row r="4974" spans="1:10" x14ac:dyDescent="0.25">
      <c r="A4974" t="s">
        <v>45</v>
      </c>
      <c r="B4974" s="1" t="str">
        <f>HYPERLINK("http://n-psi.com","n-psi.com")</f>
        <v>n-psi.com</v>
      </c>
      <c r="C4974" t="s">
        <v>433</v>
      </c>
      <c r="F4974">
        <v>1.8667510704732601E-8</v>
      </c>
      <c r="G4974">
        <v>2895246</v>
      </c>
      <c r="H4974">
        <v>12493920</v>
      </c>
      <c r="I4974">
        <v>17437505</v>
      </c>
      <c r="J4974">
        <v>4</v>
      </c>
    </row>
    <row r="4975" spans="1:10" x14ac:dyDescent="0.25">
      <c r="A4975" t="s">
        <v>45</v>
      </c>
      <c r="B4975" s="1" t="str">
        <f>HYPERLINK("http://p-mgs.com","p-mgs.com")</f>
        <v>p-mgs.com</v>
      </c>
      <c r="C4975" t="s">
        <v>433</v>
      </c>
      <c r="F4975">
        <v>9.2590213079911294E-9</v>
      </c>
      <c r="G4975">
        <v>7626627</v>
      </c>
      <c r="H4975">
        <v>11520100</v>
      </c>
      <c r="I4975">
        <v>30003593</v>
      </c>
      <c r="J4975">
        <v>2</v>
      </c>
    </row>
    <row r="4976" spans="1:10" x14ac:dyDescent="0.25">
      <c r="A4976" t="s">
        <v>45</v>
      </c>
      <c r="B4976" s="1" t="str">
        <f>HYPERLINK("http://perceptron.com","perceptron.com")</f>
        <v>perceptron.com</v>
      </c>
      <c r="C4976" t="s">
        <v>433</v>
      </c>
      <c r="F4976">
        <v>2.47316000100021E-8</v>
      </c>
      <c r="G4976">
        <v>2091526</v>
      </c>
      <c r="H4976">
        <v>13252817</v>
      </c>
      <c r="I4976">
        <v>11069862</v>
      </c>
      <c r="J4976">
        <v>3</v>
      </c>
    </row>
    <row r="4977" spans="1:10" x14ac:dyDescent="0.25">
      <c r="A4977" t="s">
        <v>45</v>
      </c>
      <c r="B4977" s="1" t="str">
        <f>HYPERLINK("http://photonfocus.com","photonfocus.com")</f>
        <v>photonfocus.com</v>
      </c>
      <c r="C4977" t="s">
        <v>433</v>
      </c>
      <c r="F4977">
        <v>3.5684986288203298E-8</v>
      </c>
      <c r="G4977">
        <v>1459764</v>
      </c>
      <c r="H4977">
        <v>14181312</v>
      </c>
      <c r="I4977">
        <v>1779026</v>
      </c>
      <c r="J4977">
        <v>3</v>
      </c>
    </row>
    <row r="4978" spans="1:10" x14ac:dyDescent="0.25">
      <c r="A4978" t="s">
        <v>45</v>
      </c>
      <c r="B4978" s="1" t="str">
        <f>HYPERLINK("http://pneumatech.com","pneumatech.com")</f>
        <v>pneumatech.com</v>
      </c>
      <c r="C4978" t="s">
        <v>433</v>
      </c>
      <c r="F4978">
        <v>2.51624445173822E-8</v>
      </c>
      <c r="G4978">
        <v>2052193</v>
      </c>
      <c r="H4978">
        <v>13938850</v>
      </c>
      <c r="I4978">
        <v>4411449</v>
      </c>
      <c r="J4978">
        <v>2</v>
      </c>
    </row>
    <row r="4979" spans="1:10" x14ac:dyDescent="0.25">
      <c r="A4979" t="s">
        <v>45</v>
      </c>
      <c r="B4979" s="1" t="str">
        <f>HYPERLINK("http://powerhouse.com","powerhouse.com")</f>
        <v>powerhouse.com</v>
      </c>
      <c r="C4979" t="s">
        <v>433</v>
      </c>
      <c r="F4979">
        <v>1.93177210073492E-8</v>
      </c>
      <c r="G4979">
        <v>2779267</v>
      </c>
      <c r="H4979">
        <v>13789776</v>
      </c>
      <c r="I4979">
        <v>6352643</v>
      </c>
      <c r="J4979">
        <v>2</v>
      </c>
    </row>
    <row r="4980" spans="1:10" x14ac:dyDescent="0.25">
      <c r="A4980" t="s">
        <v>45</v>
      </c>
      <c r="B4980" s="1" t="str">
        <f>HYPERLINK("http://puska.com","puska.com")</f>
        <v>puska.com</v>
      </c>
      <c r="C4980" t="s">
        <v>433</v>
      </c>
      <c r="F4980">
        <v>1.44878245447799E-8</v>
      </c>
      <c r="G4980">
        <v>4026741</v>
      </c>
      <c r="H4980">
        <v>11843302</v>
      </c>
      <c r="I4980">
        <v>29808042</v>
      </c>
      <c r="J4980">
        <v>2</v>
      </c>
    </row>
    <row r="4981" spans="1:10" x14ac:dyDescent="0.25">
      <c r="A4981" t="s">
        <v>45</v>
      </c>
      <c r="B4981" s="1" t="str">
        <f>HYPERLINK("http://quincycompressor.com","quincycompressor.com")</f>
        <v>quincycompressor.com</v>
      </c>
      <c r="C4981" t="s">
        <v>433</v>
      </c>
      <c r="E4981">
        <v>286299</v>
      </c>
      <c r="F4981">
        <v>1.6919832729260901E-7</v>
      </c>
      <c r="G4981">
        <v>229262</v>
      </c>
      <c r="H4981">
        <v>14839793</v>
      </c>
      <c r="I4981">
        <v>497922</v>
      </c>
      <c r="J4981">
        <v>3</v>
      </c>
    </row>
    <row r="4982" spans="1:10" x14ac:dyDescent="0.25">
      <c r="A4982" t="s">
        <v>45</v>
      </c>
      <c r="B4982" s="1" t="str">
        <f>HYPERLINK("http://rapidtorc.com","rapidtorc.com")</f>
        <v>rapidtorc.com</v>
      </c>
      <c r="C4982" t="s">
        <v>433</v>
      </c>
      <c r="F4982">
        <v>5.3555532829197097E-9</v>
      </c>
      <c r="G4982">
        <v>22727252</v>
      </c>
      <c r="H4982">
        <v>11987916</v>
      </c>
      <c r="I4982">
        <v>28406456</v>
      </c>
      <c r="J4982">
        <v>10</v>
      </c>
    </row>
    <row r="4983" spans="1:10" x14ac:dyDescent="0.25">
      <c r="A4983" t="s">
        <v>45</v>
      </c>
      <c r="B4983" s="1" t="str">
        <f>HYPERLINK("http://rentalairdryers.com","rentalairdryers.com")</f>
        <v>rentalairdryers.com</v>
      </c>
      <c r="C4983" t="s">
        <v>433</v>
      </c>
      <c r="F4983">
        <v>9.8641010605245496E-9</v>
      </c>
      <c r="G4983">
        <v>6898087</v>
      </c>
      <c r="H4983">
        <v>11537795</v>
      </c>
      <c r="I4983">
        <v>29980913</v>
      </c>
      <c r="J4983">
        <v>2</v>
      </c>
    </row>
    <row r="4984" spans="1:10" x14ac:dyDescent="0.25">
      <c r="A4984" t="s">
        <v>45</v>
      </c>
      <c r="B4984" s="1" t="str">
        <f>HYPERLINK("http://rodcraft.com","rodcraft.com")</f>
        <v>rodcraft.com</v>
      </c>
      <c r="C4984" t="s">
        <v>433</v>
      </c>
      <c r="F4984">
        <v>7.6895490161841995E-8</v>
      </c>
      <c r="G4984">
        <v>544844</v>
      </c>
      <c r="H4984">
        <v>12647128</v>
      </c>
      <c r="I4984">
        <v>15819738</v>
      </c>
      <c r="J4984">
        <v>2</v>
      </c>
    </row>
    <row r="4985" spans="1:10" x14ac:dyDescent="0.25">
      <c r="A4985" t="s">
        <v>45</v>
      </c>
      <c r="B4985" s="1" t="str">
        <f>HYPERLINK("http://schneider-airsystems.com","schneider-airsystems.com")</f>
        <v>schneider-airsystems.com</v>
      </c>
      <c r="C4985" t="s">
        <v>433</v>
      </c>
      <c r="F4985">
        <v>1.47788082935013E-8</v>
      </c>
      <c r="G4985">
        <v>3914426</v>
      </c>
      <c r="H4985">
        <v>11531032</v>
      </c>
      <c r="I4985">
        <v>29992121</v>
      </c>
      <c r="J4985">
        <v>2</v>
      </c>
    </row>
    <row r="4986" spans="1:10" x14ac:dyDescent="0.25">
      <c r="A4986" t="s">
        <v>45</v>
      </c>
      <c r="B4986" s="1" t="str">
        <f>HYPERLINK("http://soft2tec.com","soft2tec.com")</f>
        <v>soft2tec.com</v>
      </c>
      <c r="C4986" t="s">
        <v>433</v>
      </c>
      <c r="F4986">
        <v>5.30120532448088E-8</v>
      </c>
      <c r="G4986">
        <v>859121</v>
      </c>
      <c r="H4986">
        <v>12654407</v>
      </c>
      <c r="I4986">
        <v>15771583</v>
      </c>
      <c r="J4986">
        <v>6</v>
      </c>
    </row>
    <row r="4987" spans="1:10" x14ac:dyDescent="0.25">
      <c r="A4987" t="s">
        <v>45</v>
      </c>
      <c r="B4987" s="1" t="str">
        <f>HYPERLINK("http://sogimair.com","sogimair.com")</f>
        <v>sogimair.com</v>
      </c>
      <c r="C4987" t="s">
        <v>433</v>
      </c>
      <c r="F4987">
        <v>5.002957002323E-9</v>
      </c>
      <c r="G4987">
        <v>29339451</v>
      </c>
      <c r="H4987">
        <v>8449763</v>
      </c>
      <c r="I4987">
        <v>72593176</v>
      </c>
      <c r="J4987">
        <v>2</v>
      </c>
    </row>
    <row r="4988" spans="1:10" x14ac:dyDescent="0.25">
      <c r="A4988" t="s">
        <v>45</v>
      </c>
      <c r="B4988" s="1" t="str">
        <f>HYPERLINK("http://touchdmis.com","touchdmis.com")</f>
        <v>touchdmis.com</v>
      </c>
      <c r="C4988" t="s">
        <v>433</v>
      </c>
      <c r="F4988">
        <v>5.8150321760634501E-9</v>
      </c>
      <c r="G4988">
        <v>17975370</v>
      </c>
      <c r="H4988">
        <v>10993112</v>
      </c>
      <c r="I4988">
        <v>33695511</v>
      </c>
      <c r="J4988">
        <v>3</v>
      </c>
    </row>
    <row r="4989" spans="1:10" x14ac:dyDescent="0.25">
      <c r="A4989" t="s">
        <v>45</v>
      </c>
      <c r="B4989" s="1" t="str">
        <f>HYPERLINK("http://vision-experts.com","vision-experts.com")</f>
        <v>vision-experts.com</v>
      </c>
      <c r="C4989" t="s">
        <v>433</v>
      </c>
      <c r="F4989">
        <v>4.49402922107243E-9</v>
      </c>
      <c r="G4989">
        <v>59855960</v>
      </c>
      <c r="H4989">
        <v>10914628</v>
      </c>
      <c r="I4989">
        <v>35523453</v>
      </c>
      <c r="J4989">
        <v>3</v>
      </c>
    </row>
    <row r="4990" spans="1:10" x14ac:dyDescent="0.25">
      <c r="A4990" t="s">
        <v>45</v>
      </c>
      <c r="B4990" s="1" t="str">
        <f>HYPERLINK("http://walkerfiltration.com","walkerfiltration.com")</f>
        <v>walkerfiltration.com</v>
      </c>
      <c r="C4990" t="s">
        <v>433</v>
      </c>
      <c r="F4990">
        <v>1.6910410684360199E-8</v>
      </c>
      <c r="G4990">
        <v>3304547</v>
      </c>
      <c r="H4990">
        <v>13362196</v>
      </c>
      <c r="I4990">
        <v>10505026</v>
      </c>
      <c r="J4990">
        <v>7</v>
      </c>
    </row>
    <row r="4991" spans="1:10" x14ac:dyDescent="0.25">
      <c r="A4991" t="s">
        <v>45</v>
      </c>
      <c r="B4991" s="1" t="str">
        <f>HYPERLINK("http://worthington-creyssensac.com","worthington-creyssensac.com")</f>
        <v>worthington-creyssensac.com</v>
      </c>
      <c r="C4991" t="s">
        <v>433</v>
      </c>
      <c r="F4991">
        <v>2.5398518311581301E-8</v>
      </c>
      <c r="G4991">
        <v>2031292</v>
      </c>
      <c r="H4991">
        <v>12454920</v>
      </c>
      <c r="I4991">
        <v>17934395</v>
      </c>
      <c r="J4991">
        <v>2</v>
      </c>
    </row>
    <row r="4992" spans="1:10" x14ac:dyDescent="0.25">
      <c r="A4992" t="s">
        <v>45</v>
      </c>
      <c r="B4992" s="1" t="str">
        <f>HYPERLINK("http://alup.cz","alup.cz")</f>
        <v>alup.cz</v>
      </c>
      <c r="C4992" t="s">
        <v>435</v>
      </c>
      <c r="D4992" t="s">
        <v>814</v>
      </c>
      <c r="F4992">
        <v>5.4062487010559602E-9</v>
      </c>
      <c r="G4992">
        <v>22033361</v>
      </c>
      <c r="H4992">
        <v>10639706</v>
      </c>
      <c r="I4992">
        <v>43772279</v>
      </c>
      <c r="J4992">
        <v>3</v>
      </c>
    </row>
    <row r="4993" spans="1:10" x14ac:dyDescent="0.25">
      <c r="A4993" t="s">
        <v>45</v>
      </c>
      <c r="B4993" s="1" t="str">
        <f>HYPERLINK("http://kompresorysroubove.cz","kompresorysroubove.cz")</f>
        <v>kompresorysroubove.cz</v>
      </c>
      <c r="C4993" t="s">
        <v>435</v>
      </c>
      <c r="D4993" t="s">
        <v>814</v>
      </c>
      <c r="J4993">
        <v>3</v>
      </c>
    </row>
    <row r="4994" spans="1:10" x14ac:dyDescent="0.25">
      <c r="A4994" t="s">
        <v>45</v>
      </c>
      <c r="B4994" s="1" t="str">
        <f>HYPERLINK("http://schneider-airsystems.cz","schneider-airsystems.cz")</f>
        <v>schneider-airsystems.cz</v>
      </c>
      <c r="C4994" t="s">
        <v>435</v>
      </c>
      <c r="D4994" t="s">
        <v>814</v>
      </c>
      <c r="F4994">
        <v>1.02403157803455E-8</v>
      </c>
      <c r="G4994">
        <v>6507783</v>
      </c>
      <c r="H4994">
        <v>10599593</v>
      </c>
      <c r="I4994">
        <v>44920987</v>
      </c>
      <c r="J4994">
        <v>2</v>
      </c>
    </row>
    <row r="4995" spans="1:10" x14ac:dyDescent="0.25">
      <c r="A4995" t="s">
        <v>45</v>
      </c>
      <c r="B4995" s="1" t="str">
        <f>HYPERLINK("http://3d-shape.de","3d-shape.de")</f>
        <v>3d-shape.de</v>
      </c>
      <c r="C4995" t="s">
        <v>436</v>
      </c>
      <c r="D4995" t="s">
        <v>815</v>
      </c>
      <c r="F4995">
        <v>4.4529254203381598E-9</v>
      </c>
      <c r="G4995">
        <v>70378365</v>
      </c>
      <c r="H4995">
        <v>6632347</v>
      </c>
      <c r="I4995">
        <v>77262017</v>
      </c>
      <c r="J4995">
        <v>3</v>
      </c>
    </row>
    <row r="4996" spans="1:10" x14ac:dyDescent="0.25">
      <c r="A4996" t="s">
        <v>45</v>
      </c>
      <c r="B4996" s="1" t="str">
        <f>HYPERLINK("http://agre.de","agre.de")</f>
        <v>agre.de</v>
      </c>
      <c r="C4996" t="s">
        <v>436</v>
      </c>
      <c r="D4996" t="s">
        <v>815</v>
      </c>
      <c r="F4996">
        <v>1.17684539710273E-8</v>
      </c>
      <c r="G4996">
        <v>5321857</v>
      </c>
      <c r="H4996">
        <v>11523343</v>
      </c>
      <c r="I4996">
        <v>29999272</v>
      </c>
      <c r="J4996">
        <v>2</v>
      </c>
    </row>
    <row r="4997" spans="1:10" x14ac:dyDescent="0.25">
      <c r="A4997" t="s">
        <v>45</v>
      </c>
      <c r="B4997" s="1" t="str">
        <f>HYPERLINK("http://arpuma.de","arpuma.de")</f>
        <v>arpuma.de</v>
      </c>
      <c r="C4997" t="s">
        <v>436</v>
      </c>
      <c r="D4997" t="s">
        <v>815</v>
      </c>
      <c r="F4997">
        <v>6.1216992248768798E-9</v>
      </c>
      <c r="G4997">
        <v>15970602</v>
      </c>
      <c r="H4997">
        <v>10097605</v>
      </c>
      <c r="I4997">
        <v>59912714</v>
      </c>
      <c r="J4997">
        <v>3</v>
      </c>
    </row>
    <row r="4998" spans="1:10" x14ac:dyDescent="0.25">
      <c r="A4998" t="s">
        <v>45</v>
      </c>
      <c r="B4998" s="1" t="str">
        <f>HYPERLINK("http://atlascopco.de","atlascopco.de")</f>
        <v>atlascopco.de</v>
      </c>
      <c r="C4998" t="s">
        <v>436</v>
      </c>
      <c r="D4998" t="s">
        <v>815</v>
      </c>
      <c r="F4998">
        <v>2.9635788797369801E-8</v>
      </c>
      <c r="G4998">
        <v>1737217</v>
      </c>
      <c r="H4998">
        <v>14076807</v>
      </c>
      <c r="I4998">
        <v>2879537</v>
      </c>
      <c r="J4998">
        <v>2</v>
      </c>
    </row>
    <row r="4999" spans="1:10" x14ac:dyDescent="0.25">
      <c r="A4999" t="s">
        <v>45</v>
      </c>
      <c r="B4999" s="1" t="str">
        <f>HYPERLINK("http://desoutter.de","desoutter.de")</f>
        <v>desoutter.de</v>
      </c>
      <c r="C4999" t="s">
        <v>436</v>
      </c>
      <c r="D4999" t="s">
        <v>815</v>
      </c>
      <c r="F4999">
        <v>2.3498641621302199E-8</v>
      </c>
      <c r="G4999">
        <v>2214896</v>
      </c>
      <c r="H4999">
        <v>14095151</v>
      </c>
      <c r="I4999">
        <v>2730021</v>
      </c>
      <c r="J4999">
        <v>3</v>
      </c>
    </row>
    <row r="5000" spans="1:10" x14ac:dyDescent="0.25">
      <c r="A5000" t="s">
        <v>45</v>
      </c>
      <c r="B5000" s="1" t="str">
        <f>HYPERLINK("http://druckluft-fachhandel.de","druckluft-fachhandel.de")</f>
        <v>druckluft-fachhandel.de</v>
      </c>
      <c r="C5000" t="s">
        <v>436</v>
      </c>
      <c r="D5000" t="s">
        <v>815</v>
      </c>
      <c r="F5000">
        <v>2.1584211866902899E-8</v>
      </c>
      <c r="G5000">
        <v>2438494</v>
      </c>
      <c r="H5000">
        <v>14250375</v>
      </c>
      <c r="I5000">
        <v>1446958</v>
      </c>
      <c r="J5000">
        <v>3</v>
      </c>
    </row>
    <row r="5001" spans="1:10" x14ac:dyDescent="0.25">
      <c r="A5001" t="s">
        <v>45</v>
      </c>
      <c r="B5001" s="1" t="str">
        <f>HYPERLINK("http://ehrler-beck.de","ehrler-beck.de")</f>
        <v>ehrler-beck.de</v>
      </c>
      <c r="C5001" t="s">
        <v>436</v>
      </c>
      <c r="D5001" t="s">
        <v>815</v>
      </c>
      <c r="J5001">
        <v>3</v>
      </c>
    </row>
    <row r="5002" spans="1:10" x14ac:dyDescent="0.25">
      <c r="A5002" t="s">
        <v>45</v>
      </c>
      <c r="B5002" s="1" t="str">
        <f>HYPERLINK("http://gpsolar.de","gpsolar.de")</f>
        <v>gpsolar.de</v>
      </c>
      <c r="C5002" t="s">
        <v>436</v>
      </c>
      <c r="D5002" t="s">
        <v>815</v>
      </c>
      <c r="F5002">
        <v>4.95100279365E-9</v>
      </c>
      <c r="G5002">
        <v>30754538</v>
      </c>
      <c r="H5002">
        <v>12229999</v>
      </c>
      <c r="I5002">
        <v>22501835</v>
      </c>
      <c r="J5002">
        <v>3</v>
      </c>
    </row>
    <row r="5003" spans="1:10" x14ac:dyDescent="0.25">
      <c r="A5003" t="s">
        <v>45</v>
      </c>
      <c r="B5003" s="1" t="str">
        <f>HYPERLINK("http://hov.de","hov.de")</f>
        <v>hov.de</v>
      </c>
      <c r="C5003" t="s">
        <v>436</v>
      </c>
      <c r="D5003" t="s">
        <v>815</v>
      </c>
      <c r="F5003">
        <v>4.8331784627907103E-9</v>
      </c>
      <c r="G5003">
        <v>34724570</v>
      </c>
      <c r="H5003">
        <v>10782808</v>
      </c>
      <c r="I5003">
        <v>38807184</v>
      </c>
      <c r="J5003">
        <v>3</v>
      </c>
    </row>
    <row r="5004" spans="1:10" x14ac:dyDescent="0.25">
      <c r="A5004" t="s">
        <v>45</v>
      </c>
      <c r="B5004" s="1" t="str">
        <f>HYPERLINK("http://medgas-technik.de","medgas-technik.de")</f>
        <v>medgas-technik.de</v>
      </c>
      <c r="C5004" t="s">
        <v>436</v>
      </c>
      <c r="D5004" t="s">
        <v>815</v>
      </c>
      <c r="F5004">
        <v>8.8728592755644007E-9</v>
      </c>
      <c r="G5004">
        <v>8187594</v>
      </c>
      <c r="H5004">
        <v>10510316</v>
      </c>
      <c r="I5004">
        <v>49621611</v>
      </c>
      <c r="J5004">
        <v>3</v>
      </c>
    </row>
    <row r="5005" spans="1:10" x14ac:dyDescent="0.25">
      <c r="A5005" t="s">
        <v>45</v>
      </c>
      <c r="B5005" s="1" t="str">
        <f>HYPERLINK("http://n-psi.de","n-psi.de")</f>
        <v>n-psi.de</v>
      </c>
      <c r="C5005" t="s">
        <v>436</v>
      </c>
      <c r="D5005" t="s">
        <v>815</v>
      </c>
      <c r="F5005">
        <v>5.42921688162609E-9</v>
      </c>
      <c r="G5005">
        <v>21750733</v>
      </c>
      <c r="H5005">
        <v>10850713</v>
      </c>
      <c r="I5005">
        <v>36839034</v>
      </c>
      <c r="J5005">
        <v>4</v>
      </c>
    </row>
    <row r="5006" spans="1:10" x14ac:dyDescent="0.25">
      <c r="A5006" t="s">
        <v>45</v>
      </c>
      <c r="B5006" s="1" t="str">
        <f>HYPERLINK("http://parsytec.de","parsytec.de")</f>
        <v>parsytec.de</v>
      </c>
      <c r="C5006" t="s">
        <v>436</v>
      </c>
      <c r="D5006" t="s">
        <v>815</v>
      </c>
      <c r="F5006">
        <v>8.0554324220903501E-9</v>
      </c>
      <c r="G5006">
        <v>9820310</v>
      </c>
      <c r="H5006">
        <v>13119190</v>
      </c>
      <c r="I5006">
        <v>11996776</v>
      </c>
      <c r="J5006">
        <v>3</v>
      </c>
    </row>
    <row r="5007" spans="1:10" x14ac:dyDescent="0.25">
      <c r="A5007" t="s">
        <v>45</v>
      </c>
      <c r="B5007" s="1" t="str">
        <f>HYPERLINK("http://perceptron.de","perceptron.de")</f>
        <v>perceptron.de</v>
      </c>
      <c r="C5007" t="s">
        <v>436</v>
      </c>
      <c r="D5007" t="s">
        <v>815</v>
      </c>
      <c r="F5007">
        <v>5.9737846746331601E-9</v>
      </c>
      <c r="G5007">
        <v>16857738</v>
      </c>
      <c r="H5007">
        <v>10432142</v>
      </c>
      <c r="I5007">
        <v>53069243</v>
      </c>
      <c r="J5007">
        <v>3</v>
      </c>
    </row>
    <row r="5008" spans="1:10" x14ac:dyDescent="0.25">
      <c r="A5008" t="s">
        <v>45</v>
      </c>
      <c r="B5008" s="1" t="str">
        <f>HYPERLINK("http://polymetric.de","polymetric.de")</f>
        <v>polymetric.de</v>
      </c>
      <c r="C5008" t="s">
        <v>436</v>
      </c>
      <c r="D5008" t="s">
        <v>815</v>
      </c>
      <c r="F5008">
        <v>8.3258132428745293E-9</v>
      </c>
      <c r="G5008">
        <v>9198991</v>
      </c>
      <c r="H5008">
        <v>13394518</v>
      </c>
      <c r="I5008">
        <v>10380818</v>
      </c>
      <c r="J5008">
        <v>3</v>
      </c>
    </row>
    <row r="5009" spans="1:10" x14ac:dyDescent="0.25">
      <c r="A5009" t="s">
        <v>45</v>
      </c>
      <c r="B5009" s="1" t="str">
        <f>HYPERLINK("http://schneider-airsystems.de","schneider-airsystems.de")</f>
        <v>schneider-airsystems.de</v>
      </c>
      <c r="C5009" t="s">
        <v>436</v>
      </c>
      <c r="D5009" t="s">
        <v>815</v>
      </c>
      <c r="F5009">
        <v>3.16521889291442E-8</v>
      </c>
      <c r="G5009">
        <v>1630715</v>
      </c>
      <c r="H5009">
        <v>12405411</v>
      </c>
      <c r="I5009">
        <v>18680908</v>
      </c>
      <c r="J5009">
        <v>2</v>
      </c>
    </row>
    <row r="5010" spans="1:10" x14ac:dyDescent="0.25">
      <c r="A5010" t="s">
        <v>45</v>
      </c>
      <c r="B5010" s="1" t="str">
        <f>HYPERLINK("http://soft2tec.de","soft2tec.de")</f>
        <v>soft2tec.de</v>
      </c>
      <c r="C5010" t="s">
        <v>436</v>
      </c>
      <c r="D5010" t="s">
        <v>815</v>
      </c>
      <c r="F5010">
        <v>4.44527202259839E-9</v>
      </c>
      <c r="G5010">
        <v>75450486</v>
      </c>
      <c r="H5010">
        <v>10455748</v>
      </c>
      <c r="I5010">
        <v>51969103</v>
      </c>
      <c r="J5010">
        <v>3</v>
      </c>
    </row>
    <row r="5011" spans="1:10" x14ac:dyDescent="0.25">
      <c r="A5011" t="s">
        <v>45</v>
      </c>
      <c r="B5011" s="1" t="str">
        <f>HYPERLINK("http://reno.dk","reno.dk")</f>
        <v>reno.dk</v>
      </c>
      <c r="C5011" t="s">
        <v>437</v>
      </c>
      <c r="D5011" t="s">
        <v>816</v>
      </c>
      <c r="F5011">
        <v>1.40297419081114E-8</v>
      </c>
      <c r="G5011">
        <v>4191508</v>
      </c>
      <c r="H5011">
        <v>12336601</v>
      </c>
      <c r="I5011">
        <v>20075201</v>
      </c>
      <c r="J5011">
        <v>2</v>
      </c>
    </row>
    <row r="5012" spans="1:10" x14ac:dyDescent="0.25">
      <c r="A5012" t="s">
        <v>45</v>
      </c>
      <c r="B5012" s="1" t="str">
        <f>HYPERLINK("http://reno-ff.dk","reno-ff.dk")</f>
        <v>reno-ff.dk</v>
      </c>
      <c r="C5012" t="s">
        <v>437</v>
      </c>
      <c r="D5012" t="s">
        <v>816</v>
      </c>
      <c r="F5012">
        <v>7.7066977830133701E-9</v>
      </c>
      <c r="G5012">
        <v>10557521</v>
      </c>
      <c r="H5012">
        <v>9607936</v>
      </c>
      <c r="I5012">
        <v>64316565</v>
      </c>
      <c r="J5012">
        <v>3</v>
      </c>
    </row>
    <row r="5013" spans="1:10" x14ac:dyDescent="0.25">
      <c r="A5013" t="s">
        <v>45</v>
      </c>
      <c r="B5013" s="1" t="str">
        <f>HYPERLINK("http://ekomak.eu","ekomak.eu")</f>
        <v>ekomak.eu</v>
      </c>
      <c r="C5013" t="s">
        <v>444</v>
      </c>
      <c r="F5013">
        <v>4.4504858844728897E-9</v>
      </c>
      <c r="G5013">
        <v>71664556</v>
      </c>
      <c r="H5013">
        <v>10538355</v>
      </c>
      <c r="I5013">
        <v>47380118</v>
      </c>
      <c r="J5013">
        <v>3</v>
      </c>
    </row>
    <row r="5014" spans="1:10" x14ac:dyDescent="0.25">
      <c r="A5014" t="s">
        <v>45</v>
      </c>
      <c r="B5014" s="1" t="str">
        <f>HYPERLINK("http://oilfreecompressors.eu","oilfreecompressors.eu")</f>
        <v>oilfreecompressors.eu</v>
      </c>
      <c r="C5014" t="s">
        <v>444</v>
      </c>
      <c r="F5014">
        <v>9.8729689317946904E-9</v>
      </c>
      <c r="G5014">
        <v>6888507</v>
      </c>
      <c r="H5014">
        <v>10460675</v>
      </c>
      <c r="I5014">
        <v>51799000</v>
      </c>
      <c r="J5014">
        <v>2</v>
      </c>
    </row>
    <row r="5015" spans="1:10" x14ac:dyDescent="0.25">
      <c r="A5015" t="s">
        <v>45</v>
      </c>
      <c r="B5015" s="1" t="str">
        <f>HYPERLINK("http://abac-shop.fi","abac-shop.fi")</f>
        <v>abac-shop.fi</v>
      </c>
      <c r="C5015" t="s">
        <v>445</v>
      </c>
      <c r="D5015" t="s">
        <v>823</v>
      </c>
      <c r="J5015">
        <v>2</v>
      </c>
    </row>
    <row r="5016" spans="1:10" x14ac:dyDescent="0.25">
      <c r="A5016" t="s">
        <v>45</v>
      </c>
      <c r="B5016" s="1" t="str">
        <f>HYPERLINK("http://abacaircompressors.fi","abacaircompressors.fi")</f>
        <v>abacaircompressors.fi</v>
      </c>
      <c r="C5016" t="s">
        <v>445</v>
      </c>
      <c r="D5016" t="s">
        <v>823</v>
      </c>
      <c r="J5016">
        <v>2</v>
      </c>
    </row>
    <row r="5017" spans="1:10" x14ac:dyDescent="0.25">
      <c r="A5017" t="s">
        <v>45</v>
      </c>
      <c r="B5017" s="1" t="str">
        <f>HYPERLINK("http://alup.fi","alup.fi")</f>
        <v>alup.fi</v>
      </c>
      <c r="C5017" t="s">
        <v>445</v>
      </c>
      <c r="D5017" t="s">
        <v>823</v>
      </c>
      <c r="J5017">
        <v>2</v>
      </c>
    </row>
    <row r="5018" spans="1:10" x14ac:dyDescent="0.25">
      <c r="A5018" t="s">
        <v>45</v>
      </c>
      <c r="B5018" s="1" t="str">
        <f>HYPERLINK("http://atlascopco.fi","atlascopco.fi")</f>
        <v>atlascopco.fi</v>
      </c>
      <c r="C5018" t="s">
        <v>445</v>
      </c>
      <c r="D5018" t="s">
        <v>823</v>
      </c>
      <c r="F5018">
        <v>6.9761192462496101E-9</v>
      </c>
      <c r="G5018">
        <v>12383061</v>
      </c>
      <c r="H5018">
        <v>10922803</v>
      </c>
      <c r="I5018">
        <v>35217289</v>
      </c>
      <c r="J5018">
        <v>3</v>
      </c>
    </row>
    <row r="5019" spans="1:10" x14ac:dyDescent="0.25">
      <c r="A5019" t="s">
        <v>45</v>
      </c>
      <c r="B5019" s="1" t="str">
        <f>HYPERLINK("http://atlascopcorental.fi","atlascopcorental.fi")</f>
        <v>atlascopcorental.fi</v>
      </c>
      <c r="C5019" t="s">
        <v>445</v>
      </c>
      <c r="D5019" t="s">
        <v>823</v>
      </c>
      <c r="J5019">
        <v>4</v>
      </c>
    </row>
    <row r="5020" spans="1:10" x14ac:dyDescent="0.25">
      <c r="A5020" t="s">
        <v>45</v>
      </c>
      <c r="B5020" s="1" t="str">
        <f>HYPERLINK("http://ceccato.fi","ceccato.fi")</f>
        <v>ceccato.fi</v>
      </c>
      <c r="C5020" t="s">
        <v>445</v>
      </c>
      <c r="D5020" t="s">
        <v>823</v>
      </c>
      <c r="J5020">
        <v>4</v>
      </c>
    </row>
    <row r="5021" spans="1:10" x14ac:dyDescent="0.25">
      <c r="A5021" t="s">
        <v>45</v>
      </c>
      <c r="B5021" s="1" t="str">
        <f>HYPERLINK("http://ceccato-compressors.fi","ceccato-compressors.fi")</f>
        <v>ceccato-compressors.fi</v>
      </c>
      <c r="C5021" t="s">
        <v>445</v>
      </c>
      <c r="D5021" t="s">
        <v>823</v>
      </c>
      <c r="J5021">
        <v>4</v>
      </c>
    </row>
    <row r="5022" spans="1:10" x14ac:dyDescent="0.25">
      <c r="A5022" t="s">
        <v>45</v>
      </c>
      <c r="B5022" s="1" t="str">
        <f>HYPERLINK("http://ceccatocompressors.fi","ceccatocompressors.fi")</f>
        <v>ceccatocompressors.fi</v>
      </c>
      <c r="C5022" t="s">
        <v>445</v>
      </c>
      <c r="D5022" t="s">
        <v>823</v>
      </c>
      <c r="J5022">
        <v>4</v>
      </c>
    </row>
    <row r="5023" spans="1:10" x14ac:dyDescent="0.25">
      <c r="A5023" t="s">
        <v>45</v>
      </c>
      <c r="B5023" s="1" t="str">
        <f>HYPERLINK("http://chicagopneumatic.fi","chicagopneumatic.fi")</f>
        <v>chicagopneumatic.fi</v>
      </c>
      <c r="C5023" t="s">
        <v>445</v>
      </c>
      <c r="D5023" t="s">
        <v>823</v>
      </c>
      <c r="J5023">
        <v>2</v>
      </c>
    </row>
    <row r="5024" spans="1:10" x14ac:dyDescent="0.25">
      <c r="A5024" t="s">
        <v>45</v>
      </c>
      <c r="B5024" s="1" t="str">
        <f>HYPERLINK("http://compressed-air-shop.fi","compressed-air-shop.fi")</f>
        <v>compressed-air-shop.fi</v>
      </c>
      <c r="C5024" t="s">
        <v>445</v>
      </c>
      <c r="D5024" t="s">
        <v>823</v>
      </c>
      <c r="J5024">
        <v>2</v>
      </c>
    </row>
    <row r="5025" spans="1:10" x14ac:dyDescent="0.25">
      <c r="A5025" t="s">
        <v>45</v>
      </c>
      <c r="B5025" s="1" t="str">
        <f>HYPERLINK("http://desouttertools.fi","desouttertools.fi")</f>
        <v>desouttertools.fi</v>
      </c>
      <c r="C5025" t="s">
        <v>445</v>
      </c>
      <c r="D5025" t="s">
        <v>823</v>
      </c>
      <c r="J5025">
        <v>4</v>
      </c>
    </row>
    <row r="5026" spans="1:10" x14ac:dyDescent="0.25">
      <c r="A5026" t="s">
        <v>45</v>
      </c>
      <c r="B5026" s="1" t="str">
        <f>HYPERLINK("http://edmac.fi","edmac.fi")</f>
        <v>edmac.fi</v>
      </c>
      <c r="C5026" t="s">
        <v>445</v>
      </c>
      <c r="D5026" t="s">
        <v>823</v>
      </c>
      <c r="J5026">
        <v>2</v>
      </c>
    </row>
    <row r="5027" spans="1:10" x14ac:dyDescent="0.25">
      <c r="A5027" t="s">
        <v>45</v>
      </c>
      <c r="B5027" s="1" t="str">
        <f>HYPERLINK("http://rodcraft.fi","rodcraft.fi")</f>
        <v>rodcraft.fi</v>
      </c>
      <c r="C5027" t="s">
        <v>445</v>
      </c>
      <c r="D5027" t="s">
        <v>823</v>
      </c>
      <c r="J5027">
        <v>2</v>
      </c>
    </row>
    <row r="5028" spans="1:10" x14ac:dyDescent="0.25">
      <c r="A5028" t="s">
        <v>45</v>
      </c>
      <c r="B5028" s="1" t="str">
        <f>HYPERLINK("http://variscopump.fi","variscopump.fi")</f>
        <v>variscopump.fi</v>
      </c>
      <c r="C5028" t="s">
        <v>445</v>
      </c>
      <c r="D5028" t="s">
        <v>823</v>
      </c>
      <c r="J5028">
        <v>2</v>
      </c>
    </row>
    <row r="5029" spans="1:10" x14ac:dyDescent="0.25">
      <c r="A5029" t="s">
        <v>45</v>
      </c>
      <c r="B5029" s="1" t="str">
        <f>HYPERLINK("http://variscopumps.fi","variscopumps.fi")</f>
        <v>variscopumps.fi</v>
      </c>
      <c r="C5029" t="s">
        <v>445</v>
      </c>
      <c r="D5029" t="s">
        <v>823</v>
      </c>
      <c r="J5029">
        <v>2</v>
      </c>
    </row>
    <row r="5030" spans="1:10" x14ac:dyDescent="0.25">
      <c r="A5030" t="s">
        <v>45</v>
      </c>
      <c r="B5030" s="1" t="str">
        <f>HYPERLINK("http://atlascopco.fr","atlascopco.fr")</f>
        <v>atlascopco.fr</v>
      </c>
      <c r="C5030" t="s">
        <v>446</v>
      </c>
      <c r="D5030" t="s">
        <v>824</v>
      </c>
      <c r="F5030">
        <v>1.09385374896058E-8</v>
      </c>
      <c r="G5030">
        <v>5912450</v>
      </c>
      <c r="H5030">
        <v>13764750</v>
      </c>
      <c r="I5030">
        <v>7198497</v>
      </c>
      <c r="J5030">
        <v>3</v>
      </c>
    </row>
    <row r="5031" spans="1:10" x14ac:dyDescent="0.25">
      <c r="A5031" t="s">
        <v>45</v>
      </c>
      <c r="B5031" s="1" t="str">
        <f>HYPERLINK("http://atlascopco.com.gr","atlascopco.com.gr")</f>
        <v>atlascopco.com.gr</v>
      </c>
      <c r="C5031" t="s">
        <v>447</v>
      </c>
      <c r="D5031" t="s">
        <v>825</v>
      </c>
      <c r="F5031">
        <v>4.6245301795956604E-9</v>
      </c>
      <c r="G5031">
        <v>45806968</v>
      </c>
      <c r="H5031">
        <v>8299633.5</v>
      </c>
      <c r="I5031">
        <v>74376441</v>
      </c>
      <c r="J5031">
        <v>3</v>
      </c>
    </row>
    <row r="5032" spans="1:10" x14ac:dyDescent="0.25">
      <c r="A5032" t="s">
        <v>45</v>
      </c>
      <c r="B5032" s="1" t="str">
        <f>HYPERLINK("http://atlascopco.in","atlascopco.in")</f>
        <v>atlascopco.in</v>
      </c>
      <c r="C5032" t="s">
        <v>457</v>
      </c>
      <c r="D5032" t="s">
        <v>834</v>
      </c>
      <c r="F5032">
        <v>1.0285317076005E-8</v>
      </c>
      <c r="G5032">
        <v>6464720</v>
      </c>
      <c r="H5032">
        <v>13764450</v>
      </c>
      <c r="I5032">
        <v>7264705</v>
      </c>
      <c r="J5032">
        <v>2</v>
      </c>
    </row>
    <row r="5033" spans="1:10" x14ac:dyDescent="0.25">
      <c r="A5033" t="s">
        <v>45</v>
      </c>
      <c r="B5033" s="1" t="str">
        <f>HYPERLINK("http://fiac.it","fiac.it")</f>
        <v>fiac.it</v>
      </c>
      <c r="C5033" t="s">
        <v>459</v>
      </c>
      <c r="D5033" t="s">
        <v>835</v>
      </c>
      <c r="F5033">
        <v>3.4095694288929799E-8</v>
      </c>
      <c r="G5033">
        <v>1519280</v>
      </c>
      <c r="H5033">
        <v>12694992</v>
      </c>
      <c r="I5033">
        <v>15385872</v>
      </c>
      <c r="J5033">
        <v>2</v>
      </c>
    </row>
    <row r="5034" spans="1:10" x14ac:dyDescent="0.25">
      <c r="A5034" t="s">
        <v>45</v>
      </c>
      <c r="B5034" s="1" t="str">
        <f>HYPERLINK("http://fujitools.jp","fujitools.jp")</f>
        <v>fujitools.jp</v>
      </c>
      <c r="C5034" t="s">
        <v>461</v>
      </c>
      <c r="D5034" t="s">
        <v>837</v>
      </c>
      <c r="F5034">
        <v>6.5715970673197498E-9</v>
      </c>
      <c r="G5034">
        <v>13787607</v>
      </c>
      <c r="H5034">
        <v>10408663</v>
      </c>
      <c r="I5034">
        <v>54074519</v>
      </c>
      <c r="J5034">
        <v>3</v>
      </c>
    </row>
    <row r="5035" spans="1:10" x14ac:dyDescent="0.25">
      <c r="A5035" t="s">
        <v>45</v>
      </c>
      <c r="B5035" s="1" t="str">
        <f>HYPERLINK("http://csk.kr","csk.kr")</f>
        <v>csk.kr</v>
      </c>
      <c r="C5035" t="s">
        <v>463</v>
      </c>
      <c r="D5035" t="s">
        <v>839</v>
      </c>
      <c r="F5035">
        <v>9.9399676911848301E-9</v>
      </c>
      <c r="G5035">
        <v>6816757</v>
      </c>
      <c r="H5035">
        <v>12490325</v>
      </c>
      <c r="I5035">
        <v>17485902</v>
      </c>
      <c r="J5035">
        <v>2</v>
      </c>
    </row>
    <row r="5036" spans="1:10" x14ac:dyDescent="0.25">
      <c r="A5036" t="s">
        <v>45</v>
      </c>
      <c r="B5036" s="1" t="str">
        <f>HYPERLINK("http://atlascopco.com.mx","atlascopco.com.mx")</f>
        <v>atlascopco.com.mx</v>
      </c>
      <c r="C5036" t="s">
        <v>471</v>
      </c>
      <c r="D5036" t="s">
        <v>847</v>
      </c>
      <c r="F5036">
        <v>5.6688017214084002E-9</v>
      </c>
      <c r="G5036">
        <v>19226959</v>
      </c>
      <c r="H5036">
        <v>13763872</v>
      </c>
      <c r="I5036">
        <v>7532040</v>
      </c>
      <c r="J5036">
        <v>3</v>
      </c>
    </row>
    <row r="5037" spans="1:10" x14ac:dyDescent="0.25">
      <c r="A5037" t="s">
        <v>45</v>
      </c>
      <c r="B5037" s="1" t="str">
        <f>HYPERLINK("http://atlascopco.com.my","atlascopco.com.my")</f>
        <v>atlascopco.com.my</v>
      </c>
      <c r="C5037" t="s">
        <v>472</v>
      </c>
      <c r="D5037" t="s">
        <v>848</v>
      </c>
      <c r="F5037">
        <v>4.6321277271041203E-9</v>
      </c>
      <c r="G5037">
        <v>45307325</v>
      </c>
      <c r="H5037">
        <v>9000969</v>
      </c>
      <c r="I5037">
        <v>68869455</v>
      </c>
      <c r="J5037">
        <v>3</v>
      </c>
    </row>
    <row r="5038" spans="1:10" x14ac:dyDescent="0.25">
      <c r="A5038" t="s">
        <v>45</v>
      </c>
      <c r="B5038" s="1" t="str">
        <f>HYPERLINK("http://quiss.net","quiss.net")</f>
        <v>quiss.net</v>
      </c>
      <c r="C5038" t="s">
        <v>474</v>
      </c>
      <c r="F5038">
        <v>6.5203449624996997E-9</v>
      </c>
      <c r="G5038">
        <v>13994050</v>
      </c>
      <c r="H5038">
        <v>12599416</v>
      </c>
      <c r="I5038">
        <v>16330355</v>
      </c>
      <c r="J5038">
        <v>3</v>
      </c>
    </row>
    <row r="5039" spans="1:10" x14ac:dyDescent="0.25">
      <c r="A5039" t="s">
        <v>45</v>
      </c>
      <c r="B5039" s="1" t="str">
        <f>HYPERLINK("http://synatec.net","synatec.net")</f>
        <v>synatec.net</v>
      </c>
      <c r="C5039" t="s">
        <v>474</v>
      </c>
      <c r="F5039">
        <v>9.3023733984650301E-9</v>
      </c>
      <c r="G5039">
        <v>7569356</v>
      </c>
      <c r="H5039">
        <v>11019491</v>
      </c>
      <c r="I5039">
        <v>33265548</v>
      </c>
      <c r="J5039">
        <v>3</v>
      </c>
    </row>
    <row r="5040" spans="1:10" x14ac:dyDescent="0.25">
      <c r="A5040" t="s">
        <v>45</v>
      </c>
      <c r="B5040" s="1" t="str">
        <f>HYPERLINK("http://tentec.net","tentec.net")</f>
        <v>tentec.net</v>
      </c>
      <c r="C5040" t="s">
        <v>474</v>
      </c>
      <c r="F5040">
        <v>1.0819238650989E-8</v>
      </c>
      <c r="G5040">
        <v>6005614</v>
      </c>
      <c r="H5040">
        <v>13770269</v>
      </c>
      <c r="I5040">
        <v>6736938</v>
      </c>
      <c r="J5040">
        <v>3</v>
      </c>
    </row>
    <row r="5041" spans="1:10" x14ac:dyDescent="0.25">
      <c r="A5041" t="s">
        <v>45</v>
      </c>
      <c r="B5041" s="1" t="str">
        <f>HYPERLINK("http://water4all.net","water4all.net")</f>
        <v>water4all.net</v>
      </c>
      <c r="C5041" t="s">
        <v>474</v>
      </c>
      <c r="F5041">
        <v>9.8029411915985693E-9</v>
      </c>
      <c r="G5041">
        <v>6965713</v>
      </c>
      <c r="H5041">
        <v>12287144</v>
      </c>
      <c r="I5041">
        <v>21172403</v>
      </c>
      <c r="J5041">
        <v>3</v>
      </c>
    </row>
    <row r="5042" spans="1:10" x14ac:dyDescent="0.25">
      <c r="A5042" t="s">
        <v>45</v>
      </c>
      <c r="B5042" s="1" t="str">
        <f>HYPERLINK("http://alupgrassair.nl","alupgrassair.nl")</f>
        <v>alupgrassair.nl</v>
      </c>
      <c r="C5042" t="s">
        <v>477</v>
      </c>
      <c r="D5042" t="s">
        <v>852</v>
      </c>
      <c r="F5042">
        <v>1.0424093836104801E-8</v>
      </c>
      <c r="G5042">
        <v>6336974</v>
      </c>
      <c r="H5042">
        <v>10743627</v>
      </c>
      <c r="I5042">
        <v>40285899</v>
      </c>
      <c r="J5042">
        <v>2</v>
      </c>
    </row>
    <row r="5043" spans="1:10" x14ac:dyDescent="0.25">
      <c r="A5043" t="s">
        <v>45</v>
      </c>
      <c r="B5043" s="1" t="str">
        <f>HYPERLINK("http://creemers.nl","creemers.nl")</f>
        <v>creemers.nl</v>
      </c>
      <c r="C5043" t="s">
        <v>477</v>
      </c>
      <c r="D5043" t="s">
        <v>852</v>
      </c>
      <c r="F5043">
        <v>1.2491738520336801E-8</v>
      </c>
      <c r="G5043">
        <v>4889791</v>
      </c>
      <c r="H5043">
        <v>11544825</v>
      </c>
      <c r="I5043">
        <v>29974401</v>
      </c>
      <c r="J5043">
        <v>2</v>
      </c>
    </row>
    <row r="5044" spans="1:10" x14ac:dyDescent="0.25">
      <c r="A5044" t="s">
        <v>45</v>
      </c>
      <c r="B5044" s="1" t="str">
        <f>HYPERLINK("http://geveke-werktuigbouw.nl","geveke-werktuigbouw.nl")</f>
        <v>geveke-werktuigbouw.nl</v>
      </c>
      <c r="C5044" t="s">
        <v>477</v>
      </c>
      <c r="D5044" t="s">
        <v>852</v>
      </c>
      <c r="F5044">
        <v>6.36551929363111E-9</v>
      </c>
      <c r="G5044">
        <v>14686984</v>
      </c>
      <c r="H5044">
        <v>10756625</v>
      </c>
      <c r="I5044">
        <v>39761759</v>
      </c>
      <c r="J5044">
        <v>3</v>
      </c>
    </row>
    <row r="5045" spans="1:10" x14ac:dyDescent="0.25">
      <c r="A5045" t="s">
        <v>45</v>
      </c>
      <c r="B5045" s="1" t="str">
        <f>HYPERLINK("http://atlascopco.no","atlascopco.no")</f>
        <v>atlascopco.no</v>
      </c>
      <c r="C5045" t="s">
        <v>478</v>
      </c>
      <c r="D5045" t="s">
        <v>853</v>
      </c>
      <c r="F5045">
        <v>6.5716934036404599E-9</v>
      </c>
      <c r="G5045">
        <v>13787234</v>
      </c>
      <c r="H5045">
        <v>12102879</v>
      </c>
      <c r="I5045">
        <v>25898881</v>
      </c>
      <c r="J5045">
        <v>3</v>
      </c>
    </row>
    <row r="5046" spans="1:10" x14ac:dyDescent="0.25">
      <c r="A5046" t="s">
        <v>45</v>
      </c>
      <c r="B5046" s="1" t="str">
        <f>HYPERLINK("http://berema.no","berema.no")</f>
        <v>berema.no</v>
      </c>
      <c r="C5046" t="s">
        <v>478</v>
      </c>
      <c r="D5046" t="s">
        <v>853</v>
      </c>
      <c r="F5046">
        <v>2.72511367793566E-8</v>
      </c>
      <c r="G5046">
        <v>1886674</v>
      </c>
      <c r="H5046">
        <v>12344524</v>
      </c>
      <c r="I5046">
        <v>19861019</v>
      </c>
      <c r="J5046">
        <v>3</v>
      </c>
    </row>
    <row r="5047" spans="1:10" x14ac:dyDescent="0.25">
      <c r="A5047" t="s">
        <v>45</v>
      </c>
      <c r="B5047" s="1" t="str">
        <f>HYPERLINK("http://intermech.co.nz","intermech.co.nz")</f>
        <v>intermech.co.nz</v>
      </c>
      <c r="C5047" t="s">
        <v>479</v>
      </c>
      <c r="D5047" t="s">
        <v>854</v>
      </c>
      <c r="F5047">
        <v>5.1559452755405802E-9</v>
      </c>
      <c r="G5047">
        <v>25971702</v>
      </c>
      <c r="H5047">
        <v>10984695</v>
      </c>
      <c r="I5047">
        <v>33845532</v>
      </c>
      <c r="J5047">
        <v>5</v>
      </c>
    </row>
    <row r="5048" spans="1:10" x14ac:dyDescent="0.25">
      <c r="A5048" t="s">
        <v>45</v>
      </c>
      <c r="B5048" s="1" t="str">
        <f>HYPERLINK("http://productivemn.org","productivemn.org")</f>
        <v>productivemn.org</v>
      </c>
      <c r="C5048" t="s">
        <v>481</v>
      </c>
      <c r="F5048">
        <v>6.5856965063557202E-9</v>
      </c>
      <c r="G5048">
        <v>13731907</v>
      </c>
      <c r="H5048">
        <v>12354403</v>
      </c>
      <c r="I5048">
        <v>19689806</v>
      </c>
      <c r="J5048">
        <v>4</v>
      </c>
    </row>
    <row r="5049" spans="1:10" x14ac:dyDescent="0.25">
      <c r="A5049" t="s">
        <v>45</v>
      </c>
      <c r="B5049" s="1" t="str">
        <f>HYPERLINK("http://water4all.org","water4all.org")</f>
        <v>water4all.org</v>
      </c>
      <c r="C5049" t="s">
        <v>481</v>
      </c>
      <c r="F5049">
        <v>4.8577449248421601E-8</v>
      </c>
      <c r="G5049">
        <v>954709</v>
      </c>
      <c r="H5049">
        <v>14073253</v>
      </c>
      <c r="I5049">
        <v>3006455</v>
      </c>
      <c r="J5049">
        <v>2</v>
      </c>
    </row>
    <row r="5050" spans="1:10" x14ac:dyDescent="0.25">
      <c r="A5050" t="s">
        <v>45</v>
      </c>
      <c r="B5050" s="1" t="str">
        <f>HYPERLINK("http://atlascopco.pl","atlascopco.pl")</f>
        <v>atlascopco.pl</v>
      </c>
      <c r="C5050" t="s">
        <v>486</v>
      </c>
      <c r="D5050" t="s">
        <v>860</v>
      </c>
      <c r="F5050">
        <v>6.3701729866667599E-9</v>
      </c>
      <c r="G5050">
        <v>14665305</v>
      </c>
      <c r="H5050">
        <v>12105561</v>
      </c>
      <c r="I5050">
        <v>25835031</v>
      </c>
      <c r="J5050">
        <v>2</v>
      </c>
    </row>
    <row r="5051" spans="1:10" x14ac:dyDescent="0.25">
      <c r="A5051" t="s">
        <v>45</v>
      </c>
      <c r="B5051" s="1" t="str">
        <f>HYPERLINK("http://atlascopco.ro","atlascopco.ro")</f>
        <v>atlascopco.ro</v>
      </c>
      <c r="C5051" t="s">
        <v>491</v>
      </c>
      <c r="D5051" t="s">
        <v>865</v>
      </c>
      <c r="F5051">
        <v>4.60701767704661E-9</v>
      </c>
      <c r="G5051">
        <v>47081322</v>
      </c>
      <c r="H5051">
        <v>10635429</v>
      </c>
      <c r="I5051">
        <v>43862547</v>
      </c>
      <c r="J5051">
        <v>3</v>
      </c>
    </row>
    <row r="5052" spans="1:10" x14ac:dyDescent="0.25">
      <c r="A5052" t="s">
        <v>45</v>
      </c>
      <c r="B5052" s="1" t="str">
        <f>HYPERLINK("http://atlascopco.ru","atlascopco.ru")</f>
        <v>atlascopco.ru</v>
      </c>
      <c r="C5052" t="s">
        <v>493</v>
      </c>
      <c r="D5052" t="s">
        <v>867</v>
      </c>
      <c r="F5052">
        <v>1.9970197121207701E-8</v>
      </c>
      <c r="G5052">
        <v>2663820</v>
      </c>
      <c r="H5052">
        <v>14077989</v>
      </c>
      <c r="I5052">
        <v>2854649</v>
      </c>
      <c r="J5052">
        <v>2</v>
      </c>
    </row>
    <row r="5053" spans="1:10" x14ac:dyDescent="0.25">
      <c r="A5053" t="s">
        <v>45</v>
      </c>
      <c r="B5053" s="1" t="str">
        <f>HYPERLINK("http://chicagopneumatic.ru","chicagopneumatic.ru")</f>
        <v>chicagopneumatic.ru</v>
      </c>
      <c r="C5053" t="s">
        <v>493</v>
      </c>
      <c r="D5053" t="s">
        <v>867</v>
      </c>
      <c r="F5053">
        <v>6.3010732556049202E-9</v>
      </c>
      <c r="G5053">
        <v>15026386</v>
      </c>
      <c r="H5053">
        <v>10943379</v>
      </c>
      <c r="I5053">
        <v>34742027</v>
      </c>
      <c r="J5053">
        <v>4</v>
      </c>
    </row>
    <row r="5054" spans="1:10" x14ac:dyDescent="0.25">
      <c r="A5054" t="s">
        <v>45</v>
      </c>
      <c r="B5054" s="1" t="str">
        <f>HYPERLINK("http://fujitools.ru","fujitools.ru")</f>
        <v>fujitools.ru</v>
      </c>
      <c r="C5054" t="s">
        <v>493</v>
      </c>
      <c r="D5054" t="s">
        <v>867</v>
      </c>
      <c r="F5054">
        <v>6.0453058707607796E-9</v>
      </c>
      <c r="G5054">
        <v>16410063</v>
      </c>
      <c r="H5054">
        <v>10345812</v>
      </c>
      <c r="I5054">
        <v>56919361</v>
      </c>
      <c r="J5054">
        <v>3</v>
      </c>
    </row>
    <row r="5055" spans="1:10" x14ac:dyDescent="0.25">
      <c r="A5055" t="s">
        <v>45</v>
      </c>
      <c r="B5055" s="1" t="str">
        <f>HYPERLINK("http://leybold.ru","leybold.ru")</f>
        <v>leybold.ru</v>
      </c>
      <c r="C5055" t="s">
        <v>493</v>
      </c>
      <c r="D5055" t="s">
        <v>867</v>
      </c>
      <c r="F5055">
        <v>7.2906102129823197E-9</v>
      </c>
      <c r="G5055">
        <v>11503516</v>
      </c>
      <c r="H5055">
        <v>12227894</v>
      </c>
      <c r="I5055">
        <v>22558073</v>
      </c>
      <c r="J5055">
        <v>3</v>
      </c>
    </row>
    <row r="5056" spans="1:10" x14ac:dyDescent="0.25">
      <c r="A5056" t="s">
        <v>45</v>
      </c>
      <c r="B5056" s="1" t="str">
        <f>HYPERLINK("http://atlascopco.se","atlascopco.se")</f>
        <v>atlascopco.se</v>
      </c>
      <c r="C5056" t="s">
        <v>495</v>
      </c>
      <c r="D5056" t="s">
        <v>869</v>
      </c>
      <c r="F5056">
        <v>2.33018653539931E-8</v>
      </c>
      <c r="G5056">
        <v>2238712</v>
      </c>
      <c r="H5056">
        <v>14242178</v>
      </c>
      <c r="I5056">
        <v>1486159</v>
      </c>
      <c r="J5056">
        <v>3</v>
      </c>
    </row>
    <row r="5057" spans="1:10" x14ac:dyDescent="0.25">
      <c r="A5057" t="s">
        <v>45</v>
      </c>
      <c r="B5057" s="1" t="str">
        <f>HYPERLINK("http://gia.se","gia.se")</f>
        <v>gia.se</v>
      </c>
      <c r="C5057" t="s">
        <v>495</v>
      </c>
      <c r="D5057" t="s">
        <v>869</v>
      </c>
      <c r="F5057">
        <v>6.4251126319594704E-9</v>
      </c>
      <c r="G5057">
        <v>14403581</v>
      </c>
      <c r="H5057">
        <v>14071843</v>
      </c>
      <c r="I5057">
        <v>3296976</v>
      </c>
      <c r="J5057">
        <v>5</v>
      </c>
    </row>
    <row r="5058" spans="1:10" x14ac:dyDescent="0.25">
      <c r="A5058" t="s">
        <v>45</v>
      </c>
      <c r="B5058" s="1" t="str">
        <f>HYPERLINK("http://atlascopco.si","atlascopco.si")</f>
        <v>atlascopco.si</v>
      </c>
      <c r="C5058" t="s">
        <v>497</v>
      </c>
      <c r="D5058" t="s">
        <v>871</v>
      </c>
      <c r="F5058">
        <v>8.2969719516284704E-9</v>
      </c>
      <c r="G5058">
        <v>9267070</v>
      </c>
      <c r="H5058">
        <v>11568852</v>
      </c>
      <c r="I5058">
        <v>29954589</v>
      </c>
      <c r="J5058">
        <v>2</v>
      </c>
    </row>
    <row r="5059" spans="1:10" x14ac:dyDescent="0.25">
      <c r="A5059" t="s">
        <v>45</v>
      </c>
      <c r="B5059" s="1" t="str">
        <f>HYPERLINK("http://schneider-airsystems.sk","schneider-airsystems.sk")</f>
        <v>schneider-airsystems.sk</v>
      </c>
      <c r="C5059" t="s">
        <v>498</v>
      </c>
      <c r="D5059" t="s">
        <v>872</v>
      </c>
      <c r="J5059">
        <v>2</v>
      </c>
    </row>
    <row r="5060" spans="1:10" x14ac:dyDescent="0.25">
      <c r="A5060" t="s">
        <v>45</v>
      </c>
      <c r="B5060" s="1" t="str">
        <f>HYPERLINK("http://desoutter.com.tr","desoutter.com.tr")</f>
        <v>desoutter.com.tr</v>
      </c>
      <c r="C5060" t="s">
        <v>502</v>
      </c>
      <c r="D5060" t="s">
        <v>876</v>
      </c>
      <c r="F5060">
        <v>8.6768753520933705E-9</v>
      </c>
      <c r="G5060">
        <v>8518192</v>
      </c>
      <c r="H5060">
        <v>10548089</v>
      </c>
      <c r="I5060">
        <v>46774245</v>
      </c>
      <c r="J5060">
        <v>4</v>
      </c>
    </row>
    <row r="5061" spans="1:10" x14ac:dyDescent="0.25">
      <c r="A5061" t="s">
        <v>45</v>
      </c>
      <c r="B5061" s="1" t="str">
        <f>HYPERLINK("http://ekomak.com.tr","ekomak.com.tr")</f>
        <v>ekomak.com.tr</v>
      </c>
      <c r="C5061" t="s">
        <v>502</v>
      </c>
      <c r="D5061" t="s">
        <v>876</v>
      </c>
      <c r="F5061">
        <v>6.2917749314753502E-9</v>
      </c>
      <c r="G5061">
        <v>15071272</v>
      </c>
      <c r="H5061">
        <v>10531391</v>
      </c>
      <c r="I5061">
        <v>48140421</v>
      </c>
      <c r="J5061">
        <v>3</v>
      </c>
    </row>
    <row r="5062" spans="1:10" x14ac:dyDescent="0.25">
      <c r="A5062" t="s">
        <v>45</v>
      </c>
      <c r="B5062" s="1" t="str">
        <f>HYPERLINK("http://atlascopco.com.tw","atlascopco.com.tw")</f>
        <v>atlascopco.com.tw</v>
      </c>
      <c r="C5062" t="s">
        <v>504</v>
      </c>
      <c r="D5062" t="s">
        <v>878</v>
      </c>
      <c r="F5062">
        <v>4.6635101076232103E-9</v>
      </c>
      <c r="G5062">
        <v>43314568</v>
      </c>
      <c r="H5062">
        <v>9743343</v>
      </c>
      <c r="I5062">
        <v>63028855</v>
      </c>
      <c r="J5062">
        <v>3</v>
      </c>
    </row>
    <row r="5063" spans="1:10" x14ac:dyDescent="0.25">
      <c r="A5063" t="s">
        <v>45</v>
      </c>
      <c r="B5063" s="1" t="str">
        <f>HYPERLINK("http://atlascopco.co.uk","atlascopco.co.uk")</f>
        <v>atlascopco.co.uk</v>
      </c>
      <c r="C5063" t="s">
        <v>506</v>
      </c>
      <c r="D5063" t="s">
        <v>880</v>
      </c>
      <c r="F5063">
        <v>1.90844732913959E-8</v>
      </c>
      <c r="G5063">
        <v>2820537</v>
      </c>
      <c r="H5063">
        <v>14576994</v>
      </c>
      <c r="I5063">
        <v>719154</v>
      </c>
      <c r="J5063">
        <v>2</v>
      </c>
    </row>
    <row r="5064" spans="1:10" x14ac:dyDescent="0.25">
      <c r="A5064" t="s">
        <v>45</v>
      </c>
      <c r="B5064" s="1" t="str">
        <f>HYPERLINK("http://compressorengineering.co.uk","compressorengineering.co.uk")</f>
        <v>compressorengineering.co.uk</v>
      </c>
      <c r="C5064" t="s">
        <v>506</v>
      </c>
      <c r="D5064" t="s">
        <v>880</v>
      </c>
      <c r="F5064">
        <v>4.45011565471091E-9</v>
      </c>
      <c r="G5064">
        <v>71853591</v>
      </c>
      <c r="H5064">
        <v>10445454</v>
      </c>
      <c r="I5064">
        <v>52214756</v>
      </c>
      <c r="J5064">
        <v>6</v>
      </c>
    </row>
    <row r="5065" spans="1:10" x14ac:dyDescent="0.25">
      <c r="A5065" t="s">
        <v>45</v>
      </c>
      <c r="B5065" s="1" t="str">
        <f>HYPERLINK("http://cooper-freer.co.uk","cooper-freer.co.uk")</f>
        <v>cooper-freer.co.uk</v>
      </c>
      <c r="C5065" t="s">
        <v>506</v>
      </c>
      <c r="D5065" t="s">
        <v>880</v>
      </c>
      <c r="F5065">
        <v>4.4493178378333704E-9</v>
      </c>
      <c r="G5065">
        <v>72304609</v>
      </c>
      <c r="H5065">
        <v>9796459</v>
      </c>
      <c r="I5065">
        <v>62629859</v>
      </c>
      <c r="J5065">
        <v>3</v>
      </c>
    </row>
    <row r="5066" spans="1:10" x14ac:dyDescent="0.25">
      <c r="A5066" t="s">
        <v>45</v>
      </c>
      <c r="B5066" s="1" t="str">
        <f>HYPERLINK("http://n-psi.co.uk","n-psi.co.uk")</f>
        <v>n-psi.co.uk</v>
      </c>
      <c r="C5066" t="s">
        <v>506</v>
      </c>
      <c r="D5066" t="s">
        <v>880</v>
      </c>
      <c r="F5066">
        <v>6.7704183066265304E-9</v>
      </c>
      <c r="G5066">
        <v>13059755</v>
      </c>
      <c r="H5066">
        <v>12428675</v>
      </c>
      <c r="I5066">
        <v>18323171</v>
      </c>
      <c r="J5066">
        <v>3</v>
      </c>
    </row>
    <row r="5067" spans="1:10" x14ac:dyDescent="0.25">
      <c r="A5067" t="s">
        <v>45</v>
      </c>
      <c r="B5067" s="1" t="str">
        <f>HYPERLINK("http://walkerfiltration.co.uk","walkerfiltration.co.uk")</f>
        <v>walkerfiltration.co.uk</v>
      </c>
      <c r="C5067" t="s">
        <v>506</v>
      </c>
      <c r="D5067" t="s">
        <v>880</v>
      </c>
      <c r="F5067">
        <v>6.0808905636693001E-9</v>
      </c>
      <c r="G5067">
        <v>16202451</v>
      </c>
      <c r="H5067">
        <v>13162359</v>
      </c>
      <c r="I5067">
        <v>11774725</v>
      </c>
      <c r="J5067">
        <v>8</v>
      </c>
    </row>
    <row r="5068" spans="1:10" x14ac:dyDescent="0.25">
      <c r="A5068" t="s">
        <v>45</v>
      </c>
      <c r="B5068" s="1" t="str">
        <f>HYPERLINK("http://isocool.ltd.uk","isocool.ltd.uk")</f>
        <v>isocool.ltd.uk</v>
      </c>
      <c r="C5068" t="s">
        <v>506</v>
      </c>
      <c r="D5068" t="s">
        <v>880</v>
      </c>
      <c r="F5068">
        <v>5.03116619918458E-9</v>
      </c>
      <c r="G5068">
        <v>28642139</v>
      </c>
      <c r="H5068">
        <v>10774516</v>
      </c>
      <c r="I5068">
        <v>39090469</v>
      </c>
      <c r="J5068">
        <v>3</v>
      </c>
    </row>
    <row r="5069" spans="1:10" x14ac:dyDescent="0.25">
      <c r="A5069" t="s">
        <v>45</v>
      </c>
      <c r="B5069" s="1" t="str">
        <f>HYPERLINK("http://atlascopco.us","atlascopco.us")</f>
        <v>atlascopco.us</v>
      </c>
      <c r="C5069" t="s">
        <v>522</v>
      </c>
      <c r="D5069" t="s">
        <v>891</v>
      </c>
      <c r="F5069">
        <v>4.2007126735960498E-8</v>
      </c>
      <c r="G5069">
        <v>1165966</v>
      </c>
      <c r="H5069">
        <v>13776369</v>
      </c>
      <c r="I5069">
        <v>6556590</v>
      </c>
      <c r="J5069">
        <v>2</v>
      </c>
    </row>
    <row r="5070" spans="1:10" x14ac:dyDescent="0.25">
      <c r="A5070" t="s">
        <v>45</v>
      </c>
      <c r="B5070" s="1" t="str">
        <f>HYPERLINK("http://atlascopco.com.ve","atlascopco.com.ve")</f>
        <v>atlascopco.com.ve</v>
      </c>
      <c r="C5070" t="s">
        <v>508</v>
      </c>
      <c r="D5070" t="s">
        <v>882</v>
      </c>
      <c r="F5070">
        <v>4.4525683441403104E-9</v>
      </c>
      <c r="G5070">
        <v>70593906</v>
      </c>
      <c r="H5070">
        <v>9380994</v>
      </c>
      <c r="I5070">
        <v>67543764</v>
      </c>
      <c r="J5070">
        <v>3</v>
      </c>
    </row>
    <row r="5071" spans="1:10" x14ac:dyDescent="0.25">
      <c r="A5071" t="s">
        <v>45</v>
      </c>
      <c r="B5071" s="1" t="str">
        <f>HYPERLINK("http://randair.co.za","randair.co.za")</f>
        <v>randair.co.za</v>
      </c>
      <c r="C5071" t="s">
        <v>510</v>
      </c>
      <c r="D5071" t="s">
        <v>884</v>
      </c>
      <c r="F5071">
        <v>9.3434743146956696E-9</v>
      </c>
      <c r="G5071">
        <v>7516841</v>
      </c>
      <c r="H5071">
        <v>12340828</v>
      </c>
      <c r="I5071">
        <v>19989206</v>
      </c>
      <c r="J5071">
        <v>2</v>
      </c>
    </row>
    <row r="5072" spans="1:10" x14ac:dyDescent="0.25">
      <c r="A5072" t="s">
        <v>1592</v>
      </c>
      <c r="B5072" s="1" t="str">
        <f>HYPERLINK("http://atlassian.com.au","atlassian.com.au")</f>
        <v>atlassian.com.au</v>
      </c>
      <c r="C5072" t="s">
        <v>420</v>
      </c>
      <c r="D5072" t="s">
        <v>802</v>
      </c>
      <c r="F5072">
        <v>4.7196907487793098E-9</v>
      </c>
      <c r="G5072">
        <v>40235469</v>
      </c>
      <c r="H5072">
        <v>12891198</v>
      </c>
      <c r="I5072">
        <v>13930279</v>
      </c>
      <c r="J5072">
        <v>5</v>
      </c>
    </row>
    <row r="5073" spans="1:10" x14ac:dyDescent="0.25">
      <c r="A5073" t="s">
        <v>1592</v>
      </c>
      <c r="B5073" s="1" t="str">
        <f>HYPERLINK("http://goodsoftware.co","goodsoftware.co")</f>
        <v>goodsoftware.co</v>
      </c>
      <c r="C5073" t="s">
        <v>432</v>
      </c>
      <c r="F5073">
        <v>1.7366232648619899E-8</v>
      </c>
      <c r="G5073">
        <v>3183166</v>
      </c>
      <c r="H5073">
        <v>13284682</v>
      </c>
      <c r="I5073">
        <v>10896662</v>
      </c>
      <c r="J5073">
        <v>5</v>
      </c>
    </row>
    <row r="5074" spans="1:10" x14ac:dyDescent="0.25">
      <c r="A5074" t="s">
        <v>1592</v>
      </c>
      <c r="B5074" s="1" t="str">
        <f>HYPERLINK("http://atlassian.com","atlassian.com")</f>
        <v>atlassian.com</v>
      </c>
      <c r="C5074" t="s">
        <v>433</v>
      </c>
      <c r="E5074">
        <v>496</v>
      </c>
      <c r="F5074">
        <v>6.7427477832700806E-5</v>
      </c>
      <c r="G5074">
        <v>390</v>
      </c>
      <c r="H5074">
        <v>19227162</v>
      </c>
      <c r="I5074">
        <v>343</v>
      </c>
      <c r="J5074">
        <v>3</v>
      </c>
    </row>
    <row r="5075" spans="1:10" x14ac:dyDescent="0.25">
      <c r="A5075" t="s">
        <v>1592</v>
      </c>
      <c r="B5075" s="1" t="str">
        <f>HYPERLINK("http://bluejimp.com","bluejimp.com")</f>
        <v>bluejimp.com</v>
      </c>
      <c r="C5075" t="s">
        <v>433</v>
      </c>
      <c r="F5075">
        <v>2.0142262409459899E-8</v>
      </c>
      <c r="G5075">
        <v>2637467</v>
      </c>
      <c r="H5075">
        <v>14095378</v>
      </c>
      <c r="I5075">
        <v>2729203</v>
      </c>
      <c r="J5075">
        <v>3</v>
      </c>
    </row>
    <row r="5076" spans="1:10" x14ac:dyDescent="0.25">
      <c r="A5076" t="s">
        <v>1592</v>
      </c>
      <c r="B5076" s="1" t="str">
        <f>HYPERLINK("http://chartio.com","chartio.com")</f>
        <v>chartio.com</v>
      </c>
      <c r="C5076" t="s">
        <v>433</v>
      </c>
      <c r="E5076">
        <v>55151</v>
      </c>
      <c r="F5076">
        <v>6.5773687872779698E-7</v>
      </c>
      <c r="G5076">
        <v>58552</v>
      </c>
      <c r="H5076">
        <v>17233576</v>
      </c>
      <c r="I5076">
        <v>36363</v>
      </c>
      <c r="J5076">
        <v>3</v>
      </c>
    </row>
    <row r="5077" spans="1:10" x14ac:dyDescent="0.25">
      <c r="A5077" t="s">
        <v>1592</v>
      </c>
      <c r="B5077" s="1" t="str">
        <f>HYPERLINK("http://codegeist.com","codegeist.com")</f>
        <v>codegeist.com</v>
      </c>
      <c r="C5077" t="s">
        <v>433</v>
      </c>
      <c r="F5077">
        <v>1.2150255581906499E-8</v>
      </c>
      <c r="G5077">
        <v>5079349</v>
      </c>
      <c r="H5077">
        <v>13207806</v>
      </c>
      <c r="I5077">
        <v>11517994</v>
      </c>
      <c r="J5077">
        <v>5</v>
      </c>
    </row>
    <row r="5078" spans="1:10" x14ac:dyDescent="0.25">
      <c r="A5078" t="s">
        <v>1592</v>
      </c>
      <c r="B5078" s="1" t="str">
        <f>HYPERLINK("http://halp.com","halp.com")</f>
        <v>halp.com</v>
      </c>
      <c r="C5078" t="s">
        <v>433</v>
      </c>
      <c r="E5078">
        <v>38032</v>
      </c>
      <c r="F5078">
        <v>7.2686916585779499E-8</v>
      </c>
      <c r="G5078">
        <v>580415</v>
      </c>
      <c r="H5078">
        <v>14003374</v>
      </c>
      <c r="I5078">
        <v>4009111</v>
      </c>
      <c r="J5078">
        <v>3</v>
      </c>
    </row>
    <row r="5079" spans="1:10" x14ac:dyDescent="0.25">
      <c r="A5079" t="s">
        <v>1592</v>
      </c>
      <c r="B5079" s="1" t="str">
        <f>HYPERLINK("http://henmee.com","henmee.com")</f>
        <v>henmee.com</v>
      </c>
      <c r="C5079" t="s">
        <v>433</v>
      </c>
      <c r="F5079">
        <v>4.44380395335525E-9</v>
      </c>
      <c r="G5079">
        <v>81925482</v>
      </c>
      <c r="H5079">
        <v>0</v>
      </c>
      <c r="I5079">
        <v>82416745</v>
      </c>
      <c r="J5079">
        <v>5</v>
      </c>
    </row>
    <row r="5080" spans="1:10" x14ac:dyDescent="0.25">
      <c r="A5080" t="s">
        <v>1592</v>
      </c>
      <c r="B5080" s="1" t="str">
        <f>HYPERLINK("http://ifountain.com","ifountain.com")</f>
        <v>ifountain.com</v>
      </c>
      <c r="C5080" t="s">
        <v>433</v>
      </c>
      <c r="F5080">
        <v>1.13520127233301E-8</v>
      </c>
      <c r="G5080">
        <v>5606836</v>
      </c>
      <c r="H5080">
        <v>13353217</v>
      </c>
      <c r="I5080">
        <v>10605715</v>
      </c>
      <c r="J5080">
        <v>3</v>
      </c>
    </row>
    <row r="5081" spans="1:10" x14ac:dyDescent="0.25">
      <c r="A5081" t="s">
        <v>1592</v>
      </c>
      <c r="B5081" s="1" t="str">
        <f>HYPERLINK("http://jiraservicedesk.com","jiraservicedesk.com")</f>
        <v>jiraservicedesk.com</v>
      </c>
      <c r="C5081" t="s">
        <v>433</v>
      </c>
      <c r="F5081">
        <v>4.75952476846833E-9</v>
      </c>
      <c r="G5081">
        <v>37846861</v>
      </c>
      <c r="H5081">
        <v>11910317</v>
      </c>
      <c r="I5081">
        <v>29440463</v>
      </c>
      <c r="J5081">
        <v>5</v>
      </c>
    </row>
    <row r="5082" spans="1:10" x14ac:dyDescent="0.25">
      <c r="A5082" t="s">
        <v>1592</v>
      </c>
      <c r="B5082" s="1" t="str">
        <f>HYPERLINK("http://mindville.com","mindville.com")</f>
        <v>mindville.com</v>
      </c>
      <c r="C5082" t="s">
        <v>433</v>
      </c>
      <c r="F5082">
        <v>3.2151622372632102E-8</v>
      </c>
      <c r="G5082">
        <v>1608549</v>
      </c>
      <c r="H5082">
        <v>13463800</v>
      </c>
      <c r="I5082">
        <v>10145068</v>
      </c>
      <c r="J5082">
        <v>3</v>
      </c>
    </row>
    <row r="5083" spans="1:10" x14ac:dyDescent="0.25">
      <c r="A5083" t="s">
        <v>1592</v>
      </c>
      <c r="B5083" s="1" t="str">
        <f>HYPERLINK("http://opsgenie.com","opsgenie.com")</f>
        <v>opsgenie.com</v>
      </c>
      <c r="C5083" t="s">
        <v>433</v>
      </c>
      <c r="E5083">
        <v>4949</v>
      </c>
      <c r="F5083">
        <v>7.6085479729229098E-7</v>
      </c>
      <c r="G5083">
        <v>51329</v>
      </c>
      <c r="H5083">
        <v>14419274</v>
      </c>
      <c r="I5083">
        <v>1092197</v>
      </c>
      <c r="J5083">
        <v>5</v>
      </c>
    </row>
    <row r="5084" spans="1:10" x14ac:dyDescent="0.25">
      <c r="A5084" t="s">
        <v>1592</v>
      </c>
      <c r="B5084" s="1" t="str">
        <f>HYPERLINK("http://sourcetreeapp.com","sourcetreeapp.com")</f>
        <v>sourcetreeapp.com</v>
      </c>
      <c r="C5084" t="s">
        <v>433</v>
      </c>
      <c r="E5084">
        <v>40867</v>
      </c>
      <c r="F5084">
        <v>2.3500072718863901E-6</v>
      </c>
      <c r="G5084">
        <v>15769</v>
      </c>
      <c r="H5084">
        <v>17760820</v>
      </c>
      <c r="I5084">
        <v>6178</v>
      </c>
      <c r="J5084">
        <v>5</v>
      </c>
    </row>
    <row r="5085" spans="1:10" x14ac:dyDescent="0.25">
      <c r="A5085" t="s">
        <v>1592</v>
      </c>
      <c r="B5085" s="1" t="str">
        <f>HYPERLINK("http://stride.com","stride.com")</f>
        <v>stride.com</v>
      </c>
      <c r="C5085" t="s">
        <v>433</v>
      </c>
      <c r="F5085">
        <v>1.4999463246162899E-7</v>
      </c>
      <c r="G5085">
        <v>259034</v>
      </c>
      <c r="H5085">
        <v>14344904</v>
      </c>
      <c r="I5085">
        <v>1312970</v>
      </c>
      <c r="J5085">
        <v>6</v>
      </c>
    </row>
    <row r="5086" spans="1:10" x14ac:dyDescent="0.25">
      <c r="A5086" t="s">
        <v>1592</v>
      </c>
      <c r="B5086" s="1" t="str">
        <f>HYPERLINK("http://thinktilt.com","thinktilt.com")</f>
        <v>thinktilt.com</v>
      </c>
      <c r="C5086" t="s">
        <v>433</v>
      </c>
      <c r="F5086">
        <v>2.7330720703629401E-8</v>
      </c>
      <c r="G5086">
        <v>1881027</v>
      </c>
      <c r="H5086">
        <v>13471324</v>
      </c>
      <c r="I5086">
        <v>10033143</v>
      </c>
      <c r="J5086">
        <v>3</v>
      </c>
    </row>
    <row r="5087" spans="1:10" x14ac:dyDescent="0.25">
      <c r="A5087" t="s">
        <v>1592</v>
      </c>
      <c r="B5087" s="1" t="str">
        <f>HYPERLINK("http://trello.com","trello.com")</f>
        <v>trello.com</v>
      </c>
      <c r="C5087" t="s">
        <v>433</v>
      </c>
      <c r="E5087">
        <v>388</v>
      </c>
      <c r="F5087">
        <v>3.5178575990361798E-5</v>
      </c>
      <c r="G5087">
        <v>778</v>
      </c>
      <c r="H5087">
        <v>19415650</v>
      </c>
      <c r="I5087">
        <v>204</v>
      </c>
      <c r="J5087">
        <v>3</v>
      </c>
    </row>
    <row r="5088" spans="1:10" x14ac:dyDescent="0.25">
      <c r="A5088" t="s">
        <v>1592</v>
      </c>
      <c r="B5088" s="1" t="str">
        <f>HYPERLINK("http://zoostores.com","zoostores.com")</f>
        <v>zoostores.com</v>
      </c>
      <c r="C5088" t="s">
        <v>433</v>
      </c>
      <c r="F5088">
        <v>8.5901535062968202E-9</v>
      </c>
      <c r="G5088">
        <v>8674334</v>
      </c>
      <c r="H5088">
        <v>13797344</v>
      </c>
      <c r="I5088">
        <v>6297317</v>
      </c>
      <c r="J5088">
        <v>6</v>
      </c>
    </row>
    <row r="5089" spans="1:10" x14ac:dyDescent="0.25">
      <c r="A5089" t="s">
        <v>1592</v>
      </c>
      <c r="B5089" s="1" t="str">
        <f>HYPERLINK("http://atlassian.community","atlassian.community")</f>
        <v>atlassian.community</v>
      </c>
      <c r="C5089" t="s">
        <v>629</v>
      </c>
      <c r="F5089">
        <v>1.93151522805492E-8</v>
      </c>
      <c r="G5089">
        <v>2779682</v>
      </c>
      <c r="H5089">
        <v>13137672</v>
      </c>
      <c r="I5089">
        <v>11895559</v>
      </c>
      <c r="J5089">
        <v>4</v>
      </c>
    </row>
    <row r="5090" spans="1:10" x14ac:dyDescent="0.25">
      <c r="A5090" t="s">
        <v>1592</v>
      </c>
      <c r="B5090" s="1" t="str">
        <f>HYPERLINK("http://atlassian.design","atlassian.design")</f>
        <v>atlassian.design</v>
      </c>
      <c r="C5090" t="s">
        <v>582</v>
      </c>
      <c r="E5090">
        <v>96280</v>
      </c>
      <c r="F5090">
        <v>5.65158624921707E-7</v>
      </c>
      <c r="G5090">
        <v>67757</v>
      </c>
      <c r="H5090">
        <v>14895475</v>
      </c>
      <c r="I5090">
        <v>464850</v>
      </c>
      <c r="J5090">
        <v>4</v>
      </c>
    </row>
    <row r="5091" spans="1:10" x14ac:dyDescent="0.25">
      <c r="A5091" t="s">
        <v>1592</v>
      </c>
      <c r="B5091" s="1" t="str">
        <f>HYPERLINK("http://trello.engineering","trello.engineering")</f>
        <v>trello.engineering</v>
      </c>
      <c r="C5091" t="s">
        <v>719</v>
      </c>
      <c r="F5091">
        <v>2.10945632832664E-8</v>
      </c>
      <c r="G5091">
        <v>2503463</v>
      </c>
      <c r="H5091">
        <v>13210772</v>
      </c>
      <c r="I5091">
        <v>11408129</v>
      </c>
      <c r="J5091">
        <v>4</v>
      </c>
    </row>
    <row r="5092" spans="1:10" x14ac:dyDescent="0.25">
      <c r="A5092" t="s">
        <v>1592</v>
      </c>
      <c r="B5092" s="1" t="str">
        <f>HYPERLINK("http://atlassian.fi","atlassian.fi")</f>
        <v>atlassian.fi</v>
      </c>
      <c r="C5092" t="s">
        <v>445</v>
      </c>
      <c r="D5092" t="s">
        <v>823</v>
      </c>
      <c r="J5092">
        <v>5</v>
      </c>
    </row>
    <row r="5093" spans="1:10" x14ac:dyDescent="0.25">
      <c r="A5093" t="s">
        <v>1592</v>
      </c>
      <c r="B5093" s="1" t="str">
        <f>HYPERLINK("http://bitbucket.fi","bitbucket.fi")</f>
        <v>bitbucket.fi</v>
      </c>
      <c r="C5093" t="s">
        <v>445</v>
      </c>
      <c r="D5093" t="s">
        <v>823</v>
      </c>
      <c r="J5093">
        <v>5</v>
      </c>
    </row>
    <row r="5094" spans="1:10" x14ac:dyDescent="0.25">
      <c r="A5094" t="s">
        <v>1592</v>
      </c>
      <c r="B5094" s="1" t="str">
        <f>HYPERLINK("http://confluence.fi","confluence.fi")</f>
        <v>confluence.fi</v>
      </c>
      <c r="C5094" t="s">
        <v>445</v>
      </c>
      <c r="D5094" t="s">
        <v>823</v>
      </c>
      <c r="J5094">
        <v>5</v>
      </c>
    </row>
    <row r="5095" spans="1:10" x14ac:dyDescent="0.25">
      <c r="A5095" t="s">
        <v>1592</v>
      </c>
      <c r="B5095" s="1" t="str">
        <f>HYPERLINK("http://jira.fi","jira.fi")</f>
        <v>jira.fi</v>
      </c>
      <c r="C5095" t="s">
        <v>445</v>
      </c>
      <c r="D5095" t="s">
        <v>823</v>
      </c>
      <c r="J5095">
        <v>5</v>
      </c>
    </row>
    <row r="5096" spans="1:10" x14ac:dyDescent="0.25">
      <c r="A5096" t="s">
        <v>1592</v>
      </c>
      <c r="B5096" s="1" t="str">
        <f>HYPERLINK("http://statuspage.fi","statuspage.fi")</f>
        <v>statuspage.fi</v>
      </c>
      <c r="C5096" t="s">
        <v>445</v>
      </c>
      <c r="D5096" t="s">
        <v>823</v>
      </c>
      <c r="J5096">
        <v>5</v>
      </c>
    </row>
    <row r="5097" spans="1:10" x14ac:dyDescent="0.25">
      <c r="A5097" t="s">
        <v>1592</v>
      </c>
      <c r="B5097" s="1" t="str">
        <f>HYPERLINK("http://opsg.in","opsg.in")</f>
        <v>opsg.in</v>
      </c>
      <c r="C5097" t="s">
        <v>457</v>
      </c>
      <c r="D5097" t="s">
        <v>834</v>
      </c>
      <c r="E5097">
        <v>836839</v>
      </c>
      <c r="F5097">
        <v>1.1636757184472399E-8</v>
      </c>
      <c r="G5097">
        <v>5408365</v>
      </c>
      <c r="H5097">
        <v>13124548</v>
      </c>
      <c r="I5097">
        <v>11964665</v>
      </c>
      <c r="J5097">
        <v>5</v>
      </c>
    </row>
    <row r="5098" spans="1:10" x14ac:dyDescent="0.25">
      <c r="A5098" t="s">
        <v>1592</v>
      </c>
      <c r="B5098" s="1" t="str">
        <f>HYPERLINK("http://atlassian.io","atlassian.io")</f>
        <v>atlassian.io</v>
      </c>
      <c r="C5098" t="s">
        <v>518</v>
      </c>
      <c r="E5098">
        <v>26964</v>
      </c>
      <c r="F5098">
        <v>3.7948138138439099E-8</v>
      </c>
      <c r="G5098">
        <v>1363740</v>
      </c>
      <c r="H5098">
        <v>13587422</v>
      </c>
      <c r="I5098">
        <v>9673855</v>
      </c>
      <c r="J5098">
        <v>4</v>
      </c>
    </row>
    <row r="5099" spans="1:10" x14ac:dyDescent="0.25">
      <c r="A5099" t="s">
        <v>1592</v>
      </c>
      <c r="B5099" s="1" t="str">
        <f>HYPERLINK("http://codebarrel.io","codebarrel.io")</f>
        <v>codebarrel.io</v>
      </c>
      <c r="C5099" t="s">
        <v>518</v>
      </c>
      <c r="E5099">
        <v>646401</v>
      </c>
      <c r="F5099">
        <v>2.2478320037104901E-8</v>
      </c>
      <c r="G5099">
        <v>2330936</v>
      </c>
      <c r="H5099">
        <v>13589588</v>
      </c>
      <c r="I5099">
        <v>9669281</v>
      </c>
      <c r="J5099">
        <v>3</v>
      </c>
    </row>
    <row r="5100" spans="1:10" x14ac:dyDescent="0.25">
      <c r="A5100" t="s">
        <v>1592</v>
      </c>
      <c r="B5100" s="1" t="str">
        <f>HYPERLINK("http://statuspage.io","statuspage.io")</f>
        <v>statuspage.io</v>
      </c>
      <c r="C5100" t="s">
        <v>518</v>
      </c>
      <c r="E5100">
        <v>976</v>
      </c>
      <c r="F5100">
        <v>2.9487092115395699E-5</v>
      </c>
      <c r="G5100">
        <v>987</v>
      </c>
      <c r="H5100">
        <v>18123718</v>
      </c>
      <c r="I5100">
        <v>3028</v>
      </c>
      <c r="J5100">
        <v>3</v>
      </c>
    </row>
    <row r="5101" spans="1:10" x14ac:dyDescent="0.25">
      <c r="A5101" t="s">
        <v>1592</v>
      </c>
      <c r="B5101" s="1" t="str">
        <f>HYPERLINK("http://atlassian.jp","atlassian.jp")</f>
        <v>atlassian.jp</v>
      </c>
      <c r="C5101" t="s">
        <v>461</v>
      </c>
      <c r="D5101" t="s">
        <v>837</v>
      </c>
      <c r="F5101">
        <v>2.07877862512373E-8</v>
      </c>
      <c r="G5101">
        <v>2544727</v>
      </c>
      <c r="H5101">
        <v>13316238</v>
      </c>
      <c r="I5101">
        <v>10757965</v>
      </c>
      <c r="J5101">
        <v>4</v>
      </c>
    </row>
    <row r="5102" spans="1:10" x14ac:dyDescent="0.25">
      <c r="A5102" t="s">
        <v>1592</v>
      </c>
      <c r="B5102" s="1" t="str">
        <f>HYPERLINK("http://atlassian.co.jp","atlassian.co.jp")</f>
        <v>atlassian.co.jp</v>
      </c>
      <c r="C5102" t="s">
        <v>461</v>
      </c>
      <c r="D5102" t="s">
        <v>837</v>
      </c>
      <c r="F5102">
        <v>1.5121460105882101E-8</v>
      </c>
      <c r="G5102">
        <v>3800854</v>
      </c>
      <c r="H5102">
        <v>13250183</v>
      </c>
      <c r="I5102">
        <v>11085259</v>
      </c>
      <c r="J5102">
        <v>4</v>
      </c>
    </row>
    <row r="5103" spans="1:10" x14ac:dyDescent="0.25">
      <c r="A5103" t="s">
        <v>1592</v>
      </c>
      <c r="B5103" s="1" t="str">
        <f>HYPERLINK("http://atl-paas.net","atl-paas.net")</f>
        <v>atl-paas.net</v>
      </c>
      <c r="C5103" t="s">
        <v>474</v>
      </c>
      <c r="E5103">
        <v>4633</v>
      </c>
      <c r="F5103">
        <v>9.1774206889960897E-7</v>
      </c>
      <c r="G5103">
        <v>42154</v>
      </c>
      <c r="H5103">
        <v>16892430</v>
      </c>
      <c r="I5103">
        <v>134634</v>
      </c>
      <c r="J5103">
        <v>5</v>
      </c>
    </row>
    <row r="5104" spans="1:10" x14ac:dyDescent="0.25">
      <c r="A5104" t="s">
        <v>1592</v>
      </c>
      <c r="B5104" s="1" t="str">
        <f>HYPERLINK("http://atlassian.net","atlassian.net")</f>
        <v>atlassian.net</v>
      </c>
      <c r="C5104" t="s">
        <v>474</v>
      </c>
      <c r="E5104">
        <v>473</v>
      </c>
      <c r="F5104">
        <v>2.8301596560954999E-5</v>
      </c>
      <c r="G5104">
        <v>1041</v>
      </c>
      <c r="H5104">
        <v>18866674</v>
      </c>
      <c r="I5104">
        <v>693</v>
      </c>
      <c r="J5104">
        <v>4</v>
      </c>
    </row>
    <row r="5105" spans="1:10" x14ac:dyDescent="0.25">
      <c r="A5105" t="s">
        <v>1592</v>
      </c>
      <c r="B5105" s="1" t="str">
        <f>HYPERLINK("http://thinktilt.net","thinktilt.net")</f>
        <v>thinktilt.net</v>
      </c>
      <c r="C5105" t="s">
        <v>474</v>
      </c>
      <c r="E5105">
        <v>179527</v>
      </c>
      <c r="F5105">
        <v>1.38817002817012E-8</v>
      </c>
      <c r="G5105">
        <v>4248295</v>
      </c>
      <c r="H5105">
        <v>13284658</v>
      </c>
      <c r="I5105">
        <v>10896798</v>
      </c>
      <c r="J5105">
        <v>4</v>
      </c>
    </row>
    <row r="5106" spans="1:10" x14ac:dyDescent="0.25">
      <c r="A5106" t="s">
        <v>1592</v>
      </c>
      <c r="B5106" s="1" t="str">
        <f>HYPERLINK("http://atlassianfoundation.org","atlassianfoundation.org")</f>
        <v>atlassianfoundation.org</v>
      </c>
      <c r="C5106" t="s">
        <v>481</v>
      </c>
      <c r="F5106">
        <v>1.9117012522066999E-8</v>
      </c>
      <c r="G5106">
        <v>2813062</v>
      </c>
      <c r="H5106">
        <v>13144360</v>
      </c>
      <c r="I5106">
        <v>11859111</v>
      </c>
      <c r="J5106">
        <v>5</v>
      </c>
    </row>
    <row r="5107" spans="1:10" x14ac:dyDescent="0.25">
      <c r="A5107" t="s">
        <v>1592</v>
      </c>
      <c r="B5107" s="1" t="str">
        <f>HYPERLINK("http://opsgeni.us","opsgeni.us")</f>
        <v>opsgeni.us</v>
      </c>
      <c r="C5107" t="s">
        <v>522</v>
      </c>
      <c r="D5107" t="s">
        <v>891</v>
      </c>
      <c r="E5107">
        <v>10284</v>
      </c>
      <c r="F5107">
        <v>4.4438566540046896E-9</v>
      </c>
      <c r="G5107">
        <v>78317515</v>
      </c>
      <c r="H5107">
        <v>10366572</v>
      </c>
      <c r="I5107">
        <v>54977957</v>
      </c>
      <c r="J5107">
        <v>5</v>
      </c>
    </row>
    <row r="5108" spans="1:10" x14ac:dyDescent="0.25">
      <c r="A5108" t="s">
        <v>46</v>
      </c>
      <c r="B5108" s="1" t="str">
        <f>HYPERLINK("http://autodesk.ae","autodesk.ae")</f>
        <v>autodesk.ae</v>
      </c>
      <c r="C5108" t="s">
        <v>417</v>
      </c>
      <c r="D5108" t="s">
        <v>799</v>
      </c>
      <c r="E5108">
        <v>698382</v>
      </c>
      <c r="F5108">
        <v>3.0030779869177299E-8</v>
      </c>
      <c r="G5108">
        <v>1713332</v>
      </c>
      <c r="H5108">
        <v>13514283</v>
      </c>
      <c r="I5108">
        <v>9945738</v>
      </c>
      <c r="J5108">
        <v>2</v>
      </c>
    </row>
    <row r="5109" spans="1:10" x14ac:dyDescent="0.25">
      <c r="A5109" t="s">
        <v>46</v>
      </c>
      <c r="B5109" s="1" t="str">
        <f>HYPERLINK("http://autodesk.com.au","autodesk.com.au")</f>
        <v>autodesk.com.au</v>
      </c>
      <c r="C5109" t="s">
        <v>420</v>
      </c>
      <c r="D5109" t="s">
        <v>802</v>
      </c>
      <c r="E5109">
        <v>314099</v>
      </c>
      <c r="F5109">
        <v>7.5658492654790402E-8</v>
      </c>
      <c r="G5109">
        <v>555590</v>
      </c>
      <c r="H5109">
        <v>14249302</v>
      </c>
      <c r="I5109">
        <v>1450092</v>
      </c>
      <c r="J5109">
        <v>2</v>
      </c>
    </row>
    <row r="5110" spans="1:10" x14ac:dyDescent="0.25">
      <c r="A5110" t="s">
        <v>46</v>
      </c>
      <c r="B5110" s="1" t="str">
        <f>HYPERLINK("http://autodesk.be","autodesk.be")</f>
        <v>autodesk.be</v>
      </c>
      <c r="C5110" t="s">
        <v>421</v>
      </c>
      <c r="D5110" t="s">
        <v>803</v>
      </c>
      <c r="F5110">
        <v>2.91884818963592E-8</v>
      </c>
      <c r="G5110">
        <v>1764616</v>
      </c>
      <c r="H5110">
        <v>13884807</v>
      </c>
      <c r="I5110">
        <v>5971695</v>
      </c>
      <c r="J5110">
        <v>2</v>
      </c>
    </row>
    <row r="5111" spans="1:10" x14ac:dyDescent="0.25">
      <c r="A5111" t="s">
        <v>46</v>
      </c>
      <c r="B5111" s="1" t="str">
        <f>HYPERLINK("http://autodesk.com.br","autodesk.com.br")</f>
        <v>autodesk.com.br</v>
      </c>
      <c r="C5111" t="s">
        <v>425</v>
      </c>
      <c r="D5111" t="s">
        <v>806</v>
      </c>
      <c r="E5111">
        <v>382441</v>
      </c>
      <c r="F5111">
        <v>7.8844845020640601E-8</v>
      </c>
      <c r="G5111">
        <v>530126</v>
      </c>
      <c r="H5111">
        <v>14960531</v>
      </c>
      <c r="I5111">
        <v>437114</v>
      </c>
      <c r="J5111">
        <v>2</v>
      </c>
    </row>
    <row r="5112" spans="1:10" x14ac:dyDescent="0.25">
      <c r="A5112" t="s">
        <v>46</v>
      </c>
      <c r="B5112" s="1" t="str">
        <f>HYPERLINK("http://autodesk.ca","autodesk.ca")</f>
        <v>autodesk.ca</v>
      </c>
      <c r="C5112" t="s">
        <v>428</v>
      </c>
      <c r="D5112" t="s">
        <v>809</v>
      </c>
      <c r="E5112">
        <v>435162</v>
      </c>
      <c r="F5112">
        <v>1.05886532680933E-7</v>
      </c>
      <c r="G5112">
        <v>378255</v>
      </c>
      <c r="H5112">
        <v>14556345</v>
      </c>
      <c r="I5112">
        <v>751319</v>
      </c>
      <c r="J5112">
        <v>2</v>
      </c>
    </row>
    <row r="5113" spans="1:10" x14ac:dyDescent="0.25">
      <c r="A5113" t="s">
        <v>46</v>
      </c>
      <c r="B5113" s="1" t="str">
        <f>HYPERLINK("http://autodesk.ch","autodesk.ch")</f>
        <v>autodesk.ch</v>
      </c>
      <c r="C5113" t="s">
        <v>429</v>
      </c>
      <c r="D5113" t="s">
        <v>810</v>
      </c>
      <c r="F5113">
        <v>2.2338460034096999E-8</v>
      </c>
      <c r="G5113">
        <v>2346520</v>
      </c>
      <c r="H5113">
        <v>13768691</v>
      </c>
      <c r="I5113">
        <v>6861256</v>
      </c>
      <c r="J5113">
        <v>2</v>
      </c>
    </row>
    <row r="5114" spans="1:10" x14ac:dyDescent="0.25">
      <c r="A5114" t="s">
        <v>46</v>
      </c>
      <c r="B5114" s="1" t="str">
        <f>HYPERLINK("http://autodesk.com.cn","autodesk.com.cn")</f>
        <v>autodesk.com.cn</v>
      </c>
      <c r="C5114" t="s">
        <v>431</v>
      </c>
      <c r="D5114" t="s">
        <v>812</v>
      </c>
      <c r="E5114">
        <v>86381</v>
      </c>
      <c r="F5114">
        <v>1.4939135966472901E-7</v>
      </c>
      <c r="G5114">
        <v>260101</v>
      </c>
      <c r="H5114">
        <v>14397508</v>
      </c>
      <c r="I5114">
        <v>1158009</v>
      </c>
      <c r="J5114">
        <v>2</v>
      </c>
    </row>
    <row r="5115" spans="1:10" x14ac:dyDescent="0.25">
      <c r="A5115" t="s">
        <v>46</v>
      </c>
      <c r="B5115" s="1" t="str">
        <f>HYPERLINK("http://arnoldrenderer.com","arnoldrenderer.com")</f>
        <v>arnoldrenderer.com</v>
      </c>
      <c r="C5115" t="s">
        <v>433</v>
      </c>
      <c r="E5115">
        <v>424648</v>
      </c>
      <c r="F5115">
        <v>3.0800262667096699E-7</v>
      </c>
      <c r="G5115">
        <v>120730</v>
      </c>
      <c r="H5115">
        <v>14897079</v>
      </c>
      <c r="I5115">
        <v>464182</v>
      </c>
      <c r="J5115">
        <v>8</v>
      </c>
    </row>
    <row r="5116" spans="1:10" x14ac:dyDescent="0.25">
      <c r="A5116" t="s">
        <v>46</v>
      </c>
      <c r="B5116" s="1" t="str">
        <f>HYPERLINK("http://assemblesystems.com","assemblesystems.com")</f>
        <v>assemblesystems.com</v>
      </c>
      <c r="C5116" t="s">
        <v>433</v>
      </c>
      <c r="F5116">
        <v>4.4980287392092397E-8</v>
      </c>
      <c r="G5116">
        <v>1050186</v>
      </c>
      <c r="H5116">
        <v>14218913</v>
      </c>
      <c r="I5116">
        <v>1688315</v>
      </c>
      <c r="J5116">
        <v>3</v>
      </c>
    </row>
    <row r="5117" spans="1:10" x14ac:dyDescent="0.25">
      <c r="A5117" t="s">
        <v>46</v>
      </c>
      <c r="B5117" s="1" t="str">
        <f>HYPERLINK("http://autodesk.com","autodesk.com")</f>
        <v>autodesk.com</v>
      </c>
      <c r="C5117" t="s">
        <v>433</v>
      </c>
      <c r="E5117">
        <v>565</v>
      </c>
      <c r="F5117">
        <v>1.6018385370157699E-5</v>
      </c>
      <c r="G5117">
        <v>2106</v>
      </c>
      <c r="H5117">
        <v>18174184</v>
      </c>
      <c r="I5117">
        <v>2837</v>
      </c>
      <c r="J5117">
        <v>1</v>
      </c>
    </row>
    <row r="5118" spans="1:10" x14ac:dyDescent="0.25">
      <c r="A5118" t="s">
        <v>46</v>
      </c>
      <c r="B5118" s="1" t="str">
        <f>HYPERLINK("http://autodeskplm.com","autodeskplm.com")</f>
        <v>autodeskplm.com</v>
      </c>
      <c r="C5118" t="s">
        <v>433</v>
      </c>
      <c r="J5118">
        <v>2</v>
      </c>
    </row>
    <row r="5119" spans="1:10" x14ac:dyDescent="0.25">
      <c r="A5119" t="s">
        <v>46</v>
      </c>
      <c r="B5119" s="1" t="str">
        <f>HYPERLINK("http://bim360.com","bim360.com")</f>
        <v>bim360.com</v>
      </c>
      <c r="C5119" t="s">
        <v>433</v>
      </c>
      <c r="F5119">
        <v>2.48961021184478E-8</v>
      </c>
      <c r="G5119">
        <v>2076832</v>
      </c>
      <c r="H5119">
        <v>14162131</v>
      </c>
      <c r="I5119">
        <v>1833540</v>
      </c>
      <c r="J5119">
        <v>3</v>
      </c>
    </row>
    <row r="5120" spans="1:10" x14ac:dyDescent="0.25">
      <c r="A5120" t="s">
        <v>46</v>
      </c>
      <c r="B5120" s="1" t="str">
        <f>HYPERLINK("http://buildingconnected.com","buildingconnected.com")</f>
        <v>buildingconnected.com</v>
      </c>
      <c r="C5120" t="s">
        <v>433</v>
      </c>
      <c r="E5120">
        <v>43654</v>
      </c>
      <c r="F5120">
        <v>2.3924967940313101E-7</v>
      </c>
      <c r="G5120">
        <v>156429</v>
      </c>
      <c r="H5120">
        <v>13878809</v>
      </c>
      <c r="I5120">
        <v>5985532</v>
      </c>
      <c r="J5120">
        <v>3</v>
      </c>
    </row>
    <row r="5121" spans="1:10" x14ac:dyDescent="0.25">
      <c r="A5121" t="s">
        <v>46</v>
      </c>
      <c r="B5121" s="1" t="str">
        <f>HYPERLINK("http://cadsetterout.com","cadsetterout.com")</f>
        <v>cadsetterout.com</v>
      </c>
      <c r="C5121" t="s">
        <v>433</v>
      </c>
      <c r="F5121">
        <v>2.0033771679405301E-8</v>
      </c>
      <c r="G5121">
        <v>2654090</v>
      </c>
      <c r="H5121">
        <v>14492329</v>
      </c>
      <c r="I5121">
        <v>895721</v>
      </c>
      <c r="J5121">
        <v>3</v>
      </c>
    </row>
    <row r="5122" spans="1:10" x14ac:dyDescent="0.25">
      <c r="A5122" t="s">
        <v>46</v>
      </c>
      <c r="B5122" s="1" t="str">
        <f>HYPERLINK("http://crispindynamics.com","crispindynamics.com")</f>
        <v>crispindynamics.com</v>
      </c>
      <c r="C5122" t="s">
        <v>433</v>
      </c>
      <c r="F5122">
        <v>4.7714770861507301E-9</v>
      </c>
      <c r="G5122">
        <v>37314662</v>
      </c>
      <c r="H5122">
        <v>12723310</v>
      </c>
      <c r="I5122">
        <v>15237154</v>
      </c>
      <c r="J5122">
        <v>3</v>
      </c>
    </row>
    <row r="5123" spans="1:10" x14ac:dyDescent="0.25">
      <c r="A5123" t="s">
        <v>46</v>
      </c>
      <c r="B5123" s="1" t="str">
        <f>HYPERLINK("http://delcam.com","delcam.com")</f>
        <v>delcam.com</v>
      </c>
      <c r="C5123" t="s">
        <v>433</v>
      </c>
      <c r="E5123">
        <v>496797</v>
      </c>
      <c r="F5123">
        <v>4.85734997109009E-8</v>
      </c>
      <c r="G5123">
        <v>954801</v>
      </c>
      <c r="H5123">
        <v>13824466</v>
      </c>
      <c r="I5123">
        <v>6129164</v>
      </c>
      <c r="J5123">
        <v>4</v>
      </c>
    </row>
    <row r="5124" spans="1:10" x14ac:dyDescent="0.25">
      <c r="A5124" t="s">
        <v>46</v>
      </c>
      <c r="B5124" s="1" t="str">
        <f>HYPERLINK("http://evolver.com","evolver.com")</f>
        <v>evolver.com</v>
      </c>
      <c r="C5124" t="s">
        <v>433</v>
      </c>
      <c r="F5124">
        <v>1.37609455542297E-8</v>
      </c>
      <c r="G5124">
        <v>4296773</v>
      </c>
      <c r="H5124">
        <v>13840847</v>
      </c>
      <c r="I5124">
        <v>6071903</v>
      </c>
      <c r="J5124">
        <v>4</v>
      </c>
    </row>
    <row r="5125" spans="1:10" x14ac:dyDescent="0.25">
      <c r="A5125" t="s">
        <v>46</v>
      </c>
      <c r="B5125" s="1" t="str">
        <f>HYPERLINK("http://evolverinc.com","evolverinc.com")</f>
        <v>evolverinc.com</v>
      </c>
      <c r="C5125" t="s">
        <v>433</v>
      </c>
      <c r="F5125">
        <v>2.1442291964218799E-8</v>
      </c>
      <c r="G5125">
        <v>2456167</v>
      </c>
      <c r="H5125">
        <v>13386047</v>
      </c>
      <c r="I5125">
        <v>10408622</v>
      </c>
      <c r="J5125">
        <v>5</v>
      </c>
    </row>
    <row r="5126" spans="1:10" x14ac:dyDescent="0.25">
      <c r="A5126" t="s">
        <v>46</v>
      </c>
      <c r="B5126" s="1" t="str">
        <f>HYPERLINK("http://flatterfiles.com","flatterfiles.com")</f>
        <v>flatterfiles.com</v>
      </c>
      <c r="C5126" t="s">
        <v>433</v>
      </c>
      <c r="F5126">
        <v>6.0737040864334902E-8</v>
      </c>
      <c r="G5126">
        <v>725706</v>
      </c>
      <c r="H5126">
        <v>16751655</v>
      </c>
      <c r="I5126">
        <v>262035</v>
      </c>
      <c r="J5126">
        <v>6</v>
      </c>
    </row>
    <row r="5127" spans="1:10" x14ac:dyDescent="0.25">
      <c r="A5127" t="s">
        <v>46</v>
      </c>
      <c r="B5127" s="1" t="str">
        <f>HYPERLINK("http://innovyze.com","innovyze.com")</f>
        <v>innovyze.com</v>
      </c>
      <c r="C5127" t="s">
        <v>433</v>
      </c>
      <c r="E5127">
        <v>394545</v>
      </c>
      <c r="F5127">
        <v>1.31134698309966E-7</v>
      </c>
      <c r="G5127">
        <v>298240</v>
      </c>
      <c r="H5127">
        <v>14673007</v>
      </c>
      <c r="I5127">
        <v>612883</v>
      </c>
      <c r="J5127">
        <v>3</v>
      </c>
    </row>
    <row r="5128" spans="1:10" x14ac:dyDescent="0.25">
      <c r="A5128" t="s">
        <v>46</v>
      </c>
      <c r="B5128" s="1" t="str">
        <f>HYPERLINK("http://netfabb.com","netfabb.com")</f>
        <v>netfabb.com</v>
      </c>
      <c r="C5128" t="s">
        <v>433</v>
      </c>
      <c r="E5128">
        <v>421887</v>
      </c>
      <c r="F5128">
        <v>1.67266080130795E-7</v>
      </c>
      <c r="G5128">
        <v>231994</v>
      </c>
      <c r="H5128">
        <v>15277236</v>
      </c>
      <c r="I5128">
        <v>387902</v>
      </c>
      <c r="J5128">
        <v>3</v>
      </c>
    </row>
    <row r="5129" spans="1:10" x14ac:dyDescent="0.25">
      <c r="A5129" t="s">
        <v>46</v>
      </c>
      <c r="B5129" s="1" t="str">
        <f>HYPERLINK("http://plangrid.com","plangrid.com")</f>
        <v>plangrid.com</v>
      </c>
      <c r="C5129" t="s">
        <v>433</v>
      </c>
      <c r="E5129">
        <v>30266</v>
      </c>
      <c r="F5129">
        <v>4.8612600568800303E-7</v>
      </c>
      <c r="G5129">
        <v>78352</v>
      </c>
      <c r="H5129">
        <v>17218522</v>
      </c>
      <c r="I5129">
        <v>38687</v>
      </c>
      <c r="J5129">
        <v>3</v>
      </c>
    </row>
    <row r="5130" spans="1:10" x14ac:dyDescent="0.25">
      <c r="A5130" t="s">
        <v>46</v>
      </c>
      <c r="B5130" s="1" t="str">
        <f>HYPERLINK("http://proest.com","proest.com")</f>
        <v>proest.com</v>
      </c>
      <c r="C5130" t="s">
        <v>433</v>
      </c>
      <c r="E5130">
        <v>188943</v>
      </c>
      <c r="F5130">
        <v>6.2806336036376797E-8</v>
      </c>
      <c r="G5130">
        <v>698233</v>
      </c>
      <c r="H5130">
        <v>14082465</v>
      </c>
      <c r="I5130">
        <v>2800283</v>
      </c>
      <c r="J5130">
        <v>3</v>
      </c>
    </row>
    <row r="5131" spans="1:10" x14ac:dyDescent="0.25">
      <c r="A5131" t="s">
        <v>46</v>
      </c>
      <c r="B5131" s="1" t="str">
        <f>HYPERLINK("http://solidangle.com","solidangle.com")</f>
        <v>solidangle.com</v>
      </c>
      <c r="C5131" t="s">
        <v>433</v>
      </c>
      <c r="E5131">
        <v>665220</v>
      </c>
      <c r="F5131">
        <v>1.4048375531717499E-7</v>
      </c>
      <c r="G5131">
        <v>277239</v>
      </c>
      <c r="H5131">
        <v>17201142</v>
      </c>
      <c r="I5131">
        <v>41596</v>
      </c>
      <c r="J5131">
        <v>5</v>
      </c>
    </row>
    <row r="5132" spans="1:10" x14ac:dyDescent="0.25">
      <c r="A5132" t="s">
        <v>46</v>
      </c>
      <c r="B5132" s="1" t="str">
        <f>HYPERLINK("http://tradetapp.com","tradetapp.com")</f>
        <v>tradetapp.com</v>
      </c>
      <c r="C5132" t="s">
        <v>433</v>
      </c>
      <c r="F5132">
        <v>1.33655601727045E-8</v>
      </c>
      <c r="G5132">
        <v>4464410</v>
      </c>
      <c r="H5132">
        <v>13382967</v>
      </c>
      <c r="I5132">
        <v>10417903</v>
      </c>
      <c r="J5132">
        <v>3</v>
      </c>
    </row>
    <row r="5133" spans="1:10" x14ac:dyDescent="0.25">
      <c r="A5133" t="s">
        <v>46</v>
      </c>
      <c r="B5133" s="1" t="str">
        <f>HYPERLINK("http://velasystems.com","velasystems.com")</f>
        <v>velasystems.com</v>
      </c>
      <c r="C5133" t="s">
        <v>433</v>
      </c>
      <c r="F5133">
        <v>5.62153503357771E-9</v>
      </c>
      <c r="G5133">
        <v>19654686</v>
      </c>
      <c r="H5133">
        <v>13769233</v>
      </c>
      <c r="I5133">
        <v>6803392</v>
      </c>
      <c r="J5133">
        <v>4</v>
      </c>
    </row>
    <row r="5134" spans="1:10" x14ac:dyDescent="0.25">
      <c r="A5134" t="s">
        <v>46</v>
      </c>
      <c r="B5134" s="1" t="str">
        <f>HYPERLINK("http://autodesk.cz","autodesk.cz")</f>
        <v>autodesk.cz</v>
      </c>
      <c r="C5134" t="s">
        <v>435</v>
      </c>
      <c r="D5134" t="s">
        <v>814</v>
      </c>
      <c r="E5134">
        <v>772528</v>
      </c>
      <c r="F5134">
        <v>4.9614457270913397E-8</v>
      </c>
      <c r="G5134">
        <v>931094</v>
      </c>
      <c r="H5134">
        <v>14269837</v>
      </c>
      <c r="I5134">
        <v>1401214</v>
      </c>
      <c r="J5134">
        <v>2</v>
      </c>
    </row>
    <row r="5135" spans="1:10" x14ac:dyDescent="0.25">
      <c r="A5135" t="s">
        <v>46</v>
      </c>
      <c r="B5135" s="1" t="str">
        <f>HYPERLINK("http://autodesk.de","autodesk.de")</f>
        <v>autodesk.de</v>
      </c>
      <c r="C5135" t="s">
        <v>436</v>
      </c>
      <c r="D5135" t="s">
        <v>815</v>
      </c>
      <c r="E5135">
        <v>148615</v>
      </c>
      <c r="F5135">
        <v>4.03586910382074E-7</v>
      </c>
      <c r="G5135">
        <v>93039</v>
      </c>
      <c r="H5135">
        <v>15028449</v>
      </c>
      <c r="I5135">
        <v>419000</v>
      </c>
      <c r="J5135">
        <v>2</v>
      </c>
    </row>
    <row r="5136" spans="1:10" x14ac:dyDescent="0.25">
      <c r="A5136" t="s">
        <v>46</v>
      </c>
      <c r="B5136" s="1" t="str">
        <f>HYPERLINK("http://cadsoft.de","cadsoft.de")</f>
        <v>cadsoft.de</v>
      </c>
      <c r="C5136" t="s">
        <v>436</v>
      </c>
      <c r="D5136" t="s">
        <v>815</v>
      </c>
      <c r="E5136">
        <v>168703</v>
      </c>
      <c r="F5136">
        <v>2.56108672805158E-7</v>
      </c>
      <c r="G5136">
        <v>146075</v>
      </c>
      <c r="H5136">
        <v>17143408</v>
      </c>
      <c r="I5136">
        <v>53544</v>
      </c>
      <c r="J5136">
        <v>3</v>
      </c>
    </row>
    <row r="5137" spans="1:10" x14ac:dyDescent="0.25">
      <c r="A5137" t="s">
        <v>46</v>
      </c>
      <c r="B5137" s="1" t="str">
        <f>HYPERLINK("http://autodesk.dk","autodesk.dk")</f>
        <v>autodesk.dk</v>
      </c>
      <c r="C5137" t="s">
        <v>437</v>
      </c>
      <c r="D5137" t="s">
        <v>816</v>
      </c>
      <c r="F5137">
        <v>1.9400696283206199E-8</v>
      </c>
      <c r="G5137">
        <v>2762833</v>
      </c>
      <c r="H5137">
        <v>12931836</v>
      </c>
      <c r="I5137">
        <v>13359008</v>
      </c>
      <c r="J5137">
        <v>2</v>
      </c>
    </row>
    <row r="5138" spans="1:10" x14ac:dyDescent="0.25">
      <c r="A5138" t="s">
        <v>46</v>
      </c>
      <c r="B5138" s="1" t="str">
        <f>HYPERLINK("http://autodesk.es","autodesk.es")</f>
        <v>autodesk.es</v>
      </c>
      <c r="C5138" t="s">
        <v>443</v>
      </c>
      <c r="D5138" t="s">
        <v>822</v>
      </c>
      <c r="E5138">
        <v>231301</v>
      </c>
      <c r="F5138">
        <v>1.4728749299830101E-7</v>
      </c>
      <c r="G5138">
        <v>264344</v>
      </c>
      <c r="H5138">
        <v>14902120</v>
      </c>
      <c r="I5138">
        <v>462035</v>
      </c>
      <c r="J5138">
        <v>2</v>
      </c>
    </row>
    <row r="5139" spans="1:10" x14ac:dyDescent="0.25">
      <c r="A5139" t="s">
        <v>46</v>
      </c>
      <c r="B5139" s="1" t="str">
        <f>HYPERLINK("http://autodesk.eu","autodesk.eu")</f>
        <v>autodesk.eu</v>
      </c>
      <c r="C5139" t="s">
        <v>444</v>
      </c>
      <c r="E5139">
        <v>214993</v>
      </c>
      <c r="F5139">
        <v>1.08919665104965E-7</v>
      </c>
      <c r="G5139">
        <v>367301</v>
      </c>
      <c r="H5139">
        <v>14155251</v>
      </c>
      <c r="I5139">
        <v>1860281</v>
      </c>
      <c r="J5139">
        <v>2</v>
      </c>
    </row>
    <row r="5140" spans="1:10" x14ac:dyDescent="0.25">
      <c r="A5140" t="s">
        <v>46</v>
      </c>
      <c r="B5140" s="1" t="str">
        <f>HYPERLINK("http://autodesk.fi","autodesk.fi")</f>
        <v>autodesk.fi</v>
      </c>
      <c r="C5140" t="s">
        <v>445</v>
      </c>
      <c r="D5140" t="s">
        <v>823</v>
      </c>
      <c r="E5140">
        <v>711550</v>
      </c>
      <c r="F5140">
        <v>1.8927133674059999E-8</v>
      </c>
      <c r="G5140">
        <v>2848691</v>
      </c>
      <c r="H5140">
        <v>14238181</v>
      </c>
      <c r="I5140">
        <v>1531711</v>
      </c>
      <c r="J5140">
        <v>2</v>
      </c>
    </row>
    <row r="5141" spans="1:10" x14ac:dyDescent="0.25">
      <c r="A5141" t="s">
        <v>46</v>
      </c>
      <c r="B5141" s="1" t="str">
        <f>HYPERLINK("http://autodeskflow.fi","autodeskflow.fi")</f>
        <v>autodeskflow.fi</v>
      </c>
      <c r="C5141" t="s">
        <v>445</v>
      </c>
      <c r="D5141" t="s">
        <v>823</v>
      </c>
      <c r="J5141">
        <v>2</v>
      </c>
    </row>
    <row r="5142" spans="1:10" x14ac:dyDescent="0.25">
      <c r="A5142" t="s">
        <v>46</v>
      </c>
      <c r="B5142" s="1" t="str">
        <f>HYPERLINK("http://autodeskforma.fi","autodeskforma.fi")</f>
        <v>autodeskforma.fi</v>
      </c>
      <c r="C5142" t="s">
        <v>445</v>
      </c>
      <c r="D5142" t="s">
        <v>823</v>
      </c>
      <c r="J5142">
        <v>2</v>
      </c>
    </row>
    <row r="5143" spans="1:10" x14ac:dyDescent="0.25">
      <c r="A5143" t="s">
        <v>46</v>
      </c>
      <c r="B5143" s="1" t="str">
        <f>HYPERLINK("http://plangrid.fi","plangrid.fi")</f>
        <v>plangrid.fi</v>
      </c>
      <c r="C5143" t="s">
        <v>445</v>
      </c>
      <c r="D5143" t="s">
        <v>823</v>
      </c>
      <c r="J5143">
        <v>4</v>
      </c>
    </row>
    <row r="5144" spans="1:10" x14ac:dyDescent="0.25">
      <c r="A5144" t="s">
        <v>46</v>
      </c>
      <c r="B5144" s="1" t="str">
        <f>HYPERLINK("http://autodesk.fr","autodesk.fr")</f>
        <v>autodesk.fr</v>
      </c>
      <c r="C5144" t="s">
        <v>446</v>
      </c>
      <c r="D5144" t="s">
        <v>824</v>
      </c>
      <c r="E5144">
        <v>283337</v>
      </c>
      <c r="F5144">
        <v>3.5111480650626502E-7</v>
      </c>
      <c r="G5144">
        <v>106485</v>
      </c>
      <c r="H5144">
        <v>14654767</v>
      </c>
      <c r="I5144">
        <v>624437</v>
      </c>
      <c r="J5144">
        <v>2</v>
      </c>
    </row>
    <row r="5145" spans="1:10" x14ac:dyDescent="0.25">
      <c r="A5145" t="s">
        <v>46</v>
      </c>
      <c r="B5145" s="1" t="str">
        <f>HYPERLINK("http://autodesk.com.hk","autodesk.com.hk")</f>
        <v>autodesk.com.hk</v>
      </c>
      <c r="C5145" t="s">
        <v>450</v>
      </c>
      <c r="D5145" t="s">
        <v>827</v>
      </c>
      <c r="F5145">
        <v>2.4994487523895002E-8</v>
      </c>
      <c r="G5145">
        <v>2067646</v>
      </c>
      <c r="H5145">
        <v>13660447</v>
      </c>
      <c r="I5145">
        <v>9601406</v>
      </c>
      <c r="J5145">
        <v>2</v>
      </c>
    </row>
    <row r="5146" spans="1:10" x14ac:dyDescent="0.25">
      <c r="A5146" t="s">
        <v>46</v>
      </c>
      <c r="B5146" s="1" t="str">
        <f>HYPERLINK("http://autodesk.hu","autodesk.hu")</f>
        <v>autodesk.hu</v>
      </c>
      <c r="C5146" t="s">
        <v>453</v>
      </c>
      <c r="D5146" t="s">
        <v>830</v>
      </c>
      <c r="F5146">
        <v>2.4409428432107E-8</v>
      </c>
      <c r="G5146">
        <v>2123042</v>
      </c>
      <c r="H5146">
        <v>14074418</v>
      </c>
      <c r="I5146">
        <v>2943847</v>
      </c>
      <c r="J5146">
        <v>2</v>
      </c>
    </row>
    <row r="5147" spans="1:10" x14ac:dyDescent="0.25">
      <c r="A5147" t="s">
        <v>46</v>
      </c>
      <c r="B5147" s="1" t="str">
        <f>HYPERLINK("http://autodeskrnd.co.il","autodeskrnd.co.il")</f>
        <v>autodeskrnd.co.il</v>
      </c>
      <c r="C5147" t="s">
        <v>456</v>
      </c>
      <c r="D5147" t="s">
        <v>833</v>
      </c>
      <c r="F5147">
        <v>5.9952071103480997E-9</v>
      </c>
      <c r="G5147">
        <v>16714204</v>
      </c>
      <c r="H5147">
        <v>14072059</v>
      </c>
      <c r="I5147">
        <v>3177076</v>
      </c>
      <c r="J5147">
        <v>3</v>
      </c>
    </row>
    <row r="5148" spans="1:10" x14ac:dyDescent="0.25">
      <c r="A5148" t="s">
        <v>46</v>
      </c>
      <c r="B5148" s="1" t="str">
        <f>HYPERLINK("http://autodesk.in","autodesk.in")</f>
        <v>autodesk.in</v>
      </c>
      <c r="C5148" t="s">
        <v>457</v>
      </c>
      <c r="D5148" t="s">
        <v>834</v>
      </c>
      <c r="E5148">
        <v>165134</v>
      </c>
      <c r="F5148">
        <v>9.6703118334523599E-8</v>
      </c>
      <c r="G5148">
        <v>417986</v>
      </c>
      <c r="H5148">
        <v>14641684</v>
      </c>
      <c r="I5148">
        <v>636081</v>
      </c>
      <c r="J5148">
        <v>2</v>
      </c>
    </row>
    <row r="5149" spans="1:10" x14ac:dyDescent="0.25">
      <c r="A5149" t="s">
        <v>46</v>
      </c>
      <c r="B5149" s="1" t="str">
        <f>HYPERLINK("http://autodesk.io","autodesk.io")</f>
        <v>autodesk.io</v>
      </c>
      <c r="C5149" t="s">
        <v>518</v>
      </c>
      <c r="F5149">
        <v>3.7720590238432402E-8</v>
      </c>
      <c r="G5149">
        <v>1371877</v>
      </c>
      <c r="H5149">
        <v>13997670</v>
      </c>
      <c r="I5149">
        <v>4017862</v>
      </c>
      <c r="J5149">
        <v>2</v>
      </c>
    </row>
    <row r="5150" spans="1:10" x14ac:dyDescent="0.25">
      <c r="A5150" t="s">
        <v>46</v>
      </c>
      <c r="B5150" s="1" t="str">
        <f>HYPERLINK("http://pype.io","pype.io")</f>
        <v>pype.io</v>
      </c>
      <c r="C5150" t="s">
        <v>518</v>
      </c>
      <c r="F5150">
        <v>3.08000171945977E-8</v>
      </c>
      <c r="G5150">
        <v>1672491</v>
      </c>
      <c r="H5150">
        <v>13842555</v>
      </c>
      <c r="I5150">
        <v>6067700</v>
      </c>
      <c r="J5150">
        <v>3</v>
      </c>
    </row>
    <row r="5151" spans="1:10" x14ac:dyDescent="0.25">
      <c r="A5151" t="s">
        <v>46</v>
      </c>
      <c r="B5151" s="1" t="str">
        <f>HYPERLINK("http://autodesk.it","autodesk.it")</f>
        <v>autodesk.it</v>
      </c>
      <c r="C5151" t="s">
        <v>459</v>
      </c>
      <c r="D5151" t="s">
        <v>835</v>
      </c>
      <c r="E5151">
        <v>272893</v>
      </c>
      <c r="F5151">
        <v>1.1971560915685501E-7</v>
      </c>
      <c r="G5151">
        <v>330249</v>
      </c>
      <c r="H5151">
        <v>14573962</v>
      </c>
      <c r="I5151">
        <v>731952</v>
      </c>
      <c r="J5151">
        <v>2</v>
      </c>
    </row>
    <row r="5152" spans="1:10" x14ac:dyDescent="0.25">
      <c r="A5152" t="s">
        <v>46</v>
      </c>
      <c r="B5152" s="1" t="str">
        <f>HYPERLINK("http://autodesk.jp","autodesk.jp")</f>
        <v>autodesk.jp</v>
      </c>
      <c r="C5152" t="s">
        <v>461</v>
      </c>
      <c r="D5152" t="s">
        <v>837</v>
      </c>
      <c r="F5152">
        <v>5.4258187604750897E-8</v>
      </c>
      <c r="G5152">
        <v>832854</v>
      </c>
      <c r="H5152">
        <v>14576701</v>
      </c>
      <c r="I5152">
        <v>720239</v>
      </c>
      <c r="J5152">
        <v>2</v>
      </c>
    </row>
    <row r="5153" spans="1:10" x14ac:dyDescent="0.25">
      <c r="A5153" t="s">
        <v>46</v>
      </c>
      <c r="B5153" s="1" t="str">
        <f>HYPERLINK("http://autodesk.co.jp","autodesk.co.jp")</f>
        <v>autodesk.co.jp</v>
      </c>
      <c r="C5153" t="s">
        <v>461</v>
      </c>
      <c r="D5153" t="s">
        <v>837</v>
      </c>
      <c r="E5153">
        <v>169682</v>
      </c>
      <c r="F5153">
        <v>2.8444817815149999E-7</v>
      </c>
      <c r="G5153">
        <v>130675</v>
      </c>
      <c r="H5153">
        <v>15140273</v>
      </c>
      <c r="I5153">
        <v>401215</v>
      </c>
      <c r="J5153">
        <v>2</v>
      </c>
    </row>
    <row r="5154" spans="1:10" x14ac:dyDescent="0.25">
      <c r="A5154" t="s">
        <v>46</v>
      </c>
      <c r="B5154" s="1" t="str">
        <f>HYPERLINK("http://autodesk.co.kr","autodesk.co.kr")</f>
        <v>autodesk.co.kr</v>
      </c>
      <c r="C5154" t="s">
        <v>463</v>
      </c>
      <c r="D5154" t="s">
        <v>839</v>
      </c>
      <c r="E5154">
        <v>382217</v>
      </c>
      <c r="F5154">
        <v>5.4090271381653201E-8</v>
      </c>
      <c r="G5154">
        <v>836590</v>
      </c>
      <c r="H5154">
        <v>14154321</v>
      </c>
      <c r="I5154">
        <v>1863184</v>
      </c>
      <c r="J5154">
        <v>2</v>
      </c>
    </row>
    <row r="5155" spans="1:10" x14ac:dyDescent="0.25">
      <c r="A5155" t="s">
        <v>46</v>
      </c>
      <c r="B5155" s="1" t="str">
        <f>HYPERLINK("http://autodesk.mx","autodesk.mx")</f>
        <v>autodesk.mx</v>
      </c>
      <c r="C5155" t="s">
        <v>471</v>
      </c>
      <c r="D5155" t="s">
        <v>847</v>
      </c>
      <c r="E5155">
        <v>487802</v>
      </c>
      <c r="F5155">
        <v>3.8939749901592198E-8</v>
      </c>
      <c r="G5155">
        <v>1324206</v>
      </c>
      <c r="H5155">
        <v>14227507</v>
      </c>
      <c r="I5155">
        <v>1677506</v>
      </c>
      <c r="J5155">
        <v>2</v>
      </c>
    </row>
    <row r="5156" spans="1:10" x14ac:dyDescent="0.25">
      <c r="A5156" t="s">
        <v>46</v>
      </c>
      <c r="B5156" s="1" t="str">
        <f>HYPERLINK("http://adskengineer.net","adskengineer.net")</f>
        <v>adskengineer.net</v>
      </c>
      <c r="C5156" t="s">
        <v>474</v>
      </c>
      <c r="F5156">
        <v>4.4438564896721601E-9</v>
      </c>
      <c r="G5156">
        <v>78318830</v>
      </c>
      <c r="H5156">
        <v>10358365</v>
      </c>
      <c r="I5156">
        <v>55463562</v>
      </c>
      <c r="J5156">
        <v>2</v>
      </c>
    </row>
    <row r="5157" spans="1:10" x14ac:dyDescent="0.25">
      <c r="A5157" t="s">
        <v>46</v>
      </c>
      <c r="B5157" s="1" t="str">
        <f>HYPERLINK("http://autodesk.net","autodesk.net")</f>
        <v>autodesk.net</v>
      </c>
      <c r="C5157" t="s">
        <v>474</v>
      </c>
      <c r="E5157">
        <v>64227</v>
      </c>
      <c r="F5157">
        <v>2.6080705896728699E-7</v>
      </c>
      <c r="G5157">
        <v>143407</v>
      </c>
      <c r="H5157">
        <v>14974189</v>
      </c>
      <c r="I5157">
        <v>432741</v>
      </c>
      <c r="J5157">
        <v>4</v>
      </c>
    </row>
    <row r="5158" spans="1:10" x14ac:dyDescent="0.25">
      <c r="A5158" t="s">
        <v>46</v>
      </c>
      <c r="B5158" s="1" t="str">
        <f>HYPERLINK("http://autodeskplm360.net","autodeskplm360.net")</f>
        <v>autodeskplm360.net</v>
      </c>
      <c r="C5158" t="s">
        <v>474</v>
      </c>
      <c r="E5158">
        <v>412278</v>
      </c>
      <c r="F5158">
        <v>9.0588705360267303E-9</v>
      </c>
      <c r="G5158">
        <v>7905342</v>
      </c>
      <c r="H5158">
        <v>12903865</v>
      </c>
      <c r="I5158">
        <v>13835320</v>
      </c>
      <c r="J5158">
        <v>2</v>
      </c>
    </row>
    <row r="5159" spans="1:10" x14ac:dyDescent="0.25">
      <c r="A5159" t="s">
        <v>46</v>
      </c>
      <c r="B5159" s="1" t="str">
        <f>HYPERLINK("http://autodesk.nl","autodesk.nl")</f>
        <v>autodesk.nl</v>
      </c>
      <c r="C5159" t="s">
        <v>477</v>
      </c>
      <c r="D5159" t="s">
        <v>852</v>
      </c>
      <c r="E5159">
        <v>748676</v>
      </c>
      <c r="F5159">
        <v>6.4243718793914703E-8</v>
      </c>
      <c r="G5159">
        <v>674064</v>
      </c>
      <c r="H5159">
        <v>14865016</v>
      </c>
      <c r="I5159">
        <v>482098</v>
      </c>
      <c r="J5159">
        <v>2</v>
      </c>
    </row>
    <row r="5160" spans="1:10" x14ac:dyDescent="0.25">
      <c r="A5160" t="s">
        <v>46</v>
      </c>
      <c r="B5160" s="1" t="str">
        <f>HYPERLINK("http://autodesk.no","autodesk.no")</f>
        <v>autodesk.no</v>
      </c>
      <c r="C5160" t="s">
        <v>478</v>
      </c>
      <c r="D5160" t="s">
        <v>853</v>
      </c>
      <c r="F5160">
        <v>1.9538743214800999E-8</v>
      </c>
      <c r="G5160">
        <v>2738287</v>
      </c>
      <c r="H5160">
        <v>12685389</v>
      </c>
      <c r="I5160">
        <v>15454679</v>
      </c>
      <c r="J5160">
        <v>2</v>
      </c>
    </row>
    <row r="5161" spans="1:10" x14ac:dyDescent="0.25">
      <c r="A5161" t="s">
        <v>46</v>
      </c>
      <c r="B5161" s="1" t="str">
        <f>HYPERLINK("http://autodesk.co.nz","autodesk.co.nz")</f>
        <v>autodesk.co.nz</v>
      </c>
      <c r="C5161" t="s">
        <v>479</v>
      </c>
      <c r="D5161" t="s">
        <v>854</v>
      </c>
      <c r="F5161">
        <v>1.4901660083927099E-8</v>
      </c>
      <c r="G5161">
        <v>3872091</v>
      </c>
      <c r="H5161">
        <v>13092157</v>
      </c>
      <c r="I5161">
        <v>12138832</v>
      </c>
      <c r="J5161">
        <v>2</v>
      </c>
    </row>
    <row r="5162" spans="1:10" x14ac:dyDescent="0.25">
      <c r="A5162" t="s">
        <v>46</v>
      </c>
      <c r="B5162" s="1" t="str">
        <f>HYPERLINK("http://autodesk.org","autodesk.org")</f>
        <v>autodesk.org</v>
      </c>
      <c r="C5162" t="s">
        <v>481</v>
      </c>
      <c r="F5162">
        <v>1.48469577644601E-7</v>
      </c>
      <c r="G5162">
        <v>261798</v>
      </c>
      <c r="H5162">
        <v>14438210</v>
      </c>
      <c r="I5162">
        <v>1066432</v>
      </c>
      <c r="J5162">
        <v>2</v>
      </c>
    </row>
    <row r="5163" spans="1:10" x14ac:dyDescent="0.25">
      <c r="A5163" t="s">
        <v>46</v>
      </c>
      <c r="B5163" s="1" t="str">
        <f>HYPERLINK("http://autodesk.pl","autodesk.pl")</f>
        <v>autodesk.pl</v>
      </c>
      <c r="C5163" t="s">
        <v>486</v>
      </c>
      <c r="D5163" t="s">
        <v>860</v>
      </c>
      <c r="E5163">
        <v>561128</v>
      </c>
      <c r="F5163">
        <v>5.9086392610652703E-8</v>
      </c>
      <c r="G5163">
        <v>750281</v>
      </c>
      <c r="H5163">
        <v>14599617</v>
      </c>
      <c r="I5163">
        <v>686646</v>
      </c>
      <c r="J5163">
        <v>2</v>
      </c>
    </row>
    <row r="5164" spans="1:10" x14ac:dyDescent="0.25">
      <c r="A5164" t="s">
        <v>46</v>
      </c>
      <c r="B5164" s="1" t="str">
        <f>HYPERLINK("http://autodesk.pt","autodesk.pt")</f>
        <v>autodesk.pt</v>
      </c>
      <c r="C5164" t="s">
        <v>488</v>
      </c>
      <c r="D5164" t="s">
        <v>862</v>
      </c>
      <c r="F5164">
        <v>2.2734120538825301E-8</v>
      </c>
      <c r="G5164">
        <v>2302998</v>
      </c>
      <c r="H5164">
        <v>14127362</v>
      </c>
      <c r="I5164">
        <v>2084850</v>
      </c>
      <c r="J5164">
        <v>2</v>
      </c>
    </row>
    <row r="5165" spans="1:10" x14ac:dyDescent="0.25">
      <c r="A5165" t="s">
        <v>46</v>
      </c>
      <c r="B5165" s="1" t="str">
        <f>HYPERLINK("http://autodesk.ru","autodesk.ru")</f>
        <v>autodesk.ru</v>
      </c>
      <c r="C5165" t="s">
        <v>493</v>
      </c>
      <c r="D5165" t="s">
        <v>867</v>
      </c>
      <c r="E5165">
        <v>299880</v>
      </c>
      <c r="F5165">
        <v>2.1296666533023099E-7</v>
      </c>
      <c r="G5165">
        <v>177286</v>
      </c>
      <c r="H5165">
        <v>17030710</v>
      </c>
      <c r="I5165">
        <v>83453</v>
      </c>
      <c r="J5165">
        <v>2</v>
      </c>
    </row>
    <row r="5166" spans="1:10" x14ac:dyDescent="0.25">
      <c r="A5166" t="s">
        <v>46</v>
      </c>
      <c r="B5166" s="1" t="str">
        <f>HYPERLINK("http://autodesk.se","autodesk.se")</f>
        <v>autodesk.se</v>
      </c>
      <c r="C5166" t="s">
        <v>495</v>
      </c>
      <c r="D5166" t="s">
        <v>869</v>
      </c>
      <c r="F5166">
        <v>2.9753837728965101E-8</v>
      </c>
      <c r="G5166">
        <v>1729668</v>
      </c>
      <c r="H5166">
        <v>14452156</v>
      </c>
      <c r="I5166">
        <v>1051991</v>
      </c>
      <c r="J5166">
        <v>2</v>
      </c>
    </row>
    <row r="5167" spans="1:10" x14ac:dyDescent="0.25">
      <c r="A5167" t="s">
        <v>46</v>
      </c>
      <c r="B5167" s="1" t="str">
        <f>HYPERLINK("http://autodesk.com.sg","autodesk.com.sg")</f>
        <v>autodesk.com.sg</v>
      </c>
      <c r="C5167" t="s">
        <v>496</v>
      </c>
      <c r="D5167" t="s">
        <v>870</v>
      </c>
      <c r="F5167">
        <v>9.4249857643995799E-8</v>
      </c>
      <c r="G5167">
        <v>430633</v>
      </c>
      <c r="H5167">
        <v>13921698</v>
      </c>
      <c r="I5167">
        <v>5934035</v>
      </c>
      <c r="J5167">
        <v>2</v>
      </c>
    </row>
    <row r="5168" spans="1:10" x14ac:dyDescent="0.25">
      <c r="A5168" t="s">
        <v>46</v>
      </c>
      <c r="B5168" s="1" t="str">
        <f>HYPERLINK("http://autodesk.com.tr","autodesk.com.tr")</f>
        <v>autodesk.com.tr</v>
      </c>
      <c r="C5168" t="s">
        <v>502</v>
      </c>
      <c r="D5168" t="s">
        <v>876</v>
      </c>
      <c r="E5168">
        <v>470277</v>
      </c>
      <c r="F5168">
        <v>2.6934518550087301E-8</v>
      </c>
      <c r="G5168">
        <v>1909712</v>
      </c>
      <c r="H5168">
        <v>14501513</v>
      </c>
      <c r="I5168">
        <v>849370</v>
      </c>
      <c r="J5168">
        <v>2</v>
      </c>
    </row>
    <row r="5169" spans="1:10" x14ac:dyDescent="0.25">
      <c r="A5169" t="s">
        <v>46</v>
      </c>
      <c r="B5169" s="1" t="str">
        <f>HYPERLINK("http://autodesk.com.tw","autodesk.com.tw")</f>
        <v>autodesk.com.tw</v>
      </c>
      <c r="C5169" t="s">
        <v>504</v>
      </c>
      <c r="D5169" t="s">
        <v>878</v>
      </c>
      <c r="E5169">
        <v>861789</v>
      </c>
      <c r="F5169">
        <v>2.4932781537161599E-8</v>
      </c>
      <c r="G5169">
        <v>2073250</v>
      </c>
      <c r="H5169">
        <v>14083146</v>
      </c>
      <c r="I5169">
        <v>2795373</v>
      </c>
      <c r="J5169">
        <v>2</v>
      </c>
    </row>
    <row r="5170" spans="1:10" x14ac:dyDescent="0.25">
      <c r="A5170" t="s">
        <v>46</v>
      </c>
      <c r="B5170" s="1" t="str">
        <f>HYPERLINK("http://autodesk.co.uk","autodesk.co.uk")</f>
        <v>autodesk.co.uk</v>
      </c>
      <c r="C5170" t="s">
        <v>506</v>
      </c>
      <c r="D5170" t="s">
        <v>880</v>
      </c>
      <c r="E5170">
        <v>126845</v>
      </c>
      <c r="F5170">
        <v>2.4914453049429602E-7</v>
      </c>
      <c r="G5170">
        <v>150163</v>
      </c>
      <c r="H5170">
        <v>15209169</v>
      </c>
      <c r="I5170">
        <v>394702</v>
      </c>
      <c r="J5170">
        <v>2</v>
      </c>
    </row>
    <row r="5171" spans="1:10" x14ac:dyDescent="0.25">
      <c r="A5171" t="s">
        <v>46</v>
      </c>
      <c r="B5171" s="1" t="str">
        <f>HYPERLINK("http://delcam.co.uk","delcam.co.uk")</f>
        <v>delcam.co.uk</v>
      </c>
      <c r="C5171" t="s">
        <v>506</v>
      </c>
      <c r="D5171" t="s">
        <v>880</v>
      </c>
      <c r="F5171">
        <v>7.3865346812288102E-9</v>
      </c>
      <c r="G5171">
        <v>11274538</v>
      </c>
      <c r="H5171">
        <v>13045425</v>
      </c>
      <c r="I5171">
        <v>12606561</v>
      </c>
      <c r="J5171">
        <v>3</v>
      </c>
    </row>
    <row r="5172" spans="1:10" x14ac:dyDescent="0.25">
      <c r="A5172" t="s">
        <v>46</v>
      </c>
      <c r="B5172" s="1" t="str">
        <f>HYPERLINK("http://autodesk.co.za","autodesk.co.za")</f>
        <v>autodesk.co.za</v>
      </c>
      <c r="C5172" t="s">
        <v>510</v>
      </c>
      <c r="D5172" t="s">
        <v>884</v>
      </c>
      <c r="F5172">
        <v>1.9117538787921199E-8</v>
      </c>
      <c r="G5172">
        <v>2812988</v>
      </c>
      <c r="H5172">
        <v>13108883</v>
      </c>
      <c r="I5172">
        <v>12044519</v>
      </c>
      <c r="J5172">
        <v>2</v>
      </c>
    </row>
    <row r="5173" spans="1:10" x14ac:dyDescent="0.25">
      <c r="A5173" t="s">
        <v>47</v>
      </c>
      <c r="B5173" s="1" t="str">
        <f>HYPERLINK("http://adp.com.br","adp.com.br")</f>
        <v>adp.com.br</v>
      </c>
      <c r="C5173" t="s">
        <v>425</v>
      </c>
      <c r="D5173" t="s">
        <v>806</v>
      </c>
      <c r="F5173">
        <v>1.8084052124700401E-8</v>
      </c>
      <c r="G5173">
        <v>3012989</v>
      </c>
      <c r="H5173">
        <v>13775712</v>
      </c>
      <c r="I5173">
        <v>6572206</v>
      </c>
      <c r="J5173">
        <v>2</v>
      </c>
    </row>
    <row r="5174" spans="1:10" x14ac:dyDescent="0.25">
      <c r="A5174" t="s">
        <v>47</v>
      </c>
      <c r="B5174" s="1" t="str">
        <f>HYPERLINK("http://adp.ca","adp.ca")</f>
        <v>adp.ca</v>
      </c>
      <c r="C5174" t="s">
        <v>428</v>
      </c>
      <c r="D5174" t="s">
        <v>809</v>
      </c>
      <c r="E5174">
        <v>179652</v>
      </c>
      <c r="F5174">
        <v>1.6077700234234501E-7</v>
      </c>
      <c r="G5174">
        <v>241439</v>
      </c>
      <c r="H5174">
        <v>14744075</v>
      </c>
      <c r="I5174">
        <v>565965</v>
      </c>
      <c r="J5174">
        <v>2</v>
      </c>
    </row>
    <row r="5175" spans="1:10" x14ac:dyDescent="0.25">
      <c r="A5175" t="s">
        <v>47</v>
      </c>
      <c r="B5175" s="1" t="str">
        <f>HYPERLINK("http://adp.careers","adp.careers")</f>
        <v>adp.careers</v>
      </c>
      <c r="C5175" t="s">
        <v>756</v>
      </c>
      <c r="F5175">
        <v>1.2964405251803899E-8</v>
      </c>
      <c r="G5175">
        <v>4648967</v>
      </c>
      <c r="H5175">
        <v>13092385</v>
      </c>
      <c r="I5175">
        <v>12138158</v>
      </c>
      <c r="J5175">
        <v>2</v>
      </c>
    </row>
    <row r="5176" spans="1:10" x14ac:dyDescent="0.25">
      <c r="A5176" t="s">
        <v>47</v>
      </c>
      <c r="B5176" s="1" t="str">
        <f>HYPERLINK("http://adp.ch","adp.ch")</f>
        <v>adp.ch</v>
      </c>
      <c r="C5176" t="s">
        <v>429</v>
      </c>
      <c r="D5176" t="s">
        <v>810</v>
      </c>
      <c r="F5176">
        <v>1.76607709136328E-8</v>
      </c>
      <c r="G5176">
        <v>3105361</v>
      </c>
      <c r="H5176">
        <v>12728261</v>
      </c>
      <c r="I5176">
        <v>15205715</v>
      </c>
      <c r="J5176">
        <v>2</v>
      </c>
    </row>
    <row r="5177" spans="1:10" x14ac:dyDescent="0.25">
      <c r="A5177" t="s">
        <v>47</v>
      </c>
      <c r="B5177" s="1" t="str">
        <f>HYPERLINK("http://adp.cl","adp.cl")</f>
        <v>adp.cl</v>
      </c>
      <c r="C5177" t="s">
        <v>430</v>
      </c>
      <c r="D5177" t="s">
        <v>811</v>
      </c>
      <c r="F5177">
        <v>1.70335392373999E-8</v>
      </c>
      <c r="G5177">
        <v>3275569</v>
      </c>
      <c r="H5177">
        <v>12667268</v>
      </c>
      <c r="I5177">
        <v>15644121</v>
      </c>
      <c r="J5177">
        <v>2</v>
      </c>
    </row>
    <row r="5178" spans="1:10" x14ac:dyDescent="0.25">
      <c r="A5178" t="s">
        <v>47</v>
      </c>
      <c r="B5178" s="1" t="str">
        <f>HYPERLINK("http://adp.com","adp.com")</f>
        <v>adp.com</v>
      </c>
      <c r="C5178" t="s">
        <v>433</v>
      </c>
      <c r="E5178">
        <v>870</v>
      </c>
      <c r="F5178">
        <v>2.0822545259202899E-5</v>
      </c>
      <c r="G5178">
        <v>1415</v>
      </c>
      <c r="H5178">
        <v>18148424</v>
      </c>
      <c r="I5178">
        <v>2923</v>
      </c>
      <c r="J5178">
        <v>1</v>
      </c>
    </row>
    <row r="5179" spans="1:10" x14ac:dyDescent="0.25">
      <c r="A5179" t="s">
        <v>47</v>
      </c>
      <c r="B5179" s="1" t="str">
        <f>HYPERLINK("http://adpcorp.com","adpcorp.com")</f>
        <v>adpcorp.com</v>
      </c>
      <c r="C5179" t="s">
        <v>433</v>
      </c>
      <c r="E5179">
        <v>418329</v>
      </c>
      <c r="F5179">
        <v>1.25484094694722E-8</v>
      </c>
      <c r="G5179">
        <v>4860111</v>
      </c>
      <c r="H5179">
        <v>13252352</v>
      </c>
      <c r="I5179">
        <v>11072138</v>
      </c>
      <c r="J5179">
        <v>2</v>
      </c>
    </row>
    <row r="5180" spans="1:10" x14ac:dyDescent="0.25">
      <c r="A5180" t="s">
        <v>47</v>
      </c>
      <c r="B5180" s="1" t="str">
        <f>HYPERLINK("http://adphc.com","adphc.com")</f>
        <v>adphc.com</v>
      </c>
      <c r="C5180" t="s">
        <v>433</v>
      </c>
      <c r="F5180">
        <v>4.4440054669322598E-9</v>
      </c>
      <c r="G5180">
        <v>77674645</v>
      </c>
      <c r="H5180">
        <v>10551771</v>
      </c>
      <c r="I5180">
        <v>46645383</v>
      </c>
      <c r="J5180">
        <v>2</v>
      </c>
    </row>
    <row r="5181" spans="1:10" x14ac:dyDescent="0.25">
      <c r="A5181" t="s">
        <v>47</v>
      </c>
      <c r="B5181" s="1" t="str">
        <f>HYPERLINK("http://celergo.com","celergo.com")</f>
        <v>celergo.com</v>
      </c>
      <c r="C5181" t="s">
        <v>433</v>
      </c>
      <c r="F5181">
        <v>7.7660564017508002E-9</v>
      </c>
      <c r="G5181">
        <v>10400289</v>
      </c>
      <c r="H5181">
        <v>12906007</v>
      </c>
      <c r="I5181">
        <v>13820778</v>
      </c>
      <c r="J5181">
        <v>4</v>
      </c>
    </row>
    <row r="5182" spans="1:10" x14ac:dyDescent="0.25">
      <c r="A5182" t="s">
        <v>47</v>
      </c>
      <c r="B5182" s="1" t="str">
        <f>HYPERLINK("http://de-adp.com","de-adp.com")</f>
        <v>de-adp.com</v>
      </c>
      <c r="C5182" t="s">
        <v>433</v>
      </c>
      <c r="F5182">
        <v>5.3024963388190499E-8</v>
      </c>
      <c r="G5182">
        <v>858889</v>
      </c>
      <c r="H5182">
        <v>14395561</v>
      </c>
      <c r="I5182">
        <v>1160364</v>
      </c>
      <c r="J5182">
        <v>3</v>
      </c>
    </row>
    <row r="5183" spans="1:10" x14ac:dyDescent="0.25">
      <c r="A5183" t="s">
        <v>47</v>
      </c>
      <c r="B5183" s="1" t="str">
        <f>HYPERLINK("http://eease.com","eease.com")</f>
        <v>eease.com</v>
      </c>
      <c r="C5183" t="s">
        <v>433</v>
      </c>
      <c r="E5183">
        <v>232108</v>
      </c>
      <c r="F5183">
        <v>2.0284919779707198E-8</v>
      </c>
      <c r="G5183">
        <v>2616377</v>
      </c>
      <c r="H5183">
        <v>13786200</v>
      </c>
      <c r="I5183">
        <v>6389627</v>
      </c>
      <c r="J5183">
        <v>2</v>
      </c>
    </row>
    <row r="5184" spans="1:10" x14ac:dyDescent="0.25">
      <c r="A5184" t="s">
        <v>47</v>
      </c>
      <c r="B5184" s="1" t="str">
        <f>HYPERLINK("http://employease.com","employease.com")</f>
        <v>employease.com</v>
      </c>
      <c r="C5184" t="s">
        <v>433</v>
      </c>
      <c r="F5184">
        <v>1.1342870057894299E-8</v>
      </c>
      <c r="G5184">
        <v>5613086</v>
      </c>
      <c r="H5184">
        <v>13380590</v>
      </c>
      <c r="I5184">
        <v>10425262</v>
      </c>
      <c r="J5184">
        <v>4</v>
      </c>
    </row>
    <row r="5185" spans="1:10" x14ac:dyDescent="0.25">
      <c r="A5185" t="s">
        <v>47</v>
      </c>
      <c r="B5185" s="1" t="str">
        <f>HYPERLINK("http://globalcashcard.com","globalcashcard.com")</f>
        <v>globalcashcard.com</v>
      </c>
      <c r="C5185" t="s">
        <v>433</v>
      </c>
      <c r="E5185">
        <v>437920</v>
      </c>
      <c r="F5185">
        <v>6.2890053702810801E-8</v>
      </c>
      <c r="G5185">
        <v>697191</v>
      </c>
      <c r="H5185">
        <v>13498910</v>
      </c>
      <c r="I5185">
        <v>9974868</v>
      </c>
      <c r="J5185">
        <v>3</v>
      </c>
    </row>
    <row r="5186" spans="1:10" x14ac:dyDescent="0.25">
      <c r="A5186" t="s">
        <v>47</v>
      </c>
      <c r="B5186" s="1" t="str">
        <f>HYPERLINK("http://lifion.com","lifion.com")</f>
        <v>lifion.com</v>
      </c>
      <c r="C5186" t="s">
        <v>433</v>
      </c>
      <c r="F5186">
        <v>3.51066045149523E-7</v>
      </c>
      <c r="G5186">
        <v>106504</v>
      </c>
      <c r="H5186">
        <v>14240161</v>
      </c>
      <c r="I5186">
        <v>1503876</v>
      </c>
      <c r="J5186">
        <v>4</v>
      </c>
    </row>
    <row r="5187" spans="1:10" x14ac:dyDescent="0.25">
      <c r="A5187" t="s">
        <v>47</v>
      </c>
      <c r="B5187" s="1" t="str">
        <f>HYPERLINK("http://oneadp.com","oneadp.com")</f>
        <v>oneadp.com</v>
      </c>
      <c r="C5187" t="s">
        <v>433</v>
      </c>
      <c r="E5187">
        <v>88700</v>
      </c>
      <c r="F5187">
        <v>4.4767965119446897E-9</v>
      </c>
      <c r="G5187">
        <v>63026939</v>
      </c>
      <c r="H5187">
        <v>12849754</v>
      </c>
      <c r="I5187">
        <v>14285626</v>
      </c>
      <c r="J5187">
        <v>2</v>
      </c>
    </row>
    <row r="5188" spans="1:10" x14ac:dyDescent="0.25">
      <c r="A5188" t="s">
        <v>47</v>
      </c>
      <c r="B5188" s="1" t="str">
        <f>HYPERLINK("http://rightthinginc.com","rightthinginc.com")</f>
        <v>rightthinginc.com</v>
      </c>
      <c r="C5188" t="s">
        <v>433</v>
      </c>
      <c r="F5188">
        <v>1.17485867950009E-8</v>
      </c>
      <c r="G5188">
        <v>5335366</v>
      </c>
      <c r="H5188">
        <v>13945162</v>
      </c>
      <c r="I5188">
        <v>4285479</v>
      </c>
      <c r="J5188">
        <v>3</v>
      </c>
    </row>
    <row r="5189" spans="1:10" x14ac:dyDescent="0.25">
      <c r="A5189" t="s">
        <v>47</v>
      </c>
      <c r="B5189" s="1" t="str">
        <f>HYPERLINK("http://tmbc.com","tmbc.com")</f>
        <v>tmbc.com</v>
      </c>
      <c r="C5189" t="s">
        <v>433</v>
      </c>
      <c r="E5189">
        <v>111187</v>
      </c>
      <c r="F5189">
        <v>2.3177234650671499E-7</v>
      </c>
      <c r="G5189">
        <v>161998</v>
      </c>
      <c r="H5189">
        <v>14620838</v>
      </c>
      <c r="I5189">
        <v>658073</v>
      </c>
      <c r="J5189">
        <v>4</v>
      </c>
    </row>
    <row r="5190" spans="1:10" x14ac:dyDescent="0.25">
      <c r="A5190" t="s">
        <v>47</v>
      </c>
      <c r="B5190" s="1" t="str">
        <f>HYPERLINK("http://workmarket.com","workmarket.com")</f>
        <v>workmarket.com</v>
      </c>
      <c r="C5190" t="s">
        <v>433</v>
      </c>
      <c r="E5190">
        <v>79417</v>
      </c>
      <c r="F5190">
        <v>2.9354225154991002E-7</v>
      </c>
      <c r="G5190">
        <v>126794</v>
      </c>
      <c r="H5190">
        <v>17105000</v>
      </c>
      <c r="I5190">
        <v>62933</v>
      </c>
      <c r="J5190">
        <v>3</v>
      </c>
    </row>
    <row r="5191" spans="1:10" x14ac:dyDescent="0.25">
      <c r="A5191" t="s">
        <v>47</v>
      </c>
      <c r="B5191" s="1" t="str">
        <f>HYPERLINK("http://adp.fi","adp.fi")</f>
        <v>adp.fi</v>
      </c>
      <c r="C5191" t="s">
        <v>445</v>
      </c>
      <c r="D5191" t="s">
        <v>823</v>
      </c>
      <c r="J5191">
        <v>4</v>
      </c>
    </row>
    <row r="5192" spans="1:10" x14ac:dyDescent="0.25">
      <c r="A5192" t="s">
        <v>47</v>
      </c>
      <c r="B5192" s="1" t="str">
        <f>HYPERLINK("http://adp.com.hk","adp.com.hk")</f>
        <v>adp.com.hk</v>
      </c>
      <c r="C5192" t="s">
        <v>450</v>
      </c>
      <c r="D5192" t="s">
        <v>827</v>
      </c>
      <c r="F5192">
        <v>1.3693979580217299E-8</v>
      </c>
      <c r="G5192">
        <v>4323617</v>
      </c>
      <c r="H5192">
        <v>13574416</v>
      </c>
      <c r="I5192">
        <v>9706378</v>
      </c>
      <c r="J5192">
        <v>2</v>
      </c>
    </row>
    <row r="5193" spans="1:10" x14ac:dyDescent="0.25">
      <c r="A5193" t="s">
        <v>47</v>
      </c>
      <c r="B5193" s="1" t="str">
        <f>HYPERLINK("http://adp.in","adp.in")</f>
        <v>adp.in</v>
      </c>
      <c r="C5193" t="s">
        <v>457</v>
      </c>
      <c r="D5193" t="s">
        <v>834</v>
      </c>
      <c r="F5193">
        <v>2.84087040719268E-8</v>
      </c>
      <c r="G5193">
        <v>1811516</v>
      </c>
      <c r="H5193">
        <v>13726760</v>
      </c>
      <c r="I5193">
        <v>9461614</v>
      </c>
      <c r="J5193">
        <v>2</v>
      </c>
    </row>
    <row r="5194" spans="1:10" x14ac:dyDescent="0.25">
      <c r="A5194" t="s">
        <v>47</v>
      </c>
      <c r="B5194" s="1" t="str">
        <f>HYPERLINK("http://mastertax.net","mastertax.net")</f>
        <v>mastertax.net</v>
      </c>
      <c r="C5194" t="s">
        <v>474</v>
      </c>
      <c r="F5194">
        <v>4.4441644095722104E-9</v>
      </c>
      <c r="G5194">
        <v>77314864</v>
      </c>
      <c r="H5194">
        <v>10852299</v>
      </c>
      <c r="I5194">
        <v>36809321</v>
      </c>
      <c r="J5194">
        <v>3</v>
      </c>
    </row>
    <row r="5195" spans="1:10" x14ac:dyDescent="0.25">
      <c r="A5195" t="s">
        <v>47</v>
      </c>
      <c r="B5195" s="1" t="str">
        <f>HYPERLINK("http://payforce.net","payforce.net")</f>
        <v>payforce.net</v>
      </c>
      <c r="C5195" t="s">
        <v>474</v>
      </c>
      <c r="J5195">
        <v>4</v>
      </c>
    </row>
    <row r="5196" spans="1:10" x14ac:dyDescent="0.25">
      <c r="A5196" t="s">
        <v>47</v>
      </c>
      <c r="B5196" s="1" t="str">
        <f>HYPERLINK("http://adp.nl","adp.nl")</f>
        <v>adp.nl</v>
      </c>
      <c r="C5196" t="s">
        <v>477</v>
      </c>
      <c r="D5196" t="s">
        <v>852</v>
      </c>
      <c r="E5196">
        <v>313388</v>
      </c>
      <c r="F5196">
        <v>1.13624053913044E-7</v>
      </c>
      <c r="G5196">
        <v>350782</v>
      </c>
      <c r="H5196">
        <v>13613419</v>
      </c>
      <c r="I5196">
        <v>9632630</v>
      </c>
      <c r="J5196">
        <v>2</v>
      </c>
    </row>
    <row r="5197" spans="1:10" x14ac:dyDescent="0.25">
      <c r="A5197" t="s">
        <v>47</v>
      </c>
      <c r="B5197" s="1" t="str">
        <f>HYPERLINK("http://adp.pe","adp.pe")</f>
        <v>adp.pe</v>
      </c>
      <c r="C5197" t="s">
        <v>483</v>
      </c>
      <c r="D5197" t="s">
        <v>857</v>
      </c>
      <c r="F5197">
        <v>1.21601102083517E-8</v>
      </c>
      <c r="G5197">
        <v>5073695</v>
      </c>
      <c r="H5197">
        <v>12581715</v>
      </c>
      <c r="I5197">
        <v>16490486</v>
      </c>
      <c r="J5197">
        <v>2</v>
      </c>
    </row>
    <row r="5198" spans="1:10" x14ac:dyDescent="0.25">
      <c r="A5198" t="s">
        <v>47</v>
      </c>
      <c r="B5198" s="1" t="str">
        <f>HYPERLINK("http://adp.ph","adp.ph")</f>
        <v>adp.ph</v>
      </c>
      <c r="C5198" t="s">
        <v>484</v>
      </c>
      <c r="D5198" t="s">
        <v>858</v>
      </c>
      <c r="F5198">
        <v>1.4079232989012E-8</v>
      </c>
      <c r="G5198">
        <v>4173302</v>
      </c>
      <c r="H5198">
        <v>12668153</v>
      </c>
      <c r="I5198">
        <v>15638655</v>
      </c>
      <c r="J5198">
        <v>2</v>
      </c>
    </row>
    <row r="5199" spans="1:10" x14ac:dyDescent="0.25">
      <c r="A5199" t="s">
        <v>47</v>
      </c>
      <c r="B5199" s="1" t="str">
        <f>HYPERLINK("http://adp.pl","adp.pl")</f>
        <v>adp.pl</v>
      </c>
      <c r="C5199" t="s">
        <v>486</v>
      </c>
      <c r="D5199" t="s">
        <v>860</v>
      </c>
      <c r="F5199">
        <v>2.6265740057102999E-8</v>
      </c>
      <c r="G5199">
        <v>1960601</v>
      </c>
      <c r="H5199">
        <v>13679354</v>
      </c>
      <c r="I5199">
        <v>9536386</v>
      </c>
      <c r="J5199">
        <v>2</v>
      </c>
    </row>
    <row r="5200" spans="1:10" x14ac:dyDescent="0.25">
      <c r="A5200" t="s">
        <v>47</v>
      </c>
      <c r="B5200" s="1" t="str">
        <f>HYPERLINK("http://adp.sg","adp.sg")</f>
        <v>adp.sg</v>
      </c>
      <c r="C5200" t="s">
        <v>496</v>
      </c>
      <c r="D5200" t="s">
        <v>870</v>
      </c>
      <c r="F5200">
        <v>1.1073979323463999E-8</v>
      </c>
      <c r="G5200">
        <v>5804659</v>
      </c>
      <c r="H5200">
        <v>12579898</v>
      </c>
      <c r="I5200">
        <v>16510551</v>
      </c>
      <c r="J5200">
        <v>2</v>
      </c>
    </row>
    <row r="5201" spans="1:10" x14ac:dyDescent="0.25">
      <c r="A5201" t="s">
        <v>47</v>
      </c>
      <c r="B5201" s="1" t="str">
        <f>HYPERLINK("http://adp.co.uk","adp.co.uk")</f>
        <v>adp.co.uk</v>
      </c>
      <c r="C5201" t="s">
        <v>506</v>
      </c>
      <c r="D5201" t="s">
        <v>880</v>
      </c>
      <c r="F5201">
        <v>3.4674886872122501E-8</v>
      </c>
      <c r="G5201">
        <v>1496661</v>
      </c>
      <c r="H5201">
        <v>13566084</v>
      </c>
      <c r="I5201">
        <v>9761721</v>
      </c>
      <c r="J5201">
        <v>2</v>
      </c>
    </row>
    <row r="5202" spans="1:10" x14ac:dyDescent="0.25">
      <c r="A5202" t="s">
        <v>48</v>
      </c>
      <c r="B5202" s="1" t="str">
        <f>HYPERLINK("http://autozone.app","autozone.app")</f>
        <v>autozone.app</v>
      </c>
      <c r="C5202" t="s">
        <v>587</v>
      </c>
      <c r="F5202">
        <v>4.8269104199740798E-8</v>
      </c>
      <c r="G5202">
        <v>962402</v>
      </c>
      <c r="H5202">
        <v>12775916</v>
      </c>
      <c r="I5202">
        <v>14794767</v>
      </c>
      <c r="J5202">
        <v>2</v>
      </c>
    </row>
    <row r="5203" spans="1:10" x14ac:dyDescent="0.25">
      <c r="A5203" t="s">
        <v>48</v>
      </c>
      <c r="B5203" s="1" t="str">
        <f>HYPERLINK("http://autozone.com.br","autozone.com.br")</f>
        <v>autozone.com.br</v>
      </c>
      <c r="C5203" t="s">
        <v>425</v>
      </c>
      <c r="D5203" t="s">
        <v>806</v>
      </c>
      <c r="F5203">
        <v>4.5226432313332697E-9</v>
      </c>
      <c r="G5203">
        <v>55882606</v>
      </c>
      <c r="H5203">
        <v>10721473</v>
      </c>
      <c r="I5203">
        <v>41726187</v>
      </c>
      <c r="J5203">
        <v>3</v>
      </c>
    </row>
    <row r="5204" spans="1:10" x14ac:dyDescent="0.25">
      <c r="A5204" t="s">
        <v>48</v>
      </c>
      <c r="B5204" s="1" t="str">
        <f>HYPERLINK("http://alldata.com","alldata.com")</f>
        <v>alldata.com</v>
      </c>
      <c r="C5204" t="s">
        <v>433</v>
      </c>
      <c r="E5204">
        <v>36292</v>
      </c>
      <c r="F5204">
        <v>4.5349433870586499E-7</v>
      </c>
      <c r="G5204">
        <v>83373</v>
      </c>
      <c r="H5204">
        <v>16996038</v>
      </c>
      <c r="I5204">
        <v>94567</v>
      </c>
      <c r="J5204">
        <v>2</v>
      </c>
    </row>
    <row r="5205" spans="1:10" x14ac:dyDescent="0.25">
      <c r="A5205" t="s">
        <v>48</v>
      </c>
      <c r="B5205" s="1" t="str">
        <f>HYPERLINK("http://alldatapro.com","alldatapro.com")</f>
        <v>alldatapro.com</v>
      </c>
      <c r="C5205" t="s">
        <v>433</v>
      </c>
      <c r="F5205">
        <v>2.8322064162385101E-8</v>
      </c>
      <c r="G5205">
        <v>1816944</v>
      </c>
      <c r="H5205">
        <v>13322742</v>
      </c>
      <c r="I5205">
        <v>10739072</v>
      </c>
      <c r="J5205">
        <v>5</v>
      </c>
    </row>
    <row r="5206" spans="1:10" x14ac:dyDescent="0.25">
      <c r="A5206" t="s">
        <v>48</v>
      </c>
      <c r="B5206" s="1" t="str">
        <f>HYPERLINK("http://autozone.com","autozone.com")</f>
        <v>autozone.com</v>
      </c>
      <c r="C5206" t="s">
        <v>433</v>
      </c>
      <c r="E5206">
        <v>7734</v>
      </c>
      <c r="F5206">
        <v>5.1559166526292302E-6</v>
      </c>
      <c r="G5206">
        <v>6725</v>
      </c>
      <c r="H5206">
        <v>18546550</v>
      </c>
      <c r="I5206">
        <v>1435</v>
      </c>
      <c r="J5206">
        <v>1</v>
      </c>
    </row>
    <row r="5207" spans="1:10" x14ac:dyDescent="0.25">
      <c r="A5207" t="s">
        <v>48</v>
      </c>
      <c r="B5207" s="1" t="str">
        <f>HYPERLINK("http://autozone.com.mx","autozone.com.mx")</f>
        <v>autozone.com.mx</v>
      </c>
      <c r="C5207" t="s">
        <v>471</v>
      </c>
      <c r="D5207" t="s">
        <v>847</v>
      </c>
      <c r="E5207">
        <v>106786</v>
      </c>
      <c r="F5207">
        <v>6.7595157645382505E-8</v>
      </c>
      <c r="G5207">
        <v>631995</v>
      </c>
      <c r="H5207">
        <v>13601003</v>
      </c>
      <c r="I5207">
        <v>9649049</v>
      </c>
      <c r="J5207">
        <v>2</v>
      </c>
    </row>
    <row r="5208" spans="1:10" x14ac:dyDescent="0.25">
      <c r="A5208" t="s">
        <v>48</v>
      </c>
      <c r="B5208" s="1" t="str">
        <f>HYPERLINK("http://autozonedemexico.com.mx","autozonedemexico.com.mx")</f>
        <v>autozonedemexico.com.mx</v>
      </c>
      <c r="C5208" t="s">
        <v>471</v>
      </c>
      <c r="D5208" t="s">
        <v>847</v>
      </c>
      <c r="J5208">
        <v>3</v>
      </c>
    </row>
    <row r="5209" spans="1:10" x14ac:dyDescent="0.25">
      <c r="A5209" t="s">
        <v>48</v>
      </c>
      <c r="B5209" s="1" t="str">
        <f>HYPERLINK("http://wwwautozone.com.mx","wwwautozone.com.mx")</f>
        <v>wwwautozone.com.mx</v>
      </c>
      <c r="C5209" t="s">
        <v>471</v>
      </c>
      <c r="D5209" t="s">
        <v>847</v>
      </c>
      <c r="J5209">
        <v>3</v>
      </c>
    </row>
    <row r="5210" spans="1:10" x14ac:dyDescent="0.25">
      <c r="A5210" t="s">
        <v>48</v>
      </c>
      <c r="B5210" s="1" t="str">
        <f>HYPERLINK("http://autozone.co.za","autozone.co.za")</f>
        <v>autozone.co.za</v>
      </c>
      <c r="C5210" t="s">
        <v>510</v>
      </c>
      <c r="D5210" t="s">
        <v>884</v>
      </c>
      <c r="E5210">
        <v>665505</v>
      </c>
      <c r="F5210">
        <v>1.32735153482846E-8</v>
      </c>
      <c r="G5210">
        <v>4505112</v>
      </c>
      <c r="H5210">
        <v>13236642</v>
      </c>
      <c r="I5210">
        <v>11239036</v>
      </c>
      <c r="J5210">
        <v>3</v>
      </c>
    </row>
    <row r="5211" spans="1:10" x14ac:dyDescent="0.25">
      <c r="A5211" t="s">
        <v>1593</v>
      </c>
      <c r="B5211" s="1" t="str">
        <f>HYPERLINK("http://axisamc.com","axisamc.com")</f>
        <v>axisamc.com</v>
      </c>
      <c r="C5211" t="s">
        <v>433</v>
      </c>
      <c r="F5211">
        <v>5.0355186461605601E-9</v>
      </c>
      <c r="G5211">
        <v>28542622</v>
      </c>
      <c r="H5211">
        <v>10436152</v>
      </c>
      <c r="I5211">
        <v>52687046</v>
      </c>
      <c r="J5211">
        <v>3</v>
      </c>
    </row>
    <row r="5212" spans="1:10" x14ac:dyDescent="0.25">
      <c r="A5212" t="s">
        <v>1593</v>
      </c>
      <c r="B5212" s="1" t="str">
        <f>HYPERLINK("http://axisbank.com","axisbank.com")</f>
        <v>axisbank.com</v>
      </c>
      <c r="C5212" t="s">
        <v>433</v>
      </c>
      <c r="E5212">
        <v>5939</v>
      </c>
      <c r="F5212">
        <v>8.1687546370116699E-7</v>
      </c>
      <c r="G5212">
        <v>48367</v>
      </c>
      <c r="H5212">
        <v>17229452</v>
      </c>
      <c r="I5212">
        <v>36984</v>
      </c>
      <c r="J5212">
        <v>1</v>
      </c>
    </row>
    <row r="5213" spans="1:10" x14ac:dyDescent="0.25">
      <c r="A5213" t="s">
        <v>1593</v>
      </c>
      <c r="B5213" s="1" t="str">
        <f>HYPERLINK("http://axismf.com","axismf.com")</f>
        <v>axismf.com</v>
      </c>
      <c r="C5213" t="s">
        <v>433</v>
      </c>
      <c r="E5213">
        <v>114940</v>
      </c>
      <c r="F5213">
        <v>1.8983305787557899E-7</v>
      </c>
      <c r="G5213">
        <v>202977</v>
      </c>
      <c r="H5213">
        <v>14539617</v>
      </c>
      <c r="I5213">
        <v>776199</v>
      </c>
      <c r="J5213">
        <v>3</v>
      </c>
    </row>
    <row r="5214" spans="1:10" x14ac:dyDescent="0.25">
      <c r="A5214" t="s">
        <v>1593</v>
      </c>
      <c r="B5214" s="1" t="str">
        <f>HYPERLINK("http://axistrustee.com","axistrustee.com")</f>
        <v>axistrustee.com</v>
      </c>
      <c r="C5214" t="s">
        <v>433</v>
      </c>
      <c r="F5214">
        <v>2.2896086358369498E-8</v>
      </c>
      <c r="G5214">
        <v>2283349</v>
      </c>
      <c r="H5214">
        <v>13232711</v>
      </c>
      <c r="I5214">
        <v>11259037</v>
      </c>
      <c r="J5214">
        <v>3</v>
      </c>
    </row>
    <row r="5215" spans="1:10" x14ac:dyDescent="0.25">
      <c r="A5215" t="s">
        <v>1593</v>
      </c>
      <c r="B5215" s="1" t="str">
        <f>HYPERLINK("http://cofoxdigital.com","cofoxdigital.com")</f>
        <v>cofoxdigital.com</v>
      </c>
      <c r="C5215" t="s">
        <v>433</v>
      </c>
      <c r="F5215">
        <v>4.44613381723856E-9</v>
      </c>
      <c r="G5215">
        <v>74566549</v>
      </c>
      <c r="H5215">
        <v>10529378</v>
      </c>
      <c r="I5215">
        <v>48445099</v>
      </c>
      <c r="J5215">
        <v>4</v>
      </c>
    </row>
    <row r="5216" spans="1:10" x14ac:dyDescent="0.25">
      <c r="A5216" t="s">
        <v>1593</v>
      </c>
      <c r="B5216" s="1" t="str">
        <f>HYPERLINK("http://freecharge.com","freecharge.com")</f>
        <v>freecharge.com</v>
      </c>
      <c r="C5216" t="s">
        <v>433</v>
      </c>
      <c r="F5216">
        <v>1.7689952640331801E-8</v>
      </c>
      <c r="G5216">
        <v>3098934</v>
      </c>
      <c r="H5216">
        <v>13936307</v>
      </c>
      <c r="I5216">
        <v>4499005</v>
      </c>
      <c r="J5216">
        <v>4</v>
      </c>
    </row>
    <row r="5217" spans="1:10" x14ac:dyDescent="0.25">
      <c r="A5217" t="s">
        <v>1593</v>
      </c>
      <c r="B5217" s="1" t="str">
        <f>HYPERLINK("http://axiscap.in","axiscap.in")</f>
        <v>axiscap.in</v>
      </c>
      <c r="C5217" t="s">
        <v>457</v>
      </c>
      <c r="D5217" t="s">
        <v>834</v>
      </c>
      <c r="E5217">
        <v>741441</v>
      </c>
      <c r="F5217">
        <v>6.5967034090064401E-9</v>
      </c>
      <c r="G5217">
        <v>13689677</v>
      </c>
      <c r="H5217">
        <v>13046728</v>
      </c>
      <c r="I5217">
        <v>12602152</v>
      </c>
      <c r="J5217">
        <v>4</v>
      </c>
    </row>
    <row r="5218" spans="1:10" x14ac:dyDescent="0.25">
      <c r="A5218" t="s">
        <v>1593</v>
      </c>
      <c r="B5218" s="1" t="str">
        <f>HYPERLINK("http://axisdirect.in","axisdirect.in")</f>
        <v>axisdirect.in</v>
      </c>
      <c r="C5218" t="s">
        <v>457</v>
      </c>
      <c r="D5218" t="s">
        <v>834</v>
      </c>
      <c r="E5218">
        <v>129040</v>
      </c>
      <c r="F5218">
        <v>4.6492815239295902E-8</v>
      </c>
      <c r="G5218">
        <v>1005997</v>
      </c>
      <c r="H5218">
        <v>14248295</v>
      </c>
      <c r="I5218">
        <v>1454338</v>
      </c>
      <c r="J5218">
        <v>4</v>
      </c>
    </row>
    <row r="5219" spans="1:10" x14ac:dyDescent="0.25">
      <c r="A5219" t="s">
        <v>1593</v>
      </c>
      <c r="B5219" s="1" t="str">
        <f>HYPERLINK("http://axisfinance.in","axisfinance.in")</f>
        <v>axisfinance.in</v>
      </c>
      <c r="C5219" t="s">
        <v>457</v>
      </c>
      <c r="D5219" t="s">
        <v>834</v>
      </c>
      <c r="F5219">
        <v>1.6873668213586001E-8</v>
      </c>
      <c r="G5219">
        <v>3315498</v>
      </c>
      <c r="H5219">
        <v>12157063</v>
      </c>
      <c r="I5219">
        <v>24442522</v>
      </c>
      <c r="J5219">
        <v>5</v>
      </c>
    </row>
    <row r="5220" spans="1:10" x14ac:dyDescent="0.25">
      <c r="A5220" t="s">
        <v>1593</v>
      </c>
      <c r="B5220" s="1" t="str">
        <f>HYPERLINK("http://axisbank.co.in","axisbank.co.in")</f>
        <v>axisbank.co.in</v>
      </c>
      <c r="C5220" t="s">
        <v>457</v>
      </c>
      <c r="D5220" t="s">
        <v>834</v>
      </c>
      <c r="E5220">
        <v>5818</v>
      </c>
      <c r="F5220">
        <v>2.6334011260795399E-7</v>
      </c>
      <c r="G5220">
        <v>141857</v>
      </c>
      <c r="H5220">
        <v>16845074</v>
      </c>
      <c r="I5220">
        <v>159231</v>
      </c>
      <c r="J5220">
        <v>2</v>
      </c>
    </row>
    <row r="5221" spans="1:10" x14ac:dyDescent="0.25">
      <c r="A5221" t="s">
        <v>1593</v>
      </c>
      <c r="B5221" s="1" t="str">
        <f>HYPERLINK("http://axiscapital.co.in","axiscapital.co.in")</f>
        <v>axiscapital.co.in</v>
      </c>
      <c r="C5221" t="s">
        <v>457</v>
      </c>
      <c r="D5221" t="s">
        <v>834</v>
      </c>
      <c r="E5221">
        <v>713937</v>
      </c>
      <c r="F5221">
        <v>7.0835415611329098E-8</v>
      </c>
      <c r="G5221">
        <v>597287</v>
      </c>
      <c r="H5221">
        <v>14072748</v>
      </c>
      <c r="I5221">
        <v>3049905</v>
      </c>
      <c r="J5221">
        <v>4</v>
      </c>
    </row>
    <row r="5222" spans="1:10" x14ac:dyDescent="0.25">
      <c r="A5222" t="s">
        <v>1593</v>
      </c>
      <c r="B5222" s="1" t="str">
        <f>HYPERLINK("http://axisdirect.co.in","axisdirect.co.in")</f>
        <v>axisdirect.co.in</v>
      </c>
      <c r="C5222" t="s">
        <v>457</v>
      </c>
      <c r="D5222" t="s">
        <v>834</v>
      </c>
      <c r="F5222">
        <v>8.0896834591831102E-9</v>
      </c>
      <c r="G5222">
        <v>9759876</v>
      </c>
      <c r="H5222">
        <v>13764555</v>
      </c>
      <c r="I5222">
        <v>7238004</v>
      </c>
      <c r="J5222">
        <v>5</v>
      </c>
    </row>
    <row r="5223" spans="1:10" x14ac:dyDescent="0.25">
      <c r="A5223" t="s">
        <v>1593</v>
      </c>
      <c r="B5223" s="1" t="str">
        <f>HYPERLINK("http://axisfinance.co.in","axisfinance.co.in")</f>
        <v>axisfinance.co.in</v>
      </c>
      <c r="C5223" t="s">
        <v>457</v>
      </c>
      <c r="D5223" t="s">
        <v>834</v>
      </c>
      <c r="F5223">
        <v>7.8083627601270103E-9</v>
      </c>
      <c r="G5223">
        <v>10302033</v>
      </c>
      <c r="H5223">
        <v>12189807</v>
      </c>
      <c r="I5223">
        <v>23587831</v>
      </c>
      <c r="J5223">
        <v>2</v>
      </c>
    </row>
    <row r="5224" spans="1:10" x14ac:dyDescent="0.25">
      <c r="A5224" t="s">
        <v>1593</v>
      </c>
      <c r="B5224" s="1" t="str">
        <f>HYPERLINK("http://fc-promotions.in","fc-promotions.in")</f>
        <v>fc-promotions.in</v>
      </c>
      <c r="C5224" t="s">
        <v>457</v>
      </c>
      <c r="D5224" t="s">
        <v>834</v>
      </c>
      <c r="E5224">
        <v>664884</v>
      </c>
      <c r="F5224">
        <v>4.5948933016647397E-9</v>
      </c>
      <c r="G5224">
        <v>48014660</v>
      </c>
      <c r="H5224">
        <v>1.0003663</v>
      </c>
      <c r="I5224">
        <v>79424785</v>
      </c>
      <c r="J5224">
        <v>4</v>
      </c>
    </row>
    <row r="5225" spans="1:10" x14ac:dyDescent="0.25">
      <c r="A5225" t="s">
        <v>1593</v>
      </c>
      <c r="B5225" s="1" t="str">
        <f>HYPERLINK("http://freecharge.in","freecharge.in")</f>
        <v>freecharge.in</v>
      </c>
      <c r="C5225" t="s">
        <v>457</v>
      </c>
      <c r="D5225" t="s">
        <v>834</v>
      </c>
      <c r="E5225">
        <v>65045</v>
      </c>
      <c r="F5225">
        <v>2.5817588395652402E-7</v>
      </c>
      <c r="G5225">
        <v>144875</v>
      </c>
      <c r="H5225">
        <v>17115796</v>
      </c>
      <c r="I5225">
        <v>61025</v>
      </c>
      <c r="J5225">
        <v>3</v>
      </c>
    </row>
    <row r="5226" spans="1:10" x14ac:dyDescent="0.25">
      <c r="A5226" t="s">
        <v>1593</v>
      </c>
      <c r="B5226" s="1" t="str">
        <f>HYPERLINK("http://axisbankuk.co.uk","axisbankuk.co.uk")</f>
        <v>axisbankuk.co.uk</v>
      </c>
      <c r="C5226" t="s">
        <v>506</v>
      </c>
      <c r="D5226" t="s">
        <v>880</v>
      </c>
      <c r="F5226">
        <v>8.2648235430014704E-9</v>
      </c>
      <c r="G5226">
        <v>9340940</v>
      </c>
      <c r="H5226">
        <v>12327686</v>
      </c>
      <c r="I5226">
        <v>20253010</v>
      </c>
      <c r="J5226">
        <v>3</v>
      </c>
    </row>
    <row r="5227" spans="1:10" x14ac:dyDescent="0.25">
      <c r="A5227" t="s">
        <v>1594</v>
      </c>
      <c r="B5227" s="1" t="str">
        <f>HYPERLINK("http://basf.ae","basf.ae")</f>
        <v>basf.ae</v>
      </c>
      <c r="C5227" t="s">
        <v>417</v>
      </c>
      <c r="D5227" t="s">
        <v>799</v>
      </c>
      <c r="F5227">
        <v>6.6203643721686003E-9</v>
      </c>
      <c r="G5227">
        <v>13596769</v>
      </c>
      <c r="H5227">
        <v>12419522</v>
      </c>
      <c r="I5227">
        <v>18466927</v>
      </c>
      <c r="J5227">
        <v>2</v>
      </c>
    </row>
    <row r="5228" spans="1:10" x14ac:dyDescent="0.25">
      <c r="A5228" t="s">
        <v>1594</v>
      </c>
      <c r="B5228" s="1" t="str">
        <f>HYPERLINK("http://basf.com.ar","basf.com.ar")</f>
        <v>basf.com.ar</v>
      </c>
      <c r="C5228" t="s">
        <v>418</v>
      </c>
      <c r="D5228" t="s">
        <v>800</v>
      </c>
      <c r="F5228">
        <v>1.19014588095575E-8</v>
      </c>
      <c r="G5228">
        <v>5238412</v>
      </c>
      <c r="H5228">
        <v>13766461</v>
      </c>
      <c r="I5228">
        <v>7003265</v>
      </c>
      <c r="J5228">
        <v>2</v>
      </c>
    </row>
    <row r="5229" spans="1:10" x14ac:dyDescent="0.25">
      <c r="A5229" t="s">
        <v>1594</v>
      </c>
      <c r="B5229" s="1" t="str">
        <f>HYPERLINK("http://basf.at","basf.at")</f>
        <v>basf.at</v>
      </c>
      <c r="C5229" t="s">
        <v>419</v>
      </c>
      <c r="D5229" t="s">
        <v>801</v>
      </c>
      <c r="F5229">
        <v>3.4252317801931301E-8</v>
      </c>
      <c r="G5229">
        <v>1513291</v>
      </c>
      <c r="H5229">
        <v>13375569</v>
      </c>
      <c r="I5229">
        <v>10444143</v>
      </c>
      <c r="J5229">
        <v>2</v>
      </c>
    </row>
    <row r="5230" spans="1:10" x14ac:dyDescent="0.25">
      <c r="A5230" t="s">
        <v>1594</v>
      </c>
      <c r="B5230" s="1" t="str">
        <f>HYPERLINK("http://basf.com.au","basf.com.au")</f>
        <v>basf.com.au</v>
      </c>
      <c r="C5230" t="s">
        <v>420</v>
      </c>
      <c r="D5230" t="s">
        <v>802</v>
      </c>
      <c r="F5230">
        <v>1.52214126638176E-8</v>
      </c>
      <c r="G5230">
        <v>3769344</v>
      </c>
      <c r="H5230">
        <v>14092429</v>
      </c>
      <c r="I5230">
        <v>2739573</v>
      </c>
      <c r="J5230">
        <v>2</v>
      </c>
    </row>
    <row r="5231" spans="1:10" x14ac:dyDescent="0.25">
      <c r="A5231" t="s">
        <v>1594</v>
      </c>
      <c r="B5231" s="1" t="str">
        <f>HYPERLINK("http://chemetall.com.au","chemetall.com.au")</f>
        <v>chemetall.com.au</v>
      </c>
      <c r="C5231" t="s">
        <v>420</v>
      </c>
      <c r="D5231" t="s">
        <v>802</v>
      </c>
      <c r="F5231">
        <v>8.3963442651675999E-9</v>
      </c>
      <c r="G5231">
        <v>9050394</v>
      </c>
      <c r="H5231">
        <v>12340338</v>
      </c>
      <c r="I5231">
        <v>19996354</v>
      </c>
      <c r="J5231">
        <v>4</v>
      </c>
    </row>
    <row r="5232" spans="1:10" x14ac:dyDescent="0.25">
      <c r="A5232" t="s">
        <v>1594</v>
      </c>
      <c r="B5232" s="1" t="str">
        <f>HYPERLINK("http://glasurit.com.au","glasurit.com.au")</f>
        <v>glasurit.com.au</v>
      </c>
      <c r="C5232" t="s">
        <v>420</v>
      </c>
      <c r="D5232" t="s">
        <v>802</v>
      </c>
      <c r="F5232">
        <v>4.8222944039327902E-9</v>
      </c>
      <c r="G5232">
        <v>35135590</v>
      </c>
      <c r="H5232">
        <v>11147095</v>
      </c>
      <c r="I5232">
        <v>31766418</v>
      </c>
      <c r="J5232">
        <v>4</v>
      </c>
    </row>
    <row r="5233" spans="1:10" x14ac:dyDescent="0.25">
      <c r="A5233" t="s">
        <v>1594</v>
      </c>
      <c r="B5233" s="1" t="str">
        <f>HYPERLINK("http://basf.be","basf.be")</f>
        <v>basf.be</v>
      </c>
      <c r="C5233" t="s">
        <v>421</v>
      </c>
      <c r="D5233" t="s">
        <v>803</v>
      </c>
      <c r="F5233">
        <v>5.0242803718919203E-8</v>
      </c>
      <c r="G5233">
        <v>915610</v>
      </c>
      <c r="H5233">
        <v>14289737</v>
      </c>
      <c r="I5233">
        <v>1366967</v>
      </c>
      <c r="J5233">
        <v>2</v>
      </c>
    </row>
    <row r="5234" spans="1:10" x14ac:dyDescent="0.25">
      <c r="A5234" t="s">
        <v>1594</v>
      </c>
      <c r="B5234" s="1" t="str">
        <f>HYPERLINK("http://combinant.be","combinant.be")</f>
        <v>combinant.be</v>
      </c>
      <c r="C5234" t="s">
        <v>421</v>
      </c>
      <c r="D5234" t="s">
        <v>803</v>
      </c>
      <c r="F5234">
        <v>1.06382617918347E-8</v>
      </c>
      <c r="G5234">
        <v>6151245</v>
      </c>
      <c r="H5234">
        <v>12448532</v>
      </c>
      <c r="I5234">
        <v>18038459</v>
      </c>
      <c r="J5234">
        <v>3</v>
      </c>
    </row>
    <row r="5235" spans="1:10" x14ac:dyDescent="0.25">
      <c r="A5235" t="s">
        <v>1594</v>
      </c>
      <c r="B5235" s="1" t="str">
        <f>HYPERLINK("http://basf.bg","basf.bg")</f>
        <v>basf.bg</v>
      </c>
      <c r="C5235" t="s">
        <v>422</v>
      </c>
      <c r="D5235" t="s">
        <v>804</v>
      </c>
      <c r="F5235">
        <v>3.13990636812263E-8</v>
      </c>
      <c r="G5235">
        <v>1642675</v>
      </c>
      <c r="H5235">
        <v>12539168</v>
      </c>
      <c r="I5235">
        <v>16948827</v>
      </c>
      <c r="J5235">
        <v>2</v>
      </c>
    </row>
    <row r="5236" spans="1:10" x14ac:dyDescent="0.25">
      <c r="A5236" t="s">
        <v>1594</v>
      </c>
      <c r="B5236" s="1" t="str">
        <f>HYPERLINK("http://gascade.biz","gascade.biz")</f>
        <v>gascade.biz</v>
      </c>
      <c r="C5236" t="s">
        <v>423</v>
      </c>
      <c r="F5236">
        <v>1.47144032876838E-8</v>
      </c>
      <c r="G5236">
        <v>3935956</v>
      </c>
      <c r="H5236">
        <v>12703978</v>
      </c>
      <c r="I5236">
        <v>15333003</v>
      </c>
      <c r="J5236">
        <v>6</v>
      </c>
    </row>
    <row r="5237" spans="1:10" x14ac:dyDescent="0.25">
      <c r="A5237" t="s">
        <v>1594</v>
      </c>
      <c r="B5237" s="1" t="str">
        <f>HYPERLINK("http://basf.com.br","basf.com.br")</f>
        <v>basf.com.br</v>
      </c>
      <c r="C5237" t="s">
        <v>425</v>
      </c>
      <c r="D5237" t="s">
        <v>806</v>
      </c>
      <c r="F5237">
        <v>1.20198487323909E-8</v>
      </c>
      <c r="G5237">
        <v>5162863</v>
      </c>
      <c r="H5237">
        <v>14487197</v>
      </c>
      <c r="I5237">
        <v>951308</v>
      </c>
      <c r="J5237">
        <v>2</v>
      </c>
    </row>
    <row r="5238" spans="1:10" x14ac:dyDescent="0.25">
      <c r="A5238" t="s">
        <v>1594</v>
      </c>
      <c r="B5238" s="1" t="str">
        <f>HYPERLINK("http://chemetall.com.br","chemetall.com.br")</f>
        <v>chemetall.com.br</v>
      </c>
      <c r="C5238" t="s">
        <v>425</v>
      </c>
      <c r="D5238" t="s">
        <v>806</v>
      </c>
      <c r="J5238">
        <v>3</v>
      </c>
    </row>
    <row r="5239" spans="1:10" x14ac:dyDescent="0.25">
      <c r="A5239" t="s">
        <v>1594</v>
      </c>
      <c r="B5239" s="1" t="str">
        <f>HYPERLINK("http://suvinil.com.br","suvinil.com.br")</f>
        <v>suvinil.com.br</v>
      </c>
      <c r="C5239" t="s">
        <v>425</v>
      </c>
      <c r="D5239" t="s">
        <v>806</v>
      </c>
      <c r="E5239">
        <v>338550</v>
      </c>
      <c r="F5239">
        <v>2.7207925679291999E-8</v>
      </c>
      <c r="G5239">
        <v>1889790</v>
      </c>
      <c r="H5239">
        <v>14620988</v>
      </c>
      <c r="I5239">
        <v>657747</v>
      </c>
      <c r="J5239">
        <v>3</v>
      </c>
    </row>
    <row r="5240" spans="1:10" x14ac:dyDescent="0.25">
      <c r="A5240" t="s">
        <v>1594</v>
      </c>
      <c r="B5240" s="1" t="str">
        <f>HYPERLINK("http://basf.by","basf.by")</f>
        <v>basf.by</v>
      </c>
      <c r="C5240" t="s">
        <v>427</v>
      </c>
      <c r="D5240" t="s">
        <v>808</v>
      </c>
      <c r="F5240">
        <v>2.6800239864952199E-8</v>
      </c>
      <c r="G5240">
        <v>1919538</v>
      </c>
      <c r="H5240">
        <v>12439325</v>
      </c>
      <c r="I5240">
        <v>18152107</v>
      </c>
      <c r="J5240">
        <v>2</v>
      </c>
    </row>
    <row r="5241" spans="1:10" x14ac:dyDescent="0.25">
      <c r="A5241" t="s">
        <v>1594</v>
      </c>
      <c r="B5241" s="1" t="str">
        <f>HYPERLINK("http://basf.ca","basf.ca")</f>
        <v>basf.ca</v>
      </c>
      <c r="C5241" t="s">
        <v>428</v>
      </c>
      <c r="D5241" t="s">
        <v>809</v>
      </c>
      <c r="F5241">
        <v>8.1519307346066897E-8</v>
      </c>
      <c r="G5241">
        <v>511986</v>
      </c>
      <c r="H5241">
        <v>14106367</v>
      </c>
      <c r="I5241">
        <v>2688757</v>
      </c>
      <c r="J5241">
        <v>2</v>
      </c>
    </row>
    <row r="5242" spans="1:10" x14ac:dyDescent="0.25">
      <c r="A5242" t="s">
        <v>1594</v>
      </c>
      <c r="B5242" s="1" t="str">
        <f>HYPERLINK("http://basf.ch","basf.ch")</f>
        <v>basf.ch</v>
      </c>
      <c r="C5242" t="s">
        <v>429</v>
      </c>
      <c r="D5242" t="s">
        <v>810</v>
      </c>
      <c r="F5242">
        <v>3.51342927133555E-8</v>
      </c>
      <c r="G5242">
        <v>1479438</v>
      </c>
      <c r="H5242">
        <v>12854145</v>
      </c>
      <c r="I5242">
        <v>14239337</v>
      </c>
      <c r="J5242">
        <v>2</v>
      </c>
    </row>
    <row r="5243" spans="1:10" x14ac:dyDescent="0.25">
      <c r="A5243" t="s">
        <v>1594</v>
      </c>
      <c r="B5243" s="1" t="str">
        <f>HYPERLINK("http://basf-intertrade.ch","basf-intertrade.ch")</f>
        <v>basf-intertrade.ch</v>
      </c>
      <c r="C5243" t="s">
        <v>429</v>
      </c>
      <c r="D5243" t="s">
        <v>810</v>
      </c>
      <c r="F5243">
        <v>4.9159581668224299E-9</v>
      </c>
      <c r="G5243">
        <v>31962878</v>
      </c>
      <c r="H5243">
        <v>1.0003663</v>
      </c>
      <c r="I5243">
        <v>78294262</v>
      </c>
      <c r="J5243">
        <v>3</v>
      </c>
    </row>
    <row r="5244" spans="1:10" x14ac:dyDescent="0.25">
      <c r="A5244" t="s">
        <v>1594</v>
      </c>
      <c r="B5244" s="1" t="str">
        <f>HYPERLINK("http://bci-info.ch","bci-info.ch")</f>
        <v>bci-info.ch</v>
      </c>
      <c r="C5244" t="s">
        <v>429</v>
      </c>
      <c r="D5244" t="s">
        <v>810</v>
      </c>
      <c r="F5244">
        <v>1.41768295678379E-8</v>
      </c>
      <c r="G5244">
        <v>4137445</v>
      </c>
      <c r="H5244">
        <v>13139277</v>
      </c>
      <c r="I5244">
        <v>11883407</v>
      </c>
      <c r="J5244">
        <v>3</v>
      </c>
    </row>
    <row r="5245" spans="1:10" x14ac:dyDescent="0.25">
      <c r="A5245" t="s">
        <v>1594</v>
      </c>
      <c r="B5245" s="1" t="str">
        <f>HYPERLINK("http://cei123.ch","cei123.ch")</f>
        <v>cei123.ch</v>
      </c>
      <c r="C5245" t="s">
        <v>429</v>
      </c>
      <c r="D5245" t="s">
        <v>810</v>
      </c>
      <c r="F5245">
        <v>8.1181374643406999E-9</v>
      </c>
      <c r="G5245">
        <v>9710066</v>
      </c>
      <c r="H5245">
        <v>12296694</v>
      </c>
      <c r="I5245">
        <v>20930709</v>
      </c>
      <c r="J5245">
        <v>6</v>
      </c>
    </row>
    <row r="5246" spans="1:10" x14ac:dyDescent="0.25">
      <c r="A5246" t="s">
        <v>1594</v>
      </c>
      <c r="B5246" s="1" t="str">
        <f>HYPERLINK("http://basf.cl","basf.cl")</f>
        <v>basf.cl</v>
      </c>
      <c r="C5246" t="s">
        <v>430</v>
      </c>
      <c r="D5246" t="s">
        <v>811</v>
      </c>
      <c r="F5246">
        <v>8.3518590753830494E-9</v>
      </c>
      <c r="G5246">
        <v>9142467</v>
      </c>
      <c r="H5246">
        <v>13823150</v>
      </c>
      <c r="I5246">
        <v>6134543</v>
      </c>
      <c r="J5246">
        <v>2</v>
      </c>
    </row>
    <row r="5247" spans="1:10" x14ac:dyDescent="0.25">
      <c r="A5247" t="s">
        <v>1594</v>
      </c>
      <c r="B5247" s="1" t="str">
        <f>HYPERLINK("http://basf.com.cn","basf.com.cn")</f>
        <v>basf.com.cn</v>
      </c>
      <c r="C5247" t="s">
        <v>431</v>
      </c>
      <c r="D5247" t="s">
        <v>812</v>
      </c>
      <c r="F5247">
        <v>1.0557702344659099E-8</v>
      </c>
      <c r="G5247">
        <v>6219855</v>
      </c>
      <c r="H5247">
        <v>12375772</v>
      </c>
      <c r="I5247">
        <v>19305360</v>
      </c>
      <c r="J5247">
        <v>2</v>
      </c>
    </row>
    <row r="5248" spans="1:10" x14ac:dyDescent="0.25">
      <c r="A5248" t="s">
        <v>1594</v>
      </c>
      <c r="B5248" s="1" t="str">
        <f>HYPERLINK("http://basf-ypc.com.cn","basf-ypc.com.cn")</f>
        <v>basf-ypc.com.cn</v>
      </c>
      <c r="C5248" t="s">
        <v>431</v>
      </c>
      <c r="D5248" t="s">
        <v>812</v>
      </c>
      <c r="F5248">
        <v>2.00108162902372E-8</v>
      </c>
      <c r="G5248">
        <v>2657609</v>
      </c>
      <c r="H5248">
        <v>12676593</v>
      </c>
      <c r="I5248">
        <v>15546004</v>
      </c>
      <c r="J5248">
        <v>2</v>
      </c>
    </row>
    <row r="5249" spans="1:10" x14ac:dyDescent="0.25">
      <c r="A5249" t="s">
        <v>1594</v>
      </c>
      <c r="B5249" s="1" t="str">
        <f>HYPERLINK("http://chemetall.com.cn","chemetall.com.cn")</f>
        <v>chemetall.com.cn</v>
      </c>
      <c r="C5249" t="s">
        <v>431</v>
      </c>
      <c r="D5249" t="s">
        <v>812</v>
      </c>
      <c r="F5249">
        <v>9.7094547970160606E-9</v>
      </c>
      <c r="G5249">
        <v>7069833</v>
      </c>
      <c r="H5249">
        <v>12342814</v>
      </c>
      <c r="I5249">
        <v>19895769</v>
      </c>
      <c r="J5249">
        <v>3</v>
      </c>
    </row>
    <row r="5250" spans="1:10" x14ac:dyDescent="0.25">
      <c r="A5250" t="s">
        <v>1594</v>
      </c>
      <c r="B5250" s="1" t="str">
        <f>HYPERLINK("http://elastollan.net.cn","elastollan.net.cn")</f>
        <v>elastollan.net.cn</v>
      </c>
      <c r="C5250" t="s">
        <v>431</v>
      </c>
      <c r="D5250" t="s">
        <v>812</v>
      </c>
      <c r="J5250">
        <v>3</v>
      </c>
    </row>
    <row r="5251" spans="1:10" x14ac:dyDescent="0.25">
      <c r="A5251" t="s">
        <v>1594</v>
      </c>
      <c r="B5251" s="1" t="str">
        <f>HYPERLINK("http://basf.com.co","basf.com.co")</f>
        <v>basf.com.co</v>
      </c>
      <c r="C5251" t="s">
        <v>432</v>
      </c>
      <c r="F5251">
        <v>7.00835551031298E-9</v>
      </c>
      <c r="G5251">
        <v>12287376</v>
      </c>
      <c r="H5251">
        <v>12689436</v>
      </c>
      <c r="I5251">
        <v>15423634</v>
      </c>
      <c r="J5251">
        <v>2</v>
      </c>
    </row>
    <row r="5252" spans="1:10" x14ac:dyDescent="0.25">
      <c r="A5252" t="s">
        <v>1594</v>
      </c>
      <c r="B5252" s="1" t="str">
        <f>HYPERLINK("http://bafs.com","bafs.com")</f>
        <v>bafs.com</v>
      </c>
      <c r="C5252" t="s">
        <v>433</v>
      </c>
      <c r="F5252">
        <v>4.4448961432631096E-9</v>
      </c>
      <c r="G5252">
        <v>75908078</v>
      </c>
      <c r="H5252">
        <v>10733727</v>
      </c>
      <c r="I5252">
        <v>40740670</v>
      </c>
      <c r="J5252">
        <v>3</v>
      </c>
    </row>
    <row r="5253" spans="1:10" x14ac:dyDescent="0.25">
      <c r="A5253" t="s">
        <v>1594</v>
      </c>
      <c r="B5253" s="1" t="str">
        <f>HYPERLINK("http://basf.com","basf.com")</f>
        <v>basf.com</v>
      </c>
      <c r="C5253" t="s">
        <v>433</v>
      </c>
      <c r="E5253">
        <v>7030</v>
      </c>
      <c r="F5253">
        <v>4.4235721980391503E-6</v>
      </c>
      <c r="G5253">
        <v>7989</v>
      </c>
      <c r="H5253">
        <v>17663536</v>
      </c>
      <c r="I5253">
        <v>8089</v>
      </c>
      <c r="J5253">
        <v>1</v>
      </c>
    </row>
    <row r="5254" spans="1:10" x14ac:dyDescent="0.25">
      <c r="A5254" t="s">
        <v>1594</v>
      </c>
      <c r="B5254" s="1" t="str">
        <f>HYPERLINK("http://basf-3dps.com","basf-3dps.com")</f>
        <v>basf-3dps.com</v>
      </c>
      <c r="C5254" t="s">
        <v>433</v>
      </c>
      <c r="F5254">
        <v>6.1723272567764297E-9</v>
      </c>
      <c r="G5254">
        <v>15680578</v>
      </c>
      <c r="H5254">
        <v>12456388</v>
      </c>
      <c r="I5254">
        <v>17919468</v>
      </c>
      <c r="J5254">
        <v>3</v>
      </c>
    </row>
    <row r="5255" spans="1:10" x14ac:dyDescent="0.25">
      <c r="A5255" t="s">
        <v>1594</v>
      </c>
      <c r="B5255" s="1" t="str">
        <f>HYPERLINK("http://basf-services-europe.com","basf-services-europe.com")</f>
        <v>basf-services-europe.com</v>
      </c>
      <c r="C5255" t="s">
        <v>433</v>
      </c>
      <c r="F5255">
        <v>7.0766310899465504E-9</v>
      </c>
      <c r="G5255">
        <v>12080654</v>
      </c>
      <c r="H5255">
        <v>12746615</v>
      </c>
      <c r="I5255">
        <v>15081667</v>
      </c>
      <c r="J5255">
        <v>3</v>
      </c>
    </row>
    <row r="5256" spans="1:10" x14ac:dyDescent="0.25">
      <c r="A5256" t="s">
        <v>1594</v>
      </c>
      <c r="B5256" s="1" t="str">
        <f>HYPERLINK("http://beckerunderwood.com","beckerunderwood.com")</f>
        <v>beckerunderwood.com</v>
      </c>
      <c r="C5256" t="s">
        <v>433</v>
      </c>
      <c r="F5256">
        <v>2.5930296831530901E-8</v>
      </c>
      <c r="G5256">
        <v>1987227</v>
      </c>
      <c r="H5256">
        <v>14827397</v>
      </c>
      <c r="I5256">
        <v>508927</v>
      </c>
      <c r="J5256">
        <v>3</v>
      </c>
    </row>
    <row r="5257" spans="1:10" x14ac:dyDescent="0.25">
      <c r="A5257" t="s">
        <v>1594</v>
      </c>
      <c r="B5257" s="1" t="str">
        <f>HYPERLINK("http://bigrep.com","bigrep.com")</f>
        <v>bigrep.com</v>
      </c>
      <c r="C5257" t="s">
        <v>433</v>
      </c>
      <c r="E5257">
        <v>274794</v>
      </c>
      <c r="F5257">
        <v>9.9594437348637698E-8</v>
      </c>
      <c r="G5257">
        <v>404301</v>
      </c>
      <c r="H5257">
        <v>14200796</v>
      </c>
      <c r="I5257">
        <v>1722144</v>
      </c>
      <c r="J5257">
        <v>3</v>
      </c>
    </row>
    <row r="5258" spans="1:10" x14ac:dyDescent="0.25">
      <c r="A5258" t="s">
        <v>1594</v>
      </c>
      <c r="B5258" s="1" t="str">
        <f>HYPERLINK("http://btc-europe.com","btc-europe.com")</f>
        <v>btc-europe.com</v>
      </c>
      <c r="C5258" t="s">
        <v>433</v>
      </c>
      <c r="F5258">
        <v>4.0652663554018901E-8</v>
      </c>
      <c r="G5258">
        <v>1274494</v>
      </c>
      <c r="H5258">
        <v>14073446</v>
      </c>
      <c r="I5258">
        <v>2994177</v>
      </c>
      <c r="J5258">
        <v>3</v>
      </c>
    </row>
    <row r="5259" spans="1:10" x14ac:dyDescent="0.25">
      <c r="A5259" t="s">
        <v>1594</v>
      </c>
      <c r="B5259" s="1" t="str">
        <f>HYPERLINK("http://chemetall.com","chemetall.com")</f>
        <v>chemetall.com</v>
      </c>
      <c r="C5259" t="s">
        <v>433</v>
      </c>
      <c r="E5259">
        <v>422043</v>
      </c>
      <c r="F5259">
        <v>1.14809668419254E-7</v>
      </c>
      <c r="G5259">
        <v>346760</v>
      </c>
      <c r="H5259">
        <v>14480225</v>
      </c>
      <c r="I5259">
        <v>1026458</v>
      </c>
      <c r="J5259">
        <v>3</v>
      </c>
    </row>
    <row r="5260" spans="1:10" x14ac:dyDescent="0.25">
      <c r="A5260" t="s">
        <v>1594</v>
      </c>
      <c r="B5260" s="1" t="str">
        <f>HYPERLINK("http://chemetallna.com","chemetallna.com")</f>
        <v>chemetallna.com</v>
      </c>
      <c r="C5260" t="s">
        <v>433</v>
      </c>
      <c r="F5260">
        <v>2.4487980858182899E-8</v>
      </c>
      <c r="G5260">
        <v>2115757</v>
      </c>
      <c r="H5260">
        <v>12973571</v>
      </c>
      <c r="I5260">
        <v>13026064</v>
      </c>
      <c r="J5260">
        <v>6</v>
      </c>
    </row>
    <row r="5261" spans="1:10" x14ac:dyDescent="0.25">
      <c r="A5261" t="s">
        <v>1594</v>
      </c>
      <c r="B5261" s="1" t="str">
        <f>HYPERLINK("http://chemovator.com","chemovator.com")</f>
        <v>chemovator.com</v>
      </c>
      <c r="C5261" t="s">
        <v>433</v>
      </c>
      <c r="F5261">
        <v>1.4716097035478E-8</v>
      </c>
      <c r="G5261">
        <v>3935420</v>
      </c>
      <c r="H5261">
        <v>12745118</v>
      </c>
      <c r="I5261">
        <v>15090331</v>
      </c>
      <c r="J5261">
        <v>3</v>
      </c>
    </row>
    <row r="5262" spans="1:10" x14ac:dyDescent="0.25">
      <c r="A5262" t="s">
        <v>1594</v>
      </c>
      <c r="B5262" s="1" t="str">
        <f>HYPERLINK("http://cibasc.com","cibasc.com")</f>
        <v>cibasc.com</v>
      </c>
      <c r="C5262" t="s">
        <v>433</v>
      </c>
      <c r="F5262">
        <v>2.5297516120145801E-8</v>
      </c>
      <c r="G5262">
        <v>2039808</v>
      </c>
      <c r="H5262">
        <v>14106483</v>
      </c>
      <c r="I5262">
        <v>2687040</v>
      </c>
      <c r="J5262">
        <v>3</v>
      </c>
    </row>
    <row r="5263" spans="1:10" x14ac:dyDescent="0.25">
      <c r="A5263" t="s">
        <v>1594</v>
      </c>
      <c r="B5263" s="1" t="str">
        <f>HYPERLINK("http://computomics.com","computomics.com")</f>
        <v>computomics.com</v>
      </c>
      <c r="C5263" t="s">
        <v>433</v>
      </c>
      <c r="F5263">
        <v>4.9099121821172599E-8</v>
      </c>
      <c r="G5263">
        <v>943189</v>
      </c>
      <c r="H5263">
        <v>13920024</v>
      </c>
      <c r="I5263">
        <v>5935084</v>
      </c>
      <c r="J5263">
        <v>3</v>
      </c>
    </row>
    <row r="5264" spans="1:10" x14ac:dyDescent="0.25">
      <c r="A5264" t="s">
        <v>1594</v>
      </c>
      <c r="B5264" s="1" t="str">
        <f>HYPERLINK("http://dea-group.com","dea-group.com")</f>
        <v>dea-group.com</v>
      </c>
      <c r="C5264" t="s">
        <v>433</v>
      </c>
      <c r="E5264">
        <v>552123</v>
      </c>
      <c r="F5264">
        <v>3.4912151321353799E-8</v>
      </c>
      <c r="G5264">
        <v>1487688</v>
      </c>
      <c r="H5264">
        <v>14098599</v>
      </c>
      <c r="I5264">
        <v>2716995</v>
      </c>
      <c r="J5264">
        <v>9</v>
      </c>
    </row>
    <row r="5265" spans="1:10" x14ac:dyDescent="0.25">
      <c r="A5265" t="s">
        <v>1594</v>
      </c>
      <c r="B5265" s="1" t="str">
        <f>HYPERLINK("http://digital-farming.com","digital-farming.com")</f>
        <v>digital-farming.com</v>
      </c>
      <c r="C5265" t="s">
        <v>433</v>
      </c>
      <c r="F5265">
        <v>1.7533150160539799E-8</v>
      </c>
      <c r="G5265">
        <v>3138382</v>
      </c>
      <c r="H5265">
        <v>14030139</v>
      </c>
      <c r="I5265">
        <v>3939965</v>
      </c>
      <c r="J5265">
        <v>2</v>
      </c>
    </row>
    <row r="5266" spans="1:10" x14ac:dyDescent="0.25">
      <c r="A5266" t="s">
        <v>1594</v>
      </c>
      <c r="B5266" s="1" t="str">
        <f>HYPERLINK("http://ecorobotix.com","ecorobotix.com")</f>
        <v>ecorobotix.com</v>
      </c>
      <c r="C5266" t="s">
        <v>433</v>
      </c>
      <c r="F5266">
        <v>5.7763959658085199E-8</v>
      </c>
      <c r="G5266">
        <v>771238</v>
      </c>
      <c r="H5266">
        <v>14014506</v>
      </c>
      <c r="I5266">
        <v>3997975</v>
      </c>
      <c r="J5266">
        <v>3</v>
      </c>
    </row>
    <row r="5267" spans="1:10" x14ac:dyDescent="0.25">
      <c r="A5267" t="s">
        <v>1594</v>
      </c>
      <c r="B5267" s="1" t="str">
        <f>HYPERLINK("http://fortephest.com","fortephest.com")</f>
        <v>fortephest.com</v>
      </c>
      <c r="C5267" t="s">
        <v>433</v>
      </c>
      <c r="F5267">
        <v>7.7103694144275001E-9</v>
      </c>
      <c r="G5267">
        <v>10549914</v>
      </c>
      <c r="H5267">
        <v>12460991</v>
      </c>
      <c r="I5267">
        <v>17864929</v>
      </c>
      <c r="J5267">
        <v>3</v>
      </c>
    </row>
    <row r="5268" spans="1:10" x14ac:dyDescent="0.25">
      <c r="A5268" t="s">
        <v>1594</v>
      </c>
      <c r="B5268" s="1" t="str">
        <f>HYPERLINK("http://glasurit.com","glasurit.com")</f>
        <v>glasurit.com</v>
      </c>
      <c r="C5268" t="s">
        <v>433</v>
      </c>
      <c r="E5268">
        <v>340724</v>
      </c>
      <c r="F5268">
        <v>2.02135125363919E-7</v>
      </c>
      <c r="G5268">
        <v>188202</v>
      </c>
      <c r="H5268">
        <v>14838941</v>
      </c>
      <c r="I5268">
        <v>498569</v>
      </c>
      <c r="J5268">
        <v>3</v>
      </c>
    </row>
    <row r="5269" spans="1:10" x14ac:dyDescent="0.25">
      <c r="A5269" t="s">
        <v>1594</v>
      </c>
      <c r="B5269" s="1" t="str">
        <f>HYPERLINK("http://hte-company.com","hte-company.com")</f>
        <v>hte-company.com</v>
      </c>
      <c r="C5269" t="s">
        <v>433</v>
      </c>
      <c r="F5269">
        <v>3.28291079471364E-8</v>
      </c>
      <c r="G5269">
        <v>1573760</v>
      </c>
      <c r="H5269">
        <v>13776385</v>
      </c>
      <c r="I5269">
        <v>6556222</v>
      </c>
      <c r="J5269">
        <v>3</v>
      </c>
    </row>
    <row r="5270" spans="1:10" x14ac:dyDescent="0.25">
      <c r="A5270" t="s">
        <v>1594</v>
      </c>
      <c r="B5270" s="1" t="str">
        <f>HYPERLINK("http://isobionics.com","isobionics.com")</f>
        <v>isobionics.com</v>
      </c>
      <c r="C5270" t="s">
        <v>433</v>
      </c>
      <c r="F5270">
        <v>1.4187032339323799E-8</v>
      </c>
      <c r="G5270">
        <v>4133696</v>
      </c>
      <c r="H5270">
        <v>13096243</v>
      </c>
      <c r="I5270">
        <v>12120791</v>
      </c>
      <c r="J5270">
        <v>3</v>
      </c>
    </row>
    <row r="5271" spans="1:10" x14ac:dyDescent="0.25">
      <c r="A5271" t="s">
        <v>1594</v>
      </c>
      <c r="B5271" s="1" t="str">
        <f>HYPERLINK("http://ktl-lu.com","ktl-lu.com")</f>
        <v>ktl-lu.com</v>
      </c>
      <c r="C5271" t="s">
        <v>433</v>
      </c>
      <c r="F5271">
        <v>1.51567532138016E-8</v>
      </c>
      <c r="G5271">
        <v>3789493</v>
      </c>
      <c r="H5271">
        <v>10988735</v>
      </c>
      <c r="I5271">
        <v>33772105</v>
      </c>
      <c r="J5271">
        <v>4</v>
      </c>
    </row>
    <row r="5272" spans="1:10" x14ac:dyDescent="0.25">
      <c r="A5272" t="s">
        <v>1594</v>
      </c>
      <c r="B5272" s="1" t="str">
        <f>HYPERLINK("http://microbiogroup.com","microbiogroup.com")</f>
        <v>microbiogroup.com</v>
      </c>
      <c r="C5272" t="s">
        <v>433</v>
      </c>
      <c r="F5272">
        <v>4.87591743310937E-9</v>
      </c>
      <c r="G5272">
        <v>33212701</v>
      </c>
      <c r="H5272">
        <v>12471720</v>
      </c>
      <c r="I5272">
        <v>17682352</v>
      </c>
      <c r="J5272">
        <v>3</v>
      </c>
    </row>
    <row r="5273" spans="1:10" x14ac:dyDescent="0.25">
      <c r="A5273" t="s">
        <v>1594</v>
      </c>
      <c r="B5273" s="1" t="str">
        <f>HYPERLINK("http://nunhems.com","nunhems.com")</f>
        <v>nunhems.com</v>
      </c>
      <c r="C5273" t="s">
        <v>433</v>
      </c>
      <c r="F5273">
        <v>8.8932576813486899E-8</v>
      </c>
      <c r="G5273">
        <v>459813</v>
      </c>
      <c r="H5273">
        <v>13454396</v>
      </c>
      <c r="I5273">
        <v>10189571</v>
      </c>
      <c r="J5273">
        <v>3</v>
      </c>
    </row>
    <row r="5274" spans="1:10" x14ac:dyDescent="0.25">
      <c r="A5274" t="s">
        <v>1594</v>
      </c>
      <c r="B5274" s="1" t="str">
        <f>HYPERLINK("http://nunhemsusa.com","nunhemsusa.com")</f>
        <v>nunhemsusa.com</v>
      </c>
      <c r="C5274" t="s">
        <v>433</v>
      </c>
      <c r="F5274">
        <v>1.12866042269609E-8</v>
      </c>
      <c r="G5274">
        <v>5651844</v>
      </c>
      <c r="H5274">
        <v>12621154</v>
      </c>
      <c r="I5274">
        <v>16081906</v>
      </c>
      <c r="J5274">
        <v>3</v>
      </c>
    </row>
    <row r="5275" spans="1:10" x14ac:dyDescent="0.25">
      <c r="A5275" t="s">
        <v>1594</v>
      </c>
      <c r="B5275" s="1" t="str">
        <f>HYPERLINK("http://ovonic.com","ovonic.com")</f>
        <v>ovonic.com</v>
      </c>
      <c r="C5275" t="s">
        <v>433</v>
      </c>
      <c r="F5275">
        <v>2.1734513612422601E-8</v>
      </c>
      <c r="G5275">
        <v>2419267</v>
      </c>
      <c r="H5275">
        <v>14261749</v>
      </c>
      <c r="I5275">
        <v>1416496</v>
      </c>
      <c r="J5275">
        <v>3</v>
      </c>
    </row>
    <row r="5276" spans="1:10" x14ac:dyDescent="0.25">
      <c r="A5276" t="s">
        <v>1594</v>
      </c>
      <c r="B5276" s="1" t="str">
        <f>HYPERLINK("http://pci-augsburg.com","pci-augsburg.com")</f>
        <v>pci-augsburg.com</v>
      </c>
      <c r="C5276" t="s">
        <v>433</v>
      </c>
      <c r="F5276">
        <v>1.01792583450775E-7</v>
      </c>
      <c r="G5276">
        <v>394784</v>
      </c>
      <c r="H5276">
        <v>12448996</v>
      </c>
      <c r="I5276">
        <v>18032432</v>
      </c>
      <c r="J5276">
        <v>6</v>
      </c>
    </row>
    <row r="5277" spans="1:10" x14ac:dyDescent="0.25">
      <c r="A5277" t="s">
        <v>1594</v>
      </c>
      <c r="B5277" s="1" t="str">
        <f>HYPERLINK("http://rolic.com","rolic.com")</f>
        <v>rolic.com</v>
      </c>
      <c r="C5277" t="s">
        <v>433</v>
      </c>
      <c r="F5277">
        <v>1.0948224890826999E-8</v>
      </c>
      <c r="G5277">
        <v>5904770</v>
      </c>
      <c r="H5277">
        <v>13230096</v>
      </c>
      <c r="I5277">
        <v>11277178</v>
      </c>
      <c r="J5277">
        <v>3</v>
      </c>
    </row>
    <row r="5278" spans="1:10" x14ac:dyDescent="0.25">
      <c r="A5278" t="s">
        <v>1594</v>
      </c>
      <c r="B5278" s="1" t="str">
        <f>HYPERLINK("http://sculpteo.com","sculpteo.com")</f>
        <v>sculpteo.com</v>
      </c>
      <c r="C5278" t="s">
        <v>433</v>
      </c>
      <c r="E5278">
        <v>58282</v>
      </c>
      <c r="F5278">
        <v>4.71646174022923E-7</v>
      </c>
      <c r="G5278">
        <v>80459</v>
      </c>
      <c r="H5278">
        <v>15690062</v>
      </c>
      <c r="I5278">
        <v>369927</v>
      </c>
      <c r="J5278">
        <v>3</v>
      </c>
    </row>
    <row r="5279" spans="1:10" x14ac:dyDescent="0.25">
      <c r="A5279" t="s">
        <v>1594</v>
      </c>
      <c r="B5279" s="1" t="str">
        <f>HYPERLINK("http://setuperformance.com","setuperformance.com")</f>
        <v>setuperformance.com</v>
      </c>
      <c r="C5279" t="s">
        <v>433</v>
      </c>
      <c r="F5279">
        <v>5.2330191702191396E-9</v>
      </c>
      <c r="G5279">
        <v>24526137</v>
      </c>
      <c r="H5279">
        <v>12991907</v>
      </c>
      <c r="I5279">
        <v>12840412</v>
      </c>
      <c r="J5279">
        <v>3</v>
      </c>
    </row>
    <row r="5280" spans="1:10" x14ac:dyDescent="0.25">
      <c r="A5280" t="s">
        <v>1594</v>
      </c>
      <c r="B5280" s="1" t="str">
        <f>HYPERLINK("http://shockhilllodge.com","shockhilllodge.com")</f>
        <v>shockhilllodge.com</v>
      </c>
      <c r="C5280" t="s">
        <v>433</v>
      </c>
      <c r="F5280">
        <v>5.1992506254256398E-9</v>
      </c>
      <c r="G5280">
        <v>25158451</v>
      </c>
      <c r="H5280">
        <v>1.0003663</v>
      </c>
      <c r="I5280">
        <v>79047638</v>
      </c>
      <c r="J5280">
        <v>5</v>
      </c>
    </row>
    <row r="5281" spans="1:10" x14ac:dyDescent="0.25">
      <c r="A5281" t="s">
        <v>1594</v>
      </c>
      <c r="B5281" s="1" t="str">
        <f>HYPERLINK("http://sionpower.com","sionpower.com")</f>
        <v>sionpower.com</v>
      </c>
      <c r="C5281" t="s">
        <v>433</v>
      </c>
      <c r="F5281">
        <v>4.3020304380514499E-8</v>
      </c>
      <c r="G5281">
        <v>1117865</v>
      </c>
      <c r="H5281">
        <v>14849829</v>
      </c>
      <c r="I5281">
        <v>491155</v>
      </c>
      <c r="J5281">
        <v>2</v>
      </c>
    </row>
    <row r="5282" spans="1:10" x14ac:dyDescent="0.25">
      <c r="A5282" t="s">
        <v>1594</v>
      </c>
      <c r="B5282" s="1" t="str">
        <f>HYPERLINK("http://ssmaterial.com","ssmaterial.com")</f>
        <v>ssmaterial.com</v>
      </c>
      <c r="C5282" t="s">
        <v>433</v>
      </c>
      <c r="F5282">
        <v>5.0024939639481802E-9</v>
      </c>
      <c r="G5282">
        <v>29350421</v>
      </c>
      <c r="H5282">
        <v>10815010</v>
      </c>
      <c r="I5282">
        <v>37738465</v>
      </c>
      <c r="J5282">
        <v>3</v>
      </c>
    </row>
    <row r="5283" spans="1:10" x14ac:dyDescent="0.25">
      <c r="A5283" t="s">
        <v>1594</v>
      </c>
      <c r="B5283" s="1" t="str">
        <f>HYPERLINK("http://trinamixsensing.com","trinamixsensing.com")</f>
        <v>trinamixsensing.com</v>
      </c>
      <c r="C5283" t="s">
        <v>433</v>
      </c>
      <c r="F5283">
        <v>5.3068214517601702E-8</v>
      </c>
      <c r="G5283">
        <v>858108</v>
      </c>
      <c r="H5283">
        <v>14167857</v>
      </c>
      <c r="I5283">
        <v>1814365</v>
      </c>
      <c r="J5283">
        <v>6</v>
      </c>
    </row>
    <row r="5284" spans="1:10" x14ac:dyDescent="0.25">
      <c r="A5284" t="s">
        <v>1594</v>
      </c>
      <c r="B5284" s="1" t="str">
        <f>HYPERLINK("http://ubenchinternational.com","ubenchinternational.com")</f>
        <v>ubenchinternational.com</v>
      </c>
      <c r="C5284" t="s">
        <v>433</v>
      </c>
      <c r="F5284">
        <v>1.40786689135768E-8</v>
      </c>
      <c r="G5284">
        <v>4173515</v>
      </c>
      <c r="H5284">
        <v>12251659</v>
      </c>
      <c r="I5284">
        <v>21970452</v>
      </c>
      <c r="J5284">
        <v>3</v>
      </c>
    </row>
    <row r="5285" spans="1:10" x14ac:dyDescent="0.25">
      <c r="A5285" t="s">
        <v>1594</v>
      </c>
      <c r="B5285" s="1" t="str">
        <f>HYPERLINK("http://watsonbowmanacme.com","watsonbowmanacme.com")</f>
        <v>watsonbowmanacme.com</v>
      </c>
      <c r="C5285" t="s">
        <v>433</v>
      </c>
      <c r="F5285">
        <v>2.4711820862975602E-8</v>
      </c>
      <c r="G5285">
        <v>2093320</v>
      </c>
      <c r="H5285">
        <v>12919417</v>
      </c>
      <c r="I5285">
        <v>13442692</v>
      </c>
      <c r="J5285">
        <v>7</v>
      </c>
    </row>
    <row r="5286" spans="1:10" x14ac:dyDescent="0.25">
      <c r="A5286" t="s">
        <v>1594</v>
      </c>
      <c r="B5286" s="1" t="str">
        <f>HYPERLINK("http://wbacorp.com","wbacorp.com")</f>
        <v>wbacorp.com</v>
      </c>
      <c r="C5286" t="s">
        <v>433</v>
      </c>
      <c r="F5286">
        <v>1.8604378998549698E-8</v>
      </c>
      <c r="G5286">
        <v>2906492</v>
      </c>
      <c r="H5286">
        <v>12524426</v>
      </c>
      <c r="I5286">
        <v>17107456</v>
      </c>
      <c r="J5286">
        <v>4</v>
      </c>
    </row>
    <row r="5287" spans="1:10" x14ac:dyDescent="0.25">
      <c r="A5287" t="s">
        <v>1594</v>
      </c>
      <c r="B5287" s="1" t="str">
        <f>HYPERLINK("http://wintershall.com","wintershall.com")</f>
        <v>wintershall.com</v>
      </c>
      <c r="C5287" t="s">
        <v>433</v>
      </c>
      <c r="F5287">
        <v>8.16410883598143E-8</v>
      </c>
      <c r="G5287">
        <v>511188</v>
      </c>
      <c r="H5287">
        <v>14410844</v>
      </c>
      <c r="I5287">
        <v>1144956</v>
      </c>
      <c r="J5287">
        <v>3</v>
      </c>
    </row>
    <row r="5288" spans="1:10" x14ac:dyDescent="0.25">
      <c r="A5288" t="s">
        <v>1594</v>
      </c>
      <c r="B5288" s="1" t="str">
        <f>HYPERLINK("http://wintershalldea.com","wintershalldea.com")</f>
        <v>wintershalldea.com</v>
      </c>
      <c r="C5288" t="s">
        <v>433</v>
      </c>
      <c r="E5288">
        <v>339209</v>
      </c>
      <c r="F5288">
        <v>2.9652013268367397E-7</v>
      </c>
      <c r="G5288">
        <v>125451</v>
      </c>
      <c r="H5288">
        <v>14840733</v>
      </c>
      <c r="I5288">
        <v>497202</v>
      </c>
      <c r="J5288">
        <v>5</v>
      </c>
    </row>
    <row r="5289" spans="1:10" x14ac:dyDescent="0.25">
      <c r="A5289" t="s">
        <v>1594</v>
      </c>
      <c r="B5289" s="1" t="str">
        <f>HYPERLINK("http://xarvio.com","xarvio.com")</f>
        <v>xarvio.com</v>
      </c>
      <c r="C5289" t="s">
        <v>433</v>
      </c>
      <c r="E5289">
        <v>470694</v>
      </c>
      <c r="F5289">
        <v>1.7331890858753699E-7</v>
      </c>
      <c r="G5289">
        <v>223751</v>
      </c>
      <c r="H5289">
        <v>16995232</v>
      </c>
      <c r="I5289">
        <v>94717</v>
      </c>
      <c r="J5289">
        <v>2</v>
      </c>
    </row>
    <row r="5290" spans="1:10" x14ac:dyDescent="0.25">
      <c r="A5290" t="s">
        <v>1594</v>
      </c>
      <c r="B5290" s="1" t="str">
        <f>HYPERLINK("http://basf.cz","basf.cz")</f>
        <v>basf.cz</v>
      </c>
      <c r="C5290" t="s">
        <v>435</v>
      </c>
      <c r="D5290" t="s">
        <v>814</v>
      </c>
      <c r="F5290">
        <v>3.9853856315289302E-8</v>
      </c>
      <c r="G5290">
        <v>1296515</v>
      </c>
      <c r="H5290">
        <v>14076836</v>
      </c>
      <c r="I5290">
        <v>2879006</v>
      </c>
      <c r="J5290">
        <v>2</v>
      </c>
    </row>
    <row r="5291" spans="1:10" x14ac:dyDescent="0.25">
      <c r="A5291" t="s">
        <v>1594</v>
      </c>
      <c r="B5291" s="1" t="str">
        <f>HYPERLINK("http://basf-cc.cz","basf-cc.cz")</f>
        <v>basf-cc.cz</v>
      </c>
      <c r="C5291" t="s">
        <v>435</v>
      </c>
      <c r="D5291" t="s">
        <v>814</v>
      </c>
      <c r="F5291">
        <v>1.38554917363777E-8</v>
      </c>
      <c r="G5291">
        <v>4258421</v>
      </c>
      <c r="H5291">
        <v>12372905</v>
      </c>
      <c r="I5291">
        <v>19357807</v>
      </c>
      <c r="J5291">
        <v>4</v>
      </c>
    </row>
    <row r="5292" spans="1:10" x14ac:dyDescent="0.25">
      <c r="A5292" t="s">
        <v>1594</v>
      </c>
      <c r="B5292" s="1" t="str">
        <f>HYPERLINK("http://basf-sh.cz","basf-sh.cz")</f>
        <v>basf-sh.cz</v>
      </c>
      <c r="C5292" t="s">
        <v>435</v>
      </c>
      <c r="D5292" t="s">
        <v>814</v>
      </c>
      <c r="F5292">
        <v>6.0496872785376004E-9</v>
      </c>
      <c r="G5292">
        <v>16384172</v>
      </c>
      <c r="H5292">
        <v>10860956</v>
      </c>
      <c r="I5292">
        <v>36656432</v>
      </c>
      <c r="J5292">
        <v>3</v>
      </c>
    </row>
    <row r="5293" spans="1:10" x14ac:dyDescent="0.25">
      <c r="A5293" t="s">
        <v>1594</v>
      </c>
      <c r="B5293" s="1" t="str">
        <f>HYPERLINK("http://chemetall.cz","chemetall.cz")</f>
        <v>chemetall.cz</v>
      </c>
      <c r="C5293" t="s">
        <v>435</v>
      </c>
      <c r="D5293" t="s">
        <v>814</v>
      </c>
      <c r="F5293">
        <v>7.3924041617754197E-9</v>
      </c>
      <c r="G5293">
        <v>11261084</v>
      </c>
      <c r="H5293">
        <v>12164016</v>
      </c>
      <c r="I5293">
        <v>24255702</v>
      </c>
      <c r="J5293">
        <v>4</v>
      </c>
    </row>
    <row r="5294" spans="1:10" x14ac:dyDescent="0.25">
      <c r="A5294" t="s">
        <v>1594</v>
      </c>
      <c r="B5294" s="1" t="str">
        <f>HYPERLINK("http://basf.de","basf.de")</f>
        <v>basf.de</v>
      </c>
      <c r="C5294" t="s">
        <v>436</v>
      </c>
      <c r="D5294" t="s">
        <v>815</v>
      </c>
      <c r="E5294">
        <v>229855</v>
      </c>
      <c r="F5294">
        <v>2.1418993619434199E-7</v>
      </c>
      <c r="G5294">
        <v>176222</v>
      </c>
      <c r="H5294">
        <v>14766576</v>
      </c>
      <c r="I5294">
        <v>558859</v>
      </c>
      <c r="J5294">
        <v>2</v>
      </c>
    </row>
    <row r="5295" spans="1:10" x14ac:dyDescent="0.25">
      <c r="A5295" t="s">
        <v>1594</v>
      </c>
      <c r="B5295" s="1" t="str">
        <f>HYPERLINK("http://basf-ag.de","basf-ag.de")</f>
        <v>basf-ag.de</v>
      </c>
      <c r="C5295" t="s">
        <v>436</v>
      </c>
      <c r="D5295" t="s">
        <v>815</v>
      </c>
      <c r="E5295">
        <v>85485</v>
      </c>
      <c r="F5295">
        <v>1.69348663034961E-8</v>
      </c>
      <c r="G5295">
        <v>3298872</v>
      </c>
      <c r="H5295">
        <v>13733266</v>
      </c>
      <c r="I5295">
        <v>9455785</v>
      </c>
      <c r="J5295">
        <v>3</v>
      </c>
    </row>
    <row r="5296" spans="1:10" x14ac:dyDescent="0.25">
      <c r="A5296" t="s">
        <v>1594</v>
      </c>
      <c r="B5296" s="1" t="str">
        <f>HYPERLINK("http://basf-coatings.de","basf-coatings.de")</f>
        <v>basf-coatings.de</v>
      </c>
      <c r="C5296" t="s">
        <v>436</v>
      </c>
      <c r="D5296" t="s">
        <v>815</v>
      </c>
      <c r="F5296">
        <v>1.47233878219269E-8</v>
      </c>
      <c r="G5296">
        <v>3932887</v>
      </c>
      <c r="H5296">
        <v>14237453</v>
      </c>
      <c r="I5296">
        <v>1549602</v>
      </c>
      <c r="J5296">
        <v>3</v>
      </c>
    </row>
    <row r="5297" spans="1:10" x14ac:dyDescent="0.25">
      <c r="A5297" t="s">
        <v>1594</v>
      </c>
      <c r="B5297" s="1" t="str">
        <f>HYPERLINK("http://basf-coatings-services.de","basf-coatings-services.de")</f>
        <v>basf-coatings-services.de</v>
      </c>
      <c r="C5297" t="s">
        <v>436</v>
      </c>
      <c r="D5297" t="s">
        <v>815</v>
      </c>
      <c r="F5297">
        <v>6.2153944019457403E-9</v>
      </c>
      <c r="G5297">
        <v>15453834</v>
      </c>
      <c r="H5297">
        <v>10951244</v>
      </c>
      <c r="I5297">
        <v>34556254</v>
      </c>
      <c r="J5297">
        <v>3</v>
      </c>
    </row>
    <row r="5298" spans="1:10" x14ac:dyDescent="0.25">
      <c r="A5298" t="s">
        <v>1594</v>
      </c>
      <c r="B5298" s="1" t="str">
        <f>HYPERLINK("http://basf-schwarzheide.de","basf-schwarzheide.de")</f>
        <v>basf-schwarzheide.de</v>
      </c>
      <c r="C5298" t="s">
        <v>436</v>
      </c>
      <c r="D5298" t="s">
        <v>815</v>
      </c>
      <c r="F5298">
        <v>2.5050617237993399E-8</v>
      </c>
      <c r="G5298">
        <v>2062364</v>
      </c>
      <c r="H5298">
        <v>14081937</v>
      </c>
      <c r="I5298">
        <v>2805047</v>
      </c>
      <c r="J5298">
        <v>3</v>
      </c>
    </row>
    <row r="5299" spans="1:10" x14ac:dyDescent="0.25">
      <c r="A5299" t="s">
        <v>1594</v>
      </c>
      <c r="B5299" s="1" t="str">
        <f>HYPERLINK("http://chemetall.de","chemetall.de")</f>
        <v>chemetall.de</v>
      </c>
      <c r="C5299" t="s">
        <v>436</v>
      </c>
      <c r="D5299" t="s">
        <v>815</v>
      </c>
      <c r="F5299">
        <v>1.0385447957950301E-8</v>
      </c>
      <c r="G5299">
        <v>6372193</v>
      </c>
      <c r="H5299">
        <v>12224953</v>
      </c>
      <c r="I5299">
        <v>22656892</v>
      </c>
      <c r="J5299">
        <v>4</v>
      </c>
    </row>
    <row r="5300" spans="1:10" x14ac:dyDescent="0.25">
      <c r="A5300" t="s">
        <v>1594</v>
      </c>
      <c r="B5300" s="1" t="str">
        <f>HYPERLINK("http://dcso.de","dcso.de")</f>
        <v>dcso.de</v>
      </c>
      <c r="C5300" t="s">
        <v>436</v>
      </c>
      <c r="D5300" t="s">
        <v>815</v>
      </c>
      <c r="F5300">
        <v>7.4569206603128398E-8</v>
      </c>
      <c r="G5300">
        <v>564231</v>
      </c>
      <c r="H5300">
        <v>13973024</v>
      </c>
      <c r="I5300">
        <v>4068207</v>
      </c>
      <c r="J5300">
        <v>3</v>
      </c>
    </row>
    <row r="5301" spans="1:10" x14ac:dyDescent="0.25">
      <c r="A5301" t="s">
        <v>1594</v>
      </c>
      <c r="B5301" s="1" t="str">
        <f>HYPERLINK("http://flugplatz-speyer.de","flugplatz-speyer.de")</f>
        <v>flugplatz-speyer.de</v>
      </c>
      <c r="C5301" t="s">
        <v>436</v>
      </c>
      <c r="D5301" t="s">
        <v>815</v>
      </c>
      <c r="F5301">
        <v>2.06843274700238E-8</v>
      </c>
      <c r="G5301">
        <v>2558984</v>
      </c>
      <c r="H5301">
        <v>12478852</v>
      </c>
      <c r="I5301">
        <v>17609741</v>
      </c>
      <c r="J5301">
        <v>3</v>
      </c>
    </row>
    <row r="5302" spans="1:10" x14ac:dyDescent="0.25">
      <c r="A5302" t="s">
        <v>1594</v>
      </c>
      <c r="B5302" s="1" t="str">
        <f>HYPERLINK("http://gascade.de","gascade.de")</f>
        <v>gascade.de</v>
      </c>
      <c r="C5302" t="s">
        <v>436</v>
      </c>
      <c r="D5302" t="s">
        <v>815</v>
      </c>
      <c r="E5302">
        <v>250992</v>
      </c>
      <c r="F5302">
        <v>1.06846461538403E-7</v>
      </c>
      <c r="G5302">
        <v>374686</v>
      </c>
      <c r="H5302">
        <v>14509742</v>
      </c>
      <c r="I5302">
        <v>825445</v>
      </c>
      <c r="J5302">
        <v>5</v>
      </c>
    </row>
    <row r="5303" spans="1:10" x14ac:dyDescent="0.25">
      <c r="A5303" t="s">
        <v>1594</v>
      </c>
      <c r="B5303" s="1" t="str">
        <f>HYPERLINK("http://glasurit.de","glasurit.de")</f>
        <v>glasurit.de</v>
      </c>
      <c r="C5303" t="s">
        <v>436</v>
      </c>
      <c r="D5303" t="s">
        <v>815</v>
      </c>
      <c r="F5303">
        <v>1.1449919736595399E-8</v>
      </c>
      <c r="G5303">
        <v>5539396</v>
      </c>
      <c r="H5303">
        <v>12050030</v>
      </c>
      <c r="I5303">
        <v>27227886</v>
      </c>
      <c r="J5303">
        <v>4</v>
      </c>
    </row>
    <row r="5304" spans="1:10" x14ac:dyDescent="0.25">
      <c r="A5304" t="s">
        <v>1594</v>
      </c>
      <c r="B5304" s="1" t="str">
        <f>HYPERLINK("http://hildsamen.de","hildsamen.de")</f>
        <v>hildsamen.de</v>
      </c>
      <c r="C5304" t="s">
        <v>436</v>
      </c>
      <c r="D5304" t="s">
        <v>815</v>
      </c>
      <c r="F5304">
        <v>6.5966985508291602E-9</v>
      </c>
      <c r="G5304">
        <v>13689693</v>
      </c>
      <c r="H5304">
        <v>13764188</v>
      </c>
      <c r="I5304">
        <v>7345010</v>
      </c>
      <c r="J5304">
        <v>3</v>
      </c>
    </row>
    <row r="5305" spans="1:10" x14ac:dyDescent="0.25">
      <c r="A5305" t="s">
        <v>1594</v>
      </c>
      <c r="B5305" s="1" t="str">
        <f>HYPERLINK("http://hte-company.de","hte-company.de")</f>
        <v>hte-company.de</v>
      </c>
      <c r="C5305" t="s">
        <v>436</v>
      </c>
      <c r="D5305" t="s">
        <v>815</v>
      </c>
      <c r="F5305">
        <v>8.0280280801863094E-9</v>
      </c>
      <c r="G5305">
        <v>9869786</v>
      </c>
      <c r="H5305">
        <v>12652585</v>
      </c>
      <c r="I5305">
        <v>15782763</v>
      </c>
      <c r="J5305">
        <v>4</v>
      </c>
    </row>
    <row r="5306" spans="1:10" x14ac:dyDescent="0.25">
      <c r="A5306" t="s">
        <v>1594</v>
      </c>
      <c r="B5306" s="1" t="str">
        <f>HYPERLINK("http://innovationlab.de","innovationlab.de")</f>
        <v>innovationlab.de</v>
      </c>
      <c r="C5306" t="s">
        <v>436</v>
      </c>
      <c r="D5306" t="s">
        <v>815</v>
      </c>
      <c r="F5306">
        <v>4.3846450097729899E-8</v>
      </c>
      <c r="G5306">
        <v>1086824</v>
      </c>
      <c r="H5306">
        <v>13373436</v>
      </c>
      <c r="I5306">
        <v>10454003</v>
      </c>
      <c r="J5306">
        <v>3</v>
      </c>
    </row>
    <row r="5307" spans="1:10" x14ac:dyDescent="0.25">
      <c r="A5307" t="s">
        <v>1594</v>
      </c>
      <c r="B5307" s="1" t="str">
        <f>HYPERLINK("http://jenabatteries.de","jenabatteries.de")</f>
        <v>jenabatteries.de</v>
      </c>
      <c r="C5307" t="s">
        <v>436</v>
      </c>
      <c r="D5307" t="s">
        <v>815</v>
      </c>
      <c r="F5307">
        <v>2.3251890229806802E-8</v>
      </c>
      <c r="G5307">
        <v>2244072</v>
      </c>
      <c r="H5307">
        <v>13114466</v>
      </c>
      <c r="I5307">
        <v>12019690</v>
      </c>
      <c r="J5307">
        <v>3</v>
      </c>
    </row>
    <row r="5308" spans="1:10" x14ac:dyDescent="0.25">
      <c r="A5308" t="s">
        <v>1594</v>
      </c>
      <c r="B5308" s="1" t="str">
        <f>HYPERLINK("http://ktl-lu.de","ktl-lu.de")</f>
        <v>ktl-lu.de</v>
      </c>
      <c r="C5308" t="s">
        <v>436</v>
      </c>
      <c r="D5308" t="s">
        <v>815</v>
      </c>
      <c r="F5308">
        <v>8.8427722876729297E-9</v>
      </c>
      <c r="G5308">
        <v>8236040</v>
      </c>
      <c r="H5308">
        <v>10961572</v>
      </c>
      <c r="I5308">
        <v>34318686</v>
      </c>
      <c r="J5308">
        <v>3</v>
      </c>
    </row>
    <row r="5309" spans="1:10" x14ac:dyDescent="0.25">
      <c r="A5309" t="s">
        <v>1594</v>
      </c>
      <c r="B5309" s="1" t="str">
        <f>HYPERLINK("http://luwoge.de","luwoge.de")</f>
        <v>luwoge.de</v>
      </c>
      <c r="C5309" t="s">
        <v>436</v>
      </c>
      <c r="D5309" t="s">
        <v>815</v>
      </c>
      <c r="F5309">
        <v>6.9912761752726903E-9</v>
      </c>
      <c r="G5309">
        <v>12337576</v>
      </c>
      <c r="H5309">
        <v>14238182</v>
      </c>
      <c r="I5309">
        <v>1531692</v>
      </c>
      <c r="J5309">
        <v>3</v>
      </c>
    </row>
    <row r="5310" spans="1:10" x14ac:dyDescent="0.25">
      <c r="A5310" t="s">
        <v>1594</v>
      </c>
      <c r="B5310" s="1" t="str">
        <f>HYPERLINK("http://metanomics.de","metanomics.de")</f>
        <v>metanomics.de</v>
      </c>
      <c r="C5310" t="s">
        <v>436</v>
      </c>
      <c r="D5310" t="s">
        <v>815</v>
      </c>
      <c r="F5310">
        <v>1.5778134820209998E-8</v>
      </c>
      <c r="G5310">
        <v>3605737</v>
      </c>
      <c r="H5310">
        <v>13744447</v>
      </c>
      <c r="I5310">
        <v>9424992</v>
      </c>
      <c r="J5310">
        <v>3</v>
      </c>
    </row>
    <row r="5311" spans="1:10" x14ac:dyDescent="0.25">
      <c r="A5311" t="s">
        <v>1594</v>
      </c>
      <c r="B5311" s="1" t="str">
        <f>HYPERLINK("http://nunhems.de","nunhems.de")</f>
        <v>nunhems.de</v>
      </c>
      <c r="C5311" t="s">
        <v>436</v>
      </c>
      <c r="D5311" t="s">
        <v>815</v>
      </c>
      <c r="F5311">
        <v>8.7372561722119606E-9</v>
      </c>
      <c r="G5311">
        <v>8414350</v>
      </c>
      <c r="H5311">
        <v>12338902</v>
      </c>
      <c r="I5311">
        <v>20030395</v>
      </c>
      <c r="J5311">
        <v>4</v>
      </c>
    </row>
    <row r="5312" spans="1:10" x14ac:dyDescent="0.25">
      <c r="A5312" t="s">
        <v>1594</v>
      </c>
      <c r="B5312" s="1" t="str">
        <f>HYPERLINK("http://pci-augsburg.de","pci-augsburg.de")</f>
        <v>pci-augsburg.de</v>
      </c>
      <c r="C5312" t="s">
        <v>436</v>
      </c>
      <c r="D5312" t="s">
        <v>815</v>
      </c>
      <c r="F5312">
        <v>4.30832484688074E-8</v>
      </c>
      <c r="G5312">
        <v>1115345</v>
      </c>
      <c r="H5312">
        <v>12450637</v>
      </c>
      <c r="I5312">
        <v>17988641</v>
      </c>
      <c r="J5312">
        <v>4</v>
      </c>
    </row>
    <row r="5313" spans="1:10" x14ac:dyDescent="0.25">
      <c r="A5313" t="s">
        <v>1594</v>
      </c>
      <c r="B5313" s="1" t="str">
        <f>HYPERLINK("http://trinamix.de","trinamix.de")</f>
        <v>trinamix.de</v>
      </c>
      <c r="C5313" t="s">
        <v>436</v>
      </c>
      <c r="D5313" t="s">
        <v>815</v>
      </c>
      <c r="F5313">
        <v>1.3419741183643599E-8</v>
      </c>
      <c r="G5313">
        <v>4439205</v>
      </c>
      <c r="H5313">
        <v>13828007</v>
      </c>
      <c r="I5313">
        <v>6116839</v>
      </c>
      <c r="J5313">
        <v>3</v>
      </c>
    </row>
    <row r="5314" spans="1:10" x14ac:dyDescent="0.25">
      <c r="A5314" t="s">
        <v>1594</v>
      </c>
      <c r="B5314" s="1" t="str">
        <f>HYPERLINK("http://wintershalldea.de","wintershalldea.de")</f>
        <v>wintershalldea.de</v>
      </c>
      <c r="C5314" t="s">
        <v>436</v>
      </c>
      <c r="D5314" t="s">
        <v>815</v>
      </c>
      <c r="F5314">
        <v>4.1882764672021603E-8</v>
      </c>
      <c r="G5314">
        <v>1173100</v>
      </c>
      <c r="H5314">
        <v>14145589</v>
      </c>
      <c r="I5314">
        <v>1899480</v>
      </c>
      <c r="J5314">
        <v>5</v>
      </c>
    </row>
    <row r="5315" spans="1:10" x14ac:dyDescent="0.25">
      <c r="A5315" t="s">
        <v>1594</v>
      </c>
      <c r="B5315" s="1" t="str">
        <f>HYPERLINK("http://basf.dk","basf.dk")</f>
        <v>basf.dk</v>
      </c>
      <c r="C5315" t="s">
        <v>437</v>
      </c>
      <c r="D5315" t="s">
        <v>816</v>
      </c>
      <c r="F5315">
        <v>3.4718614118989002E-8</v>
      </c>
      <c r="G5315">
        <v>1494964</v>
      </c>
      <c r="H5315">
        <v>12745647</v>
      </c>
      <c r="I5315">
        <v>15087193</v>
      </c>
      <c r="J5315">
        <v>2</v>
      </c>
    </row>
    <row r="5316" spans="1:10" x14ac:dyDescent="0.25">
      <c r="A5316" t="s">
        <v>1594</v>
      </c>
      <c r="B5316" s="1" t="str">
        <f>HYPERLINK("http://basf.com.ec","basf.com.ec")</f>
        <v>basf.com.ec</v>
      </c>
      <c r="C5316" t="s">
        <v>440</v>
      </c>
      <c r="D5316" t="s">
        <v>819</v>
      </c>
      <c r="F5316">
        <v>5.8737888147109397E-9</v>
      </c>
      <c r="G5316">
        <v>17541215</v>
      </c>
      <c r="H5316">
        <v>12337751</v>
      </c>
      <c r="I5316">
        <v>20055626</v>
      </c>
      <c r="J5316">
        <v>2</v>
      </c>
    </row>
    <row r="5317" spans="1:10" x14ac:dyDescent="0.25">
      <c r="A5317" t="s">
        <v>1594</v>
      </c>
      <c r="B5317" s="1" t="str">
        <f>HYPERLINK("http://basf.ee","basf.ee")</f>
        <v>basf.ee</v>
      </c>
      <c r="C5317" t="s">
        <v>441</v>
      </c>
      <c r="D5317" t="s">
        <v>820</v>
      </c>
      <c r="F5317">
        <v>6.0366669723336905E-8</v>
      </c>
      <c r="G5317">
        <v>730577</v>
      </c>
      <c r="H5317">
        <v>14127537</v>
      </c>
      <c r="I5317">
        <v>2082406</v>
      </c>
      <c r="J5317">
        <v>2</v>
      </c>
    </row>
    <row r="5318" spans="1:10" x14ac:dyDescent="0.25">
      <c r="A5318" t="s">
        <v>1594</v>
      </c>
      <c r="B5318" s="1" t="str">
        <f>HYPERLINK("http://basf.com.eg","basf.com.eg")</f>
        <v>basf.com.eg</v>
      </c>
      <c r="C5318" t="s">
        <v>442</v>
      </c>
      <c r="D5318" t="s">
        <v>821</v>
      </c>
      <c r="F5318">
        <v>3.3805379084429897E-8</v>
      </c>
      <c r="G5318">
        <v>1530667</v>
      </c>
      <c r="H5318">
        <v>12447090</v>
      </c>
      <c r="I5318">
        <v>18062697</v>
      </c>
      <c r="J5318">
        <v>2</v>
      </c>
    </row>
    <row r="5319" spans="1:10" x14ac:dyDescent="0.25">
      <c r="A5319" t="s">
        <v>1594</v>
      </c>
      <c r="B5319" s="1" t="str">
        <f>HYPERLINK("http://basf.es","basf.es")</f>
        <v>basf.es</v>
      </c>
      <c r="C5319" t="s">
        <v>443</v>
      </c>
      <c r="D5319" t="s">
        <v>822</v>
      </c>
      <c r="F5319">
        <v>6.1754275396843303E-8</v>
      </c>
      <c r="G5319">
        <v>712311</v>
      </c>
      <c r="H5319">
        <v>14148829</v>
      </c>
      <c r="I5319">
        <v>1883933</v>
      </c>
      <c r="J5319">
        <v>2</v>
      </c>
    </row>
    <row r="5320" spans="1:10" x14ac:dyDescent="0.25">
      <c r="A5320" t="s">
        <v>1594</v>
      </c>
      <c r="B5320" s="1" t="str">
        <f>HYPERLINK("http://nunhems.es","nunhems.es")</f>
        <v>nunhems.es</v>
      </c>
      <c r="C5320" t="s">
        <v>443</v>
      </c>
      <c r="D5320" t="s">
        <v>822</v>
      </c>
      <c r="F5320">
        <v>1.3672971914312801E-8</v>
      </c>
      <c r="G5320">
        <v>4332025</v>
      </c>
      <c r="H5320">
        <v>14422732</v>
      </c>
      <c r="I5320">
        <v>1084460</v>
      </c>
      <c r="J5320">
        <v>5</v>
      </c>
    </row>
    <row r="5321" spans="1:10" x14ac:dyDescent="0.25">
      <c r="A5321" t="s">
        <v>1594</v>
      </c>
      <c r="B5321" s="1" t="str">
        <f>HYPERLINK("http://baseclick.eu","baseclick.eu")</f>
        <v>baseclick.eu</v>
      </c>
      <c r="C5321" t="s">
        <v>444</v>
      </c>
      <c r="F5321">
        <v>3.0152839701926301E-8</v>
      </c>
      <c r="G5321">
        <v>1706601</v>
      </c>
      <c r="H5321">
        <v>14148768</v>
      </c>
      <c r="I5321">
        <v>1884201</v>
      </c>
      <c r="J5321">
        <v>3</v>
      </c>
    </row>
    <row r="5322" spans="1:10" x14ac:dyDescent="0.25">
      <c r="A5322" t="s">
        <v>1594</v>
      </c>
      <c r="B5322" s="1" t="str">
        <f>HYPERLINK("http://basf.eu","basf.eu")</f>
        <v>basf.eu</v>
      </c>
      <c r="C5322" t="s">
        <v>444</v>
      </c>
      <c r="F5322">
        <v>6.7844652573823098E-9</v>
      </c>
      <c r="G5322">
        <v>13012500</v>
      </c>
      <c r="H5322">
        <v>12362703</v>
      </c>
      <c r="I5322">
        <v>19534841</v>
      </c>
      <c r="J5322">
        <v>2</v>
      </c>
    </row>
    <row r="5323" spans="1:10" x14ac:dyDescent="0.25">
      <c r="A5323" t="s">
        <v>1594</v>
      </c>
      <c r="B5323" s="1" t="str">
        <f>HYPERLINK("http://pci-augsburg.eu","pci-augsburg.eu")</f>
        <v>pci-augsburg.eu</v>
      </c>
      <c r="C5323" t="s">
        <v>444</v>
      </c>
      <c r="E5323">
        <v>865371</v>
      </c>
      <c r="F5323">
        <v>1.8359447274485E-7</v>
      </c>
      <c r="G5323">
        <v>210049</v>
      </c>
      <c r="H5323">
        <v>13409032</v>
      </c>
      <c r="I5323">
        <v>10342573</v>
      </c>
      <c r="J5323">
        <v>5</v>
      </c>
    </row>
    <row r="5324" spans="1:10" x14ac:dyDescent="0.25">
      <c r="A5324" t="s">
        <v>1594</v>
      </c>
      <c r="B5324" s="1" t="str">
        <f>HYPERLINK("http://agcelence.fi","agcelence.fi")</f>
        <v>agcelence.fi</v>
      </c>
      <c r="C5324" t="s">
        <v>445</v>
      </c>
      <c r="D5324" t="s">
        <v>823</v>
      </c>
      <c r="J5324">
        <v>2</v>
      </c>
    </row>
    <row r="5325" spans="1:10" x14ac:dyDescent="0.25">
      <c r="A5325" t="s">
        <v>1594</v>
      </c>
      <c r="B5325" s="1" t="str">
        <f>HYPERLINK("http://basf.fi","basf.fi")</f>
        <v>basf.fi</v>
      </c>
      <c r="C5325" t="s">
        <v>445</v>
      </c>
      <c r="D5325" t="s">
        <v>823</v>
      </c>
      <c r="F5325">
        <v>3.0134655987721398E-8</v>
      </c>
      <c r="G5325">
        <v>1707602</v>
      </c>
      <c r="H5325">
        <v>13766886</v>
      </c>
      <c r="I5325">
        <v>6968706</v>
      </c>
      <c r="J5325">
        <v>2</v>
      </c>
    </row>
    <row r="5326" spans="1:10" x14ac:dyDescent="0.25">
      <c r="A5326" t="s">
        <v>1594</v>
      </c>
      <c r="B5326" s="1" t="str">
        <f>HYPERLINK("http://basf-oy.fi","basf-oy.fi")</f>
        <v>basf-oy.fi</v>
      </c>
      <c r="C5326" t="s">
        <v>445</v>
      </c>
      <c r="D5326" t="s">
        <v>823</v>
      </c>
      <c r="J5326">
        <v>2</v>
      </c>
    </row>
    <row r="5327" spans="1:10" x14ac:dyDescent="0.25">
      <c r="A5327" t="s">
        <v>1594</v>
      </c>
      <c r="B5327" s="1" t="str">
        <f>HYPERLINK("http://certho.fi","certho.fi")</f>
        <v>certho.fi</v>
      </c>
      <c r="C5327" t="s">
        <v>445</v>
      </c>
      <c r="D5327" t="s">
        <v>823</v>
      </c>
      <c r="J5327">
        <v>5</v>
      </c>
    </row>
    <row r="5328" spans="1:10" x14ac:dyDescent="0.25">
      <c r="A5328" t="s">
        <v>1594</v>
      </c>
      <c r="B5328" s="1" t="str">
        <f>HYPERLINK("http://clearfield.fi","clearfield.fi")</f>
        <v>clearfield.fi</v>
      </c>
      <c r="C5328" t="s">
        <v>445</v>
      </c>
      <c r="D5328" t="s">
        <v>823</v>
      </c>
      <c r="J5328">
        <v>2</v>
      </c>
    </row>
    <row r="5329" spans="1:10" x14ac:dyDescent="0.25">
      <c r="A5329" t="s">
        <v>1594</v>
      </c>
      <c r="B5329" s="1" t="str">
        <f>HYPERLINK("http://glasurit.fi","glasurit.fi")</f>
        <v>glasurit.fi</v>
      </c>
      <c r="C5329" t="s">
        <v>445</v>
      </c>
      <c r="D5329" t="s">
        <v>823</v>
      </c>
      <c r="F5329">
        <v>4.54830922651506E-9</v>
      </c>
      <c r="G5329">
        <v>52376855</v>
      </c>
      <c r="H5329">
        <v>8700130</v>
      </c>
      <c r="I5329">
        <v>69941024</v>
      </c>
      <c r="J5329">
        <v>4</v>
      </c>
    </row>
    <row r="5330" spans="1:10" x14ac:dyDescent="0.25">
      <c r="A5330" t="s">
        <v>1594</v>
      </c>
      <c r="B5330" s="1" t="str">
        <f>HYPERLINK("http://nunhems.fi","nunhems.fi")</f>
        <v>nunhems.fi</v>
      </c>
      <c r="C5330" t="s">
        <v>445</v>
      </c>
      <c r="D5330" t="s">
        <v>823</v>
      </c>
      <c r="J5330">
        <v>2</v>
      </c>
    </row>
    <row r="5331" spans="1:10" x14ac:dyDescent="0.25">
      <c r="A5331" t="s">
        <v>1594</v>
      </c>
      <c r="B5331" s="1" t="str">
        <f>HYPERLINK("http://systiva.fi","systiva.fi")</f>
        <v>systiva.fi</v>
      </c>
      <c r="C5331" t="s">
        <v>445</v>
      </c>
      <c r="D5331" t="s">
        <v>823</v>
      </c>
      <c r="J5331">
        <v>2</v>
      </c>
    </row>
    <row r="5332" spans="1:10" x14ac:dyDescent="0.25">
      <c r="A5332" t="s">
        <v>1594</v>
      </c>
      <c r="B5332" s="1" t="str">
        <f>HYPERLINK("http://thomsit.fi","thomsit.fi")</f>
        <v>thomsit.fi</v>
      </c>
      <c r="C5332" t="s">
        <v>445</v>
      </c>
      <c r="D5332" t="s">
        <v>823</v>
      </c>
      <c r="J5332">
        <v>5</v>
      </c>
    </row>
    <row r="5333" spans="1:10" x14ac:dyDescent="0.25">
      <c r="A5333" t="s">
        <v>1594</v>
      </c>
      <c r="B5333" s="1" t="str">
        <f>HYPERLINK("http://xemium.fi","xemium.fi")</f>
        <v>xemium.fi</v>
      </c>
      <c r="C5333" t="s">
        <v>445</v>
      </c>
      <c r="D5333" t="s">
        <v>823</v>
      </c>
      <c r="J5333">
        <v>2</v>
      </c>
    </row>
    <row r="5334" spans="1:10" x14ac:dyDescent="0.25">
      <c r="A5334" t="s">
        <v>1594</v>
      </c>
      <c r="B5334" s="1" t="str">
        <f>HYPERLINK("http://basf.fr","basf.fr")</f>
        <v>basf.fr</v>
      </c>
      <c r="C5334" t="s">
        <v>446</v>
      </c>
      <c r="D5334" t="s">
        <v>824</v>
      </c>
      <c r="F5334">
        <v>8.5753366751972297E-8</v>
      </c>
      <c r="G5334">
        <v>480184</v>
      </c>
      <c r="H5334">
        <v>14512815</v>
      </c>
      <c r="I5334">
        <v>818444</v>
      </c>
      <c r="J5334">
        <v>2</v>
      </c>
    </row>
    <row r="5335" spans="1:10" x14ac:dyDescent="0.25">
      <c r="A5335" t="s">
        <v>1594</v>
      </c>
      <c r="B5335" s="1" t="str">
        <f>HYPERLINK("http://basf-coatings-services.fr","basf-coatings-services.fr")</f>
        <v>basf-coatings-services.fr</v>
      </c>
      <c r="C5335" t="s">
        <v>446</v>
      </c>
      <c r="D5335" t="s">
        <v>824</v>
      </c>
      <c r="J5335">
        <v>3</v>
      </c>
    </row>
    <row r="5336" spans="1:10" x14ac:dyDescent="0.25">
      <c r="A5336" t="s">
        <v>1594</v>
      </c>
      <c r="B5336" s="1" t="str">
        <f>HYPERLINK("http://chemetall.fr","chemetall.fr")</f>
        <v>chemetall.fr</v>
      </c>
      <c r="C5336" t="s">
        <v>446</v>
      </c>
      <c r="D5336" t="s">
        <v>824</v>
      </c>
      <c r="F5336">
        <v>7.6445683144687402E-9</v>
      </c>
      <c r="G5336">
        <v>10696877</v>
      </c>
      <c r="H5336">
        <v>10719160</v>
      </c>
      <c r="I5336">
        <v>42025045</v>
      </c>
      <c r="J5336">
        <v>3</v>
      </c>
    </row>
    <row r="5337" spans="1:10" x14ac:dyDescent="0.25">
      <c r="A5337" t="s">
        <v>1594</v>
      </c>
      <c r="B5337" s="1" t="str">
        <f>HYPERLINK("http://nunhems.fr","nunhems.fr")</f>
        <v>nunhems.fr</v>
      </c>
      <c r="C5337" t="s">
        <v>446</v>
      </c>
      <c r="D5337" t="s">
        <v>824</v>
      </c>
      <c r="F5337">
        <v>6.8227997988715801E-9</v>
      </c>
      <c r="G5337">
        <v>12885091</v>
      </c>
      <c r="H5337">
        <v>12337985</v>
      </c>
      <c r="I5337">
        <v>20052040</v>
      </c>
      <c r="J5337">
        <v>4</v>
      </c>
    </row>
    <row r="5338" spans="1:10" x14ac:dyDescent="0.25">
      <c r="A5338" t="s">
        <v>1594</v>
      </c>
      <c r="B5338" s="1" t="str">
        <f>HYPERLINK("http://sculpteo.fr","sculpteo.fr")</f>
        <v>sculpteo.fr</v>
      </c>
      <c r="C5338" t="s">
        <v>446</v>
      </c>
      <c r="D5338" t="s">
        <v>824</v>
      </c>
      <c r="F5338">
        <v>5.3285047568747297E-9</v>
      </c>
      <c r="G5338">
        <v>23086774</v>
      </c>
      <c r="H5338">
        <v>13933062</v>
      </c>
      <c r="I5338">
        <v>5206073</v>
      </c>
      <c r="J5338">
        <v>4</v>
      </c>
    </row>
    <row r="5339" spans="1:10" x14ac:dyDescent="0.25">
      <c r="A5339" t="s">
        <v>1594</v>
      </c>
      <c r="B5339" s="1" t="str">
        <f>HYPERLINK("http://basf.gr","basf.gr")</f>
        <v>basf.gr</v>
      </c>
      <c r="C5339" t="s">
        <v>447</v>
      </c>
      <c r="D5339" t="s">
        <v>825</v>
      </c>
      <c r="F5339">
        <v>3.8750168415523203E-8</v>
      </c>
      <c r="G5339">
        <v>1330503</v>
      </c>
      <c r="H5339">
        <v>14240990</v>
      </c>
      <c r="I5339">
        <v>1495817</v>
      </c>
      <c r="J5339">
        <v>2</v>
      </c>
    </row>
    <row r="5340" spans="1:10" x14ac:dyDescent="0.25">
      <c r="A5340" t="s">
        <v>1594</v>
      </c>
      <c r="B5340" s="1" t="str">
        <f>HYPERLINK("http://basf-guatemala.com.gt","basf-guatemala.com.gt")</f>
        <v>basf-guatemala.com.gt</v>
      </c>
      <c r="C5340" t="s">
        <v>448</v>
      </c>
      <c r="D5340" t="s">
        <v>826</v>
      </c>
      <c r="F5340">
        <v>5.1245637251157696E-9</v>
      </c>
      <c r="G5340">
        <v>26558318</v>
      </c>
      <c r="H5340">
        <v>12168576</v>
      </c>
      <c r="I5340">
        <v>24107724</v>
      </c>
      <c r="J5340">
        <v>3</v>
      </c>
    </row>
    <row r="5341" spans="1:10" x14ac:dyDescent="0.25">
      <c r="A5341" t="s">
        <v>1594</v>
      </c>
      <c r="B5341" s="1" t="str">
        <f>HYPERLINK("http://basf.hr","basf.hr")</f>
        <v>basf.hr</v>
      </c>
      <c r="C5341" t="s">
        <v>452</v>
      </c>
      <c r="D5341" t="s">
        <v>829</v>
      </c>
      <c r="F5341">
        <v>2.95982339198688E-8</v>
      </c>
      <c r="G5341">
        <v>1741684</v>
      </c>
      <c r="H5341">
        <v>14073175</v>
      </c>
      <c r="I5341">
        <v>3011859</v>
      </c>
      <c r="J5341">
        <v>2</v>
      </c>
    </row>
    <row r="5342" spans="1:10" x14ac:dyDescent="0.25">
      <c r="A5342" t="s">
        <v>1594</v>
      </c>
      <c r="B5342" s="1" t="str">
        <f>HYPERLINK("http://glasurit.hr","glasurit.hr")</f>
        <v>glasurit.hr</v>
      </c>
      <c r="C5342" t="s">
        <v>452</v>
      </c>
      <c r="D5342" t="s">
        <v>829</v>
      </c>
      <c r="F5342">
        <v>7.6994161103790192E-9</v>
      </c>
      <c r="G5342">
        <v>10584521</v>
      </c>
      <c r="H5342">
        <v>10902750</v>
      </c>
      <c r="I5342">
        <v>35772488</v>
      </c>
      <c r="J5342">
        <v>4</v>
      </c>
    </row>
    <row r="5343" spans="1:10" x14ac:dyDescent="0.25">
      <c r="A5343" t="s">
        <v>1594</v>
      </c>
      <c r="B5343" s="1" t="str">
        <f>HYPERLINK("http://basf.hu","basf.hu")</f>
        <v>basf.hu</v>
      </c>
      <c r="C5343" t="s">
        <v>453</v>
      </c>
      <c r="D5343" t="s">
        <v>830</v>
      </c>
      <c r="F5343">
        <v>3.4514453271646599E-8</v>
      </c>
      <c r="G5343">
        <v>1502990</v>
      </c>
      <c r="H5343">
        <v>14074439</v>
      </c>
      <c r="I5343">
        <v>2943114</v>
      </c>
      <c r="J5343">
        <v>2</v>
      </c>
    </row>
    <row r="5344" spans="1:10" x14ac:dyDescent="0.25">
      <c r="A5344" t="s">
        <v>1594</v>
      </c>
      <c r="B5344" s="1" t="str">
        <f>HYPERLINK("http://chemetall.hu","chemetall.hu")</f>
        <v>chemetall.hu</v>
      </c>
      <c r="C5344" t="s">
        <v>453</v>
      </c>
      <c r="D5344" t="s">
        <v>830</v>
      </c>
      <c r="F5344">
        <v>4.6208085252269803E-9</v>
      </c>
      <c r="G5344">
        <v>46075995</v>
      </c>
      <c r="H5344">
        <v>9373002</v>
      </c>
      <c r="I5344">
        <v>67661533</v>
      </c>
      <c r="J5344">
        <v>4</v>
      </c>
    </row>
    <row r="5345" spans="1:10" x14ac:dyDescent="0.25">
      <c r="A5345" t="s">
        <v>1594</v>
      </c>
      <c r="B5345" s="1" t="str">
        <f>HYPERLINK("http://basf.co.id","basf.co.id")</f>
        <v>basf.co.id</v>
      </c>
      <c r="C5345" t="s">
        <v>454</v>
      </c>
      <c r="D5345" t="s">
        <v>831</v>
      </c>
      <c r="F5345">
        <v>6.1573559485574701E-9</v>
      </c>
      <c r="G5345">
        <v>15761986</v>
      </c>
      <c r="H5345">
        <v>12345542</v>
      </c>
      <c r="I5345">
        <v>19840931</v>
      </c>
      <c r="J5345">
        <v>2</v>
      </c>
    </row>
    <row r="5346" spans="1:10" x14ac:dyDescent="0.25">
      <c r="A5346" t="s">
        <v>1594</v>
      </c>
      <c r="B5346" s="1" t="str">
        <f>HYPERLINK("http://basf.ie","basf.ie")</f>
        <v>basf.ie</v>
      </c>
      <c r="C5346" t="s">
        <v>455</v>
      </c>
      <c r="D5346" t="s">
        <v>832</v>
      </c>
      <c r="F5346">
        <v>2.7548755921595301E-8</v>
      </c>
      <c r="G5346">
        <v>1866131</v>
      </c>
      <c r="H5346">
        <v>13034263</v>
      </c>
      <c r="I5346">
        <v>12651689</v>
      </c>
      <c r="J5346">
        <v>2</v>
      </c>
    </row>
    <row r="5347" spans="1:10" x14ac:dyDescent="0.25">
      <c r="A5347" t="s">
        <v>1594</v>
      </c>
      <c r="B5347" s="1" t="str">
        <f>HYPERLINK("http://basf.in","basf.in")</f>
        <v>basf.in</v>
      </c>
      <c r="C5347" t="s">
        <v>457</v>
      </c>
      <c r="D5347" t="s">
        <v>834</v>
      </c>
      <c r="F5347">
        <v>7.7297313926850706E-9</v>
      </c>
      <c r="G5347">
        <v>10508052</v>
      </c>
      <c r="H5347">
        <v>12566443</v>
      </c>
      <c r="I5347">
        <v>16656124</v>
      </c>
      <c r="J5347">
        <v>2</v>
      </c>
    </row>
    <row r="5348" spans="1:10" x14ac:dyDescent="0.25">
      <c r="A5348" t="s">
        <v>1594</v>
      </c>
      <c r="B5348" s="1" t="str">
        <f>HYPERLINK("http://farmconnect.info","farmconnect.info")</f>
        <v>farmconnect.info</v>
      </c>
      <c r="C5348" t="s">
        <v>458</v>
      </c>
      <c r="F5348">
        <v>4.4608264309114403E-9</v>
      </c>
      <c r="G5348">
        <v>67496474</v>
      </c>
      <c r="H5348">
        <v>10521715</v>
      </c>
      <c r="I5348">
        <v>49021273</v>
      </c>
      <c r="J5348">
        <v>3</v>
      </c>
    </row>
    <row r="5349" spans="1:10" x14ac:dyDescent="0.25">
      <c r="A5349" t="s">
        <v>1594</v>
      </c>
      <c r="B5349" s="1" t="str">
        <f>HYPERLINK("http://basf.it","basf.it")</f>
        <v>basf.it</v>
      </c>
      <c r="C5349" t="s">
        <v>459</v>
      </c>
      <c r="D5349" t="s">
        <v>835</v>
      </c>
      <c r="F5349">
        <v>5.84891294370584E-8</v>
      </c>
      <c r="G5349">
        <v>759431</v>
      </c>
      <c r="H5349">
        <v>14080270</v>
      </c>
      <c r="I5349">
        <v>2821845</v>
      </c>
      <c r="J5349">
        <v>2</v>
      </c>
    </row>
    <row r="5350" spans="1:10" x14ac:dyDescent="0.25">
      <c r="A5350" t="s">
        <v>1594</v>
      </c>
      <c r="B5350" s="1" t="str">
        <f>HYPERLINK("http://basf-cc.it","basf-cc.it")</f>
        <v>basf-cc.it</v>
      </c>
      <c r="C5350" t="s">
        <v>459</v>
      </c>
      <c r="D5350" t="s">
        <v>835</v>
      </c>
      <c r="F5350">
        <v>5.2054337704848502E-9</v>
      </c>
      <c r="G5350">
        <v>25006893</v>
      </c>
      <c r="H5350">
        <v>14072379</v>
      </c>
      <c r="I5350">
        <v>3102532</v>
      </c>
      <c r="J5350">
        <v>7</v>
      </c>
    </row>
    <row r="5351" spans="1:10" x14ac:dyDescent="0.25">
      <c r="A5351" t="s">
        <v>1594</v>
      </c>
      <c r="B5351" s="1" t="str">
        <f>HYPERLINK("http://chemetall.it","chemetall.it")</f>
        <v>chemetall.it</v>
      </c>
      <c r="C5351" t="s">
        <v>459</v>
      </c>
      <c r="D5351" t="s">
        <v>835</v>
      </c>
      <c r="F5351">
        <v>7.9591554029803899E-9</v>
      </c>
      <c r="G5351">
        <v>9996469</v>
      </c>
      <c r="H5351">
        <v>12243995</v>
      </c>
      <c r="I5351">
        <v>22149968</v>
      </c>
      <c r="J5351">
        <v>4</v>
      </c>
    </row>
    <row r="5352" spans="1:10" x14ac:dyDescent="0.25">
      <c r="A5352" t="s">
        <v>1594</v>
      </c>
      <c r="B5352" s="1" t="str">
        <f>HYPERLINK("http://nunhems.it","nunhems.it")</f>
        <v>nunhems.it</v>
      </c>
      <c r="C5352" t="s">
        <v>459</v>
      </c>
      <c r="D5352" t="s">
        <v>835</v>
      </c>
      <c r="F5352">
        <v>7.5253059218636205E-9</v>
      </c>
      <c r="G5352">
        <v>10957807</v>
      </c>
      <c r="H5352">
        <v>13765710</v>
      </c>
      <c r="I5352">
        <v>7072111</v>
      </c>
      <c r="J5352">
        <v>4</v>
      </c>
    </row>
    <row r="5353" spans="1:10" x14ac:dyDescent="0.25">
      <c r="A5353" t="s">
        <v>1594</v>
      </c>
      <c r="B5353" s="1" t="str">
        <f>HYPERLINK("http://basf.jobs","basf.jobs")</f>
        <v>basf.jobs</v>
      </c>
      <c r="C5353" t="s">
        <v>521</v>
      </c>
      <c r="E5353">
        <v>447856</v>
      </c>
      <c r="F5353">
        <v>2.8903552907601701E-8</v>
      </c>
      <c r="G5353">
        <v>1781012</v>
      </c>
      <c r="H5353">
        <v>13552091</v>
      </c>
      <c r="I5353">
        <v>9888147</v>
      </c>
      <c r="J5353">
        <v>2</v>
      </c>
    </row>
    <row r="5354" spans="1:10" x14ac:dyDescent="0.25">
      <c r="A5354" t="s">
        <v>1594</v>
      </c>
      <c r="B5354" s="1" t="str">
        <f>HYPERLINK("http://basf.co.jp","basf.co.jp")</f>
        <v>basf.co.jp</v>
      </c>
      <c r="C5354" t="s">
        <v>461</v>
      </c>
      <c r="D5354" t="s">
        <v>837</v>
      </c>
      <c r="F5354">
        <v>2.2405610397536799E-8</v>
      </c>
      <c r="G5354">
        <v>2339064</v>
      </c>
      <c r="H5354">
        <v>14108871</v>
      </c>
      <c r="I5354">
        <v>2678768</v>
      </c>
      <c r="J5354">
        <v>2</v>
      </c>
    </row>
    <row r="5355" spans="1:10" x14ac:dyDescent="0.25">
      <c r="A5355" t="s">
        <v>1594</v>
      </c>
      <c r="B5355" s="1" t="str">
        <f>HYPERLINK("http://chemipro.co.jp","chemipro.co.jp")</f>
        <v>chemipro.co.jp</v>
      </c>
      <c r="C5355" t="s">
        <v>461</v>
      </c>
      <c r="D5355" t="s">
        <v>837</v>
      </c>
      <c r="F5355">
        <v>1.20939745535343E-8</v>
      </c>
      <c r="G5355">
        <v>5117016</v>
      </c>
      <c r="H5355">
        <v>13270292</v>
      </c>
      <c r="I5355">
        <v>10958724</v>
      </c>
      <c r="J5355">
        <v>3</v>
      </c>
    </row>
    <row r="5356" spans="1:10" x14ac:dyDescent="0.25">
      <c r="A5356" t="s">
        <v>1594</v>
      </c>
      <c r="B5356" s="1" t="str">
        <f>HYPERLINK("http://basf.co.ke","basf.co.ke")</f>
        <v>basf.co.ke</v>
      </c>
      <c r="C5356" t="s">
        <v>462</v>
      </c>
      <c r="D5356" t="s">
        <v>838</v>
      </c>
      <c r="F5356">
        <v>2.60780975764259E-8</v>
      </c>
      <c r="G5356">
        <v>1975400</v>
      </c>
      <c r="H5356">
        <v>12434851</v>
      </c>
      <c r="I5356">
        <v>18216228</v>
      </c>
      <c r="J5356">
        <v>2</v>
      </c>
    </row>
    <row r="5357" spans="1:10" x14ac:dyDescent="0.25">
      <c r="A5357" t="s">
        <v>1594</v>
      </c>
      <c r="B5357" s="1" t="str">
        <f>HYPERLINK("http://basf.co.kr","basf.co.kr")</f>
        <v>basf.co.kr</v>
      </c>
      <c r="C5357" t="s">
        <v>463</v>
      </c>
      <c r="D5357" t="s">
        <v>839</v>
      </c>
      <c r="F5357">
        <v>8.1656955163508004E-9</v>
      </c>
      <c r="G5357">
        <v>9629701</v>
      </c>
      <c r="H5357">
        <v>14072777</v>
      </c>
      <c r="I5357">
        <v>3045927</v>
      </c>
      <c r="J5357">
        <v>2</v>
      </c>
    </row>
    <row r="5358" spans="1:10" x14ac:dyDescent="0.25">
      <c r="A5358" t="s">
        <v>1594</v>
      </c>
      <c r="B5358" s="1" t="str">
        <f>HYPERLINK("http://basf.kz","basf.kz")</f>
        <v>basf.kz</v>
      </c>
      <c r="C5358" t="s">
        <v>465</v>
      </c>
      <c r="D5358" t="s">
        <v>841</v>
      </c>
      <c r="F5358">
        <v>2.8047265115669699E-8</v>
      </c>
      <c r="G5358">
        <v>1834299</v>
      </c>
      <c r="H5358">
        <v>12434840</v>
      </c>
      <c r="I5358">
        <v>18216337</v>
      </c>
      <c r="J5358">
        <v>2</v>
      </c>
    </row>
    <row r="5359" spans="1:10" x14ac:dyDescent="0.25">
      <c r="A5359" t="s">
        <v>1594</v>
      </c>
      <c r="B5359" s="1" t="str">
        <f>HYPERLINK("http://basf-cc.kz","basf-cc.kz")</f>
        <v>basf-cc.kz</v>
      </c>
      <c r="C5359" t="s">
        <v>465</v>
      </c>
      <c r="D5359" t="s">
        <v>841</v>
      </c>
      <c r="F5359">
        <v>4.7012707077629499E-9</v>
      </c>
      <c r="G5359">
        <v>41168555</v>
      </c>
      <c r="H5359">
        <v>10119390</v>
      </c>
      <c r="I5359">
        <v>59688449</v>
      </c>
      <c r="J5359">
        <v>3</v>
      </c>
    </row>
    <row r="5360" spans="1:10" x14ac:dyDescent="0.25">
      <c r="A5360" t="s">
        <v>1594</v>
      </c>
      <c r="B5360" s="1" t="str">
        <f>HYPERLINK("http://basf.link","basf.link")</f>
        <v>basf.link</v>
      </c>
      <c r="C5360" t="s">
        <v>546</v>
      </c>
      <c r="F5360">
        <v>6.3425868576427501E-9</v>
      </c>
      <c r="G5360">
        <v>14798297</v>
      </c>
      <c r="H5360">
        <v>12337728</v>
      </c>
      <c r="I5360">
        <v>20056215</v>
      </c>
      <c r="J5360">
        <v>2</v>
      </c>
    </row>
    <row r="5361" spans="1:10" x14ac:dyDescent="0.25">
      <c r="A5361" t="s">
        <v>1594</v>
      </c>
      <c r="B5361" s="1" t="str">
        <f>HYPERLINK("http://basf.lt","basf.lt")</f>
        <v>basf.lt</v>
      </c>
      <c r="C5361" t="s">
        <v>467</v>
      </c>
      <c r="D5361" t="s">
        <v>843</v>
      </c>
      <c r="F5361">
        <v>3.7189779316553401E-8</v>
      </c>
      <c r="G5361">
        <v>1392887</v>
      </c>
      <c r="H5361">
        <v>12456821</v>
      </c>
      <c r="I5361">
        <v>17914327</v>
      </c>
      <c r="J5361">
        <v>2</v>
      </c>
    </row>
    <row r="5362" spans="1:10" x14ac:dyDescent="0.25">
      <c r="A5362" t="s">
        <v>1594</v>
      </c>
      <c r="B5362" s="1" t="str">
        <f>HYPERLINK("http://basf-cc.lt","basf-cc.lt")</f>
        <v>basf-cc.lt</v>
      </c>
      <c r="C5362" t="s">
        <v>467</v>
      </c>
      <c r="D5362" t="s">
        <v>843</v>
      </c>
      <c r="J5362">
        <v>3</v>
      </c>
    </row>
    <row r="5363" spans="1:10" x14ac:dyDescent="0.25">
      <c r="A5363" t="s">
        <v>1594</v>
      </c>
      <c r="B5363" s="1" t="str">
        <f>HYPERLINK("http://basf.lv","basf.lv")</f>
        <v>basf.lv</v>
      </c>
      <c r="C5363" t="s">
        <v>468</v>
      </c>
      <c r="D5363" t="s">
        <v>844</v>
      </c>
      <c r="F5363">
        <v>3.2495822116943802E-8</v>
      </c>
      <c r="G5363">
        <v>1589975</v>
      </c>
      <c r="H5363">
        <v>12478494</v>
      </c>
      <c r="I5363">
        <v>17612579</v>
      </c>
      <c r="J5363">
        <v>2</v>
      </c>
    </row>
    <row r="5364" spans="1:10" x14ac:dyDescent="0.25">
      <c r="A5364" t="s">
        <v>1594</v>
      </c>
      <c r="B5364" s="1" t="str">
        <f>HYPERLINK("http://basf.co.ma","basf.co.ma")</f>
        <v>basf.co.ma</v>
      </c>
      <c r="C5364" t="s">
        <v>469</v>
      </c>
      <c r="D5364" t="s">
        <v>845</v>
      </c>
      <c r="F5364">
        <v>2.6747799493776002E-8</v>
      </c>
      <c r="G5364">
        <v>1924043</v>
      </c>
      <c r="H5364">
        <v>12441356</v>
      </c>
      <c r="I5364">
        <v>18128692</v>
      </c>
      <c r="J5364">
        <v>2</v>
      </c>
    </row>
    <row r="5365" spans="1:10" x14ac:dyDescent="0.25">
      <c r="A5365" t="s">
        <v>1594</v>
      </c>
      <c r="B5365" s="1" t="str">
        <f>HYPERLINK("http://basf.md","basf.md")</f>
        <v>basf.md</v>
      </c>
      <c r="C5365" t="s">
        <v>571</v>
      </c>
      <c r="D5365" t="s">
        <v>918</v>
      </c>
      <c r="F5365">
        <v>2.6613739298054601E-8</v>
      </c>
      <c r="G5365">
        <v>1934246</v>
      </c>
      <c r="H5365">
        <v>12434861</v>
      </c>
      <c r="I5365">
        <v>18216078</v>
      </c>
      <c r="J5365">
        <v>2</v>
      </c>
    </row>
    <row r="5366" spans="1:10" x14ac:dyDescent="0.25">
      <c r="A5366" t="s">
        <v>1594</v>
      </c>
      <c r="B5366" s="1" t="str">
        <f>HYPERLINK("http://bafs.com.mx","bafs.com.mx")</f>
        <v>bafs.com.mx</v>
      </c>
      <c r="C5366" t="s">
        <v>471</v>
      </c>
      <c r="D5366" t="s">
        <v>847</v>
      </c>
      <c r="J5366">
        <v>3</v>
      </c>
    </row>
    <row r="5367" spans="1:10" x14ac:dyDescent="0.25">
      <c r="A5367" t="s">
        <v>1594</v>
      </c>
      <c r="B5367" s="1" t="str">
        <f>HYPERLINK("http://basf.com.mx","basf.com.mx")</f>
        <v>basf.com.mx</v>
      </c>
      <c r="C5367" t="s">
        <v>471</v>
      </c>
      <c r="D5367" t="s">
        <v>847</v>
      </c>
      <c r="F5367">
        <v>8.6543321361669694E-9</v>
      </c>
      <c r="G5367">
        <v>8559160</v>
      </c>
      <c r="H5367">
        <v>13769766</v>
      </c>
      <c r="I5367">
        <v>6770468</v>
      </c>
      <c r="J5367">
        <v>2</v>
      </c>
    </row>
    <row r="5368" spans="1:10" x14ac:dyDescent="0.25">
      <c r="A5368" t="s">
        <v>1594</v>
      </c>
      <c r="B5368" s="1" t="str">
        <f>HYPERLINK("http://nunhems.mx","nunhems.mx")</f>
        <v>nunhems.mx</v>
      </c>
      <c r="C5368" t="s">
        <v>471</v>
      </c>
      <c r="D5368" t="s">
        <v>847</v>
      </c>
      <c r="F5368">
        <v>5.8009565841695096E-9</v>
      </c>
      <c r="G5368">
        <v>18079387</v>
      </c>
      <c r="H5368">
        <v>12337742</v>
      </c>
      <c r="I5368">
        <v>20055963</v>
      </c>
      <c r="J5368">
        <v>4</v>
      </c>
    </row>
    <row r="5369" spans="1:10" x14ac:dyDescent="0.25">
      <c r="A5369" t="s">
        <v>1594</v>
      </c>
      <c r="B5369" s="1" t="str">
        <f>HYPERLINK("http://basf-petronas.com.my","basf-petronas.com.my")</f>
        <v>basf-petronas.com.my</v>
      </c>
      <c r="C5369" t="s">
        <v>472</v>
      </c>
      <c r="D5369" t="s">
        <v>848</v>
      </c>
      <c r="F5369">
        <v>1.0030615226660999E-8</v>
      </c>
      <c r="G5369">
        <v>6725477</v>
      </c>
      <c r="H5369">
        <v>14072972</v>
      </c>
      <c r="I5369">
        <v>3028073</v>
      </c>
      <c r="J5369">
        <v>3</v>
      </c>
    </row>
    <row r="5370" spans="1:10" x14ac:dyDescent="0.25">
      <c r="A5370" t="s">
        <v>1594</v>
      </c>
      <c r="B5370" s="1" t="str">
        <f>HYPERLINK("http://basf.net","basf.net")</f>
        <v>basf.net</v>
      </c>
      <c r="C5370" t="s">
        <v>474</v>
      </c>
      <c r="E5370">
        <v>110633</v>
      </c>
      <c r="F5370">
        <v>1.9637456888781999E-8</v>
      </c>
      <c r="G5370">
        <v>2721436</v>
      </c>
      <c r="H5370">
        <v>12639894</v>
      </c>
      <c r="I5370">
        <v>15876616</v>
      </c>
      <c r="J5370">
        <v>2</v>
      </c>
    </row>
    <row r="5371" spans="1:10" x14ac:dyDescent="0.25">
      <c r="A5371" t="s">
        <v>1594</v>
      </c>
      <c r="B5371" s="1" t="str">
        <f>HYPERLINK("http://pyrum.net","pyrum.net")</f>
        <v>pyrum.net</v>
      </c>
      <c r="C5371" t="s">
        <v>474</v>
      </c>
      <c r="F5371">
        <v>3.7474634544478899E-8</v>
      </c>
      <c r="G5371">
        <v>1381152</v>
      </c>
      <c r="H5371">
        <v>13178545</v>
      </c>
      <c r="I5371">
        <v>11689071</v>
      </c>
      <c r="J5371">
        <v>3</v>
      </c>
    </row>
    <row r="5372" spans="1:10" x14ac:dyDescent="0.25">
      <c r="A5372" t="s">
        <v>1594</v>
      </c>
      <c r="B5372" s="1" t="str">
        <f>HYPERLINK("http://basf.nl","basf.nl")</f>
        <v>basf.nl</v>
      </c>
      <c r="C5372" t="s">
        <v>477</v>
      </c>
      <c r="D5372" t="s">
        <v>852</v>
      </c>
      <c r="F5372">
        <v>4.62261731432776E-8</v>
      </c>
      <c r="G5372">
        <v>1013647</v>
      </c>
      <c r="H5372">
        <v>14243884</v>
      </c>
      <c r="I5372">
        <v>1474794</v>
      </c>
      <c r="J5372">
        <v>2</v>
      </c>
    </row>
    <row r="5373" spans="1:10" x14ac:dyDescent="0.25">
      <c r="A5373" t="s">
        <v>1594</v>
      </c>
      <c r="B5373" s="1" t="str">
        <f>HYPERLINK("http://chemetall.nl","chemetall.nl")</f>
        <v>chemetall.nl</v>
      </c>
      <c r="C5373" t="s">
        <v>477</v>
      </c>
      <c r="D5373" t="s">
        <v>852</v>
      </c>
      <c r="F5373">
        <v>7.4527906882119997E-9</v>
      </c>
      <c r="G5373">
        <v>11119125</v>
      </c>
      <c r="H5373">
        <v>10854890</v>
      </c>
      <c r="I5373">
        <v>36759481</v>
      </c>
      <c r="J5373">
        <v>3</v>
      </c>
    </row>
    <row r="5374" spans="1:10" x14ac:dyDescent="0.25">
      <c r="A5374" t="s">
        <v>1594</v>
      </c>
      <c r="B5374" s="1" t="str">
        <f>HYPERLINK("http://nunhems.nl","nunhems.nl")</f>
        <v>nunhems.nl</v>
      </c>
      <c r="C5374" t="s">
        <v>477</v>
      </c>
      <c r="D5374" t="s">
        <v>852</v>
      </c>
      <c r="F5374">
        <v>1.41969663210614E-8</v>
      </c>
      <c r="G5374">
        <v>4130002</v>
      </c>
      <c r="H5374">
        <v>14074621</v>
      </c>
      <c r="I5374">
        <v>2936425</v>
      </c>
      <c r="J5374">
        <v>4</v>
      </c>
    </row>
    <row r="5375" spans="1:10" x14ac:dyDescent="0.25">
      <c r="A5375" t="s">
        <v>1594</v>
      </c>
      <c r="B5375" s="1" t="str">
        <f>HYPERLINK("http://vattenfall-hollandsekust.nl","vattenfall-hollandsekust.nl")</f>
        <v>vattenfall-hollandsekust.nl</v>
      </c>
      <c r="C5375" t="s">
        <v>477</v>
      </c>
      <c r="D5375" t="s">
        <v>852</v>
      </c>
      <c r="F5375">
        <v>2.1828499465926602E-8</v>
      </c>
      <c r="G5375">
        <v>2406449</v>
      </c>
      <c r="H5375">
        <v>14380117</v>
      </c>
      <c r="I5375">
        <v>1196217</v>
      </c>
      <c r="J5375">
        <v>3</v>
      </c>
    </row>
    <row r="5376" spans="1:10" x14ac:dyDescent="0.25">
      <c r="A5376" t="s">
        <v>1594</v>
      </c>
      <c r="B5376" s="1" t="str">
        <f>HYPERLINK("http://basf.no","basf.no")</f>
        <v>basf.no</v>
      </c>
      <c r="C5376" t="s">
        <v>478</v>
      </c>
      <c r="D5376" t="s">
        <v>853</v>
      </c>
      <c r="F5376">
        <v>2.75143969085975E-8</v>
      </c>
      <c r="G5376">
        <v>1868520</v>
      </c>
      <c r="H5376">
        <v>12471543</v>
      </c>
      <c r="I5376">
        <v>17684298</v>
      </c>
      <c r="J5376">
        <v>2</v>
      </c>
    </row>
    <row r="5377" spans="1:10" x14ac:dyDescent="0.25">
      <c r="A5377" t="s">
        <v>1594</v>
      </c>
      <c r="B5377" s="1" t="str">
        <f>HYPERLINK("http://wintershall.no","wintershall.no")</f>
        <v>wintershall.no</v>
      </c>
      <c r="C5377" t="s">
        <v>478</v>
      </c>
      <c r="D5377" t="s">
        <v>853</v>
      </c>
      <c r="F5377">
        <v>1.15383589574249E-8</v>
      </c>
      <c r="G5377">
        <v>5476858</v>
      </c>
      <c r="H5377">
        <v>13021159</v>
      </c>
      <c r="I5377">
        <v>12707939</v>
      </c>
      <c r="J5377">
        <v>4</v>
      </c>
    </row>
    <row r="5378" spans="1:10" x14ac:dyDescent="0.25">
      <c r="A5378" t="s">
        <v>1594</v>
      </c>
      <c r="B5378" s="1" t="str">
        <f>HYPERLINK("http://wintershalldea.no","wintershalldea.no")</f>
        <v>wintershalldea.no</v>
      </c>
      <c r="C5378" t="s">
        <v>478</v>
      </c>
      <c r="D5378" t="s">
        <v>853</v>
      </c>
      <c r="F5378">
        <v>3.8072453153640402E-8</v>
      </c>
      <c r="G5378">
        <v>1359442</v>
      </c>
      <c r="H5378">
        <v>12428171</v>
      </c>
      <c r="I5378">
        <v>18329156</v>
      </c>
      <c r="J5378">
        <v>4</v>
      </c>
    </row>
    <row r="5379" spans="1:10" x14ac:dyDescent="0.25">
      <c r="A5379" t="s">
        <v>1594</v>
      </c>
      <c r="B5379" s="1" t="str">
        <f>HYPERLINK("http://basf.co.nz","basf.co.nz")</f>
        <v>basf.co.nz</v>
      </c>
      <c r="C5379" t="s">
        <v>479</v>
      </c>
      <c r="D5379" t="s">
        <v>854</v>
      </c>
      <c r="F5379">
        <v>7.4887881494257807E-9</v>
      </c>
      <c r="G5379">
        <v>11038452</v>
      </c>
      <c r="H5379">
        <v>13041887</v>
      </c>
      <c r="I5379">
        <v>12618428</v>
      </c>
      <c r="J5379">
        <v>2</v>
      </c>
    </row>
    <row r="5380" spans="1:10" x14ac:dyDescent="0.25">
      <c r="A5380" t="s">
        <v>1594</v>
      </c>
      <c r="B5380" s="1" t="str">
        <f>HYPERLINK("http://basf.pe","basf.pe")</f>
        <v>basf.pe</v>
      </c>
      <c r="C5380" t="s">
        <v>483</v>
      </c>
      <c r="D5380" t="s">
        <v>857</v>
      </c>
      <c r="F5380">
        <v>5.7203590264968702E-9</v>
      </c>
      <c r="G5380">
        <v>18746200</v>
      </c>
      <c r="H5380">
        <v>12338463</v>
      </c>
      <c r="I5380">
        <v>20038413</v>
      </c>
      <c r="J5380">
        <v>2</v>
      </c>
    </row>
    <row r="5381" spans="1:10" x14ac:dyDescent="0.25">
      <c r="A5381" t="s">
        <v>1594</v>
      </c>
      <c r="B5381" s="1" t="str">
        <f>HYPERLINK("http://basf.com.pe","basf.com.pe")</f>
        <v>basf.com.pe</v>
      </c>
      <c r="C5381" t="s">
        <v>483</v>
      </c>
      <c r="D5381" t="s">
        <v>857</v>
      </c>
      <c r="F5381">
        <v>6.3354919780889003E-9</v>
      </c>
      <c r="G5381">
        <v>14835158</v>
      </c>
      <c r="H5381">
        <v>12389660</v>
      </c>
      <c r="I5381">
        <v>19057632</v>
      </c>
      <c r="J5381">
        <v>2</v>
      </c>
    </row>
    <row r="5382" spans="1:10" x14ac:dyDescent="0.25">
      <c r="A5382" t="s">
        <v>1594</v>
      </c>
      <c r="B5382" s="1" t="str">
        <f>HYPERLINK("http://basf.ph","basf.ph")</f>
        <v>basf.ph</v>
      </c>
      <c r="C5382" t="s">
        <v>484</v>
      </c>
      <c r="D5382" t="s">
        <v>858</v>
      </c>
      <c r="F5382">
        <v>5.6857659795744104E-9</v>
      </c>
      <c r="G5382">
        <v>19081084</v>
      </c>
      <c r="H5382">
        <v>12339944</v>
      </c>
      <c r="I5382">
        <v>20002538</v>
      </c>
      <c r="J5382">
        <v>2</v>
      </c>
    </row>
    <row r="5383" spans="1:10" x14ac:dyDescent="0.25">
      <c r="A5383" t="s">
        <v>1594</v>
      </c>
      <c r="B5383" s="1" t="str">
        <f>HYPERLINK("http://basf.pl","basf.pl")</f>
        <v>basf.pl</v>
      </c>
      <c r="C5383" t="s">
        <v>486</v>
      </c>
      <c r="D5383" t="s">
        <v>860</v>
      </c>
      <c r="F5383">
        <v>5.4367906099848301E-8</v>
      </c>
      <c r="G5383">
        <v>830560</v>
      </c>
      <c r="H5383">
        <v>14421917</v>
      </c>
      <c r="I5383">
        <v>1086204</v>
      </c>
      <c r="J5383">
        <v>2</v>
      </c>
    </row>
    <row r="5384" spans="1:10" x14ac:dyDescent="0.25">
      <c r="A5384" t="s">
        <v>1594</v>
      </c>
      <c r="B5384" s="1" t="str">
        <f>HYPERLINK("http://chemetall.pl","chemetall.pl")</f>
        <v>chemetall.pl</v>
      </c>
      <c r="C5384" t="s">
        <v>486</v>
      </c>
      <c r="D5384" t="s">
        <v>860</v>
      </c>
      <c r="F5384">
        <v>1.02862149048116E-8</v>
      </c>
      <c r="G5384">
        <v>6463854</v>
      </c>
      <c r="H5384">
        <v>12461694</v>
      </c>
      <c r="I5384">
        <v>17857174</v>
      </c>
      <c r="J5384">
        <v>3</v>
      </c>
    </row>
    <row r="5385" spans="1:10" x14ac:dyDescent="0.25">
      <c r="A5385" t="s">
        <v>1594</v>
      </c>
      <c r="B5385" s="1" t="str">
        <f>HYPERLINK("http://basf.pt","basf.pt")</f>
        <v>basf.pt</v>
      </c>
      <c r="C5385" t="s">
        <v>488</v>
      </c>
      <c r="D5385" t="s">
        <v>862</v>
      </c>
      <c r="F5385">
        <v>2.83352440800788E-8</v>
      </c>
      <c r="G5385">
        <v>1816143</v>
      </c>
      <c r="H5385">
        <v>12455612</v>
      </c>
      <c r="I5385">
        <v>17927276</v>
      </c>
      <c r="J5385">
        <v>2</v>
      </c>
    </row>
    <row r="5386" spans="1:10" x14ac:dyDescent="0.25">
      <c r="A5386" t="s">
        <v>1594</v>
      </c>
      <c r="B5386" s="1" t="str">
        <f>HYPERLINK("http://basf.ro","basf.ro")</f>
        <v>basf.ro</v>
      </c>
      <c r="C5386" t="s">
        <v>491</v>
      </c>
      <c r="D5386" t="s">
        <v>865</v>
      </c>
      <c r="F5386">
        <v>4.50686001341766E-8</v>
      </c>
      <c r="G5386">
        <v>1047413</v>
      </c>
      <c r="H5386">
        <v>14375974</v>
      </c>
      <c r="I5386">
        <v>1221057</v>
      </c>
      <c r="J5386">
        <v>2</v>
      </c>
    </row>
    <row r="5387" spans="1:10" x14ac:dyDescent="0.25">
      <c r="A5387" t="s">
        <v>1594</v>
      </c>
      <c r="B5387" s="1" t="str">
        <f>HYPERLINK("http://basf.rs","basf.rs")</f>
        <v>basf.rs</v>
      </c>
      <c r="C5387" t="s">
        <v>492</v>
      </c>
      <c r="D5387" t="s">
        <v>866</v>
      </c>
      <c r="F5387">
        <v>2.9015297035119998E-8</v>
      </c>
      <c r="G5387">
        <v>1774474</v>
      </c>
      <c r="H5387">
        <v>12462024</v>
      </c>
      <c r="I5387">
        <v>17847863</v>
      </c>
      <c r="J5387">
        <v>2</v>
      </c>
    </row>
    <row r="5388" spans="1:10" x14ac:dyDescent="0.25">
      <c r="A5388" t="s">
        <v>1594</v>
      </c>
      <c r="B5388" s="1" t="str">
        <f>HYPERLINK("http://basf.ru","basf.ru")</f>
        <v>basf.ru</v>
      </c>
      <c r="C5388" t="s">
        <v>493</v>
      </c>
      <c r="D5388" t="s">
        <v>867</v>
      </c>
      <c r="E5388">
        <v>315285</v>
      </c>
      <c r="F5388">
        <v>8.5813934895785294E-8</v>
      </c>
      <c r="G5388">
        <v>479759</v>
      </c>
      <c r="H5388">
        <v>13501962</v>
      </c>
      <c r="I5388">
        <v>9967732</v>
      </c>
      <c r="J5388">
        <v>2</v>
      </c>
    </row>
    <row r="5389" spans="1:10" x14ac:dyDescent="0.25">
      <c r="A5389" t="s">
        <v>1594</v>
      </c>
      <c r="B5389" s="1" t="str">
        <f>HYPERLINK("http://basf-coatings.ru","basf-coatings.ru")</f>
        <v>basf-coatings.ru</v>
      </c>
      <c r="C5389" t="s">
        <v>493</v>
      </c>
      <c r="D5389" t="s">
        <v>867</v>
      </c>
      <c r="F5389">
        <v>4.4686487669736104E-9</v>
      </c>
      <c r="G5389">
        <v>64908167</v>
      </c>
      <c r="H5389">
        <v>11989742</v>
      </c>
      <c r="I5389">
        <v>28385647</v>
      </c>
      <c r="J5389">
        <v>3</v>
      </c>
    </row>
    <row r="5390" spans="1:10" x14ac:dyDescent="0.25">
      <c r="A5390" t="s">
        <v>1594</v>
      </c>
      <c r="B5390" s="1" t="str">
        <f>HYPERLINK("http://wintershalldea.ru","wintershalldea.ru")</f>
        <v>wintershalldea.ru</v>
      </c>
      <c r="C5390" t="s">
        <v>493</v>
      </c>
      <c r="D5390" t="s">
        <v>867</v>
      </c>
      <c r="F5390">
        <v>3.2511073174400397E-8</v>
      </c>
      <c r="G5390">
        <v>1589311</v>
      </c>
      <c r="H5390">
        <v>13079373</v>
      </c>
      <c r="I5390">
        <v>12193002</v>
      </c>
      <c r="J5390">
        <v>5</v>
      </c>
    </row>
    <row r="5391" spans="1:10" x14ac:dyDescent="0.25">
      <c r="A5391" t="s">
        <v>1594</v>
      </c>
      <c r="B5391" s="1" t="str">
        <f>HYPERLINK("http://basf.se","basf.se")</f>
        <v>basf.se</v>
      </c>
      <c r="C5391" t="s">
        <v>495</v>
      </c>
      <c r="D5391" t="s">
        <v>869</v>
      </c>
      <c r="F5391">
        <v>3.0159959691038102E-8</v>
      </c>
      <c r="G5391">
        <v>1706189</v>
      </c>
      <c r="H5391">
        <v>13940099</v>
      </c>
      <c r="I5391">
        <v>4377466</v>
      </c>
      <c r="J5391">
        <v>2</v>
      </c>
    </row>
    <row r="5392" spans="1:10" x14ac:dyDescent="0.25">
      <c r="A5392" t="s">
        <v>1594</v>
      </c>
      <c r="B5392" s="1" t="str">
        <f>HYPERLINK("http://basf.com.sg","basf.com.sg")</f>
        <v>basf.com.sg</v>
      </c>
      <c r="C5392" t="s">
        <v>496</v>
      </c>
      <c r="D5392" t="s">
        <v>870</v>
      </c>
      <c r="F5392">
        <v>5.7104231430576902E-9</v>
      </c>
      <c r="G5392">
        <v>18834313</v>
      </c>
      <c r="H5392">
        <v>12367403</v>
      </c>
      <c r="I5392">
        <v>19459086</v>
      </c>
      <c r="J5392">
        <v>2</v>
      </c>
    </row>
    <row r="5393" spans="1:10" x14ac:dyDescent="0.25">
      <c r="A5393" t="s">
        <v>1594</v>
      </c>
      <c r="B5393" s="1" t="str">
        <f>HYPERLINK("http://basf.si","basf.si")</f>
        <v>basf.si</v>
      </c>
      <c r="C5393" t="s">
        <v>497</v>
      </c>
      <c r="D5393" t="s">
        <v>871</v>
      </c>
      <c r="F5393">
        <v>2.6052814022651599E-8</v>
      </c>
      <c r="G5393">
        <v>1977471</v>
      </c>
      <c r="H5393">
        <v>12434840</v>
      </c>
      <c r="I5393">
        <v>18216342</v>
      </c>
      <c r="J5393">
        <v>2</v>
      </c>
    </row>
    <row r="5394" spans="1:10" x14ac:dyDescent="0.25">
      <c r="A5394" t="s">
        <v>1594</v>
      </c>
      <c r="B5394" s="1" t="str">
        <f>HYPERLINK("http://basf.sk","basf.sk")</f>
        <v>basf.sk</v>
      </c>
      <c r="C5394" t="s">
        <v>498</v>
      </c>
      <c r="D5394" t="s">
        <v>872</v>
      </c>
      <c r="F5394">
        <v>3.81911538410764E-8</v>
      </c>
      <c r="G5394">
        <v>1355328</v>
      </c>
      <c r="H5394">
        <v>12503874</v>
      </c>
      <c r="I5394">
        <v>17307058</v>
      </c>
      <c r="J5394">
        <v>2</v>
      </c>
    </row>
    <row r="5395" spans="1:10" x14ac:dyDescent="0.25">
      <c r="A5395" t="s">
        <v>1594</v>
      </c>
      <c r="B5395" s="1" t="str">
        <f>HYPERLINK("http://glasurit.su","glasurit.su")</f>
        <v>glasurit.su</v>
      </c>
      <c r="C5395" t="s">
        <v>670</v>
      </c>
      <c r="F5395">
        <v>5.1194218466171496E-9</v>
      </c>
      <c r="G5395">
        <v>26668979</v>
      </c>
      <c r="H5395">
        <v>10902353</v>
      </c>
      <c r="I5395">
        <v>35780825</v>
      </c>
      <c r="J5395">
        <v>4</v>
      </c>
    </row>
    <row r="5396" spans="1:10" x14ac:dyDescent="0.25">
      <c r="A5396" t="s">
        <v>1594</v>
      </c>
      <c r="B5396" s="1" t="str">
        <f>HYPERLINK("http://basf.co.th","basf.co.th")</f>
        <v>basf.co.th</v>
      </c>
      <c r="C5396" t="s">
        <v>500</v>
      </c>
      <c r="D5396" t="s">
        <v>874</v>
      </c>
      <c r="F5396">
        <v>5.6874823528314101E-9</v>
      </c>
      <c r="G5396">
        <v>19066604</v>
      </c>
      <c r="H5396">
        <v>12337727</v>
      </c>
      <c r="I5396">
        <v>20056245</v>
      </c>
      <c r="J5396">
        <v>2</v>
      </c>
    </row>
    <row r="5397" spans="1:10" x14ac:dyDescent="0.25">
      <c r="A5397" t="s">
        <v>1594</v>
      </c>
      <c r="B5397" s="1" t="str">
        <f>HYPERLINK("http://basf.com.tr","basf.com.tr")</f>
        <v>basf.com.tr</v>
      </c>
      <c r="C5397" t="s">
        <v>502</v>
      </c>
      <c r="D5397" t="s">
        <v>876</v>
      </c>
      <c r="F5397">
        <v>3.1098252336680098E-8</v>
      </c>
      <c r="G5397">
        <v>1657536</v>
      </c>
      <c r="H5397">
        <v>13765887</v>
      </c>
      <c r="I5397">
        <v>7055630</v>
      </c>
      <c r="J5397">
        <v>2</v>
      </c>
    </row>
    <row r="5398" spans="1:10" x14ac:dyDescent="0.25">
      <c r="A5398" t="s">
        <v>1594</v>
      </c>
      <c r="B5398" s="1" t="str">
        <f>HYPERLINK("http://basf.tw","basf.tw")</f>
        <v>basf.tw</v>
      </c>
      <c r="C5398" t="s">
        <v>504</v>
      </c>
      <c r="D5398" t="s">
        <v>878</v>
      </c>
      <c r="F5398">
        <v>6.3963060896769098E-9</v>
      </c>
      <c r="G5398">
        <v>14533766</v>
      </c>
      <c r="H5398">
        <v>12349206</v>
      </c>
      <c r="I5398">
        <v>19778230</v>
      </c>
      <c r="J5398">
        <v>2</v>
      </c>
    </row>
    <row r="5399" spans="1:10" x14ac:dyDescent="0.25">
      <c r="A5399" t="s">
        <v>1594</v>
      </c>
      <c r="B5399" s="1" t="str">
        <f>HYPERLINK("http://basf.ua","basf.ua")</f>
        <v>basf.ua</v>
      </c>
      <c r="C5399" t="s">
        <v>505</v>
      </c>
      <c r="D5399" t="s">
        <v>879</v>
      </c>
      <c r="F5399">
        <v>3.7782787465029601E-8</v>
      </c>
      <c r="G5399">
        <v>1369544</v>
      </c>
      <c r="H5399">
        <v>13356107</v>
      </c>
      <c r="I5399">
        <v>10598385</v>
      </c>
      <c r="J5399">
        <v>2</v>
      </c>
    </row>
    <row r="5400" spans="1:10" x14ac:dyDescent="0.25">
      <c r="A5400" t="s">
        <v>1594</v>
      </c>
      <c r="B5400" s="1" t="str">
        <f>HYPERLINK("http://nunhems.com.ua","nunhems.com.ua")</f>
        <v>nunhems.com.ua</v>
      </c>
      <c r="C5400" t="s">
        <v>505</v>
      </c>
      <c r="D5400" t="s">
        <v>879</v>
      </c>
      <c r="F5400">
        <v>6.7969033634479502E-9</v>
      </c>
      <c r="G5400">
        <v>12971279</v>
      </c>
      <c r="H5400">
        <v>12341209</v>
      </c>
      <c r="I5400">
        <v>19977584</v>
      </c>
      <c r="J5400">
        <v>4</v>
      </c>
    </row>
    <row r="5401" spans="1:10" x14ac:dyDescent="0.25">
      <c r="A5401" t="s">
        <v>1594</v>
      </c>
      <c r="B5401" s="1" t="str">
        <f>HYPERLINK("http://basf.co.uk","basf.co.uk")</f>
        <v>basf.co.uk</v>
      </c>
      <c r="C5401" t="s">
        <v>506</v>
      </c>
      <c r="D5401" t="s">
        <v>880</v>
      </c>
      <c r="F5401">
        <v>7.2612320719681105E-8</v>
      </c>
      <c r="G5401">
        <v>581095</v>
      </c>
      <c r="H5401">
        <v>14012631</v>
      </c>
      <c r="I5401">
        <v>3999273</v>
      </c>
      <c r="J5401">
        <v>2</v>
      </c>
    </row>
    <row r="5402" spans="1:10" x14ac:dyDescent="0.25">
      <c r="A5402" t="s">
        <v>1594</v>
      </c>
      <c r="B5402" s="1" t="str">
        <f>HYPERLINK("http://basf-cc.co.uk","basf-cc.co.uk")</f>
        <v>basf-cc.co.uk</v>
      </c>
      <c r="C5402" t="s">
        <v>506</v>
      </c>
      <c r="D5402" t="s">
        <v>880</v>
      </c>
      <c r="F5402">
        <v>4.6306545719458099E-9</v>
      </c>
      <c r="G5402">
        <v>45399861</v>
      </c>
      <c r="H5402">
        <v>12081473</v>
      </c>
      <c r="I5402">
        <v>26535426</v>
      </c>
      <c r="J5402">
        <v>4</v>
      </c>
    </row>
    <row r="5403" spans="1:10" x14ac:dyDescent="0.25">
      <c r="A5403" t="s">
        <v>1594</v>
      </c>
      <c r="B5403" s="1" t="str">
        <f>HYPERLINK("http://chemetall.co.uk","chemetall.co.uk")</f>
        <v>chemetall.co.uk</v>
      </c>
      <c r="C5403" t="s">
        <v>506</v>
      </c>
      <c r="D5403" t="s">
        <v>880</v>
      </c>
      <c r="F5403">
        <v>4.5078248577679896E-9</v>
      </c>
      <c r="G5403">
        <v>57819052</v>
      </c>
      <c r="H5403">
        <v>1.0003663</v>
      </c>
      <c r="I5403">
        <v>79840124</v>
      </c>
      <c r="J5403">
        <v>3</v>
      </c>
    </row>
    <row r="5404" spans="1:10" x14ac:dyDescent="0.25">
      <c r="A5404" t="s">
        <v>1594</v>
      </c>
      <c r="B5404" s="1" t="str">
        <f>HYPERLINK("http://sihealth.co.uk","sihealth.co.uk")</f>
        <v>sihealth.co.uk</v>
      </c>
      <c r="C5404" t="s">
        <v>506</v>
      </c>
      <c r="D5404" t="s">
        <v>880</v>
      </c>
      <c r="F5404">
        <v>1.06091137258649E-8</v>
      </c>
      <c r="G5404">
        <v>6175773</v>
      </c>
      <c r="H5404">
        <v>12875726</v>
      </c>
      <c r="I5404">
        <v>14028345</v>
      </c>
      <c r="J5404">
        <v>3</v>
      </c>
    </row>
    <row r="5405" spans="1:10" x14ac:dyDescent="0.25">
      <c r="A5405" t="s">
        <v>1594</v>
      </c>
      <c r="B5405" s="1" t="str">
        <f>HYPERLINK("http://basf.us","basf.us")</f>
        <v>basf.us</v>
      </c>
      <c r="C5405" t="s">
        <v>522</v>
      </c>
      <c r="D5405" t="s">
        <v>891</v>
      </c>
      <c r="E5405">
        <v>118015</v>
      </c>
      <c r="F5405">
        <v>4.9109578742829905E-7</v>
      </c>
      <c r="G5405">
        <v>77670</v>
      </c>
      <c r="H5405">
        <v>15012864</v>
      </c>
      <c r="I5405">
        <v>422649</v>
      </c>
      <c r="J5405">
        <v>2</v>
      </c>
    </row>
    <row r="5406" spans="1:10" x14ac:dyDescent="0.25">
      <c r="A5406" t="s">
        <v>1594</v>
      </c>
      <c r="B5406" s="1" t="str">
        <f>HYPERLINK("http://bigrep.us","bigrep.us")</f>
        <v>bigrep.us</v>
      </c>
      <c r="C5406" t="s">
        <v>522</v>
      </c>
      <c r="D5406" t="s">
        <v>891</v>
      </c>
      <c r="F5406">
        <v>5.5582683134139202E-9</v>
      </c>
      <c r="G5406">
        <v>20291540</v>
      </c>
      <c r="H5406">
        <v>10596629</v>
      </c>
      <c r="I5406">
        <v>45097319</v>
      </c>
      <c r="J5406">
        <v>4</v>
      </c>
    </row>
    <row r="5407" spans="1:10" x14ac:dyDescent="0.25">
      <c r="A5407" t="s">
        <v>1594</v>
      </c>
      <c r="B5407" s="1" t="str">
        <f>HYPERLINK("http://basf.com.ve","basf.com.ve")</f>
        <v>basf.com.ve</v>
      </c>
      <c r="C5407" t="s">
        <v>508</v>
      </c>
      <c r="D5407" t="s">
        <v>882</v>
      </c>
      <c r="F5407">
        <v>5.9380900174211497E-9</v>
      </c>
      <c r="G5407">
        <v>17098668</v>
      </c>
      <c r="H5407">
        <v>12375588</v>
      </c>
      <c r="I5407">
        <v>19308653</v>
      </c>
      <c r="J5407">
        <v>2</v>
      </c>
    </row>
    <row r="5408" spans="1:10" x14ac:dyDescent="0.25">
      <c r="A5408" t="s">
        <v>1594</v>
      </c>
      <c r="B5408" s="1" t="str">
        <f>HYPERLINK("http://basf.co.za","basf.co.za")</f>
        <v>basf.co.za</v>
      </c>
      <c r="C5408" t="s">
        <v>510</v>
      </c>
      <c r="D5408" t="s">
        <v>884</v>
      </c>
      <c r="F5408">
        <v>2.8566730170237201E-8</v>
      </c>
      <c r="G5408">
        <v>1801310</v>
      </c>
      <c r="H5408">
        <v>12535034</v>
      </c>
      <c r="I5408">
        <v>16986205</v>
      </c>
      <c r="J5408">
        <v>2</v>
      </c>
    </row>
    <row r="5409" spans="1:10" x14ac:dyDescent="0.25">
      <c r="A5409" t="s">
        <v>49</v>
      </c>
      <c r="B5409" s="1" t="str">
        <f>HYPERLINK("http://dmts.biz","dmts.biz")</f>
        <v>dmts.biz</v>
      </c>
      <c r="C5409" t="s">
        <v>423</v>
      </c>
      <c r="F5409">
        <v>1.1278182731652599E-8</v>
      </c>
      <c r="G5409">
        <v>5657735</v>
      </c>
      <c r="H5409">
        <v>12305101</v>
      </c>
      <c r="I5409">
        <v>20733527</v>
      </c>
      <c r="J5409">
        <v>4</v>
      </c>
    </row>
    <row r="5410" spans="1:10" x14ac:dyDescent="0.25">
      <c r="A5410" t="s">
        <v>49</v>
      </c>
      <c r="B5410" s="1" t="str">
        <f>HYPERLINK("http://bce.ca","bce.ca")</f>
        <v>bce.ca</v>
      </c>
      <c r="C5410" t="s">
        <v>428</v>
      </c>
      <c r="D5410" t="s">
        <v>809</v>
      </c>
      <c r="E5410">
        <v>129533</v>
      </c>
      <c r="F5410">
        <v>3.0626173263772298E-7</v>
      </c>
      <c r="G5410">
        <v>121392</v>
      </c>
      <c r="H5410">
        <v>15126310</v>
      </c>
      <c r="I5410">
        <v>402863</v>
      </c>
      <c r="J5410">
        <v>1</v>
      </c>
    </row>
    <row r="5411" spans="1:10" x14ac:dyDescent="0.25">
      <c r="A5411" t="s">
        <v>49</v>
      </c>
      <c r="B5411" s="1" t="str">
        <f>HYPERLINK("http://bell.ca","bell.ca")</f>
        <v>bell.ca</v>
      </c>
      <c r="C5411" t="s">
        <v>428</v>
      </c>
      <c r="D5411" t="s">
        <v>809</v>
      </c>
      <c r="E5411">
        <v>2167</v>
      </c>
      <c r="F5411">
        <v>3.6849364466763202E-6</v>
      </c>
      <c r="G5411">
        <v>11267</v>
      </c>
      <c r="H5411">
        <v>17917130</v>
      </c>
      <c r="I5411">
        <v>4307</v>
      </c>
      <c r="J5411">
        <v>2</v>
      </c>
    </row>
    <row r="5412" spans="1:10" x14ac:dyDescent="0.25">
      <c r="A5412" t="s">
        <v>49</v>
      </c>
      <c r="B5412" s="1" t="str">
        <f>HYPERLINK("http://bellaliant.ca","bellaliant.ca")</f>
        <v>bellaliant.ca</v>
      </c>
      <c r="C5412" t="s">
        <v>428</v>
      </c>
      <c r="D5412" t="s">
        <v>809</v>
      </c>
      <c r="F5412">
        <v>6.3515646265830303E-8</v>
      </c>
      <c r="G5412">
        <v>683941</v>
      </c>
      <c r="H5412">
        <v>14589349</v>
      </c>
      <c r="I5412">
        <v>697015</v>
      </c>
      <c r="J5412">
        <v>3</v>
      </c>
    </row>
    <row r="5413" spans="1:10" x14ac:dyDescent="0.25">
      <c r="A5413" t="s">
        <v>49</v>
      </c>
      <c r="B5413" s="1" t="str">
        <f>HYPERLINK("http://bellmedia.ca","bellmedia.ca")</f>
        <v>bellmedia.ca</v>
      </c>
      <c r="C5413" t="s">
        <v>428</v>
      </c>
      <c r="D5413" t="s">
        <v>809</v>
      </c>
      <c r="E5413">
        <v>33263</v>
      </c>
      <c r="F5413">
        <v>8.2770881803670495E-7</v>
      </c>
      <c r="G5413">
        <v>47834</v>
      </c>
      <c r="H5413">
        <v>15518309</v>
      </c>
      <c r="I5413">
        <v>376189</v>
      </c>
      <c r="J5413">
        <v>3</v>
      </c>
    </row>
    <row r="5414" spans="1:10" x14ac:dyDescent="0.25">
      <c r="A5414" t="s">
        <v>49</v>
      </c>
      <c r="B5414" s="1" t="str">
        <f>HYPERLINK("http://bellmts.ca","bellmts.ca")</f>
        <v>bellmts.ca</v>
      </c>
      <c r="C5414" t="s">
        <v>428</v>
      </c>
      <c r="D5414" t="s">
        <v>809</v>
      </c>
      <c r="E5414">
        <v>299557</v>
      </c>
      <c r="F5414">
        <v>2.04149488083778E-7</v>
      </c>
      <c r="G5414">
        <v>186164</v>
      </c>
      <c r="H5414">
        <v>14744442</v>
      </c>
      <c r="I5414">
        <v>565828</v>
      </c>
      <c r="J5414">
        <v>3</v>
      </c>
    </row>
    <row r="5415" spans="1:10" x14ac:dyDescent="0.25">
      <c r="A5415" t="s">
        <v>49</v>
      </c>
      <c r="B5415" s="1" t="str">
        <f>HYPERLINK("http://bellradio.ca","bellradio.ca")</f>
        <v>bellradio.ca</v>
      </c>
      <c r="C5415" t="s">
        <v>428</v>
      </c>
      <c r="D5415" t="s">
        <v>809</v>
      </c>
      <c r="F5415">
        <v>4.5316465977212302E-9</v>
      </c>
      <c r="G5415">
        <v>54877999</v>
      </c>
      <c r="H5415">
        <v>1.0003663</v>
      </c>
      <c r="I5415">
        <v>78278836</v>
      </c>
      <c r="J5415">
        <v>3</v>
      </c>
    </row>
    <row r="5416" spans="1:10" x14ac:dyDescent="0.25">
      <c r="A5416" t="s">
        <v>49</v>
      </c>
      <c r="B5416" s="1" t="str">
        <f>HYPERLINK("http://cinepop.ca","cinepop.ca")</f>
        <v>cinepop.ca</v>
      </c>
      <c r="C5416" t="s">
        <v>428</v>
      </c>
      <c r="D5416" t="s">
        <v>809</v>
      </c>
      <c r="F5416">
        <v>8.85914704414797E-9</v>
      </c>
      <c r="G5416">
        <v>8209750</v>
      </c>
      <c r="H5416">
        <v>14072556</v>
      </c>
      <c r="I5416">
        <v>3074221</v>
      </c>
      <c r="J5416">
        <v>5</v>
      </c>
    </row>
    <row r="5417" spans="1:10" x14ac:dyDescent="0.25">
      <c r="A5417" t="s">
        <v>49</v>
      </c>
      <c r="B5417" s="1" t="str">
        <f>HYPERLINK("http://ctvnews.ca","ctvnews.ca")</f>
        <v>ctvnews.ca</v>
      </c>
      <c r="C5417" t="s">
        <v>428</v>
      </c>
      <c r="D5417" t="s">
        <v>809</v>
      </c>
      <c r="E5417">
        <v>2183</v>
      </c>
      <c r="F5417">
        <v>1.1676743629598599E-5</v>
      </c>
      <c r="G5417">
        <v>2940</v>
      </c>
      <c r="H5417">
        <v>18063492</v>
      </c>
      <c r="I5417">
        <v>3312</v>
      </c>
      <c r="J5417">
        <v>4</v>
      </c>
    </row>
    <row r="5418" spans="1:10" x14ac:dyDescent="0.25">
      <c r="A5418" t="s">
        <v>49</v>
      </c>
      <c r="B5418" s="1" t="str">
        <f>HYPERLINK("http://envedette.ca","envedette.ca")</f>
        <v>envedette.ca</v>
      </c>
      <c r="C5418" t="s">
        <v>428</v>
      </c>
      <c r="D5418" t="s">
        <v>809</v>
      </c>
      <c r="F5418">
        <v>3.72937530200381E-8</v>
      </c>
      <c r="G5418">
        <v>1388520</v>
      </c>
      <c r="H5418">
        <v>14535738</v>
      </c>
      <c r="I5418">
        <v>780468</v>
      </c>
      <c r="J5418">
        <v>5</v>
      </c>
    </row>
    <row r="5419" spans="1:10" x14ac:dyDescent="0.25">
      <c r="A5419" t="s">
        <v>49</v>
      </c>
      <c r="B5419" s="1" t="str">
        <f>HYPERLINK("http://fibreop.ca","fibreop.ca")</f>
        <v>fibreop.ca</v>
      </c>
      <c r="C5419" t="s">
        <v>428</v>
      </c>
      <c r="D5419" t="s">
        <v>809</v>
      </c>
      <c r="F5419">
        <v>1.6047361515569901E-8</v>
      </c>
      <c r="G5419">
        <v>3534045</v>
      </c>
      <c r="H5419">
        <v>13793450</v>
      </c>
      <c r="I5419">
        <v>6322194</v>
      </c>
      <c r="J5419">
        <v>3</v>
      </c>
    </row>
    <row r="5420" spans="1:10" x14ac:dyDescent="0.25">
      <c r="A5420" t="s">
        <v>49</v>
      </c>
      <c r="B5420" s="1" t="str">
        <f>HYPERLINK("http://fraichementpresse.ca","fraichementpresse.ca")</f>
        <v>fraichementpresse.ca</v>
      </c>
      <c r="C5420" t="s">
        <v>428</v>
      </c>
      <c r="D5420" t="s">
        <v>809</v>
      </c>
      <c r="F5420">
        <v>4.6250855712013101E-8</v>
      </c>
      <c r="G5420">
        <v>1012538</v>
      </c>
      <c r="H5420">
        <v>14631066</v>
      </c>
      <c r="I5420">
        <v>644871</v>
      </c>
      <c r="J5420">
        <v>5</v>
      </c>
    </row>
    <row r="5421" spans="1:10" x14ac:dyDescent="0.25">
      <c r="A5421" t="s">
        <v>49</v>
      </c>
      <c r="B5421" s="1" t="str">
        <f>HYPERLINK("http://lookdujour.ca","lookdujour.ca")</f>
        <v>lookdujour.ca</v>
      </c>
      <c r="C5421" t="s">
        <v>428</v>
      </c>
      <c r="D5421" t="s">
        <v>809</v>
      </c>
      <c r="F5421">
        <v>3.6464371680158699E-8</v>
      </c>
      <c r="G5421">
        <v>1431745</v>
      </c>
      <c r="H5421">
        <v>14167117</v>
      </c>
      <c r="I5421">
        <v>1816401</v>
      </c>
      <c r="J5421">
        <v>5</v>
      </c>
    </row>
    <row r="5422" spans="1:10" x14ac:dyDescent="0.25">
      <c r="A5422" t="s">
        <v>49</v>
      </c>
      <c r="B5422" s="1" t="str">
        <f>HYPERLINK("http://luckymobile.ca","luckymobile.ca")</f>
        <v>luckymobile.ca</v>
      </c>
      <c r="C5422" t="s">
        <v>428</v>
      </c>
      <c r="D5422" t="s">
        <v>809</v>
      </c>
      <c r="E5422">
        <v>424275</v>
      </c>
      <c r="F5422">
        <v>7.1119507451773403E-8</v>
      </c>
      <c r="G5422">
        <v>594566</v>
      </c>
      <c r="H5422">
        <v>14591496</v>
      </c>
      <c r="I5422">
        <v>694603</v>
      </c>
      <c r="J5422">
        <v>3</v>
      </c>
    </row>
    <row r="5423" spans="1:10" x14ac:dyDescent="0.25">
      <c r="A5423" t="s">
        <v>49</v>
      </c>
      <c r="B5423" s="1" t="str">
        <f>HYPERLINK("http://managemyaccount.ca","managemyaccount.ca")</f>
        <v>managemyaccount.ca</v>
      </c>
      <c r="C5423" t="s">
        <v>428</v>
      </c>
      <c r="D5423" t="s">
        <v>809</v>
      </c>
      <c r="F5423">
        <v>8.3584224654649002E-9</v>
      </c>
      <c r="G5423">
        <v>9128775</v>
      </c>
      <c r="H5423">
        <v>10721407</v>
      </c>
      <c r="I5423">
        <v>41734851</v>
      </c>
      <c r="J5423">
        <v>3</v>
      </c>
    </row>
    <row r="5424" spans="1:10" x14ac:dyDescent="0.25">
      <c r="A5424" t="s">
        <v>49</v>
      </c>
      <c r="B5424" s="1" t="str">
        <f>HYPERLINK("http://moteldulac.ca","moteldulac.ca")</f>
        <v>moteldulac.ca</v>
      </c>
      <c r="C5424" t="s">
        <v>428</v>
      </c>
      <c r="D5424" t="s">
        <v>809</v>
      </c>
      <c r="F5424">
        <v>5.4819515463135101E-9</v>
      </c>
      <c r="G5424">
        <v>21106035</v>
      </c>
      <c r="H5424">
        <v>11245208</v>
      </c>
      <c r="I5424">
        <v>30931580</v>
      </c>
      <c r="J5424">
        <v>7</v>
      </c>
    </row>
    <row r="5425" spans="1:10" x14ac:dyDescent="0.25">
      <c r="A5425" t="s">
        <v>49</v>
      </c>
      <c r="B5425" s="1" t="str">
        <f>HYPERLINK("http://mts.ca","mts.ca")</f>
        <v>mts.ca</v>
      </c>
      <c r="C5425" t="s">
        <v>428</v>
      </c>
      <c r="D5425" t="s">
        <v>809</v>
      </c>
      <c r="E5425">
        <v>566669</v>
      </c>
      <c r="F5425">
        <v>9.00348504283381E-8</v>
      </c>
      <c r="G5425">
        <v>453280</v>
      </c>
      <c r="H5425">
        <v>14830047</v>
      </c>
      <c r="I5425">
        <v>506273</v>
      </c>
      <c r="J5425">
        <v>5</v>
      </c>
    </row>
    <row r="5426" spans="1:10" x14ac:dyDescent="0.25">
      <c r="A5426" t="s">
        <v>49</v>
      </c>
      <c r="B5426" s="1" t="str">
        <f>HYPERLINK("http://mtsmail.ca","mtsmail.ca")</f>
        <v>mtsmail.ca</v>
      </c>
      <c r="C5426" t="s">
        <v>428</v>
      </c>
      <c r="D5426" t="s">
        <v>809</v>
      </c>
      <c r="E5426">
        <v>906062</v>
      </c>
      <c r="F5426">
        <v>2.0801427799108699E-8</v>
      </c>
      <c r="G5426">
        <v>2542652</v>
      </c>
      <c r="H5426">
        <v>12591846</v>
      </c>
      <c r="I5426">
        <v>16400147</v>
      </c>
      <c r="J5426">
        <v>3</v>
      </c>
    </row>
    <row r="5427" spans="1:10" x14ac:dyDescent="0.25">
      <c r="A5427" t="s">
        <v>49</v>
      </c>
      <c r="B5427" s="1" t="str">
        <f>HYPERLINK("http://muramur.ca","muramur.ca")</f>
        <v>muramur.ca</v>
      </c>
      <c r="C5427" t="s">
        <v>428</v>
      </c>
      <c r="D5427" t="s">
        <v>809</v>
      </c>
      <c r="F5427">
        <v>4.1769414268669197E-8</v>
      </c>
      <c r="G5427">
        <v>1180248</v>
      </c>
      <c r="H5427">
        <v>14644446</v>
      </c>
      <c r="I5427">
        <v>633781</v>
      </c>
      <c r="J5427">
        <v>5</v>
      </c>
    </row>
    <row r="5428" spans="1:10" x14ac:dyDescent="0.25">
      <c r="A5428" t="s">
        <v>49</v>
      </c>
      <c r="B5428" s="1" t="str">
        <f>HYPERLINK("http://noovo.ca","noovo.ca")</f>
        <v>noovo.ca</v>
      </c>
      <c r="C5428" t="s">
        <v>428</v>
      </c>
      <c r="D5428" t="s">
        <v>809</v>
      </c>
      <c r="E5428">
        <v>128291</v>
      </c>
      <c r="F5428">
        <v>4.15567075267793E-7</v>
      </c>
      <c r="G5428">
        <v>90579</v>
      </c>
      <c r="H5428">
        <v>14885300</v>
      </c>
      <c r="I5428">
        <v>469866</v>
      </c>
      <c r="J5428">
        <v>4</v>
      </c>
    </row>
    <row r="5429" spans="1:10" x14ac:dyDescent="0.25">
      <c r="A5429" t="s">
        <v>49</v>
      </c>
      <c r="B5429" s="1" t="str">
        <f>HYPERLINK("http://noovoinfo.ca","noovoinfo.ca")</f>
        <v>noovoinfo.ca</v>
      </c>
      <c r="C5429" t="s">
        <v>428</v>
      </c>
      <c r="D5429" t="s">
        <v>809</v>
      </c>
      <c r="J5429">
        <v>5</v>
      </c>
    </row>
    <row r="5430" spans="1:10" x14ac:dyDescent="0.25">
      <c r="A5430" t="s">
        <v>49</v>
      </c>
      <c r="B5430" s="1" t="str">
        <f>HYPERLINK("http://noovomoi.ca","noovomoi.ca")</f>
        <v>noovomoi.ca</v>
      </c>
      <c r="C5430" t="s">
        <v>428</v>
      </c>
      <c r="D5430" t="s">
        <v>809</v>
      </c>
      <c r="E5430">
        <v>67033</v>
      </c>
      <c r="F5430">
        <v>3.3047370993999399E-7</v>
      </c>
      <c r="G5430">
        <v>112754</v>
      </c>
      <c r="H5430">
        <v>15294525</v>
      </c>
      <c r="I5430">
        <v>386519</v>
      </c>
      <c r="J5430">
        <v>5</v>
      </c>
    </row>
    <row r="5431" spans="1:10" x14ac:dyDescent="0.25">
      <c r="A5431" t="s">
        <v>49</v>
      </c>
      <c r="B5431" s="1" t="str">
        <f>HYPERLINK("http://northerntel.ca","northerntel.ca")</f>
        <v>northerntel.ca</v>
      </c>
      <c r="C5431" t="s">
        <v>428</v>
      </c>
      <c r="D5431" t="s">
        <v>809</v>
      </c>
      <c r="F5431">
        <v>2.2659574542741399E-8</v>
      </c>
      <c r="G5431">
        <v>2311115</v>
      </c>
      <c r="H5431">
        <v>14375438</v>
      </c>
      <c r="I5431">
        <v>1225980</v>
      </c>
      <c r="J5431">
        <v>3</v>
      </c>
    </row>
    <row r="5432" spans="1:10" x14ac:dyDescent="0.25">
      <c r="A5432" t="s">
        <v>49</v>
      </c>
      <c r="B5432" s="1" t="str">
        <f>HYPERLINK("http://nwtel.ca","nwtel.ca")</f>
        <v>nwtel.ca</v>
      </c>
      <c r="C5432" t="s">
        <v>428</v>
      </c>
      <c r="D5432" t="s">
        <v>809</v>
      </c>
      <c r="E5432">
        <v>666216</v>
      </c>
      <c r="F5432">
        <v>9.0694437694225201E-8</v>
      </c>
      <c r="G5432">
        <v>449684</v>
      </c>
      <c r="H5432">
        <v>14660855</v>
      </c>
      <c r="I5432">
        <v>620005</v>
      </c>
      <c r="J5432">
        <v>3</v>
      </c>
    </row>
    <row r="5433" spans="1:10" x14ac:dyDescent="0.25">
      <c r="A5433" t="s">
        <v>49</v>
      </c>
      <c r="B5433" s="1" t="str">
        <f>HYPERLINK("http://ontera.ca","ontera.ca")</f>
        <v>ontera.ca</v>
      </c>
      <c r="C5433" t="s">
        <v>428</v>
      </c>
      <c r="D5433" t="s">
        <v>809</v>
      </c>
      <c r="F5433">
        <v>7.8855073207988894E-9</v>
      </c>
      <c r="G5433">
        <v>10140267</v>
      </c>
      <c r="H5433">
        <v>13764357</v>
      </c>
      <c r="I5433">
        <v>7287311</v>
      </c>
      <c r="J5433">
        <v>4</v>
      </c>
    </row>
    <row r="5434" spans="1:10" x14ac:dyDescent="0.25">
      <c r="A5434" t="s">
        <v>49</v>
      </c>
      <c r="B5434" s="1" t="str">
        <f>HYPERLINK("http://cablevision.qc.ca","cablevision.qc.ca")</f>
        <v>cablevision.qc.ca</v>
      </c>
      <c r="C5434" t="s">
        <v>428</v>
      </c>
      <c r="D5434" t="s">
        <v>809</v>
      </c>
      <c r="E5434">
        <v>197832</v>
      </c>
      <c r="F5434">
        <v>1.98626343305829E-8</v>
      </c>
      <c r="G5434">
        <v>2681815</v>
      </c>
      <c r="H5434">
        <v>14135336</v>
      </c>
      <c r="I5434">
        <v>1970903</v>
      </c>
      <c r="J5434">
        <v>4</v>
      </c>
    </row>
    <row r="5435" spans="1:10" x14ac:dyDescent="0.25">
      <c r="A5435" t="s">
        <v>49</v>
      </c>
      <c r="B5435" s="1" t="str">
        <f>HYPERLINK("http://saintjohnadventures.ca","saintjohnadventures.ca")</f>
        <v>saintjohnadventures.ca</v>
      </c>
      <c r="C5435" t="s">
        <v>428</v>
      </c>
      <c r="D5435" t="s">
        <v>809</v>
      </c>
      <c r="F5435">
        <v>5.3389156893477197E-9</v>
      </c>
      <c r="G5435">
        <v>22949338</v>
      </c>
      <c r="H5435">
        <v>12313282</v>
      </c>
      <c r="I5435">
        <v>20551610</v>
      </c>
      <c r="J5435">
        <v>6</v>
      </c>
    </row>
    <row r="5436" spans="1:10" x14ac:dyDescent="0.25">
      <c r="A5436" t="s">
        <v>49</v>
      </c>
      <c r="B5436" s="1" t="str">
        <f>HYPERLINK("http://solomobile.ca","solomobile.ca")</f>
        <v>solomobile.ca</v>
      </c>
      <c r="C5436" t="s">
        <v>428</v>
      </c>
      <c r="D5436" t="s">
        <v>809</v>
      </c>
      <c r="F5436">
        <v>1.95563948227941E-8</v>
      </c>
      <c r="G5436">
        <v>2735360</v>
      </c>
      <c r="H5436">
        <v>14145501</v>
      </c>
      <c r="I5436">
        <v>1899957</v>
      </c>
      <c r="J5436">
        <v>3</v>
      </c>
    </row>
    <row r="5437" spans="1:10" x14ac:dyDescent="0.25">
      <c r="A5437" t="s">
        <v>49</v>
      </c>
      <c r="B5437" s="1" t="str">
        <f>HYPERLINK("http://sympatico.ca","sympatico.ca")</f>
        <v>sympatico.ca</v>
      </c>
      <c r="C5437" t="s">
        <v>428</v>
      </c>
      <c r="D5437" t="s">
        <v>809</v>
      </c>
      <c r="E5437">
        <v>11626</v>
      </c>
      <c r="F5437">
        <v>1.5495893147979399E-6</v>
      </c>
      <c r="G5437">
        <v>25324</v>
      </c>
      <c r="H5437">
        <v>17587624</v>
      </c>
      <c r="I5437">
        <v>10057</v>
      </c>
      <c r="J5437">
        <v>5</v>
      </c>
    </row>
    <row r="5438" spans="1:10" x14ac:dyDescent="0.25">
      <c r="A5438" t="s">
        <v>49</v>
      </c>
      <c r="B5438" s="1" t="str">
        <f>HYPERLINK("http://thesource.ca","thesource.ca")</f>
        <v>thesource.ca</v>
      </c>
      <c r="C5438" t="s">
        <v>428</v>
      </c>
      <c r="D5438" t="s">
        <v>809</v>
      </c>
      <c r="E5438">
        <v>44974</v>
      </c>
      <c r="F5438">
        <v>3.2470650752229701E-7</v>
      </c>
      <c r="G5438">
        <v>114666</v>
      </c>
      <c r="H5438">
        <v>14927881</v>
      </c>
      <c r="I5438">
        <v>448617</v>
      </c>
      <c r="J5438">
        <v>4</v>
      </c>
    </row>
    <row r="5439" spans="1:10" x14ac:dyDescent="0.25">
      <c r="A5439" t="s">
        <v>49</v>
      </c>
      <c r="B5439" s="1" t="str">
        <f>HYPERLINK("http://virginmobile.ca","virginmobile.ca")</f>
        <v>virginmobile.ca</v>
      </c>
      <c r="C5439" t="s">
        <v>428</v>
      </c>
      <c r="D5439" t="s">
        <v>809</v>
      </c>
      <c r="E5439">
        <v>119523</v>
      </c>
      <c r="F5439">
        <v>1.1351753735943301E-6</v>
      </c>
      <c r="G5439">
        <v>34030</v>
      </c>
      <c r="H5439">
        <v>17565292</v>
      </c>
      <c r="I5439">
        <v>10769</v>
      </c>
      <c r="J5439">
        <v>3</v>
      </c>
    </row>
    <row r="5440" spans="1:10" x14ac:dyDescent="0.25">
      <c r="A5440" t="s">
        <v>49</v>
      </c>
      <c r="B5440" s="1" t="str">
        <f>HYPERLINK("http://virginplus.ca","virginplus.ca")</f>
        <v>virginplus.ca</v>
      </c>
      <c r="C5440" t="s">
        <v>428</v>
      </c>
      <c r="D5440" t="s">
        <v>809</v>
      </c>
      <c r="E5440">
        <v>82141</v>
      </c>
      <c r="F5440">
        <v>1.06942006921436E-6</v>
      </c>
      <c r="G5440">
        <v>35962</v>
      </c>
      <c r="H5440">
        <v>14073563</v>
      </c>
      <c r="I5440">
        <v>2985270</v>
      </c>
      <c r="J5440">
        <v>4</v>
      </c>
    </row>
    <row r="5441" spans="1:10" x14ac:dyDescent="0.25">
      <c r="A5441" t="s">
        <v>49</v>
      </c>
      <c r="B5441" s="1" t="str">
        <f>HYPERLINK("http://vox.ca","vox.ca")</f>
        <v>vox.ca</v>
      </c>
      <c r="C5441" t="s">
        <v>428</v>
      </c>
      <c r="D5441" t="s">
        <v>809</v>
      </c>
      <c r="F5441">
        <v>5.83154796341305E-9</v>
      </c>
      <c r="G5441">
        <v>17851525</v>
      </c>
      <c r="H5441">
        <v>13933064</v>
      </c>
      <c r="I5441">
        <v>5017206</v>
      </c>
      <c r="J5441">
        <v>3</v>
      </c>
    </row>
    <row r="5442" spans="1:10" x14ac:dyDescent="0.25">
      <c r="A5442" t="s">
        <v>49</v>
      </c>
      <c r="B5442" s="1" t="str">
        <f>HYPERLINK("http://voyagevoyage.ca","voyagevoyage.ca")</f>
        <v>voyagevoyage.ca</v>
      </c>
      <c r="C5442" t="s">
        <v>428</v>
      </c>
      <c r="D5442" t="s">
        <v>809</v>
      </c>
      <c r="F5442">
        <v>2.0707784030262201E-8</v>
      </c>
      <c r="G5442">
        <v>2555733</v>
      </c>
      <c r="H5442">
        <v>13976247</v>
      </c>
      <c r="I5442">
        <v>4060278</v>
      </c>
      <c r="J5442">
        <v>5</v>
      </c>
    </row>
    <row r="5443" spans="1:10" x14ac:dyDescent="0.25">
      <c r="A5443" t="s">
        <v>49</v>
      </c>
      <c r="B5443" s="1" t="str">
        <f>HYPERLINK("http://canald.com","canald.com")</f>
        <v>canald.com</v>
      </c>
      <c r="C5443" t="s">
        <v>433</v>
      </c>
      <c r="E5443">
        <v>966267</v>
      </c>
      <c r="F5443">
        <v>5.2209054234993203E-8</v>
      </c>
      <c r="G5443">
        <v>874169</v>
      </c>
      <c r="H5443">
        <v>14862977</v>
      </c>
      <c r="I5443">
        <v>483145</v>
      </c>
      <c r="J5443">
        <v>5</v>
      </c>
    </row>
    <row r="5444" spans="1:10" x14ac:dyDescent="0.25">
      <c r="A5444" t="s">
        <v>49</v>
      </c>
      <c r="B5444" s="1" t="str">
        <f>HYPERLINK("http://canalvie.com","canalvie.com")</f>
        <v>canalvie.com</v>
      </c>
      <c r="C5444" t="s">
        <v>433</v>
      </c>
      <c r="E5444">
        <v>261730</v>
      </c>
      <c r="F5444">
        <v>2.8962133605835999E-7</v>
      </c>
      <c r="G5444">
        <v>128450</v>
      </c>
      <c r="H5444">
        <v>15296763</v>
      </c>
      <c r="I5444">
        <v>386348</v>
      </c>
      <c r="J5444">
        <v>5</v>
      </c>
    </row>
    <row r="5445" spans="1:10" x14ac:dyDescent="0.25">
      <c r="A5445" t="s">
        <v>49</v>
      </c>
      <c r="B5445" s="1" t="str">
        <f>HYPERLINK("http://eastwallacemotorcyclecampground.com","eastwallacemotorcyclecampground.com")</f>
        <v>eastwallacemotorcyclecampground.com</v>
      </c>
      <c r="C5445" t="s">
        <v>433</v>
      </c>
      <c r="F5445">
        <v>4.8203084039471497E-9</v>
      </c>
      <c r="G5445">
        <v>35260093</v>
      </c>
      <c r="H5445">
        <v>10963494</v>
      </c>
      <c r="I5445">
        <v>34276502</v>
      </c>
      <c r="J5445">
        <v>6</v>
      </c>
    </row>
    <row r="5446" spans="1:10" x14ac:dyDescent="0.25">
      <c r="A5446" t="s">
        <v>49</v>
      </c>
      <c r="B5446" s="1" t="str">
        <f>HYPERLINK("http://investigationtele.com","investigationtele.com")</f>
        <v>investigationtele.com</v>
      </c>
      <c r="C5446" t="s">
        <v>433</v>
      </c>
      <c r="F5446">
        <v>9.5633136804819803E-9</v>
      </c>
      <c r="G5446">
        <v>7247226</v>
      </c>
      <c r="H5446">
        <v>12416289</v>
      </c>
      <c r="I5446">
        <v>18524350</v>
      </c>
      <c r="J5446">
        <v>5</v>
      </c>
    </row>
    <row r="5447" spans="1:10" x14ac:dyDescent="0.25">
      <c r="A5447" t="s">
        <v>49</v>
      </c>
      <c r="B5447" s="1" t="str">
        <f>HYPERLINK("http://marinedrivepentecostalchurch.com","marinedrivepentecostalchurch.com")</f>
        <v>marinedrivepentecostalchurch.com</v>
      </c>
      <c r="C5447" t="s">
        <v>433</v>
      </c>
      <c r="J5447">
        <v>6</v>
      </c>
    </row>
    <row r="5448" spans="1:10" x14ac:dyDescent="0.25">
      <c r="A5448" t="s">
        <v>49</v>
      </c>
      <c r="B5448" s="1" t="str">
        <f>HYPERLINK("http://scccbpd.com","scccbpd.com")</f>
        <v>scccbpd.com</v>
      </c>
      <c r="C5448" t="s">
        <v>433</v>
      </c>
      <c r="J5448">
        <v>3</v>
      </c>
    </row>
    <row r="5449" spans="1:10" x14ac:dyDescent="0.25">
      <c r="A5449" t="s">
        <v>49</v>
      </c>
      <c r="B5449" s="1" t="str">
        <f>HYPERLINK("http://superecran.com","superecran.com")</f>
        <v>superecran.com</v>
      </c>
      <c r="C5449" t="s">
        <v>433</v>
      </c>
      <c r="F5449">
        <v>1.31674586866023E-8</v>
      </c>
      <c r="G5449">
        <v>4552906</v>
      </c>
      <c r="H5449">
        <v>14375986</v>
      </c>
      <c r="I5449">
        <v>1220955</v>
      </c>
      <c r="J5449">
        <v>4</v>
      </c>
    </row>
    <row r="5450" spans="1:10" x14ac:dyDescent="0.25">
      <c r="A5450" t="s">
        <v>49</v>
      </c>
      <c r="B5450" s="1" t="str">
        <f>HYPERLINK("http://telebec.com","telebec.com")</f>
        <v>telebec.com</v>
      </c>
      <c r="C5450" t="s">
        <v>433</v>
      </c>
      <c r="F5450">
        <v>8.6472264641312996E-8</v>
      </c>
      <c r="G5450">
        <v>475454</v>
      </c>
      <c r="H5450">
        <v>14001790</v>
      </c>
      <c r="I5450">
        <v>4010997</v>
      </c>
      <c r="J5450">
        <v>3</v>
      </c>
    </row>
    <row r="5451" spans="1:10" x14ac:dyDescent="0.25">
      <c r="A5451" t="s">
        <v>49</v>
      </c>
      <c r="B5451" s="1" t="str">
        <f>HYPERLINK("http://thesourcecc.com","thesourcecc.com")</f>
        <v>thesourcecc.com</v>
      </c>
      <c r="C5451" t="s">
        <v>433</v>
      </c>
      <c r="F5451">
        <v>9.7641048937455295E-9</v>
      </c>
      <c r="G5451">
        <v>7007838</v>
      </c>
      <c r="H5451">
        <v>14125538</v>
      </c>
      <c r="I5451">
        <v>2117529</v>
      </c>
      <c r="J5451">
        <v>5</v>
      </c>
    </row>
    <row r="5452" spans="1:10" x14ac:dyDescent="0.25">
      <c r="A5452" t="s">
        <v>49</v>
      </c>
      <c r="B5452" s="1" t="str">
        <f>HYPERLINK("http://ztele.com","ztele.com")</f>
        <v>ztele.com</v>
      </c>
      <c r="C5452" t="s">
        <v>433</v>
      </c>
      <c r="F5452">
        <v>4.6393697610822098E-8</v>
      </c>
      <c r="G5452">
        <v>1008598</v>
      </c>
      <c r="H5452">
        <v>14587453</v>
      </c>
      <c r="I5452">
        <v>699098</v>
      </c>
      <c r="J5452">
        <v>5</v>
      </c>
    </row>
    <row r="5453" spans="1:10" x14ac:dyDescent="0.25">
      <c r="A5453" t="s">
        <v>49</v>
      </c>
      <c r="B5453" s="1" t="str">
        <f>HYPERLINK("http://noovo.info","noovo.info")</f>
        <v>noovo.info</v>
      </c>
      <c r="C5453" t="s">
        <v>458</v>
      </c>
      <c r="E5453">
        <v>958606</v>
      </c>
      <c r="F5453">
        <v>7.6982007885725498E-8</v>
      </c>
      <c r="G5453">
        <v>544206</v>
      </c>
      <c r="H5453">
        <v>14453457</v>
      </c>
      <c r="I5453">
        <v>1051107</v>
      </c>
      <c r="J5453">
        <v>5</v>
      </c>
    </row>
    <row r="5454" spans="1:10" x14ac:dyDescent="0.25">
      <c r="A5454" t="s">
        <v>49</v>
      </c>
      <c r="B5454" s="1" t="str">
        <f>HYPERLINK("http://9c9media.net","9c9media.net")</f>
        <v>9c9media.net</v>
      </c>
      <c r="C5454" t="s">
        <v>474</v>
      </c>
      <c r="F5454">
        <v>2.4565949654979499E-8</v>
      </c>
      <c r="G5454">
        <v>2108494</v>
      </c>
      <c r="H5454">
        <v>12584894</v>
      </c>
      <c r="I5454">
        <v>16456999</v>
      </c>
      <c r="J5454">
        <v>3</v>
      </c>
    </row>
    <row r="5455" spans="1:10" x14ac:dyDescent="0.25">
      <c r="A5455" t="s">
        <v>49</v>
      </c>
      <c r="B5455" s="1" t="str">
        <f>HYPERLINK("http://bellaliant.net","bellaliant.net")</f>
        <v>bellaliant.net</v>
      </c>
      <c r="C5455" t="s">
        <v>474</v>
      </c>
      <c r="E5455">
        <v>110605</v>
      </c>
      <c r="F5455">
        <v>9.4197757117274596E-8</v>
      </c>
      <c r="G5455">
        <v>430899</v>
      </c>
      <c r="H5455">
        <v>14573080</v>
      </c>
      <c r="I5455">
        <v>732795</v>
      </c>
      <c r="J5455">
        <v>4</v>
      </c>
    </row>
    <row r="5456" spans="1:10" x14ac:dyDescent="0.25">
      <c r="A5456" t="s">
        <v>49</v>
      </c>
      <c r="B5456" s="1" t="str">
        <f>HYPERLINK("http://mtsbiz.net","mtsbiz.net")</f>
        <v>mtsbiz.net</v>
      </c>
      <c r="C5456" t="s">
        <v>474</v>
      </c>
      <c r="E5456">
        <v>950878</v>
      </c>
      <c r="F5456">
        <v>4.7277349625918099E-9</v>
      </c>
      <c r="G5456">
        <v>39455721</v>
      </c>
      <c r="H5456">
        <v>12052407</v>
      </c>
      <c r="I5456">
        <v>27183925</v>
      </c>
      <c r="J5456">
        <v>5</v>
      </c>
    </row>
    <row r="5457" spans="1:10" x14ac:dyDescent="0.25">
      <c r="A5457" t="s">
        <v>49</v>
      </c>
      <c r="B5457" s="1" t="str">
        <f>HYPERLINK("http://mymts.net","mymts.net")</f>
        <v>mymts.net</v>
      </c>
      <c r="C5457" t="s">
        <v>474</v>
      </c>
      <c r="E5457">
        <v>227197</v>
      </c>
      <c r="F5457">
        <v>1.3005316310629199E-8</v>
      </c>
      <c r="G5457">
        <v>4629169</v>
      </c>
      <c r="H5457">
        <v>13946164</v>
      </c>
      <c r="I5457">
        <v>4224379</v>
      </c>
      <c r="J5457">
        <v>3</v>
      </c>
    </row>
    <row r="5458" spans="1:10" x14ac:dyDescent="0.25">
      <c r="A5458" t="s">
        <v>49</v>
      </c>
      <c r="B5458" s="1" t="str">
        <f>HYPERLINK("http://vrak.tv","vrak.tv")</f>
        <v>vrak.tv</v>
      </c>
      <c r="C5458" t="s">
        <v>535</v>
      </c>
      <c r="D5458" t="s">
        <v>897</v>
      </c>
      <c r="F5458">
        <v>4.3220859807529797E-8</v>
      </c>
      <c r="G5458">
        <v>1110072</v>
      </c>
      <c r="H5458">
        <v>14515071</v>
      </c>
      <c r="I5458">
        <v>813940</v>
      </c>
      <c r="J5458">
        <v>5</v>
      </c>
    </row>
    <row r="5459" spans="1:10" x14ac:dyDescent="0.25">
      <c r="A5459" t="s">
        <v>50</v>
      </c>
      <c r="B5459" s="1" t="str">
        <f>HYPERLINK("http://samarco.com.br","samarco.com.br")</f>
        <v>samarco.com.br</v>
      </c>
      <c r="C5459" t="s">
        <v>425</v>
      </c>
      <c r="D5459" t="s">
        <v>806</v>
      </c>
      <c r="E5459">
        <v>633369</v>
      </c>
      <c r="F5459">
        <v>8.2263844952380094E-9</v>
      </c>
      <c r="G5459">
        <v>9445713</v>
      </c>
      <c r="H5459">
        <v>14081101</v>
      </c>
      <c r="I5459">
        <v>2813527</v>
      </c>
      <c r="J5459">
        <v>4</v>
      </c>
    </row>
    <row r="5460" spans="1:10" x14ac:dyDescent="0.25">
      <c r="A5460" t="s">
        <v>50</v>
      </c>
      <c r="B5460" s="1" t="str">
        <f>HYPERLINK("http://bhp.com","bhp.com")</f>
        <v>bhp.com</v>
      </c>
      <c r="C5460" t="s">
        <v>433</v>
      </c>
      <c r="E5460">
        <v>55079</v>
      </c>
      <c r="F5460">
        <v>2.0008589118042598E-6</v>
      </c>
      <c r="G5460">
        <v>18285</v>
      </c>
      <c r="H5460">
        <v>15740216</v>
      </c>
      <c r="I5460">
        <v>369056</v>
      </c>
      <c r="J5460">
        <v>1</v>
      </c>
    </row>
    <row r="5461" spans="1:10" x14ac:dyDescent="0.25">
      <c r="A5461" t="s">
        <v>50</v>
      </c>
      <c r="B5461" s="1" t="str">
        <f>HYPERLINK("http://bhpbilliton.com","bhpbilliton.com")</f>
        <v>bhpbilliton.com</v>
      </c>
      <c r="C5461" t="s">
        <v>433</v>
      </c>
      <c r="E5461">
        <v>121038</v>
      </c>
      <c r="F5461">
        <v>2.4211902051701202E-7</v>
      </c>
      <c r="G5461">
        <v>154510</v>
      </c>
      <c r="H5461">
        <v>15010418</v>
      </c>
      <c r="I5461">
        <v>423262</v>
      </c>
      <c r="J5461">
        <v>3</v>
      </c>
    </row>
    <row r="5462" spans="1:10" x14ac:dyDescent="0.25">
      <c r="A5462" t="s">
        <v>50</v>
      </c>
      <c r="B5462" s="1" t="str">
        <f>HYPERLINK("http://samarco.com","samarco.com")</f>
        <v>samarco.com</v>
      </c>
      <c r="C5462" t="s">
        <v>433</v>
      </c>
      <c r="F5462">
        <v>4.3923390548904198E-8</v>
      </c>
      <c r="G5462">
        <v>1084199</v>
      </c>
      <c r="H5462">
        <v>14529833</v>
      </c>
      <c r="I5462">
        <v>787902</v>
      </c>
      <c r="J5462">
        <v>8</v>
      </c>
    </row>
    <row r="5463" spans="1:10" x14ac:dyDescent="0.25">
      <c r="A5463" t="s">
        <v>50</v>
      </c>
      <c r="B5463" s="1" t="str">
        <f>HYPERLINK("http://zeroharm.com","zeroharm.com")</f>
        <v>zeroharm.com</v>
      </c>
      <c r="C5463" t="s">
        <v>433</v>
      </c>
      <c r="J5463">
        <v>3</v>
      </c>
    </row>
    <row r="5464" spans="1:10" x14ac:dyDescent="0.25">
      <c r="A5464" t="s">
        <v>51</v>
      </c>
      <c r="B5464" s="1" t="str">
        <f>HYPERLINK("http://barjeel.ae","barjeel.ae")</f>
        <v>barjeel.ae</v>
      </c>
      <c r="C5464" t="s">
        <v>417</v>
      </c>
      <c r="D5464" t="s">
        <v>799</v>
      </c>
      <c r="F5464">
        <v>4.8250019352432699E-9</v>
      </c>
      <c r="G5464">
        <v>35028044</v>
      </c>
      <c r="H5464">
        <v>13763723</v>
      </c>
      <c r="I5464">
        <v>7736177</v>
      </c>
      <c r="J5464">
        <v>7</v>
      </c>
    </row>
    <row r="5465" spans="1:10" x14ac:dyDescent="0.25">
      <c r="A5465" t="s">
        <v>51</v>
      </c>
      <c r="B5465" s="1" t="str">
        <f>HYPERLINK("http://claas.ae","claas.ae")</f>
        <v>claas.ae</v>
      </c>
      <c r="C5465" t="s">
        <v>417</v>
      </c>
      <c r="D5465" t="s">
        <v>799</v>
      </c>
      <c r="F5465">
        <v>1.7787085159414701E-8</v>
      </c>
      <c r="G5465">
        <v>3077535</v>
      </c>
      <c r="H5465">
        <v>10852112</v>
      </c>
      <c r="I5465">
        <v>36812795</v>
      </c>
      <c r="J5465">
        <v>4</v>
      </c>
    </row>
    <row r="5466" spans="1:10" x14ac:dyDescent="0.25">
      <c r="A5466" t="s">
        <v>51</v>
      </c>
      <c r="B5466" s="1" t="str">
        <f>HYPERLINK("http://claas.am","claas.am")</f>
        <v>claas.am</v>
      </c>
      <c r="C5466" t="s">
        <v>565</v>
      </c>
      <c r="D5466" t="s">
        <v>913</v>
      </c>
      <c r="F5466">
        <v>1.7800069108485799E-8</v>
      </c>
      <c r="G5466">
        <v>3074841</v>
      </c>
      <c r="H5466">
        <v>10852047</v>
      </c>
      <c r="I5466">
        <v>36813976</v>
      </c>
      <c r="J5466">
        <v>4</v>
      </c>
    </row>
    <row r="5467" spans="1:10" x14ac:dyDescent="0.25">
      <c r="A5467" t="s">
        <v>51</v>
      </c>
      <c r="B5467" s="1" t="str">
        <f>HYPERLINK("http://bnpparibas.com.ar","bnpparibas.com.ar")</f>
        <v>bnpparibas.com.ar</v>
      </c>
      <c r="C5467" t="s">
        <v>418</v>
      </c>
      <c r="D5467" t="s">
        <v>800</v>
      </c>
      <c r="F5467">
        <v>1.8844497925849501E-8</v>
      </c>
      <c r="G5467">
        <v>2863475</v>
      </c>
      <c r="H5467">
        <v>12390208</v>
      </c>
      <c r="I5467">
        <v>19042048</v>
      </c>
      <c r="J5467">
        <v>3</v>
      </c>
    </row>
    <row r="5468" spans="1:10" x14ac:dyDescent="0.25">
      <c r="A5468" t="s">
        <v>51</v>
      </c>
      <c r="B5468" s="1" t="str">
        <f>HYPERLINK("http://bnpparibas-am.com.ar","bnpparibas-am.com.ar")</f>
        <v>bnpparibas-am.com.ar</v>
      </c>
      <c r="C5468" t="s">
        <v>418</v>
      </c>
      <c r="D5468" t="s">
        <v>800</v>
      </c>
      <c r="F5468">
        <v>8.7823389563313597E-9</v>
      </c>
      <c r="G5468">
        <v>8339268</v>
      </c>
      <c r="H5468">
        <v>11209988</v>
      </c>
      <c r="I5468">
        <v>31164894</v>
      </c>
      <c r="J5468">
        <v>3</v>
      </c>
    </row>
    <row r="5469" spans="1:10" x14ac:dyDescent="0.25">
      <c r="A5469" t="s">
        <v>51</v>
      </c>
      <c r="B5469" s="1" t="str">
        <f>HYPERLINK("http://bnpparibas-ip.com.ar","bnpparibas-ip.com.ar")</f>
        <v>bnpparibas-ip.com.ar</v>
      </c>
      <c r="C5469" t="s">
        <v>418</v>
      </c>
      <c r="D5469" t="s">
        <v>800</v>
      </c>
      <c r="J5469">
        <v>4</v>
      </c>
    </row>
    <row r="5470" spans="1:10" x14ac:dyDescent="0.25">
      <c r="A5470" t="s">
        <v>51</v>
      </c>
      <c r="B5470" s="1" t="str">
        <f>HYPERLINK("http://bnpparibascardif.com.ar","bnpparibascardif.com.ar")</f>
        <v>bnpparibascardif.com.ar</v>
      </c>
      <c r="C5470" t="s">
        <v>418</v>
      </c>
      <c r="D5470" t="s">
        <v>800</v>
      </c>
      <c r="E5470">
        <v>423286</v>
      </c>
      <c r="F5470">
        <v>1.33502986703771E-8</v>
      </c>
      <c r="G5470">
        <v>4471423</v>
      </c>
      <c r="H5470">
        <v>11020582</v>
      </c>
      <c r="I5470">
        <v>33240133</v>
      </c>
      <c r="J5470">
        <v>4</v>
      </c>
    </row>
    <row r="5471" spans="1:10" x14ac:dyDescent="0.25">
      <c r="A5471" t="s">
        <v>51</v>
      </c>
      <c r="B5471" s="1" t="str">
        <f>HYPERLINK("http://claas.com.ar","claas.com.ar")</f>
        <v>claas.com.ar</v>
      </c>
      <c r="C5471" t="s">
        <v>418</v>
      </c>
      <c r="D5471" t="s">
        <v>800</v>
      </c>
      <c r="F5471">
        <v>2.26326925967953E-8</v>
      </c>
      <c r="G5471">
        <v>2313945</v>
      </c>
      <c r="H5471">
        <v>10922127</v>
      </c>
      <c r="I5471">
        <v>35232053</v>
      </c>
      <c r="J5471">
        <v>4</v>
      </c>
    </row>
    <row r="5472" spans="1:10" x14ac:dyDescent="0.25">
      <c r="A5472" t="s">
        <v>51</v>
      </c>
      <c r="B5472" s="1" t="str">
        <f>HYPERLINK("http://bnpparibas.asia","bnpparibas.asia")</f>
        <v>bnpparibas.asia</v>
      </c>
      <c r="C5472" t="s">
        <v>525</v>
      </c>
      <c r="F5472">
        <v>5.5508109757011903E-9</v>
      </c>
      <c r="G5472">
        <v>20369396</v>
      </c>
      <c r="H5472">
        <v>12250389</v>
      </c>
      <c r="I5472">
        <v>22007301</v>
      </c>
      <c r="J5472">
        <v>2</v>
      </c>
    </row>
    <row r="5473" spans="1:10" x14ac:dyDescent="0.25">
      <c r="A5473" t="s">
        <v>51</v>
      </c>
      <c r="B5473" s="1" t="str">
        <f>HYPERLINK("http://arval.at","arval.at")</f>
        <v>arval.at</v>
      </c>
      <c r="C5473" t="s">
        <v>419</v>
      </c>
      <c r="D5473" t="s">
        <v>801</v>
      </c>
      <c r="F5473">
        <v>1.47237717298964E-8</v>
      </c>
      <c r="G5473">
        <v>3932746</v>
      </c>
      <c r="H5473">
        <v>12699778</v>
      </c>
      <c r="I5473">
        <v>15355880</v>
      </c>
      <c r="J5473">
        <v>3</v>
      </c>
    </row>
    <row r="5474" spans="1:10" x14ac:dyDescent="0.25">
      <c r="A5474" t="s">
        <v>51</v>
      </c>
      <c r="B5474" s="1" t="str">
        <f>HYPERLINK("http://bnpparibas.at","bnpparibas.at")</f>
        <v>bnpparibas.at</v>
      </c>
      <c r="C5474" t="s">
        <v>419</v>
      </c>
      <c r="D5474" t="s">
        <v>801</v>
      </c>
      <c r="F5474">
        <v>2.0944311170998401E-8</v>
      </c>
      <c r="G5474">
        <v>2523522</v>
      </c>
      <c r="H5474">
        <v>12456172</v>
      </c>
      <c r="I5474">
        <v>17921531</v>
      </c>
      <c r="J5474">
        <v>2</v>
      </c>
    </row>
    <row r="5475" spans="1:10" x14ac:dyDescent="0.25">
      <c r="A5475" t="s">
        <v>51</v>
      </c>
      <c r="B5475" s="1" t="str">
        <f>HYPERLINK("http://bnpparibas-3stepit.at","bnpparibas-3stepit.at")</f>
        <v>bnpparibas-3stepit.at</v>
      </c>
      <c r="C5475" t="s">
        <v>419</v>
      </c>
      <c r="D5475" t="s">
        <v>801</v>
      </c>
      <c r="F5475">
        <v>4.6480982976923203E-9</v>
      </c>
      <c r="G5475">
        <v>44261237</v>
      </c>
      <c r="H5475">
        <v>8528559</v>
      </c>
      <c r="I5475">
        <v>71746248</v>
      </c>
      <c r="J5475">
        <v>5</v>
      </c>
    </row>
    <row r="5476" spans="1:10" x14ac:dyDescent="0.25">
      <c r="A5476" t="s">
        <v>51</v>
      </c>
      <c r="B5476" s="1" t="str">
        <f>HYPERLINK("http://bnpparibas-am.at","bnpparibas-am.at")</f>
        <v>bnpparibas-am.at</v>
      </c>
      <c r="C5476" t="s">
        <v>419</v>
      </c>
      <c r="D5476" t="s">
        <v>801</v>
      </c>
      <c r="F5476">
        <v>1.00005516904808E-8</v>
      </c>
      <c r="G5476">
        <v>6755197</v>
      </c>
      <c r="H5476">
        <v>11239721</v>
      </c>
      <c r="I5476">
        <v>30967485</v>
      </c>
      <c r="J5476">
        <v>3</v>
      </c>
    </row>
    <row r="5477" spans="1:10" x14ac:dyDescent="0.25">
      <c r="A5477" t="s">
        <v>51</v>
      </c>
      <c r="B5477" s="1" t="str">
        <f>HYPERLINK("http://bnpparibascardif.at","bnpparibascardif.at")</f>
        <v>bnpparibascardif.at</v>
      </c>
      <c r="C5477" t="s">
        <v>419</v>
      </c>
      <c r="D5477" t="s">
        <v>801</v>
      </c>
      <c r="F5477">
        <v>1.0644569900355999E-8</v>
      </c>
      <c r="G5477">
        <v>6146101</v>
      </c>
      <c r="H5477">
        <v>10717575</v>
      </c>
      <c r="I5477">
        <v>42047414</v>
      </c>
      <c r="J5477">
        <v>3</v>
      </c>
    </row>
    <row r="5478" spans="1:10" x14ac:dyDescent="0.25">
      <c r="A5478" t="s">
        <v>51</v>
      </c>
      <c r="B5478" s="1" t="str">
        <f>HYPERLINK("http://claas.at","claas.at")</f>
        <v>claas.at</v>
      </c>
      <c r="C5478" t="s">
        <v>419</v>
      </c>
      <c r="D5478" t="s">
        <v>801</v>
      </c>
      <c r="F5478">
        <v>4.9999535243964903E-8</v>
      </c>
      <c r="G5478">
        <v>921337</v>
      </c>
      <c r="H5478">
        <v>12425024</v>
      </c>
      <c r="I5478">
        <v>18375251</v>
      </c>
      <c r="J5478">
        <v>4</v>
      </c>
    </row>
    <row r="5479" spans="1:10" x14ac:dyDescent="0.25">
      <c r="A5479" t="s">
        <v>51</v>
      </c>
      <c r="B5479" s="1" t="str">
        <f>HYPERLINK("http://consorsfinanz.at","consorsfinanz.at")</f>
        <v>consorsfinanz.at</v>
      </c>
      <c r="C5479" t="s">
        <v>419</v>
      </c>
      <c r="D5479" t="s">
        <v>801</v>
      </c>
      <c r="F5479">
        <v>1.5896622931811901E-8</v>
      </c>
      <c r="G5479">
        <v>3573528</v>
      </c>
      <c r="H5479">
        <v>12483850</v>
      </c>
      <c r="I5479">
        <v>17562013</v>
      </c>
      <c r="J5479">
        <v>4</v>
      </c>
    </row>
    <row r="5480" spans="1:10" x14ac:dyDescent="0.25">
      <c r="A5480" t="s">
        <v>51</v>
      </c>
      <c r="B5480" s="1" t="str">
        <f>HYPERLINK("http://contipark.at","contipark.at")</f>
        <v>contipark.at</v>
      </c>
      <c r="C5480" t="s">
        <v>419</v>
      </c>
      <c r="D5480" t="s">
        <v>801</v>
      </c>
      <c r="F5480">
        <v>4.7538189204412498E-8</v>
      </c>
      <c r="G5480">
        <v>979609</v>
      </c>
      <c r="H5480">
        <v>12672181</v>
      </c>
      <c r="I5480">
        <v>15603590</v>
      </c>
      <c r="J5480">
        <v>10</v>
      </c>
    </row>
    <row r="5481" spans="1:10" x14ac:dyDescent="0.25">
      <c r="A5481" t="s">
        <v>51</v>
      </c>
      <c r="B5481" s="1" t="str">
        <f>HYPERLINK("http://hellobank.at","hellobank.at")</f>
        <v>hellobank.at</v>
      </c>
      <c r="C5481" t="s">
        <v>419</v>
      </c>
      <c r="D5481" t="s">
        <v>801</v>
      </c>
      <c r="F5481">
        <v>3.4859097029972197E-8</v>
      </c>
      <c r="G5481">
        <v>1489671</v>
      </c>
      <c r="H5481">
        <v>13945973</v>
      </c>
      <c r="I5481">
        <v>4227714</v>
      </c>
      <c r="J5481">
        <v>3</v>
      </c>
    </row>
    <row r="5482" spans="1:10" x14ac:dyDescent="0.25">
      <c r="A5482" t="s">
        <v>51</v>
      </c>
      <c r="B5482" s="1" t="str">
        <f>HYPERLINK("http://mein-contipark.at","mein-contipark.at")</f>
        <v>mein-contipark.at</v>
      </c>
      <c r="C5482" t="s">
        <v>419</v>
      </c>
      <c r="D5482" t="s">
        <v>801</v>
      </c>
      <c r="F5482">
        <v>3.5683288432018E-8</v>
      </c>
      <c r="G5482">
        <v>1459821</v>
      </c>
      <c r="H5482">
        <v>12513540</v>
      </c>
      <c r="I5482">
        <v>17211080</v>
      </c>
      <c r="J5482">
        <v>12</v>
      </c>
    </row>
    <row r="5483" spans="1:10" x14ac:dyDescent="0.25">
      <c r="A5483" t="s">
        <v>51</v>
      </c>
      <c r="B5483" s="1" t="str">
        <f>HYPERLINK("http://bnpparibas.com.au","bnpparibas.com.au")</f>
        <v>bnpparibas.com.au</v>
      </c>
      <c r="C5483" t="s">
        <v>420</v>
      </c>
      <c r="D5483" t="s">
        <v>802</v>
      </c>
      <c r="F5483">
        <v>3.2025577789681603E-8</v>
      </c>
      <c r="G5483">
        <v>1613984</v>
      </c>
      <c r="H5483">
        <v>14129014</v>
      </c>
      <c r="I5483">
        <v>2052498</v>
      </c>
      <c r="J5483">
        <v>3</v>
      </c>
    </row>
    <row r="5484" spans="1:10" x14ac:dyDescent="0.25">
      <c r="A5484" t="s">
        <v>51</v>
      </c>
      <c r="B5484" s="1" t="str">
        <f>HYPERLINK("http://bnpparibas-am.com.au","bnpparibas-am.com.au")</f>
        <v>bnpparibas-am.com.au</v>
      </c>
      <c r="C5484" t="s">
        <v>420</v>
      </c>
      <c r="D5484" t="s">
        <v>802</v>
      </c>
      <c r="F5484">
        <v>1.00825849112642E-8</v>
      </c>
      <c r="G5484">
        <v>6667520</v>
      </c>
      <c r="H5484">
        <v>12495215</v>
      </c>
      <c r="I5484">
        <v>17425878</v>
      </c>
      <c r="J5484">
        <v>3</v>
      </c>
    </row>
    <row r="5485" spans="1:10" x14ac:dyDescent="0.25">
      <c r="A5485" t="s">
        <v>51</v>
      </c>
      <c r="B5485" s="1" t="str">
        <f>HYPERLINK("http://claas.com.au","claas.com.au")</f>
        <v>claas.com.au</v>
      </c>
      <c r="C5485" t="s">
        <v>420</v>
      </c>
      <c r="D5485" t="s">
        <v>802</v>
      </c>
      <c r="F5485">
        <v>1.8549021832112299E-8</v>
      </c>
      <c r="G5485">
        <v>2916528</v>
      </c>
      <c r="H5485">
        <v>10993511</v>
      </c>
      <c r="I5485">
        <v>33688253</v>
      </c>
      <c r="J5485">
        <v>4</v>
      </c>
    </row>
    <row r="5486" spans="1:10" x14ac:dyDescent="0.25">
      <c r="A5486" t="s">
        <v>51</v>
      </c>
      <c r="B5486" s="1" t="str">
        <f>HYPERLINK("http://claas.az","claas.az")</f>
        <v>claas.az</v>
      </c>
      <c r="C5486" t="s">
        <v>561</v>
      </c>
      <c r="D5486" t="s">
        <v>911</v>
      </c>
      <c r="F5486">
        <v>1.8315447086358899E-8</v>
      </c>
      <c r="G5486">
        <v>2964428</v>
      </c>
      <c r="H5486">
        <v>10852716</v>
      </c>
      <c r="I5486">
        <v>36801127</v>
      </c>
      <c r="J5486">
        <v>4</v>
      </c>
    </row>
    <row r="5487" spans="1:10" x14ac:dyDescent="0.25">
      <c r="A5487" t="s">
        <v>51</v>
      </c>
      <c r="B5487" s="1" t="str">
        <f>HYPERLINK("http://claas.ba","claas.ba")</f>
        <v>claas.ba</v>
      </c>
      <c r="C5487" t="s">
        <v>526</v>
      </c>
      <c r="D5487" t="s">
        <v>893</v>
      </c>
      <c r="F5487">
        <v>1.7773909865830499E-8</v>
      </c>
      <c r="G5487">
        <v>3080360</v>
      </c>
      <c r="H5487">
        <v>10852047</v>
      </c>
      <c r="I5487">
        <v>36813985</v>
      </c>
      <c r="J5487">
        <v>4</v>
      </c>
    </row>
    <row r="5488" spans="1:10" x14ac:dyDescent="0.25">
      <c r="A5488" t="s">
        <v>51</v>
      </c>
      <c r="B5488" s="1" t="str">
        <f>HYPERLINK("http://acred.be","acred.be")</f>
        <v>acred.be</v>
      </c>
      <c r="C5488" t="s">
        <v>421</v>
      </c>
      <c r="D5488" t="s">
        <v>803</v>
      </c>
      <c r="F5488">
        <v>8.7913311049230105E-9</v>
      </c>
      <c r="G5488">
        <v>8324886</v>
      </c>
      <c r="H5488">
        <v>10558707</v>
      </c>
      <c r="I5488">
        <v>46406154</v>
      </c>
      <c r="J5488">
        <v>4</v>
      </c>
    </row>
    <row r="5489" spans="1:10" x14ac:dyDescent="0.25">
      <c r="A5489" t="s">
        <v>51</v>
      </c>
      <c r="B5489" s="1" t="str">
        <f>HYPERLINK("http://ag.be","ag.be")</f>
        <v>ag.be</v>
      </c>
      <c r="C5489" t="s">
        <v>421</v>
      </c>
      <c r="D5489" t="s">
        <v>803</v>
      </c>
      <c r="F5489">
        <v>7.5402286962208194E-8</v>
      </c>
      <c r="G5489">
        <v>557590</v>
      </c>
      <c r="H5489">
        <v>12881935</v>
      </c>
      <c r="I5489">
        <v>13990593</v>
      </c>
      <c r="J5489">
        <v>4</v>
      </c>
    </row>
    <row r="5490" spans="1:10" x14ac:dyDescent="0.25">
      <c r="A5490" t="s">
        <v>51</v>
      </c>
      <c r="B5490" s="1" t="str">
        <f>HYPERLINK("http://aginsurance.be","aginsurance.be")</f>
        <v>aginsurance.be</v>
      </c>
      <c r="C5490" t="s">
        <v>421</v>
      </c>
      <c r="D5490" t="s">
        <v>803</v>
      </c>
      <c r="E5490">
        <v>156922</v>
      </c>
      <c r="F5490">
        <v>3.5801945504397701E-7</v>
      </c>
      <c r="G5490">
        <v>104425</v>
      </c>
      <c r="H5490">
        <v>17053864</v>
      </c>
      <c r="I5490">
        <v>75530</v>
      </c>
      <c r="J5490">
        <v>3</v>
      </c>
    </row>
    <row r="5491" spans="1:10" x14ac:dyDescent="0.25">
      <c r="A5491" t="s">
        <v>51</v>
      </c>
      <c r="B5491" s="1" t="str">
        <f>HYPERLINK("http://alphacredit.be","alphacredit.be")</f>
        <v>alphacredit.be</v>
      </c>
      <c r="C5491" t="s">
        <v>421</v>
      </c>
      <c r="D5491" t="s">
        <v>803</v>
      </c>
      <c r="F5491">
        <v>3.0926704558031203E-8</v>
      </c>
      <c r="G5491">
        <v>1666017</v>
      </c>
      <c r="H5491">
        <v>12146213</v>
      </c>
      <c r="I5491">
        <v>24719615</v>
      </c>
      <c r="J5491">
        <v>5</v>
      </c>
    </row>
    <row r="5492" spans="1:10" x14ac:dyDescent="0.25">
      <c r="A5492" t="s">
        <v>51</v>
      </c>
      <c r="B5492" s="1" t="str">
        <f>HYPERLINK("http://arval.be","arval.be")</f>
        <v>arval.be</v>
      </c>
      <c r="C5492" t="s">
        <v>421</v>
      </c>
      <c r="D5492" t="s">
        <v>803</v>
      </c>
      <c r="F5492">
        <v>2.3335847321924098E-8</v>
      </c>
      <c r="G5492">
        <v>2235186</v>
      </c>
      <c r="H5492">
        <v>13770114</v>
      </c>
      <c r="I5492">
        <v>6744136</v>
      </c>
      <c r="J5492">
        <v>3</v>
      </c>
    </row>
    <row r="5493" spans="1:10" x14ac:dyDescent="0.25">
      <c r="A5493" t="s">
        <v>51</v>
      </c>
      <c r="B5493" s="1" t="str">
        <f>HYPERLINK("http://batopin.be","batopin.be")</f>
        <v>batopin.be</v>
      </c>
      <c r="C5493" t="s">
        <v>421</v>
      </c>
      <c r="D5493" t="s">
        <v>803</v>
      </c>
      <c r="F5493">
        <v>3.4014240338213003E-8</v>
      </c>
      <c r="G5493">
        <v>1522467</v>
      </c>
      <c r="H5493">
        <v>14075534</v>
      </c>
      <c r="I5493">
        <v>2906674</v>
      </c>
      <c r="J5493">
        <v>4</v>
      </c>
    </row>
    <row r="5494" spans="1:10" x14ac:dyDescent="0.25">
      <c r="A5494" t="s">
        <v>51</v>
      </c>
      <c r="B5494" s="1" t="str">
        <f>HYPERLINK("http://bnpparibas.be","bnpparibas.be")</f>
        <v>bnpparibas.be</v>
      </c>
      <c r="C5494" t="s">
        <v>421</v>
      </c>
      <c r="D5494" t="s">
        <v>803</v>
      </c>
      <c r="E5494">
        <v>680809</v>
      </c>
      <c r="F5494">
        <v>4.7905943196805403E-8</v>
      </c>
      <c r="G5494">
        <v>971062</v>
      </c>
      <c r="H5494">
        <v>14163369</v>
      </c>
      <c r="I5494">
        <v>1829866</v>
      </c>
      <c r="J5494">
        <v>2</v>
      </c>
    </row>
    <row r="5495" spans="1:10" x14ac:dyDescent="0.25">
      <c r="A5495" t="s">
        <v>51</v>
      </c>
      <c r="B5495" s="1" t="str">
        <f>HYPERLINK("http://bnpparibas-3stepit.be","bnpparibas-3stepit.be")</f>
        <v>bnpparibas-3stepit.be</v>
      </c>
      <c r="C5495" t="s">
        <v>421</v>
      </c>
      <c r="D5495" t="s">
        <v>803</v>
      </c>
      <c r="F5495">
        <v>6.8311660428677899E-9</v>
      </c>
      <c r="G5495">
        <v>12858494</v>
      </c>
      <c r="H5495">
        <v>10722535</v>
      </c>
      <c r="I5495">
        <v>41598856</v>
      </c>
      <c r="J5495">
        <v>4</v>
      </c>
    </row>
    <row r="5496" spans="1:10" x14ac:dyDescent="0.25">
      <c r="A5496" t="s">
        <v>51</v>
      </c>
      <c r="B5496" s="1" t="str">
        <f>HYPERLINK("http://bnpparibas-am.be","bnpparibas-am.be")</f>
        <v>bnpparibas-am.be</v>
      </c>
      <c r="C5496" t="s">
        <v>421</v>
      </c>
      <c r="D5496" t="s">
        <v>803</v>
      </c>
      <c r="F5496">
        <v>1.5494622002897501E-8</v>
      </c>
      <c r="G5496">
        <v>3686251</v>
      </c>
      <c r="H5496">
        <v>12205007</v>
      </c>
      <c r="I5496">
        <v>23191548</v>
      </c>
      <c r="J5496">
        <v>3</v>
      </c>
    </row>
    <row r="5497" spans="1:10" x14ac:dyDescent="0.25">
      <c r="A5497" t="s">
        <v>51</v>
      </c>
      <c r="B5497" s="1" t="str">
        <f>HYPERLINK("http://bnpparibas-ip.be","bnpparibas-ip.be")</f>
        <v>bnpparibas-ip.be</v>
      </c>
      <c r="C5497" t="s">
        <v>421</v>
      </c>
      <c r="D5497" t="s">
        <v>803</v>
      </c>
      <c r="F5497">
        <v>5.2011872338167803E-9</v>
      </c>
      <c r="G5497">
        <v>25091401</v>
      </c>
      <c r="H5497">
        <v>10835749</v>
      </c>
      <c r="I5497">
        <v>37268672</v>
      </c>
      <c r="J5497">
        <v>4</v>
      </c>
    </row>
    <row r="5498" spans="1:10" x14ac:dyDescent="0.25">
      <c r="A5498" t="s">
        <v>51</v>
      </c>
      <c r="B5498" s="1" t="str">
        <f>HYPERLINK("http://bnpparibascardif.be","bnpparibascardif.be")</f>
        <v>bnpparibascardif.be</v>
      </c>
      <c r="C5498" t="s">
        <v>421</v>
      </c>
      <c r="D5498" t="s">
        <v>803</v>
      </c>
      <c r="F5498">
        <v>7.1162384109024498E-8</v>
      </c>
      <c r="G5498">
        <v>594142</v>
      </c>
      <c r="H5498">
        <v>12595732</v>
      </c>
      <c r="I5498">
        <v>16365469</v>
      </c>
      <c r="J5498">
        <v>2</v>
      </c>
    </row>
    <row r="5499" spans="1:10" x14ac:dyDescent="0.25">
      <c r="A5499" t="s">
        <v>51</v>
      </c>
      <c r="B5499" s="1" t="str">
        <f>HYPERLINK("http://bnpparibasfortis.be","bnpparibasfortis.be")</f>
        <v>bnpparibasfortis.be</v>
      </c>
      <c r="C5499" t="s">
        <v>421</v>
      </c>
      <c r="D5499" t="s">
        <v>803</v>
      </c>
      <c r="E5499">
        <v>66334</v>
      </c>
      <c r="F5499">
        <v>4.4868716469015102E-7</v>
      </c>
      <c r="G5499">
        <v>84171</v>
      </c>
      <c r="H5499">
        <v>17197576</v>
      </c>
      <c r="I5499">
        <v>42230</v>
      </c>
      <c r="J5499">
        <v>3</v>
      </c>
    </row>
    <row r="5500" spans="1:10" x14ac:dyDescent="0.25">
      <c r="A5500" t="s">
        <v>51</v>
      </c>
      <c r="B5500" s="1" t="str">
        <f>HYPERLINK("http://bnppre.be","bnppre.be")</f>
        <v>bnppre.be</v>
      </c>
      <c r="C5500" t="s">
        <v>421</v>
      </c>
      <c r="D5500" t="s">
        <v>803</v>
      </c>
      <c r="F5500">
        <v>4.4553636356040499E-9</v>
      </c>
      <c r="G5500">
        <v>69366244</v>
      </c>
      <c r="H5500">
        <v>10727885</v>
      </c>
      <c r="I5500">
        <v>41084761</v>
      </c>
      <c r="J5500">
        <v>2</v>
      </c>
    </row>
    <row r="5501" spans="1:10" x14ac:dyDescent="0.25">
      <c r="A5501" t="s">
        <v>51</v>
      </c>
      <c r="B5501" s="1" t="str">
        <f>HYPERLINK("http://bpo.be","bpo.be")</f>
        <v>bpo.be</v>
      </c>
      <c r="C5501" t="s">
        <v>421</v>
      </c>
      <c r="D5501" t="s">
        <v>803</v>
      </c>
      <c r="F5501">
        <v>3.6038131363277297E-8</v>
      </c>
      <c r="G5501">
        <v>1446176</v>
      </c>
      <c r="H5501">
        <v>12097987</v>
      </c>
      <c r="I5501">
        <v>26026935</v>
      </c>
      <c r="J5501">
        <v>6</v>
      </c>
    </row>
    <row r="5502" spans="1:10" x14ac:dyDescent="0.25">
      <c r="A5502" t="s">
        <v>51</v>
      </c>
      <c r="B5502" s="1" t="str">
        <f>HYPERLINK("http://bpostbank.be","bpostbank.be")</f>
        <v>bpostbank.be</v>
      </c>
      <c r="C5502" t="s">
        <v>421</v>
      </c>
      <c r="D5502" t="s">
        <v>803</v>
      </c>
      <c r="E5502">
        <v>368582</v>
      </c>
      <c r="F5502">
        <v>6.3200289214023997E-8</v>
      </c>
      <c r="G5502">
        <v>688825</v>
      </c>
      <c r="H5502">
        <v>13101248</v>
      </c>
      <c r="I5502">
        <v>12098948</v>
      </c>
      <c r="J5502">
        <v>4</v>
      </c>
    </row>
    <row r="5503" spans="1:10" x14ac:dyDescent="0.25">
      <c r="A5503" t="s">
        <v>51</v>
      </c>
      <c r="B5503" s="1" t="str">
        <f>HYPERLINK("http://bpostbanque.be","bpostbanque.be")</f>
        <v>bpostbanque.be</v>
      </c>
      <c r="C5503" t="s">
        <v>421</v>
      </c>
      <c r="D5503" t="s">
        <v>803</v>
      </c>
      <c r="E5503">
        <v>421332</v>
      </c>
      <c r="F5503">
        <v>1.3171474723505701E-7</v>
      </c>
      <c r="G5503">
        <v>296796</v>
      </c>
      <c r="H5503">
        <v>16834534</v>
      </c>
      <c r="I5503">
        <v>164579</v>
      </c>
      <c r="J5503">
        <v>5</v>
      </c>
    </row>
    <row r="5504" spans="1:10" x14ac:dyDescent="0.25">
      <c r="A5504" t="s">
        <v>51</v>
      </c>
      <c r="B5504" s="1" t="str">
        <f>HYPERLINK("http://cardif.be","cardif.be")</f>
        <v>cardif.be</v>
      </c>
      <c r="C5504" t="s">
        <v>421</v>
      </c>
      <c r="D5504" t="s">
        <v>803</v>
      </c>
      <c r="F5504">
        <v>2.0130045003636299E-8</v>
      </c>
      <c r="G5504">
        <v>2639285</v>
      </c>
      <c r="H5504">
        <v>13933838</v>
      </c>
      <c r="I5504">
        <v>4663676</v>
      </c>
      <c r="J5504">
        <v>2</v>
      </c>
    </row>
    <row r="5505" spans="1:10" x14ac:dyDescent="0.25">
      <c r="A5505" t="s">
        <v>51</v>
      </c>
      <c r="B5505" s="1" t="str">
        <f>HYPERLINK("http://credissimohainaut.be","credissimohainaut.be")</f>
        <v>credissimohainaut.be</v>
      </c>
      <c r="C5505" t="s">
        <v>421</v>
      </c>
      <c r="D5505" t="s">
        <v>803</v>
      </c>
      <c r="J5505">
        <v>3</v>
      </c>
    </row>
    <row r="5506" spans="1:10" x14ac:dyDescent="0.25">
      <c r="A5506" t="s">
        <v>51</v>
      </c>
      <c r="B5506" s="1" t="str">
        <f>HYPERLINK("http://demetris.be","demetris.be")</f>
        <v>demetris.be</v>
      </c>
      <c r="C5506" t="s">
        <v>421</v>
      </c>
      <c r="D5506" t="s">
        <v>803</v>
      </c>
      <c r="F5506">
        <v>2.1698946475374799E-8</v>
      </c>
      <c r="G5506">
        <v>2424004</v>
      </c>
      <c r="H5506">
        <v>10787511</v>
      </c>
      <c r="I5506">
        <v>38594511</v>
      </c>
      <c r="J5506">
        <v>3</v>
      </c>
    </row>
    <row r="5507" spans="1:10" x14ac:dyDescent="0.25">
      <c r="A5507" t="s">
        <v>51</v>
      </c>
      <c r="B5507" s="1" t="str">
        <f>HYPERLINK("http://fineasy.be","fineasy.be")</f>
        <v>fineasy.be</v>
      </c>
      <c r="C5507" t="s">
        <v>421</v>
      </c>
      <c r="D5507" t="s">
        <v>803</v>
      </c>
      <c r="J5507">
        <v>2</v>
      </c>
    </row>
    <row r="5508" spans="1:10" x14ac:dyDescent="0.25">
      <c r="A5508" t="s">
        <v>51</v>
      </c>
      <c r="B5508" s="1" t="str">
        <f>HYPERLINK("http://fintro.be","fintro.be")</f>
        <v>fintro.be</v>
      </c>
      <c r="C5508" t="s">
        <v>421</v>
      </c>
      <c r="D5508" t="s">
        <v>803</v>
      </c>
      <c r="E5508">
        <v>365492</v>
      </c>
      <c r="F5508">
        <v>1.0360924363145001E-7</v>
      </c>
      <c r="G5508">
        <v>387186</v>
      </c>
      <c r="H5508">
        <v>16830420</v>
      </c>
      <c r="I5508">
        <v>169641</v>
      </c>
      <c r="J5508">
        <v>4</v>
      </c>
    </row>
    <row r="5509" spans="1:10" x14ac:dyDescent="0.25">
      <c r="A5509" t="s">
        <v>51</v>
      </c>
      <c r="B5509" s="1" t="str">
        <f>HYPERLINK("http://fullserviceleasing.be","fullserviceleasing.be")</f>
        <v>fullserviceleasing.be</v>
      </c>
      <c r="C5509" t="s">
        <v>421</v>
      </c>
      <c r="D5509" t="s">
        <v>803</v>
      </c>
      <c r="J5509">
        <v>2</v>
      </c>
    </row>
    <row r="5510" spans="1:10" x14ac:dyDescent="0.25">
      <c r="A5510" t="s">
        <v>51</v>
      </c>
      <c r="B5510" s="1" t="str">
        <f>HYPERLINK("http://gefleetservices.be","gefleetservices.be")</f>
        <v>gefleetservices.be</v>
      </c>
      <c r="C5510" t="s">
        <v>421</v>
      </c>
      <c r="D5510" t="s">
        <v>803</v>
      </c>
      <c r="J5510">
        <v>3</v>
      </c>
    </row>
    <row r="5511" spans="1:10" x14ac:dyDescent="0.25">
      <c r="A5511" t="s">
        <v>51</v>
      </c>
      <c r="B5511" s="1" t="str">
        <f>HYPERLINK("http://hellobank.be","hellobank.be")</f>
        <v>hellobank.be</v>
      </c>
      <c r="C5511" t="s">
        <v>421</v>
      </c>
      <c r="D5511" t="s">
        <v>803</v>
      </c>
      <c r="E5511">
        <v>591744</v>
      </c>
      <c r="F5511">
        <v>9.2554153853394703E-8</v>
      </c>
      <c r="G5511">
        <v>439670</v>
      </c>
      <c r="H5511">
        <v>16927192</v>
      </c>
      <c r="I5511">
        <v>120677</v>
      </c>
      <c r="J5511">
        <v>3</v>
      </c>
    </row>
    <row r="5512" spans="1:10" x14ac:dyDescent="0.25">
      <c r="A5512" t="s">
        <v>51</v>
      </c>
      <c r="B5512" s="1" t="str">
        <f>HYPERLINK("http://innovation-hub.be","innovation-hub.be")</f>
        <v>innovation-hub.be</v>
      </c>
      <c r="C5512" t="s">
        <v>421</v>
      </c>
      <c r="D5512" t="s">
        <v>803</v>
      </c>
      <c r="F5512">
        <v>6.2155121850297002E-9</v>
      </c>
      <c r="G5512">
        <v>15453259</v>
      </c>
      <c r="H5512">
        <v>12412569</v>
      </c>
      <c r="I5512">
        <v>18568796</v>
      </c>
      <c r="J5512">
        <v>5</v>
      </c>
    </row>
    <row r="5513" spans="1:10" x14ac:dyDescent="0.25">
      <c r="A5513" t="s">
        <v>51</v>
      </c>
      <c r="B5513" s="1" t="str">
        <f>HYPERLINK("http://interparking.be","interparking.be")</f>
        <v>interparking.be</v>
      </c>
      <c r="C5513" t="s">
        <v>421</v>
      </c>
      <c r="D5513" t="s">
        <v>803</v>
      </c>
      <c r="E5513">
        <v>515425</v>
      </c>
      <c r="F5513">
        <v>2.6388280934185797E-7</v>
      </c>
      <c r="G5513">
        <v>141459</v>
      </c>
      <c r="H5513">
        <v>14753310</v>
      </c>
      <c r="I5513">
        <v>562628</v>
      </c>
      <c r="J5513">
        <v>7</v>
      </c>
    </row>
    <row r="5514" spans="1:10" x14ac:dyDescent="0.25">
      <c r="A5514" t="s">
        <v>51</v>
      </c>
      <c r="B5514" s="1" t="str">
        <f>HYPERLINK("http://microstart.be","microstart.be")</f>
        <v>microstart.be</v>
      </c>
      <c r="C5514" t="s">
        <v>421</v>
      </c>
      <c r="D5514" t="s">
        <v>803</v>
      </c>
      <c r="F5514">
        <v>6.6513316621787302E-8</v>
      </c>
      <c r="G5514">
        <v>644103</v>
      </c>
      <c r="H5514">
        <v>14115727</v>
      </c>
      <c r="I5514">
        <v>2663026</v>
      </c>
      <c r="J5514">
        <v>4</v>
      </c>
    </row>
    <row r="5515" spans="1:10" x14ac:dyDescent="0.25">
      <c r="A5515" t="s">
        <v>51</v>
      </c>
      <c r="B5515" s="1" t="str">
        <f>HYPERLINK("http://mistic.be","mistic.be")</f>
        <v>mistic.be</v>
      </c>
      <c r="C5515" t="s">
        <v>421</v>
      </c>
      <c r="D5515" t="s">
        <v>803</v>
      </c>
      <c r="F5515">
        <v>4.8303091398792096E-9</v>
      </c>
      <c r="G5515">
        <v>34832073</v>
      </c>
      <c r="H5515">
        <v>12237543</v>
      </c>
      <c r="I5515">
        <v>22321600</v>
      </c>
      <c r="J5515">
        <v>7</v>
      </c>
    </row>
    <row r="5516" spans="1:10" x14ac:dyDescent="0.25">
      <c r="A5516" t="s">
        <v>51</v>
      </c>
      <c r="B5516" s="1" t="str">
        <f>HYPERLINK("http://nissanfinance.be","nissanfinance.be")</f>
        <v>nissanfinance.be</v>
      </c>
      <c r="C5516" t="s">
        <v>421</v>
      </c>
      <c r="D5516" t="s">
        <v>803</v>
      </c>
      <c r="J5516">
        <v>4</v>
      </c>
    </row>
    <row r="5517" spans="1:10" x14ac:dyDescent="0.25">
      <c r="A5517" t="s">
        <v>51</v>
      </c>
      <c r="B5517" s="1" t="str">
        <f>HYPERLINK("http://proxiccompta.be","proxiccompta.be")</f>
        <v>proxiccompta.be</v>
      </c>
      <c r="C5517" t="s">
        <v>421</v>
      </c>
      <c r="D5517" t="s">
        <v>803</v>
      </c>
      <c r="J5517">
        <v>5</v>
      </c>
    </row>
    <row r="5518" spans="1:10" x14ac:dyDescent="0.25">
      <c r="A5518" t="s">
        <v>51</v>
      </c>
      <c r="B5518" s="1" t="str">
        <f>HYPERLINK("http://qabnpparibasfortis.be","qabnpparibasfortis.be")</f>
        <v>qabnpparibasfortis.be</v>
      </c>
      <c r="C5518" t="s">
        <v>421</v>
      </c>
      <c r="D5518" t="s">
        <v>803</v>
      </c>
      <c r="F5518">
        <v>6.9262970600337197E-9</v>
      </c>
      <c r="G5518">
        <v>12536989</v>
      </c>
      <c r="H5518">
        <v>12270062</v>
      </c>
      <c r="I5518">
        <v>21522776</v>
      </c>
      <c r="J5518">
        <v>4</v>
      </c>
    </row>
    <row r="5519" spans="1:10" x14ac:dyDescent="0.25">
      <c r="A5519" t="s">
        <v>51</v>
      </c>
      <c r="B5519" s="1" t="str">
        <f>HYPERLINK("http://rewardsatwork.be","rewardsatwork.be")</f>
        <v>rewardsatwork.be</v>
      </c>
      <c r="C5519" t="s">
        <v>421</v>
      </c>
      <c r="D5519" t="s">
        <v>803</v>
      </c>
      <c r="F5519">
        <v>4.4447683804805303E-9</v>
      </c>
      <c r="G5519">
        <v>76130209</v>
      </c>
      <c r="H5519">
        <v>9692489</v>
      </c>
      <c r="I5519">
        <v>63446276</v>
      </c>
      <c r="J5519">
        <v>2</v>
      </c>
    </row>
    <row r="5520" spans="1:10" x14ac:dyDescent="0.25">
      <c r="A5520" t="s">
        <v>51</v>
      </c>
      <c r="B5520" s="1" t="str">
        <f>HYPERLINK("http://vandenbroeckebv.be","vandenbroeckebv.be")</f>
        <v>vandenbroeckebv.be</v>
      </c>
      <c r="C5520" t="s">
        <v>421</v>
      </c>
      <c r="D5520" t="s">
        <v>803</v>
      </c>
      <c r="J5520">
        <v>6</v>
      </c>
    </row>
    <row r="5521" spans="1:10" x14ac:dyDescent="0.25">
      <c r="A5521" t="s">
        <v>51</v>
      </c>
      <c r="B5521" s="1" t="str">
        <f>HYPERLINK("http://wb.be","wb.be")</f>
        <v>wb.be</v>
      </c>
      <c r="C5521" t="s">
        <v>421</v>
      </c>
      <c r="D5521" t="s">
        <v>803</v>
      </c>
      <c r="F5521">
        <v>7.1878000907330604E-9</v>
      </c>
      <c r="G5521">
        <v>11776095</v>
      </c>
      <c r="H5521">
        <v>12047735</v>
      </c>
      <c r="I5521">
        <v>27313115</v>
      </c>
      <c r="J5521">
        <v>4</v>
      </c>
    </row>
    <row r="5522" spans="1:10" x14ac:dyDescent="0.25">
      <c r="A5522" t="s">
        <v>51</v>
      </c>
      <c r="B5522" s="1" t="str">
        <f>HYPERLINK("http://zakenkantoordierckx.be","zakenkantoordierckx.be")</f>
        <v>zakenkantoordierckx.be</v>
      </c>
      <c r="C5522" t="s">
        <v>421</v>
      </c>
      <c r="D5522" t="s">
        <v>803</v>
      </c>
      <c r="F5522">
        <v>4.4905714875664201E-9</v>
      </c>
      <c r="G5522">
        <v>60431005</v>
      </c>
      <c r="H5522">
        <v>10709010</v>
      </c>
      <c r="I5522">
        <v>42171396</v>
      </c>
      <c r="J5522">
        <v>7</v>
      </c>
    </row>
    <row r="5523" spans="1:10" x14ac:dyDescent="0.25">
      <c r="A5523" t="s">
        <v>51</v>
      </c>
      <c r="B5523" s="1" t="str">
        <f>HYPERLINK("http://biciab.bf","biciab.bf")</f>
        <v>biciab.bf</v>
      </c>
      <c r="C5523" t="s">
        <v>621</v>
      </c>
      <c r="D5523" t="s">
        <v>945</v>
      </c>
      <c r="E5523">
        <v>892509</v>
      </c>
      <c r="F5523">
        <v>9.1594118897342503E-9</v>
      </c>
      <c r="G5523">
        <v>7765599</v>
      </c>
      <c r="H5523">
        <v>12199392</v>
      </c>
      <c r="I5523">
        <v>23332748</v>
      </c>
      <c r="J5523">
        <v>4</v>
      </c>
    </row>
    <row r="5524" spans="1:10" x14ac:dyDescent="0.25">
      <c r="A5524" t="s">
        <v>51</v>
      </c>
      <c r="B5524" s="1" t="str">
        <f>HYPERLINK("http://bnpparibas.bg","bnpparibas.bg")</f>
        <v>bnpparibas.bg</v>
      </c>
      <c r="C5524" t="s">
        <v>422</v>
      </c>
      <c r="D5524" t="s">
        <v>804</v>
      </c>
      <c r="E5524">
        <v>424211</v>
      </c>
      <c r="F5524">
        <v>2.85247110952799E-8</v>
      </c>
      <c r="G5524">
        <v>1804588</v>
      </c>
      <c r="H5524">
        <v>14128637</v>
      </c>
      <c r="I5524">
        <v>2057955</v>
      </c>
      <c r="J5524">
        <v>3</v>
      </c>
    </row>
    <row r="5525" spans="1:10" x14ac:dyDescent="0.25">
      <c r="A5525" t="s">
        <v>51</v>
      </c>
      <c r="B5525" s="1" t="str">
        <f>HYPERLINK("http://bnpparibas-pf.bg","bnpparibas-pf.bg")</f>
        <v>bnpparibas-pf.bg</v>
      </c>
      <c r="C5525" t="s">
        <v>422</v>
      </c>
      <c r="D5525" t="s">
        <v>804</v>
      </c>
      <c r="F5525">
        <v>9.0174570174132001E-8</v>
      </c>
      <c r="G5525">
        <v>452469</v>
      </c>
      <c r="H5525">
        <v>13859880</v>
      </c>
      <c r="I5525">
        <v>6023136</v>
      </c>
      <c r="J5525">
        <v>3</v>
      </c>
    </row>
    <row r="5526" spans="1:10" x14ac:dyDescent="0.25">
      <c r="A5526" t="s">
        <v>51</v>
      </c>
      <c r="B5526" s="1" t="str">
        <f>HYPERLINK("http://bnpparibascardif.bg","bnpparibascardif.bg")</f>
        <v>bnpparibascardif.bg</v>
      </c>
      <c r="C5526" t="s">
        <v>422</v>
      </c>
      <c r="D5526" t="s">
        <v>804</v>
      </c>
      <c r="F5526">
        <v>1.85072026530501E-8</v>
      </c>
      <c r="G5526">
        <v>2924245</v>
      </c>
      <c r="H5526">
        <v>10761953</v>
      </c>
      <c r="I5526">
        <v>39540188</v>
      </c>
      <c r="J5526">
        <v>4</v>
      </c>
    </row>
    <row r="5527" spans="1:10" x14ac:dyDescent="0.25">
      <c r="A5527" t="s">
        <v>51</v>
      </c>
      <c r="B5527" s="1" t="str">
        <f>HYPERLINK("http://claas.bg","claas.bg")</f>
        <v>claas.bg</v>
      </c>
      <c r="C5527" t="s">
        <v>422</v>
      </c>
      <c r="D5527" t="s">
        <v>804</v>
      </c>
      <c r="F5527">
        <v>1.9964228156605201E-8</v>
      </c>
      <c r="G5527">
        <v>2664757</v>
      </c>
      <c r="H5527">
        <v>11171998</v>
      </c>
      <c r="I5527">
        <v>31511017</v>
      </c>
      <c r="J5527">
        <v>4</v>
      </c>
    </row>
    <row r="5528" spans="1:10" x14ac:dyDescent="0.25">
      <c r="A5528" t="s">
        <v>51</v>
      </c>
      <c r="B5528" s="1" t="str">
        <f>HYPERLINK("http://mein-contipark.blog","mein-contipark.blog")</f>
        <v>mein-contipark.blog</v>
      </c>
      <c r="C5528" t="s">
        <v>581</v>
      </c>
      <c r="F5528">
        <v>1.24661727773503E-8</v>
      </c>
      <c r="G5528">
        <v>4903567</v>
      </c>
      <c r="H5528">
        <v>11986094</v>
      </c>
      <c r="I5528">
        <v>28427253</v>
      </c>
      <c r="J5528">
        <v>12</v>
      </c>
    </row>
    <row r="5529" spans="1:10" x14ac:dyDescent="0.25">
      <c r="A5529" t="s">
        <v>51</v>
      </c>
      <c r="B5529" s="1" t="str">
        <f>HYPERLINK("http://actforimpact.bnpparibas","actforimpact.bnpparibas")</f>
        <v>actforimpact.bnpparibas</v>
      </c>
      <c r="C5529" t="s">
        <v>720</v>
      </c>
      <c r="J5529">
        <v>2</v>
      </c>
    </row>
    <row r="5530" spans="1:10" x14ac:dyDescent="0.25">
      <c r="A5530" t="s">
        <v>51</v>
      </c>
      <c r="B5530" s="1" t="str">
        <f>HYPERLINK("http://agences.bnpparibas","agences.bnpparibas")</f>
        <v>agences.bnpparibas</v>
      </c>
      <c r="C5530" t="s">
        <v>720</v>
      </c>
      <c r="F5530">
        <v>1.97369239650316E-8</v>
      </c>
      <c r="G5530">
        <v>2703244</v>
      </c>
      <c r="H5530">
        <v>12354141</v>
      </c>
      <c r="I5530">
        <v>19694843</v>
      </c>
      <c r="J5530">
        <v>3</v>
      </c>
    </row>
    <row r="5531" spans="1:10" x14ac:dyDescent="0.25">
      <c r="A5531" t="s">
        <v>51</v>
      </c>
      <c r="B5531" s="1" t="str">
        <f>HYPERLINK("http://antilles-guyane.bnpparibas","antilles-guyane.bnpparibas")</f>
        <v>antilles-guyane.bnpparibas</v>
      </c>
      <c r="C5531" t="s">
        <v>720</v>
      </c>
      <c r="F5531">
        <v>5.2522069920119203E-8</v>
      </c>
      <c r="G5531">
        <v>868215</v>
      </c>
      <c r="H5531">
        <v>12399428</v>
      </c>
      <c r="I5531">
        <v>18857668</v>
      </c>
      <c r="J5531">
        <v>3</v>
      </c>
    </row>
    <row r="5532" spans="1:10" x14ac:dyDescent="0.25">
      <c r="A5532" t="s">
        <v>51</v>
      </c>
      <c r="B5532" s="1" t="str">
        <f>HYPERLINK("http://api.bnpparibas","api.bnpparibas")</f>
        <v>api.bnpparibas</v>
      </c>
      <c r="C5532" t="s">
        <v>720</v>
      </c>
      <c r="J5532">
        <v>2</v>
      </c>
    </row>
    <row r="5533" spans="1:10" x14ac:dyDescent="0.25">
      <c r="A5533" t="s">
        <v>51</v>
      </c>
      <c r="B5533" s="1" t="str">
        <f>HYPERLINK("http://banqueentreprise.bnpparibas","banqueentreprise.bnpparibas")</f>
        <v>banqueentreprise.bnpparibas</v>
      </c>
      <c r="C5533" t="s">
        <v>720</v>
      </c>
      <c r="E5533">
        <v>432678</v>
      </c>
      <c r="F5533">
        <v>2.0452465216108401E-7</v>
      </c>
      <c r="G5533">
        <v>185765</v>
      </c>
      <c r="H5533">
        <v>14089202</v>
      </c>
      <c r="I5533">
        <v>2754996</v>
      </c>
      <c r="J5533">
        <v>2</v>
      </c>
    </row>
    <row r="5534" spans="1:10" x14ac:dyDescent="0.25">
      <c r="A5534" t="s">
        <v>51</v>
      </c>
      <c r="B5534" s="1" t="str">
        <f>HYPERLINK("http://benomad.bnpparibas","benomad.bnpparibas")</f>
        <v>benomad.bnpparibas</v>
      </c>
      <c r="C5534" t="s">
        <v>720</v>
      </c>
      <c r="J5534">
        <v>2</v>
      </c>
    </row>
    <row r="5535" spans="1:10" x14ac:dyDescent="0.25">
      <c r="A5535" t="s">
        <v>51</v>
      </c>
      <c r="B5535" s="1" t="str">
        <f>HYPERLINK("http://campus-louveciennes.bnpparibas","campus-louveciennes.bnpparibas")</f>
        <v>campus-louveciennes.bnpparibas</v>
      </c>
      <c r="C5535" t="s">
        <v>720</v>
      </c>
      <c r="F5535">
        <v>7.4361349043396E-9</v>
      </c>
      <c r="G5535">
        <v>11158752</v>
      </c>
      <c r="H5535">
        <v>12344896</v>
      </c>
      <c r="I5535">
        <v>19852468</v>
      </c>
      <c r="J5535">
        <v>4</v>
      </c>
    </row>
    <row r="5536" spans="1:10" x14ac:dyDescent="0.25">
      <c r="A5536" t="s">
        <v>51</v>
      </c>
      <c r="B5536" s="1" t="str">
        <f>HYPERLINK("http://cib.bnpparibas","cib.bnpparibas")</f>
        <v>cib.bnpparibas</v>
      </c>
      <c r="C5536" t="s">
        <v>720</v>
      </c>
      <c r="E5536">
        <v>244032</v>
      </c>
      <c r="F5536">
        <v>1.7771015376258299E-7</v>
      </c>
      <c r="G5536">
        <v>217581</v>
      </c>
      <c r="H5536">
        <v>14506749</v>
      </c>
      <c r="I5536">
        <v>832544</v>
      </c>
      <c r="J5536">
        <v>2</v>
      </c>
    </row>
    <row r="5537" spans="1:10" x14ac:dyDescent="0.25">
      <c r="A5537" t="s">
        <v>51</v>
      </c>
      <c r="B5537" s="1" t="str">
        <f>HYPERLINK("http://factor.bnpparibas","factor.bnpparibas")</f>
        <v>factor.bnpparibas</v>
      </c>
      <c r="C5537" t="s">
        <v>720</v>
      </c>
      <c r="F5537">
        <v>5.1568785737210802E-8</v>
      </c>
      <c r="G5537">
        <v>886878</v>
      </c>
      <c r="H5537">
        <v>16752243</v>
      </c>
      <c r="I5537">
        <v>253850</v>
      </c>
      <c r="J5537">
        <v>3</v>
      </c>
    </row>
    <row r="5538" spans="1:10" x14ac:dyDescent="0.25">
      <c r="A5538" t="s">
        <v>51</v>
      </c>
      <c r="B5538" s="1" t="str">
        <f>HYPERLINK("http://group.bnpparibas","group.bnpparibas")</f>
        <v>group.bnpparibas</v>
      </c>
      <c r="C5538" t="s">
        <v>720</v>
      </c>
      <c r="E5538">
        <v>48786</v>
      </c>
      <c r="F5538">
        <v>1.44271845141498E-6</v>
      </c>
      <c r="G5538">
        <v>27166</v>
      </c>
      <c r="H5538">
        <v>17370978</v>
      </c>
      <c r="I5538">
        <v>21367</v>
      </c>
      <c r="J5538">
        <v>1</v>
      </c>
    </row>
    <row r="5539" spans="1:10" x14ac:dyDescent="0.25">
      <c r="A5539" t="s">
        <v>51</v>
      </c>
      <c r="B5539" s="1" t="str">
        <f>HYPERLINK("http://groupe.bnpparibas","groupe.bnpparibas")</f>
        <v>groupe.bnpparibas</v>
      </c>
      <c r="C5539" t="s">
        <v>720</v>
      </c>
      <c r="J5539">
        <v>2</v>
      </c>
    </row>
    <row r="5540" spans="1:10" x14ac:dyDescent="0.25">
      <c r="A5540" t="s">
        <v>51</v>
      </c>
      <c r="B5540" s="1" t="str">
        <f>HYPERLINK("http://mabanque.bnpparibas","mabanque.bnpparibas")</f>
        <v>mabanque.bnpparibas</v>
      </c>
      <c r="C5540" t="s">
        <v>720</v>
      </c>
      <c r="E5540">
        <v>94458</v>
      </c>
      <c r="F5540">
        <v>1.5373853686338E-6</v>
      </c>
      <c r="G5540">
        <v>25510</v>
      </c>
      <c r="H5540">
        <v>17628022</v>
      </c>
      <c r="I5540">
        <v>8923</v>
      </c>
      <c r="J5540">
        <v>3</v>
      </c>
    </row>
    <row r="5541" spans="1:10" x14ac:dyDescent="0.25">
      <c r="A5541" t="s">
        <v>51</v>
      </c>
      <c r="B5541" s="1" t="str">
        <f>HYPERLINK("http://mediahub.bnpparibas","mediahub.bnpparibas")</f>
        <v>mediahub.bnpparibas</v>
      </c>
      <c r="C5541" t="s">
        <v>720</v>
      </c>
      <c r="F5541">
        <v>3.88494155150858E-8</v>
      </c>
      <c r="G5541">
        <v>1327254</v>
      </c>
      <c r="H5541">
        <v>13362587</v>
      </c>
      <c r="I5541">
        <v>10502273</v>
      </c>
      <c r="J5541">
        <v>2</v>
      </c>
    </row>
    <row r="5542" spans="1:10" x14ac:dyDescent="0.25">
      <c r="A5542" t="s">
        <v>51</v>
      </c>
      <c r="B5542" s="1" t="str">
        <f>HYPERLINK("http://personal-finance.bnpparibas","personal-finance.bnpparibas")</f>
        <v>personal-finance.bnpparibas</v>
      </c>
      <c r="C5542" t="s">
        <v>720</v>
      </c>
      <c r="F5542">
        <v>7.7928981478797E-8</v>
      </c>
      <c r="G5542">
        <v>536837</v>
      </c>
      <c r="H5542">
        <v>13349253</v>
      </c>
      <c r="I5542">
        <v>10617693</v>
      </c>
      <c r="J5542">
        <v>3</v>
      </c>
    </row>
    <row r="5543" spans="1:10" x14ac:dyDescent="0.25">
      <c r="A5543" t="s">
        <v>51</v>
      </c>
      <c r="B5543" s="1" t="str">
        <f>HYPERLINK("http://realestate.bnpparibas","realestate.bnpparibas")</f>
        <v>realestate.bnpparibas</v>
      </c>
      <c r="C5543" t="s">
        <v>720</v>
      </c>
      <c r="F5543">
        <v>3.5729225335150699E-8</v>
      </c>
      <c r="G5543">
        <v>1458197</v>
      </c>
      <c r="H5543">
        <v>12339618</v>
      </c>
      <c r="I5543">
        <v>20017453</v>
      </c>
      <c r="J5543">
        <v>2</v>
      </c>
    </row>
    <row r="5544" spans="1:10" x14ac:dyDescent="0.25">
      <c r="A5544" t="s">
        <v>51</v>
      </c>
      <c r="B5544" s="1" t="str">
        <f>HYPERLINK("http://sepamail-demo.bnpparibas","sepamail-demo.bnpparibas")</f>
        <v>sepamail-demo.bnpparibas</v>
      </c>
      <c r="C5544" t="s">
        <v>720</v>
      </c>
      <c r="J5544">
        <v>2</v>
      </c>
    </row>
    <row r="5545" spans="1:10" x14ac:dyDescent="0.25">
      <c r="A5545" t="s">
        <v>51</v>
      </c>
      <c r="B5545" s="1" t="str">
        <f>HYPERLINK("http://srv.bnpparibas","srv.bnpparibas")</f>
        <v>srv.bnpparibas</v>
      </c>
      <c r="C5545" t="s">
        <v>720</v>
      </c>
      <c r="E5545">
        <v>222594</v>
      </c>
      <c r="F5545">
        <v>4.4438099640082497E-9</v>
      </c>
      <c r="G5545">
        <v>79602149</v>
      </c>
      <c r="H5545">
        <v>10351910</v>
      </c>
      <c r="I5545">
        <v>56108219</v>
      </c>
      <c r="J5545">
        <v>2</v>
      </c>
    </row>
    <row r="5546" spans="1:10" x14ac:dyDescent="0.25">
      <c r="A5546" t="s">
        <v>51</v>
      </c>
      <c r="B5546" s="1" t="str">
        <f>HYPERLINK("http://staging.bnpparibas","staging.bnpparibas")</f>
        <v>staging.bnpparibas</v>
      </c>
      <c r="C5546" t="s">
        <v>720</v>
      </c>
      <c r="J5546">
        <v>2</v>
      </c>
    </row>
    <row r="5547" spans="1:10" x14ac:dyDescent="0.25">
      <c r="A5547" t="s">
        <v>51</v>
      </c>
      <c r="B5547" s="1" t="str">
        <f>HYPERLINK("http://wealthmanagement.bnpparibas","wealthmanagement.bnpparibas")</f>
        <v>wealthmanagement.bnpparibas</v>
      </c>
      <c r="C5547" t="s">
        <v>720</v>
      </c>
      <c r="E5547">
        <v>761959</v>
      </c>
      <c r="F5547">
        <v>1.4561147221689799E-7</v>
      </c>
      <c r="G5547">
        <v>267341</v>
      </c>
      <c r="H5547">
        <v>16996788</v>
      </c>
      <c r="I5547">
        <v>94366</v>
      </c>
      <c r="J5547">
        <v>4</v>
      </c>
    </row>
    <row r="5548" spans="1:10" x14ac:dyDescent="0.25">
      <c r="A5548" t="s">
        <v>51</v>
      </c>
      <c r="B5548" s="1" t="str">
        <f>HYPERLINK("http://welovecinema.bnpparibas","welovecinema.bnpparibas")</f>
        <v>welovecinema.bnpparibas</v>
      </c>
      <c r="C5548" t="s">
        <v>720</v>
      </c>
      <c r="F5548">
        <v>2.0496527254022101E-7</v>
      </c>
      <c r="G5548">
        <v>185338</v>
      </c>
      <c r="H5548">
        <v>16922386</v>
      </c>
      <c r="I5548">
        <v>129189</v>
      </c>
      <c r="J5548">
        <v>2</v>
      </c>
    </row>
    <row r="5549" spans="1:10" x14ac:dyDescent="0.25">
      <c r="A5549" t="s">
        <v>51</v>
      </c>
      <c r="B5549" s="1" t="str">
        <f>HYPERLINK("http://claas.com.bo","claas.com.bo")</f>
        <v>claas.com.bo</v>
      </c>
      <c r="C5549" t="s">
        <v>424</v>
      </c>
      <c r="D5549" t="s">
        <v>805</v>
      </c>
      <c r="F5549">
        <v>1.8051160614312199E-8</v>
      </c>
      <c r="G5549">
        <v>3020050</v>
      </c>
      <c r="H5549">
        <v>10852047</v>
      </c>
      <c r="I5549">
        <v>36813986</v>
      </c>
      <c r="J5549">
        <v>4</v>
      </c>
    </row>
    <row r="5550" spans="1:10" x14ac:dyDescent="0.25">
      <c r="A5550" t="s">
        <v>51</v>
      </c>
      <c r="B5550" s="1" t="str">
        <f>HYPERLINK("http://arvalbrasil.com.br","arvalbrasil.com.br")</f>
        <v>arvalbrasil.com.br</v>
      </c>
      <c r="C5550" t="s">
        <v>425</v>
      </c>
      <c r="D5550" t="s">
        <v>806</v>
      </c>
      <c r="F5550">
        <v>6.4779113273709797E-9</v>
      </c>
      <c r="G5550">
        <v>14171669</v>
      </c>
      <c r="H5550">
        <v>10883224</v>
      </c>
      <c r="I5550">
        <v>36284590</v>
      </c>
      <c r="J5550">
        <v>3</v>
      </c>
    </row>
    <row r="5551" spans="1:10" x14ac:dyDescent="0.25">
      <c r="A5551" t="s">
        <v>51</v>
      </c>
      <c r="B5551" s="1" t="str">
        <f>HYPERLINK("http://bnpparibas.com.br","bnpparibas.com.br")</f>
        <v>bnpparibas.com.br</v>
      </c>
      <c r="C5551" t="s">
        <v>425</v>
      </c>
      <c r="D5551" t="s">
        <v>806</v>
      </c>
      <c r="F5551">
        <v>2.28065728129467E-8</v>
      </c>
      <c r="G5551">
        <v>2293181</v>
      </c>
      <c r="H5551">
        <v>14078021</v>
      </c>
      <c r="I5551">
        <v>2854064</v>
      </c>
      <c r="J5551">
        <v>4</v>
      </c>
    </row>
    <row r="5552" spans="1:10" x14ac:dyDescent="0.25">
      <c r="A5552" t="s">
        <v>51</v>
      </c>
      <c r="B5552" s="1" t="str">
        <f>HYPERLINK("http://bnpparibas-am.com.br","bnpparibas-am.com.br")</f>
        <v>bnpparibas-am.com.br</v>
      </c>
      <c r="C5552" t="s">
        <v>425</v>
      </c>
      <c r="D5552" t="s">
        <v>806</v>
      </c>
      <c r="F5552">
        <v>1.9514710901632899E-8</v>
      </c>
      <c r="G5552">
        <v>2742115</v>
      </c>
      <c r="H5552">
        <v>13075578</v>
      </c>
      <c r="I5552">
        <v>12212858</v>
      </c>
      <c r="J5552">
        <v>3</v>
      </c>
    </row>
    <row r="5553" spans="1:10" x14ac:dyDescent="0.25">
      <c r="A5553" t="s">
        <v>51</v>
      </c>
      <c r="B5553" s="1" t="str">
        <f>HYPERLINK("http://bnpparibascardif.com.br","bnpparibascardif.com.br")</f>
        <v>bnpparibascardif.com.br</v>
      </c>
      <c r="C5553" t="s">
        <v>425</v>
      </c>
      <c r="D5553" t="s">
        <v>806</v>
      </c>
      <c r="F5553">
        <v>5.8380468167031199E-9</v>
      </c>
      <c r="G5553">
        <v>17799116</v>
      </c>
      <c r="H5553">
        <v>12396623</v>
      </c>
      <c r="I5553">
        <v>18901431</v>
      </c>
      <c r="J5553">
        <v>2</v>
      </c>
    </row>
    <row r="5554" spans="1:10" x14ac:dyDescent="0.25">
      <c r="A5554" t="s">
        <v>51</v>
      </c>
      <c r="B5554" s="1" t="str">
        <f>HYPERLINK("http://cetelem.com.br","cetelem.com.br")</f>
        <v>cetelem.com.br</v>
      </c>
      <c r="C5554" t="s">
        <v>425</v>
      </c>
      <c r="D5554" t="s">
        <v>806</v>
      </c>
      <c r="E5554">
        <v>206875</v>
      </c>
      <c r="F5554">
        <v>5.1551556950738303E-8</v>
      </c>
      <c r="G5554">
        <v>887222</v>
      </c>
      <c r="H5554">
        <v>16849318</v>
      </c>
      <c r="I5554">
        <v>158059</v>
      </c>
      <c r="J5554">
        <v>3</v>
      </c>
    </row>
    <row r="5555" spans="1:10" x14ac:dyDescent="0.25">
      <c r="A5555" t="s">
        <v>51</v>
      </c>
      <c r="B5555" s="1" t="str">
        <f>HYPERLINK("http://claas.com.br","claas.com.br")</f>
        <v>claas.com.br</v>
      </c>
      <c r="C5555" t="s">
        <v>425</v>
      </c>
      <c r="D5555" t="s">
        <v>806</v>
      </c>
      <c r="F5555">
        <v>1.8689519410887301E-8</v>
      </c>
      <c r="G5555">
        <v>2891168</v>
      </c>
      <c r="H5555">
        <v>10852631</v>
      </c>
      <c r="I5555">
        <v>36802974</v>
      </c>
      <c r="J5555">
        <v>5</v>
      </c>
    </row>
    <row r="5556" spans="1:10" x14ac:dyDescent="0.25">
      <c r="A5556" t="s">
        <v>51</v>
      </c>
      <c r="B5556" s="1" t="str">
        <f>HYPERLINK("http://haitongib.com.br","haitongib.com.br")</f>
        <v>haitongib.com.br</v>
      </c>
      <c r="C5556" t="s">
        <v>425</v>
      </c>
      <c r="D5556" t="s">
        <v>806</v>
      </c>
      <c r="F5556">
        <v>7.0227826942191602E-9</v>
      </c>
      <c r="G5556">
        <v>12245460</v>
      </c>
      <c r="H5556">
        <v>13763654</v>
      </c>
      <c r="I5556">
        <v>7882064</v>
      </c>
      <c r="J5556">
        <v>8</v>
      </c>
    </row>
    <row r="5557" spans="1:10" x14ac:dyDescent="0.25">
      <c r="A5557" t="s">
        <v>51</v>
      </c>
      <c r="B5557" s="1" t="str">
        <f>HYPERLINK("http://observatorioveiculos.com.br","observatorioveiculos.com.br")</f>
        <v>observatorioveiculos.com.br</v>
      </c>
      <c r="C5557" t="s">
        <v>425</v>
      </c>
      <c r="D5557" t="s">
        <v>806</v>
      </c>
      <c r="J5557">
        <v>2</v>
      </c>
    </row>
    <row r="5558" spans="1:10" x14ac:dyDescent="0.25">
      <c r="A5558" t="s">
        <v>51</v>
      </c>
      <c r="B5558" s="1" t="str">
        <f>HYPERLINK("http://claas.by","claas.by")</f>
        <v>claas.by</v>
      </c>
      <c r="C5558" t="s">
        <v>427</v>
      </c>
      <c r="D5558" t="s">
        <v>808</v>
      </c>
      <c r="F5558">
        <v>1.8647423531885201E-8</v>
      </c>
      <c r="G5558">
        <v>2898835</v>
      </c>
      <c r="H5558">
        <v>10852051</v>
      </c>
      <c r="I5558">
        <v>36813911</v>
      </c>
      <c r="J5558">
        <v>4</v>
      </c>
    </row>
    <row r="5559" spans="1:10" x14ac:dyDescent="0.25">
      <c r="A5559" t="s">
        <v>51</v>
      </c>
      <c r="B5559" s="1" t="str">
        <f>HYPERLINK("http://bnpparibas.ca","bnpparibas.ca")</f>
        <v>bnpparibas.ca</v>
      </c>
      <c r="C5559" t="s">
        <v>428</v>
      </c>
      <c r="D5559" t="s">
        <v>809</v>
      </c>
      <c r="F5559">
        <v>4.5538762859155397E-8</v>
      </c>
      <c r="G5559">
        <v>1033425</v>
      </c>
      <c r="H5559">
        <v>14430037</v>
      </c>
      <c r="I5559">
        <v>1074974</v>
      </c>
      <c r="J5559">
        <v>3</v>
      </c>
    </row>
    <row r="5560" spans="1:10" x14ac:dyDescent="0.25">
      <c r="A5560" t="s">
        <v>51</v>
      </c>
      <c r="B5560" s="1" t="str">
        <f>HYPERLINK("http://claas.ca","claas.ca")</f>
        <v>claas.ca</v>
      </c>
      <c r="C5560" t="s">
        <v>428</v>
      </c>
      <c r="D5560" t="s">
        <v>809</v>
      </c>
      <c r="F5560">
        <v>1.84877385066796E-8</v>
      </c>
      <c r="G5560">
        <v>2927884</v>
      </c>
      <c r="H5560">
        <v>12238294</v>
      </c>
      <c r="I5560">
        <v>22302071</v>
      </c>
      <c r="J5560">
        <v>4</v>
      </c>
    </row>
    <row r="5561" spans="1:10" x14ac:dyDescent="0.25">
      <c r="A5561" t="s">
        <v>51</v>
      </c>
      <c r="B5561" s="1" t="str">
        <f>HYPERLINK("http://bancontact.cash","bancontact.cash")</f>
        <v>bancontact.cash</v>
      </c>
      <c r="C5561" t="s">
        <v>1670</v>
      </c>
      <c r="F5561">
        <v>5.9977642224498897E-9</v>
      </c>
      <c r="G5561">
        <v>16697682</v>
      </c>
      <c r="H5561">
        <v>11151906</v>
      </c>
      <c r="I5561">
        <v>31719468</v>
      </c>
      <c r="J5561">
        <v>5</v>
      </c>
    </row>
    <row r="5562" spans="1:10" x14ac:dyDescent="0.25">
      <c r="A5562" t="s">
        <v>51</v>
      </c>
      <c r="B5562" s="1" t="str">
        <f>HYPERLINK("http://arval.ch","arval.ch")</f>
        <v>arval.ch</v>
      </c>
      <c r="C5562" t="s">
        <v>429</v>
      </c>
      <c r="D5562" t="s">
        <v>810</v>
      </c>
      <c r="F5562">
        <v>2.2920861681062498E-8</v>
      </c>
      <c r="G5562">
        <v>2280516</v>
      </c>
      <c r="H5562">
        <v>12358325</v>
      </c>
      <c r="I5562">
        <v>19616887</v>
      </c>
      <c r="J5562">
        <v>3</v>
      </c>
    </row>
    <row r="5563" spans="1:10" x14ac:dyDescent="0.25">
      <c r="A5563" t="s">
        <v>51</v>
      </c>
      <c r="B5563" s="1" t="str">
        <f>HYPERLINK("http://bnpparibas.ch","bnpparibas.ch")</f>
        <v>bnpparibas.ch</v>
      </c>
      <c r="C5563" t="s">
        <v>429</v>
      </c>
      <c r="D5563" t="s">
        <v>810</v>
      </c>
      <c r="F5563">
        <v>8.3630451820904796E-8</v>
      </c>
      <c r="G5563">
        <v>495847</v>
      </c>
      <c r="H5563">
        <v>13939834</v>
      </c>
      <c r="I5563">
        <v>4383092</v>
      </c>
      <c r="J5563">
        <v>2</v>
      </c>
    </row>
    <row r="5564" spans="1:10" x14ac:dyDescent="0.25">
      <c r="A5564" t="s">
        <v>51</v>
      </c>
      <c r="B5564" s="1" t="str">
        <f>HYPERLINK("http://bnpparibas-3stepit.ch","bnpparibas-3stepit.ch")</f>
        <v>bnpparibas-3stepit.ch</v>
      </c>
      <c r="C5564" t="s">
        <v>429</v>
      </c>
      <c r="D5564" t="s">
        <v>810</v>
      </c>
      <c r="F5564">
        <v>4.6480982976923203E-9</v>
      </c>
      <c r="G5564">
        <v>44261238</v>
      </c>
      <c r="H5564">
        <v>8528559</v>
      </c>
      <c r="I5564">
        <v>71746253</v>
      </c>
      <c r="J5564">
        <v>5</v>
      </c>
    </row>
    <row r="5565" spans="1:10" x14ac:dyDescent="0.25">
      <c r="A5565" t="s">
        <v>51</v>
      </c>
      <c r="B5565" s="1" t="str">
        <f>HYPERLINK("http://bnpparibas-am.ch","bnpparibas-am.ch")</f>
        <v>bnpparibas-am.ch</v>
      </c>
      <c r="C5565" t="s">
        <v>429</v>
      </c>
      <c r="D5565" t="s">
        <v>810</v>
      </c>
      <c r="F5565">
        <v>1.08920577205188E-8</v>
      </c>
      <c r="G5565">
        <v>5948451</v>
      </c>
      <c r="H5565">
        <v>12276152</v>
      </c>
      <c r="I5565">
        <v>21387783</v>
      </c>
      <c r="J5565">
        <v>3</v>
      </c>
    </row>
    <row r="5566" spans="1:10" x14ac:dyDescent="0.25">
      <c r="A5566" t="s">
        <v>51</v>
      </c>
      <c r="B5566" s="1" t="str">
        <f>HYPERLINK("http://claas.ch","claas.ch")</f>
        <v>claas.ch</v>
      </c>
      <c r="C5566" t="s">
        <v>429</v>
      </c>
      <c r="D5566" t="s">
        <v>810</v>
      </c>
      <c r="F5566">
        <v>4.2061059633119499E-8</v>
      </c>
      <c r="G5566">
        <v>1163082</v>
      </c>
      <c r="H5566">
        <v>10890499</v>
      </c>
      <c r="I5566">
        <v>36076713</v>
      </c>
      <c r="J5566">
        <v>4</v>
      </c>
    </row>
    <row r="5567" spans="1:10" x14ac:dyDescent="0.25">
      <c r="A5567" t="s">
        <v>51</v>
      </c>
      <c r="B5567" s="1" t="str">
        <f>HYPERLINK("http://gmacfs.ch","gmacfs.ch")</f>
        <v>gmacfs.ch</v>
      </c>
      <c r="C5567" t="s">
        <v>429</v>
      </c>
      <c r="D5567" t="s">
        <v>810</v>
      </c>
      <c r="J5567">
        <v>3</v>
      </c>
    </row>
    <row r="5568" spans="1:10" x14ac:dyDescent="0.25">
      <c r="A5568" t="s">
        <v>51</v>
      </c>
      <c r="B5568" s="1" t="str">
        <f>HYPERLINK("http://arval.cl","arval.cl")</f>
        <v>arval.cl</v>
      </c>
      <c r="C5568" t="s">
        <v>430</v>
      </c>
      <c r="D5568" t="s">
        <v>811</v>
      </c>
      <c r="F5568">
        <v>1.01332696508514E-8</v>
      </c>
      <c r="G5568">
        <v>6613457</v>
      </c>
      <c r="H5568">
        <v>12272253</v>
      </c>
      <c r="I5568">
        <v>21474113</v>
      </c>
      <c r="J5568">
        <v>3</v>
      </c>
    </row>
    <row r="5569" spans="1:10" x14ac:dyDescent="0.25">
      <c r="A5569" t="s">
        <v>51</v>
      </c>
      <c r="B5569" s="1" t="str">
        <f>HYPERLINK("http://bnpparibascardif.cl","bnpparibascardif.cl")</f>
        <v>bnpparibascardif.cl</v>
      </c>
      <c r="C5569" t="s">
        <v>430</v>
      </c>
      <c r="D5569" t="s">
        <v>811</v>
      </c>
      <c r="F5569">
        <v>1.25058133823119E-8</v>
      </c>
      <c r="G5569">
        <v>4882431</v>
      </c>
      <c r="H5569">
        <v>12269859</v>
      </c>
      <c r="I5569">
        <v>21526613</v>
      </c>
      <c r="J5569">
        <v>4</v>
      </c>
    </row>
    <row r="5570" spans="1:10" x14ac:dyDescent="0.25">
      <c r="A5570" t="s">
        <v>51</v>
      </c>
      <c r="B5570" s="1" t="str">
        <f>HYPERLINK("http://claas.cl","claas.cl")</f>
        <v>claas.cl</v>
      </c>
      <c r="C5570" t="s">
        <v>430</v>
      </c>
      <c r="D5570" t="s">
        <v>811</v>
      </c>
      <c r="F5570">
        <v>1.8278469366531701E-8</v>
      </c>
      <c r="G5570">
        <v>2971595</v>
      </c>
      <c r="H5570">
        <v>10886439</v>
      </c>
      <c r="I5570">
        <v>36198414</v>
      </c>
      <c r="J5570">
        <v>4</v>
      </c>
    </row>
    <row r="5571" spans="1:10" x14ac:dyDescent="0.25">
      <c r="A5571" t="s">
        <v>51</v>
      </c>
      <c r="B5571" s="1" t="str">
        <f>HYPERLINK("http://claas.cn","claas.cn")</f>
        <v>claas.cn</v>
      </c>
      <c r="C5571" t="s">
        <v>431</v>
      </c>
      <c r="D5571" t="s">
        <v>812</v>
      </c>
      <c r="F5571">
        <v>2.0882115796522399E-8</v>
      </c>
      <c r="G5571">
        <v>2531789</v>
      </c>
      <c r="H5571">
        <v>10859864</v>
      </c>
      <c r="I5571">
        <v>36671627</v>
      </c>
      <c r="J5571">
        <v>5</v>
      </c>
    </row>
    <row r="5572" spans="1:10" x14ac:dyDescent="0.25">
      <c r="A5572" t="s">
        <v>51</v>
      </c>
      <c r="B5572" s="1" t="str">
        <f>HYPERLINK("http://bnpparibas.com.cn","bnpparibas.com.cn")</f>
        <v>bnpparibas.com.cn</v>
      </c>
      <c r="C5572" t="s">
        <v>431</v>
      </c>
      <c r="D5572" t="s">
        <v>812</v>
      </c>
      <c r="F5572">
        <v>3.3473686549649399E-8</v>
      </c>
      <c r="G5572">
        <v>1544369</v>
      </c>
      <c r="H5572">
        <v>14241530</v>
      </c>
      <c r="I5572">
        <v>1491088</v>
      </c>
      <c r="J5572">
        <v>3</v>
      </c>
    </row>
    <row r="5573" spans="1:10" x14ac:dyDescent="0.25">
      <c r="A5573" t="s">
        <v>51</v>
      </c>
      <c r="B5573" s="1" t="str">
        <f>HYPERLINK("http://hffund.com.cn","hffund.com.cn")</f>
        <v>hffund.com.cn</v>
      </c>
      <c r="C5573" t="s">
        <v>431</v>
      </c>
      <c r="D5573" t="s">
        <v>812</v>
      </c>
      <c r="F5573">
        <v>1.94098165738262E-8</v>
      </c>
      <c r="G5573">
        <v>2761396</v>
      </c>
      <c r="H5573">
        <v>11375844</v>
      </c>
      <c r="I5573">
        <v>30301467</v>
      </c>
      <c r="J5573">
        <v>3</v>
      </c>
    </row>
    <row r="5574" spans="1:10" x14ac:dyDescent="0.25">
      <c r="A5574" t="s">
        <v>51</v>
      </c>
      <c r="B5574" s="1" t="str">
        <f>HYPERLINK("http://vilomix.cn","vilomix.cn")</f>
        <v>vilomix.cn</v>
      </c>
      <c r="C5574" t="s">
        <v>431</v>
      </c>
      <c r="D5574" t="s">
        <v>812</v>
      </c>
      <c r="F5574">
        <v>5.9433231907354501E-9</v>
      </c>
      <c r="G5574">
        <v>17065011</v>
      </c>
      <c r="H5574">
        <v>9477314</v>
      </c>
      <c r="I5574">
        <v>66073661</v>
      </c>
      <c r="J5574">
        <v>11</v>
      </c>
    </row>
    <row r="5575" spans="1:10" x14ac:dyDescent="0.25">
      <c r="A5575" t="s">
        <v>51</v>
      </c>
      <c r="B5575" s="1" t="str">
        <f>HYPERLINK("http://arval.co","arval.co")</f>
        <v>arval.co</v>
      </c>
      <c r="C5575" t="s">
        <v>432</v>
      </c>
      <c r="F5575">
        <v>5.92994570889992E-9</v>
      </c>
      <c r="G5575">
        <v>17152466</v>
      </c>
      <c r="H5575">
        <v>10827644</v>
      </c>
      <c r="I5575">
        <v>37449036</v>
      </c>
      <c r="J5575">
        <v>3</v>
      </c>
    </row>
    <row r="5576" spans="1:10" x14ac:dyDescent="0.25">
      <c r="A5576" t="s">
        <v>51</v>
      </c>
      <c r="B5576" s="1" t="str">
        <f>HYPERLINK("http://bnpparibas.com.co","bnpparibas.com.co")</f>
        <v>bnpparibas.com.co</v>
      </c>
      <c r="C5576" t="s">
        <v>432</v>
      </c>
      <c r="F5576">
        <v>1.8772827699877999E-8</v>
      </c>
      <c r="G5576">
        <v>2876432</v>
      </c>
      <c r="H5576">
        <v>12338084</v>
      </c>
      <c r="I5576">
        <v>20050644</v>
      </c>
      <c r="J5576">
        <v>3</v>
      </c>
    </row>
    <row r="5577" spans="1:10" x14ac:dyDescent="0.25">
      <c r="A5577" t="s">
        <v>51</v>
      </c>
      <c r="B5577" s="1" t="str">
        <f>HYPERLINK("http://cardif.com.co","cardif.com.co")</f>
        <v>cardif.com.co</v>
      </c>
      <c r="C5577" t="s">
        <v>432</v>
      </c>
      <c r="F5577">
        <v>7.8920882448737E-9</v>
      </c>
      <c r="G5577">
        <v>10127437</v>
      </c>
      <c r="H5577">
        <v>11099589</v>
      </c>
      <c r="I5577">
        <v>32275653</v>
      </c>
      <c r="J5577">
        <v>3</v>
      </c>
    </row>
    <row r="5578" spans="1:10" x14ac:dyDescent="0.25">
      <c r="A5578" t="s">
        <v>51</v>
      </c>
      <c r="B5578" s="1" t="str">
        <f>HYPERLINK("http://claas.com.co","claas.com.co")</f>
        <v>claas.com.co</v>
      </c>
      <c r="C5578" t="s">
        <v>432</v>
      </c>
      <c r="F5578">
        <v>1.7795310016700702E-8</v>
      </c>
      <c r="G5578">
        <v>3075840</v>
      </c>
      <c r="H5578">
        <v>10905786</v>
      </c>
      <c r="I5578">
        <v>35712527</v>
      </c>
      <c r="J5578">
        <v>4</v>
      </c>
    </row>
    <row r="5579" spans="1:10" x14ac:dyDescent="0.25">
      <c r="A5579" t="s">
        <v>51</v>
      </c>
      <c r="B5579" s="1" t="str">
        <f>HYPERLINK("http://i-d.cologne","i-d.cologne")</f>
        <v>i-d.cologne</v>
      </c>
      <c r="C5579" t="s">
        <v>721</v>
      </c>
      <c r="F5579">
        <v>9.4738744746063996E-9</v>
      </c>
      <c r="G5579">
        <v>7354122</v>
      </c>
      <c r="H5579">
        <v>11165446</v>
      </c>
      <c r="I5579">
        <v>31579162</v>
      </c>
      <c r="J5579">
        <v>3</v>
      </c>
    </row>
    <row r="5580" spans="1:10" x14ac:dyDescent="0.25">
      <c r="A5580" t="s">
        <v>51</v>
      </c>
      <c r="B5580" s="1" t="str">
        <f>HYPERLINK("http://ageas.com","ageas.com")</f>
        <v>ageas.com</v>
      </c>
      <c r="C5580" t="s">
        <v>433</v>
      </c>
      <c r="E5580">
        <v>939681</v>
      </c>
      <c r="F5580">
        <v>1.12070267256742E-7</v>
      </c>
      <c r="G5580">
        <v>356465</v>
      </c>
      <c r="H5580">
        <v>14496491</v>
      </c>
      <c r="I5580">
        <v>870579</v>
      </c>
      <c r="J5580">
        <v>6</v>
      </c>
    </row>
    <row r="5581" spans="1:10" x14ac:dyDescent="0.25">
      <c r="A5581" t="s">
        <v>51</v>
      </c>
      <c r="B5581" s="1" t="str">
        <f>HYPERLINK("http://alfredberg.com","alfredberg.com")</f>
        <v>alfredberg.com</v>
      </c>
      <c r="C5581" t="s">
        <v>433</v>
      </c>
      <c r="F5581">
        <v>1.4233859514881899E-8</v>
      </c>
      <c r="G5581">
        <v>4116960</v>
      </c>
      <c r="H5581">
        <v>12652752</v>
      </c>
      <c r="I5581">
        <v>15781513</v>
      </c>
      <c r="J5581">
        <v>4</v>
      </c>
    </row>
    <row r="5582" spans="1:10" x14ac:dyDescent="0.25">
      <c r="A5582" t="s">
        <v>51</v>
      </c>
      <c r="B5582" s="1" t="str">
        <f>HYPERLINK("http://allfunds.com","allfunds.com")</f>
        <v>allfunds.com</v>
      </c>
      <c r="C5582" t="s">
        <v>433</v>
      </c>
      <c r="E5582">
        <v>181500</v>
      </c>
      <c r="F5582">
        <v>5.4720382891566703E-8</v>
      </c>
      <c r="G5582">
        <v>823137</v>
      </c>
      <c r="H5582">
        <v>14050190</v>
      </c>
      <c r="I5582">
        <v>3895137</v>
      </c>
      <c r="J5582">
        <v>6</v>
      </c>
    </row>
    <row r="5583" spans="1:10" x14ac:dyDescent="0.25">
      <c r="A5583" t="s">
        <v>51</v>
      </c>
      <c r="B5583" s="1" t="str">
        <f>HYPERLINK("http://allfundsbank.com","allfundsbank.com")</f>
        <v>allfundsbank.com</v>
      </c>
      <c r="C5583" t="s">
        <v>433</v>
      </c>
      <c r="F5583">
        <v>2.30140308831516E-8</v>
      </c>
      <c r="G5583">
        <v>2270309</v>
      </c>
      <c r="H5583">
        <v>13816328</v>
      </c>
      <c r="I5583">
        <v>6162728</v>
      </c>
      <c r="J5583">
        <v>7</v>
      </c>
    </row>
    <row r="5584" spans="1:10" x14ac:dyDescent="0.25">
      <c r="A5584" t="s">
        <v>51</v>
      </c>
      <c r="B5584" s="1" t="str">
        <f>HYPERLINK("http://arval.com","arval.com")</f>
        <v>arval.com</v>
      </c>
      <c r="C5584" t="s">
        <v>433</v>
      </c>
      <c r="E5584">
        <v>265474</v>
      </c>
      <c r="F5584">
        <v>1.01005064990296E-7</v>
      </c>
      <c r="G5584">
        <v>398093</v>
      </c>
      <c r="H5584">
        <v>14692483</v>
      </c>
      <c r="I5584">
        <v>601196</v>
      </c>
      <c r="J5584">
        <v>2</v>
      </c>
    </row>
    <row r="5585" spans="1:10" x14ac:dyDescent="0.25">
      <c r="A5585" t="s">
        <v>51</v>
      </c>
      <c r="B5585" s="1" t="str">
        <f>HYPERLINK("http://b-and-capital.com","b-and-capital.com")</f>
        <v>b-and-capital.com</v>
      </c>
      <c r="C5585" t="s">
        <v>433</v>
      </c>
      <c r="F5585">
        <v>1.0089734890656E-8</v>
      </c>
      <c r="G5585">
        <v>6659970</v>
      </c>
      <c r="H5585">
        <v>12375152</v>
      </c>
      <c r="I5585">
        <v>19315373</v>
      </c>
      <c r="J5585">
        <v>4</v>
      </c>
    </row>
    <row r="5586" spans="1:10" x14ac:dyDescent="0.25">
      <c r="A5586" t="s">
        <v>51</v>
      </c>
      <c r="B5586" s="1" t="str">
        <f>HYPERLINK("http://bancontact.com","bancontact.com")</f>
        <v>bancontact.com</v>
      </c>
      <c r="C5586" t="s">
        <v>433</v>
      </c>
      <c r="E5586">
        <v>512066</v>
      </c>
      <c r="F5586">
        <v>7.6295885098307698E-7</v>
      </c>
      <c r="G5586">
        <v>51200</v>
      </c>
      <c r="H5586">
        <v>14580393</v>
      </c>
      <c r="I5586">
        <v>710439</v>
      </c>
      <c r="J5586">
        <v>5</v>
      </c>
    </row>
    <row r="5587" spans="1:10" x14ac:dyDescent="0.25">
      <c r="A5587" t="s">
        <v>51</v>
      </c>
      <c r="B5587" s="1" t="str">
        <f>HYPERLINK("http://bancontactpayconiq.com","bancontactpayconiq.com")</f>
        <v>bancontactpayconiq.com</v>
      </c>
      <c r="C5587" t="s">
        <v>433</v>
      </c>
      <c r="F5587">
        <v>2.5080976908953101E-8</v>
      </c>
      <c r="G5587">
        <v>2059724</v>
      </c>
      <c r="H5587">
        <v>14076356</v>
      </c>
      <c r="I5587">
        <v>2889298</v>
      </c>
      <c r="J5587">
        <v>8</v>
      </c>
    </row>
    <row r="5588" spans="1:10" x14ac:dyDescent="0.25">
      <c r="A5588" t="s">
        <v>51</v>
      </c>
      <c r="B5588" s="1" t="str">
        <f>HYPERLINK("http://bancwestcorp.com","bancwestcorp.com")</f>
        <v>bancwestcorp.com</v>
      </c>
      <c r="C5588" t="s">
        <v>433</v>
      </c>
      <c r="F5588">
        <v>7.8744363000061906E-9</v>
      </c>
      <c r="G5588">
        <v>10162903</v>
      </c>
      <c r="H5588">
        <v>14071893</v>
      </c>
      <c r="I5588">
        <v>3234310</v>
      </c>
      <c r="J5588">
        <v>7</v>
      </c>
    </row>
    <row r="5589" spans="1:10" x14ac:dyDescent="0.25">
      <c r="A5589" t="s">
        <v>51</v>
      </c>
      <c r="B5589" s="1" t="str">
        <f>HYPERLINK("http://bankofthewest.com","bankofthewest.com")</f>
        <v>bankofthewest.com</v>
      </c>
      <c r="C5589" t="s">
        <v>433</v>
      </c>
      <c r="E5589">
        <v>15084</v>
      </c>
      <c r="F5589">
        <v>7.2786790983201696E-7</v>
      </c>
      <c r="G5589">
        <v>53399</v>
      </c>
      <c r="H5589">
        <v>17227538</v>
      </c>
      <c r="I5589">
        <v>37274</v>
      </c>
      <c r="J5589">
        <v>3</v>
      </c>
    </row>
    <row r="5590" spans="1:10" x14ac:dyDescent="0.25">
      <c r="A5590" t="s">
        <v>51</v>
      </c>
      <c r="B5590" s="1" t="str">
        <f>HYPERLINK("http://bannerbank.com","bannerbank.com")</f>
        <v>bannerbank.com</v>
      </c>
      <c r="C5590" t="s">
        <v>433</v>
      </c>
      <c r="E5590">
        <v>73125</v>
      </c>
      <c r="F5590">
        <v>2.15425330618847E-7</v>
      </c>
      <c r="G5590">
        <v>175136</v>
      </c>
      <c r="H5590">
        <v>16952402</v>
      </c>
      <c r="I5590">
        <v>107617</v>
      </c>
      <c r="J5590">
        <v>4</v>
      </c>
    </row>
    <row r="5591" spans="1:10" x14ac:dyDescent="0.25">
      <c r="A5591" t="s">
        <v>51</v>
      </c>
      <c r="B5591" s="1" t="str">
        <f>HYPERLINK("http://batipart.com","batipart.com")</f>
        <v>batipart.com</v>
      </c>
      <c r="C5591" t="s">
        <v>433</v>
      </c>
      <c r="F5591">
        <v>9.3306498537252999E-9</v>
      </c>
      <c r="G5591">
        <v>7533472</v>
      </c>
      <c r="H5591">
        <v>12737596</v>
      </c>
      <c r="I5591">
        <v>15155332</v>
      </c>
      <c r="J5591">
        <v>6</v>
      </c>
    </row>
    <row r="5592" spans="1:10" x14ac:dyDescent="0.25">
      <c r="A5592" t="s">
        <v>51</v>
      </c>
      <c r="B5592" s="1" t="str">
        <f>HYPERLINK("http://beautyofbody.com","beautyofbody.com")</f>
        <v>beautyofbody.com</v>
      </c>
      <c r="C5592" t="s">
        <v>433</v>
      </c>
      <c r="F5592">
        <v>4.61958715004965E-9</v>
      </c>
      <c r="G5592">
        <v>46159201</v>
      </c>
      <c r="H5592">
        <v>10344786</v>
      </c>
      <c r="I5592">
        <v>57105150</v>
      </c>
      <c r="J5592">
        <v>11</v>
      </c>
    </row>
    <row r="5593" spans="1:10" x14ac:dyDescent="0.25">
      <c r="A5593" t="s">
        <v>51</v>
      </c>
      <c r="B5593" s="1" t="str">
        <f>HYPERLINK("http://bicici.com","bicici.com")</f>
        <v>bicici.com</v>
      </c>
      <c r="C5593" t="s">
        <v>433</v>
      </c>
      <c r="F5593">
        <v>3.18494177947909E-8</v>
      </c>
      <c r="G5593">
        <v>1621764</v>
      </c>
      <c r="H5593">
        <v>14074803</v>
      </c>
      <c r="I5593">
        <v>2928843</v>
      </c>
      <c r="J5593">
        <v>3</v>
      </c>
    </row>
    <row r="5594" spans="1:10" x14ac:dyDescent="0.25">
      <c r="A5594" t="s">
        <v>51</v>
      </c>
      <c r="B5594" s="1" t="str">
        <f>HYPERLINK("http://bicig-gabon.com","bicig-gabon.com")</f>
        <v>bicig-gabon.com</v>
      </c>
      <c r="C5594" t="s">
        <v>433</v>
      </c>
      <c r="F5594">
        <v>5.8911280170921098E-9</v>
      </c>
      <c r="G5594">
        <v>17420743</v>
      </c>
      <c r="H5594">
        <v>12326313</v>
      </c>
      <c r="I5594">
        <v>20301241</v>
      </c>
      <c r="J5594">
        <v>4</v>
      </c>
    </row>
    <row r="5595" spans="1:10" x14ac:dyDescent="0.25">
      <c r="A5595" t="s">
        <v>51</v>
      </c>
      <c r="B5595" s="1" t="str">
        <f>HYPERLINK("http://bnkwest.com","bnkwest.com")</f>
        <v>bnkwest.com</v>
      </c>
      <c r="C5595" t="s">
        <v>433</v>
      </c>
      <c r="F5595">
        <v>5.88306999308088E-8</v>
      </c>
      <c r="G5595">
        <v>754175</v>
      </c>
      <c r="H5595">
        <v>16813258</v>
      </c>
      <c r="I5595">
        <v>192353</v>
      </c>
      <c r="J5595">
        <v>4</v>
      </c>
    </row>
    <row r="5596" spans="1:10" x14ac:dyDescent="0.25">
      <c r="A5596" t="s">
        <v>51</v>
      </c>
      <c r="B5596" s="1" t="str">
        <f>HYPERLINK("http://bnpparibas.com","bnpparibas.com")</f>
        <v>bnpparibas.com</v>
      </c>
      <c r="C5596" t="s">
        <v>433</v>
      </c>
      <c r="E5596">
        <v>21101</v>
      </c>
      <c r="F5596">
        <v>1.62005807893929E-6</v>
      </c>
      <c r="G5596">
        <v>24316</v>
      </c>
      <c r="H5596">
        <v>17472694</v>
      </c>
      <c r="I5596">
        <v>14931</v>
      </c>
      <c r="J5596">
        <v>2</v>
      </c>
    </row>
    <row r="5597" spans="1:10" x14ac:dyDescent="0.25">
      <c r="A5597" t="s">
        <v>51</v>
      </c>
      <c r="B5597" s="1" t="str">
        <f>HYPERLINK("http://bnpparibas-3stepit.com","bnpparibas-3stepit.com")</f>
        <v>bnpparibas-3stepit.com</v>
      </c>
      <c r="C5597" t="s">
        <v>433</v>
      </c>
      <c r="F5597">
        <v>6.2162936949913298E-9</v>
      </c>
      <c r="G5597">
        <v>15449327</v>
      </c>
      <c r="H5597">
        <v>12252267</v>
      </c>
      <c r="I5597">
        <v>21957128</v>
      </c>
      <c r="J5597">
        <v>5</v>
      </c>
    </row>
    <row r="5598" spans="1:10" x14ac:dyDescent="0.25">
      <c r="A5598" t="s">
        <v>51</v>
      </c>
      <c r="B5598" s="1" t="str">
        <f>HYPERLINK("http://bnpparibas-am.com","bnpparibas-am.com")</f>
        <v>bnpparibas-am.com</v>
      </c>
      <c r="C5598" t="s">
        <v>433</v>
      </c>
      <c r="E5598">
        <v>263624</v>
      </c>
      <c r="F5598">
        <v>3.6684304121599699E-7</v>
      </c>
      <c r="G5598">
        <v>102023</v>
      </c>
      <c r="H5598">
        <v>15426687</v>
      </c>
      <c r="I5598">
        <v>379079</v>
      </c>
      <c r="J5598">
        <v>2</v>
      </c>
    </row>
    <row r="5599" spans="1:10" x14ac:dyDescent="0.25">
      <c r="A5599" t="s">
        <v>51</v>
      </c>
      <c r="B5599" s="1" t="str">
        <f>HYPERLINK("http://bnpparibas-ip.com","bnpparibas-ip.com")</f>
        <v>bnpparibas-ip.com</v>
      </c>
      <c r="C5599" t="s">
        <v>433</v>
      </c>
      <c r="F5599">
        <v>5.36118950537193E-8</v>
      </c>
      <c r="G5599">
        <v>848255</v>
      </c>
      <c r="H5599">
        <v>13792365</v>
      </c>
      <c r="I5599">
        <v>6330321</v>
      </c>
      <c r="J5599">
        <v>4</v>
      </c>
    </row>
    <row r="5600" spans="1:10" x14ac:dyDescent="0.25">
      <c r="A5600" t="s">
        <v>51</v>
      </c>
      <c r="B5600" s="1" t="str">
        <f>HYPERLINK("http://bnpparibas-pf.com","bnpparibas-pf.com")</f>
        <v>bnpparibas-pf.com</v>
      </c>
      <c r="C5600" t="s">
        <v>433</v>
      </c>
      <c r="F5600">
        <v>7.5193382247716294E-8</v>
      </c>
      <c r="G5600">
        <v>559294</v>
      </c>
      <c r="H5600">
        <v>14247971</v>
      </c>
      <c r="I5600">
        <v>1455463</v>
      </c>
      <c r="J5600">
        <v>2</v>
      </c>
    </row>
    <row r="5601" spans="1:10" x14ac:dyDescent="0.25">
      <c r="A5601" t="s">
        <v>51</v>
      </c>
      <c r="B5601" s="1" t="str">
        <f>HYPERLINK("http://bnpparibascardif.com","bnpparibascardif.com")</f>
        <v>bnpparibascardif.com</v>
      </c>
      <c r="C5601" t="s">
        <v>433</v>
      </c>
      <c r="E5601">
        <v>941384</v>
      </c>
      <c r="F5601">
        <v>1.13767051820916E-7</v>
      </c>
      <c r="G5601">
        <v>350231</v>
      </c>
      <c r="H5601">
        <v>14160068</v>
      </c>
      <c r="I5601">
        <v>1839516</v>
      </c>
      <c r="J5601">
        <v>3</v>
      </c>
    </row>
    <row r="5602" spans="1:10" x14ac:dyDescent="0.25">
      <c r="A5602" t="s">
        <v>51</v>
      </c>
      <c r="B5602" s="1" t="str">
        <f>HYPERLINK("http://bnpparibasdeveloppement.com","bnpparibasdeveloppement.com")</f>
        <v>bnpparibasdeveloppement.com</v>
      </c>
      <c r="C5602" t="s">
        <v>433</v>
      </c>
      <c r="F5602">
        <v>3.4721334378126398E-8</v>
      </c>
      <c r="G5602">
        <v>1494850</v>
      </c>
      <c r="H5602">
        <v>13666160</v>
      </c>
      <c r="I5602">
        <v>9561471</v>
      </c>
      <c r="J5602">
        <v>4</v>
      </c>
    </row>
    <row r="5603" spans="1:10" x14ac:dyDescent="0.25">
      <c r="A5603" t="s">
        <v>51</v>
      </c>
      <c r="B5603" s="1" t="str">
        <f>HYPERLINK("http://bnpparibasfortis.com","bnpparibasfortis.com")</f>
        <v>bnpparibasfortis.com</v>
      </c>
      <c r="C5603" t="s">
        <v>433</v>
      </c>
      <c r="E5603">
        <v>436836</v>
      </c>
      <c r="F5603">
        <v>1.5453948473298799E-7</v>
      </c>
      <c r="G5603">
        <v>251341</v>
      </c>
      <c r="H5603">
        <v>14581540</v>
      </c>
      <c r="I5603">
        <v>708129</v>
      </c>
      <c r="J5603">
        <v>3</v>
      </c>
    </row>
    <row r="5604" spans="1:10" x14ac:dyDescent="0.25">
      <c r="A5604" t="s">
        <v>51</v>
      </c>
      <c r="B5604" s="1" t="str">
        <f>HYPERLINK("http://bnpparisbas.com","bnpparisbas.com")</f>
        <v>bnpparisbas.com</v>
      </c>
      <c r="C5604" t="s">
        <v>433</v>
      </c>
      <c r="F5604">
        <v>5.79604941141098E-9</v>
      </c>
      <c r="G5604">
        <v>18116322</v>
      </c>
      <c r="H5604">
        <v>14072805</v>
      </c>
      <c r="I5604">
        <v>3043321</v>
      </c>
      <c r="J5604">
        <v>2</v>
      </c>
    </row>
    <row r="5605" spans="1:10" x14ac:dyDescent="0.25">
      <c r="A5605" t="s">
        <v>51</v>
      </c>
      <c r="B5605" s="1" t="str">
        <f>HYPERLINK("http://bnppfortisyatirimlarholding.com","bnppfortisyatirimlarholding.com")</f>
        <v>bnppfortisyatirimlarholding.com</v>
      </c>
      <c r="C5605" t="s">
        <v>433</v>
      </c>
      <c r="J5605">
        <v>4</v>
      </c>
    </row>
    <row r="5606" spans="1:10" x14ac:dyDescent="0.25">
      <c r="A5606" t="s">
        <v>51</v>
      </c>
      <c r="B5606" s="1" t="str">
        <f>HYPERLINK("http://bnppyatirimlarholding.com","bnppyatirimlarholding.com")</f>
        <v>bnppyatirimlarholding.com</v>
      </c>
      <c r="C5606" t="s">
        <v>433</v>
      </c>
      <c r="J5606">
        <v>3</v>
      </c>
    </row>
    <row r="5607" spans="1:10" x14ac:dyDescent="0.25">
      <c r="A5607" t="s">
        <v>51</v>
      </c>
      <c r="B5607" s="1" t="str">
        <f>HYPERLINK("http://bnpwarrants.com","bnpwarrants.com")</f>
        <v>bnpwarrants.com</v>
      </c>
      <c r="C5607" t="s">
        <v>433</v>
      </c>
      <c r="F5607">
        <v>5.5338525482148601E-9</v>
      </c>
      <c r="G5607">
        <v>20543136</v>
      </c>
      <c r="H5607">
        <v>10570439</v>
      </c>
      <c r="I5607">
        <v>46077093</v>
      </c>
      <c r="J5607">
        <v>2</v>
      </c>
    </row>
    <row r="5608" spans="1:10" x14ac:dyDescent="0.25">
      <c r="A5608" t="s">
        <v>51</v>
      </c>
      <c r="B5608" s="1" t="str">
        <f>HYPERLINK("http://bob-cardif.com","bob-cardif.com")</f>
        <v>bob-cardif.com</v>
      </c>
      <c r="C5608" t="s">
        <v>433</v>
      </c>
      <c r="F5608">
        <v>6.3081469297251802E-8</v>
      </c>
      <c r="G5608">
        <v>690913</v>
      </c>
      <c r="H5608">
        <v>12802882</v>
      </c>
      <c r="I5608">
        <v>14625889</v>
      </c>
      <c r="J5608">
        <v>3</v>
      </c>
    </row>
    <row r="5609" spans="1:10" x14ac:dyDescent="0.25">
      <c r="A5609" t="s">
        <v>51</v>
      </c>
      <c r="B5609" s="1" t="str">
        <f>HYPERLINK("http://botw.com","botw.com")</f>
        <v>botw.com</v>
      </c>
      <c r="C5609" t="s">
        <v>433</v>
      </c>
      <c r="E5609">
        <v>274617</v>
      </c>
      <c r="F5609">
        <v>8.7469848431740094E-9</v>
      </c>
      <c r="G5609">
        <v>8398080</v>
      </c>
      <c r="H5609">
        <v>13952905</v>
      </c>
      <c r="I5609">
        <v>4153754</v>
      </c>
      <c r="J5609">
        <v>4</v>
      </c>
    </row>
    <row r="5610" spans="1:10" x14ac:dyDescent="0.25">
      <c r="A5610" t="s">
        <v>51</v>
      </c>
      <c r="B5610" s="1" t="str">
        <f>HYPERLINK("http://botwwealthconcierge.com","botwwealthconcierge.com")</f>
        <v>botwwealthconcierge.com</v>
      </c>
      <c r="C5610" t="s">
        <v>433</v>
      </c>
      <c r="J5610">
        <v>4</v>
      </c>
    </row>
    <row r="5611" spans="1:10" x14ac:dyDescent="0.25">
      <c r="A5611" t="s">
        <v>51</v>
      </c>
      <c r="B5611" s="1" t="str">
        <f>HYPERLINK("http://cardif.com","cardif.com")</f>
        <v>cardif.com</v>
      </c>
      <c r="C5611" t="s">
        <v>433</v>
      </c>
      <c r="F5611">
        <v>5.8591135181595397E-9</v>
      </c>
      <c r="G5611">
        <v>17644601</v>
      </c>
      <c r="H5611">
        <v>13766878</v>
      </c>
      <c r="I5611">
        <v>6969288</v>
      </c>
      <c r="J5611">
        <v>2</v>
      </c>
    </row>
    <row r="5612" spans="1:10" x14ac:dyDescent="0.25">
      <c r="A5612" t="s">
        <v>51</v>
      </c>
      <c r="B5612" s="1" t="str">
        <f>HYPERLINK("http://cardifluxvie.com","cardifluxvie.com")</f>
        <v>cardifluxvie.com</v>
      </c>
      <c r="C5612" t="s">
        <v>433</v>
      </c>
      <c r="F5612">
        <v>2.04039525071771E-8</v>
      </c>
      <c r="G5612">
        <v>2599140</v>
      </c>
      <c r="H5612">
        <v>13122310</v>
      </c>
      <c r="I5612">
        <v>11984296</v>
      </c>
      <c r="J5612">
        <v>6</v>
      </c>
    </row>
    <row r="5613" spans="1:10" x14ac:dyDescent="0.25">
      <c r="A5613" t="s">
        <v>51</v>
      </c>
      <c r="B5613" s="1" t="str">
        <f>HYPERLINK("http://cardifnet.com","cardifnet.com")</f>
        <v>cardifnet.com</v>
      </c>
      <c r="C5613" t="s">
        <v>433</v>
      </c>
      <c r="F5613">
        <v>6.7929018149792401E-9</v>
      </c>
      <c r="G5613">
        <v>12984627</v>
      </c>
      <c r="H5613">
        <v>12020599</v>
      </c>
      <c r="I5613">
        <v>27858418</v>
      </c>
      <c r="J5613">
        <v>2</v>
      </c>
    </row>
    <row r="5614" spans="1:10" x14ac:dyDescent="0.25">
      <c r="A5614" t="s">
        <v>51</v>
      </c>
      <c r="B5614" s="1" t="str">
        <f>HYPERLINK("http://cardifpinnacle.com","cardifpinnacle.com")</f>
        <v>cardifpinnacle.com</v>
      </c>
      <c r="C5614" t="s">
        <v>433</v>
      </c>
      <c r="F5614">
        <v>1.16723249849356E-8</v>
      </c>
      <c r="G5614">
        <v>5384138</v>
      </c>
      <c r="H5614">
        <v>13282178</v>
      </c>
      <c r="I5614">
        <v>10907319</v>
      </c>
      <c r="J5614">
        <v>4</v>
      </c>
    </row>
    <row r="5615" spans="1:10" x14ac:dyDescent="0.25">
      <c r="A5615" t="s">
        <v>51</v>
      </c>
      <c r="B5615" s="1" t="str">
        <f>HYPERLINK("http://churchillam.com","churchillam.com")</f>
        <v>churchillam.com</v>
      </c>
      <c r="C5615" t="s">
        <v>433</v>
      </c>
      <c r="F5615">
        <v>1.8035024855723701E-8</v>
      </c>
      <c r="G5615">
        <v>3023370</v>
      </c>
      <c r="H5615">
        <v>13979699</v>
      </c>
      <c r="I5615">
        <v>4053105</v>
      </c>
      <c r="J5615">
        <v>12</v>
      </c>
    </row>
    <row r="5616" spans="1:10" x14ac:dyDescent="0.25">
      <c r="A5616" t="s">
        <v>51</v>
      </c>
      <c r="B5616" s="1" t="str">
        <f>HYPERLINK("http://claas.com","claas.com")</f>
        <v>claas.com</v>
      </c>
      <c r="C5616" t="s">
        <v>433</v>
      </c>
      <c r="E5616">
        <v>160904</v>
      </c>
      <c r="F5616">
        <v>2.5599672522722299E-7</v>
      </c>
      <c r="G5616">
        <v>146126</v>
      </c>
      <c r="H5616">
        <v>14592613</v>
      </c>
      <c r="I5616">
        <v>693329</v>
      </c>
      <c r="J5616">
        <v>4</v>
      </c>
    </row>
    <row r="5617" spans="1:10" x14ac:dyDescent="0.25">
      <c r="A5617" t="s">
        <v>51</v>
      </c>
      <c r="B5617" s="1" t="str">
        <f>HYPERLINK("http://claas-gruppe.com","claas-gruppe.com")</f>
        <v>claas-gruppe.com</v>
      </c>
      <c r="C5617" t="s">
        <v>433</v>
      </c>
      <c r="F5617">
        <v>6.0263975628422404E-8</v>
      </c>
      <c r="G5617">
        <v>732050</v>
      </c>
      <c r="H5617">
        <v>14422789</v>
      </c>
      <c r="I5617">
        <v>1084350</v>
      </c>
      <c r="J5617">
        <v>8</v>
      </c>
    </row>
    <row r="5618" spans="1:10" x14ac:dyDescent="0.25">
      <c r="A5618" t="s">
        <v>51</v>
      </c>
      <c r="B5618" s="1" t="str">
        <f>HYPERLINK("http://claas-industrietechnik.com","claas-industrietechnik.com")</f>
        <v>claas-industrietechnik.com</v>
      </c>
      <c r="C5618" t="s">
        <v>433</v>
      </c>
      <c r="F5618">
        <v>9.4659835679802305E-9</v>
      </c>
      <c r="G5618">
        <v>7363712</v>
      </c>
      <c r="H5618">
        <v>12314312</v>
      </c>
      <c r="I5618">
        <v>20526916</v>
      </c>
      <c r="J5618">
        <v>7</v>
      </c>
    </row>
    <row r="5619" spans="1:10" x14ac:dyDescent="0.25">
      <c r="A5619" t="s">
        <v>51</v>
      </c>
      <c r="B5619" s="1" t="str">
        <f>HYPERLINK("http://claasfinancial.com","claasfinancial.com")</f>
        <v>claasfinancial.com</v>
      </c>
      <c r="C5619" t="s">
        <v>433</v>
      </c>
      <c r="F5619">
        <v>4.6279756117771302E-9</v>
      </c>
      <c r="G5619">
        <v>45572047</v>
      </c>
      <c r="H5619">
        <v>8435824</v>
      </c>
      <c r="I5619">
        <v>72681496</v>
      </c>
      <c r="J5619">
        <v>3</v>
      </c>
    </row>
    <row r="5620" spans="1:10" x14ac:dyDescent="0.25">
      <c r="A5620" t="s">
        <v>51</v>
      </c>
      <c r="B5620" s="1" t="str">
        <f>HYPERLINK("http://comparic.com","comparic.com")</f>
        <v>comparic.com</v>
      </c>
      <c r="C5620" t="s">
        <v>433</v>
      </c>
      <c r="F5620">
        <v>1.6466147330421799E-8</v>
      </c>
      <c r="G5620">
        <v>3422286</v>
      </c>
      <c r="H5620">
        <v>14376803</v>
      </c>
      <c r="I5620">
        <v>1214563</v>
      </c>
      <c r="J5620">
        <v>5</v>
      </c>
    </row>
    <row r="5621" spans="1:10" x14ac:dyDescent="0.25">
      <c r="A5621" t="s">
        <v>51</v>
      </c>
      <c r="B5621" s="1" t="str">
        <f>HYPERLINK("http://corporate-vehicle-observatory.com","corporate-vehicle-observatory.com")</f>
        <v>corporate-vehicle-observatory.com</v>
      </c>
      <c r="C5621" t="s">
        <v>433</v>
      </c>
      <c r="F5621">
        <v>6.3086656306821701E-9</v>
      </c>
      <c r="G5621">
        <v>14989941</v>
      </c>
      <c r="H5621">
        <v>12119981</v>
      </c>
      <c r="I5621">
        <v>25406712</v>
      </c>
      <c r="J5621">
        <v>2</v>
      </c>
    </row>
    <row r="5622" spans="1:10" x14ac:dyDescent="0.25">
      <c r="A5622" t="s">
        <v>51</v>
      </c>
      <c r="B5622" s="1" t="str">
        <f>HYPERLINK("http://cortalconsors.com","cortalconsors.com")</f>
        <v>cortalconsors.com</v>
      </c>
      <c r="C5622" t="s">
        <v>433</v>
      </c>
      <c r="F5622">
        <v>8.2120637705976896E-9</v>
      </c>
      <c r="G5622">
        <v>9550765</v>
      </c>
      <c r="H5622">
        <v>12441631</v>
      </c>
      <c r="I5622">
        <v>18126003</v>
      </c>
      <c r="J5622">
        <v>3</v>
      </c>
    </row>
    <row r="5623" spans="1:10" x14ac:dyDescent="0.25">
      <c r="A5623" t="s">
        <v>51</v>
      </c>
      <c r="B5623" s="1" t="str">
        <f>HYPERLINK("http://credit-moderne.com","credit-moderne.com")</f>
        <v>credit-moderne.com</v>
      </c>
      <c r="C5623" t="s">
        <v>433</v>
      </c>
      <c r="F5623">
        <v>1.6783737512166699E-8</v>
      </c>
      <c r="G5623">
        <v>3337276</v>
      </c>
      <c r="H5623">
        <v>13811973</v>
      </c>
      <c r="I5623">
        <v>6190780</v>
      </c>
      <c r="J5623">
        <v>4</v>
      </c>
    </row>
    <row r="5624" spans="1:10" x14ac:dyDescent="0.25">
      <c r="A5624" t="s">
        <v>51</v>
      </c>
      <c r="B5624" s="1" t="str">
        <f>HYPERLINK("http://currency-one.com","currency-one.com")</f>
        <v>currency-one.com</v>
      </c>
      <c r="C5624" t="s">
        <v>433</v>
      </c>
      <c r="F5624">
        <v>1.89162457016562E-8</v>
      </c>
      <c r="G5624">
        <v>2850568</v>
      </c>
      <c r="H5624">
        <v>12529532</v>
      </c>
      <c r="I5624">
        <v>17039722</v>
      </c>
      <c r="J5624">
        <v>8</v>
      </c>
    </row>
    <row r="5625" spans="1:10" x14ac:dyDescent="0.25">
      <c r="A5625" t="s">
        <v>51</v>
      </c>
      <c r="B5625" s="1" t="str">
        <f>HYPERLINK("http://dab.com","dab.com")</f>
        <v>dab.com</v>
      </c>
      <c r="C5625" t="s">
        <v>433</v>
      </c>
      <c r="F5625">
        <v>1.27589310779698E-8</v>
      </c>
      <c r="G5625">
        <v>4750097</v>
      </c>
      <c r="H5625">
        <v>12966625</v>
      </c>
      <c r="I5625">
        <v>13077114</v>
      </c>
      <c r="J5625">
        <v>2</v>
      </c>
    </row>
    <row r="5626" spans="1:10" x14ac:dyDescent="0.25">
      <c r="A5626" t="s">
        <v>51</v>
      </c>
      <c r="B5626" s="1" t="str">
        <f>HYPERLINK("http://dab-bank.com","dab-bank.com")</f>
        <v>dab-bank.com</v>
      </c>
      <c r="C5626" t="s">
        <v>433</v>
      </c>
      <c r="F5626">
        <v>2.9379667239615799E-8</v>
      </c>
      <c r="G5626">
        <v>1753894</v>
      </c>
      <c r="H5626">
        <v>14015759</v>
      </c>
      <c r="I5626">
        <v>3997184</v>
      </c>
      <c r="J5626">
        <v>2</v>
      </c>
    </row>
    <row r="5627" spans="1:10" x14ac:dyDescent="0.25">
      <c r="A5627" t="s">
        <v>51</v>
      </c>
      <c r="B5627" s="1" t="str">
        <f>HYPERLINK("http://danishagro.com","danishagro.com")</f>
        <v>danishagro.com</v>
      </c>
      <c r="C5627" t="s">
        <v>433</v>
      </c>
      <c r="F5627">
        <v>4.2791405624287101E-8</v>
      </c>
      <c r="G5627">
        <v>1127239</v>
      </c>
      <c r="H5627">
        <v>14073461</v>
      </c>
      <c r="I5627">
        <v>2993391</v>
      </c>
      <c r="J5627">
        <v>10</v>
      </c>
    </row>
    <row r="5628" spans="1:10" x14ac:dyDescent="0.25">
      <c r="A5628" t="s">
        <v>51</v>
      </c>
      <c r="B5628" s="1" t="str">
        <f>HYPERLINK("http://dlaagro.com","dlaagro.com")</f>
        <v>dlaagro.com</v>
      </c>
      <c r="C5628" t="s">
        <v>433</v>
      </c>
      <c r="F5628">
        <v>2.3975368448877301E-8</v>
      </c>
      <c r="G5628">
        <v>2165387</v>
      </c>
      <c r="H5628">
        <v>11109019</v>
      </c>
      <c r="I5628">
        <v>32170987</v>
      </c>
      <c r="J5628">
        <v>10</v>
      </c>
    </row>
    <row r="5629" spans="1:10" x14ac:dyDescent="0.25">
      <c r="A5629" t="s">
        <v>51</v>
      </c>
      <c r="B5629" s="1" t="str">
        <f>HYPERLINK("http://e1-holding.com","e1-holding.com")</f>
        <v>e1-holding.com</v>
      </c>
      <c r="C5629" t="s">
        <v>433</v>
      </c>
      <c r="E5629">
        <v>777699</v>
      </c>
      <c r="F5629">
        <v>2.4972891647949099E-8</v>
      </c>
      <c r="G5629">
        <v>2069615</v>
      </c>
      <c r="H5629">
        <v>13268726</v>
      </c>
      <c r="I5629">
        <v>10997595</v>
      </c>
      <c r="J5629">
        <v>4</v>
      </c>
    </row>
    <row r="5630" spans="1:10" x14ac:dyDescent="0.25">
      <c r="A5630" t="s">
        <v>51</v>
      </c>
      <c r="B5630" s="1" t="str">
        <f>HYPERLINK("http://ekspresbank.com","ekspresbank.com")</f>
        <v>ekspresbank.com</v>
      </c>
      <c r="C5630" t="s">
        <v>433</v>
      </c>
      <c r="F5630">
        <v>3.6896996242489599E-8</v>
      </c>
      <c r="G5630">
        <v>1417444</v>
      </c>
      <c r="H5630">
        <v>11334505</v>
      </c>
      <c r="I5630">
        <v>30443123</v>
      </c>
      <c r="J5630">
        <v>4</v>
      </c>
    </row>
    <row r="5631" spans="1:10" x14ac:dyDescent="0.25">
      <c r="A5631" t="s">
        <v>51</v>
      </c>
      <c r="B5631" s="1" t="str">
        <f>HYPERLINK("http://ellipsis-am.com","ellipsis-am.com")</f>
        <v>ellipsis-am.com</v>
      </c>
      <c r="C5631" t="s">
        <v>433</v>
      </c>
      <c r="F5631">
        <v>1.3224197582241301E-8</v>
      </c>
      <c r="G5631">
        <v>4527524</v>
      </c>
      <c r="H5631">
        <v>12114434</v>
      </c>
      <c r="I5631">
        <v>25619257</v>
      </c>
      <c r="J5631">
        <v>4</v>
      </c>
    </row>
    <row r="5632" spans="1:10" x14ac:dyDescent="0.25">
      <c r="A5632" t="s">
        <v>51</v>
      </c>
      <c r="B5632" s="1" t="str">
        <f>HYPERLINK("http://epideme.com","epideme.com")</f>
        <v>epideme.com</v>
      </c>
      <c r="C5632" t="s">
        <v>433</v>
      </c>
      <c r="F5632">
        <v>7.1920359550758696E-9</v>
      </c>
      <c r="G5632">
        <v>11765301</v>
      </c>
      <c r="H5632">
        <v>11051284</v>
      </c>
      <c r="I5632">
        <v>32782852</v>
      </c>
      <c r="J5632">
        <v>3</v>
      </c>
    </row>
    <row r="5633" spans="1:10" x14ac:dyDescent="0.25">
      <c r="A5633" t="s">
        <v>51</v>
      </c>
      <c r="B5633" s="1" t="str">
        <f>HYPERLINK("http://euroclear.com","euroclear.com")</f>
        <v>euroclear.com</v>
      </c>
      <c r="C5633" t="s">
        <v>433</v>
      </c>
      <c r="E5633">
        <v>27514</v>
      </c>
      <c r="F5633">
        <v>7.3206626702005697E-7</v>
      </c>
      <c r="G5633">
        <v>53149</v>
      </c>
      <c r="H5633">
        <v>15242419</v>
      </c>
      <c r="I5633">
        <v>391077</v>
      </c>
      <c r="J5633">
        <v>7</v>
      </c>
    </row>
    <row r="5634" spans="1:10" x14ac:dyDescent="0.25">
      <c r="A5634" t="s">
        <v>51</v>
      </c>
      <c r="B5634" s="1" t="str">
        <f>HYPERLINK("http://everbank.com","everbank.com")</f>
        <v>everbank.com</v>
      </c>
      <c r="C5634" t="s">
        <v>433</v>
      </c>
      <c r="E5634">
        <v>326136</v>
      </c>
      <c r="F5634">
        <v>1.0106642967331E-7</v>
      </c>
      <c r="G5634">
        <v>397846</v>
      </c>
      <c r="H5634">
        <v>14316457</v>
      </c>
      <c r="I5634">
        <v>1335121</v>
      </c>
      <c r="J5634">
        <v>12</v>
      </c>
    </row>
    <row r="5635" spans="1:10" x14ac:dyDescent="0.25">
      <c r="A5635" t="s">
        <v>51</v>
      </c>
      <c r="B5635" s="1" t="str">
        <f>HYPERLINK("http://exane.com","exane.com")</f>
        <v>exane.com</v>
      </c>
      <c r="C5635" t="s">
        <v>433</v>
      </c>
      <c r="E5635">
        <v>328612</v>
      </c>
      <c r="F5635">
        <v>1.1354313772182E-7</v>
      </c>
      <c r="G5635">
        <v>351098</v>
      </c>
      <c r="H5635">
        <v>14194043</v>
      </c>
      <c r="I5635">
        <v>1741055</v>
      </c>
      <c r="J5635">
        <v>3</v>
      </c>
    </row>
    <row r="5636" spans="1:10" x14ac:dyDescent="0.25">
      <c r="A5636" t="s">
        <v>51</v>
      </c>
      <c r="B5636" s="1" t="str">
        <f>HYPERLINK("http://exane-am.com","exane-am.com")</f>
        <v>exane-am.com</v>
      </c>
      <c r="C5636" t="s">
        <v>433</v>
      </c>
      <c r="F5636">
        <v>1.27250393804886E-8</v>
      </c>
      <c r="G5636">
        <v>4766866</v>
      </c>
      <c r="H5636">
        <v>12426234</v>
      </c>
      <c r="I5636">
        <v>18360577</v>
      </c>
      <c r="J5636">
        <v>3</v>
      </c>
    </row>
    <row r="5637" spans="1:10" x14ac:dyDescent="0.25">
      <c r="A5637" t="s">
        <v>51</v>
      </c>
      <c r="B5637" s="1" t="str">
        <f>HYPERLINK("http://fhb.com","fhb.com")</f>
        <v>fhb.com</v>
      </c>
      <c r="C5637" t="s">
        <v>433</v>
      </c>
      <c r="E5637">
        <v>115153</v>
      </c>
      <c r="F5637">
        <v>2.2124021664441399E-7</v>
      </c>
      <c r="G5637">
        <v>170372</v>
      </c>
      <c r="H5637">
        <v>17082696</v>
      </c>
      <c r="I5637">
        <v>67687</v>
      </c>
      <c r="J5637">
        <v>4</v>
      </c>
    </row>
    <row r="5638" spans="1:10" x14ac:dyDescent="0.25">
      <c r="A5638" t="s">
        <v>51</v>
      </c>
      <c r="B5638" s="1" t="str">
        <f>HYPERLINK("http://financial-svcs.com","financial-svcs.com")</f>
        <v>financial-svcs.com</v>
      </c>
      <c r="C5638" t="s">
        <v>433</v>
      </c>
      <c r="F5638">
        <v>4.4442184747013197E-9</v>
      </c>
      <c r="G5638">
        <v>77260874</v>
      </c>
      <c r="H5638">
        <v>10357826</v>
      </c>
      <c r="I5638">
        <v>55565333</v>
      </c>
      <c r="J5638">
        <v>4</v>
      </c>
    </row>
    <row r="5639" spans="1:10" x14ac:dyDescent="0.25">
      <c r="A5639" t="s">
        <v>51</v>
      </c>
      <c r="B5639" s="1" t="str">
        <f>HYPERLINK("http://fineasy.com","fineasy.com")</f>
        <v>fineasy.com</v>
      </c>
      <c r="C5639" t="s">
        <v>433</v>
      </c>
      <c r="F5639">
        <v>9.4155722959226703E-9</v>
      </c>
      <c r="G5639">
        <v>7424835</v>
      </c>
      <c r="H5639">
        <v>12275526</v>
      </c>
      <c r="I5639">
        <v>21403185</v>
      </c>
      <c r="J5639">
        <v>2</v>
      </c>
    </row>
    <row r="5640" spans="1:10" x14ac:dyDescent="0.25">
      <c r="A5640" t="s">
        <v>51</v>
      </c>
      <c r="B5640" s="1" t="str">
        <f>HYPERLINK("http://fortis.com","fortis.com")</f>
        <v>fortis.com</v>
      </c>
      <c r="C5640" t="s">
        <v>433</v>
      </c>
      <c r="E5640">
        <v>515804</v>
      </c>
      <c r="F5640">
        <v>2.96427541696204E-8</v>
      </c>
      <c r="G5640">
        <v>1736787</v>
      </c>
      <c r="H5640">
        <v>14527356</v>
      </c>
      <c r="I5640">
        <v>792063</v>
      </c>
      <c r="J5640">
        <v>4</v>
      </c>
    </row>
    <row r="5641" spans="1:10" x14ac:dyDescent="0.25">
      <c r="A5641" t="s">
        <v>51</v>
      </c>
      <c r="B5641" s="1" t="str">
        <f>HYPERLINK("http://fortiscomfin.com","fortiscomfin.com")</f>
        <v>fortiscomfin.com</v>
      </c>
      <c r="C5641" t="s">
        <v>433</v>
      </c>
      <c r="J5641">
        <v>4</v>
      </c>
    </row>
    <row r="5642" spans="1:10" x14ac:dyDescent="0.25">
      <c r="A5642" t="s">
        <v>51</v>
      </c>
      <c r="B5642" s="1" t="str">
        <f>HYPERLINK("http://france-titrisation.com","france-titrisation.com")</f>
        <v>france-titrisation.com</v>
      </c>
      <c r="C5642" t="s">
        <v>433</v>
      </c>
      <c r="F5642">
        <v>4.45132617144142E-9</v>
      </c>
      <c r="G5642">
        <v>71219306</v>
      </c>
      <c r="H5642">
        <v>10531384</v>
      </c>
      <c r="I5642">
        <v>48140916</v>
      </c>
      <c r="J5642">
        <v>2</v>
      </c>
    </row>
    <row r="5643" spans="1:10" x14ac:dyDescent="0.25">
      <c r="A5643" t="s">
        <v>51</v>
      </c>
      <c r="B5643" s="1" t="str">
        <f>HYPERLINK("http://gambit-finance.com","gambit-finance.com")</f>
        <v>gambit-finance.com</v>
      </c>
      <c r="C5643" t="s">
        <v>433</v>
      </c>
      <c r="F5643">
        <v>1.30199843017031E-8</v>
      </c>
      <c r="G5643">
        <v>4622270</v>
      </c>
      <c r="H5643">
        <v>12526421</v>
      </c>
      <c r="I5643">
        <v>17084332</v>
      </c>
      <c r="J5643">
        <v>3</v>
      </c>
    </row>
    <row r="5644" spans="1:10" x14ac:dyDescent="0.25">
      <c r="A5644" t="s">
        <v>51</v>
      </c>
      <c r="B5644" s="1" t="str">
        <f>HYPERLINK("http://gdnybank.com","gdnybank.com")</f>
        <v>gdnybank.com</v>
      </c>
      <c r="C5644" t="s">
        <v>433</v>
      </c>
      <c r="F5644">
        <v>1.42687983718155E-8</v>
      </c>
      <c r="G5644">
        <v>4104336</v>
      </c>
      <c r="H5644">
        <v>12848666</v>
      </c>
      <c r="I5644">
        <v>14298103</v>
      </c>
      <c r="J5644">
        <v>5</v>
      </c>
    </row>
    <row r="5645" spans="1:10" x14ac:dyDescent="0.25">
      <c r="A5645" t="s">
        <v>51</v>
      </c>
      <c r="B5645" s="1" t="str">
        <f>HYPERLINK("http://geniusafc.com","geniusafc.com")</f>
        <v>geniusafc.com</v>
      </c>
      <c r="C5645" t="s">
        <v>433</v>
      </c>
      <c r="F5645">
        <v>4.4514801369582698E-9</v>
      </c>
      <c r="G5645">
        <v>71137651</v>
      </c>
      <c r="H5645">
        <v>10344022</v>
      </c>
      <c r="I5645">
        <v>57395318</v>
      </c>
      <c r="J5645">
        <v>3</v>
      </c>
    </row>
    <row r="5646" spans="1:10" x14ac:dyDescent="0.25">
      <c r="A5646" t="s">
        <v>51</v>
      </c>
      <c r="B5646" s="1" t="str">
        <f>HYPERLINK("http://geojit.com","geojit.com")</f>
        <v>geojit.com</v>
      </c>
      <c r="C5646" t="s">
        <v>433</v>
      </c>
      <c r="E5646">
        <v>419240</v>
      </c>
      <c r="F5646">
        <v>6.9785158252448194E-8</v>
      </c>
      <c r="G5646">
        <v>607561</v>
      </c>
      <c r="H5646">
        <v>16923938</v>
      </c>
      <c r="I5646">
        <v>125024</v>
      </c>
      <c r="J5646">
        <v>6</v>
      </c>
    </row>
    <row r="5647" spans="1:10" x14ac:dyDescent="0.25">
      <c r="A5647" t="s">
        <v>51</v>
      </c>
      <c r="B5647" s="1" t="str">
        <f>HYPERLINK("http://geojitbnpparibas.com","geojitbnpparibas.com")</f>
        <v>geojitbnpparibas.com</v>
      </c>
      <c r="C5647" t="s">
        <v>433</v>
      </c>
      <c r="F5647">
        <v>1.21064856803987E-8</v>
      </c>
      <c r="G5647">
        <v>5106888</v>
      </c>
      <c r="H5647">
        <v>14122412</v>
      </c>
      <c r="I5647">
        <v>2212869</v>
      </c>
      <c r="J5647">
        <v>9</v>
      </c>
    </row>
    <row r="5648" spans="1:10" x14ac:dyDescent="0.25">
      <c r="A5648" t="s">
        <v>51</v>
      </c>
      <c r="B5648" s="1" t="str">
        <f>HYPERLINK("http://geojittechnologies.com","geojittechnologies.com")</f>
        <v>geojittechnologies.com</v>
      </c>
      <c r="C5648" t="s">
        <v>433</v>
      </c>
      <c r="F5648">
        <v>5.9744747378611198E-9</v>
      </c>
      <c r="G5648">
        <v>16853389</v>
      </c>
      <c r="H5648">
        <v>12736217</v>
      </c>
      <c r="I5648">
        <v>15161715</v>
      </c>
      <c r="J5648">
        <v>3</v>
      </c>
    </row>
    <row r="5649" spans="1:10" x14ac:dyDescent="0.25">
      <c r="A5649" t="s">
        <v>51</v>
      </c>
      <c r="B5649" s="1" t="str">
        <f>HYPERLINK("http://glennmont.com","glennmont.com")</f>
        <v>glennmont.com</v>
      </c>
      <c r="C5649" t="s">
        <v>433</v>
      </c>
      <c r="F5649">
        <v>2.19533104906195E-8</v>
      </c>
      <c r="G5649">
        <v>2391770</v>
      </c>
      <c r="H5649">
        <v>13097487</v>
      </c>
      <c r="I5649">
        <v>12116696</v>
      </c>
      <c r="J5649">
        <v>9</v>
      </c>
    </row>
    <row r="5650" spans="1:10" x14ac:dyDescent="0.25">
      <c r="A5650" t="s">
        <v>51</v>
      </c>
      <c r="B5650" s="1" t="str">
        <f>HYPERLINK("http://gmacfs.com","gmacfs.com")</f>
        <v>gmacfs.com</v>
      </c>
      <c r="C5650" t="s">
        <v>433</v>
      </c>
      <c r="E5650">
        <v>38439</v>
      </c>
      <c r="F5650">
        <v>2.62348720510602E-8</v>
      </c>
      <c r="G5650">
        <v>1963298</v>
      </c>
      <c r="H5650">
        <v>14216802</v>
      </c>
      <c r="I5650">
        <v>1691439</v>
      </c>
      <c r="J5650">
        <v>3</v>
      </c>
    </row>
    <row r="5651" spans="1:10" x14ac:dyDescent="0.25">
      <c r="A5651" t="s">
        <v>51</v>
      </c>
      <c r="B5651" s="1" t="str">
        <f>HYPERLINK("http://greengrowthbond.com","greengrowthbond.com")</f>
        <v>greengrowthbond.com</v>
      </c>
      <c r="C5651" t="s">
        <v>433</v>
      </c>
      <c r="F5651">
        <v>4.72772349548609E-9</v>
      </c>
      <c r="G5651">
        <v>39456325</v>
      </c>
      <c r="H5651">
        <v>12142186</v>
      </c>
      <c r="I5651">
        <v>24831892</v>
      </c>
      <c r="J5651">
        <v>2</v>
      </c>
    </row>
    <row r="5652" spans="1:10" x14ac:dyDescent="0.25">
      <c r="A5652" t="s">
        <v>51</v>
      </c>
      <c r="B5652" s="1" t="str">
        <f>HYPERLINK("http://greenval-insurance.com","greenval-insurance.com")</f>
        <v>greenval-insurance.com</v>
      </c>
      <c r="C5652" t="s">
        <v>433</v>
      </c>
      <c r="F5652">
        <v>1.1707108478047599E-8</v>
      </c>
      <c r="G5652">
        <v>5361896</v>
      </c>
      <c r="H5652">
        <v>11003301</v>
      </c>
      <c r="I5652">
        <v>33526225</v>
      </c>
      <c r="J5652">
        <v>2</v>
      </c>
    </row>
    <row r="5653" spans="1:10" x14ac:dyDescent="0.25">
      <c r="A5653" t="s">
        <v>51</v>
      </c>
      <c r="B5653" s="1" t="str">
        <f>HYPERLINK("http://greenwoodresources.com","greenwoodresources.com")</f>
        <v>greenwoodresources.com</v>
      </c>
      <c r="C5653" t="s">
        <v>433</v>
      </c>
      <c r="F5653">
        <v>5.3732931585690497E-8</v>
      </c>
      <c r="G5653">
        <v>846133</v>
      </c>
      <c r="H5653">
        <v>13855504</v>
      </c>
      <c r="I5653">
        <v>6045394</v>
      </c>
      <c r="J5653">
        <v>9</v>
      </c>
    </row>
    <row r="5654" spans="1:10" x14ac:dyDescent="0.25">
      <c r="A5654" t="s">
        <v>51</v>
      </c>
      <c r="B5654" s="1" t="str">
        <f>HYPERLINK("http://haitongib.com","haitongib.com")</f>
        <v>haitongib.com</v>
      </c>
      <c r="C5654" t="s">
        <v>433</v>
      </c>
      <c r="F5654">
        <v>2.50400591766413E-8</v>
      </c>
      <c r="G5654">
        <v>2063319</v>
      </c>
      <c r="H5654">
        <v>13774069</v>
      </c>
      <c r="I5654">
        <v>6615348</v>
      </c>
      <c r="J5654">
        <v>7</v>
      </c>
    </row>
    <row r="5655" spans="1:10" x14ac:dyDescent="0.25">
      <c r="A5655" t="s">
        <v>51</v>
      </c>
      <c r="B5655" s="1" t="str">
        <f>HYPERLINK("http://hellobank.com","hellobank.com")</f>
        <v>hellobank.com</v>
      </c>
      <c r="C5655" t="s">
        <v>433</v>
      </c>
      <c r="F5655">
        <v>1.31488456312318E-8</v>
      </c>
      <c r="G5655">
        <v>4561596</v>
      </c>
      <c r="H5655">
        <v>13777032</v>
      </c>
      <c r="I5655">
        <v>6544112</v>
      </c>
      <c r="J5655">
        <v>3</v>
      </c>
    </row>
    <row r="5656" spans="1:10" x14ac:dyDescent="0.25">
      <c r="A5656" t="s">
        <v>51</v>
      </c>
      <c r="B5656" s="1" t="str">
        <f>HYPERLINK("http://hftfund.com","hftfund.com")</f>
        <v>hftfund.com</v>
      </c>
      <c r="C5656" t="s">
        <v>433</v>
      </c>
      <c r="E5656">
        <v>548274</v>
      </c>
      <c r="F5656">
        <v>1.28169247759647E-7</v>
      </c>
      <c r="G5656">
        <v>306060</v>
      </c>
      <c r="H5656">
        <v>14122904</v>
      </c>
      <c r="I5656">
        <v>2194223</v>
      </c>
      <c r="J5656">
        <v>3</v>
      </c>
    </row>
    <row r="5657" spans="1:10" x14ac:dyDescent="0.25">
      <c r="A5657" t="s">
        <v>51</v>
      </c>
      <c r="B5657" s="1" t="str">
        <f>HYPERLINK("http://htfutures.com","htfutures.com")</f>
        <v>htfutures.com</v>
      </c>
      <c r="C5657" t="s">
        <v>433</v>
      </c>
      <c r="F5657">
        <v>8.1394929525272503E-8</v>
      </c>
      <c r="G5657">
        <v>512830</v>
      </c>
      <c r="H5657">
        <v>12755248</v>
      </c>
      <c r="I5657">
        <v>14987337</v>
      </c>
      <c r="J5657">
        <v>7</v>
      </c>
    </row>
    <row r="5658" spans="1:10" x14ac:dyDescent="0.25">
      <c r="A5658" t="s">
        <v>51</v>
      </c>
      <c r="B5658" s="1" t="str">
        <f>HYPERLINK("http://htisec.com","htisec.com")</f>
        <v>htisec.com</v>
      </c>
      <c r="C5658" t="s">
        <v>433</v>
      </c>
      <c r="E5658">
        <v>586405</v>
      </c>
      <c r="F5658">
        <v>4.8976786513341903E-8</v>
      </c>
      <c r="G5658">
        <v>945786</v>
      </c>
      <c r="H5658">
        <v>14627746</v>
      </c>
      <c r="I5658">
        <v>648335</v>
      </c>
      <c r="J5658">
        <v>7</v>
      </c>
    </row>
    <row r="5659" spans="1:10" x14ac:dyDescent="0.25">
      <c r="A5659" t="s">
        <v>51</v>
      </c>
      <c r="B5659" s="1" t="str">
        <f>HYPERLINK("http://htsec.com","htsec.com")</f>
        <v>htsec.com</v>
      </c>
      <c r="C5659" t="s">
        <v>433</v>
      </c>
      <c r="E5659">
        <v>46230</v>
      </c>
      <c r="F5659">
        <v>2.8894206013339398E-7</v>
      </c>
      <c r="G5659">
        <v>128740</v>
      </c>
      <c r="H5659">
        <v>14214048</v>
      </c>
      <c r="I5659">
        <v>1696397</v>
      </c>
      <c r="J5659">
        <v>6</v>
      </c>
    </row>
    <row r="5660" spans="1:10" x14ac:dyDescent="0.25">
      <c r="A5660" t="s">
        <v>51</v>
      </c>
      <c r="B5660" s="1" t="str">
        <f>HYPERLINK("http://icare-service.com","icare-service.com")</f>
        <v>icare-service.com</v>
      </c>
      <c r="C5660" t="s">
        <v>433</v>
      </c>
      <c r="F5660">
        <v>9.1094768405392207E-9</v>
      </c>
      <c r="G5660">
        <v>7833913</v>
      </c>
      <c r="H5660">
        <v>14072153</v>
      </c>
      <c r="I5660">
        <v>3151065</v>
      </c>
      <c r="J5660">
        <v>4</v>
      </c>
    </row>
    <row r="5661" spans="1:10" x14ac:dyDescent="0.25">
      <c r="A5661" t="s">
        <v>51</v>
      </c>
      <c r="B5661" s="1" t="str">
        <f>HYPERLINK("http://ifemezzanine.com","ifemezzanine.com")</f>
        <v>ifemezzanine.com</v>
      </c>
      <c r="C5661" t="s">
        <v>433</v>
      </c>
      <c r="F5661">
        <v>1.05865499514253E-8</v>
      </c>
      <c r="G5661">
        <v>6195391</v>
      </c>
      <c r="H5661">
        <v>12232907</v>
      </c>
      <c r="I5661">
        <v>22425840</v>
      </c>
      <c r="J5661">
        <v>7</v>
      </c>
    </row>
    <row r="5662" spans="1:10" x14ac:dyDescent="0.25">
      <c r="A5662" t="s">
        <v>51</v>
      </c>
      <c r="B5662" s="1" t="str">
        <f>HYPERLINK("http://ifsalpha.com","ifsalpha.com")</f>
        <v>ifsalpha.com</v>
      </c>
      <c r="C5662" t="s">
        <v>433</v>
      </c>
      <c r="F5662">
        <v>6.7700209687873699E-9</v>
      </c>
      <c r="G5662">
        <v>13061392</v>
      </c>
      <c r="H5662">
        <v>13933493</v>
      </c>
      <c r="I5662">
        <v>4728452</v>
      </c>
      <c r="J5662">
        <v>2</v>
      </c>
    </row>
    <row r="5663" spans="1:10" x14ac:dyDescent="0.25">
      <c r="A5663" t="s">
        <v>51</v>
      </c>
      <c r="B5663" s="1" t="str">
        <f>HYPERLINK("http://impaxam.com","impaxam.com")</f>
        <v>impaxam.com</v>
      </c>
      <c r="C5663" t="s">
        <v>433</v>
      </c>
      <c r="E5663">
        <v>681314</v>
      </c>
      <c r="F5663">
        <v>1.92178090647955E-7</v>
      </c>
      <c r="G5663">
        <v>200559</v>
      </c>
      <c r="H5663">
        <v>14335770</v>
      </c>
      <c r="I5663">
        <v>1319695</v>
      </c>
      <c r="J5663">
        <v>3</v>
      </c>
    </row>
    <row r="5664" spans="1:10" x14ac:dyDescent="0.25">
      <c r="A5664" t="s">
        <v>51</v>
      </c>
      <c r="B5664" s="1" t="str">
        <f>HYPERLINK("http://insinger.com","insinger.com")</f>
        <v>insinger.com</v>
      </c>
      <c r="C5664" t="s">
        <v>433</v>
      </c>
      <c r="F5664">
        <v>1.41570725623581E-8</v>
      </c>
      <c r="G5664">
        <v>4144796</v>
      </c>
      <c r="H5664">
        <v>13169660</v>
      </c>
      <c r="I5664">
        <v>11725414</v>
      </c>
      <c r="J5664">
        <v>3</v>
      </c>
    </row>
    <row r="5665" spans="1:10" x14ac:dyDescent="0.25">
      <c r="A5665" t="s">
        <v>51</v>
      </c>
      <c r="B5665" s="1" t="str">
        <f>HYPERLINK("http://interparking.com","interparking.com")</f>
        <v>interparking.com</v>
      </c>
      <c r="C5665" t="s">
        <v>433</v>
      </c>
      <c r="F5665">
        <v>4.7232790138747202E-8</v>
      </c>
      <c r="G5665">
        <v>987169</v>
      </c>
      <c r="H5665">
        <v>14142802</v>
      </c>
      <c r="I5665">
        <v>1917472</v>
      </c>
      <c r="J5665">
        <v>8</v>
      </c>
    </row>
    <row r="5666" spans="1:10" x14ac:dyDescent="0.25">
      <c r="A5666" t="s">
        <v>51</v>
      </c>
      <c r="B5666" s="1" t="str">
        <f>HYPERLINK("http://interparking-france.com","interparking-france.com")</f>
        <v>interparking-france.com</v>
      </c>
      <c r="C5666" t="s">
        <v>433</v>
      </c>
      <c r="F5666">
        <v>9.3153330675117294E-8</v>
      </c>
      <c r="G5666">
        <v>436503</v>
      </c>
      <c r="H5666">
        <v>14169565</v>
      </c>
      <c r="I5666">
        <v>1806994</v>
      </c>
      <c r="J5666">
        <v>10</v>
      </c>
    </row>
    <row r="5667" spans="1:10" x14ac:dyDescent="0.25">
      <c r="A5667" t="s">
        <v>51</v>
      </c>
      <c r="B5667" s="1" t="str">
        <f>HYPERLINK("http://interparking-spain.com","interparking-spain.com")</f>
        <v>interparking-spain.com</v>
      </c>
      <c r="C5667" t="s">
        <v>433</v>
      </c>
      <c r="F5667">
        <v>1.38639777479923E-8</v>
      </c>
      <c r="G5667">
        <v>4255151</v>
      </c>
      <c r="H5667">
        <v>13765812</v>
      </c>
      <c r="I5667">
        <v>7062183</v>
      </c>
      <c r="J5667">
        <v>7</v>
      </c>
    </row>
    <row r="5668" spans="1:10" x14ac:dyDescent="0.25">
      <c r="A5668" t="s">
        <v>51</v>
      </c>
      <c r="B5668" s="1" t="str">
        <f>HYPERLINK("http://jivago-holding.com","jivago-holding.com")</f>
        <v>jivago-holding.com</v>
      </c>
      <c r="C5668" t="s">
        <v>433</v>
      </c>
      <c r="J5668">
        <v>3</v>
      </c>
    </row>
    <row r="5669" spans="1:10" x14ac:dyDescent="0.25">
      <c r="A5669" t="s">
        <v>51</v>
      </c>
      <c r="B5669" s="1" t="str">
        <f>HYPERLINK("http://kantox.com","kantox.com")</f>
        <v>kantox.com</v>
      </c>
      <c r="C5669" t="s">
        <v>433</v>
      </c>
      <c r="E5669">
        <v>557013</v>
      </c>
      <c r="F5669">
        <v>1.1425011117835E-7</v>
      </c>
      <c r="G5669">
        <v>348618</v>
      </c>
      <c r="H5669">
        <v>14627469</v>
      </c>
      <c r="I5669">
        <v>648634</v>
      </c>
      <c r="J5669">
        <v>5</v>
      </c>
    </row>
    <row r="5670" spans="1:10" x14ac:dyDescent="0.25">
      <c r="A5670" t="s">
        <v>51</v>
      </c>
      <c r="B5670" s="1" t="str">
        <f>HYPERLINK("http://keplercheuvreux.com","keplercheuvreux.com")</f>
        <v>keplercheuvreux.com</v>
      </c>
      <c r="C5670" t="s">
        <v>433</v>
      </c>
      <c r="E5670">
        <v>692320</v>
      </c>
      <c r="F5670">
        <v>1.6251803344352899E-7</v>
      </c>
      <c r="G5670">
        <v>238839</v>
      </c>
      <c r="H5670">
        <v>14465262</v>
      </c>
      <c r="I5670">
        <v>1044727</v>
      </c>
      <c r="J5670">
        <v>6</v>
      </c>
    </row>
    <row r="5671" spans="1:10" x14ac:dyDescent="0.25">
      <c r="A5671" t="s">
        <v>51</v>
      </c>
      <c r="B5671" s="1" t="str">
        <f>HYPERLINK("http://lhc3bond.com","lhc3bond.com")</f>
        <v>lhc3bond.com</v>
      </c>
      <c r="C5671" t="s">
        <v>433</v>
      </c>
      <c r="J5671">
        <v>6</v>
      </c>
    </row>
    <row r="5672" spans="1:10" x14ac:dyDescent="0.25">
      <c r="A5672" t="s">
        <v>51</v>
      </c>
      <c r="B5672" s="1" t="str">
        <f>HYPERLINK("http://manitou.com","manitou.com")</f>
        <v>manitou.com</v>
      </c>
      <c r="C5672" t="s">
        <v>433</v>
      </c>
      <c r="E5672">
        <v>211113</v>
      </c>
      <c r="F5672">
        <v>2.1740031175113899E-7</v>
      </c>
      <c r="G5672">
        <v>173430</v>
      </c>
      <c r="H5672">
        <v>14607733</v>
      </c>
      <c r="I5672">
        <v>680398</v>
      </c>
      <c r="J5672">
        <v>9</v>
      </c>
    </row>
    <row r="5673" spans="1:10" x14ac:dyDescent="0.25">
      <c r="A5673" t="s">
        <v>51</v>
      </c>
      <c r="B5673" s="1" t="str">
        <f>HYPERLINK("http://manitou-group.com","manitou-group.com")</f>
        <v>manitou-group.com</v>
      </c>
      <c r="C5673" t="s">
        <v>433</v>
      </c>
      <c r="E5673">
        <v>248458</v>
      </c>
      <c r="F5673">
        <v>7.3599977685203895E-8</v>
      </c>
      <c r="G5673">
        <v>572471</v>
      </c>
      <c r="H5673">
        <v>14439531</v>
      </c>
      <c r="I5673">
        <v>1065058</v>
      </c>
      <c r="J5673">
        <v>6</v>
      </c>
    </row>
    <row r="5674" spans="1:10" x14ac:dyDescent="0.25">
      <c r="A5674" t="s">
        <v>51</v>
      </c>
      <c r="B5674" s="1" t="str">
        <f>HYPERLINK("http://melekyatirimplatformu.com","melekyatirimplatformu.com")</f>
        <v>melekyatirimplatformu.com</v>
      </c>
      <c r="C5674" t="s">
        <v>433</v>
      </c>
      <c r="F5674">
        <v>5.9496480480063498E-9</v>
      </c>
      <c r="G5674">
        <v>17024867</v>
      </c>
      <c r="H5674">
        <v>12431229</v>
      </c>
      <c r="I5674">
        <v>18285158</v>
      </c>
      <c r="J5674">
        <v>8</v>
      </c>
    </row>
    <row r="5675" spans="1:10" x14ac:dyDescent="0.25">
      <c r="A5675" t="s">
        <v>51</v>
      </c>
      <c r="B5675" s="1" t="str">
        <f>HYPERLINK("http://millenniumbcpfortis.com","millenniumbcpfortis.com")</f>
        <v>millenniumbcpfortis.com</v>
      </c>
      <c r="C5675" t="s">
        <v>433</v>
      </c>
      <c r="J5675">
        <v>8</v>
      </c>
    </row>
    <row r="5676" spans="1:10" x14ac:dyDescent="0.25">
      <c r="A5676" t="s">
        <v>51</v>
      </c>
      <c r="B5676" s="1" t="str">
        <f>HYPERLINK("http://mycomforimpact.com","mycomforimpact.com")</f>
        <v>mycomforimpact.com</v>
      </c>
      <c r="C5676" t="s">
        <v>433</v>
      </c>
      <c r="F5676">
        <v>6.7617500111808698E-9</v>
      </c>
      <c r="G5676">
        <v>13089437</v>
      </c>
      <c r="H5676">
        <v>10517453</v>
      </c>
      <c r="I5676">
        <v>49154991</v>
      </c>
      <c r="J5676">
        <v>2</v>
      </c>
    </row>
    <row r="5677" spans="1:10" x14ac:dyDescent="0.25">
      <c r="A5677" t="s">
        <v>51</v>
      </c>
      <c r="B5677" s="1" t="str">
        <f>HYPERLINK("http://nordicseed.com","nordicseed.com")</f>
        <v>nordicseed.com</v>
      </c>
      <c r="C5677" t="s">
        <v>433</v>
      </c>
      <c r="F5677">
        <v>1.1276892691854199E-8</v>
      </c>
      <c r="G5677">
        <v>5658593</v>
      </c>
      <c r="H5677">
        <v>12869777</v>
      </c>
      <c r="I5677">
        <v>14077056</v>
      </c>
      <c r="J5677">
        <v>11</v>
      </c>
    </row>
    <row r="5678" spans="1:10" x14ac:dyDescent="0.25">
      <c r="A5678" t="s">
        <v>51</v>
      </c>
      <c r="B5678" s="1" t="str">
        <f>HYPERLINK("http://nuveen.com","nuveen.com")</f>
        <v>nuveen.com</v>
      </c>
      <c r="C5678" t="s">
        <v>433</v>
      </c>
      <c r="E5678">
        <v>106502</v>
      </c>
      <c r="F5678">
        <v>6.7001076680601604E-7</v>
      </c>
      <c r="G5678">
        <v>57504</v>
      </c>
      <c r="H5678">
        <v>14849976</v>
      </c>
      <c r="I5678">
        <v>491066</v>
      </c>
      <c r="J5678">
        <v>6</v>
      </c>
    </row>
    <row r="5679" spans="1:10" x14ac:dyDescent="0.25">
      <c r="A5679" t="s">
        <v>51</v>
      </c>
      <c r="B5679" s="1" t="str">
        <f>HYPERLINK("http://nuveenglobal.com","nuveenglobal.com")</f>
        <v>nuveenglobal.com</v>
      </c>
      <c r="C5679" t="s">
        <v>433</v>
      </c>
      <c r="F5679">
        <v>4.4516149091921897E-9</v>
      </c>
      <c r="G5679">
        <v>71070936</v>
      </c>
      <c r="H5679">
        <v>10697682</v>
      </c>
      <c r="I5679">
        <v>42357461</v>
      </c>
      <c r="J5679">
        <v>12</v>
      </c>
    </row>
    <row r="5680" spans="1:10" x14ac:dyDescent="0.25">
      <c r="A5680" t="s">
        <v>51</v>
      </c>
      <c r="B5680" s="1" t="str">
        <f>HYPERLINK("http://nwq.com","nwq.com")</f>
        <v>nwq.com</v>
      </c>
      <c r="C5680" t="s">
        <v>433</v>
      </c>
      <c r="F5680">
        <v>5.0728080351811199E-9</v>
      </c>
      <c r="G5680">
        <v>27732343</v>
      </c>
      <c r="H5680">
        <v>12538401</v>
      </c>
      <c r="I5680">
        <v>16958485</v>
      </c>
      <c r="J5680">
        <v>12</v>
      </c>
    </row>
    <row r="5681" spans="1:10" x14ac:dyDescent="0.25">
      <c r="A5681" t="s">
        <v>51</v>
      </c>
      <c r="B5681" s="1" t="str">
        <f>HYPERLINK("http://ov-fin.com","ov-fin.com")</f>
        <v>ov-fin.com</v>
      </c>
      <c r="C5681" t="s">
        <v>433</v>
      </c>
      <c r="E5681">
        <v>465905</v>
      </c>
      <c r="F5681">
        <v>4.4447685446998097E-9</v>
      </c>
      <c r="G5681">
        <v>76128696</v>
      </c>
      <c r="H5681">
        <v>10351995</v>
      </c>
      <c r="I5681">
        <v>56091647</v>
      </c>
      <c r="J5681">
        <v>2</v>
      </c>
    </row>
    <row r="5682" spans="1:10" x14ac:dyDescent="0.25">
      <c r="A5682" t="s">
        <v>51</v>
      </c>
      <c r="B5682" s="1" t="str">
        <f>HYPERLINK("http://paxworld.com","paxworld.com")</f>
        <v>paxworld.com</v>
      </c>
      <c r="C5682" t="s">
        <v>433</v>
      </c>
      <c r="F5682">
        <v>6.2235402352435894E-8</v>
      </c>
      <c r="G5682">
        <v>706191</v>
      </c>
      <c r="H5682">
        <v>14588513</v>
      </c>
      <c r="I5682">
        <v>697876</v>
      </c>
      <c r="J5682">
        <v>6</v>
      </c>
    </row>
    <row r="5683" spans="1:10" x14ac:dyDescent="0.25">
      <c r="A5683" t="s">
        <v>51</v>
      </c>
      <c r="B5683" s="1" t="str">
        <f>HYPERLINK("http://pinnaclepetgroup.com","pinnaclepetgroup.com")</f>
        <v>pinnaclepetgroup.com</v>
      </c>
      <c r="C5683" t="s">
        <v>433</v>
      </c>
      <c r="J5683">
        <v>3</v>
      </c>
    </row>
    <row r="5684" spans="1:10" x14ac:dyDescent="0.25">
      <c r="A5684" t="s">
        <v>51</v>
      </c>
      <c r="B5684" s="1" t="str">
        <f>HYPERLINK("http://portail-investisseur.com","portail-investisseur.com")</f>
        <v>portail-investisseur.com</v>
      </c>
      <c r="C5684" t="s">
        <v>433</v>
      </c>
      <c r="J5684">
        <v>2</v>
      </c>
    </row>
    <row r="5685" spans="1:10" x14ac:dyDescent="0.25">
      <c r="A5685" t="s">
        <v>51</v>
      </c>
      <c r="B5685" s="1" t="str">
        <f>HYPERLINK("http://productoscotizados.com","productoscotizados.com")</f>
        <v>productoscotizados.com</v>
      </c>
      <c r="C5685" t="s">
        <v>433</v>
      </c>
      <c r="F5685">
        <v>8.3510177300804102E-9</v>
      </c>
      <c r="G5685">
        <v>9144256</v>
      </c>
      <c r="H5685">
        <v>14119953</v>
      </c>
      <c r="I5685">
        <v>2411720</v>
      </c>
      <c r="J5685">
        <v>2</v>
      </c>
    </row>
    <row r="5686" spans="1:10" x14ac:dyDescent="0.25">
      <c r="A5686" t="s">
        <v>51</v>
      </c>
      <c r="B5686" s="1" t="str">
        <f>HYPERLINK("http://risk-academy.com","risk-academy.com")</f>
        <v>risk-academy.com</v>
      </c>
      <c r="C5686" t="s">
        <v>433</v>
      </c>
      <c r="J5686">
        <v>2</v>
      </c>
    </row>
    <row r="5687" spans="1:10" x14ac:dyDescent="0.25">
      <c r="A5687" t="s">
        <v>51</v>
      </c>
      <c r="B5687" s="1" t="str">
        <f>HYPERLINK("http://rkantor.com","rkantor.com")</f>
        <v>rkantor.com</v>
      </c>
      <c r="C5687" t="s">
        <v>433</v>
      </c>
      <c r="F5687">
        <v>1.2508988701888501E-8</v>
      </c>
      <c r="G5687">
        <v>4880695</v>
      </c>
      <c r="H5687">
        <v>14236713</v>
      </c>
      <c r="I5687">
        <v>1573319</v>
      </c>
      <c r="J5687">
        <v>4</v>
      </c>
    </row>
    <row r="5688" spans="1:10" x14ac:dyDescent="0.25">
      <c r="A5688" t="s">
        <v>51</v>
      </c>
      <c r="B5688" s="1" t="str">
        <f>HYPERLINK("http://s2e-net.com","s2e-net.com")</f>
        <v>s2e-net.com</v>
      </c>
      <c r="C5688" t="s">
        <v>433</v>
      </c>
      <c r="J5688">
        <v>6</v>
      </c>
    </row>
    <row r="5689" spans="1:10" x14ac:dyDescent="0.25">
      <c r="A5689" t="s">
        <v>51</v>
      </c>
      <c r="B5689" s="1" t="str">
        <f>HYPERLINK("http://s2e-services-epargne-entreprise.com","s2e-services-epargne-entreprise.com")</f>
        <v>s2e-services-epargne-entreprise.com</v>
      </c>
      <c r="C5689" t="s">
        <v>433</v>
      </c>
      <c r="F5689">
        <v>5.9290816206100099E-9</v>
      </c>
      <c r="G5689">
        <v>17158058</v>
      </c>
      <c r="H5689">
        <v>11107518</v>
      </c>
      <c r="I5689">
        <v>32187667</v>
      </c>
      <c r="J5689">
        <v>5</v>
      </c>
    </row>
    <row r="5690" spans="1:10" x14ac:dyDescent="0.25">
      <c r="A5690" t="s">
        <v>51</v>
      </c>
      <c r="B5690" s="1" t="str">
        <f>HYPERLINK("http://sbasset.com","sbasset.com")</f>
        <v>sbasset.com</v>
      </c>
      <c r="C5690" t="s">
        <v>433</v>
      </c>
      <c r="F5690">
        <v>5.8439026747230699E-9</v>
      </c>
      <c r="G5690">
        <v>17753061</v>
      </c>
      <c r="H5690">
        <v>13044231</v>
      </c>
      <c r="I5690">
        <v>12610056</v>
      </c>
      <c r="J5690">
        <v>12</v>
      </c>
    </row>
    <row r="5691" spans="1:10" x14ac:dyDescent="0.25">
      <c r="A5691" t="s">
        <v>51</v>
      </c>
      <c r="B5691" s="1" t="str">
        <f>HYPERLINK("http://sharekhan.com","sharekhan.com")</f>
        <v>sharekhan.com</v>
      </c>
      <c r="C5691" t="s">
        <v>433</v>
      </c>
      <c r="E5691">
        <v>40241</v>
      </c>
      <c r="F5691">
        <v>1.65828508849144E-7</v>
      </c>
      <c r="G5691">
        <v>234046</v>
      </c>
      <c r="H5691">
        <v>17090260</v>
      </c>
      <c r="I5691">
        <v>65882</v>
      </c>
      <c r="J5691">
        <v>3</v>
      </c>
    </row>
    <row r="5692" spans="1:10" x14ac:dyDescent="0.25">
      <c r="A5692" t="s">
        <v>51</v>
      </c>
      <c r="B5692" s="1" t="str">
        <f>HYPERLINK("http://sharekhancommodity.com","sharekhancommodity.com")</f>
        <v>sharekhancommodity.com</v>
      </c>
      <c r="C5692" t="s">
        <v>433</v>
      </c>
      <c r="F5692">
        <v>5.1211042068538003E-9</v>
      </c>
      <c r="G5692">
        <v>26635397</v>
      </c>
      <c r="H5692">
        <v>12224538</v>
      </c>
      <c r="I5692">
        <v>22668465</v>
      </c>
      <c r="J5692">
        <v>4</v>
      </c>
    </row>
    <row r="5693" spans="1:10" x14ac:dyDescent="0.25">
      <c r="A5693" t="s">
        <v>51</v>
      </c>
      <c r="B5693" s="1" t="str">
        <f>HYPERLINK("http://siuslawbank.com","siuslawbank.com")</f>
        <v>siuslawbank.com</v>
      </c>
      <c r="C5693" t="s">
        <v>433</v>
      </c>
      <c r="F5693">
        <v>4.4705365188752502E-9</v>
      </c>
      <c r="G5693">
        <v>64438959</v>
      </c>
      <c r="H5693">
        <v>10668211</v>
      </c>
      <c r="I5693">
        <v>43026662</v>
      </c>
      <c r="J5693">
        <v>7</v>
      </c>
    </row>
    <row r="5694" spans="1:10" x14ac:dyDescent="0.25">
      <c r="A5694" t="s">
        <v>51</v>
      </c>
      <c r="B5694" s="1" t="str">
        <f>HYPERLINK("http://slib.com","slib.com")</f>
        <v>slib.com</v>
      </c>
      <c r="C5694" t="s">
        <v>433</v>
      </c>
      <c r="F5694">
        <v>3.5157500610531603E-8</v>
      </c>
      <c r="G5694">
        <v>1478580</v>
      </c>
      <c r="H5694">
        <v>13435817</v>
      </c>
      <c r="I5694">
        <v>10269562</v>
      </c>
      <c r="J5694">
        <v>3</v>
      </c>
    </row>
    <row r="5695" spans="1:10" x14ac:dyDescent="0.25">
      <c r="A5695" t="s">
        <v>51</v>
      </c>
      <c r="B5695" s="1" t="str">
        <f>HYPERLINK("http://spiresa.com","spiresa.com")</f>
        <v>spiresa.com</v>
      </c>
      <c r="C5695" t="s">
        <v>433</v>
      </c>
      <c r="F5695">
        <v>4.44380395335525E-9</v>
      </c>
      <c r="G5695">
        <v>83496638</v>
      </c>
      <c r="H5695">
        <v>0</v>
      </c>
      <c r="I5695">
        <v>84333637</v>
      </c>
      <c r="J5695">
        <v>5</v>
      </c>
    </row>
    <row r="5696" spans="1:10" x14ac:dyDescent="0.25">
      <c r="A5696" t="s">
        <v>51</v>
      </c>
      <c r="B5696" s="1" t="str">
        <f>HYPERLINK("http://survitecgroup.com","survitecgroup.com")</f>
        <v>survitecgroup.com</v>
      </c>
      <c r="C5696" t="s">
        <v>433</v>
      </c>
      <c r="E5696">
        <v>292400</v>
      </c>
      <c r="F5696">
        <v>7.2415138759996806E-8</v>
      </c>
      <c r="G5696">
        <v>582750</v>
      </c>
      <c r="H5696">
        <v>14493544</v>
      </c>
      <c r="I5696">
        <v>887239</v>
      </c>
      <c r="J5696">
        <v>8</v>
      </c>
    </row>
    <row r="5697" spans="1:10" x14ac:dyDescent="0.25">
      <c r="A5697" t="s">
        <v>51</v>
      </c>
      <c r="B5697" s="1" t="str">
        <f>HYPERLINK("http://survivalcraft.com","survivalcraft.com")</f>
        <v>survivalcraft.com</v>
      </c>
      <c r="C5697" t="s">
        <v>433</v>
      </c>
      <c r="F5697">
        <v>5.8791070320155403E-9</v>
      </c>
      <c r="G5697">
        <v>17503671</v>
      </c>
      <c r="H5697">
        <v>13933064</v>
      </c>
      <c r="I5697">
        <v>5033335</v>
      </c>
      <c r="J5697">
        <v>8</v>
      </c>
    </row>
    <row r="5698" spans="1:10" x14ac:dyDescent="0.25">
      <c r="A5698" t="s">
        <v>51</v>
      </c>
      <c r="B5698" s="1" t="str">
        <f>HYPERLINK("http://sustainablebond.com","sustainablebond.com")</f>
        <v>sustainablebond.com</v>
      </c>
      <c r="C5698" t="s">
        <v>433</v>
      </c>
      <c r="F5698">
        <v>4.73475045842799E-9</v>
      </c>
      <c r="G5698">
        <v>39067283</v>
      </c>
      <c r="H5698">
        <v>10553721</v>
      </c>
      <c r="I5698">
        <v>46572028</v>
      </c>
      <c r="J5698">
        <v>2</v>
      </c>
    </row>
    <row r="5699" spans="1:10" x14ac:dyDescent="0.25">
      <c r="A5699" t="s">
        <v>51</v>
      </c>
      <c r="B5699" s="1" t="str">
        <f>HYPERLINK("http://sustainablegrowthbond.com","sustainablegrowthbond.com")</f>
        <v>sustainablegrowthbond.com</v>
      </c>
      <c r="C5699" t="s">
        <v>433</v>
      </c>
      <c r="F5699">
        <v>5.24396405524117E-9</v>
      </c>
      <c r="G5699">
        <v>24349823</v>
      </c>
      <c r="H5699">
        <v>10349428</v>
      </c>
      <c r="I5699">
        <v>56425426</v>
      </c>
      <c r="J5699">
        <v>2</v>
      </c>
    </row>
    <row r="5700" spans="1:10" x14ac:dyDescent="0.25">
      <c r="A5700" t="s">
        <v>51</v>
      </c>
      <c r="B5700" s="1" t="str">
        <f>HYPERLINK("http://symag.com","symag.com")</f>
        <v>symag.com</v>
      </c>
      <c r="C5700" t="s">
        <v>433</v>
      </c>
      <c r="F5700">
        <v>1.2058571193151799E-8</v>
      </c>
      <c r="G5700">
        <v>5138475</v>
      </c>
      <c r="H5700">
        <v>12895031</v>
      </c>
      <c r="I5700">
        <v>13902104</v>
      </c>
      <c r="J5700">
        <v>4</v>
      </c>
    </row>
    <row r="5701" spans="1:10" x14ac:dyDescent="0.25">
      <c r="A5701" t="s">
        <v>51</v>
      </c>
      <c r="B5701" s="1" t="str">
        <f>HYPERLINK("http://symphonyasset.com","symphonyasset.com")</f>
        <v>symphonyasset.com</v>
      </c>
      <c r="C5701" t="s">
        <v>433</v>
      </c>
      <c r="F5701">
        <v>8.0386882260904196E-9</v>
      </c>
      <c r="G5701">
        <v>9850253</v>
      </c>
      <c r="H5701">
        <v>12315924</v>
      </c>
      <c r="I5701">
        <v>20498947</v>
      </c>
      <c r="J5701">
        <v>12</v>
      </c>
    </row>
    <row r="5702" spans="1:10" x14ac:dyDescent="0.25">
      <c r="A5702" t="s">
        <v>51</v>
      </c>
      <c r="B5702" s="1" t="str">
        <f>HYPERLINK("http://teb-kos.com","teb-kos.com")</f>
        <v>teb-kos.com</v>
      </c>
      <c r="C5702" t="s">
        <v>433</v>
      </c>
      <c r="E5702">
        <v>836674</v>
      </c>
      <c r="F5702">
        <v>3.5491110976368802E-8</v>
      </c>
      <c r="G5702">
        <v>1466576</v>
      </c>
      <c r="H5702">
        <v>14393160</v>
      </c>
      <c r="I5702">
        <v>1163864</v>
      </c>
      <c r="J5702">
        <v>3</v>
      </c>
    </row>
    <row r="5703" spans="1:10" x14ac:dyDescent="0.25">
      <c r="A5703" t="s">
        <v>51</v>
      </c>
      <c r="B5703" s="1" t="str">
        <f>HYPERLINK("http://tebholding.com","tebholding.com")</f>
        <v>tebholding.com</v>
      </c>
      <c r="C5703" t="s">
        <v>433</v>
      </c>
      <c r="F5703">
        <v>4.52421822440815E-9</v>
      </c>
      <c r="G5703">
        <v>55698678</v>
      </c>
      <c r="H5703">
        <v>10440611</v>
      </c>
      <c r="I5703">
        <v>52424081</v>
      </c>
      <c r="J5703">
        <v>4</v>
      </c>
    </row>
    <row r="5704" spans="1:10" x14ac:dyDescent="0.25">
      <c r="A5704" t="s">
        <v>51</v>
      </c>
      <c r="B5704" s="1" t="str">
        <f>HYPERLINK("http://tebozel.com","tebozel.com")</f>
        <v>tebozel.com</v>
      </c>
      <c r="C5704" t="s">
        <v>433</v>
      </c>
      <c r="F5704">
        <v>6.0410329100680601E-9</v>
      </c>
      <c r="G5704">
        <v>16434978</v>
      </c>
      <c r="H5704">
        <v>12266869</v>
      </c>
      <c r="I5704">
        <v>21597910</v>
      </c>
      <c r="J5704">
        <v>6</v>
      </c>
    </row>
    <row r="5705" spans="1:10" x14ac:dyDescent="0.25">
      <c r="A5705" t="s">
        <v>51</v>
      </c>
      <c r="B5705" s="1" t="str">
        <f>HYPERLINK("http://threalestate.com","threalestate.com")</f>
        <v>threalestate.com</v>
      </c>
      <c r="C5705" t="s">
        <v>433</v>
      </c>
      <c r="F5705">
        <v>2.9725974874859402E-8</v>
      </c>
      <c r="G5705">
        <v>1731876</v>
      </c>
      <c r="H5705">
        <v>13970381</v>
      </c>
      <c r="I5705">
        <v>4075968</v>
      </c>
      <c r="J5705">
        <v>10</v>
      </c>
    </row>
    <row r="5706" spans="1:10" x14ac:dyDescent="0.25">
      <c r="A5706" t="s">
        <v>51</v>
      </c>
      <c r="B5706" s="1" t="str">
        <f>HYPERLINK("http://tiaabank.com","tiaabank.com")</f>
        <v>tiaabank.com</v>
      </c>
      <c r="C5706" t="s">
        <v>433</v>
      </c>
      <c r="E5706">
        <v>232057</v>
      </c>
      <c r="F5706">
        <v>2.5860176667064898E-7</v>
      </c>
      <c r="G5706">
        <v>144620</v>
      </c>
      <c r="H5706">
        <v>17007714</v>
      </c>
      <c r="I5706">
        <v>92123</v>
      </c>
      <c r="J5706">
        <v>10</v>
      </c>
    </row>
    <row r="5707" spans="1:10" x14ac:dyDescent="0.25">
      <c r="A5707" t="s">
        <v>51</v>
      </c>
      <c r="B5707" s="1" t="str">
        <f>HYPERLINK("http://trinitycapital.com","trinitycapital.com")</f>
        <v>trinitycapital.com</v>
      </c>
      <c r="C5707" t="s">
        <v>433</v>
      </c>
      <c r="F5707">
        <v>4.46314978483666E-9</v>
      </c>
      <c r="G5707">
        <v>66779466</v>
      </c>
      <c r="H5707">
        <v>10876343</v>
      </c>
      <c r="I5707">
        <v>36391470</v>
      </c>
      <c r="J5707">
        <v>4</v>
      </c>
    </row>
    <row r="5708" spans="1:10" x14ac:dyDescent="0.25">
      <c r="A5708" t="s">
        <v>51</v>
      </c>
      <c r="B5708" s="1" t="str">
        <f>HYPERLINK("http://ukrgasbank.com","ukrgasbank.com")</f>
        <v>ukrgasbank.com</v>
      </c>
      <c r="C5708" t="s">
        <v>433</v>
      </c>
      <c r="E5708">
        <v>139734</v>
      </c>
      <c r="F5708">
        <v>1.46409105212802E-7</v>
      </c>
      <c r="G5708">
        <v>265894</v>
      </c>
      <c r="H5708">
        <v>14612946</v>
      </c>
      <c r="I5708">
        <v>675064</v>
      </c>
      <c r="J5708">
        <v>6</v>
      </c>
    </row>
    <row r="5709" spans="1:10" x14ac:dyDescent="0.25">
      <c r="A5709" t="s">
        <v>51</v>
      </c>
      <c r="B5709" s="1" t="str">
        <f>HYPERLINK("http://ukrsibbank.com","ukrsibbank.com")</f>
        <v>ukrsibbank.com</v>
      </c>
      <c r="C5709" t="s">
        <v>433</v>
      </c>
      <c r="E5709">
        <v>150078</v>
      </c>
      <c r="F5709">
        <v>1.9935313469718301E-7</v>
      </c>
      <c r="G5709">
        <v>191501</v>
      </c>
      <c r="H5709">
        <v>16949428</v>
      </c>
      <c r="I5709">
        <v>108451</v>
      </c>
      <c r="J5709">
        <v>3</v>
      </c>
    </row>
    <row r="5710" spans="1:10" x14ac:dyDescent="0.25">
      <c r="A5710" t="s">
        <v>51</v>
      </c>
      <c r="B5710" s="1" t="str">
        <f>HYPERLINK("http://ukrsibfunds.com","ukrsibfunds.com")</f>
        <v>ukrsibfunds.com</v>
      </c>
      <c r="C5710" t="s">
        <v>433</v>
      </c>
      <c r="F5710">
        <v>4.5004874458304502E-9</v>
      </c>
      <c r="G5710">
        <v>58872793</v>
      </c>
      <c r="H5710">
        <v>10514325</v>
      </c>
      <c r="I5710">
        <v>49276417</v>
      </c>
      <c r="J5710">
        <v>3</v>
      </c>
    </row>
    <row r="5711" spans="1:10" x14ac:dyDescent="0.25">
      <c r="A5711" t="s">
        <v>51</v>
      </c>
      <c r="B5711" s="1" t="str">
        <f>HYPERLINK("http://vauxhallfinance.com","vauxhallfinance.com")</f>
        <v>vauxhallfinance.com</v>
      </c>
      <c r="C5711" t="s">
        <v>433</v>
      </c>
      <c r="F5711">
        <v>5.3906933826787197E-9</v>
      </c>
      <c r="G5711">
        <v>22238304</v>
      </c>
      <c r="H5711">
        <v>11262165</v>
      </c>
      <c r="I5711">
        <v>30816218</v>
      </c>
      <c r="J5711">
        <v>3</v>
      </c>
    </row>
    <row r="5712" spans="1:10" x14ac:dyDescent="0.25">
      <c r="A5712" t="s">
        <v>51</v>
      </c>
      <c r="B5712" s="1" t="str">
        <f>HYPERLINK("http://veruspetroleum.com","veruspetroleum.com")</f>
        <v>veruspetroleum.com</v>
      </c>
      <c r="C5712" t="s">
        <v>433</v>
      </c>
      <c r="F5712">
        <v>4.7086303839596203E-9</v>
      </c>
      <c r="G5712">
        <v>40809912</v>
      </c>
      <c r="H5712">
        <v>10405462</v>
      </c>
      <c r="I5712">
        <v>54119445</v>
      </c>
      <c r="J5712">
        <v>6</v>
      </c>
    </row>
    <row r="5713" spans="1:10" x14ac:dyDescent="0.25">
      <c r="A5713" t="s">
        <v>51</v>
      </c>
      <c r="B5713" s="1" t="str">
        <f>HYPERLINK("http://vilomix.com","vilomix.com")</f>
        <v>vilomix.com</v>
      </c>
      <c r="C5713" t="s">
        <v>433</v>
      </c>
      <c r="F5713">
        <v>1.9460090451156299E-8</v>
      </c>
      <c r="G5713">
        <v>2752122</v>
      </c>
      <c r="H5713">
        <v>12183328</v>
      </c>
      <c r="I5713">
        <v>23730481</v>
      </c>
      <c r="J5713">
        <v>11</v>
      </c>
    </row>
    <row r="5714" spans="1:10" x14ac:dyDescent="0.25">
      <c r="A5714" t="s">
        <v>51</v>
      </c>
      <c r="B5714" s="1" t="str">
        <f>HYPERLINK("http://winslowcapital.com","winslowcapital.com")</f>
        <v>winslowcapital.com</v>
      </c>
      <c r="C5714" t="s">
        <v>433</v>
      </c>
      <c r="F5714">
        <v>1.46682547745916E-8</v>
      </c>
      <c r="G5714">
        <v>3951937</v>
      </c>
      <c r="H5714">
        <v>12336065</v>
      </c>
      <c r="I5714">
        <v>20084739</v>
      </c>
      <c r="J5714">
        <v>12</v>
      </c>
    </row>
    <row r="5715" spans="1:10" x14ac:dyDescent="0.25">
      <c r="A5715" t="s">
        <v>51</v>
      </c>
      <c r="B5715" s="1" t="str">
        <f>HYPERLINK("http://zennorpetroleum.com","zennorpetroleum.com")</f>
        <v>zennorpetroleum.com</v>
      </c>
      <c r="C5715" t="s">
        <v>433</v>
      </c>
      <c r="F5715">
        <v>1.10524345734704E-8</v>
      </c>
      <c r="G5715">
        <v>5820511</v>
      </c>
      <c r="H5715">
        <v>12866263</v>
      </c>
      <c r="I5715">
        <v>14147821</v>
      </c>
      <c r="J5715">
        <v>7</v>
      </c>
    </row>
    <row r="5716" spans="1:10" x14ac:dyDescent="0.25">
      <c r="A5716" t="s">
        <v>51</v>
      </c>
      <c r="B5716" s="1" t="str">
        <f>HYPERLINK("http://arval.cz","arval.cz")</f>
        <v>arval.cz</v>
      </c>
      <c r="C5716" t="s">
        <v>435</v>
      </c>
      <c r="D5716" t="s">
        <v>814</v>
      </c>
      <c r="F5716">
        <v>2.80893620521351E-8</v>
      </c>
      <c r="G5716">
        <v>1831701</v>
      </c>
      <c r="H5716">
        <v>12441571</v>
      </c>
      <c r="I5716">
        <v>18126566</v>
      </c>
      <c r="J5716">
        <v>3</v>
      </c>
    </row>
    <row r="5717" spans="1:10" x14ac:dyDescent="0.25">
      <c r="A5717" t="s">
        <v>51</v>
      </c>
      <c r="B5717" s="1" t="str">
        <f>HYPERLINK("http://bnpparibas.cz","bnpparibas.cz")</f>
        <v>bnpparibas.cz</v>
      </c>
      <c r="C5717" t="s">
        <v>435</v>
      </c>
      <c r="D5717" t="s">
        <v>814</v>
      </c>
      <c r="F5717">
        <v>2.6987319083215899E-8</v>
      </c>
      <c r="G5717">
        <v>1905866</v>
      </c>
      <c r="H5717">
        <v>12521401</v>
      </c>
      <c r="I5717">
        <v>17134014</v>
      </c>
      <c r="J5717">
        <v>2</v>
      </c>
    </row>
    <row r="5718" spans="1:10" x14ac:dyDescent="0.25">
      <c r="A5718" t="s">
        <v>51</v>
      </c>
      <c r="B5718" s="1" t="str">
        <f>HYPERLINK("http://bnpparibas-am.cz","bnpparibas-am.cz")</f>
        <v>bnpparibas-am.cz</v>
      </c>
      <c r="C5718" t="s">
        <v>435</v>
      </c>
      <c r="D5718" t="s">
        <v>814</v>
      </c>
      <c r="F5718">
        <v>1.6419786169171302E-8</v>
      </c>
      <c r="G5718">
        <v>3434217</v>
      </c>
      <c r="H5718">
        <v>12247426</v>
      </c>
      <c r="I5718">
        <v>22064058</v>
      </c>
      <c r="J5718">
        <v>3</v>
      </c>
    </row>
    <row r="5719" spans="1:10" x14ac:dyDescent="0.25">
      <c r="A5719" t="s">
        <v>51</v>
      </c>
      <c r="B5719" s="1" t="str">
        <f>HYPERLINK("http://bnppre.cz","bnppre.cz")</f>
        <v>bnppre.cz</v>
      </c>
      <c r="C5719" t="s">
        <v>435</v>
      </c>
      <c r="D5719" t="s">
        <v>814</v>
      </c>
      <c r="J5719">
        <v>2</v>
      </c>
    </row>
    <row r="5720" spans="1:10" x14ac:dyDescent="0.25">
      <c r="A5720" t="s">
        <v>51</v>
      </c>
      <c r="B5720" s="1" t="str">
        <f>HYPERLINK("http://cardif.cz","cardif.cz")</f>
        <v>cardif.cz</v>
      </c>
      <c r="C5720" t="s">
        <v>435</v>
      </c>
      <c r="D5720" t="s">
        <v>814</v>
      </c>
      <c r="F5720">
        <v>5.2137904888155003E-8</v>
      </c>
      <c r="G5720">
        <v>875472</v>
      </c>
      <c r="H5720">
        <v>12454493</v>
      </c>
      <c r="I5720">
        <v>17940257</v>
      </c>
      <c r="J5720">
        <v>4</v>
      </c>
    </row>
    <row r="5721" spans="1:10" x14ac:dyDescent="0.25">
      <c r="A5721" t="s">
        <v>51</v>
      </c>
      <c r="B5721" s="1" t="str">
        <f>HYPERLINK("http://claas.cz","claas.cz")</f>
        <v>claas.cz</v>
      </c>
      <c r="C5721" t="s">
        <v>435</v>
      </c>
      <c r="D5721" t="s">
        <v>814</v>
      </c>
      <c r="F5721">
        <v>2.2225255021702901E-8</v>
      </c>
      <c r="G5721">
        <v>2359580</v>
      </c>
      <c r="H5721">
        <v>10871961</v>
      </c>
      <c r="I5721">
        <v>36466947</v>
      </c>
      <c r="J5721">
        <v>4</v>
      </c>
    </row>
    <row r="5722" spans="1:10" x14ac:dyDescent="0.25">
      <c r="A5722" t="s">
        <v>51</v>
      </c>
      <c r="B5722" s="1" t="str">
        <f>HYPERLINK("http://comparic.cz","comparic.cz")</f>
        <v>comparic.cz</v>
      </c>
      <c r="C5722" t="s">
        <v>435</v>
      </c>
      <c r="D5722" t="s">
        <v>814</v>
      </c>
      <c r="F5722">
        <v>5.3990143849044697E-9</v>
      </c>
      <c r="G5722">
        <v>22126832</v>
      </c>
      <c r="H5722">
        <v>10747060</v>
      </c>
      <c r="I5722">
        <v>40172859</v>
      </c>
      <c r="J5722">
        <v>5</v>
      </c>
    </row>
    <row r="5723" spans="1:10" x14ac:dyDescent="0.25">
      <c r="A5723" t="s">
        <v>51</v>
      </c>
      <c r="B5723" s="1" t="str">
        <f>HYPERLINK("http://hellobank.cz","hellobank.cz")</f>
        <v>hellobank.cz</v>
      </c>
      <c r="C5723" t="s">
        <v>435</v>
      </c>
      <c r="D5723" t="s">
        <v>814</v>
      </c>
      <c r="E5723">
        <v>793528</v>
      </c>
      <c r="F5723">
        <v>1.9356081882025E-7</v>
      </c>
      <c r="G5723">
        <v>199160</v>
      </c>
      <c r="H5723">
        <v>14067473</v>
      </c>
      <c r="I5723">
        <v>3726971</v>
      </c>
      <c r="J5723">
        <v>2</v>
      </c>
    </row>
    <row r="5724" spans="1:10" x14ac:dyDescent="0.25">
      <c r="A5724" t="s">
        <v>51</v>
      </c>
      <c r="B5724" s="1" t="str">
        <f>HYPERLINK("http://arval.de","arval.de")</f>
        <v>arval.de</v>
      </c>
      <c r="C5724" t="s">
        <v>436</v>
      </c>
      <c r="D5724" t="s">
        <v>815</v>
      </c>
      <c r="F5724">
        <v>5.6837586487228197E-8</v>
      </c>
      <c r="G5724">
        <v>785982</v>
      </c>
      <c r="H5724">
        <v>12779681</v>
      </c>
      <c r="I5724">
        <v>14762151</v>
      </c>
      <c r="J5724">
        <v>3</v>
      </c>
    </row>
    <row r="5725" spans="1:10" x14ac:dyDescent="0.25">
      <c r="A5725" t="s">
        <v>51</v>
      </c>
      <c r="B5725" s="1" t="str">
        <f>HYPERLINK("http://bnp.de","bnp.de")</f>
        <v>bnp.de</v>
      </c>
      <c r="C5725" t="s">
        <v>436</v>
      </c>
      <c r="D5725" t="s">
        <v>815</v>
      </c>
      <c r="F5725">
        <v>1.19895860504309E-8</v>
      </c>
      <c r="G5725">
        <v>5183089</v>
      </c>
      <c r="H5725">
        <v>12537652</v>
      </c>
      <c r="I5725">
        <v>16965040</v>
      </c>
      <c r="J5725">
        <v>2</v>
      </c>
    </row>
    <row r="5726" spans="1:10" x14ac:dyDescent="0.25">
      <c r="A5726" t="s">
        <v>51</v>
      </c>
      <c r="B5726" s="1" t="str">
        <f>HYPERLINK("http://bnpparibas.de","bnpparibas.de")</f>
        <v>bnpparibas.de</v>
      </c>
      <c r="C5726" t="s">
        <v>436</v>
      </c>
      <c r="D5726" t="s">
        <v>815</v>
      </c>
      <c r="E5726">
        <v>323310</v>
      </c>
      <c r="F5726">
        <v>2.23483686271511E-7</v>
      </c>
      <c r="G5726">
        <v>168630</v>
      </c>
      <c r="H5726">
        <v>14574919</v>
      </c>
      <c r="I5726">
        <v>731094</v>
      </c>
      <c r="J5726">
        <v>2</v>
      </c>
    </row>
    <row r="5727" spans="1:10" x14ac:dyDescent="0.25">
      <c r="A5727" t="s">
        <v>51</v>
      </c>
      <c r="B5727" s="1" t="str">
        <f>HYPERLINK("http://bnpparibas-3stepit.de","bnpparibas-3stepit.de")</f>
        <v>bnpparibas-3stepit.de</v>
      </c>
      <c r="C5727" t="s">
        <v>436</v>
      </c>
      <c r="D5727" t="s">
        <v>815</v>
      </c>
      <c r="F5727">
        <v>7.35078435245544E-9</v>
      </c>
      <c r="G5727">
        <v>11359010</v>
      </c>
      <c r="H5727">
        <v>10968853</v>
      </c>
      <c r="I5727">
        <v>34165723</v>
      </c>
      <c r="J5727">
        <v>4</v>
      </c>
    </row>
    <row r="5728" spans="1:10" x14ac:dyDescent="0.25">
      <c r="A5728" t="s">
        <v>51</v>
      </c>
      <c r="B5728" s="1" t="str">
        <f>HYPERLINK("http://bnpparibas-am.de","bnpparibas-am.de")</f>
        <v>bnpparibas-am.de</v>
      </c>
      <c r="C5728" t="s">
        <v>436</v>
      </c>
      <c r="D5728" t="s">
        <v>815</v>
      </c>
      <c r="F5728">
        <v>3.9548589577847799E-8</v>
      </c>
      <c r="G5728">
        <v>1305481</v>
      </c>
      <c r="H5728">
        <v>12201849</v>
      </c>
      <c r="I5728">
        <v>23269856</v>
      </c>
      <c r="J5728">
        <v>3</v>
      </c>
    </row>
    <row r="5729" spans="1:10" x14ac:dyDescent="0.25">
      <c r="A5729" t="s">
        <v>51</v>
      </c>
      <c r="B5729" s="1" t="str">
        <f>HYPERLINK("http://claas.de","claas.de")</f>
        <v>claas.de</v>
      </c>
      <c r="C5729" t="s">
        <v>436</v>
      </c>
      <c r="D5729" t="s">
        <v>815</v>
      </c>
      <c r="E5729">
        <v>581652</v>
      </c>
      <c r="F5729">
        <v>2.2829363008490399E-7</v>
      </c>
      <c r="G5729">
        <v>164807</v>
      </c>
      <c r="H5729">
        <v>14530455</v>
      </c>
      <c r="I5729">
        <v>786961</v>
      </c>
      <c r="J5729">
        <v>3</v>
      </c>
    </row>
    <row r="5730" spans="1:10" x14ac:dyDescent="0.25">
      <c r="A5730" t="s">
        <v>51</v>
      </c>
      <c r="B5730" s="1" t="str">
        <f>HYPERLINK("http://consorsbank.de","consorsbank.de")</f>
        <v>consorsbank.de</v>
      </c>
      <c r="C5730" t="s">
        <v>436</v>
      </c>
      <c r="D5730" t="s">
        <v>815</v>
      </c>
      <c r="E5730">
        <v>47053</v>
      </c>
      <c r="F5730">
        <v>3.9891922502713499E-7</v>
      </c>
      <c r="G5730">
        <v>94072</v>
      </c>
      <c r="H5730">
        <v>17027910</v>
      </c>
      <c r="I5730">
        <v>85051</v>
      </c>
      <c r="J5730">
        <v>2</v>
      </c>
    </row>
    <row r="5731" spans="1:10" x14ac:dyDescent="0.25">
      <c r="A5731" t="s">
        <v>51</v>
      </c>
      <c r="B5731" s="1" t="str">
        <f>HYPERLINK("http://consorsfinanz.de","consorsfinanz.de")</f>
        <v>consorsfinanz.de</v>
      </c>
      <c r="C5731" t="s">
        <v>436</v>
      </c>
      <c r="D5731" t="s">
        <v>815</v>
      </c>
      <c r="E5731">
        <v>213177</v>
      </c>
      <c r="F5731">
        <v>2.4914348886883199E-7</v>
      </c>
      <c r="G5731">
        <v>150164</v>
      </c>
      <c r="H5731">
        <v>16816304</v>
      </c>
      <c r="I5731">
        <v>188137</v>
      </c>
      <c r="J5731">
        <v>3</v>
      </c>
    </row>
    <row r="5732" spans="1:10" x14ac:dyDescent="0.25">
      <c r="A5732" t="s">
        <v>51</v>
      </c>
      <c r="B5732" s="1" t="str">
        <f>HYPERLINK("http://contipark.de","contipark.de")</f>
        <v>contipark.de</v>
      </c>
      <c r="C5732" t="s">
        <v>436</v>
      </c>
      <c r="D5732" t="s">
        <v>815</v>
      </c>
      <c r="F5732">
        <v>1.8208357705101601E-7</v>
      </c>
      <c r="G5732">
        <v>211889</v>
      </c>
      <c r="H5732">
        <v>16980860</v>
      </c>
      <c r="I5732">
        <v>98351</v>
      </c>
      <c r="J5732">
        <v>9</v>
      </c>
    </row>
    <row r="5733" spans="1:10" x14ac:dyDescent="0.25">
      <c r="A5733" t="s">
        <v>51</v>
      </c>
      <c r="B5733" s="1" t="str">
        <f>HYPERLINK("http://cortalconsors.de","cortalconsors.de")</f>
        <v>cortalconsors.de</v>
      </c>
      <c r="C5733" t="s">
        <v>436</v>
      </c>
      <c r="D5733" t="s">
        <v>815</v>
      </c>
      <c r="E5733">
        <v>630586</v>
      </c>
      <c r="F5733">
        <v>4.6104531175686599E-8</v>
      </c>
      <c r="G5733">
        <v>1017104</v>
      </c>
      <c r="H5733">
        <v>14821883</v>
      </c>
      <c r="I5733">
        <v>515384</v>
      </c>
      <c r="J5733">
        <v>2</v>
      </c>
    </row>
    <row r="5734" spans="1:10" x14ac:dyDescent="0.25">
      <c r="A5734" t="s">
        <v>51</v>
      </c>
      <c r="B5734" s="1" t="str">
        <f>HYPERLINK("http://dab-bank.de","dab-bank.de")</f>
        <v>dab-bank.de</v>
      </c>
      <c r="C5734" t="s">
        <v>436</v>
      </c>
      <c r="D5734" t="s">
        <v>815</v>
      </c>
      <c r="E5734">
        <v>132012</v>
      </c>
      <c r="F5734">
        <v>2.06886627201541E-7</v>
      </c>
      <c r="G5734">
        <v>183417</v>
      </c>
      <c r="H5734">
        <v>14154748</v>
      </c>
      <c r="I5734">
        <v>1861810</v>
      </c>
      <c r="J5734">
        <v>2</v>
      </c>
    </row>
    <row r="5735" spans="1:10" x14ac:dyDescent="0.25">
      <c r="A5735" t="s">
        <v>51</v>
      </c>
      <c r="B5735" s="1" t="str">
        <f>HYPERLINK("http://dwt-sgw.de","dwt-sgw.de")</f>
        <v>dwt-sgw.de</v>
      </c>
      <c r="C5735" t="s">
        <v>436</v>
      </c>
      <c r="D5735" t="s">
        <v>815</v>
      </c>
      <c r="F5735">
        <v>5.2811871903541002E-8</v>
      </c>
      <c r="G5735">
        <v>862743</v>
      </c>
      <c r="H5735">
        <v>14567331</v>
      </c>
      <c r="I5735">
        <v>738642</v>
      </c>
      <c r="J5735">
        <v>10</v>
      </c>
    </row>
    <row r="5736" spans="1:10" x14ac:dyDescent="0.25">
      <c r="A5736" t="s">
        <v>51</v>
      </c>
      <c r="B5736" s="1" t="str">
        <f>HYPERLINK("http://fineasy.de","fineasy.de")</f>
        <v>fineasy.de</v>
      </c>
      <c r="C5736" t="s">
        <v>436</v>
      </c>
      <c r="D5736" t="s">
        <v>815</v>
      </c>
      <c r="F5736">
        <v>6.3842998090769299E-9</v>
      </c>
      <c r="G5736">
        <v>14596656</v>
      </c>
      <c r="H5736">
        <v>10743233</v>
      </c>
      <c r="I5736">
        <v>40300202</v>
      </c>
      <c r="J5736">
        <v>2</v>
      </c>
    </row>
    <row r="5737" spans="1:10" x14ac:dyDescent="0.25">
      <c r="A5737" t="s">
        <v>51</v>
      </c>
      <c r="B5737" s="1" t="str">
        <f>HYPERLINK("http://fiss-gmbh.de","fiss-gmbh.de")</f>
        <v>fiss-gmbh.de</v>
      </c>
      <c r="C5737" t="s">
        <v>436</v>
      </c>
      <c r="D5737" t="s">
        <v>815</v>
      </c>
      <c r="J5737">
        <v>4</v>
      </c>
    </row>
    <row r="5738" spans="1:10" x14ac:dyDescent="0.25">
      <c r="A5738" t="s">
        <v>51</v>
      </c>
      <c r="B5738" s="1" t="str">
        <f>HYPERLINK("http://mein-contipark.de","mein-contipark.de")</f>
        <v>mein-contipark.de</v>
      </c>
      <c r="C5738" t="s">
        <v>436</v>
      </c>
      <c r="D5738" t="s">
        <v>815</v>
      </c>
      <c r="E5738">
        <v>663056</v>
      </c>
      <c r="F5738">
        <v>1.5677967865812999E-7</v>
      </c>
      <c r="G5738">
        <v>247722</v>
      </c>
      <c r="H5738">
        <v>12800092</v>
      </c>
      <c r="I5738">
        <v>14638491</v>
      </c>
      <c r="J5738">
        <v>11</v>
      </c>
    </row>
    <row r="5739" spans="1:10" x14ac:dyDescent="0.25">
      <c r="A5739" t="s">
        <v>51</v>
      </c>
      <c r="B5739" s="1" t="str">
        <f>HYPERLINK("http://vermoegensverwalter-finden.de","vermoegensverwalter-finden.de")</f>
        <v>vermoegensverwalter-finden.de</v>
      </c>
      <c r="C5739" t="s">
        <v>436</v>
      </c>
      <c r="D5739" t="s">
        <v>815</v>
      </c>
      <c r="F5739">
        <v>2.43029272574925E-8</v>
      </c>
      <c r="G5739">
        <v>2133574</v>
      </c>
      <c r="H5739">
        <v>10588120</v>
      </c>
      <c r="I5739">
        <v>45670100</v>
      </c>
      <c r="J5739">
        <v>2</v>
      </c>
    </row>
    <row r="5740" spans="1:10" x14ac:dyDescent="0.25">
      <c r="A5740" t="s">
        <v>51</v>
      </c>
      <c r="B5740" s="1" t="str">
        <f>HYPERLINK("http://arval.dk","arval.dk")</f>
        <v>arval.dk</v>
      </c>
      <c r="C5740" t="s">
        <v>437</v>
      </c>
      <c r="D5740" t="s">
        <v>816</v>
      </c>
      <c r="F5740">
        <v>8.4281613443826698E-9</v>
      </c>
      <c r="G5740">
        <v>8985782</v>
      </c>
      <c r="H5740">
        <v>12111115</v>
      </c>
      <c r="I5740">
        <v>25697864</v>
      </c>
      <c r="J5740">
        <v>3</v>
      </c>
    </row>
    <row r="5741" spans="1:10" x14ac:dyDescent="0.25">
      <c r="A5741" t="s">
        <v>51</v>
      </c>
      <c r="B5741" s="1" t="str">
        <f>HYPERLINK("http://bnpparibas.dk","bnpparibas.dk")</f>
        <v>bnpparibas.dk</v>
      </c>
      <c r="C5741" t="s">
        <v>437</v>
      </c>
      <c r="D5741" t="s">
        <v>816</v>
      </c>
      <c r="F5741">
        <v>1.9827362789902702E-8</v>
      </c>
      <c r="G5741">
        <v>2688870</v>
      </c>
      <c r="H5741">
        <v>12334149</v>
      </c>
      <c r="I5741">
        <v>20123811</v>
      </c>
      <c r="J5741">
        <v>3</v>
      </c>
    </row>
    <row r="5742" spans="1:10" x14ac:dyDescent="0.25">
      <c r="A5742" t="s">
        <v>51</v>
      </c>
      <c r="B5742" s="1" t="str">
        <f>HYPERLINK("http://bnpparibas-am.dk","bnpparibas-am.dk")</f>
        <v>bnpparibas-am.dk</v>
      </c>
      <c r="C5742" t="s">
        <v>437</v>
      </c>
      <c r="D5742" t="s">
        <v>816</v>
      </c>
      <c r="F5742">
        <v>8.7373898502133002E-9</v>
      </c>
      <c r="G5742">
        <v>8414134</v>
      </c>
      <c r="H5742">
        <v>11208405</v>
      </c>
      <c r="I5742">
        <v>31175720</v>
      </c>
      <c r="J5742">
        <v>3</v>
      </c>
    </row>
    <row r="5743" spans="1:10" x14ac:dyDescent="0.25">
      <c r="A5743" t="s">
        <v>51</v>
      </c>
      <c r="B5743" s="1" t="str">
        <f>HYPERLINK("http://claas.dk","claas.dk")</f>
        <v>claas.dk</v>
      </c>
      <c r="C5743" t="s">
        <v>437</v>
      </c>
      <c r="D5743" t="s">
        <v>816</v>
      </c>
      <c r="F5743">
        <v>2.6826321710421E-8</v>
      </c>
      <c r="G5743">
        <v>1917654</v>
      </c>
      <c r="H5743">
        <v>11211936</v>
      </c>
      <c r="I5743">
        <v>31149388</v>
      </c>
      <c r="J5743">
        <v>4</v>
      </c>
    </row>
    <row r="5744" spans="1:10" x14ac:dyDescent="0.25">
      <c r="A5744" t="s">
        <v>51</v>
      </c>
      <c r="B5744" s="1" t="str">
        <f>HYPERLINK("http://danishagro.dk","danishagro.dk")</f>
        <v>danishagro.dk</v>
      </c>
      <c r="C5744" t="s">
        <v>437</v>
      </c>
      <c r="D5744" t="s">
        <v>816</v>
      </c>
      <c r="F5744">
        <v>5.8330815569330097E-8</v>
      </c>
      <c r="G5744">
        <v>761999</v>
      </c>
      <c r="H5744">
        <v>14378917</v>
      </c>
      <c r="I5744">
        <v>1201632</v>
      </c>
      <c r="J5744">
        <v>9</v>
      </c>
    </row>
    <row r="5745" spans="1:10" x14ac:dyDescent="0.25">
      <c r="A5745" t="s">
        <v>51</v>
      </c>
      <c r="B5745" s="1" t="str">
        <f>HYPERLINK("http://dlaagro.dk","dlaagro.dk")</f>
        <v>dlaagro.dk</v>
      </c>
      <c r="C5745" t="s">
        <v>437</v>
      </c>
      <c r="D5745" t="s">
        <v>816</v>
      </c>
      <c r="F5745">
        <v>7.3689012242343898E-9</v>
      </c>
      <c r="G5745">
        <v>11316386</v>
      </c>
      <c r="H5745">
        <v>10696401</v>
      </c>
      <c r="I5745">
        <v>42380405</v>
      </c>
      <c r="J5745">
        <v>11</v>
      </c>
    </row>
    <row r="5746" spans="1:10" x14ac:dyDescent="0.25">
      <c r="A5746" t="s">
        <v>51</v>
      </c>
      <c r="B5746" s="1" t="str">
        <f>HYPERLINK("http://eggs.dk","eggs.dk")</f>
        <v>eggs.dk</v>
      </c>
      <c r="C5746" t="s">
        <v>437</v>
      </c>
      <c r="D5746" t="s">
        <v>816</v>
      </c>
      <c r="F5746">
        <v>7.6737240787121904E-9</v>
      </c>
      <c r="G5746">
        <v>10636228</v>
      </c>
      <c r="H5746">
        <v>14071990</v>
      </c>
      <c r="I5746">
        <v>3194156</v>
      </c>
      <c r="J5746">
        <v>11</v>
      </c>
    </row>
    <row r="5747" spans="1:10" x14ac:dyDescent="0.25">
      <c r="A5747" t="s">
        <v>51</v>
      </c>
      <c r="B5747" s="1" t="str">
        <f>HYPERLINK("http://ekspresbank.dk","ekspresbank.dk")</f>
        <v>ekspresbank.dk</v>
      </c>
      <c r="C5747" t="s">
        <v>437</v>
      </c>
      <c r="D5747" t="s">
        <v>816</v>
      </c>
      <c r="F5747">
        <v>1.14904953050372E-8</v>
      </c>
      <c r="G5747">
        <v>5512061</v>
      </c>
      <c r="H5747">
        <v>12182925</v>
      </c>
      <c r="I5747">
        <v>23738023</v>
      </c>
      <c r="J5747">
        <v>3</v>
      </c>
    </row>
    <row r="5748" spans="1:10" x14ac:dyDescent="0.25">
      <c r="A5748" t="s">
        <v>51</v>
      </c>
      <c r="B5748" s="1" t="str">
        <f>HYPERLINK("http://hedegaard-agro.dk","hedegaard-agro.dk")</f>
        <v>hedegaard-agro.dk</v>
      </c>
      <c r="C5748" t="s">
        <v>437</v>
      </c>
      <c r="D5748" t="s">
        <v>816</v>
      </c>
      <c r="F5748">
        <v>6.2789455834285204E-9</v>
      </c>
      <c r="G5748">
        <v>15132517</v>
      </c>
      <c r="H5748">
        <v>10892388</v>
      </c>
      <c r="I5748">
        <v>36021529</v>
      </c>
      <c r="J5748">
        <v>10</v>
      </c>
    </row>
    <row r="5749" spans="1:10" x14ac:dyDescent="0.25">
      <c r="A5749" t="s">
        <v>51</v>
      </c>
      <c r="B5749" s="1" t="str">
        <f>HYPERLINK("http://hedegaard-as.dk","hedegaard-as.dk")</f>
        <v>hedegaard-as.dk</v>
      </c>
      <c r="C5749" t="s">
        <v>437</v>
      </c>
      <c r="D5749" t="s">
        <v>816</v>
      </c>
      <c r="F5749">
        <v>1.1793260234149399E-8</v>
      </c>
      <c r="G5749">
        <v>5306326</v>
      </c>
      <c r="H5749">
        <v>12149688</v>
      </c>
      <c r="I5749">
        <v>24632223</v>
      </c>
      <c r="J5749">
        <v>11</v>
      </c>
    </row>
    <row r="5750" spans="1:10" x14ac:dyDescent="0.25">
      <c r="A5750" t="s">
        <v>51</v>
      </c>
      <c r="B5750" s="1" t="str">
        <f>HYPERLINK("http://hedegaard-foods.dk","hedegaard-foods.dk")</f>
        <v>hedegaard-foods.dk</v>
      </c>
      <c r="C5750" t="s">
        <v>437</v>
      </c>
      <c r="D5750" t="s">
        <v>816</v>
      </c>
      <c r="F5750">
        <v>7.1073771426860399E-9</v>
      </c>
      <c r="G5750">
        <v>11993646</v>
      </c>
      <c r="H5750">
        <v>14236704</v>
      </c>
      <c r="I5750">
        <v>1573685</v>
      </c>
      <c r="J5750">
        <v>10</v>
      </c>
    </row>
    <row r="5751" spans="1:10" x14ac:dyDescent="0.25">
      <c r="A5751" t="s">
        <v>51</v>
      </c>
      <c r="B5751" s="1" t="str">
        <f>HYPERLINK("http://nordicseed.dk","nordicseed.dk")</f>
        <v>nordicseed.dk</v>
      </c>
      <c r="C5751" t="s">
        <v>437</v>
      </c>
      <c r="D5751" t="s">
        <v>816</v>
      </c>
      <c r="F5751">
        <v>1.34639762822447E-8</v>
      </c>
      <c r="G5751">
        <v>4419237</v>
      </c>
      <c r="H5751">
        <v>12537190</v>
      </c>
      <c r="I5751">
        <v>16969168</v>
      </c>
      <c r="J5751">
        <v>10</v>
      </c>
    </row>
    <row r="5752" spans="1:10" x14ac:dyDescent="0.25">
      <c r="A5752" t="s">
        <v>51</v>
      </c>
      <c r="B5752" s="1" t="str">
        <f>HYPERLINK("http://vilomix.dk","vilomix.dk")</f>
        <v>vilomix.dk</v>
      </c>
      <c r="C5752" t="s">
        <v>437</v>
      </c>
      <c r="D5752" t="s">
        <v>816</v>
      </c>
      <c r="F5752">
        <v>3.0380580723584199E-8</v>
      </c>
      <c r="G5752">
        <v>1694621</v>
      </c>
      <c r="H5752">
        <v>12204125</v>
      </c>
      <c r="I5752">
        <v>23210348</v>
      </c>
      <c r="J5752">
        <v>10</v>
      </c>
    </row>
    <row r="5753" spans="1:10" x14ac:dyDescent="0.25">
      <c r="A5753" t="s">
        <v>51</v>
      </c>
      <c r="B5753" s="1" t="str">
        <f>HYPERLINK("http://bnpparibas.dz","bnpparibas.dz")</f>
        <v>bnpparibas.dz</v>
      </c>
      <c r="C5753" t="s">
        <v>439</v>
      </c>
      <c r="D5753" t="s">
        <v>818</v>
      </c>
      <c r="F5753">
        <v>3.2704171438806998E-8</v>
      </c>
      <c r="G5753">
        <v>1579646</v>
      </c>
      <c r="H5753">
        <v>13941432</v>
      </c>
      <c r="I5753">
        <v>4347647</v>
      </c>
      <c r="J5753">
        <v>3</v>
      </c>
    </row>
    <row r="5754" spans="1:10" x14ac:dyDescent="0.25">
      <c r="A5754" t="s">
        <v>51</v>
      </c>
      <c r="B5754" s="1" t="str">
        <f>HYPERLINK("http://claas.dz","claas.dz")</f>
        <v>claas.dz</v>
      </c>
      <c r="C5754" t="s">
        <v>439</v>
      </c>
      <c r="D5754" t="s">
        <v>818</v>
      </c>
      <c r="F5754">
        <v>1.7789440712295201E-8</v>
      </c>
      <c r="G5754">
        <v>3077038</v>
      </c>
      <c r="H5754">
        <v>10886432</v>
      </c>
      <c r="I5754">
        <v>36198598</v>
      </c>
      <c r="J5754">
        <v>4</v>
      </c>
    </row>
    <row r="5755" spans="1:10" x14ac:dyDescent="0.25">
      <c r="A5755" t="s">
        <v>51</v>
      </c>
      <c r="B5755" s="1" t="str">
        <f>HYPERLINK("http://claas.ee","claas.ee")</f>
        <v>claas.ee</v>
      </c>
      <c r="C5755" t="s">
        <v>441</v>
      </c>
      <c r="D5755" t="s">
        <v>820</v>
      </c>
      <c r="F5755">
        <v>1.8068477761347299E-8</v>
      </c>
      <c r="G5755">
        <v>3016576</v>
      </c>
      <c r="H5755">
        <v>10852794</v>
      </c>
      <c r="I5755">
        <v>36799611</v>
      </c>
      <c r="J5755">
        <v>4</v>
      </c>
    </row>
    <row r="5756" spans="1:10" x14ac:dyDescent="0.25">
      <c r="A5756" t="s">
        <v>51</v>
      </c>
      <c r="B5756" s="1" t="str">
        <f>HYPERLINK("http://arval.es","arval.es")</f>
        <v>arval.es</v>
      </c>
      <c r="C5756" t="s">
        <v>443</v>
      </c>
      <c r="D5756" t="s">
        <v>822</v>
      </c>
      <c r="F5756">
        <v>5.0914408022509397E-8</v>
      </c>
      <c r="G5756">
        <v>900683</v>
      </c>
      <c r="H5756">
        <v>14212165</v>
      </c>
      <c r="I5756">
        <v>1699917</v>
      </c>
      <c r="J5756">
        <v>3</v>
      </c>
    </row>
    <row r="5757" spans="1:10" x14ac:dyDescent="0.25">
      <c r="A5757" t="s">
        <v>51</v>
      </c>
      <c r="B5757" s="1" t="str">
        <f>HYPERLINK("http://bnpparibas.es","bnpparibas.es")</f>
        <v>bnpparibas.es</v>
      </c>
      <c r="C5757" t="s">
        <v>443</v>
      </c>
      <c r="D5757" t="s">
        <v>822</v>
      </c>
      <c r="E5757">
        <v>333425</v>
      </c>
      <c r="F5757">
        <v>1.19664036636356E-7</v>
      </c>
      <c r="G5757">
        <v>330391</v>
      </c>
      <c r="H5757">
        <v>14211794</v>
      </c>
      <c r="I5757">
        <v>1700592</v>
      </c>
      <c r="J5757">
        <v>2</v>
      </c>
    </row>
    <row r="5758" spans="1:10" x14ac:dyDescent="0.25">
      <c r="A5758" t="s">
        <v>51</v>
      </c>
      <c r="B5758" s="1" t="str">
        <f>HYPERLINK("http://bnpparibas-3stepit.es","bnpparibas-3stepit.es")</f>
        <v>bnpparibas-3stepit.es</v>
      </c>
      <c r="C5758" t="s">
        <v>443</v>
      </c>
      <c r="D5758" t="s">
        <v>822</v>
      </c>
      <c r="F5758">
        <v>5.2876177473601702E-9</v>
      </c>
      <c r="G5758">
        <v>23679301</v>
      </c>
      <c r="H5758">
        <v>10722529</v>
      </c>
      <c r="I5758">
        <v>41599695</v>
      </c>
      <c r="J5758">
        <v>4</v>
      </c>
    </row>
    <row r="5759" spans="1:10" x14ac:dyDescent="0.25">
      <c r="A5759" t="s">
        <v>51</v>
      </c>
      <c r="B5759" s="1" t="str">
        <f>HYPERLINK("http://bnpparibas-am.es","bnpparibas-am.es")</f>
        <v>bnpparibas-am.es</v>
      </c>
      <c r="C5759" t="s">
        <v>443</v>
      </c>
      <c r="D5759" t="s">
        <v>822</v>
      </c>
      <c r="F5759">
        <v>1.26573700748752E-8</v>
      </c>
      <c r="G5759">
        <v>4801100</v>
      </c>
      <c r="H5759">
        <v>12379482</v>
      </c>
      <c r="I5759">
        <v>19219289</v>
      </c>
      <c r="J5759">
        <v>3</v>
      </c>
    </row>
    <row r="5760" spans="1:10" x14ac:dyDescent="0.25">
      <c r="A5760" t="s">
        <v>51</v>
      </c>
      <c r="B5760" s="1" t="str">
        <f>HYPERLINK("http://bnpparibascardif.es","bnpparibascardif.es")</f>
        <v>bnpparibascardif.es</v>
      </c>
      <c r="C5760" t="s">
        <v>443</v>
      </c>
      <c r="D5760" t="s">
        <v>822</v>
      </c>
      <c r="F5760">
        <v>1.2969281279218701E-8</v>
      </c>
      <c r="G5760">
        <v>4646527</v>
      </c>
      <c r="H5760">
        <v>12079102</v>
      </c>
      <c r="I5760">
        <v>26583260</v>
      </c>
      <c r="J5760">
        <v>4</v>
      </c>
    </row>
    <row r="5761" spans="1:10" x14ac:dyDescent="0.25">
      <c r="A5761" t="s">
        <v>51</v>
      </c>
      <c r="B5761" s="1" t="str">
        <f>HYPERLINK("http://bnppre.es","bnppre.es")</f>
        <v>bnppre.es</v>
      </c>
      <c r="C5761" t="s">
        <v>443</v>
      </c>
      <c r="D5761" t="s">
        <v>822</v>
      </c>
      <c r="J5761">
        <v>2</v>
      </c>
    </row>
    <row r="5762" spans="1:10" x14ac:dyDescent="0.25">
      <c r="A5762" t="s">
        <v>51</v>
      </c>
      <c r="B5762" s="1" t="str">
        <f>HYPERLINK("http://cardif.es","cardif.es")</f>
        <v>cardif.es</v>
      </c>
      <c r="C5762" t="s">
        <v>443</v>
      </c>
      <c r="D5762" t="s">
        <v>822</v>
      </c>
      <c r="F5762">
        <v>5.2785101550156302E-9</v>
      </c>
      <c r="G5762">
        <v>23811938</v>
      </c>
      <c r="H5762">
        <v>12071047</v>
      </c>
      <c r="I5762">
        <v>26769509</v>
      </c>
      <c r="J5762">
        <v>2</v>
      </c>
    </row>
    <row r="5763" spans="1:10" x14ac:dyDescent="0.25">
      <c r="A5763" t="s">
        <v>51</v>
      </c>
      <c r="B5763" s="1" t="str">
        <f>HYPERLINK("http://cetelem.es","cetelem.es")</f>
        <v>cetelem.es</v>
      </c>
      <c r="C5763" t="s">
        <v>443</v>
      </c>
      <c r="D5763" t="s">
        <v>822</v>
      </c>
      <c r="E5763">
        <v>153668</v>
      </c>
      <c r="F5763">
        <v>1.8088246606757299E-7</v>
      </c>
      <c r="G5763">
        <v>213570</v>
      </c>
      <c r="H5763">
        <v>14414378</v>
      </c>
      <c r="I5763">
        <v>1141074</v>
      </c>
      <c r="J5763">
        <v>4</v>
      </c>
    </row>
    <row r="5764" spans="1:10" x14ac:dyDescent="0.25">
      <c r="A5764" t="s">
        <v>51</v>
      </c>
      <c r="B5764" s="1" t="str">
        <f>HYPERLINK("http://claas.es","claas.es")</f>
        <v>claas.es</v>
      </c>
      <c r="C5764" t="s">
        <v>443</v>
      </c>
      <c r="D5764" t="s">
        <v>822</v>
      </c>
      <c r="F5764">
        <v>2.76960497624493E-8</v>
      </c>
      <c r="G5764">
        <v>1856496</v>
      </c>
      <c r="H5764">
        <v>13768908</v>
      </c>
      <c r="I5764">
        <v>6852169</v>
      </c>
      <c r="J5764">
        <v>4</v>
      </c>
    </row>
    <row r="5765" spans="1:10" x14ac:dyDescent="0.25">
      <c r="A5765" t="s">
        <v>51</v>
      </c>
      <c r="B5765" s="1" t="str">
        <f>HYPERLINK("http://comparic.es","comparic.es")</f>
        <v>comparic.es</v>
      </c>
      <c r="C5765" t="s">
        <v>443</v>
      </c>
      <c r="D5765" t="s">
        <v>822</v>
      </c>
      <c r="F5765">
        <v>5.6349721828656996E-9</v>
      </c>
      <c r="G5765">
        <v>19530700</v>
      </c>
      <c r="H5765">
        <v>10775785</v>
      </c>
      <c r="I5765">
        <v>39051684</v>
      </c>
      <c r="J5765">
        <v>5</v>
      </c>
    </row>
    <row r="5766" spans="1:10" x14ac:dyDescent="0.25">
      <c r="A5766" t="s">
        <v>51</v>
      </c>
      <c r="B5766" s="1" t="str">
        <f>HYPERLINK("http://fineasy.es","fineasy.es")</f>
        <v>fineasy.es</v>
      </c>
      <c r="C5766" t="s">
        <v>443</v>
      </c>
      <c r="D5766" t="s">
        <v>822</v>
      </c>
      <c r="J5766">
        <v>2</v>
      </c>
    </row>
    <row r="5767" spans="1:10" x14ac:dyDescent="0.25">
      <c r="A5767" t="s">
        <v>51</v>
      </c>
      <c r="B5767" s="1" t="str">
        <f>HYPERLINK("http://interparking.es","interparking.es")</f>
        <v>interparking.es</v>
      </c>
      <c r="C5767" t="s">
        <v>443</v>
      </c>
      <c r="D5767" t="s">
        <v>822</v>
      </c>
      <c r="F5767">
        <v>3.2787514541358E-8</v>
      </c>
      <c r="G5767">
        <v>1575672</v>
      </c>
      <c r="H5767">
        <v>13934125</v>
      </c>
      <c r="I5767">
        <v>4628675</v>
      </c>
      <c r="J5767">
        <v>8</v>
      </c>
    </row>
    <row r="5768" spans="1:10" x14ac:dyDescent="0.25">
      <c r="A5768" t="s">
        <v>51</v>
      </c>
      <c r="B5768" s="1" t="str">
        <f>HYPERLINK("http://navesylogistica.es","navesylogistica.es")</f>
        <v>navesylogistica.es</v>
      </c>
      <c r="C5768" t="s">
        <v>443</v>
      </c>
      <c r="D5768" t="s">
        <v>822</v>
      </c>
      <c r="F5768">
        <v>5.8930931562157397E-9</v>
      </c>
      <c r="G5768">
        <v>17407800</v>
      </c>
      <c r="H5768">
        <v>10931325</v>
      </c>
      <c r="I5768">
        <v>35038552</v>
      </c>
      <c r="J5768">
        <v>2</v>
      </c>
    </row>
    <row r="5769" spans="1:10" x14ac:dyDescent="0.25">
      <c r="A5769" t="s">
        <v>51</v>
      </c>
      <c r="B5769" s="1" t="str">
        <f>HYPERLINK("http://productoscotizados.es","productoscotizados.es")</f>
        <v>productoscotizados.es</v>
      </c>
      <c r="C5769" t="s">
        <v>443</v>
      </c>
      <c r="D5769" t="s">
        <v>822</v>
      </c>
      <c r="J5769">
        <v>2</v>
      </c>
    </row>
    <row r="5770" spans="1:10" x14ac:dyDescent="0.25">
      <c r="A5770" t="s">
        <v>51</v>
      </c>
      <c r="B5770" s="1" t="str">
        <f>HYPERLINK("http://agrealestate.eu","agrealestate.eu")</f>
        <v>agrealestate.eu</v>
      </c>
      <c r="C5770" t="s">
        <v>444</v>
      </c>
      <c r="F5770">
        <v>6.9413190697707698E-8</v>
      </c>
      <c r="G5770">
        <v>611755</v>
      </c>
      <c r="H5770">
        <v>14066222</v>
      </c>
      <c r="I5770">
        <v>3732518</v>
      </c>
      <c r="J5770">
        <v>6</v>
      </c>
    </row>
    <row r="5771" spans="1:10" x14ac:dyDescent="0.25">
      <c r="A5771" t="s">
        <v>51</v>
      </c>
      <c r="B5771" s="1" t="str">
        <f>HYPERLINK("http://euroclear.eu","euroclear.eu")</f>
        <v>euroclear.eu</v>
      </c>
      <c r="C5771" t="s">
        <v>444</v>
      </c>
      <c r="F5771">
        <v>1.54333669931432E-8</v>
      </c>
      <c r="G5771">
        <v>3704181</v>
      </c>
      <c r="H5771">
        <v>14072873</v>
      </c>
      <c r="I5771">
        <v>3037070</v>
      </c>
      <c r="J5771">
        <v>8</v>
      </c>
    </row>
    <row r="5772" spans="1:10" x14ac:dyDescent="0.25">
      <c r="A5772" t="s">
        <v>51</v>
      </c>
      <c r="B5772" s="1" t="str">
        <f>HYPERLINK("http://lyf.eu","lyf.eu")</f>
        <v>lyf.eu</v>
      </c>
      <c r="C5772" t="s">
        <v>444</v>
      </c>
      <c r="E5772">
        <v>450879</v>
      </c>
      <c r="F5772">
        <v>1.94749487606928E-7</v>
      </c>
      <c r="G5772">
        <v>197968</v>
      </c>
      <c r="H5772">
        <v>16938398</v>
      </c>
      <c r="I5772">
        <v>115027</v>
      </c>
      <c r="J5772">
        <v>3</v>
      </c>
    </row>
    <row r="5773" spans="1:10" x14ac:dyDescent="0.25">
      <c r="A5773" t="s">
        <v>51</v>
      </c>
      <c r="B5773" s="1" t="str">
        <f>HYPERLINK("http://ncsd.eu","ncsd.eu")</f>
        <v>ncsd.eu</v>
      </c>
      <c r="C5773" t="s">
        <v>444</v>
      </c>
      <c r="F5773">
        <v>8.9939485022303199E-9</v>
      </c>
      <c r="G5773">
        <v>8000540</v>
      </c>
      <c r="H5773">
        <v>14236785</v>
      </c>
      <c r="I5773">
        <v>1570182</v>
      </c>
      <c r="J5773">
        <v>9</v>
      </c>
    </row>
    <row r="5774" spans="1:10" x14ac:dyDescent="0.25">
      <c r="A5774" t="s">
        <v>51</v>
      </c>
      <c r="B5774" s="1" t="str">
        <f>HYPERLINK("http://nickel.eu","nickel.eu")</f>
        <v>nickel.eu</v>
      </c>
      <c r="C5774" t="s">
        <v>444</v>
      </c>
      <c r="E5774">
        <v>113899</v>
      </c>
      <c r="F5774">
        <v>1.6854589090067999E-7</v>
      </c>
      <c r="G5774">
        <v>230187</v>
      </c>
      <c r="H5774">
        <v>16933396</v>
      </c>
      <c r="I5774">
        <v>116872</v>
      </c>
      <c r="J5774">
        <v>3</v>
      </c>
    </row>
    <row r="5775" spans="1:10" x14ac:dyDescent="0.25">
      <c r="A5775" t="s">
        <v>51</v>
      </c>
      <c r="B5775" s="1" t="str">
        <f>HYPERLINK("http://commercial.everbank","commercial.everbank")</f>
        <v>commercial.everbank</v>
      </c>
      <c r="C5775" t="s">
        <v>1671</v>
      </c>
      <c r="J5775">
        <v>15</v>
      </c>
    </row>
    <row r="5776" spans="1:10" x14ac:dyDescent="0.25">
      <c r="A5776" t="s">
        <v>51</v>
      </c>
      <c r="B5776" s="1" t="str">
        <f>HYPERLINK("http://1card.fi","1card.fi")</f>
        <v>1card.fi</v>
      </c>
      <c r="C5776" t="s">
        <v>445</v>
      </c>
      <c r="D5776" t="s">
        <v>823</v>
      </c>
      <c r="J5776">
        <v>4</v>
      </c>
    </row>
    <row r="5777" spans="1:10" x14ac:dyDescent="0.25">
      <c r="A5777" t="s">
        <v>51</v>
      </c>
      <c r="B5777" s="1" t="str">
        <f>HYPERLINK("http://365farmnet.fi","365farmnet.fi")</f>
        <v>365farmnet.fi</v>
      </c>
      <c r="C5777" t="s">
        <v>445</v>
      </c>
      <c r="D5777" t="s">
        <v>823</v>
      </c>
      <c r="J5777">
        <v>6</v>
      </c>
    </row>
    <row r="5778" spans="1:10" x14ac:dyDescent="0.25">
      <c r="A5778" t="s">
        <v>51</v>
      </c>
      <c r="B5778" s="1" t="str">
        <f>HYPERLINK("http://agrihuolto.fi","agrihuolto.fi")</f>
        <v>agrihuolto.fi</v>
      </c>
      <c r="C5778" t="s">
        <v>445</v>
      </c>
      <c r="D5778" t="s">
        <v>823</v>
      </c>
      <c r="J5778">
        <v>11</v>
      </c>
    </row>
    <row r="5779" spans="1:10" x14ac:dyDescent="0.25">
      <c r="A5779" t="s">
        <v>51</v>
      </c>
      <c r="B5779" s="1" t="str">
        <f>HYPERLINK("http://agrimarket.fi","agrimarket.fi")</f>
        <v>agrimarket.fi</v>
      </c>
      <c r="C5779" t="s">
        <v>445</v>
      </c>
      <c r="D5779" t="s">
        <v>823</v>
      </c>
      <c r="F5779">
        <v>2.5337679418467001E-8</v>
      </c>
      <c r="G5779">
        <v>2036488</v>
      </c>
      <c r="H5779">
        <v>14487417</v>
      </c>
      <c r="I5779">
        <v>947743</v>
      </c>
      <c r="J5779">
        <v>10</v>
      </c>
    </row>
    <row r="5780" spans="1:10" x14ac:dyDescent="0.25">
      <c r="A5780" t="s">
        <v>51</v>
      </c>
      <c r="B5780" s="1" t="str">
        <f>HYPERLINK("http://agriristeily.fi","agriristeily.fi")</f>
        <v>agriristeily.fi</v>
      </c>
      <c r="C5780" t="s">
        <v>445</v>
      </c>
      <c r="D5780" t="s">
        <v>823</v>
      </c>
      <c r="J5780">
        <v>11</v>
      </c>
    </row>
    <row r="5781" spans="1:10" x14ac:dyDescent="0.25">
      <c r="A5781" t="s">
        <v>51</v>
      </c>
      <c r="B5781" s="1" t="str">
        <f>HYPERLINK("http://alfred-berg.fi","alfred-berg.fi")</f>
        <v>alfred-berg.fi</v>
      </c>
      <c r="C5781" t="s">
        <v>445</v>
      </c>
      <c r="D5781" t="s">
        <v>823</v>
      </c>
      <c r="J5781">
        <v>2</v>
      </c>
    </row>
    <row r="5782" spans="1:10" x14ac:dyDescent="0.25">
      <c r="A5782" t="s">
        <v>51</v>
      </c>
      <c r="B5782" s="1" t="str">
        <f>HYPERLINK("http://apk.fi","apk.fi")</f>
        <v>apk.fi</v>
      </c>
      <c r="C5782" t="s">
        <v>445</v>
      </c>
      <c r="D5782" t="s">
        <v>823</v>
      </c>
      <c r="F5782">
        <v>5.8238241148632599E-8</v>
      </c>
      <c r="G5782">
        <v>763553</v>
      </c>
      <c r="H5782">
        <v>14242631</v>
      </c>
      <c r="I5782">
        <v>1482725</v>
      </c>
      <c r="J5782">
        <v>10</v>
      </c>
    </row>
    <row r="5783" spans="1:10" x14ac:dyDescent="0.25">
      <c r="A5783" t="s">
        <v>51</v>
      </c>
      <c r="B5783" s="1" t="str">
        <f>HYPERLINK("http://arval.fi","arval.fi")</f>
        <v>arval.fi</v>
      </c>
      <c r="C5783" t="s">
        <v>445</v>
      </c>
      <c r="D5783" t="s">
        <v>823</v>
      </c>
      <c r="F5783">
        <v>7.3590610497443304E-9</v>
      </c>
      <c r="G5783">
        <v>11339715</v>
      </c>
      <c r="H5783">
        <v>12255636</v>
      </c>
      <c r="I5783">
        <v>21878144</v>
      </c>
      <c r="J5783">
        <v>3</v>
      </c>
    </row>
    <row r="5784" spans="1:10" x14ac:dyDescent="0.25">
      <c r="A5784" t="s">
        <v>51</v>
      </c>
      <c r="B5784" s="1" t="str">
        <f>HYPERLINK("http://arvalcarsharing.fi","arvalcarsharing.fi")</f>
        <v>arvalcarsharing.fi</v>
      </c>
      <c r="C5784" t="s">
        <v>445</v>
      </c>
      <c r="D5784" t="s">
        <v>823</v>
      </c>
      <c r="J5784">
        <v>4</v>
      </c>
    </row>
    <row r="5785" spans="1:10" x14ac:dyDescent="0.25">
      <c r="A5785" t="s">
        <v>51</v>
      </c>
      <c r="B5785" s="1" t="str">
        <f>HYPERLINK("http://arvo-osuudet.fi","arvo-osuudet.fi")</f>
        <v>arvo-osuudet.fi</v>
      </c>
      <c r="C5785" t="s">
        <v>445</v>
      </c>
      <c r="D5785" t="s">
        <v>823</v>
      </c>
      <c r="F5785">
        <v>4.4442301203895998E-9</v>
      </c>
      <c r="G5785">
        <v>77237115</v>
      </c>
      <c r="H5785">
        <v>10343830</v>
      </c>
      <c r="I5785">
        <v>57636960</v>
      </c>
      <c r="J5785">
        <v>8</v>
      </c>
    </row>
    <row r="5786" spans="1:10" x14ac:dyDescent="0.25">
      <c r="A5786" t="s">
        <v>51</v>
      </c>
      <c r="B5786" s="1" t="str">
        <f>HYPERLINK("http://arvo-osuusjarjestelma.fi","arvo-osuusjarjestelma.fi")</f>
        <v>arvo-osuusjarjestelma.fi</v>
      </c>
      <c r="C5786" t="s">
        <v>445</v>
      </c>
      <c r="D5786" t="s">
        <v>823</v>
      </c>
      <c r="F5786">
        <v>4.4442301203895998E-9</v>
      </c>
      <c r="G5786">
        <v>77237116</v>
      </c>
      <c r="H5786">
        <v>10343830</v>
      </c>
      <c r="I5786">
        <v>57636961</v>
      </c>
      <c r="J5786">
        <v>8</v>
      </c>
    </row>
    <row r="5787" spans="1:10" x14ac:dyDescent="0.25">
      <c r="A5787" t="s">
        <v>51</v>
      </c>
      <c r="B5787" s="1" t="str">
        <f>HYPERLINK("http://arvo-osuusrekisteri.fi","arvo-osuusrekisteri.fi")</f>
        <v>arvo-osuusrekisteri.fi</v>
      </c>
      <c r="C5787" t="s">
        <v>445</v>
      </c>
      <c r="D5787" t="s">
        <v>823</v>
      </c>
      <c r="F5787">
        <v>4.4442301203895998E-9</v>
      </c>
      <c r="G5787">
        <v>77237117</v>
      </c>
      <c r="H5787">
        <v>10343830</v>
      </c>
      <c r="I5787">
        <v>57636962</v>
      </c>
      <c r="J5787">
        <v>8</v>
      </c>
    </row>
    <row r="5788" spans="1:10" x14ac:dyDescent="0.25">
      <c r="A5788" t="s">
        <v>51</v>
      </c>
      <c r="B5788" s="1" t="str">
        <f>HYPERLINK("http://arvopaperikeskus.fi","arvopaperikeskus.fi")</f>
        <v>arvopaperikeskus.fi</v>
      </c>
      <c r="C5788" t="s">
        <v>445</v>
      </c>
      <c r="D5788" t="s">
        <v>823</v>
      </c>
      <c r="J5788">
        <v>10</v>
      </c>
    </row>
    <row r="5789" spans="1:10" x14ac:dyDescent="0.25">
      <c r="A5789" t="s">
        <v>51</v>
      </c>
      <c r="B5789" s="1" t="str">
        <f>HYPERLINK("http://asunto-osake.fi","asunto-osake.fi")</f>
        <v>asunto-osake.fi</v>
      </c>
      <c r="C5789" t="s">
        <v>445</v>
      </c>
      <c r="D5789" t="s">
        <v>823</v>
      </c>
      <c r="F5789">
        <v>4.4442301203895998E-9</v>
      </c>
      <c r="G5789">
        <v>77237136</v>
      </c>
      <c r="H5789">
        <v>10343830</v>
      </c>
      <c r="I5789">
        <v>57636987</v>
      </c>
      <c r="J5789">
        <v>8</v>
      </c>
    </row>
    <row r="5790" spans="1:10" x14ac:dyDescent="0.25">
      <c r="A5790" t="s">
        <v>51</v>
      </c>
      <c r="B5790" s="1" t="str">
        <f>HYPERLINK("http://asunto-osakerekisteri.fi","asunto-osakerekisteri.fi")</f>
        <v>asunto-osakerekisteri.fi</v>
      </c>
      <c r="C5790" t="s">
        <v>445</v>
      </c>
      <c r="D5790" t="s">
        <v>823</v>
      </c>
      <c r="F5790">
        <v>4.4442301203895998E-9</v>
      </c>
      <c r="G5790">
        <v>77237137</v>
      </c>
      <c r="H5790">
        <v>10343830</v>
      </c>
      <c r="I5790">
        <v>57636988</v>
      </c>
      <c r="J5790">
        <v>8</v>
      </c>
    </row>
    <row r="5791" spans="1:10" x14ac:dyDescent="0.25">
      <c r="A5791" t="s">
        <v>51</v>
      </c>
      <c r="B5791" s="1" t="str">
        <f>HYPERLINK("http://asunto-osakkeet.fi","asunto-osakkeet.fi")</f>
        <v>asunto-osakkeet.fi</v>
      </c>
      <c r="C5791" t="s">
        <v>445</v>
      </c>
      <c r="D5791" t="s">
        <v>823</v>
      </c>
      <c r="F5791">
        <v>4.4442301203895998E-9</v>
      </c>
      <c r="G5791">
        <v>77237138</v>
      </c>
      <c r="H5791">
        <v>10343830</v>
      </c>
      <c r="I5791">
        <v>57636989</v>
      </c>
      <c r="J5791">
        <v>8</v>
      </c>
    </row>
    <row r="5792" spans="1:10" x14ac:dyDescent="0.25">
      <c r="A5792" t="s">
        <v>51</v>
      </c>
      <c r="B5792" s="1" t="str">
        <f>HYPERLINK("http://bnpparibas.fi","bnpparibas.fi")</f>
        <v>bnpparibas.fi</v>
      </c>
      <c r="C5792" t="s">
        <v>445</v>
      </c>
      <c r="D5792" t="s">
        <v>823</v>
      </c>
      <c r="J5792">
        <v>2</v>
      </c>
    </row>
    <row r="5793" spans="1:10" x14ac:dyDescent="0.25">
      <c r="A5793" t="s">
        <v>51</v>
      </c>
      <c r="B5793" s="1" t="str">
        <f>HYPERLINK("http://bnpparibas-am.fi","bnpparibas-am.fi")</f>
        <v>bnpparibas-am.fi</v>
      </c>
      <c r="C5793" t="s">
        <v>445</v>
      </c>
      <c r="D5793" t="s">
        <v>823</v>
      </c>
      <c r="F5793">
        <v>9.3217353998723304E-9</v>
      </c>
      <c r="G5793">
        <v>7544692</v>
      </c>
      <c r="H5793">
        <v>12263944</v>
      </c>
      <c r="I5793">
        <v>21657880</v>
      </c>
      <c r="J5793">
        <v>2</v>
      </c>
    </row>
    <row r="5794" spans="1:10" x14ac:dyDescent="0.25">
      <c r="A5794" t="s">
        <v>51</v>
      </c>
      <c r="B5794" s="1" t="str">
        <f>HYPERLINK("http://bnpparibas-pf.fi","bnpparibas-pf.fi")</f>
        <v>bnpparibas-pf.fi</v>
      </c>
      <c r="C5794" t="s">
        <v>445</v>
      </c>
      <c r="D5794" t="s">
        <v>823</v>
      </c>
      <c r="J5794">
        <v>5</v>
      </c>
    </row>
    <row r="5795" spans="1:10" x14ac:dyDescent="0.25">
      <c r="A5795" t="s">
        <v>51</v>
      </c>
      <c r="B5795" s="1" t="str">
        <f>HYPERLINK("http://bnpparibascardif.fi","bnpparibascardif.fi")</f>
        <v>bnpparibascardif.fi</v>
      </c>
      <c r="C5795" t="s">
        <v>445</v>
      </c>
      <c r="D5795" t="s">
        <v>823</v>
      </c>
      <c r="J5795">
        <v>2</v>
      </c>
    </row>
    <row r="5796" spans="1:10" x14ac:dyDescent="0.25">
      <c r="A5796" t="s">
        <v>51</v>
      </c>
      <c r="B5796" s="1" t="str">
        <f>HYPERLINK("http://claas.fi","claas.fi")</f>
        <v>claas.fi</v>
      </c>
      <c r="C5796" t="s">
        <v>445</v>
      </c>
      <c r="D5796" t="s">
        <v>823</v>
      </c>
      <c r="F5796">
        <v>1.9839976813180101E-8</v>
      </c>
      <c r="G5796">
        <v>2686805</v>
      </c>
      <c r="H5796">
        <v>10924996</v>
      </c>
      <c r="I5796">
        <v>35170604</v>
      </c>
      <c r="J5796">
        <v>4</v>
      </c>
    </row>
    <row r="5797" spans="1:10" x14ac:dyDescent="0.25">
      <c r="A5797" t="s">
        <v>51</v>
      </c>
      <c r="B5797" s="1" t="str">
        <f>HYPERLINK("http://crewsaver.fi","crewsaver.fi")</f>
        <v>crewsaver.fi</v>
      </c>
      <c r="C5797" t="s">
        <v>445</v>
      </c>
      <c r="D5797" t="s">
        <v>823</v>
      </c>
      <c r="J5797">
        <v>8</v>
      </c>
    </row>
    <row r="5798" spans="1:10" x14ac:dyDescent="0.25">
      <c r="A5798" t="s">
        <v>51</v>
      </c>
      <c r="B5798" s="1" t="str">
        <f>HYPERLINK("http://cropline.fi","cropline.fi")</f>
        <v>cropline.fi</v>
      </c>
      <c r="C5798" t="s">
        <v>445</v>
      </c>
      <c r="D5798" t="s">
        <v>823</v>
      </c>
      <c r="J5798">
        <v>10</v>
      </c>
    </row>
    <row r="5799" spans="1:10" x14ac:dyDescent="0.25">
      <c r="A5799" t="s">
        <v>51</v>
      </c>
      <c r="B5799" s="1" t="str">
        <f>HYPERLINK("http://euroclear.fi","euroclear.fi")</f>
        <v>euroclear.fi</v>
      </c>
      <c r="C5799" t="s">
        <v>445</v>
      </c>
      <c r="D5799" t="s">
        <v>823</v>
      </c>
      <c r="F5799">
        <v>5.34718939836461E-9</v>
      </c>
      <c r="G5799">
        <v>22839182</v>
      </c>
      <c r="H5799">
        <v>12285665</v>
      </c>
      <c r="I5799">
        <v>21196570</v>
      </c>
      <c r="J5799">
        <v>10</v>
      </c>
    </row>
    <row r="5800" spans="1:10" x14ac:dyDescent="0.25">
      <c r="A5800" t="s">
        <v>51</v>
      </c>
      <c r="B5800" s="1" t="str">
        <f>HYPERLINK("http://expressbank.fi","expressbank.fi")</f>
        <v>expressbank.fi</v>
      </c>
      <c r="C5800" t="s">
        <v>445</v>
      </c>
      <c r="D5800" t="s">
        <v>823</v>
      </c>
      <c r="J5800">
        <v>4</v>
      </c>
    </row>
    <row r="5801" spans="1:10" x14ac:dyDescent="0.25">
      <c r="A5801" t="s">
        <v>51</v>
      </c>
      <c r="B5801" s="1" t="str">
        <f>HYPERLINK("http://fa-machinery.fi","fa-machinery.fi")</f>
        <v>fa-machinery.fi</v>
      </c>
      <c r="C5801" t="s">
        <v>445</v>
      </c>
      <c r="D5801" t="s">
        <v>823</v>
      </c>
      <c r="J5801">
        <v>10</v>
      </c>
    </row>
    <row r="5802" spans="1:10" x14ac:dyDescent="0.25">
      <c r="A5802" t="s">
        <v>51</v>
      </c>
      <c r="B5802" s="1" t="str">
        <f>HYPERLINK("http://farmari.fi","farmari.fi")</f>
        <v>farmari.fi</v>
      </c>
      <c r="C5802" t="s">
        <v>445</v>
      </c>
      <c r="D5802" t="s">
        <v>823</v>
      </c>
      <c r="F5802">
        <v>5.0528634537424398E-9</v>
      </c>
      <c r="G5802">
        <v>28156959</v>
      </c>
      <c r="H5802">
        <v>11966358</v>
      </c>
      <c r="I5802">
        <v>28773713</v>
      </c>
      <c r="J5802">
        <v>11</v>
      </c>
    </row>
    <row r="5803" spans="1:10" x14ac:dyDescent="0.25">
      <c r="A5803" t="s">
        <v>51</v>
      </c>
      <c r="B5803" s="1" t="str">
        <f>HYPERLINK("http://farmparts.fi","farmparts.fi")</f>
        <v>farmparts.fi</v>
      </c>
      <c r="C5803" t="s">
        <v>445</v>
      </c>
      <c r="D5803" t="s">
        <v>823</v>
      </c>
      <c r="J5803">
        <v>10</v>
      </c>
    </row>
    <row r="5804" spans="1:10" x14ac:dyDescent="0.25">
      <c r="A5804" t="s">
        <v>51</v>
      </c>
      <c r="B5804" s="1" t="str">
        <f>HYPERLINK("http://finnish-agro-machinery.fi","finnish-agro-machinery.fi")</f>
        <v>finnish-agro-machinery.fi</v>
      </c>
      <c r="C5804" t="s">
        <v>445</v>
      </c>
      <c r="D5804" t="s">
        <v>823</v>
      </c>
      <c r="J5804">
        <v>10</v>
      </c>
    </row>
    <row r="5805" spans="1:10" x14ac:dyDescent="0.25">
      <c r="A5805" t="s">
        <v>51</v>
      </c>
      <c r="B5805" s="1" t="str">
        <f>HYPERLINK("http://finnishagro-machinery.fi","finnishagro-machinery.fi")</f>
        <v>finnishagro-machinery.fi</v>
      </c>
      <c r="C5805" t="s">
        <v>445</v>
      </c>
      <c r="D5805" t="s">
        <v>823</v>
      </c>
      <c r="J5805">
        <v>10</v>
      </c>
    </row>
    <row r="5806" spans="1:10" x14ac:dyDescent="0.25">
      <c r="A5806" t="s">
        <v>51</v>
      </c>
      <c r="B5806" s="1" t="str">
        <f>HYPERLINK("http://finnishagromachinery.fi","finnishagromachinery.fi")</f>
        <v>finnishagromachinery.fi</v>
      </c>
      <c r="C5806" t="s">
        <v>445</v>
      </c>
      <c r="D5806" t="s">
        <v>823</v>
      </c>
      <c r="J5806">
        <v>10</v>
      </c>
    </row>
    <row r="5807" spans="1:10" x14ac:dyDescent="0.25">
      <c r="A5807" t="s">
        <v>51</v>
      </c>
      <c r="B5807" s="1" t="str">
        <f>HYPERLINK("http://finskafoder.fi","finskafoder.fi")</f>
        <v>finskafoder.fi</v>
      </c>
      <c r="C5807" t="s">
        <v>445</v>
      </c>
      <c r="D5807" t="s">
        <v>823</v>
      </c>
      <c r="J5807">
        <v>11</v>
      </c>
    </row>
    <row r="5808" spans="1:10" x14ac:dyDescent="0.25">
      <c r="A5808" t="s">
        <v>51</v>
      </c>
      <c r="B5808" s="1" t="str">
        <f>HYPERLINK("http://hankkija.fi","hankkija.fi")</f>
        <v>hankkija.fi</v>
      </c>
      <c r="C5808" t="s">
        <v>445</v>
      </c>
      <c r="D5808" t="s">
        <v>823</v>
      </c>
      <c r="E5808">
        <v>826017</v>
      </c>
      <c r="F5808">
        <v>1.05950344881183E-7</v>
      </c>
      <c r="G5808">
        <v>378007</v>
      </c>
      <c r="H5808">
        <v>14313961</v>
      </c>
      <c r="I5808">
        <v>1337546</v>
      </c>
      <c r="J5808">
        <v>11</v>
      </c>
    </row>
    <row r="5809" spans="1:10" x14ac:dyDescent="0.25">
      <c r="A5809" t="s">
        <v>51</v>
      </c>
      <c r="B5809" s="1" t="str">
        <f>HYPERLINK("http://hankkija-maatalous.fi","hankkija-maatalous.fi")</f>
        <v>hankkija-maatalous.fi</v>
      </c>
      <c r="C5809" t="s">
        <v>445</v>
      </c>
      <c r="D5809" t="s">
        <v>823</v>
      </c>
      <c r="J5809">
        <v>11</v>
      </c>
    </row>
    <row r="5810" spans="1:10" x14ac:dyDescent="0.25">
      <c r="A5810" t="s">
        <v>51</v>
      </c>
      <c r="B5810" s="1" t="str">
        <f>HYPERLINK("http://hansenprotection.fi","hansenprotection.fi")</f>
        <v>hansenprotection.fi</v>
      </c>
      <c r="C5810" t="s">
        <v>445</v>
      </c>
      <c r="D5810" t="s">
        <v>823</v>
      </c>
      <c r="J5810">
        <v>8</v>
      </c>
    </row>
    <row r="5811" spans="1:10" x14ac:dyDescent="0.25">
      <c r="A5811" t="s">
        <v>51</v>
      </c>
      <c r="B5811" s="1" t="str">
        <f>HYPERLINK("http://hercules-animals.fi","hercules-animals.fi")</f>
        <v>hercules-animals.fi</v>
      </c>
      <c r="C5811" t="s">
        <v>445</v>
      </c>
      <c r="D5811" t="s">
        <v>823</v>
      </c>
      <c r="J5811">
        <v>10</v>
      </c>
    </row>
    <row r="5812" spans="1:10" x14ac:dyDescent="0.25">
      <c r="A5812" t="s">
        <v>51</v>
      </c>
      <c r="B5812" s="1" t="str">
        <f>HYPERLINK("http://herculesanimals.fi","herculesanimals.fi")</f>
        <v>herculesanimals.fi</v>
      </c>
      <c r="C5812" t="s">
        <v>445</v>
      </c>
      <c r="D5812" t="s">
        <v>823</v>
      </c>
      <c r="J5812">
        <v>10</v>
      </c>
    </row>
    <row r="5813" spans="1:10" x14ac:dyDescent="0.25">
      <c r="A5813" t="s">
        <v>51</v>
      </c>
      <c r="B5813" s="1" t="str">
        <f>HYPERLINK("http://jahtivahti.fi","jahtivahti.fi")</f>
        <v>jahtivahti.fi</v>
      </c>
      <c r="C5813" t="s">
        <v>445</v>
      </c>
      <c r="D5813" t="s">
        <v>823</v>
      </c>
      <c r="F5813">
        <v>1.0613736182757099E-8</v>
      </c>
      <c r="G5813">
        <v>6171922</v>
      </c>
      <c r="H5813">
        <v>13764092</v>
      </c>
      <c r="I5813">
        <v>7386607</v>
      </c>
      <c r="J5813">
        <v>11</v>
      </c>
    </row>
    <row r="5814" spans="1:10" x14ac:dyDescent="0.25">
      <c r="A5814" t="s">
        <v>51</v>
      </c>
      <c r="B5814" s="1" t="str">
        <f>HYPERLINK("http://konekeskus.fi","konekeskus.fi")</f>
        <v>konekeskus.fi</v>
      </c>
      <c r="C5814" t="s">
        <v>445</v>
      </c>
      <c r="D5814" t="s">
        <v>823</v>
      </c>
      <c r="J5814">
        <v>11</v>
      </c>
    </row>
    <row r="5815" spans="1:10" x14ac:dyDescent="0.25">
      <c r="A5815" t="s">
        <v>51</v>
      </c>
      <c r="B5815" s="1" t="str">
        <f>HYPERLINK("http://lakgruppen.fi","lakgruppen.fi")</f>
        <v>lakgruppen.fi</v>
      </c>
      <c r="C5815" t="s">
        <v>445</v>
      </c>
      <c r="D5815" t="s">
        <v>823</v>
      </c>
      <c r="J5815">
        <v>6</v>
      </c>
    </row>
    <row r="5816" spans="1:10" x14ac:dyDescent="0.25">
      <c r="A5816" t="s">
        <v>51</v>
      </c>
      <c r="B5816" s="1" t="str">
        <f>HYPERLINK("http://maritimeprotection.fi","maritimeprotection.fi")</f>
        <v>maritimeprotection.fi</v>
      </c>
      <c r="C5816" t="s">
        <v>445</v>
      </c>
      <c r="D5816" t="s">
        <v>823</v>
      </c>
      <c r="J5816">
        <v>8</v>
      </c>
    </row>
    <row r="5817" spans="1:10" x14ac:dyDescent="0.25">
      <c r="A5817" t="s">
        <v>51</v>
      </c>
      <c r="B5817" s="1" t="str">
        <f>HYPERLINK("http://mediahankkija.fi","mediahankkija.fi")</f>
        <v>mediahankkija.fi</v>
      </c>
      <c r="C5817" t="s">
        <v>445</v>
      </c>
      <c r="D5817" t="s">
        <v>823</v>
      </c>
      <c r="F5817">
        <v>5.0735787306210097E-9</v>
      </c>
      <c r="G5817">
        <v>27664198</v>
      </c>
      <c r="H5817">
        <v>10633356</v>
      </c>
      <c r="I5817">
        <v>43906410</v>
      </c>
      <c r="J5817">
        <v>11</v>
      </c>
    </row>
    <row r="5818" spans="1:10" x14ac:dyDescent="0.25">
      <c r="A5818" t="s">
        <v>51</v>
      </c>
      <c r="B5818" s="1" t="str">
        <f>HYPERLINK("http://multasormi.fi","multasormi.fi")</f>
        <v>multasormi.fi</v>
      </c>
      <c r="C5818" t="s">
        <v>445</v>
      </c>
      <c r="D5818" t="s">
        <v>823</v>
      </c>
      <c r="F5818">
        <v>5.4329323400519203E-9</v>
      </c>
      <c r="G5818">
        <v>21703958</v>
      </c>
      <c r="H5818">
        <v>13763639</v>
      </c>
      <c r="I5818">
        <v>7965690</v>
      </c>
      <c r="J5818">
        <v>11</v>
      </c>
    </row>
    <row r="5819" spans="1:10" x14ac:dyDescent="0.25">
      <c r="A5819" t="s">
        <v>51</v>
      </c>
      <c r="B5819" s="1" t="str">
        <f>HYPERLINK("http://ncsd.fi","ncsd.fi")</f>
        <v>ncsd.fi</v>
      </c>
      <c r="C5819" t="s">
        <v>445</v>
      </c>
      <c r="D5819" t="s">
        <v>823</v>
      </c>
      <c r="J5819">
        <v>10</v>
      </c>
    </row>
    <row r="5820" spans="1:10" x14ac:dyDescent="0.25">
      <c r="A5820" t="s">
        <v>51</v>
      </c>
      <c r="B5820" s="1" t="str">
        <f>HYPERLINK("http://ncsdgroup.fi","ncsdgroup.fi")</f>
        <v>ncsdgroup.fi</v>
      </c>
      <c r="C5820" t="s">
        <v>445</v>
      </c>
      <c r="D5820" t="s">
        <v>823</v>
      </c>
      <c r="J5820">
        <v>10</v>
      </c>
    </row>
    <row r="5821" spans="1:10" x14ac:dyDescent="0.25">
      <c r="A5821" t="s">
        <v>51</v>
      </c>
      <c r="B5821" s="1" t="str">
        <f>HYPERLINK("http://ney-mo.fi","ney-mo.fi")</f>
        <v>ney-mo.fi</v>
      </c>
      <c r="C5821" t="s">
        <v>445</v>
      </c>
      <c r="D5821" t="s">
        <v>823</v>
      </c>
      <c r="J5821">
        <v>5</v>
      </c>
    </row>
    <row r="5822" spans="1:10" x14ac:dyDescent="0.25">
      <c r="A5822" t="s">
        <v>51</v>
      </c>
      <c r="B5822" s="1" t="str">
        <f>HYPERLINK("http://neymo.fi","neymo.fi")</f>
        <v>neymo.fi</v>
      </c>
      <c r="C5822" t="s">
        <v>445</v>
      </c>
      <c r="D5822" t="s">
        <v>823</v>
      </c>
      <c r="J5822">
        <v>2</v>
      </c>
    </row>
    <row r="5823" spans="1:10" x14ac:dyDescent="0.25">
      <c r="A5823" t="s">
        <v>51</v>
      </c>
      <c r="B5823" s="1" t="str">
        <f>HYPERLINK("http://nuveen.fi","nuveen.fi")</f>
        <v>nuveen.fi</v>
      </c>
      <c r="C5823" t="s">
        <v>445</v>
      </c>
      <c r="D5823" t="s">
        <v>823</v>
      </c>
      <c r="J5823">
        <v>14</v>
      </c>
    </row>
    <row r="5824" spans="1:10" x14ac:dyDescent="0.25">
      <c r="A5824" t="s">
        <v>51</v>
      </c>
      <c r="B5824" s="1" t="str">
        <f>HYPERLINK("http://nuveenglobal.fi","nuveenglobal.fi")</f>
        <v>nuveenglobal.fi</v>
      </c>
      <c r="C5824" t="s">
        <v>445</v>
      </c>
      <c r="D5824" t="s">
        <v>823</v>
      </c>
      <c r="J5824">
        <v>14</v>
      </c>
    </row>
    <row r="5825" spans="1:10" x14ac:dyDescent="0.25">
      <c r="A5825" t="s">
        <v>51</v>
      </c>
      <c r="B5825" s="1" t="str">
        <f>HYPERLINK("http://racing.fi","racing.fi")</f>
        <v>racing.fi</v>
      </c>
      <c r="C5825" t="s">
        <v>445</v>
      </c>
      <c r="D5825" t="s">
        <v>823</v>
      </c>
      <c r="F5825">
        <v>1.00791698090947E-8</v>
      </c>
      <c r="G5825">
        <v>6671265</v>
      </c>
      <c r="H5825">
        <v>14236414</v>
      </c>
      <c r="I5825">
        <v>1587174</v>
      </c>
      <c r="J5825">
        <v>11</v>
      </c>
    </row>
    <row r="5826" spans="1:10" x14ac:dyDescent="0.25">
      <c r="A5826" t="s">
        <v>51</v>
      </c>
      <c r="B5826" s="1" t="str">
        <f>HYPERLINK("http://suomenrehu.fi","suomenrehu.fi")</f>
        <v>suomenrehu.fi</v>
      </c>
      <c r="C5826" t="s">
        <v>445</v>
      </c>
      <c r="D5826" t="s">
        <v>823</v>
      </c>
      <c r="F5826">
        <v>8.7945107223944707E-9</v>
      </c>
      <c r="G5826">
        <v>8319657</v>
      </c>
      <c r="H5826">
        <v>13763840</v>
      </c>
      <c r="I5826">
        <v>7569571</v>
      </c>
      <c r="J5826">
        <v>11</v>
      </c>
    </row>
    <row r="5827" spans="1:10" x14ac:dyDescent="0.25">
      <c r="A5827" t="s">
        <v>51</v>
      </c>
      <c r="B5827" s="1" t="str">
        <f>HYPERLINK("http://supremehorsecare.fi","supremehorsecare.fi")</f>
        <v>supremehorsecare.fi</v>
      </c>
      <c r="C5827" t="s">
        <v>445</v>
      </c>
      <c r="D5827" t="s">
        <v>823</v>
      </c>
      <c r="F5827">
        <v>5.7450653321203104E-9</v>
      </c>
      <c r="G5827">
        <v>18537485</v>
      </c>
      <c r="H5827">
        <v>13763900</v>
      </c>
      <c r="I5827">
        <v>7509789</v>
      </c>
      <c r="J5827">
        <v>11</v>
      </c>
    </row>
    <row r="5828" spans="1:10" x14ac:dyDescent="0.25">
      <c r="A5828" t="s">
        <v>51</v>
      </c>
      <c r="B5828" s="1" t="str">
        <f>HYPERLINK("http://survitec.fi","survitec.fi")</f>
        <v>survitec.fi</v>
      </c>
      <c r="C5828" t="s">
        <v>445</v>
      </c>
      <c r="D5828" t="s">
        <v>823</v>
      </c>
      <c r="J5828">
        <v>8</v>
      </c>
    </row>
    <row r="5829" spans="1:10" x14ac:dyDescent="0.25">
      <c r="A5829" t="s">
        <v>51</v>
      </c>
      <c r="B5829" s="1" t="str">
        <f>HYPERLINK("http://turbowarrantit.fi","turbowarrantit.fi")</f>
        <v>turbowarrantit.fi</v>
      </c>
      <c r="C5829" t="s">
        <v>445</v>
      </c>
      <c r="D5829" t="s">
        <v>823</v>
      </c>
      <c r="F5829">
        <v>4.4523070968867703E-9</v>
      </c>
      <c r="G5829">
        <v>70709742</v>
      </c>
      <c r="H5829">
        <v>10720126</v>
      </c>
      <c r="I5829">
        <v>41984023</v>
      </c>
      <c r="J5829">
        <v>2</v>
      </c>
    </row>
    <row r="5830" spans="1:10" x14ac:dyDescent="0.25">
      <c r="A5830" t="s">
        <v>51</v>
      </c>
      <c r="B5830" s="1" t="str">
        <f>HYPERLINK("http://vaihtokoneporssi.fi","vaihtokoneporssi.fi")</f>
        <v>vaihtokoneporssi.fi</v>
      </c>
      <c r="C5830" t="s">
        <v>445</v>
      </c>
      <c r="D5830" t="s">
        <v>823</v>
      </c>
      <c r="J5830">
        <v>11</v>
      </c>
    </row>
    <row r="5831" spans="1:10" x14ac:dyDescent="0.25">
      <c r="A5831" t="s">
        <v>51</v>
      </c>
      <c r="B5831" s="1" t="str">
        <f>HYPERLINK("http://vilofarm.fi","vilofarm.fi")</f>
        <v>vilofarm.fi</v>
      </c>
      <c r="C5831" t="s">
        <v>445</v>
      </c>
      <c r="D5831" t="s">
        <v>823</v>
      </c>
      <c r="J5831">
        <v>10</v>
      </c>
    </row>
    <row r="5832" spans="1:10" x14ac:dyDescent="0.25">
      <c r="A5832" t="s">
        <v>51</v>
      </c>
      <c r="B5832" s="1" t="str">
        <f>HYPERLINK("http://viovet.fi","viovet.fi")</f>
        <v>viovet.fi</v>
      </c>
      <c r="C5832" t="s">
        <v>445</v>
      </c>
      <c r="D5832" t="s">
        <v>823</v>
      </c>
      <c r="J5832">
        <v>7</v>
      </c>
    </row>
    <row r="5833" spans="1:10" x14ac:dyDescent="0.25">
      <c r="A5833" t="s">
        <v>51</v>
      </c>
      <c r="B5833" s="1" t="str">
        <f>HYPERLINK("http://ageas.fr","ageas.fr")</f>
        <v>ageas.fr</v>
      </c>
      <c r="C5833" t="s">
        <v>446</v>
      </c>
      <c r="D5833" t="s">
        <v>824</v>
      </c>
      <c r="F5833">
        <v>2.3436349664549001E-8</v>
      </c>
      <c r="G5833">
        <v>2221623</v>
      </c>
      <c r="H5833">
        <v>12331825</v>
      </c>
      <c r="I5833">
        <v>20172298</v>
      </c>
      <c r="J5833">
        <v>7</v>
      </c>
    </row>
    <row r="5834" spans="1:10" x14ac:dyDescent="0.25">
      <c r="A5834" t="s">
        <v>51</v>
      </c>
      <c r="B5834" s="1" t="str">
        <f>HYPERLINK("http://agrealestate.fr","agrealestate.fr")</f>
        <v>agrealestate.fr</v>
      </c>
      <c r="C5834" t="s">
        <v>446</v>
      </c>
      <c r="D5834" t="s">
        <v>824</v>
      </c>
      <c r="F5834">
        <v>6.0526831712222099E-9</v>
      </c>
      <c r="G5834">
        <v>16366788</v>
      </c>
      <c r="H5834">
        <v>10943368</v>
      </c>
      <c r="I5834">
        <v>34742389</v>
      </c>
      <c r="J5834">
        <v>7</v>
      </c>
    </row>
    <row r="5835" spans="1:10" x14ac:dyDescent="0.25">
      <c r="A5835" t="s">
        <v>51</v>
      </c>
      <c r="B5835" s="1" t="str">
        <f>HYPERLINK("http://agrifrance.fr","agrifrance.fr")</f>
        <v>agrifrance.fr</v>
      </c>
      <c r="C5835" t="s">
        <v>446</v>
      </c>
      <c r="D5835" t="s">
        <v>824</v>
      </c>
      <c r="F5835">
        <v>4.7412447387470303E-9</v>
      </c>
      <c r="G5835">
        <v>38739388</v>
      </c>
      <c r="H5835">
        <v>12400571</v>
      </c>
      <c r="I5835">
        <v>18774160</v>
      </c>
      <c r="J5835">
        <v>4</v>
      </c>
    </row>
    <row r="5836" spans="1:10" x14ac:dyDescent="0.25">
      <c r="A5836" t="s">
        <v>51</v>
      </c>
      <c r="B5836" s="1" t="str">
        <f>HYPERLINK("http://arius.fr","arius.fr")</f>
        <v>arius.fr</v>
      </c>
      <c r="C5836" t="s">
        <v>446</v>
      </c>
      <c r="D5836" t="s">
        <v>824</v>
      </c>
      <c r="F5836">
        <v>5.0601947369155896E-9</v>
      </c>
      <c r="G5836">
        <v>27998363</v>
      </c>
      <c r="H5836">
        <v>12184927</v>
      </c>
      <c r="I5836">
        <v>23699046</v>
      </c>
      <c r="J5836">
        <v>4</v>
      </c>
    </row>
    <row r="5837" spans="1:10" x14ac:dyDescent="0.25">
      <c r="A5837" t="s">
        <v>51</v>
      </c>
      <c r="B5837" s="1" t="str">
        <f>HYPERLINK("http://arval.fr","arval.fr")</f>
        <v>arval.fr</v>
      </c>
      <c r="C5837" t="s">
        <v>446</v>
      </c>
      <c r="D5837" t="s">
        <v>824</v>
      </c>
      <c r="F5837">
        <v>8.5552855325187306E-8</v>
      </c>
      <c r="G5837">
        <v>481678</v>
      </c>
      <c r="H5837">
        <v>14295154</v>
      </c>
      <c r="I5837">
        <v>1361197</v>
      </c>
      <c r="J5837">
        <v>2</v>
      </c>
    </row>
    <row r="5838" spans="1:10" x14ac:dyDescent="0.25">
      <c r="A5838" t="s">
        <v>51</v>
      </c>
      <c r="B5838" s="1" t="str">
        <f>HYPERLINK("http://atisreal.fr","atisreal.fr")</f>
        <v>atisreal.fr</v>
      </c>
      <c r="C5838" t="s">
        <v>446</v>
      </c>
      <c r="D5838" t="s">
        <v>824</v>
      </c>
      <c r="F5838">
        <v>5.0773463857122401E-9</v>
      </c>
      <c r="G5838">
        <v>27569995</v>
      </c>
      <c r="H5838">
        <v>12184931</v>
      </c>
      <c r="I5838">
        <v>23698942</v>
      </c>
      <c r="J5838">
        <v>2</v>
      </c>
    </row>
    <row r="5839" spans="1:10" x14ac:dyDescent="0.25">
      <c r="A5839" t="s">
        <v>51</v>
      </c>
      <c r="B5839" s="1" t="str">
        <f>HYPERLINK("http://atisreal-conseil.fr","atisreal-conseil.fr")</f>
        <v>atisreal-conseil.fr</v>
      </c>
      <c r="C5839" t="s">
        <v>446</v>
      </c>
      <c r="D5839" t="s">
        <v>824</v>
      </c>
      <c r="F5839">
        <v>4.8097056585947401E-9</v>
      </c>
      <c r="G5839">
        <v>35710479</v>
      </c>
      <c r="H5839">
        <v>9507622</v>
      </c>
      <c r="I5839">
        <v>65620740</v>
      </c>
      <c r="J5839">
        <v>2</v>
      </c>
    </row>
    <row r="5840" spans="1:10" x14ac:dyDescent="0.25">
      <c r="A5840" t="s">
        <v>51</v>
      </c>
      <c r="B5840" s="1" t="str">
        <f>HYPERLINK("http://augmentation-capital.fr","augmentation-capital.fr")</f>
        <v>augmentation-capital.fr</v>
      </c>
      <c r="C5840" t="s">
        <v>446</v>
      </c>
      <c r="D5840" t="s">
        <v>824</v>
      </c>
      <c r="J5840">
        <v>2</v>
      </c>
    </row>
    <row r="5841" spans="1:10" x14ac:dyDescent="0.25">
      <c r="A5841" t="s">
        <v>51</v>
      </c>
      <c r="B5841" s="1" t="str">
        <f>HYPERLINK("http://autovalley.fr","autovalley.fr")</f>
        <v>autovalley.fr</v>
      </c>
      <c r="C5841" t="s">
        <v>446</v>
      </c>
      <c r="D5841" t="s">
        <v>824</v>
      </c>
      <c r="F5841">
        <v>5.0944742427463E-9</v>
      </c>
      <c r="G5841">
        <v>27194115</v>
      </c>
      <c r="H5841">
        <v>12655615</v>
      </c>
      <c r="I5841">
        <v>15764706</v>
      </c>
      <c r="J5841">
        <v>2</v>
      </c>
    </row>
    <row r="5842" spans="1:10" x14ac:dyDescent="0.25">
      <c r="A5842" t="s">
        <v>51</v>
      </c>
      <c r="B5842" s="1" t="str">
        <f>HYPERLINK("http://bnpparibas.fr","bnpparibas.fr")</f>
        <v>bnpparibas.fr</v>
      </c>
      <c r="C5842" t="s">
        <v>446</v>
      </c>
      <c r="D5842" t="s">
        <v>824</v>
      </c>
      <c r="E5842">
        <v>297355</v>
      </c>
      <c r="F5842">
        <v>2.1885430038570999E-7</v>
      </c>
      <c r="G5842">
        <v>172240</v>
      </c>
      <c r="H5842">
        <v>14427798</v>
      </c>
      <c r="I5842">
        <v>1077396</v>
      </c>
      <c r="J5842">
        <v>2</v>
      </c>
    </row>
    <row r="5843" spans="1:10" x14ac:dyDescent="0.25">
      <c r="A5843" t="s">
        <v>51</v>
      </c>
      <c r="B5843" s="1" t="str">
        <f>HYPERLINK("http://bnpparibas-3stepit.fr","bnpparibas-3stepit.fr")</f>
        <v>bnpparibas-3stepit.fr</v>
      </c>
      <c r="C5843" t="s">
        <v>446</v>
      </c>
      <c r="D5843" t="s">
        <v>824</v>
      </c>
      <c r="F5843">
        <v>1.14529929147634E-8</v>
      </c>
      <c r="G5843">
        <v>5536928</v>
      </c>
      <c r="H5843">
        <v>13939894</v>
      </c>
      <c r="I5843">
        <v>4381982</v>
      </c>
      <c r="J5843">
        <v>4</v>
      </c>
    </row>
    <row r="5844" spans="1:10" x14ac:dyDescent="0.25">
      <c r="A5844" t="s">
        <v>51</v>
      </c>
      <c r="B5844" s="1" t="str">
        <f>HYPERLINK("http://bnpparibas-am.fr","bnpparibas-am.fr")</f>
        <v>bnpparibas-am.fr</v>
      </c>
      <c r="C5844" t="s">
        <v>446</v>
      </c>
      <c r="D5844" t="s">
        <v>824</v>
      </c>
      <c r="F5844">
        <v>4.4419199585903697E-8</v>
      </c>
      <c r="G5844">
        <v>1067655</v>
      </c>
      <c r="H5844">
        <v>12860272</v>
      </c>
      <c r="I5844">
        <v>14199058</v>
      </c>
      <c r="J5844">
        <v>3</v>
      </c>
    </row>
    <row r="5845" spans="1:10" x14ac:dyDescent="0.25">
      <c r="A5845" t="s">
        <v>51</v>
      </c>
      <c r="B5845" s="1" t="str">
        <f>HYPERLINK("http://bnppre.fr","bnppre.fr")</f>
        <v>bnppre.fr</v>
      </c>
      <c r="C5845" t="s">
        <v>446</v>
      </c>
      <c r="D5845" t="s">
        <v>824</v>
      </c>
      <c r="F5845">
        <v>5.6592619223927801E-8</v>
      </c>
      <c r="G5845">
        <v>790028</v>
      </c>
      <c r="H5845">
        <v>14516750</v>
      </c>
      <c r="I5845">
        <v>811019</v>
      </c>
      <c r="J5845">
        <v>2</v>
      </c>
    </row>
    <row r="5846" spans="1:10" x14ac:dyDescent="0.25">
      <c r="A5846" t="s">
        <v>51</v>
      </c>
      <c r="B5846" s="1" t="str">
        <f>HYPERLINK("http://cardif.fr","cardif.fr")</f>
        <v>cardif.fr</v>
      </c>
      <c r="C5846" t="s">
        <v>446</v>
      </c>
      <c r="D5846" t="s">
        <v>824</v>
      </c>
      <c r="E5846">
        <v>714205</v>
      </c>
      <c r="F5846">
        <v>1.1097401330391799E-7</v>
      </c>
      <c r="G5846">
        <v>360231</v>
      </c>
      <c r="H5846">
        <v>13800673</v>
      </c>
      <c r="I5846">
        <v>6278141</v>
      </c>
      <c r="J5846">
        <v>2</v>
      </c>
    </row>
    <row r="5847" spans="1:10" x14ac:dyDescent="0.25">
      <c r="A5847" t="s">
        <v>51</v>
      </c>
      <c r="B5847" s="1" t="str">
        <f>HYPERLINK("http://carrefour-banque.fr","carrefour-banque.fr")</f>
        <v>carrefour-banque.fr</v>
      </c>
      <c r="C5847" t="s">
        <v>446</v>
      </c>
      <c r="D5847" t="s">
        <v>824</v>
      </c>
      <c r="E5847">
        <v>322214</v>
      </c>
      <c r="F5847">
        <v>1.3396906839465399E-7</v>
      </c>
      <c r="G5847">
        <v>291451</v>
      </c>
      <c r="H5847">
        <v>17159550</v>
      </c>
      <c r="I5847">
        <v>50097</v>
      </c>
      <c r="J5847">
        <v>3</v>
      </c>
    </row>
    <row r="5848" spans="1:10" x14ac:dyDescent="0.25">
      <c r="A5848" t="s">
        <v>51</v>
      </c>
      <c r="B5848" s="1" t="str">
        <f>HYPERLINK("http://cetelem.fr","cetelem.fr")</f>
        <v>cetelem.fr</v>
      </c>
      <c r="C5848" t="s">
        <v>446</v>
      </c>
      <c r="D5848" t="s">
        <v>824</v>
      </c>
      <c r="E5848">
        <v>206228</v>
      </c>
      <c r="F5848">
        <v>1.7481113192703401E-7</v>
      </c>
      <c r="G5848">
        <v>221838</v>
      </c>
      <c r="H5848">
        <v>17047802</v>
      </c>
      <c r="I5848">
        <v>77124</v>
      </c>
      <c r="J5848">
        <v>7</v>
      </c>
    </row>
    <row r="5849" spans="1:10" x14ac:dyDescent="0.25">
      <c r="A5849" t="s">
        <v>51</v>
      </c>
      <c r="B5849" s="1" t="str">
        <f>HYPERLINK("http://claas.fr","claas.fr")</f>
        <v>claas.fr</v>
      </c>
      <c r="C5849" t="s">
        <v>446</v>
      </c>
      <c r="D5849" t="s">
        <v>824</v>
      </c>
      <c r="F5849">
        <v>5.3042023929601299E-8</v>
      </c>
      <c r="G5849">
        <v>858587</v>
      </c>
      <c r="H5849">
        <v>14076084</v>
      </c>
      <c r="I5849">
        <v>2894558</v>
      </c>
      <c r="J5849">
        <v>4</v>
      </c>
    </row>
    <row r="5850" spans="1:10" x14ac:dyDescent="0.25">
      <c r="A5850" t="s">
        <v>51</v>
      </c>
      <c r="B5850" s="1" t="str">
        <f>HYPERLINK("http://claas-bourgogne.fr","claas-bourgogne.fr")</f>
        <v>claas-bourgogne.fr</v>
      </c>
      <c r="C5850" t="s">
        <v>446</v>
      </c>
      <c r="D5850" t="s">
        <v>824</v>
      </c>
      <c r="J5850">
        <v>6</v>
      </c>
    </row>
    <row r="5851" spans="1:10" x14ac:dyDescent="0.25">
      <c r="A5851" t="s">
        <v>51</v>
      </c>
      <c r="B5851" s="1" t="str">
        <f>HYPERLINK("http://cldata.fr","cldata.fr")</f>
        <v>cldata.fr</v>
      </c>
      <c r="C5851" t="s">
        <v>446</v>
      </c>
      <c r="D5851" t="s">
        <v>824</v>
      </c>
      <c r="F5851">
        <v>5.75056464820888E-9</v>
      </c>
      <c r="G5851">
        <v>18492664</v>
      </c>
      <c r="H5851">
        <v>10450285</v>
      </c>
      <c r="I5851">
        <v>52104441</v>
      </c>
      <c r="J5851">
        <v>5</v>
      </c>
    </row>
    <row r="5852" spans="1:10" x14ac:dyDescent="0.25">
      <c r="A5852" t="s">
        <v>51</v>
      </c>
      <c r="B5852" s="1" t="str">
        <f>HYPERLINK("http://cofiparc.fr","cofiparc.fr")</f>
        <v>cofiparc.fr</v>
      </c>
      <c r="C5852" t="s">
        <v>446</v>
      </c>
      <c r="D5852" t="s">
        <v>824</v>
      </c>
      <c r="F5852">
        <v>4.6379471673166899E-9</v>
      </c>
      <c r="G5852">
        <v>44910789</v>
      </c>
      <c r="H5852">
        <v>9606324</v>
      </c>
      <c r="I5852">
        <v>64335715</v>
      </c>
      <c r="J5852">
        <v>3</v>
      </c>
    </row>
    <row r="5853" spans="1:10" x14ac:dyDescent="0.25">
      <c r="A5853" t="s">
        <v>51</v>
      </c>
      <c r="B5853" s="1" t="str">
        <f>HYPERLINK("http://comparic.fr","comparic.fr")</f>
        <v>comparic.fr</v>
      </c>
      <c r="C5853" t="s">
        <v>446</v>
      </c>
      <c r="D5853" t="s">
        <v>824</v>
      </c>
      <c r="F5853">
        <v>5.6643634280622399E-9</v>
      </c>
      <c r="G5853">
        <v>19266582</v>
      </c>
      <c r="H5853">
        <v>10819639</v>
      </c>
      <c r="I5853">
        <v>37632076</v>
      </c>
      <c r="J5853">
        <v>5</v>
      </c>
    </row>
    <row r="5854" spans="1:10" x14ac:dyDescent="0.25">
      <c r="A5854" t="s">
        <v>51</v>
      </c>
      <c r="B5854" s="1" t="str">
        <f>HYPERLINK("http://compte-nickel.fr","compte-nickel.fr")</f>
        <v>compte-nickel.fr</v>
      </c>
      <c r="C5854" t="s">
        <v>446</v>
      </c>
      <c r="D5854" t="s">
        <v>824</v>
      </c>
      <c r="F5854">
        <v>9.9629157080612693E-8</v>
      </c>
      <c r="G5854">
        <v>404141</v>
      </c>
      <c r="H5854">
        <v>14251526</v>
      </c>
      <c r="I5854">
        <v>1443950</v>
      </c>
      <c r="J5854">
        <v>6</v>
      </c>
    </row>
    <row r="5855" spans="1:10" x14ac:dyDescent="0.25">
      <c r="A5855" t="s">
        <v>51</v>
      </c>
      <c r="B5855" s="1" t="str">
        <f>HYPERLINK("http://copartis.fr","copartis.fr")</f>
        <v>copartis.fr</v>
      </c>
      <c r="C5855" t="s">
        <v>446</v>
      </c>
      <c r="D5855" t="s">
        <v>824</v>
      </c>
      <c r="F5855">
        <v>6.2140240007399003E-9</v>
      </c>
      <c r="G5855">
        <v>15460959</v>
      </c>
      <c r="H5855">
        <v>10669582</v>
      </c>
      <c r="I5855">
        <v>42988915</v>
      </c>
      <c r="J5855">
        <v>2</v>
      </c>
    </row>
    <row r="5856" spans="1:10" x14ac:dyDescent="0.25">
      <c r="A5856" t="s">
        <v>51</v>
      </c>
      <c r="B5856" s="1" t="str">
        <f>HYPERLINK("http://creditclick.fr","creditclick.fr")</f>
        <v>creditclick.fr</v>
      </c>
      <c r="C5856" t="s">
        <v>446</v>
      </c>
      <c r="D5856" t="s">
        <v>824</v>
      </c>
      <c r="F5856">
        <v>4.4438506433559103E-9</v>
      </c>
      <c r="G5856">
        <v>78486067</v>
      </c>
      <c r="H5856">
        <v>10358362</v>
      </c>
      <c r="I5856">
        <v>55511897</v>
      </c>
      <c r="J5856">
        <v>2</v>
      </c>
    </row>
    <row r="5857" spans="1:10" x14ac:dyDescent="0.25">
      <c r="A5857" t="s">
        <v>51</v>
      </c>
      <c r="B5857" s="1" t="str">
        <f>HYPERLINK("http://creditlogement.fr","creditlogement.fr")</f>
        <v>creditlogement.fr</v>
      </c>
      <c r="C5857" t="s">
        <v>446</v>
      </c>
      <c r="D5857" t="s">
        <v>824</v>
      </c>
      <c r="F5857">
        <v>8.7981164884441097E-8</v>
      </c>
      <c r="G5857">
        <v>465862</v>
      </c>
      <c r="H5857">
        <v>13970234</v>
      </c>
      <c r="I5857">
        <v>4076283</v>
      </c>
      <c r="J5857">
        <v>3</v>
      </c>
    </row>
    <row r="5858" spans="1:10" x14ac:dyDescent="0.25">
      <c r="A5858" t="s">
        <v>51</v>
      </c>
      <c r="B5858" s="1" t="str">
        <f>HYPERLINK("http://dexia-lld.fr","dexia-lld.fr")</f>
        <v>dexia-lld.fr</v>
      </c>
      <c r="C5858" t="s">
        <v>446</v>
      </c>
      <c r="D5858" t="s">
        <v>824</v>
      </c>
      <c r="J5858">
        <v>2</v>
      </c>
    </row>
    <row r="5859" spans="1:10" x14ac:dyDescent="0.25">
      <c r="A5859" t="s">
        <v>51</v>
      </c>
      <c r="B5859" s="1" t="str">
        <f>HYPERLINK("http://espaces-immobiliers.fr","espaces-immobiliers.fr")</f>
        <v>espaces-immobiliers.fr</v>
      </c>
      <c r="C5859" t="s">
        <v>446</v>
      </c>
      <c r="D5859" t="s">
        <v>824</v>
      </c>
      <c r="F5859">
        <v>4.5764514694951597E-9</v>
      </c>
      <c r="G5859">
        <v>49603947</v>
      </c>
      <c r="H5859">
        <v>13059888</v>
      </c>
      <c r="I5859">
        <v>12376226</v>
      </c>
      <c r="J5859">
        <v>2</v>
      </c>
    </row>
    <row r="5860" spans="1:10" x14ac:dyDescent="0.25">
      <c r="A5860" t="s">
        <v>51</v>
      </c>
      <c r="B5860" s="1" t="str">
        <f>HYPERLINK("http://fineasy.fr","fineasy.fr")</f>
        <v>fineasy.fr</v>
      </c>
      <c r="C5860" t="s">
        <v>446</v>
      </c>
      <c r="D5860" t="s">
        <v>824</v>
      </c>
      <c r="F5860">
        <v>6.7572329086361398E-9</v>
      </c>
      <c r="G5860">
        <v>13104712</v>
      </c>
      <c r="H5860">
        <v>10595882</v>
      </c>
      <c r="I5860">
        <v>45155830</v>
      </c>
      <c r="J5860">
        <v>2</v>
      </c>
    </row>
    <row r="5861" spans="1:10" x14ac:dyDescent="0.25">
      <c r="A5861" t="s">
        <v>51</v>
      </c>
      <c r="B5861" s="1" t="str">
        <f>HYPERLINK("http://france-titrisation.fr","france-titrisation.fr")</f>
        <v>france-titrisation.fr</v>
      </c>
      <c r="C5861" t="s">
        <v>446</v>
      </c>
      <c r="D5861" t="s">
        <v>824</v>
      </c>
      <c r="F5861">
        <v>5.3588507814138197E-9</v>
      </c>
      <c r="G5861">
        <v>22684886</v>
      </c>
      <c r="H5861">
        <v>10665596</v>
      </c>
      <c r="I5861">
        <v>43123537</v>
      </c>
      <c r="J5861">
        <v>2</v>
      </c>
    </row>
    <row r="5862" spans="1:10" x14ac:dyDescent="0.25">
      <c r="A5862" t="s">
        <v>51</v>
      </c>
      <c r="B5862" s="1" t="str">
        <f>HYPERLINK("http://gmacbanque.fr","gmacbanque.fr")</f>
        <v>gmacbanque.fr</v>
      </c>
      <c r="C5862" t="s">
        <v>446</v>
      </c>
      <c r="D5862" t="s">
        <v>824</v>
      </c>
      <c r="F5862">
        <v>4.5491145430592499E-9</v>
      </c>
      <c r="G5862">
        <v>52282313</v>
      </c>
      <c r="H5862">
        <v>9469952</v>
      </c>
      <c r="I5862">
        <v>66206302</v>
      </c>
      <c r="J5862">
        <v>5</v>
      </c>
    </row>
    <row r="5863" spans="1:10" x14ac:dyDescent="0.25">
      <c r="A5863" t="s">
        <v>51</v>
      </c>
      <c r="B5863" s="1" t="str">
        <f>HYPERLINK("http://hellobank.fr","hellobank.fr")</f>
        <v>hellobank.fr</v>
      </c>
      <c r="C5863" t="s">
        <v>446</v>
      </c>
      <c r="D5863" t="s">
        <v>824</v>
      </c>
      <c r="E5863">
        <v>142133</v>
      </c>
      <c r="F5863">
        <v>2.21738115788102E-7</v>
      </c>
      <c r="G5863">
        <v>169994</v>
      </c>
      <c r="H5863">
        <v>16923012</v>
      </c>
      <c r="I5863">
        <v>126332</v>
      </c>
      <c r="J5863">
        <v>2</v>
      </c>
    </row>
    <row r="5864" spans="1:10" x14ac:dyDescent="0.25">
      <c r="A5864" t="s">
        <v>51</v>
      </c>
      <c r="B5864" s="1" t="str">
        <f>HYPERLINK("http://interparking.fr","interparking.fr")</f>
        <v>interparking.fr</v>
      </c>
      <c r="C5864" t="s">
        <v>446</v>
      </c>
      <c r="D5864" t="s">
        <v>824</v>
      </c>
      <c r="F5864">
        <v>3.3150511982177699E-8</v>
      </c>
      <c r="G5864">
        <v>1558565</v>
      </c>
      <c r="H5864">
        <v>12437877</v>
      </c>
      <c r="I5864">
        <v>18171100</v>
      </c>
      <c r="J5864">
        <v>8</v>
      </c>
    </row>
    <row r="5865" spans="1:10" x14ac:dyDescent="0.25">
      <c r="A5865" t="s">
        <v>51</v>
      </c>
      <c r="B5865" s="1" t="str">
        <f>HYPERLINK("http://limmobilierdunmondequichange.fr","limmobilierdunmondequichange.fr")</f>
        <v>limmobilierdunmondequichange.fr</v>
      </c>
      <c r="C5865" t="s">
        <v>446</v>
      </c>
      <c r="D5865" t="s">
        <v>824</v>
      </c>
      <c r="F5865">
        <v>7.3238976990209503E-9</v>
      </c>
      <c r="G5865">
        <v>11421976</v>
      </c>
      <c r="H5865">
        <v>13933274</v>
      </c>
      <c r="I5865">
        <v>4808308</v>
      </c>
      <c r="J5865">
        <v>2</v>
      </c>
    </row>
    <row r="5866" spans="1:10" x14ac:dyDescent="0.25">
      <c r="A5866" t="s">
        <v>51</v>
      </c>
      <c r="B5866" s="1" t="str">
        <f>HYPERLINK("http://mercanet.fr","mercanet.fr")</f>
        <v>mercanet.fr</v>
      </c>
      <c r="C5866" t="s">
        <v>446</v>
      </c>
      <c r="D5866" t="s">
        <v>824</v>
      </c>
      <c r="J5866">
        <v>2</v>
      </c>
    </row>
    <row r="5867" spans="1:10" x14ac:dyDescent="0.25">
      <c r="A5867" t="s">
        <v>51</v>
      </c>
      <c r="B5867" s="1" t="str">
        <f>HYPERLINK("http://mycomforimpact.fr","mycomforimpact.fr")</f>
        <v>mycomforimpact.fr</v>
      </c>
      <c r="C5867" t="s">
        <v>446</v>
      </c>
      <c r="D5867" t="s">
        <v>824</v>
      </c>
      <c r="F5867">
        <v>4.44380395335525E-9</v>
      </c>
      <c r="G5867">
        <v>84857752</v>
      </c>
      <c r="H5867">
        <v>0</v>
      </c>
      <c r="I5867">
        <v>85983206</v>
      </c>
      <c r="J5867">
        <v>2</v>
      </c>
    </row>
    <row r="5868" spans="1:10" x14ac:dyDescent="0.25">
      <c r="A5868" t="s">
        <v>51</v>
      </c>
      <c r="B5868" s="1" t="str">
        <f>HYPERLINK("http://pourunmondequichange.fr","pourunmondequichange.fr")</f>
        <v>pourunmondequichange.fr</v>
      </c>
      <c r="C5868" t="s">
        <v>446</v>
      </c>
      <c r="D5868" t="s">
        <v>824</v>
      </c>
      <c r="J5868">
        <v>2</v>
      </c>
    </row>
    <row r="5869" spans="1:10" x14ac:dyDescent="0.25">
      <c r="A5869" t="s">
        <v>51</v>
      </c>
      <c r="B5869" s="1" t="str">
        <f>HYPERLINK("http://public-lld.fr","public-lld.fr")</f>
        <v>public-lld.fr</v>
      </c>
      <c r="C5869" t="s">
        <v>446</v>
      </c>
      <c r="D5869" t="s">
        <v>824</v>
      </c>
      <c r="F5869">
        <v>4.6379471673166899E-9</v>
      </c>
      <c r="G5869">
        <v>44910790</v>
      </c>
      <c r="H5869">
        <v>9606324</v>
      </c>
      <c r="I5869">
        <v>64335716</v>
      </c>
      <c r="J5869">
        <v>2</v>
      </c>
    </row>
    <row r="5870" spans="1:10" x14ac:dyDescent="0.25">
      <c r="A5870" t="s">
        <v>51</v>
      </c>
      <c r="B5870" s="1" t="str">
        <f>HYPERLINK("http://public-location-longue-duree.fr","public-location-longue-duree.fr")</f>
        <v>public-location-longue-duree.fr</v>
      </c>
      <c r="C5870" t="s">
        <v>446</v>
      </c>
      <c r="D5870" t="s">
        <v>824</v>
      </c>
      <c r="J5870">
        <v>2</v>
      </c>
    </row>
    <row r="5871" spans="1:10" x14ac:dyDescent="0.25">
      <c r="A5871" t="s">
        <v>51</v>
      </c>
      <c r="B5871" s="1" t="str">
        <f>HYPERLINK("http://risk-academy.fr","risk-academy.fr")</f>
        <v>risk-academy.fr</v>
      </c>
      <c r="C5871" t="s">
        <v>446</v>
      </c>
      <c r="D5871" t="s">
        <v>824</v>
      </c>
      <c r="J5871">
        <v>2</v>
      </c>
    </row>
    <row r="5872" spans="1:10" x14ac:dyDescent="0.25">
      <c r="A5872" t="s">
        <v>51</v>
      </c>
      <c r="B5872" s="1" t="str">
        <f>HYPERLINK("http://sicavonline.fr","sicavonline.fr")</f>
        <v>sicavonline.fr</v>
      </c>
      <c r="C5872" t="s">
        <v>446</v>
      </c>
      <c r="D5872" t="s">
        <v>824</v>
      </c>
      <c r="E5872">
        <v>973510</v>
      </c>
      <c r="F5872">
        <v>4.24079867123344E-8</v>
      </c>
      <c r="G5872">
        <v>1144475</v>
      </c>
      <c r="H5872">
        <v>14492550</v>
      </c>
      <c r="I5872">
        <v>894125</v>
      </c>
      <c r="J5872">
        <v>7</v>
      </c>
    </row>
    <row r="5873" spans="1:10" x14ac:dyDescent="0.25">
      <c r="A5873" t="s">
        <v>51</v>
      </c>
      <c r="B5873" s="1" t="str">
        <f>HYPERLINK("http://claas.ge","claas.ge")</f>
        <v>claas.ge</v>
      </c>
      <c r="C5873" t="s">
        <v>637</v>
      </c>
      <c r="D5873" t="s">
        <v>958</v>
      </c>
      <c r="F5873">
        <v>1.82315290889822E-8</v>
      </c>
      <c r="G5873">
        <v>2980808</v>
      </c>
      <c r="H5873">
        <v>10852280</v>
      </c>
      <c r="I5873">
        <v>36809601</v>
      </c>
      <c r="J5873">
        <v>4</v>
      </c>
    </row>
    <row r="5874" spans="1:10" x14ac:dyDescent="0.25">
      <c r="A5874" t="s">
        <v>51</v>
      </c>
      <c r="B5874" s="1" t="str">
        <f>HYPERLINK("http://arval.gr","arval.gr")</f>
        <v>arval.gr</v>
      </c>
      <c r="C5874" t="s">
        <v>447</v>
      </c>
      <c r="D5874" t="s">
        <v>825</v>
      </c>
      <c r="F5874">
        <v>6.7001792926576997E-9</v>
      </c>
      <c r="G5874">
        <v>13302344</v>
      </c>
      <c r="H5874">
        <v>11098471</v>
      </c>
      <c r="I5874">
        <v>32295798</v>
      </c>
      <c r="J5874">
        <v>3</v>
      </c>
    </row>
    <row r="5875" spans="1:10" x14ac:dyDescent="0.25">
      <c r="A5875" t="s">
        <v>51</v>
      </c>
      <c r="B5875" s="1" t="str">
        <f>HYPERLINK("http://bnpparibas-am.gr","bnpparibas-am.gr")</f>
        <v>bnpparibas-am.gr</v>
      </c>
      <c r="C5875" t="s">
        <v>447</v>
      </c>
      <c r="D5875" t="s">
        <v>825</v>
      </c>
      <c r="F5875">
        <v>1.1724813122435999E-8</v>
      </c>
      <c r="G5875">
        <v>5350442</v>
      </c>
      <c r="H5875">
        <v>11210028</v>
      </c>
      <c r="I5875">
        <v>31164689</v>
      </c>
      <c r="J5875">
        <v>3</v>
      </c>
    </row>
    <row r="5876" spans="1:10" x14ac:dyDescent="0.25">
      <c r="A5876" t="s">
        <v>51</v>
      </c>
      <c r="B5876" s="1" t="str">
        <f>HYPERLINK("http://bnpparibas-am.hk","bnpparibas-am.hk")</f>
        <v>bnpparibas-am.hk</v>
      </c>
      <c r="C5876" t="s">
        <v>450</v>
      </c>
      <c r="D5876" t="s">
        <v>827</v>
      </c>
      <c r="F5876">
        <v>1.1968120545905001E-8</v>
      </c>
      <c r="G5876">
        <v>5195917</v>
      </c>
      <c r="H5876">
        <v>12356716</v>
      </c>
      <c r="I5876">
        <v>19648590</v>
      </c>
      <c r="J5876">
        <v>3</v>
      </c>
    </row>
    <row r="5877" spans="1:10" x14ac:dyDescent="0.25">
      <c r="A5877" t="s">
        <v>51</v>
      </c>
      <c r="B5877" s="1" t="str">
        <f>HYPERLINK("http://bnpparibas.com.hk","bnpparibas.com.hk")</f>
        <v>bnpparibas.com.hk</v>
      </c>
      <c r="C5877" t="s">
        <v>450</v>
      </c>
      <c r="D5877" t="s">
        <v>827</v>
      </c>
      <c r="E5877">
        <v>998122</v>
      </c>
      <c r="F5877">
        <v>4.54220672780499E-8</v>
      </c>
      <c r="G5877">
        <v>1036823</v>
      </c>
      <c r="H5877">
        <v>14437820</v>
      </c>
      <c r="I5877">
        <v>1066787</v>
      </c>
      <c r="J5877">
        <v>3</v>
      </c>
    </row>
    <row r="5878" spans="1:10" x14ac:dyDescent="0.25">
      <c r="A5878" t="s">
        <v>51</v>
      </c>
      <c r="B5878" s="1" t="str">
        <f>HYPERLINK("http://hftfund.com.hk","hftfund.com.hk")</f>
        <v>hftfund.com.hk</v>
      </c>
      <c r="C5878" t="s">
        <v>450</v>
      </c>
      <c r="D5878" t="s">
        <v>827</v>
      </c>
      <c r="F5878">
        <v>1.22255082816196E-8</v>
      </c>
      <c r="G5878">
        <v>5036018</v>
      </c>
      <c r="H5878">
        <v>10541622</v>
      </c>
      <c r="I5878">
        <v>47158950</v>
      </c>
      <c r="J5878">
        <v>6</v>
      </c>
    </row>
    <row r="5879" spans="1:10" x14ac:dyDescent="0.25">
      <c r="A5879" t="s">
        <v>51</v>
      </c>
      <c r="B5879" s="1" t="str">
        <f>HYPERLINK("http://htfutures.com.hk","htfutures.com.hk")</f>
        <v>htfutures.com.hk</v>
      </c>
      <c r="C5879" t="s">
        <v>450</v>
      </c>
      <c r="D5879" t="s">
        <v>827</v>
      </c>
      <c r="F5879">
        <v>4.9926164079066602E-9</v>
      </c>
      <c r="G5879">
        <v>29601837</v>
      </c>
      <c r="H5879">
        <v>9572543</v>
      </c>
      <c r="I5879">
        <v>64705903</v>
      </c>
      <c r="J5879">
        <v>8</v>
      </c>
    </row>
    <row r="5880" spans="1:10" x14ac:dyDescent="0.25">
      <c r="A5880" t="s">
        <v>51</v>
      </c>
      <c r="B5880" s="1" t="str">
        <f>HYPERLINK("http://claas.hr","claas.hr")</f>
        <v>claas.hr</v>
      </c>
      <c r="C5880" t="s">
        <v>452</v>
      </c>
      <c r="D5880" t="s">
        <v>829</v>
      </c>
      <c r="F5880">
        <v>1.85854721010017E-8</v>
      </c>
      <c r="G5880">
        <v>2909952</v>
      </c>
      <c r="H5880">
        <v>12168348</v>
      </c>
      <c r="I5880">
        <v>24112136</v>
      </c>
      <c r="J5880">
        <v>4</v>
      </c>
    </row>
    <row r="5881" spans="1:10" x14ac:dyDescent="0.25">
      <c r="A5881" t="s">
        <v>51</v>
      </c>
      <c r="B5881" s="1" t="str">
        <f>HYPERLINK("http://arval.hu","arval.hu")</f>
        <v>arval.hu</v>
      </c>
      <c r="C5881" t="s">
        <v>453</v>
      </c>
      <c r="D5881" t="s">
        <v>830</v>
      </c>
      <c r="F5881">
        <v>7.5320423452339908E-9</v>
      </c>
      <c r="G5881">
        <v>10943261</v>
      </c>
      <c r="H5881">
        <v>10884977</v>
      </c>
      <c r="I5881">
        <v>36244658</v>
      </c>
      <c r="J5881">
        <v>3</v>
      </c>
    </row>
    <row r="5882" spans="1:10" x14ac:dyDescent="0.25">
      <c r="A5882" t="s">
        <v>51</v>
      </c>
      <c r="B5882" s="1" t="str">
        <f>HYPERLINK("http://bnpparibas.hu","bnpparibas.hu")</f>
        <v>bnpparibas.hu</v>
      </c>
      <c r="C5882" t="s">
        <v>453</v>
      </c>
      <c r="D5882" t="s">
        <v>830</v>
      </c>
      <c r="F5882">
        <v>4.1422415075112998E-8</v>
      </c>
      <c r="G5882">
        <v>1206480</v>
      </c>
      <c r="H5882">
        <v>14075709</v>
      </c>
      <c r="I5882">
        <v>2902515</v>
      </c>
      <c r="J5882">
        <v>3</v>
      </c>
    </row>
    <row r="5883" spans="1:10" x14ac:dyDescent="0.25">
      <c r="A5883" t="s">
        <v>51</v>
      </c>
      <c r="B5883" s="1" t="str">
        <f>HYPERLINK("http://bnpparibascardif.hu","bnpparibascardif.hu")</f>
        <v>bnpparibascardif.hu</v>
      </c>
      <c r="C5883" t="s">
        <v>453</v>
      </c>
      <c r="D5883" t="s">
        <v>830</v>
      </c>
      <c r="F5883">
        <v>1.33302131432112E-8</v>
      </c>
      <c r="G5883">
        <v>4480300</v>
      </c>
      <c r="H5883">
        <v>12229365</v>
      </c>
      <c r="I5883">
        <v>22520440</v>
      </c>
      <c r="J5883">
        <v>4</v>
      </c>
    </row>
    <row r="5884" spans="1:10" x14ac:dyDescent="0.25">
      <c r="A5884" t="s">
        <v>51</v>
      </c>
      <c r="B5884" s="1" t="str">
        <f>HYPERLINK("http://cardif.hu","cardif.hu")</f>
        <v>cardif.hu</v>
      </c>
      <c r="C5884" t="s">
        <v>453</v>
      </c>
      <c r="D5884" t="s">
        <v>830</v>
      </c>
      <c r="J5884">
        <v>3</v>
      </c>
    </row>
    <row r="5885" spans="1:10" x14ac:dyDescent="0.25">
      <c r="A5885" t="s">
        <v>51</v>
      </c>
      <c r="B5885" s="1" t="str">
        <f>HYPERLINK("http://cetelem.hu","cetelem.hu")</f>
        <v>cetelem.hu</v>
      </c>
      <c r="C5885" t="s">
        <v>453</v>
      </c>
      <c r="D5885" t="s">
        <v>830</v>
      </c>
      <c r="E5885">
        <v>977595</v>
      </c>
      <c r="F5885">
        <v>1.4268511066301201E-7</v>
      </c>
      <c r="G5885">
        <v>272839</v>
      </c>
      <c r="H5885">
        <v>14085885</v>
      </c>
      <c r="I5885">
        <v>2774615</v>
      </c>
      <c r="J5885">
        <v>3</v>
      </c>
    </row>
    <row r="5886" spans="1:10" x14ac:dyDescent="0.25">
      <c r="A5886" t="s">
        <v>51</v>
      </c>
      <c r="B5886" s="1" t="str">
        <f>HYPERLINK("http://claas.hu","claas.hu")</f>
        <v>claas.hu</v>
      </c>
      <c r="C5886" t="s">
        <v>453</v>
      </c>
      <c r="D5886" t="s">
        <v>830</v>
      </c>
      <c r="F5886">
        <v>2.0234853367139299E-8</v>
      </c>
      <c r="G5886">
        <v>2623988</v>
      </c>
      <c r="H5886">
        <v>10856278</v>
      </c>
      <c r="I5886">
        <v>36737546</v>
      </c>
      <c r="J5886">
        <v>4</v>
      </c>
    </row>
    <row r="5887" spans="1:10" x14ac:dyDescent="0.25">
      <c r="A5887" t="s">
        <v>51</v>
      </c>
      <c r="B5887" s="1" t="str">
        <f>HYPERLINK("http://bnpparibas.co.id","bnpparibas.co.id")</f>
        <v>bnpparibas.co.id</v>
      </c>
      <c r="C5887" t="s">
        <v>454</v>
      </c>
      <c r="D5887" t="s">
        <v>831</v>
      </c>
      <c r="F5887">
        <v>1.8676409649695499E-8</v>
      </c>
      <c r="G5887">
        <v>2893565</v>
      </c>
      <c r="H5887">
        <v>14375321</v>
      </c>
      <c r="I5887">
        <v>1227134</v>
      </c>
      <c r="J5887">
        <v>3</v>
      </c>
    </row>
    <row r="5888" spans="1:10" x14ac:dyDescent="0.25">
      <c r="A5888" t="s">
        <v>51</v>
      </c>
      <c r="B5888" s="1" t="str">
        <f>HYPERLINK("http://bnpparibas-am.co.id","bnpparibas-am.co.id")</f>
        <v>bnpparibas-am.co.id</v>
      </c>
      <c r="C5888" t="s">
        <v>454</v>
      </c>
      <c r="D5888" t="s">
        <v>831</v>
      </c>
      <c r="F5888">
        <v>1.0273370375929399E-8</v>
      </c>
      <c r="G5888">
        <v>6476114</v>
      </c>
      <c r="H5888">
        <v>12389538</v>
      </c>
      <c r="I5888">
        <v>19059049</v>
      </c>
      <c r="J5888">
        <v>3</v>
      </c>
    </row>
    <row r="5889" spans="1:10" x14ac:dyDescent="0.25">
      <c r="A5889" t="s">
        <v>51</v>
      </c>
      <c r="B5889" s="1" t="str">
        <f>HYPERLINK("http://bnpparibas-ip.co.id","bnpparibas-ip.co.id")</f>
        <v>bnpparibas-ip.co.id</v>
      </c>
      <c r="C5889" t="s">
        <v>454</v>
      </c>
      <c r="D5889" t="s">
        <v>831</v>
      </c>
      <c r="F5889">
        <v>1.39870542287598E-8</v>
      </c>
      <c r="G5889">
        <v>4207572</v>
      </c>
      <c r="H5889">
        <v>13934132</v>
      </c>
      <c r="I5889">
        <v>4626746</v>
      </c>
      <c r="J5889">
        <v>4</v>
      </c>
    </row>
    <row r="5890" spans="1:10" x14ac:dyDescent="0.25">
      <c r="A5890" t="s">
        <v>51</v>
      </c>
      <c r="B5890" s="1" t="str">
        <f>HYPERLINK("http://atisreal.ie","atisreal.ie")</f>
        <v>atisreal.ie</v>
      </c>
      <c r="C5890" t="s">
        <v>455</v>
      </c>
      <c r="D5890" t="s">
        <v>832</v>
      </c>
      <c r="J5890">
        <v>2</v>
      </c>
    </row>
    <row r="5891" spans="1:10" x14ac:dyDescent="0.25">
      <c r="A5891" t="s">
        <v>51</v>
      </c>
      <c r="B5891" s="1" t="str">
        <f>HYPERLINK("http://bnpparibas.ie","bnpparibas.ie")</f>
        <v>bnpparibas.ie</v>
      </c>
      <c r="C5891" t="s">
        <v>455</v>
      </c>
      <c r="D5891" t="s">
        <v>832</v>
      </c>
      <c r="F5891">
        <v>2.70264063026232E-8</v>
      </c>
      <c r="G5891">
        <v>1903006</v>
      </c>
      <c r="H5891">
        <v>13075046</v>
      </c>
      <c r="I5891">
        <v>12217741</v>
      </c>
      <c r="J5891">
        <v>2</v>
      </c>
    </row>
    <row r="5892" spans="1:10" x14ac:dyDescent="0.25">
      <c r="A5892" t="s">
        <v>51</v>
      </c>
      <c r="B5892" s="1" t="str">
        <f>HYPERLINK("http://bnppre.ie","bnppre.ie")</f>
        <v>bnppre.ie</v>
      </c>
      <c r="C5892" t="s">
        <v>455</v>
      </c>
      <c r="D5892" t="s">
        <v>832</v>
      </c>
      <c r="J5892">
        <v>2</v>
      </c>
    </row>
    <row r="5893" spans="1:10" x14ac:dyDescent="0.25">
      <c r="A5893" t="s">
        <v>51</v>
      </c>
      <c r="B5893" s="1" t="str">
        <f>HYPERLINK("http://claas.ie","claas.ie")</f>
        <v>claas.ie</v>
      </c>
      <c r="C5893" t="s">
        <v>455</v>
      </c>
      <c r="D5893" t="s">
        <v>832</v>
      </c>
      <c r="F5893">
        <v>1.8903071284782899E-8</v>
      </c>
      <c r="G5893">
        <v>2852909</v>
      </c>
      <c r="H5893">
        <v>10914423</v>
      </c>
      <c r="I5893">
        <v>35527079</v>
      </c>
      <c r="J5893">
        <v>4</v>
      </c>
    </row>
    <row r="5894" spans="1:10" x14ac:dyDescent="0.25">
      <c r="A5894" t="s">
        <v>51</v>
      </c>
      <c r="B5894" s="1" t="str">
        <f>HYPERLINK("http://bnpparibas.co.il","bnpparibas.co.il")</f>
        <v>bnpparibas.co.il</v>
      </c>
      <c r="C5894" t="s">
        <v>456</v>
      </c>
      <c r="D5894" t="s">
        <v>833</v>
      </c>
      <c r="F5894">
        <v>9.81513123543957E-9</v>
      </c>
      <c r="G5894">
        <v>6952894</v>
      </c>
      <c r="H5894">
        <v>12304477</v>
      </c>
      <c r="I5894">
        <v>20743816</v>
      </c>
      <c r="J5894">
        <v>3</v>
      </c>
    </row>
    <row r="5895" spans="1:10" x14ac:dyDescent="0.25">
      <c r="A5895" t="s">
        <v>51</v>
      </c>
      <c r="B5895" s="1" t="str">
        <f>HYPERLINK("http://claas.co.il","claas.co.il")</f>
        <v>claas.co.il</v>
      </c>
      <c r="C5895" t="s">
        <v>456</v>
      </c>
      <c r="D5895" t="s">
        <v>833</v>
      </c>
      <c r="F5895">
        <v>1.7978508202625899E-8</v>
      </c>
      <c r="G5895">
        <v>3037137</v>
      </c>
      <c r="H5895">
        <v>10862260</v>
      </c>
      <c r="I5895">
        <v>36635272</v>
      </c>
      <c r="J5895">
        <v>4</v>
      </c>
    </row>
    <row r="5896" spans="1:10" x14ac:dyDescent="0.25">
      <c r="A5896" t="s">
        <v>51</v>
      </c>
      <c r="B5896" s="1" t="str">
        <f>HYPERLINK("http://bnpparibas.immo","bnpparibas.immo")</f>
        <v>bnpparibas.immo</v>
      </c>
      <c r="C5896" t="s">
        <v>723</v>
      </c>
      <c r="F5896">
        <v>5.5162495527817998E-9</v>
      </c>
      <c r="G5896">
        <v>20727083</v>
      </c>
      <c r="H5896">
        <v>10690367</v>
      </c>
      <c r="I5896">
        <v>42490132</v>
      </c>
      <c r="J5896">
        <v>3</v>
      </c>
    </row>
    <row r="5897" spans="1:10" x14ac:dyDescent="0.25">
      <c r="A5897" t="s">
        <v>51</v>
      </c>
      <c r="B5897" s="1" t="str">
        <f>HYPERLINK("http://arval.in","arval.in")</f>
        <v>arval.in</v>
      </c>
      <c r="C5897" t="s">
        <v>457</v>
      </c>
      <c r="D5897" t="s">
        <v>834</v>
      </c>
      <c r="F5897">
        <v>6.5907083289447798E-9</v>
      </c>
      <c r="G5897">
        <v>13712367</v>
      </c>
      <c r="H5897">
        <v>10887145</v>
      </c>
      <c r="I5897">
        <v>36179925</v>
      </c>
      <c r="J5897">
        <v>3</v>
      </c>
    </row>
    <row r="5898" spans="1:10" x14ac:dyDescent="0.25">
      <c r="A5898" t="s">
        <v>51</v>
      </c>
      <c r="B5898" s="1" t="str">
        <f>HYPERLINK("http://bnpparibas.co.in","bnpparibas.co.in")</f>
        <v>bnpparibas.co.in</v>
      </c>
      <c r="C5898" t="s">
        <v>457</v>
      </c>
      <c r="D5898" t="s">
        <v>834</v>
      </c>
      <c r="F5898">
        <v>3.2362853937763E-8</v>
      </c>
      <c r="G5898">
        <v>1596555</v>
      </c>
      <c r="H5898">
        <v>13960677</v>
      </c>
      <c r="I5898">
        <v>4112344</v>
      </c>
      <c r="J5898">
        <v>3</v>
      </c>
    </row>
    <row r="5899" spans="1:10" x14ac:dyDescent="0.25">
      <c r="A5899" t="s">
        <v>51</v>
      </c>
      <c r="B5899" s="1" t="str">
        <f>HYPERLINK("http://claas.co.in","claas.co.in")</f>
        <v>claas.co.in</v>
      </c>
      <c r="C5899" t="s">
        <v>457</v>
      </c>
      <c r="D5899" t="s">
        <v>834</v>
      </c>
      <c r="F5899">
        <v>2.0501769520893201E-8</v>
      </c>
      <c r="G5899">
        <v>2584416</v>
      </c>
      <c r="H5899">
        <v>14073345</v>
      </c>
      <c r="I5899">
        <v>3000741</v>
      </c>
      <c r="J5899">
        <v>4</v>
      </c>
    </row>
    <row r="5900" spans="1:10" x14ac:dyDescent="0.25">
      <c r="A5900" t="s">
        <v>51</v>
      </c>
      <c r="B5900" s="1" t="str">
        <f>HYPERLINK("http://bnpparibas.info","bnpparibas.info")</f>
        <v>bnpparibas.info</v>
      </c>
      <c r="C5900" t="s">
        <v>458</v>
      </c>
      <c r="F5900">
        <v>5.6992133229020599E-9</v>
      </c>
      <c r="G5900">
        <v>18968794</v>
      </c>
      <c r="H5900">
        <v>12264540</v>
      </c>
      <c r="I5900">
        <v>21647086</v>
      </c>
      <c r="J5900">
        <v>3</v>
      </c>
    </row>
    <row r="5901" spans="1:10" x14ac:dyDescent="0.25">
      <c r="A5901" t="s">
        <v>51</v>
      </c>
      <c r="B5901" s="1" t="str">
        <f>HYPERLINK("http://claas.ir","claas.ir")</f>
        <v>claas.ir</v>
      </c>
      <c r="C5901" t="s">
        <v>751</v>
      </c>
      <c r="D5901" t="s">
        <v>1010</v>
      </c>
      <c r="F5901">
        <v>1.77842653101578E-8</v>
      </c>
      <c r="G5901">
        <v>3078150</v>
      </c>
      <c r="H5901">
        <v>10852047</v>
      </c>
      <c r="I5901">
        <v>36814000</v>
      </c>
      <c r="J5901">
        <v>4</v>
      </c>
    </row>
    <row r="5902" spans="1:10" x14ac:dyDescent="0.25">
      <c r="A5902" t="s">
        <v>51</v>
      </c>
      <c r="B5902" s="1" t="str">
        <f>HYPERLINK("http://claas.is","claas.is")</f>
        <v>claas.is</v>
      </c>
      <c r="C5902" t="s">
        <v>594</v>
      </c>
      <c r="D5902" t="s">
        <v>929</v>
      </c>
      <c r="F5902">
        <v>1.94483653855965E-8</v>
      </c>
      <c r="G5902">
        <v>2755258</v>
      </c>
      <c r="H5902">
        <v>10919754</v>
      </c>
      <c r="I5902">
        <v>35287369</v>
      </c>
      <c r="J5902">
        <v>4</v>
      </c>
    </row>
    <row r="5903" spans="1:10" x14ac:dyDescent="0.25">
      <c r="A5903" t="s">
        <v>51</v>
      </c>
      <c r="B5903" s="1" t="str">
        <f>HYPERLINK("http://artigiancassa.it","artigiancassa.it")</f>
        <v>artigiancassa.it</v>
      </c>
      <c r="C5903" t="s">
        <v>459</v>
      </c>
      <c r="D5903" t="s">
        <v>835</v>
      </c>
      <c r="F5903">
        <v>4.6036875600508402E-8</v>
      </c>
      <c r="G5903">
        <v>1019552</v>
      </c>
      <c r="H5903">
        <v>12745615</v>
      </c>
      <c r="I5903">
        <v>15087432</v>
      </c>
      <c r="J5903">
        <v>3</v>
      </c>
    </row>
    <row r="5904" spans="1:10" x14ac:dyDescent="0.25">
      <c r="A5904" t="s">
        <v>51</v>
      </c>
      <c r="B5904" s="1" t="str">
        <f>HYPERLINK("http://arval.it","arval.it")</f>
        <v>arval.it</v>
      </c>
      <c r="C5904" t="s">
        <v>459</v>
      </c>
      <c r="D5904" t="s">
        <v>835</v>
      </c>
      <c r="E5904">
        <v>358086</v>
      </c>
      <c r="F5904">
        <v>7.9799708977680698E-8</v>
      </c>
      <c r="G5904">
        <v>523494</v>
      </c>
      <c r="H5904">
        <v>13776186</v>
      </c>
      <c r="I5904">
        <v>6560391</v>
      </c>
      <c r="J5904">
        <v>2</v>
      </c>
    </row>
    <row r="5905" spans="1:10" x14ac:dyDescent="0.25">
      <c r="A5905" t="s">
        <v>51</v>
      </c>
      <c r="B5905" s="1" t="str">
        <f>HYPERLINK("http://atisreal.it","atisreal.it")</f>
        <v>atisreal.it</v>
      </c>
      <c r="C5905" t="s">
        <v>459</v>
      </c>
      <c r="D5905" t="s">
        <v>835</v>
      </c>
      <c r="J5905">
        <v>2</v>
      </c>
    </row>
    <row r="5906" spans="1:10" x14ac:dyDescent="0.25">
      <c r="A5906" t="s">
        <v>51</v>
      </c>
      <c r="B5906" s="1" t="str">
        <f>HYPERLINK("http://bnl.it","bnl.it")</f>
        <v>bnl.it</v>
      </c>
      <c r="C5906" t="s">
        <v>459</v>
      </c>
      <c r="D5906" t="s">
        <v>835</v>
      </c>
      <c r="E5906">
        <v>84881</v>
      </c>
      <c r="F5906">
        <v>4.4593627134312098E-7</v>
      </c>
      <c r="G5906">
        <v>84648</v>
      </c>
      <c r="H5906">
        <v>17174248</v>
      </c>
      <c r="I5906">
        <v>46808</v>
      </c>
      <c r="J5906">
        <v>2</v>
      </c>
    </row>
    <row r="5907" spans="1:10" x14ac:dyDescent="0.25">
      <c r="A5907" t="s">
        <v>51</v>
      </c>
      <c r="B5907" s="1" t="str">
        <f>HYPERLINK("http://bnlfinance.it","bnlfinance.it")</f>
        <v>bnlfinance.it</v>
      </c>
      <c r="C5907" t="s">
        <v>459</v>
      </c>
      <c r="D5907" t="s">
        <v>835</v>
      </c>
      <c r="F5907">
        <v>1.12865232093581E-8</v>
      </c>
      <c r="G5907">
        <v>5651891</v>
      </c>
      <c r="H5907">
        <v>12133365</v>
      </c>
      <c r="I5907">
        <v>25042982</v>
      </c>
      <c r="J5907">
        <v>4</v>
      </c>
    </row>
    <row r="5908" spans="1:10" x14ac:dyDescent="0.25">
      <c r="A5908" t="s">
        <v>51</v>
      </c>
      <c r="B5908" s="1" t="str">
        <f>HYPERLINK("http://bnpparibas.it","bnpparibas.it")</f>
        <v>bnpparibas.it</v>
      </c>
      <c r="C5908" t="s">
        <v>459</v>
      </c>
      <c r="D5908" t="s">
        <v>835</v>
      </c>
      <c r="E5908">
        <v>630401</v>
      </c>
      <c r="F5908">
        <v>1.3385163846282299E-7</v>
      </c>
      <c r="G5908">
        <v>291736</v>
      </c>
      <c r="H5908">
        <v>14555870</v>
      </c>
      <c r="I5908">
        <v>751913</v>
      </c>
      <c r="J5908">
        <v>2</v>
      </c>
    </row>
    <row r="5909" spans="1:10" x14ac:dyDescent="0.25">
      <c r="A5909" t="s">
        <v>51</v>
      </c>
      <c r="B5909" s="1" t="str">
        <f>HYPERLINK("http://bnpparibas-3stepit.it","bnpparibas-3stepit.it")</f>
        <v>bnpparibas-3stepit.it</v>
      </c>
      <c r="C5909" t="s">
        <v>459</v>
      </c>
      <c r="D5909" t="s">
        <v>835</v>
      </c>
      <c r="F5909">
        <v>7.6035007987061897E-9</v>
      </c>
      <c r="G5909">
        <v>10787116</v>
      </c>
      <c r="H5909">
        <v>10962801</v>
      </c>
      <c r="I5909">
        <v>34291695</v>
      </c>
      <c r="J5909">
        <v>4</v>
      </c>
    </row>
    <row r="5910" spans="1:10" x14ac:dyDescent="0.25">
      <c r="A5910" t="s">
        <v>51</v>
      </c>
      <c r="B5910" s="1" t="str">
        <f>HYPERLINK("http://bnpparibas-am.it","bnpparibas-am.it")</f>
        <v>bnpparibas-am.it</v>
      </c>
      <c r="C5910" t="s">
        <v>459</v>
      </c>
      <c r="D5910" t="s">
        <v>835</v>
      </c>
      <c r="F5910">
        <v>3.0584075880331697E-8</v>
      </c>
      <c r="G5910">
        <v>1683903</v>
      </c>
      <c r="H5910">
        <v>13031886</v>
      </c>
      <c r="I5910">
        <v>12663507</v>
      </c>
      <c r="J5910">
        <v>3</v>
      </c>
    </row>
    <row r="5911" spans="1:10" x14ac:dyDescent="0.25">
      <c r="A5911" t="s">
        <v>51</v>
      </c>
      <c r="B5911" s="1" t="str">
        <f>HYPERLINK("http://bnpparibascardif.it","bnpparibascardif.it")</f>
        <v>bnpparibascardif.it</v>
      </c>
      <c r="C5911" t="s">
        <v>459</v>
      </c>
      <c r="D5911" t="s">
        <v>835</v>
      </c>
      <c r="F5911">
        <v>1.7839466075872099E-7</v>
      </c>
      <c r="G5911">
        <v>216674</v>
      </c>
      <c r="H5911">
        <v>14380349</v>
      </c>
      <c r="I5911">
        <v>1195364</v>
      </c>
      <c r="J5911">
        <v>4</v>
      </c>
    </row>
    <row r="5912" spans="1:10" x14ac:dyDescent="0.25">
      <c r="A5912" t="s">
        <v>51</v>
      </c>
      <c r="B5912" s="1" t="str">
        <f>HYPERLINK("http://bnppre.it","bnppre.it")</f>
        <v>bnppre.it</v>
      </c>
      <c r="C5912" t="s">
        <v>459</v>
      </c>
      <c r="D5912" t="s">
        <v>835</v>
      </c>
      <c r="J5912">
        <v>2</v>
      </c>
    </row>
    <row r="5913" spans="1:10" x14ac:dyDescent="0.25">
      <c r="A5913" t="s">
        <v>51</v>
      </c>
      <c r="B5913" s="1" t="str">
        <f>HYPERLINK("http://claas.it","claas.it")</f>
        <v>claas.it</v>
      </c>
      <c r="C5913" t="s">
        <v>459</v>
      </c>
      <c r="D5913" t="s">
        <v>835</v>
      </c>
      <c r="F5913">
        <v>2.7888411940303401E-8</v>
      </c>
      <c r="G5913">
        <v>1844311</v>
      </c>
      <c r="H5913">
        <v>12434303</v>
      </c>
      <c r="I5913">
        <v>18225553</v>
      </c>
      <c r="J5913">
        <v>4</v>
      </c>
    </row>
    <row r="5914" spans="1:10" x14ac:dyDescent="0.25">
      <c r="A5914" t="s">
        <v>51</v>
      </c>
      <c r="B5914" s="1" t="str">
        <f>HYPERLINK("http://ecredit.it","ecredit.it")</f>
        <v>ecredit.it</v>
      </c>
      <c r="C5914" t="s">
        <v>459</v>
      </c>
      <c r="D5914" t="s">
        <v>835</v>
      </c>
      <c r="F5914">
        <v>5.6592754366348702E-8</v>
      </c>
      <c r="G5914">
        <v>790026</v>
      </c>
      <c r="H5914">
        <v>10551594</v>
      </c>
      <c r="I5914">
        <v>46651680</v>
      </c>
      <c r="J5914">
        <v>4</v>
      </c>
    </row>
    <row r="5915" spans="1:10" x14ac:dyDescent="0.25">
      <c r="A5915" t="s">
        <v>51</v>
      </c>
      <c r="B5915" s="1" t="str">
        <f>HYPERLINK("http://eurovinil.it","eurovinil.it")</f>
        <v>eurovinil.it</v>
      </c>
      <c r="C5915" t="s">
        <v>459</v>
      </c>
      <c r="D5915" t="s">
        <v>835</v>
      </c>
      <c r="F5915">
        <v>1.0265690441436501E-8</v>
      </c>
      <c r="G5915">
        <v>6483542</v>
      </c>
      <c r="H5915">
        <v>13018160</v>
      </c>
      <c r="I5915">
        <v>12720671</v>
      </c>
      <c r="J5915">
        <v>11</v>
      </c>
    </row>
    <row r="5916" spans="1:10" x14ac:dyDescent="0.25">
      <c r="A5916" t="s">
        <v>51</v>
      </c>
      <c r="B5916" s="1" t="str">
        <f>HYPERLINK("http://findomestic.it","findomestic.it")</f>
        <v>findomestic.it</v>
      </c>
      <c r="C5916" t="s">
        <v>459</v>
      </c>
      <c r="D5916" t="s">
        <v>835</v>
      </c>
      <c r="E5916">
        <v>195450</v>
      </c>
      <c r="F5916">
        <v>5.79478501786261E-6</v>
      </c>
      <c r="G5916">
        <v>5991</v>
      </c>
      <c r="H5916">
        <v>16845502</v>
      </c>
      <c r="I5916">
        <v>159119</v>
      </c>
      <c r="J5916">
        <v>3</v>
      </c>
    </row>
    <row r="5917" spans="1:10" x14ac:dyDescent="0.25">
      <c r="A5917" t="s">
        <v>51</v>
      </c>
      <c r="B5917" s="1" t="str">
        <f>HYPERLINK("http://fineasy.it","fineasy.it")</f>
        <v>fineasy.it</v>
      </c>
      <c r="C5917" t="s">
        <v>459</v>
      </c>
      <c r="D5917" t="s">
        <v>835</v>
      </c>
      <c r="F5917">
        <v>4.8042534716120797E-9</v>
      </c>
      <c r="G5917">
        <v>35922647</v>
      </c>
      <c r="H5917">
        <v>6953057</v>
      </c>
      <c r="I5917">
        <v>77035517</v>
      </c>
      <c r="J5917">
        <v>2</v>
      </c>
    </row>
    <row r="5918" spans="1:10" x14ac:dyDescent="0.25">
      <c r="A5918" t="s">
        <v>51</v>
      </c>
      <c r="B5918" s="1" t="str">
        <f>HYPERLINK("http://hellobank.it","hellobank.it")</f>
        <v>hellobank.it</v>
      </c>
      <c r="C5918" t="s">
        <v>459</v>
      </c>
      <c r="D5918" t="s">
        <v>835</v>
      </c>
      <c r="E5918">
        <v>436811</v>
      </c>
      <c r="F5918">
        <v>1.0231730516978199E-7</v>
      </c>
      <c r="G5918">
        <v>392493</v>
      </c>
      <c r="H5918">
        <v>17000084</v>
      </c>
      <c r="I5918">
        <v>93726</v>
      </c>
      <c r="J5918">
        <v>3</v>
      </c>
    </row>
    <row r="5919" spans="1:10" x14ac:dyDescent="0.25">
      <c r="A5919" t="s">
        <v>51</v>
      </c>
      <c r="B5919" s="1" t="str">
        <f>HYPERLINK("http://helloworld.it","helloworld.it")</f>
        <v>helloworld.it</v>
      </c>
      <c r="C5919" t="s">
        <v>459</v>
      </c>
      <c r="D5919" t="s">
        <v>835</v>
      </c>
      <c r="F5919">
        <v>1.14135956606786E-8</v>
      </c>
      <c r="G5919">
        <v>5565066</v>
      </c>
      <c r="H5919">
        <v>14131546</v>
      </c>
      <c r="I5919">
        <v>2014166</v>
      </c>
      <c r="J5919">
        <v>2</v>
      </c>
    </row>
    <row r="5920" spans="1:10" x14ac:dyDescent="0.25">
      <c r="A5920" t="s">
        <v>51</v>
      </c>
      <c r="B5920" s="1" t="str">
        <f>HYPERLINK("http://ifitalia.it","ifitalia.it")</f>
        <v>ifitalia.it</v>
      </c>
      <c r="C5920" t="s">
        <v>459</v>
      </c>
      <c r="D5920" t="s">
        <v>835</v>
      </c>
      <c r="F5920">
        <v>1.05800582431117E-8</v>
      </c>
      <c r="G5920">
        <v>6200824</v>
      </c>
      <c r="H5920">
        <v>12499681</v>
      </c>
      <c r="I5920">
        <v>17363542</v>
      </c>
      <c r="J5920">
        <v>2</v>
      </c>
    </row>
    <row r="5921" spans="1:10" x14ac:dyDescent="0.25">
      <c r="A5921" t="s">
        <v>51</v>
      </c>
      <c r="B5921" s="1" t="str">
        <f>HYPERLINK("http://interparkingitalia.it","interparkingitalia.it")</f>
        <v>interparkingitalia.it</v>
      </c>
      <c r="C5921" t="s">
        <v>459</v>
      </c>
      <c r="D5921" t="s">
        <v>835</v>
      </c>
      <c r="F5921">
        <v>2.28260195479001E-8</v>
      </c>
      <c r="G5921">
        <v>2291004</v>
      </c>
      <c r="H5921">
        <v>12589813</v>
      </c>
      <c r="I5921">
        <v>16415383</v>
      </c>
      <c r="J5921">
        <v>10</v>
      </c>
    </row>
    <row r="5922" spans="1:10" x14ac:dyDescent="0.25">
      <c r="A5922" t="s">
        <v>51</v>
      </c>
      <c r="B5922" s="1" t="str">
        <f>HYPERLINK("http://permicro.it","permicro.it")</f>
        <v>permicro.it</v>
      </c>
      <c r="C5922" t="s">
        <v>459</v>
      </c>
      <c r="D5922" t="s">
        <v>835</v>
      </c>
      <c r="F5922">
        <v>3.0744709190944399E-8</v>
      </c>
      <c r="G5922">
        <v>1675404</v>
      </c>
      <c r="H5922">
        <v>14123444</v>
      </c>
      <c r="I5922">
        <v>2174357</v>
      </c>
      <c r="J5922">
        <v>3</v>
      </c>
    </row>
    <row r="5923" spans="1:10" x14ac:dyDescent="0.25">
      <c r="A5923" t="s">
        <v>51</v>
      </c>
      <c r="B5923" s="1" t="str">
        <f>HYPERLINK("http://servizioitalia.it","servizioitalia.it")</f>
        <v>servizioitalia.it</v>
      </c>
      <c r="C5923" t="s">
        <v>459</v>
      </c>
      <c r="D5923" t="s">
        <v>835</v>
      </c>
      <c r="F5923">
        <v>5.3906958169839303E-9</v>
      </c>
      <c r="G5923">
        <v>22238265</v>
      </c>
      <c r="H5923">
        <v>10908520</v>
      </c>
      <c r="I5923">
        <v>35656824</v>
      </c>
      <c r="J5923">
        <v>3</v>
      </c>
    </row>
    <row r="5924" spans="1:10" x14ac:dyDescent="0.25">
      <c r="A5924" t="s">
        <v>51</v>
      </c>
      <c r="B5924" s="1" t="str">
        <f>HYPERLINK("http://bnpparibas.je","bnpparibas.je")</f>
        <v>bnpparibas.je</v>
      </c>
      <c r="C5924" t="s">
        <v>648</v>
      </c>
      <c r="D5924" t="s">
        <v>967</v>
      </c>
      <c r="F5924">
        <v>1.7580194143190101E-8</v>
      </c>
      <c r="G5924">
        <v>3123348</v>
      </c>
      <c r="H5924">
        <v>12333160</v>
      </c>
      <c r="I5924">
        <v>20141932</v>
      </c>
      <c r="J5924">
        <v>3</v>
      </c>
    </row>
    <row r="5925" spans="1:10" x14ac:dyDescent="0.25">
      <c r="A5925" t="s">
        <v>51</v>
      </c>
      <c r="B5925" s="1" t="str">
        <f>HYPERLINK("http://claas.jobs","claas.jobs")</f>
        <v>claas.jobs</v>
      </c>
      <c r="C5925" t="s">
        <v>521</v>
      </c>
      <c r="F5925">
        <v>1.28352557238388E-8</v>
      </c>
      <c r="G5925">
        <v>4711408</v>
      </c>
      <c r="H5925">
        <v>13166149</v>
      </c>
      <c r="I5925">
        <v>11739606</v>
      </c>
      <c r="J5925">
        <v>5</v>
      </c>
    </row>
    <row r="5926" spans="1:10" x14ac:dyDescent="0.25">
      <c r="A5926" t="s">
        <v>51</v>
      </c>
      <c r="B5926" s="1" t="str">
        <f>HYPERLINK("http://bnpparibas.jp","bnpparibas.jp")</f>
        <v>bnpparibas.jp</v>
      </c>
      <c r="C5926" t="s">
        <v>461</v>
      </c>
      <c r="D5926" t="s">
        <v>837</v>
      </c>
      <c r="F5926">
        <v>1.14377034741761E-7</v>
      </c>
      <c r="G5926">
        <v>348173</v>
      </c>
      <c r="H5926">
        <v>14084514</v>
      </c>
      <c r="I5926">
        <v>2786818</v>
      </c>
      <c r="J5926">
        <v>3</v>
      </c>
    </row>
    <row r="5927" spans="1:10" x14ac:dyDescent="0.25">
      <c r="A5927" t="s">
        <v>51</v>
      </c>
      <c r="B5927" s="1" t="str">
        <f>HYPERLINK("http://bnpparibas-am.jp","bnpparibas-am.jp")</f>
        <v>bnpparibas-am.jp</v>
      </c>
      <c r="C5927" t="s">
        <v>461</v>
      </c>
      <c r="D5927" t="s">
        <v>837</v>
      </c>
      <c r="F5927">
        <v>1.50525767553842E-8</v>
      </c>
      <c r="G5927">
        <v>3822795</v>
      </c>
      <c r="H5927">
        <v>11248708</v>
      </c>
      <c r="I5927">
        <v>30905892</v>
      </c>
      <c r="J5927">
        <v>3</v>
      </c>
    </row>
    <row r="5928" spans="1:10" x14ac:dyDescent="0.25">
      <c r="A5928" t="s">
        <v>51</v>
      </c>
      <c r="B5928" s="1" t="str">
        <f>HYPERLINK("http://bnpparibas-ip.jp","bnpparibas-ip.jp")</f>
        <v>bnpparibas-ip.jp</v>
      </c>
      <c r="C5928" t="s">
        <v>461</v>
      </c>
      <c r="D5928" t="s">
        <v>837</v>
      </c>
      <c r="F5928">
        <v>5.3034327859952799E-9</v>
      </c>
      <c r="G5928">
        <v>23442448</v>
      </c>
      <c r="H5928">
        <v>14071792</v>
      </c>
      <c r="I5928">
        <v>3400616</v>
      </c>
      <c r="J5928">
        <v>4</v>
      </c>
    </row>
    <row r="5929" spans="1:10" x14ac:dyDescent="0.25">
      <c r="A5929" t="s">
        <v>51</v>
      </c>
      <c r="B5929" s="1" t="str">
        <f>HYPERLINK("http://claas.jp","claas.jp")</f>
        <v>claas.jp</v>
      </c>
      <c r="C5929" t="s">
        <v>461</v>
      </c>
      <c r="D5929" t="s">
        <v>837</v>
      </c>
      <c r="F5929">
        <v>1.81554264149821E-8</v>
      </c>
      <c r="G5929">
        <v>2998623</v>
      </c>
      <c r="H5929">
        <v>10852051</v>
      </c>
      <c r="I5929">
        <v>36813923</v>
      </c>
      <c r="J5929">
        <v>4</v>
      </c>
    </row>
    <row r="5930" spans="1:10" x14ac:dyDescent="0.25">
      <c r="A5930" t="s">
        <v>51</v>
      </c>
      <c r="B5930" s="1" t="str">
        <f>HYPERLINK("http://cardif.co.jp","cardif.co.jp")</f>
        <v>cardif.co.jp</v>
      </c>
      <c r="C5930" t="s">
        <v>461</v>
      </c>
      <c r="D5930" t="s">
        <v>837</v>
      </c>
      <c r="F5930">
        <v>2.3900014425332099E-8</v>
      </c>
      <c r="G5930">
        <v>2172850</v>
      </c>
      <c r="H5930">
        <v>12803908</v>
      </c>
      <c r="I5930">
        <v>14621614</v>
      </c>
      <c r="J5930">
        <v>4</v>
      </c>
    </row>
    <row r="5931" spans="1:10" x14ac:dyDescent="0.25">
      <c r="A5931" t="s">
        <v>51</v>
      </c>
      <c r="B5931" s="1" t="str">
        <f>HYPERLINK("http://bnpparibas.co.kr","bnpparibas.co.kr")</f>
        <v>bnpparibas.co.kr</v>
      </c>
      <c r="C5931" t="s">
        <v>463</v>
      </c>
      <c r="D5931" t="s">
        <v>839</v>
      </c>
      <c r="F5931">
        <v>2.81022054799974E-8</v>
      </c>
      <c r="G5931">
        <v>1830891</v>
      </c>
      <c r="H5931">
        <v>12397772</v>
      </c>
      <c r="I5931">
        <v>18886135</v>
      </c>
      <c r="J5931">
        <v>3</v>
      </c>
    </row>
    <row r="5932" spans="1:10" x14ac:dyDescent="0.25">
      <c r="A5932" t="s">
        <v>51</v>
      </c>
      <c r="B5932" s="1" t="str">
        <f>HYPERLINK("http://cardif.co.kr","cardif.co.kr")</f>
        <v>cardif.co.kr</v>
      </c>
      <c r="C5932" t="s">
        <v>463</v>
      </c>
      <c r="D5932" t="s">
        <v>839</v>
      </c>
      <c r="F5932">
        <v>2.1484797405968801E-8</v>
      </c>
      <c r="G5932">
        <v>2450947</v>
      </c>
      <c r="H5932">
        <v>14074269</v>
      </c>
      <c r="I5932">
        <v>2949567</v>
      </c>
      <c r="J5932">
        <v>4</v>
      </c>
    </row>
    <row r="5933" spans="1:10" x14ac:dyDescent="0.25">
      <c r="A5933" t="s">
        <v>51</v>
      </c>
      <c r="B5933" s="1" t="str">
        <f>HYPERLINK("http://claas.kz","claas.kz")</f>
        <v>claas.kz</v>
      </c>
      <c r="C5933" t="s">
        <v>465</v>
      </c>
      <c r="D5933" t="s">
        <v>841</v>
      </c>
      <c r="F5933">
        <v>1.9641109591885599E-8</v>
      </c>
      <c r="G5933">
        <v>2720844</v>
      </c>
      <c r="H5933">
        <v>10852054</v>
      </c>
      <c r="I5933">
        <v>36813876</v>
      </c>
      <c r="J5933">
        <v>4</v>
      </c>
    </row>
    <row r="5934" spans="1:10" x14ac:dyDescent="0.25">
      <c r="A5934" t="s">
        <v>51</v>
      </c>
      <c r="B5934" s="1" t="str">
        <f>HYPERLINK("http://claas.lt","claas.lt")</f>
        <v>claas.lt</v>
      </c>
      <c r="C5934" t="s">
        <v>467</v>
      </c>
      <c r="D5934" t="s">
        <v>843</v>
      </c>
      <c r="F5934">
        <v>1.83114698151235E-8</v>
      </c>
      <c r="G5934">
        <v>2965191</v>
      </c>
      <c r="H5934">
        <v>10852064</v>
      </c>
      <c r="I5934">
        <v>36813664</v>
      </c>
      <c r="J5934">
        <v>4</v>
      </c>
    </row>
    <row r="5935" spans="1:10" x14ac:dyDescent="0.25">
      <c r="A5935" t="s">
        <v>51</v>
      </c>
      <c r="B5935" s="1" t="str">
        <f>HYPERLINK("http://arval.lu","arval.lu")</f>
        <v>arval.lu</v>
      </c>
      <c r="C5935" t="s">
        <v>547</v>
      </c>
      <c r="D5935" t="s">
        <v>904</v>
      </c>
      <c r="F5935">
        <v>1.09301727202332E-8</v>
      </c>
      <c r="G5935">
        <v>5919167</v>
      </c>
      <c r="H5935">
        <v>12312173</v>
      </c>
      <c r="I5935">
        <v>20573194</v>
      </c>
      <c r="J5935">
        <v>3</v>
      </c>
    </row>
    <row r="5936" spans="1:10" x14ac:dyDescent="0.25">
      <c r="A5936" t="s">
        <v>51</v>
      </c>
      <c r="B5936" s="1" t="str">
        <f>HYPERLINK("http://bgl.lu","bgl.lu")</f>
        <v>bgl.lu</v>
      </c>
      <c r="C5936" t="s">
        <v>547</v>
      </c>
      <c r="D5936" t="s">
        <v>904</v>
      </c>
      <c r="E5936">
        <v>237720</v>
      </c>
      <c r="F5936">
        <v>1.0403928113406901E-7</v>
      </c>
      <c r="G5936">
        <v>385457</v>
      </c>
      <c r="H5936">
        <v>14475572</v>
      </c>
      <c r="I5936">
        <v>1032774</v>
      </c>
      <c r="J5936">
        <v>3</v>
      </c>
    </row>
    <row r="5937" spans="1:10" x14ac:dyDescent="0.25">
      <c r="A5937" t="s">
        <v>51</v>
      </c>
      <c r="B5937" s="1" t="str">
        <f>HYPERLINK("http://bnpparibas.lu","bnpparibas.lu")</f>
        <v>bnpparibas.lu</v>
      </c>
      <c r="C5937" t="s">
        <v>547</v>
      </c>
      <c r="D5937" t="s">
        <v>904</v>
      </c>
      <c r="E5937">
        <v>816953</v>
      </c>
      <c r="F5937">
        <v>3.9379406872714498E-8</v>
      </c>
      <c r="G5937">
        <v>1310567</v>
      </c>
      <c r="H5937">
        <v>14503931</v>
      </c>
      <c r="I5937">
        <v>841095</v>
      </c>
      <c r="J5937">
        <v>2</v>
      </c>
    </row>
    <row r="5938" spans="1:10" x14ac:dyDescent="0.25">
      <c r="A5938" t="s">
        <v>51</v>
      </c>
      <c r="B5938" s="1" t="str">
        <f>HYPERLINK("http://bnpparibas-am.lu","bnpparibas-am.lu")</f>
        <v>bnpparibas-am.lu</v>
      </c>
      <c r="C5938" t="s">
        <v>547</v>
      </c>
      <c r="D5938" t="s">
        <v>904</v>
      </c>
      <c r="F5938">
        <v>2.8437817776879602E-8</v>
      </c>
      <c r="G5938">
        <v>1809788</v>
      </c>
      <c r="H5938">
        <v>12581317</v>
      </c>
      <c r="I5938">
        <v>16493923</v>
      </c>
      <c r="J5938">
        <v>3</v>
      </c>
    </row>
    <row r="5939" spans="1:10" x14ac:dyDescent="0.25">
      <c r="A5939" t="s">
        <v>51</v>
      </c>
      <c r="B5939" s="1" t="str">
        <f>HYPERLINK("http://bnppre.lu","bnppre.lu")</f>
        <v>bnppre.lu</v>
      </c>
      <c r="C5939" t="s">
        <v>547</v>
      </c>
      <c r="D5939" t="s">
        <v>904</v>
      </c>
      <c r="J5939">
        <v>2</v>
      </c>
    </row>
    <row r="5940" spans="1:10" x14ac:dyDescent="0.25">
      <c r="A5940" t="s">
        <v>51</v>
      </c>
      <c r="B5940" s="1" t="str">
        <f>HYPERLINK("http://bp2f.lu","bp2f.lu")</f>
        <v>bp2f.lu</v>
      </c>
      <c r="C5940" t="s">
        <v>547</v>
      </c>
      <c r="D5940" t="s">
        <v>904</v>
      </c>
      <c r="F5940">
        <v>6.6023307959740397E-9</v>
      </c>
      <c r="G5940">
        <v>13668135</v>
      </c>
      <c r="H5940">
        <v>12264457</v>
      </c>
      <c r="I5940">
        <v>21648416</v>
      </c>
      <c r="J5940">
        <v>4</v>
      </c>
    </row>
    <row r="5941" spans="1:10" x14ac:dyDescent="0.25">
      <c r="A5941" t="s">
        <v>51</v>
      </c>
      <c r="B5941" s="1" t="str">
        <f>HYPERLINK("http://cardiflife.lu","cardiflife.lu")</f>
        <v>cardiflife.lu</v>
      </c>
      <c r="C5941" t="s">
        <v>547</v>
      </c>
      <c r="D5941" t="s">
        <v>904</v>
      </c>
      <c r="F5941">
        <v>5.6148969964508604E-9</v>
      </c>
      <c r="G5941">
        <v>19715474</v>
      </c>
      <c r="H5941">
        <v>11938979</v>
      </c>
      <c r="I5941">
        <v>29216250</v>
      </c>
      <c r="J5941">
        <v>3</v>
      </c>
    </row>
    <row r="5942" spans="1:10" x14ac:dyDescent="0.25">
      <c r="A5942" t="s">
        <v>51</v>
      </c>
      <c r="B5942" s="1" t="str">
        <f>HYPERLINK("http://cardifluxvie.lu","cardifluxvie.lu")</f>
        <v>cardifluxvie.lu</v>
      </c>
      <c r="C5942" t="s">
        <v>547</v>
      </c>
      <c r="D5942" t="s">
        <v>904</v>
      </c>
      <c r="F5942">
        <v>1.8492911070592801E-8</v>
      </c>
      <c r="G5942">
        <v>2926978</v>
      </c>
      <c r="H5942">
        <v>12234785</v>
      </c>
      <c r="I5942">
        <v>22384015</v>
      </c>
      <c r="J5942">
        <v>5</v>
      </c>
    </row>
    <row r="5943" spans="1:10" x14ac:dyDescent="0.25">
      <c r="A5943" t="s">
        <v>51</v>
      </c>
      <c r="B5943" s="1" t="str">
        <f>HYPERLINK("http://claas.lu","claas.lu")</f>
        <v>claas.lu</v>
      </c>
      <c r="C5943" t="s">
        <v>547</v>
      </c>
      <c r="D5943" t="s">
        <v>904</v>
      </c>
      <c r="F5943">
        <v>2.13106976351507E-8</v>
      </c>
      <c r="G5943">
        <v>2472835</v>
      </c>
      <c r="H5943">
        <v>11059938</v>
      </c>
      <c r="I5943">
        <v>32683654</v>
      </c>
      <c r="J5943">
        <v>4</v>
      </c>
    </row>
    <row r="5944" spans="1:10" x14ac:dyDescent="0.25">
      <c r="A5944" t="s">
        <v>51</v>
      </c>
      <c r="B5944" s="1" t="str">
        <f>HYPERLINK("http://claas.lv","claas.lv")</f>
        <v>claas.lv</v>
      </c>
      <c r="C5944" t="s">
        <v>468</v>
      </c>
      <c r="D5944" t="s">
        <v>844</v>
      </c>
      <c r="F5944">
        <v>1.84988279652972E-8</v>
      </c>
      <c r="G5944">
        <v>2925880</v>
      </c>
      <c r="H5944">
        <v>10852051</v>
      </c>
      <c r="I5944">
        <v>36813924</v>
      </c>
      <c r="J5944">
        <v>5</v>
      </c>
    </row>
    <row r="5945" spans="1:10" x14ac:dyDescent="0.25">
      <c r="A5945" t="s">
        <v>51</v>
      </c>
      <c r="B5945" s="1" t="str">
        <f>HYPERLINK("http://vilomix.lv","vilomix.lv")</f>
        <v>vilomix.lv</v>
      </c>
      <c r="C5945" t="s">
        <v>468</v>
      </c>
      <c r="D5945" t="s">
        <v>844</v>
      </c>
      <c r="F5945">
        <v>7.1842247212002401E-9</v>
      </c>
      <c r="G5945">
        <v>11785520</v>
      </c>
      <c r="H5945">
        <v>9582970</v>
      </c>
      <c r="I5945">
        <v>64591069</v>
      </c>
      <c r="J5945">
        <v>10</v>
      </c>
    </row>
    <row r="5946" spans="1:10" x14ac:dyDescent="0.25">
      <c r="A5946" t="s">
        <v>51</v>
      </c>
      <c r="B5946" s="1" t="str">
        <f>HYPERLINK("http://arval.ma","arval.ma")</f>
        <v>arval.ma</v>
      </c>
      <c r="C5946" t="s">
        <v>469</v>
      </c>
      <c r="D5946" t="s">
        <v>845</v>
      </c>
      <c r="F5946">
        <v>6.5787836442512199E-9</v>
      </c>
      <c r="G5946">
        <v>13758380</v>
      </c>
      <c r="H5946">
        <v>11033932</v>
      </c>
      <c r="I5946">
        <v>33012925</v>
      </c>
      <c r="J5946">
        <v>3</v>
      </c>
    </row>
    <row r="5947" spans="1:10" x14ac:dyDescent="0.25">
      <c r="A5947" t="s">
        <v>51</v>
      </c>
      <c r="B5947" s="1" t="str">
        <f>HYPERLINK("http://bmci.ma","bmci.ma")</f>
        <v>bmci.ma</v>
      </c>
      <c r="C5947" t="s">
        <v>469</v>
      </c>
      <c r="D5947" t="s">
        <v>845</v>
      </c>
      <c r="E5947">
        <v>641814</v>
      </c>
      <c r="F5947">
        <v>6.4914830097713696E-8</v>
      </c>
      <c r="G5947">
        <v>664145</v>
      </c>
      <c r="H5947">
        <v>14429631</v>
      </c>
      <c r="I5947">
        <v>1075419</v>
      </c>
      <c r="J5947">
        <v>2</v>
      </c>
    </row>
    <row r="5948" spans="1:10" x14ac:dyDescent="0.25">
      <c r="A5948" t="s">
        <v>51</v>
      </c>
      <c r="B5948" s="1" t="str">
        <f>HYPERLINK("http://bnpparibas.ma","bnpparibas.ma")</f>
        <v>bnpparibas.ma</v>
      </c>
      <c r="C5948" t="s">
        <v>469</v>
      </c>
      <c r="D5948" t="s">
        <v>845</v>
      </c>
      <c r="J5948">
        <v>2</v>
      </c>
    </row>
    <row r="5949" spans="1:10" x14ac:dyDescent="0.25">
      <c r="A5949" t="s">
        <v>51</v>
      </c>
      <c r="B5949" s="1" t="str">
        <f>HYPERLINK("http://claas.ma","claas.ma")</f>
        <v>claas.ma</v>
      </c>
      <c r="C5949" t="s">
        <v>469</v>
      </c>
      <c r="D5949" t="s">
        <v>845</v>
      </c>
      <c r="F5949">
        <v>1.7786692202759501E-8</v>
      </c>
      <c r="G5949">
        <v>3077618</v>
      </c>
      <c r="H5949">
        <v>10852047</v>
      </c>
      <c r="I5949">
        <v>36814001</v>
      </c>
      <c r="J5949">
        <v>4</v>
      </c>
    </row>
    <row r="5950" spans="1:10" x14ac:dyDescent="0.25">
      <c r="A5950" t="s">
        <v>51</v>
      </c>
      <c r="B5950" s="1" t="str">
        <f>HYPERLINK("http://mchina.ma","mchina.ma")</f>
        <v>mchina.ma</v>
      </c>
      <c r="C5950" t="s">
        <v>469</v>
      </c>
      <c r="D5950" t="s">
        <v>845</v>
      </c>
      <c r="F5950">
        <v>4.4672529441349701E-9</v>
      </c>
      <c r="G5950">
        <v>65357750</v>
      </c>
      <c r="H5950">
        <v>10256587</v>
      </c>
      <c r="I5950">
        <v>58624891</v>
      </c>
      <c r="J5950">
        <v>2</v>
      </c>
    </row>
    <row r="5951" spans="1:10" x14ac:dyDescent="0.25">
      <c r="A5951" t="s">
        <v>51</v>
      </c>
      <c r="B5951" s="1" t="str">
        <f>HYPERLINK("http://bnpparibas.mc","bnpparibas.mc")</f>
        <v>bnpparibas.mc</v>
      </c>
      <c r="C5951" t="s">
        <v>613</v>
      </c>
      <c r="D5951" t="s">
        <v>939</v>
      </c>
      <c r="F5951">
        <v>8.89220283767738E-9</v>
      </c>
      <c r="G5951">
        <v>8156190</v>
      </c>
      <c r="H5951">
        <v>13604739</v>
      </c>
      <c r="I5951">
        <v>9643951</v>
      </c>
      <c r="J5951">
        <v>3</v>
      </c>
    </row>
    <row r="5952" spans="1:10" x14ac:dyDescent="0.25">
      <c r="A5952" t="s">
        <v>51</v>
      </c>
      <c r="B5952" s="1" t="str">
        <f>HYPERLINK("http://claas.me","claas.me")</f>
        <v>claas.me</v>
      </c>
      <c r="C5952" t="s">
        <v>470</v>
      </c>
      <c r="D5952" t="s">
        <v>846</v>
      </c>
      <c r="F5952">
        <v>1.8254180457095001E-8</v>
      </c>
      <c r="G5952">
        <v>2976407</v>
      </c>
      <c r="H5952">
        <v>11012747</v>
      </c>
      <c r="I5952">
        <v>33364804</v>
      </c>
      <c r="J5952">
        <v>4</v>
      </c>
    </row>
    <row r="5953" spans="1:10" x14ac:dyDescent="0.25">
      <c r="A5953" t="s">
        <v>51</v>
      </c>
      <c r="B5953" s="1" t="str">
        <f>HYPERLINK("http://bicim.ml","bicim.ml")</f>
        <v>bicim.ml</v>
      </c>
      <c r="C5953" t="s">
        <v>596</v>
      </c>
      <c r="D5953" t="s">
        <v>931</v>
      </c>
      <c r="F5953">
        <v>1.2745494086248699E-8</v>
      </c>
      <c r="G5953">
        <v>4756731</v>
      </c>
      <c r="H5953">
        <v>12444488</v>
      </c>
      <c r="I5953">
        <v>18090514</v>
      </c>
      <c r="J5953">
        <v>4</v>
      </c>
    </row>
    <row r="5954" spans="1:10" x14ac:dyDescent="0.25">
      <c r="A5954" t="s">
        <v>51</v>
      </c>
      <c r="B5954" s="1" t="str">
        <f>HYPERLINK("http://bnpparibas.mobi","bnpparibas.mobi")</f>
        <v>bnpparibas.mobi</v>
      </c>
      <c r="C5954" t="s">
        <v>532</v>
      </c>
      <c r="F5954">
        <v>4.4838461947762903E-9</v>
      </c>
      <c r="G5954">
        <v>61608714</v>
      </c>
      <c r="H5954">
        <v>10569598</v>
      </c>
      <c r="I5954">
        <v>46106137</v>
      </c>
      <c r="J5954">
        <v>2</v>
      </c>
    </row>
    <row r="5955" spans="1:10" x14ac:dyDescent="0.25">
      <c r="A5955" t="s">
        <v>51</v>
      </c>
      <c r="B5955" s="1" t="str">
        <f>HYPERLINK("http://claas.mx","claas.mx")</f>
        <v>claas.mx</v>
      </c>
      <c r="C5955" t="s">
        <v>471</v>
      </c>
      <c r="D5955" t="s">
        <v>847</v>
      </c>
      <c r="F5955">
        <v>1.79519212580145E-8</v>
      </c>
      <c r="G5955">
        <v>3042628</v>
      </c>
      <c r="H5955">
        <v>10852048</v>
      </c>
      <c r="I5955">
        <v>36813969</v>
      </c>
      <c r="J5955">
        <v>4</v>
      </c>
    </row>
    <row r="5956" spans="1:10" x14ac:dyDescent="0.25">
      <c r="A5956" t="s">
        <v>51</v>
      </c>
      <c r="B5956" s="1" t="str">
        <f>HYPERLINK("http://bnpparibas.com.mx","bnpparibas.com.mx")</f>
        <v>bnpparibas.com.mx</v>
      </c>
      <c r="C5956" t="s">
        <v>471</v>
      </c>
      <c r="D5956" t="s">
        <v>847</v>
      </c>
      <c r="F5956">
        <v>1.6529824751278801E-8</v>
      </c>
      <c r="G5956">
        <v>3406434</v>
      </c>
      <c r="H5956">
        <v>12338334</v>
      </c>
      <c r="I5956">
        <v>20042829</v>
      </c>
      <c r="J5956">
        <v>3</v>
      </c>
    </row>
    <row r="5957" spans="1:10" x14ac:dyDescent="0.25">
      <c r="A5957" t="s">
        <v>51</v>
      </c>
      <c r="B5957" s="1" t="str">
        <f>HYPERLINK("http://bnpparibas-am.com.mx","bnpparibas-am.com.mx")</f>
        <v>bnpparibas-am.com.mx</v>
      </c>
      <c r="C5957" t="s">
        <v>471</v>
      </c>
      <c r="D5957" t="s">
        <v>847</v>
      </c>
      <c r="F5957">
        <v>8.6632536379963803E-9</v>
      </c>
      <c r="G5957">
        <v>8543965</v>
      </c>
      <c r="H5957">
        <v>11208401</v>
      </c>
      <c r="I5957">
        <v>31175745</v>
      </c>
      <c r="J5957">
        <v>3</v>
      </c>
    </row>
    <row r="5958" spans="1:10" x14ac:dyDescent="0.25">
      <c r="A5958" t="s">
        <v>51</v>
      </c>
      <c r="B5958" s="1" t="str">
        <f>HYPERLINK("http://bnpparibascardif.com.mx","bnpparibascardif.com.mx")</f>
        <v>bnpparibascardif.com.mx</v>
      </c>
      <c r="C5958" t="s">
        <v>471</v>
      </c>
      <c r="D5958" t="s">
        <v>847</v>
      </c>
      <c r="F5958">
        <v>5.2375320875593203E-9</v>
      </c>
      <c r="G5958">
        <v>24453704</v>
      </c>
      <c r="H5958">
        <v>10080104</v>
      </c>
      <c r="I5958">
        <v>60040173</v>
      </c>
      <c r="J5958">
        <v>3</v>
      </c>
    </row>
    <row r="5959" spans="1:10" x14ac:dyDescent="0.25">
      <c r="A5959" t="s">
        <v>51</v>
      </c>
      <c r="B5959" s="1" t="str">
        <f>HYPERLINK("http://cardif.com.mx","cardif.com.mx")</f>
        <v>cardif.com.mx</v>
      </c>
      <c r="C5959" t="s">
        <v>471</v>
      </c>
      <c r="D5959" t="s">
        <v>847</v>
      </c>
      <c r="F5959">
        <v>1.3110147645768E-8</v>
      </c>
      <c r="G5959">
        <v>4579388</v>
      </c>
      <c r="H5959">
        <v>10984297</v>
      </c>
      <c r="I5959">
        <v>33852478</v>
      </c>
      <c r="J5959">
        <v>4</v>
      </c>
    </row>
    <row r="5960" spans="1:10" x14ac:dyDescent="0.25">
      <c r="A5960" t="s">
        <v>51</v>
      </c>
      <c r="B5960" s="1" t="str">
        <f>HYPERLINK("http://bnpparibas.com.my","bnpparibas.com.my")</f>
        <v>bnpparibas.com.my</v>
      </c>
      <c r="C5960" t="s">
        <v>472</v>
      </c>
      <c r="D5960" t="s">
        <v>848</v>
      </c>
      <c r="F5960">
        <v>2.1427022925257199E-8</v>
      </c>
      <c r="G5960">
        <v>2458268</v>
      </c>
      <c r="H5960">
        <v>13882392</v>
      </c>
      <c r="I5960">
        <v>5976395</v>
      </c>
      <c r="J5960">
        <v>3</v>
      </c>
    </row>
    <row r="5961" spans="1:10" x14ac:dyDescent="0.25">
      <c r="A5961" t="s">
        <v>51</v>
      </c>
      <c r="B5961" s="1" t="str">
        <f>HYPERLINK("http://bnpparibas-am.com.my","bnpparibas-am.com.my")</f>
        <v>bnpparibas-am.com.my</v>
      </c>
      <c r="C5961" t="s">
        <v>472</v>
      </c>
      <c r="D5961" t="s">
        <v>848</v>
      </c>
      <c r="F5961">
        <v>9.9934220816410996E-9</v>
      </c>
      <c r="G5961">
        <v>6762447</v>
      </c>
      <c r="H5961">
        <v>11209190</v>
      </c>
      <c r="I5961">
        <v>31170479</v>
      </c>
      <c r="J5961">
        <v>3</v>
      </c>
    </row>
    <row r="5962" spans="1:10" x14ac:dyDescent="0.25">
      <c r="A5962" t="s">
        <v>51</v>
      </c>
      <c r="B5962" s="1" t="str">
        <f>HYPERLINK("http://bnpparibas.nc","bnpparibas.nc")</f>
        <v>bnpparibas.nc</v>
      </c>
      <c r="C5962" t="s">
        <v>724</v>
      </c>
      <c r="D5962" t="s">
        <v>1008</v>
      </c>
      <c r="F5962">
        <v>4.7720947456103202E-8</v>
      </c>
      <c r="G5962">
        <v>975356</v>
      </c>
      <c r="H5962">
        <v>12382265</v>
      </c>
      <c r="I5962">
        <v>19167830</v>
      </c>
      <c r="J5962">
        <v>3</v>
      </c>
    </row>
    <row r="5963" spans="1:10" x14ac:dyDescent="0.25">
      <c r="A5963" t="s">
        <v>51</v>
      </c>
      <c r="B5963" s="1" t="str">
        <f>HYPERLINK("http://arval-trading.net","arval-trading.net")</f>
        <v>arval-trading.net</v>
      </c>
      <c r="C5963" t="s">
        <v>474</v>
      </c>
      <c r="J5963">
        <v>3</v>
      </c>
    </row>
    <row r="5964" spans="1:10" x14ac:dyDescent="0.25">
      <c r="A5964" t="s">
        <v>51</v>
      </c>
      <c r="B5964" s="1" t="str">
        <f>HYPERLINK("http://bnpparibas.net","bnpparibas.net")</f>
        <v>bnpparibas.net</v>
      </c>
      <c r="C5964" t="s">
        <v>474</v>
      </c>
      <c r="E5964">
        <v>86566</v>
      </c>
      <c r="F5964">
        <v>1.95141351643369E-7</v>
      </c>
      <c r="G5964">
        <v>197576</v>
      </c>
      <c r="H5964">
        <v>17103966</v>
      </c>
      <c r="I5964">
        <v>63126</v>
      </c>
      <c r="J5964">
        <v>2</v>
      </c>
    </row>
    <row r="5965" spans="1:10" x14ac:dyDescent="0.25">
      <c r="A5965" t="s">
        <v>51</v>
      </c>
      <c r="B5965" s="1" t="str">
        <f>HYPERLINK("http://geojit.net","geojit.net")</f>
        <v>geojit.net</v>
      </c>
      <c r="C5965" t="s">
        <v>474</v>
      </c>
      <c r="E5965">
        <v>401925</v>
      </c>
      <c r="F5965">
        <v>1.7934085499619401E-7</v>
      </c>
      <c r="G5965">
        <v>215437</v>
      </c>
      <c r="H5965">
        <v>14057423</v>
      </c>
      <c r="I5965">
        <v>3888980</v>
      </c>
      <c r="J5965">
        <v>7</v>
      </c>
    </row>
    <row r="5966" spans="1:10" x14ac:dyDescent="0.25">
      <c r="A5966" t="s">
        <v>51</v>
      </c>
      <c r="B5966" s="1" t="str">
        <f>HYPERLINK("http://icare-service.net","icare-service.net")</f>
        <v>icare-service.net</v>
      </c>
      <c r="C5966" t="s">
        <v>474</v>
      </c>
      <c r="F5966">
        <v>9.0164249655623296E-9</v>
      </c>
      <c r="G5966">
        <v>7967579</v>
      </c>
      <c r="H5966">
        <v>14071985</v>
      </c>
      <c r="I5966">
        <v>3202061</v>
      </c>
      <c r="J5966">
        <v>5</v>
      </c>
    </row>
    <row r="5967" spans="1:10" x14ac:dyDescent="0.25">
      <c r="A5967" t="s">
        <v>51</v>
      </c>
      <c r="B5967" s="1" t="str">
        <f>HYPERLINK("http://paribas.net","paribas.net")</f>
        <v>paribas.net</v>
      </c>
      <c r="C5967" t="s">
        <v>474</v>
      </c>
      <c r="J5967">
        <v>3</v>
      </c>
    </row>
    <row r="5968" spans="1:10" x14ac:dyDescent="0.25">
      <c r="A5968" t="s">
        <v>51</v>
      </c>
      <c r="B5968" s="1" t="str">
        <f>HYPERLINK("http://pensionmanager.net","pensionmanager.net")</f>
        <v>pensionmanager.net</v>
      </c>
      <c r="C5968" t="s">
        <v>474</v>
      </c>
      <c r="J5968">
        <v>4</v>
      </c>
    </row>
    <row r="5969" spans="1:10" x14ac:dyDescent="0.25">
      <c r="A5969" t="s">
        <v>51</v>
      </c>
      <c r="B5969" s="1" t="str">
        <f>HYPERLINK("http://pinnacle.net","pinnacle.net")</f>
        <v>pinnacle.net</v>
      </c>
      <c r="C5969" t="s">
        <v>474</v>
      </c>
      <c r="E5969">
        <v>719395</v>
      </c>
      <c r="J5969">
        <v>4</v>
      </c>
    </row>
    <row r="5970" spans="1:10" x14ac:dyDescent="0.25">
      <c r="A5970" t="s">
        <v>51</v>
      </c>
      <c r="B5970" s="1" t="str">
        <f>HYPERLINK("http://arval.nl","arval.nl")</f>
        <v>arval.nl</v>
      </c>
      <c r="C5970" t="s">
        <v>477</v>
      </c>
      <c r="D5970" t="s">
        <v>852</v>
      </c>
      <c r="E5970">
        <v>673147</v>
      </c>
      <c r="F5970">
        <v>8.32815781192337E-8</v>
      </c>
      <c r="G5970">
        <v>499269</v>
      </c>
      <c r="H5970">
        <v>14566237</v>
      </c>
      <c r="I5970">
        <v>739813</v>
      </c>
      <c r="J5970">
        <v>3</v>
      </c>
    </row>
    <row r="5971" spans="1:10" x14ac:dyDescent="0.25">
      <c r="A5971" t="s">
        <v>51</v>
      </c>
      <c r="B5971" s="1" t="str">
        <f>HYPERLINK("http://bnpparibas.nl","bnpparibas.nl")</f>
        <v>bnpparibas.nl</v>
      </c>
      <c r="C5971" t="s">
        <v>477</v>
      </c>
      <c r="D5971" t="s">
        <v>852</v>
      </c>
      <c r="F5971">
        <v>5.85121531315994E-8</v>
      </c>
      <c r="G5971">
        <v>759073</v>
      </c>
      <c r="H5971">
        <v>13245651</v>
      </c>
      <c r="I5971">
        <v>11145445</v>
      </c>
      <c r="J5971">
        <v>2</v>
      </c>
    </row>
    <row r="5972" spans="1:10" x14ac:dyDescent="0.25">
      <c r="A5972" t="s">
        <v>51</v>
      </c>
      <c r="B5972" s="1" t="str">
        <f>HYPERLINK("http://bnpparibas-3stepit.nl","bnpparibas-3stepit.nl")</f>
        <v>bnpparibas-3stepit.nl</v>
      </c>
      <c r="C5972" t="s">
        <v>477</v>
      </c>
      <c r="D5972" t="s">
        <v>852</v>
      </c>
      <c r="F5972">
        <v>7.3550704157632398E-9</v>
      </c>
      <c r="G5972">
        <v>11349233</v>
      </c>
      <c r="H5972">
        <v>10722536</v>
      </c>
      <c r="I5972">
        <v>41598833</v>
      </c>
      <c r="J5972">
        <v>4</v>
      </c>
    </row>
    <row r="5973" spans="1:10" x14ac:dyDescent="0.25">
      <c r="A5973" t="s">
        <v>51</v>
      </c>
      <c r="B5973" s="1" t="str">
        <f>HYPERLINK("http://bnpparibas-am.nl","bnpparibas-am.nl")</f>
        <v>bnpparibas-am.nl</v>
      </c>
      <c r="C5973" t="s">
        <v>477</v>
      </c>
      <c r="D5973" t="s">
        <v>852</v>
      </c>
      <c r="F5973">
        <v>2.19725261638423E-8</v>
      </c>
      <c r="G5973">
        <v>2389482</v>
      </c>
      <c r="H5973">
        <v>12349548</v>
      </c>
      <c r="I5973">
        <v>19772896</v>
      </c>
      <c r="J5973">
        <v>3</v>
      </c>
    </row>
    <row r="5974" spans="1:10" x14ac:dyDescent="0.25">
      <c r="A5974" t="s">
        <v>51</v>
      </c>
      <c r="B5974" s="1" t="str">
        <f>HYPERLINK("http://bnpparibascardif.nl","bnpparibascardif.nl")</f>
        <v>bnpparibascardif.nl</v>
      </c>
      <c r="C5974" t="s">
        <v>477</v>
      </c>
      <c r="D5974" t="s">
        <v>852</v>
      </c>
      <c r="F5974">
        <v>1.88806537517885E-8</v>
      </c>
      <c r="G5974">
        <v>2856896</v>
      </c>
      <c r="H5974">
        <v>12486559</v>
      </c>
      <c r="I5974">
        <v>17528201</v>
      </c>
      <c r="J5974">
        <v>4</v>
      </c>
    </row>
    <row r="5975" spans="1:10" x14ac:dyDescent="0.25">
      <c r="A5975" t="s">
        <v>51</v>
      </c>
      <c r="B5975" s="1" t="str">
        <f>HYPERLINK("http://bnppre.nl","bnppre.nl")</f>
        <v>bnppre.nl</v>
      </c>
      <c r="C5975" t="s">
        <v>477</v>
      </c>
      <c r="D5975" t="s">
        <v>852</v>
      </c>
      <c r="J5975">
        <v>2</v>
      </c>
    </row>
    <row r="5976" spans="1:10" x14ac:dyDescent="0.25">
      <c r="A5976" t="s">
        <v>51</v>
      </c>
      <c r="B5976" s="1" t="str">
        <f>HYPERLINK("http://fineasy.nl","fineasy.nl")</f>
        <v>fineasy.nl</v>
      </c>
      <c r="C5976" t="s">
        <v>477</v>
      </c>
      <c r="D5976" t="s">
        <v>852</v>
      </c>
      <c r="J5976">
        <v>2</v>
      </c>
    </row>
    <row r="5977" spans="1:10" x14ac:dyDescent="0.25">
      <c r="A5977" t="s">
        <v>51</v>
      </c>
      <c r="B5977" s="1" t="str">
        <f>HYPERLINK("http://interparking.nl","interparking.nl")</f>
        <v>interparking.nl</v>
      </c>
      <c r="C5977" t="s">
        <v>477</v>
      </c>
      <c r="D5977" t="s">
        <v>852</v>
      </c>
      <c r="E5977">
        <v>668005</v>
      </c>
      <c r="F5977">
        <v>1.77588288386596E-7</v>
      </c>
      <c r="G5977">
        <v>217742</v>
      </c>
      <c r="H5977">
        <v>13847946</v>
      </c>
      <c r="I5977">
        <v>6057652</v>
      </c>
      <c r="J5977">
        <v>8</v>
      </c>
    </row>
    <row r="5978" spans="1:10" x14ac:dyDescent="0.25">
      <c r="A5978" t="s">
        <v>51</v>
      </c>
      <c r="B5978" s="1" t="str">
        <f>HYPERLINK("http://pcl.nl","pcl.nl")</f>
        <v>pcl.nl</v>
      </c>
      <c r="C5978" t="s">
        <v>477</v>
      </c>
      <c r="D5978" t="s">
        <v>852</v>
      </c>
      <c r="F5978">
        <v>4.6301462148864198E-9</v>
      </c>
      <c r="G5978">
        <v>45431088</v>
      </c>
      <c r="H5978">
        <v>10622667</v>
      </c>
      <c r="I5978">
        <v>44191275</v>
      </c>
      <c r="J5978">
        <v>3</v>
      </c>
    </row>
    <row r="5979" spans="1:10" x14ac:dyDescent="0.25">
      <c r="A5979" t="s">
        <v>51</v>
      </c>
      <c r="B5979" s="1" t="str">
        <f>HYPERLINK("http://alfredberg.no","alfredberg.no")</f>
        <v>alfredberg.no</v>
      </c>
      <c r="C5979" t="s">
        <v>478</v>
      </c>
      <c r="D5979" t="s">
        <v>853</v>
      </c>
      <c r="F5979">
        <v>1.6123713912239301E-8</v>
      </c>
      <c r="G5979">
        <v>3514674</v>
      </c>
      <c r="H5979">
        <v>12486445</v>
      </c>
      <c r="I5979">
        <v>17529097</v>
      </c>
      <c r="J5979">
        <v>3</v>
      </c>
    </row>
    <row r="5980" spans="1:10" x14ac:dyDescent="0.25">
      <c r="A5980" t="s">
        <v>51</v>
      </c>
      <c r="B5980" s="1" t="str">
        <f>HYPERLINK("http://arval.no","arval.no")</f>
        <v>arval.no</v>
      </c>
      <c r="C5980" t="s">
        <v>478</v>
      </c>
      <c r="D5980" t="s">
        <v>853</v>
      </c>
      <c r="F5980">
        <v>6.9681384233050496E-9</v>
      </c>
      <c r="G5980">
        <v>12407286</v>
      </c>
      <c r="H5980">
        <v>12629155</v>
      </c>
      <c r="I5980">
        <v>15998189</v>
      </c>
      <c r="J5980">
        <v>3</v>
      </c>
    </row>
    <row r="5981" spans="1:10" x14ac:dyDescent="0.25">
      <c r="A5981" t="s">
        <v>51</v>
      </c>
      <c r="B5981" s="1" t="str">
        <f>HYPERLINK("http://bnpparibas.no","bnpparibas.no")</f>
        <v>bnpparibas.no</v>
      </c>
      <c r="C5981" t="s">
        <v>478</v>
      </c>
      <c r="D5981" t="s">
        <v>853</v>
      </c>
      <c r="E5981">
        <v>891398</v>
      </c>
      <c r="F5981">
        <v>2.2534799081567299E-8</v>
      </c>
      <c r="G5981">
        <v>2324657</v>
      </c>
      <c r="H5981">
        <v>14075050</v>
      </c>
      <c r="I5981">
        <v>2920093</v>
      </c>
      <c r="J5981">
        <v>3</v>
      </c>
    </row>
    <row r="5982" spans="1:10" x14ac:dyDescent="0.25">
      <c r="A5982" t="s">
        <v>51</v>
      </c>
      <c r="B5982" s="1" t="str">
        <f>HYPERLINK("http://bnpparibascardif.no","bnpparibascardif.no")</f>
        <v>bnpparibascardif.no</v>
      </c>
      <c r="C5982" t="s">
        <v>478</v>
      </c>
      <c r="D5982" t="s">
        <v>853</v>
      </c>
      <c r="F5982">
        <v>3.5327221197573198E-8</v>
      </c>
      <c r="G5982">
        <v>1472414</v>
      </c>
      <c r="H5982">
        <v>12197176</v>
      </c>
      <c r="I5982">
        <v>23394272</v>
      </c>
      <c r="J5982">
        <v>4</v>
      </c>
    </row>
    <row r="5983" spans="1:10" x14ac:dyDescent="0.25">
      <c r="A5983" t="s">
        <v>51</v>
      </c>
      <c r="B5983" s="1" t="str">
        <f>HYPERLINK("http://claas.no","claas.no")</f>
        <v>claas.no</v>
      </c>
      <c r="C5983" t="s">
        <v>478</v>
      </c>
      <c r="D5983" t="s">
        <v>853</v>
      </c>
      <c r="F5983">
        <v>3.1474137491422299E-8</v>
      </c>
      <c r="G5983">
        <v>1639160</v>
      </c>
      <c r="H5983">
        <v>12432908</v>
      </c>
      <c r="I5983">
        <v>18255384</v>
      </c>
      <c r="J5983">
        <v>4</v>
      </c>
    </row>
    <row r="5984" spans="1:10" x14ac:dyDescent="0.25">
      <c r="A5984" t="s">
        <v>51</v>
      </c>
      <c r="B5984" s="1" t="str">
        <f>HYPERLINK("http://vilomix.no","vilomix.no")</f>
        <v>vilomix.no</v>
      </c>
      <c r="C5984" t="s">
        <v>478</v>
      </c>
      <c r="D5984" t="s">
        <v>853</v>
      </c>
      <c r="F5984">
        <v>1.1241845586158599E-8</v>
      </c>
      <c r="G5984">
        <v>5683971</v>
      </c>
      <c r="H5984">
        <v>12097952</v>
      </c>
      <c r="I5984">
        <v>26027689</v>
      </c>
      <c r="J5984">
        <v>11</v>
      </c>
    </row>
    <row r="5985" spans="1:10" x14ac:dyDescent="0.25">
      <c r="A5985" t="s">
        <v>51</v>
      </c>
      <c r="B5985" s="1" t="str">
        <f>HYPERLINK("http://claas.co.nz","claas.co.nz")</f>
        <v>claas.co.nz</v>
      </c>
      <c r="C5985" t="s">
        <v>479</v>
      </c>
      <c r="D5985" t="s">
        <v>854</v>
      </c>
      <c r="F5985">
        <v>1.8098707230972201E-8</v>
      </c>
      <c r="G5985">
        <v>3010054</v>
      </c>
      <c r="H5985">
        <v>10920310</v>
      </c>
      <c r="I5985">
        <v>35275211</v>
      </c>
      <c r="J5985">
        <v>4</v>
      </c>
    </row>
    <row r="5986" spans="1:10" x14ac:dyDescent="0.25">
      <c r="A5986" t="s">
        <v>51</v>
      </c>
      <c r="B5986" s="1" t="str">
        <f>HYPERLINK("http://bicigui.org","bicigui.org")</f>
        <v>bicigui.org</v>
      </c>
      <c r="C5986" t="s">
        <v>481</v>
      </c>
      <c r="F5986">
        <v>1.32788001863414E-8</v>
      </c>
      <c r="G5986">
        <v>4502802</v>
      </c>
      <c r="H5986">
        <v>12447963</v>
      </c>
      <c r="I5986">
        <v>18045261</v>
      </c>
      <c r="J5986">
        <v>4</v>
      </c>
    </row>
    <row r="5987" spans="1:10" x14ac:dyDescent="0.25">
      <c r="A5987" t="s">
        <v>51</v>
      </c>
      <c r="B5987" s="1" t="str">
        <f>HYPERLINK("http://neuges.org","neuges.org")</f>
        <v>neuges.org</v>
      </c>
      <c r="C5987" t="s">
        <v>481</v>
      </c>
      <c r="F5987">
        <v>8.1505262478859596E-9</v>
      </c>
      <c r="G5987">
        <v>9655262</v>
      </c>
      <c r="H5987">
        <v>12031619</v>
      </c>
      <c r="I5987">
        <v>27626671</v>
      </c>
      <c r="J5987">
        <v>4</v>
      </c>
    </row>
    <row r="5988" spans="1:10" x14ac:dyDescent="0.25">
      <c r="A5988" t="s">
        <v>51</v>
      </c>
      <c r="B5988" s="1" t="str">
        <f>HYPERLINK("http://tiaa.org","tiaa.org")</f>
        <v>tiaa.org</v>
      </c>
      <c r="C5988" t="s">
        <v>481</v>
      </c>
      <c r="E5988">
        <v>19064</v>
      </c>
      <c r="F5988">
        <v>1.2483715321350499E-6</v>
      </c>
      <c r="G5988">
        <v>31212</v>
      </c>
      <c r="H5988">
        <v>17249148</v>
      </c>
      <c r="I5988">
        <v>34099</v>
      </c>
      <c r="J5988">
        <v>8</v>
      </c>
    </row>
    <row r="5989" spans="1:10" x14ac:dyDescent="0.25">
      <c r="A5989" t="s">
        <v>51</v>
      </c>
      <c r="B5989" s="1" t="str">
        <f>HYPERLINK("http://tiaa-cref.org","tiaa-cref.org")</f>
        <v>tiaa-cref.org</v>
      </c>
      <c r="C5989" t="s">
        <v>481</v>
      </c>
      <c r="E5989">
        <v>9481</v>
      </c>
      <c r="F5989">
        <v>4.51842716887083E-7</v>
      </c>
      <c r="G5989">
        <v>83630</v>
      </c>
      <c r="H5989">
        <v>17239106</v>
      </c>
      <c r="I5989">
        <v>35504</v>
      </c>
      <c r="J5989">
        <v>9</v>
      </c>
    </row>
    <row r="5990" spans="1:10" x14ac:dyDescent="0.25">
      <c r="A5990" t="s">
        <v>51</v>
      </c>
      <c r="B5990" s="1" t="str">
        <f>HYPERLINK("http://arval.pe","arval.pe")</f>
        <v>arval.pe</v>
      </c>
      <c r="C5990" t="s">
        <v>483</v>
      </c>
      <c r="D5990" t="s">
        <v>857</v>
      </c>
      <c r="F5990">
        <v>6.6493631586461497E-9</v>
      </c>
      <c r="G5990">
        <v>13487430</v>
      </c>
      <c r="H5990">
        <v>14072405</v>
      </c>
      <c r="I5990">
        <v>3098079</v>
      </c>
      <c r="J5990">
        <v>3</v>
      </c>
    </row>
    <row r="5991" spans="1:10" x14ac:dyDescent="0.25">
      <c r="A5991" t="s">
        <v>51</v>
      </c>
      <c r="B5991" s="1" t="str">
        <f>HYPERLINK("http://bnpparibascardif.com.pe","bnpparibascardif.com.pe")</f>
        <v>bnpparibascardif.com.pe</v>
      </c>
      <c r="C5991" t="s">
        <v>483</v>
      </c>
      <c r="D5991" t="s">
        <v>857</v>
      </c>
      <c r="F5991">
        <v>2.32014885159262E-8</v>
      </c>
      <c r="G5991">
        <v>2249270</v>
      </c>
      <c r="H5991">
        <v>12261845</v>
      </c>
      <c r="I5991">
        <v>21722148</v>
      </c>
      <c r="J5991">
        <v>4</v>
      </c>
    </row>
    <row r="5992" spans="1:10" x14ac:dyDescent="0.25">
      <c r="A5992" t="s">
        <v>51</v>
      </c>
      <c r="B5992" s="1" t="str">
        <f>HYPERLINK("http://cardif.com.pe","cardif.com.pe")</f>
        <v>cardif.com.pe</v>
      </c>
      <c r="C5992" t="s">
        <v>483</v>
      </c>
      <c r="D5992" t="s">
        <v>857</v>
      </c>
      <c r="F5992">
        <v>4.89782516817984E-9</v>
      </c>
      <c r="G5992">
        <v>32528587</v>
      </c>
      <c r="H5992">
        <v>12016381</v>
      </c>
      <c r="I5992">
        <v>27932669</v>
      </c>
      <c r="J5992">
        <v>2</v>
      </c>
    </row>
    <row r="5993" spans="1:10" x14ac:dyDescent="0.25">
      <c r="A5993" t="s">
        <v>51</v>
      </c>
      <c r="B5993" s="1" t="str">
        <f>HYPERLINK("http://arval.pl","arval.pl")</f>
        <v>arval.pl</v>
      </c>
      <c r="C5993" t="s">
        <v>486</v>
      </c>
      <c r="D5993" t="s">
        <v>860</v>
      </c>
      <c r="F5993">
        <v>2.5146989099646299E-8</v>
      </c>
      <c r="G5993">
        <v>2053545</v>
      </c>
      <c r="H5993">
        <v>12572956</v>
      </c>
      <c r="I5993">
        <v>16598712</v>
      </c>
      <c r="J5993">
        <v>3</v>
      </c>
    </row>
    <row r="5994" spans="1:10" x14ac:dyDescent="0.25">
      <c r="A5994" t="s">
        <v>51</v>
      </c>
      <c r="B5994" s="1" t="str">
        <f>HYPERLINK("http://bgz.pl","bgz.pl")</f>
        <v>bgz.pl</v>
      </c>
      <c r="C5994" t="s">
        <v>486</v>
      </c>
      <c r="D5994" t="s">
        <v>860</v>
      </c>
      <c r="E5994">
        <v>992692</v>
      </c>
      <c r="F5994">
        <v>3.4969316344395902E-8</v>
      </c>
      <c r="G5994">
        <v>1485381</v>
      </c>
      <c r="H5994">
        <v>14243126</v>
      </c>
      <c r="I5994">
        <v>1479293</v>
      </c>
      <c r="J5994">
        <v>3</v>
      </c>
    </row>
    <row r="5995" spans="1:10" x14ac:dyDescent="0.25">
      <c r="A5995" t="s">
        <v>51</v>
      </c>
      <c r="B5995" s="1" t="str">
        <f>HYPERLINK("http://bgzbnpparibas.pl","bgzbnpparibas.pl")</f>
        <v>bgzbnpparibas.pl</v>
      </c>
      <c r="C5995" t="s">
        <v>486</v>
      </c>
      <c r="D5995" t="s">
        <v>860</v>
      </c>
      <c r="E5995">
        <v>478245</v>
      </c>
      <c r="F5995">
        <v>1.3973775896194001E-7</v>
      </c>
      <c r="G5995">
        <v>278788</v>
      </c>
      <c r="H5995">
        <v>14253680</v>
      </c>
      <c r="I5995">
        <v>1438367</v>
      </c>
      <c r="J5995">
        <v>4</v>
      </c>
    </row>
    <row r="5996" spans="1:10" x14ac:dyDescent="0.25">
      <c r="A5996" t="s">
        <v>51</v>
      </c>
      <c r="B5996" s="1" t="str">
        <f>HYPERLINK("http://bik.pl","bik.pl")</f>
        <v>bik.pl</v>
      </c>
      <c r="C5996" t="s">
        <v>486</v>
      </c>
      <c r="D5996" t="s">
        <v>860</v>
      </c>
      <c r="E5996">
        <v>210597</v>
      </c>
      <c r="F5996">
        <v>3.2972302942445E-7</v>
      </c>
      <c r="G5996">
        <v>113005</v>
      </c>
      <c r="H5996">
        <v>14401020</v>
      </c>
      <c r="I5996">
        <v>1153642</v>
      </c>
      <c r="J5996">
        <v>4</v>
      </c>
    </row>
    <row r="5997" spans="1:10" x14ac:dyDescent="0.25">
      <c r="A5997" t="s">
        <v>51</v>
      </c>
      <c r="B5997" s="1" t="str">
        <f>HYPERLINK("http://bnpparibas.pl","bnpparibas.pl")</f>
        <v>bnpparibas.pl</v>
      </c>
      <c r="C5997" t="s">
        <v>486</v>
      </c>
      <c r="D5997" t="s">
        <v>860</v>
      </c>
      <c r="E5997">
        <v>73613</v>
      </c>
      <c r="F5997">
        <v>5.4034316072141998E-7</v>
      </c>
      <c r="G5997">
        <v>71484</v>
      </c>
      <c r="H5997">
        <v>17098794</v>
      </c>
      <c r="I5997">
        <v>64145</v>
      </c>
      <c r="J5997">
        <v>2</v>
      </c>
    </row>
    <row r="5998" spans="1:10" x14ac:dyDescent="0.25">
      <c r="A5998" t="s">
        <v>51</v>
      </c>
      <c r="B5998" s="1" t="str">
        <f>HYPERLINK("http://bnppre.pl","bnppre.pl")</f>
        <v>bnppre.pl</v>
      </c>
      <c r="C5998" t="s">
        <v>486</v>
      </c>
      <c r="D5998" t="s">
        <v>860</v>
      </c>
      <c r="F5998">
        <v>4.8742261834022699E-9</v>
      </c>
      <c r="G5998">
        <v>33265801</v>
      </c>
      <c r="H5998">
        <v>12044465</v>
      </c>
      <c r="I5998">
        <v>27372964</v>
      </c>
      <c r="J5998">
        <v>2</v>
      </c>
    </row>
    <row r="5999" spans="1:10" x14ac:dyDescent="0.25">
      <c r="A5999" t="s">
        <v>51</v>
      </c>
      <c r="B5999" s="1" t="str">
        <f>HYPERLINK("http://claas.pl","claas.pl")</f>
        <v>claas.pl</v>
      </c>
      <c r="C5999" t="s">
        <v>486</v>
      </c>
      <c r="D5999" t="s">
        <v>860</v>
      </c>
      <c r="F5999">
        <v>2.69968902040218E-8</v>
      </c>
      <c r="G5999">
        <v>1905172</v>
      </c>
      <c r="H5999">
        <v>12253147</v>
      </c>
      <c r="I5999">
        <v>21937979</v>
      </c>
      <c r="J5999">
        <v>4</v>
      </c>
    </row>
    <row r="6000" spans="1:10" x14ac:dyDescent="0.25">
      <c r="A6000" t="s">
        <v>51</v>
      </c>
      <c r="B6000" s="1" t="str">
        <f>HYPERLINK("http://comparic.pl","comparic.pl")</f>
        <v>comparic.pl</v>
      </c>
      <c r="C6000" t="s">
        <v>486</v>
      </c>
      <c r="D6000" t="s">
        <v>860</v>
      </c>
      <c r="E6000">
        <v>286009</v>
      </c>
      <c r="F6000">
        <v>1.44256312856504E-7</v>
      </c>
      <c r="G6000">
        <v>269896</v>
      </c>
      <c r="H6000">
        <v>14283340</v>
      </c>
      <c r="I6000">
        <v>1375099</v>
      </c>
      <c r="J6000">
        <v>4</v>
      </c>
    </row>
    <row r="6001" spans="1:10" x14ac:dyDescent="0.25">
      <c r="A6001" t="s">
        <v>51</v>
      </c>
      <c r="B6001" s="1" t="str">
        <f>HYPERLINK("http://interparking.pl","interparking.pl")</f>
        <v>interparking.pl</v>
      </c>
      <c r="C6001" t="s">
        <v>486</v>
      </c>
      <c r="D6001" t="s">
        <v>860</v>
      </c>
      <c r="F6001">
        <v>2.9491269395979901E-8</v>
      </c>
      <c r="G6001">
        <v>1747728</v>
      </c>
      <c r="H6001">
        <v>12246995</v>
      </c>
      <c r="I6001">
        <v>22073370</v>
      </c>
      <c r="J6001">
        <v>8</v>
      </c>
    </row>
    <row r="6002" spans="1:10" x14ac:dyDescent="0.25">
      <c r="A6002" t="s">
        <v>51</v>
      </c>
      <c r="B6002" s="1" t="str">
        <f>HYPERLINK("http://iwealth.pl","iwealth.pl")</f>
        <v>iwealth.pl</v>
      </c>
      <c r="C6002" t="s">
        <v>486</v>
      </c>
      <c r="D6002" t="s">
        <v>860</v>
      </c>
      <c r="F6002">
        <v>1.9328810771173801E-8</v>
      </c>
      <c r="G6002">
        <v>2777444</v>
      </c>
      <c r="H6002">
        <v>13339109</v>
      </c>
      <c r="I6002">
        <v>10674475</v>
      </c>
      <c r="J6002">
        <v>6</v>
      </c>
    </row>
    <row r="6003" spans="1:10" x14ac:dyDescent="0.25">
      <c r="A6003" t="s">
        <v>51</v>
      </c>
      <c r="B6003" s="1" t="str">
        <f>HYPERLINK("http://bnpparibas.media.pl","bnpparibas.media.pl")</f>
        <v>bnpparibas.media.pl</v>
      </c>
      <c r="C6003" t="s">
        <v>486</v>
      </c>
      <c r="D6003" t="s">
        <v>860</v>
      </c>
      <c r="F6003">
        <v>5.7391667879194701E-9</v>
      </c>
      <c r="G6003">
        <v>18587096</v>
      </c>
      <c r="H6003">
        <v>12244455</v>
      </c>
      <c r="I6003">
        <v>22138390</v>
      </c>
      <c r="J6003">
        <v>3</v>
      </c>
    </row>
    <row r="6004" spans="1:10" x14ac:dyDescent="0.25">
      <c r="A6004" t="s">
        <v>51</v>
      </c>
      <c r="B6004" s="1" t="str">
        <f>HYPERLINK("http://walutomat.pl","walutomat.pl")</f>
        <v>walutomat.pl</v>
      </c>
      <c r="C6004" t="s">
        <v>486</v>
      </c>
      <c r="D6004" t="s">
        <v>860</v>
      </c>
      <c r="E6004">
        <v>197752</v>
      </c>
      <c r="F6004">
        <v>1.2079720743610601E-7</v>
      </c>
      <c r="G6004">
        <v>327051</v>
      </c>
      <c r="H6004">
        <v>16906826</v>
      </c>
      <c r="I6004">
        <v>131754</v>
      </c>
      <c r="J6004">
        <v>6</v>
      </c>
    </row>
    <row r="6005" spans="1:10" x14ac:dyDescent="0.25">
      <c r="A6005" t="s">
        <v>51</v>
      </c>
      <c r="B6005" s="1" t="str">
        <f>HYPERLINK("http://ageas.pt","ageas.pt")</f>
        <v>ageas.pt</v>
      </c>
      <c r="C6005" t="s">
        <v>488</v>
      </c>
      <c r="D6005" t="s">
        <v>862</v>
      </c>
      <c r="F6005">
        <v>5.4563693920703799E-8</v>
      </c>
      <c r="G6005">
        <v>826607</v>
      </c>
      <c r="H6005">
        <v>12981220</v>
      </c>
      <c r="I6005">
        <v>12967249</v>
      </c>
      <c r="J6005">
        <v>7</v>
      </c>
    </row>
    <row r="6006" spans="1:10" x14ac:dyDescent="0.25">
      <c r="A6006" t="s">
        <v>51</v>
      </c>
      <c r="B6006" s="1" t="str">
        <f>HYPERLINK("http://arval.pt","arval.pt")</f>
        <v>arval.pt</v>
      </c>
      <c r="C6006" t="s">
        <v>488</v>
      </c>
      <c r="D6006" t="s">
        <v>862</v>
      </c>
      <c r="F6006">
        <v>1.11353526869012E-8</v>
      </c>
      <c r="G6006">
        <v>5759784</v>
      </c>
      <c r="H6006">
        <v>12280046</v>
      </c>
      <c r="I6006">
        <v>21304290</v>
      </c>
      <c r="J6006">
        <v>3</v>
      </c>
    </row>
    <row r="6007" spans="1:10" x14ac:dyDescent="0.25">
      <c r="A6007" t="s">
        <v>51</v>
      </c>
      <c r="B6007" s="1" t="str">
        <f>HYPERLINK("http://bnpfactor.pt","bnpfactor.pt")</f>
        <v>bnpfactor.pt</v>
      </c>
      <c r="C6007" t="s">
        <v>488</v>
      </c>
      <c r="D6007" t="s">
        <v>862</v>
      </c>
      <c r="F6007">
        <v>4.6791612608562999E-9</v>
      </c>
      <c r="G6007">
        <v>42419779</v>
      </c>
      <c r="H6007">
        <v>10528823</v>
      </c>
      <c r="I6007">
        <v>48603478</v>
      </c>
      <c r="J6007">
        <v>4</v>
      </c>
    </row>
    <row r="6008" spans="1:10" x14ac:dyDescent="0.25">
      <c r="A6008" t="s">
        <v>51</v>
      </c>
      <c r="B6008" s="1" t="str">
        <f>HYPERLINK("http://bnpparibas.pt","bnpparibas.pt")</f>
        <v>bnpparibas.pt</v>
      </c>
      <c r="C6008" t="s">
        <v>488</v>
      </c>
      <c r="D6008" t="s">
        <v>862</v>
      </c>
      <c r="E6008">
        <v>815052</v>
      </c>
      <c r="F6008">
        <v>5.1629222742581003E-8</v>
      </c>
      <c r="G6008">
        <v>885675</v>
      </c>
      <c r="H6008">
        <v>14456566</v>
      </c>
      <c r="I6008">
        <v>1049237</v>
      </c>
      <c r="J6008">
        <v>3</v>
      </c>
    </row>
    <row r="6009" spans="1:10" x14ac:dyDescent="0.25">
      <c r="A6009" t="s">
        <v>51</v>
      </c>
      <c r="B6009" s="1" t="str">
        <f>HYPERLINK("http://bnpparibas-am.pt","bnpparibas-am.pt")</f>
        <v>bnpparibas-am.pt</v>
      </c>
      <c r="C6009" t="s">
        <v>488</v>
      </c>
      <c r="D6009" t="s">
        <v>862</v>
      </c>
      <c r="F6009">
        <v>9.5465630194149504E-9</v>
      </c>
      <c r="G6009">
        <v>7267103</v>
      </c>
      <c r="H6009">
        <v>11236327</v>
      </c>
      <c r="I6009">
        <v>30988366</v>
      </c>
      <c r="J6009">
        <v>3</v>
      </c>
    </row>
    <row r="6010" spans="1:10" x14ac:dyDescent="0.25">
      <c r="A6010" t="s">
        <v>51</v>
      </c>
      <c r="B6010" s="1" t="str">
        <f>HYPERLINK("http://bnpparibascardif.pt","bnpparibascardif.pt")</f>
        <v>bnpparibascardif.pt</v>
      </c>
      <c r="C6010" t="s">
        <v>488</v>
      </c>
      <c r="D6010" t="s">
        <v>862</v>
      </c>
      <c r="F6010">
        <v>8.8703419215054493E-9</v>
      </c>
      <c r="G6010">
        <v>8191589</v>
      </c>
      <c r="H6010">
        <v>11058664</v>
      </c>
      <c r="I6010">
        <v>32697698</v>
      </c>
      <c r="J6010">
        <v>4</v>
      </c>
    </row>
    <row r="6011" spans="1:10" x14ac:dyDescent="0.25">
      <c r="A6011" t="s">
        <v>51</v>
      </c>
      <c r="B6011" s="1" t="str">
        <f>HYPERLINK("http://cetelem.pt","cetelem.pt")</f>
        <v>cetelem.pt</v>
      </c>
      <c r="C6011" t="s">
        <v>488</v>
      </c>
      <c r="D6011" t="s">
        <v>862</v>
      </c>
      <c r="E6011">
        <v>530094</v>
      </c>
      <c r="F6011">
        <v>2.9212433095824499E-8</v>
      </c>
      <c r="G6011">
        <v>1763251</v>
      </c>
      <c r="H6011">
        <v>13770636</v>
      </c>
      <c r="I6011">
        <v>6721481</v>
      </c>
      <c r="J6011">
        <v>4</v>
      </c>
    </row>
    <row r="6012" spans="1:10" x14ac:dyDescent="0.25">
      <c r="A6012" t="s">
        <v>51</v>
      </c>
      <c r="B6012" s="1" t="str">
        <f>HYPERLINK("http://claas.pt","claas.pt")</f>
        <v>claas.pt</v>
      </c>
      <c r="C6012" t="s">
        <v>488</v>
      </c>
      <c r="D6012" t="s">
        <v>862</v>
      </c>
      <c r="F6012">
        <v>1.8991322153425101E-8</v>
      </c>
      <c r="G6012">
        <v>2837541</v>
      </c>
      <c r="H6012">
        <v>10852434</v>
      </c>
      <c r="I6012">
        <v>36806989</v>
      </c>
      <c r="J6012">
        <v>4</v>
      </c>
    </row>
    <row r="6013" spans="1:10" x14ac:dyDescent="0.25">
      <c r="A6013" t="s">
        <v>51</v>
      </c>
      <c r="B6013" s="1" t="str">
        <f>HYPERLINK("http://medis.com.pt","medis.com.pt")</f>
        <v>medis.com.pt</v>
      </c>
      <c r="C6013" t="s">
        <v>488</v>
      </c>
      <c r="D6013" t="s">
        <v>862</v>
      </c>
      <c r="F6013">
        <v>4.6988087021137002E-9</v>
      </c>
      <c r="G6013">
        <v>41306396</v>
      </c>
      <c r="H6013">
        <v>8374444.5</v>
      </c>
      <c r="I6013">
        <v>73562707</v>
      </c>
      <c r="J6013">
        <v>8</v>
      </c>
    </row>
    <row r="6014" spans="1:10" x14ac:dyDescent="0.25">
      <c r="A6014" t="s">
        <v>51</v>
      </c>
      <c r="B6014" s="1" t="str">
        <f>HYPERLINK("http://grupoageas.pt","grupoageas.pt")</f>
        <v>grupoageas.pt</v>
      </c>
      <c r="C6014" t="s">
        <v>488</v>
      </c>
      <c r="D6014" t="s">
        <v>862</v>
      </c>
      <c r="F6014">
        <v>4.4673932963509598E-8</v>
      </c>
      <c r="G6014">
        <v>1059588</v>
      </c>
      <c r="H6014">
        <v>13749104</v>
      </c>
      <c r="I6014">
        <v>9421180</v>
      </c>
      <c r="J6014">
        <v>9</v>
      </c>
    </row>
    <row r="6015" spans="1:10" x14ac:dyDescent="0.25">
      <c r="A6015" t="s">
        <v>51</v>
      </c>
      <c r="B6015" s="1" t="str">
        <f>HYPERLINK("http://medis.pt","medis.pt")</f>
        <v>medis.pt</v>
      </c>
      <c r="C6015" t="s">
        <v>488</v>
      </c>
      <c r="D6015" t="s">
        <v>862</v>
      </c>
      <c r="E6015">
        <v>433703</v>
      </c>
      <c r="F6015">
        <v>8.3527277055718995E-8</v>
      </c>
      <c r="G6015">
        <v>496861</v>
      </c>
      <c r="H6015">
        <v>14312525</v>
      </c>
      <c r="I6015">
        <v>1339241</v>
      </c>
      <c r="J6015">
        <v>7</v>
      </c>
    </row>
    <row r="6016" spans="1:10" x14ac:dyDescent="0.25">
      <c r="A6016" t="s">
        <v>51</v>
      </c>
      <c r="B6016" s="1" t="str">
        <f>HYPERLINK("http://millenniumbcpfortis.pt","millenniumbcpfortis.pt")</f>
        <v>millenniumbcpfortis.pt</v>
      </c>
      <c r="C6016" t="s">
        <v>488</v>
      </c>
      <c r="D6016" t="s">
        <v>862</v>
      </c>
      <c r="F6016">
        <v>4.5675843439857201E-9</v>
      </c>
      <c r="G6016">
        <v>50413310</v>
      </c>
      <c r="H6016">
        <v>10783052</v>
      </c>
      <c r="I6016">
        <v>38795821</v>
      </c>
      <c r="J6016">
        <v>7</v>
      </c>
    </row>
    <row r="6017" spans="1:10" x14ac:dyDescent="0.25">
      <c r="A6017" t="s">
        <v>51</v>
      </c>
      <c r="B6017" s="1" t="str">
        <f>HYPERLINK("http://pensoesgere.pt","pensoesgere.pt")</f>
        <v>pensoesgere.pt</v>
      </c>
      <c r="C6017" t="s">
        <v>488</v>
      </c>
      <c r="D6017" t="s">
        <v>862</v>
      </c>
      <c r="F6017">
        <v>5.6618027308163404E-9</v>
      </c>
      <c r="G6017">
        <v>19289968</v>
      </c>
      <c r="H6017">
        <v>12097570</v>
      </c>
      <c r="I6017">
        <v>26038874</v>
      </c>
      <c r="J6017">
        <v>7</v>
      </c>
    </row>
    <row r="6018" spans="1:10" x14ac:dyDescent="0.25">
      <c r="A6018" t="s">
        <v>51</v>
      </c>
      <c r="B6018" s="1" t="str">
        <f>HYPERLINK("http://claas.com.py","claas.com.py")</f>
        <v>claas.com.py</v>
      </c>
      <c r="C6018" t="s">
        <v>489</v>
      </c>
      <c r="D6018" t="s">
        <v>863</v>
      </c>
      <c r="F6018">
        <v>1.8067198254083301E-8</v>
      </c>
      <c r="G6018">
        <v>3016833</v>
      </c>
      <c r="H6018">
        <v>10852047</v>
      </c>
      <c r="I6018">
        <v>36814004</v>
      </c>
      <c r="J6018">
        <v>4</v>
      </c>
    </row>
    <row r="6019" spans="1:10" x14ac:dyDescent="0.25">
      <c r="A6019" t="s">
        <v>51</v>
      </c>
      <c r="B6019" s="1" t="str">
        <f>HYPERLINK("http://bnpparibas.re","bnpparibas.re")</f>
        <v>bnpparibas.re</v>
      </c>
      <c r="C6019" t="s">
        <v>575</v>
      </c>
      <c r="D6019" t="s">
        <v>920</v>
      </c>
      <c r="F6019">
        <v>2.5893815508457501E-8</v>
      </c>
      <c r="G6019">
        <v>1990227</v>
      </c>
      <c r="H6019">
        <v>12360805</v>
      </c>
      <c r="I6019">
        <v>19571306</v>
      </c>
      <c r="J6019">
        <v>3</v>
      </c>
    </row>
    <row r="6020" spans="1:10" x14ac:dyDescent="0.25">
      <c r="A6020" t="s">
        <v>51</v>
      </c>
      <c r="B6020" s="1" t="str">
        <f>HYPERLINK("http://arval.ro","arval.ro")</f>
        <v>arval.ro</v>
      </c>
      <c r="C6020" t="s">
        <v>491</v>
      </c>
      <c r="D6020" t="s">
        <v>865</v>
      </c>
      <c r="F6020">
        <v>1.20053373521403E-8</v>
      </c>
      <c r="G6020">
        <v>5171752</v>
      </c>
      <c r="H6020">
        <v>13940074</v>
      </c>
      <c r="I6020">
        <v>4377982</v>
      </c>
      <c r="J6020">
        <v>3</v>
      </c>
    </row>
    <row r="6021" spans="1:10" x14ac:dyDescent="0.25">
      <c r="A6021" t="s">
        <v>51</v>
      </c>
      <c r="B6021" s="1" t="str">
        <f>HYPERLINK("http://bnpparibas.ro","bnpparibas.ro")</f>
        <v>bnpparibas.ro</v>
      </c>
      <c r="C6021" t="s">
        <v>491</v>
      </c>
      <c r="D6021" t="s">
        <v>865</v>
      </c>
      <c r="F6021">
        <v>5.6394795452141E-9</v>
      </c>
      <c r="G6021">
        <v>19488783</v>
      </c>
      <c r="H6021">
        <v>12237635</v>
      </c>
      <c r="I6021">
        <v>22319325</v>
      </c>
      <c r="J6021">
        <v>3</v>
      </c>
    </row>
    <row r="6022" spans="1:10" x14ac:dyDescent="0.25">
      <c r="A6022" t="s">
        <v>51</v>
      </c>
      <c r="B6022" s="1" t="str">
        <f>HYPERLINK("http://bnpparibascardif.ro","bnpparibascardif.ro")</f>
        <v>bnpparibascardif.ro</v>
      </c>
      <c r="C6022" t="s">
        <v>491</v>
      </c>
      <c r="D6022" t="s">
        <v>865</v>
      </c>
      <c r="F6022">
        <v>6.5610147301045499E-9</v>
      </c>
      <c r="G6022">
        <v>13829683</v>
      </c>
      <c r="H6022">
        <v>12236120</v>
      </c>
      <c r="I6022">
        <v>22349873</v>
      </c>
      <c r="J6022">
        <v>5</v>
      </c>
    </row>
    <row r="6023" spans="1:10" x14ac:dyDescent="0.25">
      <c r="A6023" t="s">
        <v>51</v>
      </c>
      <c r="B6023" s="1" t="str">
        <f>HYPERLINK("http://bnppre.ro","bnppre.ro")</f>
        <v>bnppre.ro</v>
      </c>
      <c r="C6023" t="s">
        <v>491</v>
      </c>
      <c r="D6023" t="s">
        <v>865</v>
      </c>
      <c r="J6023">
        <v>2</v>
      </c>
    </row>
    <row r="6024" spans="1:10" x14ac:dyDescent="0.25">
      <c r="A6024" t="s">
        <v>51</v>
      </c>
      <c r="B6024" s="1" t="str">
        <f>HYPERLINK("http://claas.ro","claas.ro")</f>
        <v>claas.ro</v>
      </c>
      <c r="C6024" t="s">
        <v>491</v>
      </c>
      <c r="D6024" t="s">
        <v>865</v>
      </c>
      <c r="F6024">
        <v>2.1121788362683399E-8</v>
      </c>
      <c r="G6024">
        <v>2499797</v>
      </c>
      <c r="H6024">
        <v>10915193</v>
      </c>
      <c r="I6024">
        <v>35511331</v>
      </c>
      <c r="J6024">
        <v>4</v>
      </c>
    </row>
    <row r="6025" spans="1:10" x14ac:dyDescent="0.25">
      <c r="A6025" t="s">
        <v>51</v>
      </c>
      <c r="B6025" s="1" t="str">
        <f>HYPERLINK("http://bnpparibas.com.ro","bnpparibas.com.ro")</f>
        <v>bnpparibas.com.ro</v>
      </c>
      <c r="C6025" t="s">
        <v>491</v>
      </c>
      <c r="D6025" t="s">
        <v>865</v>
      </c>
      <c r="F6025">
        <v>5.0640955431270801E-9</v>
      </c>
      <c r="G6025">
        <v>27916819</v>
      </c>
      <c r="H6025">
        <v>13933659</v>
      </c>
      <c r="I6025">
        <v>4691343</v>
      </c>
      <c r="J6025">
        <v>2</v>
      </c>
    </row>
    <row r="6026" spans="1:10" x14ac:dyDescent="0.25">
      <c r="A6026" t="s">
        <v>51</v>
      </c>
      <c r="B6026" s="1" t="str">
        <f>HYPERLINK("http://comparic.ro","comparic.ro")</f>
        <v>comparic.ro</v>
      </c>
      <c r="C6026" t="s">
        <v>491</v>
      </c>
      <c r="D6026" t="s">
        <v>865</v>
      </c>
      <c r="F6026">
        <v>5.6595272321908301E-9</v>
      </c>
      <c r="G6026">
        <v>19309281</v>
      </c>
      <c r="H6026">
        <v>10750070</v>
      </c>
      <c r="I6026">
        <v>40091123</v>
      </c>
      <c r="J6026">
        <v>5</v>
      </c>
    </row>
    <row r="6027" spans="1:10" x14ac:dyDescent="0.25">
      <c r="A6027" t="s">
        <v>51</v>
      </c>
      <c r="B6027" s="1" t="str">
        <f>HYPERLINK("http://arval.ru","arval.ru")</f>
        <v>arval.ru</v>
      </c>
      <c r="C6027" t="s">
        <v>493</v>
      </c>
      <c r="D6027" t="s">
        <v>867</v>
      </c>
      <c r="F6027">
        <v>2.96860048632511E-8</v>
      </c>
      <c r="G6027">
        <v>1734207</v>
      </c>
      <c r="H6027">
        <v>12704028</v>
      </c>
      <c r="I6027">
        <v>15332808</v>
      </c>
      <c r="J6027">
        <v>3</v>
      </c>
    </row>
    <row r="6028" spans="1:10" x14ac:dyDescent="0.25">
      <c r="A6028" t="s">
        <v>51</v>
      </c>
      <c r="B6028" s="1" t="str">
        <f>HYPERLINK("http://bnpparibas.ru","bnpparibas.ru")</f>
        <v>bnpparibas.ru</v>
      </c>
      <c r="C6028" t="s">
        <v>493</v>
      </c>
      <c r="D6028" t="s">
        <v>867</v>
      </c>
      <c r="E6028">
        <v>177833</v>
      </c>
      <c r="F6028">
        <v>2.14622542033501E-8</v>
      </c>
      <c r="G6028">
        <v>2453730</v>
      </c>
      <c r="H6028">
        <v>13010464</v>
      </c>
      <c r="I6028">
        <v>12750815</v>
      </c>
      <c r="J6028">
        <v>3</v>
      </c>
    </row>
    <row r="6029" spans="1:10" x14ac:dyDescent="0.25">
      <c r="A6029" t="s">
        <v>51</v>
      </c>
      <c r="B6029" s="1" t="str">
        <f>HYPERLINK("http://bnpparibasbank.ru","bnpparibasbank.ru")</f>
        <v>bnpparibasbank.ru</v>
      </c>
      <c r="C6029" t="s">
        <v>493</v>
      </c>
      <c r="D6029" t="s">
        <v>867</v>
      </c>
      <c r="F6029">
        <v>2.3562063183817399E-8</v>
      </c>
      <c r="G6029">
        <v>2208024</v>
      </c>
      <c r="H6029">
        <v>12627657</v>
      </c>
      <c r="I6029">
        <v>16008103</v>
      </c>
      <c r="J6029">
        <v>4</v>
      </c>
    </row>
    <row r="6030" spans="1:10" x14ac:dyDescent="0.25">
      <c r="A6030" t="s">
        <v>51</v>
      </c>
      <c r="B6030" s="1" t="str">
        <f>HYPERLINK("http://claas.ru","claas.ru")</f>
        <v>claas.ru</v>
      </c>
      <c r="C6030" t="s">
        <v>493</v>
      </c>
      <c r="D6030" t="s">
        <v>867</v>
      </c>
      <c r="F6030">
        <v>5.7208389707109801E-8</v>
      </c>
      <c r="G6030">
        <v>779986</v>
      </c>
      <c r="H6030">
        <v>14078544</v>
      </c>
      <c r="I6030">
        <v>2845205</v>
      </c>
      <c r="J6030">
        <v>4</v>
      </c>
    </row>
    <row r="6031" spans="1:10" x14ac:dyDescent="0.25">
      <c r="A6031" t="s">
        <v>51</v>
      </c>
      <c r="B6031" s="1" t="str">
        <f>HYPERLINK("http://vilomix.ru","vilomix.ru")</f>
        <v>vilomix.ru</v>
      </c>
      <c r="C6031" t="s">
        <v>493</v>
      </c>
      <c r="D6031" t="s">
        <v>867</v>
      </c>
      <c r="F6031">
        <v>4.73494125624796E-9</v>
      </c>
      <c r="G6031">
        <v>39056588</v>
      </c>
      <c r="H6031">
        <v>10652916</v>
      </c>
      <c r="I6031">
        <v>43569673</v>
      </c>
      <c r="J6031">
        <v>11</v>
      </c>
    </row>
    <row r="6032" spans="1:10" x14ac:dyDescent="0.25">
      <c r="A6032" t="s">
        <v>51</v>
      </c>
      <c r="B6032" s="1" t="str">
        <f>HYPERLINK("http://alfredberg.se","alfredberg.se")</f>
        <v>alfredberg.se</v>
      </c>
      <c r="C6032" t="s">
        <v>495</v>
      </c>
      <c r="D6032" t="s">
        <v>869</v>
      </c>
      <c r="F6032">
        <v>7.6392293088175006E-9</v>
      </c>
      <c r="G6032">
        <v>10710847</v>
      </c>
      <c r="H6032">
        <v>13764415</v>
      </c>
      <c r="I6032">
        <v>7273490</v>
      </c>
      <c r="J6032">
        <v>4</v>
      </c>
    </row>
    <row r="6033" spans="1:10" x14ac:dyDescent="0.25">
      <c r="A6033" t="s">
        <v>51</v>
      </c>
      <c r="B6033" s="1" t="str">
        <f>HYPERLINK("http://arval.se","arval.se")</f>
        <v>arval.se</v>
      </c>
      <c r="C6033" t="s">
        <v>495</v>
      </c>
      <c r="D6033" t="s">
        <v>869</v>
      </c>
      <c r="F6033">
        <v>8.7974665485321696E-9</v>
      </c>
      <c r="G6033">
        <v>8314906</v>
      </c>
      <c r="H6033">
        <v>10984116</v>
      </c>
      <c r="I6033">
        <v>33855662</v>
      </c>
      <c r="J6033">
        <v>3</v>
      </c>
    </row>
    <row r="6034" spans="1:10" x14ac:dyDescent="0.25">
      <c r="A6034" t="s">
        <v>51</v>
      </c>
      <c r="B6034" s="1" t="str">
        <f>HYPERLINK("http://bnpparibas.se","bnpparibas.se")</f>
        <v>bnpparibas.se</v>
      </c>
      <c r="C6034" t="s">
        <v>495</v>
      </c>
      <c r="D6034" t="s">
        <v>869</v>
      </c>
      <c r="F6034">
        <v>3.6159524800471997E-8</v>
      </c>
      <c r="G6034">
        <v>1441936</v>
      </c>
      <c r="H6034">
        <v>13786901</v>
      </c>
      <c r="I6034">
        <v>6380160</v>
      </c>
      <c r="J6034">
        <v>2</v>
      </c>
    </row>
    <row r="6035" spans="1:10" x14ac:dyDescent="0.25">
      <c r="A6035" t="s">
        <v>51</v>
      </c>
      <c r="B6035" s="1" t="str">
        <f>HYPERLINK("http://bnpparibas-am.se","bnpparibas-am.se")</f>
        <v>bnpparibas-am.se</v>
      </c>
      <c r="C6035" t="s">
        <v>495</v>
      </c>
      <c r="D6035" t="s">
        <v>869</v>
      </c>
      <c r="F6035">
        <v>8.9161218094264007E-9</v>
      </c>
      <c r="G6035">
        <v>8119413</v>
      </c>
      <c r="H6035">
        <v>11208817</v>
      </c>
      <c r="I6035">
        <v>31173099</v>
      </c>
      <c r="J6035">
        <v>3</v>
      </c>
    </row>
    <row r="6036" spans="1:10" x14ac:dyDescent="0.25">
      <c r="A6036" t="s">
        <v>51</v>
      </c>
      <c r="B6036" s="1" t="str">
        <f>HYPERLINK("http://bnpparibascardif.se","bnpparibascardif.se")</f>
        <v>bnpparibascardif.se</v>
      </c>
      <c r="C6036" t="s">
        <v>495</v>
      </c>
      <c r="D6036" t="s">
        <v>869</v>
      </c>
      <c r="F6036">
        <v>3.4042888007424998E-8</v>
      </c>
      <c r="G6036">
        <v>1521364</v>
      </c>
      <c r="H6036">
        <v>12295836</v>
      </c>
      <c r="I6036">
        <v>20949779</v>
      </c>
      <c r="J6036">
        <v>5</v>
      </c>
    </row>
    <row r="6037" spans="1:10" x14ac:dyDescent="0.25">
      <c r="A6037" t="s">
        <v>51</v>
      </c>
      <c r="B6037" s="1" t="str">
        <f>HYPERLINK("http://cardif.se","cardif.se")</f>
        <v>cardif.se</v>
      </c>
      <c r="C6037" t="s">
        <v>495</v>
      </c>
      <c r="D6037" t="s">
        <v>869</v>
      </c>
      <c r="F6037">
        <v>6.1210016229734802E-9</v>
      </c>
      <c r="G6037">
        <v>15974345</v>
      </c>
      <c r="H6037">
        <v>12600157</v>
      </c>
      <c r="I6037">
        <v>16324898</v>
      </c>
      <c r="J6037">
        <v>4</v>
      </c>
    </row>
    <row r="6038" spans="1:10" x14ac:dyDescent="0.25">
      <c r="A6038" t="s">
        <v>51</v>
      </c>
      <c r="B6038" s="1" t="str">
        <f>HYPERLINK("http://claas.se","claas.se")</f>
        <v>claas.se</v>
      </c>
      <c r="C6038" t="s">
        <v>495</v>
      </c>
      <c r="D6038" t="s">
        <v>869</v>
      </c>
      <c r="F6038">
        <v>1.9324810346873702E-8</v>
      </c>
      <c r="G6038">
        <v>2778081</v>
      </c>
      <c r="H6038">
        <v>10919189</v>
      </c>
      <c r="I6038">
        <v>35428562</v>
      </c>
      <c r="J6038">
        <v>4</v>
      </c>
    </row>
    <row r="6039" spans="1:10" x14ac:dyDescent="0.25">
      <c r="A6039" t="s">
        <v>51</v>
      </c>
      <c r="B6039" s="1" t="str">
        <f>HYPERLINK("http://comparic.se","comparic.se")</f>
        <v>comparic.se</v>
      </c>
      <c r="C6039" t="s">
        <v>495</v>
      </c>
      <c r="D6039" t="s">
        <v>869</v>
      </c>
      <c r="F6039">
        <v>9.2018332071798004E-9</v>
      </c>
      <c r="G6039">
        <v>7707678</v>
      </c>
      <c r="H6039">
        <v>13258727</v>
      </c>
      <c r="I6039">
        <v>11045897</v>
      </c>
      <c r="J6039">
        <v>5</v>
      </c>
    </row>
    <row r="6040" spans="1:10" x14ac:dyDescent="0.25">
      <c r="A6040" t="s">
        <v>51</v>
      </c>
      <c r="B6040" s="1" t="str">
        <f>HYPERLINK("http://swedishagro.se","swedishagro.se")</f>
        <v>swedishagro.se</v>
      </c>
      <c r="C6040" t="s">
        <v>495</v>
      </c>
      <c r="D6040" t="s">
        <v>869</v>
      </c>
      <c r="F6040">
        <v>2.7318997428034399E-8</v>
      </c>
      <c r="G6040">
        <v>1881814</v>
      </c>
      <c r="H6040">
        <v>12652408</v>
      </c>
      <c r="I6040">
        <v>15783824</v>
      </c>
      <c r="J6040">
        <v>10</v>
      </c>
    </row>
    <row r="6041" spans="1:10" x14ac:dyDescent="0.25">
      <c r="A6041" t="s">
        <v>51</v>
      </c>
      <c r="B6041" s="1" t="str">
        <f>HYPERLINK("http://vilomix.se","vilomix.se")</f>
        <v>vilomix.se</v>
      </c>
      <c r="C6041" t="s">
        <v>495</v>
      </c>
      <c r="D6041" t="s">
        <v>869</v>
      </c>
      <c r="F6041">
        <v>7.0356527491154001E-9</v>
      </c>
      <c r="G6041">
        <v>12206116</v>
      </c>
      <c r="H6041">
        <v>10536496</v>
      </c>
      <c r="I6041">
        <v>47503503</v>
      </c>
      <c r="J6041">
        <v>11</v>
      </c>
    </row>
    <row r="6042" spans="1:10" x14ac:dyDescent="0.25">
      <c r="A6042" t="s">
        <v>51</v>
      </c>
      <c r="B6042" s="1" t="str">
        <f>HYPERLINK("http://bnpparibas-am.sg","bnpparibas-am.sg")</f>
        <v>bnpparibas-am.sg</v>
      </c>
      <c r="C6042" t="s">
        <v>496</v>
      </c>
      <c r="D6042" t="s">
        <v>870</v>
      </c>
      <c r="F6042">
        <v>1.05281089944529E-8</v>
      </c>
      <c r="G6042">
        <v>6245451</v>
      </c>
      <c r="H6042">
        <v>11260456</v>
      </c>
      <c r="I6042">
        <v>30829541</v>
      </c>
      <c r="J6042">
        <v>3</v>
      </c>
    </row>
    <row r="6043" spans="1:10" x14ac:dyDescent="0.25">
      <c r="A6043" t="s">
        <v>51</v>
      </c>
      <c r="B6043" s="1" t="str">
        <f>HYPERLINK("http://bnpparibas.com.sg","bnpparibas.com.sg")</f>
        <v>bnpparibas.com.sg</v>
      </c>
      <c r="C6043" t="s">
        <v>496</v>
      </c>
      <c r="D6043" t="s">
        <v>870</v>
      </c>
      <c r="F6043">
        <v>5.27732704569752E-8</v>
      </c>
      <c r="G6043">
        <v>863434</v>
      </c>
      <c r="H6043">
        <v>13173132</v>
      </c>
      <c r="I6043">
        <v>11714445</v>
      </c>
      <c r="J6043">
        <v>3</v>
      </c>
    </row>
    <row r="6044" spans="1:10" x14ac:dyDescent="0.25">
      <c r="A6044" t="s">
        <v>51</v>
      </c>
      <c r="B6044" s="1" t="str">
        <f>HYPERLINK("http://claas.si","claas.si")</f>
        <v>claas.si</v>
      </c>
      <c r="C6044" t="s">
        <v>497</v>
      </c>
      <c r="D6044" t="s">
        <v>871</v>
      </c>
      <c r="F6044">
        <v>1.83861761237036E-8</v>
      </c>
      <c r="G6044">
        <v>2950760</v>
      </c>
      <c r="H6044">
        <v>10852373</v>
      </c>
      <c r="I6044">
        <v>36808033</v>
      </c>
      <c r="J6044">
        <v>4</v>
      </c>
    </row>
    <row r="6045" spans="1:10" x14ac:dyDescent="0.25">
      <c r="A6045" t="s">
        <v>51</v>
      </c>
      <c r="B6045" s="1" t="str">
        <f>HYPERLINK("http://arval.sk","arval.sk")</f>
        <v>arval.sk</v>
      </c>
      <c r="C6045" t="s">
        <v>498</v>
      </c>
      <c r="D6045" t="s">
        <v>872</v>
      </c>
      <c r="F6045">
        <v>1.44430291990053E-8</v>
      </c>
      <c r="G6045">
        <v>4042204</v>
      </c>
      <c r="H6045">
        <v>12448702</v>
      </c>
      <c r="I6045">
        <v>18035022</v>
      </c>
      <c r="J6045">
        <v>3</v>
      </c>
    </row>
    <row r="6046" spans="1:10" x14ac:dyDescent="0.25">
      <c r="A6046" t="s">
        <v>51</v>
      </c>
      <c r="B6046" s="1" t="str">
        <f>HYPERLINK("http://bnpparibas.sk","bnpparibas.sk")</f>
        <v>bnpparibas.sk</v>
      </c>
      <c r="C6046" t="s">
        <v>498</v>
      </c>
      <c r="D6046" t="s">
        <v>872</v>
      </c>
      <c r="F6046">
        <v>1.70863017747181E-8</v>
      </c>
      <c r="G6046">
        <v>3263731</v>
      </c>
      <c r="H6046">
        <v>12330123</v>
      </c>
      <c r="I6046">
        <v>20209999</v>
      </c>
      <c r="J6046">
        <v>3</v>
      </c>
    </row>
    <row r="6047" spans="1:10" x14ac:dyDescent="0.25">
      <c r="A6047" t="s">
        <v>51</v>
      </c>
      <c r="B6047" s="1" t="str">
        <f>HYPERLINK("http://bnpparibas-am.sk","bnpparibas-am.sk")</f>
        <v>bnpparibas-am.sk</v>
      </c>
      <c r="C6047" t="s">
        <v>498</v>
      </c>
      <c r="D6047" t="s">
        <v>872</v>
      </c>
      <c r="F6047">
        <v>1.0384078249325001E-8</v>
      </c>
      <c r="G6047">
        <v>6373424</v>
      </c>
      <c r="H6047">
        <v>12221586</v>
      </c>
      <c r="I6047">
        <v>22756018</v>
      </c>
      <c r="J6047">
        <v>3</v>
      </c>
    </row>
    <row r="6048" spans="1:10" x14ac:dyDescent="0.25">
      <c r="A6048" t="s">
        <v>51</v>
      </c>
      <c r="B6048" s="1" t="str">
        <f>HYPERLINK("http://bnpparibascardif.sk","bnpparibascardif.sk")</f>
        <v>bnpparibascardif.sk</v>
      </c>
      <c r="C6048" t="s">
        <v>498</v>
      </c>
      <c r="D6048" t="s">
        <v>872</v>
      </c>
      <c r="F6048">
        <v>2.6798739909177101E-8</v>
      </c>
      <c r="G6048">
        <v>1919647</v>
      </c>
      <c r="H6048">
        <v>12152472</v>
      </c>
      <c r="I6048">
        <v>24564944</v>
      </c>
      <c r="J6048">
        <v>3</v>
      </c>
    </row>
    <row r="6049" spans="1:10" x14ac:dyDescent="0.25">
      <c r="A6049" t="s">
        <v>51</v>
      </c>
      <c r="B6049" s="1" t="str">
        <f>HYPERLINK("http://bicis.sn","bicis.sn")</f>
        <v>bicis.sn</v>
      </c>
      <c r="C6049" t="s">
        <v>551</v>
      </c>
      <c r="D6049" t="s">
        <v>907</v>
      </c>
      <c r="E6049">
        <v>438734</v>
      </c>
      <c r="F6049">
        <v>2.9897414383191703E-8</v>
      </c>
      <c r="G6049">
        <v>1721236</v>
      </c>
      <c r="H6049">
        <v>14077229</v>
      </c>
      <c r="I6049">
        <v>2870464</v>
      </c>
      <c r="J6049">
        <v>3</v>
      </c>
    </row>
    <row r="6050" spans="1:10" x14ac:dyDescent="0.25">
      <c r="A6050" t="s">
        <v>51</v>
      </c>
      <c r="B6050" s="1" t="str">
        <f>HYPERLINK("http://bnpparibas.co.th","bnpparibas.co.th")</f>
        <v>bnpparibas.co.th</v>
      </c>
      <c r="C6050" t="s">
        <v>500</v>
      </c>
      <c r="D6050" t="s">
        <v>874</v>
      </c>
      <c r="E6050">
        <v>457631</v>
      </c>
      <c r="F6050">
        <v>1.9882569903978501E-8</v>
      </c>
      <c r="G6050">
        <v>2677474</v>
      </c>
      <c r="H6050">
        <v>13475908</v>
      </c>
      <c r="I6050">
        <v>10020444</v>
      </c>
      <c r="J6050">
        <v>3</v>
      </c>
    </row>
    <row r="6051" spans="1:10" x14ac:dyDescent="0.25">
      <c r="A6051" t="s">
        <v>51</v>
      </c>
      <c r="B6051" s="1" t="str">
        <f>HYPERLINK("http://claas.co.th","claas.co.th")</f>
        <v>claas.co.th</v>
      </c>
      <c r="C6051" t="s">
        <v>500</v>
      </c>
      <c r="D6051" t="s">
        <v>874</v>
      </c>
      <c r="F6051">
        <v>1.8567402082403901E-8</v>
      </c>
      <c r="G6051">
        <v>2913141</v>
      </c>
      <c r="H6051">
        <v>13933345</v>
      </c>
      <c r="I6051">
        <v>4775086</v>
      </c>
      <c r="J6051">
        <v>5</v>
      </c>
    </row>
    <row r="6052" spans="1:10" x14ac:dyDescent="0.25">
      <c r="A6052" t="s">
        <v>51</v>
      </c>
      <c r="B6052" s="1" t="str">
        <f>HYPERLINK("http://claas.tm","claas.tm")</f>
        <v>claas.tm</v>
      </c>
      <c r="C6052" t="s">
        <v>675</v>
      </c>
      <c r="D6052" t="s">
        <v>993</v>
      </c>
      <c r="F6052">
        <v>1.7797294942089001E-8</v>
      </c>
      <c r="G6052">
        <v>3075403</v>
      </c>
      <c r="H6052">
        <v>11005504</v>
      </c>
      <c r="I6052">
        <v>33483670</v>
      </c>
      <c r="J6052">
        <v>4</v>
      </c>
    </row>
    <row r="6053" spans="1:10" x14ac:dyDescent="0.25">
      <c r="A6053" t="s">
        <v>51</v>
      </c>
      <c r="B6053" s="1" t="str">
        <f>HYPERLINK("http://bnpparibas.com.tr","bnpparibas.com.tr")</f>
        <v>bnpparibas.com.tr</v>
      </c>
      <c r="C6053" t="s">
        <v>502</v>
      </c>
      <c r="D6053" t="s">
        <v>876</v>
      </c>
      <c r="F6053">
        <v>2.3774115779747299E-8</v>
      </c>
      <c r="G6053">
        <v>2185910</v>
      </c>
      <c r="H6053">
        <v>13003087</v>
      </c>
      <c r="I6053">
        <v>12782056</v>
      </c>
      <c r="J6053">
        <v>3</v>
      </c>
    </row>
    <row r="6054" spans="1:10" x14ac:dyDescent="0.25">
      <c r="A6054" t="s">
        <v>51</v>
      </c>
      <c r="B6054" s="1" t="str">
        <f>HYPERLINK("http://bnpparibascardif.com.tr","bnpparibascardif.com.tr")</f>
        <v>bnpparibascardif.com.tr</v>
      </c>
      <c r="C6054" t="s">
        <v>502</v>
      </c>
      <c r="D6054" t="s">
        <v>876</v>
      </c>
      <c r="F6054">
        <v>1.0455844493509399E-8</v>
      </c>
      <c r="G6054">
        <v>6308052</v>
      </c>
      <c r="H6054">
        <v>12102174</v>
      </c>
      <c r="I6054">
        <v>25912982</v>
      </c>
      <c r="J6054">
        <v>4</v>
      </c>
    </row>
    <row r="6055" spans="1:10" x14ac:dyDescent="0.25">
      <c r="A6055" t="s">
        <v>51</v>
      </c>
      <c r="B6055" s="1" t="str">
        <f>HYPERLINK("http://cardif.com.tr","cardif.com.tr")</f>
        <v>cardif.com.tr</v>
      </c>
      <c r="C6055" t="s">
        <v>502</v>
      </c>
      <c r="D6055" t="s">
        <v>876</v>
      </c>
      <c r="F6055">
        <v>5.5243451252458198E-9</v>
      </c>
      <c r="G6055">
        <v>20641438</v>
      </c>
      <c r="H6055">
        <v>10729546</v>
      </c>
      <c r="I6055">
        <v>40975086</v>
      </c>
      <c r="J6055">
        <v>4</v>
      </c>
    </row>
    <row r="6056" spans="1:10" x14ac:dyDescent="0.25">
      <c r="A6056" t="s">
        <v>51</v>
      </c>
      <c r="B6056" s="1" t="str">
        <f>HYPERLINK("http://claas.com.tr","claas.com.tr")</f>
        <v>claas.com.tr</v>
      </c>
      <c r="C6056" t="s">
        <v>502</v>
      </c>
      <c r="D6056" t="s">
        <v>876</v>
      </c>
      <c r="F6056">
        <v>1.8859221046836099E-8</v>
      </c>
      <c r="G6056">
        <v>2860835</v>
      </c>
      <c r="H6056">
        <v>10860124</v>
      </c>
      <c r="I6056">
        <v>36667875</v>
      </c>
      <c r="J6056">
        <v>5</v>
      </c>
    </row>
    <row r="6057" spans="1:10" x14ac:dyDescent="0.25">
      <c r="A6057" t="s">
        <v>51</v>
      </c>
      <c r="B6057" s="1" t="str">
        <f>HYPERLINK("http://teb.com.tr","teb.com.tr")</f>
        <v>teb.com.tr</v>
      </c>
      <c r="C6057" t="s">
        <v>502</v>
      </c>
      <c r="D6057" t="s">
        <v>876</v>
      </c>
      <c r="E6057">
        <v>30424</v>
      </c>
      <c r="F6057">
        <v>2.3511216175334099E-7</v>
      </c>
      <c r="G6057">
        <v>159404</v>
      </c>
      <c r="H6057">
        <v>17075120</v>
      </c>
      <c r="I6057">
        <v>69571</v>
      </c>
      <c r="J6057">
        <v>3</v>
      </c>
    </row>
    <row r="6058" spans="1:10" x14ac:dyDescent="0.25">
      <c r="A6058" t="s">
        <v>51</v>
      </c>
      <c r="B6058" s="1" t="str">
        <f>HYPERLINK("http://tebarval.com.tr","tebarval.com.tr")</f>
        <v>tebarval.com.tr</v>
      </c>
      <c r="C6058" t="s">
        <v>502</v>
      </c>
      <c r="D6058" t="s">
        <v>876</v>
      </c>
      <c r="F6058">
        <v>7.67284625125233E-9</v>
      </c>
      <c r="G6058">
        <v>10637940</v>
      </c>
      <c r="H6058">
        <v>12300265</v>
      </c>
      <c r="I6058">
        <v>20828596</v>
      </c>
      <c r="J6058">
        <v>3</v>
      </c>
    </row>
    <row r="6059" spans="1:10" x14ac:dyDescent="0.25">
      <c r="A6059" t="s">
        <v>51</v>
      </c>
      <c r="B6059" s="1" t="str">
        <f>HYPERLINK("http://tebcetelem.com.tr","tebcetelem.com.tr")</f>
        <v>tebcetelem.com.tr</v>
      </c>
      <c r="C6059" t="s">
        <v>502</v>
      </c>
      <c r="D6059" t="s">
        <v>876</v>
      </c>
      <c r="F6059">
        <v>1.6665593749780199E-8</v>
      </c>
      <c r="G6059">
        <v>3367643</v>
      </c>
      <c r="H6059">
        <v>12947264</v>
      </c>
      <c r="I6059">
        <v>13229662</v>
      </c>
      <c r="J6059">
        <v>3</v>
      </c>
    </row>
    <row r="6060" spans="1:10" x14ac:dyDescent="0.25">
      <c r="A6060" t="s">
        <v>51</v>
      </c>
      <c r="B6060" s="1" t="str">
        <f>HYPERLINK("http://tebfaktoring.com.tr","tebfaktoring.com.tr")</f>
        <v>tebfaktoring.com.tr</v>
      </c>
      <c r="C6060" t="s">
        <v>502</v>
      </c>
      <c r="D6060" t="s">
        <v>876</v>
      </c>
      <c r="F6060">
        <v>9.7244039257243803E-9</v>
      </c>
      <c r="G6060">
        <v>7053105</v>
      </c>
      <c r="H6060">
        <v>12385250</v>
      </c>
      <c r="I6060">
        <v>19119314</v>
      </c>
      <c r="J6060">
        <v>3</v>
      </c>
    </row>
    <row r="6061" spans="1:10" x14ac:dyDescent="0.25">
      <c r="A6061" t="s">
        <v>51</v>
      </c>
      <c r="B6061" s="1" t="str">
        <f>HYPERLINK("http://tebyatirim.com.tr","tebyatirim.com.tr")</f>
        <v>tebyatirim.com.tr</v>
      </c>
      <c r="C6061" t="s">
        <v>502</v>
      </c>
      <c r="D6061" t="s">
        <v>876</v>
      </c>
      <c r="E6061">
        <v>824838</v>
      </c>
      <c r="F6061">
        <v>5.9230039785462097E-9</v>
      </c>
      <c r="G6061">
        <v>17201113</v>
      </c>
      <c r="H6061">
        <v>12155236</v>
      </c>
      <c r="I6061">
        <v>24488858</v>
      </c>
      <c r="J6061">
        <v>3</v>
      </c>
    </row>
    <row r="6062" spans="1:10" x14ac:dyDescent="0.25">
      <c r="A6062" t="s">
        <v>51</v>
      </c>
      <c r="B6062" s="1" t="str">
        <f>HYPERLINK("http://bnpparibas-am.tw","bnpparibas-am.tw")</f>
        <v>bnpparibas-am.tw</v>
      </c>
      <c r="C6062" t="s">
        <v>504</v>
      </c>
      <c r="D6062" t="s">
        <v>878</v>
      </c>
      <c r="F6062">
        <v>9.2562383236875793E-9</v>
      </c>
      <c r="G6062">
        <v>7630308</v>
      </c>
      <c r="H6062">
        <v>11480183</v>
      </c>
      <c r="I6062">
        <v>30065196</v>
      </c>
      <c r="J6062">
        <v>3</v>
      </c>
    </row>
    <row r="6063" spans="1:10" x14ac:dyDescent="0.25">
      <c r="A6063" t="s">
        <v>51</v>
      </c>
      <c r="B6063" s="1" t="str">
        <f>HYPERLINK("http://claas.tw","claas.tw")</f>
        <v>claas.tw</v>
      </c>
      <c r="C6063" t="s">
        <v>504</v>
      </c>
      <c r="D6063" t="s">
        <v>878</v>
      </c>
      <c r="F6063">
        <v>1.77894501549557E-8</v>
      </c>
      <c r="G6063">
        <v>3077035</v>
      </c>
      <c r="H6063">
        <v>10852112</v>
      </c>
      <c r="I6063">
        <v>36812806</v>
      </c>
      <c r="J6063">
        <v>4</v>
      </c>
    </row>
    <row r="6064" spans="1:10" x14ac:dyDescent="0.25">
      <c r="A6064" t="s">
        <v>51</v>
      </c>
      <c r="B6064" s="1" t="str">
        <f>HYPERLINK("http://bnpparibas.com.tw","bnpparibas.com.tw")</f>
        <v>bnpparibas.com.tw</v>
      </c>
      <c r="C6064" t="s">
        <v>504</v>
      </c>
      <c r="D6064" t="s">
        <v>878</v>
      </c>
      <c r="F6064">
        <v>1.97569117712077E-8</v>
      </c>
      <c r="G6064">
        <v>2699953</v>
      </c>
      <c r="H6064">
        <v>14073854</v>
      </c>
      <c r="I6064">
        <v>2968210</v>
      </c>
      <c r="J6064">
        <v>3</v>
      </c>
    </row>
    <row r="6065" spans="1:10" x14ac:dyDescent="0.25">
      <c r="A6065" t="s">
        <v>51</v>
      </c>
      <c r="B6065" s="1" t="str">
        <f>HYPERLINK("http://bnpparibas.ua","bnpparibas.ua")</f>
        <v>bnpparibas.ua</v>
      </c>
      <c r="C6065" t="s">
        <v>505</v>
      </c>
      <c r="D6065" t="s">
        <v>879</v>
      </c>
      <c r="F6065">
        <v>1.7622554486292598E-8</v>
      </c>
      <c r="G6065">
        <v>3113959</v>
      </c>
      <c r="H6065">
        <v>12441724</v>
      </c>
      <c r="I6065">
        <v>18125151</v>
      </c>
      <c r="J6065">
        <v>3</v>
      </c>
    </row>
    <row r="6066" spans="1:10" x14ac:dyDescent="0.25">
      <c r="A6066" t="s">
        <v>51</v>
      </c>
      <c r="B6066" s="1" t="str">
        <f>HYPERLINK("http://claas.ua","claas.ua")</f>
        <v>claas.ua</v>
      </c>
      <c r="C6066" t="s">
        <v>505</v>
      </c>
      <c r="D6066" t="s">
        <v>879</v>
      </c>
      <c r="F6066">
        <v>2.16336898034718E-8</v>
      </c>
      <c r="G6066">
        <v>2432470</v>
      </c>
      <c r="H6066">
        <v>12950163</v>
      </c>
      <c r="I6066">
        <v>13211191</v>
      </c>
      <c r="J6066">
        <v>4</v>
      </c>
    </row>
    <row r="6067" spans="1:10" x14ac:dyDescent="0.25">
      <c r="A6067" t="s">
        <v>51</v>
      </c>
      <c r="B6067" s="1" t="str">
        <f>HYPERLINK("http://vilomix.ua","vilomix.ua")</f>
        <v>vilomix.ua</v>
      </c>
      <c r="C6067" t="s">
        <v>505</v>
      </c>
      <c r="D6067" t="s">
        <v>879</v>
      </c>
      <c r="F6067">
        <v>6.1545139419719103E-9</v>
      </c>
      <c r="G6067">
        <v>15777526</v>
      </c>
      <c r="H6067">
        <v>10359757</v>
      </c>
      <c r="I6067">
        <v>55244454</v>
      </c>
      <c r="J6067">
        <v>11</v>
      </c>
    </row>
    <row r="6068" spans="1:10" x14ac:dyDescent="0.25">
      <c r="A6068" t="s">
        <v>51</v>
      </c>
      <c r="B6068" s="1" t="str">
        <f>HYPERLINK("http://bnpparibas-3stepit.uk","bnpparibas-3stepit.uk")</f>
        <v>bnpparibas-3stepit.uk</v>
      </c>
      <c r="C6068" t="s">
        <v>506</v>
      </c>
      <c r="D6068" t="s">
        <v>880</v>
      </c>
      <c r="F6068">
        <v>8.8177694814308798E-9</v>
      </c>
      <c r="G6068">
        <v>8275812</v>
      </c>
      <c r="H6068">
        <v>12295095</v>
      </c>
      <c r="I6068">
        <v>20962531</v>
      </c>
      <c r="J6068">
        <v>4</v>
      </c>
    </row>
    <row r="6069" spans="1:10" x14ac:dyDescent="0.25">
      <c r="A6069" t="s">
        <v>51</v>
      </c>
      <c r="B6069" s="1" t="str">
        <f>HYPERLINK("http://claas.uk","claas.uk")</f>
        <v>claas.uk</v>
      </c>
      <c r="C6069" t="s">
        <v>506</v>
      </c>
      <c r="D6069" t="s">
        <v>880</v>
      </c>
      <c r="F6069">
        <v>1.3539442793667699E-8</v>
      </c>
      <c r="G6069">
        <v>4387379</v>
      </c>
      <c r="H6069">
        <v>10783694</v>
      </c>
      <c r="I6069">
        <v>38765458</v>
      </c>
      <c r="J6069">
        <v>5</v>
      </c>
    </row>
    <row r="6070" spans="1:10" x14ac:dyDescent="0.25">
      <c r="A6070" t="s">
        <v>51</v>
      </c>
      <c r="B6070" s="1" t="str">
        <f>HYPERLINK("http://ageas.co.uk","ageas.co.uk")</f>
        <v>ageas.co.uk</v>
      </c>
      <c r="C6070" t="s">
        <v>506</v>
      </c>
      <c r="D6070" t="s">
        <v>880</v>
      </c>
      <c r="E6070">
        <v>363952</v>
      </c>
      <c r="F6070">
        <v>5.72283446458834E-8</v>
      </c>
      <c r="G6070">
        <v>779666</v>
      </c>
      <c r="H6070">
        <v>13835006</v>
      </c>
      <c r="I6070">
        <v>6094927</v>
      </c>
      <c r="J6070">
        <v>7</v>
      </c>
    </row>
    <row r="6071" spans="1:10" x14ac:dyDescent="0.25">
      <c r="A6071" t="s">
        <v>51</v>
      </c>
      <c r="B6071" s="1" t="str">
        <f>HYPERLINK("http://artegy.co.uk","artegy.co.uk")</f>
        <v>artegy.co.uk</v>
      </c>
      <c r="C6071" t="s">
        <v>506</v>
      </c>
      <c r="D6071" t="s">
        <v>880</v>
      </c>
      <c r="F6071">
        <v>4.98665950169643E-9</v>
      </c>
      <c r="G6071">
        <v>29764355</v>
      </c>
      <c r="H6071">
        <v>12184927</v>
      </c>
      <c r="I6071">
        <v>23699057</v>
      </c>
      <c r="J6071">
        <v>4</v>
      </c>
    </row>
    <row r="6072" spans="1:10" x14ac:dyDescent="0.25">
      <c r="A6072" t="s">
        <v>51</v>
      </c>
      <c r="B6072" s="1" t="str">
        <f>HYPERLINK("http://arval.co.uk","arval.co.uk")</f>
        <v>arval.co.uk</v>
      </c>
      <c r="C6072" t="s">
        <v>506</v>
      </c>
      <c r="D6072" t="s">
        <v>880</v>
      </c>
      <c r="E6072">
        <v>460247</v>
      </c>
      <c r="F6072">
        <v>9.7774307965159594E-8</v>
      </c>
      <c r="G6072">
        <v>412839</v>
      </c>
      <c r="H6072">
        <v>14231679</v>
      </c>
      <c r="I6072">
        <v>1672774</v>
      </c>
      <c r="J6072">
        <v>2</v>
      </c>
    </row>
    <row r="6073" spans="1:10" x14ac:dyDescent="0.25">
      <c r="A6073" t="s">
        <v>51</v>
      </c>
      <c r="B6073" s="1" t="str">
        <f>HYPERLINK("http://bnpparibas.co.uk","bnpparibas.co.uk")</f>
        <v>bnpparibas.co.uk</v>
      </c>
      <c r="C6073" t="s">
        <v>506</v>
      </c>
      <c r="D6073" t="s">
        <v>880</v>
      </c>
      <c r="E6073">
        <v>379105</v>
      </c>
      <c r="F6073">
        <v>1.2739004544143099E-7</v>
      </c>
      <c r="G6073">
        <v>308459</v>
      </c>
      <c r="H6073">
        <v>14603171</v>
      </c>
      <c r="I6073">
        <v>683685</v>
      </c>
      <c r="J6073">
        <v>2</v>
      </c>
    </row>
    <row r="6074" spans="1:10" x14ac:dyDescent="0.25">
      <c r="A6074" t="s">
        <v>51</v>
      </c>
      <c r="B6074" s="1" t="str">
        <f>HYPERLINK("http://bnpparibas-am.co.uk","bnpparibas-am.co.uk")</f>
        <v>bnpparibas-am.co.uk</v>
      </c>
      <c r="C6074" t="s">
        <v>506</v>
      </c>
      <c r="D6074" t="s">
        <v>880</v>
      </c>
      <c r="F6074">
        <v>1.3815905885129399E-8</v>
      </c>
      <c r="G6074">
        <v>4275103</v>
      </c>
      <c r="H6074">
        <v>13446280</v>
      </c>
      <c r="I6074">
        <v>10217629</v>
      </c>
      <c r="J6074">
        <v>3</v>
      </c>
    </row>
    <row r="6075" spans="1:10" x14ac:dyDescent="0.25">
      <c r="A6075" t="s">
        <v>51</v>
      </c>
      <c r="B6075" s="1" t="str">
        <f>HYPERLINK("http://bnpparibas-pf.co.uk","bnpparibas-pf.co.uk")</f>
        <v>bnpparibas-pf.co.uk</v>
      </c>
      <c r="C6075" t="s">
        <v>506</v>
      </c>
      <c r="D6075" t="s">
        <v>880</v>
      </c>
      <c r="F6075">
        <v>8.7717291879954392E-9</v>
      </c>
      <c r="G6075">
        <v>8356787</v>
      </c>
      <c r="H6075">
        <v>14072580</v>
      </c>
      <c r="I6075">
        <v>3070645</v>
      </c>
      <c r="J6075">
        <v>3</v>
      </c>
    </row>
    <row r="6076" spans="1:10" x14ac:dyDescent="0.25">
      <c r="A6076" t="s">
        <v>51</v>
      </c>
      <c r="B6076" s="1" t="str">
        <f>HYPERLINK("http://cieco.co.uk","cieco.co.uk")</f>
        <v>cieco.co.uk</v>
      </c>
      <c r="C6076" t="s">
        <v>506</v>
      </c>
      <c r="D6076" t="s">
        <v>880</v>
      </c>
      <c r="F6076">
        <v>4.4492669597723504E-9</v>
      </c>
      <c r="G6076">
        <v>72330820</v>
      </c>
      <c r="H6076">
        <v>9464489</v>
      </c>
      <c r="I6076">
        <v>66286574</v>
      </c>
      <c r="J6076">
        <v>7</v>
      </c>
    </row>
    <row r="6077" spans="1:10" x14ac:dyDescent="0.25">
      <c r="A6077" t="s">
        <v>51</v>
      </c>
      <c r="B6077" s="1" t="str">
        <f>HYPERLINK("http://claas.co.uk","claas.co.uk")</f>
        <v>claas.co.uk</v>
      </c>
      <c r="C6077" t="s">
        <v>506</v>
      </c>
      <c r="D6077" t="s">
        <v>880</v>
      </c>
      <c r="F6077">
        <v>4.43096543098534E-8</v>
      </c>
      <c r="G6077">
        <v>1071252</v>
      </c>
      <c r="H6077">
        <v>13144393</v>
      </c>
      <c r="I6077">
        <v>11858972</v>
      </c>
      <c r="J6077">
        <v>4</v>
      </c>
    </row>
    <row r="6078" spans="1:10" x14ac:dyDescent="0.25">
      <c r="A6078" t="s">
        <v>51</v>
      </c>
      <c r="B6078" s="1" t="str">
        <f>HYPERLINK("http://claas-dealer.co.uk","claas-dealer.co.uk")</f>
        <v>claas-dealer.co.uk</v>
      </c>
      <c r="C6078" t="s">
        <v>506</v>
      </c>
      <c r="D6078" t="s">
        <v>880</v>
      </c>
      <c r="F6078">
        <v>1.4163523087282899E-8</v>
      </c>
      <c r="G6078">
        <v>4142105</v>
      </c>
      <c r="H6078">
        <v>12950135</v>
      </c>
      <c r="I6078">
        <v>13211319</v>
      </c>
      <c r="J6078">
        <v>7</v>
      </c>
    </row>
    <row r="6079" spans="1:10" x14ac:dyDescent="0.25">
      <c r="A6079" t="s">
        <v>51</v>
      </c>
      <c r="B6079" s="1" t="str">
        <f>HYPERLINK("http://creation.co.uk","creation.co.uk")</f>
        <v>creation.co.uk</v>
      </c>
      <c r="C6079" t="s">
        <v>506</v>
      </c>
      <c r="D6079" t="s">
        <v>880</v>
      </c>
      <c r="E6079">
        <v>230576</v>
      </c>
      <c r="F6079">
        <v>2.20883047452841E-8</v>
      </c>
      <c r="G6079">
        <v>2375869</v>
      </c>
      <c r="H6079">
        <v>13397889</v>
      </c>
      <c r="I6079">
        <v>10372654</v>
      </c>
      <c r="J6079">
        <v>3</v>
      </c>
    </row>
    <row r="6080" spans="1:10" x14ac:dyDescent="0.25">
      <c r="A6080" t="s">
        <v>51</v>
      </c>
      <c r="B6080" s="1" t="str">
        <f>HYPERLINK("http://fineasy.co.uk","fineasy.co.uk")</f>
        <v>fineasy.co.uk</v>
      </c>
      <c r="C6080" t="s">
        <v>506</v>
      </c>
      <c r="D6080" t="s">
        <v>880</v>
      </c>
      <c r="J6080">
        <v>2</v>
      </c>
    </row>
    <row r="6081" spans="1:10" x14ac:dyDescent="0.25">
      <c r="A6081" t="s">
        <v>51</v>
      </c>
      <c r="B6081" s="1" t="str">
        <f>HYPERLINK("http://gefleetservices.co.uk","gefleetservices.co.uk")</f>
        <v>gefleetservices.co.uk</v>
      </c>
      <c r="C6081" t="s">
        <v>506</v>
      </c>
      <c r="D6081" t="s">
        <v>880</v>
      </c>
      <c r="J6081">
        <v>3</v>
      </c>
    </row>
    <row r="6082" spans="1:10" x14ac:dyDescent="0.25">
      <c r="A6082" t="s">
        <v>51</v>
      </c>
      <c r="B6082" s="1" t="str">
        <f>HYPERLINK("http://morriscorfield.co.uk","morriscorfield.co.uk")</f>
        <v>morriscorfield.co.uk</v>
      </c>
      <c r="C6082" t="s">
        <v>506</v>
      </c>
      <c r="D6082" t="s">
        <v>880</v>
      </c>
      <c r="F6082">
        <v>4.7547308078886499E-9</v>
      </c>
      <c r="G6082">
        <v>38113561</v>
      </c>
      <c r="H6082">
        <v>8450301</v>
      </c>
      <c r="I6082">
        <v>72562176</v>
      </c>
      <c r="J6082">
        <v>10</v>
      </c>
    </row>
    <row r="6083" spans="1:10" x14ac:dyDescent="0.25">
      <c r="A6083" t="s">
        <v>51</v>
      </c>
      <c r="B6083" s="1" t="str">
        <f>HYPERLINK("http://oliverlandpower.co.uk","oliverlandpower.co.uk")</f>
        <v>oliverlandpower.co.uk</v>
      </c>
      <c r="C6083" t="s">
        <v>506</v>
      </c>
      <c r="D6083" t="s">
        <v>880</v>
      </c>
      <c r="F6083">
        <v>6.1329016869785397E-9</v>
      </c>
      <c r="G6083">
        <v>15903059</v>
      </c>
      <c r="H6083">
        <v>12923772</v>
      </c>
      <c r="I6083">
        <v>13404600</v>
      </c>
      <c r="J6083">
        <v>10</v>
      </c>
    </row>
    <row r="6084" spans="1:10" x14ac:dyDescent="0.25">
      <c r="A6084" t="s">
        <v>51</v>
      </c>
      <c r="B6084" s="1" t="str">
        <f>HYPERLINK("http://pinnacle.co.uk","pinnacle.co.uk")</f>
        <v>pinnacle.co.uk</v>
      </c>
      <c r="C6084" t="s">
        <v>506</v>
      </c>
      <c r="D6084" t="s">
        <v>880</v>
      </c>
      <c r="F6084">
        <v>7.7127754874938999E-9</v>
      </c>
      <c r="G6084">
        <v>10545237</v>
      </c>
      <c r="H6084">
        <v>12581347</v>
      </c>
      <c r="I6084">
        <v>16493703</v>
      </c>
      <c r="J6084">
        <v>2</v>
      </c>
    </row>
    <row r="6085" spans="1:10" x14ac:dyDescent="0.25">
      <c r="A6085" t="s">
        <v>51</v>
      </c>
      <c r="B6085" s="1" t="str">
        <f>HYPERLINK("http://viovet.co.uk","viovet.co.uk")</f>
        <v>viovet.co.uk</v>
      </c>
      <c r="C6085" t="s">
        <v>506</v>
      </c>
      <c r="D6085" t="s">
        <v>880</v>
      </c>
      <c r="E6085">
        <v>166141</v>
      </c>
      <c r="F6085">
        <v>6.1641043951387803E-8</v>
      </c>
      <c r="G6085">
        <v>713797</v>
      </c>
      <c r="H6085">
        <v>14625571</v>
      </c>
      <c r="I6085">
        <v>650847</v>
      </c>
      <c r="J6085">
        <v>7</v>
      </c>
    </row>
    <row r="6086" spans="1:10" x14ac:dyDescent="0.25">
      <c r="A6086" t="s">
        <v>51</v>
      </c>
      <c r="B6086" s="1" t="str">
        <f>HYPERLINK("http://bnpparibas-am.us","bnpparibas-am.us")</f>
        <v>bnpparibas-am.us</v>
      </c>
      <c r="C6086" t="s">
        <v>522</v>
      </c>
      <c r="D6086" t="s">
        <v>891</v>
      </c>
      <c r="F6086">
        <v>1.0767742281059E-8</v>
      </c>
      <c r="G6086">
        <v>6046227</v>
      </c>
      <c r="H6086">
        <v>12707428</v>
      </c>
      <c r="I6086">
        <v>15316627</v>
      </c>
      <c r="J6086">
        <v>3</v>
      </c>
    </row>
    <row r="6087" spans="1:10" x14ac:dyDescent="0.25">
      <c r="A6087" t="s">
        <v>51</v>
      </c>
      <c r="B6087" s="1" t="str">
        <f>HYPERLINK("http://claas.com.uy","claas.com.uy")</f>
        <v>claas.com.uy</v>
      </c>
      <c r="C6087" t="s">
        <v>507</v>
      </c>
      <c r="D6087" t="s">
        <v>881</v>
      </c>
      <c r="F6087">
        <v>1.8073298362242201E-8</v>
      </c>
      <c r="G6087">
        <v>3015657</v>
      </c>
      <c r="H6087">
        <v>10852047</v>
      </c>
      <c r="I6087">
        <v>36814006</v>
      </c>
      <c r="J6087">
        <v>4</v>
      </c>
    </row>
    <row r="6088" spans="1:10" x14ac:dyDescent="0.25">
      <c r="A6088" t="s">
        <v>51</v>
      </c>
      <c r="B6088" s="1" t="str">
        <f>HYPERLINK("http://claas.uz","claas.uz")</f>
        <v>claas.uz</v>
      </c>
      <c r="C6088" t="s">
        <v>560</v>
      </c>
      <c r="D6088" t="s">
        <v>910</v>
      </c>
      <c r="F6088">
        <v>1.8171693784680401E-8</v>
      </c>
      <c r="G6088">
        <v>2995369</v>
      </c>
      <c r="H6088">
        <v>10852048</v>
      </c>
      <c r="I6088">
        <v>36813975</v>
      </c>
      <c r="J6088">
        <v>4</v>
      </c>
    </row>
    <row r="6089" spans="1:10" x14ac:dyDescent="0.25">
      <c r="A6089" t="s">
        <v>51</v>
      </c>
      <c r="B6089" s="1" t="str">
        <f>HYPERLINK("http://claas.co.za","claas.co.za")</f>
        <v>claas.co.za</v>
      </c>
      <c r="C6089" t="s">
        <v>510</v>
      </c>
      <c r="D6089" t="s">
        <v>884</v>
      </c>
      <c r="F6089">
        <v>1.7984435877645099E-8</v>
      </c>
      <c r="G6089">
        <v>3035957</v>
      </c>
      <c r="H6089">
        <v>10852349</v>
      </c>
      <c r="I6089">
        <v>36808425</v>
      </c>
      <c r="J6089">
        <v>4</v>
      </c>
    </row>
    <row r="6090" spans="1:10" x14ac:dyDescent="0.25">
      <c r="A6090" t="s">
        <v>51</v>
      </c>
      <c r="B6090" s="1" t="str">
        <f>HYPERLINK("http://manitou.co.za","manitou.co.za")</f>
        <v>manitou.co.za</v>
      </c>
      <c r="C6090" t="s">
        <v>510</v>
      </c>
      <c r="D6090" t="s">
        <v>884</v>
      </c>
      <c r="F6090">
        <v>6.3720292274081003E-9</v>
      </c>
      <c r="G6090">
        <v>14656008</v>
      </c>
      <c r="H6090">
        <v>11609638</v>
      </c>
      <c r="I6090">
        <v>29917612</v>
      </c>
      <c r="J6090">
        <v>10</v>
      </c>
    </row>
    <row r="6091" spans="1:10" x14ac:dyDescent="0.25">
      <c r="A6091" t="s">
        <v>51</v>
      </c>
      <c r="B6091" s="1" t="str">
        <f>HYPERLINK("http://rcs.co.za","rcs.co.za")</f>
        <v>rcs.co.za</v>
      </c>
      <c r="C6091" t="s">
        <v>510</v>
      </c>
      <c r="D6091" t="s">
        <v>884</v>
      </c>
      <c r="E6091">
        <v>295349</v>
      </c>
      <c r="F6091">
        <v>2.7360571202939299E-8</v>
      </c>
      <c r="G6091">
        <v>1879016</v>
      </c>
      <c r="H6091">
        <v>13769082</v>
      </c>
      <c r="I6091">
        <v>6813263</v>
      </c>
      <c r="J6091">
        <v>3</v>
      </c>
    </row>
    <row r="6092" spans="1:10" x14ac:dyDescent="0.25">
      <c r="A6092" t="s">
        <v>52</v>
      </c>
      <c r="B6092" s="1" t="str">
        <f>HYPERLINK("http://alpet.al","alpet.al")</f>
        <v>alpet.al</v>
      </c>
      <c r="C6092" t="s">
        <v>588</v>
      </c>
      <c r="D6092" t="s">
        <v>924</v>
      </c>
      <c r="F6092">
        <v>4.9548081140224596E-9</v>
      </c>
      <c r="G6092">
        <v>30652004</v>
      </c>
      <c r="H6092">
        <v>11986258</v>
      </c>
      <c r="I6092">
        <v>28422858</v>
      </c>
      <c r="J6092">
        <v>7</v>
      </c>
    </row>
    <row r="6093" spans="1:10" x14ac:dyDescent="0.25">
      <c r="A6093" t="s">
        <v>52</v>
      </c>
      <c r="B6093" s="1" t="str">
        <f>HYPERLINK("http://avia.at","avia.at")</f>
        <v>avia.at</v>
      </c>
      <c r="C6093" t="s">
        <v>419</v>
      </c>
      <c r="D6093" t="s">
        <v>801</v>
      </c>
      <c r="F6093">
        <v>1.8953774741123901E-8</v>
      </c>
      <c r="G6093">
        <v>2843802</v>
      </c>
      <c r="H6093">
        <v>12339798</v>
      </c>
      <c r="I6093">
        <v>20007026</v>
      </c>
      <c r="J6093">
        <v>14</v>
      </c>
    </row>
    <row r="6094" spans="1:10" x14ac:dyDescent="0.25">
      <c r="A6094" t="s">
        <v>52</v>
      </c>
      <c r="B6094" s="1" t="str">
        <f>HYPERLINK("http://avia-stock.at","avia-stock.at")</f>
        <v>avia-stock.at</v>
      </c>
      <c r="C6094" t="s">
        <v>419</v>
      </c>
      <c r="D6094" t="s">
        <v>801</v>
      </c>
      <c r="F6094">
        <v>5.6484225313637302E-9</v>
      </c>
      <c r="G6094">
        <v>19406442</v>
      </c>
      <c r="H6094">
        <v>9605721</v>
      </c>
      <c r="I6094">
        <v>64344099</v>
      </c>
      <c r="J6094">
        <v>14</v>
      </c>
    </row>
    <row r="6095" spans="1:10" x14ac:dyDescent="0.25">
      <c r="A6095" t="s">
        <v>52</v>
      </c>
      <c r="B6095" s="1" t="str">
        <f>HYPERLINK("http://aviabisamberg.at","aviabisamberg.at")</f>
        <v>aviabisamberg.at</v>
      </c>
      <c r="C6095" t="s">
        <v>419</v>
      </c>
      <c r="D6095" t="s">
        <v>801</v>
      </c>
      <c r="F6095">
        <v>8.1282631803103796E-9</v>
      </c>
      <c r="G6095">
        <v>9692793</v>
      </c>
      <c r="H6095">
        <v>12040179</v>
      </c>
      <c r="I6095">
        <v>27456839</v>
      </c>
      <c r="J6095">
        <v>14</v>
      </c>
    </row>
    <row r="6096" spans="1:10" x14ac:dyDescent="0.25">
      <c r="A6096" t="s">
        <v>52</v>
      </c>
      <c r="B6096" s="1" t="str">
        <f>HYPERLINK("http://bp.at","bp.at")</f>
        <v>bp.at</v>
      </c>
      <c r="C6096" t="s">
        <v>419</v>
      </c>
      <c r="D6096" t="s">
        <v>801</v>
      </c>
      <c r="F6096">
        <v>1.12045041846631E-8</v>
      </c>
      <c r="G6096">
        <v>5710042</v>
      </c>
      <c r="H6096">
        <v>12933933</v>
      </c>
      <c r="I6096">
        <v>13349039</v>
      </c>
      <c r="J6096">
        <v>2</v>
      </c>
    </row>
    <row r="6097" spans="1:10" x14ac:dyDescent="0.25">
      <c r="A6097" t="s">
        <v>52</v>
      </c>
      <c r="B6097" s="1" t="str">
        <f>HYPERLINK("http://castrol.at","castrol.at")</f>
        <v>castrol.at</v>
      </c>
      <c r="C6097" t="s">
        <v>419</v>
      </c>
      <c r="D6097" t="s">
        <v>801</v>
      </c>
      <c r="F6097">
        <v>1.2008323336678799E-8</v>
      </c>
      <c r="G6097">
        <v>5169913</v>
      </c>
      <c r="H6097">
        <v>11385463</v>
      </c>
      <c r="I6097">
        <v>30266188</v>
      </c>
      <c r="J6097">
        <v>3</v>
      </c>
    </row>
    <row r="6098" spans="1:10" x14ac:dyDescent="0.25">
      <c r="A6098" t="s">
        <v>52</v>
      </c>
      <c r="B6098" s="1" t="str">
        <f>HYPERLINK("http://direkt.at","direkt.at")</f>
        <v>direkt.at</v>
      </c>
      <c r="C6098" t="s">
        <v>419</v>
      </c>
      <c r="D6098" t="s">
        <v>801</v>
      </c>
      <c r="F6098">
        <v>4.6218013402950103E-9</v>
      </c>
      <c r="G6098">
        <v>46010584</v>
      </c>
      <c r="H6098">
        <v>10802996</v>
      </c>
      <c r="I6098">
        <v>38070679</v>
      </c>
      <c r="J6098">
        <v>14</v>
      </c>
    </row>
    <row r="6099" spans="1:10" x14ac:dyDescent="0.25">
      <c r="A6099" t="s">
        <v>52</v>
      </c>
      <c r="B6099" s="1" t="str">
        <f>HYPERLINK("http://eigl.at","eigl.at")</f>
        <v>eigl.at</v>
      </c>
      <c r="C6099" t="s">
        <v>419</v>
      </c>
      <c r="D6099" t="s">
        <v>801</v>
      </c>
      <c r="F6099">
        <v>1.0192496716643E-8</v>
      </c>
      <c r="G6099">
        <v>6554585</v>
      </c>
      <c r="H6099">
        <v>12418660</v>
      </c>
      <c r="I6099">
        <v>18483917</v>
      </c>
      <c r="J6099">
        <v>14</v>
      </c>
    </row>
    <row r="6100" spans="1:10" x14ac:dyDescent="0.25">
      <c r="A6100" t="s">
        <v>52</v>
      </c>
      <c r="B6100" s="1" t="str">
        <f>HYPERLINK("http://eybel.at","eybel.at")</f>
        <v>eybel.at</v>
      </c>
      <c r="C6100" t="s">
        <v>419</v>
      </c>
      <c r="D6100" t="s">
        <v>801</v>
      </c>
      <c r="F6100">
        <v>6.8309056587822798E-9</v>
      </c>
      <c r="G6100">
        <v>12859389</v>
      </c>
      <c r="H6100">
        <v>11963874</v>
      </c>
      <c r="I6100">
        <v>28817921</v>
      </c>
      <c r="J6100">
        <v>3</v>
      </c>
    </row>
    <row r="6101" spans="1:10" x14ac:dyDescent="0.25">
      <c r="A6101" t="s">
        <v>52</v>
      </c>
      <c r="B6101" s="1" t="str">
        <f>HYPERLINK("http://immeroffen.at","immeroffen.at")</f>
        <v>immeroffen.at</v>
      </c>
      <c r="C6101" t="s">
        <v>419</v>
      </c>
      <c r="D6101" t="s">
        <v>801</v>
      </c>
      <c r="F6101">
        <v>5.2129662886050197E-9</v>
      </c>
      <c r="G6101">
        <v>24870026</v>
      </c>
      <c r="H6101">
        <v>12371832</v>
      </c>
      <c r="I6101">
        <v>19376411</v>
      </c>
      <c r="J6101">
        <v>3</v>
      </c>
    </row>
    <row r="6102" spans="1:10" x14ac:dyDescent="0.25">
      <c r="A6102" t="s">
        <v>52</v>
      </c>
      <c r="B6102" s="1" t="str">
        <f>HYPERLINK("http://lm-energy.at","lm-energy.at")</f>
        <v>lm-energy.at</v>
      </c>
      <c r="C6102" t="s">
        <v>419</v>
      </c>
      <c r="D6102" t="s">
        <v>801</v>
      </c>
      <c r="F6102">
        <v>1.12576524673678E-8</v>
      </c>
      <c r="G6102">
        <v>5672277</v>
      </c>
      <c r="H6102">
        <v>12641865</v>
      </c>
      <c r="I6102">
        <v>15855394</v>
      </c>
      <c r="J6102">
        <v>3</v>
      </c>
    </row>
    <row r="6103" spans="1:10" x14ac:dyDescent="0.25">
      <c r="A6103" t="s">
        <v>52</v>
      </c>
      <c r="B6103" s="1" t="str">
        <f>HYPERLINK("http://tiscover.at","tiscover.at")</f>
        <v>tiscover.at</v>
      </c>
      <c r="C6103" t="s">
        <v>419</v>
      </c>
      <c r="D6103" t="s">
        <v>801</v>
      </c>
      <c r="E6103">
        <v>293600</v>
      </c>
      <c r="F6103">
        <v>2.3974546849835399E-7</v>
      </c>
      <c r="G6103">
        <v>156073</v>
      </c>
      <c r="H6103">
        <v>14887882</v>
      </c>
      <c r="I6103">
        <v>468532</v>
      </c>
      <c r="J6103">
        <v>16</v>
      </c>
    </row>
    <row r="6104" spans="1:10" x14ac:dyDescent="0.25">
      <c r="A6104" t="s">
        <v>52</v>
      </c>
      <c r="B6104" s="1" t="str">
        <f>HYPERLINK("http://troppacher.at","troppacher.at")</f>
        <v>troppacher.at</v>
      </c>
      <c r="C6104" t="s">
        <v>419</v>
      </c>
      <c r="D6104" t="s">
        <v>801</v>
      </c>
      <c r="F6104">
        <v>7.0998482034120699E-9</v>
      </c>
      <c r="G6104">
        <v>12015461</v>
      </c>
      <c r="H6104">
        <v>12438817</v>
      </c>
      <c r="I6104">
        <v>18158660</v>
      </c>
      <c r="J6104">
        <v>3</v>
      </c>
    </row>
    <row r="6105" spans="1:10" x14ac:dyDescent="0.25">
      <c r="A6105" t="s">
        <v>52</v>
      </c>
      <c r="B6105" s="1" t="str">
        <f>HYPERLINK("http://wurz.at","wurz.at")</f>
        <v>wurz.at</v>
      </c>
      <c r="C6105" t="s">
        <v>419</v>
      </c>
      <c r="D6105" t="s">
        <v>801</v>
      </c>
      <c r="F6105">
        <v>4.9486404748308897E-9</v>
      </c>
      <c r="G6105">
        <v>30827047</v>
      </c>
      <c r="H6105">
        <v>12196157</v>
      </c>
      <c r="I6105">
        <v>23419968</v>
      </c>
      <c r="J6105">
        <v>3</v>
      </c>
    </row>
    <row r="6106" spans="1:10" x14ac:dyDescent="0.25">
      <c r="A6106" t="s">
        <v>52</v>
      </c>
      <c r="B6106" s="1" t="str">
        <f>HYPERLINK("http://bp,com.au","bp,com.au")</f>
        <v>bp,com.au</v>
      </c>
      <c r="C6106" t="s">
        <v>420</v>
      </c>
      <c r="D6106" t="s">
        <v>802</v>
      </c>
      <c r="J6106">
        <v>3</v>
      </c>
    </row>
    <row r="6107" spans="1:10" x14ac:dyDescent="0.25">
      <c r="A6107" t="s">
        <v>52</v>
      </c>
      <c r="B6107" s="1" t="str">
        <f>HYPERLINK("http://airmenzies.com.au","airmenzies.com.au")</f>
        <v>airmenzies.com.au</v>
      </c>
      <c r="C6107" t="s">
        <v>420</v>
      </c>
      <c r="D6107" t="s">
        <v>802</v>
      </c>
      <c r="F6107">
        <v>9.3808561602298396E-9</v>
      </c>
      <c r="G6107">
        <v>7469865</v>
      </c>
      <c r="H6107">
        <v>12835165</v>
      </c>
      <c r="I6107">
        <v>14385289</v>
      </c>
      <c r="J6107">
        <v>9</v>
      </c>
    </row>
    <row r="6108" spans="1:10" x14ac:dyDescent="0.25">
      <c r="A6108" t="s">
        <v>52</v>
      </c>
      <c r="B6108" s="1" t="str">
        <f>HYPERLINK("http://bottlemart.com.au","bottlemart.com.au")</f>
        <v>bottlemart.com.au</v>
      </c>
      <c r="C6108" t="s">
        <v>420</v>
      </c>
      <c r="D6108" t="s">
        <v>802</v>
      </c>
      <c r="E6108">
        <v>570065</v>
      </c>
      <c r="F6108">
        <v>1.45476688293155E-8</v>
      </c>
      <c r="G6108">
        <v>3996040</v>
      </c>
      <c r="H6108">
        <v>12606056</v>
      </c>
      <c r="I6108">
        <v>16266926</v>
      </c>
      <c r="J6108">
        <v>6</v>
      </c>
    </row>
    <row r="6109" spans="1:10" x14ac:dyDescent="0.25">
      <c r="A6109" t="s">
        <v>52</v>
      </c>
      <c r="B6109" s="1" t="str">
        <f>HYPERLINK("http://bowls.com.au","bowls.com.au")</f>
        <v>bowls.com.au</v>
      </c>
      <c r="C6109" t="s">
        <v>420</v>
      </c>
      <c r="D6109" t="s">
        <v>802</v>
      </c>
      <c r="E6109">
        <v>282554</v>
      </c>
      <c r="F6109">
        <v>6.7639136814392405E-8</v>
      </c>
      <c r="G6109">
        <v>631497</v>
      </c>
      <c r="H6109">
        <v>14714202</v>
      </c>
      <c r="I6109">
        <v>581417</v>
      </c>
      <c r="J6109">
        <v>5</v>
      </c>
    </row>
    <row r="6110" spans="1:10" x14ac:dyDescent="0.25">
      <c r="A6110" t="s">
        <v>52</v>
      </c>
      <c r="B6110" s="1" t="str">
        <f>HYPERLINK("http://bp.com.au","bp.com.au")</f>
        <v>bp.com.au</v>
      </c>
      <c r="C6110" t="s">
        <v>420</v>
      </c>
      <c r="D6110" t="s">
        <v>802</v>
      </c>
      <c r="F6110">
        <v>1.41039954019214E-8</v>
      </c>
      <c r="G6110">
        <v>4164178</v>
      </c>
      <c r="H6110">
        <v>13389406</v>
      </c>
      <c r="I6110">
        <v>10393599</v>
      </c>
      <c r="J6110">
        <v>2</v>
      </c>
    </row>
    <row r="6111" spans="1:10" x14ac:dyDescent="0.25">
      <c r="A6111" t="s">
        <v>52</v>
      </c>
      <c r="B6111" s="1" t="str">
        <f>HYPERLINK("http://bremerbaycaravanpark.com.au","bremerbaycaravanpark.com.au")</f>
        <v>bremerbaycaravanpark.com.au</v>
      </c>
      <c r="C6111" t="s">
        <v>420</v>
      </c>
      <c r="D6111" t="s">
        <v>802</v>
      </c>
      <c r="F6111">
        <v>6.4720627138064998E-9</v>
      </c>
      <c r="G6111">
        <v>14196109</v>
      </c>
      <c r="H6111">
        <v>12520321</v>
      </c>
      <c r="I6111">
        <v>17147715</v>
      </c>
      <c r="J6111">
        <v>5</v>
      </c>
    </row>
    <row r="6112" spans="1:10" x14ac:dyDescent="0.25">
      <c r="A6112" t="s">
        <v>52</v>
      </c>
      <c r="B6112" s="1" t="str">
        <f>HYPERLINK("http://castrol.com.au","castrol.com.au")</f>
        <v>castrol.com.au</v>
      </c>
      <c r="C6112" t="s">
        <v>420</v>
      </c>
      <c r="D6112" t="s">
        <v>802</v>
      </c>
      <c r="F6112">
        <v>8.6662120888212705E-9</v>
      </c>
      <c r="G6112">
        <v>8538954</v>
      </c>
      <c r="H6112">
        <v>12991878</v>
      </c>
      <c r="I6112">
        <v>12840574</v>
      </c>
      <c r="J6112">
        <v>4</v>
      </c>
    </row>
    <row r="6113" spans="1:10" x14ac:dyDescent="0.25">
      <c r="A6113" t="s">
        <v>52</v>
      </c>
      <c r="B6113" s="1" t="str">
        <f>HYPERLINK("http://geraldtonbowlingclub.com.au","geraldtonbowlingclub.com.au")</f>
        <v>geraldtonbowlingclub.com.au</v>
      </c>
      <c r="C6113" t="s">
        <v>420</v>
      </c>
      <c r="D6113" t="s">
        <v>802</v>
      </c>
      <c r="F6113">
        <v>4.6733220305192398E-9</v>
      </c>
      <c r="G6113">
        <v>42744541</v>
      </c>
      <c r="H6113">
        <v>10462381</v>
      </c>
      <c r="I6113">
        <v>51652219</v>
      </c>
      <c r="J6113">
        <v>5</v>
      </c>
    </row>
    <row r="6114" spans="1:10" x14ac:dyDescent="0.25">
      <c r="A6114" t="s">
        <v>52</v>
      </c>
      <c r="B6114" s="1" t="str">
        <f>HYPERLINK("http://greenskape.com.au","greenskape.com.au")</f>
        <v>greenskape.com.au</v>
      </c>
      <c r="C6114" t="s">
        <v>420</v>
      </c>
      <c r="D6114" t="s">
        <v>802</v>
      </c>
      <c r="J6114">
        <v>5</v>
      </c>
    </row>
    <row r="6115" spans="1:10" x14ac:dyDescent="0.25">
      <c r="A6115" t="s">
        <v>52</v>
      </c>
      <c r="B6115" s="1" t="str">
        <f>HYPERLINK("http://jjscarwash.com.au","jjscarwash.com.au")</f>
        <v>jjscarwash.com.au</v>
      </c>
      <c r="C6115" t="s">
        <v>420</v>
      </c>
      <c r="D6115" t="s">
        <v>802</v>
      </c>
      <c r="F6115">
        <v>4.4771018908766002E-9</v>
      </c>
      <c r="G6115">
        <v>62947993</v>
      </c>
      <c r="H6115">
        <v>9483184</v>
      </c>
      <c r="I6115">
        <v>65975784</v>
      </c>
      <c r="J6115">
        <v>5</v>
      </c>
    </row>
    <row r="6116" spans="1:10" x14ac:dyDescent="0.25">
      <c r="A6116" t="s">
        <v>52</v>
      </c>
      <c r="B6116" s="1" t="str">
        <f>HYPERLINK("http://lavenderhue.com.au","lavenderhue.com.au")</f>
        <v>lavenderhue.com.au</v>
      </c>
      <c r="C6116" t="s">
        <v>420</v>
      </c>
      <c r="D6116" t="s">
        <v>802</v>
      </c>
      <c r="F6116">
        <v>4.4714515342356696E-9</v>
      </c>
      <c r="G6116">
        <v>64218857</v>
      </c>
      <c r="H6116">
        <v>10431613</v>
      </c>
      <c r="I6116">
        <v>53143598</v>
      </c>
      <c r="J6116">
        <v>5</v>
      </c>
    </row>
    <row r="6117" spans="1:10" x14ac:dyDescent="0.25">
      <c r="A6117" t="s">
        <v>52</v>
      </c>
      <c r="B6117" s="1" t="str">
        <f>HYPERLINK("http://norsemaneyremotel.com.au","norsemaneyremotel.com.au")</f>
        <v>norsemaneyremotel.com.au</v>
      </c>
      <c r="C6117" t="s">
        <v>420</v>
      </c>
      <c r="D6117" t="s">
        <v>802</v>
      </c>
      <c r="F6117">
        <v>4.4438472513465302E-9</v>
      </c>
      <c r="G6117">
        <v>78600721</v>
      </c>
      <c r="H6117">
        <v>10464334</v>
      </c>
      <c r="I6117">
        <v>51528517</v>
      </c>
      <c r="J6117">
        <v>3</v>
      </c>
    </row>
    <row r="6118" spans="1:10" x14ac:dyDescent="0.25">
      <c r="A6118" t="s">
        <v>52</v>
      </c>
      <c r="B6118" s="1" t="str">
        <f>HYPERLINK("http://optimalpharmacyplus.com.au","optimalpharmacyplus.com.au")</f>
        <v>optimalpharmacyplus.com.au</v>
      </c>
      <c r="C6118" t="s">
        <v>420</v>
      </c>
      <c r="D6118" t="s">
        <v>802</v>
      </c>
      <c r="F6118">
        <v>6.0651099242413901E-9</v>
      </c>
      <c r="G6118">
        <v>16295265</v>
      </c>
      <c r="H6118">
        <v>12771500</v>
      </c>
      <c r="I6118">
        <v>14829533</v>
      </c>
      <c r="J6118">
        <v>5</v>
      </c>
    </row>
    <row r="6119" spans="1:10" x14ac:dyDescent="0.25">
      <c r="A6119" t="s">
        <v>52</v>
      </c>
      <c r="B6119" s="1" t="str">
        <f>HYPERLINK("http://otr.com.au","otr.com.au")</f>
        <v>otr.com.au</v>
      </c>
      <c r="C6119" t="s">
        <v>420</v>
      </c>
      <c r="D6119" t="s">
        <v>802</v>
      </c>
      <c r="F6119">
        <v>4.9376044177942298E-8</v>
      </c>
      <c r="G6119">
        <v>937279</v>
      </c>
      <c r="H6119">
        <v>16849300</v>
      </c>
      <c r="I6119">
        <v>158068</v>
      </c>
      <c r="J6119">
        <v>3</v>
      </c>
    </row>
    <row r="6120" spans="1:10" x14ac:dyDescent="0.25">
      <c r="A6120" t="s">
        <v>52</v>
      </c>
      <c r="B6120" s="1" t="str">
        <f>HYPERLINK("http://pacifichydro.com.au","pacifichydro.com.au")</f>
        <v>pacifichydro.com.au</v>
      </c>
      <c r="C6120" t="s">
        <v>420</v>
      </c>
      <c r="D6120" t="s">
        <v>802</v>
      </c>
      <c r="F6120">
        <v>3.1367707259767398E-8</v>
      </c>
      <c r="G6120">
        <v>1644174</v>
      </c>
      <c r="H6120">
        <v>14823422</v>
      </c>
      <c r="I6120">
        <v>513491</v>
      </c>
      <c r="J6120">
        <v>7</v>
      </c>
    </row>
    <row r="6121" spans="1:10" x14ac:dyDescent="0.25">
      <c r="A6121" t="s">
        <v>52</v>
      </c>
      <c r="B6121" s="1" t="str">
        <f>HYPERLINK("http://perecorp.com.au","perecorp.com.au")</f>
        <v>perecorp.com.au</v>
      </c>
      <c r="C6121" t="s">
        <v>420</v>
      </c>
      <c r="D6121" t="s">
        <v>802</v>
      </c>
      <c r="F6121">
        <v>4.4474337881212101E-9</v>
      </c>
      <c r="G6121">
        <v>73528969</v>
      </c>
      <c r="H6121">
        <v>12026704</v>
      </c>
      <c r="I6121">
        <v>27739453</v>
      </c>
      <c r="J6121">
        <v>9</v>
      </c>
    </row>
    <row r="6122" spans="1:10" x14ac:dyDescent="0.25">
      <c r="A6122" t="s">
        <v>52</v>
      </c>
      <c r="B6122" s="1" t="str">
        <f>HYPERLINK("http://peregrine.com.au","peregrine.com.au")</f>
        <v>peregrine.com.au</v>
      </c>
      <c r="C6122" t="s">
        <v>420</v>
      </c>
      <c r="D6122" t="s">
        <v>802</v>
      </c>
      <c r="F6122">
        <v>1.8908494102738699E-8</v>
      </c>
      <c r="G6122">
        <v>2851984</v>
      </c>
      <c r="H6122">
        <v>13805284</v>
      </c>
      <c r="I6122">
        <v>6238799</v>
      </c>
      <c r="J6122">
        <v>6</v>
      </c>
    </row>
    <row r="6123" spans="1:10" x14ac:dyDescent="0.25">
      <c r="A6123" t="s">
        <v>52</v>
      </c>
      <c r="B6123" s="1" t="str">
        <f>HYPERLINK("http://pinklakepark.com.au","pinklakepark.com.au")</f>
        <v>pinklakepark.com.au</v>
      </c>
      <c r="C6123" t="s">
        <v>420</v>
      </c>
      <c r="D6123" t="s">
        <v>802</v>
      </c>
      <c r="F6123">
        <v>4.91385743199878E-9</v>
      </c>
      <c r="G6123">
        <v>32068467</v>
      </c>
      <c r="H6123">
        <v>11137245</v>
      </c>
      <c r="I6123">
        <v>31865021</v>
      </c>
      <c r="J6123">
        <v>5</v>
      </c>
    </row>
    <row r="6124" spans="1:10" x14ac:dyDescent="0.25">
      <c r="A6124" t="s">
        <v>52</v>
      </c>
      <c r="B6124" s="1" t="str">
        <f>HYPERLINK("http://toddpetrieplumbing.com.au","toddpetrieplumbing.com.au")</f>
        <v>toddpetrieplumbing.com.au</v>
      </c>
      <c r="C6124" t="s">
        <v>420</v>
      </c>
      <c r="D6124" t="s">
        <v>802</v>
      </c>
      <c r="F6124">
        <v>4.7586628882244701E-9</v>
      </c>
      <c r="G6124">
        <v>37889934</v>
      </c>
      <c r="H6124">
        <v>10673062</v>
      </c>
      <c r="I6124">
        <v>42898136</v>
      </c>
      <c r="J6124">
        <v>5</v>
      </c>
    </row>
    <row r="6125" spans="1:10" x14ac:dyDescent="0.25">
      <c r="A6125" t="s">
        <v>52</v>
      </c>
      <c r="B6125" s="1" t="str">
        <f>HYPERLINK("http://waringarriradio.com.au","waringarriradio.com.au")</f>
        <v>waringarriradio.com.au</v>
      </c>
      <c r="C6125" t="s">
        <v>420</v>
      </c>
      <c r="D6125" t="s">
        <v>802</v>
      </c>
      <c r="F6125">
        <v>7.3601610253961201E-9</v>
      </c>
      <c r="G6125">
        <v>11337196</v>
      </c>
      <c r="H6125">
        <v>12443151</v>
      </c>
      <c r="I6125">
        <v>18105862</v>
      </c>
      <c r="J6125">
        <v>5</v>
      </c>
    </row>
    <row r="6126" spans="1:10" x14ac:dyDescent="0.25">
      <c r="A6126" t="s">
        <v>52</v>
      </c>
      <c r="B6126" s="1" t="str">
        <f>HYPERLINK("http://westnet.com.au","westnet.com.au")</f>
        <v>westnet.com.au</v>
      </c>
      <c r="C6126" t="s">
        <v>420</v>
      </c>
      <c r="D6126" t="s">
        <v>802</v>
      </c>
      <c r="E6126">
        <v>46699</v>
      </c>
      <c r="F6126">
        <v>2.90523330239457E-7</v>
      </c>
      <c r="G6126">
        <v>128083</v>
      </c>
      <c r="H6126">
        <v>15000950</v>
      </c>
      <c r="I6126">
        <v>425607</v>
      </c>
      <c r="J6126">
        <v>3</v>
      </c>
    </row>
    <row r="6127" spans="1:10" x14ac:dyDescent="0.25">
      <c r="A6127" t="s">
        <v>52</v>
      </c>
      <c r="B6127" s="1" t="str">
        <f>HYPERLINK("http://kimberleywildliferescue.org.au","kimberleywildliferescue.org.au")</f>
        <v>kimberleywildliferescue.org.au</v>
      </c>
      <c r="C6127" t="s">
        <v>420</v>
      </c>
      <c r="D6127" t="s">
        <v>802</v>
      </c>
      <c r="F6127">
        <v>4.5715401349729102E-9</v>
      </c>
      <c r="G6127">
        <v>50041413</v>
      </c>
      <c r="H6127">
        <v>10758293</v>
      </c>
      <c r="I6127">
        <v>39690365</v>
      </c>
      <c r="J6127">
        <v>5</v>
      </c>
    </row>
    <row r="6128" spans="1:10" x14ac:dyDescent="0.25">
      <c r="A6128" t="s">
        <v>52</v>
      </c>
      <c r="B6128" s="1" t="str">
        <f>HYPERLINK("http://pinklakegolf.org.au","pinklakegolf.org.au")</f>
        <v>pinklakegolf.org.au</v>
      </c>
      <c r="C6128" t="s">
        <v>420</v>
      </c>
      <c r="D6128" t="s">
        <v>802</v>
      </c>
      <c r="F6128">
        <v>4.47995713117448E-9</v>
      </c>
      <c r="G6128">
        <v>62347376</v>
      </c>
      <c r="H6128">
        <v>12110123</v>
      </c>
      <c r="I6128">
        <v>25720739</v>
      </c>
      <c r="J6128">
        <v>5</v>
      </c>
    </row>
    <row r="6129" spans="1:10" x14ac:dyDescent="0.25">
      <c r="A6129" t="s">
        <v>52</v>
      </c>
      <c r="B6129" s="1" t="str">
        <f>HYPERLINK("http://avia.be","avia.be")</f>
        <v>avia.be</v>
      </c>
      <c r="C6129" t="s">
        <v>421</v>
      </c>
      <c r="D6129" t="s">
        <v>803</v>
      </c>
      <c r="F6129">
        <v>7.4740284026038707E-9</v>
      </c>
      <c r="G6129">
        <v>11071781</v>
      </c>
      <c r="H6129">
        <v>10923511</v>
      </c>
      <c r="I6129">
        <v>35201243</v>
      </c>
      <c r="J6129">
        <v>14</v>
      </c>
    </row>
    <row r="6130" spans="1:10" x14ac:dyDescent="0.25">
      <c r="A6130" t="s">
        <v>52</v>
      </c>
      <c r="B6130" s="1" t="str">
        <f>HYPERLINK("http://avia-belgomine.be","avia-belgomine.be")</f>
        <v>avia-belgomine.be</v>
      </c>
      <c r="C6130" t="s">
        <v>421</v>
      </c>
      <c r="D6130" t="s">
        <v>803</v>
      </c>
      <c r="F6130">
        <v>5.5257819009424798E-9</v>
      </c>
      <c r="G6130">
        <v>20627100</v>
      </c>
      <c r="H6130">
        <v>10794117</v>
      </c>
      <c r="I6130">
        <v>38350043</v>
      </c>
      <c r="J6130">
        <v>14</v>
      </c>
    </row>
    <row r="6131" spans="1:10" x14ac:dyDescent="0.25">
      <c r="A6131" t="s">
        <v>52</v>
      </c>
      <c r="B6131" s="1" t="str">
        <f>HYPERLINK("http://boutsnv.be","boutsnv.be")</f>
        <v>boutsnv.be</v>
      </c>
      <c r="C6131" t="s">
        <v>421</v>
      </c>
      <c r="D6131" t="s">
        <v>803</v>
      </c>
      <c r="F6131">
        <v>5.5581444340468704E-9</v>
      </c>
      <c r="G6131">
        <v>20292873</v>
      </c>
      <c r="H6131">
        <v>10625189</v>
      </c>
      <c r="I6131">
        <v>44134530</v>
      </c>
      <c r="J6131">
        <v>13</v>
      </c>
    </row>
    <row r="6132" spans="1:10" x14ac:dyDescent="0.25">
      <c r="A6132" t="s">
        <v>52</v>
      </c>
      <c r="B6132" s="1" t="str">
        <f>HYPERLINK("http://panos.be","panos.be")</f>
        <v>panos.be</v>
      </c>
      <c r="C6132" t="s">
        <v>421</v>
      </c>
      <c r="D6132" t="s">
        <v>803</v>
      </c>
      <c r="F6132">
        <v>4.5949014877597398E-8</v>
      </c>
      <c r="G6132">
        <v>1021920</v>
      </c>
      <c r="H6132">
        <v>14393367</v>
      </c>
      <c r="I6132">
        <v>1163516</v>
      </c>
      <c r="J6132">
        <v>13</v>
      </c>
    </row>
    <row r="6133" spans="1:10" x14ac:dyDescent="0.25">
      <c r="A6133" t="s">
        <v>52</v>
      </c>
      <c r="B6133" s="1" t="str">
        <f>HYPERLINK("http://panosgeel.be","panosgeel.be")</f>
        <v>panosgeel.be</v>
      </c>
      <c r="C6133" t="s">
        <v>421</v>
      </c>
      <c r="D6133" t="s">
        <v>803</v>
      </c>
      <c r="F6133">
        <v>4.44380395335525E-9</v>
      </c>
      <c r="G6133">
        <v>80029396</v>
      </c>
      <c r="H6133">
        <v>0</v>
      </c>
      <c r="I6133">
        <v>80048428</v>
      </c>
      <c r="J6133">
        <v>14</v>
      </c>
    </row>
    <row r="6134" spans="1:10" x14ac:dyDescent="0.25">
      <c r="A6134" t="s">
        <v>52</v>
      </c>
      <c r="B6134" s="1" t="str">
        <f>HYPERLINK("http://q8.be","q8.be")</f>
        <v>q8.be</v>
      </c>
      <c r="C6134" t="s">
        <v>421</v>
      </c>
      <c r="D6134" t="s">
        <v>803</v>
      </c>
      <c r="F6134">
        <v>5.66630825904779E-8</v>
      </c>
      <c r="G6134">
        <v>788835</v>
      </c>
      <c r="H6134">
        <v>14298866</v>
      </c>
      <c r="I6134">
        <v>1357573</v>
      </c>
      <c r="J6134">
        <v>10</v>
      </c>
    </row>
    <row r="6135" spans="1:10" x14ac:dyDescent="0.25">
      <c r="A6135" t="s">
        <v>52</v>
      </c>
      <c r="B6135" s="1" t="str">
        <f>HYPERLINK("http://q8oils.be","q8oils.be")</f>
        <v>q8oils.be</v>
      </c>
      <c r="C6135" t="s">
        <v>421</v>
      </c>
      <c r="D6135" t="s">
        <v>803</v>
      </c>
      <c r="F6135">
        <v>1.4673435099396701E-8</v>
      </c>
      <c r="G6135">
        <v>3950235</v>
      </c>
      <c r="H6135">
        <v>10836175</v>
      </c>
      <c r="I6135">
        <v>37259464</v>
      </c>
      <c r="J6135">
        <v>11</v>
      </c>
    </row>
    <row r="6136" spans="1:10" x14ac:dyDescent="0.25">
      <c r="A6136" t="s">
        <v>52</v>
      </c>
      <c r="B6136" s="1" t="str">
        <f>HYPERLINK("http://ukraina-hotel.biz","ukraina-hotel.biz")</f>
        <v>ukraina-hotel.biz</v>
      </c>
      <c r="C6136" t="s">
        <v>423</v>
      </c>
      <c r="F6136">
        <v>9.6255284010499005E-9</v>
      </c>
      <c r="G6136">
        <v>7168752</v>
      </c>
      <c r="H6136">
        <v>12974841</v>
      </c>
      <c r="I6136">
        <v>13018230</v>
      </c>
      <c r="J6136">
        <v>22</v>
      </c>
    </row>
    <row r="6137" spans="1:10" x14ac:dyDescent="0.25">
      <c r="A6137" t="s">
        <v>52</v>
      </c>
      <c r="B6137" s="1" t="str">
        <f>HYPERLINK("http://airbpbrasil.com.br","airbpbrasil.com.br")</f>
        <v>airbpbrasil.com.br</v>
      </c>
      <c r="C6137" t="s">
        <v>425</v>
      </c>
      <c r="D6137" t="s">
        <v>806</v>
      </c>
      <c r="J6137">
        <v>3</v>
      </c>
    </row>
    <row r="6138" spans="1:10" x14ac:dyDescent="0.25">
      <c r="A6138" t="s">
        <v>52</v>
      </c>
      <c r="B6138" s="1" t="str">
        <f>HYPERLINK("http://bp.com.br","bp.com.br")</f>
        <v>bp.com.br</v>
      </c>
      <c r="C6138" t="s">
        <v>425</v>
      </c>
      <c r="D6138" t="s">
        <v>806</v>
      </c>
      <c r="F6138">
        <v>1.09505445116559E-8</v>
      </c>
      <c r="G6138">
        <v>5903028</v>
      </c>
      <c r="H6138">
        <v>12864187</v>
      </c>
      <c r="I6138">
        <v>14169069</v>
      </c>
      <c r="J6138">
        <v>2</v>
      </c>
    </row>
    <row r="6139" spans="1:10" x14ac:dyDescent="0.25">
      <c r="A6139" t="s">
        <v>52</v>
      </c>
      <c r="B6139" s="1" t="str">
        <f>HYPERLINK("http://castrol.com.br","castrol.com.br")</f>
        <v>castrol.com.br</v>
      </c>
      <c r="C6139" t="s">
        <v>425</v>
      </c>
      <c r="D6139" t="s">
        <v>806</v>
      </c>
      <c r="F6139">
        <v>4.4489179586697298E-9</v>
      </c>
      <c r="G6139">
        <v>72548240</v>
      </c>
      <c r="H6139">
        <v>10537883</v>
      </c>
      <c r="I6139">
        <v>47408550</v>
      </c>
      <c r="J6139">
        <v>3</v>
      </c>
    </row>
    <row r="6140" spans="1:10" x14ac:dyDescent="0.25">
      <c r="A6140" t="s">
        <v>52</v>
      </c>
      <c r="B6140" s="1" t="str">
        <f>HYPERLINK("http://tropicalbioenergia.com.br","tropicalbioenergia.com.br")</f>
        <v>tropicalbioenergia.com.br</v>
      </c>
      <c r="C6140" t="s">
        <v>425</v>
      </c>
      <c r="D6140" t="s">
        <v>806</v>
      </c>
      <c r="F6140">
        <v>6.6334009653344803E-9</v>
      </c>
      <c r="G6140">
        <v>13546602</v>
      </c>
      <c r="H6140">
        <v>14072599</v>
      </c>
      <c r="I6140">
        <v>3068288</v>
      </c>
      <c r="J6140">
        <v>5</v>
      </c>
    </row>
    <row r="6141" spans="1:10" x14ac:dyDescent="0.25">
      <c r="A6141" t="s">
        <v>52</v>
      </c>
      <c r="B6141" s="1" t="str">
        <f>HYPERLINK("http://autobischof.ch","autobischof.ch")</f>
        <v>autobischof.ch</v>
      </c>
      <c r="C6141" t="s">
        <v>429</v>
      </c>
      <c r="D6141" t="s">
        <v>810</v>
      </c>
      <c r="F6141">
        <v>5.2006056455867E-9</v>
      </c>
      <c r="G6141">
        <v>25102541</v>
      </c>
      <c r="H6141">
        <v>10438174</v>
      </c>
      <c r="I6141">
        <v>52534417</v>
      </c>
      <c r="J6141">
        <v>3</v>
      </c>
    </row>
    <row r="6142" spans="1:10" x14ac:dyDescent="0.25">
      <c r="A6142" t="s">
        <v>52</v>
      </c>
      <c r="B6142" s="1" t="str">
        <f>HYPERLINK("http://autohaerti.ch","autohaerti.ch")</f>
        <v>autohaerti.ch</v>
      </c>
      <c r="C6142" t="s">
        <v>429</v>
      </c>
      <c r="D6142" t="s">
        <v>810</v>
      </c>
      <c r="F6142">
        <v>6.5733093630647004E-9</v>
      </c>
      <c r="G6142">
        <v>13779963</v>
      </c>
      <c r="H6142">
        <v>12240374</v>
      </c>
      <c r="I6142">
        <v>22248672</v>
      </c>
      <c r="J6142">
        <v>14</v>
      </c>
    </row>
    <row r="6143" spans="1:10" x14ac:dyDescent="0.25">
      <c r="A6143" t="s">
        <v>52</v>
      </c>
      <c r="B6143" s="1" t="str">
        <f>HYPERLINK("http://avia.ch","avia.ch")</f>
        <v>avia.ch</v>
      </c>
      <c r="C6143" t="s">
        <v>429</v>
      </c>
      <c r="D6143" t="s">
        <v>810</v>
      </c>
      <c r="F6143">
        <v>4.4836336123015898E-8</v>
      </c>
      <c r="G6143">
        <v>1054458</v>
      </c>
      <c r="H6143">
        <v>13097162</v>
      </c>
      <c r="I6143">
        <v>12117704</v>
      </c>
      <c r="J6143">
        <v>14</v>
      </c>
    </row>
    <row r="6144" spans="1:10" x14ac:dyDescent="0.25">
      <c r="A6144" t="s">
        <v>52</v>
      </c>
      <c r="B6144" s="1" t="str">
        <f>HYPERLINK("http://castrol.ch","castrol.ch")</f>
        <v>castrol.ch</v>
      </c>
      <c r="C6144" t="s">
        <v>429</v>
      </c>
      <c r="D6144" t="s">
        <v>810</v>
      </c>
      <c r="F6144">
        <v>8.3716873166008002E-9</v>
      </c>
      <c r="G6144">
        <v>9101327</v>
      </c>
      <c r="H6144">
        <v>12219859</v>
      </c>
      <c r="I6144">
        <v>22790234</v>
      </c>
      <c r="J6144">
        <v>4</v>
      </c>
    </row>
    <row r="6145" spans="1:10" x14ac:dyDescent="0.25">
      <c r="A6145" t="s">
        <v>52</v>
      </c>
      <c r="B6145" s="1" t="str">
        <f>HYPERLINK("http://langenergie.ch","langenergie.ch")</f>
        <v>langenergie.ch</v>
      </c>
      <c r="C6145" t="s">
        <v>429</v>
      </c>
      <c r="D6145" t="s">
        <v>810</v>
      </c>
      <c r="F6145">
        <v>1.1708688003284E-8</v>
      </c>
      <c r="G6145">
        <v>5360862</v>
      </c>
      <c r="H6145">
        <v>11071107</v>
      </c>
      <c r="I6145">
        <v>32565614</v>
      </c>
      <c r="J6145">
        <v>14</v>
      </c>
    </row>
    <row r="6146" spans="1:10" x14ac:dyDescent="0.25">
      <c r="A6146" t="s">
        <v>52</v>
      </c>
      <c r="B6146" s="1" t="str">
        <f>HYPERLINK("http://stifflerlogistik.ch","stifflerlogistik.ch")</f>
        <v>stifflerlogistik.ch</v>
      </c>
      <c r="C6146" t="s">
        <v>429</v>
      </c>
      <c r="D6146" t="s">
        <v>810</v>
      </c>
      <c r="F6146">
        <v>5.6586069066329E-9</v>
      </c>
      <c r="G6146">
        <v>19317010</v>
      </c>
      <c r="H6146">
        <v>10941643</v>
      </c>
      <c r="I6146">
        <v>34786120</v>
      </c>
      <c r="J6146">
        <v>14</v>
      </c>
    </row>
    <row r="6147" spans="1:10" x14ac:dyDescent="0.25">
      <c r="A6147" t="s">
        <v>52</v>
      </c>
      <c r="B6147" s="1" t="str">
        <f>HYPERLINK("http://tamoil.ch","tamoil.ch")</f>
        <v>tamoil.ch</v>
      </c>
      <c r="C6147" t="s">
        <v>429</v>
      </c>
      <c r="D6147" t="s">
        <v>810</v>
      </c>
      <c r="F6147">
        <v>3.5284888005322403E-8</v>
      </c>
      <c r="G6147">
        <v>1473937</v>
      </c>
      <c r="H6147">
        <v>14392715</v>
      </c>
      <c r="I6147">
        <v>1164528</v>
      </c>
      <c r="J6147">
        <v>10</v>
      </c>
    </row>
    <row r="6148" spans="1:10" x14ac:dyDescent="0.25">
      <c r="A6148" t="s">
        <v>52</v>
      </c>
      <c r="B6148" s="1" t="str">
        <f>HYPERLINK("http://viamala-raststaette.ch","viamala-raststaette.ch")</f>
        <v>viamala-raststaette.ch</v>
      </c>
      <c r="C6148" t="s">
        <v>429</v>
      </c>
      <c r="D6148" t="s">
        <v>810</v>
      </c>
      <c r="F6148">
        <v>6.2594955784325799E-9</v>
      </c>
      <c r="G6148">
        <v>15228072</v>
      </c>
      <c r="H6148">
        <v>12571321</v>
      </c>
      <c r="I6148">
        <v>16613816</v>
      </c>
      <c r="J6148">
        <v>3</v>
      </c>
    </row>
    <row r="6149" spans="1:10" x14ac:dyDescent="0.25">
      <c r="A6149" t="s">
        <v>52</v>
      </c>
      <c r="B6149" s="1" t="str">
        <f>HYPERLINK("http://wesag.ch","wesag.ch")</f>
        <v>wesag.ch</v>
      </c>
      <c r="C6149" t="s">
        <v>429</v>
      </c>
      <c r="D6149" t="s">
        <v>810</v>
      </c>
      <c r="F6149">
        <v>5.6907606810359399E-9</v>
      </c>
      <c r="G6149">
        <v>19039203</v>
      </c>
      <c r="H6149">
        <v>12318321</v>
      </c>
      <c r="I6149">
        <v>20450250</v>
      </c>
      <c r="J6149">
        <v>14</v>
      </c>
    </row>
    <row r="6150" spans="1:10" x14ac:dyDescent="0.25">
      <c r="A6150" t="s">
        <v>52</v>
      </c>
      <c r="B6150" s="1" t="str">
        <f>HYPERLINK("http://zehendergarage.ch","zehendergarage.ch")</f>
        <v>zehendergarage.ch</v>
      </c>
      <c r="C6150" t="s">
        <v>429</v>
      </c>
      <c r="D6150" t="s">
        <v>810</v>
      </c>
      <c r="F6150">
        <v>4.6619374687769798E-9</v>
      </c>
      <c r="G6150">
        <v>43402226</v>
      </c>
      <c r="H6150">
        <v>12088591</v>
      </c>
      <c r="I6150">
        <v>26290626</v>
      </c>
      <c r="J6150">
        <v>14</v>
      </c>
    </row>
    <row r="6151" spans="1:10" x14ac:dyDescent="0.25">
      <c r="A6151" t="s">
        <v>52</v>
      </c>
      <c r="B6151" s="1" t="str">
        <f>HYPERLINK("http://bp.com.cn","bp.com.cn")</f>
        <v>bp.com.cn</v>
      </c>
      <c r="C6151" t="s">
        <v>431</v>
      </c>
      <c r="D6151" t="s">
        <v>812</v>
      </c>
      <c r="F6151">
        <v>3.0705831372376998E-8</v>
      </c>
      <c r="G6151">
        <v>1677639</v>
      </c>
      <c r="H6151">
        <v>14283549</v>
      </c>
      <c r="I6151">
        <v>1374778</v>
      </c>
      <c r="J6151">
        <v>2</v>
      </c>
    </row>
    <row r="6152" spans="1:10" x14ac:dyDescent="0.25">
      <c r="A6152" t="s">
        <v>52</v>
      </c>
      <c r="B6152" s="1" t="str">
        <f>HYPERLINK("http://castrol.com.cn","castrol.com.cn")</f>
        <v>castrol.com.cn</v>
      </c>
      <c r="C6152" t="s">
        <v>431</v>
      </c>
      <c r="D6152" t="s">
        <v>812</v>
      </c>
      <c r="E6152">
        <v>781352</v>
      </c>
      <c r="F6152">
        <v>9.3487532807215407E-9</v>
      </c>
      <c r="G6152">
        <v>7509537</v>
      </c>
      <c r="H6152">
        <v>11245403</v>
      </c>
      <c r="I6152">
        <v>30930664</v>
      </c>
      <c r="J6152">
        <v>4</v>
      </c>
    </row>
    <row r="6153" spans="1:10" x14ac:dyDescent="0.25">
      <c r="A6153" t="s">
        <v>52</v>
      </c>
      <c r="B6153" s="1" t="str">
        <f>HYPERLINK("http://cntic.com.cn","cntic.com.cn")</f>
        <v>cntic.com.cn</v>
      </c>
      <c r="C6153" t="s">
        <v>431</v>
      </c>
      <c r="D6153" t="s">
        <v>812</v>
      </c>
      <c r="F6153">
        <v>1.7615765571804899E-8</v>
      </c>
      <c r="G6153">
        <v>3115427</v>
      </c>
      <c r="H6153">
        <v>14236077</v>
      </c>
      <c r="I6153">
        <v>1613569</v>
      </c>
      <c r="J6153">
        <v>6</v>
      </c>
    </row>
    <row r="6154" spans="1:10" x14ac:dyDescent="0.25">
      <c r="A6154" t="s">
        <v>52</v>
      </c>
      <c r="B6154" s="1" t="str">
        <f>HYPERLINK("http://genertec.com.cn","genertec.com.cn")</f>
        <v>genertec.com.cn</v>
      </c>
      <c r="C6154" t="s">
        <v>431</v>
      </c>
      <c r="D6154" t="s">
        <v>812</v>
      </c>
      <c r="E6154">
        <v>532427</v>
      </c>
      <c r="F6154">
        <v>1.44087347129317E-7</v>
      </c>
      <c r="G6154">
        <v>270257</v>
      </c>
      <c r="H6154">
        <v>14443648</v>
      </c>
      <c r="I6154">
        <v>1059413</v>
      </c>
      <c r="J6154">
        <v>7</v>
      </c>
    </row>
    <row r="6155" spans="1:10" x14ac:dyDescent="0.25">
      <c r="A6155" t="s">
        <v>52</v>
      </c>
      <c r="B6155" s="1" t="str">
        <f>HYPERLINK("http://hhsd.com.cn","hhsd.com.cn")</f>
        <v>hhsd.com.cn</v>
      </c>
      <c r="C6155" t="s">
        <v>431</v>
      </c>
      <c r="D6155" t="s">
        <v>812</v>
      </c>
      <c r="F6155">
        <v>1.3043362657177499E-8</v>
      </c>
      <c r="G6155">
        <v>4610552</v>
      </c>
      <c r="H6155">
        <v>11490256</v>
      </c>
      <c r="I6155">
        <v>30047073</v>
      </c>
      <c r="J6155">
        <v>5</v>
      </c>
    </row>
    <row r="6156" spans="1:10" x14ac:dyDescent="0.25">
      <c r="A6156" t="s">
        <v>52</v>
      </c>
      <c r="B6156" s="1" t="str">
        <f>HYPERLINK("http://snptc.com.cn","snptc.com.cn")</f>
        <v>snptc.com.cn</v>
      </c>
      <c r="C6156" t="s">
        <v>431</v>
      </c>
      <c r="D6156" t="s">
        <v>812</v>
      </c>
      <c r="E6156">
        <v>938920</v>
      </c>
      <c r="F6156">
        <v>4.32824955296669E-8</v>
      </c>
      <c r="G6156">
        <v>1107586</v>
      </c>
      <c r="H6156">
        <v>14184843</v>
      </c>
      <c r="I6156">
        <v>1771395</v>
      </c>
      <c r="J6156">
        <v>5</v>
      </c>
    </row>
    <row r="6157" spans="1:10" x14ac:dyDescent="0.25">
      <c r="A6157" t="s">
        <v>52</v>
      </c>
      <c r="B6157" s="1" t="str">
        <f>HYPERLINK("http://spic.com.cn","spic.com.cn")</f>
        <v>spic.com.cn</v>
      </c>
      <c r="C6157" t="s">
        <v>431</v>
      </c>
      <c r="D6157" t="s">
        <v>812</v>
      </c>
      <c r="E6157">
        <v>55970</v>
      </c>
      <c r="F6157">
        <v>4.6561825187413198E-7</v>
      </c>
      <c r="G6157">
        <v>81351</v>
      </c>
      <c r="H6157">
        <v>14182370</v>
      </c>
      <c r="I6157">
        <v>1777082</v>
      </c>
      <c r="J6157">
        <v>4</v>
      </c>
    </row>
    <row r="6158" spans="1:10" x14ac:dyDescent="0.25">
      <c r="A6158" t="s">
        <v>52</v>
      </c>
      <c r="B6158" s="1" t="str">
        <f>HYPERLINK("http://gt.cn","gt.cn")</f>
        <v>gt.cn</v>
      </c>
      <c r="C6158" t="s">
        <v>431</v>
      </c>
      <c r="D6158" t="s">
        <v>812</v>
      </c>
      <c r="E6158">
        <v>506297</v>
      </c>
      <c r="F6158">
        <v>9.9900965928627004E-8</v>
      </c>
      <c r="G6158">
        <v>402891</v>
      </c>
      <c r="H6158">
        <v>13048367</v>
      </c>
      <c r="I6158">
        <v>12596358</v>
      </c>
      <c r="J6158">
        <v>10</v>
      </c>
    </row>
    <row r="6159" spans="1:10" x14ac:dyDescent="0.25">
      <c r="A6159" t="s">
        <v>52</v>
      </c>
      <c r="B6159" s="1" t="str">
        <f>HYPERLINK("http://adarakaryakit.com","adarakaryakit.com")</f>
        <v>adarakaryakit.com</v>
      </c>
      <c r="C6159" t="s">
        <v>433</v>
      </c>
      <c r="J6159">
        <v>7</v>
      </c>
    </row>
    <row r="6160" spans="1:10" x14ac:dyDescent="0.25">
      <c r="A6160" t="s">
        <v>52</v>
      </c>
      <c r="B6160" s="1" t="str">
        <f>HYPERLINK("http://airbp.com","airbp.com")</f>
        <v>airbp.com</v>
      </c>
      <c r="C6160" t="s">
        <v>433</v>
      </c>
      <c r="F6160">
        <v>3.82016950779804E-8</v>
      </c>
      <c r="G6160">
        <v>1354887</v>
      </c>
      <c r="H6160">
        <v>14106416</v>
      </c>
      <c r="I6160">
        <v>2687512</v>
      </c>
      <c r="J6160">
        <v>3</v>
      </c>
    </row>
    <row r="6161" spans="1:10" x14ac:dyDescent="0.25">
      <c r="A6161" t="s">
        <v>52</v>
      </c>
      <c r="B6161" s="1" t="str">
        <f>HYPERLINK("http://airgreenland.com","airgreenland.com")</f>
        <v>airgreenland.com</v>
      </c>
      <c r="C6161" t="s">
        <v>433</v>
      </c>
      <c r="E6161">
        <v>400187</v>
      </c>
      <c r="F6161">
        <v>2.11688665579073E-7</v>
      </c>
      <c r="G6161">
        <v>178479</v>
      </c>
      <c r="H6161">
        <v>17271490</v>
      </c>
      <c r="I6161">
        <v>31172</v>
      </c>
      <c r="J6161">
        <v>14</v>
      </c>
    </row>
    <row r="6162" spans="1:10" x14ac:dyDescent="0.25">
      <c r="A6162" t="s">
        <v>52</v>
      </c>
      <c r="B6162" s="1" t="str">
        <f>HYPERLINK("http://airmenzies.com","airmenzies.com")</f>
        <v>airmenzies.com</v>
      </c>
      <c r="C6162" t="s">
        <v>433</v>
      </c>
      <c r="F6162">
        <v>2.9779066403970301E-8</v>
      </c>
      <c r="G6162">
        <v>1728209</v>
      </c>
      <c r="H6162">
        <v>12941486</v>
      </c>
      <c r="I6162">
        <v>13278875</v>
      </c>
      <c r="J6162">
        <v>8</v>
      </c>
    </row>
    <row r="6163" spans="1:10" x14ac:dyDescent="0.25">
      <c r="A6163" t="s">
        <v>52</v>
      </c>
      <c r="B6163" s="1" t="str">
        <f>HYPERLINK("http://amenziesaviation.com","amenziesaviation.com")</f>
        <v>amenziesaviation.com</v>
      </c>
      <c r="C6163" t="s">
        <v>433</v>
      </c>
      <c r="J6163">
        <v>9</v>
      </c>
    </row>
    <row r="6164" spans="1:10" x14ac:dyDescent="0.25">
      <c r="A6164" t="s">
        <v>52</v>
      </c>
      <c r="B6164" s="1" t="str">
        <f>HYPERLINK("http://amoco.com","amoco.com")</f>
        <v>amoco.com</v>
      </c>
      <c r="C6164" t="s">
        <v>433</v>
      </c>
      <c r="F6164">
        <v>4.8209061083912002E-8</v>
      </c>
      <c r="G6164">
        <v>963777</v>
      </c>
      <c r="H6164">
        <v>16952488</v>
      </c>
      <c r="I6164">
        <v>107585</v>
      </c>
      <c r="J6164">
        <v>4</v>
      </c>
    </row>
    <row r="6165" spans="1:10" x14ac:dyDescent="0.25">
      <c r="A6165" t="s">
        <v>52</v>
      </c>
      <c r="B6165" s="1" t="str">
        <f>HYPERLINK("http://apoc.com","apoc.com")</f>
        <v>apoc.com</v>
      </c>
      <c r="C6165" t="s">
        <v>433</v>
      </c>
      <c r="F6165">
        <v>3.2969206413309E-8</v>
      </c>
      <c r="G6165">
        <v>1567314</v>
      </c>
      <c r="H6165">
        <v>13824597</v>
      </c>
      <c r="I6165">
        <v>6128663</v>
      </c>
      <c r="J6165">
        <v>3</v>
      </c>
    </row>
    <row r="6166" spans="1:10" x14ac:dyDescent="0.25">
      <c r="A6166" t="s">
        <v>52</v>
      </c>
      <c r="B6166" s="1" t="str">
        <f>HYPERLINK("http://arasena.com","arasena.com")</f>
        <v>arasena.com</v>
      </c>
      <c r="C6166" t="s">
        <v>433</v>
      </c>
      <c r="J6166">
        <v>7</v>
      </c>
    </row>
    <row r="6167" spans="1:10" x14ac:dyDescent="0.25">
      <c r="A6167" t="s">
        <v>52</v>
      </c>
      <c r="B6167" s="1" t="str">
        <f>HYPERLINK("http://ariaenergy.com","ariaenergy.com")</f>
        <v>ariaenergy.com</v>
      </c>
      <c r="C6167" t="s">
        <v>433</v>
      </c>
      <c r="F6167">
        <v>1.01619540060549E-8</v>
      </c>
      <c r="G6167">
        <v>6584435</v>
      </c>
      <c r="H6167">
        <v>12780683</v>
      </c>
      <c r="I6167">
        <v>14746645</v>
      </c>
      <c r="J6167">
        <v>5</v>
      </c>
    </row>
    <row r="6168" spans="1:10" x14ac:dyDescent="0.25">
      <c r="A6168" t="s">
        <v>52</v>
      </c>
      <c r="B6168" s="1" t="str">
        <f>HYPERLINK("http://avia-international.com","avia-international.com")</f>
        <v>avia-international.com</v>
      </c>
      <c r="C6168" t="s">
        <v>433</v>
      </c>
      <c r="F6168">
        <v>7.4149458218116905E-8</v>
      </c>
      <c r="G6168">
        <v>567715</v>
      </c>
      <c r="H6168">
        <v>16925916</v>
      </c>
      <c r="I6168">
        <v>121913</v>
      </c>
      <c r="J6168">
        <v>13</v>
      </c>
    </row>
    <row r="6169" spans="1:10" x14ac:dyDescent="0.25">
      <c r="A6169" t="s">
        <v>52</v>
      </c>
      <c r="B6169" s="1" t="str">
        <f>HYPERLINK("http://bigamocosign.com","bigamocosign.com")</f>
        <v>bigamocosign.com</v>
      </c>
      <c r="C6169" t="s">
        <v>433</v>
      </c>
      <c r="F6169">
        <v>4.5368315386755397E-9</v>
      </c>
      <c r="G6169">
        <v>53707925</v>
      </c>
      <c r="H6169">
        <v>11079566</v>
      </c>
      <c r="I6169">
        <v>32487680</v>
      </c>
      <c r="J6169">
        <v>3</v>
      </c>
    </row>
    <row r="6170" spans="1:10" x14ac:dyDescent="0.25">
      <c r="A6170" t="s">
        <v>52</v>
      </c>
      <c r="B6170" s="1" t="str">
        <f>HYPERLINK("http://blueprintpower.com","blueprintpower.com")</f>
        <v>blueprintpower.com</v>
      </c>
      <c r="C6170" t="s">
        <v>433</v>
      </c>
      <c r="F6170">
        <v>2.1660336566969201E-8</v>
      </c>
      <c r="G6170">
        <v>2428741</v>
      </c>
      <c r="H6170">
        <v>13504596</v>
      </c>
      <c r="I6170">
        <v>9964502</v>
      </c>
      <c r="J6170">
        <v>3</v>
      </c>
    </row>
    <row r="6171" spans="1:10" x14ac:dyDescent="0.25">
      <c r="A6171" t="s">
        <v>52</v>
      </c>
      <c r="B6171" s="1" t="str">
        <f>HYPERLINK("http://bouts.com","bouts.com")</f>
        <v>bouts.com</v>
      </c>
      <c r="C6171" t="s">
        <v>433</v>
      </c>
      <c r="F6171">
        <v>5.7711260380526099E-9</v>
      </c>
      <c r="G6171">
        <v>18317163</v>
      </c>
      <c r="H6171">
        <v>10572321</v>
      </c>
      <c r="I6171">
        <v>46017130</v>
      </c>
      <c r="J6171">
        <v>13</v>
      </c>
    </row>
    <row r="6172" spans="1:10" x14ac:dyDescent="0.25">
      <c r="A6172" t="s">
        <v>52</v>
      </c>
      <c r="B6172" s="1" t="str">
        <f>HYPERLINK("http://bp.com","bp.com")</f>
        <v>bp.com</v>
      </c>
      <c r="C6172" t="s">
        <v>433</v>
      </c>
      <c r="E6172">
        <v>4841</v>
      </c>
      <c r="F6172">
        <v>9.7103574967015908E-6</v>
      </c>
      <c r="G6172">
        <v>3477</v>
      </c>
      <c r="H6172">
        <v>18708726</v>
      </c>
      <c r="I6172">
        <v>996</v>
      </c>
      <c r="J6172">
        <v>1</v>
      </c>
    </row>
    <row r="6173" spans="1:10" x14ac:dyDescent="0.25">
      <c r="A6173" t="s">
        <v>52</v>
      </c>
      <c r="B6173" s="1" t="str">
        <f>HYPERLINK("http://bpglobal.com","bpglobal.com")</f>
        <v>bpglobal.com</v>
      </c>
      <c r="C6173" t="s">
        <v>433</v>
      </c>
      <c r="E6173">
        <v>86758</v>
      </c>
      <c r="F6173">
        <v>2.3707315541996799E-7</v>
      </c>
      <c r="G6173">
        <v>158011</v>
      </c>
      <c r="H6173">
        <v>13955415</v>
      </c>
      <c r="I6173">
        <v>4138495</v>
      </c>
      <c r="J6173">
        <v>2</v>
      </c>
    </row>
    <row r="6174" spans="1:10" x14ac:dyDescent="0.25">
      <c r="A6174" t="s">
        <v>52</v>
      </c>
      <c r="B6174" s="1" t="str">
        <f>HYPERLINK("http://bplaunchpad.com","bplaunchpad.com")</f>
        <v>bplaunchpad.com</v>
      </c>
      <c r="C6174" t="s">
        <v>433</v>
      </c>
      <c r="F6174">
        <v>1.37136057252171E-8</v>
      </c>
      <c r="G6174">
        <v>4315773</v>
      </c>
      <c r="H6174">
        <v>12918627</v>
      </c>
      <c r="I6174">
        <v>13480151</v>
      </c>
      <c r="J6174">
        <v>3</v>
      </c>
    </row>
    <row r="6175" spans="1:10" x14ac:dyDescent="0.25">
      <c r="A6175" t="s">
        <v>52</v>
      </c>
      <c r="B6175" s="1" t="str">
        <f>HYPERLINK("http://brsm-nafta.com","brsm-nafta.com")</f>
        <v>brsm-nafta.com</v>
      </c>
      <c r="C6175" t="s">
        <v>433</v>
      </c>
      <c r="F6175">
        <v>3.7045383794032598E-8</v>
      </c>
      <c r="G6175">
        <v>1399664</v>
      </c>
      <c r="H6175">
        <v>13159598</v>
      </c>
      <c r="I6175">
        <v>11789151</v>
      </c>
      <c r="J6175">
        <v>17</v>
      </c>
    </row>
    <row r="6176" spans="1:10" x14ac:dyDescent="0.25">
      <c r="A6176" t="s">
        <v>52</v>
      </c>
      <c r="B6176" s="1" t="str">
        <f>HYPERLINK("http://carnarvonholidays.com","carnarvonholidays.com")</f>
        <v>carnarvonholidays.com</v>
      </c>
      <c r="C6176" t="s">
        <v>433</v>
      </c>
      <c r="J6176">
        <v>5</v>
      </c>
    </row>
    <row r="6177" spans="1:10" x14ac:dyDescent="0.25">
      <c r="A6177" t="s">
        <v>52</v>
      </c>
      <c r="B6177" s="1" t="str">
        <f>HYPERLINK("http://castillogrupo.com","castillogrupo.com")</f>
        <v>castillogrupo.com</v>
      </c>
      <c r="C6177" t="s">
        <v>433</v>
      </c>
      <c r="F6177">
        <v>1.1973193561047199E-8</v>
      </c>
      <c r="G6177">
        <v>5192924</v>
      </c>
      <c r="H6177">
        <v>13763787</v>
      </c>
      <c r="I6177">
        <v>7624934</v>
      </c>
      <c r="J6177">
        <v>14</v>
      </c>
    </row>
    <row r="6178" spans="1:10" x14ac:dyDescent="0.25">
      <c r="A6178" t="s">
        <v>52</v>
      </c>
      <c r="B6178" s="1" t="str">
        <f>HYPERLINK("http://castrol.com","castrol.com")</f>
        <v>castrol.com</v>
      </c>
      <c r="C6178" t="s">
        <v>433</v>
      </c>
      <c r="E6178">
        <v>22079</v>
      </c>
      <c r="F6178">
        <v>1.16183520671357E-6</v>
      </c>
      <c r="G6178">
        <v>33420</v>
      </c>
      <c r="H6178">
        <v>15283981</v>
      </c>
      <c r="I6178">
        <v>387372</v>
      </c>
      <c r="J6178">
        <v>3</v>
      </c>
    </row>
    <row r="6179" spans="1:10" x14ac:dyDescent="0.25">
      <c r="A6179" t="s">
        <v>52</v>
      </c>
      <c r="B6179" s="1" t="str">
        <f>HYPERLINK("http://cetineller.com","cetineller.com")</f>
        <v>cetineller.com</v>
      </c>
      <c r="C6179" t="s">
        <v>433</v>
      </c>
      <c r="J6179">
        <v>3</v>
      </c>
    </row>
    <row r="6180" spans="1:10" x14ac:dyDescent="0.25">
      <c r="A6180" t="s">
        <v>52</v>
      </c>
      <c r="B6180" s="1" t="str">
        <f>HYPERLINK("http://crimea.com","crimea.com")</f>
        <v>crimea.com</v>
      </c>
      <c r="C6180" t="s">
        <v>433</v>
      </c>
      <c r="E6180">
        <v>39596</v>
      </c>
      <c r="F6180">
        <v>2.3510257557376001E-7</v>
      </c>
      <c r="G6180">
        <v>159411</v>
      </c>
      <c r="H6180">
        <v>14708377</v>
      </c>
      <c r="I6180">
        <v>585219</v>
      </c>
      <c r="J6180">
        <v>20</v>
      </c>
    </row>
    <row r="6181" spans="1:10" x14ac:dyDescent="0.25">
      <c r="A6181" t="s">
        <v>52</v>
      </c>
      <c r="B6181" s="1" t="str">
        <f>HYPERLINK("http://diehoenigs.com","diehoenigs.com")</f>
        <v>diehoenigs.com</v>
      </c>
      <c r="C6181" t="s">
        <v>433</v>
      </c>
      <c r="F6181">
        <v>4.44380395335525E-9</v>
      </c>
      <c r="G6181">
        <v>81374972</v>
      </c>
      <c r="H6181">
        <v>0</v>
      </c>
      <c r="I6181">
        <v>81744626</v>
      </c>
      <c r="J6181">
        <v>14</v>
      </c>
    </row>
    <row r="6182" spans="1:10" x14ac:dyDescent="0.25">
      <c r="A6182" t="s">
        <v>52</v>
      </c>
      <c r="B6182" s="1" t="str">
        <f>HYPERLINK("http://duffyslanding.com","duffyslanding.com")</f>
        <v>duffyslanding.com</v>
      </c>
      <c r="C6182" t="s">
        <v>433</v>
      </c>
      <c r="F6182">
        <v>4.51480859688247E-9</v>
      </c>
      <c r="G6182">
        <v>56873399</v>
      </c>
      <c r="H6182">
        <v>10520142</v>
      </c>
      <c r="I6182">
        <v>49064943</v>
      </c>
      <c r="J6182">
        <v>3</v>
      </c>
    </row>
    <row r="6183" spans="1:10" x14ac:dyDescent="0.25">
      <c r="A6183" t="s">
        <v>52</v>
      </c>
      <c r="B6183" s="1" t="str">
        <f>HYPERLINK("http://elektromotive.com","elektromotive.com")</f>
        <v>elektromotive.com</v>
      </c>
      <c r="C6183" t="s">
        <v>433</v>
      </c>
      <c r="F6183">
        <v>1.44041484482092E-8</v>
      </c>
      <c r="G6183">
        <v>4055682</v>
      </c>
      <c r="H6183">
        <v>14704709</v>
      </c>
      <c r="I6183">
        <v>588185</v>
      </c>
      <c r="J6183">
        <v>3</v>
      </c>
    </row>
    <row r="6184" spans="1:10" x14ac:dyDescent="0.25">
      <c r="A6184" t="s">
        <v>52</v>
      </c>
      <c r="B6184" s="1" t="str">
        <f>HYPERLINK("http://elior.com","elior.com")</f>
        <v>elior.com</v>
      </c>
      <c r="C6184" t="s">
        <v>433</v>
      </c>
      <c r="E6184">
        <v>896063</v>
      </c>
      <c r="F6184">
        <v>1.38533598449198E-7</v>
      </c>
      <c r="G6184">
        <v>281208</v>
      </c>
      <c r="H6184">
        <v>16976174</v>
      </c>
      <c r="I6184">
        <v>99933</v>
      </c>
      <c r="J6184">
        <v>17</v>
      </c>
    </row>
    <row r="6185" spans="1:10" x14ac:dyDescent="0.25">
      <c r="A6185" t="s">
        <v>52</v>
      </c>
      <c r="B6185" s="1" t="str">
        <f>HYPERLINK("http://ellenscornersbp.com","ellenscornersbp.com")</f>
        <v>ellenscornersbp.com</v>
      </c>
      <c r="C6185" t="s">
        <v>433</v>
      </c>
      <c r="F6185">
        <v>4.9125052570771201E-9</v>
      </c>
      <c r="G6185">
        <v>32107139</v>
      </c>
      <c r="H6185">
        <v>12117592</v>
      </c>
      <c r="I6185">
        <v>25470395</v>
      </c>
      <c r="J6185">
        <v>3</v>
      </c>
    </row>
    <row r="6186" spans="1:10" x14ac:dyDescent="0.25">
      <c r="A6186" t="s">
        <v>52</v>
      </c>
      <c r="B6186" s="1" t="str">
        <f>HYPERLINK("http://embapower.com","embapower.com")</f>
        <v>embapower.com</v>
      </c>
      <c r="C6186" t="s">
        <v>433</v>
      </c>
      <c r="F6186">
        <v>6.6824788379352799E-9</v>
      </c>
      <c r="G6186">
        <v>13366469</v>
      </c>
      <c r="H6186">
        <v>13765659</v>
      </c>
      <c r="I6186">
        <v>7079863</v>
      </c>
      <c r="J6186">
        <v>5</v>
      </c>
    </row>
    <row r="6187" spans="1:10" x14ac:dyDescent="0.25">
      <c r="A6187" t="s">
        <v>52</v>
      </c>
      <c r="B6187" s="1" t="str">
        <f>HYPERLINK("http://excelsiorbp.com","excelsiorbp.com")</f>
        <v>excelsiorbp.com</v>
      </c>
      <c r="C6187" t="s">
        <v>433</v>
      </c>
      <c r="F6187">
        <v>4.44380395335525E-9</v>
      </c>
      <c r="G6187">
        <v>81586705</v>
      </c>
      <c r="H6187">
        <v>0</v>
      </c>
      <c r="I6187">
        <v>82000937</v>
      </c>
      <c r="J6187">
        <v>3</v>
      </c>
    </row>
    <row r="6188" spans="1:10" x14ac:dyDescent="0.25">
      <c r="A6188" t="s">
        <v>52</v>
      </c>
      <c r="B6188" s="1" t="str">
        <f>HYPERLINK("http://fey-energie.com","fey-energie.com")</f>
        <v>fey-energie.com</v>
      </c>
      <c r="C6188" t="s">
        <v>433</v>
      </c>
      <c r="F6188">
        <v>1.5495042150300101E-8</v>
      </c>
      <c r="G6188">
        <v>3686139</v>
      </c>
      <c r="H6188">
        <v>10239489</v>
      </c>
      <c r="I6188">
        <v>58814198</v>
      </c>
      <c r="J6188">
        <v>14</v>
      </c>
    </row>
    <row r="6189" spans="1:10" x14ac:dyDescent="0.25">
      <c r="A6189" t="s">
        <v>52</v>
      </c>
      <c r="B6189" s="1" t="str">
        <f>HYPERLINK("http://finitecarbon.com","finitecarbon.com")</f>
        <v>finitecarbon.com</v>
      </c>
      <c r="C6189" t="s">
        <v>433</v>
      </c>
      <c r="F6189">
        <v>3.5439464536557798E-8</v>
      </c>
      <c r="G6189">
        <v>1468398</v>
      </c>
      <c r="H6189">
        <v>13736559</v>
      </c>
      <c r="I6189">
        <v>9453378</v>
      </c>
      <c r="J6189">
        <v>2</v>
      </c>
    </row>
    <row r="6190" spans="1:10" x14ac:dyDescent="0.25">
      <c r="A6190" t="s">
        <v>52</v>
      </c>
      <c r="B6190" s="1" t="str">
        <f>HYPERLINK("http://flysas.com","flysas.com")</f>
        <v>flysas.com</v>
      </c>
      <c r="C6190" t="s">
        <v>433</v>
      </c>
      <c r="E6190">
        <v>24422</v>
      </c>
      <c r="F6190">
        <v>1.77025235154347E-6</v>
      </c>
      <c r="G6190">
        <v>22544</v>
      </c>
      <c r="H6190">
        <v>17738168</v>
      </c>
      <c r="I6190">
        <v>6582</v>
      </c>
      <c r="J6190">
        <v>14</v>
      </c>
    </row>
    <row r="6191" spans="1:10" x14ac:dyDescent="0.25">
      <c r="A6191" t="s">
        <v>52</v>
      </c>
      <c r="B6191" s="1" t="str">
        <f>HYPERLINK("http://gasilineriabp.com","gasilineriabp.com")</f>
        <v>gasilineriabp.com</v>
      </c>
      <c r="C6191" t="s">
        <v>433</v>
      </c>
      <c r="J6191">
        <v>3</v>
      </c>
    </row>
    <row r="6192" spans="1:10" x14ac:dyDescent="0.25">
      <c r="A6192" t="s">
        <v>52</v>
      </c>
      <c r="B6192" s="1" t="str">
        <f>HYPERLINK("http://gasoleosriomonachil.com","gasoleosriomonachil.com")</f>
        <v>gasoleosriomonachil.com</v>
      </c>
      <c r="C6192" t="s">
        <v>433</v>
      </c>
      <c r="J6192">
        <v>3</v>
      </c>
    </row>
    <row r="6193" spans="1:10" x14ac:dyDescent="0.25">
      <c r="A6193" t="s">
        <v>52</v>
      </c>
      <c r="B6193" s="1" t="str">
        <f>HYPERLINK("http://gasoleossanlazaro.com","gasoleossanlazaro.com")</f>
        <v>gasoleossanlazaro.com</v>
      </c>
      <c r="C6193" t="s">
        <v>433</v>
      </c>
      <c r="F6193">
        <v>5.7455850226704198E-9</v>
      </c>
      <c r="G6193">
        <v>18533354</v>
      </c>
      <c r="H6193">
        <v>10568206</v>
      </c>
      <c r="I6193">
        <v>46147368</v>
      </c>
      <c r="J6193">
        <v>3</v>
      </c>
    </row>
    <row r="6194" spans="1:10" x14ac:dyDescent="0.25">
      <c r="A6194" t="s">
        <v>52</v>
      </c>
      <c r="B6194" s="1" t="str">
        <f>HYPERLINK("http://gasoliinabp.com","gasoliinabp.com")</f>
        <v>gasoliinabp.com</v>
      </c>
      <c r="C6194" t="s">
        <v>433</v>
      </c>
      <c r="J6194">
        <v>3</v>
      </c>
    </row>
    <row r="6195" spans="1:10" x14ac:dyDescent="0.25">
      <c r="A6195" t="s">
        <v>52</v>
      </c>
      <c r="B6195" s="1" t="str">
        <f>HYPERLINK("http://gasolinabp.com","gasolinabp.com")</f>
        <v>gasolinabp.com</v>
      </c>
      <c r="C6195" t="s">
        <v>433</v>
      </c>
      <c r="J6195">
        <v>3</v>
      </c>
    </row>
    <row r="6196" spans="1:10" x14ac:dyDescent="0.25">
      <c r="A6196" t="s">
        <v>52</v>
      </c>
      <c r="B6196" s="1" t="str">
        <f>HYPERLINK("http://gasolinerasien.com","gasolinerasien.com")</f>
        <v>gasolinerasien.com</v>
      </c>
      <c r="C6196" t="s">
        <v>433</v>
      </c>
      <c r="F6196">
        <v>1.42947605373131E-8</v>
      </c>
      <c r="G6196">
        <v>4095200</v>
      </c>
      <c r="H6196">
        <v>9431822</v>
      </c>
      <c r="I6196">
        <v>66793227</v>
      </c>
      <c r="J6196">
        <v>14</v>
      </c>
    </row>
    <row r="6197" spans="1:10" x14ac:dyDescent="0.25">
      <c r="A6197" t="s">
        <v>52</v>
      </c>
      <c r="B6197" s="1" t="str">
        <f>HYPERLINK("http://gilmond.com","gilmond.com")</f>
        <v>gilmond.com</v>
      </c>
      <c r="C6197" t="s">
        <v>433</v>
      </c>
      <c r="F6197">
        <v>5.0338503161788604E-9</v>
      </c>
      <c r="G6197">
        <v>28581045</v>
      </c>
      <c r="H6197">
        <v>12264957</v>
      </c>
      <c r="I6197">
        <v>21637583</v>
      </c>
      <c r="J6197">
        <v>5</v>
      </c>
    </row>
    <row r="6198" spans="1:10" x14ac:dyDescent="0.25">
      <c r="A6198" t="s">
        <v>52</v>
      </c>
      <c r="B6198" s="1" t="str">
        <f>HYPERLINK("http://gototrio.com","gototrio.com")</f>
        <v>gototrio.com</v>
      </c>
      <c r="C6198" t="s">
        <v>433</v>
      </c>
      <c r="F6198">
        <v>4.6335880632223503E-9</v>
      </c>
      <c r="G6198">
        <v>45190822</v>
      </c>
      <c r="H6198">
        <v>10570285</v>
      </c>
      <c r="I6198">
        <v>46081416</v>
      </c>
      <c r="J6198">
        <v>3</v>
      </c>
    </row>
    <row r="6199" spans="1:10" x14ac:dyDescent="0.25">
      <c r="A6199" t="s">
        <v>52</v>
      </c>
      <c r="B6199" s="1" t="str">
        <f>HYPERLINK("http://greenland.com","greenland.com")</f>
        <v>greenland.com</v>
      </c>
      <c r="C6199" t="s">
        <v>433</v>
      </c>
      <c r="E6199">
        <v>410414</v>
      </c>
      <c r="F6199">
        <v>1.4898798182110799E-7</v>
      </c>
      <c r="G6199">
        <v>260846</v>
      </c>
      <c r="H6199">
        <v>14948476</v>
      </c>
      <c r="I6199">
        <v>440997</v>
      </c>
      <c r="J6199">
        <v>17</v>
      </c>
    </row>
    <row r="6200" spans="1:10" x14ac:dyDescent="0.25">
      <c r="A6200" t="s">
        <v>52</v>
      </c>
      <c r="B6200" s="1" t="str">
        <f>HYPERLINK("http://h2-view.com","h2-view.com")</f>
        <v>h2-view.com</v>
      </c>
      <c r="C6200" t="s">
        <v>433</v>
      </c>
      <c r="E6200">
        <v>312171</v>
      </c>
      <c r="F6200">
        <v>2.37261104350963E-7</v>
      </c>
      <c r="G6200">
        <v>157877</v>
      </c>
      <c r="H6200">
        <v>17131176</v>
      </c>
      <c r="I6200">
        <v>56487</v>
      </c>
      <c r="J6200">
        <v>3</v>
      </c>
    </row>
    <row r="6201" spans="1:10" x14ac:dyDescent="0.25">
      <c r="A6201" t="s">
        <v>52</v>
      </c>
      <c r="B6201" s="1" t="str">
        <f>HYPERLINK("http://hotelarctic.com","hotelarctic.com")</f>
        <v>hotelarctic.com</v>
      </c>
      <c r="C6201" t="s">
        <v>433</v>
      </c>
      <c r="F6201">
        <v>2.8935113232427201E-8</v>
      </c>
      <c r="G6201">
        <v>1779163</v>
      </c>
      <c r="H6201">
        <v>13953376</v>
      </c>
      <c r="I6201">
        <v>4150864</v>
      </c>
      <c r="J6201">
        <v>15</v>
      </c>
    </row>
    <row r="6202" spans="1:10" x14ac:dyDescent="0.25">
      <c r="A6202" t="s">
        <v>52</v>
      </c>
      <c r="B6202" s="1" t="str">
        <f>HYPERLINK("http://ilzhoefer.com","ilzhoefer.com")</f>
        <v>ilzhoefer.com</v>
      </c>
      <c r="C6202" t="s">
        <v>433</v>
      </c>
      <c r="F6202">
        <v>8.7458509801198007E-9</v>
      </c>
      <c r="G6202">
        <v>8399936</v>
      </c>
      <c r="H6202">
        <v>12235198</v>
      </c>
      <c r="I6202">
        <v>22369484</v>
      </c>
      <c r="J6202">
        <v>14</v>
      </c>
    </row>
    <row r="6203" spans="1:10" x14ac:dyDescent="0.25">
      <c r="A6203" t="s">
        <v>52</v>
      </c>
      <c r="B6203" s="1" t="str">
        <f>HYPERLINK("http://johnmenziesplc.com","johnmenziesplc.com")</f>
        <v>johnmenziesplc.com</v>
      </c>
      <c r="C6203" t="s">
        <v>433</v>
      </c>
      <c r="F6203">
        <v>1.9513634907489399E-8</v>
      </c>
      <c r="G6203">
        <v>2742298</v>
      </c>
      <c r="H6203">
        <v>14500692</v>
      </c>
      <c r="I6203">
        <v>852386</v>
      </c>
      <c r="J6203">
        <v>8</v>
      </c>
    </row>
    <row r="6204" spans="1:10" x14ac:dyDescent="0.25">
      <c r="A6204" t="s">
        <v>52</v>
      </c>
      <c r="B6204" s="1" t="str">
        <f>HYPERLINK("http://kepezler.com","kepezler.com")</f>
        <v>kepezler.com</v>
      </c>
      <c r="C6204" t="s">
        <v>433</v>
      </c>
      <c r="F6204">
        <v>4.44380395335525E-9</v>
      </c>
      <c r="G6204">
        <v>82277513</v>
      </c>
      <c r="H6204">
        <v>0</v>
      </c>
      <c r="I6204">
        <v>82852624</v>
      </c>
      <c r="J6204">
        <v>7</v>
      </c>
    </row>
    <row r="6205" spans="1:10" x14ac:dyDescent="0.25">
      <c r="A6205" t="s">
        <v>52</v>
      </c>
      <c r="B6205" s="1" t="str">
        <f>HYPERLINK("http://knpc.com","knpc.com")</f>
        <v>knpc.com</v>
      </c>
      <c r="C6205" t="s">
        <v>433</v>
      </c>
      <c r="E6205">
        <v>290107</v>
      </c>
      <c r="F6205">
        <v>6.0343609420936E-8</v>
      </c>
      <c r="G6205">
        <v>730896</v>
      </c>
      <c r="H6205">
        <v>14342771</v>
      </c>
      <c r="I6205">
        <v>1314408</v>
      </c>
      <c r="J6205">
        <v>13</v>
      </c>
    </row>
    <row r="6206" spans="1:10" x14ac:dyDescent="0.25">
      <c r="A6206" t="s">
        <v>52</v>
      </c>
      <c r="B6206" s="1" t="str">
        <f>HYPERLINK("http://lightsource-re.com","lightsource-re.com")</f>
        <v>lightsource-re.com</v>
      </c>
      <c r="C6206" t="s">
        <v>433</v>
      </c>
      <c r="F6206">
        <v>7.5915399401996394E-9</v>
      </c>
      <c r="G6206">
        <v>10812653</v>
      </c>
      <c r="H6206">
        <v>13768589</v>
      </c>
      <c r="I6206">
        <v>6866264</v>
      </c>
      <c r="J6206">
        <v>8</v>
      </c>
    </row>
    <row r="6207" spans="1:10" x14ac:dyDescent="0.25">
      <c r="A6207" t="s">
        <v>52</v>
      </c>
      <c r="B6207" s="1" t="str">
        <f>HYPERLINK("http://lightsourcebp.com","lightsourcebp.com")</f>
        <v>lightsourcebp.com</v>
      </c>
      <c r="C6207" t="s">
        <v>433</v>
      </c>
      <c r="E6207">
        <v>468879</v>
      </c>
      <c r="F6207">
        <v>1.73704085161345E-7</v>
      </c>
      <c r="G6207">
        <v>223273</v>
      </c>
      <c r="H6207">
        <v>14568458</v>
      </c>
      <c r="I6207">
        <v>737348</v>
      </c>
      <c r="J6207">
        <v>5</v>
      </c>
    </row>
    <row r="6208" spans="1:10" x14ac:dyDescent="0.25">
      <c r="A6208" t="s">
        <v>52</v>
      </c>
      <c r="B6208" s="1" t="str">
        <f>HYPERLINK("http://maier-ohg.com","maier-ohg.com")</f>
        <v>maier-ohg.com</v>
      </c>
      <c r="C6208" t="s">
        <v>433</v>
      </c>
      <c r="J6208">
        <v>18</v>
      </c>
    </row>
    <row r="6209" spans="1:10" x14ac:dyDescent="0.25">
      <c r="A6209" t="s">
        <v>52</v>
      </c>
      <c r="B6209" s="1" t="str">
        <f>HYPERLINK("http://menziesaviation.com","menziesaviation.com")</f>
        <v>menziesaviation.com</v>
      </c>
      <c r="C6209" t="s">
        <v>433</v>
      </c>
      <c r="E6209">
        <v>384324</v>
      </c>
      <c r="F6209">
        <v>1.5834671961533399E-7</v>
      </c>
      <c r="G6209">
        <v>245179</v>
      </c>
      <c r="H6209">
        <v>14904528</v>
      </c>
      <c r="I6209">
        <v>461074</v>
      </c>
      <c r="J6209">
        <v>7</v>
      </c>
    </row>
    <row r="6210" spans="1:10" x14ac:dyDescent="0.25">
      <c r="A6210" t="s">
        <v>52</v>
      </c>
      <c r="B6210" s="1" t="str">
        <f>HYPERLINK("http://mybpstation.com","mybpstation.com")</f>
        <v>mybpstation.com</v>
      </c>
      <c r="C6210" t="s">
        <v>433</v>
      </c>
      <c r="F6210">
        <v>6.86156812653083E-8</v>
      </c>
      <c r="G6210">
        <v>620144</v>
      </c>
      <c r="H6210">
        <v>14202022</v>
      </c>
      <c r="I6210">
        <v>1719253</v>
      </c>
      <c r="J6210">
        <v>3</v>
      </c>
    </row>
    <row r="6211" spans="1:10" x14ac:dyDescent="0.25">
      <c r="A6211" t="s">
        <v>52</v>
      </c>
      <c r="B6211" s="1" t="str">
        <f>HYPERLINK("http://myduchess.com","myduchess.com")</f>
        <v>myduchess.com</v>
      </c>
      <c r="C6211" t="s">
        <v>433</v>
      </c>
      <c r="F6211">
        <v>2.0533826449241901E-8</v>
      </c>
      <c r="G6211">
        <v>2579984</v>
      </c>
      <c r="H6211">
        <v>12881060</v>
      </c>
      <c r="I6211">
        <v>13994881</v>
      </c>
      <c r="J6211">
        <v>4</v>
      </c>
    </row>
    <row r="6212" spans="1:10" x14ac:dyDescent="0.25">
      <c r="A6212" t="s">
        <v>52</v>
      </c>
      <c r="B6212" s="1" t="str">
        <f>HYPERLINK("http://mythorntons.com","mythorntons.com")</f>
        <v>mythorntons.com</v>
      </c>
      <c r="C6212" t="s">
        <v>433</v>
      </c>
      <c r="F6212">
        <v>4.2283521962818201E-8</v>
      </c>
      <c r="G6212">
        <v>1150726</v>
      </c>
      <c r="H6212">
        <v>13833469</v>
      </c>
      <c r="I6212">
        <v>6098817</v>
      </c>
      <c r="J6212">
        <v>4</v>
      </c>
    </row>
    <row r="6213" spans="1:10" x14ac:dyDescent="0.25">
      <c r="A6213" t="s">
        <v>52</v>
      </c>
      <c r="B6213" s="1" t="str">
        <f>HYPERLINK("http://naftogaz.com","naftogaz.com")</f>
        <v>naftogaz.com</v>
      </c>
      <c r="C6213" t="s">
        <v>433</v>
      </c>
      <c r="E6213">
        <v>234044</v>
      </c>
      <c r="F6213">
        <v>2.8572156925653798E-7</v>
      </c>
      <c r="G6213">
        <v>130076</v>
      </c>
      <c r="H6213">
        <v>14796396</v>
      </c>
      <c r="I6213">
        <v>549282</v>
      </c>
      <c r="J6213">
        <v>18</v>
      </c>
    </row>
    <row r="6214" spans="1:10" x14ac:dyDescent="0.25">
      <c r="A6214" t="s">
        <v>52</v>
      </c>
      <c r="B6214" s="1" t="str">
        <f>HYPERLINK("http://naftogaz-europe.com","naftogaz-europe.com")</f>
        <v>naftogaz-europe.com</v>
      </c>
      <c r="C6214" t="s">
        <v>433</v>
      </c>
      <c r="F6214">
        <v>1.6330549738036199E-8</v>
      </c>
      <c r="G6214">
        <v>3463326</v>
      </c>
      <c r="H6214">
        <v>14405921</v>
      </c>
      <c r="I6214">
        <v>1148918</v>
      </c>
      <c r="J6214">
        <v>20</v>
      </c>
    </row>
    <row r="6215" spans="1:10" x14ac:dyDescent="0.25">
      <c r="A6215" t="s">
        <v>52</v>
      </c>
      <c r="B6215" s="1" t="str">
        <f>HYPERLINK("http://norpetrol.com","norpetrol.com")</f>
        <v>norpetrol.com</v>
      </c>
      <c r="C6215" t="s">
        <v>433</v>
      </c>
      <c r="F6215">
        <v>4.5193439485645702E-8</v>
      </c>
      <c r="G6215">
        <v>1043751</v>
      </c>
      <c r="H6215">
        <v>16868550</v>
      </c>
      <c r="I6215">
        <v>151107</v>
      </c>
      <c r="J6215">
        <v>14</v>
      </c>
    </row>
    <row r="6216" spans="1:10" x14ac:dyDescent="0.25">
      <c r="A6216" t="s">
        <v>52</v>
      </c>
      <c r="B6216" s="1" t="str">
        <f>HYPERLINK("http://onyxinsight.com","onyxinsight.com")</f>
        <v>onyxinsight.com</v>
      </c>
      <c r="C6216" t="s">
        <v>433</v>
      </c>
      <c r="F6216">
        <v>2.8064166990998402E-8</v>
      </c>
      <c r="G6216">
        <v>1833298</v>
      </c>
      <c r="H6216">
        <v>13314419</v>
      </c>
      <c r="I6216">
        <v>10764078</v>
      </c>
      <c r="J6216">
        <v>2</v>
      </c>
    </row>
    <row r="6217" spans="1:10" x14ac:dyDescent="0.25">
      <c r="A6217" t="s">
        <v>52</v>
      </c>
      <c r="B6217" s="1" t="str">
        <f>HYPERLINK("http://pacifichydro.com","pacifichydro.com")</f>
        <v>pacifichydro.com</v>
      </c>
      <c r="C6217" t="s">
        <v>433</v>
      </c>
      <c r="F6217">
        <v>2.2648672268033602E-8</v>
      </c>
      <c r="G6217">
        <v>2312244</v>
      </c>
      <c r="H6217">
        <v>13934331</v>
      </c>
      <c r="I6217">
        <v>4607085</v>
      </c>
      <c r="J6217">
        <v>10</v>
      </c>
    </row>
    <row r="6218" spans="1:10" x14ac:dyDescent="0.25">
      <c r="A6218" t="s">
        <v>52</v>
      </c>
      <c r="B6218" s="1" t="str">
        <f>HYPERLINK("http://pakbd.com","pakbd.com")</f>
        <v>pakbd.com</v>
      </c>
      <c r="C6218" t="s">
        <v>433</v>
      </c>
      <c r="F6218">
        <v>9.2812268525337295E-9</v>
      </c>
      <c r="G6218">
        <v>7597020</v>
      </c>
      <c r="H6218">
        <v>14071961</v>
      </c>
      <c r="I6218">
        <v>3214116</v>
      </c>
      <c r="J6218">
        <v>3</v>
      </c>
    </row>
    <row r="6219" spans="1:10" x14ac:dyDescent="0.25">
      <c r="A6219" t="s">
        <v>52</v>
      </c>
      <c r="B6219" s="1" t="str">
        <f>HYPERLINK("http://panosasia.com","panosasia.com")</f>
        <v>panosasia.com</v>
      </c>
      <c r="C6219" t="s">
        <v>433</v>
      </c>
      <c r="F6219">
        <v>6.1098159888227003E-9</v>
      </c>
      <c r="G6219">
        <v>16038110</v>
      </c>
      <c r="H6219">
        <v>12456339</v>
      </c>
      <c r="I6219">
        <v>17920131</v>
      </c>
      <c r="J6219">
        <v>14</v>
      </c>
    </row>
    <row r="6220" spans="1:10" x14ac:dyDescent="0.25">
      <c r="A6220" t="s">
        <v>52</v>
      </c>
      <c r="B6220" s="1" t="str">
        <f>HYPERLINK("http://pas-technologies.com","pas-technologies.com")</f>
        <v>pas-technologies.com</v>
      </c>
      <c r="C6220" t="s">
        <v>433</v>
      </c>
      <c r="F6220">
        <v>1.0367544302190101E-8</v>
      </c>
      <c r="G6220">
        <v>6388415</v>
      </c>
      <c r="H6220">
        <v>13774216</v>
      </c>
      <c r="I6220">
        <v>6611986</v>
      </c>
      <c r="J6220">
        <v>23</v>
      </c>
    </row>
    <row r="6221" spans="1:10" x14ac:dyDescent="0.25">
      <c r="A6221" t="s">
        <v>52</v>
      </c>
      <c r="B6221" s="1" t="str">
        <f>HYPERLINK("http://propenor.com","propenor.com")</f>
        <v>propenor.com</v>
      </c>
      <c r="C6221" t="s">
        <v>433</v>
      </c>
      <c r="F6221">
        <v>4.9337889678487703E-9</v>
      </c>
      <c r="G6221">
        <v>31270416</v>
      </c>
      <c r="H6221">
        <v>12213560</v>
      </c>
      <c r="I6221">
        <v>22938127</v>
      </c>
      <c r="J6221">
        <v>14</v>
      </c>
    </row>
    <row r="6222" spans="1:10" x14ac:dyDescent="0.25">
      <c r="A6222" t="s">
        <v>52</v>
      </c>
      <c r="B6222" s="1" t="str">
        <f>HYPERLINK("http://q8.com","q8.com")</f>
        <v>q8.com</v>
      </c>
      <c r="C6222" t="s">
        <v>433</v>
      </c>
      <c r="E6222">
        <v>191553</v>
      </c>
      <c r="F6222">
        <v>7.8472205103103701E-8</v>
      </c>
      <c r="G6222">
        <v>532792</v>
      </c>
      <c r="H6222">
        <v>14268729</v>
      </c>
      <c r="I6222">
        <v>1403116</v>
      </c>
      <c r="J6222">
        <v>9</v>
      </c>
    </row>
    <row r="6223" spans="1:10" x14ac:dyDescent="0.25">
      <c r="A6223" t="s">
        <v>52</v>
      </c>
      <c r="B6223" s="1" t="str">
        <f>HYPERLINK("http://q8oils.com","q8oils.com")</f>
        <v>q8oils.com</v>
      </c>
      <c r="C6223" t="s">
        <v>433</v>
      </c>
      <c r="E6223">
        <v>903463</v>
      </c>
      <c r="F6223">
        <v>6.7819572604111194E-8</v>
      </c>
      <c r="G6223">
        <v>629584</v>
      </c>
      <c r="H6223">
        <v>13609503</v>
      </c>
      <c r="I6223">
        <v>9637183</v>
      </c>
      <c r="J6223">
        <v>10</v>
      </c>
    </row>
    <row r="6224" spans="1:10" x14ac:dyDescent="0.25">
      <c r="A6224" t="s">
        <v>52</v>
      </c>
      <c r="B6224" s="1" t="str">
        <f>HYPERLINK("http://reciteme.com","reciteme.com")</f>
        <v>reciteme.com</v>
      </c>
      <c r="C6224" t="s">
        <v>433</v>
      </c>
      <c r="E6224">
        <v>152945</v>
      </c>
      <c r="F6224">
        <v>1.85200894890507E-7</v>
      </c>
      <c r="G6224">
        <v>208096</v>
      </c>
      <c r="H6224">
        <v>14510953</v>
      </c>
      <c r="I6224">
        <v>822535</v>
      </c>
      <c r="J6224">
        <v>4</v>
      </c>
    </row>
    <row r="6225" spans="1:10" x14ac:dyDescent="0.25">
      <c r="A6225" t="s">
        <v>52</v>
      </c>
      <c r="B6225" s="1" t="str">
        <f>HYPERLINK("http://royalarcticline.com","royalarcticline.com")</f>
        <v>royalarcticline.com</v>
      </c>
      <c r="C6225" t="s">
        <v>433</v>
      </c>
      <c r="F6225">
        <v>2.9840947567623197E-8</v>
      </c>
      <c r="G6225">
        <v>1724720</v>
      </c>
      <c r="H6225">
        <v>13863536</v>
      </c>
      <c r="I6225">
        <v>6014553</v>
      </c>
      <c r="J6225">
        <v>19</v>
      </c>
    </row>
    <row r="6226" spans="1:10" x14ac:dyDescent="0.25">
      <c r="A6226" t="s">
        <v>52</v>
      </c>
      <c r="B6226" s="1" t="str">
        <f>HYPERLINK("http://sanifair.com","sanifair.com")</f>
        <v>sanifair.com</v>
      </c>
      <c r="C6226" t="s">
        <v>433</v>
      </c>
      <c r="F6226">
        <v>1.1207482269187099E-8</v>
      </c>
      <c r="G6226">
        <v>5707888</v>
      </c>
      <c r="H6226">
        <v>10440430</v>
      </c>
      <c r="I6226">
        <v>52431788</v>
      </c>
      <c r="J6226">
        <v>9</v>
      </c>
    </row>
    <row r="6227" spans="1:10" x14ac:dyDescent="0.25">
      <c r="A6227" t="s">
        <v>52</v>
      </c>
      <c r="B6227" s="1" t="str">
        <f>HYPERLINK("http://sascargo.com","sascargo.com")</f>
        <v>sascargo.com</v>
      </c>
      <c r="C6227" t="s">
        <v>433</v>
      </c>
      <c r="E6227">
        <v>511456</v>
      </c>
      <c r="F6227">
        <v>5.1958827121144303E-8</v>
      </c>
      <c r="G6227">
        <v>878975</v>
      </c>
      <c r="H6227">
        <v>14425381</v>
      </c>
      <c r="I6227">
        <v>1080323</v>
      </c>
      <c r="J6227">
        <v>15</v>
      </c>
    </row>
    <row r="6228" spans="1:10" x14ac:dyDescent="0.25">
      <c r="A6228" t="s">
        <v>52</v>
      </c>
      <c r="B6228" s="1" t="str">
        <f>HYPERLINK("http://sasground.com","sasground.com")</f>
        <v>sasground.com</v>
      </c>
      <c r="C6228" t="s">
        <v>433</v>
      </c>
      <c r="F6228">
        <v>4.9289732623814201E-9</v>
      </c>
      <c r="G6228">
        <v>31409287</v>
      </c>
      <c r="H6228">
        <v>14071789</v>
      </c>
      <c r="I6228">
        <v>3605357</v>
      </c>
      <c r="J6228">
        <v>10</v>
      </c>
    </row>
    <row r="6229" spans="1:10" x14ac:dyDescent="0.25">
      <c r="A6229" t="s">
        <v>52</v>
      </c>
      <c r="B6229" s="1" t="str">
        <f>HYPERLINK("http://scandinaviantraveler.com","scandinaviantraveler.com")</f>
        <v>scandinaviantraveler.com</v>
      </c>
      <c r="C6229" t="s">
        <v>433</v>
      </c>
      <c r="E6229">
        <v>437567</v>
      </c>
      <c r="F6229">
        <v>1.1336712770352699E-7</v>
      </c>
      <c r="G6229">
        <v>352099</v>
      </c>
      <c r="H6229">
        <v>14868093</v>
      </c>
      <c r="I6229">
        <v>480266</v>
      </c>
      <c r="J6229">
        <v>15</v>
      </c>
    </row>
    <row r="6230" spans="1:10" x14ac:dyDescent="0.25">
      <c r="A6230" t="s">
        <v>52</v>
      </c>
      <c r="B6230" s="1" t="str">
        <f>HYPERLINK("http://shanghaipower.com","shanghaipower.com")</f>
        <v>shanghaipower.com</v>
      </c>
      <c r="C6230" t="s">
        <v>433</v>
      </c>
      <c r="F6230">
        <v>4.3412397556988302E-8</v>
      </c>
      <c r="G6230">
        <v>1102693</v>
      </c>
      <c r="H6230">
        <v>13808394</v>
      </c>
      <c r="I6230">
        <v>6222166</v>
      </c>
      <c r="J6230">
        <v>5</v>
      </c>
    </row>
    <row r="6231" spans="1:10" x14ac:dyDescent="0.25">
      <c r="A6231" t="s">
        <v>52</v>
      </c>
      <c r="B6231" s="1" t="str">
        <f>HYPERLINK("http://signatureaviation.com","signatureaviation.com")</f>
        <v>signatureaviation.com</v>
      </c>
      <c r="C6231" t="s">
        <v>433</v>
      </c>
      <c r="F6231">
        <v>3.56516597812106E-8</v>
      </c>
      <c r="G6231">
        <v>1460921</v>
      </c>
      <c r="H6231">
        <v>14246779</v>
      </c>
      <c r="I6231">
        <v>1460106</v>
      </c>
      <c r="J6231">
        <v>14</v>
      </c>
    </row>
    <row r="6232" spans="1:10" x14ac:dyDescent="0.25">
      <c r="A6232" t="s">
        <v>52</v>
      </c>
      <c r="B6232" s="1" t="str">
        <f>HYPERLINK("http://signatureflight.com","signatureflight.com")</f>
        <v>signatureflight.com</v>
      </c>
      <c r="C6232" t="s">
        <v>433</v>
      </c>
      <c r="E6232">
        <v>186246</v>
      </c>
      <c r="F6232">
        <v>3.4697283858288701E-7</v>
      </c>
      <c r="G6232">
        <v>107672</v>
      </c>
      <c r="H6232">
        <v>17168988</v>
      </c>
      <c r="I6232">
        <v>47908</v>
      </c>
      <c r="J6232">
        <v>14</v>
      </c>
    </row>
    <row r="6233" spans="1:10" x14ac:dyDescent="0.25">
      <c r="A6233" t="s">
        <v>52</v>
      </c>
      <c r="B6233" s="1" t="str">
        <f>HYPERLINK("http://sparta-crimea.com","sparta-crimea.com")</f>
        <v>sparta-crimea.com</v>
      </c>
      <c r="C6233" t="s">
        <v>433</v>
      </c>
      <c r="F6233">
        <v>6.7105469314964999E-9</v>
      </c>
      <c r="G6233">
        <v>13266253</v>
      </c>
      <c r="H6233">
        <v>10357422</v>
      </c>
      <c r="I6233">
        <v>55583761</v>
      </c>
      <c r="J6233">
        <v>22</v>
      </c>
    </row>
    <row r="6234" spans="1:10" x14ac:dyDescent="0.25">
      <c r="A6234" t="s">
        <v>52</v>
      </c>
      <c r="B6234" s="1" t="str">
        <f>HYPERLINK("http://standardaero.com","standardaero.com")</f>
        <v>standardaero.com</v>
      </c>
      <c r="C6234" t="s">
        <v>433</v>
      </c>
      <c r="E6234">
        <v>79203</v>
      </c>
      <c r="F6234">
        <v>1.68069146423726E-7</v>
      </c>
      <c r="G6234">
        <v>230866</v>
      </c>
      <c r="H6234">
        <v>14539562</v>
      </c>
      <c r="I6234">
        <v>776254</v>
      </c>
      <c r="J6234">
        <v>20</v>
      </c>
    </row>
    <row r="6235" spans="1:10" x14ac:dyDescent="0.25">
      <c r="A6235" t="s">
        <v>52</v>
      </c>
      <c r="B6235" s="1" t="str">
        <f>HYPERLINK("http://statoilaviation.com","statoilaviation.com")</f>
        <v>statoilaviation.com</v>
      </c>
      <c r="C6235" t="s">
        <v>433</v>
      </c>
      <c r="F6235">
        <v>5.4164647226838E-9</v>
      </c>
      <c r="G6235">
        <v>21904489</v>
      </c>
      <c r="H6235">
        <v>14121131</v>
      </c>
      <c r="I6235">
        <v>2276290</v>
      </c>
      <c r="J6235">
        <v>3</v>
      </c>
    </row>
    <row r="6236" spans="1:10" x14ac:dyDescent="0.25">
      <c r="A6236" t="s">
        <v>52</v>
      </c>
      <c r="B6236" s="1" t="str">
        <f>HYPERLINK("http://tamoil.com","tamoil.com")</f>
        <v>tamoil.com</v>
      </c>
      <c r="C6236" t="s">
        <v>433</v>
      </c>
      <c r="F6236">
        <v>1.05024199279184E-8</v>
      </c>
      <c r="G6236">
        <v>6267370</v>
      </c>
      <c r="H6236">
        <v>14075716</v>
      </c>
      <c r="I6236">
        <v>2902344</v>
      </c>
      <c r="J6236">
        <v>9</v>
      </c>
    </row>
    <row r="6237" spans="1:10" x14ac:dyDescent="0.25">
      <c r="A6237" t="s">
        <v>52</v>
      </c>
      <c r="B6237" s="1" t="str">
        <f>HYPERLINK("http://technicair.com","technicair.com")</f>
        <v>technicair.com</v>
      </c>
      <c r="C6237" t="s">
        <v>433</v>
      </c>
      <c r="F6237">
        <v>2.6295549729122101E-8</v>
      </c>
      <c r="G6237">
        <v>1958323</v>
      </c>
      <c r="H6237">
        <v>13070701</v>
      </c>
      <c r="I6237">
        <v>12243693</v>
      </c>
      <c r="J6237">
        <v>17</v>
      </c>
    </row>
    <row r="6238" spans="1:10" x14ac:dyDescent="0.25">
      <c r="A6238" t="s">
        <v>52</v>
      </c>
      <c r="B6238" s="1" t="str">
        <f>HYPERLINK("http://thecapetavern.com","thecapetavern.com")</f>
        <v>thecapetavern.com</v>
      </c>
      <c r="C6238" t="s">
        <v>433</v>
      </c>
      <c r="F6238">
        <v>4.9053764768944301E-9</v>
      </c>
      <c r="G6238">
        <v>32312640</v>
      </c>
      <c r="H6238">
        <v>6896039.5</v>
      </c>
      <c r="I6238">
        <v>77146688</v>
      </c>
      <c r="J6238">
        <v>5</v>
      </c>
    </row>
    <row r="6239" spans="1:10" x14ac:dyDescent="0.25">
      <c r="A6239" t="s">
        <v>52</v>
      </c>
      <c r="B6239" s="1" t="str">
        <f>HYPERLINK("http://thorntonsinc.com","thorntonsinc.com")</f>
        <v>thorntonsinc.com</v>
      </c>
      <c r="C6239" t="s">
        <v>433</v>
      </c>
      <c r="F6239">
        <v>2.68343934596696E-8</v>
      </c>
      <c r="G6239">
        <v>1917033</v>
      </c>
      <c r="H6239">
        <v>14209797</v>
      </c>
      <c r="I6239">
        <v>1704495</v>
      </c>
      <c r="J6239">
        <v>3</v>
      </c>
    </row>
    <row r="6240" spans="1:10" x14ac:dyDescent="0.25">
      <c r="A6240" t="s">
        <v>52</v>
      </c>
      <c r="B6240" s="1" t="str">
        <f>HYPERLINK("http://thortonsinc.com","thortonsinc.com")</f>
        <v>thortonsinc.com</v>
      </c>
      <c r="C6240" t="s">
        <v>433</v>
      </c>
      <c r="F6240">
        <v>4.4725407423031702E-9</v>
      </c>
      <c r="G6240">
        <v>63952742</v>
      </c>
      <c r="H6240">
        <v>6926255.5</v>
      </c>
      <c r="I6240">
        <v>77140574</v>
      </c>
      <c r="J6240">
        <v>5</v>
      </c>
    </row>
    <row r="6241" spans="1:10" x14ac:dyDescent="0.25">
      <c r="A6241" t="s">
        <v>52</v>
      </c>
      <c r="B6241" s="1" t="str">
        <f>HYPERLINK("http://timberlineenergy.com","timberlineenergy.com")</f>
        <v>timberlineenergy.com</v>
      </c>
      <c r="C6241" t="s">
        <v>433</v>
      </c>
      <c r="J6241">
        <v>3</v>
      </c>
    </row>
    <row r="6242" spans="1:10" x14ac:dyDescent="0.25">
      <c r="A6242" t="s">
        <v>52</v>
      </c>
      <c r="B6242" s="1" t="str">
        <f>HYPERLINK("http://torresytorres.com","torresytorres.com")</f>
        <v>torresytorres.com</v>
      </c>
      <c r="C6242" t="s">
        <v>433</v>
      </c>
      <c r="F6242">
        <v>4.7155817129318304E-9</v>
      </c>
      <c r="G6242">
        <v>40432636</v>
      </c>
      <c r="H6242">
        <v>10697212</v>
      </c>
      <c r="I6242">
        <v>42365412</v>
      </c>
      <c r="J6242">
        <v>6</v>
      </c>
    </row>
    <row r="6243" spans="1:10" x14ac:dyDescent="0.25">
      <c r="A6243" t="s">
        <v>52</v>
      </c>
      <c r="B6243" s="1" t="str">
        <f>HYPERLINK("http://trafineo.com","trafineo.com")</f>
        <v>trafineo.com</v>
      </c>
      <c r="C6243" t="s">
        <v>433</v>
      </c>
      <c r="F6243">
        <v>1.8803530358210601E-8</v>
      </c>
      <c r="G6243">
        <v>2870883</v>
      </c>
      <c r="H6243">
        <v>12304587</v>
      </c>
      <c r="I6243">
        <v>20742240</v>
      </c>
      <c r="J6243">
        <v>5</v>
      </c>
    </row>
    <row r="6244" spans="1:10" x14ac:dyDescent="0.25">
      <c r="A6244" t="s">
        <v>52</v>
      </c>
      <c r="B6244" s="1" t="str">
        <f>HYPERLINK("http://ukrnafta.com","ukrnafta.com")</f>
        <v>ukrnafta.com</v>
      </c>
      <c r="C6244" t="s">
        <v>433</v>
      </c>
      <c r="F6244">
        <v>5.1104349443659302E-8</v>
      </c>
      <c r="G6244">
        <v>896672</v>
      </c>
      <c r="H6244">
        <v>14508279</v>
      </c>
      <c r="I6244">
        <v>828789</v>
      </c>
      <c r="J6244">
        <v>19</v>
      </c>
    </row>
    <row r="6245" spans="1:10" x14ac:dyDescent="0.25">
      <c r="A6245" t="s">
        <v>52</v>
      </c>
      <c r="B6245" s="1" t="str">
        <f>HYPERLINK("http://ukrtatnafta.com","ukrtatnafta.com")</f>
        <v>ukrtatnafta.com</v>
      </c>
      <c r="C6245" t="s">
        <v>433</v>
      </c>
      <c r="F6245">
        <v>1.9130223054319E-8</v>
      </c>
      <c r="G6245">
        <v>2810705</v>
      </c>
      <c r="H6245">
        <v>14379493</v>
      </c>
      <c r="I6245">
        <v>1198804</v>
      </c>
      <c r="J6245">
        <v>24</v>
      </c>
    </row>
    <row r="6246" spans="1:10" x14ac:dyDescent="0.25">
      <c r="A6246" t="s">
        <v>52</v>
      </c>
      <c r="B6246" s="1" t="str">
        <f>HYPERLINK("http://ultra-petrol.com","ultra-petrol.com")</f>
        <v>ultra-petrol.com</v>
      </c>
      <c r="C6246" t="s">
        <v>433</v>
      </c>
      <c r="J6246">
        <v>14</v>
      </c>
    </row>
    <row r="6247" spans="1:10" x14ac:dyDescent="0.25">
      <c r="A6247" t="s">
        <v>52</v>
      </c>
      <c r="B6247" s="1" t="str">
        <f>HYPERLINK("http://visitgreenland.com","visitgreenland.com")</f>
        <v>visitgreenland.com</v>
      </c>
      <c r="C6247" t="s">
        <v>433</v>
      </c>
      <c r="E6247">
        <v>209674</v>
      </c>
      <c r="F6247">
        <v>3.7099845200337698E-7</v>
      </c>
      <c r="G6247">
        <v>100916</v>
      </c>
      <c r="H6247">
        <v>15100857</v>
      </c>
      <c r="I6247">
        <v>406396</v>
      </c>
      <c r="J6247">
        <v>15</v>
      </c>
    </row>
    <row r="6248" spans="1:10" x14ac:dyDescent="0.25">
      <c r="A6248" t="s">
        <v>52</v>
      </c>
      <c r="B6248" s="1" t="str">
        <f>HYPERLINK("http://vluggen.com","vluggen.com")</f>
        <v>vluggen.com</v>
      </c>
      <c r="C6248" t="s">
        <v>433</v>
      </c>
      <c r="F6248">
        <v>4.5395269953285796E-9</v>
      </c>
      <c r="G6248">
        <v>53391322</v>
      </c>
      <c r="H6248">
        <v>10732810</v>
      </c>
      <c r="I6248">
        <v>40793120</v>
      </c>
      <c r="J6248">
        <v>14</v>
      </c>
    </row>
    <row r="6249" spans="1:10" x14ac:dyDescent="0.25">
      <c r="A6249" t="s">
        <v>52</v>
      </c>
      <c r="B6249" s="1" t="str">
        <f>HYPERLINK("http://aviaczech.cz","aviaczech.cz")</f>
        <v>aviaczech.cz</v>
      </c>
      <c r="C6249" t="s">
        <v>435</v>
      </c>
      <c r="D6249" t="s">
        <v>814</v>
      </c>
      <c r="F6249">
        <v>6.05642221100901E-9</v>
      </c>
      <c r="G6249">
        <v>16345383</v>
      </c>
      <c r="H6249">
        <v>12090937</v>
      </c>
      <c r="I6249">
        <v>26222638</v>
      </c>
      <c r="J6249">
        <v>14</v>
      </c>
    </row>
    <row r="6250" spans="1:10" x14ac:dyDescent="0.25">
      <c r="A6250" t="s">
        <v>52</v>
      </c>
      <c r="B6250" s="1" t="str">
        <f>HYPERLINK("http://menziesaviation.cz","menziesaviation.cz")</f>
        <v>menziesaviation.cz</v>
      </c>
      <c r="C6250" t="s">
        <v>435</v>
      </c>
      <c r="D6250" t="s">
        <v>814</v>
      </c>
      <c r="F6250">
        <v>1.19648112749515E-8</v>
      </c>
      <c r="G6250">
        <v>5198286</v>
      </c>
      <c r="H6250">
        <v>14072172</v>
      </c>
      <c r="I6250">
        <v>3146061</v>
      </c>
      <c r="J6250">
        <v>10</v>
      </c>
    </row>
    <row r="6251" spans="1:10" x14ac:dyDescent="0.25">
      <c r="A6251" t="s">
        <v>52</v>
      </c>
      <c r="B6251" s="1" t="str">
        <f>HYPERLINK("http://panos.cz","panos.cz")</f>
        <v>panos.cz</v>
      </c>
      <c r="C6251" t="s">
        <v>435</v>
      </c>
      <c r="D6251" t="s">
        <v>814</v>
      </c>
      <c r="F6251">
        <v>4.6789623803304198E-9</v>
      </c>
      <c r="G6251">
        <v>42429914</v>
      </c>
      <c r="H6251">
        <v>10509327</v>
      </c>
      <c r="I6251">
        <v>49820169</v>
      </c>
      <c r="J6251">
        <v>14</v>
      </c>
    </row>
    <row r="6252" spans="1:10" x14ac:dyDescent="0.25">
      <c r="A6252" t="s">
        <v>52</v>
      </c>
      <c r="B6252" s="1" t="str">
        <f>HYPERLINK("http://a3rast.de","a3rast.de")</f>
        <v>a3rast.de</v>
      </c>
      <c r="C6252" t="s">
        <v>436</v>
      </c>
      <c r="D6252" t="s">
        <v>815</v>
      </c>
      <c r="J6252">
        <v>4</v>
      </c>
    </row>
    <row r="6253" spans="1:10" x14ac:dyDescent="0.25">
      <c r="A6253" t="s">
        <v>52</v>
      </c>
      <c r="B6253" s="1" t="str">
        <f>HYPERLINK("http://ah-nahetal.de","ah-nahetal.de")</f>
        <v>ah-nahetal.de</v>
      </c>
      <c r="C6253" t="s">
        <v>436</v>
      </c>
      <c r="D6253" t="s">
        <v>815</v>
      </c>
      <c r="J6253">
        <v>19</v>
      </c>
    </row>
    <row r="6254" spans="1:10" x14ac:dyDescent="0.25">
      <c r="A6254" t="s">
        <v>52</v>
      </c>
      <c r="B6254" s="1" t="str">
        <f>HYPERLINK("http://aichen.de","aichen.de")</f>
        <v>aichen.de</v>
      </c>
      <c r="C6254" t="s">
        <v>436</v>
      </c>
      <c r="D6254" t="s">
        <v>815</v>
      </c>
      <c r="F6254">
        <v>4.4705903485574699E-9</v>
      </c>
      <c r="G6254">
        <v>64423734</v>
      </c>
      <c r="H6254">
        <v>10515864</v>
      </c>
      <c r="I6254">
        <v>49215747</v>
      </c>
      <c r="J6254">
        <v>17</v>
      </c>
    </row>
    <row r="6255" spans="1:10" x14ac:dyDescent="0.25">
      <c r="A6255" t="s">
        <v>52</v>
      </c>
      <c r="B6255" s="1" t="str">
        <f>HYPERLINK("http://ais-auto-dresden.de","ais-auto-dresden.de")</f>
        <v>ais-auto-dresden.de</v>
      </c>
      <c r="C6255" t="s">
        <v>436</v>
      </c>
      <c r="D6255" t="s">
        <v>815</v>
      </c>
      <c r="F6255">
        <v>4.6992475076081499E-9</v>
      </c>
      <c r="G6255">
        <v>41283956</v>
      </c>
      <c r="H6255">
        <v>9446077</v>
      </c>
      <c r="I6255">
        <v>66583231</v>
      </c>
      <c r="J6255">
        <v>4</v>
      </c>
    </row>
    <row r="6256" spans="1:10" x14ac:dyDescent="0.25">
      <c r="A6256" t="s">
        <v>52</v>
      </c>
      <c r="B6256" s="1" t="str">
        <f>HYPERLINK("http://aral.de","aral.de")</f>
        <v>aral.de</v>
      </c>
      <c r="C6256" t="s">
        <v>436</v>
      </c>
      <c r="D6256" t="s">
        <v>815</v>
      </c>
      <c r="E6256">
        <v>90881</v>
      </c>
      <c r="F6256">
        <v>4.38846486172092E-7</v>
      </c>
      <c r="G6256">
        <v>85889</v>
      </c>
      <c r="H6256">
        <v>15014987</v>
      </c>
      <c r="I6256">
        <v>422109</v>
      </c>
      <c r="J6256">
        <v>2</v>
      </c>
    </row>
    <row r="6257" spans="1:10" x14ac:dyDescent="0.25">
      <c r="A6257" t="s">
        <v>52</v>
      </c>
      <c r="B6257" s="1" t="str">
        <f>HYPERLINK("http://aral-elsenfeld.de","aral-elsenfeld.de")</f>
        <v>aral-elsenfeld.de</v>
      </c>
      <c r="C6257" t="s">
        <v>436</v>
      </c>
      <c r="D6257" t="s">
        <v>815</v>
      </c>
      <c r="F6257">
        <v>4.5084121927375904E-9</v>
      </c>
      <c r="G6257">
        <v>57742411</v>
      </c>
      <c r="H6257">
        <v>8300614.5</v>
      </c>
      <c r="I6257">
        <v>74349203</v>
      </c>
      <c r="J6257">
        <v>4</v>
      </c>
    </row>
    <row r="6258" spans="1:10" x14ac:dyDescent="0.25">
      <c r="A6258" t="s">
        <v>52</v>
      </c>
      <c r="B6258" s="1" t="str">
        <f>HYPERLINK("http://aral-hockenheim.de","aral-hockenheim.de")</f>
        <v>aral-hockenheim.de</v>
      </c>
      <c r="C6258" t="s">
        <v>436</v>
      </c>
      <c r="D6258" t="s">
        <v>815</v>
      </c>
      <c r="F6258">
        <v>4.44380395335525E-9</v>
      </c>
      <c r="G6258">
        <v>87610323</v>
      </c>
      <c r="H6258">
        <v>0</v>
      </c>
      <c r="I6258">
        <v>85259123</v>
      </c>
      <c r="J6258">
        <v>4</v>
      </c>
    </row>
    <row r="6259" spans="1:10" x14ac:dyDescent="0.25">
      <c r="A6259" t="s">
        <v>52</v>
      </c>
      <c r="B6259" s="1" t="str">
        <f>HYPERLINK("http://aral-schwalmtal.de","aral-schwalmtal.de")</f>
        <v>aral-schwalmtal.de</v>
      </c>
      <c r="C6259" t="s">
        <v>436</v>
      </c>
      <c r="D6259" t="s">
        <v>815</v>
      </c>
      <c r="F6259">
        <v>4.5302415634982202E-9</v>
      </c>
      <c r="G6259">
        <v>55028457</v>
      </c>
      <c r="H6259">
        <v>12026391</v>
      </c>
      <c r="I6259">
        <v>27746297</v>
      </c>
      <c r="J6259">
        <v>4</v>
      </c>
    </row>
    <row r="6260" spans="1:10" x14ac:dyDescent="0.25">
      <c r="A6260" t="s">
        <v>52</v>
      </c>
      <c r="B6260" s="1" t="str">
        <f>HYPERLINK("http://aralsammet.de","aralsammet.de")</f>
        <v>aralsammet.de</v>
      </c>
      <c r="C6260" t="s">
        <v>436</v>
      </c>
      <c r="D6260" t="s">
        <v>815</v>
      </c>
      <c r="F6260">
        <v>4.6580794245211802E-9</v>
      </c>
      <c r="G6260">
        <v>43622918</v>
      </c>
      <c r="H6260">
        <v>10751477</v>
      </c>
      <c r="I6260">
        <v>40034667</v>
      </c>
      <c r="J6260">
        <v>4</v>
      </c>
    </row>
    <row r="6261" spans="1:10" x14ac:dyDescent="0.25">
      <c r="A6261" t="s">
        <v>52</v>
      </c>
      <c r="B6261" s="1" t="str">
        <f>HYPERLINK("http://autobahnrasthaus.de","autobahnrasthaus.de")</f>
        <v>autobahnrasthaus.de</v>
      </c>
      <c r="C6261" t="s">
        <v>436</v>
      </c>
      <c r="D6261" t="s">
        <v>815</v>
      </c>
      <c r="F6261">
        <v>7.5950224678576508E-9</v>
      </c>
      <c r="G6261">
        <v>10805376</v>
      </c>
      <c r="H6261">
        <v>12153279</v>
      </c>
      <c r="I6261">
        <v>24545747</v>
      </c>
      <c r="J6261">
        <v>17</v>
      </c>
    </row>
    <row r="6262" spans="1:10" x14ac:dyDescent="0.25">
      <c r="A6262" t="s">
        <v>52</v>
      </c>
      <c r="B6262" s="1" t="str">
        <f>HYPERLINK("http://autohaus-brunhuber.de","autohaus-brunhuber.de")</f>
        <v>autohaus-brunhuber.de</v>
      </c>
      <c r="C6262" t="s">
        <v>436</v>
      </c>
      <c r="D6262" t="s">
        <v>815</v>
      </c>
      <c r="F6262">
        <v>4.4438176373351697E-9</v>
      </c>
      <c r="G6262">
        <v>79271485</v>
      </c>
      <c r="H6262">
        <v>10349427</v>
      </c>
      <c r="I6262">
        <v>56438674</v>
      </c>
      <c r="J6262">
        <v>14</v>
      </c>
    </row>
    <row r="6263" spans="1:10" x14ac:dyDescent="0.25">
      <c r="A6263" t="s">
        <v>52</v>
      </c>
      <c r="B6263" s="1" t="str">
        <f>HYPERLINK("http://avia.de","avia.de")</f>
        <v>avia.de</v>
      </c>
      <c r="C6263" t="s">
        <v>436</v>
      </c>
      <c r="D6263" t="s">
        <v>815</v>
      </c>
      <c r="E6263">
        <v>955210</v>
      </c>
      <c r="F6263">
        <v>9.19770118173193E-8</v>
      </c>
      <c r="G6263">
        <v>442811</v>
      </c>
      <c r="H6263">
        <v>13964878</v>
      </c>
      <c r="I6263">
        <v>4092362</v>
      </c>
      <c r="J6263">
        <v>14</v>
      </c>
    </row>
    <row r="6264" spans="1:10" x14ac:dyDescent="0.25">
      <c r="A6264" t="s">
        <v>52</v>
      </c>
      <c r="B6264" s="1" t="str">
        <f>HYPERLINK("http://avia-jockgrim.de","avia-jockgrim.de")</f>
        <v>avia-jockgrim.de</v>
      </c>
      <c r="C6264" t="s">
        <v>436</v>
      </c>
      <c r="D6264" t="s">
        <v>815</v>
      </c>
      <c r="J6264">
        <v>14</v>
      </c>
    </row>
    <row r="6265" spans="1:10" x14ac:dyDescent="0.25">
      <c r="A6265" t="s">
        <v>52</v>
      </c>
      <c r="B6265" s="1" t="str">
        <f>HYPERLINK("http://avia-merk.de","avia-merk.de")</f>
        <v>avia-merk.de</v>
      </c>
      <c r="C6265" t="s">
        <v>436</v>
      </c>
      <c r="D6265" t="s">
        <v>815</v>
      </c>
      <c r="F6265">
        <v>5.9415382352766603E-9</v>
      </c>
      <c r="G6265">
        <v>17076264</v>
      </c>
      <c r="H6265">
        <v>10675734</v>
      </c>
      <c r="I6265">
        <v>42838899</v>
      </c>
      <c r="J6265">
        <v>14</v>
      </c>
    </row>
    <row r="6266" spans="1:10" x14ac:dyDescent="0.25">
      <c r="A6266" t="s">
        <v>52</v>
      </c>
      <c r="B6266" s="1" t="str">
        <f>HYPERLINK("http://avia-mikus.de","avia-mikus.de")</f>
        <v>avia-mikus.de</v>
      </c>
      <c r="C6266" t="s">
        <v>436</v>
      </c>
      <c r="D6266" t="s">
        <v>815</v>
      </c>
      <c r="F6266">
        <v>5.8695834567014999E-9</v>
      </c>
      <c r="G6266">
        <v>17570933</v>
      </c>
      <c r="H6266">
        <v>12073031</v>
      </c>
      <c r="I6266">
        <v>26729154</v>
      </c>
      <c r="J6266">
        <v>14</v>
      </c>
    </row>
    <row r="6267" spans="1:10" x14ac:dyDescent="0.25">
      <c r="A6267" t="s">
        <v>52</v>
      </c>
      <c r="B6267" s="1" t="str">
        <f>HYPERLINK("http://avia-schleking.de","avia-schleking.de")</f>
        <v>avia-schleking.de</v>
      </c>
      <c r="C6267" t="s">
        <v>436</v>
      </c>
      <c r="D6267" t="s">
        <v>815</v>
      </c>
      <c r="F6267">
        <v>4.7629841362282502E-9</v>
      </c>
      <c r="G6267">
        <v>37685283</v>
      </c>
      <c r="H6267">
        <v>10682497</v>
      </c>
      <c r="I6267">
        <v>42703153</v>
      </c>
      <c r="J6267">
        <v>14</v>
      </c>
    </row>
    <row r="6268" spans="1:10" x14ac:dyDescent="0.25">
      <c r="A6268" t="s">
        <v>52</v>
      </c>
      <c r="B6268" s="1" t="str">
        <f>HYPERLINK("http://bahnhofspassagen-potsdam.de","bahnhofspassagen-potsdam.de")</f>
        <v>bahnhofspassagen-potsdam.de</v>
      </c>
      <c r="C6268" t="s">
        <v>436</v>
      </c>
      <c r="D6268" t="s">
        <v>815</v>
      </c>
      <c r="F6268">
        <v>1.46117991174105E-8</v>
      </c>
      <c r="G6268">
        <v>3972845</v>
      </c>
      <c r="H6268">
        <v>13766193</v>
      </c>
      <c r="I6268">
        <v>7026567</v>
      </c>
      <c r="J6268">
        <v>8</v>
      </c>
    </row>
    <row r="6269" spans="1:10" x14ac:dyDescent="0.25">
      <c r="A6269" t="s">
        <v>52</v>
      </c>
      <c r="B6269" s="1" t="str">
        <f>HYPERLINK("http://biohof-luedke.de","biohof-luedke.de")</f>
        <v>biohof-luedke.de</v>
      </c>
      <c r="C6269" t="s">
        <v>436</v>
      </c>
      <c r="D6269" t="s">
        <v>815</v>
      </c>
      <c r="F6269">
        <v>5.0643238853847399E-9</v>
      </c>
      <c r="G6269">
        <v>27912158</v>
      </c>
      <c r="H6269">
        <v>13933435</v>
      </c>
      <c r="I6269">
        <v>4744463</v>
      </c>
      <c r="J6269">
        <v>18</v>
      </c>
    </row>
    <row r="6270" spans="1:10" x14ac:dyDescent="0.25">
      <c r="A6270" t="s">
        <v>52</v>
      </c>
      <c r="B6270" s="1" t="str">
        <f>HYPERLINK("http://bistum-augsburg.de","bistum-augsburg.de")</f>
        <v>bistum-augsburg.de</v>
      </c>
      <c r="C6270" t="s">
        <v>436</v>
      </c>
      <c r="D6270" t="s">
        <v>815</v>
      </c>
      <c r="E6270">
        <v>222918</v>
      </c>
      <c r="F6270">
        <v>4.9807750129889904E-7</v>
      </c>
      <c r="G6270">
        <v>76736</v>
      </c>
      <c r="H6270">
        <v>14820613</v>
      </c>
      <c r="I6270">
        <v>517077</v>
      </c>
      <c r="J6270">
        <v>20</v>
      </c>
    </row>
    <row r="6271" spans="1:10" x14ac:dyDescent="0.25">
      <c r="A6271" t="s">
        <v>52</v>
      </c>
      <c r="B6271" s="1" t="str">
        <f>HYPERLINK("http://bp.de","bp.de")</f>
        <v>bp.de</v>
      </c>
      <c r="C6271" t="s">
        <v>436</v>
      </c>
      <c r="D6271" t="s">
        <v>815</v>
      </c>
      <c r="F6271">
        <v>3.1396712941248701E-8</v>
      </c>
      <c r="G6271">
        <v>1642782</v>
      </c>
      <c r="H6271">
        <v>13167345</v>
      </c>
      <c r="I6271">
        <v>11735211</v>
      </c>
      <c r="J6271">
        <v>2</v>
      </c>
    </row>
    <row r="6272" spans="1:10" x14ac:dyDescent="0.25">
      <c r="A6272" t="s">
        <v>52</v>
      </c>
      <c r="B6272" s="1" t="str">
        <f>HYPERLINK("http://bsadon.de","bsadon.de")</f>
        <v>bsadon.de</v>
      </c>
      <c r="C6272" t="s">
        <v>436</v>
      </c>
      <c r="D6272" t="s">
        <v>815</v>
      </c>
      <c r="J6272">
        <v>22</v>
      </c>
    </row>
    <row r="6273" spans="1:10" x14ac:dyDescent="0.25">
      <c r="A6273" t="s">
        <v>52</v>
      </c>
      <c r="B6273" s="1" t="str">
        <f>HYPERLINK("http://busch-group.de","busch-group.de")</f>
        <v>busch-group.de</v>
      </c>
      <c r="C6273" t="s">
        <v>436</v>
      </c>
      <c r="D6273" t="s">
        <v>815</v>
      </c>
      <c r="F6273">
        <v>4.44380395335525E-9</v>
      </c>
      <c r="G6273">
        <v>84278698</v>
      </c>
      <c r="H6273">
        <v>0</v>
      </c>
      <c r="I6273">
        <v>85300337</v>
      </c>
      <c r="J6273">
        <v>4</v>
      </c>
    </row>
    <row r="6274" spans="1:10" x14ac:dyDescent="0.25">
      <c r="A6274" t="s">
        <v>52</v>
      </c>
      <c r="B6274" s="1" t="str">
        <f>HYPERLINK("http://camping-bernried.de","camping-bernried.de")</f>
        <v>camping-bernried.de</v>
      </c>
      <c r="C6274" t="s">
        <v>436</v>
      </c>
      <c r="D6274" t="s">
        <v>815</v>
      </c>
      <c r="F6274">
        <v>5.3697479528952597E-9</v>
      </c>
      <c r="G6274">
        <v>22545533</v>
      </c>
      <c r="H6274">
        <v>12132530</v>
      </c>
      <c r="I6274">
        <v>25070343</v>
      </c>
      <c r="J6274">
        <v>18</v>
      </c>
    </row>
    <row r="6275" spans="1:10" x14ac:dyDescent="0.25">
      <c r="A6275" t="s">
        <v>52</v>
      </c>
      <c r="B6275" s="1" t="str">
        <f>HYPERLINK("http://castrol.de","castrol.de")</f>
        <v>castrol.de</v>
      </c>
      <c r="C6275" t="s">
        <v>436</v>
      </c>
      <c r="D6275" t="s">
        <v>815</v>
      </c>
      <c r="F6275">
        <v>3.1044258931462498E-8</v>
      </c>
      <c r="G6275">
        <v>1660145</v>
      </c>
      <c r="H6275">
        <v>14077078</v>
      </c>
      <c r="I6275">
        <v>2873230</v>
      </c>
      <c r="J6275">
        <v>4</v>
      </c>
    </row>
    <row r="6276" spans="1:10" x14ac:dyDescent="0.25">
      <c r="A6276" t="s">
        <v>52</v>
      </c>
      <c r="B6276" s="1" t="str">
        <f>HYPERLINK("http://dalacker.de","dalacker.de")</f>
        <v>dalacker.de</v>
      </c>
      <c r="C6276" t="s">
        <v>436</v>
      </c>
      <c r="D6276" t="s">
        <v>815</v>
      </c>
      <c r="F6276">
        <v>5.3654480914233101E-9</v>
      </c>
      <c r="G6276">
        <v>22601430</v>
      </c>
      <c r="H6276">
        <v>12740226</v>
      </c>
      <c r="I6276">
        <v>15133418</v>
      </c>
      <c r="J6276">
        <v>4</v>
      </c>
    </row>
    <row r="6277" spans="1:10" x14ac:dyDescent="0.25">
      <c r="A6277" t="s">
        <v>52</v>
      </c>
      <c r="B6277" s="1" t="str">
        <f>HYPERLINK("http://deutschebp.de","deutschebp.de")</f>
        <v>deutschebp.de</v>
      </c>
      <c r="C6277" t="s">
        <v>436</v>
      </c>
      <c r="D6277" t="s">
        <v>815</v>
      </c>
      <c r="F6277">
        <v>2.65421158973536E-8</v>
      </c>
      <c r="G6277">
        <v>1939621</v>
      </c>
      <c r="H6277">
        <v>14497151</v>
      </c>
      <c r="I6277">
        <v>867491</v>
      </c>
      <c r="J6277">
        <v>3</v>
      </c>
    </row>
    <row r="6278" spans="1:10" x14ac:dyDescent="0.25">
      <c r="A6278" t="s">
        <v>52</v>
      </c>
      <c r="B6278" s="1" t="str">
        <f>HYPERLINK("http://dhc-solvent.de","dhc-solvent.de")</f>
        <v>dhc-solvent.de</v>
      </c>
      <c r="C6278" t="s">
        <v>436</v>
      </c>
      <c r="D6278" t="s">
        <v>815</v>
      </c>
      <c r="F6278">
        <v>7.1694598061933698E-9</v>
      </c>
      <c r="G6278">
        <v>11824243</v>
      </c>
      <c r="H6278">
        <v>12479345</v>
      </c>
      <c r="I6278">
        <v>17604793</v>
      </c>
      <c r="J6278">
        <v>3</v>
      </c>
    </row>
    <row r="6279" spans="1:10" x14ac:dyDescent="0.25">
      <c r="A6279" t="s">
        <v>52</v>
      </c>
      <c r="B6279" s="1" t="str">
        <f>HYPERLINK("http://elo-mineraloel.de","elo-mineraloel.de")</f>
        <v>elo-mineraloel.de</v>
      </c>
      <c r="C6279" t="s">
        <v>436</v>
      </c>
      <c r="D6279" t="s">
        <v>815</v>
      </c>
      <c r="F6279">
        <v>8.1541984365794505E-9</v>
      </c>
      <c r="G6279">
        <v>9648970</v>
      </c>
      <c r="H6279">
        <v>12184215</v>
      </c>
      <c r="I6279">
        <v>23712833</v>
      </c>
      <c r="J6279">
        <v>14</v>
      </c>
    </row>
    <row r="6280" spans="1:10" x14ac:dyDescent="0.25">
      <c r="A6280" t="s">
        <v>52</v>
      </c>
      <c r="B6280" s="1" t="str">
        <f>HYPERLINK("http://esso-nh.de","esso-nh.de")</f>
        <v>esso-nh.de</v>
      </c>
      <c r="C6280" t="s">
        <v>436</v>
      </c>
      <c r="D6280" t="s">
        <v>815</v>
      </c>
      <c r="J6280">
        <v>19</v>
      </c>
    </row>
    <row r="6281" spans="1:10" x14ac:dyDescent="0.25">
      <c r="A6281" t="s">
        <v>52</v>
      </c>
      <c r="B6281" s="1" t="str">
        <f>HYPERLINK("http://esso-station-markt-schwaben.de","esso-station-markt-schwaben.de")</f>
        <v>esso-station-markt-schwaben.de</v>
      </c>
      <c r="C6281" t="s">
        <v>436</v>
      </c>
      <c r="D6281" t="s">
        <v>815</v>
      </c>
      <c r="F6281">
        <v>5.1085507062816901E-9</v>
      </c>
      <c r="G6281">
        <v>26881318</v>
      </c>
      <c r="H6281">
        <v>10356812</v>
      </c>
      <c r="I6281">
        <v>55607939</v>
      </c>
      <c r="J6281">
        <v>14</v>
      </c>
    </row>
    <row r="6282" spans="1:10" x14ac:dyDescent="0.25">
      <c r="A6282" t="s">
        <v>52</v>
      </c>
      <c r="B6282" s="1" t="str">
        <f>HYPERLINK("http://fahrzeugbau-finkl.de","fahrzeugbau-finkl.de")</f>
        <v>fahrzeugbau-finkl.de</v>
      </c>
      <c r="C6282" t="s">
        <v>436</v>
      </c>
      <c r="D6282" t="s">
        <v>815</v>
      </c>
      <c r="F6282">
        <v>5.4121031503366904E-9</v>
      </c>
      <c r="G6282">
        <v>21960159</v>
      </c>
      <c r="H6282">
        <v>10680684</v>
      </c>
      <c r="I6282">
        <v>42738578</v>
      </c>
      <c r="J6282">
        <v>18</v>
      </c>
    </row>
    <row r="6283" spans="1:10" x14ac:dyDescent="0.25">
      <c r="A6283" t="s">
        <v>52</v>
      </c>
      <c r="B6283" s="1" t="str">
        <f>HYPERLINK("http://familienseelsorge.de","familienseelsorge.de")</f>
        <v>familienseelsorge.de</v>
      </c>
      <c r="C6283" t="s">
        <v>436</v>
      </c>
      <c r="D6283" t="s">
        <v>815</v>
      </c>
      <c r="F6283">
        <v>7.0203069008386399E-9</v>
      </c>
      <c r="G6283">
        <v>12252373</v>
      </c>
      <c r="H6283">
        <v>12065807</v>
      </c>
      <c r="I6283">
        <v>26881772</v>
      </c>
      <c r="J6283">
        <v>22</v>
      </c>
    </row>
    <row r="6284" spans="1:10" x14ac:dyDescent="0.25">
      <c r="A6284" t="s">
        <v>52</v>
      </c>
      <c r="B6284" s="1" t="str">
        <f>HYPERLINK("http://fischer-cars-bikes.de","fischer-cars-bikes.de")</f>
        <v>fischer-cars-bikes.de</v>
      </c>
      <c r="C6284" t="s">
        <v>436</v>
      </c>
      <c r="D6284" t="s">
        <v>815</v>
      </c>
      <c r="F6284">
        <v>4.6529374013519201E-8</v>
      </c>
      <c r="G6284">
        <v>1005053</v>
      </c>
      <c r="H6284">
        <v>12379681</v>
      </c>
      <c r="I6284">
        <v>19215591</v>
      </c>
      <c r="J6284">
        <v>14</v>
      </c>
    </row>
    <row r="6285" spans="1:10" x14ac:dyDescent="0.25">
      <c r="A6285" t="s">
        <v>52</v>
      </c>
      <c r="B6285" s="1" t="str">
        <f>HYPERLINK("http://gasthof-zum-gupfen.de","gasthof-zum-gupfen.de")</f>
        <v>gasthof-zum-gupfen.de</v>
      </c>
      <c r="C6285" t="s">
        <v>436</v>
      </c>
      <c r="D6285" t="s">
        <v>815</v>
      </c>
      <c r="F6285">
        <v>4.47519093696478E-9</v>
      </c>
      <c r="G6285">
        <v>63374848</v>
      </c>
      <c r="H6285">
        <v>9357790</v>
      </c>
      <c r="I6285">
        <v>67872761</v>
      </c>
      <c r="J6285">
        <v>18</v>
      </c>
    </row>
    <row r="6286" spans="1:10" x14ac:dyDescent="0.25">
      <c r="A6286" t="s">
        <v>52</v>
      </c>
      <c r="B6286" s="1" t="str">
        <f>HYPERLINK("http://gemeindeausstellung.de","gemeindeausstellung.de")</f>
        <v>gemeindeausstellung.de</v>
      </c>
      <c r="C6286" t="s">
        <v>436</v>
      </c>
      <c r="D6286" t="s">
        <v>815</v>
      </c>
      <c r="F6286">
        <v>1.7009991068220899E-8</v>
      </c>
      <c r="G6286">
        <v>3280971</v>
      </c>
      <c r="H6286">
        <v>13471144</v>
      </c>
      <c r="I6286">
        <v>10033703</v>
      </c>
      <c r="J6286">
        <v>18</v>
      </c>
    </row>
    <row r="6287" spans="1:10" x14ac:dyDescent="0.25">
      <c r="A6287" t="s">
        <v>52</v>
      </c>
      <c r="B6287" s="1" t="str">
        <f>HYPERLINK("http://graetz-gmbh.de","graetz-gmbh.de")</f>
        <v>graetz-gmbh.de</v>
      </c>
      <c r="C6287" t="s">
        <v>436</v>
      </c>
      <c r="D6287" t="s">
        <v>815</v>
      </c>
      <c r="J6287">
        <v>15</v>
      </c>
    </row>
    <row r="6288" spans="1:10" x14ac:dyDescent="0.25">
      <c r="A6288" t="s">
        <v>52</v>
      </c>
      <c r="B6288" s="1" t="str">
        <f>HYPERLINK("http://hamburger-yachthafen.de","hamburger-yachthafen.de")</f>
        <v>hamburger-yachthafen.de</v>
      </c>
      <c r="C6288" t="s">
        <v>436</v>
      </c>
      <c r="D6288" t="s">
        <v>815</v>
      </c>
      <c r="F6288">
        <v>1.96321328659018E-8</v>
      </c>
      <c r="G6288">
        <v>2722269</v>
      </c>
      <c r="H6288">
        <v>12372500</v>
      </c>
      <c r="I6288">
        <v>19366399</v>
      </c>
      <c r="J6288">
        <v>4</v>
      </c>
    </row>
    <row r="6289" spans="1:10" x14ac:dyDescent="0.25">
      <c r="A6289" t="s">
        <v>52</v>
      </c>
      <c r="B6289" s="1" t="str">
        <f>HYPERLINK("http://hem-station-rene-lange.de","hem-station-rene-lange.de")</f>
        <v>hem-station-rene-lange.de</v>
      </c>
      <c r="C6289" t="s">
        <v>436</v>
      </c>
      <c r="D6289" t="s">
        <v>815</v>
      </c>
      <c r="F6289">
        <v>4.4457197315952799E-9</v>
      </c>
      <c r="G6289">
        <v>74986847</v>
      </c>
      <c r="H6289">
        <v>10841244</v>
      </c>
      <c r="I6289">
        <v>37127326</v>
      </c>
      <c r="J6289">
        <v>6</v>
      </c>
    </row>
    <row r="6290" spans="1:10" x14ac:dyDescent="0.25">
      <c r="A6290" t="s">
        <v>52</v>
      </c>
      <c r="B6290" s="1" t="str">
        <f>HYPERLINK("http://hem-tankstelle.de","hem-tankstelle.de")</f>
        <v>hem-tankstelle.de</v>
      </c>
      <c r="C6290" t="s">
        <v>436</v>
      </c>
      <c r="D6290" t="s">
        <v>815</v>
      </c>
      <c r="F6290">
        <v>5.62306733430023E-8</v>
      </c>
      <c r="G6290">
        <v>795928</v>
      </c>
      <c r="H6290">
        <v>12939696</v>
      </c>
      <c r="I6290">
        <v>13302021</v>
      </c>
      <c r="J6290">
        <v>6</v>
      </c>
    </row>
    <row r="6291" spans="1:10" x14ac:dyDescent="0.25">
      <c r="A6291" t="s">
        <v>52</v>
      </c>
      <c r="B6291" s="1" t="str">
        <f>HYPERLINK("http://herzjesu-augsburg.de","herzjesu-augsburg.de")</f>
        <v>herzjesu-augsburg.de</v>
      </c>
      <c r="C6291" t="s">
        <v>436</v>
      </c>
      <c r="D6291" t="s">
        <v>815</v>
      </c>
      <c r="F6291">
        <v>7.9825634051006794E-9</v>
      </c>
      <c r="G6291">
        <v>9952787</v>
      </c>
      <c r="H6291">
        <v>12172087</v>
      </c>
      <c r="I6291">
        <v>24017169</v>
      </c>
      <c r="J6291">
        <v>22</v>
      </c>
    </row>
    <row r="6292" spans="1:10" x14ac:dyDescent="0.25">
      <c r="A6292" t="s">
        <v>52</v>
      </c>
      <c r="B6292" s="1" t="str">
        <f>HYPERLINK("http://holdingvanlandschoot.de","holdingvanlandschoot.de")</f>
        <v>holdingvanlandschoot.de</v>
      </c>
      <c r="C6292" t="s">
        <v>436</v>
      </c>
      <c r="D6292" t="s">
        <v>815</v>
      </c>
      <c r="J6292">
        <v>4</v>
      </c>
    </row>
    <row r="6293" spans="1:10" x14ac:dyDescent="0.25">
      <c r="A6293" t="s">
        <v>52</v>
      </c>
      <c r="B6293" s="1" t="str">
        <f>HYPERLINK("http://hotel-bruchsal-west.de","hotel-bruchsal-west.de")</f>
        <v>hotel-bruchsal-west.de</v>
      </c>
      <c r="C6293" t="s">
        <v>436</v>
      </c>
      <c r="D6293" t="s">
        <v>815</v>
      </c>
      <c r="J6293">
        <v>17</v>
      </c>
    </row>
    <row r="6294" spans="1:10" x14ac:dyDescent="0.25">
      <c r="A6294" t="s">
        <v>52</v>
      </c>
      <c r="B6294" s="1" t="str">
        <f>HYPERLINK("http://jantzon-tankstellen.de","jantzon-tankstellen.de")</f>
        <v>jantzon-tankstellen.de</v>
      </c>
      <c r="C6294" t="s">
        <v>436</v>
      </c>
      <c r="D6294" t="s">
        <v>815</v>
      </c>
      <c r="F6294">
        <v>6.0852172351938204E-9</v>
      </c>
      <c r="G6294">
        <v>16176395</v>
      </c>
      <c r="H6294">
        <v>12124631</v>
      </c>
      <c r="I6294">
        <v>25290934</v>
      </c>
      <c r="J6294">
        <v>4</v>
      </c>
    </row>
    <row r="6295" spans="1:10" x14ac:dyDescent="0.25">
      <c r="A6295" t="s">
        <v>52</v>
      </c>
      <c r="B6295" s="1" t="str">
        <f>HYPERLINK("http://kaminkehrer-ofr.de","kaminkehrer-ofr.de")</f>
        <v>kaminkehrer-ofr.de</v>
      </c>
      <c r="C6295" t="s">
        <v>436</v>
      </c>
      <c r="D6295" t="s">
        <v>815</v>
      </c>
      <c r="F6295">
        <v>3.5075061488626101E-8</v>
      </c>
      <c r="G6295">
        <v>1481601</v>
      </c>
      <c r="H6295">
        <v>12087659</v>
      </c>
      <c r="I6295">
        <v>26343671</v>
      </c>
      <c r="J6295">
        <v>18</v>
      </c>
    </row>
    <row r="6296" spans="1:10" x14ac:dyDescent="0.25">
      <c r="A6296" t="s">
        <v>52</v>
      </c>
      <c r="B6296" s="1" t="str">
        <f>HYPERLINK("http://kfz-meisterbetrieb-rohwedder.de","kfz-meisterbetrieb-rohwedder.de")</f>
        <v>kfz-meisterbetrieb-rohwedder.de</v>
      </c>
      <c r="C6296" t="s">
        <v>436</v>
      </c>
      <c r="D6296" t="s">
        <v>815</v>
      </c>
      <c r="F6296">
        <v>4.7265161538517603E-9</v>
      </c>
      <c r="G6296">
        <v>39517216</v>
      </c>
      <c r="H6296">
        <v>9438813</v>
      </c>
      <c r="I6296">
        <v>66690924</v>
      </c>
      <c r="J6296">
        <v>16</v>
      </c>
    </row>
    <row r="6297" spans="1:10" x14ac:dyDescent="0.25">
      <c r="A6297" t="s">
        <v>52</v>
      </c>
      <c r="B6297" s="1" t="str">
        <f>HYPERLINK("http://kindergarten-aresing.de","kindergarten-aresing.de")</f>
        <v>kindergarten-aresing.de</v>
      </c>
      <c r="C6297" t="s">
        <v>436</v>
      </c>
      <c r="D6297" t="s">
        <v>815</v>
      </c>
      <c r="F6297">
        <v>5.3443900256501999E-9</v>
      </c>
      <c r="G6297">
        <v>22875265</v>
      </c>
      <c r="H6297">
        <v>10511075</v>
      </c>
      <c r="I6297">
        <v>49538169</v>
      </c>
      <c r="J6297">
        <v>22</v>
      </c>
    </row>
    <row r="6298" spans="1:10" x14ac:dyDescent="0.25">
      <c r="A6298" t="s">
        <v>52</v>
      </c>
      <c r="B6298" s="1" t="str">
        <f>HYPERLINK("http://kindergarten-dinkelsbuehl.de","kindergarten-dinkelsbuehl.de")</f>
        <v>kindergarten-dinkelsbuehl.de</v>
      </c>
      <c r="C6298" t="s">
        <v>436</v>
      </c>
      <c r="D6298" t="s">
        <v>815</v>
      </c>
      <c r="F6298">
        <v>5.1502278552054704E-9</v>
      </c>
      <c r="G6298">
        <v>26076027</v>
      </c>
      <c r="H6298">
        <v>10923022</v>
      </c>
      <c r="I6298">
        <v>35212905</v>
      </c>
      <c r="J6298">
        <v>22</v>
      </c>
    </row>
    <row r="6299" spans="1:10" x14ac:dyDescent="0.25">
      <c r="A6299" t="s">
        <v>52</v>
      </c>
      <c r="B6299" s="1" t="str">
        <f>HYPERLINK("http://kitastnikolaus.de","kitastnikolaus.de")</f>
        <v>kitastnikolaus.de</v>
      </c>
      <c r="C6299" t="s">
        <v>436</v>
      </c>
      <c r="D6299" t="s">
        <v>815</v>
      </c>
      <c r="F6299">
        <v>5.0213584267278401E-9</v>
      </c>
      <c r="G6299">
        <v>28868395</v>
      </c>
      <c r="H6299">
        <v>12750421</v>
      </c>
      <c r="I6299">
        <v>15048138</v>
      </c>
      <c r="J6299">
        <v>22</v>
      </c>
    </row>
    <row r="6300" spans="1:10" x14ac:dyDescent="0.25">
      <c r="A6300" t="s">
        <v>52</v>
      </c>
      <c r="B6300" s="1" t="str">
        <f>HYPERLINK("http://klimandscharo.de","klimandscharo.de")</f>
        <v>klimandscharo.de</v>
      </c>
      <c r="C6300" t="s">
        <v>436</v>
      </c>
      <c r="D6300" t="s">
        <v>815</v>
      </c>
      <c r="F6300">
        <v>4.44380395335525E-9</v>
      </c>
      <c r="G6300">
        <v>84419999</v>
      </c>
      <c r="H6300">
        <v>0</v>
      </c>
      <c r="I6300">
        <v>85468782</v>
      </c>
      <c r="J6300">
        <v>18</v>
      </c>
    </row>
    <row r="6301" spans="1:10" x14ac:dyDescent="0.25">
      <c r="A6301" t="s">
        <v>52</v>
      </c>
      <c r="B6301" s="1" t="str">
        <f>HYPERLINK("http://knittel.de","knittel.de")</f>
        <v>knittel.de</v>
      </c>
      <c r="C6301" t="s">
        <v>436</v>
      </c>
      <c r="D6301" t="s">
        <v>815</v>
      </c>
      <c r="F6301">
        <v>1.4767528426401099E-8</v>
      </c>
      <c r="G6301">
        <v>3918126</v>
      </c>
      <c r="H6301">
        <v>14004419</v>
      </c>
      <c r="I6301">
        <v>4007815</v>
      </c>
      <c r="J6301">
        <v>14</v>
      </c>
    </row>
    <row r="6302" spans="1:10" x14ac:dyDescent="0.25">
      <c r="A6302" t="s">
        <v>52</v>
      </c>
      <c r="B6302" s="1" t="str">
        <f>HYPERLINK("http://lc-schwarzwald-tank.de","lc-schwarzwald-tank.de")</f>
        <v>lc-schwarzwald-tank.de</v>
      </c>
      <c r="C6302" t="s">
        <v>436</v>
      </c>
      <c r="D6302" t="s">
        <v>815</v>
      </c>
      <c r="F6302">
        <v>6.4499925633494402E-9</v>
      </c>
      <c r="G6302">
        <v>14294369</v>
      </c>
      <c r="H6302">
        <v>10515773</v>
      </c>
      <c r="I6302">
        <v>49220043</v>
      </c>
      <c r="J6302">
        <v>14</v>
      </c>
    </row>
    <row r="6303" spans="1:10" x14ac:dyDescent="0.25">
      <c r="A6303" t="s">
        <v>52</v>
      </c>
      <c r="B6303" s="1" t="str">
        <f>HYPERLINK("http://ley-gmbh.de","ley-gmbh.de")</f>
        <v>ley-gmbh.de</v>
      </c>
      <c r="C6303" t="s">
        <v>436</v>
      </c>
      <c r="D6303" t="s">
        <v>815</v>
      </c>
      <c r="F6303">
        <v>9.2662608819835502E-9</v>
      </c>
      <c r="G6303">
        <v>7616663</v>
      </c>
      <c r="H6303">
        <v>10993154</v>
      </c>
      <c r="I6303">
        <v>33694855</v>
      </c>
      <c r="J6303">
        <v>4</v>
      </c>
    </row>
    <row r="6304" spans="1:10" x14ac:dyDescent="0.25">
      <c r="A6304" t="s">
        <v>52</v>
      </c>
      <c r="B6304" s="1" t="str">
        <f>HYPERLINK("http://liebscher-gmbh.de","liebscher-gmbh.de")</f>
        <v>liebscher-gmbh.de</v>
      </c>
      <c r="C6304" t="s">
        <v>436</v>
      </c>
      <c r="D6304" t="s">
        <v>815</v>
      </c>
      <c r="J6304">
        <v>4</v>
      </c>
    </row>
    <row r="6305" spans="1:10" x14ac:dyDescent="0.25">
      <c r="A6305" t="s">
        <v>52</v>
      </c>
      <c r="B6305" s="1" t="str">
        <f>HYPERLINK("http://meinehem.de","meinehem.de")</f>
        <v>meinehem.de</v>
      </c>
      <c r="C6305" t="s">
        <v>436</v>
      </c>
      <c r="D6305" t="s">
        <v>815</v>
      </c>
      <c r="F6305">
        <v>1.5083944088485499E-8</v>
      </c>
      <c r="G6305">
        <v>3812799</v>
      </c>
      <c r="H6305">
        <v>12389793</v>
      </c>
      <c r="I6305">
        <v>19056223</v>
      </c>
      <c r="J6305">
        <v>6</v>
      </c>
    </row>
    <row r="6306" spans="1:10" x14ac:dyDescent="0.25">
      <c r="A6306" t="s">
        <v>52</v>
      </c>
      <c r="B6306" s="1" t="str">
        <f>HYPERLINK("http://motel-a7.de","motel-a7.de")</f>
        <v>motel-a7.de</v>
      </c>
      <c r="C6306" t="s">
        <v>436</v>
      </c>
      <c r="D6306" t="s">
        <v>815</v>
      </c>
      <c r="F6306">
        <v>4.7507093860327698E-9</v>
      </c>
      <c r="G6306">
        <v>38293242</v>
      </c>
      <c r="H6306">
        <v>10509366</v>
      </c>
      <c r="I6306">
        <v>49809975</v>
      </c>
      <c r="J6306">
        <v>6</v>
      </c>
    </row>
    <row r="6307" spans="1:10" x14ac:dyDescent="0.25">
      <c r="A6307" t="s">
        <v>52</v>
      </c>
      <c r="B6307" s="1" t="str">
        <f>HYPERLINK("http://nwowhv.de","nwowhv.de")</f>
        <v>nwowhv.de</v>
      </c>
      <c r="C6307" t="s">
        <v>436</v>
      </c>
      <c r="D6307" t="s">
        <v>815</v>
      </c>
      <c r="F6307">
        <v>1.5307117431367E-8</v>
      </c>
      <c r="G6307">
        <v>3743662</v>
      </c>
      <c r="H6307">
        <v>14077903</v>
      </c>
      <c r="I6307">
        <v>2856462</v>
      </c>
      <c r="J6307">
        <v>3</v>
      </c>
    </row>
    <row r="6308" spans="1:10" x14ac:dyDescent="0.25">
      <c r="A6308" t="s">
        <v>52</v>
      </c>
      <c r="B6308" s="1" t="str">
        <f>HYPERLINK("http://ohligserheide.de","ohligserheide.de")</f>
        <v>ohligserheide.de</v>
      </c>
      <c r="C6308" t="s">
        <v>436</v>
      </c>
      <c r="D6308" t="s">
        <v>815</v>
      </c>
      <c r="F6308">
        <v>4.4500212707684003E-9</v>
      </c>
      <c r="G6308">
        <v>71908514</v>
      </c>
      <c r="H6308">
        <v>12089774</v>
      </c>
      <c r="I6308">
        <v>26257734</v>
      </c>
      <c r="J6308">
        <v>17</v>
      </c>
    </row>
    <row r="6309" spans="1:10" x14ac:dyDescent="0.25">
      <c r="A6309" t="s">
        <v>52</v>
      </c>
      <c r="B6309" s="1" t="str">
        <f>HYPERLINK("http://pfarrei-zuchering.de","pfarrei-zuchering.de")</f>
        <v>pfarrei-zuchering.de</v>
      </c>
      <c r="C6309" t="s">
        <v>436</v>
      </c>
      <c r="D6309" t="s">
        <v>815</v>
      </c>
      <c r="F6309">
        <v>4.7922756438980997E-9</v>
      </c>
      <c r="G6309">
        <v>36395355</v>
      </c>
      <c r="H6309">
        <v>12065031</v>
      </c>
      <c r="I6309">
        <v>26900926</v>
      </c>
      <c r="J6309">
        <v>22</v>
      </c>
    </row>
    <row r="6310" spans="1:10" x14ac:dyDescent="0.25">
      <c r="A6310" t="s">
        <v>52</v>
      </c>
      <c r="B6310" s="1" t="str">
        <f>HYPERLINK("http://pg-gersthofen.de","pg-gersthofen.de")</f>
        <v>pg-gersthofen.de</v>
      </c>
      <c r="C6310" t="s">
        <v>436</v>
      </c>
      <c r="D6310" t="s">
        <v>815</v>
      </c>
      <c r="F6310">
        <v>6.5674984218798398E-9</v>
      </c>
      <c r="G6310">
        <v>13803675</v>
      </c>
      <c r="H6310">
        <v>12086247</v>
      </c>
      <c r="I6310">
        <v>26373921</v>
      </c>
      <c r="J6310">
        <v>22</v>
      </c>
    </row>
    <row r="6311" spans="1:10" x14ac:dyDescent="0.25">
      <c r="A6311" t="s">
        <v>52</v>
      </c>
      <c r="B6311" s="1" t="str">
        <f>HYPERLINK("http://pg-pfronten-nesselwang.de","pg-pfronten-nesselwang.de")</f>
        <v>pg-pfronten-nesselwang.de</v>
      </c>
      <c r="C6311" t="s">
        <v>436</v>
      </c>
      <c r="D6311" t="s">
        <v>815</v>
      </c>
      <c r="F6311">
        <v>1.10799383777996E-8</v>
      </c>
      <c r="G6311">
        <v>5800232</v>
      </c>
      <c r="H6311">
        <v>12305139</v>
      </c>
      <c r="I6311">
        <v>20732941</v>
      </c>
      <c r="J6311">
        <v>22</v>
      </c>
    </row>
    <row r="6312" spans="1:10" x14ac:dyDescent="0.25">
      <c r="A6312" t="s">
        <v>52</v>
      </c>
      <c r="B6312" s="1" t="str">
        <f>HYPERLINK("http://pg-poecking.de","pg-poecking.de")</f>
        <v>pg-poecking.de</v>
      </c>
      <c r="C6312" t="s">
        <v>436</v>
      </c>
      <c r="D6312" t="s">
        <v>815</v>
      </c>
      <c r="F6312">
        <v>6.0130549773905598E-9</v>
      </c>
      <c r="G6312">
        <v>16604066</v>
      </c>
      <c r="H6312">
        <v>12073078</v>
      </c>
      <c r="I6312">
        <v>26728283</v>
      </c>
      <c r="J6312">
        <v>22</v>
      </c>
    </row>
    <row r="6313" spans="1:10" x14ac:dyDescent="0.25">
      <c r="A6313" t="s">
        <v>52</v>
      </c>
      <c r="B6313" s="1" t="str">
        <f>HYPERLINK("http://pg-wittislingen.de","pg-wittislingen.de")</f>
        <v>pg-wittislingen.de</v>
      </c>
      <c r="C6313" t="s">
        <v>436</v>
      </c>
      <c r="D6313" t="s">
        <v>815</v>
      </c>
      <c r="F6313">
        <v>4.9485268558272896E-9</v>
      </c>
      <c r="G6313">
        <v>30829938</v>
      </c>
      <c r="H6313">
        <v>10772415</v>
      </c>
      <c r="I6313">
        <v>39154576</v>
      </c>
      <c r="J6313">
        <v>22</v>
      </c>
    </row>
    <row r="6314" spans="1:10" x14ac:dyDescent="0.25">
      <c r="A6314" t="s">
        <v>52</v>
      </c>
      <c r="B6314" s="1" t="str">
        <f>HYPERLINK("http://q8oils.de","q8oils.de")</f>
        <v>q8oils.de</v>
      </c>
      <c r="C6314" t="s">
        <v>436</v>
      </c>
      <c r="D6314" t="s">
        <v>815</v>
      </c>
      <c r="F6314">
        <v>1.2409104361522599E-8</v>
      </c>
      <c r="G6314">
        <v>4934419</v>
      </c>
      <c r="H6314">
        <v>10770156</v>
      </c>
      <c r="I6314">
        <v>39238946</v>
      </c>
      <c r="J6314">
        <v>11</v>
      </c>
    </row>
    <row r="6315" spans="1:10" x14ac:dyDescent="0.25">
      <c r="A6315" t="s">
        <v>52</v>
      </c>
      <c r="B6315" s="1" t="str">
        <f>HYPERLINK("http://rast.de","rast.de")</f>
        <v>rast.de</v>
      </c>
      <c r="C6315" t="s">
        <v>436</v>
      </c>
      <c r="D6315" t="s">
        <v>815</v>
      </c>
      <c r="E6315">
        <v>514590</v>
      </c>
      <c r="F6315">
        <v>9.7013069470213197E-8</v>
      </c>
      <c r="G6315">
        <v>416494</v>
      </c>
      <c r="H6315">
        <v>14503601</v>
      </c>
      <c r="I6315">
        <v>842218</v>
      </c>
      <c r="J6315">
        <v>7</v>
      </c>
    </row>
    <row r="6316" spans="1:10" x14ac:dyDescent="0.25">
      <c r="A6316" t="s">
        <v>52</v>
      </c>
      <c r="B6316" s="1" t="str">
        <f>HYPERLINK("http://rasthof-hardtwald.de","rasthof-hardtwald.de")</f>
        <v>rasthof-hardtwald.de</v>
      </c>
      <c r="C6316" t="s">
        <v>436</v>
      </c>
      <c r="D6316" t="s">
        <v>815</v>
      </c>
      <c r="F6316">
        <v>4.4572161662656796E-9</v>
      </c>
      <c r="G6316">
        <v>68667821</v>
      </c>
      <c r="H6316">
        <v>12088417</v>
      </c>
      <c r="I6316">
        <v>26319219</v>
      </c>
      <c r="J6316">
        <v>8</v>
      </c>
    </row>
    <row r="6317" spans="1:10" x14ac:dyDescent="0.25">
      <c r="A6317" t="s">
        <v>52</v>
      </c>
      <c r="B6317" s="1" t="str">
        <f>HYPERLINK("http://raststaette-augsburg.de","raststaette-augsburg.de")</f>
        <v>raststaette-augsburg.de</v>
      </c>
      <c r="C6317" t="s">
        <v>436</v>
      </c>
      <c r="D6317" t="s">
        <v>815</v>
      </c>
      <c r="F6317">
        <v>7.0408252701115298E-9</v>
      </c>
      <c r="G6317">
        <v>12191279</v>
      </c>
      <c r="H6317">
        <v>13146133</v>
      </c>
      <c r="I6317">
        <v>11845077</v>
      </c>
      <c r="J6317">
        <v>15</v>
      </c>
    </row>
    <row r="6318" spans="1:10" x14ac:dyDescent="0.25">
      <c r="A6318" t="s">
        <v>52</v>
      </c>
      <c r="B6318" s="1" t="str">
        <f>HYPERLINK("http://reitberger-mineraloele.de","reitberger-mineraloele.de")</f>
        <v>reitberger-mineraloele.de</v>
      </c>
      <c r="C6318" t="s">
        <v>436</v>
      </c>
      <c r="D6318" t="s">
        <v>815</v>
      </c>
      <c r="F6318">
        <v>7.6703005233275207E-9</v>
      </c>
      <c r="G6318">
        <v>10643154</v>
      </c>
      <c r="H6318">
        <v>11979106</v>
      </c>
      <c r="I6318">
        <v>28518113</v>
      </c>
      <c r="J6318">
        <v>4</v>
      </c>
    </row>
    <row r="6319" spans="1:10" x14ac:dyDescent="0.25">
      <c r="A6319" t="s">
        <v>52</v>
      </c>
      <c r="B6319" s="1" t="str">
        <f>HYPERLINK("http://rosis-autohof.de","rosis-autohof.de")</f>
        <v>rosis-autohof.de</v>
      </c>
      <c r="C6319" t="s">
        <v>436</v>
      </c>
      <c r="D6319" t="s">
        <v>815</v>
      </c>
      <c r="F6319">
        <v>6.1218361898078098E-9</v>
      </c>
      <c r="G6319">
        <v>15969784</v>
      </c>
      <c r="H6319">
        <v>12841564</v>
      </c>
      <c r="I6319">
        <v>14339929</v>
      </c>
      <c r="J6319">
        <v>17</v>
      </c>
    </row>
    <row r="6320" spans="1:10" x14ac:dyDescent="0.25">
      <c r="A6320" t="s">
        <v>52</v>
      </c>
      <c r="B6320" s="1" t="str">
        <f>HYPERLINK("http://sanifair.de","sanifair.de")</f>
        <v>sanifair.de</v>
      </c>
      <c r="C6320" t="s">
        <v>436</v>
      </c>
      <c r="D6320" t="s">
        <v>815</v>
      </c>
      <c r="F6320">
        <v>2.9254855326115701E-8</v>
      </c>
      <c r="G6320">
        <v>1760846</v>
      </c>
      <c r="H6320">
        <v>13941971</v>
      </c>
      <c r="I6320">
        <v>4338970</v>
      </c>
      <c r="J6320">
        <v>8</v>
      </c>
    </row>
    <row r="6321" spans="1:10" x14ac:dyDescent="0.25">
      <c r="A6321" t="s">
        <v>52</v>
      </c>
      <c r="B6321" s="1" t="str">
        <f>HYPERLINK("http://sankt-konrad-burlafingen.de","sankt-konrad-burlafingen.de")</f>
        <v>sankt-konrad-burlafingen.de</v>
      </c>
      <c r="C6321" t="s">
        <v>436</v>
      </c>
      <c r="D6321" t="s">
        <v>815</v>
      </c>
      <c r="F6321">
        <v>4.9352832303765703E-9</v>
      </c>
      <c r="G6321">
        <v>31227135</v>
      </c>
      <c r="H6321">
        <v>10508703</v>
      </c>
      <c r="I6321">
        <v>50101628</v>
      </c>
      <c r="J6321">
        <v>18</v>
      </c>
    </row>
    <row r="6322" spans="1:10" x14ac:dyDescent="0.25">
      <c r="A6322" t="s">
        <v>52</v>
      </c>
      <c r="B6322" s="1" t="str">
        <f>HYPERLINK("http://schaal-tanken.de","schaal-tanken.de")</f>
        <v>schaal-tanken.de</v>
      </c>
      <c r="C6322" t="s">
        <v>436</v>
      </c>
      <c r="D6322" t="s">
        <v>815</v>
      </c>
      <c r="F6322">
        <v>6.5515191694611803E-9</v>
      </c>
      <c r="G6322">
        <v>13867575</v>
      </c>
      <c r="H6322">
        <v>10914746</v>
      </c>
      <c r="I6322">
        <v>35520865</v>
      </c>
      <c r="J6322">
        <v>17</v>
      </c>
    </row>
    <row r="6323" spans="1:10" x14ac:dyDescent="0.25">
      <c r="A6323" t="s">
        <v>52</v>
      </c>
      <c r="B6323" s="1" t="str">
        <f>HYPERLINK("http://schoepper-knoll.de","schoepper-knoll.de")</f>
        <v>schoepper-knoll.de</v>
      </c>
      <c r="C6323" t="s">
        <v>436</v>
      </c>
      <c r="D6323" t="s">
        <v>815</v>
      </c>
      <c r="F6323">
        <v>9.10457383838764E-9</v>
      </c>
      <c r="G6323">
        <v>7840619</v>
      </c>
      <c r="H6323">
        <v>12096429</v>
      </c>
      <c r="I6323">
        <v>26065219</v>
      </c>
      <c r="J6323">
        <v>14</v>
      </c>
    </row>
    <row r="6324" spans="1:10" x14ac:dyDescent="0.25">
      <c r="A6324" t="s">
        <v>52</v>
      </c>
      <c r="B6324" s="1" t="str">
        <f>HYPERLINK("http://seger-transporte.de","seger-transporte.de")</f>
        <v>seger-transporte.de</v>
      </c>
      <c r="C6324" t="s">
        <v>436</v>
      </c>
      <c r="D6324" t="s">
        <v>815</v>
      </c>
      <c r="F6324">
        <v>1.86652178761672E-8</v>
      </c>
      <c r="G6324">
        <v>2895678</v>
      </c>
      <c r="H6324">
        <v>12467183</v>
      </c>
      <c r="I6324">
        <v>17791091</v>
      </c>
      <c r="J6324">
        <v>14</v>
      </c>
    </row>
    <row r="6325" spans="1:10" x14ac:dyDescent="0.25">
      <c r="A6325" t="s">
        <v>52</v>
      </c>
      <c r="B6325" s="1" t="str">
        <f>HYPERLINK("http://serways.de","serways.de")</f>
        <v>serways.de</v>
      </c>
      <c r="C6325" t="s">
        <v>436</v>
      </c>
      <c r="D6325" t="s">
        <v>815</v>
      </c>
      <c r="F6325">
        <v>3.4683752056688999E-8</v>
      </c>
      <c r="G6325">
        <v>1496291</v>
      </c>
      <c r="H6325">
        <v>13778488</v>
      </c>
      <c r="I6325">
        <v>6520043</v>
      </c>
      <c r="J6325">
        <v>13</v>
      </c>
    </row>
    <row r="6326" spans="1:10" x14ac:dyDescent="0.25">
      <c r="A6326" t="s">
        <v>52</v>
      </c>
      <c r="B6326" s="1" t="str">
        <f>HYPERLINK("http://serways-hotel.de","serways-hotel.de")</f>
        <v>serways-hotel.de</v>
      </c>
      <c r="C6326" t="s">
        <v>436</v>
      </c>
      <c r="D6326" t="s">
        <v>815</v>
      </c>
      <c r="F6326">
        <v>5.5776958475162299E-9</v>
      </c>
      <c r="G6326">
        <v>20078076</v>
      </c>
      <c r="H6326">
        <v>10352002</v>
      </c>
      <c r="I6326">
        <v>56091135</v>
      </c>
      <c r="J6326">
        <v>19</v>
      </c>
    </row>
    <row r="6327" spans="1:10" x14ac:dyDescent="0.25">
      <c r="A6327" t="s">
        <v>52</v>
      </c>
      <c r="B6327" s="1" t="str">
        <f>HYPERLINK("http://serways-hotels.de","serways-hotels.de")</f>
        <v>serways-hotels.de</v>
      </c>
      <c r="C6327" t="s">
        <v>436</v>
      </c>
      <c r="D6327" t="s">
        <v>815</v>
      </c>
      <c r="F6327">
        <v>7.2576306439790202E-9</v>
      </c>
      <c r="G6327">
        <v>11584970</v>
      </c>
      <c r="H6327">
        <v>12310840</v>
      </c>
      <c r="I6327">
        <v>20598857</v>
      </c>
      <c r="J6327">
        <v>17</v>
      </c>
    </row>
    <row r="6328" spans="1:10" x14ac:dyDescent="0.25">
      <c r="A6328" t="s">
        <v>52</v>
      </c>
      <c r="B6328" s="1" t="str">
        <f>HYPERLINK("http://st-max.de","st-max.de")</f>
        <v>st-max.de</v>
      </c>
      <c r="C6328" t="s">
        <v>436</v>
      </c>
      <c r="D6328" t="s">
        <v>815</v>
      </c>
      <c r="F6328">
        <v>7.76624930467272E-9</v>
      </c>
      <c r="G6328">
        <v>10399844</v>
      </c>
      <c r="H6328">
        <v>11238622</v>
      </c>
      <c r="I6328">
        <v>30975626</v>
      </c>
      <c r="J6328">
        <v>22</v>
      </c>
    </row>
    <row r="6329" spans="1:10" x14ac:dyDescent="0.25">
      <c r="A6329" t="s">
        <v>52</v>
      </c>
      <c r="B6329" s="1" t="str">
        <f>HYPERLINK("http://tamoil.de","tamoil.de")</f>
        <v>tamoil.de</v>
      </c>
      <c r="C6329" t="s">
        <v>436</v>
      </c>
      <c r="D6329" t="s">
        <v>815</v>
      </c>
      <c r="F6329">
        <v>6.1730292448008302E-9</v>
      </c>
      <c r="G6329">
        <v>15676432</v>
      </c>
      <c r="H6329">
        <v>13081179</v>
      </c>
      <c r="I6329">
        <v>12183382</v>
      </c>
      <c r="J6329">
        <v>6</v>
      </c>
    </row>
    <row r="6330" spans="1:10" x14ac:dyDescent="0.25">
      <c r="A6330" t="s">
        <v>52</v>
      </c>
      <c r="B6330" s="1" t="str">
        <f>HYPERLINK("http://tankstelle.de","tankstelle.de")</f>
        <v>tankstelle.de</v>
      </c>
      <c r="C6330" t="s">
        <v>436</v>
      </c>
      <c r="D6330" t="s">
        <v>815</v>
      </c>
      <c r="F6330">
        <v>1.6598301442438201E-8</v>
      </c>
      <c r="G6330">
        <v>3389755</v>
      </c>
      <c r="H6330">
        <v>12874308</v>
      </c>
      <c r="I6330">
        <v>14039667</v>
      </c>
      <c r="J6330">
        <v>4</v>
      </c>
    </row>
    <row r="6331" spans="1:10" x14ac:dyDescent="0.25">
      <c r="A6331" t="s">
        <v>52</v>
      </c>
      <c r="B6331" s="1" t="str">
        <f>HYPERLINK("http://tankstelle-stollhamm.de","tankstelle-stollhamm.de")</f>
        <v>tankstelle-stollhamm.de</v>
      </c>
      <c r="C6331" t="s">
        <v>436</v>
      </c>
      <c r="D6331" t="s">
        <v>815</v>
      </c>
      <c r="F6331">
        <v>5.1287862078445298E-9</v>
      </c>
      <c r="G6331">
        <v>26478727</v>
      </c>
      <c r="H6331">
        <v>12246769</v>
      </c>
      <c r="I6331">
        <v>22078290</v>
      </c>
      <c r="J6331">
        <v>14</v>
      </c>
    </row>
    <row r="6332" spans="1:10" x14ac:dyDescent="0.25">
      <c r="A6332" t="s">
        <v>52</v>
      </c>
      <c r="B6332" s="1" t="str">
        <f>HYPERLINK("http://tessol.de","tessol.de")</f>
        <v>tessol.de</v>
      </c>
      <c r="C6332" t="s">
        <v>436</v>
      </c>
      <c r="D6332" t="s">
        <v>815</v>
      </c>
      <c r="F6332">
        <v>6.7841596445911497E-9</v>
      </c>
      <c r="G6332">
        <v>13013518</v>
      </c>
      <c r="H6332">
        <v>10888314</v>
      </c>
      <c r="I6332">
        <v>36143409</v>
      </c>
      <c r="J6332">
        <v>14</v>
      </c>
    </row>
    <row r="6333" spans="1:10" x14ac:dyDescent="0.25">
      <c r="A6333" t="s">
        <v>52</v>
      </c>
      <c r="B6333" s="1" t="str">
        <f>HYPERLINK("http://thelen-mineraloele.de","thelen-mineraloele.de")</f>
        <v>thelen-mineraloele.de</v>
      </c>
      <c r="C6333" t="s">
        <v>436</v>
      </c>
      <c r="D6333" t="s">
        <v>815</v>
      </c>
      <c r="F6333">
        <v>7.6474106764816992E-9</v>
      </c>
      <c r="G6333">
        <v>10691221</v>
      </c>
      <c r="H6333">
        <v>12757887</v>
      </c>
      <c r="I6333">
        <v>14974386</v>
      </c>
      <c r="J6333">
        <v>14</v>
      </c>
    </row>
    <row r="6334" spans="1:10" x14ac:dyDescent="0.25">
      <c r="A6334" t="s">
        <v>52</v>
      </c>
      <c r="B6334" s="1" t="str">
        <f>HYPERLINK("http://truckstop-schwarmstedt.de","truckstop-schwarmstedt.de")</f>
        <v>truckstop-schwarmstedt.de</v>
      </c>
      <c r="C6334" t="s">
        <v>436</v>
      </c>
      <c r="D6334" t="s">
        <v>815</v>
      </c>
      <c r="F6334">
        <v>4.6086072740020002E-9</v>
      </c>
      <c r="G6334">
        <v>46949661</v>
      </c>
      <c r="H6334">
        <v>9658191</v>
      </c>
      <c r="I6334">
        <v>63827009</v>
      </c>
      <c r="J6334">
        <v>4</v>
      </c>
    </row>
    <row r="6335" spans="1:10" x14ac:dyDescent="0.25">
      <c r="A6335" t="s">
        <v>52</v>
      </c>
      <c r="B6335" s="1" t="str">
        <f>HYPERLINK("http://volksbank-jever.de","volksbank-jever.de")</f>
        <v>volksbank-jever.de</v>
      </c>
      <c r="C6335" t="s">
        <v>436</v>
      </c>
      <c r="D6335" t="s">
        <v>815</v>
      </c>
      <c r="F6335">
        <v>2.4066440959139799E-8</v>
      </c>
      <c r="G6335">
        <v>2156511</v>
      </c>
      <c r="H6335">
        <v>13298596</v>
      </c>
      <c r="I6335">
        <v>10837397</v>
      </c>
      <c r="J6335">
        <v>18</v>
      </c>
    </row>
    <row r="6336" spans="1:10" x14ac:dyDescent="0.25">
      <c r="A6336" t="s">
        <v>52</v>
      </c>
      <c r="B6336" s="1" t="str">
        <f>HYPERLINK("http://vr-bank-bayreuth.de","vr-bank-bayreuth.de")</f>
        <v>vr-bank-bayreuth.de</v>
      </c>
      <c r="C6336" t="s">
        <v>436</v>
      </c>
      <c r="D6336" t="s">
        <v>815</v>
      </c>
      <c r="F6336">
        <v>5.3790879581665603E-9</v>
      </c>
      <c r="G6336">
        <v>22430613</v>
      </c>
      <c r="H6336">
        <v>10185683</v>
      </c>
      <c r="I6336">
        <v>59149719</v>
      </c>
      <c r="J6336">
        <v>18</v>
      </c>
    </row>
    <row r="6337" spans="1:10" x14ac:dyDescent="0.25">
      <c r="A6337" t="s">
        <v>52</v>
      </c>
      <c r="B6337" s="1" t="str">
        <f>HYPERLINK("http://vr-web.de","vr-web.de")</f>
        <v>vr-web.de</v>
      </c>
      <c r="C6337" t="s">
        <v>436</v>
      </c>
      <c r="D6337" t="s">
        <v>815</v>
      </c>
      <c r="E6337">
        <v>555933</v>
      </c>
      <c r="F6337">
        <v>9.0719546152011698E-8</v>
      </c>
      <c r="G6337">
        <v>449540</v>
      </c>
      <c r="H6337">
        <v>14591914</v>
      </c>
      <c r="I6337">
        <v>694101</v>
      </c>
      <c r="J6337">
        <v>16</v>
      </c>
    </row>
    <row r="6338" spans="1:10" x14ac:dyDescent="0.25">
      <c r="A6338" t="s">
        <v>52</v>
      </c>
      <c r="B6338" s="1" t="str">
        <f>HYPERLINK("http://vrweb.de","vrweb.de")</f>
        <v>vrweb.de</v>
      </c>
      <c r="C6338" t="s">
        <v>436</v>
      </c>
      <c r="D6338" t="s">
        <v>815</v>
      </c>
      <c r="E6338">
        <v>764370</v>
      </c>
      <c r="F6338">
        <v>6.175928909703E-8</v>
      </c>
      <c r="G6338">
        <v>712243</v>
      </c>
      <c r="H6338">
        <v>14577891</v>
      </c>
      <c r="I6338">
        <v>716413</v>
      </c>
      <c r="J6338">
        <v>18</v>
      </c>
    </row>
    <row r="6339" spans="1:10" x14ac:dyDescent="0.25">
      <c r="A6339" t="s">
        <v>52</v>
      </c>
      <c r="B6339" s="1" t="str">
        <f>HYPERLINK("http://w-tausendschoen.de","w-tausendschoen.de")</f>
        <v>w-tausendschoen.de</v>
      </c>
      <c r="C6339" t="s">
        <v>436</v>
      </c>
      <c r="D6339" t="s">
        <v>815</v>
      </c>
      <c r="J6339">
        <v>14</v>
      </c>
    </row>
    <row r="6340" spans="1:10" x14ac:dyDescent="0.25">
      <c r="A6340" t="s">
        <v>52</v>
      </c>
      <c r="B6340" s="1" t="str">
        <f>HYPERLINK("http://airgreenland.dk","airgreenland.dk")</f>
        <v>airgreenland.dk</v>
      </c>
      <c r="C6340" t="s">
        <v>437</v>
      </c>
      <c r="D6340" t="s">
        <v>816</v>
      </c>
      <c r="F6340">
        <v>7.7500340598696494E-8</v>
      </c>
      <c r="G6340">
        <v>540075</v>
      </c>
      <c r="H6340">
        <v>17036498</v>
      </c>
      <c r="I6340">
        <v>80903</v>
      </c>
      <c r="J6340">
        <v>15</v>
      </c>
    </row>
    <row r="6341" spans="1:10" x14ac:dyDescent="0.25">
      <c r="A6341" t="s">
        <v>52</v>
      </c>
      <c r="B6341" s="1" t="str">
        <f>HYPERLINK("http://q8.dk","q8.dk")</f>
        <v>q8.dk</v>
      </c>
      <c r="C6341" t="s">
        <v>437</v>
      </c>
      <c r="D6341" t="s">
        <v>816</v>
      </c>
      <c r="E6341">
        <v>695995</v>
      </c>
      <c r="F6341">
        <v>1.07235580358068E-7</v>
      </c>
      <c r="G6341">
        <v>373345</v>
      </c>
      <c r="H6341">
        <v>16928282</v>
      </c>
      <c r="I6341">
        <v>119736</v>
      </c>
      <c r="J6341">
        <v>10</v>
      </c>
    </row>
    <row r="6342" spans="1:10" x14ac:dyDescent="0.25">
      <c r="A6342" t="s">
        <v>52</v>
      </c>
      <c r="B6342" s="1" t="str">
        <f>HYPERLINK("http://ral.dk","ral.dk")</f>
        <v>ral.dk</v>
      </c>
      <c r="C6342" t="s">
        <v>437</v>
      </c>
      <c r="D6342" t="s">
        <v>816</v>
      </c>
      <c r="F6342">
        <v>2.77050866762848E-8</v>
      </c>
      <c r="G6342">
        <v>1855903</v>
      </c>
      <c r="H6342">
        <v>14241444</v>
      </c>
      <c r="I6342">
        <v>1491923</v>
      </c>
      <c r="J6342">
        <v>17</v>
      </c>
    </row>
    <row r="6343" spans="1:10" x14ac:dyDescent="0.25">
      <c r="A6343" t="s">
        <v>52</v>
      </c>
      <c r="B6343" s="1" t="str">
        <f>HYPERLINK("http://bp.email","bp.email")</f>
        <v>bp.email</v>
      </c>
      <c r="C6343" t="s">
        <v>736</v>
      </c>
      <c r="F6343">
        <v>1.0837145450021701E-8</v>
      </c>
      <c r="G6343">
        <v>5990696</v>
      </c>
      <c r="H6343">
        <v>12859922</v>
      </c>
      <c r="I6343">
        <v>14200775</v>
      </c>
      <c r="J6343">
        <v>2</v>
      </c>
    </row>
    <row r="6344" spans="1:10" x14ac:dyDescent="0.25">
      <c r="A6344" t="s">
        <v>52</v>
      </c>
      <c r="B6344" s="1" t="str">
        <f>HYPERLINK("http://procode.email","procode.email")</f>
        <v>procode.email</v>
      </c>
      <c r="C6344" t="s">
        <v>736</v>
      </c>
      <c r="J6344">
        <v>5</v>
      </c>
    </row>
    <row r="6345" spans="1:10" x14ac:dyDescent="0.25">
      <c r="A6345" t="s">
        <v>52</v>
      </c>
      <c r="B6345" s="1" t="str">
        <f>HYPERLINK("http://aviaenergias.es","aviaenergias.es")</f>
        <v>aviaenergias.es</v>
      </c>
      <c r="C6345" t="s">
        <v>443</v>
      </c>
      <c r="D6345" t="s">
        <v>822</v>
      </c>
      <c r="F6345">
        <v>5.9609655975734199E-8</v>
      </c>
      <c r="G6345">
        <v>741364</v>
      </c>
      <c r="H6345">
        <v>13390982</v>
      </c>
      <c r="I6345">
        <v>10389511</v>
      </c>
      <c r="J6345">
        <v>14</v>
      </c>
    </row>
    <row r="6346" spans="1:10" x14ac:dyDescent="0.25">
      <c r="A6346" t="s">
        <v>52</v>
      </c>
      <c r="B6346" s="1" t="str">
        <f>HYPERLINK("http://castrol.es","castrol.es")</f>
        <v>castrol.es</v>
      </c>
      <c r="C6346" t="s">
        <v>443</v>
      </c>
      <c r="D6346" t="s">
        <v>822</v>
      </c>
      <c r="F6346">
        <v>7.7544585633420701E-9</v>
      </c>
      <c r="G6346">
        <v>10457794</v>
      </c>
      <c r="H6346">
        <v>13765038</v>
      </c>
      <c r="I6346">
        <v>7154627</v>
      </c>
      <c r="J6346">
        <v>4</v>
      </c>
    </row>
    <row r="6347" spans="1:10" x14ac:dyDescent="0.25">
      <c r="A6347" t="s">
        <v>52</v>
      </c>
      <c r="B6347" s="1" t="str">
        <f>HYPERLINK("http://bp.com.es","bp.com.es")</f>
        <v>bp.com.es</v>
      </c>
      <c r="C6347" t="s">
        <v>443</v>
      </c>
      <c r="D6347" t="s">
        <v>822</v>
      </c>
      <c r="F6347">
        <v>1.11803947123509E-8</v>
      </c>
      <c r="G6347">
        <v>5726774</v>
      </c>
      <c r="H6347">
        <v>12860120</v>
      </c>
      <c r="I6347">
        <v>14199770</v>
      </c>
      <c r="J6347">
        <v>2</v>
      </c>
    </row>
    <row r="6348" spans="1:10" x14ac:dyDescent="0.25">
      <c r="A6348" t="s">
        <v>52</v>
      </c>
      <c r="B6348" s="1" t="str">
        <f>HYPERLINK("http://esergui.es","esergui.es")</f>
        <v>esergui.es</v>
      </c>
      <c r="C6348" t="s">
        <v>443</v>
      </c>
      <c r="D6348" t="s">
        <v>822</v>
      </c>
      <c r="F6348">
        <v>7.3980770948785096E-9</v>
      </c>
      <c r="G6348">
        <v>11248076</v>
      </c>
      <c r="H6348">
        <v>10397370</v>
      </c>
      <c r="I6348">
        <v>54280339</v>
      </c>
      <c r="J6348">
        <v>14</v>
      </c>
    </row>
    <row r="6349" spans="1:10" x14ac:dyDescent="0.25">
      <c r="A6349" t="s">
        <v>52</v>
      </c>
      <c r="B6349" s="1" t="str">
        <f>HYPERLINK("http://q8oils.es","q8oils.es")</f>
        <v>q8oils.es</v>
      </c>
      <c r="C6349" t="s">
        <v>443</v>
      </c>
      <c r="D6349" t="s">
        <v>822</v>
      </c>
      <c r="F6349">
        <v>9.8960657347653597E-9</v>
      </c>
      <c r="G6349">
        <v>6863539</v>
      </c>
      <c r="H6349">
        <v>10427365</v>
      </c>
      <c r="I6349">
        <v>53878254</v>
      </c>
      <c r="J6349">
        <v>11</v>
      </c>
    </row>
    <row r="6350" spans="1:10" x14ac:dyDescent="0.25">
      <c r="A6350" t="s">
        <v>52</v>
      </c>
      <c r="B6350" s="1" t="str">
        <f>HYPERLINK("http://food-plus.eu","food-plus.eu")</f>
        <v>food-plus.eu</v>
      </c>
      <c r="C6350" t="s">
        <v>444</v>
      </c>
      <c r="F6350">
        <v>4.5921218179020304E-9</v>
      </c>
      <c r="G6350">
        <v>48234507</v>
      </c>
      <c r="H6350">
        <v>8577620</v>
      </c>
      <c r="I6350">
        <v>71004091</v>
      </c>
      <c r="J6350">
        <v>11</v>
      </c>
    </row>
    <row r="6351" spans="1:10" x14ac:dyDescent="0.25">
      <c r="A6351" t="s">
        <v>52</v>
      </c>
      <c r="B6351" s="1" t="str">
        <f>HYPERLINK("http://avifuels.fi","avifuels.fi")</f>
        <v>avifuels.fi</v>
      </c>
      <c r="C6351" t="s">
        <v>445</v>
      </c>
      <c r="D6351" t="s">
        <v>823</v>
      </c>
      <c r="J6351">
        <v>4</v>
      </c>
    </row>
    <row r="6352" spans="1:10" x14ac:dyDescent="0.25">
      <c r="A6352" t="s">
        <v>52</v>
      </c>
      <c r="B6352" s="1" t="str">
        <f>HYPERLINK("http://blue1.fi","blue1.fi")</f>
        <v>blue1.fi</v>
      </c>
      <c r="C6352" t="s">
        <v>445</v>
      </c>
      <c r="D6352" t="s">
        <v>823</v>
      </c>
      <c r="F6352">
        <v>6.6690966348623502E-9</v>
      </c>
      <c r="G6352">
        <v>13415259</v>
      </c>
      <c r="H6352">
        <v>14236434</v>
      </c>
      <c r="I6352">
        <v>1586173</v>
      </c>
      <c r="J6352">
        <v>15</v>
      </c>
    </row>
    <row r="6353" spans="1:10" x14ac:dyDescent="0.25">
      <c r="A6353" t="s">
        <v>52</v>
      </c>
      <c r="B6353" s="1" t="str">
        <f>HYPERLINK("http://blue1sas.fi","blue1sas.fi")</f>
        <v>blue1sas.fi</v>
      </c>
      <c r="C6353" t="s">
        <v>445</v>
      </c>
      <c r="D6353" t="s">
        <v>823</v>
      </c>
      <c r="J6353">
        <v>15</v>
      </c>
    </row>
    <row r="6354" spans="1:10" x14ac:dyDescent="0.25">
      <c r="A6354" t="s">
        <v>52</v>
      </c>
      <c r="B6354" s="1" t="str">
        <f>HYPERLINK("http://blueone.fi","blueone.fi")</f>
        <v>blueone.fi</v>
      </c>
      <c r="C6354" t="s">
        <v>445</v>
      </c>
      <c r="D6354" t="s">
        <v>823</v>
      </c>
      <c r="J6354">
        <v>15</v>
      </c>
    </row>
    <row r="6355" spans="1:10" x14ac:dyDescent="0.25">
      <c r="A6355" t="s">
        <v>52</v>
      </c>
      <c r="B6355" s="1" t="str">
        <f>HYPERLINK("http://castrol.fi","castrol.fi")</f>
        <v>castrol.fi</v>
      </c>
      <c r="C6355" t="s">
        <v>445</v>
      </c>
      <c r="D6355" t="s">
        <v>823</v>
      </c>
      <c r="F6355">
        <v>1.08485932207091E-8</v>
      </c>
      <c r="G6355">
        <v>5981928</v>
      </c>
      <c r="H6355">
        <v>11132097</v>
      </c>
      <c r="I6355">
        <v>31924517</v>
      </c>
      <c r="J6355">
        <v>4</v>
      </c>
    </row>
    <row r="6356" spans="1:10" x14ac:dyDescent="0.25">
      <c r="A6356" t="s">
        <v>52</v>
      </c>
      <c r="B6356" s="1" t="str">
        <f>HYPERLINK("http://castroledge.fi","castroledge.fi")</f>
        <v>castroledge.fi</v>
      </c>
      <c r="C6356" t="s">
        <v>445</v>
      </c>
      <c r="D6356" t="s">
        <v>823</v>
      </c>
      <c r="J6356">
        <v>6</v>
      </c>
    </row>
    <row r="6357" spans="1:10" x14ac:dyDescent="0.25">
      <c r="A6357" t="s">
        <v>52</v>
      </c>
      <c r="B6357" s="1" t="str">
        <f>HYPERLINK("http://kraftpojkarna.fi","kraftpojkarna.fi")</f>
        <v>kraftpojkarna.fi</v>
      </c>
      <c r="C6357" t="s">
        <v>445</v>
      </c>
      <c r="D6357" t="s">
        <v>823</v>
      </c>
      <c r="J6357">
        <v>14</v>
      </c>
    </row>
    <row r="6358" spans="1:10" x14ac:dyDescent="0.25">
      <c r="A6358" t="s">
        <v>52</v>
      </c>
      <c r="B6358" s="1" t="str">
        <f>HYPERLINK("http://looandme.fi","looandme.fi")</f>
        <v>looandme.fi</v>
      </c>
      <c r="C6358" t="s">
        <v>445</v>
      </c>
      <c r="D6358" t="s">
        <v>823</v>
      </c>
      <c r="J6358">
        <v>10</v>
      </c>
    </row>
    <row r="6359" spans="1:10" x14ac:dyDescent="0.25">
      <c r="A6359" t="s">
        <v>52</v>
      </c>
      <c r="B6359" s="1" t="str">
        <f>HYPERLINK("http://myprivatebathroom.fi","myprivatebathroom.fi")</f>
        <v>myprivatebathroom.fi</v>
      </c>
      <c r="C6359" t="s">
        <v>445</v>
      </c>
      <c r="D6359" t="s">
        <v>823</v>
      </c>
      <c r="J6359">
        <v>10</v>
      </c>
    </row>
    <row r="6360" spans="1:10" x14ac:dyDescent="0.25">
      <c r="A6360" t="s">
        <v>52</v>
      </c>
      <c r="B6360" s="1" t="str">
        <f>HYPERLINK("http://okq8.fi","okq8.fi")</f>
        <v>okq8.fi</v>
      </c>
      <c r="C6360" t="s">
        <v>445</v>
      </c>
      <c r="D6360" t="s">
        <v>823</v>
      </c>
      <c r="J6360">
        <v>14</v>
      </c>
    </row>
    <row r="6361" spans="1:10" x14ac:dyDescent="0.25">
      <c r="A6361" t="s">
        <v>52</v>
      </c>
      <c r="B6361" s="1" t="str">
        <f>HYPERLINK("http://avia-france.fr","avia-france.fr")</f>
        <v>avia-france.fr</v>
      </c>
      <c r="C6361" t="s">
        <v>446</v>
      </c>
      <c r="D6361" t="s">
        <v>824</v>
      </c>
      <c r="F6361">
        <v>2.96804630466884E-8</v>
      </c>
      <c r="G6361">
        <v>1734540</v>
      </c>
      <c r="H6361">
        <v>14038225</v>
      </c>
      <c r="I6361">
        <v>3911112</v>
      </c>
      <c r="J6361">
        <v>14</v>
      </c>
    </row>
    <row r="6362" spans="1:10" x14ac:dyDescent="0.25">
      <c r="A6362" t="s">
        <v>52</v>
      </c>
      <c r="B6362" s="1" t="str">
        <f>HYPERLINK("http://castrol.fr","castrol.fr")</f>
        <v>castrol.fr</v>
      </c>
      <c r="C6362" t="s">
        <v>446</v>
      </c>
      <c r="D6362" t="s">
        <v>824</v>
      </c>
      <c r="F6362">
        <v>7.44386947832593E-9</v>
      </c>
      <c r="G6362">
        <v>11140833</v>
      </c>
      <c r="H6362">
        <v>11132209</v>
      </c>
      <c r="I6362">
        <v>31923071</v>
      </c>
      <c r="J6362">
        <v>4</v>
      </c>
    </row>
    <row r="6363" spans="1:10" x14ac:dyDescent="0.25">
      <c r="A6363" t="s">
        <v>52</v>
      </c>
      <c r="B6363" s="1" t="str">
        <f>HYPERLINK("http://garage-parisi-claude.fr","garage-parisi-claude.fr")</f>
        <v>garage-parisi-claude.fr</v>
      </c>
      <c r="C6363" t="s">
        <v>446</v>
      </c>
      <c r="D6363" t="s">
        <v>824</v>
      </c>
      <c r="J6363">
        <v>14</v>
      </c>
    </row>
    <row r="6364" spans="1:10" x14ac:dyDescent="0.25">
      <c r="A6364" t="s">
        <v>52</v>
      </c>
      <c r="B6364" s="1" t="str">
        <f>HYPERLINK("http://picoty.fr","picoty.fr")</f>
        <v>picoty.fr</v>
      </c>
      <c r="C6364" t="s">
        <v>446</v>
      </c>
      <c r="D6364" t="s">
        <v>824</v>
      </c>
      <c r="F6364">
        <v>2.4308561491822999E-8</v>
      </c>
      <c r="G6364">
        <v>2133058</v>
      </c>
      <c r="H6364">
        <v>14081200</v>
      </c>
      <c r="I6364">
        <v>2812575</v>
      </c>
      <c r="J6364">
        <v>14</v>
      </c>
    </row>
    <row r="6365" spans="1:10" x14ac:dyDescent="0.25">
      <c r="A6365" t="s">
        <v>52</v>
      </c>
      <c r="B6365" s="1" t="str">
        <f>HYPERLINK("http://q8oils.fr","q8oils.fr")</f>
        <v>q8oils.fr</v>
      </c>
      <c r="C6365" t="s">
        <v>446</v>
      </c>
      <c r="D6365" t="s">
        <v>824</v>
      </c>
      <c r="F6365">
        <v>1.2809995649646501E-8</v>
      </c>
      <c r="G6365">
        <v>4723716</v>
      </c>
      <c r="H6365">
        <v>10266922</v>
      </c>
      <c r="I6365">
        <v>58576127</v>
      </c>
      <c r="J6365">
        <v>11</v>
      </c>
    </row>
    <row r="6366" spans="1:10" x14ac:dyDescent="0.25">
      <c r="A6366" t="s">
        <v>52</v>
      </c>
      <c r="B6366" s="1" t="str">
        <f>HYPERLINK("http://saphirhotel.fr","saphirhotel.fr")</f>
        <v>saphirhotel.fr</v>
      </c>
      <c r="C6366" t="s">
        <v>446</v>
      </c>
      <c r="D6366" t="s">
        <v>824</v>
      </c>
      <c r="F6366">
        <v>6.4812405510960896E-9</v>
      </c>
      <c r="G6366">
        <v>14157503</v>
      </c>
      <c r="H6366">
        <v>11129545</v>
      </c>
      <c r="I6366">
        <v>31951646</v>
      </c>
      <c r="J6366">
        <v>14</v>
      </c>
    </row>
    <row r="6367" spans="1:10" x14ac:dyDescent="0.25">
      <c r="A6367" t="s">
        <v>52</v>
      </c>
      <c r="B6367" s="1" t="str">
        <f>HYPERLINK("http://stationsbp.fr","stationsbp.fr")</f>
        <v>stationsbp.fr</v>
      </c>
      <c r="C6367" t="s">
        <v>446</v>
      </c>
      <c r="D6367" t="s">
        <v>824</v>
      </c>
      <c r="F6367">
        <v>4.1886095175830199E-8</v>
      </c>
      <c r="G6367">
        <v>1172857</v>
      </c>
      <c r="H6367">
        <v>13220411</v>
      </c>
      <c r="I6367">
        <v>11334887</v>
      </c>
      <c r="J6367">
        <v>3</v>
      </c>
    </row>
    <row r="6368" spans="1:10" x14ac:dyDescent="0.25">
      <c r="A6368" t="s">
        <v>52</v>
      </c>
      <c r="B6368" s="1" t="str">
        <f>HYPERLINK("http://stationvalleeverte.fr","stationvalleeverte.fr")</f>
        <v>stationvalleeverte.fr</v>
      </c>
      <c r="C6368" t="s">
        <v>446</v>
      </c>
      <c r="D6368" t="s">
        <v>824</v>
      </c>
      <c r="F6368">
        <v>4.5096029030386003E-9</v>
      </c>
      <c r="G6368">
        <v>57554965</v>
      </c>
      <c r="H6368">
        <v>8653136</v>
      </c>
      <c r="I6368">
        <v>70346534</v>
      </c>
      <c r="J6368">
        <v>14</v>
      </c>
    </row>
    <row r="6369" spans="1:10" x14ac:dyDescent="0.25">
      <c r="A6369" t="s">
        <v>52</v>
      </c>
      <c r="B6369" s="1" t="str">
        <f>HYPERLINK("http://airgreenland.gl","airgreenland.gl")</f>
        <v>airgreenland.gl</v>
      </c>
      <c r="C6369" t="s">
        <v>642</v>
      </c>
      <c r="D6369" t="s">
        <v>963</v>
      </c>
      <c r="F6369">
        <v>3.32019616551026E-8</v>
      </c>
      <c r="G6369">
        <v>1556251</v>
      </c>
      <c r="H6369">
        <v>14099216</v>
      </c>
      <c r="I6369">
        <v>2712507</v>
      </c>
      <c r="J6369">
        <v>15</v>
      </c>
    </row>
    <row r="6370" spans="1:10" x14ac:dyDescent="0.25">
      <c r="A6370" t="s">
        <v>52</v>
      </c>
      <c r="B6370" s="1" t="str">
        <f>HYPERLINK("http://aul.gl","aul.gl")</f>
        <v>aul.gl</v>
      </c>
      <c r="C6370" t="s">
        <v>642</v>
      </c>
      <c r="D6370" t="s">
        <v>963</v>
      </c>
      <c r="F6370">
        <v>2.74979721553494E-8</v>
      </c>
      <c r="G6370">
        <v>1869618</v>
      </c>
      <c r="H6370">
        <v>14855838</v>
      </c>
      <c r="I6370">
        <v>487193</v>
      </c>
      <c r="J6370">
        <v>15</v>
      </c>
    </row>
    <row r="6371" spans="1:10" x14ac:dyDescent="0.25">
      <c r="A6371" t="s">
        <v>52</v>
      </c>
      <c r="B6371" s="1" t="str">
        <f>HYPERLINK("http://hotel-arctic.gl","hotel-arctic.gl")</f>
        <v>hotel-arctic.gl</v>
      </c>
      <c r="C6371" t="s">
        <v>642</v>
      </c>
      <c r="D6371" t="s">
        <v>963</v>
      </c>
      <c r="F6371">
        <v>1.0787085717548801E-8</v>
      </c>
      <c r="G6371">
        <v>6030942</v>
      </c>
      <c r="H6371">
        <v>14388829</v>
      </c>
      <c r="I6371">
        <v>1172068</v>
      </c>
      <c r="J6371">
        <v>17</v>
      </c>
    </row>
    <row r="6372" spans="1:10" x14ac:dyDescent="0.25">
      <c r="A6372" t="s">
        <v>52</v>
      </c>
      <c r="B6372" s="1" t="str">
        <f>HYPERLINK("http://ral.gl","ral.gl")</f>
        <v>ral.gl</v>
      </c>
      <c r="C6372" t="s">
        <v>642</v>
      </c>
      <c r="D6372" t="s">
        <v>963</v>
      </c>
      <c r="F6372">
        <v>2.78610731012793E-8</v>
      </c>
      <c r="G6372">
        <v>1846020</v>
      </c>
      <c r="H6372">
        <v>14577957</v>
      </c>
      <c r="I6372">
        <v>716209</v>
      </c>
      <c r="J6372">
        <v>16</v>
      </c>
    </row>
    <row r="6373" spans="1:10" x14ac:dyDescent="0.25">
      <c r="A6373" t="s">
        <v>52</v>
      </c>
      <c r="B6373" s="1" t="str">
        <f>HYPERLINK("http://chinapower.hk","chinapower.hk")</f>
        <v>chinapower.hk</v>
      </c>
      <c r="C6373" t="s">
        <v>450</v>
      </c>
      <c r="D6373" t="s">
        <v>827</v>
      </c>
      <c r="F6373">
        <v>2.35135640629703E-8</v>
      </c>
      <c r="G6373">
        <v>2213165</v>
      </c>
      <c r="H6373">
        <v>14035174</v>
      </c>
      <c r="I6373">
        <v>3916612</v>
      </c>
      <c r="J6373">
        <v>5</v>
      </c>
    </row>
    <row r="6374" spans="1:10" x14ac:dyDescent="0.25">
      <c r="A6374" t="s">
        <v>52</v>
      </c>
      <c r="B6374" s="1" t="str">
        <f>HYPERLINK("http://avia.hu","avia.hu")</f>
        <v>avia.hu</v>
      </c>
      <c r="C6374" t="s">
        <v>453</v>
      </c>
      <c r="D6374" t="s">
        <v>830</v>
      </c>
      <c r="F6374">
        <v>8.3695468951753394E-9</v>
      </c>
      <c r="G6374">
        <v>9105653</v>
      </c>
      <c r="H6374">
        <v>13763729</v>
      </c>
      <c r="I6374">
        <v>7722999</v>
      </c>
      <c r="J6374">
        <v>14</v>
      </c>
    </row>
    <row r="6375" spans="1:10" x14ac:dyDescent="0.25">
      <c r="A6375" t="s">
        <v>52</v>
      </c>
      <c r="B6375" s="1" t="str">
        <f>HYPERLINK("http://castrol.co.in","castrol.co.in")</f>
        <v>castrol.co.in</v>
      </c>
      <c r="C6375" t="s">
        <v>457</v>
      </c>
      <c r="D6375" t="s">
        <v>834</v>
      </c>
      <c r="F6375">
        <v>1.06926543297782E-8</v>
      </c>
      <c r="G6375">
        <v>6106689</v>
      </c>
      <c r="H6375">
        <v>12632875</v>
      </c>
      <c r="I6375">
        <v>15959614</v>
      </c>
      <c r="J6375">
        <v>4</v>
      </c>
    </row>
    <row r="6376" spans="1:10" x14ac:dyDescent="0.25">
      <c r="A6376" t="s">
        <v>52</v>
      </c>
      <c r="B6376" s="1" t="str">
        <f>HYPERLINK("http://merkler.info","merkler.info")</f>
        <v>merkler.info</v>
      </c>
      <c r="C6376" t="s">
        <v>458</v>
      </c>
      <c r="J6376">
        <v>4</v>
      </c>
    </row>
    <row r="6377" spans="1:10" x14ac:dyDescent="0.25">
      <c r="A6377" t="s">
        <v>52</v>
      </c>
      <c r="B6377" s="1" t="str">
        <f>HYPERLINK("http://castrol.it","castrol.it")</f>
        <v>castrol.it</v>
      </c>
      <c r="C6377" t="s">
        <v>459</v>
      </c>
      <c r="D6377" t="s">
        <v>835</v>
      </c>
      <c r="F6377">
        <v>7.9313455672466994E-9</v>
      </c>
      <c r="G6377">
        <v>10050841</v>
      </c>
      <c r="H6377">
        <v>11138223</v>
      </c>
      <c r="I6377">
        <v>31854313</v>
      </c>
      <c r="J6377">
        <v>4</v>
      </c>
    </row>
    <row r="6378" spans="1:10" x14ac:dyDescent="0.25">
      <c r="A6378" t="s">
        <v>52</v>
      </c>
      <c r="B6378" s="1" t="str">
        <f>HYPERLINK("http://leonardservice.it","leonardservice.it")</f>
        <v>leonardservice.it</v>
      </c>
      <c r="C6378" t="s">
        <v>459</v>
      </c>
      <c r="D6378" t="s">
        <v>835</v>
      </c>
      <c r="J6378">
        <v>13</v>
      </c>
    </row>
    <row r="6379" spans="1:10" x14ac:dyDescent="0.25">
      <c r="A6379" t="s">
        <v>52</v>
      </c>
      <c r="B6379" s="1" t="str">
        <f>HYPERLINK("http://q8.it","q8.it")</f>
        <v>q8.it</v>
      </c>
      <c r="C6379" t="s">
        <v>459</v>
      </c>
      <c r="D6379" t="s">
        <v>835</v>
      </c>
      <c r="E6379">
        <v>225132</v>
      </c>
      <c r="F6379">
        <v>1.28009372696741E-7</v>
      </c>
      <c r="G6379">
        <v>306543</v>
      </c>
      <c r="H6379">
        <v>16817126</v>
      </c>
      <c r="I6379">
        <v>187312</v>
      </c>
      <c r="J6379">
        <v>10</v>
      </c>
    </row>
    <row r="6380" spans="1:10" x14ac:dyDescent="0.25">
      <c r="A6380" t="s">
        <v>52</v>
      </c>
      <c r="B6380" s="1" t="str">
        <f>HYPERLINK("http://q8easy.it","q8easy.it")</f>
        <v>q8easy.it</v>
      </c>
      <c r="C6380" t="s">
        <v>459</v>
      </c>
      <c r="D6380" t="s">
        <v>835</v>
      </c>
      <c r="F6380">
        <v>8.1918542426425996E-9</v>
      </c>
      <c r="G6380">
        <v>9585765</v>
      </c>
      <c r="H6380">
        <v>13763851</v>
      </c>
      <c r="I6380">
        <v>7555914</v>
      </c>
      <c r="J6380">
        <v>13</v>
      </c>
    </row>
    <row r="6381" spans="1:10" x14ac:dyDescent="0.25">
      <c r="A6381" t="s">
        <v>52</v>
      </c>
      <c r="B6381" s="1" t="str">
        <f>HYPERLINK("http://q8oils.it","q8oils.it")</f>
        <v>q8oils.it</v>
      </c>
      <c r="C6381" t="s">
        <v>459</v>
      </c>
      <c r="D6381" t="s">
        <v>835</v>
      </c>
      <c r="F6381">
        <v>8.1117156783423292E-9</v>
      </c>
      <c r="G6381">
        <v>9721451</v>
      </c>
      <c r="H6381">
        <v>11963252</v>
      </c>
      <c r="I6381">
        <v>28826540</v>
      </c>
      <c r="J6381">
        <v>11</v>
      </c>
    </row>
    <row r="6382" spans="1:10" x14ac:dyDescent="0.25">
      <c r="A6382" t="s">
        <v>52</v>
      </c>
      <c r="B6382" s="1" t="str">
        <f>HYPERLINK("http://simonellasas.it","simonellasas.it")</f>
        <v>simonellasas.it</v>
      </c>
      <c r="C6382" t="s">
        <v>459</v>
      </c>
      <c r="D6382" t="s">
        <v>835</v>
      </c>
      <c r="J6382">
        <v>10</v>
      </c>
    </row>
    <row r="6383" spans="1:10" x14ac:dyDescent="0.25">
      <c r="A6383" t="s">
        <v>52</v>
      </c>
      <c r="B6383" s="1" t="str">
        <f>HYPERLINK("http://tamoil.it","tamoil.it")</f>
        <v>tamoil.it</v>
      </c>
      <c r="C6383" t="s">
        <v>459</v>
      </c>
      <c r="D6383" t="s">
        <v>835</v>
      </c>
      <c r="F6383">
        <v>2.3873628301879601E-8</v>
      </c>
      <c r="G6383">
        <v>2175473</v>
      </c>
      <c r="H6383">
        <v>14077082</v>
      </c>
      <c r="I6383">
        <v>2873167</v>
      </c>
      <c r="J6383">
        <v>10</v>
      </c>
    </row>
    <row r="6384" spans="1:10" x14ac:dyDescent="0.25">
      <c r="A6384" t="s">
        <v>52</v>
      </c>
      <c r="B6384" s="1" t="str">
        <f>HYPERLINK("http://castrol.jp","castrol.jp")</f>
        <v>castrol.jp</v>
      </c>
      <c r="C6384" t="s">
        <v>461</v>
      </c>
      <c r="D6384" t="s">
        <v>837</v>
      </c>
      <c r="F6384">
        <v>1.50210417270152E-8</v>
      </c>
      <c r="G6384">
        <v>3832741</v>
      </c>
      <c r="H6384">
        <v>12892425</v>
      </c>
      <c r="I6384">
        <v>13921268</v>
      </c>
      <c r="J6384">
        <v>4</v>
      </c>
    </row>
    <row r="6385" spans="1:10" x14ac:dyDescent="0.25">
      <c r="A6385" t="s">
        <v>52</v>
      </c>
      <c r="B6385" s="1" t="str">
        <f>HYPERLINK("http://knpc.com.kw","knpc.com.kw")</f>
        <v>knpc.com.kw</v>
      </c>
      <c r="C6385" t="s">
        <v>464</v>
      </c>
      <c r="D6385" t="s">
        <v>840</v>
      </c>
      <c r="E6385">
        <v>530817</v>
      </c>
      <c r="F6385">
        <v>2.3170650882936001E-8</v>
      </c>
      <c r="G6385">
        <v>2252386</v>
      </c>
      <c r="H6385">
        <v>12961961</v>
      </c>
      <c r="I6385">
        <v>13159315</v>
      </c>
      <c r="J6385">
        <v>14</v>
      </c>
    </row>
    <row r="6386" spans="1:10" x14ac:dyDescent="0.25">
      <c r="A6386" t="s">
        <v>52</v>
      </c>
      <c r="B6386" s="1" t="str">
        <f>HYPERLINK("http://kpc.com.kw","kpc.com.kw")</f>
        <v>kpc.com.kw</v>
      </c>
      <c r="C6386" t="s">
        <v>464</v>
      </c>
      <c r="D6386" t="s">
        <v>840</v>
      </c>
      <c r="E6386">
        <v>256207</v>
      </c>
      <c r="F6386">
        <v>9.3011303250833295E-8</v>
      </c>
      <c r="G6386">
        <v>437243</v>
      </c>
      <c r="H6386">
        <v>14270821</v>
      </c>
      <c r="I6386">
        <v>1397689</v>
      </c>
      <c r="J6386">
        <v>12</v>
      </c>
    </row>
    <row r="6387" spans="1:10" x14ac:dyDescent="0.25">
      <c r="A6387" t="s">
        <v>52</v>
      </c>
      <c r="B6387" s="1" t="str">
        <f>HYPERLINK("http://q8.lu","q8.lu")</f>
        <v>q8.lu</v>
      </c>
      <c r="C6387" t="s">
        <v>547</v>
      </c>
      <c r="D6387" t="s">
        <v>904</v>
      </c>
      <c r="F6387">
        <v>2.5191569299948002E-8</v>
      </c>
      <c r="G6387">
        <v>2049717</v>
      </c>
      <c r="H6387">
        <v>13375745</v>
      </c>
      <c r="I6387">
        <v>10443602</v>
      </c>
      <c r="J6387">
        <v>10</v>
      </c>
    </row>
    <row r="6388" spans="1:10" x14ac:dyDescent="0.25">
      <c r="A6388" t="s">
        <v>52</v>
      </c>
      <c r="B6388" s="1" t="str">
        <f>HYPERLINK("http://agoco.ly","agoco.ly")</f>
        <v>agoco.ly</v>
      </c>
      <c r="C6388" t="s">
        <v>583</v>
      </c>
      <c r="D6388" t="s">
        <v>923</v>
      </c>
      <c r="F6388">
        <v>1.41790270885133E-8</v>
      </c>
      <c r="G6388">
        <v>4136649</v>
      </c>
      <c r="H6388">
        <v>13247196</v>
      </c>
      <c r="I6388">
        <v>11113847</v>
      </c>
      <c r="J6388">
        <v>12</v>
      </c>
    </row>
    <row r="6389" spans="1:10" x14ac:dyDescent="0.25">
      <c r="A6389" t="s">
        <v>52</v>
      </c>
      <c r="B6389" s="1" t="str">
        <f>HYPERLINK("http://agoco.com.ly","agoco.com.ly")</f>
        <v>agoco.com.ly</v>
      </c>
      <c r="C6389" t="s">
        <v>583</v>
      </c>
      <c r="D6389" t="s">
        <v>923</v>
      </c>
      <c r="F6389">
        <v>5.90143874113486E-9</v>
      </c>
      <c r="G6389">
        <v>17349369</v>
      </c>
      <c r="H6389">
        <v>14071893</v>
      </c>
      <c r="I6389">
        <v>3234947</v>
      </c>
      <c r="J6389">
        <v>11</v>
      </c>
    </row>
    <row r="6390" spans="1:10" x14ac:dyDescent="0.25">
      <c r="A6390" t="s">
        <v>52</v>
      </c>
      <c r="B6390" s="1" t="str">
        <f>HYPERLINK("http://noclibya.com.ly","noclibya.com.ly")</f>
        <v>noclibya.com.ly</v>
      </c>
      <c r="C6390" t="s">
        <v>583</v>
      </c>
      <c r="D6390" t="s">
        <v>923</v>
      </c>
      <c r="F6390">
        <v>3.3244517775122099E-8</v>
      </c>
      <c r="G6390">
        <v>1554366</v>
      </c>
      <c r="H6390">
        <v>14499992</v>
      </c>
      <c r="I6390">
        <v>855003</v>
      </c>
      <c r="J6390">
        <v>10</v>
      </c>
    </row>
    <row r="6391" spans="1:10" x14ac:dyDescent="0.25">
      <c r="A6391" t="s">
        <v>52</v>
      </c>
      <c r="B6391" s="1" t="str">
        <f>HYPERLINK("http://recite.me","recite.me")</f>
        <v>recite.me</v>
      </c>
      <c r="C6391" t="s">
        <v>470</v>
      </c>
      <c r="D6391" t="s">
        <v>846</v>
      </c>
      <c r="F6391">
        <v>5.4490997272005598E-9</v>
      </c>
      <c r="G6391">
        <v>21509447</v>
      </c>
      <c r="H6391">
        <v>12912017</v>
      </c>
      <c r="I6391">
        <v>13538150</v>
      </c>
      <c r="J6391">
        <v>7</v>
      </c>
    </row>
    <row r="6392" spans="1:10" x14ac:dyDescent="0.25">
      <c r="A6392" t="s">
        <v>52</v>
      </c>
      <c r="B6392" s="1" t="str">
        <f>HYPERLINK("http://bp.com.mx","bp.com.mx")</f>
        <v>bp.com.mx</v>
      </c>
      <c r="C6392" t="s">
        <v>471</v>
      </c>
      <c r="D6392" t="s">
        <v>847</v>
      </c>
      <c r="F6392">
        <v>1.1592592122092E-8</v>
      </c>
      <c r="G6392">
        <v>5438783</v>
      </c>
      <c r="H6392">
        <v>12859924</v>
      </c>
      <c r="I6392">
        <v>14200733</v>
      </c>
      <c r="J6392">
        <v>3</v>
      </c>
    </row>
    <row r="6393" spans="1:10" x14ac:dyDescent="0.25">
      <c r="A6393" t="s">
        <v>52</v>
      </c>
      <c r="B6393" s="1" t="str">
        <f>HYPERLINK("http://bhpetrol.com.my","bhpetrol.com.my")</f>
        <v>bhpetrol.com.my</v>
      </c>
      <c r="C6393" t="s">
        <v>472</v>
      </c>
      <c r="D6393" t="s">
        <v>848</v>
      </c>
      <c r="F6393">
        <v>3.5406582344301297E-8</v>
      </c>
      <c r="G6393">
        <v>1469581</v>
      </c>
      <c r="H6393">
        <v>14587693</v>
      </c>
      <c r="I6393">
        <v>698811</v>
      </c>
      <c r="J6393">
        <v>3</v>
      </c>
    </row>
    <row r="6394" spans="1:10" x14ac:dyDescent="0.25">
      <c r="A6394" t="s">
        <v>52</v>
      </c>
      <c r="B6394" s="1" t="str">
        <f>HYPERLINK("http://burnsvilleautorepair.net","burnsvilleautorepair.net")</f>
        <v>burnsvilleautorepair.net</v>
      </c>
      <c r="C6394" t="s">
        <v>474</v>
      </c>
      <c r="F6394">
        <v>5.4951558352607298E-9</v>
      </c>
      <c r="G6394">
        <v>20955753</v>
      </c>
      <c r="H6394">
        <v>12203810</v>
      </c>
      <c r="I6394">
        <v>23224561</v>
      </c>
      <c r="J6394">
        <v>3</v>
      </c>
    </row>
    <row r="6395" spans="1:10" x14ac:dyDescent="0.25">
      <c r="A6395" t="s">
        <v>52</v>
      </c>
      <c r="B6395" s="1" t="str">
        <f>HYPERLINK("http://colonialbp.net","colonialbp.net")</f>
        <v>colonialbp.net</v>
      </c>
      <c r="C6395" t="s">
        <v>474</v>
      </c>
      <c r="F6395">
        <v>4.8106287128011601E-9</v>
      </c>
      <c r="G6395">
        <v>35676829</v>
      </c>
      <c r="H6395">
        <v>12118422</v>
      </c>
      <c r="I6395">
        <v>25446584</v>
      </c>
      <c r="J6395">
        <v>3</v>
      </c>
    </row>
    <row r="6396" spans="1:10" x14ac:dyDescent="0.25">
      <c r="A6396" t="s">
        <v>52</v>
      </c>
      <c r="B6396" s="1" t="str">
        <f>HYPERLINK("http://crimea.net","crimea.net")</f>
        <v>crimea.net</v>
      </c>
      <c r="C6396" t="s">
        <v>474</v>
      </c>
      <c r="E6396">
        <v>21890</v>
      </c>
      <c r="F6396">
        <v>5.0408376673634597E-9</v>
      </c>
      <c r="G6396">
        <v>28424113</v>
      </c>
      <c r="H6396">
        <v>12812785</v>
      </c>
      <c r="I6396">
        <v>14553120</v>
      </c>
      <c r="J6396">
        <v>21</v>
      </c>
    </row>
    <row r="6397" spans="1:10" x14ac:dyDescent="0.25">
      <c r="A6397" t="s">
        <v>52</v>
      </c>
      <c r="B6397" s="1" t="str">
        <f>HYPERLINK("http://knpc.net","knpc.net")</f>
        <v>knpc.net</v>
      </c>
      <c r="C6397" t="s">
        <v>474</v>
      </c>
      <c r="E6397">
        <v>771407</v>
      </c>
      <c r="F6397">
        <v>6.1694300583767301E-9</v>
      </c>
      <c r="G6397">
        <v>15696001</v>
      </c>
      <c r="H6397">
        <v>12837821</v>
      </c>
      <c r="I6397">
        <v>14366322</v>
      </c>
      <c r="J6397">
        <v>14</v>
      </c>
    </row>
    <row r="6398" spans="1:10" x14ac:dyDescent="0.25">
      <c r="A6398" t="s">
        <v>52</v>
      </c>
      <c r="B6398" s="1" t="str">
        <f>HYPERLINK("http://sasgroup.net","sasgroup.net")</f>
        <v>sasgroup.net</v>
      </c>
      <c r="C6398" t="s">
        <v>474</v>
      </c>
      <c r="E6398">
        <v>218375</v>
      </c>
      <c r="F6398">
        <v>2.7734001749979399E-7</v>
      </c>
      <c r="G6398">
        <v>134126</v>
      </c>
      <c r="H6398">
        <v>15234915</v>
      </c>
      <c r="I6398">
        <v>391792</v>
      </c>
      <c r="J6398">
        <v>13</v>
      </c>
    </row>
    <row r="6399" spans="1:10" x14ac:dyDescent="0.25">
      <c r="A6399" t="s">
        <v>52</v>
      </c>
      <c r="B6399" s="1" t="str">
        <f>HYPERLINK("http://argos.nl","argos.nl")</f>
        <v>argos.nl</v>
      </c>
      <c r="C6399" t="s">
        <v>477</v>
      </c>
      <c r="D6399" t="s">
        <v>852</v>
      </c>
      <c r="F6399">
        <v>2.9352667120951399E-8</v>
      </c>
      <c r="G6399">
        <v>1755366</v>
      </c>
      <c r="H6399">
        <v>14080428</v>
      </c>
      <c r="I6399">
        <v>2820102</v>
      </c>
      <c r="J6399">
        <v>7</v>
      </c>
    </row>
    <row r="6400" spans="1:10" x14ac:dyDescent="0.25">
      <c r="A6400" t="s">
        <v>52</v>
      </c>
      <c r="B6400" s="1" t="str">
        <f>HYPERLINK("http://autobedrijfvanzwienen.nl","autobedrijfvanzwienen.nl")</f>
        <v>autobedrijfvanzwienen.nl</v>
      </c>
      <c r="C6400" t="s">
        <v>477</v>
      </c>
      <c r="D6400" t="s">
        <v>852</v>
      </c>
      <c r="F6400">
        <v>4.4438323396619301E-9</v>
      </c>
      <c r="G6400">
        <v>79012521</v>
      </c>
      <c r="H6400">
        <v>10437594</v>
      </c>
      <c r="I6400">
        <v>52571782</v>
      </c>
      <c r="J6400">
        <v>9</v>
      </c>
    </row>
    <row r="6401" spans="1:10" x14ac:dyDescent="0.25">
      <c r="A6401" t="s">
        <v>52</v>
      </c>
      <c r="B6401" s="1" t="str">
        <f>HYPERLINK("http://avia.nl","avia.nl")</f>
        <v>avia.nl</v>
      </c>
      <c r="C6401" t="s">
        <v>477</v>
      </c>
      <c r="D6401" t="s">
        <v>852</v>
      </c>
      <c r="F6401">
        <v>3.6470084834849902E-8</v>
      </c>
      <c r="G6401">
        <v>1431559</v>
      </c>
      <c r="H6401">
        <v>13936691</v>
      </c>
      <c r="I6401">
        <v>4487163</v>
      </c>
      <c r="J6401">
        <v>10</v>
      </c>
    </row>
    <row r="6402" spans="1:10" x14ac:dyDescent="0.25">
      <c r="A6402" t="s">
        <v>52</v>
      </c>
      <c r="B6402" s="1" t="str">
        <f>HYPERLINK("http://aviaweghorst.nl","aviaweghorst.nl")</f>
        <v>aviaweghorst.nl</v>
      </c>
      <c r="C6402" t="s">
        <v>477</v>
      </c>
      <c r="D6402" t="s">
        <v>852</v>
      </c>
      <c r="F6402">
        <v>1.10226623543328E-8</v>
      </c>
      <c r="G6402">
        <v>5842703</v>
      </c>
      <c r="H6402">
        <v>10820915</v>
      </c>
      <c r="I6402">
        <v>37606865</v>
      </c>
      <c r="J6402">
        <v>14</v>
      </c>
    </row>
    <row r="6403" spans="1:10" x14ac:dyDescent="0.25">
      <c r="A6403" t="s">
        <v>52</v>
      </c>
      <c r="B6403" s="1" t="str">
        <f>HYPERLINK("http://bijtanken.nl","bijtanken.nl")</f>
        <v>bijtanken.nl</v>
      </c>
      <c r="C6403" t="s">
        <v>477</v>
      </c>
      <c r="D6403" t="s">
        <v>852</v>
      </c>
      <c r="F6403">
        <v>4.6359296965027003E-9</v>
      </c>
      <c r="G6403">
        <v>45036246</v>
      </c>
      <c r="H6403">
        <v>10593309</v>
      </c>
      <c r="I6403">
        <v>45551996</v>
      </c>
      <c r="J6403">
        <v>16</v>
      </c>
    </row>
    <row r="6404" spans="1:10" x14ac:dyDescent="0.25">
      <c r="A6404" t="s">
        <v>52</v>
      </c>
      <c r="B6404" s="1" t="str">
        <f>HYPERLINK("http://blekkink.nl","blekkink.nl")</f>
        <v>blekkink.nl</v>
      </c>
      <c r="C6404" t="s">
        <v>477</v>
      </c>
      <c r="D6404" t="s">
        <v>852</v>
      </c>
      <c r="F6404">
        <v>6.3465157773612504E-9</v>
      </c>
      <c r="G6404">
        <v>14778851</v>
      </c>
      <c r="H6404">
        <v>10789349</v>
      </c>
      <c r="I6404">
        <v>38523667</v>
      </c>
      <c r="J6404">
        <v>3</v>
      </c>
    </row>
    <row r="6405" spans="1:10" x14ac:dyDescent="0.25">
      <c r="A6405" t="s">
        <v>52</v>
      </c>
      <c r="B6405" s="1" t="str">
        <f>HYPERLINK("http://bp.nl","bp.nl")</f>
        <v>bp.nl</v>
      </c>
      <c r="C6405" t="s">
        <v>477</v>
      </c>
      <c r="D6405" t="s">
        <v>852</v>
      </c>
      <c r="F6405">
        <v>2.3431488032871701E-8</v>
      </c>
      <c r="G6405">
        <v>2222133</v>
      </c>
      <c r="H6405">
        <v>12979000</v>
      </c>
      <c r="I6405">
        <v>12997252</v>
      </c>
      <c r="J6405">
        <v>2</v>
      </c>
    </row>
    <row r="6406" spans="1:10" x14ac:dyDescent="0.25">
      <c r="A6406" t="s">
        <v>52</v>
      </c>
      <c r="B6406" s="1" t="str">
        <f>HYPERLINK("http://brandoil.nl","brandoil.nl")</f>
        <v>brandoil.nl</v>
      </c>
      <c r="C6406" t="s">
        <v>477</v>
      </c>
      <c r="D6406" t="s">
        <v>852</v>
      </c>
      <c r="F6406">
        <v>5.0067650701380604E-9</v>
      </c>
      <c r="G6406">
        <v>29245906</v>
      </c>
      <c r="H6406">
        <v>11035878</v>
      </c>
      <c r="I6406">
        <v>32983443</v>
      </c>
      <c r="J6406">
        <v>7</v>
      </c>
    </row>
    <row r="6407" spans="1:10" x14ac:dyDescent="0.25">
      <c r="A6407" t="s">
        <v>52</v>
      </c>
      <c r="B6407" s="1" t="str">
        <f>HYPERLINK("http://castrol.nl","castrol.nl")</f>
        <v>castrol.nl</v>
      </c>
      <c r="C6407" t="s">
        <v>477</v>
      </c>
      <c r="D6407" t="s">
        <v>852</v>
      </c>
      <c r="F6407">
        <v>8.6588863844231205E-9</v>
      </c>
      <c r="G6407">
        <v>8551441</v>
      </c>
      <c r="H6407">
        <v>11143189</v>
      </c>
      <c r="I6407">
        <v>31806067</v>
      </c>
      <c r="J6407">
        <v>4</v>
      </c>
    </row>
    <row r="6408" spans="1:10" x14ac:dyDescent="0.25">
      <c r="A6408" t="s">
        <v>52</v>
      </c>
      <c r="B6408" s="1" t="str">
        <f>HYPERLINK("http://coop.nl","coop.nl")</f>
        <v>coop.nl</v>
      </c>
      <c r="C6408" t="s">
        <v>477</v>
      </c>
      <c r="D6408" t="s">
        <v>852</v>
      </c>
      <c r="E6408">
        <v>59815</v>
      </c>
      <c r="F6408">
        <v>2.8435446081404002E-7</v>
      </c>
      <c r="G6408">
        <v>130723</v>
      </c>
      <c r="H6408">
        <v>14257078</v>
      </c>
      <c r="I6408">
        <v>1428869</v>
      </c>
      <c r="J6408">
        <v>11</v>
      </c>
    </row>
    <row r="6409" spans="1:10" x14ac:dyDescent="0.25">
      <c r="A6409" t="s">
        <v>52</v>
      </c>
      <c r="B6409" s="1" t="str">
        <f>HYPERLINK("http://coophooghalen.nl","coophooghalen.nl")</f>
        <v>coophooghalen.nl</v>
      </c>
      <c r="C6409" t="s">
        <v>477</v>
      </c>
      <c r="D6409" t="s">
        <v>852</v>
      </c>
      <c r="F6409">
        <v>4.5497640373025603E-9</v>
      </c>
      <c r="G6409">
        <v>52215748</v>
      </c>
      <c r="H6409">
        <v>10441185</v>
      </c>
      <c r="I6409">
        <v>52362847</v>
      </c>
      <c r="J6409">
        <v>13</v>
      </c>
    </row>
    <row r="6410" spans="1:10" x14ac:dyDescent="0.25">
      <c r="A6410" t="s">
        <v>52</v>
      </c>
      <c r="B6410" s="1" t="str">
        <f>HYPERLINK("http://coopvandaag.nl","coopvandaag.nl")</f>
        <v>coopvandaag.nl</v>
      </c>
      <c r="C6410" t="s">
        <v>477</v>
      </c>
      <c r="D6410" t="s">
        <v>852</v>
      </c>
      <c r="F6410">
        <v>4.7419077070970598E-9</v>
      </c>
      <c r="G6410">
        <v>38707762</v>
      </c>
      <c r="H6410">
        <v>9465811</v>
      </c>
      <c r="I6410">
        <v>66267536</v>
      </c>
      <c r="J6410">
        <v>14</v>
      </c>
    </row>
    <row r="6411" spans="1:10" x14ac:dyDescent="0.25">
      <c r="A6411" t="s">
        <v>52</v>
      </c>
      <c r="B6411" s="1" t="str">
        <f>HYPERLINK("http://derksoverasselt.nl","derksoverasselt.nl")</f>
        <v>derksoverasselt.nl</v>
      </c>
      <c r="C6411" t="s">
        <v>477</v>
      </c>
      <c r="D6411" t="s">
        <v>852</v>
      </c>
      <c r="F6411">
        <v>5.4412405635072104E-9</v>
      </c>
      <c r="G6411">
        <v>21603186</v>
      </c>
      <c r="H6411">
        <v>10678390</v>
      </c>
      <c r="I6411">
        <v>42787568</v>
      </c>
      <c r="J6411">
        <v>7</v>
      </c>
    </row>
    <row r="6412" spans="1:10" x14ac:dyDescent="0.25">
      <c r="A6412" t="s">
        <v>52</v>
      </c>
      <c r="B6412" s="1" t="str">
        <f>HYPERLINK("http://freebees.nl","freebees.nl")</f>
        <v>freebees.nl</v>
      </c>
      <c r="C6412" t="s">
        <v>477</v>
      </c>
      <c r="D6412" t="s">
        <v>852</v>
      </c>
      <c r="F6412">
        <v>2.4795544284056899E-8</v>
      </c>
      <c r="G6412">
        <v>2085781</v>
      </c>
      <c r="H6412">
        <v>12954961</v>
      </c>
      <c r="I6412">
        <v>13189046</v>
      </c>
      <c r="J6412">
        <v>3</v>
      </c>
    </row>
    <row r="6413" spans="1:10" x14ac:dyDescent="0.25">
      <c r="A6413" t="s">
        <v>52</v>
      </c>
      <c r="B6413" s="1" t="str">
        <f>HYPERLINK("http://fuelservicesnederland.nl","fuelservicesnederland.nl")</f>
        <v>fuelservicesnederland.nl</v>
      </c>
      <c r="C6413" t="s">
        <v>477</v>
      </c>
      <c r="D6413" t="s">
        <v>852</v>
      </c>
      <c r="F6413">
        <v>5.0884912216505501E-9</v>
      </c>
      <c r="G6413">
        <v>27320156</v>
      </c>
      <c r="H6413">
        <v>10844981</v>
      </c>
      <c r="I6413">
        <v>36988676</v>
      </c>
      <c r="J6413">
        <v>3</v>
      </c>
    </row>
    <row r="6414" spans="1:10" x14ac:dyDescent="0.25">
      <c r="A6414" t="s">
        <v>52</v>
      </c>
      <c r="B6414" s="1" t="str">
        <f>HYPERLINK("http://garageneuteboom.nl","garageneuteboom.nl")</f>
        <v>garageneuteboom.nl</v>
      </c>
      <c r="C6414" t="s">
        <v>477</v>
      </c>
      <c r="D6414" t="s">
        <v>852</v>
      </c>
      <c r="F6414">
        <v>4.5598412705318502E-9</v>
      </c>
      <c r="G6414">
        <v>51183694</v>
      </c>
      <c r="H6414">
        <v>10508790</v>
      </c>
      <c r="I6414">
        <v>50038454</v>
      </c>
      <c r="J6414">
        <v>10</v>
      </c>
    </row>
    <row r="6415" spans="1:10" x14ac:dyDescent="0.25">
      <c r="A6415" t="s">
        <v>52</v>
      </c>
      <c r="B6415" s="1" t="str">
        <f>HYPERLINK("http://hush.nl","hush.nl")</f>
        <v>hush.nl</v>
      </c>
      <c r="C6415" t="s">
        <v>477</v>
      </c>
      <c r="D6415" t="s">
        <v>852</v>
      </c>
      <c r="F6415">
        <v>6.3351960873554001E-9</v>
      </c>
      <c r="G6415">
        <v>14836753</v>
      </c>
      <c r="H6415">
        <v>12089487</v>
      </c>
      <c r="I6415">
        <v>26265347</v>
      </c>
      <c r="J6415">
        <v>14</v>
      </c>
    </row>
    <row r="6416" spans="1:10" x14ac:dyDescent="0.25">
      <c r="A6416" t="s">
        <v>52</v>
      </c>
      <c r="B6416" s="1" t="str">
        <f>HYPERLINK("http://panos-maastricht.nl","panos-maastricht.nl")</f>
        <v>panos-maastricht.nl</v>
      </c>
      <c r="C6416" t="s">
        <v>477</v>
      </c>
      <c r="D6416" t="s">
        <v>852</v>
      </c>
      <c r="F6416">
        <v>4.44380395335525E-9</v>
      </c>
      <c r="G6416">
        <v>85711977</v>
      </c>
      <c r="H6416">
        <v>0</v>
      </c>
      <c r="I6416">
        <v>87033261</v>
      </c>
      <c r="J6416">
        <v>14</v>
      </c>
    </row>
    <row r="6417" spans="1:10" x14ac:dyDescent="0.25">
      <c r="A6417" t="s">
        <v>52</v>
      </c>
      <c r="B6417" s="1" t="str">
        <f>HYPERLINK("http://plus.nl","plus.nl")</f>
        <v>plus.nl</v>
      </c>
      <c r="C6417" t="s">
        <v>477</v>
      </c>
      <c r="D6417" t="s">
        <v>852</v>
      </c>
      <c r="E6417">
        <v>44223</v>
      </c>
      <c r="F6417">
        <v>6.8824947921043798E-7</v>
      </c>
      <c r="G6417">
        <v>56126</v>
      </c>
      <c r="H6417">
        <v>17425022</v>
      </c>
      <c r="I6417">
        <v>17581</v>
      </c>
      <c r="J6417">
        <v>10</v>
      </c>
    </row>
    <row r="6418" spans="1:10" x14ac:dyDescent="0.25">
      <c r="A6418" t="s">
        <v>52</v>
      </c>
      <c r="B6418" s="1" t="str">
        <f>HYPERLINK("http://plusbruggers.nl","plusbruggers.nl")</f>
        <v>plusbruggers.nl</v>
      </c>
      <c r="C6418" t="s">
        <v>477</v>
      </c>
      <c r="D6418" t="s">
        <v>852</v>
      </c>
      <c r="F6418">
        <v>4.9570524084360696E-9</v>
      </c>
      <c r="G6418">
        <v>30591718</v>
      </c>
      <c r="H6418">
        <v>9399635</v>
      </c>
      <c r="I6418">
        <v>67277094</v>
      </c>
      <c r="J6418">
        <v>11</v>
      </c>
    </row>
    <row r="6419" spans="1:10" x14ac:dyDescent="0.25">
      <c r="A6419" t="s">
        <v>52</v>
      </c>
      <c r="B6419" s="1" t="str">
        <f>HYPERLINK("http://pluseijkemans.nl","pluseijkemans.nl")</f>
        <v>pluseijkemans.nl</v>
      </c>
      <c r="C6419" t="s">
        <v>477</v>
      </c>
      <c r="D6419" t="s">
        <v>852</v>
      </c>
      <c r="F6419">
        <v>5.54110158312613E-9</v>
      </c>
      <c r="G6419">
        <v>20467942</v>
      </c>
      <c r="H6419">
        <v>10594638</v>
      </c>
      <c r="I6419">
        <v>45276087</v>
      </c>
      <c r="J6419">
        <v>11</v>
      </c>
    </row>
    <row r="6420" spans="1:10" x14ac:dyDescent="0.25">
      <c r="A6420" t="s">
        <v>52</v>
      </c>
      <c r="B6420" s="1" t="str">
        <f>HYPERLINK("http://plusmarkt.nl","plusmarkt.nl")</f>
        <v>plusmarkt.nl</v>
      </c>
      <c r="C6420" t="s">
        <v>477</v>
      </c>
      <c r="D6420" t="s">
        <v>852</v>
      </c>
      <c r="F6420">
        <v>4.8187143307664898E-9</v>
      </c>
      <c r="G6420">
        <v>35318042</v>
      </c>
      <c r="H6420">
        <v>12163816</v>
      </c>
      <c r="I6420">
        <v>24259135</v>
      </c>
      <c r="J6420">
        <v>11</v>
      </c>
    </row>
    <row r="6421" spans="1:10" x14ac:dyDescent="0.25">
      <c r="A6421" t="s">
        <v>52</v>
      </c>
      <c r="B6421" s="1" t="str">
        <f>HYPERLINK("http://plussupermarkt.nl","plussupermarkt.nl")</f>
        <v>plussupermarkt.nl</v>
      </c>
      <c r="C6421" t="s">
        <v>477</v>
      </c>
      <c r="D6421" t="s">
        <v>852</v>
      </c>
      <c r="F6421">
        <v>9.5604381853218802E-9</v>
      </c>
      <c r="G6421">
        <v>7250581</v>
      </c>
      <c r="H6421">
        <v>12464931</v>
      </c>
      <c r="I6421">
        <v>17818561</v>
      </c>
      <c r="J6421">
        <v>11</v>
      </c>
    </row>
    <row r="6422" spans="1:10" x14ac:dyDescent="0.25">
      <c r="A6422" t="s">
        <v>52</v>
      </c>
      <c r="B6422" s="1" t="str">
        <f>HYPERLINK("http://q8.nl","q8.nl")</f>
        <v>q8.nl</v>
      </c>
      <c r="C6422" t="s">
        <v>477</v>
      </c>
      <c r="D6422" t="s">
        <v>852</v>
      </c>
      <c r="F6422">
        <v>1.92156563912825E-8</v>
      </c>
      <c r="G6422">
        <v>2796127</v>
      </c>
      <c r="H6422">
        <v>12258949</v>
      </c>
      <c r="I6422">
        <v>21797098</v>
      </c>
      <c r="J6422">
        <v>11</v>
      </c>
    </row>
    <row r="6423" spans="1:10" x14ac:dyDescent="0.25">
      <c r="A6423" t="s">
        <v>52</v>
      </c>
      <c r="B6423" s="1" t="str">
        <f>HYPERLINK("http://q8oils.nl","q8oils.nl")</f>
        <v>q8oils.nl</v>
      </c>
      <c r="C6423" t="s">
        <v>477</v>
      </c>
      <c r="D6423" t="s">
        <v>852</v>
      </c>
      <c r="F6423">
        <v>1.21095301202923E-8</v>
      </c>
      <c r="G6423">
        <v>5104422</v>
      </c>
      <c r="H6423">
        <v>10886320</v>
      </c>
      <c r="I6423">
        <v>36201926</v>
      </c>
      <c r="J6423">
        <v>11</v>
      </c>
    </row>
    <row r="6424" spans="1:10" x14ac:dyDescent="0.25">
      <c r="A6424" t="s">
        <v>52</v>
      </c>
      <c r="B6424" s="1" t="str">
        <f>HYPERLINK("http://rooijakkers-olie.nl","rooijakkers-olie.nl")</f>
        <v>rooijakkers-olie.nl</v>
      </c>
      <c r="C6424" t="s">
        <v>477</v>
      </c>
      <c r="D6424" t="s">
        <v>852</v>
      </c>
      <c r="F6424">
        <v>5.0697989381118699E-9</v>
      </c>
      <c r="G6424">
        <v>27795162</v>
      </c>
      <c r="H6424">
        <v>11063163</v>
      </c>
      <c r="I6424">
        <v>32651583</v>
      </c>
      <c r="J6424">
        <v>10</v>
      </c>
    </row>
    <row r="6425" spans="1:10" x14ac:dyDescent="0.25">
      <c r="A6425" t="s">
        <v>52</v>
      </c>
      <c r="B6425" s="1" t="str">
        <f>HYPERLINK("http://sanifair.nl","sanifair.nl")</f>
        <v>sanifair.nl</v>
      </c>
      <c r="C6425" t="s">
        <v>477</v>
      </c>
      <c r="D6425" t="s">
        <v>852</v>
      </c>
      <c r="F6425">
        <v>7.3943088025430501E-9</v>
      </c>
      <c r="G6425">
        <v>11256814</v>
      </c>
      <c r="H6425">
        <v>12171657</v>
      </c>
      <c r="I6425">
        <v>24027234</v>
      </c>
      <c r="J6425">
        <v>9</v>
      </c>
    </row>
    <row r="6426" spans="1:10" x14ac:dyDescent="0.25">
      <c r="A6426" t="s">
        <v>52</v>
      </c>
      <c r="B6426" s="1" t="str">
        <f>HYPERLINK("http://slumpoil.nl","slumpoil.nl")</f>
        <v>slumpoil.nl</v>
      </c>
      <c r="C6426" t="s">
        <v>477</v>
      </c>
      <c r="D6426" t="s">
        <v>852</v>
      </c>
      <c r="F6426">
        <v>1.47894493551439E-8</v>
      </c>
      <c r="G6426">
        <v>3910754</v>
      </c>
      <c r="H6426">
        <v>12879468</v>
      </c>
      <c r="I6426">
        <v>14005666</v>
      </c>
      <c r="J6426">
        <v>3</v>
      </c>
    </row>
    <row r="6427" spans="1:10" x14ac:dyDescent="0.25">
      <c r="A6427" t="s">
        <v>52</v>
      </c>
      <c r="B6427" s="1" t="str">
        <f>HYPERLINK("http://sparkoekange.nl","sparkoekange.nl")</f>
        <v>sparkoekange.nl</v>
      </c>
      <c r="C6427" t="s">
        <v>477</v>
      </c>
      <c r="D6427" t="s">
        <v>852</v>
      </c>
      <c r="F6427">
        <v>5.4560628287004702E-9</v>
      </c>
      <c r="G6427">
        <v>21410935</v>
      </c>
      <c r="H6427">
        <v>11034487</v>
      </c>
      <c r="I6427">
        <v>33004422</v>
      </c>
      <c r="J6427">
        <v>13</v>
      </c>
    </row>
    <row r="6428" spans="1:10" x14ac:dyDescent="0.25">
      <c r="A6428" t="s">
        <v>52</v>
      </c>
      <c r="B6428" s="1" t="str">
        <f>HYPERLINK("http://tamoil.nl","tamoil.nl")</f>
        <v>tamoil.nl</v>
      </c>
      <c r="C6428" t="s">
        <v>477</v>
      </c>
      <c r="D6428" t="s">
        <v>852</v>
      </c>
      <c r="F6428">
        <v>4.9247495961077E-8</v>
      </c>
      <c r="G6428">
        <v>939939</v>
      </c>
      <c r="H6428">
        <v>14285414</v>
      </c>
      <c r="I6428">
        <v>1372138</v>
      </c>
      <c r="J6428">
        <v>10</v>
      </c>
    </row>
    <row r="6429" spans="1:10" x14ac:dyDescent="0.25">
      <c r="A6429" t="s">
        <v>52</v>
      </c>
      <c r="B6429" s="1" t="str">
        <f>HYPERLINK("http://tango.nl","tango.nl")</f>
        <v>tango.nl</v>
      </c>
      <c r="C6429" t="s">
        <v>477</v>
      </c>
      <c r="D6429" t="s">
        <v>852</v>
      </c>
      <c r="E6429">
        <v>672666</v>
      </c>
      <c r="F6429">
        <v>7.6051392827864806E-8</v>
      </c>
      <c r="G6429">
        <v>552277</v>
      </c>
      <c r="H6429">
        <v>16830468</v>
      </c>
      <c r="I6429">
        <v>169588</v>
      </c>
      <c r="J6429">
        <v>16</v>
      </c>
    </row>
    <row r="6430" spans="1:10" x14ac:dyDescent="0.25">
      <c r="A6430" t="s">
        <v>52</v>
      </c>
      <c r="B6430" s="1" t="str">
        <f>HYPERLINK("http://tankavia.nl","tankavia.nl")</f>
        <v>tankavia.nl</v>
      </c>
      <c r="C6430" t="s">
        <v>477</v>
      </c>
      <c r="D6430" t="s">
        <v>852</v>
      </c>
      <c r="F6430">
        <v>4.7046330060756096E-9</v>
      </c>
      <c r="G6430">
        <v>41003870</v>
      </c>
      <c r="H6430">
        <v>11973409</v>
      </c>
      <c r="I6430">
        <v>28659635</v>
      </c>
      <c r="J6430">
        <v>14</v>
      </c>
    </row>
    <row r="6431" spans="1:10" x14ac:dyDescent="0.25">
      <c r="A6431" t="s">
        <v>52</v>
      </c>
      <c r="B6431" s="1" t="str">
        <f>HYPERLINK("http://vandenboschbergen.nl","vandenboschbergen.nl")</f>
        <v>vandenboschbergen.nl</v>
      </c>
      <c r="C6431" t="s">
        <v>477</v>
      </c>
      <c r="D6431" t="s">
        <v>852</v>
      </c>
      <c r="F6431">
        <v>4.44380395335525E-9</v>
      </c>
      <c r="G6431">
        <v>85743733</v>
      </c>
      <c r="H6431">
        <v>0</v>
      </c>
      <c r="I6431">
        <v>87070702</v>
      </c>
      <c r="J6431">
        <v>14</v>
      </c>
    </row>
    <row r="6432" spans="1:10" x14ac:dyDescent="0.25">
      <c r="A6432" t="s">
        <v>52</v>
      </c>
      <c r="B6432" s="1" t="str">
        <f>HYPERLINK("http://vankesselolie.nl","vankesselolie.nl")</f>
        <v>vankesselolie.nl</v>
      </c>
      <c r="C6432" t="s">
        <v>477</v>
      </c>
      <c r="D6432" t="s">
        <v>852</v>
      </c>
      <c r="F6432">
        <v>2.2928045200293401E-8</v>
      </c>
      <c r="G6432">
        <v>2279734</v>
      </c>
      <c r="H6432">
        <v>12931741</v>
      </c>
      <c r="I6432">
        <v>13359420</v>
      </c>
      <c r="J6432">
        <v>3</v>
      </c>
    </row>
    <row r="6433" spans="1:10" x14ac:dyDescent="0.25">
      <c r="A6433" t="s">
        <v>52</v>
      </c>
      <c r="B6433" s="1" t="str">
        <f>HYPERLINK("http://bp.co.nz","bp.co.nz")</f>
        <v>bp.co.nz</v>
      </c>
      <c r="C6433" t="s">
        <v>479</v>
      </c>
      <c r="D6433" t="s">
        <v>854</v>
      </c>
      <c r="F6433">
        <v>1.2685073447660399E-8</v>
      </c>
      <c r="G6433">
        <v>4787112</v>
      </c>
      <c r="H6433">
        <v>13767078</v>
      </c>
      <c r="I6433">
        <v>6956940</v>
      </c>
      <c r="J6433">
        <v>2</v>
      </c>
    </row>
    <row r="6434" spans="1:10" x14ac:dyDescent="0.25">
      <c r="A6434" t="s">
        <v>52</v>
      </c>
      <c r="B6434" s="1" t="str">
        <f>HYPERLINK("http://rdp.co.nz","rdp.co.nz")</f>
        <v>rdp.co.nz</v>
      </c>
      <c r="C6434" t="s">
        <v>479</v>
      </c>
      <c r="D6434" t="s">
        <v>854</v>
      </c>
      <c r="F6434">
        <v>6.2249414444817299E-9</v>
      </c>
      <c r="G6434">
        <v>15400405</v>
      </c>
      <c r="H6434">
        <v>12219367</v>
      </c>
      <c r="I6434">
        <v>22802886</v>
      </c>
      <c r="J6434">
        <v>3</v>
      </c>
    </row>
    <row r="6435" spans="1:10" x14ac:dyDescent="0.25">
      <c r="A6435" t="s">
        <v>52</v>
      </c>
      <c r="B6435" s="1" t="str">
        <f>HYPERLINK("http://usktown.org","usktown.org")</f>
        <v>usktown.org</v>
      </c>
      <c r="C6435" t="s">
        <v>481</v>
      </c>
      <c r="F6435">
        <v>5.7381845589266998E-9</v>
      </c>
      <c r="G6435">
        <v>18595303</v>
      </c>
      <c r="H6435">
        <v>14072464</v>
      </c>
      <c r="I6435">
        <v>3088776</v>
      </c>
      <c r="J6435">
        <v>3</v>
      </c>
    </row>
    <row r="6436" spans="1:10" x14ac:dyDescent="0.25">
      <c r="A6436" t="s">
        <v>52</v>
      </c>
      <c r="B6436" s="1" t="str">
        <f>HYPERLINK("http://aviastacjapaliw.pl","aviastacjapaliw.pl")</f>
        <v>aviastacjapaliw.pl</v>
      </c>
      <c r="C6436" t="s">
        <v>486</v>
      </c>
      <c r="D6436" t="s">
        <v>860</v>
      </c>
      <c r="F6436">
        <v>8.5408058117124005E-9</v>
      </c>
      <c r="G6436">
        <v>8767564</v>
      </c>
      <c r="H6436">
        <v>12274237</v>
      </c>
      <c r="I6436">
        <v>21433345</v>
      </c>
      <c r="J6436">
        <v>14</v>
      </c>
    </row>
    <row r="6437" spans="1:10" x14ac:dyDescent="0.25">
      <c r="A6437" t="s">
        <v>52</v>
      </c>
      <c r="B6437" s="1" t="str">
        <f>HYPERLINK("http://bp.pl","bp.pl")</f>
        <v>bp.pl</v>
      </c>
      <c r="C6437" t="s">
        <v>486</v>
      </c>
      <c r="D6437" t="s">
        <v>860</v>
      </c>
      <c r="F6437">
        <v>2.1211434311205E-8</v>
      </c>
      <c r="G6437">
        <v>2486289</v>
      </c>
      <c r="H6437">
        <v>13006781</v>
      </c>
      <c r="I6437">
        <v>12765353</v>
      </c>
      <c r="J6437">
        <v>2</v>
      </c>
    </row>
    <row r="6438" spans="1:10" x14ac:dyDescent="0.25">
      <c r="A6438" t="s">
        <v>52</v>
      </c>
      <c r="B6438" s="1" t="str">
        <f>HYPERLINK("http://castrol.pl","castrol.pl")</f>
        <v>castrol.pl</v>
      </c>
      <c r="C6438" t="s">
        <v>486</v>
      </c>
      <c r="D6438" t="s">
        <v>860</v>
      </c>
      <c r="F6438">
        <v>1.13028320750591E-8</v>
      </c>
      <c r="G6438">
        <v>5640399</v>
      </c>
      <c r="H6438">
        <v>12278360</v>
      </c>
      <c r="I6438">
        <v>21339863</v>
      </c>
      <c r="J6438">
        <v>4</v>
      </c>
    </row>
    <row r="6439" spans="1:10" x14ac:dyDescent="0.25">
      <c r="A6439" t="s">
        <v>52</v>
      </c>
      <c r="B6439" s="1" t="str">
        <f>HYPERLINK("http://kurtschellerbistro.pl","kurtschellerbistro.pl")</f>
        <v>kurtschellerbistro.pl</v>
      </c>
      <c r="C6439" t="s">
        <v>486</v>
      </c>
      <c r="D6439" t="s">
        <v>860</v>
      </c>
      <c r="F6439">
        <v>5.0461144124478004E-9</v>
      </c>
      <c r="G6439">
        <v>28309382</v>
      </c>
      <c r="H6439">
        <v>10781354</v>
      </c>
      <c r="I6439">
        <v>38876042</v>
      </c>
      <c r="J6439">
        <v>3</v>
      </c>
    </row>
    <row r="6440" spans="1:10" x14ac:dyDescent="0.25">
      <c r="A6440" t="s">
        <v>52</v>
      </c>
      <c r="B6440" s="1" t="str">
        <f>HYPERLINK("http://tradea.pl","tradea.pl")</f>
        <v>tradea.pl</v>
      </c>
      <c r="C6440" t="s">
        <v>486</v>
      </c>
      <c r="D6440" t="s">
        <v>860</v>
      </c>
      <c r="F6440">
        <v>1.0430412743264999E-8</v>
      </c>
      <c r="G6440">
        <v>6331228</v>
      </c>
      <c r="H6440">
        <v>12348265</v>
      </c>
      <c r="I6440">
        <v>19792340</v>
      </c>
      <c r="J6440">
        <v>21</v>
      </c>
    </row>
    <row r="6441" spans="1:10" x14ac:dyDescent="0.25">
      <c r="A6441" t="s">
        <v>52</v>
      </c>
      <c r="B6441" s="1" t="str">
        <f>HYPERLINK("http://unimot.pl","unimot.pl")</f>
        <v>unimot.pl</v>
      </c>
      <c r="C6441" t="s">
        <v>486</v>
      </c>
      <c r="D6441" t="s">
        <v>860</v>
      </c>
      <c r="F6441">
        <v>5.3435394670693699E-8</v>
      </c>
      <c r="G6441">
        <v>851636</v>
      </c>
      <c r="H6441">
        <v>13768017</v>
      </c>
      <c r="I6441">
        <v>6900531</v>
      </c>
      <c r="J6441">
        <v>16</v>
      </c>
    </row>
    <row r="6442" spans="1:10" x14ac:dyDescent="0.25">
      <c r="A6442" t="s">
        <v>52</v>
      </c>
      <c r="B6442" s="1" t="str">
        <f>HYPERLINK("http://unimotexpress.pl","unimotexpress.pl")</f>
        <v>unimotexpress.pl</v>
      </c>
      <c r="C6442" t="s">
        <v>486</v>
      </c>
      <c r="D6442" t="s">
        <v>860</v>
      </c>
      <c r="J6442">
        <v>21</v>
      </c>
    </row>
    <row r="6443" spans="1:10" x14ac:dyDescent="0.25">
      <c r="A6443" t="s">
        <v>52</v>
      </c>
      <c r="B6443" s="1" t="str">
        <f>HYPERLINK("http://bp.pt","bp.pt")</f>
        <v>bp.pt</v>
      </c>
      <c r="C6443" t="s">
        <v>488</v>
      </c>
      <c r="D6443" t="s">
        <v>862</v>
      </c>
      <c r="F6443">
        <v>1.69292293877182E-8</v>
      </c>
      <c r="G6443">
        <v>3300132</v>
      </c>
      <c r="H6443">
        <v>12903256</v>
      </c>
      <c r="I6443">
        <v>13839356</v>
      </c>
      <c r="J6443">
        <v>2</v>
      </c>
    </row>
    <row r="6444" spans="1:10" x14ac:dyDescent="0.25">
      <c r="A6444" t="s">
        <v>52</v>
      </c>
      <c r="B6444" s="1" t="str">
        <f>HYPERLINK("http://bp.ro","bp.ro")</f>
        <v>bp.ro</v>
      </c>
      <c r="C6444" t="s">
        <v>491</v>
      </c>
      <c r="D6444" t="s">
        <v>865</v>
      </c>
      <c r="F6444">
        <v>1.11639706554746E-8</v>
      </c>
      <c r="G6444">
        <v>5739123</v>
      </c>
      <c r="H6444">
        <v>12862380</v>
      </c>
      <c r="I6444">
        <v>14184870</v>
      </c>
      <c r="J6444">
        <v>2</v>
      </c>
    </row>
    <row r="6445" spans="1:10" x14ac:dyDescent="0.25">
      <c r="A6445" t="s">
        <v>52</v>
      </c>
      <c r="B6445" s="1" t="str">
        <f>HYPERLINK("http://castrol.ro","castrol.ro")</f>
        <v>castrol.ro</v>
      </c>
      <c r="C6445" t="s">
        <v>491</v>
      </c>
      <c r="D6445" t="s">
        <v>865</v>
      </c>
      <c r="F6445">
        <v>8.1088300289997202E-9</v>
      </c>
      <c r="G6445">
        <v>9726370</v>
      </c>
      <c r="H6445">
        <v>11140536</v>
      </c>
      <c r="I6445">
        <v>31830047</v>
      </c>
      <c r="J6445">
        <v>4</v>
      </c>
    </row>
    <row r="6446" spans="1:10" x14ac:dyDescent="0.25">
      <c r="A6446" t="s">
        <v>52</v>
      </c>
      <c r="B6446" s="1" t="str">
        <f>HYPERLINK("http://radunavia.co.rs","radunavia.co.rs")</f>
        <v>radunavia.co.rs</v>
      </c>
      <c r="C6446" t="s">
        <v>492</v>
      </c>
      <c r="D6446" t="s">
        <v>866</v>
      </c>
      <c r="F6446">
        <v>5.24681365063433E-9</v>
      </c>
      <c r="G6446">
        <v>24305511</v>
      </c>
      <c r="H6446">
        <v>11013610</v>
      </c>
      <c r="I6446">
        <v>33352358</v>
      </c>
      <c r="J6446">
        <v>15</v>
      </c>
    </row>
    <row r="6447" spans="1:10" x14ac:dyDescent="0.25">
      <c r="A6447" t="s">
        <v>52</v>
      </c>
      <c r="B6447" s="1" t="str">
        <f>HYPERLINK("http://radunavia.rs","radunavia.rs")</f>
        <v>radunavia.rs</v>
      </c>
      <c r="C6447" t="s">
        <v>492</v>
      </c>
      <c r="D6447" t="s">
        <v>866</v>
      </c>
      <c r="F6447">
        <v>1.34867216363508E-8</v>
      </c>
      <c r="G6447">
        <v>4409297</v>
      </c>
      <c r="H6447">
        <v>12547682</v>
      </c>
      <c r="I6447">
        <v>16843821</v>
      </c>
      <c r="J6447">
        <v>14</v>
      </c>
    </row>
    <row r="6448" spans="1:10" x14ac:dyDescent="0.25">
      <c r="A6448" t="s">
        <v>52</v>
      </c>
      <c r="B6448" s="1" t="str">
        <f>HYPERLINK("http://castrol.ru","castrol.ru")</f>
        <v>castrol.ru</v>
      </c>
      <c r="C6448" t="s">
        <v>493</v>
      </c>
      <c r="D6448" t="s">
        <v>867</v>
      </c>
      <c r="F6448">
        <v>1.59059076596742E-8</v>
      </c>
      <c r="G6448">
        <v>3571201</v>
      </c>
      <c r="H6448">
        <v>12410647</v>
      </c>
      <c r="I6448">
        <v>18600984</v>
      </c>
      <c r="J6448">
        <v>4</v>
      </c>
    </row>
    <row r="6449" spans="1:10" x14ac:dyDescent="0.25">
      <c r="A6449" t="s">
        <v>52</v>
      </c>
      <c r="B6449" s="1" t="str">
        <f>HYPERLINK("http://crimea.ru","crimea.ru")</f>
        <v>crimea.ru</v>
      </c>
      <c r="C6449" t="s">
        <v>493</v>
      </c>
      <c r="D6449" t="s">
        <v>867</v>
      </c>
      <c r="E6449">
        <v>96007</v>
      </c>
      <c r="F6449">
        <v>1.5520482946266399E-7</v>
      </c>
      <c r="G6449">
        <v>250195</v>
      </c>
      <c r="H6449">
        <v>14771240</v>
      </c>
      <c r="I6449">
        <v>557411</v>
      </c>
      <c r="J6449">
        <v>19</v>
      </c>
    </row>
    <row r="6450" spans="1:10" x14ac:dyDescent="0.25">
      <c r="A6450" t="s">
        <v>52</v>
      </c>
      <c r="B6450" s="1" t="str">
        <f>HYPERLINK("http://patron-service.ru","patron-service.ru")</f>
        <v>patron-service.ru</v>
      </c>
      <c r="C6450" t="s">
        <v>493</v>
      </c>
      <c r="D6450" t="s">
        <v>867</v>
      </c>
      <c r="F6450">
        <v>1.41358146266609E-8</v>
      </c>
      <c r="G6450">
        <v>4152498</v>
      </c>
      <c r="H6450">
        <v>13176851</v>
      </c>
      <c r="I6450">
        <v>11695144</v>
      </c>
      <c r="J6450">
        <v>21</v>
      </c>
    </row>
    <row r="6451" spans="1:10" x14ac:dyDescent="0.25">
      <c r="A6451" t="s">
        <v>52</v>
      </c>
      <c r="B6451" s="1" t="str">
        <f>HYPERLINK("http://castrol.se","castrol.se")</f>
        <v>castrol.se</v>
      </c>
      <c r="C6451" t="s">
        <v>495</v>
      </c>
      <c r="D6451" t="s">
        <v>869</v>
      </c>
      <c r="F6451">
        <v>8.22548680085915E-9</v>
      </c>
      <c r="G6451">
        <v>9449217</v>
      </c>
      <c r="H6451">
        <v>12219626</v>
      </c>
      <c r="I6451">
        <v>22794782</v>
      </c>
      <c r="J6451">
        <v>4</v>
      </c>
    </row>
    <row r="6452" spans="1:10" x14ac:dyDescent="0.25">
      <c r="A6452" t="s">
        <v>52</v>
      </c>
      <c r="B6452" s="1" t="str">
        <f>HYPERLINK("http://kraftpojkarna.se","kraftpojkarna.se")</f>
        <v>kraftpojkarna.se</v>
      </c>
      <c r="C6452" t="s">
        <v>495</v>
      </c>
      <c r="D6452" t="s">
        <v>869</v>
      </c>
      <c r="F6452">
        <v>1.2544206743471701E-8</v>
      </c>
      <c r="G6452">
        <v>4862342</v>
      </c>
      <c r="H6452">
        <v>13765817</v>
      </c>
      <c r="I6452">
        <v>7061790</v>
      </c>
      <c r="J6452">
        <v>16</v>
      </c>
    </row>
    <row r="6453" spans="1:10" x14ac:dyDescent="0.25">
      <c r="A6453" t="s">
        <v>52</v>
      </c>
      <c r="B6453" s="1" t="str">
        <f>HYPERLINK("http://okq8.se","okq8.se")</f>
        <v>okq8.se</v>
      </c>
      <c r="C6453" t="s">
        <v>495</v>
      </c>
      <c r="D6453" t="s">
        <v>869</v>
      </c>
      <c r="E6453">
        <v>253211</v>
      </c>
      <c r="F6453">
        <v>4.5020056667036102E-7</v>
      </c>
      <c r="G6453">
        <v>83923</v>
      </c>
      <c r="H6453">
        <v>17079544</v>
      </c>
      <c r="I6453">
        <v>68455</v>
      </c>
      <c r="J6453">
        <v>12</v>
      </c>
    </row>
    <row r="6454" spans="1:10" x14ac:dyDescent="0.25">
      <c r="A6454" t="s">
        <v>52</v>
      </c>
      <c r="B6454" s="1" t="str">
        <f>HYPERLINK("http://tanka.se","tanka.se")</f>
        <v>tanka.se</v>
      </c>
      <c r="C6454" t="s">
        <v>495</v>
      </c>
      <c r="D6454" t="s">
        <v>869</v>
      </c>
      <c r="F6454">
        <v>5.2433968587321199E-8</v>
      </c>
      <c r="G6454">
        <v>869864</v>
      </c>
      <c r="H6454">
        <v>16827312</v>
      </c>
      <c r="I6454">
        <v>177207</v>
      </c>
      <c r="J6454">
        <v>15</v>
      </c>
    </row>
    <row r="6455" spans="1:10" x14ac:dyDescent="0.25">
      <c r="A6455" t="s">
        <v>52</v>
      </c>
      <c r="B6455" s="1" t="str">
        <f>HYPERLINK("http://bp.sk","bp.sk")</f>
        <v>bp.sk</v>
      </c>
      <c r="C6455" t="s">
        <v>498</v>
      </c>
      <c r="D6455" t="s">
        <v>872</v>
      </c>
      <c r="F6455">
        <v>1.0837145450021701E-8</v>
      </c>
      <c r="G6455">
        <v>5990700</v>
      </c>
      <c r="H6455">
        <v>12859922</v>
      </c>
      <c r="I6455">
        <v>14200780</v>
      </c>
      <c r="J6455">
        <v>2</v>
      </c>
    </row>
    <row r="6456" spans="1:10" x14ac:dyDescent="0.25">
      <c r="A6456" t="s">
        <v>52</v>
      </c>
      <c r="B6456" s="1" t="str">
        <f>HYPERLINK("http://com.su","com.su")</f>
        <v>com.su</v>
      </c>
      <c r="C6456" t="s">
        <v>670</v>
      </c>
      <c r="E6456">
        <v>99440</v>
      </c>
      <c r="F6456">
        <v>1.30472718349214E-8</v>
      </c>
      <c r="G6456">
        <v>4608699</v>
      </c>
      <c r="H6456">
        <v>14415067</v>
      </c>
      <c r="I6456">
        <v>1118384</v>
      </c>
      <c r="J6456">
        <v>3</v>
      </c>
    </row>
    <row r="6457" spans="1:10" x14ac:dyDescent="0.25">
      <c r="A6457" t="s">
        <v>52</v>
      </c>
      <c r="B6457" s="1" t="str">
        <f>HYPERLINK("http://glusco.swiss","glusco.swiss")</f>
        <v>glusco.swiss</v>
      </c>
      <c r="C6457" t="s">
        <v>772</v>
      </c>
      <c r="F6457">
        <v>4.9037334318499302E-8</v>
      </c>
      <c r="G6457">
        <v>944477</v>
      </c>
      <c r="H6457">
        <v>16751208</v>
      </c>
      <c r="I6457">
        <v>272752</v>
      </c>
      <c r="J6457">
        <v>14</v>
      </c>
    </row>
    <row r="6458" spans="1:10" x14ac:dyDescent="0.25">
      <c r="A6458" t="s">
        <v>52</v>
      </c>
      <c r="B6458" s="1" t="str">
        <f>HYPERLINK("http://alpet.com.tr","alpet.com.tr")</f>
        <v>alpet.com.tr</v>
      </c>
      <c r="C6458" t="s">
        <v>502</v>
      </c>
      <c r="D6458" t="s">
        <v>876</v>
      </c>
      <c r="F6458">
        <v>8.1665878546314303E-9</v>
      </c>
      <c r="G6458">
        <v>9628218</v>
      </c>
      <c r="H6458">
        <v>11138273</v>
      </c>
      <c r="I6458">
        <v>31853934</v>
      </c>
      <c r="J6458">
        <v>6</v>
      </c>
    </row>
    <row r="6459" spans="1:10" x14ac:dyDescent="0.25">
      <c r="A6459" t="s">
        <v>52</v>
      </c>
      <c r="B6459" s="1" t="str">
        <f>HYPERLINK("http://aytemiz.com.tr","aytemiz.com.tr")</f>
        <v>aytemiz.com.tr</v>
      </c>
      <c r="C6459" t="s">
        <v>502</v>
      </c>
      <c r="D6459" t="s">
        <v>876</v>
      </c>
      <c r="F6459">
        <v>1.8646018946990402E-8</v>
      </c>
      <c r="G6459">
        <v>2899074</v>
      </c>
      <c r="H6459">
        <v>14074258</v>
      </c>
      <c r="I6459">
        <v>2950021</v>
      </c>
      <c r="J6459">
        <v>6</v>
      </c>
    </row>
    <row r="6460" spans="1:10" x14ac:dyDescent="0.25">
      <c r="A6460" t="s">
        <v>52</v>
      </c>
      <c r="B6460" s="1" t="str">
        <f>HYPERLINK("http://bp.com.tr","bp.com.tr")</f>
        <v>bp.com.tr</v>
      </c>
      <c r="C6460" t="s">
        <v>502</v>
      </c>
      <c r="D6460" t="s">
        <v>876</v>
      </c>
      <c r="F6460">
        <v>1.7425424927734301E-8</v>
      </c>
      <c r="G6460">
        <v>3167105</v>
      </c>
      <c r="H6460">
        <v>12864383</v>
      </c>
      <c r="I6460">
        <v>14167839</v>
      </c>
      <c r="J6460">
        <v>2</v>
      </c>
    </row>
    <row r="6461" spans="1:10" x14ac:dyDescent="0.25">
      <c r="A6461" t="s">
        <v>52</v>
      </c>
      <c r="B6461" s="1" t="str">
        <f>HYPERLINK("http://celikhalat.com.tr","celikhalat.com.tr")</f>
        <v>celikhalat.com.tr</v>
      </c>
      <c r="C6461" t="s">
        <v>502</v>
      </c>
      <c r="D6461" t="s">
        <v>876</v>
      </c>
      <c r="F6461">
        <v>7.0306272610351797E-9</v>
      </c>
      <c r="G6461">
        <v>12222700</v>
      </c>
      <c r="H6461">
        <v>12428372</v>
      </c>
      <c r="I6461">
        <v>18326738</v>
      </c>
      <c r="J6461">
        <v>12</v>
      </c>
    </row>
    <row r="6462" spans="1:10" x14ac:dyDescent="0.25">
      <c r="A6462" t="s">
        <v>52</v>
      </c>
      <c r="B6462" s="1" t="str">
        <f>HYPERLINK("http://ditas.com.tr","ditas.com.tr")</f>
        <v>ditas.com.tr</v>
      </c>
      <c r="C6462" t="s">
        <v>502</v>
      </c>
      <c r="D6462" t="s">
        <v>876</v>
      </c>
      <c r="F6462">
        <v>6.1794629687100502E-9</v>
      </c>
      <c r="G6462">
        <v>15642540</v>
      </c>
      <c r="H6462">
        <v>12380925</v>
      </c>
      <c r="I6462">
        <v>19192459</v>
      </c>
      <c r="J6462">
        <v>12</v>
      </c>
    </row>
    <row r="6463" spans="1:10" x14ac:dyDescent="0.25">
      <c r="A6463" t="s">
        <v>52</v>
      </c>
      <c r="B6463" s="1" t="str">
        <f>HYPERLINK("http://doganholding.com.tr","doganholding.com.tr")</f>
        <v>doganholding.com.tr</v>
      </c>
      <c r="C6463" t="s">
        <v>502</v>
      </c>
      <c r="D6463" t="s">
        <v>876</v>
      </c>
      <c r="F6463">
        <v>2.2033243205432E-8</v>
      </c>
      <c r="G6463">
        <v>2382229</v>
      </c>
      <c r="H6463">
        <v>14306149</v>
      </c>
      <c r="I6463">
        <v>1350322</v>
      </c>
      <c r="J6463">
        <v>11</v>
      </c>
    </row>
    <row r="6464" spans="1:10" x14ac:dyDescent="0.25">
      <c r="A6464" t="s">
        <v>52</v>
      </c>
      <c r="B6464" s="1" t="str">
        <f>HYPERLINK("http://dogankitap.com.tr","dogankitap.com.tr")</f>
        <v>dogankitap.com.tr</v>
      </c>
      <c r="C6464" t="s">
        <v>502</v>
      </c>
      <c r="D6464" t="s">
        <v>876</v>
      </c>
      <c r="E6464">
        <v>925241</v>
      </c>
      <c r="F6464">
        <v>4.4321696145920497E-8</v>
      </c>
      <c r="G6464">
        <v>1070848</v>
      </c>
      <c r="H6464">
        <v>14487148</v>
      </c>
      <c r="I6464">
        <v>952221</v>
      </c>
      <c r="J6464">
        <v>14</v>
      </c>
    </row>
    <row r="6465" spans="1:10" x14ac:dyDescent="0.25">
      <c r="A6465" t="s">
        <v>52</v>
      </c>
      <c r="B6465" s="1" t="str">
        <f>HYPERLINK("http://dorukfaktoring.com.tr","dorukfaktoring.com.tr")</f>
        <v>dorukfaktoring.com.tr</v>
      </c>
      <c r="C6465" t="s">
        <v>502</v>
      </c>
      <c r="D6465" t="s">
        <v>876</v>
      </c>
      <c r="F6465">
        <v>7.8515044685586207E-9</v>
      </c>
      <c r="G6465">
        <v>10211417</v>
      </c>
      <c r="H6465">
        <v>11462851</v>
      </c>
      <c r="I6465">
        <v>30096036</v>
      </c>
      <c r="J6465">
        <v>12</v>
      </c>
    </row>
    <row r="6466" spans="1:10" x14ac:dyDescent="0.25">
      <c r="A6466" t="s">
        <v>52</v>
      </c>
      <c r="B6466" s="1" t="str">
        <f>HYPERLINK("http://dorukfinansman.com.tr","dorukfinansman.com.tr")</f>
        <v>dorukfinansman.com.tr</v>
      </c>
      <c r="C6466" t="s">
        <v>502</v>
      </c>
      <c r="D6466" t="s">
        <v>876</v>
      </c>
      <c r="F6466">
        <v>7.59752295398492E-9</v>
      </c>
      <c r="G6466">
        <v>10799961</v>
      </c>
      <c r="H6466">
        <v>11394320</v>
      </c>
      <c r="I6466">
        <v>30241120</v>
      </c>
      <c r="J6466">
        <v>12</v>
      </c>
    </row>
    <row r="6467" spans="1:10" x14ac:dyDescent="0.25">
      <c r="A6467" t="s">
        <v>52</v>
      </c>
      <c r="B6467" s="1" t="str">
        <f>HYPERLINK("http://mertsanpetrolleri.com.tr","mertsanpetrolleri.com.tr")</f>
        <v>mertsanpetrolleri.com.tr</v>
      </c>
      <c r="C6467" t="s">
        <v>502</v>
      </c>
      <c r="D6467" t="s">
        <v>876</v>
      </c>
      <c r="J6467">
        <v>7</v>
      </c>
    </row>
    <row r="6468" spans="1:10" x14ac:dyDescent="0.25">
      <c r="A6468" t="s">
        <v>52</v>
      </c>
      <c r="B6468" s="1" t="str">
        <f>HYPERLINK("http://milpa.com.tr","milpa.com.tr")</f>
        <v>milpa.com.tr</v>
      </c>
      <c r="C6468" t="s">
        <v>502</v>
      </c>
      <c r="D6468" t="s">
        <v>876</v>
      </c>
      <c r="F6468">
        <v>4.5190858252544799E-9</v>
      </c>
      <c r="G6468">
        <v>56343432</v>
      </c>
      <c r="H6468">
        <v>12320824</v>
      </c>
      <c r="I6468">
        <v>20401316</v>
      </c>
      <c r="J6468">
        <v>12</v>
      </c>
    </row>
    <row r="6469" spans="1:10" x14ac:dyDescent="0.25">
      <c r="A6469" t="s">
        <v>52</v>
      </c>
      <c r="B6469" s="1" t="str">
        <f>HYPERLINK("http://oncugsyo.com.tr","oncugsyo.com.tr")</f>
        <v>oncugsyo.com.tr</v>
      </c>
      <c r="C6469" t="s">
        <v>502</v>
      </c>
      <c r="D6469" t="s">
        <v>876</v>
      </c>
      <c r="F6469">
        <v>8.0751423721305599E-9</v>
      </c>
      <c r="G6469">
        <v>9785708</v>
      </c>
      <c r="H6469">
        <v>13204022</v>
      </c>
      <c r="I6469">
        <v>11535643</v>
      </c>
      <c r="J6469">
        <v>12</v>
      </c>
    </row>
    <row r="6470" spans="1:10" x14ac:dyDescent="0.25">
      <c r="A6470" t="s">
        <v>52</v>
      </c>
      <c r="B6470" s="1" t="str">
        <f>HYPERLINK("http://opet.com.tr","opet.com.tr")</f>
        <v>opet.com.tr</v>
      </c>
      <c r="C6470" t="s">
        <v>502</v>
      </c>
      <c r="D6470" t="s">
        <v>876</v>
      </c>
      <c r="E6470">
        <v>235731</v>
      </c>
      <c r="F6470">
        <v>6.31561087547858E-8</v>
      </c>
      <c r="G6470">
        <v>689590</v>
      </c>
      <c r="H6470">
        <v>14243616</v>
      </c>
      <c r="I6470">
        <v>1476359</v>
      </c>
      <c r="J6470">
        <v>3</v>
      </c>
    </row>
    <row r="6471" spans="1:10" x14ac:dyDescent="0.25">
      <c r="A6471" t="s">
        <v>52</v>
      </c>
      <c r="B6471" s="1" t="str">
        <f>HYPERLINK("http://petrolofisi.com.tr","petrolofisi.com.tr")</f>
        <v>petrolofisi.com.tr</v>
      </c>
      <c r="C6471" t="s">
        <v>502</v>
      </c>
      <c r="D6471" t="s">
        <v>876</v>
      </c>
      <c r="E6471">
        <v>242020</v>
      </c>
      <c r="F6471">
        <v>9.2815709899118795E-8</v>
      </c>
      <c r="G6471">
        <v>438230</v>
      </c>
      <c r="H6471">
        <v>14241664</v>
      </c>
      <c r="I6471">
        <v>1489993</v>
      </c>
      <c r="J6471">
        <v>6</v>
      </c>
    </row>
    <row r="6472" spans="1:10" x14ac:dyDescent="0.25">
      <c r="A6472" t="s">
        <v>52</v>
      </c>
      <c r="B6472" s="1" t="str">
        <f>HYPERLINK("http://poas.com.tr","poas.com.tr")</f>
        <v>poas.com.tr</v>
      </c>
      <c r="C6472" t="s">
        <v>502</v>
      </c>
      <c r="D6472" t="s">
        <v>876</v>
      </c>
      <c r="E6472">
        <v>769452</v>
      </c>
      <c r="F6472">
        <v>1.9762205213375799E-8</v>
      </c>
      <c r="G6472">
        <v>2699197</v>
      </c>
      <c r="H6472">
        <v>12943358</v>
      </c>
      <c r="I6472">
        <v>13267277</v>
      </c>
      <c r="J6472">
        <v>9</v>
      </c>
    </row>
    <row r="6473" spans="1:10" x14ac:dyDescent="0.25">
      <c r="A6473" t="s">
        <v>52</v>
      </c>
      <c r="B6473" s="1" t="str">
        <f>HYPERLINK("http://poasbayi.com.tr","poasbayi.com.tr")</f>
        <v>poasbayi.com.tr</v>
      </c>
      <c r="C6473" t="s">
        <v>502</v>
      </c>
      <c r="D6473" t="s">
        <v>876</v>
      </c>
      <c r="F6473">
        <v>4.4438211336120698E-9</v>
      </c>
      <c r="G6473">
        <v>79193730</v>
      </c>
      <c r="H6473">
        <v>10361656</v>
      </c>
      <c r="I6473">
        <v>55174582</v>
      </c>
      <c r="J6473">
        <v>8</v>
      </c>
    </row>
    <row r="6474" spans="1:10" x14ac:dyDescent="0.25">
      <c r="A6474" t="s">
        <v>52</v>
      </c>
      <c r="B6474" s="1" t="str">
        <f>HYPERLINK("http://turkuazpetrol.com.tr","turkuazpetrol.com.tr")</f>
        <v>turkuazpetrol.com.tr</v>
      </c>
      <c r="C6474" t="s">
        <v>502</v>
      </c>
      <c r="D6474" t="s">
        <v>876</v>
      </c>
      <c r="F6474">
        <v>6.2189370780730599E-9</v>
      </c>
      <c r="G6474">
        <v>15436020</v>
      </c>
      <c r="H6474">
        <v>12253651</v>
      </c>
      <c r="I6474">
        <v>21927346</v>
      </c>
      <c r="J6474">
        <v>6</v>
      </c>
    </row>
    <row r="6475" spans="1:10" x14ac:dyDescent="0.25">
      <c r="A6475" t="s">
        <v>52</v>
      </c>
      <c r="B6475" s="1" t="str">
        <f>HYPERLINK("http://uzunlar.com.tr","uzunlar.com.tr")</f>
        <v>uzunlar.com.tr</v>
      </c>
      <c r="C6475" t="s">
        <v>502</v>
      </c>
      <c r="D6475" t="s">
        <v>876</v>
      </c>
      <c r="J6475">
        <v>6</v>
      </c>
    </row>
    <row r="6476" spans="1:10" x14ac:dyDescent="0.25">
      <c r="A6476" t="s">
        <v>52</v>
      </c>
      <c r="B6476" s="1" t="str">
        <f>HYPERLINK("http://avias.ua","avias.ua")</f>
        <v>avias.ua</v>
      </c>
      <c r="C6476" t="s">
        <v>505</v>
      </c>
      <c r="D6476" t="s">
        <v>879</v>
      </c>
      <c r="F6476">
        <v>5.1933438911310201E-8</v>
      </c>
      <c r="G6476">
        <v>879490</v>
      </c>
      <c r="H6476">
        <v>16751211</v>
      </c>
      <c r="I6476">
        <v>270669</v>
      </c>
      <c r="J6476">
        <v>23</v>
      </c>
    </row>
    <row r="6477" spans="1:10" x14ac:dyDescent="0.25">
      <c r="A6477" t="s">
        <v>52</v>
      </c>
      <c r="B6477" s="1" t="str">
        <f>HYPERLINK("http://avia-unimot.com.ua","avia-unimot.com.ua")</f>
        <v>avia-unimot.com.ua</v>
      </c>
      <c r="C6477" t="s">
        <v>505</v>
      </c>
      <c r="D6477" t="s">
        <v>879</v>
      </c>
      <c r="F6477">
        <v>4.4542859199277097E-9</v>
      </c>
      <c r="G6477">
        <v>69802632</v>
      </c>
      <c r="H6477">
        <v>10663177</v>
      </c>
      <c r="I6477">
        <v>43257988</v>
      </c>
      <c r="J6477">
        <v>14</v>
      </c>
    </row>
    <row r="6478" spans="1:10" x14ac:dyDescent="0.25">
      <c r="A6478" t="s">
        <v>52</v>
      </c>
      <c r="B6478" s="1" t="str">
        <f>HYPERLINK("http://avias.com.ua","avias.com.ua")</f>
        <v>avias.com.ua</v>
      </c>
      <c r="C6478" t="s">
        <v>505</v>
      </c>
      <c r="D6478" t="s">
        <v>879</v>
      </c>
      <c r="F6478">
        <v>1.01965397217568E-8</v>
      </c>
      <c r="G6478">
        <v>6550374</v>
      </c>
      <c r="H6478">
        <v>12795395</v>
      </c>
      <c r="I6478">
        <v>14659275</v>
      </c>
      <c r="J6478">
        <v>20</v>
      </c>
    </row>
    <row r="6479" spans="1:10" x14ac:dyDescent="0.25">
      <c r="A6479" t="s">
        <v>52</v>
      </c>
      <c r="B6479" s="1" t="str">
        <f>HYPERLINK("http://oiltrading.com.ua","oiltrading.com.ua")</f>
        <v>oiltrading.com.ua</v>
      </c>
      <c r="C6479" t="s">
        <v>505</v>
      </c>
      <c r="D6479" t="s">
        <v>879</v>
      </c>
      <c r="F6479">
        <v>4.6125538124079597E-8</v>
      </c>
      <c r="G6479">
        <v>1016482</v>
      </c>
      <c r="H6479">
        <v>11869851</v>
      </c>
      <c r="I6479">
        <v>29737071</v>
      </c>
      <c r="J6479">
        <v>17</v>
      </c>
    </row>
    <row r="6480" spans="1:10" x14ac:dyDescent="0.25">
      <c r="A6480" t="s">
        <v>52</v>
      </c>
      <c r="B6480" s="1" t="str">
        <f>HYPERLINK("http://shebel.com.ua","shebel.com.ua")</f>
        <v>shebel.com.ua</v>
      </c>
      <c r="C6480" t="s">
        <v>505</v>
      </c>
      <c r="D6480" t="s">
        <v>879</v>
      </c>
      <c r="F6480">
        <v>4.5550274257683401E-9</v>
      </c>
      <c r="G6480">
        <v>51654942</v>
      </c>
      <c r="H6480">
        <v>9388118</v>
      </c>
      <c r="I6480">
        <v>67447713</v>
      </c>
      <c r="J6480">
        <v>17</v>
      </c>
    </row>
    <row r="6481" spans="1:10" x14ac:dyDescent="0.25">
      <c r="A6481" t="s">
        <v>52</v>
      </c>
      <c r="B6481" s="1" t="str">
        <f>HYPERLINK("http://ugv.com.ua","ugv.com.ua")</f>
        <v>ugv.com.ua</v>
      </c>
      <c r="C6481" t="s">
        <v>505</v>
      </c>
      <c r="D6481" t="s">
        <v>879</v>
      </c>
      <c r="E6481">
        <v>701574</v>
      </c>
      <c r="F6481">
        <v>3.8238769890716797E-8</v>
      </c>
      <c r="G6481">
        <v>1353680</v>
      </c>
      <c r="H6481">
        <v>14381059</v>
      </c>
      <c r="I6481">
        <v>1192825</v>
      </c>
      <c r="J6481">
        <v>19</v>
      </c>
    </row>
    <row r="6482" spans="1:10" x14ac:dyDescent="0.25">
      <c r="A6482" t="s">
        <v>52</v>
      </c>
      <c r="B6482" s="1" t="str">
        <f>HYPERLINK("http://klo.kiev.ua","klo.kiev.ua")</f>
        <v>klo.kiev.ua</v>
      </c>
      <c r="C6482" t="s">
        <v>505</v>
      </c>
      <c r="D6482" t="s">
        <v>879</v>
      </c>
      <c r="F6482">
        <v>4.5011014082873399E-9</v>
      </c>
      <c r="G6482">
        <v>58782714</v>
      </c>
      <c r="H6482">
        <v>10973024</v>
      </c>
      <c r="I6482">
        <v>34083076</v>
      </c>
      <c r="J6482">
        <v>18</v>
      </c>
    </row>
    <row r="6483" spans="1:10" x14ac:dyDescent="0.25">
      <c r="A6483" t="s">
        <v>52</v>
      </c>
      <c r="B6483" s="1" t="str">
        <f>HYPERLINK("http://klo.ua","klo.ua")</f>
        <v>klo.ua</v>
      </c>
      <c r="C6483" t="s">
        <v>505</v>
      </c>
      <c r="D6483" t="s">
        <v>879</v>
      </c>
      <c r="F6483">
        <v>4.6350612286309198E-8</v>
      </c>
      <c r="G6483">
        <v>1009726</v>
      </c>
      <c r="H6483">
        <v>14384355</v>
      </c>
      <c r="I6483">
        <v>1182772</v>
      </c>
      <c r="J6483">
        <v>17</v>
      </c>
    </row>
    <row r="6484" spans="1:10" x14ac:dyDescent="0.25">
      <c r="A6484" t="s">
        <v>52</v>
      </c>
      <c r="B6484" s="1" t="str">
        <f>HYPERLINK("http://ovis.ua","ovis.ua")</f>
        <v>ovis.ua</v>
      </c>
      <c r="C6484" t="s">
        <v>505</v>
      </c>
      <c r="D6484" t="s">
        <v>879</v>
      </c>
      <c r="F6484">
        <v>6.5598974059577502E-9</v>
      </c>
      <c r="G6484">
        <v>13834083</v>
      </c>
      <c r="H6484">
        <v>12208467</v>
      </c>
      <c r="I6484">
        <v>23064249</v>
      </c>
      <c r="J6484">
        <v>18</v>
      </c>
    </row>
    <row r="6485" spans="1:10" x14ac:dyDescent="0.25">
      <c r="A6485" t="s">
        <v>52</v>
      </c>
      <c r="B6485" s="1" t="str">
        <f>HYPERLINK("http://shebel.ua","shebel.ua")</f>
        <v>shebel.ua</v>
      </c>
      <c r="C6485" t="s">
        <v>505</v>
      </c>
      <c r="D6485" t="s">
        <v>879</v>
      </c>
      <c r="F6485">
        <v>4.8414918511545801E-9</v>
      </c>
      <c r="G6485">
        <v>34426297</v>
      </c>
      <c r="H6485">
        <v>12142760</v>
      </c>
      <c r="I6485">
        <v>24809941</v>
      </c>
      <c r="J6485">
        <v>18</v>
      </c>
    </row>
    <row r="6486" spans="1:10" x14ac:dyDescent="0.25">
      <c r="A6486" t="s">
        <v>52</v>
      </c>
      <c r="B6486" s="1" t="str">
        <f>HYPERLINK("http://sky.ua","sky.ua")</f>
        <v>sky.ua</v>
      </c>
      <c r="C6486" t="s">
        <v>505</v>
      </c>
      <c r="D6486" t="s">
        <v>879</v>
      </c>
      <c r="F6486">
        <v>5.2793944598283297E-9</v>
      </c>
      <c r="G6486">
        <v>23799381</v>
      </c>
      <c r="H6486">
        <v>12294191</v>
      </c>
      <c r="I6486">
        <v>20983754</v>
      </c>
      <c r="J6486">
        <v>19</v>
      </c>
    </row>
    <row r="6487" spans="1:10" x14ac:dyDescent="0.25">
      <c r="A6487" t="s">
        <v>52</v>
      </c>
      <c r="B6487" s="1" t="str">
        <f>HYPERLINK("http://utg.ua","utg.ua")</f>
        <v>utg.ua</v>
      </c>
      <c r="C6487" t="s">
        <v>505</v>
      </c>
      <c r="D6487" t="s">
        <v>879</v>
      </c>
      <c r="E6487">
        <v>431810</v>
      </c>
      <c r="F6487">
        <v>8.5831264161206504E-8</v>
      </c>
      <c r="G6487">
        <v>479649</v>
      </c>
      <c r="H6487">
        <v>14754724</v>
      </c>
      <c r="I6487">
        <v>562203</v>
      </c>
      <c r="J6487">
        <v>19</v>
      </c>
    </row>
    <row r="6488" spans="1:10" x14ac:dyDescent="0.25">
      <c r="A6488" t="s">
        <v>52</v>
      </c>
      <c r="B6488" s="1" t="str">
        <f>HYPERLINK("http://wog.ua","wog.ua")</f>
        <v>wog.ua</v>
      </c>
      <c r="C6488" t="s">
        <v>505</v>
      </c>
      <c r="D6488" t="s">
        <v>879</v>
      </c>
      <c r="E6488">
        <v>703757</v>
      </c>
      <c r="F6488">
        <v>9.1999729706827805E-8</v>
      </c>
      <c r="G6488">
        <v>442665</v>
      </c>
      <c r="H6488">
        <v>14489305</v>
      </c>
      <c r="I6488">
        <v>923621</v>
      </c>
      <c r="J6488">
        <v>17</v>
      </c>
    </row>
    <row r="6489" spans="1:10" x14ac:dyDescent="0.25">
      <c r="A6489" t="s">
        <v>52</v>
      </c>
      <c r="B6489" s="1" t="str">
        <f>HYPERLINK("http://bp.uk","bp.uk")</f>
        <v>bp.uk</v>
      </c>
      <c r="C6489" t="s">
        <v>506</v>
      </c>
      <c r="D6489" t="s">
        <v>880</v>
      </c>
      <c r="F6489">
        <v>1.0837145450021701E-8</v>
      </c>
      <c r="G6489">
        <v>5990701</v>
      </c>
      <c r="H6489">
        <v>12859922</v>
      </c>
      <c r="I6489">
        <v>14200781</v>
      </c>
      <c r="J6489">
        <v>2</v>
      </c>
    </row>
    <row r="6490" spans="1:10" x14ac:dyDescent="0.25">
      <c r="A6490" t="s">
        <v>52</v>
      </c>
      <c r="B6490" s="1" t="str">
        <f>HYPERLINK("http://bp.co.uk","bp.co.uk")</f>
        <v>bp.co.uk</v>
      </c>
      <c r="C6490" t="s">
        <v>506</v>
      </c>
      <c r="D6490" t="s">
        <v>880</v>
      </c>
      <c r="F6490">
        <v>1.16285500419535E-8</v>
      </c>
      <c r="G6490">
        <v>5413798</v>
      </c>
      <c r="H6490">
        <v>12965396</v>
      </c>
      <c r="I6490">
        <v>13125843</v>
      </c>
      <c r="J6490">
        <v>3</v>
      </c>
    </row>
    <row r="6491" spans="1:10" x14ac:dyDescent="0.25">
      <c r="A6491" t="s">
        <v>52</v>
      </c>
      <c r="B6491" s="1" t="str">
        <f>HYPERLINK("http://bpa.co.uk","bpa.co.uk")</f>
        <v>bpa.co.uk</v>
      </c>
      <c r="C6491" t="s">
        <v>506</v>
      </c>
      <c r="D6491" t="s">
        <v>880</v>
      </c>
      <c r="F6491">
        <v>1.2837239248009499E-8</v>
      </c>
      <c r="G6491">
        <v>4710400</v>
      </c>
      <c r="H6491">
        <v>14261025</v>
      </c>
      <c r="I6491">
        <v>1418095</v>
      </c>
      <c r="J6491">
        <v>5</v>
      </c>
    </row>
    <row r="6492" spans="1:10" x14ac:dyDescent="0.25">
      <c r="A6492" t="s">
        <v>52</v>
      </c>
      <c r="B6492" s="1" t="str">
        <f>HYPERLINK("http://bridge-endltd.co.uk","bridge-endltd.co.uk")</f>
        <v>bridge-endltd.co.uk</v>
      </c>
      <c r="C6492" t="s">
        <v>506</v>
      </c>
      <c r="D6492" t="s">
        <v>880</v>
      </c>
      <c r="F6492">
        <v>4.4653739264935899E-9</v>
      </c>
      <c r="G6492">
        <v>66136015</v>
      </c>
      <c r="H6492">
        <v>10686457</v>
      </c>
      <c r="I6492">
        <v>42579705</v>
      </c>
      <c r="J6492">
        <v>3</v>
      </c>
    </row>
    <row r="6493" spans="1:10" x14ac:dyDescent="0.25">
      <c r="A6493" t="s">
        <v>52</v>
      </c>
      <c r="B6493" s="1" t="str">
        <f>HYPERLINK("http://castrol.co.uk","castrol.co.uk")</f>
        <v>castrol.co.uk</v>
      </c>
      <c r="C6493" t="s">
        <v>506</v>
      </c>
      <c r="D6493" t="s">
        <v>880</v>
      </c>
      <c r="F6493">
        <v>7.8055782109249301E-9</v>
      </c>
      <c r="G6493">
        <v>10308089</v>
      </c>
      <c r="H6493">
        <v>12230746</v>
      </c>
      <c r="I6493">
        <v>22485092</v>
      </c>
      <c r="J6493">
        <v>4</v>
      </c>
    </row>
    <row r="6494" spans="1:10" x14ac:dyDescent="0.25">
      <c r="A6494" t="s">
        <v>52</v>
      </c>
      <c r="B6494" s="1" t="str">
        <f>HYPERLINK("http://empiregarages.co.uk","empiregarages.co.uk")</f>
        <v>empiregarages.co.uk</v>
      </c>
      <c r="C6494" t="s">
        <v>506</v>
      </c>
      <c r="D6494" t="s">
        <v>880</v>
      </c>
      <c r="J6494">
        <v>3</v>
      </c>
    </row>
    <row r="6495" spans="1:10" x14ac:dyDescent="0.25">
      <c r="A6495" t="s">
        <v>52</v>
      </c>
      <c r="B6495" s="1" t="str">
        <f>HYPERLINK("http://gpe.co.uk","gpe.co.uk")</f>
        <v>gpe.co.uk</v>
      </c>
      <c r="C6495" t="s">
        <v>506</v>
      </c>
      <c r="D6495" t="s">
        <v>880</v>
      </c>
      <c r="F6495">
        <v>5.6837220924100603E-8</v>
      </c>
      <c r="G6495">
        <v>785991</v>
      </c>
      <c r="H6495">
        <v>13674679</v>
      </c>
      <c r="I6495">
        <v>9541221</v>
      </c>
      <c r="J6495">
        <v>7</v>
      </c>
    </row>
    <row r="6496" spans="1:10" x14ac:dyDescent="0.25">
      <c r="A6496" t="s">
        <v>52</v>
      </c>
      <c r="B6496" s="1" t="str">
        <f>HYPERLINK("http://hsaviation.co.uk","hsaviation.co.uk")</f>
        <v>hsaviation.co.uk</v>
      </c>
      <c r="C6496" t="s">
        <v>506</v>
      </c>
      <c r="D6496" t="s">
        <v>880</v>
      </c>
      <c r="F6496">
        <v>1.3587666842065499E-8</v>
      </c>
      <c r="G6496">
        <v>4366916</v>
      </c>
      <c r="H6496">
        <v>13935519</v>
      </c>
      <c r="I6496">
        <v>4529080</v>
      </c>
      <c r="J6496">
        <v>16</v>
      </c>
    </row>
    <row r="6497" spans="1:10" x14ac:dyDescent="0.25">
      <c r="A6497" t="s">
        <v>52</v>
      </c>
      <c r="B6497" s="1" t="str">
        <f>HYPERLINK("http://q8oils.co.uk","q8oils.co.uk")</f>
        <v>q8oils.co.uk</v>
      </c>
      <c r="C6497" t="s">
        <v>506</v>
      </c>
      <c r="D6497" t="s">
        <v>880</v>
      </c>
      <c r="F6497">
        <v>6.93055643811708E-9</v>
      </c>
      <c r="G6497">
        <v>12523900</v>
      </c>
      <c r="H6497">
        <v>11091963</v>
      </c>
      <c r="I6497">
        <v>32362575</v>
      </c>
      <c r="J6497">
        <v>9</v>
      </c>
    </row>
    <row r="6498" spans="1:10" x14ac:dyDescent="0.25">
      <c r="A6498" t="s">
        <v>52</v>
      </c>
      <c r="B6498" s="1" t="str">
        <f>HYPERLINK("http://sewellonthego.co.uk","sewellonthego.co.uk")</f>
        <v>sewellonthego.co.uk</v>
      </c>
      <c r="C6498" t="s">
        <v>506</v>
      </c>
      <c r="D6498" t="s">
        <v>880</v>
      </c>
      <c r="F6498">
        <v>5.0219771309837997E-9</v>
      </c>
      <c r="G6498">
        <v>28854283</v>
      </c>
      <c r="H6498">
        <v>10994156</v>
      </c>
      <c r="I6498">
        <v>33676624</v>
      </c>
      <c r="J6498">
        <v>3</v>
      </c>
    </row>
    <row r="6499" spans="1:10" x14ac:dyDescent="0.25">
      <c r="A6499" t="s">
        <v>52</v>
      </c>
      <c r="B6499" s="1" t="str">
        <f>HYPERLINK("http://thekaygroup.co.uk","thekaygroup.co.uk")</f>
        <v>thekaygroup.co.uk</v>
      </c>
      <c r="C6499" t="s">
        <v>506</v>
      </c>
      <c r="D6499" t="s">
        <v>880</v>
      </c>
      <c r="F6499">
        <v>7.9492898898047594E-9</v>
      </c>
      <c r="G6499">
        <v>10015050</v>
      </c>
      <c r="H6499">
        <v>10091115</v>
      </c>
      <c r="I6499">
        <v>59955597</v>
      </c>
      <c r="J6499">
        <v>3</v>
      </c>
    </row>
    <row r="6500" spans="1:10" x14ac:dyDescent="0.25">
      <c r="A6500" t="s">
        <v>52</v>
      </c>
      <c r="B6500" s="1" t="str">
        <f>HYPERLINK("http://utilita.co.uk","utilita.co.uk")</f>
        <v>utilita.co.uk</v>
      </c>
      <c r="C6500" t="s">
        <v>506</v>
      </c>
      <c r="D6500" t="s">
        <v>880</v>
      </c>
      <c r="E6500">
        <v>197774</v>
      </c>
      <c r="F6500">
        <v>1.04808213385339E-7</v>
      </c>
      <c r="G6500">
        <v>382381</v>
      </c>
      <c r="H6500">
        <v>14237291</v>
      </c>
      <c r="I6500">
        <v>1554821</v>
      </c>
      <c r="J6500">
        <v>2</v>
      </c>
    </row>
    <row r="6501" spans="1:10" x14ac:dyDescent="0.25">
      <c r="A6501" t="s">
        <v>52</v>
      </c>
      <c r="B6501" s="1" t="str">
        <f>HYPERLINK("http://chargeyourcar.org.uk","chargeyourcar.org.uk")</f>
        <v>chargeyourcar.org.uk</v>
      </c>
      <c r="C6501" t="s">
        <v>506</v>
      </c>
      <c r="D6501" t="s">
        <v>880</v>
      </c>
      <c r="F6501">
        <v>8.1610519164950803E-8</v>
      </c>
      <c r="G6501">
        <v>511376</v>
      </c>
      <c r="H6501">
        <v>16939132</v>
      </c>
      <c r="I6501">
        <v>113683</v>
      </c>
      <c r="J6501">
        <v>3</v>
      </c>
    </row>
    <row r="6502" spans="1:10" x14ac:dyDescent="0.25">
      <c r="A6502" t="s">
        <v>53</v>
      </c>
      <c r="B6502" s="1" t="str">
        <f>HYPERLINK("http://bydauto.be","bydauto.be")</f>
        <v>bydauto.be</v>
      </c>
      <c r="C6502" t="s">
        <v>421</v>
      </c>
      <c r="D6502" t="s">
        <v>803</v>
      </c>
      <c r="F6502">
        <v>4.6957758241452904E-9</v>
      </c>
      <c r="G6502">
        <v>41467768</v>
      </c>
      <c r="H6502">
        <v>10127553</v>
      </c>
      <c r="I6502">
        <v>59605090</v>
      </c>
      <c r="J6502">
        <v>4</v>
      </c>
    </row>
    <row r="6503" spans="1:10" x14ac:dyDescent="0.25">
      <c r="A6503" t="s">
        <v>53</v>
      </c>
      <c r="B6503" s="1" t="str">
        <f>HYPERLINK("http://byd.com.br","byd.com.br")</f>
        <v>byd.com.br</v>
      </c>
      <c r="C6503" t="s">
        <v>425</v>
      </c>
      <c r="D6503" t="s">
        <v>806</v>
      </c>
      <c r="F6503">
        <v>1.40108964122116E-8</v>
      </c>
      <c r="G6503">
        <v>4198524</v>
      </c>
      <c r="H6503">
        <v>13738050</v>
      </c>
      <c r="I6503">
        <v>9438273</v>
      </c>
      <c r="J6503">
        <v>5</v>
      </c>
    </row>
    <row r="6504" spans="1:10" x14ac:dyDescent="0.25">
      <c r="A6504" t="s">
        <v>53</v>
      </c>
      <c r="B6504" s="1" t="str">
        <f>HYPERLINK("http://skyrailbahia.com.br","skyrailbahia.com.br")</f>
        <v>skyrailbahia.com.br</v>
      </c>
      <c r="C6504" t="s">
        <v>425</v>
      </c>
      <c r="D6504" t="s">
        <v>806</v>
      </c>
      <c r="F6504">
        <v>4.8834002002474196E-9</v>
      </c>
      <c r="G6504">
        <v>32972200</v>
      </c>
      <c r="H6504">
        <v>10954115</v>
      </c>
      <c r="I6504">
        <v>34490517</v>
      </c>
      <c r="J6504">
        <v>5</v>
      </c>
    </row>
    <row r="6505" spans="1:10" x14ac:dyDescent="0.25">
      <c r="A6505" t="s">
        <v>53</v>
      </c>
      <c r="B6505" s="1" t="str">
        <f>HYPERLINK("http://byd.ind.br","byd.ind.br")</f>
        <v>byd.ind.br</v>
      </c>
      <c r="C6505" t="s">
        <v>425</v>
      </c>
      <c r="D6505" t="s">
        <v>806</v>
      </c>
      <c r="F6505">
        <v>6.4676131979438899E-9</v>
      </c>
      <c r="G6505">
        <v>14215847</v>
      </c>
      <c r="H6505">
        <v>13765398</v>
      </c>
      <c r="I6505">
        <v>7107849</v>
      </c>
      <c r="J6505">
        <v>4</v>
      </c>
    </row>
    <row r="6506" spans="1:10" x14ac:dyDescent="0.25">
      <c r="A6506" t="s">
        <v>53</v>
      </c>
      <c r="B6506" s="1" t="str">
        <f>HYPERLINK("http://byd.com.cn","byd.com.cn")</f>
        <v>byd.com.cn</v>
      </c>
      <c r="C6506" t="s">
        <v>431</v>
      </c>
      <c r="D6506" t="s">
        <v>812</v>
      </c>
      <c r="E6506">
        <v>60213</v>
      </c>
      <c r="F6506">
        <v>3.5099394466307098E-8</v>
      </c>
      <c r="G6506">
        <v>1480767</v>
      </c>
      <c r="H6506">
        <v>14516033</v>
      </c>
      <c r="I6506">
        <v>812210</v>
      </c>
      <c r="J6506">
        <v>2</v>
      </c>
    </row>
    <row r="6507" spans="1:10" x14ac:dyDescent="0.25">
      <c r="A6507" t="s">
        <v>53</v>
      </c>
      <c r="B6507" s="1" t="str">
        <f>HYPERLINK("http://bydauto.com.cn","bydauto.com.cn")</f>
        <v>bydauto.com.cn</v>
      </c>
      <c r="C6507" t="s">
        <v>431</v>
      </c>
      <c r="D6507" t="s">
        <v>812</v>
      </c>
      <c r="E6507">
        <v>47376</v>
      </c>
      <c r="F6507">
        <v>2.9128750043657401E-7</v>
      </c>
      <c r="G6507">
        <v>127750</v>
      </c>
      <c r="H6507">
        <v>14734005</v>
      </c>
      <c r="I6507">
        <v>570397</v>
      </c>
      <c r="J6507">
        <v>3</v>
      </c>
    </row>
    <row r="6508" spans="1:10" x14ac:dyDescent="0.25">
      <c r="A6508" t="s">
        <v>53</v>
      </c>
      <c r="B6508" s="1" t="str">
        <f>HYPERLINK("http://byd.com","byd.com")</f>
        <v>byd.com</v>
      </c>
      <c r="C6508" t="s">
        <v>433</v>
      </c>
      <c r="E6508">
        <v>19315</v>
      </c>
      <c r="F6508">
        <v>7.9032805112195896E-7</v>
      </c>
      <c r="G6508">
        <v>49701</v>
      </c>
      <c r="H6508">
        <v>17302410</v>
      </c>
      <c r="I6508">
        <v>27620</v>
      </c>
      <c r="J6508">
        <v>1</v>
      </c>
    </row>
    <row r="6509" spans="1:10" x14ac:dyDescent="0.25">
      <c r="A6509" t="s">
        <v>53</v>
      </c>
      <c r="B6509" s="1" t="str">
        <f>HYPERLINK("http://byd-electronic.com","byd-electronic.com")</f>
        <v>byd-electronic.com</v>
      </c>
      <c r="C6509" t="s">
        <v>433</v>
      </c>
      <c r="F6509">
        <v>6.9794876044522003E-9</v>
      </c>
      <c r="G6509">
        <v>12373349</v>
      </c>
      <c r="H6509">
        <v>14079652</v>
      </c>
      <c r="I6509">
        <v>2830107</v>
      </c>
      <c r="J6509">
        <v>5</v>
      </c>
    </row>
    <row r="6510" spans="1:10" x14ac:dyDescent="0.25">
      <c r="A6510" t="s">
        <v>53</v>
      </c>
      <c r="B6510" s="1" t="str">
        <f>HYPERLINK("http://bydglobal.com","bydglobal.com")</f>
        <v>bydglobal.com</v>
      </c>
      <c r="C6510" t="s">
        <v>433</v>
      </c>
      <c r="E6510">
        <v>192853</v>
      </c>
      <c r="F6510">
        <v>1.1594395557808901E-7</v>
      </c>
      <c r="G6510">
        <v>343034</v>
      </c>
      <c r="H6510">
        <v>14106953</v>
      </c>
      <c r="I6510">
        <v>2684773</v>
      </c>
      <c r="J6510">
        <v>4</v>
      </c>
    </row>
    <row r="6511" spans="1:10" x14ac:dyDescent="0.25">
      <c r="A6511" t="s">
        <v>53</v>
      </c>
      <c r="B6511" s="1" t="str">
        <f>HYPERLINK("http://denza.com","denza.com")</f>
        <v>denza.com</v>
      </c>
      <c r="C6511" t="s">
        <v>433</v>
      </c>
      <c r="F6511">
        <v>5.3633910146657998E-8</v>
      </c>
      <c r="G6511">
        <v>847872</v>
      </c>
      <c r="H6511">
        <v>14377549</v>
      </c>
      <c r="I6511">
        <v>1209383</v>
      </c>
      <c r="J6511">
        <v>5</v>
      </c>
    </row>
    <row r="6512" spans="1:10" x14ac:dyDescent="0.25">
      <c r="A6512" t="s">
        <v>53</v>
      </c>
      <c r="B6512" s="1" t="str">
        <f>HYPERLINK("http://tengshiauto.com","tengshiauto.com")</f>
        <v>tengshiauto.com</v>
      </c>
      <c r="C6512" t="s">
        <v>433</v>
      </c>
      <c r="F6512">
        <v>1.41896527495778E-8</v>
      </c>
      <c r="G6512">
        <v>4132636</v>
      </c>
      <c r="H6512">
        <v>10820040</v>
      </c>
      <c r="I6512">
        <v>37623711</v>
      </c>
      <c r="J6512">
        <v>4</v>
      </c>
    </row>
    <row r="6513" spans="1:10" x14ac:dyDescent="0.25">
      <c r="A6513" t="s">
        <v>53</v>
      </c>
      <c r="B6513" s="1" t="str">
        <f>HYPERLINK("http://bydauto.fi","bydauto.fi")</f>
        <v>bydauto.fi</v>
      </c>
      <c r="C6513" t="s">
        <v>445</v>
      </c>
      <c r="D6513" t="s">
        <v>823</v>
      </c>
      <c r="J6513">
        <v>2</v>
      </c>
    </row>
    <row r="6514" spans="1:10" x14ac:dyDescent="0.25">
      <c r="A6514" t="s">
        <v>54</v>
      </c>
      <c r="B6514" s="1" t="str">
        <f>HYPERLINK("http://baidu.cn","baidu.cn")</f>
        <v>baidu.cn</v>
      </c>
      <c r="C6514" t="s">
        <v>431</v>
      </c>
      <c r="D6514" t="s">
        <v>812</v>
      </c>
      <c r="E6514">
        <v>46184</v>
      </c>
      <c r="F6514">
        <v>2.0630192652887701E-7</v>
      </c>
      <c r="G6514">
        <v>184021</v>
      </c>
      <c r="H6514">
        <v>16983908</v>
      </c>
      <c r="I6514">
        <v>97639</v>
      </c>
      <c r="J6514">
        <v>2</v>
      </c>
    </row>
    <row r="6515" spans="1:10" x14ac:dyDescent="0.25">
      <c r="A6515" t="s">
        <v>54</v>
      </c>
      <c r="B6515" s="1" t="str">
        <f>HYPERLINK("http://iqiyi.cn","iqiyi.cn")</f>
        <v>iqiyi.cn</v>
      </c>
      <c r="C6515" t="s">
        <v>431</v>
      </c>
      <c r="D6515" t="s">
        <v>812</v>
      </c>
      <c r="F6515">
        <v>8.67333577989269E-8</v>
      </c>
      <c r="G6515">
        <v>473689</v>
      </c>
      <c r="H6515">
        <v>12570418</v>
      </c>
      <c r="I6515">
        <v>16622974</v>
      </c>
      <c r="J6515">
        <v>5</v>
      </c>
    </row>
    <row r="6516" spans="1:10" x14ac:dyDescent="0.25">
      <c r="A6516" t="s">
        <v>54</v>
      </c>
      <c r="B6516" s="1" t="str">
        <f>HYPERLINK("http://baidu.com","baidu.com")</f>
        <v>baidu.com</v>
      </c>
      <c r="C6516" t="s">
        <v>433</v>
      </c>
      <c r="E6516">
        <v>11</v>
      </c>
      <c r="F6516">
        <v>1.0657253250241001E-3</v>
      </c>
      <c r="G6516">
        <v>36</v>
      </c>
      <c r="H6516">
        <v>20104136</v>
      </c>
      <c r="I6516">
        <v>54</v>
      </c>
      <c r="J6516">
        <v>1</v>
      </c>
    </row>
    <row r="6517" spans="1:10" x14ac:dyDescent="0.25">
      <c r="A6517" t="s">
        <v>54</v>
      </c>
      <c r="B6517" s="1" t="str">
        <f>HYPERLINK("http://baidu-int.com","baidu-int.com")</f>
        <v>baidu-int.com</v>
      </c>
      <c r="C6517" t="s">
        <v>433</v>
      </c>
      <c r="E6517">
        <v>11305</v>
      </c>
      <c r="F6517">
        <v>1.5568429102922301E-7</v>
      </c>
      <c r="G6517">
        <v>249431</v>
      </c>
      <c r="H6517">
        <v>13674143</v>
      </c>
      <c r="I6517">
        <v>9541840</v>
      </c>
      <c r="J6517">
        <v>3</v>
      </c>
    </row>
    <row r="6518" spans="1:10" x14ac:dyDescent="0.25">
      <c r="A6518" t="s">
        <v>54</v>
      </c>
      <c r="B6518" s="1" t="str">
        <f>HYPERLINK("http://baidubce.com","baidubce.com")</f>
        <v>baidubce.com</v>
      </c>
      <c r="C6518" t="s">
        <v>433</v>
      </c>
      <c r="E6518">
        <v>12215</v>
      </c>
      <c r="F6518">
        <v>1.49280060123373E-7</v>
      </c>
      <c r="G6518">
        <v>260302</v>
      </c>
      <c r="H6518">
        <v>13644429</v>
      </c>
      <c r="I6518">
        <v>9608994</v>
      </c>
      <c r="J6518">
        <v>3</v>
      </c>
    </row>
    <row r="6519" spans="1:10" x14ac:dyDescent="0.25">
      <c r="A6519" t="s">
        <v>54</v>
      </c>
      <c r="B6519" s="1" t="str">
        <f>HYPERLINK("http://baidupcs.com","baidupcs.com")</f>
        <v>baidupcs.com</v>
      </c>
      <c r="C6519" t="s">
        <v>433</v>
      </c>
      <c r="E6519">
        <v>23793</v>
      </c>
      <c r="F6519">
        <v>1.6573306468520001E-7</v>
      </c>
      <c r="G6519">
        <v>234189</v>
      </c>
      <c r="H6519">
        <v>13885158</v>
      </c>
      <c r="I6519">
        <v>5971086</v>
      </c>
      <c r="J6519">
        <v>3</v>
      </c>
    </row>
    <row r="6520" spans="1:10" x14ac:dyDescent="0.25">
      <c r="A6520" t="s">
        <v>54</v>
      </c>
      <c r="B6520" s="1" t="str">
        <f>HYPERLINK("http://bcebos.com","bcebos.com")</f>
        <v>bcebos.com</v>
      </c>
      <c r="C6520" t="s">
        <v>433</v>
      </c>
      <c r="E6520">
        <v>4905</v>
      </c>
      <c r="F6520">
        <v>1.9871741581998602E-5</v>
      </c>
      <c r="G6520">
        <v>1503</v>
      </c>
      <c r="H6520">
        <v>17464776</v>
      </c>
      <c r="I6520">
        <v>15348</v>
      </c>
      <c r="J6520">
        <v>3</v>
      </c>
    </row>
    <row r="6521" spans="1:10" x14ac:dyDescent="0.25">
      <c r="A6521" t="s">
        <v>54</v>
      </c>
      <c r="B6521" s="1" t="str">
        <f>HYPERLINK("http://bcedocument.com","bcedocument.com")</f>
        <v>bcedocument.com</v>
      </c>
      <c r="C6521" t="s">
        <v>433</v>
      </c>
      <c r="F6521">
        <v>1.6446678210231E-7</v>
      </c>
      <c r="G6521">
        <v>236033</v>
      </c>
      <c r="H6521">
        <v>13499790</v>
      </c>
      <c r="I6521">
        <v>9971630</v>
      </c>
      <c r="J6521">
        <v>4</v>
      </c>
    </row>
    <row r="6522" spans="1:10" x14ac:dyDescent="0.25">
      <c r="A6522" t="s">
        <v>54</v>
      </c>
      <c r="B6522" s="1" t="str">
        <f>HYPERLINK("http://iq.com","iq.com")</f>
        <v>iq.com</v>
      </c>
      <c r="C6522" t="s">
        <v>433</v>
      </c>
      <c r="E6522">
        <v>10628</v>
      </c>
      <c r="F6522">
        <v>3.8754792931717101E-7</v>
      </c>
      <c r="G6522">
        <v>96673</v>
      </c>
      <c r="H6522">
        <v>15350300</v>
      </c>
      <c r="I6522">
        <v>382803</v>
      </c>
      <c r="J6522">
        <v>4</v>
      </c>
    </row>
    <row r="6523" spans="1:10" x14ac:dyDescent="0.25">
      <c r="A6523" t="s">
        <v>54</v>
      </c>
      <c r="B6523" s="1" t="str">
        <f>HYPERLINK("http://iqiyi.com","iqiyi.com")</f>
        <v>iqiyi.com</v>
      </c>
      <c r="C6523" t="s">
        <v>433</v>
      </c>
      <c r="E6523">
        <v>237</v>
      </c>
      <c r="F6523">
        <v>1.1732636405568999E-5</v>
      </c>
      <c r="G6523">
        <v>2930</v>
      </c>
      <c r="H6523">
        <v>17669258</v>
      </c>
      <c r="I6523">
        <v>7969</v>
      </c>
      <c r="J6523">
        <v>4</v>
      </c>
    </row>
    <row r="6524" spans="1:10" x14ac:dyDescent="0.25">
      <c r="A6524" t="s">
        <v>54</v>
      </c>
      <c r="B6524" s="1" t="str">
        <f>HYPERLINK("http://baidu.jp","baidu.jp")</f>
        <v>baidu.jp</v>
      </c>
      <c r="C6524" t="s">
        <v>461</v>
      </c>
      <c r="D6524" t="s">
        <v>837</v>
      </c>
      <c r="E6524">
        <v>40616</v>
      </c>
      <c r="F6524">
        <v>1.06301469009294E-7</v>
      </c>
      <c r="G6524">
        <v>376657</v>
      </c>
      <c r="H6524">
        <v>14428235</v>
      </c>
      <c r="I6524">
        <v>1076941</v>
      </c>
      <c r="J6524">
        <v>2</v>
      </c>
    </row>
    <row r="6525" spans="1:10" x14ac:dyDescent="0.25">
      <c r="A6525" t="s">
        <v>54</v>
      </c>
      <c r="B6525" s="1" t="str">
        <f>HYPERLINK("http://baidu.co.th","baidu.co.th")</f>
        <v>baidu.co.th</v>
      </c>
      <c r="C6525" t="s">
        <v>500</v>
      </c>
      <c r="D6525" t="s">
        <v>874</v>
      </c>
      <c r="E6525">
        <v>33450</v>
      </c>
      <c r="F6525">
        <v>1.8101775359891901E-8</v>
      </c>
      <c r="G6525">
        <v>3009447</v>
      </c>
      <c r="H6525">
        <v>14097463</v>
      </c>
      <c r="I6525">
        <v>2720860</v>
      </c>
      <c r="J6525">
        <v>2</v>
      </c>
    </row>
    <row r="6526" spans="1:10" x14ac:dyDescent="0.25">
      <c r="A6526" t="s">
        <v>55</v>
      </c>
      <c r="B6526" s="1" t="str">
        <f>HYPERLINK("http://bajajallianz.com","bajajallianz.com")</f>
        <v>bajajallianz.com</v>
      </c>
      <c r="C6526" t="s">
        <v>433</v>
      </c>
      <c r="E6526">
        <v>71509</v>
      </c>
      <c r="F6526">
        <v>3.6740609217894301E-7</v>
      </c>
      <c r="G6526">
        <v>101872</v>
      </c>
      <c r="H6526">
        <v>15278405</v>
      </c>
      <c r="I6526">
        <v>387813</v>
      </c>
      <c r="J6526">
        <v>3</v>
      </c>
    </row>
    <row r="6527" spans="1:10" x14ac:dyDescent="0.25">
      <c r="A6527" t="s">
        <v>55</v>
      </c>
      <c r="B6527" s="1" t="str">
        <f>HYPERLINK("http://bajajallianzlife.com","bajajallianzlife.com")</f>
        <v>bajajallianzlife.com</v>
      </c>
      <c r="C6527" t="s">
        <v>433</v>
      </c>
      <c r="E6527">
        <v>171722</v>
      </c>
      <c r="F6527">
        <v>3.06180620632433E-7</v>
      </c>
      <c r="G6527">
        <v>121423</v>
      </c>
      <c r="H6527">
        <v>14008912</v>
      </c>
      <c r="I6527">
        <v>4002543</v>
      </c>
      <c r="J6527">
        <v>3</v>
      </c>
    </row>
    <row r="6528" spans="1:10" x14ac:dyDescent="0.25">
      <c r="A6528" t="s">
        <v>55</v>
      </c>
      <c r="B6528" s="1" t="str">
        <f>HYPERLINK("http://bajajfinserv.in","bajajfinserv.in")</f>
        <v>bajajfinserv.in</v>
      </c>
      <c r="C6528" t="s">
        <v>457</v>
      </c>
      <c r="D6528" t="s">
        <v>834</v>
      </c>
      <c r="E6528">
        <v>16495</v>
      </c>
      <c r="F6528">
        <v>2.0380566699836101E-6</v>
      </c>
      <c r="G6528">
        <v>17917</v>
      </c>
      <c r="H6528">
        <v>17431240</v>
      </c>
      <c r="I6528">
        <v>17180</v>
      </c>
      <c r="J6528">
        <v>1</v>
      </c>
    </row>
    <row r="6529" spans="1:10" x14ac:dyDescent="0.25">
      <c r="A6529" t="s">
        <v>55</v>
      </c>
      <c r="B6529" s="1" t="str">
        <f>HYPERLINK("http://bajajfinservsecurities.in","bajajfinservsecurities.in")</f>
        <v>bajajfinservsecurities.in</v>
      </c>
      <c r="C6529" t="s">
        <v>457</v>
      </c>
      <c r="D6529" t="s">
        <v>834</v>
      </c>
      <c r="E6529">
        <v>337321</v>
      </c>
      <c r="F6529">
        <v>3.4068644723468103E-8</v>
      </c>
      <c r="G6529">
        <v>1520365</v>
      </c>
      <c r="H6529">
        <v>13432708</v>
      </c>
      <c r="I6529">
        <v>10276478</v>
      </c>
      <c r="J6529">
        <v>3</v>
      </c>
    </row>
    <row r="6530" spans="1:10" x14ac:dyDescent="0.25">
      <c r="A6530" t="s">
        <v>55</v>
      </c>
      <c r="B6530" s="1" t="str">
        <f>HYPERLINK("http://bjaz.in","bjaz.in")</f>
        <v>bjaz.in</v>
      </c>
      <c r="C6530" t="s">
        <v>457</v>
      </c>
      <c r="D6530" t="s">
        <v>834</v>
      </c>
      <c r="F6530">
        <v>1.5131134580664301E-8</v>
      </c>
      <c r="G6530">
        <v>3797828</v>
      </c>
      <c r="H6530">
        <v>13738152</v>
      </c>
      <c r="I6530">
        <v>9437289</v>
      </c>
      <c r="J6530">
        <v>4</v>
      </c>
    </row>
    <row r="6531" spans="1:10" x14ac:dyDescent="0.25">
      <c r="A6531" t="s">
        <v>55</v>
      </c>
      <c r="B6531" s="1" t="str">
        <f>HYPERLINK("http://bajajallianzlifeonline.co.in","bajajallianzlifeonline.co.in")</f>
        <v>bajajallianzlifeonline.co.in</v>
      </c>
      <c r="C6531" t="s">
        <v>457</v>
      </c>
      <c r="D6531" t="s">
        <v>834</v>
      </c>
      <c r="E6531">
        <v>592651</v>
      </c>
      <c r="F6531">
        <v>9.9882686155754497E-9</v>
      </c>
      <c r="G6531">
        <v>6767502</v>
      </c>
      <c r="H6531">
        <v>12315765</v>
      </c>
      <c r="I6531">
        <v>20501625</v>
      </c>
      <c r="J6531">
        <v>4</v>
      </c>
    </row>
    <row r="6532" spans="1:10" x14ac:dyDescent="0.25">
      <c r="A6532" t="s">
        <v>1595</v>
      </c>
      <c r="B6532" s="1" t="str">
        <f>HYPERLINK("http://bancofrances.com.ar","bancofrances.com.ar")</f>
        <v>bancofrances.com.ar</v>
      </c>
      <c r="C6532" t="s">
        <v>418</v>
      </c>
      <c r="D6532" t="s">
        <v>800</v>
      </c>
      <c r="F6532">
        <v>2.1751428624194399E-8</v>
      </c>
      <c r="G6532">
        <v>2417181</v>
      </c>
      <c r="H6532">
        <v>13768712</v>
      </c>
      <c r="I6532">
        <v>6860424</v>
      </c>
      <c r="J6532">
        <v>3</v>
      </c>
    </row>
    <row r="6533" spans="1:10" x14ac:dyDescent="0.25">
      <c r="A6533" t="s">
        <v>1595</v>
      </c>
      <c r="B6533" s="1" t="str">
        <f>HYPERLINK("http://bbva.com.ar","bbva.com.ar")</f>
        <v>bbva.com.ar</v>
      </c>
      <c r="C6533" t="s">
        <v>418</v>
      </c>
      <c r="D6533" t="s">
        <v>800</v>
      </c>
      <c r="E6533">
        <v>13261</v>
      </c>
      <c r="F6533">
        <v>2.0131344145549801E-7</v>
      </c>
      <c r="G6533">
        <v>189055</v>
      </c>
      <c r="H6533">
        <v>16847006</v>
      </c>
      <c r="I6533">
        <v>158720</v>
      </c>
      <c r="J6533">
        <v>2</v>
      </c>
    </row>
    <row r="6534" spans="1:10" x14ac:dyDescent="0.25">
      <c r="A6534" t="s">
        <v>1595</v>
      </c>
      <c r="B6534" s="1" t="str">
        <f>HYPERLINK("http://bbvabroker.com.ar","bbvabroker.com.ar")</f>
        <v>bbvabroker.com.ar</v>
      </c>
      <c r="C6534" t="s">
        <v>418</v>
      </c>
      <c r="D6534" t="s">
        <v>800</v>
      </c>
      <c r="F6534">
        <v>6.1087839117434899E-9</v>
      </c>
      <c r="G6534">
        <v>16043820</v>
      </c>
      <c r="H6534">
        <v>12300119</v>
      </c>
      <c r="I6534">
        <v>20831466</v>
      </c>
      <c r="J6534">
        <v>4</v>
      </c>
    </row>
    <row r="6535" spans="1:10" x14ac:dyDescent="0.25">
      <c r="A6535" t="s">
        <v>1595</v>
      </c>
      <c r="B6535" s="1" t="str">
        <f>HYPERLINK("http://bbvaseguros.com.ar","bbvaseguros.com.ar")</f>
        <v>bbvaseguros.com.ar</v>
      </c>
      <c r="C6535" t="s">
        <v>418</v>
      </c>
      <c r="D6535" t="s">
        <v>800</v>
      </c>
      <c r="F6535">
        <v>2.1167050830334999E-8</v>
      </c>
      <c r="G6535">
        <v>2491914</v>
      </c>
      <c r="H6535">
        <v>13671622</v>
      </c>
      <c r="I6535">
        <v>9545929</v>
      </c>
      <c r="J6535">
        <v>3</v>
      </c>
    </row>
    <row r="6536" spans="1:10" x14ac:dyDescent="0.25">
      <c r="A6536" t="s">
        <v>1595</v>
      </c>
      <c r="B6536" s="1" t="str">
        <f>HYPERLINK("http://bbva.be","bbva.be")</f>
        <v>bbva.be</v>
      </c>
      <c r="C6536" t="s">
        <v>421</v>
      </c>
      <c r="D6536" t="s">
        <v>803</v>
      </c>
      <c r="F6536">
        <v>5.9106433537647004E-9</v>
      </c>
      <c r="G6536">
        <v>17286546</v>
      </c>
      <c r="H6536">
        <v>12490813</v>
      </c>
      <c r="I6536">
        <v>17481289</v>
      </c>
      <c r="J6536">
        <v>2</v>
      </c>
    </row>
    <row r="6537" spans="1:10" x14ac:dyDescent="0.25">
      <c r="A6537" t="s">
        <v>1595</v>
      </c>
      <c r="B6537" s="1" t="str">
        <f>HYPERLINK("http://prevision.com.bo","prevision.com.bo")</f>
        <v>prevision.com.bo</v>
      </c>
      <c r="C6537" t="s">
        <v>424</v>
      </c>
      <c r="D6537" t="s">
        <v>805</v>
      </c>
      <c r="E6537">
        <v>659136</v>
      </c>
      <c r="F6537">
        <v>1.40533926904849E-8</v>
      </c>
      <c r="G6537">
        <v>4182797</v>
      </c>
      <c r="H6537">
        <v>13765247</v>
      </c>
      <c r="I6537">
        <v>7124488</v>
      </c>
      <c r="J6537">
        <v>3</v>
      </c>
    </row>
    <row r="6538" spans="1:10" x14ac:dyDescent="0.25">
      <c r="A6538" t="s">
        <v>1595</v>
      </c>
      <c r="B6538" s="1" t="str">
        <f>HYPERLINK("http://unnim.cat","unnim.cat")</f>
        <v>unnim.cat</v>
      </c>
      <c r="C6538" t="s">
        <v>591</v>
      </c>
      <c r="F6538">
        <v>1.08549873616951E-8</v>
      </c>
      <c r="G6538">
        <v>5976898</v>
      </c>
      <c r="H6538">
        <v>14486568</v>
      </c>
      <c r="I6538">
        <v>963800</v>
      </c>
      <c r="J6538">
        <v>3</v>
      </c>
    </row>
    <row r="6539" spans="1:10" x14ac:dyDescent="0.25">
      <c r="A6539" t="s">
        <v>1595</v>
      </c>
      <c r="B6539" s="1" t="str">
        <f>HYPERLINK("http://bbva.ch","bbva.ch")</f>
        <v>bbva.ch</v>
      </c>
      <c r="C6539" t="s">
        <v>429</v>
      </c>
      <c r="D6539" t="s">
        <v>810</v>
      </c>
      <c r="E6539">
        <v>687365</v>
      </c>
      <c r="F6539">
        <v>6.3434000420549698E-8</v>
      </c>
      <c r="G6539">
        <v>685169</v>
      </c>
      <c r="H6539">
        <v>16929976</v>
      </c>
      <c r="I6539">
        <v>118636</v>
      </c>
      <c r="J6539">
        <v>2</v>
      </c>
    </row>
    <row r="6540" spans="1:10" x14ac:dyDescent="0.25">
      <c r="A6540" t="s">
        <v>1595</v>
      </c>
      <c r="B6540" s="1" t="str">
        <f>HYPERLINK("http://bbva.com.co","bbva.com.co")</f>
        <v>bbva.com.co</v>
      </c>
      <c r="C6540" t="s">
        <v>432</v>
      </c>
      <c r="E6540">
        <v>70663</v>
      </c>
      <c r="F6540">
        <v>1.24534752170427E-7</v>
      </c>
      <c r="G6540">
        <v>316859</v>
      </c>
      <c r="H6540">
        <v>14659971</v>
      </c>
      <c r="I6540">
        <v>620521</v>
      </c>
      <c r="J6540">
        <v>2</v>
      </c>
    </row>
    <row r="6541" spans="1:10" x14ac:dyDescent="0.25">
      <c r="A6541" t="s">
        <v>1595</v>
      </c>
      <c r="B6541" s="1" t="str">
        <f>HYPERLINK("http://bbvaseguros.com.co","bbvaseguros.com.co")</f>
        <v>bbvaseguros.com.co</v>
      </c>
      <c r="C6541" t="s">
        <v>432</v>
      </c>
      <c r="F6541">
        <v>7.6211832266503694E-9</v>
      </c>
      <c r="G6541">
        <v>10747844</v>
      </c>
      <c r="H6541">
        <v>12312207</v>
      </c>
      <c r="I6541">
        <v>20572767</v>
      </c>
      <c r="J6541">
        <v>3</v>
      </c>
    </row>
    <row r="6542" spans="1:10" x14ac:dyDescent="0.25">
      <c r="A6542" t="s">
        <v>1595</v>
      </c>
      <c r="B6542" s="1" t="str">
        <f>HYPERLINK("http://alturamarkets.com","alturamarkets.com")</f>
        <v>alturamarkets.com</v>
      </c>
      <c r="C6542" t="s">
        <v>433</v>
      </c>
      <c r="F6542">
        <v>5.2850516602597004E-9</v>
      </c>
      <c r="G6542">
        <v>23716313</v>
      </c>
      <c r="H6542">
        <v>10351707</v>
      </c>
      <c r="I6542">
        <v>56216059</v>
      </c>
      <c r="J6542">
        <v>5</v>
      </c>
    </row>
    <row r="6543" spans="1:10" x14ac:dyDescent="0.25">
      <c r="A6543" t="s">
        <v>1595</v>
      </c>
      <c r="B6543" s="1" t="str">
        <f>HYPERLINK("http://bancome.com","bancome.com")</f>
        <v>bancome.com</v>
      </c>
      <c r="C6543" t="s">
        <v>433</v>
      </c>
      <c r="J6543">
        <v>3</v>
      </c>
    </row>
    <row r="6544" spans="1:10" x14ac:dyDescent="0.25">
      <c r="A6544" t="s">
        <v>1595</v>
      </c>
      <c r="B6544" s="1" t="str">
        <f>HYPERLINK("http://bancomer.com","bancomer.com")</f>
        <v>bancomer.com</v>
      </c>
      <c r="C6544" t="s">
        <v>433</v>
      </c>
      <c r="E6544">
        <v>240173</v>
      </c>
      <c r="F6544">
        <v>1.5963561648393599E-7</v>
      </c>
      <c r="G6544">
        <v>243134</v>
      </c>
      <c r="H6544">
        <v>17059466</v>
      </c>
      <c r="I6544">
        <v>74277</v>
      </c>
      <c r="J6544">
        <v>3</v>
      </c>
    </row>
    <row r="6545" spans="1:10" x14ac:dyDescent="0.25">
      <c r="A6545" t="s">
        <v>1595</v>
      </c>
      <c r="B6545" s="1" t="str">
        <f>HYPERLINK("http://bba.com","bba.com")</f>
        <v>bba.com</v>
      </c>
      <c r="C6545" t="s">
        <v>433</v>
      </c>
      <c r="F6545">
        <v>5.2831249246709101E-9</v>
      </c>
      <c r="G6545">
        <v>23745136</v>
      </c>
      <c r="H6545">
        <v>13284548</v>
      </c>
      <c r="I6545">
        <v>10897800</v>
      </c>
      <c r="J6545">
        <v>3</v>
      </c>
    </row>
    <row r="6546" spans="1:10" x14ac:dyDescent="0.25">
      <c r="A6546" t="s">
        <v>1595</v>
      </c>
      <c r="B6546" s="1" t="str">
        <f>HYPERLINK("http://bbva.com","bbva.com")</f>
        <v>bbva.com</v>
      </c>
      <c r="C6546" t="s">
        <v>433</v>
      </c>
      <c r="E6546">
        <v>17914</v>
      </c>
      <c r="F6546">
        <v>2.8026835964047302E-6</v>
      </c>
      <c r="G6546">
        <v>13710</v>
      </c>
      <c r="H6546">
        <v>17572998</v>
      </c>
      <c r="I6546">
        <v>10533</v>
      </c>
      <c r="J6546">
        <v>1</v>
      </c>
    </row>
    <row r="6547" spans="1:10" x14ac:dyDescent="0.25">
      <c r="A6547" t="s">
        <v>1595</v>
      </c>
      <c r="B6547" s="1" t="str">
        <f>HYPERLINK("http://bbvaassetmanagement.com","bbvaassetmanagement.com")</f>
        <v>bbvaassetmanagement.com</v>
      </c>
      <c r="C6547" t="s">
        <v>433</v>
      </c>
      <c r="F6547">
        <v>4.6665225347912103E-8</v>
      </c>
      <c r="G6547">
        <v>1001519</v>
      </c>
      <c r="H6547">
        <v>13949115</v>
      </c>
      <c r="I6547">
        <v>4186606</v>
      </c>
      <c r="J6547">
        <v>3</v>
      </c>
    </row>
    <row r="6548" spans="1:10" x14ac:dyDescent="0.25">
      <c r="A6548" t="s">
        <v>1595</v>
      </c>
      <c r="B6548" s="1" t="str">
        <f>HYPERLINK("http://bbvabancomer.com","bbvabancomer.com")</f>
        <v>bbvabancomer.com</v>
      </c>
      <c r="C6548" t="s">
        <v>433</v>
      </c>
      <c r="F6548">
        <v>4.6336422717028498E-9</v>
      </c>
      <c r="G6548">
        <v>45187061</v>
      </c>
      <c r="H6548">
        <v>12286935</v>
      </c>
      <c r="I6548">
        <v>21175503</v>
      </c>
      <c r="J6548">
        <v>3</v>
      </c>
    </row>
    <row r="6549" spans="1:10" x14ac:dyDescent="0.25">
      <c r="A6549" t="s">
        <v>1595</v>
      </c>
      <c r="B6549" s="1" t="str">
        <f>HYPERLINK("http://bbvacontinental.com","bbvacontinental.com")</f>
        <v>bbvacontinental.com</v>
      </c>
      <c r="C6549" t="s">
        <v>433</v>
      </c>
      <c r="F6549">
        <v>1.7767199897673001E-8</v>
      </c>
      <c r="G6549">
        <v>3081832</v>
      </c>
      <c r="H6549">
        <v>12364372</v>
      </c>
      <c r="I6549">
        <v>19509427</v>
      </c>
      <c r="J6549">
        <v>4</v>
      </c>
    </row>
    <row r="6550" spans="1:10" x14ac:dyDescent="0.25">
      <c r="A6550" t="s">
        <v>1595</v>
      </c>
      <c r="B6550" s="1" t="str">
        <f>HYPERLINK("http://bbvany.com","bbvany.com")</f>
        <v>bbvany.com</v>
      </c>
      <c r="C6550" t="s">
        <v>433</v>
      </c>
      <c r="J6550">
        <v>2</v>
      </c>
    </row>
    <row r="6551" spans="1:10" x14ac:dyDescent="0.25">
      <c r="A6551" t="s">
        <v>1595</v>
      </c>
      <c r="B6551" s="1" t="str">
        <f>HYPERLINK("http://bbvaseguros.com","bbvaseguros.com")</f>
        <v>bbvaseguros.com</v>
      </c>
      <c r="C6551" t="s">
        <v>433</v>
      </c>
      <c r="F6551">
        <v>1.6173870259672801E-8</v>
      </c>
      <c r="G6551">
        <v>3502025</v>
      </c>
      <c r="H6551">
        <v>12942104</v>
      </c>
      <c r="I6551">
        <v>13275529</v>
      </c>
      <c r="J6551">
        <v>3</v>
      </c>
    </row>
    <row r="6552" spans="1:10" x14ac:dyDescent="0.25">
      <c r="A6552" t="s">
        <v>1595</v>
      </c>
      <c r="B6552" s="1" t="str">
        <f>HYPERLINK("http://bbvauk.com","bbvauk.com")</f>
        <v>bbvauk.com</v>
      </c>
      <c r="C6552" t="s">
        <v>433</v>
      </c>
      <c r="F6552">
        <v>4.0119871001354597E-8</v>
      </c>
      <c r="G6552">
        <v>1289005</v>
      </c>
      <c r="H6552">
        <v>13490482</v>
      </c>
      <c r="I6552">
        <v>9987378</v>
      </c>
      <c r="J6552">
        <v>3</v>
      </c>
    </row>
    <row r="6553" spans="1:10" x14ac:dyDescent="0.25">
      <c r="A6553" t="s">
        <v>1595</v>
      </c>
      <c r="B6553" s="1" t="str">
        <f>HYPERLINK("http://conectabbva.com","conectabbva.com")</f>
        <v>conectabbva.com</v>
      </c>
      <c r="C6553" t="s">
        <v>433</v>
      </c>
      <c r="J6553">
        <v>2</v>
      </c>
    </row>
    <row r="6554" spans="1:10" x14ac:dyDescent="0.25">
      <c r="A6554" t="s">
        <v>1595</v>
      </c>
      <c r="B6554" s="1" t="str">
        <f>HYPERLINK("http://distritocastellananorte.com","distritocastellananorte.com")</f>
        <v>distritocastellananorte.com</v>
      </c>
      <c r="C6554" t="s">
        <v>433</v>
      </c>
      <c r="F6554">
        <v>4.3329952543328301E-8</v>
      </c>
      <c r="G6554">
        <v>1105739</v>
      </c>
      <c r="H6554">
        <v>14538422</v>
      </c>
      <c r="I6554">
        <v>777478</v>
      </c>
      <c r="J6554">
        <v>3</v>
      </c>
    </row>
    <row r="6555" spans="1:10" x14ac:dyDescent="0.25">
      <c r="A6555" t="s">
        <v>1595</v>
      </c>
      <c r="B6555" s="1" t="str">
        <f>HYPERLINK("http://edt-sg.com","edt-sg.com")</f>
        <v>edt-sg.com</v>
      </c>
      <c r="C6555" t="s">
        <v>433</v>
      </c>
      <c r="F6555">
        <v>7.4155980041596697E-9</v>
      </c>
      <c r="G6555">
        <v>11208022</v>
      </c>
      <c r="H6555">
        <v>13764139</v>
      </c>
      <c r="I6555">
        <v>7364503</v>
      </c>
      <c r="J6555">
        <v>3</v>
      </c>
    </row>
    <row r="6556" spans="1:10" x14ac:dyDescent="0.25">
      <c r="A6556" t="s">
        <v>1595</v>
      </c>
      <c r="B6556" s="1" t="str">
        <f>HYPERLINK("http://garantibank.com","garantibank.com")</f>
        <v>garantibank.com</v>
      </c>
      <c r="C6556" t="s">
        <v>433</v>
      </c>
      <c r="F6556">
        <v>8.5949265998086201E-9</v>
      </c>
      <c r="G6556">
        <v>8665621</v>
      </c>
      <c r="H6556">
        <v>14073675</v>
      </c>
      <c r="I6556">
        <v>2978796</v>
      </c>
      <c r="J6556">
        <v>3</v>
      </c>
    </row>
    <row r="6557" spans="1:10" x14ac:dyDescent="0.25">
      <c r="A6557" t="s">
        <v>1595</v>
      </c>
      <c r="B6557" s="1" t="str">
        <f>HYPERLINK("http://garantifactoring.com","garantifactoring.com")</f>
        <v>garantifactoring.com</v>
      </c>
      <c r="C6557" t="s">
        <v>433</v>
      </c>
      <c r="F6557">
        <v>5.0805961920734099E-9</v>
      </c>
      <c r="G6557">
        <v>27495018</v>
      </c>
      <c r="H6557">
        <v>10822458</v>
      </c>
      <c r="I6557">
        <v>37569143</v>
      </c>
      <c r="J6557">
        <v>4</v>
      </c>
    </row>
    <row r="6558" spans="1:10" x14ac:dyDescent="0.25">
      <c r="A6558" t="s">
        <v>1595</v>
      </c>
      <c r="B6558" s="1" t="str">
        <f>HYPERLINK("http://garantiodemesistemleri.com","garantiodemesistemleri.com")</f>
        <v>garantiodemesistemleri.com</v>
      </c>
      <c r="C6558" t="s">
        <v>433</v>
      </c>
      <c r="F6558">
        <v>5.9881376866240201E-9</v>
      </c>
      <c r="G6558">
        <v>16768284</v>
      </c>
      <c r="H6558">
        <v>12258487</v>
      </c>
      <c r="I6558">
        <v>21806816</v>
      </c>
      <c r="J6558">
        <v>3</v>
      </c>
    </row>
    <row r="6559" spans="1:10" x14ac:dyDescent="0.25">
      <c r="A6559" t="s">
        <v>1595</v>
      </c>
      <c r="B6559" s="1" t="str">
        <f>HYPERLINK("http://grupobbva.com","grupobbva.com")</f>
        <v>grupobbva.com</v>
      </c>
      <c r="C6559" t="s">
        <v>433</v>
      </c>
      <c r="E6559">
        <v>373548</v>
      </c>
      <c r="F6559">
        <v>4.0013048151290703E-8</v>
      </c>
      <c r="G6559">
        <v>1292032</v>
      </c>
      <c r="H6559">
        <v>14864075</v>
      </c>
      <c r="I6559">
        <v>482562</v>
      </c>
      <c r="J6559">
        <v>2</v>
      </c>
    </row>
    <row r="6560" spans="1:10" x14ac:dyDescent="0.25">
      <c r="A6560" t="s">
        <v>1595</v>
      </c>
      <c r="B6560" s="1" t="str">
        <f>HYPERLINK("http://holvi.com","holvi.com")</f>
        <v>holvi.com</v>
      </c>
      <c r="C6560" t="s">
        <v>433</v>
      </c>
      <c r="E6560">
        <v>4761</v>
      </c>
      <c r="F6560">
        <v>1.2542608215426901E-6</v>
      </c>
      <c r="G6560">
        <v>31069</v>
      </c>
      <c r="H6560">
        <v>15737623</v>
      </c>
      <c r="I6560">
        <v>369087</v>
      </c>
      <c r="J6560">
        <v>3</v>
      </c>
    </row>
    <row r="6561" spans="1:10" x14ac:dyDescent="0.25">
      <c r="A6561" t="s">
        <v>1595</v>
      </c>
      <c r="B6561" s="1" t="str">
        <f>HYPERLINK("http://madiva.com","madiva.com")</f>
        <v>madiva.com</v>
      </c>
      <c r="C6561" t="s">
        <v>433</v>
      </c>
      <c r="F6561">
        <v>6.9081936200053799E-9</v>
      </c>
      <c r="G6561">
        <v>12595781</v>
      </c>
      <c r="H6561">
        <v>13766581</v>
      </c>
      <c r="I6561">
        <v>6994531</v>
      </c>
      <c r="J6561">
        <v>3</v>
      </c>
    </row>
    <row r="6562" spans="1:10" x14ac:dyDescent="0.25">
      <c r="A6562" t="s">
        <v>1595</v>
      </c>
      <c r="B6562" s="1" t="str">
        <f>HYPERLINK("http://merlinproperties.com","merlinproperties.com")</f>
        <v>merlinproperties.com</v>
      </c>
      <c r="C6562" t="s">
        <v>433</v>
      </c>
      <c r="F6562">
        <v>6.3541660078002098E-8</v>
      </c>
      <c r="G6562">
        <v>683549</v>
      </c>
      <c r="H6562">
        <v>14061193</v>
      </c>
      <c r="I6562">
        <v>3775338</v>
      </c>
      <c r="J6562">
        <v>6</v>
      </c>
    </row>
    <row r="6563" spans="1:10" x14ac:dyDescent="0.25">
      <c r="A6563" t="s">
        <v>1595</v>
      </c>
      <c r="B6563" s="1" t="str">
        <f>HYPERLINK("http://provincial.com","provincial.com")</f>
        <v>provincial.com</v>
      </c>
      <c r="C6563" t="s">
        <v>433</v>
      </c>
      <c r="E6563">
        <v>15156</v>
      </c>
      <c r="F6563">
        <v>1.04792682549964E-7</v>
      </c>
      <c r="G6563">
        <v>382441</v>
      </c>
      <c r="H6563">
        <v>16829932</v>
      </c>
      <c r="I6563">
        <v>170356</v>
      </c>
      <c r="J6563">
        <v>3</v>
      </c>
    </row>
    <row r="6564" spans="1:10" x14ac:dyDescent="0.25">
      <c r="A6564" t="s">
        <v>1595</v>
      </c>
      <c r="B6564" s="1" t="str">
        <f>HYPERLINK("http://provincialnetcash.com","provincialnetcash.com")</f>
        <v>provincialnetcash.com</v>
      </c>
      <c r="C6564" t="s">
        <v>433</v>
      </c>
      <c r="E6564">
        <v>381345</v>
      </c>
      <c r="F6564">
        <v>7.44199013403238E-9</v>
      </c>
      <c r="G6564">
        <v>11145016</v>
      </c>
      <c r="H6564">
        <v>12921666</v>
      </c>
      <c r="I6564">
        <v>13420817</v>
      </c>
      <c r="J6564">
        <v>4</v>
      </c>
    </row>
    <row r="6565" spans="1:10" x14ac:dyDescent="0.25">
      <c r="A6565" t="s">
        <v>1595</v>
      </c>
      <c r="B6565" s="1" t="str">
        <f>HYPERLINK("http://segurosprovincial.com","segurosprovincial.com")</f>
        <v>segurosprovincial.com</v>
      </c>
      <c r="C6565" t="s">
        <v>433</v>
      </c>
      <c r="F6565">
        <v>7.7598005888817304E-9</v>
      </c>
      <c r="G6565">
        <v>10415146</v>
      </c>
      <c r="H6565">
        <v>12921531</v>
      </c>
      <c r="I6565">
        <v>13422405</v>
      </c>
      <c r="J6565">
        <v>3</v>
      </c>
    </row>
    <row r="6566" spans="1:10" x14ac:dyDescent="0.25">
      <c r="A6566" t="s">
        <v>1595</v>
      </c>
      <c r="B6566" s="1" t="str">
        <f>HYPERLINK("http://tarjetapagomundoconsum.com","tarjetapagomundoconsum.com")</f>
        <v>tarjetapagomundoconsum.com</v>
      </c>
      <c r="C6566" t="s">
        <v>433</v>
      </c>
      <c r="F6566">
        <v>4.5353301422887998E-9</v>
      </c>
      <c r="G6566">
        <v>53891633</v>
      </c>
      <c r="H6566">
        <v>8936498</v>
      </c>
      <c r="I6566">
        <v>68959208</v>
      </c>
      <c r="J6566">
        <v>2</v>
      </c>
    </row>
    <row r="6567" spans="1:10" x14ac:dyDescent="0.25">
      <c r="A6567" t="s">
        <v>1595</v>
      </c>
      <c r="B6567" s="1" t="str">
        <f>HYPERLINK("http://veridas.com","veridas.com")</f>
        <v>veridas.com</v>
      </c>
      <c r="C6567" t="s">
        <v>433</v>
      </c>
      <c r="F6567">
        <v>3.6575093915604097E-8</v>
      </c>
      <c r="G6567">
        <v>1428002</v>
      </c>
      <c r="H6567">
        <v>13338724</v>
      </c>
      <c r="I6567">
        <v>10675507</v>
      </c>
      <c r="J6567">
        <v>3</v>
      </c>
    </row>
    <row r="6568" spans="1:10" x14ac:dyDescent="0.25">
      <c r="A6568" t="s">
        <v>1595</v>
      </c>
      <c r="B6568" s="1" t="str">
        <f>HYPERLINK("http://garantibank.de","garantibank.de")</f>
        <v>garantibank.de</v>
      </c>
      <c r="C6568" t="s">
        <v>436</v>
      </c>
      <c r="D6568" t="s">
        <v>815</v>
      </c>
      <c r="F6568">
        <v>1.24887541380663E-8</v>
      </c>
      <c r="G6568">
        <v>4891357</v>
      </c>
      <c r="H6568">
        <v>12453788</v>
      </c>
      <c r="I6568">
        <v>17952337</v>
      </c>
      <c r="J6568">
        <v>5</v>
      </c>
    </row>
    <row r="6569" spans="1:10" x14ac:dyDescent="0.25">
      <c r="A6569" t="s">
        <v>1595</v>
      </c>
      <c r="B6569" s="1" t="str">
        <f>HYPERLINK("http://holvi.de","holvi.de")</f>
        <v>holvi.de</v>
      </c>
      <c r="C6569" t="s">
        <v>436</v>
      </c>
      <c r="D6569" t="s">
        <v>815</v>
      </c>
      <c r="F6569">
        <v>6.2269829464593399E-9</v>
      </c>
      <c r="G6569">
        <v>15390121</v>
      </c>
      <c r="H6569">
        <v>11418260</v>
      </c>
      <c r="I6569">
        <v>30176624</v>
      </c>
      <c r="J6569">
        <v>4</v>
      </c>
    </row>
    <row r="6570" spans="1:10" x14ac:dyDescent="0.25">
      <c r="A6570" t="s">
        <v>1595</v>
      </c>
      <c r="B6570" s="1" t="str">
        <f>HYPERLINK("http://bbva.es","bbva.es")</f>
        <v>bbva.es</v>
      </c>
      <c r="C6570" t="s">
        <v>443</v>
      </c>
      <c r="D6570" t="s">
        <v>822</v>
      </c>
      <c r="E6570">
        <v>32253</v>
      </c>
      <c r="F6570">
        <v>9.912730942349129E-7</v>
      </c>
      <c r="G6570">
        <v>38578</v>
      </c>
      <c r="H6570">
        <v>17412854</v>
      </c>
      <c r="I6570">
        <v>18311</v>
      </c>
      <c r="J6570">
        <v>2</v>
      </c>
    </row>
    <row r="6571" spans="1:10" x14ac:dyDescent="0.25">
      <c r="A6571" t="s">
        <v>1595</v>
      </c>
      <c r="B6571" s="1" t="str">
        <f>HYPERLINK("http://bbvaportalapis.es","bbvaportalapis.es")</f>
        <v>bbvaportalapis.es</v>
      </c>
      <c r="C6571" t="s">
        <v>443</v>
      </c>
      <c r="D6571" t="s">
        <v>822</v>
      </c>
      <c r="J6571">
        <v>2</v>
      </c>
    </row>
    <row r="6572" spans="1:10" x14ac:dyDescent="0.25">
      <c r="A6572" t="s">
        <v>1595</v>
      </c>
      <c r="B6572" s="1" t="str">
        <f>HYPERLINK("http://caixaterrassa.es","caixaterrassa.es")</f>
        <v>caixaterrassa.es</v>
      </c>
      <c r="C6572" t="s">
        <v>443</v>
      </c>
      <c r="D6572" t="s">
        <v>822</v>
      </c>
      <c r="F6572">
        <v>2.1250615477731399E-8</v>
      </c>
      <c r="G6572">
        <v>2480507</v>
      </c>
      <c r="H6572">
        <v>13765501</v>
      </c>
      <c r="I6572">
        <v>7097492</v>
      </c>
      <c r="J6572">
        <v>3</v>
      </c>
    </row>
    <row r="6573" spans="1:10" x14ac:dyDescent="0.25">
      <c r="A6573" t="s">
        <v>1595</v>
      </c>
      <c r="B6573" s="1" t="str">
        <f>HYPERLINK("http://parclogistic.es","parclogistic.es")</f>
        <v>parclogistic.es</v>
      </c>
      <c r="C6573" t="s">
        <v>443</v>
      </c>
      <c r="D6573" t="s">
        <v>822</v>
      </c>
      <c r="F6573">
        <v>9.6146703497426297E-9</v>
      </c>
      <c r="G6573">
        <v>7182065</v>
      </c>
      <c r="H6573">
        <v>13503743</v>
      </c>
      <c r="I6573">
        <v>9965507</v>
      </c>
      <c r="J6573">
        <v>7</v>
      </c>
    </row>
    <row r="6574" spans="1:10" x14ac:dyDescent="0.25">
      <c r="A6574" t="s">
        <v>1595</v>
      </c>
      <c r="B6574" s="1" t="str">
        <f>HYPERLINK("http://tree-inversiones.es","tree-inversiones.es")</f>
        <v>tree-inversiones.es</v>
      </c>
      <c r="C6574" t="s">
        <v>443</v>
      </c>
      <c r="D6574" t="s">
        <v>822</v>
      </c>
      <c r="F6574">
        <v>4.4717134411768498E-9</v>
      </c>
      <c r="G6574">
        <v>64157433</v>
      </c>
      <c r="H6574">
        <v>11908642</v>
      </c>
      <c r="I6574">
        <v>29473292</v>
      </c>
      <c r="J6574">
        <v>5</v>
      </c>
    </row>
    <row r="6575" spans="1:10" x14ac:dyDescent="0.25">
      <c r="A6575" t="s">
        <v>1595</v>
      </c>
      <c r="B6575" s="1" t="str">
        <f>HYPERLINK("http://garantibank.eu","garantibank.eu")</f>
        <v>garantibank.eu</v>
      </c>
      <c r="C6575" t="s">
        <v>444</v>
      </c>
      <c r="F6575">
        <v>1.06366366850727E-8</v>
      </c>
      <c r="G6575">
        <v>6152571</v>
      </c>
      <c r="H6575">
        <v>12541388</v>
      </c>
      <c r="I6575">
        <v>16933665</v>
      </c>
      <c r="J6575">
        <v>4</v>
      </c>
    </row>
    <row r="6576" spans="1:10" x14ac:dyDescent="0.25">
      <c r="A6576" t="s">
        <v>1595</v>
      </c>
      <c r="B6576" s="1" t="str">
        <f>HYPERLINK("http://holvi-lite.fi","holvi-lite.fi")</f>
        <v>holvi-lite.fi</v>
      </c>
      <c r="C6576" t="s">
        <v>445</v>
      </c>
      <c r="D6576" t="s">
        <v>823</v>
      </c>
      <c r="J6576">
        <v>6</v>
      </c>
    </row>
    <row r="6577" spans="1:10" x14ac:dyDescent="0.25">
      <c r="A6577" t="s">
        <v>1595</v>
      </c>
      <c r="B6577" s="1" t="str">
        <f>HYPERLINK("http://holvi-pro.fi","holvi-pro.fi")</f>
        <v>holvi-pro.fi</v>
      </c>
      <c r="C6577" t="s">
        <v>445</v>
      </c>
      <c r="D6577" t="s">
        <v>823</v>
      </c>
      <c r="J6577">
        <v>6</v>
      </c>
    </row>
    <row r="6578" spans="1:10" x14ac:dyDescent="0.25">
      <c r="A6578" t="s">
        <v>1595</v>
      </c>
      <c r="B6578" s="1" t="str">
        <f>HYPERLINK("http://holvi-zen.fi","holvi-zen.fi")</f>
        <v>holvi-zen.fi</v>
      </c>
      <c r="C6578" t="s">
        <v>445</v>
      </c>
      <c r="D6578" t="s">
        <v>823</v>
      </c>
      <c r="J6578">
        <v>6</v>
      </c>
    </row>
    <row r="6579" spans="1:10" x14ac:dyDescent="0.25">
      <c r="A6579" t="s">
        <v>1595</v>
      </c>
      <c r="B6579" s="1" t="str">
        <f>HYPERLINK("http://holvilite.fi","holvilite.fi")</f>
        <v>holvilite.fi</v>
      </c>
      <c r="C6579" t="s">
        <v>445</v>
      </c>
      <c r="D6579" t="s">
        <v>823</v>
      </c>
      <c r="J6579">
        <v>6</v>
      </c>
    </row>
    <row r="6580" spans="1:10" x14ac:dyDescent="0.25">
      <c r="A6580" t="s">
        <v>1595</v>
      </c>
      <c r="B6580" s="1" t="str">
        <f>HYPERLINK("http://holvipro.fi","holvipro.fi")</f>
        <v>holvipro.fi</v>
      </c>
      <c r="C6580" t="s">
        <v>445</v>
      </c>
      <c r="D6580" t="s">
        <v>823</v>
      </c>
      <c r="J6580">
        <v>6</v>
      </c>
    </row>
    <row r="6581" spans="1:10" x14ac:dyDescent="0.25">
      <c r="A6581" t="s">
        <v>1595</v>
      </c>
      <c r="B6581" s="1" t="str">
        <f>HYPERLINK("http://holvizen.fi","holvizen.fi")</f>
        <v>holvizen.fi</v>
      </c>
      <c r="C6581" t="s">
        <v>445</v>
      </c>
      <c r="D6581" t="s">
        <v>823</v>
      </c>
      <c r="J6581">
        <v>6</v>
      </c>
    </row>
    <row r="6582" spans="1:10" x14ac:dyDescent="0.25">
      <c r="A6582" t="s">
        <v>1595</v>
      </c>
      <c r="B6582" s="1" t="str">
        <f>HYPERLINK("http://makersanddoers.fi","makersanddoers.fi")</f>
        <v>makersanddoers.fi</v>
      </c>
      <c r="C6582" t="s">
        <v>445</v>
      </c>
      <c r="D6582" t="s">
        <v>823</v>
      </c>
      <c r="J6582">
        <v>6</v>
      </c>
    </row>
    <row r="6583" spans="1:10" x14ac:dyDescent="0.25">
      <c r="A6583" t="s">
        <v>1595</v>
      </c>
      <c r="B6583" s="1" t="str">
        <f>HYPERLINK("http://yritystilihelposti.fi","yritystilihelposti.fi")</f>
        <v>yritystilihelposti.fi</v>
      </c>
      <c r="C6583" t="s">
        <v>445</v>
      </c>
      <c r="D6583" t="s">
        <v>823</v>
      </c>
      <c r="J6583">
        <v>6</v>
      </c>
    </row>
    <row r="6584" spans="1:10" x14ac:dyDescent="0.25">
      <c r="A6584" t="s">
        <v>1595</v>
      </c>
      <c r="B6584" s="1" t="str">
        <f>HYPERLINK("http://bbva.fr","bbva.fr")</f>
        <v>bbva.fr</v>
      </c>
      <c r="C6584" t="s">
        <v>446</v>
      </c>
      <c r="D6584" t="s">
        <v>824</v>
      </c>
      <c r="F6584">
        <v>1.2946824054652599E-8</v>
      </c>
      <c r="G6584">
        <v>4657264</v>
      </c>
      <c r="H6584">
        <v>12536255</v>
      </c>
      <c r="I6584">
        <v>16975693</v>
      </c>
      <c r="J6584">
        <v>2</v>
      </c>
    </row>
    <row r="6585" spans="1:10" x14ac:dyDescent="0.25">
      <c r="A6585" t="s">
        <v>1595</v>
      </c>
      <c r="B6585" s="1" t="str">
        <f>HYPERLINK("http://bbva.info","bbva.info")</f>
        <v>bbva.info</v>
      </c>
      <c r="C6585" t="s">
        <v>458</v>
      </c>
      <c r="E6585">
        <v>777052</v>
      </c>
      <c r="F6585">
        <v>4.7640252285196797E-8</v>
      </c>
      <c r="G6585">
        <v>977309</v>
      </c>
      <c r="H6585">
        <v>14178959</v>
      </c>
      <c r="I6585">
        <v>1783942</v>
      </c>
      <c r="J6585">
        <v>2</v>
      </c>
    </row>
    <row r="6586" spans="1:10" x14ac:dyDescent="0.25">
      <c r="A6586" t="s">
        <v>1595</v>
      </c>
      <c r="B6586" s="1" t="str">
        <f>HYPERLINK("http://bbva.it","bbva.it")</f>
        <v>bbva.it</v>
      </c>
      <c r="C6586" t="s">
        <v>459</v>
      </c>
      <c r="D6586" t="s">
        <v>835</v>
      </c>
      <c r="E6586">
        <v>705538</v>
      </c>
      <c r="F6586">
        <v>1.2070762218142699E-8</v>
      </c>
      <c r="G6586">
        <v>5130955</v>
      </c>
      <c r="H6586">
        <v>12964872</v>
      </c>
      <c r="I6586">
        <v>13128678</v>
      </c>
      <c r="J6586">
        <v>2</v>
      </c>
    </row>
    <row r="6587" spans="1:10" x14ac:dyDescent="0.25">
      <c r="A6587" t="s">
        <v>1595</v>
      </c>
      <c r="B6587" s="1" t="str">
        <f>HYPERLINK("http://bbva.mx","bbva.mx")</f>
        <v>bbva.mx</v>
      </c>
      <c r="C6587" t="s">
        <v>471</v>
      </c>
      <c r="D6587" t="s">
        <v>847</v>
      </c>
      <c r="E6587">
        <v>19685</v>
      </c>
      <c r="F6587">
        <v>4.0455519324153901E-7</v>
      </c>
      <c r="G6587">
        <v>92838</v>
      </c>
      <c r="H6587">
        <v>17212078</v>
      </c>
      <c r="I6587">
        <v>39702</v>
      </c>
      <c r="J6587">
        <v>2</v>
      </c>
    </row>
    <row r="6588" spans="1:10" x14ac:dyDescent="0.25">
      <c r="A6588" t="s">
        <v>1595</v>
      </c>
      <c r="B6588" s="1" t="str">
        <f>HYPERLINK("http://bbvaleasing.mx","bbvaleasing.mx")</f>
        <v>bbvaleasing.mx</v>
      </c>
      <c r="C6588" t="s">
        <v>471</v>
      </c>
      <c r="D6588" t="s">
        <v>847</v>
      </c>
      <c r="F6588">
        <v>5.7218503783206899E-9</v>
      </c>
      <c r="G6588">
        <v>18733548</v>
      </c>
      <c r="H6588">
        <v>12337059</v>
      </c>
      <c r="I6588">
        <v>20067592</v>
      </c>
      <c r="J6588">
        <v>3</v>
      </c>
    </row>
    <row r="6589" spans="1:10" x14ac:dyDescent="0.25">
      <c r="A6589" t="s">
        <v>1595</v>
      </c>
      <c r="B6589" s="1" t="str">
        <f>HYPERLINK("http://cmpnet.mx","cmpnet.mx")</f>
        <v>cmpnet.mx</v>
      </c>
      <c r="C6589" t="s">
        <v>471</v>
      </c>
      <c r="D6589" t="s">
        <v>847</v>
      </c>
      <c r="J6589">
        <v>4</v>
      </c>
    </row>
    <row r="6590" spans="1:10" x14ac:dyDescent="0.25">
      <c r="A6590" t="s">
        <v>1595</v>
      </c>
      <c r="B6590" s="1" t="str">
        <f>HYPERLINK("http://adquira.com.mx","adquira.com.mx")</f>
        <v>adquira.com.mx</v>
      </c>
      <c r="C6590" t="s">
        <v>471</v>
      </c>
      <c r="D6590" t="s">
        <v>847</v>
      </c>
      <c r="F6590">
        <v>4.6370042809466698E-9</v>
      </c>
      <c r="G6590">
        <v>44970299</v>
      </c>
      <c r="H6590">
        <v>10462951</v>
      </c>
      <c r="I6590">
        <v>51615649</v>
      </c>
      <c r="J6590">
        <v>3</v>
      </c>
    </row>
    <row r="6591" spans="1:10" x14ac:dyDescent="0.25">
      <c r="A6591" t="s">
        <v>1595</v>
      </c>
      <c r="B6591" s="1" t="str">
        <f>HYPERLINK("http://bancomer.com.mx","bancomer.com.mx")</f>
        <v>bancomer.com.mx</v>
      </c>
      <c r="C6591" t="s">
        <v>471</v>
      </c>
      <c r="D6591" t="s">
        <v>847</v>
      </c>
      <c r="F6591">
        <v>3.8521030917635202E-8</v>
      </c>
      <c r="G6591">
        <v>1338873</v>
      </c>
      <c r="H6591">
        <v>14086171</v>
      </c>
      <c r="I6591">
        <v>2772727</v>
      </c>
      <c r="J6591">
        <v>3</v>
      </c>
    </row>
    <row r="6592" spans="1:10" x14ac:dyDescent="0.25">
      <c r="A6592" t="s">
        <v>1595</v>
      </c>
      <c r="B6592" s="1" t="str">
        <f>HYPERLINK("http://bbva.com.mx","bbva.com.mx")</f>
        <v>bbva.com.mx</v>
      </c>
      <c r="C6592" t="s">
        <v>471</v>
      </c>
      <c r="D6592" t="s">
        <v>847</v>
      </c>
      <c r="F6592">
        <v>5.6508925435528601E-9</v>
      </c>
      <c r="G6592">
        <v>19384327</v>
      </c>
      <c r="H6592">
        <v>12121589</v>
      </c>
      <c r="I6592">
        <v>25368657</v>
      </c>
      <c r="J6592">
        <v>3</v>
      </c>
    </row>
    <row r="6593" spans="1:10" x14ac:dyDescent="0.25">
      <c r="A6593" t="s">
        <v>1595</v>
      </c>
      <c r="B6593" s="1" t="str">
        <f>HYPERLINK("http://bbvabancomer.com.mx","bbvabancomer.com.mx")</f>
        <v>bbvabancomer.com.mx</v>
      </c>
      <c r="C6593" t="s">
        <v>471</v>
      </c>
      <c r="D6593" t="s">
        <v>847</v>
      </c>
      <c r="F6593">
        <v>4.44380996400719E-9</v>
      </c>
      <c r="G6593">
        <v>79639077</v>
      </c>
      <c r="H6593">
        <v>10351910</v>
      </c>
      <c r="I6593">
        <v>56144956</v>
      </c>
      <c r="J6593">
        <v>3</v>
      </c>
    </row>
    <row r="6594" spans="1:10" x14ac:dyDescent="0.25">
      <c r="A6594" t="s">
        <v>1595</v>
      </c>
      <c r="B6594" s="1" t="str">
        <f>HYPERLINK("http://flap.com.mx","flap.com.mx")</f>
        <v>flap.com.mx</v>
      </c>
      <c r="C6594" t="s">
        <v>471</v>
      </c>
      <c r="D6594" t="s">
        <v>847</v>
      </c>
      <c r="F6594">
        <v>1.6091732368626102E-8</v>
      </c>
      <c r="G6594">
        <v>3522616</v>
      </c>
      <c r="H6594">
        <v>12748939</v>
      </c>
      <c r="I6594">
        <v>15056095</v>
      </c>
      <c r="J6594">
        <v>2</v>
      </c>
    </row>
    <row r="6595" spans="1:10" x14ac:dyDescent="0.25">
      <c r="A6595" t="s">
        <v>1595</v>
      </c>
      <c r="B6595" s="1" t="str">
        <f>HYPERLINK("http://multiasis.com.mx","multiasis.com.mx")</f>
        <v>multiasis.com.mx</v>
      </c>
      <c r="C6595" t="s">
        <v>471</v>
      </c>
      <c r="D6595" t="s">
        <v>847</v>
      </c>
      <c r="F6595">
        <v>5.0538332587393302E-9</v>
      </c>
      <c r="G6595">
        <v>28135774</v>
      </c>
      <c r="H6595">
        <v>12286942</v>
      </c>
      <c r="I6595">
        <v>21175212</v>
      </c>
      <c r="J6595">
        <v>3</v>
      </c>
    </row>
    <row r="6596" spans="1:10" x14ac:dyDescent="0.25">
      <c r="A6596" t="s">
        <v>1595</v>
      </c>
      <c r="B6596" s="1" t="str">
        <f>HYPERLINK("http://segurosbancomer.com.mx","segurosbancomer.com.mx")</f>
        <v>segurosbancomer.com.mx</v>
      </c>
      <c r="C6596" t="s">
        <v>471</v>
      </c>
      <c r="D6596" t="s">
        <v>847</v>
      </c>
      <c r="F6596">
        <v>6.9745592901822501E-9</v>
      </c>
      <c r="G6596">
        <v>12387727</v>
      </c>
      <c r="H6596">
        <v>13934121</v>
      </c>
      <c r="I6596">
        <v>4630952</v>
      </c>
      <c r="J6596">
        <v>3</v>
      </c>
    </row>
    <row r="6597" spans="1:10" x14ac:dyDescent="0.25">
      <c r="A6597" t="s">
        <v>1595</v>
      </c>
      <c r="B6597" s="1" t="str">
        <f>HYPERLINK("http://multiasis.mx","multiasis.mx")</f>
        <v>multiasis.mx</v>
      </c>
      <c r="C6597" t="s">
        <v>471</v>
      </c>
      <c r="D6597" t="s">
        <v>847</v>
      </c>
      <c r="J6597">
        <v>5</v>
      </c>
    </row>
    <row r="6598" spans="1:10" x14ac:dyDescent="0.25">
      <c r="A6598" t="s">
        <v>1595</v>
      </c>
      <c r="B6598" s="1" t="str">
        <f>HYPERLINK("http://garantibank.nl","garantibank.nl")</f>
        <v>garantibank.nl</v>
      </c>
      <c r="C6598" t="s">
        <v>477</v>
      </c>
      <c r="D6598" t="s">
        <v>852</v>
      </c>
      <c r="F6598">
        <v>1.2386803042532699E-8</v>
      </c>
      <c r="G6598">
        <v>4946510</v>
      </c>
      <c r="H6598">
        <v>13936526</v>
      </c>
      <c r="I6598">
        <v>4491957</v>
      </c>
      <c r="J6598">
        <v>5</v>
      </c>
    </row>
    <row r="6599" spans="1:10" x14ac:dyDescent="0.25">
      <c r="A6599" t="s">
        <v>1595</v>
      </c>
      <c r="B6599" s="1" t="str">
        <f>HYPERLINK("http://bbva.pe","bbva.pe")</f>
        <v>bbva.pe</v>
      </c>
      <c r="C6599" t="s">
        <v>483</v>
      </c>
      <c r="D6599" t="s">
        <v>857</v>
      </c>
      <c r="E6599">
        <v>57554</v>
      </c>
      <c r="F6599">
        <v>1.69865339005966E-7</v>
      </c>
      <c r="G6599">
        <v>228344</v>
      </c>
      <c r="H6599">
        <v>16888226</v>
      </c>
      <c r="I6599">
        <v>135946</v>
      </c>
      <c r="J6599">
        <v>2</v>
      </c>
    </row>
    <row r="6600" spans="1:10" x14ac:dyDescent="0.25">
      <c r="A6600" t="s">
        <v>1595</v>
      </c>
      <c r="B6600" s="1" t="str">
        <f>HYPERLINK("http://bbvabancocontinental.com.pe","bbvabancocontinental.com.pe")</f>
        <v>bbvabancocontinental.com.pe</v>
      </c>
      <c r="C6600" t="s">
        <v>483</v>
      </c>
      <c r="D6600" t="s">
        <v>857</v>
      </c>
      <c r="F6600">
        <v>6.4875994820360802E-9</v>
      </c>
      <c r="G6600">
        <v>14129896</v>
      </c>
      <c r="H6600">
        <v>12312926</v>
      </c>
      <c r="I6600">
        <v>20558052</v>
      </c>
      <c r="J6600">
        <v>4</v>
      </c>
    </row>
    <row r="6601" spans="1:10" x14ac:dyDescent="0.25">
      <c r="A6601" t="s">
        <v>1595</v>
      </c>
      <c r="B6601" s="1" t="str">
        <f>HYPERLINK("http://bbva.pt","bbva.pt")</f>
        <v>bbva.pt</v>
      </c>
      <c r="C6601" t="s">
        <v>488</v>
      </c>
      <c r="D6601" t="s">
        <v>862</v>
      </c>
      <c r="E6601">
        <v>935064</v>
      </c>
      <c r="F6601">
        <v>3.0734025012212799E-8</v>
      </c>
      <c r="G6601">
        <v>1676156</v>
      </c>
      <c r="H6601">
        <v>13571328</v>
      </c>
      <c r="I6601">
        <v>9719835</v>
      </c>
      <c r="J6601">
        <v>2</v>
      </c>
    </row>
    <row r="6602" spans="1:10" x14ac:dyDescent="0.25">
      <c r="A6602" t="s">
        <v>1595</v>
      </c>
      <c r="B6602" s="1" t="str">
        <f>HYPERLINK("http://bbvaassetmanagement.pt","bbvaassetmanagement.pt")</f>
        <v>bbvaassetmanagement.pt</v>
      </c>
      <c r="C6602" t="s">
        <v>488</v>
      </c>
      <c r="D6602" t="s">
        <v>862</v>
      </c>
      <c r="F6602">
        <v>5.60986962752017E-9</v>
      </c>
      <c r="G6602">
        <v>19763670</v>
      </c>
      <c r="H6602">
        <v>10491544</v>
      </c>
      <c r="I6602">
        <v>50601475</v>
      </c>
      <c r="J6602">
        <v>4</v>
      </c>
    </row>
    <row r="6603" spans="1:10" x14ac:dyDescent="0.25">
      <c r="A6603" t="s">
        <v>1595</v>
      </c>
      <c r="B6603" s="1" t="str">
        <f>HYPERLINK("http://bbvacf.pt","bbvacf.pt")</f>
        <v>bbvacf.pt</v>
      </c>
      <c r="C6603" t="s">
        <v>488</v>
      </c>
      <c r="D6603" t="s">
        <v>862</v>
      </c>
      <c r="F6603">
        <v>6.8319308869827297E-9</v>
      </c>
      <c r="G6603">
        <v>12856011</v>
      </c>
      <c r="H6603">
        <v>10758128</v>
      </c>
      <c r="I6603">
        <v>39697407</v>
      </c>
      <c r="J6603">
        <v>3</v>
      </c>
    </row>
    <row r="6604" spans="1:10" x14ac:dyDescent="0.25">
      <c r="A6604" t="s">
        <v>1595</v>
      </c>
      <c r="B6604" s="1" t="str">
        <f>HYPERLINK("http://bbva.com.py","bbva.com.py")</f>
        <v>bbva.com.py</v>
      </c>
      <c r="C6604" t="s">
        <v>489</v>
      </c>
      <c r="D6604" t="s">
        <v>863</v>
      </c>
      <c r="F6604">
        <v>1.0334996391970599E-8</v>
      </c>
      <c r="G6604">
        <v>6418295</v>
      </c>
      <c r="H6604">
        <v>12634190</v>
      </c>
      <c r="I6604">
        <v>15940570</v>
      </c>
      <c r="J6604">
        <v>3</v>
      </c>
    </row>
    <row r="6605" spans="1:10" x14ac:dyDescent="0.25">
      <c r="A6605" t="s">
        <v>1595</v>
      </c>
      <c r="B6605" s="1" t="str">
        <f>HYPERLINK("http://garantibank.ro","garantibank.ro")</f>
        <v>garantibank.ro</v>
      </c>
      <c r="C6605" t="s">
        <v>491</v>
      </c>
      <c r="D6605" t="s">
        <v>865</v>
      </c>
      <c r="E6605">
        <v>207586</v>
      </c>
      <c r="F6605">
        <v>3.79919347821605E-8</v>
      </c>
      <c r="G6605">
        <v>1362191</v>
      </c>
      <c r="H6605">
        <v>14074276</v>
      </c>
      <c r="I6605">
        <v>2949230</v>
      </c>
      <c r="J6605">
        <v>4</v>
      </c>
    </row>
    <row r="6606" spans="1:10" x14ac:dyDescent="0.25">
      <c r="A6606" t="s">
        <v>1595</v>
      </c>
      <c r="B6606" s="1" t="str">
        <f>HYPERLINK("http://garantibbva.ro","garantibbva.ro")</f>
        <v>garantibbva.ro</v>
      </c>
      <c r="C6606" t="s">
        <v>491</v>
      </c>
      <c r="D6606" t="s">
        <v>865</v>
      </c>
      <c r="E6606">
        <v>783620</v>
      </c>
      <c r="F6606">
        <v>9.2579511948415405E-8</v>
      </c>
      <c r="G6606">
        <v>439511</v>
      </c>
      <c r="H6606">
        <v>16815952</v>
      </c>
      <c r="I6606">
        <v>188318</v>
      </c>
      <c r="J6606">
        <v>4</v>
      </c>
    </row>
    <row r="6607" spans="1:10" x14ac:dyDescent="0.25">
      <c r="A6607" t="s">
        <v>1595</v>
      </c>
      <c r="B6607" s="1" t="str">
        <f>HYPERLINK("http://dgrees.studio","dgrees.studio")</f>
        <v>dgrees.studio</v>
      </c>
      <c r="C6607" t="s">
        <v>773</v>
      </c>
      <c r="F6607">
        <v>7.6731351828812597E-8</v>
      </c>
      <c r="G6607">
        <v>546128</v>
      </c>
      <c r="H6607">
        <v>13149383</v>
      </c>
      <c r="I6607">
        <v>11829919</v>
      </c>
      <c r="J6607">
        <v>3</v>
      </c>
    </row>
    <row r="6608" spans="1:10" x14ac:dyDescent="0.25">
      <c r="A6608" t="s">
        <v>1595</v>
      </c>
      <c r="B6608" s="1" t="str">
        <f>HYPERLINK("http://garanti.com.tr","garanti.com.tr")</f>
        <v>garanti.com.tr</v>
      </c>
      <c r="C6608" t="s">
        <v>502</v>
      </c>
      <c r="D6608" t="s">
        <v>876</v>
      </c>
      <c r="E6608">
        <v>19465</v>
      </c>
      <c r="F6608">
        <v>2.15496522055223E-7</v>
      </c>
      <c r="G6608">
        <v>175068</v>
      </c>
      <c r="H6608">
        <v>14655906</v>
      </c>
      <c r="I6608">
        <v>623284</v>
      </c>
      <c r="J6608">
        <v>3</v>
      </c>
    </row>
    <row r="6609" spans="1:10" x14ac:dyDescent="0.25">
      <c r="A6609" t="s">
        <v>1595</v>
      </c>
      <c r="B6609" s="1" t="str">
        <f>HYPERLINK("http://garantibbva.com.tr","garantibbva.com.tr")</f>
        <v>garantibbva.com.tr</v>
      </c>
      <c r="C6609" t="s">
        <v>502</v>
      </c>
      <c r="D6609" t="s">
        <v>876</v>
      </c>
      <c r="E6609">
        <v>17893</v>
      </c>
      <c r="F6609">
        <v>2.7636072074712598E-7</v>
      </c>
      <c r="G6609">
        <v>134611</v>
      </c>
      <c r="H6609">
        <v>15219196</v>
      </c>
      <c r="I6609">
        <v>393478</v>
      </c>
      <c r="J6609">
        <v>4</v>
      </c>
    </row>
    <row r="6610" spans="1:10" x14ac:dyDescent="0.25">
      <c r="A6610" t="s">
        <v>1595</v>
      </c>
      <c r="B6610" s="1" t="str">
        <f>HYPERLINK("http://garantibbvafilo.com.tr","garantibbvafilo.com.tr")</f>
        <v>garantibbvafilo.com.tr</v>
      </c>
      <c r="C6610" t="s">
        <v>502</v>
      </c>
      <c r="D6610" t="s">
        <v>876</v>
      </c>
      <c r="F6610">
        <v>4.8633525128658201E-9</v>
      </c>
      <c r="G6610">
        <v>33708566</v>
      </c>
      <c r="H6610">
        <v>12127420</v>
      </c>
      <c r="I6610">
        <v>25217603</v>
      </c>
      <c r="J6610">
        <v>7</v>
      </c>
    </row>
    <row r="6611" spans="1:10" x14ac:dyDescent="0.25">
      <c r="A6611" t="s">
        <v>1595</v>
      </c>
      <c r="B6611" s="1" t="str">
        <f>HYPERLINK("http://garantibbvaleasing.com.tr","garantibbvaleasing.com.tr")</f>
        <v>garantibbvaleasing.com.tr</v>
      </c>
      <c r="C6611" t="s">
        <v>502</v>
      </c>
      <c r="D6611" t="s">
        <v>876</v>
      </c>
      <c r="F6611">
        <v>8.1478213922533102E-9</v>
      </c>
      <c r="G6611">
        <v>9659972</v>
      </c>
      <c r="H6611">
        <v>12490882</v>
      </c>
      <c r="I6611">
        <v>17480780</v>
      </c>
      <c r="J6611">
        <v>4</v>
      </c>
    </row>
    <row r="6612" spans="1:10" x14ac:dyDescent="0.25">
      <c r="A6612" t="s">
        <v>1595</v>
      </c>
      <c r="B6612" s="1" t="str">
        <f>HYPERLINK("http://garantibbvayatirim.com.tr","garantibbvayatirim.com.tr")</f>
        <v>garantibbvayatirim.com.tr</v>
      </c>
      <c r="C6612" t="s">
        <v>502</v>
      </c>
      <c r="D6612" t="s">
        <v>876</v>
      </c>
      <c r="E6612">
        <v>289637</v>
      </c>
      <c r="F6612">
        <v>7.5043223651456802E-9</v>
      </c>
      <c r="G6612">
        <v>11004035</v>
      </c>
      <c r="H6612">
        <v>12397813</v>
      </c>
      <c r="I6612">
        <v>18885673</v>
      </c>
      <c r="J6612">
        <v>7</v>
      </c>
    </row>
    <row r="6613" spans="1:10" x14ac:dyDescent="0.25">
      <c r="A6613" t="s">
        <v>1595</v>
      </c>
      <c r="B6613" s="1" t="str">
        <f>HYPERLINK("http://garantifilo.com.tr","garantifilo.com.tr")</f>
        <v>garantifilo.com.tr</v>
      </c>
      <c r="C6613" t="s">
        <v>502</v>
      </c>
      <c r="D6613" t="s">
        <v>876</v>
      </c>
      <c r="F6613">
        <v>5.10615079494663E-9</v>
      </c>
      <c r="G6613">
        <v>26928290</v>
      </c>
      <c r="H6613">
        <v>10813891</v>
      </c>
      <c r="I6613">
        <v>37766500</v>
      </c>
      <c r="J6613">
        <v>4</v>
      </c>
    </row>
    <row r="6614" spans="1:10" x14ac:dyDescent="0.25">
      <c r="A6614" t="s">
        <v>1595</v>
      </c>
      <c r="B6614" s="1" t="str">
        <f>HYPERLINK("http://garantileasing.com.tr","garantileasing.com.tr")</f>
        <v>garantileasing.com.tr</v>
      </c>
      <c r="C6614" t="s">
        <v>502</v>
      </c>
      <c r="D6614" t="s">
        <v>876</v>
      </c>
      <c r="F6614">
        <v>6.0906617777504499E-9</v>
      </c>
      <c r="G6614">
        <v>16145367</v>
      </c>
      <c r="H6614">
        <v>11083261</v>
      </c>
      <c r="I6614">
        <v>32452556</v>
      </c>
      <c r="J6614">
        <v>7</v>
      </c>
    </row>
    <row r="6615" spans="1:10" x14ac:dyDescent="0.25">
      <c r="A6615" t="s">
        <v>1595</v>
      </c>
      <c r="B6615" s="1" t="str">
        <f>HYPERLINK("http://garantiportfoy.com.tr","garantiportfoy.com.tr")</f>
        <v>garantiportfoy.com.tr</v>
      </c>
      <c r="C6615" t="s">
        <v>502</v>
      </c>
      <c r="D6615" t="s">
        <v>876</v>
      </c>
      <c r="F6615">
        <v>4.7468233259409599E-9</v>
      </c>
      <c r="G6615">
        <v>38472568</v>
      </c>
      <c r="H6615">
        <v>7728667</v>
      </c>
      <c r="I6615">
        <v>75855150</v>
      </c>
      <c r="J6615">
        <v>4</v>
      </c>
    </row>
    <row r="6616" spans="1:10" x14ac:dyDescent="0.25">
      <c r="A6616" t="s">
        <v>1595</v>
      </c>
      <c r="B6616" s="1" t="str">
        <f>HYPERLINK("http://garantiyatirim.com.tr","garantiyatirim.com.tr")</f>
        <v>garantiyatirim.com.tr</v>
      </c>
      <c r="C6616" t="s">
        <v>502</v>
      </c>
      <c r="D6616" t="s">
        <v>876</v>
      </c>
      <c r="E6616">
        <v>843098</v>
      </c>
      <c r="F6616">
        <v>8.8390375868058697E-9</v>
      </c>
      <c r="G6616">
        <v>8241863</v>
      </c>
      <c r="H6616">
        <v>12381891</v>
      </c>
      <c r="I6616">
        <v>19173291</v>
      </c>
      <c r="J6616">
        <v>4</v>
      </c>
    </row>
    <row r="6617" spans="1:10" x14ac:dyDescent="0.25">
      <c r="A6617" t="s">
        <v>1595</v>
      </c>
      <c r="B6617" s="1" t="str">
        <f>HYPERLINK("http://gyo.com.tr","gyo.com.tr")</f>
        <v>gyo.com.tr</v>
      </c>
      <c r="C6617" t="s">
        <v>502</v>
      </c>
      <c r="D6617" t="s">
        <v>876</v>
      </c>
      <c r="F6617">
        <v>4.4566970417533303E-9</v>
      </c>
      <c r="G6617">
        <v>68852761</v>
      </c>
      <c r="H6617">
        <v>10478624</v>
      </c>
      <c r="I6617">
        <v>51082965</v>
      </c>
      <c r="J6617">
        <v>4</v>
      </c>
    </row>
    <row r="6618" spans="1:10" x14ac:dyDescent="0.25">
      <c r="A6618" t="s">
        <v>1595</v>
      </c>
      <c r="B6618" s="1" t="str">
        <f>HYPERLINK("http://bbva.com.uy","bbva.com.uy")</f>
        <v>bbva.com.uy</v>
      </c>
      <c r="C6618" t="s">
        <v>507</v>
      </c>
      <c r="D6618" t="s">
        <v>881</v>
      </c>
      <c r="E6618">
        <v>323756</v>
      </c>
      <c r="F6618">
        <v>5.30386720609132E-8</v>
      </c>
      <c r="G6618">
        <v>858648</v>
      </c>
      <c r="H6618">
        <v>13559212</v>
      </c>
      <c r="I6618">
        <v>9857668</v>
      </c>
      <c r="J6618">
        <v>2</v>
      </c>
    </row>
    <row r="6619" spans="1:10" x14ac:dyDescent="0.25">
      <c r="A6619" t="s">
        <v>1595</v>
      </c>
      <c r="B6619" s="1" t="str">
        <f>HYPERLINK("http://valor.com.uy","valor.com.uy")</f>
        <v>valor.com.uy</v>
      </c>
      <c r="C6619" t="s">
        <v>507</v>
      </c>
      <c r="D6619" t="s">
        <v>881</v>
      </c>
      <c r="F6619">
        <v>5.0350596199257504E-9</v>
      </c>
      <c r="G6619">
        <v>28553350</v>
      </c>
      <c r="H6619">
        <v>12208288</v>
      </c>
      <c r="I6619">
        <v>23068373</v>
      </c>
      <c r="J6619">
        <v>3</v>
      </c>
    </row>
    <row r="6620" spans="1:10" x14ac:dyDescent="0.25">
      <c r="A6620" t="s">
        <v>1595</v>
      </c>
      <c r="B6620" s="1" t="str">
        <f>HYPERLINK("http://nordicmakers.vc","nordicmakers.vc")</f>
        <v>nordicmakers.vc</v>
      </c>
      <c r="C6620" t="s">
        <v>520</v>
      </c>
      <c r="D6620" t="s">
        <v>890</v>
      </c>
      <c r="F6620">
        <v>2.38075319624972E-8</v>
      </c>
      <c r="G6620">
        <v>2182462</v>
      </c>
      <c r="H6620">
        <v>14299036</v>
      </c>
      <c r="I6620">
        <v>1357417</v>
      </c>
      <c r="J6620">
        <v>7</v>
      </c>
    </row>
    <row r="6621" spans="1:10" x14ac:dyDescent="0.25">
      <c r="A6621" t="s">
        <v>1595</v>
      </c>
      <c r="B6621" s="1" t="str">
        <f>HYPERLINK("http://platco.com.ve","platco.com.ve")</f>
        <v>platco.com.ve</v>
      </c>
      <c r="C6621" t="s">
        <v>508</v>
      </c>
      <c r="D6621" t="s">
        <v>882</v>
      </c>
      <c r="F6621">
        <v>4.7271786741086403E-9</v>
      </c>
      <c r="G6621">
        <v>39483986</v>
      </c>
      <c r="H6621">
        <v>9459751</v>
      </c>
      <c r="I6621">
        <v>66360196</v>
      </c>
      <c r="J6621">
        <v>3</v>
      </c>
    </row>
    <row r="6622" spans="1:10" x14ac:dyDescent="0.25">
      <c r="A6622" t="s">
        <v>56</v>
      </c>
      <c r="B6622" s="1" t="str">
        <f>HYPERLINK("http://ebury.ae","ebury.ae")</f>
        <v>ebury.ae</v>
      </c>
      <c r="C6622" t="s">
        <v>417</v>
      </c>
      <c r="D6622" t="s">
        <v>799</v>
      </c>
      <c r="F6622">
        <v>8.4143057068898404E-9</v>
      </c>
      <c r="G6622">
        <v>9013701</v>
      </c>
      <c r="H6622">
        <v>12269711</v>
      </c>
      <c r="I6622">
        <v>21529081</v>
      </c>
      <c r="J6622">
        <v>3</v>
      </c>
    </row>
    <row r="6623" spans="1:10" x14ac:dyDescent="0.25">
      <c r="A6623" t="s">
        <v>56</v>
      </c>
      <c r="B6623" s="1" t="str">
        <f>HYPERLINK("http://santander.com.ar","santander.com.ar")</f>
        <v>santander.com.ar</v>
      </c>
      <c r="C6623" t="s">
        <v>418</v>
      </c>
      <c r="D6623" t="s">
        <v>800</v>
      </c>
      <c r="E6623">
        <v>15903</v>
      </c>
      <c r="F6623">
        <v>1.5322859459345401E-7</v>
      </c>
      <c r="G6623">
        <v>253491</v>
      </c>
      <c r="H6623">
        <v>14423574</v>
      </c>
      <c r="I6623">
        <v>1082844</v>
      </c>
      <c r="J6623">
        <v>2</v>
      </c>
    </row>
    <row r="6624" spans="1:10" x14ac:dyDescent="0.25">
      <c r="A6624" t="s">
        <v>56</v>
      </c>
      <c r="B6624" s="1" t="str">
        <f>HYPERLINK("http://santanderrio.com.ar","santanderrio.com.ar")</f>
        <v>santanderrio.com.ar</v>
      </c>
      <c r="C6624" t="s">
        <v>418</v>
      </c>
      <c r="D6624" t="s">
        <v>800</v>
      </c>
      <c r="E6624">
        <v>123025</v>
      </c>
      <c r="F6624">
        <v>6.4799897268802301E-8</v>
      </c>
      <c r="G6624">
        <v>665831</v>
      </c>
      <c r="H6624">
        <v>14266542</v>
      </c>
      <c r="I6624">
        <v>1406797</v>
      </c>
      <c r="J6624">
        <v>2</v>
      </c>
    </row>
    <row r="6625" spans="1:10" x14ac:dyDescent="0.25">
      <c r="A6625" t="s">
        <v>56</v>
      </c>
      <c r="B6625" s="1" t="str">
        <f>HYPERLINK("http://tarjetasantanderrio.com.ar","tarjetasantanderrio.com.ar")</f>
        <v>tarjetasantanderrio.com.ar</v>
      </c>
      <c r="C6625" t="s">
        <v>418</v>
      </c>
      <c r="D6625" t="s">
        <v>800</v>
      </c>
      <c r="F6625">
        <v>5.7557169787893904E-9</v>
      </c>
      <c r="G6625">
        <v>18451422</v>
      </c>
      <c r="H6625">
        <v>10931152</v>
      </c>
      <c r="I6625">
        <v>35042944</v>
      </c>
      <c r="J6625">
        <v>2</v>
      </c>
    </row>
    <row r="6626" spans="1:10" x14ac:dyDescent="0.25">
      <c r="A6626" t="s">
        <v>56</v>
      </c>
      <c r="B6626" s="1" t="str">
        <f>HYPERLINK("http://santanderconsumer.at","santanderconsumer.at")</f>
        <v>santanderconsumer.at</v>
      </c>
      <c r="C6626" t="s">
        <v>419</v>
      </c>
      <c r="D6626" t="s">
        <v>801</v>
      </c>
      <c r="E6626">
        <v>543396</v>
      </c>
      <c r="F6626">
        <v>7.7862489930372704E-8</v>
      </c>
      <c r="G6626">
        <v>537341</v>
      </c>
      <c r="H6626">
        <v>14134021</v>
      </c>
      <c r="I6626">
        <v>1983004</v>
      </c>
      <c r="J6626">
        <v>3</v>
      </c>
    </row>
    <row r="6627" spans="1:10" x14ac:dyDescent="0.25">
      <c r="A6627" t="s">
        <v>56</v>
      </c>
      <c r="B6627" s="1" t="str">
        <f>HYPERLINK("http://santanderconsumerbank.at","santanderconsumerbank.at")</f>
        <v>santanderconsumerbank.at</v>
      </c>
      <c r="C6627" t="s">
        <v>419</v>
      </c>
      <c r="D6627" t="s">
        <v>801</v>
      </c>
      <c r="F6627">
        <v>5.8204089219083002E-9</v>
      </c>
      <c r="G6627">
        <v>17934750</v>
      </c>
      <c r="H6627">
        <v>12493182</v>
      </c>
      <c r="I6627">
        <v>17446086</v>
      </c>
      <c r="J6627">
        <v>4</v>
      </c>
    </row>
    <row r="6628" spans="1:10" x14ac:dyDescent="0.25">
      <c r="A6628" t="s">
        <v>56</v>
      </c>
      <c r="B6628" s="1" t="str">
        <f>HYPERLINK("http://ebury.com.au","ebury.com.au")</f>
        <v>ebury.com.au</v>
      </c>
      <c r="C6628" t="s">
        <v>420</v>
      </c>
      <c r="D6628" t="s">
        <v>802</v>
      </c>
      <c r="F6628">
        <v>7.5605347279062908E-9</v>
      </c>
      <c r="G6628">
        <v>10883240</v>
      </c>
      <c r="H6628">
        <v>12248506</v>
      </c>
      <c r="I6628">
        <v>22043622</v>
      </c>
      <c r="J6628">
        <v>3</v>
      </c>
    </row>
    <row r="6629" spans="1:10" x14ac:dyDescent="0.25">
      <c r="A6629" t="s">
        <v>56</v>
      </c>
      <c r="B6629" s="1" t="str">
        <f>HYPERLINK("http://ebury.au","ebury.au")</f>
        <v>ebury.au</v>
      </c>
      <c r="C6629" t="s">
        <v>420</v>
      </c>
      <c r="D6629" t="s">
        <v>802</v>
      </c>
      <c r="F6629">
        <v>7.6151448802840497E-9</v>
      </c>
      <c r="G6629">
        <v>10763219</v>
      </c>
      <c r="H6629">
        <v>12042963</v>
      </c>
      <c r="I6629">
        <v>27399427</v>
      </c>
      <c r="J6629">
        <v>3</v>
      </c>
    </row>
    <row r="6630" spans="1:10" x14ac:dyDescent="0.25">
      <c r="A6630" t="s">
        <v>56</v>
      </c>
      <c r="B6630" s="1" t="str">
        <f>HYPERLINK("http://ebury.be","ebury.be")</f>
        <v>ebury.be</v>
      </c>
      <c r="C6630" t="s">
        <v>421</v>
      </c>
      <c r="D6630" t="s">
        <v>803</v>
      </c>
      <c r="F6630">
        <v>9.8334861819627003E-9</v>
      </c>
      <c r="G6630">
        <v>6933354</v>
      </c>
      <c r="H6630">
        <v>12211124</v>
      </c>
      <c r="I6630">
        <v>22998697</v>
      </c>
      <c r="J6630">
        <v>3</v>
      </c>
    </row>
    <row r="6631" spans="1:10" x14ac:dyDescent="0.25">
      <c r="A6631" t="s">
        <v>56</v>
      </c>
      <c r="B6631" s="1" t="str">
        <f>HYPERLINK("http://santander.be","santander.be")</f>
        <v>santander.be</v>
      </c>
      <c r="C6631" t="s">
        <v>421</v>
      </c>
      <c r="D6631" t="s">
        <v>803</v>
      </c>
      <c r="F6631">
        <v>2.7204159772210799E-8</v>
      </c>
      <c r="G6631">
        <v>1890062</v>
      </c>
      <c r="H6631">
        <v>14075606</v>
      </c>
      <c r="I6631">
        <v>2904994</v>
      </c>
      <c r="J6631">
        <v>3</v>
      </c>
    </row>
    <row r="6632" spans="1:10" x14ac:dyDescent="0.25">
      <c r="A6632" t="s">
        <v>56</v>
      </c>
      <c r="B6632" s="1" t="str">
        <f>HYPERLINK("http://ebury.bg","ebury.bg")</f>
        <v>ebury.bg</v>
      </c>
      <c r="C6632" t="s">
        <v>422</v>
      </c>
      <c r="D6632" t="s">
        <v>804</v>
      </c>
      <c r="F6632">
        <v>5.6077799930027798E-9</v>
      </c>
      <c r="G6632">
        <v>19783200</v>
      </c>
      <c r="H6632">
        <v>10442705</v>
      </c>
      <c r="I6632">
        <v>52293616</v>
      </c>
      <c r="J6632">
        <v>4</v>
      </c>
    </row>
    <row r="6633" spans="1:10" x14ac:dyDescent="0.25">
      <c r="A6633" t="s">
        <v>56</v>
      </c>
      <c r="B6633" s="1" t="str">
        <f>HYPERLINK("http://waypointbank.biz","waypointbank.biz")</f>
        <v>waypointbank.biz</v>
      </c>
      <c r="C6633" t="s">
        <v>423</v>
      </c>
      <c r="F6633">
        <v>4.6307535642197801E-9</v>
      </c>
      <c r="G6633">
        <v>45393699</v>
      </c>
      <c r="H6633">
        <v>9885283</v>
      </c>
      <c r="I6633">
        <v>61851273</v>
      </c>
      <c r="J6633">
        <v>4</v>
      </c>
    </row>
    <row r="6634" spans="1:10" x14ac:dyDescent="0.25">
      <c r="A6634" t="s">
        <v>56</v>
      </c>
      <c r="B6634" s="1" t="str">
        <f>HYPERLINK("http://abrasuacontasnt.com.br","abrasuacontasnt.com.br")</f>
        <v>abrasuacontasnt.com.br</v>
      </c>
      <c r="C6634" t="s">
        <v>425</v>
      </c>
      <c r="D6634" t="s">
        <v>806</v>
      </c>
      <c r="F6634">
        <v>4.4949543676916796E-9</v>
      </c>
      <c r="G6634">
        <v>59707371</v>
      </c>
      <c r="H6634">
        <v>1.5006717000000001</v>
      </c>
      <c r="I6634">
        <v>78013696</v>
      </c>
      <c r="J6634">
        <v>2</v>
      </c>
    </row>
    <row r="6635" spans="1:10" x14ac:dyDescent="0.25">
      <c r="A6635" t="s">
        <v>56</v>
      </c>
      <c r="B6635" s="1" t="str">
        <f>HYPERLINK("http://aymorefinanciamentos.com.br","aymorefinanciamentos.com.br")</f>
        <v>aymorefinanciamentos.com.br</v>
      </c>
      <c r="C6635" t="s">
        <v>425</v>
      </c>
      <c r="D6635" t="s">
        <v>806</v>
      </c>
      <c r="F6635">
        <v>4.6843252276233303E-9</v>
      </c>
      <c r="G6635">
        <v>42092236</v>
      </c>
      <c r="H6635">
        <v>10534719</v>
      </c>
      <c r="I6635">
        <v>47734697</v>
      </c>
      <c r="J6635">
        <v>3</v>
      </c>
    </row>
    <row r="6636" spans="1:10" x14ac:dyDescent="0.25">
      <c r="A6636" t="s">
        <v>56</v>
      </c>
      <c r="B6636" s="1" t="str">
        <f>HYPERLINK("http://bancopsa.com.br","bancopsa.com.br")</f>
        <v>bancopsa.com.br</v>
      </c>
      <c r="C6636" t="s">
        <v>425</v>
      </c>
      <c r="D6636" t="s">
        <v>806</v>
      </c>
      <c r="F6636">
        <v>5.0922269042272699E-9</v>
      </c>
      <c r="G6636">
        <v>27241660</v>
      </c>
      <c r="H6636">
        <v>12069396</v>
      </c>
      <c r="I6636">
        <v>26803149</v>
      </c>
      <c r="J6636">
        <v>3</v>
      </c>
    </row>
    <row r="6637" spans="1:10" x14ac:dyDescent="0.25">
      <c r="A6637" t="s">
        <v>56</v>
      </c>
      <c r="B6637" s="1" t="str">
        <f>HYPERLINK("http://bancoreal.com.br","bancoreal.com.br")</f>
        <v>bancoreal.com.br</v>
      </c>
      <c r="C6637" t="s">
        <v>425</v>
      </c>
      <c r="D6637" t="s">
        <v>806</v>
      </c>
      <c r="E6637">
        <v>290445</v>
      </c>
      <c r="F6637">
        <v>1.8163068889907899E-8</v>
      </c>
      <c r="G6637">
        <v>2997101</v>
      </c>
      <c r="H6637">
        <v>14152447</v>
      </c>
      <c r="I6637">
        <v>1869488</v>
      </c>
      <c r="J6637">
        <v>3</v>
      </c>
    </row>
    <row r="6638" spans="1:10" x14ac:dyDescent="0.25">
      <c r="A6638" t="s">
        <v>56</v>
      </c>
      <c r="B6638" s="1" t="str">
        <f>HYPERLINK("http://getnet.com.br","getnet.com.br")</f>
        <v>getnet.com.br</v>
      </c>
      <c r="C6638" t="s">
        <v>425</v>
      </c>
      <c r="D6638" t="s">
        <v>806</v>
      </c>
      <c r="E6638">
        <v>156936</v>
      </c>
      <c r="F6638">
        <v>7.3830406410466896E-8</v>
      </c>
      <c r="G6638">
        <v>570472</v>
      </c>
      <c r="H6638">
        <v>14447858</v>
      </c>
      <c r="I6638">
        <v>1055345</v>
      </c>
      <c r="J6638">
        <v>5</v>
      </c>
    </row>
    <row r="6639" spans="1:10" x14ac:dyDescent="0.25">
      <c r="A6639" t="s">
        <v>56</v>
      </c>
      <c r="B6639" s="1" t="str">
        <f>HYPERLINK("http://liderancacobrancas.com.br","liderancacobrancas.com.br")</f>
        <v>liderancacobrancas.com.br</v>
      </c>
      <c r="C6639" t="s">
        <v>425</v>
      </c>
      <c r="D6639" t="s">
        <v>806</v>
      </c>
      <c r="F6639">
        <v>5.0367337958193401E-9</v>
      </c>
      <c r="G6639">
        <v>28516332</v>
      </c>
      <c r="H6639">
        <v>12164302</v>
      </c>
      <c r="I6639">
        <v>24247866</v>
      </c>
      <c r="J6639">
        <v>3</v>
      </c>
    </row>
    <row r="6640" spans="1:10" x14ac:dyDescent="0.25">
      <c r="A6640" t="s">
        <v>56</v>
      </c>
      <c r="B6640" s="1" t="str">
        <f>HYPERLINK("http://meuprojetosnt.com.br","meuprojetosnt.com.br")</f>
        <v>meuprojetosnt.com.br</v>
      </c>
      <c r="C6640" t="s">
        <v>425</v>
      </c>
      <c r="D6640" t="s">
        <v>806</v>
      </c>
      <c r="J6640">
        <v>2</v>
      </c>
    </row>
    <row r="6641" spans="1:10" x14ac:dyDescent="0.25">
      <c r="A6641" t="s">
        <v>56</v>
      </c>
      <c r="B6641" s="1" t="str">
        <f>HYPERLINK("http://monetus.com.br","monetus.com.br")</f>
        <v>monetus.com.br</v>
      </c>
      <c r="C6641" t="s">
        <v>425</v>
      </c>
      <c r="D6641" t="s">
        <v>806</v>
      </c>
      <c r="F6641">
        <v>1.1417759863807299E-8</v>
      </c>
      <c r="G6641">
        <v>5562315</v>
      </c>
      <c r="H6641">
        <v>13766181</v>
      </c>
      <c r="I6641">
        <v>7027360</v>
      </c>
      <c r="J6641">
        <v>3</v>
      </c>
    </row>
    <row r="6642" spans="1:10" x14ac:dyDescent="0.25">
      <c r="A6642" t="s">
        <v>56</v>
      </c>
      <c r="B6642" s="1" t="str">
        <f>HYPERLINK("http://paytec.com.br","paytec.com.br")</f>
        <v>paytec.com.br</v>
      </c>
      <c r="C6642" t="s">
        <v>425</v>
      </c>
      <c r="D6642" t="s">
        <v>806</v>
      </c>
      <c r="J6642">
        <v>3</v>
      </c>
    </row>
    <row r="6643" spans="1:10" x14ac:dyDescent="0.25">
      <c r="A6643" t="s">
        <v>56</v>
      </c>
      <c r="B6643" s="1" t="str">
        <f>HYPERLINK("http://santander.com.br","santander.com.br")</f>
        <v>santander.com.br</v>
      </c>
      <c r="C6643" t="s">
        <v>425</v>
      </c>
      <c r="D6643" t="s">
        <v>806</v>
      </c>
      <c r="E6643">
        <v>14191</v>
      </c>
      <c r="F6643">
        <v>4.2994875169624698E-7</v>
      </c>
      <c r="G6643">
        <v>87629</v>
      </c>
      <c r="H6643">
        <v>17189654</v>
      </c>
      <c r="I6643">
        <v>43667</v>
      </c>
      <c r="J6643">
        <v>2</v>
      </c>
    </row>
    <row r="6644" spans="1:10" x14ac:dyDescent="0.25">
      <c r="A6644" t="s">
        <v>56</v>
      </c>
      <c r="B6644" s="1" t="str">
        <f>HYPERLINK("http://santanderassetmanagement.com.br","santanderassetmanagement.com.br")</f>
        <v>santanderassetmanagement.com.br</v>
      </c>
      <c r="C6644" t="s">
        <v>425</v>
      </c>
      <c r="D6644" t="s">
        <v>806</v>
      </c>
      <c r="F6644">
        <v>7.75329971243958E-9</v>
      </c>
      <c r="G6644">
        <v>10460276</v>
      </c>
      <c r="H6644">
        <v>12210795</v>
      </c>
      <c r="I6644">
        <v>23008905</v>
      </c>
      <c r="J6644">
        <v>3</v>
      </c>
    </row>
    <row r="6645" spans="1:10" x14ac:dyDescent="0.25">
      <c r="A6645" t="s">
        <v>56</v>
      </c>
      <c r="B6645" s="1" t="str">
        <f>HYPERLINK("http://santandercorretora.com.br","santandercorretora.com.br")</f>
        <v>santandercorretora.com.br</v>
      </c>
      <c r="C6645" t="s">
        <v>425</v>
      </c>
      <c r="D6645" t="s">
        <v>806</v>
      </c>
      <c r="F6645">
        <v>5.5147607851800302E-9</v>
      </c>
      <c r="G6645">
        <v>20742262</v>
      </c>
      <c r="H6645">
        <v>11049909</v>
      </c>
      <c r="I6645">
        <v>32799137</v>
      </c>
      <c r="J6645">
        <v>2</v>
      </c>
    </row>
    <row r="6646" spans="1:10" x14ac:dyDescent="0.25">
      <c r="A6646" t="s">
        <v>56</v>
      </c>
      <c r="B6646" s="1" t="str">
        <f>HYPERLINK("http://santandercultural.com.br","santandercultural.com.br")</f>
        <v>santandercultural.com.br</v>
      </c>
      <c r="C6646" t="s">
        <v>425</v>
      </c>
      <c r="D6646" t="s">
        <v>806</v>
      </c>
      <c r="F6646">
        <v>6.4939167472551501E-9</v>
      </c>
      <c r="G6646">
        <v>14103509</v>
      </c>
      <c r="H6646">
        <v>14485939</v>
      </c>
      <c r="I6646">
        <v>977830</v>
      </c>
      <c r="J6646">
        <v>4</v>
      </c>
    </row>
    <row r="6647" spans="1:10" x14ac:dyDescent="0.25">
      <c r="A6647" t="s">
        <v>56</v>
      </c>
      <c r="B6647" s="1" t="str">
        <f>HYPERLINK("http://santanderfinanciamentos.com.br","santanderfinanciamentos.com.br")</f>
        <v>santanderfinanciamentos.com.br</v>
      </c>
      <c r="C6647" t="s">
        <v>425</v>
      </c>
      <c r="D6647" t="s">
        <v>806</v>
      </c>
      <c r="E6647">
        <v>485072</v>
      </c>
      <c r="F6647">
        <v>1.48410921947182E-8</v>
      </c>
      <c r="G6647">
        <v>3892574</v>
      </c>
      <c r="H6647">
        <v>13767163</v>
      </c>
      <c r="I6647">
        <v>6950491</v>
      </c>
      <c r="J6647">
        <v>4</v>
      </c>
    </row>
    <row r="6648" spans="1:10" x14ac:dyDescent="0.25">
      <c r="A6648" t="s">
        <v>56</v>
      </c>
      <c r="B6648" s="1" t="str">
        <f>HYPERLINK("http://santanderglobaltrade.com.br","santanderglobaltrade.com.br")</f>
        <v>santanderglobaltrade.com.br</v>
      </c>
      <c r="C6648" t="s">
        <v>425</v>
      </c>
      <c r="D6648" t="s">
        <v>806</v>
      </c>
      <c r="F6648">
        <v>4.4862722254245802E-9</v>
      </c>
      <c r="G6648">
        <v>61167238</v>
      </c>
      <c r="H6648">
        <v>10786957</v>
      </c>
      <c r="I6648">
        <v>38617985</v>
      </c>
      <c r="J6648">
        <v>2</v>
      </c>
    </row>
    <row r="6649" spans="1:10" x14ac:dyDescent="0.25">
      <c r="A6649" t="s">
        <v>56</v>
      </c>
      <c r="B6649" s="1" t="str">
        <f>HYPERLINK("http://santandernet.com.br","santandernet.com.br")</f>
        <v>santandernet.com.br</v>
      </c>
      <c r="C6649" t="s">
        <v>425</v>
      </c>
      <c r="D6649" t="s">
        <v>806</v>
      </c>
      <c r="E6649">
        <v>74777</v>
      </c>
      <c r="F6649">
        <v>7.6006688064097895E-9</v>
      </c>
      <c r="G6649">
        <v>10793105</v>
      </c>
      <c r="H6649">
        <v>13065189</v>
      </c>
      <c r="I6649">
        <v>12292114</v>
      </c>
      <c r="J6649">
        <v>2</v>
      </c>
    </row>
    <row r="6650" spans="1:10" x14ac:dyDescent="0.25">
      <c r="A6650" t="s">
        <v>56</v>
      </c>
      <c r="B6650" s="1" t="str">
        <f>HYPERLINK("http://superdigital.com.br","superdigital.com.br")</f>
        <v>superdigital.com.br</v>
      </c>
      <c r="C6650" t="s">
        <v>425</v>
      </c>
      <c r="D6650" t="s">
        <v>806</v>
      </c>
      <c r="E6650">
        <v>780184</v>
      </c>
      <c r="F6650">
        <v>3.1731132163728303E-8</v>
      </c>
      <c r="G6650">
        <v>1627114</v>
      </c>
      <c r="H6650">
        <v>14269173</v>
      </c>
      <c r="I6650">
        <v>1402324</v>
      </c>
      <c r="J6650">
        <v>3</v>
      </c>
    </row>
    <row r="6651" spans="1:10" x14ac:dyDescent="0.25">
      <c r="A6651" t="s">
        <v>56</v>
      </c>
      <c r="B6651" s="1" t="str">
        <f>HYPERLINK("http://webcasas.com.br","webcasas.com.br")</f>
        <v>webcasas.com.br</v>
      </c>
      <c r="C6651" t="s">
        <v>425</v>
      </c>
      <c r="D6651" t="s">
        <v>806</v>
      </c>
      <c r="F6651">
        <v>4.4590640635087903E-8</v>
      </c>
      <c r="G6651">
        <v>1062203</v>
      </c>
      <c r="H6651">
        <v>13763903</v>
      </c>
      <c r="I6651">
        <v>7505787</v>
      </c>
      <c r="J6651">
        <v>3</v>
      </c>
    </row>
    <row r="6652" spans="1:10" x14ac:dyDescent="0.25">
      <c r="A6652" t="s">
        <v>56</v>
      </c>
      <c r="B6652" s="1" t="str">
        <f>HYPERLINK("http://ebury.ca","ebury.ca")</f>
        <v>ebury.ca</v>
      </c>
      <c r="C6652" t="s">
        <v>428</v>
      </c>
      <c r="D6652" t="s">
        <v>809</v>
      </c>
      <c r="F6652">
        <v>7.9124587581768704E-9</v>
      </c>
      <c r="G6652">
        <v>10087380</v>
      </c>
      <c r="H6652">
        <v>12053315</v>
      </c>
      <c r="I6652">
        <v>27161699</v>
      </c>
      <c r="J6652">
        <v>3</v>
      </c>
    </row>
    <row r="6653" spans="1:10" x14ac:dyDescent="0.25">
      <c r="A6653" t="s">
        <v>56</v>
      </c>
      <c r="B6653" s="1" t="str">
        <f>HYPERLINK("http://ebury.ch","ebury.ch")</f>
        <v>ebury.ch</v>
      </c>
      <c r="C6653" t="s">
        <v>429</v>
      </c>
      <c r="D6653" t="s">
        <v>810</v>
      </c>
      <c r="F6653">
        <v>9.71530973547696E-9</v>
      </c>
      <c r="G6653">
        <v>7063170</v>
      </c>
      <c r="H6653">
        <v>13298462</v>
      </c>
      <c r="I6653">
        <v>10837847</v>
      </c>
      <c r="J6653">
        <v>3</v>
      </c>
    </row>
    <row r="6654" spans="1:10" x14ac:dyDescent="0.25">
      <c r="A6654" t="s">
        <v>56</v>
      </c>
      <c r="B6654" s="1" t="str">
        <f>HYPERLINK("http://sixt-leasing.ch","sixt-leasing.ch")</f>
        <v>sixt-leasing.ch</v>
      </c>
      <c r="C6654" t="s">
        <v>429</v>
      </c>
      <c r="D6654" t="s">
        <v>810</v>
      </c>
      <c r="F6654">
        <v>8.8076779389904702E-9</v>
      </c>
      <c r="G6654">
        <v>8292089</v>
      </c>
      <c r="H6654">
        <v>10750300</v>
      </c>
      <c r="I6654">
        <v>40084651</v>
      </c>
      <c r="J6654">
        <v>4</v>
      </c>
    </row>
    <row r="6655" spans="1:10" x14ac:dyDescent="0.25">
      <c r="A6655" t="s">
        <v>56</v>
      </c>
      <c r="B6655" s="1" t="str">
        <f>HYPERLINK("http://extranetsantander.cl","extranetsantander.cl")</f>
        <v>extranetsantander.cl</v>
      </c>
      <c r="C6655" t="s">
        <v>430</v>
      </c>
      <c r="D6655" t="s">
        <v>811</v>
      </c>
      <c r="F6655">
        <v>4.4438099640082497E-9</v>
      </c>
      <c r="G6655">
        <v>79604772</v>
      </c>
      <c r="H6655">
        <v>10351910</v>
      </c>
      <c r="I6655">
        <v>56110985</v>
      </c>
      <c r="J6655">
        <v>4</v>
      </c>
    </row>
    <row r="6656" spans="1:10" x14ac:dyDescent="0.25">
      <c r="A6656" t="s">
        <v>56</v>
      </c>
      <c r="B6656" s="1" t="str">
        <f>HYPERLINK("http://officebanking-qa.cl","officebanking-qa.cl")</f>
        <v>officebanking-qa.cl</v>
      </c>
      <c r="C6656" t="s">
        <v>430</v>
      </c>
      <c r="D6656" t="s">
        <v>811</v>
      </c>
      <c r="F6656">
        <v>4.44380395335525E-9</v>
      </c>
      <c r="G6656">
        <v>80227446</v>
      </c>
      <c r="H6656">
        <v>0</v>
      </c>
      <c r="I6656">
        <v>80285997</v>
      </c>
      <c r="J6656">
        <v>4</v>
      </c>
    </row>
    <row r="6657" spans="1:10" x14ac:dyDescent="0.25">
      <c r="A6657" t="s">
        <v>56</v>
      </c>
      <c r="B6657" s="1" t="str">
        <f>HYPERLINK("http://santander.cl","santander.cl")</f>
        <v>santander.cl</v>
      </c>
      <c r="C6657" t="s">
        <v>430</v>
      </c>
      <c r="D6657" t="s">
        <v>811</v>
      </c>
      <c r="E6657">
        <v>20627</v>
      </c>
      <c r="F6657">
        <v>2.0483308437380801E-7</v>
      </c>
      <c r="G6657">
        <v>185467</v>
      </c>
      <c r="H6657">
        <v>14231426</v>
      </c>
      <c r="I6657">
        <v>1673110</v>
      </c>
      <c r="J6657">
        <v>2</v>
      </c>
    </row>
    <row r="6658" spans="1:10" x14ac:dyDescent="0.25">
      <c r="A6658" t="s">
        <v>56</v>
      </c>
      <c r="B6658" s="1" t="str">
        <f>HYPERLINK("http://santander-homo.cl","santander-homo.cl")</f>
        <v>santander-homo.cl</v>
      </c>
      <c r="C6658" t="s">
        <v>430</v>
      </c>
      <c r="D6658" t="s">
        <v>811</v>
      </c>
      <c r="F6658">
        <v>4.4452080289304703E-9</v>
      </c>
      <c r="G6658">
        <v>75534140</v>
      </c>
      <c r="H6658">
        <v>10542120</v>
      </c>
      <c r="I6658">
        <v>47099383</v>
      </c>
      <c r="J6658">
        <v>4</v>
      </c>
    </row>
    <row r="6659" spans="1:10" x14ac:dyDescent="0.25">
      <c r="A6659" t="s">
        <v>56</v>
      </c>
      <c r="B6659" s="1" t="str">
        <f>HYPERLINK("http://santanderchileholding.cl","santanderchileholding.cl")</f>
        <v>santanderchileholding.cl</v>
      </c>
      <c r="C6659" t="s">
        <v>430</v>
      </c>
      <c r="D6659" t="s">
        <v>811</v>
      </c>
      <c r="J6659">
        <v>3</v>
      </c>
    </row>
    <row r="6660" spans="1:10" x14ac:dyDescent="0.25">
      <c r="A6660" t="s">
        <v>56</v>
      </c>
      <c r="B6660" s="1" t="str">
        <f>HYPERLINK("http://santanderconsumer.cl","santanderconsumer.cl")</f>
        <v>santanderconsumer.cl</v>
      </c>
      <c r="C6660" t="s">
        <v>430</v>
      </c>
      <c r="D6660" t="s">
        <v>811</v>
      </c>
      <c r="F6660">
        <v>7.7965444468686497E-9</v>
      </c>
      <c r="G6660">
        <v>10330442</v>
      </c>
      <c r="H6660">
        <v>11695536</v>
      </c>
      <c r="I6660">
        <v>29855736</v>
      </c>
      <c r="J6660">
        <v>3</v>
      </c>
    </row>
    <row r="6661" spans="1:10" x14ac:dyDescent="0.25">
      <c r="A6661" t="s">
        <v>56</v>
      </c>
      <c r="B6661" s="1" t="str">
        <f>HYPERLINK("http://santandermovil.cl","santandermovil.cl")</f>
        <v>santandermovil.cl</v>
      </c>
      <c r="C6661" t="s">
        <v>430</v>
      </c>
      <c r="D6661" t="s">
        <v>811</v>
      </c>
      <c r="F6661">
        <v>2.4347888462827899E-8</v>
      </c>
      <c r="G6661">
        <v>2129145</v>
      </c>
      <c r="H6661">
        <v>13696731</v>
      </c>
      <c r="I6661">
        <v>9520417</v>
      </c>
      <c r="J6661">
        <v>4</v>
      </c>
    </row>
    <row r="6662" spans="1:10" x14ac:dyDescent="0.25">
      <c r="A6662" t="s">
        <v>56</v>
      </c>
      <c r="B6662" s="1" t="str">
        <f>HYPERLINK("http://santandersantiago.cl","santandersantiago.cl")</f>
        <v>santandersantiago.cl</v>
      </c>
      <c r="C6662" t="s">
        <v>430</v>
      </c>
      <c r="D6662" t="s">
        <v>811</v>
      </c>
      <c r="F6662">
        <v>8.4979058726915296E-9</v>
      </c>
      <c r="G6662">
        <v>8849705</v>
      </c>
      <c r="H6662">
        <v>13768322</v>
      </c>
      <c r="I6662">
        <v>6881941</v>
      </c>
      <c r="J6662">
        <v>4</v>
      </c>
    </row>
    <row r="6663" spans="1:10" x14ac:dyDescent="0.25">
      <c r="A6663" t="s">
        <v>56</v>
      </c>
      <c r="B6663" s="1" t="str">
        <f>HYPERLINK("http://santander.com.co","santander.com.co")</f>
        <v>santander.com.co</v>
      </c>
      <c r="C6663" t="s">
        <v>432</v>
      </c>
      <c r="F6663">
        <v>2.0129639143204399E-8</v>
      </c>
      <c r="G6663">
        <v>2639342</v>
      </c>
      <c r="H6663">
        <v>13959487</v>
      </c>
      <c r="I6663">
        <v>4118335</v>
      </c>
      <c r="J6663">
        <v>2</v>
      </c>
    </row>
    <row r="6664" spans="1:10" x14ac:dyDescent="0.25">
      <c r="A6664" t="s">
        <v>56</v>
      </c>
      <c r="B6664" s="1" t="str">
        <f>HYPERLINK("http://monetus.co","monetus.co")</f>
        <v>monetus.co</v>
      </c>
      <c r="C6664" t="s">
        <v>432</v>
      </c>
      <c r="F6664">
        <v>4.45439593699539E-9</v>
      </c>
      <c r="G6664">
        <v>69750901</v>
      </c>
      <c r="H6664">
        <v>9779305</v>
      </c>
      <c r="I6664">
        <v>62740497</v>
      </c>
      <c r="J6664">
        <v>4</v>
      </c>
    </row>
    <row r="6665" spans="1:10" x14ac:dyDescent="0.25">
      <c r="A6665" t="s">
        <v>56</v>
      </c>
      <c r="B6665" s="1" t="str">
        <f>HYPERLINK("http://allane-mobility-group.com","allane-mobility-group.com")</f>
        <v>allane-mobility-group.com</v>
      </c>
      <c r="C6665" t="s">
        <v>433</v>
      </c>
      <c r="F6665">
        <v>4.6673818502871701E-8</v>
      </c>
      <c r="G6665">
        <v>1001313</v>
      </c>
      <c r="H6665">
        <v>13571014</v>
      </c>
      <c r="I6665">
        <v>9721369</v>
      </c>
      <c r="J6665">
        <v>6</v>
      </c>
    </row>
    <row r="6666" spans="1:10" x14ac:dyDescent="0.25">
      <c r="A6666" t="s">
        <v>56</v>
      </c>
      <c r="B6666" s="1" t="str">
        <f>HYPERLINK("http://altamirasantander.com","altamirasantander.com")</f>
        <v>altamirasantander.com</v>
      </c>
      <c r="C6666" t="s">
        <v>433</v>
      </c>
      <c r="F6666">
        <v>2.75837068993809E-8</v>
      </c>
      <c r="G6666">
        <v>1863894</v>
      </c>
      <c r="H6666">
        <v>13845402</v>
      </c>
      <c r="I6666">
        <v>6062071</v>
      </c>
      <c r="J6666">
        <v>3</v>
      </c>
    </row>
    <row r="6667" spans="1:10" x14ac:dyDescent="0.25">
      <c r="A6667" t="s">
        <v>56</v>
      </c>
      <c r="B6667" s="1" t="str">
        <f>HYPERLINK("http://apsec.com","apsec.com")</f>
        <v>apsec.com</v>
      </c>
      <c r="C6667" t="s">
        <v>433</v>
      </c>
      <c r="F6667">
        <v>1.8395354754423001E-8</v>
      </c>
      <c r="G6667">
        <v>2948255</v>
      </c>
      <c r="H6667">
        <v>13542066</v>
      </c>
      <c r="I6667">
        <v>9904367</v>
      </c>
      <c r="J6667">
        <v>3</v>
      </c>
    </row>
    <row r="6668" spans="1:10" x14ac:dyDescent="0.25">
      <c r="A6668" t="s">
        <v>56</v>
      </c>
      <c r="B6668" s="1" t="str">
        <f>HYPERLINK("http://aquanima.com","aquanima.com")</f>
        <v>aquanima.com</v>
      </c>
      <c r="C6668" t="s">
        <v>433</v>
      </c>
      <c r="F6668">
        <v>1.19673799896036E-8</v>
      </c>
      <c r="G6668">
        <v>5196666</v>
      </c>
      <c r="H6668">
        <v>13773394</v>
      </c>
      <c r="I6668">
        <v>6633110</v>
      </c>
      <c r="J6668">
        <v>3</v>
      </c>
    </row>
    <row r="6669" spans="1:10" x14ac:dyDescent="0.25">
      <c r="A6669" t="s">
        <v>56</v>
      </c>
      <c r="B6669" s="1" t="str">
        <f>HYPERLINK("http://asimafsa.com","asimafsa.com")</f>
        <v>asimafsa.com</v>
      </c>
      <c r="C6669" t="s">
        <v>433</v>
      </c>
      <c r="J6669">
        <v>4</v>
      </c>
    </row>
    <row r="6670" spans="1:10" x14ac:dyDescent="0.25">
      <c r="A6670" t="s">
        <v>56</v>
      </c>
      <c r="B6670" s="1" t="str">
        <f>HYPERLINK("http://autodescuento.com","autodescuento.com")</f>
        <v>autodescuento.com</v>
      </c>
      <c r="C6670" t="s">
        <v>433</v>
      </c>
      <c r="F6670">
        <v>8.2838806725967206E-9</v>
      </c>
      <c r="G6670">
        <v>9296259</v>
      </c>
      <c r="H6670">
        <v>14120341</v>
      </c>
      <c r="I6670">
        <v>2361911</v>
      </c>
      <c r="J6670">
        <v>3</v>
      </c>
    </row>
    <row r="6671" spans="1:10" x14ac:dyDescent="0.25">
      <c r="A6671" t="s">
        <v>56</v>
      </c>
      <c r="B6671" s="1" t="str">
        <f>HYPERLINK("http://bancopopular.com","bancopopular.com")</f>
        <v>bancopopular.com</v>
      </c>
      <c r="C6671" t="s">
        <v>433</v>
      </c>
      <c r="E6671">
        <v>76367</v>
      </c>
      <c r="F6671">
        <v>3.1189564324339302E-8</v>
      </c>
      <c r="G6671">
        <v>1652965</v>
      </c>
      <c r="H6671">
        <v>13864021</v>
      </c>
      <c r="I6671">
        <v>6012215</v>
      </c>
      <c r="J6671">
        <v>4</v>
      </c>
    </row>
    <row r="6672" spans="1:10" x14ac:dyDescent="0.25">
      <c r="A6672" t="s">
        <v>56</v>
      </c>
      <c r="B6672" s="1" t="str">
        <f>HYPERLINK("http://bansalease.com","bansalease.com")</f>
        <v>bansalease.com</v>
      </c>
      <c r="C6672" t="s">
        <v>433</v>
      </c>
      <c r="J6672">
        <v>3</v>
      </c>
    </row>
    <row r="6673" spans="1:10" x14ac:dyDescent="0.25">
      <c r="A6673" t="s">
        <v>56</v>
      </c>
      <c r="B6673" s="1" t="str">
        <f>HYPERLINK("http://bpi-gruposantander.com","bpi-gruposantander.com")</f>
        <v>bpi-gruposantander.com</v>
      </c>
      <c r="C6673" t="s">
        <v>433</v>
      </c>
      <c r="F6673">
        <v>4.4498493102670601E-9</v>
      </c>
      <c r="G6673">
        <v>72009397</v>
      </c>
      <c r="H6673">
        <v>8547868</v>
      </c>
      <c r="I6673">
        <v>71426282</v>
      </c>
      <c r="J6673">
        <v>4</v>
      </c>
    </row>
    <row r="6674" spans="1:10" x14ac:dyDescent="0.25">
      <c r="A6674" t="s">
        <v>56</v>
      </c>
      <c r="B6674" s="1" t="str">
        <f>HYPERLINK("http://castillodevinuelas.com","castillodevinuelas.com")</f>
        <v>castillodevinuelas.com</v>
      </c>
      <c r="C6674" t="s">
        <v>433</v>
      </c>
      <c r="J6674">
        <v>4</v>
      </c>
    </row>
    <row r="6675" spans="1:10" x14ac:dyDescent="0.25">
      <c r="A6675" t="s">
        <v>56</v>
      </c>
      <c r="B6675" s="1" t="str">
        <f>HYPERLINK("http://ebury.com","ebury.com")</f>
        <v>ebury.com</v>
      </c>
      <c r="C6675" t="s">
        <v>433</v>
      </c>
      <c r="E6675">
        <v>314783</v>
      </c>
      <c r="F6675">
        <v>1.7401630667764501E-7</v>
      </c>
      <c r="G6675">
        <v>222845</v>
      </c>
      <c r="H6675">
        <v>16881850</v>
      </c>
      <c r="I6675">
        <v>138809</v>
      </c>
      <c r="J6675">
        <v>2</v>
      </c>
    </row>
    <row r="6676" spans="1:10" x14ac:dyDescent="0.25">
      <c r="A6676" t="s">
        <v>56</v>
      </c>
      <c r="B6676" s="1" t="str">
        <f>HYPERLINK("http://frontierpay.com","frontierpay.com")</f>
        <v>frontierpay.com</v>
      </c>
      <c r="C6676" t="s">
        <v>433</v>
      </c>
      <c r="F6676">
        <v>6.34025504016946E-9</v>
      </c>
      <c r="G6676">
        <v>14809927</v>
      </c>
      <c r="H6676">
        <v>12315124</v>
      </c>
      <c r="I6676">
        <v>20512725</v>
      </c>
      <c r="J6676">
        <v>5</v>
      </c>
    </row>
    <row r="6677" spans="1:10" x14ac:dyDescent="0.25">
      <c r="A6677" t="s">
        <v>56</v>
      </c>
      <c r="B6677" s="1" t="str">
        <f>HYPERLINK("http://golfsantander.com","golfsantander.com")</f>
        <v>golfsantander.com</v>
      </c>
      <c r="C6677" t="s">
        <v>433</v>
      </c>
      <c r="F6677">
        <v>6.1370924920841201E-9</v>
      </c>
      <c r="G6677">
        <v>15877263</v>
      </c>
      <c r="H6677">
        <v>12465904</v>
      </c>
      <c r="I6677">
        <v>17807724</v>
      </c>
      <c r="J6677">
        <v>4</v>
      </c>
    </row>
    <row r="6678" spans="1:10" x14ac:dyDescent="0.25">
      <c r="A6678" t="s">
        <v>56</v>
      </c>
      <c r="B6678" s="1" t="str">
        <f>HYPERLINK("http://gruposantander.com","gruposantander.com")</f>
        <v>gruposantander.com</v>
      </c>
      <c r="C6678" t="s">
        <v>433</v>
      </c>
      <c r="E6678">
        <v>241876</v>
      </c>
      <c r="F6678">
        <v>2.6587552169684501E-8</v>
      </c>
      <c r="G6678">
        <v>1936235</v>
      </c>
      <c r="H6678">
        <v>14499300</v>
      </c>
      <c r="I6678">
        <v>857821</v>
      </c>
      <c r="J6678">
        <v>4</v>
      </c>
    </row>
    <row r="6679" spans="1:10" x14ac:dyDescent="0.25">
      <c r="A6679" t="s">
        <v>56</v>
      </c>
      <c r="B6679" s="1" t="str">
        <f>HYPERLINK("http://mariavictoriamiguel.com","mariavictoriamiguel.com")</f>
        <v>mariavictoriamiguel.com</v>
      </c>
      <c r="C6679" t="s">
        <v>433</v>
      </c>
      <c r="F6679">
        <v>4.4597818904246704E-9</v>
      </c>
      <c r="G6679">
        <v>67819752</v>
      </c>
      <c r="H6679">
        <v>9544003</v>
      </c>
      <c r="I6679">
        <v>65071723</v>
      </c>
      <c r="J6679">
        <v>4</v>
      </c>
    </row>
    <row r="6680" spans="1:10" x14ac:dyDescent="0.25">
      <c r="A6680" t="s">
        <v>56</v>
      </c>
      <c r="B6680" s="1" t="str">
        <f>HYPERLINK("http://mercury-tfs.com","mercury-tfs.com")</f>
        <v>mercury-tfs.com</v>
      </c>
      <c r="C6680" t="s">
        <v>433</v>
      </c>
      <c r="F6680">
        <v>9.92699781989053E-9</v>
      </c>
      <c r="G6680">
        <v>6830419</v>
      </c>
      <c r="H6680">
        <v>12907120</v>
      </c>
      <c r="I6680">
        <v>13814122</v>
      </c>
      <c r="J6680">
        <v>3</v>
      </c>
    </row>
    <row r="6681" spans="1:10" x14ac:dyDescent="0.25">
      <c r="A6681" t="s">
        <v>56</v>
      </c>
      <c r="B6681" s="1" t="str">
        <f>HYPERLINK("http://meridiancapital.com","meridiancapital.com")</f>
        <v>meridiancapital.com</v>
      </c>
      <c r="C6681" t="s">
        <v>433</v>
      </c>
      <c r="E6681">
        <v>871897</v>
      </c>
      <c r="F6681">
        <v>4.4267602087532499E-8</v>
      </c>
      <c r="G6681">
        <v>1072625</v>
      </c>
      <c r="H6681">
        <v>13265076</v>
      </c>
      <c r="I6681">
        <v>11011428</v>
      </c>
      <c r="J6681">
        <v>4</v>
      </c>
    </row>
    <row r="6682" spans="1:10" x14ac:dyDescent="0.25">
      <c r="A6682" t="s">
        <v>56</v>
      </c>
      <c r="B6682" s="1" t="str">
        <f>HYPERLINK("http://mitidentity.com","mitidentity.com")</f>
        <v>mitidentity.com</v>
      </c>
      <c r="C6682" t="s">
        <v>433</v>
      </c>
      <c r="F6682">
        <v>4.7201276592780701E-9</v>
      </c>
      <c r="G6682">
        <v>40214327</v>
      </c>
      <c r="H6682">
        <v>8526879</v>
      </c>
      <c r="I6682">
        <v>71796561</v>
      </c>
      <c r="J6682">
        <v>4</v>
      </c>
    </row>
    <row r="6683" spans="1:10" x14ac:dyDescent="0.25">
      <c r="A6683" t="s">
        <v>56</v>
      </c>
      <c r="B6683" s="1" t="str">
        <f>HYPERLINK("http://mobility-consulting.com","mobility-consulting.com")</f>
        <v>mobility-consulting.com</v>
      </c>
      <c r="C6683" t="s">
        <v>433</v>
      </c>
      <c r="F6683">
        <v>1.4241507526317599E-8</v>
      </c>
      <c r="G6683">
        <v>4114211</v>
      </c>
      <c r="H6683">
        <v>12147697</v>
      </c>
      <c r="I6683">
        <v>24685061</v>
      </c>
      <c r="J6683">
        <v>3</v>
      </c>
    </row>
    <row r="6684" spans="1:10" x14ac:dyDescent="0.25">
      <c r="A6684" t="s">
        <v>56</v>
      </c>
      <c r="B6684" s="1" t="str">
        <f>HYPERLINK("http://mourocapital.com","mourocapital.com")</f>
        <v>mourocapital.com</v>
      </c>
      <c r="C6684" t="s">
        <v>433</v>
      </c>
      <c r="F6684">
        <v>1.13059572556412E-7</v>
      </c>
      <c r="G6684">
        <v>353071</v>
      </c>
      <c r="H6684">
        <v>13616816</v>
      </c>
      <c r="I6684">
        <v>9629198</v>
      </c>
      <c r="J6684">
        <v>3</v>
      </c>
    </row>
    <row r="6685" spans="1:10" x14ac:dyDescent="0.25">
      <c r="A6685" t="s">
        <v>56</v>
      </c>
      <c r="B6685" s="1" t="str">
        <f>HYPERLINK("http://neoauto.com","neoauto.com")</f>
        <v>neoauto.com</v>
      </c>
      <c r="C6685" t="s">
        <v>433</v>
      </c>
      <c r="E6685">
        <v>279467</v>
      </c>
      <c r="F6685">
        <v>1.2595171962126E-8</v>
      </c>
      <c r="G6685">
        <v>4833421</v>
      </c>
      <c r="H6685">
        <v>12547618</v>
      </c>
      <c r="I6685">
        <v>16844383</v>
      </c>
      <c r="J6685">
        <v>3</v>
      </c>
    </row>
    <row r="6686" spans="1:10" x14ac:dyDescent="0.25">
      <c r="A6686" t="s">
        <v>56</v>
      </c>
      <c r="B6686" s="1" t="str">
        <f>HYPERLINK("http://nycretailleasing.com","nycretailleasing.com")</f>
        <v>nycretailleasing.com</v>
      </c>
      <c r="C6686" t="s">
        <v>433</v>
      </c>
      <c r="F6686">
        <v>8.4584040274591704E-9</v>
      </c>
      <c r="G6686">
        <v>8926128</v>
      </c>
      <c r="H6686">
        <v>13061829</v>
      </c>
      <c r="I6686">
        <v>12320695</v>
      </c>
      <c r="J6686">
        <v>6</v>
      </c>
    </row>
    <row r="6687" spans="1:10" x14ac:dyDescent="0.25">
      <c r="A6687" t="s">
        <v>56</v>
      </c>
      <c r="B6687" s="1" t="str">
        <f>HYPERLINK("http://pagonxt.com","pagonxt.com")</f>
        <v>pagonxt.com</v>
      </c>
      <c r="C6687" t="s">
        <v>433</v>
      </c>
      <c r="E6687">
        <v>678504</v>
      </c>
      <c r="F6687">
        <v>2.0981517872355401E-8</v>
      </c>
      <c r="G6687">
        <v>2518291</v>
      </c>
      <c r="H6687">
        <v>12813340</v>
      </c>
      <c r="I6687">
        <v>14547358</v>
      </c>
      <c r="J6687">
        <v>3</v>
      </c>
    </row>
    <row r="6688" spans="1:10" x14ac:dyDescent="0.25">
      <c r="A6688" t="s">
        <v>56</v>
      </c>
      <c r="B6688" s="1" t="str">
        <f>HYPERLINK("http://roadloans.com","roadloans.com")</f>
        <v>roadloans.com</v>
      </c>
      <c r="C6688" t="s">
        <v>433</v>
      </c>
      <c r="E6688">
        <v>659450</v>
      </c>
      <c r="F6688">
        <v>5.5361423332348201E-8</v>
      </c>
      <c r="G6688">
        <v>811045</v>
      </c>
      <c r="H6688">
        <v>14934067</v>
      </c>
      <c r="I6688">
        <v>446182</v>
      </c>
      <c r="J6688">
        <v>3</v>
      </c>
    </row>
    <row r="6689" spans="1:10" x14ac:dyDescent="0.25">
      <c r="A6689" t="s">
        <v>56</v>
      </c>
      <c r="B6689" s="1" t="str">
        <f>HYPERLINK("http://santander.com","santander.com")</f>
        <v>santander.com</v>
      </c>
      <c r="C6689" t="s">
        <v>433</v>
      </c>
      <c r="E6689">
        <v>33138</v>
      </c>
      <c r="F6689">
        <v>1.19439218092244E-6</v>
      </c>
      <c r="G6689">
        <v>32632</v>
      </c>
      <c r="H6689">
        <v>17403154</v>
      </c>
      <c r="I6689">
        <v>18983</v>
      </c>
      <c r="J6689">
        <v>1</v>
      </c>
    </row>
    <row r="6690" spans="1:10" x14ac:dyDescent="0.25">
      <c r="A6690" t="s">
        <v>56</v>
      </c>
      <c r="B6690" s="1" t="str">
        <f>HYPERLINK("http://santanderassetmanagement.com","santanderassetmanagement.com")</f>
        <v>santanderassetmanagement.com</v>
      </c>
      <c r="C6690" t="s">
        <v>433</v>
      </c>
      <c r="F6690">
        <v>1.46317918227799E-8</v>
      </c>
      <c r="G6690">
        <v>3965041</v>
      </c>
      <c r="H6690">
        <v>13049069</v>
      </c>
      <c r="I6690">
        <v>12592336</v>
      </c>
      <c r="J6690">
        <v>3</v>
      </c>
    </row>
    <row r="6691" spans="1:10" x14ac:dyDescent="0.25">
      <c r="A6691" t="s">
        <v>56</v>
      </c>
      <c r="B6691" s="1" t="str">
        <f>HYPERLINK("http://santanderbank.com","santanderbank.com")</f>
        <v>santanderbank.com</v>
      </c>
      <c r="C6691" t="s">
        <v>433</v>
      </c>
      <c r="E6691">
        <v>27344</v>
      </c>
      <c r="F6691">
        <v>4.5966413671071601E-7</v>
      </c>
      <c r="G6691">
        <v>82275</v>
      </c>
      <c r="H6691">
        <v>17199996</v>
      </c>
      <c r="I6691">
        <v>41796</v>
      </c>
      <c r="J6691">
        <v>3</v>
      </c>
    </row>
    <row r="6692" spans="1:10" x14ac:dyDescent="0.25">
      <c r="A6692" t="s">
        <v>56</v>
      </c>
      <c r="B6692" s="1" t="str">
        <f>HYPERLINK("http://santandercards.com","santandercards.com")</f>
        <v>santandercards.com</v>
      </c>
      <c r="C6692" t="s">
        <v>433</v>
      </c>
      <c r="F6692">
        <v>4.6064728183814696E-9</v>
      </c>
      <c r="G6692">
        <v>47119001</v>
      </c>
      <c r="H6692">
        <v>11120852</v>
      </c>
      <c r="I6692">
        <v>32039941</v>
      </c>
      <c r="J6692">
        <v>3</v>
      </c>
    </row>
    <row r="6693" spans="1:10" x14ac:dyDescent="0.25">
      <c r="A6693" t="s">
        <v>56</v>
      </c>
      <c r="B6693" s="1" t="str">
        <f>HYPERLINK("http://santanderconsumer.com","santanderconsumer.com")</f>
        <v>santanderconsumer.com</v>
      </c>
      <c r="C6693" t="s">
        <v>433</v>
      </c>
      <c r="E6693">
        <v>272266</v>
      </c>
      <c r="F6693">
        <v>4.3150728979995699E-8</v>
      </c>
      <c r="G6693">
        <v>1112720</v>
      </c>
      <c r="H6693">
        <v>14076508</v>
      </c>
      <c r="I6693">
        <v>2885543</v>
      </c>
      <c r="J6693">
        <v>2</v>
      </c>
    </row>
    <row r="6694" spans="1:10" x14ac:dyDescent="0.25">
      <c r="A6694" t="s">
        <v>56</v>
      </c>
      <c r="B6694" s="1" t="str">
        <f>HYPERLINK("http://santanderconsumerusa.com","santanderconsumerusa.com")</f>
        <v>santanderconsumerusa.com</v>
      </c>
      <c r="C6694" t="s">
        <v>433</v>
      </c>
      <c r="E6694">
        <v>100599</v>
      </c>
      <c r="F6694">
        <v>1.2240489684849801E-7</v>
      </c>
      <c r="G6694">
        <v>322522</v>
      </c>
      <c r="H6694">
        <v>13670440</v>
      </c>
      <c r="I6694">
        <v>9556440</v>
      </c>
      <c r="J6694">
        <v>3</v>
      </c>
    </row>
    <row r="6695" spans="1:10" x14ac:dyDescent="0.25">
      <c r="A6695" t="s">
        <v>56</v>
      </c>
      <c r="B6695" s="1" t="str">
        <f>HYPERLINK("http://santanderdetitulizacion.com","santanderdetitulizacion.com")</f>
        <v>santanderdetitulizacion.com</v>
      </c>
      <c r="C6695" t="s">
        <v>433</v>
      </c>
      <c r="F6695">
        <v>6.8373880915897701E-9</v>
      </c>
      <c r="G6695">
        <v>12838753</v>
      </c>
      <c r="H6695">
        <v>12303577</v>
      </c>
      <c r="I6695">
        <v>20760586</v>
      </c>
      <c r="J6695">
        <v>4</v>
      </c>
    </row>
    <row r="6696" spans="1:10" x14ac:dyDescent="0.25">
      <c r="A6696" t="s">
        <v>56</v>
      </c>
      <c r="B6696" s="1" t="str">
        <f>HYPERLINK("http://santandere-derivatives.com","santandere-derivatives.com")</f>
        <v>santandere-derivatives.com</v>
      </c>
      <c r="C6696" t="s">
        <v>433</v>
      </c>
      <c r="F6696">
        <v>4.8913984642150502E-9</v>
      </c>
      <c r="G6696">
        <v>32724200</v>
      </c>
      <c r="H6696">
        <v>10092595</v>
      </c>
      <c r="I6696">
        <v>59943922</v>
      </c>
      <c r="J6696">
        <v>2</v>
      </c>
    </row>
    <row r="6697" spans="1:10" x14ac:dyDescent="0.25">
      <c r="A6697" t="s">
        <v>56</v>
      </c>
      <c r="B6697" s="1" t="str">
        <f>HYPERLINK("http://santanderglobaltech.com","santanderglobaltech.com")</f>
        <v>santanderglobaltech.com</v>
      </c>
      <c r="C6697" t="s">
        <v>433</v>
      </c>
      <c r="E6697">
        <v>360605</v>
      </c>
      <c r="F6697">
        <v>2.7339248084120699E-8</v>
      </c>
      <c r="G6697">
        <v>1880446</v>
      </c>
      <c r="H6697">
        <v>13440213</v>
      </c>
      <c r="I6697">
        <v>10260628</v>
      </c>
      <c r="J6697">
        <v>4</v>
      </c>
    </row>
    <row r="6698" spans="1:10" x14ac:dyDescent="0.25">
      <c r="A6698" t="s">
        <v>56</v>
      </c>
      <c r="B6698" s="1" t="str">
        <f>HYPERLINK("http://santanderinnoventures.com","santanderinnoventures.com")</f>
        <v>santanderinnoventures.com</v>
      </c>
      <c r="C6698" t="s">
        <v>433</v>
      </c>
      <c r="F6698">
        <v>9.9404298993612704E-8</v>
      </c>
      <c r="G6698">
        <v>405151</v>
      </c>
      <c r="H6698">
        <v>13956913</v>
      </c>
      <c r="I6698">
        <v>4129821</v>
      </c>
      <c r="J6698">
        <v>3</v>
      </c>
    </row>
    <row r="6699" spans="1:10" x14ac:dyDescent="0.25">
      <c r="A6699" t="s">
        <v>56</v>
      </c>
      <c r="B6699" s="1" t="str">
        <f>HYPERLINK("http://santandermediacionobsv.com","santandermediacionobsv.com")</f>
        <v>santandermediacionobsv.com</v>
      </c>
      <c r="C6699" t="s">
        <v>433</v>
      </c>
      <c r="F6699">
        <v>1.0759582926491E-8</v>
      </c>
      <c r="G6699">
        <v>6052397</v>
      </c>
      <c r="H6699">
        <v>12422166</v>
      </c>
      <c r="I6699">
        <v>18412456</v>
      </c>
      <c r="J6699">
        <v>3</v>
      </c>
    </row>
    <row r="6700" spans="1:10" x14ac:dyDescent="0.25">
      <c r="A6700" t="s">
        <v>56</v>
      </c>
      <c r="B6700" s="1" t="str">
        <f>HYPERLINK("http://santanderus.com","santanderus.com")</f>
        <v>santanderus.com</v>
      </c>
      <c r="C6700" t="s">
        <v>433</v>
      </c>
      <c r="F6700">
        <v>3.0731265806357797E-8</v>
      </c>
      <c r="G6700">
        <v>1676313</v>
      </c>
      <c r="H6700">
        <v>14163798</v>
      </c>
      <c r="I6700">
        <v>1828754</v>
      </c>
      <c r="J6700">
        <v>5</v>
      </c>
    </row>
    <row r="6701" spans="1:10" x14ac:dyDescent="0.25">
      <c r="A6701" t="s">
        <v>56</v>
      </c>
      <c r="B6701" s="1" t="str">
        <f>HYPERLINK("http://santanderusa.com","santanderusa.com")</f>
        <v>santanderusa.com</v>
      </c>
      <c r="C6701" t="s">
        <v>433</v>
      </c>
      <c r="E6701">
        <v>506977</v>
      </c>
      <c r="F6701">
        <v>4.4482225110495896E-9</v>
      </c>
      <c r="G6701">
        <v>72998733</v>
      </c>
      <c r="H6701">
        <v>12125844</v>
      </c>
      <c r="I6701">
        <v>25260459</v>
      </c>
      <c r="J6701">
        <v>8</v>
      </c>
    </row>
    <row r="6702" spans="1:10" x14ac:dyDescent="0.25">
      <c r="A6702" t="s">
        <v>56</v>
      </c>
      <c r="B6702" s="1" t="str">
        <f>HYPERLINK("http://santandervivienda.com","santandervivienda.com")</f>
        <v>santandervivienda.com</v>
      </c>
      <c r="C6702" t="s">
        <v>433</v>
      </c>
      <c r="J6702">
        <v>3</v>
      </c>
    </row>
    <row r="6703" spans="1:10" x14ac:dyDescent="0.25">
      <c r="A6703" t="s">
        <v>56</v>
      </c>
      <c r="B6703" s="1" t="str">
        <f>HYPERLINK("http://sixt-leasing.com","sixt-leasing.com")</f>
        <v>sixt-leasing.com</v>
      </c>
      <c r="C6703" t="s">
        <v>433</v>
      </c>
      <c r="E6703">
        <v>315624</v>
      </c>
      <c r="F6703">
        <v>1.81167846879166E-8</v>
      </c>
      <c r="G6703">
        <v>3006464</v>
      </c>
      <c r="H6703">
        <v>12656432</v>
      </c>
      <c r="I6703">
        <v>15760939</v>
      </c>
      <c r="J6703">
        <v>4</v>
      </c>
    </row>
    <row r="6704" spans="1:10" x14ac:dyDescent="0.25">
      <c r="A6704" t="s">
        <v>56</v>
      </c>
      <c r="B6704" s="1" t="str">
        <f>HYPERLINK("http://ssaswissadvisors.com","ssaswissadvisors.com")</f>
        <v>ssaswissadvisors.com</v>
      </c>
      <c r="C6704" t="s">
        <v>433</v>
      </c>
      <c r="F6704">
        <v>4.4500370117056698E-9</v>
      </c>
      <c r="G6704">
        <v>71899431</v>
      </c>
      <c r="H6704">
        <v>1.0003663</v>
      </c>
      <c r="I6704">
        <v>79072397</v>
      </c>
      <c r="J6704">
        <v>3</v>
      </c>
    </row>
    <row r="6705" spans="1:10" x14ac:dyDescent="0.25">
      <c r="A6705" t="s">
        <v>56</v>
      </c>
      <c r="B6705" s="1" t="str">
        <f>HYPERLINK("http://stellantis-finance.com","stellantis-finance.com")</f>
        <v>stellantis-finance.com</v>
      </c>
      <c r="C6705" t="s">
        <v>433</v>
      </c>
      <c r="J6705">
        <v>4</v>
      </c>
    </row>
    <row r="6706" spans="1:10" x14ac:dyDescent="0.25">
      <c r="A6706" t="s">
        <v>56</v>
      </c>
      <c r="B6706" s="1" t="str">
        <f>HYPERLINK("http://thefxfirm.com","thefxfirm.com")</f>
        <v>thefxfirm.com</v>
      </c>
      <c r="C6706" t="s">
        <v>433</v>
      </c>
      <c r="F6706">
        <v>4.5163731327059996E-9</v>
      </c>
      <c r="G6706">
        <v>56675046</v>
      </c>
      <c r="H6706">
        <v>11970812</v>
      </c>
      <c r="I6706">
        <v>28713152</v>
      </c>
      <c r="J6706">
        <v>8</v>
      </c>
    </row>
    <row r="6707" spans="1:10" x14ac:dyDescent="0.25">
      <c r="A6707" t="s">
        <v>56</v>
      </c>
      <c r="B6707" s="1" t="str">
        <f>HYPERLINK("http://uropropertyholdings.com","uropropertyholdings.com")</f>
        <v>uropropertyholdings.com</v>
      </c>
      <c r="C6707" t="s">
        <v>433</v>
      </c>
      <c r="F6707">
        <v>5.1771315506317298E-9</v>
      </c>
      <c r="G6707">
        <v>25601636</v>
      </c>
      <c r="H6707">
        <v>12562137</v>
      </c>
      <c r="I6707">
        <v>16692389</v>
      </c>
      <c r="J6707">
        <v>3</v>
      </c>
    </row>
    <row r="6708" spans="1:10" x14ac:dyDescent="0.25">
      <c r="A6708" t="s">
        <v>56</v>
      </c>
      <c r="B6708" s="1" t="str">
        <f>HYPERLINK("http://waypointbank.com","waypointbank.com")</f>
        <v>waypointbank.com</v>
      </c>
      <c r="C6708" t="s">
        <v>433</v>
      </c>
      <c r="F6708">
        <v>1.8255077187307901E-8</v>
      </c>
      <c r="G6708">
        <v>2976219</v>
      </c>
      <c r="H6708">
        <v>12966937</v>
      </c>
      <c r="I6708">
        <v>13074995</v>
      </c>
      <c r="J6708">
        <v>3</v>
      </c>
    </row>
    <row r="6709" spans="1:10" x14ac:dyDescent="0.25">
      <c r="A6709" t="s">
        <v>56</v>
      </c>
      <c r="B6709" s="1" t="str">
        <f>HYPERLINK("http://ebury.cz","ebury.cz")</f>
        <v>ebury.cz</v>
      </c>
      <c r="C6709" t="s">
        <v>435</v>
      </c>
      <c r="D6709" t="s">
        <v>814</v>
      </c>
      <c r="F6709">
        <v>8.0460377225715704E-9</v>
      </c>
      <c r="G6709">
        <v>9837330</v>
      </c>
      <c r="H6709">
        <v>12063865</v>
      </c>
      <c r="I6709">
        <v>26923257</v>
      </c>
      <c r="J6709">
        <v>3</v>
      </c>
    </row>
    <row r="6710" spans="1:10" x14ac:dyDescent="0.25">
      <c r="A6710" t="s">
        <v>56</v>
      </c>
      <c r="B6710" s="1" t="str">
        <f>HYPERLINK("http://autohaus24.de","autohaus24.de")</f>
        <v>autohaus24.de</v>
      </c>
      <c r="C6710" t="s">
        <v>436</v>
      </c>
      <c r="D6710" t="s">
        <v>815</v>
      </c>
      <c r="E6710">
        <v>357225</v>
      </c>
      <c r="F6710">
        <v>6.6182123825884202E-8</v>
      </c>
      <c r="G6710">
        <v>648125</v>
      </c>
      <c r="H6710">
        <v>14149330</v>
      </c>
      <c r="I6710">
        <v>1881770</v>
      </c>
      <c r="J6710">
        <v>3</v>
      </c>
    </row>
    <row r="6711" spans="1:10" x14ac:dyDescent="0.25">
      <c r="A6711" t="s">
        <v>56</v>
      </c>
      <c r="B6711" s="1" t="str">
        <f>HYPERLINK("http://ebury.de","ebury.de")</f>
        <v>ebury.de</v>
      </c>
      <c r="C6711" t="s">
        <v>436</v>
      </c>
      <c r="D6711" t="s">
        <v>815</v>
      </c>
      <c r="F6711">
        <v>8.8226319726336898E-9</v>
      </c>
      <c r="G6711">
        <v>8268084</v>
      </c>
      <c r="H6711">
        <v>12336217</v>
      </c>
      <c r="I6711">
        <v>20082538</v>
      </c>
      <c r="J6711">
        <v>3</v>
      </c>
    </row>
    <row r="6712" spans="1:10" x14ac:dyDescent="0.25">
      <c r="A6712" t="s">
        <v>56</v>
      </c>
      <c r="B6712" s="1" t="str">
        <f>HYPERLINK("http://isban.de","isban.de")</f>
        <v>isban.de</v>
      </c>
      <c r="C6712" t="s">
        <v>436</v>
      </c>
      <c r="D6712" t="s">
        <v>815</v>
      </c>
      <c r="J6712">
        <v>7</v>
      </c>
    </row>
    <row r="6713" spans="1:10" x14ac:dyDescent="0.25">
      <c r="A6713" t="s">
        <v>56</v>
      </c>
      <c r="B6713" s="1" t="str">
        <f>HYPERLINK("http://psa-bank-deutschland.de","psa-bank-deutschland.de")</f>
        <v>psa-bank-deutschland.de</v>
      </c>
      <c r="C6713" t="s">
        <v>436</v>
      </c>
      <c r="D6713" t="s">
        <v>815</v>
      </c>
      <c r="F6713">
        <v>2.54402694818055E-8</v>
      </c>
      <c r="G6713">
        <v>2027675</v>
      </c>
      <c r="H6713">
        <v>12525029</v>
      </c>
      <c r="I6713">
        <v>17103594</v>
      </c>
      <c r="J6713">
        <v>3</v>
      </c>
    </row>
    <row r="6714" spans="1:10" x14ac:dyDescent="0.25">
      <c r="A6714" t="s">
        <v>56</v>
      </c>
      <c r="B6714" s="1" t="str">
        <f>HYPERLINK("http://santander.de","santander.de")</f>
        <v>santander.de</v>
      </c>
      <c r="C6714" t="s">
        <v>436</v>
      </c>
      <c r="D6714" t="s">
        <v>815</v>
      </c>
      <c r="E6714">
        <v>65876</v>
      </c>
      <c r="F6714">
        <v>5.60780804431799E-7</v>
      </c>
      <c r="G6714">
        <v>69230</v>
      </c>
      <c r="H6714">
        <v>14527142</v>
      </c>
      <c r="I6714">
        <v>793144</v>
      </c>
      <c r="J6714">
        <v>2</v>
      </c>
    </row>
    <row r="6715" spans="1:10" x14ac:dyDescent="0.25">
      <c r="A6715" t="s">
        <v>56</v>
      </c>
      <c r="B6715" s="1" t="str">
        <f>HYPERLINK("http://santander-leasing.de","santander-leasing.de")</f>
        <v>santander-leasing.de</v>
      </c>
      <c r="C6715" t="s">
        <v>436</v>
      </c>
      <c r="D6715" t="s">
        <v>815</v>
      </c>
      <c r="F6715">
        <v>1.6433177698786401E-8</v>
      </c>
      <c r="G6715">
        <v>3430705</v>
      </c>
      <c r="H6715">
        <v>11374962</v>
      </c>
      <c r="I6715">
        <v>30304851</v>
      </c>
      <c r="J6715">
        <v>4</v>
      </c>
    </row>
    <row r="6716" spans="1:10" x14ac:dyDescent="0.25">
      <c r="A6716" t="s">
        <v>56</v>
      </c>
      <c r="B6716" s="1" t="str">
        <f>HYPERLINK("http://santander-service.de","santander-service.de")</f>
        <v>santander-service.de</v>
      </c>
      <c r="C6716" t="s">
        <v>436</v>
      </c>
      <c r="D6716" t="s">
        <v>815</v>
      </c>
      <c r="J6716">
        <v>3</v>
      </c>
    </row>
    <row r="6717" spans="1:10" x14ac:dyDescent="0.25">
      <c r="A6717" t="s">
        <v>56</v>
      </c>
      <c r="B6717" s="1" t="str">
        <f>HYPERLINK("http://santanderassetmanagement.de","santanderassetmanagement.de")</f>
        <v>santanderassetmanagement.de</v>
      </c>
      <c r="C6717" t="s">
        <v>436</v>
      </c>
      <c r="D6717" t="s">
        <v>815</v>
      </c>
      <c r="F6717">
        <v>1.6891343636794399E-8</v>
      </c>
      <c r="G6717">
        <v>3310075</v>
      </c>
      <c r="H6717">
        <v>12317179</v>
      </c>
      <c r="I6717">
        <v>20467853</v>
      </c>
      <c r="J6717">
        <v>4</v>
      </c>
    </row>
    <row r="6718" spans="1:10" x14ac:dyDescent="0.25">
      <c r="A6718" t="s">
        <v>56</v>
      </c>
      <c r="B6718" s="1" t="str">
        <f>HYPERLINK("http://santanderbank.de","santanderbank.de")</f>
        <v>santanderbank.de</v>
      </c>
      <c r="C6718" t="s">
        <v>436</v>
      </c>
      <c r="D6718" t="s">
        <v>815</v>
      </c>
      <c r="F6718">
        <v>3.2526942719675097E-8</v>
      </c>
      <c r="G6718">
        <v>1588478</v>
      </c>
      <c r="H6718">
        <v>13220156</v>
      </c>
      <c r="I6718">
        <v>11336004</v>
      </c>
      <c r="J6718">
        <v>4</v>
      </c>
    </row>
    <row r="6719" spans="1:10" x14ac:dyDescent="0.25">
      <c r="A6719" t="s">
        <v>56</v>
      </c>
      <c r="B6719" s="1" t="str">
        <f>HYPERLINK("http://sixt-leasing.de","sixt-leasing.de")</f>
        <v>sixt-leasing.de</v>
      </c>
      <c r="C6719" t="s">
        <v>436</v>
      </c>
      <c r="D6719" t="s">
        <v>815</v>
      </c>
      <c r="F6719">
        <v>5.8127948642414397E-8</v>
      </c>
      <c r="G6719">
        <v>765643</v>
      </c>
      <c r="H6719">
        <v>13792858</v>
      </c>
      <c r="I6719">
        <v>6326748</v>
      </c>
      <c r="J6719">
        <v>3</v>
      </c>
    </row>
    <row r="6720" spans="1:10" x14ac:dyDescent="0.25">
      <c r="A6720" t="s">
        <v>56</v>
      </c>
      <c r="B6720" s="1" t="str">
        <f>HYPERLINK("http://hessel24.dk","hessel24.dk")</f>
        <v>hessel24.dk</v>
      </c>
      <c r="C6720" t="s">
        <v>437</v>
      </c>
      <c r="D6720" t="s">
        <v>816</v>
      </c>
      <c r="J6720">
        <v>2</v>
      </c>
    </row>
    <row r="6721" spans="1:10" x14ac:dyDescent="0.25">
      <c r="A6721" t="s">
        <v>56</v>
      </c>
      <c r="B6721" s="1" t="str">
        <f>HYPERLINK("http://santander.dk","santander.dk")</f>
        <v>santander.dk</v>
      </c>
      <c r="C6721" t="s">
        <v>437</v>
      </c>
      <c r="D6721" t="s">
        <v>816</v>
      </c>
      <c r="F6721">
        <v>9.5631666273969394E-9</v>
      </c>
      <c r="G6721">
        <v>7247414</v>
      </c>
      <c r="H6721">
        <v>12082509</v>
      </c>
      <c r="I6721">
        <v>26501553</v>
      </c>
      <c r="J6721">
        <v>2</v>
      </c>
    </row>
    <row r="6722" spans="1:10" x14ac:dyDescent="0.25">
      <c r="A6722" t="s">
        <v>56</v>
      </c>
      <c r="B6722" s="1" t="str">
        <f>HYPERLINK("http://santander24.dk","santander24.dk")</f>
        <v>santander24.dk</v>
      </c>
      <c r="C6722" t="s">
        <v>437</v>
      </c>
      <c r="D6722" t="s">
        <v>816</v>
      </c>
      <c r="J6722">
        <v>2</v>
      </c>
    </row>
    <row r="6723" spans="1:10" x14ac:dyDescent="0.25">
      <c r="A6723" t="s">
        <v>56</v>
      </c>
      <c r="B6723" s="1" t="str">
        <f>HYPERLINK("http://santanderconsumer.dk","santanderconsumer.dk")</f>
        <v>santanderconsumer.dk</v>
      </c>
      <c r="C6723" t="s">
        <v>437</v>
      </c>
      <c r="D6723" t="s">
        <v>816</v>
      </c>
      <c r="E6723">
        <v>590605</v>
      </c>
      <c r="F6723">
        <v>2.37712054325702E-7</v>
      </c>
      <c r="G6723">
        <v>157535</v>
      </c>
      <c r="H6723">
        <v>16759002</v>
      </c>
      <c r="I6723">
        <v>230838</v>
      </c>
      <c r="J6723">
        <v>2</v>
      </c>
    </row>
    <row r="6724" spans="1:10" x14ac:dyDescent="0.25">
      <c r="A6724" t="s">
        <v>56</v>
      </c>
      <c r="B6724" s="1" t="str">
        <f>HYPERLINK("http://bancopopular.es","bancopopular.es")</f>
        <v>bancopopular.es</v>
      </c>
      <c r="C6724" t="s">
        <v>443</v>
      </c>
      <c r="D6724" t="s">
        <v>822</v>
      </c>
      <c r="E6724">
        <v>337564</v>
      </c>
      <c r="F6724">
        <v>9.8068067694283294E-8</v>
      </c>
      <c r="G6724">
        <v>411453</v>
      </c>
      <c r="H6724">
        <v>14708793</v>
      </c>
      <c r="I6724">
        <v>584925</v>
      </c>
      <c r="J6724">
        <v>4</v>
      </c>
    </row>
    <row r="6725" spans="1:10" x14ac:dyDescent="0.25">
      <c r="A6725" t="s">
        <v>56</v>
      </c>
      <c r="B6725" s="1" t="str">
        <f>HYPERLINK("http://bancosantander.es","bancosantander.es")</f>
        <v>bancosantander.es</v>
      </c>
      <c r="C6725" t="s">
        <v>443</v>
      </c>
      <c r="D6725" t="s">
        <v>822</v>
      </c>
      <c r="E6725">
        <v>19862</v>
      </c>
      <c r="F6725">
        <v>8.5113874188562104E-7</v>
      </c>
      <c r="G6725">
        <v>46772</v>
      </c>
      <c r="H6725">
        <v>15106273</v>
      </c>
      <c r="I6725">
        <v>405633</v>
      </c>
      <c r="J6725">
        <v>2</v>
      </c>
    </row>
    <row r="6726" spans="1:10" x14ac:dyDescent="0.25">
      <c r="A6726" t="s">
        <v>56</v>
      </c>
      <c r="B6726" s="1" t="str">
        <f>HYPERLINK("http://bancosantandergpp.es","bancosantandergpp.es")</f>
        <v>bancosantandergpp.es</v>
      </c>
      <c r="C6726" t="s">
        <v>443</v>
      </c>
      <c r="D6726" t="s">
        <v>822</v>
      </c>
      <c r="F6726">
        <v>8.2515299038961802E-9</v>
      </c>
      <c r="G6726">
        <v>9373730</v>
      </c>
      <c r="H6726">
        <v>11040552</v>
      </c>
      <c r="I6726">
        <v>32918095</v>
      </c>
      <c r="J6726">
        <v>2</v>
      </c>
    </row>
    <row r="6727" spans="1:10" x14ac:dyDescent="0.25">
      <c r="A6727" t="s">
        <v>56</v>
      </c>
      <c r="B6727" s="1" t="str">
        <f>HYPERLINK("http://banesto.es","banesto.es")</f>
        <v>banesto.es</v>
      </c>
      <c r="C6727" t="s">
        <v>443</v>
      </c>
      <c r="D6727" t="s">
        <v>822</v>
      </c>
      <c r="E6727">
        <v>282971</v>
      </c>
      <c r="F6727">
        <v>2.9053372077287702E-8</v>
      </c>
      <c r="G6727">
        <v>1772221</v>
      </c>
      <c r="H6727">
        <v>14506255</v>
      </c>
      <c r="I6727">
        <v>833922</v>
      </c>
      <c r="J6727">
        <v>4</v>
      </c>
    </row>
    <row r="6728" spans="1:10" x14ac:dyDescent="0.25">
      <c r="A6728" t="s">
        <v>56</v>
      </c>
      <c r="B6728" s="1" t="str">
        <f>HYPERLINK("http://castillodevinuelas.es","castillodevinuelas.es")</f>
        <v>castillodevinuelas.es</v>
      </c>
      <c r="C6728" t="s">
        <v>443</v>
      </c>
      <c r="D6728" t="s">
        <v>822</v>
      </c>
      <c r="F6728">
        <v>7.49434278738145E-9</v>
      </c>
      <c r="G6728">
        <v>11025787</v>
      </c>
      <c r="H6728">
        <v>12406932</v>
      </c>
      <c r="I6728">
        <v>18657292</v>
      </c>
      <c r="J6728">
        <v>6</v>
      </c>
    </row>
    <row r="6729" spans="1:10" x14ac:dyDescent="0.25">
      <c r="A6729" t="s">
        <v>56</v>
      </c>
      <c r="B6729" s="1" t="str">
        <f>HYPERLINK("http://confirming.es","confirming.es")</f>
        <v>confirming.es</v>
      </c>
      <c r="C6729" t="s">
        <v>443</v>
      </c>
      <c r="D6729" t="s">
        <v>822</v>
      </c>
      <c r="F6729">
        <v>4.4747192550775301E-9</v>
      </c>
      <c r="G6729">
        <v>63472668</v>
      </c>
      <c r="H6729">
        <v>12046844</v>
      </c>
      <c r="I6729">
        <v>27332242</v>
      </c>
      <c r="J6729">
        <v>4</v>
      </c>
    </row>
    <row r="6730" spans="1:10" x14ac:dyDescent="0.25">
      <c r="A6730" t="s">
        <v>56</v>
      </c>
      <c r="B6730" s="1" t="str">
        <f>HYPERLINK("http://ebury.es","ebury.es")</f>
        <v>ebury.es</v>
      </c>
      <c r="C6730" t="s">
        <v>443</v>
      </c>
      <c r="D6730" t="s">
        <v>822</v>
      </c>
      <c r="F6730">
        <v>1.8366738123489301E-8</v>
      </c>
      <c r="G6730">
        <v>2954539</v>
      </c>
      <c r="H6730">
        <v>13943545</v>
      </c>
      <c r="I6730">
        <v>4312579</v>
      </c>
      <c r="J6730">
        <v>3</v>
      </c>
    </row>
    <row r="6731" spans="1:10" x14ac:dyDescent="0.25">
      <c r="A6731" t="s">
        <v>56</v>
      </c>
      <c r="B6731" s="1" t="str">
        <f>HYPERLINK("http://golfsantander.es","golfsantander.es")</f>
        <v>golfsantander.es</v>
      </c>
      <c r="C6731" t="s">
        <v>443</v>
      </c>
      <c r="D6731" t="s">
        <v>822</v>
      </c>
      <c r="F6731">
        <v>8.14944545751656E-9</v>
      </c>
      <c r="G6731">
        <v>9657208</v>
      </c>
      <c r="H6731">
        <v>13937425</v>
      </c>
      <c r="I6731">
        <v>4463431</v>
      </c>
      <c r="J6731">
        <v>3</v>
      </c>
    </row>
    <row r="6732" spans="1:10" x14ac:dyDescent="0.25">
      <c r="A6732" t="s">
        <v>56</v>
      </c>
      <c r="B6732" s="1" t="str">
        <f>HYPERLINK("http://gruposantander.es","gruposantander.es")</f>
        <v>gruposantander.es</v>
      </c>
      <c r="C6732" t="s">
        <v>443</v>
      </c>
      <c r="D6732" t="s">
        <v>822</v>
      </c>
      <c r="E6732">
        <v>91946</v>
      </c>
      <c r="F6732">
        <v>7.5845363525008407E-8</v>
      </c>
      <c r="G6732">
        <v>553941</v>
      </c>
      <c r="H6732">
        <v>14250796</v>
      </c>
      <c r="I6732">
        <v>1445839</v>
      </c>
      <c r="J6732">
        <v>2</v>
      </c>
    </row>
    <row r="6733" spans="1:10" x14ac:dyDescent="0.25">
      <c r="A6733" t="s">
        <v>56</v>
      </c>
      <c r="B6733" s="1" t="str">
        <f>HYPERLINK("http://isban.es","isban.es")</f>
        <v>isban.es</v>
      </c>
      <c r="C6733" t="s">
        <v>443</v>
      </c>
      <c r="D6733" t="s">
        <v>822</v>
      </c>
      <c r="F6733">
        <v>7.3660096960018103E-9</v>
      </c>
      <c r="G6733">
        <v>11323194</v>
      </c>
      <c r="H6733">
        <v>14236282</v>
      </c>
      <c r="I6733">
        <v>1594808</v>
      </c>
      <c r="J6733">
        <v>3</v>
      </c>
    </row>
    <row r="6734" spans="1:10" x14ac:dyDescent="0.25">
      <c r="A6734" t="s">
        <v>56</v>
      </c>
      <c r="B6734" s="1" t="str">
        <f>HYPERLINK("http://openbank.es","openbank.es")</f>
        <v>openbank.es</v>
      </c>
      <c r="C6734" t="s">
        <v>443</v>
      </c>
      <c r="D6734" t="s">
        <v>822</v>
      </c>
      <c r="E6734">
        <v>79536</v>
      </c>
      <c r="F6734">
        <v>1.5598549538820301E-7</v>
      </c>
      <c r="G6734">
        <v>248969</v>
      </c>
      <c r="H6734">
        <v>14879790</v>
      </c>
      <c r="I6734">
        <v>472924</v>
      </c>
      <c r="J6734">
        <v>3</v>
      </c>
    </row>
    <row r="6735" spans="1:10" x14ac:dyDescent="0.25">
      <c r="A6735" t="s">
        <v>56</v>
      </c>
      <c r="B6735" s="1" t="str">
        <f>HYPERLINK("http://santanderassetmanagement.es","santanderassetmanagement.es")</f>
        <v>santanderassetmanagement.es</v>
      </c>
      <c r="C6735" t="s">
        <v>443</v>
      </c>
      <c r="D6735" t="s">
        <v>822</v>
      </c>
      <c r="F6735">
        <v>2.0808094157666898E-8</v>
      </c>
      <c r="G6735">
        <v>2541755</v>
      </c>
      <c r="H6735">
        <v>12800082</v>
      </c>
      <c r="I6735">
        <v>14638531</v>
      </c>
      <c r="J6735">
        <v>4</v>
      </c>
    </row>
    <row r="6736" spans="1:10" x14ac:dyDescent="0.25">
      <c r="A6736" t="s">
        <v>56</v>
      </c>
      <c r="B6736" s="1" t="str">
        <f>HYPERLINK("http://santanderinvestment.es","santanderinvestment.es")</f>
        <v>santanderinvestment.es</v>
      </c>
      <c r="C6736" t="s">
        <v>443</v>
      </c>
      <c r="D6736" t="s">
        <v>822</v>
      </c>
      <c r="F6736">
        <v>4.4543516698710597E-9</v>
      </c>
      <c r="G6736">
        <v>69775346</v>
      </c>
      <c r="H6736">
        <v>10907605</v>
      </c>
      <c r="I6736">
        <v>35675311</v>
      </c>
      <c r="J6736">
        <v>2</v>
      </c>
    </row>
    <row r="6737" spans="1:10" x14ac:dyDescent="0.25">
      <c r="A6737" t="s">
        <v>56</v>
      </c>
      <c r="B6737" s="1" t="str">
        <f>HYPERLINK("http://hyundaicapitalbank.eu","hyundaicapitalbank.eu")</f>
        <v>hyundaicapitalbank.eu</v>
      </c>
      <c r="C6737" t="s">
        <v>444</v>
      </c>
      <c r="F6737">
        <v>7.6723814701848704E-9</v>
      </c>
      <c r="G6737">
        <v>10638898</v>
      </c>
      <c r="H6737">
        <v>10969646</v>
      </c>
      <c r="I6737">
        <v>34151000</v>
      </c>
      <c r="J6737">
        <v>3</v>
      </c>
    </row>
    <row r="6738" spans="1:10" x14ac:dyDescent="0.25">
      <c r="A6738" t="s">
        <v>56</v>
      </c>
      <c r="B6738" s="1" t="str">
        <f>HYPERLINK("http://hyundaifinance.eu","hyundaifinance.eu")</f>
        <v>hyundaifinance.eu</v>
      </c>
      <c r="C6738" t="s">
        <v>444</v>
      </c>
      <c r="E6738">
        <v>978029</v>
      </c>
      <c r="F6738">
        <v>4.4452243896399299E-9</v>
      </c>
      <c r="G6738">
        <v>75517248</v>
      </c>
      <c r="H6738">
        <v>10484563</v>
      </c>
      <c r="I6738">
        <v>50835200</v>
      </c>
      <c r="J6738">
        <v>2</v>
      </c>
    </row>
    <row r="6739" spans="1:10" x14ac:dyDescent="0.25">
      <c r="A6739" t="s">
        <v>56</v>
      </c>
      <c r="B6739" s="1" t="str">
        <f>HYPERLINK("http://kiafinance.eu","kiafinance.eu")</f>
        <v>kiafinance.eu</v>
      </c>
      <c r="C6739" t="s">
        <v>444</v>
      </c>
      <c r="J6739">
        <v>2</v>
      </c>
    </row>
    <row r="6740" spans="1:10" x14ac:dyDescent="0.25">
      <c r="A6740" t="s">
        <v>56</v>
      </c>
      <c r="B6740" s="1" t="str">
        <f>HYPERLINK("http://ain1.fi","ain1.fi")</f>
        <v>ain1.fi</v>
      </c>
      <c r="C6740" t="s">
        <v>445</v>
      </c>
      <c r="D6740" t="s">
        <v>823</v>
      </c>
      <c r="J6740">
        <v>2</v>
      </c>
    </row>
    <row r="6741" spans="1:10" x14ac:dyDescent="0.25">
      <c r="A6741" t="s">
        <v>56</v>
      </c>
      <c r="B6741" s="1" t="str">
        <f>HYPERLINK("http://allin1.fi","allin1.fi")</f>
        <v>allin1.fi</v>
      </c>
      <c r="C6741" t="s">
        <v>445</v>
      </c>
      <c r="D6741" t="s">
        <v>823</v>
      </c>
      <c r="J6741">
        <v>2</v>
      </c>
    </row>
    <row r="6742" spans="1:10" x14ac:dyDescent="0.25">
      <c r="A6742" t="s">
        <v>56</v>
      </c>
      <c r="B6742" s="1" t="str">
        <f>HYPERLINK("http://allinone.fi","allinone.fi")</f>
        <v>allinone.fi</v>
      </c>
      <c r="C6742" t="s">
        <v>445</v>
      </c>
      <c r="D6742" t="s">
        <v>823</v>
      </c>
      <c r="F6742">
        <v>1.84197636420192E-8</v>
      </c>
      <c r="G6742">
        <v>2941800</v>
      </c>
      <c r="H6742">
        <v>12102758</v>
      </c>
      <c r="I6742">
        <v>25902191</v>
      </c>
      <c r="J6742">
        <v>4</v>
      </c>
    </row>
    <row r="6743" spans="1:10" x14ac:dyDescent="0.25">
      <c r="A6743" t="s">
        <v>56</v>
      </c>
      <c r="B6743" s="1" t="str">
        <f>HYPERLINK("http://autopankki.fi","autopankki.fi")</f>
        <v>autopankki.fi</v>
      </c>
      <c r="C6743" t="s">
        <v>445</v>
      </c>
      <c r="D6743" t="s">
        <v>823</v>
      </c>
      <c r="J6743">
        <v>2</v>
      </c>
    </row>
    <row r="6744" spans="1:10" x14ac:dyDescent="0.25">
      <c r="A6744" t="s">
        <v>56</v>
      </c>
      <c r="B6744" s="1" t="str">
        <f>HYPERLINK("http://autowebbi.fi","autowebbi.fi")</f>
        <v>autowebbi.fi</v>
      </c>
      <c r="C6744" t="s">
        <v>445</v>
      </c>
      <c r="D6744" t="s">
        <v>823</v>
      </c>
      <c r="J6744">
        <v>2</v>
      </c>
    </row>
    <row r="6745" spans="1:10" x14ac:dyDescent="0.25">
      <c r="A6745" t="s">
        <v>56</v>
      </c>
      <c r="B6745" s="1" t="str">
        <f>HYPERLINK("http://bestcredit.fi","bestcredit.fi")</f>
        <v>bestcredit.fi</v>
      </c>
      <c r="C6745" t="s">
        <v>445</v>
      </c>
      <c r="D6745" t="s">
        <v>823</v>
      </c>
      <c r="J6745">
        <v>2</v>
      </c>
    </row>
    <row r="6746" spans="1:10" x14ac:dyDescent="0.25">
      <c r="A6746" t="s">
        <v>56</v>
      </c>
      <c r="B6746" s="1" t="str">
        <f>HYPERLINK("http://cobelmobility.fi","cobelmobility.fi")</f>
        <v>cobelmobility.fi</v>
      </c>
      <c r="C6746" t="s">
        <v>445</v>
      </c>
      <c r="D6746" t="s">
        <v>823</v>
      </c>
      <c r="J6746">
        <v>4</v>
      </c>
    </row>
    <row r="6747" spans="1:10" x14ac:dyDescent="0.25">
      <c r="A6747" t="s">
        <v>56</v>
      </c>
      <c r="B6747" s="1" t="str">
        <f>HYPERLINK("http://digitalweek.fi","digitalweek.fi")</f>
        <v>digitalweek.fi</v>
      </c>
      <c r="C6747" t="s">
        <v>445</v>
      </c>
      <c r="D6747" t="s">
        <v>823</v>
      </c>
      <c r="J6747">
        <v>2</v>
      </c>
    </row>
    <row r="6748" spans="1:10" x14ac:dyDescent="0.25">
      <c r="A6748" t="s">
        <v>56</v>
      </c>
      <c r="B6748" s="1" t="str">
        <f>HYPERLINK("http://ebury.fi","ebury.fi")</f>
        <v>ebury.fi</v>
      </c>
      <c r="C6748" t="s">
        <v>445</v>
      </c>
      <c r="D6748" t="s">
        <v>823</v>
      </c>
      <c r="J6748">
        <v>4</v>
      </c>
    </row>
    <row r="6749" spans="1:10" x14ac:dyDescent="0.25">
      <c r="A6749" t="s">
        <v>56</v>
      </c>
      <c r="B6749" s="1" t="str">
        <f>HYPERLINK("http://elakohtuudella.fi","elakohtuudella.fi")</f>
        <v>elakohtuudella.fi</v>
      </c>
      <c r="C6749" t="s">
        <v>445</v>
      </c>
      <c r="D6749" t="s">
        <v>823</v>
      </c>
      <c r="F6749">
        <v>6.33511187651368E-9</v>
      </c>
      <c r="G6749">
        <v>14837184</v>
      </c>
      <c r="H6749">
        <v>10641914</v>
      </c>
      <c r="I6749">
        <v>43725462</v>
      </c>
      <c r="J6749">
        <v>4</v>
      </c>
    </row>
    <row r="6750" spans="1:10" x14ac:dyDescent="0.25">
      <c r="A6750" t="s">
        <v>56</v>
      </c>
      <c r="B6750" s="1" t="str">
        <f>HYPERLINK("http://elkohtuudella.fi","elkohtuudella.fi")</f>
        <v>elkohtuudella.fi</v>
      </c>
      <c r="C6750" t="s">
        <v>445</v>
      </c>
      <c r="D6750" t="s">
        <v>823</v>
      </c>
      <c r="J6750">
        <v>4</v>
      </c>
    </row>
    <row r="6751" spans="1:10" x14ac:dyDescent="0.25">
      <c r="A6751" t="s">
        <v>56</v>
      </c>
      <c r="B6751" s="1" t="str">
        <f>HYPERLINK("http://ennakkopaatos.fi","ennakkopaatos.fi")</f>
        <v>ennakkopaatos.fi</v>
      </c>
      <c r="C6751" t="s">
        <v>445</v>
      </c>
      <c r="D6751" t="s">
        <v>823</v>
      </c>
      <c r="J6751">
        <v>2</v>
      </c>
    </row>
    <row r="6752" spans="1:10" x14ac:dyDescent="0.25">
      <c r="A6752" t="s">
        <v>56</v>
      </c>
      <c r="B6752" s="1" t="str">
        <f>HYPERLINK("http://exstream.fi","exstream.fi")</f>
        <v>exstream.fi</v>
      </c>
      <c r="C6752" t="s">
        <v>445</v>
      </c>
      <c r="D6752" t="s">
        <v>823</v>
      </c>
      <c r="J6752">
        <v>2</v>
      </c>
    </row>
    <row r="6753" spans="1:10" x14ac:dyDescent="0.25">
      <c r="A6753" t="s">
        <v>56</v>
      </c>
      <c r="B6753" s="1" t="str">
        <f>HYPERLINK("http://flexivisa.fi","flexivisa.fi")</f>
        <v>flexivisa.fi</v>
      </c>
      <c r="C6753" t="s">
        <v>445</v>
      </c>
      <c r="D6753" t="s">
        <v>823</v>
      </c>
      <c r="J6753">
        <v>2</v>
      </c>
    </row>
    <row r="6754" spans="1:10" x14ac:dyDescent="0.25">
      <c r="A6754" t="s">
        <v>56</v>
      </c>
      <c r="B6754" s="1" t="str">
        <f>HYPERLINK("http://formulalaina.fi","formulalaina.fi")</f>
        <v>formulalaina.fi</v>
      </c>
      <c r="C6754" t="s">
        <v>445</v>
      </c>
      <c r="D6754" t="s">
        <v>823</v>
      </c>
      <c r="J6754">
        <v>2</v>
      </c>
    </row>
    <row r="6755" spans="1:10" x14ac:dyDescent="0.25">
      <c r="A6755" t="s">
        <v>56</v>
      </c>
      <c r="B6755" s="1" t="str">
        <f>HYPERLINK("http://heiprosper.fi","heiprosper.fi")</f>
        <v>heiprosper.fi</v>
      </c>
      <c r="C6755" t="s">
        <v>445</v>
      </c>
      <c r="D6755" t="s">
        <v>823</v>
      </c>
      <c r="J6755">
        <v>2</v>
      </c>
    </row>
    <row r="6756" spans="1:10" x14ac:dyDescent="0.25">
      <c r="A6756" t="s">
        <v>56</v>
      </c>
      <c r="B6756" s="1" t="str">
        <f>HYPERLINK("http://kaarnalaina.fi","kaarnalaina.fi")</f>
        <v>kaarnalaina.fi</v>
      </c>
      <c r="C6756" t="s">
        <v>445</v>
      </c>
      <c r="D6756" t="s">
        <v>823</v>
      </c>
      <c r="F6756">
        <v>5.4735001830666701E-9</v>
      </c>
      <c r="G6756">
        <v>21204019</v>
      </c>
      <c r="H6756">
        <v>10486102</v>
      </c>
      <c r="I6756">
        <v>50809311</v>
      </c>
      <c r="J6756">
        <v>2</v>
      </c>
    </row>
    <row r="6757" spans="1:10" x14ac:dyDescent="0.25">
      <c r="A6757" t="s">
        <v>56</v>
      </c>
      <c r="B6757" s="1" t="str">
        <f>HYPERLINK("http://myyjat.fi","myyjat.fi")</f>
        <v>myyjat.fi</v>
      </c>
      <c r="C6757" t="s">
        <v>445</v>
      </c>
      <c r="D6757" t="s">
        <v>823</v>
      </c>
      <c r="F6757">
        <v>1.34252962692317E-8</v>
      </c>
      <c r="G6757">
        <v>4436822</v>
      </c>
      <c r="H6757">
        <v>10831349</v>
      </c>
      <c r="I6757">
        <v>37362524</v>
      </c>
      <c r="J6757">
        <v>2</v>
      </c>
    </row>
    <row r="6758" spans="1:10" x14ac:dyDescent="0.25">
      <c r="A6758" t="s">
        <v>56</v>
      </c>
      <c r="B6758" s="1" t="str">
        <f>HYPERLINK("http://myyntirahoitus.fi","myyntirahoitus.fi")</f>
        <v>myyntirahoitus.fi</v>
      </c>
      <c r="C6758" t="s">
        <v>445</v>
      </c>
      <c r="D6758" t="s">
        <v>823</v>
      </c>
      <c r="J6758">
        <v>2</v>
      </c>
    </row>
    <row r="6759" spans="1:10" x14ac:dyDescent="0.25">
      <c r="A6759" t="s">
        <v>56</v>
      </c>
      <c r="B6759" s="1" t="str">
        <f>HYPERLINK("http://openbank.fi","openbank.fi")</f>
        <v>openbank.fi</v>
      </c>
      <c r="C6759" t="s">
        <v>445</v>
      </c>
      <c r="D6759" t="s">
        <v>823</v>
      </c>
      <c r="J6759">
        <v>4</v>
      </c>
    </row>
    <row r="6760" spans="1:10" x14ac:dyDescent="0.25">
      <c r="A6760" t="s">
        <v>56</v>
      </c>
      <c r="B6760" s="1" t="str">
        <f>HYPERLINK("http://ostorahoitus.fi","ostorahoitus.fi")</f>
        <v>ostorahoitus.fi</v>
      </c>
      <c r="C6760" t="s">
        <v>445</v>
      </c>
      <c r="D6760" t="s">
        <v>823</v>
      </c>
      <c r="J6760">
        <v>2</v>
      </c>
    </row>
    <row r="6761" spans="1:10" x14ac:dyDescent="0.25">
      <c r="A6761" t="s">
        <v>56</v>
      </c>
      <c r="B6761" s="1" t="str">
        <f>HYPERLINK("http://paapinnalla.fi","paapinnalla.fi")</f>
        <v>paapinnalla.fi</v>
      </c>
      <c r="C6761" t="s">
        <v>445</v>
      </c>
      <c r="D6761" t="s">
        <v>823</v>
      </c>
      <c r="J6761">
        <v>4</v>
      </c>
    </row>
    <row r="6762" spans="1:10" x14ac:dyDescent="0.25">
      <c r="A6762" t="s">
        <v>56</v>
      </c>
      <c r="B6762" s="1" t="str">
        <f>HYPERLINK("http://remonttilaina.fi","remonttilaina.fi")</f>
        <v>remonttilaina.fi</v>
      </c>
      <c r="C6762" t="s">
        <v>445</v>
      </c>
      <c r="D6762" t="s">
        <v>823</v>
      </c>
      <c r="J6762">
        <v>2</v>
      </c>
    </row>
    <row r="6763" spans="1:10" x14ac:dyDescent="0.25">
      <c r="A6763" t="s">
        <v>56</v>
      </c>
      <c r="B6763" s="1" t="str">
        <f>HYPERLINK("http://santander.fi","santander.fi")</f>
        <v>santander.fi</v>
      </c>
      <c r="C6763" t="s">
        <v>445</v>
      </c>
      <c r="D6763" t="s">
        <v>823</v>
      </c>
      <c r="F6763">
        <v>9.24120330421587E-9</v>
      </c>
      <c r="G6763">
        <v>7650162</v>
      </c>
      <c r="H6763">
        <v>14071970</v>
      </c>
      <c r="I6763">
        <v>3207677</v>
      </c>
      <c r="J6763">
        <v>2</v>
      </c>
    </row>
    <row r="6764" spans="1:10" x14ac:dyDescent="0.25">
      <c r="A6764" t="s">
        <v>56</v>
      </c>
      <c r="B6764" s="1" t="str">
        <f>HYPERLINK("http://santander123.fi","santander123.fi")</f>
        <v>santander123.fi</v>
      </c>
      <c r="C6764" t="s">
        <v>445</v>
      </c>
      <c r="D6764" t="s">
        <v>823</v>
      </c>
      <c r="J6764">
        <v>2</v>
      </c>
    </row>
    <row r="6765" spans="1:10" x14ac:dyDescent="0.25">
      <c r="A6765" t="s">
        <v>56</v>
      </c>
      <c r="B6765" s="1" t="str">
        <f>HYPERLINK("http://santanderconsumer.fi","santanderconsumer.fi")</f>
        <v>santanderconsumer.fi</v>
      </c>
      <c r="C6765" t="s">
        <v>445</v>
      </c>
      <c r="D6765" t="s">
        <v>823</v>
      </c>
      <c r="F6765">
        <v>1.80536624482248E-7</v>
      </c>
      <c r="G6765">
        <v>213991</v>
      </c>
      <c r="H6765">
        <v>14241822</v>
      </c>
      <c r="I6765">
        <v>1488795</v>
      </c>
      <c r="J6765">
        <v>2</v>
      </c>
    </row>
    <row r="6766" spans="1:10" x14ac:dyDescent="0.25">
      <c r="A6766" t="s">
        <v>56</v>
      </c>
      <c r="B6766" s="1" t="str">
        <f>HYPERLINK("http://santanderconsumerfinance.fi","santanderconsumerfinance.fi")</f>
        <v>santanderconsumerfinance.fi</v>
      </c>
      <c r="C6766" t="s">
        <v>445</v>
      </c>
      <c r="D6766" t="s">
        <v>823</v>
      </c>
      <c r="J6766">
        <v>2</v>
      </c>
    </row>
    <row r="6767" spans="1:10" x14ac:dyDescent="0.25">
      <c r="A6767" t="s">
        <v>56</v>
      </c>
      <c r="B6767" s="1" t="str">
        <f>HYPERLINK("http://santanderlaina.fi","santanderlaina.fi")</f>
        <v>santanderlaina.fi</v>
      </c>
      <c r="C6767" t="s">
        <v>445</v>
      </c>
      <c r="D6767" t="s">
        <v>823</v>
      </c>
      <c r="F6767">
        <v>5.27144607909363E-9</v>
      </c>
      <c r="G6767">
        <v>23932080</v>
      </c>
      <c r="H6767">
        <v>14071789</v>
      </c>
      <c r="I6767">
        <v>3635918</v>
      </c>
      <c r="J6767">
        <v>2</v>
      </c>
    </row>
    <row r="6768" spans="1:10" x14ac:dyDescent="0.25">
      <c r="A6768" t="s">
        <v>56</v>
      </c>
      <c r="B6768" s="1" t="str">
        <f>HYPERLINK("http://santandermyyjat.fi","santandermyyjat.fi")</f>
        <v>santandermyyjat.fi</v>
      </c>
      <c r="C6768" t="s">
        <v>445</v>
      </c>
      <c r="D6768" t="s">
        <v>823</v>
      </c>
      <c r="J6768">
        <v>2</v>
      </c>
    </row>
    <row r="6769" spans="1:10" x14ac:dyDescent="0.25">
      <c r="A6769" t="s">
        <v>56</v>
      </c>
      <c r="B6769" s="1" t="str">
        <f>HYPERLINK("http://santanderonline.fi","santanderonline.fi")</f>
        <v>santanderonline.fi</v>
      </c>
      <c r="C6769" t="s">
        <v>445</v>
      </c>
      <c r="D6769" t="s">
        <v>823</v>
      </c>
      <c r="J6769">
        <v>2</v>
      </c>
    </row>
    <row r="6770" spans="1:10" x14ac:dyDescent="0.25">
      <c r="A6770" t="s">
        <v>56</v>
      </c>
      <c r="B6770" s="1" t="str">
        <f>HYPERLINK("http://santanderstyleguide.fi","santanderstyleguide.fi")</f>
        <v>santanderstyleguide.fi</v>
      </c>
      <c r="C6770" t="s">
        <v>445</v>
      </c>
      <c r="D6770" t="s">
        <v>823</v>
      </c>
      <c r="J6770">
        <v>2</v>
      </c>
    </row>
    <row r="6771" spans="1:10" x14ac:dyDescent="0.25">
      <c r="A6771" t="s">
        <v>56</v>
      </c>
      <c r="B6771" s="1" t="str">
        <f>HYPERLINK("http://scffinland.fi","scffinland.fi")</f>
        <v>scffinland.fi</v>
      </c>
      <c r="C6771" t="s">
        <v>445</v>
      </c>
      <c r="D6771" t="s">
        <v>823</v>
      </c>
      <c r="J6771">
        <v>2</v>
      </c>
    </row>
    <row r="6772" spans="1:10" x14ac:dyDescent="0.25">
      <c r="A6772" t="s">
        <v>56</v>
      </c>
      <c r="B6772" s="1" t="str">
        <f>HYPERLINK("http://shft.fi","shft.fi")</f>
        <v>shft.fi</v>
      </c>
      <c r="C6772" t="s">
        <v>445</v>
      </c>
      <c r="D6772" t="s">
        <v>823</v>
      </c>
      <c r="F6772">
        <v>5.9052909134496398E-9</v>
      </c>
      <c r="G6772">
        <v>17323414</v>
      </c>
      <c r="H6772">
        <v>10596264</v>
      </c>
      <c r="I6772">
        <v>45123328</v>
      </c>
      <c r="J6772">
        <v>2</v>
      </c>
    </row>
    <row r="6773" spans="1:10" x14ac:dyDescent="0.25">
      <c r="A6773" t="s">
        <v>56</v>
      </c>
      <c r="B6773" s="1" t="str">
        <f>HYPERLINK("http://teamsantander.fi","teamsantander.fi")</f>
        <v>teamsantander.fi</v>
      </c>
      <c r="C6773" t="s">
        <v>445</v>
      </c>
      <c r="D6773" t="s">
        <v>823</v>
      </c>
      <c r="J6773">
        <v>2</v>
      </c>
    </row>
    <row r="6774" spans="1:10" x14ac:dyDescent="0.25">
      <c r="A6774" t="s">
        <v>56</v>
      </c>
      <c r="B6774" s="1" t="str">
        <f>HYPERLINK("http://vakuudetonlaina.fi","vakuudetonlaina.fi")</f>
        <v>vakuudetonlaina.fi</v>
      </c>
      <c r="C6774" t="s">
        <v>445</v>
      </c>
      <c r="D6774" t="s">
        <v>823</v>
      </c>
      <c r="J6774">
        <v>2</v>
      </c>
    </row>
    <row r="6775" spans="1:10" x14ac:dyDescent="0.25">
      <c r="A6775" t="s">
        <v>56</v>
      </c>
      <c r="B6775" s="1" t="str">
        <f>HYPERLINK("http://venelaina.fi","venelaina.fi")</f>
        <v>venelaina.fi</v>
      </c>
      <c r="C6775" t="s">
        <v>445</v>
      </c>
      <c r="D6775" t="s">
        <v>823</v>
      </c>
      <c r="J6775">
        <v>2</v>
      </c>
    </row>
    <row r="6776" spans="1:10" x14ac:dyDescent="0.25">
      <c r="A6776" t="s">
        <v>56</v>
      </c>
      <c r="B6776" s="1" t="str">
        <f>HYPERLINK("http://webbiauto.fi","webbiauto.fi")</f>
        <v>webbiauto.fi</v>
      </c>
      <c r="C6776" t="s">
        <v>445</v>
      </c>
      <c r="D6776" t="s">
        <v>823</v>
      </c>
      <c r="J6776">
        <v>2</v>
      </c>
    </row>
    <row r="6777" spans="1:10" x14ac:dyDescent="0.25">
      <c r="A6777" t="s">
        <v>56</v>
      </c>
      <c r="B6777" s="1" t="str">
        <f>HYPERLINK("http://zinia.fi","zinia.fi")</f>
        <v>zinia.fi</v>
      </c>
      <c r="C6777" t="s">
        <v>445</v>
      </c>
      <c r="D6777" t="s">
        <v>823</v>
      </c>
      <c r="J6777">
        <v>2</v>
      </c>
    </row>
    <row r="6778" spans="1:10" x14ac:dyDescent="0.25">
      <c r="A6778" t="s">
        <v>56</v>
      </c>
      <c r="B6778" s="1" t="str">
        <f>HYPERLINK("http://ebury.fr","ebury.fr")</f>
        <v>ebury.fr</v>
      </c>
      <c r="C6778" t="s">
        <v>446</v>
      </c>
      <c r="D6778" t="s">
        <v>824</v>
      </c>
      <c r="F6778">
        <v>8.2971374273987205E-9</v>
      </c>
      <c r="G6778">
        <v>9266694</v>
      </c>
      <c r="H6778">
        <v>12136802</v>
      </c>
      <c r="I6778">
        <v>24958712</v>
      </c>
      <c r="J6778">
        <v>3</v>
      </c>
    </row>
    <row r="6779" spans="1:10" x14ac:dyDescent="0.25">
      <c r="A6779" t="s">
        <v>56</v>
      </c>
      <c r="B6779" s="1" t="str">
        <f>HYPERLINK("http://psabanque.fr","psabanque.fr")</f>
        <v>psabanque.fr</v>
      </c>
      <c r="C6779" t="s">
        <v>446</v>
      </c>
      <c r="D6779" t="s">
        <v>824</v>
      </c>
      <c r="F6779">
        <v>4.5480902776071899E-8</v>
      </c>
      <c r="G6779">
        <v>1035110</v>
      </c>
      <c r="H6779">
        <v>14041371</v>
      </c>
      <c r="I6779">
        <v>3907323</v>
      </c>
      <c r="J6779">
        <v>5</v>
      </c>
    </row>
    <row r="6780" spans="1:10" x14ac:dyDescent="0.25">
      <c r="A6780" t="s">
        <v>56</v>
      </c>
      <c r="B6780" s="1" t="str">
        <f>HYPERLINK("http://santanderconsumer.fr","santanderconsumer.fr")</f>
        <v>santanderconsumer.fr</v>
      </c>
      <c r="C6780" t="s">
        <v>446</v>
      </c>
      <c r="D6780" t="s">
        <v>824</v>
      </c>
      <c r="F6780">
        <v>3.6838073328083001E-8</v>
      </c>
      <c r="G6780">
        <v>1419338</v>
      </c>
      <c r="H6780">
        <v>12847538</v>
      </c>
      <c r="I6780">
        <v>14304902</v>
      </c>
      <c r="J6780">
        <v>2</v>
      </c>
    </row>
    <row r="6781" spans="1:10" x14ac:dyDescent="0.25">
      <c r="A6781" t="s">
        <v>56</v>
      </c>
      <c r="B6781" s="1" t="str">
        <f>HYPERLINK("http://ebury.gr","ebury.gr")</f>
        <v>ebury.gr</v>
      </c>
      <c r="C6781" t="s">
        <v>447</v>
      </c>
      <c r="D6781" t="s">
        <v>825</v>
      </c>
      <c r="F6781">
        <v>8.5241017143528493E-9</v>
      </c>
      <c r="G6781">
        <v>8798341</v>
      </c>
      <c r="H6781">
        <v>12203671</v>
      </c>
      <c r="I6781">
        <v>23228362</v>
      </c>
      <c r="J6781">
        <v>3</v>
      </c>
    </row>
    <row r="6782" spans="1:10" x14ac:dyDescent="0.25">
      <c r="A6782" t="s">
        <v>56</v>
      </c>
      <c r="B6782" s="1" t="str">
        <f>HYPERLINK("http://ebury.hk","ebury.hk")</f>
        <v>ebury.hk</v>
      </c>
      <c r="C6782" t="s">
        <v>450</v>
      </c>
      <c r="D6782" t="s">
        <v>827</v>
      </c>
      <c r="F6782">
        <v>8.0576607679564503E-9</v>
      </c>
      <c r="G6782">
        <v>9816333</v>
      </c>
      <c r="H6782">
        <v>12552063</v>
      </c>
      <c r="I6782">
        <v>16809314</v>
      </c>
      <c r="J6782">
        <v>3</v>
      </c>
    </row>
    <row r="6783" spans="1:10" x14ac:dyDescent="0.25">
      <c r="A6783" t="s">
        <v>56</v>
      </c>
      <c r="B6783" s="1" t="str">
        <f>HYPERLINK("http://ebury.ie","ebury.ie")</f>
        <v>ebury.ie</v>
      </c>
      <c r="C6783" t="s">
        <v>455</v>
      </c>
      <c r="D6783" t="s">
        <v>832</v>
      </c>
      <c r="F6783">
        <v>6.7528533952491896E-9</v>
      </c>
      <c r="G6783">
        <v>13119435</v>
      </c>
      <c r="H6783">
        <v>11940301</v>
      </c>
      <c r="I6783">
        <v>29204299</v>
      </c>
      <c r="J6783">
        <v>3</v>
      </c>
    </row>
    <row r="6784" spans="1:10" x14ac:dyDescent="0.25">
      <c r="A6784" t="s">
        <v>56</v>
      </c>
      <c r="B6784" s="1" t="str">
        <f>HYPERLINK("http://banquepsafinance.it","banquepsafinance.it")</f>
        <v>banquepsafinance.it</v>
      </c>
      <c r="C6784" t="s">
        <v>459</v>
      </c>
      <c r="D6784" t="s">
        <v>835</v>
      </c>
      <c r="F6784">
        <v>5.5143151641518403E-9</v>
      </c>
      <c r="G6784">
        <v>20746836</v>
      </c>
      <c r="H6784">
        <v>8822832</v>
      </c>
      <c r="I6784">
        <v>69294784</v>
      </c>
      <c r="J6784">
        <v>3</v>
      </c>
    </row>
    <row r="6785" spans="1:10" x14ac:dyDescent="0.25">
      <c r="A6785" t="s">
        <v>56</v>
      </c>
      <c r="B6785" s="1" t="str">
        <f>HYPERLINK("http://ebury.it","ebury.it")</f>
        <v>ebury.it</v>
      </c>
      <c r="C6785" t="s">
        <v>459</v>
      </c>
      <c r="D6785" t="s">
        <v>835</v>
      </c>
      <c r="F6785">
        <v>1.5820736885591302E-8</v>
      </c>
      <c r="G6785">
        <v>3593779</v>
      </c>
      <c r="H6785">
        <v>12633380</v>
      </c>
      <c r="I6785">
        <v>15955541</v>
      </c>
      <c r="J6785">
        <v>3</v>
      </c>
    </row>
    <row r="6786" spans="1:10" x14ac:dyDescent="0.25">
      <c r="A6786" t="s">
        <v>56</v>
      </c>
      <c r="B6786" s="1" t="str">
        <f>HYPERLINK("http://santanderconsumer.it","santanderconsumer.it")</f>
        <v>santanderconsumer.it</v>
      </c>
      <c r="C6786" t="s">
        <v>459</v>
      </c>
      <c r="D6786" t="s">
        <v>835</v>
      </c>
      <c r="E6786">
        <v>479868</v>
      </c>
      <c r="F6786">
        <v>1.3776491697658799E-7</v>
      </c>
      <c r="G6786">
        <v>282859</v>
      </c>
      <c r="H6786">
        <v>16997142</v>
      </c>
      <c r="I6786">
        <v>94273</v>
      </c>
      <c r="J6786">
        <v>3</v>
      </c>
    </row>
    <row r="6787" spans="1:10" x14ac:dyDescent="0.25">
      <c r="A6787" t="s">
        <v>56</v>
      </c>
      <c r="B6787" s="1" t="str">
        <f>HYPERLINK("http://santanderconsumerbank.it","santanderconsumerbank.it")</f>
        <v>santanderconsumerbank.it</v>
      </c>
      <c r="C6787" t="s">
        <v>459</v>
      </c>
      <c r="D6787" t="s">
        <v>835</v>
      </c>
      <c r="F6787">
        <v>4.4913521655997703E-9</v>
      </c>
      <c r="G6787">
        <v>60296996</v>
      </c>
      <c r="H6787">
        <v>12088798</v>
      </c>
      <c r="I6787">
        <v>26285792</v>
      </c>
      <c r="J6787">
        <v>5</v>
      </c>
    </row>
    <row r="6788" spans="1:10" x14ac:dyDescent="0.25">
      <c r="A6788" t="s">
        <v>56</v>
      </c>
      <c r="B6788" s="1" t="str">
        <f>HYPERLINK("http://ebury.lu","ebury.lu")</f>
        <v>ebury.lu</v>
      </c>
      <c r="C6788" t="s">
        <v>547</v>
      </c>
      <c r="D6788" t="s">
        <v>904</v>
      </c>
      <c r="F6788">
        <v>7.7895947541120203E-9</v>
      </c>
      <c r="G6788">
        <v>10346905</v>
      </c>
      <c r="H6788">
        <v>11986709</v>
      </c>
      <c r="I6788">
        <v>28417754</v>
      </c>
      <c r="J6788">
        <v>3</v>
      </c>
    </row>
    <row r="6789" spans="1:10" x14ac:dyDescent="0.25">
      <c r="A6789" t="s">
        <v>56</v>
      </c>
      <c r="B6789" s="1" t="str">
        <f>HYPERLINK("http://santanderassetmanagement.lu","santanderassetmanagement.lu")</f>
        <v>santanderassetmanagement.lu</v>
      </c>
      <c r="C6789" t="s">
        <v>547</v>
      </c>
      <c r="D6789" t="s">
        <v>904</v>
      </c>
      <c r="F6789">
        <v>7.1970025333387104E-9</v>
      </c>
      <c r="G6789">
        <v>11748828</v>
      </c>
      <c r="H6789">
        <v>12204801</v>
      </c>
      <c r="I6789">
        <v>23195365</v>
      </c>
      <c r="J6789">
        <v>4</v>
      </c>
    </row>
    <row r="6790" spans="1:10" x14ac:dyDescent="0.25">
      <c r="A6790" t="s">
        <v>56</v>
      </c>
      <c r="B6790" s="1" t="str">
        <f>HYPERLINK("http://bsan.mobi","bsan.mobi")</f>
        <v>bsan.mobi</v>
      </c>
      <c r="C6790" t="s">
        <v>532</v>
      </c>
      <c r="E6790">
        <v>500201</v>
      </c>
      <c r="F6790">
        <v>8.6028169931785001E-9</v>
      </c>
      <c r="G6790">
        <v>8651427</v>
      </c>
      <c r="H6790">
        <v>11051886</v>
      </c>
      <c r="I6790">
        <v>32776046</v>
      </c>
      <c r="J6790">
        <v>2</v>
      </c>
    </row>
    <row r="6791" spans="1:10" x14ac:dyDescent="0.25">
      <c r="A6791" t="s">
        <v>56</v>
      </c>
      <c r="B6791" s="1" t="str">
        <f>HYPERLINK("http://bancos3mexico.com.mx","bancos3mexico.com.mx")</f>
        <v>bancos3mexico.com.mx</v>
      </c>
      <c r="C6791" t="s">
        <v>471</v>
      </c>
      <c r="D6791" t="s">
        <v>847</v>
      </c>
      <c r="J6791">
        <v>4</v>
      </c>
    </row>
    <row r="6792" spans="1:10" x14ac:dyDescent="0.25">
      <c r="A6792" t="s">
        <v>56</v>
      </c>
      <c r="B6792" s="1" t="str">
        <f>HYPERLINK("http://bancosantarder.com.mx","bancosantarder.com.mx")</f>
        <v>bancosantarder.com.mx</v>
      </c>
      <c r="C6792" t="s">
        <v>471</v>
      </c>
      <c r="D6792" t="s">
        <v>847</v>
      </c>
      <c r="J6792">
        <v>3</v>
      </c>
    </row>
    <row r="6793" spans="1:10" x14ac:dyDescent="0.25">
      <c r="A6793" t="s">
        <v>56</v>
      </c>
      <c r="B6793" s="1" t="str">
        <f>HYPERLINK("http://mitec.com.mx","mitec.com.mx")</f>
        <v>mitec.com.mx</v>
      </c>
      <c r="C6793" t="s">
        <v>471</v>
      </c>
      <c r="D6793" t="s">
        <v>847</v>
      </c>
      <c r="E6793">
        <v>159517</v>
      </c>
      <c r="F6793">
        <v>3.5551797731053402E-8</v>
      </c>
      <c r="G6793">
        <v>1464439</v>
      </c>
      <c r="H6793">
        <v>12908273</v>
      </c>
      <c r="I6793">
        <v>13806089</v>
      </c>
      <c r="J6793">
        <v>4</v>
      </c>
    </row>
    <row r="6794" spans="1:10" x14ac:dyDescent="0.25">
      <c r="A6794" t="s">
        <v>56</v>
      </c>
      <c r="B6794" s="1" t="str">
        <f>HYPERLINK("http://samassetmanagement.com.mx","samassetmanagement.com.mx")</f>
        <v>samassetmanagement.com.mx</v>
      </c>
      <c r="C6794" t="s">
        <v>471</v>
      </c>
      <c r="D6794" t="s">
        <v>847</v>
      </c>
      <c r="F6794">
        <v>1.0788591781801301E-8</v>
      </c>
      <c r="G6794">
        <v>6029707</v>
      </c>
      <c r="H6794">
        <v>12426822</v>
      </c>
      <c r="I6794">
        <v>18351531</v>
      </c>
      <c r="J6794">
        <v>3</v>
      </c>
    </row>
    <row r="6795" spans="1:10" x14ac:dyDescent="0.25">
      <c r="A6795" t="s">
        <v>56</v>
      </c>
      <c r="B6795" s="1" t="str">
        <f>HYPERLINK("http://sanrander.com.mx","sanrander.com.mx")</f>
        <v>sanrander.com.mx</v>
      </c>
      <c r="C6795" t="s">
        <v>471</v>
      </c>
      <c r="D6795" t="s">
        <v>847</v>
      </c>
      <c r="J6795">
        <v>4</v>
      </c>
    </row>
    <row r="6796" spans="1:10" x14ac:dyDescent="0.25">
      <c r="A6796" t="s">
        <v>56</v>
      </c>
      <c r="B6796" s="1" t="str">
        <f>HYPERLINK("http://santander.com.mx","santander.com.mx")</f>
        <v>santander.com.mx</v>
      </c>
      <c r="C6796" t="s">
        <v>471</v>
      </c>
      <c r="D6796" t="s">
        <v>847</v>
      </c>
      <c r="E6796">
        <v>21754</v>
      </c>
      <c r="F6796">
        <v>1.6319273120010399E-7</v>
      </c>
      <c r="G6796">
        <v>237832</v>
      </c>
      <c r="H6796">
        <v>14578508</v>
      </c>
      <c r="I6796">
        <v>714806</v>
      </c>
      <c r="J6796">
        <v>2</v>
      </c>
    </row>
    <row r="6797" spans="1:10" x14ac:dyDescent="0.25">
      <c r="A6797" t="s">
        <v>56</v>
      </c>
      <c r="B6797" s="1" t="str">
        <f>HYPERLINK("http://santandermexico.com.mx","santandermexico.com.mx")</f>
        <v>santandermexico.com.mx</v>
      </c>
      <c r="C6797" t="s">
        <v>471</v>
      </c>
      <c r="D6797" t="s">
        <v>847</v>
      </c>
      <c r="J6797">
        <v>3</v>
      </c>
    </row>
    <row r="6798" spans="1:10" x14ac:dyDescent="0.25">
      <c r="A6798" t="s">
        <v>56</v>
      </c>
      <c r="B6798" s="1" t="str">
        <f>HYPERLINK("http://travelclubsantander.com.mx","travelclubsantander.com.mx")</f>
        <v>travelclubsantander.com.mx</v>
      </c>
      <c r="C6798" t="s">
        <v>471</v>
      </c>
      <c r="D6798" t="s">
        <v>847</v>
      </c>
      <c r="J6798">
        <v>4</v>
      </c>
    </row>
    <row r="6799" spans="1:10" x14ac:dyDescent="0.25">
      <c r="A6799" t="s">
        <v>56</v>
      </c>
      <c r="B6799" s="1" t="str">
        <f>HYPERLINK("http://tuiio.com.mx","tuiio.com.mx")</f>
        <v>tuiio.com.mx</v>
      </c>
      <c r="C6799" t="s">
        <v>471</v>
      </c>
      <c r="D6799" t="s">
        <v>847</v>
      </c>
      <c r="F6799">
        <v>7.6623859525565895E-9</v>
      </c>
      <c r="G6799">
        <v>10659367</v>
      </c>
      <c r="H6799">
        <v>12615022</v>
      </c>
      <c r="I6799">
        <v>16141661</v>
      </c>
      <c r="J6799">
        <v>4</v>
      </c>
    </row>
    <row r="6800" spans="1:10" x14ac:dyDescent="0.25">
      <c r="A6800" t="s">
        <v>56</v>
      </c>
      <c r="B6800" s="1" t="str">
        <f>HYPERLINK("http://datamit.net","datamit.net")</f>
        <v>datamit.net</v>
      </c>
      <c r="C6800" t="s">
        <v>474</v>
      </c>
      <c r="J6800">
        <v>4</v>
      </c>
    </row>
    <row r="6801" spans="1:10" x14ac:dyDescent="0.25">
      <c r="A6801" t="s">
        <v>56</v>
      </c>
      <c r="B6801" s="1" t="str">
        <f>HYPERLINK("http://waypointbank.net","waypointbank.net")</f>
        <v>waypointbank.net</v>
      </c>
      <c r="C6801" t="s">
        <v>474</v>
      </c>
      <c r="F6801">
        <v>4.6307535390084003E-9</v>
      </c>
      <c r="G6801">
        <v>45393701</v>
      </c>
      <c r="H6801">
        <v>9885283</v>
      </c>
      <c r="I6801">
        <v>61851277</v>
      </c>
      <c r="J6801">
        <v>4</v>
      </c>
    </row>
    <row r="6802" spans="1:10" x14ac:dyDescent="0.25">
      <c r="A6802" t="s">
        <v>56</v>
      </c>
      <c r="B6802" s="1" t="str">
        <f>HYPERLINK("http://ebury.nl","ebury.nl")</f>
        <v>ebury.nl</v>
      </c>
      <c r="C6802" t="s">
        <v>477</v>
      </c>
      <c r="D6802" t="s">
        <v>852</v>
      </c>
      <c r="F6802">
        <v>1.12443422198264E-8</v>
      </c>
      <c r="G6802">
        <v>5682166</v>
      </c>
      <c r="H6802">
        <v>12893259</v>
      </c>
      <c r="I6802">
        <v>13917428</v>
      </c>
      <c r="J6802">
        <v>3</v>
      </c>
    </row>
    <row r="6803" spans="1:10" x14ac:dyDescent="0.25">
      <c r="A6803" t="s">
        <v>56</v>
      </c>
      <c r="B6803" s="1" t="str">
        <f>HYPERLINK("http://santander.nl","santander.nl")</f>
        <v>santander.nl</v>
      </c>
      <c r="C6803" t="s">
        <v>477</v>
      </c>
      <c r="D6803" t="s">
        <v>852</v>
      </c>
      <c r="E6803">
        <v>454230</v>
      </c>
      <c r="F6803">
        <v>1.22562666799153E-7</v>
      </c>
      <c r="G6803">
        <v>322111</v>
      </c>
      <c r="H6803">
        <v>16873492</v>
      </c>
      <c r="I6803">
        <v>143975</v>
      </c>
      <c r="J6803">
        <v>2</v>
      </c>
    </row>
    <row r="6804" spans="1:10" x14ac:dyDescent="0.25">
      <c r="A6804" t="s">
        <v>56</v>
      </c>
      <c r="B6804" s="1" t="str">
        <f>HYPERLINK("http://bilkjopet.no","bilkjopet.no")</f>
        <v>bilkjopet.no</v>
      </c>
      <c r="C6804" t="s">
        <v>478</v>
      </c>
      <c r="D6804" t="s">
        <v>853</v>
      </c>
      <c r="J6804">
        <v>2</v>
      </c>
    </row>
    <row r="6805" spans="1:10" x14ac:dyDescent="0.25">
      <c r="A6805" t="s">
        <v>56</v>
      </c>
      <c r="B6805" s="1" t="str">
        <f>HYPERLINK("http://manchesterunitedkredittkort.no","manchesterunitedkredittkort.no")</f>
        <v>manchesterunitedkredittkort.no</v>
      </c>
      <c r="C6805" t="s">
        <v>478</v>
      </c>
      <c r="D6805" t="s">
        <v>853</v>
      </c>
      <c r="F6805">
        <v>4.8725113718165104E-9</v>
      </c>
      <c r="G6805">
        <v>33321874</v>
      </c>
      <c r="H6805">
        <v>10048915</v>
      </c>
      <c r="I6805">
        <v>60426871</v>
      </c>
      <c r="J6805">
        <v>2</v>
      </c>
    </row>
    <row r="6806" spans="1:10" x14ac:dyDescent="0.25">
      <c r="A6806" t="s">
        <v>56</v>
      </c>
      <c r="B6806" s="1" t="str">
        <f>HYPERLINK("http://santander.no","santander.no")</f>
        <v>santander.no</v>
      </c>
      <c r="C6806" t="s">
        <v>478</v>
      </c>
      <c r="D6806" t="s">
        <v>853</v>
      </c>
      <c r="F6806">
        <v>4.1242214210113797E-8</v>
      </c>
      <c r="G6806">
        <v>1226566</v>
      </c>
      <c r="H6806">
        <v>14072279</v>
      </c>
      <c r="I6806">
        <v>3123334</v>
      </c>
      <c r="J6806">
        <v>2</v>
      </c>
    </row>
    <row r="6807" spans="1:10" x14ac:dyDescent="0.25">
      <c r="A6807" t="s">
        <v>56</v>
      </c>
      <c r="B6807" s="1" t="str">
        <f>HYPERLINK("http://santander24.no","santander24.no")</f>
        <v>santander24.no</v>
      </c>
      <c r="C6807" t="s">
        <v>478</v>
      </c>
      <c r="D6807" t="s">
        <v>853</v>
      </c>
      <c r="F6807">
        <v>4.9848368553143498E-9</v>
      </c>
      <c r="G6807">
        <v>29815198</v>
      </c>
      <c r="H6807">
        <v>9349222</v>
      </c>
      <c r="I6807">
        <v>67991649</v>
      </c>
      <c r="J6807">
        <v>2</v>
      </c>
    </row>
    <row r="6808" spans="1:10" x14ac:dyDescent="0.25">
      <c r="A6808" t="s">
        <v>56</v>
      </c>
      <c r="B6808" s="1" t="str">
        <f>HYPERLINK("http://santanderconsumer.no","santanderconsumer.no")</f>
        <v>santanderconsumer.no</v>
      </c>
      <c r="C6808" t="s">
        <v>478</v>
      </c>
      <c r="D6808" t="s">
        <v>853</v>
      </c>
      <c r="E6808">
        <v>293198</v>
      </c>
      <c r="F6808">
        <v>1.71547779305655E-7</v>
      </c>
      <c r="G6808">
        <v>226121</v>
      </c>
      <c r="H6808">
        <v>14434549</v>
      </c>
      <c r="I6808">
        <v>1069872</v>
      </c>
      <c r="J6808">
        <v>2</v>
      </c>
    </row>
    <row r="6809" spans="1:10" x14ac:dyDescent="0.25">
      <c r="A6809" t="s">
        <v>56</v>
      </c>
      <c r="B6809" s="1" t="str">
        <f>HYPERLINK("http://santanderkort.no","santanderkort.no")</f>
        <v>santanderkort.no</v>
      </c>
      <c r="C6809" t="s">
        <v>478</v>
      </c>
      <c r="D6809" t="s">
        <v>853</v>
      </c>
      <c r="F6809">
        <v>4.7016088321631602E-9</v>
      </c>
      <c r="G6809">
        <v>41151429</v>
      </c>
      <c r="H6809">
        <v>10357560</v>
      </c>
      <c r="I6809">
        <v>55579393</v>
      </c>
      <c r="J6809">
        <v>2</v>
      </c>
    </row>
    <row r="6810" spans="1:10" x14ac:dyDescent="0.25">
      <c r="A6810" t="s">
        <v>56</v>
      </c>
      <c r="B6810" s="1" t="str">
        <f>HYPERLINK("http://santanderkredittkort.no","santanderkredittkort.no")</f>
        <v>santanderkredittkort.no</v>
      </c>
      <c r="C6810" t="s">
        <v>478</v>
      </c>
      <c r="D6810" t="s">
        <v>853</v>
      </c>
      <c r="F6810">
        <v>1.5104262517174599E-8</v>
      </c>
      <c r="G6810">
        <v>3806333</v>
      </c>
      <c r="H6810">
        <v>12561558</v>
      </c>
      <c r="I6810">
        <v>16696599</v>
      </c>
      <c r="J6810">
        <v>2</v>
      </c>
    </row>
    <row r="6811" spans="1:10" x14ac:dyDescent="0.25">
      <c r="A6811" t="s">
        <v>56</v>
      </c>
      <c r="B6811" s="1" t="str">
        <f>HYPERLINK("http://santanderonline.no","santanderonline.no")</f>
        <v>santanderonline.no</v>
      </c>
      <c r="C6811" t="s">
        <v>478</v>
      </c>
      <c r="D6811" t="s">
        <v>853</v>
      </c>
      <c r="F6811">
        <v>6.5375944822922404E-9</v>
      </c>
      <c r="G6811">
        <v>13923098</v>
      </c>
      <c r="H6811">
        <v>10696786</v>
      </c>
      <c r="I6811">
        <v>42372297</v>
      </c>
      <c r="J6811">
        <v>2</v>
      </c>
    </row>
    <row r="6812" spans="1:10" x14ac:dyDescent="0.25">
      <c r="A6812" t="s">
        <v>56</v>
      </c>
      <c r="B6812" s="1" t="str">
        <f>HYPERLINK("http://shakebil.no","shakebil.no")</f>
        <v>shakebil.no</v>
      </c>
      <c r="C6812" t="s">
        <v>478</v>
      </c>
      <c r="D6812" t="s">
        <v>853</v>
      </c>
      <c r="J6812">
        <v>2</v>
      </c>
    </row>
    <row r="6813" spans="1:10" x14ac:dyDescent="0.25">
      <c r="A6813" t="s">
        <v>56</v>
      </c>
      <c r="B6813" s="1" t="str">
        <f>HYPERLINK("http://shft.no","shft.no")</f>
        <v>shft.no</v>
      </c>
      <c r="C6813" t="s">
        <v>478</v>
      </c>
      <c r="D6813" t="s">
        <v>853</v>
      </c>
      <c r="F6813">
        <v>1.22173107347839E-8</v>
      </c>
      <c r="G6813">
        <v>5040634</v>
      </c>
      <c r="H6813">
        <v>12870782</v>
      </c>
      <c r="I6813">
        <v>14063541</v>
      </c>
      <c r="J6813">
        <v>2</v>
      </c>
    </row>
    <row r="6814" spans="1:10" x14ac:dyDescent="0.25">
      <c r="A6814" t="s">
        <v>56</v>
      </c>
      <c r="B6814" s="1" t="str">
        <f>HYPERLINK("http://unitedkort.no","unitedkort.no")</f>
        <v>unitedkort.no</v>
      </c>
      <c r="C6814" t="s">
        <v>478</v>
      </c>
      <c r="D6814" t="s">
        <v>853</v>
      </c>
      <c r="J6814">
        <v>2</v>
      </c>
    </row>
    <row r="6815" spans="1:10" x14ac:dyDescent="0.25">
      <c r="A6815" t="s">
        <v>56</v>
      </c>
      <c r="B6815" s="1" t="str">
        <f>HYPERLINK("http://scb.nu","scb.nu")</f>
        <v>scb.nu</v>
      </c>
      <c r="C6815" t="s">
        <v>533</v>
      </c>
      <c r="D6815" t="s">
        <v>896</v>
      </c>
      <c r="E6815">
        <v>289764</v>
      </c>
      <c r="F6815">
        <v>8.1903342776501505E-8</v>
      </c>
      <c r="G6815">
        <v>509485</v>
      </c>
      <c r="H6815">
        <v>12087679</v>
      </c>
      <c r="I6815">
        <v>26343239</v>
      </c>
      <c r="J6815">
        <v>2</v>
      </c>
    </row>
    <row r="6816" spans="1:10" x14ac:dyDescent="0.25">
      <c r="A6816" t="s">
        <v>56</v>
      </c>
      <c r="B6816" s="1" t="str">
        <f>HYPERLINK("http://santander.com.pe","santander.com.pe")</f>
        <v>santander.com.pe</v>
      </c>
      <c r="C6816" t="s">
        <v>483</v>
      </c>
      <c r="D6816" t="s">
        <v>857</v>
      </c>
      <c r="F6816">
        <v>1.5672282125152199E-8</v>
      </c>
      <c r="G6816">
        <v>3635099</v>
      </c>
      <c r="H6816">
        <v>14077618</v>
      </c>
      <c r="I6816">
        <v>2861810</v>
      </c>
      <c r="J6816">
        <v>3</v>
      </c>
    </row>
    <row r="6817" spans="1:10" x14ac:dyDescent="0.25">
      <c r="A6817" t="s">
        <v>56</v>
      </c>
      <c r="B6817" s="1" t="str">
        <f>HYPERLINK("http://neoauto.pe","neoauto.pe")</f>
        <v>neoauto.pe</v>
      </c>
      <c r="C6817" t="s">
        <v>483</v>
      </c>
      <c r="D6817" t="s">
        <v>857</v>
      </c>
      <c r="F6817">
        <v>1.57859100235498E-8</v>
      </c>
      <c r="G6817">
        <v>3603476</v>
      </c>
      <c r="H6817">
        <v>12871109</v>
      </c>
      <c r="I6817">
        <v>14061219</v>
      </c>
      <c r="J6817">
        <v>4</v>
      </c>
    </row>
    <row r="6818" spans="1:10" x14ac:dyDescent="0.25">
      <c r="A6818" t="s">
        <v>56</v>
      </c>
      <c r="B6818" s="1" t="str">
        <f>HYPERLINK("http://bzwbk.pl","bzwbk.pl")</f>
        <v>bzwbk.pl</v>
      </c>
      <c r="C6818" t="s">
        <v>486</v>
      </c>
      <c r="D6818" t="s">
        <v>860</v>
      </c>
      <c r="E6818">
        <v>237108</v>
      </c>
      <c r="F6818">
        <v>1.3145431829210701E-7</v>
      </c>
      <c r="G6818">
        <v>297445</v>
      </c>
      <c r="H6818">
        <v>14510452</v>
      </c>
      <c r="I6818">
        <v>823753</v>
      </c>
      <c r="J6818">
        <v>4</v>
      </c>
    </row>
    <row r="6819" spans="1:10" x14ac:dyDescent="0.25">
      <c r="A6819" t="s">
        <v>56</v>
      </c>
      <c r="B6819" s="1" t="str">
        <f>HYPERLINK("http://ebury.pl","ebury.pl")</f>
        <v>ebury.pl</v>
      </c>
      <c r="C6819" t="s">
        <v>486</v>
      </c>
      <c r="D6819" t="s">
        <v>860</v>
      </c>
      <c r="F6819">
        <v>1.45064941095018E-8</v>
      </c>
      <c r="G6819">
        <v>4011337</v>
      </c>
      <c r="H6819">
        <v>12165200</v>
      </c>
      <c r="I6819">
        <v>24194409</v>
      </c>
      <c r="J6819">
        <v>3</v>
      </c>
    </row>
    <row r="6820" spans="1:10" x14ac:dyDescent="0.25">
      <c r="A6820" t="s">
        <v>56</v>
      </c>
      <c r="B6820" s="1" t="str">
        <f>HYPERLINK("http://eraty.pl","eraty.pl")</f>
        <v>eraty.pl</v>
      </c>
      <c r="C6820" t="s">
        <v>486</v>
      </c>
      <c r="D6820" t="s">
        <v>860</v>
      </c>
      <c r="E6820">
        <v>769496</v>
      </c>
      <c r="F6820">
        <v>2.8178165402641699E-7</v>
      </c>
      <c r="G6820">
        <v>131968</v>
      </c>
      <c r="H6820">
        <v>12775895</v>
      </c>
      <c r="I6820">
        <v>14794927</v>
      </c>
      <c r="J6820">
        <v>2</v>
      </c>
    </row>
    <row r="6821" spans="1:10" x14ac:dyDescent="0.25">
      <c r="A6821" t="s">
        <v>56</v>
      </c>
      <c r="B6821" s="1" t="str">
        <f>HYPERLINK("http://produban.pl","produban.pl")</f>
        <v>produban.pl</v>
      </c>
      <c r="C6821" t="s">
        <v>486</v>
      </c>
      <c r="D6821" t="s">
        <v>860</v>
      </c>
      <c r="E6821">
        <v>614323</v>
      </c>
      <c r="F6821">
        <v>4.4438539297416203E-9</v>
      </c>
      <c r="G6821">
        <v>78384742</v>
      </c>
      <c r="H6821">
        <v>10546614</v>
      </c>
      <c r="I6821">
        <v>46879968</v>
      </c>
      <c r="J6821">
        <v>2</v>
      </c>
    </row>
    <row r="6822" spans="1:10" x14ac:dyDescent="0.25">
      <c r="A6822" t="s">
        <v>56</v>
      </c>
      <c r="B6822" s="1" t="str">
        <f>HYPERLINK("http://santander.pl","santander.pl")</f>
        <v>santander.pl</v>
      </c>
      <c r="C6822" t="s">
        <v>486</v>
      </c>
      <c r="D6822" t="s">
        <v>860</v>
      </c>
      <c r="E6822">
        <v>72958</v>
      </c>
      <c r="F6822">
        <v>6.0169865715002403E-7</v>
      </c>
      <c r="G6822">
        <v>63558</v>
      </c>
      <c r="H6822">
        <v>17052744</v>
      </c>
      <c r="I6822">
        <v>75811</v>
      </c>
      <c r="J6822">
        <v>2</v>
      </c>
    </row>
    <row r="6823" spans="1:10" x14ac:dyDescent="0.25">
      <c r="A6823" t="s">
        <v>56</v>
      </c>
      <c r="B6823" s="1" t="str">
        <f>HYPERLINK("http://santanderconsumer.pl","santanderconsumer.pl")</f>
        <v>santanderconsumer.pl</v>
      </c>
      <c r="C6823" t="s">
        <v>486</v>
      </c>
      <c r="D6823" t="s">
        <v>860</v>
      </c>
      <c r="E6823">
        <v>123220</v>
      </c>
      <c r="F6823">
        <v>3.7720622184086801E-7</v>
      </c>
      <c r="G6823">
        <v>99232</v>
      </c>
      <c r="H6823">
        <v>14590237</v>
      </c>
      <c r="I6823">
        <v>696018</v>
      </c>
      <c r="J6823">
        <v>2</v>
      </c>
    </row>
    <row r="6824" spans="1:10" x14ac:dyDescent="0.25">
      <c r="A6824" t="s">
        <v>56</v>
      </c>
      <c r="B6824" s="1" t="str">
        <f>HYPERLINK("http://santandertfi.pl","santandertfi.pl")</f>
        <v>santandertfi.pl</v>
      </c>
      <c r="C6824" t="s">
        <v>486</v>
      </c>
      <c r="D6824" t="s">
        <v>860</v>
      </c>
      <c r="F6824">
        <v>8.4290371376782696E-9</v>
      </c>
      <c r="G6824">
        <v>8983988</v>
      </c>
      <c r="H6824">
        <v>12167001</v>
      </c>
      <c r="I6824">
        <v>24145282</v>
      </c>
      <c r="J6824">
        <v>3</v>
      </c>
    </row>
    <row r="6825" spans="1:10" x14ac:dyDescent="0.25">
      <c r="A6825" t="s">
        <v>56</v>
      </c>
      <c r="B6825" s="1" t="str">
        <f>HYPERLINK("http://scbank.pl","scbank.pl")</f>
        <v>scbank.pl</v>
      </c>
      <c r="C6825" t="s">
        <v>486</v>
      </c>
      <c r="D6825" t="s">
        <v>860</v>
      </c>
      <c r="J6825">
        <v>2</v>
      </c>
    </row>
    <row r="6826" spans="1:10" x14ac:dyDescent="0.25">
      <c r="A6826" t="s">
        <v>56</v>
      </c>
      <c r="B6826" s="1" t="str">
        <f>HYPERLINK("http://winsklep.pl","winsklep.pl")</f>
        <v>winsklep.pl</v>
      </c>
      <c r="C6826" t="s">
        <v>486</v>
      </c>
      <c r="D6826" t="s">
        <v>860</v>
      </c>
      <c r="F6826">
        <v>4.44380395335525E-9</v>
      </c>
      <c r="G6826">
        <v>87983974</v>
      </c>
      <c r="H6826">
        <v>0</v>
      </c>
      <c r="I6826">
        <v>87453461</v>
      </c>
      <c r="J6826">
        <v>2</v>
      </c>
    </row>
    <row r="6827" spans="1:10" x14ac:dyDescent="0.25">
      <c r="A6827" t="s">
        <v>56</v>
      </c>
      <c r="B6827" s="1" t="str">
        <f>HYPERLINK("http://banif.pt","banif.pt")</f>
        <v>banif.pt</v>
      </c>
      <c r="C6827" t="s">
        <v>488</v>
      </c>
      <c r="D6827" t="s">
        <v>862</v>
      </c>
      <c r="F6827">
        <v>1.3443219762806101E-8</v>
      </c>
      <c r="G6827">
        <v>4429422</v>
      </c>
      <c r="H6827">
        <v>14152309</v>
      </c>
      <c r="I6827">
        <v>1870041</v>
      </c>
      <c r="J6827">
        <v>4</v>
      </c>
    </row>
    <row r="6828" spans="1:10" x14ac:dyDescent="0.25">
      <c r="A6828" t="s">
        <v>56</v>
      </c>
      <c r="B6828" s="1" t="str">
        <f>HYPERLINK("http://ebury.pt","ebury.pt")</f>
        <v>ebury.pt</v>
      </c>
      <c r="C6828" t="s">
        <v>488</v>
      </c>
      <c r="D6828" t="s">
        <v>862</v>
      </c>
      <c r="F6828">
        <v>7.8734799638157695E-9</v>
      </c>
      <c r="G6828">
        <v>10164790</v>
      </c>
      <c r="H6828">
        <v>12064074</v>
      </c>
      <c r="I6828">
        <v>26918456</v>
      </c>
      <c r="J6828">
        <v>3</v>
      </c>
    </row>
    <row r="6829" spans="1:10" x14ac:dyDescent="0.25">
      <c r="A6829" t="s">
        <v>56</v>
      </c>
      <c r="B6829" s="1" t="str">
        <f>HYPERLINK("http://santander.pt","santander.pt")</f>
        <v>santander.pt</v>
      </c>
      <c r="C6829" t="s">
        <v>488</v>
      </c>
      <c r="D6829" t="s">
        <v>862</v>
      </c>
      <c r="E6829">
        <v>55109</v>
      </c>
      <c r="F6829">
        <v>2.2932555186128299E-7</v>
      </c>
      <c r="G6829">
        <v>163947</v>
      </c>
      <c r="H6829">
        <v>16928896</v>
      </c>
      <c r="I6829">
        <v>119320</v>
      </c>
      <c r="J6829">
        <v>2</v>
      </c>
    </row>
    <row r="6830" spans="1:10" x14ac:dyDescent="0.25">
      <c r="A6830" t="s">
        <v>56</v>
      </c>
      <c r="B6830" s="1" t="str">
        <f>HYPERLINK("http://santanderconsumer.pt","santanderconsumer.pt")</f>
        <v>santanderconsumer.pt</v>
      </c>
      <c r="C6830" t="s">
        <v>488</v>
      </c>
      <c r="D6830" t="s">
        <v>862</v>
      </c>
      <c r="F6830">
        <v>1.15848164610254E-8</v>
      </c>
      <c r="G6830">
        <v>5444138</v>
      </c>
      <c r="H6830">
        <v>14072068</v>
      </c>
      <c r="I6830">
        <v>3174175</v>
      </c>
      <c r="J6830">
        <v>3</v>
      </c>
    </row>
    <row r="6831" spans="1:10" x14ac:dyDescent="0.25">
      <c r="A6831" t="s">
        <v>56</v>
      </c>
      <c r="B6831" s="1" t="str">
        <f>HYPERLINK("http://santandertotta.pt","santandertotta.pt")</f>
        <v>santandertotta.pt</v>
      </c>
      <c r="C6831" t="s">
        <v>488</v>
      </c>
      <c r="D6831" t="s">
        <v>862</v>
      </c>
      <c r="E6831">
        <v>353888</v>
      </c>
      <c r="F6831">
        <v>1.14698269085047E-7</v>
      </c>
      <c r="G6831">
        <v>347104</v>
      </c>
      <c r="H6831">
        <v>17085854</v>
      </c>
      <c r="I6831">
        <v>66920</v>
      </c>
      <c r="J6831">
        <v>2</v>
      </c>
    </row>
    <row r="6832" spans="1:10" x14ac:dyDescent="0.25">
      <c r="A6832" t="s">
        <v>56</v>
      </c>
      <c r="B6832" s="1" t="str">
        <f>HYPERLINK("http://ebury.ro","ebury.ro")</f>
        <v>ebury.ro</v>
      </c>
      <c r="C6832" t="s">
        <v>491</v>
      </c>
      <c r="D6832" t="s">
        <v>865</v>
      </c>
      <c r="F6832">
        <v>8.06362692171123E-9</v>
      </c>
      <c r="G6832">
        <v>9805652</v>
      </c>
      <c r="H6832">
        <v>12164570</v>
      </c>
      <c r="I6832">
        <v>24218034</v>
      </c>
      <c r="J6832">
        <v>3</v>
      </c>
    </row>
    <row r="6833" spans="1:10" x14ac:dyDescent="0.25">
      <c r="A6833" t="s">
        <v>56</v>
      </c>
      <c r="B6833" s="1" t="str">
        <f>HYPERLINK("http://ebury.rocks","ebury.rocks")</f>
        <v>ebury.rocks</v>
      </c>
      <c r="C6833" t="s">
        <v>727</v>
      </c>
      <c r="F6833">
        <v>1.5028738806727901E-8</v>
      </c>
      <c r="G6833">
        <v>3830322</v>
      </c>
      <c r="H6833">
        <v>13315283</v>
      </c>
      <c r="I6833">
        <v>10761126</v>
      </c>
      <c r="J6833">
        <v>3</v>
      </c>
    </row>
    <row r="6834" spans="1:10" x14ac:dyDescent="0.25">
      <c r="A6834" t="s">
        <v>56</v>
      </c>
      <c r="B6834" s="1" t="str">
        <f>HYPERLINK("http://santanderconsumer.se","santanderconsumer.se")</f>
        <v>santanderconsumer.se</v>
      </c>
      <c r="C6834" t="s">
        <v>495</v>
      </c>
      <c r="D6834" t="s">
        <v>869</v>
      </c>
      <c r="E6834">
        <v>514640</v>
      </c>
      <c r="F6834">
        <v>2.0597922506354001E-7</v>
      </c>
      <c r="G6834">
        <v>184363</v>
      </c>
      <c r="H6834">
        <v>16861772</v>
      </c>
      <c r="I6834">
        <v>155012</v>
      </c>
      <c r="J6834">
        <v>3</v>
      </c>
    </row>
    <row r="6835" spans="1:10" x14ac:dyDescent="0.25">
      <c r="A6835" t="s">
        <v>56</v>
      </c>
      <c r="B6835" s="1" t="str">
        <f>HYPERLINK("http://alliance-leicester.co.uk","alliance-leicester.co.uk")</f>
        <v>alliance-leicester.co.uk</v>
      </c>
      <c r="C6835" t="s">
        <v>506</v>
      </c>
      <c r="D6835" t="s">
        <v>880</v>
      </c>
      <c r="E6835">
        <v>290053</v>
      </c>
      <c r="F6835">
        <v>1.6014719585428699E-8</v>
      </c>
      <c r="G6835">
        <v>3542330</v>
      </c>
      <c r="H6835">
        <v>13798280</v>
      </c>
      <c r="I6835">
        <v>6292185</v>
      </c>
      <c r="J6835">
        <v>6</v>
      </c>
    </row>
    <row r="6836" spans="1:10" x14ac:dyDescent="0.25">
      <c r="A6836" t="s">
        <v>56</v>
      </c>
      <c r="B6836" s="1" t="str">
        <f>HYPERLINK("http://caterallen.co.uk","caterallen.co.uk")</f>
        <v>caterallen.co.uk</v>
      </c>
      <c r="C6836" t="s">
        <v>506</v>
      </c>
      <c r="D6836" t="s">
        <v>880</v>
      </c>
      <c r="F6836">
        <v>8.7074493872881902E-9</v>
      </c>
      <c r="G6836">
        <v>8464277</v>
      </c>
      <c r="H6836">
        <v>13515641</v>
      </c>
      <c r="I6836">
        <v>9943670</v>
      </c>
      <c r="J6836">
        <v>3</v>
      </c>
    </row>
    <row r="6837" spans="1:10" x14ac:dyDescent="0.25">
      <c r="A6837" t="s">
        <v>56</v>
      </c>
      <c r="B6837" s="1" t="str">
        <f>HYPERLINK("http://hyundaicapital.co.uk","hyundaicapital.co.uk")</f>
        <v>hyundaicapital.co.uk</v>
      </c>
      <c r="C6837" t="s">
        <v>506</v>
      </c>
      <c r="D6837" t="s">
        <v>880</v>
      </c>
      <c r="F6837">
        <v>5.8879248687997602E-9</v>
      </c>
      <c r="G6837">
        <v>17441999</v>
      </c>
      <c r="H6837">
        <v>12257777</v>
      </c>
      <c r="I6837">
        <v>21829860</v>
      </c>
      <c r="J6837">
        <v>5</v>
      </c>
    </row>
    <row r="6838" spans="1:10" x14ac:dyDescent="0.25">
      <c r="A6838" t="s">
        <v>56</v>
      </c>
      <c r="B6838" s="1" t="str">
        <f>HYPERLINK("http://psa-finance.co.uk","psa-finance.co.uk")</f>
        <v>psa-finance.co.uk</v>
      </c>
      <c r="C6838" t="s">
        <v>506</v>
      </c>
      <c r="D6838" t="s">
        <v>880</v>
      </c>
      <c r="F6838">
        <v>5.8134654740701501E-9</v>
      </c>
      <c r="G6838">
        <v>17986777</v>
      </c>
      <c r="H6838">
        <v>12847032</v>
      </c>
      <c r="I6838">
        <v>14309556</v>
      </c>
      <c r="J6838">
        <v>4</v>
      </c>
    </row>
    <row r="6839" spans="1:10" x14ac:dyDescent="0.25">
      <c r="A6839" t="s">
        <v>56</v>
      </c>
      <c r="B6839" s="1" t="str">
        <f>HYPERLINK("http://santander.co.uk","santander.co.uk")</f>
        <v>santander.co.uk</v>
      </c>
      <c r="C6839" t="s">
        <v>506</v>
      </c>
      <c r="D6839" t="s">
        <v>880</v>
      </c>
      <c r="E6839">
        <v>10230</v>
      </c>
      <c r="F6839">
        <v>8.0480591635570701E-7</v>
      </c>
      <c r="G6839">
        <v>48997</v>
      </c>
      <c r="H6839">
        <v>17287396</v>
      </c>
      <c r="I6839">
        <v>29320</v>
      </c>
      <c r="J6839">
        <v>2</v>
      </c>
    </row>
    <row r="6840" spans="1:10" x14ac:dyDescent="0.25">
      <c r="A6840" t="s">
        <v>56</v>
      </c>
      <c r="B6840" s="1" t="str">
        <f>HYPERLINK("http://santanderassetmanagement.co.uk","santanderassetmanagement.co.uk")</f>
        <v>santanderassetmanagement.co.uk</v>
      </c>
      <c r="C6840" t="s">
        <v>506</v>
      </c>
      <c r="D6840" t="s">
        <v>880</v>
      </c>
      <c r="F6840">
        <v>8.7986944860623592E-9</v>
      </c>
      <c r="G6840">
        <v>8312921</v>
      </c>
      <c r="H6840">
        <v>12889298</v>
      </c>
      <c r="I6840">
        <v>13942124</v>
      </c>
      <c r="J6840">
        <v>3</v>
      </c>
    </row>
    <row r="6841" spans="1:10" x14ac:dyDescent="0.25">
      <c r="A6841" t="s">
        <v>56</v>
      </c>
      <c r="B6841" s="1" t="str">
        <f>HYPERLINK("http://santanderconsumer.co.uk","santanderconsumer.co.uk")</f>
        <v>santanderconsumer.co.uk</v>
      </c>
      <c r="C6841" t="s">
        <v>506</v>
      </c>
      <c r="D6841" t="s">
        <v>880</v>
      </c>
      <c r="E6841">
        <v>540965</v>
      </c>
      <c r="F6841">
        <v>6.2765006897105196E-8</v>
      </c>
      <c r="G6841">
        <v>698771</v>
      </c>
      <c r="H6841">
        <v>14431588</v>
      </c>
      <c r="I6841">
        <v>1072930</v>
      </c>
      <c r="J6841">
        <v>3</v>
      </c>
    </row>
    <row r="6842" spans="1:10" x14ac:dyDescent="0.25">
      <c r="A6842" t="s">
        <v>56</v>
      </c>
      <c r="B6842" s="1" t="str">
        <f>HYPERLINK("http://santandersustainability.co.uk","santandersustainability.co.uk")</f>
        <v>santandersustainability.co.uk</v>
      </c>
      <c r="C6842" t="s">
        <v>506</v>
      </c>
      <c r="D6842" t="s">
        <v>880</v>
      </c>
      <c r="F6842">
        <v>8.2968214848466905E-9</v>
      </c>
      <c r="G6842">
        <v>9267416</v>
      </c>
      <c r="H6842">
        <v>13126680</v>
      </c>
      <c r="I6842">
        <v>11956004</v>
      </c>
      <c r="J6842">
        <v>3</v>
      </c>
    </row>
    <row r="6843" spans="1:10" x14ac:dyDescent="0.25">
      <c r="A6843" t="s">
        <v>56</v>
      </c>
      <c r="B6843" s="1" t="str">
        <f>HYPERLINK("http://santander.us","santander.us")</f>
        <v>santander.us</v>
      </c>
      <c r="C6843" t="s">
        <v>522</v>
      </c>
      <c r="D6843" t="s">
        <v>891</v>
      </c>
      <c r="E6843">
        <v>510136</v>
      </c>
      <c r="F6843">
        <v>5.1871674063964702E-9</v>
      </c>
      <c r="G6843">
        <v>25385311</v>
      </c>
      <c r="H6843">
        <v>10934077</v>
      </c>
      <c r="I6843">
        <v>34986239</v>
      </c>
      <c r="J6843">
        <v>4</v>
      </c>
    </row>
    <row r="6844" spans="1:10" x14ac:dyDescent="0.25">
      <c r="A6844" t="s">
        <v>56</v>
      </c>
      <c r="B6844" s="1" t="str">
        <f>HYPERLINK("http://creditel.com.uy","creditel.com.uy")</f>
        <v>creditel.com.uy</v>
      </c>
      <c r="C6844" t="s">
        <v>507</v>
      </c>
      <c r="D6844" t="s">
        <v>881</v>
      </c>
      <c r="F6844">
        <v>1.35785490563313E-8</v>
      </c>
      <c r="G6844">
        <v>4370709</v>
      </c>
      <c r="H6844">
        <v>13941920</v>
      </c>
      <c r="I6844">
        <v>4339662</v>
      </c>
      <c r="J6844">
        <v>3</v>
      </c>
    </row>
    <row r="6845" spans="1:10" x14ac:dyDescent="0.25">
      <c r="A6845" t="s">
        <v>56</v>
      </c>
      <c r="B6845" s="1" t="str">
        <f>HYPERLINK("http://santander.com.uy","santander.com.uy")</f>
        <v>santander.com.uy</v>
      </c>
      <c r="C6845" t="s">
        <v>507</v>
      </c>
      <c r="D6845" t="s">
        <v>881</v>
      </c>
      <c r="E6845">
        <v>144447</v>
      </c>
      <c r="F6845">
        <v>8.8568964002770002E-8</v>
      </c>
      <c r="G6845">
        <v>462040</v>
      </c>
      <c r="H6845">
        <v>16883830</v>
      </c>
      <c r="I6845">
        <v>138153</v>
      </c>
      <c r="J6845">
        <v>2</v>
      </c>
    </row>
    <row r="6846" spans="1:10" x14ac:dyDescent="0.25">
      <c r="A6846" t="s">
        <v>57</v>
      </c>
      <c r="B6846" s="1" t="str">
        <f>HYPERLINK("http://bca.id","bca.id")</f>
        <v>bca.id</v>
      </c>
      <c r="C6846" t="s">
        <v>454</v>
      </c>
      <c r="D6846" t="s">
        <v>831</v>
      </c>
      <c r="F6846">
        <v>1.86596089433316E-7</v>
      </c>
      <c r="G6846">
        <v>206497</v>
      </c>
      <c r="H6846">
        <v>12933556</v>
      </c>
      <c r="I6846">
        <v>13351521</v>
      </c>
      <c r="J6846">
        <v>2</v>
      </c>
    </row>
    <row r="6847" spans="1:10" x14ac:dyDescent="0.25">
      <c r="A6847" t="s">
        <v>57</v>
      </c>
      <c r="B6847" s="1" t="str">
        <f>HYPERLINK("http://bca.co.id","bca.co.id")</f>
        <v>bca.co.id</v>
      </c>
      <c r="C6847" t="s">
        <v>454</v>
      </c>
      <c r="D6847" t="s">
        <v>831</v>
      </c>
      <c r="E6847">
        <v>31656</v>
      </c>
      <c r="F6847">
        <v>7.8274507246423701E-7</v>
      </c>
      <c r="G6847">
        <v>50101</v>
      </c>
      <c r="H6847">
        <v>17122562</v>
      </c>
      <c r="I6847">
        <v>58943</v>
      </c>
      <c r="J6847">
        <v>1</v>
      </c>
    </row>
    <row r="6848" spans="1:10" x14ac:dyDescent="0.25">
      <c r="A6848" t="s">
        <v>57</v>
      </c>
      <c r="B6848" s="1" t="str">
        <f>HYPERLINK("http://bcafinance.co.id","bcafinance.co.id")</f>
        <v>bcafinance.co.id</v>
      </c>
      <c r="C6848" t="s">
        <v>454</v>
      </c>
      <c r="D6848" t="s">
        <v>831</v>
      </c>
      <c r="F6848">
        <v>3.7260793627931102E-8</v>
      </c>
      <c r="G6848">
        <v>1389867</v>
      </c>
      <c r="H6848">
        <v>14283963</v>
      </c>
      <c r="I6848">
        <v>1374171</v>
      </c>
      <c r="J6848">
        <v>3</v>
      </c>
    </row>
    <row r="6849" spans="1:10" x14ac:dyDescent="0.25">
      <c r="A6849" t="s">
        <v>57</v>
      </c>
      <c r="B6849" s="1" t="str">
        <f>HYPERLINK("http://bcainsurance.co.id","bcainsurance.co.id")</f>
        <v>bcainsurance.co.id</v>
      </c>
      <c r="C6849" t="s">
        <v>454</v>
      </c>
      <c r="D6849" t="s">
        <v>831</v>
      </c>
      <c r="F6849">
        <v>1.84132580150768E-8</v>
      </c>
      <c r="G6849">
        <v>2943008</v>
      </c>
      <c r="H6849">
        <v>14078089</v>
      </c>
      <c r="I6849">
        <v>2852918</v>
      </c>
      <c r="J6849">
        <v>3</v>
      </c>
    </row>
    <row r="6850" spans="1:10" x14ac:dyDescent="0.25">
      <c r="A6850" t="s">
        <v>57</v>
      </c>
      <c r="B6850" s="1" t="str">
        <f>HYPERLINK("http://bcasekuritas.co.id","bcasekuritas.co.id")</f>
        <v>bcasekuritas.co.id</v>
      </c>
      <c r="C6850" t="s">
        <v>454</v>
      </c>
      <c r="D6850" t="s">
        <v>831</v>
      </c>
      <c r="F6850">
        <v>1.7113857651532199E-8</v>
      </c>
      <c r="G6850">
        <v>3257724</v>
      </c>
      <c r="H6850">
        <v>14236950</v>
      </c>
      <c r="I6850">
        <v>1564507</v>
      </c>
      <c r="J6850">
        <v>3</v>
      </c>
    </row>
    <row r="6851" spans="1:10" x14ac:dyDescent="0.25">
      <c r="A6851" t="s">
        <v>57</v>
      </c>
      <c r="B6851" s="1" t="str">
        <f>HYPERLINK("http://bcasyariah.co.id","bcasyariah.co.id")</f>
        <v>bcasyariah.co.id</v>
      </c>
      <c r="C6851" t="s">
        <v>454</v>
      </c>
      <c r="D6851" t="s">
        <v>831</v>
      </c>
      <c r="F6851">
        <v>2.1609517939888601E-8</v>
      </c>
      <c r="G6851">
        <v>2435431</v>
      </c>
      <c r="H6851">
        <v>14076302</v>
      </c>
      <c r="I6851">
        <v>2890424</v>
      </c>
      <c r="J6851">
        <v>3</v>
      </c>
    </row>
    <row r="6852" spans="1:10" x14ac:dyDescent="0.25">
      <c r="A6852" t="s">
        <v>57</v>
      </c>
      <c r="B6852" s="1" t="str">
        <f>HYPERLINK("http://psyt.nl","psyt.nl")</f>
        <v>psyt.nl</v>
      </c>
      <c r="C6852" t="s">
        <v>477</v>
      </c>
      <c r="D6852" t="s">
        <v>852</v>
      </c>
      <c r="F6852">
        <v>5.84794497467901E-9</v>
      </c>
      <c r="G6852">
        <v>17724224</v>
      </c>
      <c r="H6852">
        <v>10765911</v>
      </c>
      <c r="I6852">
        <v>39412998</v>
      </c>
      <c r="J6852">
        <v>6</v>
      </c>
    </row>
    <row r="6853" spans="1:10" x14ac:dyDescent="0.25">
      <c r="A6853" t="s">
        <v>57</v>
      </c>
      <c r="B6853" s="1" t="str">
        <f>HYPERLINK("http://centralcapital.vc","centralcapital.vc")</f>
        <v>centralcapital.vc</v>
      </c>
      <c r="C6853" t="s">
        <v>520</v>
      </c>
      <c r="D6853" t="s">
        <v>890</v>
      </c>
      <c r="F6853">
        <v>1.4454697733733099E-8</v>
      </c>
      <c r="G6853">
        <v>4038305</v>
      </c>
      <c r="H6853">
        <v>13505138</v>
      </c>
      <c r="I6853">
        <v>9963814</v>
      </c>
      <c r="J6853">
        <v>3</v>
      </c>
    </row>
    <row r="6854" spans="1:10" x14ac:dyDescent="0.25">
      <c r="A6854" t="s">
        <v>58</v>
      </c>
      <c r="B6854" s="1" t="str">
        <f>HYPERLINK("http://briagro.co.id","briagro.co.id")</f>
        <v>briagro.co.id</v>
      </c>
      <c r="C6854" t="s">
        <v>454</v>
      </c>
      <c r="D6854" t="s">
        <v>831</v>
      </c>
      <c r="F6854">
        <v>1.58111299278946E-8</v>
      </c>
      <c r="G6854">
        <v>3596418</v>
      </c>
      <c r="H6854">
        <v>12668887</v>
      </c>
      <c r="I6854">
        <v>15632886</v>
      </c>
      <c r="J6854">
        <v>3</v>
      </c>
    </row>
    <row r="6855" spans="1:10" x14ac:dyDescent="0.25">
      <c r="A6855" t="s">
        <v>59</v>
      </c>
      <c r="B6855" s="1" t="str">
        <f>HYPERLINK("http://merrill.cl","merrill.cl")</f>
        <v>merrill.cl</v>
      </c>
      <c r="C6855" t="s">
        <v>430</v>
      </c>
      <c r="D6855" t="s">
        <v>811</v>
      </c>
      <c r="J6855">
        <v>3</v>
      </c>
    </row>
    <row r="6856" spans="1:10" x14ac:dyDescent="0.25">
      <c r="A6856" t="s">
        <v>59</v>
      </c>
      <c r="B6856" s="1" t="str">
        <f>HYPERLINK("http://bofaml.cn","bofaml.cn")</f>
        <v>bofaml.cn</v>
      </c>
      <c r="C6856" t="s">
        <v>431</v>
      </c>
      <c r="D6856" t="s">
        <v>812</v>
      </c>
      <c r="F6856">
        <v>1.1392869189436801E-8</v>
      </c>
      <c r="G6856">
        <v>5579096</v>
      </c>
      <c r="H6856">
        <v>13411801</v>
      </c>
      <c r="I6856">
        <v>10330894</v>
      </c>
      <c r="J6856">
        <v>6</v>
      </c>
    </row>
    <row r="6857" spans="1:10" x14ac:dyDescent="0.25">
      <c r="A6857" t="s">
        <v>59</v>
      </c>
      <c r="B6857" s="1" t="str">
        <f>HYPERLINK("http://baml.com","baml.com")</f>
        <v>baml.com</v>
      </c>
      <c r="C6857" t="s">
        <v>433</v>
      </c>
      <c r="E6857">
        <v>89259</v>
      </c>
      <c r="F6857">
        <v>2.57278313336737E-7</v>
      </c>
      <c r="G6857">
        <v>145387</v>
      </c>
      <c r="H6857">
        <v>14956349</v>
      </c>
      <c r="I6857">
        <v>438464</v>
      </c>
      <c r="J6857">
        <v>3</v>
      </c>
    </row>
    <row r="6858" spans="1:10" x14ac:dyDescent="0.25">
      <c r="A6858" t="s">
        <v>59</v>
      </c>
      <c r="B6858" s="1" t="str">
        <f>HYPERLINK("http://bankofamarica.com","bankofamarica.com")</f>
        <v>bankofamarica.com</v>
      </c>
      <c r="C6858" t="s">
        <v>433</v>
      </c>
      <c r="F6858">
        <v>1.57719339990413E-8</v>
      </c>
      <c r="G6858">
        <v>3607642</v>
      </c>
      <c r="H6858">
        <v>13764228</v>
      </c>
      <c r="I6858">
        <v>7329142</v>
      </c>
      <c r="J6858">
        <v>3</v>
      </c>
    </row>
    <row r="6859" spans="1:10" x14ac:dyDescent="0.25">
      <c r="A6859" t="s">
        <v>59</v>
      </c>
      <c r="B6859" s="1" t="str">
        <f>HYPERLINK("http://bankofamerica.com","bankofamerica.com")</f>
        <v>bankofamerica.com</v>
      </c>
      <c r="C6859" t="s">
        <v>433</v>
      </c>
      <c r="E6859">
        <v>667</v>
      </c>
      <c r="F6859">
        <v>1.3929979238413799E-5</v>
      </c>
      <c r="G6859">
        <v>2532</v>
      </c>
      <c r="H6859">
        <v>17842802</v>
      </c>
      <c r="I6859">
        <v>5061</v>
      </c>
      <c r="J6859">
        <v>1</v>
      </c>
    </row>
    <row r="6860" spans="1:10" x14ac:dyDescent="0.25">
      <c r="A6860" t="s">
        <v>59</v>
      </c>
      <c r="B6860" s="1" t="str">
        <f>HYPERLINK("http://boa.com","boa.com")</f>
        <v>boa.com</v>
      </c>
      <c r="C6860" t="s">
        <v>433</v>
      </c>
      <c r="F6860">
        <v>7.3062941767861403E-9</v>
      </c>
      <c r="G6860">
        <v>11464374</v>
      </c>
      <c r="H6860">
        <v>13935873</v>
      </c>
      <c r="I6860">
        <v>4513034</v>
      </c>
      <c r="J6860">
        <v>3</v>
      </c>
    </row>
    <row r="6861" spans="1:10" x14ac:dyDescent="0.25">
      <c r="A6861" t="s">
        <v>59</v>
      </c>
      <c r="B6861" s="1" t="str">
        <f>HYPERLINK("http://bofa.com","bofa.com")</f>
        <v>bofa.com</v>
      </c>
      <c r="C6861" t="s">
        <v>433</v>
      </c>
      <c r="E6861">
        <v>26223</v>
      </c>
      <c r="F6861">
        <v>6.4292463641043005E-7</v>
      </c>
      <c r="G6861">
        <v>59768</v>
      </c>
      <c r="H6861">
        <v>14625577</v>
      </c>
      <c r="I6861">
        <v>650841</v>
      </c>
      <c r="J6861">
        <v>2</v>
      </c>
    </row>
    <row r="6862" spans="1:10" x14ac:dyDescent="0.25">
      <c r="A6862" t="s">
        <v>59</v>
      </c>
      <c r="B6862" s="1" t="str">
        <f>HYPERLINK("http://bofaml.com","bofaml.com")</f>
        <v>bofaml.com</v>
      </c>
      <c r="C6862" t="s">
        <v>433</v>
      </c>
      <c r="E6862">
        <v>98253</v>
      </c>
      <c r="F6862">
        <v>7.1538481665213505E-7</v>
      </c>
      <c r="G6862">
        <v>54249</v>
      </c>
      <c r="H6862">
        <v>15107970</v>
      </c>
      <c r="I6862">
        <v>405396</v>
      </c>
      <c r="J6862">
        <v>3</v>
      </c>
    </row>
    <row r="6863" spans="1:10" x14ac:dyDescent="0.25">
      <c r="A6863" t="s">
        <v>59</v>
      </c>
      <c r="B6863" s="1" t="str">
        <f>HYPERLINK("http://fleet.com","fleet.com")</f>
        <v>fleet.com</v>
      </c>
      <c r="C6863" t="s">
        <v>433</v>
      </c>
      <c r="E6863">
        <v>948215</v>
      </c>
      <c r="F6863">
        <v>1.6948609900588901E-8</v>
      </c>
      <c r="G6863">
        <v>3295687</v>
      </c>
      <c r="H6863">
        <v>14190052</v>
      </c>
      <c r="I6863">
        <v>1756207</v>
      </c>
      <c r="J6863">
        <v>4</v>
      </c>
    </row>
    <row r="6864" spans="1:10" x14ac:dyDescent="0.25">
      <c r="A6864" t="s">
        <v>59</v>
      </c>
      <c r="B6864" s="1" t="str">
        <f>HYPERLINK("http://ml.com","ml.com")</f>
        <v>ml.com</v>
      </c>
      <c r="C6864" t="s">
        <v>433</v>
      </c>
      <c r="E6864">
        <v>3007</v>
      </c>
      <c r="F6864">
        <v>1.87674213140565E-6</v>
      </c>
      <c r="G6864">
        <v>19867</v>
      </c>
      <c r="H6864">
        <v>17452594</v>
      </c>
      <c r="I6864">
        <v>16017</v>
      </c>
      <c r="J6864">
        <v>3</v>
      </c>
    </row>
    <row r="6865" spans="1:10" x14ac:dyDescent="0.25">
      <c r="A6865" t="s">
        <v>59</v>
      </c>
      <c r="B6865" s="1" t="str">
        <f>HYPERLINK("http://ml-india.com","ml-india.com")</f>
        <v>ml-india.com</v>
      </c>
      <c r="C6865" t="s">
        <v>433</v>
      </c>
      <c r="F6865">
        <v>1.17862392111664E-8</v>
      </c>
      <c r="G6865">
        <v>5310739</v>
      </c>
      <c r="H6865">
        <v>12923251</v>
      </c>
      <c r="I6865">
        <v>13407630</v>
      </c>
      <c r="J6865">
        <v>3</v>
      </c>
    </row>
    <row r="6866" spans="1:10" x14ac:dyDescent="0.25">
      <c r="A6866" t="s">
        <v>59</v>
      </c>
      <c r="B6866" s="1" t="str">
        <f>HYPERLINK("http://mortgagesplc.com","mortgagesplc.com")</f>
        <v>mortgagesplc.com</v>
      </c>
      <c r="C6866" t="s">
        <v>433</v>
      </c>
      <c r="J6866">
        <v>5</v>
      </c>
    </row>
    <row r="6867" spans="1:10" x14ac:dyDescent="0.25">
      <c r="A6867" t="s">
        <v>59</v>
      </c>
      <c r="B6867" s="1" t="str">
        <f>HYPERLINK("http://securitysolutionswatch.com","securitysolutionswatch.com")</f>
        <v>securitysolutionswatch.com</v>
      </c>
      <c r="C6867" t="s">
        <v>433</v>
      </c>
      <c r="F6867">
        <v>9.5512429576087896E-8</v>
      </c>
      <c r="G6867">
        <v>424011</v>
      </c>
      <c r="H6867">
        <v>13794822</v>
      </c>
      <c r="I6867">
        <v>6313229</v>
      </c>
      <c r="J6867">
        <v>6</v>
      </c>
    </row>
    <row r="6868" spans="1:10" x14ac:dyDescent="0.25">
      <c r="A6868" t="s">
        <v>59</v>
      </c>
      <c r="B6868" s="1" t="str">
        <f>HYPERLINK("http://securitystockwatch.com","securitystockwatch.com")</f>
        <v>securitystockwatch.com</v>
      </c>
      <c r="C6868" t="s">
        <v>433</v>
      </c>
      <c r="F6868">
        <v>2.4925119542543699E-8</v>
      </c>
      <c r="G6868">
        <v>2074187</v>
      </c>
      <c r="H6868">
        <v>14103264</v>
      </c>
      <c r="I6868">
        <v>2696466</v>
      </c>
      <c r="J6868">
        <v>4</v>
      </c>
    </row>
    <row r="6869" spans="1:10" x14ac:dyDescent="0.25">
      <c r="A6869" t="s">
        <v>59</v>
      </c>
      <c r="B6869" s="1" t="str">
        <f>HYPERLINK("http://bankofamericasecurities.fi","bankofamericasecurities.fi")</f>
        <v>bankofamericasecurities.fi</v>
      </c>
      <c r="C6869" t="s">
        <v>445</v>
      </c>
      <c r="D6869" t="s">
        <v>823</v>
      </c>
      <c r="J6869">
        <v>2</v>
      </c>
    </row>
    <row r="6870" spans="1:10" x14ac:dyDescent="0.25">
      <c r="A6870" t="s">
        <v>59</v>
      </c>
      <c r="B6870" s="1" t="str">
        <f>HYPERLINK("http://bofas.fi","bofas.fi")</f>
        <v>bofas.fi</v>
      </c>
      <c r="C6870" t="s">
        <v>445</v>
      </c>
      <c r="D6870" t="s">
        <v>823</v>
      </c>
      <c r="J6870">
        <v>2</v>
      </c>
    </row>
    <row r="6871" spans="1:10" x14ac:dyDescent="0.25">
      <c r="A6871" t="s">
        <v>59</v>
      </c>
      <c r="B6871" s="1" t="str">
        <f>HYPERLINK("http://bofasecurities.fi","bofasecurities.fi")</f>
        <v>bofasecurities.fi</v>
      </c>
      <c r="C6871" t="s">
        <v>445</v>
      </c>
      <c r="D6871" t="s">
        <v>823</v>
      </c>
      <c r="J6871">
        <v>2</v>
      </c>
    </row>
    <row r="6872" spans="1:10" x14ac:dyDescent="0.25">
      <c r="A6872" t="s">
        <v>59</v>
      </c>
      <c r="B6872" s="1" t="str">
        <f>HYPERLINK("http://bofa.mobi","bofa.mobi")</f>
        <v>bofa.mobi</v>
      </c>
      <c r="C6872" t="s">
        <v>532</v>
      </c>
      <c r="F6872">
        <v>6.0572732222715703E-9</v>
      </c>
      <c r="G6872">
        <v>16340707</v>
      </c>
      <c r="H6872">
        <v>12638780</v>
      </c>
      <c r="I6872">
        <v>15885226</v>
      </c>
      <c r="J6872">
        <v>3</v>
      </c>
    </row>
    <row r="6873" spans="1:10" x14ac:dyDescent="0.25">
      <c r="A6873" t="s">
        <v>59</v>
      </c>
      <c r="B6873" s="1" t="str">
        <f>HYPERLINK("http://bankofamerica.com.mx","bankofamerica.com.mx")</f>
        <v>bankofamerica.com.mx</v>
      </c>
      <c r="C6873" t="s">
        <v>471</v>
      </c>
      <c r="D6873" t="s">
        <v>847</v>
      </c>
      <c r="F6873">
        <v>2.0407807172557801E-8</v>
      </c>
      <c r="G6873">
        <v>2598610</v>
      </c>
      <c r="H6873">
        <v>12558490</v>
      </c>
      <c r="I6873">
        <v>16734043</v>
      </c>
      <c r="J6873">
        <v>3</v>
      </c>
    </row>
    <row r="6874" spans="1:10" x14ac:dyDescent="0.25">
      <c r="A6874" t="s">
        <v>59</v>
      </c>
      <c r="B6874" s="1" t="str">
        <f>HYPERLINK("http://merrilllynch.com.mx","merrilllynch.com.mx")</f>
        <v>merrilllynch.com.mx</v>
      </c>
      <c r="C6874" t="s">
        <v>471</v>
      </c>
      <c r="D6874" t="s">
        <v>847</v>
      </c>
      <c r="F6874">
        <v>4.4448652511859498E-9</v>
      </c>
      <c r="G6874">
        <v>75975931</v>
      </c>
      <c r="H6874">
        <v>10792072</v>
      </c>
      <c r="I6874">
        <v>38421124</v>
      </c>
      <c r="J6874">
        <v>3</v>
      </c>
    </row>
    <row r="6875" spans="1:10" x14ac:dyDescent="0.25">
      <c r="A6875" t="s">
        <v>59</v>
      </c>
      <c r="B6875" s="1" t="str">
        <f>HYPERLINK("http://ml.com.tr","ml.com.tr")</f>
        <v>ml.com.tr</v>
      </c>
      <c r="C6875" t="s">
        <v>502</v>
      </c>
      <c r="D6875" t="s">
        <v>876</v>
      </c>
      <c r="F6875">
        <v>1.3227370905827099E-8</v>
      </c>
      <c r="G6875">
        <v>4526145</v>
      </c>
      <c r="H6875">
        <v>11774005</v>
      </c>
      <c r="I6875">
        <v>29822685</v>
      </c>
      <c r="J6875">
        <v>3</v>
      </c>
    </row>
    <row r="6876" spans="1:10" x14ac:dyDescent="0.25">
      <c r="A6876" t="s">
        <v>60</v>
      </c>
      <c r="B6876" s="1" t="str">
        <f>HYPERLINK("http://boc.cn","boc.cn")</f>
        <v>boc.cn</v>
      </c>
      <c r="C6876" t="s">
        <v>431</v>
      </c>
      <c r="D6876" t="s">
        <v>812</v>
      </c>
      <c r="E6876">
        <v>4982</v>
      </c>
      <c r="F6876">
        <v>6.3383235023971202E-6</v>
      </c>
      <c r="G6876">
        <v>5377</v>
      </c>
      <c r="H6876">
        <v>15680991</v>
      </c>
      <c r="I6876">
        <v>370201</v>
      </c>
      <c r="J6876">
        <v>1</v>
      </c>
    </row>
    <row r="6877" spans="1:10" x14ac:dyDescent="0.25">
      <c r="A6877" t="s">
        <v>60</v>
      </c>
      <c r="B6877" s="1" t="str">
        <f>HYPERLINK("http://boccfc.cn","boccfc.cn")</f>
        <v>boccfc.cn</v>
      </c>
      <c r="C6877" t="s">
        <v>431</v>
      </c>
      <c r="D6877" t="s">
        <v>812</v>
      </c>
      <c r="F6877">
        <v>1.6194299314378401E-7</v>
      </c>
      <c r="G6877">
        <v>239695</v>
      </c>
      <c r="H6877">
        <v>12379215</v>
      </c>
      <c r="I6877">
        <v>19223794</v>
      </c>
      <c r="J6877">
        <v>3</v>
      </c>
    </row>
    <row r="6878" spans="1:10" x14ac:dyDescent="0.25">
      <c r="A6878" t="s">
        <v>60</v>
      </c>
      <c r="B6878" s="1" t="str">
        <f>HYPERLINK("http://box.cn","box.cn")</f>
        <v>box.cn</v>
      </c>
      <c r="C6878" t="s">
        <v>431</v>
      </c>
      <c r="D6878" t="s">
        <v>812</v>
      </c>
      <c r="J6878">
        <v>3</v>
      </c>
    </row>
    <row r="6879" spans="1:10" x14ac:dyDescent="0.25">
      <c r="A6879" t="s">
        <v>60</v>
      </c>
      <c r="B6879" s="1" t="str">
        <f>HYPERLINK("http://bocifco.com.cn","bocifco.com.cn")</f>
        <v>bocifco.com.cn</v>
      </c>
      <c r="C6879" t="s">
        <v>431</v>
      </c>
      <c r="D6879" t="s">
        <v>812</v>
      </c>
      <c r="F6879">
        <v>8.0944468533714299E-9</v>
      </c>
      <c r="G6879">
        <v>9751622</v>
      </c>
      <c r="H6879">
        <v>9756647</v>
      </c>
      <c r="I6879">
        <v>62937558</v>
      </c>
      <c r="J6879">
        <v>5</v>
      </c>
    </row>
    <row r="6880" spans="1:10" x14ac:dyDescent="0.25">
      <c r="A6880" t="s">
        <v>60</v>
      </c>
      <c r="B6880" s="1" t="str">
        <f>HYPERLINK("http://xib.com.cn","xib.com.cn")</f>
        <v>xib.com.cn</v>
      </c>
      <c r="C6880" t="s">
        <v>431</v>
      </c>
      <c r="D6880" t="s">
        <v>812</v>
      </c>
      <c r="E6880">
        <v>192393</v>
      </c>
      <c r="F6880">
        <v>3.783125390957E-8</v>
      </c>
      <c r="G6880">
        <v>1367905</v>
      </c>
      <c r="H6880">
        <v>14088116</v>
      </c>
      <c r="I6880">
        <v>2760214</v>
      </c>
      <c r="J6880">
        <v>6</v>
      </c>
    </row>
    <row r="6881" spans="1:10" x14ac:dyDescent="0.25">
      <c r="A6881" t="s">
        <v>60</v>
      </c>
      <c r="B6881" s="1" t="str">
        <f>HYPERLINK("http://bank-of-china.com","bank-of-china.com")</f>
        <v>bank-of-china.com</v>
      </c>
      <c r="C6881" t="s">
        <v>433</v>
      </c>
      <c r="E6881">
        <v>152604</v>
      </c>
      <c r="F6881">
        <v>3.0223079053665602E-7</v>
      </c>
      <c r="G6881">
        <v>123026</v>
      </c>
      <c r="H6881">
        <v>14716861</v>
      </c>
      <c r="I6881">
        <v>579875</v>
      </c>
      <c r="J6881">
        <v>2</v>
      </c>
    </row>
    <row r="6882" spans="1:10" x14ac:dyDescent="0.25">
      <c r="A6882" t="s">
        <v>60</v>
      </c>
      <c r="B6882" s="1" t="str">
        <f>HYPERLINK("http://bankofchina.com","bankofchina.com")</f>
        <v>bankofchina.com</v>
      </c>
      <c r="C6882" t="s">
        <v>433</v>
      </c>
      <c r="E6882">
        <v>14683</v>
      </c>
      <c r="F6882">
        <v>8.7461310619151104E-7</v>
      </c>
      <c r="G6882">
        <v>45824</v>
      </c>
      <c r="H6882">
        <v>15346445</v>
      </c>
      <c r="I6882">
        <v>383020</v>
      </c>
      <c r="J6882">
        <v>2</v>
      </c>
    </row>
    <row r="6883" spans="1:10" x14ac:dyDescent="0.25">
      <c r="A6883" t="s">
        <v>60</v>
      </c>
      <c r="B6883" s="1" t="str">
        <f>HYPERLINK("http://boc-brazil.com","boc-brazil.com")</f>
        <v>boc-brazil.com</v>
      </c>
      <c r="C6883" t="s">
        <v>433</v>
      </c>
      <c r="F6883">
        <v>1.4724944611522001E-8</v>
      </c>
      <c r="G6883">
        <v>3932358</v>
      </c>
      <c r="H6883">
        <v>11248016</v>
      </c>
      <c r="I6883">
        <v>30910481</v>
      </c>
      <c r="J6883">
        <v>3</v>
      </c>
    </row>
    <row r="6884" spans="1:10" x14ac:dyDescent="0.25">
      <c r="A6884" t="s">
        <v>60</v>
      </c>
      <c r="B6884" s="1" t="str">
        <f>HYPERLINK("http://bocaviation.com","bocaviation.com")</f>
        <v>bocaviation.com</v>
      </c>
      <c r="C6884" t="s">
        <v>433</v>
      </c>
      <c r="F6884">
        <v>2.0325050915829801E-7</v>
      </c>
      <c r="G6884">
        <v>187067</v>
      </c>
      <c r="H6884">
        <v>14107792</v>
      </c>
      <c r="I6884">
        <v>2681948</v>
      </c>
      <c r="J6884">
        <v>3</v>
      </c>
    </row>
    <row r="6885" spans="1:10" x14ac:dyDescent="0.25">
      <c r="A6885" t="s">
        <v>60</v>
      </c>
      <c r="B6885" s="1" t="str">
        <f>HYPERLINK("http://bocgi.com","bocgi.com")</f>
        <v>bocgi.com</v>
      </c>
      <c r="C6885" t="s">
        <v>433</v>
      </c>
      <c r="F6885">
        <v>2.9757325850624703E-7</v>
      </c>
      <c r="G6885">
        <v>124983</v>
      </c>
      <c r="H6885">
        <v>13506900</v>
      </c>
      <c r="I6885">
        <v>9961690</v>
      </c>
      <c r="J6885">
        <v>3</v>
      </c>
    </row>
    <row r="6886" spans="1:10" x14ac:dyDescent="0.25">
      <c r="A6886" t="s">
        <v>60</v>
      </c>
      <c r="B6886" s="1" t="str">
        <f>HYPERLINK("http://bocgins.com","bocgins.com")</f>
        <v>bocgins.com</v>
      </c>
      <c r="C6886" t="s">
        <v>433</v>
      </c>
      <c r="F6886">
        <v>1.09541790087825E-7</v>
      </c>
      <c r="G6886">
        <v>365190</v>
      </c>
      <c r="H6886">
        <v>13561897</v>
      </c>
      <c r="I6886">
        <v>9845964</v>
      </c>
      <c r="J6886">
        <v>3</v>
      </c>
    </row>
    <row r="6887" spans="1:10" x14ac:dyDescent="0.25">
      <c r="A6887" t="s">
        <v>60</v>
      </c>
      <c r="B6887" s="1" t="str">
        <f>HYPERLINK("http://bocgroup.com","bocgroup.com")</f>
        <v>bocgroup.com</v>
      </c>
      <c r="C6887" t="s">
        <v>433</v>
      </c>
      <c r="E6887">
        <v>579995</v>
      </c>
      <c r="F6887">
        <v>1.9021911420531799E-7</v>
      </c>
      <c r="G6887">
        <v>202560</v>
      </c>
      <c r="H6887">
        <v>14035395</v>
      </c>
      <c r="I6887">
        <v>3916238</v>
      </c>
      <c r="J6887">
        <v>6</v>
      </c>
    </row>
    <row r="6888" spans="1:10" x14ac:dyDescent="0.25">
      <c r="A6888" t="s">
        <v>60</v>
      </c>
      <c r="B6888" s="1" t="str">
        <f>HYPERLINK("http://bochk.com","bochk.com")</f>
        <v>bochk.com</v>
      </c>
      <c r="C6888" t="s">
        <v>433</v>
      </c>
      <c r="E6888">
        <v>23371</v>
      </c>
      <c r="F6888">
        <v>8.2504794725034102E-7</v>
      </c>
      <c r="G6888">
        <v>47954</v>
      </c>
      <c r="H6888">
        <v>15488774</v>
      </c>
      <c r="I6888">
        <v>377042</v>
      </c>
      <c r="J6888">
        <v>3</v>
      </c>
    </row>
    <row r="6889" spans="1:10" x14ac:dyDescent="0.25">
      <c r="A6889" t="s">
        <v>60</v>
      </c>
      <c r="B6889" s="1" t="str">
        <f>HYPERLINK("http://bocichina.com","bocichina.com")</f>
        <v>bocichina.com</v>
      </c>
      <c r="C6889" t="s">
        <v>433</v>
      </c>
      <c r="E6889">
        <v>270688</v>
      </c>
      <c r="F6889">
        <v>2.6058779067000201E-7</v>
      </c>
      <c r="G6889">
        <v>143536</v>
      </c>
      <c r="H6889">
        <v>13915875</v>
      </c>
      <c r="I6889">
        <v>5938035</v>
      </c>
      <c r="J6889">
        <v>3</v>
      </c>
    </row>
    <row r="6890" spans="1:10" x14ac:dyDescent="0.25">
      <c r="A6890" t="s">
        <v>60</v>
      </c>
      <c r="B6890" s="1" t="str">
        <f>HYPERLINK("http://bocifco.com","bocifco.com")</f>
        <v>bocifco.com</v>
      </c>
      <c r="C6890" t="s">
        <v>433</v>
      </c>
      <c r="F6890">
        <v>1.89295873839838E-8</v>
      </c>
      <c r="G6890">
        <v>2848306</v>
      </c>
      <c r="H6890">
        <v>12748465</v>
      </c>
      <c r="I6890">
        <v>15059471</v>
      </c>
      <c r="J6890">
        <v>4</v>
      </c>
    </row>
    <row r="6891" spans="1:10" x14ac:dyDescent="0.25">
      <c r="A6891" t="s">
        <v>60</v>
      </c>
      <c r="B6891" s="1" t="str">
        <f>HYPERLINK("http://bocifunds.com","bocifunds.com")</f>
        <v>bocifunds.com</v>
      </c>
      <c r="C6891" t="s">
        <v>433</v>
      </c>
      <c r="F6891">
        <v>5.29655534617766E-8</v>
      </c>
      <c r="G6891">
        <v>859964</v>
      </c>
      <c r="H6891">
        <v>12373539</v>
      </c>
      <c r="I6891">
        <v>19344220</v>
      </c>
      <c r="J6891">
        <v>4</v>
      </c>
    </row>
    <row r="6892" spans="1:10" x14ac:dyDescent="0.25">
      <c r="A6892" t="s">
        <v>60</v>
      </c>
      <c r="B6892" s="1" t="str">
        <f>HYPERLINK("http://bocigroup.com","bocigroup.com")</f>
        <v>bocigroup.com</v>
      </c>
      <c r="C6892" t="s">
        <v>433</v>
      </c>
      <c r="E6892">
        <v>750446</v>
      </c>
      <c r="F6892">
        <v>1.7952330164559199E-7</v>
      </c>
      <c r="G6892">
        <v>215203</v>
      </c>
      <c r="H6892">
        <v>13483288</v>
      </c>
      <c r="I6892">
        <v>10000368</v>
      </c>
      <c r="J6892">
        <v>3</v>
      </c>
    </row>
    <row r="6893" spans="1:10" x14ac:dyDescent="0.25">
      <c r="A6893" t="s">
        <v>60</v>
      </c>
      <c r="B6893" s="1" t="str">
        <f>HYPERLINK("http://bocim.com","bocim.com")</f>
        <v>bocim.com</v>
      </c>
      <c r="C6893" t="s">
        <v>433</v>
      </c>
      <c r="E6893">
        <v>297616</v>
      </c>
      <c r="F6893">
        <v>2.3982288610667398E-7</v>
      </c>
      <c r="G6893">
        <v>156028</v>
      </c>
      <c r="H6893">
        <v>14010368</v>
      </c>
      <c r="I6893">
        <v>4001194</v>
      </c>
      <c r="J6893">
        <v>3</v>
      </c>
    </row>
    <row r="6894" spans="1:10" x14ac:dyDescent="0.25">
      <c r="A6894" t="s">
        <v>60</v>
      </c>
      <c r="B6894" s="1" t="str">
        <f>HYPERLINK("http://boclifeonline.com","boclifeonline.com")</f>
        <v>boclifeonline.com</v>
      </c>
      <c r="C6894" t="s">
        <v>433</v>
      </c>
      <c r="F6894">
        <v>6.4191813823600196E-9</v>
      </c>
      <c r="G6894">
        <v>14429453</v>
      </c>
      <c r="H6894">
        <v>13558660</v>
      </c>
      <c r="I6894">
        <v>9871851</v>
      </c>
      <c r="J6894">
        <v>5</v>
      </c>
    </row>
    <row r="6895" spans="1:10" x14ac:dyDescent="0.25">
      <c r="A6895" t="s">
        <v>60</v>
      </c>
      <c r="B6895" s="1" t="str">
        <f>HYPERLINK("http://bocmacau.com","bocmacau.com")</f>
        <v>bocmacau.com</v>
      </c>
      <c r="C6895" t="s">
        <v>433</v>
      </c>
      <c r="E6895">
        <v>126204</v>
      </c>
      <c r="F6895">
        <v>6.92564791589141E-8</v>
      </c>
      <c r="G6895">
        <v>613365</v>
      </c>
      <c r="H6895">
        <v>14149446</v>
      </c>
      <c r="I6895">
        <v>1881312</v>
      </c>
      <c r="J6895">
        <v>3</v>
      </c>
    </row>
    <row r="6896" spans="1:10" x14ac:dyDescent="0.25">
      <c r="A6896" t="s">
        <v>60</v>
      </c>
      <c r="B6896" s="1" t="str">
        <f>HYPERLINK("http://chiyubank.com","chiyubank.com")</f>
        <v>chiyubank.com</v>
      </c>
      <c r="C6896" t="s">
        <v>433</v>
      </c>
      <c r="E6896">
        <v>547331</v>
      </c>
      <c r="F6896">
        <v>3.9914799849087501E-8</v>
      </c>
      <c r="G6896">
        <v>1294736</v>
      </c>
      <c r="H6896">
        <v>14310881</v>
      </c>
      <c r="I6896">
        <v>1341540</v>
      </c>
      <c r="J6896">
        <v>5</v>
      </c>
    </row>
    <row r="6897" spans="1:10" x14ac:dyDescent="0.25">
      <c r="A6897" t="s">
        <v>60</v>
      </c>
      <c r="B6897" s="1" t="str">
        <f>HYPERLINK("http://ftcwifi.com","ftcwifi.com")</f>
        <v>ftcwifi.com</v>
      </c>
      <c r="C6897" t="s">
        <v>433</v>
      </c>
      <c r="J6897">
        <v>5</v>
      </c>
    </row>
    <row r="6898" spans="1:10" x14ac:dyDescent="0.25">
      <c r="A6898" t="s">
        <v>60</v>
      </c>
      <c r="B6898" s="1" t="str">
        <f>HYPERLINK("http://taifungbank.com","taifungbank.com")</f>
        <v>taifungbank.com</v>
      </c>
      <c r="C6898" t="s">
        <v>433</v>
      </c>
      <c r="F6898">
        <v>4.0744064003412403E-8</v>
      </c>
      <c r="G6898">
        <v>1272113</v>
      </c>
      <c r="H6898">
        <v>14312360</v>
      </c>
      <c r="I6898">
        <v>1339439</v>
      </c>
      <c r="J6898">
        <v>3</v>
      </c>
    </row>
    <row r="6899" spans="1:10" x14ac:dyDescent="0.25">
      <c r="A6899" t="s">
        <v>60</v>
      </c>
      <c r="B6899" s="1" t="str">
        <f>HYPERLINK("http://boclife.com.hk","boclife.com.hk")</f>
        <v>boclife.com.hk</v>
      </c>
      <c r="C6899" t="s">
        <v>450</v>
      </c>
      <c r="D6899" t="s">
        <v>827</v>
      </c>
      <c r="F6899">
        <v>2.4215146014640699E-8</v>
      </c>
      <c r="G6899">
        <v>2142082</v>
      </c>
      <c r="H6899">
        <v>14148287</v>
      </c>
      <c r="I6899">
        <v>1886261</v>
      </c>
      <c r="J6899">
        <v>3</v>
      </c>
    </row>
    <row r="6900" spans="1:10" x14ac:dyDescent="0.25">
      <c r="A6900" t="s">
        <v>60</v>
      </c>
      <c r="B6900" s="1" t="str">
        <f>HYPERLINK("http://boc.kz","boc.kz")</f>
        <v>boc.kz</v>
      </c>
      <c r="C6900" t="s">
        <v>465</v>
      </c>
      <c r="D6900" t="s">
        <v>841</v>
      </c>
      <c r="F6900">
        <v>8.2745408708054698E-9</v>
      </c>
      <c r="G6900">
        <v>9317798</v>
      </c>
      <c r="H6900">
        <v>12200969</v>
      </c>
      <c r="I6900">
        <v>23296125</v>
      </c>
      <c r="J6900">
        <v>3</v>
      </c>
    </row>
    <row r="6901" spans="1:10" x14ac:dyDescent="0.25">
      <c r="A6901" t="s">
        <v>60</v>
      </c>
      <c r="B6901" s="1" t="str">
        <f>HYPERLINK("http://lusobank.com.mo","lusobank.com.mo")</f>
        <v>lusobank.com.mo</v>
      </c>
      <c r="C6901" t="s">
        <v>548</v>
      </c>
      <c r="D6901" t="s">
        <v>905</v>
      </c>
      <c r="F6901">
        <v>2.21481734108902E-8</v>
      </c>
      <c r="G6901">
        <v>2368909</v>
      </c>
      <c r="H6901">
        <v>14075659</v>
      </c>
      <c r="I6901">
        <v>2903649</v>
      </c>
      <c r="J6901">
        <v>7</v>
      </c>
    </row>
    <row r="6902" spans="1:10" x14ac:dyDescent="0.25">
      <c r="A6902" t="s">
        <v>60</v>
      </c>
      <c r="B6902" s="1" t="str">
        <f>HYPERLINK("http://bankofchina.com.my","bankofchina.com.my")</f>
        <v>bankofchina.com.my</v>
      </c>
      <c r="C6902" t="s">
        <v>472</v>
      </c>
      <c r="D6902" t="s">
        <v>848</v>
      </c>
      <c r="F6902">
        <v>3.3927296707545598E-8</v>
      </c>
      <c r="G6902">
        <v>1525765</v>
      </c>
      <c r="H6902">
        <v>12637305</v>
      </c>
      <c r="I6902">
        <v>15895108</v>
      </c>
      <c r="J6902">
        <v>3</v>
      </c>
    </row>
    <row r="6903" spans="1:10" x14ac:dyDescent="0.25">
      <c r="A6903" t="s">
        <v>60</v>
      </c>
      <c r="B6903" s="1" t="str">
        <f>HYPERLINK("http://boc.ru","boc.ru")</f>
        <v>boc.ru</v>
      </c>
      <c r="C6903" t="s">
        <v>493</v>
      </c>
      <c r="D6903" t="s">
        <v>867</v>
      </c>
      <c r="E6903">
        <v>966665</v>
      </c>
      <c r="F6903">
        <v>4.0131285648739198E-8</v>
      </c>
      <c r="G6903">
        <v>1288690</v>
      </c>
      <c r="H6903">
        <v>13204205</v>
      </c>
      <c r="I6903">
        <v>11535047</v>
      </c>
      <c r="J6903">
        <v>4</v>
      </c>
    </row>
    <row r="6904" spans="1:10" x14ac:dyDescent="0.25">
      <c r="A6904" t="s">
        <v>61</v>
      </c>
      <c r="B6904" s="1" t="str">
        <f>HYPERLINK("http://bancobbm.com.br","bancobbm.com.br")</f>
        <v>bancobbm.com.br</v>
      </c>
      <c r="C6904" t="s">
        <v>425</v>
      </c>
      <c r="D6904" t="s">
        <v>806</v>
      </c>
      <c r="F6904">
        <v>7.9854302425434605E-9</v>
      </c>
      <c r="G6904">
        <v>9947544</v>
      </c>
      <c r="H6904">
        <v>12666599</v>
      </c>
      <c r="I6904">
        <v>15651804</v>
      </c>
      <c r="J6904">
        <v>6</v>
      </c>
    </row>
    <row r="6905" spans="1:10" x14ac:dyDescent="0.25">
      <c r="A6905" t="s">
        <v>61</v>
      </c>
      <c r="B6905" s="1" t="str">
        <f>HYPERLINK("http://bocombbm.com.br","bocombbm.com.br")</f>
        <v>bocombbm.com.br</v>
      </c>
      <c r="C6905" t="s">
        <v>425</v>
      </c>
      <c r="D6905" t="s">
        <v>806</v>
      </c>
      <c r="F6905">
        <v>6.8653718311950596E-9</v>
      </c>
      <c r="G6905">
        <v>12744050</v>
      </c>
      <c r="H6905">
        <v>12278160</v>
      </c>
      <c r="I6905">
        <v>21344746</v>
      </c>
      <c r="J6905">
        <v>3</v>
      </c>
    </row>
    <row r="6906" spans="1:10" x14ac:dyDescent="0.25">
      <c r="A6906" t="s">
        <v>61</v>
      </c>
      <c r="B6906" s="1" t="str">
        <f>HYPERLINK("http://bankcomm.cn","bankcomm.cn")</f>
        <v>bankcomm.cn</v>
      </c>
      <c r="C6906" t="s">
        <v>431</v>
      </c>
      <c r="D6906" t="s">
        <v>812</v>
      </c>
      <c r="E6906">
        <v>795079</v>
      </c>
      <c r="F6906">
        <v>3.0462686755670702E-8</v>
      </c>
      <c r="G6906">
        <v>1690180</v>
      </c>
      <c r="H6906">
        <v>10930249</v>
      </c>
      <c r="I6906">
        <v>35059396</v>
      </c>
      <c r="J6906">
        <v>2</v>
      </c>
    </row>
    <row r="6907" spans="1:10" x14ac:dyDescent="0.25">
      <c r="A6907" t="s">
        <v>61</v>
      </c>
      <c r="B6907" s="1" t="str">
        <f>HYPERLINK("http://95559.com.cn","95559.com.cn")</f>
        <v>95559.com.cn</v>
      </c>
      <c r="C6907" t="s">
        <v>431</v>
      </c>
      <c r="D6907" t="s">
        <v>812</v>
      </c>
      <c r="E6907">
        <v>45169</v>
      </c>
      <c r="F6907">
        <v>4.1869550493472199E-7</v>
      </c>
      <c r="G6907">
        <v>89941</v>
      </c>
      <c r="H6907">
        <v>14209236</v>
      </c>
      <c r="I6907">
        <v>1705455</v>
      </c>
      <c r="J6907">
        <v>2</v>
      </c>
    </row>
    <row r="6908" spans="1:10" x14ac:dyDescent="0.25">
      <c r="A6908" t="s">
        <v>61</v>
      </c>
      <c r="B6908" s="1" t="str">
        <f>HYPERLINK("http://bankcomm.com","bankcomm.com")</f>
        <v>bankcomm.com</v>
      </c>
      <c r="C6908" t="s">
        <v>433</v>
      </c>
      <c r="E6908">
        <v>7924</v>
      </c>
      <c r="F6908">
        <v>1.4475067850513701E-6</v>
      </c>
      <c r="G6908">
        <v>27062</v>
      </c>
      <c r="H6908">
        <v>14857457</v>
      </c>
      <c r="I6908">
        <v>486247</v>
      </c>
      <c r="J6908">
        <v>1</v>
      </c>
    </row>
    <row r="6909" spans="1:10" x14ac:dyDescent="0.25">
      <c r="A6909" t="s">
        <v>61</v>
      </c>
      <c r="B6909" s="1" t="str">
        <f>HYPERLINK("http://bocomgroup.com","bocomgroup.com")</f>
        <v>bocomgroup.com</v>
      </c>
      <c r="C6909" t="s">
        <v>433</v>
      </c>
      <c r="F6909">
        <v>5.8541097217206097E-8</v>
      </c>
      <c r="G6909">
        <v>758600</v>
      </c>
      <c r="H6909">
        <v>13890343</v>
      </c>
      <c r="I6909">
        <v>5962614</v>
      </c>
      <c r="J6909">
        <v>3</v>
      </c>
    </row>
    <row r="6910" spans="1:10" x14ac:dyDescent="0.25">
      <c r="A6910" t="s">
        <v>61</v>
      </c>
      <c r="B6910" s="1" t="str">
        <f>HYPERLINK("http://bocommleasing.com","bocommleasing.com")</f>
        <v>bocommleasing.com</v>
      </c>
      <c r="C6910" t="s">
        <v>433</v>
      </c>
      <c r="F6910">
        <v>4.6431798021616602E-8</v>
      </c>
      <c r="G6910">
        <v>1007620</v>
      </c>
      <c r="H6910">
        <v>12545138</v>
      </c>
      <c r="I6910">
        <v>16887101</v>
      </c>
      <c r="J6910">
        <v>3</v>
      </c>
    </row>
    <row r="6911" spans="1:10" x14ac:dyDescent="0.25">
      <c r="A6911" t="s">
        <v>61</v>
      </c>
      <c r="B6911" s="1" t="str">
        <f>HYPERLINK("http://bocommlife.com","bocommlife.com")</f>
        <v>bocommlife.com</v>
      </c>
      <c r="C6911" t="s">
        <v>433</v>
      </c>
      <c r="F6911">
        <v>4.0602651754132399E-8</v>
      </c>
      <c r="G6911">
        <v>1275820</v>
      </c>
      <c r="H6911">
        <v>12366181</v>
      </c>
      <c r="I6911">
        <v>19478369</v>
      </c>
      <c r="J6911">
        <v>3</v>
      </c>
    </row>
    <row r="6912" spans="1:10" x14ac:dyDescent="0.25">
      <c r="A6912" t="s">
        <v>61</v>
      </c>
      <c r="B6912" s="1" t="str">
        <f>HYPERLINK("http://bocommtrust.com","bocommtrust.com")</f>
        <v>bocommtrust.com</v>
      </c>
      <c r="C6912" t="s">
        <v>433</v>
      </c>
      <c r="F6912">
        <v>5.7224458055863203E-8</v>
      </c>
      <c r="G6912">
        <v>779732</v>
      </c>
      <c r="H6912">
        <v>14032521</v>
      </c>
      <c r="I6912">
        <v>3922960</v>
      </c>
      <c r="J6912">
        <v>3</v>
      </c>
    </row>
    <row r="6913" spans="1:10" x14ac:dyDescent="0.25">
      <c r="A6913" t="s">
        <v>61</v>
      </c>
      <c r="B6913" s="1" t="str">
        <f>HYPERLINK("http://bocomny.com","bocomny.com")</f>
        <v>bocomny.com</v>
      </c>
      <c r="C6913" t="s">
        <v>433</v>
      </c>
      <c r="F6913">
        <v>4.7136063610507801E-9</v>
      </c>
      <c r="G6913">
        <v>40548891</v>
      </c>
      <c r="H6913">
        <v>1.0003663</v>
      </c>
      <c r="I6913">
        <v>78492782</v>
      </c>
      <c r="J6913">
        <v>4</v>
      </c>
    </row>
    <row r="6914" spans="1:10" x14ac:dyDescent="0.25">
      <c r="A6914" t="s">
        <v>61</v>
      </c>
      <c r="B6914" s="1" t="str">
        <f>HYPERLINK("http://fund001.com","fund001.com")</f>
        <v>fund001.com</v>
      </c>
      <c r="C6914" t="s">
        <v>433</v>
      </c>
      <c r="F6914">
        <v>9.7295921860046501E-8</v>
      </c>
      <c r="G6914">
        <v>415196</v>
      </c>
      <c r="H6914">
        <v>12429480</v>
      </c>
      <c r="I6914">
        <v>18307566</v>
      </c>
      <c r="J6914">
        <v>5</v>
      </c>
    </row>
    <row r="6915" spans="1:10" x14ac:dyDescent="0.25">
      <c r="A6915" t="s">
        <v>61</v>
      </c>
      <c r="B6915" s="1" t="str">
        <f>HYPERLINK("http://bankcomm.com.hk","bankcomm.com.hk")</f>
        <v>bankcomm.com.hk</v>
      </c>
      <c r="C6915" t="s">
        <v>450</v>
      </c>
      <c r="D6915" t="s">
        <v>827</v>
      </c>
      <c r="E6915">
        <v>58553</v>
      </c>
      <c r="F6915">
        <v>9.2057495503275899E-8</v>
      </c>
      <c r="G6915">
        <v>442335</v>
      </c>
      <c r="H6915">
        <v>14343890</v>
      </c>
      <c r="I6915">
        <v>1313636</v>
      </c>
      <c r="J6915">
        <v>2</v>
      </c>
    </row>
    <row r="6916" spans="1:10" x14ac:dyDescent="0.25">
      <c r="A6916" t="s">
        <v>61</v>
      </c>
      <c r="B6916" s="1" t="str">
        <f>HYPERLINK("http://ccins.com.hk","ccins.com.hk")</f>
        <v>ccins.com.hk</v>
      </c>
      <c r="C6916" t="s">
        <v>450</v>
      </c>
      <c r="D6916" t="s">
        <v>827</v>
      </c>
      <c r="F6916">
        <v>3.2274322505092197E-8</v>
      </c>
      <c r="G6916">
        <v>1602291</v>
      </c>
      <c r="H6916">
        <v>11271090</v>
      </c>
      <c r="I6916">
        <v>30755467</v>
      </c>
      <c r="J6916">
        <v>3</v>
      </c>
    </row>
    <row r="6917" spans="1:10" x14ac:dyDescent="0.25">
      <c r="A6917" t="s">
        <v>61</v>
      </c>
      <c r="B6917" s="1" t="str">
        <f>HYPERLINK("http://bankcomm.jp","bankcomm.jp")</f>
        <v>bankcomm.jp</v>
      </c>
      <c r="C6917" t="s">
        <v>461</v>
      </c>
      <c r="D6917" t="s">
        <v>837</v>
      </c>
      <c r="F6917">
        <v>4.32245156119424E-8</v>
      </c>
      <c r="G6917">
        <v>1109926</v>
      </c>
      <c r="H6917">
        <v>12336575</v>
      </c>
      <c r="I6917">
        <v>20075739</v>
      </c>
      <c r="J6917">
        <v>2</v>
      </c>
    </row>
    <row r="6918" spans="1:10" x14ac:dyDescent="0.25">
      <c r="A6918" t="s">
        <v>61</v>
      </c>
      <c r="B6918" s="1" t="str">
        <f>HYPERLINK("http://bankcomm.com.mo","bankcomm.com.mo")</f>
        <v>bankcomm.com.mo</v>
      </c>
      <c r="C6918" t="s">
        <v>548</v>
      </c>
      <c r="D6918" t="s">
        <v>905</v>
      </c>
      <c r="F6918">
        <v>3.9708891858852601E-8</v>
      </c>
      <c r="G6918">
        <v>1300807</v>
      </c>
      <c r="H6918">
        <v>11273855</v>
      </c>
      <c r="I6918">
        <v>30742433</v>
      </c>
      <c r="J6918">
        <v>2</v>
      </c>
    </row>
    <row r="6919" spans="1:10" x14ac:dyDescent="0.25">
      <c r="A6919" t="s">
        <v>61</v>
      </c>
      <c r="B6919" s="1" t="str">
        <f>HYPERLINK("http://bankcomm.com.tw","bankcomm.com.tw")</f>
        <v>bankcomm.com.tw</v>
      </c>
      <c r="C6919" t="s">
        <v>504</v>
      </c>
      <c r="D6919" t="s">
        <v>878</v>
      </c>
      <c r="F6919">
        <v>3.8652290304150103E-8</v>
      </c>
      <c r="G6919">
        <v>1333969</v>
      </c>
      <c r="H6919">
        <v>11027519</v>
      </c>
      <c r="I6919">
        <v>33139471</v>
      </c>
      <c r="J6919">
        <v>2</v>
      </c>
    </row>
    <row r="6920" spans="1:10" x14ac:dyDescent="0.25">
      <c r="A6920" t="s">
        <v>62</v>
      </c>
      <c r="B6920" s="1" t="str">
        <f>HYPERLINK("http://bmo.ca","bmo.ca")</f>
        <v>bmo.ca</v>
      </c>
      <c r="C6920" t="s">
        <v>428</v>
      </c>
      <c r="D6920" t="s">
        <v>809</v>
      </c>
      <c r="F6920">
        <v>4.7932165354944099E-8</v>
      </c>
      <c r="G6920">
        <v>970422</v>
      </c>
      <c r="H6920">
        <v>13402904</v>
      </c>
      <c r="I6920">
        <v>10362163</v>
      </c>
      <c r="J6920">
        <v>2</v>
      </c>
    </row>
    <row r="6921" spans="1:10" x14ac:dyDescent="0.25">
      <c r="A6921" t="s">
        <v>62</v>
      </c>
      <c r="B6921" s="1" t="str">
        <f>HYPERLINK("http://bmo.com","bmo.com")</f>
        <v>bmo.com</v>
      </c>
      <c r="C6921" t="s">
        <v>433</v>
      </c>
      <c r="E6921">
        <v>6506</v>
      </c>
      <c r="F6921">
        <v>2.98237927963481E-6</v>
      </c>
      <c r="G6921">
        <v>13035</v>
      </c>
      <c r="H6921">
        <v>17488002</v>
      </c>
      <c r="I6921">
        <v>14241</v>
      </c>
      <c r="J6921">
        <v>1</v>
      </c>
    </row>
    <row r="6922" spans="1:10" x14ac:dyDescent="0.25">
      <c r="A6922" t="s">
        <v>62</v>
      </c>
      <c r="B6922" s="1" t="str">
        <f>HYPERLINK("http://bmocm.com","bmocm.com")</f>
        <v>bmocm.com</v>
      </c>
      <c r="C6922" t="s">
        <v>433</v>
      </c>
      <c r="E6922">
        <v>489139</v>
      </c>
      <c r="F6922">
        <v>1.8937772664172E-7</v>
      </c>
      <c r="G6922">
        <v>203476</v>
      </c>
      <c r="H6922">
        <v>16852092</v>
      </c>
      <c r="I6922">
        <v>157283</v>
      </c>
      <c r="J6922">
        <v>3</v>
      </c>
    </row>
    <row r="6923" spans="1:10" x14ac:dyDescent="0.25">
      <c r="A6923" t="s">
        <v>62</v>
      </c>
      <c r="B6923" s="1" t="str">
        <f>HYPERLINK("http://bmoharris.com","bmoharris.com")</f>
        <v>bmoharris.com</v>
      </c>
      <c r="C6923" t="s">
        <v>433</v>
      </c>
      <c r="E6923">
        <v>30685</v>
      </c>
      <c r="F6923">
        <v>8.7551935348945601E-7</v>
      </c>
      <c r="G6923">
        <v>45787</v>
      </c>
      <c r="H6923">
        <v>14697631</v>
      </c>
      <c r="I6923">
        <v>598623</v>
      </c>
      <c r="J6923">
        <v>3</v>
      </c>
    </row>
    <row r="6924" spans="1:10" x14ac:dyDescent="0.25">
      <c r="A6924" t="s">
        <v>62</v>
      </c>
      <c r="B6924" s="1" t="str">
        <f>HYPERLINK("http://bmoinvestorline.com","bmoinvestorline.com")</f>
        <v>bmoinvestorline.com</v>
      </c>
      <c r="C6924" t="s">
        <v>433</v>
      </c>
      <c r="E6924">
        <v>181174</v>
      </c>
      <c r="F6924">
        <v>2.363789775769E-8</v>
      </c>
      <c r="G6924">
        <v>2199905</v>
      </c>
      <c r="H6924">
        <v>14135985</v>
      </c>
      <c r="I6924">
        <v>1965466</v>
      </c>
      <c r="J6924">
        <v>4</v>
      </c>
    </row>
    <row r="6925" spans="1:10" x14ac:dyDescent="0.25">
      <c r="A6925" t="s">
        <v>62</v>
      </c>
      <c r="B6925" s="1" t="str">
        <f>HYPERLINK("http://bmoreinsurance.com","bmoreinsurance.com")</f>
        <v>bmoreinsurance.com</v>
      </c>
      <c r="C6925" t="s">
        <v>433</v>
      </c>
      <c r="J6925">
        <v>7</v>
      </c>
    </row>
    <row r="6926" spans="1:10" x14ac:dyDescent="0.25">
      <c r="A6926" t="s">
        <v>62</v>
      </c>
      <c r="B6926" s="1" t="str">
        <f>HYPERLINK("http://clearpoolgroup.com","clearpoolgroup.com")</f>
        <v>clearpoolgroup.com</v>
      </c>
      <c r="C6926" t="s">
        <v>433</v>
      </c>
      <c r="E6926">
        <v>31334</v>
      </c>
      <c r="F6926">
        <v>2.06981421829179E-8</v>
      </c>
      <c r="G6926">
        <v>2557080</v>
      </c>
      <c r="H6926">
        <v>13491656</v>
      </c>
      <c r="I6926">
        <v>9985312</v>
      </c>
      <c r="J6926">
        <v>4</v>
      </c>
    </row>
    <row r="6927" spans="1:10" x14ac:dyDescent="0.25">
      <c r="A6927" t="s">
        <v>62</v>
      </c>
      <c r="B6927" s="1" t="str">
        <f>HYPERLINK("http://shorewoodrosatis.com","shorewoodrosatis.com")</f>
        <v>shorewoodrosatis.com</v>
      </c>
      <c r="C6927" t="s">
        <v>433</v>
      </c>
      <c r="F6927">
        <v>4.8508924186826098E-9</v>
      </c>
      <c r="G6927">
        <v>34111790</v>
      </c>
      <c r="H6927">
        <v>11013936</v>
      </c>
      <c r="I6927">
        <v>33348493</v>
      </c>
      <c r="J6927">
        <v>4</v>
      </c>
    </row>
    <row r="6928" spans="1:10" x14ac:dyDescent="0.25">
      <c r="A6928" t="s">
        <v>62</v>
      </c>
      <c r="B6928" s="1" t="str">
        <f>HYPERLINK("http://bmogam.fi","bmogam.fi")</f>
        <v>bmogam.fi</v>
      </c>
      <c r="C6928" t="s">
        <v>445</v>
      </c>
      <c r="D6928" t="s">
        <v>823</v>
      </c>
      <c r="J6928">
        <v>4</v>
      </c>
    </row>
    <row r="6929" spans="1:10" x14ac:dyDescent="0.25">
      <c r="A6929" t="s">
        <v>63</v>
      </c>
      <c r="B6929" s="1" t="str">
        <f>HYPERLINK("http://pershing.com.au","pershing.com.au")</f>
        <v>pershing.com.au</v>
      </c>
      <c r="C6929" t="s">
        <v>420</v>
      </c>
      <c r="D6929" t="s">
        <v>802</v>
      </c>
      <c r="J6929">
        <v>2</v>
      </c>
    </row>
    <row r="6930" spans="1:10" x14ac:dyDescent="0.25">
      <c r="A6930" t="s">
        <v>63</v>
      </c>
      <c r="B6930" s="1" t="str">
        <f>HYPERLINK("http://arxinvestimentos.com.br","arxinvestimentos.com.br")</f>
        <v>arxinvestimentos.com.br</v>
      </c>
      <c r="C6930" t="s">
        <v>425</v>
      </c>
      <c r="D6930" t="s">
        <v>806</v>
      </c>
      <c r="F6930">
        <v>2.0905789713436099E-8</v>
      </c>
      <c r="G6930">
        <v>2528606</v>
      </c>
      <c r="H6930">
        <v>13082292</v>
      </c>
      <c r="I6930">
        <v>12176009</v>
      </c>
      <c r="J6930">
        <v>4</v>
      </c>
    </row>
    <row r="6931" spans="1:10" x14ac:dyDescent="0.25">
      <c r="A6931" t="s">
        <v>63</v>
      </c>
      <c r="B6931" s="1" t="str">
        <f>HYPERLINK("http://bnymellon.com.br","bnymellon.com.br")</f>
        <v>bnymellon.com.br</v>
      </c>
      <c r="C6931" t="s">
        <v>425</v>
      </c>
      <c r="D6931" t="s">
        <v>806</v>
      </c>
      <c r="E6931">
        <v>678797</v>
      </c>
      <c r="F6931">
        <v>1.06352069636178E-8</v>
      </c>
      <c r="G6931">
        <v>6153744</v>
      </c>
      <c r="H6931">
        <v>12939600</v>
      </c>
      <c r="I6931">
        <v>13302462</v>
      </c>
      <c r="J6931">
        <v>2</v>
      </c>
    </row>
    <row r="6932" spans="1:10" x14ac:dyDescent="0.25">
      <c r="A6932" t="s">
        <v>63</v>
      </c>
      <c r="B6932" s="1" t="str">
        <f>HYPERLINK("http://accessportals.com","accessportals.com")</f>
        <v>accessportals.com</v>
      </c>
      <c r="C6932" t="s">
        <v>433</v>
      </c>
      <c r="E6932">
        <v>274868</v>
      </c>
      <c r="F6932">
        <v>9.7697035534020497E-8</v>
      </c>
      <c r="G6932">
        <v>413231</v>
      </c>
      <c r="H6932">
        <v>12479910</v>
      </c>
      <c r="I6932">
        <v>17599270</v>
      </c>
      <c r="J6932">
        <v>3</v>
      </c>
    </row>
    <row r="6933" spans="1:10" x14ac:dyDescent="0.25">
      <c r="A6933" t="s">
        <v>63</v>
      </c>
      <c r="B6933" s="1" t="str">
        <f>HYPERLINK("http://albridge.com","albridge.com")</f>
        <v>albridge.com</v>
      </c>
      <c r="C6933" t="s">
        <v>433</v>
      </c>
      <c r="E6933">
        <v>168547</v>
      </c>
      <c r="F6933">
        <v>3.5919752208849698E-8</v>
      </c>
      <c r="G6933">
        <v>1450394</v>
      </c>
      <c r="H6933">
        <v>13295346</v>
      </c>
      <c r="I6933">
        <v>10852390</v>
      </c>
      <c r="J6933">
        <v>4</v>
      </c>
    </row>
    <row r="6934" spans="1:10" x14ac:dyDescent="0.25">
      <c r="A6934" t="s">
        <v>63</v>
      </c>
      <c r="B6934" s="1" t="str">
        <f>HYPERLINK("http://atlantichc.com","atlantichc.com")</f>
        <v>atlantichc.com</v>
      </c>
      <c r="C6934" t="s">
        <v>433</v>
      </c>
      <c r="F6934">
        <v>1.03266661147796E-8</v>
      </c>
      <c r="G6934">
        <v>6426249</v>
      </c>
      <c r="H6934">
        <v>13359963</v>
      </c>
      <c r="I6934">
        <v>10587694</v>
      </c>
      <c r="J6934">
        <v>7</v>
      </c>
    </row>
    <row r="6935" spans="1:10" x14ac:dyDescent="0.25">
      <c r="A6935" t="s">
        <v>63</v>
      </c>
      <c r="B6935" s="1" t="str">
        <f>HYPERLINK("http://bnymellon.com","bnymellon.com")</f>
        <v>bnymellon.com</v>
      </c>
      <c r="C6935" t="s">
        <v>433</v>
      </c>
      <c r="E6935">
        <v>11502</v>
      </c>
      <c r="F6935">
        <v>1.78094573944476E-6</v>
      </c>
      <c r="G6935">
        <v>22431</v>
      </c>
      <c r="H6935">
        <v>15668683</v>
      </c>
      <c r="I6935">
        <v>370404</v>
      </c>
      <c r="J6935">
        <v>1</v>
      </c>
    </row>
    <row r="6936" spans="1:10" x14ac:dyDescent="0.25">
      <c r="A6936" t="s">
        <v>63</v>
      </c>
      <c r="B6936" s="1" t="str">
        <f>HYPERLINK("http://bnymellonwealth.com","bnymellonwealth.com")</f>
        <v>bnymellonwealth.com</v>
      </c>
      <c r="C6936" t="s">
        <v>433</v>
      </c>
      <c r="E6936">
        <v>302272</v>
      </c>
      <c r="F6936">
        <v>2.70885277908611E-7</v>
      </c>
      <c r="G6936">
        <v>137441</v>
      </c>
      <c r="H6936">
        <v>14678738</v>
      </c>
      <c r="I6936">
        <v>609594</v>
      </c>
      <c r="J6936">
        <v>2</v>
      </c>
    </row>
    <row r="6937" spans="1:10" x14ac:dyDescent="0.25">
      <c r="A6937" t="s">
        <v>63</v>
      </c>
      <c r="B6937" s="1" t="str">
        <f>HYPERLINK("http://bnymellonwealthmanagement.com","bnymellonwealthmanagement.com")</f>
        <v>bnymellonwealthmanagement.com</v>
      </c>
      <c r="C6937" t="s">
        <v>433</v>
      </c>
      <c r="F6937">
        <v>1.1910491119327799E-8</v>
      </c>
      <c r="G6937">
        <v>5230956</v>
      </c>
      <c r="H6937">
        <v>12496915</v>
      </c>
      <c r="I6937">
        <v>17398765</v>
      </c>
      <c r="J6937">
        <v>5</v>
      </c>
    </row>
    <row r="6938" spans="1:10" x14ac:dyDescent="0.25">
      <c r="A6938" t="s">
        <v>63</v>
      </c>
      <c r="B6938" s="1" t="str">
        <f>HYPERLINK("http://eaccountservices.com","eaccountservices.com")</f>
        <v>eaccountservices.com</v>
      </c>
      <c r="C6938" t="s">
        <v>433</v>
      </c>
      <c r="F6938">
        <v>3.0065485608528802E-8</v>
      </c>
      <c r="G6938">
        <v>1711393</v>
      </c>
      <c r="H6938">
        <v>12947656</v>
      </c>
      <c r="I6938">
        <v>13227630</v>
      </c>
      <c r="J6938">
        <v>3</v>
      </c>
    </row>
    <row r="6939" spans="1:10" x14ac:dyDescent="0.25">
      <c r="A6939" t="s">
        <v>63</v>
      </c>
      <c r="B6939" s="1" t="str">
        <f>HYPERLINK("http://eagleinvsys.com","eagleinvsys.com")</f>
        <v>eagleinvsys.com</v>
      </c>
      <c r="C6939" t="s">
        <v>433</v>
      </c>
      <c r="E6939">
        <v>140021</v>
      </c>
      <c r="F6939">
        <v>3.5862613445039998E-8</v>
      </c>
      <c r="G6939">
        <v>1452424</v>
      </c>
      <c r="H6939">
        <v>13977630</v>
      </c>
      <c r="I6939">
        <v>4057518</v>
      </c>
      <c r="J6939">
        <v>4</v>
      </c>
    </row>
    <row r="6940" spans="1:10" x14ac:dyDescent="0.25">
      <c r="A6940" t="s">
        <v>63</v>
      </c>
      <c r="B6940" s="1" t="str">
        <f>HYPERLINK("http://insightinvestment.com","insightinvestment.com")</f>
        <v>insightinvestment.com</v>
      </c>
      <c r="C6940" t="s">
        <v>433</v>
      </c>
      <c r="E6940">
        <v>600898</v>
      </c>
      <c r="F6940">
        <v>9.2956690973186795E-8</v>
      </c>
      <c r="G6940">
        <v>437512</v>
      </c>
      <c r="H6940">
        <v>14289559</v>
      </c>
      <c r="I6940">
        <v>1367176</v>
      </c>
      <c r="J6940">
        <v>2</v>
      </c>
    </row>
    <row r="6941" spans="1:10" x14ac:dyDescent="0.25">
      <c r="A6941" t="s">
        <v>63</v>
      </c>
      <c r="B6941" s="1" t="str">
        <f>HYPERLINK("http://mellon.com","mellon.com")</f>
        <v>mellon.com</v>
      </c>
      <c r="C6941" t="s">
        <v>433</v>
      </c>
      <c r="E6941">
        <v>188258</v>
      </c>
      <c r="F6941">
        <v>8.5527505709809905E-8</v>
      </c>
      <c r="G6941">
        <v>481859</v>
      </c>
      <c r="H6941">
        <v>14335256</v>
      </c>
      <c r="I6941">
        <v>1320025</v>
      </c>
      <c r="J6941">
        <v>5</v>
      </c>
    </row>
    <row r="6942" spans="1:10" x14ac:dyDescent="0.25">
      <c r="A6942" t="s">
        <v>63</v>
      </c>
      <c r="B6942" s="1" t="str">
        <f>HYPERLINK("http://netx360backupuat.com","netx360backupuat.com")</f>
        <v>netx360backupuat.com</v>
      </c>
      <c r="C6942" t="s">
        <v>433</v>
      </c>
      <c r="J6942">
        <v>2</v>
      </c>
    </row>
    <row r="6943" spans="1:10" x14ac:dyDescent="0.25">
      <c r="A6943" t="s">
        <v>63</v>
      </c>
      <c r="B6943" s="1" t="str">
        <f>HYPERLINK("http://netxinvestor.com","netxinvestor.com")</f>
        <v>netxinvestor.com</v>
      </c>
      <c r="C6943" t="s">
        <v>433</v>
      </c>
      <c r="E6943">
        <v>68282</v>
      </c>
      <c r="F6943">
        <v>5.2635336249935797E-7</v>
      </c>
      <c r="G6943">
        <v>73079</v>
      </c>
      <c r="H6943">
        <v>13177070</v>
      </c>
      <c r="I6943">
        <v>11694368</v>
      </c>
      <c r="J6943">
        <v>3</v>
      </c>
    </row>
    <row r="6944" spans="1:10" x14ac:dyDescent="0.25">
      <c r="A6944" t="s">
        <v>63</v>
      </c>
      <c r="B6944" s="1" t="str">
        <f>HYPERLINK("http://netxservice.com","netxservice.com")</f>
        <v>netxservice.com</v>
      </c>
      <c r="C6944" t="s">
        <v>433</v>
      </c>
      <c r="E6944">
        <v>137326</v>
      </c>
      <c r="F6944">
        <v>4.44380996400719E-9</v>
      </c>
      <c r="G6944">
        <v>79624600</v>
      </c>
      <c r="H6944">
        <v>10351910</v>
      </c>
      <c r="I6944">
        <v>56128811</v>
      </c>
      <c r="J6944">
        <v>3</v>
      </c>
    </row>
    <row r="6945" spans="1:10" x14ac:dyDescent="0.25">
      <c r="A6945" t="s">
        <v>63</v>
      </c>
      <c r="B6945" s="1" t="str">
        <f>HYPERLINK("http://newtonim.com","newtonim.com")</f>
        <v>newtonim.com</v>
      </c>
      <c r="C6945" t="s">
        <v>433</v>
      </c>
      <c r="F6945">
        <v>6.47516170449183E-8</v>
      </c>
      <c r="G6945">
        <v>666569</v>
      </c>
      <c r="H6945">
        <v>14034567</v>
      </c>
      <c r="I6945">
        <v>3917788</v>
      </c>
      <c r="J6945">
        <v>5</v>
      </c>
    </row>
    <row r="6946" spans="1:10" x14ac:dyDescent="0.25">
      <c r="A6946" t="s">
        <v>63</v>
      </c>
      <c r="B6946" s="1" t="str">
        <f>HYPERLINK("http://pershing.com","pershing.com")</f>
        <v>pershing.com</v>
      </c>
      <c r="C6946" t="s">
        <v>433</v>
      </c>
      <c r="E6946">
        <v>72819</v>
      </c>
      <c r="F6946">
        <v>3.9533992499307401E-7</v>
      </c>
      <c r="G6946">
        <v>94892</v>
      </c>
      <c r="H6946">
        <v>14982615</v>
      </c>
      <c r="I6946">
        <v>430241</v>
      </c>
      <c r="J6946">
        <v>3</v>
      </c>
    </row>
    <row r="6947" spans="1:10" x14ac:dyDescent="0.25">
      <c r="A6947" t="s">
        <v>63</v>
      </c>
      <c r="B6947" s="1" t="str">
        <f>HYPERLINK("http://upgs.com","upgs.com")</f>
        <v>upgs.com</v>
      </c>
      <c r="C6947" t="s">
        <v>433</v>
      </c>
      <c r="F6947">
        <v>2.3977523771002199E-8</v>
      </c>
      <c r="G6947">
        <v>2165175</v>
      </c>
      <c r="H6947">
        <v>12449346</v>
      </c>
      <c r="I6947">
        <v>18005636</v>
      </c>
      <c r="J6947">
        <v>6</v>
      </c>
    </row>
    <row r="6948" spans="1:10" x14ac:dyDescent="0.25">
      <c r="A6948" t="s">
        <v>63</v>
      </c>
      <c r="B6948" s="1" t="str">
        <f>HYPERLINK("http://walterscott.com","walterscott.com")</f>
        <v>walterscott.com</v>
      </c>
      <c r="C6948" t="s">
        <v>433</v>
      </c>
      <c r="F6948">
        <v>1.48038664195491E-8</v>
      </c>
      <c r="G6948">
        <v>3905900</v>
      </c>
      <c r="H6948">
        <v>13247787</v>
      </c>
      <c r="I6948">
        <v>11101343</v>
      </c>
      <c r="J6948">
        <v>5</v>
      </c>
    </row>
    <row r="6949" spans="1:10" x14ac:dyDescent="0.25">
      <c r="A6949" t="s">
        <v>63</v>
      </c>
      <c r="B6949" s="1" t="str">
        <f>HYPERLINK("http://wmam.com","wmam.com")</f>
        <v>wmam.com</v>
      </c>
      <c r="C6949" t="s">
        <v>433</v>
      </c>
      <c r="F6949">
        <v>6.1781509706819399E-9</v>
      </c>
      <c r="G6949">
        <v>15649615</v>
      </c>
      <c r="H6949">
        <v>12530201</v>
      </c>
      <c r="I6949">
        <v>17032603</v>
      </c>
      <c r="J6949">
        <v>4</v>
      </c>
    </row>
    <row r="6950" spans="1:10" x14ac:dyDescent="0.25">
      <c r="A6950" t="s">
        <v>63</v>
      </c>
      <c r="B6950" s="1" t="str">
        <f>HYPERLINK("http://insight-investment.fi","insight-investment.fi")</f>
        <v>insight-investment.fi</v>
      </c>
      <c r="C6950" t="s">
        <v>445</v>
      </c>
      <c r="D6950" t="s">
        <v>823</v>
      </c>
      <c r="J6950">
        <v>4</v>
      </c>
    </row>
    <row r="6951" spans="1:10" x14ac:dyDescent="0.25">
      <c r="A6951" t="s">
        <v>63</v>
      </c>
      <c r="B6951" s="1" t="str">
        <f>HYPERLINK("http://insightinvestment.fi","insightinvestment.fi")</f>
        <v>insightinvestment.fi</v>
      </c>
      <c r="C6951" t="s">
        <v>445</v>
      </c>
      <c r="D6951" t="s">
        <v>823</v>
      </c>
      <c r="J6951">
        <v>4</v>
      </c>
    </row>
    <row r="6952" spans="1:10" x14ac:dyDescent="0.25">
      <c r="A6952" t="s">
        <v>63</v>
      </c>
      <c r="B6952" s="1" t="str">
        <f>HYPERLINK("http://inautix.co.in","inautix.co.in")</f>
        <v>inautix.co.in</v>
      </c>
      <c r="C6952" t="s">
        <v>457</v>
      </c>
      <c r="D6952" t="s">
        <v>834</v>
      </c>
      <c r="F6952">
        <v>6.6816358635225696E-9</v>
      </c>
      <c r="G6952">
        <v>13369444</v>
      </c>
      <c r="H6952">
        <v>14072823</v>
      </c>
      <c r="I6952">
        <v>3041784</v>
      </c>
      <c r="J6952">
        <v>6</v>
      </c>
    </row>
    <row r="6953" spans="1:10" x14ac:dyDescent="0.25">
      <c r="A6953" t="s">
        <v>63</v>
      </c>
      <c r="B6953" s="1" t="str">
        <f>HYPERLINK("http://bavarian-kitchen.info","bavarian-kitchen.info")</f>
        <v>bavarian-kitchen.info</v>
      </c>
      <c r="C6953" t="s">
        <v>458</v>
      </c>
      <c r="F6953">
        <v>4.8300166366962296E-9</v>
      </c>
      <c r="G6953">
        <v>34843136</v>
      </c>
      <c r="H6953">
        <v>10491567</v>
      </c>
      <c r="I6953">
        <v>50600905</v>
      </c>
      <c r="J6953">
        <v>4</v>
      </c>
    </row>
    <row r="6954" spans="1:10" x14ac:dyDescent="0.25">
      <c r="A6954" t="s">
        <v>63</v>
      </c>
      <c r="B6954" s="1" t="str">
        <f>HYPERLINK("http://insight-investment.it","insight-investment.it")</f>
        <v>insight-investment.it</v>
      </c>
      <c r="C6954" t="s">
        <v>459</v>
      </c>
      <c r="D6954" t="s">
        <v>835</v>
      </c>
      <c r="J6954">
        <v>2</v>
      </c>
    </row>
    <row r="6955" spans="1:10" x14ac:dyDescent="0.25">
      <c r="A6955" t="s">
        <v>63</v>
      </c>
      <c r="B6955" s="1" t="str">
        <f>HYPERLINK("http://bnymellon.net","bnymellon.net")</f>
        <v>bnymellon.net</v>
      </c>
      <c r="C6955" t="s">
        <v>474</v>
      </c>
      <c r="E6955">
        <v>46833</v>
      </c>
      <c r="F6955">
        <v>1.7955389922098601E-8</v>
      </c>
      <c r="G6955">
        <v>3041887</v>
      </c>
      <c r="H6955">
        <v>12690092</v>
      </c>
      <c r="I6955">
        <v>15419585</v>
      </c>
      <c r="J6955">
        <v>2</v>
      </c>
    </row>
    <row r="6956" spans="1:10" x14ac:dyDescent="0.25">
      <c r="A6956" t="s">
        <v>63</v>
      </c>
      <c r="B6956" s="1" t="str">
        <f>HYPERLINK("http://newton.co.uk","newton.co.uk")</f>
        <v>newton.co.uk</v>
      </c>
      <c r="C6956" t="s">
        <v>506</v>
      </c>
      <c r="D6956" t="s">
        <v>880</v>
      </c>
      <c r="F6956">
        <v>4.1186268727057601E-8</v>
      </c>
      <c r="G6956">
        <v>1260667</v>
      </c>
      <c r="H6956">
        <v>13849649</v>
      </c>
      <c r="I6956">
        <v>6054844</v>
      </c>
      <c r="J6956">
        <v>4</v>
      </c>
    </row>
    <row r="6957" spans="1:10" x14ac:dyDescent="0.25">
      <c r="A6957" t="s">
        <v>63</v>
      </c>
      <c r="B6957" s="1" t="str">
        <f>HYPERLINK("http://newtonim.co.uk","newtonim.co.uk")</f>
        <v>newtonim.co.uk</v>
      </c>
      <c r="C6957" t="s">
        <v>506</v>
      </c>
      <c r="D6957" t="s">
        <v>880</v>
      </c>
      <c r="F6957">
        <v>8.2788495739034502E-9</v>
      </c>
      <c r="G6957">
        <v>9308037</v>
      </c>
      <c r="H6957">
        <v>13988459</v>
      </c>
      <c r="I6957">
        <v>4035525</v>
      </c>
      <c r="J6957">
        <v>6</v>
      </c>
    </row>
    <row r="6958" spans="1:10" x14ac:dyDescent="0.25">
      <c r="A6958" t="s">
        <v>63</v>
      </c>
      <c r="B6958" s="1" t="str">
        <f>HYPERLINK("http://pershing.co.uk","pershing.co.uk")</f>
        <v>pershing.co.uk</v>
      </c>
      <c r="C6958" t="s">
        <v>506</v>
      </c>
      <c r="D6958" t="s">
        <v>880</v>
      </c>
      <c r="F6958">
        <v>8.7793596017733901E-9</v>
      </c>
      <c r="G6958">
        <v>8344103</v>
      </c>
      <c r="H6958">
        <v>12108470</v>
      </c>
      <c r="I6958">
        <v>25775204</v>
      </c>
      <c r="J6958">
        <v>4</v>
      </c>
    </row>
    <row r="6959" spans="1:10" x14ac:dyDescent="0.25">
      <c r="A6959" t="s">
        <v>63</v>
      </c>
      <c r="B6959" s="1" t="str">
        <f>HYPERLINK("http://ultimate-products.co.uk","ultimate-products.co.uk")</f>
        <v>ultimate-products.co.uk</v>
      </c>
      <c r="C6959" t="s">
        <v>506</v>
      </c>
      <c r="D6959" t="s">
        <v>880</v>
      </c>
      <c r="F6959">
        <v>4.4800350190862197E-9</v>
      </c>
      <c r="G6959">
        <v>62331192</v>
      </c>
      <c r="H6959">
        <v>10895505</v>
      </c>
      <c r="I6959">
        <v>35941430</v>
      </c>
      <c r="J6959">
        <v>8</v>
      </c>
    </row>
    <row r="6960" spans="1:10" x14ac:dyDescent="0.25">
      <c r="A6960" t="s">
        <v>64</v>
      </c>
      <c r="B6960" s="1" t="str">
        <f>HYPERLINK("http://1832.ca","1832.ca")</f>
        <v>1832.ca</v>
      </c>
      <c r="C6960" t="s">
        <v>428</v>
      </c>
      <c r="D6960" t="s">
        <v>809</v>
      </c>
      <c r="F6960">
        <v>8.0017634677913606E-9</v>
      </c>
      <c r="G6960">
        <v>9917486</v>
      </c>
      <c r="H6960">
        <v>12386183</v>
      </c>
      <c r="I6960">
        <v>19106594</v>
      </c>
      <c r="J6960">
        <v>3</v>
      </c>
    </row>
    <row r="6961" spans="1:10" x14ac:dyDescent="0.25">
      <c r="A6961" t="s">
        <v>64</v>
      </c>
      <c r="B6961" s="1" t="str">
        <f>HYPERLINK("http://autoritehypothecairescotia.ca","autoritehypothecairescotia.ca")</f>
        <v>autoritehypothecairescotia.ca</v>
      </c>
      <c r="C6961" t="s">
        <v>428</v>
      </c>
      <c r="D6961" t="s">
        <v>809</v>
      </c>
      <c r="J6961">
        <v>2</v>
      </c>
    </row>
    <row r="6962" spans="1:10" x14ac:dyDescent="0.25">
      <c r="A6962" t="s">
        <v>64</v>
      </c>
      <c r="B6962" s="1" t="str">
        <f>HYPERLINK("http://letsboro.ca","letsboro.ca")</f>
        <v>letsboro.ca</v>
      </c>
      <c r="C6962" t="s">
        <v>428</v>
      </c>
      <c r="D6962" t="s">
        <v>809</v>
      </c>
      <c r="F6962">
        <v>4.8644490638306697E-9</v>
      </c>
      <c r="G6962">
        <v>33615213</v>
      </c>
      <c r="H6962">
        <v>8922087</v>
      </c>
      <c r="I6962">
        <v>68993382</v>
      </c>
      <c r="J6962">
        <v>2</v>
      </c>
    </row>
    <row r="6963" spans="1:10" x14ac:dyDescent="0.25">
      <c r="A6963" t="s">
        <v>64</v>
      </c>
      <c r="B6963" s="1" t="str">
        <f>HYPERLINK("http://mdm.ca","mdm.ca")</f>
        <v>mdm.ca</v>
      </c>
      <c r="C6963" t="s">
        <v>428</v>
      </c>
      <c r="D6963" t="s">
        <v>809</v>
      </c>
      <c r="E6963">
        <v>434912</v>
      </c>
      <c r="F6963">
        <v>1.74017897608711E-7</v>
      </c>
      <c r="G6963">
        <v>222842</v>
      </c>
      <c r="H6963">
        <v>16952194</v>
      </c>
      <c r="I6963">
        <v>107679</v>
      </c>
      <c r="J6963">
        <v>3</v>
      </c>
    </row>
    <row r="6964" spans="1:10" x14ac:dyDescent="0.25">
      <c r="A6964" t="s">
        <v>64</v>
      </c>
      <c r="B6964" s="1" t="str">
        <f>HYPERLINK("http://scotiabank.ca","scotiabank.ca")</f>
        <v>scotiabank.ca</v>
      </c>
      <c r="C6964" t="s">
        <v>428</v>
      </c>
      <c r="D6964" t="s">
        <v>809</v>
      </c>
      <c r="E6964">
        <v>445180</v>
      </c>
      <c r="F6964">
        <v>3.5323712744000899E-8</v>
      </c>
      <c r="G6964">
        <v>1472535</v>
      </c>
      <c r="H6964">
        <v>14171563</v>
      </c>
      <c r="I6964">
        <v>1801150</v>
      </c>
      <c r="J6964">
        <v>2</v>
      </c>
    </row>
    <row r="6965" spans="1:10" x14ac:dyDescent="0.25">
      <c r="A6965" t="s">
        <v>64</v>
      </c>
      <c r="B6965" s="1" t="str">
        <f>HYPERLINK("http://scotiamortgageauthority.ca","scotiamortgageauthority.ca")</f>
        <v>scotiamortgageauthority.ca</v>
      </c>
      <c r="C6965" t="s">
        <v>428</v>
      </c>
      <c r="D6965" t="s">
        <v>809</v>
      </c>
      <c r="J6965">
        <v>2</v>
      </c>
    </row>
    <row r="6966" spans="1:10" x14ac:dyDescent="0.25">
      <c r="A6966" t="s">
        <v>64</v>
      </c>
      <c r="B6966" s="1" t="str">
        <f>HYPERLINK("http://tangerine.ca","tangerine.ca")</f>
        <v>tangerine.ca</v>
      </c>
      <c r="C6966" t="s">
        <v>428</v>
      </c>
      <c r="D6966" t="s">
        <v>809</v>
      </c>
      <c r="E6966">
        <v>32473</v>
      </c>
      <c r="F6966">
        <v>3.4402992158916702E-7</v>
      </c>
      <c r="G6966">
        <v>108548</v>
      </c>
      <c r="H6966">
        <v>14971762</v>
      </c>
      <c r="I6966">
        <v>433497</v>
      </c>
      <c r="J6966">
        <v>3</v>
      </c>
    </row>
    <row r="6967" spans="1:10" x14ac:dyDescent="0.25">
      <c r="A6967" t="s">
        <v>64</v>
      </c>
      <c r="B6967" s="1" t="str">
        <f>HYPERLINK("http://scotiabank.cl","scotiabank.cl")</f>
        <v>scotiabank.cl</v>
      </c>
      <c r="C6967" t="s">
        <v>430</v>
      </c>
      <c r="D6967" t="s">
        <v>811</v>
      </c>
      <c r="E6967">
        <v>63428</v>
      </c>
      <c r="F6967">
        <v>2.1539220854052801E-8</v>
      </c>
      <c r="G6967">
        <v>2444163</v>
      </c>
      <c r="H6967">
        <v>13768320</v>
      </c>
      <c r="I6967">
        <v>6882058</v>
      </c>
      <c r="J6967">
        <v>2</v>
      </c>
    </row>
    <row r="6968" spans="1:10" x14ac:dyDescent="0.25">
      <c r="A6968" t="s">
        <v>64</v>
      </c>
      <c r="B6968" s="1" t="str">
        <f>HYPERLINK("http://scotiabankchile.cl","scotiabankchile.cl")</f>
        <v>scotiabankchile.cl</v>
      </c>
      <c r="C6968" t="s">
        <v>430</v>
      </c>
      <c r="D6968" t="s">
        <v>811</v>
      </c>
      <c r="E6968">
        <v>216404</v>
      </c>
      <c r="F6968">
        <v>9.2572291776407896E-8</v>
      </c>
      <c r="G6968">
        <v>439550</v>
      </c>
      <c r="H6968">
        <v>14635119</v>
      </c>
      <c r="I6968">
        <v>641296</v>
      </c>
      <c r="J6968">
        <v>4</v>
      </c>
    </row>
    <row r="6969" spans="1:10" x14ac:dyDescent="0.25">
      <c r="A6969" t="s">
        <v>64</v>
      </c>
      <c r="B6969" s="1" t="str">
        <f>HYPERLINK("http://autoritehypothecairescotia.com","autoritehypothecairescotia.com")</f>
        <v>autoritehypothecairescotia.com</v>
      </c>
      <c r="C6969" t="s">
        <v>433</v>
      </c>
      <c r="J6969">
        <v>2</v>
      </c>
    </row>
    <row r="6970" spans="1:10" x14ac:dyDescent="0.25">
      <c r="A6970" t="s">
        <v>64</v>
      </c>
      <c r="B6970" s="1" t="str">
        <f>HYPERLINK("http://howardweil.com","howardweil.com")</f>
        <v>howardweil.com</v>
      </c>
      <c r="C6970" t="s">
        <v>433</v>
      </c>
      <c r="F6970">
        <v>6.6339088825700604E-9</v>
      </c>
      <c r="G6970">
        <v>13544619</v>
      </c>
      <c r="H6970">
        <v>12340823</v>
      </c>
      <c r="I6970">
        <v>19989255</v>
      </c>
      <c r="J6970">
        <v>5</v>
      </c>
    </row>
    <row r="6971" spans="1:10" x14ac:dyDescent="0.25">
      <c r="A6971" t="s">
        <v>64</v>
      </c>
      <c r="B6971" s="1" t="str">
        <f>HYPERLINK("http://hyundaiforhire.com","hyundaiforhire.com")</f>
        <v>hyundaiforhire.com</v>
      </c>
      <c r="C6971" t="s">
        <v>433</v>
      </c>
      <c r="F6971">
        <v>4.4669104495944399E-9</v>
      </c>
      <c r="G6971">
        <v>65657044</v>
      </c>
      <c r="H6971">
        <v>10681910</v>
      </c>
      <c r="I6971">
        <v>42711672</v>
      </c>
      <c r="J6971">
        <v>2</v>
      </c>
    </row>
    <row r="6972" spans="1:10" x14ac:dyDescent="0.25">
      <c r="A6972" t="s">
        <v>64</v>
      </c>
      <c r="B6972" s="1" t="str">
        <f>HYPERLINK("http://jflglobal.com","jflglobal.com")</f>
        <v>jflglobal.com</v>
      </c>
      <c r="C6972" t="s">
        <v>433</v>
      </c>
      <c r="F6972">
        <v>2.34473586606617E-8</v>
      </c>
      <c r="G6972">
        <v>2220445</v>
      </c>
      <c r="H6972">
        <v>13427216</v>
      </c>
      <c r="I6972">
        <v>10291335</v>
      </c>
      <c r="J6972">
        <v>3</v>
      </c>
    </row>
    <row r="6973" spans="1:10" x14ac:dyDescent="0.25">
      <c r="A6973" t="s">
        <v>64</v>
      </c>
      <c r="B6973" s="1" t="str">
        <f>HYPERLINK("http://pagum.com","pagum.com")</f>
        <v>pagum.com</v>
      </c>
      <c r="C6973" t="s">
        <v>433</v>
      </c>
      <c r="F6973">
        <v>5.4384918855015596E-9</v>
      </c>
      <c r="G6973">
        <v>21635715</v>
      </c>
      <c r="H6973">
        <v>11965374</v>
      </c>
      <c r="I6973">
        <v>28793488</v>
      </c>
      <c r="J6973">
        <v>2</v>
      </c>
    </row>
    <row r="6974" spans="1:10" x14ac:dyDescent="0.25">
      <c r="A6974" t="s">
        <v>64</v>
      </c>
      <c r="B6974" s="1" t="str">
        <f>HYPERLINK("http://profuturo.com","profuturo.com")</f>
        <v>profuturo.com</v>
      </c>
      <c r="C6974" t="s">
        <v>433</v>
      </c>
      <c r="F6974">
        <v>4.6559284393052702E-9</v>
      </c>
      <c r="G6974">
        <v>43750954</v>
      </c>
      <c r="H6974">
        <v>11018367</v>
      </c>
      <c r="I6974">
        <v>33281937</v>
      </c>
      <c r="J6974">
        <v>8</v>
      </c>
    </row>
    <row r="6975" spans="1:10" x14ac:dyDescent="0.25">
      <c r="A6975" t="s">
        <v>64</v>
      </c>
      <c r="B6975" s="1" t="str">
        <f>HYPERLINK("http://scotiabank.com","scotiabank.com")</f>
        <v>scotiabank.com</v>
      </c>
      <c r="C6975" t="s">
        <v>433</v>
      </c>
      <c r="E6975">
        <v>5343</v>
      </c>
      <c r="F6975">
        <v>2.1001362470400502E-6</v>
      </c>
      <c r="G6975">
        <v>17427</v>
      </c>
      <c r="H6975">
        <v>17429030</v>
      </c>
      <c r="I6975">
        <v>17303</v>
      </c>
      <c r="J6975">
        <v>1</v>
      </c>
    </row>
    <row r="6976" spans="1:10" x14ac:dyDescent="0.25">
      <c r="A6976" t="s">
        <v>64</v>
      </c>
      <c r="B6976" s="1" t="str">
        <f>HYPERLINK("http://scotiabankcolpatria.com","scotiabankcolpatria.com")</f>
        <v>scotiabankcolpatria.com</v>
      </c>
      <c r="C6976" t="s">
        <v>433</v>
      </c>
      <c r="E6976">
        <v>90845</v>
      </c>
      <c r="F6976">
        <v>1.71819190380224E-7</v>
      </c>
      <c r="G6976">
        <v>225736</v>
      </c>
      <c r="H6976">
        <v>17016626</v>
      </c>
      <c r="I6976">
        <v>90144</v>
      </c>
      <c r="J6976">
        <v>2</v>
      </c>
    </row>
    <row r="6977" spans="1:10" x14ac:dyDescent="0.25">
      <c r="A6977" t="s">
        <v>64</v>
      </c>
      <c r="B6977" s="1" t="str">
        <f>HYPERLINK("http://scotiabankcr.com","scotiabankcr.com")</f>
        <v>scotiabankcr.com</v>
      </c>
      <c r="C6977" t="s">
        <v>433</v>
      </c>
      <c r="E6977">
        <v>269164</v>
      </c>
      <c r="F6977">
        <v>3.3955777691125702E-8</v>
      </c>
      <c r="G6977">
        <v>1524653</v>
      </c>
      <c r="H6977">
        <v>13579058</v>
      </c>
      <c r="I6977">
        <v>9692436</v>
      </c>
      <c r="J6977">
        <v>4</v>
      </c>
    </row>
    <row r="6978" spans="1:10" x14ac:dyDescent="0.25">
      <c r="A6978" t="s">
        <v>64</v>
      </c>
      <c r="B6978" s="1" t="str">
        <f>HYPERLINK("http://scotiabankvaluations.com","scotiabankvaluations.com")</f>
        <v>scotiabankvaluations.com</v>
      </c>
      <c r="C6978" t="s">
        <v>433</v>
      </c>
      <c r="F6978">
        <v>4.4450584629119799E-9</v>
      </c>
      <c r="G6978">
        <v>75704550</v>
      </c>
      <c r="H6978">
        <v>10544418</v>
      </c>
      <c r="I6978">
        <v>46985055</v>
      </c>
      <c r="J6978">
        <v>2</v>
      </c>
    </row>
    <row r="6979" spans="1:10" x14ac:dyDescent="0.25">
      <c r="A6979" t="s">
        <v>64</v>
      </c>
      <c r="B6979" s="1" t="str">
        <f>HYPERLINK("http://scotiahowardweil.com","scotiahowardweil.com")</f>
        <v>scotiahowardweil.com</v>
      </c>
      <c r="C6979" t="s">
        <v>433</v>
      </c>
      <c r="F6979">
        <v>4.6248116083865298E-9</v>
      </c>
      <c r="G6979">
        <v>45787744</v>
      </c>
      <c r="H6979">
        <v>10974036</v>
      </c>
      <c r="I6979">
        <v>34056391</v>
      </c>
      <c r="J6979">
        <v>4</v>
      </c>
    </row>
    <row r="6980" spans="1:10" x14ac:dyDescent="0.25">
      <c r="A6980" t="s">
        <v>64</v>
      </c>
      <c r="B6980" s="1" t="str">
        <f>HYPERLINK("http://scotiainverlat.com","scotiainverlat.com")</f>
        <v>scotiainverlat.com</v>
      </c>
      <c r="C6980" t="s">
        <v>433</v>
      </c>
      <c r="J6980">
        <v>3</v>
      </c>
    </row>
    <row r="6981" spans="1:10" x14ac:dyDescent="0.25">
      <c r="A6981" t="s">
        <v>64</v>
      </c>
      <c r="B6981" s="1" t="str">
        <f>HYPERLINK("http://scotiainvestmentsjm.com","scotiainvestmentsjm.com")</f>
        <v>scotiainvestmentsjm.com</v>
      </c>
      <c r="C6981" t="s">
        <v>433</v>
      </c>
      <c r="F6981">
        <v>4.87516580692302E-9</v>
      </c>
      <c r="G6981">
        <v>33235918</v>
      </c>
      <c r="H6981">
        <v>10548249</v>
      </c>
      <c r="I6981">
        <v>46767725</v>
      </c>
      <c r="J6981">
        <v>4</v>
      </c>
    </row>
    <row r="6982" spans="1:10" x14ac:dyDescent="0.25">
      <c r="A6982" t="s">
        <v>64</v>
      </c>
      <c r="B6982" s="1" t="str">
        <f>HYPERLINK("http://scotialifefinancial.com","scotialifefinancial.com")</f>
        <v>scotialifefinancial.com</v>
      </c>
      <c r="C6982" t="s">
        <v>433</v>
      </c>
      <c r="F6982">
        <v>1.16064295652424E-8</v>
      </c>
      <c r="G6982">
        <v>5428811</v>
      </c>
      <c r="H6982">
        <v>12545363</v>
      </c>
      <c r="I6982">
        <v>16885672</v>
      </c>
      <c r="J6982">
        <v>2</v>
      </c>
    </row>
    <row r="6983" spans="1:10" x14ac:dyDescent="0.25">
      <c r="A6983" t="s">
        <v>64</v>
      </c>
      <c r="B6983" s="1" t="str">
        <f>HYPERLINK("http://scotiamanagedcompanies.com","scotiamanagedcompanies.com")</f>
        <v>scotiamanagedcompanies.com</v>
      </c>
      <c r="C6983" t="s">
        <v>433</v>
      </c>
      <c r="F6983">
        <v>7.4928053322190096E-9</v>
      </c>
      <c r="G6983">
        <v>11029048</v>
      </c>
      <c r="H6983">
        <v>12894888</v>
      </c>
      <c r="I6983">
        <v>13902797</v>
      </c>
      <c r="J6983">
        <v>4</v>
      </c>
    </row>
    <row r="6984" spans="1:10" x14ac:dyDescent="0.25">
      <c r="A6984" t="s">
        <v>64</v>
      </c>
      <c r="B6984" s="1" t="str">
        <f>HYPERLINK("http://scotiamortgageauthority.com","scotiamortgageauthority.com")</f>
        <v>scotiamortgageauthority.com</v>
      </c>
      <c r="C6984" t="s">
        <v>433</v>
      </c>
      <c r="F6984">
        <v>4.5719811656462397E-9</v>
      </c>
      <c r="G6984">
        <v>50002894</v>
      </c>
      <c r="H6984">
        <v>11934659</v>
      </c>
      <c r="I6984">
        <v>29243620</v>
      </c>
      <c r="J6984">
        <v>2</v>
      </c>
    </row>
    <row r="6985" spans="1:10" x14ac:dyDescent="0.25">
      <c r="A6985" t="s">
        <v>64</v>
      </c>
      <c r="B6985" s="1" t="str">
        <f>HYPERLINK("http://scotianbank.com","scotianbank.com")</f>
        <v>scotianbank.com</v>
      </c>
      <c r="C6985" t="s">
        <v>433</v>
      </c>
      <c r="J6985">
        <v>3</v>
      </c>
    </row>
    <row r="6986" spans="1:10" x14ac:dyDescent="0.25">
      <c r="A6986" t="s">
        <v>64</v>
      </c>
      <c r="B6986" s="1" t="str">
        <f>HYPERLINK("http://scotiabank.fi.cr","scotiabank.fi.cr")</f>
        <v>scotiabank.fi.cr</v>
      </c>
      <c r="C6986" t="s">
        <v>434</v>
      </c>
      <c r="D6986" t="s">
        <v>813</v>
      </c>
      <c r="E6986">
        <v>188528</v>
      </c>
      <c r="F6986">
        <v>8.7373897464259495E-9</v>
      </c>
      <c r="G6986">
        <v>8414135</v>
      </c>
      <c r="H6986">
        <v>12268603</v>
      </c>
      <c r="I6986">
        <v>21553542</v>
      </c>
      <c r="J6986">
        <v>2</v>
      </c>
    </row>
    <row r="6987" spans="1:10" x14ac:dyDescent="0.25">
      <c r="A6987" t="s">
        <v>64</v>
      </c>
      <c r="B6987" s="1" t="str">
        <f>HYPERLINK("http://progreso.com.do","progreso.com.do")</f>
        <v>progreso.com.do</v>
      </c>
      <c r="C6987" t="s">
        <v>438</v>
      </c>
      <c r="D6987" t="s">
        <v>817</v>
      </c>
      <c r="F6987">
        <v>1.0194636931207699E-8</v>
      </c>
      <c r="G6987">
        <v>6552405</v>
      </c>
      <c r="H6987">
        <v>13934025</v>
      </c>
      <c r="I6987">
        <v>4641168</v>
      </c>
      <c r="J6987">
        <v>4</v>
      </c>
    </row>
    <row r="6988" spans="1:10" x14ac:dyDescent="0.25">
      <c r="A6988" t="s">
        <v>64</v>
      </c>
      <c r="B6988" s="1" t="str">
        <f>HYPERLINK("http://profuturo.com.mx","profuturo.com.mx")</f>
        <v>profuturo.com.mx</v>
      </c>
      <c r="C6988" t="s">
        <v>471</v>
      </c>
      <c r="D6988" t="s">
        <v>847</v>
      </c>
      <c r="J6988">
        <v>8</v>
      </c>
    </row>
    <row r="6989" spans="1:10" x14ac:dyDescent="0.25">
      <c r="A6989" t="s">
        <v>64</v>
      </c>
      <c r="B6989" s="1" t="str">
        <f>HYPERLINK("http://profuturognp.com.mx","profuturognp.com.mx")</f>
        <v>profuturognp.com.mx</v>
      </c>
      <c r="C6989" t="s">
        <v>471</v>
      </c>
      <c r="D6989" t="s">
        <v>847</v>
      </c>
      <c r="F6989">
        <v>4.97875841021746E-9</v>
      </c>
      <c r="G6989">
        <v>30027454</v>
      </c>
      <c r="H6989">
        <v>12361518</v>
      </c>
      <c r="I6989">
        <v>19558320</v>
      </c>
      <c r="J6989">
        <v>8</v>
      </c>
    </row>
    <row r="6990" spans="1:10" x14ac:dyDescent="0.25">
      <c r="A6990" t="s">
        <v>64</v>
      </c>
      <c r="B6990" s="1" t="str">
        <f>HYPERLINK("http://scotiabank.com.mx","scotiabank.com.mx")</f>
        <v>scotiabank.com.mx</v>
      </c>
      <c r="C6990" t="s">
        <v>471</v>
      </c>
      <c r="D6990" t="s">
        <v>847</v>
      </c>
      <c r="E6990">
        <v>55436</v>
      </c>
      <c r="F6990">
        <v>9.4567490017424903E-8</v>
      </c>
      <c r="G6990">
        <v>429002</v>
      </c>
      <c r="H6990">
        <v>14731044</v>
      </c>
      <c r="I6990">
        <v>571973</v>
      </c>
      <c r="J6990">
        <v>2</v>
      </c>
    </row>
    <row r="6991" spans="1:10" x14ac:dyDescent="0.25">
      <c r="A6991" t="s">
        <v>64</v>
      </c>
      <c r="B6991" s="1" t="str">
        <f>HYPERLINK("http://scotiabankinverlat.com.mx","scotiabankinverlat.com.mx")</f>
        <v>scotiabankinverlat.com.mx</v>
      </c>
      <c r="C6991" t="s">
        <v>471</v>
      </c>
      <c r="D6991" t="s">
        <v>847</v>
      </c>
      <c r="F6991">
        <v>4.5190222327729697E-9</v>
      </c>
      <c r="G6991">
        <v>56351123</v>
      </c>
      <c r="H6991">
        <v>10786716</v>
      </c>
      <c r="I6991">
        <v>38626939</v>
      </c>
      <c r="J6991">
        <v>4</v>
      </c>
    </row>
    <row r="6992" spans="1:10" x14ac:dyDescent="0.25">
      <c r="A6992" t="s">
        <v>64</v>
      </c>
      <c r="B6992" s="1" t="str">
        <f>HYPERLINK("http://wwwprofuturo.com.mx","wwwprofuturo.com.mx")</f>
        <v>wwwprofuturo.com.mx</v>
      </c>
      <c r="C6992" t="s">
        <v>471</v>
      </c>
      <c r="D6992" t="s">
        <v>847</v>
      </c>
      <c r="J6992">
        <v>8</v>
      </c>
    </row>
    <row r="6993" spans="1:10" x14ac:dyDescent="0.25">
      <c r="A6993" t="s">
        <v>64</v>
      </c>
      <c r="B6993" s="1" t="str">
        <f>HYPERLINK("http://profuturo.mx","profuturo.mx")</f>
        <v>profuturo.mx</v>
      </c>
      <c r="C6993" t="s">
        <v>471</v>
      </c>
      <c r="D6993" t="s">
        <v>847</v>
      </c>
      <c r="E6993">
        <v>398691</v>
      </c>
      <c r="F6993">
        <v>2.01069896555766E-8</v>
      </c>
      <c r="G6993">
        <v>2642859</v>
      </c>
      <c r="H6993">
        <v>14073462</v>
      </c>
      <c r="I6993">
        <v>2993362</v>
      </c>
      <c r="J6993">
        <v>6</v>
      </c>
    </row>
    <row r="6994" spans="1:10" x14ac:dyDescent="0.25">
      <c r="A6994" t="s">
        <v>64</v>
      </c>
      <c r="B6994" s="1" t="str">
        <f>HYPERLINK("http://scotiabank,com.mx","scotiabank,com.mx")</f>
        <v>scotiabank,com.mx</v>
      </c>
      <c r="C6994" t="s">
        <v>471</v>
      </c>
      <c r="D6994" t="s">
        <v>847</v>
      </c>
      <c r="J6994">
        <v>4</v>
      </c>
    </row>
    <row r="6995" spans="1:10" x14ac:dyDescent="0.25">
      <c r="A6995" t="s">
        <v>64</v>
      </c>
      <c r="B6995" s="1" t="str">
        <f>HYPERLINK("http://scotiabank.com.my","scotiabank.com.my")</f>
        <v>scotiabank.com.my</v>
      </c>
      <c r="C6995" t="s">
        <v>472</v>
      </c>
      <c r="D6995" t="s">
        <v>848</v>
      </c>
      <c r="F6995">
        <v>1.1996443724150901E-8</v>
      </c>
      <c r="G6995">
        <v>5178994</v>
      </c>
      <c r="H6995">
        <v>13122306</v>
      </c>
      <c r="I6995">
        <v>11984316</v>
      </c>
      <c r="J6995">
        <v>2</v>
      </c>
    </row>
    <row r="6996" spans="1:10" x14ac:dyDescent="0.25">
      <c r="A6996" t="s">
        <v>64</v>
      </c>
      <c r="B6996" s="1" t="str">
        <f>HYPERLINK("http://scointnet.net","scointnet.net")</f>
        <v>scointnet.net</v>
      </c>
      <c r="C6996" t="s">
        <v>474</v>
      </c>
      <c r="F6996">
        <v>7.3685780433047199E-9</v>
      </c>
      <c r="G6996">
        <v>11317127</v>
      </c>
      <c r="H6996">
        <v>12229323</v>
      </c>
      <c r="I6996">
        <v>22521412</v>
      </c>
      <c r="J6996">
        <v>2</v>
      </c>
    </row>
    <row r="6997" spans="1:10" x14ac:dyDescent="0.25">
      <c r="A6997" t="s">
        <v>64</v>
      </c>
      <c r="B6997" s="1" t="str">
        <f>HYPERLINK("http://crediscotia.com.pe","crediscotia.com.pe")</f>
        <v>crediscotia.com.pe</v>
      </c>
      <c r="C6997" t="s">
        <v>483</v>
      </c>
      <c r="D6997" t="s">
        <v>857</v>
      </c>
      <c r="E6997">
        <v>274741</v>
      </c>
      <c r="F6997">
        <v>2.05483776949082E-8</v>
      </c>
      <c r="G6997">
        <v>2577843</v>
      </c>
      <c r="H6997">
        <v>13766931</v>
      </c>
      <c r="I6997">
        <v>6965819</v>
      </c>
      <c r="J6997">
        <v>4</v>
      </c>
    </row>
    <row r="6998" spans="1:10" x14ac:dyDescent="0.25">
      <c r="A6998" t="s">
        <v>64</v>
      </c>
      <c r="B6998" s="1" t="str">
        <f>HYPERLINK("http://disfrutaprofuturo.com.pe","disfrutaprofuturo.com.pe")</f>
        <v>disfrutaprofuturo.com.pe</v>
      </c>
      <c r="C6998" t="s">
        <v>483</v>
      </c>
      <c r="D6998" t="s">
        <v>857</v>
      </c>
      <c r="F6998">
        <v>6.0438442345770696E-9</v>
      </c>
      <c r="G6998">
        <v>16418651</v>
      </c>
      <c r="H6998">
        <v>10422454</v>
      </c>
      <c r="I6998">
        <v>53923824</v>
      </c>
      <c r="J6998">
        <v>2</v>
      </c>
    </row>
    <row r="6999" spans="1:10" x14ac:dyDescent="0.25">
      <c r="A6999" t="s">
        <v>64</v>
      </c>
      <c r="B6999" s="1" t="str">
        <f>HYPERLINK("http://profuturo.com.pe","profuturo.com.pe")</f>
        <v>profuturo.com.pe</v>
      </c>
      <c r="C6999" t="s">
        <v>483</v>
      </c>
      <c r="D6999" t="s">
        <v>857</v>
      </c>
      <c r="E6999">
        <v>70937</v>
      </c>
      <c r="F6999">
        <v>3.4376621380749303E-8</v>
      </c>
      <c r="G6999">
        <v>1508433</v>
      </c>
      <c r="H6999">
        <v>13091671</v>
      </c>
      <c r="I6999">
        <v>12140483</v>
      </c>
      <c r="J6999">
        <v>2</v>
      </c>
    </row>
    <row r="7000" spans="1:10" x14ac:dyDescent="0.25">
      <c r="A7000" t="s">
        <v>64</v>
      </c>
      <c r="B7000" s="1" t="str">
        <f>HYPERLINK("http://scotiabank.com.pe","scotiabank.com.pe")</f>
        <v>scotiabank.com.pe</v>
      </c>
      <c r="C7000" t="s">
        <v>483</v>
      </c>
      <c r="D7000" t="s">
        <v>857</v>
      </c>
      <c r="E7000">
        <v>68971</v>
      </c>
      <c r="F7000">
        <v>1.3689017317174699E-7</v>
      </c>
      <c r="G7000">
        <v>284736</v>
      </c>
      <c r="H7000">
        <v>17053620</v>
      </c>
      <c r="I7000">
        <v>75596</v>
      </c>
      <c r="J7000">
        <v>2</v>
      </c>
    </row>
    <row r="7001" spans="1:10" x14ac:dyDescent="0.25">
      <c r="A7001" t="s">
        <v>64</v>
      </c>
      <c r="B7001" s="1" t="str">
        <f>HYPERLINK("http://scotiabank.com.uy","scotiabank.com.uy")</f>
        <v>scotiabank.com.uy</v>
      </c>
      <c r="C7001" t="s">
        <v>507</v>
      </c>
      <c r="D7001" t="s">
        <v>881</v>
      </c>
      <c r="E7001">
        <v>305088</v>
      </c>
      <c r="F7001">
        <v>6.6179770821720599E-8</v>
      </c>
      <c r="G7001">
        <v>648158</v>
      </c>
      <c r="H7001">
        <v>12792531</v>
      </c>
      <c r="I7001">
        <v>14676281</v>
      </c>
      <c r="J7001">
        <v>2</v>
      </c>
    </row>
    <row r="7002" spans="1:10" x14ac:dyDescent="0.25">
      <c r="A7002" t="s">
        <v>1596</v>
      </c>
      <c r="B7002" s="1" t="str">
        <f>HYPERLINK("http://bayan.com.sg","bayan.com.sg")</f>
        <v>bayan.com.sg</v>
      </c>
      <c r="C7002" t="s">
        <v>496</v>
      </c>
      <c r="D7002" t="s">
        <v>870</v>
      </c>
      <c r="F7002">
        <v>1.44112601510234E-8</v>
      </c>
      <c r="G7002">
        <v>4053276</v>
      </c>
      <c r="H7002">
        <v>13578592</v>
      </c>
      <c r="I7002">
        <v>9693740</v>
      </c>
      <c r="J7002">
        <v>1</v>
      </c>
    </row>
    <row r="7003" spans="1:10" x14ac:dyDescent="0.25">
      <c r="A7003" t="s">
        <v>65</v>
      </c>
      <c r="B7003" s="1" t="str">
        <f>HYPERLINK("http://bayer.ae","bayer.ae")</f>
        <v>bayer.ae</v>
      </c>
      <c r="C7003" t="s">
        <v>417</v>
      </c>
      <c r="D7003" t="s">
        <v>799</v>
      </c>
      <c r="F7003">
        <v>7.2174551397112303E-9</v>
      </c>
      <c r="G7003">
        <v>11694577</v>
      </c>
      <c r="H7003">
        <v>12519898</v>
      </c>
      <c r="I7003">
        <v>17153264</v>
      </c>
      <c r="J7003">
        <v>3</v>
      </c>
    </row>
    <row r="7004" spans="1:10" x14ac:dyDescent="0.25">
      <c r="A7004" t="s">
        <v>65</v>
      </c>
      <c r="B7004" s="1" t="str">
        <f>HYPERLINK("http://bayer.africa","bayer.africa")</f>
        <v>bayer.africa</v>
      </c>
      <c r="C7004" t="s">
        <v>523</v>
      </c>
      <c r="F7004">
        <v>1.22570197352418E-8</v>
      </c>
      <c r="G7004">
        <v>5018425</v>
      </c>
      <c r="H7004">
        <v>13000122</v>
      </c>
      <c r="I7004">
        <v>12795367</v>
      </c>
      <c r="J7004">
        <v>3</v>
      </c>
    </row>
    <row r="7005" spans="1:10" x14ac:dyDescent="0.25">
      <c r="A7005" t="s">
        <v>65</v>
      </c>
      <c r="B7005" s="1" t="str">
        <f>HYPERLINK("http://bayer.ar","bayer.ar")</f>
        <v>bayer.ar</v>
      </c>
      <c r="C7005" t="s">
        <v>418</v>
      </c>
      <c r="D7005" t="s">
        <v>800</v>
      </c>
      <c r="F7005">
        <v>7.2174551397112501E-9</v>
      </c>
      <c r="G7005">
        <v>11694573</v>
      </c>
      <c r="H7005">
        <v>12519898</v>
      </c>
      <c r="I7005">
        <v>17153265</v>
      </c>
      <c r="J7005">
        <v>3</v>
      </c>
    </row>
    <row r="7006" spans="1:10" x14ac:dyDescent="0.25">
      <c r="A7006" t="s">
        <v>65</v>
      </c>
      <c r="B7006" s="1" t="str">
        <f>HYPERLINK("http://bayer.com.ar","bayer.com.ar")</f>
        <v>bayer.com.ar</v>
      </c>
      <c r="C7006" t="s">
        <v>418</v>
      </c>
      <c r="D7006" t="s">
        <v>800</v>
      </c>
      <c r="F7006">
        <v>3.0011637005202097E-8</v>
      </c>
      <c r="G7006">
        <v>1714361</v>
      </c>
      <c r="H7006">
        <v>13941845</v>
      </c>
      <c r="I7006">
        <v>4340687</v>
      </c>
      <c r="J7006">
        <v>2</v>
      </c>
    </row>
    <row r="7007" spans="1:10" x14ac:dyDescent="0.25">
      <c r="A7007" t="s">
        <v>65</v>
      </c>
      <c r="B7007" s="1" t="str">
        <f>HYPERLINK("http://dekalb.com.ar","dekalb.com.ar")</f>
        <v>dekalb.com.ar</v>
      </c>
      <c r="C7007" t="s">
        <v>418</v>
      </c>
      <c r="D7007" t="s">
        <v>800</v>
      </c>
      <c r="F7007">
        <v>9.8928969269069692E-9</v>
      </c>
      <c r="G7007">
        <v>6866944</v>
      </c>
      <c r="H7007">
        <v>11266614</v>
      </c>
      <c r="I7007">
        <v>30785126</v>
      </c>
      <c r="J7007">
        <v>5</v>
      </c>
    </row>
    <row r="7008" spans="1:10" x14ac:dyDescent="0.25">
      <c r="A7008" t="s">
        <v>65</v>
      </c>
      <c r="B7008" s="1" t="str">
        <f>HYPERLINK("http://bayer.at","bayer.at")</f>
        <v>bayer.at</v>
      </c>
      <c r="C7008" t="s">
        <v>419</v>
      </c>
      <c r="D7008" t="s">
        <v>801</v>
      </c>
      <c r="F7008">
        <v>1.7478526150158899E-7</v>
      </c>
      <c r="G7008">
        <v>221860</v>
      </c>
      <c r="H7008">
        <v>14129487</v>
      </c>
      <c r="I7008">
        <v>2045076</v>
      </c>
      <c r="J7008">
        <v>2</v>
      </c>
    </row>
    <row r="7009" spans="1:10" x14ac:dyDescent="0.25">
      <c r="A7009" t="s">
        <v>65</v>
      </c>
      <c r="B7009" s="1" t="str">
        <f>HYPERLINK("http://bayer.com.au","bayer.com.au")</f>
        <v>bayer.com.au</v>
      </c>
      <c r="C7009" t="s">
        <v>420</v>
      </c>
      <c r="D7009" t="s">
        <v>802</v>
      </c>
      <c r="E7009">
        <v>657089</v>
      </c>
      <c r="F7009">
        <v>6.7591897728961806E-8</v>
      </c>
      <c r="G7009">
        <v>632033</v>
      </c>
      <c r="H7009">
        <v>14242672</v>
      </c>
      <c r="I7009">
        <v>1482435</v>
      </c>
      <c r="J7009">
        <v>3</v>
      </c>
    </row>
    <row r="7010" spans="1:10" x14ac:dyDescent="0.25">
      <c r="A7010" t="s">
        <v>65</v>
      </c>
      <c r="B7010" s="1" t="str">
        <f>HYPERLINK("http://bayercropscience.com.au","bayercropscience.com.au")</f>
        <v>bayercropscience.com.au</v>
      </c>
      <c r="C7010" t="s">
        <v>420</v>
      </c>
      <c r="D7010" t="s">
        <v>802</v>
      </c>
      <c r="F7010">
        <v>1.02345855317908E-8</v>
      </c>
      <c r="G7010">
        <v>6513306</v>
      </c>
      <c r="H7010">
        <v>13288568</v>
      </c>
      <c r="I7010">
        <v>10881858</v>
      </c>
      <c r="J7010">
        <v>4</v>
      </c>
    </row>
    <row r="7011" spans="1:10" x14ac:dyDescent="0.25">
      <c r="A7011" t="s">
        <v>65</v>
      </c>
      <c r="B7011" s="1" t="str">
        <f>HYPERLINK("http://bayer.com.bd","bayer.com.bd")</f>
        <v>bayer.com.bd</v>
      </c>
      <c r="C7011" t="s">
        <v>603</v>
      </c>
      <c r="D7011" t="s">
        <v>934</v>
      </c>
      <c r="F7011">
        <v>7.2174551397112501E-9</v>
      </c>
      <c r="G7011">
        <v>11694576</v>
      </c>
      <c r="H7011">
        <v>12519898</v>
      </c>
      <c r="I7011">
        <v>17153271</v>
      </c>
      <c r="J7011">
        <v>3</v>
      </c>
    </row>
    <row r="7012" spans="1:10" x14ac:dyDescent="0.25">
      <c r="A7012" t="s">
        <v>65</v>
      </c>
      <c r="B7012" s="1" t="str">
        <f>HYPERLINK("http://bayer.be","bayer.be")</f>
        <v>bayer.be</v>
      </c>
      <c r="C7012" t="s">
        <v>421</v>
      </c>
      <c r="D7012" t="s">
        <v>803</v>
      </c>
      <c r="F7012">
        <v>4.5970326624956299E-8</v>
      </c>
      <c r="G7012">
        <v>1021374</v>
      </c>
      <c r="H7012">
        <v>13966008</v>
      </c>
      <c r="I7012">
        <v>4088903</v>
      </c>
      <c r="J7012">
        <v>2</v>
      </c>
    </row>
    <row r="7013" spans="1:10" x14ac:dyDescent="0.25">
      <c r="A7013" t="s">
        <v>65</v>
      </c>
      <c r="B7013" s="1" t="str">
        <f>HYPERLINK("http://bayercropscience.be","bayercropscience.be")</f>
        <v>bayercropscience.be</v>
      </c>
      <c r="C7013" t="s">
        <v>421</v>
      </c>
      <c r="D7013" t="s">
        <v>803</v>
      </c>
      <c r="F7013">
        <v>7.1128136451122203E-9</v>
      </c>
      <c r="G7013">
        <v>11978659</v>
      </c>
      <c r="H7013">
        <v>14071795</v>
      </c>
      <c r="I7013">
        <v>3335233</v>
      </c>
      <c r="J7013">
        <v>4</v>
      </c>
    </row>
    <row r="7014" spans="1:10" x14ac:dyDescent="0.25">
      <c r="A7014" t="s">
        <v>65</v>
      </c>
      <c r="B7014" s="1" t="str">
        <f>HYPERLINK("http://bayer.bg","bayer.bg")</f>
        <v>bayer.bg</v>
      </c>
      <c r="C7014" t="s">
        <v>422</v>
      </c>
      <c r="D7014" t="s">
        <v>804</v>
      </c>
      <c r="F7014">
        <v>1.9937000845796E-8</v>
      </c>
      <c r="G7014">
        <v>2668915</v>
      </c>
      <c r="H7014">
        <v>14087481</v>
      </c>
      <c r="I7014">
        <v>2763513</v>
      </c>
      <c r="J7014">
        <v>3</v>
      </c>
    </row>
    <row r="7015" spans="1:10" x14ac:dyDescent="0.25">
      <c r="A7015" t="s">
        <v>65</v>
      </c>
      <c r="B7015" s="1" t="str">
        <f>HYPERLINK("http://unfold.bio","unfold.bio")</f>
        <v>unfold.bio</v>
      </c>
      <c r="C7015" t="s">
        <v>728</v>
      </c>
      <c r="J7015">
        <v>3</v>
      </c>
    </row>
    <row r="7016" spans="1:10" x14ac:dyDescent="0.25">
      <c r="A7016" t="s">
        <v>65</v>
      </c>
      <c r="B7016" s="1" t="str">
        <f>HYPERLINK("http://bayer.bo","bayer.bo")</f>
        <v>bayer.bo</v>
      </c>
      <c r="C7016" t="s">
        <v>424</v>
      </c>
      <c r="D7016" t="s">
        <v>805</v>
      </c>
      <c r="F7016">
        <v>8.0328759403168294E-9</v>
      </c>
      <c r="G7016">
        <v>9861216</v>
      </c>
      <c r="H7016">
        <v>12519937</v>
      </c>
      <c r="I7016">
        <v>17152955</v>
      </c>
      <c r="J7016">
        <v>3</v>
      </c>
    </row>
    <row r="7017" spans="1:10" x14ac:dyDescent="0.25">
      <c r="A7017" t="s">
        <v>65</v>
      </c>
      <c r="B7017" s="1" t="str">
        <f>HYPERLINK("http://bayer.com.br","bayer.com.br")</f>
        <v>bayer.com.br</v>
      </c>
      <c r="C7017" t="s">
        <v>425</v>
      </c>
      <c r="D7017" t="s">
        <v>806</v>
      </c>
      <c r="E7017">
        <v>313778</v>
      </c>
      <c r="F7017">
        <v>7.5934410521022104E-8</v>
      </c>
      <c r="G7017">
        <v>553227</v>
      </c>
      <c r="H7017">
        <v>14319577</v>
      </c>
      <c r="I7017">
        <v>1332369</v>
      </c>
      <c r="J7017">
        <v>3</v>
      </c>
    </row>
    <row r="7018" spans="1:10" x14ac:dyDescent="0.25">
      <c r="A7018" t="s">
        <v>65</v>
      </c>
      <c r="B7018" s="1" t="str">
        <f>HYPERLINK("http://monsanto.com.br","monsanto.com.br")</f>
        <v>monsanto.com.br</v>
      </c>
      <c r="C7018" t="s">
        <v>425</v>
      </c>
      <c r="D7018" t="s">
        <v>806</v>
      </c>
      <c r="F7018">
        <v>6.8951310823108099E-9</v>
      </c>
      <c r="G7018">
        <v>12649876</v>
      </c>
      <c r="H7018">
        <v>14236440</v>
      </c>
      <c r="I7018">
        <v>1586025</v>
      </c>
      <c r="J7018">
        <v>3</v>
      </c>
    </row>
    <row r="7019" spans="1:10" x14ac:dyDescent="0.25">
      <c r="A7019" t="s">
        <v>65</v>
      </c>
      <c r="B7019" s="1" t="str">
        <f>HYPERLINK("http://schering.com.br","schering.com.br")</f>
        <v>schering.com.br</v>
      </c>
      <c r="C7019" t="s">
        <v>425</v>
      </c>
      <c r="D7019" t="s">
        <v>806</v>
      </c>
      <c r="F7019">
        <v>4.6457259257540403E-9</v>
      </c>
      <c r="G7019">
        <v>44408017</v>
      </c>
      <c r="H7019">
        <v>13763636</v>
      </c>
      <c r="I7019">
        <v>8057585</v>
      </c>
      <c r="J7019">
        <v>4</v>
      </c>
    </row>
    <row r="7020" spans="1:10" x14ac:dyDescent="0.25">
      <c r="A7020" t="s">
        <v>65</v>
      </c>
      <c r="B7020" s="1" t="str">
        <f>HYPERLINK("http://bayer.ca","bayer.ca")</f>
        <v>bayer.ca</v>
      </c>
      <c r="C7020" t="s">
        <v>428</v>
      </c>
      <c r="D7020" t="s">
        <v>809</v>
      </c>
      <c r="E7020">
        <v>190193</v>
      </c>
      <c r="F7020">
        <v>3.1495982659767101E-7</v>
      </c>
      <c r="G7020">
        <v>118036</v>
      </c>
      <c r="H7020">
        <v>17178254</v>
      </c>
      <c r="I7020">
        <v>45934</v>
      </c>
      <c r="J7020">
        <v>3</v>
      </c>
    </row>
    <row r="7021" spans="1:10" x14ac:dyDescent="0.25">
      <c r="A7021" t="s">
        <v>65</v>
      </c>
      <c r="B7021" s="1" t="str">
        <f>HYPERLINK("http://bayer.ch","bayer.ch")</f>
        <v>bayer.ch</v>
      </c>
      <c r="C7021" t="s">
        <v>429</v>
      </c>
      <c r="D7021" t="s">
        <v>810</v>
      </c>
      <c r="F7021">
        <v>1.2540223726266199E-7</v>
      </c>
      <c r="G7021">
        <v>314591</v>
      </c>
      <c r="H7021">
        <v>16928810</v>
      </c>
      <c r="I7021">
        <v>119380</v>
      </c>
      <c r="J7021">
        <v>2</v>
      </c>
    </row>
    <row r="7022" spans="1:10" x14ac:dyDescent="0.25">
      <c r="A7022" t="s">
        <v>65</v>
      </c>
      <c r="B7022" s="1" t="str">
        <f>HYPERLINK("http://bayer.cl","bayer.cl")</f>
        <v>bayer.cl</v>
      </c>
      <c r="C7022" t="s">
        <v>430</v>
      </c>
      <c r="D7022" t="s">
        <v>811</v>
      </c>
      <c r="F7022">
        <v>1.7408445676533099E-8</v>
      </c>
      <c r="G7022">
        <v>3171202</v>
      </c>
      <c r="H7022">
        <v>14238811</v>
      </c>
      <c r="I7022">
        <v>1520699</v>
      </c>
      <c r="J7022">
        <v>3</v>
      </c>
    </row>
    <row r="7023" spans="1:10" x14ac:dyDescent="0.25">
      <c r="A7023" t="s">
        <v>65</v>
      </c>
      <c r="B7023" s="1" t="str">
        <f>HYPERLINK("http://bayer.cn","bayer.cn")</f>
        <v>bayer.cn</v>
      </c>
      <c r="C7023" t="s">
        <v>431</v>
      </c>
      <c r="D7023" t="s">
        <v>812</v>
      </c>
      <c r="F7023">
        <v>1.6927226428284501E-8</v>
      </c>
      <c r="G7023">
        <v>3300598</v>
      </c>
      <c r="H7023">
        <v>12593279</v>
      </c>
      <c r="I7023">
        <v>16386617</v>
      </c>
      <c r="J7023">
        <v>2</v>
      </c>
    </row>
    <row r="7024" spans="1:10" x14ac:dyDescent="0.25">
      <c r="A7024" t="s">
        <v>65</v>
      </c>
      <c r="B7024" s="1" t="str">
        <f>HYPERLINK("http://bayer.com.cn","bayer.com.cn")</f>
        <v>bayer.com.cn</v>
      </c>
      <c r="C7024" t="s">
        <v>431</v>
      </c>
      <c r="D7024" t="s">
        <v>812</v>
      </c>
      <c r="E7024">
        <v>732291</v>
      </c>
      <c r="F7024">
        <v>1.7885723072159699E-7</v>
      </c>
      <c r="G7024">
        <v>216071</v>
      </c>
      <c r="H7024">
        <v>13597283</v>
      </c>
      <c r="I7024">
        <v>9654833</v>
      </c>
      <c r="J7024">
        <v>3</v>
      </c>
    </row>
    <row r="7025" spans="1:10" x14ac:dyDescent="0.25">
      <c r="A7025" t="s">
        <v>65</v>
      </c>
      <c r="B7025" s="1" t="str">
        <f>HYPERLINK("http://seminischina.com.cn","seminischina.com.cn")</f>
        <v>seminischina.com.cn</v>
      </c>
      <c r="C7025" t="s">
        <v>431</v>
      </c>
      <c r="D7025" t="s">
        <v>812</v>
      </c>
      <c r="F7025">
        <v>4.8691968487924796E-9</v>
      </c>
      <c r="G7025">
        <v>33432733</v>
      </c>
      <c r="H7025">
        <v>11028087</v>
      </c>
      <c r="I7025">
        <v>33132598</v>
      </c>
      <c r="J7025">
        <v>3</v>
      </c>
    </row>
    <row r="7026" spans="1:10" x14ac:dyDescent="0.25">
      <c r="A7026" t="s">
        <v>65</v>
      </c>
      <c r="B7026" s="1" t="str">
        <f>HYPERLINK("http://bayer.co","bayer.co")</f>
        <v>bayer.co</v>
      </c>
      <c r="C7026" t="s">
        <v>432</v>
      </c>
      <c r="F7026">
        <v>1.7930560452389199E-8</v>
      </c>
      <c r="G7026">
        <v>3047109</v>
      </c>
      <c r="H7026">
        <v>13021598</v>
      </c>
      <c r="I7026">
        <v>12706520</v>
      </c>
      <c r="J7026">
        <v>3</v>
      </c>
    </row>
    <row r="7027" spans="1:10" x14ac:dyDescent="0.25">
      <c r="A7027" t="s">
        <v>65</v>
      </c>
      <c r="B7027" s="1" t="str">
        <f>HYPERLINK("http://agraquest.com","agraquest.com")</f>
        <v>agraquest.com</v>
      </c>
      <c r="C7027" t="s">
        <v>433</v>
      </c>
      <c r="F7027">
        <v>1.15453269075482E-8</v>
      </c>
      <c r="G7027">
        <v>5472119</v>
      </c>
      <c r="H7027">
        <v>13830877</v>
      </c>
      <c r="I7027">
        <v>6107818</v>
      </c>
      <c r="J7027">
        <v>5</v>
      </c>
    </row>
    <row r="7028" spans="1:10" x14ac:dyDescent="0.25">
      <c r="A7028" t="s">
        <v>65</v>
      </c>
      <c r="B7028" s="1" t="str">
        <f>HYPERLINK("http://arvegenix.com","arvegenix.com")</f>
        <v>arvegenix.com</v>
      </c>
      <c r="C7028" t="s">
        <v>433</v>
      </c>
      <c r="F7028">
        <v>5.9447887511019602E-9</v>
      </c>
      <c r="G7028">
        <v>17055600</v>
      </c>
      <c r="H7028">
        <v>12732056</v>
      </c>
      <c r="I7028">
        <v>15187960</v>
      </c>
      <c r="J7028">
        <v>6</v>
      </c>
    </row>
    <row r="7029" spans="1:10" x14ac:dyDescent="0.25">
      <c r="A7029" t="s">
        <v>65</v>
      </c>
      <c r="B7029" s="1" t="str">
        <f>HYPERLINK("http://askbio.com","askbio.com")</f>
        <v>askbio.com</v>
      </c>
      <c r="C7029" t="s">
        <v>433</v>
      </c>
      <c r="E7029">
        <v>916096</v>
      </c>
      <c r="F7029">
        <v>6.3544586622972402E-8</v>
      </c>
      <c r="G7029">
        <v>683519</v>
      </c>
      <c r="H7029">
        <v>13775438</v>
      </c>
      <c r="I7029">
        <v>6581777</v>
      </c>
      <c r="J7029">
        <v>3</v>
      </c>
    </row>
    <row r="7030" spans="1:10" x14ac:dyDescent="0.25">
      <c r="A7030" t="s">
        <v>65</v>
      </c>
      <c r="B7030" s="1" t="str">
        <f>HYPERLINK("http://athenixcorp.com","athenixcorp.com")</f>
        <v>athenixcorp.com</v>
      </c>
      <c r="C7030" t="s">
        <v>433</v>
      </c>
      <c r="F7030">
        <v>5.6213331599023096E-9</v>
      </c>
      <c r="G7030">
        <v>19656449</v>
      </c>
      <c r="H7030">
        <v>13212516</v>
      </c>
      <c r="I7030">
        <v>11395590</v>
      </c>
      <c r="J7030">
        <v>3</v>
      </c>
    </row>
    <row r="7031" spans="1:10" x14ac:dyDescent="0.25">
      <c r="A7031" t="s">
        <v>65</v>
      </c>
      <c r="B7031" s="1" t="str">
        <f>HYPERLINK("http://bayer.com","bayer.com")</f>
        <v>bayer.com</v>
      </c>
      <c r="C7031" t="s">
        <v>433</v>
      </c>
      <c r="E7031">
        <v>6755</v>
      </c>
      <c r="F7031">
        <v>6.7416024713084904E-6</v>
      </c>
      <c r="G7031">
        <v>4984</v>
      </c>
      <c r="H7031">
        <v>18031336</v>
      </c>
      <c r="I7031">
        <v>3488</v>
      </c>
      <c r="J7031">
        <v>2</v>
      </c>
    </row>
    <row r="7032" spans="1:10" x14ac:dyDescent="0.25">
      <c r="A7032" t="s">
        <v>65</v>
      </c>
      <c r="B7032" s="1" t="str">
        <f>HYPERLINK("http://bayercropscience.com","bayercropscience.com")</f>
        <v>bayercropscience.com</v>
      </c>
      <c r="C7032" t="s">
        <v>433</v>
      </c>
      <c r="E7032">
        <v>639889</v>
      </c>
      <c r="F7032">
        <v>8.9449765746862306E-8</v>
      </c>
      <c r="G7032">
        <v>456660</v>
      </c>
      <c r="H7032">
        <v>14750805</v>
      </c>
      <c r="I7032">
        <v>563494</v>
      </c>
      <c r="J7032">
        <v>3</v>
      </c>
    </row>
    <row r="7033" spans="1:10" x14ac:dyDescent="0.25">
      <c r="A7033" t="s">
        <v>65</v>
      </c>
      <c r="B7033" s="1" t="str">
        <f>HYPERLINK("http://bayerhealthcare.com","bayerhealthcare.com")</f>
        <v>bayerhealthcare.com</v>
      </c>
      <c r="C7033" t="s">
        <v>433</v>
      </c>
      <c r="E7033">
        <v>410098</v>
      </c>
      <c r="F7033">
        <v>3.0570564031021498E-7</v>
      </c>
      <c r="G7033">
        <v>121596</v>
      </c>
      <c r="H7033">
        <v>15334265</v>
      </c>
      <c r="I7033">
        <v>383737</v>
      </c>
      <c r="J7033">
        <v>5</v>
      </c>
    </row>
    <row r="7034" spans="1:10" x14ac:dyDescent="0.25">
      <c r="A7034" t="s">
        <v>65</v>
      </c>
      <c r="B7034" s="1" t="str">
        <f>HYPERLINK("http://bayerpharma.com","bayerpharma.com")</f>
        <v>bayerpharma.com</v>
      </c>
      <c r="C7034" t="s">
        <v>433</v>
      </c>
      <c r="F7034">
        <v>4.0722165622176003E-8</v>
      </c>
      <c r="G7034">
        <v>1272691</v>
      </c>
      <c r="H7034">
        <v>14750122</v>
      </c>
      <c r="I7034">
        <v>563734</v>
      </c>
      <c r="J7034">
        <v>3</v>
      </c>
    </row>
    <row r="7035" spans="1:10" x14ac:dyDescent="0.25">
      <c r="A7035" t="s">
        <v>65</v>
      </c>
      <c r="B7035" s="1" t="str">
        <f>HYPERLINK("http://bayerus.com","bayerus.com")</f>
        <v>bayerus.com</v>
      </c>
      <c r="C7035" t="s">
        <v>433</v>
      </c>
      <c r="F7035">
        <v>5.4454812401452503E-8</v>
      </c>
      <c r="G7035">
        <v>828792</v>
      </c>
      <c r="H7035">
        <v>14837715</v>
      </c>
      <c r="I7035">
        <v>499519</v>
      </c>
      <c r="J7035">
        <v>3</v>
      </c>
    </row>
    <row r="7036" spans="1:10" x14ac:dyDescent="0.25">
      <c r="A7036" t="s">
        <v>65</v>
      </c>
      <c r="B7036" s="1" t="str">
        <f>HYPERLINK("http://bayerzyduspharma.com","bayerzyduspharma.com")</f>
        <v>bayerzyduspharma.com</v>
      </c>
      <c r="C7036" t="s">
        <v>433</v>
      </c>
      <c r="F7036">
        <v>5.7446043829878403E-9</v>
      </c>
      <c r="G7036">
        <v>18541228</v>
      </c>
      <c r="H7036">
        <v>12084235</v>
      </c>
      <c r="I7036">
        <v>26457347</v>
      </c>
      <c r="J7036">
        <v>3</v>
      </c>
    </row>
    <row r="7037" spans="1:10" x14ac:dyDescent="0.25">
      <c r="A7037" t="s">
        <v>65</v>
      </c>
      <c r="B7037" s="1" t="str">
        <f>HYPERLINK("http://beeologics.com","beeologics.com")</f>
        <v>beeologics.com</v>
      </c>
      <c r="C7037" t="s">
        <v>433</v>
      </c>
      <c r="F7037">
        <v>1.3766142683067901E-8</v>
      </c>
      <c r="G7037">
        <v>4294788</v>
      </c>
      <c r="H7037">
        <v>14500162</v>
      </c>
      <c r="I7037">
        <v>854386</v>
      </c>
      <c r="J7037">
        <v>3</v>
      </c>
    </row>
    <row r="7038" spans="1:10" x14ac:dyDescent="0.25">
      <c r="A7038" t="s">
        <v>65</v>
      </c>
      <c r="B7038" s="1" t="str">
        <f>HYPERLINK("http://blackfordanalysis.com","blackfordanalysis.com")</f>
        <v>blackfordanalysis.com</v>
      </c>
      <c r="C7038" t="s">
        <v>433</v>
      </c>
      <c r="F7038">
        <v>2.2476415037647401E-8</v>
      </c>
      <c r="G7038">
        <v>2331157</v>
      </c>
      <c r="H7038">
        <v>14060749</v>
      </c>
      <c r="I7038">
        <v>3796806</v>
      </c>
      <c r="J7038">
        <v>3</v>
      </c>
    </row>
    <row r="7039" spans="1:10" x14ac:dyDescent="0.25">
      <c r="A7039" t="s">
        <v>65</v>
      </c>
      <c r="B7039" s="1" t="str">
        <f>HYPERLINK("http://bluerocktx.com","bluerocktx.com")</f>
        <v>bluerocktx.com</v>
      </c>
      <c r="C7039" t="s">
        <v>433</v>
      </c>
      <c r="F7039">
        <v>1.3669975290046299E-7</v>
      </c>
      <c r="G7039">
        <v>285159</v>
      </c>
      <c r="H7039">
        <v>13704440</v>
      </c>
      <c r="I7039">
        <v>9511347</v>
      </c>
      <c r="J7039">
        <v>3</v>
      </c>
    </row>
    <row r="7040" spans="1:10" x14ac:dyDescent="0.25">
      <c r="A7040" t="s">
        <v>65</v>
      </c>
      <c r="B7040" s="1" t="str">
        <f>HYPERLINK("http://brainvectis.com","brainvectis.com")</f>
        <v>brainvectis.com</v>
      </c>
      <c r="C7040" t="s">
        <v>433</v>
      </c>
      <c r="F7040">
        <v>9.0578205027665302E-9</v>
      </c>
      <c r="G7040">
        <v>7906794</v>
      </c>
      <c r="H7040">
        <v>13265889</v>
      </c>
      <c r="I7040">
        <v>11008371</v>
      </c>
      <c r="J7040">
        <v>3</v>
      </c>
    </row>
    <row r="7041" spans="1:10" x14ac:dyDescent="0.25">
      <c r="A7041" t="s">
        <v>65</v>
      </c>
      <c r="B7041" s="1" t="str">
        <f>HYPERLINK("http://channel.com","channel.com")</f>
        <v>channel.com</v>
      </c>
      <c r="C7041" t="s">
        <v>433</v>
      </c>
      <c r="E7041">
        <v>929480</v>
      </c>
      <c r="F7041">
        <v>4.2608631090457202E-8</v>
      </c>
      <c r="G7041">
        <v>1135238</v>
      </c>
      <c r="H7041">
        <v>14491169</v>
      </c>
      <c r="I7041">
        <v>905314</v>
      </c>
      <c r="J7041">
        <v>6</v>
      </c>
    </row>
    <row r="7042" spans="1:10" x14ac:dyDescent="0.25">
      <c r="A7042" t="s">
        <v>65</v>
      </c>
      <c r="B7042" s="1" t="str">
        <f>HYPERLINK("http://channelbio.com","channelbio.com")</f>
        <v>channelbio.com</v>
      </c>
      <c r="C7042" t="s">
        <v>433</v>
      </c>
      <c r="F7042">
        <v>6.9404890399538501E-9</v>
      </c>
      <c r="G7042">
        <v>12493419</v>
      </c>
      <c r="H7042">
        <v>12566808</v>
      </c>
      <c r="I7042">
        <v>16653301</v>
      </c>
      <c r="J7042">
        <v>3</v>
      </c>
    </row>
    <row r="7043" spans="1:10" x14ac:dyDescent="0.25">
      <c r="A7043" t="s">
        <v>65</v>
      </c>
      <c r="B7043" s="1" t="str">
        <f>HYPERLINK("http://climate.com","climate.com")</f>
        <v>climate.com</v>
      </c>
      <c r="C7043" t="s">
        <v>433</v>
      </c>
      <c r="E7043">
        <v>129865</v>
      </c>
      <c r="F7043">
        <v>5.78377199497715E-7</v>
      </c>
      <c r="G7043">
        <v>66058</v>
      </c>
      <c r="H7043">
        <v>17228214</v>
      </c>
      <c r="I7043">
        <v>37171</v>
      </c>
      <c r="J7043">
        <v>3</v>
      </c>
    </row>
    <row r="7044" spans="1:10" x14ac:dyDescent="0.25">
      <c r="A7044" t="s">
        <v>65</v>
      </c>
      <c r="B7044" s="1" t="str">
        <f>HYPERLINK("http://covercress.com","covercress.com")</f>
        <v>covercress.com</v>
      </c>
      <c r="C7044" t="s">
        <v>433</v>
      </c>
      <c r="F7044">
        <v>4.2505304555035802E-8</v>
      </c>
      <c r="G7044">
        <v>1139892</v>
      </c>
      <c r="H7044">
        <v>13752960</v>
      </c>
      <c r="I7044">
        <v>9418478</v>
      </c>
      <c r="J7044">
        <v>3</v>
      </c>
    </row>
    <row r="7045" spans="1:10" x14ac:dyDescent="0.25">
      <c r="A7045" t="s">
        <v>65</v>
      </c>
      <c r="B7045" s="1" t="str">
        <f>HYPERLINK("http://essure.com","essure.com")</f>
        <v>essure.com</v>
      </c>
      <c r="C7045" t="s">
        <v>433</v>
      </c>
      <c r="E7045">
        <v>782531</v>
      </c>
      <c r="F7045">
        <v>1.3327055744146101E-7</v>
      </c>
      <c r="G7045">
        <v>293117</v>
      </c>
      <c r="H7045">
        <v>14640029</v>
      </c>
      <c r="I7045">
        <v>637364</v>
      </c>
      <c r="J7045">
        <v>4</v>
      </c>
    </row>
    <row r="7046" spans="1:10" x14ac:dyDescent="0.25">
      <c r="A7046" t="s">
        <v>65</v>
      </c>
      <c r="B7046" s="1" t="str">
        <f>HYPERLINK("http://hydrobioars.com","hydrobioars.com")</f>
        <v>hydrobioars.com</v>
      </c>
      <c r="C7046" t="s">
        <v>433</v>
      </c>
      <c r="F7046">
        <v>6.9959811426509296E-9</v>
      </c>
      <c r="G7046">
        <v>12323709</v>
      </c>
      <c r="H7046">
        <v>12472729</v>
      </c>
      <c r="I7046">
        <v>17669567</v>
      </c>
      <c r="J7046">
        <v>6</v>
      </c>
    </row>
    <row r="7047" spans="1:10" x14ac:dyDescent="0.25">
      <c r="A7047" t="s">
        <v>65</v>
      </c>
      <c r="B7047" s="1" t="str">
        <f>HYPERLINK("http://imaxeon.com","imaxeon.com")</f>
        <v>imaxeon.com</v>
      </c>
      <c r="C7047" t="s">
        <v>433</v>
      </c>
      <c r="F7047">
        <v>5.91540090206311E-9</v>
      </c>
      <c r="G7047">
        <v>17252057</v>
      </c>
      <c r="H7047">
        <v>11108722</v>
      </c>
      <c r="I7047">
        <v>32174097</v>
      </c>
      <c r="J7047">
        <v>3</v>
      </c>
    </row>
    <row r="7048" spans="1:10" x14ac:dyDescent="0.25">
      <c r="A7048" t="s">
        <v>65</v>
      </c>
      <c r="B7048" s="1" t="str">
        <f>HYPERLINK("http://invite-research.com","invite-research.com")</f>
        <v>invite-research.com</v>
      </c>
      <c r="C7048" t="s">
        <v>433</v>
      </c>
      <c r="F7048">
        <v>1.5244648494874498E-8</v>
      </c>
      <c r="G7048">
        <v>3762431</v>
      </c>
      <c r="H7048">
        <v>12620012</v>
      </c>
      <c r="I7048">
        <v>16092551</v>
      </c>
      <c r="J7048">
        <v>3</v>
      </c>
    </row>
    <row r="7049" spans="1:10" x14ac:dyDescent="0.25">
      <c r="A7049" t="s">
        <v>65</v>
      </c>
      <c r="B7049" s="1" t="str">
        <f>HYPERLINK("http://joynbio.com","joynbio.com")</f>
        <v>joynbio.com</v>
      </c>
      <c r="C7049" t="s">
        <v>433</v>
      </c>
      <c r="F7049">
        <v>4.1286334364093999E-8</v>
      </c>
      <c r="G7049">
        <v>1220484</v>
      </c>
      <c r="H7049">
        <v>14132427</v>
      </c>
      <c r="I7049">
        <v>1999539</v>
      </c>
      <c r="J7049">
        <v>3</v>
      </c>
    </row>
    <row r="7050" spans="1:10" x14ac:dyDescent="0.25">
      <c r="A7050" t="s">
        <v>65</v>
      </c>
      <c r="B7050" s="1" t="str">
        <f>HYPERLINK("http://matyshp.com","matyshp.com")</f>
        <v>matyshp.com</v>
      </c>
      <c r="C7050" t="s">
        <v>433</v>
      </c>
      <c r="F7050">
        <v>5.3939555976447199E-9</v>
      </c>
      <c r="G7050">
        <v>22194484</v>
      </c>
      <c r="H7050">
        <v>13770131</v>
      </c>
      <c r="I7050">
        <v>6743428</v>
      </c>
      <c r="J7050">
        <v>3</v>
      </c>
    </row>
    <row r="7051" spans="1:10" x14ac:dyDescent="0.25">
      <c r="A7051" t="s">
        <v>65</v>
      </c>
      <c r="B7051" s="1" t="str">
        <f>HYPERLINK("http://medrad.com","medrad.com")</f>
        <v>medrad.com</v>
      </c>
      <c r="C7051" t="s">
        <v>433</v>
      </c>
      <c r="F7051">
        <v>2.1272354582699101E-8</v>
      </c>
      <c r="G7051">
        <v>2477674</v>
      </c>
      <c r="H7051">
        <v>13810656</v>
      </c>
      <c r="I7051">
        <v>6210802</v>
      </c>
      <c r="J7051">
        <v>3</v>
      </c>
    </row>
    <row r="7052" spans="1:10" x14ac:dyDescent="0.25">
      <c r="A7052" t="s">
        <v>65</v>
      </c>
      <c r="B7052" s="1" t="str">
        <f>HYPERLINK("http://monsanto.com","monsanto.com")</f>
        <v>monsanto.com</v>
      </c>
      <c r="C7052" t="s">
        <v>433</v>
      </c>
      <c r="E7052">
        <v>23045</v>
      </c>
      <c r="F7052">
        <v>1.0093670381317201E-6</v>
      </c>
      <c r="G7052">
        <v>37929</v>
      </c>
      <c r="H7052">
        <v>17460604</v>
      </c>
      <c r="I7052">
        <v>15577</v>
      </c>
      <c r="J7052">
        <v>3</v>
      </c>
    </row>
    <row r="7053" spans="1:10" x14ac:dyDescent="0.25">
      <c r="A7053" t="s">
        <v>65</v>
      </c>
      <c r="B7053" s="1" t="str">
        <f>HYPERLINK("http://monsantoafrica.com","monsantoafrica.com")</f>
        <v>monsantoafrica.com</v>
      </c>
      <c r="C7053" t="s">
        <v>433</v>
      </c>
      <c r="F7053">
        <v>7.3454436619689301E-9</v>
      </c>
      <c r="G7053">
        <v>11371399</v>
      </c>
      <c r="H7053">
        <v>13771792</v>
      </c>
      <c r="I7053">
        <v>6681686</v>
      </c>
      <c r="J7053">
        <v>3</v>
      </c>
    </row>
    <row r="7054" spans="1:10" x14ac:dyDescent="0.25">
      <c r="A7054" t="s">
        <v>65</v>
      </c>
      <c r="B7054" s="1" t="str">
        <f>HYPERLINK("http://monsantoglobal.com","monsantoglobal.com")</f>
        <v>monsantoglobal.com</v>
      </c>
      <c r="C7054" t="s">
        <v>433</v>
      </c>
      <c r="E7054">
        <v>879262</v>
      </c>
      <c r="F7054">
        <v>4.34691934603143E-8</v>
      </c>
      <c r="G7054">
        <v>1100638</v>
      </c>
      <c r="H7054">
        <v>14404250</v>
      </c>
      <c r="I7054">
        <v>1150366</v>
      </c>
      <c r="J7054">
        <v>3</v>
      </c>
    </row>
    <row r="7055" spans="1:10" x14ac:dyDescent="0.25">
      <c r="A7055" t="s">
        <v>65</v>
      </c>
      <c r="B7055" s="1" t="str">
        <f>HYPERLINK("http://monsantos.com","monsantos.com")</f>
        <v>monsantos.com</v>
      </c>
      <c r="C7055" t="s">
        <v>433</v>
      </c>
      <c r="F7055">
        <v>1.4447052303641101E-8</v>
      </c>
      <c r="G7055">
        <v>4040825</v>
      </c>
      <c r="H7055">
        <v>12656929</v>
      </c>
      <c r="I7055">
        <v>15758106</v>
      </c>
      <c r="J7055">
        <v>4</v>
      </c>
    </row>
    <row r="7056" spans="1:10" x14ac:dyDescent="0.25">
      <c r="A7056" t="s">
        <v>65</v>
      </c>
      <c r="B7056" s="1" t="str">
        <f>HYPERLINK("http://oerthbio.com","oerthbio.com")</f>
        <v>oerthbio.com</v>
      </c>
      <c r="C7056" t="s">
        <v>433</v>
      </c>
      <c r="F7056">
        <v>1.5158652582955098E-8</v>
      </c>
      <c r="G7056">
        <v>3788910</v>
      </c>
      <c r="H7056">
        <v>13357152</v>
      </c>
      <c r="I7056">
        <v>10595151</v>
      </c>
      <c r="J7056">
        <v>3</v>
      </c>
    </row>
    <row r="7057" spans="1:10" x14ac:dyDescent="0.25">
      <c r="A7057" t="s">
        <v>65</v>
      </c>
      <c r="B7057" s="1" t="str">
        <f>HYPERLINK("http://seminis.com","seminis.com")</f>
        <v>seminis.com</v>
      </c>
      <c r="C7057" t="s">
        <v>433</v>
      </c>
      <c r="F7057">
        <v>4.3968784054031099E-8</v>
      </c>
      <c r="G7057">
        <v>1082663</v>
      </c>
      <c r="H7057">
        <v>14710963</v>
      </c>
      <c r="I7057">
        <v>583346</v>
      </c>
      <c r="J7057">
        <v>3</v>
      </c>
    </row>
    <row r="7058" spans="1:10" x14ac:dyDescent="0.25">
      <c r="A7058" t="s">
        <v>65</v>
      </c>
      <c r="B7058" s="1" t="str">
        <f>HYPERLINK("http://takecareof.com","takecareof.com")</f>
        <v>takecareof.com</v>
      </c>
      <c r="C7058" t="s">
        <v>433</v>
      </c>
      <c r="E7058">
        <v>144652</v>
      </c>
      <c r="F7058">
        <v>3.5302144599646102E-7</v>
      </c>
      <c r="G7058">
        <v>105914</v>
      </c>
      <c r="H7058">
        <v>14623141</v>
      </c>
      <c r="I7058">
        <v>654200</v>
      </c>
      <c r="J7058">
        <v>3</v>
      </c>
    </row>
    <row r="7059" spans="1:10" x14ac:dyDescent="0.25">
      <c r="A7059" t="s">
        <v>65</v>
      </c>
      <c r="B7059" s="1" t="str">
        <f>HYPERLINK("http://takecareof-staging.com","takecareof-staging.com")</f>
        <v>takecareof-staging.com</v>
      </c>
      <c r="C7059" t="s">
        <v>433</v>
      </c>
      <c r="F7059">
        <v>4.90366139325486E-9</v>
      </c>
      <c r="G7059">
        <v>32360942</v>
      </c>
      <c r="H7059">
        <v>9590104</v>
      </c>
      <c r="I7059">
        <v>64509831</v>
      </c>
      <c r="J7059">
        <v>5</v>
      </c>
    </row>
    <row r="7060" spans="1:10" x14ac:dyDescent="0.25">
      <c r="A7060" t="s">
        <v>65</v>
      </c>
      <c r="B7060" s="1" t="str">
        <f>HYPERLINK("http://viralgenvc.com","viralgenvc.com")</f>
        <v>viralgenvc.com</v>
      </c>
      <c r="C7060" t="s">
        <v>433</v>
      </c>
      <c r="F7060">
        <v>2.5520069832462E-8</v>
      </c>
      <c r="G7060">
        <v>2021071</v>
      </c>
      <c r="H7060">
        <v>13754030</v>
      </c>
      <c r="I7060">
        <v>9417853</v>
      </c>
      <c r="J7060">
        <v>3</v>
      </c>
    </row>
    <row r="7061" spans="1:10" x14ac:dyDescent="0.25">
      <c r="A7061" t="s">
        <v>65</v>
      </c>
      <c r="B7061" s="1" t="str">
        <f>HYPERLINK("http://vividion.com","vividion.com")</f>
        <v>vividion.com</v>
      </c>
      <c r="C7061" t="s">
        <v>433</v>
      </c>
      <c r="F7061">
        <v>4.0003578693443603E-8</v>
      </c>
      <c r="G7061">
        <v>1292288</v>
      </c>
      <c r="H7061">
        <v>13587861</v>
      </c>
      <c r="I7061">
        <v>9673079</v>
      </c>
      <c r="J7061">
        <v>3</v>
      </c>
    </row>
    <row r="7062" spans="1:10" x14ac:dyDescent="0.25">
      <c r="A7062" t="s">
        <v>65</v>
      </c>
      <c r="B7062" s="1" t="str">
        <f>HYPERLINK("http://bayer.cr","bayer.cr")</f>
        <v>bayer.cr</v>
      </c>
      <c r="C7062" t="s">
        <v>434</v>
      </c>
      <c r="D7062" t="s">
        <v>813</v>
      </c>
      <c r="F7062">
        <v>6.2966081680091199E-9</v>
      </c>
      <c r="G7062">
        <v>15048664</v>
      </c>
      <c r="H7062">
        <v>9921364</v>
      </c>
      <c r="I7062">
        <v>61458768</v>
      </c>
      <c r="J7062">
        <v>4</v>
      </c>
    </row>
    <row r="7063" spans="1:10" x14ac:dyDescent="0.25">
      <c r="A7063" t="s">
        <v>65</v>
      </c>
      <c r="B7063" s="1" t="str">
        <f>HYPERLINK("http://bayer.co.cr","bayer.co.cr")</f>
        <v>bayer.co.cr</v>
      </c>
      <c r="C7063" t="s">
        <v>434</v>
      </c>
      <c r="D7063" t="s">
        <v>813</v>
      </c>
      <c r="F7063">
        <v>7.3426104440005201E-9</v>
      </c>
      <c r="G7063">
        <v>11377857</v>
      </c>
      <c r="H7063">
        <v>12519913</v>
      </c>
      <c r="I7063">
        <v>17153124</v>
      </c>
      <c r="J7063">
        <v>3</v>
      </c>
    </row>
    <row r="7064" spans="1:10" x14ac:dyDescent="0.25">
      <c r="A7064" t="s">
        <v>65</v>
      </c>
      <c r="B7064" s="1" t="str">
        <f>HYPERLINK("http://bayer.cz","bayer.cz")</f>
        <v>bayer.cz</v>
      </c>
      <c r="C7064" t="s">
        <v>435</v>
      </c>
      <c r="D7064" t="s">
        <v>814</v>
      </c>
      <c r="F7064">
        <v>7.7848023506942602E-8</v>
      </c>
      <c r="G7064">
        <v>537446</v>
      </c>
      <c r="H7064">
        <v>13301957</v>
      </c>
      <c r="I7064">
        <v>10817304</v>
      </c>
      <c r="J7064">
        <v>3</v>
      </c>
    </row>
    <row r="7065" spans="1:10" x14ac:dyDescent="0.25">
      <c r="A7065" t="s">
        <v>65</v>
      </c>
      <c r="B7065" s="1" t="str">
        <f>HYPERLINK("http://monsanto.cz","monsanto.cz")</f>
        <v>monsanto.cz</v>
      </c>
      <c r="C7065" t="s">
        <v>435</v>
      </c>
      <c r="D7065" t="s">
        <v>814</v>
      </c>
      <c r="F7065">
        <v>6.49266614658632E-9</v>
      </c>
      <c r="G7065">
        <v>14108757</v>
      </c>
      <c r="H7065">
        <v>14072186</v>
      </c>
      <c r="I7065">
        <v>3141091</v>
      </c>
      <c r="J7065">
        <v>3</v>
      </c>
    </row>
    <row r="7066" spans="1:10" x14ac:dyDescent="0.25">
      <c r="A7066" t="s">
        <v>65</v>
      </c>
      <c r="B7066" s="1" t="str">
        <f>HYPERLINK("http://bayer.de","bayer.de")</f>
        <v>bayer.de</v>
      </c>
      <c r="C7066" t="s">
        <v>436</v>
      </c>
      <c r="D7066" t="s">
        <v>815</v>
      </c>
      <c r="E7066">
        <v>78769</v>
      </c>
      <c r="F7066">
        <v>9.8512168626364896E-7</v>
      </c>
      <c r="G7066">
        <v>38819</v>
      </c>
      <c r="H7066">
        <v>17367966</v>
      </c>
      <c r="I7066">
        <v>21593</v>
      </c>
      <c r="J7066">
        <v>1</v>
      </c>
    </row>
    <row r="7067" spans="1:10" x14ac:dyDescent="0.25">
      <c r="A7067" t="s">
        <v>65</v>
      </c>
      <c r="B7067" s="1" t="str">
        <f>HYPERLINK("http://bayer-realestate.de","bayer-realestate.de")</f>
        <v>bayer-realestate.de</v>
      </c>
      <c r="C7067" t="s">
        <v>436</v>
      </c>
      <c r="D7067" t="s">
        <v>815</v>
      </c>
      <c r="F7067">
        <v>4.6312478406679798E-9</v>
      </c>
      <c r="G7067">
        <v>45363138</v>
      </c>
      <c r="H7067">
        <v>10597185</v>
      </c>
      <c r="I7067">
        <v>45064643</v>
      </c>
      <c r="J7067">
        <v>3</v>
      </c>
    </row>
    <row r="7068" spans="1:10" x14ac:dyDescent="0.25">
      <c r="A7068" t="s">
        <v>65</v>
      </c>
      <c r="B7068" s="1" t="str">
        <f>HYPERLINK("http://bayerbbs.de","bayerbbs.de")</f>
        <v>bayerbbs.de</v>
      </c>
      <c r="C7068" t="s">
        <v>436</v>
      </c>
      <c r="D7068" t="s">
        <v>815</v>
      </c>
      <c r="F7068">
        <v>5.7472786058478902E-9</v>
      </c>
      <c r="G7068">
        <v>18519784</v>
      </c>
      <c r="H7068">
        <v>12548405</v>
      </c>
      <c r="I7068">
        <v>16837294</v>
      </c>
      <c r="J7068">
        <v>3</v>
      </c>
    </row>
    <row r="7069" spans="1:10" x14ac:dyDescent="0.25">
      <c r="A7069" t="s">
        <v>65</v>
      </c>
      <c r="B7069" s="1" t="str">
        <f>HYPERLINK("http://bayercropscience.de","bayercropscience.de")</f>
        <v>bayercropscience.de</v>
      </c>
      <c r="C7069" t="s">
        <v>436</v>
      </c>
      <c r="D7069" t="s">
        <v>815</v>
      </c>
      <c r="E7069">
        <v>611783</v>
      </c>
      <c r="F7069">
        <v>2.4499276260046399E-8</v>
      </c>
      <c r="G7069">
        <v>2114672</v>
      </c>
      <c r="H7069">
        <v>14486054</v>
      </c>
      <c r="I7069">
        <v>974765</v>
      </c>
      <c r="J7069">
        <v>4</v>
      </c>
    </row>
    <row r="7070" spans="1:10" x14ac:dyDescent="0.25">
      <c r="A7070" t="s">
        <v>65</v>
      </c>
      <c r="B7070" s="1" t="str">
        <f>HYPERLINK("http://invite-research.de","invite-research.de")</f>
        <v>invite-research.de</v>
      </c>
      <c r="C7070" t="s">
        <v>436</v>
      </c>
      <c r="D7070" t="s">
        <v>815</v>
      </c>
      <c r="F7070">
        <v>5.4437797808293497E-9</v>
      </c>
      <c r="G7070">
        <v>21573068</v>
      </c>
      <c r="H7070">
        <v>9677847</v>
      </c>
      <c r="I7070">
        <v>63657124</v>
      </c>
      <c r="J7070">
        <v>4</v>
      </c>
    </row>
    <row r="7071" spans="1:10" x14ac:dyDescent="0.25">
      <c r="A7071" t="s">
        <v>65</v>
      </c>
      <c r="B7071" s="1" t="str">
        <f>HYPERLINK("http://jenapharm.de","jenapharm.de")</f>
        <v>jenapharm.de</v>
      </c>
      <c r="C7071" t="s">
        <v>436</v>
      </c>
      <c r="D7071" t="s">
        <v>815</v>
      </c>
      <c r="F7071">
        <v>1.79012631326767E-7</v>
      </c>
      <c r="G7071">
        <v>215875</v>
      </c>
      <c r="H7071">
        <v>17005906</v>
      </c>
      <c r="I7071">
        <v>92617</v>
      </c>
      <c r="J7071">
        <v>3</v>
      </c>
    </row>
    <row r="7072" spans="1:10" x14ac:dyDescent="0.25">
      <c r="A7072" t="s">
        <v>65</v>
      </c>
      <c r="B7072" s="1" t="str">
        <f>HYPERLINK("http://steigerwald.de","steigerwald.de")</f>
        <v>steigerwald.de</v>
      </c>
      <c r="C7072" t="s">
        <v>436</v>
      </c>
      <c r="D7072" t="s">
        <v>815</v>
      </c>
      <c r="F7072">
        <v>1.18438444302316E-8</v>
      </c>
      <c r="G7072">
        <v>5274328</v>
      </c>
      <c r="H7072">
        <v>12458344</v>
      </c>
      <c r="I7072">
        <v>17898065</v>
      </c>
      <c r="J7072">
        <v>3</v>
      </c>
    </row>
    <row r="7073" spans="1:10" x14ac:dyDescent="0.25">
      <c r="A7073" t="s">
        <v>65</v>
      </c>
      <c r="B7073" s="1" t="str">
        <f>HYPERLINK("http://tecarenaplus.de","tecarenaplus.de")</f>
        <v>tecarenaplus.de</v>
      </c>
      <c r="C7073" t="s">
        <v>436</v>
      </c>
      <c r="D7073" t="s">
        <v>815</v>
      </c>
      <c r="J7073">
        <v>3</v>
      </c>
    </row>
    <row r="7074" spans="1:10" x14ac:dyDescent="0.25">
      <c r="A7074" t="s">
        <v>65</v>
      </c>
      <c r="B7074" s="1" t="str">
        <f>HYPERLINK("http://bayer.dk","bayer.dk")</f>
        <v>bayer.dk</v>
      </c>
      <c r="C7074" t="s">
        <v>437</v>
      </c>
      <c r="D7074" t="s">
        <v>816</v>
      </c>
      <c r="F7074">
        <v>3.4389296896540997E-8</v>
      </c>
      <c r="G7074">
        <v>1507935</v>
      </c>
      <c r="H7074">
        <v>14080759</v>
      </c>
      <c r="I7074">
        <v>2816909</v>
      </c>
      <c r="J7074">
        <v>3</v>
      </c>
    </row>
    <row r="7075" spans="1:10" x14ac:dyDescent="0.25">
      <c r="A7075" t="s">
        <v>65</v>
      </c>
      <c r="B7075" s="1" t="str">
        <f>HYPERLINK("http://bayer.dz","bayer.dz")</f>
        <v>bayer.dz</v>
      </c>
      <c r="C7075" t="s">
        <v>439</v>
      </c>
      <c r="D7075" t="s">
        <v>818</v>
      </c>
      <c r="F7075">
        <v>5.7402590804505502E-9</v>
      </c>
      <c r="G7075">
        <v>18578262</v>
      </c>
      <c r="H7075">
        <v>9921363</v>
      </c>
      <c r="I7075">
        <v>61458772</v>
      </c>
      <c r="J7075">
        <v>3</v>
      </c>
    </row>
    <row r="7076" spans="1:10" x14ac:dyDescent="0.25">
      <c r="A7076" t="s">
        <v>65</v>
      </c>
      <c r="B7076" s="1" t="str">
        <f>HYPERLINK("http://bayer.ec","bayer.ec")</f>
        <v>bayer.ec</v>
      </c>
      <c r="C7076" t="s">
        <v>440</v>
      </c>
      <c r="D7076" t="s">
        <v>819</v>
      </c>
      <c r="F7076">
        <v>9.8473276975052306E-9</v>
      </c>
      <c r="G7076">
        <v>6918877</v>
      </c>
      <c r="H7076">
        <v>12519932</v>
      </c>
      <c r="I7076">
        <v>17152991</v>
      </c>
      <c r="J7076">
        <v>3</v>
      </c>
    </row>
    <row r="7077" spans="1:10" x14ac:dyDescent="0.25">
      <c r="A7077" t="s">
        <v>65</v>
      </c>
      <c r="B7077" s="1" t="str">
        <f>HYPERLINK("http://bayer.ee","bayer.ee")</f>
        <v>bayer.ee</v>
      </c>
      <c r="C7077" t="s">
        <v>441</v>
      </c>
      <c r="D7077" t="s">
        <v>820</v>
      </c>
      <c r="F7077">
        <v>1.3882036442710601E-8</v>
      </c>
      <c r="G7077">
        <v>4248181</v>
      </c>
      <c r="H7077">
        <v>14238453</v>
      </c>
      <c r="I7077">
        <v>1526606</v>
      </c>
      <c r="J7077">
        <v>3</v>
      </c>
    </row>
    <row r="7078" spans="1:10" x14ac:dyDescent="0.25">
      <c r="A7078" t="s">
        <v>65</v>
      </c>
      <c r="B7078" s="1" t="str">
        <f>HYPERLINK("http://bayer.eg","bayer.eg")</f>
        <v>bayer.eg</v>
      </c>
      <c r="C7078" t="s">
        <v>442</v>
      </c>
      <c r="D7078" t="s">
        <v>821</v>
      </c>
      <c r="F7078">
        <v>1.0616460716457299E-8</v>
      </c>
      <c r="G7078">
        <v>6169691</v>
      </c>
      <c r="H7078">
        <v>10750273</v>
      </c>
      <c r="I7078">
        <v>40085232</v>
      </c>
      <c r="J7078">
        <v>3</v>
      </c>
    </row>
    <row r="7079" spans="1:10" x14ac:dyDescent="0.25">
      <c r="A7079" t="s">
        <v>65</v>
      </c>
      <c r="B7079" s="1" t="str">
        <f>HYPERLINK("http://bayer.es","bayer.es")</f>
        <v>bayer.es</v>
      </c>
      <c r="C7079" t="s">
        <v>443</v>
      </c>
      <c r="D7079" t="s">
        <v>822</v>
      </c>
      <c r="E7079">
        <v>436484</v>
      </c>
      <c r="F7079">
        <v>1.6908189520956201E-7</v>
      </c>
      <c r="G7079">
        <v>229412</v>
      </c>
      <c r="H7079">
        <v>14902896</v>
      </c>
      <c r="I7079">
        <v>461719</v>
      </c>
      <c r="J7079">
        <v>3</v>
      </c>
    </row>
    <row r="7080" spans="1:10" x14ac:dyDescent="0.25">
      <c r="A7080" t="s">
        <v>65</v>
      </c>
      <c r="B7080" s="1" t="str">
        <f>HYPERLINK("http://invite-research.eu","invite-research.eu")</f>
        <v>invite-research.eu</v>
      </c>
      <c r="C7080" t="s">
        <v>444</v>
      </c>
      <c r="F7080">
        <v>4.6528031665914304E-9</v>
      </c>
      <c r="G7080">
        <v>43976609</v>
      </c>
      <c r="H7080">
        <v>9677847</v>
      </c>
      <c r="I7080">
        <v>63657125</v>
      </c>
      <c r="J7080">
        <v>4</v>
      </c>
    </row>
    <row r="7081" spans="1:10" x14ac:dyDescent="0.25">
      <c r="A7081" t="s">
        <v>65</v>
      </c>
      <c r="B7081" s="1" t="str">
        <f>HYPERLINK("http://aiheenasyopa.fi","aiheenasyopa.fi")</f>
        <v>aiheenasyopa.fi</v>
      </c>
      <c r="C7081" t="s">
        <v>445</v>
      </c>
      <c r="D7081" t="s">
        <v>823</v>
      </c>
      <c r="F7081">
        <v>8.0279843512000107E-9</v>
      </c>
      <c r="G7081">
        <v>9869876</v>
      </c>
      <c r="H7081">
        <v>12522823</v>
      </c>
      <c r="I7081">
        <v>17121201</v>
      </c>
      <c r="J7081">
        <v>2</v>
      </c>
    </row>
    <row r="7082" spans="1:10" x14ac:dyDescent="0.25">
      <c r="A7082" t="s">
        <v>65</v>
      </c>
      <c r="B7082" s="1" t="str">
        <f>HYPERLINK("http://aineistopankkibayer.fi","aineistopankkibayer.fi")</f>
        <v>aineistopankkibayer.fi</v>
      </c>
      <c r="C7082" t="s">
        <v>445</v>
      </c>
      <c r="D7082" t="s">
        <v>823</v>
      </c>
      <c r="J7082">
        <v>2</v>
      </c>
    </row>
    <row r="7083" spans="1:10" x14ac:dyDescent="0.25">
      <c r="A7083" t="s">
        <v>65</v>
      </c>
      <c r="B7083" s="1" t="str">
        <f>HYPERLINK("http://ak-hoito.fi","ak-hoito.fi")</f>
        <v>ak-hoito.fi</v>
      </c>
      <c r="C7083" t="s">
        <v>445</v>
      </c>
      <c r="D7083" t="s">
        <v>823</v>
      </c>
      <c r="F7083">
        <v>4.5099806142778702E-9</v>
      </c>
      <c r="G7083">
        <v>57506301</v>
      </c>
      <c r="H7083">
        <v>9400122</v>
      </c>
      <c r="I7083">
        <v>67271165</v>
      </c>
      <c r="J7083">
        <v>2</v>
      </c>
    </row>
    <row r="7084" spans="1:10" x14ac:dyDescent="0.25">
      <c r="A7084" t="s">
        <v>65</v>
      </c>
      <c r="B7084" s="1" t="str">
        <f>HYPERLINK("http://alahyydy.fi","alahyydy.fi")</f>
        <v>alahyydy.fi</v>
      </c>
      <c r="C7084" t="s">
        <v>445</v>
      </c>
      <c r="D7084" t="s">
        <v>823</v>
      </c>
      <c r="F7084">
        <v>7.6829757334335706E-9</v>
      </c>
      <c r="G7084">
        <v>10617580</v>
      </c>
      <c r="H7084">
        <v>12519933</v>
      </c>
      <c r="I7084">
        <v>17152986</v>
      </c>
      <c r="J7084">
        <v>2</v>
      </c>
    </row>
    <row r="7085" spans="1:10" x14ac:dyDescent="0.25">
      <c r="A7085" t="s">
        <v>65</v>
      </c>
      <c r="B7085" s="1" t="str">
        <f>HYPERLINK("http://andrologia.fi","andrologia.fi")</f>
        <v>andrologia.fi</v>
      </c>
      <c r="C7085" t="s">
        <v>445</v>
      </c>
      <c r="D7085" t="s">
        <v>823</v>
      </c>
      <c r="J7085">
        <v>2</v>
      </c>
    </row>
    <row r="7086" spans="1:10" x14ac:dyDescent="0.25">
      <c r="A7086" t="s">
        <v>65</v>
      </c>
      <c r="B7086" s="1" t="str">
        <f>HYPERLINK("http://angeliq.fi","angeliq.fi")</f>
        <v>angeliq.fi</v>
      </c>
      <c r="C7086" t="s">
        <v>445</v>
      </c>
      <c r="D7086" t="s">
        <v>823</v>
      </c>
      <c r="F7086">
        <v>4.5099806142778702E-9</v>
      </c>
      <c r="G7086">
        <v>57506303</v>
      </c>
      <c r="H7086">
        <v>9400122</v>
      </c>
      <c r="I7086">
        <v>67271167</v>
      </c>
      <c r="J7086">
        <v>2</v>
      </c>
    </row>
    <row r="7087" spans="1:10" x14ac:dyDescent="0.25">
      <c r="A7087" t="s">
        <v>65</v>
      </c>
      <c r="B7087" s="1" t="str">
        <f>HYPERLINK("http://aspirin.fi","aspirin.fi")</f>
        <v>aspirin.fi</v>
      </c>
      <c r="C7087" t="s">
        <v>445</v>
      </c>
      <c r="D7087" t="s">
        <v>823</v>
      </c>
      <c r="J7087">
        <v>2</v>
      </c>
    </row>
    <row r="7088" spans="1:10" x14ac:dyDescent="0.25">
      <c r="A7088" t="s">
        <v>65</v>
      </c>
      <c r="B7088" s="1" t="str">
        <f>HYPERLINK("http://aspirincardio.fi","aspirincardio.fi")</f>
        <v>aspirincardio.fi</v>
      </c>
      <c r="C7088" t="s">
        <v>445</v>
      </c>
      <c r="D7088" t="s">
        <v>823</v>
      </c>
      <c r="J7088">
        <v>2</v>
      </c>
    </row>
    <row r="7089" spans="1:10" x14ac:dyDescent="0.25">
      <c r="A7089" t="s">
        <v>65</v>
      </c>
      <c r="B7089" s="1" t="str">
        <f>HYPERLINK("http://aspirinzipp.fi","aspirinzipp.fi")</f>
        <v>aspirinzipp.fi</v>
      </c>
      <c r="C7089" t="s">
        <v>445</v>
      </c>
      <c r="D7089" t="s">
        <v>823</v>
      </c>
      <c r="J7089">
        <v>2</v>
      </c>
    </row>
    <row r="7090" spans="1:10" x14ac:dyDescent="0.25">
      <c r="A7090" t="s">
        <v>65</v>
      </c>
      <c r="B7090" s="1" t="str">
        <f>HYPERLINK("http://bayer.fi","bayer.fi")</f>
        <v>bayer.fi</v>
      </c>
      <c r="C7090" t="s">
        <v>445</v>
      </c>
      <c r="D7090" t="s">
        <v>823</v>
      </c>
      <c r="F7090">
        <v>3.1950515908293203E-8</v>
      </c>
      <c r="G7090">
        <v>1617239</v>
      </c>
      <c r="H7090">
        <v>13783450</v>
      </c>
      <c r="I7090">
        <v>6425424</v>
      </c>
      <c r="J7090">
        <v>2</v>
      </c>
    </row>
    <row r="7091" spans="1:10" x14ac:dyDescent="0.25">
      <c r="A7091" t="s">
        <v>65</v>
      </c>
      <c r="B7091" s="1" t="str">
        <f>HYPERLINK("http://bayercontournextusb.fi","bayercontournextusb.fi")</f>
        <v>bayercontournextusb.fi</v>
      </c>
      <c r="C7091" t="s">
        <v>445</v>
      </c>
      <c r="D7091" t="s">
        <v>823</v>
      </c>
      <c r="F7091">
        <v>4.5099806142778702E-9</v>
      </c>
      <c r="G7091">
        <v>57506307</v>
      </c>
      <c r="H7091">
        <v>9400122</v>
      </c>
      <c r="I7091">
        <v>67271170</v>
      </c>
      <c r="J7091">
        <v>2</v>
      </c>
    </row>
    <row r="7092" spans="1:10" x14ac:dyDescent="0.25">
      <c r="A7092" t="s">
        <v>65</v>
      </c>
      <c r="B7092" s="1" t="str">
        <f>HYPERLINK("http://bayercontourusb.fi","bayercontourusb.fi")</f>
        <v>bayercontourusb.fi</v>
      </c>
      <c r="C7092" t="s">
        <v>445</v>
      </c>
      <c r="D7092" t="s">
        <v>823</v>
      </c>
      <c r="J7092">
        <v>2</v>
      </c>
    </row>
    <row r="7093" spans="1:10" x14ac:dyDescent="0.25">
      <c r="A7093" t="s">
        <v>65</v>
      </c>
      <c r="B7093" s="1" t="str">
        <f>HYPERLINK("http://bayercropscience.fi","bayercropscience.fi")</f>
        <v>bayercropscience.fi</v>
      </c>
      <c r="C7093" t="s">
        <v>445</v>
      </c>
      <c r="D7093" t="s">
        <v>823</v>
      </c>
      <c r="J7093">
        <v>2</v>
      </c>
    </row>
    <row r="7094" spans="1:10" x14ac:dyDescent="0.25">
      <c r="A7094" t="s">
        <v>65</v>
      </c>
      <c r="B7094" s="1" t="str">
        <f>HYPERLINK("http://bayerdiabetes.fi","bayerdiabetes.fi")</f>
        <v>bayerdiabetes.fi</v>
      </c>
      <c r="C7094" t="s">
        <v>445</v>
      </c>
      <c r="D7094" t="s">
        <v>823</v>
      </c>
      <c r="J7094">
        <v>2</v>
      </c>
    </row>
    <row r="7095" spans="1:10" x14ac:dyDescent="0.25">
      <c r="A7095" t="s">
        <v>65</v>
      </c>
      <c r="B7095" s="1" t="str">
        <f>HYPERLINK("http://bayergarden.fi","bayergarden.fi")</f>
        <v>bayergarden.fi</v>
      </c>
      <c r="C7095" t="s">
        <v>445</v>
      </c>
      <c r="D7095" t="s">
        <v>823</v>
      </c>
      <c r="F7095">
        <v>5.5247588456500903E-9</v>
      </c>
      <c r="G7095">
        <v>20637380</v>
      </c>
      <c r="H7095">
        <v>13763753</v>
      </c>
      <c r="I7095">
        <v>7673746</v>
      </c>
      <c r="J7095">
        <v>2</v>
      </c>
    </row>
    <row r="7096" spans="1:10" x14ac:dyDescent="0.25">
      <c r="A7096" t="s">
        <v>65</v>
      </c>
      <c r="B7096" s="1" t="str">
        <f>HYPERLINK("http://bayerhealthcare.fi","bayerhealthcare.fi")</f>
        <v>bayerhealthcare.fi</v>
      </c>
      <c r="C7096" t="s">
        <v>445</v>
      </c>
      <c r="D7096" t="s">
        <v>823</v>
      </c>
      <c r="J7096">
        <v>2</v>
      </c>
    </row>
    <row r="7097" spans="1:10" x14ac:dyDescent="0.25">
      <c r="A7097" t="s">
        <v>65</v>
      </c>
      <c r="B7097" s="1" t="str">
        <f>HYPERLINK("http://bayerpharma.fi","bayerpharma.fi")</f>
        <v>bayerpharma.fi</v>
      </c>
      <c r="C7097" t="s">
        <v>445</v>
      </c>
      <c r="D7097" t="s">
        <v>823</v>
      </c>
      <c r="F7097">
        <v>4.5099806142778702E-9</v>
      </c>
      <c r="G7097">
        <v>57506308</v>
      </c>
      <c r="H7097">
        <v>9400122</v>
      </c>
      <c r="I7097">
        <v>67271171</v>
      </c>
      <c r="J7097">
        <v>2</v>
      </c>
    </row>
    <row r="7098" spans="1:10" x14ac:dyDescent="0.25">
      <c r="A7098" t="s">
        <v>65</v>
      </c>
      <c r="B7098" s="1" t="str">
        <f>HYPERLINK("http://bayerscheringpharma.fi","bayerscheringpharma.fi")</f>
        <v>bayerscheringpharma.fi</v>
      </c>
      <c r="C7098" t="s">
        <v>445</v>
      </c>
      <c r="D7098" t="s">
        <v>823</v>
      </c>
      <c r="F7098">
        <v>4.53518709125468E-9</v>
      </c>
      <c r="G7098">
        <v>54325413</v>
      </c>
      <c r="H7098">
        <v>13763633</v>
      </c>
      <c r="I7098">
        <v>9125985</v>
      </c>
      <c r="J7098">
        <v>2</v>
      </c>
    </row>
    <row r="7099" spans="1:10" x14ac:dyDescent="0.25">
      <c r="A7099" t="s">
        <v>65</v>
      </c>
      <c r="B7099" s="1" t="str">
        <f>HYPERLINK("http://bayerscontourusb.fi","bayerscontourusb.fi")</f>
        <v>bayerscontourusb.fi</v>
      </c>
      <c r="C7099" t="s">
        <v>445</v>
      </c>
      <c r="D7099" t="s">
        <v>823</v>
      </c>
      <c r="J7099">
        <v>2</v>
      </c>
    </row>
    <row r="7100" spans="1:10" x14ac:dyDescent="0.25">
      <c r="A7100" t="s">
        <v>65</v>
      </c>
      <c r="B7100" s="1" t="str">
        <f>HYPERLINK("http://bcsmobil.fi","bcsmobil.fi")</f>
        <v>bcsmobil.fi</v>
      </c>
      <c r="C7100" t="s">
        <v>445</v>
      </c>
      <c r="D7100" t="s">
        <v>823</v>
      </c>
      <c r="J7100">
        <v>2</v>
      </c>
    </row>
    <row r="7101" spans="1:10" x14ac:dyDescent="0.25">
      <c r="A7101" t="s">
        <v>65</v>
      </c>
      <c r="B7101" s="1" t="str">
        <f>HYPERLINK("http://bellaverde.fi","bellaverde.fi")</f>
        <v>bellaverde.fi</v>
      </c>
      <c r="C7101" t="s">
        <v>445</v>
      </c>
      <c r="D7101" t="s">
        <v>823</v>
      </c>
      <c r="J7101">
        <v>4</v>
      </c>
    </row>
    <row r="7102" spans="1:10" x14ac:dyDescent="0.25">
      <c r="A7102" t="s">
        <v>65</v>
      </c>
      <c r="B7102" s="1" t="str">
        <f>HYPERLINK("http://bepancare.fi","bepancare.fi")</f>
        <v>bepancare.fi</v>
      </c>
      <c r="C7102" t="s">
        <v>445</v>
      </c>
      <c r="D7102" t="s">
        <v>823</v>
      </c>
      <c r="F7102">
        <v>4.5099806142778702E-9</v>
      </c>
      <c r="G7102">
        <v>57506309</v>
      </c>
      <c r="H7102">
        <v>9400122</v>
      </c>
      <c r="I7102">
        <v>67271172</v>
      </c>
      <c r="J7102">
        <v>2</v>
      </c>
    </row>
    <row r="7103" spans="1:10" x14ac:dyDescent="0.25">
      <c r="A7103" t="s">
        <v>65</v>
      </c>
      <c r="B7103" s="1" t="str">
        <f>HYPERLINK("http://bepanthen.fi","bepanthen.fi")</f>
        <v>bepanthen.fi</v>
      </c>
      <c r="C7103" t="s">
        <v>445</v>
      </c>
      <c r="D7103" t="s">
        <v>823</v>
      </c>
      <c r="F7103">
        <v>8.2606284924078098E-9</v>
      </c>
      <c r="G7103">
        <v>9351220</v>
      </c>
      <c r="H7103">
        <v>13766819</v>
      </c>
      <c r="I7103">
        <v>6973454</v>
      </c>
      <c r="J7103">
        <v>2</v>
      </c>
    </row>
    <row r="7104" spans="1:10" x14ac:dyDescent="0.25">
      <c r="A7104" t="s">
        <v>65</v>
      </c>
      <c r="B7104" s="1" t="str">
        <f>HYPERLINK("http://bepanthenantiexem.fi","bepanthenantiexem.fi")</f>
        <v>bepanthenantiexem.fi</v>
      </c>
      <c r="C7104" t="s">
        <v>445</v>
      </c>
      <c r="D7104" t="s">
        <v>823</v>
      </c>
      <c r="F7104">
        <v>7.4920489913747306E-9</v>
      </c>
      <c r="G7104">
        <v>11030720</v>
      </c>
      <c r="H7104">
        <v>12520186</v>
      </c>
      <c r="I7104">
        <v>17149246</v>
      </c>
      <c r="J7104">
        <v>2</v>
      </c>
    </row>
    <row r="7105" spans="1:10" x14ac:dyDescent="0.25">
      <c r="A7105" t="s">
        <v>65</v>
      </c>
      <c r="B7105" s="1" t="str">
        <f>HYPERLINK("http://bepanthenantiscar.fi","bepanthenantiscar.fi")</f>
        <v>bepanthenantiscar.fi</v>
      </c>
      <c r="C7105" t="s">
        <v>445</v>
      </c>
      <c r="D7105" t="s">
        <v>823</v>
      </c>
      <c r="F7105">
        <v>4.5099806142778702E-9</v>
      </c>
      <c r="G7105">
        <v>57506310</v>
      </c>
      <c r="H7105">
        <v>9400122</v>
      </c>
      <c r="I7105">
        <v>67271173</v>
      </c>
      <c r="J7105">
        <v>2</v>
      </c>
    </row>
    <row r="7106" spans="1:10" x14ac:dyDescent="0.25">
      <c r="A7106" t="s">
        <v>65</v>
      </c>
      <c r="B7106" s="1" t="str">
        <f>HYPERLINK("http://bepantheneye.fi","bepantheneye.fi")</f>
        <v>bepantheneye.fi</v>
      </c>
      <c r="C7106" t="s">
        <v>445</v>
      </c>
      <c r="D7106" t="s">
        <v>823</v>
      </c>
      <c r="F7106">
        <v>8.0925086693679408E-9</v>
      </c>
      <c r="G7106">
        <v>9755054</v>
      </c>
      <c r="H7106">
        <v>12520711</v>
      </c>
      <c r="I7106">
        <v>17144721</v>
      </c>
      <c r="J7106">
        <v>2</v>
      </c>
    </row>
    <row r="7107" spans="1:10" x14ac:dyDescent="0.25">
      <c r="A7107" t="s">
        <v>65</v>
      </c>
      <c r="B7107" s="1" t="str">
        <f>HYPERLINK("http://bepanthensensicalm.fi","bepanthensensicalm.fi")</f>
        <v>bepanthensensicalm.fi</v>
      </c>
      <c r="C7107" t="s">
        <v>445</v>
      </c>
      <c r="D7107" t="s">
        <v>823</v>
      </c>
      <c r="J7107">
        <v>2</v>
      </c>
    </row>
    <row r="7108" spans="1:10" x14ac:dyDescent="0.25">
      <c r="A7108" t="s">
        <v>65</v>
      </c>
      <c r="B7108" s="1" t="str">
        <f>HYPERLINK("http://bepanthol.fi","bepanthol.fi")</f>
        <v>bepanthol.fi</v>
      </c>
      <c r="C7108" t="s">
        <v>445</v>
      </c>
      <c r="D7108" t="s">
        <v>823</v>
      </c>
      <c r="F7108">
        <v>7.2309017092054999E-9</v>
      </c>
      <c r="G7108">
        <v>11654842</v>
      </c>
      <c r="H7108">
        <v>12519900</v>
      </c>
      <c r="I7108">
        <v>17153236</v>
      </c>
      <c r="J7108">
        <v>2</v>
      </c>
    </row>
    <row r="7109" spans="1:10" x14ac:dyDescent="0.25">
      <c r="A7109" t="s">
        <v>65</v>
      </c>
      <c r="B7109" s="1" t="str">
        <f>HYPERLINK("http://berocca.fi","berocca.fi")</f>
        <v>berocca.fi</v>
      </c>
      <c r="C7109" t="s">
        <v>445</v>
      </c>
      <c r="D7109" t="s">
        <v>823</v>
      </c>
      <c r="F7109">
        <v>8.1653390126194901E-9</v>
      </c>
      <c r="G7109">
        <v>9630320</v>
      </c>
      <c r="H7109">
        <v>14073902</v>
      </c>
      <c r="I7109">
        <v>2965396</v>
      </c>
      <c r="J7109">
        <v>2</v>
      </c>
    </row>
    <row r="7110" spans="1:10" x14ac:dyDescent="0.25">
      <c r="A7110" t="s">
        <v>65</v>
      </c>
      <c r="B7110" s="1" t="str">
        <f>HYPERLINK("http://beroccaboost.fi","beroccaboost.fi")</f>
        <v>beroccaboost.fi</v>
      </c>
      <c r="C7110" t="s">
        <v>445</v>
      </c>
      <c r="D7110" t="s">
        <v>823</v>
      </c>
      <c r="F7110">
        <v>7.9396297517614304E-9</v>
      </c>
      <c r="G7110">
        <v>10033619</v>
      </c>
      <c r="H7110">
        <v>12520983</v>
      </c>
      <c r="I7110">
        <v>17141522</v>
      </c>
      <c r="J7110">
        <v>2</v>
      </c>
    </row>
    <row r="7111" spans="1:10" x14ac:dyDescent="0.25">
      <c r="A7111" t="s">
        <v>65</v>
      </c>
      <c r="B7111" s="1" t="str">
        <f>HYPERLINK("http://beroccaenergy.fi","beroccaenergy.fi")</f>
        <v>beroccaenergy.fi</v>
      </c>
      <c r="C7111" t="s">
        <v>445</v>
      </c>
      <c r="D7111" t="s">
        <v>823</v>
      </c>
      <c r="J7111">
        <v>2</v>
      </c>
    </row>
    <row r="7112" spans="1:10" x14ac:dyDescent="0.25">
      <c r="A7112" t="s">
        <v>65</v>
      </c>
      <c r="B7112" s="1" t="str">
        <f>HYPERLINK("http://beroccafizzymelts.fi","beroccafizzymelts.fi")</f>
        <v>beroccafizzymelts.fi</v>
      </c>
      <c r="C7112" t="s">
        <v>445</v>
      </c>
      <c r="D7112" t="s">
        <v>823</v>
      </c>
      <c r="J7112">
        <v>2</v>
      </c>
    </row>
    <row r="7113" spans="1:10" x14ac:dyDescent="0.25">
      <c r="A7113" t="s">
        <v>65</v>
      </c>
      <c r="B7113" s="1" t="str">
        <f>HYPERLINK("http://beroccaimmunity.fi","beroccaimmunity.fi")</f>
        <v>beroccaimmunity.fi</v>
      </c>
      <c r="C7113" t="s">
        <v>445</v>
      </c>
      <c r="D7113" t="s">
        <v>823</v>
      </c>
      <c r="J7113">
        <v>2</v>
      </c>
    </row>
    <row r="7114" spans="1:10" x14ac:dyDescent="0.25">
      <c r="A7114" t="s">
        <v>65</v>
      </c>
      <c r="B7114" s="1" t="str">
        <f>HYPERLINK("http://beroccaperformancefizzymelts.fi","beroccaperformancefizzymelts.fi")</f>
        <v>beroccaperformancefizzymelts.fi</v>
      </c>
      <c r="C7114" t="s">
        <v>445</v>
      </c>
      <c r="D7114" t="s">
        <v>823</v>
      </c>
      <c r="J7114">
        <v>2</v>
      </c>
    </row>
    <row r="7115" spans="1:10" x14ac:dyDescent="0.25">
      <c r="A7115" t="s">
        <v>65</v>
      </c>
      <c r="B7115" s="1" t="str">
        <f>HYPERLINK("http://betaferon.fi","betaferon.fi")</f>
        <v>betaferon.fi</v>
      </c>
      <c r="C7115" t="s">
        <v>445</v>
      </c>
      <c r="D7115" t="s">
        <v>823</v>
      </c>
      <c r="F7115">
        <v>4.5099806142778702E-9</v>
      </c>
      <c r="G7115">
        <v>57506311</v>
      </c>
      <c r="H7115">
        <v>9400122</v>
      </c>
      <c r="I7115">
        <v>67271174</v>
      </c>
      <c r="J7115">
        <v>2</v>
      </c>
    </row>
    <row r="7116" spans="1:10" x14ac:dyDescent="0.25">
      <c r="A7116" t="s">
        <v>65</v>
      </c>
      <c r="B7116" s="1" t="str">
        <f>HYPERLINK("http://blusiri.fi","blusiri.fi")</f>
        <v>blusiri.fi</v>
      </c>
      <c r="C7116" t="s">
        <v>445</v>
      </c>
      <c r="D7116" t="s">
        <v>823</v>
      </c>
      <c r="J7116">
        <v>2</v>
      </c>
    </row>
    <row r="7117" spans="1:10" x14ac:dyDescent="0.25">
      <c r="A7117" t="s">
        <v>65</v>
      </c>
      <c r="B7117" s="1" t="str">
        <f>HYPERLINK("http://bonefos.fi","bonefos.fi")</f>
        <v>bonefos.fi</v>
      </c>
      <c r="C7117" t="s">
        <v>445</v>
      </c>
      <c r="D7117" t="s">
        <v>823</v>
      </c>
      <c r="F7117">
        <v>4.5099806142778702E-9</v>
      </c>
      <c r="G7117">
        <v>57506313</v>
      </c>
      <c r="H7117">
        <v>9400122</v>
      </c>
      <c r="I7117">
        <v>67271176</v>
      </c>
      <c r="J7117">
        <v>2</v>
      </c>
    </row>
    <row r="7118" spans="1:10" x14ac:dyDescent="0.25">
      <c r="A7118" t="s">
        <v>65</v>
      </c>
      <c r="B7118" s="1" t="str">
        <f>HYPERLINK("http://calantic.fi","calantic.fi")</f>
        <v>calantic.fi</v>
      </c>
      <c r="C7118" t="s">
        <v>445</v>
      </c>
      <c r="D7118" t="s">
        <v>823</v>
      </c>
      <c r="J7118">
        <v>2</v>
      </c>
    </row>
    <row r="7119" spans="1:10" x14ac:dyDescent="0.25">
      <c r="A7119" t="s">
        <v>65</v>
      </c>
      <c r="B7119" s="1" t="str">
        <f>HYPERLINK("http://cambriva.fi","cambriva.fi")</f>
        <v>cambriva.fi</v>
      </c>
      <c r="C7119" t="s">
        <v>445</v>
      </c>
      <c r="D7119" t="s">
        <v>823</v>
      </c>
      <c r="J7119">
        <v>2</v>
      </c>
    </row>
    <row r="7120" spans="1:10" x14ac:dyDescent="0.25">
      <c r="A7120" t="s">
        <v>65</v>
      </c>
      <c r="B7120" s="1" t="str">
        <f>HYPERLINK("http://canesbalance.fi","canesbalance.fi")</f>
        <v>canesbalance.fi</v>
      </c>
      <c r="C7120" t="s">
        <v>445</v>
      </c>
      <c r="D7120" t="s">
        <v>823</v>
      </c>
      <c r="F7120">
        <v>4.5099806142778702E-9</v>
      </c>
      <c r="G7120">
        <v>57506314</v>
      </c>
      <c r="H7120">
        <v>9400122</v>
      </c>
      <c r="I7120">
        <v>67271177</v>
      </c>
      <c r="J7120">
        <v>2</v>
      </c>
    </row>
    <row r="7121" spans="1:10" x14ac:dyDescent="0.25">
      <c r="A7121" t="s">
        <v>65</v>
      </c>
      <c r="B7121" s="1" t="str">
        <f>HYPERLINK("http://canesoral.fi","canesoral.fi")</f>
        <v>canesoral.fi</v>
      </c>
      <c r="C7121" t="s">
        <v>445</v>
      </c>
      <c r="D7121" t="s">
        <v>823</v>
      </c>
      <c r="J7121">
        <v>2</v>
      </c>
    </row>
    <row r="7122" spans="1:10" x14ac:dyDescent="0.25">
      <c r="A7122" t="s">
        <v>65</v>
      </c>
      <c r="B7122" s="1" t="str">
        <f>HYPERLINK("http://canespor.fi","canespor.fi")</f>
        <v>canespor.fi</v>
      </c>
      <c r="C7122" t="s">
        <v>445</v>
      </c>
      <c r="D7122" t="s">
        <v>823</v>
      </c>
      <c r="J7122">
        <v>2</v>
      </c>
    </row>
    <row r="7123" spans="1:10" x14ac:dyDescent="0.25">
      <c r="A7123" t="s">
        <v>65</v>
      </c>
      <c r="B7123" s="1" t="str">
        <f>HYPERLINK("http://canespro.fi","canespro.fi")</f>
        <v>canespro.fi</v>
      </c>
      <c r="C7123" t="s">
        <v>445</v>
      </c>
      <c r="D7123" t="s">
        <v>823</v>
      </c>
      <c r="F7123">
        <v>7.4863176470788707E-9</v>
      </c>
      <c r="G7123">
        <v>11043755</v>
      </c>
      <c r="H7123">
        <v>12519906</v>
      </c>
      <c r="I7123">
        <v>17153181</v>
      </c>
      <c r="J7123">
        <v>2</v>
      </c>
    </row>
    <row r="7124" spans="1:10" x14ac:dyDescent="0.25">
      <c r="A7124" t="s">
        <v>65</v>
      </c>
      <c r="B7124" s="1" t="str">
        <f>HYPERLINK("http://canesten.fi","canesten.fi")</f>
        <v>canesten.fi</v>
      </c>
      <c r="C7124" t="s">
        <v>445</v>
      </c>
      <c r="D7124" t="s">
        <v>823</v>
      </c>
      <c r="F7124">
        <v>7.3613478051494902E-9</v>
      </c>
      <c r="G7124">
        <v>11334508</v>
      </c>
      <c r="H7124">
        <v>12529380</v>
      </c>
      <c r="I7124">
        <v>17040920</v>
      </c>
      <c r="J7124">
        <v>2</v>
      </c>
    </row>
    <row r="7125" spans="1:10" x14ac:dyDescent="0.25">
      <c r="A7125" t="s">
        <v>65</v>
      </c>
      <c r="B7125" s="1" t="str">
        <f>HYPERLINK("http://canestest.fi","canestest.fi")</f>
        <v>canestest.fi</v>
      </c>
      <c r="C7125" t="s">
        <v>445</v>
      </c>
      <c r="D7125" t="s">
        <v>823</v>
      </c>
      <c r="F7125">
        <v>4.5099806142778702E-9</v>
      </c>
      <c r="G7125">
        <v>57506315</v>
      </c>
      <c r="H7125">
        <v>9400122</v>
      </c>
      <c r="I7125">
        <v>67271178</v>
      </c>
      <c r="J7125">
        <v>2</v>
      </c>
    </row>
    <row r="7126" spans="1:10" x14ac:dyDescent="0.25">
      <c r="A7126" t="s">
        <v>65</v>
      </c>
      <c r="B7126" s="1" t="str">
        <f>HYPERLINK("http://clarityn.fi","clarityn.fi")</f>
        <v>clarityn.fi</v>
      </c>
      <c r="C7126" t="s">
        <v>445</v>
      </c>
      <c r="D7126" t="s">
        <v>823</v>
      </c>
      <c r="J7126">
        <v>2</v>
      </c>
    </row>
    <row r="7127" spans="1:10" x14ac:dyDescent="0.25">
      <c r="A7127" t="s">
        <v>65</v>
      </c>
      <c r="B7127" s="1" t="str">
        <f>HYPERLINK("http://clyk.fi","clyk.fi")</f>
        <v>clyk.fi</v>
      </c>
      <c r="C7127" t="s">
        <v>445</v>
      </c>
      <c r="D7127" t="s">
        <v>823</v>
      </c>
      <c r="J7127">
        <v>2</v>
      </c>
    </row>
    <row r="7128" spans="1:10" x14ac:dyDescent="0.25">
      <c r="A7128" t="s">
        <v>65</v>
      </c>
      <c r="B7128" s="1" t="str">
        <f>HYPERLINK("http://ehkaisynetti.fi","ehkaisynetti.fi")</f>
        <v>ehkaisynetti.fi</v>
      </c>
      <c r="C7128" t="s">
        <v>445</v>
      </c>
      <c r="D7128" t="s">
        <v>823</v>
      </c>
      <c r="F7128">
        <v>1.02981577066335E-8</v>
      </c>
      <c r="G7128">
        <v>6452630</v>
      </c>
      <c r="H7128">
        <v>12553631</v>
      </c>
      <c r="I7128">
        <v>16795495</v>
      </c>
      <c r="J7128">
        <v>2</v>
      </c>
    </row>
    <row r="7129" spans="1:10" x14ac:dyDescent="0.25">
      <c r="A7129" t="s">
        <v>65</v>
      </c>
      <c r="B7129" s="1" t="str">
        <f>HYPERLINK("http://ehkaisynhoitopolku.fi","ehkaisynhoitopolku.fi")</f>
        <v>ehkaisynhoitopolku.fi</v>
      </c>
      <c r="C7129" t="s">
        <v>445</v>
      </c>
      <c r="D7129" t="s">
        <v>823</v>
      </c>
      <c r="F7129">
        <v>9.0303041221074406E-9</v>
      </c>
      <c r="G7129">
        <v>7947088</v>
      </c>
      <c r="H7129">
        <v>12196097</v>
      </c>
      <c r="I7129">
        <v>23422546</v>
      </c>
      <c r="J7129">
        <v>2</v>
      </c>
    </row>
    <row r="7130" spans="1:10" x14ac:dyDescent="0.25">
      <c r="A7130" t="s">
        <v>65</v>
      </c>
      <c r="B7130" s="1" t="str">
        <f>HYPERLINK("http://ehkisy.fi","ehkisy.fi")</f>
        <v>ehkisy.fi</v>
      </c>
      <c r="C7130" t="s">
        <v>445</v>
      </c>
      <c r="D7130" t="s">
        <v>823</v>
      </c>
      <c r="J7130">
        <v>2</v>
      </c>
    </row>
    <row r="7131" spans="1:10" x14ac:dyDescent="0.25">
      <c r="A7131" t="s">
        <v>65</v>
      </c>
      <c r="B7131" s="1" t="str">
        <f>HYPERLINK("http://ehkisynetti.fi","ehkisynetti.fi")</f>
        <v>ehkisynetti.fi</v>
      </c>
      <c r="C7131" t="s">
        <v>445</v>
      </c>
      <c r="D7131" t="s">
        <v>823</v>
      </c>
      <c r="J7131">
        <v>2</v>
      </c>
    </row>
    <row r="7132" spans="1:10" x14ac:dyDescent="0.25">
      <c r="A7132" t="s">
        <v>65</v>
      </c>
      <c r="B7132" s="1" t="str">
        <f>HYPERLINK("http://ehkisynhoitopolku.fi","ehkisynhoitopolku.fi")</f>
        <v>ehkisynhoitopolku.fi</v>
      </c>
      <c r="C7132" t="s">
        <v>445</v>
      </c>
      <c r="D7132" t="s">
        <v>823</v>
      </c>
      <c r="J7132">
        <v>2</v>
      </c>
    </row>
    <row r="7133" spans="1:10" x14ac:dyDescent="0.25">
      <c r="A7133" t="s">
        <v>65</v>
      </c>
      <c r="B7133" s="1" t="str">
        <f>HYPERLINK("http://elevit.fi","elevit.fi")</f>
        <v>elevit.fi</v>
      </c>
      <c r="C7133" t="s">
        <v>445</v>
      </c>
      <c r="D7133" t="s">
        <v>823</v>
      </c>
      <c r="F7133">
        <v>4.5099806142778702E-9</v>
      </c>
      <c r="G7133">
        <v>57506317</v>
      </c>
      <c r="H7133">
        <v>9400122</v>
      </c>
      <c r="I7133">
        <v>67271180</v>
      </c>
      <c r="J7133">
        <v>2</v>
      </c>
    </row>
    <row r="7134" spans="1:10" x14ac:dyDescent="0.25">
      <c r="A7134" t="s">
        <v>65</v>
      </c>
      <c r="B7134" s="1" t="str">
        <f>HYPERLINK("http://endometrioosinetti.fi","endometrioosinetti.fi")</f>
        <v>endometrioosinetti.fi</v>
      </c>
      <c r="C7134" t="s">
        <v>445</v>
      </c>
      <c r="D7134" t="s">
        <v>823</v>
      </c>
      <c r="J7134">
        <v>2</v>
      </c>
    </row>
    <row r="7135" spans="1:10" x14ac:dyDescent="0.25">
      <c r="A7135" t="s">
        <v>65</v>
      </c>
      <c r="B7135" s="1" t="str">
        <f>HYPERLINK("http://envu.fi","envu.fi")</f>
        <v>envu.fi</v>
      </c>
      <c r="C7135" t="s">
        <v>445</v>
      </c>
      <c r="D7135" t="s">
        <v>823</v>
      </c>
      <c r="J7135">
        <v>2</v>
      </c>
    </row>
    <row r="7136" spans="1:10" x14ac:dyDescent="0.25">
      <c r="A7136" t="s">
        <v>65</v>
      </c>
      <c r="B7136" s="1" t="str">
        <f>HYPERLINK("http://essure.fi","essure.fi")</f>
        <v>essure.fi</v>
      </c>
      <c r="C7136" t="s">
        <v>445</v>
      </c>
      <c r="D7136" t="s">
        <v>823</v>
      </c>
      <c r="F7136">
        <v>4.9825253552944199E-9</v>
      </c>
      <c r="G7136">
        <v>29933450</v>
      </c>
      <c r="H7136">
        <v>14071789</v>
      </c>
      <c r="I7136">
        <v>3635040</v>
      </c>
      <c r="J7136">
        <v>2</v>
      </c>
    </row>
    <row r="7137" spans="1:10" x14ac:dyDescent="0.25">
      <c r="A7137" t="s">
        <v>65</v>
      </c>
      <c r="B7137" s="1" t="str">
        <f>HYPERLINK("http://eylea.fi","eylea.fi")</f>
        <v>eylea.fi</v>
      </c>
      <c r="C7137" t="s">
        <v>445</v>
      </c>
      <c r="D7137" t="s">
        <v>823</v>
      </c>
      <c r="J7137">
        <v>2</v>
      </c>
    </row>
    <row r="7138" spans="1:10" x14ac:dyDescent="0.25">
      <c r="A7138" t="s">
        <v>65</v>
      </c>
      <c r="B7138" s="1" t="str">
        <f>HYPERLINK("http://femilar.fi","femilar.fi")</f>
        <v>femilar.fi</v>
      </c>
      <c r="C7138" t="s">
        <v>445</v>
      </c>
      <c r="D7138" t="s">
        <v>823</v>
      </c>
      <c r="F7138">
        <v>4.5099806142778702E-9</v>
      </c>
      <c r="G7138">
        <v>57506320</v>
      </c>
      <c r="H7138">
        <v>9400122</v>
      </c>
      <c r="I7138">
        <v>67271182</v>
      </c>
      <c r="J7138">
        <v>2</v>
      </c>
    </row>
    <row r="7139" spans="1:10" x14ac:dyDescent="0.25">
      <c r="A7139" t="s">
        <v>65</v>
      </c>
      <c r="B7139" s="1" t="str">
        <f>HYPERLINK("http://fidencia.fi","fidencia.fi")</f>
        <v>fidencia.fi</v>
      </c>
      <c r="C7139" t="s">
        <v>445</v>
      </c>
      <c r="D7139" t="s">
        <v>823</v>
      </c>
      <c r="J7139">
        <v>2</v>
      </c>
    </row>
    <row r="7140" spans="1:10" x14ac:dyDescent="0.25">
      <c r="A7140" t="s">
        <v>65</v>
      </c>
      <c r="B7140" s="1" t="str">
        <f>HYPERLINK("http://fleree.fi","fleree.fi")</f>
        <v>fleree.fi</v>
      </c>
      <c r="C7140" t="s">
        <v>445</v>
      </c>
      <c r="D7140" t="s">
        <v>823</v>
      </c>
      <c r="J7140">
        <v>2</v>
      </c>
    </row>
    <row r="7141" spans="1:10" x14ac:dyDescent="0.25">
      <c r="A7141" t="s">
        <v>65</v>
      </c>
      <c r="B7141" s="1" t="str">
        <f>HYPERLINK("http://flexyess.fi","flexyess.fi")</f>
        <v>flexyess.fi</v>
      </c>
      <c r="C7141" t="s">
        <v>445</v>
      </c>
      <c r="D7141" t="s">
        <v>823</v>
      </c>
      <c r="F7141">
        <v>4.5099806142778702E-9</v>
      </c>
      <c r="G7141">
        <v>57506321</v>
      </c>
      <c r="H7141">
        <v>9400122</v>
      </c>
      <c r="I7141">
        <v>67271183</v>
      </c>
      <c r="J7141">
        <v>2</v>
      </c>
    </row>
    <row r="7142" spans="1:10" x14ac:dyDescent="0.25">
      <c r="A7142" t="s">
        <v>65</v>
      </c>
      <c r="B7142" s="1" t="str">
        <f>HYPERLINK("http://geeliroundup.fi","geeliroundup.fi")</f>
        <v>geeliroundup.fi</v>
      </c>
      <c r="C7142" t="s">
        <v>445</v>
      </c>
      <c r="D7142" t="s">
        <v>823</v>
      </c>
      <c r="J7142">
        <v>4</v>
      </c>
    </row>
    <row r="7143" spans="1:10" x14ac:dyDescent="0.25">
      <c r="A7143" t="s">
        <v>65</v>
      </c>
      <c r="B7143" s="1" t="str">
        <f>HYPERLINK("http://gynenetti.fi","gynenetti.fi")</f>
        <v>gynenetti.fi</v>
      </c>
      <c r="C7143" t="s">
        <v>445</v>
      </c>
      <c r="D7143" t="s">
        <v>823</v>
      </c>
      <c r="J7143">
        <v>2</v>
      </c>
    </row>
    <row r="7144" spans="1:10" x14ac:dyDescent="0.25">
      <c r="A7144" t="s">
        <v>65</v>
      </c>
      <c r="B7144" s="1" t="str">
        <f>HYPERLINK("http://hemofiliabayer.fi","hemofiliabayer.fi")</f>
        <v>hemofiliabayer.fi</v>
      </c>
      <c r="C7144" t="s">
        <v>445</v>
      </c>
      <c r="D7144" t="s">
        <v>823</v>
      </c>
      <c r="F7144">
        <v>4.5577327860879299E-9</v>
      </c>
      <c r="G7144">
        <v>51393005</v>
      </c>
      <c r="H7144">
        <v>8740324</v>
      </c>
      <c r="I7144">
        <v>69691825</v>
      </c>
      <c r="J7144">
        <v>2</v>
      </c>
    </row>
    <row r="7145" spans="1:10" x14ac:dyDescent="0.25">
      <c r="A7145" t="s">
        <v>65</v>
      </c>
      <c r="B7145" s="1" t="str">
        <f>HYPERLINK("http://hiivasienitulehdus.fi","hiivasienitulehdus.fi")</f>
        <v>hiivasienitulehdus.fi</v>
      </c>
      <c r="C7145" t="s">
        <v>445</v>
      </c>
      <c r="D7145" t="s">
        <v>823</v>
      </c>
      <c r="J7145">
        <v>2</v>
      </c>
    </row>
    <row r="7146" spans="1:10" x14ac:dyDescent="0.25">
      <c r="A7146" t="s">
        <v>65</v>
      </c>
      <c r="B7146" s="1" t="str">
        <f>HYPERLINK("http://hiivatulehdus.fi","hiivatulehdus.fi")</f>
        <v>hiivatulehdus.fi</v>
      </c>
      <c r="C7146" t="s">
        <v>445</v>
      </c>
      <c r="D7146" t="s">
        <v>823</v>
      </c>
      <c r="J7146">
        <v>2</v>
      </c>
    </row>
    <row r="7147" spans="1:10" x14ac:dyDescent="0.25">
      <c r="A7147" t="s">
        <v>65</v>
      </c>
      <c r="B7147" s="1" t="str">
        <f>HYPERLINK("http://hiustenlahtoa.fi","hiustenlahtoa.fi")</f>
        <v>hiustenlahtoa.fi</v>
      </c>
      <c r="C7147" t="s">
        <v>445</v>
      </c>
      <c r="D7147" t="s">
        <v>823</v>
      </c>
      <c r="F7147">
        <v>4.5099806142778702E-9</v>
      </c>
      <c r="G7147">
        <v>57506328</v>
      </c>
      <c r="H7147">
        <v>9400122</v>
      </c>
      <c r="I7147">
        <v>67271190</v>
      </c>
      <c r="J7147">
        <v>2</v>
      </c>
    </row>
    <row r="7148" spans="1:10" x14ac:dyDescent="0.25">
      <c r="A7148" t="s">
        <v>65</v>
      </c>
      <c r="B7148" s="1" t="str">
        <f>HYPERLINK("http://hiustenlht.fi","hiustenlht.fi")</f>
        <v>hiustenlht.fi</v>
      </c>
      <c r="C7148" t="s">
        <v>445</v>
      </c>
      <c r="D7148" t="s">
        <v>823</v>
      </c>
      <c r="J7148">
        <v>2</v>
      </c>
    </row>
    <row r="7149" spans="1:10" x14ac:dyDescent="0.25">
      <c r="A7149" t="s">
        <v>65</v>
      </c>
      <c r="B7149" s="1" t="str">
        <f>HYPERLINK("http://hoidonoptimointi.fi","hoidonoptimointi.fi")</f>
        <v>hoidonoptimointi.fi</v>
      </c>
      <c r="C7149" t="s">
        <v>445</v>
      </c>
      <c r="D7149" t="s">
        <v>823</v>
      </c>
      <c r="F7149">
        <v>4.5099806142778702E-9</v>
      </c>
      <c r="G7149">
        <v>57506329</v>
      </c>
      <c r="H7149">
        <v>9400122</v>
      </c>
      <c r="I7149">
        <v>67271191</v>
      </c>
      <c r="J7149">
        <v>2</v>
      </c>
    </row>
    <row r="7150" spans="1:10" x14ac:dyDescent="0.25">
      <c r="A7150" t="s">
        <v>65</v>
      </c>
      <c r="B7150" s="1" t="str">
        <f>HYPERLINK("http://hoitajanetti.fi","hoitajanetti.fi")</f>
        <v>hoitajanetti.fi</v>
      </c>
      <c r="C7150" t="s">
        <v>445</v>
      </c>
      <c r="D7150" t="s">
        <v>823</v>
      </c>
      <c r="F7150">
        <v>4.5099806142778702E-9</v>
      </c>
      <c r="G7150">
        <v>57506299</v>
      </c>
      <c r="H7150">
        <v>9400122</v>
      </c>
      <c r="I7150">
        <v>67271192</v>
      </c>
      <c r="J7150">
        <v>2</v>
      </c>
    </row>
    <row r="7151" spans="1:10" x14ac:dyDescent="0.25">
      <c r="A7151" t="s">
        <v>65</v>
      </c>
      <c r="B7151" s="1" t="str">
        <f>HYPERLINK("http://hormonikierukka.fi","hormonikierukka.fi")</f>
        <v>hormonikierukka.fi</v>
      </c>
      <c r="C7151" t="s">
        <v>445</v>
      </c>
      <c r="D7151" t="s">
        <v>823</v>
      </c>
      <c r="F7151">
        <v>4.5099806142778702E-9</v>
      </c>
      <c r="G7151">
        <v>57506330</v>
      </c>
      <c r="H7151">
        <v>9400122</v>
      </c>
      <c r="I7151">
        <v>67271193</v>
      </c>
      <c r="J7151">
        <v>2</v>
      </c>
    </row>
    <row r="7152" spans="1:10" x14ac:dyDescent="0.25">
      <c r="A7152" t="s">
        <v>65</v>
      </c>
      <c r="B7152" s="1" t="str">
        <f>HYPERLINK("http://iberogast.fi","iberogast.fi")</f>
        <v>iberogast.fi</v>
      </c>
      <c r="C7152" t="s">
        <v>445</v>
      </c>
      <c r="D7152" t="s">
        <v>823</v>
      </c>
      <c r="F7152">
        <v>4.5099806142778702E-9</v>
      </c>
      <c r="G7152">
        <v>57506331</v>
      </c>
      <c r="H7152">
        <v>9400122</v>
      </c>
      <c r="I7152">
        <v>67271194</v>
      </c>
      <c r="J7152">
        <v>2</v>
      </c>
    </row>
    <row r="7153" spans="1:10" x14ac:dyDescent="0.25">
      <c r="A7153" t="s">
        <v>65</v>
      </c>
      <c r="B7153" s="1" t="str">
        <f>HYPERLINK("http://isotooppihoito.fi","isotooppihoito.fi")</f>
        <v>isotooppihoito.fi</v>
      </c>
      <c r="C7153" t="s">
        <v>445</v>
      </c>
      <c r="D7153" t="s">
        <v>823</v>
      </c>
      <c r="F7153">
        <v>4.5099806142778702E-9</v>
      </c>
      <c r="G7153">
        <v>57506332</v>
      </c>
      <c r="H7153">
        <v>9400122</v>
      </c>
      <c r="I7153">
        <v>67271195</v>
      </c>
      <c r="J7153">
        <v>2</v>
      </c>
    </row>
    <row r="7154" spans="1:10" x14ac:dyDescent="0.25">
      <c r="A7154" t="s">
        <v>65</v>
      </c>
      <c r="B7154" s="1" t="str">
        <f>HYPERLINK("http://jadelle.fi","jadelle.fi")</f>
        <v>jadelle.fi</v>
      </c>
      <c r="C7154" t="s">
        <v>445</v>
      </c>
      <c r="D7154" t="s">
        <v>823</v>
      </c>
      <c r="F7154">
        <v>4.5099806142778702E-9</v>
      </c>
      <c r="G7154">
        <v>57506333</v>
      </c>
      <c r="H7154">
        <v>9400124</v>
      </c>
      <c r="I7154">
        <v>67271143</v>
      </c>
      <c r="J7154">
        <v>2</v>
      </c>
    </row>
    <row r="7155" spans="1:10" x14ac:dyDescent="0.25">
      <c r="A7155" t="s">
        <v>65</v>
      </c>
      <c r="B7155" s="1" t="str">
        <f>HYPERLINK("http://jaydess.fi","jaydess.fi")</f>
        <v>jaydess.fi</v>
      </c>
      <c r="C7155" t="s">
        <v>445</v>
      </c>
      <c r="D7155" t="s">
        <v>823</v>
      </c>
      <c r="J7155">
        <v>2</v>
      </c>
    </row>
    <row r="7156" spans="1:10" x14ac:dyDescent="0.25">
      <c r="A7156" t="s">
        <v>65</v>
      </c>
      <c r="B7156" s="1" t="str">
        <f>HYPERLINK("http://jivi.fi","jivi.fi")</f>
        <v>jivi.fi</v>
      </c>
      <c r="C7156" t="s">
        <v>445</v>
      </c>
      <c r="D7156" t="s">
        <v>823</v>
      </c>
      <c r="F7156">
        <v>4.5099806142778702E-9</v>
      </c>
      <c r="G7156">
        <v>57506334</v>
      </c>
      <c r="H7156">
        <v>9400122</v>
      </c>
      <c r="I7156">
        <v>67271196</v>
      </c>
      <c r="J7156">
        <v>2</v>
      </c>
    </row>
    <row r="7157" spans="1:10" x14ac:dyDescent="0.25">
      <c r="A7157" t="s">
        <v>65</v>
      </c>
      <c r="B7157" s="1" t="str">
        <f>HYPERLINK("http://keeperl.fi","keeperl.fi")</f>
        <v>keeperl.fi</v>
      </c>
      <c r="C7157" t="s">
        <v>445</v>
      </c>
      <c r="D7157" t="s">
        <v>823</v>
      </c>
      <c r="J7157">
        <v>2</v>
      </c>
    </row>
    <row r="7158" spans="1:10" x14ac:dyDescent="0.25">
      <c r="A7158" t="s">
        <v>65</v>
      </c>
      <c r="B7158" s="1" t="str">
        <f>HYPERLINK("http://kerendia.fi","kerendia.fi")</f>
        <v>kerendia.fi</v>
      </c>
      <c r="C7158" t="s">
        <v>445</v>
      </c>
      <c r="D7158" t="s">
        <v>823</v>
      </c>
      <c r="J7158">
        <v>2</v>
      </c>
    </row>
    <row r="7159" spans="1:10" x14ac:dyDescent="0.25">
      <c r="A7159" t="s">
        <v>65</v>
      </c>
      <c r="B7159" s="1" t="str">
        <f>HYPERLINK("http://kierukka.fi","kierukka.fi")</f>
        <v>kierukka.fi</v>
      </c>
      <c r="C7159" t="s">
        <v>445</v>
      </c>
      <c r="D7159" t="s">
        <v>823</v>
      </c>
      <c r="F7159">
        <v>4.5099806142778702E-9</v>
      </c>
      <c r="G7159">
        <v>57506335</v>
      </c>
      <c r="H7159">
        <v>9400122</v>
      </c>
      <c r="I7159">
        <v>67271197</v>
      </c>
      <c r="J7159">
        <v>2</v>
      </c>
    </row>
    <row r="7160" spans="1:10" x14ac:dyDescent="0.25">
      <c r="A7160" t="s">
        <v>65</v>
      </c>
      <c r="B7160" s="1" t="str">
        <f>HYPERLINK("http://kinzal.fi","kinzal.fi")</f>
        <v>kinzal.fi</v>
      </c>
      <c r="C7160" t="s">
        <v>445</v>
      </c>
      <c r="D7160" t="s">
        <v>823</v>
      </c>
      <c r="J7160">
        <v>2</v>
      </c>
    </row>
    <row r="7161" spans="1:10" x14ac:dyDescent="0.25">
      <c r="A7161" t="s">
        <v>65</v>
      </c>
      <c r="B7161" s="1" t="str">
        <f>HYPERLINK("http://kogenate.fi","kogenate.fi")</f>
        <v>kogenate.fi</v>
      </c>
      <c r="C7161" t="s">
        <v>445</v>
      </c>
      <c r="D7161" t="s">
        <v>823</v>
      </c>
      <c r="J7161">
        <v>2</v>
      </c>
    </row>
    <row r="7162" spans="1:10" x14ac:dyDescent="0.25">
      <c r="A7162" t="s">
        <v>65</v>
      </c>
      <c r="B7162" s="1" t="str">
        <f>HYPERLINK("http://kuparikierukka.fi","kuparikierukka.fi")</f>
        <v>kuparikierukka.fi</v>
      </c>
      <c r="C7162" t="s">
        <v>445</v>
      </c>
      <c r="D7162" t="s">
        <v>823</v>
      </c>
      <c r="F7162">
        <v>4.5099806142778702E-9</v>
      </c>
      <c r="G7162">
        <v>57506337</v>
      </c>
      <c r="H7162">
        <v>9400123</v>
      </c>
      <c r="I7162">
        <v>67271158</v>
      </c>
      <c r="J7162">
        <v>2</v>
      </c>
    </row>
    <row r="7163" spans="1:10" x14ac:dyDescent="0.25">
      <c r="A7163" t="s">
        <v>65</v>
      </c>
      <c r="B7163" s="1" t="str">
        <f>HYPERLINK("http://kyleena.fi","kyleena.fi")</f>
        <v>kyleena.fi</v>
      </c>
      <c r="C7163" t="s">
        <v>445</v>
      </c>
      <c r="D7163" t="s">
        <v>823</v>
      </c>
      <c r="J7163">
        <v>2</v>
      </c>
    </row>
    <row r="7164" spans="1:10" x14ac:dyDescent="0.25">
      <c r="A7164" t="s">
        <v>65</v>
      </c>
      <c r="B7164" s="1" t="str">
        <f>HYPERLINK("http://kyleenainfo.fi","kyleenainfo.fi")</f>
        <v>kyleenainfo.fi</v>
      </c>
      <c r="C7164" t="s">
        <v>445</v>
      </c>
      <c r="D7164" t="s">
        <v>823</v>
      </c>
      <c r="J7164">
        <v>2</v>
      </c>
    </row>
    <row r="7165" spans="1:10" x14ac:dyDescent="0.25">
      <c r="A7165" t="s">
        <v>65</v>
      </c>
      <c r="B7165" s="1" t="str">
        <f>HYPERLINK("http://kynsisienenhoito.fi","kynsisienenhoito.fi")</f>
        <v>kynsisienenhoito.fi</v>
      </c>
      <c r="C7165" t="s">
        <v>445</v>
      </c>
      <c r="D7165" t="s">
        <v>823</v>
      </c>
      <c r="F7165">
        <v>4.5099806142778702E-9</v>
      </c>
      <c r="G7165">
        <v>57506339</v>
      </c>
      <c r="H7165">
        <v>9400122</v>
      </c>
      <c r="I7165">
        <v>67271200</v>
      </c>
      <c r="J7165">
        <v>2</v>
      </c>
    </row>
    <row r="7166" spans="1:10" x14ac:dyDescent="0.25">
      <c r="A7166" t="s">
        <v>65</v>
      </c>
      <c r="B7166" s="1" t="str">
        <f>HYPERLINK("http://kynsisilsa.fi","kynsisilsa.fi")</f>
        <v>kynsisilsa.fi</v>
      </c>
      <c r="C7166" t="s">
        <v>445</v>
      </c>
      <c r="D7166" t="s">
        <v>823</v>
      </c>
      <c r="F7166">
        <v>4.5099806142778702E-9</v>
      </c>
      <c r="G7166">
        <v>57506340</v>
      </c>
      <c r="H7166">
        <v>9400124</v>
      </c>
      <c r="I7166">
        <v>67271144</v>
      </c>
      <c r="J7166">
        <v>2</v>
      </c>
    </row>
    <row r="7167" spans="1:10" x14ac:dyDescent="0.25">
      <c r="A7167" t="s">
        <v>65</v>
      </c>
      <c r="B7167" s="1" t="str">
        <f>HYPERLINK("http://lhyydy.fi","lhyydy.fi")</f>
        <v>lhyydy.fi</v>
      </c>
      <c r="C7167" t="s">
        <v>445</v>
      </c>
      <c r="D7167" t="s">
        <v>823</v>
      </c>
      <c r="J7167">
        <v>2</v>
      </c>
    </row>
    <row r="7168" spans="1:10" x14ac:dyDescent="0.25">
      <c r="A7168" t="s">
        <v>65</v>
      </c>
      <c r="B7168" s="1" t="str">
        <f>HYPERLINK("http://liikahappoisuus.fi","liikahappoisuus.fi")</f>
        <v>liikahappoisuus.fi</v>
      </c>
      <c r="C7168" t="s">
        <v>445</v>
      </c>
      <c r="D7168" t="s">
        <v>823</v>
      </c>
      <c r="J7168">
        <v>2</v>
      </c>
    </row>
    <row r="7169" spans="1:10" x14ac:dyDescent="0.25">
      <c r="A7169" t="s">
        <v>65</v>
      </c>
      <c r="B7169" s="1" t="str">
        <f>HYPERLINK("http://losec.fi","losec.fi")</f>
        <v>losec.fi</v>
      </c>
      <c r="C7169" t="s">
        <v>445</v>
      </c>
      <c r="D7169" t="s">
        <v>823</v>
      </c>
      <c r="F7169">
        <v>4.5099806142778702E-9</v>
      </c>
      <c r="G7169">
        <v>57506344</v>
      </c>
      <c r="H7169">
        <v>9400122</v>
      </c>
      <c r="I7169">
        <v>67271204</v>
      </c>
      <c r="J7169">
        <v>2</v>
      </c>
    </row>
    <row r="7170" spans="1:10" x14ac:dyDescent="0.25">
      <c r="A7170" t="s">
        <v>65</v>
      </c>
      <c r="B7170" s="1" t="str">
        <f>HYPERLINK("http://luadei.fi","luadei.fi")</f>
        <v>luadei.fi</v>
      </c>
      <c r="C7170" t="s">
        <v>445</v>
      </c>
      <c r="D7170" t="s">
        <v>823</v>
      </c>
      <c r="J7170">
        <v>2</v>
      </c>
    </row>
    <row r="7171" spans="1:10" x14ac:dyDescent="0.25">
      <c r="A7171" t="s">
        <v>65</v>
      </c>
      <c r="B7171" s="1" t="str">
        <f>HYPERLINK("http://maksasyopa.fi","maksasyopa.fi")</f>
        <v>maksasyopa.fi</v>
      </c>
      <c r="C7171" t="s">
        <v>445</v>
      </c>
      <c r="D7171" t="s">
        <v>823</v>
      </c>
      <c r="J7171">
        <v>2</v>
      </c>
    </row>
    <row r="7172" spans="1:10" x14ac:dyDescent="0.25">
      <c r="A7172" t="s">
        <v>65</v>
      </c>
      <c r="B7172" s="1" t="str">
        <f>HYPERLINK("http://maksasyp.fi","maksasyp.fi")</f>
        <v>maksasyp.fi</v>
      </c>
      <c r="C7172" t="s">
        <v>445</v>
      </c>
      <c r="D7172" t="s">
        <v>823</v>
      </c>
      <c r="J7172">
        <v>2</v>
      </c>
    </row>
    <row r="7173" spans="1:10" x14ac:dyDescent="0.25">
      <c r="A7173" t="s">
        <v>65</v>
      </c>
      <c r="B7173" s="1" t="str">
        <f>HYPERLINK("http://mapracorat.fi","mapracorat.fi")</f>
        <v>mapracorat.fi</v>
      </c>
      <c r="C7173" t="s">
        <v>445</v>
      </c>
      <c r="D7173" t="s">
        <v>823</v>
      </c>
      <c r="J7173">
        <v>2</v>
      </c>
    </row>
    <row r="7174" spans="1:10" x14ac:dyDescent="0.25">
      <c r="A7174" t="s">
        <v>65</v>
      </c>
      <c r="B7174" s="1" t="str">
        <f>HYPERLINK("http://medic4medic.fi","medic4medic.fi")</f>
        <v>medic4medic.fi</v>
      </c>
      <c r="C7174" t="s">
        <v>445</v>
      </c>
      <c r="D7174" t="s">
        <v>823</v>
      </c>
      <c r="J7174">
        <v>2</v>
      </c>
    </row>
    <row r="7175" spans="1:10" x14ac:dyDescent="0.25">
      <c r="A7175" t="s">
        <v>65</v>
      </c>
      <c r="B7175" s="1" t="str">
        <f>HYPERLINK("http://mieskunto.fi","mieskunto.fi")</f>
        <v>mieskunto.fi</v>
      </c>
      <c r="C7175" t="s">
        <v>445</v>
      </c>
      <c r="D7175" t="s">
        <v>823</v>
      </c>
      <c r="J7175">
        <v>2</v>
      </c>
    </row>
    <row r="7176" spans="1:10" x14ac:dyDescent="0.25">
      <c r="A7176" t="s">
        <v>65</v>
      </c>
      <c r="B7176" s="1" t="str">
        <f>HYPERLINK("http://mieskuntoon.fi","mieskuntoon.fi")</f>
        <v>mieskuntoon.fi</v>
      </c>
      <c r="C7176" t="s">
        <v>445</v>
      </c>
      <c r="D7176" t="s">
        <v>823</v>
      </c>
      <c r="F7176">
        <v>7.7004612291269692E-9</v>
      </c>
      <c r="G7176">
        <v>10570141</v>
      </c>
      <c r="H7176">
        <v>12520697</v>
      </c>
      <c r="I7176">
        <v>17144813</v>
      </c>
      <c r="J7176">
        <v>2</v>
      </c>
    </row>
    <row r="7177" spans="1:10" x14ac:dyDescent="0.25">
      <c r="A7177" t="s">
        <v>65</v>
      </c>
      <c r="B7177" s="1" t="str">
        <f>HYPERLINK("http://mirena.fi","mirena.fi")</f>
        <v>mirena.fi</v>
      </c>
      <c r="C7177" t="s">
        <v>445</v>
      </c>
      <c r="D7177" t="s">
        <v>823</v>
      </c>
      <c r="F7177">
        <v>4.5099806142778702E-9</v>
      </c>
      <c r="G7177">
        <v>57506300</v>
      </c>
      <c r="H7177">
        <v>9400122</v>
      </c>
      <c r="I7177">
        <v>67271205</v>
      </c>
      <c r="J7177">
        <v>2</v>
      </c>
    </row>
    <row r="7178" spans="1:10" x14ac:dyDescent="0.25">
      <c r="A7178" t="s">
        <v>65</v>
      </c>
      <c r="B7178" s="1" t="str">
        <f>HYPERLINK("http://ms-maailma.fi","ms-maailma.fi")</f>
        <v>ms-maailma.fi</v>
      </c>
      <c r="C7178" t="s">
        <v>445</v>
      </c>
      <c r="D7178" t="s">
        <v>823</v>
      </c>
      <c r="F7178">
        <v>4.6916667451001903E-9</v>
      </c>
      <c r="G7178">
        <v>41704646</v>
      </c>
      <c r="H7178">
        <v>10291726</v>
      </c>
      <c r="I7178">
        <v>58499101</v>
      </c>
      <c r="J7178">
        <v>2</v>
      </c>
    </row>
    <row r="7179" spans="1:10" x14ac:dyDescent="0.25">
      <c r="A7179" t="s">
        <v>65</v>
      </c>
      <c r="B7179" s="1" t="str">
        <f>HYPERLINK("http://msmaailma.fi","msmaailma.fi")</f>
        <v>msmaailma.fi</v>
      </c>
      <c r="C7179" t="s">
        <v>445</v>
      </c>
      <c r="D7179" t="s">
        <v>823</v>
      </c>
      <c r="F7179">
        <v>5.0002337216870901E-9</v>
      </c>
      <c r="G7179">
        <v>29406264</v>
      </c>
      <c r="H7179">
        <v>14071790</v>
      </c>
      <c r="I7179">
        <v>3510848</v>
      </c>
      <c r="J7179">
        <v>2</v>
      </c>
    </row>
    <row r="7180" spans="1:10" x14ac:dyDescent="0.25">
      <c r="A7180" t="s">
        <v>65</v>
      </c>
      <c r="B7180" s="1" t="str">
        <f>HYPERLINK("http://nahdaan.fi","nahdaan.fi")</f>
        <v>nahdaan.fi</v>
      </c>
      <c r="C7180" t="s">
        <v>445</v>
      </c>
      <c r="D7180" t="s">
        <v>823</v>
      </c>
      <c r="F7180">
        <v>7.3281335490948104E-9</v>
      </c>
      <c r="G7180">
        <v>11411994</v>
      </c>
      <c r="H7180">
        <v>12527907</v>
      </c>
      <c r="I7180">
        <v>17060187</v>
      </c>
      <c r="J7180">
        <v>2</v>
      </c>
    </row>
    <row r="7181" spans="1:10" x14ac:dyDescent="0.25">
      <c r="A7181" t="s">
        <v>65</v>
      </c>
      <c r="B7181" s="1" t="str">
        <f>HYPERLINK("http://naistenhiustenlahto.fi","naistenhiustenlahto.fi")</f>
        <v>naistenhiustenlahto.fi</v>
      </c>
      <c r="C7181" t="s">
        <v>445</v>
      </c>
      <c r="D7181" t="s">
        <v>823</v>
      </c>
      <c r="J7181">
        <v>2</v>
      </c>
    </row>
    <row r="7182" spans="1:10" x14ac:dyDescent="0.25">
      <c r="A7182" t="s">
        <v>65</v>
      </c>
      <c r="B7182" s="1" t="str">
        <f>HYPERLINK("http://narastaako.fi","narastaako.fi")</f>
        <v>narastaako.fi</v>
      </c>
      <c r="C7182" t="s">
        <v>445</v>
      </c>
      <c r="D7182" t="s">
        <v>823</v>
      </c>
      <c r="F7182">
        <v>4.5099806142778702E-9</v>
      </c>
      <c r="G7182">
        <v>57506346</v>
      </c>
      <c r="H7182">
        <v>9400122</v>
      </c>
      <c r="I7182">
        <v>67271207</v>
      </c>
      <c r="J7182">
        <v>2</v>
      </c>
    </row>
    <row r="7183" spans="1:10" x14ac:dyDescent="0.25">
      <c r="A7183" t="s">
        <v>65</v>
      </c>
      <c r="B7183" s="1" t="str">
        <f>HYPERLINK("http://narastyksenhoito.fi","narastyksenhoito.fi")</f>
        <v>narastyksenhoito.fi</v>
      </c>
      <c r="C7183" t="s">
        <v>445</v>
      </c>
      <c r="D7183" t="s">
        <v>823</v>
      </c>
      <c r="F7183">
        <v>4.5099806142778702E-9</v>
      </c>
      <c r="G7183">
        <v>57506347</v>
      </c>
      <c r="H7183">
        <v>9400122</v>
      </c>
      <c r="I7183">
        <v>67271208</v>
      </c>
      <c r="J7183">
        <v>2</v>
      </c>
    </row>
    <row r="7184" spans="1:10" x14ac:dyDescent="0.25">
      <c r="A7184" t="s">
        <v>65</v>
      </c>
      <c r="B7184" s="1" t="str">
        <f>HYPERLINK("http://nebido.fi","nebido.fi")</f>
        <v>nebido.fi</v>
      </c>
      <c r="C7184" t="s">
        <v>445</v>
      </c>
      <c r="D7184" t="s">
        <v>823</v>
      </c>
      <c r="F7184">
        <v>4.5099806142778702E-9</v>
      </c>
      <c r="G7184">
        <v>57506348</v>
      </c>
      <c r="H7184">
        <v>9400122</v>
      </c>
      <c r="I7184">
        <v>67271209</v>
      </c>
      <c r="J7184">
        <v>2</v>
      </c>
    </row>
    <row r="7185" spans="1:10" x14ac:dyDescent="0.25">
      <c r="A7185" t="s">
        <v>65</v>
      </c>
      <c r="B7185" s="1" t="str">
        <f>HYPERLINK("http://nexavar.fi","nexavar.fi")</f>
        <v>nexavar.fi</v>
      </c>
      <c r="C7185" t="s">
        <v>445</v>
      </c>
      <c r="D7185" t="s">
        <v>823</v>
      </c>
      <c r="J7185">
        <v>2</v>
      </c>
    </row>
    <row r="7186" spans="1:10" x14ac:dyDescent="0.25">
      <c r="A7186" t="s">
        <v>65</v>
      </c>
      <c r="B7186" s="1" t="str">
        <f>HYPERLINK("http://nhdn.fi","nhdn.fi")</f>
        <v>nhdn.fi</v>
      </c>
      <c r="C7186" t="s">
        <v>445</v>
      </c>
      <c r="D7186" t="s">
        <v>823</v>
      </c>
      <c r="J7186">
        <v>2</v>
      </c>
    </row>
    <row r="7187" spans="1:10" x14ac:dyDescent="0.25">
      <c r="A7187" t="s">
        <v>65</v>
      </c>
      <c r="B7187" s="1" t="str">
        <f>HYPERLINK("http://novat.fi","novat.fi")</f>
        <v>novat.fi</v>
      </c>
      <c r="C7187" t="s">
        <v>445</v>
      </c>
      <c r="D7187" t="s">
        <v>823</v>
      </c>
      <c r="F7187">
        <v>4.5099806142778702E-9</v>
      </c>
      <c r="G7187">
        <v>57506351</v>
      </c>
      <c r="H7187">
        <v>9400122</v>
      </c>
      <c r="I7187">
        <v>67271212</v>
      </c>
      <c r="J7187">
        <v>2</v>
      </c>
    </row>
    <row r="7188" spans="1:10" x14ac:dyDescent="0.25">
      <c r="A7188" t="s">
        <v>65</v>
      </c>
      <c r="B7188" s="1" t="str">
        <f>HYPERLINK("http://nrstk.fi","nrstk.fi")</f>
        <v>nrstk.fi</v>
      </c>
      <c r="C7188" t="s">
        <v>445</v>
      </c>
      <c r="D7188" t="s">
        <v>823</v>
      </c>
      <c r="J7188">
        <v>2</v>
      </c>
    </row>
    <row r="7189" spans="1:10" x14ac:dyDescent="0.25">
      <c r="A7189" t="s">
        <v>65</v>
      </c>
      <c r="B7189" s="1" t="str">
        <f>HYPERLINK("http://nrstyksenhoito.fi","nrstyksenhoito.fi")</f>
        <v>nrstyksenhoito.fi</v>
      </c>
      <c r="C7189" t="s">
        <v>445</v>
      </c>
      <c r="D7189" t="s">
        <v>823</v>
      </c>
      <c r="J7189">
        <v>2</v>
      </c>
    </row>
    <row r="7190" spans="1:10" x14ac:dyDescent="0.25">
      <c r="A7190" t="s">
        <v>65</v>
      </c>
      <c r="B7190" s="1" t="str">
        <f>HYPERLINK("http://nrstystesti.fi","nrstystesti.fi")</f>
        <v>nrstystesti.fi</v>
      </c>
      <c r="C7190" t="s">
        <v>445</v>
      </c>
      <c r="D7190" t="s">
        <v>823</v>
      </c>
      <c r="J7190">
        <v>2</v>
      </c>
    </row>
    <row r="7191" spans="1:10" x14ac:dyDescent="0.25">
      <c r="A7191" t="s">
        <v>65</v>
      </c>
      <c r="B7191" s="1" t="str">
        <f>HYPERLINK("http://nubeqa.fi","nubeqa.fi")</f>
        <v>nubeqa.fi</v>
      </c>
      <c r="C7191" t="s">
        <v>445</v>
      </c>
      <c r="D7191" t="s">
        <v>823</v>
      </c>
      <c r="J7191">
        <v>2</v>
      </c>
    </row>
    <row r="7192" spans="1:10" x14ac:dyDescent="0.25">
      <c r="A7192" t="s">
        <v>65</v>
      </c>
      <c r="B7192" s="1" t="str">
        <f>HYPERLINK("http://pictureofcancer.fi","pictureofcancer.fi")</f>
        <v>pictureofcancer.fi</v>
      </c>
      <c r="C7192" t="s">
        <v>445</v>
      </c>
      <c r="D7192" t="s">
        <v>823</v>
      </c>
      <c r="J7192">
        <v>2</v>
      </c>
    </row>
    <row r="7193" spans="1:10" x14ac:dyDescent="0.25">
      <c r="A7193" t="s">
        <v>65</v>
      </c>
      <c r="B7193" s="1" t="str">
        <f>HYPERLINK("http://priorin.fi","priorin.fi")</f>
        <v>priorin.fi</v>
      </c>
      <c r="C7193" t="s">
        <v>445</v>
      </c>
      <c r="D7193" t="s">
        <v>823</v>
      </c>
      <c r="F7193">
        <v>9.1181512982445403E-9</v>
      </c>
      <c r="G7193">
        <v>7821918</v>
      </c>
      <c r="H7193">
        <v>13766818</v>
      </c>
      <c r="I7193">
        <v>6973500</v>
      </c>
      <c r="J7193">
        <v>2</v>
      </c>
    </row>
    <row r="7194" spans="1:10" x14ac:dyDescent="0.25">
      <c r="A7194" t="s">
        <v>65</v>
      </c>
      <c r="B7194" s="1" t="str">
        <f>HYPERLINK("http://qlaira.fi","qlaira.fi")</f>
        <v>qlaira.fi</v>
      </c>
      <c r="C7194" t="s">
        <v>445</v>
      </c>
      <c r="D7194" t="s">
        <v>823</v>
      </c>
      <c r="J7194">
        <v>2</v>
      </c>
    </row>
    <row r="7195" spans="1:10" x14ac:dyDescent="0.25">
      <c r="A7195" t="s">
        <v>65</v>
      </c>
      <c r="B7195" s="1" t="str">
        <f>HYPERLINK("http://radiolaakehoito.fi","radiolaakehoito.fi")</f>
        <v>radiolaakehoito.fi</v>
      </c>
      <c r="C7195" t="s">
        <v>445</v>
      </c>
      <c r="D7195" t="s">
        <v>823</v>
      </c>
      <c r="F7195">
        <v>4.81220830666143E-9</v>
      </c>
      <c r="G7195">
        <v>35574406</v>
      </c>
      <c r="H7195">
        <v>10742593</v>
      </c>
      <c r="I7195">
        <v>40325425</v>
      </c>
      <c r="J7195">
        <v>2</v>
      </c>
    </row>
    <row r="7196" spans="1:10" x14ac:dyDescent="0.25">
      <c r="A7196" t="s">
        <v>65</v>
      </c>
      <c r="B7196" s="1" t="str">
        <f>HYPERLINK("http://radiolkehoito.fi","radiolkehoito.fi")</f>
        <v>radiolkehoito.fi</v>
      </c>
      <c r="C7196" t="s">
        <v>445</v>
      </c>
      <c r="D7196" t="s">
        <v>823</v>
      </c>
      <c r="J7196">
        <v>2</v>
      </c>
    </row>
    <row r="7197" spans="1:10" x14ac:dyDescent="0.25">
      <c r="A7197" t="s">
        <v>65</v>
      </c>
      <c r="B7197" s="1" t="str">
        <f>HYPERLINK("http://rennie.fi","rennie.fi")</f>
        <v>rennie.fi</v>
      </c>
      <c r="C7197" t="s">
        <v>445</v>
      </c>
      <c r="D7197" t="s">
        <v>823</v>
      </c>
      <c r="F7197">
        <v>7.3088843623842096E-9</v>
      </c>
      <c r="G7197">
        <v>11458091</v>
      </c>
      <c r="H7197">
        <v>13766817</v>
      </c>
      <c r="I7197">
        <v>6973553</v>
      </c>
      <c r="J7197">
        <v>2</v>
      </c>
    </row>
    <row r="7198" spans="1:10" x14ac:dyDescent="0.25">
      <c r="A7198" t="s">
        <v>65</v>
      </c>
      <c r="B7198" s="1" t="str">
        <f>HYPERLINK("http://rikkakasvigeeli.fi","rikkakasvigeeli.fi")</f>
        <v>rikkakasvigeeli.fi</v>
      </c>
      <c r="C7198" t="s">
        <v>445</v>
      </c>
      <c r="D7198" t="s">
        <v>823</v>
      </c>
      <c r="J7198">
        <v>4</v>
      </c>
    </row>
    <row r="7199" spans="1:10" x14ac:dyDescent="0.25">
      <c r="A7199" t="s">
        <v>65</v>
      </c>
      <c r="B7199" s="1" t="str">
        <f>HYPERLINK("http://rivaroksabaani.fi","rivaroksabaani.fi")</f>
        <v>rivaroksabaani.fi</v>
      </c>
      <c r="C7199" t="s">
        <v>445</v>
      </c>
      <c r="D7199" t="s">
        <v>823</v>
      </c>
      <c r="F7199">
        <v>4.5099806142778702E-9</v>
      </c>
      <c r="G7199">
        <v>57506354</v>
      </c>
      <c r="H7199">
        <v>9400122</v>
      </c>
      <c r="I7199">
        <v>67271215</v>
      </c>
      <c r="J7199">
        <v>2</v>
      </c>
    </row>
    <row r="7200" spans="1:10" x14ac:dyDescent="0.25">
      <c r="A7200" t="s">
        <v>65</v>
      </c>
      <c r="B7200" s="1" t="str">
        <f>HYPERLINK("http://roundup.fi","roundup.fi")</f>
        <v>roundup.fi</v>
      </c>
      <c r="C7200" t="s">
        <v>445</v>
      </c>
      <c r="D7200" t="s">
        <v>823</v>
      </c>
      <c r="F7200">
        <v>6.9985726443046602E-9</v>
      </c>
      <c r="G7200">
        <v>12316111</v>
      </c>
      <c r="H7200">
        <v>14236069</v>
      </c>
      <c r="I7200">
        <v>1631760</v>
      </c>
      <c r="J7200">
        <v>4</v>
      </c>
    </row>
    <row r="7201" spans="1:10" x14ac:dyDescent="0.25">
      <c r="A7201" t="s">
        <v>65</v>
      </c>
      <c r="B7201" s="1" t="str">
        <f>HYPERLINK("http://roundup-garden.fi","roundup-garden.fi")</f>
        <v>roundup-garden.fi</v>
      </c>
      <c r="C7201" t="s">
        <v>445</v>
      </c>
      <c r="D7201" t="s">
        <v>823</v>
      </c>
      <c r="J7201">
        <v>4</v>
      </c>
    </row>
    <row r="7202" spans="1:10" x14ac:dyDescent="0.25">
      <c r="A7202" t="s">
        <v>65</v>
      </c>
      <c r="B7202" s="1" t="str">
        <f>HYPERLINK("http://roundupgeeli.fi","roundupgeeli.fi")</f>
        <v>roundupgeeli.fi</v>
      </c>
      <c r="C7202" t="s">
        <v>445</v>
      </c>
      <c r="D7202" t="s">
        <v>823</v>
      </c>
      <c r="J7202">
        <v>4</v>
      </c>
    </row>
    <row r="7203" spans="1:10" x14ac:dyDescent="0.25">
      <c r="A7203" t="s">
        <v>65</v>
      </c>
      <c r="B7203" s="1" t="str">
        <f>HYPERLINK("http://schering.fi","schering.fi")</f>
        <v>schering.fi</v>
      </c>
      <c r="C7203" t="s">
        <v>445</v>
      </c>
      <c r="D7203" t="s">
        <v>823</v>
      </c>
      <c r="F7203">
        <v>4.53658084920992E-9</v>
      </c>
      <c r="G7203">
        <v>53741359</v>
      </c>
      <c r="H7203">
        <v>9400123</v>
      </c>
      <c r="I7203">
        <v>67271159</v>
      </c>
      <c r="J7203">
        <v>2</v>
      </c>
    </row>
    <row r="7204" spans="1:10" x14ac:dyDescent="0.25">
      <c r="A7204" t="s">
        <v>65</v>
      </c>
      <c r="B7204" s="1" t="str">
        <f>HYPERLINK("http://seetherealpicture.fi","seetherealpicture.fi")</f>
        <v>seetherealpicture.fi</v>
      </c>
      <c r="C7204" t="s">
        <v>445</v>
      </c>
      <c r="D7204" t="s">
        <v>823</v>
      </c>
      <c r="J7204">
        <v>2</v>
      </c>
    </row>
    <row r="7205" spans="1:10" x14ac:dyDescent="0.25">
      <c r="A7205" t="s">
        <v>65</v>
      </c>
      <c r="B7205" s="1" t="str">
        <f>HYPERLINK("http://seetherealpictureofcancer.fi","seetherealpictureofcancer.fi")</f>
        <v>seetherealpictureofcancer.fi</v>
      </c>
      <c r="C7205" t="s">
        <v>445</v>
      </c>
      <c r="D7205" t="s">
        <v>823</v>
      </c>
      <c r="J7205">
        <v>2</v>
      </c>
    </row>
    <row r="7206" spans="1:10" x14ac:dyDescent="0.25">
      <c r="A7206" t="s">
        <v>65</v>
      </c>
      <c r="B7206" s="1" t="str">
        <f>HYPERLINK("http://selgrana.fi","selgrana.fi")</f>
        <v>selgrana.fi</v>
      </c>
      <c r="C7206" t="s">
        <v>445</v>
      </c>
      <c r="D7206" t="s">
        <v>823</v>
      </c>
      <c r="J7206">
        <v>2</v>
      </c>
    </row>
    <row r="7207" spans="1:10" x14ac:dyDescent="0.25">
      <c r="A7207" t="s">
        <v>65</v>
      </c>
      <c r="B7207" s="1" t="str">
        <f>HYPERLINK("http://selgrava.fi","selgrava.fi")</f>
        <v>selgrava.fi</v>
      </c>
      <c r="C7207" t="s">
        <v>445</v>
      </c>
      <c r="D7207" t="s">
        <v>823</v>
      </c>
      <c r="J7207">
        <v>2</v>
      </c>
    </row>
    <row r="7208" spans="1:10" x14ac:dyDescent="0.25">
      <c r="A7208" t="s">
        <v>65</v>
      </c>
      <c r="B7208" s="1" t="str">
        <f>HYPERLINK("http://seresto.fi","seresto.fi")</f>
        <v>seresto.fi</v>
      </c>
      <c r="C7208" t="s">
        <v>445</v>
      </c>
      <c r="D7208" t="s">
        <v>823</v>
      </c>
      <c r="F7208">
        <v>4.6216238967403798E-9</v>
      </c>
      <c r="G7208">
        <v>46022753</v>
      </c>
      <c r="H7208">
        <v>10349542</v>
      </c>
      <c r="I7208">
        <v>56413126</v>
      </c>
      <c r="J7208">
        <v>2</v>
      </c>
    </row>
    <row r="7209" spans="1:10" x14ac:dyDescent="0.25">
      <c r="A7209" t="s">
        <v>65</v>
      </c>
      <c r="B7209" s="1" t="str">
        <f>HYPERLINK("http://sexfoni.fi","sexfoni.fi")</f>
        <v>sexfoni.fi</v>
      </c>
      <c r="C7209" t="s">
        <v>445</v>
      </c>
      <c r="D7209" t="s">
        <v>823</v>
      </c>
      <c r="F7209">
        <v>4.7170133498079703E-9</v>
      </c>
      <c r="G7209">
        <v>40363222</v>
      </c>
      <c r="H7209">
        <v>10837131</v>
      </c>
      <c r="I7209">
        <v>37235376</v>
      </c>
      <c r="J7209">
        <v>2</v>
      </c>
    </row>
    <row r="7210" spans="1:10" x14ac:dyDescent="0.25">
      <c r="A7210" t="s">
        <v>65</v>
      </c>
      <c r="B7210" s="1" t="str">
        <f>HYPERLINK("http://simply-t.fi","simply-t.fi")</f>
        <v>simply-t.fi</v>
      </c>
      <c r="C7210" t="s">
        <v>445</v>
      </c>
      <c r="D7210" t="s">
        <v>823</v>
      </c>
      <c r="F7210">
        <v>4.5099806142778702E-9</v>
      </c>
      <c r="G7210">
        <v>57506358</v>
      </c>
      <c r="H7210">
        <v>9400122</v>
      </c>
      <c r="I7210">
        <v>67271218</v>
      </c>
      <c r="J7210">
        <v>2</v>
      </c>
    </row>
    <row r="7211" spans="1:10" x14ac:dyDescent="0.25">
      <c r="A7211" t="s">
        <v>65</v>
      </c>
      <c r="B7211" s="1" t="str">
        <f>HYPERLINK("http://stivarga.fi","stivarga.fi")</f>
        <v>stivarga.fi</v>
      </c>
      <c r="C7211" t="s">
        <v>445</v>
      </c>
      <c r="D7211" t="s">
        <v>823</v>
      </c>
      <c r="F7211">
        <v>4.5099806142778702E-9</v>
      </c>
      <c r="G7211">
        <v>57506359</v>
      </c>
      <c r="H7211">
        <v>9400122</v>
      </c>
      <c r="I7211">
        <v>67271219</v>
      </c>
      <c r="J7211">
        <v>2</v>
      </c>
    </row>
    <row r="7212" spans="1:10" x14ac:dyDescent="0.25">
      <c r="A7212" t="s">
        <v>65</v>
      </c>
      <c r="B7212" s="1" t="str">
        <f>HYPERLINK("http://supriad.fi","supriad.fi")</f>
        <v>supriad.fi</v>
      </c>
      <c r="C7212" t="s">
        <v>445</v>
      </c>
      <c r="D7212" t="s">
        <v>823</v>
      </c>
      <c r="J7212">
        <v>2</v>
      </c>
    </row>
    <row r="7213" spans="1:10" x14ac:dyDescent="0.25">
      <c r="A7213" t="s">
        <v>65</v>
      </c>
      <c r="B7213" s="1" t="str">
        <f>HYPERLINK("http://tamofen.fi","tamofen.fi")</f>
        <v>tamofen.fi</v>
      </c>
      <c r="C7213" t="s">
        <v>445</v>
      </c>
      <c r="D7213" t="s">
        <v>823</v>
      </c>
      <c r="J7213">
        <v>2</v>
      </c>
    </row>
    <row r="7214" spans="1:10" x14ac:dyDescent="0.25">
      <c r="A7214" t="s">
        <v>65</v>
      </c>
      <c r="B7214" s="1" t="str">
        <f>HYPERLINK("http://testaasyopasi.fi","testaasyopasi.fi")</f>
        <v>testaasyopasi.fi</v>
      </c>
      <c r="C7214" t="s">
        <v>445</v>
      </c>
      <c r="D7214" t="s">
        <v>823</v>
      </c>
      <c r="J7214">
        <v>2</v>
      </c>
    </row>
    <row r="7215" spans="1:10" x14ac:dyDescent="0.25">
      <c r="A7215" t="s">
        <v>65</v>
      </c>
      <c r="B7215" s="1" t="str">
        <f>HYPERLINK("http://testogel.fi","testogel.fi")</f>
        <v>testogel.fi</v>
      </c>
      <c r="C7215" t="s">
        <v>445</v>
      </c>
      <c r="D7215" t="s">
        <v>823</v>
      </c>
      <c r="J7215">
        <v>2</v>
      </c>
    </row>
    <row r="7216" spans="1:10" x14ac:dyDescent="0.25">
      <c r="A7216" t="s">
        <v>65</v>
      </c>
      <c r="B7216" s="1" t="str">
        <f>HYPERLINK("http://testosteroni.fi","testosteroni.fi")</f>
        <v>testosteroni.fi</v>
      </c>
      <c r="C7216" t="s">
        <v>445</v>
      </c>
      <c r="D7216" t="s">
        <v>823</v>
      </c>
      <c r="F7216">
        <v>4.6013637521773101E-9</v>
      </c>
      <c r="G7216">
        <v>47499135</v>
      </c>
      <c r="H7216">
        <v>13763633</v>
      </c>
      <c r="I7216">
        <v>9132402</v>
      </c>
      <c r="J7216">
        <v>2</v>
      </c>
    </row>
    <row r="7217" spans="1:10" x14ac:dyDescent="0.25">
      <c r="A7217" t="s">
        <v>65</v>
      </c>
      <c r="B7217" s="1" t="str">
        <f>HYPERLINK("http://thrombosisadviser.fi","thrombosisadviser.fi")</f>
        <v>thrombosisadviser.fi</v>
      </c>
      <c r="C7217" t="s">
        <v>445</v>
      </c>
      <c r="D7217" t="s">
        <v>823</v>
      </c>
      <c r="J7217">
        <v>2</v>
      </c>
    </row>
    <row r="7218" spans="1:10" x14ac:dyDescent="0.25">
      <c r="A7218" t="s">
        <v>65</v>
      </c>
      <c r="B7218" s="1" t="str">
        <f>HYPERLINK("http://trkcancer.fi","trkcancer.fi")</f>
        <v>trkcancer.fi</v>
      </c>
      <c r="C7218" t="s">
        <v>445</v>
      </c>
      <c r="D7218" t="s">
        <v>823</v>
      </c>
      <c r="J7218">
        <v>2</v>
      </c>
    </row>
    <row r="7219" spans="1:10" x14ac:dyDescent="0.25">
      <c r="A7219" t="s">
        <v>65</v>
      </c>
      <c r="B7219" s="1" t="str">
        <f>HYPERLINK("http://tukos.fi","tukos.fi")</f>
        <v>tukos.fi</v>
      </c>
      <c r="C7219" t="s">
        <v>445</v>
      </c>
      <c r="D7219" t="s">
        <v>823</v>
      </c>
      <c r="J7219">
        <v>2</v>
      </c>
    </row>
    <row r="7220" spans="1:10" x14ac:dyDescent="0.25">
      <c r="A7220" t="s">
        <v>65</v>
      </c>
      <c r="B7220" s="1" t="str">
        <f>HYPERLINK("http://tukosriski.fi","tukosriski.fi")</f>
        <v>tukosriski.fi</v>
      </c>
      <c r="C7220" t="s">
        <v>445</v>
      </c>
      <c r="D7220" t="s">
        <v>823</v>
      </c>
      <c r="J7220">
        <v>2</v>
      </c>
    </row>
    <row r="7221" spans="1:10" x14ac:dyDescent="0.25">
      <c r="A7221" t="s">
        <v>65</v>
      </c>
      <c r="B7221" s="1" t="str">
        <f>HYPERLINK("http://vatsahapot.fi","vatsahapot.fi")</f>
        <v>vatsahapot.fi</v>
      </c>
      <c r="C7221" t="s">
        <v>445</v>
      </c>
      <c r="D7221" t="s">
        <v>823</v>
      </c>
      <c r="J7221">
        <v>2</v>
      </c>
    </row>
    <row r="7222" spans="1:10" x14ac:dyDescent="0.25">
      <c r="A7222" t="s">
        <v>65</v>
      </c>
      <c r="B7222" s="1" t="str">
        <f>HYPERLINK("http://ventavis.fi","ventavis.fi")</f>
        <v>ventavis.fi</v>
      </c>
      <c r="C7222" t="s">
        <v>445</v>
      </c>
      <c r="D7222" t="s">
        <v>823</v>
      </c>
      <c r="F7222">
        <v>4.5099806142778702E-9</v>
      </c>
      <c r="G7222">
        <v>57506362</v>
      </c>
      <c r="H7222">
        <v>9400122</v>
      </c>
      <c r="I7222">
        <v>67271222</v>
      </c>
      <c r="J7222">
        <v>2</v>
      </c>
    </row>
    <row r="7223" spans="1:10" x14ac:dyDescent="0.25">
      <c r="A7223" t="s">
        <v>65</v>
      </c>
      <c r="B7223" s="1" t="str">
        <f>HYPERLINK("http://veritulppa.fi","veritulppa.fi")</f>
        <v>veritulppa.fi</v>
      </c>
      <c r="C7223" t="s">
        <v>445</v>
      </c>
      <c r="D7223" t="s">
        <v>823</v>
      </c>
      <c r="J7223">
        <v>2</v>
      </c>
    </row>
    <row r="7224" spans="1:10" x14ac:dyDescent="0.25">
      <c r="A7224" t="s">
        <v>65</v>
      </c>
      <c r="B7224" s="1" t="str">
        <f>HYPERLINK("http://verquvo.fi","verquvo.fi")</f>
        <v>verquvo.fi</v>
      </c>
      <c r="C7224" t="s">
        <v>445</v>
      </c>
      <c r="D7224" t="s">
        <v>823</v>
      </c>
      <c r="J7224">
        <v>2</v>
      </c>
    </row>
    <row r="7225" spans="1:10" x14ac:dyDescent="0.25">
      <c r="A7225" t="s">
        <v>65</v>
      </c>
      <c r="B7225" s="1" t="str">
        <f>HYPERLINK("http://vetriderm.fi","vetriderm.fi")</f>
        <v>vetriderm.fi</v>
      </c>
      <c r="C7225" t="s">
        <v>445</v>
      </c>
      <c r="D7225" t="s">
        <v>823</v>
      </c>
      <c r="J7225">
        <v>2</v>
      </c>
    </row>
    <row r="7226" spans="1:10" x14ac:dyDescent="0.25">
      <c r="A7226" t="s">
        <v>65</v>
      </c>
      <c r="B7226" s="1" t="str">
        <f>HYPERLINK("http://visanne.fi","visanne.fi")</f>
        <v>visanne.fi</v>
      </c>
      <c r="C7226" t="s">
        <v>445</v>
      </c>
      <c r="D7226" t="s">
        <v>823</v>
      </c>
      <c r="J7226">
        <v>2</v>
      </c>
    </row>
    <row r="7227" spans="1:10" x14ac:dyDescent="0.25">
      <c r="A7227" t="s">
        <v>65</v>
      </c>
      <c r="B7227" s="1" t="str">
        <f>HYPERLINK("http://vitrakvi.fi","vitrakvi.fi")</f>
        <v>vitrakvi.fi</v>
      </c>
      <c r="C7227" t="s">
        <v>445</v>
      </c>
      <c r="D7227" t="s">
        <v>823</v>
      </c>
      <c r="J7227">
        <v>2</v>
      </c>
    </row>
    <row r="7228" spans="1:10" x14ac:dyDescent="0.25">
      <c r="A7228" t="s">
        <v>65</v>
      </c>
      <c r="B7228" s="1" t="str">
        <f>HYPERLINK("http://xarelto.fi","xarelto.fi")</f>
        <v>xarelto.fi</v>
      </c>
      <c r="C7228" t="s">
        <v>445</v>
      </c>
      <c r="D7228" t="s">
        <v>823</v>
      </c>
      <c r="J7228">
        <v>2</v>
      </c>
    </row>
    <row r="7229" spans="1:10" x14ac:dyDescent="0.25">
      <c r="A7229" t="s">
        <v>65</v>
      </c>
      <c r="B7229" s="1" t="str">
        <f>HYPERLINK("http://xarelto-hoitaja.fi","xarelto-hoitaja.fi")</f>
        <v>xarelto-hoitaja.fi</v>
      </c>
      <c r="C7229" t="s">
        <v>445</v>
      </c>
      <c r="D7229" t="s">
        <v>823</v>
      </c>
      <c r="F7229">
        <v>4.5099806142778702E-9</v>
      </c>
      <c r="G7229">
        <v>57506363</v>
      </c>
      <c r="H7229">
        <v>9400122</v>
      </c>
      <c r="I7229">
        <v>67271223</v>
      </c>
      <c r="J7229">
        <v>2</v>
      </c>
    </row>
    <row r="7230" spans="1:10" x14ac:dyDescent="0.25">
      <c r="A7230" t="s">
        <v>65</v>
      </c>
      <c r="B7230" s="1" t="str">
        <f>HYPERLINK("http://xofigo.fi","xofigo.fi")</f>
        <v>xofigo.fi</v>
      </c>
      <c r="C7230" t="s">
        <v>445</v>
      </c>
      <c r="D7230" t="s">
        <v>823</v>
      </c>
      <c r="F7230">
        <v>4.5099806142778702E-9</v>
      </c>
      <c r="G7230">
        <v>57506364</v>
      </c>
      <c r="H7230">
        <v>9400126</v>
      </c>
      <c r="I7230">
        <v>67271116</v>
      </c>
      <c r="J7230">
        <v>2</v>
      </c>
    </row>
    <row r="7231" spans="1:10" x14ac:dyDescent="0.25">
      <c r="A7231" t="s">
        <v>65</v>
      </c>
      <c r="B7231" s="1" t="str">
        <f>HYPERLINK("http://yasmin.fi","yasmin.fi")</f>
        <v>yasmin.fi</v>
      </c>
      <c r="C7231" t="s">
        <v>445</v>
      </c>
      <c r="D7231" t="s">
        <v>823</v>
      </c>
      <c r="F7231">
        <v>4.5099806142778702E-9</v>
      </c>
      <c r="G7231">
        <v>57506365</v>
      </c>
      <c r="H7231">
        <v>9400122</v>
      </c>
      <c r="I7231">
        <v>67271224</v>
      </c>
      <c r="J7231">
        <v>2</v>
      </c>
    </row>
    <row r="7232" spans="1:10" x14ac:dyDescent="0.25">
      <c r="A7232" t="s">
        <v>65</v>
      </c>
      <c r="B7232" s="1" t="str">
        <f>HYPERLINK("http://yasminelle.fi","yasminelle.fi")</f>
        <v>yasminelle.fi</v>
      </c>
      <c r="C7232" t="s">
        <v>445</v>
      </c>
      <c r="D7232" t="s">
        <v>823</v>
      </c>
      <c r="F7232">
        <v>4.5099806142778702E-9</v>
      </c>
      <c r="G7232">
        <v>57506366</v>
      </c>
      <c r="H7232">
        <v>9400122</v>
      </c>
      <c r="I7232">
        <v>67271225</v>
      </c>
      <c r="J7232">
        <v>2</v>
      </c>
    </row>
    <row r="7233" spans="1:10" x14ac:dyDescent="0.25">
      <c r="A7233" t="s">
        <v>65</v>
      </c>
      <c r="B7233" s="1" t="str">
        <f>HYPERLINK("http://yaz.fi","yaz.fi")</f>
        <v>yaz.fi</v>
      </c>
      <c r="C7233" t="s">
        <v>445</v>
      </c>
      <c r="D7233" t="s">
        <v>823</v>
      </c>
      <c r="J7233">
        <v>2</v>
      </c>
    </row>
    <row r="7234" spans="1:10" x14ac:dyDescent="0.25">
      <c r="A7234" t="s">
        <v>65</v>
      </c>
      <c r="B7234" s="1" t="str">
        <f>HYPERLINK("http://your-life.fi","your-life.fi")</f>
        <v>your-life.fi</v>
      </c>
      <c r="C7234" t="s">
        <v>445</v>
      </c>
      <c r="D7234" t="s">
        <v>823</v>
      </c>
      <c r="J7234">
        <v>2</v>
      </c>
    </row>
    <row r="7235" spans="1:10" x14ac:dyDescent="0.25">
      <c r="A7235" t="s">
        <v>65</v>
      </c>
      <c r="B7235" s="1" t="str">
        <f>HYPERLINK("http://bayer.fr","bayer.fr")</f>
        <v>bayer.fr</v>
      </c>
      <c r="C7235" t="s">
        <v>446</v>
      </c>
      <c r="D7235" t="s">
        <v>824</v>
      </c>
      <c r="E7235">
        <v>865399</v>
      </c>
      <c r="F7235">
        <v>1.44216954769465E-7</v>
      </c>
      <c r="G7235">
        <v>269972</v>
      </c>
      <c r="H7235">
        <v>14296858</v>
      </c>
      <c r="I7235">
        <v>1359509</v>
      </c>
      <c r="J7235">
        <v>2</v>
      </c>
    </row>
    <row r="7236" spans="1:10" x14ac:dyDescent="0.25">
      <c r="A7236" t="s">
        <v>65</v>
      </c>
      <c r="B7236" s="1" t="str">
        <f>HYPERLINK("http://bayer.gr","bayer.gr")</f>
        <v>bayer.gr</v>
      </c>
      <c r="C7236" t="s">
        <v>447</v>
      </c>
      <c r="D7236" t="s">
        <v>825</v>
      </c>
      <c r="F7236">
        <v>5.2567340768663202E-8</v>
      </c>
      <c r="G7236">
        <v>867321</v>
      </c>
      <c r="H7236">
        <v>14114512</v>
      </c>
      <c r="I7236">
        <v>2665242</v>
      </c>
      <c r="J7236">
        <v>3</v>
      </c>
    </row>
    <row r="7237" spans="1:10" x14ac:dyDescent="0.25">
      <c r="A7237" t="s">
        <v>65</v>
      </c>
      <c r="B7237" s="1" t="str">
        <f>HYPERLINK("http://bayer.gt","bayer.gt")</f>
        <v>bayer.gt</v>
      </c>
      <c r="C7237" t="s">
        <v>448</v>
      </c>
      <c r="D7237" t="s">
        <v>826</v>
      </c>
      <c r="F7237">
        <v>1.17815075228644E-8</v>
      </c>
      <c r="G7237">
        <v>5313646</v>
      </c>
      <c r="H7237">
        <v>9940009</v>
      </c>
      <c r="I7237">
        <v>61336628</v>
      </c>
      <c r="J7237">
        <v>4</v>
      </c>
    </row>
    <row r="7238" spans="1:10" x14ac:dyDescent="0.25">
      <c r="A7238" t="s">
        <v>65</v>
      </c>
      <c r="B7238" s="1" t="str">
        <f>HYPERLINK("http://bayer.hr","bayer.hr")</f>
        <v>bayer.hr</v>
      </c>
      <c r="C7238" t="s">
        <v>452</v>
      </c>
      <c r="D7238" t="s">
        <v>829</v>
      </c>
      <c r="F7238">
        <v>2.62736183739732E-8</v>
      </c>
      <c r="G7238">
        <v>1959968</v>
      </c>
      <c r="H7238">
        <v>12561119</v>
      </c>
      <c r="I7238">
        <v>16700074</v>
      </c>
      <c r="J7238">
        <v>3</v>
      </c>
    </row>
    <row r="7239" spans="1:10" x14ac:dyDescent="0.25">
      <c r="A7239" t="s">
        <v>65</v>
      </c>
      <c r="B7239" s="1" t="str">
        <f>HYPERLINK("http://bayerhungaria.hu","bayerhungaria.hu")</f>
        <v>bayerhungaria.hu</v>
      </c>
      <c r="C7239" t="s">
        <v>453</v>
      </c>
      <c r="D7239" t="s">
        <v>830</v>
      </c>
      <c r="F7239">
        <v>1.16455529997412E-8</v>
      </c>
      <c r="G7239">
        <v>5402064</v>
      </c>
      <c r="H7239">
        <v>13763651</v>
      </c>
      <c r="I7239">
        <v>7888091</v>
      </c>
      <c r="J7239">
        <v>4</v>
      </c>
    </row>
    <row r="7240" spans="1:10" x14ac:dyDescent="0.25">
      <c r="A7240" t="s">
        <v>65</v>
      </c>
      <c r="B7240" s="1" t="str">
        <f>HYPERLINK("http://bayer.co.hu","bayer.co.hu")</f>
        <v>bayer.co.hu</v>
      </c>
      <c r="C7240" t="s">
        <v>453</v>
      </c>
      <c r="D7240" t="s">
        <v>830</v>
      </c>
      <c r="F7240">
        <v>3.29907124742495E-8</v>
      </c>
      <c r="G7240">
        <v>1565954</v>
      </c>
      <c r="H7240">
        <v>14078818</v>
      </c>
      <c r="I7240">
        <v>2840716</v>
      </c>
      <c r="J7240">
        <v>3</v>
      </c>
    </row>
    <row r="7241" spans="1:10" x14ac:dyDescent="0.25">
      <c r="A7241" t="s">
        <v>65</v>
      </c>
      <c r="B7241" s="1" t="str">
        <f>HYPERLINK("http://bayer.co.id","bayer.co.id")</f>
        <v>bayer.co.id</v>
      </c>
      <c r="C7241" t="s">
        <v>454</v>
      </c>
      <c r="D7241" t="s">
        <v>831</v>
      </c>
      <c r="F7241">
        <v>1.5284249311508499E-8</v>
      </c>
      <c r="G7241">
        <v>3750442</v>
      </c>
      <c r="H7241">
        <v>12725243</v>
      </c>
      <c r="I7241">
        <v>15227872</v>
      </c>
      <c r="J7241">
        <v>3</v>
      </c>
    </row>
    <row r="7242" spans="1:10" x14ac:dyDescent="0.25">
      <c r="A7242" t="s">
        <v>65</v>
      </c>
      <c r="B7242" s="1" t="str">
        <f>HYPERLINK("http://bayer.ie","bayer.ie")</f>
        <v>bayer.ie</v>
      </c>
      <c r="C7242" t="s">
        <v>455</v>
      </c>
      <c r="D7242" t="s">
        <v>832</v>
      </c>
      <c r="F7242">
        <v>1.7227420968815199E-8</v>
      </c>
      <c r="G7242">
        <v>3217795</v>
      </c>
      <c r="H7242">
        <v>12729669</v>
      </c>
      <c r="I7242">
        <v>15199572</v>
      </c>
      <c r="J7242">
        <v>3</v>
      </c>
    </row>
    <row r="7243" spans="1:10" x14ac:dyDescent="0.25">
      <c r="A7243" t="s">
        <v>65</v>
      </c>
      <c r="B7243" s="1" t="str">
        <f>HYPERLINK("http://bayer.in","bayer.in")</f>
        <v>bayer.in</v>
      </c>
      <c r="C7243" t="s">
        <v>457</v>
      </c>
      <c r="D7243" t="s">
        <v>834</v>
      </c>
      <c r="F7243">
        <v>4.1841917523102701E-8</v>
      </c>
      <c r="G7243">
        <v>1175637</v>
      </c>
      <c r="H7243">
        <v>14097774</v>
      </c>
      <c r="I7243">
        <v>2719932</v>
      </c>
      <c r="J7243">
        <v>2</v>
      </c>
    </row>
    <row r="7244" spans="1:10" x14ac:dyDescent="0.25">
      <c r="A7244" t="s">
        <v>65</v>
      </c>
      <c r="B7244" s="1" t="str">
        <f>HYPERLINK("http://bayer.it","bayer.it")</f>
        <v>bayer.it</v>
      </c>
      <c r="C7244" t="s">
        <v>459</v>
      </c>
      <c r="D7244" t="s">
        <v>835</v>
      </c>
      <c r="E7244">
        <v>711705</v>
      </c>
      <c r="F7244">
        <v>1.6384462447453301E-7</v>
      </c>
      <c r="G7244">
        <v>236899</v>
      </c>
      <c r="H7244">
        <v>17069928</v>
      </c>
      <c r="I7244">
        <v>70998</v>
      </c>
      <c r="J7244">
        <v>3</v>
      </c>
    </row>
    <row r="7245" spans="1:10" x14ac:dyDescent="0.25">
      <c r="A7245" t="s">
        <v>65</v>
      </c>
      <c r="B7245" s="1" t="str">
        <f>HYPERLINK("http://monsanto.it","monsanto.it")</f>
        <v>monsanto.it</v>
      </c>
      <c r="C7245" t="s">
        <v>459</v>
      </c>
      <c r="D7245" t="s">
        <v>835</v>
      </c>
      <c r="F7245">
        <v>8.3586086271280598E-9</v>
      </c>
      <c r="G7245">
        <v>9128404</v>
      </c>
      <c r="H7245">
        <v>13782348</v>
      </c>
      <c r="I7245">
        <v>6441209</v>
      </c>
      <c r="J7245">
        <v>3</v>
      </c>
    </row>
    <row r="7246" spans="1:10" x14ac:dyDescent="0.25">
      <c r="A7246" t="s">
        <v>65</v>
      </c>
      <c r="B7246" s="1" t="str">
        <f>HYPERLINK("http://bayer.jo","bayer.jo")</f>
        <v>bayer.jo</v>
      </c>
      <c r="C7246" t="s">
        <v>519</v>
      </c>
      <c r="D7246" t="s">
        <v>889</v>
      </c>
      <c r="J7246">
        <v>3</v>
      </c>
    </row>
    <row r="7247" spans="1:10" x14ac:dyDescent="0.25">
      <c r="A7247" t="s">
        <v>65</v>
      </c>
      <c r="B7247" s="1" t="str">
        <f>HYPERLINK("http://bayer.jp","bayer.jp")</f>
        <v>bayer.jp</v>
      </c>
      <c r="C7247" t="s">
        <v>461</v>
      </c>
      <c r="D7247" t="s">
        <v>837</v>
      </c>
      <c r="E7247">
        <v>450557</v>
      </c>
      <c r="F7247">
        <v>1.9497861722742901E-7</v>
      </c>
      <c r="G7247">
        <v>197744</v>
      </c>
      <c r="H7247">
        <v>14204531</v>
      </c>
      <c r="I7247">
        <v>1714015</v>
      </c>
      <c r="J7247">
        <v>3</v>
      </c>
    </row>
    <row r="7248" spans="1:10" x14ac:dyDescent="0.25">
      <c r="A7248" t="s">
        <v>65</v>
      </c>
      <c r="B7248" s="1" t="str">
        <f>HYPERLINK("http://bayer.co.jp","bayer.co.jp")</f>
        <v>bayer.co.jp</v>
      </c>
      <c r="C7248" t="s">
        <v>461</v>
      </c>
      <c r="D7248" t="s">
        <v>837</v>
      </c>
      <c r="F7248">
        <v>1.2663511836690799E-7</v>
      </c>
      <c r="G7248">
        <v>311423</v>
      </c>
      <c r="H7248">
        <v>14174830</v>
      </c>
      <c r="I7248">
        <v>1792420</v>
      </c>
      <c r="J7248">
        <v>3</v>
      </c>
    </row>
    <row r="7249" spans="1:10" x14ac:dyDescent="0.25">
      <c r="A7249" t="s">
        <v>65</v>
      </c>
      <c r="B7249" s="1" t="str">
        <f>HYPERLINK("http://bayer.kr","bayer.kr")</f>
        <v>bayer.kr</v>
      </c>
      <c r="C7249" t="s">
        <v>463</v>
      </c>
      <c r="D7249" t="s">
        <v>839</v>
      </c>
      <c r="F7249">
        <v>9.3751874569132304E-9</v>
      </c>
      <c r="G7249">
        <v>7476716</v>
      </c>
      <c r="H7249">
        <v>12519915</v>
      </c>
      <c r="I7249">
        <v>17153114</v>
      </c>
      <c r="J7249">
        <v>3</v>
      </c>
    </row>
    <row r="7250" spans="1:10" x14ac:dyDescent="0.25">
      <c r="A7250" t="s">
        <v>65</v>
      </c>
      <c r="B7250" s="1" t="str">
        <f>HYPERLINK("http://bayer.co.kr","bayer.co.kr")</f>
        <v>bayer.co.kr</v>
      </c>
      <c r="C7250" t="s">
        <v>463</v>
      </c>
      <c r="D7250" t="s">
        <v>839</v>
      </c>
      <c r="F7250">
        <v>2.5794614351332901E-8</v>
      </c>
      <c r="G7250">
        <v>1998309</v>
      </c>
      <c r="H7250">
        <v>14074842</v>
      </c>
      <c r="I7250">
        <v>2927432</v>
      </c>
      <c r="J7250">
        <v>3</v>
      </c>
    </row>
    <row r="7251" spans="1:10" x14ac:dyDescent="0.25">
      <c r="A7251" t="s">
        <v>65</v>
      </c>
      <c r="B7251" s="1" t="str">
        <f>HYPERLINK("http://bayer.lt","bayer.lt")</f>
        <v>bayer.lt</v>
      </c>
      <c r="C7251" t="s">
        <v>467</v>
      </c>
      <c r="D7251" t="s">
        <v>843</v>
      </c>
      <c r="F7251">
        <v>1.8901514645292801E-8</v>
      </c>
      <c r="G7251">
        <v>2853191</v>
      </c>
      <c r="H7251">
        <v>14073986</v>
      </c>
      <c r="I7251">
        <v>2961395</v>
      </c>
      <c r="J7251">
        <v>3</v>
      </c>
    </row>
    <row r="7252" spans="1:10" x14ac:dyDescent="0.25">
      <c r="A7252" t="s">
        <v>65</v>
      </c>
      <c r="B7252" s="1" t="str">
        <f>HYPERLINK("http://bayer.lv","bayer.lv")</f>
        <v>bayer.lv</v>
      </c>
      <c r="C7252" t="s">
        <v>468</v>
      </c>
      <c r="D7252" t="s">
        <v>844</v>
      </c>
      <c r="F7252">
        <v>1.3696841235286599E-8</v>
      </c>
      <c r="G7252">
        <v>4322418</v>
      </c>
      <c r="H7252">
        <v>12533407</v>
      </c>
      <c r="I7252">
        <v>17006299</v>
      </c>
      <c r="J7252">
        <v>3</v>
      </c>
    </row>
    <row r="7253" spans="1:10" x14ac:dyDescent="0.25">
      <c r="A7253" t="s">
        <v>65</v>
      </c>
      <c r="B7253" s="1" t="str">
        <f>HYPERLINK("http://bayer.ma","bayer.ma")</f>
        <v>bayer.ma</v>
      </c>
      <c r="C7253" t="s">
        <v>469</v>
      </c>
      <c r="D7253" t="s">
        <v>845</v>
      </c>
      <c r="F7253">
        <v>1.6046689472402601E-8</v>
      </c>
      <c r="G7253">
        <v>3534211</v>
      </c>
      <c r="H7253">
        <v>12519918</v>
      </c>
      <c r="I7253">
        <v>17153093</v>
      </c>
      <c r="J7253">
        <v>3</v>
      </c>
    </row>
    <row r="7254" spans="1:10" x14ac:dyDescent="0.25">
      <c r="A7254" t="s">
        <v>65</v>
      </c>
      <c r="B7254" s="1" t="str">
        <f>HYPERLINK("http://bayer.mx","bayer.mx")</f>
        <v>bayer.mx</v>
      </c>
      <c r="C7254" t="s">
        <v>471</v>
      </c>
      <c r="D7254" t="s">
        <v>847</v>
      </c>
      <c r="F7254">
        <v>3.1554483984717297E-8</v>
      </c>
      <c r="G7254">
        <v>1635332</v>
      </c>
      <c r="H7254">
        <v>13955916</v>
      </c>
      <c r="I7254">
        <v>4135896</v>
      </c>
      <c r="J7254">
        <v>3</v>
      </c>
    </row>
    <row r="7255" spans="1:10" x14ac:dyDescent="0.25">
      <c r="A7255" t="s">
        <v>65</v>
      </c>
      <c r="B7255" s="1" t="str">
        <f>HYPERLINK("http://bayer.com.mx","bayer.com.mx")</f>
        <v>bayer.com.mx</v>
      </c>
      <c r="C7255" t="s">
        <v>471</v>
      </c>
      <c r="D7255" t="s">
        <v>847</v>
      </c>
      <c r="F7255">
        <v>1.6586932719960101E-8</v>
      </c>
      <c r="G7255">
        <v>3392491</v>
      </c>
      <c r="H7255">
        <v>14238571</v>
      </c>
      <c r="I7255">
        <v>1524487</v>
      </c>
      <c r="J7255">
        <v>3</v>
      </c>
    </row>
    <row r="7256" spans="1:10" x14ac:dyDescent="0.25">
      <c r="A7256" t="s">
        <v>65</v>
      </c>
      <c r="B7256" s="1" t="str">
        <f>HYPERLINK("http://monsanto.com.mx","monsanto.com.mx")</f>
        <v>monsanto.com.mx</v>
      </c>
      <c r="C7256" t="s">
        <v>471</v>
      </c>
      <c r="D7256" t="s">
        <v>847</v>
      </c>
      <c r="F7256">
        <v>6.5882575481775203E-9</v>
      </c>
      <c r="G7256">
        <v>13721610</v>
      </c>
      <c r="H7256">
        <v>14126939</v>
      </c>
      <c r="I7256">
        <v>2091446</v>
      </c>
      <c r="J7256">
        <v>3</v>
      </c>
    </row>
    <row r="7257" spans="1:10" x14ac:dyDescent="0.25">
      <c r="A7257" t="s">
        <v>65</v>
      </c>
      <c r="B7257" s="1" t="str">
        <f>HYPERLINK("http://bayer.my","bayer.my")</f>
        <v>bayer.my</v>
      </c>
      <c r="C7257" t="s">
        <v>472</v>
      </c>
      <c r="D7257" t="s">
        <v>848</v>
      </c>
      <c r="F7257">
        <v>9.6850170225497004E-9</v>
      </c>
      <c r="G7257">
        <v>7097955</v>
      </c>
      <c r="H7257">
        <v>12519932</v>
      </c>
      <c r="I7257">
        <v>17152992</v>
      </c>
      <c r="J7257">
        <v>3</v>
      </c>
    </row>
    <row r="7258" spans="1:10" x14ac:dyDescent="0.25">
      <c r="A7258" t="s">
        <v>65</v>
      </c>
      <c r="B7258" s="1" t="str">
        <f>HYPERLINK("http://takecareof-assets.net","takecareof-assets.net")</f>
        <v>takecareof-assets.net</v>
      </c>
      <c r="C7258" t="s">
        <v>474</v>
      </c>
      <c r="E7258">
        <v>563315</v>
      </c>
      <c r="F7258">
        <v>5.6006619386453701E-9</v>
      </c>
      <c r="G7258">
        <v>19851095</v>
      </c>
      <c r="H7258">
        <v>10794985</v>
      </c>
      <c r="I7258">
        <v>38318566</v>
      </c>
      <c r="J7258">
        <v>5</v>
      </c>
    </row>
    <row r="7259" spans="1:10" x14ac:dyDescent="0.25">
      <c r="A7259" t="s">
        <v>65</v>
      </c>
      <c r="B7259" s="1" t="str">
        <f>HYPERLINK("http://bayer.nl","bayer.nl")</f>
        <v>bayer.nl</v>
      </c>
      <c r="C7259" t="s">
        <v>477</v>
      </c>
      <c r="D7259" t="s">
        <v>852</v>
      </c>
      <c r="E7259">
        <v>972216</v>
      </c>
      <c r="F7259">
        <v>7.7136262637937101E-8</v>
      </c>
      <c r="G7259">
        <v>542977</v>
      </c>
      <c r="H7259">
        <v>14336775</v>
      </c>
      <c r="I7259">
        <v>1319031</v>
      </c>
      <c r="J7259">
        <v>2</v>
      </c>
    </row>
    <row r="7260" spans="1:10" x14ac:dyDescent="0.25">
      <c r="A7260" t="s">
        <v>65</v>
      </c>
      <c r="B7260" s="1" t="str">
        <f>HYPERLINK("http://roundup.nl","roundup.nl")</f>
        <v>roundup.nl</v>
      </c>
      <c r="C7260" t="s">
        <v>477</v>
      </c>
      <c r="D7260" t="s">
        <v>852</v>
      </c>
      <c r="F7260">
        <v>7.2801324286236799E-9</v>
      </c>
      <c r="G7260">
        <v>11528807</v>
      </c>
      <c r="H7260">
        <v>13100301</v>
      </c>
      <c r="I7260">
        <v>12103174</v>
      </c>
      <c r="J7260">
        <v>3</v>
      </c>
    </row>
    <row r="7261" spans="1:10" x14ac:dyDescent="0.25">
      <c r="A7261" t="s">
        <v>65</v>
      </c>
      <c r="B7261" s="1" t="str">
        <f>HYPERLINK("http://bayer.no","bayer.no")</f>
        <v>bayer.no</v>
      </c>
      <c r="C7261" t="s">
        <v>478</v>
      </c>
      <c r="D7261" t="s">
        <v>853</v>
      </c>
      <c r="F7261">
        <v>2.5746853651194501E-8</v>
      </c>
      <c r="G7261">
        <v>2002209</v>
      </c>
      <c r="H7261">
        <v>14239508</v>
      </c>
      <c r="I7261">
        <v>1511470</v>
      </c>
      <c r="J7261">
        <v>3</v>
      </c>
    </row>
    <row r="7262" spans="1:10" x14ac:dyDescent="0.25">
      <c r="A7262" t="s">
        <v>65</v>
      </c>
      <c r="B7262" s="1" t="str">
        <f>HYPERLINK("http://bayer.co.nz","bayer.co.nz")</f>
        <v>bayer.co.nz</v>
      </c>
      <c r="C7262" t="s">
        <v>479</v>
      </c>
      <c r="D7262" t="s">
        <v>854</v>
      </c>
      <c r="F7262">
        <v>1.5561432854000301E-8</v>
      </c>
      <c r="G7262">
        <v>3667018</v>
      </c>
      <c r="H7262">
        <v>13781778</v>
      </c>
      <c r="I7262">
        <v>6453461</v>
      </c>
      <c r="J7262">
        <v>3</v>
      </c>
    </row>
    <row r="7263" spans="1:10" x14ac:dyDescent="0.25">
      <c r="A7263" t="s">
        <v>65</v>
      </c>
      <c r="B7263" s="1" t="str">
        <f>HYPERLINK("http://bayeranimal.co.nz","bayeranimal.co.nz")</f>
        <v>bayeranimal.co.nz</v>
      </c>
      <c r="C7263" t="s">
        <v>479</v>
      </c>
      <c r="D7263" t="s">
        <v>854</v>
      </c>
      <c r="F7263">
        <v>5.83740561723022E-9</v>
      </c>
      <c r="G7263">
        <v>17803760</v>
      </c>
      <c r="H7263">
        <v>13763663</v>
      </c>
      <c r="I7263">
        <v>7866416</v>
      </c>
      <c r="J7263">
        <v>3</v>
      </c>
    </row>
    <row r="7264" spans="1:10" x14ac:dyDescent="0.25">
      <c r="A7264" t="s">
        <v>65</v>
      </c>
      <c r="B7264" s="1" t="str">
        <f>HYPERLINK("http://bayer.pe","bayer.pe")</f>
        <v>bayer.pe</v>
      </c>
      <c r="C7264" t="s">
        <v>483</v>
      </c>
      <c r="D7264" t="s">
        <v>857</v>
      </c>
      <c r="F7264">
        <v>1.3918553260811401E-8</v>
      </c>
      <c r="G7264">
        <v>4233911</v>
      </c>
      <c r="H7264">
        <v>12524565</v>
      </c>
      <c r="I7264">
        <v>17106603</v>
      </c>
      <c r="J7264">
        <v>3</v>
      </c>
    </row>
    <row r="7265" spans="1:10" x14ac:dyDescent="0.25">
      <c r="A7265" t="s">
        <v>65</v>
      </c>
      <c r="B7265" s="1" t="str">
        <f>HYPERLINK("http://bayer.ph","bayer.ph")</f>
        <v>bayer.ph</v>
      </c>
      <c r="C7265" t="s">
        <v>484</v>
      </c>
      <c r="D7265" t="s">
        <v>858</v>
      </c>
      <c r="F7265">
        <v>1.1395186792139599E-8</v>
      </c>
      <c r="G7265">
        <v>5577539</v>
      </c>
      <c r="H7265">
        <v>12552056</v>
      </c>
      <c r="I7265">
        <v>16809366</v>
      </c>
      <c r="J7265">
        <v>2</v>
      </c>
    </row>
    <row r="7266" spans="1:10" x14ac:dyDescent="0.25">
      <c r="A7266" t="s">
        <v>65</v>
      </c>
      <c r="B7266" s="1" t="str">
        <f>HYPERLINK("http://bayer.pk","bayer.pk")</f>
        <v>bayer.pk</v>
      </c>
      <c r="C7266" t="s">
        <v>485</v>
      </c>
      <c r="D7266" t="s">
        <v>859</v>
      </c>
      <c r="F7266">
        <v>7.2174545344841104E-9</v>
      </c>
      <c r="G7266">
        <v>11694595</v>
      </c>
      <c r="H7266">
        <v>12519898</v>
      </c>
      <c r="I7266">
        <v>17153312</v>
      </c>
      <c r="J7266">
        <v>3</v>
      </c>
    </row>
    <row r="7267" spans="1:10" x14ac:dyDescent="0.25">
      <c r="A7267" t="s">
        <v>65</v>
      </c>
      <c r="B7267" s="1" t="str">
        <f>HYPERLINK("http://bayer.com.pl","bayer.com.pl")</f>
        <v>bayer.com.pl</v>
      </c>
      <c r="C7267" t="s">
        <v>486</v>
      </c>
      <c r="D7267" t="s">
        <v>860</v>
      </c>
      <c r="F7267">
        <v>1.21005035277709E-7</v>
      </c>
      <c r="G7267">
        <v>326432</v>
      </c>
      <c r="H7267">
        <v>14134174</v>
      </c>
      <c r="I7267">
        <v>1981601</v>
      </c>
      <c r="J7267">
        <v>2</v>
      </c>
    </row>
    <row r="7268" spans="1:10" x14ac:dyDescent="0.25">
      <c r="A7268" t="s">
        <v>65</v>
      </c>
      <c r="B7268" s="1" t="str">
        <f>HYPERLINK("http://bayer.plus","bayer.plus")</f>
        <v>bayer.plus</v>
      </c>
      <c r="C7268" t="s">
        <v>729</v>
      </c>
      <c r="F7268">
        <v>6.8449131853118902E-9</v>
      </c>
      <c r="G7268">
        <v>12811684</v>
      </c>
      <c r="H7268">
        <v>10864981</v>
      </c>
      <c r="I7268">
        <v>36591976</v>
      </c>
      <c r="J7268">
        <v>3</v>
      </c>
    </row>
    <row r="7269" spans="1:10" x14ac:dyDescent="0.25">
      <c r="A7269" t="s">
        <v>65</v>
      </c>
      <c r="B7269" s="1" t="str">
        <f>HYPERLINK("http://bayer.pt","bayer.pt")</f>
        <v>bayer.pt</v>
      </c>
      <c r="C7269" t="s">
        <v>488</v>
      </c>
      <c r="D7269" t="s">
        <v>862</v>
      </c>
      <c r="F7269">
        <v>4.4882752004385598E-8</v>
      </c>
      <c r="G7269">
        <v>1053143</v>
      </c>
      <c r="H7269">
        <v>14242216</v>
      </c>
      <c r="I7269">
        <v>1485894</v>
      </c>
      <c r="J7269">
        <v>3</v>
      </c>
    </row>
    <row r="7270" spans="1:10" x14ac:dyDescent="0.25">
      <c r="A7270" t="s">
        <v>65</v>
      </c>
      <c r="B7270" s="1" t="str">
        <f>HYPERLINK("http://bayer.com.py","bayer.com.py")</f>
        <v>bayer.com.py</v>
      </c>
      <c r="C7270" t="s">
        <v>489</v>
      </c>
      <c r="D7270" t="s">
        <v>863</v>
      </c>
      <c r="F7270">
        <v>1.17927528417027E-8</v>
      </c>
      <c r="G7270">
        <v>5306588</v>
      </c>
      <c r="H7270">
        <v>12782117</v>
      </c>
      <c r="I7270">
        <v>14735901</v>
      </c>
      <c r="J7270">
        <v>3</v>
      </c>
    </row>
    <row r="7271" spans="1:10" x14ac:dyDescent="0.25">
      <c r="A7271" t="s">
        <v>65</v>
      </c>
      <c r="B7271" s="1" t="str">
        <f>HYPERLINK("http://bayer.ro","bayer.ro")</f>
        <v>bayer.ro</v>
      </c>
      <c r="C7271" t="s">
        <v>491</v>
      </c>
      <c r="D7271" t="s">
        <v>865</v>
      </c>
      <c r="F7271">
        <v>3.4962223131619703E-8</v>
      </c>
      <c r="G7271">
        <v>1485631</v>
      </c>
      <c r="H7271">
        <v>12588528</v>
      </c>
      <c r="I7271">
        <v>16426142</v>
      </c>
      <c r="J7271">
        <v>3</v>
      </c>
    </row>
    <row r="7272" spans="1:10" x14ac:dyDescent="0.25">
      <c r="A7272" t="s">
        <v>65</v>
      </c>
      <c r="B7272" s="1" t="str">
        <f>HYPERLINK("http://monsanto.ro","monsanto.ro")</f>
        <v>monsanto.ro</v>
      </c>
      <c r="C7272" t="s">
        <v>491</v>
      </c>
      <c r="D7272" t="s">
        <v>865</v>
      </c>
      <c r="F7272">
        <v>5.6559453133402398E-9</v>
      </c>
      <c r="G7272">
        <v>19339555</v>
      </c>
      <c r="H7272">
        <v>13763933</v>
      </c>
      <c r="I7272">
        <v>7483805</v>
      </c>
      <c r="J7272">
        <v>3</v>
      </c>
    </row>
    <row r="7273" spans="1:10" x14ac:dyDescent="0.25">
      <c r="A7273" t="s">
        <v>65</v>
      </c>
      <c r="B7273" s="1" t="str">
        <f>HYPERLINK("http://bayer.rs","bayer.rs")</f>
        <v>bayer.rs</v>
      </c>
      <c r="C7273" t="s">
        <v>492</v>
      </c>
      <c r="D7273" t="s">
        <v>866</v>
      </c>
      <c r="F7273">
        <v>2.3953440423130499E-8</v>
      </c>
      <c r="G7273">
        <v>2167483</v>
      </c>
      <c r="H7273">
        <v>12527103</v>
      </c>
      <c r="I7273">
        <v>17077292</v>
      </c>
      <c r="J7273">
        <v>3</v>
      </c>
    </row>
    <row r="7274" spans="1:10" x14ac:dyDescent="0.25">
      <c r="A7274" t="s">
        <v>65</v>
      </c>
      <c r="B7274" s="1" t="str">
        <f>HYPERLINK("http://bayer.co.rs","bayer.co.rs")</f>
        <v>bayer.co.rs</v>
      </c>
      <c r="C7274" t="s">
        <v>492</v>
      </c>
      <c r="D7274" t="s">
        <v>866</v>
      </c>
      <c r="F7274">
        <v>1.11009137645817E-8</v>
      </c>
      <c r="G7274">
        <v>5784728</v>
      </c>
      <c r="H7274">
        <v>14239040</v>
      </c>
      <c r="I7274">
        <v>1517580</v>
      </c>
      <c r="J7274">
        <v>3</v>
      </c>
    </row>
    <row r="7275" spans="1:10" x14ac:dyDescent="0.25">
      <c r="A7275" t="s">
        <v>65</v>
      </c>
      <c r="B7275" s="1" t="str">
        <f>HYPERLINK("http://bayer.ru","bayer.ru")</f>
        <v>bayer.ru</v>
      </c>
      <c r="C7275" t="s">
        <v>493</v>
      </c>
      <c r="D7275" t="s">
        <v>867</v>
      </c>
      <c r="E7275">
        <v>537082</v>
      </c>
      <c r="F7275">
        <v>1.76282868864029E-7</v>
      </c>
      <c r="G7275">
        <v>219643</v>
      </c>
      <c r="H7275">
        <v>14094020</v>
      </c>
      <c r="I7275">
        <v>2733648</v>
      </c>
      <c r="J7275">
        <v>3</v>
      </c>
    </row>
    <row r="7276" spans="1:10" x14ac:dyDescent="0.25">
      <c r="A7276" t="s">
        <v>65</v>
      </c>
      <c r="B7276" s="1" t="str">
        <f>HYPERLINK("http://bayer.sa","bayer.sa")</f>
        <v>bayer.sa</v>
      </c>
      <c r="C7276" t="s">
        <v>494</v>
      </c>
      <c r="D7276" t="s">
        <v>868</v>
      </c>
      <c r="F7276">
        <v>5.7402590288490301E-9</v>
      </c>
      <c r="G7276">
        <v>18578264</v>
      </c>
      <c r="H7276">
        <v>9921363</v>
      </c>
      <c r="I7276">
        <v>61458773</v>
      </c>
      <c r="J7276">
        <v>3</v>
      </c>
    </row>
    <row r="7277" spans="1:10" x14ac:dyDescent="0.25">
      <c r="A7277" t="s">
        <v>65</v>
      </c>
      <c r="B7277" s="1" t="str">
        <f>HYPERLINK("http://bayer.se","bayer.se")</f>
        <v>bayer.se</v>
      </c>
      <c r="C7277" t="s">
        <v>495</v>
      </c>
      <c r="D7277" t="s">
        <v>869</v>
      </c>
      <c r="F7277">
        <v>3.7533698446833703E-8</v>
      </c>
      <c r="G7277">
        <v>1378798</v>
      </c>
      <c r="H7277">
        <v>13771751</v>
      </c>
      <c r="I7277">
        <v>6683380</v>
      </c>
      <c r="J7277">
        <v>2</v>
      </c>
    </row>
    <row r="7278" spans="1:10" x14ac:dyDescent="0.25">
      <c r="A7278" t="s">
        <v>65</v>
      </c>
      <c r="B7278" s="1" t="str">
        <f>HYPERLINK("http://bayer.sg","bayer.sg")</f>
        <v>bayer.sg</v>
      </c>
      <c r="C7278" t="s">
        <v>496</v>
      </c>
      <c r="D7278" t="s">
        <v>870</v>
      </c>
      <c r="F7278">
        <v>6.9466470321747501E-9</v>
      </c>
      <c r="G7278">
        <v>12474083</v>
      </c>
      <c r="H7278">
        <v>12094678</v>
      </c>
      <c r="I7278">
        <v>26104737</v>
      </c>
      <c r="J7278">
        <v>3</v>
      </c>
    </row>
    <row r="7279" spans="1:10" x14ac:dyDescent="0.25">
      <c r="A7279" t="s">
        <v>65</v>
      </c>
      <c r="B7279" s="1" t="str">
        <f>HYPERLINK("http://bayer.si","bayer.si")</f>
        <v>bayer.si</v>
      </c>
      <c r="C7279" t="s">
        <v>497</v>
      </c>
      <c r="D7279" t="s">
        <v>871</v>
      </c>
      <c r="F7279">
        <v>2.8107675123196199E-8</v>
      </c>
      <c r="G7279">
        <v>1830532</v>
      </c>
      <c r="H7279">
        <v>14074417</v>
      </c>
      <c r="I7279">
        <v>2943897</v>
      </c>
      <c r="J7279">
        <v>3</v>
      </c>
    </row>
    <row r="7280" spans="1:10" x14ac:dyDescent="0.25">
      <c r="A7280" t="s">
        <v>65</v>
      </c>
      <c r="B7280" s="1" t="str">
        <f>HYPERLINK("http://bayer.sk","bayer.sk")</f>
        <v>bayer.sk</v>
      </c>
      <c r="C7280" t="s">
        <v>498</v>
      </c>
      <c r="D7280" t="s">
        <v>872</v>
      </c>
      <c r="F7280">
        <v>2.7685920496089199E-8</v>
      </c>
      <c r="G7280">
        <v>1857166</v>
      </c>
      <c r="H7280">
        <v>12592918</v>
      </c>
      <c r="I7280">
        <v>16391480</v>
      </c>
      <c r="J7280">
        <v>3</v>
      </c>
    </row>
    <row r="7281" spans="1:10" x14ac:dyDescent="0.25">
      <c r="A7281" t="s">
        <v>65</v>
      </c>
      <c r="B7281" s="1" t="str">
        <f>HYPERLINK("http://monsanto.sk","monsanto.sk")</f>
        <v>monsanto.sk</v>
      </c>
      <c r="C7281" t="s">
        <v>498</v>
      </c>
      <c r="D7281" t="s">
        <v>872</v>
      </c>
      <c r="F7281">
        <v>6.8514723350871202E-9</v>
      </c>
      <c r="G7281">
        <v>12790720</v>
      </c>
      <c r="H7281">
        <v>12034056</v>
      </c>
      <c r="I7281">
        <v>27581116</v>
      </c>
      <c r="J7281">
        <v>3</v>
      </c>
    </row>
    <row r="7282" spans="1:10" x14ac:dyDescent="0.25">
      <c r="A7282" t="s">
        <v>65</v>
      </c>
      <c r="B7282" s="1" t="str">
        <f>HYPERLINK("http://bayer.co.th","bayer.co.th")</f>
        <v>bayer.co.th</v>
      </c>
      <c r="C7282" t="s">
        <v>500</v>
      </c>
      <c r="D7282" t="s">
        <v>874</v>
      </c>
      <c r="F7282">
        <v>2.0095856301896499E-8</v>
      </c>
      <c r="G7282">
        <v>2644786</v>
      </c>
      <c r="H7282">
        <v>14191770</v>
      </c>
      <c r="I7282">
        <v>1747923</v>
      </c>
      <c r="J7282">
        <v>3</v>
      </c>
    </row>
    <row r="7283" spans="1:10" x14ac:dyDescent="0.25">
      <c r="A7283" t="s">
        <v>65</v>
      </c>
      <c r="B7283" s="1" t="str">
        <f>HYPERLINK("http://bayer.com.tr","bayer.com.tr")</f>
        <v>bayer.com.tr</v>
      </c>
      <c r="C7283" t="s">
        <v>502</v>
      </c>
      <c r="D7283" t="s">
        <v>876</v>
      </c>
      <c r="F7283">
        <v>3.3152275444566701E-8</v>
      </c>
      <c r="G7283">
        <v>1558482</v>
      </c>
      <c r="H7283">
        <v>14078671</v>
      </c>
      <c r="I7283">
        <v>2843446</v>
      </c>
      <c r="J7283">
        <v>3</v>
      </c>
    </row>
    <row r="7284" spans="1:10" x14ac:dyDescent="0.25">
      <c r="A7284" t="s">
        <v>65</v>
      </c>
      <c r="B7284" s="1" t="str">
        <f>HYPERLINK("http://bayer.com.tw","bayer.com.tw")</f>
        <v>bayer.com.tw</v>
      </c>
      <c r="C7284" t="s">
        <v>504</v>
      </c>
      <c r="D7284" t="s">
        <v>878</v>
      </c>
      <c r="F7284">
        <v>1.77377113401055E-8</v>
      </c>
      <c r="G7284">
        <v>3088069</v>
      </c>
      <c r="H7284">
        <v>13772412</v>
      </c>
      <c r="I7284">
        <v>6661605</v>
      </c>
      <c r="J7284">
        <v>3</v>
      </c>
    </row>
    <row r="7285" spans="1:10" x14ac:dyDescent="0.25">
      <c r="A7285" t="s">
        <v>65</v>
      </c>
      <c r="B7285" s="1" t="str">
        <f>HYPERLINK("http://bayer.ua","bayer.ua")</f>
        <v>bayer.ua</v>
      </c>
      <c r="C7285" t="s">
        <v>505</v>
      </c>
      <c r="D7285" t="s">
        <v>879</v>
      </c>
      <c r="F7285">
        <v>3.08971148959892E-8</v>
      </c>
      <c r="G7285">
        <v>1667449</v>
      </c>
      <c r="H7285">
        <v>14089133</v>
      </c>
      <c r="I7285">
        <v>2755282</v>
      </c>
      <c r="J7285">
        <v>3</v>
      </c>
    </row>
    <row r="7286" spans="1:10" x14ac:dyDescent="0.25">
      <c r="A7286" t="s">
        <v>65</v>
      </c>
      <c r="B7286" s="1" t="str">
        <f>HYPERLINK("http://bayer.co.uk","bayer.co.uk")</f>
        <v>bayer.co.uk</v>
      </c>
      <c r="C7286" t="s">
        <v>506</v>
      </c>
      <c r="D7286" t="s">
        <v>880</v>
      </c>
      <c r="E7286">
        <v>373404</v>
      </c>
      <c r="F7286">
        <v>9.1467098667008594E-8</v>
      </c>
      <c r="G7286">
        <v>445569</v>
      </c>
      <c r="H7286">
        <v>14545683</v>
      </c>
      <c r="I7286">
        <v>768939</v>
      </c>
      <c r="J7286">
        <v>2</v>
      </c>
    </row>
    <row r="7287" spans="1:10" x14ac:dyDescent="0.25">
      <c r="A7287" t="s">
        <v>65</v>
      </c>
      <c r="B7287" s="1" t="str">
        <f>HYPERLINK("http://bayercropscience.co.uk","bayercropscience.co.uk")</f>
        <v>bayercropscience.co.uk</v>
      </c>
      <c r="C7287" t="s">
        <v>506</v>
      </c>
      <c r="D7287" t="s">
        <v>880</v>
      </c>
      <c r="F7287">
        <v>2.1220829872291698E-8</v>
      </c>
      <c r="G7287">
        <v>2485098</v>
      </c>
      <c r="H7287">
        <v>14398601</v>
      </c>
      <c r="I7287">
        <v>1156422</v>
      </c>
      <c r="J7287">
        <v>4</v>
      </c>
    </row>
    <row r="7288" spans="1:10" x14ac:dyDescent="0.25">
      <c r="A7288" t="s">
        <v>65</v>
      </c>
      <c r="B7288" s="1" t="str">
        <f>HYPERLINK("http://bayer.us","bayer.us")</f>
        <v>bayer.us</v>
      </c>
      <c r="C7288" t="s">
        <v>522</v>
      </c>
      <c r="D7288" t="s">
        <v>891</v>
      </c>
      <c r="E7288">
        <v>88578</v>
      </c>
      <c r="F7288">
        <v>8.66907205196221E-7</v>
      </c>
      <c r="G7288">
        <v>46134</v>
      </c>
      <c r="H7288">
        <v>14764220</v>
      </c>
      <c r="I7288">
        <v>559482</v>
      </c>
      <c r="J7288">
        <v>2</v>
      </c>
    </row>
    <row r="7289" spans="1:10" x14ac:dyDescent="0.25">
      <c r="A7289" t="s">
        <v>65</v>
      </c>
      <c r="B7289" s="1" t="str">
        <f>HYPERLINK("http://bayer.com.uy","bayer.com.uy")</f>
        <v>bayer.com.uy</v>
      </c>
      <c r="C7289" t="s">
        <v>507</v>
      </c>
      <c r="D7289" t="s">
        <v>881</v>
      </c>
      <c r="F7289">
        <v>1.1914074233864201E-8</v>
      </c>
      <c r="G7289">
        <v>5228826</v>
      </c>
      <c r="H7289">
        <v>12551845</v>
      </c>
      <c r="I7289">
        <v>16811051</v>
      </c>
      <c r="J7289">
        <v>3</v>
      </c>
    </row>
    <row r="7290" spans="1:10" x14ac:dyDescent="0.25">
      <c r="A7290" t="s">
        <v>65</v>
      </c>
      <c r="B7290" s="1" t="str">
        <f>HYPERLINK("http://bayer.com.vn","bayer.com.vn")</f>
        <v>bayer.com.vn</v>
      </c>
      <c r="C7290" t="s">
        <v>509</v>
      </c>
      <c r="D7290" t="s">
        <v>883</v>
      </c>
      <c r="F7290">
        <v>3.6758271698335203E-8</v>
      </c>
      <c r="G7290">
        <v>1421967</v>
      </c>
      <c r="H7290">
        <v>13140575</v>
      </c>
      <c r="I7290">
        <v>11877442</v>
      </c>
      <c r="J7290">
        <v>3</v>
      </c>
    </row>
    <row r="7291" spans="1:10" x14ac:dyDescent="0.25">
      <c r="A7291" t="s">
        <v>65</v>
      </c>
      <c r="B7291" s="1" t="str">
        <f>HYPERLINK("http://bayer.co.za","bayer.co.za")</f>
        <v>bayer.co.za</v>
      </c>
      <c r="C7291" t="s">
        <v>510</v>
      </c>
      <c r="D7291" t="s">
        <v>884</v>
      </c>
      <c r="F7291">
        <v>2.0421737478552699E-8</v>
      </c>
      <c r="G7291">
        <v>2595854</v>
      </c>
      <c r="H7291">
        <v>13353134</v>
      </c>
      <c r="I7291">
        <v>10605982</v>
      </c>
      <c r="J7291">
        <v>3</v>
      </c>
    </row>
    <row r="7292" spans="1:10" x14ac:dyDescent="0.25">
      <c r="A7292" t="s">
        <v>66</v>
      </c>
      <c r="B7292" s="1" t="str">
        <f>HYPERLINK("http://bmw.am","bmw.am")</f>
        <v>bmw.am</v>
      </c>
      <c r="C7292" t="s">
        <v>565</v>
      </c>
      <c r="D7292" t="s">
        <v>913</v>
      </c>
      <c r="F7292">
        <v>2.4518603468192901E-8</v>
      </c>
      <c r="G7292">
        <v>2112893</v>
      </c>
      <c r="H7292">
        <v>14072385</v>
      </c>
      <c r="I7292">
        <v>3100461</v>
      </c>
      <c r="J7292">
        <v>4</v>
      </c>
    </row>
    <row r="7293" spans="1:10" x14ac:dyDescent="0.25">
      <c r="A7293" t="s">
        <v>66</v>
      </c>
      <c r="B7293" s="1" t="str">
        <f>HYPERLINK("http://bmw.co.ao","bmw.co.ao")</f>
        <v>bmw.co.ao</v>
      </c>
      <c r="C7293" t="s">
        <v>566</v>
      </c>
      <c r="D7293" t="s">
        <v>914</v>
      </c>
      <c r="F7293">
        <v>8.1564603040629506E-9</v>
      </c>
      <c r="G7293">
        <v>9645209</v>
      </c>
      <c r="H7293">
        <v>12373179</v>
      </c>
      <c r="I7293">
        <v>19353117</v>
      </c>
      <c r="J7293">
        <v>3</v>
      </c>
    </row>
    <row r="7294" spans="1:10" x14ac:dyDescent="0.25">
      <c r="A7294" t="s">
        <v>66</v>
      </c>
      <c r="B7294" s="1" t="str">
        <f>HYPERLINK("http://bmw.com.ar","bmw.com.ar")</f>
        <v>bmw.com.ar</v>
      </c>
      <c r="C7294" t="s">
        <v>418</v>
      </c>
      <c r="D7294" t="s">
        <v>800</v>
      </c>
      <c r="F7294">
        <v>4.1906551187322599E-8</v>
      </c>
      <c r="G7294">
        <v>1171663</v>
      </c>
      <c r="H7294">
        <v>13778350</v>
      </c>
      <c r="I7294">
        <v>6522029</v>
      </c>
      <c r="J7294">
        <v>4</v>
      </c>
    </row>
    <row r="7295" spans="1:10" x14ac:dyDescent="0.25">
      <c r="A7295" t="s">
        <v>66</v>
      </c>
      <c r="B7295" s="1" t="str">
        <f>HYPERLINK("http://bmw-motorrad.com.ar","bmw-motorrad.com.ar")</f>
        <v>bmw-motorrad.com.ar</v>
      </c>
      <c r="C7295" t="s">
        <v>418</v>
      </c>
      <c r="D7295" t="s">
        <v>800</v>
      </c>
      <c r="F7295">
        <v>1.22332855165102E-8</v>
      </c>
      <c r="G7295">
        <v>5031629</v>
      </c>
      <c r="H7295">
        <v>14072026</v>
      </c>
      <c r="I7295">
        <v>3183599</v>
      </c>
      <c r="J7295">
        <v>2</v>
      </c>
    </row>
    <row r="7296" spans="1:10" x14ac:dyDescent="0.25">
      <c r="A7296" t="s">
        <v>66</v>
      </c>
      <c r="B7296" s="1" t="str">
        <f>HYPERLINK("http://freewaymotors.com.ar","freewaymotors.com.ar")</f>
        <v>freewaymotors.com.ar</v>
      </c>
      <c r="C7296" t="s">
        <v>418</v>
      </c>
      <c r="D7296" t="s">
        <v>800</v>
      </c>
      <c r="F7296">
        <v>5.3543604836381403E-9</v>
      </c>
      <c r="G7296">
        <v>22744118</v>
      </c>
      <c r="H7296">
        <v>12883160</v>
      </c>
      <c r="I7296">
        <v>13980561</v>
      </c>
      <c r="J7296">
        <v>6</v>
      </c>
    </row>
    <row r="7297" spans="1:10" x14ac:dyDescent="0.25">
      <c r="A7297" t="s">
        <v>66</v>
      </c>
      <c r="B7297" s="1" t="str">
        <f>HYPERLINK("http://mini.com.ar","mini.com.ar")</f>
        <v>mini.com.ar</v>
      </c>
      <c r="C7297" t="s">
        <v>418</v>
      </c>
      <c r="D7297" t="s">
        <v>800</v>
      </c>
      <c r="F7297">
        <v>2.2443179534283699E-8</v>
      </c>
      <c r="G7297">
        <v>2334901</v>
      </c>
      <c r="H7297">
        <v>12985208</v>
      </c>
      <c r="I7297">
        <v>12905513</v>
      </c>
      <c r="J7297">
        <v>4</v>
      </c>
    </row>
    <row r="7298" spans="1:10" x14ac:dyDescent="0.25">
      <c r="A7298" t="s">
        <v>66</v>
      </c>
      <c r="B7298" s="1" t="str">
        <f>HYPERLINK("http://alphabet.asia","alphabet.asia")</f>
        <v>alphabet.asia</v>
      </c>
      <c r="C7298" t="s">
        <v>525</v>
      </c>
      <c r="J7298">
        <v>2</v>
      </c>
    </row>
    <row r="7299" spans="1:10" x14ac:dyDescent="0.25">
      <c r="A7299" t="s">
        <v>66</v>
      </c>
      <c r="B7299" s="1" t="str">
        <f>HYPERLINK("http://alphabet.at","alphabet.at")</f>
        <v>alphabet.at</v>
      </c>
      <c r="C7299" t="s">
        <v>419</v>
      </c>
      <c r="D7299" t="s">
        <v>801</v>
      </c>
      <c r="F7299">
        <v>1.62314711239226E-8</v>
      </c>
      <c r="G7299">
        <v>3487458</v>
      </c>
      <c r="H7299">
        <v>12427147</v>
      </c>
      <c r="I7299">
        <v>18344822</v>
      </c>
      <c r="J7299">
        <v>2</v>
      </c>
    </row>
    <row r="7300" spans="1:10" x14ac:dyDescent="0.25">
      <c r="A7300" t="s">
        <v>66</v>
      </c>
      <c r="B7300" s="1" t="str">
        <f>HYPERLINK("http://bikefactory.at","bikefactory.at")</f>
        <v>bikefactory.at</v>
      </c>
      <c r="C7300" t="s">
        <v>419</v>
      </c>
      <c r="D7300" t="s">
        <v>801</v>
      </c>
      <c r="F7300">
        <v>8.4971380129155394E-9</v>
      </c>
      <c r="G7300">
        <v>8851097</v>
      </c>
      <c r="H7300">
        <v>12426700</v>
      </c>
      <c r="I7300">
        <v>18352883</v>
      </c>
      <c r="J7300">
        <v>6</v>
      </c>
    </row>
    <row r="7301" spans="1:10" x14ac:dyDescent="0.25">
      <c r="A7301" t="s">
        <v>66</v>
      </c>
      <c r="B7301" s="1" t="str">
        <f>HYPERLINK("http://bm-automobile.at","bm-automobile.at")</f>
        <v>bm-automobile.at</v>
      </c>
      <c r="C7301" t="s">
        <v>419</v>
      </c>
      <c r="D7301" t="s">
        <v>801</v>
      </c>
      <c r="F7301">
        <v>4.4545511251507103E-9</v>
      </c>
      <c r="G7301">
        <v>69694403</v>
      </c>
      <c r="H7301">
        <v>10440079</v>
      </c>
      <c r="I7301">
        <v>52444953</v>
      </c>
      <c r="J7301">
        <v>6</v>
      </c>
    </row>
    <row r="7302" spans="1:10" x14ac:dyDescent="0.25">
      <c r="A7302" t="s">
        <v>66</v>
      </c>
      <c r="B7302" s="1" t="str">
        <f>HYPERLINK("http://bmw.at","bmw.at")</f>
        <v>bmw.at</v>
      </c>
      <c r="C7302" t="s">
        <v>419</v>
      </c>
      <c r="D7302" t="s">
        <v>801</v>
      </c>
      <c r="E7302">
        <v>156254</v>
      </c>
      <c r="F7302">
        <v>2.6236614206753798E-7</v>
      </c>
      <c r="G7302">
        <v>142545</v>
      </c>
      <c r="H7302">
        <v>14536337</v>
      </c>
      <c r="I7302">
        <v>779753</v>
      </c>
      <c r="J7302">
        <v>2</v>
      </c>
    </row>
    <row r="7303" spans="1:10" x14ac:dyDescent="0.25">
      <c r="A7303" t="s">
        <v>66</v>
      </c>
      <c r="B7303" s="1" t="str">
        <f>HYPERLINK("http://bmw-auer-krems.at","bmw-auer-krems.at")</f>
        <v>bmw-auer-krems.at</v>
      </c>
      <c r="C7303" t="s">
        <v>419</v>
      </c>
      <c r="D7303" t="s">
        <v>801</v>
      </c>
      <c r="F7303">
        <v>5.2900956293767102E-9</v>
      </c>
      <c r="G7303">
        <v>23641081</v>
      </c>
      <c r="H7303">
        <v>10763923</v>
      </c>
      <c r="I7303">
        <v>39471879</v>
      </c>
      <c r="J7303">
        <v>4</v>
      </c>
    </row>
    <row r="7304" spans="1:10" x14ac:dyDescent="0.25">
      <c r="A7304" t="s">
        <v>66</v>
      </c>
      <c r="B7304" s="1" t="str">
        <f>HYPERLINK("http://bmw-bierbaum-baden.at","bmw-bierbaum-baden.at")</f>
        <v>bmw-bierbaum-baden.at</v>
      </c>
      <c r="C7304" t="s">
        <v>419</v>
      </c>
      <c r="D7304" t="s">
        <v>801</v>
      </c>
      <c r="F7304">
        <v>7.4161674572794E-9</v>
      </c>
      <c r="G7304">
        <v>11206763</v>
      </c>
      <c r="H7304">
        <v>10746877</v>
      </c>
      <c r="I7304">
        <v>40177526</v>
      </c>
      <c r="J7304">
        <v>6</v>
      </c>
    </row>
    <row r="7305" spans="1:10" x14ac:dyDescent="0.25">
      <c r="A7305" t="s">
        <v>66</v>
      </c>
      <c r="B7305" s="1" t="str">
        <f>HYPERLINK("http://bmw-knoebl-steyr.at","bmw-knoebl-steyr.at")</f>
        <v>bmw-knoebl-steyr.at</v>
      </c>
      <c r="C7305" t="s">
        <v>419</v>
      </c>
      <c r="D7305" t="s">
        <v>801</v>
      </c>
      <c r="F7305">
        <v>5.60598247032039E-9</v>
      </c>
      <c r="G7305">
        <v>19800386</v>
      </c>
      <c r="H7305">
        <v>12664557</v>
      </c>
      <c r="I7305">
        <v>15668273</v>
      </c>
      <c r="J7305">
        <v>6</v>
      </c>
    </row>
    <row r="7306" spans="1:10" x14ac:dyDescent="0.25">
      <c r="A7306" t="s">
        <v>66</v>
      </c>
      <c r="B7306" s="1" t="str">
        <f>HYPERLINK("http://bmw-motorrad.at","bmw-motorrad.at")</f>
        <v>bmw-motorrad.at</v>
      </c>
      <c r="C7306" t="s">
        <v>419</v>
      </c>
      <c r="D7306" t="s">
        <v>801</v>
      </c>
      <c r="E7306">
        <v>270499</v>
      </c>
      <c r="F7306">
        <v>3.4638547062431703E-8</v>
      </c>
      <c r="G7306">
        <v>1498100</v>
      </c>
      <c r="H7306">
        <v>14077195</v>
      </c>
      <c r="I7306">
        <v>2871022</v>
      </c>
      <c r="J7306">
        <v>2</v>
      </c>
    </row>
    <row r="7307" spans="1:10" x14ac:dyDescent="0.25">
      <c r="A7307" t="s">
        <v>66</v>
      </c>
      <c r="B7307" s="1" t="str">
        <f>HYPERLINK("http://bmw-neuper-judenburg.at","bmw-neuper-judenburg.at")</f>
        <v>bmw-neuper-judenburg.at</v>
      </c>
      <c r="C7307" t="s">
        <v>419</v>
      </c>
      <c r="D7307" t="s">
        <v>801</v>
      </c>
      <c r="F7307">
        <v>6.9307548289346998E-9</v>
      </c>
      <c r="G7307">
        <v>12523332</v>
      </c>
      <c r="H7307">
        <v>10774158</v>
      </c>
      <c r="I7307">
        <v>39100628</v>
      </c>
      <c r="J7307">
        <v>4</v>
      </c>
    </row>
    <row r="7308" spans="1:10" x14ac:dyDescent="0.25">
      <c r="A7308" t="s">
        <v>66</v>
      </c>
      <c r="B7308" s="1" t="str">
        <f>HYPERLINK("http://bmw-oberhauser-bad-goisern.at","bmw-oberhauser-bad-goisern.at")</f>
        <v>bmw-oberhauser-bad-goisern.at</v>
      </c>
      <c r="C7308" t="s">
        <v>419</v>
      </c>
      <c r="D7308" t="s">
        <v>801</v>
      </c>
      <c r="F7308">
        <v>6.4452575548423502E-9</v>
      </c>
      <c r="G7308">
        <v>14315274</v>
      </c>
      <c r="H7308">
        <v>12030548</v>
      </c>
      <c r="I7308">
        <v>27648396</v>
      </c>
      <c r="J7308">
        <v>6</v>
      </c>
    </row>
    <row r="7309" spans="1:10" x14ac:dyDescent="0.25">
      <c r="A7309" t="s">
        <v>66</v>
      </c>
      <c r="B7309" s="1" t="str">
        <f>HYPERLINK("http://bmw-papst-voitsberg.at","bmw-papst-voitsberg.at")</f>
        <v>bmw-papst-voitsberg.at</v>
      </c>
      <c r="C7309" t="s">
        <v>419</v>
      </c>
      <c r="D7309" t="s">
        <v>801</v>
      </c>
      <c r="F7309">
        <v>4.7414264225185102E-9</v>
      </c>
      <c r="G7309">
        <v>38730755</v>
      </c>
      <c r="H7309">
        <v>9473638</v>
      </c>
      <c r="I7309">
        <v>66128732</v>
      </c>
      <c r="J7309">
        <v>4</v>
      </c>
    </row>
    <row r="7310" spans="1:10" x14ac:dyDescent="0.25">
      <c r="A7310" t="s">
        <v>66</v>
      </c>
      <c r="B7310" s="1" t="str">
        <f>HYPERLINK("http://bmw-wien.at","bmw-wien.at")</f>
        <v>bmw-wien.at</v>
      </c>
      <c r="C7310" t="s">
        <v>419</v>
      </c>
      <c r="D7310" t="s">
        <v>801</v>
      </c>
      <c r="F7310">
        <v>1.9515418898795499E-8</v>
      </c>
      <c r="G7310">
        <v>2741989</v>
      </c>
      <c r="H7310">
        <v>12580085</v>
      </c>
      <c r="I7310">
        <v>16507048</v>
      </c>
      <c r="J7310">
        <v>6</v>
      </c>
    </row>
    <row r="7311" spans="1:10" x14ac:dyDescent="0.25">
      <c r="A7311" t="s">
        <v>66</v>
      </c>
      <c r="B7311" s="1" t="str">
        <f>HYPERLINK("http://bmwgroup.at","bmwgroup.at")</f>
        <v>bmwgroup.at</v>
      </c>
      <c r="C7311" t="s">
        <v>419</v>
      </c>
      <c r="D7311" t="s">
        <v>801</v>
      </c>
      <c r="E7311">
        <v>434610</v>
      </c>
      <c r="F7311">
        <v>1.5745586742041901E-8</v>
      </c>
      <c r="G7311">
        <v>3614613</v>
      </c>
      <c r="H7311">
        <v>13208509</v>
      </c>
      <c r="I7311">
        <v>11509543</v>
      </c>
      <c r="J7311">
        <v>2</v>
      </c>
    </row>
    <row r="7312" spans="1:10" x14ac:dyDescent="0.25">
      <c r="A7312" t="s">
        <v>66</v>
      </c>
      <c r="B7312" s="1" t="str">
        <f>HYPERLINK("http://slawitscheck.at","slawitscheck.at")</f>
        <v>slawitscheck.at</v>
      </c>
      <c r="C7312" t="s">
        <v>419</v>
      </c>
      <c r="D7312" t="s">
        <v>801</v>
      </c>
      <c r="F7312">
        <v>1.31112198923538E-8</v>
      </c>
      <c r="G7312">
        <v>4578892</v>
      </c>
      <c r="H7312">
        <v>12288741</v>
      </c>
      <c r="I7312">
        <v>21139880</v>
      </c>
      <c r="J7312">
        <v>6</v>
      </c>
    </row>
    <row r="7313" spans="1:10" x14ac:dyDescent="0.25">
      <c r="A7313" t="s">
        <v>66</v>
      </c>
      <c r="B7313" s="1" t="str">
        <f>HYPERLINK("http://bmw.com.au","bmw.com.au")</f>
        <v>bmw.com.au</v>
      </c>
      <c r="C7313" t="s">
        <v>420</v>
      </c>
      <c r="D7313" t="s">
        <v>802</v>
      </c>
      <c r="E7313">
        <v>402347</v>
      </c>
      <c r="F7313">
        <v>6.5830766861627299E-8</v>
      </c>
      <c r="G7313">
        <v>652348</v>
      </c>
      <c r="H7313">
        <v>14298361</v>
      </c>
      <c r="I7313">
        <v>1358072</v>
      </c>
      <c r="J7313">
        <v>2</v>
      </c>
    </row>
    <row r="7314" spans="1:10" x14ac:dyDescent="0.25">
      <c r="A7314" t="s">
        <v>66</v>
      </c>
      <c r="B7314" s="1" t="str">
        <f>HYPERLINK("http://bmw-motorrad.com.au","bmw-motorrad.com.au")</f>
        <v>bmw-motorrad.com.au</v>
      </c>
      <c r="C7314" t="s">
        <v>420</v>
      </c>
      <c r="D7314" t="s">
        <v>802</v>
      </c>
      <c r="F7314">
        <v>1.28945742282298E-8</v>
      </c>
      <c r="G7314">
        <v>4681975</v>
      </c>
      <c r="H7314">
        <v>12809589</v>
      </c>
      <c r="I7314">
        <v>14590523</v>
      </c>
      <c r="J7314">
        <v>2</v>
      </c>
    </row>
    <row r="7315" spans="1:10" x14ac:dyDescent="0.25">
      <c r="A7315" t="s">
        <v>66</v>
      </c>
      <c r="B7315" s="1" t="str">
        <f>HYPERLINK("http://bmwfinance.com.au","bmwfinance.com.au")</f>
        <v>bmwfinance.com.au</v>
      </c>
      <c r="C7315" t="s">
        <v>420</v>
      </c>
      <c r="D7315" t="s">
        <v>802</v>
      </c>
      <c r="F7315">
        <v>8.0708834303582192E-9</v>
      </c>
      <c r="G7315">
        <v>9792877</v>
      </c>
      <c r="H7315">
        <v>12367079</v>
      </c>
      <c r="I7315">
        <v>19465020</v>
      </c>
      <c r="J7315">
        <v>2</v>
      </c>
    </row>
    <row r="7316" spans="1:10" x14ac:dyDescent="0.25">
      <c r="A7316" t="s">
        <v>66</v>
      </c>
      <c r="B7316" s="1" t="str">
        <f>HYPERLINK("http://bmwgroup.com.au","bmwgroup.com.au")</f>
        <v>bmwgroup.com.au</v>
      </c>
      <c r="C7316" t="s">
        <v>420</v>
      </c>
      <c r="D7316" t="s">
        <v>802</v>
      </c>
      <c r="F7316">
        <v>4.4447814854778601E-9</v>
      </c>
      <c r="G7316">
        <v>76099071</v>
      </c>
      <c r="H7316">
        <v>10347639</v>
      </c>
      <c r="I7316">
        <v>56633859</v>
      </c>
      <c r="J7316">
        <v>2</v>
      </c>
    </row>
    <row r="7317" spans="1:10" x14ac:dyDescent="0.25">
      <c r="A7317" t="s">
        <v>66</v>
      </c>
      <c r="B7317" s="1" t="str">
        <f>HYPERLINK("http://bmwmelbourne.com.au","bmwmelbourne.com.au")</f>
        <v>bmwmelbourne.com.au</v>
      </c>
      <c r="C7317" t="s">
        <v>420</v>
      </c>
      <c r="D7317" t="s">
        <v>802</v>
      </c>
      <c r="F7317">
        <v>4.6760521470794404E-9</v>
      </c>
      <c r="G7317">
        <v>42591470</v>
      </c>
      <c r="H7317">
        <v>10981343</v>
      </c>
      <c r="I7317">
        <v>33910781</v>
      </c>
      <c r="J7317">
        <v>6</v>
      </c>
    </row>
    <row r="7318" spans="1:10" x14ac:dyDescent="0.25">
      <c r="A7318" t="s">
        <v>66</v>
      </c>
      <c r="B7318" s="1" t="str">
        <f>HYPERLINK("http://bundoorabmw.com.au","bundoorabmw.com.au")</f>
        <v>bundoorabmw.com.au</v>
      </c>
      <c r="C7318" t="s">
        <v>420</v>
      </c>
      <c r="D7318" t="s">
        <v>802</v>
      </c>
      <c r="F7318">
        <v>4.4438786866106501E-9</v>
      </c>
      <c r="G7318">
        <v>78082369</v>
      </c>
      <c r="H7318">
        <v>10474112</v>
      </c>
      <c r="I7318">
        <v>51177908</v>
      </c>
      <c r="J7318">
        <v>6</v>
      </c>
    </row>
    <row r="7319" spans="1:10" x14ac:dyDescent="0.25">
      <c r="A7319" t="s">
        <v>66</v>
      </c>
      <c r="B7319" s="1" t="str">
        <f>HYPERLINK("http://essendonbmw.com.au","essendonbmw.com.au")</f>
        <v>essendonbmw.com.au</v>
      </c>
      <c r="C7319" t="s">
        <v>420</v>
      </c>
      <c r="D7319" t="s">
        <v>802</v>
      </c>
      <c r="J7319">
        <v>6</v>
      </c>
    </row>
    <row r="7320" spans="1:10" x14ac:dyDescent="0.25">
      <c r="A7320" t="s">
        <v>66</v>
      </c>
      <c r="B7320" s="1" t="str">
        <f>HYPERLINK("http://goldcoastbmw.com.au","goldcoastbmw.com.au")</f>
        <v>goldcoastbmw.com.au</v>
      </c>
      <c r="C7320" t="s">
        <v>420</v>
      </c>
      <c r="D7320" t="s">
        <v>802</v>
      </c>
      <c r="F7320">
        <v>4.5216778082914696E-9</v>
      </c>
      <c r="G7320">
        <v>55997882</v>
      </c>
      <c r="H7320">
        <v>10810223</v>
      </c>
      <c r="I7320">
        <v>37863991</v>
      </c>
      <c r="J7320">
        <v>6</v>
      </c>
    </row>
    <row r="7321" spans="1:10" x14ac:dyDescent="0.25">
      <c r="A7321" t="s">
        <v>66</v>
      </c>
      <c r="B7321" s="1" t="str">
        <f>HYPERLINK("http://mini.com.au","mini.com.au")</f>
        <v>mini.com.au</v>
      </c>
      <c r="C7321" t="s">
        <v>420</v>
      </c>
      <c r="D7321" t="s">
        <v>802</v>
      </c>
      <c r="E7321">
        <v>776899</v>
      </c>
      <c r="F7321">
        <v>3.6039246920283902E-8</v>
      </c>
      <c r="G7321">
        <v>1446133</v>
      </c>
      <c r="H7321">
        <v>14136612</v>
      </c>
      <c r="I7321">
        <v>1960454</v>
      </c>
      <c r="J7321">
        <v>2</v>
      </c>
    </row>
    <row r="7322" spans="1:10" x14ac:dyDescent="0.25">
      <c r="A7322" t="s">
        <v>66</v>
      </c>
      <c r="B7322" s="1" t="str">
        <f>HYPERLINK("http://sheppartonbmw.com.au","sheppartonbmw.com.au")</f>
        <v>sheppartonbmw.com.au</v>
      </c>
      <c r="C7322" t="s">
        <v>420</v>
      </c>
      <c r="D7322" t="s">
        <v>802</v>
      </c>
      <c r="F7322">
        <v>4.5340241003612799E-9</v>
      </c>
      <c r="G7322">
        <v>54615445</v>
      </c>
      <c r="H7322">
        <v>12074968</v>
      </c>
      <c r="I7322">
        <v>26687154</v>
      </c>
      <c r="J7322">
        <v>6</v>
      </c>
    </row>
    <row r="7323" spans="1:10" x14ac:dyDescent="0.25">
      <c r="A7323" t="s">
        <v>66</v>
      </c>
      <c r="B7323" s="1" t="str">
        <f>HYPERLINK("http://bmw.az","bmw.az")</f>
        <v>bmw.az</v>
      </c>
      <c r="C7323" t="s">
        <v>561</v>
      </c>
      <c r="D7323" t="s">
        <v>911</v>
      </c>
      <c r="F7323">
        <v>1.6743711369613201E-8</v>
      </c>
      <c r="G7323">
        <v>3347529</v>
      </c>
      <c r="H7323">
        <v>14073346</v>
      </c>
      <c r="I7323">
        <v>3000633</v>
      </c>
      <c r="J7323">
        <v>4</v>
      </c>
    </row>
    <row r="7324" spans="1:10" x14ac:dyDescent="0.25">
      <c r="A7324" t="s">
        <v>66</v>
      </c>
      <c r="B7324" s="1" t="str">
        <f>HYPERLINK("http://bmw.ba","bmw.ba")</f>
        <v>bmw.ba</v>
      </c>
      <c r="C7324" t="s">
        <v>526</v>
      </c>
      <c r="D7324" t="s">
        <v>893</v>
      </c>
      <c r="F7324">
        <v>9.4899965548632999E-9</v>
      </c>
      <c r="G7324">
        <v>7334482</v>
      </c>
      <c r="H7324">
        <v>12371443</v>
      </c>
      <c r="I7324">
        <v>19383250</v>
      </c>
      <c r="J7324">
        <v>4</v>
      </c>
    </row>
    <row r="7325" spans="1:10" x14ac:dyDescent="0.25">
      <c r="A7325" t="s">
        <v>66</v>
      </c>
      <c r="B7325" s="1" t="str">
        <f>HYPERLINK("http://bmw.bb","bmw.bb")</f>
        <v>bmw.bb</v>
      </c>
      <c r="C7325" t="s">
        <v>589</v>
      </c>
      <c r="D7325" t="s">
        <v>925</v>
      </c>
      <c r="F7325">
        <v>8.3726175008101196E-9</v>
      </c>
      <c r="G7325">
        <v>9099482</v>
      </c>
      <c r="H7325">
        <v>12367300</v>
      </c>
      <c r="I7325">
        <v>19460364</v>
      </c>
      <c r="J7325">
        <v>4</v>
      </c>
    </row>
    <row r="7326" spans="1:10" x14ac:dyDescent="0.25">
      <c r="A7326" t="s">
        <v>66</v>
      </c>
      <c r="B7326" s="1" t="str">
        <f>HYPERLINK("http://bmw.com.bd","bmw.com.bd")</f>
        <v>bmw.com.bd</v>
      </c>
      <c r="C7326" t="s">
        <v>603</v>
      </c>
      <c r="D7326" t="s">
        <v>934</v>
      </c>
      <c r="F7326">
        <v>1.03405649715786E-8</v>
      </c>
      <c r="G7326">
        <v>6413265</v>
      </c>
      <c r="H7326">
        <v>12418424</v>
      </c>
      <c r="I7326">
        <v>18487163</v>
      </c>
      <c r="J7326">
        <v>4</v>
      </c>
    </row>
    <row r="7327" spans="1:10" x14ac:dyDescent="0.25">
      <c r="A7327" t="s">
        <v>66</v>
      </c>
      <c r="B7327" s="1" t="str">
        <f>HYPERLINK("http://alphabet.be","alphabet.be")</f>
        <v>alphabet.be</v>
      </c>
      <c r="C7327" t="s">
        <v>421</v>
      </c>
      <c r="D7327" t="s">
        <v>803</v>
      </c>
      <c r="F7327">
        <v>5.5482277631635001E-9</v>
      </c>
      <c r="G7327">
        <v>20395352</v>
      </c>
      <c r="H7327">
        <v>11184103</v>
      </c>
      <c r="I7327">
        <v>31401460</v>
      </c>
      <c r="J7327">
        <v>2</v>
      </c>
    </row>
    <row r="7328" spans="1:10" x14ac:dyDescent="0.25">
      <c r="A7328" t="s">
        <v>66</v>
      </c>
      <c r="B7328" s="1" t="str">
        <f>HYPERLINK("http://alphabeteasy.be","alphabeteasy.be")</f>
        <v>alphabeteasy.be</v>
      </c>
      <c r="C7328" t="s">
        <v>421</v>
      </c>
      <c r="D7328" t="s">
        <v>803</v>
      </c>
      <c r="J7328">
        <v>2</v>
      </c>
    </row>
    <row r="7329" spans="1:10" x14ac:dyDescent="0.25">
      <c r="A7329" t="s">
        <v>66</v>
      </c>
      <c r="B7329" s="1" t="str">
        <f>HYPERLINK("http://biliaverstraeten.be","biliaverstraeten.be")</f>
        <v>biliaverstraeten.be</v>
      </c>
      <c r="C7329" t="s">
        <v>421</v>
      </c>
      <c r="D7329" t="s">
        <v>803</v>
      </c>
      <c r="J7329">
        <v>6</v>
      </c>
    </row>
    <row r="7330" spans="1:10" x14ac:dyDescent="0.25">
      <c r="A7330" t="s">
        <v>66</v>
      </c>
      <c r="B7330" s="1" t="str">
        <f>HYPERLINK("http://bmw-motorrad.be","bmw-motorrad.be")</f>
        <v>bmw-motorrad.be</v>
      </c>
      <c r="C7330" t="s">
        <v>421</v>
      </c>
      <c r="D7330" t="s">
        <v>803</v>
      </c>
      <c r="F7330">
        <v>2.9373765515089599E-8</v>
      </c>
      <c r="G7330">
        <v>1754215</v>
      </c>
      <c r="H7330">
        <v>13320558</v>
      </c>
      <c r="I7330">
        <v>10747178</v>
      </c>
      <c r="J7330">
        <v>2</v>
      </c>
    </row>
    <row r="7331" spans="1:10" x14ac:dyDescent="0.25">
      <c r="A7331" t="s">
        <v>66</v>
      </c>
      <c r="B7331" s="1" t="str">
        <f>HYPERLINK("http://bmwfs.be","bmwfs.be")</f>
        <v>bmwfs.be</v>
      </c>
      <c r="C7331" t="s">
        <v>421</v>
      </c>
      <c r="D7331" t="s">
        <v>803</v>
      </c>
      <c r="F7331">
        <v>4.7595695504522496E-9</v>
      </c>
      <c r="G7331">
        <v>37844565</v>
      </c>
      <c r="H7331">
        <v>10483949</v>
      </c>
      <c r="I7331">
        <v>50845393</v>
      </c>
      <c r="J7331">
        <v>3</v>
      </c>
    </row>
    <row r="7332" spans="1:10" x14ac:dyDescent="0.25">
      <c r="A7332" t="s">
        <v>66</v>
      </c>
      <c r="B7332" s="1" t="str">
        <f>HYPERLINK("http://mabbe.be","mabbe.be")</f>
        <v>mabbe.be</v>
      </c>
      <c r="C7332" t="s">
        <v>421</v>
      </c>
      <c r="D7332" t="s">
        <v>803</v>
      </c>
      <c r="F7332">
        <v>5.6942572192659601E-9</v>
      </c>
      <c r="G7332">
        <v>19010039</v>
      </c>
      <c r="H7332">
        <v>12035610</v>
      </c>
      <c r="I7332">
        <v>27545210</v>
      </c>
      <c r="J7332">
        <v>6</v>
      </c>
    </row>
    <row r="7333" spans="1:10" x14ac:dyDescent="0.25">
      <c r="A7333" t="s">
        <v>66</v>
      </c>
      <c r="B7333" s="1" t="str">
        <f>HYPERLINK("http://meeusenmotoren.be","meeusenmotoren.be")</f>
        <v>meeusenmotoren.be</v>
      </c>
      <c r="C7333" t="s">
        <v>421</v>
      </c>
      <c r="D7333" t="s">
        <v>803</v>
      </c>
      <c r="F7333">
        <v>9.1641899050352696E-9</v>
      </c>
      <c r="G7333">
        <v>7759193</v>
      </c>
      <c r="H7333">
        <v>12062997</v>
      </c>
      <c r="I7333">
        <v>26940273</v>
      </c>
      <c r="J7333">
        <v>6</v>
      </c>
    </row>
    <row r="7334" spans="1:10" x14ac:dyDescent="0.25">
      <c r="A7334" t="s">
        <v>66</v>
      </c>
      <c r="B7334" s="1" t="str">
        <f>HYPERLINK("http://mini.be","mini.be")</f>
        <v>mini.be</v>
      </c>
      <c r="C7334" t="s">
        <v>421</v>
      </c>
      <c r="D7334" t="s">
        <v>803</v>
      </c>
      <c r="E7334">
        <v>918512</v>
      </c>
      <c r="F7334">
        <v>5.0000984088083598E-8</v>
      </c>
      <c r="G7334">
        <v>921299</v>
      </c>
      <c r="H7334">
        <v>12599656</v>
      </c>
      <c r="I7334">
        <v>16328277</v>
      </c>
      <c r="J7334">
        <v>4</v>
      </c>
    </row>
    <row r="7335" spans="1:10" x14ac:dyDescent="0.25">
      <c r="A7335" t="s">
        <v>66</v>
      </c>
      <c r="B7335" s="1" t="str">
        <f>HYPERLINK("http://minigentstore.be","minigentstore.be")</f>
        <v>minigentstore.be</v>
      </c>
      <c r="C7335" t="s">
        <v>421</v>
      </c>
      <c r="D7335" t="s">
        <v>803</v>
      </c>
      <c r="F7335">
        <v>5.1732831957318998E-9</v>
      </c>
      <c r="G7335">
        <v>25666823</v>
      </c>
      <c r="H7335">
        <v>10440924</v>
      </c>
      <c r="I7335">
        <v>52412684</v>
      </c>
      <c r="J7335">
        <v>6</v>
      </c>
    </row>
    <row r="7336" spans="1:10" x14ac:dyDescent="0.25">
      <c r="A7336" t="s">
        <v>66</v>
      </c>
      <c r="B7336" s="1" t="str">
        <f>HYPERLINK("http://sneyers.be","sneyers.be")</f>
        <v>sneyers.be</v>
      </c>
      <c r="C7336" t="s">
        <v>421</v>
      </c>
      <c r="D7336" t="s">
        <v>803</v>
      </c>
      <c r="F7336">
        <v>5.5079164918504399E-9</v>
      </c>
      <c r="G7336">
        <v>20814513</v>
      </c>
      <c r="H7336">
        <v>10628203</v>
      </c>
      <c r="I7336">
        <v>44039007</v>
      </c>
      <c r="J7336">
        <v>6</v>
      </c>
    </row>
    <row r="7337" spans="1:10" x14ac:dyDescent="0.25">
      <c r="A7337" t="s">
        <v>66</v>
      </c>
      <c r="B7337" s="1" t="str">
        <f>HYPERLINK("http://wingemotors.be","wingemotors.be")</f>
        <v>wingemotors.be</v>
      </c>
      <c r="C7337" t="s">
        <v>421</v>
      </c>
      <c r="D7337" t="s">
        <v>803</v>
      </c>
      <c r="F7337">
        <v>6.7663328618312001E-9</v>
      </c>
      <c r="G7337">
        <v>13073980</v>
      </c>
      <c r="H7337">
        <v>12059176</v>
      </c>
      <c r="I7337">
        <v>27032713</v>
      </c>
      <c r="J7337">
        <v>6</v>
      </c>
    </row>
    <row r="7338" spans="1:10" x14ac:dyDescent="0.25">
      <c r="A7338" t="s">
        <v>66</v>
      </c>
      <c r="B7338" s="1" t="str">
        <f>HYPERLINK("http://bmw.bg","bmw.bg")</f>
        <v>bmw.bg</v>
      </c>
      <c r="C7338" t="s">
        <v>422</v>
      </c>
      <c r="D7338" t="s">
        <v>804</v>
      </c>
      <c r="F7338">
        <v>3.8919006000195897E-8</v>
      </c>
      <c r="G7338">
        <v>1324935</v>
      </c>
      <c r="H7338">
        <v>14073902</v>
      </c>
      <c r="I7338">
        <v>2965379</v>
      </c>
      <c r="J7338">
        <v>2</v>
      </c>
    </row>
    <row r="7339" spans="1:10" x14ac:dyDescent="0.25">
      <c r="A7339" t="s">
        <v>66</v>
      </c>
      <c r="B7339" s="1" t="str">
        <f>HYPERLINK("http://bmw-mcar.bg","bmw-mcar.bg")</f>
        <v>bmw-mcar.bg</v>
      </c>
      <c r="C7339" t="s">
        <v>422</v>
      </c>
      <c r="D7339" t="s">
        <v>804</v>
      </c>
      <c r="F7339">
        <v>7.9504022680435803E-9</v>
      </c>
      <c r="G7339">
        <v>10012982</v>
      </c>
      <c r="H7339">
        <v>14072014</v>
      </c>
      <c r="I7339">
        <v>3186142</v>
      </c>
      <c r="J7339">
        <v>6</v>
      </c>
    </row>
    <row r="7340" spans="1:10" x14ac:dyDescent="0.25">
      <c r="A7340" t="s">
        <v>66</v>
      </c>
      <c r="B7340" s="1" t="str">
        <f>HYPERLINK("http://bmw-motorrad.bg","bmw-motorrad.bg")</f>
        <v>bmw-motorrad.bg</v>
      </c>
      <c r="C7340" t="s">
        <v>422</v>
      </c>
      <c r="D7340" t="s">
        <v>804</v>
      </c>
      <c r="F7340">
        <v>9.8538616685414799E-9</v>
      </c>
      <c r="G7340">
        <v>6909895</v>
      </c>
      <c r="H7340">
        <v>12205141</v>
      </c>
      <c r="I7340">
        <v>23188626</v>
      </c>
      <c r="J7340">
        <v>2</v>
      </c>
    </row>
    <row r="7341" spans="1:10" x14ac:dyDescent="0.25">
      <c r="A7341" t="s">
        <v>66</v>
      </c>
      <c r="B7341" s="1" t="str">
        <f>HYPERLINK("http://mini.bg","mini.bg")</f>
        <v>mini.bg</v>
      </c>
      <c r="C7341" t="s">
        <v>422</v>
      </c>
      <c r="D7341" t="s">
        <v>804</v>
      </c>
      <c r="F7341">
        <v>1.5681540310658601E-8</v>
      </c>
      <c r="G7341">
        <v>3632575</v>
      </c>
      <c r="H7341">
        <v>13774272</v>
      </c>
      <c r="I7341">
        <v>6610436</v>
      </c>
      <c r="J7341">
        <v>2</v>
      </c>
    </row>
    <row r="7342" spans="1:10" x14ac:dyDescent="0.25">
      <c r="A7342" t="s">
        <v>66</v>
      </c>
      <c r="B7342" s="1" t="str">
        <f>HYPERLINK("http://bmw-motorrad.bh","bmw-motorrad.bh")</f>
        <v>bmw-motorrad.bh</v>
      </c>
      <c r="C7342" t="s">
        <v>580</v>
      </c>
      <c r="D7342" t="s">
        <v>922</v>
      </c>
      <c r="F7342">
        <v>6.5208830596479601E-9</v>
      </c>
      <c r="G7342">
        <v>13991857</v>
      </c>
      <c r="H7342">
        <v>12084243</v>
      </c>
      <c r="I7342">
        <v>26457192</v>
      </c>
      <c r="J7342">
        <v>2</v>
      </c>
    </row>
    <row r="7343" spans="1:10" x14ac:dyDescent="0.25">
      <c r="A7343" t="s">
        <v>66</v>
      </c>
      <c r="B7343" s="1" t="str">
        <f>HYPERLINK("http://alphabet.biz","alphabet.biz")</f>
        <v>alphabet.biz</v>
      </c>
      <c r="C7343" t="s">
        <v>423</v>
      </c>
      <c r="J7343">
        <v>2</v>
      </c>
    </row>
    <row r="7344" spans="1:10" x14ac:dyDescent="0.25">
      <c r="A7344" t="s">
        <v>66</v>
      </c>
      <c r="B7344" s="1" t="str">
        <f>HYPERLINK("http://api.bmw","api.bmw")</f>
        <v>api.bmw</v>
      </c>
      <c r="C7344" t="s">
        <v>730</v>
      </c>
      <c r="E7344">
        <v>155904</v>
      </c>
      <c r="F7344">
        <v>1.1242078825067E-7</v>
      </c>
      <c r="G7344">
        <v>355258</v>
      </c>
      <c r="H7344">
        <v>12585681</v>
      </c>
      <c r="I7344">
        <v>16450639</v>
      </c>
      <c r="J7344">
        <v>2</v>
      </c>
    </row>
    <row r="7345" spans="1:10" x14ac:dyDescent="0.25">
      <c r="A7345" t="s">
        <v>66</v>
      </c>
      <c r="B7345" s="1" t="str">
        <f>HYPERLINK("http://cloud.bmw","cloud.bmw")</f>
        <v>cloud.bmw</v>
      </c>
      <c r="C7345" t="s">
        <v>730</v>
      </c>
      <c r="E7345">
        <v>571147</v>
      </c>
      <c r="F7345">
        <v>4.4438539297498102E-9</v>
      </c>
      <c r="G7345">
        <v>78354662</v>
      </c>
      <c r="H7345">
        <v>10546614</v>
      </c>
      <c r="I7345">
        <v>46849342</v>
      </c>
      <c r="J7345">
        <v>2</v>
      </c>
    </row>
    <row r="7346" spans="1:10" x14ac:dyDescent="0.25">
      <c r="A7346" t="s">
        <v>66</v>
      </c>
      <c r="B7346" s="1" t="str">
        <f>HYPERLINK("http://next100.bmw","next100.bmw")</f>
        <v>next100.bmw</v>
      </c>
      <c r="C7346" t="s">
        <v>730</v>
      </c>
      <c r="F7346">
        <v>5.1484145080313397E-8</v>
      </c>
      <c r="G7346">
        <v>888602</v>
      </c>
      <c r="H7346">
        <v>13516383</v>
      </c>
      <c r="I7346">
        <v>9942809</v>
      </c>
      <c r="J7346">
        <v>2</v>
      </c>
    </row>
    <row r="7347" spans="1:10" x14ac:dyDescent="0.25">
      <c r="A7347" t="s">
        <v>66</v>
      </c>
      <c r="B7347" s="1" t="str">
        <f>HYPERLINK("http://workspace.bmw","workspace.bmw")</f>
        <v>workspace.bmw</v>
      </c>
      <c r="C7347" t="s">
        <v>730</v>
      </c>
      <c r="E7347">
        <v>429205</v>
      </c>
      <c r="F7347">
        <v>4.4459014640504599E-9</v>
      </c>
      <c r="G7347">
        <v>74785546</v>
      </c>
      <c r="H7347">
        <v>10551861</v>
      </c>
      <c r="I7347">
        <v>46640318</v>
      </c>
      <c r="J7347">
        <v>2</v>
      </c>
    </row>
    <row r="7348" spans="1:10" x14ac:dyDescent="0.25">
      <c r="A7348" t="s">
        <v>66</v>
      </c>
      <c r="B7348" s="1" t="str">
        <f>HYPERLINK("http://bmw.com.bn","bmw.com.bn")</f>
        <v>bmw.com.bn</v>
      </c>
      <c r="C7348" t="s">
        <v>511</v>
      </c>
      <c r="D7348" t="s">
        <v>885</v>
      </c>
      <c r="F7348">
        <v>1.81529508751579E-8</v>
      </c>
      <c r="G7348">
        <v>2999104</v>
      </c>
      <c r="H7348">
        <v>13569644</v>
      </c>
      <c r="I7348">
        <v>9729003</v>
      </c>
      <c r="J7348">
        <v>4</v>
      </c>
    </row>
    <row r="7349" spans="1:10" x14ac:dyDescent="0.25">
      <c r="A7349" t="s">
        <v>66</v>
      </c>
      <c r="B7349" s="1" t="str">
        <f>HYPERLINK("http://bmw-motorrad.bo","bmw-motorrad.bo")</f>
        <v>bmw-motorrad.bo</v>
      </c>
      <c r="C7349" t="s">
        <v>424</v>
      </c>
      <c r="D7349" t="s">
        <v>805</v>
      </c>
      <c r="E7349">
        <v>616686</v>
      </c>
      <c r="F7349">
        <v>6.3291779441705799E-9</v>
      </c>
      <c r="G7349">
        <v>14892213</v>
      </c>
      <c r="H7349">
        <v>12084238</v>
      </c>
      <c r="I7349">
        <v>26457302</v>
      </c>
      <c r="J7349">
        <v>2</v>
      </c>
    </row>
    <row r="7350" spans="1:10" x14ac:dyDescent="0.25">
      <c r="A7350" t="s">
        <v>66</v>
      </c>
      <c r="B7350" s="1" t="str">
        <f>HYPERLINK("http://bmw.com.bo","bmw.com.bo")</f>
        <v>bmw.com.bo</v>
      </c>
      <c r="C7350" t="s">
        <v>424</v>
      </c>
      <c r="D7350" t="s">
        <v>805</v>
      </c>
      <c r="E7350">
        <v>453955</v>
      </c>
      <c r="F7350">
        <v>9.1174105482777992E-9</v>
      </c>
      <c r="G7350">
        <v>7822932</v>
      </c>
      <c r="H7350">
        <v>12367312</v>
      </c>
      <c r="I7350">
        <v>19460154</v>
      </c>
      <c r="J7350">
        <v>4</v>
      </c>
    </row>
    <row r="7351" spans="1:10" x14ac:dyDescent="0.25">
      <c r="A7351" t="s">
        <v>66</v>
      </c>
      <c r="B7351" s="1" t="str">
        <f>HYPERLINK("http://bmw.com.br","bmw.com.br")</f>
        <v>bmw.com.br</v>
      </c>
      <c r="C7351" t="s">
        <v>425</v>
      </c>
      <c r="D7351" t="s">
        <v>806</v>
      </c>
      <c r="E7351">
        <v>230517</v>
      </c>
      <c r="F7351">
        <v>4.9182516368036499E-8</v>
      </c>
      <c r="G7351">
        <v>941335</v>
      </c>
      <c r="H7351">
        <v>14261412</v>
      </c>
      <c r="I7351">
        <v>1417261</v>
      </c>
      <c r="J7351">
        <v>2</v>
      </c>
    </row>
    <row r="7352" spans="1:10" x14ac:dyDescent="0.25">
      <c r="A7352" t="s">
        <v>66</v>
      </c>
      <c r="B7352" s="1" t="str">
        <f>HYPERLINK("http://bmw-motorrad.com.br","bmw-motorrad.com.br")</f>
        <v>bmw-motorrad.com.br</v>
      </c>
      <c r="C7352" t="s">
        <v>425</v>
      </c>
      <c r="D7352" t="s">
        <v>806</v>
      </c>
      <c r="E7352">
        <v>270645</v>
      </c>
      <c r="F7352">
        <v>1.7099441476943601E-8</v>
      </c>
      <c r="G7352">
        <v>3260862</v>
      </c>
      <c r="H7352">
        <v>13787102</v>
      </c>
      <c r="I7352">
        <v>6377886</v>
      </c>
      <c r="J7352">
        <v>2</v>
      </c>
    </row>
    <row r="7353" spans="1:10" x14ac:dyDescent="0.25">
      <c r="A7353" t="s">
        <v>66</v>
      </c>
      <c r="B7353" s="1" t="str">
        <f>HYPERLINK("http://germanicabmw.com.br","germanicabmw.com.br")</f>
        <v>germanicabmw.com.br</v>
      </c>
      <c r="C7353" t="s">
        <v>425</v>
      </c>
      <c r="D7353" t="s">
        <v>806</v>
      </c>
      <c r="J7353">
        <v>6</v>
      </c>
    </row>
    <row r="7354" spans="1:10" x14ac:dyDescent="0.25">
      <c r="A7354" t="s">
        <v>66</v>
      </c>
      <c r="B7354" s="1" t="str">
        <f>HYPERLINK("http://bmw.bs","bmw.bs")</f>
        <v>bmw.bs</v>
      </c>
      <c r="C7354" t="s">
        <v>623</v>
      </c>
      <c r="D7354" t="s">
        <v>947</v>
      </c>
      <c r="F7354">
        <v>8.5867748468374003E-9</v>
      </c>
      <c r="G7354">
        <v>8680340</v>
      </c>
      <c r="H7354">
        <v>12367300</v>
      </c>
      <c r="I7354">
        <v>19460365</v>
      </c>
      <c r="J7354">
        <v>4</v>
      </c>
    </row>
    <row r="7355" spans="1:10" x14ac:dyDescent="0.25">
      <c r="A7355" t="s">
        <v>66</v>
      </c>
      <c r="B7355" s="1" t="str">
        <f>HYPERLINK("http://autoidea.by","autoidea.by")</f>
        <v>autoidea.by</v>
      </c>
      <c r="C7355" t="s">
        <v>427</v>
      </c>
      <c r="D7355" t="s">
        <v>808</v>
      </c>
      <c r="F7355">
        <v>1.0900284486546301E-8</v>
      </c>
      <c r="G7355">
        <v>5942185</v>
      </c>
      <c r="H7355">
        <v>12469245</v>
      </c>
      <c r="I7355">
        <v>17767154</v>
      </c>
      <c r="J7355">
        <v>6</v>
      </c>
    </row>
    <row r="7356" spans="1:10" x14ac:dyDescent="0.25">
      <c r="A7356" t="s">
        <v>66</v>
      </c>
      <c r="B7356" s="1" t="str">
        <f>HYPERLINK("http://bmw.by","bmw.by")</f>
        <v>bmw.by</v>
      </c>
      <c r="C7356" t="s">
        <v>427</v>
      </c>
      <c r="D7356" t="s">
        <v>808</v>
      </c>
      <c r="F7356">
        <v>1.6967630038786001E-8</v>
      </c>
      <c r="G7356">
        <v>3290988</v>
      </c>
      <c r="H7356">
        <v>14072754</v>
      </c>
      <c r="I7356">
        <v>3048437</v>
      </c>
      <c r="J7356">
        <v>4</v>
      </c>
    </row>
    <row r="7357" spans="1:10" x14ac:dyDescent="0.25">
      <c r="A7357" t="s">
        <v>66</v>
      </c>
      <c r="B7357" s="1" t="str">
        <f>HYPERLINK("http://mini.by","mini.by")</f>
        <v>mini.by</v>
      </c>
      <c r="C7357" t="s">
        <v>427</v>
      </c>
      <c r="D7357" t="s">
        <v>808</v>
      </c>
      <c r="F7357">
        <v>5.6765748907103402E-9</v>
      </c>
      <c r="G7357">
        <v>19160485</v>
      </c>
      <c r="H7357">
        <v>10944895</v>
      </c>
      <c r="I7357">
        <v>34705383</v>
      </c>
      <c r="J7357">
        <v>4</v>
      </c>
    </row>
    <row r="7358" spans="1:10" x14ac:dyDescent="0.25">
      <c r="A7358" t="s">
        <v>66</v>
      </c>
      <c r="B7358" s="1" t="str">
        <f>HYPERLINK("http://vtsbmw.by","vtsbmw.by")</f>
        <v>vtsbmw.by</v>
      </c>
      <c r="C7358" t="s">
        <v>427</v>
      </c>
      <c r="D7358" t="s">
        <v>808</v>
      </c>
      <c r="F7358">
        <v>4.44380395335525E-9</v>
      </c>
      <c r="G7358">
        <v>80091900</v>
      </c>
      <c r="H7358">
        <v>0</v>
      </c>
      <c r="I7358">
        <v>80123427</v>
      </c>
      <c r="J7358">
        <v>6</v>
      </c>
    </row>
    <row r="7359" spans="1:10" x14ac:dyDescent="0.25">
      <c r="A7359" t="s">
        <v>66</v>
      </c>
      <c r="B7359" s="1" t="str">
        <f>HYPERLINK("http://bmw.ca","bmw.ca")</f>
        <v>bmw.ca</v>
      </c>
      <c r="C7359" t="s">
        <v>428</v>
      </c>
      <c r="D7359" t="s">
        <v>809</v>
      </c>
      <c r="E7359">
        <v>133441</v>
      </c>
      <c r="F7359">
        <v>1.7668946331921301E-7</v>
      </c>
      <c r="G7359">
        <v>219033</v>
      </c>
      <c r="H7359">
        <v>14572400</v>
      </c>
      <c r="I7359">
        <v>733473</v>
      </c>
      <c r="J7359">
        <v>2</v>
      </c>
    </row>
    <row r="7360" spans="1:10" x14ac:dyDescent="0.25">
      <c r="A7360" t="s">
        <v>66</v>
      </c>
      <c r="B7360" s="1" t="str">
        <f>HYPERLINK("http://bmw-connecteddrive.ca","bmw-connecteddrive.ca")</f>
        <v>bmw-connecteddrive.ca</v>
      </c>
      <c r="C7360" t="s">
        <v>428</v>
      </c>
      <c r="D7360" t="s">
        <v>809</v>
      </c>
      <c r="F7360">
        <v>6.2551582632126498E-9</v>
      </c>
      <c r="G7360">
        <v>15249264</v>
      </c>
      <c r="H7360">
        <v>12345643</v>
      </c>
      <c r="I7360">
        <v>19839415</v>
      </c>
      <c r="J7360">
        <v>2</v>
      </c>
    </row>
    <row r="7361" spans="1:10" x14ac:dyDescent="0.25">
      <c r="A7361" t="s">
        <v>66</v>
      </c>
      <c r="B7361" s="1" t="str">
        <f>HYPERLINK("http://bmw-motorrad.ca","bmw-motorrad.ca")</f>
        <v>bmw-motorrad.ca</v>
      </c>
      <c r="C7361" t="s">
        <v>428</v>
      </c>
      <c r="D7361" t="s">
        <v>809</v>
      </c>
      <c r="E7361">
        <v>252785</v>
      </c>
      <c r="F7361">
        <v>2.9565490829453299E-8</v>
      </c>
      <c r="G7361">
        <v>1743492</v>
      </c>
      <c r="H7361">
        <v>14121185</v>
      </c>
      <c r="I7361">
        <v>2270604</v>
      </c>
      <c r="J7361">
        <v>2</v>
      </c>
    </row>
    <row r="7362" spans="1:10" x14ac:dyDescent="0.25">
      <c r="A7362" t="s">
        <v>66</v>
      </c>
      <c r="B7362" s="1" t="str">
        <f>HYPERLINK("http://bmwfinance.ca","bmwfinance.ca")</f>
        <v>bmwfinance.ca</v>
      </c>
      <c r="C7362" t="s">
        <v>428</v>
      </c>
      <c r="D7362" t="s">
        <v>809</v>
      </c>
      <c r="F7362">
        <v>4.44380395335525E-9</v>
      </c>
      <c r="G7362">
        <v>80099221</v>
      </c>
      <c r="H7362">
        <v>0</v>
      </c>
      <c r="I7362">
        <v>80131861</v>
      </c>
      <c r="J7362">
        <v>2</v>
      </c>
    </row>
    <row r="7363" spans="1:10" x14ac:dyDescent="0.25">
      <c r="A7363" t="s">
        <v>66</v>
      </c>
      <c r="B7363" s="1" t="str">
        <f>HYPERLINK("http://georgianbmw.ca","georgianbmw.ca")</f>
        <v>georgianbmw.ca</v>
      </c>
      <c r="C7363" t="s">
        <v>428</v>
      </c>
      <c r="D7363" t="s">
        <v>809</v>
      </c>
      <c r="F7363">
        <v>6.57715522817285E-9</v>
      </c>
      <c r="G7363">
        <v>13764631</v>
      </c>
      <c r="H7363">
        <v>10870826</v>
      </c>
      <c r="I7363">
        <v>36483964</v>
      </c>
      <c r="J7363">
        <v>6</v>
      </c>
    </row>
    <row r="7364" spans="1:10" x14ac:dyDescent="0.25">
      <c r="A7364" t="s">
        <v>66</v>
      </c>
      <c r="B7364" s="1" t="str">
        <f>HYPERLINK("http://mini.ca","mini.ca")</f>
        <v>mini.ca</v>
      </c>
      <c r="C7364" t="s">
        <v>428</v>
      </c>
      <c r="D7364" t="s">
        <v>809</v>
      </c>
      <c r="E7364">
        <v>788775</v>
      </c>
      <c r="F7364">
        <v>6.0014961742042395E-8</v>
      </c>
      <c r="G7364">
        <v>735580</v>
      </c>
      <c r="H7364">
        <v>14502121</v>
      </c>
      <c r="I7364">
        <v>847312</v>
      </c>
      <c r="J7364">
        <v>6</v>
      </c>
    </row>
    <row r="7365" spans="1:10" x14ac:dyDescent="0.25">
      <c r="A7365" t="s">
        <v>66</v>
      </c>
      <c r="B7365" s="1" t="str">
        <f>HYPERLINK("http://supraconnect.ca","supraconnect.ca")</f>
        <v>supraconnect.ca</v>
      </c>
      <c r="C7365" t="s">
        <v>428</v>
      </c>
      <c r="D7365" t="s">
        <v>809</v>
      </c>
      <c r="F7365">
        <v>4.9292761005630703E-9</v>
      </c>
      <c r="G7365">
        <v>31400271</v>
      </c>
      <c r="H7365">
        <v>12174199</v>
      </c>
      <c r="I7365">
        <v>23954416</v>
      </c>
      <c r="J7365">
        <v>2</v>
      </c>
    </row>
    <row r="7366" spans="1:10" x14ac:dyDescent="0.25">
      <c r="A7366" t="s">
        <v>66</v>
      </c>
      <c r="B7366" s="1" t="str">
        <f>HYPERLINK("http://alphabet.ch","alphabet.ch")</f>
        <v>alphabet.ch</v>
      </c>
      <c r="C7366" t="s">
        <v>429</v>
      </c>
      <c r="D7366" t="s">
        <v>810</v>
      </c>
      <c r="F7366">
        <v>6.2463873892441403E-9</v>
      </c>
      <c r="G7366">
        <v>15293100</v>
      </c>
      <c r="H7366">
        <v>12157844</v>
      </c>
      <c r="I7366">
        <v>24424014</v>
      </c>
      <c r="J7366">
        <v>2</v>
      </c>
    </row>
    <row r="7367" spans="1:10" x14ac:dyDescent="0.25">
      <c r="A7367" t="s">
        <v>66</v>
      </c>
      <c r="B7367" s="1" t="str">
        <f>HYPERLINK("http://beutler-auto.ch","beutler-auto.ch")</f>
        <v>beutler-auto.ch</v>
      </c>
      <c r="C7367" t="s">
        <v>429</v>
      </c>
      <c r="D7367" t="s">
        <v>810</v>
      </c>
      <c r="J7367">
        <v>6</v>
      </c>
    </row>
    <row r="7368" spans="1:10" x14ac:dyDescent="0.25">
      <c r="A7368" t="s">
        <v>66</v>
      </c>
      <c r="B7368" s="1" t="str">
        <f>HYPERLINK("http://binelli.ch","binelli.ch")</f>
        <v>binelli.ch</v>
      </c>
      <c r="C7368" t="s">
        <v>429</v>
      </c>
      <c r="D7368" t="s">
        <v>810</v>
      </c>
      <c r="F7368">
        <v>5.7749587200776104E-9</v>
      </c>
      <c r="G7368">
        <v>18286353</v>
      </c>
      <c r="H7368">
        <v>11051279</v>
      </c>
      <c r="I7368">
        <v>32782910</v>
      </c>
      <c r="J7368">
        <v>6</v>
      </c>
    </row>
    <row r="7369" spans="1:10" x14ac:dyDescent="0.25">
      <c r="A7369" t="s">
        <v>66</v>
      </c>
      <c r="B7369" s="1" t="str">
        <f>HYPERLINK("http://bmw.ch","bmw.ch")</f>
        <v>bmw.ch</v>
      </c>
      <c r="C7369" t="s">
        <v>429</v>
      </c>
      <c r="D7369" t="s">
        <v>810</v>
      </c>
      <c r="E7369">
        <v>374192</v>
      </c>
      <c r="F7369">
        <v>2.3095267972425101E-7</v>
      </c>
      <c r="G7369">
        <v>162665</v>
      </c>
      <c r="H7369">
        <v>14169374</v>
      </c>
      <c r="I7369">
        <v>1807617</v>
      </c>
      <c r="J7369">
        <v>2</v>
      </c>
    </row>
    <row r="7370" spans="1:10" x14ac:dyDescent="0.25">
      <c r="A7370" t="s">
        <v>66</v>
      </c>
      <c r="B7370" s="1" t="str">
        <f>HYPERLINK("http://bmw-motorrad.ch","bmw-motorrad.ch")</f>
        <v>bmw-motorrad.ch</v>
      </c>
      <c r="C7370" t="s">
        <v>429</v>
      </c>
      <c r="D7370" t="s">
        <v>810</v>
      </c>
      <c r="F7370">
        <v>5.1667250443646002E-8</v>
      </c>
      <c r="G7370">
        <v>884868</v>
      </c>
      <c r="H7370">
        <v>14074218</v>
      </c>
      <c r="I7370">
        <v>2951593</v>
      </c>
      <c r="J7370">
        <v>3</v>
      </c>
    </row>
    <row r="7371" spans="1:10" x14ac:dyDescent="0.25">
      <c r="A7371" t="s">
        <v>66</v>
      </c>
      <c r="B7371" s="1" t="str">
        <f>HYPERLINK("http://mini.ch","mini.ch")</f>
        <v>mini.ch</v>
      </c>
      <c r="C7371" t="s">
        <v>429</v>
      </c>
      <c r="D7371" t="s">
        <v>810</v>
      </c>
      <c r="F7371">
        <v>5.9153926502293103E-8</v>
      </c>
      <c r="G7371">
        <v>749272</v>
      </c>
      <c r="H7371">
        <v>13783132</v>
      </c>
      <c r="I7371">
        <v>6429567</v>
      </c>
      <c r="J7371">
        <v>4</v>
      </c>
    </row>
    <row r="7372" spans="1:10" x14ac:dyDescent="0.25">
      <c r="A7372" t="s">
        <v>66</v>
      </c>
      <c r="B7372" s="1" t="str">
        <f>HYPERLINK("http://bmw.ci","bmw.ci")</f>
        <v>bmw.ci</v>
      </c>
      <c r="C7372" t="s">
        <v>539</v>
      </c>
      <c r="D7372" t="s">
        <v>899</v>
      </c>
      <c r="F7372">
        <v>8.0861305206236002E-9</v>
      </c>
      <c r="G7372">
        <v>9766388</v>
      </c>
      <c r="H7372">
        <v>12367297</v>
      </c>
      <c r="I7372">
        <v>19460425</v>
      </c>
      <c r="J7372">
        <v>3</v>
      </c>
    </row>
    <row r="7373" spans="1:10" x14ac:dyDescent="0.25">
      <c r="A7373" t="s">
        <v>66</v>
      </c>
      <c r="B7373" s="1" t="str">
        <f>HYPERLINK("http://bmw.cl","bmw.cl")</f>
        <v>bmw.cl</v>
      </c>
      <c r="C7373" t="s">
        <v>430</v>
      </c>
      <c r="D7373" t="s">
        <v>811</v>
      </c>
      <c r="F7373">
        <v>2.5281284118896299E-8</v>
      </c>
      <c r="G7373">
        <v>2041202</v>
      </c>
      <c r="H7373">
        <v>12443422</v>
      </c>
      <c r="I7373">
        <v>18101742</v>
      </c>
      <c r="J7373">
        <v>2</v>
      </c>
    </row>
    <row r="7374" spans="1:10" x14ac:dyDescent="0.25">
      <c r="A7374" t="s">
        <v>66</v>
      </c>
      <c r="B7374" s="1" t="str">
        <f>HYPERLINK("http://bmw-motorrad.cl","bmw-motorrad.cl")</f>
        <v>bmw-motorrad.cl</v>
      </c>
      <c r="C7374" t="s">
        <v>430</v>
      </c>
      <c r="D7374" t="s">
        <v>811</v>
      </c>
      <c r="F7374">
        <v>8.1316189917099303E-9</v>
      </c>
      <c r="G7374">
        <v>9687308</v>
      </c>
      <c r="H7374">
        <v>13163590</v>
      </c>
      <c r="I7374">
        <v>11753448</v>
      </c>
      <c r="J7374">
        <v>2</v>
      </c>
    </row>
    <row r="7375" spans="1:10" x14ac:dyDescent="0.25">
      <c r="A7375" t="s">
        <v>66</v>
      </c>
      <c r="B7375" s="1" t="str">
        <f>HYPERLINK("http://mini.cl","mini.cl")</f>
        <v>mini.cl</v>
      </c>
      <c r="C7375" t="s">
        <v>430</v>
      </c>
      <c r="D7375" t="s">
        <v>811</v>
      </c>
      <c r="F7375">
        <v>9.9880548364352305E-9</v>
      </c>
      <c r="G7375">
        <v>6767714</v>
      </c>
      <c r="H7375">
        <v>13159750</v>
      </c>
      <c r="I7375">
        <v>11788691</v>
      </c>
      <c r="J7375">
        <v>4</v>
      </c>
    </row>
    <row r="7376" spans="1:10" x14ac:dyDescent="0.25">
      <c r="A7376" t="s">
        <v>66</v>
      </c>
      <c r="B7376" s="1" t="str">
        <f>HYPERLINK("http://bmw.cloud","bmw.cloud")</f>
        <v>bmw.cloud</v>
      </c>
      <c r="C7376" t="s">
        <v>516</v>
      </c>
      <c r="E7376">
        <v>46634</v>
      </c>
      <c r="F7376">
        <v>1.41320149174447E-7</v>
      </c>
      <c r="G7376">
        <v>275579</v>
      </c>
      <c r="H7376">
        <v>13790227</v>
      </c>
      <c r="I7376">
        <v>6349048</v>
      </c>
      <c r="J7376">
        <v>2</v>
      </c>
    </row>
    <row r="7377" spans="1:10" x14ac:dyDescent="0.25">
      <c r="A7377" t="s">
        <v>66</v>
      </c>
      <c r="B7377" s="1" t="str">
        <f>HYPERLINK("http://bmw-motorrad.cn","bmw-motorrad.cn")</f>
        <v>bmw-motorrad.cn</v>
      </c>
      <c r="C7377" t="s">
        <v>431</v>
      </c>
      <c r="D7377" t="s">
        <v>812</v>
      </c>
      <c r="J7377">
        <v>2</v>
      </c>
    </row>
    <row r="7378" spans="1:10" x14ac:dyDescent="0.25">
      <c r="A7378" t="s">
        <v>66</v>
      </c>
      <c r="B7378" s="1" t="str">
        <f>HYPERLINK("http://bmwbrill.cn","bmwbrill.cn")</f>
        <v>bmwbrill.cn</v>
      </c>
      <c r="C7378" t="s">
        <v>431</v>
      </c>
      <c r="D7378" t="s">
        <v>812</v>
      </c>
      <c r="J7378">
        <v>2</v>
      </c>
    </row>
    <row r="7379" spans="1:10" x14ac:dyDescent="0.25">
      <c r="A7379" t="s">
        <v>66</v>
      </c>
      <c r="B7379" s="1" t="str">
        <f>HYPERLINK("http://bmwgroup.cn","bmwgroup.cn")</f>
        <v>bmwgroup.cn</v>
      </c>
      <c r="C7379" t="s">
        <v>431</v>
      </c>
      <c r="D7379" t="s">
        <v>812</v>
      </c>
      <c r="F7379">
        <v>1.9784276061937801E-8</v>
      </c>
      <c r="G7379">
        <v>2695726</v>
      </c>
      <c r="H7379">
        <v>10793955</v>
      </c>
      <c r="I7379">
        <v>38355092</v>
      </c>
      <c r="J7379">
        <v>2</v>
      </c>
    </row>
    <row r="7380" spans="1:10" x14ac:dyDescent="0.25">
      <c r="A7380" t="s">
        <v>66</v>
      </c>
      <c r="B7380" s="1" t="str">
        <f>HYPERLINK("http://bmwgroupdesignworks.cn","bmwgroupdesignworks.cn")</f>
        <v>bmwgroupdesignworks.cn</v>
      </c>
      <c r="C7380" t="s">
        <v>431</v>
      </c>
      <c r="D7380" t="s">
        <v>812</v>
      </c>
      <c r="F7380">
        <v>7.9659956122380398E-9</v>
      </c>
      <c r="G7380">
        <v>9983865</v>
      </c>
      <c r="H7380">
        <v>10869910</v>
      </c>
      <c r="I7380">
        <v>36506214</v>
      </c>
      <c r="J7380">
        <v>7</v>
      </c>
    </row>
    <row r="7381" spans="1:10" x14ac:dyDescent="0.25">
      <c r="A7381" t="s">
        <v>66</v>
      </c>
      <c r="B7381" s="1" t="str">
        <f>HYPERLINK("http://alphabet.com.cn","alphabet.com.cn")</f>
        <v>alphabet.com.cn</v>
      </c>
      <c r="C7381" t="s">
        <v>431</v>
      </c>
      <c r="D7381" t="s">
        <v>812</v>
      </c>
      <c r="J7381">
        <v>2</v>
      </c>
    </row>
    <row r="7382" spans="1:10" x14ac:dyDescent="0.25">
      <c r="A7382" t="s">
        <v>66</v>
      </c>
      <c r="B7382" s="1" t="str">
        <f>HYPERLINK("http://bmw-afc.com.cn","bmw-afc.com.cn")</f>
        <v>bmw-afc.com.cn</v>
      </c>
      <c r="C7382" t="s">
        <v>431</v>
      </c>
      <c r="D7382" t="s">
        <v>812</v>
      </c>
      <c r="F7382">
        <v>1.9784276869618299E-8</v>
      </c>
      <c r="G7382">
        <v>2695725</v>
      </c>
      <c r="H7382">
        <v>10793955</v>
      </c>
      <c r="I7382">
        <v>38355093</v>
      </c>
      <c r="J7382">
        <v>2</v>
      </c>
    </row>
    <row r="7383" spans="1:10" x14ac:dyDescent="0.25">
      <c r="A7383" t="s">
        <v>66</v>
      </c>
      <c r="B7383" s="1" t="str">
        <f>HYPERLINK("http://bmw-motorrad.com.cn","bmw-motorrad.com.cn")</f>
        <v>bmw-motorrad.com.cn</v>
      </c>
      <c r="C7383" t="s">
        <v>431</v>
      </c>
      <c r="D7383" t="s">
        <v>812</v>
      </c>
      <c r="F7383">
        <v>2.0324892186490698E-8</v>
      </c>
      <c r="G7383">
        <v>2610375</v>
      </c>
      <c r="H7383">
        <v>12322642</v>
      </c>
      <c r="I7383">
        <v>20364373</v>
      </c>
      <c r="J7383">
        <v>3</v>
      </c>
    </row>
    <row r="7384" spans="1:10" x14ac:dyDescent="0.25">
      <c r="A7384" t="s">
        <v>66</v>
      </c>
      <c r="B7384" s="1" t="str">
        <f>HYPERLINK("http://bmw-rmi.com.cn","bmw-rmi.com.cn")</f>
        <v>bmw-rmi.com.cn</v>
      </c>
      <c r="C7384" t="s">
        <v>431</v>
      </c>
      <c r="D7384" t="s">
        <v>812</v>
      </c>
      <c r="J7384">
        <v>2</v>
      </c>
    </row>
    <row r="7385" spans="1:10" x14ac:dyDescent="0.25">
      <c r="A7385" t="s">
        <v>66</v>
      </c>
      <c r="B7385" s="1" t="str">
        <f>HYPERLINK("http://bmwgroup.com.cn","bmwgroup.com.cn")</f>
        <v>bmwgroup.com.cn</v>
      </c>
      <c r="C7385" t="s">
        <v>431</v>
      </c>
      <c r="D7385" t="s">
        <v>812</v>
      </c>
      <c r="F7385">
        <v>8.0709334067527801E-9</v>
      </c>
      <c r="G7385">
        <v>9792779</v>
      </c>
      <c r="H7385">
        <v>12396134</v>
      </c>
      <c r="I7385">
        <v>18917107</v>
      </c>
      <c r="J7385">
        <v>2</v>
      </c>
    </row>
    <row r="7386" spans="1:10" x14ac:dyDescent="0.25">
      <c r="A7386" t="s">
        <v>66</v>
      </c>
      <c r="B7386" s="1" t="str">
        <f>HYPERLINK("http://minichina.com.cn","minichina.com.cn")</f>
        <v>minichina.com.cn</v>
      </c>
      <c r="C7386" t="s">
        <v>431</v>
      </c>
      <c r="D7386" t="s">
        <v>812</v>
      </c>
      <c r="E7386">
        <v>352588</v>
      </c>
      <c r="F7386">
        <v>7.5676791153254895E-8</v>
      </c>
      <c r="G7386">
        <v>555430</v>
      </c>
      <c r="H7386">
        <v>13583621</v>
      </c>
      <c r="I7386">
        <v>9681132</v>
      </c>
      <c r="J7386">
        <v>2</v>
      </c>
    </row>
    <row r="7387" spans="1:10" x14ac:dyDescent="0.25">
      <c r="A7387" t="s">
        <v>66</v>
      </c>
      <c r="B7387" s="1" t="str">
        <f>HYPERLINK("http://rolls-roycemotorcars.com.cn","rolls-roycemotorcars.com.cn")</f>
        <v>rolls-roycemotorcars.com.cn</v>
      </c>
      <c r="C7387" t="s">
        <v>431</v>
      </c>
      <c r="D7387" t="s">
        <v>812</v>
      </c>
      <c r="E7387">
        <v>527964</v>
      </c>
      <c r="F7387">
        <v>5.4413491776510903E-8</v>
      </c>
      <c r="G7387">
        <v>829645</v>
      </c>
      <c r="H7387">
        <v>14187804</v>
      </c>
      <c r="I7387">
        <v>1765494</v>
      </c>
      <c r="J7387">
        <v>3</v>
      </c>
    </row>
    <row r="7388" spans="1:10" x14ac:dyDescent="0.25">
      <c r="A7388" t="s">
        <v>66</v>
      </c>
      <c r="B7388" s="1" t="str">
        <f>HYPERLINK("http://alphabet.net.cn","alphabet.net.cn")</f>
        <v>alphabet.net.cn</v>
      </c>
      <c r="C7388" t="s">
        <v>431</v>
      </c>
      <c r="D7388" t="s">
        <v>812</v>
      </c>
      <c r="J7388">
        <v>2</v>
      </c>
    </row>
    <row r="7389" spans="1:10" x14ac:dyDescent="0.25">
      <c r="A7389" t="s">
        <v>66</v>
      </c>
      <c r="B7389" s="1" t="str">
        <f>HYPERLINK("http://bmw-motorrad.co","bmw-motorrad.co")</f>
        <v>bmw-motorrad.co</v>
      </c>
      <c r="C7389" t="s">
        <v>432</v>
      </c>
      <c r="F7389">
        <v>7.2263185595692003E-9</v>
      </c>
      <c r="G7389">
        <v>11667035</v>
      </c>
      <c r="H7389">
        <v>12086080</v>
      </c>
      <c r="I7389">
        <v>26380685</v>
      </c>
      <c r="J7389">
        <v>2</v>
      </c>
    </row>
    <row r="7390" spans="1:10" x14ac:dyDescent="0.25">
      <c r="A7390" t="s">
        <v>66</v>
      </c>
      <c r="B7390" s="1" t="str">
        <f>HYPERLINK("http://bmw.com.co","bmw.com.co")</f>
        <v>bmw.com.co</v>
      </c>
      <c r="C7390" t="s">
        <v>432</v>
      </c>
      <c r="F7390">
        <v>2.1180603585858099E-8</v>
      </c>
      <c r="G7390">
        <v>2490184</v>
      </c>
      <c r="H7390">
        <v>13766786</v>
      </c>
      <c r="I7390">
        <v>6975562</v>
      </c>
      <c r="J7390">
        <v>2</v>
      </c>
    </row>
    <row r="7391" spans="1:10" x14ac:dyDescent="0.25">
      <c r="A7391" t="s">
        <v>66</v>
      </c>
      <c r="B7391" s="1" t="str">
        <f>HYPERLINK("http://mini.com.co","mini.com.co")</f>
        <v>mini.com.co</v>
      </c>
      <c r="C7391" t="s">
        <v>432</v>
      </c>
      <c r="F7391">
        <v>1.19871299476028E-8</v>
      </c>
      <c r="G7391">
        <v>5184579</v>
      </c>
      <c r="H7391">
        <v>13880890</v>
      </c>
      <c r="I7391">
        <v>5981698</v>
      </c>
      <c r="J7391">
        <v>3</v>
      </c>
    </row>
    <row r="7392" spans="1:10" x14ac:dyDescent="0.25">
      <c r="A7392" t="s">
        <v>66</v>
      </c>
      <c r="B7392" s="1" t="str">
        <f>HYPERLINK("http://6eme-avenue.com","6eme-avenue.com")</f>
        <v>6eme-avenue.com</v>
      </c>
      <c r="C7392" t="s">
        <v>433</v>
      </c>
      <c r="F7392">
        <v>7.2737249146078503E-9</v>
      </c>
      <c r="G7392">
        <v>11544765</v>
      </c>
      <c r="H7392">
        <v>10434362</v>
      </c>
      <c r="I7392">
        <v>52886071</v>
      </c>
      <c r="J7392">
        <v>4</v>
      </c>
    </row>
    <row r="7393" spans="1:10" x14ac:dyDescent="0.25">
      <c r="A7393" t="s">
        <v>66</v>
      </c>
      <c r="B7393" s="1" t="str">
        <f>HYPERLINK("http://alphabet.com","alphabet.com")</f>
        <v>alphabet.com</v>
      </c>
      <c r="C7393" t="s">
        <v>433</v>
      </c>
      <c r="E7393">
        <v>133351</v>
      </c>
      <c r="F7393">
        <v>3.5180250528938499E-7</v>
      </c>
      <c r="G7393">
        <v>106279</v>
      </c>
      <c r="H7393">
        <v>15242613</v>
      </c>
      <c r="I7393">
        <v>391057</v>
      </c>
      <c r="J7393">
        <v>2</v>
      </c>
    </row>
    <row r="7394" spans="1:10" x14ac:dyDescent="0.25">
      <c r="A7394" t="s">
        <v>66</v>
      </c>
      <c r="B7394" s="1" t="str">
        <f>HYPERLINK("http://alphera.com","alphera.com")</f>
        <v>alphera.com</v>
      </c>
      <c r="C7394" t="s">
        <v>433</v>
      </c>
      <c r="F7394">
        <v>7.8348541063249705E-9</v>
      </c>
      <c r="G7394">
        <v>10245553</v>
      </c>
      <c r="H7394">
        <v>10637597</v>
      </c>
      <c r="I7394">
        <v>43820647</v>
      </c>
      <c r="J7394">
        <v>2</v>
      </c>
    </row>
    <row r="7395" spans="1:10" x14ac:dyDescent="0.25">
      <c r="A7395" t="s">
        <v>66</v>
      </c>
      <c r="B7395" s="1" t="str">
        <f>HYPERLINK("http://autocrocetta.com","autocrocetta.com")</f>
        <v>autocrocetta.com</v>
      </c>
      <c r="C7395" t="s">
        <v>433</v>
      </c>
      <c r="F7395">
        <v>9.4433366898891203E-9</v>
      </c>
      <c r="G7395">
        <v>7390900</v>
      </c>
      <c r="H7395">
        <v>12228149</v>
      </c>
      <c r="I7395">
        <v>22552425</v>
      </c>
      <c r="J7395">
        <v>5</v>
      </c>
    </row>
    <row r="7396" spans="1:10" x14ac:dyDescent="0.25">
      <c r="A7396" t="s">
        <v>66</v>
      </c>
      <c r="B7396" s="1" t="str">
        <f>HYPERLINK("http://bawariamotors.com","bawariamotors.com")</f>
        <v>bawariamotors.com</v>
      </c>
      <c r="C7396" t="s">
        <v>433</v>
      </c>
      <c r="F7396">
        <v>4.44380395335525E-9</v>
      </c>
      <c r="G7396">
        <v>80812491</v>
      </c>
      <c r="H7396">
        <v>0</v>
      </c>
      <c r="I7396">
        <v>81053519</v>
      </c>
      <c r="J7396">
        <v>8</v>
      </c>
    </row>
    <row r="7397" spans="1:10" x14ac:dyDescent="0.25">
      <c r="A7397" t="s">
        <v>66</v>
      </c>
      <c r="B7397" s="1" t="str">
        <f>HYPERLINK("http://billjacobsbmw.com","billjacobsbmw.com")</f>
        <v>billjacobsbmw.com</v>
      </c>
      <c r="C7397" t="s">
        <v>433</v>
      </c>
      <c r="F7397">
        <v>1.3570650216684999E-8</v>
      </c>
      <c r="G7397">
        <v>4374255</v>
      </c>
      <c r="H7397">
        <v>12535748</v>
      </c>
      <c r="I7397">
        <v>16980431</v>
      </c>
      <c r="J7397">
        <v>6</v>
      </c>
    </row>
    <row r="7398" spans="1:10" x14ac:dyDescent="0.25">
      <c r="A7398" t="s">
        <v>66</v>
      </c>
      <c r="B7398" s="1" t="str">
        <f>HYPERLINK("http://bmw.com","bmw.com")</f>
        <v>bmw.com</v>
      </c>
      <c r="C7398" t="s">
        <v>433</v>
      </c>
      <c r="E7398">
        <v>12627</v>
      </c>
      <c r="F7398">
        <v>2.95286877246452E-6</v>
      </c>
      <c r="G7398">
        <v>13138</v>
      </c>
      <c r="H7398">
        <v>17727070</v>
      </c>
      <c r="I7398">
        <v>6795</v>
      </c>
      <c r="J7398">
        <v>3</v>
      </c>
    </row>
    <row r="7399" spans="1:10" x14ac:dyDescent="0.25">
      <c r="A7399" t="s">
        <v>66</v>
      </c>
      <c r="B7399" s="1" t="str">
        <f>HYPERLINK("http://bmw-abudhabi.com","bmw-abudhabi.com")</f>
        <v>bmw-abudhabi.com</v>
      </c>
      <c r="C7399" t="s">
        <v>433</v>
      </c>
      <c r="F7399">
        <v>2.2656321794475401E-8</v>
      </c>
      <c r="G7399">
        <v>2311436</v>
      </c>
      <c r="H7399">
        <v>12475517</v>
      </c>
      <c r="I7399">
        <v>17641886</v>
      </c>
      <c r="J7399">
        <v>4</v>
      </c>
    </row>
    <row r="7400" spans="1:10" x14ac:dyDescent="0.25">
      <c r="A7400" t="s">
        <v>66</v>
      </c>
      <c r="B7400" s="1" t="str">
        <f>HYPERLINK("http://bmw-arnold.com","bmw-arnold.com")</f>
        <v>bmw-arnold.com</v>
      </c>
      <c r="C7400" t="s">
        <v>433</v>
      </c>
      <c r="F7400">
        <v>1.2121707085392399E-8</v>
      </c>
      <c r="G7400">
        <v>5096437</v>
      </c>
      <c r="H7400">
        <v>12720047</v>
      </c>
      <c r="I7400">
        <v>15252477</v>
      </c>
      <c r="J7400">
        <v>6</v>
      </c>
    </row>
    <row r="7401" spans="1:10" x14ac:dyDescent="0.25">
      <c r="A7401" t="s">
        <v>66</v>
      </c>
      <c r="B7401" s="1" t="str">
        <f>HYPERLINK("http://bmw-asia.com","bmw-asia.com")</f>
        <v>bmw-asia.com</v>
      </c>
      <c r="C7401" t="s">
        <v>433</v>
      </c>
      <c r="F7401">
        <v>1.2659353022535099E-8</v>
      </c>
      <c r="G7401">
        <v>4799996</v>
      </c>
      <c r="H7401">
        <v>13765211</v>
      </c>
      <c r="I7401">
        <v>7128687</v>
      </c>
      <c r="J7401">
        <v>4</v>
      </c>
    </row>
    <row r="7402" spans="1:10" x14ac:dyDescent="0.25">
      <c r="A7402" t="s">
        <v>66</v>
      </c>
      <c r="B7402" s="1" t="str">
        <f>HYPERLINK("http://bmw-m.com","bmw-m.com")</f>
        <v>bmw-m.com</v>
      </c>
      <c r="C7402" t="s">
        <v>433</v>
      </c>
      <c r="E7402">
        <v>205509</v>
      </c>
      <c r="F7402">
        <v>2.96837488739936E-7</v>
      </c>
      <c r="G7402">
        <v>125306</v>
      </c>
      <c r="H7402">
        <v>14384523</v>
      </c>
      <c r="I7402">
        <v>1182338</v>
      </c>
      <c r="J7402">
        <v>2</v>
      </c>
    </row>
    <row r="7403" spans="1:10" x14ac:dyDescent="0.25">
      <c r="A7403" t="s">
        <v>66</v>
      </c>
      <c r="B7403" s="1" t="str">
        <f>HYPERLINK("http://bmw-motorrad.com","bmw-motorrad.com")</f>
        <v>bmw-motorrad.com</v>
      </c>
      <c r="C7403" t="s">
        <v>433</v>
      </c>
      <c r="E7403">
        <v>121653</v>
      </c>
      <c r="F7403">
        <v>3.9851697288797701E-7</v>
      </c>
      <c r="G7403">
        <v>94172</v>
      </c>
      <c r="H7403">
        <v>17173756</v>
      </c>
      <c r="I7403">
        <v>46919</v>
      </c>
      <c r="J7403">
        <v>2</v>
      </c>
    </row>
    <row r="7404" spans="1:10" x14ac:dyDescent="0.25">
      <c r="A7404" t="s">
        <v>66</v>
      </c>
      <c r="B7404" s="1" t="str">
        <f>HYPERLINK("http://bmw-motorrad-abudhabi.com","bmw-motorrad-abudhabi.com")</f>
        <v>bmw-motorrad-abudhabi.com</v>
      </c>
      <c r="C7404" t="s">
        <v>433</v>
      </c>
      <c r="F7404">
        <v>6.3787417719479198E-9</v>
      </c>
      <c r="G7404">
        <v>14622884</v>
      </c>
      <c r="H7404">
        <v>12092790</v>
      </c>
      <c r="I7404">
        <v>26163419</v>
      </c>
      <c r="J7404">
        <v>2</v>
      </c>
    </row>
    <row r="7405" spans="1:10" x14ac:dyDescent="0.25">
      <c r="A7405" t="s">
        <v>66</v>
      </c>
      <c r="B7405" s="1" t="str">
        <f>HYPERLINK("http://bmw-motorrad-dubai.com","bmw-motorrad-dubai.com")</f>
        <v>bmw-motorrad-dubai.com</v>
      </c>
      <c r="C7405" t="s">
        <v>433</v>
      </c>
      <c r="F7405">
        <v>6.66738934240466E-9</v>
      </c>
      <c r="G7405">
        <v>13421267</v>
      </c>
      <c r="H7405">
        <v>12084243</v>
      </c>
      <c r="I7405">
        <v>26457193</v>
      </c>
      <c r="J7405">
        <v>2</v>
      </c>
    </row>
    <row r="7406" spans="1:10" x14ac:dyDescent="0.25">
      <c r="A7406" t="s">
        <v>66</v>
      </c>
      <c r="B7406" s="1" t="str">
        <f>HYPERLINK("http://bmw-plant-hamshall.com","bmw-plant-hamshall.com")</f>
        <v>bmw-plant-hamshall.com</v>
      </c>
      <c r="C7406" t="s">
        <v>433</v>
      </c>
      <c r="F7406">
        <v>4.6347441539677002E-9</v>
      </c>
      <c r="G7406">
        <v>45110056</v>
      </c>
      <c r="H7406">
        <v>10726371</v>
      </c>
      <c r="I7406">
        <v>41244621</v>
      </c>
      <c r="J7406">
        <v>4</v>
      </c>
    </row>
    <row r="7407" spans="1:10" x14ac:dyDescent="0.25">
      <c r="A7407" t="s">
        <v>66</v>
      </c>
      <c r="B7407" s="1" t="str">
        <f>HYPERLINK("http://bmw-prod2.com","bmw-prod2.com")</f>
        <v>bmw-prod2.com</v>
      </c>
      <c r="C7407" t="s">
        <v>433</v>
      </c>
      <c r="E7407">
        <v>822380</v>
      </c>
      <c r="J7407">
        <v>2</v>
      </c>
    </row>
    <row r="7408" spans="1:10" x14ac:dyDescent="0.25">
      <c r="A7408" t="s">
        <v>66</v>
      </c>
      <c r="B7408" s="1" t="str">
        <f>HYPERLINK("http://bmw-prod3.com","bmw-prod3.com")</f>
        <v>bmw-prod3.com</v>
      </c>
      <c r="C7408" t="s">
        <v>433</v>
      </c>
      <c r="J7408">
        <v>2</v>
      </c>
    </row>
    <row r="7409" spans="1:10" x14ac:dyDescent="0.25">
      <c r="A7409" t="s">
        <v>66</v>
      </c>
      <c r="B7409" s="1" t="str">
        <f>HYPERLINK("http://bmw-zwingenberger.com","bmw-zwingenberger.com")</f>
        <v>bmw-zwingenberger.com</v>
      </c>
      <c r="C7409" t="s">
        <v>433</v>
      </c>
      <c r="F7409">
        <v>4.6019575345301999E-9</v>
      </c>
      <c r="G7409">
        <v>47453448</v>
      </c>
      <c r="H7409">
        <v>10774912</v>
      </c>
      <c r="I7409">
        <v>39078822</v>
      </c>
      <c r="J7409">
        <v>6</v>
      </c>
    </row>
    <row r="7410" spans="1:10" x14ac:dyDescent="0.25">
      <c r="A7410" t="s">
        <v>66</v>
      </c>
      <c r="B7410" s="1" t="str">
        <f>HYPERLINK("http://bmwdca.com","bmwdca.com")</f>
        <v>bmwdca.com</v>
      </c>
      <c r="C7410" t="s">
        <v>433</v>
      </c>
      <c r="F7410">
        <v>4.44380927664477E-9</v>
      </c>
      <c r="G7410">
        <v>79778709</v>
      </c>
      <c r="H7410">
        <v>10352960</v>
      </c>
      <c r="I7410">
        <v>55926012</v>
      </c>
      <c r="J7410">
        <v>2</v>
      </c>
    </row>
    <row r="7411" spans="1:10" x14ac:dyDescent="0.25">
      <c r="A7411" t="s">
        <v>66</v>
      </c>
      <c r="B7411" s="1" t="str">
        <f>HYPERLINK("http://bmwdealercareers.com","bmwdealercareers.com")</f>
        <v>bmwdealercareers.com</v>
      </c>
      <c r="C7411" t="s">
        <v>433</v>
      </c>
      <c r="F7411">
        <v>3.4251199885997999E-8</v>
      </c>
      <c r="G7411">
        <v>1513346</v>
      </c>
      <c r="H7411">
        <v>12336227</v>
      </c>
      <c r="I7411">
        <v>20082161</v>
      </c>
      <c r="J7411">
        <v>2</v>
      </c>
    </row>
    <row r="7412" spans="1:10" x14ac:dyDescent="0.25">
      <c r="A7412" t="s">
        <v>66</v>
      </c>
      <c r="B7412" s="1" t="str">
        <f>HYPERLINK("http://bmwdesmoines.com","bmwdesmoines.com")</f>
        <v>bmwdesmoines.com</v>
      </c>
      <c r="C7412" t="s">
        <v>433</v>
      </c>
      <c r="F7412">
        <v>7.8389900003623994E-9</v>
      </c>
      <c r="G7412">
        <v>10237116</v>
      </c>
      <c r="H7412">
        <v>13133604</v>
      </c>
      <c r="I7412">
        <v>11923169</v>
      </c>
      <c r="J7412">
        <v>6</v>
      </c>
    </row>
    <row r="7413" spans="1:10" x14ac:dyDescent="0.25">
      <c r="A7413" t="s">
        <v>66</v>
      </c>
      <c r="B7413" s="1" t="str">
        <f>HYPERLINK("http://bmwfin.com","bmwfin.com")</f>
        <v>bmwfin.com</v>
      </c>
      <c r="C7413" t="s">
        <v>433</v>
      </c>
      <c r="F7413">
        <v>4.7795613380563801E-9</v>
      </c>
      <c r="G7413">
        <v>36976923</v>
      </c>
      <c r="H7413">
        <v>10794644</v>
      </c>
      <c r="I7413">
        <v>38333034</v>
      </c>
      <c r="J7413">
        <v>5</v>
      </c>
    </row>
    <row r="7414" spans="1:10" x14ac:dyDescent="0.25">
      <c r="A7414" t="s">
        <v>66</v>
      </c>
      <c r="B7414" s="1" t="str">
        <f>HYPERLINK("http://bmwfs.com","bmwfs.com")</f>
        <v>bmwfs.com</v>
      </c>
      <c r="C7414" t="s">
        <v>433</v>
      </c>
      <c r="E7414">
        <v>210902</v>
      </c>
      <c r="F7414">
        <v>1.5824698598102899E-8</v>
      </c>
      <c r="G7414">
        <v>3592652</v>
      </c>
      <c r="H7414">
        <v>12884886</v>
      </c>
      <c r="I7414">
        <v>13969017</v>
      </c>
      <c r="J7414">
        <v>2</v>
      </c>
    </row>
    <row r="7415" spans="1:10" x14ac:dyDescent="0.25">
      <c r="A7415" t="s">
        <v>66</v>
      </c>
      <c r="B7415" s="1" t="str">
        <f>HYPERLINK("http://bmwgrandriver.com","bmwgrandriver.com")</f>
        <v>bmwgrandriver.com</v>
      </c>
      <c r="C7415" t="s">
        <v>433</v>
      </c>
      <c r="F7415">
        <v>6.9066971709796302E-9</v>
      </c>
      <c r="G7415">
        <v>12600497</v>
      </c>
      <c r="H7415">
        <v>12397683</v>
      </c>
      <c r="I7415">
        <v>18887302</v>
      </c>
      <c r="J7415">
        <v>6</v>
      </c>
    </row>
    <row r="7416" spans="1:10" x14ac:dyDescent="0.25">
      <c r="A7416" t="s">
        <v>66</v>
      </c>
      <c r="B7416" s="1" t="str">
        <f>HYPERLINK("http://bmwgroup.com","bmwgroup.com")</f>
        <v>bmwgroup.com</v>
      </c>
      <c r="C7416" t="s">
        <v>433</v>
      </c>
      <c r="E7416">
        <v>9987</v>
      </c>
      <c r="F7416">
        <v>3.40426967084056E-6</v>
      </c>
      <c r="G7416">
        <v>11874</v>
      </c>
      <c r="H7416">
        <v>17830706</v>
      </c>
      <c r="I7416">
        <v>5211</v>
      </c>
      <c r="J7416">
        <v>1</v>
      </c>
    </row>
    <row r="7417" spans="1:10" x14ac:dyDescent="0.25">
      <c r="A7417" t="s">
        <v>66</v>
      </c>
      <c r="B7417" s="1" t="str">
        <f>HYPERLINK("http://bmwgroup-classic.com","bmwgroup-classic.com")</f>
        <v>bmwgroup-classic.com</v>
      </c>
      <c r="C7417" t="s">
        <v>433</v>
      </c>
      <c r="E7417">
        <v>630407</v>
      </c>
      <c r="F7417">
        <v>2.4006138344349902E-7</v>
      </c>
      <c r="G7417">
        <v>155862</v>
      </c>
      <c r="H7417">
        <v>14095143</v>
      </c>
      <c r="I7417">
        <v>2730050</v>
      </c>
      <c r="J7417">
        <v>6</v>
      </c>
    </row>
    <row r="7418" spans="1:10" x14ac:dyDescent="0.25">
      <c r="A7418" t="s">
        <v>66</v>
      </c>
      <c r="B7418" s="1" t="str">
        <f>HYPERLINK("http://bmwgroup-posdigital.com","bmwgroup-posdigital.com")</f>
        <v>bmwgroup-posdigital.com</v>
      </c>
      <c r="C7418" t="s">
        <v>433</v>
      </c>
      <c r="E7418">
        <v>783249</v>
      </c>
      <c r="F7418">
        <v>4.6362834141918702E-9</v>
      </c>
      <c r="G7418">
        <v>45014095</v>
      </c>
      <c r="H7418">
        <v>10352964</v>
      </c>
      <c r="I7418">
        <v>55901559</v>
      </c>
      <c r="J7418">
        <v>2</v>
      </c>
    </row>
    <row r="7419" spans="1:10" x14ac:dyDescent="0.25">
      <c r="A7419" t="s">
        <v>66</v>
      </c>
      <c r="B7419" s="1" t="str">
        <f>HYPERLINK("http://bmwgroup-posdigital-integration.com","bmwgroup-posdigital-integration.com")</f>
        <v>bmwgroup-posdigital-integration.com</v>
      </c>
      <c r="C7419" t="s">
        <v>433</v>
      </c>
      <c r="J7419">
        <v>2</v>
      </c>
    </row>
    <row r="7420" spans="1:10" x14ac:dyDescent="0.25">
      <c r="A7420" t="s">
        <v>66</v>
      </c>
      <c r="B7420" s="1" t="str">
        <f>HYPERLINK("http://bmwgroup-werke.com","bmwgroup-werke.com")</f>
        <v>bmwgroup-werke.com</v>
      </c>
      <c r="C7420" t="s">
        <v>433</v>
      </c>
      <c r="E7420">
        <v>313619</v>
      </c>
      <c r="F7420">
        <v>3.2668286174068797E-7</v>
      </c>
      <c r="G7420">
        <v>114007</v>
      </c>
      <c r="H7420">
        <v>14936398</v>
      </c>
      <c r="I7420">
        <v>445254</v>
      </c>
      <c r="J7420">
        <v>5</v>
      </c>
    </row>
    <row r="7421" spans="1:10" x14ac:dyDescent="0.25">
      <c r="A7421" t="s">
        <v>66</v>
      </c>
      <c r="B7421" s="1" t="str">
        <f>HYPERLINK("http://bmwgroupdesignworks.com","bmwgroupdesignworks.com")</f>
        <v>bmwgroupdesignworks.com</v>
      </c>
      <c r="C7421" t="s">
        <v>433</v>
      </c>
      <c r="E7421">
        <v>839732</v>
      </c>
      <c r="F7421">
        <v>9.0632102066863497E-8</v>
      </c>
      <c r="G7421">
        <v>450008</v>
      </c>
      <c r="H7421">
        <v>14191546</v>
      </c>
      <c r="I7421">
        <v>1748787</v>
      </c>
      <c r="J7421">
        <v>6</v>
      </c>
    </row>
    <row r="7422" spans="1:10" x14ac:dyDescent="0.25">
      <c r="A7422" t="s">
        <v>66</v>
      </c>
      <c r="B7422" s="1" t="str">
        <f>HYPERLINK("http://bmwgroupfs.com","bmwgroupfs.com")</f>
        <v>bmwgroupfs.com</v>
      </c>
      <c r="C7422" t="s">
        <v>433</v>
      </c>
      <c r="F7422">
        <v>7.3945813912981898E-9</v>
      </c>
      <c r="G7422">
        <v>11256241</v>
      </c>
      <c r="H7422">
        <v>11042164</v>
      </c>
      <c r="I7422">
        <v>32897240</v>
      </c>
      <c r="J7422">
        <v>2</v>
      </c>
    </row>
    <row r="7423" spans="1:10" x14ac:dyDescent="0.25">
      <c r="A7423" t="s">
        <v>66</v>
      </c>
      <c r="B7423" s="1" t="str">
        <f>HYPERLINK("http://bmwhelicemotos.com","bmwhelicemotos.com")</f>
        <v>bmwhelicemotos.com</v>
      </c>
      <c r="C7423" t="s">
        <v>433</v>
      </c>
      <c r="F7423">
        <v>5.9644393941773499E-9</v>
      </c>
      <c r="G7423">
        <v>16916821</v>
      </c>
      <c r="H7423">
        <v>12028216</v>
      </c>
      <c r="I7423">
        <v>27694777</v>
      </c>
      <c r="J7423">
        <v>6</v>
      </c>
    </row>
    <row r="7424" spans="1:10" x14ac:dyDescent="0.25">
      <c r="A7424" t="s">
        <v>66</v>
      </c>
      <c r="B7424" s="1" t="str">
        <f>HYPERLINK("http://bmwhenderson.com","bmwhenderson.com")</f>
        <v>bmwhenderson.com</v>
      </c>
      <c r="C7424" t="s">
        <v>433</v>
      </c>
      <c r="F7424">
        <v>5.0712626747409098E-9</v>
      </c>
      <c r="G7424">
        <v>27763263</v>
      </c>
      <c r="H7424">
        <v>12097029</v>
      </c>
      <c r="I7424">
        <v>26052241</v>
      </c>
      <c r="J7424">
        <v>6</v>
      </c>
    </row>
    <row r="7425" spans="1:10" x14ac:dyDescent="0.25">
      <c r="A7425" t="s">
        <v>66</v>
      </c>
      <c r="B7425" s="1" t="str">
        <f>HYPERLINK("http://bmwidealm.com","bmwidealm.com")</f>
        <v>bmwidealm.com</v>
      </c>
      <c r="C7425" t="s">
        <v>433</v>
      </c>
      <c r="F7425">
        <v>5.7579847141963097E-9</v>
      </c>
      <c r="G7425">
        <v>18432722</v>
      </c>
      <c r="H7425">
        <v>12158998</v>
      </c>
      <c r="I7425">
        <v>24391070</v>
      </c>
      <c r="J7425">
        <v>6</v>
      </c>
    </row>
    <row r="7426" spans="1:10" x14ac:dyDescent="0.25">
      <c r="A7426" t="s">
        <v>66</v>
      </c>
      <c r="B7426" s="1" t="str">
        <f>HYPERLINK("http://bmwjamaica.com","bmwjamaica.com")</f>
        <v>bmwjamaica.com</v>
      </c>
      <c r="C7426" t="s">
        <v>433</v>
      </c>
      <c r="F7426">
        <v>1.70992136505417E-8</v>
      </c>
      <c r="G7426">
        <v>3260916</v>
      </c>
      <c r="H7426">
        <v>12451048</v>
      </c>
      <c r="I7426">
        <v>17984049</v>
      </c>
      <c r="J7426">
        <v>6</v>
      </c>
    </row>
    <row r="7427" spans="1:10" x14ac:dyDescent="0.25">
      <c r="A7427" t="s">
        <v>66</v>
      </c>
      <c r="B7427" s="1" t="str">
        <f>HYPERLINK("http://bmwlat.com","bmwlat.com")</f>
        <v>bmwlat.com</v>
      </c>
      <c r="C7427" t="s">
        <v>433</v>
      </c>
      <c r="F7427">
        <v>1.0778197347097699E-8</v>
      </c>
      <c r="G7427">
        <v>6038019</v>
      </c>
      <c r="H7427">
        <v>12578335</v>
      </c>
      <c r="I7427">
        <v>16528702</v>
      </c>
      <c r="J7427">
        <v>2</v>
      </c>
    </row>
    <row r="7428" spans="1:10" x14ac:dyDescent="0.25">
      <c r="A7428" t="s">
        <v>66</v>
      </c>
      <c r="B7428" s="1" t="str">
        <f>HYPERLINK("http://bmwmc.com","bmwmc.com")</f>
        <v>bmwmc.com</v>
      </c>
      <c r="C7428" t="s">
        <v>433</v>
      </c>
      <c r="F7428">
        <v>4.5265644646953697E-9</v>
      </c>
      <c r="G7428">
        <v>55429899</v>
      </c>
      <c r="H7428">
        <v>8395181</v>
      </c>
      <c r="I7428">
        <v>73420422</v>
      </c>
      <c r="J7428">
        <v>2</v>
      </c>
    </row>
    <row r="7429" spans="1:10" x14ac:dyDescent="0.25">
      <c r="A7429" t="s">
        <v>66</v>
      </c>
      <c r="B7429" s="1" t="str">
        <f>HYPERLINK("http://bmwmcext.com","bmwmcext.com")</f>
        <v>bmwmcext.com</v>
      </c>
      <c r="C7429" t="s">
        <v>433</v>
      </c>
      <c r="F7429">
        <v>4.44380927664477E-9</v>
      </c>
      <c r="G7429">
        <v>79778710</v>
      </c>
      <c r="H7429">
        <v>10352960</v>
      </c>
      <c r="I7429">
        <v>55926013</v>
      </c>
      <c r="J7429">
        <v>2</v>
      </c>
    </row>
    <row r="7430" spans="1:10" x14ac:dyDescent="0.25">
      <c r="A7430" t="s">
        <v>66</v>
      </c>
      <c r="B7430" s="1" t="str">
        <f>HYPERLINK("http://bmwmcjax.com","bmwmcjax.com")</f>
        <v>bmwmcjax.com</v>
      </c>
      <c r="C7430" t="s">
        <v>433</v>
      </c>
      <c r="F7430">
        <v>6.2143139645706999E-9</v>
      </c>
      <c r="G7430">
        <v>15459294</v>
      </c>
      <c r="H7430">
        <v>13361167</v>
      </c>
      <c r="I7430">
        <v>10516700</v>
      </c>
      <c r="J7430">
        <v>5</v>
      </c>
    </row>
    <row r="7431" spans="1:10" x14ac:dyDescent="0.25">
      <c r="A7431" t="s">
        <v>66</v>
      </c>
      <c r="B7431" s="1" t="str">
        <f>HYPERLINK("http://bmwmcseattle.com","bmwmcseattle.com")</f>
        <v>bmwmcseattle.com</v>
      </c>
      <c r="C7431" t="s">
        <v>433</v>
      </c>
      <c r="F7431">
        <v>4.9065116387999699E-9</v>
      </c>
      <c r="G7431">
        <v>32281342</v>
      </c>
      <c r="H7431">
        <v>12027791</v>
      </c>
      <c r="I7431">
        <v>27709478</v>
      </c>
      <c r="J7431">
        <v>6</v>
      </c>
    </row>
    <row r="7432" spans="1:10" x14ac:dyDescent="0.25">
      <c r="A7432" t="s">
        <v>66</v>
      </c>
      <c r="B7432" s="1" t="str">
        <f>HYPERLINK("http://bmwmoncton.com","bmwmoncton.com")</f>
        <v>bmwmoncton.com</v>
      </c>
      <c r="C7432" t="s">
        <v>433</v>
      </c>
      <c r="F7432">
        <v>6.6200912150535696E-9</v>
      </c>
      <c r="G7432">
        <v>13598174</v>
      </c>
      <c r="H7432">
        <v>10772302</v>
      </c>
      <c r="I7432">
        <v>39158781</v>
      </c>
      <c r="J7432">
        <v>6</v>
      </c>
    </row>
    <row r="7433" spans="1:10" x14ac:dyDescent="0.25">
      <c r="A7433" t="s">
        <v>66</v>
      </c>
      <c r="B7433" s="1" t="str">
        <f>HYPERLINK("http://bmwmonterey.com","bmwmonterey.com")</f>
        <v>bmwmonterey.com</v>
      </c>
      <c r="C7433" t="s">
        <v>433</v>
      </c>
      <c r="F7433">
        <v>6.3133230716030803E-9</v>
      </c>
      <c r="G7433">
        <v>14967920</v>
      </c>
      <c r="H7433">
        <v>12993744</v>
      </c>
      <c r="I7433">
        <v>12830763</v>
      </c>
      <c r="J7433">
        <v>6</v>
      </c>
    </row>
    <row r="7434" spans="1:10" x14ac:dyDescent="0.25">
      <c r="A7434" t="s">
        <v>66</v>
      </c>
      <c r="B7434" s="1" t="str">
        <f>HYPERLINK("http://bmwmotorcycle.com","bmwmotorcycle.com")</f>
        <v>bmwmotorcycle.com</v>
      </c>
      <c r="C7434" t="s">
        <v>433</v>
      </c>
      <c r="F7434">
        <v>1.2637481146043199E-8</v>
      </c>
      <c r="G7434">
        <v>4811774</v>
      </c>
      <c r="H7434">
        <v>14123423</v>
      </c>
      <c r="I7434">
        <v>2174974</v>
      </c>
      <c r="J7434">
        <v>6</v>
      </c>
    </row>
    <row r="7435" spans="1:10" x14ac:dyDescent="0.25">
      <c r="A7435" t="s">
        <v>66</v>
      </c>
      <c r="B7435" s="1" t="str">
        <f>HYPERLINK("http://bmwmotorcycles.com","bmwmotorcycles.com")</f>
        <v>bmwmotorcycles.com</v>
      </c>
      <c r="C7435" t="s">
        <v>433</v>
      </c>
      <c r="E7435">
        <v>107799</v>
      </c>
      <c r="F7435">
        <v>2.45826466676811E-7</v>
      </c>
      <c r="G7435">
        <v>152185</v>
      </c>
      <c r="H7435">
        <v>15014875</v>
      </c>
      <c r="I7435">
        <v>422139</v>
      </c>
      <c r="J7435">
        <v>2</v>
      </c>
    </row>
    <row r="7436" spans="1:10" x14ac:dyDescent="0.25">
      <c r="A7436" t="s">
        <v>66</v>
      </c>
      <c r="B7436" s="1" t="str">
        <f>HYPERLINK("http://bmwmotorcyclesfs.com","bmwmotorcyclesfs.com")</f>
        <v>bmwmotorcyclesfs.com</v>
      </c>
      <c r="C7436" t="s">
        <v>433</v>
      </c>
      <c r="J7436">
        <v>2</v>
      </c>
    </row>
    <row r="7437" spans="1:10" x14ac:dyDescent="0.25">
      <c r="A7437" t="s">
        <v>66</v>
      </c>
      <c r="B7437" s="1" t="str">
        <f>HYPERLINK("http://bmwmotorrad-allsurface.com","bmwmotorrad-allsurface.com")</f>
        <v>bmwmotorrad-allsurface.com</v>
      </c>
      <c r="C7437" t="s">
        <v>433</v>
      </c>
      <c r="J7437">
        <v>2</v>
      </c>
    </row>
    <row r="7438" spans="1:10" x14ac:dyDescent="0.25">
      <c r="A7438" t="s">
        <v>66</v>
      </c>
      <c r="B7438" s="1" t="str">
        <f>HYPERLINK("http://bmwmotorradhk.com","bmwmotorradhk.com")</f>
        <v>bmwmotorradhk.com</v>
      </c>
      <c r="C7438" t="s">
        <v>433</v>
      </c>
      <c r="F7438">
        <v>7.7963958288508897E-9</v>
      </c>
      <c r="G7438">
        <v>10330741</v>
      </c>
      <c r="H7438">
        <v>12120799</v>
      </c>
      <c r="I7438">
        <v>25385237</v>
      </c>
      <c r="J7438">
        <v>4</v>
      </c>
    </row>
    <row r="7439" spans="1:10" x14ac:dyDescent="0.25">
      <c r="A7439" t="s">
        <v>66</v>
      </c>
      <c r="B7439" s="1" t="str">
        <f>HYPERLINK("http://bmwna.com","bmwna.com")</f>
        <v>bmwna.com</v>
      </c>
      <c r="C7439" t="s">
        <v>433</v>
      </c>
      <c r="F7439">
        <v>2.4178155046811199E-8</v>
      </c>
      <c r="G7439">
        <v>2145712</v>
      </c>
      <c r="H7439">
        <v>13420958</v>
      </c>
      <c r="I7439">
        <v>10303462</v>
      </c>
      <c r="J7439">
        <v>2</v>
      </c>
    </row>
    <row r="7440" spans="1:10" x14ac:dyDescent="0.25">
      <c r="A7440" t="s">
        <v>66</v>
      </c>
      <c r="B7440" s="1" t="str">
        <f>HYPERLINK("http://bmwnaext.com","bmwnaext.com")</f>
        <v>bmwnaext.com</v>
      </c>
      <c r="C7440" t="s">
        <v>433</v>
      </c>
      <c r="J7440">
        <v>2</v>
      </c>
    </row>
    <row r="7441" spans="1:10" x14ac:dyDescent="0.25">
      <c r="A7441" t="s">
        <v>66</v>
      </c>
      <c r="B7441" s="1" t="str">
        <f>HYPERLINK("http://bmwnyc.com","bmwnyc.com")</f>
        <v>bmwnyc.com</v>
      </c>
      <c r="C7441" t="s">
        <v>433</v>
      </c>
      <c r="F7441">
        <v>1.37966419683034E-8</v>
      </c>
      <c r="G7441">
        <v>4282967</v>
      </c>
      <c r="H7441">
        <v>13042008</v>
      </c>
      <c r="I7441">
        <v>12618029</v>
      </c>
      <c r="J7441">
        <v>3</v>
      </c>
    </row>
    <row r="7442" spans="1:10" x14ac:dyDescent="0.25">
      <c r="A7442" t="s">
        <v>66</v>
      </c>
      <c r="B7442" s="1" t="str">
        <f>HYPERLINK("http://bmwofannapolis.com","bmwofannapolis.com")</f>
        <v>bmwofannapolis.com</v>
      </c>
      <c r="C7442" t="s">
        <v>433</v>
      </c>
      <c r="F7442">
        <v>7.6998892617949798E-9</v>
      </c>
      <c r="G7442">
        <v>10571522</v>
      </c>
      <c r="H7442">
        <v>12580069</v>
      </c>
      <c r="I7442">
        <v>16507176</v>
      </c>
      <c r="J7442">
        <v>6</v>
      </c>
    </row>
    <row r="7443" spans="1:10" x14ac:dyDescent="0.25">
      <c r="A7443" t="s">
        <v>66</v>
      </c>
      <c r="B7443" s="1" t="str">
        <f>HYPERLINK("http://bmwofbakersfield.com","bmwofbakersfield.com")</f>
        <v>bmwofbakersfield.com</v>
      </c>
      <c r="C7443" t="s">
        <v>433</v>
      </c>
      <c r="F7443">
        <v>6.2516436681961397E-9</v>
      </c>
      <c r="G7443">
        <v>15266223</v>
      </c>
      <c r="H7443">
        <v>12391285</v>
      </c>
      <c r="I7443">
        <v>19011483</v>
      </c>
      <c r="J7443">
        <v>6</v>
      </c>
    </row>
    <row r="7444" spans="1:10" x14ac:dyDescent="0.25">
      <c r="A7444" t="s">
        <v>66</v>
      </c>
      <c r="B7444" s="1" t="str">
        <f>HYPERLINK("http://bmwofbelair.com","bmwofbelair.com")</f>
        <v>bmwofbelair.com</v>
      </c>
      <c r="C7444" t="s">
        <v>433</v>
      </c>
      <c r="F7444">
        <v>4.8196376811765802E-9</v>
      </c>
      <c r="G7444">
        <v>35284246</v>
      </c>
      <c r="H7444">
        <v>12289767</v>
      </c>
      <c r="I7444">
        <v>21116155</v>
      </c>
      <c r="J7444">
        <v>6</v>
      </c>
    </row>
    <row r="7445" spans="1:10" x14ac:dyDescent="0.25">
      <c r="A7445" t="s">
        <v>66</v>
      </c>
      <c r="B7445" s="1" t="str">
        <f>HYPERLINK("http://bmwofcincinnatinorth.com","bmwofcincinnatinorth.com")</f>
        <v>bmwofcincinnatinorth.com</v>
      </c>
      <c r="C7445" t="s">
        <v>433</v>
      </c>
      <c r="F7445">
        <v>1.87879514718765E-8</v>
      </c>
      <c r="G7445">
        <v>2873749</v>
      </c>
      <c r="H7445">
        <v>14069798</v>
      </c>
      <c r="I7445">
        <v>3719133</v>
      </c>
      <c r="J7445">
        <v>6</v>
      </c>
    </row>
    <row r="7446" spans="1:10" x14ac:dyDescent="0.25">
      <c r="A7446" t="s">
        <v>66</v>
      </c>
      <c r="B7446" s="1" t="str">
        <f>HYPERLINK("http://bmwofescondido.com","bmwofescondido.com")</f>
        <v>bmwofescondido.com</v>
      </c>
      <c r="C7446" t="s">
        <v>433</v>
      </c>
      <c r="F7446">
        <v>6.5893606287871801E-9</v>
      </c>
      <c r="G7446">
        <v>13717492</v>
      </c>
      <c r="H7446">
        <v>12306083</v>
      </c>
      <c r="I7446">
        <v>20715145</v>
      </c>
      <c r="J7446">
        <v>6</v>
      </c>
    </row>
    <row r="7447" spans="1:10" x14ac:dyDescent="0.25">
      <c r="A7447" t="s">
        <v>66</v>
      </c>
      <c r="B7447" s="1" t="str">
        <f>HYPERLINK("http://bmwofmountainview.com","bmwofmountainview.com")</f>
        <v>bmwofmountainview.com</v>
      </c>
      <c r="C7447" t="s">
        <v>433</v>
      </c>
      <c r="F7447">
        <v>7.5358726170480695E-9</v>
      </c>
      <c r="G7447">
        <v>10935232</v>
      </c>
      <c r="H7447">
        <v>13020269</v>
      </c>
      <c r="I7447">
        <v>12712286</v>
      </c>
      <c r="J7447">
        <v>6</v>
      </c>
    </row>
    <row r="7448" spans="1:10" x14ac:dyDescent="0.25">
      <c r="A7448" t="s">
        <v>66</v>
      </c>
      <c r="B7448" s="1" t="str">
        <f>HYPERLINK("http://bmwofmurrieta.com","bmwofmurrieta.com")</f>
        <v>bmwofmurrieta.com</v>
      </c>
      <c r="C7448" t="s">
        <v>433</v>
      </c>
      <c r="F7448">
        <v>1.02551408556256E-8</v>
      </c>
      <c r="G7448">
        <v>6493734</v>
      </c>
      <c r="H7448">
        <v>13936836</v>
      </c>
      <c r="I7448">
        <v>4482911</v>
      </c>
      <c r="J7448">
        <v>6</v>
      </c>
    </row>
    <row r="7449" spans="1:10" x14ac:dyDescent="0.25">
      <c r="A7449" t="s">
        <v>66</v>
      </c>
      <c r="B7449" s="1" t="str">
        <f>HYPERLINK("http://bmwofnashville.com","bmwofnashville.com")</f>
        <v>bmwofnashville.com</v>
      </c>
      <c r="C7449" t="s">
        <v>433</v>
      </c>
      <c r="F7449">
        <v>7.7316386290095599E-9</v>
      </c>
      <c r="G7449">
        <v>10504114</v>
      </c>
      <c r="H7449">
        <v>12375576</v>
      </c>
      <c r="I7449">
        <v>19308903</v>
      </c>
      <c r="J7449">
        <v>6</v>
      </c>
    </row>
    <row r="7450" spans="1:10" x14ac:dyDescent="0.25">
      <c r="A7450" t="s">
        <v>66</v>
      </c>
      <c r="B7450" s="1" t="str">
        <f>HYPERLINK("http://bmwofreading.com","bmwofreading.com")</f>
        <v>bmwofreading.com</v>
      </c>
      <c r="C7450" t="s">
        <v>433</v>
      </c>
      <c r="F7450">
        <v>8.1351096098630997E-9</v>
      </c>
      <c r="G7450">
        <v>9681396</v>
      </c>
      <c r="H7450">
        <v>12432495</v>
      </c>
      <c r="I7450">
        <v>18265556</v>
      </c>
      <c r="J7450">
        <v>6</v>
      </c>
    </row>
    <row r="7451" spans="1:10" x14ac:dyDescent="0.25">
      <c r="A7451" t="s">
        <v>66</v>
      </c>
      <c r="B7451" s="1" t="str">
        <f>HYPERLINK("http://bmwofsalem.com","bmwofsalem.com")</f>
        <v>bmwofsalem.com</v>
      </c>
      <c r="C7451" t="s">
        <v>433</v>
      </c>
      <c r="F7451">
        <v>1.07283375861824E-8</v>
      </c>
      <c r="G7451">
        <v>6077097</v>
      </c>
      <c r="H7451">
        <v>12761776</v>
      </c>
      <c r="I7451">
        <v>14940984</v>
      </c>
      <c r="J7451">
        <v>6</v>
      </c>
    </row>
    <row r="7452" spans="1:10" x14ac:dyDescent="0.25">
      <c r="A7452" t="s">
        <v>66</v>
      </c>
      <c r="B7452" s="1" t="str">
        <f>HYPERLINK("http://bmwofsilverspring.com","bmwofsilverspring.com")</f>
        <v>bmwofsilverspring.com</v>
      </c>
      <c r="C7452" t="s">
        <v>433</v>
      </c>
      <c r="F7452">
        <v>1.84594739224392E-8</v>
      </c>
      <c r="G7452">
        <v>2934025</v>
      </c>
      <c r="H7452">
        <v>12662398</v>
      </c>
      <c r="I7452">
        <v>15698085</v>
      </c>
      <c r="J7452">
        <v>6</v>
      </c>
    </row>
    <row r="7453" spans="1:10" x14ac:dyDescent="0.25">
      <c r="A7453" t="s">
        <v>66</v>
      </c>
      <c r="B7453" s="1" t="str">
        <f>HYPERLINK("http://bmwofspokane.com","bmwofspokane.com")</f>
        <v>bmwofspokane.com</v>
      </c>
      <c r="C7453" t="s">
        <v>433</v>
      </c>
      <c r="F7453">
        <v>6.8539919842609099E-9</v>
      </c>
      <c r="G7453">
        <v>12782733</v>
      </c>
      <c r="H7453">
        <v>12581939</v>
      </c>
      <c r="I7453">
        <v>16488851</v>
      </c>
      <c r="J7453">
        <v>6</v>
      </c>
    </row>
    <row r="7454" spans="1:10" x14ac:dyDescent="0.25">
      <c r="A7454" t="s">
        <v>66</v>
      </c>
      <c r="B7454" s="1" t="str">
        <f>HYPERLINK("http://bmwparklane.com","bmwparklane.com")</f>
        <v>bmwparklane.com</v>
      </c>
      <c r="C7454" t="s">
        <v>433</v>
      </c>
      <c r="F7454">
        <v>5.2493821520604099E-9</v>
      </c>
      <c r="G7454">
        <v>24266985</v>
      </c>
      <c r="H7454">
        <v>13769729</v>
      </c>
      <c r="I7454">
        <v>6772102</v>
      </c>
      <c r="J7454">
        <v>6</v>
      </c>
    </row>
    <row r="7455" spans="1:10" x14ac:dyDescent="0.25">
      <c r="A7455" t="s">
        <v>66</v>
      </c>
      <c r="B7455" s="1" t="str">
        <f>HYPERLINK("http://bmwportland.com","bmwportland.com")</f>
        <v>bmwportland.com</v>
      </c>
      <c r="C7455" t="s">
        <v>433</v>
      </c>
      <c r="F7455">
        <v>1.37058390563258E-8</v>
      </c>
      <c r="G7455">
        <v>4318787</v>
      </c>
      <c r="H7455">
        <v>12811839</v>
      </c>
      <c r="I7455">
        <v>14580422</v>
      </c>
      <c r="J7455">
        <v>6</v>
      </c>
    </row>
    <row r="7456" spans="1:10" x14ac:dyDescent="0.25">
      <c r="A7456" t="s">
        <v>66</v>
      </c>
      <c r="B7456" s="1" t="str">
        <f>HYPERLINK("http://bmwseattle.com","bmwseattle.com")</f>
        <v>bmwseattle.com</v>
      </c>
      <c r="C7456" t="s">
        <v>433</v>
      </c>
      <c r="F7456">
        <v>1.0739779373930499E-8</v>
      </c>
      <c r="G7456">
        <v>6068104</v>
      </c>
      <c r="H7456">
        <v>13111482</v>
      </c>
      <c r="I7456">
        <v>12030821</v>
      </c>
      <c r="J7456">
        <v>6</v>
      </c>
    </row>
    <row r="7457" spans="1:10" x14ac:dyDescent="0.25">
      <c r="A7457" t="s">
        <v>66</v>
      </c>
      <c r="B7457" s="1" t="str">
        <f>HYPERLINK("http://bmwsharedservices.com","bmwsharedservices.com")</f>
        <v>bmwsharedservices.com</v>
      </c>
      <c r="C7457" t="s">
        <v>433</v>
      </c>
      <c r="J7457">
        <v>4</v>
      </c>
    </row>
    <row r="7458" spans="1:10" x14ac:dyDescent="0.25">
      <c r="A7458" t="s">
        <v>66</v>
      </c>
      <c r="B7458" s="1" t="str">
        <f>HYPERLINK("http://bmwstep.com","bmwstep.com")</f>
        <v>bmwstep.com</v>
      </c>
      <c r="C7458" t="s">
        <v>433</v>
      </c>
      <c r="F7458">
        <v>3.79274577144912E-8</v>
      </c>
      <c r="G7458">
        <v>1364463</v>
      </c>
      <c r="H7458">
        <v>12535696</v>
      </c>
      <c r="I7458">
        <v>16980781</v>
      </c>
      <c r="J7458">
        <v>2</v>
      </c>
    </row>
    <row r="7459" spans="1:10" x14ac:dyDescent="0.25">
      <c r="A7459" t="s">
        <v>66</v>
      </c>
      <c r="B7459" s="1" t="str">
        <f>HYPERLINK("http://bmwusa.com","bmwusa.com")</f>
        <v>bmwusa.com</v>
      </c>
      <c r="C7459" t="s">
        <v>433</v>
      </c>
      <c r="E7459">
        <v>12104</v>
      </c>
      <c r="F7459">
        <v>2.0200687401753202E-6</v>
      </c>
      <c r="G7459">
        <v>18080</v>
      </c>
      <c r="H7459">
        <v>17478008</v>
      </c>
      <c r="I7459">
        <v>14712</v>
      </c>
      <c r="J7459">
        <v>2</v>
      </c>
    </row>
    <row r="7460" spans="1:10" x14ac:dyDescent="0.25">
      <c r="A7460" t="s">
        <v>66</v>
      </c>
      <c r="B7460" s="1" t="str">
        <f>HYPERLINK("http://bmwusafs.com","bmwusafs.com")</f>
        <v>bmwusafs.com</v>
      </c>
      <c r="C7460" t="s">
        <v>433</v>
      </c>
      <c r="J7460">
        <v>2</v>
      </c>
    </row>
    <row r="7461" spans="1:10" x14ac:dyDescent="0.25">
      <c r="A7461" t="s">
        <v>66</v>
      </c>
      <c r="B7461" s="1" t="str">
        <f>HYPERLINK("http://bmwusatires.com","bmwusatires.com")</f>
        <v>bmwusatires.com</v>
      </c>
      <c r="C7461" t="s">
        <v>433</v>
      </c>
      <c r="F7461">
        <v>1.2505370132112399E-8</v>
      </c>
      <c r="G7461">
        <v>4882654</v>
      </c>
      <c r="H7461">
        <v>12238300</v>
      </c>
      <c r="I7461">
        <v>22301969</v>
      </c>
      <c r="J7461">
        <v>2</v>
      </c>
    </row>
    <row r="7462" spans="1:10" x14ac:dyDescent="0.25">
      <c r="A7462" t="s">
        <v>66</v>
      </c>
      <c r="B7462" s="1" t="str">
        <f>HYPERLINK("http://bmwusfactory.com","bmwusfactory.com")</f>
        <v>bmwusfactory.com</v>
      </c>
      <c r="C7462" t="s">
        <v>433</v>
      </c>
      <c r="E7462">
        <v>289467</v>
      </c>
      <c r="F7462">
        <v>9.2033664042954405E-8</v>
      </c>
      <c r="G7462">
        <v>442475</v>
      </c>
      <c r="H7462">
        <v>14879908</v>
      </c>
      <c r="I7462">
        <v>472860</v>
      </c>
      <c r="J7462">
        <v>6</v>
      </c>
    </row>
    <row r="7463" spans="1:10" x14ac:dyDescent="0.25">
      <c r="A7463" t="s">
        <v>66</v>
      </c>
      <c r="B7463" s="1" t="str">
        <f>HYPERLINK("http://bmwvegas.com","bmwvegas.com")</f>
        <v>bmwvegas.com</v>
      </c>
      <c r="C7463" t="s">
        <v>433</v>
      </c>
      <c r="F7463">
        <v>3.2951931269115699E-8</v>
      </c>
      <c r="G7463">
        <v>1568097</v>
      </c>
      <c r="H7463">
        <v>13092549</v>
      </c>
      <c r="I7463">
        <v>12137655</v>
      </c>
      <c r="J7463">
        <v>6</v>
      </c>
    </row>
    <row r="7464" spans="1:10" x14ac:dyDescent="0.25">
      <c r="A7464" t="s">
        <v>66</v>
      </c>
      <c r="B7464" s="1" t="str">
        <f>HYPERLINK("http://bmwwestisland.com","bmwwestisland.com")</f>
        <v>bmwwestisland.com</v>
      </c>
      <c r="C7464" t="s">
        <v>433</v>
      </c>
      <c r="F7464">
        <v>6.3049414728698602E-9</v>
      </c>
      <c r="G7464">
        <v>15007829</v>
      </c>
      <c r="H7464">
        <v>12415540</v>
      </c>
      <c r="I7464">
        <v>18533472</v>
      </c>
      <c r="J7464">
        <v>6</v>
      </c>
    </row>
    <row r="7465" spans="1:10" x14ac:dyDescent="0.25">
      <c r="A7465" t="s">
        <v>66</v>
      </c>
      <c r="B7465" s="1" t="str">
        <f>HYPERLINK("http://brianharrisbmw.com","brianharrisbmw.com")</f>
        <v>brianharrisbmw.com</v>
      </c>
      <c r="C7465" t="s">
        <v>433</v>
      </c>
      <c r="F7465">
        <v>5.9100581859966999E-9</v>
      </c>
      <c r="G7465">
        <v>17290456</v>
      </c>
      <c r="H7465">
        <v>12484298</v>
      </c>
      <c r="I7465">
        <v>17557741</v>
      </c>
      <c r="J7465">
        <v>6</v>
      </c>
    </row>
    <row r="7466" spans="1:10" x14ac:dyDescent="0.25">
      <c r="A7466" t="s">
        <v>66</v>
      </c>
      <c r="B7466" s="1" t="str">
        <f>HYPERLINK("http://bwclassiccars.com","bwclassiccars.com")</f>
        <v>bwclassiccars.com</v>
      </c>
      <c r="C7466" t="s">
        <v>433</v>
      </c>
      <c r="J7466">
        <v>6</v>
      </c>
    </row>
    <row r="7467" spans="1:10" x14ac:dyDescent="0.25">
      <c r="A7467" t="s">
        <v>66</v>
      </c>
      <c r="B7467" s="1" t="str">
        <f>HYPERLINK("http://cascosbmw.com","cascosbmw.com")</f>
        <v>cascosbmw.com</v>
      </c>
      <c r="C7467" t="s">
        <v>433</v>
      </c>
      <c r="F7467">
        <v>4.4453770949843396E-9</v>
      </c>
      <c r="G7467">
        <v>75338498</v>
      </c>
      <c r="H7467">
        <v>10343764</v>
      </c>
      <c r="I7467">
        <v>57741040</v>
      </c>
      <c r="J7467">
        <v>4</v>
      </c>
    </row>
    <row r="7468" spans="1:10" x14ac:dyDescent="0.25">
      <c r="A7468" t="s">
        <v>66</v>
      </c>
      <c r="B7468" s="1" t="str">
        <f>HYPERLINK("http://cmclimerick.com","cmclimerick.com")</f>
        <v>cmclimerick.com</v>
      </c>
      <c r="C7468" t="s">
        <v>433</v>
      </c>
      <c r="F7468">
        <v>4.9162250953312096E-9</v>
      </c>
      <c r="G7468">
        <v>31947992</v>
      </c>
      <c r="H7468">
        <v>10178955</v>
      </c>
      <c r="I7468">
        <v>59239803</v>
      </c>
      <c r="J7468">
        <v>6</v>
      </c>
    </row>
    <row r="7469" spans="1:10" x14ac:dyDescent="0.25">
      <c r="A7469" t="s">
        <v>66</v>
      </c>
      <c r="B7469" s="1" t="str">
        <f>HYPERLINK("http://crownbmw.com","crownbmw.com")</f>
        <v>crownbmw.com</v>
      </c>
      <c r="C7469" t="s">
        <v>433</v>
      </c>
      <c r="F7469">
        <v>6.4139203231253302E-9</v>
      </c>
      <c r="G7469">
        <v>14453205</v>
      </c>
      <c r="H7469">
        <v>12431632</v>
      </c>
      <c r="I7469">
        <v>18278229</v>
      </c>
      <c r="J7469">
        <v>6</v>
      </c>
    </row>
    <row r="7470" spans="1:10" x14ac:dyDescent="0.25">
      <c r="A7470" t="s">
        <v>66</v>
      </c>
      <c r="B7470" s="1" t="str">
        <f>HYPERLINK("http://euro-motos.com","euro-motos.com")</f>
        <v>euro-motos.com</v>
      </c>
      <c r="C7470" t="s">
        <v>433</v>
      </c>
      <c r="F7470">
        <v>4.7540853422624697E-9</v>
      </c>
      <c r="G7470">
        <v>38141596</v>
      </c>
      <c r="H7470">
        <v>13933062</v>
      </c>
      <c r="I7470">
        <v>5145157</v>
      </c>
      <c r="J7470">
        <v>6</v>
      </c>
    </row>
    <row r="7471" spans="1:10" x14ac:dyDescent="0.25">
      <c r="A7471" t="s">
        <v>66</v>
      </c>
      <c r="B7471" s="1" t="str">
        <f>HYPERLINK("http://ginospa.com","ginospa.com")</f>
        <v>ginospa.com</v>
      </c>
      <c r="C7471" t="s">
        <v>433</v>
      </c>
      <c r="F7471">
        <v>1.62264232567915E-8</v>
      </c>
      <c r="G7471">
        <v>3488789</v>
      </c>
      <c r="H7471">
        <v>13559854</v>
      </c>
      <c r="I7471">
        <v>9853881</v>
      </c>
      <c r="J7471">
        <v>7</v>
      </c>
    </row>
    <row r="7472" spans="1:10" x14ac:dyDescent="0.25">
      <c r="A7472" t="s">
        <v>66</v>
      </c>
      <c r="B7472" s="1" t="str">
        <f>HYPERLINK("http://grupobmw.com","grupobmw.com")</f>
        <v>grupobmw.com</v>
      </c>
      <c r="C7472" t="s">
        <v>433</v>
      </c>
      <c r="J7472">
        <v>6</v>
      </c>
    </row>
    <row r="7473" spans="1:10" x14ac:dyDescent="0.25">
      <c r="A7473" t="s">
        <v>66</v>
      </c>
      <c r="B7473" s="1" t="str">
        <f>HYPERLINK("http://hendrickmini.com","hendrickmini.com")</f>
        <v>hendrickmini.com</v>
      </c>
      <c r="C7473" t="s">
        <v>433</v>
      </c>
      <c r="F7473">
        <v>6.99923416600499E-9</v>
      </c>
      <c r="G7473">
        <v>12314276</v>
      </c>
      <c r="H7473">
        <v>12314978</v>
      </c>
      <c r="I7473">
        <v>20515505</v>
      </c>
      <c r="J7473">
        <v>6</v>
      </c>
    </row>
    <row r="7474" spans="1:10" x14ac:dyDescent="0.25">
      <c r="A7474" t="s">
        <v>66</v>
      </c>
      <c r="B7474" s="1" t="str">
        <f>HYPERLINK("http://kendallbmwofbend.com","kendallbmwofbend.com")</f>
        <v>kendallbmwofbend.com</v>
      </c>
      <c r="C7474" t="s">
        <v>433</v>
      </c>
      <c r="F7474">
        <v>5.6791072908401198E-9</v>
      </c>
      <c r="G7474">
        <v>19137762</v>
      </c>
      <c r="H7474">
        <v>12513552</v>
      </c>
      <c r="I7474">
        <v>17210864</v>
      </c>
      <c r="J7474">
        <v>6</v>
      </c>
    </row>
    <row r="7475" spans="1:10" x14ac:dyDescent="0.25">
      <c r="A7475" t="s">
        <v>66</v>
      </c>
      <c r="B7475" s="1" t="str">
        <f>HYPERLINK("http://medfordbmw.com","medfordbmw.com")</f>
        <v>medfordbmw.com</v>
      </c>
      <c r="C7475" t="s">
        <v>433</v>
      </c>
      <c r="F7475">
        <v>6.97081954038939E-9</v>
      </c>
      <c r="G7475">
        <v>12399150</v>
      </c>
      <c r="H7475">
        <v>12513596</v>
      </c>
      <c r="I7475">
        <v>17210353</v>
      </c>
      <c r="J7475">
        <v>6</v>
      </c>
    </row>
    <row r="7476" spans="1:10" x14ac:dyDescent="0.25">
      <c r="A7476" t="s">
        <v>66</v>
      </c>
      <c r="B7476" s="1" t="str">
        <f>HYPERLINK("http://mertinke.com","mertinke.com")</f>
        <v>mertinke.com</v>
      </c>
      <c r="C7476" t="s">
        <v>433</v>
      </c>
      <c r="F7476">
        <v>4.82002333161024E-9</v>
      </c>
      <c r="G7476">
        <v>35269705</v>
      </c>
      <c r="H7476">
        <v>10744901</v>
      </c>
      <c r="I7476">
        <v>40243350</v>
      </c>
      <c r="J7476">
        <v>6</v>
      </c>
    </row>
    <row r="7477" spans="1:10" x14ac:dyDescent="0.25">
      <c r="A7477" t="s">
        <v>66</v>
      </c>
      <c r="B7477" s="1" t="str">
        <f>HYPERLINK("http://mini.com","mini.com")</f>
        <v>mini.com</v>
      </c>
      <c r="C7477" t="s">
        <v>433</v>
      </c>
      <c r="E7477">
        <v>140325</v>
      </c>
      <c r="F7477">
        <v>5.0247305576631096E-7</v>
      </c>
      <c r="G7477">
        <v>76117</v>
      </c>
      <c r="H7477">
        <v>17507666</v>
      </c>
      <c r="I7477">
        <v>13351</v>
      </c>
      <c r="J7477">
        <v>3</v>
      </c>
    </row>
    <row r="7478" spans="1:10" x14ac:dyDescent="0.25">
      <c r="A7478" t="s">
        <v>66</v>
      </c>
      <c r="B7478" s="1" t="str">
        <f>HYPERLINK("http://mini-allsurface.com","mini-allsurface.com")</f>
        <v>mini-allsurface.com</v>
      </c>
      <c r="C7478" t="s">
        <v>433</v>
      </c>
      <c r="J7478">
        <v>2</v>
      </c>
    </row>
    <row r="7479" spans="1:10" x14ac:dyDescent="0.25">
      <c r="A7479" t="s">
        <v>66</v>
      </c>
      <c r="B7479" s="1" t="str">
        <f>HYPERLINK("http://mini-georgia.com","mini-georgia.com")</f>
        <v>mini-georgia.com</v>
      </c>
      <c r="C7479" t="s">
        <v>433</v>
      </c>
      <c r="F7479">
        <v>4.8248871238401797E-9</v>
      </c>
      <c r="G7479">
        <v>35032402</v>
      </c>
      <c r="H7479">
        <v>10722198</v>
      </c>
      <c r="I7479">
        <v>41640705</v>
      </c>
      <c r="J7479">
        <v>4</v>
      </c>
    </row>
    <row r="7480" spans="1:10" x14ac:dyDescent="0.25">
      <c r="A7480" t="s">
        <v>66</v>
      </c>
      <c r="B7480" s="1" t="str">
        <f>HYPERLINK("http://minianchorage.com","minianchorage.com")</f>
        <v>minianchorage.com</v>
      </c>
      <c r="C7480" t="s">
        <v>433</v>
      </c>
      <c r="F7480">
        <v>5.6831293202729099E-9</v>
      </c>
      <c r="G7480">
        <v>19103206</v>
      </c>
      <c r="H7480">
        <v>12115860</v>
      </c>
      <c r="I7480">
        <v>25586776</v>
      </c>
      <c r="J7480">
        <v>6</v>
      </c>
    </row>
    <row r="7481" spans="1:10" x14ac:dyDescent="0.25">
      <c r="A7481" t="s">
        <v>66</v>
      </c>
      <c r="B7481" s="1" t="str">
        <f>HYPERLINK("http://minibaltimore.com","minibaltimore.com")</f>
        <v>minibaltimore.com</v>
      </c>
      <c r="C7481" t="s">
        <v>433</v>
      </c>
      <c r="F7481">
        <v>5.0336622504802103E-9</v>
      </c>
      <c r="G7481">
        <v>28585976</v>
      </c>
      <c r="H7481">
        <v>11176861</v>
      </c>
      <c r="I7481">
        <v>31465615</v>
      </c>
      <c r="J7481">
        <v>9</v>
      </c>
    </row>
    <row r="7482" spans="1:10" x14ac:dyDescent="0.25">
      <c r="A7482" t="s">
        <v>66</v>
      </c>
      <c r="B7482" s="1" t="str">
        <f>HYPERLINK("http://minibedford.com","minibedford.com")</f>
        <v>minibedford.com</v>
      </c>
      <c r="C7482" t="s">
        <v>433</v>
      </c>
      <c r="F7482">
        <v>7.4920401360280101E-9</v>
      </c>
      <c r="G7482">
        <v>11030748</v>
      </c>
      <c r="H7482">
        <v>12380755</v>
      </c>
      <c r="I7482">
        <v>19195432</v>
      </c>
      <c r="J7482">
        <v>6</v>
      </c>
    </row>
    <row r="7483" spans="1:10" x14ac:dyDescent="0.25">
      <c r="A7483" t="s">
        <v>66</v>
      </c>
      <c r="B7483" s="1" t="str">
        <f>HYPERLINK("http://minicaribbean.com","minicaribbean.com")</f>
        <v>minicaribbean.com</v>
      </c>
      <c r="C7483" t="s">
        <v>433</v>
      </c>
      <c r="F7483">
        <v>8.1036914780607798E-9</v>
      </c>
      <c r="G7483">
        <v>9735107</v>
      </c>
      <c r="H7483">
        <v>12156204</v>
      </c>
      <c r="I7483">
        <v>24466642</v>
      </c>
      <c r="J7483">
        <v>4</v>
      </c>
    </row>
    <row r="7484" spans="1:10" x14ac:dyDescent="0.25">
      <c r="A7484" t="s">
        <v>66</v>
      </c>
      <c r="B7484" s="1" t="str">
        <f>HYPERLINK("http://miniofalexandria.com","miniofalexandria.com")</f>
        <v>miniofalexandria.com</v>
      </c>
      <c r="C7484" t="s">
        <v>433</v>
      </c>
      <c r="F7484">
        <v>5.2355334959707097E-9</v>
      </c>
      <c r="G7484">
        <v>24484966</v>
      </c>
      <c r="H7484">
        <v>12362643</v>
      </c>
      <c r="I7484">
        <v>19535586</v>
      </c>
      <c r="J7484">
        <v>6</v>
      </c>
    </row>
    <row r="7485" spans="1:10" x14ac:dyDescent="0.25">
      <c r="A7485" t="s">
        <v>66</v>
      </c>
      <c r="B7485" s="1" t="str">
        <f>HYPERLINK("http://miniofcharleston.com","miniofcharleston.com")</f>
        <v>miniofcharleston.com</v>
      </c>
      <c r="C7485" t="s">
        <v>433</v>
      </c>
      <c r="F7485">
        <v>6.2934137692049501E-9</v>
      </c>
      <c r="G7485">
        <v>15063596</v>
      </c>
      <c r="H7485">
        <v>12104822</v>
      </c>
      <c r="I7485">
        <v>25854146</v>
      </c>
      <c r="J7485">
        <v>6</v>
      </c>
    </row>
    <row r="7486" spans="1:10" x14ac:dyDescent="0.25">
      <c r="A7486" t="s">
        <v>66</v>
      </c>
      <c r="B7486" s="1" t="str">
        <f>HYPERLINK("http://miniofconcord.com","miniofconcord.com")</f>
        <v>miniofconcord.com</v>
      </c>
      <c r="C7486" t="s">
        <v>433</v>
      </c>
      <c r="F7486">
        <v>9.5056154871656202E-9</v>
      </c>
      <c r="G7486">
        <v>7315913</v>
      </c>
      <c r="H7486">
        <v>12467039</v>
      </c>
      <c r="I7486">
        <v>17792460</v>
      </c>
      <c r="J7486">
        <v>6</v>
      </c>
    </row>
    <row r="7487" spans="1:10" x14ac:dyDescent="0.25">
      <c r="A7487" t="s">
        <v>66</v>
      </c>
      <c r="B7487" s="1" t="str">
        <f>HYPERLINK("http://miniofescondido.com","miniofescondido.com")</f>
        <v>miniofescondido.com</v>
      </c>
      <c r="C7487" t="s">
        <v>433</v>
      </c>
      <c r="F7487">
        <v>1.0610196148095901E-8</v>
      </c>
      <c r="G7487">
        <v>6174840</v>
      </c>
      <c r="H7487">
        <v>12217398</v>
      </c>
      <c r="I7487">
        <v>22847523</v>
      </c>
      <c r="J7487">
        <v>6</v>
      </c>
    </row>
    <row r="7488" spans="1:10" x14ac:dyDescent="0.25">
      <c r="A7488" t="s">
        <v>66</v>
      </c>
      <c r="B7488" s="1" t="str">
        <f>HYPERLINK("http://miniofloveland.com","miniofloveland.com")</f>
        <v>miniofloveland.com</v>
      </c>
      <c r="C7488" t="s">
        <v>433</v>
      </c>
      <c r="F7488">
        <v>5.96081032658416E-9</v>
      </c>
      <c r="G7488">
        <v>16940571</v>
      </c>
      <c r="H7488">
        <v>13764223</v>
      </c>
      <c r="I7488">
        <v>7331072</v>
      </c>
      <c r="J7488">
        <v>6</v>
      </c>
    </row>
    <row r="7489" spans="1:10" x14ac:dyDescent="0.25">
      <c r="A7489" t="s">
        <v>66</v>
      </c>
      <c r="B7489" s="1" t="str">
        <f>HYPERLINK("http://miniofmtlaurel.com","miniofmtlaurel.com")</f>
        <v>miniofmtlaurel.com</v>
      </c>
      <c r="C7489" t="s">
        <v>433</v>
      </c>
      <c r="F7489">
        <v>6.6103423574139397E-9</v>
      </c>
      <c r="G7489">
        <v>13637698</v>
      </c>
      <c r="H7489">
        <v>12199707</v>
      </c>
      <c r="I7489">
        <v>23324618</v>
      </c>
      <c r="J7489">
        <v>6</v>
      </c>
    </row>
    <row r="7490" spans="1:10" x14ac:dyDescent="0.25">
      <c r="A7490" t="s">
        <v>66</v>
      </c>
      <c r="B7490" s="1" t="str">
        <f>HYPERLINK("http://minioftowson.com","minioftowson.com")</f>
        <v>minioftowson.com</v>
      </c>
      <c r="C7490" t="s">
        <v>433</v>
      </c>
      <c r="F7490">
        <v>1.0440334776973301E-8</v>
      </c>
      <c r="G7490">
        <v>6322431</v>
      </c>
      <c r="H7490">
        <v>12630038</v>
      </c>
      <c r="I7490">
        <v>15988905</v>
      </c>
      <c r="J7490">
        <v>6</v>
      </c>
    </row>
    <row r="7491" spans="1:10" x14ac:dyDescent="0.25">
      <c r="A7491" t="s">
        <v>66</v>
      </c>
      <c r="B7491" s="1" t="str">
        <f>HYPERLINK("http://miniportland.com","miniportland.com")</f>
        <v>miniportland.com</v>
      </c>
      <c r="C7491" t="s">
        <v>433</v>
      </c>
      <c r="F7491">
        <v>1.19239204260324E-8</v>
      </c>
      <c r="G7491">
        <v>5222776</v>
      </c>
      <c r="H7491">
        <v>13935229</v>
      </c>
      <c r="I7491">
        <v>4544386</v>
      </c>
      <c r="J7491">
        <v>6</v>
      </c>
    </row>
    <row r="7492" spans="1:10" x14ac:dyDescent="0.25">
      <c r="A7492" t="s">
        <v>66</v>
      </c>
      <c r="B7492" s="1" t="str">
        <f>HYPERLINK("http://ministore-pays-de-loire-automobile.com","ministore-pays-de-loire-automobile.com")</f>
        <v>ministore-pays-de-loire-automobile.com</v>
      </c>
      <c r="C7492" t="s">
        <v>433</v>
      </c>
      <c r="F7492">
        <v>9.3674018755541307E-9</v>
      </c>
      <c r="G7492">
        <v>7486069</v>
      </c>
      <c r="H7492">
        <v>10994796</v>
      </c>
      <c r="I7492">
        <v>33665635</v>
      </c>
      <c r="J7492">
        <v>6</v>
      </c>
    </row>
    <row r="7493" spans="1:10" x14ac:dyDescent="0.25">
      <c r="A7493" t="s">
        <v>66</v>
      </c>
      <c r="B7493" s="1" t="str">
        <f>HYPERLINK("http://minitakesthestates.com","minitakesthestates.com")</f>
        <v>minitakesthestates.com</v>
      </c>
      <c r="C7493" t="s">
        <v>433</v>
      </c>
      <c r="F7493">
        <v>2.7493329665104699E-8</v>
      </c>
      <c r="G7493">
        <v>1869914</v>
      </c>
      <c r="H7493">
        <v>14179624</v>
      </c>
      <c r="I7493">
        <v>1782370</v>
      </c>
      <c r="J7493">
        <v>2</v>
      </c>
    </row>
    <row r="7494" spans="1:10" x14ac:dyDescent="0.25">
      <c r="A7494" t="s">
        <v>66</v>
      </c>
      <c r="B7494" s="1" t="str">
        <f>HYPERLINK("http://miniusa.com","miniusa.com")</f>
        <v>miniusa.com</v>
      </c>
      <c r="C7494" t="s">
        <v>433</v>
      </c>
      <c r="E7494">
        <v>60006</v>
      </c>
      <c r="F7494">
        <v>5.05187008070216E-7</v>
      </c>
      <c r="G7494">
        <v>75753</v>
      </c>
      <c r="H7494">
        <v>15418620</v>
      </c>
      <c r="I7494">
        <v>379417</v>
      </c>
      <c r="J7494">
        <v>2</v>
      </c>
    </row>
    <row r="7495" spans="1:10" x14ac:dyDescent="0.25">
      <c r="A7495" t="s">
        <v>66</v>
      </c>
      <c r="B7495" s="1" t="str">
        <f>HYPERLINK("http://miniusafs.com","miniusafs.com")</f>
        <v>miniusafs.com</v>
      </c>
      <c r="C7495" t="s">
        <v>433</v>
      </c>
      <c r="J7495">
        <v>2</v>
      </c>
    </row>
    <row r="7496" spans="1:10" x14ac:dyDescent="0.25">
      <c r="A7496" t="s">
        <v>66</v>
      </c>
      <c r="B7496" s="1" t="str">
        <f>HYPERLINK("http://miniusatires.com","miniusatires.com")</f>
        <v>miniusatires.com</v>
      </c>
      <c r="C7496" t="s">
        <v>433</v>
      </c>
      <c r="F7496">
        <v>4.7707673097577497E-9</v>
      </c>
      <c r="G7496">
        <v>37345107</v>
      </c>
      <c r="H7496">
        <v>9546777</v>
      </c>
      <c r="I7496">
        <v>65032894</v>
      </c>
      <c r="J7496">
        <v>2</v>
      </c>
    </row>
    <row r="7497" spans="1:10" x14ac:dyDescent="0.25">
      <c r="A7497" t="s">
        <v>66</v>
      </c>
      <c r="B7497" s="1" t="str">
        <f>HYPERLINK("http://motointer.com","motointer.com")</f>
        <v>motointer.com</v>
      </c>
      <c r="C7497" t="s">
        <v>433</v>
      </c>
      <c r="F7497">
        <v>1.20061338677685E-8</v>
      </c>
      <c r="G7497">
        <v>5171296</v>
      </c>
      <c r="H7497">
        <v>13764535</v>
      </c>
      <c r="I7497">
        <v>7242755</v>
      </c>
      <c r="J7497">
        <v>6</v>
      </c>
    </row>
    <row r="7498" spans="1:10" x14ac:dyDescent="0.25">
      <c r="A7498" t="s">
        <v>66</v>
      </c>
      <c r="B7498" s="1" t="str">
        <f>HYPERLINK("http://motormunich.com","motormunich.com")</f>
        <v>motormunich.com</v>
      </c>
      <c r="C7498" t="s">
        <v>433</v>
      </c>
      <c r="F7498">
        <v>7.1632576064170997E-9</v>
      </c>
      <c r="G7498">
        <v>11840969</v>
      </c>
      <c r="H7498">
        <v>10779520</v>
      </c>
      <c r="I7498">
        <v>38948103</v>
      </c>
      <c r="J7498">
        <v>6</v>
      </c>
    </row>
    <row r="7499" spans="1:10" x14ac:dyDescent="0.25">
      <c r="A7499" t="s">
        <v>66</v>
      </c>
      <c r="B7499" s="1" t="str">
        <f>HYPERLINK("http://motorradkobe.com","motorradkobe.com")</f>
        <v>motorradkobe.com</v>
      </c>
      <c r="C7499" t="s">
        <v>433</v>
      </c>
      <c r="F7499">
        <v>6.0345810200127998E-9</v>
      </c>
      <c r="G7499">
        <v>16473332</v>
      </c>
      <c r="H7499">
        <v>12743399</v>
      </c>
      <c r="I7499">
        <v>15100207</v>
      </c>
      <c r="J7499">
        <v>6</v>
      </c>
    </row>
    <row r="7500" spans="1:10" x14ac:dyDescent="0.25">
      <c r="A7500" t="s">
        <v>66</v>
      </c>
      <c r="B7500" s="1" t="str">
        <f>HYPERLINK("http://mybmwmc.com","mybmwmc.com")</f>
        <v>mybmwmc.com</v>
      </c>
      <c r="C7500" t="s">
        <v>433</v>
      </c>
      <c r="E7500">
        <v>403832</v>
      </c>
      <c r="F7500">
        <v>4.4604901925967697E-9</v>
      </c>
      <c r="G7500">
        <v>67600942</v>
      </c>
      <c r="H7500">
        <v>11982003</v>
      </c>
      <c r="I7500">
        <v>28481731</v>
      </c>
      <c r="J7500">
        <v>2</v>
      </c>
    </row>
    <row r="7501" spans="1:10" x14ac:dyDescent="0.25">
      <c r="A7501" t="s">
        <v>66</v>
      </c>
      <c r="B7501" s="1" t="str">
        <f>HYPERLINK("http://newboldbmw.com","newboldbmw.com")</f>
        <v>newboldbmw.com</v>
      </c>
      <c r="C7501" t="s">
        <v>433</v>
      </c>
      <c r="F7501">
        <v>7.2049471782447499E-9</v>
      </c>
      <c r="G7501">
        <v>11727140</v>
      </c>
      <c r="H7501">
        <v>12884122</v>
      </c>
      <c r="I7501">
        <v>13972758</v>
      </c>
      <c r="J7501">
        <v>6</v>
      </c>
    </row>
    <row r="7502" spans="1:10" x14ac:dyDescent="0.25">
      <c r="A7502" t="s">
        <v>66</v>
      </c>
      <c r="B7502" s="1" t="str">
        <f>HYPERLINK("http://nixonautomotive.com","nixonautomotive.com")</f>
        <v>nixonautomotive.com</v>
      </c>
      <c r="C7502" t="s">
        <v>433</v>
      </c>
      <c r="F7502">
        <v>5.0425280731417799E-9</v>
      </c>
      <c r="G7502">
        <v>28386671</v>
      </c>
      <c r="H7502">
        <v>10407128</v>
      </c>
      <c r="I7502">
        <v>54099073</v>
      </c>
      <c r="J7502">
        <v>6</v>
      </c>
    </row>
    <row r="7503" spans="1:10" x14ac:dyDescent="0.25">
      <c r="A7503" t="s">
        <v>66</v>
      </c>
      <c r="B7503" s="1" t="str">
        <f>HYPERLINK("http://passportbmw.com","passportbmw.com")</f>
        <v>passportbmw.com</v>
      </c>
      <c r="C7503" t="s">
        <v>433</v>
      </c>
      <c r="F7503">
        <v>6.7216281213654096E-9</v>
      </c>
      <c r="G7503">
        <v>13227890</v>
      </c>
      <c r="H7503">
        <v>13293051</v>
      </c>
      <c r="I7503">
        <v>10867607</v>
      </c>
      <c r="J7503">
        <v>6</v>
      </c>
    </row>
    <row r="7504" spans="1:10" x14ac:dyDescent="0.25">
      <c r="A7504" t="s">
        <v>66</v>
      </c>
      <c r="B7504" s="1" t="str">
        <f>HYPERLINK("http://pays-de-loire-automobiles.com","pays-de-loire-automobiles.com")</f>
        <v>pays-de-loire-automobiles.com</v>
      </c>
      <c r="C7504" t="s">
        <v>433</v>
      </c>
      <c r="F7504">
        <v>1.5579896497974099E-8</v>
      </c>
      <c r="G7504">
        <v>3660817</v>
      </c>
      <c r="H7504">
        <v>13933564</v>
      </c>
      <c r="I7504">
        <v>4713463</v>
      </c>
      <c r="J7504">
        <v>6</v>
      </c>
    </row>
    <row r="7505" spans="1:10" x14ac:dyDescent="0.25">
      <c r="A7505" t="s">
        <v>66</v>
      </c>
      <c r="B7505" s="1" t="str">
        <f>HYPERLINK("http://pays-de-loire-automobiles-reze.com","pays-de-loire-automobiles-reze.com")</f>
        <v>pays-de-loire-automobiles-reze.com</v>
      </c>
      <c r="C7505" t="s">
        <v>433</v>
      </c>
      <c r="F7505">
        <v>6.9564330425077201E-9</v>
      </c>
      <c r="G7505">
        <v>12443774</v>
      </c>
      <c r="H7505">
        <v>10471137</v>
      </c>
      <c r="I7505">
        <v>51274708</v>
      </c>
      <c r="J7505">
        <v>6</v>
      </c>
    </row>
    <row r="7506" spans="1:10" x14ac:dyDescent="0.25">
      <c r="A7506" t="s">
        <v>66</v>
      </c>
      <c r="B7506" s="1" t="str">
        <f>HYPERLINK("http://pfaffbmw.com","pfaffbmw.com")</f>
        <v>pfaffbmw.com</v>
      </c>
      <c r="C7506" t="s">
        <v>433</v>
      </c>
      <c r="F7506">
        <v>8.5115463735939097E-9</v>
      </c>
      <c r="G7506">
        <v>8824137</v>
      </c>
      <c r="H7506">
        <v>12529409</v>
      </c>
      <c r="I7506">
        <v>17040669</v>
      </c>
      <c r="J7506">
        <v>6</v>
      </c>
    </row>
    <row r="7507" spans="1:10" x14ac:dyDescent="0.25">
      <c r="A7507" t="s">
        <v>66</v>
      </c>
      <c r="B7507" s="1" t="str">
        <f>HYPERLINK("http://pidcock.com","pidcock.com")</f>
        <v>pidcock.com</v>
      </c>
      <c r="C7507" t="s">
        <v>433</v>
      </c>
      <c r="F7507">
        <v>1.32916864258556E-8</v>
      </c>
      <c r="G7507">
        <v>4497105</v>
      </c>
      <c r="H7507">
        <v>12448141</v>
      </c>
      <c r="I7507">
        <v>18042547</v>
      </c>
      <c r="J7507">
        <v>6</v>
      </c>
    </row>
    <row r="7508" spans="1:10" x14ac:dyDescent="0.25">
      <c r="A7508" t="s">
        <v>66</v>
      </c>
      <c r="B7508" s="1" t="str">
        <f>HYPERLINK("http://pl-automobile.com","pl-automobile.com")</f>
        <v>pl-automobile.com</v>
      </c>
      <c r="C7508" t="s">
        <v>433</v>
      </c>
      <c r="F7508">
        <v>4.44380395335525E-9</v>
      </c>
      <c r="G7508">
        <v>83018759</v>
      </c>
      <c r="H7508">
        <v>0</v>
      </c>
      <c r="I7508">
        <v>83751913</v>
      </c>
      <c r="J7508">
        <v>6</v>
      </c>
    </row>
    <row r="7509" spans="1:10" x14ac:dyDescent="0.25">
      <c r="A7509" t="s">
        <v>66</v>
      </c>
      <c r="B7509" s="1" t="str">
        <f>HYPERLINK("http://procalibervancouver.com","procalibervancouver.com")</f>
        <v>procalibervancouver.com</v>
      </c>
      <c r="C7509" t="s">
        <v>433</v>
      </c>
      <c r="F7509">
        <v>6.0191157214660504E-9</v>
      </c>
      <c r="G7509">
        <v>16567255</v>
      </c>
      <c r="H7509">
        <v>12874897</v>
      </c>
      <c r="I7509">
        <v>14036193</v>
      </c>
      <c r="J7509">
        <v>6</v>
      </c>
    </row>
    <row r="7510" spans="1:10" x14ac:dyDescent="0.25">
      <c r="A7510" t="s">
        <v>66</v>
      </c>
      <c r="B7510" s="1" t="str">
        <f>HYPERLINK("http://richmondbmwmidlothian.com","richmondbmwmidlothian.com")</f>
        <v>richmondbmwmidlothian.com</v>
      </c>
      <c r="C7510" t="s">
        <v>433</v>
      </c>
      <c r="F7510">
        <v>5.0424412233146503E-9</v>
      </c>
      <c r="G7510">
        <v>28388513</v>
      </c>
      <c r="H7510">
        <v>12055377</v>
      </c>
      <c r="I7510">
        <v>27110436</v>
      </c>
      <c r="J7510">
        <v>6</v>
      </c>
    </row>
    <row r="7511" spans="1:10" x14ac:dyDescent="0.25">
      <c r="A7511" t="s">
        <v>66</v>
      </c>
      <c r="B7511" s="1" t="str">
        <f>HYPERLINK("http://roadshowmini.com","roadshowmini.com")</f>
        <v>roadshowmini.com</v>
      </c>
      <c r="C7511" t="s">
        <v>433</v>
      </c>
      <c r="F7511">
        <v>4.9785652481354801E-9</v>
      </c>
      <c r="G7511">
        <v>30032329</v>
      </c>
      <c r="H7511">
        <v>12082718</v>
      </c>
      <c r="I7511">
        <v>26496456</v>
      </c>
      <c r="J7511">
        <v>6</v>
      </c>
    </row>
    <row r="7512" spans="1:10" x14ac:dyDescent="0.25">
      <c r="A7512" t="s">
        <v>66</v>
      </c>
      <c r="B7512" s="1" t="str">
        <f>HYPERLINK("http://rolls-roycemotorcars.com","rolls-roycemotorcars.com")</f>
        <v>rolls-roycemotorcars.com</v>
      </c>
      <c r="C7512" t="s">
        <v>433</v>
      </c>
      <c r="E7512">
        <v>32226</v>
      </c>
      <c r="F7512">
        <v>1.1825269661262201E-6</v>
      </c>
      <c r="G7512">
        <v>32919</v>
      </c>
      <c r="H7512">
        <v>15634003</v>
      </c>
      <c r="I7512">
        <v>371169</v>
      </c>
      <c r="J7512">
        <v>2</v>
      </c>
    </row>
    <row r="7513" spans="1:10" x14ac:dyDescent="0.25">
      <c r="A7513" t="s">
        <v>66</v>
      </c>
      <c r="B7513" s="1" t="str">
        <f>HYPERLINK("http://rollsroycemotorcarsfs.com","rollsroycemotorcarsfs.com")</f>
        <v>rollsroycemotorcarsfs.com</v>
      </c>
      <c r="C7513" t="s">
        <v>433</v>
      </c>
      <c r="J7513">
        <v>2</v>
      </c>
    </row>
    <row r="7514" spans="1:10" x14ac:dyDescent="0.25">
      <c r="A7514" t="s">
        <v>66</v>
      </c>
      <c r="B7514" s="1" t="str">
        <f>HYPERLINK("http://rossi-automobile.com","rossi-automobile.com")</f>
        <v>rossi-automobile.com</v>
      </c>
      <c r="C7514" t="s">
        <v>433</v>
      </c>
      <c r="F7514">
        <v>7.4740657961316708E-9</v>
      </c>
      <c r="G7514">
        <v>11071687</v>
      </c>
      <c r="H7514">
        <v>10737464</v>
      </c>
      <c r="I7514">
        <v>40563094</v>
      </c>
      <c r="J7514">
        <v>4</v>
      </c>
    </row>
    <row r="7515" spans="1:10" x14ac:dyDescent="0.25">
      <c r="A7515" t="s">
        <v>66</v>
      </c>
      <c r="B7515" s="1" t="str">
        <f>HYPERLINK("http://rtcbmw.com","rtcbmw.com")</f>
        <v>rtcbmw.com</v>
      </c>
      <c r="C7515" t="s">
        <v>433</v>
      </c>
      <c r="J7515">
        <v>2</v>
      </c>
    </row>
    <row r="7516" spans="1:10" x14ac:dyDescent="0.25">
      <c r="A7516" t="s">
        <v>66</v>
      </c>
      <c r="B7516" s="1" t="str">
        <f>HYPERLINK("http://salaymengual.com","salaymengual.com")</f>
        <v>salaymengual.com</v>
      </c>
      <c r="C7516" t="s">
        <v>433</v>
      </c>
      <c r="J7516">
        <v>6</v>
      </c>
    </row>
    <row r="7517" spans="1:10" x14ac:dyDescent="0.25">
      <c r="A7517" t="s">
        <v>66</v>
      </c>
      <c r="B7517" s="1" t="str">
        <f>HYPERLINK("http://seattlemini.com","seattlemini.com")</f>
        <v>seattlemini.com</v>
      </c>
      <c r="C7517" t="s">
        <v>433</v>
      </c>
      <c r="F7517">
        <v>1.23806759901575E-8</v>
      </c>
      <c r="G7517">
        <v>4949910</v>
      </c>
      <c r="H7517">
        <v>13805886</v>
      </c>
      <c r="I7517">
        <v>6234511</v>
      </c>
      <c r="J7517">
        <v>6</v>
      </c>
    </row>
    <row r="7518" spans="1:10" x14ac:dyDescent="0.25">
      <c r="A7518" t="s">
        <v>66</v>
      </c>
      <c r="B7518" s="1" t="str">
        <f>HYPERLINK("http://sergiotrepat.com","sergiotrepat.com")</f>
        <v>sergiotrepat.com</v>
      </c>
      <c r="C7518" t="s">
        <v>433</v>
      </c>
      <c r="F7518">
        <v>5.7367280801350704E-9</v>
      </c>
      <c r="G7518">
        <v>18607876</v>
      </c>
      <c r="H7518">
        <v>10352046</v>
      </c>
      <c r="I7518">
        <v>56088293</v>
      </c>
      <c r="J7518">
        <v>6</v>
      </c>
    </row>
    <row r="7519" spans="1:10" x14ac:dyDescent="0.25">
      <c r="A7519" t="s">
        <v>66</v>
      </c>
      <c r="B7519" s="1" t="str">
        <f>HYPERLINK("http://sjbmw.com","sjbmw.com")</f>
        <v>sjbmw.com</v>
      </c>
      <c r="C7519" t="s">
        <v>433</v>
      </c>
      <c r="F7519">
        <v>2.21165872070133E-8</v>
      </c>
      <c r="G7519">
        <v>2372506</v>
      </c>
      <c r="H7519">
        <v>13763655</v>
      </c>
      <c r="I7519">
        <v>7881197</v>
      </c>
      <c r="J7519">
        <v>6</v>
      </c>
    </row>
    <row r="7520" spans="1:10" x14ac:dyDescent="0.25">
      <c r="A7520" t="s">
        <v>66</v>
      </c>
      <c r="B7520" s="1" t="str">
        <f>HYPERLINK("http://supraconnect.com","supraconnect.com")</f>
        <v>supraconnect.com</v>
      </c>
      <c r="C7520" t="s">
        <v>433</v>
      </c>
      <c r="F7520">
        <v>1.01360465146852E-7</v>
      </c>
      <c r="G7520">
        <v>396632</v>
      </c>
      <c r="H7520">
        <v>12469202</v>
      </c>
      <c r="I7520">
        <v>17767567</v>
      </c>
      <c r="J7520">
        <v>2</v>
      </c>
    </row>
    <row r="7521" spans="1:10" x14ac:dyDescent="0.25">
      <c r="A7521" t="s">
        <v>66</v>
      </c>
      <c r="B7521" s="1" t="str">
        <f>HYPERLINK("http://trbmw.com","trbmw.com")</f>
        <v>trbmw.com</v>
      </c>
      <c r="C7521" t="s">
        <v>433</v>
      </c>
      <c r="F7521">
        <v>6.9278322713147399E-9</v>
      </c>
      <c r="G7521">
        <v>12532345</v>
      </c>
      <c r="H7521">
        <v>10818797</v>
      </c>
      <c r="I7521">
        <v>37651351</v>
      </c>
      <c r="J7521">
        <v>6</v>
      </c>
    </row>
    <row r="7522" spans="1:10" x14ac:dyDescent="0.25">
      <c r="A7522" t="s">
        <v>66</v>
      </c>
      <c r="B7522" s="1" t="str">
        <f>HYPERLINK("http://up2drive.com","up2drive.com")</f>
        <v>up2drive.com</v>
      </c>
      <c r="C7522" t="s">
        <v>433</v>
      </c>
      <c r="F7522">
        <v>1.8331367043355601E-8</v>
      </c>
      <c r="G7522">
        <v>2961354</v>
      </c>
      <c r="H7522">
        <v>13253324</v>
      </c>
      <c r="I7522">
        <v>11067677</v>
      </c>
      <c r="J7522">
        <v>2</v>
      </c>
    </row>
    <row r="7523" spans="1:10" x14ac:dyDescent="0.25">
      <c r="A7523" t="s">
        <v>66</v>
      </c>
      <c r="B7523" s="1" t="str">
        <f>HYPERLINK("http://yarkbmw.com","yarkbmw.com")</f>
        <v>yarkbmw.com</v>
      </c>
      <c r="C7523" t="s">
        <v>433</v>
      </c>
      <c r="F7523">
        <v>6.3738157663476396E-9</v>
      </c>
      <c r="G7523">
        <v>14646915</v>
      </c>
      <c r="H7523">
        <v>12128030</v>
      </c>
      <c r="I7523">
        <v>25197829</v>
      </c>
      <c r="J7523">
        <v>6</v>
      </c>
    </row>
    <row r="7524" spans="1:10" x14ac:dyDescent="0.25">
      <c r="A7524" t="s">
        <v>66</v>
      </c>
      <c r="B7524" s="1" t="str">
        <f>HYPERLINK("http://bmw-motorrad.cr","bmw-motorrad.cr")</f>
        <v>bmw-motorrad.cr</v>
      </c>
      <c r="C7524" t="s">
        <v>434</v>
      </c>
      <c r="D7524" t="s">
        <v>813</v>
      </c>
      <c r="F7524">
        <v>6.8237776832422802E-9</v>
      </c>
      <c r="G7524">
        <v>12882029</v>
      </c>
      <c r="H7524">
        <v>12084240</v>
      </c>
      <c r="I7524">
        <v>26457262</v>
      </c>
      <c r="J7524">
        <v>2</v>
      </c>
    </row>
    <row r="7525" spans="1:10" x14ac:dyDescent="0.25">
      <c r="A7525" t="s">
        <v>66</v>
      </c>
      <c r="B7525" s="1" t="str">
        <f>HYPERLINK("http://bmw.co.cr","bmw.co.cr")</f>
        <v>bmw.co.cr</v>
      </c>
      <c r="C7525" t="s">
        <v>434</v>
      </c>
      <c r="D7525" t="s">
        <v>813</v>
      </c>
      <c r="E7525">
        <v>424459</v>
      </c>
      <c r="F7525">
        <v>1.7283299795758601E-8</v>
      </c>
      <c r="G7525">
        <v>3203232</v>
      </c>
      <c r="H7525">
        <v>13000010</v>
      </c>
      <c r="I7525">
        <v>12795910</v>
      </c>
      <c r="J7525">
        <v>4</v>
      </c>
    </row>
    <row r="7526" spans="1:10" x14ac:dyDescent="0.25">
      <c r="A7526" t="s">
        <v>66</v>
      </c>
      <c r="B7526" s="1" t="str">
        <f>HYPERLINK("http://mini.co.cr","mini.co.cr")</f>
        <v>mini.co.cr</v>
      </c>
      <c r="C7526" t="s">
        <v>434</v>
      </c>
      <c r="D7526" t="s">
        <v>813</v>
      </c>
      <c r="F7526">
        <v>9.3872746046921901E-9</v>
      </c>
      <c r="G7526">
        <v>7461867</v>
      </c>
      <c r="H7526">
        <v>10634056</v>
      </c>
      <c r="I7526">
        <v>43891827</v>
      </c>
      <c r="J7526">
        <v>3</v>
      </c>
    </row>
    <row r="7527" spans="1:10" x14ac:dyDescent="0.25">
      <c r="A7527" t="s">
        <v>66</v>
      </c>
      <c r="B7527" s="1" t="str">
        <f>HYPERLINK("http://bmw.cw","bmw.cw")</f>
        <v>bmw.cw</v>
      </c>
      <c r="C7527" t="s">
        <v>689</v>
      </c>
      <c r="D7527" t="s">
        <v>1006</v>
      </c>
      <c r="F7527">
        <v>1.0828615583497699E-8</v>
      </c>
      <c r="G7527">
        <v>5998227</v>
      </c>
      <c r="H7527">
        <v>12510952</v>
      </c>
      <c r="I7527">
        <v>17236554</v>
      </c>
      <c r="J7527">
        <v>4</v>
      </c>
    </row>
    <row r="7528" spans="1:10" x14ac:dyDescent="0.25">
      <c r="A7528" t="s">
        <v>66</v>
      </c>
      <c r="B7528" s="1" t="str">
        <f>HYPERLINK("http://bmw.com.cy","bmw.com.cy")</f>
        <v>bmw.com.cy</v>
      </c>
      <c r="C7528" t="s">
        <v>610</v>
      </c>
      <c r="D7528" t="s">
        <v>937</v>
      </c>
      <c r="F7528">
        <v>2.3986675535518599E-8</v>
      </c>
      <c r="G7528">
        <v>2164254</v>
      </c>
      <c r="H7528">
        <v>13260066</v>
      </c>
      <c r="I7528">
        <v>11041242</v>
      </c>
      <c r="J7528">
        <v>4</v>
      </c>
    </row>
    <row r="7529" spans="1:10" x14ac:dyDescent="0.25">
      <c r="A7529" t="s">
        <v>66</v>
      </c>
      <c r="B7529" s="1" t="str">
        <f>HYPERLINK("http://alphabet.cz","alphabet.cz")</f>
        <v>alphabet.cz</v>
      </c>
      <c r="C7529" t="s">
        <v>435</v>
      </c>
      <c r="D7529" t="s">
        <v>814</v>
      </c>
      <c r="J7529">
        <v>2</v>
      </c>
    </row>
    <row r="7530" spans="1:10" x14ac:dyDescent="0.25">
      <c r="A7530" t="s">
        <v>66</v>
      </c>
      <c r="B7530" s="1" t="str">
        <f>HYPERLINK("http://bmw.cz","bmw.cz")</f>
        <v>bmw.cz</v>
      </c>
      <c r="C7530" t="s">
        <v>435</v>
      </c>
      <c r="D7530" t="s">
        <v>814</v>
      </c>
      <c r="E7530">
        <v>972228</v>
      </c>
      <c r="F7530">
        <v>8.8490652543355995E-8</v>
      </c>
      <c r="G7530">
        <v>462550</v>
      </c>
      <c r="H7530">
        <v>14629707</v>
      </c>
      <c r="I7530">
        <v>646205</v>
      </c>
      <c r="J7530">
        <v>2</v>
      </c>
    </row>
    <row r="7531" spans="1:10" x14ac:dyDescent="0.25">
      <c r="A7531" t="s">
        <v>66</v>
      </c>
      <c r="B7531" s="1" t="str">
        <f>HYPERLINK("http://bmw-motorrad.cz","bmw-motorrad.cz")</f>
        <v>bmw-motorrad.cz</v>
      </c>
      <c r="C7531" t="s">
        <v>435</v>
      </c>
      <c r="D7531" t="s">
        <v>814</v>
      </c>
      <c r="F7531">
        <v>2.57178254909568E-8</v>
      </c>
      <c r="G7531">
        <v>2004638</v>
      </c>
      <c r="H7531">
        <v>12462078</v>
      </c>
      <c r="I7531">
        <v>17847358</v>
      </c>
      <c r="J7531">
        <v>2</v>
      </c>
    </row>
    <row r="7532" spans="1:10" x14ac:dyDescent="0.25">
      <c r="A7532" t="s">
        <v>66</v>
      </c>
      <c r="B7532" s="1" t="str">
        <f>HYPERLINK("http://bmwcartec.cz","bmwcartec.cz")</f>
        <v>bmwcartec.cz</v>
      </c>
      <c r="C7532" t="s">
        <v>435</v>
      </c>
      <c r="D7532" t="s">
        <v>814</v>
      </c>
      <c r="F7532">
        <v>1.2640673794748899E-8</v>
      </c>
      <c r="G7532">
        <v>4810138</v>
      </c>
      <c r="H7532">
        <v>12471146</v>
      </c>
      <c r="I7532">
        <v>17736478</v>
      </c>
      <c r="J7532">
        <v>6</v>
      </c>
    </row>
    <row r="7533" spans="1:10" x14ac:dyDescent="0.25">
      <c r="A7533" t="s">
        <v>66</v>
      </c>
      <c r="B7533" s="1" t="str">
        <f>HYPERLINK("http://mini.cz","mini.cz")</f>
        <v>mini.cz</v>
      </c>
      <c r="C7533" t="s">
        <v>435</v>
      </c>
      <c r="D7533" t="s">
        <v>814</v>
      </c>
      <c r="F7533">
        <v>1.54481626896437E-8</v>
      </c>
      <c r="G7533">
        <v>3699416</v>
      </c>
      <c r="H7533">
        <v>14072229</v>
      </c>
      <c r="I7533">
        <v>3132343</v>
      </c>
      <c r="J7533">
        <v>2</v>
      </c>
    </row>
    <row r="7534" spans="1:10" x14ac:dyDescent="0.25">
      <c r="A7534" t="s">
        <v>66</v>
      </c>
      <c r="B7534" s="1" t="str">
        <f>HYPERLINK("http://rollsroyceprague.cz","rollsroyceprague.cz")</f>
        <v>rollsroyceprague.cz</v>
      </c>
      <c r="C7534" t="s">
        <v>435</v>
      </c>
      <c r="D7534" t="s">
        <v>814</v>
      </c>
      <c r="F7534">
        <v>8.9441163824634298E-9</v>
      </c>
      <c r="G7534">
        <v>8076170</v>
      </c>
      <c r="H7534">
        <v>11507306</v>
      </c>
      <c r="I7534">
        <v>30019302</v>
      </c>
      <c r="J7534">
        <v>5</v>
      </c>
    </row>
    <row r="7535" spans="1:10" x14ac:dyDescent="0.25">
      <c r="A7535" t="s">
        <v>66</v>
      </c>
      <c r="B7535" s="1" t="str">
        <f>HYPERLINK("http://ahag-group.de","ahag-group.de")</f>
        <v>ahag-group.de</v>
      </c>
      <c r="C7535" t="s">
        <v>436</v>
      </c>
      <c r="D7535" t="s">
        <v>815</v>
      </c>
      <c r="F7535">
        <v>4.08496523238587E-8</v>
      </c>
      <c r="G7535">
        <v>1269413</v>
      </c>
      <c r="H7535">
        <v>12337312</v>
      </c>
      <c r="I7535">
        <v>20062628</v>
      </c>
      <c r="J7535">
        <v>6</v>
      </c>
    </row>
    <row r="7536" spans="1:10" x14ac:dyDescent="0.25">
      <c r="A7536" t="s">
        <v>66</v>
      </c>
      <c r="B7536" s="1" t="str">
        <f>HYPERLINK("http://alphabet.de","alphabet.de")</f>
        <v>alphabet.de</v>
      </c>
      <c r="C7536" t="s">
        <v>436</v>
      </c>
      <c r="D7536" t="s">
        <v>815</v>
      </c>
      <c r="F7536">
        <v>2.8817048706155501E-8</v>
      </c>
      <c r="G7536">
        <v>1786143</v>
      </c>
      <c r="H7536">
        <v>14031591</v>
      </c>
      <c r="I7536">
        <v>3926288</v>
      </c>
      <c r="J7536">
        <v>2</v>
      </c>
    </row>
    <row r="7537" spans="1:10" x14ac:dyDescent="0.25">
      <c r="A7537" t="s">
        <v>66</v>
      </c>
      <c r="B7537" s="1" t="str">
        <f>HYPERLINK("http://autohaus-krah-enders.de","autohaus-krah-enders.de")</f>
        <v>autohaus-krah-enders.de</v>
      </c>
      <c r="C7537" t="s">
        <v>436</v>
      </c>
      <c r="D7537" t="s">
        <v>815</v>
      </c>
      <c r="F7537">
        <v>4.0735738938025003E-8</v>
      </c>
      <c r="G7537">
        <v>1272304</v>
      </c>
      <c r="H7537">
        <v>12266447</v>
      </c>
      <c r="I7537">
        <v>21608369</v>
      </c>
      <c r="J7537">
        <v>6</v>
      </c>
    </row>
    <row r="7538" spans="1:10" x14ac:dyDescent="0.25">
      <c r="A7538" t="s">
        <v>66</v>
      </c>
      <c r="B7538" s="1" t="str">
        <f>HYPERLINK("http://autohaus-sperber.de","autohaus-sperber.de")</f>
        <v>autohaus-sperber.de</v>
      </c>
      <c r="C7538" t="s">
        <v>436</v>
      </c>
      <c r="D7538" t="s">
        <v>815</v>
      </c>
      <c r="F7538">
        <v>1.49308854112402E-8</v>
      </c>
      <c r="G7538">
        <v>3862440</v>
      </c>
      <c r="H7538">
        <v>12367480</v>
      </c>
      <c r="I7538">
        <v>19458152</v>
      </c>
      <c r="J7538">
        <v>6</v>
      </c>
    </row>
    <row r="7539" spans="1:10" x14ac:dyDescent="0.25">
      <c r="A7539" t="s">
        <v>66</v>
      </c>
      <c r="B7539" s="1" t="str">
        <f>HYPERLINK("http://autohausfink.de","autohausfink.de")</f>
        <v>autohausfink.de</v>
      </c>
      <c r="C7539" t="s">
        <v>436</v>
      </c>
      <c r="D7539" t="s">
        <v>815</v>
      </c>
      <c r="F7539">
        <v>1.07367587957205E-8</v>
      </c>
      <c r="G7539">
        <v>6070462</v>
      </c>
      <c r="H7539">
        <v>9435090</v>
      </c>
      <c r="I7539">
        <v>66746237</v>
      </c>
      <c r="J7539">
        <v>6</v>
      </c>
    </row>
    <row r="7540" spans="1:10" x14ac:dyDescent="0.25">
      <c r="A7540" t="s">
        <v>66</v>
      </c>
      <c r="B7540" s="1" t="str">
        <f>HYPERLINK("http://automobile-as.de","automobile-as.de")</f>
        <v>automobile-as.de</v>
      </c>
      <c r="C7540" t="s">
        <v>436</v>
      </c>
      <c r="D7540" t="s">
        <v>815</v>
      </c>
      <c r="F7540">
        <v>4.6701636582162302E-9</v>
      </c>
      <c r="G7540">
        <v>42914132</v>
      </c>
      <c r="H7540">
        <v>12280383</v>
      </c>
      <c r="I7540">
        <v>21297726</v>
      </c>
      <c r="J7540">
        <v>6</v>
      </c>
    </row>
    <row r="7541" spans="1:10" x14ac:dyDescent="0.25">
      <c r="A7541" t="s">
        <v>66</v>
      </c>
      <c r="B7541" s="1" t="str">
        <f>HYPERLINK("http://bimmer-tuning.de","bimmer-tuning.de")</f>
        <v>bimmer-tuning.de</v>
      </c>
      <c r="C7541" t="s">
        <v>436</v>
      </c>
      <c r="D7541" t="s">
        <v>815</v>
      </c>
      <c r="F7541">
        <v>4.5962756087229302E-9</v>
      </c>
      <c r="G7541">
        <v>47896206</v>
      </c>
      <c r="H7541">
        <v>10539810</v>
      </c>
      <c r="I7541">
        <v>47291676</v>
      </c>
      <c r="J7541">
        <v>6</v>
      </c>
    </row>
    <row r="7542" spans="1:10" x14ac:dyDescent="0.25">
      <c r="A7542" t="s">
        <v>66</v>
      </c>
      <c r="B7542" s="1" t="str">
        <f>HYPERLINK("http://bmw-berlin.de","bmw-berlin.de")</f>
        <v>bmw-berlin.de</v>
      </c>
      <c r="C7542" t="s">
        <v>436</v>
      </c>
      <c r="D7542" t="s">
        <v>815</v>
      </c>
      <c r="F7542">
        <v>2.4477834967094801E-8</v>
      </c>
      <c r="G7542">
        <v>2116708</v>
      </c>
      <c r="H7542">
        <v>12389005</v>
      </c>
      <c r="I7542">
        <v>19067193</v>
      </c>
      <c r="J7542">
        <v>6</v>
      </c>
    </row>
    <row r="7543" spans="1:10" x14ac:dyDescent="0.25">
      <c r="A7543" t="s">
        <v>66</v>
      </c>
      <c r="B7543" s="1" t="str">
        <f>HYPERLINK("http://bmw-dortmund.de","bmw-dortmund.de")</f>
        <v>bmw-dortmund.de</v>
      </c>
      <c r="C7543" t="s">
        <v>436</v>
      </c>
      <c r="D7543" t="s">
        <v>815</v>
      </c>
      <c r="F7543">
        <v>1.7454609281014199E-8</v>
      </c>
      <c r="G7543">
        <v>3157203</v>
      </c>
      <c r="H7543">
        <v>12315689</v>
      </c>
      <c r="I7543">
        <v>20504209</v>
      </c>
      <c r="J7543">
        <v>6</v>
      </c>
    </row>
    <row r="7544" spans="1:10" x14ac:dyDescent="0.25">
      <c r="A7544" t="s">
        <v>66</v>
      </c>
      <c r="B7544" s="1" t="str">
        <f>HYPERLINK("http://bmw-ehrl.de","bmw-ehrl.de")</f>
        <v>bmw-ehrl.de</v>
      </c>
      <c r="C7544" t="s">
        <v>436</v>
      </c>
      <c r="D7544" t="s">
        <v>815</v>
      </c>
      <c r="F7544">
        <v>1.21305765401837E-8</v>
      </c>
      <c r="G7544">
        <v>5091234</v>
      </c>
      <c r="H7544">
        <v>12174726</v>
      </c>
      <c r="I7544">
        <v>23940348</v>
      </c>
      <c r="J7544">
        <v>6</v>
      </c>
    </row>
    <row r="7545" spans="1:10" x14ac:dyDescent="0.25">
      <c r="A7545" t="s">
        <v>66</v>
      </c>
      <c r="B7545" s="1" t="str">
        <f>HYPERLINK("http://bmw-faba.de","bmw-faba.de")</f>
        <v>bmw-faba.de</v>
      </c>
      <c r="C7545" t="s">
        <v>436</v>
      </c>
      <c r="D7545" t="s">
        <v>815</v>
      </c>
      <c r="F7545">
        <v>1.82447671721237E-8</v>
      </c>
      <c r="G7545">
        <v>2978208</v>
      </c>
      <c r="H7545">
        <v>12642127</v>
      </c>
      <c r="I7545">
        <v>15853325</v>
      </c>
      <c r="J7545">
        <v>6</v>
      </c>
    </row>
    <row r="7546" spans="1:10" x14ac:dyDescent="0.25">
      <c r="A7546" t="s">
        <v>66</v>
      </c>
      <c r="B7546" s="1" t="str">
        <f>HYPERLINK("http://bmw-gottstein.de","bmw-gottstein.de")</f>
        <v>bmw-gottstein.de</v>
      </c>
      <c r="C7546" t="s">
        <v>436</v>
      </c>
      <c r="D7546" t="s">
        <v>815</v>
      </c>
      <c r="F7546">
        <v>1.2108669472540399E-8</v>
      </c>
      <c r="G7546">
        <v>5105418</v>
      </c>
      <c r="H7546">
        <v>12123039</v>
      </c>
      <c r="I7546">
        <v>25328667</v>
      </c>
      <c r="J7546">
        <v>6</v>
      </c>
    </row>
    <row r="7547" spans="1:10" x14ac:dyDescent="0.25">
      <c r="A7547" t="s">
        <v>66</v>
      </c>
      <c r="B7547" s="1" t="str">
        <f>HYPERLINK("http://bmw-hamburg.de","bmw-hamburg.de")</f>
        <v>bmw-hamburg.de</v>
      </c>
      <c r="C7547" t="s">
        <v>436</v>
      </c>
      <c r="D7547" t="s">
        <v>815</v>
      </c>
      <c r="F7547">
        <v>3.3318076819565997E-8</v>
      </c>
      <c r="G7547">
        <v>1551136</v>
      </c>
      <c r="H7547">
        <v>13487617</v>
      </c>
      <c r="I7547">
        <v>9992207</v>
      </c>
      <c r="J7547">
        <v>6</v>
      </c>
    </row>
    <row r="7548" spans="1:10" x14ac:dyDescent="0.25">
      <c r="A7548" t="s">
        <v>66</v>
      </c>
      <c r="B7548" s="1" t="str">
        <f>HYPERLINK("http://bmw-heermann-rhein.de","bmw-heermann-rhein.de")</f>
        <v>bmw-heermann-rhein.de</v>
      </c>
      <c r="C7548" t="s">
        <v>436</v>
      </c>
      <c r="D7548" t="s">
        <v>815</v>
      </c>
      <c r="F7548">
        <v>9.4449269960104792E-9</v>
      </c>
      <c r="G7548">
        <v>7389013</v>
      </c>
      <c r="H7548">
        <v>12112395</v>
      </c>
      <c r="I7548">
        <v>25665366</v>
      </c>
      <c r="J7548">
        <v>6</v>
      </c>
    </row>
    <row r="7549" spans="1:10" x14ac:dyDescent="0.25">
      <c r="A7549" t="s">
        <v>66</v>
      </c>
      <c r="B7549" s="1" t="str">
        <f>HYPERLINK("http://bmw-huebner.de","bmw-huebner.de")</f>
        <v>bmw-huebner.de</v>
      </c>
      <c r="C7549" t="s">
        <v>436</v>
      </c>
      <c r="D7549" t="s">
        <v>815</v>
      </c>
      <c r="J7549">
        <v>6</v>
      </c>
    </row>
    <row r="7550" spans="1:10" x14ac:dyDescent="0.25">
      <c r="A7550" t="s">
        <v>66</v>
      </c>
      <c r="B7550" s="1" t="str">
        <f>HYPERLINK("http://bmw-joas.de","bmw-joas.de")</f>
        <v>bmw-joas.de</v>
      </c>
      <c r="C7550" t="s">
        <v>436</v>
      </c>
      <c r="D7550" t="s">
        <v>815</v>
      </c>
      <c r="F7550">
        <v>7.4843099438685202E-9</v>
      </c>
      <c r="G7550">
        <v>11048204</v>
      </c>
      <c r="H7550">
        <v>12283757</v>
      </c>
      <c r="I7550">
        <v>21235541</v>
      </c>
      <c r="J7550">
        <v>6</v>
      </c>
    </row>
    <row r="7551" spans="1:10" x14ac:dyDescent="0.25">
      <c r="A7551" t="s">
        <v>66</v>
      </c>
      <c r="B7551" s="1" t="str">
        <f>HYPERLINK("http://bmw-kuehnert.de","bmw-kuehnert.de")</f>
        <v>bmw-kuehnert.de</v>
      </c>
      <c r="C7551" t="s">
        <v>436</v>
      </c>
      <c r="D7551" t="s">
        <v>815</v>
      </c>
      <c r="F7551">
        <v>3.05441408280755E-8</v>
      </c>
      <c r="G7551">
        <v>1685983</v>
      </c>
      <c r="H7551">
        <v>12392893</v>
      </c>
      <c r="I7551">
        <v>18985688</v>
      </c>
      <c r="J7551">
        <v>6</v>
      </c>
    </row>
    <row r="7552" spans="1:10" x14ac:dyDescent="0.25">
      <c r="A7552" t="s">
        <v>66</v>
      </c>
      <c r="B7552" s="1" t="str">
        <f>HYPERLINK("http://bmw-motorrad.de","bmw-motorrad.de")</f>
        <v>bmw-motorrad.de</v>
      </c>
      <c r="C7552" t="s">
        <v>436</v>
      </c>
      <c r="D7552" t="s">
        <v>815</v>
      </c>
      <c r="E7552">
        <v>18285</v>
      </c>
      <c r="F7552">
        <v>3.1066834103647999E-7</v>
      </c>
      <c r="G7552">
        <v>119705</v>
      </c>
      <c r="H7552">
        <v>14795262</v>
      </c>
      <c r="I7552">
        <v>549610</v>
      </c>
      <c r="J7552">
        <v>2</v>
      </c>
    </row>
    <row r="7553" spans="1:10" x14ac:dyDescent="0.25">
      <c r="A7553" t="s">
        <v>66</v>
      </c>
      <c r="B7553" s="1" t="str">
        <f>HYPERLINK("http://bmw-mueller-hollfeld.de","bmw-mueller-hollfeld.de")</f>
        <v>bmw-mueller-hollfeld.de</v>
      </c>
      <c r="C7553" t="s">
        <v>436</v>
      </c>
      <c r="D7553" t="s">
        <v>815</v>
      </c>
      <c r="F7553">
        <v>8.9932710244755698E-9</v>
      </c>
      <c r="G7553">
        <v>8001573</v>
      </c>
      <c r="H7553">
        <v>12113413</v>
      </c>
      <c r="I7553">
        <v>25642071</v>
      </c>
      <c r="J7553">
        <v>8</v>
      </c>
    </row>
    <row r="7554" spans="1:10" x14ac:dyDescent="0.25">
      <c r="A7554" t="s">
        <v>66</v>
      </c>
      <c r="B7554" s="1" t="str">
        <f>HYPERLINK("http://bmw-mueller-kloeck.de","bmw-mueller-kloeck.de")</f>
        <v>bmw-mueller-kloeck.de</v>
      </c>
      <c r="C7554" t="s">
        <v>436</v>
      </c>
      <c r="D7554" t="s">
        <v>815</v>
      </c>
      <c r="F7554">
        <v>1.1357190534649199E-8</v>
      </c>
      <c r="G7554">
        <v>5603344</v>
      </c>
      <c r="H7554">
        <v>12245455</v>
      </c>
      <c r="I7554">
        <v>22107368</v>
      </c>
      <c r="J7554">
        <v>6</v>
      </c>
    </row>
    <row r="7555" spans="1:10" x14ac:dyDescent="0.25">
      <c r="A7555" t="s">
        <v>66</v>
      </c>
      <c r="B7555" s="1" t="str">
        <f>HYPERLINK("http://bmw-muenchen.de","bmw-muenchen.de")</f>
        <v>bmw-muenchen.de</v>
      </c>
      <c r="C7555" t="s">
        <v>436</v>
      </c>
      <c r="D7555" t="s">
        <v>815</v>
      </c>
      <c r="E7555">
        <v>505915</v>
      </c>
      <c r="F7555">
        <v>5.1883673183686898E-8</v>
      </c>
      <c r="G7555">
        <v>880487</v>
      </c>
      <c r="H7555">
        <v>13772935</v>
      </c>
      <c r="I7555">
        <v>6644769</v>
      </c>
      <c r="J7555">
        <v>6</v>
      </c>
    </row>
    <row r="7556" spans="1:10" x14ac:dyDescent="0.25">
      <c r="A7556" t="s">
        <v>66</v>
      </c>
      <c r="B7556" s="1" t="str">
        <f>HYPERLINK("http://bmw-nuernberg.de","bmw-nuernberg.de")</f>
        <v>bmw-nuernberg.de</v>
      </c>
      <c r="C7556" t="s">
        <v>436</v>
      </c>
      <c r="D7556" t="s">
        <v>815</v>
      </c>
      <c r="F7556">
        <v>3.4500998068084401E-8</v>
      </c>
      <c r="G7556">
        <v>1503612</v>
      </c>
      <c r="H7556">
        <v>12899391</v>
      </c>
      <c r="I7556">
        <v>13883386</v>
      </c>
      <c r="J7556">
        <v>6</v>
      </c>
    </row>
    <row r="7557" spans="1:10" x14ac:dyDescent="0.25">
      <c r="A7557" t="s">
        <v>66</v>
      </c>
      <c r="B7557" s="1" t="str">
        <f>HYPERLINK("http://bmw-offenbach.de","bmw-offenbach.de")</f>
        <v>bmw-offenbach.de</v>
      </c>
      <c r="C7557" t="s">
        <v>436</v>
      </c>
      <c r="D7557" t="s">
        <v>815</v>
      </c>
      <c r="F7557">
        <v>8.1692263220073598E-9</v>
      </c>
      <c r="G7557">
        <v>9623777</v>
      </c>
      <c r="H7557">
        <v>12186036</v>
      </c>
      <c r="I7557">
        <v>23673212</v>
      </c>
      <c r="J7557">
        <v>6</v>
      </c>
    </row>
    <row r="7558" spans="1:10" x14ac:dyDescent="0.25">
      <c r="A7558" t="s">
        <v>66</v>
      </c>
      <c r="B7558" s="1" t="str">
        <f>HYPERLINK("http://bmw-overdreef.de","bmw-overdreef.de")</f>
        <v>bmw-overdreef.de</v>
      </c>
      <c r="C7558" t="s">
        <v>436</v>
      </c>
      <c r="D7558" t="s">
        <v>815</v>
      </c>
      <c r="F7558">
        <v>4.6653306751839797E-9</v>
      </c>
      <c r="G7558">
        <v>43214892</v>
      </c>
      <c r="H7558">
        <v>9449651</v>
      </c>
      <c r="I7558">
        <v>66524943</v>
      </c>
      <c r="J7558">
        <v>6</v>
      </c>
    </row>
    <row r="7559" spans="1:10" x14ac:dyDescent="0.25">
      <c r="A7559" t="s">
        <v>66</v>
      </c>
      <c r="B7559" s="1" t="str">
        <f>HYPERLINK("http://bmw-saarland.de","bmw-saarland.de")</f>
        <v>bmw-saarland.de</v>
      </c>
      <c r="C7559" t="s">
        <v>436</v>
      </c>
      <c r="D7559" t="s">
        <v>815</v>
      </c>
      <c r="F7559">
        <v>2.55043500705334E-8</v>
      </c>
      <c r="G7559">
        <v>2022375</v>
      </c>
      <c r="H7559">
        <v>13364672</v>
      </c>
      <c r="I7559">
        <v>10490568</v>
      </c>
      <c r="J7559">
        <v>6</v>
      </c>
    </row>
    <row r="7560" spans="1:10" x14ac:dyDescent="0.25">
      <c r="A7560" t="s">
        <v>66</v>
      </c>
      <c r="B7560" s="1" t="str">
        <f>HYPERLINK("http://bmw-schmid.de","bmw-schmid.de")</f>
        <v>bmw-schmid.de</v>
      </c>
      <c r="C7560" t="s">
        <v>436</v>
      </c>
      <c r="D7560" t="s">
        <v>815</v>
      </c>
      <c r="F7560">
        <v>8.6571883278737498E-9</v>
      </c>
      <c r="G7560">
        <v>8554314</v>
      </c>
      <c r="H7560">
        <v>12156499</v>
      </c>
      <c r="I7560">
        <v>24455819</v>
      </c>
      <c r="J7560">
        <v>6</v>
      </c>
    </row>
    <row r="7561" spans="1:10" x14ac:dyDescent="0.25">
      <c r="A7561" t="s">
        <v>66</v>
      </c>
      <c r="B7561" s="1" t="str">
        <f>HYPERLINK("http://bmw-service-bothe.de","bmw-service-bothe.de")</f>
        <v>bmw-service-bothe.de</v>
      </c>
      <c r="C7561" t="s">
        <v>436</v>
      </c>
      <c r="D7561" t="s">
        <v>815</v>
      </c>
      <c r="F7561">
        <v>7.17982990600717E-9</v>
      </c>
      <c r="G7561">
        <v>11796883</v>
      </c>
      <c r="H7561">
        <v>12219535</v>
      </c>
      <c r="I7561">
        <v>22796609</v>
      </c>
      <c r="J7561">
        <v>6</v>
      </c>
    </row>
    <row r="7562" spans="1:10" x14ac:dyDescent="0.25">
      <c r="A7562" t="s">
        <v>66</v>
      </c>
      <c r="B7562" s="1" t="str">
        <f>HYPERLINK("http://bmw-service-hackelboerger.de","bmw-service-hackelboerger.de")</f>
        <v>bmw-service-hackelboerger.de</v>
      </c>
      <c r="C7562" t="s">
        <v>436</v>
      </c>
      <c r="D7562" t="s">
        <v>815</v>
      </c>
      <c r="F7562">
        <v>1.2184629412012101E-8</v>
      </c>
      <c r="G7562">
        <v>5059449</v>
      </c>
      <c r="H7562">
        <v>12112393</v>
      </c>
      <c r="I7562">
        <v>25665436</v>
      </c>
      <c r="J7562">
        <v>6</v>
      </c>
    </row>
    <row r="7563" spans="1:10" x14ac:dyDescent="0.25">
      <c r="A7563" t="s">
        <v>66</v>
      </c>
      <c r="B7563" s="1" t="str">
        <f>HYPERLINK("http://bmw-service-leschitzki.de","bmw-service-leschitzki.de")</f>
        <v>bmw-service-leschitzki.de</v>
      </c>
      <c r="C7563" t="s">
        <v>436</v>
      </c>
      <c r="D7563" t="s">
        <v>815</v>
      </c>
      <c r="F7563">
        <v>4.44380395335525E-9</v>
      </c>
      <c r="G7563">
        <v>84270977</v>
      </c>
      <c r="H7563">
        <v>0</v>
      </c>
      <c r="I7563">
        <v>85291094</v>
      </c>
      <c r="J7563">
        <v>6</v>
      </c>
    </row>
    <row r="7564" spans="1:10" x14ac:dyDescent="0.25">
      <c r="A7564" t="s">
        <v>66</v>
      </c>
      <c r="B7564" s="1" t="str">
        <f>HYPERLINK("http://bmw-service-nick.de","bmw-service-nick.de")</f>
        <v>bmw-service-nick.de</v>
      </c>
      <c r="C7564" t="s">
        <v>436</v>
      </c>
      <c r="D7564" t="s">
        <v>815</v>
      </c>
      <c r="F7564">
        <v>5.9548105965731001E-9</v>
      </c>
      <c r="G7564">
        <v>16989106</v>
      </c>
      <c r="H7564">
        <v>10508758</v>
      </c>
      <c r="I7564">
        <v>50056888</v>
      </c>
      <c r="J7564">
        <v>6</v>
      </c>
    </row>
    <row r="7565" spans="1:10" x14ac:dyDescent="0.25">
      <c r="A7565" t="s">
        <v>66</v>
      </c>
      <c r="B7565" s="1" t="str">
        <f>HYPERLINK("http://bmw-stahmer.de","bmw-stahmer.de")</f>
        <v>bmw-stahmer.de</v>
      </c>
      <c r="C7565" t="s">
        <v>436</v>
      </c>
      <c r="D7565" t="s">
        <v>815</v>
      </c>
      <c r="F7565">
        <v>1.6818881511403099E-8</v>
      </c>
      <c r="G7565">
        <v>3328826</v>
      </c>
      <c r="H7565">
        <v>12792956</v>
      </c>
      <c r="I7565">
        <v>14673398</v>
      </c>
      <c r="J7565">
        <v>6</v>
      </c>
    </row>
    <row r="7566" spans="1:10" x14ac:dyDescent="0.25">
      <c r="A7566" t="s">
        <v>66</v>
      </c>
      <c r="B7566" s="1" t="str">
        <f>HYPERLINK("http://bmw-unterberger.de","bmw-unterberger.de")</f>
        <v>bmw-unterberger.de</v>
      </c>
      <c r="C7566" t="s">
        <v>436</v>
      </c>
      <c r="D7566" t="s">
        <v>815</v>
      </c>
      <c r="F7566">
        <v>1.2690784879561701E-8</v>
      </c>
      <c r="G7566">
        <v>4784307</v>
      </c>
      <c r="H7566">
        <v>12259901</v>
      </c>
      <c r="I7566">
        <v>21776335</v>
      </c>
      <c r="J7566">
        <v>6</v>
      </c>
    </row>
    <row r="7567" spans="1:10" x14ac:dyDescent="0.25">
      <c r="A7567" t="s">
        <v>66</v>
      </c>
      <c r="B7567" s="1" t="str">
        <f>HYPERLINK("http://bmw-werk-dingolfing.de","bmw-werk-dingolfing.de")</f>
        <v>bmw-werk-dingolfing.de</v>
      </c>
      <c r="C7567" t="s">
        <v>436</v>
      </c>
      <c r="D7567" t="s">
        <v>815</v>
      </c>
      <c r="F7567">
        <v>1.16241857794715E-8</v>
      </c>
      <c r="G7567">
        <v>5416794</v>
      </c>
      <c r="H7567">
        <v>14074431</v>
      </c>
      <c r="I7567">
        <v>2943388</v>
      </c>
      <c r="J7567">
        <v>6</v>
      </c>
    </row>
    <row r="7568" spans="1:10" x14ac:dyDescent="0.25">
      <c r="A7568" t="s">
        <v>66</v>
      </c>
      <c r="B7568" s="1" t="str">
        <f>HYPERLINK("http://bmw-werk-eisenach.de","bmw-werk-eisenach.de")</f>
        <v>bmw-werk-eisenach.de</v>
      </c>
      <c r="C7568" t="s">
        <v>436</v>
      </c>
      <c r="D7568" t="s">
        <v>815</v>
      </c>
      <c r="F7568">
        <v>6.0212381720296697E-9</v>
      </c>
      <c r="G7568">
        <v>16551558</v>
      </c>
      <c r="H7568">
        <v>14072332</v>
      </c>
      <c r="I7568">
        <v>3114357</v>
      </c>
      <c r="J7568">
        <v>3</v>
      </c>
    </row>
    <row r="7569" spans="1:10" x14ac:dyDescent="0.25">
      <c r="A7569" t="s">
        <v>66</v>
      </c>
      <c r="B7569" s="1" t="str">
        <f>HYPERLINK("http://bmw-wernecke.de","bmw-wernecke.de")</f>
        <v>bmw-wernecke.de</v>
      </c>
      <c r="C7569" t="s">
        <v>436</v>
      </c>
      <c r="D7569" t="s">
        <v>815</v>
      </c>
      <c r="F7569">
        <v>1.68693324787769E-8</v>
      </c>
      <c r="G7569">
        <v>3316726</v>
      </c>
      <c r="H7569">
        <v>12486819</v>
      </c>
      <c r="I7569">
        <v>17524623</v>
      </c>
      <c r="J7569">
        <v>6</v>
      </c>
    </row>
    <row r="7570" spans="1:10" x14ac:dyDescent="0.25">
      <c r="A7570" t="s">
        <v>66</v>
      </c>
      <c r="B7570" s="1" t="str">
        <f>HYPERLINK("http://bmw-wolter-steiner.de","bmw-wolter-steiner.de")</f>
        <v>bmw-wolter-steiner.de</v>
      </c>
      <c r="C7570" t="s">
        <v>436</v>
      </c>
      <c r="D7570" t="s">
        <v>815</v>
      </c>
      <c r="F7570">
        <v>1.0072388658635699E-8</v>
      </c>
      <c r="G7570">
        <v>6679461</v>
      </c>
      <c r="H7570">
        <v>12148860</v>
      </c>
      <c r="I7570">
        <v>24651064</v>
      </c>
      <c r="J7570">
        <v>6</v>
      </c>
    </row>
    <row r="7571" spans="1:10" x14ac:dyDescent="0.25">
      <c r="A7571" t="s">
        <v>66</v>
      </c>
      <c r="B7571" s="1" t="str">
        <f>HYPERLINK("http://bmwbank.de","bmwbank.de")</f>
        <v>bmwbank.de</v>
      </c>
      <c r="C7571" t="s">
        <v>436</v>
      </c>
      <c r="D7571" t="s">
        <v>815</v>
      </c>
      <c r="E7571">
        <v>479798</v>
      </c>
      <c r="F7571">
        <v>6.7300725815546003E-8</v>
      </c>
      <c r="G7571">
        <v>635195</v>
      </c>
      <c r="H7571">
        <v>13584318</v>
      </c>
      <c r="I7571">
        <v>9679535</v>
      </c>
      <c r="J7571">
        <v>3</v>
      </c>
    </row>
    <row r="7572" spans="1:10" x14ac:dyDescent="0.25">
      <c r="A7572" t="s">
        <v>66</v>
      </c>
      <c r="B7572" s="1" t="str">
        <f>HYPERLINK("http://bmwgroup.de","bmwgroup.de")</f>
        <v>bmwgroup.de</v>
      </c>
      <c r="C7572" t="s">
        <v>436</v>
      </c>
      <c r="D7572" t="s">
        <v>815</v>
      </c>
      <c r="F7572">
        <v>2.7892208836675901E-8</v>
      </c>
      <c r="G7572">
        <v>1844024</v>
      </c>
      <c r="H7572">
        <v>13774656</v>
      </c>
      <c r="I7572">
        <v>6600439</v>
      </c>
      <c r="J7572">
        <v>2</v>
      </c>
    </row>
    <row r="7573" spans="1:10" x14ac:dyDescent="0.25">
      <c r="A7573" t="s">
        <v>66</v>
      </c>
      <c r="B7573" s="1" t="str">
        <f>HYPERLINK("http://bmwservice-hengge.de","bmwservice-hengge.de")</f>
        <v>bmwservice-hengge.de</v>
      </c>
      <c r="C7573" t="s">
        <v>436</v>
      </c>
      <c r="D7573" t="s">
        <v>815</v>
      </c>
      <c r="F7573">
        <v>1.24318135855213E-8</v>
      </c>
      <c r="G7573">
        <v>4922096</v>
      </c>
      <c r="H7573">
        <v>8782020</v>
      </c>
      <c r="I7573">
        <v>69482562</v>
      </c>
      <c r="J7573">
        <v>6</v>
      </c>
    </row>
    <row r="7574" spans="1:10" x14ac:dyDescent="0.25">
      <c r="A7574" t="s">
        <v>66</v>
      </c>
      <c r="B7574" s="1" t="str">
        <f>HYPERLINK("http://eg-performance.de","eg-performance.de")</f>
        <v>eg-performance.de</v>
      </c>
      <c r="C7574" t="s">
        <v>436</v>
      </c>
      <c r="D7574" t="s">
        <v>815</v>
      </c>
      <c r="J7574">
        <v>6</v>
      </c>
    </row>
    <row r="7575" spans="1:10" x14ac:dyDescent="0.25">
      <c r="A7575" t="s">
        <v>66</v>
      </c>
      <c r="B7575" s="1" t="str">
        <f>HYPERLINK("http://huenniger.de","huenniger.de")</f>
        <v>huenniger.de</v>
      </c>
      <c r="C7575" t="s">
        <v>436</v>
      </c>
      <c r="D7575" t="s">
        <v>815</v>
      </c>
      <c r="F7575">
        <v>4.4518926012214401E-9</v>
      </c>
      <c r="G7575">
        <v>70895590</v>
      </c>
      <c r="H7575">
        <v>10841249</v>
      </c>
      <c r="I7575">
        <v>37089599</v>
      </c>
      <c r="J7575">
        <v>6</v>
      </c>
    </row>
    <row r="7576" spans="1:10" x14ac:dyDescent="0.25">
      <c r="A7576" t="s">
        <v>66</v>
      </c>
      <c r="B7576" s="1" t="str">
        <f>HYPERLINK("http://klaus-mayer-bmw.de","klaus-mayer-bmw.de")</f>
        <v>klaus-mayer-bmw.de</v>
      </c>
      <c r="C7576" t="s">
        <v>436</v>
      </c>
      <c r="D7576" t="s">
        <v>815</v>
      </c>
      <c r="F7576">
        <v>8.0393699095715307E-9</v>
      </c>
      <c r="G7576">
        <v>9849050</v>
      </c>
      <c r="H7576">
        <v>12704060</v>
      </c>
      <c r="I7576">
        <v>15332660</v>
      </c>
      <c r="J7576">
        <v>6</v>
      </c>
    </row>
    <row r="7577" spans="1:10" x14ac:dyDescent="0.25">
      <c r="A7577" t="s">
        <v>66</v>
      </c>
      <c r="B7577" s="1" t="str">
        <f>HYPERLINK("http://krause-motorrad.de","krause-motorrad.de")</f>
        <v>krause-motorrad.de</v>
      </c>
      <c r="C7577" t="s">
        <v>436</v>
      </c>
      <c r="D7577" t="s">
        <v>815</v>
      </c>
      <c r="F7577">
        <v>4.4891529897691197E-9</v>
      </c>
      <c r="G7577">
        <v>60654352</v>
      </c>
      <c r="H7577">
        <v>12105270</v>
      </c>
      <c r="I7577">
        <v>25842409</v>
      </c>
      <c r="J7577">
        <v>6</v>
      </c>
    </row>
    <row r="7578" spans="1:10" x14ac:dyDescent="0.25">
      <c r="A7578" t="s">
        <v>66</v>
      </c>
      <c r="B7578" s="1" t="str">
        <f>HYPERLINK("http://leschitzki.de","leschitzki.de")</f>
        <v>leschitzki.de</v>
      </c>
      <c r="C7578" t="s">
        <v>436</v>
      </c>
      <c r="D7578" t="s">
        <v>815</v>
      </c>
      <c r="F7578">
        <v>6.5977062803757798E-9</v>
      </c>
      <c r="G7578">
        <v>13685721</v>
      </c>
      <c r="H7578">
        <v>10841719</v>
      </c>
      <c r="I7578">
        <v>37070279</v>
      </c>
      <c r="J7578">
        <v>6</v>
      </c>
    </row>
    <row r="7579" spans="1:10" x14ac:dyDescent="0.25">
      <c r="A7579" t="s">
        <v>66</v>
      </c>
      <c r="B7579" s="1" t="str">
        <f>HYPERLINK("http://menke-gruppe.de","menke-gruppe.de")</f>
        <v>menke-gruppe.de</v>
      </c>
      <c r="C7579" t="s">
        <v>436</v>
      </c>
      <c r="D7579" t="s">
        <v>815</v>
      </c>
      <c r="F7579">
        <v>1.06271619264505E-8</v>
      </c>
      <c r="G7579">
        <v>6160732</v>
      </c>
      <c r="H7579">
        <v>12036650</v>
      </c>
      <c r="I7579">
        <v>27524990</v>
      </c>
      <c r="J7579">
        <v>6</v>
      </c>
    </row>
    <row r="7580" spans="1:10" x14ac:dyDescent="0.25">
      <c r="A7580" t="s">
        <v>66</v>
      </c>
      <c r="B7580" s="1" t="str">
        <f>HYPERLINK("http://mini.de","mini.de")</f>
        <v>mini.de</v>
      </c>
      <c r="C7580" t="s">
        <v>436</v>
      </c>
      <c r="D7580" t="s">
        <v>815</v>
      </c>
      <c r="E7580">
        <v>10926</v>
      </c>
      <c r="F7580">
        <v>4.27071902278015E-7</v>
      </c>
      <c r="G7580">
        <v>88200</v>
      </c>
      <c r="H7580">
        <v>15303310</v>
      </c>
      <c r="I7580">
        <v>385821</v>
      </c>
      <c r="J7580">
        <v>2</v>
      </c>
    </row>
    <row r="7581" spans="1:10" x14ac:dyDescent="0.25">
      <c r="A7581" t="s">
        <v>66</v>
      </c>
      <c r="B7581" s="1" t="str">
        <f>HYPERLINK("http://mueller-hollfeld.de","mueller-hollfeld.de")</f>
        <v>mueller-hollfeld.de</v>
      </c>
      <c r="C7581" t="s">
        <v>436</v>
      </c>
      <c r="D7581" t="s">
        <v>815</v>
      </c>
      <c r="F7581">
        <v>4.4845089183463299E-9</v>
      </c>
      <c r="G7581">
        <v>61484810</v>
      </c>
      <c r="H7581">
        <v>10079913</v>
      </c>
      <c r="I7581">
        <v>60041996</v>
      </c>
      <c r="J7581">
        <v>6</v>
      </c>
    </row>
    <row r="7582" spans="1:10" x14ac:dyDescent="0.25">
      <c r="A7582" t="s">
        <v>66</v>
      </c>
      <c r="B7582" s="1" t="str">
        <f>HYPERLINK("http://premiumfs-ho.de","premiumfs-ho.de")</f>
        <v>premiumfs-ho.de</v>
      </c>
      <c r="C7582" t="s">
        <v>436</v>
      </c>
      <c r="D7582" t="s">
        <v>815</v>
      </c>
      <c r="J7582">
        <v>2</v>
      </c>
    </row>
    <row r="7583" spans="1:10" x14ac:dyDescent="0.25">
      <c r="A7583" t="s">
        <v>66</v>
      </c>
      <c r="B7583" s="1" t="str">
        <f>HYPERLINK("http://rhein-bodensee.de","rhein-bodensee.de")</f>
        <v>rhein-bodensee.de</v>
      </c>
      <c r="C7583" t="s">
        <v>436</v>
      </c>
      <c r="D7583" t="s">
        <v>815</v>
      </c>
      <c r="F7583">
        <v>9.3538535445364896E-9</v>
      </c>
      <c r="G7583">
        <v>7503189</v>
      </c>
      <c r="H7583">
        <v>12431529</v>
      </c>
      <c r="I7583">
        <v>18279216</v>
      </c>
      <c r="J7583">
        <v>6</v>
      </c>
    </row>
    <row r="7584" spans="1:10" x14ac:dyDescent="0.25">
      <c r="A7584" t="s">
        <v>66</v>
      </c>
      <c r="B7584" s="1" t="str">
        <f>HYPERLINK("http://schwarz-service.de","schwarz-service.de")</f>
        <v>schwarz-service.de</v>
      </c>
      <c r="C7584" t="s">
        <v>436</v>
      </c>
      <c r="D7584" t="s">
        <v>815</v>
      </c>
      <c r="F7584">
        <v>6.3428556956568597E-9</v>
      </c>
      <c r="G7584">
        <v>14796979</v>
      </c>
      <c r="H7584">
        <v>10703909</v>
      </c>
      <c r="I7584">
        <v>42253599</v>
      </c>
      <c r="J7584">
        <v>6</v>
      </c>
    </row>
    <row r="7585" spans="1:10" x14ac:dyDescent="0.25">
      <c r="A7585" t="s">
        <v>66</v>
      </c>
      <c r="B7585" s="1" t="str">
        <f>HYPERLINK("http://tschirley.de","tschirley.de")</f>
        <v>tschirley.de</v>
      </c>
      <c r="C7585" t="s">
        <v>436</v>
      </c>
      <c r="D7585" t="s">
        <v>815</v>
      </c>
      <c r="F7585">
        <v>4.6187802360039098E-9</v>
      </c>
      <c r="G7585">
        <v>46218173</v>
      </c>
      <c r="H7585">
        <v>10734187</v>
      </c>
      <c r="I7585">
        <v>40699395</v>
      </c>
      <c r="J7585">
        <v>6</v>
      </c>
    </row>
    <row r="7586" spans="1:10" x14ac:dyDescent="0.25">
      <c r="A7586" t="s">
        <v>66</v>
      </c>
      <c r="B7586" s="1" t="str">
        <f>HYPERLINK("http://widmann-winterholler.de","widmann-winterholler.de")</f>
        <v>widmann-winterholler.de</v>
      </c>
      <c r="C7586" t="s">
        <v>436</v>
      </c>
      <c r="D7586" t="s">
        <v>815</v>
      </c>
      <c r="F7586">
        <v>1.6980199512019702E-8</v>
      </c>
      <c r="G7586">
        <v>3287874</v>
      </c>
      <c r="H7586">
        <v>12277832</v>
      </c>
      <c r="I7586">
        <v>21352196</v>
      </c>
      <c r="J7586">
        <v>6</v>
      </c>
    </row>
    <row r="7587" spans="1:10" x14ac:dyDescent="0.25">
      <c r="A7587" t="s">
        <v>66</v>
      </c>
      <c r="B7587" s="1" t="str">
        <f>HYPERLINK("http://bmw.dk","bmw.dk")</f>
        <v>bmw.dk</v>
      </c>
      <c r="C7587" t="s">
        <v>437</v>
      </c>
      <c r="D7587" t="s">
        <v>816</v>
      </c>
      <c r="F7587">
        <v>6.6599152355647795E-8</v>
      </c>
      <c r="G7587">
        <v>643094</v>
      </c>
      <c r="H7587">
        <v>14084653</v>
      </c>
      <c r="I7587">
        <v>2786055</v>
      </c>
      <c r="J7587">
        <v>2</v>
      </c>
    </row>
    <row r="7588" spans="1:10" x14ac:dyDescent="0.25">
      <c r="A7588" t="s">
        <v>66</v>
      </c>
      <c r="B7588" s="1" t="str">
        <f>HYPERLINK("http://bmw-motorrad.dk","bmw-motorrad.dk")</f>
        <v>bmw-motorrad.dk</v>
      </c>
      <c r="C7588" t="s">
        <v>437</v>
      </c>
      <c r="D7588" t="s">
        <v>816</v>
      </c>
      <c r="F7588">
        <v>1.05422552620635E-8</v>
      </c>
      <c r="G7588">
        <v>6233496</v>
      </c>
      <c r="H7588">
        <v>12102864</v>
      </c>
      <c r="I7588">
        <v>25900154</v>
      </c>
      <c r="J7588">
        <v>2</v>
      </c>
    </row>
    <row r="7589" spans="1:10" x14ac:dyDescent="0.25">
      <c r="A7589" t="s">
        <v>66</v>
      </c>
      <c r="B7589" s="1" t="str">
        <f>HYPERLINK("http://mini.dk","mini.dk")</f>
        <v>mini.dk</v>
      </c>
      <c r="C7589" t="s">
        <v>437</v>
      </c>
      <c r="D7589" t="s">
        <v>816</v>
      </c>
      <c r="F7589">
        <v>1.8994523368985799E-8</v>
      </c>
      <c r="G7589">
        <v>2836978</v>
      </c>
      <c r="H7589">
        <v>13071781</v>
      </c>
      <c r="I7589">
        <v>12235229</v>
      </c>
      <c r="J7589">
        <v>2</v>
      </c>
    </row>
    <row r="7590" spans="1:10" x14ac:dyDescent="0.25">
      <c r="A7590" t="s">
        <v>66</v>
      </c>
      <c r="B7590" s="1" t="str">
        <f>HYPERLINK("http://bmw.com.do","bmw.com.do")</f>
        <v>bmw.com.do</v>
      </c>
      <c r="C7590" t="s">
        <v>438</v>
      </c>
      <c r="D7590" t="s">
        <v>817</v>
      </c>
      <c r="F7590">
        <v>2.2484327227504599E-8</v>
      </c>
      <c r="G7590">
        <v>2330231</v>
      </c>
      <c r="H7590">
        <v>13935466</v>
      </c>
      <c r="I7590">
        <v>4531501</v>
      </c>
      <c r="J7590">
        <v>4</v>
      </c>
    </row>
    <row r="7591" spans="1:10" x14ac:dyDescent="0.25">
      <c r="A7591" t="s">
        <v>66</v>
      </c>
      <c r="B7591" s="1" t="str">
        <f>HYPERLINK("http://bmw-motorrad.com.do","bmw-motorrad.com.do")</f>
        <v>bmw-motorrad.com.do</v>
      </c>
      <c r="C7591" t="s">
        <v>438</v>
      </c>
      <c r="D7591" t="s">
        <v>817</v>
      </c>
      <c r="F7591">
        <v>6.4857523087760097E-9</v>
      </c>
      <c r="G7591">
        <v>14137653</v>
      </c>
      <c r="H7591">
        <v>12084239</v>
      </c>
      <c r="I7591">
        <v>26457289</v>
      </c>
      <c r="J7591">
        <v>2</v>
      </c>
    </row>
    <row r="7592" spans="1:10" x14ac:dyDescent="0.25">
      <c r="A7592" t="s">
        <v>66</v>
      </c>
      <c r="B7592" s="1" t="str">
        <f>HYPERLINK("http://mini.com.do","mini.com.do")</f>
        <v>mini.com.do</v>
      </c>
      <c r="C7592" t="s">
        <v>438</v>
      </c>
      <c r="D7592" t="s">
        <v>817</v>
      </c>
      <c r="F7592">
        <v>9.0418673768697404E-9</v>
      </c>
      <c r="G7592">
        <v>7929543</v>
      </c>
      <c r="H7592">
        <v>10430960</v>
      </c>
      <c r="I7592">
        <v>53260518</v>
      </c>
      <c r="J7592">
        <v>3</v>
      </c>
    </row>
    <row r="7593" spans="1:10" x14ac:dyDescent="0.25">
      <c r="A7593" t="s">
        <v>66</v>
      </c>
      <c r="B7593" s="1" t="str">
        <f>HYPERLINK("http://bmw-motorrad.dz","bmw-motorrad.dz")</f>
        <v>bmw-motorrad.dz</v>
      </c>
      <c r="C7593" t="s">
        <v>439</v>
      </c>
      <c r="D7593" t="s">
        <v>818</v>
      </c>
      <c r="F7593">
        <v>4.6710583662426497E-9</v>
      </c>
      <c r="G7593">
        <v>42865648</v>
      </c>
      <c r="H7593">
        <v>10898713</v>
      </c>
      <c r="I7593">
        <v>35865792</v>
      </c>
      <c r="J7593">
        <v>2</v>
      </c>
    </row>
    <row r="7594" spans="1:10" x14ac:dyDescent="0.25">
      <c r="A7594" t="s">
        <v>66</v>
      </c>
      <c r="B7594" s="1" t="str">
        <f>HYPERLINK("http://mini.tm.dz","mini.tm.dz")</f>
        <v>mini.tm.dz</v>
      </c>
      <c r="C7594" t="s">
        <v>439</v>
      </c>
      <c r="D7594" t="s">
        <v>818</v>
      </c>
      <c r="F7594">
        <v>5.11468382573813E-9</v>
      </c>
      <c r="G7594">
        <v>26760716</v>
      </c>
      <c r="H7594">
        <v>9382992</v>
      </c>
      <c r="I7594">
        <v>67514950</v>
      </c>
      <c r="J7594">
        <v>4</v>
      </c>
    </row>
    <row r="7595" spans="1:10" x14ac:dyDescent="0.25">
      <c r="A7595" t="s">
        <v>66</v>
      </c>
      <c r="B7595" s="1" t="str">
        <f>HYPERLINK("http://bmw-motorrad.ec","bmw-motorrad.ec")</f>
        <v>bmw-motorrad.ec</v>
      </c>
      <c r="C7595" t="s">
        <v>440</v>
      </c>
      <c r="D7595" t="s">
        <v>819</v>
      </c>
      <c r="F7595">
        <v>6.3688637377905704E-9</v>
      </c>
      <c r="G7595">
        <v>14671300</v>
      </c>
      <c r="H7595">
        <v>12084240</v>
      </c>
      <c r="I7595">
        <v>26457263</v>
      </c>
      <c r="J7595">
        <v>2</v>
      </c>
    </row>
    <row r="7596" spans="1:10" x14ac:dyDescent="0.25">
      <c r="A7596" t="s">
        <v>66</v>
      </c>
      <c r="B7596" s="1" t="str">
        <f>HYPERLINK("http://bmw.com.ec","bmw.com.ec")</f>
        <v>bmw.com.ec</v>
      </c>
      <c r="C7596" t="s">
        <v>440</v>
      </c>
      <c r="D7596" t="s">
        <v>819</v>
      </c>
      <c r="F7596">
        <v>1.9238909540410099E-8</v>
      </c>
      <c r="G7596">
        <v>2792129</v>
      </c>
      <c r="H7596">
        <v>12416120</v>
      </c>
      <c r="I7596">
        <v>18526065</v>
      </c>
      <c r="J7596">
        <v>4</v>
      </c>
    </row>
    <row r="7597" spans="1:10" x14ac:dyDescent="0.25">
      <c r="A7597" t="s">
        <v>66</v>
      </c>
      <c r="B7597" s="1" t="str">
        <f>HYPERLINK("http://mini.com.ec","mini.com.ec")</f>
        <v>mini.com.ec</v>
      </c>
      <c r="C7597" t="s">
        <v>440</v>
      </c>
      <c r="D7597" t="s">
        <v>819</v>
      </c>
      <c r="F7597">
        <v>8.6901400324856793E-9</v>
      </c>
      <c r="G7597">
        <v>8494690</v>
      </c>
      <c r="H7597">
        <v>10413847</v>
      </c>
      <c r="I7597">
        <v>54007043</v>
      </c>
      <c r="J7597">
        <v>4</v>
      </c>
    </row>
    <row r="7598" spans="1:10" x14ac:dyDescent="0.25">
      <c r="A7598" t="s">
        <v>66</v>
      </c>
      <c r="B7598" s="1" t="str">
        <f>HYPERLINK("http://bmw.ee","bmw.ee")</f>
        <v>bmw.ee</v>
      </c>
      <c r="C7598" t="s">
        <v>441</v>
      </c>
      <c r="D7598" t="s">
        <v>820</v>
      </c>
      <c r="F7598">
        <v>2.8295664686177899E-8</v>
      </c>
      <c r="G7598">
        <v>1818577</v>
      </c>
      <c r="H7598">
        <v>14074462</v>
      </c>
      <c r="I7598">
        <v>2942352</v>
      </c>
      <c r="J7598">
        <v>2</v>
      </c>
    </row>
    <row r="7599" spans="1:10" x14ac:dyDescent="0.25">
      <c r="A7599" t="s">
        <v>66</v>
      </c>
      <c r="B7599" s="1" t="str">
        <f>HYPERLINK("http://bmw-motorrad.ee","bmw-motorrad.ee")</f>
        <v>bmw-motorrad.ee</v>
      </c>
      <c r="C7599" t="s">
        <v>441</v>
      </c>
      <c r="D7599" t="s">
        <v>820</v>
      </c>
      <c r="F7599">
        <v>8.4676805513211795E-9</v>
      </c>
      <c r="G7599">
        <v>8907618</v>
      </c>
      <c r="H7599">
        <v>12152075</v>
      </c>
      <c r="I7599">
        <v>24572752</v>
      </c>
      <c r="J7599">
        <v>2</v>
      </c>
    </row>
    <row r="7600" spans="1:10" x14ac:dyDescent="0.25">
      <c r="A7600" t="s">
        <v>66</v>
      </c>
      <c r="B7600" s="1" t="str">
        <f>HYPERLINK("http://mini.ee","mini.ee")</f>
        <v>mini.ee</v>
      </c>
      <c r="C7600" t="s">
        <v>441</v>
      </c>
      <c r="D7600" t="s">
        <v>820</v>
      </c>
      <c r="F7600">
        <v>1.09891750844085E-8</v>
      </c>
      <c r="G7600">
        <v>5869243</v>
      </c>
      <c r="H7600">
        <v>12066310</v>
      </c>
      <c r="I7600">
        <v>26867797</v>
      </c>
      <c r="J7600">
        <v>2</v>
      </c>
    </row>
    <row r="7601" spans="1:10" x14ac:dyDescent="0.25">
      <c r="A7601" t="s">
        <v>66</v>
      </c>
      <c r="B7601" s="1" t="str">
        <f>HYPERLINK("http://alphabet.es","alphabet.es")</f>
        <v>alphabet.es</v>
      </c>
      <c r="C7601" t="s">
        <v>443</v>
      </c>
      <c r="D7601" t="s">
        <v>822</v>
      </c>
      <c r="F7601">
        <v>1.11294231815982E-8</v>
      </c>
      <c r="G7601">
        <v>5764032</v>
      </c>
      <c r="H7601">
        <v>12880407</v>
      </c>
      <c r="I7601">
        <v>13998584</v>
      </c>
      <c r="J7601">
        <v>2</v>
      </c>
    </row>
    <row r="7602" spans="1:10" x14ac:dyDescent="0.25">
      <c r="A7602" t="s">
        <v>66</v>
      </c>
      <c r="B7602" s="1" t="str">
        <f>HYPERLINK("http://bmw.es","bmw.es")</f>
        <v>bmw.es</v>
      </c>
      <c r="C7602" t="s">
        <v>443</v>
      </c>
      <c r="D7602" t="s">
        <v>822</v>
      </c>
      <c r="E7602">
        <v>185724</v>
      </c>
      <c r="F7602">
        <v>2.0179333355785299E-7</v>
      </c>
      <c r="G7602">
        <v>188570</v>
      </c>
      <c r="H7602">
        <v>14926184</v>
      </c>
      <c r="I7602">
        <v>449295</v>
      </c>
      <c r="J7602">
        <v>2</v>
      </c>
    </row>
    <row r="7603" spans="1:10" x14ac:dyDescent="0.25">
      <c r="A7603" t="s">
        <v>66</v>
      </c>
      <c r="B7603" s="1" t="str">
        <f>HYPERLINK("http://bmw-motorrad.es","bmw-motorrad.es")</f>
        <v>bmw-motorrad.es</v>
      </c>
      <c r="C7603" t="s">
        <v>443</v>
      </c>
      <c r="D7603" t="s">
        <v>822</v>
      </c>
      <c r="E7603">
        <v>730147</v>
      </c>
      <c r="F7603">
        <v>6.9764950637003101E-8</v>
      </c>
      <c r="G7603">
        <v>607758</v>
      </c>
      <c r="H7603">
        <v>13965101</v>
      </c>
      <c r="I7603">
        <v>4091622</v>
      </c>
      <c r="J7603">
        <v>2</v>
      </c>
    </row>
    <row r="7604" spans="1:10" x14ac:dyDescent="0.25">
      <c r="A7604" t="s">
        <v>66</v>
      </c>
      <c r="B7604" s="1" t="str">
        <f>HYPERLINK("http://alphabet.com.es","alphabet.com.es")</f>
        <v>alphabet.com.es</v>
      </c>
      <c r="C7604" t="s">
        <v>443</v>
      </c>
      <c r="D7604" t="s">
        <v>822</v>
      </c>
      <c r="J7604">
        <v>2</v>
      </c>
    </row>
    <row r="7605" spans="1:10" x14ac:dyDescent="0.25">
      <c r="A7605" t="s">
        <v>66</v>
      </c>
      <c r="B7605" s="1" t="str">
        <f>HYPERLINK("http://concesionariobmw.es","concesionariobmw.es")</f>
        <v>concesionariobmw.es</v>
      </c>
      <c r="C7605" t="s">
        <v>443</v>
      </c>
      <c r="D7605" t="s">
        <v>822</v>
      </c>
      <c r="F7605">
        <v>5.80239329999819E-8</v>
      </c>
      <c r="G7605">
        <v>767264</v>
      </c>
      <c r="H7605">
        <v>13774672</v>
      </c>
      <c r="I7605">
        <v>6600099</v>
      </c>
      <c r="J7605">
        <v>4</v>
      </c>
    </row>
    <row r="7606" spans="1:10" x14ac:dyDescent="0.25">
      <c r="A7606" t="s">
        <v>66</v>
      </c>
      <c r="B7606" s="1" t="str">
        <f>HYPERLINK("http://keepondriving.es","keepondriving.es")</f>
        <v>keepondriving.es</v>
      </c>
      <c r="C7606" t="s">
        <v>443</v>
      </c>
      <c r="D7606" t="s">
        <v>822</v>
      </c>
      <c r="J7606">
        <v>2</v>
      </c>
    </row>
    <row r="7607" spans="1:10" x14ac:dyDescent="0.25">
      <c r="A7607" t="s">
        <v>66</v>
      </c>
      <c r="B7607" s="1" t="str">
        <f>HYPERLINK("http://mini.es","mini.es")</f>
        <v>mini.es</v>
      </c>
      <c r="C7607" t="s">
        <v>443</v>
      </c>
      <c r="D7607" t="s">
        <v>822</v>
      </c>
      <c r="E7607">
        <v>540523</v>
      </c>
      <c r="F7607">
        <v>8.4702536935114301E-8</v>
      </c>
      <c r="G7607">
        <v>487455</v>
      </c>
      <c r="H7607">
        <v>14598377</v>
      </c>
      <c r="I7607">
        <v>687749</v>
      </c>
      <c r="J7607">
        <v>2</v>
      </c>
    </row>
    <row r="7608" spans="1:10" x14ac:dyDescent="0.25">
      <c r="A7608" t="s">
        <v>66</v>
      </c>
      <c r="B7608" s="1" t="str">
        <f>HYPERLINK("http://alphabet.eu","alphabet.eu")</f>
        <v>alphabet.eu</v>
      </c>
      <c r="C7608" t="s">
        <v>444</v>
      </c>
      <c r="J7608">
        <v>2</v>
      </c>
    </row>
    <row r="7609" spans="1:10" x14ac:dyDescent="0.25">
      <c r="A7609" t="s">
        <v>66</v>
      </c>
      <c r="B7609" s="1" t="str">
        <f>HYPERLINK("http://alphadrive.fi","alphadrive.fi")</f>
        <v>alphadrive.fi</v>
      </c>
      <c r="C7609" t="s">
        <v>445</v>
      </c>
      <c r="D7609" t="s">
        <v>823</v>
      </c>
      <c r="J7609">
        <v>4</v>
      </c>
    </row>
    <row r="7610" spans="1:10" x14ac:dyDescent="0.25">
      <c r="A7610" t="s">
        <v>66</v>
      </c>
      <c r="B7610" s="1" t="str">
        <f>HYPERLINK("http://alphera.fi","alphera.fi")</f>
        <v>alphera.fi</v>
      </c>
      <c r="C7610" t="s">
        <v>445</v>
      </c>
      <c r="D7610" t="s">
        <v>823</v>
      </c>
      <c r="J7610">
        <v>4</v>
      </c>
    </row>
    <row r="7611" spans="1:10" x14ac:dyDescent="0.25">
      <c r="A7611" t="s">
        <v>66</v>
      </c>
      <c r="B7611" s="1" t="str">
        <f>HYPERLINK("http://alpherafs.fi","alpherafs.fi")</f>
        <v>alpherafs.fi</v>
      </c>
      <c r="C7611" t="s">
        <v>445</v>
      </c>
      <c r="D7611" t="s">
        <v>823</v>
      </c>
      <c r="E7611">
        <v>360217</v>
      </c>
      <c r="J7611">
        <v>4</v>
      </c>
    </row>
    <row r="7612" spans="1:10" x14ac:dyDescent="0.25">
      <c r="A7612" t="s">
        <v>66</v>
      </c>
      <c r="B7612" s="1" t="str">
        <f>HYPERLINK("http://bmw.fi","bmw.fi")</f>
        <v>bmw.fi</v>
      </c>
      <c r="C7612" t="s">
        <v>445</v>
      </c>
      <c r="D7612" t="s">
        <v>823</v>
      </c>
      <c r="E7612">
        <v>363912</v>
      </c>
      <c r="F7612">
        <v>5.11194837014582E-8</v>
      </c>
      <c r="G7612">
        <v>896327</v>
      </c>
      <c r="H7612">
        <v>14241710</v>
      </c>
      <c r="I7612">
        <v>1489657</v>
      </c>
      <c r="J7612">
        <v>2</v>
      </c>
    </row>
    <row r="7613" spans="1:10" x14ac:dyDescent="0.25">
      <c r="A7613" t="s">
        <v>66</v>
      </c>
      <c r="B7613" s="1" t="str">
        <f>HYPERLINK("http://bmw-charging.fi","bmw-charging.fi")</f>
        <v>bmw-charging.fi</v>
      </c>
      <c r="C7613" t="s">
        <v>445</v>
      </c>
      <c r="D7613" t="s">
        <v>823</v>
      </c>
      <c r="J7613">
        <v>2</v>
      </c>
    </row>
    <row r="7614" spans="1:10" x14ac:dyDescent="0.25">
      <c r="A7614" t="s">
        <v>66</v>
      </c>
      <c r="B7614" s="1" t="str">
        <f>HYPERLINK("http://bmw-connecteddrive.fi","bmw-connecteddrive.fi")</f>
        <v>bmw-connecteddrive.fi</v>
      </c>
      <c r="C7614" t="s">
        <v>445</v>
      </c>
      <c r="D7614" t="s">
        <v>823</v>
      </c>
      <c r="E7614">
        <v>439429</v>
      </c>
      <c r="F7614">
        <v>5.3828326903932002E-9</v>
      </c>
      <c r="G7614">
        <v>22383322</v>
      </c>
      <c r="H7614">
        <v>10741704</v>
      </c>
      <c r="I7614">
        <v>40359542</v>
      </c>
      <c r="J7614">
        <v>4</v>
      </c>
    </row>
    <row r="7615" spans="1:10" x14ac:dyDescent="0.25">
      <c r="A7615" t="s">
        <v>66</v>
      </c>
      <c r="B7615" s="1" t="str">
        <f>HYPERLINK("http://bmw-group.fi","bmw-group.fi")</f>
        <v>bmw-group.fi</v>
      </c>
      <c r="C7615" t="s">
        <v>445</v>
      </c>
      <c r="D7615" t="s">
        <v>823</v>
      </c>
      <c r="J7615">
        <v>4</v>
      </c>
    </row>
    <row r="7616" spans="1:10" x14ac:dyDescent="0.25">
      <c r="A7616" t="s">
        <v>66</v>
      </c>
      <c r="B7616" s="1" t="str">
        <f>HYPERLINK("http://bmw-i.fi","bmw-i.fi")</f>
        <v>bmw-i.fi</v>
      </c>
      <c r="C7616" t="s">
        <v>445</v>
      </c>
      <c r="D7616" t="s">
        <v>823</v>
      </c>
      <c r="J7616">
        <v>4</v>
      </c>
    </row>
    <row r="7617" spans="1:10" x14ac:dyDescent="0.25">
      <c r="A7617" t="s">
        <v>66</v>
      </c>
      <c r="B7617" s="1" t="str">
        <f>HYPERLINK("http://bmw-motorrad.fi","bmw-motorrad.fi")</f>
        <v>bmw-motorrad.fi</v>
      </c>
      <c r="C7617" t="s">
        <v>445</v>
      </c>
      <c r="D7617" t="s">
        <v>823</v>
      </c>
      <c r="E7617">
        <v>270437</v>
      </c>
      <c r="F7617">
        <v>1.2451837288839801E-8</v>
      </c>
      <c r="G7617">
        <v>4911291</v>
      </c>
      <c r="H7617">
        <v>14376805</v>
      </c>
      <c r="I7617">
        <v>1214548</v>
      </c>
      <c r="J7617">
        <v>2</v>
      </c>
    </row>
    <row r="7618" spans="1:10" x14ac:dyDescent="0.25">
      <c r="A7618" t="s">
        <v>66</v>
      </c>
      <c r="B7618" s="1" t="str">
        <f>HYPERLINK("http://bmw-service.fi","bmw-service.fi")</f>
        <v>bmw-service.fi</v>
      </c>
      <c r="C7618" t="s">
        <v>445</v>
      </c>
      <c r="D7618" t="s">
        <v>823</v>
      </c>
      <c r="J7618">
        <v>4</v>
      </c>
    </row>
    <row r="7619" spans="1:10" x14ac:dyDescent="0.25">
      <c r="A7619" t="s">
        <v>66</v>
      </c>
      <c r="B7619" s="1" t="str">
        <f>HYPERLINK("http://bmwfs.fi","bmwfs.fi")</f>
        <v>bmwfs.fi</v>
      </c>
      <c r="C7619" t="s">
        <v>445</v>
      </c>
      <c r="D7619" t="s">
        <v>823</v>
      </c>
      <c r="J7619">
        <v>4</v>
      </c>
    </row>
    <row r="7620" spans="1:10" x14ac:dyDescent="0.25">
      <c r="A7620" t="s">
        <v>66</v>
      </c>
      <c r="B7620" s="1" t="str">
        <f>HYPERLINK("http://bmwgroup.fi","bmwgroup.fi")</f>
        <v>bmwgroup.fi</v>
      </c>
      <c r="C7620" t="s">
        <v>445</v>
      </c>
      <c r="D7620" t="s">
        <v>823</v>
      </c>
      <c r="J7620">
        <v>4</v>
      </c>
    </row>
    <row r="7621" spans="1:10" x14ac:dyDescent="0.25">
      <c r="A7621" t="s">
        <v>66</v>
      </c>
      <c r="B7621" s="1" t="str">
        <f>HYPERLINK("http://bmwi.fi","bmwi.fi")</f>
        <v>bmwi.fi</v>
      </c>
      <c r="C7621" t="s">
        <v>445</v>
      </c>
      <c r="D7621" t="s">
        <v>823</v>
      </c>
      <c r="J7621">
        <v>4</v>
      </c>
    </row>
    <row r="7622" spans="1:10" x14ac:dyDescent="0.25">
      <c r="A7622" t="s">
        <v>66</v>
      </c>
      <c r="B7622" s="1" t="str">
        <f>HYPERLINK("http://bmwservice.fi","bmwservice.fi")</f>
        <v>bmwservice.fi</v>
      </c>
      <c r="C7622" t="s">
        <v>445</v>
      </c>
      <c r="D7622" t="s">
        <v>823</v>
      </c>
      <c r="J7622">
        <v>4</v>
      </c>
    </row>
    <row r="7623" spans="1:10" x14ac:dyDescent="0.25">
      <c r="A7623" t="s">
        <v>66</v>
      </c>
      <c r="B7623" s="1" t="str">
        <f>HYPERLINK("http://charge-now.fi","charge-now.fi")</f>
        <v>charge-now.fi</v>
      </c>
      <c r="C7623" t="s">
        <v>445</v>
      </c>
      <c r="D7623" t="s">
        <v>823</v>
      </c>
      <c r="J7623">
        <v>2</v>
      </c>
    </row>
    <row r="7624" spans="1:10" x14ac:dyDescent="0.25">
      <c r="A7624" t="s">
        <v>66</v>
      </c>
      <c r="B7624" s="1" t="str">
        <f>HYPERLINK("http://chargenow.fi","chargenow.fi")</f>
        <v>chargenow.fi</v>
      </c>
      <c r="C7624" t="s">
        <v>445</v>
      </c>
      <c r="D7624" t="s">
        <v>823</v>
      </c>
      <c r="J7624">
        <v>2</v>
      </c>
    </row>
    <row r="7625" spans="1:10" x14ac:dyDescent="0.25">
      <c r="A7625" t="s">
        <v>66</v>
      </c>
      <c r="B7625" s="1" t="str">
        <f>HYPERLINK("http://free-now.fi","free-now.fi")</f>
        <v>free-now.fi</v>
      </c>
      <c r="C7625" t="s">
        <v>445</v>
      </c>
      <c r="D7625" t="s">
        <v>823</v>
      </c>
      <c r="J7625">
        <v>2</v>
      </c>
    </row>
    <row r="7626" spans="1:10" x14ac:dyDescent="0.25">
      <c r="A7626" t="s">
        <v>66</v>
      </c>
      <c r="B7626" s="1" t="str">
        <f>HYPERLINK("http://freenow.fi","freenow.fi")</f>
        <v>freenow.fi</v>
      </c>
      <c r="C7626" t="s">
        <v>445</v>
      </c>
      <c r="D7626" t="s">
        <v>823</v>
      </c>
      <c r="J7626">
        <v>2</v>
      </c>
    </row>
    <row r="7627" spans="1:10" x14ac:dyDescent="0.25">
      <c r="A7627" t="s">
        <v>66</v>
      </c>
      <c r="B7627" s="1" t="str">
        <f>HYPERLINK("http://m-motors.fi","m-motors.fi")</f>
        <v>m-motors.fi</v>
      </c>
      <c r="C7627" t="s">
        <v>445</v>
      </c>
      <c r="D7627" t="s">
        <v>823</v>
      </c>
      <c r="F7627">
        <v>4.7413258241793302E-9</v>
      </c>
      <c r="G7627">
        <v>38735376</v>
      </c>
      <c r="H7627">
        <v>10343675</v>
      </c>
      <c r="I7627">
        <v>58252327</v>
      </c>
      <c r="J7627">
        <v>2</v>
      </c>
    </row>
    <row r="7628" spans="1:10" x14ac:dyDescent="0.25">
      <c r="A7628" t="s">
        <v>66</v>
      </c>
      <c r="B7628" s="1" t="str">
        <f>HYPERLINK("http://makelifearide.fi","makelifearide.fi")</f>
        <v>makelifearide.fi</v>
      </c>
      <c r="C7628" t="s">
        <v>445</v>
      </c>
      <c r="D7628" t="s">
        <v>823</v>
      </c>
      <c r="J7628">
        <v>4</v>
      </c>
    </row>
    <row r="7629" spans="1:10" x14ac:dyDescent="0.25">
      <c r="A7629" t="s">
        <v>66</v>
      </c>
      <c r="B7629" s="1" t="str">
        <f>HYPERLINK("http://mini.fi","mini.fi")</f>
        <v>mini.fi</v>
      </c>
      <c r="C7629" t="s">
        <v>445</v>
      </c>
      <c r="D7629" t="s">
        <v>823</v>
      </c>
      <c r="F7629">
        <v>1.25306883071836E-8</v>
      </c>
      <c r="G7629">
        <v>4869324</v>
      </c>
      <c r="H7629">
        <v>12418796</v>
      </c>
      <c r="I7629">
        <v>18480089</v>
      </c>
      <c r="J7629">
        <v>2</v>
      </c>
    </row>
    <row r="7630" spans="1:10" x14ac:dyDescent="0.25">
      <c r="A7630" t="s">
        <v>66</v>
      </c>
      <c r="B7630" s="1" t="str">
        <f>HYPERLINK("http://mini-charging.fi","mini-charging.fi")</f>
        <v>mini-charging.fi</v>
      </c>
      <c r="C7630" t="s">
        <v>445</v>
      </c>
      <c r="D7630" t="s">
        <v>823</v>
      </c>
      <c r="J7630">
        <v>2</v>
      </c>
    </row>
    <row r="7631" spans="1:10" x14ac:dyDescent="0.25">
      <c r="A7631" t="s">
        <v>66</v>
      </c>
      <c r="B7631" s="1" t="str">
        <f>HYPERLINK("http://mini-connected.fi","mini-connected.fi")</f>
        <v>mini-connected.fi</v>
      </c>
      <c r="C7631" t="s">
        <v>445</v>
      </c>
      <c r="D7631" t="s">
        <v>823</v>
      </c>
      <c r="F7631">
        <v>4.7316711171689302E-9</v>
      </c>
      <c r="G7631">
        <v>39261518</v>
      </c>
      <c r="H7631">
        <v>9556108</v>
      </c>
      <c r="I7631">
        <v>64909740</v>
      </c>
      <c r="J7631">
        <v>2</v>
      </c>
    </row>
    <row r="7632" spans="1:10" x14ac:dyDescent="0.25">
      <c r="A7632" t="s">
        <v>66</v>
      </c>
      <c r="B7632" s="1" t="str">
        <f>HYPERLINK("http://mini-cooper.fi","mini-cooper.fi")</f>
        <v>mini-cooper.fi</v>
      </c>
      <c r="C7632" t="s">
        <v>445</v>
      </c>
      <c r="D7632" t="s">
        <v>823</v>
      </c>
      <c r="J7632">
        <v>4</v>
      </c>
    </row>
    <row r="7633" spans="1:10" x14ac:dyDescent="0.25">
      <c r="A7633" t="s">
        <v>66</v>
      </c>
      <c r="B7633" s="1" t="str">
        <f>HYPERLINK("http://mini-service.fi","mini-service.fi")</f>
        <v>mini-service.fi</v>
      </c>
      <c r="C7633" t="s">
        <v>445</v>
      </c>
      <c r="D7633" t="s">
        <v>823</v>
      </c>
      <c r="J7633">
        <v>4</v>
      </c>
    </row>
    <row r="7634" spans="1:10" x14ac:dyDescent="0.25">
      <c r="A7634" t="s">
        <v>66</v>
      </c>
      <c r="B7634" s="1" t="str">
        <f>HYPERLINK("http://mini-space.fi","mini-space.fi")</f>
        <v>mini-space.fi</v>
      </c>
      <c r="C7634" t="s">
        <v>445</v>
      </c>
      <c r="D7634" t="s">
        <v>823</v>
      </c>
      <c r="J7634">
        <v>4</v>
      </c>
    </row>
    <row r="7635" spans="1:10" x14ac:dyDescent="0.25">
      <c r="A7635" t="s">
        <v>66</v>
      </c>
      <c r="B7635" s="1" t="str">
        <f>HYPERLINK("http://minicooper.fi","minicooper.fi")</f>
        <v>minicooper.fi</v>
      </c>
      <c r="C7635" t="s">
        <v>445</v>
      </c>
      <c r="D7635" t="s">
        <v>823</v>
      </c>
      <c r="J7635">
        <v>4</v>
      </c>
    </row>
    <row r="7636" spans="1:10" x14ac:dyDescent="0.25">
      <c r="A7636" t="s">
        <v>66</v>
      </c>
      <c r="B7636" s="1" t="str">
        <f>HYPERLINK("http://miniservice.fi","miniservice.fi")</f>
        <v>miniservice.fi</v>
      </c>
      <c r="C7636" t="s">
        <v>445</v>
      </c>
      <c r="D7636" t="s">
        <v>823</v>
      </c>
      <c r="J7636">
        <v>4</v>
      </c>
    </row>
    <row r="7637" spans="1:10" x14ac:dyDescent="0.25">
      <c r="A7637" t="s">
        <v>66</v>
      </c>
      <c r="B7637" s="1" t="str">
        <f>HYPERLINK("http://minispace.fi","minispace.fi")</f>
        <v>minispace.fi</v>
      </c>
      <c r="C7637" t="s">
        <v>445</v>
      </c>
      <c r="D7637" t="s">
        <v>823</v>
      </c>
      <c r="J7637">
        <v>4</v>
      </c>
    </row>
    <row r="7638" spans="1:10" x14ac:dyDescent="0.25">
      <c r="A7638" t="s">
        <v>66</v>
      </c>
      <c r="B7638" s="1" t="str">
        <f>HYPERLINK("http://minivakuutus.fi","minivakuutus.fi")</f>
        <v>minivakuutus.fi</v>
      </c>
      <c r="C7638" t="s">
        <v>445</v>
      </c>
      <c r="D7638" t="s">
        <v>823</v>
      </c>
      <c r="J7638">
        <v>4</v>
      </c>
    </row>
    <row r="7639" spans="1:10" x14ac:dyDescent="0.25">
      <c r="A7639" t="s">
        <v>66</v>
      </c>
      <c r="B7639" s="1" t="str">
        <f>HYPERLINK("http://rollsroyce-motorcars.fi","rollsroyce-motorcars.fi")</f>
        <v>rollsroyce-motorcars.fi</v>
      </c>
      <c r="C7639" t="s">
        <v>445</v>
      </c>
      <c r="D7639" t="s">
        <v>823</v>
      </c>
      <c r="J7639">
        <v>4</v>
      </c>
    </row>
    <row r="7640" spans="1:10" x14ac:dyDescent="0.25">
      <c r="A7640" t="s">
        <v>66</v>
      </c>
      <c r="B7640" s="1" t="str">
        <f>HYPERLINK("http://rollsroycemotorcars.fi","rollsroycemotorcars.fi")</f>
        <v>rollsroycemotorcars.fi</v>
      </c>
      <c r="C7640" t="s">
        <v>445</v>
      </c>
      <c r="D7640" t="s">
        <v>823</v>
      </c>
      <c r="J7640">
        <v>4</v>
      </c>
    </row>
    <row r="7641" spans="1:10" x14ac:dyDescent="0.25">
      <c r="A7641" t="s">
        <v>66</v>
      </c>
      <c r="B7641" s="1" t="str">
        <f>HYPERLINK("http://s1000rr.fi","s1000rr.fi")</f>
        <v>s1000rr.fi</v>
      </c>
      <c r="C7641" t="s">
        <v>445</v>
      </c>
      <c r="D7641" t="s">
        <v>823</v>
      </c>
      <c r="J7641">
        <v>4</v>
      </c>
    </row>
    <row r="7642" spans="1:10" x14ac:dyDescent="0.25">
      <c r="A7642" t="s">
        <v>66</v>
      </c>
      <c r="B7642" s="1" t="str">
        <f>HYPERLINK("http://your-now.fi","your-now.fi")</f>
        <v>your-now.fi</v>
      </c>
      <c r="C7642" t="s">
        <v>445</v>
      </c>
      <c r="D7642" t="s">
        <v>823</v>
      </c>
      <c r="J7642">
        <v>2</v>
      </c>
    </row>
    <row r="7643" spans="1:10" x14ac:dyDescent="0.25">
      <c r="A7643" t="s">
        <v>66</v>
      </c>
      <c r="B7643" s="1" t="str">
        <f>HYPERLINK("http://yournow.fi","yournow.fi")</f>
        <v>yournow.fi</v>
      </c>
      <c r="C7643" t="s">
        <v>445</v>
      </c>
      <c r="D7643" t="s">
        <v>823</v>
      </c>
      <c r="J7643">
        <v>2</v>
      </c>
    </row>
    <row r="7644" spans="1:10" x14ac:dyDescent="0.25">
      <c r="A7644" t="s">
        <v>66</v>
      </c>
      <c r="B7644" s="1" t="str">
        <f>HYPERLINK("http://alphabet.fr","alphabet.fr")</f>
        <v>alphabet.fr</v>
      </c>
      <c r="C7644" t="s">
        <v>446</v>
      </c>
      <c r="D7644" t="s">
        <v>824</v>
      </c>
      <c r="F7644">
        <v>5.1449444222296298E-9</v>
      </c>
      <c r="G7644">
        <v>26174824</v>
      </c>
      <c r="H7644">
        <v>11398138</v>
      </c>
      <c r="I7644">
        <v>30230606</v>
      </c>
      <c r="J7644">
        <v>2</v>
      </c>
    </row>
    <row r="7645" spans="1:10" x14ac:dyDescent="0.25">
      <c r="A7645" t="s">
        <v>66</v>
      </c>
      <c r="B7645" s="1" t="str">
        <f>HYPERLINK("http://bmw.fr","bmw.fr")</f>
        <v>bmw.fr</v>
      </c>
      <c r="C7645" t="s">
        <v>446</v>
      </c>
      <c r="D7645" t="s">
        <v>824</v>
      </c>
      <c r="E7645">
        <v>177345</v>
      </c>
      <c r="F7645">
        <v>4.8253470665638303E-7</v>
      </c>
      <c r="G7645">
        <v>78850</v>
      </c>
      <c r="H7645">
        <v>17149450</v>
      </c>
      <c r="I7645">
        <v>52323</v>
      </c>
      <c r="J7645">
        <v>2</v>
      </c>
    </row>
    <row r="7646" spans="1:10" x14ac:dyDescent="0.25">
      <c r="A7646" t="s">
        <v>66</v>
      </c>
      <c r="B7646" s="1" t="str">
        <f>HYPERLINK("http://bmw-bayern-aixenprovence.fr","bmw-bayern-aixenprovence.fr")</f>
        <v>bmw-bayern-aixenprovence.fr</v>
      </c>
      <c r="C7646" t="s">
        <v>446</v>
      </c>
      <c r="D7646" t="s">
        <v>824</v>
      </c>
      <c r="F7646">
        <v>5.4707400134364899E-9</v>
      </c>
      <c r="G7646">
        <v>21236895</v>
      </c>
      <c r="H7646">
        <v>10700600</v>
      </c>
      <c r="I7646">
        <v>42304436</v>
      </c>
      <c r="J7646">
        <v>6</v>
      </c>
    </row>
    <row r="7647" spans="1:10" x14ac:dyDescent="0.25">
      <c r="A7647" t="s">
        <v>66</v>
      </c>
      <c r="B7647" s="1" t="str">
        <f>HYPERLINK("http://bmw-bayern-dax.fr","bmw-bayern-dax.fr")</f>
        <v>bmw-bayern-dax.fr</v>
      </c>
      <c r="C7647" t="s">
        <v>446</v>
      </c>
      <c r="D7647" t="s">
        <v>824</v>
      </c>
      <c r="F7647">
        <v>4.4843881237661202E-9</v>
      </c>
      <c r="G7647">
        <v>61508197</v>
      </c>
      <c r="H7647">
        <v>9438977</v>
      </c>
      <c r="I7647">
        <v>66688449</v>
      </c>
      <c r="J7647">
        <v>6</v>
      </c>
    </row>
    <row r="7648" spans="1:10" x14ac:dyDescent="0.25">
      <c r="A7648" t="s">
        <v>66</v>
      </c>
      <c r="B7648" s="1" t="str">
        <f>HYPERLINK("http://bmw-bayern-merignac.fr","bmw-bayern-merignac.fr")</f>
        <v>bmw-bayern-merignac.fr</v>
      </c>
      <c r="C7648" t="s">
        <v>446</v>
      </c>
      <c r="D7648" t="s">
        <v>824</v>
      </c>
      <c r="F7648">
        <v>5.2905782163749199E-9</v>
      </c>
      <c r="G7648">
        <v>23634354</v>
      </c>
      <c r="H7648">
        <v>10730310</v>
      </c>
      <c r="I7648">
        <v>40921904</v>
      </c>
      <c r="J7648">
        <v>6</v>
      </c>
    </row>
    <row r="7649" spans="1:10" x14ac:dyDescent="0.25">
      <c r="A7649" t="s">
        <v>66</v>
      </c>
      <c r="B7649" s="1" t="str">
        <f>HYPERLINK("http://bmw-motorrad.fr","bmw-motorrad.fr")</f>
        <v>bmw-motorrad.fr</v>
      </c>
      <c r="C7649" t="s">
        <v>446</v>
      </c>
      <c r="D7649" t="s">
        <v>824</v>
      </c>
      <c r="E7649">
        <v>210621</v>
      </c>
      <c r="F7649">
        <v>9.1982293881820802E-8</v>
      </c>
      <c r="G7649">
        <v>442772</v>
      </c>
      <c r="H7649">
        <v>14183538</v>
      </c>
      <c r="I7649">
        <v>1774781</v>
      </c>
      <c r="J7649">
        <v>2</v>
      </c>
    </row>
    <row r="7650" spans="1:10" x14ac:dyDescent="0.25">
      <c r="A7650" t="s">
        <v>66</v>
      </c>
      <c r="B7650" s="1" t="str">
        <f>HYPERLINK("http://bmwetvous.fr","bmwetvous.fr")</f>
        <v>bmwetvous.fr</v>
      </c>
      <c r="C7650" t="s">
        <v>446</v>
      </c>
      <c r="D7650" t="s">
        <v>824</v>
      </c>
      <c r="F7650">
        <v>9.5362445973086392E-9</v>
      </c>
      <c r="G7650">
        <v>7279748</v>
      </c>
      <c r="H7650">
        <v>12150037</v>
      </c>
      <c r="I7650">
        <v>24622100</v>
      </c>
      <c r="J7650">
        <v>2</v>
      </c>
    </row>
    <row r="7651" spans="1:10" x14ac:dyDescent="0.25">
      <c r="A7651" t="s">
        <v>66</v>
      </c>
      <c r="B7651" s="1" t="str">
        <f>HYPERLINK("http://bmwparis.fr","bmwparis.fr")</f>
        <v>bmwparis.fr</v>
      </c>
      <c r="C7651" t="s">
        <v>446</v>
      </c>
      <c r="D7651" t="s">
        <v>824</v>
      </c>
      <c r="J7651">
        <v>6</v>
      </c>
    </row>
    <row r="7652" spans="1:10" x14ac:dyDescent="0.25">
      <c r="A7652" t="s">
        <v>66</v>
      </c>
      <c r="B7652" s="1" t="str">
        <f>HYPERLINK("http://boxerspirit.fr","boxerspirit.fr")</f>
        <v>boxerspirit.fr</v>
      </c>
      <c r="C7652" t="s">
        <v>446</v>
      </c>
      <c r="D7652" t="s">
        <v>824</v>
      </c>
      <c r="F7652">
        <v>4.4851829365713602E-9</v>
      </c>
      <c r="G7652">
        <v>61359770</v>
      </c>
      <c r="H7652">
        <v>10349605</v>
      </c>
      <c r="I7652">
        <v>56408589</v>
      </c>
      <c r="J7652">
        <v>4</v>
      </c>
    </row>
    <row r="7653" spans="1:10" x14ac:dyDescent="0.25">
      <c r="A7653" t="s">
        <v>66</v>
      </c>
      <c r="B7653" s="1" t="str">
        <f>HYPERLINK("http://garage-alain-verne.fr","garage-alain-verne.fr")</f>
        <v>garage-alain-verne.fr</v>
      </c>
      <c r="C7653" t="s">
        <v>446</v>
      </c>
      <c r="D7653" t="s">
        <v>824</v>
      </c>
      <c r="F7653">
        <v>4.6187774196206398E-9</v>
      </c>
      <c r="G7653">
        <v>46218377</v>
      </c>
      <c r="H7653">
        <v>9663192</v>
      </c>
      <c r="I7653">
        <v>63785141</v>
      </c>
      <c r="J7653">
        <v>6</v>
      </c>
    </row>
    <row r="7654" spans="1:10" x14ac:dyDescent="0.25">
      <c r="A7654" t="s">
        <v>66</v>
      </c>
      <c r="B7654" s="1" t="str">
        <f>HYPERLINK("http://groupesavy.fr","groupesavy.fr")</f>
        <v>groupesavy.fr</v>
      </c>
      <c r="C7654" t="s">
        <v>446</v>
      </c>
      <c r="D7654" t="s">
        <v>824</v>
      </c>
      <c r="F7654">
        <v>1.06660413787432E-8</v>
      </c>
      <c r="G7654">
        <v>6128293</v>
      </c>
      <c r="H7654">
        <v>12123596</v>
      </c>
      <c r="I7654">
        <v>25313348</v>
      </c>
      <c r="J7654">
        <v>6</v>
      </c>
    </row>
    <row r="7655" spans="1:10" x14ac:dyDescent="0.25">
      <c r="A7655" t="s">
        <v>66</v>
      </c>
      <c r="B7655" s="1" t="str">
        <f>HYPERLINK("http://horizon.fr","horizon.fr")</f>
        <v>horizon.fr</v>
      </c>
      <c r="C7655" t="s">
        <v>446</v>
      </c>
      <c r="D7655" t="s">
        <v>824</v>
      </c>
      <c r="F7655">
        <v>2.6408531057317301E-8</v>
      </c>
      <c r="G7655">
        <v>1949671</v>
      </c>
      <c r="H7655">
        <v>14083800</v>
      </c>
      <c r="I7655">
        <v>2791247</v>
      </c>
      <c r="J7655">
        <v>6</v>
      </c>
    </row>
    <row r="7656" spans="1:10" x14ac:dyDescent="0.25">
      <c r="A7656" t="s">
        <v>66</v>
      </c>
      <c r="B7656" s="1" t="str">
        <f>HYPERLINK("http://mini.fr","mini.fr")</f>
        <v>mini.fr</v>
      </c>
      <c r="C7656" t="s">
        <v>446</v>
      </c>
      <c r="D7656" t="s">
        <v>824</v>
      </c>
      <c r="E7656">
        <v>448156</v>
      </c>
      <c r="F7656">
        <v>1.40848835215413E-7</v>
      </c>
      <c r="G7656">
        <v>276527</v>
      </c>
      <c r="H7656">
        <v>14780188</v>
      </c>
      <c r="I7656">
        <v>554712</v>
      </c>
      <c r="J7656">
        <v>2</v>
      </c>
    </row>
    <row r="7657" spans="1:10" x14ac:dyDescent="0.25">
      <c r="A7657" t="s">
        <v>66</v>
      </c>
      <c r="B7657" s="1" t="str">
        <f>HYPERLINK("http://mini-bayern-aixenprovence.fr","mini-bayern-aixenprovence.fr")</f>
        <v>mini-bayern-aixenprovence.fr</v>
      </c>
      <c r="C7657" t="s">
        <v>446</v>
      </c>
      <c r="D7657" t="s">
        <v>824</v>
      </c>
      <c r="F7657">
        <v>5.7000461352296996E-9</v>
      </c>
      <c r="G7657">
        <v>18960072</v>
      </c>
      <c r="H7657">
        <v>10871717</v>
      </c>
      <c r="I7657">
        <v>36470579</v>
      </c>
      <c r="J7657">
        <v>6</v>
      </c>
    </row>
    <row r="7658" spans="1:10" x14ac:dyDescent="0.25">
      <c r="A7658" t="s">
        <v>66</v>
      </c>
      <c r="B7658" s="1" t="str">
        <f>HYPERLINK("http://mini-bayern-dax.fr","mini-bayern-dax.fr")</f>
        <v>mini-bayern-dax.fr</v>
      </c>
      <c r="C7658" t="s">
        <v>446</v>
      </c>
      <c r="D7658" t="s">
        <v>824</v>
      </c>
      <c r="F7658">
        <v>4.5865847966047503E-9</v>
      </c>
      <c r="G7658">
        <v>48703252</v>
      </c>
      <c r="H7658">
        <v>11884794</v>
      </c>
      <c r="I7658">
        <v>29575161</v>
      </c>
      <c r="J7658">
        <v>6</v>
      </c>
    </row>
    <row r="7659" spans="1:10" x14ac:dyDescent="0.25">
      <c r="A7659" t="s">
        <v>66</v>
      </c>
      <c r="B7659" s="1" t="str">
        <f>HYPERLINK("http://mini-bayern-merignac.fr","mini-bayern-merignac.fr")</f>
        <v>mini-bayern-merignac.fr</v>
      </c>
      <c r="C7659" t="s">
        <v>446</v>
      </c>
      <c r="D7659" t="s">
        <v>824</v>
      </c>
      <c r="F7659">
        <v>4.78681275636916E-9</v>
      </c>
      <c r="G7659">
        <v>36679200</v>
      </c>
      <c r="H7659">
        <v>9402124</v>
      </c>
      <c r="I7659">
        <v>67238853</v>
      </c>
      <c r="J7659">
        <v>6</v>
      </c>
    </row>
    <row r="7660" spans="1:10" x14ac:dyDescent="0.25">
      <c r="A7660" t="s">
        <v>66</v>
      </c>
      <c r="B7660" s="1" t="str">
        <f>HYPERLINK("http://mini-bayern-poitiers.fr","mini-bayern-poitiers.fr")</f>
        <v>mini-bayern-poitiers.fr</v>
      </c>
      <c r="C7660" t="s">
        <v>446</v>
      </c>
      <c r="D7660" t="s">
        <v>824</v>
      </c>
      <c r="F7660">
        <v>5.04541958115977E-9</v>
      </c>
      <c r="G7660">
        <v>28324331</v>
      </c>
      <c r="H7660">
        <v>10871714</v>
      </c>
      <c r="I7660">
        <v>36470623</v>
      </c>
      <c r="J7660">
        <v>6</v>
      </c>
    </row>
    <row r="7661" spans="1:10" x14ac:dyDescent="0.25">
      <c r="A7661" t="s">
        <v>66</v>
      </c>
      <c r="B7661" s="1" t="str">
        <f>HYPERLINK("http://saintmerri.fr","saintmerri.fr")</f>
        <v>saintmerri.fr</v>
      </c>
      <c r="C7661" t="s">
        <v>446</v>
      </c>
      <c r="D7661" t="s">
        <v>824</v>
      </c>
      <c r="F7661">
        <v>7.3574763159113797E-9</v>
      </c>
      <c r="G7661">
        <v>11343581</v>
      </c>
      <c r="H7661">
        <v>11091581</v>
      </c>
      <c r="I7661">
        <v>32366117</v>
      </c>
      <c r="J7661">
        <v>6</v>
      </c>
    </row>
    <row r="7662" spans="1:10" x14ac:dyDescent="0.25">
      <c r="A7662" t="s">
        <v>66</v>
      </c>
      <c r="B7662" s="1" t="str">
        <f>HYPERLINK("http://bmw.com.ge","bmw.com.ge")</f>
        <v>bmw.com.ge</v>
      </c>
      <c r="C7662" t="s">
        <v>637</v>
      </c>
      <c r="D7662" t="s">
        <v>958</v>
      </c>
      <c r="F7662">
        <v>1.65230924652235E-8</v>
      </c>
      <c r="G7662">
        <v>3408038</v>
      </c>
      <c r="H7662">
        <v>12419533</v>
      </c>
      <c r="I7662">
        <v>18466829</v>
      </c>
      <c r="J7662">
        <v>4</v>
      </c>
    </row>
    <row r="7663" spans="1:10" x14ac:dyDescent="0.25">
      <c r="A7663" t="s">
        <v>66</v>
      </c>
      <c r="B7663" s="1" t="str">
        <f>HYPERLINK("http://omegamotors.ge","omegamotors.ge")</f>
        <v>omegamotors.ge</v>
      </c>
      <c r="C7663" t="s">
        <v>637</v>
      </c>
      <c r="D7663" t="s">
        <v>958</v>
      </c>
      <c r="F7663">
        <v>6.6070986889142802E-9</v>
      </c>
      <c r="G7663">
        <v>13650134</v>
      </c>
      <c r="H7663">
        <v>10723490</v>
      </c>
      <c r="I7663">
        <v>41493782</v>
      </c>
      <c r="J7663">
        <v>6</v>
      </c>
    </row>
    <row r="7664" spans="1:10" x14ac:dyDescent="0.25">
      <c r="A7664" t="s">
        <v>66</v>
      </c>
      <c r="B7664" s="1" t="str">
        <f>HYPERLINK("http://bmw.gp","bmw.gp")</f>
        <v>bmw.gp</v>
      </c>
      <c r="C7664" t="s">
        <v>645</v>
      </c>
      <c r="F7664">
        <v>1.7527168945065301E-8</v>
      </c>
      <c r="G7664">
        <v>3139700</v>
      </c>
      <c r="H7664">
        <v>12413467</v>
      </c>
      <c r="I7664">
        <v>18558125</v>
      </c>
      <c r="J7664">
        <v>4</v>
      </c>
    </row>
    <row r="7665" spans="1:10" x14ac:dyDescent="0.25">
      <c r="A7665" t="s">
        <v>66</v>
      </c>
      <c r="B7665" s="1" t="str">
        <f>HYPERLINK("http://mini.gp","mini.gp")</f>
        <v>mini.gp</v>
      </c>
      <c r="C7665" t="s">
        <v>645</v>
      </c>
      <c r="F7665">
        <v>7.3423900603362297E-9</v>
      </c>
      <c r="G7665">
        <v>11378369</v>
      </c>
      <c r="H7665">
        <v>9382995</v>
      </c>
      <c r="I7665">
        <v>67514890</v>
      </c>
      <c r="J7665">
        <v>4</v>
      </c>
    </row>
    <row r="7666" spans="1:10" x14ac:dyDescent="0.25">
      <c r="A7666" t="s">
        <v>66</v>
      </c>
      <c r="B7666" s="1" t="str">
        <f>HYPERLINK("http://bmw.gr","bmw.gr")</f>
        <v>bmw.gr</v>
      </c>
      <c r="C7666" t="s">
        <v>447</v>
      </c>
      <c r="D7666" t="s">
        <v>825</v>
      </c>
      <c r="F7666">
        <v>5.5967569181999998E-8</v>
      </c>
      <c r="G7666">
        <v>800400</v>
      </c>
      <c r="H7666">
        <v>14075528</v>
      </c>
      <c r="I7666">
        <v>2906835</v>
      </c>
      <c r="J7666">
        <v>2</v>
      </c>
    </row>
    <row r="7667" spans="1:10" x14ac:dyDescent="0.25">
      <c r="A7667" t="s">
        <v>66</v>
      </c>
      <c r="B7667" s="1" t="str">
        <f>HYPERLINK("http://bmw-motorrad.gr","bmw-motorrad.gr")</f>
        <v>bmw-motorrad.gr</v>
      </c>
      <c r="C7667" t="s">
        <v>447</v>
      </c>
      <c r="D7667" t="s">
        <v>825</v>
      </c>
      <c r="F7667">
        <v>1.9547667651098699E-8</v>
      </c>
      <c r="G7667">
        <v>2736953</v>
      </c>
      <c r="H7667">
        <v>12343543</v>
      </c>
      <c r="I7667">
        <v>19882206</v>
      </c>
      <c r="J7667">
        <v>2</v>
      </c>
    </row>
    <row r="7668" spans="1:10" x14ac:dyDescent="0.25">
      <c r="A7668" t="s">
        <v>66</v>
      </c>
      <c r="B7668" s="1" t="str">
        <f>HYPERLINK("http://bmw-panagiotopoulos.gr","bmw-panagiotopoulos.gr")</f>
        <v>bmw-panagiotopoulos.gr</v>
      </c>
      <c r="C7668" t="s">
        <v>447</v>
      </c>
      <c r="D7668" t="s">
        <v>825</v>
      </c>
      <c r="F7668">
        <v>4.7062476672248902E-9</v>
      </c>
      <c r="G7668">
        <v>40921363</v>
      </c>
      <c r="H7668">
        <v>8565283</v>
      </c>
      <c r="I7668">
        <v>71155328</v>
      </c>
      <c r="J7668">
        <v>4</v>
      </c>
    </row>
    <row r="7669" spans="1:10" x14ac:dyDescent="0.25">
      <c r="A7669" t="s">
        <v>66</v>
      </c>
      <c r="B7669" s="1" t="str">
        <f>HYPERLINK("http://mini.com.gr","mini.com.gr")</f>
        <v>mini.com.gr</v>
      </c>
      <c r="C7669" t="s">
        <v>447</v>
      </c>
      <c r="D7669" t="s">
        <v>825</v>
      </c>
      <c r="F7669">
        <v>1.7762049672724201E-8</v>
      </c>
      <c r="G7669">
        <v>3082946</v>
      </c>
      <c r="H7669">
        <v>13999954</v>
      </c>
      <c r="I7669">
        <v>4013540</v>
      </c>
      <c r="J7669">
        <v>3</v>
      </c>
    </row>
    <row r="7670" spans="1:10" x14ac:dyDescent="0.25">
      <c r="A7670" t="s">
        <v>66</v>
      </c>
      <c r="B7670" s="1" t="str">
        <f>HYPERLINK("http://gstraveler.gr","gstraveler.gr")</f>
        <v>gstraveler.gr</v>
      </c>
      <c r="C7670" t="s">
        <v>447</v>
      </c>
      <c r="D7670" t="s">
        <v>825</v>
      </c>
      <c r="F7670">
        <v>6.6663793924798298E-9</v>
      </c>
      <c r="G7670">
        <v>13424868</v>
      </c>
      <c r="H7670">
        <v>13933063</v>
      </c>
      <c r="I7670">
        <v>5095676</v>
      </c>
      <c r="J7670">
        <v>4</v>
      </c>
    </row>
    <row r="7671" spans="1:10" x14ac:dyDescent="0.25">
      <c r="A7671" t="s">
        <v>66</v>
      </c>
      <c r="B7671" s="1" t="str">
        <f>HYPERLINK("http://bmw-motorrad.gt","bmw-motorrad.gt")</f>
        <v>bmw-motorrad.gt</v>
      </c>
      <c r="C7671" t="s">
        <v>448</v>
      </c>
      <c r="D7671" t="s">
        <v>826</v>
      </c>
      <c r="F7671">
        <v>7.6314336863507208E-9</v>
      </c>
      <c r="G7671">
        <v>10726711</v>
      </c>
      <c r="H7671">
        <v>12106351</v>
      </c>
      <c r="I7671">
        <v>25817248</v>
      </c>
      <c r="J7671">
        <v>2</v>
      </c>
    </row>
    <row r="7672" spans="1:10" x14ac:dyDescent="0.25">
      <c r="A7672" t="s">
        <v>66</v>
      </c>
      <c r="B7672" s="1" t="str">
        <f>HYPERLINK("http://bmw.com.gt","bmw.com.gt")</f>
        <v>bmw.com.gt</v>
      </c>
      <c r="C7672" t="s">
        <v>448</v>
      </c>
      <c r="D7672" t="s">
        <v>826</v>
      </c>
      <c r="F7672">
        <v>1.7013784168192302E-8</v>
      </c>
      <c r="G7672">
        <v>3280058</v>
      </c>
      <c r="H7672">
        <v>12413019</v>
      </c>
      <c r="I7672">
        <v>18563848</v>
      </c>
      <c r="J7672">
        <v>2</v>
      </c>
    </row>
    <row r="7673" spans="1:10" x14ac:dyDescent="0.25">
      <c r="A7673" t="s">
        <v>66</v>
      </c>
      <c r="B7673" s="1" t="str">
        <f>HYPERLINK("http://mini.com.gt","mini.com.gt")</f>
        <v>mini.com.gt</v>
      </c>
      <c r="C7673" t="s">
        <v>448</v>
      </c>
      <c r="D7673" t="s">
        <v>826</v>
      </c>
      <c r="F7673">
        <v>9.0196148830876492E-9</v>
      </c>
      <c r="G7673">
        <v>7962968</v>
      </c>
      <c r="H7673">
        <v>10416366</v>
      </c>
      <c r="I7673">
        <v>53978762</v>
      </c>
      <c r="J7673">
        <v>3</v>
      </c>
    </row>
    <row r="7674" spans="1:10" x14ac:dyDescent="0.25">
      <c r="A7674" t="s">
        <v>66</v>
      </c>
      <c r="B7674" s="1" t="str">
        <f>HYPERLINK("http://bmw.hn","bmw.hn")</f>
        <v>bmw.hn</v>
      </c>
      <c r="C7674" t="s">
        <v>451</v>
      </c>
      <c r="D7674" t="s">
        <v>828</v>
      </c>
      <c r="F7674">
        <v>1.6944484611520199E-8</v>
      </c>
      <c r="G7674">
        <v>3296637</v>
      </c>
      <c r="H7674">
        <v>12414166</v>
      </c>
      <c r="I7674">
        <v>18549590</v>
      </c>
      <c r="J7674">
        <v>4</v>
      </c>
    </row>
    <row r="7675" spans="1:10" x14ac:dyDescent="0.25">
      <c r="A7675" t="s">
        <v>66</v>
      </c>
      <c r="B7675" s="1" t="str">
        <f>HYPERLINK("http://bmw.hr","bmw.hr")</f>
        <v>bmw.hr</v>
      </c>
      <c r="C7675" t="s">
        <v>452</v>
      </c>
      <c r="D7675" t="s">
        <v>829</v>
      </c>
      <c r="F7675">
        <v>3.08511733487144E-8</v>
      </c>
      <c r="G7675">
        <v>1669744</v>
      </c>
      <c r="H7675">
        <v>14238089</v>
      </c>
      <c r="I7675">
        <v>1533659</v>
      </c>
      <c r="J7675">
        <v>4</v>
      </c>
    </row>
    <row r="7676" spans="1:10" x14ac:dyDescent="0.25">
      <c r="A7676" t="s">
        <v>66</v>
      </c>
      <c r="B7676" s="1" t="str">
        <f>HYPERLINK("http://bmw-motorrad.com.hr","bmw-motorrad.com.hr")</f>
        <v>bmw-motorrad.com.hr</v>
      </c>
      <c r="C7676" t="s">
        <v>452</v>
      </c>
      <c r="D7676" t="s">
        <v>829</v>
      </c>
      <c r="F7676">
        <v>9.3085288962741101E-9</v>
      </c>
      <c r="G7676">
        <v>7561428</v>
      </c>
      <c r="H7676">
        <v>12084294</v>
      </c>
      <c r="I7676">
        <v>26456207</v>
      </c>
      <c r="J7676">
        <v>2</v>
      </c>
    </row>
    <row r="7677" spans="1:10" x14ac:dyDescent="0.25">
      <c r="A7677" t="s">
        <v>66</v>
      </c>
      <c r="B7677" s="1" t="str">
        <f>HYPERLINK("http://mini.com.hr","mini.com.hr")</f>
        <v>mini.com.hr</v>
      </c>
      <c r="C7677" t="s">
        <v>452</v>
      </c>
      <c r="D7677" t="s">
        <v>829</v>
      </c>
      <c r="F7677">
        <v>6.5565239847214199E-9</v>
      </c>
      <c r="G7677">
        <v>13847079</v>
      </c>
      <c r="H7677">
        <v>12492134</v>
      </c>
      <c r="I7677">
        <v>17469408</v>
      </c>
      <c r="J7677">
        <v>3</v>
      </c>
    </row>
    <row r="7678" spans="1:10" x14ac:dyDescent="0.25">
      <c r="A7678" t="s">
        <v>66</v>
      </c>
      <c r="B7678" s="1" t="str">
        <f>HYPERLINK("http://bmw.ht","bmw.ht")</f>
        <v>bmw.ht</v>
      </c>
      <c r="C7678" t="s">
        <v>646</v>
      </c>
      <c r="D7678" t="s">
        <v>965</v>
      </c>
      <c r="F7678">
        <v>8.48824769593348E-9</v>
      </c>
      <c r="G7678">
        <v>8867879</v>
      </c>
      <c r="H7678">
        <v>12367329</v>
      </c>
      <c r="I7678">
        <v>19459922</v>
      </c>
      <c r="J7678">
        <v>4</v>
      </c>
    </row>
    <row r="7679" spans="1:10" x14ac:dyDescent="0.25">
      <c r="A7679" t="s">
        <v>66</v>
      </c>
      <c r="B7679" s="1" t="str">
        <f>HYPERLINK("http://angyalosiautohaz.hu","angyalosiautohaz.hu")</f>
        <v>angyalosiautohaz.hu</v>
      </c>
      <c r="C7679" t="s">
        <v>453</v>
      </c>
      <c r="D7679" t="s">
        <v>830</v>
      </c>
      <c r="J7679">
        <v>6</v>
      </c>
    </row>
    <row r="7680" spans="1:10" x14ac:dyDescent="0.25">
      <c r="A7680" t="s">
        <v>66</v>
      </c>
      <c r="B7680" s="1" t="str">
        <f>HYPERLINK("http://bmw.hu","bmw.hu")</f>
        <v>bmw.hu</v>
      </c>
      <c r="C7680" t="s">
        <v>453</v>
      </c>
      <c r="D7680" t="s">
        <v>830</v>
      </c>
      <c r="F7680">
        <v>7.3694649844877695E-8</v>
      </c>
      <c r="G7680">
        <v>571664</v>
      </c>
      <c r="H7680">
        <v>14243479</v>
      </c>
      <c r="I7680">
        <v>1477197</v>
      </c>
      <c r="J7680">
        <v>2</v>
      </c>
    </row>
    <row r="7681" spans="1:10" x14ac:dyDescent="0.25">
      <c r="A7681" t="s">
        <v>66</v>
      </c>
      <c r="B7681" s="1" t="str">
        <f>HYPERLINK("http://bmw-angyalosiautohaz.hu","bmw-angyalosiautohaz.hu")</f>
        <v>bmw-angyalosiautohaz.hu</v>
      </c>
      <c r="C7681" t="s">
        <v>453</v>
      </c>
      <c r="D7681" t="s">
        <v>830</v>
      </c>
      <c r="F7681">
        <v>4.4898671739293903E-9</v>
      </c>
      <c r="G7681">
        <v>60544881</v>
      </c>
      <c r="H7681">
        <v>12193104</v>
      </c>
      <c r="I7681">
        <v>23508658</v>
      </c>
      <c r="J7681">
        <v>6</v>
      </c>
    </row>
    <row r="7682" spans="1:10" x14ac:dyDescent="0.25">
      <c r="A7682" t="s">
        <v>66</v>
      </c>
      <c r="B7682" s="1" t="str">
        <f>HYPERLINK("http://bmw-budapestmotors.hu","bmw-budapestmotors.hu")</f>
        <v>bmw-budapestmotors.hu</v>
      </c>
      <c r="C7682" t="s">
        <v>453</v>
      </c>
      <c r="D7682" t="s">
        <v>830</v>
      </c>
      <c r="F7682">
        <v>1.1020178310444801E-8</v>
      </c>
      <c r="G7682">
        <v>5844567</v>
      </c>
      <c r="H7682">
        <v>10793871</v>
      </c>
      <c r="I7682">
        <v>38357614</v>
      </c>
      <c r="J7682">
        <v>6</v>
      </c>
    </row>
    <row r="7683" spans="1:10" x14ac:dyDescent="0.25">
      <c r="A7683" t="s">
        <v>66</v>
      </c>
      <c r="B7683" s="1" t="str">
        <f>HYPERLINK("http://bmw-motorrad.hu","bmw-motorrad.hu")</f>
        <v>bmw-motorrad.hu</v>
      </c>
      <c r="C7683" t="s">
        <v>453</v>
      </c>
      <c r="D7683" t="s">
        <v>830</v>
      </c>
      <c r="F7683">
        <v>1.6108011631389798E-8</v>
      </c>
      <c r="G7683">
        <v>3518596</v>
      </c>
      <c r="H7683">
        <v>12175087</v>
      </c>
      <c r="I7683">
        <v>23931945</v>
      </c>
      <c r="J7683">
        <v>2</v>
      </c>
    </row>
    <row r="7684" spans="1:10" x14ac:dyDescent="0.25">
      <c r="A7684" t="s">
        <v>66</v>
      </c>
      <c r="B7684" s="1" t="str">
        <f>HYPERLINK("http://bmw-rackauto.hu","bmw-rackauto.hu")</f>
        <v>bmw-rackauto.hu</v>
      </c>
      <c r="C7684" t="s">
        <v>453</v>
      </c>
      <c r="D7684" t="s">
        <v>830</v>
      </c>
      <c r="F7684">
        <v>6.1295045609146699E-9</v>
      </c>
      <c r="G7684">
        <v>15928044</v>
      </c>
      <c r="H7684">
        <v>12260241</v>
      </c>
      <c r="I7684">
        <v>21767530</v>
      </c>
      <c r="J7684">
        <v>6</v>
      </c>
    </row>
    <row r="7685" spans="1:10" x14ac:dyDescent="0.25">
      <c r="A7685" t="s">
        <v>66</v>
      </c>
      <c r="B7685" s="1" t="str">
        <f>HYPERLINK("http://alphabet.co.hu","alphabet.co.hu")</f>
        <v>alphabet.co.hu</v>
      </c>
      <c r="C7685" t="s">
        <v>453</v>
      </c>
      <c r="D7685" t="s">
        <v>830</v>
      </c>
      <c r="J7685">
        <v>2</v>
      </c>
    </row>
    <row r="7686" spans="1:10" x14ac:dyDescent="0.25">
      <c r="A7686" t="s">
        <v>66</v>
      </c>
      <c r="B7686" s="1" t="str">
        <f>HYPERLINK("http://mini.hu","mini.hu")</f>
        <v>mini.hu</v>
      </c>
      <c r="C7686" t="s">
        <v>453</v>
      </c>
      <c r="D7686" t="s">
        <v>830</v>
      </c>
      <c r="F7686">
        <v>2.33528156795506E-8</v>
      </c>
      <c r="G7686">
        <v>2233411</v>
      </c>
      <c r="H7686">
        <v>12342297</v>
      </c>
      <c r="I7686">
        <v>19909527</v>
      </c>
      <c r="J7686">
        <v>2</v>
      </c>
    </row>
    <row r="7687" spans="1:10" x14ac:dyDescent="0.25">
      <c r="A7687" t="s">
        <v>66</v>
      </c>
      <c r="B7687" s="1" t="str">
        <f>HYPERLINK("http://bmw.co.id","bmw.co.id")</f>
        <v>bmw.co.id</v>
      </c>
      <c r="C7687" t="s">
        <v>454</v>
      </c>
      <c r="D7687" t="s">
        <v>831</v>
      </c>
      <c r="F7687">
        <v>6.4550013158896102E-8</v>
      </c>
      <c r="G7687">
        <v>670164</v>
      </c>
      <c r="H7687">
        <v>14377922</v>
      </c>
      <c r="I7687">
        <v>1207092</v>
      </c>
      <c r="J7687">
        <v>2</v>
      </c>
    </row>
    <row r="7688" spans="1:10" x14ac:dyDescent="0.25">
      <c r="A7688" t="s">
        <v>66</v>
      </c>
      <c r="B7688" s="1" t="str">
        <f>HYPERLINK("http://bmw-motorrad.co.id","bmw-motorrad.co.id")</f>
        <v>bmw-motorrad.co.id</v>
      </c>
      <c r="C7688" t="s">
        <v>454</v>
      </c>
      <c r="D7688" t="s">
        <v>831</v>
      </c>
      <c r="F7688">
        <v>7.7984245138517906E-9</v>
      </c>
      <c r="G7688">
        <v>10323490</v>
      </c>
      <c r="H7688">
        <v>12893993</v>
      </c>
      <c r="I7688">
        <v>13911646</v>
      </c>
      <c r="J7688">
        <v>3</v>
      </c>
    </row>
    <row r="7689" spans="1:10" x14ac:dyDescent="0.25">
      <c r="A7689" t="s">
        <v>66</v>
      </c>
      <c r="B7689" s="1" t="str">
        <f>HYPERLINK("http://bmw.ie","bmw.ie")</f>
        <v>bmw.ie</v>
      </c>
      <c r="C7689" t="s">
        <v>455</v>
      </c>
      <c r="D7689" t="s">
        <v>832</v>
      </c>
      <c r="E7689">
        <v>318963</v>
      </c>
      <c r="F7689">
        <v>7.4273894278986494E-8</v>
      </c>
      <c r="G7689">
        <v>566663</v>
      </c>
      <c r="H7689">
        <v>14516430</v>
      </c>
      <c r="I7689">
        <v>811538</v>
      </c>
      <c r="J7689">
        <v>2</v>
      </c>
    </row>
    <row r="7690" spans="1:10" x14ac:dyDescent="0.25">
      <c r="A7690" t="s">
        <v>66</v>
      </c>
      <c r="B7690" s="1" t="str">
        <f>HYPERLINK("http://bmw-motorrad.ie","bmw-motorrad.ie")</f>
        <v>bmw-motorrad.ie</v>
      </c>
      <c r="C7690" t="s">
        <v>455</v>
      </c>
      <c r="D7690" t="s">
        <v>832</v>
      </c>
      <c r="F7690">
        <v>1.49232833133958E-8</v>
      </c>
      <c r="G7690">
        <v>3864871</v>
      </c>
      <c r="H7690">
        <v>12839093</v>
      </c>
      <c r="I7690">
        <v>14357944</v>
      </c>
      <c r="J7690">
        <v>2</v>
      </c>
    </row>
    <row r="7691" spans="1:10" x14ac:dyDescent="0.25">
      <c r="A7691" t="s">
        <v>66</v>
      </c>
      <c r="B7691" s="1" t="str">
        <f>HYPERLINK("http://bmworkshop.ie","bmworkshop.ie")</f>
        <v>bmworkshop.ie</v>
      </c>
      <c r="C7691" t="s">
        <v>455</v>
      </c>
      <c r="D7691" t="s">
        <v>832</v>
      </c>
      <c r="F7691">
        <v>4.4438331965111198E-9</v>
      </c>
      <c r="G7691">
        <v>78976467</v>
      </c>
      <c r="H7691">
        <v>10466171</v>
      </c>
      <c r="I7691">
        <v>51441474</v>
      </c>
      <c r="J7691">
        <v>6</v>
      </c>
    </row>
    <row r="7692" spans="1:10" x14ac:dyDescent="0.25">
      <c r="A7692" t="s">
        <v>66</v>
      </c>
      <c r="B7692" s="1" t="str">
        <f>HYPERLINK("http://kearysbmw.ie","kearysbmw.ie")</f>
        <v>kearysbmw.ie</v>
      </c>
      <c r="C7692" t="s">
        <v>455</v>
      </c>
      <c r="D7692" t="s">
        <v>832</v>
      </c>
      <c r="F7692">
        <v>6.6069456928656897E-9</v>
      </c>
      <c r="G7692">
        <v>13650774</v>
      </c>
      <c r="H7692">
        <v>12137944</v>
      </c>
      <c r="I7692">
        <v>24926546</v>
      </c>
      <c r="J7692">
        <v>6</v>
      </c>
    </row>
    <row r="7693" spans="1:10" x14ac:dyDescent="0.25">
      <c r="A7693" t="s">
        <v>66</v>
      </c>
      <c r="B7693" s="1" t="str">
        <f>HYPERLINK("http://maddock.ie","maddock.ie")</f>
        <v>maddock.ie</v>
      </c>
      <c r="C7693" t="s">
        <v>455</v>
      </c>
      <c r="D7693" t="s">
        <v>832</v>
      </c>
      <c r="F7693">
        <v>5.5483577293276797E-9</v>
      </c>
      <c r="G7693">
        <v>20394041</v>
      </c>
      <c r="H7693">
        <v>11306211</v>
      </c>
      <c r="I7693">
        <v>30580412</v>
      </c>
      <c r="J7693">
        <v>6</v>
      </c>
    </row>
    <row r="7694" spans="1:10" x14ac:dyDescent="0.25">
      <c r="A7694" t="s">
        <v>66</v>
      </c>
      <c r="B7694" s="1" t="str">
        <f>HYPERLINK("http://mini.ie","mini.ie")</f>
        <v>mini.ie</v>
      </c>
      <c r="C7694" t="s">
        <v>455</v>
      </c>
      <c r="D7694" t="s">
        <v>832</v>
      </c>
      <c r="F7694">
        <v>2.34909973734564E-8</v>
      </c>
      <c r="G7694">
        <v>2215726</v>
      </c>
      <c r="H7694">
        <v>12645603</v>
      </c>
      <c r="I7694">
        <v>15829727</v>
      </c>
      <c r="J7694">
        <v>3</v>
      </c>
    </row>
    <row r="7695" spans="1:10" x14ac:dyDescent="0.25">
      <c r="A7695" t="s">
        <v>66</v>
      </c>
      <c r="B7695" s="1" t="str">
        <f>HYPERLINK("http://bmw.co.il","bmw.co.il")</f>
        <v>bmw.co.il</v>
      </c>
      <c r="C7695" t="s">
        <v>456</v>
      </c>
      <c r="D7695" t="s">
        <v>833</v>
      </c>
      <c r="E7695">
        <v>423888</v>
      </c>
      <c r="F7695">
        <v>1.9788182633058498E-8</v>
      </c>
      <c r="G7695">
        <v>2695092</v>
      </c>
      <c r="H7695">
        <v>14485474</v>
      </c>
      <c r="I7695">
        <v>993173</v>
      </c>
      <c r="J7695">
        <v>4</v>
      </c>
    </row>
    <row r="7696" spans="1:10" x14ac:dyDescent="0.25">
      <c r="A7696" t="s">
        <v>66</v>
      </c>
      <c r="B7696" s="1" t="str">
        <f>HYPERLINK("http://bmw.in","bmw.in")</f>
        <v>bmw.in</v>
      </c>
      <c r="C7696" t="s">
        <v>457</v>
      </c>
      <c r="D7696" t="s">
        <v>834</v>
      </c>
      <c r="E7696">
        <v>233723</v>
      </c>
      <c r="F7696">
        <v>1.74460324493948E-7</v>
      </c>
      <c r="G7696">
        <v>222293</v>
      </c>
      <c r="H7696">
        <v>15010502</v>
      </c>
      <c r="I7696">
        <v>423241</v>
      </c>
      <c r="J7696">
        <v>2</v>
      </c>
    </row>
    <row r="7697" spans="1:10" x14ac:dyDescent="0.25">
      <c r="A7697" t="s">
        <v>66</v>
      </c>
      <c r="B7697" s="1" t="str">
        <f>HYPERLINK("http://bmw-motorrad.in","bmw-motorrad.in")</f>
        <v>bmw-motorrad.in</v>
      </c>
      <c r="C7697" t="s">
        <v>457</v>
      </c>
      <c r="D7697" t="s">
        <v>834</v>
      </c>
      <c r="E7697">
        <v>912390</v>
      </c>
      <c r="F7697">
        <v>4.0207064236311702E-8</v>
      </c>
      <c r="G7697">
        <v>1286604</v>
      </c>
      <c r="H7697">
        <v>13115325</v>
      </c>
      <c r="I7697">
        <v>12014635</v>
      </c>
      <c r="J7697">
        <v>2</v>
      </c>
    </row>
    <row r="7698" spans="1:10" x14ac:dyDescent="0.25">
      <c r="A7698" t="s">
        <v>66</v>
      </c>
      <c r="B7698" s="1" t="str">
        <f>HYPERLINK("http://mini.in","mini.in")</f>
        <v>mini.in</v>
      </c>
      <c r="C7698" t="s">
        <v>457</v>
      </c>
      <c r="D7698" t="s">
        <v>834</v>
      </c>
      <c r="F7698">
        <v>2.5990495735167799E-8</v>
      </c>
      <c r="G7698">
        <v>1982399</v>
      </c>
      <c r="H7698">
        <v>13745735</v>
      </c>
      <c r="I7698">
        <v>9423809</v>
      </c>
      <c r="J7698">
        <v>5</v>
      </c>
    </row>
    <row r="7699" spans="1:10" x14ac:dyDescent="0.25">
      <c r="A7699" t="s">
        <v>66</v>
      </c>
      <c r="B7699" s="1" t="str">
        <f>HYPERLINK("http://alphabet.info","alphabet.info")</f>
        <v>alphabet.info</v>
      </c>
      <c r="C7699" t="s">
        <v>458</v>
      </c>
      <c r="J7699">
        <v>2</v>
      </c>
    </row>
    <row r="7700" spans="1:10" x14ac:dyDescent="0.25">
      <c r="A7700" t="s">
        <v>66</v>
      </c>
      <c r="B7700" s="1" t="str">
        <f>HYPERLINK("http://bgmtest.info","bgmtest.info")</f>
        <v>bgmtest.info</v>
      </c>
      <c r="C7700" t="s">
        <v>458</v>
      </c>
      <c r="J7700">
        <v>2</v>
      </c>
    </row>
    <row r="7701" spans="1:10" x14ac:dyDescent="0.25">
      <c r="A7701" t="s">
        <v>66</v>
      </c>
      <c r="B7701" s="1" t="str">
        <f>HYPERLINK("http://bmwdigital.io","bmwdigital.io")</f>
        <v>bmwdigital.io</v>
      </c>
      <c r="C7701" t="s">
        <v>518</v>
      </c>
      <c r="F7701">
        <v>4.44380927664388E-9</v>
      </c>
      <c r="G7701">
        <v>79830378</v>
      </c>
      <c r="H7701">
        <v>10352960</v>
      </c>
      <c r="I7701">
        <v>55977356</v>
      </c>
      <c r="J7701">
        <v>2</v>
      </c>
    </row>
    <row r="7702" spans="1:10" x14ac:dyDescent="0.25">
      <c r="A7702" t="s">
        <v>66</v>
      </c>
      <c r="B7702" s="1" t="str">
        <f>HYPERLINK("http://bmw.is","bmw.is")</f>
        <v>bmw.is</v>
      </c>
      <c r="C7702" t="s">
        <v>594</v>
      </c>
      <c r="D7702" t="s">
        <v>929</v>
      </c>
      <c r="F7702">
        <v>1.6783655822959598E-8</v>
      </c>
      <c r="G7702">
        <v>3337298</v>
      </c>
      <c r="H7702">
        <v>14236910</v>
      </c>
      <c r="I7702">
        <v>1566037</v>
      </c>
      <c r="J7702">
        <v>4</v>
      </c>
    </row>
    <row r="7703" spans="1:10" x14ac:dyDescent="0.25">
      <c r="A7703" t="s">
        <v>66</v>
      </c>
      <c r="B7703" s="1" t="str">
        <f>HYPERLINK("http://bmw.it","bmw.it")</f>
        <v>bmw.it</v>
      </c>
      <c r="C7703" t="s">
        <v>459</v>
      </c>
      <c r="D7703" t="s">
        <v>835</v>
      </c>
      <c r="E7703">
        <v>169603</v>
      </c>
      <c r="F7703">
        <v>2.6330469780924699E-7</v>
      </c>
      <c r="G7703">
        <v>141893</v>
      </c>
      <c r="H7703">
        <v>14656834</v>
      </c>
      <c r="I7703">
        <v>622599</v>
      </c>
      <c r="J7703">
        <v>2</v>
      </c>
    </row>
    <row r="7704" spans="1:10" x14ac:dyDescent="0.25">
      <c r="A7704" t="s">
        <v>66</v>
      </c>
      <c r="B7704" s="1" t="str">
        <f>HYPERLINK("http://bmw-motorrad.it","bmw-motorrad.it")</f>
        <v>bmw-motorrad.it</v>
      </c>
      <c r="C7704" t="s">
        <v>459</v>
      </c>
      <c r="D7704" t="s">
        <v>835</v>
      </c>
      <c r="E7704">
        <v>584804</v>
      </c>
      <c r="F7704">
        <v>6.2034158418372802E-8</v>
      </c>
      <c r="G7704">
        <v>708757</v>
      </c>
      <c r="H7704">
        <v>14497727</v>
      </c>
      <c r="I7704">
        <v>864759</v>
      </c>
      <c r="J7704">
        <v>2</v>
      </c>
    </row>
    <row r="7705" spans="1:10" x14ac:dyDescent="0.25">
      <c r="A7705" t="s">
        <v>66</v>
      </c>
      <c r="B7705" s="1" t="str">
        <f>HYPERLINK("http://mini.it","mini.it")</f>
        <v>mini.it</v>
      </c>
      <c r="C7705" t="s">
        <v>459</v>
      </c>
      <c r="D7705" t="s">
        <v>835</v>
      </c>
      <c r="E7705">
        <v>579034</v>
      </c>
      <c r="F7705">
        <v>1.19046500188464E-7</v>
      </c>
      <c r="G7705">
        <v>332350</v>
      </c>
      <c r="H7705">
        <v>14597256</v>
      </c>
      <c r="I7705">
        <v>688768</v>
      </c>
      <c r="J7705">
        <v>2</v>
      </c>
    </row>
    <row r="7706" spans="1:10" x14ac:dyDescent="0.25">
      <c r="A7706" t="s">
        <v>66</v>
      </c>
      <c r="B7706" s="1" t="str">
        <f>HYPERLINK("http://nivolastyle.it","nivolastyle.it")</f>
        <v>nivolastyle.it</v>
      </c>
      <c r="C7706" t="s">
        <v>459</v>
      </c>
      <c r="D7706" t="s">
        <v>835</v>
      </c>
      <c r="F7706">
        <v>5.0382027807883699E-9</v>
      </c>
      <c r="G7706">
        <v>28484458</v>
      </c>
      <c r="H7706">
        <v>12323685</v>
      </c>
      <c r="I7706">
        <v>20346037</v>
      </c>
      <c r="J7706">
        <v>6</v>
      </c>
    </row>
    <row r="7707" spans="1:10" x14ac:dyDescent="0.25">
      <c r="A7707" t="s">
        <v>66</v>
      </c>
      <c r="B7707" s="1" t="str">
        <f>HYPERLINK("http://bmwgroup.jobs","bmwgroup.jobs")</f>
        <v>bmwgroup.jobs</v>
      </c>
      <c r="C7707" t="s">
        <v>521</v>
      </c>
      <c r="E7707">
        <v>176436</v>
      </c>
      <c r="F7707">
        <v>2.69789927162993E-7</v>
      </c>
      <c r="G7707">
        <v>138053</v>
      </c>
      <c r="H7707">
        <v>13757495</v>
      </c>
      <c r="I7707">
        <v>9415976</v>
      </c>
      <c r="J7707">
        <v>2</v>
      </c>
    </row>
    <row r="7708" spans="1:10" x14ac:dyDescent="0.25">
      <c r="A7708" t="s">
        <v>66</v>
      </c>
      <c r="B7708" s="1" t="str">
        <f>HYPERLINK("http://alphabet.jp","alphabet.jp")</f>
        <v>alphabet.jp</v>
      </c>
      <c r="C7708" t="s">
        <v>461</v>
      </c>
      <c r="D7708" t="s">
        <v>837</v>
      </c>
      <c r="F7708">
        <v>4.4438425958010404E-9</v>
      </c>
      <c r="G7708">
        <v>78715845</v>
      </c>
      <c r="H7708">
        <v>10535755</v>
      </c>
      <c r="I7708">
        <v>47619019</v>
      </c>
      <c r="J7708">
        <v>2</v>
      </c>
    </row>
    <row r="7709" spans="1:10" x14ac:dyDescent="0.25">
      <c r="A7709" t="s">
        <v>66</v>
      </c>
      <c r="B7709" s="1" t="str">
        <f>HYPERLINK("http://bmw.jp","bmw.jp")</f>
        <v>bmw.jp</v>
      </c>
      <c r="C7709" t="s">
        <v>461</v>
      </c>
      <c r="D7709" t="s">
        <v>837</v>
      </c>
      <c r="E7709">
        <v>705225</v>
      </c>
      <c r="F7709">
        <v>7.2625712906603099E-8</v>
      </c>
      <c r="G7709">
        <v>580963</v>
      </c>
      <c r="H7709">
        <v>14173615</v>
      </c>
      <c r="I7709">
        <v>1795511</v>
      </c>
      <c r="J7709">
        <v>3</v>
      </c>
    </row>
    <row r="7710" spans="1:10" x14ac:dyDescent="0.25">
      <c r="A7710" t="s">
        <v>66</v>
      </c>
      <c r="B7710" s="1" t="str">
        <f>HYPERLINK("http://bmw-motorrad.jp","bmw-motorrad.jp")</f>
        <v>bmw-motorrad.jp</v>
      </c>
      <c r="C7710" t="s">
        <v>461</v>
      </c>
      <c r="D7710" t="s">
        <v>837</v>
      </c>
      <c r="E7710">
        <v>678876</v>
      </c>
      <c r="F7710">
        <v>9.1449949255498994E-8</v>
      </c>
      <c r="G7710">
        <v>445661</v>
      </c>
      <c r="H7710">
        <v>14193031</v>
      </c>
      <c r="I7710">
        <v>1743932</v>
      </c>
      <c r="J7710">
        <v>2</v>
      </c>
    </row>
    <row r="7711" spans="1:10" x14ac:dyDescent="0.25">
      <c r="A7711" t="s">
        <v>66</v>
      </c>
      <c r="B7711" s="1" t="str">
        <f>HYPERLINK("http://bmwgroup.jp","bmwgroup.jp")</f>
        <v>bmwgroup.jp</v>
      </c>
      <c r="C7711" t="s">
        <v>461</v>
      </c>
      <c r="D7711" t="s">
        <v>837</v>
      </c>
      <c r="F7711">
        <v>5.5867609116210601E-9</v>
      </c>
      <c r="G7711">
        <v>19987953</v>
      </c>
      <c r="H7711">
        <v>12663636</v>
      </c>
      <c r="I7711">
        <v>15689100</v>
      </c>
      <c r="J7711">
        <v>2</v>
      </c>
    </row>
    <row r="7712" spans="1:10" x14ac:dyDescent="0.25">
      <c r="A7712" t="s">
        <v>66</v>
      </c>
      <c r="B7712" s="1" t="str">
        <f>HYPERLINK("http://bmw.co.jp","bmw.co.jp")</f>
        <v>bmw.co.jp</v>
      </c>
      <c r="C7712" t="s">
        <v>461</v>
      </c>
      <c r="D7712" t="s">
        <v>837</v>
      </c>
      <c r="E7712">
        <v>217622</v>
      </c>
      <c r="F7712">
        <v>2.4864536289230099E-7</v>
      </c>
      <c r="G7712">
        <v>150450</v>
      </c>
      <c r="H7712">
        <v>14732127</v>
      </c>
      <c r="I7712">
        <v>571350</v>
      </c>
      <c r="J7712">
        <v>2</v>
      </c>
    </row>
    <row r="7713" spans="1:10" x14ac:dyDescent="0.25">
      <c r="A7713" t="s">
        <v>66</v>
      </c>
      <c r="B7713" s="1" t="str">
        <f>HYPERLINK("http://mini.jp","mini.jp")</f>
        <v>mini.jp</v>
      </c>
      <c r="C7713" t="s">
        <v>461</v>
      </c>
      <c r="D7713" t="s">
        <v>837</v>
      </c>
      <c r="E7713">
        <v>433149</v>
      </c>
      <c r="F7713">
        <v>1.04730067143277E-7</v>
      </c>
      <c r="G7713">
        <v>382688</v>
      </c>
      <c r="H7713">
        <v>14589465</v>
      </c>
      <c r="I7713">
        <v>696887</v>
      </c>
      <c r="J7713">
        <v>2</v>
      </c>
    </row>
    <row r="7714" spans="1:10" x14ac:dyDescent="0.25">
      <c r="A7714" t="s">
        <v>66</v>
      </c>
      <c r="B7714" s="1" t="str">
        <f>HYPERLINK("http://bmw.co.ke","bmw.co.ke")</f>
        <v>bmw.co.ke</v>
      </c>
      <c r="C7714" t="s">
        <v>462</v>
      </c>
      <c r="D7714" t="s">
        <v>838</v>
      </c>
      <c r="F7714">
        <v>5.0246640955353199E-9</v>
      </c>
      <c r="G7714">
        <v>28793151</v>
      </c>
      <c r="H7714">
        <v>10816345</v>
      </c>
      <c r="I7714">
        <v>37709401</v>
      </c>
      <c r="J7714">
        <v>3</v>
      </c>
    </row>
    <row r="7715" spans="1:10" x14ac:dyDescent="0.25">
      <c r="A7715" t="s">
        <v>66</v>
      </c>
      <c r="B7715" s="1" t="str">
        <f>HYPERLINK("http://bmw.com.kh","bmw.com.kh")</f>
        <v>bmw.com.kh</v>
      </c>
      <c r="C7715" t="s">
        <v>512</v>
      </c>
      <c r="D7715" t="s">
        <v>886</v>
      </c>
      <c r="E7715">
        <v>860637</v>
      </c>
      <c r="F7715">
        <v>8.5117158173290707E-9</v>
      </c>
      <c r="G7715">
        <v>8823771</v>
      </c>
      <c r="H7715">
        <v>12947551</v>
      </c>
      <c r="I7715">
        <v>13228275</v>
      </c>
      <c r="J7715">
        <v>4</v>
      </c>
    </row>
    <row r="7716" spans="1:10" x14ac:dyDescent="0.25">
      <c r="A7716" t="s">
        <v>66</v>
      </c>
      <c r="B7716" s="1" t="str">
        <f>HYPERLINK("http://aosbmw.co.kr","aosbmw.co.kr")</f>
        <v>aosbmw.co.kr</v>
      </c>
      <c r="C7716" t="s">
        <v>463</v>
      </c>
      <c r="D7716" t="s">
        <v>839</v>
      </c>
      <c r="F7716">
        <v>4.4471795977718701E-9</v>
      </c>
      <c r="G7716">
        <v>73710880</v>
      </c>
      <c r="H7716">
        <v>10650095</v>
      </c>
      <c r="I7716">
        <v>43605751</v>
      </c>
      <c r="J7716">
        <v>2</v>
      </c>
    </row>
    <row r="7717" spans="1:10" x14ac:dyDescent="0.25">
      <c r="A7717" t="s">
        <v>66</v>
      </c>
      <c r="B7717" s="1" t="str">
        <f>HYPERLINK("http://bmw.co.kr","bmw.co.kr")</f>
        <v>bmw.co.kr</v>
      </c>
      <c r="C7717" t="s">
        <v>463</v>
      </c>
      <c r="D7717" t="s">
        <v>839</v>
      </c>
      <c r="E7717">
        <v>347855</v>
      </c>
      <c r="F7717">
        <v>1.2044640669734201E-7</v>
      </c>
      <c r="G7717">
        <v>328081</v>
      </c>
      <c r="H7717">
        <v>14734257</v>
      </c>
      <c r="I7717">
        <v>570278</v>
      </c>
      <c r="J7717">
        <v>2</v>
      </c>
    </row>
    <row r="7718" spans="1:10" x14ac:dyDescent="0.25">
      <c r="A7718" t="s">
        <v>66</v>
      </c>
      <c r="B7718" s="1" t="str">
        <f>HYPERLINK("http://bmw-motorrad.co.kr","bmw-motorrad.co.kr")</f>
        <v>bmw-motorrad.co.kr</v>
      </c>
      <c r="C7718" t="s">
        <v>463</v>
      </c>
      <c r="D7718" t="s">
        <v>839</v>
      </c>
      <c r="E7718">
        <v>257621</v>
      </c>
      <c r="F7718">
        <v>1.6690735824350899E-8</v>
      </c>
      <c r="G7718">
        <v>3361087</v>
      </c>
      <c r="H7718">
        <v>13021116</v>
      </c>
      <c r="I7718">
        <v>12708083</v>
      </c>
      <c r="J7718">
        <v>2</v>
      </c>
    </row>
    <row r="7719" spans="1:10" x14ac:dyDescent="0.25">
      <c r="A7719" t="s">
        <v>66</v>
      </c>
      <c r="B7719" s="1" t="str">
        <f>HYPERLINK("http://bmwfs.co.kr","bmwfs.co.kr")</f>
        <v>bmwfs.co.kr</v>
      </c>
      <c r="C7719" t="s">
        <v>463</v>
      </c>
      <c r="D7719" t="s">
        <v>839</v>
      </c>
      <c r="F7719">
        <v>4.8363256082219103E-8</v>
      </c>
      <c r="G7719">
        <v>960193</v>
      </c>
      <c r="H7719">
        <v>16752236</v>
      </c>
      <c r="I7719">
        <v>254199</v>
      </c>
      <c r="J7719">
        <v>3</v>
      </c>
    </row>
    <row r="7720" spans="1:10" x14ac:dyDescent="0.25">
      <c r="A7720" t="s">
        <v>66</v>
      </c>
      <c r="B7720" s="1" t="str">
        <f>HYPERLINK("http://bmwmotorrad.co.kr","bmwmotorrad.co.kr")</f>
        <v>bmwmotorrad.co.kr</v>
      </c>
      <c r="C7720" t="s">
        <v>463</v>
      </c>
      <c r="D7720" t="s">
        <v>839</v>
      </c>
      <c r="E7720">
        <v>273630</v>
      </c>
      <c r="F7720">
        <v>1.1510063715542101E-8</v>
      </c>
      <c r="G7720">
        <v>5497063</v>
      </c>
      <c r="H7720">
        <v>14072461</v>
      </c>
      <c r="I7720">
        <v>3089178</v>
      </c>
      <c r="J7720">
        <v>2</v>
      </c>
    </row>
    <row r="7721" spans="1:10" x14ac:dyDescent="0.25">
      <c r="A7721" t="s">
        <v>66</v>
      </c>
      <c r="B7721" s="1" t="str">
        <f>HYPERLINK("http://bmw.com.ky","bmw.com.ky")</f>
        <v>bmw.com.ky</v>
      </c>
      <c r="C7721" t="s">
        <v>752</v>
      </c>
      <c r="D7721" t="s">
        <v>1011</v>
      </c>
      <c r="F7721">
        <v>8.3724256037310301E-9</v>
      </c>
      <c r="G7721">
        <v>9099842</v>
      </c>
      <c r="H7721">
        <v>12367298</v>
      </c>
      <c r="I7721">
        <v>19460422</v>
      </c>
      <c r="J7721">
        <v>4</v>
      </c>
    </row>
    <row r="7722" spans="1:10" x14ac:dyDescent="0.25">
      <c r="A7722" t="s">
        <v>66</v>
      </c>
      <c r="B7722" s="1" t="str">
        <f>HYPERLINK("http://bmw.lc","bmw.lc")</f>
        <v>bmw.lc</v>
      </c>
      <c r="C7722" t="s">
        <v>687</v>
      </c>
      <c r="D7722" t="s">
        <v>1004</v>
      </c>
      <c r="F7722">
        <v>8.3877436390450505E-9</v>
      </c>
      <c r="G7722">
        <v>9068129</v>
      </c>
      <c r="H7722">
        <v>12367662</v>
      </c>
      <c r="I7722">
        <v>19455244</v>
      </c>
      <c r="J7722">
        <v>4</v>
      </c>
    </row>
    <row r="7723" spans="1:10" x14ac:dyDescent="0.25">
      <c r="A7723" t="s">
        <v>66</v>
      </c>
      <c r="B7723" s="1" t="str">
        <f>HYPERLINK("http://bmw.lk","bmw.lk")</f>
        <v>bmw.lk</v>
      </c>
      <c r="C7723" t="s">
        <v>466</v>
      </c>
      <c r="D7723" t="s">
        <v>842</v>
      </c>
      <c r="F7723">
        <v>1.5048935912796801E-8</v>
      </c>
      <c r="G7723">
        <v>3823951</v>
      </c>
      <c r="H7723">
        <v>13013665</v>
      </c>
      <c r="I7723">
        <v>12737862</v>
      </c>
      <c r="J7723">
        <v>4</v>
      </c>
    </row>
    <row r="7724" spans="1:10" x14ac:dyDescent="0.25">
      <c r="A7724" t="s">
        <v>66</v>
      </c>
      <c r="B7724" s="1" t="str">
        <f>HYPERLINK("http://alphabet.lt","alphabet.lt")</f>
        <v>alphabet.lt</v>
      </c>
      <c r="C7724" t="s">
        <v>467</v>
      </c>
      <c r="D7724" t="s">
        <v>843</v>
      </c>
      <c r="J7724">
        <v>2</v>
      </c>
    </row>
    <row r="7725" spans="1:10" x14ac:dyDescent="0.25">
      <c r="A7725" t="s">
        <v>66</v>
      </c>
      <c r="B7725" s="1" t="str">
        <f>HYPERLINK("http://bmw.lt","bmw.lt")</f>
        <v>bmw.lt</v>
      </c>
      <c r="C7725" t="s">
        <v>467</v>
      </c>
      <c r="D7725" t="s">
        <v>843</v>
      </c>
      <c r="F7725">
        <v>2.3801008563474601E-8</v>
      </c>
      <c r="G7725">
        <v>2183051</v>
      </c>
      <c r="H7725">
        <v>12472904</v>
      </c>
      <c r="I7725">
        <v>17667332</v>
      </c>
      <c r="J7725">
        <v>2</v>
      </c>
    </row>
    <row r="7726" spans="1:10" x14ac:dyDescent="0.25">
      <c r="A7726" t="s">
        <v>66</v>
      </c>
      <c r="B7726" s="1" t="str">
        <f>HYPERLINK("http://mini.lt","mini.lt")</f>
        <v>mini.lt</v>
      </c>
      <c r="C7726" t="s">
        <v>467</v>
      </c>
      <c r="D7726" t="s">
        <v>843</v>
      </c>
      <c r="F7726">
        <v>9.7233311743568006E-9</v>
      </c>
      <c r="G7726">
        <v>7054245</v>
      </c>
      <c r="H7726">
        <v>14071837</v>
      </c>
      <c r="I7726">
        <v>3302787</v>
      </c>
      <c r="J7726">
        <v>2</v>
      </c>
    </row>
    <row r="7727" spans="1:10" x14ac:dyDescent="0.25">
      <c r="A7727" t="s">
        <v>66</v>
      </c>
      <c r="B7727" s="1" t="str">
        <f>HYPERLINK("http://alphabet.lu","alphabet.lu")</f>
        <v>alphabet.lu</v>
      </c>
      <c r="C7727" t="s">
        <v>547</v>
      </c>
      <c r="D7727" t="s">
        <v>904</v>
      </c>
      <c r="F7727">
        <v>4.6754322488594901E-9</v>
      </c>
      <c r="G7727">
        <v>42626548</v>
      </c>
      <c r="H7727">
        <v>11108194</v>
      </c>
      <c r="I7727">
        <v>32180753</v>
      </c>
      <c r="J7727">
        <v>2</v>
      </c>
    </row>
    <row r="7728" spans="1:10" x14ac:dyDescent="0.25">
      <c r="A7728" t="s">
        <v>66</v>
      </c>
      <c r="B7728" s="1" t="str">
        <f>HYPERLINK("http://bmw.lu","bmw.lu")</f>
        <v>bmw.lu</v>
      </c>
      <c r="C7728" t="s">
        <v>547</v>
      </c>
      <c r="D7728" t="s">
        <v>904</v>
      </c>
      <c r="F7728">
        <v>4.6546053816496998E-8</v>
      </c>
      <c r="G7728">
        <v>1004621</v>
      </c>
      <c r="H7728">
        <v>12718932</v>
      </c>
      <c r="I7728">
        <v>15257300</v>
      </c>
      <c r="J7728">
        <v>2</v>
      </c>
    </row>
    <row r="7729" spans="1:10" x14ac:dyDescent="0.25">
      <c r="A7729" t="s">
        <v>66</v>
      </c>
      <c r="B7729" s="1" t="str">
        <f>HYPERLINK("http://bmw-motorrad.lu","bmw-motorrad.lu")</f>
        <v>bmw-motorrad.lu</v>
      </c>
      <c r="C7729" t="s">
        <v>547</v>
      </c>
      <c r="D7729" t="s">
        <v>904</v>
      </c>
      <c r="F7729">
        <v>9.0219622845782805E-9</v>
      </c>
      <c r="G7729">
        <v>7959643</v>
      </c>
      <c r="H7729">
        <v>12169596</v>
      </c>
      <c r="I7729">
        <v>24078837</v>
      </c>
      <c r="J7729">
        <v>2</v>
      </c>
    </row>
    <row r="7730" spans="1:10" x14ac:dyDescent="0.25">
      <c r="A7730" t="s">
        <v>66</v>
      </c>
      <c r="B7730" s="1" t="str">
        <f>HYPERLINK("http://mini.lu","mini.lu")</f>
        <v>mini.lu</v>
      </c>
      <c r="C7730" t="s">
        <v>547</v>
      </c>
      <c r="D7730" t="s">
        <v>904</v>
      </c>
      <c r="F7730">
        <v>1.0483735867037101E-8</v>
      </c>
      <c r="G7730">
        <v>6283646</v>
      </c>
      <c r="H7730">
        <v>13764540</v>
      </c>
      <c r="I7730">
        <v>7241863</v>
      </c>
      <c r="J7730">
        <v>3</v>
      </c>
    </row>
    <row r="7731" spans="1:10" x14ac:dyDescent="0.25">
      <c r="A7731" t="s">
        <v>66</v>
      </c>
      <c r="B7731" s="1" t="str">
        <f>HYPERLINK("http://alphabet.lv","alphabet.lv")</f>
        <v>alphabet.lv</v>
      </c>
      <c r="C7731" t="s">
        <v>468</v>
      </c>
      <c r="D7731" t="s">
        <v>844</v>
      </c>
      <c r="J7731">
        <v>2</v>
      </c>
    </row>
    <row r="7732" spans="1:10" x14ac:dyDescent="0.25">
      <c r="A7732" t="s">
        <v>66</v>
      </c>
      <c r="B7732" s="1" t="str">
        <f>HYPERLINK("http://bmw.lv","bmw.lv")</f>
        <v>bmw.lv</v>
      </c>
      <c r="C7732" t="s">
        <v>468</v>
      </c>
      <c r="D7732" t="s">
        <v>844</v>
      </c>
      <c r="E7732">
        <v>261627</v>
      </c>
      <c r="F7732">
        <v>2.9876149879752699E-8</v>
      </c>
      <c r="G7732">
        <v>1722442</v>
      </c>
      <c r="H7732">
        <v>12612290</v>
      </c>
      <c r="I7732">
        <v>16223742</v>
      </c>
      <c r="J7732">
        <v>2</v>
      </c>
    </row>
    <row r="7733" spans="1:10" x14ac:dyDescent="0.25">
      <c r="A7733" t="s">
        <v>66</v>
      </c>
      <c r="B7733" s="1" t="str">
        <f>HYPERLINK("http://bmw-motorrad.lv","bmw-motorrad.lv")</f>
        <v>bmw-motorrad.lv</v>
      </c>
      <c r="C7733" t="s">
        <v>468</v>
      </c>
      <c r="D7733" t="s">
        <v>844</v>
      </c>
      <c r="F7733">
        <v>8.5183841662905295E-9</v>
      </c>
      <c r="G7733">
        <v>8809222</v>
      </c>
      <c r="H7733">
        <v>12809733</v>
      </c>
      <c r="I7733">
        <v>14589938</v>
      </c>
      <c r="J7733">
        <v>3</v>
      </c>
    </row>
    <row r="7734" spans="1:10" x14ac:dyDescent="0.25">
      <c r="A7734" t="s">
        <v>66</v>
      </c>
      <c r="B7734" s="1" t="str">
        <f>HYPERLINK("http://alphabet.com.lv","alphabet.com.lv")</f>
        <v>alphabet.com.lv</v>
      </c>
      <c r="C7734" t="s">
        <v>468</v>
      </c>
      <c r="D7734" t="s">
        <v>844</v>
      </c>
      <c r="J7734">
        <v>2</v>
      </c>
    </row>
    <row r="7735" spans="1:10" x14ac:dyDescent="0.25">
      <c r="A7735" t="s">
        <v>66</v>
      </c>
      <c r="B7735" s="1" t="str">
        <f>HYPERLINK("http://mini.lv","mini.lv")</f>
        <v>mini.lv</v>
      </c>
      <c r="C7735" t="s">
        <v>468</v>
      </c>
      <c r="D7735" t="s">
        <v>844</v>
      </c>
      <c r="F7735">
        <v>1.2376688566660301E-8</v>
      </c>
      <c r="G7735">
        <v>4952106</v>
      </c>
      <c r="H7735">
        <v>12324168</v>
      </c>
      <c r="I7735">
        <v>20337471</v>
      </c>
      <c r="J7735">
        <v>2</v>
      </c>
    </row>
    <row r="7736" spans="1:10" x14ac:dyDescent="0.25">
      <c r="A7736" t="s">
        <v>66</v>
      </c>
      <c r="B7736" s="1" t="str">
        <f>HYPERLINK("http://bmw.ly","bmw.ly")</f>
        <v>bmw.ly</v>
      </c>
      <c r="C7736" t="s">
        <v>583</v>
      </c>
      <c r="D7736" t="s">
        <v>923</v>
      </c>
      <c r="E7736">
        <v>304627</v>
      </c>
      <c r="F7736">
        <v>1.6042569265183101E-8</v>
      </c>
      <c r="G7736">
        <v>3535269</v>
      </c>
      <c r="H7736">
        <v>12413584</v>
      </c>
      <c r="I7736">
        <v>18556928</v>
      </c>
      <c r="J7736">
        <v>4</v>
      </c>
    </row>
    <row r="7737" spans="1:10" x14ac:dyDescent="0.25">
      <c r="A7737" t="s">
        <v>66</v>
      </c>
      <c r="B7737" s="1" t="str">
        <f>HYPERLINK("http://bmw.ma","bmw.ma")</f>
        <v>bmw.ma</v>
      </c>
      <c r="C7737" t="s">
        <v>469</v>
      </c>
      <c r="D7737" t="s">
        <v>845</v>
      </c>
      <c r="F7737">
        <v>1.35371433925596E-8</v>
      </c>
      <c r="G7737">
        <v>4388353</v>
      </c>
      <c r="H7737">
        <v>12604837</v>
      </c>
      <c r="I7737">
        <v>16279375</v>
      </c>
      <c r="J7737">
        <v>4</v>
      </c>
    </row>
    <row r="7738" spans="1:10" x14ac:dyDescent="0.25">
      <c r="A7738" t="s">
        <v>66</v>
      </c>
      <c r="B7738" s="1" t="str">
        <f>HYPERLINK("http://bmw-motorrad.ma","bmw-motorrad.ma")</f>
        <v>bmw-motorrad.ma</v>
      </c>
      <c r="C7738" t="s">
        <v>469</v>
      </c>
      <c r="D7738" t="s">
        <v>845</v>
      </c>
      <c r="E7738">
        <v>462121</v>
      </c>
      <c r="F7738">
        <v>6.3291775584208404E-9</v>
      </c>
      <c r="G7738">
        <v>14892217</v>
      </c>
      <c r="H7738">
        <v>12084238</v>
      </c>
      <c r="I7738">
        <v>26457317</v>
      </c>
      <c r="J7738">
        <v>2</v>
      </c>
    </row>
    <row r="7739" spans="1:10" x14ac:dyDescent="0.25">
      <c r="A7739" t="s">
        <v>66</v>
      </c>
      <c r="B7739" s="1" t="str">
        <f>HYPERLINK("http://mini.ma","mini.ma")</f>
        <v>mini.ma</v>
      </c>
      <c r="C7739" t="s">
        <v>469</v>
      </c>
      <c r="D7739" t="s">
        <v>845</v>
      </c>
      <c r="F7739">
        <v>6.7080337079533602E-9</v>
      </c>
      <c r="G7739">
        <v>13274925</v>
      </c>
      <c r="H7739">
        <v>12133035</v>
      </c>
      <c r="I7739">
        <v>25052505</v>
      </c>
      <c r="J7739">
        <v>3</v>
      </c>
    </row>
    <row r="7740" spans="1:10" x14ac:dyDescent="0.25">
      <c r="A7740" t="s">
        <v>66</v>
      </c>
      <c r="B7740" s="1" t="str">
        <f>HYPERLINK("http://bmw.md","bmw.md")</f>
        <v>bmw.md</v>
      </c>
      <c r="C7740" t="s">
        <v>571</v>
      </c>
      <c r="D7740" t="s">
        <v>918</v>
      </c>
      <c r="F7740">
        <v>1.9545582876639301E-8</v>
      </c>
      <c r="G7740">
        <v>2737281</v>
      </c>
      <c r="H7740">
        <v>12420595</v>
      </c>
      <c r="I7740">
        <v>18444687</v>
      </c>
      <c r="J7740">
        <v>3</v>
      </c>
    </row>
    <row r="7741" spans="1:10" x14ac:dyDescent="0.25">
      <c r="A7741" t="s">
        <v>66</v>
      </c>
      <c r="B7741" s="1" t="str">
        <f>HYPERLINK("http://mini.md","mini.md")</f>
        <v>mini.md</v>
      </c>
      <c r="C7741" t="s">
        <v>571</v>
      </c>
      <c r="D7741" t="s">
        <v>918</v>
      </c>
      <c r="F7741">
        <v>4.44380395335525E-9</v>
      </c>
      <c r="G7741">
        <v>85358928</v>
      </c>
      <c r="H7741">
        <v>0</v>
      </c>
      <c r="I7741">
        <v>86591867</v>
      </c>
      <c r="J7741">
        <v>4</v>
      </c>
    </row>
    <row r="7742" spans="1:10" x14ac:dyDescent="0.25">
      <c r="A7742" t="s">
        <v>66</v>
      </c>
      <c r="B7742" s="1" t="str">
        <f>HYPERLINK("http://ahg.mini","ahg.mini")</f>
        <v>ahg.mini</v>
      </c>
      <c r="C7742" t="s">
        <v>731</v>
      </c>
      <c r="F7742">
        <v>5.9438498911086102E-9</v>
      </c>
      <c r="G7742">
        <v>17061666</v>
      </c>
      <c r="H7742">
        <v>11138432</v>
      </c>
      <c r="I7742">
        <v>31852509</v>
      </c>
      <c r="J7742">
        <v>4</v>
      </c>
    </row>
    <row r="7743" spans="1:10" x14ac:dyDescent="0.25">
      <c r="A7743" t="s">
        <v>66</v>
      </c>
      <c r="B7743" s="1" t="str">
        <f>HYPERLINK("http://arnold.mini","arnold.mini")</f>
        <v>arnold.mini</v>
      </c>
      <c r="C7743" t="s">
        <v>731</v>
      </c>
      <c r="F7743">
        <v>5.9438498911086102E-9</v>
      </c>
      <c r="G7743">
        <v>17061667</v>
      </c>
      <c r="H7743">
        <v>11138432</v>
      </c>
      <c r="I7743">
        <v>31852510</v>
      </c>
      <c r="J7743">
        <v>4</v>
      </c>
    </row>
    <row r="7744" spans="1:10" x14ac:dyDescent="0.25">
      <c r="A7744" t="s">
        <v>66</v>
      </c>
      <c r="B7744" s="1" t="str">
        <f>HYPERLINK("http://auer-gruppe.mini","auer-gruppe.mini")</f>
        <v>auer-gruppe.mini</v>
      </c>
      <c r="C7744" t="s">
        <v>731</v>
      </c>
      <c r="F7744">
        <v>5.9438498911086102E-9</v>
      </c>
      <c r="G7744">
        <v>17061668</v>
      </c>
      <c r="H7744">
        <v>11138432</v>
      </c>
      <c r="I7744">
        <v>31852511</v>
      </c>
      <c r="J7744">
        <v>4</v>
      </c>
    </row>
    <row r="7745" spans="1:10" x14ac:dyDescent="0.25">
      <c r="A7745" t="s">
        <v>66</v>
      </c>
      <c r="B7745" s="1" t="str">
        <f>HYPERLINK("http://automag.mini","automag.mini")</f>
        <v>automag.mini</v>
      </c>
      <c r="C7745" t="s">
        <v>731</v>
      </c>
      <c r="F7745">
        <v>6.3026202555751998E-9</v>
      </c>
      <c r="G7745">
        <v>15019195</v>
      </c>
      <c r="H7745">
        <v>11139590</v>
      </c>
      <c r="I7745">
        <v>31841212</v>
      </c>
      <c r="J7745">
        <v>4</v>
      </c>
    </row>
    <row r="7746" spans="1:10" x14ac:dyDescent="0.25">
      <c r="A7746" t="s">
        <v>66</v>
      </c>
      <c r="B7746" s="1" t="str">
        <f>HYPERLINK("http://bachfrieder.mini","bachfrieder.mini")</f>
        <v>bachfrieder.mini</v>
      </c>
      <c r="C7746" t="s">
        <v>731</v>
      </c>
      <c r="F7746">
        <v>6.4440988175398501E-9</v>
      </c>
      <c r="G7746">
        <v>14320290</v>
      </c>
      <c r="H7746">
        <v>11162542</v>
      </c>
      <c r="I7746">
        <v>31604982</v>
      </c>
      <c r="J7746">
        <v>4</v>
      </c>
    </row>
    <row r="7747" spans="1:10" x14ac:dyDescent="0.25">
      <c r="A7747" t="s">
        <v>66</v>
      </c>
      <c r="B7747" s="1" t="str">
        <f>HYPERLINK("http://bauer.mini","bauer.mini")</f>
        <v>bauer.mini</v>
      </c>
      <c r="C7747" t="s">
        <v>731</v>
      </c>
      <c r="F7747">
        <v>6.5123773540024501E-9</v>
      </c>
      <c r="G7747">
        <v>14027461</v>
      </c>
      <c r="H7747">
        <v>11138653</v>
      </c>
      <c r="I7747">
        <v>31850218</v>
      </c>
      <c r="J7747">
        <v>4</v>
      </c>
    </row>
    <row r="7748" spans="1:10" x14ac:dyDescent="0.25">
      <c r="A7748" t="s">
        <v>66</v>
      </c>
      <c r="B7748" s="1" t="str">
        <f>HYPERLINK("http://becker-tiemann.mini","becker-tiemann.mini")</f>
        <v>becker-tiemann.mini</v>
      </c>
      <c r="C7748" t="s">
        <v>731</v>
      </c>
      <c r="F7748">
        <v>5.9438498911086102E-9</v>
      </c>
      <c r="G7748">
        <v>17061669</v>
      </c>
      <c r="H7748">
        <v>11138432</v>
      </c>
      <c r="I7748">
        <v>31852512</v>
      </c>
      <c r="J7748">
        <v>4</v>
      </c>
    </row>
    <row r="7749" spans="1:10" x14ac:dyDescent="0.25">
      <c r="A7749" t="s">
        <v>66</v>
      </c>
      <c r="B7749" s="1" t="str">
        <f>HYPERLINK("http://berlin.mini","berlin.mini")</f>
        <v>berlin.mini</v>
      </c>
      <c r="C7749" t="s">
        <v>731</v>
      </c>
      <c r="E7749">
        <v>833396</v>
      </c>
      <c r="F7749">
        <v>7.8338098466630399E-9</v>
      </c>
      <c r="G7749">
        <v>10247692</v>
      </c>
      <c r="H7749">
        <v>11138547</v>
      </c>
      <c r="I7749">
        <v>31851323</v>
      </c>
      <c r="J7749">
        <v>4</v>
      </c>
    </row>
    <row r="7750" spans="1:10" x14ac:dyDescent="0.25">
      <c r="A7750" t="s">
        <v>66</v>
      </c>
      <c r="B7750" s="1" t="str">
        <f>HYPERLINK("http://bonn.mini","bonn.mini")</f>
        <v>bonn.mini</v>
      </c>
      <c r="C7750" t="s">
        <v>731</v>
      </c>
      <c r="F7750">
        <v>6.24651981700241E-9</v>
      </c>
      <c r="G7750">
        <v>15292468</v>
      </c>
      <c r="H7750">
        <v>11138432</v>
      </c>
      <c r="I7750">
        <v>31852513</v>
      </c>
      <c r="J7750">
        <v>4</v>
      </c>
    </row>
    <row r="7751" spans="1:10" x14ac:dyDescent="0.25">
      <c r="A7751" t="s">
        <v>66</v>
      </c>
      <c r="B7751" s="1" t="str">
        <f>HYPERLINK("http://bremen.mini","bremen.mini")</f>
        <v>bremen.mini</v>
      </c>
      <c r="C7751" t="s">
        <v>731</v>
      </c>
      <c r="F7751">
        <v>6.3701662950910596E-9</v>
      </c>
      <c r="G7751">
        <v>14665343</v>
      </c>
      <c r="H7751">
        <v>11139117</v>
      </c>
      <c r="I7751">
        <v>31845912</v>
      </c>
      <c r="J7751">
        <v>4</v>
      </c>
    </row>
    <row r="7752" spans="1:10" x14ac:dyDescent="0.25">
      <c r="A7752" t="s">
        <v>66</v>
      </c>
      <c r="B7752" s="1" t="str">
        <f>HYPERLINK("http://briem.mini","briem.mini")</f>
        <v>briem.mini</v>
      </c>
      <c r="C7752" t="s">
        <v>731</v>
      </c>
      <c r="F7752">
        <v>1.0204358987108099E-8</v>
      </c>
      <c r="G7752">
        <v>6542853</v>
      </c>
      <c r="H7752">
        <v>11138432</v>
      </c>
      <c r="I7752">
        <v>31852514</v>
      </c>
      <c r="J7752">
        <v>4</v>
      </c>
    </row>
    <row r="7753" spans="1:10" x14ac:dyDescent="0.25">
      <c r="A7753" t="s">
        <v>66</v>
      </c>
      <c r="B7753" s="1" t="str">
        <f>HYPERLINK("http://brinkmann.mini","brinkmann.mini")</f>
        <v>brinkmann.mini</v>
      </c>
      <c r="C7753" t="s">
        <v>731</v>
      </c>
      <c r="F7753">
        <v>5.9632462167995098E-9</v>
      </c>
      <c r="G7753">
        <v>16924482</v>
      </c>
      <c r="H7753">
        <v>11141850</v>
      </c>
      <c r="I7753">
        <v>31818523</v>
      </c>
      <c r="J7753">
        <v>4</v>
      </c>
    </row>
    <row r="7754" spans="1:10" x14ac:dyDescent="0.25">
      <c r="A7754" t="s">
        <v>66</v>
      </c>
      <c r="B7754" s="1" t="str">
        <f>HYPERLINK("http://bundk.mini","bundk.mini")</f>
        <v>bundk.mini</v>
      </c>
      <c r="C7754" t="s">
        <v>731</v>
      </c>
      <c r="F7754">
        <v>6.5052135541978601E-9</v>
      </c>
      <c r="G7754">
        <v>14056563</v>
      </c>
      <c r="H7754">
        <v>11138432</v>
      </c>
      <c r="I7754">
        <v>31852515</v>
      </c>
      <c r="J7754">
        <v>4</v>
      </c>
    </row>
    <row r="7755" spans="1:10" x14ac:dyDescent="0.25">
      <c r="A7755" t="s">
        <v>66</v>
      </c>
      <c r="B7755" s="1" t="str">
        <f>HYPERLINK("http://chemnitz.mini","chemnitz.mini")</f>
        <v>chemnitz.mini</v>
      </c>
      <c r="C7755" t="s">
        <v>731</v>
      </c>
      <c r="F7755">
        <v>6.3887947285614804E-9</v>
      </c>
      <c r="G7755">
        <v>14574734</v>
      </c>
      <c r="H7755">
        <v>11138433</v>
      </c>
      <c r="I7755">
        <v>31852494</v>
      </c>
      <c r="J7755">
        <v>4</v>
      </c>
    </row>
    <row r="7756" spans="1:10" x14ac:dyDescent="0.25">
      <c r="A7756" t="s">
        <v>66</v>
      </c>
      <c r="B7756" s="1" t="str">
        <f>HYPERLINK("http://cuntz.mini","cuntz.mini")</f>
        <v>cuntz.mini</v>
      </c>
      <c r="C7756" t="s">
        <v>731</v>
      </c>
      <c r="F7756">
        <v>6.8473411842442198E-9</v>
      </c>
      <c r="G7756">
        <v>12803899</v>
      </c>
      <c r="H7756">
        <v>11139156</v>
      </c>
      <c r="I7756">
        <v>31845591</v>
      </c>
      <c r="J7756">
        <v>4</v>
      </c>
    </row>
    <row r="7757" spans="1:10" x14ac:dyDescent="0.25">
      <c r="A7757" t="s">
        <v>66</v>
      </c>
      <c r="B7757" s="1" t="str">
        <f>HYPERLINK("http://darmstadt.mini","darmstadt.mini")</f>
        <v>darmstadt.mini</v>
      </c>
      <c r="C7757" t="s">
        <v>731</v>
      </c>
      <c r="F7757">
        <v>6.9642903615856797E-9</v>
      </c>
      <c r="G7757">
        <v>12419010</v>
      </c>
      <c r="H7757">
        <v>11164964</v>
      </c>
      <c r="I7757">
        <v>31582299</v>
      </c>
      <c r="J7757">
        <v>4</v>
      </c>
    </row>
    <row r="7758" spans="1:10" x14ac:dyDescent="0.25">
      <c r="A7758" t="s">
        <v>66</v>
      </c>
      <c r="B7758" s="1" t="str">
        <f>HYPERLINK("http://dortmund.mini","dortmund.mini")</f>
        <v>dortmund.mini</v>
      </c>
      <c r="C7758" t="s">
        <v>731</v>
      </c>
      <c r="F7758">
        <v>5.9438498911086102E-9</v>
      </c>
      <c r="G7758">
        <v>17061670</v>
      </c>
      <c r="H7758">
        <v>11138432</v>
      </c>
      <c r="I7758">
        <v>31852516</v>
      </c>
      <c r="J7758">
        <v>4</v>
      </c>
    </row>
    <row r="7759" spans="1:10" x14ac:dyDescent="0.25">
      <c r="A7759" t="s">
        <v>66</v>
      </c>
      <c r="B7759" s="1" t="str">
        <f>HYPERLINK("http://dresden.mini","dresden.mini")</f>
        <v>dresden.mini</v>
      </c>
      <c r="C7759" t="s">
        <v>731</v>
      </c>
      <c r="F7759">
        <v>6.4268278322064103E-9</v>
      </c>
      <c r="G7759">
        <v>14395500</v>
      </c>
      <c r="H7759">
        <v>11139618</v>
      </c>
      <c r="I7759">
        <v>31841039</v>
      </c>
      <c r="J7759">
        <v>4</v>
      </c>
    </row>
    <row r="7760" spans="1:10" x14ac:dyDescent="0.25">
      <c r="A7760" t="s">
        <v>66</v>
      </c>
      <c r="B7760" s="1" t="str">
        <f>HYPERLINK("http://duesseldorf.mini","duesseldorf.mini")</f>
        <v>duesseldorf.mini</v>
      </c>
      <c r="C7760" t="s">
        <v>731</v>
      </c>
      <c r="F7760">
        <v>6.1363191128657996E-9</v>
      </c>
      <c r="G7760">
        <v>15881470</v>
      </c>
      <c r="H7760">
        <v>11138432</v>
      </c>
      <c r="I7760">
        <v>31852517</v>
      </c>
      <c r="J7760">
        <v>4</v>
      </c>
    </row>
    <row r="7761" spans="1:10" x14ac:dyDescent="0.25">
      <c r="A7761" t="s">
        <v>66</v>
      </c>
      <c r="B7761" s="1" t="str">
        <f>HYPERLINK("http://ehrl-potsdam.mini","ehrl-potsdam.mini")</f>
        <v>ehrl-potsdam.mini</v>
      </c>
      <c r="C7761" t="s">
        <v>731</v>
      </c>
      <c r="F7761">
        <v>5.9476831797130899E-9</v>
      </c>
      <c r="G7761">
        <v>17037487</v>
      </c>
      <c r="H7761">
        <v>12126530</v>
      </c>
      <c r="I7761">
        <v>25243061</v>
      </c>
      <c r="J7761">
        <v>4</v>
      </c>
    </row>
    <row r="7762" spans="1:10" x14ac:dyDescent="0.25">
      <c r="A7762" t="s">
        <v>66</v>
      </c>
      <c r="B7762" s="1" t="str">
        <f>HYPERLINK("http://eichhorn.mini","eichhorn.mini")</f>
        <v>eichhorn.mini</v>
      </c>
      <c r="C7762" t="s">
        <v>731</v>
      </c>
      <c r="F7762">
        <v>4.44380395335525E-9</v>
      </c>
      <c r="G7762">
        <v>85376878</v>
      </c>
      <c r="H7762">
        <v>0</v>
      </c>
      <c r="I7762">
        <v>86613610</v>
      </c>
      <c r="J7762">
        <v>4</v>
      </c>
    </row>
    <row r="7763" spans="1:10" x14ac:dyDescent="0.25">
      <c r="A7763" t="s">
        <v>66</v>
      </c>
      <c r="B7763" s="1" t="str">
        <f>HYPERLINK("http://essen.mini","essen.mini")</f>
        <v>essen.mini</v>
      </c>
      <c r="C7763" t="s">
        <v>731</v>
      </c>
      <c r="F7763">
        <v>5.9438498911086102E-9</v>
      </c>
      <c r="G7763">
        <v>17061672</v>
      </c>
      <c r="H7763">
        <v>11138432</v>
      </c>
      <c r="I7763">
        <v>31852519</v>
      </c>
      <c r="J7763">
        <v>4</v>
      </c>
    </row>
    <row r="7764" spans="1:10" x14ac:dyDescent="0.25">
      <c r="A7764" t="s">
        <v>66</v>
      </c>
      <c r="B7764" s="1" t="str">
        <f>HYPERLINK("http://fett-wirtz.mini","fett-wirtz.mini")</f>
        <v>fett-wirtz.mini</v>
      </c>
      <c r="C7764" t="s">
        <v>731</v>
      </c>
      <c r="F7764">
        <v>7.0493512934589496E-9</v>
      </c>
      <c r="G7764">
        <v>12167283</v>
      </c>
      <c r="H7764">
        <v>11138436</v>
      </c>
      <c r="I7764">
        <v>31852471</v>
      </c>
      <c r="J7764">
        <v>4</v>
      </c>
    </row>
    <row r="7765" spans="1:10" x14ac:dyDescent="0.25">
      <c r="A7765" t="s">
        <v>66</v>
      </c>
      <c r="B7765" s="1" t="str">
        <f>HYPERLINK("http://fiebig.mini","fiebig.mini")</f>
        <v>fiebig.mini</v>
      </c>
      <c r="C7765" t="s">
        <v>731</v>
      </c>
      <c r="F7765">
        <v>6.3869896687897099E-9</v>
      </c>
      <c r="G7765">
        <v>14584508</v>
      </c>
      <c r="H7765">
        <v>11138433</v>
      </c>
      <c r="I7765">
        <v>31852495</v>
      </c>
      <c r="J7765">
        <v>4</v>
      </c>
    </row>
    <row r="7766" spans="1:10" x14ac:dyDescent="0.25">
      <c r="A7766" t="s">
        <v>66</v>
      </c>
      <c r="B7766" s="1" t="str">
        <f>HYPERLINK("http://fink.mini","fink.mini")</f>
        <v>fink.mini</v>
      </c>
      <c r="C7766" t="s">
        <v>731</v>
      </c>
      <c r="F7766">
        <v>5.9438498911086102E-9</v>
      </c>
      <c r="G7766">
        <v>17061673</v>
      </c>
      <c r="H7766">
        <v>11138432</v>
      </c>
      <c r="I7766">
        <v>31852520</v>
      </c>
      <c r="J7766">
        <v>4</v>
      </c>
    </row>
    <row r="7767" spans="1:10" x14ac:dyDescent="0.25">
      <c r="A7767" t="s">
        <v>66</v>
      </c>
      <c r="B7767" s="1" t="str">
        <f>HYPERLINK("http://frankfurt.mini","frankfurt.mini")</f>
        <v>frankfurt.mini</v>
      </c>
      <c r="C7767" t="s">
        <v>731</v>
      </c>
      <c r="E7767">
        <v>816325</v>
      </c>
      <c r="F7767">
        <v>9.7372077545571107E-9</v>
      </c>
      <c r="G7767">
        <v>7038211</v>
      </c>
      <c r="H7767">
        <v>11166206</v>
      </c>
      <c r="I7767">
        <v>31572422</v>
      </c>
      <c r="J7767">
        <v>4</v>
      </c>
    </row>
    <row r="7768" spans="1:10" x14ac:dyDescent="0.25">
      <c r="A7768" t="s">
        <v>66</v>
      </c>
      <c r="B7768" s="1" t="str">
        <f>HYPERLINK("http://freese.mini","freese.mini")</f>
        <v>freese.mini</v>
      </c>
      <c r="C7768" t="s">
        <v>731</v>
      </c>
      <c r="F7768">
        <v>5.9438498911086102E-9</v>
      </c>
      <c r="G7768">
        <v>17061674</v>
      </c>
      <c r="H7768">
        <v>11138432</v>
      </c>
      <c r="I7768">
        <v>31852521</v>
      </c>
      <c r="J7768">
        <v>4</v>
      </c>
    </row>
    <row r="7769" spans="1:10" x14ac:dyDescent="0.25">
      <c r="A7769" t="s">
        <v>66</v>
      </c>
      <c r="B7769" s="1" t="str">
        <f>HYPERLINK("http://gebrueder-siekmann.mini","gebrueder-siekmann.mini")</f>
        <v>gebrueder-siekmann.mini</v>
      </c>
      <c r="C7769" t="s">
        <v>731</v>
      </c>
      <c r="F7769">
        <v>6.5157399957171203E-9</v>
      </c>
      <c r="G7769">
        <v>14012825</v>
      </c>
      <c r="H7769">
        <v>11138433</v>
      </c>
      <c r="I7769">
        <v>31852496</v>
      </c>
      <c r="J7769">
        <v>4</v>
      </c>
    </row>
    <row r="7770" spans="1:10" x14ac:dyDescent="0.25">
      <c r="A7770" t="s">
        <v>66</v>
      </c>
      <c r="B7770" s="1" t="str">
        <f>HYPERLINK("http://goettingen.mini","goettingen.mini")</f>
        <v>goettingen.mini</v>
      </c>
      <c r="C7770" t="s">
        <v>731</v>
      </c>
      <c r="F7770">
        <v>6.1363191128657996E-9</v>
      </c>
      <c r="G7770">
        <v>15881471</v>
      </c>
      <c r="H7770">
        <v>11138432</v>
      </c>
      <c r="I7770">
        <v>31852522</v>
      </c>
      <c r="J7770">
        <v>4</v>
      </c>
    </row>
    <row r="7771" spans="1:10" x14ac:dyDescent="0.25">
      <c r="A7771" t="s">
        <v>66</v>
      </c>
      <c r="B7771" s="1" t="str">
        <f>HYPERLINK("http://gottstein.mini","gottstein.mini")</f>
        <v>gottstein.mini</v>
      </c>
      <c r="C7771" t="s">
        <v>731</v>
      </c>
      <c r="F7771">
        <v>5.9438498911086102E-9</v>
      </c>
      <c r="G7771">
        <v>17061675</v>
      </c>
      <c r="H7771">
        <v>11138432</v>
      </c>
      <c r="I7771">
        <v>31852523</v>
      </c>
      <c r="J7771">
        <v>4</v>
      </c>
    </row>
    <row r="7772" spans="1:10" x14ac:dyDescent="0.25">
      <c r="A7772" t="s">
        <v>66</v>
      </c>
      <c r="B7772" s="1" t="str">
        <f>HYPERLINK("http://graser.mini","graser.mini")</f>
        <v>graser.mini</v>
      </c>
      <c r="C7772" t="s">
        <v>731</v>
      </c>
      <c r="F7772">
        <v>5.9438498911086102E-9</v>
      </c>
      <c r="G7772">
        <v>17061676</v>
      </c>
      <c r="H7772">
        <v>11138432</v>
      </c>
      <c r="I7772">
        <v>31852524</v>
      </c>
      <c r="J7772">
        <v>4</v>
      </c>
    </row>
    <row r="7773" spans="1:10" x14ac:dyDescent="0.25">
      <c r="A7773" t="s">
        <v>66</v>
      </c>
      <c r="B7773" s="1" t="str">
        <f>HYPERLINK("http://hakvoort.mini","hakvoort.mini")</f>
        <v>hakvoort.mini</v>
      </c>
      <c r="C7773" t="s">
        <v>731</v>
      </c>
      <c r="F7773">
        <v>5.9438498911086102E-9</v>
      </c>
      <c r="G7773">
        <v>17061677</v>
      </c>
      <c r="H7773">
        <v>11138432</v>
      </c>
      <c r="I7773">
        <v>31852525</v>
      </c>
      <c r="J7773">
        <v>4</v>
      </c>
    </row>
    <row r="7774" spans="1:10" x14ac:dyDescent="0.25">
      <c r="A7774" t="s">
        <v>66</v>
      </c>
      <c r="B7774" s="1" t="str">
        <f>HYPERLINK("http://hamburg.mini","hamburg.mini")</f>
        <v>hamburg.mini</v>
      </c>
      <c r="C7774" t="s">
        <v>731</v>
      </c>
      <c r="F7774">
        <v>8.2196387665627102E-9</v>
      </c>
      <c r="G7774">
        <v>9538325</v>
      </c>
      <c r="H7774">
        <v>11203026</v>
      </c>
      <c r="I7774">
        <v>31224473</v>
      </c>
      <c r="J7774">
        <v>4</v>
      </c>
    </row>
    <row r="7775" spans="1:10" x14ac:dyDescent="0.25">
      <c r="A7775" t="s">
        <v>66</v>
      </c>
      <c r="B7775" s="1" t="str">
        <f>HYPERLINK("http://hannover.mini","hannover.mini")</f>
        <v>hannover.mini</v>
      </c>
      <c r="C7775" t="s">
        <v>731</v>
      </c>
      <c r="F7775">
        <v>6.2502060713411498E-9</v>
      </c>
      <c r="G7775">
        <v>15274454</v>
      </c>
      <c r="H7775">
        <v>11139959</v>
      </c>
      <c r="I7775">
        <v>31835493</v>
      </c>
      <c r="J7775">
        <v>4</v>
      </c>
    </row>
    <row r="7776" spans="1:10" x14ac:dyDescent="0.25">
      <c r="A7776" t="s">
        <v>66</v>
      </c>
      <c r="B7776" s="1" t="str">
        <f>HYPERLINK("http://helming-sohn.mini","helming-sohn.mini")</f>
        <v>helming-sohn.mini</v>
      </c>
      <c r="C7776" t="s">
        <v>731</v>
      </c>
      <c r="F7776">
        <v>5.9438498911086102E-9</v>
      </c>
      <c r="G7776">
        <v>17061678</v>
      </c>
      <c r="H7776">
        <v>11138432</v>
      </c>
      <c r="I7776">
        <v>31852526</v>
      </c>
      <c r="J7776">
        <v>4</v>
      </c>
    </row>
    <row r="7777" spans="1:10" x14ac:dyDescent="0.25">
      <c r="A7777" t="s">
        <v>66</v>
      </c>
      <c r="B7777" s="1" t="str">
        <f>HYPERLINK("http://hoyer.mini","hoyer.mini")</f>
        <v>hoyer.mini</v>
      </c>
      <c r="C7777" t="s">
        <v>731</v>
      </c>
      <c r="F7777">
        <v>5.9438498911086102E-9</v>
      </c>
      <c r="G7777">
        <v>17061679</v>
      </c>
      <c r="H7777">
        <v>11138432</v>
      </c>
      <c r="I7777">
        <v>31852527</v>
      </c>
      <c r="J7777">
        <v>4</v>
      </c>
    </row>
    <row r="7778" spans="1:10" x14ac:dyDescent="0.25">
      <c r="A7778" t="s">
        <v>66</v>
      </c>
      <c r="B7778" s="1" t="str">
        <f>HYPERLINK("http://hubauer.mini","hubauer.mini")</f>
        <v>hubauer.mini</v>
      </c>
      <c r="C7778" t="s">
        <v>731</v>
      </c>
      <c r="F7778">
        <v>5.9438498911086102E-9</v>
      </c>
      <c r="G7778">
        <v>17061680</v>
      </c>
      <c r="H7778">
        <v>11138432</v>
      </c>
      <c r="I7778">
        <v>31852528</v>
      </c>
      <c r="J7778">
        <v>4</v>
      </c>
    </row>
    <row r="7779" spans="1:10" x14ac:dyDescent="0.25">
      <c r="A7779" t="s">
        <v>66</v>
      </c>
      <c r="B7779" s="1" t="str">
        <f>HYPERLINK("http://joas.mini","joas.mini")</f>
        <v>joas.mini</v>
      </c>
      <c r="C7779" t="s">
        <v>731</v>
      </c>
      <c r="F7779">
        <v>5.9438498911086102E-9</v>
      </c>
      <c r="G7779">
        <v>17061681</v>
      </c>
      <c r="H7779">
        <v>11138432</v>
      </c>
      <c r="I7779">
        <v>31852529</v>
      </c>
      <c r="J7779">
        <v>4</v>
      </c>
    </row>
    <row r="7780" spans="1:10" x14ac:dyDescent="0.25">
      <c r="A7780" t="s">
        <v>66</v>
      </c>
      <c r="B7780" s="1" t="str">
        <f>HYPERLINK("http://kainz.mini","kainz.mini")</f>
        <v>kainz.mini</v>
      </c>
      <c r="C7780" t="s">
        <v>731</v>
      </c>
      <c r="F7780">
        <v>5.9438498911086102E-9</v>
      </c>
      <c r="G7780">
        <v>17061682</v>
      </c>
      <c r="H7780">
        <v>11138432</v>
      </c>
      <c r="I7780">
        <v>31852530</v>
      </c>
      <c r="J7780">
        <v>4</v>
      </c>
    </row>
    <row r="7781" spans="1:10" x14ac:dyDescent="0.25">
      <c r="A7781" t="s">
        <v>66</v>
      </c>
      <c r="B7781" s="1" t="str">
        <f>HYPERLINK("http://kaltenbach.mini","kaltenbach.mini")</f>
        <v>kaltenbach.mini</v>
      </c>
      <c r="C7781" t="s">
        <v>731</v>
      </c>
      <c r="F7781">
        <v>5.9438498911086102E-9</v>
      </c>
      <c r="G7781">
        <v>17061683</v>
      </c>
      <c r="H7781">
        <v>11138432</v>
      </c>
      <c r="I7781">
        <v>31852531</v>
      </c>
      <c r="J7781">
        <v>4</v>
      </c>
    </row>
    <row r="7782" spans="1:10" x14ac:dyDescent="0.25">
      <c r="A7782" t="s">
        <v>66</v>
      </c>
      <c r="B7782" s="1" t="str">
        <f>HYPERLINK("http://kassel.mini","kassel.mini")</f>
        <v>kassel.mini</v>
      </c>
      <c r="C7782" t="s">
        <v>731</v>
      </c>
      <c r="F7782">
        <v>6.1946567575138696E-9</v>
      </c>
      <c r="G7782">
        <v>15564425</v>
      </c>
      <c r="H7782">
        <v>11138433</v>
      </c>
      <c r="I7782">
        <v>31852497</v>
      </c>
      <c r="J7782">
        <v>4</v>
      </c>
    </row>
    <row r="7783" spans="1:10" x14ac:dyDescent="0.25">
      <c r="A7783" t="s">
        <v>66</v>
      </c>
      <c r="B7783" s="1" t="str">
        <f>HYPERLINK("http://krauth.mini","krauth.mini")</f>
        <v>krauth.mini</v>
      </c>
      <c r="C7783" t="s">
        <v>731</v>
      </c>
      <c r="F7783">
        <v>6.80711196096183E-9</v>
      </c>
      <c r="G7783">
        <v>12936035</v>
      </c>
      <c r="H7783">
        <v>11138871</v>
      </c>
      <c r="I7783">
        <v>31848506</v>
      </c>
      <c r="J7783">
        <v>4</v>
      </c>
    </row>
    <row r="7784" spans="1:10" x14ac:dyDescent="0.25">
      <c r="A7784" t="s">
        <v>66</v>
      </c>
      <c r="B7784" s="1" t="str">
        <f>HYPERLINK("http://kuehnert.mini","kuehnert.mini")</f>
        <v>kuehnert.mini</v>
      </c>
      <c r="C7784" t="s">
        <v>731</v>
      </c>
      <c r="F7784">
        <v>1.1166169809238899E-8</v>
      </c>
      <c r="G7784">
        <v>5737453</v>
      </c>
      <c r="H7784">
        <v>11138757</v>
      </c>
      <c r="I7784">
        <v>31849501</v>
      </c>
      <c r="J7784">
        <v>4</v>
      </c>
    </row>
    <row r="7785" spans="1:10" x14ac:dyDescent="0.25">
      <c r="A7785" t="s">
        <v>66</v>
      </c>
      <c r="B7785" s="1" t="str">
        <f>HYPERLINK("http://leebmann.mini","leebmann.mini")</f>
        <v>leebmann.mini</v>
      </c>
      <c r="C7785" t="s">
        <v>731</v>
      </c>
      <c r="F7785">
        <v>8.4036158763107404E-9</v>
      </c>
      <c r="G7785">
        <v>9035412</v>
      </c>
      <c r="H7785">
        <v>11138693</v>
      </c>
      <c r="I7785">
        <v>31849953</v>
      </c>
      <c r="J7785">
        <v>4</v>
      </c>
    </row>
    <row r="7786" spans="1:10" x14ac:dyDescent="0.25">
      <c r="A7786" t="s">
        <v>66</v>
      </c>
      <c r="B7786" s="1" t="str">
        <f>HYPERLINK("http://leipzig.mini","leipzig.mini")</f>
        <v>leipzig.mini</v>
      </c>
      <c r="C7786" t="s">
        <v>731</v>
      </c>
      <c r="F7786">
        <v>6.1363191128657996E-9</v>
      </c>
      <c r="G7786">
        <v>15881472</v>
      </c>
      <c r="H7786">
        <v>11138432</v>
      </c>
      <c r="I7786">
        <v>31852532</v>
      </c>
      <c r="J7786">
        <v>4</v>
      </c>
    </row>
    <row r="7787" spans="1:10" x14ac:dyDescent="0.25">
      <c r="A7787" t="s">
        <v>66</v>
      </c>
      <c r="B7787" s="1" t="str">
        <f>HYPERLINK("http://lell.mini","lell.mini")</f>
        <v>lell.mini</v>
      </c>
      <c r="C7787" t="s">
        <v>731</v>
      </c>
      <c r="F7787">
        <v>6.43536106027014E-9</v>
      </c>
      <c r="G7787">
        <v>14358208</v>
      </c>
      <c r="H7787">
        <v>11138579</v>
      </c>
      <c r="I7787">
        <v>31850900</v>
      </c>
      <c r="J7787">
        <v>4</v>
      </c>
    </row>
    <row r="7788" spans="1:10" x14ac:dyDescent="0.25">
      <c r="A7788" t="s">
        <v>66</v>
      </c>
      <c r="B7788" s="1" t="str">
        <f>HYPERLINK("http://mannheim.mini","mannheim.mini")</f>
        <v>mannheim.mini</v>
      </c>
      <c r="C7788" t="s">
        <v>731</v>
      </c>
      <c r="F7788">
        <v>7.1844464167584203E-9</v>
      </c>
      <c r="G7788">
        <v>11784951</v>
      </c>
      <c r="H7788">
        <v>11163699</v>
      </c>
      <c r="I7788">
        <v>31593035</v>
      </c>
      <c r="J7788">
        <v>4</v>
      </c>
    </row>
    <row r="7789" spans="1:10" x14ac:dyDescent="0.25">
      <c r="A7789" t="s">
        <v>66</v>
      </c>
      <c r="B7789" s="1" t="str">
        <f>HYPERLINK("http://matthes.mini","matthes.mini")</f>
        <v>matthes.mini</v>
      </c>
      <c r="C7789" t="s">
        <v>731</v>
      </c>
      <c r="F7789">
        <v>6.3420461807312797E-9</v>
      </c>
      <c r="G7789">
        <v>14801034</v>
      </c>
      <c r="H7789">
        <v>11138436</v>
      </c>
      <c r="I7789">
        <v>31852472</v>
      </c>
      <c r="J7789">
        <v>4</v>
      </c>
    </row>
    <row r="7790" spans="1:10" x14ac:dyDescent="0.25">
      <c r="A7790" t="s">
        <v>66</v>
      </c>
      <c r="B7790" s="1" t="str">
        <f>HYPERLINK("http://may-olde.mini","may-olde.mini")</f>
        <v>may-olde.mini</v>
      </c>
      <c r="C7790" t="s">
        <v>731</v>
      </c>
      <c r="F7790">
        <v>5.9438498911086102E-9</v>
      </c>
      <c r="G7790">
        <v>17061685</v>
      </c>
      <c r="H7790">
        <v>11138432</v>
      </c>
      <c r="I7790">
        <v>31852534</v>
      </c>
      <c r="J7790">
        <v>4</v>
      </c>
    </row>
    <row r="7791" spans="1:10" x14ac:dyDescent="0.25">
      <c r="A7791" t="s">
        <v>66</v>
      </c>
      <c r="B7791" s="1" t="str">
        <f>HYPERLINK("http://mueller.mini","mueller.mini")</f>
        <v>mueller.mini</v>
      </c>
      <c r="C7791" t="s">
        <v>731</v>
      </c>
      <c r="F7791">
        <v>5.9438498911086102E-9</v>
      </c>
      <c r="G7791">
        <v>17061686</v>
      </c>
      <c r="H7791">
        <v>11138432</v>
      </c>
      <c r="I7791">
        <v>31852535</v>
      </c>
      <c r="J7791">
        <v>4</v>
      </c>
    </row>
    <row r="7792" spans="1:10" x14ac:dyDescent="0.25">
      <c r="A7792" t="s">
        <v>66</v>
      </c>
      <c r="B7792" s="1" t="str">
        <f>HYPERLINK("http://muenchen.mini","muenchen.mini")</f>
        <v>muenchen.mini</v>
      </c>
      <c r="C7792" t="s">
        <v>731</v>
      </c>
      <c r="E7792">
        <v>864969</v>
      </c>
      <c r="F7792">
        <v>1.4756913865404499E-8</v>
      </c>
      <c r="G7792">
        <v>3921604</v>
      </c>
      <c r="H7792">
        <v>12373925</v>
      </c>
      <c r="I7792">
        <v>19335834</v>
      </c>
      <c r="J7792">
        <v>4</v>
      </c>
    </row>
    <row r="7793" spans="1:10" x14ac:dyDescent="0.25">
      <c r="A7793" t="s">
        <v>66</v>
      </c>
      <c r="B7793" s="1" t="str">
        <f>HYPERLINK("http://muhra.mini","muhra.mini")</f>
        <v>muhra.mini</v>
      </c>
      <c r="C7793" t="s">
        <v>731</v>
      </c>
      <c r="F7793">
        <v>6.39067232749178E-9</v>
      </c>
      <c r="G7793">
        <v>14566142</v>
      </c>
      <c r="H7793">
        <v>11138432</v>
      </c>
      <c r="I7793">
        <v>31852536</v>
      </c>
      <c r="J7793">
        <v>4</v>
      </c>
    </row>
    <row r="7794" spans="1:10" x14ac:dyDescent="0.25">
      <c r="A7794" t="s">
        <v>66</v>
      </c>
      <c r="B7794" s="1" t="str">
        <f>HYPERLINK("http://munding.mini","munding.mini")</f>
        <v>munding.mini</v>
      </c>
      <c r="C7794" t="s">
        <v>731</v>
      </c>
      <c r="F7794">
        <v>5.9438498911086102E-9</v>
      </c>
      <c r="G7794">
        <v>17061687</v>
      </c>
      <c r="H7794">
        <v>11138432</v>
      </c>
      <c r="I7794">
        <v>31852537</v>
      </c>
      <c r="J7794">
        <v>4</v>
      </c>
    </row>
    <row r="7795" spans="1:10" x14ac:dyDescent="0.25">
      <c r="A7795" t="s">
        <v>66</v>
      </c>
      <c r="B7795" s="1" t="str">
        <f>HYPERLINK("http://niederlassungen.mini","niederlassungen.mini")</f>
        <v>niederlassungen.mini</v>
      </c>
      <c r="C7795" t="s">
        <v>731</v>
      </c>
      <c r="F7795">
        <v>7.4723336703870907E-9</v>
      </c>
      <c r="G7795">
        <v>11075581</v>
      </c>
      <c r="H7795">
        <v>11138436</v>
      </c>
      <c r="I7795">
        <v>31852473</v>
      </c>
      <c r="J7795">
        <v>4</v>
      </c>
    </row>
    <row r="7796" spans="1:10" x14ac:dyDescent="0.25">
      <c r="A7796" t="s">
        <v>66</v>
      </c>
      <c r="B7796" s="1" t="str">
        <f>HYPERLINK("http://nuernberg.mini","nuernberg.mini")</f>
        <v>nuernberg.mini</v>
      </c>
      <c r="C7796" t="s">
        <v>731</v>
      </c>
      <c r="F7796">
        <v>9.1480655244747602E-9</v>
      </c>
      <c r="G7796">
        <v>7780990</v>
      </c>
      <c r="H7796">
        <v>11140357</v>
      </c>
      <c r="I7796">
        <v>31831966</v>
      </c>
      <c r="J7796">
        <v>4</v>
      </c>
    </row>
    <row r="7797" spans="1:10" x14ac:dyDescent="0.25">
      <c r="A7797" t="s">
        <v>66</v>
      </c>
      <c r="B7797" s="1" t="str">
        <f>HYPERLINK("http://pfohe.mini","pfohe.mini")</f>
        <v>pfohe.mini</v>
      </c>
      <c r="C7797" t="s">
        <v>731</v>
      </c>
      <c r="F7797">
        <v>6.3027365828043997E-9</v>
      </c>
      <c r="G7797">
        <v>15018662</v>
      </c>
      <c r="H7797">
        <v>11138444</v>
      </c>
      <c r="I7797">
        <v>31852376</v>
      </c>
      <c r="J7797">
        <v>4</v>
      </c>
    </row>
    <row r="7798" spans="1:10" x14ac:dyDescent="0.25">
      <c r="A7798" t="s">
        <v>66</v>
      </c>
      <c r="B7798" s="1" t="str">
        <f>HYPERLINK("http://rene-partl.mini","rene-partl.mini")</f>
        <v>rene-partl.mini</v>
      </c>
      <c r="C7798" t="s">
        <v>731</v>
      </c>
      <c r="F7798">
        <v>6.20122425448787E-9</v>
      </c>
      <c r="G7798">
        <v>15528834</v>
      </c>
      <c r="H7798">
        <v>11188561</v>
      </c>
      <c r="I7798">
        <v>31363928</v>
      </c>
      <c r="J7798">
        <v>4</v>
      </c>
    </row>
    <row r="7799" spans="1:10" x14ac:dyDescent="0.25">
      <c r="A7799" t="s">
        <v>66</v>
      </c>
      <c r="B7799" s="1" t="str">
        <f>HYPERLINK("http://rhein.mini","rhein.mini")</f>
        <v>rhein.mini</v>
      </c>
      <c r="C7799" t="s">
        <v>731</v>
      </c>
      <c r="F7799">
        <v>6.0787510825497501E-9</v>
      </c>
      <c r="G7799">
        <v>16214462</v>
      </c>
      <c r="H7799">
        <v>11138432</v>
      </c>
      <c r="I7799">
        <v>31852539</v>
      </c>
      <c r="J7799">
        <v>4</v>
      </c>
    </row>
    <row r="7800" spans="1:10" x14ac:dyDescent="0.25">
      <c r="A7800" t="s">
        <v>66</v>
      </c>
      <c r="B7800" s="1" t="str">
        <f>HYPERLINK("http://richard-wagner.mini","richard-wagner.mini")</f>
        <v>richard-wagner.mini</v>
      </c>
      <c r="C7800" t="s">
        <v>731</v>
      </c>
      <c r="F7800">
        <v>5.9438498911086102E-9</v>
      </c>
      <c r="G7800">
        <v>17061688</v>
      </c>
      <c r="H7800">
        <v>11138432</v>
      </c>
      <c r="I7800">
        <v>31852540</v>
      </c>
      <c r="J7800">
        <v>4</v>
      </c>
    </row>
    <row r="7801" spans="1:10" x14ac:dyDescent="0.25">
      <c r="A7801" t="s">
        <v>66</v>
      </c>
      <c r="B7801" s="1" t="str">
        <f>HYPERLINK("http://riller-schnauck.mini","riller-schnauck.mini")</f>
        <v>riller-schnauck.mini</v>
      </c>
      <c r="C7801" t="s">
        <v>731</v>
      </c>
      <c r="F7801">
        <v>5.9438498911086102E-9</v>
      </c>
      <c r="G7801">
        <v>17061689</v>
      </c>
      <c r="H7801">
        <v>11138432</v>
      </c>
      <c r="I7801">
        <v>31852541</v>
      </c>
      <c r="J7801">
        <v>4</v>
      </c>
    </row>
    <row r="7802" spans="1:10" x14ac:dyDescent="0.25">
      <c r="A7802" t="s">
        <v>66</v>
      </c>
      <c r="B7802" s="1" t="str">
        <f>HYPERLINK("http://saarland.mini","saarland.mini")</f>
        <v>saarland.mini</v>
      </c>
      <c r="C7802" t="s">
        <v>731</v>
      </c>
      <c r="F7802">
        <v>6.1841346127699101E-9</v>
      </c>
      <c r="G7802">
        <v>15618551</v>
      </c>
      <c r="H7802">
        <v>11138433</v>
      </c>
      <c r="I7802">
        <v>31852498</v>
      </c>
      <c r="J7802">
        <v>4</v>
      </c>
    </row>
    <row r="7803" spans="1:10" x14ac:dyDescent="0.25">
      <c r="A7803" t="s">
        <v>66</v>
      </c>
      <c r="B7803" s="1" t="str">
        <f>HYPERLINK("http://schaal.mini","schaal.mini")</f>
        <v>schaal.mini</v>
      </c>
      <c r="C7803" t="s">
        <v>731</v>
      </c>
      <c r="F7803">
        <v>6.5583350367808101E-9</v>
      </c>
      <c r="G7803">
        <v>13840013</v>
      </c>
      <c r="H7803">
        <v>11139300</v>
      </c>
      <c r="I7803">
        <v>31843726</v>
      </c>
      <c r="J7803">
        <v>4</v>
      </c>
    </row>
    <row r="7804" spans="1:10" x14ac:dyDescent="0.25">
      <c r="A7804" t="s">
        <v>66</v>
      </c>
      <c r="B7804" s="1" t="str">
        <f>HYPERLINK("http://scheller.mini","scheller.mini")</f>
        <v>scheller.mini</v>
      </c>
      <c r="C7804" t="s">
        <v>731</v>
      </c>
      <c r="F7804">
        <v>6.3549878690941599E-9</v>
      </c>
      <c r="G7804">
        <v>14737990</v>
      </c>
      <c r="H7804">
        <v>11138868</v>
      </c>
      <c r="I7804">
        <v>31848520</v>
      </c>
      <c r="J7804">
        <v>4</v>
      </c>
    </row>
    <row r="7805" spans="1:10" x14ac:dyDescent="0.25">
      <c r="A7805" t="s">
        <v>66</v>
      </c>
      <c r="B7805" s="1" t="str">
        <f>HYPERLINK("http://schmidt.mini","schmidt.mini")</f>
        <v>schmidt.mini</v>
      </c>
      <c r="C7805" t="s">
        <v>731</v>
      </c>
      <c r="F7805">
        <v>6.5494899265427496E-9</v>
      </c>
      <c r="G7805">
        <v>13875350</v>
      </c>
      <c r="H7805">
        <v>11138720</v>
      </c>
      <c r="I7805">
        <v>31849738</v>
      </c>
      <c r="J7805">
        <v>4</v>
      </c>
    </row>
    <row r="7806" spans="1:10" x14ac:dyDescent="0.25">
      <c r="A7806" t="s">
        <v>66</v>
      </c>
      <c r="B7806" s="1" t="str">
        <f>HYPERLINK("http://schubert.mini","schubert.mini")</f>
        <v>schubert.mini</v>
      </c>
      <c r="C7806" t="s">
        <v>731</v>
      </c>
      <c r="F7806">
        <v>6.7008970697885502E-9</v>
      </c>
      <c r="G7806">
        <v>13299858</v>
      </c>
      <c r="H7806">
        <v>11138441</v>
      </c>
      <c r="I7806">
        <v>31852424</v>
      </c>
      <c r="J7806">
        <v>4</v>
      </c>
    </row>
    <row r="7807" spans="1:10" x14ac:dyDescent="0.25">
      <c r="A7807" t="s">
        <v>66</v>
      </c>
      <c r="B7807" s="1" t="str">
        <f>HYPERLINK("http://schwarz.mini","schwarz.mini")</f>
        <v>schwarz.mini</v>
      </c>
      <c r="C7807" t="s">
        <v>731</v>
      </c>
      <c r="F7807">
        <v>6.4748727186495496E-9</v>
      </c>
      <c r="G7807">
        <v>14184326</v>
      </c>
      <c r="H7807">
        <v>11138433</v>
      </c>
      <c r="I7807">
        <v>31852499</v>
      </c>
      <c r="J7807">
        <v>4</v>
      </c>
    </row>
    <row r="7808" spans="1:10" x14ac:dyDescent="0.25">
      <c r="A7808" t="s">
        <v>66</v>
      </c>
      <c r="B7808" s="1" t="str">
        <f>HYPERLINK("http://spaett.mini","spaett.mini")</f>
        <v>spaett.mini</v>
      </c>
      <c r="C7808" t="s">
        <v>731</v>
      </c>
      <c r="F7808">
        <v>6.7534602020800602E-9</v>
      </c>
      <c r="G7808">
        <v>13117413</v>
      </c>
      <c r="H7808">
        <v>11139156</v>
      </c>
      <c r="I7808">
        <v>31845592</v>
      </c>
      <c r="J7808">
        <v>4</v>
      </c>
    </row>
    <row r="7809" spans="1:10" x14ac:dyDescent="0.25">
      <c r="A7809" t="s">
        <v>66</v>
      </c>
      <c r="B7809" s="1" t="str">
        <f>HYPERLINK("http://stadac.mini","stadac.mini")</f>
        <v>stadac.mini</v>
      </c>
      <c r="C7809" t="s">
        <v>731</v>
      </c>
      <c r="F7809">
        <v>5.9438498911086102E-9</v>
      </c>
      <c r="G7809">
        <v>17061690</v>
      </c>
      <c r="H7809">
        <v>11138432</v>
      </c>
      <c r="I7809">
        <v>31852542</v>
      </c>
      <c r="J7809">
        <v>4</v>
      </c>
    </row>
    <row r="7810" spans="1:10" x14ac:dyDescent="0.25">
      <c r="A7810" t="s">
        <v>66</v>
      </c>
      <c r="B7810" s="1" t="str">
        <f>HYPERLINK("http://stuttgart.mini","stuttgart.mini")</f>
        <v>stuttgart.mini</v>
      </c>
      <c r="C7810" t="s">
        <v>731</v>
      </c>
      <c r="F7810">
        <v>6.5609915590186499E-9</v>
      </c>
      <c r="G7810">
        <v>13829789</v>
      </c>
      <c r="H7810">
        <v>12126532</v>
      </c>
      <c r="I7810">
        <v>25243031</v>
      </c>
      <c r="J7810">
        <v>4</v>
      </c>
    </row>
    <row r="7811" spans="1:10" x14ac:dyDescent="0.25">
      <c r="A7811" t="s">
        <v>66</v>
      </c>
      <c r="B7811" s="1" t="str">
        <f>HYPERLINK("http://tekken.mini","tekken.mini")</f>
        <v>tekken.mini</v>
      </c>
      <c r="C7811" t="s">
        <v>731</v>
      </c>
      <c r="F7811">
        <v>5.9438498911086102E-9</v>
      </c>
      <c r="G7811">
        <v>17061692</v>
      </c>
      <c r="H7811">
        <v>11138432</v>
      </c>
      <c r="I7811">
        <v>31852544</v>
      </c>
      <c r="J7811">
        <v>4</v>
      </c>
    </row>
    <row r="7812" spans="1:10" x14ac:dyDescent="0.25">
      <c r="A7812" t="s">
        <v>66</v>
      </c>
      <c r="B7812" s="1" t="str">
        <f>HYPERLINK("http://timmermanns.mini","timmermanns.mini")</f>
        <v>timmermanns.mini</v>
      </c>
      <c r="C7812" t="s">
        <v>731</v>
      </c>
      <c r="F7812">
        <v>5.9438498911086102E-9</v>
      </c>
      <c r="G7812">
        <v>17061693</v>
      </c>
      <c r="H7812">
        <v>11138432</v>
      </c>
      <c r="I7812">
        <v>31852545</v>
      </c>
      <c r="J7812">
        <v>4</v>
      </c>
    </row>
    <row r="7813" spans="1:10" x14ac:dyDescent="0.25">
      <c r="A7813" t="s">
        <v>66</v>
      </c>
      <c r="B7813" s="1" t="str">
        <f>HYPERLINK("http://ungeheuer.mini","ungeheuer.mini")</f>
        <v>ungeheuer.mini</v>
      </c>
      <c r="C7813" t="s">
        <v>731</v>
      </c>
      <c r="F7813">
        <v>5.9550228282605603E-9</v>
      </c>
      <c r="G7813">
        <v>16987736</v>
      </c>
      <c r="H7813">
        <v>11138577</v>
      </c>
      <c r="I7813">
        <v>31851144</v>
      </c>
      <c r="J7813">
        <v>4</v>
      </c>
    </row>
    <row r="7814" spans="1:10" x14ac:dyDescent="0.25">
      <c r="A7814" t="s">
        <v>66</v>
      </c>
      <c r="B7814" s="1" t="str">
        <f>HYPERLINK("http://unterberger.mini","unterberger.mini")</f>
        <v>unterberger.mini</v>
      </c>
      <c r="C7814" t="s">
        <v>731</v>
      </c>
      <c r="F7814">
        <v>5.9438498911086102E-9</v>
      </c>
      <c r="G7814">
        <v>17061694</v>
      </c>
      <c r="H7814">
        <v>11138432</v>
      </c>
      <c r="I7814">
        <v>31852546</v>
      </c>
      <c r="J7814">
        <v>4</v>
      </c>
    </row>
    <row r="7815" spans="1:10" x14ac:dyDescent="0.25">
      <c r="A7815" t="s">
        <v>66</v>
      </c>
      <c r="B7815" s="1" t="str">
        <f>HYPERLINK("http://voegl.mini","voegl.mini")</f>
        <v>voegl.mini</v>
      </c>
      <c r="C7815" t="s">
        <v>731</v>
      </c>
      <c r="F7815">
        <v>5.9438498911086102E-9</v>
      </c>
      <c r="G7815">
        <v>17061695</v>
      </c>
      <c r="H7815">
        <v>11138432</v>
      </c>
      <c r="I7815">
        <v>31852547</v>
      </c>
      <c r="J7815">
        <v>4</v>
      </c>
    </row>
    <row r="7816" spans="1:10" x14ac:dyDescent="0.25">
      <c r="A7816" t="s">
        <v>66</v>
      </c>
      <c r="B7816" s="1" t="str">
        <f>HYPERLINK("http://vogel.mini","vogel.mini")</f>
        <v>vogel.mini</v>
      </c>
      <c r="C7816" t="s">
        <v>731</v>
      </c>
      <c r="F7816">
        <v>6.4460095801210301E-9</v>
      </c>
      <c r="G7816">
        <v>14312052</v>
      </c>
      <c r="H7816">
        <v>11139157</v>
      </c>
      <c r="I7816">
        <v>31845580</v>
      </c>
      <c r="J7816">
        <v>4</v>
      </c>
    </row>
    <row r="7817" spans="1:10" x14ac:dyDescent="0.25">
      <c r="A7817" t="s">
        <v>66</v>
      </c>
      <c r="B7817" s="1" t="str">
        <f>HYPERLINK("http://vogelsang.mini","vogelsang.mini")</f>
        <v>vogelsang.mini</v>
      </c>
      <c r="C7817" t="s">
        <v>731</v>
      </c>
      <c r="F7817">
        <v>6.3657462516970503E-9</v>
      </c>
      <c r="G7817">
        <v>14685861</v>
      </c>
      <c r="H7817">
        <v>11138434</v>
      </c>
      <c r="I7817">
        <v>31852490</v>
      </c>
      <c r="J7817">
        <v>4</v>
      </c>
    </row>
    <row r="7818" spans="1:10" x14ac:dyDescent="0.25">
      <c r="A7818" t="s">
        <v>66</v>
      </c>
      <c r="B7818" s="1" t="str">
        <f>HYPERLINK("http://wahl.mini","wahl.mini")</f>
        <v>wahl.mini</v>
      </c>
      <c r="C7818" t="s">
        <v>731</v>
      </c>
      <c r="F7818">
        <v>6.5530645167950602E-9</v>
      </c>
      <c r="G7818">
        <v>13861440</v>
      </c>
      <c r="H7818">
        <v>11146211</v>
      </c>
      <c r="I7818">
        <v>31777575</v>
      </c>
      <c r="J7818">
        <v>4</v>
      </c>
    </row>
    <row r="7819" spans="1:10" x14ac:dyDescent="0.25">
      <c r="A7819" t="s">
        <v>66</v>
      </c>
      <c r="B7819" s="1" t="str">
        <f>HYPERLINK("http://walkenhorst.mini","walkenhorst.mini")</f>
        <v>walkenhorst.mini</v>
      </c>
      <c r="C7819" t="s">
        <v>731</v>
      </c>
      <c r="F7819">
        <v>5.9438498911086102E-9</v>
      </c>
      <c r="G7819">
        <v>17061696</v>
      </c>
      <c r="H7819">
        <v>11138432</v>
      </c>
      <c r="I7819">
        <v>31852548</v>
      </c>
      <c r="J7819">
        <v>4</v>
      </c>
    </row>
    <row r="7820" spans="1:10" x14ac:dyDescent="0.25">
      <c r="A7820" t="s">
        <v>66</v>
      </c>
      <c r="B7820" s="1" t="str">
        <f>HYPERLINK("http://wernecke.mini","wernecke.mini")</f>
        <v>wernecke.mini</v>
      </c>
      <c r="C7820" t="s">
        <v>731</v>
      </c>
      <c r="F7820">
        <v>7.7247090190384696E-9</v>
      </c>
      <c r="G7820">
        <v>10519391</v>
      </c>
      <c r="H7820">
        <v>11237007</v>
      </c>
      <c r="I7820">
        <v>30984356</v>
      </c>
      <c r="J7820">
        <v>4</v>
      </c>
    </row>
    <row r="7821" spans="1:10" x14ac:dyDescent="0.25">
      <c r="A7821" t="s">
        <v>66</v>
      </c>
      <c r="B7821" s="1" t="str">
        <f>HYPERLINK("http://wigger.mini","wigger.mini")</f>
        <v>wigger.mini</v>
      </c>
      <c r="C7821" t="s">
        <v>731</v>
      </c>
      <c r="F7821">
        <v>5.9438498911086102E-9</v>
      </c>
      <c r="G7821">
        <v>17061697</v>
      </c>
      <c r="H7821">
        <v>11138432</v>
      </c>
      <c r="I7821">
        <v>31852550</v>
      </c>
      <c r="J7821">
        <v>4</v>
      </c>
    </row>
    <row r="7822" spans="1:10" x14ac:dyDescent="0.25">
      <c r="A7822" t="s">
        <v>66</v>
      </c>
      <c r="B7822" s="1" t="str">
        <f>HYPERLINK("http://wormser.mini","wormser.mini")</f>
        <v>wormser.mini</v>
      </c>
      <c r="C7822" t="s">
        <v>731</v>
      </c>
      <c r="F7822">
        <v>6.6816964821502198E-9</v>
      </c>
      <c r="G7822">
        <v>13369148</v>
      </c>
      <c r="H7822">
        <v>12155443</v>
      </c>
      <c r="I7822">
        <v>24484433</v>
      </c>
      <c r="J7822">
        <v>4</v>
      </c>
    </row>
    <row r="7823" spans="1:10" x14ac:dyDescent="0.25">
      <c r="A7823" t="s">
        <v>66</v>
      </c>
      <c r="B7823" s="1" t="str">
        <f>HYPERLINK("http://bmw.com.mk","bmw.com.mk")</f>
        <v>bmw.com.mk</v>
      </c>
      <c r="C7823" t="s">
        <v>531</v>
      </c>
      <c r="D7823" t="s">
        <v>895</v>
      </c>
      <c r="E7823">
        <v>456299</v>
      </c>
      <c r="F7823">
        <v>1.6606397077329301E-8</v>
      </c>
      <c r="G7823">
        <v>3387804</v>
      </c>
      <c r="H7823">
        <v>12415578</v>
      </c>
      <c r="I7823">
        <v>18533113</v>
      </c>
      <c r="J7823">
        <v>4</v>
      </c>
    </row>
    <row r="7824" spans="1:10" x14ac:dyDescent="0.25">
      <c r="A7824" t="s">
        <v>66</v>
      </c>
      <c r="B7824" s="1" t="str">
        <f>HYPERLINK("http://mini.com.mk","mini.com.mk")</f>
        <v>mini.com.mk</v>
      </c>
      <c r="C7824" t="s">
        <v>531</v>
      </c>
      <c r="D7824" t="s">
        <v>895</v>
      </c>
      <c r="F7824">
        <v>5.47765969223581E-9</v>
      </c>
      <c r="G7824">
        <v>21154703</v>
      </c>
      <c r="H7824">
        <v>10599440</v>
      </c>
      <c r="I7824">
        <v>44927951</v>
      </c>
      <c r="J7824">
        <v>3</v>
      </c>
    </row>
    <row r="7825" spans="1:10" x14ac:dyDescent="0.25">
      <c r="A7825" t="s">
        <v>66</v>
      </c>
      <c r="B7825" s="1" t="str">
        <f>HYPERLINK("http://bmw.mn","bmw.mn")</f>
        <v>bmw.mn</v>
      </c>
      <c r="C7825" t="s">
        <v>652</v>
      </c>
      <c r="D7825" t="s">
        <v>971</v>
      </c>
      <c r="E7825">
        <v>275304</v>
      </c>
      <c r="F7825">
        <v>9.2717830775867494E-9</v>
      </c>
      <c r="G7825">
        <v>7609396</v>
      </c>
      <c r="H7825">
        <v>12373202</v>
      </c>
      <c r="I7825">
        <v>19352856</v>
      </c>
      <c r="J7825">
        <v>4</v>
      </c>
    </row>
    <row r="7826" spans="1:10" x14ac:dyDescent="0.25">
      <c r="A7826" t="s">
        <v>66</v>
      </c>
      <c r="B7826" s="1" t="str">
        <f>HYPERLINK("http://mini.com.mo","mini.com.mo")</f>
        <v>mini.com.mo</v>
      </c>
      <c r="C7826" t="s">
        <v>548</v>
      </c>
      <c r="D7826" t="s">
        <v>905</v>
      </c>
      <c r="F7826">
        <v>4.7903107439246297E-9</v>
      </c>
      <c r="G7826">
        <v>36477827</v>
      </c>
      <c r="H7826">
        <v>10356081</v>
      </c>
      <c r="I7826">
        <v>55651545</v>
      </c>
      <c r="J7826">
        <v>3</v>
      </c>
    </row>
    <row r="7827" spans="1:10" x14ac:dyDescent="0.25">
      <c r="A7827" t="s">
        <v>66</v>
      </c>
      <c r="B7827" s="1" t="str">
        <f>HYPERLINK("http://bmw.moe","bmw.moe")</f>
        <v>bmw.moe</v>
      </c>
      <c r="C7827" t="s">
        <v>726</v>
      </c>
      <c r="F7827">
        <v>7.4819854397102503E-9</v>
      </c>
      <c r="G7827">
        <v>11053571</v>
      </c>
      <c r="H7827">
        <v>12071108</v>
      </c>
      <c r="I7827">
        <v>26768579</v>
      </c>
      <c r="J7827">
        <v>3</v>
      </c>
    </row>
    <row r="7828" spans="1:10" x14ac:dyDescent="0.25">
      <c r="A7828" t="s">
        <v>66</v>
      </c>
      <c r="B7828" s="1" t="str">
        <f>HYPERLINK("http://bmw.mq","bmw.mq")</f>
        <v>bmw.mq</v>
      </c>
      <c r="C7828" t="s">
        <v>732</v>
      </c>
      <c r="D7828" t="s">
        <v>1009</v>
      </c>
      <c r="F7828">
        <v>1.0645469320701099E-8</v>
      </c>
      <c r="G7828">
        <v>6145325</v>
      </c>
      <c r="H7828">
        <v>12367307</v>
      </c>
      <c r="I7828">
        <v>19460247</v>
      </c>
      <c r="J7828">
        <v>4</v>
      </c>
    </row>
    <row r="7829" spans="1:10" x14ac:dyDescent="0.25">
      <c r="A7829" t="s">
        <v>66</v>
      </c>
      <c r="B7829" s="1" t="str">
        <f>HYPERLINK("http://mini.mq","mini.mq")</f>
        <v>mini.mq</v>
      </c>
      <c r="C7829" t="s">
        <v>732</v>
      </c>
      <c r="D7829" t="s">
        <v>1009</v>
      </c>
      <c r="F7829">
        <v>7.2819835378353802E-9</v>
      </c>
      <c r="G7829">
        <v>11524246</v>
      </c>
      <c r="H7829">
        <v>9382995</v>
      </c>
      <c r="I7829">
        <v>67514892</v>
      </c>
      <c r="J7829">
        <v>4</v>
      </c>
    </row>
    <row r="7830" spans="1:10" x14ac:dyDescent="0.25">
      <c r="A7830" t="s">
        <v>66</v>
      </c>
      <c r="B7830" s="1" t="str">
        <f>HYPERLINK("http://bmw.com.mt","bmw.com.mt")</f>
        <v>bmw.com.mt</v>
      </c>
      <c r="C7830" t="s">
        <v>597</v>
      </c>
      <c r="D7830" t="s">
        <v>932</v>
      </c>
      <c r="F7830">
        <v>2.5681102994610399E-8</v>
      </c>
      <c r="G7830">
        <v>2007691</v>
      </c>
      <c r="H7830">
        <v>12554018</v>
      </c>
      <c r="I7830">
        <v>16783636</v>
      </c>
      <c r="J7830">
        <v>4</v>
      </c>
    </row>
    <row r="7831" spans="1:10" x14ac:dyDescent="0.25">
      <c r="A7831" t="s">
        <v>66</v>
      </c>
      <c r="B7831" s="1" t="str">
        <f>HYPERLINK("http://mini.com.mt","mini.com.mt")</f>
        <v>mini.com.mt</v>
      </c>
      <c r="C7831" t="s">
        <v>597</v>
      </c>
      <c r="D7831" t="s">
        <v>932</v>
      </c>
      <c r="F7831">
        <v>8.0224451501868992E-9</v>
      </c>
      <c r="G7831">
        <v>9879871</v>
      </c>
      <c r="H7831">
        <v>10919691</v>
      </c>
      <c r="I7831">
        <v>35290481</v>
      </c>
      <c r="J7831">
        <v>3</v>
      </c>
    </row>
    <row r="7832" spans="1:10" x14ac:dyDescent="0.25">
      <c r="A7832" t="s">
        <v>66</v>
      </c>
      <c r="B7832" s="1" t="str">
        <f>HYPERLINK("http://bmw.mu","bmw.mu")</f>
        <v>bmw.mu</v>
      </c>
      <c r="C7832" t="s">
        <v>572</v>
      </c>
      <c r="D7832" t="s">
        <v>919</v>
      </c>
      <c r="F7832">
        <v>1.9335651112599699E-8</v>
      </c>
      <c r="G7832">
        <v>2776390</v>
      </c>
      <c r="H7832">
        <v>12435011</v>
      </c>
      <c r="I7832">
        <v>18214461</v>
      </c>
      <c r="J7832">
        <v>4</v>
      </c>
    </row>
    <row r="7833" spans="1:10" x14ac:dyDescent="0.25">
      <c r="A7833" t="s">
        <v>66</v>
      </c>
      <c r="B7833" s="1" t="str">
        <f>HYPERLINK("http://alphabet.mx","alphabet.mx")</f>
        <v>alphabet.mx</v>
      </c>
      <c r="C7833" t="s">
        <v>471</v>
      </c>
      <c r="D7833" t="s">
        <v>847</v>
      </c>
      <c r="J7833">
        <v>2</v>
      </c>
    </row>
    <row r="7834" spans="1:10" x14ac:dyDescent="0.25">
      <c r="A7834" t="s">
        <v>66</v>
      </c>
      <c r="B7834" s="1" t="str">
        <f>HYPERLINK("http://alphabet.com.mx","alphabet.com.mx")</f>
        <v>alphabet.com.mx</v>
      </c>
      <c r="C7834" t="s">
        <v>471</v>
      </c>
      <c r="D7834" t="s">
        <v>847</v>
      </c>
      <c r="J7834">
        <v>2</v>
      </c>
    </row>
    <row r="7835" spans="1:10" x14ac:dyDescent="0.25">
      <c r="A7835" t="s">
        <v>66</v>
      </c>
      <c r="B7835" s="1" t="str">
        <f>HYPERLINK("http://bmw.com.mx","bmw.com.mx")</f>
        <v>bmw.com.mx</v>
      </c>
      <c r="C7835" t="s">
        <v>471</v>
      </c>
      <c r="D7835" t="s">
        <v>847</v>
      </c>
      <c r="E7835">
        <v>680156</v>
      </c>
      <c r="F7835">
        <v>4.7178809031099202E-8</v>
      </c>
      <c r="G7835">
        <v>988559</v>
      </c>
      <c r="H7835">
        <v>14382347</v>
      </c>
      <c r="I7835">
        <v>1188925</v>
      </c>
      <c r="J7835">
        <v>2</v>
      </c>
    </row>
    <row r="7836" spans="1:10" x14ac:dyDescent="0.25">
      <c r="A7836" t="s">
        <v>66</v>
      </c>
      <c r="B7836" s="1" t="str">
        <f>HYPERLINK("http://bmw-motorrad.com.mx","bmw-motorrad.com.mx")</f>
        <v>bmw-motorrad.com.mx</v>
      </c>
      <c r="C7836" t="s">
        <v>471</v>
      </c>
      <c r="D7836" t="s">
        <v>847</v>
      </c>
      <c r="F7836">
        <v>2.6082987748542899E-8</v>
      </c>
      <c r="G7836">
        <v>1975031</v>
      </c>
      <c r="H7836">
        <v>13561756</v>
      </c>
      <c r="I7836">
        <v>9846342</v>
      </c>
      <c r="J7836">
        <v>2</v>
      </c>
    </row>
    <row r="7837" spans="1:10" x14ac:dyDescent="0.25">
      <c r="A7837" t="s">
        <v>66</v>
      </c>
      <c r="B7837" s="1" t="str">
        <f>HYPERLINK("http://bmwfs.com.mx","bmwfs.com.mx")</f>
        <v>bmwfs.com.mx</v>
      </c>
      <c r="C7837" t="s">
        <v>471</v>
      </c>
      <c r="D7837" t="s">
        <v>847</v>
      </c>
      <c r="F7837">
        <v>8.2428991895489807E-9</v>
      </c>
      <c r="G7837">
        <v>9396340</v>
      </c>
      <c r="H7837">
        <v>11031900</v>
      </c>
      <c r="I7837">
        <v>33073507</v>
      </c>
      <c r="J7837">
        <v>4</v>
      </c>
    </row>
    <row r="7838" spans="1:10" x14ac:dyDescent="0.25">
      <c r="A7838" t="s">
        <v>66</v>
      </c>
      <c r="B7838" s="1" t="str">
        <f>HYPERLINK("http://bmwimagen.com.mx","bmwimagen.com.mx")</f>
        <v>bmwimagen.com.mx</v>
      </c>
      <c r="C7838" t="s">
        <v>471</v>
      </c>
      <c r="D7838" t="s">
        <v>847</v>
      </c>
      <c r="J7838">
        <v>4</v>
      </c>
    </row>
    <row r="7839" spans="1:10" x14ac:dyDescent="0.25">
      <c r="A7839" t="s">
        <v>66</v>
      </c>
      <c r="B7839" s="1" t="str">
        <f>HYPERLINK("http://mini.com.mx","mini.com.mx")</f>
        <v>mini.com.mx</v>
      </c>
      <c r="C7839" t="s">
        <v>471</v>
      </c>
      <c r="D7839" t="s">
        <v>847</v>
      </c>
      <c r="F7839">
        <v>1.9626050172736599E-8</v>
      </c>
      <c r="G7839">
        <v>2723224</v>
      </c>
      <c r="H7839">
        <v>13231145</v>
      </c>
      <c r="I7839">
        <v>11273395</v>
      </c>
      <c r="J7839">
        <v>2</v>
      </c>
    </row>
    <row r="7840" spans="1:10" x14ac:dyDescent="0.25">
      <c r="A7840" t="s">
        <v>66</v>
      </c>
      <c r="B7840" s="1" t="str">
        <f>HYPERLINK("http://bmw.my","bmw.my")</f>
        <v>bmw.my</v>
      </c>
      <c r="C7840" t="s">
        <v>472</v>
      </c>
      <c r="D7840" t="s">
        <v>848</v>
      </c>
      <c r="J7840">
        <v>2</v>
      </c>
    </row>
    <row r="7841" spans="1:10" x14ac:dyDescent="0.25">
      <c r="A7841" t="s">
        <v>66</v>
      </c>
      <c r="B7841" s="1" t="str">
        <f>HYPERLINK("http://bmwfs.my","bmwfs.my")</f>
        <v>bmwfs.my</v>
      </c>
      <c r="C7841" t="s">
        <v>472</v>
      </c>
      <c r="D7841" t="s">
        <v>848</v>
      </c>
      <c r="F7841">
        <v>6.2967842436575603E-9</v>
      </c>
      <c r="G7841">
        <v>15047750</v>
      </c>
      <c r="H7841">
        <v>12167267</v>
      </c>
      <c r="I7841">
        <v>24139977</v>
      </c>
      <c r="J7841">
        <v>2</v>
      </c>
    </row>
    <row r="7842" spans="1:10" x14ac:dyDescent="0.25">
      <c r="A7842" t="s">
        <v>66</v>
      </c>
      <c r="B7842" s="1" t="str">
        <f>HYPERLINK("http://bmw.com.my","bmw.com.my")</f>
        <v>bmw.com.my</v>
      </c>
      <c r="C7842" t="s">
        <v>472</v>
      </c>
      <c r="D7842" t="s">
        <v>848</v>
      </c>
      <c r="E7842">
        <v>594292</v>
      </c>
      <c r="F7842">
        <v>5.4792746294100498E-8</v>
      </c>
      <c r="G7842">
        <v>821745</v>
      </c>
      <c r="H7842">
        <v>14240857</v>
      </c>
      <c r="I7842">
        <v>1497378</v>
      </c>
      <c r="J7842">
        <v>4</v>
      </c>
    </row>
    <row r="7843" spans="1:10" x14ac:dyDescent="0.25">
      <c r="A7843" t="s">
        <v>66</v>
      </c>
      <c r="B7843" s="1" t="str">
        <f>HYPERLINK("http://bmw-motorrad.com.my","bmw-motorrad.com.my")</f>
        <v>bmw-motorrad.com.my</v>
      </c>
      <c r="C7843" t="s">
        <v>472</v>
      </c>
      <c r="D7843" t="s">
        <v>848</v>
      </c>
      <c r="F7843">
        <v>1.13653676023197E-8</v>
      </c>
      <c r="G7843">
        <v>5597781</v>
      </c>
      <c r="H7843">
        <v>12844644</v>
      </c>
      <c r="I7843">
        <v>14321526</v>
      </c>
      <c r="J7843">
        <v>2</v>
      </c>
    </row>
    <row r="7844" spans="1:10" x14ac:dyDescent="0.25">
      <c r="A7844" t="s">
        <v>66</v>
      </c>
      <c r="B7844" s="1" t="str">
        <f>HYPERLINK("http://mini.my","mini.my")</f>
        <v>mini.my</v>
      </c>
      <c r="C7844" t="s">
        <v>472</v>
      </c>
      <c r="D7844" t="s">
        <v>848</v>
      </c>
      <c r="F7844">
        <v>1.30739233844667E-8</v>
      </c>
      <c r="G7844">
        <v>4595985</v>
      </c>
      <c r="H7844">
        <v>13766834</v>
      </c>
      <c r="I7844">
        <v>6972475</v>
      </c>
      <c r="J7844">
        <v>3</v>
      </c>
    </row>
    <row r="7845" spans="1:10" x14ac:dyDescent="0.25">
      <c r="A7845" t="s">
        <v>66</v>
      </c>
      <c r="B7845" s="1" t="str">
        <f>HYPERLINK("http://bmw.nc","bmw.nc")</f>
        <v>bmw.nc</v>
      </c>
      <c r="C7845" t="s">
        <v>724</v>
      </c>
      <c r="D7845" t="s">
        <v>1008</v>
      </c>
      <c r="F7845">
        <v>8.2647929605641495E-9</v>
      </c>
      <c r="G7845">
        <v>9341015</v>
      </c>
      <c r="H7845">
        <v>12369120</v>
      </c>
      <c r="I7845">
        <v>19424166</v>
      </c>
      <c r="J7845">
        <v>4</v>
      </c>
    </row>
    <row r="7846" spans="1:10" x14ac:dyDescent="0.25">
      <c r="A7846" t="s">
        <v>66</v>
      </c>
      <c r="B7846" s="1" t="str">
        <f>HYPERLINK("http://balderston.net","balderston.net")</f>
        <v>balderston.net</v>
      </c>
      <c r="C7846" t="s">
        <v>474</v>
      </c>
      <c r="F7846">
        <v>4.57866879877225E-9</v>
      </c>
      <c r="G7846">
        <v>49413138</v>
      </c>
      <c r="H7846">
        <v>12345264</v>
      </c>
      <c r="I7846">
        <v>19845621</v>
      </c>
      <c r="J7846">
        <v>6</v>
      </c>
    </row>
    <row r="7847" spans="1:10" x14ac:dyDescent="0.25">
      <c r="A7847" t="s">
        <v>66</v>
      </c>
      <c r="B7847" s="1" t="str">
        <f>HYPERLINK("http://bmwgroup.net","bmwgroup.net")</f>
        <v>bmwgroup.net</v>
      </c>
      <c r="C7847" t="s">
        <v>474</v>
      </c>
      <c r="E7847">
        <v>80261</v>
      </c>
      <c r="F7847">
        <v>2.03917541221748E-7</v>
      </c>
      <c r="G7847">
        <v>186383</v>
      </c>
      <c r="H7847">
        <v>13279067</v>
      </c>
      <c r="I7847">
        <v>10918251</v>
      </c>
      <c r="J7847">
        <v>2</v>
      </c>
    </row>
    <row r="7848" spans="1:10" x14ac:dyDescent="0.25">
      <c r="A7848" t="s">
        <v>66</v>
      </c>
      <c r="B7848" s="1" t="str">
        <f>HYPERLINK("http://cap.network","cap.network")</f>
        <v>cap.network</v>
      </c>
      <c r="C7848" t="s">
        <v>683</v>
      </c>
      <c r="J7848">
        <v>2</v>
      </c>
    </row>
    <row r="7849" spans="1:10" x14ac:dyDescent="0.25">
      <c r="A7849" t="s">
        <v>66</v>
      </c>
      <c r="B7849" s="1" t="str">
        <f>HYPERLINK("http://bmw.nl","bmw.nl")</f>
        <v>bmw.nl</v>
      </c>
      <c r="C7849" t="s">
        <v>477</v>
      </c>
      <c r="D7849" t="s">
        <v>852</v>
      </c>
      <c r="E7849">
        <v>252730</v>
      </c>
      <c r="F7849">
        <v>1.8593085556554201E-7</v>
      </c>
      <c r="G7849">
        <v>207274</v>
      </c>
      <c r="H7849">
        <v>15046858</v>
      </c>
      <c r="I7849">
        <v>415256</v>
      </c>
      <c r="J7849">
        <v>2</v>
      </c>
    </row>
    <row r="7850" spans="1:10" x14ac:dyDescent="0.25">
      <c r="A7850" t="s">
        <v>66</v>
      </c>
      <c r="B7850" s="1" t="str">
        <f>HYPERLINK("http://bmw-motorrad.nl","bmw-motorrad.nl")</f>
        <v>bmw-motorrad.nl</v>
      </c>
      <c r="C7850" t="s">
        <v>477</v>
      </c>
      <c r="D7850" t="s">
        <v>852</v>
      </c>
      <c r="F7850">
        <v>4.3170378616534997E-8</v>
      </c>
      <c r="G7850">
        <v>1111945</v>
      </c>
      <c r="H7850">
        <v>13843316</v>
      </c>
      <c r="I7850">
        <v>6065999</v>
      </c>
      <c r="J7850">
        <v>2</v>
      </c>
    </row>
    <row r="7851" spans="1:10" x14ac:dyDescent="0.25">
      <c r="A7851" t="s">
        <v>66</v>
      </c>
      <c r="B7851" s="1" t="str">
        <f>HYPERLINK("http://bmwshop.nl","bmwshop.nl")</f>
        <v>bmwshop.nl</v>
      </c>
      <c r="C7851" t="s">
        <v>477</v>
      </c>
      <c r="D7851" t="s">
        <v>852</v>
      </c>
      <c r="J7851">
        <v>2</v>
      </c>
    </row>
    <row r="7852" spans="1:10" x14ac:dyDescent="0.25">
      <c r="A7852" t="s">
        <v>66</v>
      </c>
      <c r="B7852" s="1" t="str">
        <f>HYPERLINK("http://debois.nl","debois.nl")</f>
        <v>debois.nl</v>
      </c>
      <c r="C7852" t="s">
        <v>477</v>
      </c>
      <c r="D7852" t="s">
        <v>852</v>
      </c>
      <c r="F7852">
        <v>6.82445907422863E-9</v>
      </c>
      <c r="G7852">
        <v>12879917</v>
      </c>
      <c r="H7852">
        <v>12233584</v>
      </c>
      <c r="I7852">
        <v>22412231</v>
      </c>
      <c r="J7852">
        <v>6</v>
      </c>
    </row>
    <row r="7853" spans="1:10" x14ac:dyDescent="0.25">
      <c r="A7853" t="s">
        <v>66</v>
      </c>
      <c r="B7853" s="1" t="str">
        <f>HYPERLINK("http://demaassche-venlo.nl","demaassche-venlo.nl")</f>
        <v>demaassche-venlo.nl</v>
      </c>
      <c r="C7853" t="s">
        <v>477</v>
      </c>
      <c r="D7853" t="s">
        <v>852</v>
      </c>
      <c r="F7853">
        <v>7.24145749215943E-9</v>
      </c>
      <c r="G7853">
        <v>11627359</v>
      </c>
      <c r="H7853">
        <v>10989559</v>
      </c>
      <c r="I7853">
        <v>33755260</v>
      </c>
      <c r="J7853">
        <v>6</v>
      </c>
    </row>
    <row r="7854" spans="1:10" x14ac:dyDescent="0.25">
      <c r="A7854" t="s">
        <v>66</v>
      </c>
      <c r="B7854" s="1" t="str">
        <f>HYPERLINK("http://demaasschebmw.nl","demaasschebmw.nl")</f>
        <v>demaasschebmw.nl</v>
      </c>
      <c r="C7854" t="s">
        <v>477</v>
      </c>
      <c r="D7854" t="s">
        <v>852</v>
      </c>
      <c r="F7854">
        <v>2.12641083364637E-8</v>
      </c>
      <c r="G7854">
        <v>2478725</v>
      </c>
      <c r="H7854">
        <v>12275675</v>
      </c>
      <c r="I7854">
        <v>21400096</v>
      </c>
      <c r="J7854">
        <v>6</v>
      </c>
    </row>
    <row r="7855" spans="1:10" x14ac:dyDescent="0.25">
      <c r="A7855" t="s">
        <v>66</v>
      </c>
      <c r="B7855" s="1" t="str">
        <f>HYPERLINK("http://dusseldorpmini.nl","dusseldorpmini.nl")</f>
        <v>dusseldorpmini.nl</v>
      </c>
      <c r="C7855" t="s">
        <v>477</v>
      </c>
      <c r="D7855" t="s">
        <v>852</v>
      </c>
      <c r="F7855">
        <v>7.5062636193627406E-9</v>
      </c>
      <c r="G7855">
        <v>10999761</v>
      </c>
      <c r="H7855">
        <v>12170917</v>
      </c>
      <c r="I7855">
        <v>24047342</v>
      </c>
      <c r="J7855">
        <v>6</v>
      </c>
    </row>
    <row r="7856" spans="1:10" x14ac:dyDescent="0.25">
      <c r="A7856" t="s">
        <v>66</v>
      </c>
      <c r="B7856" s="1" t="str">
        <f>HYPERLINK("http://ekris.nl","ekris.nl")</f>
        <v>ekris.nl</v>
      </c>
      <c r="C7856" t="s">
        <v>477</v>
      </c>
      <c r="D7856" t="s">
        <v>852</v>
      </c>
      <c r="E7856">
        <v>761856</v>
      </c>
      <c r="F7856">
        <v>3.1228824142856002E-8</v>
      </c>
      <c r="G7856">
        <v>1651031</v>
      </c>
      <c r="H7856">
        <v>13387651</v>
      </c>
      <c r="I7856">
        <v>10399175</v>
      </c>
      <c r="J7856">
        <v>6</v>
      </c>
    </row>
    <row r="7857" spans="1:10" x14ac:dyDescent="0.25">
      <c r="A7857" t="s">
        <v>66</v>
      </c>
      <c r="B7857" s="1" t="str">
        <f>HYPERLINK("http://hanssevers.nl","hanssevers.nl")</f>
        <v>hanssevers.nl</v>
      </c>
      <c r="C7857" t="s">
        <v>477</v>
      </c>
      <c r="D7857" t="s">
        <v>852</v>
      </c>
      <c r="F7857">
        <v>1.1182165115211301E-8</v>
      </c>
      <c r="G7857">
        <v>5725535</v>
      </c>
      <c r="H7857">
        <v>11380375</v>
      </c>
      <c r="I7857">
        <v>30282876</v>
      </c>
      <c r="J7857">
        <v>6</v>
      </c>
    </row>
    <row r="7858" spans="1:10" x14ac:dyDescent="0.25">
      <c r="A7858" t="s">
        <v>66</v>
      </c>
      <c r="B7858" s="1" t="str">
        <f>HYPERLINK("http://kalfsbeekbmw.nl","kalfsbeekbmw.nl")</f>
        <v>kalfsbeekbmw.nl</v>
      </c>
      <c r="C7858" t="s">
        <v>477</v>
      </c>
      <c r="D7858" t="s">
        <v>852</v>
      </c>
      <c r="F7858">
        <v>1.06735289499758E-8</v>
      </c>
      <c r="G7858">
        <v>6122184</v>
      </c>
      <c r="H7858">
        <v>12216081</v>
      </c>
      <c r="I7858">
        <v>22878993</v>
      </c>
      <c r="J7858">
        <v>6</v>
      </c>
    </row>
    <row r="7859" spans="1:10" x14ac:dyDescent="0.25">
      <c r="A7859" t="s">
        <v>66</v>
      </c>
      <c r="B7859" s="1" t="str">
        <f>HYPERLINK("http://mijnschademelding.nl","mijnschademelding.nl")</f>
        <v>mijnschademelding.nl</v>
      </c>
      <c r="C7859" t="s">
        <v>477</v>
      </c>
      <c r="D7859" t="s">
        <v>852</v>
      </c>
      <c r="F7859">
        <v>5.1478839025087803E-9</v>
      </c>
      <c r="G7859">
        <v>26122856</v>
      </c>
      <c r="H7859">
        <v>11108199</v>
      </c>
      <c r="I7859">
        <v>32180708</v>
      </c>
      <c r="J7859">
        <v>2</v>
      </c>
    </row>
    <row r="7860" spans="1:10" x14ac:dyDescent="0.25">
      <c r="A7860" t="s">
        <v>66</v>
      </c>
      <c r="B7860" s="1" t="str">
        <f>HYPERLINK("http://mini.nl","mini.nl")</f>
        <v>mini.nl</v>
      </c>
      <c r="C7860" t="s">
        <v>477</v>
      </c>
      <c r="D7860" t="s">
        <v>852</v>
      </c>
      <c r="E7860">
        <v>821413</v>
      </c>
      <c r="F7860">
        <v>7.4217657768976899E-8</v>
      </c>
      <c r="G7860">
        <v>567141</v>
      </c>
      <c r="H7860">
        <v>14233055</v>
      </c>
      <c r="I7860">
        <v>1670935</v>
      </c>
      <c r="J7860">
        <v>4</v>
      </c>
    </row>
    <row r="7861" spans="1:10" x14ac:dyDescent="0.25">
      <c r="A7861" t="s">
        <v>66</v>
      </c>
      <c r="B7861" s="1" t="str">
        <f>HYPERLINK("http://van-poelgeest.nl","van-poelgeest.nl")</f>
        <v>van-poelgeest.nl</v>
      </c>
      <c r="C7861" t="s">
        <v>477</v>
      </c>
      <c r="D7861" t="s">
        <v>852</v>
      </c>
      <c r="F7861">
        <v>4.2114794324613099E-8</v>
      </c>
      <c r="G7861">
        <v>1160197</v>
      </c>
      <c r="H7861">
        <v>12492055</v>
      </c>
      <c r="I7861">
        <v>17470052</v>
      </c>
      <c r="J7861">
        <v>4</v>
      </c>
    </row>
    <row r="7862" spans="1:10" x14ac:dyDescent="0.25">
      <c r="A7862" t="s">
        <v>66</v>
      </c>
      <c r="B7862" s="1" t="str">
        <f>HYPERLINK("http://vanharten.nl","vanharten.nl")</f>
        <v>vanharten.nl</v>
      </c>
      <c r="C7862" t="s">
        <v>477</v>
      </c>
      <c r="D7862" t="s">
        <v>852</v>
      </c>
      <c r="F7862">
        <v>1.22923971933574E-8</v>
      </c>
      <c r="G7862">
        <v>4998405</v>
      </c>
      <c r="H7862">
        <v>12989003</v>
      </c>
      <c r="I7862">
        <v>12866726</v>
      </c>
      <c r="J7862">
        <v>6</v>
      </c>
    </row>
    <row r="7863" spans="1:10" x14ac:dyDescent="0.25">
      <c r="A7863" t="s">
        <v>66</v>
      </c>
      <c r="B7863" s="1" t="str">
        <f>HYPERLINK("http://alphabet.no","alphabet.no")</f>
        <v>alphabet.no</v>
      </c>
      <c r="C7863" t="s">
        <v>478</v>
      </c>
      <c r="D7863" t="s">
        <v>853</v>
      </c>
      <c r="J7863">
        <v>2</v>
      </c>
    </row>
    <row r="7864" spans="1:10" x14ac:dyDescent="0.25">
      <c r="A7864" t="s">
        <v>66</v>
      </c>
      <c r="B7864" s="1" t="str">
        <f>HYPERLINK("http://bmw.no","bmw.no")</f>
        <v>bmw.no</v>
      </c>
      <c r="C7864" t="s">
        <v>478</v>
      </c>
      <c r="D7864" t="s">
        <v>853</v>
      </c>
      <c r="E7864">
        <v>934934</v>
      </c>
      <c r="F7864">
        <v>4.7253687174235998E-8</v>
      </c>
      <c r="G7864">
        <v>986616</v>
      </c>
      <c r="H7864">
        <v>14240784</v>
      </c>
      <c r="I7864">
        <v>1498045</v>
      </c>
      <c r="J7864">
        <v>2</v>
      </c>
    </row>
    <row r="7865" spans="1:10" x14ac:dyDescent="0.25">
      <c r="A7865" t="s">
        <v>66</v>
      </c>
      <c r="B7865" s="1" t="str">
        <f>HYPERLINK("http://bmw-motorrad.no","bmw-motorrad.no")</f>
        <v>bmw-motorrad.no</v>
      </c>
      <c r="C7865" t="s">
        <v>478</v>
      </c>
      <c r="D7865" t="s">
        <v>853</v>
      </c>
      <c r="F7865">
        <v>1.0871717102199201E-8</v>
      </c>
      <c r="G7865">
        <v>5964210</v>
      </c>
      <c r="H7865">
        <v>12274648</v>
      </c>
      <c r="I7865">
        <v>21422045</v>
      </c>
      <c r="J7865">
        <v>2</v>
      </c>
    </row>
    <row r="7866" spans="1:10" x14ac:dyDescent="0.25">
      <c r="A7866" t="s">
        <v>66</v>
      </c>
      <c r="B7866" s="1" t="str">
        <f>HYPERLINK("http://mini.no","mini.no")</f>
        <v>mini.no</v>
      </c>
      <c r="C7866" t="s">
        <v>478</v>
      </c>
      <c r="D7866" t="s">
        <v>853</v>
      </c>
      <c r="F7866">
        <v>1.35098093303939E-8</v>
      </c>
      <c r="G7866">
        <v>4399762</v>
      </c>
      <c r="H7866">
        <v>14123355</v>
      </c>
      <c r="I7866">
        <v>2177379</v>
      </c>
      <c r="J7866">
        <v>2</v>
      </c>
    </row>
    <row r="7867" spans="1:10" x14ac:dyDescent="0.25">
      <c r="A7867" t="s">
        <v>66</v>
      </c>
      <c r="B7867" s="1" t="str">
        <f>HYPERLINK("http://bmw.co.nz","bmw.co.nz")</f>
        <v>bmw.co.nz</v>
      </c>
      <c r="C7867" t="s">
        <v>479</v>
      </c>
      <c r="D7867" t="s">
        <v>854</v>
      </c>
      <c r="E7867">
        <v>842817</v>
      </c>
      <c r="F7867">
        <v>4.5214816243007597E-8</v>
      </c>
      <c r="G7867">
        <v>1043068</v>
      </c>
      <c r="H7867">
        <v>14138485</v>
      </c>
      <c r="I7867">
        <v>1946954</v>
      </c>
      <c r="J7867">
        <v>2</v>
      </c>
    </row>
    <row r="7868" spans="1:10" x14ac:dyDescent="0.25">
      <c r="A7868" t="s">
        <v>66</v>
      </c>
      <c r="B7868" s="1" t="str">
        <f>HYPERLINK("http://bmw-motorrad.co.nz","bmw-motorrad.co.nz")</f>
        <v>bmw-motorrad.co.nz</v>
      </c>
      <c r="C7868" t="s">
        <v>479</v>
      </c>
      <c r="D7868" t="s">
        <v>854</v>
      </c>
      <c r="F7868">
        <v>6.7041596105794304E-9</v>
      </c>
      <c r="G7868">
        <v>13288572</v>
      </c>
      <c r="H7868">
        <v>12177198</v>
      </c>
      <c r="I7868">
        <v>23879859</v>
      </c>
      <c r="J7868">
        <v>3</v>
      </c>
    </row>
    <row r="7869" spans="1:10" x14ac:dyDescent="0.25">
      <c r="A7869" t="s">
        <v>66</v>
      </c>
      <c r="B7869" s="1" t="str">
        <f>HYPERLINK("http://ccbmwauckland.co.nz","ccbmwauckland.co.nz")</f>
        <v>ccbmwauckland.co.nz</v>
      </c>
      <c r="C7869" t="s">
        <v>479</v>
      </c>
      <c r="D7869" t="s">
        <v>854</v>
      </c>
      <c r="F7869">
        <v>8.2210841453604308E-9</v>
      </c>
      <c r="G7869">
        <v>9473233</v>
      </c>
      <c r="H7869">
        <v>10536400</v>
      </c>
      <c r="I7869">
        <v>47512385</v>
      </c>
      <c r="J7869">
        <v>6</v>
      </c>
    </row>
    <row r="7870" spans="1:10" x14ac:dyDescent="0.25">
      <c r="A7870" t="s">
        <v>66</v>
      </c>
      <c r="B7870" s="1" t="str">
        <f>HYPERLINK("http://bmw-motorrad.pa","bmw-motorrad.pa")</f>
        <v>bmw-motorrad.pa</v>
      </c>
      <c r="C7870" t="s">
        <v>482</v>
      </c>
      <c r="D7870" t="s">
        <v>856</v>
      </c>
      <c r="F7870">
        <v>6.7318170035390996E-9</v>
      </c>
      <c r="G7870">
        <v>13190957</v>
      </c>
      <c r="H7870">
        <v>12084240</v>
      </c>
      <c r="I7870">
        <v>26457270</v>
      </c>
      <c r="J7870">
        <v>2</v>
      </c>
    </row>
    <row r="7871" spans="1:10" x14ac:dyDescent="0.25">
      <c r="A7871" t="s">
        <v>66</v>
      </c>
      <c r="B7871" s="1" t="str">
        <f>HYPERLINK("http://bmw.com.pa","bmw.com.pa")</f>
        <v>bmw.com.pa</v>
      </c>
      <c r="C7871" t="s">
        <v>482</v>
      </c>
      <c r="D7871" t="s">
        <v>856</v>
      </c>
      <c r="F7871">
        <v>1.80003482966734E-8</v>
      </c>
      <c r="G7871">
        <v>3030360</v>
      </c>
      <c r="H7871">
        <v>12545427</v>
      </c>
      <c r="I7871">
        <v>16884692</v>
      </c>
      <c r="J7871">
        <v>2</v>
      </c>
    </row>
    <row r="7872" spans="1:10" x14ac:dyDescent="0.25">
      <c r="A7872" t="s">
        <v>66</v>
      </c>
      <c r="B7872" s="1" t="str">
        <f>HYPERLINK("http://mini.com.pa","mini.com.pa")</f>
        <v>mini.com.pa</v>
      </c>
      <c r="C7872" t="s">
        <v>482</v>
      </c>
      <c r="D7872" t="s">
        <v>856</v>
      </c>
      <c r="F7872">
        <v>8.7775974522874596E-9</v>
      </c>
      <c r="G7872">
        <v>8347071</v>
      </c>
      <c r="H7872">
        <v>10417850</v>
      </c>
      <c r="I7872">
        <v>53965825</v>
      </c>
      <c r="J7872">
        <v>3</v>
      </c>
    </row>
    <row r="7873" spans="1:10" x14ac:dyDescent="0.25">
      <c r="A7873" t="s">
        <v>66</v>
      </c>
      <c r="B7873" s="1" t="str">
        <f>HYPERLINK("http://bmw.com.pe","bmw.com.pe")</f>
        <v>bmw.com.pe</v>
      </c>
      <c r="C7873" t="s">
        <v>483</v>
      </c>
      <c r="D7873" t="s">
        <v>857</v>
      </c>
      <c r="E7873">
        <v>420616</v>
      </c>
      <c r="F7873">
        <v>1.7335872950489902E-8</v>
      </c>
      <c r="G7873">
        <v>3190400</v>
      </c>
      <c r="H7873">
        <v>12435590</v>
      </c>
      <c r="I7873">
        <v>18206921</v>
      </c>
      <c r="J7873">
        <v>2</v>
      </c>
    </row>
    <row r="7874" spans="1:10" x14ac:dyDescent="0.25">
      <c r="A7874" t="s">
        <v>66</v>
      </c>
      <c r="B7874" s="1" t="str">
        <f>HYPERLINK("http://bmw-motorrad.com.pe","bmw-motorrad.com.pe")</f>
        <v>bmw-motorrad.com.pe</v>
      </c>
      <c r="C7874" t="s">
        <v>483</v>
      </c>
      <c r="D7874" t="s">
        <v>857</v>
      </c>
      <c r="E7874">
        <v>272457</v>
      </c>
      <c r="F7874">
        <v>6.79520393556159E-9</v>
      </c>
      <c r="G7874">
        <v>12976638</v>
      </c>
      <c r="H7874">
        <v>12084245</v>
      </c>
      <c r="I7874">
        <v>26457174</v>
      </c>
      <c r="J7874">
        <v>2</v>
      </c>
    </row>
    <row r="7875" spans="1:10" x14ac:dyDescent="0.25">
      <c r="A7875" t="s">
        <v>66</v>
      </c>
      <c r="B7875" s="1" t="str">
        <f>HYPERLINK("http://mini.com.pe","mini.com.pe")</f>
        <v>mini.com.pe</v>
      </c>
      <c r="C7875" t="s">
        <v>483</v>
      </c>
      <c r="D7875" t="s">
        <v>857</v>
      </c>
      <c r="F7875">
        <v>9.0759929049535007E-9</v>
      </c>
      <c r="G7875">
        <v>7881035</v>
      </c>
      <c r="H7875">
        <v>10731208</v>
      </c>
      <c r="I7875">
        <v>40870187</v>
      </c>
      <c r="J7875">
        <v>3</v>
      </c>
    </row>
    <row r="7876" spans="1:10" x14ac:dyDescent="0.25">
      <c r="A7876" t="s">
        <v>66</v>
      </c>
      <c r="B7876" s="1" t="str">
        <f>HYPERLINK("http://bmw.com.ph","bmw.com.ph")</f>
        <v>bmw.com.ph</v>
      </c>
      <c r="C7876" t="s">
        <v>484</v>
      </c>
      <c r="D7876" t="s">
        <v>858</v>
      </c>
      <c r="F7876">
        <v>2.7481515533615899E-8</v>
      </c>
      <c r="G7876">
        <v>1870671</v>
      </c>
      <c r="H7876">
        <v>14575861</v>
      </c>
      <c r="I7876">
        <v>724910</v>
      </c>
      <c r="J7876">
        <v>4</v>
      </c>
    </row>
    <row r="7877" spans="1:10" x14ac:dyDescent="0.25">
      <c r="A7877" t="s">
        <v>66</v>
      </c>
      <c r="B7877" s="1" t="str">
        <f>HYPERLINK("http://mini.com.ph","mini.com.ph")</f>
        <v>mini.com.ph</v>
      </c>
      <c r="C7877" t="s">
        <v>484</v>
      </c>
      <c r="D7877" t="s">
        <v>858</v>
      </c>
      <c r="F7877">
        <v>1.46679975437275E-8</v>
      </c>
      <c r="G7877">
        <v>3952027</v>
      </c>
      <c r="H7877">
        <v>13953254</v>
      </c>
      <c r="I7877">
        <v>4151543</v>
      </c>
      <c r="J7877">
        <v>3</v>
      </c>
    </row>
    <row r="7878" spans="1:10" x14ac:dyDescent="0.25">
      <c r="A7878" t="s">
        <v>66</v>
      </c>
      <c r="B7878" s="1" t="str">
        <f>HYPERLINK("http://alphabet.pl","alphabet.pl")</f>
        <v>alphabet.pl</v>
      </c>
      <c r="C7878" t="s">
        <v>486</v>
      </c>
      <c r="D7878" t="s">
        <v>860</v>
      </c>
      <c r="F7878">
        <v>8.7712838450624894E-9</v>
      </c>
      <c r="G7878">
        <v>8357462</v>
      </c>
      <c r="H7878">
        <v>12371692</v>
      </c>
      <c r="I7878">
        <v>19378084</v>
      </c>
      <c r="J7878">
        <v>2</v>
      </c>
    </row>
    <row r="7879" spans="1:10" x14ac:dyDescent="0.25">
      <c r="A7879" t="s">
        <v>66</v>
      </c>
      <c r="B7879" s="1" t="str">
        <f>HYPERLINK("http://bawariamotors.pl","bawariamotors.pl")</f>
        <v>bawariamotors.pl</v>
      </c>
      <c r="C7879" t="s">
        <v>486</v>
      </c>
      <c r="D7879" t="s">
        <v>860</v>
      </c>
      <c r="F7879">
        <v>3.1793916331069498E-8</v>
      </c>
      <c r="G7879">
        <v>1624290</v>
      </c>
      <c r="H7879">
        <v>12675989</v>
      </c>
      <c r="I7879">
        <v>15553217</v>
      </c>
      <c r="J7879">
        <v>6</v>
      </c>
    </row>
    <row r="7880" spans="1:10" x14ac:dyDescent="0.25">
      <c r="A7880" t="s">
        <v>66</v>
      </c>
      <c r="B7880" s="1" t="str">
        <f>HYPERLINK("http://bmw.pl","bmw.pl")</f>
        <v>bmw.pl</v>
      </c>
      <c r="C7880" t="s">
        <v>486</v>
      </c>
      <c r="D7880" t="s">
        <v>860</v>
      </c>
      <c r="E7880">
        <v>359364</v>
      </c>
      <c r="F7880">
        <v>1.08855982582832E-7</v>
      </c>
      <c r="G7880">
        <v>367545</v>
      </c>
      <c r="H7880">
        <v>14243568</v>
      </c>
      <c r="I7880">
        <v>1476618</v>
      </c>
      <c r="J7880">
        <v>2</v>
      </c>
    </row>
    <row r="7881" spans="1:10" x14ac:dyDescent="0.25">
      <c r="A7881" t="s">
        <v>66</v>
      </c>
      <c r="B7881" s="1" t="str">
        <f>HYPERLINK("http://bmw-autofus.pl","bmw-autofus.pl")</f>
        <v>bmw-autofus.pl</v>
      </c>
      <c r="C7881" t="s">
        <v>486</v>
      </c>
      <c r="D7881" t="s">
        <v>860</v>
      </c>
      <c r="F7881">
        <v>1.26452901632664E-8</v>
      </c>
      <c r="G7881">
        <v>4807356</v>
      </c>
      <c r="H7881">
        <v>11423121</v>
      </c>
      <c r="I7881">
        <v>30167024</v>
      </c>
      <c r="J7881">
        <v>6</v>
      </c>
    </row>
    <row r="7882" spans="1:10" x14ac:dyDescent="0.25">
      <c r="A7882" t="s">
        <v>66</v>
      </c>
      <c r="B7882" s="1" t="str">
        <f>HYPERLINK("http://bmw-bawariamotors.pl","bmw-bawariamotors.pl")</f>
        <v>bmw-bawariamotors.pl</v>
      </c>
      <c r="C7882" t="s">
        <v>486</v>
      </c>
      <c r="D7882" t="s">
        <v>860</v>
      </c>
      <c r="F7882">
        <v>3.0320068248416398E-8</v>
      </c>
      <c r="G7882">
        <v>1697730</v>
      </c>
      <c r="H7882">
        <v>12203768</v>
      </c>
      <c r="I7882">
        <v>23226130</v>
      </c>
      <c r="J7882">
        <v>6</v>
      </c>
    </row>
    <row r="7883" spans="1:10" x14ac:dyDescent="0.25">
      <c r="A7883" t="s">
        <v>66</v>
      </c>
      <c r="B7883" s="1" t="str">
        <f>HYPERLINK("http://bmw-bestauto.pl","bmw-bestauto.pl")</f>
        <v>bmw-bestauto.pl</v>
      </c>
      <c r="C7883" t="s">
        <v>486</v>
      </c>
      <c r="D7883" t="s">
        <v>860</v>
      </c>
      <c r="F7883">
        <v>6.8718147093622096E-9</v>
      </c>
      <c r="G7883">
        <v>12723282</v>
      </c>
      <c r="H7883">
        <v>12478065</v>
      </c>
      <c r="I7883">
        <v>17616732</v>
      </c>
      <c r="J7883">
        <v>6</v>
      </c>
    </row>
    <row r="7884" spans="1:10" x14ac:dyDescent="0.25">
      <c r="A7884" t="s">
        <v>66</v>
      </c>
      <c r="B7884" s="1" t="str">
        <f>HYPERLINK("http://bmw-gazda.pl","bmw-gazda.pl")</f>
        <v>bmw-gazda.pl</v>
      </c>
      <c r="C7884" t="s">
        <v>486</v>
      </c>
      <c r="D7884" t="s">
        <v>860</v>
      </c>
      <c r="F7884">
        <v>6.6292937013270602E-9</v>
      </c>
      <c r="G7884">
        <v>13562701</v>
      </c>
      <c r="H7884">
        <v>12449229</v>
      </c>
      <c r="I7884">
        <v>18029175</v>
      </c>
      <c r="J7884">
        <v>6</v>
      </c>
    </row>
    <row r="7885" spans="1:10" x14ac:dyDescent="0.25">
      <c r="A7885" t="s">
        <v>66</v>
      </c>
      <c r="B7885" s="1" t="str">
        <f>HYPERLINK("http://bmw-motorrad.pl","bmw-motorrad.pl")</f>
        <v>bmw-motorrad.pl</v>
      </c>
      <c r="C7885" t="s">
        <v>486</v>
      </c>
      <c r="D7885" t="s">
        <v>860</v>
      </c>
      <c r="F7885">
        <v>3.99785566077193E-8</v>
      </c>
      <c r="G7885">
        <v>1292982</v>
      </c>
      <c r="H7885">
        <v>12490745</v>
      </c>
      <c r="I7885">
        <v>17481789</v>
      </c>
      <c r="J7885">
        <v>2</v>
      </c>
    </row>
    <row r="7886" spans="1:10" x14ac:dyDescent="0.25">
      <c r="A7886" t="s">
        <v>66</v>
      </c>
      <c r="B7886" s="1" t="str">
        <f>HYPERLINK("http://bmw-sikora.pl","bmw-sikora.pl")</f>
        <v>bmw-sikora.pl</v>
      </c>
      <c r="C7886" t="s">
        <v>486</v>
      </c>
      <c r="D7886" t="s">
        <v>860</v>
      </c>
      <c r="F7886">
        <v>1.5109511479506901E-8</v>
      </c>
      <c r="G7886">
        <v>3804641</v>
      </c>
      <c r="H7886">
        <v>12692195</v>
      </c>
      <c r="I7886">
        <v>15405152</v>
      </c>
      <c r="J7886">
        <v>6</v>
      </c>
    </row>
    <row r="7887" spans="1:10" x14ac:dyDescent="0.25">
      <c r="A7887" t="s">
        <v>66</v>
      </c>
      <c r="B7887" s="1" t="str">
        <f>HYPERLINK("http://bmw-zkmotors.pl","bmw-zkmotors.pl")</f>
        <v>bmw-zkmotors.pl</v>
      </c>
      <c r="C7887" t="s">
        <v>486</v>
      </c>
      <c r="D7887" t="s">
        <v>860</v>
      </c>
      <c r="F7887">
        <v>6.0301935488927796E-9</v>
      </c>
      <c r="G7887">
        <v>16498599</v>
      </c>
      <c r="H7887">
        <v>11317582</v>
      </c>
      <c r="I7887">
        <v>30520500</v>
      </c>
      <c r="J7887">
        <v>6</v>
      </c>
    </row>
    <row r="7888" spans="1:10" x14ac:dyDescent="0.25">
      <c r="A7888" t="s">
        <v>66</v>
      </c>
      <c r="B7888" s="1" t="str">
        <f>HYPERLINK("http://alphabet.com.pl","alphabet.com.pl")</f>
        <v>alphabet.com.pl</v>
      </c>
      <c r="C7888" t="s">
        <v>486</v>
      </c>
      <c r="D7888" t="s">
        <v>860</v>
      </c>
      <c r="J7888">
        <v>2</v>
      </c>
    </row>
    <row r="7889" spans="1:10" x14ac:dyDescent="0.25">
      <c r="A7889" t="s">
        <v>66</v>
      </c>
      <c r="B7889" s="1" t="str">
        <f>HYPERLINK("http://mini.com.pl","mini.com.pl")</f>
        <v>mini.com.pl</v>
      </c>
      <c r="C7889" t="s">
        <v>486</v>
      </c>
      <c r="D7889" t="s">
        <v>860</v>
      </c>
      <c r="F7889">
        <v>5.1763199703885602E-8</v>
      </c>
      <c r="G7889">
        <v>882918</v>
      </c>
      <c r="H7889">
        <v>14069169</v>
      </c>
      <c r="I7889">
        <v>3721319</v>
      </c>
      <c r="J7889">
        <v>2</v>
      </c>
    </row>
    <row r="7890" spans="1:10" x14ac:dyDescent="0.25">
      <c r="A7890" t="s">
        <v>66</v>
      </c>
      <c r="B7890" s="1" t="str">
        <f>HYPERLINK("http://gazdagroupdabrowa.pl","gazdagroupdabrowa.pl")</f>
        <v>gazdagroupdabrowa.pl</v>
      </c>
      <c r="C7890" t="s">
        <v>486</v>
      </c>
      <c r="D7890" t="s">
        <v>860</v>
      </c>
      <c r="F7890">
        <v>4.6225937873276896E-9</v>
      </c>
      <c r="G7890">
        <v>45956771</v>
      </c>
      <c r="H7890">
        <v>8452104</v>
      </c>
      <c r="I7890">
        <v>72519294</v>
      </c>
      <c r="J7890">
        <v>6</v>
      </c>
    </row>
    <row r="7891" spans="1:10" x14ac:dyDescent="0.25">
      <c r="A7891" t="s">
        <v>66</v>
      </c>
      <c r="B7891" s="1" t="str">
        <f>HYPERLINK("http://mini-bawariamotors.pl","mini-bawariamotors.pl")</f>
        <v>mini-bawariamotors.pl</v>
      </c>
      <c r="C7891" t="s">
        <v>486</v>
      </c>
      <c r="D7891" t="s">
        <v>860</v>
      </c>
      <c r="J7891">
        <v>4</v>
      </c>
    </row>
    <row r="7892" spans="1:10" x14ac:dyDescent="0.25">
      <c r="A7892" t="s">
        <v>66</v>
      </c>
      <c r="B7892" s="1" t="str">
        <f>HYPERLINK("http://mini-dobrzanski.pl","mini-dobrzanski.pl")</f>
        <v>mini-dobrzanski.pl</v>
      </c>
      <c r="C7892" t="s">
        <v>486</v>
      </c>
      <c r="D7892" t="s">
        <v>860</v>
      </c>
      <c r="F7892">
        <v>4.5805703651449699E-9</v>
      </c>
      <c r="G7892">
        <v>49242348</v>
      </c>
      <c r="H7892">
        <v>10729056</v>
      </c>
      <c r="I7892">
        <v>41005413</v>
      </c>
      <c r="J7892">
        <v>4</v>
      </c>
    </row>
    <row r="7893" spans="1:10" x14ac:dyDescent="0.25">
      <c r="A7893" t="s">
        <v>66</v>
      </c>
      <c r="B7893" s="1" t="str">
        <f>HYPERLINK("http://sklepbawariamotors.pl","sklepbawariamotors.pl")</f>
        <v>sklepbawariamotors.pl</v>
      </c>
      <c r="C7893" t="s">
        <v>486</v>
      </c>
      <c r="D7893" t="s">
        <v>860</v>
      </c>
      <c r="F7893">
        <v>4.4452720223400499E-9</v>
      </c>
      <c r="G7893">
        <v>75451318</v>
      </c>
      <c r="H7893">
        <v>10455748</v>
      </c>
      <c r="I7893">
        <v>51969961</v>
      </c>
      <c r="J7893">
        <v>9</v>
      </c>
    </row>
    <row r="7894" spans="1:10" x14ac:dyDescent="0.25">
      <c r="A7894" t="s">
        <v>66</v>
      </c>
      <c r="B7894" s="1" t="str">
        <f>HYPERLINK("http://alphabet.pt","alphabet.pt")</f>
        <v>alphabet.pt</v>
      </c>
      <c r="C7894" t="s">
        <v>488</v>
      </c>
      <c r="D7894" t="s">
        <v>862</v>
      </c>
      <c r="J7894">
        <v>2</v>
      </c>
    </row>
    <row r="7895" spans="1:10" x14ac:dyDescent="0.25">
      <c r="A7895" t="s">
        <v>66</v>
      </c>
      <c r="B7895" s="1" t="str">
        <f>HYPERLINK("http://bavieira.pt","bavieira.pt")</f>
        <v>bavieira.pt</v>
      </c>
      <c r="C7895" t="s">
        <v>488</v>
      </c>
      <c r="D7895" t="s">
        <v>862</v>
      </c>
      <c r="J7895">
        <v>4</v>
      </c>
    </row>
    <row r="7896" spans="1:10" x14ac:dyDescent="0.25">
      <c r="A7896" t="s">
        <v>66</v>
      </c>
      <c r="B7896" s="1" t="str">
        <f>HYPERLINK("http://bmw.pt","bmw.pt")</f>
        <v>bmw.pt</v>
      </c>
      <c r="C7896" t="s">
        <v>488</v>
      </c>
      <c r="D7896" t="s">
        <v>862</v>
      </c>
      <c r="E7896">
        <v>688285</v>
      </c>
      <c r="F7896">
        <v>6.0302359258019204E-8</v>
      </c>
      <c r="G7896">
        <v>731507</v>
      </c>
      <c r="H7896">
        <v>14243628</v>
      </c>
      <c r="I7896">
        <v>1476287</v>
      </c>
      <c r="J7896">
        <v>2</v>
      </c>
    </row>
    <row r="7897" spans="1:10" x14ac:dyDescent="0.25">
      <c r="A7897" t="s">
        <v>66</v>
      </c>
      <c r="B7897" s="1" t="str">
        <f>HYPERLINK("http://bmw-motorrad.pt","bmw-motorrad.pt")</f>
        <v>bmw-motorrad.pt</v>
      </c>
      <c r="C7897" t="s">
        <v>488</v>
      </c>
      <c r="D7897" t="s">
        <v>862</v>
      </c>
      <c r="F7897">
        <v>1.7977192473489198E-8</v>
      </c>
      <c r="G7897">
        <v>3037403</v>
      </c>
      <c r="H7897">
        <v>13766841</v>
      </c>
      <c r="I7897">
        <v>6972077</v>
      </c>
      <c r="J7897">
        <v>2</v>
      </c>
    </row>
    <row r="7898" spans="1:10" x14ac:dyDescent="0.25">
      <c r="A7898" t="s">
        <v>66</v>
      </c>
      <c r="B7898" s="1" t="str">
        <f>HYPERLINK("http://alphabet.com.pt","alphabet.com.pt")</f>
        <v>alphabet.com.pt</v>
      </c>
      <c r="C7898" t="s">
        <v>488</v>
      </c>
      <c r="D7898" t="s">
        <v>862</v>
      </c>
      <c r="J7898">
        <v>2</v>
      </c>
    </row>
    <row r="7899" spans="1:10" x14ac:dyDescent="0.25">
      <c r="A7899" t="s">
        <v>66</v>
      </c>
      <c r="B7899" s="1" t="str">
        <f>HYPERLINK("http://sconrado.pt","sconrado.pt")</f>
        <v>sconrado.pt</v>
      </c>
      <c r="C7899" t="s">
        <v>488</v>
      </c>
      <c r="D7899" t="s">
        <v>862</v>
      </c>
      <c r="F7899">
        <v>4.4724799896381701E-9</v>
      </c>
      <c r="G7899">
        <v>63965341</v>
      </c>
      <c r="H7899">
        <v>10970853</v>
      </c>
      <c r="I7899">
        <v>34128065</v>
      </c>
      <c r="J7899">
        <v>6</v>
      </c>
    </row>
    <row r="7900" spans="1:10" x14ac:dyDescent="0.25">
      <c r="A7900" t="s">
        <v>66</v>
      </c>
      <c r="B7900" s="1" t="str">
        <f>HYPERLINK("http://bmw.com.py","bmw.com.py")</f>
        <v>bmw.com.py</v>
      </c>
      <c r="C7900" t="s">
        <v>489</v>
      </c>
      <c r="D7900" t="s">
        <v>863</v>
      </c>
      <c r="F7900">
        <v>1.7376099282094299E-8</v>
      </c>
      <c r="G7900">
        <v>3180744</v>
      </c>
      <c r="H7900">
        <v>12639199</v>
      </c>
      <c r="I7900">
        <v>15882691</v>
      </c>
      <c r="J7900">
        <v>2</v>
      </c>
    </row>
    <row r="7901" spans="1:10" x14ac:dyDescent="0.25">
      <c r="A7901" t="s">
        <v>66</v>
      </c>
      <c r="B7901" s="1" t="str">
        <f>HYPERLINK("http://bmw-motorrad.com.py","bmw-motorrad.com.py")</f>
        <v>bmw-motorrad.com.py</v>
      </c>
      <c r="C7901" t="s">
        <v>489</v>
      </c>
      <c r="D7901" t="s">
        <v>863</v>
      </c>
      <c r="F7901">
        <v>7.7699747676633208E-9</v>
      </c>
      <c r="G7901">
        <v>10391315</v>
      </c>
      <c r="H7901">
        <v>12400712</v>
      </c>
      <c r="I7901">
        <v>18769015</v>
      </c>
      <c r="J7901">
        <v>2</v>
      </c>
    </row>
    <row r="7902" spans="1:10" x14ac:dyDescent="0.25">
      <c r="A7902" t="s">
        <v>66</v>
      </c>
      <c r="B7902" s="1" t="str">
        <f>HYPERLINK("http://mini.com.py","mini.com.py")</f>
        <v>mini.com.py</v>
      </c>
      <c r="C7902" t="s">
        <v>489</v>
      </c>
      <c r="D7902" t="s">
        <v>863</v>
      </c>
      <c r="F7902">
        <v>8.6333906370840097E-9</v>
      </c>
      <c r="G7902">
        <v>8596318</v>
      </c>
      <c r="H7902">
        <v>10410883</v>
      </c>
      <c r="I7902">
        <v>54043665</v>
      </c>
      <c r="J7902">
        <v>4</v>
      </c>
    </row>
    <row r="7903" spans="1:10" x14ac:dyDescent="0.25">
      <c r="A7903" t="s">
        <v>66</v>
      </c>
      <c r="B7903" s="1" t="str">
        <f>HYPERLINK("http://bmw.re","bmw.re")</f>
        <v>bmw.re</v>
      </c>
      <c r="C7903" t="s">
        <v>575</v>
      </c>
      <c r="D7903" t="s">
        <v>920</v>
      </c>
      <c r="E7903">
        <v>792927</v>
      </c>
      <c r="F7903">
        <v>1.89276519415571E-8</v>
      </c>
      <c r="G7903">
        <v>2848613</v>
      </c>
      <c r="H7903">
        <v>12439457</v>
      </c>
      <c r="I7903">
        <v>18150735</v>
      </c>
      <c r="J7903">
        <v>3</v>
      </c>
    </row>
    <row r="7904" spans="1:10" x14ac:dyDescent="0.25">
      <c r="A7904" t="s">
        <v>66</v>
      </c>
      <c r="B7904" s="1" t="str">
        <f>HYPERLINK("http://mini.re","mini.re")</f>
        <v>mini.re</v>
      </c>
      <c r="C7904" t="s">
        <v>575</v>
      </c>
      <c r="D7904" t="s">
        <v>920</v>
      </c>
      <c r="F7904">
        <v>6.5165336813732698E-9</v>
      </c>
      <c r="G7904">
        <v>14009508</v>
      </c>
      <c r="H7904">
        <v>10369678</v>
      </c>
      <c r="I7904">
        <v>54878859</v>
      </c>
      <c r="J7904">
        <v>3</v>
      </c>
    </row>
    <row r="7905" spans="1:10" x14ac:dyDescent="0.25">
      <c r="A7905" t="s">
        <v>66</v>
      </c>
      <c r="B7905" s="1" t="str">
        <f>HYPERLINK("http://bmw.ro","bmw.ro")</f>
        <v>bmw.ro</v>
      </c>
      <c r="C7905" t="s">
        <v>491</v>
      </c>
      <c r="D7905" t="s">
        <v>865</v>
      </c>
      <c r="E7905">
        <v>833598</v>
      </c>
      <c r="F7905">
        <v>4.70662602487081E-8</v>
      </c>
      <c r="G7905">
        <v>991391</v>
      </c>
      <c r="H7905">
        <v>13781307</v>
      </c>
      <c r="I7905">
        <v>6460002</v>
      </c>
      <c r="J7905">
        <v>2</v>
      </c>
    </row>
    <row r="7906" spans="1:10" x14ac:dyDescent="0.25">
      <c r="A7906" t="s">
        <v>66</v>
      </c>
      <c r="B7906" s="1" t="str">
        <f>HYPERLINK("http://bmw-apan.ro","bmw-apan.ro")</f>
        <v>bmw-apan.ro</v>
      </c>
      <c r="C7906" t="s">
        <v>491</v>
      </c>
      <c r="D7906" t="s">
        <v>865</v>
      </c>
      <c r="F7906">
        <v>8.8846835988395995E-9</v>
      </c>
      <c r="G7906">
        <v>8169369</v>
      </c>
      <c r="H7906">
        <v>10912924</v>
      </c>
      <c r="I7906">
        <v>35558686</v>
      </c>
      <c r="J7906">
        <v>6</v>
      </c>
    </row>
    <row r="7907" spans="1:10" x14ac:dyDescent="0.25">
      <c r="A7907" t="s">
        <v>66</v>
      </c>
      <c r="B7907" s="1" t="str">
        <f>HYPERLINK("http://bmw-motorrad.ro","bmw-motorrad.ro")</f>
        <v>bmw-motorrad.ro</v>
      </c>
      <c r="C7907" t="s">
        <v>491</v>
      </c>
      <c r="D7907" t="s">
        <v>865</v>
      </c>
      <c r="F7907">
        <v>1.6786888268771899E-8</v>
      </c>
      <c r="G7907">
        <v>3336536</v>
      </c>
      <c r="H7907">
        <v>12453466</v>
      </c>
      <c r="I7907">
        <v>17955854</v>
      </c>
      <c r="J7907">
        <v>2</v>
      </c>
    </row>
    <row r="7908" spans="1:10" x14ac:dyDescent="0.25">
      <c r="A7908" t="s">
        <v>66</v>
      </c>
      <c r="B7908" s="1" t="str">
        <f>HYPERLINK("http://bmw-motorrad-motohub.ro","bmw-motorrad-motohub.ro")</f>
        <v>bmw-motorrad-motohub.ro</v>
      </c>
      <c r="C7908" t="s">
        <v>491</v>
      </c>
      <c r="D7908" t="s">
        <v>865</v>
      </c>
      <c r="F7908">
        <v>5.3730183808846597E-9</v>
      </c>
      <c r="G7908">
        <v>22503967</v>
      </c>
      <c r="H7908">
        <v>10824646</v>
      </c>
      <c r="I7908">
        <v>37512683</v>
      </c>
      <c r="J7908">
        <v>6</v>
      </c>
    </row>
    <row r="7909" spans="1:10" x14ac:dyDescent="0.25">
      <c r="A7909" t="s">
        <v>66</v>
      </c>
      <c r="B7909" s="1" t="str">
        <f>HYPERLINK("http://bmw.rs","bmw.rs")</f>
        <v>bmw.rs</v>
      </c>
      <c r="C7909" t="s">
        <v>492</v>
      </c>
      <c r="D7909" t="s">
        <v>866</v>
      </c>
      <c r="E7909">
        <v>828227</v>
      </c>
      <c r="F7909">
        <v>2.83461420866924E-8</v>
      </c>
      <c r="G7909">
        <v>1815523</v>
      </c>
      <c r="H7909">
        <v>13111017</v>
      </c>
      <c r="I7909">
        <v>12032762</v>
      </c>
      <c r="J7909">
        <v>4</v>
      </c>
    </row>
    <row r="7910" spans="1:10" x14ac:dyDescent="0.25">
      <c r="A7910" t="s">
        <v>66</v>
      </c>
      <c r="B7910" s="1" t="str">
        <f>HYPERLINK("http://bmw-motorrad.rs","bmw-motorrad.rs")</f>
        <v>bmw-motorrad.rs</v>
      </c>
      <c r="C7910" t="s">
        <v>492</v>
      </c>
      <c r="D7910" t="s">
        <v>866</v>
      </c>
      <c r="F7910">
        <v>7.8726099389795994E-9</v>
      </c>
      <c r="G7910">
        <v>10166531</v>
      </c>
      <c r="H7910">
        <v>12086579</v>
      </c>
      <c r="I7910">
        <v>26367159</v>
      </c>
      <c r="J7910">
        <v>2</v>
      </c>
    </row>
    <row r="7911" spans="1:10" x14ac:dyDescent="0.25">
      <c r="A7911" t="s">
        <v>66</v>
      </c>
      <c r="B7911" s="1" t="str">
        <f>HYPERLINK("http://bmw.ru","bmw.ru")</f>
        <v>bmw.ru</v>
      </c>
      <c r="C7911" t="s">
        <v>493</v>
      </c>
      <c r="D7911" t="s">
        <v>867</v>
      </c>
      <c r="E7911">
        <v>178241</v>
      </c>
      <c r="F7911">
        <v>2.7311160042221E-7</v>
      </c>
      <c r="G7911">
        <v>136197</v>
      </c>
      <c r="H7911">
        <v>14380112</v>
      </c>
      <c r="I7911">
        <v>1196237</v>
      </c>
      <c r="J7911">
        <v>2</v>
      </c>
    </row>
    <row r="7912" spans="1:10" x14ac:dyDescent="0.25">
      <c r="A7912" t="s">
        <v>66</v>
      </c>
      <c r="B7912" s="1" t="str">
        <f>HYPERLINK("http://bmw-advance.ru","bmw-advance.ru")</f>
        <v>bmw-advance.ru</v>
      </c>
      <c r="C7912" t="s">
        <v>493</v>
      </c>
      <c r="D7912" t="s">
        <v>867</v>
      </c>
      <c r="F7912">
        <v>8.7371309435718094E-9</v>
      </c>
      <c r="G7912">
        <v>8414575</v>
      </c>
      <c r="H7912">
        <v>13471035</v>
      </c>
      <c r="I7912">
        <v>10034042</v>
      </c>
      <c r="J7912">
        <v>6</v>
      </c>
    </row>
    <row r="7913" spans="1:10" x14ac:dyDescent="0.25">
      <c r="A7913" t="s">
        <v>66</v>
      </c>
      <c r="B7913" s="1" t="str">
        <f>HYPERLINK("http://bmw-atlas.ru","bmw-atlas.ru")</f>
        <v>bmw-atlas.ru</v>
      </c>
      <c r="C7913" t="s">
        <v>493</v>
      </c>
      <c r="D7913" t="s">
        <v>867</v>
      </c>
      <c r="F7913">
        <v>1.3779385479799E-8</v>
      </c>
      <c r="G7913">
        <v>4289666</v>
      </c>
      <c r="H7913">
        <v>12884338</v>
      </c>
      <c r="I7913">
        <v>13971765</v>
      </c>
      <c r="J7913">
        <v>6</v>
      </c>
    </row>
    <row r="7914" spans="1:10" x14ac:dyDescent="0.25">
      <c r="A7914" t="s">
        <v>66</v>
      </c>
      <c r="B7914" s="1" t="str">
        <f>HYPERLINK("http://bmw-avtodom.ru","bmw-avtodom.ru")</f>
        <v>bmw-avtodom.ru</v>
      </c>
      <c r="C7914" t="s">
        <v>493</v>
      </c>
      <c r="D7914" t="s">
        <v>867</v>
      </c>
      <c r="F7914">
        <v>1.9360842978862601E-8</v>
      </c>
      <c r="G7914">
        <v>2769291</v>
      </c>
      <c r="H7914">
        <v>13150800</v>
      </c>
      <c r="I7914">
        <v>11824912</v>
      </c>
      <c r="J7914">
        <v>6</v>
      </c>
    </row>
    <row r="7915" spans="1:10" x14ac:dyDescent="0.25">
      <c r="A7915" t="s">
        <v>66</v>
      </c>
      <c r="B7915" s="1" t="str">
        <f>HYPERLINK("http://bmw-grandauto.ru","bmw-grandauto.ru")</f>
        <v>bmw-grandauto.ru</v>
      </c>
      <c r="C7915" t="s">
        <v>493</v>
      </c>
      <c r="D7915" t="s">
        <v>867</v>
      </c>
      <c r="F7915">
        <v>7.8942600725055103E-9</v>
      </c>
      <c r="G7915">
        <v>10123225</v>
      </c>
      <c r="H7915">
        <v>10706383</v>
      </c>
      <c r="I7915">
        <v>42220461</v>
      </c>
      <c r="J7915">
        <v>6</v>
      </c>
    </row>
    <row r="7916" spans="1:10" x14ac:dyDescent="0.25">
      <c r="A7916" t="s">
        <v>66</v>
      </c>
      <c r="B7916" s="1" t="str">
        <f>HYPERLINK("http://bmw-motorrad.ru","bmw-motorrad.ru")</f>
        <v>bmw-motorrad.ru</v>
      </c>
      <c r="C7916" t="s">
        <v>493</v>
      </c>
      <c r="D7916" t="s">
        <v>867</v>
      </c>
      <c r="F7916">
        <v>2.7060882724625101E-8</v>
      </c>
      <c r="G7916">
        <v>1900529</v>
      </c>
      <c r="H7916">
        <v>12954781</v>
      </c>
      <c r="I7916">
        <v>13189688</v>
      </c>
      <c r="J7916">
        <v>2</v>
      </c>
    </row>
    <row r="7917" spans="1:10" x14ac:dyDescent="0.25">
      <c r="A7917" t="s">
        <v>66</v>
      </c>
      <c r="B7917" s="1" t="str">
        <f>HYPERLINK("http://bmw-tts.ru","bmw-tts.ru")</f>
        <v>bmw-tts.ru</v>
      </c>
      <c r="C7917" t="s">
        <v>493</v>
      </c>
      <c r="D7917" t="s">
        <v>867</v>
      </c>
      <c r="F7917">
        <v>1.13788850858465E-8</v>
      </c>
      <c r="G7917">
        <v>5588484</v>
      </c>
      <c r="H7917">
        <v>12952270</v>
      </c>
      <c r="I7917">
        <v>13200837</v>
      </c>
      <c r="J7917">
        <v>6</v>
      </c>
    </row>
    <row r="7918" spans="1:10" x14ac:dyDescent="0.25">
      <c r="A7918" t="s">
        <v>66</v>
      </c>
      <c r="B7918" s="1" t="str">
        <f>HYPERLINK("http://bmw-yakimanka.ru","bmw-yakimanka.ru")</f>
        <v>bmw-yakimanka.ru</v>
      </c>
      <c r="C7918" t="s">
        <v>493</v>
      </c>
      <c r="D7918" t="s">
        <v>867</v>
      </c>
      <c r="F7918">
        <v>4.8475529599698296E-9</v>
      </c>
      <c r="G7918">
        <v>34224107</v>
      </c>
      <c r="H7918">
        <v>10806432</v>
      </c>
      <c r="I7918">
        <v>37974053</v>
      </c>
      <c r="J7918">
        <v>6</v>
      </c>
    </row>
    <row r="7919" spans="1:10" x14ac:dyDescent="0.25">
      <c r="A7919" t="s">
        <v>66</v>
      </c>
      <c r="B7919" s="1" t="str">
        <f>HYPERLINK("http://mini-avtodom.ru","mini-avtodom.ru")</f>
        <v>mini-avtodom.ru</v>
      </c>
      <c r="C7919" t="s">
        <v>493</v>
      </c>
      <c r="D7919" t="s">
        <v>867</v>
      </c>
      <c r="F7919">
        <v>1.28629625005143E-8</v>
      </c>
      <c r="G7919">
        <v>4697847</v>
      </c>
      <c r="H7919">
        <v>11366512</v>
      </c>
      <c r="I7919">
        <v>30339266</v>
      </c>
      <c r="J7919">
        <v>6</v>
      </c>
    </row>
    <row r="7920" spans="1:10" x14ac:dyDescent="0.25">
      <c r="A7920" t="s">
        <v>66</v>
      </c>
      <c r="B7920" s="1" t="str">
        <f>HYPERLINK("http://moto-avtodom.ru","moto-avtodom.ru")</f>
        <v>moto-avtodom.ru</v>
      </c>
      <c r="C7920" t="s">
        <v>493</v>
      </c>
      <c r="D7920" t="s">
        <v>867</v>
      </c>
      <c r="F7920">
        <v>1.1299814378829899E-8</v>
      </c>
      <c r="G7920">
        <v>5642530</v>
      </c>
      <c r="H7920">
        <v>12201427</v>
      </c>
      <c r="I7920">
        <v>23283311</v>
      </c>
      <c r="J7920">
        <v>6</v>
      </c>
    </row>
    <row r="7921" spans="1:10" x14ac:dyDescent="0.25">
      <c r="A7921" t="s">
        <v>66</v>
      </c>
      <c r="B7921" s="1" t="str">
        <f>HYPERLINK("http://profiserviceclub.ru","profiserviceclub.ru")</f>
        <v>profiserviceclub.ru</v>
      </c>
      <c r="C7921" t="s">
        <v>493</v>
      </c>
      <c r="D7921" t="s">
        <v>867</v>
      </c>
      <c r="F7921">
        <v>9.2078207978182297E-9</v>
      </c>
      <c r="G7921">
        <v>7699585</v>
      </c>
      <c r="H7921">
        <v>12134537</v>
      </c>
      <c r="I7921">
        <v>25013827</v>
      </c>
      <c r="J7921">
        <v>6</v>
      </c>
    </row>
    <row r="7922" spans="1:10" x14ac:dyDescent="0.25">
      <c r="A7922" t="s">
        <v>66</v>
      </c>
      <c r="B7922" s="1" t="str">
        <f>HYPERLINK("http://bmw-motorrad.sa","bmw-motorrad.sa")</f>
        <v>bmw-motorrad.sa</v>
      </c>
      <c r="C7922" t="s">
        <v>494</v>
      </c>
      <c r="D7922" t="s">
        <v>868</v>
      </c>
      <c r="F7922">
        <v>6.7104578244283398E-9</v>
      </c>
      <c r="G7922">
        <v>13266617</v>
      </c>
      <c r="H7922">
        <v>12084251</v>
      </c>
      <c r="I7922">
        <v>26457077</v>
      </c>
      <c r="J7922">
        <v>2</v>
      </c>
    </row>
    <row r="7923" spans="1:10" x14ac:dyDescent="0.25">
      <c r="A7923" t="s">
        <v>66</v>
      </c>
      <c r="B7923" s="1" t="str">
        <f>HYPERLINK("http://bmw.se","bmw.se")</f>
        <v>bmw.se</v>
      </c>
      <c r="C7923" t="s">
        <v>495</v>
      </c>
      <c r="D7923" t="s">
        <v>869</v>
      </c>
      <c r="E7923">
        <v>559644</v>
      </c>
      <c r="F7923">
        <v>9.3876413722823204E-8</v>
      </c>
      <c r="G7923">
        <v>432593</v>
      </c>
      <c r="H7923">
        <v>14492235</v>
      </c>
      <c r="I7923">
        <v>896400</v>
      </c>
      <c r="J7923">
        <v>2</v>
      </c>
    </row>
    <row r="7924" spans="1:10" x14ac:dyDescent="0.25">
      <c r="A7924" t="s">
        <v>66</v>
      </c>
      <c r="B7924" s="1" t="str">
        <f>HYPERLINK("http://bmw-motorrad.se","bmw-motorrad.se")</f>
        <v>bmw-motorrad.se</v>
      </c>
      <c r="C7924" t="s">
        <v>495</v>
      </c>
      <c r="D7924" t="s">
        <v>869</v>
      </c>
      <c r="F7924">
        <v>2.04835195073868E-8</v>
      </c>
      <c r="G7924">
        <v>2587004</v>
      </c>
      <c r="H7924">
        <v>12931437</v>
      </c>
      <c r="I7924">
        <v>13360770</v>
      </c>
      <c r="J7924">
        <v>2</v>
      </c>
    </row>
    <row r="7925" spans="1:10" x14ac:dyDescent="0.25">
      <c r="A7925" t="s">
        <v>66</v>
      </c>
      <c r="B7925" s="1" t="str">
        <f>HYPERLINK("http://mini.se","mini.se")</f>
        <v>mini.se</v>
      </c>
      <c r="C7925" t="s">
        <v>495</v>
      </c>
      <c r="D7925" t="s">
        <v>869</v>
      </c>
      <c r="F7925">
        <v>2.7537383723648302E-8</v>
      </c>
      <c r="G7925">
        <v>1866847</v>
      </c>
      <c r="H7925">
        <v>14121155</v>
      </c>
      <c r="I7925">
        <v>2273582</v>
      </c>
      <c r="J7925">
        <v>2</v>
      </c>
    </row>
    <row r="7926" spans="1:10" x14ac:dyDescent="0.25">
      <c r="A7926" t="s">
        <v>66</v>
      </c>
      <c r="B7926" s="1" t="str">
        <f>HYPERLINK("http://mini-connected.se","mini-connected.se")</f>
        <v>mini-connected.se</v>
      </c>
      <c r="C7926" t="s">
        <v>495</v>
      </c>
      <c r="D7926" t="s">
        <v>869</v>
      </c>
      <c r="F7926">
        <v>4.9214932628471099E-9</v>
      </c>
      <c r="G7926">
        <v>31641018</v>
      </c>
      <c r="H7926">
        <v>10529274</v>
      </c>
      <c r="I7926">
        <v>48472068</v>
      </c>
      <c r="J7926">
        <v>4</v>
      </c>
    </row>
    <row r="7927" spans="1:10" x14ac:dyDescent="0.25">
      <c r="A7927" t="s">
        <v>66</v>
      </c>
      <c r="B7927" s="1" t="str">
        <f>HYPERLINK("http://paulssonsbil.se","paulssonsbil.se")</f>
        <v>paulssonsbil.se</v>
      </c>
      <c r="C7927" t="s">
        <v>495</v>
      </c>
      <c r="D7927" t="s">
        <v>869</v>
      </c>
      <c r="F7927">
        <v>5.1086594725133096E-9</v>
      </c>
      <c r="G7927">
        <v>26879245</v>
      </c>
      <c r="H7927">
        <v>7085133.5</v>
      </c>
      <c r="I7927">
        <v>76677789</v>
      </c>
      <c r="J7927">
        <v>4</v>
      </c>
    </row>
    <row r="7928" spans="1:10" x14ac:dyDescent="0.25">
      <c r="A7928" t="s">
        <v>66</v>
      </c>
      <c r="B7928" s="1" t="str">
        <f>HYPERLINK("http://bmw.com.sg","bmw.com.sg")</f>
        <v>bmw.com.sg</v>
      </c>
      <c r="C7928" t="s">
        <v>496</v>
      </c>
      <c r="D7928" t="s">
        <v>870</v>
      </c>
      <c r="E7928">
        <v>407741</v>
      </c>
      <c r="F7928">
        <v>8.0859414174939597E-8</v>
      </c>
      <c r="G7928">
        <v>516368</v>
      </c>
      <c r="H7928">
        <v>14527593</v>
      </c>
      <c r="I7928">
        <v>791533</v>
      </c>
      <c r="J7928">
        <v>4</v>
      </c>
    </row>
    <row r="7929" spans="1:10" x14ac:dyDescent="0.25">
      <c r="A7929" t="s">
        <v>66</v>
      </c>
      <c r="B7929" s="1" t="str">
        <f>HYPERLINK("http://avto-aktiv.si","avto-aktiv.si")</f>
        <v>avto-aktiv.si</v>
      </c>
      <c r="C7929" t="s">
        <v>497</v>
      </c>
      <c r="D7929" t="s">
        <v>871</v>
      </c>
      <c r="F7929">
        <v>8.6786184294791308E-9</v>
      </c>
      <c r="G7929">
        <v>8515143</v>
      </c>
      <c r="H7929">
        <v>12574992</v>
      </c>
      <c r="I7929">
        <v>16566199</v>
      </c>
      <c r="J7929">
        <v>6</v>
      </c>
    </row>
    <row r="7930" spans="1:10" x14ac:dyDescent="0.25">
      <c r="A7930" t="s">
        <v>66</v>
      </c>
      <c r="B7930" s="1" t="str">
        <f>HYPERLINK("http://bmw.si","bmw.si")</f>
        <v>bmw.si</v>
      </c>
      <c r="C7930" t="s">
        <v>497</v>
      </c>
      <c r="D7930" t="s">
        <v>871</v>
      </c>
      <c r="F7930">
        <v>5.2409498713282901E-8</v>
      </c>
      <c r="G7930">
        <v>870299</v>
      </c>
      <c r="H7930">
        <v>14073638</v>
      </c>
      <c r="I7930">
        <v>2981049</v>
      </c>
      <c r="J7930">
        <v>2</v>
      </c>
    </row>
    <row r="7931" spans="1:10" x14ac:dyDescent="0.25">
      <c r="A7931" t="s">
        <v>66</v>
      </c>
      <c r="B7931" s="1" t="str">
        <f>HYPERLINK("http://bmw-motorrad.si","bmw-motorrad.si")</f>
        <v>bmw-motorrad.si</v>
      </c>
      <c r="C7931" t="s">
        <v>497</v>
      </c>
      <c r="D7931" t="s">
        <v>871</v>
      </c>
      <c r="F7931">
        <v>1.07114693238376E-8</v>
      </c>
      <c r="G7931">
        <v>6090489</v>
      </c>
      <c r="H7931">
        <v>12143408</v>
      </c>
      <c r="I7931">
        <v>24794335</v>
      </c>
      <c r="J7931">
        <v>2</v>
      </c>
    </row>
    <row r="7932" spans="1:10" x14ac:dyDescent="0.25">
      <c r="A7932" t="s">
        <v>66</v>
      </c>
      <c r="B7932" s="1" t="str">
        <f>HYPERLINK("http://mini.si","mini.si")</f>
        <v>mini.si</v>
      </c>
      <c r="C7932" t="s">
        <v>497</v>
      </c>
      <c r="D7932" t="s">
        <v>871</v>
      </c>
      <c r="F7932">
        <v>1.36356405720703E-8</v>
      </c>
      <c r="G7932">
        <v>4347123</v>
      </c>
      <c r="H7932">
        <v>12431600</v>
      </c>
      <c r="I7932">
        <v>18278571</v>
      </c>
      <c r="J7932">
        <v>2</v>
      </c>
    </row>
    <row r="7933" spans="1:10" x14ac:dyDescent="0.25">
      <c r="A7933" t="s">
        <v>66</v>
      </c>
      <c r="B7933" s="1" t="str">
        <f>HYPERLINK("http://auto-motiv.sk","auto-motiv.sk")</f>
        <v>auto-motiv.sk</v>
      </c>
      <c r="C7933" t="s">
        <v>498</v>
      </c>
      <c r="D7933" t="s">
        <v>872</v>
      </c>
      <c r="F7933">
        <v>4.4852418847705804E-9</v>
      </c>
      <c r="G7933">
        <v>61349586</v>
      </c>
      <c r="H7933">
        <v>12051709</v>
      </c>
      <c r="I7933">
        <v>27196103</v>
      </c>
      <c r="J7933">
        <v>6</v>
      </c>
    </row>
    <row r="7934" spans="1:10" x14ac:dyDescent="0.25">
      <c r="A7934" t="s">
        <v>66</v>
      </c>
      <c r="B7934" s="1" t="str">
        <f>HYPERLINK("http://bmw.sk","bmw.sk")</f>
        <v>bmw.sk</v>
      </c>
      <c r="C7934" t="s">
        <v>498</v>
      </c>
      <c r="D7934" t="s">
        <v>872</v>
      </c>
      <c r="E7934">
        <v>427577</v>
      </c>
      <c r="F7934">
        <v>4.4310571528116603E-8</v>
      </c>
      <c r="G7934">
        <v>1071227</v>
      </c>
      <c r="H7934">
        <v>14238484</v>
      </c>
      <c r="I7934">
        <v>1526016</v>
      </c>
      <c r="J7934">
        <v>2</v>
      </c>
    </row>
    <row r="7935" spans="1:10" x14ac:dyDescent="0.25">
      <c r="A7935" t="s">
        <v>66</v>
      </c>
      <c r="B7935" s="1" t="str">
        <f>HYPERLINK("http://bmw-groupm.sk","bmw-groupm.sk")</f>
        <v>bmw-groupm.sk</v>
      </c>
      <c r="C7935" t="s">
        <v>498</v>
      </c>
      <c r="D7935" t="s">
        <v>872</v>
      </c>
      <c r="F7935">
        <v>6.0427907000458798E-9</v>
      </c>
      <c r="G7935">
        <v>16424532</v>
      </c>
      <c r="H7935">
        <v>12031358</v>
      </c>
      <c r="I7935">
        <v>27630560</v>
      </c>
      <c r="J7935">
        <v>6</v>
      </c>
    </row>
    <row r="7936" spans="1:10" x14ac:dyDescent="0.25">
      <c r="A7936" t="s">
        <v>66</v>
      </c>
      <c r="B7936" s="1" t="str">
        <f>HYPERLINK("http://bmw-motorrad.sk","bmw-motorrad.sk")</f>
        <v>bmw-motorrad.sk</v>
      </c>
      <c r="C7936" t="s">
        <v>498</v>
      </c>
      <c r="D7936" t="s">
        <v>872</v>
      </c>
      <c r="F7936">
        <v>9.0539427643716298E-9</v>
      </c>
      <c r="G7936">
        <v>7912222</v>
      </c>
      <c r="H7936">
        <v>14071798</v>
      </c>
      <c r="I7936">
        <v>3325169</v>
      </c>
      <c r="J7936">
        <v>2</v>
      </c>
    </row>
    <row r="7937" spans="1:10" x14ac:dyDescent="0.25">
      <c r="A7937" t="s">
        <v>66</v>
      </c>
      <c r="B7937" s="1" t="str">
        <f>HYPERLINK("http://k-moto.sk","k-moto.sk")</f>
        <v>k-moto.sk</v>
      </c>
      <c r="C7937" t="s">
        <v>498</v>
      </c>
      <c r="D7937" t="s">
        <v>872</v>
      </c>
      <c r="F7937">
        <v>9.0825032131504096E-9</v>
      </c>
      <c r="G7937">
        <v>7871315</v>
      </c>
      <c r="H7937">
        <v>13933067</v>
      </c>
      <c r="I7937">
        <v>4980302</v>
      </c>
      <c r="J7937">
        <v>6</v>
      </c>
    </row>
    <row r="7938" spans="1:10" x14ac:dyDescent="0.25">
      <c r="A7938" t="s">
        <v>66</v>
      </c>
      <c r="B7938" s="1" t="str">
        <f>HYPERLINK("http://mini.sk","mini.sk")</f>
        <v>mini.sk</v>
      </c>
      <c r="C7938" t="s">
        <v>498</v>
      </c>
      <c r="D7938" t="s">
        <v>872</v>
      </c>
      <c r="F7938">
        <v>1.6007084891209401E-8</v>
      </c>
      <c r="G7938">
        <v>3544331</v>
      </c>
      <c r="H7938">
        <v>12317320</v>
      </c>
      <c r="I7938">
        <v>20465532</v>
      </c>
      <c r="J7938">
        <v>2</v>
      </c>
    </row>
    <row r="7939" spans="1:10" x14ac:dyDescent="0.25">
      <c r="A7939" t="s">
        <v>66</v>
      </c>
      <c r="B7939" s="1" t="str">
        <f>HYPERLINK("http://regnum-kosice.sk","regnum-kosice.sk")</f>
        <v>regnum-kosice.sk</v>
      </c>
      <c r="C7939" t="s">
        <v>498</v>
      </c>
      <c r="D7939" t="s">
        <v>872</v>
      </c>
      <c r="F7939">
        <v>5.3284342285927296E-9</v>
      </c>
      <c r="G7939">
        <v>23087710</v>
      </c>
      <c r="H7939">
        <v>10673256</v>
      </c>
      <c r="I7939">
        <v>42893731</v>
      </c>
      <c r="J7939">
        <v>6</v>
      </c>
    </row>
    <row r="7940" spans="1:10" x14ac:dyDescent="0.25">
      <c r="A7940" t="s">
        <v>66</v>
      </c>
      <c r="B7940" s="1" t="str">
        <f>HYPERLINK("http://bmw.sn","bmw.sn")</f>
        <v>bmw.sn</v>
      </c>
      <c r="C7940" t="s">
        <v>551</v>
      </c>
      <c r="D7940" t="s">
        <v>907</v>
      </c>
      <c r="E7940">
        <v>591549</v>
      </c>
      <c r="F7940">
        <v>1.6028757904153298E-8</v>
      </c>
      <c r="G7940">
        <v>3538768</v>
      </c>
      <c r="H7940">
        <v>12413004</v>
      </c>
      <c r="I7940">
        <v>18564018</v>
      </c>
      <c r="J7940">
        <v>3</v>
      </c>
    </row>
    <row r="7941" spans="1:10" x14ac:dyDescent="0.25">
      <c r="A7941" t="s">
        <v>66</v>
      </c>
      <c r="B7941" s="1" t="str">
        <f>HYPERLINK("http://bmw.sr","bmw.sr")</f>
        <v>bmw.sr</v>
      </c>
      <c r="C7941" t="s">
        <v>668</v>
      </c>
      <c r="D7941" t="s">
        <v>987</v>
      </c>
      <c r="F7941">
        <v>8.4858373311236004E-9</v>
      </c>
      <c r="G7941">
        <v>8872512</v>
      </c>
      <c r="H7941">
        <v>12384593</v>
      </c>
      <c r="I7941">
        <v>19128831</v>
      </c>
      <c r="J7941">
        <v>4</v>
      </c>
    </row>
    <row r="7942" spans="1:10" x14ac:dyDescent="0.25">
      <c r="A7942" t="s">
        <v>66</v>
      </c>
      <c r="B7942" s="1" t="str">
        <f>HYPERLINK("http://bmw-motorrad.sv","bmw-motorrad.sv")</f>
        <v>bmw-motorrad.sv</v>
      </c>
      <c r="C7942" t="s">
        <v>499</v>
      </c>
      <c r="D7942" t="s">
        <v>873</v>
      </c>
      <c r="F7942">
        <v>6.8964290291729203E-9</v>
      </c>
      <c r="G7942">
        <v>12645867</v>
      </c>
      <c r="H7942">
        <v>12084241</v>
      </c>
      <c r="I7942">
        <v>26457253</v>
      </c>
      <c r="J7942">
        <v>2</v>
      </c>
    </row>
    <row r="7943" spans="1:10" x14ac:dyDescent="0.25">
      <c r="A7943" t="s">
        <v>66</v>
      </c>
      <c r="B7943" s="1" t="str">
        <f>HYPERLINK("http://bmw.com.sv","bmw.com.sv")</f>
        <v>bmw.com.sv</v>
      </c>
      <c r="C7943" t="s">
        <v>499</v>
      </c>
      <c r="D7943" t="s">
        <v>873</v>
      </c>
      <c r="F7943">
        <v>1.6891907653311801E-8</v>
      </c>
      <c r="G7943">
        <v>3309949</v>
      </c>
      <c r="H7943">
        <v>12413015</v>
      </c>
      <c r="I7943">
        <v>18563890</v>
      </c>
      <c r="J7943">
        <v>4</v>
      </c>
    </row>
    <row r="7944" spans="1:10" x14ac:dyDescent="0.25">
      <c r="A7944" t="s">
        <v>66</v>
      </c>
      <c r="B7944" s="1" t="str">
        <f>HYPERLINK("http://bmw.co.th","bmw.co.th")</f>
        <v>bmw.co.th</v>
      </c>
      <c r="C7944" t="s">
        <v>500</v>
      </c>
      <c r="D7944" t="s">
        <v>874</v>
      </c>
      <c r="E7944">
        <v>546482</v>
      </c>
      <c r="F7944">
        <v>5.9845758769552396E-8</v>
      </c>
      <c r="G7944">
        <v>738124</v>
      </c>
      <c r="H7944">
        <v>14487448</v>
      </c>
      <c r="I7944">
        <v>947350</v>
      </c>
      <c r="J7944">
        <v>2</v>
      </c>
    </row>
    <row r="7945" spans="1:10" x14ac:dyDescent="0.25">
      <c r="A7945" t="s">
        <v>66</v>
      </c>
      <c r="B7945" s="1" t="str">
        <f>HYPERLINK("http://bmw-motorrad.co.th","bmw-motorrad.co.th")</f>
        <v>bmw-motorrad.co.th</v>
      </c>
      <c r="C7945" t="s">
        <v>500</v>
      </c>
      <c r="D7945" t="s">
        <v>874</v>
      </c>
      <c r="F7945">
        <v>1.37959021661421E-8</v>
      </c>
      <c r="G7945">
        <v>4283247</v>
      </c>
      <c r="H7945">
        <v>13767792</v>
      </c>
      <c r="I7945">
        <v>6913377</v>
      </c>
      <c r="J7945">
        <v>2</v>
      </c>
    </row>
    <row r="7946" spans="1:10" x14ac:dyDescent="0.25">
      <c r="A7946" t="s">
        <v>66</v>
      </c>
      <c r="B7946" s="1" t="str">
        <f>HYPERLINK("http://bmw-motorrad.tienda","bmw-motorrad.tienda")</f>
        <v>bmw-motorrad.tienda</v>
      </c>
      <c r="C7946" t="s">
        <v>733</v>
      </c>
      <c r="F7946">
        <v>5.18733674375903E-9</v>
      </c>
      <c r="G7946">
        <v>25382421</v>
      </c>
      <c r="H7946">
        <v>10760874</v>
      </c>
      <c r="I7946">
        <v>39574510</v>
      </c>
      <c r="J7946">
        <v>3</v>
      </c>
    </row>
    <row r="7947" spans="1:10" x14ac:dyDescent="0.25">
      <c r="A7947" t="s">
        <v>66</v>
      </c>
      <c r="B7947" s="1" t="str">
        <f>HYPERLINK("http://mini.tn","mini.tn")</f>
        <v>mini.tn</v>
      </c>
      <c r="C7947" t="s">
        <v>501</v>
      </c>
      <c r="D7947" t="s">
        <v>875</v>
      </c>
      <c r="F7947">
        <v>5.6490871999615803E-9</v>
      </c>
      <c r="G7947">
        <v>19400419</v>
      </c>
      <c r="H7947">
        <v>9382996</v>
      </c>
      <c r="I7947">
        <v>67514886</v>
      </c>
      <c r="J7947">
        <v>4</v>
      </c>
    </row>
    <row r="7948" spans="1:10" x14ac:dyDescent="0.25">
      <c r="A7948" t="s">
        <v>66</v>
      </c>
      <c r="B7948" s="1" t="str">
        <f>HYPERLINK("http://bmw.com.tr","bmw.com.tr")</f>
        <v>bmw.com.tr</v>
      </c>
      <c r="C7948" t="s">
        <v>502</v>
      </c>
      <c r="D7948" t="s">
        <v>876</v>
      </c>
      <c r="E7948">
        <v>285796</v>
      </c>
      <c r="F7948">
        <v>5.7805811452108002E-8</v>
      </c>
      <c r="G7948">
        <v>770592</v>
      </c>
      <c r="H7948">
        <v>14163336</v>
      </c>
      <c r="I7948">
        <v>1829970</v>
      </c>
      <c r="J7948">
        <v>2</v>
      </c>
    </row>
    <row r="7949" spans="1:10" x14ac:dyDescent="0.25">
      <c r="A7949" t="s">
        <v>66</v>
      </c>
      <c r="B7949" s="1" t="str">
        <f>HYPERLINK("http://bmw-motorrad.com.tr","bmw-motorrad.com.tr")</f>
        <v>bmw-motorrad.com.tr</v>
      </c>
      <c r="C7949" t="s">
        <v>502</v>
      </c>
      <c r="D7949" t="s">
        <v>876</v>
      </c>
      <c r="F7949">
        <v>7.4460886063734699E-9</v>
      </c>
      <c r="G7949">
        <v>11135880</v>
      </c>
      <c r="H7949">
        <v>12136925</v>
      </c>
      <c r="I7949">
        <v>24951980</v>
      </c>
      <c r="J7949">
        <v>2</v>
      </c>
    </row>
    <row r="7950" spans="1:10" x14ac:dyDescent="0.25">
      <c r="A7950" t="s">
        <v>66</v>
      </c>
      <c r="B7950" s="1" t="str">
        <f>HYPERLINK("http://bmw.tt","bmw.tt")</f>
        <v>bmw.tt</v>
      </c>
      <c r="C7950" t="s">
        <v>503</v>
      </c>
      <c r="D7950" t="s">
        <v>877</v>
      </c>
      <c r="F7950">
        <v>1.6740980224911101E-8</v>
      </c>
      <c r="G7950">
        <v>3348197</v>
      </c>
      <c r="H7950">
        <v>12423867</v>
      </c>
      <c r="I7950">
        <v>18389803</v>
      </c>
      <c r="J7950">
        <v>4</v>
      </c>
    </row>
    <row r="7951" spans="1:10" x14ac:dyDescent="0.25">
      <c r="A7951" t="s">
        <v>66</v>
      </c>
      <c r="B7951" s="1" t="str">
        <f>HYPERLINK("http://bmw-motorrad.tw","bmw-motorrad.tw")</f>
        <v>bmw-motorrad.tw</v>
      </c>
      <c r="C7951" t="s">
        <v>504</v>
      </c>
      <c r="D7951" t="s">
        <v>878</v>
      </c>
      <c r="F7951">
        <v>7.9830880741725305E-9</v>
      </c>
      <c r="G7951">
        <v>9951840</v>
      </c>
      <c r="H7951">
        <v>12260194</v>
      </c>
      <c r="I7951">
        <v>21768528</v>
      </c>
      <c r="J7951">
        <v>2</v>
      </c>
    </row>
    <row r="7952" spans="1:10" x14ac:dyDescent="0.25">
      <c r="A7952" t="s">
        <v>66</v>
      </c>
      <c r="B7952" s="1" t="str">
        <f>HYPERLINK("http://bmw.com.tw","bmw.com.tw")</f>
        <v>bmw.com.tw</v>
      </c>
      <c r="C7952" t="s">
        <v>504</v>
      </c>
      <c r="D7952" t="s">
        <v>878</v>
      </c>
      <c r="E7952">
        <v>336220</v>
      </c>
      <c r="F7952">
        <v>5.04129530653365E-8</v>
      </c>
      <c r="G7952">
        <v>911689</v>
      </c>
      <c r="H7952">
        <v>13899264</v>
      </c>
      <c r="I7952">
        <v>5951883</v>
      </c>
      <c r="J7952">
        <v>2</v>
      </c>
    </row>
    <row r="7953" spans="1:10" x14ac:dyDescent="0.25">
      <c r="A7953" t="s">
        <v>66</v>
      </c>
      <c r="B7953" s="1" t="str">
        <f>HYPERLINK("http://bmw-taipei.com.tw","bmw-taipei.com.tw")</f>
        <v>bmw-taipei.com.tw</v>
      </c>
      <c r="C7953" t="s">
        <v>504</v>
      </c>
      <c r="D7953" t="s">
        <v>878</v>
      </c>
      <c r="F7953">
        <v>4.4613255891155296E-9</v>
      </c>
      <c r="G7953">
        <v>67344602</v>
      </c>
      <c r="H7953">
        <v>9972076</v>
      </c>
      <c r="I7953">
        <v>61050011</v>
      </c>
      <c r="J7953">
        <v>6</v>
      </c>
    </row>
    <row r="7954" spans="1:10" x14ac:dyDescent="0.25">
      <c r="A7954" t="s">
        <v>66</v>
      </c>
      <c r="B7954" s="1" t="str">
        <f>HYPERLINK("http://bmw.ua","bmw.ua")</f>
        <v>bmw.ua</v>
      </c>
      <c r="C7954" t="s">
        <v>505</v>
      </c>
      <c r="D7954" t="s">
        <v>879</v>
      </c>
      <c r="E7954">
        <v>478494</v>
      </c>
      <c r="F7954">
        <v>3.8959304231235702E-8</v>
      </c>
      <c r="G7954">
        <v>1323575</v>
      </c>
      <c r="H7954">
        <v>14242076</v>
      </c>
      <c r="I7954">
        <v>1486886</v>
      </c>
      <c r="J7954">
        <v>4</v>
      </c>
    </row>
    <row r="7955" spans="1:10" x14ac:dyDescent="0.25">
      <c r="A7955" t="s">
        <v>66</v>
      </c>
      <c r="B7955" s="1" t="str">
        <f>HYPERLINK("http://bmw-motorrad.ua","bmw-motorrad.ua")</f>
        <v>bmw-motorrad.ua</v>
      </c>
      <c r="C7955" t="s">
        <v>505</v>
      </c>
      <c r="D7955" t="s">
        <v>879</v>
      </c>
      <c r="E7955">
        <v>584670</v>
      </c>
      <c r="F7955">
        <v>5.9274576785157904E-9</v>
      </c>
      <c r="G7955">
        <v>17168980</v>
      </c>
      <c r="H7955">
        <v>12753683</v>
      </c>
      <c r="I7955">
        <v>15000111</v>
      </c>
      <c r="J7955">
        <v>2</v>
      </c>
    </row>
    <row r="7956" spans="1:10" x14ac:dyDescent="0.25">
      <c r="A7956" t="s">
        <v>66</v>
      </c>
      <c r="B7956" s="1" t="str">
        <f>HYPERLINK("http://bmwshop.com.ua","bmwshop.com.ua")</f>
        <v>bmwshop.com.ua</v>
      </c>
      <c r="C7956" t="s">
        <v>505</v>
      </c>
      <c r="D7956" t="s">
        <v>879</v>
      </c>
      <c r="J7956">
        <v>6</v>
      </c>
    </row>
    <row r="7957" spans="1:10" x14ac:dyDescent="0.25">
      <c r="A7957" t="s">
        <v>66</v>
      </c>
      <c r="B7957" s="1" t="str">
        <f>HYPERLINK("http://bmw.dp.ua","bmw.dp.ua")</f>
        <v>bmw.dp.ua</v>
      </c>
      <c r="C7957" t="s">
        <v>505</v>
      </c>
      <c r="D7957" t="s">
        <v>879</v>
      </c>
      <c r="F7957">
        <v>5.8543252112905804E-9</v>
      </c>
      <c r="G7957">
        <v>17679126</v>
      </c>
      <c r="H7957">
        <v>12819800</v>
      </c>
      <c r="I7957">
        <v>14509186</v>
      </c>
      <c r="J7957">
        <v>5</v>
      </c>
    </row>
    <row r="7958" spans="1:10" x14ac:dyDescent="0.25">
      <c r="A7958" t="s">
        <v>66</v>
      </c>
      <c r="B7958" s="1" t="str">
        <f>HYPERLINK("http://bmw-motorrad.dp.ua","bmw-motorrad.dp.ua")</f>
        <v>bmw-motorrad.dp.ua</v>
      </c>
      <c r="C7958" t="s">
        <v>505</v>
      </c>
      <c r="D7958" t="s">
        <v>879</v>
      </c>
      <c r="F7958">
        <v>4.5775352404160402E-9</v>
      </c>
      <c r="G7958">
        <v>49509545</v>
      </c>
      <c r="H7958">
        <v>9757070</v>
      </c>
      <c r="I7958">
        <v>62934508</v>
      </c>
      <c r="J7958">
        <v>3</v>
      </c>
    </row>
    <row r="7959" spans="1:10" x14ac:dyDescent="0.25">
      <c r="A7959" t="s">
        <v>66</v>
      </c>
      <c r="B7959" s="1" t="str">
        <f>HYPERLINK("http://mini.dp.ua","mini.dp.ua")</f>
        <v>mini.dp.ua</v>
      </c>
      <c r="C7959" t="s">
        <v>505</v>
      </c>
      <c r="D7959" t="s">
        <v>879</v>
      </c>
      <c r="F7959">
        <v>5.3352025949201502E-9</v>
      </c>
      <c r="G7959">
        <v>22998092</v>
      </c>
      <c r="H7959">
        <v>10509469</v>
      </c>
      <c r="I7959">
        <v>49784668</v>
      </c>
      <c r="J7959">
        <v>4</v>
      </c>
    </row>
    <row r="7960" spans="1:10" x14ac:dyDescent="0.25">
      <c r="A7960" t="s">
        <v>66</v>
      </c>
      <c r="B7960" s="1" t="str">
        <f>HYPERLINK("http://bmw.if.ua","bmw.if.ua")</f>
        <v>bmw.if.ua</v>
      </c>
      <c r="C7960" t="s">
        <v>505</v>
      </c>
      <c r="D7960" t="s">
        <v>879</v>
      </c>
      <c r="F7960">
        <v>5.5141237353816204E-9</v>
      </c>
      <c r="G7960">
        <v>20748821</v>
      </c>
      <c r="H7960">
        <v>12167070</v>
      </c>
      <c r="I7960">
        <v>24143614</v>
      </c>
      <c r="J7960">
        <v>5</v>
      </c>
    </row>
    <row r="7961" spans="1:10" x14ac:dyDescent="0.25">
      <c r="A7961" t="s">
        <v>66</v>
      </c>
      <c r="B7961" s="1" t="str">
        <f>HYPERLINK("http://bmw.kharkov.ua","bmw.kharkov.ua")</f>
        <v>bmw.kharkov.ua</v>
      </c>
      <c r="C7961" t="s">
        <v>505</v>
      </c>
      <c r="D7961" t="s">
        <v>879</v>
      </c>
      <c r="F7961">
        <v>6.7625962030744097E-9</v>
      </c>
      <c r="G7961">
        <v>13086574</v>
      </c>
      <c r="H7961">
        <v>12184866</v>
      </c>
      <c r="I7961">
        <v>23700050</v>
      </c>
      <c r="J7961">
        <v>5</v>
      </c>
    </row>
    <row r="7962" spans="1:10" x14ac:dyDescent="0.25">
      <c r="A7962" t="s">
        <v>66</v>
      </c>
      <c r="B7962" s="1" t="str">
        <f>HYPERLINK("http://bmw-motorrad.kharkov.ua","bmw-motorrad.kharkov.ua")</f>
        <v>bmw-motorrad.kharkov.ua</v>
      </c>
      <c r="C7962" t="s">
        <v>505</v>
      </c>
      <c r="D7962" t="s">
        <v>879</v>
      </c>
      <c r="F7962">
        <v>5.7053129449960604E-9</v>
      </c>
      <c r="G7962">
        <v>18881176</v>
      </c>
      <c r="H7962">
        <v>10928004</v>
      </c>
      <c r="I7962">
        <v>35106967</v>
      </c>
      <c r="J7962">
        <v>3</v>
      </c>
    </row>
    <row r="7963" spans="1:10" x14ac:dyDescent="0.25">
      <c r="A7963" t="s">
        <v>66</v>
      </c>
      <c r="B7963" s="1" t="str">
        <f>HYPERLINK("http://bmw-zahid.km.ua","bmw-zahid.km.ua")</f>
        <v>bmw-zahid.km.ua</v>
      </c>
      <c r="C7963" t="s">
        <v>505</v>
      </c>
      <c r="D7963" t="s">
        <v>879</v>
      </c>
      <c r="F7963">
        <v>5.5555482088170399E-9</v>
      </c>
      <c r="G7963">
        <v>20319847</v>
      </c>
      <c r="H7963">
        <v>10908093</v>
      </c>
      <c r="I7963">
        <v>35665645</v>
      </c>
      <c r="J7963">
        <v>6</v>
      </c>
    </row>
    <row r="7964" spans="1:10" x14ac:dyDescent="0.25">
      <c r="A7964" t="s">
        <v>66</v>
      </c>
      <c r="B7964" s="1" t="str">
        <f>HYPERLINK("http://bmw.ks.ua","bmw.ks.ua")</f>
        <v>bmw.ks.ua</v>
      </c>
      <c r="C7964" t="s">
        <v>505</v>
      </c>
      <c r="D7964" t="s">
        <v>879</v>
      </c>
      <c r="F7964">
        <v>7.0074379368325801E-9</v>
      </c>
      <c r="G7964">
        <v>12290019</v>
      </c>
      <c r="H7964">
        <v>12030533</v>
      </c>
      <c r="I7964">
        <v>27648655</v>
      </c>
      <c r="J7964">
        <v>5</v>
      </c>
    </row>
    <row r="7965" spans="1:10" x14ac:dyDescent="0.25">
      <c r="A7965" t="s">
        <v>66</v>
      </c>
      <c r="B7965" s="1" t="str">
        <f>HYPERLINK("http://bmw-motorrad.kyiv.ua","bmw-motorrad.kyiv.ua")</f>
        <v>bmw-motorrad.kyiv.ua</v>
      </c>
      <c r="C7965" t="s">
        <v>505</v>
      </c>
      <c r="D7965" t="s">
        <v>879</v>
      </c>
      <c r="F7965">
        <v>4.5892895683779302E-9</v>
      </c>
      <c r="G7965">
        <v>48465102</v>
      </c>
      <c r="H7965">
        <v>9775312</v>
      </c>
      <c r="I7965">
        <v>62768660</v>
      </c>
      <c r="J7965">
        <v>3</v>
      </c>
    </row>
    <row r="7966" spans="1:10" x14ac:dyDescent="0.25">
      <c r="A7966" t="s">
        <v>66</v>
      </c>
      <c r="B7966" s="1" t="str">
        <f>HYPERLINK("http://bmw.lviv.ua","bmw.lviv.ua")</f>
        <v>bmw.lviv.ua</v>
      </c>
      <c r="C7966" t="s">
        <v>505</v>
      </c>
      <c r="D7966" t="s">
        <v>879</v>
      </c>
      <c r="F7966">
        <v>5.5911292525863201E-9</v>
      </c>
      <c r="G7966">
        <v>19942713</v>
      </c>
      <c r="H7966">
        <v>12169597</v>
      </c>
      <c r="I7966">
        <v>24078824</v>
      </c>
      <c r="J7966">
        <v>5</v>
      </c>
    </row>
    <row r="7967" spans="1:10" x14ac:dyDescent="0.25">
      <c r="A7967" t="s">
        <v>66</v>
      </c>
      <c r="B7967" s="1" t="str">
        <f>HYPERLINK("http://mini.ua","mini.ua")</f>
        <v>mini.ua</v>
      </c>
      <c r="C7967" t="s">
        <v>505</v>
      </c>
      <c r="D7967" t="s">
        <v>879</v>
      </c>
      <c r="F7967">
        <v>1.2511807468438999E-8</v>
      </c>
      <c r="G7967">
        <v>4879155</v>
      </c>
      <c r="H7967">
        <v>14073500</v>
      </c>
      <c r="I7967">
        <v>2991217</v>
      </c>
      <c r="J7967">
        <v>3</v>
      </c>
    </row>
    <row r="7968" spans="1:10" x14ac:dyDescent="0.25">
      <c r="A7968" t="s">
        <v>66</v>
      </c>
      <c r="B7968" s="1" t="str">
        <f>HYPERLINK("http://bmw.nikolaev.ua","bmw.nikolaev.ua")</f>
        <v>bmw.nikolaev.ua</v>
      </c>
      <c r="C7968" t="s">
        <v>505</v>
      </c>
      <c r="D7968" t="s">
        <v>879</v>
      </c>
      <c r="F7968">
        <v>4.44380395335525E-9</v>
      </c>
      <c r="G7968">
        <v>86462600</v>
      </c>
      <c r="H7968">
        <v>0</v>
      </c>
      <c r="I7968">
        <v>87933822</v>
      </c>
      <c r="J7968">
        <v>5</v>
      </c>
    </row>
    <row r="7969" spans="1:10" x14ac:dyDescent="0.25">
      <c r="A7969" t="s">
        <v>66</v>
      </c>
      <c r="B7969" s="1" t="str">
        <f>HYPERLINK("http://bmw.odessa.ua","bmw.odessa.ua")</f>
        <v>bmw.odessa.ua</v>
      </c>
      <c r="C7969" t="s">
        <v>505</v>
      </c>
      <c r="D7969" t="s">
        <v>879</v>
      </c>
      <c r="F7969">
        <v>5.61581246199098E-9</v>
      </c>
      <c r="G7969">
        <v>19707422</v>
      </c>
      <c r="H7969">
        <v>10688503</v>
      </c>
      <c r="I7969">
        <v>42535482</v>
      </c>
      <c r="J7969">
        <v>5</v>
      </c>
    </row>
    <row r="7970" spans="1:10" x14ac:dyDescent="0.25">
      <c r="A7970" t="s">
        <v>66</v>
      </c>
      <c r="B7970" s="1" t="str">
        <f>HYPERLINK("http://bmw.pl.ua","bmw.pl.ua")</f>
        <v>bmw.pl.ua</v>
      </c>
      <c r="C7970" t="s">
        <v>505</v>
      </c>
      <c r="D7970" t="s">
        <v>879</v>
      </c>
      <c r="F7970">
        <v>5.0686229834788403E-9</v>
      </c>
      <c r="G7970">
        <v>27819005</v>
      </c>
      <c r="H7970">
        <v>10596303</v>
      </c>
      <c r="I7970">
        <v>45119960</v>
      </c>
      <c r="J7970">
        <v>5</v>
      </c>
    </row>
    <row r="7971" spans="1:10" x14ac:dyDescent="0.25">
      <c r="A7971" t="s">
        <v>66</v>
      </c>
      <c r="B7971" s="1" t="str">
        <f>HYPERLINK("http://bmw.poltava.ua","bmw.poltava.ua")</f>
        <v>bmw.poltava.ua</v>
      </c>
      <c r="C7971" t="s">
        <v>505</v>
      </c>
      <c r="D7971" t="s">
        <v>879</v>
      </c>
      <c r="F7971">
        <v>5.5299977501364797E-9</v>
      </c>
      <c r="G7971">
        <v>20584278</v>
      </c>
      <c r="H7971">
        <v>12159140</v>
      </c>
      <c r="I7971">
        <v>24388310</v>
      </c>
      <c r="J7971">
        <v>5</v>
      </c>
    </row>
    <row r="7972" spans="1:10" x14ac:dyDescent="0.25">
      <c r="A7972" t="s">
        <v>66</v>
      </c>
      <c r="B7972" s="1" t="str">
        <f>HYPERLINK("http://bmw.zp.ua","bmw.zp.ua")</f>
        <v>bmw.zp.ua</v>
      </c>
      <c r="C7972" t="s">
        <v>505</v>
      </c>
      <c r="D7972" t="s">
        <v>879</v>
      </c>
      <c r="F7972">
        <v>5.6841752617007E-9</v>
      </c>
      <c r="G7972">
        <v>19094239</v>
      </c>
      <c r="H7972">
        <v>12180872</v>
      </c>
      <c r="I7972">
        <v>23797462</v>
      </c>
      <c r="J7972">
        <v>5</v>
      </c>
    </row>
    <row r="7973" spans="1:10" x14ac:dyDescent="0.25">
      <c r="A7973" t="s">
        <v>66</v>
      </c>
      <c r="B7973" s="1" t="str">
        <f>HYPERLINK("http://bmw.zt.ua","bmw.zt.ua")</f>
        <v>bmw.zt.ua</v>
      </c>
      <c r="C7973" t="s">
        <v>505</v>
      </c>
      <c r="D7973" t="s">
        <v>879</v>
      </c>
      <c r="F7973">
        <v>5.0686229834788403E-9</v>
      </c>
      <c r="G7973">
        <v>27819006</v>
      </c>
      <c r="H7973">
        <v>10596303</v>
      </c>
      <c r="I7973">
        <v>45119961</v>
      </c>
      <c r="J7973">
        <v>5</v>
      </c>
    </row>
    <row r="7974" spans="1:10" x14ac:dyDescent="0.25">
      <c r="A7974" t="s">
        <v>66</v>
      </c>
      <c r="B7974" s="1" t="str">
        <f>HYPERLINK("http://alphabet.uk","alphabet.uk")</f>
        <v>alphabet.uk</v>
      </c>
      <c r="C7974" t="s">
        <v>506</v>
      </c>
      <c r="D7974" t="s">
        <v>880</v>
      </c>
      <c r="J7974">
        <v>2</v>
      </c>
    </row>
    <row r="7975" spans="1:10" x14ac:dyDescent="0.25">
      <c r="A7975" t="s">
        <v>66</v>
      </c>
      <c r="B7975" s="1" t="str">
        <f>HYPERLINK("http://alphabet.co.uk","alphabet.co.uk")</f>
        <v>alphabet.co.uk</v>
      </c>
      <c r="C7975" t="s">
        <v>506</v>
      </c>
      <c r="D7975" t="s">
        <v>880</v>
      </c>
      <c r="F7975">
        <v>6.2872351889375297E-9</v>
      </c>
      <c r="G7975">
        <v>15093392</v>
      </c>
      <c r="H7975">
        <v>11328122</v>
      </c>
      <c r="I7975">
        <v>30471220</v>
      </c>
      <c r="J7975">
        <v>2</v>
      </c>
    </row>
    <row r="7976" spans="1:10" x14ac:dyDescent="0.25">
      <c r="A7976" t="s">
        <v>66</v>
      </c>
      <c r="B7976" s="1" t="str">
        <f>HYPERLINK("http://alpherafs.co.uk","alpherafs.co.uk")</f>
        <v>alpherafs.co.uk</v>
      </c>
      <c r="C7976" t="s">
        <v>506</v>
      </c>
      <c r="D7976" t="s">
        <v>880</v>
      </c>
      <c r="J7976">
        <v>2</v>
      </c>
    </row>
    <row r="7977" spans="1:10" x14ac:dyDescent="0.25">
      <c r="A7977" t="s">
        <v>66</v>
      </c>
      <c r="B7977" s="1" t="str">
        <f>HYPERLINK("http://approvedusedmini.co.uk","approvedusedmini.co.uk")</f>
        <v>approvedusedmini.co.uk</v>
      </c>
      <c r="C7977" t="s">
        <v>506</v>
      </c>
      <c r="D7977" t="s">
        <v>880</v>
      </c>
      <c r="J7977">
        <v>2</v>
      </c>
    </row>
    <row r="7978" spans="1:10" x14ac:dyDescent="0.25">
      <c r="A7978" t="s">
        <v>66</v>
      </c>
      <c r="B7978" s="1" t="str">
        <f>HYPERLINK("http://approvedusedminis.co.uk","approvedusedminis.co.uk")</f>
        <v>approvedusedminis.co.uk</v>
      </c>
      <c r="C7978" t="s">
        <v>506</v>
      </c>
      <c r="D7978" t="s">
        <v>880</v>
      </c>
      <c r="F7978">
        <v>5.0111846240534497E-9</v>
      </c>
      <c r="G7978">
        <v>29112277</v>
      </c>
      <c r="H7978">
        <v>11328320</v>
      </c>
      <c r="I7978">
        <v>30470637</v>
      </c>
      <c r="J7978">
        <v>2</v>
      </c>
    </row>
    <row r="7979" spans="1:10" x14ac:dyDescent="0.25">
      <c r="A7979" t="s">
        <v>66</v>
      </c>
      <c r="B7979" s="1" t="str">
        <f>HYPERLINK("http://berrycobhambmw.co.uk","berrycobhambmw.co.uk")</f>
        <v>berrycobhambmw.co.uk</v>
      </c>
      <c r="C7979" t="s">
        <v>506</v>
      </c>
      <c r="D7979" t="s">
        <v>880</v>
      </c>
      <c r="F7979">
        <v>4.6965896270992397E-9</v>
      </c>
      <c r="G7979">
        <v>41420285</v>
      </c>
      <c r="H7979">
        <v>9452329</v>
      </c>
      <c r="I7979">
        <v>66480399</v>
      </c>
      <c r="J7979">
        <v>6</v>
      </c>
    </row>
    <row r="7980" spans="1:10" x14ac:dyDescent="0.25">
      <c r="A7980" t="s">
        <v>66</v>
      </c>
      <c r="B7980" s="1" t="str">
        <f>HYPERLINK("http://bmw.co.uk","bmw.co.uk")</f>
        <v>bmw.co.uk</v>
      </c>
      <c r="C7980" t="s">
        <v>506</v>
      </c>
      <c r="D7980" t="s">
        <v>880</v>
      </c>
      <c r="E7980">
        <v>56702</v>
      </c>
      <c r="F7980">
        <v>4.51058456914501E-7</v>
      </c>
      <c r="G7980">
        <v>83770</v>
      </c>
      <c r="H7980">
        <v>15142854</v>
      </c>
      <c r="I7980">
        <v>400936</v>
      </c>
      <c r="J7980">
        <v>2</v>
      </c>
    </row>
    <row r="7981" spans="1:10" x14ac:dyDescent="0.25">
      <c r="A7981" t="s">
        <v>66</v>
      </c>
      <c r="B7981" s="1" t="str">
        <f>HYPERLINK("http://bmw-motorrad.co.uk","bmw-motorrad.co.uk")</f>
        <v>bmw-motorrad.co.uk</v>
      </c>
      <c r="C7981" t="s">
        <v>506</v>
      </c>
      <c r="D7981" t="s">
        <v>880</v>
      </c>
      <c r="E7981">
        <v>484230</v>
      </c>
      <c r="F7981">
        <v>8.7312265612374503E-8</v>
      </c>
      <c r="G7981">
        <v>470030</v>
      </c>
      <c r="H7981">
        <v>14574829</v>
      </c>
      <c r="I7981">
        <v>731164</v>
      </c>
      <c r="J7981">
        <v>2</v>
      </c>
    </row>
    <row r="7982" spans="1:10" x14ac:dyDescent="0.25">
      <c r="A7982" t="s">
        <v>66</v>
      </c>
      <c r="B7982" s="1" t="str">
        <f>HYPERLINK("http://bmwapprovedusedbikes.co.uk","bmwapprovedusedbikes.co.uk")</f>
        <v>bmwapprovedusedbikes.co.uk</v>
      </c>
      <c r="C7982" t="s">
        <v>506</v>
      </c>
      <c r="D7982" t="s">
        <v>880</v>
      </c>
      <c r="F7982">
        <v>6.5306717104884602E-9</v>
      </c>
      <c r="G7982">
        <v>13951815</v>
      </c>
      <c r="H7982">
        <v>10599517</v>
      </c>
      <c r="I7982">
        <v>44924594</v>
      </c>
      <c r="J7982">
        <v>2</v>
      </c>
    </row>
    <row r="7983" spans="1:10" x14ac:dyDescent="0.25">
      <c r="A7983" t="s">
        <v>66</v>
      </c>
      <c r="B7983" s="1" t="str">
        <f>HYPERLINK("http://bmwgroup.co.uk","bmwgroup.co.uk")</f>
        <v>bmwgroup.co.uk</v>
      </c>
      <c r="C7983" t="s">
        <v>506</v>
      </c>
      <c r="D7983" t="s">
        <v>880</v>
      </c>
      <c r="F7983">
        <v>8.9814281122738799E-9</v>
      </c>
      <c r="G7983">
        <v>8019837</v>
      </c>
      <c r="H7983">
        <v>12425080</v>
      </c>
      <c r="I7983">
        <v>18374733</v>
      </c>
      <c r="J7983">
        <v>2</v>
      </c>
    </row>
    <row r="7984" spans="1:10" x14ac:dyDescent="0.25">
      <c r="A7984" t="s">
        <v>66</v>
      </c>
      <c r="B7984" s="1" t="str">
        <f>HYPERLINK("http://bmwmotorradparklane.co.uk","bmwmotorradparklane.co.uk")</f>
        <v>bmwmotorradparklane.co.uk</v>
      </c>
      <c r="C7984" t="s">
        <v>506</v>
      </c>
      <c r="D7984" t="s">
        <v>880</v>
      </c>
      <c r="F7984">
        <v>4.6264654822360299E-9</v>
      </c>
      <c r="G7984">
        <v>45675808</v>
      </c>
      <c r="H7984">
        <v>10528573</v>
      </c>
      <c r="I7984">
        <v>48780660</v>
      </c>
      <c r="J7984">
        <v>5</v>
      </c>
    </row>
    <row r="7985" spans="1:10" x14ac:dyDescent="0.25">
      <c r="A7985" t="s">
        <v>66</v>
      </c>
      <c r="B7985" s="1" t="str">
        <f>HYPERLINK("http://bmwparklane.co.uk","bmwparklane.co.uk")</f>
        <v>bmwparklane.co.uk</v>
      </c>
      <c r="C7985" t="s">
        <v>506</v>
      </c>
      <c r="D7985" t="s">
        <v>880</v>
      </c>
      <c r="F7985">
        <v>4.5282475409043398E-9</v>
      </c>
      <c r="G7985">
        <v>55246710</v>
      </c>
      <c r="H7985">
        <v>10912392</v>
      </c>
      <c r="I7985">
        <v>35569451</v>
      </c>
      <c r="J7985">
        <v>4</v>
      </c>
    </row>
    <row r="7986" spans="1:10" x14ac:dyDescent="0.25">
      <c r="A7986" t="s">
        <v>66</v>
      </c>
      <c r="B7986" s="1" t="str">
        <f>HYPERLINK("http://cooperreadingbmw.co.uk","cooperreadingbmw.co.uk")</f>
        <v>cooperreadingbmw.co.uk</v>
      </c>
      <c r="C7986" t="s">
        <v>506</v>
      </c>
      <c r="D7986" t="s">
        <v>880</v>
      </c>
      <c r="F7986">
        <v>4.5141285750596298E-9</v>
      </c>
      <c r="G7986">
        <v>56959643</v>
      </c>
      <c r="H7986">
        <v>10600027</v>
      </c>
      <c r="I7986">
        <v>44901632</v>
      </c>
      <c r="J7986">
        <v>6</v>
      </c>
    </row>
    <row r="7987" spans="1:10" x14ac:dyDescent="0.25">
      <c r="A7987" t="s">
        <v>66</v>
      </c>
      <c r="B7987" s="1" t="str">
        <f>HYPERLINK("http://exploreminielectric.co.uk","exploreminielectric.co.uk")</f>
        <v>exploreminielectric.co.uk</v>
      </c>
      <c r="C7987" t="s">
        <v>506</v>
      </c>
      <c r="D7987" t="s">
        <v>880</v>
      </c>
      <c r="F7987">
        <v>4.7404058319614003E-9</v>
      </c>
      <c r="G7987">
        <v>38781564</v>
      </c>
      <c r="H7987">
        <v>10463409</v>
      </c>
      <c r="I7987">
        <v>51607305</v>
      </c>
      <c r="J7987">
        <v>2</v>
      </c>
    </row>
    <row r="7988" spans="1:10" x14ac:dyDescent="0.25">
      <c r="A7988" t="s">
        <v>66</v>
      </c>
      <c r="B7988" s="1" t="str">
        <f>HYPERLINK("http://inchcapechelmsfordbmw.co.uk","inchcapechelmsfordbmw.co.uk")</f>
        <v>inchcapechelmsfordbmw.co.uk</v>
      </c>
      <c r="C7988" t="s">
        <v>506</v>
      </c>
      <c r="D7988" t="s">
        <v>880</v>
      </c>
      <c r="J7988">
        <v>6</v>
      </c>
    </row>
    <row r="7989" spans="1:10" x14ac:dyDescent="0.25">
      <c r="A7989" t="s">
        <v>66</v>
      </c>
      <c r="B7989" s="1" t="str">
        <f>HYPERLINK("http://inchcapechelmsfordmini.co.uk","inchcapechelmsfordmini.co.uk")</f>
        <v>inchcapechelmsfordmini.co.uk</v>
      </c>
      <c r="C7989" t="s">
        <v>506</v>
      </c>
      <c r="D7989" t="s">
        <v>880</v>
      </c>
      <c r="J7989">
        <v>6</v>
      </c>
    </row>
    <row r="7990" spans="1:10" x14ac:dyDescent="0.25">
      <c r="A7990" t="s">
        <v>66</v>
      </c>
      <c r="B7990" s="1" t="str">
        <f>HYPERLINK("http://lancasterbmw.co.uk","lancasterbmw.co.uk")</f>
        <v>lancasterbmw.co.uk</v>
      </c>
      <c r="C7990" t="s">
        <v>506</v>
      </c>
      <c r="D7990" t="s">
        <v>880</v>
      </c>
      <c r="J7990">
        <v>6</v>
      </c>
    </row>
    <row r="7991" spans="1:10" x14ac:dyDescent="0.25">
      <c r="A7991" t="s">
        <v>66</v>
      </c>
      <c r="B7991" s="1" t="str">
        <f>HYPERLINK("http://lancasterburystedmundsbmw.co.uk","lancasterburystedmundsbmw.co.uk")</f>
        <v>lancasterburystedmundsbmw.co.uk</v>
      </c>
      <c r="C7991" t="s">
        <v>506</v>
      </c>
      <c r="D7991" t="s">
        <v>880</v>
      </c>
      <c r="F7991">
        <v>4.4438224057230497E-9</v>
      </c>
      <c r="G7991">
        <v>79188943</v>
      </c>
      <c r="H7991">
        <v>10458398</v>
      </c>
      <c r="I7991">
        <v>51893326</v>
      </c>
      <c r="J7991">
        <v>6</v>
      </c>
    </row>
    <row r="7992" spans="1:10" x14ac:dyDescent="0.25">
      <c r="A7992" t="s">
        <v>66</v>
      </c>
      <c r="B7992" s="1" t="str">
        <f>HYPERLINK("http://mini.co.uk","mini.co.uk")</f>
        <v>mini.co.uk</v>
      </c>
      <c r="C7992" t="s">
        <v>506</v>
      </c>
      <c r="D7992" t="s">
        <v>880</v>
      </c>
      <c r="E7992">
        <v>169339</v>
      </c>
      <c r="F7992">
        <v>3.5296242075003602E-7</v>
      </c>
      <c r="G7992">
        <v>105929</v>
      </c>
      <c r="H7992">
        <v>17104360</v>
      </c>
      <c r="I7992">
        <v>63058</v>
      </c>
      <c r="J7992">
        <v>2</v>
      </c>
    </row>
    <row r="7993" spans="1:10" x14ac:dyDescent="0.25">
      <c r="A7993" t="s">
        <v>66</v>
      </c>
      <c r="B7993" s="1" t="str">
        <f>HYPERLINK("http://mini-car-insurance.co.uk","mini-car-insurance.co.uk")</f>
        <v>mini-car-insurance.co.uk</v>
      </c>
      <c r="C7993" t="s">
        <v>506</v>
      </c>
      <c r="D7993" t="s">
        <v>880</v>
      </c>
      <c r="F7993">
        <v>5.7436597472477599E-9</v>
      </c>
      <c r="G7993">
        <v>18549752</v>
      </c>
      <c r="H7993">
        <v>10479615</v>
      </c>
      <c r="I7993">
        <v>51043374</v>
      </c>
      <c r="J7993">
        <v>2</v>
      </c>
    </row>
    <row r="7994" spans="1:10" x14ac:dyDescent="0.25">
      <c r="A7994" t="s">
        <v>66</v>
      </c>
      <c r="B7994" s="1" t="str">
        <f>HYPERLINK("http://alphabet.org.uk","alphabet.org.uk")</f>
        <v>alphabet.org.uk</v>
      </c>
      <c r="C7994" t="s">
        <v>506</v>
      </c>
      <c r="D7994" t="s">
        <v>880</v>
      </c>
      <c r="J7994">
        <v>2</v>
      </c>
    </row>
    <row r="7995" spans="1:10" x14ac:dyDescent="0.25">
      <c r="A7995" t="s">
        <v>66</v>
      </c>
      <c r="B7995" s="1" t="str">
        <f>HYPERLINK("http://alphabet.us","alphabet.us")</f>
        <v>alphabet.us</v>
      </c>
      <c r="C7995" t="s">
        <v>522</v>
      </c>
      <c r="D7995" t="s">
        <v>891</v>
      </c>
      <c r="J7995">
        <v>2</v>
      </c>
    </row>
    <row r="7996" spans="1:10" x14ac:dyDescent="0.25">
      <c r="A7996" t="s">
        <v>66</v>
      </c>
      <c r="B7996" s="1" t="str">
        <f>HYPERLINK("http://bmw-motorrad.uy","bmw-motorrad.uy")</f>
        <v>bmw-motorrad.uy</v>
      </c>
      <c r="C7996" t="s">
        <v>507</v>
      </c>
      <c r="D7996" t="s">
        <v>881</v>
      </c>
      <c r="F7996">
        <v>6.81560589519021E-9</v>
      </c>
      <c r="G7996">
        <v>12908352</v>
      </c>
      <c r="H7996">
        <v>12084240</v>
      </c>
      <c r="I7996">
        <v>26457274</v>
      </c>
      <c r="J7996">
        <v>2</v>
      </c>
    </row>
    <row r="7997" spans="1:10" x14ac:dyDescent="0.25">
      <c r="A7997" t="s">
        <v>66</v>
      </c>
      <c r="B7997" s="1" t="str">
        <f>HYPERLINK("http://bmw.com.uy","bmw.com.uy")</f>
        <v>bmw.com.uy</v>
      </c>
      <c r="C7997" t="s">
        <v>507</v>
      </c>
      <c r="D7997" t="s">
        <v>881</v>
      </c>
      <c r="F7997">
        <v>1.7168058944801401E-8</v>
      </c>
      <c r="G7997">
        <v>3245760</v>
      </c>
      <c r="H7997">
        <v>12437505</v>
      </c>
      <c r="I7997">
        <v>18175398</v>
      </c>
      <c r="J7997">
        <v>2</v>
      </c>
    </row>
    <row r="7998" spans="1:10" x14ac:dyDescent="0.25">
      <c r="A7998" t="s">
        <v>66</v>
      </c>
      <c r="B7998" s="1" t="str">
        <f>HYPERLINK("http://mini.com.uy","mini.com.uy")</f>
        <v>mini.com.uy</v>
      </c>
      <c r="C7998" t="s">
        <v>507</v>
      </c>
      <c r="D7998" t="s">
        <v>881</v>
      </c>
      <c r="F7998">
        <v>1.06709650014464E-8</v>
      </c>
      <c r="G7998">
        <v>6124234</v>
      </c>
      <c r="H7998">
        <v>11150385</v>
      </c>
      <c r="I7998">
        <v>31739208</v>
      </c>
      <c r="J7998">
        <v>3</v>
      </c>
    </row>
    <row r="7999" spans="1:10" x14ac:dyDescent="0.25">
      <c r="A7999" t="s">
        <v>66</v>
      </c>
      <c r="B7999" s="1" t="str">
        <f>HYPERLINK("http://bmw.uz","bmw.uz")</f>
        <v>bmw.uz</v>
      </c>
      <c r="C7999" t="s">
        <v>560</v>
      </c>
      <c r="D7999" t="s">
        <v>910</v>
      </c>
      <c r="E7999">
        <v>536100</v>
      </c>
      <c r="F7999">
        <v>1.59612104419471E-8</v>
      </c>
      <c r="G7999">
        <v>3556420</v>
      </c>
      <c r="H7999">
        <v>12447507</v>
      </c>
      <c r="I7999">
        <v>18058081</v>
      </c>
      <c r="J7999">
        <v>4</v>
      </c>
    </row>
    <row r="8000" spans="1:10" x14ac:dyDescent="0.25">
      <c r="A8000" t="s">
        <v>66</v>
      </c>
      <c r="B8000" s="1" t="str">
        <f>HYPERLINK("http://bmw.vn","bmw.vn")</f>
        <v>bmw.vn</v>
      </c>
      <c r="C8000" t="s">
        <v>509</v>
      </c>
      <c r="D8000" t="s">
        <v>883</v>
      </c>
      <c r="F8000">
        <v>4.7824022529682603E-8</v>
      </c>
      <c r="G8000">
        <v>972922</v>
      </c>
      <c r="H8000">
        <v>14076766</v>
      </c>
      <c r="I8000">
        <v>2880311</v>
      </c>
      <c r="J8000">
        <v>4</v>
      </c>
    </row>
    <row r="8001" spans="1:10" x14ac:dyDescent="0.25">
      <c r="A8001" t="s">
        <v>66</v>
      </c>
      <c r="B8001" s="1" t="str">
        <f>HYPERLINK("http://bmw-motorcycles.vn","bmw-motorcycles.vn")</f>
        <v>bmw-motorcycles.vn</v>
      </c>
      <c r="C8001" t="s">
        <v>509</v>
      </c>
      <c r="D8001" t="s">
        <v>883</v>
      </c>
      <c r="F8001">
        <v>8.39613577272652E-9</v>
      </c>
      <c r="G8001">
        <v>9050790</v>
      </c>
      <c r="H8001">
        <v>12090879</v>
      </c>
      <c r="I8001">
        <v>26223780</v>
      </c>
      <c r="J8001">
        <v>2</v>
      </c>
    </row>
    <row r="8002" spans="1:10" x14ac:dyDescent="0.25">
      <c r="A8002" t="s">
        <v>66</v>
      </c>
      <c r="B8002" s="1" t="str">
        <f>HYPERLINK("http://bmw.co.za","bmw.co.za")</f>
        <v>bmw.co.za</v>
      </c>
      <c r="C8002" t="s">
        <v>510</v>
      </c>
      <c r="D8002" t="s">
        <v>884</v>
      </c>
      <c r="E8002">
        <v>306775</v>
      </c>
      <c r="F8002">
        <v>9.2792099597671599E-8</v>
      </c>
      <c r="G8002">
        <v>438353</v>
      </c>
      <c r="H8002">
        <v>14806079</v>
      </c>
      <c r="I8002">
        <v>546879</v>
      </c>
      <c r="J8002">
        <v>2</v>
      </c>
    </row>
    <row r="8003" spans="1:10" x14ac:dyDescent="0.25">
      <c r="A8003" t="s">
        <v>66</v>
      </c>
      <c r="B8003" s="1" t="str">
        <f>HYPERLINK("http://bmw-motorrad.co.za","bmw-motorrad.co.za")</f>
        <v>bmw-motorrad.co.za</v>
      </c>
      <c r="C8003" t="s">
        <v>510</v>
      </c>
      <c r="D8003" t="s">
        <v>884</v>
      </c>
      <c r="F8003">
        <v>1.79480002422191E-8</v>
      </c>
      <c r="G8003">
        <v>3043358</v>
      </c>
      <c r="H8003">
        <v>14073281</v>
      </c>
      <c r="I8003">
        <v>3004813</v>
      </c>
      <c r="J8003">
        <v>2</v>
      </c>
    </row>
    <row r="8004" spans="1:10" x14ac:dyDescent="0.25">
      <c r="A8004" t="s">
        <v>66</v>
      </c>
      <c r="B8004" s="1" t="str">
        <f>HYPERLINK("http://bmw-zambesiauto.co.za","bmw-zambesiauto.co.za")</f>
        <v>bmw-zambesiauto.co.za</v>
      </c>
      <c r="C8004" t="s">
        <v>510</v>
      </c>
      <c r="D8004" t="s">
        <v>884</v>
      </c>
      <c r="J8004">
        <v>6</v>
      </c>
    </row>
    <row r="8005" spans="1:10" x14ac:dyDescent="0.25">
      <c r="A8005" t="s">
        <v>66</v>
      </c>
      <c r="B8005" s="1" t="str">
        <f>HYPERLINK("http://bmwdealer.co.za","bmwdealer.co.za")</f>
        <v>bmwdealer.co.za</v>
      </c>
      <c r="C8005" t="s">
        <v>510</v>
      </c>
      <c r="D8005" t="s">
        <v>884</v>
      </c>
      <c r="F8005">
        <v>4.5482245514724601E-9</v>
      </c>
      <c r="G8005">
        <v>52385237</v>
      </c>
      <c r="H8005">
        <v>10101269</v>
      </c>
      <c r="I8005">
        <v>59878050</v>
      </c>
      <c r="J8005">
        <v>6</v>
      </c>
    </row>
    <row r="8006" spans="1:10" x14ac:dyDescent="0.25">
      <c r="A8006" t="s">
        <v>66</v>
      </c>
      <c r="B8006" s="1" t="str">
        <f>HYPERLINK("http://clubmotorsfountains.co.za","clubmotorsfountains.co.za")</f>
        <v>clubmotorsfountains.co.za</v>
      </c>
      <c r="C8006" t="s">
        <v>510</v>
      </c>
      <c r="D8006" t="s">
        <v>884</v>
      </c>
      <c r="J8006">
        <v>6</v>
      </c>
    </row>
    <row r="8007" spans="1:10" x14ac:dyDescent="0.25">
      <c r="A8007" t="s">
        <v>66</v>
      </c>
      <c r="B8007" s="1" t="str">
        <f>HYPERLINK("http://mini.co.za","mini.co.za")</f>
        <v>mini.co.za</v>
      </c>
      <c r="C8007" t="s">
        <v>510</v>
      </c>
      <c r="D8007" t="s">
        <v>884</v>
      </c>
      <c r="F8007">
        <v>2.1874837520076701E-8</v>
      </c>
      <c r="G8007">
        <v>2401010</v>
      </c>
      <c r="H8007">
        <v>12502305</v>
      </c>
      <c r="I8007">
        <v>17338404</v>
      </c>
      <c r="J8007">
        <v>4</v>
      </c>
    </row>
    <row r="8008" spans="1:10" x14ac:dyDescent="0.25">
      <c r="A8008" t="s">
        <v>67</v>
      </c>
      <c r="B8008" s="1" t="str">
        <f>HYPERLINK("http://synmedrx.ca","synmedrx.ca")</f>
        <v>synmedrx.ca</v>
      </c>
      <c r="C8008" t="s">
        <v>428</v>
      </c>
      <c r="D8008" t="s">
        <v>809</v>
      </c>
      <c r="F8008">
        <v>5.0875959101703197E-9</v>
      </c>
      <c r="G8008">
        <v>27340626</v>
      </c>
      <c r="H8008">
        <v>10226805</v>
      </c>
      <c r="I8008">
        <v>58911590</v>
      </c>
      <c r="J8008">
        <v>4</v>
      </c>
    </row>
    <row r="8009" spans="1:10" x14ac:dyDescent="0.25">
      <c r="A8009" t="s">
        <v>67</v>
      </c>
      <c r="B8009" s="1" t="str">
        <f>HYPERLINK("http://dymax.com.cn","dymax.com.cn")</f>
        <v>dymax.com.cn</v>
      </c>
      <c r="C8009" t="s">
        <v>431</v>
      </c>
      <c r="D8009" t="s">
        <v>812</v>
      </c>
      <c r="F8009">
        <v>5.6571443849371803E-9</v>
      </c>
      <c r="G8009">
        <v>19329524</v>
      </c>
      <c r="H8009">
        <v>10634956</v>
      </c>
      <c r="I8009">
        <v>43872442</v>
      </c>
      <c r="J8009">
        <v>4</v>
      </c>
    </row>
    <row r="8010" spans="1:10" x14ac:dyDescent="0.25">
      <c r="A8010" t="s">
        <v>67</v>
      </c>
      <c r="B8010" s="1" t="str">
        <f>HYPERLINK("http://alverix.com","alverix.com")</f>
        <v>alverix.com</v>
      </c>
      <c r="C8010" t="s">
        <v>433</v>
      </c>
      <c r="F8010">
        <v>4.7743437967056497E-9</v>
      </c>
      <c r="G8010">
        <v>37192815</v>
      </c>
      <c r="H8010">
        <v>12562217</v>
      </c>
      <c r="I8010">
        <v>16691754</v>
      </c>
      <c r="J8010">
        <v>3</v>
      </c>
    </row>
    <row r="8011" spans="1:10" x14ac:dyDescent="0.25">
      <c r="A8011" t="s">
        <v>67</v>
      </c>
      <c r="B8011" s="1" t="str">
        <f>HYPERLINK("http://atto.com","atto.com")</f>
        <v>atto.com</v>
      </c>
      <c r="C8011" t="s">
        <v>433</v>
      </c>
      <c r="E8011">
        <v>271550</v>
      </c>
      <c r="F8011">
        <v>2.6752610833103702E-7</v>
      </c>
      <c r="G8011">
        <v>139268</v>
      </c>
      <c r="H8011">
        <v>14265625</v>
      </c>
      <c r="I8011">
        <v>1408468</v>
      </c>
      <c r="J8011">
        <v>6</v>
      </c>
    </row>
    <row r="8012" spans="1:10" x14ac:dyDescent="0.25">
      <c r="A8012" t="s">
        <v>67</v>
      </c>
      <c r="B8012" s="1" t="str">
        <f>HYPERLINK("http://attotech.com","attotech.com")</f>
        <v>attotech.com</v>
      </c>
      <c r="C8012" t="s">
        <v>433</v>
      </c>
      <c r="E8012">
        <v>560030</v>
      </c>
      <c r="F8012">
        <v>1.4300934825965501E-7</v>
      </c>
      <c r="G8012">
        <v>272231</v>
      </c>
      <c r="H8012">
        <v>14570441</v>
      </c>
      <c r="I8012">
        <v>735358</v>
      </c>
      <c r="J8012">
        <v>8</v>
      </c>
    </row>
    <row r="8013" spans="1:10" x14ac:dyDescent="0.25">
      <c r="A8013" t="s">
        <v>67</v>
      </c>
      <c r="B8013" s="1" t="str">
        <f>HYPERLINK("http://bardaccess.com","bardaccess.com")</f>
        <v>bardaccess.com</v>
      </c>
      <c r="C8013" t="s">
        <v>433</v>
      </c>
      <c r="F8013">
        <v>3.4216880250201399E-8</v>
      </c>
      <c r="G8013">
        <v>1514626</v>
      </c>
      <c r="H8013">
        <v>14130209</v>
      </c>
      <c r="I8013">
        <v>2034865</v>
      </c>
      <c r="J8013">
        <v>3</v>
      </c>
    </row>
    <row r="8014" spans="1:10" x14ac:dyDescent="0.25">
      <c r="A8014" t="s">
        <v>67</v>
      </c>
      <c r="B8014" s="1" t="str">
        <f>HYPERLINK("http://bardbiopsy.com","bardbiopsy.com")</f>
        <v>bardbiopsy.com</v>
      </c>
      <c r="C8014" t="s">
        <v>433</v>
      </c>
      <c r="F8014">
        <v>7.8624806665459595E-9</v>
      </c>
      <c r="G8014">
        <v>10187355</v>
      </c>
      <c r="H8014">
        <v>12513280</v>
      </c>
      <c r="I8014">
        <v>17215199</v>
      </c>
      <c r="J8014">
        <v>6</v>
      </c>
    </row>
    <row r="8015" spans="1:10" x14ac:dyDescent="0.25">
      <c r="A8015" t="s">
        <v>67</v>
      </c>
      <c r="B8015" s="1" t="str">
        <f>HYPERLINK("http://bardpv.com","bardpv.com")</f>
        <v>bardpv.com</v>
      </c>
      <c r="C8015" t="s">
        <v>433</v>
      </c>
      <c r="F8015">
        <v>6.1743009731811405E-8</v>
      </c>
      <c r="G8015">
        <v>712467</v>
      </c>
      <c r="H8015">
        <v>13984282</v>
      </c>
      <c r="I8015">
        <v>4042982</v>
      </c>
      <c r="J8015">
        <v>3</v>
      </c>
    </row>
    <row r="8016" spans="1:10" x14ac:dyDescent="0.25">
      <c r="A8016" t="s">
        <v>67</v>
      </c>
      <c r="B8016" s="1" t="str">
        <f>HYPERLINK("http://bardpvoem.com","bardpvoem.com")</f>
        <v>bardpvoem.com</v>
      </c>
      <c r="C8016" t="s">
        <v>433</v>
      </c>
      <c r="F8016">
        <v>7.55646833807677E-9</v>
      </c>
      <c r="G8016">
        <v>10891731</v>
      </c>
      <c r="H8016">
        <v>11797746</v>
      </c>
      <c r="I8016">
        <v>29816818</v>
      </c>
      <c r="J8016">
        <v>6</v>
      </c>
    </row>
    <row r="8017" spans="1:10" x14ac:dyDescent="0.25">
      <c r="A8017" t="s">
        <v>67</v>
      </c>
      <c r="B8017" s="1" t="str">
        <f>HYPERLINK("http://bd.com","bd.com")</f>
        <v>bd.com</v>
      </c>
      <c r="C8017" t="s">
        <v>433</v>
      </c>
      <c r="E8017">
        <v>13284</v>
      </c>
      <c r="F8017">
        <v>1.9778880080700999E-6</v>
      </c>
      <c r="G8017">
        <v>18496</v>
      </c>
      <c r="H8017">
        <v>17494060</v>
      </c>
      <c r="I8017">
        <v>13963</v>
      </c>
      <c r="J8017">
        <v>1</v>
      </c>
    </row>
    <row r="8018" spans="1:10" x14ac:dyDescent="0.25">
      <c r="A8018" t="s">
        <v>67</v>
      </c>
      <c r="B8018" s="1" t="str">
        <f>HYPERLINK("http://bdbiosciences.com","bdbiosciences.com")</f>
        <v>bdbiosciences.com</v>
      </c>
      <c r="C8018" t="s">
        <v>433</v>
      </c>
      <c r="E8018">
        <v>128751</v>
      </c>
      <c r="F8018">
        <v>3.5694230109050298E-7</v>
      </c>
      <c r="G8018">
        <v>104728</v>
      </c>
      <c r="H8018">
        <v>14958129</v>
      </c>
      <c r="I8018">
        <v>437900</v>
      </c>
      <c r="J8018">
        <v>2</v>
      </c>
    </row>
    <row r="8019" spans="1:10" x14ac:dyDescent="0.25">
      <c r="A8019" t="s">
        <v>67</v>
      </c>
      <c r="B8019" s="1" t="str">
        <f>HYPERLINK("http://bdeurope.com","bdeurope.com")</f>
        <v>bdeurope.com</v>
      </c>
      <c r="C8019" t="s">
        <v>433</v>
      </c>
      <c r="F8019">
        <v>6.12055270520798E-9</v>
      </c>
      <c r="G8019">
        <v>15976726</v>
      </c>
      <c r="H8019">
        <v>14236068</v>
      </c>
      <c r="I8019">
        <v>1634996</v>
      </c>
      <c r="J8019">
        <v>3</v>
      </c>
    </row>
    <row r="8020" spans="1:10" x14ac:dyDescent="0.25">
      <c r="A8020" t="s">
        <v>67</v>
      </c>
      <c r="B8020" s="1" t="str">
        <f>HYPERLINK("http://carefusion.com","carefusion.com")</f>
        <v>carefusion.com</v>
      </c>
      <c r="C8020" t="s">
        <v>433</v>
      </c>
      <c r="E8020">
        <v>42722</v>
      </c>
      <c r="F8020">
        <v>1.01329816232894E-7</v>
      </c>
      <c r="G8020">
        <v>396748</v>
      </c>
      <c r="H8020">
        <v>13922176</v>
      </c>
      <c r="I8020">
        <v>5933695</v>
      </c>
      <c r="J8020">
        <v>4</v>
      </c>
    </row>
    <row r="8021" spans="1:10" x14ac:dyDescent="0.25">
      <c r="A8021" t="s">
        <v>67</v>
      </c>
      <c r="B8021" s="1" t="str">
        <f>HYPERLINK("http://cellular-research.com","cellular-research.com")</f>
        <v>cellular-research.com</v>
      </c>
      <c r="C8021" t="s">
        <v>433</v>
      </c>
      <c r="F8021">
        <v>1.04308081306633E-8</v>
      </c>
      <c r="G8021">
        <v>6330867</v>
      </c>
      <c r="H8021">
        <v>13763959</v>
      </c>
      <c r="I8021">
        <v>7467157</v>
      </c>
      <c r="J8021">
        <v>3</v>
      </c>
    </row>
    <row r="8022" spans="1:10" x14ac:dyDescent="0.25">
      <c r="A8022" t="s">
        <v>67</v>
      </c>
      <c r="B8022" s="1" t="str">
        <f>HYPERLINK("http://crbard.com","crbard.com")</f>
        <v>crbard.com</v>
      </c>
      <c r="C8022" t="s">
        <v>433</v>
      </c>
      <c r="E8022">
        <v>35567</v>
      </c>
      <c r="F8022">
        <v>8.8055163724338795E-8</v>
      </c>
      <c r="G8022">
        <v>465426</v>
      </c>
      <c r="H8022">
        <v>13674575</v>
      </c>
      <c r="I8022">
        <v>9541334</v>
      </c>
      <c r="J8022">
        <v>2</v>
      </c>
    </row>
    <row r="8023" spans="1:10" x14ac:dyDescent="0.25">
      <c r="A8023" t="s">
        <v>67</v>
      </c>
      <c r="B8023" s="1" t="str">
        <f>HYPERLINK("http://crisimed.com","crisimed.com")</f>
        <v>crisimed.com</v>
      </c>
      <c r="C8023" t="s">
        <v>433</v>
      </c>
      <c r="F8023">
        <v>5.0641229419026696E-9</v>
      </c>
      <c r="G8023">
        <v>27916271</v>
      </c>
      <c r="H8023">
        <v>12581236</v>
      </c>
      <c r="I8023">
        <v>16494492</v>
      </c>
      <c r="J8023">
        <v>3</v>
      </c>
    </row>
    <row r="8024" spans="1:10" x14ac:dyDescent="0.25">
      <c r="A8024" t="s">
        <v>67</v>
      </c>
      <c r="B8024" s="1" t="str">
        <f>HYPERLINK("http://cytopeia.com","cytopeia.com")</f>
        <v>cytopeia.com</v>
      </c>
      <c r="C8024" t="s">
        <v>433</v>
      </c>
      <c r="F8024">
        <v>4.4484017981610098E-9</v>
      </c>
      <c r="G8024">
        <v>72891637</v>
      </c>
      <c r="H8024">
        <v>10343727</v>
      </c>
      <c r="I8024">
        <v>57818048</v>
      </c>
      <c r="J8024">
        <v>6</v>
      </c>
    </row>
    <row r="8025" spans="1:10" x14ac:dyDescent="0.25">
      <c r="A8025" t="s">
        <v>67</v>
      </c>
      <c r="B8025" s="1" t="str">
        <f>HYPERLINK("http://davol.com","davol.com")</f>
        <v>davol.com</v>
      </c>
      <c r="C8025" t="s">
        <v>433</v>
      </c>
      <c r="F8025">
        <v>1.16952585792184E-8</v>
      </c>
      <c r="G8025">
        <v>5369437</v>
      </c>
      <c r="H8025">
        <v>13211258</v>
      </c>
      <c r="I8025">
        <v>11403449</v>
      </c>
      <c r="J8025">
        <v>3</v>
      </c>
    </row>
    <row r="8026" spans="1:10" x14ac:dyDescent="0.25">
      <c r="A8026" t="s">
        <v>67</v>
      </c>
      <c r="B8026" s="1" t="str">
        <f>HYPERLINK("http://dymax.com","dymax.com")</f>
        <v>dymax.com</v>
      </c>
      <c r="C8026" t="s">
        <v>433</v>
      </c>
      <c r="E8026">
        <v>634522</v>
      </c>
      <c r="F8026">
        <v>6.2808197052372102E-8</v>
      </c>
      <c r="G8026">
        <v>698213</v>
      </c>
      <c r="H8026">
        <v>14316355</v>
      </c>
      <c r="I8026">
        <v>1335220</v>
      </c>
      <c r="J8026">
        <v>3</v>
      </c>
    </row>
    <row r="8027" spans="1:10" x14ac:dyDescent="0.25">
      <c r="A8027" t="s">
        <v>67</v>
      </c>
      <c r="B8027" s="1" t="str">
        <f>HYPERLINK("http://dymax-oc.com","dymax-oc.com")</f>
        <v>dymax-oc.com</v>
      </c>
      <c r="C8027" t="s">
        <v>433</v>
      </c>
      <c r="F8027">
        <v>1.0070316381661599E-8</v>
      </c>
      <c r="G8027">
        <v>6682052</v>
      </c>
      <c r="H8027">
        <v>12444631</v>
      </c>
      <c r="I8027">
        <v>18089240</v>
      </c>
      <c r="J8027">
        <v>7</v>
      </c>
    </row>
    <row r="8028" spans="1:10" x14ac:dyDescent="0.25">
      <c r="A8028" t="s">
        <v>67</v>
      </c>
      <c r="B8028" s="1" t="str">
        <f>HYPERLINK("http://etofacts.com","etofacts.com")</f>
        <v>etofacts.com</v>
      </c>
      <c r="C8028" t="s">
        <v>433</v>
      </c>
      <c r="F8028">
        <v>7.1686091508586299E-9</v>
      </c>
      <c r="G8028">
        <v>11826596</v>
      </c>
      <c r="H8028">
        <v>12246465</v>
      </c>
      <c r="I8028">
        <v>22085784</v>
      </c>
      <c r="J8028">
        <v>3</v>
      </c>
    </row>
    <row r="8029" spans="1:10" x14ac:dyDescent="0.25">
      <c r="A8029" t="s">
        <v>67</v>
      </c>
      <c r="B8029" s="1" t="str">
        <f>HYPERLINK("http://flowcardia.com","flowcardia.com")</f>
        <v>flowcardia.com</v>
      </c>
      <c r="C8029" t="s">
        <v>433</v>
      </c>
      <c r="F8029">
        <v>4.2417371574342698E-8</v>
      </c>
      <c r="G8029">
        <v>1144070</v>
      </c>
      <c r="H8029">
        <v>16751199</v>
      </c>
      <c r="I8029">
        <v>293163</v>
      </c>
      <c r="J8029">
        <v>3</v>
      </c>
    </row>
    <row r="8030" spans="1:10" x14ac:dyDescent="0.25">
      <c r="A8030" t="s">
        <v>67</v>
      </c>
      <c r="B8030" s="1" t="str">
        <f>HYPERLINK("http://flowjo.com","flowjo.com")</f>
        <v>flowjo.com</v>
      </c>
      <c r="C8030" t="s">
        <v>433</v>
      </c>
      <c r="E8030">
        <v>145107</v>
      </c>
      <c r="F8030">
        <v>1.51560424175061E-7</v>
      </c>
      <c r="G8030">
        <v>256267</v>
      </c>
      <c r="H8030">
        <v>14486351</v>
      </c>
      <c r="I8030">
        <v>968237</v>
      </c>
      <c r="J8030">
        <v>3</v>
      </c>
    </row>
    <row r="8031" spans="1:10" x14ac:dyDescent="0.25">
      <c r="A8031" t="s">
        <v>67</v>
      </c>
      <c r="B8031" s="1" t="str">
        <f>HYPERLINK("http://gencellbio.com","gencellbio.com")</f>
        <v>gencellbio.com</v>
      </c>
      <c r="C8031" t="s">
        <v>433</v>
      </c>
      <c r="F8031">
        <v>6.6199974115043997E-9</v>
      </c>
      <c r="G8031">
        <v>13598532</v>
      </c>
      <c r="H8031">
        <v>13243088</v>
      </c>
      <c r="I8031">
        <v>11202161</v>
      </c>
      <c r="J8031">
        <v>3</v>
      </c>
    </row>
    <row r="8032" spans="1:10" x14ac:dyDescent="0.25">
      <c r="A8032" t="s">
        <v>67</v>
      </c>
      <c r="B8032" s="1" t="str">
        <f>HYPERLINK("http://gslcorp.com","gslcorp.com")</f>
        <v>gslcorp.com</v>
      </c>
      <c r="C8032" t="s">
        <v>433</v>
      </c>
      <c r="F8032">
        <v>6.6066667986928699E-9</v>
      </c>
      <c r="G8032">
        <v>13651857</v>
      </c>
      <c r="H8032">
        <v>11254530</v>
      </c>
      <c r="I8032">
        <v>30867513</v>
      </c>
      <c r="J8032">
        <v>6</v>
      </c>
    </row>
    <row r="8033" spans="1:10" x14ac:dyDescent="0.25">
      <c r="A8033" t="s">
        <v>67</v>
      </c>
      <c r="B8033" s="1" t="str">
        <f>HYPERLINK("http://gslsolutions.com","gslsolutions.com")</f>
        <v>gslsolutions.com</v>
      </c>
      <c r="C8033" t="s">
        <v>433</v>
      </c>
      <c r="F8033">
        <v>1.06589697366672E-7</v>
      </c>
      <c r="G8033">
        <v>375611</v>
      </c>
      <c r="H8033">
        <v>14028646</v>
      </c>
      <c r="I8033">
        <v>3970109</v>
      </c>
      <c r="J8033">
        <v>3</v>
      </c>
    </row>
    <row r="8034" spans="1:10" x14ac:dyDescent="0.25">
      <c r="A8034" t="s">
        <v>67</v>
      </c>
      <c r="B8034" s="1" t="str">
        <f>HYPERLINK("http://medafor.com","medafor.com")</f>
        <v>medafor.com</v>
      </c>
      <c r="C8034" t="s">
        <v>433</v>
      </c>
      <c r="F8034">
        <v>4.6018540963337397E-9</v>
      </c>
      <c r="G8034">
        <v>47461058</v>
      </c>
      <c r="H8034">
        <v>12277784</v>
      </c>
      <c r="I8034">
        <v>21353198</v>
      </c>
      <c r="J8034">
        <v>3</v>
      </c>
    </row>
    <row r="8035" spans="1:10" x14ac:dyDescent="0.25">
      <c r="A8035" t="s">
        <v>67</v>
      </c>
      <c r="B8035" s="1" t="str">
        <f>HYPERLINK("http://medivance.com","medivance.com")</f>
        <v>medivance.com</v>
      </c>
      <c r="C8035" t="s">
        <v>433</v>
      </c>
      <c r="F8035">
        <v>1.03765133215957E-8</v>
      </c>
      <c r="G8035">
        <v>6380357</v>
      </c>
      <c r="H8035">
        <v>13465053</v>
      </c>
      <c r="I8035">
        <v>10067343</v>
      </c>
      <c r="J8035">
        <v>3</v>
      </c>
    </row>
    <row r="8036" spans="1:10" x14ac:dyDescent="0.25">
      <c r="A8036" t="s">
        <v>67</v>
      </c>
      <c r="B8036" s="1" t="str">
        <f>HYPERLINK("http://medmined.com","medmined.com")</f>
        <v>medmined.com</v>
      </c>
      <c r="C8036" t="s">
        <v>433</v>
      </c>
      <c r="F8036">
        <v>5.8916904333693399E-9</v>
      </c>
      <c r="G8036">
        <v>17417103</v>
      </c>
      <c r="H8036">
        <v>13266354</v>
      </c>
      <c r="I8036">
        <v>11006913</v>
      </c>
      <c r="J8036">
        <v>5</v>
      </c>
    </row>
    <row r="8037" spans="1:10" x14ac:dyDescent="0.25">
      <c r="A8037" t="s">
        <v>67</v>
      </c>
      <c r="B8037" s="1" t="str">
        <f>HYPERLINK("http://natdx.com","natdx.com")</f>
        <v>natdx.com</v>
      </c>
      <c r="C8037" t="s">
        <v>433</v>
      </c>
      <c r="F8037">
        <v>4.5190858416997801E-9</v>
      </c>
      <c r="G8037">
        <v>56341325</v>
      </c>
      <c r="H8037">
        <v>12320822</v>
      </c>
      <c r="I8037">
        <v>20403824</v>
      </c>
      <c r="J8037">
        <v>3</v>
      </c>
    </row>
    <row r="8038" spans="1:10" x14ac:dyDescent="0.25">
      <c r="A8038" t="s">
        <v>67</v>
      </c>
      <c r="B8038" s="1" t="str">
        <f>HYPERLINK("http://neomendinc.com","neomendinc.com")</f>
        <v>neomendinc.com</v>
      </c>
      <c r="C8038" t="s">
        <v>433</v>
      </c>
      <c r="F8038">
        <v>4.4688252728907204E-9</v>
      </c>
      <c r="G8038">
        <v>64861905</v>
      </c>
      <c r="H8038">
        <v>10617952</v>
      </c>
      <c r="I8038">
        <v>44343392</v>
      </c>
      <c r="J8038">
        <v>3</v>
      </c>
    </row>
    <row r="8039" spans="1:10" x14ac:dyDescent="0.25">
      <c r="A8039" t="s">
        <v>67</v>
      </c>
      <c r="B8039" s="1" t="str">
        <f>HYPERLINK("http://parata.com","parata.com")</f>
        <v>parata.com</v>
      </c>
      <c r="C8039" t="s">
        <v>433</v>
      </c>
      <c r="E8039">
        <v>410360</v>
      </c>
      <c r="F8039">
        <v>3.2848804119123897E-8</v>
      </c>
      <c r="G8039">
        <v>1572783</v>
      </c>
      <c r="H8039">
        <v>13856305</v>
      </c>
      <c r="I8039">
        <v>6044385</v>
      </c>
      <c r="J8039">
        <v>6</v>
      </c>
    </row>
    <row r="8040" spans="1:10" x14ac:dyDescent="0.25">
      <c r="A8040" t="s">
        <v>67</v>
      </c>
      <c r="B8040" s="1" t="str">
        <f>HYPERLINK("http://phaseal.com","phaseal.com")</f>
        <v>phaseal.com</v>
      </c>
      <c r="C8040" t="s">
        <v>433</v>
      </c>
      <c r="F8040">
        <v>5.36465884773254E-9</v>
      </c>
      <c r="G8040">
        <v>22610919</v>
      </c>
      <c r="H8040">
        <v>12259353</v>
      </c>
      <c r="I8040">
        <v>21787440</v>
      </c>
      <c r="J8040">
        <v>4</v>
      </c>
    </row>
    <row r="8041" spans="1:10" x14ac:dyDescent="0.25">
      <c r="A8041" t="s">
        <v>67</v>
      </c>
      <c r="B8041" s="1" t="str">
        <f>HYPERLINK("http://preanalytix.com","preanalytix.com")</f>
        <v>preanalytix.com</v>
      </c>
      <c r="C8041" t="s">
        <v>433</v>
      </c>
      <c r="F8041">
        <v>1.8419268525409498E-8</v>
      </c>
      <c r="G8041">
        <v>2941897</v>
      </c>
      <c r="H8041">
        <v>13967197</v>
      </c>
      <c r="I8041">
        <v>4084654</v>
      </c>
      <c r="J8041">
        <v>3</v>
      </c>
    </row>
    <row r="8042" spans="1:10" x14ac:dyDescent="0.25">
      <c r="A8042" t="s">
        <v>67</v>
      </c>
      <c r="B8042" s="1" t="str">
        <f>HYPERLINK("http://purewick.com","purewick.com")</f>
        <v>purewick.com</v>
      </c>
      <c r="C8042" t="s">
        <v>433</v>
      </c>
      <c r="F8042">
        <v>5.0270906419371902E-9</v>
      </c>
      <c r="G8042">
        <v>28736632</v>
      </c>
      <c r="H8042">
        <v>12348204</v>
      </c>
      <c r="I8042">
        <v>19793711</v>
      </c>
      <c r="J8042">
        <v>3</v>
      </c>
    </row>
    <row r="8043" spans="1:10" x14ac:dyDescent="0.25">
      <c r="A8043" t="s">
        <v>67</v>
      </c>
      <c r="B8043" s="1" t="str">
        <f>HYPERLINK("http://safetysyringes.com","safetysyringes.com")</f>
        <v>safetysyringes.com</v>
      </c>
      <c r="C8043" t="s">
        <v>433</v>
      </c>
      <c r="F8043">
        <v>4.7638335131565098E-9</v>
      </c>
      <c r="G8043">
        <v>37646706</v>
      </c>
      <c r="H8043">
        <v>11220244</v>
      </c>
      <c r="I8043">
        <v>31091418</v>
      </c>
      <c r="J8043">
        <v>3</v>
      </c>
    </row>
    <row r="8044" spans="1:10" x14ac:dyDescent="0.25">
      <c r="A8044" t="s">
        <v>67</v>
      </c>
      <c r="B8044" s="1" t="str">
        <f>HYPERLINK("http://scanwellhealth.com","scanwellhealth.com")</f>
        <v>scanwellhealth.com</v>
      </c>
      <c r="C8044" t="s">
        <v>433</v>
      </c>
      <c r="F8044">
        <v>5.9023252120654198E-8</v>
      </c>
      <c r="G8044">
        <v>751308</v>
      </c>
      <c r="H8044">
        <v>16761034</v>
      </c>
      <c r="I8044">
        <v>228475</v>
      </c>
      <c r="J8044">
        <v>3</v>
      </c>
    </row>
    <row r="8045" spans="1:10" x14ac:dyDescent="0.25">
      <c r="A8045" t="s">
        <v>67</v>
      </c>
      <c r="B8045" s="1" t="str">
        <f>HYPERLINK("http://senorx.com","senorx.com")</f>
        <v>senorx.com</v>
      </c>
      <c r="C8045" t="s">
        <v>433</v>
      </c>
      <c r="F8045">
        <v>7.28587296814061E-9</v>
      </c>
      <c r="G8045">
        <v>11514935</v>
      </c>
      <c r="H8045">
        <v>13766353</v>
      </c>
      <c r="I8045">
        <v>7012677</v>
      </c>
      <c r="J8045">
        <v>3</v>
      </c>
    </row>
    <row r="8046" spans="1:10" x14ac:dyDescent="0.25">
      <c r="A8046" t="s">
        <v>67</v>
      </c>
      <c r="B8046" s="1" t="str">
        <f>HYPERLINK("http://sirigen.com","sirigen.com")</f>
        <v>sirigen.com</v>
      </c>
      <c r="C8046" t="s">
        <v>433</v>
      </c>
      <c r="F8046">
        <v>1.30332822687649E-8</v>
      </c>
      <c r="G8046">
        <v>4615282</v>
      </c>
      <c r="H8046">
        <v>13721778</v>
      </c>
      <c r="I8046">
        <v>9470835</v>
      </c>
      <c r="J8046">
        <v>3</v>
      </c>
    </row>
    <row r="8047" spans="1:10" x14ac:dyDescent="0.25">
      <c r="A8047" t="s">
        <v>67</v>
      </c>
      <c r="B8047" s="1" t="str">
        <f>HYPERLINK("http://straubmedical.com","straubmedical.com")</f>
        <v>straubmedical.com</v>
      </c>
      <c r="C8047" t="s">
        <v>433</v>
      </c>
      <c r="F8047">
        <v>8.3988078169911298E-9</v>
      </c>
      <c r="G8047">
        <v>9045372</v>
      </c>
      <c r="H8047">
        <v>13767992</v>
      </c>
      <c r="I8047">
        <v>6901857</v>
      </c>
      <c r="J8047">
        <v>3</v>
      </c>
    </row>
    <row r="8048" spans="1:10" x14ac:dyDescent="0.25">
      <c r="A8048" t="s">
        <v>67</v>
      </c>
      <c r="B8048" s="1" t="str">
        <f>HYPERLINK("http://synmedrx.com","synmedrx.com")</f>
        <v>synmedrx.com</v>
      </c>
      <c r="C8048" t="s">
        <v>433</v>
      </c>
      <c r="F8048">
        <v>3.7112706863641101E-8</v>
      </c>
      <c r="G8048">
        <v>1396250</v>
      </c>
      <c r="H8048">
        <v>13542485</v>
      </c>
      <c r="I8048">
        <v>9903940</v>
      </c>
      <c r="J8048">
        <v>3</v>
      </c>
    </row>
    <row r="8049" spans="1:10" x14ac:dyDescent="0.25">
      <c r="A8049" t="s">
        <v>67</v>
      </c>
      <c r="B8049" s="1" t="str">
        <f>HYPERLINK("http://tissuemed.com","tissuemed.com")</f>
        <v>tissuemed.com</v>
      </c>
      <c r="C8049" t="s">
        <v>433</v>
      </c>
      <c r="F8049">
        <v>8.7325142474654204E-9</v>
      </c>
      <c r="G8049">
        <v>8422293</v>
      </c>
      <c r="H8049">
        <v>12502339</v>
      </c>
      <c r="I8049">
        <v>17338148</v>
      </c>
      <c r="J8049">
        <v>3</v>
      </c>
    </row>
    <row r="8050" spans="1:10" x14ac:dyDescent="0.25">
      <c r="A8050" t="s">
        <v>67</v>
      </c>
      <c r="B8050" s="1" t="str">
        <f>HYPERLINK("http://tvamedical.com","tvamedical.com")</f>
        <v>tvamedical.com</v>
      </c>
      <c r="C8050" t="s">
        <v>433</v>
      </c>
      <c r="F8050">
        <v>1.32357091945928E-8</v>
      </c>
      <c r="G8050">
        <v>4522565</v>
      </c>
      <c r="H8050">
        <v>13167266</v>
      </c>
      <c r="I8050">
        <v>11735464</v>
      </c>
      <c r="J8050">
        <v>3</v>
      </c>
    </row>
    <row r="8051" spans="1:10" x14ac:dyDescent="0.25">
      <c r="A8051" t="s">
        <v>67</v>
      </c>
      <c r="B8051" s="1" t="str">
        <f>HYPERLINK("http://velanovascular.com","velanovascular.com")</f>
        <v>velanovascular.com</v>
      </c>
      <c r="C8051" t="s">
        <v>433</v>
      </c>
      <c r="F8051">
        <v>3.7307151480662798E-8</v>
      </c>
      <c r="G8051">
        <v>1387940</v>
      </c>
      <c r="H8051">
        <v>13982425</v>
      </c>
      <c r="I8051">
        <v>4046122</v>
      </c>
      <c r="J8051">
        <v>3</v>
      </c>
    </row>
    <row r="8052" spans="1:10" x14ac:dyDescent="0.25">
      <c r="A8052" t="s">
        <v>67</v>
      </c>
      <c r="B8052" s="1" t="str">
        <f>HYPERLINK("http://venclose.com","venclose.com")</f>
        <v>venclose.com</v>
      </c>
      <c r="C8052" t="s">
        <v>433</v>
      </c>
      <c r="F8052">
        <v>8.7882106455429896E-9</v>
      </c>
      <c r="G8052">
        <v>8329906</v>
      </c>
      <c r="H8052">
        <v>11842857</v>
      </c>
      <c r="I8052">
        <v>29808099</v>
      </c>
      <c r="J8052">
        <v>3</v>
      </c>
    </row>
    <row r="8053" spans="1:10" x14ac:dyDescent="0.25">
      <c r="A8053" t="s">
        <v>67</v>
      </c>
      <c r="B8053" s="1" t="str">
        <f>HYPERLINK("http://bard.de","bard.de")</f>
        <v>bard.de</v>
      </c>
      <c r="C8053" t="s">
        <v>436</v>
      </c>
      <c r="D8053" t="s">
        <v>815</v>
      </c>
      <c r="F8053">
        <v>8.5415681047577602E-9</v>
      </c>
      <c r="G8053">
        <v>8766206</v>
      </c>
      <c r="H8053">
        <v>12141511</v>
      </c>
      <c r="I8053">
        <v>24846873</v>
      </c>
      <c r="J8053">
        <v>4</v>
      </c>
    </row>
    <row r="8054" spans="1:10" x14ac:dyDescent="0.25">
      <c r="A8054" t="s">
        <v>67</v>
      </c>
      <c r="B8054" s="1" t="str">
        <f>HYPERLINK("http://rowa.de","rowa.de")</f>
        <v>rowa.de</v>
      </c>
      <c r="C8054" t="s">
        <v>436</v>
      </c>
      <c r="D8054" t="s">
        <v>815</v>
      </c>
      <c r="F8054">
        <v>7.5810099049738903E-8</v>
      </c>
      <c r="G8054">
        <v>554226</v>
      </c>
      <c r="H8054">
        <v>13025434</v>
      </c>
      <c r="I8054">
        <v>12692723</v>
      </c>
      <c r="J8054">
        <v>3</v>
      </c>
    </row>
    <row r="8055" spans="1:10" x14ac:dyDescent="0.25">
      <c r="A8055" t="s">
        <v>67</v>
      </c>
      <c r="B8055" s="1" t="str">
        <f>HYPERLINK("http://advancing-diagnostics.eu","advancing-diagnostics.eu")</f>
        <v>advancing-diagnostics.eu</v>
      </c>
      <c r="C8055" t="s">
        <v>444</v>
      </c>
      <c r="F8055">
        <v>5.5720515193974202E-9</v>
      </c>
      <c r="G8055">
        <v>20158991</v>
      </c>
      <c r="H8055">
        <v>11033741</v>
      </c>
      <c r="I8055">
        <v>33016198</v>
      </c>
      <c r="J8055">
        <v>3</v>
      </c>
    </row>
    <row r="8056" spans="1:10" x14ac:dyDescent="0.25">
      <c r="A8056" t="s">
        <v>67</v>
      </c>
      <c r="B8056" s="1" t="str">
        <f>HYPERLINK("http://cato.eu","cato.eu")</f>
        <v>cato.eu</v>
      </c>
      <c r="C8056" t="s">
        <v>444</v>
      </c>
      <c r="F8056">
        <v>7.1502033116844297E-9</v>
      </c>
      <c r="G8056">
        <v>11876300</v>
      </c>
      <c r="H8056">
        <v>13193719</v>
      </c>
      <c r="I8056">
        <v>11586162</v>
      </c>
      <c r="J8056">
        <v>3</v>
      </c>
    </row>
    <row r="8057" spans="1:10" x14ac:dyDescent="0.25">
      <c r="A8057" t="s">
        <v>67</v>
      </c>
      <c r="B8057" s="1" t="str">
        <f>HYPERLINK("http://bard.fi","bard.fi")</f>
        <v>bard.fi</v>
      </c>
      <c r="C8057" t="s">
        <v>445</v>
      </c>
      <c r="D8057" t="s">
        <v>823</v>
      </c>
      <c r="J8057">
        <v>2</v>
      </c>
    </row>
    <row r="8058" spans="1:10" x14ac:dyDescent="0.25">
      <c r="A8058" t="s">
        <v>67</v>
      </c>
      <c r="B8058" s="1" t="str">
        <f>HYPERLINK("http://bardcare.fi","bardcare.fi")</f>
        <v>bardcare.fi</v>
      </c>
      <c r="C8058" t="s">
        <v>445</v>
      </c>
      <c r="D8058" t="s">
        <v>823</v>
      </c>
      <c r="J8058">
        <v>2</v>
      </c>
    </row>
    <row r="8059" spans="1:10" x14ac:dyDescent="0.25">
      <c r="A8059" t="s">
        <v>67</v>
      </c>
      <c r="B8059" s="1" t="str">
        <f>HYPERLINK("http://bardnordic.fi","bardnordic.fi")</f>
        <v>bardnordic.fi</v>
      </c>
      <c r="C8059" t="s">
        <v>445</v>
      </c>
      <c r="D8059" t="s">
        <v>823</v>
      </c>
      <c r="J8059">
        <v>2</v>
      </c>
    </row>
    <row r="8060" spans="1:10" x14ac:dyDescent="0.25">
      <c r="A8060" t="s">
        <v>67</v>
      </c>
      <c r="B8060" s="1" t="str">
        <f>HYPERLINK("http://bdaccrediworld.fi","bdaccrediworld.fi")</f>
        <v>bdaccrediworld.fi</v>
      </c>
      <c r="C8060" t="s">
        <v>445</v>
      </c>
      <c r="D8060" t="s">
        <v>823</v>
      </c>
      <c r="J8060">
        <v>6</v>
      </c>
    </row>
    <row r="8061" spans="1:10" x14ac:dyDescent="0.25">
      <c r="A8061" t="s">
        <v>67</v>
      </c>
      <c r="B8061" s="1" t="str">
        <f>HYPERLINK("http://bddiabetes.fi","bddiabetes.fi")</f>
        <v>bddiabetes.fi</v>
      </c>
      <c r="C8061" t="s">
        <v>445</v>
      </c>
      <c r="D8061" t="s">
        <v>823</v>
      </c>
      <c r="J8061">
        <v>2</v>
      </c>
    </row>
    <row r="8062" spans="1:10" x14ac:dyDescent="0.25">
      <c r="A8062" t="s">
        <v>67</v>
      </c>
      <c r="B8062" s="1" t="str">
        <f>HYPERLINK("http://bectondickinson.fi","bectondickinson.fi")</f>
        <v>bectondickinson.fi</v>
      </c>
      <c r="C8062" t="s">
        <v>445</v>
      </c>
      <c r="D8062" t="s">
        <v>823</v>
      </c>
      <c r="J8062">
        <v>6</v>
      </c>
    </row>
    <row r="8063" spans="1:10" x14ac:dyDescent="0.25">
      <c r="A8063" t="s">
        <v>67</v>
      </c>
      <c r="B8063" s="1" t="str">
        <f>HYPERLINK("http://carefusion.fi","carefusion.fi")</f>
        <v>carefusion.fi</v>
      </c>
      <c r="C8063" t="s">
        <v>445</v>
      </c>
      <c r="D8063" t="s">
        <v>823</v>
      </c>
      <c r="F8063">
        <v>4.44380395335525E-9</v>
      </c>
      <c r="G8063">
        <v>84770142</v>
      </c>
      <c r="H8063">
        <v>0</v>
      </c>
      <c r="I8063">
        <v>85883053</v>
      </c>
      <c r="J8063">
        <v>4</v>
      </c>
    </row>
    <row r="8064" spans="1:10" x14ac:dyDescent="0.25">
      <c r="A8064" t="s">
        <v>67</v>
      </c>
      <c r="B8064" s="1" t="str">
        <f>HYPERLINK("http://carmelpharma.fi","carmelpharma.fi")</f>
        <v>carmelpharma.fi</v>
      </c>
      <c r="C8064" t="s">
        <v>445</v>
      </c>
      <c r="D8064" t="s">
        <v>823</v>
      </c>
      <c r="J8064">
        <v>4</v>
      </c>
    </row>
    <row r="8065" spans="1:10" x14ac:dyDescent="0.25">
      <c r="A8065" t="s">
        <v>67</v>
      </c>
      <c r="B8065" s="1" t="str">
        <f>HYPERLINK("http://embecta.fi","embecta.fi")</f>
        <v>embecta.fi</v>
      </c>
      <c r="C8065" t="s">
        <v>445</v>
      </c>
      <c r="D8065" t="s">
        <v>823</v>
      </c>
      <c r="J8065">
        <v>2</v>
      </c>
    </row>
    <row r="8066" spans="1:10" x14ac:dyDescent="0.25">
      <c r="A8066" t="s">
        <v>67</v>
      </c>
      <c r="B8066" s="1" t="str">
        <f>HYPERLINK("http://phaseal.fi","phaseal.fi")</f>
        <v>phaseal.fi</v>
      </c>
      <c r="C8066" t="s">
        <v>445</v>
      </c>
      <c r="D8066" t="s">
        <v>823</v>
      </c>
      <c r="J8066">
        <v>4</v>
      </c>
    </row>
    <row r="8067" spans="1:10" x14ac:dyDescent="0.25">
      <c r="A8067" t="s">
        <v>67</v>
      </c>
      <c r="B8067" s="1" t="str">
        <f>HYPERLINK("http://clearstream.ie","clearstream.ie")</f>
        <v>clearstream.ie</v>
      </c>
      <c r="C8067" t="s">
        <v>455</v>
      </c>
      <c r="D8067" t="s">
        <v>832</v>
      </c>
      <c r="F8067">
        <v>5.5141391665458699E-9</v>
      </c>
      <c r="G8067">
        <v>20748663</v>
      </c>
      <c r="H8067">
        <v>13933571</v>
      </c>
      <c r="I8067">
        <v>4712125</v>
      </c>
      <c r="J8067">
        <v>3</v>
      </c>
    </row>
    <row r="8068" spans="1:10" x14ac:dyDescent="0.25">
      <c r="A8068" t="s">
        <v>67</v>
      </c>
      <c r="B8068" s="1" t="str">
        <f>HYPERLINK("http://bdj.co.jp","bdj.co.jp")</f>
        <v>bdj.co.jp</v>
      </c>
      <c r="C8068" t="s">
        <v>461</v>
      </c>
      <c r="D8068" t="s">
        <v>837</v>
      </c>
      <c r="E8068">
        <v>847593</v>
      </c>
      <c r="F8068">
        <v>3.5463472839226397E-8</v>
      </c>
      <c r="G8068">
        <v>1467545</v>
      </c>
      <c r="H8068">
        <v>14127185</v>
      </c>
      <c r="I8068">
        <v>2087622</v>
      </c>
      <c r="J8068">
        <v>3</v>
      </c>
    </row>
    <row r="8069" spans="1:10" x14ac:dyDescent="0.25">
      <c r="A8069" t="s">
        <v>67</v>
      </c>
      <c r="B8069" s="1" t="str">
        <f>HYPERLINK("http://carmelpharma.se","carmelpharma.se")</f>
        <v>carmelpharma.se</v>
      </c>
      <c r="C8069" t="s">
        <v>495</v>
      </c>
      <c r="D8069" t="s">
        <v>869</v>
      </c>
      <c r="F8069">
        <v>4.8123776696923497E-9</v>
      </c>
      <c r="G8069">
        <v>35568349</v>
      </c>
      <c r="H8069">
        <v>10797019</v>
      </c>
      <c r="I8069">
        <v>38248535</v>
      </c>
      <c r="J8069">
        <v>3</v>
      </c>
    </row>
    <row r="8070" spans="1:10" x14ac:dyDescent="0.25">
      <c r="A8070" t="s">
        <v>67</v>
      </c>
      <c r="B8070" s="1" t="str">
        <f>HYPERLINK("http://arx-ltd.co.uk","arx-ltd.co.uk")</f>
        <v>arx-ltd.co.uk</v>
      </c>
      <c r="C8070" t="s">
        <v>506</v>
      </c>
      <c r="D8070" t="s">
        <v>880</v>
      </c>
      <c r="F8070">
        <v>4.5793062601878501E-9</v>
      </c>
      <c r="G8070">
        <v>49346771</v>
      </c>
      <c r="H8070">
        <v>12368912</v>
      </c>
      <c r="I8070">
        <v>19427452</v>
      </c>
      <c r="J8070">
        <v>3</v>
      </c>
    </row>
    <row r="8071" spans="1:10" x14ac:dyDescent="0.25">
      <c r="A8071" t="s">
        <v>67</v>
      </c>
      <c r="B8071" s="1" t="str">
        <f>HYPERLINK("http://cmemedical.co.uk","cmemedical.co.uk")</f>
        <v>cmemedical.co.uk</v>
      </c>
      <c r="C8071" t="s">
        <v>506</v>
      </c>
      <c r="D8071" t="s">
        <v>880</v>
      </c>
      <c r="F8071">
        <v>5.7494776447206702E-9</v>
      </c>
      <c r="G8071">
        <v>18501396</v>
      </c>
      <c r="H8071">
        <v>13136105</v>
      </c>
      <c r="I8071">
        <v>11908016</v>
      </c>
      <c r="J8071">
        <v>4</v>
      </c>
    </row>
    <row r="8072" spans="1:10" x14ac:dyDescent="0.25">
      <c r="A8072" t="s">
        <v>67</v>
      </c>
      <c r="B8072" s="1" t="str">
        <f>HYPERLINK("http://synmedrx.co.uk","synmedrx.co.uk")</f>
        <v>synmedrx.co.uk</v>
      </c>
      <c r="C8072" t="s">
        <v>506</v>
      </c>
      <c r="D8072" t="s">
        <v>880</v>
      </c>
      <c r="F8072">
        <v>5.08759580711229E-9</v>
      </c>
      <c r="G8072">
        <v>27340628</v>
      </c>
      <c r="H8072">
        <v>10226805</v>
      </c>
      <c r="I8072">
        <v>58911593</v>
      </c>
      <c r="J8072">
        <v>4</v>
      </c>
    </row>
    <row r="8073" spans="1:10" x14ac:dyDescent="0.25">
      <c r="A8073" t="s">
        <v>1597</v>
      </c>
      <c r="B8073" s="1" t="str">
        <f>HYPERLINK("http://84000.com.cn","84000.com.cn")</f>
        <v>84000.com.cn</v>
      </c>
      <c r="C8073" t="s">
        <v>431</v>
      </c>
      <c r="D8073" t="s">
        <v>812</v>
      </c>
      <c r="F8073">
        <v>4.7988983368094001E-8</v>
      </c>
      <c r="G8073">
        <v>969236</v>
      </c>
      <c r="H8073">
        <v>12466894</v>
      </c>
      <c r="I8073">
        <v>17794099</v>
      </c>
      <c r="J8073">
        <v>6</v>
      </c>
    </row>
    <row r="8074" spans="1:10" x14ac:dyDescent="0.25">
      <c r="A8074" t="s">
        <v>1597</v>
      </c>
      <c r="B8074" s="1" t="str">
        <f>HYPERLINK("http://jiushi.com.cn","jiushi.com.cn")</f>
        <v>jiushi.com.cn</v>
      </c>
      <c r="C8074" t="s">
        <v>431</v>
      </c>
      <c r="D8074" t="s">
        <v>812</v>
      </c>
      <c r="F8074">
        <v>4.5034380190176499E-8</v>
      </c>
      <c r="G8074">
        <v>1048464</v>
      </c>
      <c r="H8074">
        <v>11261556</v>
      </c>
      <c r="I8074">
        <v>30822885</v>
      </c>
      <c r="J8074">
        <v>5</v>
      </c>
    </row>
    <row r="8075" spans="1:10" x14ac:dyDescent="0.25">
      <c r="A8075" t="s">
        <v>1597</v>
      </c>
      <c r="B8075" s="1" t="str">
        <f>HYPERLINK("http://cr-jh.cn","cr-jh.cn")</f>
        <v>cr-jh.cn</v>
      </c>
      <c r="C8075" t="s">
        <v>431</v>
      </c>
      <c r="D8075" t="s">
        <v>812</v>
      </c>
      <c r="F8075">
        <v>1.6371713010164201E-8</v>
      </c>
      <c r="G8075">
        <v>3453366</v>
      </c>
      <c r="H8075">
        <v>14108091</v>
      </c>
      <c r="I8075">
        <v>2681021</v>
      </c>
      <c r="J8075">
        <v>1</v>
      </c>
    </row>
    <row r="8076" spans="1:10" x14ac:dyDescent="0.25">
      <c r="A8076" t="s">
        <v>68</v>
      </c>
      <c r="B8076" s="1" t="str">
        <f>HYPERLINK("http://iscar.com.ar","iscar.com.ar")</f>
        <v>iscar.com.ar</v>
      </c>
      <c r="C8076" t="s">
        <v>418</v>
      </c>
      <c r="D8076" t="s">
        <v>800</v>
      </c>
      <c r="F8076">
        <v>7.42786532784636E-9</v>
      </c>
      <c r="G8076">
        <v>11177184</v>
      </c>
      <c r="H8076">
        <v>11992163</v>
      </c>
      <c r="I8076">
        <v>28341408</v>
      </c>
      <c r="J8076">
        <v>4</v>
      </c>
    </row>
    <row r="8077" spans="1:10" x14ac:dyDescent="0.25">
      <c r="A8077" t="s">
        <v>68</v>
      </c>
      <c r="B8077" s="1" t="str">
        <f>HYPERLINK("http://duracelldirect.asia","duracelldirect.asia")</f>
        <v>duracelldirect.asia</v>
      </c>
      <c r="C8077" t="s">
        <v>525</v>
      </c>
      <c r="F8077">
        <v>4.4439410541729601E-9</v>
      </c>
      <c r="G8077">
        <v>77840199</v>
      </c>
      <c r="H8077">
        <v>10385955</v>
      </c>
      <c r="I8077">
        <v>54450918</v>
      </c>
      <c r="J8077">
        <v>6</v>
      </c>
    </row>
    <row r="8078" spans="1:10" x14ac:dyDescent="0.25">
      <c r="A8078" t="s">
        <v>68</v>
      </c>
      <c r="B8078" s="1" t="str">
        <f>HYPERLINK("http://duracell.at","duracell.at")</f>
        <v>duracell.at</v>
      </c>
      <c r="C8078" t="s">
        <v>419</v>
      </c>
      <c r="D8078" t="s">
        <v>801</v>
      </c>
      <c r="F8078">
        <v>9.0076403703282008E-9</v>
      </c>
      <c r="G8078">
        <v>7980380</v>
      </c>
      <c r="H8078">
        <v>10830295</v>
      </c>
      <c r="I8078">
        <v>37388250</v>
      </c>
      <c r="J8078">
        <v>7</v>
      </c>
    </row>
    <row r="8079" spans="1:10" x14ac:dyDescent="0.25">
      <c r="A8079" t="s">
        <v>68</v>
      </c>
      <c r="B8079" s="1" t="str">
        <f>HYPERLINK("http://iscar.at","iscar.at")</f>
        <v>iscar.at</v>
      </c>
      <c r="C8079" t="s">
        <v>419</v>
      </c>
      <c r="D8079" t="s">
        <v>801</v>
      </c>
      <c r="F8079">
        <v>1.00837609969158E-8</v>
      </c>
      <c r="G8079">
        <v>6666220</v>
      </c>
      <c r="H8079">
        <v>12353702</v>
      </c>
      <c r="I8079">
        <v>19704462</v>
      </c>
      <c r="J8079">
        <v>4</v>
      </c>
    </row>
    <row r="8080" spans="1:10" x14ac:dyDescent="0.25">
      <c r="A8080" t="s">
        <v>68</v>
      </c>
      <c r="B8080" s="1" t="str">
        <f>HYPERLINK("http://mouser.at","mouser.at")</f>
        <v>mouser.at</v>
      </c>
      <c r="C8080" t="s">
        <v>419</v>
      </c>
      <c r="D8080" t="s">
        <v>801</v>
      </c>
      <c r="F8080">
        <v>8.3116952490081193E-8</v>
      </c>
      <c r="G8080">
        <v>501759</v>
      </c>
      <c r="H8080">
        <v>13263486</v>
      </c>
      <c r="I8080">
        <v>11021668</v>
      </c>
      <c r="J8080">
        <v>4</v>
      </c>
    </row>
    <row r="8081" spans="1:10" x14ac:dyDescent="0.25">
      <c r="A8081" t="s">
        <v>68</v>
      </c>
      <c r="B8081" s="1" t="str">
        <f>HYPERLINK("http://pamperedchef.at","pamperedchef.at")</f>
        <v>pamperedchef.at</v>
      </c>
      <c r="C8081" t="s">
        <v>419</v>
      </c>
      <c r="D8081" t="s">
        <v>801</v>
      </c>
      <c r="F8081">
        <v>9.0479912136082906E-9</v>
      </c>
      <c r="G8081">
        <v>7920663</v>
      </c>
      <c r="H8081">
        <v>12113509</v>
      </c>
      <c r="I8081">
        <v>25640422</v>
      </c>
      <c r="J8081">
        <v>4</v>
      </c>
    </row>
    <row r="8082" spans="1:10" x14ac:dyDescent="0.25">
      <c r="A8082" t="s">
        <v>68</v>
      </c>
      <c r="B8082" s="1" t="str">
        <f>HYPERLINK("http://brooksrunning.com.au","brooksrunning.com.au")</f>
        <v>brooksrunning.com.au</v>
      </c>
      <c r="C8082" t="s">
        <v>420</v>
      </c>
      <c r="D8082" t="s">
        <v>802</v>
      </c>
      <c r="E8082">
        <v>643591</v>
      </c>
      <c r="F8082">
        <v>1.8849821917292301E-8</v>
      </c>
      <c r="G8082">
        <v>2862464</v>
      </c>
      <c r="H8082">
        <v>13393189</v>
      </c>
      <c r="I8082">
        <v>10383948</v>
      </c>
      <c r="J8082">
        <v>4</v>
      </c>
    </row>
    <row r="8083" spans="1:10" x14ac:dyDescent="0.25">
      <c r="A8083" t="s">
        <v>68</v>
      </c>
      <c r="B8083" s="1" t="str">
        <f>HYPERLINK("http://duracell.com.au","duracell.com.au")</f>
        <v>duracell.com.au</v>
      </c>
      <c r="C8083" t="s">
        <v>420</v>
      </c>
      <c r="D8083" t="s">
        <v>802</v>
      </c>
      <c r="F8083">
        <v>9.9263676584448403E-9</v>
      </c>
      <c r="G8083">
        <v>6831054</v>
      </c>
      <c r="H8083">
        <v>13765363</v>
      </c>
      <c r="I8083">
        <v>7111348</v>
      </c>
      <c r="J8083">
        <v>6</v>
      </c>
    </row>
    <row r="8084" spans="1:10" x14ac:dyDescent="0.25">
      <c r="A8084" t="s">
        <v>68</v>
      </c>
      <c r="B8084" s="1" t="str">
        <f>HYPERLINK("http://duracelldirect.com.au","duracelldirect.com.au")</f>
        <v>duracelldirect.com.au</v>
      </c>
      <c r="C8084" t="s">
        <v>420</v>
      </c>
      <c r="D8084" t="s">
        <v>802</v>
      </c>
      <c r="F8084">
        <v>2.9370616072950199E-8</v>
      </c>
      <c r="G8084">
        <v>1754388</v>
      </c>
      <c r="H8084">
        <v>13696736</v>
      </c>
      <c r="I8084">
        <v>9520215</v>
      </c>
      <c r="J8084">
        <v>4</v>
      </c>
    </row>
    <row r="8085" spans="1:10" x14ac:dyDescent="0.25">
      <c r="A8085" t="s">
        <v>68</v>
      </c>
      <c r="B8085" s="1" t="str">
        <f>HYPERLINK("http://iscar.com.au","iscar.com.au")</f>
        <v>iscar.com.au</v>
      </c>
      <c r="C8085" t="s">
        <v>420</v>
      </c>
      <c r="D8085" t="s">
        <v>802</v>
      </c>
      <c r="F8085">
        <v>8.7425333680055004E-9</v>
      </c>
      <c r="G8085">
        <v>8405505</v>
      </c>
      <c r="H8085">
        <v>12021365</v>
      </c>
      <c r="I8085">
        <v>27845783</v>
      </c>
      <c r="J8085">
        <v>4</v>
      </c>
    </row>
    <row r="8086" spans="1:10" x14ac:dyDescent="0.25">
      <c r="A8086" t="s">
        <v>68</v>
      </c>
      <c r="B8086" s="1" t="str">
        <f>HYPERLINK("http://wasa.com.au","wasa.com.au")</f>
        <v>wasa.com.au</v>
      </c>
      <c r="C8086" t="s">
        <v>420</v>
      </c>
      <c r="D8086" t="s">
        <v>802</v>
      </c>
      <c r="F8086">
        <v>4.5832753150937297E-9</v>
      </c>
      <c r="G8086">
        <v>49020082</v>
      </c>
      <c r="H8086">
        <v>10446697</v>
      </c>
      <c r="I8086">
        <v>52177554</v>
      </c>
      <c r="J8086">
        <v>4</v>
      </c>
    </row>
    <row r="8087" spans="1:10" x14ac:dyDescent="0.25">
      <c r="A8087" t="s">
        <v>68</v>
      </c>
      <c r="B8087" s="1" t="str">
        <f>HYPERLINK("http://worldbook.com.au","worldbook.com.au")</f>
        <v>worldbook.com.au</v>
      </c>
      <c r="C8087" t="s">
        <v>420</v>
      </c>
      <c r="D8087" t="s">
        <v>802</v>
      </c>
      <c r="F8087">
        <v>7.5578359986725004E-9</v>
      </c>
      <c r="G8087">
        <v>10888834</v>
      </c>
      <c r="H8087">
        <v>13942545</v>
      </c>
      <c r="I8087">
        <v>4328854</v>
      </c>
      <c r="J8087">
        <v>5</v>
      </c>
    </row>
    <row r="8088" spans="1:10" x14ac:dyDescent="0.25">
      <c r="A8088" t="s">
        <v>68</v>
      </c>
      <c r="B8088" s="1" t="str">
        <f>HYPERLINK("http://ecowater.ba","ecowater.ba")</f>
        <v>ecowater.ba</v>
      </c>
      <c r="C8088" t="s">
        <v>526</v>
      </c>
      <c r="D8088" t="s">
        <v>893</v>
      </c>
      <c r="F8088">
        <v>8.3861247181963504E-9</v>
      </c>
      <c r="G8088">
        <v>9071510</v>
      </c>
      <c r="H8088">
        <v>12667077</v>
      </c>
      <c r="I8088">
        <v>15645555</v>
      </c>
      <c r="J8088">
        <v>5</v>
      </c>
    </row>
    <row r="8089" spans="1:10" x14ac:dyDescent="0.25">
      <c r="A8089" t="s">
        <v>68</v>
      </c>
      <c r="B8089" s="1" t="str">
        <f>HYPERLINK("http://duracell.be","duracell.be")</f>
        <v>duracell.be</v>
      </c>
      <c r="C8089" t="s">
        <v>421</v>
      </c>
      <c r="D8089" t="s">
        <v>803</v>
      </c>
      <c r="F8089">
        <v>1.35268704165638E-8</v>
      </c>
      <c r="G8089">
        <v>4392702</v>
      </c>
      <c r="H8089">
        <v>12340301</v>
      </c>
      <c r="I8089">
        <v>19996920</v>
      </c>
      <c r="J8089">
        <v>6</v>
      </c>
    </row>
    <row r="8090" spans="1:10" x14ac:dyDescent="0.25">
      <c r="A8090" t="s">
        <v>68</v>
      </c>
      <c r="B8090" s="1" t="str">
        <f>HYPERLINK("http://iscar.be","iscar.be")</f>
        <v>iscar.be</v>
      </c>
      <c r="C8090" t="s">
        <v>421</v>
      </c>
      <c r="D8090" t="s">
        <v>803</v>
      </c>
      <c r="F8090">
        <v>8.2758836635906098E-9</v>
      </c>
      <c r="G8090">
        <v>9314731</v>
      </c>
      <c r="H8090">
        <v>12115435</v>
      </c>
      <c r="I8090">
        <v>25597489</v>
      </c>
      <c r="J8090">
        <v>4</v>
      </c>
    </row>
    <row r="8091" spans="1:10" x14ac:dyDescent="0.25">
      <c r="A8091" t="s">
        <v>68</v>
      </c>
      <c r="B8091" s="1" t="str">
        <f>HYPERLINK("http://mouser.be","mouser.be")</f>
        <v>mouser.be</v>
      </c>
      <c r="C8091" t="s">
        <v>421</v>
      </c>
      <c r="D8091" t="s">
        <v>803</v>
      </c>
      <c r="F8091">
        <v>8.1056499480468102E-8</v>
      </c>
      <c r="G8091">
        <v>515013</v>
      </c>
      <c r="H8091">
        <v>13225889</v>
      </c>
      <c r="I8091">
        <v>11305027</v>
      </c>
      <c r="J8091">
        <v>4</v>
      </c>
    </row>
    <row r="8092" spans="1:10" x14ac:dyDescent="0.25">
      <c r="A8092" t="s">
        <v>68</v>
      </c>
      <c r="B8092" s="1" t="str">
        <f>HYPERLINK("http://ecowater.bg","ecowater.bg")</f>
        <v>ecowater.bg</v>
      </c>
      <c r="C8092" t="s">
        <v>422</v>
      </c>
      <c r="D8092" t="s">
        <v>804</v>
      </c>
      <c r="F8092">
        <v>9.0312216624820399E-9</v>
      </c>
      <c r="G8092">
        <v>7945759</v>
      </c>
      <c r="H8092">
        <v>12667083</v>
      </c>
      <c r="I8092">
        <v>15645509</v>
      </c>
      <c r="J8092">
        <v>5</v>
      </c>
    </row>
    <row r="8093" spans="1:10" x14ac:dyDescent="0.25">
      <c r="A8093" t="s">
        <v>68</v>
      </c>
      <c r="B8093" s="1" t="str">
        <f>HYPERLINK("http://iscar.bg","iscar.bg")</f>
        <v>iscar.bg</v>
      </c>
      <c r="C8093" t="s">
        <v>422</v>
      </c>
      <c r="D8093" t="s">
        <v>804</v>
      </c>
      <c r="F8093">
        <v>5.5011610728393997E-9</v>
      </c>
      <c r="G8093">
        <v>20887700</v>
      </c>
      <c r="H8093">
        <v>12062546</v>
      </c>
      <c r="I8093">
        <v>26950457</v>
      </c>
      <c r="J8093">
        <v>4</v>
      </c>
    </row>
    <row r="8094" spans="1:10" x14ac:dyDescent="0.25">
      <c r="A8094" t="s">
        <v>68</v>
      </c>
      <c r="B8094" s="1" t="str">
        <f>HYPERLINK("http://mouser.bg","mouser.bg")</f>
        <v>mouser.bg</v>
      </c>
      <c r="C8094" t="s">
        <v>422</v>
      </c>
      <c r="D8094" t="s">
        <v>804</v>
      </c>
      <c r="F8094">
        <v>8.8952155893409306E-8</v>
      </c>
      <c r="G8094">
        <v>459686</v>
      </c>
      <c r="H8094">
        <v>13944521</v>
      </c>
      <c r="I8094">
        <v>4301189</v>
      </c>
      <c r="J8094">
        <v>4</v>
      </c>
    </row>
    <row r="8095" spans="1:10" x14ac:dyDescent="0.25">
      <c r="A8095" t="s">
        <v>68</v>
      </c>
      <c r="B8095" s="1" t="str">
        <f>HYPERLINK("http://pamperedchef.biz","pamperedchef.biz")</f>
        <v>pamperedchef.biz</v>
      </c>
      <c r="C8095" t="s">
        <v>423</v>
      </c>
      <c r="E8095">
        <v>332374</v>
      </c>
      <c r="F8095">
        <v>9.1088484023652095E-8</v>
      </c>
      <c r="G8095">
        <v>447575</v>
      </c>
      <c r="H8095">
        <v>14204980</v>
      </c>
      <c r="I8095">
        <v>1713179</v>
      </c>
      <c r="J8095">
        <v>4</v>
      </c>
    </row>
    <row r="8096" spans="1:10" x14ac:dyDescent="0.25">
      <c r="A8096" t="s">
        <v>68</v>
      </c>
      <c r="B8096" s="1" t="str">
        <f>HYPERLINK("http://duracell.com.br","duracell.com.br")</f>
        <v>duracell.com.br</v>
      </c>
      <c r="C8096" t="s">
        <v>425</v>
      </c>
      <c r="D8096" t="s">
        <v>806</v>
      </c>
      <c r="F8096">
        <v>8.4055611989423305E-9</v>
      </c>
      <c r="G8096">
        <v>9031407</v>
      </c>
      <c r="H8096">
        <v>13763650</v>
      </c>
      <c r="I8096">
        <v>7889039</v>
      </c>
      <c r="J8096">
        <v>6</v>
      </c>
    </row>
    <row r="8097" spans="1:10" x14ac:dyDescent="0.25">
      <c r="A8097" t="s">
        <v>68</v>
      </c>
      <c r="B8097" s="1" t="str">
        <f>HYPERLINK("http://iscar.com.br","iscar.com.br")</f>
        <v>iscar.com.br</v>
      </c>
      <c r="C8097" t="s">
        <v>425</v>
      </c>
      <c r="D8097" t="s">
        <v>806</v>
      </c>
      <c r="F8097">
        <v>8.2716688101016205E-9</v>
      </c>
      <c r="G8097">
        <v>9324595</v>
      </c>
      <c r="H8097">
        <v>11992176</v>
      </c>
      <c r="I8097">
        <v>28341291</v>
      </c>
      <c r="J8097">
        <v>4</v>
      </c>
    </row>
    <row r="8098" spans="1:10" x14ac:dyDescent="0.25">
      <c r="A8098" t="s">
        <v>68</v>
      </c>
      <c r="B8098" s="1" t="str">
        <f>HYPERLINK("http://lubrizol.com.br","lubrizol.com.br")</f>
        <v>lubrizol.com.br</v>
      </c>
      <c r="C8098" t="s">
        <v>425</v>
      </c>
      <c r="D8098" t="s">
        <v>806</v>
      </c>
      <c r="J8098">
        <v>3</v>
      </c>
    </row>
    <row r="8099" spans="1:10" x14ac:dyDescent="0.25">
      <c r="A8099" t="s">
        <v>68</v>
      </c>
      <c r="B8099" s="1" t="str">
        <f>HYPERLINK("http://ecowater.by","ecowater.by")</f>
        <v>ecowater.by</v>
      </c>
      <c r="C8099" t="s">
        <v>427</v>
      </c>
      <c r="D8099" t="s">
        <v>808</v>
      </c>
      <c r="F8099">
        <v>8.3287547623645404E-9</v>
      </c>
      <c r="G8099">
        <v>9191808</v>
      </c>
      <c r="H8099">
        <v>12667077</v>
      </c>
      <c r="I8099">
        <v>15645556</v>
      </c>
      <c r="J8099">
        <v>5</v>
      </c>
    </row>
    <row r="8100" spans="1:10" x14ac:dyDescent="0.25">
      <c r="A8100" t="s">
        <v>68</v>
      </c>
      <c r="B8100" s="1" t="str">
        <f>HYPERLINK("http://iscar.by","iscar.by")</f>
        <v>iscar.by</v>
      </c>
      <c r="C8100" t="s">
        <v>427</v>
      </c>
      <c r="D8100" t="s">
        <v>808</v>
      </c>
      <c r="F8100">
        <v>4.44380395335525E-9</v>
      </c>
      <c r="G8100">
        <v>80087377</v>
      </c>
      <c r="H8100">
        <v>0</v>
      </c>
      <c r="I8100">
        <v>80118174</v>
      </c>
      <c r="J8100">
        <v>4</v>
      </c>
    </row>
    <row r="8101" spans="1:10" x14ac:dyDescent="0.25">
      <c r="A8101" t="s">
        <v>68</v>
      </c>
      <c r="B8101" s="1" t="str">
        <f>HYPERLINK("http://bhe.bz","bhe.bz")</f>
        <v>bhe.bz</v>
      </c>
      <c r="C8101" t="s">
        <v>590</v>
      </c>
      <c r="D8101" t="s">
        <v>926</v>
      </c>
      <c r="J8101">
        <v>2</v>
      </c>
    </row>
    <row r="8102" spans="1:10" x14ac:dyDescent="0.25">
      <c r="A8102" t="s">
        <v>68</v>
      </c>
      <c r="B8102" s="1" t="str">
        <f>HYPERLINK("http://altalink.ca","altalink.ca")</f>
        <v>altalink.ca</v>
      </c>
      <c r="C8102" t="s">
        <v>428</v>
      </c>
      <c r="D8102" t="s">
        <v>809</v>
      </c>
      <c r="E8102">
        <v>414343</v>
      </c>
      <c r="F8102">
        <v>6.5582034593168506E-8</v>
      </c>
      <c r="G8102">
        <v>655418</v>
      </c>
      <c r="H8102">
        <v>14214019</v>
      </c>
      <c r="I8102">
        <v>1696461</v>
      </c>
      <c r="J8102">
        <v>3</v>
      </c>
    </row>
    <row r="8103" spans="1:10" x14ac:dyDescent="0.25">
      <c r="A8103" t="s">
        <v>68</v>
      </c>
      <c r="B8103" s="1" t="str">
        <f>HYPERLINK("http://benjaminmoore.ca","benjaminmoore.ca")</f>
        <v>benjaminmoore.ca</v>
      </c>
      <c r="C8103" t="s">
        <v>428</v>
      </c>
      <c r="D8103" t="s">
        <v>809</v>
      </c>
      <c r="F8103">
        <v>3.45065179340598E-8</v>
      </c>
      <c r="G8103">
        <v>1503381</v>
      </c>
      <c r="H8103">
        <v>14140862</v>
      </c>
      <c r="I8103">
        <v>1930656</v>
      </c>
      <c r="J8103">
        <v>3</v>
      </c>
    </row>
    <row r="8104" spans="1:10" x14ac:dyDescent="0.25">
      <c r="A8104" t="s">
        <v>68</v>
      </c>
      <c r="B8104" s="1" t="str">
        <f>HYPERLINK("http://cameronpaint.ca","cameronpaint.ca")</f>
        <v>cameronpaint.ca</v>
      </c>
      <c r="C8104" t="s">
        <v>428</v>
      </c>
      <c r="D8104" t="s">
        <v>809</v>
      </c>
      <c r="F8104">
        <v>4.9414563740638703E-9</v>
      </c>
      <c r="G8104">
        <v>31045391</v>
      </c>
      <c r="H8104">
        <v>10458286</v>
      </c>
      <c r="I8104">
        <v>51898347</v>
      </c>
      <c r="J8104">
        <v>4</v>
      </c>
    </row>
    <row r="8105" spans="1:10" x14ac:dyDescent="0.25">
      <c r="A8105" t="s">
        <v>68</v>
      </c>
      <c r="B8105" s="1" t="str">
        <f>HYPERLINK("http://dairyqueen.ca","dairyqueen.ca")</f>
        <v>dairyqueen.ca</v>
      </c>
      <c r="C8105" t="s">
        <v>428</v>
      </c>
      <c r="D8105" t="s">
        <v>809</v>
      </c>
      <c r="F8105">
        <v>9.3012975979758599E-9</v>
      </c>
      <c r="G8105">
        <v>7570804</v>
      </c>
      <c r="H8105">
        <v>12363110</v>
      </c>
      <c r="I8105">
        <v>19529170</v>
      </c>
      <c r="J8105">
        <v>4</v>
      </c>
    </row>
    <row r="8106" spans="1:10" x14ac:dyDescent="0.25">
      <c r="A8106" t="s">
        <v>68</v>
      </c>
      <c r="B8106" s="1" t="str">
        <f>HYPERLINK("http://howardspaint.ca","howardspaint.ca")</f>
        <v>howardspaint.ca</v>
      </c>
      <c r="C8106" t="s">
        <v>428</v>
      </c>
      <c r="D8106" t="s">
        <v>809</v>
      </c>
      <c r="F8106">
        <v>4.5475002337584798E-9</v>
      </c>
      <c r="G8106">
        <v>52466897</v>
      </c>
      <c r="H8106">
        <v>10828368</v>
      </c>
      <c r="I8106">
        <v>37436044</v>
      </c>
      <c r="J8106">
        <v>4</v>
      </c>
    </row>
    <row r="8107" spans="1:10" x14ac:dyDescent="0.25">
      <c r="A8107" t="s">
        <v>68</v>
      </c>
      <c r="B8107" s="1" t="str">
        <f>HYPERLINK("http://iscar.ca","iscar.ca")</f>
        <v>iscar.ca</v>
      </c>
      <c r="C8107" t="s">
        <v>428</v>
      </c>
      <c r="D8107" t="s">
        <v>809</v>
      </c>
      <c r="F8107">
        <v>1.00957172847453E-8</v>
      </c>
      <c r="G8107">
        <v>6653578</v>
      </c>
      <c r="H8107">
        <v>12855828</v>
      </c>
      <c r="I8107">
        <v>14229125</v>
      </c>
      <c r="J8107">
        <v>4</v>
      </c>
    </row>
    <row r="8108" spans="1:10" x14ac:dyDescent="0.25">
      <c r="A8108" t="s">
        <v>68</v>
      </c>
      <c r="B8108" s="1" t="str">
        <f>HYPERLINK("http://lotuspaint.ca","lotuspaint.ca")</f>
        <v>lotuspaint.ca</v>
      </c>
      <c r="C8108" t="s">
        <v>428</v>
      </c>
      <c r="D8108" t="s">
        <v>809</v>
      </c>
      <c r="F8108">
        <v>4.4846477503148104E-9</v>
      </c>
      <c r="G8108">
        <v>61459833</v>
      </c>
      <c r="H8108">
        <v>11980142</v>
      </c>
      <c r="I8108">
        <v>28509559</v>
      </c>
      <c r="J8108">
        <v>4</v>
      </c>
    </row>
    <row r="8109" spans="1:10" x14ac:dyDescent="0.25">
      <c r="A8109" t="s">
        <v>68</v>
      </c>
      <c r="B8109" s="1" t="str">
        <f>HYPERLINK("http://mouser.ca","mouser.ca")</f>
        <v>mouser.ca</v>
      </c>
      <c r="C8109" t="s">
        <v>428</v>
      </c>
      <c r="D8109" t="s">
        <v>809</v>
      </c>
      <c r="E8109">
        <v>349039</v>
      </c>
      <c r="F8109">
        <v>1.7414789705047001E-7</v>
      </c>
      <c r="G8109">
        <v>222697</v>
      </c>
      <c r="H8109">
        <v>14215722</v>
      </c>
      <c r="I8109">
        <v>1693233</v>
      </c>
      <c r="J8109">
        <v>4</v>
      </c>
    </row>
    <row r="8110" spans="1:10" x14ac:dyDescent="0.25">
      <c r="A8110" t="s">
        <v>68</v>
      </c>
      <c r="B8110" s="1" t="str">
        <f>HYPERLINK("http://pamperedchef.ca","pamperedchef.ca")</f>
        <v>pamperedchef.ca</v>
      </c>
      <c r="C8110" t="s">
        <v>428</v>
      </c>
      <c r="D8110" t="s">
        <v>809</v>
      </c>
      <c r="E8110">
        <v>446374</v>
      </c>
      <c r="F8110">
        <v>4.2359166309785501E-8</v>
      </c>
      <c r="G8110">
        <v>1146985</v>
      </c>
      <c r="H8110">
        <v>14639303</v>
      </c>
      <c r="I8110">
        <v>637869</v>
      </c>
      <c r="J8110">
        <v>4</v>
      </c>
    </row>
    <row r="8111" spans="1:10" x14ac:dyDescent="0.25">
      <c r="A8111" t="s">
        <v>68</v>
      </c>
      <c r="B8111" s="1" t="str">
        <f>HYPERLINK("http://southsidepaint.ca","southsidepaint.ca")</f>
        <v>southsidepaint.ca</v>
      </c>
      <c r="C8111" t="s">
        <v>428</v>
      </c>
      <c r="D8111" t="s">
        <v>809</v>
      </c>
      <c r="F8111">
        <v>6.29766310808448E-9</v>
      </c>
      <c r="G8111">
        <v>15043674</v>
      </c>
      <c r="H8111">
        <v>10816660</v>
      </c>
      <c r="I8111">
        <v>37701708</v>
      </c>
      <c r="J8111">
        <v>5</v>
      </c>
    </row>
    <row r="8112" spans="1:10" x14ac:dyDescent="0.25">
      <c r="A8112" t="s">
        <v>68</v>
      </c>
      <c r="B8112" s="1" t="str">
        <f>HYPERLINK("http://duracelldirect.ch","duracelldirect.ch")</f>
        <v>duracelldirect.ch</v>
      </c>
      <c r="C8112" t="s">
        <v>429</v>
      </c>
      <c r="D8112" t="s">
        <v>810</v>
      </c>
      <c r="F8112">
        <v>9.7699181896322997E-9</v>
      </c>
      <c r="G8112">
        <v>7001398</v>
      </c>
      <c r="H8112">
        <v>12008356</v>
      </c>
      <c r="I8112">
        <v>28116020</v>
      </c>
      <c r="J8112">
        <v>4</v>
      </c>
    </row>
    <row r="8113" spans="1:10" x14ac:dyDescent="0.25">
      <c r="A8113" t="s">
        <v>68</v>
      </c>
      <c r="B8113" s="1" t="str">
        <f>HYPERLINK("http://iscar.ch","iscar.ch")</f>
        <v>iscar.ch</v>
      </c>
      <c r="C8113" t="s">
        <v>429</v>
      </c>
      <c r="D8113" t="s">
        <v>810</v>
      </c>
      <c r="F8113">
        <v>1.06281019480106E-8</v>
      </c>
      <c r="G8113">
        <v>6159952</v>
      </c>
      <c r="H8113">
        <v>12058891</v>
      </c>
      <c r="I8113">
        <v>27037337</v>
      </c>
      <c r="J8113">
        <v>4</v>
      </c>
    </row>
    <row r="8114" spans="1:10" x14ac:dyDescent="0.25">
      <c r="A8114" t="s">
        <v>68</v>
      </c>
      <c r="B8114" s="1" t="str">
        <f>HYPERLINK("http://mouser.ch","mouser.ch")</f>
        <v>mouser.ch</v>
      </c>
      <c r="C8114" t="s">
        <v>429</v>
      </c>
      <c r="D8114" t="s">
        <v>810</v>
      </c>
      <c r="F8114">
        <v>9.5518218750899597E-8</v>
      </c>
      <c r="G8114">
        <v>423985</v>
      </c>
      <c r="H8114">
        <v>13803344</v>
      </c>
      <c r="I8114">
        <v>6263063</v>
      </c>
      <c r="J8114">
        <v>4</v>
      </c>
    </row>
    <row r="8115" spans="1:10" x14ac:dyDescent="0.25">
      <c r="A8115" t="s">
        <v>68</v>
      </c>
      <c r="B8115" s="1" t="str">
        <f>HYPERLINK("http://mouser.cl","mouser.cl")</f>
        <v>mouser.cl</v>
      </c>
      <c r="C8115" t="s">
        <v>430</v>
      </c>
      <c r="D8115" t="s">
        <v>811</v>
      </c>
      <c r="F8115">
        <v>5.4073021781637902E-8</v>
      </c>
      <c r="G8115">
        <v>837106</v>
      </c>
      <c r="H8115">
        <v>12684770</v>
      </c>
      <c r="I8115">
        <v>15459088</v>
      </c>
      <c r="J8115">
        <v>4</v>
      </c>
    </row>
    <row r="8116" spans="1:10" x14ac:dyDescent="0.25">
      <c r="A8116" t="s">
        <v>68</v>
      </c>
      <c r="B8116" s="1" t="str">
        <f>HYPERLINK("http://dairyqueen.com.cn","dairyqueen.com.cn")</f>
        <v>dairyqueen.com.cn</v>
      </c>
      <c r="C8116" t="s">
        <v>431</v>
      </c>
      <c r="D8116" t="s">
        <v>812</v>
      </c>
      <c r="F8116">
        <v>8.5785805145348295E-9</v>
      </c>
      <c r="G8116">
        <v>8695389</v>
      </c>
      <c r="H8116">
        <v>14077823</v>
      </c>
      <c r="I8116">
        <v>2858079</v>
      </c>
      <c r="J8116">
        <v>3</v>
      </c>
    </row>
    <row r="8117" spans="1:10" x14ac:dyDescent="0.25">
      <c r="A8117" t="s">
        <v>68</v>
      </c>
      <c r="B8117" s="1" t="str">
        <f>HYPERLINK("http://ecowater.com.cn","ecowater.com.cn")</f>
        <v>ecowater.com.cn</v>
      </c>
      <c r="C8117" t="s">
        <v>431</v>
      </c>
      <c r="D8117" t="s">
        <v>812</v>
      </c>
      <c r="F8117">
        <v>3.89963082910378E-8</v>
      </c>
      <c r="G8117">
        <v>1322380</v>
      </c>
      <c r="H8117">
        <v>12964718</v>
      </c>
      <c r="I8117">
        <v>13129512</v>
      </c>
      <c r="J8117">
        <v>4</v>
      </c>
    </row>
    <row r="8118" spans="1:10" x14ac:dyDescent="0.25">
      <c r="A8118" t="s">
        <v>68</v>
      </c>
      <c r="B8118" s="1" t="str">
        <f>HYPERLINK("http://iscar.com.cn","iscar.com.cn")</f>
        <v>iscar.com.cn</v>
      </c>
      <c r="C8118" t="s">
        <v>431</v>
      </c>
      <c r="D8118" t="s">
        <v>812</v>
      </c>
      <c r="F8118">
        <v>9.1013764411788897E-9</v>
      </c>
      <c r="G8118">
        <v>7845053</v>
      </c>
      <c r="H8118">
        <v>12044705</v>
      </c>
      <c r="I8118">
        <v>27368976</v>
      </c>
      <c r="J8118">
        <v>4</v>
      </c>
    </row>
    <row r="8119" spans="1:10" x14ac:dyDescent="0.25">
      <c r="A8119" t="s">
        <v>68</v>
      </c>
      <c r="B8119" s="1" t="str">
        <f>HYPERLINK("http://duracell.cn","duracell.cn")</f>
        <v>duracell.cn</v>
      </c>
      <c r="C8119" t="s">
        <v>431</v>
      </c>
      <c r="D8119" t="s">
        <v>812</v>
      </c>
      <c r="F8119">
        <v>1.2852211911246499E-8</v>
      </c>
      <c r="G8119">
        <v>4703133</v>
      </c>
      <c r="H8119">
        <v>10835959</v>
      </c>
      <c r="I8119">
        <v>37264125</v>
      </c>
      <c r="J8119">
        <v>6</v>
      </c>
    </row>
    <row r="8120" spans="1:10" x14ac:dyDescent="0.25">
      <c r="A8120" t="s">
        <v>68</v>
      </c>
      <c r="B8120" s="1" t="str">
        <f>HYPERLINK("http://mouser.cn","mouser.cn")</f>
        <v>mouser.cn</v>
      </c>
      <c r="C8120" t="s">
        <v>431</v>
      </c>
      <c r="D8120" t="s">
        <v>812</v>
      </c>
      <c r="E8120">
        <v>60405</v>
      </c>
      <c r="F8120">
        <v>2.3372655173729501E-7</v>
      </c>
      <c r="G8120">
        <v>160424</v>
      </c>
      <c r="H8120">
        <v>13798916</v>
      </c>
      <c r="I8120">
        <v>6288510</v>
      </c>
      <c r="J8120">
        <v>4</v>
      </c>
    </row>
    <row r="8121" spans="1:10" x14ac:dyDescent="0.25">
      <c r="A8121" t="s">
        <v>68</v>
      </c>
      <c r="B8121" s="1" t="str">
        <f>HYPERLINK("http://procell.cn","procell.cn")</f>
        <v>procell.cn</v>
      </c>
      <c r="C8121" t="s">
        <v>431</v>
      </c>
      <c r="D8121" t="s">
        <v>812</v>
      </c>
      <c r="F8121">
        <v>5.7095979415284996E-9</v>
      </c>
      <c r="G8121">
        <v>18841966</v>
      </c>
      <c r="H8121">
        <v>9512072</v>
      </c>
      <c r="I8121">
        <v>65546588</v>
      </c>
      <c r="J8121">
        <v>4</v>
      </c>
    </row>
    <row r="8122" spans="1:10" x14ac:dyDescent="0.25">
      <c r="A8122" t="s">
        <v>68</v>
      </c>
      <c r="B8122" s="1" t="str">
        <f>HYPERLINK("http://tungaloy.cn","tungaloy.cn")</f>
        <v>tungaloy.cn</v>
      </c>
      <c r="C8122" t="s">
        <v>431</v>
      </c>
      <c r="D8122" t="s">
        <v>812</v>
      </c>
      <c r="F8122">
        <v>4.8722830641760896E-9</v>
      </c>
      <c r="G8122">
        <v>33329330</v>
      </c>
      <c r="H8122">
        <v>10174360</v>
      </c>
      <c r="I8122">
        <v>59306758</v>
      </c>
      <c r="J8122">
        <v>6</v>
      </c>
    </row>
    <row r="8123" spans="1:10" x14ac:dyDescent="0.25">
      <c r="A8123" t="s">
        <v>68</v>
      </c>
      <c r="B8123" s="1" t="str">
        <f>HYPERLINK("http://iscar.com.co","iscar.com.co")</f>
        <v>iscar.com.co</v>
      </c>
      <c r="C8123" t="s">
        <v>432</v>
      </c>
      <c r="F8123">
        <v>4.4449088685582E-9</v>
      </c>
      <c r="G8123">
        <v>75894812</v>
      </c>
      <c r="H8123">
        <v>10027367</v>
      </c>
      <c r="I8123">
        <v>60628434</v>
      </c>
      <c r="J8123">
        <v>4</v>
      </c>
    </row>
    <row r="8124" spans="1:10" x14ac:dyDescent="0.25">
      <c r="A8124" t="s">
        <v>68</v>
      </c>
      <c r="B8124" s="1" t="str">
        <f>HYPERLINK("http://21stmortgage.com","21stmortgage.com")</f>
        <v>21stmortgage.com</v>
      </c>
      <c r="C8124" t="s">
        <v>433</v>
      </c>
      <c r="E8124">
        <v>399129</v>
      </c>
      <c r="F8124">
        <v>1.0248419613969E-7</v>
      </c>
      <c r="G8124">
        <v>391815</v>
      </c>
      <c r="H8124">
        <v>13458069</v>
      </c>
      <c r="I8124">
        <v>10177949</v>
      </c>
      <c r="J8124">
        <v>3</v>
      </c>
    </row>
    <row r="8125" spans="1:10" x14ac:dyDescent="0.25">
      <c r="A8125" t="s">
        <v>68</v>
      </c>
      <c r="B8125" s="1" t="str">
        <f>HYPERLINK("http://addressesrealestate.com","addressesrealestate.com")</f>
        <v>addressesrealestate.com</v>
      </c>
      <c r="C8125" t="s">
        <v>433</v>
      </c>
      <c r="F8125">
        <v>2.4163817319891001E-8</v>
      </c>
      <c r="G8125">
        <v>2147056</v>
      </c>
      <c r="H8125">
        <v>12390044</v>
      </c>
      <c r="I8125">
        <v>19044723</v>
      </c>
      <c r="J8125">
        <v>9</v>
      </c>
    </row>
    <row r="8126" spans="1:10" x14ac:dyDescent="0.25">
      <c r="A8126" t="s">
        <v>68</v>
      </c>
      <c r="B8126" s="1" t="str">
        <f>HYPERLINK("http://allandaledecoratingcentre.com","allandaledecoratingcentre.com")</f>
        <v>allandaledecoratingcentre.com</v>
      </c>
      <c r="C8126" t="s">
        <v>433</v>
      </c>
      <c r="F8126">
        <v>5.5546792194450701E-9</v>
      </c>
      <c r="G8126">
        <v>20329857</v>
      </c>
      <c r="H8126">
        <v>10712956</v>
      </c>
      <c r="I8126">
        <v>42112737</v>
      </c>
      <c r="J8126">
        <v>4</v>
      </c>
    </row>
    <row r="8127" spans="1:10" x14ac:dyDescent="0.25">
      <c r="A8127" t="s">
        <v>68</v>
      </c>
      <c r="B8127" s="1" t="str">
        <f>HYPERLINK("http://alleghany.com","alleghany.com")</f>
        <v>alleghany.com</v>
      </c>
      <c r="C8127" t="s">
        <v>433</v>
      </c>
      <c r="F8127">
        <v>3.6752812507364898E-8</v>
      </c>
      <c r="G8127">
        <v>1422140</v>
      </c>
      <c r="H8127">
        <v>13914067</v>
      </c>
      <c r="I8127">
        <v>5939385</v>
      </c>
      <c r="J8127">
        <v>3</v>
      </c>
    </row>
    <row r="8128" spans="1:10" x14ac:dyDescent="0.25">
      <c r="A8128" t="s">
        <v>68</v>
      </c>
      <c r="B8128" s="1" t="str">
        <f>HYPERLINK("http://alleghanycc.com","alleghanycc.com")</f>
        <v>alleghanycc.com</v>
      </c>
      <c r="C8128" t="s">
        <v>433</v>
      </c>
      <c r="F8128">
        <v>1.4050134678318101E-8</v>
      </c>
      <c r="G8128">
        <v>4184046</v>
      </c>
      <c r="H8128">
        <v>13836453</v>
      </c>
      <c r="I8128">
        <v>6085567</v>
      </c>
      <c r="J8128">
        <v>3</v>
      </c>
    </row>
    <row r="8129" spans="1:10" x14ac:dyDescent="0.25">
      <c r="A8129" t="s">
        <v>68</v>
      </c>
      <c r="B8129" s="1" t="str">
        <f>HYPERLINK("http://alliebeth.com","alliebeth.com")</f>
        <v>alliebeth.com</v>
      </c>
      <c r="C8129" t="s">
        <v>433</v>
      </c>
      <c r="F8129">
        <v>3.15986407086652E-8</v>
      </c>
      <c r="G8129">
        <v>1633310</v>
      </c>
      <c r="H8129">
        <v>13896812</v>
      </c>
      <c r="I8129">
        <v>5954462</v>
      </c>
      <c r="J8129">
        <v>4</v>
      </c>
    </row>
    <row r="8130" spans="1:10" x14ac:dyDescent="0.25">
      <c r="A8130" t="s">
        <v>68</v>
      </c>
      <c r="B8130" s="1" t="str">
        <f>HYPERLINK("http://bayviewpaints.com","bayviewpaints.com")</f>
        <v>bayviewpaints.com</v>
      </c>
      <c r="C8130" t="s">
        <v>433</v>
      </c>
      <c r="F8130">
        <v>4.8833532171172602E-9</v>
      </c>
      <c r="G8130">
        <v>32973768</v>
      </c>
      <c r="H8130">
        <v>10986418</v>
      </c>
      <c r="I8130">
        <v>33815335</v>
      </c>
      <c r="J8130">
        <v>4</v>
      </c>
    </row>
    <row r="8131" spans="1:10" x14ac:dyDescent="0.25">
      <c r="A8131" t="s">
        <v>68</v>
      </c>
      <c r="B8131" s="1" t="str">
        <f>HYPERLINK("http://beachpropertiesfla.com","beachpropertiesfla.com")</f>
        <v>beachpropertiesfla.com</v>
      </c>
      <c r="C8131" t="s">
        <v>433</v>
      </c>
      <c r="E8131">
        <v>926417</v>
      </c>
      <c r="F8131">
        <v>5.9616997582469895E-8</v>
      </c>
      <c r="G8131">
        <v>741249</v>
      </c>
      <c r="H8131">
        <v>13253116</v>
      </c>
      <c r="I8131">
        <v>11068541</v>
      </c>
      <c r="J8131">
        <v>9</v>
      </c>
    </row>
    <row r="8132" spans="1:10" x14ac:dyDescent="0.25">
      <c r="A8132" t="s">
        <v>68</v>
      </c>
      <c r="B8132" s="1" t="str">
        <f>HYPERLINK("http://benbridge.com","benbridge.com")</f>
        <v>benbridge.com</v>
      </c>
      <c r="C8132" t="s">
        <v>433</v>
      </c>
      <c r="E8132">
        <v>128459</v>
      </c>
      <c r="F8132">
        <v>1.3956594714888199E-7</v>
      </c>
      <c r="G8132">
        <v>279150</v>
      </c>
      <c r="H8132">
        <v>15208534</v>
      </c>
      <c r="I8132">
        <v>394780</v>
      </c>
      <c r="J8132">
        <v>3</v>
      </c>
    </row>
    <row r="8133" spans="1:10" x14ac:dyDescent="0.25">
      <c r="A8133" t="s">
        <v>68</v>
      </c>
      <c r="B8133" s="1" t="str">
        <f>HYPERLINK("http://benjaminmoore.com","benjaminmoore.com")</f>
        <v>benjaminmoore.com</v>
      </c>
      <c r="C8133" t="s">
        <v>433</v>
      </c>
      <c r="E8133">
        <v>17212</v>
      </c>
      <c r="F8133">
        <v>2.1860068387659299E-6</v>
      </c>
      <c r="G8133">
        <v>16782</v>
      </c>
      <c r="H8133">
        <v>17480866</v>
      </c>
      <c r="I8133">
        <v>14581</v>
      </c>
      <c r="J8133">
        <v>3</v>
      </c>
    </row>
    <row r="8134" spans="1:10" x14ac:dyDescent="0.25">
      <c r="A8134" t="s">
        <v>68</v>
      </c>
      <c r="B8134" s="1" t="str">
        <f>HYPERLINK("http://benmoorepaints.com","benmoorepaints.com")</f>
        <v>benmoorepaints.com</v>
      </c>
      <c r="C8134" t="s">
        <v>433</v>
      </c>
      <c r="F8134">
        <v>1.5664536041943999E-8</v>
      </c>
      <c r="G8134">
        <v>3637316</v>
      </c>
      <c r="H8134">
        <v>14121188</v>
      </c>
      <c r="I8134">
        <v>2270408</v>
      </c>
      <c r="J8134">
        <v>4</v>
      </c>
    </row>
    <row r="8135" spans="1:10" x14ac:dyDescent="0.25">
      <c r="A8135" t="s">
        <v>68</v>
      </c>
      <c r="B8135" s="1" t="str">
        <f>HYPERLINK("http://bensonglobal.com","bensonglobal.com")</f>
        <v>bensonglobal.com</v>
      </c>
      <c r="C8135" t="s">
        <v>433</v>
      </c>
      <c r="F8135">
        <v>1.64890594685399E-8</v>
      </c>
      <c r="G8135">
        <v>3416285</v>
      </c>
      <c r="H8135">
        <v>13772065</v>
      </c>
      <c r="I8135">
        <v>6672189</v>
      </c>
      <c r="J8135">
        <v>3</v>
      </c>
    </row>
    <row r="8136" spans="1:10" x14ac:dyDescent="0.25">
      <c r="A8136" t="s">
        <v>68</v>
      </c>
      <c r="B8136" s="1" t="str">
        <f>HYPERLINK("http://berkshirehathaway.com","berkshirehathaway.com")</f>
        <v>berkshirehathaway.com</v>
      </c>
      <c r="C8136" t="s">
        <v>433</v>
      </c>
      <c r="E8136">
        <v>22809</v>
      </c>
      <c r="F8136">
        <v>1.7162570911567799E-6</v>
      </c>
      <c r="G8136">
        <v>23225</v>
      </c>
      <c r="H8136">
        <v>15591779</v>
      </c>
      <c r="I8136">
        <v>372700</v>
      </c>
      <c r="J8136">
        <v>1</v>
      </c>
    </row>
    <row r="8137" spans="1:10" x14ac:dyDescent="0.25">
      <c r="A8137" t="s">
        <v>68</v>
      </c>
      <c r="B8137" s="1" t="str">
        <f>HYPERLINK("http://berkshirehathawayenergy.com","berkshirehathawayenergy.com")</f>
        <v>berkshirehathawayenergy.com</v>
      </c>
      <c r="C8137" t="s">
        <v>433</v>
      </c>
      <c r="J8137">
        <v>4</v>
      </c>
    </row>
    <row r="8138" spans="1:10" x14ac:dyDescent="0.25">
      <c r="A8138" t="s">
        <v>68</v>
      </c>
      <c r="B8138" s="1" t="str">
        <f>HYPERLINK("http://berkshirehathawayenergyco.com","berkshirehathawayenergyco.com")</f>
        <v>berkshirehathawayenergyco.com</v>
      </c>
      <c r="C8138" t="s">
        <v>433</v>
      </c>
      <c r="F8138">
        <v>1.2026978253425201E-7</v>
      </c>
      <c r="G8138">
        <v>328605</v>
      </c>
      <c r="H8138">
        <v>14301786</v>
      </c>
      <c r="I8138">
        <v>1355093</v>
      </c>
      <c r="J8138">
        <v>3</v>
      </c>
    </row>
    <row r="8139" spans="1:10" x14ac:dyDescent="0.25">
      <c r="A8139" t="s">
        <v>68</v>
      </c>
      <c r="B8139" s="1" t="str">
        <f>HYPERLINK("http://berkshirehathawayhs.com","berkshirehathawayhs.com")</f>
        <v>berkshirehathawayhs.com</v>
      </c>
      <c r="C8139" t="s">
        <v>433</v>
      </c>
      <c r="E8139">
        <v>389784</v>
      </c>
      <c r="F8139">
        <v>2.6479501815423202E-7</v>
      </c>
      <c r="G8139">
        <v>140866</v>
      </c>
      <c r="H8139">
        <v>15337790</v>
      </c>
      <c r="I8139">
        <v>383535</v>
      </c>
      <c r="J8139">
        <v>9</v>
      </c>
    </row>
    <row r="8140" spans="1:10" x14ac:dyDescent="0.25">
      <c r="A8140" t="s">
        <v>68</v>
      </c>
      <c r="B8140" s="1" t="str">
        <f>HYPERLINK("http://bh-hc.com","bh-hc.com")</f>
        <v>bh-hc.com</v>
      </c>
      <c r="C8140" t="s">
        <v>433</v>
      </c>
      <c r="F8140">
        <v>5.5671308789202201E-9</v>
      </c>
      <c r="G8140">
        <v>20205839</v>
      </c>
      <c r="H8140">
        <v>13763637</v>
      </c>
      <c r="I8140">
        <v>8011905</v>
      </c>
      <c r="J8140">
        <v>3</v>
      </c>
    </row>
    <row r="8141" spans="1:10" x14ac:dyDescent="0.25">
      <c r="A8141" t="s">
        <v>68</v>
      </c>
      <c r="B8141" s="1" t="str">
        <f>HYPERLINK("http://bherenewables.com","bherenewables.com")</f>
        <v>bherenewables.com</v>
      </c>
      <c r="C8141" t="s">
        <v>433</v>
      </c>
      <c r="F8141">
        <v>4.2759084586985097E-8</v>
      </c>
      <c r="G8141">
        <v>1128663</v>
      </c>
      <c r="H8141">
        <v>14453437</v>
      </c>
      <c r="I8141">
        <v>1051126</v>
      </c>
      <c r="J8141">
        <v>3</v>
      </c>
    </row>
    <row r="8142" spans="1:10" x14ac:dyDescent="0.25">
      <c r="A8142" t="s">
        <v>68</v>
      </c>
      <c r="B8142" s="1" t="str">
        <f>HYPERLINK("http://bhhc.com","bhhc.com")</f>
        <v>bhhc.com</v>
      </c>
      <c r="C8142" t="s">
        <v>433</v>
      </c>
      <c r="E8142">
        <v>209885</v>
      </c>
      <c r="F8142">
        <v>1.42569206857307E-7</v>
      </c>
      <c r="G8142">
        <v>273043</v>
      </c>
      <c r="H8142">
        <v>14309067</v>
      </c>
      <c r="I8142">
        <v>1345220</v>
      </c>
      <c r="J8142">
        <v>4</v>
      </c>
    </row>
    <row r="8143" spans="1:10" x14ac:dyDescent="0.25">
      <c r="A8143" t="s">
        <v>68</v>
      </c>
      <c r="B8143" s="1" t="str">
        <f>HYPERLINK("http://bhhs.com","bhhs.com")</f>
        <v>bhhs.com</v>
      </c>
      <c r="C8143" t="s">
        <v>433</v>
      </c>
      <c r="E8143">
        <v>110314</v>
      </c>
      <c r="F8143">
        <v>4.0859338734955598E-7</v>
      </c>
      <c r="G8143">
        <v>91984</v>
      </c>
      <c r="H8143">
        <v>14610578</v>
      </c>
      <c r="I8143">
        <v>677132</v>
      </c>
      <c r="J8143">
        <v>5</v>
      </c>
    </row>
    <row r="8144" spans="1:10" x14ac:dyDescent="0.25">
      <c r="A8144" t="s">
        <v>68</v>
      </c>
      <c r="B8144" s="1" t="str">
        <f>HYPERLINK("http://bhhsblake.com","bhhsblake.com")</f>
        <v>bhhsblake.com</v>
      </c>
      <c r="C8144" t="s">
        <v>433</v>
      </c>
      <c r="F8144">
        <v>2.8249410415302999E-8</v>
      </c>
      <c r="G8144">
        <v>1821923</v>
      </c>
      <c r="H8144">
        <v>12909209</v>
      </c>
      <c r="I8144">
        <v>13800957</v>
      </c>
      <c r="J8144">
        <v>5</v>
      </c>
    </row>
    <row r="8145" spans="1:10" x14ac:dyDescent="0.25">
      <c r="A8145" t="s">
        <v>68</v>
      </c>
      <c r="B8145" s="1" t="str">
        <f>HYPERLINK("http://bhhsfloridarealty.com","bhhsfloridarealty.com")</f>
        <v>bhhsfloridarealty.com</v>
      </c>
      <c r="C8145" t="s">
        <v>433</v>
      </c>
      <c r="E8145">
        <v>850751</v>
      </c>
      <c r="F8145">
        <v>1.3934754959266E-7</v>
      </c>
      <c r="G8145">
        <v>279588</v>
      </c>
      <c r="H8145">
        <v>13223006</v>
      </c>
      <c r="I8145">
        <v>11319993</v>
      </c>
      <c r="J8145">
        <v>5</v>
      </c>
    </row>
    <row r="8146" spans="1:10" x14ac:dyDescent="0.25">
      <c r="A8146" t="s">
        <v>68</v>
      </c>
      <c r="B8146" s="1" t="str">
        <f>HYPERLINK("http://bhhsgammons.com","bhhsgammons.com")</f>
        <v>bhhsgammons.com</v>
      </c>
      <c r="C8146" t="s">
        <v>433</v>
      </c>
      <c r="F8146">
        <v>4.5739813852932498E-9</v>
      </c>
      <c r="G8146">
        <v>49831731</v>
      </c>
      <c r="H8146">
        <v>10260468</v>
      </c>
      <c r="I8146">
        <v>58603518</v>
      </c>
      <c r="J8146">
        <v>5</v>
      </c>
    </row>
    <row r="8147" spans="1:10" x14ac:dyDescent="0.25">
      <c r="A8147" t="s">
        <v>68</v>
      </c>
      <c r="B8147" s="1" t="str">
        <f>HYPERLINK("http://bhhshudsonvalley.com","bhhshudsonvalley.com")</f>
        <v>bhhshudsonvalley.com</v>
      </c>
      <c r="C8147" t="s">
        <v>433</v>
      </c>
      <c r="F8147">
        <v>1.89977060484332E-8</v>
      </c>
      <c r="G8147">
        <v>2836416</v>
      </c>
      <c r="H8147">
        <v>13017155</v>
      </c>
      <c r="I8147">
        <v>12724762</v>
      </c>
      <c r="J8147">
        <v>5</v>
      </c>
    </row>
    <row r="8148" spans="1:10" x14ac:dyDescent="0.25">
      <c r="A8148" t="s">
        <v>68</v>
      </c>
      <c r="B8148" s="1" t="str">
        <f>HYPERLINK("http://bhhsjacksonhole.com","bhhsjacksonhole.com")</f>
        <v>bhhsjacksonhole.com</v>
      </c>
      <c r="C8148" t="s">
        <v>433</v>
      </c>
      <c r="F8148">
        <v>3.3781141952268001E-8</v>
      </c>
      <c r="G8148">
        <v>1531649</v>
      </c>
      <c r="H8148">
        <v>11033314</v>
      </c>
      <c r="I8148">
        <v>33050406</v>
      </c>
      <c r="J8148">
        <v>5</v>
      </c>
    </row>
    <row r="8149" spans="1:10" x14ac:dyDescent="0.25">
      <c r="A8149" t="s">
        <v>68</v>
      </c>
      <c r="B8149" s="1" t="str">
        <f>HYPERLINK("http://bhhsmt.com","bhhsmt.com")</f>
        <v>bhhsmt.com</v>
      </c>
      <c r="C8149" t="s">
        <v>433</v>
      </c>
      <c r="F8149">
        <v>6.3173003361728494E-8</v>
      </c>
      <c r="G8149">
        <v>689303</v>
      </c>
      <c r="H8149">
        <v>13426324</v>
      </c>
      <c r="I8149">
        <v>10292841</v>
      </c>
      <c r="J8149">
        <v>5</v>
      </c>
    </row>
    <row r="8150" spans="1:10" x14ac:dyDescent="0.25">
      <c r="A8150" t="s">
        <v>68</v>
      </c>
      <c r="B8150" s="1" t="str">
        <f>HYPERLINK("http://bhhspre.com","bhhspre.com")</f>
        <v>bhhspre.com</v>
      </c>
      <c r="C8150" t="s">
        <v>433</v>
      </c>
      <c r="F8150">
        <v>4.6972776032980698E-9</v>
      </c>
      <c r="G8150">
        <v>41384958</v>
      </c>
      <c r="H8150">
        <v>10987330</v>
      </c>
      <c r="I8150">
        <v>33799147</v>
      </c>
      <c r="J8150">
        <v>11</v>
      </c>
    </row>
    <row r="8151" spans="1:10" x14ac:dyDescent="0.25">
      <c r="A8151" t="s">
        <v>68</v>
      </c>
      <c r="B8151" s="1" t="str">
        <f>HYPERLINK("http://bhhspreferredrealestategroup.com","bhhspreferredrealestategroup.com")</f>
        <v>bhhspreferredrealestategroup.com</v>
      </c>
      <c r="C8151" t="s">
        <v>433</v>
      </c>
      <c r="F8151">
        <v>5.3799425448460203E-9</v>
      </c>
      <c r="G8151">
        <v>22420027</v>
      </c>
      <c r="H8151">
        <v>10839903</v>
      </c>
      <c r="I8151">
        <v>37181404</v>
      </c>
      <c r="J8151">
        <v>5</v>
      </c>
    </row>
    <row r="8152" spans="1:10" x14ac:dyDescent="0.25">
      <c r="A8152" t="s">
        <v>68</v>
      </c>
      <c r="B8152" s="1" t="str">
        <f>HYPERLINK("http://bhhsredwoodrealty.com","bhhsredwoodrealty.com")</f>
        <v>bhhsredwoodrealty.com</v>
      </c>
      <c r="C8152" t="s">
        <v>433</v>
      </c>
      <c r="F8152">
        <v>4.5009336177580404E-9</v>
      </c>
      <c r="G8152">
        <v>58813352</v>
      </c>
      <c r="H8152">
        <v>10529933</v>
      </c>
      <c r="I8152">
        <v>48342379</v>
      </c>
      <c r="J8152">
        <v>5</v>
      </c>
    </row>
    <row r="8153" spans="1:10" x14ac:dyDescent="0.25">
      <c r="A8153" t="s">
        <v>68</v>
      </c>
      <c r="B8153" s="1" t="str">
        <f>HYPERLINK("http://bhhssigprop.com","bhhssigprop.com")</f>
        <v>bhhssigprop.com</v>
      </c>
      <c r="C8153" t="s">
        <v>433</v>
      </c>
      <c r="J8153">
        <v>5</v>
      </c>
    </row>
    <row r="8154" spans="1:10" x14ac:dyDescent="0.25">
      <c r="A8154" t="s">
        <v>68</v>
      </c>
      <c r="B8154" s="1" t="str">
        <f>HYPERLINK("http://bhhsutah.com","bhhsutah.com")</f>
        <v>bhhsutah.com</v>
      </c>
      <c r="C8154" t="s">
        <v>433</v>
      </c>
      <c r="F8154">
        <v>7.6880495547450304E-8</v>
      </c>
      <c r="G8154">
        <v>544961</v>
      </c>
      <c r="H8154">
        <v>13706690</v>
      </c>
      <c r="I8154">
        <v>9510018</v>
      </c>
      <c r="J8154">
        <v>5</v>
      </c>
    </row>
    <row r="8155" spans="1:10" x14ac:dyDescent="0.25">
      <c r="A8155" t="s">
        <v>68</v>
      </c>
      <c r="B8155" s="1" t="str">
        <f>HYPERLINK("http://bhsf.com","bhsf.com")</f>
        <v>bhsf.com</v>
      </c>
      <c r="C8155" t="s">
        <v>433</v>
      </c>
      <c r="F8155">
        <v>5.0488749628259897E-9</v>
      </c>
      <c r="G8155">
        <v>28245222</v>
      </c>
      <c r="H8155">
        <v>11107209</v>
      </c>
      <c r="I8155">
        <v>32190428</v>
      </c>
      <c r="J8155">
        <v>3</v>
      </c>
    </row>
    <row r="8156" spans="1:10" x14ac:dyDescent="0.25">
      <c r="A8156" t="s">
        <v>68</v>
      </c>
      <c r="B8156" s="1" t="str">
        <f>HYPERLINK("http://bhspecialty.com","bhspecialty.com")</f>
        <v>bhspecialty.com</v>
      </c>
      <c r="C8156" t="s">
        <v>433</v>
      </c>
      <c r="E8156">
        <v>424373</v>
      </c>
      <c r="F8156">
        <v>1.24562935686425E-7</v>
      </c>
      <c r="G8156">
        <v>316769</v>
      </c>
      <c r="H8156">
        <v>16841304</v>
      </c>
      <c r="I8156">
        <v>160788</v>
      </c>
      <c r="J8156">
        <v>3</v>
      </c>
    </row>
    <row r="8157" spans="1:10" x14ac:dyDescent="0.25">
      <c r="A8157" t="s">
        <v>68</v>
      </c>
      <c r="B8157" s="1" t="str">
        <f>HYPERLINK("http://biberk.com","biberk.com")</f>
        <v>biberk.com</v>
      </c>
      <c r="C8157" t="s">
        <v>433</v>
      </c>
      <c r="E8157">
        <v>79652</v>
      </c>
      <c r="F8157">
        <v>1.2317831411710701E-7</v>
      </c>
      <c r="G8157">
        <v>320377</v>
      </c>
      <c r="H8157">
        <v>13833605</v>
      </c>
      <c r="I8157">
        <v>6098458</v>
      </c>
      <c r="J8157">
        <v>3</v>
      </c>
    </row>
    <row r="8158" spans="1:10" x14ac:dyDescent="0.25">
      <c r="A8158" t="s">
        <v>68</v>
      </c>
      <c r="B8158" s="1" t="str">
        <f>HYPERLINK("http://bnsf.com","bnsf.com")</f>
        <v>bnsf.com</v>
      </c>
      <c r="C8158" t="s">
        <v>433</v>
      </c>
      <c r="E8158">
        <v>27654</v>
      </c>
      <c r="F8158">
        <v>8.0628942252615397E-7</v>
      </c>
      <c r="G8158">
        <v>48928</v>
      </c>
      <c r="H8158">
        <v>15405353</v>
      </c>
      <c r="I8158">
        <v>379964</v>
      </c>
      <c r="J8158">
        <v>3</v>
      </c>
    </row>
    <row r="8159" spans="1:10" x14ac:dyDescent="0.25">
      <c r="A8159" t="s">
        <v>68</v>
      </c>
      <c r="B8159" s="1" t="str">
        <f>HYPERLINK("http://borsheims.com","borsheims.com")</f>
        <v>borsheims.com</v>
      </c>
      <c r="C8159" t="s">
        <v>433</v>
      </c>
      <c r="E8159">
        <v>202735</v>
      </c>
      <c r="F8159">
        <v>1.1604552198914399E-7</v>
      </c>
      <c r="G8159">
        <v>342706</v>
      </c>
      <c r="H8159">
        <v>17192160</v>
      </c>
      <c r="I8159">
        <v>43232</v>
      </c>
      <c r="J8159">
        <v>3</v>
      </c>
    </row>
    <row r="8160" spans="1:10" x14ac:dyDescent="0.25">
      <c r="A8160" t="s">
        <v>68</v>
      </c>
      <c r="B8160" s="1" t="str">
        <f>HYPERLINK("http://brkdirect.com","brkdirect.com")</f>
        <v>brkdirect.com</v>
      </c>
      <c r="C8160" t="s">
        <v>433</v>
      </c>
      <c r="F8160">
        <v>4.9208008749171997E-9</v>
      </c>
      <c r="G8160">
        <v>31663520</v>
      </c>
      <c r="H8160">
        <v>14119972</v>
      </c>
      <c r="I8160">
        <v>2409792</v>
      </c>
      <c r="J8160">
        <v>3</v>
      </c>
    </row>
    <row r="8161" spans="1:10" x14ac:dyDescent="0.25">
      <c r="A8161" t="s">
        <v>68</v>
      </c>
      <c r="B8161" s="1" t="str">
        <f>HYPERLINK("http://brkenergy.com","brkenergy.com")</f>
        <v>brkenergy.com</v>
      </c>
      <c r="C8161" t="s">
        <v>433</v>
      </c>
      <c r="E8161">
        <v>654256</v>
      </c>
      <c r="F8161">
        <v>2.7013949949763899E-7</v>
      </c>
      <c r="G8161">
        <v>137861</v>
      </c>
      <c r="H8161">
        <v>14415924</v>
      </c>
      <c r="I8161">
        <v>1109015</v>
      </c>
      <c r="J8161">
        <v>3</v>
      </c>
    </row>
    <row r="8162" spans="1:10" x14ac:dyDescent="0.25">
      <c r="A8162" t="s">
        <v>68</v>
      </c>
      <c r="B8162" s="1" t="str">
        <f>HYPERLINK("http://brooksrunning.com","brooksrunning.com")</f>
        <v>brooksrunning.com</v>
      </c>
      <c r="C8162" t="s">
        <v>433</v>
      </c>
      <c r="E8162">
        <v>31544</v>
      </c>
      <c r="F8162">
        <v>9.3939036315580995E-7</v>
      </c>
      <c r="G8162">
        <v>40850</v>
      </c>
      <c r="H8162">
        <v>17404070</v>
      </c>
      <c r="I8162">
        <v>18909</v>
      </c>
      <c r="J8162">
        <v>3</v>
      </c>
    </row>
    <row r="8163" spans="1:10" x14ac:dyDescent="0.25">
      <c r="A8163" t="s">
        <v>68</v>
      </c>
      <c r="B8163" s="1" t="str">
        <f>HYPERLINK("http://brswb.com","brswb.com")</f>
        <v>brswb.com</v>
      </c>
      <c r="C8163" t="s">
        <v>433</v>
      </c>
      <c r="J8163">
        <v>4</v>
      </c>
    </row>
    <row r="8164" spans="1:10" x14ac:dyDescent="0.25">
      <c r="A8164" t="s">
        <v>68</v>
      </c>
      <c r="B8164" s="1" t="str">
        <f>HYPERLINK("http://buffalonews.com","buffalonews.com")</f>
        <v>buffalonews.com</v>
      </c>
      <c r="C8164" t="s">
        <v>433</v>
      </c>
      <c r="E8164">
        <v>6623</v>
      </c>
      <c r="F8164">
        <v>3.17094529143893E-6</v>
      </c>
      <c r="G8164">
        <v>12517</v>
      </c>
      <c r="H8164">
        <v>17598368</v>
      </c>
      <c r="I8164">
        <v>9705</v>
      </c>
      <c r="J8164">
        <v>3</v>
      </c>
    </row>
    <row r="8165" spans="1:10" x14ac:dyDescent="0.25">
      <c r="A8165" t="s">
        <v>68</v>
      </c>
      <c r="B8165" s="1" t="str">
        <f>HYPERLINK("http://businesswire.com","businesswire.com")</f>
        <v>businesswire.com</v>
      </c>
      <c r="C8165" t="s">
        <v>433</v>
      </c>
      <c r="E8165">
        <v>624</v>
      </c>
      <c r="F8165">
        <v>7.4977451886899601E-5</v>
      </c>
      <c r="G8165">
        <v>349</v>
      </c>
      <c r="H8165">
        <v>19452626</v>
      </c>
      <c r="I8165">
        <v>189</v>
      </c>
      <c r="J8165">
        <v>3</v>
      </c>
    </row>
    <row r="8166" spans="1:10" x14ac:dyDescent="0.25">
      <c r="A8166" t="s">
        <v>68</v>
      </c>
      <c r="B8166" s="1" t="str">
        <f>HYPERLINK("http://bvd.com","bvd.com")</f>
        <v>bvd.com</v>
      </c>
      <c r="C8166" t="s">
        <v>433</v>
      </c>
      <c r="F8166">
        <v>1.02763684332008E-8</v>
      </c>
      <c r="G8166">
        <v>6473331</v>
      </c>
      <c r="H8166">
        <v>12951007</v>
      </c>
      <c r="I8166">
        <v>13206301</v>
      </c>
      <c r="J8166">
        <v>3</v>
      </c>
    </row>
    <row r="8167" spans="1:10" x14ac:dyDescent="0.25">
      <c r="A8167" t="s">
        <v>68</v>
      </c>
      <c r="B8167" s="1" t="str">
        <f>HYPERLINK("http://c-mgroup.com","c-mgroup.com")</f>
        <v>c-mgroup.com</v>
      </c>
      <c r="C8167" t="s">
        <v>433</v>
      </c>
      <c r="F8167">
        <v>4.7127167807212502E-9</v>
      </c>
      <c r="G8167">
        <v>40614721</v>
      </c>
      <c r="H8167">
        <v>9874473</v>
      </c>
      <c r="I8167">
        <v>61934493</v>
      </c>
      <c r="J8167">
        <v>3</v>
      </c>
    </row>
    <row r="8168" spans="1:10" x14ac:dyDescent="0.25">
      <c r="A8168" t="s">
        <v>68</v>
      </c>
      <c r="B8168" s="1" t="str">
        <f>HYPERLINK("http://caledonianalloys.com","caledonianalloys.com")</f>
        <v>caledonianalloys.com</v>
      </c>
      <c r="C8168" t="s">
        <v>433</v>
      </c>
      <c r="F8168">
        <v>4.4459454496856603E-9</v>
      </c>
      <c r="G8168">
        <v>74736611</v>
      </c>
      <c r="H8168">
        <v>9393339</v>
      </c>
      <c r="I8168">
        <v>67366202</v>
      </c>
      <c r="J8168">
        <v>6</v>
      </c>
    </row>
    <row r="8169" spans="1:10" x14ac:dyDescent="0.25">
      <c r="A8169" t="s">
        <v>68</v>
      </c>
      <c r="B8169" s="1" t="str">
        <f>HYPERLINK("http://calenergy.com","calenergy.com")</f>
        <v>calenergy.com</v>
      </c>
      <c r="C8169" t="s">
        <v>433</v>
      </c>
      <c r="F8169">
        <v>6.3341567086334199E-9</v>
      </c>
      <c r="G8169">
        <v>14842654</v>
      </c>
      <c r="H8169">
        <v>14122308</v>
      </c>
      <c r="I8169">
        <v>2218115</v>
      </c>
      <c r="J8169">
        <v>5</v>
      </c>
    </row>
    <row r="8170" spans="1:10" x14ac:dyDescent="0.25">
      <c r="A8170" t="s">
        <v>68</v>
      </c>
      <c r="B8170" s="1" t="str">
        <f>HYPERLINK("http://calenergyresources.com","calenergyresources.com")</f>
        <v>calenergyresources.com</v>
      </c>
      <c r="C8170" t="s">
        <v>433</v>
      </c>
      <c r="F8170">
        <v>5.3297475477541601E-9</v>
      </c>
      <c r="G8170">
        <v>23069615</v>
      </c>
      <c r="H8170">
        <v>12436963</v>
      </c>
      <c r="I8170">
        <v>18188504</v>
      </c>
      <c r="J8170">
        <v>6</v>
      </c>
    </row>
    <row r="8171" spans="1:10" x14ac:dyDescent="0.25">
      <c r="A8171" t="s">
        <v>68</v>
      </c>
      <c r="B8171" s="1" t="str">
        <f>HYPERLINK("http://capitolindemnity.com","capitolindemnity.com")</f>
        <v>capitolindemnity.com</v>
      </c>
      <c r="C8171" t="s">
        <v>433</v>
      </c>
      <c r="F8171">
        <v>1.03436042818737E-8</v>
      </c>
      <c r="G8171">
        <v>6410544</v>
      </c>
      <c r="H8171">
        <v>13000639</v>
      </c>
      <c r="I8171">
        <v>12793022</v>
      </c>
      <c r="J8171">
        <v>4</v>
      </c>
    </row>
    <row r="8172" spans="1:10" x14ac:dyDescent="0.25">
      <c r="A8172" t="s">
        <v>68</v>
      </c>
      <c r="B8172" s="1" t="str">
        <f>HYPERLINK("http://capspecialty.com","capspecialty.com")</f>
        <v>capspecialty.com</v>
      </c>
      <c r="C8172" t="s">
        <v>433</v>
      </c>
      <c r="E8172">
        <v>900689</v>
      </c>
      <c r="F8172">
        <v>4.3664767353298497E-8</v>
      </c>
      <c r="G8172">
        <v>1093264</v>
      </c>
      <c r="H8172">
        <v>13245950</v>
      </c>
      <c r="I8172">
        <v>11143984</v>
      </c>
      <c r="J8172">
        <v>3</v>
      </c>
    </row>
    <row r="8173" spans="1:10" x14ac:dyDescent="0.25">
      <c r="A8173" t="s">
        <v>68</v>
      </c>
      <c r="B8173" s="1" t="str">
        <f>HYPERLINK("http://centra-ind.com","centra-ind.com")</f>
        <v>centra-ind.com</v>
      </c>
      <c r="C8173" t="s">
        <v>433</v>
      </c>
      <c r="F8173">
        <v>5.5473714305217297E-9</v>
      </c>
      <c r="G8173">
        <v>20403753</v>
      </c>
      <c r="H8173">
        <v>12285055</v>
      </c>
      <c r="I8173">
        <v>21210457</v>
      </c>
      <c r="J8173">
        <v>4</v>
      </c>
    </row>
    <row r="8174" spans="1:10" x14ac:dyDescent="0.25">
      <c r="A8174" t="s">
        <v>68</v>
      </c>
      <c r="B8174" s="1" t="str">
        <f>HYPERLINK("http://centropaint.com","centropaint.com")</f>
        <v>centropaint.com</v>
      </c>
      <c r="C8174" t="s">
        <v>433</v>
      </c>
      <c r="F8174">
        <v>4.6037087945985297E-9</v>
      </c>
      <c r="G8174">
        <v>47323073</v>
      </c>
      <c r="H8174">
        <v>10442988</v>
      </c>
      <c r="I8174">
        <v>52284813</v>
      </c>
      <c r="J8174">
        <v>4</v>
      </c>
    </row>
    <row r="8175" spans="1:10" x14ac:dyDescent="0.25">
      <c r="A8175" t="s">
        <v>68</v>
      </c>
      <c r="B8175" s="1" t="str">
        <f>HYPERLINK("http://cerroflow.com","cerroflow.com")</f>
        <v>cerroflow.com</v>
      </c>
      <c r="C8175" t="s">
        <v>433</v>
      </c>
      <c r="F8175">
        <v>1.66745713928196E-8</v>
      </c>
      <c r="G8175">
        <v>3365225</v>
      </c>
      <c r="H8175">
        <v>13377637</v>
      </c>
      <c r="I8175">
        <v>10438018</v>
      </c>
      <c r="J8175">
        <v>3</v>
      </c>
    </row>
    <row r="8176" spans="1:10" x14ac:dyDescent="0.25">
      <c r="A8176" t="s">
        <v>68</v>
      </c>
      <c r="B8176" s="1" t="str">
        <f>HYPERLINK("http://chemtool.com","chemtool.com")</f>
        <v>chemtool.com</v>
      </c>
      <c r="C8176" t="s">
        <v>433</v>
      </c>
      <c r="F8176">
        <v>9.6761776140049607E-9</v>
      </c>
      <c r="G8176">
        <v>7108872</v>
      </c>
      <c r="H8176">
        <v>13364443</v>
      </c>
      <c r="I8176">
        <v>10491795</v>
      </c>
      <c r="J8176">
        <v>3</v>
      </c>
    </row>
    <row r="8177" spans="1:10" x14ac:dyDescent="0.25">
      <c r="A8177" t="s">
        <v>68</v>
      </c>
      <c r="B8177" s="1" t="str">
        <f>HYPERLINK("http://claytonhomes.com","claytonhomes.com")</f>
        <v>claytonhomes.com</v>
      </c>
      <c r="C8177" t="s">
        <v>433</v>
      </c>
      <c r="E8177">
        <v>145115</v>
      </c>
      <c r="F8177">
        <v>3.5456042832887101E-7</v>
      </c>
      <c r="G8177">
        <v>105421</v>
      </c>
      <c r="H8177">
        <v>14750891</v>
      </c>
      <c r="I8177">
        <v>563462</v>
      </c>
      <c r="J8177">
        <v>3</v>
      </c>
    </row>
    <row r="8178" spans="1:10" x14ac:dyDescent="0.25">
      <c r="A8178" t="s">
        <v>68</v>
      </c>
      <c r="B8178" s="1" t="str">
        <f>HYPERLINK("http://claytonhomesofbuckeye.com","claytonhomesofbuckeye.com")</f>
        <v>claytonhomesofbuckeye.com</v>
      </c>
      <c r="C8178" t="s">
        <v>433</v>
      </c>
      <c r="F8178">
        <v>4.4460071022508101E-9</v>
      </c>
      <c r="G8178">
        <v>74681870</v>
      </c>
      <c r="H8178">
        <v>10052406</v>
      </c>
      <c r="I8178">
        <v>60371689</v>
      </c>
      <c r="J8178">
        <v>6</v>
      </c>
    </row>
    <row r="8179" spans="1:10" x14ac:dyDescent="0.25">
      <c r="A8179" t="s">
        <v>68</v>
      </c>
      <c r="B8179" s="1" t="str">
        <f>HYPERLINK("http://claytonhomesoflufkin.com","claytonhomesoflufkin.com")</f>
        <v>claytonhomesoflufkin.com</v>
      </c>
      <c r="C8179" t="s">
        <v>433</v>
      </c>
      <c r="F8179">
        <v>4.44380395335525E-9</v>
      </c>
      <c r="G8179">
        <v>81147030</v>
      </c>
      <c r="H8179">
        <v>0</v>
      </c>
      <c r="I8179">
        <v>81464266</v>
      </c>
      <c r="J8179">
        <v>6</v>
      </c>
    </row>
    <row r="8180" spans="1:10" x14ac:dyDescent="0.25">
      <c r="A8180" t="s">
        <v>68</v>
      </c>
      <c r="B8180" s="1" t="str">
        <f>HYPERLINK("http://claytontucson.com","claytontucson.com")</f>
        <v>claytontucson.com</v>
      </c>
      <c r="C8180" t="s">
        <v>433</v>
      </c>
      <c r="F8180">
        <v>4.44380395335525E-9</v>
      </c>
      <c r="G8180">
        <v>81147121</v>
      </c>
      <c r="H8180">
        <v>0</v>
      </c>
      <c r="I8180">
        <v>81464379</v>
      </c>
      <c r="J8180">
        <v>6</v>
      </c>
    </row>
    <row r="8181" spans="1:10" x14ac:dyDescent="0.25">
      <c r="A8181" t="s">
        <v>68</v>
      </c>
      <c r="B8181" s="1" t="str">
        <f>HYPERLINK("http://com; abeharry@geico.com","com; abeharry@geico.com")</f>
        <v>com; abeharry@geico.com</v>
      </c>
      <c r="C8181" t="s">
        <v>433</v>
      </c>
      <c r="J8181">
        <v>5</v>
      </c>
    </row>
    <row r="8182" spans="1:10" x14ac:dyDescent="0.25">
      <c r="A8182" t="s">
        <v>68</v>
      </c>
      <c r="B8182" s="1" t="str">
        <f>HYPERLINK("http://com; rocraig@geico.com","com; rocraig@geico.com")</f>
        <v>com; rocraig@geico.com</v>
      </c>
      <c r="C8182" t="s">
        <v>433</v>
      </c>
      <c r="J8182">
        <v>5</v>
      </c>
    </row>
    <row r="8183" spans="1:10" x14ac:dyDescent="0.25">
      <c r="A8183" t="s">
        <v>68</v>
      </c>
      <c r="B8183" s="1" t="str">
        <f>HYPERLINK("http://cort.com","cort.com")</f>
        <v>cort.com</v>
      </c>
      <c r="C8183" t="s">
        <v>433</v>
      </c>
      <c r="E8183">
        <v>88199</v>
      </c>
      <c r="F8183">
        <v>4.8919088120123001E-7</v>
      </c>
      <c r="G8183">
        <v>77950</v>
      </c>
      <c r="H8183">
        <v>14539746</v>
      </c>
      <c r="I8183">
        <v>776068</v>
      </c>
      <c r="J8183">
        <v>3</v>
      </c>
    </row>
    <row r="8184" spans="1:10" x14ac:dyDescent="0.25">
      <c r="A8184" t="s">
        <v>68</v>
      </c>
      <c r="B8184" s="1" t="str">
        <f>HYPERLINK("http://creativepaint.com","creativepaint.com")</f>
        <v>creativepaint.com</v>
      </c>
      <c r="C8184" t="s">
        <v>433</v>
      </c>
      <c r="F8184">
        <v>1.36553585813697E-8</v>
      </c>
      <c r="G8184">
        <v>4339193</v>
      </c>
      <c r="H8184">
        <v>13195205</v>
      </c>
      <c r="I8184">
        <v>11579423</v>
      </c>
      <c r="J8184">
        <v>4</v>
      </c>
    </row>
    <row r="8185" spans="1:10" x14ac:dyDescent="0.25">
      <c r="A8185" t="s">
        <v>68</v>
      </c>
      <c r="B8185" s="1" t="str">
        <f>HYPERLINK("http://csi-omaha.com","csi-omaha.com")</f>
        <v>csi-omaha.com</v>
      </c>
      <c r="C8185" t="s">
        <v>433</v>
      </c>
      <c r="F8185">
        <v>3.11703011001043E-8</v>
      </c>
      <c r="G8185">
        <v>1653907</v>
      </c>
      <c r="H8185">
        <v>12518235</v>
      </c>
      <c r="I8185">
        <v>17167334</v>
      </c>
      <c r="J8185">
        <v>3</v>
      </c>
    </row>
    <row r="8186" spans="1:10" x14ac:dyDescent="0.25">
      <c r="A8186" t="s">
        <v>68</v>
      </c>
      <c r="B8186" s="1" t="str">
        <f>HYPERLINK("http://ctbinc.com","ctbinc.com")</f>
        <v>ctbinc.com</v>
      </c>
      <c r="C8186" t="s">
        <v>433</v>
      </c>
      <c r="F8186">
        <v>6.2957977710039499E-8</v>
      </c>
      <c r="G8186">
        <v>693187</v>
      </c>
      <c r="H8186">
        <v>13591362</v>
      </c>
      <c r="I8186">
        <v>9666091</v>
      </c>
      <c r="J8186">
        <v>3</v>
      </c>
    </row>
    <row r="8187" spans="1:10" x14ac:dyDescent="0.25">
      <c r="A8187" t="s">
        <v>68</v>
      </c>
      <c r="B8187" s="1" t="str">
        <f>HYPERLINK("http://dairyqueen.com","dairyqueen.com")</f>
        <v>dairyqueen.com</v>
      </c>
      <c r="C8187" t="s">
        <v>433</v>
      </c>
      <c r="E8187">
        <v>28601</v>
      </c>
      <c r="F8187">
        <v>1.1969938914023901E-6</v>
      </c>
      <c r="G8187">
        <v>32577</v>
      </c>
      <c r="H8187">
        <v>17400580</v>
      </c>
      <c r="I8187">
        <v>19140</v>
      </c>
      <c r="J8187">
        <v>3</v>
      </c>
    </row>
    <row r="8188" spans="1:10" x14ac:dyDescent="0.25">
      <c r="A8188" t="s">
        <v>68</v>
      </c>
      <c r="B8188" s="1" t="str">
        <f>HYPERLINK("http://dairyqueenneenahdowntown.com","dairyqueenneenahdowntown.com")</f>
        <v>dairyqueenneenahdowntown.com</v>
      </c>
      <c r="C8188" t="s">
        <v>433</v>
      </c>
      <c r="F8188">
        <v>4.8334505624008699E-9</v>
      </c>
      <c r="G8188">
        <v>34714830</v>
      </c>
      <c r="H8188">
        <v>12246215</v>
      </c>
      <c r="I8188">
        <v>22091909</v>
      </c>
      <c r="J8188">
        <v>4</v>
      </c>
    </row>
    <row r="8189" spans="1:10" x14ac:dyDescent="0.25">
      <c r="A8189" t="s">
        <v>68</v>
      </c>
      <c r="B8189" s="1" t="str">
        <f>HYPERLINK("http://dairyqueenthailand.com","dairyqueenthailand.com")</f>
        <v>dairyqueenthailand.com</v>
      </c>
      <c r="C8189" t="s">
        <v>433</v>
      </c>
      <c r="F8189">
        <v>7.6275715802861697E-9</v>
      </c>
      <c r="G8189">
        <v>10734615</v>
      </c>
      <c r="H8189">
        <v>12433872</v>
      </c>
      <c r="I8189">
        <v>18232211</v>
      </c>
      <c r="J8189">
        <v>4</v>
      </c>
    </row>
    <row r="8190" spans="1:10" x14ac:dyDescent="0.25">
      <c r="A8190" t="s">
        <v>68</v>
      </c>
      <c r="B8190" s="1" t="str">
        <f>HYPERLINK("http://diamonddispersions.com","diamonddispersions.com")</f>
        <v>diamonddispersions.com</v>
      </c>
      <c r="C8190" t="s">
        <v>433</v>
      </c>
      <c r="F8190">
        <v>4.4656401270907998E-9</v>
      </c>
      <c r="G8190">
        <v>66065898</v>
      </c>
      <c r="H8190">
        <v>9587987</v>
      </c>
      <c r="I8190">
        <v>64532647</v>
      </c>
      <c r="J8190">
        <v>6</v>
      </c>
    </row>
    <row r="8191" spans="1:10" x14ac:dyDescent="0.25">
      <c r="A8191" t="s">
        <v>68</v>
      </c>
      <c r="B8191" s="1" t="str">
        <f>HYPERLINK("http://dq.com","dq.com")</f>
        <v>dq.com</v>
      </c>
      <c r="C8191" t="s">
        <v>433</v>
      </c>
      <c r="E8191">
        <v>603039</v>
      </c>
      <c r="F8191">
        <v>3.6597505132697603E-8</v>
      </c>
      <c r="G8191">
        <v>1427220</v>
      </c>
      <c r="H8191">
        <v>13598012</v>
      </c>
      <c r="I8191">
        <v>9653528</v>
      </c>
      <c r="J8191">
        <v>4</v>
      </c>
    </row>
    <row r="8192" spans="1:10" x14ac:dyDescent="0.25">
      <c r="A8192" t="s">
        <v>68</v>
      </c>
      <c r="B8192" s="1" t="str">
        <f>HYPERLINK("http://dqburke.com","dqburke.com")</f>
        <v>dqburke.com</v>
      </c>
      <c r="C8192" t="s">
        <v>433</v>
      </c>
      <c r="F8192">
        <v>8.0263560931159097E-9</v>
      </c>
      <c r="G8192">
        <v>9872959</v>
      </c>
      <c r="H8192">
        <v>12198740</v>
      </c>
      <c r="I8192">
        <v>23346683</v>
      </c>
      <c r="J8192">
        <v>4</v>
      </c>
    </row>
    <row r="8193" spans="1:10" x14ac:dyDescent="0.25">
      <c r="A8193" t="s">
        <v>68</v>
      </c>
      <c r="B8193" s="1" t="str">
        <f>HYPERLINK("http://dqcakes.com","dqcakes.com")</f>
        <v>dqcakes.com</v>
      </c>
      <c r="C8193" t="s">
        <v>433</v>
      </c>
      <c r="F8193">
        <v>4.9498536694553203E-8</v>
      </c>
      <c r="G8193">
        <v>934721</v>
      </c>
      <c r="H8193">
        <v>13441708</v>
      </c>
      <c r="I8193">
        <v>10247756</v>
      </c>
      <c r="J8193">
        <v>4</v>
      </c>
    </row>
    <row r="8194" spans="1:10" x14ac:dyDescent="0.25">
      <c r="A8194" t="s">
        <v>68</v>
      </c>
      <c r="B8194" s="1" t="str">
        <f>HYPERLINK("http://dqtexas.com","dqtexas.com")</f>
        <v>dqtexas.com</v>
      </c>
      <c r="C8194" t="s">
        <v>433</v>
      </c>
      <c r="F8194">
        <v>1.55482090409015E-7</v>
      </c>
      <c r="G8194">
        <v>249784</v>
      </c>
      <c r="H8194">
        <v>14308405</v>
      </c>
      <c r="I8194">
        <v>1346186</v>
      </c>
      <c r="J8194">
        <v>4</v>
      </c>
    </row>
    <row r="8195" spans="1:10" x14ac:dyDescent="0.25">
      <c r="A8195" t="s">
        <v>68</v>
      </c>
      <c r="B8195" s="1" t="str">
        <f>HYPERLINK("http://draperiespierrecholette.com","draperiespierrecholette.com")</f>
        <v>draperiespierrecholette.com</v>
      </c>
      <c r="C8195" t="s">
        <v>433</v>
      </c>
      <c r="F8195">
        <v>4.7722675502599098E-9</v>
      </c>
      <c r="G8195">
        <v>37279943</v>
      </c>
      <c r="H8195">
        <v>11174837</v>
      </c>
      <c r="I8195">
        <v>31483090</v>
      </c>
      <c r="J8195">
        <v>4</v>
      </c>
    </row>
    <row r="8196" spans="1:10" x14ac:dyDescent="0.25">
      <c r="A8196" t="s">
        <v>68</v>
      </c>
      <c r="B8196" s="1" t="str">
        <f>HYPERLINK("http://duracell.com","duracell.com")</f>
        <v>duracell.com</v>
      </c>
      <c r="C8196" t="s">
        <v>433</v>
      </c>
      <c r="E8196">
        <v>88232</v>
      </c>
      <c r="F8196">
        <v>4.4612599608900899E-7</v>
      </c>
      <c r="G8196">
        <v>84615</v>
      </c>
      <c r="H8196">
        <v>15144163</v>
      </c>
      <c r="I8196">
        <v>400790</v>
      </c>
      <c r="J8196">
        <v>3</v>
      </c>
    </row>
    <row r="8197" spans="1:10" x14ac:dyDescent="0.25">
      <c r="A8197" t="s">
        <v>68</v>
      </c>
      <c r="B8197" s="1" t="str">
        <f>HYPERLINK("http://duracelldirect.com","duracelldirect.com")</f>
        <v>duracelldirect.com</v>
      </c>
      <c r="C8197" t="s">
        <v>433</v>
      </c>
      <c r="F8197">
        <v>1.15152211949246E-8</v>
      </c>
      <c r="G8197">
        <v>5493179</v>
      </c>
      <c r="H8197">
        <v>12865849</v>
      </c>
      <c r="I8197">
        <v>14156277</v>
      </c>
      <c r="J8197">
        <v>4</v>
      </c>
    </row>
    <row r="8198" spans="1:10" x14ac:dyDescent="0.25">
      <c r="A8198" t="s">
        <v>68</v>
      </c>
      <c r="B8198" s="1" t="str">
        <f>HYPERLINK("http://ecowater.com","ecowater.com")</f>
        <v>ecowater.com</v>
      </c>
      <c r="C8198" t="s">
        <v>433</v>
      </c>
      <c r="E8198">
        <v>267584</v>
      </c>
      <c r="F8198">
        <v>6.59536012116312E-8</v>
      </c>
      <c r="G8198">
        <v>650866</v>
      </c>
      <c r="H8198">
        <v>14274872</v>
      </c>
      <c r="I8198">
        <v>1391886</v>
      </c>
      <c r="J8198">
        <v>3</v>
      </c>
    </row>
    <row r="8199" spans="1:10" x14ac:dyDescent="0.25">
      <c r="A8199" t="s">
        <v>68</v>
      </c>
      <c r="B8199" s="1" t="str">
        <f>HYPERLINK("http://empiredist.com","empiredist.com")</f>
        <v>empiredist.com</v>
      </c>
      <c r="C8199" t="s">
        <v>433</v>
      </c>
      <c r="F8199">
        <v>2.9133726548601399E-8</v>
      </c>
      <c r="G8199">
        <v>1767699</v>
      </c>
      <c r="H8199">
        <v>12526825</v>
      </c>
      <c r="I8199">
        <v>17079244</v>
      </c>
      <c r="J8199">
        <v>3</v>
      </c>
    </row>
    <row r="8200" spans="1:10" x14ac:dyDescent="0.25">
      <c r="A8200" t="s">
        <v>68</v>
      </c>
      <c r="B8200" s="1" t="str">
        <f>HYPERLINK("http://erinmillspaint.com","erinmillspaint.com")</f>
        <v>erinmillspaint.com</v>
      </c>
      <c r="C8200" t="s">
        <v>433</v>
      </c>
      <c r="F8200">
        <v>5.5558643039658E-9</v>
      </c>
      <c r="G8200">
        <v>20316638</v>
      </c>
      <c r="H8200">
        <v>12988933</v>
      </c>
      <c r="I8200">
        <v>12867986</v>
      </c>
      <c r="J8200">
        <v>4</v>
      </c>
    </row>
    <row r="8201" spans="1:10" x14ac:dyDescent="0.25">
      <c r="A8201" t="s">
        <v>68</v>
      </c>
      <c r="B8201" s="1" t="str">
        <f>HYPERLINK("http://fatiguetech.com","fatiguetech.com")</f>
        <v>fatiguetech.com</v>
      </c>
      <c r="C8201" t="s">
        <v>433</v>
      </c>
      <c r="F8201">
        <v>1.0115991988588E-8</v>
      </c>
      <c r="G8201">
        <v>6631192</v>
      </c>
      <c r="H8201">
        <v>14072596</v>
      </c>
      <c r="I8201">
        <v>3068594</v>
      </c>
      <c r="J8201">
        <v>4</v>
      </c>
    </row>
    <row r="8202" spans="1:10" x14ac:dyDescent="0.25">
      <c r="A8202" t="s">
        <v>68</v>
      </c>
      <c r="B8202" s="1" t="str">
        <f>HYPERLINK("http://fechheimer.com","fechheimer.com")</f>
        <v>fechheimer.com</v>
      </c>
      <c r="C8202" t="s">
        <v>433</v>
      </c>
      <c r="F8202">
        <v>3.37175812128504E-8</v>
      </c>
      <c r="G8202">
        <v>1534262</v>
      </c>
      <c r="H8202">
        <v>14129760</v>
      </c>
      <c r="I8202">
        <v>2041044</v>
      </c>
      <c r="J8202">
        <v>3</v>
      </c>
    </row>
    <row r="8203" spans="1:10" x14ac:dyDescent="0.25">
      <c r="A8203" t="s">
        <v>68</v>
      </c>
      <c r="B8203" s="1" t="str">
        <f>HYPERLINK("http://flightsafety.com","flightsafety.com")</f>
        <v>flightsafety.com</v>
      </c>
      <c r="C8203" t="s">
        <v>433</v>
      </c>
      <c r="E8203">
        <v>47834</v>
      </c>
      <c r="F8203">
        <v>2.0143516860376199E-7</v>
      </c>
      <c r="G8203">
        <v>188934</v>
      </c>
      <c r="H8203">
        <v>15335720</v>
      </c>
      <c r="I8203">
        <v>383646</v>
      </c>
      <c r="J8203">
        <v>3</v>
      </c>
    </row>
    <row r="8204" spans="1:10" x14ac:dyDescent="0.25">
      <c r="A8204" t="s">
        <v>68</v>
      </c>
      <c r="B8204" s="1" t="str">
        <f>HYPERLINK("http://fontainespecialized.com","fontainespecialized.com")</f>
        <v>fontainespecialized.com</v>
      </c>
      <c r="C8204" t="s">
        <v>433</v>
      </c>
      <c r="F8204">
        <v>1.19031325417273E-8</v>
      </c>
      <c r="G8204">
        <v>5237409</v>
      </c>
      <c r="H8204">
        <v>12164469</v>
      </c>
      <c r="I8204">
        <v>24233795</v>
      </c>
      <c r="J8204">
        <v>4</v>
      </c>
    </row>
    <row r="8205" spans="1:10" x14ac:dyDescent="0.25">
      <c r="A8205" t="s">
        <v>68</v>
      </c>
      <c r="B8205" s="1" t="str">
        <f>HYPERLINK("http://fontianetrailer.com","fontianetrailer.com")</f>
        <v>fontianetrailer.com</v>
      </c>
      <c r="C8205" t="s">
        <v>433</v>
      </c>
      <c r="J8205">
        <v>4</v>
      </c>
    </row>
    <row r="8206" spans="1:10" x14ac:dyDescent="0.25">
      <c r="A8206" t="s">
        <v>68</v>
      </c>
      <c r="B8206" s="1" t="str">
        <f>HYPERLINK("http://forestriverinc.com","forestriverinc.com")</f>
        <v>forestriverinc.com</v>
      </c>
      <c r="C8206" t="s">
        <v>433</v>
      </c>
      <c r="E8206">
        <v>128394</v>
      </c>
      <c r="F8206">
        <v>2.2057430154854799E-7</v>
      </c>
      <c r="G8206">
        <v>170892</v>
      </c>
      <c r="H8206">
        <v>14706342</v>
      </c>
      <c r="I8206">
        <v>586739</v>
      </c>
      <c r="J8206">
        <v>3</v>
      </c>
    </row>
    <row r="8207" spans="1:10" x14ac:dyDescent="0.25">
      <c r="A8207" t="s">
        <v>68</v>
      </c>
      <c r="B8207" s="1" t="str">
        <f>HYPERLINK("http://fortwashingtonpaint.com","fortwashingtonpaint.com")</f>
        <v>fortwashingtonpaint.com</v>
      </c>
      <c r="C8207" t="s">
        <v>433</v>
      </c>
      <c r="F8207">
        <v>4.4455936057184899E-9</v>
      </c>
      <c r="G8207">
        <v>75133027</v>
      </c>
      <c r="H8207">
        <v>9816951</v>
      </c>
      <c r="I8207">
        <v>62452546</v>
      </c>
      <c r="J8207">
        <v>4</v>
      </c>
    </row>
    <row r="8208" spans="1:10" x14ac:dyDescent="0.25">
      <c r="A8208" t="s">
        <v>68</v>
      </c>
      <c r="B8208" s="1" t="str">
        <f>HYPERLINK("http://fotlinc.com","fotlinc.com")</f>
        <v>fotlinc.com</v>
      </c>
      <c r="C8208" t="s">
        <v>433</v>
      </c>
      <c r="F8208">
        <v>5.3418212928924902E-7</v>
      </c>
      <c r="G8208">
        <v>72164</v>
      </c>
      <c r="H8208">
        <v>14221766</v>
      </c>
      <c r="I8208">
        <v>1684472</v>
      </c>
      <c r="J8208">
        <v>3</v>
      </c>
    </row>
    <row r="8209" spans="1:10" x14ac:dyDescent="0.25">
      <c r="A8209" t="s">
        <v>68</v>
      </c>
      <c r="B8209" s="1" t="str">
        <f>HYPERLINK("http://fourteenfoods.com","fourteenfoods.com")</f>
        <v>fourteenfoods.com</v>
      </c>
      <c r="C8209" t="s">
        <v>433</v>
      </c>
      <c r="F8209">
        <v>1.8031505363888699E-8</v>
      </c>
      <c r="G8209">
        <v>3024074</v>
      </c>
      <c r="H8209">
        <v>12646413</v>
      </c>
      <c r="I8209">
        <v>15823736</v>
      </c>
      <c r="J8209">
        <v>4</v>
      </c>
    </row>
    <row r="8210" spans="1:10" x14ac:dyDescent="0.25">
      <c r="A8210" t="s">
        <v>68</v>
      </c>
      <c r="B8210" s="1" t="str">
        <f>HYPERLINK("http://fruit.com","fruit.com")</f>
        <v>fruit.com</v>
      </c>
      <c r="C8210" t="s">
        <v>433</v>
      </c>
      <c r="E8210">
        <v>119987</v>
      </c>
      <c r="F8210">
        <v>2.04833703348453E-7</v>
      </c>
      <c r="G8210">
        <v>185466</v>
      </c>
      <c r="H8210">
        <v>17071910</v>
      </c>
      <c r="I8210">
        <v>70401</v>
      </c>
      <c r="J8210">
        <v>3</v>
      </c>
    </row>
    <row r="8211" spans="1:10" x14ac:dyDescent="0.25">
      <c r="A8211" t="s">
        <v>68</v>
      </c>
      <c r="B8211" s="1" t="str">
        <f>HYPERLINK("http://garan.com","garan.com")</f>
        <v>garan.com</v>
      </c>
      <c r="C8211" t="s">
        <v>433</v>
      </c>
      <c r="F8211">
        <v>4.4442531408324603E-9</v>
      </c>
      <c r="G8211">
        <v>77201995</v>
      </c>
      <c r="H8211">
        <v>9393338</v>
      </c>
      <c r="I8211">
        <v>67366739</v>
      </c>
      <c r="J8211">
        <v>4</v>
      </c>
    </row>
    <row r="8212" spans="1:10" x14ac:dyDescent="0.25">
      <c r="A8212" t="s">
        <v>68</v>
      </c>
      <c r="B8212" s="1" t="str">
        <f>HYPERLINK("http://geico.com","geico.com")</f>
        <v>geico.com</v>
      </c>
      <c r="C8212" t="s">
        <v>433</v>
      </c>
      <c r="E8212">
        <v>2236</v>
      </c>
      <c r="F8212">
        <v>2.3387438992344501E-6</v>
      </c>
      <c r="G8212">
        <v>15833</v>
      </c>
      <c r="H8212">
        <v>15853340</v>
      </c>
      <c r="I8212">
        <v>367530</v>
      </c>
      <c r="J8212">
        <v>3</v>
      </c>
    </row>
    <row r="8213" spans="1:10" x14ac:dyDescent="0.25">
      <c r="A8213" t="s">
        <v>68</v>
      </c>
      <c r="B8213" s="1" t="str">
        <f>HYPERLINK("http://generalstar.com","generalstar.com")</f>
        <v>generalstar.com</v>
      </c>
      <c r="C8213" t="s">
        <v>433</v>
      </c>
      <c r="F8213">
        <v>3.0669598419936701E-8</v>
      </c>
      <c r="G8213">
        <v>1679507</v>
      </c>
      <c r="H8213">
        <v>12825920</v>
      </c>
      <c r="I8213">
        <v>14459123</v>
      </c>
      <c r="J8213">
        <v>3</v>
      </c>
    </row>
    <row r="8214" spans="1:10" x14ac:dyDescent="0.25">
      <c r="A8214" t="s">
        <v>68</v>
      </c>
      <c r="B8214" s="1" t="str">
        <f>HYPERLINK("http://genesisinsurance.com","genesisinsurance.com")</f>
        <v>genesisinsurance.com</v>
      </c>
      <c r="C8214" t="s">
        <v>433</v>
      </c>
      <c r="F8214">
        <v>1.5310405261458599E-8</v>
      </c>
      <c r="G8214">
        <v>3742666</v>
      </c>
      <c r="H8214">
        <v>12213318</v>
      </c>
      <c r="I8214">
        <v>22944039</v>
      </c>
      <c r="J8214">
        <v>3</v>
      </c>
    </row>
    <row r="8215" spans="1:10" x14ac:dyDescent="0.25">
      <c r="A8215" t="s">
        <v>68</v>
      </c>
      <c r="B8215" s="1" t="str">
        <f>HYPERLINK("http://genre.com","genre.com")</f>
        <v>genre.com</v>
      </c>
      <c r="C8215" t="s">
        <v>433</v>
      </c>
      <c r="E8215">
        <v>124593</v>
      </c>
      <c r="F8215">
        <v>2.7970128812750102E-7</v>
      </c>
      <c r="G8215">
        <v>132959</v>
      </c>
      <c r="H8215">
        <v>14903906</v>
      </c>
      <c r="I8215">
        <v>461333</v>
      </c>
      <c r="J8215">
        <v>3</v>
      </c>
    </row>
    <row r="8216" spans="1:10" x14ac:dyDescent="0.25">
      <c r="A8216" t="s">
        <v>68</v>
      </c>
      <c r="B8216" s="1" t="str">
        <f>HYPERLINK("http://genry.com","genry.com")</f>
        <v>genry.com</v>
      </c>
      <c r="C8216" t="s">
        <v>433</v>
      </c>
      <c r="J8216">
        <v>6</v>
      </c>
    </row>
    <row r="8217" spans="1:10" x14ac:dyDescent="0.25">
      <c r="A8217" t="s">
        <v>68</v>
      </c>
      <c r="B8217" s="1" t="str">
        <f>HYPERLINK("http://gotogallo.com","gotogallo.com")</f>
        <v>gotogallo.com</v>
      </c>
      <c r="C8217" t="s">
        <v>433</v>
      </c>
      <c r="F8217">
        <v>8.8454515476929602E-9</v>
      </c>
      <c r="G8217">
        <v>8231659</v>
      </c>
      <c r="H8217">
        <v>12779307</v>
      </c>
      <c r="I8217">
        <v>14773139</v>
      </c>
      <c r="J8217">
        <v>5</v>
      </c>
    </row>
    <row r="8218" spans="1:10" x14ac:dyDescent="0.25">
      <c r="A8218" t="s">
        <v>68</v>
      </c>
      <c r="B8218" s="1" t="str">
        <f>HYPERLINK("http://guard.com","guard.com")</f>
        <v>guard.com</v>
      </c>
      <c r="C8218" t="s">
        <v>433</v>
      </c>
      <c r="E8218">
        <v>106355</v>
      </c>
      <c r="F8218">
        <v>2.7084301147526301E-7</v>
      </c>
      <c r="G8218">
        <v>137471</v>
      </c>
      <c r="H8218">
        <v>13634108</v>
      </c>
      <c r="I8218">
        <v>9615431</v>
      </c>
      <c r="J8218">
        <v>3</v>
      </c>
    </row>
    <row r="8219" spans="1:10" x14ac:dyDescent="0.25">
      <c r="A8219" t="s">
        <v>68</v>
      </c>
      <c r="B8219" s="1" t="str">
        <f>HYPERLINK("http://harveyspaint.com","harveyspaint.com")</f>
        <v>harveyspaint.com</v>
      </c>
      <c r="C8219" t="s">
        <v>433</v>
      </c>
      <c r="F8219">
        <v>4.5702218919792797E-9</v>
      </c>
      <c r="G8219">
        <v>50164967</v>
      </c>
      <c r="H8219">
        <v>9857619</v>
      </c>
      <c r="I8219">
        <v>62087839</v>
      </c>
      <c r="J8219">
        <v>4</v>
      </c>
    </row>
    <row r="8220" spans="1:10" x14ac:dyDescent="0.25">
      <c r="A8220" t="s">
        <v>68</v>
      </c>
      <c r="B8220" s="1" t="str">
        <f>HYPERLINK("http://hawthornlife.com","hawthornlife.com")</f>
        <v>hawthornlife.com</v>
      </c>
      <c r="C8220" t="s">
        <v>433</v>
      </c>
      <c r="F8220">
        <v>5.0351738317563001E-9</v>
      </c>
      <c r="G8220">
        <v>28550646</v>
      </c>
      <c r="H8220">
        <v>10373380</v>
      </c>
      <c r="I8220">
        <v>54753831</v>
      </c>
      <c r="J8220">
        <v>4</v>
      </c>
    </row>
    <row r="8221" spans="1:10" x14ac:dyDescent="0.25">
      <c r="A8221" t="s">
        <v>68</v>
      </c>
      <c r="B8221" s="1" t="str">
        <f>HYPERLINK("http://hhbrown.com","hhbrown.com")</f>
        <v>hhbrown.com</v>
      </c>
      <c r="C8221" t="s">
        <v>433</v>
      </c>
      <c r="E8221">
        <v>333099</v>
      </c>
      <c r="F8221">
        <v>6.0373470573990796E-8</v>
      </c>
      <c r="G8221">
        <v>730484</v>
      </c>
      <c r="H8221">
        <v>13786236</v>
      </c>
      <c r="I8221">
        <v>6389164</v>
      </c>
      <c r="J8221">
        <v>3</v>
      </c>
    </row>
    <row r="8222" spans="1:10" x14ac:dyDescent="0.25">
      <c r="A8222" t="s">
        <v>68</v>
      </c>
      <c r="B8222" s="1" t="str">
        <f>HYPERLINK("http://homemakersfurn.com","homemakersfurn.com")</f>
        <v>homemakersfurn.com</v>
      </c>
      <c r="C8222" t="s">
        <v>433</v>
      </c>
      <c r="F8222">
        <v>4.6343493709812601E-9</v>
      </c>
      <c r="G8222">
        <v>45136567</v>
      </c>
      <c r="H8222">
        <v>10942386</v>
      </c>
      <c r="I8222">
        <v>34767966</v>
      </c>
      <c r="J8222">
        <v>3</v>
      </c>
    </row>
    <row r="8223" spans="1:10" x14ac:dyDescent="0.25">
      <c r="A8223" t="s">
        <v>68</v>
      </c>
      <c r="B8223" s="1" t="str">
        <f>HYPERLINK("http://homesale.com","homesale.com")</f>
        <v>homesale.com</v>
      </c>
      <c r="C8223" t="s">
        <v>433</v>
      </c>
      <c r="E8223">
        <v>858233</v>
      </c>
      <c r="F8223">
        <v>8.8063934166834599E-8</v>
      </c>
      <c r="G8223">
        <v>465381</v>
      </c>
      <c r="H8223">
        <v>14442636</v>
      </c>
      <c r="I8223">
        <v>1060526</v>
      </c>
      <c r="J8223">
        <v>5</v>
      </c>
    </row>
    <row r="8224" spans="1:10" x14ac:dyDescent="0.25">
      <c r="A8224" t="s">
        <v>68</v>
      </c>
      <c r="B8224" s="1" t="str">
        <f>HYPERLINK("http://homeservices.com","homeservices.com")</f>
        <v>homeservices.com</v>
      </c>
      <c r="C8224" t="s">
        <v>433</v>
      </c>
      <c r="E8224">
        <v>135857</v>
      </c>
      <c r="F8224">
        <v>1.1170863597741299E-7</v>
      </c>
      <c r="G8224">
        <v>357694</v>
      </c>
      <c r="H8224">
        <v>14194079</v>
      </c>
      <c r="I8224">
        <v>1740960</v>
      </c>
      <c r="J8224">
        <v>3</v>
      </c>
    </row>
    <row r="8225" spans="1:10" x14ac:dyDescent="0.25">
      <c r="A8225" t="s">
        <v>68</v>
      </c>
      <c r="B8225" s="1" t="str">
        <f>HYPERLINK("http://hopperandro.com","hopperandro.com")</f>
        <v>hopperandro.com</v>
      </c>
      <c r="C8225" t="s">
        <v>433</v>
      </c>
      <c r="F8225">
        <v>5.7663062960342498E-9</v>
      </c>
      <c r="G8225">
        <v>18356716</v>
      </c>
      <c r="H8225">
        <v>12401247</v>
      </c>
      <c r="I8225">
        <v>18761396</v>
      </c>
      <c r="J8225">
        <v>5</v>
      </c>
    </row>
    <row r="8226" spans="1:10" x14ac:dyDescent="0.25">
      <c r="A8226" t="s">
        <v>68</v>
      </c>
      <c r="B8226" s="1" t="str">
        <f>HYPERLINK("http://houseofcolorsanfrancisco.com","houseofcolorsanfrancisco.com")</f>
        <v>houseofcolorsanfrancisco.com</v>
      </c>
      <c r="C8226" t="s">
        <v>433</v>
      </c>
      <c r="F8226">
        <v>5.2929880738931403E-9</v>
      </c>
      <c r="G8226">
        <v>23599444</v>
      </c>
      <c r="H8226">
        <v>10572064</v>
      </c>
      <c r="I8226">
        <v>46026089</v>
      </c>
      <c r="J8226">
        <v>4</v>
      </c>
    </row>
    <row r="8227" spans="1:10" x14ac:dyDescent="0.25">
      <c r="A8227" t="s">
        <v>68</v>
      </c>
      <c r="B8227" s="1" t="str">
        <f>HYPERLINK("http://ilovefloor.com","ilovefloor.com")</f>
        <v>ilovefloor.com</v>
      </c>
      <c r="C8227" t="s">
        <v>433</v>
      </c>
      <c r="F8227">
        <v>4.44380395335525E-9</v>
      </c>
      <c r="G8227">
        <v>82047130</v>
      </c>
      <c r="H8227">
        <v>0</v>
      </c>
      <c r="I8227">
        <v>82570007</v>
      </c>
      <c r="J8227">
        <v>4</v>
      </c>
    </row>
    <row r="8228" spans="1:10" x14ac:dyDescent="0.25">
      <c r="A8228" t="s">
        <v>68</v>
      </c>
      <c r="B8228" s="1" t="str">
        <f>HYPERLINK("http://imc-companies.com","imc-companies.com")</f>
        <v>imc-companies.com</v>
      </c>
      <c r="C8228" t="s">
        <v>433</v>
      </c>
      <c r="E8228">
        <v>998436</v>
      </c>
      <c r="F8228">
        <v>9.7234245970769199E-8</v>
      </c>
      <c r="G8228">
        <v>415474</v>
      </c>
      <c r="H8228">
        <v>14426057</v>
      </c>
      <c r="I8228">
        <v>1079416</v>
      </c>
      <c r="J8228">
        <v>3</v>
      </c>
    </row>
    <row r="8229" spans="1:10" x14ac:dyDescent="0.25">
      <c r="A8229" t="s">
        <v>68</v>
      </c>
      <c r="B8229" s="1" t="str">
        <f>HYPERLINK("http://ingersoll-imc.com","ingersoll-imc.com")</f>
        <v>ingersoll-imc.com</v>
      </c>
      <c r="C8229" t="s">
        <v>433</v>
      </c>
      <c r="F8229">
        <v>3.6554928439492603E-8</v>
      </c>
      <c r="G8229">
        <v>1428718</v>
      </c>
      <c r="H8229">
        <v>13781658</v>
      </c>
      <c r="I8229">
        <v>6455543</v>
      </c>
      <c r="J8229">
        <v>4</v>
      </c>
    </row>
    <row r="8230" spans="1:10" x14ac:dyDescent="0.25">
      <c r="A8230" t="s">
        <v>68</v>
      </c>
      <c r="B8230" s="1" t="str">
        <f>HYPERLINK("http://ipsdb.com","ipsdb.com")</f>
        <v>ipsdb.com</v>
      </c>
      <c r="C8230" t="s">
        <v>433</v>
      </c>
      <c r="E8230">
        <v>146992</v>
      </c>
      <c r="F8230">
        <v>9.2044826973238996E-8</v>
      </c>
      <c r="G8230">
        <v>442407</v>
      </c>
      <c r="H8230">
        <v>13862814</v>
      </c>
      <c r="I8230">
        <v>6016284</v>
      </c>
      <c r="J8230">
        <v>3</v>
      </c>
    </row>
    <row r="8231" spans="1:10" x14ac:dyDescent="0.25">
      <c r="A8231" t="s">
        <v>68</v>
      </c>
      <c r="B8231" s="1" t="str">
        <f>HYPERLINK("http://ipsoft-sa.com","ipsoft-sa.com")</f>
        <v>ipsoft-sa.com</v>
      </c>
      <c r="C8231" t="s">
        <v>433</v>
      </c>
      <c r="F8231">
        <v>4.8309762452861602E-9</v>
      </c>
      <c r="G8231">
        <v>34805926</v>
      </c>
      <c r="H8231">
        <v>10923363</v>
      </c>
      <c r="I8231">
        <v>35204163</v>
      </c>
      <c r="J8231">
        <v>6</v>
      </c>
    </row>
    <row r="8232" spans="1:10" x14ac:dyDescent="0.25">
      <c r="A8232" t="s">
        <v>68</v>
      </c>
      <c r="B8232" s="1" t="str">
        <f>HYPERLINK("http://iscar.com","iscar.com")</f>
        <v>iscar.com</v>
      </c>
      <c r="C8232" t="s">
        <v>433</v>
      </c>
      <c r="E8232">
        <v>196284</v>
      </c>
      <c r="F8232">
        <v>2.1127969723146799E-7</v>
      </c>
      <c r="G8232">
        <v>178851</v>
      </c>
      <c r="H8232">
        <v>16991296</v>
      </c>
      <c r="I8232">
        <v>95597</v>
      </c>
      <c r="J8232">
        <v>3</v>
      </c>
    </row>
    <row r="8233" spans="1:10" x14ac:dyDescent="0.25">
      <c r="A8233" t="s">
        <v>68</v>
      </c>
      <c r="B8233" s="1" t="str">
        <f>HYPERLINK("http://jazwares.com","jazwares.com")</f>
        <v>jazwares.com</v>
      </c>
      <c r="C8233" t="s">
        <v>433</v>
      </c>
      <c r="E8233">
        <v>169403</v>
      </c>
      <c r="F8233">
        <v>1.9321336017319299E-7</v>
      </c>
      <c r="G8233">
        <v>199501</v>
      </c>
      <c r="H8233">
        <v>14836859</v>
      </c>
      <c r="I8233">
        <v>500181</v>
      </c>
      <c r="J8233">
        <v>3</v>
      </c>
    </row>
    <row r="8234" spans="1:10" x14ac:dyDescent="0.25">
      <c r="A8234" t="s">
        <v>68</v>
      </c>
      <c r="B8234" s="1" t="str">
        <f>HYPERLINK("http://jm.com","jm.com")</f>
        <v>jm.com</v>
      </c>
      <c r="C8234" t="s">
        <v>433</v>
      </c>
      <c r="E8234">
        <v>62988</v>
      </c>
      <c r="F8234">
        <v>3.9800420638683402E-7</v>
      </c>
      <c r="G8234">
        <v>94301</v>
      </c>
      <c r="H8234">
        <v>14605809</v>
      </c>
      <c r="I8234">
        <v>681743</v>
      </c>
      <c r="J8234">
        <v>3</v>
      </c>
    </row>
    <row r="8235" spans="1:10" x14ac:dyDescent="0.25">
      <c r="A8235" t="s">
        <v>68</v>
      </c>
      <c r="B8235" s="1" t="str">
        <f>HYPERLINK("http://jordans.com","jordans.com")</f>
        <v>jordans.com</v>
      </c>
      <c r="C8235" t="s">
        <v>433</v>
      </c>
      <c r="E8235">
        <v>171340</v>
      </c>
      <c r="F8235">
        <v>1.1210933267722899E-7</v>
      </c>
      <c r="G8235">
        <v>356342</v>
      </c>
      <c r="H8235">
        <v>14695703</v>
      </c>
      <c r="I8235">
        <v>599522</v>
      </c>
      <c r="J8235">
        <v>3</v>
      </c>
    </row>
    <row r="8236" spans="1:10" x14ac:dyDescent="0.25">
      <c r="A8236" t="s">
        <v>68</v>
      </c>
      <c r="B8236" s="1" t="str">
        <f>HYPERLINK("http://justcall-joel.com","justcall-joel.com")</f>
        <v>justcall-joel.com</v>
      </c>
      <c r="C8236" t="s">
        <v>433</v>
      </c>
      <c r="J8236">
        <v>8</v>
      </c>
    </row>
    <row r="8237" spans="1:10" x14ac:dyDescent="0.25">
      <c r="A8237" t="s">
        <v>68</v>
      </c>
      <c r="B8237" s="1" t="str">
        <f>HYPERLINK("http://justinbrands.com","justinbrands.com")</f>
        <v>justinbrands.com</v>
      </c>
      <c r="C8237" t="s">
        <v>433</v>
      </c>
      <c r="F8237">
        <v>2.1213728141177499E-8</v>
      </c>
      <c r="G8237">
        <v>2486013</v>
      </c>
      <c r="H8237">
        <v>13038432</v>
      </c>
      <c r="I8237">
        <v>12630082</v>
      </c>
      <c r="J8237">
        <v>3</v>
      </c>
    </row>
    <row r="8238" spans="1:10" x14ac:dyDescent="0.25">
      <c r="A8238" t="s">
        <v>68</v>
      </c>
      <c r="B8238" s="1" t="str">
        <f>HYPERLINK("http://kerite.com","kerite.com")</f>
        <v>kerite.com</v>
      </c>
      <c r="C8238" t="s">
        <v>433</v>
      </c>
      <c r="F8238">
        <v>5.5750381544791798E-9</v>
      </c>
      <c r="G8238">
        <v>20108376</v>
      </c>
      <c r="H8238">
        <v>12265194</v>
      </c>
      <c r="I8238">
        <v>21631591</v>
      </c>
      <c r="J8238">
        <v>3</v>
      </c>
    </row>
    <row r="8239" spans="1:10" x14ac:dyDescent="0.25">
      <c r="A8239" t="s">
        <v>68</v>
      </c>
      <c r="B8239" s="1" t="str">
        <f>HYPERLINK("http://kernrivergas.com","kernrivergas.com")</f>
        <v>kernrivergas.com</v>
      </c>
      <c r="C8239" t="s">
        <v>433</v>
      </c>
      <c r="F8239">
        <v>3.5349758657436697E-8</v>
      </c>
      <c r="G8239">
        <v>1471626</v>
      </c>
      <c r="H8239">
        <v>13323058</v>
      </c>
      <c r="I8239">
        <v>10738241</v>
      </c>
      <c r="J8239">
        <v>4</v>
      </c>
    </row>
    <row r="8240" spans="1:10" x14ac:dyDescent="0.25">
      <c r="A8240" t="s">
        <v>68</v>
      </c>
      <c r="B8240" s="1" t="str">
        <f>HYPERLINK("http://kitcofofiberoptics.com","kitcofofiberoptics.com")</f>
        <v>kitcofofiberoptics.com</v>
      </c>
      <c r="C8240" t="s">
        <v>433</v>
      </c>
      <c r="J8240">
        <v>4</v>
      </c>
    </row>
    <row r="8241" spans="1:10" x14ac:dyDescent="0.25">
      <c r="A8241" t="s">
        <v>68</v>
      </c>
      <c r="B8241" s="1" t="str">
        <f>HYPERLINK("http://korkease.com","korkease.com")</f>
        <v>korkease.com</v>
      </c>
      <c r="C8241" t="s">
        <v>433</v>
      </c>
      <c r="F8241">
        <v>2.4899543103156901E-8</v>
      </c>
      <c r="G8241">
        <v>2076498</v>
      </c>
      <c r="H8241">
        <v>13804048</v>
      </c>
      <c r="I8241">
        <v>6259511</v>
      </c>
      <c r="J8241">
        <v>4</v>
      </c>
    </row>
    <row r="8242" spans="1:10" x14ac:dyDescent="0.25">
      <c r="A8242" t="s">
        <v>68</v>
      </c>
      <c r="B8242" s="1" t="str">
        <f>HYPERLINK("http://kworthen757.com","kworthen757.com")</f>
        <v>kworthen757.com</v>
      </c>
      <c r="C8242" t="s">
        <v>433</v>
      </c>
      <c r="F8242">
        <v>4.6625865975376701E-9</v>
      </c>
      <c r="G8242">
        <v>43365762</v>
      </c>
      <c r="H8242">
        <v>12124050</v>
      </c>
      <c r="I8242">
        <v>25303920</v>
      </c>
      <c r="J8242">
        <v>5</v>
      </c>
    </row>
    <row r="8243" spans="1:10" x14ac:dyDescent="0.25">
      <c r="A8243" t="s">
        <v>68</v>
      </c>
      <c r="B8243" s="1" t="str">
        <f>HYPERLINK("http://lebanonpaint.com","lebanonpaint.com")</f>
        <v>lebanonpaint.com</v>
      </c>
      <c r="C8243" t="s">
        <v>433</v>
      </c>
      <c r="F8243">
        <v>5.1766676109960598E-9</v>
      </c>
      <c r="G8243">
        <v>25609268</v>
      </c>
      <c r="H8243">
        <v>10937060</v>
      </c>
      <c r="I8243">
        <v>34905751</v>
      </c>
      <c r="J8243">
        <v>4</v>
      </c>
    </row>
    <row r="8244" spans="1:10" x14ac:dyDescent="0.25">
      <c r="A8244" t="s">
        <v>68</v>
      </c>
      <c r="B8244" s="1" t="str">
        <f>HYPERLINK("http://leisuredelights.com","leisuredelights.com")</f>
        <v>leisuredelights.com</v>
      </c>
      <c r="C8244" t="s">
        <v>433</v>
      </c>
      <c r="F8244">
        <v>4.44380395335525E-9</v>
      </c>
      <c r="G8244">
        <v>82398252</v>
      </c>
      <c r="H8244">
        <v>0</v>
      </c>
      <c r="I8244">
        <v>82998892</v>
      </c>
      <c r="J8244">
        <v>5</v>
      </c>
    </row>
    <row r="8245" spans="1:10" x14ac:dyDescent="0.25">
      <c r="A8245" t="s">
        <v>68</v>
      </c>
      <c r="B8245" s="1" t="str">
        <f>HYPERLINK("http://liquidpower.com","liquidpower.com")</f>
        <v>liquidpower.com</v>
      </c>
      <c r="C8245" t="s">
        <v>433</v>
      </c>
      <c r="E8245">
        <v>729038</v>
      </c>
      <c r="F8245">
        <v>3.9729825113578998E-8</v>
      </c>
      <c r="G8245">
        <v>1300186</v>
      </c>
      <c r="H8245">
        <v>12575105</v>
      </c>
      <c r="I8245">
        <v>16565470</v>
      </c>
      <c r="J8245">
        <v>3</v>
      </c>
    </row>
    <row r="8246" spans="1:10" x14ac:dyDescent="0.25">
      <c r="A8246" t="s">
        <v>68</v>
      </c>
      <c r="B8246" s="1" t="str">
        <f>HYPERLINK("http://livewellbnsf.com","livewellbnsf.com")</f>
        <v>livewellbnsf.com</v>
      </c>
      <c r="C8246" t="s">
        <v>433</v>
      </c>
      <c r="F8246">
        <v>9.19834710592445E-9</v>
      </c>
      <c r="G8246">
        <v>7712287</v>
      </c>
      <c r="H8246">
        <v>11222550</v>
      </c>
      <c r="I8246">
        <v>31073792</v>
      </c>
      <c r="J8246">
        <v>4</v>
      </c>
    </row>
    <row r="8247" spans="1:10" x14ac:dyDescent="0.25">
      <c r="A8247" t="s">
        <v>68</v>
      </c>
      <c r="B8247" s="1" t="str">
        <f>HYPERLINK("http://lubrizol.com","lubrizol.com")</f>
        <v>lubrizol.com</v>
      </c>
      <c r="C8247" t="s">
        <v>433</v>
      </c>
      <c r="E8247">
        <v>64800</v>
      </c>
      <c r="F8247">
        <v>4.8317454435666998E-7</v>
      </c>
      <c r="G8247">
        <v>78750</v>
      </c>
      <c r="H8247">
        <v>15255249</v>
      </c>
      <c r="I8247">
        <v>389807</v>
      </c>
      <c r="J8247">
        <v>3</v>
      </c>
    </row>
    <row r="8248" spans="1:10" x14ac:dyDescent="0.25">
      <c r="A8248" t="s">
        <v>68</v>
      </c>
      <c r="B8248" s="1" t="str">
        <f>HYPERLINK("http://lubrizolcdmo.com","lubrizolcdmo.com")</f>
        <v>lubrizolcdmo.com</v>
      </c>
      <c r="C8248" t="s">
        <v>433</v>
      </c>
      <c r="F8248">
        <v>4.0291856849891698E-8</v>
      </c>
      <c r="G8248">
        <v>1284341</v>
      </c>
      <c r="H8248">
        <v>13214722</v>
      </c>
      <c r="I8248">
        <v>11372900</v>
      </c>
      <c r="J8248">
        <v>6</v>
      </c>
    </row>
    <row r="8249" spans="1:10" x14ac:dyDescent="0.25">
      <c r="A8249" t="s">
        <v>68</v>
      </c>
      <c r="B8249" s="1" t="str">
        <f>HYPERLINK("http://lubrizolspecialtyproducts.com","lubrizolspecialtyproducts.com")</f>
        <v>lubrizolspecialtyproducts.com</v>
      </c>
      <c r="C8249" t="s">
        <v>433</v>
      </c>
      <c r="F8249">
        <v>4.44380395335525E-9</v>
      </c>
      <c r="G8249">
        <v>82481294</v>
      </c>
      <c r="H8249">
        <v>0</v>
      </c>
      <c r="I8249">
        <v>83100280</v>
      </c>
      <c r="J8249">
        <v>6</v>
      </c>
    </row>
    <row r="8250" spans="1:10" x14ac:dyDescent="0.25">
      <c r="A8250" t="s">
        <v>68</v>
      </c>
      <c r="B8250" s="1" t="str">
        <f>HYPERLINK("http://madapal.com","madapal.com")</f>
        <v>madapal.com</v>
      </c>
      <c r="C8250" t="s">
        <v>433</v>
      </c>
      <c r="J8250">
        <v>4</v>
      </c>
    </row>
    <row r="8251" spans="1:10" x14ac:dyDescent="0.25">
      <c r="A8251" t="s">
        <v>68</v>
      </c>
      <c r="B8251" s="1" t="str">
        <f>HYPERLINK("http://marmon.com","marmon.com")</f>
        <v>marmon.com</v>
      </c>
      <c r="C8251" t="s">
        <v>433</v>
      </c>
      <c r="E8251">
        <v>660940</v>
      </c>
      <c r="F8251">
        <v>1.14624195238919E-7</v>
      </c>
      <c r="G8251">
        <v>347332</v>
      </c>
      <c r="H8251">
        <v>14828396</v>
      </c>
      <c r="I8251">
        <v>507896</v>
      </c>
      <c r="J8251">
        <v>3</v>
      </c>
    </row>
    <row r="8252" spans="1:10" x14ac:dyDescent="0.25">
      <c r="A8252" t="s">
        <v>68</v>
      </c>
      <c r="B8252" s="1" t="str">
        <f>HYPERLINK("http://marmon-ad.com","marmon-ad.com")</f>
        <v>marmon-ad.com</v>
      </c>
      <c r="C8252" t="s">
        <v>433</v>
      </c>
      <c r="F8252">
        <v>7.5475026851099593E-9</v>
      </c>
      <c r="G8252">
        <v>10910601</v>
      </c>
      <c r="H8252">
        <v>13933332</v>
      </c>
      <c r="I8252">
        <v>4781072</v>
      </c>
      <c r="J8252">
        <v>4</v>
      </c>
    </row>
    <row r="8253" spans="1:10" x14ac:dyDescent="0.25">
      <c r="A8253" t="s">
        <v>68</v>
      </c>
      <c r="B8253" s="1" t="str">
        <f>HYPERLINK("http://marmoncranes.com","marmoncranes.com")</f>
        <v>marmoncranes.com</v>
      </c>
      <c r="C8253" t="s">
        <v>433</v>
      </c>
      <c r="F8253">
        <v>4.8157414291182004E-9</v>
      </c>
      <c r="G8253">
        <v>35427620</v>
      </c>
      <c r="H8253">
        <v>12129233</v>
      </c>
      <c r="I8253">
        <v>25159558</v>
      </c>
      <c r="J8253">
        <v>3</v>
      </c>
    </row>
    <row r="8254" spans="1:10" x14ac:dyDescent="0.25">
      <c r="A8254" t="s">
        <v>68</v>
      </c>
      <c r="B8254" s="1" t="str">
        <f>HYPERLINK("http://marmonkeystone.com","marmonkeystone.com")</f>
        <v>marmonkeystone.com</v>
      </c>
      <c r="C8254" t="s">
        <v>433</v>
      </c>
      <c r="F8254">
        <v>1.4972417506773199E-8</v>
      </c>
      <c r="G8254">
        <v>3848819</v>
      </c>
      <c r="H8254">
        <v>12388180</v>
      </c>
      <c r="I8254">
        <v>19079892</v>
      </c>
      <c r="J8254">
        <v>3</v>
      </c>
    </row>
    <row r="8255" spans="1:10" x14ac:dyDescent="0.25">
      <c r="A8255" t="s">
        <v>68</v>
      </c>
      <c r="B8255" s="1" t="str">
        <f>HYPERLINK("http://mayfielddq.com","mayfielddq.com")</f>
        <v>mayfielddq.com</v>
      </c>
      <c r="C8255" t="s">
        <v>433</v>
      </c>
      <c r="F8255">
        <v>1.28733486809318E-8</v>
      </c>
      <c r="G8255">
        <v>4692240</v>
      </c>
      <c r="H8255">
        <v>13041644</v>
      </c>
      <c r="I8255">
        <v>12619160</v>
      </c>
      <c r="J8255">
        <v>4</v>
      </c>
    </row>
    <row r="8256" spans="1:10" x14ac:dyDescent="0.25">
      <c r="A8256" t="s">
        <v>68</v>
      </c>
      <c r="B8256" s="1" t="str">
        <f>HYPERLINK("http://mclaneco.com","mclaneco.com")</f>
        <v>mclaneco.com</v>
      </c>
      <c r="C8256" t="s">
        <v>433</v>
      </c>
      <c r="E8256">
        <v>76760</v>
      </c>
      <c r="F8256">
        <v>1.2603858722154299E-7</v>
      </c>
      <c r="G8256">
        <v>312936</v>
      </c>
      <c r="H8256">
        <v>15126763</v>
      </c>
      <c r="I8256">
        <v>402799</v>
      </c>
      <c r="J8256">
        <v>3</v>
      </c>
    </row>
    <row r="8257" spans="1:10" x14ac:dyDescent="0.25">
      <c r="A8257" t="s">
        <v>68</v>
      </c>
      <c r="B8257" s="1" t="str">
        <f>HYPERLINK("http://medpro.com","medpro.com")</f>
        <v>medpro.com</v>
      </c>
      <c r="C8257" t="s">
        <v>433</v>
      </c>
      <c r="E8257">
        <v>206796</v>
      </c>
      <c r="F8257">
        <v>1.23199154974439E-7</v>
      </c>
      <c r="G8257">
        <v>320320</v>
      </c>
      <c r="H8257">
        <v>14035444</v>
      </c>
      <c r="I8257">
        <v>3916160</v>
      </c>
      <c r="J8257">
        <v>3</v>
      </c>
    </row>
    <row r="8258" spans="1:10" x14ac:dyDescent="0.25">
      <c r="A8258" t="s">
        <v>68</v>
      </c>
      <c r="B8258" s="1" t="str">
        <f>HYPERLINK("http://medpropodiatry.com","medpropodiatry.com")</f>
        <v>medpropodiatry.com</v>
      </c>
      <c r="C8258" t="s">
        <v>433</v>
      </c>
      <c r="F8258">
        <v>5.1269733233441304E-9</v>
      </c>
      <c r="G8258">
        <v>26512217</v>
      </c>
      <c r="H8258">
        <v>12176040</v>
      </c>
      <c r="I8258">
        <v>23905311</v>
      </c>
      <c r="J8258">
        <v>5</v>
      </c>
    </row>
    <row r="8259" spans="1:10" x14ac:dyDescent="0.25">
      <c r="A8259" t="s">
        <v>68</v>
      </c>
      <c r="B8259" s="1" t="str">
        <f>HYPERLINK("http://mehtalia.com","mehtalia.com")</f>
        <v>mehtalia.com</v>
      </c>
      <c r="C8259" t="s">
        <v>433</v>
      </c>
      <c r="J8259">
        <v>6</v>
      </c>
    </row>
    <row r="8260" spans="1:10" x14ac:dyDescent="0.25">
      <c r="A8260" t="s">
        <v>68</v>
      </c>
      <c r="B8260" s="1" t="str">
        <f>HYPERLINK("http://menschmill.com","menschmill.com")</f>
        <v>menschmill.com</v>
      </c>
      <c r="C8260" t="s">
        <v>433</v>
      </c>
      <c r="F8260">
        <v>5.8403717945632701E-9</v>
      </c>
      <c r="G8260">
        <v>17780542</v>
      </c>
      <c r="H8260">
        <v>12432744</v>
      </c>
      <c r="I8260">
        <v>18258129</v>
      </c>
      <c r="J8260">
        <v>4</v>
      </c>
    </row>
    <row r="8261" spans="1:10" x14ac:dyDescent="0.25">
      <c r="A8261" t="s">
        <v>68</v>
      </c>
      <c r="B8261" s="1" t="str">
        <f>HYPERLINK("http://menschsupply.com","menschsupply.com")</f>
        <v>menschsupply.com</v>
      </c>
      <c r="C8261" t="s">
        <v>433</v>
      </c>
      <c r="J8261">
        <v>7</v>
      </c>
    </row>
    <row r="8262" spans="1:10" x14ac:dyDescent="0.25">
      <c r="A8262" t="s">
        <v>68</v>
      </c>
      <c r="B8262" s="1" t="str">
        <f>HYPERLINK("http://meyn.com","meyn.com")</f>
        <v>meyn.com</v>
      </c>
      <c r="C8262" t="s">
        <v>433</v>
      </c>
      <c r="F8262">
        <v>3.6951689291250303E-8</v>
      </c>
      <c r="G8262">
        <v>1405720</v>
      </c>
      <c r="H8262">
        <v>12920045</v>
      </c>
      <c r="I8262">
        <v>13435832</v>
      </c>
      <c r="J8262">
        <v>3</v>
      </c>
    </row>
    <row r="8263" spans="1:10" x14ac:dyDescent="0.25">
      <c r="A8263" t="s">
        <v>68</v>
      </c>
      <c r="B8263" s="1" t="str">
        <f>HYPERLINK("http://microaire.com","microaire.com")</f>
        <v>microaire.com</v>
      </c>
      <c r="C8263" t="s">
        <v>433</v>
      </c>
      <c r="F8263">
        <v>4.7405033101945802E-8</v>
      </c>
      <c r="G8263">
        <v>982813</v>
      </c>
      <c r="H8263">
        <v>13049107</v>
      </c>
      <c r="I8263">
        <v>12592233</v>
      </c>
      <c r="J8263">
        <v>4</v>
      </c>
    </row>
    <row r="8264" spans="1:10" x14ac:dyDescent="0.25">
      <c r="A8264" t="s">
        <v>68</v>
      </c>
      <c r="B8264" s="1" t="str">
        <f>HYPERLINK("http://midamerican.com","midamerican.com")</f>
        <v>midamerican.com</v>
      </c>
      <c r="C8264" t="s">
        <v>433</v>
      </c>
      <c r="E8264">
        <v>95759</v>
      </c>
      <c r="F8264">
        <v>4.4334399437310097E-8</v>
      </c>
      <c r="G8264">
        <v>1070392</v>
      </c>
      <c r="H8264">
        <v>14243544</v>
      </c>
      <c r="I8264">
        <v>1476769</v>
      </c>
      <c r="J8264">
        <v>4</v>
      </c>
    </row>
    <row r="8265" spans="1:10" x14ac:dyDescent="0.25">
      <c r="A8265" t="s">
        <v>68</v>
      </c>
      <c r="B8265" s="1" t="str">
        <f>HYPERLINK("http://midamericanenergy.com","midamericanenergy.com")</f>
        <v>midamericanenergy.com</v>
      </c>
      <c r="C8265" t="s">
        <v>433</v>
      </c>
      <c r="E8265">
        <v>160136</v>
      </c>
      <c r="F8265">
        <v>2.8095265699335703E-7</v>
      </c>
      <c r="G8265">
        <v>132360</v>
      </c>
      <c r="H8265">
        <v>14486211</v>
      </c>
      <c r="I8265">
        <v>971401</v>
      </c>
      <c r="J8265">
        <v>3</v>
      </c>
    </row>
    <row r="8266" spans="1:10" x14ac:dyDescent="0.25">
      <c r="A8266" t="s">
        <v>68</v>
      </c>
      <c r="B8266" s="1" t="str">
        <f>HYPERLINK("http://midamericanenergyservices.com","midamericanenergyservices.com")</f>
        <v>midamericanenergyservices.com</v>
      </c>
      <c r="C8266" t="s">
        <v>433</v>
      </c>
      <c r="F8266">
        <v>2.15904005051133E-8</v>
      </c>
      <c r="G8266">
        <v>2437762</v>
      </c>
      <c r="H8266">
        <v>13307413</v>
      </c>
      <c r="I8266">
        <v>10792858</v>
      </c>
      <c r="J8266">
        <v>4</v>
      </c>
    </row>
    <row r="8267" spans="1:10" x14ac:dyDescent="0.25">
      <c r="A8267" t="s">
        <v>68</v>
      </c>
      <c r="B8267" s="1" t="str">
        <f>HYPERLINK("http://midamericanrenewablesllc.com","midamericanrenewablesllc.com")</f>
        <v>midamericanrenewablesllc.com</v>
      </c>
      <c r="C8267" t="s">
        <v>433</v>
      </c>
      <c r="F8267">
        <v>2.12032990586618E-8</v>
      </c>
      <c r="G8267">
        <v>2487291</v>
      </c>
      <c r="H8267">
        <v>14165774</v>
      </c>
      <c r="I8267">
        <v>1820654</v>
      </c>
      <c r="J8267">
        <v>4</v>
      </c>
    </row>
    <row r="8268" spans="1:10" x14ac:dyDescent="0.25">
      <c r="A8268" t="s">
        <v>68</v>
      </c>
      <c r="B8268" s="1" t="str">
        <f>HYPERLINK("http://mii.com","mii.com")</f>
        <v>mii.com</v>
      </c>
      <c r="C8268" t="s">
        <v>433</v>
      </c>
      <c r="E8268">
        <v>334092</v>
      </c>
      <c r="F8268">
        <v>1.3666618741009201E-7</v>
      </c>
      <c r="G8268">
        <v>285241</v>
      </c>
      <c r="H8268">
        <v>14777732</v>
      </c>
      <c r="I8268">
        <v>555423</v>
      </c>
      <c r="J8268">
        <v>5</v>
      </c>
    </row>
    <row r="8269" spans="1:10" x14ac:dyDescent="0.25">
      <c r="A8269" t="s">
        <v>68</v>
      </c>
      <c r="B8269" s="1" t="str">
        <f>HYPERLINK("http://moorheaddairyqueen.com","moorheaddairyqueen.com")</f>
        <v>moorheaddairyqueen.com</v>
      </c>
      <c r="C8269" t="s">
        <v>433</v>
      </c>
      <c r="F8269">
        <v>1.2405314548526299E-8</v>
      </c>
      <c r="G8269">
        <v>4936426</v>
      </c>
      <c r="H8269">
        <v>12574229</v>
      </c>
      <c r="I8269">
        <v>16589179</v>
      </c>
      <c r="J8269">
        <v>4</v>
      </c>
    </row>
    <row r="8270" spans="1:10" x14ac:dyDescent="0.25">
      <c r="A8270" t="s">
        <v>68</v>
      </c>
      <c r="B8270" s="1" t="str">
        <f>HYPERLINK("http://mouser.com","mouser.com")</f>
        <v>mouser.com</v>
      </c>
      <c r="C8270" t="s">
        <v>433</v>
      </c>
      <c r="E8270">
        <v>6706</v>
      </c>
      <c r="F8270">
        <v>2.8437615859019699E-6</v>
      </c>
      <c r="G8270">
        <v>13522</v>
      </c>
      <c r="H8270">
        <v>17549222</v>
      </c>
      <c r="I8270">
        <v>11327</v>
      </c>
      <c r="J8270">
        <v>3</v>
      </c>
    </row>
    <row r="8271" spans="1:10" x14ac:dyDescent="0.25">
      <c r="A8271" t="s">
        <v>68</v>
      </c>
      <c r="B8271" s="1" t="str">
        <f>HYPERLINK("http://nationalindemnity.com","nationalindemnity.com")</f>
        <v>nationalindemnity.com</v>
      </c>
      <c r="C8271" t="s">
        <v>433</v>
      </c>
      <c r="E8271">
        <v>508056</v>
      </c>
      <c r="F8271">
        <v>8.4317269686701703E-8</v>
      </c>
      <c r="G8271">
        <v>490275</v>
      </c>
      <c r="H8271">
        <v>14210173</v>
      </c>
      <c r="I8271">
        <v>1703860</v>
      </c>
      <c r="J8271">
        <v>3</v>
      </c>
    </row>
    <row r="8272" spans="1:10" x14ac:dyDescent="0.25">
      <c r="A8272" t="s">
        <v>68</v>
      </c>
      <c r="B8272" s="1" t="str">
        <f>HYPERLINK("http://neamgroup.com","neamgroup.com")</f>
        <v>neamgroup.com</v>
      </c>
      <c r="C8272" t="s">
        <v>433</v>
      </c>
      <c r="F8272">
        <v>1.5975827414317601E-8</v>
      </c>
      <c r="G8272">
        <v>3552532</v>
      </c>
      <c r="H8272">
        <v>12858653</v>
      </c>
      <c r="I8272">
        <v>14208143</v>
      </c>
      <c r="J8272">
        <v>4</v>
      </c>
    </row>
    <row r="8273" spans="1:10" x14ac:dyDescent="0.25">
      <c r="A8273" t="s">
        <v>68</v>
      </c>
      <c r="B8273" s="1" t="str">
        <f>HYPERLINK("http://netjets.com","netjets.com")</f>
        <v>netjets.com</v>
      </c>
      <c r="C8273" t="s">
        <v>433</v>
      </c>
      <c r="E8273">
        <v>44686</v>
      </c>
      <c r="F8273">
        <v>7.5781288487878897E-7</v>
      </c>
      <c r="G8273">
        <v>51483</v>
      </c>
      <c r="H8273">
        <v>15029765</v>
      </c>
      <c r="I8273">
        <v>418717</v>
      </c>
      <c r="J8273">
        <v>3</v>
      </c>
    </row>
    <row r="8274" spans="1:10" x14ac:dyDescent="0.25">
      <c r="A8274" t="s">
        <v>68</v>
      </c>
      <c r="B8274" s="1" t="str">
        <f>HYPERLINK("http://nfm.com","nfm.com")</f>
        <v>nfm.com</v>
      </c>
      <c r="C8274" t="s">
        <v>433</v>
      </c>
      <c r="E8274">
        <v>29305</v>
      </c>
      <c r="F8274">
        <v>3.73257782449935E-7</v>
      </c>
      <c r="G8274">
        <v>100334</v>
      </c>
      <c r="H8274">
        <v>17318092</v>
      </c>
      <c r="I8274">
        <v>26025</v>
      </c>
      <c r="J8274">
        <v>3</v>
      </c>
    </row>
    <row r="8275" spans="1:10" x14ac:dyDescent="0.25">
      <c r="A8275" t="s">
        <v>68</v>
      </c>
      <c r="B8275" s="1" t="str">
        <f>HYPERLINK("http://nngco.com","nngco.com")</f>
        <v>nngco.com</v>
      </c>
      <c r="C8275" t="s">
        <v>433</v>
      </c>
      <c r="F8275">
        <v>4.5126217206071699E-9</v>
      </c>
      <c r="G8275">
        <v>57155007</v>
      </c>
      <c r="H8275">
        <v>9378827</v>
      </c>
      <c r="I8275">
        <v>67578685</v>
      </c>
      <c r="J8275">
        <v>5</v>
      </c>
    </row>
    <row r="8276" spans="1:10" x14ac:dyDescent="0.25">
      <c r="A8276" t="s">
        <v>68</v>
      </c>
      <c r="B8276" s="1" t="str">
        <f>HYPERLINK("http://northernnaturalgas.com","northernnaturalgas.com")</f>
        <v>northernnaturalgas.com</v>
      </c>
      <c r="C8276" t="s">
        <v>433</v>
      </c>
      <c r="F8276">
        <v>6.1814128434595706E-8</v>
      </c>
      <c r="G8276">
        <v>711543</v>
      </c>
      <c r="H8276">
        <v>14822801</v>
      </c>
      <c r="I8276">
        <v>514252</v>
      </c>
      <c r="J8276">
        <v>4</v>
      </c>
    </row>
    <row r="8277" spans="1:10" x14ac:dyDescent="0.25">
      <c r="A8277" t="s">
        <v>68</v>
      </c>
      <c r="B8277" s="1" t="str">
        <f>HYPERLINK("http://northernpowergrid.com","northernpowergrid.com")</f>
        <v>northernpowergrid.com</v>
      </c>
      <c r="C8277" t="s">
        <v>433</v>
      </c>
      <c r="E8277">
        <v>355391</v>
      </c>
      <c r="F8277">
        <v>1.2943065102236E-7</v>
      </c>
      <c r="G8277">
        <v>302615</v>
      </c>
      <c r="H8277">
        <v>15140811</v>
      </c>
      <c r="I8277">
        <v>401159</v>
      </c>
      <c r="J8277">
        <v>3</v>
      </c>
    </row>
    <row r="8278" spans="1:10" x14ac:dyDescent="0.25">
      <c r="A8278" t="s">
        <v>68</v>
      </c>
      <c r="B8278" s="1" t="str">
        <f>HYPERLINK("http://northhillpaints.com","northhillpaints.com")</f>
        <v>northhillpaints.com</v>
      </c>
      <c r="C8278" t="s">
        <v>433</v>
      </c>
      <c r="F8278">
        <v>4.5827683609154698E-9</v>
      </c>
      <c r="G8278">
        <v>49060994</v>
      </c>
      <c r="H8278">
        <v>10408285</v>
      </c>
      <c r="I8278">
        <v>54081287</v>
      </c>
      <c r="J8278">
        <v>4</v>
      </c>
    </row>
    <row r="8279" spans="1:10" x14ac:dyDescent="0.25">
      <c r="A8279" t="s">
        <v>68</v>
      </c>
      <c r="B8279" s="1" t="str">
        <f>HYPERLINK("http://noveoninc.com","noveoninc.com")</f>
        <v>noveoninc.com</v>
      </c>
      <c r="C8279" t="s">
        <v>433</v>
      </c>
      <c r="F8279">
        <v>6.0540084174928303E-9</v>
      </c>
      <c r="G8279">
        <v>16359238</v>
      </c>
      <c r="H8279">
        <v>12401425</v>
      </c>
      <c r="I8279">
        <v>18758779</v>
      </c>
      <c r="J8279">
        <v>3</v>
      </c>
    </row>
    <row r="8280" spans="1:10" x14ac:dyDescent="0.25">
      <c r="A8280" t="s">
        <v>68</v>
      </c>
      <c r="B8280" s="1" t="str">
        <f>HYPERLINK("http://nvenergy.com","nvenergy.com")</f>
        <v>nvenergy.com</v>
      </c>
      <c r="C8280" t="s">
        <v>433</v>
      </c>
      <c r="E8280">
        <v>52575</v>
      </c>
      <c r="F8280">
        <v>3.6099883229545998E-7</v>
      </c>
      <c r="G8280">
        <v>103568</v>
      </c>
      <c r="H8280">
        <v>15093716</v>
      </c>
      <c r="I8280">
        <v>407435</v>
      </c>
      <c r="J8280">
        <v>3</v>
      </c>
    </row>
    <row r="8281" spans="1:10" x14ac:dyDescent="0.25">
      <c r="A8281" t="s">
        <v>68</v>
      </c>
      <c r="B8281" s="1" t="str">
        <f>HYPERLINK("http://oldunited.com","oldunited.com")</f>
        <v>oldunited.com</v>
      </c>
      <c r="C8281" t="s">
        <v>433</v>
      </c>
      <c r="F8281">
        <v>5.8425501935537802E-9</v>
      </c>
      <c r="G8281">
        <v>17763223</v>
      </c>
      <c r="H8281">
        <v>11949754</v>
      </c>
      <c r="I8281">
        <v>29146226</v>
      </c>
      <c r="J8281">
        <v>3</v>
      </c>
    </row>
    <row r="8282" spans="1:10" x14ac:dyDescent="0.25">
      <c r="A8282" t="s">
        <v>68</v>
      </c>
      <c r="B8282" s="1" t="str">
        <f>HYPERLINK("http://orangejulius.com","orangejulius.com")</f>
        <v>orangejulius.com</v>
      </c>
      <c r="C8282" t="s">
        <v>433</v>
      </c>
      <c r="E8282">
        <v>624782</v>
      </c>
      <c r="F8282">
        <v>6.1703712131467794E-8</v>
      </c>
      <c r="G8282">
        <v>713017</v>
      </c>
      <c r="H8282">
        <v>14532702</v>
      </c>
      <c r="I8282">
        <v>784059</v>
      </c>
      <c r="J8282">
        <v>6</v>
      </c>
    </row>
    <row r="8283" spans="1:10" x14ac:dyDescent="0.25">
      <c r="A8283" t="s">
        <v>68</v>
      </c>
      <c r="B8283" s="1" t="str">
        <f>HYPERLINK("http://oriental.com","oriental.com")</f>
        <v>oriental.com</v>
      </c>
      <c r="C8283" t="s">
        <v>433</v>
      </c>
      <c r="E8283">
        <v>93278</v>
      </c>
      <c r="F8283">
        <v>5.12870828543082E-8</v>
      </c>
      <c r="G8283">
        <v>892826</v>
      </c>
      <c r="H8283">
        <v>16751898</v>
      </c>
      <c r="I8283">
        <v>256949</v>
      </c>
      <c r="J8283">
        <v>4</v>
      </c>
    </row>
    <row r="8284" spans="1:10" x14ac:dyDescent="0.25">
      <c r="A8284" t="s">
        <v>68</v>
      </c>
      <c r="B8284" s="1" t="str">
        <f>HYPERLINK("http://orientaltrading.com","orientaltrading.com")</f>
        <v>orientaltrading.com</v>
      </c>
      <c r="C8284" t="s">
        <v>433</v>
      </c>
      <c r="E8284">
        <v>13988</v>
      </c>
      <c r="F8284">
        <v>1.24081888509775E-6</v>
      </c>
      <c r="G8284">
        <v>31378</v>
      </c>
      <c r="H8284">
        <v>17372750</v>
      </c>
      <c r="I8284">
        <v>21230</v>
      </c>
      <c r="J8284">
        <v>3</v>
      </c>
    </row>
    <row r="8285" spans="1:10" x14ac:dyDescent="0.25">
      <c r="A8285" t="s">
        <v>68</v>
      </c>
      <c r="B8285" s="1" t="str">
        <f>HYPERLINK("http://orkal.com","orkal.com")</f>
        <v>orkal.com</v>
      </c>
      <c r="C8285" t="s">
        <v>433</v>
      </c>
      <c r="F8285">
        <v>9.67216186379391E-9</v>
      </c>
      <c r="G8285">
        <v>7113469</v>
      </c>
      <c r="H8285">
        <v>12091695</v>
      </c>
      <c r="I8285">
        <v>26198398</v>
      </c>
      <c r="J8285">
        <v>4</v>
      </c>
    </row>
    <row r="8286" spans="1:10" x14ac:dyDescent="0.25">
      <c r="A8286" t="s">
        <v>68</v>
      </c>
      <c r="B8286" s="1" t="str">
        <f>HYPERLINK("http://osteomed.com","osteomed.com")</f>
        <v>osteomed.com</v>
      </c>
      <c r="C8286" t="s">
        <v>433</v>
      </c>
      <c r="F8286">
        <v>1.8970222231494401E-8</v>
      </c>
      <c r="G8286">
        <v>2841107</v>
      </c>
      <c r="H8286">
        <v>12636193</v>
      </c>
      <c r="I8286">
        <v>15905168</v>
      </c>
      <c r="J8286">
        <v>4</v>
      </c>
    </row>
    <row r="8287" spans="1:10" x14ac:dyDescent="0.25">
      <c r="A8287" t="s">
        <v>68</v>
      </c>
      <c r="B8287" s="1" t="str">
        <f>HYPERLINK("http://pacificorp.com","pacificorp.com")</f>
        <v>pacificorp.com</v>
      </c>
      <c r="C8287" t="s">
        <v>433</v>
      </c>
      <c r="E8287">
        <v>61489</v>
      </c>
      <c r="F8287">
        <v>2.7660611875453699E-7</v>
      </c>
      <c r="G8287">
        <v>134484</v>
      </c>
      <c r="H8287">
        <v>17241660</v>
      </c>
      <c r="I8287">
        <v>35147</v>
      </c>
      <c r="J8287">
        <v>2</v>
      </c>
    </row>
    <row r="8288" spans="1:10" x14ac:dyDescent="0.25">
      <c r="A8288" t="s">
        <v>68</v>
      </c>
      <c r="B8288" s="1" t="str">
        <f>HYPERLINK("http://pageburgers.com","pageburgers.com")</f>
        <v>pageburgers.com</v>
      </c>
      <c r="C8288" t="s">
        <v>433</v>
      </c>
      <c r="F8288">
        <v>4.6284283985676799E-9</v>
      </c>
      <c r="G8288">
        <v>45544090</v>
      </c>
      <c r="H8288">
        <v>10436974</v>
      </c>
      <c r="I8288">
        <v>52646092</v>
      </c>
      <c r="J8288">
        <v>4</v>
      </c>
    </row>
    <row r="8289" spans="1:10" x14ac:dyDescent="0.25">
      <c r="A8289" t="s">
        <v>68</v>
      </c>
      <c r="B8289" s="1" t="str">
        <f>HYPERLINK("http://paintplaceny.com","paintplaceny.com")</f>
        <v>paintplaceny.com</v>
      </c>
      <c r="C8289" t="s">
        <v>433</v>
      </c>
      <c r="F8289">
        <v>6.2205909704482499E-9</v>
      </c>
      <c r="G8289">
        <v>15422404</v>
      </c>
      <c r="H8289">
        <v>12255403</v>
      </c>
      <c r="I8289">
        <v>21882324</v>
      </c>
      <c r="J8289">
        <v>4</v>
      </c>
    </row>
    <row r="8290" spans="1:10" x14ac:dyDescent="0.25">
      <c r="A8290" t="s">
        <v>68</v>
      </c>
      <c r="B8290" s="1" t="str">
        <f>HYPERLINK("http://pamperedchef.com","pamperedchef.com")</f>
        <v>pamperedchef.com</v>
      </c>
      <c r="C8290" t="s">
        <v>433</v>
      </c>
      <c r="E8290">
        <v>35379</v>
      </c>
      <c r="F8290">
        <v>5.8915315958111302E-7</v>
      </c>
      <c r="G8290">
        <v>64930</v>
      </c>
      <c r="H8290">
        <v>15419831</v>
      </c>
      <c r="I8290">
        <v>379362</v>
      </c>
      <c r="J8290">
        <v>3</v>
      </c>
    </row>
    <row r="8291" spans="1:10" x14ac:dyDescent="0.25">
      <c r="A8291" t="s">
        <v>68</v>
      </c>
      <c r="B8291" s="1" t="str">
        <f>HYPERLINK("http://pccaero.com","pccaero.com")</f>
        <v>pccaero.com</v>
      </c>
      <c r="C8291" t="s">
        <v>433</v>
      </c>
      <c r="F8291">
        <v>5.4766488092728898E-8</v>
      </c>
      <c r="G8291">
        <v>822275</v>
      </c>
      <c r="H8291">
        <v>12427713</v>
      </c>
      <c r="I8291">
        <v>18337055</v>
      </c>
      <c r="J8291">
        <v>4</v>
      </c>
    </row>
    <row r="8292" spans="1:10" x14ac:dyDescent="0.25">
      <c r="A8292" t="s">
        <v>68</v>
      </c>
      <c r="B8292" s="1" t="str">
        <f>HYPERLINK("http://pccairfoils.com","pccairfoils.com")</f>
        <v>pccairfoils.com</v>
      </c>
      <c r="C8292" t="s">
        <v>433</v>
      </c>
      <c r="F8292">
        <v>1.67237460409997E-8</v>
      </c>
      <c r="G8292">
        <v>3352701</v>
      </c>
      <c r="H8292">
        <v>12662006</v>
      </c>
      <c r="I8292">
        <v>15708832</v>
      </c>
      <c r="J8292">
        <v>3</v>
      </c>
    </row>
    <row r="8293" spans="1:10" x14ac:dyDescent="0.25">
      <c r="A8293" t="s">
        <v>68</v>
      </c>
      <c r="B8293" s="1" t="str">
        <f>HYPERLINK("http://pccairframe.com","pccairframe.com")</f>
        <v>pccairframe.com</v>
      </c>
      <c r="C8293" t="s">
        <v>433</v>
      </c>
      <c r="F8293">
        <v>4.44380395335525E-9</v>
      </c>
      <c r="G8293">
        <v>82964954</v>
      </c>
      <c r="H8293">
        <v>0</v>
      </c>
      <c r="I8293">
        <v>83687123</v>
      </c>
      <c r="J8293">
        <v>4</v>
      </c>
    </row>
    <row r="8294" spans="1:10" x14ac:dyDescent="0.25">
      <c r="A8294" t="s">
        <v>68</v>
      </c>
      <c r="B8294" s="1" t="str">
        <f>HYPERLINK("http://pccenergy.com","pccenergy.com")</f>
        <v>pccenergy.com</v>
      </c>
      <c r="C8294" t="s">
        <v>433</v>
      </c>
      <c r="F8294">
        <v>4.91637484769787E-8</v>
      </c>
      <c r="G8294">
        <v>941760</v>
      </c>
      <c r="H8294">
        <v>12938144</v>
      </c>
      <c r="I8294">
        <v>13313437</v>
      </c>
      <c r="J8294">
        <v>7</v>
      </c>
    </row>
    <row r="8295" spans="1:10" x14ac:dyDescent="0.25">
      <c r="A8295" t="s">
        <v>68</v>
      </c>
      <c r="B8295" s="1" t="str">
        <f>HYPERLINK("http://pccfasteners.com","pccfasteners.com")</f>
        <v>pccfasteners.com</v>
      </c>
      <c r="C8295" t="s">
        <v>433</v>
      </c>
      <c r="F8295">
        <v>2.9273027952293098E-8</v>
      </c>
      <c r="G8295">
        <v>1759881</v>
      </c>
      <c r="H8295">
        <v>12365920</v>
      </c>
      <c r="I8295">
        <v>19482250</v>
      </c>
      <c r="J8295">
        <v>4</v>
      </c>
    </row>
    <row r="8296" spans="1:10" x14ac:dyDescent="0.25">
      <c r="A8296" t="s">
        <v>68</v>
      </c>
      <c r="B8296" s="1" t="str">
        <f>HYPERLINK("http://pccfluidfittings.com","pccfluidfittings.com")</f>
        <v>pccfluidfittings.com</v>
      </c>
      <c r="C8296" t="s">
        <v>433</v>
      </c>
      <c r="F8296">
        <v>2.2196551241775201E-8</v>
      </c>
      <c r="G8296">
        <v>2362917</v>
      </c>
      <c r="H8296">
        <v>12164807</v>
      </c>
      <c r="I8296">
        <v>24211165</v>
      </c>
      <c r="J8296">
        <v>4</v>
      </c>
    </row>
    <row r="8297" spans="1:10" x14ac:dyDescent="0.25">
      <c r="A8297" t="s">
        <v>68</v>
      </c>
      <c r="B8297" s="1" t="str">
        <f>HYPERLINK("http://pccstructurals.com","pccstructurals.com")</f>
        <v>pccstructurals.com</v>
      </c>
      <c r="C8297" t="s">
        <v>433</v>
      </c>
      <c r="F8297">
        <v>3.1081997445468903E-8</v>
      </c>
      <c r="G8297">
        <v>1658344</v>
      </c>
      <c r="H8297">
        <v>13606922</v>
      </c>
      <c r="I8297">
        <v>9640369</v>
      </c>
      <c r="J8297">
        <v>3</v>
      </c>
    </row>
    <row r="8298" spans="1:10" x14ac:dyDescent="0.25">
      <c r="A8298" t="s">
        <v>68</v>
      </c>
      <c r="B8298" s="1" t="str">
        <f>HYPERLINK("http://penfedrealty.com","penfedrealty.com")</f>
        <v>penfedrealty.com</v>
      </c>
      <c r="C8298" t="s">
        <v>433</v>
      </c>
      <c r="E8298">
        <v>689911</v>
      </c>
      <c r="F8298">
        <v>1.71328441253507E-7</v>
      </c>
      <c r="G8298">
        <v>226408</v>
      </c>
      <c r="H8298">
        <v>14709810</v>
      </c>
      <c r="I8298">
        <v>584206</v>
      </c>
      <c r="J8298">
        <v>5</v>
      </c>
    </row>
    <row r="8299" spans="1:10" x14ac:dyDescent="0.25">
      <c r="A8299" t="s">
        <v>68</v>
      </c>
      <c r="B8299" s="1" t="str">
        <f>HYPERLINK("http://permaswage.com","permaswage.com")</f>
        <v>permaswage.com</v>
      </c>
      <c r="C8299" t="s">
        <v>433</v>
      </c>
      <c r="F8299">
        <v>1.051823727862E-8</v>
      </c>
      <c r="G8299">
        <v>6253898</v>
      </c>
      <c r="H8299">
        <v>12605374</v>
      </c>
      <c r="I8299">
        <v>16271100</v>
      </c>
      <c r="J8299">
        <v>4</v>
      </c>
    </row>
    <row r="8300" spans="1:10" x14ac:dyDescent="0.25">
      <c r="A8300" t="s">
        <v>68</v>
      </c>
      <c r="B8300" s="1" t="str">
        <f>HYPERLINK("http://potomacpaint.com","potomacpaint.com")</f>
        <v>potomacpaint.com</v>
      </c>
      <c r="C8300" t="s">
        <v>433</v>
      </c>
      <c r="F8300">
        <v>4.7036319784327698E-9</v>
      </c>
      <c r="G8300">
        <v>41051168</v>
      </c>
      <c r="H8300">
        <v>11655379</v>
      </c>
      <c r="I8300">
        <v>29879826</v>
      </c>
      <c r="J8300">
        <v>4</v>
      </c>
    </row>
    <row r="8301" spans="1:10" x14ac:dyDescent="0.25">
      <c r="A8301" t="s">
        <v>68</v>
      </c>
      <c r="B8301" s="1" t="str">
        <f>HYPERLINK("http://powellpaint.com","powellpaint.com")</f>
        <v>powellpaint.com</v>
      </c>
      <c r="C8301" t="s">
        <v>433</v>
      </c>
      <c r="F8301">
        <v>4.7342128302422902E-9</v>
      </c>
      <c r="G8301">
        <v>39137490</v>
      </c>
      <c r="H8301">
        <v>13763634</v>
      </c>
      <c r="I8301">
        <v>8398528</v>
      </c>
      <c r="J8301">
        <v>7</v>
      </c>
    </row>
    <row r="8302" spans="1:10" x14ac:dyDescent="0.25">
      <c r="A8302" t="s">
        <v>68</v>
      </c>
      <c r="B8302" s="1" t="str">
        <f>HYPERLINK("http://powellpaintcenter.com","powellpaintcenter.com")</f>
        <v>powellpaintcenter.com</v>
      </c>
      <c r="C8302" t="s">
        <v>433</v>
      </c>
      <c r="F8302">
        <v>6.00199284316398E-9</v>
      </c>
      <c r="G8302">
        <v>16670977</v>
      </c>
      <c r="H8302">
        <v>14119731</v>
      </c>
      <c r="I8302">
        <v>2530817</v>
      </c>
      <c r="J8302">
        <v>4</v>
      </c>
    </row>
    <row r="8303" spans="1:10" x14ac:dyDescent="0.25">
      <c r="A8303" t="s">
        <v>68</v>
      </c>
      <c r="B8303" s="1" t="str">
        <f>HYPERLINK("http://precast.com","precast.com")</f>
        <v>precast.com</v>
      </c>
      <c r="C8303" t="s">
        <v>433</v>
      </c>
      <c r="E8303">
        <v>530232</v>
      </c>
      <c r="F8303">
        <v>1.5928203327777101E-7</v>
      </c>
      <c r="G8303">
        <v>243732</v>
      </c>
      <c r="H8303">
        <v>14673277</v>
      </c>
      <c r="I8303">
        <v>612752</v>
      </c>
      <c r="J8303">
        <v>4</v>
      </c>
    </row>
    <row r="8304" spans="1:10" x14ac:dyDescent="0.25">
      <c r="A8304" t="s">
        <v>68</v>
      </c>
      <c r="B8304" s="1" t="str">
        <f>HYPERLINK("http://procell.com","procell.com")</f>
        <v>procell.com</v>
      </c>
      <c r="C8304" t="s">
        <v>433</v>
      </c>
      <c r="F8304">
        <v>3.1075733446402898E-8</v>
      </c>
      <c r="G8304">
        <v>1658656</v>
      </c>
      <c r="H8304">
        <v>12339595</v>
      </c>
      <c r="I8304">
        <v>20017747</v>
      </c>
      <c r="J8304">
        <v>5</v>
      </c>
    </row>
    <row r="8305" spans="1:10" x14ac:dyDescent="0.25">
      <c r="A8305" t="s">
        <v>68</v>
      </c>
      <c r="B8305" s="1" t="str">
        <f>HYPERLINK("http://procor.com","procor.com")</f>
        <v>procor.com</v>
      </c>
      <c r="C8305" t="s">
        <v>433</v>
      </c>
      <c r="F8305">
        <v>1.8498576894604299E-8</v>
      </c>
      <c r="G8305">
        <v>2925919</v>
      </c>
      <c r="H8305">
        <v>12731024</v>
      </c>
      <c r="I8305">
        <v>15192686</v>
      </c>
      <c r="J8305">
        <v>4</v>
      </c>
    </row>
    <row r="8306" spans="1:10" x14ac:dyDescent="0.25">
      <c r="A8306" t="s">
        <v>68</v>
      </c>
      <c r="B8306" s="1" t="str">
        <f>HYPERLINK("http://pssdirect.com","pssdirect.com")</f>
        <v>pssdirect.com</v>
      </c>
      <c r="C8306" t="s">
        <v>433</v>
      </c>
      <c r="F8306">
        <v>4.44380395335525E-9</v>
      </c>
      <c r="G8306">
        <v>83089022</v>
      </c>
      <c r="H8306">
        <v>0</v>
      </c>
      <c r="I8306">
        <v>83836097</v>
      </c>
      <c r="J8306">
        <v>4</v>
      </c>
    </row>
    <row r="8307" spans="1:10" x14ac:dyDescent="0.25">
      <c r="A8307" t="s">
        <v>68</v>
      </c>
      <c r="B8307" s="1" t="str">
        <f>HYPERLINK("http://rcwilley.com","rcwilley.com")</f>
        <v>rcwilley.com</v>
      </c>
      <c r="C8307" t="s">
        <v>433</v>
      </c>
      <c r="E8307">
        <v>39460</v>
      </c>
      <c r="F8307">
        <v>2.4592322267479998E-7</v>
      </c>
      <c r="G8307">
        <v>152133</v>
      </c>
      <c r="H8307">
        <v>17126972</v>
      </c>
      <c r="I8307">
        <v>57616</v>
      </c>
      <c r="J8307">
        <v>3</v>
      </c>
    </row>
    <row r="8308" spans="1:10" x14ac:dyDescent="0.25">
      <c r="A8308" t="s">
        <v>68</v>
      </c>
      <c r="B8308" s="1" t="str">
        <f>HYPERLINK("http://rfmw.com","rfmw.com")</f>
        <v>rfmw.com</v>
      </c>
      <c r="C8308" t="s">
        <v>433</v>
      </c>
      <c r="F8308">
        <v>5.2058084009085602E-8</v>
      </c>
      <c r="G8308">
        <v>877073</v>
      </c>
      <c r="H8308">
        <v>14110770</v>
      </c>
      <c r="I8308">
        <v>2674540</v>
      </c>
      <c r="J8308">
        <v>4</v>
      </c>
    </row>
    <row r="8309" spans="1:10" x14ac:dyDescent="0.25">
      <c r="A8309" t="s">
        <v>68</v>
      </c>
      <c r="B8309" s="1" t="str">
        <f>HYPERLINK("http://richlinegroup.com","richlinegroup.com")</f>
        <v>richlinegroup.com</v>
      </c>
      <c r="C8309" t="s">
        <v>433</v>
      </c>
      <c r="F8309">
        <v>4.2952140965916799E-8</v>
      </c>
      <c r="G8309">
        <v>1120626</v>
      </c>
      <c r="H8309">
        <v>13586713</v>
      </c>
      <c r="I8309">
        <v>9675176</v>
      </c>
      <c r="J8309">
        <v>3</v>
      </c>
    </row>
    <row r="8310" spans="1:10" x14ac:dyDescent="0.25">
      <c r="A8310" t="s">
        <v>68</v>
      </c>
      <c r="B8310" s="1" t="str">
        <f>HYPERLINK("http://rockinghamnow.com","rockinghamnow.com")</f>
        <v>rockinghamnow.com</v>
      </c>
      <c r="C8310" t="s">
        <v>433</v>
      </c>
      <c r="F8310">
        <v>4.7228049494580902E-9</v>
      </c>
      <c r="G8310">
        <v>40068169</v>
      </c>
      <c r="H8310">
        <v>11151747</v>
      </c>
      <c r="I8310">
        <v>31720626</v>
      </c>
      <c r="J8310">
        <v>3</v>
      </c>
    </row>
    <row r="8311" spans="1:10" x14ac:dyDescent="0.25">
      <c r="A8311" t="s">
        <v>68</v>
      </c>
      <c r="B8311" s="1" t="str">
        <f>HYPERLINK("http://roomservicebycort.com","roomservicebycort.com")</f>
        <v>roomservicebycort.com</v>
      </c>
      <c r="C8311" t="s">
        <v>433</v>
      </c>
      <c r="F8311">
        <v>9.6697345372083008E-9</v>
      </c>
      <c r="G8311">
        <v>7116341</v>
      </c>
      <c r="H8311">
        <v>13943035</v>
      </c>
      <c r="I8311">
        <v>4321169</v>
      </c>
      <c r="J8311">
        <v>8</v>
      </c>
    </row>
    <row r="8312" spans="1:10" x14ac:dyDescent="0.25">
      <c r="A8312" t="s">
        <v>68</v>
      </c>
      <c r="B8312" s="1" t="str">
        <f>HYPERLINK("http://royalcitycolours.com","royalcitycolours.com")</f>
        <v>royalcitycolours.com</v>
      </c>
      <c r="C8312" t="s">
        <v>433</v>
      </c>
      <c r="F8312">
        <v>4.58938229485717E-9</v>
      </c>
      <c r="G8312">
        <v>48457512</v>
      </c>
      <c r="H8312">
        <v>10383188</v>
      </c>
      <c r="I8312">
        <v>54511509</v>
      </c>
      <c r="J8312">
        <v>4</v>
      </c>
    </row>
    <row r="8313" spans="1:10" x14ac:dyDescent="0.25">
      <c r="A8313" t="s">
        <v>68</v>
      </c>
      <c r="B8313" s="1" t="str">
        <f>HYPERLINK("http://rsui.com","rsui.com")</f>
        <v>rsui.com</v>
      </c>
      <c r="C8313" t="s">
        <v>433</v>
      </c>
      <c r="E8313">
        <v>506678</v>
      </c>
      <c r="F8313">
        <v>1.26241708741784E-8</v>
      </c>
      <c r="G8313">
        <v>4818577</v>
      </c>
      <c r="H8313">
        <v>12404394</v>
      </c>
      <c r="I8313">
        <v>18699172</v>
      </c>
      <c r="J8313">
        <v>3</v>
      </c>
    </row>
    <row r="8314" spans="1:10" x14ac:dyDescent="0.25">
      <c r="A8314" t="s">
        <v>68</v>
      </c>
      <c r="B8314" s="1" t="str">
        <f>HYPERLINK("http://russellathletic.com","russellathletic.com")</f>
        <v>russellathletic.com</v>
      </c>
      <c r="C8314" t="s">
        <v>433</v>
      </c>
      <c r="E8314">
        <v>242321</v>
      </c>
      <c r="F8314">
        <v>1.6232630229836699E-7</v>
      </c>
      <c r="G8314">
        <v>239117</v>
      </c>
      <c r="H8314">
        <v>16878448</v>
      </c>
      <c r="I8314">
        <v>140343</v>
      </c>
      <c r="J8314">
        <v>4</v>
      </c>
    </row>
    <row r="8315" spans="1:10" x14ac:dyDescent="0.25">
      <c r="A8315" t="s">
        <v>68</v>
      </c>
      <c r="B8315" s="1" t="str">
        <f>HYPERLINK("http://sanctuarypaint.com","sanctuarypaint.com")</f>
        <v>sanctuarypaint.com</v>
      </c>
      <c r="C8315" t="s">
        <v>433</v>
      </c>
      <c r="F8315">
        <v>7.5740080226199203E-9</v>
      </c>
      <c r="G8315">
        <v>10849781</v>
      </c>
      <c r="H8315">
        <v>12900470</v>
      </c>
      <c r="I8315">
        <v>13877376</v>
      </c>
      <c r="J8315">
        <v>4</v>
      </c>
    </row>
    <row r="8316" spans="1:10" x14ac:dyDescent="0.25">
      <c r="A8316" t="s">
        <v>68</v>
      </c>
      <c r="B8316" s="1" t="str">
        <f>HYPERLINK("http://scottcare.com","scottcare.com")</f>
        <v>scottcare.com</v>
      </c>
      <c r="C8316" t="s">
        <v>433</v>
      </c>
      <c r="F8316">
        <v>1.8720683636056E-8</v>
      </c>
      <c r="G8316">
        <v>2885654</v>
      </c>
      <c r="H8316">
        <v>13325612</v>
      </c>
      <c r="I8316">
        <v>10731952</v>
      </c>
      <c r="J8316">
        <v>4</v>
      </c>
    </row>
    <row r="8317" spans="1:10" x14ac:dyDescent="0.25">
      <c r="A8317" t="s">
        <v>68</v>
      </c>
      <c r="B8317" s="1" t="str">
        <f>HYPERLINK("http://sees.com","sees.com")</f>
        <v>sees.com</v>
      </c>
      <c r="C8317" t="s">
        <v>433</v>
      </c>
      <c r="E8317">
        <v>49352</v>
      </c>
      <c r="F8317">
        <v>3.5266006867205502E-7</v>
      </c>
      <c r="G8317">
        <v>106027</v>
      </c>
      <c r="H8317">
        <v>15572321</v>
      </c>
      <c r="I8317">
        <v>373149</v>
      </c>
      <c r="J8317">
        <v>3</v>
      </c>
    </row>
    <row r="8318" spans="1:10" x14ac:dyDescent="0.25">
      <c r="A8318" t="s">
        <v>68</v>
      </c>
      <c r="B8318" s="1" t="str">
        <f>HYPERLINK("http://sfpaintsource.com","sfpaintsource.com")</f>
        <v>sfpaintsource.com</v>
      </c>
      <c r="C8318" t="s">
        <v>433</v>
      </c>
      <c r="F8318">
        <v>5.3693856936294103E-9</v>
      </c>
      <c r="G8318">
        <v>22549917</v>
      </c>
      <c r="H8318">
        <v>13763635</v>
      </c>
      <c r="I8318">
        <v>8197898</v>
      </c>
      <c r="J8318">
        <v>4</v>
      </c>
    </row>
    <row r="8319" spans="1:10" x14ac:dyDescent="0.25">
      <c r="A8319" t="s">
        <v>68</v>
      </c>
      <c r="B8319" s="1" t="str">
        <f>HYPERLINK("http://shawfloors.com","shawfloors.com")</f>
        <v>shawfloors.com</v>
      </c>
      <c r="C8319" t="s">
        <v>433</v>
      </c>
      <c r="E8319">
        <v>66697</v>
      </c>
      <c r="F8319">
        <v>8.0902785093677897E-7</v>
      </c>
      <c r="G8319">
        <v>48790</v>
      </c>
      <c r="H8319">
        <v>17260320</v>
      </c>
      <c r="I8319">
        <v>32612</v>
      </c>
      <c r="J8319">
        <v>3</v>
      </c>
    </row>
    <row r="8320" spans="1:10" x14ac:dyDescent="0.25">
      <c r="A8320" t="s">
        <v>68</v>
      </c>
      <c r="B8320" s="1" t="str">
        <f>HYPERLINK("http://shawinc.com","shawinc.com")</f>
        <v>shawinc.com</v>
      </c>
      <c r="C8320" t="s">
        <v>433</v>
      </c>
      <c r="E8320">
        <v>157853</v>
      </c>
      <c r="F8320">
        <v>2.1568144892251099E-7</v>
      </c>
      <c r="G8320">
        <v>174907</v>
      </c>
      <c r="H8320">
        <v>15020572</v>
      </c>
      <c r="I8320">
        <v>420845</v>
      </c>
      <c r="J8320">
        <v>4</v>
      </c>
    </row>
    <row r="8321" spans="1:10" x14ac:dyDescent="0.25">
      <c r="A8321" t="s">
        <v>68</v>
      </c>
      <c r="B8321" s="1" t="str">
        <f>HYPERLINK("http://shopmorg.com","shopmorg.com")</f>
        <v>shopmorg.com</v>
      </c>
      <c r="C8321" t="s">
        <v>433</v>
      </c>
      <c r="J8321">
        <v>4</v>
      </c>
    </row>
    <row r="8322" spans="1:10" x14ac:dyDescent="0.25">
      <c r="A8322" t="s">
        <v>68</v>
      </c>
      <c r="B8322" s="1" t="str">
        <f>HYPERLINK("http://shur-lok.com","shur-lok.com")</f>
        <v>shur-lok.com</v>
      </c>
      <c r="C8322" t="s">
        <v>433</v>
      </c>
      <c r="F8322">
        <v>7.9491751154194094E-9</v>
      </c>
      <c r="G8322">
        <v>10015253</v>
      </c>
      <c r="H8322">
        <v>12500794</v>
      </c>
      <c r="I8322">
        <v>17351142</v>
      </c>
      <c r="J8322">
        <v>4</v>
      </c>
    </row>
    <row r="8323" spans="1:10" x14ac:dyDescent="0.25">
      <c r="A8323" t="s">
        <v>68</v>
      </c>
      <c r="B8323" s="1" t="str">
        <f>HYPERLINK("http://shur_lok.com","shur_lok.com")</f>
        <v>shur_lok.com</v>
      </c>
      <c r="C8323" t="s">
        <v>433</v>
      </c>
      <c r="J8323">
        <v>4</v>
      </c>
    </row>
    <row r="8324" spans="1:10" x14ac:dyDescent="0.25">
      <c r="A8324" t="s">
        <v>68</v>
      </c>
      <c r="B8324" s="1" t="str">
        <f>HYPERLINK("http://southsidepaint.com","southsidepaint.com")</f>
        <v>southsidepaint.com</v>
      </c>
      <c r="C8324" t="s">
        <v>433</v>
      </c>
      <c r="F8324">
        <v>4.5018208298664002E-9</v>
      </c>
      <c r="G8324">
        <v>58673269</v>
      </c>
      <c r="H8324">
        <v>10343897</v>
      </c>
      <c r="I8324">
        <v>57553756</v>
      </c>
      <c r="J8324">
        <v>4</v>
      </c>
    </row>
    <row r="8325" spans="1:10" x14ac:dyDescent="0.25">
      <c r="A8325" t="s">
        <v>68</v>
      </c>
      <c r="B8325" s="1" t="str">
        <f>HYPERLINK("http://specialmetals.com","specialmetals.com")</f>
        <v>specialmetals.com</v>
      </c>
      <c r="C8325" t="s">
        <v>433</v>
      </c>
      <c r="E8325">
        <v>991687</v>
      </c>
      <c r="F8325">
        <v>9.3776894047851306E-8</v>
      </c>
      <c r="G8325">
        <v>433115</v>
      </c>
      <c r="H8325">
        <v>14891218</v>
      </c>
      <c r="I8325">
        <v>466858</v>
      </c>
      <c r="J8325">
        <v>4</v>
      </c>
    </row>
    <row r="8326" spans="1:10" x14ac:dyDescent="0.25">
      <c r="A8326" t="s">
        <v>68</v>
      </c>
      <c r="B8326" s="1" t="str">
        <f>HYPERLINK("http://spstech.com","spstech.com")</f>
        <v>spstech.com</v>
      </c>
      <c r="C8326" t="s">
        <v>433</v>
      </c>
      <c r="F8326">
        <v>7.1835079306855696E-9</v>
      </c>
      <c r="G8326">
        <v>11787321</v>
      </c>
      <c r="H8326">
        <v>13765487</v>
      </c>
      <c r="I8326">
        <v>7098787</v>
      </c>
      <c r="J8326">
        <v>4</v>
      </c>
    </row>
    <row r="8327" spans="1:10" x14ac:dyDescent="0.25">
      <c r="A8327" t="s">
        <v>68</v>
      </c>
      <c r="B8327" s="1" t="str">
        <f>HYPERLINK("http://starckre.com","starckre.com")</f>
        <v>starckre.com</v>
      </c>
      <c r="C8327" t="s">
        <v>433</v>
      </c>
      <c r="F8327">
        <v>4.3141364512958202E-8</v>
      </c>
      <c r="G8327">
        <v>1113080</v>
      </c>
      <c r="H8327">
        <v>12729225</v>
      </c>
      <c r="I8327">
        <v>15201390</v>
      </c>
      <c r="J8327">
        <v>9</v>
      </c>
    </row>
    <row r="8328" spans="1:10" x14ac:dyDescent="0.25">
      <c r="A8328" t="s">
        <v>68</v>
      </c>
      <c r="B8328" s="1" t="str">
        <f>HYPERLINK("http://stopfleasnow.com","stopfleasnow.com")</f>
        <v>stopfleasnow.com</v>
      </c>
      <c r="C8328" t="s">
        <v>433</v>
      </c>
      <c r="J8328">
        <v>3</v>
      </c>
    </row>
    <row r="8329" spans="1:10" x14ac:dyDescent="0.25">
      <c r="A8329" t="s">
        <v>68</v>
      </c>
      <c r="B8329" s="1" t="str">
        <f>HYPERLINK("http://swunited.com","swunited.com")</f>
        <v>swunited.com</v>
      </c>
      <c r="C8329" t="s">
        <v>433</v>
      </c>
      <c r="F8329">
        <v>5.7454590036129002E-9</v>
      </c>
      <c r="G8329">
        <v>18534355</v>
      </c>
      <c r="H8329">
        <v>12527087</v>
      </c>
      <c r="I8329">
        <v>17077369</v>
      </c>
      <c r="J8329">
        <v>4</v>
      </c>
    </row>
    <row r="8330" spans="1:10" x14ac:dyDescent="0.25">
      <c r="A8330" t="s">
        <v>68</v>
      </c>
      <c r="B8330" s="1" t="str">
        <f>HYPERLINK("http://timet.com","timet.com")</f>
        <v>timet.com</v>
      </c>
      <c r="C8330" t="s">
        <v>433</v>
      </c>
      <c r="E8330">
        <v>964715</v>
      </c>
      <c r="F8330">
        <v>9.4058825365240404E-8</v>
      </c>
      <c r="G8330">
        <v>431631</v>
      </c>
      <c r="H8330">
        <v>17026394</v>
      </c>
      <c r="I8330">
        <v>86250</v>
      </c>
      <c r="J8330">
        <v>3</v>
      </c>
    </row>
    <row r="8331" spans="1:10" x14ac:dyDescent="0.25">
      <c r="A8331" t="s">
        <v>68</v>
      </c>
      <c r="B8331" s="1" t="str">
        <f>HYPERLINK("http://topazsolar.com","topazsolar.com")</f>
        <v>topazsolar.com</v>
      </c>
      <c r="C8331" t="s">
        <v>433</v>
      </c>
      <c r="F8331">
        <v>8.3263839292136596E-9</v>
      </c>
      <c r="G8331">
        <v>9197768</v>
      </c>
      <c r="H8331">
        <v>13845577</v>
      </c>
      <c r="I8331">
        <v>6061720</v>
      </c>
      <c r="J8331">
        <v>4</v>
      </c>
    </row>
    <row r="8332" spans="1:10" x14ac:dyDescent="0.25">
      <c r="A8332" t="s">
        <v>68</v>
      </c>
      <c r="B8332" s="1" t="str">
        <f>HYPERLINK("http://transre.com","transre.com")</f>
        <v>transre.com</v>
      </c>
      <c r="C8332" t="s">
        <v>433</v>
      </c>
      <c r="E8332">
        <v>702965</v>
      </c>
      <c r="F8332">
        <v>4.96069965639622E-8</v>
      </c>
      <c r="G8332">
        <v>931285</v>
      </c>
      <c r="H8332">
        <v>14067442</v>
      </c>
      <c r="I8332">
        <v>3727080</v>
      </c>
      <c r="J8332">
        <v>2</v>
      </c>
    </row>
    <row r="8333" spans="1:10" x14ac:dyDescent="0.25">
      <c r="A8333" t="s">
        <v>68</v>
      </c>
      <c r="B8333" s="1" t="str">
        <f>HYPERLINK("http://tti.com","tti.com")</f>
        <v>tti.com</v>
      </c>
      <c r="C8333" t="s">
        <v>433</v>
      </c>
      <c r="E8333">
        <v>182024</v>
      </c>
      <c r="F8333">
        <v>2.0185946270303E-7</v>
      </c>
      <c r="G8333">
        <v>188487</v>
      </c>
      <c r="H8333">
        <v>13575474</v>
      </c>
      <c r="I8333">
        <v>9703034</v>
      </c>
      <c r="J8333">
        <v>3</v>
      </c>
    </row>
    <row r="8334" spans="1:10" x14ac:dyDescent="0.25">
      <c r="A8334" t="s">
        <v>68</v>
      </c>
      <c r="B8334" s="1" t="str">
        <f>HYPERLINK("http://ttiinc.com","ttiinc.com")</f>
        <v>ttiinc.com</v>
      </c>
      <c r="C8334" t="s">
        <v>433</v>
      </c>
      <c r="E8334">
        <v>168995</v>
      </c>
      <c r="F8334">
        <v>1.55059206553754E-7</v>
      </c>
      <c r="G8334">
        <v>250445</v>
      </c>
      <c r="H8334">
        <v>14854114</v>
      </c>
      <c r="I8334">
        <v>488276</v>
      </c>
      <c r="J8334">
        <v>4</v>
      </c>
    </row>
    <row r="8335" spans="1:10" x14ac:dyDescent="0.25">
      <c r="A8335" t="s">
        <v>68</v>
      </c>
      <c r="B8335" s="1" t="str">
        <f>HYPERLINK("http://tungaloy.com","tungaloy.com")</f>
        <v>tungaloy.com</v>
      </c>
      <c r="C8335" t="s">
        <v>433</v>
      </c>
      <c r="E8335">
        <v>265326</v>
      </c>
      <c r="F8335">
        <v>6.3515717548512494E-8</v>
      </c>
      <c r="G8335">
        <v>683938</v>
      </c>
      <c r="H8335">
        <v>13450310</v>
      </c>
      <c r="I8335">
        <v>10208993</v>
      </c>
      <c r="J8335">
        <v>5</v>
      </c>
    </row>
    <row r="8336" spans="1:10" x14ac:dyDescent="0.25">
      <c r="A8336" t="s">
        <v>68</v>
      </c>
      <c r="B8336" s="1" t="str">
        <f>HYPERLINK("http://universaldecor.com","universaldecor.com")</f>
        <v>universaldecor.com</v>
      </c>
      <c r="C8336" t="s">
        <v>433</v>
      </c>
      <c r="F8336">
        <v>4.4924184956146896E-9</v>
      </c>
      <c r="G8336">
        <v>60116887</v>
      </c>
      <c r="H8336">
        <v>12236807</v>
      </c>
      <c r="I8336">
        <v>22335506</v>
      </c>
      <c r="J8336">
        <v>4</v>
      </c>
    </row>
    <row r="8337" spans="1:10" x14ac:dyDescent="0.25">
      <c r="A8337" t="s">
        <v>68</v>
      </c>
      <c r="B8337" s="1" t="str">
        <f>HYPERLINK("http://utlx.com","utlx.com")</f>
        <v>utlx.com</v>
      </c>
      <c r="C8337" t="s">
        <v>433</v>
      </c>
      <c r="F8337">
        <v>2.6548023358791501E-8</v>
      </c>
      <c r="G8337">
        <v>1939149</v>
      </c>
      <c r="H8337">
        <v>13815537</v>
      </c>
      <c r="I8337">
        <v>6167494</v>
      </c>
      <c r="J8337">
        <v>3</v>
      </c>
    </row>
    <row r="8338" spans="1:10" x14ac:dyDescent="0.25">
      <c r="A8338" t="s">
        <v>68</v>
      </c>
      <c r="B8338" s="1" t="str">
        <f>HYPERLINK("http://verani.com","verani.com")</f>
        <v>verani.com</v>
      </c>
      <c r="C8338" t="s">
        <v>433</v>
      </c>
      <c r="E8338">
        <v>486067</v>
      </c>
      <c r="F8338">
        <v>1.0692125586943E-7</v>
      </c>
      <c r="G8338">
        <v>374422</v>
      </c>
      <c r="H8338">
        <v>14202411</v>
      </c>
      <c r="I8338">
        <v>1718395</v>
      </c>
      <c r="J8338">
        <v>5</v>
      </c>
    </row>
    <row r="8339" spans="1:10" x14ac:dyDescent="0.25">
      <c r="A8339" t="s">
        <v>68</v>
      </c>
      <c r="B8339" s="1" t="str">
        <f>HYPERLINK("http://vmf.com","vmf.com")</f>
        <v>vmf.com</v>
      </c>
      <c r="C8339" t="s">
        <v>433</v>
      </c>
      <c r="E8339">
        <v>624201</v>
      </c>
      <c r="F8339">
        <v>9.0737910097588604E-8</v>
      </c>
      <c r="G8339">
        <v>449425</v>
      </c>
      <c r="H8339">
        <v>16773320</v>
      </c>
      <c r="I8339">
        <v>221222</v>
      </c>
      <c r="J8339">
        <v>3</v>
      </c>
    </row>
    <row r="8340" spans="1:10" x14ac:dyDescent="0.25">
      <c r="A8340" t="s">
        <v>68</v>
      </c>
      <c r="B8340" s="1" t="str">
        <f>HYPERLINK("http://vtregroup.com","vtregroup.com")</f>
        <v>vtregroup.com</v>
      </c>
      <c r="C8340" t="s">
        <v>433</v>
      </c>
      <c r="F8340">
        <v>1.10098891196255E-8</v>
      </c>
      <c r="G8340">
        <v>5852506</v>
      </c>
      <c r="H8340">
        <v>12398296</v>
      </c>
      <c r="I8340">
        <v>18879579</v>
      </c>
      <c r="J8340">
        <v>5</v>
      </c>
    </row>
    <row r="8341" spans="1:10" x14ac:dyDescent="0.25">
      <c r="A8341" t="s">
        <v>68</v>
      </c>
      <c r="B8341" s="1" t="str">
        <f>HYPERLINK("http://wacotrib.com","wacotrib.com")</f>
        <v>wacotrib.com</v>
      </c>
      <c r="C8341" t="s">
        <v>433</v>
      </c>
      <c r="E8341">
        <v>29588</v>
      </c>
      <c r="F8341">
        <v>6.6745107794514102E-7</v>
      </c>
      <c r="G8341">
        <v>57704</v>
      </c>
      <c r="H8341">
        <v>15670031</v>
      </c>
      <c r="I8341">
        <v>370385</v>
      </c>
      <c r="J8341">
        <v>3</v>
      </c>
    </row>
    <row r="8342" spans="1:10" x14ac:dyDescent="0.25">
      <c r="A8342" t="s">
        <v>68</v>
      </c>
      <c r="B8342" s="1" t="str">
        <f>HYPERLINK("http://warwickequest.com","warwickequest.com")</f>
        <v>warwickequest.com</v>
      </c>
      <c r="C8342" t="s">
        <v>433</v>
      </c>
      <c r="F8342">
        <v>4.6264718733301099E-9</v>
      </c>
      <c r="G8342">
        <v>45675294</v>
      </c>
      <c r="H8342">
        <v>11019516</v>
      </c>
      <c r="I8342">
        <v>33265192</v>
      </c>
      <c r="J8342">
        <v>6</v>
      </c>
    </row>
    <row r="8343" spans="1:10" x14ac:dyDescent="0.25">
      <c r="A8343" t="s">
        <v>68</v>
      </c>
      <c r="B8343" s="1" t="str">
        <f>HYPERLINK("http://webbwheel.com","webbwheel.com")</f>
        <v>webbwheel.com</v>
      </c>
      <c r="C8343" t="s">
        <v>433</v>
      </c>
      <c r="F8343">
        <v>3.4778515305272803E-8</v>
      </c>
      <c r="G8343">
        <v>1492777</v>
      </c>
      <c r="H8343">
        <v>14262486</v>
      </c>
      <c r="I8343">
        <v>1414728</v>
      </c>
      <c r="J8343">
        <v>3</v>
      </c>
    </row>
    <row r="8344" spans="1:10" x14ac:dyDescent="0.25">
      <c r="A8344" t="s">
        <v>68</v>
      </c>
      <c r="B8344" s="1" t="str">
        <f>HYPERLINK("http://whistlerdairyqueen.com","whistlerdairyqueen.com")</f>
        <v>whistlerdairyqueen.com</v>
      </c>
      <c r="C8344" t="s">
        <v>433</v>
      </c>
      <c r="J8344">
        <v>4</v>
      </c>
    </row>
    <row r="8345" spans="1:10" x14ac:dyDescent="0.25">
      <c r="A8345" t="s">
        <v>68</v>
      </c>
      <c r="B8345" s="1" t="str">
        <f>HYPERLINK("http://worldbook.com","worldbook.com")</f>
        <v>worldbook.com</v>
      </c>
      <c r="C8345" t="s">
        <v>433</v>
      </c>
      <c r="E8345">
        <v>150036</v>
      </c>
      <c r="F8345">
        <v>2.10205022406644E-7</v>
      </c>
      <c r="G8345">
        <v>179867</v>
      </c>
      <c r="H8345">
        <v>17272228</v>
      </c>
      <c r="I8345">
        <v>31077</v>
      </c>
      <c r="J8345">
        <v>4</v>
      </c>
    </row>
    <row r="8346" spans="1:10" x14ac:dyDescent="0.25">
      <c r="A8346" t="s">
        <v>68</v>
      </c>
      <c r="B8346" s="1" t="str">
        <f>HYPERLINK("http://worldmediaenterprise.com","worldmediaenterprise.com")</f>
        <v>worldmediaenterprise.com</v>
      </c>
      <c r="C8346" t="s">
        <v>433</v>
      </c>
      <c r="F8346">
        <v>9.9089383742823706E-9</v>
      </c>
      <c r="G8346">
        <v>6850322</v>
      </c>
      <c r="H8346">
        <v>14119873</v>
      </c>
      <c r="I8346">
        <v>2428956</v>
      </c>
      <c r="J8346">
        <v>3</v>
      </c>
    </row>
    <row r="8347" spans="1:10" x14ac:dyDescent="0.25">
      <c r="A8347" t="s">
        <v>68</v>
      </c>
      <c r="B8347" s="1" t="str">
        <f>HYPERLINK("http://wwafcosteel.com","wwafcosteel.com")</f>
        <v>wwafcosteel.com</v>
      </c>
      <c r="C8347" t="s">
        <v>433</v>
      </c>
      <c r="F8347">
        <v>2.1532568224469901E-8</v>
      </c>
      <c r="G8347">
        <v>2445015</v>
      </c>
      <c r="H8347">
        <v>12409113</v>
      </c>
      <c r="I8347">
        <v>18619241</v>
      </c>
      <c r="J8347">
        <v>4</v>
      </c>
    </row>
    <row r="8348" spans="1:10" x14ac:dyDescent="0.25">
      <c r="A8348" t="s">
        <v>68</v>
      </c>
      <c r="B8348" s="1" t="str">
        <f>HYPERLINK("http://wwsteel.com","wwsteel.com")</f>
        <v>wwsteel.com</v>
      </c>
      <c r="C8348" t="s">
        <v>433</v>
      </c>
      <c r="F8348">
        <v>9.7972865816474996E-9</v>
      </c>
      <c r="G8348">
        <v>6971727</v>
      </c>
      <c r="H8348">
        <v>12333868</v>
      </c>
      <c r="I8348">
        <v>20128618</v>
      </c>
      <c r="J8348">
        <v>3</v>
      </c>
    </row>
    <row r="8349" spans="1:10" x14ac:dyDescent="0.25">
      <c r="A8349" t="s">
        <v>68</v>
      </c>
      <c r="B8349" s="1" t="str">
        <f>HYPERLINK("http://xtra.com","xtra.com")</f>
        <v>xtra.com</v>
      </c>
      <c r="C8349" t="s">
        <v>433</v>
      </c>
      <c r="F8349">
        <v>6.1788886958809701E-9</v>
      </c>
      <c r="G8349">
        <v>15645632</v>
      </c>
      <c r="H8349">
        <v>13763726</v>
      </c>
      <c r="I8349">
        <v>7728094</v>
      </c>
      <c r="J8349">
        <v>4</v>
      </c>
    </row>
    <row r="8350" spans="1:10" x14ac:dyDescent="0.25">
      <c r="A8350" t="s">
        <v>68</v>
      </c>
      <c r="B8350" s="1" t="str">
        <f>HYPERLINK("http://xtralease.com","xtralease.com")</f>
        <v>xtralease.com</v>
      </c>
      <c r="C8350" t="s">
        <v>433</v>
      </c>
      <c r="E8350">
        <v>768330</v>
      </c>
      <c r="F8350">
        <v>6.4730638848861502E-8</v>
      </c>
      <c r="G8350">
        <v>666883</v>
      </c>
      <c r="H8350">
        <v>13105763</v>
      </c>
      <c r="I8350">
        <v>12067501</v>
      </c>
      <c r="J8350">
        <v>3</v>
      </c>
    </row>
    <row r="8351" spans="1:10" x14ac:dyDescent="0.25">
      <c r="A8351" t="s">
        <v>68</v>
      </c>
      <c r="B8351" s="1" t="str">
        <f>HYPERLINK("http://duracelldirect.cz","duracelldirect.cz")</f>
        <v>duracelldirect.cz</v>
      </c>
      <c r="C8351" t="s">
        <v>435</v>
      </c>
      <c r="D8351" t="s">
        <v>814</v>
      </c>
      <c r="F8351">
        <v>9.9050045309189606E-9</v>
      </c>
      <c r="G8351">
        <v>6854370</v>
      </c>
      <c r="H8351">
        <v>12089507</v>
      </c>
      <c r="I8351">
        <v>26264854</v>
      </c>
      <c r="J8351">
        <v>4</v>
      </c>
    </row>
    <row r="8352" spans="1:10" x14ac:dyDescent="0.25">
      <c r="A8352" t="s">
        <v>68</v>
      </c>
      <c r="B8352" s="1" t="str">
        <f>HYPERLINK("http://iscar.cz","iscar.cz")</f>
        <v>iscar.cz</v>
      </c>
      <c r="C8352" t="s">
        <v>435</v>
      </c>
      <c r="D8352" t="s">
        <v>814</v>
      </c>
      <c r="F8352">
        <v>1.28010602814391E-8</v>
      </c>
      <c r="G8352">
        <v>4728233</v>
      </c>
      <c r="H8352">
        <v>12479210</v>
      </c>
      <c r="I8352">
        <v>17606566</v>
      </c>
      <c r="J8352">
        <v>4</v>
      </c>
    </row>
    <row r="8353" spans="1:10" x14ac:dyDescent="0.25">
      <c r="A8353" t="s">
        <v>68</v>
      </c>
      <c r="B8353" s="1" t="str">
        <f>HYPERLINK("http://tungaloy.cz","tungaloy.cz")</f>
        <v>tungaloy.cz</v>
      </c>
      <c r="C8353" t="s">
        <v>435</v>
      </c>
      <c r="D8353" t="s">
        <v>814</v>
      </c>
      <c r="F8353">
        <v>5.2881369765514502E-9</v>
      </c>
      <c r="G8353">
        <v>23670703</v>
      </c>
      <c r="H8353">
        <v>12119280</v>
      </c>
      <c r="I8353">
        <v>25424571</v>
      </c>
      <c r="J8353">
        <v>6</v>
      </c>
    </row>
    <row r="8354" spans="1:10" x14ac:dyDescent="0.25">
      <c r="A8354" t="s">
        <v>68</v>
      </c>
      <c r="B8354" s="1" t="str">
        <f>HYPERLINK("http://businesswire.de","businesswire.de")</f>
        <v>businesswire.de</v>
      </c>
      <c r="C8354" t="s">
        <v>436</v>
      </c>
      <c r="D8354" t="s">
        <v>815</v>
      </c>
      <c r="F8354">
        <v>1.20253835649731E-8</v>
      </c>
      <c r="G8354">
        <v>5159501</v>
      </c>
      <c r="H8354">
        <v>13280391</v>
      </c>
      <c r="I8354">
        <v>10914157</v>
      </c>
      <c r="J8354">
        <v>4</v>
      </c>
    </row>
    <row r="8355" spans="1:10" x14ac:dyDescent="0.25">
      <c r="A8355" t="s">
        <v>68</v>
      </c>
      <c r="B8355" s="1" t="str">
        <f>HYPERLINK("http://duracell.de","duracell.de")</f>
        <v>duracell.de</v>
      </c>
      <c r="C8355" t="s">
        <v>436</v>
      </c>
      <c r="D8355" t="s">
        <v>815</v>
      </c>
      <c r="F8355">
        <v>2.5605662567476499E-8</v>
      </c>
      <c r="G8355">
        <v>2013756</v>
      </c>
      <c r="H8355">
        <v>14122292</v>
      </c>
      <c r="I8355">
        <v>2218687</v>
      </c>
      <c r="J8355">
        <v>6</v>
      </c>
    </row>
    <row r="8356" spans="1:10" x14ac:dyDescent="0.25">
      <c r="A8356" t="s">
        <v>68</v>
      </c>
      <c r="B8356" s="1" t="str">
        <f>HYPERLINK("http://duracelldirect.de","duracelldirect.de")</f>
        <v>duracelldirect.de</v>
      </c>
      <c r="C8356" t="s">
        <v>436</v>
      </c>
      <c r="D8356" t="s">
        <v>815</v>
      </c>
      <c r="F8356">
        <v>1.0172498841848401E-8</v>
      </c>
      <c r="G8356">
        <v>6573864</v>
      </c>
      <c r="H8356">
        <v>12337123</v>
      </c>
      <c r="I8356">
        <v>20066028</v>
      </c>
      <c r="J8356">
        <v>4</v>
      </c>
    </row>
    <row r="8357" spans="1:10" x14ac:dyDescent="0.25">
      <c r="A8357" t="s">
        <v>68</v>
      </c>
      <c r="B8357" s="1" t="str">
        <f>HYPERLINK("http://ingersoll-imc.de","ingersoll-imc.de")</f>
        <v>ingersoll-imc.de</v>
      </c>
      <c r="C8357" t="s">
        <v>436</v>
      </c>
      <c r="D8357" t="s">
        <v>815</v>
      </c>
      <c r="F8357">
        <v>3.1495235566536899E-8</v>
      </c>
      <c r="G8357">
        <v>1638081</v>
      </c>
      <c r="H8357">
        <v>12661667</v>
      </c>
      <c r="I8357">
        <v>15711325</v>
      </c>
      <c r="J8357">
        <v>3</v>
      </c>
    </row>
    <row r="8358" spans="1:10" x14ac:dyDescent="0.25">
      <c r="A8358" t="s">
        <v>68</v>
      </c>
      <c r="B8358" s="1" t="str">
        <f>HYPERLINK("http://iscar.de","iscar.de")</f>
        <v>iscar.de</v>
      </c>
      <c r="C8358" t="s">
        <v>436</v>
      </c>
      <c r="D8358" t="s">
        <v>815</v>
      </c>
      <c r="F8358">
        <v>2.1294324877089299E-8</v>
      </c>
      <c r="G8358">
        <v>2474978</v>
      </c>
      <c r="H8358">
        <v>14074075</v>
      </c>
      <c r="I8358">
        <v>2957651</v>
      </c>
      <c r="J8358">
        <v>4</v>
      </c>
    </row>
    <row r="8359" spans="1:10" x14ac:dyDescent="0.25">
      <c r="A8359" t="s">
        <v>68</v>
      </c>
      <c r="B8359" s="1" t="str">
        <f>HYPERLINK("http://mouser.de","mouser.de")</f>
        <v>mouser.de</v>
      </c>
      <c r="C8359" t="s">
        <v>436</v>
      </c>
      <c r="D8359" t="s">
        <v>815</v>
      </c>
      <c r="E8359">
        <v>137225</v>
      </c>
      <c r="F8359">
        <v>2.8251449962195E-7</v>
      </c>
      <c r="G8359">
        <v>131603</v>
      </c>
      <c r="H8359">
        <v>14945300</v>
      </c>
      <c r="I8359">
        <v>442073</v>
      </c>
      <c r="J8359">
        <v>4</v>
      </c>
    </row>
    <row r="8360" spans="1:10" x14ac:dyDescent="0.25">
      <c r="A8360" t="s">
        <v>68</v>
      </c>
      <c r="B8360" s="1" t="str">
        <f>HYPERLINK("http://pamperedchef.de","pamperedchef.de")</f>
        <v>pamperedchef.de</v>
      </c>
      <c r="C8360" t="s">
        <v>436</v>
      </c>
      <c r="D8360" t="s">
        <v>815</v>
      </c>
      <c r="F8360">
        <v>1.0035544100620801E-8</v>
      </c>
      <c r="G8360">
        <v>6720029</v>
      </c>
      <c r="H8360">
        <v>12266503</v>
      </c>
      <c r="I8360">
        <v>21606702</v>
      </c>
      <c r="J8360">
        <v>5</v>
      </c>
    </row>
    <row r="8361" spans="1:10" x14ac:dyDescent="0.25">
      <c r="A8361" t="s">
        <v>68</v>
      </c>
      <c r="B8361" s="1" t="str">
        <f>HYPERLINK("http://tungaloy.de","tungaloy.de")</f>
        <v>tungaloy.de</v>
      </c>
      <c r="C8361" t="s">
        <v>436</v>
      </c>
      <c r="D8361" t="s">
        <v>815</v>
      </c>
      <c r="F8361">
        <v>5.9072940014969998E-9</v>
      </c>
      <c r="G8361">
        <v>17308965</v>
      </c>
      <c r="H8361">
        <v>11124521</v>
      </c>
      <c r="I8361">
        <v>32006973</v>
      </c>
      <c r="J8361">
        <v>6</v>
      </c>
    </row>
    <row r="8362" spans="1:10" x14ac:dyDescent="0.25">
      <c r="A8362" t="s">
        <v>68</v>
      </c>
      <c r="B8362" s="1" t="str">
        <f>HYPERLINK("http://duracell.dk","duracell.dk")</f>
        <v>duracell.dk</v>
      </c>
      <c r="C8362" t="s">
        <v>437</v>
      </c>
      <c r="D8362" t="s">
        <v>816</v>
      </c>
      <c r="F8362">
        <v>8.0797235927122706E-9</v>
      </c>
      <c r="G8362">
        <v>9777862</v>
      </c>
      <c r="H8362">
        <v>10753247</v>
      </c>
      <c r="I8362">
        <v>39893756</v>
      </c>
      <c r="J8362">
        <v>6</v>
      </c>
    </row>
    <row r="8363" spans="1:10" x14ac:dyDescent="0.25">
      <c r="A8363" t="s">
        <v>68</v>
      </c>
      <c r="B8363" s="1" t="str">
        <f>HYPERLINK("http://duracelldirect.dk","duracelldirect.dk")</f>
        <v>duracelldirect.dk</v>
      </c>
      <c r="C8363" t="s">
        <v>437</v>
      </c>
      <c r="D8363" t="s">
        <v>816</v>
      </c>
      <c r="F8363">
        <v>9.6784916893268193E-9</v>
      </c>
      <c r="G8363">
        <v>7106206</v>
      </c>
      <c r="H8363">
        <v>10543240</v>
      </c>
      <c r="I8363">
        <v>47036004</v>
      </c>
      <c r="J8363">
        <v>4</v>
      </c>
    </row>
    <row r="8364" spans="1:10" x14ac:dyDescent="0.25">
      <c r="A8364" t="s">
        <v>68</v>
      </c>
      <c r="B8364" s="1" t="str">
        <f>HYPERLINK("http://iscar.dk","iscar.dk")</f>
        <v>iscar.dk</v>
      </c>
      <c r="C8364" t="s">
        <v>437</v>
      </c>
      <c r="D8364" t="s">
        <v>816</v>
      </c>
      <c r="F8364">
        <v>4.4470041006206796E-9</v>
      </c>
      <c r="G8364">
        <v>73844981</v>
      </c>
      <c r="H8364">
        <v>10801872</v>
      </c>
      <c r="I8364">
        <v>38105923</v>
      </c>
      <c r="J8364">
        <v>4</v>
      </c>
    </row>
    <row r="8365" spans="1:10" x14ac:dyDescent="0.25">
      <c r="A8365" t="s">
        <v>68</v>
      </c>
      <c r="B8365" s="1" t="str">
        <f>HYPERLINK("http://mouser.dk","mouser.dk")</f>
        <v>mouser.dk</v>
      </c>
      <c r="C8365" t="s">
        <v>437</v>
      </c>
      <c r="D8365" t="s">
        <v>816</v>
      </c>
      <c r="F8365">
        <v>8.3067745872549194E-8</v>
      </c>
      <c r="G8365">
        <v>502099</v>
      </c>
      <c r="H8365">
        <v>13335403</v>
      </c>
      <c r="I8365">
        <v>10687163</v>
      </c>
      <c r="J8365">
        <v>4</v>
      </c>
    </row>
    <row r="8366" spans="1:10" x14ac:dyDescent="0.25">
      <c r="A8366" t="s">
        <v>68</v>
      </c>
      <c r="B8366" s="1" t="str">
        <f>HYPERLINK("http://mouser.ee","mouser.ee")</f>
        <v>mouser.ee</v>
      </c>
      <c r="C8366" t="s">
        <v>441</v>
      </c>
      <c r="D8366" t="s">
        <v>820</v>
      </c>
      <c r="F8366">
        <v>7.2084729374111195E-8</v>
      </c>
      <c r="G8366">
        <v>585735</v>
      </c>
      <c r="H8366">
        <v>14073395</v>
      </c>
      <c r="I8366">
        <v>2997710</v>
      </c>
      <c r="J8366">
        <v>4</v>
      </c>
    </row>
    <row r="8367" spans="1:10" x14ac:dyDescent="0.25">
      <c r="A8367" t="s">
        <v>68</v>
      </c>
      <c r="B8367" s="1" t="str">
        <f>HYPERLINK("http://duracell.es","duracell.es")</f>
        <v>duracell.es</v>
      </c>
      <c r="C8367" t="s">
        <v>443</v>
      </c>
      <c r="D8367" t="s">
        <v>822</v>
      </c>
      <c r="F8367">
        <v>1.7385232740499901E-8</v>
      </c>
      <c r="G8367">
        <v>3178614</v>
      </c>
      <c r="H8367">
        <v>13786914</v>
      </c>
      <c r="I8367">
        <v>6380033</v>
      </c>
      <c r="J8367">
        <v>6</v>
      </c>
    </row>
    <row r="8368" spans="1:10" x14ac:dyDescent="0.25">
      <c r="A8368" t="s">
        <v>68</v>
      </c>
      <c r="B8368" s="1" t="str">
        <f>HYPERLINK("http://duracelldirect.es","duracelldirect.es")</f>
        <v>duracelldirect.es</v>
      </c>
      <c r="C8368" t="s">
        <v>443</v>
      </c>
      <c r="D8368" t="s">
        <v>822</v>
      </c>
      <c r="F8368">
        <v>1.04750434342687E-8</v>
      </c>
      <c r="G8368">
        <v>6291289</v>
      </c>
      <c r="H8368">
        <v>13933080</v>
      </c>
      <c r="I8368">
        <v>4947983</v>
      </c>
      <c r="J8368">
        <v>4</v>
      </c>
    </row>
    <row r="8369" spans="1:10" x14ac:dyDescent="0.25">
      <c r="A8369" t="s">
        <v>68</v>
      </c>
      <c r="B8369" s="1" t="str">
        <f>HYPERLINK("http://mouser.es","mouser.es")</f>
        <v>mouser.es</v>
      </c>
      <c r="C8369" t="s">
        <v>443</v>
      </c>
      <c r="D8369" t="s">
        <v>822</v>
      </c>
      <c r="E8369">
        <v>496602</v>
      </c>
      <c r="F8369">
        <v>1.4317526585333799E-7</v>
      </c>
      <c r="G8369">
        <v>271919</v>
      </c>
      <c r="H8369">
        <v>14709180</v>
      </c>
      <c r="I8369">
        <v>584673</v>
      </c>
      <c r="J8369">
        <v>4</v>
      </c>
    </row>
    <row r="8370" spans="1:10" x14ac:dyDescent="0.25">
      <c r="A8370" t="s">
        <v>68</v>
      </c>
      <c r="B8370" s="1" t="str">
        <f>HYPERLINK("http://tungaloy.es","tungaloy.es")</f>
        <v>tungaloy.es</v>
      </c>
      <c r="C8370" t="s">
        <v>443</v>
      </c>
      <c r="D8370" t="s">
        <v>822</v>
      </c>
      <c r="F8370">
        <v>5.2282584124704899E-9</v>
      </c>
      <c r="G8370">
        <v>24604184</v>
      </c>
      <c r="H8370">
        <v>10877222</v>
      </c>
      <c r="I8370">
        <v>36373660</v>
      </c>
      <c r="J8370">
        <v>6</v>
      </c>
    </row>
    <row r="8371" spans="1:10" x14ac:dyDescent="0.25">
      <c r="A8371" t="s">
        <v>68</v>
      </c>
      <c r="B8371" s="1" t="str">
        <f>HYPERLINK("http://duracelldirect.eu","duracelldirect.eu")</f>
        <v>duracelldirect.eu</v>
      </c>
      <c r="C8371" t="s">
        <v>444</v>
      </c>
      <c r="F8371">
        <v>9.4349089504080793E-9</v>
      </c>
      <c r="G8371">
        <v>7401474</v>
      </c>
      <c r="H8371">
        <v>12141955</v>
      </c>
      <c r="I8371">
        <v>24836680</v>
      </c>
      <c r="J8371">
        <v>5</v>
      </c>
    </row>
    <row r="8372" spans="1:10" x14ac:dyDescent="0.25">
      <c r="A8372" t="s">
        <v>68</v>
      </c>
      <c r="B8372" s="1" t="str">
        <f>HYPERLINK("http://fruitoftheloom.eu","fruitoftheloom.eu")</f>
        <v>fruitoftheloom.eu</v>
      </c>
      <c r="C8372" t="s">
        <v>444</v>
      </c>
      <c r="E8372">
        <v>680264</v>
      </c>
      <c r="F8372">
        <v>1.52365467608849E-7</v>
      </c>
      <c r="G8372">
        <v>254892</v>
      </c>
      <c r="H8372">
        <v>13811380</v>
      </c>
      <c r="I8372">
        <v>6208059</v>
      </c>
      <c r="J8372">
        <v>7</v>
      </c>
    </row>
    <row r="8373" spans="1:10" x14ac:dyDescent="0.25">
      <c r="A8373" t="s">
        <v>68</v>
      </c>
      <c r="B8373" s="1" t="str">
        <f>HYPERLINK("http://pamperedchef.eu","pamperedchef.eu")</f>
        <v>pamperedchef.eu</v>
      </c>
      <c r="C8373" t="s">
        <v>444</v>
      </c>
      <c r="F8373">
        <v>6.3344648854095597E-8</v>
      </c>
      <c r="G8373">
        <v>686539</v>
      </c>
      <c r="H8373">
        <v>13985338</v>
      </c>
      <c r="I8373">
        <v>4040843</v>
      </c>
      <c r="J8373">
        <v>4</v>
      </c>
    </row>
    <row r="8374" spans="1:10" x14ac:dyDescent="0.25">
      <c r="A8374" t="s">
        <v>68</v>
      </c>
      <c r="B8374" s="1" t="str">
        <f>HYPERLINK("http://dairyqueen.fi","dairyqueen.fi")</f>
        <v>dairyqueen.fi</v>
      </c>
      <c r="C8374" t="s">
        <v>445</v>
      </c>
      <c r="D8374" t="s">
        <v>823</v>
      </c>
      <c r="J8374">
        <v>4</v>
      </c>
    </row>
    <row r="8375" spans="1:10" x14ac:dyDescent="0.25">
      <c r="A8375" t="s">
        <v>68</v>
      </c>
      <c r="B8375" s="1" t="str">
        <f>HYPERLINK("http://duracell.fi","duracell.fi")</f>
        <v>duracell.fi</v>
      </c>
      <c r="C8375" t="s">
        <v>445</v>
      </c>
      <c r="D8375" t="s">
        <v>823</v>
      </c>
      <c r="F8375">
        <v>8.1098758765602505E-9</v>
      </c>
      <c r="G8375">
        <v>9724638</v>
      </c>
      <c r="H8375">
        <v>10749088</v>
      </c>
      <c r="I8375">
        <v>40115902</v>
      </c>
      <c r="J8375">
        <v>4</v>
      </c>
    </row>
    <row r="8376" spans="1:10" x14ac:dyDescent="0.25">
      <c r="A8376" t="s">
        <v>68</v>
      </c>
      <c r="B8376" s="1" t="str">
        <f>HYPERLINK("http://duracelldirect.fi","duracelldirect.fi")</f>
        <v>duracelldirect.fi</v>
      </c>
      <c r="C8376" t="s">
        <v>445</v>
      </c>
      <c r="D8376" t="s">
        <v>823</v>
      </c>
      <c r="F8376">
        <v>9.6519789579660703E-9</v>
      </c>
      <c r="G8376">
        <v>7137655</v>
      </c>
      <c r="H8376">
        <v>12159309</v>
      </c>
      <c r="I8376">
        <v>24380453</v>
      </c>
      <c r="J8376">
        <v>4</v>
      </c>
    </row>
    <row r="8377" spans="1:10" x14ac:dyDescent="0.25">
      <c r="A8377" t="s">
        <v>68</v>
      </c>
      <c r="B8377" s="1" t="str">
        <f>HYPERLINK("http://iscar.fi","iscar.fi")</f>
        <v>iscar.fi</v>
      </c>
      <c r="C8377" t="s">
        <v>445</v>
      </c>
      <c r="D8377" t="s">
        <v>823</v>
      </c>
      <c r="F8377">
        <v>8.7593394881676197E-9</v>
      </c>
      <c r="G8377">
        <v>8376906</v>
      </c>
      <c r="H8377">
        <v>12118930</v>
      </c>
      <c r="I8377">
        <v>25433140</v>
      </c>
      <c r="J8377">
        <v>4</v>
      </c>
    </row>
    <row r="8378" spans="1:10" x14ac:dyDescent="0.25">
      <c r="A8378" t="s">
        <v>68</v>
      </c>
      <c r="B8378" s="1" t="str">
        <f>HYPERLINK("http://mouser.fi","mouser.fi")</f>
        <v>mouser.fi</v>
      </c>
      <c r="C8378" t="s">
        <v>445</v>
      </c>
      <c r="D8378" t="s">
        <v>823</v>
      </c>
      <c r="F8378">
        <v>7.7345622607287897E-8</v>
      </c>
      <c r="G8378">
        <v>541369</v>
      </c>
      <c r="H8378">
        <v>14237111</v>
      </c>
      <c r="I8378">
        <v>1559683</v>
      </c>
      <c r="J8378">
        <v>4</v>
      </c>
    </row>
    <row r="8379" spans="1:10" x14ac:dyDescent="0.25">
      <c r="A8379" t="s">
        <v>68</v>
      </c>
      <c r="B8379" s="1" t="str">
        <f>HYPERLINK("http://mouserpre.fi","mouserpre.fi")</f>
        <v>mouserpre.fi</v>
      </c>
      <c r="C8379" t="s">
        <v>445</v>
      </c>
      <c r="D8379" t="s">
        <v>823</v>
      </c>
      <c r="J8379">
        <v>4</v>
      </c>
    </row>
    <row r="8380" spans="1:10" x14ac:dyDescent="0.25">
      <c r="A8380" t="s">
        <v>68</v>
      </c>
      <c r="B8380" s="1" t="str">
        <f>HYPERLINK("http://netjets.fi","netjets.fi")</f>
        <v>netjets.fi</v>
      </c>
      <c r="C8380" t="s">
        <v>445</v>
      </c>
      <c r="D8380" t="s">
        <v>823</v>
      </c>
      <c r="J8380">
        <v>4</v>
      </c>
    </row>
    <row r="8381" spans="1:10" x14ac:dyDescent="0.25">
      <c r="A8381" t="s">
        <v>68</v>
      </c>
      <c r="B8381" s="1" t="str">
        <f>HYPERLINK("http://netjetseurope.fi","netjetseurope.fi")</f>
        <v>netjetseurope.fi</v>
      </c>
      <c r="C8381" t="s">
        <v>445</v>
      </c>
      <c r="D8381" t="s">
        <v>823</v>
      </c>
      <c r="J8381">
        <v>4</v>
      </c>
    </row>
    <row r="8382" spans="1:10" x14ac:dyDescent="0.25">
      <c r="A8382" t="s">
        <v>68</v>
      </c>
      <c r="B8382" s="1" t="str">
        <f>HYPERLINK("http://businesswire.fr","businesswire.fr")</f>
        <v>businesswire.fr</v>
      </c>
      <c r="C8382" t="s">
        <v>446</v>
      </c>
      <c r="D8382" t="s">
        <v>824</v>
      </c>
      <c r="F8382">
        <v>1.1980911086412499E-8</v>
      </c>
      <c r="G8382">
        <v>5188336</v>
      </c>
      <c r="H8382">
        <v>13818883</v>
      </c>
      <c r="I8382">
        <v>6150788</v>
      </c>
      <c r="J8382">
        <v>4</v>
      </c>
    </row>
    <row r="8383" spans="1:10" x14ac:dyDescent="0.25">
      <c r="A8383" t="s">
        <v>68</v>
      </c>
      <c r="B8383" s="1" t="str">
        <f>HYPERLINK("http://duracell.fr","duracell.fr")</f>
        <v>duracell.fr</v>
      </c>
      <c r="C8383" t="s">
        <v>446</v>
      </c>
      <c r="D8383" t="s">
        <v>824</v>
      </c>
      <c r="F8383">
        <v>2.02707089185012E-8</v>
      </c>
      <c r="G8383">
        <v>2618500</v>
      </c>
      <c r="H8383">
        <v>14238550</v>
      </c>
      <c r="I8383">
        <v>1524797</v>
      </c>
      <c r="J8383">
        <v>6</v>
      </c>
    </row>
    <row r="8384" spans="1:10" x14ac:dyDescent="0.25">
      <c r="A8384" t="s">
        <v>68</v>
      </c>
      <c r="B8384" s="1" t="str">
        <f>HYPERLINK("http://duracelldirect.fr","duracelldirect.fr")</f>
        <v>duracelldirect.fr</v>
      </c>
      <c r="C8384" t="s">
        <v>446</v>
      </c>
      <c r="D8384" t="s">
        <v>824</v>
      </c>
      <c r="F8384">
        <v>1.20068655351329E-8</v>
      </c>
      <c r="G8384">
        <v>5170840</v>
      </c>
      <c r="H8384">
        <v>12436791</v>
      </c>
      <c r="I8384">
        <v>18191047</v>
      </c>
      <c r="J8384">
        <v>4</v>
      </c>
    </row>
    <row r="8385" spans="1:10" x14ac:dyDescent="0.25">
      <c r="A8385" t="s">
        <v>68</v>
      </c>
      <c r="B8385" s="1" t="str">
        <f>HYPERLINK("http://ingersoll-imc.fr","ingersoll-imc.fr")</f>
        <v>ingersoll-imc.fr</v>
      </c>
      <c r="C8385" t="s">
        <v>446</v>
      </c>
      <c r="D8385" t="s">
        <v>824</v>
      </c>
      <c r="F8385">
        <v>7.0156346177249402E-9</v>
      </c>
      <c r="G8385">
        <v>12266138</v>
      </c>
      <c r="H8385">
        <v>10811036</v>
      </c>
      <c r="I8385">
        <v>37844267</v>
      </c>
      <c r="J8385">
        <v>4</v>
      </c>
    </row>
    <row r="8386" spans="1:10" x14ac:dyDescent="0.25">
      <c r="A8386" t="s">
        <v>68</v>
      </c>
      <c r="B8386" s="1" t="str">
        <f>HYPERLINK("http://iscar.fr","iscar.fr")</f>
        <v>iscar.fr</v>
      </c>
      <c r="C8386" t="s">
        <v>446</v>
      </c>
      <c r="D8386" t="s">
        <v>824</v>
      </c>
      <c r="F8386">
        <v>9.4901532103688696E-9</v>
      </c>
      <c r="G8386">
        <v>7334276</v>
      </c>
      <c r="H8386">
        <v>12370028</v>
      </c>
      <c r="I8386">
        <v>19413152</v>
      </c>
      <c r="J8386">
        <v>4</v>
      </c>
    </row>
    <row r="8387" spans="1:10" x14ac:dyDescent="0.25">
      <c r="A8387" t="s">
        <v>68</v>
      </c>
      <c r="B8387" s="1" t="str">
        <f>HYPERLINK("http://mouser.fr","mouser.fr")</f>
        <v>mouser.fr</v>
      </c>
      <c r="C8387" t="s">
        <v>446</v>
      </c>
      <c r="D8387" t="s">
        <v>824</v>
      </c>
      <c r="E8387">
        <v>429651</v>
      </c>
      <c r="F8387">
        <v>1.7148470731386901E-7</v>
      </c>
      <c r="G8387">
        <v>226209</v>
      </c>
      <c r="H8387">
        <v>14415516</v>
      </c>
      <c r="I8387">
        <v>1111849</v>
      </c>
      <c r="J8387">
        <v>4</v>
      </c>
    </row>
    <row r="8388" spans="1:10" x14ac:dyDescent="0.25">
      <c r="A8388" t="s">
        <v>68</v>
      </c>
      <c r="B8388" s="1" t="str">
        <f>HYPERLINK("http://pamperedchef.fr","pamperedchef.fr")</f>
        <v>pamperedchef.fr</v>
      </c>
      <c r="C8388" t="s">
        <v>446</v>
      </c>
      <c r="D8388" t="s">
        <v>824</v>
      </c>
      <c r="F8388">
        <v>6.1838630272986703E-9</v>
      </c>
      <c r="G8388">
        <v>15619910</v>
      </c>
      <c r="H8388">
        <v>10458032</v>
      </c>
      <c r="I8388">
        <v>51905615</v>
      </c>
      <c r="J8388">
        <v>5</v>
      </c>
    </row>
    <row r="8389" spans="1:10" x14ac:dyDescent="0.25">
      <c r="A8389" t="s">
        <v>68</v>
      </c>
      <c r="B8389" s="1" t="str">
        <f>HYPERLINK("http://tungaloy.fr","tungaloy.fr")</f>
        <v>tungaloy.fr</v>
      </c>
      <c r="C8389" t="s">
        <v>446</v>
      </c>
      <c r="D8389" t="s">
        <v>824</v>
      </c>
      <c r="F8389">
        <v>6.2988036766509604E-9</v>
      </c>
      <c r="G8389">
        <v>15038359</v>
      </c>
      <c r="H8389">
        <v>10206399</v>
      </c>
      <c r="I8389">
        <v>58996171</v>
      </c>
      <c r="J8389">
        <v>6</v>
      </c>
    </row>
    <row r="8390" spans="1:10" x14ac:dyDescent="0.25">
      <c r="A8390" t="s">
        <v>68</v>
      </c>
      <c r="B8390" s="1" t="str">
        <f>HYPERLINK("http://businesswire.hk","businesswire.hk")</f>
        <v>businesswire.hk</v>
      </c>
      <c r="C8390" t="s">
        <v>450</v>
      </c>
      <c r="D8390" t="s">
        <v>827</v>
      </c>
      <c r="F8390">
        <v>8.6869937397499492E-9</v>
      </c>
      <c r="G8390">
        <v>8500125</v>
      </c>
      <c r="H8390">
        <v>13225604</v>
      </c>
      <c r="I8390">
        <v>11306196</v>
      </c>
      <c r="J8390">
        <v>4</v>
      </c>
    </row>
    <row r="8391" spans="1:10" x14ac:dyDescent="0.25">
      <c r="A8391" t="s">
        <v>68</v>
      </c>
      <c r="B8391" s="1" t="str">
        <f>HYPERLINK("http://mouser.hn","mouser.hn")</f>
        <v>mouser.hn</v>
      </c>
      <c r="C8391" t="s">
        <v>451</v>
      </c>
      <c r="D8391" t="s">
        <v>828</v>
      </c>
      <c r="F8391">
        <v>5.1662230589396002E-8</v>
      </c>
      <c r="G8391">
        <v>884985</v>
      </c>
      <c r="H8391">
        <v>12456739</v>
      </c>
      <c r="I8391">
        <v>17915266</v>
      </c>
      <c r="J8391">
        <v>4</v>
      </c>
    </row>
    <row r="8392" spans="1:10" x14ac:dyDescent="0.25">
      <c r="A8392" t="s">
        <v>68</v>
      </c>
      <c r="B8392" s="1" t="str">
        <f>HYPERLINK("http://ecowater.hr","ecowater.hr")</f>
        <v>ecowater.hr</v>
      </c>
      <c r="C8392" t="s">
        <v>452</v>
      </c>
      <c r="D8392" t="s">
        <v>829</v>
      </c>
      <c r="F8392">
        <v>9.1577540723362805E-9</v>
      </c>
      <c r="G8392">
        <v>7767850</v>
      </c>
      <c r="H8392">
        <v>12667118</v>
      </c>
      <c r="I8392">
        <v>15645275</v>
      </c>
      <c r="J8392">
        <v>5</v>
      </c>
    </row>
    <row r="8393" spans="1:10" x14ac:dyDescent="0.25">
      <c r="A8393" t="s">
        <v>68</v>
      </c>
      <c r="B8393" s="1" t="str">
        <f>HYPERLINK("http://iscar.hr","iscar.hr")</f>
        <v>iscar.hr</v>
      </c>
      <c r="C8393" t="s">
        <v>452</v>
      </c>
      <c r="D8393" t="s">
        <v>829</v>
      </c>
      <c r="F8393">
        <v>9.0515832381707408E-9</v>
      </c>
      <c r="G8393">
        <v>7915644</v>
      </c>
      <c r="H8393">
        <v>12046703</v>
      </c>
      <c r="I8393">
        <v>27334284</v>
      </c>
      <c r="J8393">
        <v>4</v>
      </c>
    </row>
    <row r="8394" spans="1:10" x14ac:dyDescent="0.25">
      <c r="A8394" t="s">
        <v>68</v>
      </c>
      <c r="B8394" s="1" t="str">
        <f>HYPERLINK("http://tungaloy.hr","tungaloy.hr")</f>
        <v>tungaloy.hr</v>
      </c>
      <c r="C8394" t="s">
        <v>452</v>
      </c>
      <c r="D8394" t="s">
        <v>829</v>
      </c>
      <c r="F8394">
        <v>4.8722830003095001E-9</v>
      </c>
      <c r="G8394">
        <v>33329338</v>
      </c>
      <c r="H8394">
        <v>10174360</v>
      </c>
      <c r="I8394">
        <v>59306760</v>
      </c>
      <c r="J8394">
        <v>6</v>
      </c>
    </row>
    <row r="8395" spans="1:10" x14ac:dyDescent="0.25">
      <c r="A8395" t="s">
        <v>68</v>
      </c>
      <c r="B8395" s="1" t="str">
        <f>HYPERLINK("http://ecowater.hu","ecowater.hu")</f>
        <v>ecowater.hu</v>
      </c>
      <c r="C8395" t="s">
        <v>453</v>
      </c>
      <c r="D8395" t="s">
        <v>830</v>
      </c>
      <c r="F8395">
        <v>8.3163866628273907E-9</v>
      </c>
      <c r="G8395">
        <v>9219807</v>
      </c>
      <c r="H8395">
        <v>12667077</v>
      </c>
      <c r="I8395">
        <v>15645566</v>
      </c>
      <c r="J8395">
        <v>5</v>
      </c>
    </row>
    <row r="8396" spans="1:10" x14ac:dyDescent="0.25">
      <c r="A8396" t="s">
        <v>68</v>
      </c>
      <c r="B8396" s="1" t="str">
        <f>HYPERLINK("http://iscar.hu","iscar.hu")</f>
        <v>iscar.hu</v>
      </c>
      <c r="C8396" t="s">
        <v>453</v>
      </c>
      <c r="D8396" t="s">
        <v>830</v>
      </c>
      <c r="F8396">
        <v>9.2194786070998203E-9</v>
      </c>
      <c r="G8396">
        <v>7683905</v>
      </c>
      <c r="H8396">
        <v>12438463</v>
      </c>
      <c r="I8396">
        <v>18164103</v>
      </c>
      <c r="J8396">
        <v>4</v>
      </c>
    </row>
    <row r="8397" spans="1:10" x14ac:dyDescent="0.25">
      <c r="A8397" t="s">
        <v>68</v>
      </c>
      <c r="B8397" s="1" t="str">
        <f>HYPERLINK("http://tungaloy.hu","tungaloy.hu")</f>
        <v>tungaloy.hu</v>
      </c>
      <c r="C8397" t="s">
        <v>453</v>
      </c>
      <c r="D8397" t="s">
        <v>830</v>
      </c>
      <c r="F8397">
        <v>4.8722830003095001E-9</v>
      </c>
      <c r="G8397">
        <v>33329339</v>
      </c>
      <c r="H8397">
        <v>10174360</v>
      </c>
      <c r="I8397">
        <v>59306761</v>
      </c>
      <c r="J8397">
        <v>6</v>
      </c>
    </row>
    <row r="8398" spans="1:10" x14ac:dyDescent="0.25">
      <c r="A8398" t="s">
        <v>68</v>
      </c>
      <c r="B8398" s="1" t="str">
        <f>HYPERLINK("http://mouser.co.id","mouser.co.id")</f>
        <v>mouser.co.id</v>
      </c>
      <c r="C8398" t="s">
        <v>454</v>
      </c>
      <c r="D8398" t="s">
        <v>831</v>
      </c>
      <c r="F8398">
        <v>6.0740657529583303E-8</v>
      </c>
      <c r="G8398">
        <v>725649</v>
      </c>
      <c r="H8398">
        <v>13778034</v>
      </c>
      <c r="I8398">
        <v>6527923</v>
      </c>
      <c r="J8398">
        <v>4</v>
      </c>
    </row>
    <row r="8399" spans="1:10" x14ac:dyDescent="0.25">
      <c r="A8399" t="s">
        <v>68</v>
      </c>
      <c r="B8399" s="1" t="str">
        <f>HYPERLINK("http://duracelldirect.ie","duracelldirect.ie")</f>
        <v>duracelldirect.ie</v>
      </c>
      <c r="C8399" t="s">
        <v>455</v>
      </c>
      <c r="D8399" t="s">
        <v>832</v>
      </c>
      <c r="F8399">
        <v>1.0679874651017101E-8</v>
      </c>
      <c r="G8399">
        <v>6116937</v>
      </c>
      <c r="H8399">
        <v>12703809</v>
      </c>
      <c r="I8399">
        <v>15334013</v>
      </c>
      <c r="J8399">
        <v>4</v>
      </c>
    </row>
    <row r="8400" spans="1:10" x14ac:dyDescent="0.25">
      <c r="A8400" t="s">
        <v>68</v>
      </c>
      <c r="B8400" s="1" t="str">
        <f>HYPERLINK("http://ius.ie","ius.ie")</f>
        <v>ius.ie</v>
      </c>
      <c r="C8400" t="s">
        <v>455</v>
      </c>
      <c r="D8400" t="s">
        <v>832</v>
      </c>
      <c r="F8400">
        <v>4.8850397743899496E-9</v>
      </c>
      <c r="G8400">
        <v>32920253</v>
      </c>
      <c r="H8400">
        <v>10441196</v>
      </c>
      <c r="I8400">
        <v>52362048</v>
      </c>
      <c r="J8400">
        <v>5</v>
      </c>
    </row>
    <row r="8401" spans="1:10" x14ac:dyDescent="0.25">
      <c r="A8401" t="s">
        <v>68</v>
      </c>
      <c r="B8401" s="1" t="str">
        <f>HYPERLINK("http://mouser.ie","mouser.ie")</f>
        <v>mouser.ie</v>
      </c>
      <c r="C8401" t="s">
        <v>455</v>
      </c>
      <c r="D8401" t="s">
        <v>832</v>
      </c>
      <c r="F8401">
        <v>8.3505521910937999E-8</v>
      </c>
      <c r="G8401">
        <v>497065</v>
      </c>
      <c r="H8401">
        <v>13924363</v>
      </c>
      <c r="I8401">
        <v>5932364</v>
      </c>
      <c r="J8401">
        <v>4</v>
      </c>
    </row>
    <row r="8402" spans="1:10" x14ac:dyDescent="0.25">
      <c r="A8402" t="s">
        <v>68</v>
      </c>
      <c r="B8402" s="1" t="str">
        <f>HYPERLINK("http://iscar.co.il","iscar.co.il")</f>
        <v>iscar.co.il</v>
      </c>
      <c r="C8402" t="s">
        <v>456</v>
      </c>
      <c r="D8402" t="s">
        <v>833</v>
      </c>
      <c r="F8402">
        <v>1.28136607769299E-8</v>
      </c>
      <c r="G8402">
        <v>4721872</v>
      </c>
      <c r="H8402">
        <v>14072111</v>
      </c>
      <c r="I8402">
        <v>3161108</v>
      </c>
      <c r="J8402">
        <v>3</v>
      </c>
    </row>
    <row r="8403" spans="1:10" x14ac:dyDescent="0.25">
      <c r="A8403" t="s">
        <v>68</v>
      </c>
      <c r="B8403" s="1" t="str">
        <f>HYPERLINK("http://mouser.co.il","mouser.co.il")</f>
        <v>mouser.co.il</v>
      </c>
      <c r="C8403" t="s">
        <v>456</v>
      </c>
      <c r="D8403" t="s">
        <v>833</v>
      </c>
      <c r="F8403">
        <v>9.0983408278033297E-8</v>
      </c>
      <c r="G8403">
        <v>448122</v>
      </c>
      <c r="H8403">
        <v>13987642</v>
      </c>
      <c r="I8403">
        <v>4036849</v>
      </c>
      <c r="J8403">
        <v>4</v>
      </c>
    </row>
    <row r="8404" spans="1:10" x14ac:dyDescent="0.25">
      <c r="A8404" t="s">
        <v>68</v>
      </c>
      <c r="B8404" s="1" t="str">
        <f>HYPERLINK("http://duracell.in","duracell.in")</f>
        <v>duracell.in</v>
      </c>
      <c r="C8404" t="s">
        <v>457</v>
      </c>
      <c r="D8404" t="s">
        <v>834</v>
      </c>
      <c r="F8404">
        <v>1.29063588173441E-8</v>
      </c>
      <c r="G8404">
        <v>4676392</v>
      </c>
      <c r="H8404">
        <v>12650656</v>
      </c>
      <c r="I8404">
        <v>15793563</v>
      </c>
      <c r="J8404">
        <v>6</v>
      </c>
    </row>
    <row r="8405" spans="1:10" x14ac:dyDescent="0.25">
      <c r="A8405" t="s">
        <v>68</v>
      </c>
      <c r="B8405" s="1" t="str">
        <f>HYPERLINK("http://iscar.in","iscar.in")</f>
        <v>iscar.in</v>
      </c>
      <c r="C8405" t="s">
        <v>457</v>
      </c>
      <c r="D8405" t="s">
        <v>834</v>
      </c>
      <c r="F8405">
        <v>9.4317122218257401E-9</v>
      </c>
      <c r="G8405">
        <v>7405264</v>
      </c>
      <c r="H8405">
        <v>12037846</v>
      </c>
      <c r="I8405">
        <v>27506416</v>
      </c>
      <c r="J8405">
        <v>4</v>
      </c>
    </row>
    <row r="8406" spans="1:10" x14ac:dyDescent="0.25">
      <c r="A8406" t="s">
        <v>68</v>
      </c>
      <c r="B8406" s="1" t="str">
        <f>HYPERLINK("http://mouser.in","mouser.in")</f>
        <v>mouser.in</v>
      </c>
      <c r="C8406" t="s">
        <v>457</v>
      </c>
      <c r="D8406" t="s">
        <v>834</v>
      </c>
      <c r="E8406">
        <v>129991</v>
      </c>
      <c r="F8406">
        <v>1.9074539866377501E-7</v>
      </c>
      <c r="G8406">
        <v>202031</v>
      </c>
      <c r="H8406">
        <v>14680374</v>
      </c>
      <c r="I8406">
        <v>608736</v>
      </c>
      <c r="J8406">
        <v>4</v>
      </c>
    </row>
    <row r="8407" spans="1:10" x14ac:dyDescent="0.25">
      <c r="A8407" t="s">
        <v>68</v>
      </c>
      <c r="B8407" s="1" t="str">
        <f>HYPERLINK("http://medpro.international","medpro.international")</f>
        <v>medpro.international</v>
      </c>
      <c r="C8407" t="s">
        <v>734</v>
      </c>
      <c r="F8407">
        <v>4.6385429965805496E-9</v>
      </c>
      <c r="G8407">
        <v>44872891</v>
      </c>
      <c r="H8407">
        <v>9657506</v>
      </c>
      <c r="I8407">
        <v>63832708</v>
      </c>
      <c r="J8407">
        <v>4</v>
      </c>
    </row>
    <row r="8408" spans="1:10" x14ac:dyDescent="0.25">
      <c r="A8408" t="s">
        <v>68</v>
      </c>
      <c r="B8408" s="1" t="str">
        <f>HYPERLINK("http://benjaminmoore.io","benjaminmoore.io")</f>
        <v>benjaminmoore.io</v>
      </c>
      <c r="C8408" t="s">
        <v>518</v>
      </c>
      <c r="E8408">
        <v>732175</v>
      </c>
      <c r="F8408">
        <v>4.44380996400719E-9</v>
      </c>
      <c r="G8408">
        <v>79637069</v>
      </c>
      <c r="H8408">
        <v>10351910</v>
      </c>
      <c r="I8408">
        <v>56142774</v>
      </c>
      <c r="J8408">
        <v>4</v>
      </c>
    </row>
    <row r="8409" spans="1:10" x14ac:dyDescent="0.25">
      <c r="A8409" t="s">
        <v>68</v>
      </c>
      <c r="B8409" s="1" t="str">
        <f>HYPERLINK("http://businesswire.it","businesswire.it")</f>
        <v>businesswire.it</v>
      </c>
      <c r="C8409" t="s">
        <v>459</v>
      </c>
      <c r="D8409" t="s">
        <v>835</v>
      </c>
      <c r="F8409">
        <v>8.9241509204996295E-9</v>
      </c>
      <c r="G8409">
        <v>8107251</v>
      </c>
      <c r="H8409">
        <v>13234200</v>
      </c>
      <c r="I8409">
        <v>11251834</v>
      </c>
      <c r="J8409">
        <v>4</v>
      </c>
    </row>
    <row r="8410" spans="1:10" x14ac:dyDescent="0.25">
      <c r="A8410" t="s">
        <v>68</v>
      </c>
      <c r="B8410" s="1" t="str">
        <f>HYPERLINK("http://duracell.it","duracell.it")</f>
        <v>duracell.it</v>
      </c>
      <c r="C8410" t="s">
        <v>459</v>
      </c>
      <c r="D8410" t="s">
        <v>835</v>
      </c>
      <c r="F8410">
        <v>1.7169473394737601E-8</v>
      </c>
      <c r="G8410">
        <v>3245420</v>
      </c>
      <c r="H8410">
        <v>13763949</v>
      </c>
      <c r="I8410">
        <v>7473609</v>
      </c>
      <c r="J8410">
        <v>6</v>
      </c>
    </row>
    <row r="8411" spans="1:10" x14ac:dyDescent="0.25">
      <c r="A8411" t="s">
        <v>68</v>
      </c>
      <c r="B8411" s="1" t="str">
        <f>HYPERLINK("http://duracelldirect.it","duracelldirect.it")</f>
        <v>duracelldirect.it</v>
      </c>
      <c r="C8411" t="s">
        <v>459</v>
      </c>
      <c r="D8411" t="s">
        <v>835</v>
      </c>
      <c r="F8411">
        <v>1.6568315874026499E-8</v>
      </c>
      <c r="G8411">
        <v>3397062</v>
      </c>
      <c r="H8411">
        <v>13047710</v>
      </c>
      <c r="I8411">
        <v>12598198</v>
      </c>
      <c r="J8411">
        <v>4</v>
      </c>
    </row>
    <row r="8412" spans="1:10" x14ac:dyDescent="0.25">
      <c r="A8412" t="s">
        <v>68</v>
      </c>
      <c r="B8412" s="1" t="str">
        <f>HYPERLINK("http://mouser.it","mouser.it")</f>
        <v>mouser.it</v>
      </c>
      <c r="C8412" t="s">
        <v>459</v>
      </c>
      <c r="D8412" t="s">
        <v>835</v>
      </c>
      <c r="E8412">
        <v>528681</v>
      </c>
      <c r="F8412">
        <v>1.3555695435214701E-7</v>
      </c>
      <c r="G8412">
        <v>287884</v>
      </c>
      <c r="H8412">
        <v>14298503</v>
      </c>
      <c r="I8412">
        <v>1357938</v>
      </c>
      <c r="J8412">
        <v>4</v>
      </c>
    </row>
    <row r="8413" spans="1:10" x14ac:dyDescent="0.25">
      <c r="A8413" t="s">
        <v>68</v>
      </c>
      <c r="B8413" s="1" t="str">
        <f>HYPERLINK("http://tungaloy.it","tungaloy.it")</f>
        <v>tungaloy.it</v>
      </c>
      <c r="C8413" t="s">
        <v>459</v>
      </c>
      <c r="D8413" t="s">
        <v>835</v>
      </c>
      <c r="F8413">
        <v>4.9210368249101802E-9</v>
      </c>
      <c r="G8413">
        <v>31655285</v>
      </c>
      <c r="H8413">
        <v>10175271</v>
      </c>
      <c r="I8413">
        <v>59301435</v>
      </c>
      <c r="J8413">
        <v>6</v>
      </c>
    </row>
    <row r="8414" spans="1:10" x14ac:dyDescent="0.25">
      <c r="A8414" t="s">
        <v>68</v>
      </c>
      <c r="B8414" s="1" t="str">
        <f>HYPERLINK("http://geico.jobs","geico.jobs")</f>
        <v>geico.jobs</v>
      </c>
      <c r="C8414" t="s">
        <v>521</v>
      </c>
      <c r="F8414">
        <v>1.3784223806863299E-8</v>
      </c>
      <c r="G8414">
        <v>4287810</v>
      </c>
      <c r="H8414">
        <v>12908302</v>
      </c>
      <c r="I8414">
        <v>13805947</v>
      </c>
      <c r="J8414">
        <v>4</v>
      </c>
    </row>
    <row r="8415" spans="1:10" x14ac:dyDescent="0.25">
      <c r="A8415" t="s">
        <v>68</v>
      </c>
      <c r="B8415" s="1" t="str">
        <f>HYPERLINK("http://shawinc.jobs","shawinc.jobs")</f>
        <v>shawinc.jobs</v>
      </c>
      <c r="C8415" t="s">
        <v>521</v>
      </c>
      <c r="F8415">
        <v>5.7839338666955301E-9</v>
      </c>
      <c r="G8415">
        <v>18214189</v>
      </c>
      <c r="H8415">
        <v>11080220</v>
      </c>
      <c r="I8415">
        <v>32480810</v>
      </c>
      <c r="J8415">
        <v>5</v>
      </c>
    </row>
    <row r="8416" spans="1:10" x14ac:dyDescent="0.25">
      <c r="A8416" t="s">
        <v>68</v>
      </c>
      <c r="B8416" s="1" t="str">
        <f>HYPERLINK("http://businesswire.jp","businesswire.jp")</f>
        <v>businesswire.jp</v>
      </c>
      <c r="C8416" t="s">
        <v>461</v>
      </c>
      <c r="D8416" t="s">
        <v>837</v>
      </c>
      <c r="F8416">
        <v>1.5042912590996701E-8</v>
      </c>
      <c r="G8416">
        <v>3825977</v>
      </c>
      <c r="H8416">
        <v>13443265</v>
      </c>
      <c r="I8416">
        <v>10242058</v>
      </c>
      <c r="J8416">
        <v>4</v>
      </c>
    </row>
    <row r="8417" spans="1:10" x14ac:dyDescent="0.25">
      <c r="A8417" t="s">
        <v>68</v>
      </c>
      <c r="B8417" s="1" t="str">
        <f>HYPERLINK("http://iscar.co.jp","iscar.co.jp")</f>
        <v>iscar.co.jp</v>
      </c>
      <c r="C8417" t="s">
        <v>461</v>
      </c>
      <c r="D8417" t="s">
        <v>837</v>
      </c>
      <c r="F8417">
        <v>1.5474007457020001E-8</v>
      </c>
      <c r="G8417">
        <v>3692021</v>
      </c>
      <c r="H8417">
        <v>13154159</v>
      </c>
      <c r="I8417">
        <v>11809936</v>
      </c>
      <c r="J8417">
        <v>4</v>
      </c>
    </row>
    <row r="8418" spans="1:10" x14ac:dyDescent="0.25">
      <c r="A8418" t="s">
        <v>68</v>
      </c>
      <c r="B8418" s="1" t="str">
        <f>HYPERLINK("http://tungaloy.co.jp","tungaloy.co.jp")</f>
        <v>tungaloy.co.jp</v>
      </c>
      <c r="C8418" t="s">
        <v>461</v>
      </c>
      <c r="D8418" t="s">
        <v>837</v>
      </c>
      <c r="E8418">
        <v>300176</v>
      </c>
      <c r="F8418">
        <v>3.0999547621366599E-8</v>
      </c>
      <c r="G8418">
        <v>1662319</v>
      </c>
      <c r="H8418">
        <v>14443564</v>
      </c>
      <c r="I8418">
        <v>1059518</v>
      </c>
      <c r="J8418">
        <v>4</v>
      </c>
    </row>
    <row r="8419" spans="1:10" x14ac:dyDescent="0.25">
      <c r="A8419" t="s">
        <v>68</v>
      </c>
      <c r="B8419" s="1" t="str">
        <f>HYPERLINK("http://mouser.jp","mouser.jp")</f>
        <v>mouser.jp</v>
      </c>
      <c r="C8419" t="s">
        <v>461</v>
      </c>
      <c r="D8419" t="s">
        <v>837</v>
      </c>
      <c r="E8419">
        <v>267795</v>
      </c>
      <c r="F8419">
        <v>1.9440759874324801E-7</v>
      </c>
      <c r="G8419">
        <v>198322</v>
      </c>
      <c r="H8419">
        <v>14116326</v>
      </c>
      <c r="I8419">
        <v>2662009</v>
      </c>
      <c r="J8419">
        <v>4</v>
      </c>
    </row>
    <row r="8420" spans="1:10" x14ac:dyDescent="0.25">
      <c r="A8420" t="s">
        <v>68</v>
      </c>
      <c r="B8420" s="1" t="str">
        <f>HYPERLINK("http://taegutec.co.kr","taegutec.co.kr")</f>
        <v>taegutec.co.kr</v>
      </c>
      <c r="C8420" t="s">
        <v>463</v>
      </c>
      <c r="D8420" t="s">
        <v>839</v>
      </c>
      <c r="F8420">
        <v>9.4309523490577808E-9</v>
      </c>
      <c r="G8420">
        <v>7406174</v>
      </c>
      <c r="H8420">
        <v>12273521</v>
      </c>
      <c r="I8420">
        <v>21448368</v>
      </c>
      <c r="J8420">
        <v>3</v>
      </c>
    </row>
    <row r="8421" spans="1:10" x14ac:dyDescent="0.25">
      <c r="A8421" t="s">
        <v>68</v>
      </c>
      <c r="B8421" s="1" t="str">
        <f>HYPERLINK("http://duracell.kr","duracell.kr")</f>
        <v>duracell.kr</v>
      </c>
      <c r="C8421" t="s">
        <v>463</v>
      </c>
      <c r="D8421" t="s">
        <v>839</v>
      </c>
      <c r="F8421">
        <v>8.1066879342966296E-9</v>
      </c>
      <c r="G8421">
        <v>9730155</v>
      </c>
      <c r="H8421">
        <v>10882326</v>
      </c>
      <c r="I8421">
        <v>36298839</v>
      </c>
      <c r="J8421">
        <v>6</v>
      </c>
    </row>
    <row r="8422" spans="1:10" x14ac:dyDescent="0.25">
      <c r="A8422" t="s">
        <v>68</v>
      </c>
      <c r="B8422" s="1" t="str">
        <f>HYPERLINK("http://ecowater.md","ecowater.md")</f>
        <v>ecowater.md</v>
      </c>
      <c r="C8422" t="s">
        <v>571</v>
      </c>
      <c r="D8422" t="s">
        <v>918</v>
      </c>
      <c r="F8422">
        <v>8.3507267929904901E-9</v>
      </c>
      <c r="G8422">
        <v>9144833</v>
      </c>
      <c r="H8422">
        <v>12667077</v>
      </c>
      <c r="I8422">
        <v>15645569</v>
      </c>
      <c r="J8422">
        <v>5</v>
      </c>
    </row>
    <row r="8423" spans="1:10" x14ac:dyDescent="0.25">
      <c r="A8423" t="s">
        <v>68</v>
      </c>
      <c r="B8423" s="1" t="str">
        <f>HYPERLINK("http://brooksrunning.com.mx","brooksrunning.com.mx")</f>
        <v>brooksrunning.com.mx</v>
      </c>
      <c r="C8423" t="s">
        <v>471</v>
      </c>
      <c r="D8423" t="s">
        <v>847</v>
      </c>
      <c r="F8423">
        <v>7.9960406618384202E-9</v>
      </c>
      <c r="G8423">
        <v>9927908</v>
      </c>
      <c r="H8423">
        <v>12200754</v>
      </c>
      <c r="I8423">
        <v>23301869</v>
      </c>
      <c r="J8423">
        <v>4</v>
      </c>
    </row>
    <row r="8424" spans="1:10" x14ac:dyDescent="0.25">
      <c r="A8424" t="s">
        <v>68</v>
      </c>
      <c r="B8424" s="1" t="str">
        <f>HYPERLINK("http://dairyqueen.com.mx","dairyqueen.com.mx")</f>
        <v>dairyqueen.com.mx</v>
      </c>
      <c r="C8424" t="s">
        <v>471</v>
      </c>
      <c r="D8424" t="s">
        <v>847</v>
      </c>
      <c r="F8424">
        <v>1.1761652837072801E-8</v>
      </c>
      <c r="G8424">
        <v>5326346</v>
      </c>
      <c r="H8424">
        <v>13320417</v>
      </c>
      <c r="I8424">
        <v>10747489</v>
      </c>
      <c r="J8424">
        <v>4</v>
      </c>
    </row>
    <row r="8425" spans="1:10" x14ac:dyDescent="0.25">
      <c r="A8425" t="s">
        <v>68</v>
      </c>
      <c r="B8425" s="1" t="str">
        <f>HYPERLINK("http://iscar.com.mx","iscar.com.mx")</f>
        <v>iscar.com.mx</v>
      </c>
      <c r="C8425" t="s">
        <v>471</v>
      </c>
      <c r="D8425" t="s">
        <v>847</v>
      </c>
      <c r="F8425">
        <v>8.7597755174466006E-9</v>
      </c>
      <c r="G8425">
        <v>8376190</v>
      </c>
      <c r="H8425">
        <v>11992186</v>
      </c>
      <c r="I8425">
        <v>28341242</v>
      </c>
      <c r="J8425">
        <v>4</v>
      </c>
    </row>
    <row r="8426" spans="1:10" x14ac:dyDescent="0.25">
      <c r="A8426" t="s">
        <v>68</v>
      </c>
      <c r="B8426" s="1" t="str">
        <f>HYPERLINK("http://mouser.mx","mouser.mx")</f>
        <v>mouser.mx</v>
      </c>
      <c r="C8426" t="s">
        <v>471</v>
      </c>
      <c r="D8426" t="s">
        <v>847</v>
      </c>
      <c r="E8426">
        <v>399215</v>
      </c>
      <c r="F8426">
        <v>1.2152212309907299E-7</v>
      </c>
      <c r="G8426">
        <v>324994</v>
      </c>
      <c r="H8426">
        <v>14296713</v>
      </c>
      <c r="I8426">
        <v>1359647</v>
      </c>
      <c r="J8426">
        <v>4</v>
      </c>
    </row>
    <row r="8427" spans="1:10" x14ac:dyDescent="0.25">
      <c r="A8427" t="s">
        <v>68</v>
      </c>
      <c r="B8427" s="1" t="str">
        <f>HYPERLINK("http://brooksrunning.com.my","brooksrunning.com.my")</f>
        <v>brooksrunning.com.my</v>
      </c>
      <c r="C8427" t="s">
        <v>472</v>
      </c>
      <c r="D8427" t="s">
        <v>848</v>
      </c>
      <c r="F8427">
        <v>1.2552932622851601E-8</v>
      </c>
      <c r="G8427">
        <v>4857754</v>
      </c>
      <c r="H8427">
        <v>12407765</v>
      </c>
      <c r="I8427">
        <v>18644993</v>
      </c>
      <c r="J8427">
        <v>4</v>
      </c>
    </row>
    <row r="8428" spans="1:10" x14ac:dyDescent="0.25">
      <c r="A8428" t="s">
        <v>68</v>
      </c>
      <c r="B8428" s="1" t="str">
        <f>HYPERLINK("http://bhhsmt.net","bhhsmt.net")</f>
        <v>bhhsmt.net</v>
      </c>
      <c r="C8428" t="s">
        <v>474</v>
      </c>
      <c r="F8428">
        <v>5.8149837875167197E-9</v>
      </c>
      <c r="G8428">
        <v>17975719</v>
      </c>
      <c r="H8428">
        <v>10162567</v>
      </c>
      <c r="I8428">
        <v>59374706</v>
      </c>
      <c r="J8428">
        <v>6</v>
      </c>
    </row>
    <row r="8429" spans="1:10" x14ac:dyDescent="0.25">
      <c r="A8429" t="s">
        <v>68</v>
      </c>
      <c r="B8429" s="1" t="str">
        <f>HYPERLINK("http://charterbrokerage.net","charterbrokerage.net")</f>
        <v>charterbrokerage.net</v>
      </c>
      <c r="C8429" t="s">
        <v>474</v>
      </c>
      <c r="F8429">
        <v>3.6077716137443102E-8</v>
      </c>
      <c r="G8429">
        <v>1444808</v>
      </c>
      <c r="H8429">
        <v>12925343</v>
      </c>
      <c r="I8429">
        <v>13393132</v>
      </c>
      <c r="J8429">
        <v>2</v>
      </c>
    </row>
    <row r="8430" spans="1:10" x14ac:dyDescent="0.25">
      <c r="A8430" t="s">
        <v>68</v>
      </c>
      <c r="B8430" s="1" t="str">
        <f>HYPERLINK("http://fourteenfoods.net","fourteenfoods.net")</f>
        <v>fourteenfoods.net</v>
      </c>
      <c r="C8430" t="s">
        <v>474</v>
      </c>
      <c r="F8430">
        <v>1.06657987475087E-8</v>
      </c>
      <c r="G8430">
        <v>6128507</v>
      </c>
      <c r="H8430">
        <v>12862919</v>
      </c>
      <c r="I8430">
        <v>14179703</v>
      </c>
      <c r="J8430">
        <v>4</v>
      </c>
    </row>
    <row r="8431" spans="1:10" x14ac:dyDescent="0.25">
      <c r="A8431" t="s">
        <v>68</v>
      </c>
      <c r="B8431" s="1" t="str">
        <f>HYPERLINK("http://newcastlehomedecor.net","newcastlehomedecor.net")</f>
        <v>newcastlehomedecor.net</v>
      </c>
      <c r="C8431" t="s">
        <v>474</v>
      </c>
      <c r="F8431">
        <v>4.6342946156415403E-9</v>
      </c>
      <c r="G8431">
        <v>45139702</v>
      </c>
      <c r="H8431">
        <v>10866038</v>
      </c>
      <c r="I8431">
        <v>36572737</v>
      </c>
      <c r="J8431">
        <v>4</v>
      </c>
    </row>
    <row r="8432" spans="1:10" x14ac:dyDescent="0.25">
      <c r="A8432" t="s">
        <v>68</v>
      </c>
      <c r="B8432" s="1" t="str">
        <f>HYPERLINK("http://pacificpower.net","pacificpower.net")</f>
        <v>pacificpower.net</v>
      </c>
      <c r="C8432" t="s">
        <v>474</v>
      </c>
      <c r="E8432">
        <v>156226</v>
      </c>
      <c r="F8432">
        <v>2.82904269371198E-7</v>
      </c>
      <c r="G8432">
        <v>131409</v>
      </c>
      <c r="H8432">
        <v>14431281</v>
      </c>
      <c r="I8432">
        <v>1073312</v>
      </c>
      <c r="J8432">
        <v>2</v>
      </c>
    </row>
    <row r="8433" spans="1:10" x14ac:dyDescent="0.25">
      <c r="A8433" t="s">
        <v>68</v>
      </c>
      <c r="B8433" s="1" t="str">
        <f>HYPERLINK("http://rockymountainpower.net","rockymountainpower.net")</f>
        <v>rockymountainpower.net</v>
      </c>
      <c r="C8433" t="s">
        <v>474</v>
      </c>
      <c r="E8433">
        <v>131147</v>
      </c>
      <c r="F8433">
        <v>3.05843889462334E-7</v>
      </c>
      <c r="G8433">
        <v>121555</v>
      </c>
      <c r="H8433">
        <v>15077566</v>
      </c>
      <c r="I8433">
        <v>409965</v>
      </c>
      <c r="J8433">
        <v>2</v>
      </c>
    </row>
    <row r="8434" spans="1:10" x14ac:dyDescent="0.25">
      <c r="A8434" t="s">
        <v>68</v>
      </c>
      <c r="B8434" s="1" t="str">
        <f>HYPERLINK("http://duracell.nl","duracell.nl")</f>
        <v>duracell.nl</v>
      </c>
      <c r="C8434" t="s">
        <v>477</v>
      </c>
      <c r="D8434" t="s">
        <v>852</v>
      </c>
      <c r="F8434">
        <v>1.1904565752919901E-8</v>
      </c>
      <c r="G8434">
        <v>5234684</v>
      </c>
      <c r="H8434">
        <v>12443005</v>
      </c>
      <c r="I8434">
        <v>18111576</v>
      </c>
      <c r="J8434">
        <v>6</v>
      </c>
    </row>
    <row r="8435" spans="1:10" x14ac:dyDescent="0.25">
      <c r="A8435" t="s">
        <v>68</v>
      </c>
      <c r="B8435" s="1" t="str">
        <f>HYPERLINK("http://duracelldirect.nl","duracelldirect.nl")</f>
        <v>duracelldirect.nl</v>
      </c>
      <c r="C8435" t="s">
        <v>477</v>
      </c>
      <c r="D8435" t="s">
        <v>852</v>
      </c>
      <c r="F8435">
        <v>9.7256047443422793E-9</v>
      </c>
      <c r="G8435">
        <v>7051619</v>
      </c>
      <c r="H8435">
        <v>10740642</v>
      </c>
      <c r="I8435">
        <v>40405382</v>
      </c>
      <c r="J8435">
        <v>3</v>
      </c>
    </row>
    <row r="8436" spans="1:10" x14ac:dyDescent="0.25">
      <c r="A8436" t="s">
        <v>68</v>
      </c>
      <c r="B8436" s="1" t="str">
        <f>HYPERLINK("http://iscar.nl","iscar.nl")</f>
        <v>iscar.nl</v>
      </c>
      <c r="C8436" t="s">
        <v>477</v>
      </c>
      <c r="D8436" t="s">
        <v>852</v>
      </c>
      <c r="F8436">
        <v>1.1851740685379699E-8</v>
      </c>
      <c r="G8436">
        <v>5269566</v>
      </c>
      <c r="H8436">
        <v>12102280</v>
      </c>
      <c r="I8436">
        <v>25911079</v>
      </c>
      <c r="J8436">
        <v>4</v>
      </c>
    </row>
    <row r="8437" spans="1:10" x14ac:dyDescent="0.25">
      <c r="A8437" t="s">
        <v>68</v>
      </c>
      <c r="B8437" s="1" t="str">
        <f>HYPERLINK("http://duracelldirect.no","duracelldirect.no")</f>
        <v>duracelldirect.no</v>
      </c>
      <c r="C8437" t="s">
        <v>478</v>
      </c>
      <c r="D8437" t="s">
        <v>853</v>
      </c>
      <c r="F8437">
        <v>1.0272015787394801E-8</v>
      </c>
      <c r="G8437">
        <v>6477441</v>
      </c>
      <c r="H8437">
        <v>10729976</v>
      </c>
      <c r="I8437">
        <v>40939895</v>
      </c>
      <c r="J8437">
        <v>4</v>
      </c>
    </row>
    <row r="8438" spans="1:10" x14ac:dyDescent="0.25">
      <c r="A8438" t="s">
        <v>68</v>
      </c>
      <c r="B8438" s="1" t="str">
        <f>HYPERLINK("http://iscar.co.nz","iscar.co.nz")</f>
        <v>iscar.co.nz</v>
      </c>
      <c r="C8438" t="s">
        <v>479</v>
      </c>
      <c r="D8438" t="s">
        <v>854</v>
      </c>
      <c r="F8438">
        <v>8.4806825467365E-9</v>
      </c>
      <c r="G8438">
        <v>8882153</v>
      </c>
      <c r="H8438">
        <v>12275669</v>
      </c>
      <c r="I8438">
        <v>21400183</v>
      </c>
      <c r="J8438">
        <v>4</v>
      </c>
    </row>
    <row r="8439" spans="1:10" x14ac:dyDescent="0.25">
      <c r="A8439" t="s">
        <v>68</v>
      </c>
      <c r="B8439" s="1" t="str">
        <f>HYPERLINK("http://atlaspaint.org","atlaspaint.org")</f>
        <v>atlaspaint.org</v>
      </c>
      <c r="C8439" t="s">
        <v>481</v>
      </c>
      <c r="J8439">
        <v>4</v>
      </c>
    </row>
    <row r="8440" spans="1:10" x14ac:dyDescent="0.25">
      <c r="A8440" t="s">
        <v>68</v>
      </c>
      <c r="B8440" s="1" t="str">
        <f>HYPERLINK("http://brooksrunning.com.ph","brooksrunning.com.ph")</f>
        <v>brooksrunning.com.ph</v>
      </c>
      <c r="C8440" t="s">
        <v>484</v>
      </c>
      <c r="D8440" t="s">
        <v>858</v>
      </c>
      <c r="F8440">
        <v>7.0986167557394496E-9</v>
      </c>
      <c r="G8440">
        <v>12018884</v>
      </c>
      <c r="H8440">
        <v>12376746</v>
      </c>
      <c r="I8440">
        <v>19279246</v>
      </c>
      <c r="J8440">
        <v>4</v>
      </c>
    </row>
    <row r="8441" spans="1:10" x14ac:dyDescent="0.25">
      <c r="A8441" t="s">
        <v>68</v>
      </c>
      <c r="B8441" s="1" t="str">
        <f>HYPERLINK("http://dairyqueen.com.ph","dairyqueen.com.ph")</f>
        <v>dairyqueen.com.ph</v>
      </c>
      <c r="C8441" t="s">
        <v>484</v>
      </c>
      <c r="D8441" t="s">
        <v>858</v>
      </c>
      <c r="F8441">
        <v>2.04060259523104E-8</v>
      </c>
      <c r="G8441">
        <v>2598858</v>
      </c>
      <c r="H8441">
        <v>13876962</v>
      </c>
      <c r="I8441">
        <v>5988427</v>
      </c>
      <c r="J8441">
        <v>4</v>
      </c>
    </row>
    <row r="8442" spans="1:10" x14ac:dyDescent="0.25">
      <c r="A8442" t="s">
        <v>68</v>
      </c>
      <c r="B8442" s="1" t="str">
        <f>HYPERLINK("http://mouser.ph","mouser.ph")</f>
        <v>mouser.ph</v>
      </c>
      <c r="C8442" t="s">
        <v>484</v>
      </c>
      <c r="D8442" t="s">
        <v>858</v>
      </c>
      <c r="F8442">
        <v>6.6587015556448899E-8</v>
      </c>
      <c r="G8442">
        <v>643239</v>
      </c>
      <c r="H8442">
        <v>12729703</v>
      </c>
      <c r="I8442">
        <v>15199425</v>
      </c>
      <c r="J8442">
        <v>4</v>
      </c>
    </row>
    <row r="8443" spans="1:10" x14ac:dyDescent="0.25">
      <c r="A8443" t="s">
        <v>68</v>
      </c>
      <c r="B8443" s="1" t="str">
        <f>HYPERLINK("http://benjaminmoore.pl","benjaminmoore.pl")</f>
        <v>benjaminmoore.pl</v>
      </c>
      <c r="C8443" t="s">
        <v>486</v>
      </c>
      <c r="D8443" t="s">
        <v>860</v>
      </c>
      <c r="F8443">
        <v>4.71566638605299E-8</v>
      </c>
      <c r="G8443">
        <v>989127</v>
      </c>
      <c r="H8443">
        <v>13888392</v>
      </c>
      <c r="I8443">
        <v>5965496</v>
      </c>
      <c r="J8443">
        <v>4</v>
      </c>
    </row>
    <row r="8444" spans="1:10" x14ac:dyDescent="0.25">
      <c r="A8444" t="s">
        <v>68</v>
      </c>
      <c r="B8444" s="1" t="str">
        <f>HYPERLINK("http://duracell.pl","duracell.pl")</f>
        <v>duracell.pl</v>
      </c>
      <c r="C8444" t="s">
        <v>486</v>
      </c>
      <c r="D8444" t="s">
        <v>860</v>
      </c>
      <c r="F8444">
        <v>1.00055555003295E-8</v>
      </c>
      <c r="G8444">
        <v>6750189</v>
      </c>
      <c r="H8444">
        <v>12427723</v>
      </c>
      <c r="I8444">
        <v>18336958</v>
      </c>
      <c r="J8444">
        <v>6</v>
      </c>
    </row>
    <row r="8445" spans="1:10" x14ac:dyDescent="0.25">
      <c r="A8445" t="s">
        <v>68</v>
      </c>
      <c r="B8445" s="1" t="str">
        <f>HYPERLINK("http://duracelldirect.pl","duracelldirect.pl")</f>
        <v>duracelldirect.pl</v>
      </c>
      <c r="C8445" t="s">
        <v>486</v>
      </c>
      <c r="D8445" t="s">
        <v>860</v>
      </c>
      <c r="F8445">
        <v>9.9145195034161207E-9</v>
      </c>
      <c r="G8445">
        <v>6843701</v>
      </c>
      <c r="H8445">
        <v>11168032</v>
      </c>
      <c r="I8445">
        <v>31556368</v>
      </c>
      <c r="J8445">
        <v>4</v>
      </c>
    </row>
    <row r="8446" spans="1:10" x14ac:dyDescent="0.25">
      <c r="A8446" t="s">
        <v>68</v>
      </c>
      <c r="B8446" s="1" t="str">
        <f>HYPERLINK("http://ecowater.pl","ecowater.pl")</f>
        <v>ecowater.pl</v>
      </c>
      <c r="C8446" t="s">
        <v>486</v>
      </c>
      <c r="D8446" t="s">
        <v>860</v>
      </c>
      <c r="F8446">
        <v>1.8808439652799001E-8</v>
      </c>
      <c r="G8446">
        <v>2870009</v>
      </c>
      <c r="H8446">
        <v>12791190</v>
      </c>
      <c r="I8446">
        <v>14682867</v>
      </c>
      <c r="J8446">
        <v>4</v>
      </c>
    </row>
    <row r="8447" spans="1:10" x14ac:dyDescent="0.25">
      <c r="A8447" t="s">
        <v>68</v>
      </c>
      <c r="B8447" s="1" t="str">
        <f>HYPERLINK("http://iscar.pl","iscar.pl")</f>
        <v>iscar.pl</v>
      </c>
      <c r="C8447" t="s">
        <v>486</v>
      </c>
      <c r="D8447" t="s">
        <v>860</v>
      </c>
      <c r="F8447">
        <v>1.0220917573344601E-8</v>
      </c>
      <c r="G8447">
        <v>6526571</v>
      </c>
      <c r="H8447">
        <v>14071919</v>
      </c>
      <c r="I8447">
        <v>3226529</v>
      </c>
      <c r="J8447">
        <v>4</v>
      </c>
    </row>
    <row r="8448" spans="1:10" x14ac:dyDescent="0.25">
      <c r="A8448" t="s">
        <v>68</v>
      </c>
      <c r="B8448" s="1" t="str">
        <f>HYPERLINK("http://mouser.pl","mouser.pl")</f>
        <v>mouser.pl</v>
      </c>
      <c r="C8448" t="s">
        <v>486</v>
      </c>
      <c r="D8448" t="s">
        <v>860</v>
      </c>
      <c r="E8448">
        <v>649054</v>
      </c>
      <c r="F8448">
        <v>6.5605305150017005E-8</v>
      </c>
      <c r="G8448">
        <v>655120</v>
      </c>
      <c r="H8448">
        <v>12845687</v>
      </c>
      <c r="I8448">
        <v>14316948</v>
      </c>
      <c r="J8448">
        <v>4</v>
      </c>
    </row>
    <row r="8449" spans="1:10" x14ac:dyDescent="0.25">
      <c r="A8449" t="s">
        <v>68</v>
      </c>
      <c r="B8449" s="1" t="str">
        <f>HYPERLINK("http://tungaloy.pl","tungaloy.pl")</f>
        <v>tungaloy.pl</v>
      </c>
      <c r="C8449" t="s">
        <v>486</v>
      </c>
      <c r="D8449" t="s">
        <v>860</v>
      </c>
      <c r="F8449">
        <v>4.8722830003095001E-9</v>
      </c>
      <c r="G8449">
        <v>33329340</v>
      </c>
      <c r="H8449">
        <v>10174360</v>
      </c>
      <c r="I8449">
        <v>59306763</v>
      </c>
      <c r="J8449">
        <v>6</v>
      </c>
    </row>
    <row r="8450" spans="1:10" x14ac:dyDescent="0.25">
      <c r="A8450" t="s">
        <v>68</v>
      </c>
      <c r="B8450" s="1" t="str">
        <f>HYPERLINK("http://duracelldirect.com.pt","duracelldirect.com.pt")</f>
        <v>duracelldirect.com.pt</v>
      </c>
      <c r="C8450" t="s">
        <v>488</v>
      </c>
      <c r="D8450" t="s">
        <v>862</v>
      </c>
      <c r="F8450">
        <v>9.6852228689349098E-9</v>
      </c>
      <c r="G8450">
        <v>7097682</v>
      </c>
      <c r="H8450">
        <v>10442661</v>
      </c>
      <c r="I8450">
        <v>52295544</v>
      </c>
      <c r="J8450">
        <v>4</v>
      </c>
    </row>
    <row r="8451" spans="1:10" x14ac:dyDescent="0.25">
      <c r="A8451" t="s">
        <v>68</v>
      </c>
      <c r="B8451" s="1" t="str">
        <f>HYPERLINK("http://duracell.pt","duracell.pt")</f>
        <v>duracell.pt</v>
      </c>
      <c r="C8451" t="s">
        <v>488</v>
      </c>
      <c r="D8451" t="s">
        <v>862</v>
      </c>
      <c r="F8451">
        <v>8.4913015979559903E-9</v>
      </c>
      <c r="G8451">
        <v>8861996</v>
      </c>
      <c r="H8451">
        <v>13935310</v>
      </c>
      <c r="I8451">
        <v>4539137</v>
      </c>
      <c r="J8451">
        <v>6</v>
      </c>
    </row>
    <row r="8452" spans="1:10" x14ac:dyDescent="0.25">
      <c r="A8452" t="s">
        <v>68</v>
      </c>
      <c r="B8452" s="1" t="str">
        <f>HYPERLINK("http://duracell.ro","duracell.ro")</f>
        <v>duracell.ro</v>
      </c>
      <c r="C8452" t="s">
        <v>491</v>
      </c>
      <c r="D8452" t="s">
        <v>865</v>
      </c>
      <c r="F8452">
        <v>8.9139799192658701E-9</v>
      </c>
      <c r="G8452">
        <v>8122594</v>
      </c>
      <c r="H8452">
        <v>12090662</v>
      </c>
      <c r="I8452">
        <v>26231749</v>
      </c>
      <c r="J8452">
        <v>6</v>
      </c>
    </row>
    <row r="8453" spans="1:10" x14ac:dyDescent="0.25">
      <c r="A8453" t="s">
        <v>68</v>
      </c>
      <c r="B8453" s="1" t="str">
        <f>HYPERLINK("http://ecowater.ro","ecowater.ro")</f>
        <v>ecowater.ro</v>
      </c>
      <c r="C8453" t="s">
        <v>491</v>
      </c>
      <c r="D8453" t="s">
        <v>865</v>
      </c>
      <c r="F8453">
        <v>9.1814092660496996E-9</v>
      </c>
      <c r="G8453">
        <v>7734787</v>
      </c>
      <c r="H8453">
        <v>12686635</v>
      </c>
      <c r="I8453">
        <v>15444854</v>
      </c>
      <c r="J8453">
        <v>4</v>
      </c>
    </row>
    <row r="8454" spans="1:10" x14ac:dyDescent="0.25">
      <c r="A8454" t="s">
        <v>68</v>
      </c>
      <c r="B8454" s="1" t="str">
        <f>HYPERLINK("http://iscar.ro","iscar.ro")</f>
        <v>iscar.ro</v>
      </c>
      <c r="C8454" t="s">
        <v>491</v>
      </c>
      <c r="D8454" t="s">
        <v>865</v>
      </c>
      <c r="F8454">
        <v>8.4572791834343506E-9</v>
      </c>
      <c r="G8454">
        <v>8928360</v>
      </c>
      <c r="H8454">
        <v>12111842</v>
      </c>
      <c r="I8454">
        <v>25676696</v>
      </c>
      <c r="J8454">
        <v>4</v>
      </c>
    </row>
    <row r="8455" spans="1:10" x14ac:dyDescent="0.25">
      <c r="A8455" t="s">
        <v>68</v>
      </c>
      <c r="B8455" s="1" t="str">
        <f>HYPERLINK("http://ecowater.rs","ecowater.rs")</f>
        <v>ecowater.rs</v>
      </c>
      <c r="C8455" t="s">
        <v>492</v>
      </c>
      <c r="D8455" t="s">
        <v>866</v>
      </c>
      <c r="F8455">
        <v>8.3696524485012901E-9</v>
      </c>
      <c r="G8455">
        <v>9105391</v>
      </c>
      <c r="H8455">
        <v>12667077</v>
      </c>
      <c r="I8455">
        <v>15645570</v>
      </c>
      <c r="J8455">
        <v>5</v>
      </c>
    </row>
    <row r="8456" spans="1:10" x14ac:dyDescent="0.25">
      <c r="A8456" t="s">
        <v>68</v>
      </c>
      <c r="B8456" s="1" t="str">
        <f>HYPERLINK("http://iscar.rs","iscar.rs")</f>
        <v>iscar.rs</v>
      </c>
      <c r="C8456" t="s">
        <v>492</v>
      </c>
      <c r="D8456" t="s">
        <v>866</v>
      </c>
      <c r="F8456">
        <v>4.5238608581459804E-9</v>
      </c>
      <c r="G8456">
        <v>55748604</v>
      </c>
      <c r="H8456">
        <v>9547958</v>
      </c>
      <c r="I8456">
        <v>65015018</v>
      </c>
      <c r="J8456">
        <v>4</v>
      </c>
    </row>
    <row r="8457" spans="1:10" x14ac:dyDescent="0.25">
      <c r="A8457" t="s">
        <v>68</v>
      </c>
      <c r="B8457" s="1" t="str">
        <f>HYPERLINK("http://duracell.ru","duracell.ru")</f>
        <v>duracell.ru</v>
      </c>
      <c r="C8457" t="s">
        <v>493</v>
      </c>
      <c r="D8457" t="s">
        <v>867</v>
      </c>
      <c r="F8457">
        <v>2.42577361687491E-8</v>
      </c>
      <c r="G8457">
        <v>2137803</v>
      </c>
      <c r="H8457">
        <v>13250508</v>
      </c>
      <c r="I8457">
        <v>11083660</v>
      </c>
      <c r="J8457">
        <v>6</v>
      </c>
    </row>
    <row r="8458" spans="1:10" x14ac:dyDescent="0.25">
      <c r="A8458" t="s">
        <v>68</v>
      </c>
      <c r="B8458" s="1" t="str">
        <f>HYPERLINK("http://duracelldirect.ru","duracelldirect.ru")</f>
        <v>duracelldirect.ru</v>
      </c>
      <c r="C8458" t="s">
        <v>493</v>
      </c>
      <c r="D8458" t="s">
        <v>867</v>
      </c>
      <c r="F8458">
        <v>4.44380395335525E-9</v>
      </c>
      <c r="G8458">
        <v>86166961</v>
      </c>
      <c r="H8458">
        <v>0</v>
      </c>
      <c r="I8458">
        <v>87575788</v>
      </c>
      <c r="J8458">
        <v>6</v>
      </c>
    </row>
    <row r="8459" spans="1:10" x14ac:dyDescent="0.25">
      <c r="A8459" t="s">
        <v>68</v>
      </c>
      <c r="B8459" s="1" t="str">
        <f>HYPERLINK("http://ingersoll-imc.ru","ingersoll-imc.ru")</f>
        <v>ingersoll-imc.ru</v>
      </c>
      <c r="C8459" t="s">
        <v>493</v>
      </c>
      <c r="D8459" t="s">
        <v>867</v>
      </c>
      <c r="F8459">
        <v>5.8862072222184704E-9</v>
      </c>
      <c r="G8459">
        <v>17453913</v>
      </c>
      <c r="H8459">
        <v>10511605</v>
      </c>
      <c r="I8459">
        <v>49481062</v>
      </c>
      <c r="J8459">
        <v>4</v>
      </c>
    </row>
    <row r="8460" spans="1:10" x14ac:dyDescent="0.25">
      <c r="A8460" t="s">
        <v>68</v>
      </c>
      <c r="B8460" s="1" t="str">
        <f>HYPERLINK("http://iscar.ru","iscar.ru")</f>
        <v>iscar.ru</v>
      </c>
      <c r="C8460" t="s">
        <v>493</v>
      </c>
      <c r="D8460" t="s">
        <v>867</v>
      </c>
      <c r="F8460">
        <v>1.1710139478862601E-8</v>
      </c>
      <c r="G8460">
        <v>5359995</v>
      </c>
      <c r="H8460">
        <v>12190954</v>
      </c>
      <c r="I8460">
        <v>23564556</v>
      </c>
      <c r="J8460">
        <v>4</v>
      </c>
    </row>
    <row r="8461" spans="1:10" x14ac:dyDescent="0.25">
      <c r="A8461" t="s">
        <v>68</v>
      </c>
      <c r="B8461" s="1" t="str">
        <f>HYPERLINK("http://duracelldirect.se","duracelldirect.se")</f>
        <v>duracelldirect.se</v>
      </c>
      <c r="C8461" t="s">
        <v>495</v>
      </c>
      <c r="D8461" t="s">
        <v>869</v>
      </c>
      <c r="F8461">
        <v>9.7993180812815507E-9</v>
      </c>
      <c r="G8461">
        <v>6969580</v>
      </c>
      <c r="H8461">
        <v>10802227</v>
      </c>
      <c r="I8461">
        <v>38094658</v>
      </c>
      <c r="J8461">
        <v>4</v>
      </c>
    </row>
    <row r="8462" spans="1:10" x14ac:dyDescent="0.25">
      <c r="A8462" t="s">
        <v>68</v>
      </c>
      <c r="B8462" s="1" t="str">
        <f>HYPERLINK("http://iscar.se","iscar.se")</f>
        <v>iscar.se</v>
      </c>
      <c r="C8462" t="s">
        <v>495</v>
      </c>
      <c r="D8462" t="s">
        <v>869</v>
      </c>
      <c r="F8462">
        <v>1.2194773412337E-8</v>
      </c>
      <c r="G8462">
        <v>5053684</v>
      </c>
      <c r="H8462">
        <v>12096678</v>
      </c>
      <c r="I8462">
        <v>26059153</v>
      </c>
      <c r="J8462">
        <v>4</v>
      </c>
    </row>
    <row r="8463" spans="1:10" x14ac:dyDescent="0.25">
      <c r="A8463" t="s">
        <v>68</v>
      </c>
      <c r="B8463" s="1" t="str">
        <f>HYPERLINK("http://mouser.se","mouser.se")</f>
        <v>mouser.se</v>
      </c>
      <c r="C8463" t="s">
        <v>495</v>
      </c>
      <c r="D8463" t="s">
        <v>869</v>
      </c>
      <c r="F8463">
        <v>1.07687623681287E-7</v>
      </c>
      <c r="G8463">
        <v>371738</v>
      </c>
      <c r="H8463">
        <v>13903125</v>
      </c>
      <c r="I8463">
        <v>5948172</v>
      </c>
      <c r="J8463">
        <v>4</v>
      </c>
    </row>
    <row r="8464" spans="1:10" x14ac:dyDescent="0.25">
      <c r="A8464" t="s">
        <v>68</v>
      </c>
      <c r="B8464" s="1" t="str">
        <f>HYPERLINK("http://tungaloy.se","tungaloy.se")</f>
        <v>tungaloy.se</v>
      </c>
      <c r="C8464" t="s">
        <v>495</v>
      </c>
      <c r="D8464" t="s">
        <v>869</v>
      </c>
      <c r="F8464">
        <v>6.5131941970862398E-9</v>
      </c>
      <c r="G8464">
        <v>14023647</v>
      </c>
      <c r="H8464">
        <v>10174785</v>
      </c>
      <c r="I8464">
        <v>59304163</v>
      </c>
      <c r="J8464">
        <v>6</v>
      </c>
    </row>
    <row r="8465" spans="1:10" x14ac:dyDescent="0.25">
      <c r="A8465" t="s">
        <v>68</v>
      </c>
      <c r="B8465" s="1" t="str">
        <f>HYPERLINK("http://mouser.sg","mouser.sg")</f>
        <v>mouser.sg</v>
      </c>
      <c r="C8465" t="s">
        <v>496</v>
      </c>
      <c r="D8465" t="s">
        <v>870</v>
      </c>
      <c r="E8465">
        <v>901313</v>
      </c>
      <c r="F8465">
        <v>9.1692582169738499E-8</v>
      </c>
      <c r="G8465">
        <v>444336</v>
      </c>
      <c r="H8465">
        <v>13591347</v>
      </c>
      <c r="I8465">
        <v>9666114</v>
      </c>
      <c r="J8465">
        <v>4</v>
      </c>
    </row>
    <row r="8466" spans="1:10" x14ac:dyDescent="0.25">
      <c r="A8466" t="s">
        <v>68</v>
      </c>
      <c r="B8466" s="1" t="str">
        <f>HYPERLINK("http://iscar.si","iscar.si")</f>
        <v>iscar.si</v>
      </c>
      <c r="C8466" t="s">
        <v>497</v>
      </c>
      <c r="D8466" t="s">
        <v>871</v>
      </c>
      <c r="F8466">
        <v>8.3620522575967903E-9</v>
      </c>
      <c r="G8466">
        <v>9121324</v>
      </c>
      <c r="H8466">
        <v>11994070</v>
      </c>
      <c r="I8466">
        <v>28324362</v>
      </c>
      <c r="J8466">
        <v>4</v>
      </c>
    </row>
    <row r="8467" spans="1:10" x14ac:dyDescent="0.25">
      <c r="A8467" t="s">
        <v>68</v>
      </c>
      <c r="B8467" s="1" t="str">
        <f>HYPERLINK("http://ecowater.sk","ecowater.sk")</f>
        <v>ecowater.sk</v>
      </c>
      <c r="C8467" t="s">
        <v>498</v>
      </c>
      <c r="D8467" t="s">
        <v>872</v>
      </c>
      <c r="F8467">
        <v>9.4084494075161699E-9</v>
      </c>
      <c r="G8467">
        <v>7433912</v>
      </c>
      <c r="H8467">
        <v>12667079</v>
      </c>
      <c r="I8467">
        <v>15645545</v>
      </c>
      <c r="J8467">
        <v>5</v>
      </c>
    </row>
    <row r="8468" spans="1:10" x14ac:dyDescent="0.25">
      <c r="A8468" t="s">
        <v>68</v>
      </c>
      <c r="B8468" s="1" t="str">
        <f>HYPERLINK("http://iscar.sk","iscar.sk")</f>
        <v>iscar.sk</v>
      </c>
      <c r="C8468" t="s">
        <v>498</v>
      </c>
      <c r="D8468" t="s">
        <v>872</v>
      </c>
      <c r="F8468">
        <v>8.9229791302342205E-9</v>
      </c>
      <c r="G8468">
        <v>8108983</v>
      </c>
      <c r="H8468">
        <v>12191782</v>
      </c>
      <c r="I8468">
        <v>23540407</v>
      </c>
      <c r="J8468">
        <v>4</v>
      </c>
    </row>
    <row r="8469" spans="1:10" x14ac:dyDescent="0.25">
      <c r="A8469" t="s">
        <v>68</v>
      </c>
      <c r="B8469" s="1" t="str">
        <f>HYPERLINK("http://mouser.sk","mouser.sk")</f>
        <v>mouser.sk</v>
      </c>
      <c r="C8469" t="s">
        <v>498</v>
      </c>
      <c r="D8469" t="s">
        <v>872</v>
      </c>
      <c r="F8469">
        <v>7.0641038812885803E-8</v>
      </c>
      <c r="G8469">
        <v>599154</v>
      </c>
      <c r="H8469">
        <v>12799852</v>
      </c>
      <c r="I8469">
        <v>14639389</v>
      </c>
      <c r="J8469">
        <v>4</v>
      </c>
    </row>
    <row r="8470" spans="1:10" x14ac:dyDescent="0.25">
      <c r="A8470" t="s">
        <v>68</v>
      </c>
      <c r="B8470" s="1" t="str">
        <f>HYPERLINK("http://tungaloy.co.th","tungaloy.co.th")</f>
        <v>tungaloy.co.th</v>
      </c>
      <c r="C8470" t="s">
        <v>500</v>
      </c>
      <c r="D8470" t="s">
        <v>874</v>
      </c>
      <c r="F8470">
        <v>6.7771853326486496E-9</v>
      </c>
      <c r="G8470">
        <v>13036801</v>
      </c>
      <c r="H8470">
        <v>10748250</v>
      </c>
      <c r="I8470">
        <v>40137842</v>
      </c>
      <c r="J8470">
        <v>6</v>
      </c>
    </row>
    <row r="8471" spans="1:10" x14ac:dyDescent="0.25">
      <c r="A8471" t="s">
        <v>68</v>
      </c>
      <c r="B8471" s="1" t="str">
        <f>HYPERLINK("http://duracell.com.tr","duracell.com.tr")</f>
        <v>duracell.com.tr</v>
      </c>
      <c r="C8471" t="s">
        <v>502</v>
      </c>
      <c r="D8471" t="s">
        <v>876</v>
      </c>
      <c r="F8471">
        <v>1.15278220079132E-8</v>
      </c>
      <c r="G8471">
        <v>5484298</v>
      </c>
      <c r="H8471">
        <v>14072283</v>
      </c>
      <c r="I8471">
        <v>3122156</v>
      </c>
      <c r="J8471">
        <v>6</v>
      </c>
    </row>
    <row r="8472" spans="1:10" x14ac:dyDescent="0.25">
      <c r="A8472" t="s">
        <v>68</v>
      </c>
      <c r="B8472" s="1" t="str">
        <f>HYPERLINK("http://iscar.com.tr","iscar.com.tr")</f>
        <v>iscar.com.tr</v>
      </c>
      <c r="C8472" t="s">
        <v>502</v>
      </c>
      <c r="D8472" t="s">
        <v>876</v>
      </c>
      <c r="F8472">
        <v>8.2951453436552005E-9</v>
      </c>
      <c r="G8472">
        <v>9271241</v>
      </c>
      <c r="H8472">
        <v>11992337</v>
      </c>
      <c r="I8472">
        <v>28339962</v>
      </c>
      <c r="J8472">
        <v>4</v>
      </c>
    </row>
    <row r="8473" spans="1:10" x14ac:dyDescent="0.25">
      <c r="A8473" t="s">
        <v>68</v>
      </c>
      <c r="B8473" s="1" t="str">
        <f>HYPERLINK("http://mouser.com.tr","mouser.com.tr")</f>
        <v>mouser.com.tr</v>
      </c>
      <c r="C8473" t="s">
        <v>502</v>
      </c>
      <c r="D8473" t="s">
        <v>876</v>
      </c>
      <c r="E8473">
        <v>932783</v>
      </c>
      <c r="F8473">
        <v>7.8719128852553199E-8</v>
      </c>
      <c r="G8473">
        <v>530997</v>
      </c>
      <c r="H8473">
        <v>13038391</v>
      </c>
      <c r="I8473">
        <v>12630206</v>
      </c>
      <c r="J8473">
        <v>4</v>
      </c>
    </row>
    <row r="8474" spans="1:10" x14ac:dyDescent="0.25">
      <c r="A8474" t="s">
        <v>68</v>
      </c>
      <c r="B8474" s="1" t="str">
        <f>HYPERLINK("http://mouser.tw","mouser.tw")</f>
        <v>mouser.tw</v>
      </c>
      <c r="C8474" t="s">
        <v>504</v>
      </c>
      <c r="D8474" t="s">
        <v>878</v>
      </c>
      <c r="E8474">
        <v>256310</v>
      </c>
      <c r="F8474">
        <v>1.07577201467605E-7</v>
      </c>
      <c r="G8474">
        <v>372104</v>
      </c>
      <c r="H8474">
        <v>13953945</v>
      </c>
      <c r="I8474">
        <v>4147683</v>
      </c>
      <c r="J8474">
        <v>4</v>
      </c>
    </row>
    <row r="8475" spans="1:10" x14ac:dyDescent="0.25">
      <c r="A8475" t="s">
        <v>68</v>
      </c>
      <c r="B8475" s="1" t="str">
        <f>HYPERLINK("http://iscar.com.ua","iscar.com.ua")</f>
        <v>iscar.com.ua</v>
      </c>
      <c r="C8475" t="s">
        <v>505</v>
      </c>
      <c r="D8475" t="s">
        <v>879</v>
      </c>
      <c r="F8475">
        <v>4.5301159033006297E-9</v>
      </c>
      <c r="G8475">
        <v>55043127</v>
      </c>
      <c r="H8475">
        <v>10509819</v>
      </c>
      <c r="I8475">
        <v>49707052</v>
      </c>
      <c r="J8475">
        <v>4</v>
      </c>
    </row>
    <row r="8476" spans="1:10" x14ac:dyDescent="0.25">
      <c r="A8476" t="s">
        <v>68</v>
      </c>
      <c r="B8476" s="1" t="str">
        <f>HYPERLINK("http://duracell.ua","duracell.ua")</f>
        <v>duracell.ua</v>
      </c>
      <c r="C8476" t="s">
        <v>505</v>
      </c>
      <c r="D8476" t="s">
        <v>879</v>
      </c>
      <c r="F8476">
        <v>7.7430554035811905E-9</v>
      </c>
      <c r="G8476">
        <v>10480928</v>
      </c>
      <c r="H8476">
        <v>10749076</v>
      </c>
      <c r="I8476">
        <v>40116131</v>
      </c>
      <c r="J8476">
        <v>6</v>
      </c>
    </row>
    <row r="8477" spans="1:10" x14ac:dyDescent="0.25">
      <c r="A8477" t="s">
        <v>68</v>
      </c>
      <c r="B8477" s="1" t="str">
        <f>HYPERLINK("http://benjaminmoorepaint.co.uk","benjaminmoorepaint.co.uk")</f>
        <v>benjaminmoorepaint.co.uk</v>
      </c>
      <c r="C8477" t="s">
        <v>506</v>
      </c>
      <c r="D8477" t="s">
        <v>880</v>
      </c>
      <c r="F8477">
        <v>2.88502978984944E-8</v>
      </c>
      <c r="G8477">
        <v>1784113</v>
      </c>
      <c r="H8477">
        <v>14554130</v>
      </c>
      <c r="I8477">
        <v>754384</v>
      </c>
      <c r="J8477">
        <v>4</v>
      </c>
    </row>
    <row r="8478" spans="1:10" x14ac:dyDescent="0.25">
      <c r="A8478" t="s">
        <v>68</v>
      </c>
      <c r="B8478" s="1" t="str">
        <f>HYPERLINK("http://businesswire.co.uk","businesswire.co.uk")</f>
        <v>businesswire.co.uk</v>
      </c>
      <c r="C8478" t="s">
        <v>506</v>
      </c>
      <c r="D8478" t="s">
        <v>880</v>
      </c>
      <c r="F8478">
        <v>1.9215264125287901E-8</v>
      </c>
      <c r="G8478">
        <v>2796191</v>
      </c>
      <c r="H8478">
        <v>14092122</v>
      </c>
      <c r="I8478">
        <v>2740801</v>
      </c>
      <c r="J8478">
        <v>4</v>
      </c>
    </row>
    <row r="8479" spans="1:10" x14ac:dyDescent="0.25">
      <c r="A8479" t="s">
        <v>68</v>
      </c>
      <c r="B8479" s="1" t="str">
        <f>HYPERLINK("http://duracell.co.uk","duracell.co.uk")</f>
        <v>duracell.co.uk</v>
      </c>
      <c r="C8479" t="s">
        <v>506</v>
      </c>
      <c r="D8479" t="s">
        <v>880</v>
      </c>
      <c r="E8479">
        <v>464081</v>
      </c>
      <c r="F8479">
        <v>6.9382545506899294E-8</v>
      </c>
      <c r="G8479">
        <v>612062</v>
      </c>
      <c r="H8479">
        <v>14243074</v>
      </c>
      <c r="I8479">
        <v>1479634</v>
      </c>
      <c r="J8479">
        <v>5</v>
      </c>
    </row>
    <row r="8480" spans="1:10" x14ac:dyDescent="0.25">
      <c r="A8480" t="s">
        <v>68</v>
      </c>
      <c r="B8480" s="1" t="str">
        <f>HYPERLINK("http://duracelldirect.co.uk","duracelldirect.co.uk")</f>
        <v>duracelldirect.co.uk</v>
      </c>
      <c r="C8480" t="s">
        <v>506</v>
      </c>
      <c r="D8480" t="s">
        <v>880</v>
      </c>
      <c r="F8480">
        <v>3.6118059066282997E-8</v>
      </c>
      <c r="G8480">
        <v>1443431</v>
      </c>
      <c r="H8480">
        <v>13775366</v>
      </c>
      <c r="I8480">
        <v>6583385</v>
      </c>
      <c r="J8480">
        <v>4</v>
      </c>
    </row>
    <row r="8481" spans="1:10" x14ac:dyDescent="0.25">
      <c r="A8481" t="s">
        <v>68</v>
      </c>
      <c r="B8481" s="1" t="str">
        <f>HYPERLINK("http://fruitoftheloom.co.uk","fruitoftheloom.co.uk")</f>
        <v>fruitoftheloom.co.uk</v>
      </c>
      <c r="C8481" t="s">
        <v>506</v>
      </c>
      <c r="D8481" t="s">
        <v>880</v>
      </c>
      <c r="F8481">
        <v>2.60053079840273E-8</v>
      </c>
      <c r="G8481">
        <v>1981249</v>
      </c>
      <c r="H8481">
        <v>12413384</v>
      </c>
      <c r="I8481">
        <v>18559016</v>
      </c>
      <c r="J8481">
        <v>7</v>
      </c>
    </row>
    <row r="8482" spans="1:10" x14ac:dyDescent="0.25">
      <c r="A8482" t="s">
        <v>68</v>
      </c>
      <c r="B8482" s="1" t="str">
        <f>HYPERLINK("http://holdsure.co.uk","holdsure.co.uk")</f>
        <v>holdsure.co.uk</v>
      </c>
      <c r="C8482" t="s">
        <v>506</v>
      </c>
      <c r="D8482" t="s">
        <v>880</v>
      </c>
      <c r="J8482">
        <v>3</v>
      </c>
    </row>
    <row r="8483" spans="1:10" x14ac:dyDescent="0.25">
      <c r="A8483" t="s">
        <v>68</v>
      </c>
      <c r="B8483" s="1" t="str">
        <f>HYPERLINK("http://iscar.co.uk","iscar.co.uk")</f>
        <v>iscar.co.uk</v>
      </c>
      <c r="C8483" t="s">
        <v>506</v>
      </c>
      <c r="D8483" t="s">
        <v>880</v>
      </c>
      <c r="F8483">
        <v>1.01568219181071E-8</v>
      </c>
      <c r="G8483">
        <v>6589662</v>
      </c>
      <c r="H8483">
        <v>12117076</v>
      </c>
      <c r="I8483">
        <v>25485656</v>
      </c>
      <c r="J8483">
        <v>4</v>
      </c>
    </row>
    <row r="8484" spans="1:10" x14ac:dyDescent="0.25">
      <c r="A8484" t="s">
        <v>68</v>
      </c>
      <c r="B8484" s="1" t="str">
        <f>HYPERLINK("http://ius.co.uk","ius.co.uk")</f>
        <v>ius.co.uk</v>
      </c>
      <c r="C8484" t="s">
        <v>506</v>
      </c>
      <c r="D8484" t="s">
        <v>880</v>
      </c>
      <c r="F8484">
        <v>6.5681657036493004E-9</v>
      </c>
      <c r="G8484">
        <v>13801135</v>
      </c>
      <c r="H8484">
        <v>12385300</v>
      </c>
      <c r="I8484">
        <v>19118654</v>
      </c>
      <c r="J8484">
        <v>4</v>
      </c>
    </row>
    <row r="8485" spans="1:10" x14ac:dyDescent="0.25">
      <c r="A8485" t="s">
        <v>68</v>
      </c>
      <c r="B8485" s="1" t="str">
        <f>HYPERLINK("http://kgcoating.co.uk","kgcoating.co.uk")</f>
        <v>kgcoating.co.uk</v>
      </c>
      <c r="C8485" t="s">
        <v>506</v>
      </c>
      <c r="D8485" t="s">
        <v>880</v>
      </c>
      <c r="F8485">
        <v>4.4682036011222701E-9</v>
      </c>
      <c r="G8485">
        <v>65074058</v>
      </c>
      <c r="H8485">
        <v>12341513</v>
      </c>
      <c r="I8485">
        <v>19956409</v>
      </c>
      <c r="J8485">
        <v>6</v>
      </c>
    </row>
    <row r="8486" spans="1:10" x14ac:dyDescent="0.25">
      <c r="A8486" t="s">
        <v>68</v>
      </c>
      <c r="B8486" s="1" t="str">
        <f>HYPERLINK("http://mezzanine.co.uk","mezzanine.co.uk")</f>
        <v>mezzanine.co.uk</v>
      </c>
      <c r="C8486" t="s">
        <v>506</v>
      </c>
      <c r="D8486" t="s">
        <v>880</v>
      </c>
      <c r="F8486">
        <v>7.8446998567501904E-9</v>
      </c>
      <c r="G8486">
        <v>10225637</v>
      </c>
      <c r="H8486">
        <v>11643342</v>
      </c>
      <c r="I8486">
        <v>29886961</v>
      </c>
      <c r="J8486">
        <v>6</v>
      </c>
    </row>
    <row r="8487" spans="1:10" x14ac:dyDescent="0.25">
      <c r="A8487" t="s">
        <v>68</v>
      </c>
      <c r="B8487" s="1" t="str">
        <f>HYPERLINK("http://mouser.co.uk","mouser.co.uk")</f>
        <v>mouser.co.uk</v>
      </c>
      <c r="C8487" t="s">
        <v>506</v>
      </c>
      <c r="D8487" t="s">
        <v>880</v>
      </c>
      <c r="E8487">
        <v>96255</v>
      </c>
      <c r="F8487">
        <v>2.5970884681768102E-7</v>
      </c>
      <c r="G8487">
        <v>144009</v>
      </c>
      <c r="H8487">
        <v>15061510</v>
      </c>
      <c r="I8487">
        <v>412552</v>
      </c>
      <c r="J8487">
        <v>4</v>
      </c>
    </row>
    <row r="8488" spans="1:10" x14ac:dyDescent="0.25">
      <c r="A8488" t="s">
        <v>68</v>
      </c>
      <c r="B8488" s="1" t="str">
        <f>HYPERLINK("http://specialmetalswiggin.co.uk","specialmetalswiggin.co.uk")</f>
        <v>specialmetalswiggin.co.uk</v>
      </c>
      <c r="C8488" t="s">
        <v>506</v>
      </c>
      <c r="D8488" t="s">
        <v>880</v>
      </c>
      <c r="F8488">
        <v>6.0894220106831398E-9</v>
      </c>
      <c r="G8488">
        <v>16152342</v>
      </c>
      <c r="H8488">
        <v>12305757</v>
      </c>
      <c r="I8488">
        <v>20722150</v>
      </c>
      <c r="J8488">
        <v>5</v>
      </c>
    </row>
    <row r="8489" spans="1:10" x14ac:dyDescent="0.25">
      <c r="A8489" t="s">
        <v>68</v>
      </c>
      <c r="B8489" s="1" t="str">
        <f>HYPERLINK("http://pacificorp.us","pacificorp.us")</f>
        <v>pacificorp.us</v>
      </c>
      <c r="C8489" t="s">
        <v>522</v>
      </c>
      <c r="D8489" t="s">
        <v>891</v>
      </c>
      <c r="E8489">
        <v>226371</v>
      </c>
      <c r="F8489">
        <v>9.3483468375507805E-9</v>
      </c>
      <c r="G8489">
        <v>7510061</v>
      </c>
      <c r="H8489">
        <v>12144771</v>
      </c>
      <c r="I8489">
        <v>24766833</v>
      </c>
      <c r="J8489">
        <v>2</v>
      </c>
    </row>
    <row r="8490" spans="1:10" x14ac:dyDescent="0.25">
      <c r="A8490" t="s">
        <v>68</v>
      </c>
      <c r="B8490" s="1" t="str">
        <f>HYPERLINK("http://mouser.vn","mouser.vn")</f>
        <v>mouser.vn</v>
      </c>
      <c r="C8490" t="s">
        <v>509</v>
      </c>
      <c r="D8490" t="s">
        <v>883</v>
      </c>
      <c r="F8490">
        <v>6.7518130301145906E-8</v>
      </c>
      <c r="G8490">
        <v>632798</v>
      </c>
      <c r="H8490">
        <v>12548195</v>
      </c>
      <c r="I8490">
        <v>16839020</v>
      </c>
      <c r="J8490">
        <v>4</v>
      </c>
    </row>
    <row r="8491" spans="1:10" x14ac:dyDescent="0.25">
      <c r="A8491" t="s">
        <v>68</v>
      </c>
      <c r="B8491" s="1" t="str">
        <f>HYPERLINK("http://duracell.co.za","duracell.co.za")</f>
        <v>duracell.co.za</v>
      </c>
      <c r="C8491" t="s">
        <v>510</v>
      </c>
      <c r="D8491" t="s">
        <v>884</v>
      </c>
      <c r="F8491">
        <v>9.3068529509991305E-9</v>
      </c>
      <c r="G8491">
        <v>7563516</v>
      </c>
      <c r="H8491">
        <v>11203217</v>
      </c>
      <c r="I8491">
        <v>31222328</v>
      </c>
      <c r="J8491">
        <v>6</v>
      </c>
    </row>
    <row r="8492" spans="1:10" x14ac:dyDescent="0.25">
      <c r="A8492" t="s">
        <v>68</v>
      </c>
      <c r="B8492" s="1" t="str">
        <f>HYPERLINK("http://iscar.co.za","iscar.co.za")</f>
        <v>iscar.co.za</v>
      </c>
      <c r="C8492" t="s">
        <v>510</v>
      </c>
      <c r="D8492" t="s">
        <v>884</v>
      </c>
      <c r="F8492">
        <v>8.2851156877701908E-9</v>
      </c>
      <c r="G8492">
        <v>9293522</v>
      </c>
      <c r="H8492">
        <v>12026816</v>
      </c>
      <c r="I8492">
        <v>27737519</v>
      </c>
      <c r="J8492">
        <v>4</v>
      </c>
    </row>
    <row r="8493" spans="1:10" x14ac:dyDescent="0.25">
      <c r="A8493" t="s">
        <v>68</v>
      </c>
      <c r="B8493" s="1" t="str">
        <f>HYPERLINK("http://mouser.co.za","mouser.co.za")</f>
        <v>mouser.co.za</v>
      </c>
      <c r="C8493" t="s">
        <v>510</v>
      </c>
      <c r="D8493" t="s">
        <v>884</v>
      </c>
      <c r="E8493">
        <v>996382</v>
      </c>
      <c r="F8493">
        <v>7.8488622782847505E-8</v>
      </c>
      <c r="G8493">
        <v>532653</v>
      </c>
      <c r="H8493">
        <v>14374310</v>
      </c>
      <c r="I8493">
        <v>1242976</v>
      </c>
      <c r="J8493">
        <v>4</v>
      </c>
    </row>
    <row r="8494" spans="1:10" x14ac:dyDescent="0.25">
      <c r="A8494" t="s">
        <v>69</v>
      </c>
      <c r="B8494" s="1" t="str">
        <f>HYPERLINK("http://airtel.africa","airtel.africa")</f>
        <v>airtel.africa</v>
      </c>
      <c r="C8494" t="s">
        <v>523</v>
      </c>
      <c r="E8494">
        <v>115688</v>
      </c>
      <c r="F8494">
        <v>1.17955419879566E-7</v>
      </c>
      <c r="G8494">
        <v>336173</v>
      </c>
      <c r="H8494">
        <v>13775540</v>
      </c>
      <c r="I8494">
        <v>6576852</v>
      </c>
      <c r="J8494">
        <v>3</v>
      </c>
    </row>
    <row r="8495" spans="1:10" x14ac:dyDescent="0.25">
      <c r="A8495" t="s">
        <v>69</v>
      </c>
      <c r="B8495" s="1" t="str">
        <f>HYPERLINK("http://mobireach.com.bd","mobireach.com.bd")</f>
        <v>mobireach.com.bd</v>
      </c>
      <c r="C8495" t="s">
        <v>603</v>
      </c>
      <c r="D8495" t="s">
        <v>934</v>
      </c>
      <c r="F8495">
        <v>5.0400751677001803E-9</v>
      </c>
      <c r="G8495">
        <v>28440791</v>
      </c>
      <c r="H8495">
        <v>12160048</v>
      </c>
      <c r="I8495">
        <v>24362780</v>
      </c>
      <c r="J8495">
        <v>4</v>
      </c>
    </row>
    <row r="8496" spans="1:10" x14ac:dyDescent="0.25">
      <c r="A8496" t="s">
        <v>69</v>
      </c>
      <c r="B8496" s="1" t="str">
        <f>HYPERLINK("http://robi.com.bd","robi.com.bd")</f>
        <v>robi.com.bd</v>
      </c>
      <c r="C8496" t="s">
        <v>603</v>
      </c>
      <c r="D8496" t="s">
        <v>934</v>
      </c>
      <c r="E8496">
        <v>49017</v>
      </c>
      <c r="F8496">
        <v>3.5022711336467499E-7</v>
      </c>
      <c r="G8496">
        <v>106738</v>
      </c>
      <c r="H8496">
        <v>17165630</v>
      </c>
      <c r="I8496">
        <v>48707</v>
      </c>
      <c r="J8496">
        <v>3</v>
      </c>
    </row>
    <row r="8497" spans="1:10" x14ac:dyDescent="0.25">
      <c r="A8497" t="s">
        <v>69</v>
      </c>
      <c r="B8497" s="1" t="str">
        <f>HYPERLINK("http://airtel.cd","airtel.cd")</f>
        <v>airtel.cd</v>
      </c>
      <c r="C8497" t="s">
        <v>625</v>
      </c>
      <c r="D8497" t="s">
        <v>949</v>
      </c>
      <c r="F8497">
        <v>1.5318421722659901E-8</v>
      </c>
      <c r="G8497">
        <v>3740220</v>
      </c>
      <c r="H8497">
        <v>12976901</v>
      </c>
      <c r="I8497">
        <v>13009491</v>
      </c>
      <c r="J8497">
        <v>5</v>
      </c>
    </row>
    <row r="8498" spans="1:10" x14ac:dyDescent="0.25">
      <c r="A8498" t="s">
        <v>69</v>
      </c>
      <c r="B8498" s="1" t="str">
        <f>HYPERLINK("http://airtel.com","airtel.com")</f>
        <v>airtel.com</v>
      </c>
      <c r="C8498" t="s">
        <v>433</v>
      </c>
      <c r="E8498">
        <v>43238</v>
      </c>
      <c r="F8498">
        <v>5.9345605422756297E-7</v>
      </c>
      <c r="G8498">
        <v>64455</v>
      </c>
      <c r="H8498">
        <v>15193420</v>
      </c>
      <c r="I8498">
        <v>396173</v>
      </c>
      <c r="J8498">
        <v>2</v>
      </c>
    </row>
    <row r="8499" spans="1:10" x14ac:dyDescent="0.25">
      <c r="A8499" t="s">
        <v>69</v>
      </c>
      <c r="B8499" s="1" t="str">
        <f>HYPERLINK("http://airtel-vodafone.com","airtel-vodafone.com")</f>
        <v>airtel-vodafone.com</v>
      </c>
      <c r="C8499" t="s">
        <v>433</v>
      </c>
      <c r="F8499">
        <v>2.1980560159100599E-8</v>
      </c>
      <c r="G8499">
        <v>2388556</v>
      </c>
      <c r="H8499">
        <v>14075737</v>
      </c>
      <c r="I8499">
        <v>2901881</v>
      </c>
      <c r="J8499">
        <v>4</v>
      </c>
    </row>
    <row r="8500" spans="1:10" x14ac:dyDescent="0.25">
      <c r="A8500" t="s">
        <v>69</v>
      </c>
      <c r="B8500" s="1" t="str">
        <f>HYPERLINK("http://airtelwork.com","airtelwork.com")</f>
        <v>airtelwork.com</v>
      </c>
      <c r="C8500" t="s">
        <v>433</v>
      </c>
      <c r="F8500">
        <v>4.44477415098325E-9</v>
      </c>
      <c r="G8500">
        <v>76109530</v>
      </c>
      <c r="H8500">
        <v>10358817</v>
      </c>
      <c r="I8500">
        <v>55287803</v>
      </c>
      <c r="J8500">
        <v>2</v>
      </c>
    </row>
    <row r="8501" spans="1:10" x14ac:dyDescent="0.25">
      <c r="A8501" t="s">
        <v>69</v>
      </c>
      <c r="B8501" s="1" t="str">
        <f>HYPERLINK("http://bharti-infratel.com","bharti-infratel.com")</f>
        <v>bharti-infratel.com</v>
      </c>
      <c r="C8501" t="s">
        <v>433</v>
      </c>
      <c r="F8501">
        <v>2.6943194373528401E-8</v>
      </c>
      <c r="G8501">
        <v>1909107</v>
      </c>
      <c r="H8501">
        <v>13514710</v>
      </c>
      <c r="I8501">
        <v>9944933</v>
      </c>
      <c r="J8501">
        <v>3</v>
      </c>
    </row>
    <row r="8502" spans="1:10" x14ac:dyDescent="0.25">
      <c r="A8502" t="s">
        <v>69</v>
      </c>
      <c r="B8502" s="1" t="str">
        <f>HYPERLINK("http://industowers.com","industowers.com")</f>
        <v>industowers.com</v>
      </c>
      <c r="C8502" t="s">
        <v>433</v>
      </c>
      <c r="E8502">
        <v>446648</v>
      </c>
      <c r="F8502">
        <v>6.5803278059821199E-8</v>
      </c>
      <c r="G8502">
        <v>652701</v>
      </c>
      <c r="H8502">
        <v>13607986</v>
      </c>
      <c r="I8502">
        <v>9639014</v>
      </c>
      <c r="J8502">
        <v>2</v>
      </c>
    </row>
    <row r="8503" spans="1:10" x14ac:dyDescent="0.25">
      <c r="A8503" t="s">
        <v>69</v>
      </c>
      <c r="B8503" s="1" t="str">
        <f>HYPERLINK("http://lavellenetworks.com","lavellenetworks.com")</f>
        <v>lavellenetworks.com</v>
      </c>
      <c r="C8503" t="s">
        <v>433</v>
      </c>
      <c r="E8503">
        <v>919712</v>
      </c>
      <c r="F8503">
        <v>2.9978226305534199E-8</v>
      </c>
      <c r="G8503">
        <v>1716164</v>
      </c>
      <c r="H8503">
        <v>13638238</v>
      </c>
      <c r="I8503">
        <v>9612922</v>
      </c>
      <c r="J8503">
        <v>3</v>
      </c>
    </row>
    <row r="8504" spans="1:10" x14ac:dyDescent="0.25">
      <c r="A8504" t="s">
        <v>69</v>
      </c>
      <c r="B8504" s="1" t="str">
        <f>HYPERLINK("http://nxtradata.com","nxtradata.com")</f>
        <v>nxtradata.com</v>
      </c>
      <c r="C8504" t="s">
        <v>433</v>
      </c>
      <c r="F8504">
        <v>1.7064084510991601E-8</v>
      </c>
      <c r="G8504">
        <v>3268721</v>
      </c>
      <c r="H8504">
        <v>13109395</v>
      </c>
      <c r="I8504">
        <v>12040522</v>
      </c>
      <c r="J8504">
        <v>3</v>
      </c>
    </row>
    <row r="8505" spans="1:10" x14ac:dyDescent="0.25">
      <c r="A8505" t="s">
        <v>69</v>
      </c>
      <c r="B8505" s="1" t="str">
        <f>HYPERLINK("http://airtel.in","airtel.in")</f>
        <v>airtel.in</v>
      </c>
      <c r="C8505" t="s">
        <v>457</v>
      </c>
      <c r="D8505" t="s">
        <v>834</v>
      </c>
      <c r="E8505">
        <v>6422</v>
      </c>
      <c r="F8505">
        <v>1.6060293998851699E-6</v>
      </c>
      <c r="G8505">
        <v>24514</v>
      </c>
      <c r="H8505">
        <v>17501942</v>
      </c>
      <c r="I8505">
        <v>13606</v>
      </c>
      <c r="J8505">
        <v>1</v>
      </c>
    </row>
    <row r="8506" spans="1:10" x14ac:dyDescent="0.25">
      <c r="A8506" t="s">
        <v>69</v>
      </c>
      <c r="B8506" s="1" t="str">
        <f>HYPERLINK("http://smartxservices.in","smartxservices.in")</f>
        <v>smartxservices.in</v>
      </c>
      <c r="C8506" t="s">
        <v>457</v>
      </c>
      <c r="D8506" t="s">
        <v>834</v>
      </c>
      <c r="J8506">
        <v>2</v>
      </c>
    </row>
    <row r="8507" spans="1:10" x14ac:dyDescent="0.25">
      <c r="A8507" t="s">
        <v>69</v>
      </c>
      <c r="B8507" s="1" t="str">
        <f>HYPERLINK("http://wynk.in","wynk.in")</f>
        <v>wynk.in</v>
      </c>
      <c r="C8507" t="s">
        <v>457</v>
      </c>
      <c r="D8507" t="s">
        <v>834</v>
      </c>
      <c r="E8507">
        <v>13722</v>
      </c>
      <c r="F8507">
        <v>2.16387283045056E-7</v>
      </c>
      <c r="G8507">
        <v>174307</v>
      </c>
      <c r="H8507">
        <v>15509670</v>
      </c>
      <c r="I8507">
        <v>376421</v>
      </c>
      <c r="J8507">
        <v>4</v>
      </c>
    </row>
    <row r="8508" spans="1:10" x14ac:dyDescent="0.25">
      <c r="A8508" t="s">
        <v>69</v>
      </c>
      <c r="B8508" s="1" t="str">
        <f>HYPERLINK("http://airtel.lk","airtel.lk")</f>
        <v>airtel.lk</v>
      </c>
      <c r="C8508" t="s">
        <v>466</v>
      </c>
      <c r="D8508" t="s">
        <v>842</v>
      </c>
      <c r="E8508">
        <v>248480</v>
      </c>
      <c r="F8508">
        <v>1.2167508595228701E-7</v>
      </c>
      <c r="G8508">
        <v>324561</v>
      </c>
      <c r="H8508">
        <v>17067906</v>
      </c>
      <c r="I8508">
        <v>71627</v>
      </c>
      <c r="J8508">
        <v>3</v>
      </c>
    </row>
    <row r="8509" spans="1:10" x14ac:dyDescent="0.25">
      <c r="A8509" t="s">
        <v>69</v>
      </c>
      <c r="B8509" s="1" t="str">
        <f>HYPERLINK("http://airtel.mw","airtel.mw")</f>
        <v>airtel.mw</v>
      </c>
      <c r="C8509" t="s">
        <v>655</v>
      </c>
      <c r="D8509" t="s">
        <v>974</v>
      </c>
      <c r="E8509">
        <v>408686</v>
      </c>
      <c r="F8509">
        <v>9.9245384252928997E-9</v>
      </c>
      <c r="G8509">
        <v>6833027</v>
      </c>
      <c r="H8509">
        <v>13943507</v>
      </c>
      <c r="I8509">
        <v>4313223</v>
      </c>
      <c r="J8509">
        <v>6</v>
      </c>
    </row>
    <row r="8510" spans="1:10" x14ac:dyDescent="0.25">
      <c r="A8510" t="s">
        <v>69</v>
      </c>
      <c r="B8510" s="1" t="str">
        <f>HYPERLINK("http://airtel.com.ng","airtel.com.ng")</f>
        <v>airtel.com.ng</v>
      </c>
      <c r="C8510" t="s">
        <v>475</v>
      </c>
      <c r="D8510" t="s">
        <v>850</v>
      </c>
      <c r="E8510">
        <v>157275</v>
      </c>
      <c r="F8510">
        <v>9.2585620902385297E-8</v>
      </c>
      <c r="G8510">
        <v>439470</v>
      </c>
      <c r="H8510">
        <v>14061130</v>
      </c>
      <c r="I8510">
        <v>3777193</v>
      </c>
      <c r="J8510">
        <v>3</v>
      </c>
    </row>
    <row r="8511" spans="1:10" x14ac:dyDescent="0.25">
      <c r="A8511" t="s">
        <v>70</v>
      </c>
      <c r="B8511" s="1" t="str">
        <f>HYPERLINK("http://bionenviro.com","bionenviro.com")</f>
        <v>bionenviro.com</v>
      </c>
      <c r="C8511" t="s">
        <v>433</v>
      </c>
      <c r="F8511">
        <v>7.7029681702549501E-9</v>
      </c>
      <c r="G8511">
        <v>10565105</v>
      </c>
      <c r="H8511">
        <v>13169534</v>
      </c>
      <c r="I8511">
        <v>11725820</v>
      </c>
      <c r="J8511">
        <v>5</v>
      </c>
    </row>
    <row r="8512" spans="1:10" x14ac:dyDescent="0.25">
      <c r="A8512" t="s">
        <v>70</v>
      </c>
      <c r="B8512" s="1" t="str">
        <f>HYPERLINK("http://biontech.com","biontech.com")</f>
        <v>biontech.com</v>
      </c>
      <c r="C8512" t="s">
        <v>433</v>
      </c>
      <c r="E8512">
        <v>111349</v>
      </c>
      <c r="F8512">
        <v>1.11588943303831E-7</v>
      </c>
      <c r="G8512">
        <v>358122</v>
      </c>
      <c r="H8512">
        <v>14186016</v>
      </c>
      <c r="I8512">
        <v>1769083</v>
      </c>
      <c r="J8512">
        <v>2</v>
      </c>
    </row>
    <row r="8513" spans="1:10" x14ac:dyDescent="0.25">
      <c r="A8513" t="s">
        <v>70</v>
      </c>
      <c r="B8513" s="1" t="str">
        <f>HYPERLINK("http://eufets.com","eufets.com")</f>
        <v>eufets.com</v>
      </c>
      <c r="C8513" t="s">
        <v>433</v>
      </c>
      <c r="F8513">
        <v>1.29197254956344E-8</v>
      </c>
      <c r="G8513">
        <v>4670092</v>
      </c>
      <c r="H8513">
        <v>13718507</v>
      </c>
      <c r="I8513">
        <v>9482100</v>
      </c>
      <c r="J8513">
        <v>6</v>
      </c>
    </row>
    <row r="8514" spans="1:10" x14ac:dyDescent="0.25">
      <c r="A8514" t="s">
        <v>70</v>
      </c>
      <c r="B8514" s="1" t="str">
        <f>HYPERLINK("http://jpt.com","jpt.com")</f>
        <v>jpt.com</v>
      </c>
      <c r="C8514" t="s">
        <v>433</v>
      </c>
      <c r="F8514">
        <v>3.9069505834296102E-8</v>
      </c>
      <c r="G8514">
        <v>1320128</v>
      </c>
      <c r="H8514">
        <v>14507267</v>
      </c>
      <c r="I8514">
        <v>831181</v>
      </c>
      <c r="J8514">
        <v>3</v>
      </c>
    </row>
    <row r="8515" spans="1:10" x14ac:dyDescent="0.25">
      <c r="A8515" t="s">
        <v>70</v>
      </c>
      <c r="B8515" s="1" t="str">
        <f>HYPERLINK("http://neontherapeutics.com","neontherapeutics.com")</f>
        <v>neontherapeutics.com</v>
      </c>
      <c r="C8515" t="s">
        <v>433</v>
      </c>
      <c r="F8515">
        <v>1.7315078365864901E-8</v>
      </c>
      <c r="G8515">
        <v>3195496</v>
      </c>
      <c r="H8515">
        <v>13516740</v>
      </c>
      <c r="I8515">
        <v>9942412</v>
      </c>
      <c r="J8515">
        <v>3</v>
      </c>
    </row>
    <row r="8516" spans="1:10" x14ac:dyDescent="0.25">
      <c r="A8516" t="s">
        <v>70</v>
      </c>
      <c r="B8516" s="1" t="str">
        <f>HYPERLINK("http://biontech.de","biontech.de")</f>
        <v>biontech.de</v>
      </c>
      <c r="C8516" t="s">
        <v>436</v>
      </c>
      <c r="D8516" t="s">
        <v>815</v>
      </c>
      <c r="E8516">
        <v>49647</v>
      </c>
      <c r="F8516">
        <v>1.16419240250204E-6</v>
      </c>
      <c r="G8516">
        <v>33374</v>
      </c>
      <c r="H8516">
        <v>15212395</v>
      </c>
      <c r="I8516">
        <v>394281</v>
      </c>
      <c r="J8516">
        <v>1</v>
      </c>
    </row>
    <row r="8517" spans="1:10" x14ac:dyDescent="0.25">
      <c r="A8517" t="s">
        <v>70</v>
      </c>
      <c r="B8517" s="1" t="str">
        <f>HYPERLINK("http://biontech-imfs.de","biontech-imfs.de")</f>
        <v>biontech-imfs.de</v>
      </c>
      <c r="C8517" t="s">
        <v>436</v>
      </c>
      <c r="D8517" t="s">
        <v>815</v>
      </c>
      <c r="F8517">
        <v>8.4468245702442899E-9</v>
      </c>
      <c r="G8517">
        <v>8949108</v>
      </c>
      <c r="H8517">
        <v>14074392</v>
      </c>
      <c r="I8517">
        <v>2944855</v>
      </c>
      <c r="J8517">
        <v>3</v>
      </c>
    </row>
    <row r="8518" spans="1:10" x14ac:dyDescent="0.25">
      <c r="A8518" t="s">
        <v>70</v>
      </c>
      <c r="B8518" s="1" t="str">
        <f>HYPERLINK("http://biontainer.fi","biontainer.fi")</f>
        <v>biontainer.fi</v>
      </c>
      <c r="C8518" t="s">
        <v>445</v>
      </c>
      <c r="D8518" t="s">
        <v>823</v>
      </c>
      <c r="J8518">
        <v>2</v>
      </c>
    </row>
    <row r="8519" spans="1:10" x14ac:dyDescent="0.25">
      <c r="A8519" t="s">
        <v>70</v>
      </c>
      <c r="B8519" s="1" t="str">
        <f>HYPERLINK("http://comirnaty.fi","comirnaty.fi")</f>
        <v>comirnaty.fi</v>
      </c>
      <c r="C8519" t="s">
        <v>445</v>
      </c>
      <c r="D8519" t="s">
        <v>823</v>
      </c>
      <c r="J8519">
        <v>2</v>
      </c>
    </row>
    <row r="8520" spans="1:10" x14ac:dyDescent="0.25">
      <c r="A8520" t="s">
        <v>70</v>
      </c>
      <c r="B8520" s="1" t="str">
        <f>HYPERLINK("http://comirnatyeducation.fi","comirnatyeducation.fi")</f>
        <v>comirnatyeducation.fi</v>
      </c>
      <c r="C8520" t="s">
        <v>445</v>
      </c>
      <c r="D8520" t="s">
        <v>823</v>
      </c>
      <c r="F8520">
        <v>6.04129728992179E-9</v>
      </c>
      <c r="G8520">
        <v>16433265</v>
      </c>
      <c r="H8520">
        <v>10728447</v>
      </c>
      <c r="I8520">
        <v>41044497</v>
      </c>
      <c r="J8520">
        <v>2</v>
      </c>
    </row>
    <row r="8521" spans="1:10" x14ac:dyDescent="0.25">
      <c r="A8521" t="s">
        <v>70</v>
      </c>
      <c r="B8521" s="1" t="str">
        <f>HYPERLINK("http://comirnatyhcp.fi","comirnatyhcp.fi")</f>
        <v>comirnatyhcp.fi</v>
      </c>
      <c r="C8521" t="s">
        <v>445</v>
      </c>
      <c r="D8521" t="s">
        <v>823</v>
      </c>
      <c r="J8521">
        <v>2</v>
      </c>
    </row>
    <row r="8522" spans="1:10" x14ac:dyDescent="0.25">
      <c r="A8522" t="s">
        <v>70</v>
      </c>
      <c r="B8522" s="1" t="str">
        <f>HYPERLINK("http://biontech.us","biontech.us")</f>
        <v>biontech.us</v>
      </c>
      <c r="C8522" t="s">
        <v>522</v>
      </c>
      <c r="D8522" t="s">
        <v>891</v>
      </c>
      <c r="F8522">
        <v>4.54158716092249E-9</v>
      </c>
      <c r="G8522">
        <v>53155538</v>
      </c>
      <c r="H8522">
        <v>9593524</v>
      </c>
      <c r="I8522">
        <v>64473116</v>
      </c>
      <c r="J8522">
        <v>4</v>
      </c>
    </row>
    <row r="8523" spans="1:10" x14ac:dyDescent="0.25">
      <c r="A8523" t="s">
        <v>1598</v>
      </c>
      <c r="B8523" s="1" t="str">
        <f>HYPERLINK("http://togetherinsma.ae","togetherinsma.ae")</f>
        <v>togetherinsma.ae</v>
      </c>
      <c r="C8523" t="s">
        <v>417</v>
      </c>
      <c r="D8523" t="s">
        <v>799</v>
      </c>
      <c r="F8523">
        <v>9.0363690791416507E-9</v>
      </c>
      <c r="G8523">
        <v>7938397</v>
      </c>
      <c r="H8523">
        <v>10517533</v>
      </c>
      <c r="I8523">
        <v>49152398</v>
      </c>
      <c r="J8523">
        <v>3</v>
      </c>
    </row>
    <row r="8524" spans="1:10" x14ac:dyDescent="0.25">
      <c r="A8524" t="s">
        <v>1598</v>
      </c>
      <c r="B8524" s="1" t="str">
        <f>HYPERLINK("http://neurodiem.com.ar","neurodiem.com.ar")</f>
        <v>neurodiem.com.ar</v>
      </c>
      <c r="C8524" t="s">
        <v>418</v>
      </c>
      <c r="D8524" t="s">
        <v>800</v>
      </c>
      <c r="F8524">
        <v>1.16588943850772E-8</v>
      </c>
      <c r="G8524">
        <v>5392990</v>
      </c>
      <c r="H8524">
        <v>10607269</v>
      </c>
      <c r="I8524">
        <v>44645633</v>
      </c>
      <c r="J8524">
        <v>3</v>
      </c>
    </row>
    <row r="8525" spans="1:10" x14ac:dyDescent="0.25">
      <c r="A8525" t="s">
        <v>1598</v>
      </c>
      <c r="B8525" s="1" t="str">
        <f>HYPERLINK("http://biogen.at","biogen.at")</f>
        <v>biogen.at</v>
      </c>
      <c r="C8525" t="s">
        <v>419</v>
      </c>
      <c r="D8525" t="s">
        <v>801</v>
      </c>
      <c r="F8525">
        <v>1.78423797043159E-8</v>
      </c>
      <c r="G8525">
        <v>3065643</v>
      </c>
      <c r="H8525">
        <v>12849281</v>
      </c>
      <c r="I8525">
        <v>14295518</v>
      </c>
      <c r="J8525">
        <v>2</v>
      </c>
    </row>
    <row r="8526" spans="1:10" x14ac:dyDescent="0.25">
      <c r="A8526" t="s">
        <v>1598</v>
      </c>
      <c r="B8526" s="1" t="str">
        <f>HYPERLINK("http://biogenidec.at","biogenidec.at")</f>
        <v>biogenidec.at</v>
      </c>
      <c r="C8526" t="s">
        <v>419</v>
      </c>
      <c r="D8526" t="s">
        <v>801</v>
      </c>
      <c r="F8526">
        <v>4.6597844490561298E-9</v>
      </c>
      <c r="G8526">
        <v>43525398</v>
      </c>
      <c r="H8526">
        <v>11958723</v>
      </c>
      <c r="I8526">
        <v>28971415</v>
      </c>
      <c r="J8526">
        <v>3</v>
      </c>
    </row>
    <row r="8527" spans="1:10" x14ac:dyDescent="0.25">
      <c r="A8527" t="s">
        <v>1598</v>
      </c>
      <c r="B8527" s="1" t="str">
        <f>HYPERLINK("http://neurodiem.at","neurodiem.at")</f>
        <v>neurodiem.at</v>
      </c>
      <c r="C8527" t="s">
        <v>419</v>
      </c>
      <c r="D8527" t="s">
        <v>801</v>
      </c>
      <c r="F8527">
        <v>1.3280362839457799E-8</v>
      </c>
      <c r="G8527">
        <v>4502107</v>
      </c>
      <c r="H8527">
        <v>13297139</v>
      </c>
      <c r="I8527">
        <v>10843023</v>
      </c>
      <c r="J8527">
        <v>3</v>
      </c>
    </row>
    <row r="8528" spans="1:10" x14ac:dyDescent="0.25">
      <c r="A8528" t="s">
        <v>1598</v>
      </c>
      <c r="B8528" s="1" t="str">
        <f>HYPERLINK("http://togetherinsma.at","togetherinsma.at")</f>
        <v>togetherinsma.at</v>
      </c>
      <c r="C8528" t="s">
        <v>419</v>
      </c>
      <c r="D8528" t="s">
        <v>801</v>
      </c>
      <c r="F8528">
        <v>9.1524769933351805E-9</v>
      </c>
      <c r="G8528">
        <v>7775184</v>
      </c>
      <c r="H8528">
        <v>10517532</v>
      </c>
      <c r="I8528">
        <v>49152447</v>
      </c>
      <c r="J8528">
        <v>3</v>
      </c>
    </row>
    <row r="8529" spans="1:10" x14ac:dyDescent="0.25">
      <c r="A8529" t="s">
        <v>1598</v>
      </c>
      <c r="B8529" s="1" t="str">
        <f>HYPERLINK("http://biogen.com.au","biogen.com.au")</f>
        <v>biogen.com.au</v>
      </c>
      <c r="C8529" t="s">
        <v>420</v>
      </c>
      <c r="D8529" t="s">
        <v>802</v>
      </c>
      <c r="F8529">
        <v>1.73029980804164E-8</v>
      </c>
      <c r="G8529">
        <v>3198518</v>
      </c>
      <c r="H8529">
        <v>13972729</v>
      </c>
      <c r="I8529">
        <v>4069417</v>
      </c>
      <c r="J8529">
        <v>2</v>
      </c>
    </row>
    <row r="8530" spans="1:10" x14ac:dyDescent="0.25">
      <c r="A8530" t="s">
        <v>1598</v>
      </c>
      <c r="B8530" s="1" t="str">
        <f>HYPERLINK("http://neurodiem.com.au","neurodiem.com.au")</f>
        <v>neurodiem.com.au</v>
      </c>
      <c r="C8530" t="s">
        <v>420</v>
      </c>
      <c r="D8530" t="s">
        <v>802</v>
      </c>
      <c r="F8530">
        <v>1.1900603120161101E-8</v>
      </c>
      <c r="G8530">
        <v>5238945</v>
      </c>
      <c r="H8530">
        <v>10607270</v>
      </c>
      <c r="I8530">
        <v>44645538</v>
      </c>
      <c r="J8530">
        <v>4</v>
      </c>
    </row>
    <row r="8531" spans="1:10" x14ac:dyDescent="0.25">
      <c r="A8531" t="s">
        <v>1598</v>
      </c>
      <c r="B8531" s="1" t="str">
        <f>HYPERLINK("http://togetherinsma.com.au","togetherinsma.com.au")</f>
        <v>togetherinsma.com.au</v>
      </c>
      <c r="C8531" t="s">
        <v>420</v>
      </c>
      <c r="D8531" t="s">
        <v>802</v>
      </c>
      <c r="F8531">
        <v>8.9970805480563302E-9</v>
      </c>
      <c r="G8531">
        <v>7995956</v>
      </c>
      <c r="H8531">
        <v>10517533</v>
      </c>
      <c r="I8531">
        <v>49152399</v>
      </c>
      <c r="J8531">
        <v>3</v>
      </c>
    </row>
    <row r="8532" spans="1:10" x14ac:dyDescent="0.25">
      <c r="A8532" t="s">
        <v>1598</v>
      </c>
      <c r="B8532" s="1" t="str">
        <f>HYPERLINK("http://biogen.be","biogen.be")</f>
        <v>biogen.be</v>
      </c>
      <c r="C8532" t="s">
        <v>421</v>
      </c>
      <c r="D8532" t="s">
        <v>803</v>
      </c>
      <c r="F8532">
        <v>1.7781336478904501E-8</v>
      </c>
      <c r="G8532">
        <v>3078753</v>
      </c>
      <c r="H8532">
        <v>12828754</v>
      </c>
      <c r="I8532">
        <v>14442250</v>
      </c>
      <c r="J8532">
        <v>2</v>
      </c>
    </row>
    <row r="8533" spans="1:10" x14ac:dyDescent="0.25">
      <c r="A8533" t="s">
        <v>1598</v>
      </c>
      <c r="B8533" s="1" t="str">
        <f>HYPERLINK("http://neurodiem.be","neurodiem.be")</f>
        <v>neurodiem.be</v>
      </c>
      <c r="C8533" t="s">
        <v>421</v>
      </c>
      <c r="D8533" t="s">
        <v>803</v>
      </c>
      <c r="F8533">
        <v>1.2046898769830301E-8</v>
      </c>
      <c r="G8533">
        <v>5146249</v>
      </c>
      <c r="H8533">
        <v>12294661</v>
      </c>
      <c r="I8533">
        <v>20972272</v>
      </c>
      <c r="J8533">
        <v>3</v>
      </c>
    </row>
    <row r="8534" spans="1:10" x14ac:dyDescent="0.25">
      <c r="A8534" t="s">
        <v>1598</v>
      </c>
      <c r="B8534" s="1" t="str">
        <f>HYPERLINK("http://togetherinsma.be","togetherinsma.be")</f>
        <v>togetherinsma.be</v>
      </c>
      <c r="C8534" t="s">
        <v>421</v>
      </c>
      <c r="D8534" t="s">
        <v>803</v>
      </c>
      <c r="F8534">
        <v>9.5206313740772396E-9</v>
      </c>
      <c r="G8534">
        <v>7297999</v>
      </c>
      <c r="H8534">
        <v>10702065</v>
      </c>
      <c r="I8534">
        <v>42280104</v>
      </c>
      <c r="J8534">
        <v>3</v>
      </c>
    </row>
    <row r="8535" spans="1:10" x14ac:dyDescent="0.25">
      <c r="A8535" t="s">
        <v>1598</v>
      </c>
      <c r="B8535" s="1" t="str">
        <f>HYPERLINK("http://neurodiem.com.br","neurodiem.com.br")</f>
        <v>neurodiem.com.br</v>
      </c>
      <c r="C8535" t="s">
        <v>425</v>
      </c>
      <c r="D8535" t="s">
        <v>806</v>
      </c>
      <c r="F8535">
        <v>1.1980853744470601E-8</v>
      </c>
      <c r="G8535">
        <v>5188372</v>
      </c>
      <c r="H8535">
        <v>10607548</v>
      </c>
      <c r="I8535">
        <v>44637415</v>
      </c>
      <c r="J8535">
        <v>4</v>
      </c>
    </row>
    <row r="8536" spans="1:10" x14ac:dyDescent="0.25">
      <c r="A8536" t="s">
        <v>1598</v>
      </c>
      <c r="B8536" s="1" t="str">
        <f>HYPERLINK("http://biogen.ca","biogen.ca")</f>
        <v>biogen.ca</v>
      </c>
      <c r="C8536" t="s">
        <v>428</v>
      </c>
      <c r="D8536" t="s">
        <v>809</v>
      </c>
      <c r="F8536">
        <v>3.1937661264994998E-8</v>
      </c>
      <c r="G8536">
        <v>1617796</v>
      </c>
      <c r="H8536">
        <v>13109884</v>
      </c>
      <c r="I8536">
        <v>12038198</v>
      </c>
      <c r="J8536">
        <v>2</v>
      </c>
    </row>
    <row r="8537" spans="1:10" x14ac:dyDescent="0.25">
      <c r="A8537" t="s">
        <v>1598</v>
      </c>
      <c r="B8537" s="1" t="str">
        <f>HYPERLINK("http://neurodiem.ca","neurodiem.ca")</f>
        <v>neurodiem.ca</v>
      </c>
      <c r="C8537" t="s">
        <v>428</v>
      </c>
      <c r="D8537" t="s">
        <v>809</v>
      </c>
      <c r="F8537">
        <v>1.47214920027737E-8</v>
      </c>
      <c r="G8537">
        <v>3933523</v>
      </c>
      <c r="H8537">
        <v>12756235</v>
      </c>
      <c r="I8537">
        <v>14982295</v>
      </c>
      <c r="J8537">
        <v>3</v>
      </c>
    </row>
    <row r="8538" spans="1:10" x14ac:dyDescent="0.25">
      <c r="A8538" t="s">
        <v>1598</v>
      </c>
      <c r="B8538" s="1" t="str">
        <f>HYPERLINK("http://togetherinsma.ca","togetherinsma.ca")</f>
        <v>togetherinsma.ca</v>
      </c>
      <c r="C8538" t="s">
        <v>428</v>
      </c>
      <c r="D8538" t="s">
        <v>809</v>
      </c>
      <c r="F8538">
        <v>1.03456747896181E-8</v>
      </c>
      <c r="G8538">
        <v>6408689</v>
      </c>
      <c r="H8538">
        <v>10822365</v>
      </c>
      <c r="I8538">
        <v>37572341</v>
      </c>
      <c r="J8538">
        <v>3</v>
      </c>
    </row>
    <row r="8539" spans="1:10" x14ac:dyDescent="0.25">
      <c r="A8539" t="s">
        <v>1598</v>
      </c>
      <c r="B8539" s="1" t="str">
        <f>HYPERLINK("http://biogen.ch","biogen.ch")</f>
        <v>biogen.ch</v>
      </c>
      <c r="C8539" t="s">
        <v>429</v>
      </c>
      <c r="D8539" t="s">
        <v>810</v>
      </c>
      <c r="F8539">
        <v>3.0396592707190097E-8</v>
      </c>
      <c r="G8539">
        <v>1693656</v>
      </c>
      <c r="H8539">
        <v>13006883</v>
      </c>
      <c r="I8539">
        <v>12764963</v>
      </c>
      <c r="J8539">
        <v>2</v>
      </c>
    </row>
    <row r="8540" spans="1:10" x14ac:dyDescent="0.25">
      <c r="A8540" t="s">
        <v>1598</v>
      </c>
      <c r="B8540" s="1" t="str">
        <f>HYPERLINK("http://biogenidec.ch","biogenidec.ch")</f>
        <v>biogenidec.ch</v>
      </c>
      <c r="C8540" t="s">
        <v>429</v>
      </c>
      <c r="D8540" t="s">
        <v>810</v>
      </c>
      <c r="F8540">
        <v>5.3249003232547397E-9</v>
      </c>
      <c r="G8540">
        <v>23137197</v>
      </c>
      <c r="H8540">
        <v>12130251</v>
      </c>
      <c r="I8540">
        <v>25132951</v>
      </c>
      <c r="J8540">
        <v>3</v>
      </c>
    </row>
    <row r="8541" spans="1:10" x14ac:dyDescent="0.25">
      <c r="A8541" t="s">
        <v>1598</v>
      </c>
      <c r="B8541" s="1" t="str">
        <f>HYPERLINK("http://neurodiem.ch","neurodiem.ch")</f>
        <v>neurodiem.ch</v>
      </c>
      <c r="C8541" t="s">
        <v>429</v>
      </c>
      <c r="D8541" t="s">
        <v>810</v>
      </c>
      <c r="F8541">
        <v>1.16260979058436E-8</v>
      </c>
      <c r="G8541">
        <v>5415508</v>
      </c>
      <c r="H8541">
        <v>10607269</v>
      </c>
      <c r="I8541">
        <v>44645638</v>
      </c>
      <c r="J8541">
        <v>3</v>
      </c>
    </row>
    <row r="8542" spans="1:10" x14ac:dyDescent="0.25">
      <c r="A8542" t="s">
        <v>1598</v>
      </c>
      <c r="B8542" s="1" t="str">
        <f>HYPERLINK("http://togetherinsma.ch","togetherinsma.ch")</f>
        <v>togetherinsma.ch</v>
      </c>
      <c r="C8542" t="s">
        <v>429</v>
      </c>
      <c r="D8542" t="s">
        <v>810</v>
      </c>
      <c r="F8542">
        <v>8.8601508966960104E-9</v>
      </c>
      <c r="G8542">
        <v>8208171</v>
      </c>
      <c r="H8542">
        <v>10517532</v>
      </c>
      <c r="I8542">
        <v>49152451</v>
      </c>
      <c r="J8542">
        <v>3</v>
      </c>
    </row>
    <row r="8543" spans="1:10" x14ac:dyDescent="0.25">
      <c r="A8543" t="s">
        <v>1598</v>
      </c>
      <c r="B8543" s="1" t="str">
        <f>HYPERLINK("http://neurodiem.cl","neurodiem.cl")</f>
        <v>neurodiem.cl</v>
      </c>
      <c r="C8543" t="s">
        <v>430</v>
      </c>
      <c r="D8543" t="s">
        <v>811</v>
      </c>
      <c r="F8543">
        <v>1.16402294065479E-8</v>
      </c>
      <c r="G8543">
        <v>5405967</v>
      </c>
      <c r="H8543">
        <v>10607269</v>
      </c>
      <c r="I8543">
        <v>44645639</v>
      </c>
      <c r="J8543">
        <v>3</v>
      </c>
    </row>
    <row r="8544" spans="1:10" x14ac:dyDescent="0.25">
      <c r="A8544" t="s">
        <v>1598</v>
      </c>
      <c r="B8544" s="1" t="str">
        <f>HYPERLINK("http://biogen.cn","biogen.cn")</f>
        <v>biogen.cn</v>
      </c>
      <c r="C8544" t="s">
        <v>431</v>
      </c>
      <c r="D8544" t="s">
        <v>812</v>
      </c>
      <c r="F8544">
        <v>8.6417071839691403E-9</v>
      </c>
      <c r="G8544">
        <v>8581138</v>
      </c>
      <c r="H8544">
        <v>12166684</v>
      </c>
      <c r="I8544">
        <v>24155125</v>
      </c>
      <c r="J8544">
        <v>2</v>
      </c>
    </row>
    <row r="8545" spans="1:10" x14ac:dyDescent="0.25">
      <c r="A8545" t="s">
        <v>1598</v>
      </c>
      <c r="B8545" s="1" t="str">
        <f>HYPERLINK("http://neurodiem.com.co","neurodiem.com.co")</f>
        <v>neurodiem.com.co</v>
      </c>
      <c r="C8545" t="s">
        <v>432</v>
      </c>
      <c r="F8545">
        <v>1.16692360947807E-8</v>
      </c>
      <c r="G8545">
        <v>5386071</v>
      </c>
      <c r="H8545">
        <v>10607762</v>
      </c>
      <c r="I8545">
        <v>44632663</v>
      </c>
      <c r="J8545">
        <v>3</v>
      </c>
    </row>
    <row r="8546" spans="1:10" x14ac:dyDescent="0.25">
      <c r="A8546" t="s">
        <v>1598</v>
      </c>
      <c r="B8546" s="1" t="str">
        <f>HYPERLINK("http://biogen.com","biogen.com")</f>
        <v>biogen.com</v>
      </c>
      <c r="C8546" t="s">
        <v>433</v>
      </c>
      <c r="E8546">
        <v>40237</v>
      </c>
      <c r="F8546">
        <v>1.22699005214459E-6</v>
      </c>
      <c r="G8546">
        <v>31708</v>
      </c>
      <c r="H8546">
        <v>17334030</v>
      </c>
      <c r="I8546">
        <v>24569</v>
      </c>
      <c r="J8546">
        <v>1</v>
      </c>
    </row>
    <row r="8547" spans="1:10" x14ac:dyDescent="0.25">
      <c r="A8547" t="s">
        <v>1598</v>
      </c>
      <c r="B8547" s="1" t="str">
        <f>HYPERLINK("http://neurodiem.com","neurodiem.com")</f>
        <v>neurodiem.com</v>
      </c>
      <c r="C8547" t="s">
        <v>433</v>
      </c>
      <c r="F8547">
        <v>2.1567115535685901E-8</v>
      </c>
      <c r="G8547">
        <v>2440658</v>
      </c>
      <c r="H8547">
        <v>14082153</v>
      </c>
      <c r="I8547">
        <v>2802924</v>
      </c>
      <c r="J8547">
        <v>3</v>
      </c>
    </row>
    <row r="8548" spans="1:10" x14ac:dyDescent="0.25">
      <c r="A8548" t="s">
        <v>1598</v>
      </c>
      <c r="B8548" s="1" t="str">
        <f>HYPERLINK("http://nightstartx.com","nightstartx.com")</f>
        <v>nightstartx.com</v>
      </c>
      <c r="C8548" t="s">
        <v>433</v>
      </c>
      <c r="F8548">
        <v>1.26646328425913E-8</v>
      </c>
      <c r="G8548">
        <v>4797307</v>
      </c>
      <c r="H8548">
        <v>13330615</v>
      </c>
      <c r="I8548">
        <v>10719834</v>
      </c>
      <c r="J8548">
        <v>3</v>
      </c>
    </row>
    <row r="8549" spans="1:10" x14ac:dyDescent="0.25">
      <c r="A8549" t="s">
        <v>1598</v>
      </c>
      <c r="B8549" s="1" t="str">
        <f>HYPERLINK("http://nightstarx.com","nightstarx.com")</f>
        <v>nightstarx.com</v>
      </c>
      <c r="C8549" t="s">
        <v>433</v>
      </c>
      <c r="F8549">
        <v>1.1254943055428401E-8</v>
      </c>
      <c r="G8549">
        <v>5674284</v>
      </c>
      <c r="H8549">
        <v>13392603</v>
      </c>
      <c r="I8549">
        <v>10385354</v>
      </c>
      <c r="J8549">
        <v>3</v>
      </c>
    </row>
    <row r="8550" spans="1:10" x14ac:dyDescent="0.25">
      <c r="A8550" t="s">
        <v>1598</v>
      </c>
      <c r="B8550" s="1" t="str">
        <f>HYPERLINK("http://togetherinsma.com","togetherinsma.com")</f>
        <v>togetherinsma.com</v>
      </c>
      <c r="C8550" t="s">
        <v>433</v>
      </c>
      <c r="F8550">
        <v>2.8837281402445201E-8</v>
      </c>
      <c r="G8550">
        <v>1784875</v>
      </c>
      <c r="H8550">
        <v>13190549</v>
      </c>
      <c r="I8550">
        <v>11601081</v>
      </c>
      <c r="J8550">
        <v>3</v>
      </c>
    </row>
    <row r="8551" spans="1:10" x14ac:dyDescent="0.25">
      <c r="A8551" t="s">
        <v>1598</v>
      </c>
      <c r="B8551" s="1" t="str">
        <f>HYPERLINK("http://biogen.uk.com","biogen.uk.com")</f>
        <v>biogen.uk.com</v>
      </c>
      <c r="C8551" t="s">
        <v>433</v>
      </c>
      <c r="J8551">
        <v>3</v>
      </c>
    </row>
    <row r="8552" spans="1:10" x14ac:dyDescent="0.25">
      <c r="A8552" t="s">
        <v>1598</v>
      </c>
      <c r="B8552" s="1" t="str">
        <f>HYPERLINK("http://biogen.de","biogen.de")</f>
        <v>biogen.de</v>
      </c>
      <c r="C8552" t="s">
        <v>436</v>
      </c>
      <c r="D8552" t="s">
        <v>815</v>
      </c>
      <c r="F8552">
        <v>6.7432357867613402E-8</v>
      </c>
      <c r="G8552">
        <v>633703</v>
      </c>
      <c r="H8552">
        <v>14327712</v>
      </c>
      <c r="I8552">
        <v>1325570</v>
      </c>
      <c r="J8552">
        <v>2</v>
      </c>
    </row>
    <row r="8553" spans="1:10" x14ac:dyDescent="0.25">
      <c r="A8553" t="s">
        <v>1598</v>
      </c>
      <c r="B8553" s="1" t="str">
        <f>HYPERLINK("http://neurodiem.de","neurodiem.de")</f>
        <v>neurodiem.de</v>
      </c>
      <c r="C8553" t="s">
        <v>436</v>
      </c>
      <c r="D8553" t="s">
        <v>815</v>
      </c>
      <c r="F8553">
        <v>1.31365198719418E-8</v>
      </c>
      <c r="G8553">
        <v>4567167</v>
      </c>
      <c r="H8553">
        <v>12024405</v>
      </c>
      <c r="I8553">
        <v>27790781</v>
      </c>
      <c r="J8553">
        <v>3</v>
      </c>
    </row>
    <row r="8554" spans="1:10" x14ac:dyDescent="0.25">
      <c r="A8554" t="s">
        <v>1598</v>
      </c>
      <c r="B8554" s="1" t="str">
        <f>HYPERLINK("http://togetherinsma.de","togetherinsma.de")</f>
        <v>togetherinsma.de</v>
      </c>
      <c r="C8554" t="s">
        <v>436</v>
      </c>
      <c r="D8554" t="s">
        <v>815</v>
      </c>
      <c r="F8554">
        <v>1.0958551753266E-8</v>
      </c>
      <c r="G8554">
        <v>5897080</v>
      </c>
      <c r="H8554">
        <v>12314115</v>
      </c>
      <c r="I8554">
        <v>20531432</v>
      </c>
      <c r="J8554">
        <v>3</v>
      </c>
    </row>
    <row r="8555" spans="1:10" x14ac:dyDescent="0.25">
      <c r="A8555" t="s">
        <v>1598</v>
      </c>
      <c r="B8555" s="1" t="str">
        <f>HYPERLINK("http://biogen.dk","biogen.dk")</f>
        <v>biogen.dk</v>
      </c>
      <c r="C8555" t="s">
        <v>437</v>
      </c>
      <c r="D8555" t="s">
        <v>816</v>
      </c>
      <c r="F8555">
        <v>1.7877680086650501E-8</v>
      </c>
      <c r="G8555">
        <v>3058216</v>
      </c>
      <c r="H8555">
        <v>14076645</v>
      </c>
      <c r="I8555">
        <v>2882739</v>
      </c>
      <c r="J8555">
        <v>2</v>
      </c>
    </row>
    <row r="8556" spans="1:10" x14ac:dyDescent="0.25">
      <c r="A8556" t="s">
        <v>1598</v>
      </c>
      <c r="B8556" s="1" t="str">
        <f>HYPERLINK("http://biogenidec.dk","biogenidec.dk")</f>
        <v>biogenidec.dk</v>
      </c>
      <c r="C8556" t="s">
        <v>437</v>
      </c>
      <c r="D8556" t="s">
        <v>816</v>
      </c>
      <c r="F8556">
        <v>5.63754525054499E-9</v>
      </c>
      <c r="G8556">
        <v>19506646</v>
      </c>
      <c r="H8556">
        <v>14071804</v>
      </c>
      <c r="I8556">
        <v>3314642</v>
      </c>
      <c r="J8556">
        <v>5</v>
      </c>
    </row>
    <row r="8557" spans="1:10" x14ac:dyDescent="0.25">
      <c r="A8557" t="s">
        <v>1598</v>
      </c>
      <c r="B8557" s="1" t="str">
        <f>HYPERLINK("http://neurodiem.dk","neurodiem.dk")</f>
        <v>neurodiem.dk</v>
      </c>
      <c r="C8557" t="s">
        <v>437</v>
      </c>
      <c r="D8557" t="s">
        <v>816</v>
      </c>
      <c r="F8557">
        <v>1.1641227718223799E-8</v>
      </c>
      <c r="G8557">
        <v>5404957</v>
      </c>
      <c r="H8557">
        <v>12031147</v>
      </c>
      <c r="I8557">
        <v>27634641</v>
      </c>
      <c r="J8557">
        <v>3</v>
      </c>
    </row>
    <row r="8558" spans="1:10" x14ac:dyDescent="0.25">
      <c r="A8558" t="s">
        <v>1598</v>
      </c>
      <c r="B8558" s="1" t="str">
        <f>HYPERLINK("http://togetherinsma.dk","togetherinsma.dk")</f>
        <v>togetherinsma.dk</v>
      </c>
      <c r="C8558" t="s">
        <v>437</v>
      </c>
      <c r="D8558" t="s">
        <v>816</v>
      </c>
      <c r="F8558">
        <v>9.6130425802623606E-9</v>
      </c>
      <c r="G8558">
        <v>7184077</v>
      </c>
      <c r="H8558">
        <v>10517533</v>
      </c>
      <c r="I8558">
        <v>49152423</v>
      </c>
      <c r="J8558">
        <v>3</v>
      </c>
    </row>
    <row r="8559" spans="1:10" x14ac:dyDescent="0.25">
      <c r="A8559" t="s">
        <v>1598</v>
      </c>
      <c r="B8559" s="1" t="str">
        <f>HYPERLINK("http://biogen.ee","biogen.ee")</f>
        <v>biogen.ee</v>
      </c>
      <c r="C8559" t="s">
        <v>441</v>
      </c>
      <c r="D8559" t="s">
        <v>820</v>
      </c>
      <c r="F8559">
        <v>9.57748832041388E-9</v>
      </c>
      <c r="G8559">
        <v>7230763</v>
      </c>
      <c r="H8559">
        <v>12166689</v>
      </c>
      <c r="I8559">
        <v>24155042</v>
      </c>
      <c r="J8559">
        <v>2</v>
      </c>
    </row>
    <row r="8560" spans="1:10" x14ac:dyDescent="0.25">
      <c r="A8560" t="s">
        <v>1598</v>
      </c>
      <c r="B8560" s="1" t="str">
        <f>HYPERLINK("http://biogen.com.es","biogen.com.es")</f>
        <v>biogen.com.es</v>
      </c>
      <c r="C8560" t="s">
        <v>443</v>
      </c>
      <c r="D8560" t="s">
        <v>822</v>
      </c>
      <c r="F8560">
        <v>2.1684804209041699E-8</v>
      </c>
      <c r="G8560">
        <v>2425673</v>
      </c>
      <c r="H8560">
        <v>13579617</v>
      </c>
      <c r="I8560">
        <v>9690969</v>
      </c>
      <c r="J8560">
        <v>2</v>
      </c>
    </row>
    <row r="8561" spans="1:10" x14ac:dyDescent="0.25">
      <c r="A8561" t="s">
        <v>1598</v>
      </c>
      <c r="B8561" s="1" t="str">
        <f>HYPERLINK("http://neurodiem.es","neurodiem.es")</f>
        <v>neurodiem.es</v>
      </c>
      <c r="C8561" t="s">
        <v>443</v>
      </c>
      <c r="D8561" t="s">
        <v>822</v>
      </c>
      <c r="F8561">
        <v>1.28874855380425E-8</v>
      </c>
      <c r="G8561">
        <v>4685331</v>
      </c>
      <c r="H8561">
        <v>13764160</v>
      </c>
      <c r="I8561">
        <v>7355891</v>
      </c>
      <c r="J8561">
        <v>3</v>
      </c>
    </row>
    <row r="8562" spans="1:10" x14ac:dyDescent="0.25">
      <c r="A8562" t="s">
        <v>1598</v>
      </c>
      <c r="B8562" s="1" t="str">
        <f>HYPERLINK("http://togetherinsma.es","togetherinsma.es")</f>
        <v>togetherinsma.es</v>
      </c>
      <c r="C8562" t="s">
        <v>443</v>
      </c>
      <c r="D8562" t="s">
        <v>822</v>
      </c>
      <c r="F8562">
        <v>9.9086404309724901E-9</v>
      </c>
      <c r="G8562">
        <v>6850614</v>
      </c>
      <c r="H8562">
        <v>10817631</v>
      </c>
      <c r="I8562">
        <v>37675865</v>
      </c>
      <c r="J8562">
        <v>3</v>
      </c>
    </row>
    <row r="8563" spans="1:10" x14ac:dyDescent="0.25">
      <c r="A8563" t="s">
        <v>1598</v>
      </c>
      <c r="B8563" s="1" t="str">
        <f>HYPERLINK("http://togetherinsma.eu","togetherinsma.eu")</f>
        <v>togetherinsma.eu</v>
      </c>
      <c r="C8563" t="s">
        <v>444</v>
      </c>
      <c r="F8563">
        <v>2.95857306333313E-8</v>
      </c>
      <c r="G8563">
        <v>1742393</v>
      </c>
      <c r="H8563">
        <v>12069389</v>
      </c>
      <c r="I8563">
        <v>26803283</v>
      </c>
      <c r="J8563">
        <v>3</v>
      </c>
    </row>
    <row r="8564" spans="1:10" x14ac:dyDescent="0.25">
      <c r="A8564" t="s">
        <v>1598</v>
      </c>
      <c r="B8564" s="1" t="str">
        <f>HYPERLINK("http://aducanumab.fi","aducanumab.fi")</f>
        <v>aducanumab.fi</v>
      </c>
      <c r="C8564" t="s">
        <v>445</v>
      </c>
      <c r="D8564" t="s">
        <v>823</v>
      </c>
      <c r="J8564">
        <v>4</v>
      </c>
    </row>
    <row r="8565" spans="1:10" x14ac:dyDescent="0.25">
      <c r="A8565" t="s">
        <v>1598</v>
      </c>
      <c r="B8565" s="1" t="str">
        <f>HYPERLINK("http://aduhelm.fi","aduhelm.fi")</f>
        <v>aduhelm.fi</v>
      </c>
      <c r="C8565" t="s">
        <v>445</v>
      </c>
      <c r="D8565" t="s">
        <v>823</v>
      </c>
      <c r="J8565">
        <v>4</v>
      </c>
    </row>
    <row r="8566" spans="1:10" x14ac:dyDescent="0.25">
      <c r="A8566" t="s">
        <v>1598</v>
      </c>
      <c r="B8566" s="1" t="str">
        <f>HYPERLINK("http://aivopankki.fi","aivopankki.fi")</f>
        <v>aivopankki.fi</v>
      </c>
      <c r="C8566" t="s">
        <v>445</v>
      </c>
      <c r="D8566" t="s">
        <v>823</v>
      </c>
      <c r="F8566">
        <v>8.0384938412026298E-9</v>
      </c>
      <c r="G8566">
        <v>9850596</v>
      </c>
      <c r="H8566">
        <v>12180822</v>
      </c>
      <c r="I8566">
        <v>23798917</v>
      </c>
      <c r="J8566">
        <v>2</v>
      </c>
    </row>
    <row r="8567" spans="1:10" x14ac:dyDescent="0.25">
      <c r="A8567" t="s">
        <v>1598</v>
      </c>
      <c r="B8567" s="1" t="str">
        <f>HYPERLINK("http://als-nyt.fi","als-nyt.fi")</f>
        <v>als-nyt.fi</v>
      </c>
      <c r="C8567" t="s">
        <v>445</v>
      </c>
      <c r="D8567" t="s">
        <v>823</v>
      </c>
      <c r="J8567">
        <v>4</v>
      </c>
    </row>
    <row r="8568" spans="1:10" x14ac:dyDescent="0.25">
      <c r="A8568" t="s">
        <v>1598</v>
      </c>
      <c r="B8568" s="1" t="str">
        <f>HYPERLINK("http://alzheimer-nyt.fi","alzheimer-nyt.fi")</f>
        <v>alzheimer-nyt.fi</v>
      </c>
      <c r="C8568" t="s">
        <v>445</v>
      </c>
      <c r="D8568" t="s">
        <v>823</v>
      </c>
      <c r="J8568">
        <v>4</v>
      </c>
    </row>
    <row r="8569" spans="1:10" x14ac:dyDescent="0.25">
      <c r="A8569" t="s">
        <v>1598</v>
      </c>
      <c r="B8569" s="1" t="str">
        <f>HYPERLINK("http://avonex.fi","avonex.fi")</f>
        <v>avonex.fi</v>
      </c>
      <c r="C8569" t="s">
        <v>445</v>
      </c>
      <c r="D8569" t="s">
        <v>823</v>
      </c>
      <c r="J8569">
        <v>4</v>
      </c>
    </row>
    <row r="8570" spans="1:10" x14ac:dyDescent="0.25">
      <c r="A8570" t="s">
        <v>1598</v>
      </c>
      <c r="B8570" s="1" t="str">
        <f>HYPERLINK("http://biogen.fi","biogen.fi")</f>
        <v>biogen.fi</v>
      </c>
      <c r="C8570" t="s">
        <v>445</v>
      </c>
      <c r="D8570" t="s">
        <v>823</v>
      </c>
      <c r="F8570">
        <v>1.7934177875509901E-8</v>
      </c>
      <c r="G8570">
        <v>3046414</v>
      </c>
      <c r="H8570">
        <v>13024706</v>
      </c>
      <c r="I8570">
        <v>12694973</v>
      </c>
      <c r="J8570">
        <v>2</v>
      </c>
    </row>
    <row r="8571" spans="1:10" x14ac:dyDescent="0.25">
      <c r="A8571" t="s">
        <v>1598</v>
      </c>
      <c r="B8571" s="1" t="str">
        <f>HYPERLINK("http://biogengrantsandgivingportal.fi","biogengrantsandgivingportal.fi")</f>
        <v>biogengrantsandgivingportal.fi</v>
      </c>
      <c r="C8571" t="s">
        <v>445</v>
      </c>
      <c r="D8571" t="s">
        <v>823</v>
      </c>
      <c r="J8571">
        <v>2</v>
      </c>
    </row>
    <row r="8572" spans="1:10" x14ac:dyDescent="0.25">
      <c r="A8572" t="s">
        <v>1598</v>
      </c>
      <c r="B8572" s="1" t="str">
        <f>HYPERLINK("http://biogenidec.fi","biogenidec.fi")</f>
        <v>biogenidec.fi</v>
      </c>
      <c r="C8572" t="s">
        <v>445</v>
      </c>
      <c r="D8572" t="s">
        <v>823</v>
      </c>
      <c r="F8572">
        <v>4.5105663266230302E-9</v>
      </c>
      <c r="G8572">
        <v>57428326</v>
      </c>
      <c r="H8572">
        <v>9908636</v>
      </c>
      <c r="I8572">
        <v>61559063</v>
      </c>
      <c r="J8572">
        <v>4</v>
      </c>
    </row>
    <row r="8573" spans="1:10" x14ac:dyDescent="0.25">
      <c r="A8573" t="s">
        <v>1598</v>
      </c>
      <c r="B8573" s="1" t="str">
        <f>HYPERLINK("http://biogenpro.fi","biogenpro.fi")</f>
        <v>biogenpro.fi</v>
      </c>
      <c r="C8573" t="s">
        <v>445</v>
      </c>
      <c r="D8573" t="s">
        <v>823</v>
      </c>
      <c r="J8573">
        <v>2</v>
      </c>
    </row>
    <row r="8574" spans="1:10" x14ac:dyDescent="0.25">
      <c r="A8574" t="s">
        <v>1598</v>
      </c>
      <c r="B8574" s="1" t="str">
        <f>HYPERLINK("http://biosimilaari-nyt.fi","biosimilaari-nyt.fi")</f>
        <v>biosimilaari-nyt.fi</v>
      </c>
      <c r="C8574" t="s">
        <v>445</v>
      </c>
      <c r="D8574" t="s">
        <v>823</v>
      </c>
      <c r="J8574">
        <v>2</v>
      </c>
    </row>
    <row r="8575" spans="1:10" x14ac:dyDescent="0.25">
      <c r="A8575" t="s">
        <v>1598</v>
      </c>
      <c r="B8575" s="1" t="str">
        <f>HYPERLINK("http://biosimilars-right.fi","biosimilars-right.fi")</f>
        <v>biosimilars-right.fi</v>
      </c>
      <c r="C8575" t="s">
        <v>445</v>
      </c>
      <c r="D8575" t="s">
        <v>823</v>
      </c>
      <c r="J8575">
        <v>2</v>
      </c>
    </row>
    <row r="8576" spans="1:10" x14ac:dyDescent="0.25">
      <c r="A8576" t="s">
        <v>1598</v>
      </c>
      <c r="B8576" s="1" t="str">
        <f>HYPERLINK("http://biosimilarsright.fi","biosimilarsright.fi")</f>
        <v>biosimilarsright.fi</v>
      </c>
      <c r="C8576" t="s">
        <v>445</v>
      </c>
      <c r="D8576" t="s">
        <v>823</v>
      </c>
      <c r="J8576">
        <v>2</v>
      </c>
    </row>
    <row r="8577" spans="1:10" x14ac:dyDescent="0.25">
      <c r="A8577" t="s">
        <v>1598</v>
      </c>
      <c r="B8577" s="1" t="str">
        <f>HYPERLINK("http://daclizumab.fi","daclizumab.fi")</f>
        <v>daclizumab.fi</v>
      </c>
      <c r="C8577" t="s">
        <v>445</v>
      </c>
      <c r="D8577" t="s">
        <v>823</v>
      </c>
      <c r="J8577">
        <v>4</v>
      </c>
    </row>
    <row r="8578" spans="1:10" x14ac:dyDescent="0.25">
      <c r="A8578" t="s">
        <v>1598</v>
      </c>
      <c r="B8578" s="1" t="str">
        <f>HYPERLINK("http://fampyra.fi","fampyra.fi")</f>
        <v>fampyra.fi</v>
      </c>
      <c r="C8578" t="s">
        <v>445</v>
      </c>
      <c r="D8578" t="s">
        <v>823</v>
      </c>
      <c r="J8578">
        <v>4</v>
      </c>
    </row>
    <row r="8579" spans="1:10" x14ac:dyDescent="0.25">
      <c r="A8579" t="s">
        <v>1598</v>
      </c>
      <c r="B8579" s="1" t="str">
        <f>HYPERLINK("http://hyvataskeleet.fi","hyvataskeleet.fi")</f>
        <v>hyvataskeleet.fi</v>
      </c>
      <c r="C8579" t="s">
        <v>445</v>
      </c>
      <c r="D8579" t="s">
        <v>823</v>
      </c>
      <c r="J8579">
        <v>4</v>
      </c>
    </row>
    <row r="8580" spans="1:10" x14ac:dyDescent="0.25">
      <c r="A8580" t="s">
        <v>1598</v>
      </c>
      <c r="B8580" s="1" t="str">
        <f>HYPERLINK("http://identifyalz.fi","identifyalz.fi")</f>
        <v>identifyalz.fi</v>
      </c>
      <c r="C8580" t="s">
        <v>445</v>
      </c>
      <c r="D8580" t="s">
        <v>823</v>
      </c>
      <c r="J8580">
        <v>2</v>
      </c>
    </row>
    <row r="8581" spans="1:10" x14ac:dyDescent="0.25">
      <c r="A8581" t="s">
        <v>1598</v>
      </c>
      <c r="B8581" s="1" t="str">
        <f>HYPERLINK("http://koroideremia-nyt.fi","koroideremia-nyt.fi")</f>
        <v>koroideremia-nyt.fi</v>
      </c>
      <c r="C8581" t="s">
        <v>445</v>
      </c>
      <c r="D8581" t="s">
        <v>823</v>
      </c>
      <c r="J8581">
        <v>4</v>
      </c>
    </row>
    <row r="8582" spans="1:10" x14ac:dyDescent="0.25">
      <c r="A8582" t="s">
        <v>1598</v>
      </c>
      <c r="B8582" s="1" t="str">
        <f>HYPERLINK("http://levimune.fi","levimune.fi")</f>
        <v>levimune.fi</v>
      </c>
      <c r="C8582" t="s">
        <v>445</v>
      </c>
      <c r="D8582" t="s">
        <v>823</v>
      </c>
      <c r="J8582">
        <v>4</v>
      </c>
    </row>
    <row r="8583" spans="1:10" x14ac:dyDescent="0.25">
      <c r="A8583" t="s">
        <v>1598</v>
      </c>
      <c r="B8583" s="1" t="str">
        <f>HYPERLINK("http://ms-next.fi","ms-next.fi")</f>
        <v>ms-next.fi</v>
      </c>
      <c r="C8583" t="s">
        <v>445</v>
      </c>
      <c r="D8583" t="s">
        <v>823</v>
      </c>
      <c r="J8583">
        <v>4</v>
      </c>
    </row>
    <row r="8584" spans="1:10" x14ac:dyDescent="0.25">
      <c r="A8584" t="s">
        <v>1598</v>
      </c>
      <c r="B8584" s="1" t="str">
        <f>HYPERLINK("http://ms-nyt.fi","ms-nyt.fi")</f>
        <v>ms-nyt.fi</v>
      </c>
      <c r="C8584" t="s">
        <v>445</v>
      </c>
      <c r="D8584" t="s">
        <v>823</v>
      </c>
      <c r="F8584">
        <v>9.9894799097045492E-9</v>
      </c>
      <c r="G8584">
        <v>6766258</v>
      </c>
      <c r="H8584">
        <v>12888146</v>
      </c>
      <c r="I8584">
        <v>13948883</v>
      </c>
      <c r="J8584">
        <v>2</v>
      </c>
    </row>
    <row r="8585" spans="1:10" x14ac:dyDescent="0.25">
      <c r="A8585" t="s">
        <v>1598</v>
      </c>
      <c r="B8585" s="1" t="str">
        <f>HYPERLINK("http://ms-story.fi","ms-story.fi")</f>
        <v>ms-story.fi</v>
      </c>
      <c r="C8585" t="s">
        <v>445</v>
      </c>
      <c r="D8585" t="s">
        <v>823</v>
      </c>
      <c r="J8585">
        <v>4</v>
      </c>
    </row>
    <row r="8586" spans="1:10" x14ac:dyDescent="0.25">
      <c r="A8586" t="s">
        <v>1598</v>
      </c>
      <c r="B8586" s="1" t="str">
        <f>HYPERLINK("http://msnext.fi","msnext.fi")</f>
        <v>msnext.fi</v>
      </c>
      <c r="C8586" t="s">
        <v>445</v>
      </c>
      <c r="D8586" t="s">
        <v>823</v>
      </c>
      <c r="J8586">
        <v>4</v>
      </c>
    </row>
    <row r="8587" spans="1:10" x14ac:dyDescent="0.25">
      <c r="A8587" t="s">
        <v>1598</v>
      </c>
      <c r="B8587" s="1" t="str">
        <f>HYPERLINK("http://msnyt.fi","msnyt.fi")</f>
        <v>msnyt.fi</v>
      </c>
      <c r="C8587" t="s">
        <v>445</v>
      </c>
      <c r="D8587" t="s">
        <v>823</v>
      </c>
      <c r="J8587">
        <v>4</v>
      </c>
    </row>
    <row r="8588" spans="1:10" x14ac:dyDescent="0.25">
      <c r="A8588" t="s">
        <v>1598</v>
      </c>
      <c r="B8588" s="1" t="str">
        <f>HYPERLINK("http://msstory.fi","msstory.fi")</f>
        <v>msstory.fi</v>
      </c>
      <c r="C8588" t="s">
        <v>445</v>
      </c>
      <c r="D8588" t="s">
        <v>823</v>
      </c>
      <c r="J8588">
        <v>4</v>
      </c>
    </row>
    <row r="8589" spans="1:10" x14ac:dyDescent="0.25">
      <c r="A8589" t="s">
        <v>1598</v>
      </c>
      <c r="B8589" s="1" t="str">
        <f>HYPERLINK("http://multiple-care.fi","multiple-care.fi")</f>
        <v>multiple-care.fi</v>
      </c>
      <c r="C8589" t="s">
        <v>445</v>
      </c>
      <c r="D8589" t="s">
        <v>823</v>
      </c>
      <c r="J8589">
        <v>4</v>
      </c>
    </row>
    <row r="8590" spans="1:10" x14ac:dyDescent="0.25">
      <c r="A8590" t="s">
        <v>1598</v>
      </c>
      <c r="B8590" s="1" t="str">
        <f>HYPERLINK("http://multiplecare.fi","multiplecare.fi")</f>
        <v>multiplecare.fi</v>
      </c>
      <c r="C8590" t="s">
        <v>445</v>
      </c>
      <c r="D8590" t="s">
        <v>823</v>
      </c>
      <c r="J8590">
        <v>4</v>
      </c>
    </row>
    <row r="8591" spans="1:10" x14ac:dyDescent="0.25">
      <c r="A8591" t="s">
        <v>1598</v>
      </c>
      <c r="B8591" s="1" t="str">
        <f>HYPERLINK("http://multiplechoices.fi","multiplechoices.fi")</f>
        <v>multiplechoices.fi</v>
      </c>
      <c r="C8591" t="s">
        <v>445</v>
      </c>
      <c r="D8591" t="s">
        <v>823</v>
      </c>
      <c r="J8591">
        <v>4</v>
      </c>
    </row>
    <row r="8592" spans="1:10" x14ac:dyDescent="0.25">
      <c r="A8592" t="s">
        <v>1598</v>
      </c>
      <c r="B8592" s="1" t="str">
        <f>HYPERLINK("http://mybiogen.fi","mybiogen.fi")</f>
        <v>mybiogen.fi</v>
      </c>
      <c r="C8592" t="s">
        <v>445</v>
      </c>
      <c r="D8592" t="s">
        <v>823</v>
      </c>
      <c r="J8592">
        <v>2</v>
      </c>
    </row>
    <row r="8593" spans="1:10" x14ac:dyDescent="0.25">
      <c r="A8593" t="s">
        <v>1598</v>
      </c>
      <c r="B8593" s="1" t="str">
        <f>HYPERLINK("http://neurodiem.fi","neurodiem.fi")</f>
        <v>neurodiem.fi</v>
      </c>
      <c r="C8593" t="s">
        <v>445</v>
      </c>
      <c r="D8593" t="s">
        <v>823</v>
      </c>
      <c r="F8593">
        <v>1.16645347403532E-8</v>
      </c>
      <c r="G8593">
        <v>5389088</v>
      </c>
      <c r="H8593">
        <v>10607269</v>
      </c>
      <c r="I8593">
        <v>44645648</v>
      </c>
      <c r="J8593">
        <v>2</v>
      </c>
    </row>
    <row r="8594" spans="1:10" x14ac:dyDescent="0.25">
      <c r="A8594" t="s">
        <v>1598</v>
      </c>
      <c r="B8594" s="1" t="str">
        <f>HYPERLINK("http://nusinersen.fi","nusinersen.fi")</f>
        <v>nusinersen.fi</v>
      </c>
      <c r="C8594" t="s">
        <v>445</v>
      </c>
      <c r="D8594" t="s">
        <v>823</v>
      </c>
      <c r="J8594">
        <v>4</v>
      </c>
    </row>
    <row r="8595" spans="1:10" x14ac:dyDescent="0.25">
      <c r="A8595" t="s">
        <v>1598</v>
      </c>
      <c r="B8595" s="1" t="str">
        <f>HYPERLINK("http://ocrelizumab.fi","ocrelizumab.fi")</f>
        <v>ocrelizumab.fi</v>
      </c>
      <c r="C8595" t="s">
        <v>445</v>
      </c>
      <c r="D8595" t="s">
        <v>823</v>
      </c>
      <c r="J8595">
        <v>4</v>
      </c>
    </row>
    <row r="8596" spans="1:10" x14ac:dyDescent="0.25">
      <c r="A8596" t="s">
        <v>1598</v>
      </c>
      <c r="B8596" s="1" t="str">
        <f>HYPERLINK("http://okrelitsumabi.fi","okrelitsumabi.fi")</f>
        <v>okrelitsumabi.fi</v>
      </c>
      <c r="C8596" t="s">
        <v>445</v>
      </c>
      <c r="D8596" t="s">
        <v>823</v>
      </c>
      <c r="J8596">
        <v>4</v>
      </c>
    </row>
    <row r="8597" spans="1:10" x14ac:dyDescent="0.25">
      <c r="A8597" t="s">
        <v>1598</v>
      </c>
      <c r="B8597" s="1" t="str">
        <f>HYPERLINK("http://panaclar.fi","panaclar.fi")</f>
        <v>panaclar.fi</v>
      </c>
      <c r="C8597" t="s">
        <v>445</v>
      </c>
      <c r="D8597" t="s">
        <v>823</v>
      </c>
      <c r="J8597">
        <v>4</v>
      </c>
    </row>
    <row r="8598" spans="1:10" x14ac:dyDescent="0.25">
      <c r="A8598" t="s">
        <v>1598</v>
      </c>
      <c r="B8598" s="1" t="str">
        <f>HYPERLINK("http://plegridy.fi","plegridy.fi")</f>
        <v>plegridy.fi</v>
      </c>
      <c r="C8598" t="s">
        <v>445</v>
      </c>
      <c r="D8598" t="s">
        <v>823</v>
      </c>
      <c r="J8598">
        <v>4</v>
      </c>
    </row>
    <row r="8599" spans="1:10" x14ac:dyDescent="0.25">
      <c r="A8599" t="s">
        <v>1598</v>
      </c>
      <c r="B8599" s="1" t="str">
        <f>HYPERLINK("http://spinraza.fi","spinraza.fi")</f>
        <v>spinraza.fi</v>
      </c>
      <c r="C8599" t="s">
        <v>445</v>
      </c>
      <c r="D8599" t="s">
        <v>823</v>
      </c>
      <c r="J8599">
        <v>4</v>
      </c>
    </row>
    <row r="8600" spans="1:10" x14ac:dyDescent="0.25">
      <c r="A8600" t="s">
        <v>1598</v>
      </c>
      <c r="B8600" s="1" t="str">
        <f>HYPERLINK("http://stratifyjcv.fi","stratifyjcv.fi")</f>
        <v>stratifyjcv.fi</v>
      </c>
      <c r="C8600" t="s">
        <v>445</v>
      </c>
      <c r="D8600" t="s">
        <v>823</v>
      </c>
      <c r="J8600">
        <v>4</v>
      </c>
    </row>
    <row r="8601" spans="1:10" x14ac:dyDescent="0.25">
      <c r="A8601" t="s">
        <v>1598</v>
      </c>
      <c r="B8601" s="1" t="str">
        <f>HYPERLINK("http://tecfidera.fi","tecfidera.fi")</f>
        <v>tecfidera.fi</v>
      </c>
      <c r="C8601" t="s">
        <v>445</v>
      </c>
      <c r="D8601" t="s">
        <v>823</v>
      </c>
      <c r="J8601">
        <v>4</v>
      </c>
    </row>
    <row r="8602" spans="1:10" x14ac:dyDescent="0.25">
      <c r="A8602" t="s">
        <v>1598</v>
      </c>
      <c r="B8602" s="1" t="str">
        <f>HYPERLINK("http://togetherinsma.fi","togetherinsma.fi")</f>
        <v>togetherinsma.fi</v>
      </c>
      <c r="C8602" t="s">
        <v>445</v>
      </c>
      <c r="D8602" t="s">
        <v>823</v>
      </c>
      <c r="F8602">
        <v>8.8962559815999294E-9</v>
      </c>
      <c r="G8602">
        <v>8149933</v>
      </c>
      <c r="H8602">
        <v>10517532</v>
      </c>
      <c r="I8602">
        <v>49152463</v>
      </c>
      <c r="J8602">
        <v>2</v>
      </c>
    </row>
    <row r="8603" spans="1:10" x14ac:dyDescent="0.25">
      <c r="A8603" t="s">
        <v>1598</v>
      </c>
      <c r="B8603" s="1" t="str">
        <f>HYPERLINK("http://tysabri.fi","tysabri.fi")</f>
        <v>tysabri.fi</v>
      </c>
      <c r="C8603" t="s">
        <v>445</v>
      </c>
      <c r="D8603" t="s">
        <v>823</v>
      </c>
      <c r="J8603">
        <v>4</v>
      </c>
    </row>
    <row r="8604" spans="1:10" x14ac:dyDescent="0.25">
      <c r="A8604" t="s">
        <v>1598</v>
      </c>
      <c r="B8604" s="1" t="str">
        <f>HYPERLINK("http://vumerity.fi","vumerity.fi")</f>
        <v>vumerity.fi</v>
      </c>
      <c r="C8604" t="s">
        <v>445</v>
      </c>
      <c r="D8604" t="s">
        <v>823</v>
      </c>
      <c r="J8604">
        <v>2</v>
      </c>
    </row>
    <row r="8605" spans="1:10" x14ac:dyDescent="0.25">
      <c r="A8605" t="s">
        <v>1598</v>
      </c>
      <c r="B8605" s="1" t="str">
        <f>HYPERLINK("http://zinbryta.fi","zinbryta.fi")</f>
        <v>zinbryta.fi</v>
      </c>
      <c r="C8605" t="s">
        <v>445</v>
      </c>
      <c r="D8605" t="s">
        <v>823</v>
      </c>
      <c r="J8605">
        <v>4</v>
      </c>
    </row>
    <row r="8606" spans="1:10" x14ac:dyDescent="0.25">
      <c r="A8606" t="s">
        <v>1598</v>
      </c>
      <c r="B8606" s="1" t="str">
        <f>HYPERLINK("http://biogen.fr","biogen.fr")</f>
        <v>biogen.fr</v>
      </c>
      <c r="C8606" t="s">
        <v>446</v>
      </c>
      <c r="D8606" t="s">
        <v>824</v>
      </c>
      <c r="F8606">
        <v>4.4810264230319502E-8</v>
      </c>
      <c r="G8606">
        <v>1055246</v>
      </c>
      <c r="H8606">
        <v>13008145</v>
      </c>
      <c r="I8606">
        <v>12759252</v>
      </c>
      <c r="J8606">
        <v>2</v>
      </c>
    </row>
    <row r="8607" spans="1:10" x14ac:dyDescent="0.25">
      <c r="A8607" t="s">
        <v>1598</v>
      </c>
      <c r="B8607" s="1" t="str">
        <f>HYPERLINK("http://biogenidec.fr","biogenidec.fr")</f>
        <v>biogenidec.fr</v>
      </c>
      <c r="C8607" t="s">
        <v>446</v>
      </c>
      <c r="D8607" t="s">
        <v>824</v>
      </c>
      <c r="F8607">
        <v>6.0141641378423098E-9</v>
      </c>
      <c r="G8607">
        <v>16597355</v>
      </c>
      <c r="H8607">
        <v>12420426</v>
      </c>
      <c r="I8607">
        <v>18447143</v>
      </c>
      <c r="J8607">
        <v>3</v>
      </c>
    </row>
    <row r="8608" spans="1:10" x14ac:dyDescent="0.25">
      <c r="A8608" t="s">
        <v>1598</v>
      </c>
      <c r="B8608" s="1" t="str">
        <f>HYPERLINK("http://neurodiem.fr","neurodiem.fr")</f>
        <v>neurodiem.fr</v>
      </c>
      <c r="C8608" t="s">
        <v>446</v>
      </c>
      <c r="D8608" t="s">
        <v>824</v>
      </c>
      <c r="F8608">
        <v>1.42746325221598E-8</v>
      </c>
      <c r="G8608">
        <v>4102228</v>
      </c>
      <c r="H8608">
        <v>12336917</v>
      </c>
      <c r="I8608">
        <v>20070340</v>
      </c>
      <c r="J8608">
        <v>3</v>
      </c>
    </row>
    <row r="8609" spans="1:10" x14ac:dyDescent="0.25">
      <c r="A8609" t="s">
        <v>1598</v>
      </c>
      <c r="B8609" s="1" t="str">
        <f>HYPERLINK("http://togetherinsma.fr","togetherinsma.fr")</f>
        <v>togetherinsma.fr</v>
      </c>
      <c r="C8609" t="s">
        <v>446</v>
      </c>
      <c r="D8609" t="s">
        <v>824</v>
      </c>
      <c r="F8609">
        <v>9.2375941054693408E-9</v>
      </c>
      <c r="G8609">
        <v>7659948</v>
      </c>
      <c r="H8609">
        <v>12147116</v>
      </c>
      <c r="I8609">
        <v>24697772</v>
      </c>
      <c r="J8609">
        <v>3</v>
      </c>
    </row>
    <row r="8610" spans="1:10" x14ac:dyDescent="0.25">
      <c r="A8610" t="s">
        <v>1598</v>
      </c>
      <c r="B8610" s="1" t="str">
        <f>HYPERLINK("http://neurodiem.gr","neurodiem.gr")</f>
        <v>neurodiem.gr</v>
      </c>
      <c r="C8610" t="s">
        <v>447</v>
      </c>
      <c r="D8610" t="s">
        <v>825</v>
      </c>
      <c r="F8610">
        <v>1.15926722663318E-8</v>
      </c>
      <c r="G8610">
        <v>5438709</v>
      </c>
      <c r="H8610">
        <v>10607269</v>
      </c>
      <c r="I8610">
        <v>44645649</v>
      </c>
      <c r="J8610">
        <v>3</v>
      </c>
    </row>
    <row r="8611" spans="1:10" x14ac:dyDescent="0.25">
      <c r="A8611" t="s">
        <v>1598</v>
      </c>
      <c r="B8611" s="1" t="str">
        <f>HYPERLINK("http://biogen.hr","biogen.hr")</f>
        <v>biogen.hr</v>
      </c>
      <c r="C8611" t="s">
        <v>452</v>
      </c>
      <c r="D8611" t="s">
        <v>829</v>
      </c>
      <c r="F8611">
        <v>1.1514543809986299E-8</v>
      </c>
      <c r="G8611">
        <v>5493610</v>
      </c>
      <c r="H8611">
        <v>12167784</v>
      </c>
      <c r="I8611">
        <v>24124141</v>
      </c>
      <c r="J8611">
        <v>2</v>
      </c>
    </row>
    <row r="8612" spans="1:10" x14ac:dyDescent="0.25">
      <c r="A8612" t="s">
        <v>1598</v>
      </c>
      <c r="B8612" s="1" t="str">
        <f>HYPERLINK("http://neurodiem.hr","neurodiem.hr")</f>
        <v>neurodiem.hr</v>
      </c>
      <c r="C8612" t="s">
        <v>452</v>
      </c>
      <c r="D8612" t="s">
        <v>829</v>
      </c>
      <c r="F8612">
        <v>1.16412275385127E-8</v>
      </c>
      <c r="G8612">
        <v>5404958</v>
      </c>
      <c r="H8612">
        <v>12031147</v>
      </c>
      <c r="I8612">
        <v>27634643</v>
      </c>
      <c r="J8612">
        <v>3</v>
      </c>
    </row>
    <row r="8613" spans="1:10" x14ac:dyDescent="0.25">
      <c r="A8613" t="s">
        <v>1598</v>
      </c>
      <c r="B8613" s="1" t="str">
        <f>HYPERLINK("http://togetherinsma.hr","togetherinsma.hr")</f>
        <v>togetherinsma.hr</v>
      </c>
      <c r="C8613" t="s">
        <v>452</v>
      </c>
      <c r="D8613" t="s">
        <v>829</v>
      </c>
      <c r="F8613">
        <v>8.3079561629337108E-9</v>
      </c>
      <c r="G8613">
        <v>9239074</v>
      </c>
      <c r="H8613">
        <v>10513075</v>
      </c>
      <c r="I8613">
        <v>49366925</v>
      </c>
      <c r="J8613">
        <v>3</v>
      </c>
    </row>
    <row r="8614" spans="1:10" x14ac:dyDescent="0.25">
      <c r="A8614" t="s">
        <v>1598</v>
      </c>
      <c r="B8614" s="1" t="str">
        <f>HYPERLINK("http://biogen.hu","biogen.hu")</f>
        <v>biogen.hu</v>
      </c>
      <c r="C8614" t="s">
        <v>453</v>
      </c>
      <c r="D8614" t="s">
        <v>830</v>
      </c>
      <c r="F8614">
        <v>1.13259144388324E-8</v>
      </c>
      <c r="G8614">
        <v>5624688</v>
      </c>
      <c r="H8614">
        <v>12826157</v>
      </c>
      <c r="I8614">
        <v>14457975</v>
      </c>
      <c r="J8614">
        <v>2</v>
      </c>
    </row>
    <row r="8615" spans="1:10" x14ac:dyDescent="0.25">
      <c r="A8615" t="s">
        <v>1598</v>
      </c>
      <c r="B8615" s="1" t="str">
        <f>HYPERLINK("http://biogenidec.hu","biogenidec.hu")</f>
        <v>biogenidec.hu</v>
      </c>
      <c r="C8615" t="s">
        <v>453</v>
      </c>
      <c r="D8615" t="s">
        <v>830</v>
      </c>
      <c r="F8615">
        <v>4.8831349070268701E-9</v>
      </c>
      <c r="G8615">
        <v>32980253</v>
      </c>
      <c r="H8615">
        <v>8295023</v>
      </c>
      <c r="I8615">
        <v>74549287</v>
      </c>
      <c r="J8615">
        <v>3</v>
      </c>
    </row>
    <row r="8616" spans="1:10" x14ac:dyDescent="0.25">
      <c r="A8616" t="s">
        <v>1598</v>
      </c>
      <c r="B8616" s="1" t="str">
        <f>HYPERLINK("http://togetherinsma.hu","togetherinsma.hu")</f>
        <v>togetherinsma.hu</v>
      </c>
      <c r="C8616" t="s">
        <v>453</v>
      </c>
      <c r="D8616" t="s">
        <v>830</v>
      </c>
      <c r="F8616">
        <v>8.3012334126240708E-9</v>
      </c>
      <c r="G8616">
        <v>9254261</v>
      </c>
      <c r="H8616">
        <v>10513843</v>
      </c>
      <c r="I8616">
        <v>49304009</v>
      </c>
      <c r="J8616">
        <v>3</v>
      </c>
    </row>
    <row r="8617" spans="1:10" x14ac:dyDescent="0.25">
      <c r="A8617" t="s">
        <v>1598</v>
      </c>
      <c r="B8617" s="1" t="str">
        <f>HYPERLINK("http://biogen.ie","biogen.ie")</f>
        <v>biogen.ie</v>
      </c>
      <c r="C8617" t="s">
        <v>455</v>
      </c>
      <c r="D8617" t="s">
        <v>832</v>
      </c>
      <c r="F8617">
        <v>1.18565121120356E-8</v>
      </c>
      <c r="G8617">
        <v>5266360</v>
      </c>
      <c r="H8617">
        <v>12854981</v>
      </c>
      <c r="I8617">
        <v>14233395</v>
      </c>
      <c r="J8617">
        <v>2</v>
      </c>
    </row>
    <row r="8618" spans="1:10" x14ac:dyDescent="0.25">
      <c r="A8618" t="s">
        <v>1598</v>
      </c>
      <c r="B8618" s="1" t="str">
        <f>HYPERLINK("http://neurodiem.ie","neurodiem.ie")</f>
        <v>neurodiem.ie</v>
      </c>
      <c r="C8618" t="s">
        <v>455</v>
      </c>
      <c r="D8618" t="s">
        <v>832</v>
      </c>
      <c r="F8618">
        <v>1.27691116646017E-8</v>
      </c>
      <c r="G8618">
        <v>4744945</v>
      </c>
      <c r="H8618">
        <v>12921688</v>
      </c>
      <c r="I8618">
        <v>13420552</v>
      </c>
      <c r="J8618">
        <v>3</v>
      </c>
    </row>
    <row r="8619" spans="1:10" x14ac:dyDescent="0.25">
      <c r="A8619" t="s">
        <v>1598</v>
      </c>
      <c r="B8619" s="1" t="str">
        <f>HYPERLINK("http://neurodiem.co.il","neurodiem.co.il")</f>
        <v>neurodiem.co.il</v>
      </c>
      <c r="C8619" t="s">
        <v>456</v>
      </c>
      <c r="D8619" t="s">
        <v>833</v>
      </c>
      <c r="F8619">
        <v>1.1900602589527199E-8</v>
      </c>
      <c r="G8619">
        <v>5238946</v>
      </c>
      <c r="H8619">
        <v>10607270</v>
      </c>
      <c r="I8619">
        <v>44645597</v>
      </c>
      <c r="J8619">
        <v>4</v>
      </c>
    </row>
    <row r="8620" spans="1:10" x14ac:dyDescent="0.25">
      <c r="A8620" t="s">
        <v>1598</v>
      </c>
      <c r="B8620" s="1" t="str">
        <f>HYPERLINK("http://neurodiem.it","neurodiem.it")</f>
        <v>neurodiem.it</v>
      </c>
      <c r="C8620" t="s">
        <v>459</v>
      </c>
      <c r="D8620" t="s">
        <v>835</v>
      </c>
      <c r="F8620">
        <v>1.2812464110036601E-8</v>
      </c>
      <c r="G8620">
        <v>4722441</v>
      </c>
      <c r="H8620">
        <v>12097342</v>
      </c>
      <c r="I8620">
        <v>26044052</v>
      </c>
      <c r="J8620">
        <v>3</v>
      </c>
    </row>
    <row r="8621" spans="1:10" x14ac:dyDescent="0.25">
      <c r="A8621" t="s">
        <v>1598</v>
      </c>
      <c r="B8621" s="1" t="str">
        <f>HYPERLINK("http://togetherinsma.it","togetherinsma.it")</f>
        <v>togetherinsma.it</v>
      </c>
      <c r="C8621" t="s">
        <v>459</v>
      </c>
      <c r="D8621" t="s">
        <v>835</v>
      </c>
      <c r="F8621">
        <v>1.14330443072654E-8</v>
      </c>
      <c r="G8621">
        <v>5551043</v>
      </c>
      <c r="H8621">
        <v>12418601</v>
      </c>
      <c r="I8621">
        <v>18485159</v>
      </c>
      <c r="J8621">
        <v>3</v>
      </c>
    </row>
    <row r="8622" spans="1:10" x14ac:dyDescent="0.25">
      <c r="A8622" t="s">
        <v>1598</v>
      </c>
      <c r="B8622" s="1" t="str">
        <f>HYPERLINK("http://biogen.co.jp","biogen.co.jp")</f>
        <v>biogen.co.jp</v>
      </c>
      <c r="C8622" t="s">
        <v>461</v>
      </c>
      <c r="D8622" t="s">
        <v>837</v>
      </c>
      <c r="F8622">
        <v>3.05605473225863E-8</v>
      </c>
      <c r="G8622">
        <v>1685107</v>
      </c>
      <c r="H8622">
        <v>12992284</v>
      </c>
      <c r="I8622">
        <v>12838292</v>
      </c>
      <c r="J8622">
        <v>2</v>
      </c>
    </row>
    <row r="8623" spans="1:10" x14ac:dyDescent="0.25">
      <c r="A8623" t="s">
        <v>1598</v>
      </c>
      <c r="B8623" s="1" t="str">
        <f>HYPERLINK("http://neurodiem.jp","neurodiem.jp")</f>
        <v>neurodiem.jp</v>
      </c>
      <c r="C8623" t="s">
        <v>461</v>
      </c>
      <c r="D8623" t="s">
        <v>837</v>
      </c>
      <c r="F8623">
        <v>1.21428737694911E-8</v>
      </c>
      <c r="G8623">
        <v>5083725</v>
      </c>
      <c r="H8623">
        <v>12078878</v>
      </c>
      <c r="I8623">
        <v>26587799</v>
      </c>
      <c r="J8623">
        <v>3</v>
      </c>
    </row>
    <row r="8624" spans="1:10" x14ac:dyDescent="0.25">
      <c r="A8624" t="s">
        <v>1598</v>
      </c>
      <c r="B8624" s="1" t="str">
        <f>HYPERLINK("http://togetherinsma.jp","togetherinsma.jp")</f>
        <v>togetherinsma.jp</v>
      </c>
      <c r="C8624" t="s">
        <v>461</v>
      </c>
      <c r="D8624" t="s">
        <v>837</v>
      </c>
      <c r="F8624">
        <v>1.6190703127336799E-8</v>
      </c>
      <c r="G8624">
        <v>3497808</v>
      </c>
      <c r="H8624">
        <v>14077374</v>
      </c>
      <c r="I8624">
        <v>2866895</v>
      </c>
      <c r="J8624">
        <v>3</v>
      </c>
    </row>
    <row r="8625" spans="1:10" x14ac:dyDescent="0.25">
      <c r="A8625" t="s">
        <v>1598</v>
      </c>
      <c r="B8625" s="1" t="str">
        <f>HYPERLINK("http://neurodiem.co.kr","neurodiem.co.kr")</f>
        <v>neurodiem.co.kr</v>
      </c>
      <c r="C8625" t="s">
        <v>463</v>
      </c>
      <c r="D8625" t="s">
        <v>839</v>
      </c>
      <c r="F8625">
        <v>1.1725176623083E-8</v>
      </c>
      <c r="G8625">
        <v>5350241</v>
      </c>
      <c r="H8625">
        <v>12659855</v>
      </c>
      <c r="I8625">
        <v>15722649</v>
      </c>
      <c r="J8625">
        <v>3</v>
      </c>
    </row>
    <row r="8626" spans="1:10" x14ac:dyDescent="0.25">
      <c r="A8626" t="s">
        <v>1598</v>
      </c>
      <c r="B8626" s="1" t="str">
        <f>HYPERLINK("http://togetherinsma.kr","togetherinsma.kr")</f>
        <v>togetherinsma.kr</v>
      </c>
      <c r="C8626" t="s">
        <v>463</v>
      </c>
      <c r="D8626" t="s">
        <v>839</v>
      </c>
      <c r="F8626">
        <v>9.0430121303214097E-9</v>
      </c>
      <c r="G8626">
        <v>7927859</v>
      </c>
      <c r="H8626">
        <v>10517533</v>
      </c>
      <c r="I8626">
        <v>49152436</v>
      </c>
      <c r="J8626">
        <v>3</v>
      </c>
    </row>
    <row r="8627" spans="1:10" x14ac:dyDescent="0.25">
      <c r="A8627" t="s">
        <v>1598</v>
      </c>
      <c r="B8627" s="1" t="str">
        <f>HYPERLINK("http://togetherinsma.com.kw","togetherinsma.com.kw")</f>
        <v>togetherinsma.com.kw</v>
      </c>
      <c r="C8627" t="s">
        <v>464</v>
      </c>
      <c r="D8627" t="s">
        <v>840</v>
      </c>
      <c r="F8627">
        <v>8.2779196938957799E-9</v>
      </c>
      <c r="G8627">
        <v>9310187</v>
      </c>
      <c r="H8627">
        <v>10513843</v>
      </c>
      <c r="I8627">
        <v>49304013</v>
      </c>
      <c r="J8627">
        <v>3</v>
      </c>
    </row>
    <row r="8628" spans="1:10" x14ac:dyDescent="0.25">
      <c r="A8628" t="s">
        <v>1598</v>
      </c>
      <c r="B8628" s="1" t="str">
        <f>HYPERLINK("http://biogen.lt","biogen.lt")</f>
        <v>biogen.lt</v>
      </c>
      <c r="C8628" t="s">
        <v>467</v>
      </c>
      <c r="D8628" t="s">
        <v>843</v>
      </c>
      <c r="F8628">
        <v>8.39806927017023E-9</v>
      </c>
      <c r="G8628">
        <v>9046845</v>
      </c>
      <c r="H8628">
        <v>12166683</v>
      </c>
      <c r="I8628">
        <v>24155153</v>
      </c>
      <c r="J8628">
        <v>2</v>
      </c>
    </row>
    <row r="8629" spans="1:10" x14ac:dyDescent="0.25">
      <c r="A8629" t="s">
        <v>1598</v>
      </c>
      <c r="B8629" s="1" t="str">
        <f>HYPERLINK("http://togetherinsma.lt","togetherinsma.lt")</f>
        <v>togetherinsma.lt</v>
      </c>
      <c r="C8629" t="s">
        <v>467</v>
      </c>
      <c r="D8629" t="s">
        <v>843</v>
      </c>
      <c r="F8629">
        <v>8.0564736051577605E-9</v>
      </c>
      <c r="G8629">
        <v>9818487</v>
      </c>
      <c r="H8629">
        <v>10512743</v>
      </c>
      <c r="I8629">
        <v>49386034</v>
      </c>
      <c r="J8629">
        <v>3</v>
      </c>
    </row>
    <row r="8630" spans="1:10" x14ac:dyDescent="0.25">
      <c r="A8630" t="s">
        <v>1598</v>
      </c>
      <c r="B8630" s="1" t="str">
        <f>HYPERLINK("http://biogen.lv","biogen.lv")</f>
        <v>biogen.lv</v>
      </c>
      <c r="C8630" t="s">
        <v>468</v>
      </c>
      <c r="D8630" t="s">
        <v>844</v>
      </c>
      <c r="F8630">
        <v>8.4242171529124107E-9</v>
      </c>
      <c r="G8630">
        <v>8993624</v>
      </c>
      <c r="H8630">
        <v>12166682</v>
      </c>
      <c r="I8630">
        <v>24155165</v>
      </c>
      <c r="J8630">
        <v>2</v>
      </c>
    </row>
    <row r="8631" spans="1:10" x14ac:dyDescent="0.25">
      <c r="A8631" t="s">
        <v>1598</v>
      </c>
      <c r="B8631" s="1" t="str">
        <f>HYPERLINK("http://biogen.com.mx","biogen.com.mx")</f>
        <v>biogen.com.mx</v>
      </c>
      <c r="C8631" t="s">
        <v>471</v>
      </c>
      <c r="D8631" t="s">
        <v>847</v>
      </c>
      <c r="F8631">
        <v>8.8563514104901998E-9</v>
      </c>
      <c r="G8631">
        <v>8214085</v>
      </c>
      <c r="H8631">
        <v>12168211</v>
      </c>
      <c r="I8631">
        <v>24114966</v>
      </c>
      <c r="J8631">
        <v>2</v>
      </c>
    </row>
    <row r="8632" spans="1:10" x14ac:dyDescent="0.25">
      <c r="A8632" t="s">
        <v>1598</v>
      </c>
      <c r="B8632" s="1" t="str">
        <f>HYPERLINK("http://neurodiem.com.mx","neurodiem.com.mx")</f>
        <v>neurodiem.com.mx</v>
      </c>
      <c r="C8632" t="s">
        <v>471</v>
      </c>
      <c r="D8632" t="s">
        <v>847</v>
      </c>
      <c r="F8632">
        <v>1.19006024492579E-8</v>
      </c>
      <c r="G8632">
        <v>5238947</v>
      </c>
      <c r="H8632">
        <v>10607270</v>
      </c>
      <c r="I8632">
        <v>44645619</v>
      </c>
      <c r="J8632">
        <v>4</v>
      </c>
    </row>
    <row r="8633" spans="1:10" x14ac:dyDescent="0.25">
      <c r="A8633" t="s">
        <v>1598</v>
      </c>
      <c r="B8633" s="1" t="str">
        <f>HYPERLINK("http://neurodiem.net","neurodiem.net")</f>
        <v>neurodiem.net</v>
      </c>
      <c r="C8633" t="s">
        <v>474</v>
      </c>
      <c r="F8633">
        <v>1.1667863616896101E-8</v>
      </c>
      <c r="G8633">
        <v>5386958</v>
      </c>
      <c r="H8633">
        <v>10795950</v>
      </c>
      <c r="I8633">
        <v>38280081</v>
      </c>
      <c r="J8633">
        <v>3</v>
      </c>
    </row>
    <row r="8634" spans="1:10" x14ac:dyDescent="0.25">
      <c r="A8634" t="s">
        <v>1598</v>
      </c>
      <c r="B8634" s="1" t="str">
        <f>HYPERLINK("http://biogen.nl","biogen.nl")</f>
        <v>biogen.nl</v>
      </c>
      <c r="C8634" t="s">
        <v>477</v>
      </c>
      <c r="D8634" t="s">
        <v>852</v>
      </c>
      <c r="F8634">
        <v>1.7850512437132901E-8</v>
      </c>
      <c r="G8634">
        <v>3063908</v>
      </c>
      <c r="H8634">
        <v>13171002</v>
      </c>
      <c r="I8634">
        <v>11720864</v>
      </c>
      <c r="J8634">
        <v>2</v>
      </c>
    </row>
    <row r="8635" spans="1:10" x14ac:dyDescent="0.25">
      <c r="A8635" t="s">
        <v>1598</v>
      </c>
      <c r="B8635" s="1" t="str">
        <f>HYPERLINK("http://biogenidec.nl","biogenidec.nl")</f>
        <v>biogenidec.nl</v>
      </c>
      <c r="C8635" t="s">
        <v>477</v>
      </c>
      <c r="D8635" t="s">
        <v>852</v>
      </c>
      <c r="F8635">
        <v>4.5194662261849403E-9</v>
      </c>
      <c r="G8635">
        <v>56289236</v>
      </c>
      <c r="H8635">
        <v>9908640</v>
      </c>
      <c r="I8635">
        <v>61559016</v>
      </c>
      <c r="J8635">
        <v>3</v>
      </c>
    </row>
    <row r="8636" spans="1:10" x14ac:dyDescent="0.25">
      <c r="A8636" t="s">
        <v>1598</v>
      </c>
      <c r="B8636" s="1" t="str">
        <f>HYPERLINK("http://neurodiem.nl","neurodiem.nl")</f>
        <v>neurodiem.nl</v>
      </c>
      <c r="C8636" t="s">
        <v>477</v>
      </c>
      <c r="D8636" t="s">
        <v>852</v>
      </c>
      <c r="F8636">
        <v>1.1919116561262999E-8</v>
      </c>
      <c r="G8636">
        <v>5225569</v>
      </c>
      <c r="H8636">
        <v>10607270</v>
      </c>
      <c r="I8636">
        <v>44645624</v>
      </c>
      <c r="J8636">
        <v>3</v>
      </c>
    </row>
    <row r="8637" spans="1:10" x14ac:dyDescent="0.25">
      <c r="A8637" t="s">
        <v>1598</v>
      </c>
      <c r="B8637" s="1" t="str">
        <f>HYPERLINK("http://togetherinsma.nl","togetherinsma.nl")</f>
        <v>togetherinsma.nl</v>
      </c>
      <c r="C8637" t="s">
        <v>477</v>
      </c>
      <c r="D8637" t="s">
        <v>852</v>
      </c>
      <c r="F8637">
        <v>8.5739380543224195E-9</v>
      </c>
      <c r="G8637">
        <v>8703953</v>
      </c>
      <c r="H8637">
        <v>10513844</v>
      </c>
      <c r="I8637">
        <v>49303946</v>
      </c>
      <c r="J8637">
        <v>3</v>
      </c>
    </row>
    <row r="8638" spans="1:10" x14ac:dyDescent="0.25">
      <c r="A8638" t="s">
        <v>1598</v>
      </c>
      <c r="B8638" s="1" t="str">
        <f>HYPERLINK("http://biogen.no","biogen.no")</f>
        <v>biogen.no</v>
      </c>
      <c r="C8638" t="s">
        <v>478</v>
      </c>
      <c r="D8638" t="s">
        <v>853</v>
      </c>
      <c r="F8638">
        <v>1.62725028363839E-8</v>
      </c>
      <c r="G8638">
        <v>3477509</v>
      </c>
      <c r="H8638">
        <v>12826273</v>
      </c>
      <c r="I8638">
        <v>14457369</v>
      </c>
      <c r="J8638">
        <v>2</v>
      </c>
    </row>
    <row r="8639" spans="1:10" x14ac:dyDescent="0.25">
      <c r="A8639" t="s">
        <v>1598</v>
      </c>
      <c r="B8639" s="1" t="str">
        <f>HYPERLINK("http://biogenidec.no","biogenidec.no")</f>
        <v>biogenidec.no</v>
      </c>
      <c r="C8639" t="s">
        <v>478</v>
      </c>
      <c r="D8639" t="s">
        <v>853</v>
      </c>
      <c r="F8639">
        <v>4.51161697768458E-9</v>
      </c>
      <c r="G8639">
        <v>57295071</v>
      </c>
      <c r="H8639">
        <v>10720945</v>
      </c>
      <c r="I8639">
        <v>41820122</v>
      </c>
      <c r="J8639">
        <v>3</v>
      </c>
    </row>
    <row r="8640" spans="1:10" x14ac:dyDescent="0.25">
      <c r="A8640" t="s">
        <v>1598</v>
      </c>
      <c r="B8640" s="1" t="str">
        <f>HYPERLINK("http://neurodiem.no","neurodiem.no")</f>
        <v>neurodiem.no</v>
      </c>
      <c r="C8640" t="s">
        <v>478</v>
      </c>
      <c r="D8640" t="s">
        <v>853</v>
      </c>
      <c r="F8640">
        <v>1.1640228811512E-8</v>
      </c>
      <c r="G8640">
        <v>5405968</v>
      </c>
      <c r="H8640">
        <v>10607269</v>
      </c>
      <c r="I8640">
        <v>44645650</v>
      </c>
      <c r="J8640">
        <v>3</v>
      </c>
    </row>
    <row r="8641" spans="1:10" x14ac:dyDescent="0.25">
      <c r="A8641" t="s">
        <v>1598</v>
      </c>
      <c r="B8641" s="1" t="str">
        <f>HYPERLINK("http://togetherinsma.no","togetherinsma.no")</f>
        <v>togetherinsma.no</v>
      </c>
      <c r="C8641" t="s">
        <v>478</v>
      </c>
      <c r="D8641" t="s">
        <v>853</v>
      </c>
      <c r="F8641">
        <v>8.3075275051018504E-9</v>
      </c>
      <c r="G8641">
        <v>9240003</v>
      </c>
      <c r="H8641">
        <v>10513843</v>
      </c>
      <c r="I8641">
        <v>49304017</v>
      </c>
      <c r="J8641">
        <v>3</v>
      </c>
    </row>
    <row r="8642" spans="1:10" x14ac:dyDescent="0.25">
      <c r="A8642" t="s">
        <v>1598</v>
      </c>
      <c r="B8642" s="1" t="str">
        <f>HYPERLINK("http://biogen.co.nz","biogen.co.nz")</f>
        <v>biogen.co.nz</v>
      </c>
      <c r="C8642" t="s">
        <v>479</v>
      </c>
      <c r="D8642" t="s">
        <v>854</v>
      </c>
      <c r="F8642">
        <v>1.08887109863766E-8</v>
      </c>
      <c r="G8642">
        <v>5951027</v>
      </c>
      <c r="H8642">
        <v>12826128</v>
      </c>
      <c r="I8642">
        <v>14458145</v>
      </c>
      <c r="J8642">
        <v>2</v>
      </c>
    </row>
    <row r="8643" spans="1:10" x14ac:dyDescent="0.25">
      <c r="A8643" t="s">
        <v>1598</v>
      </c>
      <c r="B8643" s="1" t="str">
        <f>HYPERLINK("http://neurodiem.co.nz","neurodiem.co.nz")</f>
        <v>neurodiem.co.nz</v>
      </c>
      <c r="C8643" t="s">
        <v>479</v>
      </c>
      <c r="D8643" t="s">
        <v>854</v>
      </c>
      <c r="F8643">
        <v>1.19436556237614E-8</v>
      </c>
      <c r="G8643">
        <v>5210992</v>
      </c>
      <c r="H8643">
        <v>10733578</v>
      </c>
      <c r="I8643">
        <v>40757622</v>
      </c>
      <c r="J8643">
        <v>4</v>
      </c>
    </row>
    <row r="8644" spans="1:10" x14ac:dyDescent="0.25">
      <c r="A8644" t="s">
        <v>1598</v>
      </c>
      <c r="B8644" s="1" t="str">
        <f>HYPERLINK("http://neurodiem.pl","neurodiem.pl")</f>
        <v>neurodiem.pl</v>
      </c>
      <c r="C8644" t="s">
        <v>486</v>
      </c>
      <c r="D8644" t="s">
        <v>860</v>
      </c>
      <c r="F8644">
        <v>1.2658386710661201E-8</v>
      </c>
      <c r="G8644">
        <v>4800600</v>
      </c>
      <c r="H8644">
        <v>11195114</v>
      </c>
      <c r="I8644">
        <v>31311954</v>
      </c>
      <c r="J8644">
        <v>3</v>
      </c>
    </row>
    <row r="8645" spans="1:10" x14ac:dyDescent="0.25">
      <c r="A8645" t="s">
        <v>1598</v>
      </c>
      <c r="B8645" s="1" t="str">
        <f>HYPERLINK("http://togetherinsma.pl","togetherinsma.pl")</f>
        <v>togetherinsma.pl</v>
      </c>
      <c r="C8645" t="s">
        <v>486</v>
      </c>
      <c r="D8645" t="s">
        <v>860</v>
      </c>
      <c r="F8645">
        <v>1.0648095100700199E-8</v>
      </c>
      <c r="G8645">
        <v>6143103</v>
      </c>
      <c r="H8645">
        <v>11416907</v>
      </c>
      <c r="I8645">
        <v>30179571</v>
      </c>
      <c r="J8645">
        <v>3</v>
      </c>
    </row>
    <row r="8646" spans="1:10" x14ac:dyDescent="0.25">
      <c r="A8646" t="s">
        <v>1598</v>
      </c>
      <c r="B8646" s="1" t="str">
        <f>HYPERLINK("http://biogen.pt","biogen.pt")</f>
        <v>biogen.pt</v>
      </c>
      <c r="C8646" t="s">
        <v>488</v>
      </c>
      <c r="D8646" t="s">
        <v>862</v>
      </c>
      <c r="F8646">
        <v>1.5190556677136499E-8</v>
      </c>
      <c r="G8646">
        <v>3778796</v>
      </c>
      <c r="H8646">
        <v>12861039</v>
      </c>
      <c r="I8646">
        <v>14195372</v>
      </c>
      <c r="J8646">
        <v>2</v>
      </c>
    </row>
    <row r="8647" spans="1:10" x14ac:dyDescent="0.25">
      <c r="A8647" t="s">
        <v>1598</v>
      </c>
      <c r="B8647" s="1" t="str">
        <f>HYPERLINK("http://neurodiem.pt","neurodiem.pt")</f>
        <v>neurodiem.pt</v>
      </c>
      <c r="C8647" t="s">
        <v>488</v>
      </c>
      <c r="D8647" t="s">
        <v>862</v>
      </c>
      <c r="F8647">
        <v>1.26124338263248E-8</v>
      </c>
      <c r="G8647">
        <v>4824616</v>
      </c>
      <c r="H8647">
        <v>10901075</v>
      </c>
      <c r="I8647">
        <v>35808989</v>
      </c>
      <c r="J8647">
        <v>3</v>
      </c>
    </row>
    <row r="8648" spans="1:10" x14ac:dyDescent="0.25">
      <c r="A8648" t="s">
        <v>1598</v>
      </c>
      <c r="B8648" s="1" t="str">
        <f>HYPERLINK("http://togetherinsma.pt","togetherinsma.pt")</f>
        <v>togetherinsma.pt</v>
      </c>
      <c r="C8648" t="s">
        <v>488</v>
      </c>
      <c r="D8648" t="s">
        <v>862</v>
      </c>
      <c r="F8648">
        <v>1.00754082728586E-8</v>
      </c>
      <c r="G8648">
        <v>6675456</v>
      </c>
      <c r="H8648">
        <v>12271155</v>
      </c>
      <c r="I8648">
        <v>21499083</v>
      </c>
      <c r="J8648">
        <v>3</v>
      </c>
    </row>
    <row r="8649" spans="1:10" x14ac:dyDescent="0.25">
      <c r="A8649" t="s">
        <v>1598</v>
      </c>
      <c r="B8649" s="1" t="str">
        <f>HYPERLINK("http://togetherinsma.ru","togetherinsma.ru")</f>
        <v>togetherinsma.ru</v>
      </c>
      <c r="C8649" t="s">
        <v>493</v>
      </c>
      <c r="D8649" t="s">
        <v>867</v>
      </c>
      <c r="F8649">
        <v>9.6881116503780899E-9</v>
      </c>
      <c r="G8649">
        <v>7094191</v>
      </c>
      <c r="H8649">
        <v>12902517</v>
      </c>
      <c r="I8649">
        <v>13845775</v>
      </c>
      <c r="J8649">
        <v>3</v>
      </c>
    </row>
    <row r="8650" spans="1:10" x14ac:dyDescent="0.25">
      <c r="A8650" t="s">
        <v>1598</v>
      </c>
      <c r="B8650" s="1" t="str">
        <f>HYPERLINK("http://neurodiem.sa","neurodiem.sa")</f>
        <v>neurodiem.sa</v>
      </c>
      <c r="C8650" t="s">
        <v>494</v>
      </c>
      <c r="D8650" t="s">
        <v>868</v>
      </c>
      <c r="F8650">
        <v>1.15926719002265E-8</v>
      </c>
      <c r="G8650">
        <v>5438711</v>
      </c>
      <c r="H8650">
        <v>10607269</v>
      </c>
      <c r="I8650">
        <v>44645653</v>
      </c>
      <c r="J8650">
        <v>3</v>
      </c>
    </row>
    <row r="8651" spans="1:10" x14ac:dyDescent="0.25">
      <c r="A8651" t="s">
        <v>1598</v>
      </c>
      <c r="B8651" s="1" t="str">
        <f>HYPERLINK("http://biogen.se","biogen.se")</f>
        <v>biogen.se</v>
      </c>
      <c r="C8651" t="s">
        <v>495</v>
      </c>
      <c r="D8651" t="s">
        <v>869</v>
      </c>
      <c r="F8651">
        <v>1.38550188664423E-8</v>
      </c>
      <c r="G8651">
        <v>4258613</v>
      </c>
      <c r="H8651">
        <v>12855793</v>
      </c>
      <c r="I8651">
        <v>14229313</v>
      </c>
      <c r="J8651">
        <v>2</v>
      </c>
    </row>
    <row r="8652" spans="1:10" x14ac:dyDescent="0.25">
      <c r="A8652" t="s">
        <v>1598</v>
      </c>
      <c r="B8652" s="1" t="str">
        <f>HYPERLINK("http://biogenidec.se","biogenidec.se")</f>
        <v>biogenidec.se</v>
      </c>
      <c r="C8652" t="s">
        <v>495</v>
      </c>
      <c r="D8652" t="s">
        <v>869</v>
      </c>
      <c r="F8652">
        <v>4.6133152043808503E-9</v>
      </c>
      <c r="G8652">
        <v>46613222</v>
      </c>
      <c r="H8652">
        <v>8720352</v>
      </c>
      <c r="I8652">
        <v>69803403</v>
      </c>
      <c r="J8652">
        <v>3</v>
      </c>
    </row>
    <row r="8653" spans="1:10" x14ac:dyDescent="0.25">
      <c r="A8653" t="s">
        <v>1598</v>
      </c>
      <c r="B8653" s="1" t="str">
        <f>HYPERLINK("http://neurodiem.se","neurodiem.se")</f>
        <v>neurodiem.se</v>
      </c>
      <c r="C8653" t="s">
        <v>495</v>
      </c>
      <c r="D8653" t="s">
        <v>869</v>
      </c>
      <c r="F8653">
        <v>1.16402286798278E-8</v>
      </c>
      <c r="G8653">
        <v>5405969</v>
      </c>
      <c r="H8653">
        <v>10607269</v>
      </c>
      <c r="I8653">
        <v>44645654</v>
      </c>
      <c r="J8653">
        <v>3</v>
      </c>
    </row>
    <row r="8654" spans="1:10" x14ac:dyDescent="0.25">
      <c r="A8654" t="s">
        <v>1598</v>
      </c>
      <c r="B8654" s="1" t="str">
        <f>HYPERLINK("http://togetherinsma.se","togetherinsma.se")</f>
        <v>togetherinsma.se</v>
      </c>
      <c r="C8654" t="s">
        <v>495</v>
      </c>
      <c r="D8654" t="s">
        <v>869</v>
      </c>
      <c r="F8654">
        <v>1.0576754501418499E-8</v>
      </c>
      <c r="G8654">
        <v>6203608</v>
      </c>
      <c r="H8654">
        <v>10609846</v>
      </c>
      <c r="I8654">
        <v>44577975</v>
      </c>
      <c r="J8654">
        <v>3</v>
      </c>
    </row>
    <row r="8655" spans="1:10" x14ac:dyDescent="0.25">
      <c r="A8655" t="s">
        <v>1598</v>
      </c>
      <c r="B8655" s="1" t="str">
        <f>HYPERLINK("http://biogen-pharma.si","biogen-pharma.si")</f>
        <v>biogen-pharma.si</v>
      </c>
      <c r="C8655" t="s">
        <v>497</v>
      </c>
      <c r="D8655" t="s">
        <v>871</v>
      </c>
      <c r="F8655">
        <v>1.6135094194581099E-8</v>
      </c>
      <c r="G8655">
        <v>3511764</v>
      </c>
      <c r="H8655">
        <v>12826533</v>
      </c>
      <c r="I8655">
        <v>14456250</v>
      </c>
      <c r="J8655">
        <v>3</v>
      </c>
    </row>
    <row r="8656" spans="1:10" x14ac:dyDescent="0.25">
      <c r="A8656" t="s">
        <v>1598</v>
      </c>
      <c r="B8656" s="1" t="str">
        <f>HYPERLINK("http://biogen.sk","biogen.sk")</f>
        <v>biogen.sk</v>
      </c>
      <c r="C8656" t="s">
        <v>498</v>
      </c>
      <c r="D8656" t="s">
        <v>872</v>
      </c>
      <c r="F8656">
        <v>1.3482162689370499E-8</v>
      </c>
      <c r="G8656">
        <v>4411419</v>
      </c>
      <c r="H8656">
        <v>12827225</v>
      </c>
      <c r="I8656">
        <v>14450766</v>
      </c>
      <c r="J8656">
        <v>2</v>
      </c>
    </row>
    <row r="8657" spans="1:10" x14ac:dyDescent="0.25">
      <c r="A8657" t="s">
        <v>1598</v>
      </c>
      <c r="B8657" s="1" t="str">
        <f>HYPERLINK("http://togetherinsma.com.tr","togetherinsma.com.tr")</f>
        <v>togetherinsma.com.tr</v>
      </c>
      <c r="C8657" t="s">
        <v>502</v>
      </c>
      <c r="D8657" t="s">
        <v>876</v>
      </c>
      <c r="F8657">
        <v>5.86594816541262E-9</v>
      </c>
      <c r="G8657">
        <v>17596799</v>
      </c>
      <c r="H8657">
        <v>10020412</v>
      </c>
      <c r="I8657">
        <v>60680596</v>
      </c>
      <c r="J8657">
        <v>3</v>
      </c>
    </row>
    <row r="8658" spans="1:10" x14ac:dyDescent="0.25">
      <c r="A8658" t="s">
        <v>1598</v>
      </c>
      <c r="B8658" s="1" t="str">
        <f>HYPERLINK("http://biogen.tw","biogen.tw")</f>
        <v>biogen.tw</v>
      </c>
      <c r="C8658" t="s">
        <v>504</v>
      </c>
      <c r="D8658" t="s">
        <v>878</v>
      </c>
      <c r="F8658">
        <v>8.7735569115035006E-9</v>
      </c>
      <c r="G8658">
        <v>8353819</v>
      </c>
      <c r="H8658">
        <v>12166702</v>
      </c>
      <c r="I8658">
        <v>24154415</v>
      </c>
      <c r="J8658">
        <v>2</v>
      </c>
    </row>
    <row r="8659" spans="1:10" x14ac:dyDescent="0.25">
      <c r="A8659" t="s">
        <v>1598</v>
      </c>
      <c r="B8659" s="1" t="str">
        <f>HYPERLINK("http://neurodiem.tw","neurodiem.tw")</f>
        <v>neurodiem.tw</v>
      </c>
      <c r="C8659" t="s">
        <v>504</v>
      </c>
      <c r="D8659" t="s">
        <v>878</v>
      </c>
      <c r="F8659">
        <v>1.1710404952958001E-8</v>
      </c>
      <c r="G8659">
        <v>5359834</v>
      </c>
      <c r="H8659">
        <v>10607277</v>
      </c>
      <c r="I8659">
        <v>44645354</v>
      </c>
      <c r="J8659">
        <v>3</v>
      </c>
    </row>
    <row r="8660" spans="1:10" x14ac:dyDescent="0.25">
      <c r="A8660" t="s">
        <v>1598</v>
      </c>
      <c r="B8660" s="1" t="str">
        <f>HYPERLINK("http://togetherinsma.tw","togetherinsma.tw")</f>
        <v>togetherinsma.tw</v>
      </c>
      <c r="C8660" t="s">
        <v>504</v>
      </c>
      <c r="D8660" t="s">
        <v>878</v>
      </c>
      <c r="F8660">
        <v>9.3691883639168596E-9</v>
      </c>
      <c r="G8660">
        <v>7483942</v>
      </c>
      <c r="H8660">
        <v>10517541</v>
      </c>
      <c r="I8660">
        <v>49152238</v>
      </c>
      <c r="J8660">
        <v>3</v>
      </c>
    </row>
    <row r="8661" spans="1:10" x14ac:dyDescent="0.25">
      <c r="A8661" t="s">
        <v>1598</v>
      </c>
      <c r="B8661" s="1" t="str">
        <f>HYPERLINK("http://biogen.uy","biogen.uy")</f>
        <v>biogen.uy</v>
      </c>
      <c r="C8661" t="s">
        <v>507</v>
      </c>
      <c r="D8661" t="s">
        <v>881</v>
      </c>
      <c r="F8661">
        <v>8.1953922422865607E-9</v>
      </c>
      <c r="G8661">
        <v>9578775</v>
      </c>
      <c r="H8661">
        <v>12166680</v>
      </c>
      <c r="I8661">
        <v>24155200</v>
      </c>
      <c r="J8661">
        <v>2</v>
      </c>
    </row>
    <row r="8662" spans="1:10" x14ac:dyDescent="0.25">
      <c r="A8662" t="s">
        <v>71</v>
      </c>
      <c r="B8662" s="1" t="str">
        <f>HYPERLINK("http://blackrock.com.cn","blackrock.com.cn")</f>
        <v>blackrock.com.cn</v>
      </c>
      <c r="C8662" t="s">
        <v>431</v>
      </c>
      <c r="D8662" t="s">
        <v>812</v>
      </c>
      <c r="F8662">
        <v>5.8627555575263499E-8</v>
      </c>
      <c r="G8662">
        <v>757283</v>
      </c>
      <c r="H8662">
        <v>12479383</v>
      </c>
      <c r="I8662">
        <v>17604491</v>
      </c>
      <c r="J8662">
        <v>2</v>
      </c>
    </row>
    <row r="8663" spans="1:10" x14ac:dyDescent="0.25">
      <c r="A8663" t="s">
        <v>71</v>
      </c>
      <c r="B8663" s="1" t="str">
        <f>HYPERLINK("http://aperiogroup.com","aperiogroup.com")</f>
        <v>aperiogroup.com</v>
      </c>
      <c r="C8663" t="s">
        <v>433</v>
      </c>
      <c r="F8663">
        <v>6.8734026389587894E-8</v>
      </c>
      <c r="G8663">
        <v>618851</v>
      </c>
      <c r="H8663">
        <v>14436304</v>
      </c>
      <c r="I8663">
        <v>1068280</v>
      </c>
      <c r="J8663">
        <v>3</v>
      </c>
    </row>
    <row r="8664" spans="1:10" x14ac:dyDescent="0.25">
      <c r="A8664" t="s">
        <v>71</v>
      </c>
      <c r="B8664" s="1" t="str">
        <f>HYPERLINK("http://bfm.com","bfm.com")</f>
        <v>bfm.com</v>
      </c>
      <c r="C8664" t="s">
        <v>433</v>
      </c>
      <c r="E8664">
        <v>101356</v>
      </c>
      <c r="F8664">
        <v>2.5861071450103599E-8</v>
      </c>
      <c r="G8664">
        <v>1992857</v>
      </c>
      <c r="H8664">
        <v>12457493</v>
      </c>
      <c r="I8664">
        <v>17906627</v>
      </c>
      <c r="J8664">
        <v>3</v>
      </c>
    </row>
    <row r="8665" spans="1:10" x14ac:dyDescent="0.25">
      <c r="A8665" t="s">
        <v>71</v>
      </c>
      <c r="B8665" s="1" t="str">
        <f>HYPERLINK("http://blackroc.com","blackroc.com")</f>
        <v>blackroc.com</v>
      </c>
      <c r="C8665" t="s">
        <v>433</v>
      </c>
      <c r="F8665">
        <v>4.5533779021318901E-9</v>
      </c>
      <c r="G8665">
        <v>51829643</v>
      </c>
      <c r="H8665">
        <v>11200415</v>
      </c>
      <c r="I8665">
        <v>31250449</v>
      </c>
      <c r="J8665">
        <v>3</v>
      </c>
    </row>
    <row r="8666" spans="1:10" x14ac:dyDescent="0.25">
      <c r="A8666" t="s">
        <v>71</v>
      </c>
      <c r="B8666" s="1" t="str">
        <f>HYPERLINK("http://blackrock.com","blackrock.com")</f>
        <v>blackrock.com</v>
      </c>
      <c r="C8666" t="s">
        <v>433</v>
      </c>
      <c r="E8666">
        <v>5673</v>
      </c>
      <c r="F8666">
        <v>4.6997175224759003E-6</v>
      </c>
      <c r="G8666">
        <v>7478</v>
      </c>
      <c r="H8666">
        <v>17642716</v>
      </c>
      <c r="I8666">
        <v>8554</v>
      </c>
      <c r="J8666">
        <v>1</v>
      </c>
    </row>
    <row r="8667" spans="1:10" x14ac:dyDescent="0.25">
      <c r="A8667" t="s">
        <v>71</v>
      </c>
      <c r="B8667" s="1" t="str">
        <f>HYPERLINK("http://cachematrix.com","cachematrix.com")</f>
        <v>cachematrix.com</v>
      </c>
      <c r="C8667" t="s">
        <v>433</v>
      </c>
      <c r="E8667">
        <v>93503</v>
      </c>
      <c r="F8667">
        <v>1.2026443771367499E-8</v>
      </c>
      <c r="G8667">
        <v>5158887</v>
      </c>
      <c r="H8667">
        <v>13006058</v>
      </c>
      <c r="I8667">
        <v>12768118</v>
      </c>
      <c r="J8667">
        <v>3</v>
      </c>
    </row>
    <row r="8668" spans="1:10" x14ac:dyDescent="0.25">
      <c r="A8668" t="s">
        <v>71</v>
      </c>
      <c r="B8668" s="1" t="str">
        <f>HYPERLINK("http://dmlt.com","dmlt.com")</f>
        <v>dmlt.com</v>
      </c>
      <c r="C8668" t="s">
        <v>433</v>
      </c>
      <c r="F8668">
        <v>4.4442411539637799E-9</v>
      </c>
      <c r="G8668">
        <v>77216476</v>
      </c>
      <c r="H8668">
        <v>10613745</v>
      </c>
      <c r="I8668">
        <v>44469961</v>
      </c>
      <c r="J8668">
        <v>3</v>
      </c>
    </row>
    <row r="8669" spans="1:10" x14ac:dyDescent="0.25">
      <c r="A8669" t="s">
        <v>71</v>
      </c>
      <c r="B8669" s="1" t="str">
        <f>HYPERLINK("http://efront.com","efront.com")</f>
        <v>efront.com</v>
      </c>
      <c r="C8669" t="s">
        <v>433</v>
      </c>
      <c r="E8669">
        <v>64561</v>
      </c>
      <c r="F8669">
        <v>7.6843637209034804E-8</v>
      </c>
      <c r="G8669">
        <v>545266</v>
      </c>
      <c r="H8669">
        <v>14166079</v>
      </c>
      <c r="I8669">
        <v>1819619</v>
      </c>
      <c r="J8669">
        <v>3</v>
      </c>
    </row>
    <row r="8670" spans="1:10" x14ac:dyDescent="0.25">
      <c r="A8670" t="s">
        <v>71</v>
      </c>
      <c r="B8670" s="1" t="str">
        <f>HYPERLINK("http://europeanmoneyfundreform.com","europeanmoneyfundreform.com")</f>
        <v>europeanmoneyfundreform.com</v>
      </c>
      <c r="C8670" t="s">
        <v>433</v>
      </c>
      <c r="J8670">
        <v>3</v>
      </c>
    </row>
    <row r="8671" spans="1:10" x14ac:dyDescent="0.25">
      <c r="A8671" t="s">
        <v>71</v>
      </c>
      <c r="B8671" s="1" t="str">
        <f>HYPERLINK("http://futureadvisor.com","futureadvisor.com")</f>
        <v>futureadvisor.com</v>
      </c>
      <c r="C8671" t="s">
        <v>433</v>
      </c>
      <c r="E8671">
        <v>62944</v>
      </c>
      <c r="F8671">
        <v>1.25400069710765E-7</v>
      </c>
      <c r="G8671">
        <v>314597</v>
      </c>
      <c r="H8671">
        <v>14355272</v>
      </c>
      <c r="I8671">
        <v>1306838</v>
      </c>
      <c r="J8671">
        <v>3</v>
      </c>
    </row>
    <row r="8672" spans="1:10" x14ac:dyDescent="0.25">
      <c r="A8672" t="s">
        <v>71</v>
      </c>
      <c r="B8672" s="1" t="str">
        <f>HYPERLINK("http://h2i.com","h2i.com")</f>
        <v>h2i.com</v>
      </c>
      <c r="C8672" t="s">
        <v>433</v>
      </c>
      <c r="J8672">
        <v>4</v>
      </c>
    </row>
    <row r="8673" spans="1:10" x14ac:dyDescent="0.25">
      <c r="A8673" t="s">
        <v>71</v>
      </c>
      <c r="B8673" s="1" t="str">
        <f>HYPERLINK("http://mmktrader.com","mmktrader.com")</f>
        <v>mmktrader.com</v>
      </c>
      <c r="C8673" t="s">
        <v>433</v>
      </c>
      <c r="J8673">
        <v>3</v>
      </c>
    </row>
    <row r="8674" spans="1:10" x14ac:dyDescent="0.25">
      <c r="A8674" t="s">
        <v>71</v>
      </c>
      <c r="B8674" s="1" t="str">
        <f>HYPERLINK("http://tcpcapital.com","tcpcapital.com")</f>
        <v>tcpcapital.com</v>
      </c>
      <c r="C8674" t="s">
        <v>433</v>
      </c>
      <c r="F8674">
        <v>9.4939193648497999E-9</v>
      </c>
      <c r="G8674">
        <v>7329697</v>
      </c>
      <c r="H8674">
        <v>13403171</v>
      </c>
      <c r="I8674">
        <v>10361594</v>
      </c>
      <c r="J8674">
        <v>3</v>
      </c>
    </row>
    <row r="8675" spans="1:10" x14ac:dyDescent="0.25">
      <c r="A8675" t="s">
        <v>71</v>
      </c>
      <c r="B8675" s="1" t="str">
        <f>HYPERLINK("http://vcontarget.de","vcontarget.de")</f>
        <v>vcontarget.de</v>
      </c>
      <c r="C8675" t="s">
        <v>436</v>
      </c>
      <c r="D8675" t="s">
        <v>815</v>
      </c>
      <c r="F8675">
        <v>4.5190858252544799E-9</v>
      </c>
      <c r="G8675">
        <v>56342671</v>
      </c>
      <c r="H8675">
        <v>12320824</v>
      </c>
      <c r="I8675">
        <v>20401162</v>
      </c>
      <c r="J8675">
        <v>3</v>
      </c>
    </row>
    <row r="8676" spans="1:10" x14ac:dyDescent="0.25">
      <c r="A8676" t="s">
        <v>71</v>
      </c>
      <c r="B8676" s="1" t="str">
        <f>HYPERLINK("http://blackrock.events","blackrock.events")</f>
        <v>blackrock.events</v>
      </c>
      <c r="C8676" t="s">
        <v>699</v>
      </c>
      <c r="F8676">
        <v>1.31850728682448E-8</v>
      </c>
      <c r="G8676">
        <v>4544854</v>
      </c>
      <c r="H8676">
        <v>12323874</v>
      </c>
      <c r="I8676">
        <v>20343573</v>
      </c>
      <c r="J8676">
        <v>2</v>
      </c>
    </row>
    <row r="8677" spans="1:10" x14ac:dyDescent="0.25">
      <c r="A8677" t="s">
        <v>71</v>
      </c>
      <c r="B8677" s="1" t="str">
        <f>HYPERLINK("http://blackrock.fi","blackrock.fi")</f>
        <v>blackrock.fi</v>
      </c>
      <c r="C8677" t="s">
        <v>445</v>
      </c>
      <c r="D8677" t="s">
        <v>823</v>
      </c>
      <c r="J8677">
        <v>2</v>
      </c>
    </row>
    <row r="8678" spans="1:10" x14ac:dyDescent="0.25">
      <c r="A8678" t="s">
        <v>71</v>
      </c>
      <c r="B8678" s="1" t="str">
        <f>HYPERLINK("http://ishares.fi","ishares.fi")</f>
        <v>ishares.fi</v>
      </c>
      <c r="C8678" t="s">
        <v>445</v>
      </c>
      <c r="D8678" t="s">
        <v>823</v>
      </c>
      <c r="F8678">
        <v>4.8242358490866898E-9</v>
      </c>
      <c r="G8678">
        <v>35056560</v>
      </c>
      <c r="H8678">
        <v>12010450</v>
      </c>
      <c r="I8678">
        <v>28065535</v>
      </c>
      <c r="J8678">
        <v>2</v>
      </c>
    </row>
    <row r="8679" spans="1:10" x14ac:dyDescent="0.25">
      <c r="A8679" t="s">
        <v>71</v>
      </c>
      <c r="B8679" s="1" t="str">
        <f>HYPERLINK("http://isharesetf.fi","isharesetf.fi")</f>
        <v>isharesetf.fi</v>
      </c>
      <c r="C8679" t="s">
        <v>445</v>
      </c>
      <c r="D8679" t="s">
        <v>823</v>
      </c>
      <c r="J8679">
        <v>2</v>
      </c>
    </row>
    <row r="8680" spans="1:10" x14ac:dyDescent="0.25">
      <c r="A8680" t="s">
        <v>71</v>
      </c>
      <c r="B8680" s="1" t="str">
        <f>HYPERLINK("http://isharesetfs.fi","isharesetfs.fi")</f>
        <v>isharesetfs.fi</v>
      </c>
      <c r="C8680" t="s">
        <v>445</v>
      </c>
      <c r="D8680" t="s">
        <v>823</v>
      </c>
      <c r="J8680">
        <v>2</v>
      </c>
    </row>
    <row r="8681" spans="1:10" x14ac:dyDescent="0.25">
      <c r="A8681" t="s">
        <v>71</v>
      </c>
      <c r="B8681" s="1" t="str">
        <f>HYPERLINK("http://isharesfantasycup.fi","isharesfantasycup.fi")</f>
        <v>isharesfantasycup.fi</v>
      </c>
      <c r="C8681" t="s">
        <v>445</v>
      </c>
      <c r="D8681" t="s">
        <v>823</v>
      </c>
      <c r="J8681">
        <v>2</v>
      </c>
    </row>
    <row r="8682" spans="1:10" x14ac:dyDescent="0.25">
      <c r="A8682" t="s">
        <v>71</v>
      </c>
      <c r="B8682" s="1" t="str">
        <f>HYPERLINK("http://ithinking.fi","ithinking.fi")</f>
        <v>ithinking.fi</v>
      </c>
      <c r="C8682" t="s">
        <v>445</v>
      </c>
      <c r="D8682" t="s">
        <v>823</v>
      </c>
      <c r="J8682">
        <v>2</v>
      </c>
    </row>
    <row r="8683" spans="1:10" x14ac:dyDescent="0.25">
      <c r="A8683" t="s">
        <v>71</v>
      </c>
      <c r="B8683" s="1" t="str">
        <f>HYPERLINK("http://futureadvisor.io","futureadvisor.io")</f>
        <v>futureadvisor.io</v>
      </c>
      <c r="C8683" t="s">
        <v>518</v>
      </c>
      <c r="J8683">
        <v>3</v>
      </c>
    </row>
    <row r="8684" spans="1:10" x14ac:dyDescent="0.25">
      <c r="A8684" t="s">
        <v>71</v>
      </c>
      <c r="B8684" s="1" t="str">
        <f>HYPERLINK("http://blackrock.co.kr","blackrock.co.kr")</f>
        <v>blackrock.co.kr</v>
      </c>
      <c r="C8684" t="s">
        <v>463</v>
      </c>
      <c r="D8684" t="s">
        <v>839</v>
      </c>
      <c r="F8684">
        <v>4.4871815853972098E-9</v>
      </c>
      <c r="G8684">
        <v>60987212</v>
      </c>
      <c r="H8684">
        <v>10624875</v>
      </c>
      <c r="I8684">
        <v>44143014</v>
      </c>
      <c r="J8684">
        <v>3</v>
      </c>
    </row>
    <row r="8685" spans="1:10" x14ac:dyDescent="0.25">
      <c r="A8685" t="s">
        <v>71</v>
      </c>
      <c r="B8685" s="1" t="str">
        <f>HYPERLINK("http://blackrock.nl","blackrock.nl")</f>
        <v>blackrock.nl</v>
      </c>
      <c r="C8685" t="s">
        <v>477</v>
      </c>
      <c r="D8685" t="s">
        <v>852</v>
      </c>
      <c r="F8685">
        <v>1.43657225550793E-8</v>
      </c>
      <c r="G8685">
        <v>4068946</v>
      </c>
      <c r="H8685">
        <v>13096077</v>
      </c>
      <c r="I8685">
        <v>12121432</v>
      </c>
      <c r="J8685">
        <v>2</v>
      </c>
    </row>
    <row r="8686" spans="1:10" x14ac:dyDescent="0.25">
      <c r="A8686" t="s">
        <v>71</v>
      </c>
      <c r="B8686" s="1" t="str">
        <f>HYPERLINK("http://blackrock.com.tw","blackrock.com.tw")</f>
        <v>blackrock.com.tw</v>
      </c>
      <c r="C8686" t="s">
        <v>504</v>
      </c>
      <c r="D8686" t="s">
        <v>878</v>
      </c>
      <c r="F8686">
        <v>1.6056363698358E-8</v>
      </c>
      <c r="G8686">
        <v>3531731</v>
      </c>
      <c r="H8686">
        <v>13814696</v>
      </c>
      <c r="I8686">
        <v>6173129</v>
      </c>
      <c r="J8686">
        <v>2</v>
      </c>
    </row>
    <row r="8687" spans="1:10" x14ac:dyDescent="0.25">
      <c r="A8687" t="s">
        <v>71</v>
      </c>
      <c r="B8687" s="1" t="str">
        <f>HYPERLINK("http://blackrock.co.uk","blackrock.co.uk")</f>
        <v>blackrock.co.uk</v>
      </c>
      <c r="C8687" t="s">
        <v>506</v>
      </c>
      <c r="D8687" t="s">
        <v>880</v>
      </c>
      <c r="F8687">
        <v>3.0177615015411897E-8</v>
      </c>
      <c r="G8687">
        <v>1705224</v>
      </c>
      <c r="H8687">
        <v>14552552</v>
      </c>
      <c r="I8687">
        <v>756580</v>
      </c>
      <c r="J8687">
        <v>2</v>
      </c>
    </row>
    <row r="8688" spans="1:10" x14ac:dyDescent="0.25">
      <c r="A8688" t="s">
        <v>72</v>
      </c>
      <c r="B8688" s="1" t="str">
        <f>HYPERLINK("http://ancestry.com.au","ancestry.com.au")</f>
        <v>ancestry.com.au</v>
      </c>
      <c r="C8688" t="s">
        <v>420</v>
      </c>
      <c r="D8688" t="s">
        <v>802</v>
      </c>
      <c r="E8688">
        <v>52286</v>
      </c>
      <c r="F8688">
        <v>2.0360266551216001E-7</v>
      </c>
      <c r="G8688">
        <v>186714</v>
      </c>
      <c r="H8688">
        <v>15576238</v>
      </c>
      <c r="I8688">
        <v>373083</v>
      </c>
      <c r="J8688">
        <v>4</v>
      </c>
    </row>
    <row r="8689" spans="1:10" x14ac:dyDescent="0.25">
      <c r="A8689" t="s">
        <v>72</v>
      </c>
      <c r="B8689" s="1" t="str">
        <f>HYPERLINK("http://ancestry.ca","ancestry.ca")</f>
        <v>ancestry.ca</v>
      </c>
      <c r="C8689" t="s">
        <v>428</v>
      </c>
      <c r="D8689" t="s">
        <v>809</v>
      </c>
      <c r="E8689">
        <v>55883</v>
      </c>
      <c r="F8689">
        <v>2.3802173101612501E-7</v>
      </c>
      <c r="G8689">
        <v>157279</v>
      </c>
      <c r="H8689">
        <v>15232787</v>
      </c>
      <c r="I8689">
        <v>392001</v>
      </c>
      <c r="J8689">
        <v>4</v>
      </c>
    </row>
    <row r="8690" spans="1:10" x14ac:dyDescent="0.25">
      <c r="A8690" t="s">
        <v>72</v>
      </c>
      <c r="B8690" s="1" t="str">
        <f>HYPERLINK("http://ancestry.com","ancestry.com")</f>
        <v>ancestry.com</v>
      </c>
      <c r="C8690" t="s">
        <v>433</v>
      </c>
      <c r="E8690">
        <v>1933</v>
      </c>
      <c r="F8690">
        <v>6.5944016213114301E-6</v>
      </c>
      <c r="G8690">
        <v>5136</v>
      </c>
      <c r="H8690">
        <v>17815812</v>
      </c>
      <c r="I8690">
        <v>5388</v>
      </c>
      <c r="J8690">
        <v>3</v>
      </c>
    </row>
    <row r="8691" spans="1:10" x14ac:dyDescent="0.25">
      <c r="A8691" t="s">
        <v>72</v>
      </c>
      <c r="B8691" s="1" t="str">
        <f>HYPERLINK("http://blackstone.com","blackstone.com")</f>
        <v>blackstone.com</v>
      </c>
      <c r="C8691" t="s">
        <v>433</v>
      </c>
      <c r="E8691">
        <v>33030</v>
      </c>
      <c r="F8691">
        <v>1.4236469637173501E-6</v>
      </c>
      <c r="G8691">
        <v>27496</v>
      </c>
      <c r="H8691">
        <v>15282097</v>
      </c>
      <c r="I8691">
        <v>387514</v>
      </c>
      <c r="J8691">
        <v>1</v>
      </c>
    </row>
    <row r="8692" spans="1:10" x14ac:dyDescent="0.25">
      <c r="A8692" t="s">
        <v>72</v>
      </c>
      <c r="B8692" s="1" t="str">
        <f>HYPERLINK("http://bocaresort.com","bocaresort.com")</f>
        <v>bocaresort.com</v>
      </c>
      <c r="C8692" t="s">
        <v>433</v>
      </c>
      <c r="E8692">
        <v>606924</v>
      </c>
      <c r="F8692">
        <v>1.0313187250933999E-7</v>
      </c>
      <c r="G8692">
        <v>389149</v>
      </c>
      <c r="H8692">
        <v>14641242</v>
      </c>
      <c r="I8692">
        <v>636397</v>
      </c>
      <c r="J8692">
        <v>3</v>
      </c>
    </row>
    <row r="8693" spans="1:10" x14ac:dyDescent="0.25">
      <c r="A8693" t="s">
        <v>72</v>
      </c>
      <c r="B8693" s="1" t="str">
        <f>HYPERLINK("http://cirsa.com","cirsa.com")</f>
        <v>cirsa.com</v>
      </c>
      <c r="C8693" t="s">
        <v>433</v>
      </c>
      <c r="E8693">
        <v>145893</v>
      </c>
      <c r="F8693">
        <v>3.5980280911779099E-8</v>
      </c>
      <c r="G8693">
        <v>1448228</v>
      </c>
      <c r="H8693">
        <v>12784576</v>
      </c>
      <c r="I8693">
        <v>14719443</v>
      </c>
      <c r="J8693">
        <v>3</v>
      </c>
    </row>
    <row r="8694" spans="1:10" x14ac:dyDescent="0.25">
      <c r="A8694" t="s">
        <v>72</v>
      </c>
      <c r="B8694" s="1" t="str">
        <f>HYPERLINK("http://cirsacorp.com","cirsacorp.com")</f>
        <v>cirsacorp.com</v>
      </c>
      <c r="C8694" t="s">
        <v>433</v>
      </c>
      <c r="F8694">
        <v>6.2335591091725403E-9</v>
      </c>
      <c r="G8694">
        <v>15357358</v>
      </c>
      <c r="H8694">
        <v>12445789</v>
      </c>
      <c r="I8694">
        <v>18077628</v>
      </c>
      <c r="J8694">
        <v>6</v>
      </c>
    </row>
    <row r="8695" spans="1:10" x14ac:dyDescent="0.25">
      <c r="A8695" t="s">
        <v>72</v>
      </c>
      <c r="B8695" s="1" t="str">
        <f>HYPERLINK("http://clarusfunds.com","clarusfunds.com")</f>
        <v>clarusfunds.com</v>
      </c>
      <c r="C8695" t="s">
        <v>433</v>
      </c>
      <c r="F8695">
        <v>8.9214874830131306E-9</v>
      </c>
      <c r="G8695">
        <v>8111247</v>
      </c>
      <c r="H8695">
        <v>13456424</v>
      </c>
      <c r="I8695">
        <v>10184831</v>
      </c>
      <c r="J8695">
        <v>6</v>
      </c>
    </row>
    <row r="8696" spans="1:10" x14ac:dyDescent="0.25">
      <c r="A8696" t="s">
        <v>72</v>
      </c>
      <c r="B8696" s="1" t="str">
        <f>HYPERLINK("http://clarusventures.com","clarusventures.com")</f>
        <v>clarusventures.com</v>
      </c>
      <c r="C8696" t="s">
        <v>433</v>
      </c>
      <c r="F8696">
        <v>9.2621001571928501E-9</v>
      </c>
      <c r="G8696">
        <v>7622529</v>
      </c>
      <c r="H8696">
        <v>13426588</v>
      </c>
      <c r="I8696">
        <v>10292401</v>
      </c>
      <c r="J8696">
        <v>3</v>
      </c>
    </row>
    <row r="8697" spans="1:10" x14ac:dyDescent="0.25">
      <c r="A8697" t="s">
        <v>72</v>
      </c>
      <c r="B8697" s="1" t="str">
        <f>HYPERLINK("http://digitalrisk.com","digitalrisk.com")</f>
        <v>digitalrisk.com</v>
      </c>
      <c r="C8697" t="s">
        <v>433</v>
      </c>
      <c r="F8697">
        <v>2.08672622412074E-8</v>
      </c>
      <c r="G8697">
        <v>2533679</v>
      </c>
      <c r="H8697">
        <v>14031872</v>
      </c>
      <c r="I8697">
        <v>3925337</v>
      </c>
      <c r="J8697">
        <v>6</v>
      </c>
    </row>
    <row r="8698" spans="1:10" x14ac:dyDescent="0.25">
      <c r="A8698" t="s">
        <v>72</v>
      </c>
      <c r="B8698" s="1" t="str">
        <f>HYPERLINK("http://equityhealthcare.com","equityhealthcare.com")</f>
        <v>equityhealthcare.com</v>
      </c>
      <c r="C8698" t="s">
        <v>433</v>
      </c>
      <c r="F8698">
        <v>2.6828665157965501E-8</v>
      </c>
      <c r="G8698">
        <v>1917465</v>
      </c>
      <c r="H8698">
        <v>13240347</v>
      </c>
      <c r="I8698">
        <v>11220490</v>
      </c>
      <c r="J8698">
        <v>2</v>
      </c>
    </row>
    <row r="8699" spans="1:10" x14ac:dyDescent="0.25">
      <c r="A8699" t="s">
        <v>72</v>
      </c>
      <c r="B8699" s="1" t="str">
        <f>HYPERLINK("http://gsocap.com","gsocap.com")</f>
        <v>gsocap.com</v>
      </c>
      <c r="C8699" t="s">
        <v>433</v>
      </c>
      <c r="F8699">
        <v>4.4464988738446003E-9</v>
      </c>
      <c r="G8699">
        <v>74243358</v>
      </c>
      <c r="H8699">
        <v>9995179</v>
      </c>
      <c r="I8699">
        <v>60858496</v>
      </c>
      <c r="J8699">
        <v>4</v>
      </c>
    </row>
    <row r="8700" spans="1:10" x14ac:dyDescent="0.25">
      <c r="A8700" t="s">
        <v>72</v>
      </c>
      <c r="B8700" s="1" t="str">
        <f>HYPERLINK("http://harvestmlp.com","harvestmlp.com")</f>
        <v>harvestmlp.com</v>
      </c>
      <c r="C8700" t="s">
        <v>433</v>
      </c>
      <c r="F8700">
        <v>5.7228847709155702E-9</v>
      </c>
      <c r="G8700">
        <v>18724300</v>
      </c>
      <c r="H8700">
        <v>13239908</v>
      </c>
      <c r="I8700">
        <v>11222301</v>
      </c>
      <c r="J8700">
        <v>3</v>
      </c>
    </row>
    <row r="8701" spans="1:10" x14ac:dyDescent="0.25">
      <c r="A8701" t="s">
        <v>72</v>
      </c>
      <c r="B8701" s="1" t="str">
        <f>HYPERLINK("http://lexnls.com","lexnls.com")</f>
        <v>lexnls.com</v>
      </c>
      <c r="C8701" t="s">
        <v>433</v>
      </c>
      <c r="J8701">
        <v>3</v>
      </c>
    </row>
    <row r="8702" spans="1:10" x14ac:dyDescent="0.25">
      <c r="A8702" t="s">
        <v>72</v>
      </c>
      <c r="B8702" s="1" t="str">
        <f>HYPERLINK("http://mphasis.com","mphasis.com")</f>
        <v>mphasis.com</v>
      </c>
      <c r="C8702" t="s">
        <v>433</v>
      </c>
      <c r="E8702">
        <v>55985</v>
      </c>
      <c r="F8702">
        <v>3.3288403374945498E-7</v>
      </c>
      <c r="G8702">
        <v>111978</v>
      </c>
      <c r="H8702">
        <v>15368692</v>
      </c>
      <c r="I8702">
        <v>381778</v>
      </c>
      <c r="J8702">
        <v>3</v>
      </c>
    </row>
    <row r="8703" spans="1:10" x14ac:dyDescent="0.25">
      <c r="A8703" t="s">
        <v>72</v>
      </c>
      <c r="B8703" s="1" t="str">
        <f>HYPERLINK("http://myfamilyinc.com","myfamilyinc.com")</f>
        <v>myfamilyinc.com</v>
      </c>
      <c r="C8703" t="s">
        <v>433</v>
      </c>
      <c r="F8703">
        <v>7.39774038501284E-9</v>
      </c>
      <c r="G8703">
        <v>11248790</v>
      </c>
      <c r="H8703">
        <v>14127503</v>
      </c>
      <c r="I8703">
        <v>2082922</v>
      </c>
      <c r="J8703">
        <v>5</v>
      </c>
    </row>
    <row r="8704" spans="1:10" x14ac:dyDescent="0.25">
      <c r="A8704" t="s">
        <v>72</v>
      </c>
      <c r="B8704" s="1" t="str">
        <f>HYPERLINK("http://rootsweb.com","rootsweb.com")</f>
        <v>rootsweb.com</v>
      </c>
      <c r="C8704" t="s">
        <v>433</v>
      </c>
      <c r="E8704">
        <v>10319</v>
      </c>
      <c r="F8704">
        <v>2.4888074405979499E-6</v>
      </c>
      <c r="G8704">
        <v>15050</v>
      </c>
      <c r="H8704">
        <v>17394996</v>
      </c>
      <c r="I8704">
        <v>19508</v>
      </c>
      <c r="J8704">
        <v>5</v>
      </c>
    </row>
    <row r="8705" spans="1:10" x14ac:dyDescent="0.25">
      <c r="A8705" t="s">
        <v>72</v>
      </c>
      <c r="B8705" s="1" t="str">
        <f>HYPERLINK("http://ancestry.de","ancestry.de")</f>
        <v>ancestry.de</v>
      </c>
      <c r="C8705" t="s">
        <v>436</v>
      </c>
      <c r="D8705" t="s">
        <v>815</v>
      </c>
      <c r="E8705">
        <v>82838</v>
      </c>
      <c r="F8705">
        <v>1.6438066542744599E-7</v>
      </c>
      <c r="G8705">
        <v>236159</v>
      </c>
      <c r="H8705">
        <v>14699202</v>
      </c>
      <c r="I8705">
        <v>595058</v>
      </c>
      <c r="J8705">
        <v>4</v>
      </c>
    </row>
    <row r="8706" spans="1:10" x14ac:dyDescent="0.25">
      <c r="A8706" t="s">
        <v>72</v>
      </c>
      <c r="B8706" s="1" t="str">
        <f>HYPERLINK("http://ancestrystage.de","ancestrystage.de")</f>
        <v>ancestrystage.de</v>
      </c>
      <c r="C8706" t="s">
        <v>436</v>
      </c>
      <c r="D8706" t="s">
        <v>815</v>
      </c>
      <c r="J8706">
        <v>5</v>
      </c>
    </row>
    <row r="8707" spans="1:10" x14ac:dyDescent="0.25">
      <c r="A8707" t="s">
        <v>72</v>
      </c>
      <c r="B8707" s="1" t="str">
        <f>HYPERLINK("http://cirsa.com.do","cirsa.com.do")</f>
        <v>cirsa.com.do</v>
      </c>
      <c r="C8707" t="s">
        <v>438</v>
      </c>
      <c r="D8707" t="s">
        <v>817</v>
      </c>
      <c r="F8707">
        <v>5.6203820521328102E-9</v>
      </c>
      <c r="G8707">
        <v>19665023</v>
      </c>
      <c r="H8707">
        <v>13243739</v>
      </c>
      <c r="I8707">
        <v>11161916</v>
      </c>
      <c r="J8707">
        <v>4</v>
      </c>
    </row>
    <row r="8708" spans="1:10" x14ac:dyDescent="0.25">
      <c r="A8708" t="s">
        <v>72</v>
      </c>
      <c r="B8708" s="1" t="str">
        <f>HYPERLINK("http://ancestry.fi","ancestry.fi")</f>
        <v>ancestry.fi</v>
      </c>
      <c r="C8708" t="s">
        <v>445</v>
      </c>
      <c r="D8708" t="s">
        <v>823</v>
      </c>
      <c r="J8708">
        <v>7</v>
      </c>
    </row>
    <row r="8709" spans="1:10" x14ac:dyDescent="0.25">
      <c r="A8709" t="s">
        <v>72</v>
      </c>
      <c r="B8709" s="1" t="str">
        <f>HYPERLINK("http://geneanet.fi","geneanet.fi")</f>
        <v>geneanet.fi</v>
      </c>
      <c r="C8709" t="s">
        <v>445</v>
      </c>
      <c r="D8709" t="s">
        <v>823</v>
      </c>
      <c r="J8709">
        <v>7</v>
      </c>
    </row>
    <row r="8710" spans="1:10" x14ac:dyDescent="0.25">
      <c r="A8710" t="s">
        <v>72</v>
      </c>
      <c r="B8710" s="1" t="str">
        <f>HYPERLINK("http://mundia.fi","mundia.fi")</f>
        <v>mundia.fi</v>
      </c>
      <c r="C8710" t="s">
        <v>445</v>
      </c>
      <c r="D8710" t="s">
        <v>823</v>
      </c>
      <c r="J8710">
        <v>7</v>
      </c>
    </row>
    <row r="8711" spans="1:10" x14ac:dyDescent="0.25">
      <c r="A8711" t="s">
        <v>72</v>
      </c>
      <c r="B8711" s="1" t="str">
        <f>HYPERLINK("http://ancestry.fr","ancestry.fr")</f>
        <v>ancestry.fr</v>
      </c>
      <c r="C8711" t="s">
        <v>446</v>
      </c>
      <c r="D8711" t="s">
        <v>824</v>
      </c>
      <c r="E8711">
        <v>633784</v>
      </c>
      <c r="F8711">
        <v>3.72927261712337E-8</v>
      </c>
      <c r="G8711">
        <v>1388572</v>
      </c>
      <c r="H8711">
        <v>14556655</v>
      </c>
      <c r="I8711">
        <v>750875</v>
      </c>
      <c r="J8711">
        <v>4</v>
      </c>
    </row>
    <row r="8712" spans="1:10" x14ac:dyDescent="0.25">
      <c r="A8712" t="s">
        <v>72</v>
      </c>
      <c r="B8712" s="1" t="str">
        <f>HYPERLINK("http://ancestry.ie","ancestry.ie")</f>
        <v>ancestry.ie</v>
      </c>
      <c r="C8712" t="s">
        <v>455</v>
      </c>
      <c r="D8712" t="s">
        <v>832</v>
      </c>
      <c r="F8712">
        <v>8.5390732607089008E-9</v>
      </c>
      <c r="G8712">
        <v>8770744</v>
      </c>
      <c r="H8712">
        <v>13764318</v>
      </c>
      <c r="I8712">
        <v>7297933</v>
      </c>
      <c r="J8712">
        <v>4</v>
      </c>
    </row>
    <row r="8713" spans="1:10" x14ac:dyDescent="0.25">
      <c r="A8713" t="s">
        <v>72</v>
      </c>
      <c r="B8713" s="1" t="str">
        <f>HYPERLINK("http://ancestry.it","ancestry.it")</f>
        <v>ancestry.it</v>
      </c>
      <c r="C8713" t="s">
        <v>459</v>
      </c>
      <c r="D8713" t="s">
        <v>835</v>
      </c>
      <c r="E8713">
        <v>948910</v>
      </c>
      <c r="F8713">
        <v>5.89022058721775E-8</v>
      </c>
      <c r="G8713">
        <v>753111</v>
      </c>
      <c r="H8713">
        <v>17025806</v>
      </c>
      <c r="I8713">
        <v>86739</v>
      </c>
      <c r="J8713">
        <v>4</v>
      </c>
    </row>
    <row r="8714" spans="1:10" x14ac:dyDescent="0.25">
      <c r="A8714" t="s">
        <v>72</v>
      </c>
      <c r="B8714" s="1" t="str">
        <f>HYPERLINK("http://ancestry.mx","ancestry.mx")</f>
        <v>ancestry.mx</v>
      </c>
      <c r="C8714" t="s">
        <v>471</v>
      </c>
      <c r="D8714" t="s">
        <v>847</v>
      </c>
      <c r="E8714">
        <v>691005</v>
      </c>
      <c r="F8714">
        <v>2.2913189843273701E-8</v>
      </c>
      <c r="G8714">
        <v>2281412</v>
      </c>
      <c r="H8714">
        <v>14312193</v>
      </c>
      <c r="I8714">
        <v>1339648</v>
      </c>
      <c r="J8714">
        <v>4</v>
      </c>
    </row>
    <row r="8715" spans="1:10" x14ac:dyDescent="0.25">
      <c r="A8715" t="s">
        <v>72</v>
      </c>
      <c r="B8715" s="1" t="str">
        <f>HYPERLINK("http://cirsa.mx","cirsa.mx")</f>
        <v>cirsa.mx</v>
      </c>
      <c r="C8715" t="s">
        <v>471</v>
      </c>
      <c r="D8715" t="s">
        <v>847</v>
      </c>
      <c r="F8715">
        <v>5.7766150365143098E-9</v>
      </c>
      <c r="G8715">
        <v>18273016</v>
      </c>
      <c r="H8715">
        <v>10455882</v>
      </c>
      <c r="I8715">
        <v>51961952</v>
      </c>
      <c r="J8715">
        <v>4</v>
      </c>
    </row>
    <row r="8716" spans="1:10" x14ac:dyDescent="0.25">
      <c r="A8716" t="s">
        <v>72</v>
      </c>
      <c r="B8716" s="1" t="str">
        <f>HYPERLINK("http://cirsa.com.pe","cirsa.com.pe")</f>
        <v>cirsa.com.pe</v>
      </c>
      <c r="C8716" t="s">
        <v>483</v>
      </c>
      <c r="D8716" t="s">
        <v>857</v>
      </c>
      <c r="F8716">
        <v>8.5448647284942707E-9</v>
      </c>
      <c r="G8716">
        <v>8759740</v>
      </c>
      <c r="H8716">
        <v>12230541</v>
      </c>
      <c r="I8716">
        <v>22490384</v>
      </c>
      <c r="J8716">
        <v>4</v>
      </c>
    </row>
    <row r="8717" spans="1:10" x14ac:dyDescent="0.25">
      <c r="A8717" t="s">
        <v>72</v>
      </c>
      <c r="B8717" s="1" t="str">
        <f>HYPERLINK("http://ancestry.pl","ancestry.pl")</f>
        <v>ancestry.pl</v>
      </c>
      <c r="C8717" t="s">
        <v>486</v>
      </c>
      <c r="D8717" t="s">
        <v>860</v>
      </c>
      <c r="F8717">
        <v>1.05019679610884E-8</v>
      </c>
      <c r="G8717">
        <v>6267770</v>
      </c>
      <c r="H8717">
        <v>12357726</v>
      </c>
      <c r="I8717">
        <v>19629926</v>
      </c>
      <c r="J8717">
        <v>4</v>
      </c>
    </row>
    <row r="8718" spans="1:10" x14ac:dyDescent="0.25">
      <c r="A8718" t="s">
        <v>72</v>
      </c>
      <c r="B8718" s="1" t="str">
        <f>HYPERLINK("http://ancestry.se","ancestry.se")</f>
        <v>ancestry.se</v>
      </c>
      <c r="C8718" t="s">
        <v>495</v>
      </c>
      <c r="D8718" t="s">
        <v>869</v>
      </c>
      <c r="E8718">
        <v>332950</v>
      </c>
      <c r="F8718">
        <v>6.24847137247349E-8</v>
      </c>
      <c r="G8718">
        <v>702367</v>
      </c>
      <c r="H8718">
        <v>14496687</v>
      </c>
      <c r="I8718">
        <v>869671</v>
      </c>
      <c r="J8718">
        <v>4</v>
      </c>
    </row>
    <row r="8719" spans="1:10" x14ac:dyDescent="0.25">
      <c r="A8719" t="s">
        <v>72</v>
      </c>
      <c r="B8719" s="1" t="str">
        <f>HYPERLINK("http://ancestry.co.uk","ancestry.co.uk")</f>
        <v>ancestry.co.uk</v>
      </c>
      <c r="C8719" t="s">
        <v>506</v>
      </c>
      <c r="D8719" t="s">
        <v>880</v>
      </c>
      <c r="E8719">
        <v>21155</v>
      </c>
      <c r="F8719">
        <v>4.8288381882614599E-7</v>
      </c>
      <c r="G8719">
        <v>78797</v>
      </c>
      <c r="H8719">
        <v>17355722</v>
      </c>
      <c r="I8719">
        <v>22585</v>
      </c>
      <c r="J8719">
        <v>4</v>
      </c>
    </row>
    <row r="8720" spans="1:10" x14ac:dyDescent="0.25">
      <c r="A8720" t="s">
        <v>73</v>
      </c>
      <c r="B8720" s="1" t="str">
        <f>HYPERLINK("http://afterpay.com.au","afterpay.com.au")</f>
        <v>afterpay.com.au</v>
      </c>
      <c r="C8720" t="s">
        <v>420</v>
      </c>
      <c r="D8720" t="s">
        <v>802</v>
      </c>
      <c r="E8720">
        <v>461732</v>
      </c>
      <c r="F8720">
        <v>3.77986775447407E-7</v>
      </c>
      <c r="G8720">
        <v>99000</v>
      </c>
      <c r="H8720">
        <v>14524055</v>
      </c>
      <c r="I8720">
        <v>797972</v>
      </c>
      <c r="J8720">
        <v>4</v>
      </c>
    </row>
    <row r="8721" spans="1:10" x14ac:dyDescent="0.25">
      <c r="A8721" t="s">
        <v>73</v>
      </c>
      <c r="B8721" s="1" t="str">
        <f>HYPERLINK("http://squareup.ca","squareup.ca")</f>
        <v>squareup.ca</v>
      </c>
      <c r="C8721" t="s">
        <v>428</v>
      </c>
      <c r="D8721" t="s">
        <v>809</v>
      </c>
      <c r="F8721">
        <v>1.35771339274164E-8</v>
      </c>
      <c r="G8721">
        <v>4371325</v>
      </c>
      <c r="H8721">
        <v>13117330</v>
      </c>
      <c r="I8721">
        <v>12003877</v>
      </c>
      <c r="J8721">
        <v>2</v>
      </c>
    </row>
    <row r="8722" spans="1:10" x14ac:dyDescent="0.25">
      <c r="A8722" t="s">
        <v>73</v>
      </c>
      <c r="B8722" s="1" t="str">
        <f>HYPERLINK("http://afterpay.com","afterpay.com")</f>
        <v>afterpay.com</v>
      </c>
      <c r="C8722" t="s">
        <v>433</v>
      </c>
      <c r="E8722">
        <v>5103</v>
      </c>
      <c r="F8722">
        <v>1.5972339589739899E-5</v>
      </c>
      <c r="G8722">
        <v>2117</v>
      </c>
      <c r="H8722">
        <v>17695450</v>
      </c>
      <c r="I8722">
        <v>7411</v>
      </c>
      <c r="J8722">
        <v>3</v>
      </c>
    </row>
    <row r="8723" spans="1:10" x14ac:dyDescent="0.25">
      <c r="A8723" t="s">
        <v>73</v>
      </c>
      <c r="B8723" s="1" t="str">
        <f>HYPERLINK("http://aspiro.com","aspiro.com")</f>
        <v>aspiro.com</v>
      </c>
      <c r="C8723" t="s">
        <v>433</v>
      </c>
      <c r="F8723">
        <v>3.91631388512808E-8</v>
      </c>
      <c r="G8723">
        <v>1317134</v>
      </c>
      <c r="H8723">
        <v>14553274</v>
      </c>
      <c r="I8723">
        <v>755578</v>
      </c>
      <c r="J8723">
        <v>3</v>
      </c>
    </row>
    <row r="8724" spans="1:10" x14ac:dyDescent="0.25">
      <c r="A8724" t="s">
        <v>73</v>
      </c>
      <c r="B8724" s="1" t="str">
        <f>HYPERLINK("http://raworganicjuice.com","raworganicjuice.com")</f>
        <v>raworganicjuice.com</v>
      </c>
      <c r="C8724" t="s">
        <v>433</v>
      </c>
      <c r="F8724">
        <v>4.4714174019248797E-9</v>
      </c>
      <c r="G8724">
        <v>64225883</v>
      </c>
      <c r="H8724">
        <v>10694247</v>
      </c>
      <c r="I8724">
        <v>42424280</v>
      </c>
      <c r="J8724">
        <v>3</v>
      </c>
    </row>
    <row r="8725" spans="1:10" x14ac:dyDescent="0.25">
      <c r="A8725" t="s">
        <v>73</v>
      </c>
      <c r="B8725" s="1" t="str">
        <f>HYPERLINK("http://squareup.com","squareup.com")</f>
        <v>squareup.com</v>
      </c>
      <c r="C8725" t="s">
        <v>433</v>
      </c>
      <c r="E8725">
        <v>1430</v>
      </c>
      <c r="F8725">
        <v>5.7409687285960801E-5</v>
      </c>
      <c r="G8725">
        <v>454</v>
      </c>
      <c r="H8725">
        <v>19223692</v>
      </c>
      <c r="I8725">
        <v>347</v>
      </c>
      <c r="J8725">
        <v>1</v>
      </c>
    </row>
    <row r="8726" spans="1:10" x14ac:dyDescent="0.25">
      <c r="A8726" t="s">
        <v>73</v>
      </c>
      <c r="B8726" s="1" t="str">
        <f>HYPERLINK("http://tidal.com","tidal.com")</f>
        <v>tidal.com</v>
      </c>
      <c r="C8726" t="s">
        <v>433</v>
      </c>
      <c r="E8726">
        <v>2456</v>
      </c>
      <c r="F8726">
        <v>8.9333855694021801E-6</v>
      </c>
      <c r="G8726">
        <v>3783</v>
      </c>
      <c r="H8726">
        <v>17914038</v>
      </c>
      <c r="I8726">
        <v>4335</v>
      </c>
      <c r="J8726">
        <v>4</v>
      </c>
    </row>
    <row r="8727" spans="1:10" x14ac:dyDescent="0.25">
      <c r="A8727" t="s">
        <v>73</v>
      </c>
      <c r="B8727" s="1" t="str">
        <f>HYPERLINK("http://wimpmusic.com","wimpmusic.com")</f>
        <v>wimpmusic.com</v>
      </c>
      <c r="C8727" t="s">
        <v>433</v>
      </c>
      <c r="E8727">
        <v>55832</v>
      </c>
      <c r="F8727">
        <v>1.9714703742311399E-7</v>
      </c>
      <c r="G8727">
        <v>195587</v>
      </c>
      <c r="H8727">
        <v>14580911</v>
      </c>
      <c r="I8727">
        <v>709361</v>
      </c>
      <c r="J8727">
        <v>3</v>
      </c>
    </row>
    <row r="8728" spans="1:10" x14ac:dyDescent="0.25">
      <c r="A8728" t="s">
        <v>73</v>
      </c>
      <c r="B8728" s="1" t="str">
        <f>HYPERLINK("http://square.fi","square.fi")</f>
        <v>square.fi</v>
      </c>
      <c r="C8728" t="s">
        <v>445</v>
      </c>
      <c r="D8728" t="s">
        <v>823</v>
      </c>
      <c r="J8728">
        <v>3</v>
      </c>
    </row>
    <row r="8729" spans="1:10" x14ac:dyDescent="0.25">
      <c r="A8729" t="s">
        <v>73</v>
      </c>
      <c r="B8729" s="1" t="str">
        <f>HYPERLINK("http://squareup.fi","squareup.fi")</f>
        <v>squareup.fi</v>
      </c>
      <c r="C8729" t="s">
        <v>445</v>
      </c>
      <c r="D8729" t="s">
        <v>823</v>
      </c>
      <c r="J8729">
        <v>3</v>
      </c>
    </row>
    <row r="8730" spans="1:10" x14ac:dyDescent="0.25">
      <c r="A8730" t="s">
        <v>73</v>
      </c>
      <c r="B8730" s="1" t="str">
        <f>HYPERLINK("http://tidalhi.fi","tidalhi.fi")</f>
        <v>tidalhi.fi</v>
      </c>
      <c r="C8730" t="s">
        <v>445</v>
      </c>
      <c r="D8730" t="s">
        <v>823</v>
      </c>
      <c r="E8730">
        <v>42747</v>
      </c>
      <c r="J8730">
        <v>2</v>
      </c>
    </row>
    <row r="8731" spans="1:10" x14ac:dyDescent="0.25">
      <c r="A8731" t="s">
        <v>73</v>
      </c>
      <c r="B8731" s="1" t="str">
        <f>HYPERLINK("http://squareup.co.jp","squareup.co.jp")</f>
        <v>squareup.co.jp</v>
      </c>
      <c r="C8731" t="s">
        <v>461</v>
      </c>
      <c r="D8731" t="s">
        <v>837</v>
      </c>
      <c r="F8731">
        <v>1.42287023426525E-8</v>
      </c>
      <c r="G8731">
        <v>4118789</v>
      </c>
      <c r="H8731">
        <v>13116875</v>
      </c>
      <c r="I8731">
        <v>12005594</v>
      </c>
      <c r="J8731">
        <v>2</v>
      </c>
    </row>
    <row r="8732" spans="1:10" x14ac:dyDescent="0.25">
      <c r="A8732" t="s">
        <v>73</v>
      </c>
      <c r="B8732" s="1" t="str">
        <f>HYPERLINK("http://block.xyz","block.xyz")</f>
        <v>block.xyz</v>
      </c>
      <c r="C8732" t="s">
        <v>585</v>
      </c>
      <c r="E8732">
        <v>92277</v>
      </c>
      <c r="F8732">
        <v>6.7859869562837402E-7</v>
      </c>
      <c r="G8732">
        <v>56846</v>
      </c>
      <c r="H8732">
        <v>14572423</v>
      </c>
      <c r="I8732">
        <v>733447</v>
      </c>
      <c r="J8732">
        <v>2</v>
      </c>
    </row>
    <row r="8733" spans="1:10" x14ac:dyDescent="0.25">
      <c r="A8733" t="s">
        <v>74</v>
      </c>
      <c r="B8733" s="1" t="str">
        <f>HYPERLINK("http://alsalam.aero","alsalam.aero")</f>
        <v>alsalam.aero</v>
      </c>
      <c r="C8733" t="s">
        <v>601</v>
      </c>
      <c r="F8733">
        <v>1.5913790245116299E-8</v>
      </c>
      <c r="G8733">
        <v>3569050</v>
      </c>
      <c r="H8733">
        <v>14072428</v>
      </c>
      <c r="I8733">
        <v>3094770</v>
      </c>
      <c r="J8733">
        <v>3</v>
      </c>
    </row>
    <row r="8734" spans="1:10" x14ac:dyDescent="0.25">
      <c r="A8734" t="s">
        <v>74</v>
      </c>
      <c r="B8734" s="1" t="str">
        <f>HYPERLINK("http://aurora.aero","aurora.aero")</f>
        <v>aurora.aero</v>
      </c>
      <c r="C8734" t="s">
        <v>601</v>
      </c>
      <c r="E8734">
        <v>169040</v>
      </c>
      <c r="F8734">
        <v>1.9343906970050099E-7</v>
      </c>
      <c r="G8734">
        <v>199279</v>
      </c>
      <c r="H8734">
        <v>14911917</v>
      </c>
      <c r="I8734">
        <v>456707</v>
      </c>
      <c r="J8734">
        <v>3</v>
      </c>
    </row>
    <row r="8735" spans="1:10" x14ac:dyDescent="0.25">
      <c r="A8735" t="s">
        <v>74</v>
      </c>
      <c r="B8735" s="1" t="str">
        <f>HYPERLINK("http://boeing.com.au","boeing.com.au")</f>
        <v>boeing.com.au</v>
      </c>
      <c r="C8735" t="s">
        <v>420</v>
      </c>
      <c r="D8735" t="s">
        <v>802</v>
      </c>
      <c r="F8735">
        <v>6.9090057587642594E-8</v>
      </c>
      <c r="G8735">
        <v>615040</v>
      </c>
      <c r="H8735">
        <v>14852301</v>
      </c>
      <c r="I8735">
        <v>489460</v>
      </c>
      <c r="J8735">
        <v>2</v>
      </c>
    </row>
    <row r="8736" spans="1:10" x14ac:dyDescent="0.25">
      <c r="A8736" t="s">
        <v>74</v>
      </c>
      <c r="B8736" s="1" t="str">
        <f>HYPERLINK("http://insitupacific.com.au","insitupacific.com.au")</f>
        <v>insitupacific.com.au</v>
      </c>
      <c r="C8736" t="s">
        <v>420</v>
      </c>
      <c r="D8736" t="s">
        <v>802</v>
      </c>
      <c r="F8736">
        <v>1.2013367469685699E-8</v>
      </c>
      <c r="G8736">
        <v>5166891</v>
      </c>
      <c r="H8736">
        <v>12316110</v>
      </c>
      <c r="I8736">
        <v>20496093</v>
      </c>
      <c r="J8736">
        <v>8</v>
      </c>
    </row>
    <row r="8737" spans="1:10" x14ac:dyDescent="0.25">
      <c r="A8737" t="s">
        <v>74</v>
      </c>
      <c r="B8737" s="1" t="str">
        <f>HYPERLINK("http://boeing.com.br","boeing.com.br")</f>
        <v>boeing.com.br</v>
      </c>
      <c r="C8737" t="s">
        <v>425</v>
      </c>
      <c r="D8737" t="s">
        <v>806</v>
      </c>
      <c r="F8737">
        <v>2.35434894925206E-8</v>
      </c>
      <c r="G8737">
        <v>2209986</v>
      </c>
      <c r="H8737">
        <v>14073097</v>
      </c>
      <c r="I8737">
        <v>3017487</v>
      </c>
      <c r="J8737">
        <v>2</v>
      </c>
    </row>
    <row r="8738" spans="1:10" x14ac:dyDescent="0.25">
      <c r="A8738" t="s">
        <v>74</v>
      </c>
      <c r="B8738" s="1" t="str">
        <f>HYPERLINK("http://boeing.ca","boeing.ca")</f>
        <v>boeing.ca</v>
      </c>
      <c r="C8738" t="s">
        <v>428</v>
      </c>
      <c r="D8738" t="s">
        <v>809</v>
      </c>
      <c r="F8738">
        <v>5.9606578142162797E-8</v>
      </c>
      <c r="G8738">
        <v>741406</v>
      </c>
      <c r="H8738">
        <v>14818855</v>
      </c>
      <c r="I8738">
        <v>519453</v>
      </c>
      <c r="J8738">
        <v>2</v>
      </c>
    </row>
    <row r="8739" spans="1:10" x14ac:dyDescent="0.25">
      <c r="A8739" t="s">
        <v>74</v>
      </c>
      <c r="B8739" s="1" t="str">
        <f>HYPERLINK("http://aurora-aero.ch","aurora-aero.ch")</f>
        <v>aurora-aero.ch</v>
      </c>
      <c r="C8739" t="s">
        <v>429</v>
      </c>
      <c r="D8739" t="s">
        <v>810</v>
      </c>
      <c r="F8739">
        <v>2.4029163476547399E-8</v>
      </c>
      <c r="G8739">
        <v>2160118</v>
      </c>
      <c r="H8739">
        <v>13026782</v>
      </c>
      <c r="I8739">
        <v>12685166</v>
      </c>
      <c r="J8739">
        <v>5</v>
      </c>
    </row>
    <row r="8740" spans="1:10" x14ac:dyDescent="0.25">
      <c r="A8740" t="s">
        <v>74</v>
      </c>
      <c r="B8740" s="1" t="str">
        <f>HYPERLINK("http://boeing.cn","boeing.cn")</f>
        <v>boeing.cn</v>
      </c>
      <c r="C8740" t="s">
        <v>431</v>
      </c>
      <c r="D8740" t="s">
        <v>812</v>
      </c>
      <c r="E8740">
        <v>690543</v>
      </c>
      <c r="F8740">
        <v>2.82060223164166E-8</v>
      </c>
      <c r="G8740">
        <v>1824506</v>
      </c>
      <c r="H8740">
        <v>14076234</v>
      </c>
      <c r="I8740">
        <v>2891697</v>
      </c>
      <c r="J8740">
        <v>2</v>
      </c>
    </row>
    <row r="8741" spans="1:10" x14ac:dyDescent="0.25">
      <c r="A8741" t="s">
        <v>74</v>
      </c>
      <c r="B8741" s="1" t="str">
        <f>HYPERLINK("http://aeroinfo.com","aeroinfo.com")</f>
        <v>aeroinfo.com</v>
      </c>
      <c r="C8741" t="s">
        <v>433</v>
      </c>
      <c r="F8741">
        <v>1.3382035282588E-8</v>
      </c>
      <c r="G8741">
        <v>4455670</v>
      </c>
      <c r="H8741">
        <v>14074222</v>
      </c>
      <c r="I8741">
        <v>2951436</v>
      </c>
      <c r="J8741">
        <v>2</v>
      </c>
    </row>
    <row r="8742" spans="1:10" x14ac:dyDescent="0.25">
      <c r="A8742" t="s">
        <v>74</v>
      </c>
      <c r="B8742" s="1" t="str">
        <f>HYPERLINK("http://argonst.com","argonst.com")</f>
        <v>argonst.com</v>
      </c>
      <c r="C8742" t="s">
        <v>433</v>
      </c>
      <c r="F8742">
        <v>8.2792034646257398E-9</v>
      </c>
      <c r="G8742">
        <v>9307196</v>
      </c>
      <c r="H8742">
        <v>13777052</v>
      </c>
      <c r="I8742">
        <v>6543772</v>
      </c>
      <c r="J8742">
        <v>4</v>
      </c>
    </row>
    <row r="8743" spans="1:10" x14ac:dyDescent="0.25">
      <c r="A8743" t="s">
        <v>74</v>
      </c>
      <c r="B8743" s="1" t="str">
        <f>HYPERLINK("http://aviall.com","aviall.com")</f>
        <v>aviall.com</v>
      </c>
      <c r="C8743" t="s">
        <v>433</v>
      </c>
      <c r="E8743">
        <v>429989</v>
      </c>
      <c r="F8743">
        <v>9.8162017508784301E-8</v>
      </c>
      <c r="G8743">
        <v>410996</v>
      </c>
      <c r="H8743">
        <v>14111515</v>
      </c>
      <c r="I8743">
        <v>2672300</v>
      </c>
      <c r="J8743">
        <v>3</v>
      </c>
    </row>
    <row r="8744" spans="1:10" x14ac:dyDescent="0.25">
      <c r="A8744" t="s">
        <v>74</v>
      </c>
      <c r="B8744" s="1" t="str">
        <f>HYPERLINK("http://bia-boeing.com","bia-boeing.com")</f>
        <v>bia-boeing.com</v>
      </c>
      <c r="C8744" t="s">
        <v>433</v>
      </c>
      <c r="F8744">
        <v>1.37024674666401E-8</v>
      </c>
      <c r="G8744">
        <v>4320132</v>
      </c>
      <c r="H8744">
        <v>13195448</v>
      </c>
      <c r="I8744">
        <v>11578543</v>
      </c>
      <c r="J8744">
        <v>4</v>
      </c>
    </row>
    <row r="8745" spans="1:10" x14ac:dyDescent="0.25">
      <c r="A8745" t="s">
        <v>74</v>
      </c>
      <c r="B8745" s="1" t="str">
        <f>HYPERLINK("http://boeing.com","boeing.com")</f>
        <v>boeing.com</v>
      </c>
      <c r="C8745" t="s">
        <v>433</v>
      </c>
      <c r="E8745">
        <v>2359</v>
      </c>
      <c r="F8745">
        <v>4.8762271928759502E-6</v>
      </c>
      <c r="G8745">
        <v>7168</v>
      </c>
      <c r="H8745">
        <v>17857772</v>
      </c>
      <c r="I8745">
        <v>4890</v>
      </c>
      <c r="J8745">
        <v>1</v>
      </c>
    </row>
    <row r="8746" spans="1:10" x14ac:dyDescent="0.25">
      <c r="A8746" t="s">
        <v>74</v>
      </c>
      <c r="B8746" s="1" t="str">
        <f>HYPERLINK("http://boeingaeroinfo.com","boeingaeroinfo.com")</f>
        <v>boeingaeroinfo.com</v>
      </c>
      <c r="C8746" t="s">
        <v>433</v>
      </c>
      <c r="F8746">
        <v>4.60789417026021E-9</v>
      </c>
      <c r="G8746">
        <v>47019686</v>
      </c>
      <c r="H8746">
        <v>10445711</v>
      </c>
      <c r="I8746">
        <v>52201656</v>
      </c>
      <c r="J8746">
        <v>5</v>
      </c>
    </row>
    <row r="8747" spans="1:10" x14ac:dyDescent="0.25">
      <c r="A8747" t="s">
        <v>74</v>
      </c>
      <c r="B8747" s="1" t="str">
        <f>HYPERLINK("http://boeingdistribution.com","boeingdistribution.com")</f>
        <v>boeingdistribution.com</v>
      </c>
      <c r="C8747" t="s">
        <v>433</v>
      </c>
      <c r="E8747">
        <v>131252</v>
      </c>
      <c r="F8747">
        <v>4.2286268594031603E-8</v>
      </c>
      <c r="G8747">
        <v>1150568</v>
      </c>
      <c r="H8747">
        <v>12837916</v>
      </c>
      <c r="I8747">
        <v>14365865</v>
      </c>
      <c r="J8747">
        <v>3</v>
      </c>
    </row>
    <row r="8748" spans="1:10" x14ac:dyDescent="0.25">
      <c r="A8748" t="s">
        <v>74</v>
      </c>
      <c r="B8748" s="1" t="str">
        <f>HYPERLINK("http://boeingservices.com","boeingservices.com")</f>
        <v>boeingservices.com</v>
      </c>
      <c r="C8748" t="s">
        <v>433</v>
      </c>
      <c r="E8748">
        <v>717299</v>
      </c>
      <c r="F8748">
        <v>4.90776530646856E-8</v>
      </c>
      <c r="G8748">
        <v>943641</v>
      </c>
      <c r="H8748">
        <v>13222596</v>
      </c>
      <c r="I8748">
        <v>11321654</v>
      </c>
      <c r="J8748">
        <v>2</v>
      </c>
    </row>
    <row r="8749" spans="1:10" x14ac:dyDescent="0.25">
      <c r="A8749" t="s">
        <v>74</v>
      </c>
      <c r="B8749" s="1" t="str">
        <f>HYPERLINK("http://digitalaviationservices.com","digitalaviationservices.com")</f>
        <v>digitalaviationservices.com</v>
      </c>
      <c r="C8749" t="s">
        <v>433</v>
      </c>
      <c r="E8749">
        <v>468993</v>
      </c>
      <c r="F8749">
        <v>4.4448123461064799E-9</v>
      </c>
      <c r="G8749">
        <v>76043379</v>
      </c>
      <c r="H8749">
        <v>10543080</v>
      </c>
      <c r="I8749">
        <v>47043320</v>
      </c>
      <c r="J8749">
        <v>2</v>
      </c>
    </row>
    <row r="8750" spans="1:10" x14ac:dyDescent="0.25">
      <c r="A8750" t="s">
        <v>74</v>
      </c>
      <c r="B8750" s="1" t="str">
        <f>HYPERLINK("http://drti.com","drti.com")</f>
        <v>drti.com</v>
      </c>
      <c r="C8750" t="s">
        <v>433</v>
      </c>
      <c r="F8750">
        <v>1.48628713810744E-8</v>
      </c>
      <c r="G8750">
        <v>3885274</v>
      </c>
      <c r="H8750">
        <v>14082256</v>
      </c>
      <c r="I8750">
        <v>2801996</v>
      </c>
      <c r="J8750">
        <v>4</v>
      </c>
    </row>
    <row r="8751" spans="1:10" x14ac:dyDescent="0.25">
      <c r="A8751" t="s">
        <v>74</v>
      </c>
      <c r="B8751" s="1" t="str">
        <f>HYPERLINK("http://hrl.com","hrl.com")</f>
        <v>hrl.com</v>
      </c>
      <c r="C8751" t="s">
        <v>433</v>
      </c>
      <c r="E8751">
        <v>160062</v>
      </c>
      <c r="F8751">
        <v>1.99263741987078E-7</v>
      </c>
      <c r="G8751">
        <v>191616</v>
      </c>
      <c r="H8751">
        <v>15143050</v>
      </c>
      <c r="I8751">
        <v>400914</v>
      </c>
      <c r="J8751">
        <v>4</v>
      </c>
    </row>
    <row r="8752" spans="1:10" x14ac:dyDescent="0.25">
      <c r="A8752" t="s">
        <v>74</v>
      </c>
      <c r="B8752" s="1" t="str">
        <f>HYPERLINK("http://insitu.com","insitu.com")</f>
        <v>insitu.com</v>
      </c>
      <c r="C8752" t="s">
        <v>433</v>
      </c>
      <c r="E8752">
        <v>340347</v>
      </c>
      <c r="F8752">
        <v>1.5390608659582499E-7</v>
      </c>
      <c r="G8752">
        <v>252383</v>
      </c>
      <c r="H8752">
        <v>14897904</v>
      </c>
      <c r="I8752">
        <v>463806</v>
      </c>
      <c r="J8752">
        <v>4</v>
      </c>
    </row>
    <row r="8753" spans="1:10" x14ac:dyDescent="0.25">
      <c r="A8753" t="s">
        <v>74</v>
      </c>
      <c r="B8753" s="1" t="str">
        <f>HYPERLINK("http://jeppesen.com","jeppesen.com")</f>
        <v>jeppesen.com</v>
      </c>
      <c r="C8753" t="s">
        <v>433</v>
      </c>
      <c r="E8753">
        <v>37339</v>
      </c>
      <c r="F8753">
        <v>3.4263294481300301E-7</v>
      </c>
      <c r="G8753">
        <v>108979</v>
      </c>
      <c r="H8753">
        <v>15355525</v>
      </c>
      <c r="I8753">
        <v>382486</v>
      </c>
      <c r="J8753">
        <v>2</v>
      </c>
    </row>
    <row r="8754" spans="1:10" x14ac:dyDescent="0.25">
      <c r="A8754" t="s">
        <v>74</v>
      </c>
      <c r="B8754" s="1" t="str">
        <f>HYPERLINK("http://liquid-robotics.com","liquid-robotics.com")</f>
        <v>liquid-robotics.com</v>
      </c>
      <c r="C8754" t="s">
        <v>433</v>
      </c>
      <c r="E8754">
        <v>707369</v>
      </c>
      <c r="F8754">
        <v>1.56321560137898E-7</v>
      </c>
      <c r="G8754">
        <v>248445</v>
      </c>
      <c r="H8754">
        <v>14826271</v>
      </c>
      <c r="I8754">
        <v>510147</v>
      </c>
      <c r="J8754">
        <v>4</v>
      </c>
    </row>
    <row r="8755" spans="1:10" x14ac:dyDescent="0.25">
      <c r="A8755" t="s">
        <v>74</v>
      </c>
      <c r="B8755" s="1" t="str">
        <f>HYPERLINK("http://millennium-space.com","millennium-space.com")</f>
        <v>millennium-space.com</v>
      </c>
      <c r="C8755" t="s">
        <v>433</v>
      </c>
      <c r="F8755">
        <v>4.1774911215550102E-8</v>
      </c>
      <c r="G8755">
        <v>1179838</v>
      </c>
      <c r="H8755">
        <v>14185967</v>
      </c>
      <c r="I8755">
        <v>1769175</v>
      </c>
      <c r="J8755">
        <v>4</v>
      </c>
    </row>
    <row r="8756" spans="1:10" x14ac:dyDescent="0.25">
      <c r="A8756" t="s">
        <v>74</v>
      </c>
      <c r="B8756" s="1" t="str">
        <f>HYPERLINK("http://myboeingfleet.com","myboeingfleet.com")</f>
        <v>myboeingfleet.com</v>
      </c>
      <c r="C8756" t="s">
        <v>433</v>
      </c>
      <c r="E8756">
        <v>561643</v>
      </c>
      <c r="F8756">
        <v>6.9149300677014505E-8</v>
      </c>
      <c r="G8756">
        <v>614422</v>
      </c>
      <c r="H8756">
        <v>14533981</v>
      </c>
      <c r="I8756">
        <v>782488</v>
      </c>
      <c r="J8756">
        <v>2</v>
      </c>
    </row>
    <row r="8757" spans="1:10" x14ac:dyDescent="0.25">
      <c r="A8757" t="s">
        <v>74</v>
      </c>
      <c r="B8757" s="1" t="str">
        <f>HYPERLINK("http://spectrolab.com","spectrolab.com")</f>
        <v>spectrolab.com</v>
      </c>
      <c r="C8757" t="s">
        <v>433</v>
      </c>
      <c r="F8757">
        <v>4.6750124995622198E-8</v>
      </c>
      <c r="G8757">
        <v>999344</v>
      </c>
      <c r="H8757">
        <v>14845625</v>
      </c>
      <c r="I8757">
        <v>493964</v>
      </c>
      <c r="J8757">
        <v>3</v>
      </c>
    </row>
    <row r="8758" spans="1:10" x14ac:dyDescent="0.25">
      <c r="A8758" t="s">
        <v>74</v>
      </c>
      <c r="B8758" s="1" t="str">
        <f>HYPERLINK("http://tapestrysolutions.com","tapestrysolutions.com")</f>
        <v>tapestrysolutions.com</v>
      </c>
      <c r="C8758" t="s">
        <v>433</v>
      </c>
      <c r="E8758">
        <v>985558</v>
      </c>
      <c r="F8758">
        <v>1.9782136052520902E-8</v>
      </c>
      <c r="G8758">
        <v>2696060</v>
      </c>
      <c r="H8758">
        <v>13947944</v>
      </c>
      <c r="I8758">
        <v>4201806</v>
      </c>
      <c r="J8758">
        <v>4</v>
      </c>
    </row>
    <row r="8759" spans="1:10" x14ac:dyDescent="0.25">
      <c r="A8759" t="s">
        <v>74</v>
      </c>
      <c r="B8759" s="1" t="str">
        <f>HYPERLINK("http://ulalaunch.com","ulalaunch.com")</f>
        <v>ulalaunch.com</v>
      </c>
      <c r="C8759" t="s">
        <v>433</v>
      </c>
      <c r="E8759">
        <v>71921</v>
      </c>
      <c r="F8759">
        <v>5.5232835300320404E-7</v>
      </c>
      <c r="G8759">
        <v>70091</v>
      </c>
      <c r="H8759">
        <v>17350850</v>
      </c>
      <c r="I8759">
        <v>23003</v>
      </c>
      <c r="J8759">
        <v>3</v>
      </c>
    </row>
    <row r="8760" spans="1:10" x14ac:dyDescent="0.25">
      <c r="A8760" t="s">
        <v>74</v>
      </c>
      <c r="B8760" s="1" t="str">
        <f>HYPERLINK("http://boeing.de","boeing.de")</f>
        <v>boeing.de</v>
      </c>
      <c r="C8760" t="s">
        <v>436</v>
      </c>
      <c r="D8760" t="s">
        <v>815</v>
      </c>
      <c r="F8760">
        <v>4.6974155518534301E-8</v>
      </c>
      <c r="G8760">
        <v>993720</v>
      </c>
      <c r="H8760">
        <v>14504649</v>
      </c>
      <c r="I8760">
        <v>838752</v>
      </c>
      <c r="J8760">
        <v>2</v>
      </c>
    </row>
    <row r="8761" spans="1:10" x14ac:dyDescent="0.25">
      <c r="A8761" t="s">
        <v>74</v>
      </c>
      <c r="B8761" s="1" t="str">
        <f>HYPERLINK("http://boeing.es","boeing.es")</f>
        <v>boeing.es</v>
      </c>
      <c r="C8761" t="s">
        <v>443</v>
      </c>
      <c r="D8761" t="s">
        <v>822</v>
      </c>
      <c r="F8761">
        <v>4.7715480639668603E-8</v>
      </c>
      <c r="G8761">
        <v>975498</v>
      </c>
      <c r="H8761">
        <v>14562210</v>
      </c>
      <c r="I8761">
        <v>744055</v>
      </c>
      <c r="J8761">
        <v>2</v>
      </c>
    </row>
    <row r="8762" spans="1:10" x14ac:dyDescent="0.25">
      <c r="A8762" t="s">
        <v>74</v>
      </c>
      <c r="B8762" s="1" t="str">
        <f>HYPERLINK("http://boeing.fi","boeing.fi")</f>
        <v>boeing.fi</v>
      </c>
      <c r="C8762" t="s">
        <v>445</v>
      </c>
      <c r="D8762" t="s">
        <v>823</v>
      </c>
      <c r="J8762">
        <v>2</v>
      </c>
    </row>
    <row r="8763" spans="1:10" x14ac:dyDescent="0.25">
      <c r="A8763" t="s">
        <v>74</v>
      </c>
      <c r="B8763" s="1" t="str">
        <f>HYPERLINK("http://boeing.fr","boeing.fr")</f>
        <v>boeing.fr</v>
      </c>
      <c r="C8763" t="s">
        <v>446</v>
      </c>
      <c r="D8763" t="s">
        <v>824</v>
      </c>
      <c r="F8763">
        <v>3.7555128494998698E-8</v>
      </c>
      <c r="G8763">
        <v>1377969</v>
      </c>
      <c r="H8763">
        <v>14389124</v>
      </c>
      <c r="I8763">
        <v>1171459</v>
      </c>
      <c r="J8763">
        <v>2</v>
      </c>
    </row>
    <row r="8764" spans="1:10" x14ac:dyDescent="0.25">
      <c r="A8764" t="s">
        <v>74</v>
      </c>
      <c r="B8764" s="1" t="str">
        <f>HYPERLINK("http://boeing.co.il","boeing.co.il")</f>
        <v>boeing.co.il</v>
      </c>
      <c r="C8764" t="s">
        <v>456</v>
      </c>
      <c r="D8764" t="s">
        <v>833</v>
      </c>
      <c r="F8764">
        <v>2.3338769361997298E-8</v>
      </c>
      <c r="G8764">
        <v>2234863</v>
      </c>
      <c r="H8764">
        <v>14074532</v>
      </c>
      <c r="I8764">
        <v>2939759</v>
      </c>
      <c r="J8764">
        <v>2</v>
      </c>
    </row>
    <row r="8765" spans="1:10" x14ac:dyDescent="0.25">
      <c r="A8765" t="s">
        <v>74</v>
      </c>
      <c r="B8765" s="1" t="str">
        <f>HYPERLINK("http://boeing.co.in","boeing.co.in")</f>
        <v>boeing.co.in</v>
      </c>
      <c r="C8765" t="s">
        <v>457</v>
      </c>
      <c r="D8765" t="s">
        <v>834</v>
      </c>
      <c r="F8765">
        <v>8.0554817211459704E-8</v>
      </c>
      <c r="G8765">
        <v>518425</v>
      </c>
      <c r="H8765">
        <v>14631966</v>
      </c>
      <c r="I8765">
        <v>644018</v>
      </c>
      <c r="J8765">
        <v>2</v>
      </c>
    </row>
    <row r="8766" spans="1:10" x14ac:dyDescent="0.25">
      <c r="A8766" t="s">
        <v>74</v>
      </c>
      <c r="B8766" s="1" t="str">
        <f>HYPERLINK("http://boeing.jp","boeing.jp")</f>
        <v>boeing.jp</v>
      </c>
      <c r="C8766" t="s">
        <v>461</v>
      </c>
      <c r="D8766" t="s">
        <v>837</v>
      </c>
      <c r="F8766">
        <v>3.6726809184429801E-8</v>
      </c>
      <c r="G8766">
        <v>1422985</v>
      </c>
      <c r="H8766">
        <v>14115301</v>
      </c>
      <c r="I8766">
        <v>2663791</v>
      </c>
      <c r="J8766">
        <v>2</v>
      </c>
    </row>
    <row r="8767" spans="1:10" x14ac:dyDescent="0.25">
      <c r="A8767" t="s">
        <v>74</v>
      </c>
      <c r="B8767" s="1" t="str">
        <f>HYPERLINK("http://boeing.co.kr","boeing.co.kr")</f>
        <v>boeing.co.kr</v>
      </c>
      <c r="C8767" t="s">
        <v>463</v>
      </c>
      <c r="D8767" t="s">
        <v>839</v>
      </c>
      <c r="F8767">
        <v>2.5083119880982301E-8</v>
      </c>
      <c r="G8767">
        <v>2059520</v>
      </c>
      <c r="H8767">
        <v>14264750</v>
      </c>
      <c r="I8767">
        <v>1410089</v>
      </c>
      <c r="J8767">
        <v>2</v>
      </c>
    </row>
    <row r="8768" spans="1:10" x14ac:dyDescent="0.25">
      <c r="A8768" t="s">
        <v>74</v>
      </c>
      <c r="B8768" s="1" t="str">
        <f>HYPERLINK("http://boing-media.net","boing-media.net")</f>
        <v>boing-media.net</v>
      </c>
      <c r="C8768" t="s">
        <v>474</v>
      </c>
      <c r="F8768">
        <v>4.5901815245793402E-9</v>
      </c>
      <c r="G8768">
        <v>48390905</v>
      </c>
      <c r="H8768">
        <v>10879281</v>
      </c>
      <c r="I8768">
        <v>36341675</v>
      </c>
      <c r="J8768">
        <v>4</v>
      </c>
    </row>
    <row r="8769" spans="1:10" x14ac:dyDescent="0.25">
      <c r="A8769" t="s">
        <v>74</v>
      </c>
      <c r="B8769" s="1" t="str">
        <f>HYPERLINK("http://boeing.ru","boeing.ru")</f>
        <v>boeing.ru</v>
      </c>
      <c r="C8769" t="s">
        <v>493</v>
      </c>
      <c r="D8769" t="s">
        <v>867</v>
      </c>
      <c r="F8769">
        <v>3.1196025359248803E-8</v>
      </c>
      <c r="G8769">
        <v>1652663</v>
      </c>
      <c r="H8769">
        <v>14401253</v>
      </c>
      <c r="I8769">
        <v>1153363</v>
      </c>
      <c r="J8769">
        <v>2</v>
      </c>
    </row>
    <row r="8770" spans="1:10" x14ac:dyDescent="0.25">
      <c r="A8770" t="s">
        <v>74</v>
      </c>
      <c r="B8770" s="1" t="str">
        <f>HYPERLINK("http://boeing.com.tr","boeing.com.tr")</f>
        <v>boeing.com.tr</v>
      </c>
      <c r="C8770" t="s">
        <v>502</v>
      </c>
      <c r="D8770" t="s">
        <v>876</v>
      </c>
      <c r="F8770">
        <v>2.3795838962587301E-8</v>
      </c>
      <c r="G8770">
        <v>2183575</v>
      </c>
      <c r="H8770">
        <v>14072995</v>
      </c>
      <c r="I8770">
        <v>3025928</v>
      </c>
      <c r="J8770">
        <v>2</v>
      </c>
    </row>
    <row r="8771" spans="1:10" x14ac:dyDescent="0.25">
      <c r="A8771" t="s">
        <v>74</v>
      </c>
      <c r="B8771" s="1" t="str">
        <f>HYPERLINK("http://atil.co.uk","atil.co.uk")</f>
        <v>atil.co.uk</v>
      </c>
      <c r="C8771" t="s">
        <v>506</v>
      </c>
      <c r="D8771" t="s">
        <v>880</v>
      </c>
      <c r="F8771">
        <v>4.5948062984134199E-9</v>
      </c>
      <c r="G8771">
        <v>48030124</v>
      </c>
      <c r="H8771">
        <v>12155306</v>
      </c>
      <c r="I8771">
        <v>24486864</v>
      </c>
      <c r="J8771">
        <v>7</v>
      </c>
    </row>
    <row r="8772" spans="1:10" x14ac:dyDescent="0.25">
      <c r="A8772" t="s">
        <v>74</v>
      </c>
      <c r="B8772" s="1" t="str">
        <f>HYPERLINK("http://boeing.co.uk","boeing.co.uk")</f>
        <v>boeing.co.uk</v>
      </c>
      <c r="C8772" t="s">
        <v>506</v>
      </c>
      <c r="D8772" t="s">
        <v>880</v>
      </c>
      <c r="F8772">
        <v>1.01207570192029E-7</v>
      </c>
      <c r="G8772">
        <v>397278</v>
      </c>
      <c r="H8772">
        <v>14438334</v>
      </c>
      <c r="I8772">
        <v>1066323</v>
      </c>
      <c r="J8772">
        <v>2</v>
      </c>
    </row>
    <row r="8773" spans="1:10" x14ac:dyDescent="0.25">
      <c r="A8773" t="s">
        <v>75</v>
      </c>
      <c r="B8773" s="1" t="str">
        <f>HYPERLINK("http://hotelscombined.ae","hotelscombined.ae")</f>
        <v>hotelscombined.ae</v>
      </c>
      <c r="C8773" t="s">
        <v>417</v>
      </c>
      <c r="D8773" t="s">
        <v>799</v>
      </c>
      <c r="F8773">
        <v>5.3221072048324203E-8</v>
      </c>
      <c r="G8773">
        <v>855411</v>
      </c>
      <c r="H8773">
        <v>12463759</v>
      </c>
      <c r="I8773">
        <v>17829797</v>
      </c>
      <c r="J8773">
        <v>5</v>
      </c>
    </row>
    <row r="8774" spans="1:10" x14ac:dyDescent="0.25">
      <c r="A8774" t="s">
        <v>75</v>
      </c>
      <c r="B8774" s="1" t="str">
        <f>HYPERLINK("http://kayak.ae","kayak.ae")</f>
        <v>kayak.ae</v>
      </c>
      <c r="C8774" t="s">
        <v>417</v>
      </c>
      <c r="D8774" t="s">
        <v>799</v>
      </c>
      <c r="E8774">
        <v>193439</v>
      </c>
      <c r="F8774">
        <v>2.5620379410815399E-8</v>
      </c>
      <c r="G8774">
        <v>2012602</v>
      </c>
      <c r="H8774">
        <v>13585633</v>
      </c>
      <c r="I8774">
        <v>9677263</v>
      </c>
      <c r="J8774">
        <v>5</v>
      </c>
    </row>
    <row r="8775" spans="1:10" x14ac:dyDescent="0.25">
      <c r="A8775" t="s">
        <v>75</v>
      </c>
      <c r="B8775" s="1" t="str">
        <f>HYPERLINK("http://kayak.com.ar","kayak.com.ar")</f>
        <v>kayak.com.ar</v>
      </c>
      <c r="C8775" t="s">
        <v>418</v>
      </c>
      <c r="D8775" t="s">
        <v>800</v>
      </c>
      <c r="E8775">
        <v>297707</v>
      </c>
      <c r="F8775">
        <v>4.2815885554505398E-8</v>
      </c>
      <c r="G8775">
        <v>1126182</v>
      </c>
      <c r="H8775">
        <v>14044120</v>
      </c>
      <c r="I8775">
        <v>3904284</v>
      </c>
      <c r="J8775">
        <v>4</v>
      </c>
    </row>
    <row r="8776" spans="1:10" x14ac:dyDescent="0.25">
      <c r="A8776" t="s">
        <v>75</v>
      </c>
      <c r="B8776" s="1" t="str">
        <f>HYPERLINK("http://hotelscombined.at","hotelscombined.at")</f>
        <v>hotelscombined.at</v>
      </c>
      <c r="C8776" t="s">
        <v>419</v>
      </c>
      <c r="D8776" t="s">
        <v>801</v>
      </c>
      <c r="F8776">
        <v>5.1499547397113301E-8</v>
      </c>
      <c r="G8776">
        <v>888265</v>
      </c>
      <c r="H8776">
        <v>12338732</v>
      </c>
      <c r="I8776">
        <v>20032840</v>
      </c>
      <c r="J8776">
        <v>5</v>
      </c>
    </row>
    <row r="8777" spans="1:10" x14ac:dyDescent="0.25">
      <c r="A8777" t="s">
        <v>75</v>
      </c>
      <c r="B8777" s="1" t="str">
        <f>HYPERLINK("http://booking.com.au","booking.com.au")</f>
        <v>booking.com.au</v>
      </c>
      <c r="C8777" t="s">
        <v>420</v>
      </c>
      <c r="D8777" t="s">
        <v>802</v>
      </c>
      <c r="F8777">
        <v>1.61149806830681E-8</v>
      </c>
      <c r="G8777">
        <v>3516808</v>
      </c>
      <c r="H8777">
        <v>13513476</v>
      </c>
      <c r="I8777">
        <v>9946949</v>
      </c>
      <c r="J8777">
        <v>4</v>
      </c>
    </row>
    <row r="8778" spans="1:10" x14ac:dyDescent="0.25">
      <c r="A8778" t="s">
        <v>75</v>
      </c>
      <c r="B8778" s="1" t="str">
        <f>HYPERLINK("http://cheapflights.com.au","cheapflights.com.au")</f>
        <v>cheapflights.com.au</v>
      </c>
      <c r="C8778" t="s">
        <v>420</v>
      </c>
      <c r="D8778" t="s">
        <v>802</v>
      </c>
      <c r="E8778">
        <v>193076</v>
      </c>
      <c r="F8778">
        <v>1.6572121431991101E-8</v>
      </c>
      <c r="G8778">
        <v>3396118</v>
      </c>
      <c r="H8778">
        <v>14203700</v>
      </c>
      <c r="I8778">
        <v>1715603</v>
      </c>
      <c r="J8778">
        <v>7</v>
      </c>
    </row>
    <row r="8779" spans="1:10" x14ac:dyDescent="0.25">
      <c r="A8779" t="s">
        <v>75</v>
      </c>
      <c r="B8779" s="1" t="str">
        <f>HYPERLINK("http://hotelscombined.com.au","hotelscombined.com.au")</f>
        <v>hotelscombined.com.au</v>
      </c>
      <c r="C8779" t="s">
        <v>420</v>
      </c>
      <c r="D8779" t="s">
        <v>802</v>
      </c>
      <c r="E8779">
        <v>360120</v>
      </c>
      <c r="F8779">
        <v>8.7221231258880203E-8</v>
      </c>
      <c r="G8779">
        <v>470589</v>
      </c>
      <c r="H8779">
        <v>14121296</v>
      </c>
      <c r="I8779">
        <v>2262777</v>
      </c>
      <c r="J8779">
        <v>5</v>
      </c>
    </row>
    <row r="8780" spans="1:10" x14ac:dyDescent="0.25">
      <c r="A8780" t="s">
        <v>75</v>
      </c>
      <c r="B8780" s="1" t="str">
        <f>HYPERLINK("http://kayak.com.au","kayak.com.au")</f>
        <v>kayak.com.au</v>
      </c>
      <c r="C8780" t="s">
        <v>420</v>
      </c>
      <c r="D8780" t="s">
        <v>802</v>
      </c>
      <c r="E8780">
        <v>126422</v>
      </c>
      <c r="F8780">
        <v>8.8253283527537E-8</v>
      </c>
      <c r="G8780">
        <v>464253</v>
      </c>
      <c r="H8780">
        <v>14592669</v>
      </c>
      <c r="I8780">
        <v>693274</v>
      </c>
      <c r="J8780">
        <v>5</v>
      </c>
    </row>
    <row r="8781" spans="1:10" x14ac:dyDescent="0.25">
      <c r="A8781" t="s">
        <v>75</v>
      </c>
      <c r="B8781" s="1" t="str">
        <f>HYPERLINK("http://hotelscombined.be","hotelscombined.be")</f>
        <v>hotelscombined.be</v>
      </c>
      <c r="C8781" t="s">
        <v>421</v>
      </c>
      <c r="D8781" t="s">
        <v>803</v>
      </c>
      <c r="F8781">
        <v>5.6946357588572097E-8</v>
      </c>
      <c r="G8781">
        <v>784235</v>
      </c>
      <c r="H8781">
        <v>12916008</v>
      </c>
      <c r="I8781">
        <v>13514980</v>
      </c>
      <c r="J8781">
        <v>5</v>
      </c>
    </row>
    <row r="8782" spans="1:10" x14ac:dyDescent="0.25">
      <c r="A8782" t="s">
        <v>75</v>
      </c>
      <c r="B8782" s="1" t="str">
        <f>HYPERLINK("http://kayak.bo","kayak.bo")</f>
        <v>kayak.bo</v>
      </c>
      <c r="C8782" t="s">
        <v>424</v>
      </c>
      <c r="D8782" t="s">
        <v>805</v>
      </c>
      <c r="F8782">
        <v>1.44587459904333E-8</v>
      </c>
      <c r="G8782">
        <v>4037007</v>
      </c>
      <c r="H8782">
        <v>12607302</v>
      </c>
      <c r="I8782">
        <v>16256284</v>
      </c>
      <c r="J8782">
        <v>5</v>
      </c>
    </row>
    <row r="8783" spans="1:10" x14ac:dyDescent="0.25">
      <c r="A8783" t="s">
        <v>75</v>
      </c>
      <c r="B8783" s="1" t="str">
        <f>HYPERLINK("http://kayak.com.br","kayak.com.br")</f>
        <v>kayak.com.br</v>
      </c>
      <c r="C8783" t="s">
        <v>425</v>
      </c>
      <c r="D8783" t="s">
        <v>806</v>
      </c>
      <c r="E8783">
        <v>106144</v>
      </c>
      <c r="F8783">
        <v>3.3568564643363798E-7</v>
      </c>
      <c r="G8783">
        <v>111071</v>
      </c>
      <c r="H8783">
        <v>14799081</v>
      </c>
      <c r="I8783">
        <v>548589</v>
      </c>
      <c r="J8783">
        <v>5</v>
      </c>
    </row>
    <row r="8784" spans="1:10" x14ac:dyDescent="0.25">
      <c r="A8784" t="s">
        <v>75</v>
      </c>
      <c r="B8784" s="1" t="str">
        <f>HYPERLINK("http://cheapflights.ca","cheapflights.ca")</f>
        <v>cheapflights.ca</v>
      </c>
      <c r="C8784" t="s">
        <v>428</v>
      </c>
      <c r="D8784" t="s">
        <v>809</v>
      </c>
      <c r="E8784">
        <v>203572</v>
      </c>
      <c r="F8784">
        <v>4.8491279362330103E-8</v>
      </c>
      <c r="G8784">
        <v>956732</v>
      </c>
      <c r="H8784">
        <v>14248896</v>
      </c>
      <c r="I8784">
        <v>1451394</v>
      </c>
      <c r="J8784">
        <v>7</v>
      </c>
    </row>
    <row r="8785" spans="1:10" x14ac:dyDescent="0.25">
      <c r="A8785" t="s">
        <v>75</v>
      </c>
      <c r="B8785" s="1" t="str">
        <f>HYPERLINK("http://hotelscombined.ca","hotelscombined.ca")</f>
        <v>hotelscombined.ca</v>
      </c>
      <c r="C8785" t="s">
        <v>428</v>
      </c>
      <c r="D8785" t="s">
        <v>809</v>
      </c>
      <c r="F8785">
        <v>6.6733746202984695E-8</v>
      </c>
      <c r="G8785">
        <v>641547</v>
      </c>
      <c r="H8785">
        <v>13574980</v>
      </c>
      <c r="I8785">
        <v>9704569</v>
      </c>
      <c r="J8785">
        <v>5</v>
      </c>
    </row>
    <row r="8786" spans="1:10" x14ac:dyDescent="0.25">
      <c r="A8786" t="s">
        <v>75</v>
      </c>
      <c r="B8786" s="1" t="str">
        <f>HYPERLINK("http://kayak.cat","kayak.cat")</f>
        <v>kayak.cat</v>
      </c>
      <c r="C8786" t="s">
        <v>591</v>
      </c>
      <c r="F8786">
        <v>1.45036075344721E-8</v>
      </c>
      <c r="G8786">
        <v>4021445</v>
      </c>
      <c r="H8786">
        <v>13765350</v>
      </c>
      <c r="I8786">
        <v>7112584</v>
      </c>
      <c r="J8786">
        <v>5</v>
      </c>
    </row>
    <row r="8787" spans="1:10" x14ac:dyDescent="0.25">
      <c r="A8787" t="s">
        <v>75</v>
      </c>
      <c r="B8787" s="1" t="str">
        <f>HYPERLINK("http://hotelscombined.ch","hotelscombined.ch")</f>
        <v>hotelscombined.ch</v>
      </c>
      <c r="C8787" t="s">
        <v>429</v>
      </c>
      <c r="D8787" t="s">
        <v>810</v>
      </c>
      <c r="F8787">
        <v>4.7306788165587503E-8</v>
      </c>
      <c r="G8787">
        <v>985227</v>
      </c>
      <c r="H8787">
        <v>12461175</v>
      </c>
      <c r="I8787">
        <v>17861936</v>
      </c>
      <c r="J8787">
        <v>5</v>
      </c>
    </row>
    <row r="8788" spans="1:10" x14ac:dyDescent="0.25">
      <c r="A8788" t="s">
        <v>75</v>
      </c>
      <c r="B8788" s="1" t="str">
        <f>HYPERLINK("http://kayak.ch","kayak.ch")</f>
        <v>kayak.ch</v>
      </c>
      <c r="C8788" t="s">
        <v>429</v>
      </c>
      <c r="D8788" t="s">
        <v>810</v>
      </c>
      <c r="E8788">
        <v>649047</v>
      </c>
      <c r="F8788">
        <v>1.9790189851456201E-8</v>
      </c>
      <c r="G8788">
        <v>2694753</v>
      </c>
      <c r="H8788">
        <v>13066345</v>
      </c>
      <c r="I8788">
        <v>12284742</v>
      </c>
      <c r="J8788">
        <v>5</v>
      </c>
    </row>
    <row r="8789" spans="1:10" x14ac:dyDescent="0.25">
      <c r="A8789" t="s">
        <v>75</v>
      </c>
      <c r="B8789" s="1" t="str">
        <f>HYPERLINK("http://kayak.cl","kayak.cl")</f>
        <v>kayak.cl</v>
      </c>
      <c r="C8789" t="s">
        <v>430</v>
      </c>
      <c r="D8789" t="s">
        <v>811</v>
      </c>
      <c r="E8789">
        <v>611144</v>
      </c>
      <c r="F8789">
        <v>3.17261040022867E-8</v>
      </c>
      <c r="G8789">
        <v>1627346</v>
      </c>
      <c r="H8789">
        <v>13769988</v>
      </c>
      <c r="I8789">
        <v>6750938</v>
      </c>
      <c r="J8789">
        <v>5</v>
      </c>
    </row>
    <row r="8790" spans="1:10" x14ac:dyDescent="0.25">
      <c r="A8790" t="s">
        <v>75</v>
      </c>
      <c r="B8790" s="1" t="str">
        <f>HYPERLINK("http://biyi.cn","biyi.cn")</f>
        <v>biyi.cn</v>
      </c>
      <c r="C8790" t="s">
        <v>431</v>
      </c>
      <c r="D8790" t="s">
        <v>812</v>
      </c>
      <c r="F8790">
        <v>5.7395735371497002E-8</v>
      </c>
      <c r="G8790">
        <v>776911</v>
      </c>
      <c r="H8790">
        <v>13467730</v>
      </c>
      <c r="I8790">
        <v>10048997</v>
      </c>
      <c r="J8790">
        <v>6</v>
      </c>
    </row>
    <row r="8791" spans="1:10" x14ac:dyDescent="0.25">
      <c r="A8791" t="s">
        <v>75</v>
      </c>
      <c r="B8791" s="1" t="str">
        <f>HYPERLINK("http://booking.cn","booking.cn")</f>
        <v>booking.cn</v>
      </c>
      <c r="C8791" t="s">
        <v>431</v>
      </c>
      <c r="D8791" t="s">
        <v>812</v>
      </c>
      <c r="E8791">
        <v>205562</v>
      </c>
      <c r="F8791">
        <v>2.66624861175923E-8</v>
      </c>
      <c r="G8791">
        <v>1930461</v>
      </c>
      <c r="H8791">
        <v>13634663</v>
      </c>
      <c r="I8791">
        <v>9615056</v>
      </c>
      <c r="J8791">
        <v>4</v>
      </c>
    </row>
    <row r="8792" spans="1:10" x14ac:dyDescent="0.25">
      <c r="A8792" t="s">
        <v>75</v>
      </c>
      <c r="B8792" s="1" t="str">
        <f>HYPERLINK("http://kayak.com.co","kayak.com.co")</f>
        <v>kayak.com.co</v>
      </c>
      <c r="C8792" t="s">
        <v>432</v>
      </c>
      <c r="E8792">
        <v>226497</v>
      </c>
      <c r="F8792">
        <v>3.5425538157718402E-8</v>
      </c>
      <c r="G8792">
        <v>1468898</v>
      </c>
      <c r="H8792">
        <v>14035936</v>
      </c>
      <c r="I8792">
        <v>3914979</v>
      </c>
      <c r="J8792">
        <v>5</v>
      </c>
    </row>
    <row r="8793" spans="1:10" x14ac:dyDescent="0.25">
      <c r="A8793" t="s">
        <v>75</v>
      </c>
      <c r="B8793" s="1" t="str">
        <f>HYPERLINK("http://agoda.com","agoda.com")</f>
        <v>agoda.com</v>
      </c>
      <c r="C8793" t="s">
        <v>433</v>
      </c>
      <c r="E8793">
        <v>1505</v>
      </c>
      <c r="F8793">
        <v>5.4791672720620001E-6</v>
      </c>
      <c r="G8793">
        <v>6327</v>
      </c>
      <c r="H8793">
        <v>18248916</v>
      </c>
      <c r="I8793">
        <v>2543</v>
      </c>
      <c r="J8793">
        <v>3</v>
      </c>
    </row>
    <row r="8794" spans="1:10" x14ac:dyDescent="0.25">
      <c r="A8794" t="s">
        <v>75</v>
      </c>
      <c r="B8794" s="1" t="str">
        <f>HYPERLINK("http://airportrentalcars.com","airportrentalcars.com")</f>
        <v>airportrentalcars.com</v>
      </c>
      <c r="C8794" t="s">
        <v>433</v>
      </c>
      <c r="E8794">
        <v>458610</v>
      </c>
      <c r="F8794">
        <v>1.6369183613097301E-8</v>
      </c>
      <c r="G8794">
        <v>3453941</v>
      </c>
      <c r="H8794">
        <v>13806423</v>
      </c>
      <c r="I8794">
        <v>6231459</v>
      </c>
      <c r="J8794">
        <v>4</v>
      </c>
    </row>
    <row r="8795" spans="1:10" x14ac:dyDescent="0.25">
      <c r="A8795" t="s">
        <v>75</v>
      </c>
      <c r="B8795" s="1" t="str">
        <f>HYPERLINK("http://amalfi.com","amalfi.com")</f>
        <v>amalfi.com</v>
      </c>
      <c r="C8795" t="s">
        <v>433</v>
      </c>
      <c r="F8795">
        <v>2.3019004513498101E-8</v>
      </c>
      <c r="G8795">
        <v>2269811</v>
      </c>
      <c r="H8795">
        <v>14072196</v>
      </c>
      <c r="I8795">
        <v>3138349</v>
      </c>
      <c r="J8795">
        <v>5</v>
      </c>
    </row>
    <row r="8796" spans="1:10" x14ac:dyDescent="0.25">
      <c r="A8796" t="s">
        <v>75</v>
      </c>
      <c r="B8796" s="1" t="str">
        <f>HYPERLINK("http://booking.com","booking.com")</f>
        <v>booking.com</v>
      </c>
      <c r="C8796" t="s">
        <v>433</v>
      </c>
      <c r="E8796">
        <v>212</v>
      </c>
      <c r="F8796">
        <v>4.8305026812052001E-5</v>
      </c>
      <c r="G8796">
        <v>544</v>
      </c>
      <c r="H8796">
        <v>18678564</v>
      </c>
      <c r="I8796">
        <v>1065</v>
      </c>
      <c r="J8796">
        <v>3</v>
      </c>
    </row>
    <row r="8797" spans="1:10" x14ac:dyDescent="0.25">
      <c r="A8797" t="s">
        <v>75</v>
      </c>
      <c r="B8797" s="1" t="str">
        <f>HYPERLINK("http://bookingholdings.com","bookingholdings.com")</f>
        <v>bookingholdings.com</v>
      </c>
      <c r="C8797" t="s">
        <v>433</v>
      </c>
      <c r="E8797">
        <v>79027</v>
      </c>
      <c r="F8797">
        <v>5.6688944902631602E-7</v>
      </c>
      <c r="G8797">
        <v>67465</v>
      </c>
      <c r="H8797">
        <v>14756823</v>
      </c>
      <c r="I8797">
        <v>561557</v>
      </c>
      <c r="J8797">
        <v>1</v>
      </c>
    </row>
    <row r="8798" spans="1:10" x14ac:dyDescent="0.25">
      <c r="A8798" t="s">
        <v>75</v>
      </c>
      <c r="B8798" s="1" t="str">
        <f>HYPERLINK("http://careersatagoda.com","careersatagoda.com")</f>
        <v>careersatagoda.com</v>
      </c>
      <c r="C8798" t="s">
        <v>433</v>
      </c>
      <c r="E8798">
        <v>153534</v>
      </c>
      <c r="F8798">
        <v>1.25578659252534E-7</v>
      </c>
      <c r="G8798">
        <v>314144</v>
      </c>
      <c r="H8798">
        <v>14235944</v>
      </c>
      <c r="I8798">
        <v>1667683</v>
      </c>
      <c r="J8798">
        <v>5</v>
      </c>
    </row>
    <row r="8799" spans="1:10" x14ac:dyDescent="0.25">
      <c r="A8799" t="s">
        <v>75</v>
      </c>
      <c r="B8799" s="1" t="str">
        <f>HYPERLINK("http://cheapflights.com","cheapflights.com")</f>
        <v>cheapflights.com</v>
      </c>
      <c r="C8799" t="s">
        <v>433</v>
      </c>
      <c r="E8799">
        <v>18257</v>
      </c>
      <c r="F8799">
        <v>4.0686692999100898E-7</v>
      </c>
      <c r="G8799">
        <v>92371</v>
      </c>
      <c r="H8799">
        <v>17395688</v>
      </c>
      <c r="I8799">
        <v>19459</v>
      </c>
      <c r="J8799">
        <v>7</v>
      </c>
    </row>
    <row r="8800" spans="1:10" x14ac:dyDescent="0.25">
      <c r="A8800" t="s">
        <v>75</v>
      </c>
      <c r="B8800" s="1" t="str">
        <f>HYPERLINK("http://detectahotel.com","detectahotel.com")</f>
        <v>detectahotel.com</v>
      </c>
      <c r="C8800" t="s">
        <v>433</v>
      </c>
      <c r="F8800">
        <v>1.3443478582672799E-7</v>
      </c>
      <c r="G8800">
        <v>290406</v>
      </c>
      <c r="H8800">
        <v>13766946</v>
      </c>
      <c r="I8800">
        <v>6964932</v>
      </c>
      <c r="J8800">
        <v>6</v>
      </c>
    </row>
    <row r="8801" spans="1:10" x14ac:dyDescent="0.25">
      <c r="A8801" t="s">
        <v>75</v>
      </c>
      <c r="B8801" s="1" t="str">
        <f>HYPERLINK("http://hotelscombined.com","hotelscombined.com")</f>
        <v>hotelscombined.com</v>
      </c>
      <c r="C8801" t="s">
        <v>433</v>
      </c>
      <c r="E8801">
        <v>8410</v>
      </c>
      <c r="F8801">
        <v>2.62649656076493E-6</v>
      </c>
      <c r="G8801">
        <v>14437</v>
      </c>
      <c r="H8801">
        <v>17559544</v>
      </c>
      <c r="I8801">
        <v>10956</v>
      </c>
      <c r="J8801">
        <v>4</v>
      </c>
    </row>
    <row r="8802" spans="1:10" x14ac:dyDescent="0.25">
      <c r="A8802" t="s">
        <v>75</v>
      </c>
      <c r="B8802" s="1" t="str">
        <f>HYPERLINK("http://jacksonsadventures.com","jacksonsadventures.com")</f>
        <v>jacksonsadventures.com</v>
      </c>
      <c r="C8802" t="s">
        <v>433</v>
      </c>
      <c r="F8802">
        <v>4.7447036764076801E-9</v>
      </c>
      <c r="G8802">
        <v>38577554</v>
      </c>
      <c r="H8802">
        <v>13933061</v>
      </c>
      <c r="I8802">
        <v>5349212</v>
      </c>
      <c r="J8802">
        <v>9</v>
      </c>
    </row>
    <row r="8803" spans="1:10" x14ac:dyDescent="0.25">
      <c r="A8803" t="s">
        <v>75</v>
      </c>
      <c r="B8803" s="1" t="str">
        <f>HYPERLINK("http://kayak.com","kayak.com")</f>
        <v>kayak.com</v>
      </c>
      <c r="C8803" t="s">
        <v>433</v>
      </c>
      <c r="E8803">
        <v>3166</v>
      </c>
      <c r="F8803">
        <v>3.7464026564902802E-6</v>
      </c>
      <c r="G8803">
        <v>11136</v>
      </c>
      <c r="H8803">
        <v>17767306</v>
      </c>
      <c r="I8803">
        <v>6060</v>
      </c>
      <c r="J8803">
        <v>4</v>
      </c>
    </row>
    <row r="8804" spans="1:10" x14ac:dyDescent="0.25">
      <c r="A8804" t="s">
        <v>75</v>
      </c>
      <c r="B8804" s="1" t="str">
        <f>HYPERLINK("http://majestic-resorts.com","majestic-resorts.com")</f>
        <v>majestic-resorts.com</v>
      </c>
      <c r="C8804" t="s">
        <v>433</v>
      </c>
      <c r="E8804">
        <v>348647</v>
      </c>
      <c r="F8804">
        <v>2.66353649198653E-8</v>
      </c>
      <c r="G8804">
        <v>1932557</v>
      </c>
      <c r="H8804">
        <v>14159277</v>
      </c>
      <c r="I8804">
        <v>1842032</v>
      </c>
      <c r="J8804">
        <v>4</v>
      </c>
    </row>
    <row r="8805" spans="1:10" x14ac:dyDescent="0.25">
      <c r="A8805" t="s">
        <v>75</v>
      </c>
      <c r="B8805" s="1" t="str">
        <f>HYPERLINK("http://momondogroup.com","momondogroup.com")</f>
        <v>momondogroup.com</v>
      </c>
      <c r="C8805" t="s">
        <v>433</v>
      </c>
      <c r="F8805">
        <v>7.5493036452192008E-9</v>
      </c>
      <c r="G8805">
        <v>10906782</v>
      </c>
      <c r="H8805">
        <v>13938189</v>
      </c>
      <c r="I8805">
        <v>4444112</v>
      </c>
      <c r="J8805">
        <v>10</v>
      </c>
    </row>
    <row r="8806" spans="1:10" x14ac:dyDescent="0.25">
      <c r="A8806" t="s">
        <v>75</v>
      </c>
      <c r="B8806" s="1" t="str">
        <f>HYPERLINK("http://myperfectrent.com","myperfectrent.com")</f>
        <v>myperfectrent.com</v>
      </c>
      <c r="C8806" t="s">
        <v>433</v>
      </c>
      <c r="F8806">
        <v>4.5350170275725398E-9</v>
      </c>
      <c r="G8806">
        <v>54512374</v>
      </c>
      <c r="H8806">
        <v>12233325</v>
      </c>
      <c r="I8806">
        <v>22417463</v>
      </c>
      <c r="J8806">
        <v>5</v>
      </c>
    </row>
    <row r="8807" spans="1:10" x14ac:dyDescent="0.25">
      <c r="A8807" t="s">
        <v>75</v>
      </c>
      <c r="B8807" s="1" t="str">
        <f>HYPERLINK("http://pcln.com","pcln.com")</f>
        <v>pcln.com</v>
      </c>
      <c r="C8807" t="s">
        <v>433</v>
      </c>
      <c r="E8807">
        <v>146495</v>
      </c>
      <c r="F8807">
        <v>1.04497616714538E-8</v>
      </c>
      <c r="G8807">
        <v>6313582</v>
      </c>
      <c r="H8807">
        <v>13249255</v>
      </c>
      <c r="I8807">
        <v>11090403</v>
      </c>
      <c r="J8807">
        <v>4</v>
      </c>
    </row>
    <row r="8808" spans="1:10" x14ac:dyDescent="0.25">
      <c r="A8808" t="s">
        <v>75</v>
      </c>
      <c r="B8808" s="1" t="str">
        <f>HYPERLINK("http://priceline.com","priceline.com")</f>
        <v>priceline.com</v>
      </c>
      <c r="C8808" t="s">
        <v>433</v>
      </c>
      <c r="E8808">
        <v>4326</v>
      </c>
      <c r="F8808">
        <v>1.9216120940204499E-6</v>
      </c>
      <c r="G8808">
        <v>19096</v>
      </c>
      <c r="H8808">
        <v>17435786</v>
      </c>
      <c r="I8808">
        <v>16934</v>
      </c>
      <c r="J8808">
        <v>4</v>
      </c>
    </row>
    <row r="8809" spans="1:10" x14ac:dyDescent="0.25">
      <c r="A8809" t="s">
        <v>75</v>
      </c>
      <c r="B8809" s="1" t="str">
        <f>HYPERLINK("http://pricelinegroup.com","pricelinegroup.com")</f>
        <v>pricelinegroup.com</v>
      </c>
      <c r="C8809" t="s">
        <v>433</v>
      </c>
      <c r="F8809">
        <v>9.3294005399594205E-8</v>
      </c>
      <c r="G8809">
        <v>435778</v>
      </c>
      <c r="H8809">
        <v>14179690</v>
      </c>
      <c r="I8809">
        <v>1782227</v>
      </c>
      <c r="J8809">
        <v>4</v>
      </c>
    </row>
    <row r="8810" spans="1:10" x14ac:dyDescent="0.25">
      <c r="A8810" t="s">
        <v>75</v>
      </c>
      <c r="B8810" s="1" t="str">
        <f>HYPERLINK("http://qlika.com","qlika.com")</f>
        <v>qlika.com</v>
      </c>
      <c r="C8810" t="s">
        <v>433</v>
      </c>
      <c r="F8810">
        <v>6.1762628197569901E-9</v>
      </c>
      <c r="G8810">
        <v>15659543</v>
      </c>
      <c r="H8810">
        <v>13203226</v>
      </c>
      <c r="I8810">
        <v>11539670</v>
      </c>
      <c r="J8810">
        <v>6</v>
      </c>
    </row>
    <row r="8811" spans="1:10" x14ac:dyDescent="0.25">
      <c r="A8811" t="s">
        <v>75</v>
      </c>
      <c r="B8811" s="1" t="str">
        <f>HYPERLINK("http://rentalcars.com","rentalcars.com")</f>
        <v>rentalcars.com</v>
      </c>
      <c r="C8811" t="s">
        <v>433</v>
      </c>
      <c r="E8811">
        <v>6385</v>
      </c>
      <c r="F8811">
        <v>2.56672699548391E-6</v>
      </c>
      <c r="G8811">
        <v>14712</v>
      </c>
      <c r="H8811">
        <v>17258386</v>
      </c>
      <c r="I8811">
        <v>32868</v>
      </c>
      <c r="J8811">
        <v>2</v>
      </c>
    </row>
    <row r="8812" spans="1:10" x14ac:dyDescent="0.25">
      <c r="A8812" t="s">
        <v>75</v>
      </c>
      <c r="B8812" s="1" t="str">
        <f>HYPERLINK("http://residencebooking.com","residencebooking.com")</f>
        <v>residencebooking.com</v>
      </c>
      <c r="C8812" t="s">
        <v>433</v>
      </c>
      <c r="F8812">
        <v>4.44380395335525E-9</v>
      </c>
      <c r="G8812">
        <v>83187486</v>
      </c>
      <c r="H8812">
        <v>0</v>
      </c>
      <c r="I8812">
        <v>83957953</v>
      </c>
      <c r="J8812">
        <v>4</v>
      </c>
    </row>
    <row r="8813" spans="1:10" x14ac:dyDescent="0.25">
      <c r="A8813" t="s">
        <v>75</v>
      </c>
      <c r="B8813" s="1" t="str">
        <f>HYPERLINK("http://roomguru.com","roomguru.com")</f>
        <v>roomguru.com</v>
      </c>
      <c r="C8813" t="s">
        <v>433</v>
      </c>
      <c r="F8813">
        <v>4.8809725426704898E-8</v>
      </c>
      <c r="G8813">
        <v>949515</v>
      </c>
      <c r="H8813">
        <v>12882576</v>
      </c>
      <c r="I8813">
        <v>13986313</v>
      </c>
      <c r="J8813">
        <v>6</v>
      </c>
    </row>
    <row r="8814" spans="1:10" x14ac:dyDescent="0.25">
      <c r="A8814" t="s">
        <v>75</v>
      </c>
      <c r="B8814" s="1" t="str">
        <f>HYPERLINK("http://traveljigsaw.com","traveljigsaw.com")</f>
        <v>traveljigsaw.com</v>
      </c>
      <c r="C8814" t="s">
        <v>433</v>
      </c>
      <c r="E8814">
        <v>773320</v>
      </c>
      <c r="F8814">
        <v>6.8721710698283202E-9</v>
      </c>
      <c r="G8814">
        <v>12721978</v>
      </c>
      <c r="H8814">
        <v>12195199</v>
      </c>
      <c r="I8814">
        <v>23450146</v>
      </c>
      <c r="J8814">
        <v>2</v>
      </c>
    </row>
    <row r="8815" spans="1:10" x14ac:dyDescent="0.25">
      <c r="A8815" t="s">
        <v>75</v>
      </c>
      <c r="B8815" s="1" t="str">
        <f>HYPERLINK("http://workingatbooking.com","workingatbooking.com")</f>
        <v>workingatbooking.com</v>
      </c>
      <c r="C8815" t="s">
        <v>433</v>
      </c>
      <c r="F8815">
        <v>7.9532501636652705E-8</v>
      </c>
      <c r="G8815">
        <v>525386</v>
      </c>
      <c r="H8815">
        <v>14349111</v>
      </c>
      <c r="I8815">
        <v>1310225</v>
      </c>
      <c r="J8815">
        <v>5</v>
      </c>
    </row>
    <row r="8816" spans="1:10" x14ac:dyDescent="0.25">
      <c r="A8816" t="s">
        <v>75</v>
      </c>
      <c r="B8816" s="1" t="str">
        <f>HYPERLINK("http://kayak.co.cr","kayak.co.cr")</f>
        <v>kayak.co.cr</v>
      </c>
      <c r="C8816" t="s">
        <v>434</v>
      </c>
      <c r="D8816" t="s">
        <v>813</v>
      </c>
      <c r="F8816">
        <v>1.4218491062427699E-8</v>
      </c>
      <c r="G8816">
        <v>4122372</v>
      </c>
      <c r="H8816">
        <v>12607875</v>
      </c>
      <c r="I8816">
        <v>16252841</v>
      </c>
      <c r="J8816">
        <v>5</v>
      </c>
    </row>
    <row r="8817" spans="1:10" x14ac:dyDescent="0.25">
      <c r="A8817" t="s">
        <v>75</v>
      </c>
      <c r="B8817" s="1" t="str">
        <f>HYPERLINK("http://hotelscombined.cz","hotelscombined.cz")</f>
        <v>hotelscombined.cz</v>
      </c>
      <c r="C8817" t="s">
        <v>435</v>
      </c>
      <c r="D8817" t="s">
        <v>814</v>
      </c>
      <c r="F8817">
        <v>1.2289733819526201E-7</v>
      </c>
      <c r="G8817">
        <v>321131</v>
      </c>
      <c r="H8817">
        <v>12397084</v>
      </c>
      <c r="I8817">
        <v>18894568</v>
      </c>
      <c r="J8817">
        <v>5</v>
      </c>
    </row>
    <row r="8818" spans="1:10" x14ac:dyDescent="0.25">
      <c r="A8818" t="s">
        <v>75</v>
      </c>
      <c r="B8818" s="1" t="str">
        <f>HYPERLINK("http://agoda.de","agoda.de")</f>
        <v>agoda.de</v>
      </c>
      <c r="C8818" t="s">
        <v>436</v>
      </c>
      <c r="D8818" t="s">
        <v>815</v>
      </c>
      <c r="F8818">
        <v>1.0441429640332E-8</v>
      </c>
      <c r="G8818">
        <v>6321438</v>
      </c>
      <c r="H8818">
        <v>13949511</v>
      </c>
      <c r="I8818">
        <v>4182853</v>
      </c>
      <c r="J8818">
        <v>5</v>
      </c>
    </row>
    <row r="8819" spans="1:10" x14ac:dyDescent="0.25">
      <c r="A8819" t="s">
        <v>75</v>
      </c>
      <c r="B8819" s="1" t="str">
        <f>HYPERLINK("http://hotelscombined.de","hotelscombined.de")</f>
        <v>hotelscombined.de</v>
      </c>
      <c r="C8819" t="s">
        <v>436</v>
      </c>
      <c r="D8819" t="s">
        <v>815</v>
      </c>
      <c r="E8819">
        <v>823079</v>
      </c>
      <c r="F8819">
        <v>1.1257458690782401E-7</v>
      </c>
      <c r="G8819">
        <v>354701</v>
      </c>
      <c r="H8819">
        <v>14581298</v>
      </c>
      <c r="I8819">
        <v>708615</v>
      </c>
      <c r="J8819">
        <v>5</v>
      </c>
    </row>
    <row r="8820" spans="1:10" x14ac:dyDescent="0.25">
      <c r="A8820" t="s">
        <v>75</v>
      </c>
      <c r="B8820" s="1" t="str">
        <f>HYPERLINK("http://kayak.de","kayak.de")</f>
        <v>kayak.de</v>
      </c>
      <c r="C8820" t="s">
        <v>436</v>
      </c>
      <c r="D8820" t="s">
        <v>815</v>
      </c>
      <c r="E8820">
        <v>126837</v>
      </c>
      <c r="F8820">
        <v>2.4476564577029797E-7</v>
      </c>
      <c r="G8820">
        <v>152863</v>
      </c>
      <c r="H8820">
        <v>14677756</v>
      </c>
      <c r="I8820">
        <v>610115</v>
      </c>
      <c r="J8820">
        <v>5</v>
      </c>
    </row>
    <row r="8821" spans="1:10" x14ac:dyDescent="0.25">
      <c r="A8821" t="s">
        <v>75</v>
      </c>
      <c r="B8821" s="1" t="str">
        <f>HYPERLINK("http://hotelscombined.dk","hotelscombined.dk")</f>
        <v>hotelscombined.dk</v>
      </c>
      <c r="C8821" t="s">
        <v>437</v>
      </c>
      <c r="D8821" t="s">
        <v>816</v>
      </c>
      <c r="F8821">
        <v>6.2977656314266302E-8</v>
      </c>
      <c r="G8821">
        <v>692764</v>
      </c>
      <c r="H8821">
        <v>12494892</v>
      </c>
      <c r="I8821">
        <v>17428875</v>
      </c>
      <c r="J8821">
        <v>5</v>
      </c>
    </row>
    <row r="8822" spans="1:10" x14ac:dyDescent="0.25">
      <c r="A8822" t="s">
        <v>75</v>
      </c>
      <c r="B8822" s="1" t="str">
        <f>HYPERLINK("http://kayak.dk","kayak.dk")</f>
        <v>kayak.dk</v>
      </c>
      <c r="C8822" t="s">
        <v>437</v>
      </c>
      <c r="D8822" t="s">
        <v>816</v>
      </c>
      <c r="E8822">
        <v>909237</v>
      </c>
      <c r="F8822">
        <v>1.5786618703420501E-8</v>
      </c>
      <c r="G8822">
        <v>3603277</v>
      </c>
      <c r="H8822">
        <v>13766600</v>
      </c>
      <c r="I8822">
        <v>6993047</v>
      </c>
      <c r="J8822">
        <v>5</v>
      </c>
    </row>
    <row r="8823" spans="1:10" x14ac:dyDescent="0.25">
      <c r="A8823" t="s">
        <v>75</v>
      </c>
      <c r="B8823" s="1" t="str">
        <f>HYPERLINK("http://kayak.com.do","kayak.com.do")</f>
        <v>kayak.com.do</v>
      </c>
      <c r="C8823" t="s">
        <v>438</v>
      </c>
      <c r="D8823" t="s">
        <v>817</v>
      </c>
      <c r="F8823">
        <v>1.4138474458142599E-8</v>
      </c>
      <c r="G8823">
        <v>4151545</v>
      </c>
      <c r="H8823">
        <v>12617061</v>
      </c>
      <c r="I8823">
        <v>16114925</v>
      </c>
      <c r="J8823">
        <v>5</v>
      </c>
    </row>
    <row r="8824" spans="1:10" x14ac:dyDescent="0.25">
      <c r="A8824" t="s">
        <v>75</v>
      </c>
      <c r="B8824" s="1" t="str">
        <f>HYPERLINK("http://kayak.com.ec","kayak.com.ec")</f>
        <v>kayak.com.ec</v>
      </c>
      <c r="C8824" t="s">
        <v>440</v>
      </c>
      <c r="D8824" t="s">
        <v>819</v>
      </c>
      <c r="F8824">
        <v>1.5146973941629201E-8</v>
      </c>
      <c r="G8824">
        <v>3792713</v>
      </c>
      <c r="H8824">
        <v>12649865</v>
      </c>
      <c r="I8824">
        <v>15798866</v>
      </c>
      <c r="J8824">
        <v>5</v>
      </c>
    </row>
    <row r="8825" spans="1:10" x14ac:dyDescent="0.25">
      <c r="A8825" t="s">
        <v>75</v>
      </c>
      <c r="B8825" s="1" t="str">
        <f>HYPERLINK("http://hotelscombined.ee","hotelscombined.ee")</f>
        <v>hotelscombined.ee</v>
      </c>
      <c r="C8825" t="s">
        <v>441</v>
      </c>
      <c r="D8825" t="s">
        <v>820</v>
      </c>
      <c r="F8825">
        <v>4.8655457181546098E-8</v>
      </c>
      <c r="G8825">
        <v>952949</v>
      </c>
      <c r="H8825">
        <v>12447083</v>
      </c>
      <c r="I8825">
        <v>18062782</v>
      </c>
      <c r="J8825">
        <v>5</v>
      </c>
    </row>
    <row r="8826" spans="1:10" x14ac:dyDescent="0.25">
      <c r="A8826" t="s">
        <v>75</v>
      </c>
      <c r="B8826" s="1" t="str">
        <f>HYPERLINK("http://agoda.es","agoda.es")</f>
        <v>agoda.es</v>
      </c>
      <c r="C8826" t="s">
        <v>443</v>
      </c>
      <c r="D8826" t="s">
        <v>822</v>
      </c>
      <c r="F8826">
        <v>5.5434117508405902E-9</v>
      </c>
      <c r="G8826">
        <v>20443584</v>
      </c>
      <c r="H8826">
        <v>14119741</v>
      </c>
      <c r="I8826">
        <v>2470000</v>
      </c>
      <c r="J8826">
        <v>4</v>
      </c>
    </row>
    <row r="8827" spans="1:10" x14ac:dyDescent="0.25">
      <c r="A8827" t="s">
        <v>75</v>
      </c>
      <c r="B8827" s="1" t="str">
        <f>HYPERLINK("http://hotelscombined.es","hotelscombined.es")</f>
        <v>hotelscombined.es</v>
      </c>
      <c r="C8827" t="s">
        <v>443</v>
      </c>
      <c r="D8827" t="s">
        <v>822</v>
      </c>
      <c r="F8827">
        <v>1.0841007393623001E-7</v>
      </c>
      <c r="G8827">
        <v>369130</v>
      </c>
      <c r="H8827">
        <v>14208872</v>
      </c>
      <c r="I8827">
        <v>1706075</v>
      </c>
      <c r="J8827">
        <v>5</v>
      </c>
    </row>
    <row r="8828" spans="1:10" x14ac:dyDescent="0.25">
      <c r="A8828" t="s">
        <v>75</v>
      </c>
      <c r="B8828" s="1" t="str">
        <f>HYPERLINK("http://kayak.es","kayak.es")</f>
        <v>kayak.es</v>
      </c>
      <c r="C8828" t="s">
        <v>443</v>
      </c>
      <c r="D8828" t="s">
        <v>822</v>
      </c>
      <c r="E8828">
        <v>85552</v>
      </c>
      <c r="F8828">
        <v>2.23420783661646E-7</v>
      </c>
      <c r="G8828">
        <v>168669</v>
      </c>
      <c r="H8828">
        <v>14597185</v>
      </c>
      <c r="I8828">
        <v>688838</v>
      </c>
      <c r="J8828">
        <v>5</v>
      </c>
    </row>
    <row r="8829" spans="1:10" x14ac:dyDescent="0.25">
      <c r="A8829" t="s">
        <v>75</v>
      </c>
      <c r="B8829" s="1" t="str">
        <f>HYPERLINK("http://agoda.fi","agoda.fi")</f>
        <v>agoda.fi</v>
      </c>
      <c r="C8829" t="s">
        <v>445</v>
      </c>
      <c r="D8829" t="s">
        <v>823</v>
      </c>
      <c r="F8829">
        <v>3.6389199842911897E-8</v>
      </c>
      <c r="G8829">
        <v>1434202</v>
      </c>
      <c r="H8829">
        <v>13765457</v>
      </c>
      <c r="I8829">
        <v>7101800</v>
      </c>
      <c r="J8829">
        <v>4</v>
      </c>
    </row>
    <row r="8830" spans="1:10" x14ac:dyDescent="0.25">
      <c r="A8830" t="s">
        <v>75</v>
      </c>
      <c r="B8830" s="1" t="str">
        <f>HYPERLINK("http://booking.fi","booking.fi")</f>
        <v>booking.fi</v>
      </c>
      <c r="C8830" t="s">
        <v>445</v>
      </c>
      <c r="D8830" t="s">
        <v>823</v>
      </c>
      <c r="F8830">
        <v>4.4438506433559202E-9</v>
      </c>
      <c r="G8830">
        <v>78477132</v>
      </c>
      <c r="H8830">
        <v>10358362</v>
      </c>
      <c r="I8830">
        <v>55511752</v>
      </c>
      <c r="J8830">
        <v>4</v>
      </c>
    </row>
    <row r="8831" spans="1:10" x14ac:dyDescent="0.25">
      <c r="A8831" t="s">
        <v>75</v>
      </c>
      <c r="B8831" s="1" t="str">
        <f>HYPERLINK("http://bookingsuite.fi","bookingsuite.fi")</f>
        <v>bookingsuite.fi</v>
      </c>
      <c r="C8831" t="s">
        <v>445</v>
      </c>
      <c r="D8831" t="s">
        <v>823</v>
      </c>
      <c r="J8831">
        <v>4</v>
      </c>
    </row>
    <row r="8832" spans="1:10" x14ac:dyDescent="0.25">
      <c r="A8832" t="s">
        <v>75</v>
      </c>
      <c r="B8832" s="1" t="str">
        <f>HYPERLINK("http://cheaplennot.fi","cheaplennot.fi")</f>
        <v>cheaplennot.fi</v>
      </c>
      <c r="C8832" t="s">
        <v>445</v>
      </c>
      <c r="D8832" t="s">
        <v>823</v>
      </c>
      <c r="J8832">
        <v>6</v>
      </c>
    </row>
    <row r="8833" spans="1:10" x14ac:dyDescent="0.25">
      <c r="A8833" t="s">
        <v>75</v>
      </c>
      <c r="B8833" s="1" t="str">
        <f>HYPERLINK("http://e-autonvuokraus.fi","e-autonvuokraus.fi")</f>
        <v>e-autonvuokraus.fi</v>
      </c>
      <c r="C8833" t="s">
        <v>445</v>
      </c>
      <c r="D8833" t="s">
        <v>823</v>
      </c>
      <c r="J8833">
        <v>4</v>
      </c>
    </row>
    <row r="8834" spans="1:10" x14ac:dyDescent="0.25">
      <c r="A8834" t="s">
        <v>75</v>
      </c>
      <c r="B8834" s="1" t="str">
        <f>HYPERLINK("http://e-autovuokraamo.fi","e-autovuokraamo.fi")</f>
        <v>e-autovuokraamo.fi</v>
      </c>
      <c r="C8834" t="s">
        <v>445</v>
      </c>
      <c r="D8834" t="s">
        <v>823</v>
      </c>
      <c r="J8834">
        <v>4</v>
      </c>
    </row>
    <row r="8835" spans="1:10" x14ac:dyDescent="0.25">
      <c r="A8835" t="s">
        <v>75</v>
      </c>
      <c r="B8835" s="1" t="str">
        <f>HYPERLINK("http://e-autovuokraus.fi","e-autovuokraus.fi")</f>
        <v>e-autovuokraus.fi</v>
      </c>
      <c r="C8835" t="s">
        <v>445</v>
      </c>
      <c r="D8835" t="s">
        <v>823</v>
      </c>
      <c r="J8835">
        <v>4</v>
      </c>
    </row>
    <row r="8836" spans="1:10" x14ac:dyDescent="0.25">
      <c r="A8836" t="s">
        <v>75</v>
      </c>
      <c r="B8836" s="1" t="str">
        <f>HYPERLINK("http://eautonvuokraus.fi","eautonvuokraus.fi")</f>
        <v>eautonvuokraus.fi</v>
      </c>
      <c r="C8836" t="s">
        <v>445</v>
      </c>
      <c r="D8836" t="s">
        <v>823</v>
      </c>
      <c r="J8836">
        <v>4</v>
      </c>
    </row>
    <row r="8837" spans="1:10" x14ac:dyDescent="0.25">
      <c r="A8837" t="s">
        <v>75</v>
      </c>
      <c r="B8837" s="1" t="str">
        <f>HYPERLINK("http://eautovuokraamo.fi","eautovuokraamo.fi")</f>
        <v>eautovuokraamo.fi</v>
      </c>
      <c r="C8837" t="s">
        <v>445</v>
      </c>
      <c r="D8837" t="s">
        <v>823</v>
      </c>
      <c r="F8837">
        <v>5.1401247121355503E-9</v>
      </c>
      <c r="G8837">
        <v>26264144</v>
      </c>
      <c r="H8837">
        <v>13763638</v>
      </c>
      <c r="I8837">
        <v>7993989</v>
      </c>
      <c r="J8837">
        <v>4</v>
      </c>
    </row>
    <row r="8838" spans="1:10" x14ac:dyDescent="0.25">
      <c r="A8838" t="s">
        <v>75</v>
      </c>
      <c r="B8838" s="1" t="str">
        <f>HYPERLINK("http://eautovuokraus.fi","eautovuokraus.fi")</f>
        <v>eautovuokraus.fi</v>
      </c>
      <c r="C8838" t="s">
        <v>445</v>
      </c>
      <c r="D8838" t="s">
        <v>823</v>
      </c>
      <c r="J8838">
        <v>4</v>
      </c>
    </row>
    <row r="8839" spans="1:10" x14ac:dyDescent="0.25">
      <c r="A8839" t="s">
        <v>75</v>
      </c>
      <c r="B8839" s="1" t="str">
        <f>HYPERLINK("http://hotelscombined.fi","hotelscombined.fi")</f>
        <v>hotelscombined.fi</v>
      </c>
      <c r="C8839" t="s">
        <v>445</v>
      </c>
      <c r="D8839" t="s">
        <v>823</v>
      </c>
      <c r="F8839">
        <v>4.9762102738453897E-8</v>
      </c>
      <c r="G8839">
        <v>927155</v>
      </c>
      <c r="H8839">
        <v>13367455</v>
      </c>
      <c r="I8839">
        <v>10477415</v>
      </c>
      <c r="J8839">
        <v>4</v>
      </c>
    </row>
    <row r="8840" spans="1:10" x14ac:dyDescent="0.25">
      <c r="A8840" t="s">
        <v>75</v>
      </c>
      <c r="B8840" s="1" t="str">
        <f>HYPERLINK("http://mytravelguide.fi","mytravelguide.fi")</f>
        <v>mytravelguide.fi</v>
      </c>
      <c r="C8840" t="s">
        <v>445</v>
      </c>
      <c r="D8840" t="s">
        <v>823</v>
      </c>
      <c r="F8840">
        <v>4.5088120264458299E-9</v>
      </c>
      <c r="G8840">
        <v>57659191</v>
      </c>
      <c r="H8840">
        <v>12116650</v>
      </c>
      <c r="I8840">
        <v>25497687</v>
      </c>
      <c r="J8840">
        <v>4</v>
      </c>
    </row>
    <row r="8841" spans="1:10" x14ac:dyDescent="0.25">
      <c r="A8841" t="s">
        <v>75</v>
      </c>
      <c r="B8841" s="1" t="str">
        <f>HYPERLINK("http://rentacars.fi","rentacars.fi")</f>
        <v>rentacars.fi</v>
      </c>
      <c r="C8841" t="s">
        <v>445</v>
      </c>
      <c r="D8841" t="s">
        <v>823</v>
      </c>
      <c r="J8841">
        <v>4</v>
      </c>
    </row>
    <row r="8842" spans="1:10" x14ac:dyDescent="0.25">
      <c r="A8842" t="s">
        <v>75</v>
      </c>
      <c r="B8842" s="1" t="str">
        <f>HYPERLINK("http://rental-car.fi","rental-car.fi")</f>
        <v>rental-car.fi</v>
      </c>
      <c r="C8842" t="s">
        <v>445</v>
      </c>
      <c r="D8842" t="s">
        <v>823</v>
      </c>
      <c r="J8842">
        <v>4</v>
      </c>
    </row>
    <row r="8843" spans="1:10" x14ac:dyDescent="0.25">
      <c r="A8843" t="s">
        <v>75</v>
      </c>
      <c r="B8843" s="1" t="str">
        <f>HYPERLINK("http://rental-cars.fi","rental-cars.fi")</f>
        <v>rental-cars.fi</v>
      </c>
      <c r="C8843" t="s">
        <v>445</v>
      </c>
      <c r="D8843" t="s">
        <v>823</v>
      </c>
      <c r="J8843">
        <v>4</v>
      </c>
    </row>
    <row r="8844" spans="1:10" x14ac:dyDescent="0.25">
      <c r="A8844" t="s">
        <v>75</v>
      </c>
      <c r="B8844" s="1" t="str">
        <f>HYPERLINK("http://rentalcar.fi","rentalcar.fi")</f>
        <v>rentalcar.fi</v>
      </c>
      <c r="C8844" t="s">
        <v>445</v>
      </c>
      <c r="D8844" t="s">
        <v>823</v>
      </c>
      <c r="J8844">
        <v>4</v>
      </c>
    </row>
    <row r="8845" spans="1:10" x14ac:dyDescent="0.25">
      <c r="A8845" t="s">
        <v>75</v>
      </c>
      <c r="B8845" s="1" t="str">
        <f>HYPERLINK("http://rentalcard.fi","rentalcard.fi")</f>
        <v>rentalcard.fi</v>
      </c>
      <c r="C8845" t="s">
        <v>445</v>
      </c>
      <c r="D8845" t="s">
        <v>823</v>
      </c>
      <c r="J8845">
        <v>4</v>
      </c>
    </row>
    <row r="8846" spans="1:10" x14ac:dyDescent="0.25">
      <c r="A8846" t="s">
        <v>75</v>
      </c>
      <c r="B8846" s="1" t="str">
        <f>HYPERLINK("http://rentalcare.fi","rentalcare.fi")</f>
        <v>rentalcare.fi</v>
      </c>
      <c r="C8846" t="s">
        <v>445</v>
      </c>
      <c r="D8846" t="s">
        <v>823</v>
      </c>
      <c r="J8846">
        <v>4</v>
      </c>
    </row>
    <row r="8847" spans="1:10" x14ac:dyDescent="0.25">
      <c r="A8847" t="s">
        <v>75</v>
      </c>
      <c r="B8847" s="1" t="str">
        <f>HYPERLINK("http://rentalcars.fi","rentalcars.fi")</f>
        <v>rentalcars.fi</v>
      </c>
      <c r="C8847" t="s">
        <v>445</v>
      </c>
      <c r="D8847" t="s">
        <v>823</v>
      </c>
      <c r="J8847">
        <v>4</v>
      </c>
    </row>
    <row r="8848" spans="1:10" x14ac:dyDescent="0.25">
      <c r="A8848" t="s">
        <v>75</v>
      </c>
      <c r="B8848" s="1" t="str">
        <f>HYPERLINK("http://rentalcarz.fi","rentalcarz.fi")</f>
        <v>rentalcarz.fi</v>
      </c>
      <c r="C8848" t="s">
        <v>445</v>
      </c>
      <c r="D8848" t="s">
        <v>823</v>
      </c>
      <c r="J8848">
        <v>4</v>
      </c>
    </row>
    <row r="8849" spans="1:10" x14ac:dyDescent="0.25">
      <c r="A8849" t="s">
        <v>75</v>
      </c>
      <c r="B8849" s="1" t="str">
        <f>HYPERLINK("http://rentalcas.fi","rentalcas.fi")</f>
        <v>rentalcas.fi</v>
      </c>
      <c r="C8849" t="s">
        <v>445</v>
      </c>
      <c r="D8849" t="s">
        <v>823</v>
      </c>
      <c r="J8849">
        <v>4</v>
      </c>
    </row>
    <row r="8850" spans="1:10" x14ac:dyDescent="0.25">
      <c r="A8850" t="s">
        <v>75</v>
      </c>
      <c r="B8850" s="1" t="str">
        <f>HYPERLINK("http://ride-ways.fi","ride-ways.fi")</f>
        <v>ride-ways.fi</v>
      </c>
      <c r="C8850" t="s">
        <v>445</v>
      </c>
      <c r="D8850" t="s">
        <v>823</v>
      </c>
      <c r="J8850">
        <v>4</v>
      </c>
    </row>
    <row r="8851" spans="1:10" x14ac:dyDescent="0.25">
      <c r="A8851" t="s">
        <v>75</v>
      </c>
      <c r="B8851" s="1" t="str">
        <f>HYPERLINK("http://ride-wayz.fi","ride-wayz.fi")</f>
        <v>ride-wayz.fi</v>
      </c>
      <c r="C8851" t="s">
        <v>445</v>
      </c>
      <c r="D8851" t="s">
        <v>823</v>
      </c>
      <c r="J8851">
        <v>4</v>
      </c>
    </row>
    <row r="8852" spans="1:10" x14ac:dyDescent="0.25">
      <c r="A8852" t="s">
        <v>75</v>
      </c>
      <c r="B8852" s="1" t="str">
        <f>HYPERLINK("http://rideways.fi","rideways.fi")</f>
        <v>rideways.fi</v>
      </c>
      <c r="C8852" t="s">
        <v>445</v>
      </c>
      <c r="D8852" t="s">
        <v>823</v>
      </c>
      <c r="J8852">
        <v>4</v>
      </c>
    </row>
    <row r="8853" spans="1:10" x14ac:dyDescent="0.25">
      <c r="A8853" t="s">
        <v>75</v>
      </c>
      <c r="B8853" s="1" t="str">
        <f>HYPERLINK("http://ridewayz.fi","ridewayz.fi")</f>
        <v>ridewayz.fi</v>
      </c>
      <c r="C8853" t="s">
        <v>445</v>
      </c>
      <c r="D8853" t="s">
        <v>823</v>
      </c>
      <c r="J8853">
        <v>4</v>
      </c>
    </row>
    <row r="8854" spans="1:10" x14ac:dyDescent="0.25">
      <c r="A8854" t="s">
        <v>75</v>
      </c>
      <c r="B8854" s="1" t="str">
        <f>HYPERLINK("http://trapido.fi","trapido.fi")</f>
        <v>trapido.fi</v>
      </c>
      <c r="C8854" t="s">
        <v>445</v>
      </c>
      <c r="D8854" t="s">
        <v>823</v>
      </c>
      <c r="J8854">
        <v>6</v>
      </c>
    </row>
    <row r="8855" spans="1:10" x14ac:dyDescent="0.25">
      <c r="A8855" t="s">
        <v>75</v>
      </c>
      <c r="B8855" s="1" t="str">
        <f>HYPERLINK("http://travel-jigsaw.fi","travel-jigsaw.fi")</f>
        <v>travel-jigsaw.fi</v>
      </c>
      <c r="C8855" t="s">
        <v>445</v>
      </c>
      <c r="D8855" t="s">
        <v>823</v>
      </c>
      <c r="J8855">
        <v>4</v>
      </c>
    </row>
    <row r="8856" spans="1:10" x14ac:dyDescent="0.25">
      <c r="A8856" t="s">
        <v>75</v>
      </c>
      <c r="B8856" s="1" t="str">
        <f>HYPERLINK("http://traveljigsaw.fi","traveljigsaw.fi")</f>
        <v>traveljigsaw.fi</v>
      </c>
      <c r="C8856" t="s">
        <v>445</v>
      </c>
      <c r="D8856" t="s">
        <v>823</v>
      </c>
      <c r="J8856">
        <v>4</v>
      </c>
    </row>
    <row r="8857" spans="1:10" x14ac:dyDescent="0.25">
      <c r="A8857" t="s">
        <v>75</v>
      </c>
      <c r="B8857" s="1" t="str">
        <f>HYPERLINK("http://villa.fi","villa.fi")</f>
        <v>villa.fi</v>
      </c>
      <c r="C8857" t="s">
        <v>445</v>
      </c>
      <c r="D8857" t="s">
        <v>823</v>
      </c>
      <c r="J8857">
        <v>4</v>
      </c>
    </row>
    <row r="8858" spans="1:10" x14ac:dyDescent="0.25">
      <c r="A8858" t="s">
        <v>75</v>
      </c>
      <c r="B8858" s="1" t="str">
        <f>HYPERLINK("http://wwwrentalcars.fi","wwwrentalcars.fi")</f>
        <v>wwwrentalcars.fi</v>
      </c>
      <c r="C8858" t="s">
        <v>445</v>
      </c>
      <c r="D8858" t="s">
        <v>823</v>
      </c>
      <c r="J8858">
        <v>4</v>
      </c>
    </row>
    <row r="8859" spans="1:10" x14ac:dyDescent="0.25">
      <c r="A8859" t="s">
        <v>75</v>
      </c>
      <c r="B8859" s="1" t="str">
        <f>HYPERLINK("http://agoda.fr","agoda.fr")</f>
        <v>agoda.fr</v>
      </c>
      <c r="C8859" t="s">
        <v>446</v>
      </c>
      <c r="D8859" t="s">
        <v>824</v>
      </c>
      <c r="F8859">
        <v>7.7921418475321605E-9</v>
      </c>
      <c r="G8859">
        <v>10340978</v>
      </c>
      <c r="H8859">
        <v>14130578</v>
      </c>
      <c r="I8859">
        <v>2026855</v>
      </c>
      <c r="J8859">
        <v>4</v>
      </c>
    </row>
    <row r="8860" spans="1:10" x14ac:dyDescent="0.25">
      <c r="A8860" t="s">
        <v>75</v>
      </c>
      <c r="B8860" s="1" t="str">
        <f>HYPERLINK("http://hotelscombined.fr","hotelscombined.fr")</f>
        <v>hotelscombined.fr</v>
      </c>
      <c r="C8860" t="s">
        <v>446</v>
      </c>
      <c r="D8860" t="s">
        <v>824</v>
      </c>
      <c r="F8860">
        <v>1.2030844783262899E-7</v>
      </c>
      <c r="G8860">
        <v>328487</v>
      </c>
      <c r="H8860">
        <v>15003634</v>
      </c>
      <c r="I8860">
        <v>424893</v>
      </c>
      <c r="J8860">
        <v>5</v>
      </c>
    </row>
    <row r="8861" spans="1:10" x14ac:dyDescent="0.25">
      <c r="A8861" t="s">
        <v>75</v>
      </c>
      <c r="B8861" s="1" t="str">
        <f>HYPERLINK("http://kayak.fr","kayak.fr")</f>
        <v>kayak.fr</v>
      </c>
      <c r="C8861" t="s">
        <v>446</v>
      </c>
      <c r="D8861" t="s">
        <v>824</v>
      </c>
      <c r="E8861">
        <v>62836</v>
      </c>
      <c r="F8861">
        <v>2.19648146161912E-7</v>
      </c>
      <c r="G8861">
        <v>171619</v>
      </c>
      <c r="H8861">
        <v>14577452</v>
      </c>
      <c r="I8861">
        <v>717816</v>
      </c>
      <c r="J8861">
        <v>5</v>
      </c>
    </row>
    <row r="8862" spans="1:10" x14ac:dyDescent="0.25">
      <c r="A8862" t="s">
        <v>75</v>
      </c>
      <c r="B8862" s="1" t="str">
        <f>HYPERLINK("http://hotelscombined.gr","hotelscombined.gr")</f>
        <v>hotelscombined.gr</v>
      </c>
      <c r="C8862" t="s">
        <v>447</v>
      </c>
      <c r="D8862" t="s">
        <v>825</v>
      </c>
      <c r="F8862">
        <v>5.6901332722857501E-8</v>
      </c>
      <c r="G8862">
        <v>784948</v>
      </c>
      <c r="H8862">
        <v>13764870</v>
      </c>
      <c r="I8862">
        <v>7177977</v>
      </c>
      <c r="J8862">
        <v>5</v>
      </c>
    </row>
    <row r="8863" spans="1:10" x14ac:dyDescent="0.25">
      <c r="A8863" t="s">
        <v>75</v>
      </c>
      <c r="B8863" s="1" t="str">
        <f>HYPERLINK("http://kayak.com.gt","kayak.com.gt")</f>
        <v>kayak.com.gt</v>
      </c>
      <c r="C8863" t="s">
        <v>448</v>
      </c>
      <c r="D8863" t="s">
        <v>826</v>
      </c>
      <c r="E8863">
        <v>628028</v>
      </c>
      <c r="F8863">
        <v>1.4637837555583299E-8</v>
      </c>
      <c r="G8863">
        <v>3962793</v>
      </c>
      <c r="H8863">
        <v>12611003</v>
      </c>
      <c r="I8863">
        <v>16231195</v>
      </c>
      <c r="J8863">
        <v>5</v>
      </c>
    </row>
    <row r="8864" spans="1:10" x14ac:dyDescent="0.25">
      <c r="A8864" t="s">
        <v>75</v>
      </c>
      <c r="B8864" s="1" t="str">
        <f>HYPERLINK("http://agoda.com.hk","agoda.com.hk")</f>
        <v>agoda.com.hk</v>
      </c>
      <c r="C8864" t="s">
        <v>450</v>
      </c>
      <c r="D8864" t="s">
        <v>827</v>
      </c>
      <c r="F8864">
        <v>1.08729567574343E-8</v>
      </c>
      <c r="G8864">
        <v>5963236</v>
      </c>
      <c r="H8864">
        <v>13812825</v>
      </c>
      <c r="I8864">
        <v>6184944</v>
      </c>
      <c r="J8864">
        <v>5</v>
      </c>
    </row>
    <row r="8865" spans="1:10" x14ac:dyDescent="0.25">
      <c r="A8865" t="s">
        <v>75</v>
      </c>
      <c r="B8865" s="1" t="str">
        <f>HYPERLINK("http://cheapflights.com.hk","cheapflights.com.hk")</f>
        <v>cheapflights.com.hk</v>
      </c>
      <c r="C8865" t="s">
        <v>450</v>
      </c>
      <c r="D8865" t="s">
        <v>827</v>
      </c>
      <c r="F8865">
        <v>7.1216529034545099E-9</v>
      </c>
      <c r="G8865">
        <v>11954782</v>
      </c>
      <c r="H8865">
        <v>13560423</v>
      </c>
      <c r="I8865">
        <v>9850783</v>
      </c>
      <c r="J8865">
        <v>7</v>
      </c>
    </row>
    <row r="8866" spans="1:10" x14ac:dyDescent="0.25">
      <c r="A8866" t="s">
        <v>75</v>
      </c>
      <c r="B8866" s="1" t="str">
        <f>HYPERLINK("http://kayak.com.hk","kayak.com.hk")</f>
        <v>kayak.com.hk</v>
      </c>
      <c r="C8866" t="s">
        <v>450</v>
      </c>
      <c r="D8866" t="s">
        <v>827</v>
      </c>
      <c r="E8866">
        <v>315836</v>
      </c>
      <c r="F8866">
        <v>1.9828608587704999E-8</v>
      </c>
      <c r="G8866">
        <v>2688644</v>
      </c>
      <c r="H8866">
        <v>13568194</v>
      </c>
      <c r="I8866">
        <v>9737951</v>
      </c>
      <c r="J8866">
        <v>5</v>
      </c>
    </row>
    <row r="8867" spans="1:10" x14ac:dyDescent="0.25">
      <c r="A8867" t="s">
        <v>75</v>
      </c>
      <c r="B8867" s="1" t="str">
        <f>HYPERLINK("http://hotelscombined.hk","hotelscombined.hk")</f>
        <v>hotelscombined.hk</v>
      </c>
      <c r="C8867" t="s">
        <v>450</v>
      </c>
      <c r="D8867" t="s">
        <v>827</v>
      </c>
      <c r="E8867">
        <v>749883</v>
      </c>
      <c r="F8867">
        <v>6.9253089210650394E-8</v>
      </c>
      <c r="G8867">
        <v>613401</v>
      </c>
      <c r="H8867">
        <v>14326588</v>
      </c>
      <c r="I8867">
        <v>1326397</v>
      </c>
      <c r="J8867">
        <v>5</v>
      </c>
    </row>
    <row r="8868" spans="1:10" x14ac:dyDescent="0.25">
      <c r="A8868" t="s">
        <v>75</v>
      </c>
      <c r="B8868" s="1" t="str">
        <f>HYPERLINK("http://kayak.com.hn","kayak.com.hn")</f>
        <v>kayak.com.hn</v>
      </c>
      <c r="C8868" t="s">
        <v>451</v>
      </c>
      <c r="D8868" t="s">
        <v>828</v>
      </c>
      <c r="E8868">
        <v>505925</v>
      </c>
      <c r="F8868">
        <v>1.42934213088671E-8</v>
      </c>
      <c r="G8868">
        <v>4095632</v>
      </c>
      <c r="H8868">
        <v>12607844</v>
      </c>
      <c r="I8868">
        <v>16253140</v>
      </c>
      <c r="J8868">
        <v>5</v>
      </c>
    </row>
    <row r="8869" spans="1:10" x14ac:dyDescent="0.25">
      <c r="A8869" t="s">
        <v>75</v>
      </c>
      <c r="B8869" s="1" t="str">
        <f>HYPERLINK("http://cheapflights.co.id","cheapflights.co.id")</f>
        <v>cheapflights.co.id</v>
      </c>
      <c r="C8869" t="s">
        <v>454</v>
      </c>
      <c r="D8869" t="s">
        <v>831</v>
      </c>
      <c r="F8869">
        <v>6.29044998037871E-9</v>
      </c>
      <c r="G8869">
        <v>15077612</v>
      </c>
      <c r="H8869">
        <v>12612958</v>
      </c>
      <c r="I8869">
        <v>16219375</v>
      </c>
      <c r="J8869">
        <v>7</v>
      </c>
    </row>
    <row r="8870" spans="1:10" x14ac:dyDescent="0.25">
      <c r="A8870" t="s">
        <v>75</v>
      </c>
      <c r="B8870" s="1" t="str">
        <f>HYPERLINK("http://hotelscombined.co.id","hotelscombined.co.id")</f>
        <v>hotelscombined.co.id</v>
      </c>
      <c r="C8870" t="s">
        <v>454</v>
      </c>
      <c r="D8870" t="s">
        <v>831</v>
      </c>
      <c r="F8870">
        <v>5.4550272618966702E-8</v>
      </c>
      <c r="G8870">
        <v>826873</v>
      </c>
      <c r="H8870">
        <v>13774568</v>
      </c>
      <c r="I8870">
        <v>6602405</v>
      </c>
      <c r="J8870">
        <v>5</v>
      </c>
    </row>
    <row r="8871" spans="1:10" x14ac:dyDescent="0.25">
      <c r="A8871" t="s">
        <v>75</v>
      </c>
      <c r="B8871" s="1" t="str">
        <f>HYPERLINK("http://kayak.co.id","kayak.co.id")</f>
        <v>kayak.co.id</v>
      </c>
      <c r="C8871" t="s">
        <v>454</v>
      </c>
      <c r="D8871" t="s">
        <v>831</v>
      </c>
      <c r="F8871">
        <v>1.5782240935648699E-8</v>
      </c>
      <c r="G8871">
        <v>3604448</v>
      </c>
      <c r="H8871">
        <v>13766388</v>
      </c>
      <c r="I8871">
        <v>7010008</v>
      </c>
      <c r="J8871">
        <v>5</v>
      </c>
    </row>
    <row r="8872" spans="1:10" x14ac:dyDescent="0.25">
      <c r="A8872" t="s">
        <v>75</v>
      </c>
      <c r="B8872" s="1" t="str">
        <f>HYPERLINK("http://agoda.web.id","agoda.web.id")</f>
        <v>agoda.web.id</v>
      </c>
      <c r="C8872" t="s">
        <v>454</v>
      </c>
      <c r="D8872" t="s">
        <v>831</v>
      </c>
      <c r="F8872">
        <v>6.9245463449981804E-9</v>
      </c>
      <c r="G8872">
        <v>12543156</v>
      </c>
      <c r="H8872">
        <v>14123866</v>
      </c>
      <c r="I8872">
        <v>2161026</v>
      </c>
      <c r="J8872">
        <v>5</v>
      </c>
    </row>
    <row r="8873" spans="1:10" x14ac:dyDescent="0.25">
      <c r="A8873" t="s">
        <v>75</v>
      </c>
      <c r="B8873" s="1" t="str">
        <f>HYPERLINK("http://hotelscombined.ie","hotelscombined.ie")</f>
        <v>hotelscombined.ie</v>
      </c>
      <c r="C8873" t="s">
        <v>455</v>
      </c>
      <c r="D8873" t="s">
        <v>832</v>
      </c>
      <c r="F8873">
        <v>6.61686185604199E-8</v>
      </c>
      <c r="G8873">
        <v>648299</v>
      </c>
      <c r="H8873">
        <v>12611040</v>
      </c>
      <c r="I8873">
        <v>16231013</v>
      </c>
      <c r="J8873">
        <v>5</v>
      </c>
    </row>
    <row r="8874" spans="1:10" x14ac:dyDescent="0.25">
      <c r="A8874" t="s">
        <v>75</v>
      </c>
      <c r="B8874" s="1" t="str">
        <f>HYPERLINK("http://kayak.ie","kayak.ie")</f>
        <v>kayak.ie</v>
      </c>
      <c r="C8874" t="s">
        <v>455</v>
      </c>
      <c r="D8874" t="s">
        <v>832</v>
      </c>
      <c r="E8874">
        <v>283096</v>
      </c>
      <c r="F8874">
        <v>4.7931133525826103E-8</v>
      </c>
      <c r="G8874">
        <v>970445</v>
      </c>
      <c r="H8874">
        <v>13784156</v>
      </c>
      <c r="I8874">
        <v>6416236</v>
      </c>
      <c r="J8874">
        <v>5</v>
      </c>
    </row>
    <row r="8875" spans="1:10" x14ac:dyDescent="0.25">
      <c r="A8875" t="s">
        <v>75</v>
      </c>
      <c r="B8875" s="1" t="str">
        <f>HYPERLINK("http://hotelscombined.co.il","hotelscombined.co.il")</f>
        <v>hotelscombined.co.il</v>
      </c>
      <c r="C8875" t="s">
        <v>456</v>
      </c>
      <c r="D8875" t="s">
        <v>833</v>
      </c>
      <c r="F8875">
        <v>5.1868946377666503E-8</v>
      </c>
      <c r="G8875">
        <v>880784</v>
      </c>
      <c r="H8875">
        <v>13764706</v>
      </c>
      <c r="I8875">
        <v>7207417</v>
      </c>
      <c r="J8875">
        <v>5</v>
      </c>
    </row>
    <row r="8876" spans="1:10" x14ac:dyDescent="0.25">
      <c r="A8876" t="s">
        <v>75</v>
      </c>
      <c r="B8876" s="1" t="str">
        <f>HYPERLINK("http://kayak.co.in","kayak.co.in")</f>
        <v>kayak.co.in</v>
      </c>
      <c r="C8876" t="s">
        <v>457</v>
      </c>
      <c r="D8876" t="s">
        <v>834</v>
      </c>
      <c r="E8876">
        <v>73803</v>
      </c>
      <c r="F8876">
        <v>3.9394466515965797E-8</v>
      </c>
      <c r="G8876">
        <v>1310109</v>
      </c>
      <c r="H8876">
        <v>14126682</v>
      </c>
      <c r="I8876">
        <v>2095928</v>
      </c>
      <c r="J8876">
        <v>5</v>
      </c>
    </row>
    <row r="8877" spans="1:10" x14ac:dyDescent="0.25">
      <c r="A8877" t="s">
        <v>75</v>
      </c>
      <c r="B8877" s="1" t="str">
        <f>HYPERLINK("http://hotelscombined.in","hotelscombined.in")</f>
        <v>hotelscombined.in</v>
      </c>
      <c r="C8877" t="s">
        <v>457</v>
      </c>
      <c r="D8877" t="s">
        <v>834</v>
      </c>
      <c r="E8877">
        <v>656655</v>
      </c>
      <c r="F8877">
        <v>5.8035415865023801E-8</v>
      </c>
      <c r="G8877">
        <v>767104</v>
      </c>
      <c r="H8877">
        <v>12965312</v>
      </c>
      <c r="I8877">
        <v>13126439</v>
      </c>
      <c r="J8877">
        <v>5</v>
      </c>
    </row>
    <row r="8878" spans="1:10" x14ac:dyDescent="0.25">
      <c r="A8878" t="s">
        <v>75</v>
      </c>
      <c r="B8878" s="1" t="str">
        <f>HYPERLINK("http://agoda.it","agoda.it")</f>
        <v>agoda.it</v>
      </c>
      <c r="C8878" t="s">
        <v>459</v>
      </c>
      <c r="D8878" t="s">
        <v>835</v>
      </c>
      <c r="F8878">
        <v>3.7609136427193397E-8</v>
      </c>
      <c r="G8878">
        <v>1375941</v>
      </c>
      <c r="H8878">
        <v>14128975</v>
      </c>
      <c r="I8878">
        <v>2053022</v>
      </c>
      <c r="J8878">
        <v>4</v>
      </c>
    </row>
    <row r="8879" spans="1:10" x14ac:dyDescent="0.25">
      <c r="A8879" t="s">
        <v>75</v>
      </c>
      <c r="B8879" s="1" t="str">
        <f>HYPERLINK("http://hotelscombined.it","hotelscombined.it")</f>
        <v>hotelscombined.it</v>
      </c>
      <c r="C8879" t="s">
        <v>459</v>
      </c>
      <c r="D8879" t="s">
        <v>835</v>
      </c>
      <c r="F8879">
        <v>1.8110733682084299E-7</v>
      </c>
      <c r="G8879">
        <v>213297</v>
      </c>
      <c r="H8879">
        <v>16885496</v>
      </c>
      <c r="I8879">
        <v>136959</v>
      </c>
      <c r="J8879">
        <v>5</v>
      </c>
    </row>
    <row r="8880" spans="1:10" x14ac:dyDescent="0.25">
      <c r="A8880" t="s">
        <v>75</v>
      </c>
      <c r="B8880" s="1" t="str">
        <f>HYPERLINK("http://kayak.it","kayak.it")</f>
        <v>kayak.it</v>
      </c>
      <c r="C8880" t="s">
        <v>459</v>
      </c>
      <c r="D8880" t="s">
        <v>835</v>
      </c>
      <c r="E8880">
        <v>179933</v>
      </c>
      <c r="F8880">
        <v>7.2228897027129699E-8</v>
      </c>
      <c r="G8880">
        <v>584409</v>
      </c>
      <c r="H8880">
        <v>14244141</v>
      </c>
      <c r="I8880">
        <v>1473385</v>
      </c>
      <c r="J8880">
        <v>5</v>
      </c>
    </row>
    <row r="8881" spans="1:10" x14ac:dyDescent="0.25">
      <c r="A8881" t="s">
        <v>75</v>
      </c>
      <c r="B8881" s="1" t="str">
        <f>HYPERLINK("http://agoda.jp","agoda.jp")</f>
        <v>agoda.jp</v>
      </c>
      <c r="C8881" t="s">
        <v>461</v>
      </c>
      <c r="D8881" t="s">
        <v>837</v>
      </c>
      <c r="F8881">
        <v>5.8276190647734598E-8</v>
      </c>
      <c r="G8881">
        <v>762899</v>
      </c>
      <c r="H8881">
        <v>13815074</v>
      </c>
      <c r="I8881">
        <v>6171408</v>
      </c>
      <c r="J8881">
        <v>4</v>
      </c>
    </row>
    <row r="8882" spans="1:10" x14ac:dyDescent="0.25">
      <c r="A8882" t="s">
        <v>75</v>
      </c>
      <c r="B8882" s="1" t="str">
        <f>HYPERLINK("http://kayak.co.jp","kayak.co.jp")</f>
        <v>kayak.co.jp</v>
      </c>
      <c r="C8882" t="s">
        <v>461</v>
      </c>
      <c r="D8882" t="s">
        <v>837</v>
      </c>
      <c r="F8882">
        <v>3.4497075129490997E-8</v>
      </c>
      <c r="G8882">
        <v>1503763</v>
      </c>
      <c r="H8882">
        <v>14282356</v>
      </c>
      <c r="I8882">
        <v>1376660</v>
      </c>
      <c r="J8882">
        <v>5</v>
      </c>
    </row>
    <row r="8883" spans="1:10" x14ac:dyDescent="0.25">
      <c r="A8883" t="s">
        <v>75</v>
      </c>
      <c r="B8883" s="1" t="str">
        <f>HYPERLINK("http://hotelscombined.jp","hotelscombined.jp")</f>
        <v>hotelscombined.jp</v>
      </c>
      <c r="C8883" t="s">
        <v>461</v>
      </c>
      <c r="D8883" t="s">
        <v>837</v>
      </c>
      <c r="F8883">
        <v>7.3848807982782699E-8</v>
      </c>
      <c r="G8883">
        <v>570317</v>
      </c>
      <c r="H8883">
        <v>13302107</v>
      </c>
      <c r="I8883">
        <v>10816755</v>
      </c>
      <c r="J8883">
        <v>5</v>
      </c>
    </row>
    <row r="8884" spans="1:10" x14ac:dyDescent="0.25">
      <c r="A8884" t="s">
        <v>75</v>
      </c>
      <c r="B8884" s="1" t="str">
        <f>HYPERLINK("http://agoda.co.kr","agoda.co.kr")</f>
        <v>agoda.co.kr</v>
      </c>
      <c r="C8884" t="s">
        <v>463</v>
      </c>
      <c r="D8884" t="s">
        <v>839</v>
      </c>
      <c r="F8884">
        <v>4.0295926386418398E-8</v>
      </c>
      <c r="G8884">
        <v>1284228</v>
      </c>
      <c r="H8884">
        <v>14093931</v>
      </c>
      <c r="I8884">
        <v>2733925</v>
      </c>
      <c r="J8884">
        <v>4</v>
      </c>
    </row>
    <row r="8885" spans="1:10" x14ac:dyDescent="0.25">
      <c r="A8885" t="s">
        <v>75</v>
      </c>
      <c r="B8885" s="1" t="str">
        <f>HYPERLINK("http://hotelscombined.co.kr","hotelscombined.co.kr")</f>
        <v>hotelscombined.co.kr</v>
      </c>
      <c r="C8885" t="s">
        <v>463</v>
      </c>
      <c r="D8885" t="s">
        <v>839</v>
      </c>
      <c r="E8885">
        <v>228541</v>
      </c>
      <c r="F8885">
        <v>7.8394510906515297E-8</v>
      </c>
      <c r="G8885">
        <v>533341</v>
      </c>
      <c r="H8885">
        <v>13106499</v>
      </c>
      <c r="I8885">
        <v>12058385</v>
      </c>
      <c r="J8885">
        <v>5</v>
      </c>
    </row>
    <row r="8886" spans="1:10" x14ac:dyDescent="0.25">
      <c r="A8886" t="s">
        <v>75</v>
      </c>
      <c r="B8886" s="1" t="str">
        <f>HYPERLINK("http://kayak.co.kr","kayak.co.kr")</f>
        <v>kayak.co.kr</v>
      </c>
      <c r="C8886" t="s">
        <v>463</v>
      </c>
      <c r="D8886" t="s">
        <v>839</v>
      </c>
      <c r="E8886">
        <v>255248</v>
      </c>
      <c r="F8886">
        <v>8.3817198034317201E-8</v>
      </c>
      <c r="G8886">
        <v>494236</v>
      </c>
      <c r="H8886">
        <v>13735138</v>
      </c>
      <c r="I8886">
        <v>9454339</v>
      </c>
      <c r="J8886">
        <v>5</v>
      </c>
    </row>
    <row r="8887" spans="1:10" x14ac:dyDescent="0.25">
      <c r="A8887" t="s">
        <v>75</v>
      </c>
      <c r="B8887" s="1" t="str">
        <f>HYPERLINK("http://hotelscombined.lt","hotelscombined.lt")</f>
        <v>hotelscombined.lt</v>
      </c>
      <c r="C8887" t="s">
        <v>467</v>
      </c>
      <c r="D8887" t="s">
        <v>843</v>
      </c>
      <c r="F8887">
        <v>1.7471860764216899E-8</v>
      </c>
      <c r="G8887">
        <v>3152842</v>
      </c>
      <c r="H8887">
        <v>12294977</v>
      </c>
      <c r="I8887">
        <v>20965230</v>
      </c>
      <c r="J8887">
        <v>5</v>
      </c>
    </row>
    <row r="8888" spans="1:10" x14ac:dyDescent="0.25">
      <c r="A8888" t="s">
        <v>75</v>
      </c>
      <c r="B8888" s="1" t="str">
        <f>HYPERLINK("http://hotelscombined.lv","hotelscombined.lv")</f>
        <v>hotelscombined.lv</v>
      </c>
      <c r="C8888" t="s">
        <v>468</v>
      </c>
      <c r="D8888" t="s">
        <v>844</v>
      </c>
      <c r="F8888">
        <v>2.12892751005319E-8</v>
      </c>
      <c r="G8888">
        <v>2475570</v>
      </c>
      <c r="H8888">
        <v>13975509</v>
      </c>
      <c r="I8888">
        <v>4062092</v>
      </c>
      <c r="J8888">
        <v>5</v>
      </c>
    </row>
    <row r="8889" spans="1:10" x14ac:dyDescent="0.25">
      <c r="A8889" t="s">
        <v>75</v>
      </c>
      <c r="B8889" s="1" t="str">
        <f>HYPERLINK("http://kayak.com.mx","kayak.com.mx")</f>
        <v>kayak.com.mx</v>
      </c>
      <c r="C8889" t="s">
        <v>471</v>
      </c>
      <c r="D8889" t="s">
        <v>847</v>
      </c>
      <c r="E8889">
        <v>175092</v>
      </c>
      <c r="F8889">
        <v>5.94993727097425E-8</v>
      </c>
      <c r="G8889">
        <v>742877</v>
      </c>
      <c r="H8889">
        <v>13992801</v>
      </c>
      <c r="I8889">
        <v>4029077</v>
      </c>
      <c r="J8889">
        <v>5</v>
      </c>
    </row>
    <row r="8890" spans="1:10" x14ac:dyDescent="0.25">
      <c r="A8890" t="s">
        <v>75</v>
      </c>
      <c r="B8890" s="1" t="str">
        <f>HYPERLINK("http://ocsadvisors.com.mx","ocsadvisors.com.mx")</f>
        <v>ocsadvisors.com.mx</v>
      </c>
      <c r="C8890" t="s">
        <v>471</v>
      </c>
      <c r="D8890" t="s">
        <v>847</v>
      </c>
      <c r="J8890">
        <v>5</v>
      </c>
    </row>
    <row r="8891" spans="1:10" x14ac:dyDescent="0.25">
      <c r="A8891" t="s">
        <v>75</v>
      </c>
      <c r="B8891" s="1" t="str">
        <f>HYPERLINK("http://cheapflights.com.my","cheapflights.com.my")</f>
        <v>cheapflights.com.my</v>
      </c>
      <c r="C8891" t="s">
        <v>472</v>
      </c>
      <c r="D8891" t="s">
        <v>848</v>
      </c>
      <c r="E8891">
        <v>434358</v>
      </c>
      <c r="F8891">
        <v>8.1481280329014404E-9</v>
      </c>
      <c r="G8891">
        <v>9659460</v>
      </c>
      <c r="H8891">
        <v>13559652</v>
      </c>
      <c r="I8891">
        <v>9854911</v>
      </c>
      <c r="J8891">
        <v>7</v>
      </c>
    </row>
    <row r="8892" spans="1:10" x14ac:dyDescent="0.25">
      <c r="A8892" t="s">
        <v>75</v>
      </c>
      <c r="B8892" s="1" t="str">
        <f>HYPERLINK("http://kayak.com.my","kayak.com.my")</f>
        <v>kayak.com.my</v>
      </c>
      <c r="C8892" t="s">
        <v>472</v>
      </c>
      <c r="D8892" t="s">
        <v>848</v>
      </c>
      <c r="E8892">
        <v>352154</v>
      </c>
      <c r="F8892">
        <v>2.0207820983294201E-8</v>
      </c>
      <c r="G8892">
        <v>2627969</v>
      </c>
      <c r="H8892">
        <v>13569376</v>
      </c>
      <c r="I8892">
        <v>9730520</v>
      </c>
      <c r="J8892">
        <v>5</v>
      </c>
    </row>
    <row r="8893" spans="1:10" x14ac:dyDescent="0.25">
      <c r="A8893" t="s">
        <v>75</v>
      </c>
      <c r="B8893" s="1" t="str">
        <f>HYPERLINK("http://hotelscombined.my","hotelscombined.my")</f>
        <v>hotelscombined.my</v>
      </c>
      <c r="C8893" t="s">
        <v>472</v>
      </c>
      <c r="D8893" t="s">
        <v>848</v>
      </c>
      <c r="F8893">
        <v>4.9707553468349601E-8</v>
      </c>
      <c r="G8893">
        <v>928564</v>
      </c>
      <c r="H8893">
        <v>13768478</v>
      </c>
      <c r="I8893">
        <v>6872012</v>
      </c>
      <c r="J8893">
        <v>5</v>
      </c>
    </row>
    <row r="8894" spans="1:10" x14ac:dyDescent="0.25">
      <c r="A8894" t="s">
        <v>75</v>
      </c>
      <c r="B8894" s="1" t="str">
        <f>HYPERLINK("http://agoda.net","agoda.net")</f>
        <v>agoda.net</v>
      </c>
      <c r="C8894" t="s">
        <v>474</v>
      </c>
      <c r="E8894">
        <v>37603</v>
      </c>
      <c r="F8894">
        <v>1.3029600955772401E-6</v>
      </c>
      <c r="G8894">
        <v>29806</v>
      </c>
      <c r="H8894">
        <v>15252845</v>
      </c>
      <c r="I8894">
        <v>390006</v>
      </c>
      <c r="J8894">
        <v>4</v>
      </c>
    </row>
    <row r="8895" spans="1:10" x14ac:dyDescent="0.25">
      <c r="A8895" t="s">
        <v>75</v>
      </c>
      <c r="B8895" s="1" t="str">
        <f>HYPERLINK("http://kayak.com.ni","kayak.com.ni")</f>
        <v>kayak.com.ni</v>
      </c>
      <c r="C8895" t="s">
        <v>476</v>
      </c>
      <c r="D8895" t="s">
        <v>851</v>
      </c>
      <c r="F8895">
        <v>1.42058379195777E-8</v>
      </c>
      <c r="G8895">
        <v>4126891</v>
      </c>
      <c r="H8895">
        <v>12607869</v>
      </c>
      <c r="I8895">
        <v>16252996</v>
      </c>
      <c r="J8895">
        <v>5</v>
      </c>
    </row>
    <row r="8896" spans="1:10" x14ac:dyDescent="0.25">
      <c r="A8896" t="s">
        <v>75</v>
      </c>
      <c r="B8896" s="1" t="str">
        <f>HYPERLINK("http://agoda.nl","agoda.nl")</f>
        <v>agoda.nl</v>
      </c>
      <c r="C8896" t="s">
        <v>477</v>
      </c>
      <c r="D8896" t="s">
        <v>852</v>
      </c>
      <c r="F8896">
        <v>6.6960299512073202E-9</v>
      </c>
      <c r="G8896">
        <v>13317080</v>
      </c>
      <c r="H8896">
        <v>13764249</v>
      </c>
      <c r="I8896">
        <v>7320546</v>
      </c>
      <c r="J8896">
        <v>5</v>
      </c>
    </row>
    <row r="8897" spans="1:10" x14ac:dyDescent="0.25">
      <c r="A8897" t="s">
        <v>75</v>
      </c>
      <c r="B8897" s="1" t="str">
        <f>HYPERLINK("http://hotelscombined.nl","hotelscombined.nl")</f>
        <v>hotelscombined.nl</v>
      </c>
      <c r="C8897" t="s">
        <v>477</v>
      </c>
      <c r="D8897" t="s">
        <v>852</v>
      </c>
      <c r="E8897">
        <v>831538</v>
      </c>
      <c r="F8897">
        <v>7.6017460144892198E-8</v>
      </c>
      <c r="G8897">
        <v>552559</v>
      </c>
      <c r="H8897">
        <v>12582972</v>
      </c>
      <c r="I8897">
        <v>16476227</v>
      </c>
      <c r="J8897">
        <v>5</v>
      </c>
    </row>
    <row r="8898" spans="1:10" x14ac:dyDescent="0.25">
      <c r="A8898" t="s">
        <v>75</v>
      </c>
      <c r="B8898" s="1" t="str">
        <f>HYPERLINK("http://kayak.nl","kayak.nl")</f>
        <v>kayak.nl</v>
      </c>
      <c r="C8898" t="s">
        <v>477</v>
      </c>
      <c r="D8898" t="s">
        <v>852</v>
      </c>
      <c r="E8898">
        <v>271689</v>
      </c>
      <c r="F8898">
        <v>2.58254514914936E-8</v>
      </c>
      <c r="G8898">
        <v>1995799</v>
      </c>
      <c r="H8898">
        <v>12843078</v>
      </c>
      <c r="I8898">
        <v>14330011</v>
      </c>
      <c r="J8898">
        <v>5</v>
      </c>
    </row>
    <row r="8899" spans="1:10" x14ac:dyDescent="0.25">
      <c r="A8899" t="s">
        <v>75</v>
      </c>
      <c r="B8899" s="1" t="str">
        <f>HYPERLINK("http://hotelscombined.no","hotelscombined.no")</f>
        <v>hotelscombined.no</v>
      </c>
      <c r="C8899" t="s">
        <v>478</v>
      </c>
      <c r="D8899" t="s">
        <v>853</v>
      </c>
      <c r="F8899">
        <v>4.7976473721673601E-8</v>
      </c>
      <c r="G8899">
        <v>969496</v>
      </c>
      <c r="H8899">
        <v>12458920</v>
      </c>
      <c r="I8899">
        <v>17892152</v>
      </c>
      <c r="J8899">
        <v>5</v>
      </c>
    </row>
    <row r="8900" spans="1:10" x14ac:dyDescent="0.25">
      <c r="A8900" t="s">
        <v>75</v>
      </c>
      <c r="B8900" s="1" t="str">
        <f>HYPERLINK("http://kayak.no","kayak.no")</f>
        <v>kayak.no</v>
      </c>
      <c r="C8900" t="s">
        <v>478</v>
      </c>
      <c r="D8900" t="s">
        <v>853</v>
      </c>
      <c r="F8900">
        <v>1.81060326701704E-8</v>
      </c>
      <c r="G8900">
        <v>3008568</v>
      </c>
      <c r="H8900">
        <v>12748497</v>
      </c>
      <c r="I8900">
        <v>15059315</v>
      </c>
      <c r="J8900">
        <v>5</v>
      </c>
    </row>
    <row r="8901" spans="1:10" x14ac:dyDescent="0.25">
      <c r="A8901" t="s">
        <v>75</v>
      </c>
      <c r="B8901" s="1" t="str">
        <f>HYPERLINK("http://cheapflights.co.nz","cheapflights.co.nz")</f>
        <v>cheapflights.co.nz</v>
      </c>
      <c r="C8901" t="s">
        <v>479</v>
      </c>
      <c r="D8901" t="s">
        <v>854</v>
      </c>
      <c r="F8901">
        <v>8.9654166566966499E-9</v>
      </c>
      <c r="G8901">
        <v>8043469</v>
      </c>
      <c r="H8901">
        <v>14027397</v>
      </c>
      <c r="I8901">
        <v>3971612</v>
      </c>
      <c r="J8901">
        <v>7</v>
      </c>
    </row>
    <row r="8902" spans="1:10" x14ac:dyDescent="0.25">
      <c r="A8902" t="s">
        <v>75</v>
      </c>
      <c r="B8902" s="1" t="str">
        <f>HYPERLINK("http://hotelscombined.co.nz","hotelscombined.co.nz")</f>
        <v>hotelscombined.co.nz</v>
      </c>
      <c r="C8902" t="s">
        <v>479</v>
      </c>
      <c r="D8902" t="s">
        <v>854</v>
      </c>
      <c r="F8902">
        <v>6.23600061807134E-8</v>
      </c>
      <c r="G8902">
        <v>704024</v>
      </c>
      <c r="H8902">
        <v>12528082</v>
      </c>
      <c r="I8902">
        <v>17058567</v>
      </c>
      <c r="J8902">
        <v>5</v>
      </c>
    </row>
    <row r="8903" spans="1:10" x14ac:dyDescent="0.25">
      <c r="A8903" t="s">
        <v>75</v>
      </c>
      <c r="B8903" s="1" t="str">
        <f>HYPERLINK("http://kayak.com.pa","kayak.com.pa")</f>
        <v>kayak.com.pa</v>
      </c>
      <c r="C8903" t="s">
        <v>482</v>
      </c>
      <c r="D8903" t="s">
        <v>856</v>
      </c>
      <c r="E8903">
        <v>398579</v>
      </c>
      <c r="F8903">
        <v>1.4232571049912E-8</v>
      </c>
      <c r="G8903">
        <v>4117431</v>
      </c>
      <c r="H8903">
        <v>12616975</v>
      </c>
      <c r="I8903">
        <v>16117615</v>
      </c>
      <c r="J8903">
        <v>5</v>
      </c>
    </row>
    <row r="8904" spans="1:10" x14ac:dyDescent="0.25">
      <c r="A8904" t="s">
        <v>75</v>
      </c>
      <c r="B8904" s="1" t="str">
        <f>HYPERLINK("http://kayak.com.pe","kayak.com.pe")</f>
        <v>kayak.com.pe</v>
      </c>
      <c r="C8904" t="s">
        <v>483</v>
      </c>
      <c r="D8904" t="s">
        <v>857</v>
      </c>
      <c r="E8904">
        <v>254804</v>
      </c>
      <c r="F8904">
        <v>1.9249021147424499E-8</v>
      </c>
      <c r="G8904">
        <v>2790474</v>
      </c>
      <c r="H8904">
        <v>13072818</v>
      </c>
      <c r="I8904">
        <v>12229659</v>
      </c>
      <c r="J8904">
        <v>5</v>
      </c>
    </row>
    <row r="8905" spans="1:10" x14ac:dyDescent="0.25">
      <c r="A8905" t="s">
        <v>75</v>
      </c>
      <c r="B8905" s="1" t="str">
        <f>HYPERLINK("http://cheapflights.com.ph","cheapflights.com.ph")</f>
        <v>cheapflights.com.ph</v>
      </c>
      <c r="C8905" t="s">
        <v>484</v>
      </c>
      <c r="D8905" t="s">
        <v>858</v>
      </c>
      <c r="E8905">
        <v>674817</v>
      </c>
      <c r="F8905">
        <v>8.9102268616255292E-9</v>
      </c>
      <c r="G8905">
        <v>8128370</v>
      </c>
      <c r="H8905">
        <v>13559238</v>
      </c>
      <c r="I8905">
        <v>9857421</v>
      </c>
      <c r="J8905">
        <v>7</v>
      </c>
    </row>
    <row r="8906" spans="1:10" x14ac:dyDescent="0.25">
      <c r="A8906" t="s">
        <v>75</v>
      </c>
      <c r="B8906" s="1" t="str">
        <f>HYPERLINK("http://hotelscombined.com.ph","hotelscombined.com.ph")</f>
        <v>hotelscombined.com.ph</v>
      </c>
      <c r="C8906" t="s">
        <v>484</v>
      </c>
      <c r="D8906" t="s">
        <v>858</v>
      </c>
      <c r="F8906">
        <v>4.8131314710468098E-8</v>
      </c>
      <c r="G8906">
        <v>965522</v>
      </c>
      <c r="H8906">
        <v>12322021</v>
      </c>
      <c r="I8906">
        <v>20374744</v>
      </c>
      <c r="J8906">
        <v>5</v>
      </c>
    </row>
    <row r="8907" spans="1:10" x14ac:dyDescent="0.25">
      <c r="A8907" t="s">
        <v>75</v>
      </c>
      <c r="B8907" s="1" t="str">
        <f>HYPERLINK("http://kayak.com.ph","kayak.com.ph")</f>
        <v>kayak.com.ph</v>
      </c>
      <c r="C8907" t="s">
        <v>484</v>
      </c>
      <c r="D8907" t="s">
        <v>858</v>
      </c>
      <c r="E8907">
        <v>648196</v>
      </c>
      <c r="F8907">
        <v>1.5695156682721899E-8</v>
      </c>
      <c r="G8907">
        <v>3628824</v>
      </c>
      <c r="H8907">
        <v>12631528</v>
      </c>
      <c r="I8907">
        <v>15971547</v>
      </c>
      <c r="J8907">
        <v>5</v>
      </c>
    </row>
    <row r="8908" spans="1:10" x14ac:dyDescent="0.25">
      <c r="A8908" t="s">
        <v>75</v>
      </c>
      <c r="B8908" s="1" t="str">
        <f>HYPERLINK("http://agoda.pl","agoda.pl")</f>
        <v>agoda.pl</v>
      </c>
      <c r="C8908" t="s">
        <v>486</v>
      </c>
      <c r="D8908" t="s">
        <v>860</v>
      </c>
      <c r="F8908">
        <v>7.1187446873244096E-9</v>
      </c>
      <c r="G8908">
        <v>11962636</v>
      </c>
      <c r="H8908">
        <v>11427718</v>
      </c>
      <c r="I8908">
        <v>30158491</v>
      </c>
      <c r="J8908">
        <v>5</v>
      </c>
    </row>
    <row r="8909" spans="1:10" x14ac:dyDescent="0.25">
      <c r="A8909" t="s">
        <v>75</v>
      </c>
      <c r="B8909" s="1" t="str">
        <f>HYPERLINK("http://hotelscombined.pl","hotelscombined.pl")</f>
        <v>hotelscombined.pl</v>
      </c>
      <c r="C8909" t="s">
        <v>486</v>
      </c>
      <c r="D8909" t="s">
        <v>860</v>
      </c>
      <c r="F8909">
        <v>1.1271204940537101E-7</v>
      </c>
      <c r="G8909">
        <v>354235</v>
      </c>
      <c r="H8909">
        <v>13864771</v>
      </c>
      <c r="I8909">
        <v>6010151</v>
      </c>
      <c r="J8909">
        <v>5</v>
      </c>
    </row>
    <row r="8910" spans="1:10" x14ac:dyDescent="0.25">
      <c r="A8910" t="s">
        <v>75</v>
      </c>
      <c r="B8910" s="1" t="str">
        <f>HYPERLINK("http://kayak.pl","kayak.pl")</f>
        <v>kayak.pl</v>
      </c>
      <c r="C8910" t="s">
        <v>486</v>
      </c>
      <c r="D8910" t="s">
        <v>860</v>
      </c>
      <c r="E8910">
        <v>280397</v>
      </c>
      <c r="F8910">
        <v>4.1696807084756103E-8</v>
      </c>
      <c r="G8910">
        <v>1184937</v>
      </c>
      <c r="H8910">
        <v>13342656</v>
      </c>
      <c r="I8910">
        <v>10664030</v>
      </c>
      <c r="J8910">
        <v>5</v>
      </c>
    </row>
    <row r="8911" spans="1:10" x14ac:dyDescent="0.25">
      <c r="A8911" t="s">
        <v>75</v>
      </c>
      <c r="B8911" s="1" t="str">
        <f>HYPERLINK("http://kayak.com.pr","kayak.com.pr")</f>
        <v>kayak.com.pr</v>
      </c>
      <c r="C8911" t="s">
        <v>487</v>
      </c>
      <c r="D8911" t="s">
        <v>861</v>
      </c>
      <c r="E8911">
        <v>478317</v>
      </c>
      <c r="F8911">
        <v>1.44313884345738E-8</v>
      </c>
      <c r="G8911">
        <v>4046273</v>
      </c>
      <c r="H8911">
        <v>12607857</v>
      </c>
      <c r="I8911">
        <v>16253069</v>
      </c>
      <c r="J8911">
        <v>5</v>
      </c>
    </row>
    <row r="8912" spans="1:10" x14ac:dyDescent="0.25">
      <c r="A8912" t="s">
        <v>75</v>
      </c>
      <c r="B8912" s="1" t="str">
        <f>HYPERLINK("http://agoda.com.pt","agoda.com.pt")</f>
        <v>agoda.com.pt</v>
      </c>
      <c r="C8912" t="s">
        <v>488</v>
      </c>
      <c r="D8912" t="s">
        <v>862</v>
      </c>
      <c r="F8912">
        <v>4.9066545215156299E-9</v>
      </c>
      <c r="G8912">
        <v>32277588</v>
      </c>
      <c r="H8912">
        <v>14119732</v>
      </c>
      <c r="I8912">
        <v>2522324</v>
      </c>
      <c r="J8912">
        <v>4</v>
      </c>
    </row>
    <row r="8913" spans="1:10" x14ac:dyDescent="0.25">
      <c r="A8913" t="s">
        <v>75</v>
      </c>
      <c r="B8913" s="1" t="str">
        <f>HYPERLINK("http://hotelscombined.pt","hotelscombined.pt")</f>
        <v>hotelscombined.pt</v>
      </c>
      <c r="C8913" t="s">
        <v>488</v>
      </c>
      <c r="D8913" t="s">
        <v>862</v>
      </c>
      <c r="F8913">
        <v>5.0804793868528699E-8</v>
      </c>
      <c r="G8913">
        <v>903004</v>
      </c>
      <c r="H8913">
        <v>13767270</v>
      </c>
      <c r="I8913">
        <v>6943672</v>
      </c>
      <c r="J8913">
        <v>5</v>
      </c>
    </row>
    <row r="8914" spans="1:10" x14ac:dyDescent="0.25">
      <c r="A8914" t="s">
        <v>75</v>
      </c>
      <c r="B8914" s="1" t="str">
        <f>HYPERLINK("http://kayak.pt","kayak.pt")</f>
        <v>kayak.pt</v>
      </c>
      <c r="C8914" t="s">
        <v>488</v>
      </c>
      <c r="D8914" t="s">
        <v>862</v>
      </c>
      <c r="E8914">
        <v>751916</v>
      </c>
      <c r="F8914">
        <v>2.2218462517402799E-8</v>
      </c>
      <c r="G8914">
        <v>2360374</v>
      </c>
      <c r="H8914">
        <v>14243257</v>
      </c>
      <c r="I8914">
        <v>1478534</v>
      </c>
      <c r="J8914">
        <v>5</v>
      </c>
    </row>
    <row r="8915" spans="1:10" x14ac:dyDescent="0.25">
      <c r="A8915" t="s">
        <v>75</v>
      </c>
      <c r="B8915" s="1" t="str">
        <f>HYPERLINK("http://kayak.com.py","kayak.com.py")</f>
        <v>kayak.com.py</v>
      </c>
      <c r="C8915" t="s">
        <v>489</v>
      </c>
      <c r="D8915" t="s">
        <v>863</v>
      </c>
      <c r="F8915">
        <v>1.4292373383891101E-8</v>
      </c>
      <c r="G8915">
        <v>4096043</v>
      </c>
      <c r="H8915">
        <v>12617000</v>
      </c>
      <c r="I8915">
        <v>16115748</v>
      </c>
      <c r="J8915">
        <v>5</v>
      </c>
    </row>
    <row r="8916" spans="1:10" x14ac:dyDescent="0.25">
      <c r="A8916" t="s">
        <v>75</v>
      </c>
      <c r="B8916" s="1" t="str">
        <f>HYPERLINK("http://cheapflights.qa","cheapflights.qa")</f>
        <v>cheapflights.qa</v>
      </c>
      <c r="C8916" t="s">
        <v>490</v>
      </c>
      <c r="D8916" t="s">
        <v>864</v>
      </c>
      <c r="E8916">
        <v>234708</v>
      </c>
      <c r="F8916">
        <v>6.6076373000934901E-9</v>
      </c>
      <c r="G8916">
        <v>13648124</v>
      </c>
      <c r="H8916">
        <v>13558899</v>
      </c>
      <c r="I8916">
        <v>9861561</v>
      </c>
      <c r="J8916">
        <v>7</v>
      </c>
    </row>
    <row r="8917" spans="1:10" x14ac:dyDescent="0.25">
      <c r="A8917" t="s">
        <v>75</v>
      </c>
      <c r="B8917" s="1" t="str">
        <f>HYPERLINK("http://hotelscombined.rs","hotelscombined.rs")</f>
        <v>hotelscombined.rs</v>
      </c>
      <c r="C8917" t="s">
        <v>492</v>
      </c>
      <c r="D8917" t="s">
        <v>866</v>
      </c>
      <c r="F8917">
        <v>1.3029212560089001E-8</v>
      </c>
      <c r="G8917">
        <v>4617218</v>
      </c>
      <c r="H8917">
        <v>12285449</v>
      </c>
      <c r="I8917">
        <v>21201903</v>
      </c>
      <c r="J8917">
        <v>5</v>
      </c>
    </row>
    <row r="8918" spans="1:10" x14ac:dyDescent="0.25">
      <c r="A8918" t="s">
        <v>75</v>
      </c>
      <c r="B8918" s="1" t="str">
        <f>HYPERLINK("http://agoda.ru","agoda.ru")</f>
        <v>agoda.ru</v>
      </c>
      <c r="C8918" t="s">
        <v>493</v>
      </c>
      <c r="D8918" t="s">
        <v>867</v>
      </c>
      <c r="F8918">
        <v>1.6025032564576099E-8</v>
      </c>
      <c r="G8918">
        <v>3539643</v>
      </c>
      <c r="H8918">
        <v>12979391</v>
      </c>
      <c r="I8918">
        <v>12995400</v>
      </c>
      <c r="J8918">
        <v>5</v>
      </c>
    </row>
    <row r="8919" spans="1:10" x14ac:dyDescent="0.25">
      <c r="A8919" t="s">
        <v>75</v>
      </c>
      <c r="B8919" s="1" t="str">
        <f>HYPERLINK("http://kayak.ru","kayak.ru")</f>
        <v>kayak.ru</v>
      </c>
      <c r="C8919" t="s">
        <v>493</v>
      </c>
      <c r="D8919" t="s">
        <v>867</v>
      </c>
      <c r="E8919">
        <v>666462</v>
      </c>
      <c r="F8919">
        <v>2.6389956533251801E-8</v>
      </c>
      <c r="G8919">
        <v>1951135</v>
      </c>
      <c r="H8919">
        <v>13777919</v>
      </c>
      <c r="I8919">
        <v>6529686</v>
      </c>
      <c r="J8919">
        <v>5</v>
      </c>
    </row>
    <row r="8920" spans="1:10" x14ac:dyDescent="0.25">
      <c r="A8920" t="s">
        <v>75</v>
      </c>
      <c r="B8920" s="1" t="str">
        <f>HYPERLINK("http://roomguru.ru","roomguru.ru")</f>
        <v>roomguru.ru</v>
      </c>
      <c r="C8920" t="s">
        <v>493</v>
      </c>
      <c r="D8920" t="s">
        <v>867</v>
      </c>
      <c r="E8920">
        <v>164394</v>
      </c>
      <c r="F8920">
        <v>1.4164994907933001E-7</v>
      </c>
      <c r="G8920">
        <v>274896</v>
      </c>
      <c r="H8920">
        <v>13834838</v>
      </c>
      <c r="I8920">
        <v>6095336</v>
      </c>
      <c r="J8920">
        <v>7</v>
      </c>
    </row>
    <row r="8921" spans="1:10" x14ac:dyDescent="0.25">
      <c r="A8921" t="s">
        <v>75</v>
      </c>
      <c r="B8921" s="1" t="str">
        <f>HYPERLINK("http://kayak.sa","kayak.sa")</f>
        <v>kayak.sa</v>
      </c>
      <c r="C8921" t="s">
        <v>494</v>
      </c>
      <c r="D8921" t="s">
        <v>868</v>
      </c>
      <c r="E8921">
        <v>544185</v>
      </c>
      <c r="F8921">
        <v>1.62889878222734E-8</v>
      </c>
      <c r="G8921">
        <v>3473438</v>
      </c>
      <c r="H8921">
        <v>13566512</v>
      </c>
      <c r="I8921">
        <v>9753929</v>
      </c>
      <c r="J8921">
        <v>5</v>
      </c>
    </row>
    <row r="8922" spans="1:10" x14ac:dyDescent="0.25">
      <c r="A8922" t="s">
        <v>75</v>
      </c>
      <c r="B8922" s="1" t="str">
        <f>HYPERLINK("http://hotelscombined.se","hotelscombined.se")</f>
        <v>hotelscombined.se</v>
      </c>
      <c r="C8922" t="s">
        <v>495</v>
      </c>
      <c r="D8922" t="s">
        <v>869</v>
      </c>
      <c r="F8922">
        <v>8.6354289145367394E-8</v>
      </c>
      <c r="G8922">
        <v>476220</v>
      </c>
      <c r="H8922">
        <v>14031897</v>
      </c>
      <c r="I8922">
        <v>3925104</v>
      </c>
      <c r="J8922">
        <v>5</v>
      </c>
    </row>
    <row r="8923" spans="1:10" x14ac:dyDescent="0.25">
      <c r="A8923" t="s">
        <v>75</v>
      </c>
      <c r="B8923" s="1" t="str">
        <f>HYPERLINK("http://kayak.se","kayak.se")</f>
        <v>kayak.se</v>
      </c>
      <c r="C8923" t="s">
        <v>495</v>
      </c>
      <c r="D8923" t="s">
        <v>869</v>
      </c>
      <c r="E8923">
        <v>522266</v>
      </c>
      <c r="F8923">
        <v>1.93156146447648E-8</v>
      </c>
      <c r="G8923">
        <v>2779609</v>
      </c>
      <c r="H8923">
        <v>12640498</v>
      </c>
      <c r="I8923">
        <v>15872031</v>
      </c>
      <c r="J8923">
        <v>5</v>
      </c>
    </row>
    <row r="8924" spans="1:10" x14ac:dyDescent="0.25">
      <c r="A8924" t="s">
        <v>75</v>
      </c>
      <c r="B8924" s="1" t="str">
        <f>HYPERLINK("http://agoda.com.sg","agoda.com.sg")</f>
        <v>agoda.com.sg</v>
      </c>
      <c r="C8924" t="s">
        <v>496</v>
      </c>
      <c r="D8924" t="s">
        <v>870</v>
      </c>
      <c r="F8924">
        <v>4.7894289702422E-9</v>
      </c>
      <c r="G8924">
        <v>36514171</v>
      </c>
      <c r="H8924">
        <v>13763638</v>
      </c>
      <c r="I8924">
        <v>8003662</v>
      </c>
      <c r="J8924">
        <v>5</v>
      </c>
    </row>
    <row r="8925" spans="1:10" x14ac:dyDescent="0.25">
      <c r="A8925" t="s">
        <v>75</v>
      </c>
      <c r="B8925" s="1" t="str">
        <f>HYPERLINK("http://cheapflights.com.sg","cheapflights.com.sg")</f>
        <v>cheapflights.com.sg</v>
      </c>
      <c r="C8925" t="s">
        <v>496</v>
      </c>
      <c r="D8925" t="s">
        <v>870</v>
      </c>
      <c r="E8925">
        <v>416879</v>
      </c>
      <c r="F8925">
        <v>1.0428819344244599E-8</v>
      </c>
      <c r="G8925">
        <v>6332655</v>
      </c>
      <c r="H8925">
        <v>13564503</v>
      </c>
      <c r="I8925">
        <v>9838954</v>
      </c>
      <c r="J8925">
        <v>7</v>
      </c>
    </row>
    <row r="8926" spans="1:10" x14ac:dyDescent="0.25">
      <c r="A8926" t="s">
        <v>75</v>
      </c>
      <c r="B8926" s="1" t="str">
        <f>HYPERLINK("http://hotelscombined.com.sg","hotelscombined.com.sg")</f>
        <v>hotelscombined.com.sg</v>
      </c>
      <c r="C8926" t="s">
        <v>496</v>
      </c>
      <c r="D8926" t="s">
        <v>870</v>
      </c>
      <c r="F8926">
        <v>5.1892142297349399E-8</v>
      </c>
      <c r="G8926">
        <v>880294</v>
      </c>
      <c r="H8926">
        <v>14120894</v>
      </c>
      <c r="I8926">
        <v>2322050</v>
      </c>
      <c r="J8926">
        <v>5</v>
      </c>
    </row>
    <row r="8927" spans="1:10" x14ac:dyDescent="0.25">
      <c r="A8927" t="s">
        <v>75</v>
      </c>
      <c r="B8927" s="1" t="str">
        <f>HYPERLINK("http://kayak.sg","kayak.sg")</f>
        <v>kayak.sg</v>
      </c>
      <c r="C8927" t="s">
        <v>496</v>
      </c>
      <c r="D8927" t="s">
        <v>870</v>
      </c>
      <c r="E8927">
        <v>485348</v>
      </c>
      <c r="F8927">
        <v>3.3534025636425801E-8</v>
      </c>
      <c r="G8927">
        <v>1541728</v>
      </c>
      <c r="H8927">
        <v>13577711</v>
      </c>
      <c r="I8927">
        <v>9696508</v>
      </c>
      <c r="J8927">
        <v>5</v>
      </c>
    </row>
    <row r="8928" spans="1:10" x14ac:dyDescent="0.25">
      <c r="A8928" t="s">
        <v>75</v>
      </c>
      <c r="B8928" s="1" t="str">
        <f>HYPERLINK("http://hotelscombined.si","hotelscombined.si")</f>
        <v>hotelscombined.si</v>
      </c>
      <c r="C8928" t="s">
        <v>497</v>
      </c>
      <c r="D8928" t="s">
        <v>871</v>
      </c>
      <c r="F8928">
        <v>1.45403365868883E-8</v>
      </c>
      <c r="G8928">
        <v>3998720</v>
      </c>
      <c r="H8928">
        <v>12286184</v>
      </c>
      <c r="I8928">
        <v>21188007</v>
      </c>
      <c r="J8928">
        <v>5</v>
      </c>
    </row>
    <row r="8929" spans="1:10" x14ac:dyDescent="0.25">
      <c r="A8929" t="s">
        <v>75</v>
      </c>
      <c r="B8929" s="1" t="str">
        <f>HYPERLINK("http://hotelscombined.sk","hotelscombined.sk")</f>
        <v>hotelscombined.sk</v>
      </c>
      <c r="C8929" t="s">
        <v>498</v>
      </c>
      <c r="D8929" t="s">
        <v>872</v>
      </c>
      <c r="F8929">
        <v>1.44836141843968E-8</v>
      </c>
      <c r="G8929">
        <v>4028165</v>
      </c>
      <c r="H8929">
        <v>12288897</v>
      </c>
      <c r="I8929">
        <v>21136816</v>
      </c>
      <c r="J8929">
        <v>5</v>
      </c>
    </row>
    <row r="8930" spans="1:10" x14ac:dyDescent="0.25">
      <c r="A8930" t="s">
        <v>75</v>
      </c>
      <c r="B8930" s="1" t="str">
        <f>HYPERLINK("http://kayak.com.sv","kayak.com.sv")</f>
        <v>kayak.com.sv</v>
      </c>
      <c r="C8930" t="s">
        <v>499</v>
      </c>
      <c r="D8930" t="s">
        <v>873</v>
      </c>
      <c r="E8930">
        <v>640254</v>
      </c>
      <c r="F8930">
        <v>1.4292128470586E-8</v>
      </c>
      <c r="G8930">
        <v>4096133</v>
      </c>
      <c r="H8930">
        <v>12607842</v>
      </c>
      <c r="I8930">
        <v>16253159</v>
      </c>
      <c r="J8930">
        <v>5</v>
      </c>
    </row>
    <row r="8931" spans="1:10" x14ac:dyDescent="0.25">
      <c r="A8931" t="s">
        <v>75</v>
      </c>
      <c r="B8931" s="1" t="str">
        <f>HYPERLINK("http://agoda.co.th","agoda.co.th")</f>
        <v>agoda.co.th</v>
      </c>
      <c r="C8931" t="s">
        <v>500</v>
      </c>
      <c r="D8931" t="s">
        <v>874</v>
      </c>
      <c r="F8931">
        <v>2.67254571059394E-8</v>
      </c>
      <c r="G8931">
        <v>1925733</v>
      </c>
      <c r="H8931">
        <v>14079369</v>
      </c>
      <c r="I8931">
        <v>2833649</v>
      </c>
      <c r="J8931">
        <v>4</v>
      </c>
    </row>
    <row r="8932" spans="1:10" x14ac:dyDescent="0.25">
      <c r="A8932" t="s">
        <v>75</v>
      </c>
      <c r="B8932" s="1" t="str">
        <f>HYPERLINK("http://hotelscombined.co.th","hotelscombined.co.th")</f>
        <v>hotelscombined.co.th</v>
      </c>
      <c r="C8932" t="s">
        <v>500</v>
      </c>
      <c r="D8932" t="s">
        <v>874</v>
      </c>
      <c r="F8932">
        <v>6.5974697725283495E-8</v>
      </c>
      <c r="G8932">
        <v>650631</v>
      </c>
      <c r="H8932">
        <v>13950295</v>
      </c>
      <c r="I8932">
        <v>4174967</v>
      </c>
      <c r="J8932">
        <v>5</v>
      </c>
    </row>
    <row r="8933" spans="1:10" x14ac:dyDescent="0.25">
      <c r="A8933" t="s">
        <v>75</v>
      </c>
      <c r="B8933" s="1" t="str">
        <f>HYPERLINK("http://kayak.co.th","kayak.co.th")</f>
        <v>kayak.co.th</v>
      </c>
      <c r="C8933" t="s">
        <v>500</v>
      </c>
      <c r="D8933" t="s">
        <v>874</v>
      </c>
      <c r="E8933">
        <v>760465</v>
      </c>
      <c r="F8933">
        <v>1.6928506012253401E-8</v>
      </c>
      <c r="G8933">
        <v>3300294</v>
      </c>
      <c r="H8933">
        <v>14073346</v>
      </c>
      <c r="I8933">
        <v>3000695</v>
      </c>
      <c r="J8933">
        <v>5</v>
      </c>
    </row>
    <row r="8934" spans="1:10" x14ac:dyDescent="0.25">
      <c r="A8934" t="s">
        <v>75</v>
      </c>
      <c r="B8934" s="1" t="str">
        <f>HYPERLINK("http://hotelscombined.com.tr","hotelscombined.com.tr")</f>
        <v>hotelscombined.com.tr</v>
      </c>
      <c r="C8934" t="s">
        <v>502</v>
      </c>
      <c r="D8934" t="s">
        <v>876</v>
      </c>
      <c r="F8934">
        <v>6.3233809831489301E-8</v>
      </c>
      <c r="G8934">
        <v>688263</v>
      </c>
      <c r="H8934">
        <v>14031965</v>
      </c>
      <c r="I8934">
        <v>3924846</v>
      </c>
      <c r="J8934">
        <v>5</v>
      </c>
    </row>
    <row r="8935" spans="1:10" x14ac:dyDescent="0.25">
      <c r="A8935" t="s">
        <v>75</v>
      </c>
      <c r="B8935" s="1" t="str">
        <f>HYPERLINK("http://kayak.com.tr","kayak.com.tr")</f>
        <v>kayak.com.tr</v>
      </c>
      <c r="C8935" t="s">
        <v>502</v>
      </c>
      <c r="D8935" t="s">
        <v>876</v>
      </c>
      <c r="E8935">
        <v>399415</v>
      </c>
      <c r="F8935">
        <v>1.5937379941342E-8</v>
      </c>
      <c r="G8935">
        <v>3562779</v>
      </c>
      <c r="H8935">
        <v>12660211</v>
      </c>
      <c r="I8935">
        <v>15720310</v>
      </c>
      <c r="J8935">
        <v>5</v>
      </c>
    </row>
    <row r="8936" spans="1:10" x14ac:dyDescent="0.25">
      <c r="A8936" t="s">
        <v>75</v>
      </c>
      <c r="B8936" s="1" t="str">
        <f>HYPERLINK("http://sinbad.travel","sinbad.travel")</f>
        <v>sinbad.travel</v>
      </c>
      <c r="C8936" t="s">
        <v>553</v>
      </c>
      <c r="F8936">
        <v>5.0240465542799797E-9</v>
      </c>
      <c r="G8936">
        <v>28806631</v>
      </c>
      <c r="H8936">
        <v>12235981</v>
      </c>
      <c r="I8936">
        <v>22352466</v>
      </c>
      <c r="J8936">
        <v>6</v>
      </c>
    </row>
    <row r="8937" spans="1:10" x14ac:dyDescent="0.25">
      <c r="A8937" t="s">
        <v>75</v>
      </c>
      <c r="B8937" s="1" t="str">
        <f>HYPERLINK("http://agoda.com.tw","agoda.com.tw")</f>
        <v>agoda.com.tw</v>
      </c>
      <c r="C8937" t="s">
        <v>504</v>
      </c>
      <c r="D8937" t="s">
        <v>878</v>
      </c>
      <c r="F8937">
        <v>1.12048944210844E-8</v>
      </c>
      <c r="G8937">
        <v>5709735</v>
      </c>
      <c r="H8937">
        <v>13890223</v>
      </c>
      <c r="I8937">
        <v>5962813</v>
      </c>
      <c r="J8937">
        <v>4</v>
      </c>
    </row>
    <row r="8938" spans="1:10" x14ac:dyDescent="0.25">
      <c r="A8938" t="s">
        <v>75</v>
      </c>
      <c r="B8938" s="1" t="str">
        <f>HYPERLINK("http://hotelscombined.com.tw","hotelscombined.com.tw")</f>
        <v>hotelscombined.com.tw</v>
      </c>
      <c r="C8938" t="s">
        <v>504</v>
      </c>
      <c r="D8938" t="s">
        <v>878</v>
      </c>
      <c r="E8938">
        <v>341017</v>
      </c>
      <c r="F8938">
        <v>9.4992792033706295E-8</v>
      </c>
      <c r="G8938">
        <v>426778</v>
      </c>
      <c r="H8938">
        <v>14348954</v>
      </c>
      <c r="I8938">
        <v>1310342</v>
      </c>
      <c r="J8938">
        <v>5</v>
      </c>
    </row>
    <row r="8939" spans="1:10" x14ac:dyDescent="0.25">
      <c r="A8939" t="s">
        <v>75</v>
      </c>
      <c r="B8939" s="1" t="str">
        <f>HYPERLINK("http://cheapflights.co.uk","cheapflights.co.uk")</f>
        <v>cheapflights.co.uk</v>
      </c>
      <c r="C8939" t="s">
        <v>506</v>
      </c>
      <c r="D8939" t="s">
        <v>880</v>
      </c>
      <c r="E8939">
        <v>70802</v>
      </c>
      <c r="F8939">
        <v>1.4860320945421E-7</v>
      </c>
      <c r="G8939">
        <v>261561</v>
      </c>
      <c r="H8939">
        <v>17312322</v>
      </c>
      <c r="I8939">
        <v>26575</v>
      </c>
      <c r="J8939">
        <v>7</v>
      </c>
    </row>
    <row r="8940" spans="1:10" x14ac:dyDescent="0.25">
      <c r="A8940" t="s">
        <v>75</v>
      </c>
      <c r="B8940" s="1" t="str">
        <f>HYPERLINK("http://hotelscombined.co.uk","hotelscombined.co.uk")</f>
        <v>hotelscombined.co.uk</v>
      </c>
      <c r="C8940" t="s">
        <v>506</v>
      </c>
      <c r="D8940" t="s">
        <v>880</v>
      </c>
      <c r="E8940">
        <v>473426</v>
      </c>
      <c r="F8940">
        <v>1.00412655842967E-7</v>
      </c>
      <c r="G8940">
        <v>400528</v>
      </c>
      <c r="H8940">
        <v>14404353</v>
      </c>
      <c r="I8940">
        <v>1150285</v>
      </c>
      <c r="J8940">
        <v>5</v>
      </c>
    </row>
    <row r="8941" spans="1:10" x14ac:dyDescent="0.25">
      <c r="A8941" t="s">
        <v>75</v>
      </c>
      <c r="B8941" s="1" t="str">
        <f>HYPERLINK("http://kayak.co.uk","kayak.co.uk")</f>
        <v>kayak.co.uk</v>
      </c>
      <c r="C8941" t="s">
        <v>506</v>
      </c>
      <c r="D8941" t="s">
        <v>880</v>
      </c>
      <c r="E8941">
        <v>36962</v>
      </c>
      <c r="F8941">
        <v>6.9057685894603905E-7</v>
      </c>
      <c r="G8941">
        <v>55932</v>
      </c>
      <c r="H8941">
        <v>17221972</v>
      </c>
      <c r="I8941">
        <v>38135</v>
      </c>
      <c r="J8941">
        <v>4</v>
      </c>
    </row>
    <row r="8942" spans="1:10" x14ac:dyDescent="0.25">
      <c r="A8942" t="s">
        <v>75</v>
      </c>
      <c r="B8942" s="1" t="str">
        <f>HYPERLINK("http://priceline.co.uk","priceline.co.uk")</f>
        <v>priceline.co.uk</v>
      </c>
      <c r="C8942" t="s">
        <v>506</v>
      </c>
      <c r="D8942" t="s">
        <v>880</v>
      </c>
      <c r="F8942">
        <v>8.9225001321312496E-9</v>
      </c>
      <c r="G8942">
        <v>8109753</v>
      </c>
      <c r="H8942">
        <v>13772327</v>
      </c>
      <c r="I8942">
        <v>6664381</v>
      </c>
      <c r="J8942">
        <v>6</v>
      </c>
    </row>
    <row r="8943" spans="1:10" x14ac:dyDescent="0.25">
      <c r="A8943" t="s">
        <v>75</v>
      </c>
      <c r="B8943" s="1" t="str">
        <f>HYPERLINK("http://kayak.com.uy","kayak.com.uy")</f>
        <v>kayak.com.uy</v>
      </c>
      <c r="C8943" t="s">
        <v>507</v>
      </c>
      <c r="D8943" t="s">
        <v>881</v>
      </c>
      <c r="E8943">
        <v>492779</v>
      </c>
      <c r="F8943">
        <v>1.4299207162972401E-8</v>
      </c>
      <c r="G8943">
        <v>4093553</v>
      </c>
      <c r="H8943">
        <v>12607899</v>
      </c>
      <c r="I8943">
        <v>16252678</v>
      </c>
      <c r="J8943">
        <v>5</v>
      </c>
    </row>
    <row r="8944" spans="1:10" x14ac:dyDescent="0.25">
      <c r="A8944" t="s">
        <v>75</v>
      </c>
      <c r="B8944" s="1" t="str">
        <f>HYPERLINK("http://kayak.co.ve","kayak.co.ve")</f>
        <v>kayak.co.ve</v>
      </c>
      <c r="C8944" t="s">
        <v>508</v>
      </c>
      <c r="D8944" t="s">
        <v>882</v>
      </c>
      <c r="F8944">
        <v>4.44383663458047E-9</v>
      </c>
      <c r="G8944">
        <v>78887085</v>
      </c>
      <c r="H8944">
        <v>10405199</v>
      </c>
      <c r="I8944">
        <v>54172755</v>
      </c>
      <c r="J8944">
        <v>6</v>
      </c>
    </row>
    <row r="8945" spans="1:10" x14ac:dyDescent="0.25">
      <c r="A8945" t="s">
        <v>75</v>
      </c>
      <c r="B8945" s="1" t="str">
        <f>HYPERLINK("http://hotelscombined.vn","hotelscombined.vn")</f>
        <v>hotelscombined.vn</v>
      </c>
      <c r="C8945" t="s">
        <v>509</v>
      </c>
      <c r="D8945" t="s">
        <v>883</v>
      </c>
      <c r="F8945">
        <v>4.7850130775116902E-8</v>
      </c>
      <c r="G8945">
        <v>972338</v>
      </c>
      <c r="H8945">
        <v>12380988</v>
      </c>
      <c r="I8945">
        <v>19189358</v>
      </c>
      <c r="J8945">
        <v>5</v>
      </c>
    </row>
    <row r="8946" spans="1:10" x14ac:dyDescent="0.25">
      <c r="A8946" t="s">
        <v>75</v>
      </c>
      <c r="B8946" s="1" t="str">
        <f>HYPERLINK("http://cheapflights.co.za","cheapflights.co.za")</f>
        <v>cheapflights.co.za</v>
      </c>
      <c r="C8946" t="s">
        <v>510</v>
      </c>
      <c r="D8946" t="s">
        <v>884</v>
      </c>
      <c r="E8946">
        <v>178157</v>
      </c>
      <c r="F8946">
        <v>1.48717798481103E-8</v>
      </c>
      <c r="G8946">
        <v>3882051</v>
      </c>
      <c r="H8946">
        <v>14157716</v>
      </c>
      <c r="I8946">
        <v>1847665</v>
      </c>
      <c r="J8946">
        <v>6</v>
      </c>
    </row>
    <row r="8947" spans="1:10" x14ac:dyDescent="0.25">
      <c r="A8947" t="s">
        <v>75</v>
      </c>
      <c r="B8947" s="1" t="str">
        <f>HYPERLINK("http://hotelscombined.co.za","hotelscombined.co.za")</f>
        <v>hotelscombined.co.za</v>
      </c>
      <c r="C8947" t="s">
        <v>510</v>
      </c>
      <c r="D8947" t="s">
        <v>884</v>
      </c>
      <c r="F8947">
        <v>4.9538290664624901E-8</v>
      </c>
      <c r="G8947">
        <v>933874</v>
      </c>
      <c r="H8947">
        <v>12348717</v>
      </c>
      <c r="I8947">
        <v>19785431</v>
      </c>
      <c r="J8947">
        <v>5</v>
      </c>
    </row>
    <row r="8948" spans="1:10" x14ac:dyDescent="0.25">
      <c r="A8948" t="s">
        <v>76</v>
      </c>
      <c r="B8948" s="1" t="str">
        <f>HYPERLINK("http://lumenis.com.au","lumenis.com.au")</f>
        <v>lumenis.com.au</v>
      </c>
      <c r="C8948" t="s">
        <v>420</v>
      </c>
      <c r="D8948" t="s">
        <v>802</v>
      </c>
      <c r="F8948">
        <v>7.24053866106368E-9</v>
      </c>
      <c r="G8948">
        <v>11630068</v>
      </c>
      <c r="H8948">
        <v>12125971</v>
      </c>
      <c r="I8948">
        <v>25256718</v>
      </c>
      <c r="J8948">
        <v>4</v>
      </c>
    </row>
    <row r="8949" spans="1:10" x14ac:dyDescent="0.25">
      <c r="A8949" t="s">
        <v>76</v>
      </c>
      <c r="B8949" s="1" t="str">
        <f>HYPERLINK("http://bostonscientific.cn","bostonscientific.cn")</f>
        <v>bostonscientific.cn</v>
      </c>
      <c r="C8949" t="s">
        <v>431</v>
      </c>
      <c r="D8949" t="s">
        <v>812</v>
      </c>
      <c r="F8949">
        <v>3.15568821576744E-8</v>
      </c>
      <c r="G8949">
        <v>1635228</v>
      </c>
      <c r="H8949">
        <v>13293828</v>
      </c>
      <c r="I8949">
        <v>10858666</v>
      </c>
      <c r="J8949">
        <v>2</v>
      </c>
    </row>
    <row r="8950" spans="1:10" x14ac:dyDescent="0.25">
      <c r="A8950" t="s">
        <v>76</v>
      </c>
      <c r="B8950" s="1" t="str">
        <f>HYPERLINK("http://bossci.com","bossci.com")</f>
        <v>bossci.com</v>
      </c>
      <c r="C8950" t="s">
        <v>433</v>
      </c>
      <c r="E8950">
        <v>55771</v>
      </c>
      <c r="F8950">
        <v>7.8157834385350103E-9</v>
      </c>
      <c r="G8950">
        <v>10286139</v>
      </c>
      <c r="H8950">
        <v>12241856</v>
      </c>
      <c r="I8950">
        <v>22204097</v>
      </c>
      <c r="J8950">
        <v>2</v>
      </c>
    </row>
    <row r="8951" spans="1:10" x14ac:dyDescent="0.25">
      <c r="A8951" t="s">
        <v>76</v>
      </c>
      <c r="B8951" s="1" t="str">
        <f>HYPERLINK("http://bostonscientific.com","bostonscientific.com")</f>
        <v>bostonscientific.com</v>
      </c>
      <c r="C8951" t="s">
        <v>433</v>
      </c>
      <c r="E8951">
        <v>27348</v>
      </c>
      <c r="F8951">
        <v>1.6216426917489599E-6</v>
      </c>
      <c r="G8951">
        <v>24299</v>
      </c>
      <c r="H8951">
        <v>17485320</v>
      </c>
      <c r="I8951">
        <v>14350</v>
      </c>
      <c r="J8951">
        <v>1</v>
      </c>
    </row>
    <row r="8952" spans="1:10" x14ac:dyDescent="0.25">
      <c r="A8952" t="s">
        <v>76</v>
      </c>
      <c r="B8952" s="1" t="str">
        <f>HYPERLINK("http://bsci.com","bsci.com")</f>
        <v>bsci.com</v>
      </c>
      <c r="C8952" t="s">
        <v>433</v>
      </c>
      <c r="E8952">
        <v>89462</v>
      </c>
      <c r="F8952">
        <v>2.6872407077744801E-8</v>
      </c>
      <c r="G8952">
        <v>1914185</v>
      </c>
      <c r="H8952">
        <v>13217315</v>
      </c>
      <c r="I8952">
        <v>11353682</v>
      </c>
      <c r="J8952">
        <v>2</v>
      </c>
    </row>
    <row r="8953" spans="1:10" x14ac:dyDescent="0.25">
      <c r="A8953" t="s">
        <v>76</v>
      </c>
      <c r="B8953" s="1" t="str">
        <f>HYPERLINK("http://btgsp.com","btgsp.com")</f>
        <v>btgsp.com</v>
      </c>
      <c r="C8953" t="s">
        <v>433</v>
      </c>
      <c r="F8953">
        <v>1.44184151894186E-8</v>
      </c>
      <c r="G8953">
        <v>4050796</v>
      </c>
      <c r="H8953">
        <v>13301059</v>
      </c>
      <c r="I8953">
        <v>10820385</v>
      </c>
      <c r="J8953">
        <v>4</v>
      </c>
    </row>
    <row r="8954" spans="1:10" x14ac:dyDescent="0.25">
      <c r="A8954" t="s">
        <v>76</v>
      </c>
      <c r="B8954" s="1" t="str">
        <f>HYPERLINK("http://lumenis.com","lumenis.com")</f>
        <v>lumenis.com</v>
      </c>
      <c r="C8954" t="s">
        <v>433</v>
      </c>
      <c r="E8954">
        <v>189624</v>
      </c>
      <c r="F8954">
        <v>2.19856237384453E-7</v>
      </c>
      <c r="G8954">
        <v>171447</v>
      </c>
      <c r="H8954">
        <v>14597012</v>
      </c>
      <c r="I8954">
        <v>688981</v>
      </c>
      <c r="J8954">
        <v>3</v>
      </c>
    </row>
    <row r="8955" spans="1:10" x14ac:dyDescent="0.25">
      <c r="A8955" t="s">
        <v>76</v>
      </c>
      <c r="B8955" s="1" t="str">
        <f>HYPERLINK("http://symetis.com","symetis.com")</f>
        <v>symetis.com</v>
      </c>
      <c r="C8955" t="s">
        <v>433</v>
      </c>
      <c r="F8955">
        <v>7.7250710999816904E-9</v>
      </c>
      <c r="G8955">
        <v>10518628</v>
      </c>
      <c r="H8955">
        <v>12715058</v>
      </c>
      <c r="I8955">
        <v>15276183</v>
      </c>
      <c r="J8955">
        <v>3</v>
      </c>
    </row>
    <row r="8956" spans="1:10" x14ac:dyDescent="0.25">
      <c r="A8956" t="s">
        <v>76</v>
      </c>
      <c r="B8956" s="1" t="str">
        <f>HYPERLINK("http://bostonscientific.de","bostonscientific.de")</f>
        <v>bostonscientific.de</v>
      </c>
      <c r="C8956" t="s">
        <v>436</v>
      </c>
      <c r="D8956" t="s">
        <v>815</v>
      </c>
      <c r="F8956">
        <v>3.0409627028695699E-8</v>
      </c>
      <c r="G8956">
        <v>1693014</v>
      </c>
      <c r="H8956">
        <v>13148152</v>
      </c>
      <c r="I8956">
        <v>11835649</v>
      </c>
      <c r="J8956">
        <v>2</v>
      </c>
    </row>
    <row r="8957" spans="1:10" x14ac:dyDescent="0.25">
      <c r="A8957" t="s">
        <v>76</v>
      </c>
      <c r="B8957" s="1" t="str">
        <f>HYPERLINK("http://lumenis.de","lumenis.de")</f>
        <v>lumenis.de</v>
      </c>
      <c r="C8957" t="s">
        <v>436</v>
      </c>
      <c r="D8957" t="s">
        <v>815</v>
      </c>
      <c r="F8957">
        <v>1.69767574898512E-8</v>
      </c>
      <c r="G8957">
        <v>3288703</v>
      </c>
      <c r="H8957">
        <v>10791777</v>
      </c>
      <c r="I8957">
        <v>38431407</v>
      </c>
      <c r="J8957">
        <v>4</v>
      </c>
    </row>
    <row r="8958" spans="1:10" x14ac:dyDescent="0.25">
      <c r="A8958" t="s">
        <v>76</v>
      </c>
      <c r="B8958" s="1" t="str">
        <f>HYPERLINK("http://bostonscientific.es","bostonscientific.es")</f>
        <v>bostonscientific.es</v>
      </c>
      <c r="C8958" t="s">
        <v>443</v>
      </c>
      <c r="D8958" t="s">
        <v>822</v>
      </c>
      <c r="F8958">
        <v>6.3039243631067699E-9</v>
      </c>
      <c r="G8958">
        <v>15012845</v>
      </c>
      <c r="H8958">
        <v>12241810</v>
      </c>
      <c r="I8958">
        <v>22205363</v>
      </c>
      <c r="J8958">
        <v>2</v>
      </c>
    </row>
    <row r="8959" spans="1:10" x14ac:dyDescent="0.25">
      <c r="A8959" t="s">
        <v>76</v>
      </c>
      <c r="B8959" s="1" t="str">
        <f>HYPERLINK("http://bostonscientific.eu","bostonscientific.eu")</f>
        <v>bostonscientific.eu</v>
      </c>
      <c r="C8959" t="s">
        <v>444</v>
      </c>
      <c r="F8959">
        <v>2.4453668093081299E-8</v>
      </c>
      <c r="G8959">
        <v>2118863</v>
      </c>
      <c r="H8959">
        <v>13020632</v>
      </c>
      <c r="I8959">
        <v>12711091</v>
      </c>
      <c r="J8959">
        <v>2</v>
      </c>
    </row>
    <row r="8960" spans="1:10" x14ac:dyDescent="0.25">
      <c r="A8960" t="s">
        <v>76</v>
      </c>
      <c r="B8960" s="1" t="str">
        <f>HYPERLINK("http://syvaaivostimulaatio.fi","syvaaivostimulaatio.fi")</f>
        <v>syvaaivostimulaatio.fi</v>
      </c>
      <c r="C8960" t="s">
        <v>445</v>
      </c>
      <c r="D8960" t="s">
        <v>823</v>
      </c>
      <c r="J8960">
        <v>2</v>
      </c>
    </row>
    <row r="8961" spans="1:10" x14ac:dyDescent="0.25">
      <c r="A8961" t="s">
        <v>76</v>
      </c>
      <c r="B8961" s="1" t="str">
        <f>HYPERLINK("http://lumenis.fr","lumenis.fr")</f>
        <v>lumenis.fr</v>
      </c>
      <c r="C8961" t="s">
        <v>446</v>
      </c>
      <c r="D8961" t="s">
        <v>824</v>
      </c>
      <c r="F8961">
        <v>6.5372316225129598E-9</v>
      </c>
      <c r="G8961">
        <v>13924571</v>
      </c>
      <c r="H8961">
        <v>10778353</v>
      </c>
      <c r="I8961">
        <v>38980902</v>
      </c>
      <c r="J8961">
        <v>4</v>
      </c>
    </row>
    <row r="8962" spans="1:10" x14ac:dyDescent="0.25">
      <c r="A8962" t="s">
        <v>76</v>
      </c>
      <c r="B8962" s="1" t="str">
        <f>HYPERLINK("http://lumenis.it","lumenis.it")</f>
        <v>lumenis.it</v>
      </c>
      <c r="C8962" t="s">
        <v>459</v>
      </c>
      <c r="D8962" t="s">
        <v>835</v>
      </c>
      <c r="F8962">
        <v>1.1824437540284499E-8</v>
      </c>
      <c r="G8962">
        <v>5286584</v>
      </c>
      <c r="H8962">
        <v>12330325</v>
      </c>
      <c r="I8962">
        <v>20206870</v>
      </c>
      <c r="J8962">
        <v>4</v>
      </c>
    </row>
    <row r="8963" spans="1:10" x14ac:dyDescent="0.25">
      <c r="A8963" t="s">
        <v>76</v>
      </c>
      <c r="B8963" s="1" t="str">
        <f>HYPERLINK("http://bostonscientific.jp","bostonscientific.jp")</f>
        <v>bostonscientific.jp</v>
      </c>
      <c r="C8963" t="s">
        <v>461</v>
      </c>
      <c r="D8963" t="s">
        <v>837</v>
      </c>
      <c r="F8963">
        <v>1.33922128135952E-8</v>
      </c>
      <c r="G8963">
        <v>4451193</v>
      </c>
      <c r="H8963">
        <v>12955951</v>
      </c>
      <c r="I8963">
        <v>13185279</v>
      </c>
      <c r="J8963">
        <v>2</v>
      </c>
    </row>
    <row r="8964" spans="1:10" x14ac:dyDescent="0.25">
      <c r="A8964" t="s">
        <v>76</v>
      </c>
      <c r="B8964" s="1" t="str">
        <f>HYPERLINK("http://lumenis.co.jp","lumenis.co.jp")</f>
        <v>lumenis.co.jp</v>
      </c>
      <c r="C8964" t="s">
        <v>461</v>
      </c>
      <c r="D8964" t="s">
        <v>837</v>
      </c>
      <c r="F8964">
        <v>2.1239812035390601E-8</v>
      </c>
      <c r="G8964">
        <v>2481974</v>
      </c>
      <c r="H8964">
        <v>13285044</v>
      </c>
      <c r="I8964">
        <v>10895157</v>
      </c>
      <c r="J8964">
        <v>4</v>
      </c>
    </row>
    <row r="8965" spans="1:10" x14ac:dyDescent="0.25">
      <c r="A8965" t="s">
        <v>76</v>
      </c>
      <c r="B8965" s="1" t="str">
        <f>HYPERLINK("http://lumenis.co.uk","lumenis.co.uk")</f>
        <v>lumenis.co.uk</v>
      </c>
      <c r="C8965" t="s">
        <v>506</v>
      </c>
      <c r="D8965" t="s">
        <v>880</v>
      </c>
      <c r="F8965">
        <v>1.16768203952452E-8</v>
      </c>
      <c r="G8965">
        <v>5381217</v>
      </c>
      <c r="H8965">
        <v>13348362</v>
      </c>
      <c r="I8965">
        <v>10635319</v>
      </c>
      <c r="J8965">
        <v>4</v>
      </c>
    </row>
    <row r="8966" spans="1:10" x14ac:dyDescent="0.25">
      <c r="A8966" t="s">
        <v>77</v>
      </c>
      <c r="B8966" s="1" t="str">
        <f>HYPERLINK("http://celgene.at","celgene.at")</f>
        <v>celgene.at</v>
      </c>
      <c r="C8966" t="s">
        <v>419</v>
      </c>
      <c r="D8966" t="s">
        <v>801</v>
      </c>
      <c r="F8966">
        <v>1.69135469445935E-8</v>
      </c>
      <c r="G8966">
        <v>3303857</v>
      </c>
      <c r="H8966">
        <v>12141655</v>
      </c>
      <c r="I8966">
        <v>24843288</v>
      </c>
      <c r="J8966">
        <v>4</v>
      </c>
    </row>
    <row r="8967" spans="1:10" x14ac:dyDescent="0.25">
      <c r="A8967" t="s">
        <v>77</v>
      </c>
      <c r="B8967" s="1" t="str">
        <f>HYPERLINK("http://bmsa.com.au","bmsa.com.au")</f>
        <v>bmsa.com.au</v>
      </c>
      <c r="C8967" t="s">
        <v>420</v>
      </c>
      <c r="D8967" t="s">
        <v>802</v>
      </c>
      <c r="F8967">
        <v>7.6944551999051592E-9</v>
      </c>
      <c r="G8967">
        <v>10594821</v>
      </c>
      <c r="H8967">
        <v>13206564</v>
      </c>
      <c r="I8967">
        <v>11526174</v>
      </c>
      <c r="J8967">
        <v>3</v>
      </c>
    </row>
    <row r="8968" spans="1:10" x14ac:dyDescent="0.25">
      <c r="A8968" t="s">
        <v>77</v>
      </c>
      <c r="B8968" s="1" t="str">
        <f>HYPERLINK("http://celgene.com.au","celgene.com.au")</f>
        <v>celgene.com.au</v>
      </c>
      <c r="C8968" t="s">
        <v>420</v>
      </c>
      <c r="D8968" t="s">
        <v>802</v>
      </c>
      <c r="F8968">
        <v>1.7018439712871099E-8</v>
      </c>
      <c r="G8968">
        <v>3278994</v>
      </c>
      <c r="H8968">
        <v>12636694</v>
      </c>
      <c r="I8968">
        <v>15900783</v>
      </c>
      <c r="J8968">
        <v>3</v>
      </c>
    </row>
    <row r="8969" spans="1:10" x14ac:dyDescent="0.25">
      <c r="A8969" t="s">
        <v>77</v>
      </c>
      <c r="B8969" s="1" t="str">
        <f>HYPERLINK("http://crohnsstudies.com.au","crohnsstudies.com.au")</f>
        <v>crohnsstudies.com.au</v>
      </c>
      <c r="C8969" t="s">
        <v>420</v>
      </c>
      <c r="D8969" t="s">
        <v>802</v>
      </c>
      <c r="J8969">
        <v>4</v>
      </c>
    </row>
    <row r="8970" spans="1:10" x14ac:dyDescent="0.25">
      <c r="A8970" t="s">
        <v>77</v>
      </c>
      <c r="B8970" s="1" t="str">
        <f>HYPERLINK("http://bms.be","bms.be")</f>
        <v>bms.be</v>
      </c>
      <c r="C8970" t="s">
        <v>421</v>
      </c>
      <c r="D8970" t="s">
        <v>803</v>
      </c>
      <c r="F8970">
        <v>9.5208547509623607E-9</v>
      </c>
      <c r="G8970">
        <v>7297728</v>
      </c>
      <c r="H8970">
        <v>12324945</v>
      </c>
      <c r="I8970">
        <v>20325151</v>
      </c>
      <c r="J8970">
        <v>3</v>
      </c>
    </row>
    <row r="8971" spans="1:10" x14ac:dyDescent="0.25">
      <c r="A8971" t="s">
        <v>77</v>
      </c>
      <c r="B8971" s="1" t="str">
        <f>HYPERLINK("http://celgene.be","celgene.be")</f>
        <v>celgene.be</v>
      </c>
      <c r="C8971" t="s">
        <v>421</v>
      </c>
      <c r="D8971" t="s">
        <v>803</v>
      </c>
      <c r="F8971">
        <v>1.5606749987342798E-8</v>
      </c>
      <c r="G8971">
        <v>3653250</v>
      </c>
      <c r="H8971">
        <v>10910354</v>
      </c>
      <c r="I8971">
        <v>35621098</v>
      </c>
      <c r="J8971">
        <v>4</v>
      </c>
    </row>
    <row r="8972" spans="1:10" x14ac:dyDescent="0.25">
      <c r="A8972" t="s">
        <v>77</v>
      </c>
      <c r="B8972" s="1" t="str">
        <f>HYPERLINK("http://bristol.com.br","bristol.com.br")</f>
        <v>bristol.com.br</v>
      </c>
      <c r="C8972" t="s">
        <v>425</v>
      </c>
      <c r="D8972" t="s">
        <v>806</v>
      </c>
      <c r="F8972">
        <v>8.1711840069314492E-9</v>
      </c>
      <c r="G8972">
        <v>9619974</v>
      </c>
      <c r="H8972">
        <v>13763641</v>
      </c>
      <c r="I8972">
        <v>7926278</v>
      </c>
      <c r="J8972">
        <v>5</v>
      </c>
    </row>
    <row r="8973" spans="1:10" x14ac:dyDescent="0.25">
      <c r="A8973" t="s">
        <v>77</v>
      </c>
      <c r="B8973" s="1" t="str">
        <f>HYPERLINK("http://celgene.com.br","celgene.com.br")</f>
        <v>celgene.com.br</v>
      </c>
      <c r="C8973" t="s">
        <v>425</v>
      </c>
      <c r="D8973" t="s">
        <v>806</v>
      </c>
      <c r="F8973">
        <v>1.5429186463219199E-8</v>
      </c>
      <c r="G8973">
        <v>3705406</v>
      </c>
      <c r="H8973">
        <v>10985225</v>
      </c>
      <c r="I8973">
        <v>33835293</v>
      </c>
      <c r="J8973">
        <v>3</v>
      </c>
    </row>
    <row r="8974" spans="1:10" x14ac:dyDescent="0.25">
      <c r="A8974" t="s">
        <v>77</v>
      </c>
      <c r="B8974" s="1" t="str">
        <f>HYPERLINK("http://bmscanada.ca","bmscanada.ca")</f>
        <v>bmscanada.ca</v>
      </c>
      <c r="C8974" t="s">
        <v>428</v>
      </c>
      <c r="D8974" t="s">
        <v>809</v>
      </c>
      <c r="F8974">
        <v>2.1447709245552E-8</v>
      </c>
      <c r="G8974">
        <v>2455506</v>
      </c>
      <c r="H8974">
        <v>14099307</v>
      </c>
      <c r="I8974">
        <v>2711866</v>
      </c>
      <c r="J8974">
        <v>3</v>
      </c>
    </row>
    <row r="8975" spans="1:10" x14ac:dyDescent="0.25">
      <c r="A8975" t="s">
        <v>77</v>
      </c>
      <c r="B8975" s="1" t="str">
        <f>HYPERLINK("http://celgene.ca","celgene.ca")</f>
        <v>celgene.ca</v>
      </c>
      <c r="C8975" t="s">
        <v>428</v>
      </c>
      <c r="D8975" t="s">
        <v>809</v>
      </c>
      <c r="F8975">
        <v>2.5323235121434399E-8</v>
      </c>
      <c r="G8975">
        <v>2037614</v>
      </c>
      <c r="H8975">
        <v>13306170</v>
      </c>
      <c r="I8975">
        <v>10797562</v>
      </c>
      <c r="J8975">
        <v>4</v>
      </c>
    </row>
    <row r="8976" spans="1:10" x14ac:dyDescent="0.25">
      <c r="A8976" t="s">
        <v>77</v>
      </c>
      <c r="B8976" s="1" t="str">
        <f>HYPERLINK("http://crohnsstudies.ca","crohnsstudies.ca")</f>
        <v>crohnsstudies.ca</v>
      </c>
      <c r="C8976" t="s">
        <v>428</v>
      </c>
      <c r="D8976" t="s">
        <v>809</v>
      </c>
      <c r="F8976">
        <v>4.44380395335525E-9</v>
      </c>
      <c r="G8976">
        <v>80104782</v>
      </c>
      <c r="H8976">
        <v>0</v>
      </c>
      <c r="I8976">
        <v>80138294</v>
      </c>
      <c r="J8976">
        <v>4</v>
      </c>
    </row>
    <row r="8977" spans="1:10" x14ac:dyDescent="0.25">
      <c r="A8977" t="s">
        <v>77</v>
      </c>
      <c r="B8977" s="1" t="str">
        <f>HYPERLINK("http://bms.ch","bms.ch")</f>
        <v>bms.ch</v>
      </c>
      <c r="C8977" t="s">
        <v>429</v>
      </c>
      <c r="D8977" t="s">
        <v>810</v>
      </c>
      <c r="F8977">
        <v>1.1475703969690899E-8</v>
      </c>
      <c r="G8977">
        <v>5521783</v>
      </c>
      <c r="H8977">
        <v>12940090</v>
      </c>
      <c r="I8977">
        <v>13289819</v>
      </c>
      <c r="J8977">
        <v>4</v>
      </c>
    </row>
    <row r="8978" spans="1:10" x14ac:dyDescent="0.25">
      <c r="A8978" t="s">
        <v>77</v>
      </c>
      <c r="B8978" s="1" t="str">
        <f>HYPERLINK("http://celgene.ch","celgene.ch")</f>
        <v>celgene.ch</v>
      </c>
      <c r="C8978" t="s">
        <v>429</v>
      </c>
      <c r="D8978" t="s">
        <v>810</v>
      </c>
      <c r="F8978">
        <v>2.08429808317175E-8</v>
      </c>
      <c r="G8978">
        <v>2537011</v>
      </c>
      <c r="H8978">
        <v>12407488</v>
      </c>
      <c r="I8978">
        <v>18648379</v>
      </c>
      <c r="J8978">
        <v>4</v>
      </c>
    </row>
    <row r="8979" spans="1:10" x14ac:dyDescent="0.25">
      <c r="A8979" t="s">
        <v>77</v>
      </c>
      <c r="B8979" s="1" t="str">
        <f>HYPERLINK("http://bms.com.cn","bms.com.cn")</f>
        <v>bms.com.cn</v>
      </c>
      <c r="C8979" t="s">
        <v>431</v>
      </c>
      <c r="D8979" t="s">
        <v>812</v>
      </c>
      <c r="F8979">
        <v>1.6993145767554901E-8</v>
      </c>
      <c r="G8979">
        <v>3284874</v>
      </c>
      <c r="H8979">
        <v>14072070</v>
      </c>
      <c r="I8979">
        <v>3173675</v>
      </c>
      <c r="J8979">
        <v>2</v>
      </c>
    </row>
    <row r="8980" spans="1:10" x14ac:dyDescent="0.25">
      <c r="A8980" t="s">
        <v>77</v>
      </c>
      <c r="B8980" s="1" t="str">
        <f>HYPERLINK("http://abecma.com","abecma.com")</f>
        <v>abecma.com</v>
      </c>
      <c r="C8980" t="s">
        <v>433</v>
      </c>
      <c r="F8980">
        <v>2.3354745516029499E-8</v>
      </c>
      <c r="G8980">
        <v>2233206</v>
      </c>
      <c r="H8980">
        <v>13590844</v>
      </c>
      <c r="I8980">
        <v>9667071</v>
      </c>
      <c r="J8980">
        <v>4</v>
      </c>
    </row>
    <row r="8981" spans="1:10" x14ac:dyDescent="0.25">
      <c r="A8981" t="s">
        <v>77</v>
      </c>
      <c r="B8981" s="1" t="str">
        <f>HYPERLINK("http://abecmahcp.com","abecmahcp.com")</f>
        <v>abecmahcp.com</v>
      </c>
      <c r="C8981" t="s">
        <v>433</v>
      </c>
      <c r="F8981">
        <v>1.1985023224679299E-8</v>
      </c>
      <c r="G8981">
        <v>5185853</v>
      </c>
      <c r="H8981">
        <v>12090910</v>
      </c>
      <c r="I8981">
        <v>26223194</v>
      </c>
      <c r="J8981">
        <v>4</v>
      </c>
    </row>
    <row r="8982" spans="1:10" x14ac:dyDescent="0.25">
      <c r="A8982" t="s">
        <v>77</v>
      </c>
      <c r="B8982" s="1" t="str">
        <f>HYPERLINK("http://abecmarems.com","abecmarems.com")</f>
        <v>abecmarems.com</v>
      </c>
      <c r="C8982" t="s">
        <v>433</v>
      </c>
      <c r="F8982">
        <v>2.65702306029872E-8</v>
      </c>
      <c r="G8982">
        <v>1937501</v>
      </c>
      <c r="H8982">
        <v>13195457</v>
      </c>
      <c r="I8982">
        <v>11578522</v>
      </c>
      <c r="J8982">
        <v>4</v>
      </c>
    </row>
    <row r="8983" spans="1:10" x14ac:dyDescent="0.25">
      <c r="A8983" t="s">
        <v>77</v>
      </c>
      <c r="B8983" s="1" t="str">
        <f>HYPERLINK("http://abvitro.com","abvitro.com")</f>
        <v>abvitro.com</v>
      </c>
      <c r="C8983" t="s">
        <v>433</v>
      </c>
      <c r="F8983">
        <v>1.0122913616256699E-8</v>
      </c>
      <c r="G8983">
        <v>6624009</v>
      </c>
      <c r="H8983">
        <v>13377855</v>
      </c>
      <c r="I8983">
        <v>10437243</v>
      </c>
      <c r="J8983">
        <v>6</v>
      </c>
    </row>
    <row r="8984" spans="1:10" x14ac:dyDescent="0.25">
      <c r="A8984" t="s">
        <v>77</v>
      </c>
      <c r="B8984" s="1" t="str">
        <f>HYPERLINK("http://acetylon.com","acetylon.com")</f>
        <v>acetylon.com</v>
      </c>
      <c r="C8984" t="s">
        <v>433</v>
      </c>
      <c r="F8984">
        <v>1.6681506942669698E-8</v>
      </c>
      <c r="G8984">
        <v>3363432</v>
      </c>
      <c r="H8984">
        <v>13833190</v>
      </c>
      <c r="I8984">
        <v>6099598</v>
      </c>
      <c r="J8984">
        <v>3</v>
      </c>
    </row>
    <row r="8985" spans="1:10" x14ac:dyDescent="0.25">
      <c r="A8985" t="s">
        <v>77</v>
      </c>
      <c r="B8985" s="1" t="str">
        <f>HYPERLINK("http://adnexustx.com","adnexustx.com")</f>
        <v>adnexustx.com</v>
      </c>
      <c r="C8985" t="s">
        <v>433</v>
      </c>
      <c r="F8985">
        <v>9.2678621789936902E-9</v>
      </c>
      <c r="G8985">
        <v>7614623</v>
      </c>
      <c r="H8985">
        <v>13271645</v>
      </c>
      <c r="I8985">
        <v>10952551</v>
      </c>
      <c r="J8985">
        <v>4</v>
      </c>
    </row>
    <row r="8986" spans="1:10" x14ac:dyDescent="0.25">
      <c r="A8986" t="s">
        <v>77</v>
      </c>
      <c r="B8986" s="1" t="str">
        <f>HYPERLINK("http://bms.com","bms.com")</f>
        <v>bms.com</v>
      </c>
      <c r="C8986" t="s">
        <v>433</v>
      </c>
      <c r="E8986">
        <v>5092</v>
      </c>
      <c r="F8986">
        <v>3.4152073507987801E-6</v>
      </c>
      <c r="G8986">
        <v>11848</v>
      </c>
      <c r="H8986">
        <v>17597290</v>
      </c>
      <c r="I8986">
        <v>9744</v>
      </c>
      <c r="J8986">
        <v>1</v>
      </c>
    </row>
    <row r="8987" spans="1:10" x14ac:dyDescent="0.25">
      <c r="A8987" t="s">
        <v>77</v>
      </c>
      <c r="B8987" s="1" t="str">
        <f>HYPERLINK("http://bmscartmanagedcare.com","bmscartmanagedcare.com")</f>
        <v>bmscartmanagedcare.com</v>
      </c>
      <c r="C8987" t="s">
        <v>433</v>
      </c>
      <c r="J8987">
        <v>4</v>
      </c>
    </row>
    <row r="8988" spans="1:10" x14ac:dyDescent="0.25">
      <c r="A8988" t="s">
        <v>77</v>
      </c>
      <c r="B8988" s="1" t="str">
        <f>HYPERLINK("http://bmsctorchestra360.com","bmsctorchestra360.com")</f>
        <v>bmsctorchestra360.com</v>
      </c>
      <c r="C8988" t="s">
        <v>433</v>
      </c>
      <c r="J8988">
        <v>4</v>
      </c>
    </row>
    <row r="8989" spans="1:10" x14ac:dyDescent="0.25">
      <c r="A8989" t="s">
        <v>77</v>
      </c>
      <c r="B8989" s="1" t="str">
        <f>HYPERLINK("http://breyanzi.com","breyanzi.com")</f>
        <v>breyanzi.com</v>
      </c>
      <c r="C8989" t="s">
        <v>433</v>
      </c>
      <c r="F8989">
        <v>2.4207207534051599E-8</v>
      </c>
      <c r="G8989">
        <v>2142883</v>
      </c>
      <c r="H8989">
        <v>13079522</v>
      </c>
      <c r="I8989">
        <v>12192382</v>
      </c>
      <c r="J8989">
        <v>4</v>
      </c>
    </row>
    <row r="8990" spans="1:10" x14ac:dyDescent="0.25">
      <c r="A8990" t="s">
        <v>77</v>
      </c>
      <c r="B8990" s="1" t="str">
        <f>HYPERLINK("http://breyanzihcp.com","breyanzihcp.com")</f>
        <v>breyanzihcp.com</v>
      </c>
      <c r="C8990" t="s">
        <v>433</v>
      </c>
      <c r="F8990">
        <v>1.10168016656887E-8</v>
      </c>
      <c r="G8990">
        <v>5847083</v>
      </c>
      <c r="H8990">
        <v>12290164</v>
      </c>
      <c r="I8990">
        <v>21106737</v>
      </c>
      <c r="J8990">
        <v>4</v>
      </c>
    </row>
    <row r="8991" spans="1:10" x14ac:dyDescent="0.25">
      <c r="A8991" t="s">
        <v>77</v>
      </c>
      <c r="B8991" s="1" t="str">
        <f>HYPERLINK("http://breyanzirems.com","breyanzirems.com")</f>
        <v>breyanzirems.com</v>
      </c>
      <c r="C8991" t="s">
        <v>433</v>
      </c>
      <c r="F8991">
        <v>1.6074948328185099E-8</v>
      </c>
      <c r="G8991">
        <v>3526965</v>
      </c>
      <c r="H8991">
        <v>12968966</v>
      </c>
      <c r="I8991">
        <v>13058663</v>
      </c>
      <c r="J8991">
        <v>4</v>
      </c>
    </row>
    <row r="8992" spans="1:10" x14ac:dyDescent="0.25">
      <c r="A8992" t="s">
        <v>77</v>
      </c>
      <c r="B8992" s="1" t="str">
        <f>HYPERLINK("http://cartcellscience.com","cartcellscience.com")</f>
        <v>cartcellscience.com</v>
      </c>
      <c r="C8992" t="s">
        <v>433</v>
      </c>
      <c r="F8992">
        <v>5.7218063704920301E-9</v>
      </c>
      <c r="G8992">
        <v>18733898</v>
      </c>
      <c r="H8992">
        <v>13933062</v>
      </c>
      <c r="I8992">
        <v>5135182</v>
      </c>
      <c r="J8992">
        <v>4</v>
      </c>
    </row>
    <row r="8993" spans="1:10" x14ac:dyDescent="0.25">
      <c r="A8993" t="s">
        <v>77</v>
      </c>
      <c r="B8993" s="1" t="str">
        <f>HYPERLINK("http://celgene.com","celgene.com")</f>
        <v>celgene.com</v>
      </c>
      <c r="C8993" t="s">
        <v>433</v>
      </c>
      <c r="E8993">
        <v>141059</v>
      </c>
      <c r="F8993">
        <v>4.2191801803648501E-7</v>
      </c>
      <c r="G8993">
        <v>89273</v>
      </c>
      <c r="H8993">
        <v>14850890</v>
      </c>
      <c r="I8993">
        <v>490425</v>
      </c>
      <c r="J8993">
        <v>3</v>
      </c>
    </row>
    <row r="8994" spans="1:10" x14ac:dyDescent="0.25">
      <c r="A8994" t="s">
        <v>77</v>
      </c>
      <c r="B8994" s="1" t="str">
        <f>HYPERLINK("http://celgeneelectronicpl.com","celgeneelectronicpl.com")</f>
        <v>celgeneelectronicpl.com</v>
      </c>
      <c r="C8994" t="s">
        <v>433</v>
      </c>
      <c r="J8994">
        <v>4</v>
      </c>
    </row>
    <row r="8995" spans="1:10" x14ac:dyDescent="0.25">
      <c r="A8995" t="s">
        <v>77</v>
      </c>
      <c r="B8995" s="1" t="str">
        <f>HYPERLINK("http://celgenevalwp.com","celgenevalwp.com")</f>
        <v>celgenevalwp.com</v>
      </c>
      <c r="C8995" t="s">
        <v>433</v>
      </c>
      <c r="F8995">
        <v>5.9262131508380098E-9</v>
      </c>
      <c r="G8995">
        <v>17177443</v>
      </c>
      <c r="H8995">
        <v>9761360</v>
      </c>
      <c r="I8995">
        <v>62901856</v>
      </c>
      <c r="J8995">
        <v>4</v>
      </c>
    </row>
    <row r="8996" spans="1:10" x14ac:dyDescent="0.25">
      <c r="A8996" t="s">
        <v>77</v>
      </c>
      <c r="B8996" s="1" t="str">
        <f>HYPERLINK("http://celltherapy360.com","celltherapy360.com")</f>
        <v>celltherapy360.com</v>
      </c>
      <c r="C8996" t="s">
        <v>433</v>
      </c>
      <c r="F8996">
        <v>1.3593772426074E-8</v>
      </c>
      <c r="G8996">
        <v>4364373</v>
      </c>
      <c r="H8996">
        <v>11148652</v>
      </c>
      <c r="I8996">
        <v>31753511</v>
      </c>
      <c r="J8996">
        <v>4</v>
      </c>
    </row>
    <row r="8997" spans="1:10" x14ac:dyDescent="0.25">
      <c r="A8997" t="s">
        <v>77</v>
      </c>
      <c r="B8997" s="1" t="str">
        <f>HYPERLINK("http://crohnsstudies.com","crohnsstudies.com")</f>
        <v>crohnsstudies.com</v>
      </c>
      <c r="C8997" t="s">
        <v>433</v>
      </c>
      <c r="F8997">
        <v>6.1321087088563902E-9</v>
      </c>
      <c r="G8997">
        <v>15914074</v>
      </c>
      <c r="H8997">
        <v>11360875</v>
      </c>
      <c r="I8997">
        <v>30355700</v>
      </c>
      <c r="J8997">
        <v>4</v>
      </c>
    </row>
    <row r="8998" spans="1:10" x14ac:dyDescent="0.25">
      <c r="A8998" t="s">
        <v>77</v>
      </c>
      <c r="B8998" s="1" t="str">
        <f>HYPERLINK("http://deliniabio.com","deliniabio.com")</f>
        <v>deliniabio.com</v>
      </c>
      <c r="C8998" t="s">
        <v>433</v>
      </c>
      <c r="F8998">
        <v>7.0923969597602497E-9</v>
      </c>
      <c r="G8998">
        <v>12035925</v>
      </c>
      <c r="H8998">
        <v>13251324</v>
      </c>
      <c r="I8998">
        <v>11077476</v>
      </c>
      <c r="J8998">
        <v>3</v>
      </c>
    </row>
    <row r="8999" spans="1:10" x14ac:dyDescent="0.25">
      <c r="A8999" t="s">
        <v>77</v>
      </c>
      <c r="B8999" s="1" t="str">
        <f>HYPERLINK("http://explorecarttherapy.com","explorecarttherapy.com")</f>
        <v>explorecarttherapy.com</v>
      </c>
      <c r="C8999" t="s">
        <v>433</v>
      </c>
      <c r="F8999">
        <v>5.3241454304699997E-9</v>
      </c>
      <c r="G8999">
        <v>23147189</v>
      </c>
      <c r="H8999">
        <v>11234547</v>
      </c>
      <c r="I8999">
        <v>30998722</v>
      </c>
      <c r="J8999">
        <v>4</v>
      </c>
    </row>
    <row r="9000" spans="1:10" x14ac:dyDescent="0.25">
      <c r="A9000" t="s">
        <v>77</v>
      </c>
      <c r="B9000" s="1" t="str">
        <f>HYPERLINK("http://greyandwhitems.com","greyandwhitems.com")</f>
        <v>greyandwhitems.com</v>
      </c>
      <c r="C9000" t="s">
        <v>433</v>
      </c>
      <c r="F9000">
        <v>4.44380395335525E-9</v>
      </c>
      <c r="G9000">
        <v>81832145</v>
      </c>
      <c r="H9000">
        <v>0</v>
      </c>
      <c r="I9000">
        <v>82300348</v>
      </c>
      <c r="J9000">
        <v>4</v>
      </c>
    </row>
    <row r="9001" spans="1:10" x14ac:dyDescent="0.25">
      <c r="A9001" t="s">
        <v>77</v>
      </c>
      <c r="B9001" s="1" t="str">
        <f>HYPERLINK("http://ifmthera.com","ifmthera.com")</f>
        <v>ifmthera.com</v>
      </c>
      <c r="C9001" t="s">
        <v>433</v>
      </c>
      <c r="F9001">
        <v>1.10435062472818E-8</v>
      </c>
      <c r="G9001">
        <v>5827172</v>
      </c>
      <c r="H9001">
        <v>13944039</v>
      </c>
      <c r="I9001">
        <v>4306374</v>
      </c>
      <c r="J9001">
        <v>3</v>
      </c>
    </row>
    <row r="9002" spans="1:10" x14ac:dyDescent="0.25">
      <c r="A9002" t="s">
        <v>77</v>
      </c>
      <c r="B9002" s="1" t="str">
        <f>HYPERLINK("http://imnovid-eu-pil.com","imnovid-eu-pil.com")</f>
        <v>imnovid-eu-pil.com</v>
      </c>
      <c r="C9002" t="s">
        <v>433</v>
      </c>
      <c r="F9002">
        <v>8.6839212501966696E-9</v>
      </c>
      <c r="G9002">
        <v>8505222</v>
      </c>
      <c r="H9002">
        <v>12156564</v>
      </c>
      <c r="I9002">
        <v>24453988</v>
      </c>
      <c r="J9002">
        <v>4</v>
      </c>
    </row>
    <row r="9003" spans="1:10" x14ac:dyDescent="0.25">
      <c r="A9003" t="s">
        <v>77</v>
      </c>
      <c r="B9003" s="1" t="str">
        <f>HYPERLINK("http://impactbiomedicines.com","impactbiomedicines.com")</f>
        <v>impactbiomedicines.com</v>
      </c>
      <c r="C9003" t="s">
        <v>433</v>
      </c>
      <c r="F9003">
        <v>1.21605277793954E-8</v>
      </c>
      <c r="G9003">
        <v>5073471</v>
      </c>
      <c r="H9003">
        <v>13317202</v>
      </c>
      <c r="I9003">
        <v>10755421</v>
      </c>
      <c r="J9003">
        <v>3</v>
      </c>
    </row>
    <row r="9004" spans="1:10" x14ac:dyDescent="0.25">
      <c r="A9004" t="s">
        <v>77</v>
      </c>
      <c r="B9004" s="1" t="str">
        <f>HYPERLINK("http://inrebic-eu-pil.com","inrebic-eu-pil.com")</f>
        <v>inrebic-eu-pil.com</v>
      </c>
      <c r="C9004" t="s">
        <v>433</v>
      </c>
      <c r="J9004">
        <v>4</v>
      </c>
    </row>
    <row r="9005" spans="1:10" x14ac:dyDescent="0.25">
      <c r="A9005" t="s">
        <v>77</v>
      </c>
      <c r="B9005" s="1" t="str">
        <f>HYPERLINK("http://ipierian.com","ipierian.com")</f>
        <v>ipierian.com</v>
      </c>
      <c r="C9005" t="s">
        <v>433</v>
      </c>
      <c r="F9005">
        <v>8.8379937658552093E-9</v>
      </c>
      <c r="G9005">
        <v>8243521</v>
      </c>
      <c r="H9005">
        <v>13824153</v>
      </c>
      <c r="I9005">
        <v>6130269</v>
      </c>
      <c r="J9005">
        <v>3</v>
      </c>
    </row>
    <row r="9006" spans="1:10" x14ac:dyDescent="0.25">
      <c r="A9006" t="s">
        <v>77</v>
      </c>
      <c r="B9006" s="1" t="str">
        <f>HYPERLINK("http://junotherapeutics.com","junotherapeutics.com")</f>
        <v>junotherapeutics.com</v>
      </c>
      <c r="C9006" t="s">
        <v>433</v>
      </c>
      <c r="F9006">
        <v>7.4704775824670706E-8</v>
      </c>
      <c r="G9006">
        <v>563176</v>
      </c>
      <c r="H9006">
        <v>14676678</v>
      </c>
      <c r="I9006">
        <v>610686</v>
      </c>
      <c r="J9006">
        <v>3</v>
      </c>
    </row>
    <row r="9007" spans="1:10" x14ac:dyDescent="0.25">
      <c r="A9007" t="s">
        <v>77</v>
      </c>
      <c r="B9007" s="1" t="str">
        <f>HYPERLINK("http://lenalidomiderems.com","lenalidomiderems.com")</f>
        <v>lenalidomiderems.com</v>
      </c>
      <c r="C9007" t="s">
        <v>433</v>
      </c>
      <c r="F9007">
        <v>1.6484322754378102E-8</v>
      </c>
      <c r="G9007">
        <v>3417455</v>
      </c>
      <c r="H9007">
        <v>12761409</v>
      </c>
      <c r="I9007">
        <v>14943641</v>
      </c>
      <c r="J9007">
        <v>4</v>
      </c>
    </row>
    <row r="9008" spans="1:10" x14ac:dyDescent="0.25">
      <c r="A9008" t="s">
        <v>77</v>
      </c>
      <c r="B9008" s="1" t="str">
        <f>HYPERLINK("http://ms-workspace.com","ms-workspace.com")</f>
        <v>ms-workspace.com</v>
      </c>
      <c r="C9008" t="s">
        <v>433</v>
      </c>
      <c r="F9008">
        <v>4.2916777442664102E-8</v>
      </c>
      <c r="G9008">
        <v>1122074</v>
      </c>
      <c r="H9008">
        <v>16755633</v>
      </c>
      <c r="I9008">
        <v>238911</v>
      </c>
      <c r="J9008">
        <v>4</v>
      </c>
    </row>
    <row r="9009" spans="1:10" x14ac:dyDescent="0.25">
      <c r="A9009" t="s">
        <v>77</v>
      </c>
      <c r="B9009" s="1" t="str">
        <f>HYPERLINK("http://msgreyandwhite.com","msgreyandwhite.com")</f>
        <v>msgreyandwhite.com</v>
      </c>
      <c r="C9009" t="s">
        <v>433</v>
      </c>
      <c r="F9009">
        <v>5.3829442884823998E-9</v>
      </c>
      <c r="G9009">
        <v>22381220</v>
      </c>
      <c r="H9009">
        <v>10347483</v>
      </c>
      <c r="I9009">
        <v>56662199</v>
      </c>
      <c r="J9009">
        <v>4</v>
      </c>
    </row>
    <row r="9010" spans="1:10" x14ac:dyDescent="0.25">
      <c r="A9010" t="s">
        <v>77</v>
      </c>
      <c r="B9010" s="1" t="str">
        <f>HYPERLINK("http://msinmind.com","msinmind.com")</f>
        <v>msinmind.com</v>
      </c>
      <c r="C9010" t="s">
        <v>433</v>
      </c>
      <c r="J9010">
        <v>4</v>
      </c>
    </row>
    <row r="9011" spans="1:10" x14ac:dyDescent="0.25">
      <c r="A9011" t="s">
        <v>77</v>
      </c>
      <c r="B9011" s="1" t="str">
        <f>HYPERLINK("http://quanticel.com","quanticel.com")</f>
        <v>quanticel.com</v>
      </c>
      <c r="C9011" t="s">
        <v>433</v>
      </c>
      <c r="F9011">
        <v>5.4228400329911196E-9</v>
      </c>
      <c r="G9011">
        <v>21827740</v>
      </c>
      <c r="H9011">
        <v>13169250</v>
      </c>
      <c r="I9011">
        <v>11726728</v>
      </c>
      <c r="J9011">
        <v>5</v>
      </c>
    </row>
    <row r="9012" spans="1:10" x14ac:dyDescent="0.25">
      <c r="A9012" t="s">
        <v>77</v>
      </c>
      <c r="B9012" s="1" t="str">
        <f>HYPERLINK("http://receptos.com","receptos.com")</f>
        <v>receptos.com</v>
      </c>
      <c r="C9012" t="s">
        <v>433</v>
      </c>
      <c r="F9012">
        <v>2.4744982704705401E-8</v>
      </c>
      <c r="G9012">
        <v>2090341</v>
      </c>
      <c r="H9012">
        <v>13925900</v>
      </c>
      <c r="I9012">
        <v>5931469</v>
      </c>
      <c r="J9012">
        <v>3</v>
      </c>
    </row>
    <row r="9013" spans="1:10" x14ac:dyDescent="0.25">
      <c r="A9013" t="s">
        <v>77</v>
      </c>
      <c r="B9013" s="1" t="str">
        <f>HYPERLINK("http://signalpharm.com","signalpharm.com")</f>
        <v>signalpharm.com</v>
      </c>
      <c r="C9013" t="s">
        <v>433</v>
      </c>
      <c r="F9013">
        <v>4.4444937775663599E-9</v>
      </c>
      <c r="G9013">
        <v>76682767</v>
      </c>
      <c r="H9013">
        <v>10347747</v>
      </c>
      <c r="I9013">
        <v>56621051</v>
      </c>
      <c r="J9013">
        <v>3</v>
      </c>
    </row>
    <row r="9014" spans="1:10" x14ac:dyDescent="0.25">
      <c r="A9014" t="s">
        <v>77</v>
      </c>
      <c r="B9014" s="1" t="str">
        <f>HYPERLINK("http://stage-celltherapeutics.com","stage-celltherapeutics.com")</f>
        <v>stage-celltherapeutics.com</v>
      </c>
      <c r="C9014" t="s">
        <v>433</v>
      </c>
      <c r="F9014">
        <v>1.1500386341708699E-8</v>
      </c>
      <c r="G9014">
        <v>5505562</v>
      </c>
      <c r="H9014">
        <v>13718401</v>
      </c>
      <c r="I9014">
        <v>9482877</v>
      </c>
      <c r="J9014">
        <v>8</v>
      </c>
    </row>
    <row r="9015" spans="1:10" x14ac:dyDescent="0.25">
      <c r="A9015" t="s">
        <v>77</v>
      </c>
      <c r="B9015" s="1" t="str">
        <f>HYPERLINK("http://themissingucstep.com","themissingucstep.com")</f>
        <v>themissingucstep.com</v>
      </c>
      <c r="C9015" t="s">
        <v>433</v>
      </c>
      <c r="F9015">
        <v>4.44380395335525E-9</v>
      </c>
      <c r="G9015">
        <v>83699543</v>
      </c>
      <c r="H9015">
        <v>0</v>
      </c>
      <c r="I9015">
        <v>84580754</v>
      </c>
      <c r="J9015">
        <v>4</v>
      </c>
    </row>
    <row r="9016" spans="1:10" x14ac:dyDescent="0.25">
      <c r="A9016" t="s">
        <v>77</v>
      </c>
      <c r="B9016" s="1" t="str">
        <f>HYPERLINK("http://tptherapeutic.com","tptherapeutic.com")</f>
        <v>tptherapeutic.com</v>
      </c>
      <c r="C9016" t="s">
        <v>433</v>
      </c>
      <c r="J9016">
        <v>4</v>
      </c>
    </row>
    <row r="9017" spans="1:10" x14ac:dyDescent="0.25">
      <c r="A9017" t="s">
        <v>77</v>
      </c>
      <c r="B9017" s="1" t="str">
        <f>HYPERLINK("http://tptherapeutics.com","tptherapeutics.com")</f>
        <v>tptherapeutics.com</v>
      </c>
      <c r="C9017" t="s">
        <v>433</v>
      </c>
      <c r="F9017">
        <v>2.76178269615046E-8</v>
      </c>
      <c r="G9017">
        <v>1861640</v>
      </c>
      <c r="H9017">
        <v>13909015</v>
      </c>
      <c r="I9017">
        <v>5943240</v>
      </c>
      <c r="J9017">
        <v>3</v>
      </c>
    </row>
    <row r="9018" spans="1:10" x14ac:dyDescent="0.25">
      <c r="A9018" t="s">
        <v>77</v>
      </c>
      <c r="B9018" s="1" t="str">
        <f>HYPERLINK("http://ventirx.com","ventirx.com")</f>
        <v>ventirx.com</v>
      </c>
      <c r="C9018" t="s">
        <v>433</v>
      </c>
      <c r="F9018">
        <v>1.5235961914852201E-8</v>
      </c>
      <c r="G9018">
        <v>3764940</v>
      </c>
      <c r="H9018">
        <v>13439286</v>
      </c>
      <c r="I9018">
        <v>10262066</v>
      </c>
      <c r="J9018">
        <v>5</v>
      </c>
    </row>
    <row r="9019" spans="1:10" x14ac:dyDescent="0.25">
      <c r="A9019" t="s">
        <v>77</v>
      </c>
      <c r="B9019" s="1" t="str">
        <f>HYPERLINK("http://x-bodybiosciences.com","x-bodybiosciences.com")</f>
        <v>x-bodybiosciences.com</v>
      </c>
      <c r="C9019" t="s">
        <v>433</v>
      </c>
      <c r="F9019">
        <v>4.44756224136133E-9</v>
      </c>
      <c r="G9019">
        <v>73433216</v>
      </c>
      <c r="H9019">
        <v>8754590</v>
      </c>
      <c r="I9019">
        <v>69621221</v>
      </c>
      <c r="J9019">
        <v>8</v>
      </c>
    </row>
    <row r="9020" spans="1:10" x14ac:dyDescent="0.25">
      <c r="A9020" t="s">
        <v>77</v>
      </c>
      <c r="B9020" s="1" t="str">
        <f>HYPERLINK("http://zeposia-eu-pil.com","zeposia-eu-pil.com")</f>
        <v>zeposia-eu-pil.com</v>
      </c>
      <c r="C9020" t="s">
        <v>433</v>
      </c>
      <c r="F9020">
        <v>4.44380395335525E-9</v>
      </c>
      <c r="G9020">
        <v>84144363</v>
      </c>
      <c r="H9020">
        <v>0</v>
      </c>
      <c r="I9020">
        <v>85136623</v>
      </c>
      <c r="J9020">
        <v>4</v>
      </c>
    </row>
    <row r="9021" spans="1:10" x14ac:dyDescent="0.25">
      <c r="A9021" t="s">
        <v>77</v>
      </c>
      <c r="B9021" s="1" t="str">
        <f>HYPERLINK("http://zeposiahcp.com","zeposiahcp.com")</f>
        <v>zeposiahcp.com</v>
      </c>
      <c r="C9021" t="s">
        <v>433</v>
      </c>
      <c r="F9021">
        <v>1.35332370669318E-8</v>
      </c>
      <c r="G9021">
        <v>4389992</v>
      </c>
      <c r="H9021">
        <v>13148170</v>
      </c>
      <c r="I9021">
        <v>11835586</v>
      </c>
      <c r="J9021">
        <v>4</v>
      </c>
    </row>
    <row r="9022" spans="1:10" x14ac:dyDescent="0.25">
      <c r="A9022" t="s">
        <v>77</v>
      </c>
      <c r="B9022" s="1" t="str">
        <f>HYPERLINK("http://b-ms.cz","b-ms.cz")</f>
        <v>b-ms.cz</v>
      </c>
      <c r="C9022" t="s">
        <v>435</v>
      </c>
      <c r="D9022" t="s">
        <v>814</v>
      </c>
      <c r="F9022">
        <v>5.9976502786353802E-9</v>
      </c>
      <c r="G9022">
        <v>16698394</v>
      </c>
      <c r="H9022">
        <v>10885991</v>
      </c>
      <c r="I9022">
        <v>36211385</v>
      </c>
      <c r="J9022">
        <v>3</v>
      </c>
    </row>
    <row r="9023" spans="1:10" x14ac:dyDescent="0.25">
      <c r="A9023" t="s">
        <v>77</v>
      </c>
      <c r="B9023" s="1" t="str">
        <f>HYPERLINK("http://b-ms.de","b-ms.de")</f>
        <v>b-ms.de</v>
      </c>
      <c r="C9023" t="s">
        <v>436</v>
      </c>
      <c r="D9023" t="s">
        <v>815</v>
      </c>
      <c r="F9023">
        <v>4.0225582048661902E-8</v>
      </c>
      <c r="G9023">
        <v>1286095</v>
      </c>
      <c r="H9023">
        <v>14148871</v>
      </c>
      <c r="I9023">
        <v>1883749</v>
      </c>
      <c r="J9023">
        <v>3</v>
      </c>
    </row>
    <row r="9024" spans="1:10" x14ac:dyDescent="0.25">
      <c r="A9024" t="s">
        <v>77</v>
      </c>
      <c r="B9024" s="1" t="str">
        <f>HYPERLINK("http://celgene.de","celgene.de")</f>
        <v>celgene.de</v>
      </c>
      <c r="C9024" t="s">
        <v>436</v>
      </c>
      <c r="D9024" t="s">
        <v>815</v>
      </c>
      <c r="F9024">
        <v>2.9923247300603098E-8</v>
      </c>
      <c r="G9024">
        <v>1719746</v>
      </c>
      <c r="H9024">
        <v>14076830</v>
      </c>
      <c r="I9024">
        <v>2879116</v>
      </c>
      <c r="J9024">
        <v>6</v>
      </c>
    </row>
    <row r="9025" spans="1:10" x14ac:dyDescent="0.25">
      <c r="A9025" t="s">
        <v>77</v>
      </c>
      <c r="B9025" s="1" t="str">
        <f>HYPERLINK("http://zeposia.de","zeposia.de")</f>
        <v>zeposia.de</v>
      </c>
      <c r="C9025" t="s">
        <v>436</v>
      </c>
      <c r="D9025" t="s">
        <v>815</v>
      </c>
      <c r="F9025">
        <v>4.5898043010268799E-9</v>
      </c>
      <c r="G9025">
        <v>48423551</v>
      </c>
      <c r="H9025">
        <v>8501479</v>
      </c>
      <c r="I9025">
        <v>72017306</v>
      </c>
      <c r="J9025">
        <v>4</v>
      </c>
    </row>
    <row r="9026" spans="1:10" x14ac:dyDescent="0.25">
      <c r="A9026" t="s">
        <v>77</v>
      </c>
      <c r="B9026" s="1" t="str">
        <f>HYPERLINK("http://celgene.dk","celgene.dk")</f>
        <v>celgene.dk</v>
      </c>
      <c r="C9026" t="s">
        <v>437</v>
      </c>
      <c r="D9026" t="s">
        <v>816</v>
      </c>
      <c r="F9026">
        <v>1.4909853628601899E-8</v>
      </c>
      <c r="G9026">
        <v>3869351</v>
      </c>
      <c r="H9026">
        <v>10907276</v>
      </c>
      <c r="I9026">
        <v>35681335</v>
      </c>
      <c r="J9026">
        <v>3</v>
      </c>
    </row>
    <row r="9027" spans="1:10" x14ac:dyDescent="0.25">
      <c r="A9027" t="s">
        <v>77</v>
      </c>
      <c r="B9027" s="1" t="str">
        <f>HYPERLINK("http://bms.es","bms.es")</f>
        <v>bms.es</v>
      </c>
      <c r="C9027" t="s">
        <v>443</v>
      </c>
      <c r="D9027" t="s">
        <v>822</v>
      </c>
      <c r="F9027">
        <v>1.48954489138909E-8</v>
      </c>
      <c r="G9027">
        <v>3874065</v>
      </c>
      <c r="H9027">
        <v>13776624</v>
      </c>
      <c r="I9027">
        <v>6551579</v>
      </c>
      <c r="J9027">
        <v>2</v>
      </c>
    </row>
    <row r="9028" spans="1:10" x14ac:dyDescent="0.25">
      <c r="A9028" t="s">
        <v>77</v>
      </c>
      <c r="B9028" s="1" t="str">
        <f>HYPERLINK("http://celgene.es","celgene.es")</f>
        <v>celgene.es</v>
      </c>
      <c r="C9028" t="s">
        <v>443</v>
      </c>
      <c r="D9028" t="s">
        <v>822</v>
      </c>
      <c r="F9028">
        <v>2.5497854800363299E-8</v>
      </c>
      <c r="G9028">
        <v>2022884</v>
      </c>
      <c r="H9028">
        <v>13765442</v>
      </c>
      <c r="I9028">
        <v>7103250</v>
      </c>
      <c r="J9028">
        <v>4</v>
      </c>
    </row>
    <row r="9029" spans="1:10" x14ac:dyDescent="0.25">
      <c r="A9029" t="s">
        <v>77</v>
      </c>
      <c r="B9029" s="1" t="str">
        <f>HYPERLINK("http://celgene.eu","celgene.eu")</f>
        <v>celgene.eu</v>
      </c>
      <c r="C9029" t="s">
        <v>444</v>
      </c>
      <c r="F9029">
        <v>8.3282635119001096E-9</v>
      </c>
      <c r="G9029">
        <v>9193086</v>
      </c>
      <c r="H9029">
        <v>12571362</v>
      </c>
      <c r="I9029">
        <v>16613539</v>
      </c>
      <c r="J9029">
        <v>6</v>
      </c>
    </row>
    <row r="9030" spans="1:10" x14ac:dyDescent="0.25">
      <c r="A9030" t="s">
        <v>77</v>
      </c>
      <c r="B9030" s="1" t="str">
        <f>HYPERLINK("http://abraxane.fi","abraxane.fi")</f>
        <v>abraxane.fi</v>
      </c>
      <c r="C9030" t="s">
        <v>445</v>
      </c>
      <c r="D9030" t="s">
        <v>823</v>
      </c>
      <c r="J9030">
        <v>4</v>
      </c>
    </row>
    <row r="9031" spans="1:10" x14ac:dyDescent="0.25">
      <c r="A9031" t="s">
        <v>77</v>
      </c>
      <c r="B9031" s="1" t="str">
        <f>HYPERLINK("http://actionforaf.fi","actionforaf.fi")</f>
        <v>actionforaf.fi</v>
      </c>
      <c r="C9031" t="s">
        <v>445</v>
      </c>
      <c r="D9031" t="s">
        <v>823</v>
      </c>
      <c r="J9031">
        <v>4</v>
      </c>
    </row>
    <row r="9032" spans="1:10" x14ac:dyDescent="0.25">
      <c r="A9032" t="s">
        <v>77</v>
      </c>
      <c r="B9032" s="1" t="str">
        <f>HYPERLINK("http://aheadprogram.fi","aheadprogram.fi")</f>
        <v>aheadprogram.fi</v>
      </c>
      <c r="C9032" t="s">
        <v>445</v>
      </c>
      <c r="D9032" t="s">
        <v>823</v>
      </c>
      <c r="J9032">
        <v>4</v>
      </c>
    </row>
    <row r="9033" spans="1:10" x14ac:dyDescent="0.25">
      <c r="A9033" t="s">
        <v>77</v>
      </c>
      <c r="B9033" s="1" t="str">
        <f>HYPERLINK("http://aheadprogramme.fi","aheadprogramme.fi")</f>
        <v>aheadprogramme.fi</v>
      </c>
      <c r="C9033" t="s">
        <v>445</v>
      </c>
      <c r="D9033" t="s">
        <v>823</v>
      </c>
      <c r="J9033">
        <v>4</v>
      </c>
    </row>
    <row r="9034" spans="1:10" x14ac:dyDescent="0.25">
      <c r="A9034" t="s">
        <v>77</v>
      </c>
      <c r="B9034" s="1" t="str">
        <f>HYPERLINK("http://apiksabaani.fi","apiksabaani.fi")</f>
        <v>apiksabaani.fi</v>
      </c>
      <c r="C9034" t="s">
        <v>445</v>
      </c>
      <c r="D9034" t="s">
        <v>823</v>
      </c>
      <c r="J9034">
        <v>4</v>
      </c>
    </row>
    <row r="9035" spans="1:10" x14ac:dyDescent="0.25">
      <c r="A9035" t="s">
        <v>77</v>
      </c>
      <c r="B9035" s="1" t="str">
        <f>HYPERLINK("http://apixaban.fi","apixaban.fi")</f>
        <v>apixaban.fi</v>
      </c>
      <c r="C9035" t="s">
        <v>445</v>
      </c>
      <c r="D9035" t="s">
        <v>823</v>
      </c>
      <c r="J9035">
        <v>4</v>
      </c>
    </row>
    <row r="9036" spans="1:10" x14ac:dyDescent="0.25">
      <c r="A9036" t="s">
        <v>77</v>
      </c>
      <c r="B9036" s="1" t="str">
        <f>HYPERLINK("http://asunaprevir.fi","asunaprevir.fi")</f>
        <v>asunaprevir.fi</v>
      </c>
      <c r="C9036" t="s">
        <v>445</v>
      </c>
      <c r="D9036" t="s">
        <v>823</v>
      </c>
      <c r="J9036">
        <v>4</v>
      </c>
    </row>
    <row r="9037" spans="1:10" x14ac:dyDescent="0.25">
      <c r="A9037" t="s">
        <v>77</v>
      </c>
      <c r="B9037" s="1" t="str">
        <f>HYPERLINK("http://bmsboardinteraction.fi","bmsboardinteraction.fi")</f>
        <v>bmsboardinteraction.fi</v>
      </c>
      <c r="C9037" t="s">
        <v>445</v>
      </c>
      <c r="D9037" t="s">
        <v>823</v>
      </c>
      <c r="J9037">
        <v>4</v>
      </c>
    </row>
    <row r="9038" spans="1:10" x14ac:dyDescent="0.25">
      <c r="A9038" t="s">
        <v>77</v>
      </c>
      <c r="B9038" s="1" t="str">
        <f>HYPERLINK("http://bmsconnect.fi","bmsconnect.fi")</f>
        <v>bmsconnect.fi</v>
      </c>
      <c r="C9038" t="s">
        <v>445</v>
      </c>
      <c r="D9038" t="s">
        <v>823</v>
      </c>
      <c r="J9038">
        <v>4</v>
      </c>
    </row>
    <row r="9039" spans="1:10" x14ac:dyDescent="0.25">
      <c r="A9039" t="s">
        <v>77</v>
      </c>
      <c r="B9039" s="1" t="str">
        <f>HYPERLINK("http://bmsconsent.fi","bmsconsent.fi")</f>
        <v>bmsconsent.fi</v>
      </c>
      <c r="C9039" t="s">
        <v>445</v>
      </c>
      <c r="D9039" t="s">
        <v>823</v>
      </c>
      <c r="J9039">
        <v>4</v>
      </c>
    </row>
    <row r="9040" spans="1:10" x14ac:dyDescent="0.25">
      <c r="A9040" t="s">
        <v>77</v>
      </c>
      <c r="B9040" s="1" t="str">
        <f>HYPERLINK("http://bmsfinland.fi","bmsfinland.fi")</f>
        <v>bmsfinland.fi</v>
      </c>
      <c r="C9040" t="s">
        <v>445</v>
      </c>
      <c r="D9040" t="s">
        <v>823</v>
      </c>
      <c r="F9040">
        <v>6.0370717793073204E-9</v>
      </c>
      <c r="G9040">
        <v>16458318</v>
      </c>
      <c r="H9040">
        <v>10758483</v>
      </c>
      <c r="I9040">
        <v>39683598</v>
      </c>
      <c r="J9040">
        <v>3</v>
      </c>
    </row>
    <row r="9041" spans="1:10" x14ac:dyDescent="0.25">
      <c r="A9041" t="s">
        <v>77</v>
      </c>
      <c r="B9041" s="1" t="str">
        <f>HYPERLINK("http://bmslive.fi","bmslive.fi")</f>
        <v>bmslive.fi</v>
      </c>
      <c r="C9041" t="s">
        <v>445</v>
      </c>
      <c r="D9041" t="s">
        <v>823</v>
      </c>
      <c r="J9041">
        <v>4</v>
      </c>
    </row>
    <row r="9042" spans="1:10" x14ac:dyDescent="0.25">
      <c r="A9042" t="s">
        <v>77</v>
      </c>
      <c r="B9042" s="1" t="str">
        <f>HYPERLINK("http://bmsliverhealth.fi","bmsliverhealth.fi")</f>
        <v>bmsliverhealth.fi</v>
      </c>
      <c r="C9042" t="s">
        <v>445</v>
      </c>
      <c r="D9042" t="s">
        <v>823</v>
      </c>
      <c r="J9042">
        <v>4</v>
      </c>
    </row>
    <row r="9043" spans="1:10" x14ac:dyDescent="0.25">
      <c r="A9043" t="s">
        <v>77</v>
      </c>
      <c r="B9043" s="1" t="str">
        <f>HYPERLINK("http://bmsmedinfo.fi","bmsmedinfo.fi")</f>
        <v>bmsmedinfo.fi</v>
      </c>
      <c r="C9043" t="s">
        <v>445</v>
      </c>
      <c r="D9043" t="s">
        <v>823</v>
      </c>
      <c r="J9043">
        <v>4</v>
      </c>
    </row>
    <row r="9044" spans="1:10" x14ac:dyDescent="0.25">
      <c r="A9044" t="s">
        <v>77</v>
      </c>
      <c r="B9044" s="1" t="str">
        <f>HYPERLINK("http://bmsplus.fi","bmsplus.fi")</f>
        <v>bmsplus.fi</v>
      </c>
      <c r="C9044" t="s">
        <v>445</v>
      </c>
      <c r="D9044" t="s">
        <v>823</v>
      </c>
      <c r="J9044">
        <v>4</v>
      </c>
    </row>
    <row r="9045" spans="1:10" x14ac:dyDescent="0.25">
      <c r="A9045" t="s">
        <v>77</v>
      </c>
      <c r="B9045" s="1" t="str">
        <f>HYPERLINK("http://breyanzi.fi","breyanzi.fi")</f>
        <v>breyanzi.fi</v>
      </c>
      <c r="C9045" t="s">
        <v>445</v>
      </c>
      <c r="D9045" t="s">
        <v>823</v>
      </c>
      <c r="J9045">
        <v>3</v>
      </c>
    </row>
    <row r="9046" spans="1:10" x14ac:dyDescent="0.25">
      <c r="A9046" t="s">
        <v>77</v>
      </c>
      <c r="B9046" s="1" t="str">
        <f>HYPERLINK("http://breyanzihcp.fi","breyanzihcp.fi")</f>
        <v>breyanzihcp.fi</v>
      </c>
      <c r="C9046" t="s">
        <v>445</v>
      </c>
      <c r="D9046" t="s">
        <v>823</v>
      </c>
      <c r="J9046">
        <v>3</v>
      </c>
    </row>
    <row r="9047" spans="1:10" x14ac:dyDescent="0.25">
      <c r="A9047" t="s">
        <v>77</v>
      </c>
      <c r="B9047" s="1" t="str">
        <f>HYPERLINK("http://bristol-myerssquibb.fi","bristol-myerssquibb.fi")</f>
        <v>bristol-myerssquibb.fi</v>
      </c>
      <c r="C9047" t="s">
        <v>445</v>
      </c>
      <c r="D9047" t="s">
        <v>823</v>
      </c>
      <c r="J9047">
        <v>4</v>
      </c>
    </row>
    <row r="9048" spans="1:10" x14ac:dyDescent="0.25">
      <c r="A9048" t="s">
        <v>77</v>
      </c>
      <c r="B9048" s="1" t="str">
        <f>HYPERLINK("http://bristolmyerssquibb.fi","bristolmyerssquibb.fi")</f>
        <v>bristolmyerssquibb.fi</v>
      </c>
      <c r="C9048" t="s">
        <v>445</v>
      </c>
      <c r="D9048" t="s">
        <v>823</v>
      </c>
      <c r="J9048">
        <v>4</v>
      </c>
    </row>
    <row r="9049" spans="1:10" x14ac:dyDescent="0.25">
      <c r="A9049" t="s">
        <v>77</v>
      </c>
      <c r="B9049" s="1" t="str">
        <f>HYPERLINK("http://camzyos.fi","camzyos.fi")</f>
        <v>camzyos.fi</v>
      </c>
      <c r="C9049" t="s">
        <v>445</v>
      </c>
      <c r="D9049" t="s">
        <v>823</v>
      </c>
      <c r="J9049">
        <v>4</v>
      </c>
    </row>
    <row r="9050" spans="1:10" x14ac:dyDescent="0.25">
      <c r="A9050" t="s">
        <v>77</v>
      </c>
      <c r="B9050" s="1" t="str">
        <f>HYPERLINK("http://camzyoshcp.fi","camzyoshcp.fi")</f>
        <v>camzyoshcp.fi</v>
      </c>
      <c r="C9050" t="s">
        <v>445</v>
      </c>
      <c r="D9050" t="s">
        <v>823</v>
      </c>
      <c r="J9050">
        <v>4</v>
      </c>
    </row>
    <row r="9051" spans="1:10" x14ac:dyDescent="0.25">
      <c r="A9051" t="s">
        <v>77</v>
      </c>
      <c r="B9051" s="1" t="str">
        <f>HYPERLINK("http://celgene.fi","celgene.fi")</f>
        <v>celgene.fi</v>
      </c>
      <c r="C9051" t="s">
        <v>445</v>
      </c>
      <c r="D9051" t="s">
        <v>823</v>
      </c>
      <c r="F9051">
        <v>1.53218083375835E-8</v>
      </c>
      <c r="G9051">
        <v>3739136</v>
      </c>
      <c r="H9051">
        <v>10945718</v>
      </c>
      <c r="I9051">
        <v>34684158</v>
      </c>
      <c r="J9051">
        <v>3</v>
      </c>
    </row>
    <row r="9052" spans="1:10" x14ac:dyDescent="0.25">
      <c r="A9052" t="s">
        <v>77</v>
      </c>
      <c r="B9052" s="1" t="str">
        <f>HYPERLINK("http://celgeneandms.fi","celgeneandms.fi")</f>
        <v>celgeneandms.fi</v>
      </c>
      <c r="C9052" t="s">
        <v>445</v>
      </c>
      <c r="D9052" t="s">
        <v>823</v>
      </c>
      <c r="J9052">
        <v>3</v>
      </c>
    </row>
    <row r="9053" spans="1:10" x14ac:dyDescent="0.25">
      <c r="A9053" t="s">
        <v>77</v>
      </c>
      <c r="B9053" s="1" t="str">
        <f>HYPERLINK("http://celgeneandrms.fi","celgeneandrms.fi")</f>
        <v>celgeneandrms.fi</v>
      </c>
      <c r="C9053" t="s">
        <v>445</v>
      </c>
      <c r="D9053" t="s">
        <v>823</v>
      </c>
      <c r="J9053">
        <v>3</v>
      </c>
    </row>
    <row r="9054" spans="1:10" x14ac:dyDescent="0.25">
      <c r="A9054" t="s">
        <v>77</v>
      </c>
      <c r="B9054" s="1" t="str">
        <f>HYPERLINK("http://celgeneandrrms.fi","celgeneandrrms.fi")</f>
        <v>celgeneandrrms.fi</v>
      </c>
      <c r="C9054" t="s">
        <v>445</v>
      </c>
      <c r="D9054" t="s">
        <v>823</v>
      </c>
      <c r="J9054">
        <v>3</v>
      </c>
    </row>
    <row r="9055" spans="1:10" x14ac:dyDescent="0.25">
      <c r="A9055" t="s">
        <v>77</v>
      </c>
      <c r="B9055" s="1" t="str">
        <f>HYPERLINK("http://celgenefacems.fi","celgenefacems.fi")</f>
        <v>celgenefacems.fi</v>
      </c>
      <c r="C9055" t="s">
        <v>445</v>
      </c>
      <c r="D9055" t="s">
        <v>823</v>
      </c>
      <c r="J9055">
        <v>3</v>
      </c>
    </row>
    <row r="9056" spans="1:10" x14ac:dyDescent="0.25">
      <c r="A9056" t="s">
        <v>77</v>
      </c>
      <c r="B9056" s="1" t="str">
        <f>HYPERLINK("http://celgenefacerms.fi","celgenefacerms.fi")</f>
        <v>celgenefacerms.fi</v>
      </c>
      <c r="C9056" t="s">
        <v>445</v>
      </c>
      <c r="D9056" t="s">
        <v>823</v>
      </c>
      <c r="J9056">
        <v>3</v>
      </c>
    </row>
    <row r="9057" spans="1:10" x14ac:dyDescent="0.25">
      <c r="A9057" t="s">
        <v>77</v>
      </c>
      <c r="B9057" s="1" t="str">
        <f>HYPERLINK("http://celgenefacesms.fi","celgenefacesms.fi")</f>
        <v>celgenefacesms.fi</v>
      </c>
      <c r="C9057" t="s">
        <v>445</v>
      </c>
      <c r="D9057" t="s">
        <v>823</v>
      </c>
      <c r="J9057">
        <v>3</v>
      </c>
    </row>
    <row r="9058" spans="1:10" x14ac:dyDescent="0.25">
      <c r="A9058" t="s">
        <v>77</v>
      </c>
      <c r="B9058" s="1" t="str">
        <f>HYPERLINK("http://celgenefacesrms.fi","celgenefacesrms.fi")</f>
        <v>celgenefacesrms.fi</v>
      </c>
      <c r="C9058" t="s">
        <v>445</v>
      </c>
      <c r="D9058" t="s">
        <v>823</v>
      </c>
      <c r="J9058">
        <v>3</v>
      </c>
    </row>
    <row r="9059" spans="1:10" x14ac:dyDescent="0.25">
      <c r="A9059" t="s">
        <v>77</v>
      </c>
      <c r="B9059" s="1" t="str">
        <f>HYPERLINK("http://celgeneinms.fi","celgeneinms.fi")</f>
        <v>celgeneinms.fi</v>
      </c>
      <c r="C9059" t="s">
        <v>445</v>
      </c>
      <c r="D9059" t="s">
        <v>823</v>
      </c>
      <c r="J9059">
        <v>3</v>
      </c>
    </row>
    <row r="9060" spans="1:10" x14ac:dyDescent="0.25">
      <c r="A9060" t="s">
        <v>77</v>
      </c>
      <c r="B9060" s="1" t="str">
        <f>HYPERLINK("http://celgeneinrms.fi","celgeneinrms.fi")</f>
        <v>celgeneinrms.fi</v>
      </c>
      <c r="C9060" t="s">
        <v>445</v>
      </c>
      <c r="D9060" t="s">
        <v>823</v>
      </c>
      <c r="J9060">
        <v>3</v>
      </c>
    </row>
    <row r="9061" spans="1:10" x14ac:dyDescent="0.25">
      <c r="A9061" t="s">
        <v>77</v>
      </c>
      <c r="B9061" s="1" t="str">
        <f>HYPERLINK("http://celgeneinrrms.fi","celgeneinrrms.fi")</f>
        <v>celgeneinrrms.fi</v>
      </c>
      <c r="C9061" t="s">
        <v>445</v>
      </c>
      <c r="D9061" t="s">
        <v>823</v>
      </c>
      <c r="J9061">
        <v>3</v>
      </c>
    </row>
    <row r="9062" spans="1:10" x14ac:dyDescent="0.25">
      <c r="A9062" t="s">
        <v>77</v>
      </c>
      <c r="B9062" s="1" t="str">
        <f>HYPERLINK("http://celgenems.fi","celgenems.fi")</f>
        <v>celgenems.fi</v>
      </c>
      <c r="C9062" t="s">
        <v>445</v>
      </c>
      <c r="D9062" t="s">
        <v>823</v>
      </c>
      <c r="J9062">
        <v>3</v>
      </c>
    </row>
    <row r="9063" spans="1:10" x14ac:dyDescent="0.25">
      <c r="A9063" t="s">
        <v>77</v>
      </c>
      <c r="B9063" s="1" t="str">
        <f>HYPERLINK("http://celgenerms.fi","celgenerms.fi")</f>
        <v>celgenerms.fi</v>
      </c>
      <c r="C9063" t="s">
        <v>445</v>
      </c>
      <c r="D9063" t="s">
        <v>823</v>
      </c>
      <c r="J9063">
        <v>3</v>
      </c>
    </row>
    <row r="9064" spans="1:10" x14ac:dyDescent="0.25">
      <c r="A9064" t="s">
        <v>77</v>
      </c>
      <c r="B9064" s="1" t="str">
        <f>HYPERLINK("http://celgenerrms.fi","celgenerrms.fi")</f>
        <v>celgenerrms.fi</v>
      </c>
      <c r="C9064" t="s">
        <v>445</v>
      </c>
      <c r="D9064" t="s">
        <v>823</v>
      </c>
      <c r="J9064">
        <v>3</v>
      </c>
    </row>
    <row r="9065" spans="1:10" x14ac:dyDescent="0.25">
      <c r="A9065" t="s">
        <v>77</v>
      </c>
      <c r="B9065" s="1" t="str">
        <f>HYPERLINK("http://celgenes1p.fi","celgenes1p.fi")</f>
        <v>celgenes1p.fi</v>
      </c>
      <c r="C9065" t="s">
        <v>445</v>
      </c>
      <c r="D9065" t="s">
        <v>823</v>
      </c>
      <c r="J9065">
        <v>3</v>
      </c>
    </row>
    <row r="9066" spans="1:10" x14ac:dyDescent="0.25">
      <c r="A9066" t="s">
        <v>77</v>
      </c>
      <c r="B9066" s="1" t="str">
        <f>HYPERLINK("http://cmltherapy.fi","cmltherapy.fi")</f>
        <v>cmltherapy.fi</v>
      </c>
      <c r="C9066" t="s">
        <v>445</v>
      </c>
      <c r="D9066" t="s">
        <v>823</v>
      </c>
      <c r="J9066">
        <v>4</v>
      </c>
    </row>
    <row r="9067" spans="1:10" x14ac:dyDescent="0.25">
      <c r="A9067" t="s">
        <v>77</v>
      </c>
      <c r="B9067" s="1" t="str">
        <f>HYPERLINK("http://continuumofcare.fi","continuumofcare.fi")</f>
        <v>continuumofcare.fi</v>
      </c>
      <c r="C9067" t="s">
        <v>445</v>
      </c>
      <c r="D9067" t="s">
        <v>823</v>
      </c>
      <c r="J9067">
        <v>4</v>
      </c>
    </row>
    <row r="9068" spans="1:10" x14ac:dyDescent="0.25">
      <c r="A9068" t="s">
        <v>77</v>
      </c>
      <c r="B9068" s="1" t="str">
        <f>HYPERLINK("http://ct360.fi","ct360.fi")</f>
        <v>ct360.fi</v>
      </c>
      <c r="C9068" t="s">
        <v>445</v>
      </c>
      <c r="D9068" t="s">
        <v>823</v>
      </c>
      <c r="J9068">
        <v>3</v>
      </c>
    </row>
    <row r="9069" spans="1:10" x14ac:dyDescent="0.25">
      <c r="A9069" t="s">
        <v>77</v>
      </c>
      <c r="B9069" s="1" t="str">
        <f>HYPERLINK("http://daclatasvir.fi","daclatasvir.fi")</f>
        <v>daclatasvir.fi</v>
      </c>
      <c r="C9069" t="s">
        <v>445</v>
      </c>
      <c r="D9069" t="s">
        <v>823</v>
      </c>
      <c r="J9069">
        <v>4</v>
      </c>
    </row>
    <row r="9070" spans="1:10" x14ac:dyDescent="0.25">
      <c r="A9070" t="s">
        <v>77</v>
      </c>
      <c r="B9070" s="1" t="str">
        <f>HYPERLINK("http://daklinza.fi","daklinza.fi")</f>
        <v>daklinza.fi</v>
      </c>
      <c r="C9070" t="s">
        <v>445</v>
      </c>
      <c r="D9070" t="s">
        <v>823</v>
      </c>
      <c r="J9070">
        <v>4</v>
      </c>
    </row>
    <row r="9071" spans="1:10" x14ac:dyDescent="0.25">
      <c r="A9071" t="s">
        <v>77</v>
      </c>
      <c r="B9071" s="1" t="str">
        <f>HYPERLINK("http://dotheamatology.fi","dotheamatology.fi")</f>
        <v>dotheamatology.fi</v>
      </c>
      <c r="C9071" t="s">
        <v>445</v>
      </c>
      <c r="D9071" t="s">
        <v>823</v>
      </c>
      <c r="J9071">
        <v>4</v>
      </c>
    </row>
    <row r="9072" spans="1:10" x14ac:dyDescent="0.25">
      <c r="A9072" t="s">
        <v>77</v>
      </c>
      <c r="B9072" s="1" t="str">
        <f>HYPERLINK("http://dothematology.fi","dothematology.fi")</f>
        <v>dothematology.fi</v>
      </c>
      <c r="C9072" t="s">
        <v>445</v>
      </c>
      <c r="D9072" t="s">
        <v>823</v>
      </c>
      <c r="J9072">
        <v>4</v>
      </c>
    </row>
    <row r="9073" spans="1:10" x14ac:dyDescent="0.25">
      <c r="A9073" t="s">
        <v>77</v>
      </c>
      <c r="B9073" s="1" t="str">
        <f>HYPERLINK("http://eliquis.fi","eliquis.fi")</f>
        <v>eliquis.fi</v>
      </c>
      <c r="C9073" t="s">
        <v>445</v>
      </c>
      <c r="D9073" t="s">
        <v>823</v>
      </c>
      <c r="J9073">
        <v>4</v>
      </c>
    </row>
    <row r="9074" spans="1:10" x14ac:dyDescent="0.25">
      <c r="A9074" t="s">
        <v>77</v>
      </c>
      <c r="B9074" s="1" t="str">
        <f>HYPERLINK("http://empliciti.fi","empliciti.fi")</f>
        <v>empliciti.fi</v>
      </c>
      <c r="C9074" t="s">
        <v>445</v>
      </c>
      <c r="D9074" t="s">
        <v>823</v>
      </c>
      <c r="J9074">
        <v>4</v>
      </c>
    </row>
    <row r="9075" spans="1:10" x14ac:dyDescent="0.25">
      <c r="A9075" t="s">
        <v>77</v>
      </c>
      <c r="B9075" s="1" t="str">
        <f>HYPERLINK("http://empouik.fi","empouik.fi")</f>
        <v>empouik.fi</v>
      </c>
      <c r="C9075" t="s">
        <v>445</v>
      </c>
      <c r="D9075" t="s">
        <v>823</v>
      </c>
      <c r="J9075">
        <v>2</v>
      </c>
    </row>
    <row r="9076" spans="1:10" x14ac:dyDescent="0.25">
      <c r="A9076" t="s">
        <v>77</v>
      </c>
      <c r="B9076" s="1" t="str">
        <f>HYPERLINK("http://empouikhcp.fi","empouikhcp.fi")</f>
        <v>empouikhcp.fi</v>
      </c>
      <c r="C9076" t="s">
        <v>445</v>
      </c>
      <c r="D9076" t="s">
        <v>823</v>
      </c>
      <c r="J9076">
        <v>2</v>
      </c>
    </row>
    <row r="9077" spans="1:10" x14ac:dyDescent="0.25">
      <c r="A9077" t="s">
        <v>77</v>
      </c>
      <c r="B9077" s="1" t="str">
        <f>HYPERLINK("http://enasidenib.fi","enasidenib.fi")</f>
        <v>enasidenib.fi</v>
      </c>
      <c r="C9077" t="s">
        <v>445</v>
      </c>
      <c r="D9077" t="s">
        <v>823</v>
      </c>
      <c r="J9077">
        <v>3</v>
      </c>
    </row>
    <row r="9078" spans="1:10" x14ac:dyDescent="0.25">
      <c r="A9078" t="s">
        <v>77</v>
      </c>
      <c r="B9078" s="1" t="str">
        <f>HYPERLINK("http://faceanaemia.fi","faceanaemia.fi")</f>
        <v>faceanaemia.fi</v>
      </c>
      <c r="C9078" t="s">
        <v>445</v>
      </c>
      <c r="D9078" t="s">
        <v>823</v>
      </c>
      <c r="J9078">
        <v>4</v>
      </c>
    </row>
    <row r="9079" spans="1:10" x14ac:dyDescent="0.25">
      <c r="A9079" t="s">
        <v>77</v>
      </c>
      <c r="B9079" s="1" t="str">
        <f>HYPERLINK("http://faceanemia.fi","faceanemia.fi")</f>
        <v>faceanemia.fi</v>
      </c>
      <c r="C9079" t="s">
        <v>445</v>
      </c>
      <c r="D9079" t="s">
        <v>823</v>
      </c>
      <c r="J9079">
        <v>4</v>
      </c>
    </row>
    <row r="9080" spans="1:10" x14ac:dyDescent="0.25">
      <c r="A9080" t="s">
        <v>77</v>
      </c>
      <c r="B9080" s="1" t="str">
        <f>HYPERLINK("http://facesofrms.fi","facesofrms.fi")</f>
        <v>facesofrms.fi</v>
      </c>
      <c r="C9080" t="s">
        <v>445</v>
      </c>
      <c r="D9080" t="s">
        <v>823</v>
      </c>
      <c r="J9080">
        <v>3</v>
      </c>
    </row>
    <row r="9081" spans="1:10" x14ac:dyDescent="0.25">
      <c r="A9081" t="s">
        <v>77</v>
      </c>
      <c r="B9081" s="1" t="str">
        <f>HYPERLINK("http://facesofrrms.fi","facesofrrms.fi")</f>
        <v>facesofrrms.fi</v>
      </c>
      <c r="C9081" t="s">
        <v>445</v>
      </c>
      <c r="D9081" t="s">
        <v>823</v>
      </c>
      <c r="J9081">
        <v>3</v>
      </c>
    </row>
    <row r="9082" spans="1:10" x14ac:dyDescent="0.25">
      <c r="A9082" t="s">
        <v>77</v>
      </c>
      <c r="B9082" s="1" t="str">
        <f>HYPERLINK("http://facingrrms.fi","facingrrms.fi")</f>
        <v>facingrrms.fi</v>
      </c>
      <c r="C9082" t="s">
        <v>445</v>
      </c>
      <c r="D9082" t="s">
        <v>823</v>
      </c>
      <c r="J9082">
        <v>3</v>
      </c>
    </row>
    <row r="9083" spans="1:10" x14ac:dyDescent="0.25">
      <c r="A9083" t="s">
        <v>77</v>
      </c>
      <c r="B9083" s="1" t="str">
        <f>HYPERLINK("http://forxiga.fi","forxiga.fi")</f>
        <v>forxiga.fi</v>
      </c>
      <c r="C9083" t="s">
        <v>445</v>
      </c>
      <c r="D9083" t="s">
        <v>823</v>
      </c>
      <c r="J9083">
        <v>4</v>
      </c>
    </row>
    <row r="9084" spans="1:10" x14ac:dyDescent="0.25">
      <c r="A9084" t="s">
        <v>77</v>
      </c>
      <c r="B9084" s="1" t="str">
        <f>HYPERLINK("http://heamatologyhub.fi","heamatologyhub.fi")</f>
        <v>heamatologyhub.fi</v>
      </c>
      <c r="C9084" t="s">
        <v>445</v>
      </c>
      <c r="D9084" t="s">
        <v>823</v>
      </c>
      <c r="J9084">
        <v>4</v>
      </c>
    </row>
    <row r="9085" spans="1:10" x14ac:dyDescent="0.25">
      <c r="A9085" t="s">
        <v>77</v>
      </c>
      <c r="B9085" s="1" t="str">
        <f>HYPERLINK("http://hematologyhub.fi","hematologyhub.fi")</f>
        <v>hematologyhub.fi</v>
      </c>
      <c r="C9085" t="s">
        <v>445</v>
      </c>
      <c r="D9085" t="s">
        <v>823</v>
      </c>
      <c r="J9085">
        <v>4</v>
      </c>
    </row>
    <row r="9086" spans="1:10" x14ac:dyDescent="0.25">
      <c r="A9086" t="s">
        <v>77</v>
      </c>
      <c r="B9086" s="1" t="str">
        <f>HYPERLINK("http://hepatiitti-c.fi","hepatiitti-c.fi")</f>
        <v>hepatiitti-c.fi</v>
      </c>
      <c r="C9086" t="s">
        <v>445</v>
      </c>
      <c r="D9086" t="s">
        <v>823</v>
      </c>
      <c r="J9086">
        <v>4</v>
      </c>
    </row>
    <row r="9087" spans="1:10" x14ac:dyDescent="0.25">
      <c r="A9087" t="s">
        <v>77</v>
      </c>
      <c r="B9087" s="1" t="str">
        <f>HYPERLINK("http://hepatiittic.fi","hepatiittic.fi")</f>
        <v>hepatiittic.fi</v>
      </c>
      <c r="C9087" t="s">
        <v>445</v>
      </c>
      <c r="D9087" t="s">
        <v>823</v>
      </c>
      <c r="J9087">
        <v>4</v>
      </c>
    </row>
    <row r="9088" spans="1:10" x14ac:dyDescent="0.25">
      <c r="A9088" t="s">
        <v>77</v>
      </c>
      <c r="B9088" s="1" t="str">
        <f>HYPERLINK("http://hivplus.fi","hivplus.fi")</f>
        <v>hivplus.fi</v>
      </c>
      <c r="C9088" t="s">
        <v>445</v>
      </c>
      <c r="D9088" t="s">
        <v>823</v>
      </c>
      <c r="J9088">
        <v>4</v>
      </c>
    </row>
    <row r="9089" spans="1:10" x14ac:dyDescent="0.25">
      <c r="A9089" t="s">
        <v>77</v>
      </c>
      <c r="B9089" s="1" t="str">
        <f>HYPERLINK("http://hoidontuki.fi","hoidontuki.fi")</f>
        <v>hoidontuki.fi</v>
      </c>
      <c r="C9089" t="s">
        <v>445</v>
      </c>
      <c r="D9089" t="s">
        <v>823</v>
      </c>
      <c r="F9089">
        <v>6.6200425820403201E-9</v>
      </c>
      <c r="G9089">
        <v>13598369</v>
      </c>
      <c r="H9089">
        <v>10515424</v>
      </c>
      <c r="I9089">
        <v>49232666</v>
      </c>
      <c r="J9089">
        <v>4</v>
      </c>
    </row>
    <row r="9090" spans="1:10" x14ac:dyDescent="0.25">
      <c r="A9090" t="s">
        <v>77</v>
      </c>
      <c r="B9090" s="1" t="str">
        <f>HYPERLINK("http://hoito-ohje.fi","hoito-ohje.fi")</f>
        <v>hoito-ohje.fi</v>
      </c>
      <c r="C9090" t="s">
        <v>445</v>
      </c>
      <c r="D9090" t="s">
        <v>823</v>
      </c>
      <c r="J9090">
        <v>4</v>
      </c>
    </row>
    <row r="9091" spans="1:10" x14ac:dyDescent="0.25">
      <c r="A9091" t="s">
        <v>77</v>
      </c>
      <c r="B9091" s="1" t="str">
        <f>HYPERLINK("http://idhifa.fi","idhifa.fi")</f>
        <v>idhifa.fi</v>
      </c>
      <c r="C9091" t="s">
        <v>445</v>
      </c>
      <c r="D9091" t="s">
        <v>823</v>
      </c>
      <c r="J9091">
        <v>3</v>
      </c>
    </row>
    <row r="9092" spans="1:10" x14ac:dyDescent="0.25">
      <c r="A9092" t="s">
        <v>77</v>
      </c>
      <c r="B9092" s="1" t="str">
        <f>HYPERLINK("http://idhiga.fi","idhiga.fi")</f>
        <v>idhiga.fi</v>
      </c>
      <c r="C9092" t="s">
        <v>445</v>
      </c>
      <c r="D9092" t="s">
        <v>823</v>
      </c>
      <c r="J9092">
        <v>3</v>
      </c>
    </row>
    <row r="9093" spans="1:10" x14ac:dyDescent="0.25">
      <c r="A9093" t="s">
        <v>77</v>
      </c>
      <c r="B9093" s="1" t="str">
        <f>HYPERLINK("http://immuno-okologia.fi","immuno-okologia.fi")</f>
        <v>immuno-okologia.fi</v>
      </c>
      <c r="C9093" t="s">
        <v>445</v>
      </c>
      <c r="D9093" t="s">
        <v>823</v>
      </c>
      <c r="J9093">
        <v>4</v>
      </c>
    </row>
    <row r="9094" spans="1:10" x14ac:dyDescent="0.25">
      <c r="A9094" t="s">
        <v>77</v>
      </c>
      <c r="B9094" s="1" t="str">
        <f>HYPERLINK("http://immuno-oncology.fi","immuno-oncology.fi")</f>
        <v>immuno-oncology.fi</v>
      </c>
      <c r="C9094" t="s">
        <v>445</v>
      </c>
      <c r="D9094" t="s">
        <v>823</v>
      </c>
      <c r="J9094">
        <v>4</v>
      </c>
    </row>
    <row r="9095" spans="1:10" x14ac:dyDescent="0.25">
      <c r="A9095" t="s">
        <v>77</v>
      </c>
      <c r="B9095" s="1" t="str">
        <f>HYPERLINK("http://immuno-onkologia.fi","immuno-onkologia.fi")</f>
        <v>immuno-onkologia.fi</v>
      </c>
      <c r="C9095" t="s">
        <v>445</v>
      </c>
      <c r="D9095" t="s">
        <v>823</v>
      </c>
      <c r="J9095">
        <v>4</v>
      </c>
    </row>
    <row r="9096" spans="1:10" x14ac:dyDescent="0.25">
      <c r="A9096" t="s">
        <v>77</v>
      </c>
      <c r="B9096" s="1" t="str">
        <f>HYPERLINK("http://immunooncology.fi","immunooncology.fi")</f>
        <v>immunooncology.fi</v>
      </c>
      <c r="C9096" t="s">
        <v>445</v>
      </c>
      <c r="D9096" t="s">
        <v>823</v>
      </c>
      <c r="J9096">
        <v>4</v>
      </c>
    </row>
    <row r="9097" spans="1:10" x14ac:dyDescent="0.25">
      <c r="A9097" t="s">
        <v>77</v>
      </c>
      <c r="B9097" s="1" t="str">
        <f>HYPERLINK("http://immunoonkologi.fi","immunoonkologi.fi")</f>
        <v>immunoonkologi.fi</v>
      </c>
      <c r="C9097" t="s">
        <v>445</v>
      </c>
      <c r="D9097" t="s">
        <v>823</v>
      </c>
      <c r="J9097">
        <v>4</v>
      </c>
    </row>
    <row r="9098" spans="1:10" x14ac:dyDescent="0.25">
      <c r="A9098" t="s">
        <v>77</v>
      </c>
      <c r="B9098" s="1" t="str">
        <f>HYPERLINK("http://immunoonkologia.fi","immunoonkologia.fi")</f>
        <v>immunoonkologia.fi</v>
      </c>
      <c r="C9098" t="s">
        <v>445</v>
      </c>
      <c r="D9098" t="s">
        <v>823</v>
      </c>
      <c r="J9098">
        <v>4</v>
      </c>
    </row>
    <row r="9099" spans="1:10" x14ac:dyDescent="0.25">
      <c r="A9099" t="s">
        <v>77</v>
      </c>
      <c r="B9099" s="1" t="str">
        <f>HYPERLINK("http://immunotherapy.fi","immunotherapy.fi")</f>
        <v>immunotherapy.fi</v>
      </c>
      <c r="C9099" t="s">
        <v>445</v>
      </c>
      <c r="D9099" t="s">
        <v>823</v>
      </c>
      <c r="J9099">
        <v>4</v>
      </c>
    </row>
    <row r="9100" spans="1:10" x14ac:dyDescent="0.25">
      <c r="A9100" t="s">
        <v>77</v>
      </c>
      <c r="B9100" s="1" t="str">
        <f>HYPERLINK("http://inrebic.fi","inrebic.fi")</f>
        <v>inrebic.fi</v>
      </c>
      <c r="C9100" t="s">
        <v>445</v>
      </c>
      <c r="D9100" t="s">
        <v>823</v>
      </c>
      <c r="J9100">
        <v>3</v>
      </c>
    </row>
    <row r="9101" spans="1:10" x14ac:dyDescent="0.25">
      <c r="A9101" t="s">
        <v>77</v>
      </c>
      <c r="B9101" s="1" t="str">
        <f>HYPERLINK("http://ipilimumab.fi","ipilimumab.fi")</f>
        <v>ipilimumab.fi</v>
      </c>
      <c r="C9101" t="s">
        <v>445</v>
      </c>
      <c r="D9101" t="s">
        <v>823</v>
      </c>
      <c r="J9101">
        <v>2</v>
      </c>
    </row>
    <row r="9102" spans="1:10" x14ac:dyDescent="0.25">
      <c r="A9102" t="s">
        <v>77</v>
      </c>
      <c r="B9102" s="1" t="str">
        <f>HYPERLINK("http://laakarinopasdigitool1.fi","laakarinopasdigitool1.fi")</f>
        <v>laakarinopasdigitool1.fi</v>
      </c>
      <c r="C9102" t="s">
        <v>445</v>
      </c>
      <c r="D9102" t="s">
        <v>823</v>
      </c>
      <c r="J9102">
        <v>2</v>
      </c>
    </row>
    <row r="9103" spans="1:10" x14ac:dyDescent="0.25">
      <c r="A9103" t="s">
        <v>77</v>
      </c>
      <c r="B9103" s="1" t="str">
        <f>HYPERLINK("http://lenalidomide.fi","lenalidomide.fi")</f>
        <v>lenalidomide.fi</v>
      </c>
      <c r="C9103" t="s">
        <v>445</v>
      </c>
      <c r="D9103" t="s">
        <v>823</v>
      </c>
      <c r="J9103">
        <v>4</v>
      </c>
    </row>
    <row r="9104" spans="1:10" x14ac:dyDescent="0.25">
      <c r="A9104" t="s">
        <v>77</v>
      </c>
      <c r="B9104" s="1" t="str">
        <f>HYPERLINK("http://mincancerguide.fi","mincancerguide.fi")</f>
        <v>mincancerguide.fi</v>
      </c>
      <c r="C9104" t="s">
        <v>445</v>
      </c>
      <c r="D9104" t="s">
        <v>823</v>
      </c>
      <c r="J9104">
        <v>2</v>
      </c>
    </row>
    <row r="9105" spans="1:10" x14ac:dyDescent="0.25">
      <c r="A9105" t="s">
        <v>77</v>
      </c>
      <c r="B9105" s="1" t="str">
        <f>HYPERLINK("http://minun-laakehoitoni.fi","minun-laakehoitoni.fi")</f>
        <v>minun-laakehoitoni.fi</v>
      </c>
      <c r="C9105" t="s">
        <v>445</v>
      </c>
      <c r="D9105" t="s">
        <v>823</v>
      </c>
      <c r="J9105">
        <v>4</v>
      </c>
    </row>
    <row r="9106" spans="1:10" x14ac:dyDescent="0.25">
      <c r="A9106" t="s">
        <v>77</v>
      </c>
      <c r="B9106" s="1" t="str">
        <f>HYPERLINK("http://minun-orencia.fi","minun-orencia.fi")</f>
        <v>minun-orencia.fi</v>
      </c>
      <c r="C9106" t="s">
        <v>445</v>
      </c>
      <c r="D9106" t="s">
        <v>823</v>
      </c>
      <c r="J9106">
        <v>4</v>
      </c>
    </row>
    <row r="9107" spans="1:10" x14ac:dyDescent="0.25">
      <c r="A9107" t="s">
        <v>77</v>
      </c>
      <c r="B9107" s="1" t="str">
        <f>HYPERLINK("http://minunlaake.fi","minunlaake.fi")</f>
        <v>minunlaake.fi</v>
      </c>
      <c r="C9107" t="s">
        <v>445</v>
      </c>
      <c r="D9107" t="s">
        <v>823</v>
      </c>
      <c r="J9107">
        <v>4</v>
      </c>
    </row>
    <row r="9108" spans="1:10" x14ac:dyDescent="0.25">
      <c r="A9108" t="s">
        <v>77</v>
      </c>
      <c r="B9108" s="1" t="str">
        <f>HYPERLINK("http://minunlaakehoitoni.fi","minunlaakehoitoni.fi")</f>
        <v>minunlaakehoitoni.fi</v>
      </c>
      <c r="C9108" t="s">
        <v>445</v>
      </c>
      <c r="D9108" t="s">
        <v>823</v>
      </c>
      <c r="J9108">
        <v>4</v>
      </c>
    </row>
    <row r="9109" spans="1:10" x14ac:dyDescent="0.25">
      <c r="A9109" t="s">
        <v>77</v>
      </c>
      <c r="B9109" s="1" t="str">
        <f>HYPERLINK("http://minunsyopani.fi","minunsyopani.fi")</f>
        <v>minunsyopani.fi</v>
      </c>
      <c r="C9109" t="s">
        <v>445</v>
      </c>
      <c r="D9109" t="s">
        <v>823</v>
      </c>
      <c r="F9109">
        <v>5.0733429046448304E-9</v>
      </c>
      <c r="G9109">
        <v>27681969</v>
      </c>
      <c r="H9109">
        <v>1.0003663</v>
      </c>
      <c r="I9109">
        <v>79365789</v>
      </c>
      <c r="J9109">
        <v>4</v>
      </c>
    </row>
    <row r="9110" spans="1:10" x14ac:dyDescent="0.25">
      <c r="A9110" t="s">
        <v>77</v>
      </c>
      <c r="B9110" s="1" t="str">
        <f>HYPERLINK("http://minunsyopaniohje.fi","minunsyopaniohje.fi")</f>
        <v>minunsyopaniohje.fi</v>
      </c>
      <c r="C9110" t="s">
        <v>445</v>
      </c>
      <c r="D9110" t="s">
        <v>823</v>
      </c>
      <c r="J9110">
        <v>2</v>
      </c>
    </row>
    <row r="9111" spans="1:10" x14ac:dyDescent="0.25">
      <c r="A9111" t="s">
        <v>77</v>
      </c>
      <c r="B9111" s="1" t="str">
        <f>HYPERLINK("http://mscelgene.fi","mscelgene.fi")</f>
        <v>mscelgene.fi</v>
      </c>
      <c r="C9111" t="s">
        <v>445</v>
      </c>
      <c r="D9111" t="s">
        <v>823</v>
      </c>
      <c r="J9111">
        <v>3</v>
      </c>
    </row>
    <row r="9112" spans="1:10" x14ac:dyDescent="0.25">
      <c r="A9112" t="s">
        <v>77</v>
      </c>
      <c r="B9112" s="1" t="str">
        <f>HYPERLINK("http://msgreymatters.fi","msgreymatters.fi")</f>
        <v>msgreymatters.fi</v>
      </c>
      <c r="C9112" t="s">
        <v>445</v>
      </c>
      <c r="D9112" t="s">
        <v>823</v>
      </c>
      <c r="J9112">
        <v>3</v>
      </c>
    </row>
    <row r="9113" spans="1:10" x14ac:dyDescent="0.25">
      <c r="A9113" t="s">
        <v>77</v>
      </c>
      <c r="B9113" s="1" t="str">
        <f>HYPERLINK("http://mycmllife.fi","mycmllife.fi")</f>
        <v>mycmllife.fi</v>
      </c>
      <c r="C9113" t="s">
        <v>445</v>
      </c>
      <c r="D9113" t="s">
        <v>823</v>
      </c>
      <c r="J9113">
        <v>4</v>
      </c>
    </row>
    <row r="9114" spans="1:10" x14ac:dyDescent="0.25">
      <c r="A9114" t="s">
        <v>77</v>
      </c>
      <c r="B9114" s="1" t="str">
        <f>HYPERLINK("http://nivolumab.fi","nivolumab.fi")</f>
        <v>nivolumab.fi</v>
      </c>
      <c r="C9114" t="s">
        <v>445</v>
      </c>
      <c r="D9114" t="s">
        <v>823</v>
      </c>
      <c r="J9114">
        <v>4</v>
      </c>
    </row>
    <row r="9115" spans="1:10" x14ac:dyDescent="0.25">
      <c r="A9115" t="s">
        <v>77</v>
      </c>
      <c r="B9115" s="1" t="str">
        <f>HYPERLINK("http://nulojix.fi","nulojix.fi")</f>
        <v>nulojix.fi</v>
      </c>
      <c r="C9115" t="s">
        <v>445</v>
      </c>
      <c r="D9115" t="s">
        <v>823</v>
      </c>
      <c r="J9115">
        <v>4</v>
      </c>
    </row>
    <row r="9116" spans="1:10" x14ac:dyDescent="0.25">
      <c r="A9116" t="s">
        <v>77</v>
      </c>
      <c r="B9116" s="1" t="str">
        <f>HYPERLINK("http://onglyza.fi","onglyza.fi")</f>
        <v>onglyza.fi</v>
      </c>
      <c r="C9116" t="s">
        <v>445</v>
      </c>
      <c r="D9116" t="s">
        <v>823</v>
      </c>
      <c r="J9116">
        <v>4</v>
      </c>
    </row>
    <row r="9117" spans="1:10" x14ac:dyDescent="0.25">
      <c r="A9117" t="s">
        <v>77</v>
      </c>
      <c r="B9117" s="1" t="str">
        <f>HYPERLINK("http://opasterveydenhuollonammattilaiselledigitool2.fi","opasterveydenhuollonammattilaiselledigitool2.fi")</f>
        <v>opasterveydenhuollonammattilaiselledigitool2.fi</v>
      </c>
      <c r="C9117" t="s">
        <v>445</v>
      </c>
      <c r="D9117" t="s">
        <v>823</v>
      </c>
      <c r="J9117">
        <v>2</v>
      </c>
    </row>
    <row r="9118" spans="1:10" x14ac:dyDescent="0.25">
      <c r="A9118" t="s">
        <v>77</v>
      </c>
      <c r="B9118" s="1" t="str">
        <f>HYPERLINK("http://opdivo.fi","opdivo.fi")</f>
        <v>opdivo.fi</v>
      </c>
      <c r="C9118" t="s">
        <v>445</v>
      </c>
      <c r="D9118" t="s">
        <v>823</v>
      </c>
      <c r="F9118">
        <v>4.44380395335525E-9</v>
      </c>
      <c r="G9118">
        <v>84779680</v>
      </c>
      <c r="H9118">
        <v>0</v>
      </c>
      <c r="I9118">
        <v>85894415</v>
      </c>
      <c r="J9118">
        <v>4</v>
      </c>
    </row>
    <row r="9119" spans="1:10" x14ac:dyDescent="0.25">
      <c r="A9119" t="s">
        <v>77</v>
      </c>
      <c r="B9119" s="1" t="str">
        <f>HYPERLINK("http://optimonitor.fi","optimonitor.fi")</f>
        <v>optimonitor.fi</v>
      </c>
      <c r="C9119" t="s">
        <v>445</v>
      </c>
      <c r="D9119" t="s">
        <v>823</v>
      </c>
      <c r="J9119">
        <v>4</v>
      </c>
    </row>
    <row r="9120" spans="1:10" x14ac:dyDescent="0.25">
      <c r="A9120" t="s">
        <v>77</v>
      </c>
      <c r="B9120" s="1" t="str">
        <f>HYPERLINK("http://orencia.fi","orencia.fi")</f>
        <v>orencia.fi</v>
      </c>
      <c r="C9120" t="s">
        <v>445</v>
      </c>
      <c r="D9120" t="s">
        <v>823</v>
      </c>
      <c r="J9120">
        <v>4</v>
      </c>
    </row>
    <row r="9121" spans="1:10" x14ac:dyDescent="0.25">
      <c r="A9121" t="s">
        <v>77</v>
      </c>
      <c r="B9121" s="1" t="str">
        <f>HYPERLINK("http://ozanimod.fi","ozanimod.fi")</f>
        <v>ozanimod.fi</v>
      </c>
      <c r="C9121" t="s">
        <v>445</v>
      </c>
      <c r="D9121" t="s">
        <v>823</v>
      </c>
      <c r="J9121">
        <v>3</v>
      </c>
    </row>
    <row r="9122" spans="1:10" x14ac:dyDescent="0.25">
      <c r="A9122" t="s">
        <v>77</v>
      </c>
      <c r="B9122" s="1" t="str">
        <f>HYPERLINK("http://ozanimodinfo.fi","ozanimodinfo.fi")</f>
        <v>ozanimodinfo.fi</v>
      </c>
      <c r="C9122" t="s">
        <v>445</v>
      </c>
      <c r="D9122" t="s">
        <v>823</v>
      </c>
      <c r="J9122">
        <v>3</v>
      </c>
    </row>
    <row r="9123" spans="1:10" x14ac:dyDescent="0.25">
      <c r="A9123" t="s">
        <v>77</v>
      </c>
      <c r="B9123" s="1" t="str">
        <f>HYPERLINK("http://path-programme.fi","path-programme.fi")</f>
        <v>path-programme.fi</v>
      </c>
      <c r="C9123" t="s">
        <v>445</v>
      </c>
      <c r="D9123" t="s">
        <v>823</v>
      </c>
      <c r="J9123">
        <v>4</v>
      </c>
    </row>
    <row r="9124" spans="1:10" x14ac:dyDescent="0.25">
      <c r="A9124" t="s">
        <v>77</v>
      </c>
      <c r="B9124" s="1" t="str">
        <f>HYPERLINK("http://pomalidomide.fi","pomalidomide.fi")</f>
        <v>pomalidomide.fi</v>
      </c>
      <c r="C9124" t="s">
        <v>445</v>
      </c>
      <c r="D9124" t="s">
        <v>823</v>
      </c>
      <c r="J9124">
        <v>4</v>
      </c>
    </row>
    <row r="9125" spans="1:10" x14ac:dyDescent="0.25">
      <c r="A9125" t="s">
        <v>77</v>
      </c>
      <c r="B9125" s="1" t="str">
        <f>HYPERLINK("http://pomalyst.fi","pomalyst.fi")</f>
        <v>pomalyst.fi</v>
      </c>
      <c r="C9125" t="s">
        <v>445</v>
      </c>
      <c r="D9125" t="s">
        <v>823</v>
      </c>
      <c r="J9125">
        <v>4</v>
      </c>
    </row>
    <row r="9126" spans="1:10" x14ac:dyDescent="0.25">
      <c r="A9126" t="s">
        <v>77</v>
      </c>
      <c r="B9126" s="1" t="str">
        <f>HYPERLINK("http://realprogram.fi","realprogram.fi")</f>
        <v>realprogram.fi</v>
      </c>
      <c r="C9126" t="s">
        <v>445</v>
      </c>
      <c r="D9126" t="s">
        <v>823</v>
      </c>
      <c r="J9126">
        <v>4</v>
      </c>
    </row>
    <row r="9127" spans="1:10" x14ac:dyDescent="0.25">
      <c r="A9127" t="s">
        <v>77</v>
      </c>
      <c r="B9127" s="1" t="str">
        <f>HYPERLINK("http://reblozyl.fi","reblozyl.fi")</f>
        <v>reblozyl.fi</v>
      </c>
      <c r="C9127" t="s">
        <v>445</v>
      </c>
      <c r="D9127" t="s">
        <v>823</v>
      </c>
      <c r="J9127">
        <v>3</v>
      </c>
    </row>
    <row r="9128" spans="1:10" x14ac:dyDescent="0.25">
      <c r="A9128" t="s">
        <v>77</v>
      </c>
      <c r="B9128" s="1" t="str">
        <f>HYPERLINK("http://revlimid.fi","revlimid.fi")</f>
        <v>revlimid.fi</v>
      </c>
      <c r="C9128" t="s">
        <v>445</v>
      </c>
      <c r="D9128" t="s">
        <v>823</v>
      </c>
      <c r="J9128">
        <v>4</v>
      </c>
    </row>
    <row r="9129" spans="1:10" x14ac:dyDescent="0.25">
      <c r="A9129" t="s">
        <v>77</v>
      </c>
      <c r="B9129" s="1" t="str">
        <f>HYPERLINK("http://reyataz.fi","reyataz.fi")</f>
        <v>reyataz.fi</v>
      </c>
      <c r="C9129" t="s">
        <v>445</v>
      </c>
      <c r="D9129" t="s">
        <v>823</v>
      </c>
      <c r="J9129">
        <v>4</v>
      </c>
    </row>
    <row r="9130" spans="1:10" x14ac:dyDescent="0.25">
      <c r="A9130" t="s">
        <v>77</v>
      </c>
      <c r="B9130" s="1" t="str">
        <f>HYPERLINK("http://rmscelgene.fi","rmscelgene.fi")</f>
        <v>rmscelgene.fi</v>
      </c>
      <c r="C9130" t="s">
        <v>445</v>
      </c>
      <c r="D9130" t="s">
        <v>823</v>
      </c>
      <c r="J9130">
        <v>3</v>
      </c>
    </row>
    <row r="9131" spans="1:10" x14ac:dyDescent="0.25">
      <c r="A9131" t="s">
        <v>77</v>
      </c>
      <c r="B9131" s="1" t="str">
        <f>HYPERLINK("http://rrmscelgene.fi","rrmscelgene.fi")</f>
        <v>rrmscelgene.fi</v>
      </c>
      <c r="C9131" t="s">
        <v>445</v>
      </c>
      <c r="D9131" t="s">
        <v>823</v>
      </c>
      <c r="J9131">
        <v>3</v>
      </c>
    </row>
    <row r="9132" spans="1:10" x14ac:dyDescent="0.25">
      <c r="A9132" t="s">
        <v>77</v>
      </c>
      <c r="B9132" s="1" t="str">
        <f>HYPERLINK("http://s1pcelgene.fi","s1pcelgene.fi")</f>
        <v>s1pcelgene.fi</v>
      </c>
      <c r="C9132" t="s">
        <v>445</v>
      </c>
      <c r="D9132" t="s">
        <v>823</v>
      </c>
      <c r="J9132">
        <v>3</v>
      </c>
    </row>
    <row r="9133" spans="1:10" x14ac:dyDescent="0.25">
      <c r="A9133" t="s">
        <v>77</v>
      </c>
      <c r="B9133" s="1" t="str">
        <f>HYPERLINK("http://saxagliptin.fi","saxagliptin.fi")</f>
        <v>saxagliptin.fi</v>
      </c>
      <c r="C9133" t="s">
        <v>445</v>
      </c>
      <c r="D9133" t="s">
        <v>823</v>
      </c>
      <c r="J9133">
        <v>4</v>
      </c>
    </row>
    <row r="9134" spans="1:10" x14ac:dyDescent="0.25">
      <c r="A9134" t="s">
        <v>77</v>
      </c>
      <c r="B9134" s="1" t="str">
        <f>HYPERLINK("http://scienceinshort.fi","scienceinshort.fi")</f>
        <v>scienceinshort.fi</v>
      </c>
      <c r="C9134" t="s">
        <v>445</v>
      </c>
      <c r="D9134" t="s">
        <v>823</v>
      </c>
      <c r="J9134">
        <v>4</v>
      </c>
    </row>
    <row r="9135" spans="1:10" x14ac:dyDescent="0.25">
      <c r="A9135" t="s">
        <v>77</v>
      </c>
      <c r="B9135" s="1" t="str">
        <f>HYPERLINK("http://sheohjelma.fi","sheohjelma.fi")</f>
        <v>sheohjelma.fi</v>
      </c>
      <c r="C9135" t="s">
        <v>445</v>
      </c>
      <c r="D9135" t="s">
        <v>823</v>
      </c>
      <c r="J9135">
        <v>4</v>
      </c>
    </row>
    <row r="9136" spans="1:10" x14ac:dyDescent="0.25">
      <c r="A9136" t="s">
        <v>77</v>
      </c>
      <c r="B9136" s="1" t="str">
        <f>HYPERLINK("http://shetoshe.fi","shetoshe.fi")</f>
        <v>shetoshe.fi</v>
      </c>
      <c r="C9136" t="s">
        <v>445</v>
      </c>
      <c r="D9136" t="s">
        <v>823</v>
      </c>
      <c r="J9136">
        <v>4</v>
      </c>
    </row>
    <row r="9137" spans="1:10" x14ac:dyDescent="0.25">
      <c r="A9137" t="s">
        <v>77</v>
      </c>
      <c r="B9137" s="1" t="str">
        <f>HYPERLINK("http://sotyktu.fi","sotyktu.fi")</f>
        <v>sotyktu.fi</v>
      </c>
      <c r="C9137" t="s">
        <v>445</v>
      </c>
      <c r="D9137" t="s">
        <v>823</v>
      </c>
      <c r="J9137">
        <v>2</v>
      </c>
    </row>
    <row r="9138" spans="1:10" x14ac:dyDescent="0.25">
      <c r="A9138" t="s">
        <v>77</v>
      </c>
      <c r="B9138" s="1" t="str">
        <f>HYPERLINK("http://sotyktuhcp.fi","sotyktuhcp.fi")</f>
        <v>sotyktuhcp.fi</v>
      </c>
      <c r="C9138" t="s">
        <v>445</v>
      </c>
      <c r="D9138" t="s">
        <v>823</v>
      </c>
      <c r="J9138">
        <v>2</v>
      </c>
    </row>
    <row r="9139" spans="1:10" x14ac:dyDescent="0.25">
      <c r="A9139" t="s">
        <v>77</v>
      </c>
      <c r="B9139" s="1" t="str">
        <f>HYPERLINK("http://sprycel.fi","sprycel.fi")</f>
        <v>sprycel.fi</v>
      </c>
      <c r="C9139" t="s">
        <v>445</v>
      </c>
      <c r="D9139" t="s">
        <v>823</v>
      </c>
      <c r="J9139">
        <v>4</v>
      </c>
    </row>
    <row r="9140" spans="1:10" x14ac:dyDescent="0.25">
      <c r="A9140" t="s">
        <v>77</v>
      </c>
      <c r="B9140" s="1" t="str">
        <f>HYPERLINK("http://sunvepra.fi","sunvepra.fi")</f>
        <v>sunvepra.fi</v>
      </c>
      <c r="C9140" t="s">
        <v>445</v>
      </c>
      <c r="D9140" t="s">
        <v>823</v>
      </c>
      <c r="J9140">
        <v>4</v>
      </c>
    </row>
    <row r="9141" spans="1:10" x14ac:dyDescent="0.25">
      <c r="A9141" t="s">
        <v>77</v>
      </c>
      <c r="B9141" s="1" t="str">
        <f>HYPERLINK("http://syopa-hoito.fi","syopa-hoito.fi")</f>
        <v>syopa-hoito.fi</v>
      </c>
      <c r="C9141" t="s">
        <v>445</v>
      </c>
      <c r="D9141" t="s">
        <v>823</v>
      </c>
      <c r="J9141">
        <v>4</v>
      </c>
    </row>
    <row r="9142" spans="1:10" x14ac:dyDescent="0.25">
      <c r="A9142" t="s">
        <v>77</v>
      </c>
      <c r="B9142" s="1" t="str">
        <f>HYPERLINK("http://syovanhoitoni.fi","syovanhoitoni.fi")</f>
        <v>syovanhoitoni.fi</v>
      </c>
      <c r="C9142" t="s">
        <v>445</v>
      </c>
      <c r="D9142" t="s">
        <v>823</v>
      </c>
      <c r="J9142">
        <v>4</v>
      </c>
    </row>
    <row r="9143" spans="1:10" x14ac:dyDescent="0.25">
      <c r="A9143" t="s">
        <v>77</v>
      </c>
      <c r="B9143" s="1" t="str">
        <f>HYPERLINK("http://takaisintahtiin.fi","takaisintahtiin.fi")</f>
        <v>takaisintahtiin.fi</v>
      </c>
      <c r="C9143" t="s">
        <v>445</v>
      </c>
      <c r="D9143" t="s">
        <v>823</v>
      </c>
      <c r="F9143">
        <v>4.9998370366342704E-9</v>
      </c>
      <c r="G9143">
        <v>29415709</v>
      </c>
      <c r="H9143">
        <v>10594005</v>
      </c>
      <c r="I9143">
        <v>45378617</v>
      </c>
      <c r="J9143">
        <v>2</v>
      </c>
    </row>
    <row r="9144" spans="1:10" x14ac:dyDescent="0.25">
      <c r="A9144" t="s">
        <v>77</v>
      </c>
      <c r="B9144" s="1" t="str">
        <f>HYPERLINK("http://thalomid.fi","thalomid.fi")</f>
        <v>thalomid.fi</v>
      </c>
      <c r="C9144" t="s">
        <v>445</v>
      </c>
      <c r="D9144" t="s">
        <v>823</v>
      </c>
      <c r="J9144">
        <v>4</v>
      </c>
    </row>
    <row r="9145" spans="1:10" x14ac:dyDescent="0.25">
      <c r="A9145" t="s">
        <v>77</v>
      </c>
      <c r="B9145" s="1" t="str">
        <f>HYPERLINK("http://tomayik.fi","tomayik.fi")</f>
        <v>tomayik.fi</v>
      </c>
      <c r="C9145" t="s">
        <v>445</v>
      </c>
      <c r="D9145" t="s">
        <v>823</v>
      </c>
      <c r="J9145">
        <v>2</v>
      </c>
    </row>
    <row r="9146" spans="1:10" x14ac:dyDescent="0.25">
      <c r="A9146" t="s">
        <v>77</v>
      </c>
      <c r="B9146" s="1" t="str">
        <f>HYPERLINK("http://tomayikhcp.fi","tomayikhcp.fi")</f>
        <v>tomayikhcp.fi</v>
      </c>
      <c r="C9146" t="s">
        <v>445</v>
      </c>
      <c r="D9146" t="s">
        <v>823</v>
      </c>
      <c r="J9146">
        <v>2</v>
      </c>
    </row>
    <row r="9147" spans="1:10" x14ac:dyDescent="0.25">
      <c r="A9147" t="s">
        <v>77</v>
      </c>
      <c r="B9147" s="1" t="str">
        <f>HYPERLINK("http://transplant-point.fi","transplant-point.fi")</f>
        <v>transplant-point.fi</v>
      </c>
      <c r="C9147" t="s">
        <v>445</v>
      </c>
      <c r="D9147" t="s">
        <v>823</v>
      </c>
      <c r="J9147">
        <v>4</v>
      </c>
    </row>
    <row r="9148" spans="1:10" x14ac:dyDescent="0.25">
      <c r="A9148" t="s">
        <v>77</v>
      </c>
      <c r="B9148" s="1" t="str">
        <f>HYPERLINK("http://transplantpoint.fi","transplantpoint.fi")</f>
        <v>transplantpoint.fi</v>
      </c>
      <c r="C9148" t="s">
        <v>445</v>
      </c>
      <c r="D9148" t="s">
        <v>823</v>
      </c>
      <c r="J9148">
        <v>4</v>
      </c>
    </row>
    <row r="9149" spans="1:10" x14ac:dyDescent="0.25">
      <c r="A9149" t="s">
        <v>77</v>
      </c>
      <c r="B9149" s="1" t="str">
        <f>HYPERLINK("http://txpoint.fi","txpoint.fi")</f>
        <v>txpoint.fi</v>
      </c>
      <c r="C9149" t="s">
        <v>445</v>
      </c>
      <c r="D9149" t="s">
        <v>823</v>
      </c>
      <c r="J9149">
        <v>4</v>
      </c>
    </row>
    <row r="9150" spans="1:10" x14ac:dyDescent="0.25">
      <c r="A9150" t="s">
        <v>77</v>
      </c>
      <c r="B9150" s="1" t="str">
        <f>HYPERLINK("http://tycruva.fi","tycruva.fi")</f>
        <v>tycruva.fi</v>
      </c>
      <c r="C9150" t="s">
        <v>445</v>
      </c>
      <c r="D9150" t="s">
        <v>823</v>
      </c>
      <c r="J9150">
        <v>2</v>
      </c>
    </row>
    <row r="9151" spans="1:10" x14ac:dyDescent="0.25">
      <c r="A9151" t="s">
        <v>77</v>
      </c>
      <c r="B9151" s="1" t="str">
        <f>HYPERLINK("http://tycruvahcp.fi","tycruvahcp.fi")</f>
        <v>tycruvahcp.fi</v>
      </c>
      <c r="C9151" t="s">
        <v>445</v>
      </c>
      <c r="D9151" t="s">
        <v>823</v>
      </c>
      <c r="J9151">
        <v>2</v>
      </c>
    </row>
    <row r="9152" spans="1:10" x14ac:dyDescent="0.25">
      <c r="A9152" t="s">
        <v>77</v>
      </c>
      <c r="B9152" s="1" t="str">
        <f>HYPERLINK("http://verisolut.fi","verisolut.fi")</f>
        <v>verisolut.fi</v>
      </c>
      <c r="C9152" t="s">
        <v>445</v>
      </c>
      <c r="D9152" t="s">
        <v>823</v>
      </c>
      <c r="J9152">
        <v>2</v>
      </c>
    </row>
    <row r="9153" spans="1:10" x14ac:dyDescent="0.25">
      <c r="A9153" t="s">
        <v>77</v>
      </c>
      <c r="B9153" s="1" t="str">
        <f>HYPERLINK("http://yervoy.fi","yervoy.fi")</f>
        <v>yervoy.fi</v>
      </c>
      <c r="C9153" t="s">
        <v>445</v>
      </c>
      <c r="D9153" t="s">
        <v>823</v>
      </c>
      <c r="J9153">
        <v>4</v>
      </c>
    </row>
    <row r="9154" spans="1:10" x14ac:dyDescent="0.25">
      <c r="A9154" t="s">
        <v>77</v>
      </c>
      <c r="B9154" s="1" t="str">
        <f>HYPERLINK("http://yervoyage.fi","yervoyage.fi")</f>
        <v>yervoyage.fi</v>
      </c>
      <c r="C9154" t="s">
        <v>445</v>
      </c>
      <c r="D9154" t="s">
        <v>823</v>
      </c>
      <c r="J9154">
        <v>4</v>
      </c>
    </row>
    <row r="9155" spans="1:10" x14ac:dyDescent="0.25">
      <c r="A9155" t="s">
        <v>77</v>
      </c>
      <c r="B9155" s="1" t="str">
        <f>HYPERLINK("http://yervoyyourvoyage.fi","yervoyyourvoyage.fi")</f>
        <v>yervoyyourvoyage.fi</v>
      </c>
      <c r="C9155" t="s">
        <v>445</v>
      </c>
      <c r="D9155" t="s">
        <v>823</v>
      </c>
      <c r="J9155">
        <v>4</v>
      </c>
    </row>
    <row r="9156" spans="1:10" x14ac:dyDescent="0.25">
      <c r="A9156" t="s">
        <v>77</v>
      </c>
      <c r="B9156" s="1" t="str">
        <f>HYPERLINK("http://yourvoyage.fi","yourvoyage.fi")</f>
        <v>yourvoyage.fi</v>
      </c>
      <c r="C9156" t="s">
        <v>445</v>
      </c>
      <c r="D9156" t="s">
        <v>823</v>
      </c>
      <c r="J9156">
        <v>4</v>
      </c>
    </row>
    <row r="9157" spans="1:10" x14ac:dyDescent="0.25">
      <c r="A9157" t="s">
        <v>77</v>
      </c>
      <c r="B9157" s="1" t="str">
        <f>HYPERLINK("http://zeposia.fi","zeposia.fi")</f>
        <v>zeposia.fi</v>
      </c>
      <c r="C9157" t="s">
        <v>445</v>
      </c>
      <c r="D9157" t="s">
        <v>823</v>
      </c>
      <c r="J9157">
        <v>3</v>
      </c>
    </row>
    <row r="9158" spans="1:10" x14ac:dyDescent="0.25">
      <c r="A9158" t="s">
        <v>77</v>
      </c>
      <c r="B9158" s="1" t="str">
        <f>HYPERLINK("http://zeposiacd.fi","zeposiacd.fi")</f>
        <v>zeposiacd.fi</v>
      </c>
      <c r="C9158" t="s">
        <v>445</v>
      </c>
      <c r="D9158" t="s">
        <v>823</v>
      </c>
      <c r="J9158">
        <v>3</v>
      </c>
    </row>
    <row r="9159" spans="1:10" x14ac:dyDescent="0.25">
      <c r="A9159" t="s">
        <v>77</v>
      </c>
      <c r="B9159" s="1" t="str">
        <f>HYPERLINK("http://zeposiahcp.fi","zeposiahcp.fi")</f>
        <v>zeposiahcp.fi</v>
      </c>
      <c r="C9159" t="s">
        <v>445</v>
      </c>
      <c r="D9159" t="s">
        <v>823</v>
      </c>
      <c r="J9159">
        <v>3</v>
      </c>
    </row>
    <row r="9160" spans="1:10" x14ac:dyDescent="0.25">
      <c r="A9160" t="s">
        <v>77</v>
      </c>
      <c r="B9160" s="1" t="str">
        <f>HYPERLINK("http://zeposiaibd.fi","zeposiaibd.fi")</f>
        <v>zeposiaibd.fi</v>
      </c>
      <c r="C9160" t="s">
        <v>445</v>
      </c>
      <c r="D9160" t="s">
        <v>823</v>
      </c>
      <c r="J9160">
        <v>3</v>
      </c>
    </row>
    <row r="9161" spans="1:10" x14ac:dyDescent="0.25">
      <c r="A9161" t="s">
        <v>77</v>
      </c>
      <c r="B9161" s="1" t="str">
        <f>HYPERLINK("http://zeposiainfo.fi","zeposiainfo.fi")</f>
        <v>zeposiainfo.fi</v>
      </c>
      <c r="C9161" t="s">
        <v>445</v>
      </c>
      <c r="D9161" t="s">
        <v>823</v>
      </c>
      <c r="J9161">
        <v>3</v>
      </c>
    </row>
    <row r="9162" spans="1:10" x14ac:dyDescent="0.25">
      <c r="A9162" t="s">
        <v>77</v>
      </c>
      <c r="B9162" s="1" t="str">
        <f>HYPERLINK("http://zeposiauc.fi","zeposiauc.fi")</f>
        <v>zeposiauc.fi</v>
      </c>
      <c r="C9162" t="s">
        <v>445</v>
      </c>
      <c r="D9162" t="s">
        <v>823</v>
      </c>
      <c r="J9162">
        <v>3</v>
      </c>
    </row>
    <row r="9163" spans="1:10" x14ac:dyDescent="0.25">
      <c r="A9163" t="s">
        <v>77</v>
      </c>
      <c r="B9163" s="1" t="str">
        <f>HYPERLINK("http://bmsfrance.fr","bmsfrance.fr")</f>
        <v>bmsfrance.fr</v>
      </c>
      <c r="C9163" t="s">
        <v>446</v>
      </c>
      <c r="D9163" t="s">
        <v>824</v>
      </c>
      <c r="F9163">
        <v>2.3546575208433301E-8</v>
      </c>
      <c r="G9163">
        <v>2209628</v>
      </c>
      <c r="H9163">
        <v>14246523</v>
      </c>
      <c r="I9163">
        <v>1461185</v>
      </c>
      <c r="J9163">
        <v>4</v>
      </c>
    </row>
    <row r="9164" spans="1:10" x14ac:dyDescent="0.25">
      <c r="A9164" t="s">
        <v>77</v>
      </c>
      <c r="B9164" s="1" t="str">
        <f>HYPERLINK("http://celgene.fr","celgene.fr")</f>
        <v>celgene.fr</v>
      </c>
      <c r="C9164" t="s">
        <v>446</v>
      </c>
      <c r="D9164" t="s">
        <v>824</v>
      </c>
      <c r="F9164">
        <v>2.2392935069938101E-8</v>
      </c>
      <c r="G9164">
        <v>2340522</v>
      </c>
      <c r="H9164">
        <v>12374062</v>
      </c>
      <c r="I9164">
        <v>19333994</v>
      </c>
      <c r="J9164">
        <v>4</v>
      </c>
    </row>
    <row r="9165" spans="1:10" x14ac:dyDescent="0.25">
      <c r="A9165" t="s">
        <v>77</v>
      </c>
      <c r="B9165" s="1" t="str">
        <f>HYPERLINK("http://bms.hu","bms.hu")</f>
        <v>bms.hu</v>
      </c>
      <c r="C9165" t="s">
        <v>453</v>
      </c>
      <c r="D9165" t="s">
        <v>830</v>
      </c>
      <c r="F9165">
        <v>5.7491722404510901E-9</v>
      </c>
      <c r="G9165">
        <v>18503921</v>
      </c>
      <c r="H9165">
        <v>10752289</v>
      </c>
      <c r="I9165">
        <v>39997038</v>
      </c>
      <c r="J9165">
        <v>3</v>
      </c>
    </row>
    <row r="9166" spans="1:10" x14ac:dyDescent="0.25">
      <c r="A9166" t="s">
        <v>77</v>
      </c>
      <c r="B9166" s="1" t="str">
        <f>HYPERLINK("http://bmsireland.ie","bmsireland.ie")</f>
        <v>bmsireland.ie</v>
      </c>
      <c r="C9166" t="s">
        <v>455</v>
      </c>
      <c r="D9166" t="s">
        <v>832</v>
      </c>
      <c r="F9166">
        <v>1.0395825509088601E-8</v>
      </c>
      <c r="G9166">
        <v>6362706</v>
      </c>
      <c r="H9166">
        <v>13934870</v>
      </c>
      <c r="I9166">
        <v>4565775</v>
      </c>
      <c r="J9166">
        <v>4</v>
      </c>
    </row>
    <row r="9167" spans="1:10" x14ac:dyDescent="0.25">
      <c r="A9167" t="s">
        <v>77</v>
      </c>
      <c r="B9167" s="1" t="str">
        <f>HYPERLINK("http://celgene.ie","celgene.ie")</f>
        <v>celgene.ie</v>
      </c>
      <c r="C9167" t="s">
        <v>455</v>
      </c>
      <c r="D9167" t="s">
        <v>832</v>
      </c>
      <c r="F9167">
        <v>1.5955541055078999E-8</v>
      </c>
      <c r="G9167">
        <v>3557923</v>
      </c>
      <c r="H9167">
        <v>12374799</v>
      </c>
      <c r="I9167">
        <v>19320400</v>
      </c>
      <c r="J9167">
        <v>4</v>
      </c>
    </row>
    <row r="9168" spans="1:10" x14ac:dyDescent="0.25">
      <c r="A9168" t="s">
        <v>77</v>
      </c>
      <c r="B9168" s="1" t="str">
        <f>HYPERLINK("http://bmsi.co.in","bmsi.co.in")</f>
        <v>bmsi.co.in</v>
      </c>
      <c r="C9168" t="s">
        <v>457</v>
      </c>
      <c r="D9168" t="s">
        <v>834</v>
      </c>
      <c r="F9168">
        <v>5.6801658565048699E-9</v>
      </c>
      <c r="G9168">
        <v>19128305</v>
      </c>
      <c r="H9168">
        <v>12394734</v>
      </c>
      <c r="I9168">
        <v>18942138</v>
      </c>
      <c r="J9168">
        <v>3</v>
      </c>
    </row>
    <row r="9169" spans="1:10" x14ac:dyDescent="0.25">
      <c r="A9169" t="s">
        <v>77</v>
      </c>
      <c r="B9169" s="1" t="str">
        <f>HYPERLINK("http://bms.it","bms.it")</f>
        <v>bms.it</v>
      </c>
      <c r="C9169" t="s">
        <v>459</v>
      </c>
      <c r="D9169" t="s">
        <v>835</v>
      </c>
      <c r="F9169">
        <v>1.8195197908243699E-8</v>
      </c>
      <c r="G9169">
        <v>2988779</v>
      </c>
      <c r="H9169">
        <v>14128189</v>
      </c>
      <c r="I9169">
        <v>2066962</v>
      </c>
      <c r="J9169">
        <v>2</v>
      </c>
    </row>
    <row r="9170" spans="1:10" x14ac:dyDescent="0.25">
      <c r="A9170" t="s">
        <v>77</v>
      </c>
      <c r="B9170" s="1" t="str">
        <f>HYPERLINK("http://celgene.it","celgene.it")</f>
        <v>celgene.it</v>
      </c>
      <c r="C9170" t="s">
        <v>459</v>
      </c>
      <c r="D9170" t="s">
        <v>835</v>
      </c>
      <c r="F9170">
        <v>1.8678334156093098E-8</v>
      </c>
      <c r="G9170">
        <v>2893192</v>
      </c>
      <c r="H9170">
        <v>13763772</v>
      </c>
      <c r="I9170">
        <v>7641441</v>
      </c>
      <c r="J9170">
        <v>4</v>
      </c>
    </row>
    <row r="9171" spans="1:10" x14ac:dyDescent="0.25">
      <c r="A9171" t="s">
        <v>77</v>
      </c>
      <c r="B9171" s="1" t="str">
        <f>HYPERLINK("http://bms.co.jp","bms.co.jp")</f>
        <v>bms.co.jp</v>
      </c>
      <c r="C9171" t="s">
        <v>461</v>
      </c>
      <c r="D9171" t="s">
        <v>837</v>
      </c>
      <c r="F9171">
        <v>3.9982251556208603E-8</v>
      </c>
      <c r="G9171">
        <v>1292894</v>
      </c>
      <c r="H9171">
        <v>14296765</v>
      </c>
      <c r="I9171">
        <v>1359590</v>
      </c>
      <c r="J9171">
        <v>2</v>
      </c>
    </row>
    <row r="9172" spans="1:10" x14ac:dyDescent="0.25">
      <c r="A9172" t="s">
        <v>77</v>
      </c>
      <c r="B9172" s="1" t="str">
        <f>HYPERLINK("http://celgene.kr","celgene.kr")</f>
        <v>celgene.kr</v>
      </c>
      <c r="C9172" t="s">
        <v>463</v>
      </c>
      <c r="D9172" t="s">
        <v>839</v>
      </c>
      <c r="F9172">
        <v>1.5088657823319701E-8</v>
      </c>
      <c r="G9172">
        <v>3811297</v>
      </c>
      <c r="H9172">
        <v>11049151</v>
      </c>
      <c r="I9172">
        <v>32808733</v>
      </c>
      <c r="J9172">
        <v>4</v>
      </c>
    </row>
    <row r="9173" spans="1:10" x14ac:dyDescent="0.25">
      <c r="A9173" t="s">
        <v>77</v>
      </c>
      <c r="B9173" s="1" t="str">
        <f>HYPERLINK("http://bmspg.co.kr","bmspg.co.kr")</f>
        <v>bmspg.co.kr</v>
      </c>
      <c r="C9173" t="s">
        <v>463</v>
      </c>
      <c r="D9173" t="s">
        <v>839</v>
      </c>
      <c r="F9173">
        <v>5.3198632447115002E-9</v>
      </c>
      <c r="G9173">
        <v>23209924</v>
      </c>
      <c r="H9173">
        <v>10547336</v>
      </c>
      <c r="I9173">
        <v>46808782</v>
      </c>
      <c r="J9173">
        <v>3</v>
      </c>
    </row>
    <row r="9174" spans="1:10" x14ac:dyDescent="0.25">
      <c r="A9174" t="s">
        <v>77</v>
      </c>
      <c r="B9174" s="1" t="str">
        <f>HYPERLINK("http://celgene.mx","celgene.mx")</f>
        <v>celgene.mx</v>
      </c>
      <c r="C9174" t="s">
        <v>471</v>
      </c>
      <c r="D9174" t="s">
        <v>847</v>
      </c>
      <c r="F9174">
        <v>1.4864889744579201E-8</v>
      </c>
      <c r="G9174">
        <v>3884561</v>
      </c>
      <c r="H9174">
        <v>10927614</v>
      </c>
      <c r="I9174">
        <v>35118199</v>
      </c>
      <c r="J9174">
        <v>4</v>
      </c>
    </row>
    <row r="9175" spans="1:10" x14ac:dyDescent="0.25">
      <c r="A9175" t="s">
        <v>77</v>
      </c>
      <c r="B9175" s="1" t="str">
        <f>HYPERLINK("http://bms.com.mx","bms.com.mx")</f>
        <v>bms.com.mx</v>
      </c>
      <c r="C9175" t="s">
        <v>471</v>
      </c>
      <c r="D9175" t="s">
        <v>847</v>
      </c>
      <c r="F9175">
        <v>1.38731646166365E-8</v>
      </c>
      <c r="G9175">
        <v>4251577</v>
      </c>
      <c r="H9175">
        <v>13764301</v>
      </c>
      <c r="I9175">
        <v>7302599</v>
      </c>
      <c r="J9175">
        <v>2</v>
      </c>
    </row>
    <row r="9176" spans="1:10" x14ac:dyDescent="0.25">
      <c r="A9176" t="s">
        <v>77</v>
      </c>
      <c r="B9176" s="1" t="str">
        <f>HYPERLINK("http://celgene.nl","celgene.nl")</f>
        <v>celgene.nl</v>
      </c>
      <c r="C9176" t="s">
        <v>477</v>
      </c>
      <c r="D9176" t="s">
        <v>852</v>
      </c>
      <c r="F9176">
        <v>1.6129935753528499E-8</v>
      </c>
      <c r="G9176">
        <v>3513134</v>
      </c>
      <c r="H9176">
        <v>11223615</v>
      </c>
      <c r="I9176">
        <v>31066552</v>
      </c>
      <c r="J9176">
        <v>4</v>
      </c>
    </row>
    <row r="9177" spans="1:10" x14ac:dyDescent="0.25">
      <c r="A9177" t="s">
        <v>77</v>
      </c>
      <c r="B9177" s="1" t="str">
        <f>HYPERLINK("http://celgene.no","celgene.no")</f>
        <v>celgene.no</v>
      </c>
      <c r="C9177" t="s">
        <v>478</v>
      </c>
      <c r="D9177" t="s">
        <v>853</v>
      </c>
      <c r="F9177">
        <v>1.5694173795905701E-8</v>
      </c>
      <c r="G9177">
        <v>3629128</v>
      </c>
      <c r="H9177">
        <v>12134512</v>
      </c>
      <c r="I9177">
        <v>25014634</v>
      </c>
      <c r="J9177">
        <v>3</v>
      </c>
    </row>
    <row r="9178" spans="1:10" x14ac:dyDescent="0.25">
      <c r="A9178" t="s">
        <v>77</v>
      </c>
      <c r="B9178" s="1" t="str">
        <f>HYPERLINK("http://celgene.pl","celgene.pl")</f>
        <v>celgene.pl</v>
      </c>
      <c r="C9178" t="s">
        <v>486</v>
      </c>
      <c r="D9178" t="s">
        <v>860</v>
      </c>
      <c r="F9178">
        <v>1.84674920406462E-8</v>
      </c>
      <c r="G9178">
        <v>2931869</v>
      </c>
      <c r="H9178">
        <v>11291289</v>
      </c>
      <c r="I9178">
        <v>30650448</v>
      </c>
      <c r="J9178">
        <v>3</v>
      </c>
    </row>
    <row r="9179" spans="1:10" x14ac:dyDescent="0.25">
      <c r="A9179" t="s">
        <v>77</v>
      </c>
      <c r="B9179" s="1" t="str">
        <f>HYPERLINK("http://celgene.pt","celgene.pt")</f>
        <v>celgene.pt</v>
      </c>
      <c r="C9179" t="s">
        <v>488</v>
      </c>
      <c r="D9179" t="s">
        <v>862</v>
      </c>
      <c r="F9179">
        <v>1.4975889981636699E-8</v>
      </c>
      <c r="G9179">
        <v>3847716</v>
      </c>
      <c r="H9179">
        <v>11390880</v>
      </c>
      <c r="I9179">
        <v>30250998</v>
      </c>
      <c r="J9179">
        <v>4</v>
      </c>
    </row>
    <row r="9180" spans="1:10" x14ac:dyDescent="0.25">
      <c r="A9180" t="s">
        <v>77</v>
      </c>
      <c r="B9180" s="1" t="str">
        <f>HYPERLINK("http://celgene.ru","celgene.ru")</f>
        <v>celgene.ru</v>
      </c>
      <c r="C9180" t="s">
        <v>493</v>
      </c>
      <c r="D9180" t="s">
        <v>867</v>
      </c>
      <c r="F9180">
        <v>6.9155150432716498E-9</v>
      </c>
      <c r="G9180">
        <v>12572444</v>
      </c>
      <c r="H9180">
        <v>10545995</v>
      </c>
      <c r="I9180">
        <v>46916406</v>
      </c>
      <c r="J9180">
        <v>4</v>
      </c>
    </row>
    <row r="9181" spans="1:10" x14ac:dyDescent="0.25">
      <c r="A9181" t="s">
        <v>77</v>
      </c>
      <c r="B9181" s="1" t="str">
        <f>HYPERLINK("http://bms.se","bms.se")</f>
        <v>bms.se</v>
      </c>
      <c r="C9181" t="s">
        <v>495</v>
      </c>
      <c r="D9181" t="s">
        <v>869</v>
      </c>
      <c r="F9181">
        <v>2.6391311989877101E-8</v>
      </c>
      <c r="G9181">
        <v>1951008</v>
      </c>
      <c r="H9181">
        <v>14477007</v>
      </c>
      <c r="I9181">
        <v>1030881</v>
      </c>
      <c r="J9181">
        <v>2</v>
      </c>
    </row>
    <row r="9182" spans="1:10" x14ac:dyDescent="0.25">
      <c r="A9182" t="s">
        <v>77</v>
      </c>
      <c r="B9182" s="1" t="str">
        <f>HYPERLINK("http://celgene.se","celgene.se")</f>
        <v>celgene.se</v>
      </c>
      <c r="C9182" t="s">
        <v>495</v>
      </c>
      <c r="D9182" t="s">
        <v>869</v>
      </c>
      <c r="F9182">
        <v>1.96486897493192E-8</v>
      </c>
      <c r="G9182">
        <v>2719359</v>
      </c>
      <c r="H9182">
        <v>13764158</v>
      </c>
      <c r="I9182">
        <v>7356761</v>
      </c>
      <c r="J9182">
        <v>4</v>
      </c>
    </row>
    <row r="9183" spans="1:10" x14ac:dyDescent="0.25">
      <c r="A9183" t="s">
        <v>77</v>
      </c>
      <c r="B9183" s="1" t="str">
        <f>HYPERLINK("http://bms.com.tw","bms.com.tw")</f>
        <v>bms.com.tw</v>
      </c>
      <c r="C9183" t="s">
        <v>504</v>
      </c>
      <c r="D9183" t="s">
        <v>878</v>
      </c>
      <c r="F9183">
        <v>5.1375151828610398E-9</v>
      </c>
      <c r="G9183">
        <v>26313134</v>
      </c>
      <c r="H9183">
        <v>14071790</v>
      </c>
      <c r="I9183">
        <v>3543842</v>
      </c>
      <c r="J9183">
        <v>3</v>
      </c>
    </row>
    <row r="9184" spans="1:10" x14ac:dyDescent="0.25">
      <c r="A9184" t="s">
        <v>77</v>
      </c>
      <c r="B9184" s="1" t="str">
        <f>HYPERLINK("http://b-ms.co.uk","b-ms.co.uk")</f>
        <v>b-ms.co.uk</v>
      </c>
      <c r="C9184" t="s">
        <v>506</v>
      </c>
      <c r="D9184" t="s">
        <v>880</v>
      </c>
      <c r="F9184">
        <v>1.08210613105571E-8</v>
      </c>
      <c r="G9184">
        <v>6004122</v>
      </c>
      <c r="H9184">
        <v>13784210</v>
      </c>
      <c r="I9184">
        <v>6415431</v>
      </c>
      <c r="J9184">
        <v>4</v>
      </c>
    </row>
    <row r="9185" spans="1:10" x14ac:dyDescent="0.25">
      <c r="A9185" t="s">
        <v>77</v>
      </c>
      <c r="B9185" s="1" t="str">
        <f>HYPERLINK("http://celgene.co.uk","celgene.co.uk")</f>
        <v>celgene.co.uk</v>
      </c>
      <c r="C9185" t="s">
        <v>506</v>
      </c>
      <c r="D9185" t="s">
        <v>880</v>
      </c>
      <c r="F9185">
        <v>2.11636159087264E-8</v>
      </c>
      <c r="G9185">
        <v>2492368</v>
      </c>
      <c r="H9185">
        <v>13783054</v>
      </c>
      <c r="I9185">
        <v>6430457</v>
      </c>
      <c r="J9185">
        <v>4</v>
      </c>
    </row>
    <row r="9186" spans="1:10" x14ac:dyDescent="0.25">
      <c r="A9186" t="s">
        <v>78</v>
      </c>
      <c r="B9186" s="1" t="str">
        <f>HYPERLINK("http://bata.com.au","bata.com.au")</f>
        <v>bata.com.au</v>
      </c>
      <c r="C9186" t="s">
        <v>420</v>
      </c>
      <c r="D9186" t="s">
        <v>802</v>
      </c>
      <c r="F9186">
        <v>2.4346451486785001E-8</v>
      </c>
      <c r="G9186">
        <v>2129287</v>
      </c>
      <c r="H9186">
        <v>14499974</v>
      </c>
      <c r="I9186">
        <v>855082</v>
      </c>
      <c r="J9186">
        <v>3</v>
      </c>
    </row>
    <row r="9187" spans="1:10" x14ac:dyDescent="0.25">
      <c r="A9187" t="s">
        <v>78</v>
      </c>
      <c r="B9187" s="1" t="str">
        <f>HYPERLINK("http://vuse.com.au","vuse.com.au")</f>
        <v>vuse.com.au</v>
      </c>
      <c r="C9187" t="s">
        <v>420</v>
      </c>
      <c r="D9187" t="s">
        <v>802</v>
      </c>
      <c r="F9187">
        <v>4.4596464343675699E-9</v>
      </c>
      <c r="G9187">
        <v>67859525</v>
      </c>
      <c r="H9187">
        <v>10840580</v>
      </c>
      <c r="I9187">
        <v>37167900</v>
      </c>
      <c r="J9187">
        <v>4</v>
      </c>
    </row>
    <row r="9188" spans="1:10" x14ac:dyDescent="0.25">
      <c r="A9188" t="s">
        <v>78</v>
      </c>
      <c r="B9188" s="1" t="str">
        <f>HYPERLINK("http://vuse.be","vuse.be")</f>
        <v>vuse.be</v>
      </c>
      <c r="C9188" t="s">
        <v>421</v>
      </c>
      <c r="D9188" t="s">
        <v>803</v>
      </c>
      <c r="J9188">
        <v>2</v>
      </c>
    </row>
    <row r="9189" spans="1:10" x14ac:dyDescent="0.25">
      <c r="A9189" t="s">
        <v>78</v>
      </c>
      <c r="B9189" s="1" t="str">
        <f>HYPERLINK("http://bat.bg","bat.bg")</f>
        <v>bat.bg</v>
      </c>
      <c r="C9189" t="s">
        <v>422</v>
      </c>
      <c r="D9189" t="s">
        <v>804</v>
      </c>
      <c r="F9189">
        <v>9.2184712778070501E-9</v>
      </c>
      <c r="G9189">
        <v>7685234</v>
      </c>
      <c r="H9189">
        <v>12500553</v>
      </c>
      <c r="I9189">
        <v>17353186</v>
      </c>
      <c r="J9189">
        <v>2</v>
      </c>
    </row>
    <row r="9190" spans="1:10" x14ac:dyDescent="0.25">
      <c r="A9190" t="s">
        <v>78</v>
      </c>
      <c r="B9190" s="1" t="str">
        <f>HYPERLINK("http://souzacruz.com.br","souzacruz.com.br")</f>
        <v>souzacruz.com.br</v>
      </c>
      <c r="C9190" t="s">
        <v>425</v>
      </c>
      <c r="D9190" t="s">
        <v>806</v>
      </c>
      <c r="F9190">
        <v>1.73280478645037E-8</v>
      </c>
      <c r="G9190">
        <v>3192285</v>
      </c>
      <c r="H9190">
        <v>14245612</v>
      </c>
      <c r="I9190">
        <v>1465342</v>
      </c>
      <c r="J9190">
        <v>3</v>
      </c>
    </row>
    <row r="9191" spans="1:10" x14ac:dyDescent="0.25">
      <c r="A9191" t="s">
        <v>78</v>
      </c>
      <c r="B9191" s="1" t="str">
        <f>HYPERLINK("http://bat.ch","bat.ch")</f>
        <v>bat.ch</v>
      </c>
      <c r="C9191" t="s">
        <v>429</v>
      </c>
      <c r="D9191" t="s">
        <v>810</v>
      </c>
      <c r="F9191">
        <v>2.0375487999128902E-8</v>
      </c>
      <c r="G9191">
        <v>2603128</v>
      </c>
      <c r="H9191">
        <v>14077143</v>
      </c>
      <c r="I9191">
        <v>2871995</v>
      </c>
      <c r="J9191">
        <v>2</v>
      </c>
    </row>
    <row r="9192" spans="1:10" x14ac:dyDescent="0.25">
      <c r="A9192" t="s">
        <v>78</v>
      </c>
      <c r="B9192" s="1" t="str">
        <f>HYPERLINK("http://10motives.com","10motives.com")</f>
        <v>10motives.com</v>
      </c>
      <c r="C9192" t="s">
        <v>433</v>
      </c>
      <c r="F9192">
        <v>5.6604283151636698E-9</v>
      </c>
      <c r="G9192">
        <v>19301486</v>
      </c>
      <c r="H9192">
        <v>13763653</v>
      </c>
      <c r="I9192">
        <v>7883258</v>
      </c>
      <c r="J9192">
        <v>3</v>
      </c>
    </row>
    <row r="9193" spans="1:10" x14ac:dyDescent="0.25">
      <c r="A9193" t="s">
        <v>78</v>
      </c>
      <c r="B9193" s="1" t="str">
        <f>HYPERLINK("http://1astjames.com","1astjames.com")</f>
        <v>1astjames.com</v>
      </c>
      <c r="C9193" t="s">
        <v>433</v>
      </c>
      <c r="F9193">
        <v>4.7116971729579402E-9</v>
      </c>
      <c r="G9193">
        <v>40661600</v>
      </c>
      <c r="H9193">
        <v>12032647</v>
      </c>
      <c r="I9193">
        <v>27605395</v>
      </c>
      <c r="J9193">
        <v>3</v>
      </c>
    </row>
    <row r="9194" spans="1:10" x14ac:dyDescent="0.25">
      <c r="A9194" t="s">
        <v>78</v>
      </c>
      <c r="B9194" s="1" t="str">
        <f>HYPERLINK("http://abetterwaythr.com","abetterwaythr.com")</f>
        <v>abetterwaythr.com</v>
      </c>
      <c r="C9194" t="s">
        <v>433</v>
      </c>
      <c r="J9194">
        <v>2</v>
      </c>
    </row>
    <row r="9195" spans="1:10" x14ac:dyDescent="0.25">
      <c r="A9195" t="s">
        <v>78</v>
      </c>
      <c r="B9195" s="1" t="str">
        <f>HYPERLINK("http://americansnuffco.com","americansnuffco.com")</f>
        <v>americansnuffco.com</v>
      </c>
      <c r="C9195" t="s">
        <v>433</v>
      </c>
      <c r="F9195">
        <v>1.03674604012956E-8</v>
      </c>
      <c r="G9195">
        <v>6388481</v>
      </c>
      <c r="H9195">
        <v>14075230</v>
      </c>
      <c r="I9195">
        <v>2914767</v>
      </c>
      <c r="J9195">
        <v>5</v>
      </c>
    </row>
    <row r="9196" spans="1:10" x14ac:dyDescent="0.25">
      <c r="A9196" t="s">
        <v>78</v>
      </c>
      <c r="B9196" s="1" t="str">
        <f>HYPERLINK("http://bat.com","bat.com")</f>
        <v>bat.com</v>
      </c>
      <c r="C9196" t="s">
        <v>433</v>
      </c>
      <c r="E9196">
        <v>53824</v>
      </c>
      <c r="F9196">
        <v>6.5573205248493699E-7</v>
      </c>
      <c r="G9196">
        <v>58719</v>
      </c>
      <c r="H9196">
        <v>17286670</v>
      </c>
      <c r="I9196">
        <v>29406</v>
      </c>
      <c r="J9196">
        <v>1</v>
      </c>
    </row>
    <row r="9197" spans="1:10" x14ac:dyDescent="0.25">
      <c r="A9197" t="s">
        <v>78</v>
      </c>
      <c r="B9197" s="1" t="str">
        <f>HYPERLINK("http://batbangladesh.com","batbangladesh.com")</f>
        <v>batbangladesh.com</v>
      </c>
      <c r="C9197" t="s">
        <v>433</v>
      </c>
      <c r="F9197">
        <v>1.2310647931292499E-8</v>
      </c>
      <c r="G9197">
        <v>4988569</v>
      </c>
      <c r="H9197">
        <v>12767771</v>
      </c>
      <c r="I9197">
        <v>14858047</v>
      </c>
      <c r="J9197">
        <v>3</v>
      </c>
    </row>
    <row r="9198" spans="1:10" x14ac:dyDescent="0.25">
      <c r="A9198" t="s">
        <v>78</v>
      </c>
      <c r="B9198" s="1" t="str">
        <f>HYPERLINK("http://batbenelux.com","batbenelux.com")</f>
        <v>batbenelux.com</v>
      </c>
      <c r="C9198" t="s">
        <v>433</v>
      </c>
      <c r="F9198">
        <v>7.0850233811828697E-9</v>
      </c>
      <c r="G9198">
        <v>12057622</v>
      </c>
      <c r="H9198">
        <v>14073874</v>
      </c>
      <c r="I9198">
        <v>2966945</v>
      </c>
      <c r="J9198">
        <v>3</v>
      </c>
    </row>
    <row r="9199" spans="1:10" x14ac:dyDescent="0.25">
      <c r="A9199" t="s">
        <v>78</v>
      </c>
      <c r="B9199" s="1" t="str">
        <f>HYPERLINK("http://batcentralamerica.com","batcentralamerica.com")</f>
        <v>batcentralamerica.com</v>
      </c>
      <c r="C9199" t="s">
        <v>433</v>
      </c>
      <c r="F9199">
        <v>1.1846319375152001E-8</v>
      </c>
      <c r="G9199">
        <v>5272846</v>
      </c>
      <c r="H9199">
        <v>12623790</v>
      </c>
      <c r="I9199">
        <v>16049909</v>
      </c>
      <c r="J9199">
        <v>3</v>
      </c>
    </row>
    <row r="9200" spans="1:10" x14ac:dyDescent="0.25">
      <c r="A9200" t="s">
        <v>78</v>
      </c>
      <c r="B9200" s="1" t="str">
        <f>HYPERLINK("http://batchile.com","batchile.com")</f>
        <v>batchile.com</v>
      </c>
      <c r="C9200" t="s">
        <v>433</v>
      </c>
      <c r="F9200">
        <v>1.34394658713463E-8</v>
      </c>
      <c r="G9200">
        <v>4430973</v>
      </c>
      <c r="H9200">
        <v>12281448</v>
      </c>
      <c r="I9200">
        <v>21279806</v>
      </c>
      <c r="J9200">
        <v>3</v>
      </c>
    </row>
    <row r="9201" spans="1:10" x14ac:dyDescent="0.25">
      <c r="A9201" t="s">
        <v>78</v>
      </c>
      <c r="B9201" s="1" t="str">
        <f>HYPERLINK("http://batcolombia.com","batcolombia.com")</f>
        <v>batcolombia.com</v>
      </c>
      <c r="C9201" t="s">
        <v>433</v>
      </c>
      <c r="F9201">
        <v>8.4821582694878602E-9</v>
      </c>
      <c r="G9201">
        <v>8879500</v>
      </c>
      <c r="H9201">
        <v>12491723</v>
      </c>
      <c r="I9201">
        <v>17473051</v>
      </c>
      <c r="J9201">
        <v>3</v>
      </c>
    </row>
    <row r="9202" spans="1:10" x14ac:dyDescent="0.25">
      <c r="A9202" t="s">
        <v>78</v>
      </c>
      <c r="B9202" s="1" t="str">
        <f>HYPERLINK("http://batfrance.com","batfrance.com")</f>
        <v>batfrance.com</v>
      </c>
      <c r="C9202" t="s">
        <v>433</v>
      </c>
      <c r="F9202">
        <v>1.01866840669959E-8</v>
      </c>
      <c r="G9202">
        <v>6560216</v>
      </c>
      <c r="H9202">
        <v>13786647</v>
      </c>
      <c r="I9202">
        <v>6383092</v>
      </c>
      <c r="J9202">
        <v>3</v>
      </c>
    </row>
    <row r="9203" spans="1:10" x14ac:dyDescent="0.25">
      <c r="A9203" t="s">
        <v>78</v>
      </c>
      <c r="B9203" s="1" t="str">
        <f>HYPERLINK("http://batgen.com","batgen.com")</f>
        <v>batgen.com</v>
      </c>
      <c r="C9203" t="s">
        <v>433</v>
      </c>
      <c r="E9203">
        <v>69056</v>
      </c>
      <c r="F9203">
        <v>6.0747344308821896E-9</v>
      </c>
      <c r="G9203">
        <v>16238132</v>
      </c>
      <c r="H9203">
        <v>13075297</v>
      </c>
      <c r="I9203">
        <v>12214176</v>
      </c>
      <c r="J9203">
        <v>2</v>
      </c>
    </row>
    <row r="9204" spans="1:10" x14ac:dyDescent="0.25">
      <c r="A9204" t="s">
        <v>78</v>
      </c>
      <c r="B9204" s="1" t="str">
        <f>HYPERLINK("http://bathongkong.com","bathongkong.com")</f>
        <v>bathongkong.com</v>
      </c>
      <c r="C9204" t="s">
        <v>433</v>
      </c>
      <c r="F9204">
        <v>7.3710222664328701E-9</v>
      </c>
      <c r="G9204">
        <v>11311524</v>
      </c>
      <c r="H9204">
        <v>12142316</v>
      </c>
      <c r="I9204">
        <v>24828880</v>
      </c>
      <c r="J9204">
        <v>3</v>
      </c>
    </row>
    <row r="9205" spans="1:10" x14ac:dyDescent="0.25">
      <c r="A9205" t="s">
        <v>78</v>
      </c>
      <c r="B9205" s="1" t="str">
        <f>HYPERLINK("http://batitalia.com","batitalia.com")</f>
        <v>batitalia.com</v>
      </c>
      <c r="C9205" t="s">
        <v>433</v>
      </c>
      <c r="F9205">
        <v>1.7315930892979001E-8</v>
      </c>
      <c r="G9205">
        <v>3195244</v>
      </c>
      <c r="H9205">
        <v>14119111</v>
      </c>
      <c r="I9205">
        <v>2657650</v>
      </c>
      <c r="J9205">
        <v>3</v>
      </c>
    </row>
    <row r="9206" spans="1:10" x14ac:dyDescent="0.25">
      <c r="A9206" t="s">
        <v>78</v>
      </c>
      <c r="B9206" s="1" t="str">
        <f>HYPERLINK("http://batj.com","batj.com")</f>
        <v>batj.com</v>
      </c>
      <c r="C9206" t="s">
        <v>433</v>
      </c>
      <c r="F9206">
        <v>3.3056255563633703E-8</v>
      </c>
      <c r="G9206">
        <v>1562960</v>
      </c>
      <c r="H9206">
        <v>14090821</v>
      </c>
      <c r="I9206">
        <v>2747144</v>
      </c>
      <c r="J9206">
        <v>3</v>
      </c>
    </row>
    <row r="9207" spans="1:10" x14ac:dyDescent="0.25">
      <c r="A9207" t="s">
        <v>78</v>
      </c>
      <c r="B9207" s="1" t="str">
        <f>HYPERLINK("http://batkenya.com","batkenya.com")</f>
        <v>batkenya.com</v>
      </c>
      <c r="C9207" t="s">
        <v>433</v>
      </c>
      <c r="F9207">
        <v>1.4094729180468599E-8</v>
      </c>
      <c r="G9207">
        <v>4167537</v>
      </c>
      <c r="H9207">
        <v>12947970</v>
      </c>
      <c r="I9207">
        <v>13225889</v>
      </c>
      <c r="J9207">
        <v>3</v>
      </c>
    </row>
    <row r="9208" spans="1:10" x14ac:dyDescent="0.25">
      <c r="A9208" t="s">
        <v>78</v>
      </c>
      <c r="B9208" s="1" t="str">
        <f>HYPERLINK("http://batmalaysia.com","batmalaysia.com")</f>
        <v>batmalaysia.com</v>
      </c>
      <c r="C9208" t="s">
        <v>433</v>
      </c>
      <c r="F9208">
        <v>1.6897782435272298E-8</v>
      </c>
      <c r="G9208">
        <v>3307782</v>
      </c>
      <c r="H9208">
        <v>14090596</v>
      </c>
      <c r="I9208">
        <v>2748840</v>
      </c>
      <c r="J9208">
        <v>3</v>
      </c>
    </row>
    <row r="9209" spans="1:10" x14ac:dyDescent="0.25">
      <c r="A9209" t="s">
        <v>78</v>
      </c>
      <c r="B9209" s="1" t="str">
        <f>HYPERLINK("http://batmexico.com","batmexico.com")</f>
        <v>batmexico.com</v>
      </c>
      <c r="C9209" t="s">
        <v>433</v>
      </c>
      <c r="J9209">
        <v>3</v>
      </c>
    </row>
    <row r="9210" spans="1:10" x14ac:dyDescent="0.25">
      <c r="A9210" t="s">
        <v>78</v>
      </c>
      <c r="B9210" s="1" t="str">
        <f>HYPERLINK("http://batnz.com","batnz.com")</f>
        <v>batnz.com</v>
      </c>
      <c r="C9210" t="s">
        <v>433</v>
      </c>
      <c r="F9210">
        <v>9.9665281683150395E-9</v>
      </c>
      <c r="G9210">
        <v>6789288</v>
      </c>
      <c r="H9210">
        <v>13172328</v>
      </c>
      <c r="I9210">
        <v>11716765</v>
      </c>
      <c r="J9210">
        <v>4</v>
      </c>
    </row>
    <row r="9211" spans="1:10" x14ac:dyDescent="0.25">
      <c r="A9211" t="s">
        <v>78</v>
      </c>
      <c r="B9211" s="1" t="str">
        <f>HYPERLINK("http://batperu.com","batperu.com")</f>
        <v>batperu.com</v>
      </c>
      <c r="C9211" t="s">
        <v>433</v>
      </c>
      <c r="F9211">
        <v>3.0841404473297097E-8</v>
      </c>
      <c r="G9211">
        <v>1670262</v>
      </c>
      <c r="H9211">
        <v>12189951</v>
      </c>
      <c r="I9211">
        <v>23585178</v>
      </c>
      <c r="J9211">
        <v>3</v>
      </c>
    </row>
    <row r="9212" spans="1:10" x14ac:dyDescent="0.25">
      <c r="A9212" t="s">
        <v>78</v>
      </c>
      <c r="B9212" s="1" t="str">
        <f>HYPERLINK("http://batzimbabwe.com","batzimbabwe.com")</f>
        <v>batzimbabwe.com</v>
      </c>
      <c r="C9212" t="s">
        <v>433</v>
      </c>
      <c r="F9212">
        <v>7.4672641997404504E-9</v>
      </c>
      <c r="G9212">
        <v>11086930</v>
      </c>
      <c r="H9212">
        <v>12147341</v>
      </c>
      <c r="I9212">
        <v>24692822</v>
      </c>
      <c r="J9212">
        <v>4</v>
      </c>
    </row>
    <row r="9213" spans="1:10" x14ac:dyDescent="0.25">
      <c r="A9213" t="s">
        <v>78</v>
      </c>
      <c r="B9213" s="1" t="str">
        <f>HYPERLINK("http://bentoelgroup.com","bentoelgroup.com")</f>
        <v>bentoelgroup.com</v>
      </c>
      <c r="C9213" t="s">
        <v>433</v>
      </c>
      <c r="F9213">
        <v>1.21902350193566E-8</v>
      </c>
      <c r="G9213">
        <v>5056260</v>
      </c>
      <c r="H9213">
        <v>14072095</v>
      </c>
      <c r="I9213">
        <v>3164109</v>
      </c>
      <c r="J9213">
        <v>3</v>
      </c>
    </row>
    <row r="9214" spans="1:10" x14ac:dyDescent="0.25">
      <c r="A9214" t="s">
        <v>78</v>
      </c>
      <c r="B9214" s="1" t="str">
        <f>HYPERLINK("http://bncc-sd.com","bncc-sd.com")</f>
        <v>bncc-sd.com</v>
      </c>
      <c r="C9214" t="s">
        <v>433</v>
      </c>
      <c r="J9214">
        <v>3</v>
      </c>
    </row>
    <row r="9215" spans="1:10" x14ac:dyDescent="0.25">
      <c r="A9215" t="s">
        <v>78</v>
      </c>
      <c r="B9215" s="1" t="str">
        <f>HYPERLINK("http://btomorrowv.com","btomorrowv.com")</f>
        <v>btomorrowv.com</v>
      </c>
      <c r="C9215" t="s">
        <v>433</v>
      </c>
      <c r="F9215">
        <v>9.3661345474046695E-9</v>
      </c>
      <c r="G9215">
        <v>7487595</v>
      </c>
      <c r="H9215">
        <v>12445830</v>
      </c>
      <c r="I9215">
        <v>18077157</v>
      </c>
      <c r="J9215">
        <v>3</v>
      </c>
    </row>
    <row r="9216" spans="1:10" x14ac:dyDescent="0.25">
      <c r="A9216" t="s">
        <v>78</v>
      </c>
      <c r="B9216" s="1" t="str">
        <f>HYPERLINK("http://carrerasltd.com","carrerasltd.com")</f>
        <v>carrerasltd.com</v>
      </c>
      <c r="C9216" t="s">
        <v>433</v>
      </c>
      <c r="F9216">
        <v>8.0572077207786999E-9</v>
      </c>
      <c r="G9216">
        <v>9817145</v>
      </c>
      <c r="H9216">
        <v>12390779</v>
      </c>
      <c r="I9216">
        <v>19019266</v>
      </c>
      <c r="J9216">
        <v>3</v>
      </c>
    </row>
    <row r="9217" spans="1:10" x14ac:dyDescent="0.25">
      <c r="A9217" t="s">
        <v>78</v>
      </c>
      <c r="B9217" s="1" t="str">
        <f>HYPERLINK("http://ceylontobaccocompany.com","ceylontobaccocompany.com")</f>
        <v>ceylontobaccocompany.com</v>
      </c>
      <c r="C9217" t="s">
        <v>433</v>
      </c>
      <c r="F9217">
        <v>9.9146755648756403E-9</v>
      </c>
      <c r="G9217">
        <v>6843518</v>
      </c>
      <c r="H9217">
        <v>14236578</v>
      </c>
      <c r="I9217">
        <v>1579180</v>
      </c>
      <c r="J9217">
        <v>3</v>
      </c>
    </row>
    <row r="9218" spans="1:10" x14ac:dyDescent="0.25">
      <c r="A9218" t="s">
        <v>78</v>
      </c>
      <c r="B9218" s="1" t="str">
        <f>HYPERLINK("http://discoverglo.com","discoverglo.com")</f>
        <v>discoverglo.com</v>
      </c>
      <c r="C9218" t="s">
        <v>433</v>
      </c>
      <c r="E9218">
        <v>578917</v>
      </c>
      <c r="F9218">
        <v>4.4929822431418003E-8</v>
      </c>
      <c r="G9218">
        <v>1051704</v>
      </c>
      <c r="H9218">
        <v>13453462</v>
      </c>
      <c r="I9218">
        <v>10203051</v>
      </c>
      <c r="J9218">
        <v>4</v>
      </c>
    </row>
    <row r="9219" spans="1:10" x14ac:dyDescent="0.25">
      <c r="A9219" t="s">
        <v>78</v>
      </c>
      <c r="B9219" s="1" t="str">
        <f>HYPERLINK("http://govype.com","govype.com")</f>
        <v>govype.com</v>
      </c>
      <c r="C9219" t="s">
        <v>433</v>
      </c>
      <c r="E9219">
        <v>737359</v>
      </c>
      <c r="F9219">
        <v>3.85489556569945E-8</v>
      </c>
      <c r="G9219">
        <v>1337832</v>
      </c>
      <c r="H9219">
        <v>14202815</v>
      </c>
      <c r="I9219">
        <v>1717518</v>
      </c>
      <c r="J9219">
        <v>3</v>
      </c>
    </row>
    <row r="9220" spans="1:10" x14ac:dyDescent="0.25">
      <c r="A9220" t="s">
        <v>78</v>
      </c>
      <c r="B9220" s="1" t="str">
        <f>HYPERLINK("http://imasco.com","imasco.com")</f>
        <v>imasco.com</v>
      </c>
      <c r="C9220" t="s">
        <v>433</v>
      </c>
      <c r="F9220">
        <v>4.4662944321054203E-9</v>
      </c>
      <c r="G9220">
        <v>65852131</v>
      </c>
      <c r="H9220">
        <v>11247226</v>
      </c>
      <c r="I9220">
        <v>30917271</v>
      </c>
      <c r="J9220">
        <v>3</v>
      </c>
    </row>
    <row r="9221" spans="1:10" x14ac:dyDescent="0.25">
      <c r="A9221" t="s">
        <v>78</v>
      </c>
      <c r="B9221" s="1" t="str">
        <f>HYPERLINK("http://imperialtobaccocanada.com","imperialtobaccocanada.com")</f>
        <v>imperialtobaccocanada.com</v>
      </c>
      <c r="C9221" t="s">
        <v>433</v>
      </c>
      <c r="F9221">
        <v>3.1036292762628703E-8</v>
      </c>
      <c r="G9221">
        <v>1660548</v>
      </c>
      <c r="H9221">
        <v>14107720</v>
      </c>
      <c r="I9221">
        <v>2682213</v>
      </c>
      <c r="J9221">
        <v>3</v>
      </c>
    </row>
    <row r="9222" spans="1:10" x14ac:dyDescent="0.25">
      <c r="A9222" t="s">
        <v>78</v>
      </c>
      <c r="B9222" s="1" t="str">
        <f>HYPERLINK("http://kbio.com","kbio.com")</f>
        <v>kbio.com</v>
      </c>
      <c r="C9222" t="s">
        <v>433</v>
      </c>
      <c r="F9222">
        <v>7.4752842475782397E-9</v>
      </c>
      <c r="G9222">
        <v>11069117</v>
      </c>
      <c r="H9222">
        <v>12514398</v>
      </c>
      <c r="I9222">
        <v>17202681</v>
      </c>
      <c r="J9222">
        <v>4</v>
      </c>
    </row>
    <row r="9223" spans="1:10" x14ac:dyDescent="0.25">
      <c r="A9223" t="s">
        <v>78</v>
      </c>
      <c r="B9223" s="1" t="str">
        <f>HYPERLINK("http://lorillard.com","lorillard.com")</f>
        <v>lorillard.com</v>
      </c>
      <c r="C9223" t="s">
        <v>433</v>
      </c>
      <c r="F9223">
        <v>2.28633831830963E-8</v>
      </c>
      <c r="G9223">
        <v>2286758</v>
      </c>
      <c r="H9223">
        <v>14533997</v>
      </c>
      <c r="I9223">
        <v>782473</v>
      </c>
      <c r="J9223">
        <v>6</v>
      </c>
    </row>
    <row r="9224" spans="1:10" x14ac:dyDescent="0.25">
      <c r="A9224" t="s">
        <v>78</v>
      </c>
      <c r="B9224" s="1" t="str">
        <f>HYPERLINK("http://louisvillerelocation.com","louisvillerelocation.com")</f>
        <v>louisvillerelocation.com</v>
      </c>
      <c r="C9224" t="s">
        <v>433</v>
      </c>
      <c r="F9224">
        <v>5.4359539480394099E-9</v>
      </c>
      <c r="G9224">
        <v>21667166</v>
      </c>
      <c r="H9224">
        <v>12803086</v>
      </c>
      <c r="I9224">
        <v>14625120</v>
      </c>
      <c r="J9224">
        <v>3</v>
      </c>
    </row>
    <row r="9225" spans="1:10" x14ac:dyDescent="0.25">
      <c r="A9225" t="s">
        <v>78</v>
      </c>
      <c r="B9225" s="1" t="str">
        <f>HYPERLINK("http://noblezapiccardo.com","noblezapiccardo.com")</f>
        <v>noblezapiccardo.com</v>
      </c>
      <c r="C9225" t="s">
        <v>433</v>
      </c>
      <c r="F9225">
        <v>8.5969414266317303E-9</v>
      </c>
      <c r="G9225">
        <v>8661939</v>
      </c>
      <c r="H9225">
        <v>13796752</v>
      </c>
      <c r="I9225">
        <v>6300729</v>
      </c>
      <c r="J9225">
        <v>3</v>
      </c>
    </row>
    <row r="9226" spans="1:10" x14ac:dyDescent="0.25">
      <c r="A9226" t="s">
        <v>78</v>
      </c>
      <c r="B9226" s="1" t="str">
        <f>HYPERLINK("http://reynoldsamerican.com","reynoldsamerican.com")</f>
        <v>reynoldsamerican.com</v>
      </c>
      <c r="C9226" t="s">
        <v>433</v>
      </c>
      <c r="E9226">
        <v>381322</v>
      </c>
      <c r="F9226">
        <v>1.2066428679953399E-7</v>
      </c>
      <c r="G9226">
        <v>327437</v>
      </c>
      <c r="H9226">
        <v>14601989</v>
      </c>
      <c r="I9226">
        <v>684590</v>
      </c>
      <c r="J9226">
        <v>3</v>
      </c>
    </row>
    <row r="9227" spans="1:10" x14ac:dyDescent="0.25">
      <c r="A9227" t="s">
        <v>78</v>
      </c>
      <c r="B9227" s="1" t="str">
        <f>HYPERLINK("http://reynoldsscience.com","reynoldsscience.com")</f>
        <v>reynoldsscience.com</v>
      </c>
      <c r="C9227" t="s">
        <v>433</v>
      </c>
      <c r="J9227">
        <v>2</v>
      </c>
    </row>
    <row r="9228" spans="1:10" x14ac:dyDescent="0.25">
      <c r="A9228" t="s">
        <v>78</v>
      </c>
      <c r="B9228" s="1" t="str">
        <f>HYPERLINK("http://rjr.com","rjr.com")</f>
        <v>rjr.com</v>
      </c>
      <c r="C9228" t="s">
        <v>433</v>
      </c>
      <c r="E9228">
        <v>535595</v>
      </c>
      <c r="F9228">
        <v>5.6294197254859997E-9</v>
      </c>
      <c r="G9228">
        <v>19580950</v>
      </c>
      <c r="H9228">
        <v>13410935</v>
      </c>
      <c r="I9228">
        <v>10336951</v>
      </c>
      <c r="J9228">
        <v>2</v>
      </c>
    </row>
    <row r="9229" spans="1:10" x14ac:dyDescent="0.25">
      <c r="A9229" t="s">
        <v>78</v>
      </c>
      <c r="B9229" s="1" t="str">
        <f>HYPERLINK("http://rjrrealty.com","rjrrealty.com")</f>
        <v>rjrrealty.com</v>
      </c>
      <c r="C9229" t="s">
        <v>433</v>
      </c>
      <c r="F9229">
        <v>4.44380395335525E-9</v>
      </c>
      <c r="G9229">
        <v>83215413</v>
      </c>
      <c r="H9229">
        <v>0</v>
      </c>
      <c r="I9229">
        <v>83991350</v>
      </c>
      <c r="J9229">
        <v>4</v>
      </c>
    </row>
    <row r="9230" spans="1:10" x14ac:dyDescent="0.25">
      <c r="A9230" t="s">
        <v>78</v>
      </c>
      <c r="B9230" s="1" t="str">
        <f>HYPERLINK("http://rjrt.com","rjrt.com")</f>
        <v>rjrt.com</v>
      </c>
      <c r="C9230" t="s">
        <v>433</v>
      </c>
      <c r="E9230">
        <v>408218</v>
      </c>
      <c r="F9230">
        <v>8.15484905018682E-8</v>
      </c>
      <c r="G9230">
        <v>511801</v>
      </c>
      <c r="H9230">
        <v>14904231</v>
      </c>
      <c r="I9230">
        <v>461205</v>
      </c>
      <c r="J9230">
        <v>2</v>
      </c>
    </row>
    <row r="9231" spans="1:10" x14ac:dyDescent="0.25">
      <c r="A9231" t="s">
        <v>78</v>
      </c>
      <c r="B9231" s="1" t="str">
        <f>HYPERLINK("http://sfimports.com","sfimports.com")</f>
        <v>sfimports.com</v>
      </c>
      <c r="C9231" t="s">
        <v>433</v>
      </c>
      <c r="J9231">
        <v>3</v>
      </c>
    </row>
    <row r="9232" spans="1:10" x14ac:dyDescent="0.25">
      <c r="A9232" t="s">
        <v>78</v>
      </c>
      <c r="B9232" s="1" t="str">
        <f>HYPERLINK("http://sfntc.com","sfntc.com")</f>
        <v>sfntc.com</v>
      </c>
      <c r="C9232" t="s">
        <v>433</v>
      </c>
      <c r="F9232">
        <v>1.2421427868032599E-8</v>
      </c>
      <c r="G9232">
        <v>4927847</v>
      </c>
      <c r="H9232">
        <v>12846758</v>
      </c>
      <c r="I9232">
        <v>14311532</v>
      </c>
      <c r="J9232">
        <v>5</v>
      </c>
    </row>
    <row r="9233" spans="1:10" x14ac:dyDescent="0.25">
      <c r="A9233" t="s">
        <v>78</v>
      </c>
      <c r="B9233" s="1" t="str">
        <f>HYPERLINK("http://voiceteam1.com","voiceteam1.com")</f>
        <v>voiceteam1.com</v>
      </c>
      <c r="C9233" t="s">
        <v>433</v>
      </c>
      <c r="J9233">
        <v>4</v>
      </c>
    </row>
    <row r="9234" spans="1:10" x14ac:dyDescent="0.25">
      <c r="A9234" t="s">
        <v>78</v>
      </c>
      <c r="B9234" s="1" t="str">
        <f>HYPERLINK("http://vuse.com","vuse.com")</f>
        <v>vuse.com</v>
      </c>
      <c r="C9234" t="s">
        <v>433</v>
      </c>
      <c r="E9234">
        <v>182120</v>
      </c>
      <c r="F9234">
        <v>8.8716859423496004E-8</v>
      </c>
      <c r="G9234">
        <v>461107</v>
      </c>
      <c r="H9234">
        <v>14106150</v>
      </c>
      <c r="I9234">
        <v>2689219</v>
      </c>
      <c r="J9234">
        <v>2</v>
      </c>
    </row>
    <row r="9235" spans="1:10" x14ac:dyDescent="0.25">
      <c r="A9235" t="s">
        <v>78</v>
      </c>
      <c r="B9235" s="1" t="str">
        <f>HYPERLINK("http://vusevape.com","vusevape.com")</f>
        <v>vusevape.com</v>
      </c>
      <c r="C9235" t="s">
        <v>433</v>
      </c>
      <c r="J9235">
        <v>2</v>
      </c>
    </row>
    <row r="9236" spans="1:10" x14ac:dyDescent="0.25">
      <c r="A9236" t="s">
        <v>78</v>
      </c>
      <c r="B9236" s="1" t="str">
        <f>HYPERLINK("http://vypeengage.com","vypeengage.com")</f>
        <v>vypeengage.com</v>
      </c>
      <c r="C9236" t="s">
        <v>433</v>
      </c>
      <c r="J9236">
        <v>2</v>
      </c>
    </row>
    <row r="9237" spans="1:10" x14ac:dyDescent="0.25">
      <c r="A9237" t="s">
        <v>78</v>
      </c>
      <c r="B9237" s="1" t="str">
        <f>HYPERLINK("http://westindiantobacco.com","westindiantobacco.com")</f>
        <v>westindiantobacco.com</v>
      </c>
      <c r="C9237" t="s">
        <v>433</v>
      </c>
      <c r="F9237">
        <v>4.6000131667356802E-9</v>
      </c>
      <c r="G9237">
        <v>47615921</v>
      </c>
      <c r="H9237">
        <v>10766803</v>
      </c>
      <c r="I9237">
        <v>39380012</v>
      </c>
      <c r="J9237">
        <v>5</v>
      </c>
    </row>
    <row r="9238" spans="1:10" x14ac:dyDescent="0.25">
      <c r="A9238" t="s">
        <v>78</v>
      </c>
      <c r="B9238" s="1" t="str">
        <f>HYPERLINK("http://brascuba.cu","brascuba.cu")</f>
        <v>brascuba.cu</v>
      </c>
      <c r="C9238" t="s">
        <v>592</v>
      </c>
      <c r="D9238" t="s">
        <v>927</v>
      </c>
      <c r="F9238">
        <v>6.13172320206135E-9</v>
      </c>
      <c r="G9238">
        <v>15916253</v>
      </c>
      <c r="H9238">
        <v>11459609</v>
      </c>
      <c r="I9238">
        <v>30100178</v>
      </c>
      <c r="J9238">
        <v>3</v>
      </c>
    </row>
    <row r="9239" spans="1:10" x14ac:dyDescent="0.25">
      <c r="A9239" t="s">
        <v>78</v>
      </c>
      <c r="B9239" s="1" t="str">
        <f>HYPERLINK("http://bat.de","bat.de")</f>
        <v>bat.de</v>
      </c>
      <c r="C9239" t="s">
        <v>436</v>
      </c>
      <c r="D9239" t="s">
        <v>815</v>
      </c>
      <c r="E9239">
        <v>720559</v>
      </c>
      <c r="F9239">
        <v>3.2235920441970403E-8</v>
      </c>
      <c r="G9239">
        <v>1604107</v>
      </c>
      <c r="H9239">
        <v>14248872</v>
      </c>
      <c r="I9239">
        <v>1451493</v>
      </c>
      <c r="J9239">
        <v>2</v>
      </c>
    </row>
    <row r="9240" spans="1:10" x14ac:dyDescent="0.25">
      <c r="A9240" t="s">
        <v>78</v>
      </c>
      <c r="B9240" s="1" t="str">
        <f>HYPERLINK("http://highendsmoke.de","highendsmoke.de")</f>
        <v>highendsmoke.de</v>
      </c>
      <c r="C9240" t="s">
        <v>436</v>
      </c>
      <c r="D9240" t="s">
        <v>815</v>
      </c>
      <c r="F9240">
        <v>1.6207567419457002E-8</v>
      </c>
      <c r="G9240">
        <v>3493500</v>
      </c>
      <c r="H9240">
        <v>13772080</v>
      </c>
      <c r="I9240">
        <v>6671810</v>
      </c>
      <c r="J9240">
        <v>3</v>
      </c>
    </row>
    <row r="9241" spans="1:10" x14ac:dyDescent="0.25">
      <c r="A9241" t="s">
        <v>78</v>
      </c>
      <c r="B9241" s="1" t="str">
        <f>HYPERLINK("http://pall-mall.de","pall-mall.de")</f>
        <v>pall-mall.de</v>
      </c>
      <c r="C9241" t="s">
        <v>436</v>
      </c>
      <c r="D9241" t="s">
        <v>815</v>
      </c>
      <c r="F9241">
        <v>6.3412051117005901E-9</v>
      </c>
      <c r="G9241">
        <v>14805197</v>
      </c>
      <c r="H9241">
        <v>13559062</v>
      </c>
      <c r="I9241">
        <v>9859109</v>
      </c>
      <c r="J9241">
        <v>2</v>
      </c>
    </row>
    <row r="9242" spans="1:10" x14ac:dyDescent="0.25">
      <c r="A9242" t="s">
        <v>78</v>
      </c>
      <c r="B9242" s="1" t="str">
        <f>HYPERLINK("http://vuse.de","vuse.de")</f>
        <v>vuse.de</v>
      </c>
      <c r="C9242" t="s">
        <v>436</v>
      </c>
      <c r="D9242" t="s">
        <v>815</v>
      </c>
      <c r="J9242">
        <v>2</v>
      </c>
    </row>
    <row r="9243" spans="1:10" x14ac:dyDescent="0.25">
      <c r="A9243" t="s">
        <v>78</v>
      </c>
      <c r="B9243" s="1" t="str">
        <f>HYPERLINK("http://prince.dk","prince.dk")</f>
        <v>prince.dk</v>
      </c>
      <c r="C9243" t="s">
        <v>437</v>
      </c>
      <c r="D9243" t="s">
        <v>816</v>
      </c>
      <c r="F9243">
        <v>5.0396028137368998E-9</v>
      </c>
      <c r="G9243">
        <v>28450983</v>
      </c>
      <c r="H9243">
        <v>14071792</v>
      </c>
      <c r="I9243">
        <v>3395019</v>
      </c>
      <c r="J9243">
        <v>3</v>
      </c>
    </row>
    <row r="9244" spans="1:10" x14ac:dyDescent="0.25">
      <c r="A9244" t="s">
        <v>78</v>
      </c>
      <c r="B9244" s="1" t="str">
        <f>HYPERLINK("http://vuse.dk","vuse.dk")</f>
        <v>vuse.dk</v>
      </c>
      <c r="C9244" t="s">
        <v>437</v>
      </c>
      <c r="D9244" t="s">
        <v>816</v>
      </c>
      <c r="J9244">
        <v>2</v>
      </c>
    </row>
    <row r="9245" spans="1:10" x14ac:dyDescent="0.25">
      <c r="A9245" t="s">
        <v>78</v>
      </c>
      <c r="B9245" s="1" t="str">
        <f>HYPERLINK("http://discoverglo.com.eg","discoverglo.com.eg")</f>
        <v>discoverglo.com.eg</v>
      </c>
      <c r="C9245" t="s">
        <v>442</v>
      </c>
      <c r="D9245" t="s">
        <v>821</v>
      </c>
      <c r="F9245">
        <v>4.45987204601511E-9</v>
      </c>
      <c r="G9245">
        <v>67794893</v>
      </c>
      <c r="H9245">
        <v>10559682</v>
      </c>
      <c r="I9245">
        <v>46379672</v>
      </c>
      <c r="J9245">
        <v>5</v>
      </c>
    </row>
    <row r="9246" spans="1:10" x14ac:dyDescent="0.25">
      <c r="A9246" t="s">
        <v>78</v>
      </c>
      <c r="B9246" s="1" t="str">
        <f>HYPERLINK("http://bat.com.es","bat.com.es")</f>
        <v>bat.com.es</v>
      </c>
      <c r="C9246" t="s">
        <v>443</v>
      </c>
      <c r="D9246" t="s">
        <v>822</v>
      </c>
      <c r="F9246">
        <v>1.1030179705074E-8</v>
      </c>
      <c r="G9246">
        <v>5836992</v>
      </c>
      <c r="H9246">
        <v>13777238</v>
      </c>
      <c r="I9246">
        <v>6540649</v>
      </c>
      <c r="J9246">
        <v>2</v>
      </c>
    </row>
    <row r="9247" spans="1:10" x14ac:dyDescent="0.25">
      <c r="A9247" t="s">
        <v>78</v>
      </c>
      <c r="B9247" s="1" t="str">
        <f>HYPERLINK("http://vuse.es","vuse.es")</f>
        <v>vuse.es</v>
      </c>
      <c r="C9247" t="s">
        <v>443</v>
      </c>
      <c r="D9247" t="s">
        <v>822</v>
      </c>
      <c r="F9247">
        <v>1.5711226551211501E-8</v>
      </c>
      <c r="G9247">
        <v>3624344</v>
      </c>
      <c r="H9247">
        <v>12675093</v>
      </c>
      <c r="I9247">
        <v>15558554</v>
      </c>
      <c r="J9247">
        <v>3</v>
      </c>
    </row>
    <row r="9248" spans="1:10" x14ac:dyDescent="0.25">
      <c r="A9248" t="s">
        <v>78</v>
      </c>
      <c r="B9248" s="1" t="str">
        <f>HYPERLINK("http://batfinland.fi","batfinland.fi")</f>
        <v>batfinland.fi</v>
      </c>
      <c r="C9248" t="s">
        <v>445</v>
      </c>
      <c r="D9248" t="s">
        <v>823</v>
      </c>
      <c r="F9248">
        <v>8.0925146807228297E-9</v>
      </c>
      <c r="G9248">
        <v>9755035</v>
      </c>
      <c r="H9248">
        <v>14072085</v>
      </c>
      <c r="I9248">
        <v>3169445</v>
      </c>
      <c r="J9248">
        <v>2</v>
      </c>
    </row>
    <row r="9249" spans="1:10" x14ac:dyDescent="0.25">
      <c r="A9249" t="s">
        <v>78</v>
      </c>
      <c r="B9249" s="1" t="str">
        <f>HYPERLINK("http://batnordic.fi","batnordic.fi")</f>
        <v>batnordic.fi</v>
      </c>
      <c r="C9249" t="s">
        <v>445</v>
      </c>
      <c r="D9249" t="s">
        <v>823</v>
      </c>
      <c r="J9249">
        <v>2</v>
      </c>
    </row>
    <row r="9250" spans="1:10" x14ac:dyDescent="0.25">
      <c r="A9250" t="s">
        <v>78</v>
      </c>
      <c r="B9250" s="1" t="str">
        <f>HYPERLINK("http://epok.fi","epok.fi")</f>
        <v>epok.fi</v>
      </c>
      <c r="C9250" t="s">
        <v>445</v>
      </c>
      <c r="D9250" t="s">
        <v>823</v>
      </c>
      <c r="J9250">
        <v>2</v>
      </c>
    </row>
    <row r="9251" spans="1:10" x14ac:dyDescent="0.25">
      <c r="A9251" t="s">
        <v>78</v>
      </c>
      <c r="B9251" s="1" t="str">
        <f>HYPERLINK("http://golyft.fi","golyft.fi")</f>
        <v>golyft.fi</v>
      </c>
      <c r="C9251" t="s">
        <v>445</v>
      </c>
      <c r="D9251" t="s">
        <v>823</v>
      </c>
      <c r="J9251">
        <v>2</v>
      </c>
    </row>
    <row r="9252" spans="1:10" x14ac:dyDescent="0.25">
      <c r="A9252" t="s">
        <v>78</v>
      </c>
      <c r="B9252" s="1" t="str">
        <f>HYPERLINK("http://kickup.fi","kickup.fi")</f>
        <v>kickup.fi</v>
      </c>
      <c r="C9252" t="s">
        <v>445</v>
      </c>
      <c r="D9252" t="s">
        <v>823</v>
      </c>
      <c r="J9252">
        <v>2</v>
      </c>
    </row>
    <row r="9253" spans="1:10" x14ac:dyDescent="0.25">
      <c r="A9253" t="s">
        <v>78</v>
      </c>
      <c r="B9253" s="1" t="str">
        <f>HYPERLINK("http://myglo.fi","myglo.fi")</f>
        <v>myglo.fi</v>
      </c>
      <c r="C9253" t="s">
        <v>445</v>
      </c>
      <c r="D9253" t="s">
        <v>823</v>
      </c>
      <c r="J9253">
        <v>2</v>
      </c>
    </row>
    <row r="9254" spans="1:10" x14ac:dyDescent="0.25">
      <c r="A9254" t="s">
        <v>78</v>
      </c>
      <c r="B9254" s="1" t="str">
        <f>HYPERLINK("http://realwhite.fi","realwhite.fi")</f>
        <v>realwhite.fi</v>
      </c>
      <c r="C9254" t="s">
        <v>445</v>
      </c>
      <c r="D9254" t="s">
        <v>823</v>
      </c>
      <c r="J9254">
        <v>2</v>
      </c>
    </row>
    <row r="9255" spans="1:10" x14ac:dyDescent="0.25">
      <c r="A9255" t="s">
        <v>78</v>
      </c>
      <c r="B9255" s="1" t="str">
        <f>HYPERLINK("http://vuse.fi","vuse.fi")</f>
        <v>vuse.fi</v>
      </c>
      <c r="C9255" t="s">
        <v>445</v>
      </c>
      <c r="D9255" t="s">
        <v>823</v>
      </c>
      <c r="J9255">
        <v>2</v>
      </c>
    </row>
    <row r="9256" spans="1:10" x14ac:dyDescent="0.25">
      <c r="A9256" t="s">
        <v>78</v>
      </c>
      <c r="B9256" s="1" t="str">
        <f>HYPERLINK("http://vype.fi","vype.fi")</f>
        <v>vype.fi</v>
      </c>
      <c r="C9256" t="s">
        <v>445</v>
      </c>
      <c r="D9256" t="s">
        <v>823</v>
      </c>
      <c r="J9256">
        <v>2</v>
      </c>
    </row>
    <row r="9257" spans="1:10" x14ac:dyDescent="0.25">
      <c r="A9257" t="s">
        <v>78</v>
      </c>
      <c r="B9257" s="1" t="str">
        <f>HYPERLINK("http://weirdlywonderful.fi","weirdlywonderful.fi")</f>
        <v>weirdlywonderful.fi</v>
      </c>
      <c r="C9257" t="s">
        <v>445</v>
      </c>
      <c r="D9257" t="s">
        <v>823</v>
      </c>
      <c r="J9257">
        <v>2</v>
      </c>
    </row>
    <row r="9258" spans="1:10" x14ac:dyDescent="0.25">
      <c r="A9258" t="s">
        <v>78</v>
      </c>
      <c r="B9258" s="1" t="str">
        <f>HYPERLINK("http://vuse.fr","vuse.fr")</f>
        <v>vuse.fr</v>
      </c>
      <c r="C9258" t="s">
        <v>446</v>
      </c>
      <c r="D9258" t="s">
        <v>824</v>
      </c>
      <c r="J9258">
        <v>2</v>
      </c>
    </row>
    <row r="9259" spans="1:10" x14ac:dyDescent="0.25">
      <c r="A9259" t="s">
        <v>78</v>
      </c>
      <c r="B9259" s="1" t="str">
        <f>HYPERLINK("http://vuse.gr","vuse.gr")</f>
        <v>vuse.gr</v>
      </c>
      <c r="C9259" t="s">
        <v>447</v>
      </c>
      <c r="D9259" t="s">
        <v>825</v>
      </c>
      <c r="F9259">
        <v>4.9399179698682201E-9</v>
      </c>
      <c r="G9259">
        <v>31088954</v>
      </c>
      <c r="H9259">
        <v>10526684</v>
      </c>
      <c r="I9259">
        <v>48907796</v>
      </c>
      <c r="J9259">
        <v>2</v>
      </c>
    </row>
    <row r="9260" spans="1:10" x14ac:dyDescent="0.25">
      <c r="A9260" t="s">
        <v>78</v>
      </c>
      <c r="B9260" s="1" t="str">
        <f>HYPERLINK("http://tdr.hr","tdr.hr")</f>
        <v>tdr.hr</v>
      </c>
      <c r="C9260" t="s">
        <v>452</v>
      </c>
      <c r="D9260" t="s">
        <v>829</v>
      </c>
      <c r="F9260">
        <v>1.02101664066528E-8</v>
      </c>
      <c r="G9260">
        <v>6537097</v>
      </c>
      <c r="H9260">
        <v>14073477</v>
      </c>
      <c r="I9260">
        <v>2992507</v>
      </c>
      <c r="J9260">
        <v>3</v>
      </c>
    </row>
    <row r="9261" spans="1:10" x14ac:dyDescent="0.25">
      <c r="A9261" t="s">
        <v>78</v>
      </c>
      <c r="B9261" s="1" t="str">
        <f>HYPERLINK("http://bat.hu","bat.hu")</f>
        <v>bat.hu</v>
      </c>
      <c r="C9261" t="s">
        <v>453</v>
      </c>
      <c r="D9261" t="s">
        <v>830</v>
      </c>
      <c r="F9261">
        <v>1.3765401723810599E-8</v>
      </c>
      <c r="G9261">
        <v>4295088</v>
      </c>
      <c r="H9261">
        <v>14073755</v>
      </c>
      <c r="I9261">
        <v>2973532</v>
      </c>
      <c r="J9261">
        <v>2</v>
      </c>
    </row>
    <row r="9262" spans="1:10" x14ac:dyDescent="0.25">
      <c r="A9262" t="s">
        <v>78</v>
      </c>
      <c r="B9262" s="1" t="str">
        <f>HYPERLINK("http://vuse.ie","vuse.ie")</f>
        <v>vuse.ie</v>
      </c>
      <c r="C9262" t="s">
        <v>455</v>
      </c>
      <c r="D9262" t="s">
        <v>832</v>
      </c>
      <c r="J9262">
        <v>2</v>
      </c>
    </row>
    <row r="9263" spans="1:10" x14ac:dyDescent="0.25">
      <c r="A9263" t="s">
        <v>78</v>
      </c>
      <c r="B9263" s="1" t="str">
        <f>HYPERLINK("http://discoverglo.it","discoverglo.it")</f>
        <v>discoverglo.it</v>
      </c>
      <c r="C9263" t="s">
        <v>459</v>
      </c>
      <c r="D9263" t="s">
        <v>835</v>
      </c>
      <c r="F9263">
        <v>8.2010863176523001E-9</v>
      </c>
      <c r="G9263">
        <v>9569385</v>
      </c>
      <c r="H9263">
        <v>12621746</v>
      </c>
      <c r="I9263">
        <v>16078065</v>
      </c>
      <c r="J9263">
        <v>5</v>
      </c>
    </row>
    <row r="9264" spans="1:10" x14ac:dyDescent="0.25">
      <c r="A9264" t="s">
        <v>78</v>
      </c>
      <c r="B9264" s="1" t="str">
        <f>HYPERLINK("http://discoverglo.jp","discoverglo.jp")</f>
        <v>discoverglo.jp</v>
      </c>
      <c r="C9264" t="s">
        <v>461</v>
      </c>
      <c r="D9264" t="s">
        <v>837</v>
      </c>
      <c r="E9264">
        <v>553657</v>
      </c>
      <c r="F9264">
        <v>2.7011924595009699E-8</v>
      </c>
      <c r="G9264">
        <v>1904070</v>
      </c>
      <c r="H9264">
        <v>14099538</v>
      </c>
      <c r="I9264">
        <v>2710613</v>
      </c>
      <c r="J9264">
        <v>3</v>
      </c>
    </row>
    <row r="9265" spans="1:10" x14ac:dyDescent="0.25">
      <c r="A9265" t="s">
        <v>78</v>
      </c>
      <c r="B9265" s="1" t="str">
        <f>HYPERLINK("http://kent.jp","kent.jp")</f>
        <v>kent.jp</v>
      </c>
      <c r="C9265" t="s">
        <v>461</v>
      </c>
      <c r="D9265" t="s">
        <v>837</v>
      </c>
      <c r="J9265">
        <v>2</v>
      </c>
    </row>
    <row r="9266" spans="1:10" x14ac:dyDescent="0.25">
      <c r="A9266" t="s">
        <v>78</v>
      </c>
      <c r="B9266" s="1" t="str">
        <f>HYPERLINK("http://batdemexico.com.mx","batdemexico.com.mx")</f>
        <v>batdemexico.com.mx</v>
      </c>
      <c r="C9266" t="s">
        <v>471</v>
      </c>
      <c r="D9266" t="s">
        <v>847</v>
      </c>
      <c r="J9266">
        <v>3</v>
      </c>
    </row>
    <row r="9267" spans="1:10" x14ac:dyDescent="0.25">
      <c r="A9267" t="s">
        <v>78</v>
      </c>
      <c r="B9267" s="1" t="str">
        <f>HYPERLINK("http://batmexico.com.mx","batmexico.com.mx")</f>
        <v>batmexico.com.mx</v>
      </c>
      <c r="C9267" t="s">
        <v>471</v>
      </c>
      <c r="D9267" t="s">
        <v>847</v>
      </c>
      <c r="F9267">
        <v>3.2205345287016602E-8</v>
      </c>
      <c r="G9267">
        <v>1605585</v>
      </c>
      <c r="H9267">
        <v>13783658</v>
      </c>
      <c r="I9267">
        <v>6422702</v>
      </c>
      <c r="J9267">
        <v>3</v>
      </c>
    </row>
    <row r="9268" spans="1:10" x14ac:dyDescent="0.25">
      <c r="A9268" t="s">
        <v>78</v>
      </c>
      <c r="B9268" s="1" t="str">
        <f>HYPERLINK("http://tabmexico.com.mx","tabmexico.com.mx")</f>
        <v>tabmexico.com.mx</v>
      </c>
      <c r="C9268" t="s">
        <v>471</v>
      </c>
      <c r="D9268" t="s">
        <v>847</v>
      </c>
      <c r="F9268">
        <v>9.5566660438196401E-9</v>
      </c>
      <c r="G9268">
        <v>7254998</v>
      </c>
      <c r="H9268">
        <v>12029512</v>
      </c>
      <c r="I9268">
        <v>27672662</v>
      </c>
      <c r="J9268">
        <v>4</v>
      </c>
    </row>
    <row r="9269" spans="1:10" x14ac:dyDescent="0.25">
      <c r="A9269" t="s">
        <v>78</v>
      </c>
      <c r="B9269" s="1" t="str">
        <f>HYPERLINK("http://vuse.mx","vuse.mx")</f>
        <v>vuse.mx</v>
      </c>
      <c r="C9269" t="s">
        <v>471</v>
      </c>
      <c r="D9269" t="s">
        <v>847</v>
      </c>
      <c r="J9269">
        <v>2</v>
      </c>
    </row>
    <row r="9270" spans="1:10" x14ac:dyDescent="0.25">
      <c r="A9270" t="s">
        <v>78</v>
      </c>
      <c r="B9270" s="1" t="str">
        <f>HYPERLINK("http://bat.net","bat.net")</f>
        <v>bat.net</v>
      </c>
      <c r="C9270" t="s">
        <v>474</v>
      </c>
      <c r="E9270">
        <v>273180</v>
      </c>
      <c r="F9270">
        <v>8.13483228495679E-9</v>
      </c>
      <c r="G9270">
        <v>9681884</v>
      </c>
      <c r="H9270">
        <v>12679548</v>
      </c>
      <c r="I9270">
        <v>15505618</v>
      </c>
      <c r="J9270">
        <v>2</v>
      </c>
    </row>
    <row r="9271" spans="1:10" x14ac:dyDescent="0.25">
      <c r="A9271" t="s">
        <v>78</v>
      </c>
      <c r="B9271" s="1" t="str">
        <f>HYPERLINK("http://batnorway.no","batnorway.no")</f>
        <v>batnorway.no</v>
      </c>
      <c r="C9271" t="s">
        <v>478</v>
      </c>
      <c r="D9271" t="s">
        <v>853</v>
      </c>
      <c r="F9271">
        <v>7.0972953270365899E-9</v>
      </c>
      <c r="G9271">
        <v>12022465</v>
      </c>
      <c r="H9271">
        <v>12141614</v>
      </c>
      <c r="I9271">
        <v>24844768</v>
      </c>
      <c r="J9271">
        <v>3</v>
      </c>
    </row>
    <row r="9272" spans="1:10" x14ac:dyDescent="0.25">
      <c r="A9272" t="s">
        <v>78</v>
      </c>
      <c r="B9272" s="1" t="str">
        <f>HYPERLINK("http://tiedemanns.no","tiedemanns.no")</f>
        <v>tiedemanns.no</v>
      </c>
      <c r="C9272" t="s">
        <v>478</v>
      </c>
      <c r="D9272" t="s">
        <v>853</v>
      </c>
      <c r="F9272">
        <v>4.9163486943717898E-9</v>
      </c>
      <c r="G9272">
        <v>31923959</v>
      </c>
      <c r="H9272">
        <v>14071789</v>
      </c>
      <c r="I9272">
        <v>3676353</v>
      </c>
      <c r="J9272">
        <v>4</v>
      </c>
    </row>
    <row r="9273" spans="1:10" x14ac:dyDescent="0.25">
      <c r="A9273" t="s">
        <v>78</v>
      </c>
      <c r="B9273" s="1" t="str">
        <f>HYPERLINK("http://vuse.co.nz","vuse.co.nz")</f>
        <v>vuse.co.nz</v>
      </c>
      <c r="C9273" t="s">
        <v>479</v>
      </c>
      <c r="D9273" t="s">
        <v>854</v>
      </c>
      <c r="F9273">
        <v>9.1609086412955999E-9</v>
      </c>
      <c r="G9273">
        <v>7763603</v>
      </c>
      <c r="H9273">
        <v>12873840</v>
      </c>
      <c r="I9273">
        <v>14042770</v>
      </c>
      <c r="J9273">
        <v>3</v>
      </c>
    </row>
    <row r="9274" spans="1:10" x14ac:dyDescent="0.25">
      <c r="A9274" t="s">
        <v>78</v>
      </c>
      <c r="B9274" s="1" t="str">
        <f>HYPERLINK("http://ptc.com.pk","ptc.com.pk")</f>
        <v>ptc.com.pk</v>
      </c>
      <c r="C9274" t="s">
        <v>485</v>
      </c>
      <c r="D9274" t="s">
        <v>859</v>
      </c>
      <c r="F9274">
        <v>1.18117797076178E-8</v>
      </c>
      <c r="G9274">
        <v>5294921</v>
      </c>
      <c r="H9274">
        <v>12786622</v>
      </c>
      <c r="I9274">
        <v>14707134</v>
      </c>
      <c r="J9274">
        <v>3</v>
      </c>
    </row>
    <row r="9275" spans="1:10" x14ac:dyDescent="0.25">
      <c r="A9275" t="s">
        <v>78</v>
      </c>
      <c r="B9275" s="1" t="str">
        <f>HYPERLINK("http://bat.com.pl","bat.com.pl")</f>
        <v>bat.com.pl</v>
      </c>
      <c r="C9275" t="s">
        <v>486</v>
      </c>
      <c r="D9275" t="s">
        <v>860</v>
      </c>
      <c r="F9275">
        <v>1.7179539768501701E-8</v>
      </c>
      <c r="G9275">
        <v>3231272</v>
      </c>
      <c r="H9275">
        <v>12788226</v>
      </c>
      <c r="I9275">
        <v>14698012</v>
      </c>
      <c r="J9275">
        <v>2</v>
      </c>
    </row>
    <row r="9276" spans="1:10" x14ac:dyDescent="0.25">
      <c r="A9276" t="s">
        <v>78</v>
      </c>
      <c r="B9276" s="1" t="str">
        <f>HYPERLINK("http://govuse.pl","govuse.pl")</f>
        <v>govuse.pl</v>
      </c>
      <c r="C9276" t="s">
        <v>486</v>
      </c>
      <c r="D9276" t="s">
        <v>860</v>
      </c>
      <c r="J9276">
        <v>2</v>
      </c>
    </row>
    <row r="9277" spans="1:10" x14ac:dyDescent="0.25">
      <c r="A9277" t="s">
        <v>78</v>
      </c>
      <c r="B9277" s="1" t="str">
        <f>HYPERLINK("http://vuse.pl","vuse.pl")</f>
        <v>vuse.pl</v>
      </c>
      <c r="C9277" t="s">
        <v>486</v>
      </c>
      <c r="D9277" t="s">
        <v>860</v>
      </c>
      <c r="J9277">
        <v>2</v>
      </c>
    </row>
    <row r="9278" spans="1:10" x14ac:dyDescent="0.25">
      <c r="A9278" t="s">
        <v>78</v>
      </c>
      <c r="B9278" s="1" t="str">
        <f>HYPERLINK("http://bat.com.py","bat.com.py")</f>
        <v>bat.com.py</v>
      </c>
      <c r="C9278" t="s">
        <v>489</v>
      </c>
      <c r="D9278" t="s">
        <v>863</v>
      </c>
      <c r="F9278">
        <v>1.24812973910619E-8</v>
      </c>
      <c r="G9278">
        <v>4895335</v>
      </c>
      <c r="H9278">
        <v>13814754</v>
      </c>
      <c r="I9278">
        <v>6172858</v>
      </c>
      <c r="J9278">
        <v>2</v>
      </c>
    </row>
    <row r="9279" spans="1:10" x14ac:dyDescent="0.25">
      <c r="A9279" t="s">
        <v>78</v>
      </c>
      <c r="B9279" s="1" t="str">
        <f>HYPERLINK("http://discoverglo.rs","discoverglo.rs")</f>
        <v>discoverglo.rs</v>
      </c>
      <c r="C9279" t="s">
        <v>492</v>
      </c>
      <c r="D9279" t="s">
        <v>866</v>
      </c>
      <c r="F9279">
        <v>7.1127597378959704E-9</v>
      </c>
      <c r="G9279">
        <v>11978809</v>
      </c>
      <c r="H9279">
        <v>11257012</v>
      </c>
      <c r="I9279">
        <v>30849416</v>
      </c>
      <c r="J9279">
        <v>2</v>
      </c>
    </row>
    <row r="9280" spans="1:10" x14ac:dyDescent="0.25">
      <c r="A9280" t="s">
        <v>78</v>
      </c>
      <c r="B9280" s="1" t="str">
        <f>HYPERLINK("http://niconovum.se","niconovum.se")</f>
        <v>niconovum.se</v>
      </c>
      <c r="C9280" t="s">
        <v>495</v>
      </c>
      <c r="D9280" t="s">
        <v>869</v>
      </c>
      <c r="F9280">
        <v>1.11677690937115E-8</v>
      </c>
      <c r="G9280">
        <v>5736233</v>
      </c>
      <c r="H9280">
        <v>13790623</v>
      </c>
      <c r="I9280">
        <v>6346146</v>
      </c>
      <c r="J9280">
        <v>3</v>
      </c>
    </row>
    <row r="9281" spans="1:10" x14ac:dyDescent="0.25">
      <c r="A9281" t="s">
        <v>78</v>
      </c>
      <c r="B9281" s="1" t="str">
        <f>HYPERLINK("http://bat.com.tr","bat.com.tr")</f>
        <v>bat.com.tr</v>
      </c>
      <c r="C9281" t="s">
        <v>502</v>
      </c>
      <c r="D9281" t="s">
        <v>876</v>
      </c>
      <c r="F9281">
        <v>9.4714387025780905E-9</v>
      </c>
      <c r="G9281">
        <v>7356958</v>
      </c>
      <c r="H9281">
        <v>14072294</v>
      </c>
      <c r="I9281">
        <v>3119971</v>
      </c>
      <c r="J9281">
        <v>2</v>
      </c>
    </row>
    <row r="9282" spans="1:10" x14ac:dyDescent="0.25">
      <c r="A9282" t="s">
        <v>78</v>
      </c>
      <c r="B9282" s="1" t="str">
        <f>HYPERLINK("http://bat.ua","bat.ua")</f>
        <v>bat.ua</v>
      </c>
      <c r="C9282" t="s">
        <v>505</v>
      </c>
      <c r="D9282" t="s">
        <v>879</v>
      </c>
      <c r="F9282">
        <v>2.15608454314339E-8</v>
      </c>
      <c r="G9282">
        <v>2441434</v>
      </c>
      <c r="H9282">
        <v>13040572</v>
      </c>
      <c r="I9282">
        <v>12623180</v>
      </c>
      <c r="J9282">
        <v>2</v>
      </c>
    </row>
    <row r="9283" spans="1:10" x14ac:dyDescent="0.25">
      <c r="A9283" t="s">
        <v>78</v>
      </c>
      <c r="B9283" s="1" t="str">
        <f>HYPERLINK("http://vuse.uk","vuse.uk")</f>
        <v>vuse.uk</v>
      </c>
      <c r="C9283" t="s">
        <v>506</v>
      </c>
      <c r="D9283" t="s">
        <v>880</v>
      </c>
      <c r="J9283">
        <v>2</v>
      </c>
    </row>
    <row r="9284" spans="1:10" x14ac:dyDescent="0.25">
      <c r="A9284" t="s">
        <v>78</v>
      </c>
      <c r="B9284" s="1" t="str">
        <f>HYPERLINK("http://batsa.co.za","batsa.co.za")</f>
        <v>batsa.co.za</v>
      </c>
      <c r="C9284" t="s">
        <v>510</v>
      </c>
      <c r="D9284" t="s">
        <v>884</v>
      </c>
      <c r="F9284">
        <v>1.3041175843089801E-8</v>
      </c>
      <c r="G9284">
        <v>4611540</v>
      </c>
      <c r="H9284">
        <v>13216520</v>
      </c>
      <c r="I9284">
        <v>11357830</v>
      </c>
      <c r="J9284">
        <v>4</v>
      </c>
    </row>
    <row r="9285" spans="1:10" x14ac:dyDescent="0.25">
      <c r="A9285" t="s">
        <v>78</v>
      </c>
      <c r="B9285" s="1" t="str">
        <f>HYPERLINK("http://govuse.co.za","govuse.co.za")</f>
        <v>govuse.co.za</v>
      </c>
      <c r="C9285" t="s">
        <v>510</v>
      </c>
      <c r="D9285" t="s">
        <v>884</v>
      </c>
      <c r="J9285">
        <v>2</v>
      </c>
    </row>
    <row r="9286" spans="1:10" x14ac:dyDescent="0.25">
      <c r="A9286" t="s">
        <v>78</v>
      </c>
      <c r="B9286" s="1" t="str">
        <f>HYPERLINK("http://twisp.co.za","twisp.co.za")</f>
        <v>twisp.co.za</v>
      </c>
      <c r="C9286" t="s">
        <v>510</v>
      </c>
      <c r="D9286" t="s">
        <v>884</v>
      </c>
      <c r="F9286">
        <v>7.0243307101944502E-9</v>
      </c>
      <c r="G9286">
        <v>12241000</v>
      </c>
      <c r="H9286">
        <v>13763871</v>
      </c>
      <c r="I9286">
        <v>7534451</v>
      </c>
      <c r="J9286">
        <v>3</v>
      </c>
    </row>
    <row r="9287" spans="1:10" x14ac:dyDescent="0.25">
      <c r="A9287" t="s">
        <v>78</v>
      </c>
      <c r="B9287" s="1" t="str">
        <f>HYPERLINK("http://vuse.co.za","vuse.co.za")</f>
        <v>vuse.co.za</v>
      </c>
      <c r="C9287" t="s">
        <v>510</v>
      </c>
      <c r="D9287" t="s">
        <v>884</v>
      </c>
      <c r="J9287">
        <v>2</v>
      </c>
    </row>
    <row r="9288" spans="1:10" x14ac:dyDescent="0.25">
      <c r="A9288" t="s">
        <v>78</v>
      </c>
      <c r="B9288" s="1" t="str">
        <f>HYPERLINK("http://vuse-store.co.za","vuse-store.co.za")</f>
        <v>vuse-store.co.za</v>
      </c>
      <c r="C9288" t="s">
        <v>510</v>
      </c>
      <c r="D9288" t="s">
        <v>884</v>
      </c>
      <c r="J9288">
        <v>2</v>
      </c>
    </row>
    <row r="9289" spans="1:10" x14ac:dyDescent="0.25">
      <c r="A9289" t="s">
        <v>78</v>
      </c>
      <c r="B9289" s="1" t="str">
        <f>HYPERLINK("http://vusechargebeyond.co.za","vusechargebeyond.co.za")</f>
        <v>vusechargebeyond.co.za</v>
      </c>
      <c r="C9289" t="s">
        <v>510</v>
      </c>
      <c r="D9289" t="s">
        <v>884</v>
      </c>
      <c r="J9289">
        <v>2</v>
      </c>
    </row>
    <row r="9290" spans="1:10" x14ac:dyDescent="0.25">
      <c r="A9290" t="s">
        <v>78</v>
      </c>
      <c r="B9290" s="1" t="str">
        <f>HYPERLINK("http://vuseciro.co.za","vuseciro.co.za")</f>
        <v>vuseciro.co.za</v>
      </c>
      <c r="C9290" t="s">
        <v>510</v>
      </c>
      <c r="D9290" t="s">
        <v>884</v>
      </c>
      <c r="J9290">
        <v>2</v>
      </c>
    </row>
    <row r="9291" spans="1:10" x14ac:dyDescent="0.25">
      <c r="A9291" t="s">
        <v>78</v>
      </c>
      <c r="B9291" s="1" t="str">
        <f>HYPERLINK("http://vusepod.co.za","vusepod.co.za")</f>
        <v>vusepod.co.za</v>
      </c>
      <c r="C9291" t="s">
        <v>510</v>
      </c>
      <c r="D9291" t="s">
        <v>884</v>
      </c>
      <c r="J9291">
        <v>2</v>
      </c>
    </row>
    <row r="9292" spans="1:10" x14ac:dyDescent="0.25">
      <c r="A9292" t="s">
        <v>78</v>
      </c>
      <c r="B9292" s="1" t="str">
        <f>HYPERLINK("http://vusesolo.co.za","vusesolo.co.za")</f>
        <v>vusesolo.co.za</v>
      </c>
      <c r="C9292" t="s">
        <v>510</v>
      </c>
      <c r="D9292" t="s">
        <v>884</v>
      </c>
      <c r="J9292">
        <v>2</v>
      </c>
    </row>
    <row r="9293" spans="1:10" x14ac:dyDescent="0.25">
      <c r="A9293" t="s">
        <v>78</v>
      </c>
      <c r="B9293" s="1" t="str">
        <f>HYPERLINK("http://vusestore.co.za","vusestore.co.za")</f>
        <v>vusestore.co.za</v>
      </c>
      <c r="C9293" t="s">
        <v>510</v>
      </c>
      <c r="D9293" t="s">
        <v>884</v>
      </c>
      <c r="J9293">
        <v>2</v>
      </c>
    </row>
    <row r="9294" spans="1:10" x14ac:dyDescent="0.25">
      <c r="A9294" t="s">
        <v>78</v>
      </c>
      <c r="B9294" s="1" t="str">
        <f>HYPERLINK("http://vusesystems.co.za","vusesystems.co.za")</f>
        <v>vusesystems.co.za</v>
      </c>
      <c r="C9294" t="s">
        <v>510</v>
      </c>
      <c r="D9294" t="s">
        <v>884</v>
      </c>
      <c r="J9294">
        <v>2</v>
      </c>
    </row>
    <row r="9295" spans="1:10" x14ac:dyDescent="0.25">
      <c r="A9295" t="s">
        <v>78</v>
      </c>
      <c r="B9295" s="1" t="str">
        <f>HYPERLINK("http://vusetank.co.za","vusetank.co.za")</f>
        <v>vusetank.co.za</v>
      </c>
      <c r="C9295" t="s">
        <v>510</v>
      </c>
      <c r="D9295" t="s">
        <v>884</v>
      </c>
      <c r="J9295">
        <v>2</v>
      </c>
    </row>
    <row r="9296" spans="1:10" x14ac:dyDescent="0.25">
      <c r="A9296" t="s">
        <v>78</v>
      </c>
      <c r="B9296" s="1" t="str">
        <f>HYPERLINK("http://vusevape.co.za","vusevape.co.za")</f>
        <v>vusevape.co.za</v>
      </c>
      <c r="C9296" t="s">
        <v>510</v>
      </c>
      <c r="D9296" t="s">
        <v>884</v>
      </c>
      <c r="J9296">
        <v>2</v>
      </c>
    </row>
    <row r="9297" spans="1:10" x14ac:dyDescent="0.25">
      <c r="A9297" t="s">
        <v>78</v>
      </c>
      <c r="B9297" s="1" t="str">
        <f>HYPERLINK("http://vusevapor.co.za","vusevapor.co.za")</f>
        <v>vusevapor.co.za</v>
      </c>
      <c r="C9297" t="s">
        <v>510</v>
      </c>
      <c r="D9297" t="s">
        <v>884</v>
      </c>
      <c r="J9297">
        <v>2</v>
      </c>
    </row>
    <row r="9298" spans="1:10" x14ac:dyDescent="0.25">
      <c r="A9298" t="s">
        <v>78</v>
      </c>
      <c r="B9298" s="1" t="str">
        <f>HYPERLINK("http://vusevapour.co.za","vusevapour.co.za")</f>
        <v>vusevapour.co.za</v>
      </c>
      <c r="C9298" t="s">
        <v>510</v>
      </c>
      <c r="D9298" t="s">
        <v>884</v>
      </c>
      <c r="J9298">
        <v>2</v>
      </c>
    </row>
    <row r="9299" spans="1:10" x14ac:dyDescent="0.25">
      <c r="A9299" t="s">
        <v>78</v>
      </c>
      <c r="B9299" s="1" t="str">
        <f>HYPERLINK("http://vusevibe.co.za","vusevibe.co.za")</f>
        <v>vusevibe.co.za</v>
      </c>
      <c r="C9299" t="s">
        <v>510</v>
      </c>
      <c r="D9299" t="s">
        <v>884</v>
      </c>
      <c r="J9299">
        <v>2</v>
      </c>
    </row>
    <row r="9300" spans="1:10" x14ac:dyDescent="0.25">
      <c r="A9300" t="s">
        <v>79</v>
      </c>
      <c r="B9300" s="1" t="str">
        <f>HYPERLINK("http://broadcom.cn","broadcom.cn")</f>
        <v>broadcom.cn</v>
      </c>
      <c r="C9300" t="s">
        <v>431</v>
      </c>
      <c r="D9300" t="s">
        <v>812</v>
      </c>
      <c r="E9300">
        <v>552421</v>
      </c>
      <c r="F9300">
        <v>5.4658387149629899E-8</v>
      </c>
      <c r="G9300">
        <v>824732</v>
      </c>
      <c r="H9300">
        <v>14156829</v>
      </c>
      <c r="I9300">
        <v>1851463</v>
      </c>
      <c r="J9300">
        <v>2</v>
      </c>
    </row>
    <row r="9301" spans="1:10" x14ac:dyDescent="0.25">
      <c r="A9301" t="s">
        <v>79</v>
      </c>
      <c r="B9301" s="1" t="str">
        <f>HYPERLINK("http://3ware.com","3ware.com")</f>
        <v>3ware.com</v>
      </c>
      <c r="C9301" t="s">
        <v>433</v>
      </c>
      <c r="E9301">
        <v>612186</v>
      </c>
      <c r="F9301">
        <v>1.2383526703085999E-7</v>
      </c>
      <c r="G9301">
        <v>318647</v>
      </c>
      <c r="H9301">
        <v>14480910</v>
      </c>
      <c r="I9301">
        <v>1025368</v>
      </c>
      <c r="J9301">
        <v>8</v>
      </c>
    </row>
    <row r="9302" spans="1:10" x14ac:dyDescent="0.25">
      <c r="A9302" t="s">
        <v>79</v>
      </c>
      <c r="B9302" s="1" t="str">
        <f>HYPERLINK("http://4projects.com","4projects.com")</f>
        <v>4projects.com</v>
      </c>
      <c r="C9302" t="s">
        <v>433</v>
      </c>
      <c r="E9302">
        <v>295566</v>
      </c>
      <c r="F9302">
        <v>8.67105004058716E-9</v>
      </c>
      <c r="G9302">
        <v>8528055</v>
      </c>
      <c r="H9302">
        <v>12766044</v>
      </c>
      <c r="I9302">
        <v>14912656</v>
      </c>
      <c r="J9302">
        <v>9</v>
      </c>
    </row>
    <row r="9303" spans="1:10" x14ac:dyDescent="0.25">
      <c r="A9303" t="s">
        <v>79</v>
      </c>
      <c r="B9303" s="1" t="str">
        <f>HYPERLINK("http://aeluros.com","aeluros.com")</f>
        <v>aeluros.com</v>
      </c>
      <c r="C9303" t="s">
        <v>433</v>
      </c>
      <c r="F9303">
        <v>7.7206744854949601E-9</v>
      </c>
      <c r="G9303">
        <v>10527647</v>
      </c>
      <c r="H9303">
        <v>12362369</v>
      </c>
      <c r="I9303">
        <v>19541822</v>
      </c>
      <c r="J9303">
        <v>5</v>
      </c>
    </row>
    <row r="9304" spans="1:10" x14ac:dyDescent="0.25">
      <c r="A9304" t="s">
        <v>79</v>
      </c>
      <c r="B9304" s="1" t="str">
        <f>HYPERLINK("http://arcot.com","arcot.com")</f>
        <v>arcot.com</v>
      </c>
      <c r="C9304" t="s">
        <v>433</v>
      </c>
      <c r="E9304">
        <v>22354</v>
      </c>
      <c r="F9304">
        <v>1.9101718060072401E-7</v>
      </c>
      <c r="G9304">
        <v>201734</v>
      </c>
      <c r="H9304">
        <v>14441989</v>
      </c>
      <c r="I9304">
        <v>1061333</v>
      </c>
      <c r="J9304">
        <v>2</v>
      </c>
    </row>
    <row r="9305" spans="1:10" x14ac:dyDescent="0.25">
      <c r="A9305" t="s">
        <v>79</v>
      </c>
      <c r="B9305" s="1" t="str">
        <f>HYPERLINK("http://argondesign.com","argondesign.com")</f>
        <v>argondesign.com</v>
      </c>
      <c r="C9305" t="s">
        <v>433</v>
      </c>
      <c r="F9305">
        <v>1.5345476346988899E-8</v>
      </c>
      <c r="G9305">
        <v>3732000</v>
      </c>
      <c r="H9305">
        <v>13784729</v>
      </c>
      <c r="I9305">
        <v>6409383</v>
      </c>
      <c r="J9305">
        <v>5</v>
      </c>
    </row>
    <row r="9306" spans="1:10" x14ac:dyDescent="0.25">
      <c r="A9306" t="s">
        <v>79</v>
      </c>
      <c r="B9306" s="1" t="str">
        <f>HYPERLINK("http://artofdefence.com","artofdefence.com")</f>
        <v>artofdefence.com</v>
      </c>
      <c r="C9306" t="s">
        <v>433</v>
      </c>
      <c r="F9306">
        <v>1.9645573893261999E-8</v>
      </c>
      <c r="G9306">
        <v>2720152</v>
      </c>
      <c r="H9306">
        <v>14241013</v>
      </c>
      <c r="I9306">
        <v>1495576</v>
      </c>
      <c r="J9306">
        <v>8</v>
      </c>
    </row>
    <row r="9307" spans="1:10" x14ac:dyDescent="0.25">
      <c r="A9307" t="s">
        <v>79</v>
      </c>
      <c r="B9307" s="1" t="str">
        <f>HYPERLINK("http://automic.com","automic.com")</f>
        <v>automic.com</v>
      </c>
      <c r="C9307" t="s">
        <v>433</v>
      </c>
      <c r="E9307">
        <v>543354</v>
      </c>
      <c r="F9307">
        <v>7.4440647502808897E-8</v>
      </c>
      <c r="G9307">
        <v>565301</v>
      </c>
      <c r="H9307">
        <v>13611023</v>
      </c>
      <c r="I9307">
        <v>9635233</v>
      </c>
      <c r="J9307">
        <v>4</v>
      </c>
    </row>
    <row r="9308" spans="1:10" x14ac:dyDescent="0.25">
      <c r="A9308" t="s">
        <v>79</v>
      </c>
      <c r="B9308" s="1" t="str">
        <f>HYPERLINK("http://avagotech.com","avagotech.com")</f>
        <v>avagotech.com</v>
      </c>
      <c r="C9308" t="s">
        <v>433</v>
      </c>
      <c r="E9308">
        <v>257361</v>
      </c>
      <c r="F9308">
        <v>2.4121208538635398E-7</v>
      </c>
      <c r="G9308">
        <v>155086</v>
      </c>
      <c r="H9308">
        <v>15002719</v>
      </c>
      <c r="I9308">
        <v>425124</v>
      </c>
      <c r="J9308">
        <v>5</v>
      </c>
    </row>
    <row r="9309" spans="1:10" x14ac:dyDescent="0.25">
      <c r="A9309" t="s">
        <v>79</v>
      </c>
      <c r="B9309" s="1" t="str">
        <f>HYPERLINK("http://broadcom.com","broadcom.com")</f>
        <v>broadcom.com</v>
      </c>
      <c r="C9309" t="s">
        <v>433</v>
      </c>
      <c r="E9309">
        <v>2047</v>
      </c>
      <c r="F9309">
        <v>8.5481777865669304E-6</v>
      </c>
      <c r="G9309">
        <v>3946</v>
      </c>
      <c r="H9309">
        <v>18077632</v>
      </c>
      <c r="I9309">
        <v>3235</v>
      </c>
      <c r="J9309">
        <v>1</v>
      </c>
    </row>
    <row r="9310" spans="1:10" x14ac:dyDescent="0.25">
      <c r="A9310" t="s">
        <v>79</v>
      </c>
      <c r="B9310" s="1" t="str">
        <f>HYPERLINK("http://brocade.com","brocade.com")</f>
        <v>brocade.com</v>
      </c>
      <c r="C9310" t="s">
        <v>433</v>
      </c>
      <c r="E9310">
        <v>115416</v>
      </c>
      <c r="F9310">
        <v>5.8404679960742403E-7</v>
      </c>
      <c r="G9310">
        <v>65429</v>
      </c>
      <c r="H9310">
        <v>15491866</v>
      </c>
      <c r="I9310">
        <v>376954</v>
      </c>
      <c r="J9310">
        <v>4</v>
      </c>
    </row>
    <row r="9311" spans="1:10" x14ac:dyDescent="0.25">
      <c r="A9311" t="s">
        <v>79</v>
      </c>
      <c r="B9311" s="1" t="str">
        <f>HYPERLINK("http://ca.com","ca.com")</f>
        <v>ca.com</v>
      </c>
      <c r="C9311" t="s">
        <v>433</v>
      </c>
      <c r="E9311">
        <v>14581</v>
      </c>
      <c r="F9311">
        <v>2.9131165762066401E-6</v>
      </c>
      <c r="G9311">
        <v>13273</v>
      </c>
      <c r="H9311">
        <v>17579544</v>
      </c>
      <c r="I9311">
        <v>10322</v>
      </c>
      <c r="J9311">
        <v>2</v>
      </c>
    </row>
    <row r="9312" spans="1:10" x14ac:dyDescent="0.25">
      <c r="A9312" t="s">
        <v>79</v>
      </c>
      <c r="B9312" s="1" t="str">
        <f>HYPERLINK("http://cyoptics.com","cyoptics.com")</f>
        <v>cyoptics.com</v>
      </c>
      <c r="C9312" t="s">
        <v>433</v>
      </c>
      <c r="F9312">
        <v>5.9430284868507001E-9</v>
      </c>
      <c r="G9312">
        <v>17066732</v>
      </c>
      <c r="H9312">
        <v>12537368</v>
      </c>
      <c r="I9312">
        <v>16967379</v>
      </c>
      <c r="J9312">
        <v>10</v>
      </c>
    </row>
    <row r="9313" spans="1:10" x14ac:dyDescent="0.25">
      <c r="A9313" t="s">
        <v>79</v>
      </c>
      <c r="B9313" s="1" t="str">
        <f>HYPERLINK("http://eurekify.com","eurekify.com")</f>
        <v>eurekify.com</v>
      </c>
      <c r="C9313" t="s">
        <v>433</v>
      </c>
      <c r="F9313">
        <v>6.4014112818057498E-9</v>
      </c>
      <c r="G9313">
        <v>14509913</v>
      </c>
      <c r="H9313">
        <v>12715113</v>
      </c>
      <c r="I9313">
        <v>15275985</v>
      </c>
      <c r="J9313">
        <v>6</v>
      </c>
    </row>
    <row r="9314" spans="1:10" x14ac:dyDescent="0.25">
      <c r="A9314" t="s">
        <v>79</v>
      </c>
      <c r="B9314" s="1" t="str">
        <f>HYPERLINK("http://idmlogic.com","idmlogic.com")</f>
        <v>idmlogic.com</v>
      </c>
      <c r="C9314" t="s">
        <v>433</v>
      </c>
      <c r="F9314">
        <v>4.4533131648936599E-9</v>
      </c>
      <c r="G9314">
        <v>70213870</v>
      </c>
      <c r="H9314">
        <v>10256338</v>
      </c>
      <c r="I9314">
        <v>58626566</v>
      </c>
      <c r="J9314">
        <v>6</v>
      </c>
    </row>
    <row r="9315" spans="1:10" x14ac:dyDescent="0.25">
      <c r="A9315" t="s">
        <v>79</v>
      </c>
      <c r="B9315" s="1" t="str">
        <f>HYPERLINK("http://javelinsemi.com","javelinsemi.com")</f>
        <v>javelinsemi.com</v>
      </c>
      <c r="C9315" t="s">
        <v>433</v>
      </c>
      <c r="F9315">
        <v>5.8234033862760701E-9</v>
      </c>
      <c r="G9315">
        <v>17912805</v>
      </c>
      <c r="H9315">
        <v>13262153</v>
      </c>
      <c r="I9315">
        <v>11033555</v>
      </c>
      <c r="J9315">
        <v>10</v>
      </c>
    </row>
    <row r="9316" spans="1:10" x14ac:dyDescent="0.25">
      <c r="A9316" t="s">
        <v>79</v>
      </c>
      <c r="B9316" s="1" t="str">
        <f>HYPERLINK("http://lsi.com","lsi.com")</f>
        <v>lsi.com</v>
      </c>
      <c r="C9316" t="s">
        <v>433</v>
      </c>
      <c r="E9316">
        <v>194240</v>
      </c>
      <c r="F9316">
        <v>3.4323926429335702E-7</v>
      </c>
      <c r="G9316">
        <v>108788</v>
      </c>
      <c r="H9316">
        <v>15359749</v>
      </c>
      <c r="I9316">
        <v>382273</v>
      </c>
      <c r="J9316">
        <v>4</v>
      </c>
    </row>
    <row r="9317" spans="1:10" x14ac:dyDescent="0.25">
      <c r="A9317" t="s">
        <v>79</v>
      </c>
      <c r="B9317" s="1" t="str">
        <f>HYPERLINK("http://maxwellsystems.com","maxwellsystems.com")</f>
        <v>maxwellsystems.com</v>
      </c>
      <c r="C9317" t="s">
        <v>433</v>
      </c>
      <c r="F9317">
        <v>1.9570382030579099E-8</v>
      </c>
      <c r="G9317">
        <v>2732840</v>
      </c>
      <c r="H9317">
        <v>13450395</v>
      </c>
      <c r="I9317">
        <v>10208839</v>
      </c>
      <c r="J9317">
        <v>9</v>
      </c>
    </row>
    <row r="9318" spans="1:10" x14ac:dyDescent="0.25">
      <c r="A9318" t="s">
        <v>79</v>
      </c>
      <c r="B9318" s="1" t="str">
        <f>HYPERLINK("http://next-points.com","next-points.com")</f>
        <v>next-points.com</v>
      </c>
      <c r="C9318" t="s">
        <v>433</v>
      </c>
      <c r="J9318">
        <v>6</v>
      </c>
    </row>
    <row r="9319" spans="1:10" x14ac:dyDescent="0.25">
      <c r="A9319" t="s">
        <v>79</v>
      </c>
      <c r="B9319" s="1" t="str">
        <f>HYPERLINK("http://pgptrustcenter.com","pgptrustcenter.com")</f>
        <v>pgptrustcenter.com</v>
      </c>
      <c r="C9319" t="s">
        <v>433</v>
      </c>
      <c r="F9319">
        <v>1.0209761888253099E-8</v>
      </c>
      <c r="G9319">
        <v>6537452</v>
      </c>
      <c r="H9319">
        <v>14416132</v>
      </c>
      <c r="I9319">
        <v>1106570</v>
      </c>
      <c r="J9319">
        <v>5</v>
      </c>
    </row>
    <row r="9320" spans="1:10" x14ac:dyDescent="0.25">
      <c r="A9320" t="s">
        <v>79</v>
      </c>
      <c r="B9320" s="1" t="str">
        <f>HYPERLINK("http://symantec.com","symantec.com")</f>
        <v>symantec.com</v>
      </c>
      <c r="C9320" t="s">
        <v>433</v>
      </c>
      <c r="E9320">
        <v>1224</v>
      </c>
      <c r="F9320">
        <v>3.64281571443051E-5</v>
      </c>
      <c r="G9320">
        <v>738</v>
      </c>
      <c r="H9320">
        <v>18977728</v>
      </c>
      <c r="I9320">
        <v>557</v>
      </c>
      <c r="J9320">
        <v>2</v>
      </c>
    </row>
    <row r="9321" spans="1:10" x14ac:dyDescent="0.25">
      <c r="A9321" t="s">
        <v>79</v>
      </c>
      <c r="B9321" s="1" t="str">
        <f>HYPERLINK("http://symanteccloud.com","symanteccloud.com")</f>
        <v>symanteccloud.com</v>
      </c>
      <c r="C9321" t="s">
        <v>433</v>
      </c>
      <c r="E9321">
        <v>70545</v>
      </c>
      <c r="F9321">
        <v>3.6264570335178201E-7</v>
      </c>
      <c r="G9321">
        <v>103110</v>
      </c>
      <c r="H9321">
        <v>17026074</v>
      </c>
      <c r="I9321">
        <v>86561</v>
      </c>
      <c r="J9321">
        <v>2</v>
      </c>
    </row>
    <row r="9322" spans="1:10" x14ac:dyDescent="0.25">
      <c r="A9322" t="s">
        <v>79</v>
      </c>
      <c r="B9322" s="1" t="str">
        <f>HYPERLINK("http://twinfield.com","twinfield.com")</f>
        <v>twinfield.com</v>
      </c>
      <c r="C9322" t="s">
        <v>433</v>
      </c>
      <c r="E9322">
        <v>308909</v>
      </c>
      <c r="F9322">
        <v>1.3286119064065E-7</v>
      </c>
      <c r="G9322">
        <v>294077</v>
      </c>
      <c r="H9322">
        <v>13774893</v>
      </c>
      <c r="I9322">
        <v>6594135</v>
      </c>
      <c r="J9322">
        <v>5</v>
      </c>
    </row>
    <row r="9323" spans="1:10" x14ac:dyDescent="0.25">
      <c r="A9323" t="s">
        <v>79</v>
      </c>
      <c r="B9323" s="1" t="str">
        <f>HYPERLINK("http://viewpoint.com","viewpoint.com")</f>
        <v>viewpoint.com</v>
      </c>
      <c r="C9323" t="s">
        <v>433</v>
      </c>
      <c r="E9323">
        <v>58679</v>
      </c>
      <c r="F9323">
        <v>5.3113798079759704E-7</v>
      </c>
      <c r="G9323">
        <v>72530</v>
      </c>
      <c r="H9323">
        <v>17234526</v>
      </c>
      <c r="I9323">
        <v>36224</v>
      </c>
      <c r="J9323">
        <v>5</v>
      </c>
    </row>
    <row r="9324" spans="1:10" x14ac:dyDescent="0.25">
      <c r="A9324" t="s">
        <v>79</v>
      </c>
      <c r="B9324" s="1" t="str">
        <f>HYPERLINK("http://viewpointcs.com","viewpointcs.com")</f>
        <v>viewpointcs.com</v>
      </c>
      <c r="C9324" t="s">
        <v>433</v>
      </c>
      <c r="E9324">
        <v>625634</v>
      </c>
      <c r="F9324">
        <v>1.4566561317613501E-8</v>
      </c>
      <c r="G9324">
        <v>3988976</v>
      </c>
      <c r="H9324">
        <v>13963045</v>
      </c>
      <c r="I9324">
        <v>4099269</v>
      </c>
      <c r="J9324">
        <v>8</v>
      </c>
    </row>
    <row r="9325" spans="1:10" x14ac:dyDescent="0.25">
      <c r="A9325" t="s">
        <v>79</v>
      </c>
      <c r="B9325" s="1" t="str">
        <f>HYPERLINK("http://viewpointwindows.com","viewpointwindows.com")</f>
        <v>viewpointwindows.com</v>
      </c>
      <c r="C9325" t="s">
        <v>433</v>
      </c>
      <c r="F9325">
        <v>8.9841316136833807E-9</v>
      </c>
      <c r="G9325">
        <v>8015902</v>
      </c>
      <c r="H9325">
        <v>12265083</v>
      </c>
      <c r="I9325">
        <v>21633859</v>
      </c>
      <c r="J9325">
        <v>9</v>
      </c>
    </row>
    <row r="9326" spans="1:10" x14ac:dyDescent="0.25">
      <c r="A9326" t="s">
        <v>79</v>
      </c>
      <c r="B9326" s="1" t="str">
        <f>HYPERLINK("http://vyatta.com","vyatta.com")</f>
        <v>vyatta.com</v>
      </c>
      <c r="C9326" t="s">
        <v>433</v>
      </c>
      <c r="E9326">
        <v>760671</v>
      </c>
      <c r="F9326">
        <v>1.5696092569516401E-7</v>
      </c>
      <c r="G9326">
        <v>247420</v>
      </c>
      <c r="H9326">
        <v>14949833</v>
      </c>
      <c r="I9326">
        <v>440558</v>
      </c>
      <c r="J9326">
        <v>5</v>
      </c>
    </row>
    <row r="9327" spans="1:10" x14ac:dyDescent="0.25">
      <c r="A9327" t="s">
        <v>79</v>
      </c>
      <c r="B9327" s="1" t="str">
        <f>HYPERLINK("http://avagotech.fi","avagotech.fi")</f>
        <v>avagotech.fi</v>
      </c>
      <c r="C9327" t="s">
        <v>445</v>
      </c>
      <c r="D9327" t="s">
        <v>823</v>
      </c>
      <c r="J9327">
        <v>4</v>
      </c>
    </row>
    <row r="9328" spans="1:10" x14ac:dyDescent="0.25">
      <c r="A9328" t="s">
        <v>79</v>
      </c>
      <c r="B9328" s="1" t="str">
        <f>HYPERLINK("http://messagelabs.fi","messagelabs.fi")</f>
        <v>messagelabs.fi</v>
      </c>
      <c r="C9328" t="s">
        <v>445</v>
      </c>
      <c r="D9328" t="s">
        <v>823</v>
      </c>
      <c r="J9328">
        <v>3</v>
      </c>
    </row>
    <row r="9329" spans="1:10" x14ac:dyDescent="0.25">
      <c r="A9329" t="s">
        <v>79</v>
      </c>
      <c r="B9329" s="1" t="str">
        <f>HYPERLINK("http://symantec.fi","symantec.fi")</f>
        <v>symantec.fi</v>
      </c>
      <c r="C9329" t="s">
        <v>445</v>
      </c>
      <c r="D9329" t="s">
        <v>823</v>
      </c>
      <c r="F9329">
        <v>5.4586485661065597E-9</v>
      </c>
      <c r="G9329">
        <v>21376350</v>
      </c>
      <c r="H9329">
        <v>12410985</v>
      </c>
      <c r="I9329">
        <v>18595445</v>
      </c>
      <c r="J9329">
        <v>3</v>
      </c>
    </row>
    <row r="9330" spans="1:10" x14ac:dyDescent="0.25">
      <c r="A9330" t="s">
        <v>79</v>
      </c>
      <c r="B9330" s="1" t="str">
        <f>HYPERLINK("http://symanteccloud.fi","symanteccloud.fi")</f>
        <v>symanteccloud.fi</v>
      </c>
      <c r="C9330" t="s">
        <v>445</v>
      </c>
      <c r="D9330" t="s">
        <v>823</v>
      </c>
      <c r="J9330">
        <v>3</v>
      </c>
    </row>
    <row r="9331" spans="1:10" x14ac:dyDescent="0.25">
      <c r="A9331" t="s">
        <v>79</v>
      </c>
      <c r="B9331" s="1" t="str">
        <f>HYPERLINK("http://symantecstore.fi","symantecstore.fi")</f>
        <v>symantecstore.fi</v>
      </c>
      <c r="C9331" t="s">
        <v>445</v>
      </c>
      <c r="D9331" t="s">
        <v>823</v>
      </c>
      <c r="J9331">
        <v>3</v>
      </c>
    </row>
    <row r="9332" spans="1:10" x14ac:dyDescent="0.25">
      <c r="A9332" t="s">
        <v>79</v>
      </c>
      <c r="B9332" s="1" t="str">
        <f>HYPERLINK("http://broadcom.net","broadcom.net")</f>
        <v>broadcom.net</v>
      </c>
      <c r="C9332" t="s">
        <v>474</v>
      </c>
      <c r="E9332">
        <v>57077</v>
      </c>
      <c r="F9332">
        <v>1.0968323955569199E-8</v>
      </c>
      <c r="G9332">
        <v>5885597</v>
      </c>
      <c r="H9332">
        <v>12932873</v>
      </c>
      <c r="I9332">
        <v>13354611</v>
      </c>
      <c r="J9332">
        <v>2</v>
      </c>
    </row>
    <row r="9333" spans="1:10" x14ac:dyDescent="0.25">
      <c r="A9333" t="s">
        <v>79</v>
      </c>
      <c r="B9333" s="1" t="str">
        <f>HYPERLINK("http://messagelabs.net","messagelabs.net")</f>
        <v>messagelabs.net</v>
      </c>
      <c r="C9333" t="s">
        <v>474</v>
      </c>
      <c r="F9333">
        <v>7.04132541261222E-9</v>
      </c>
      <c r="G9333">
        <v>12189862</v>
      </c>
      <c r="H9333">
        <v>14121515</v>
      </c>
      <c r="I9333">
        <v>2250625</v>
      </c>
      <c r="J9333">
        <v>2</v>
      </c>
    </row>
    <row r="9334" spans="1:10" x14ac:dyDescent="0.25">
      <c r="A9334" t="s">
        <v>79</v>
      </c>
      <c r="B9334" s="1" t="str">
        <f>HYPERLINK("http://symcld.net","symcld.net")</f>
        <v>symcld.net</v>
      </c>
      <c r="C9334" t="s">
        <v>474</v>
      </c>
      <c r="F9334">
        <v>4.8390021778595499E-9</v>
      </c>
      <c r="G9334">
        <v>34513722</v>
      </c>
      <c r="H9334">
        <v>11239478</v>
      </c>
      <c r="I9334">
        <v>30969355</v>
      </c>
      <c r="J9334">
        <v>2</v>
      </c>
    </row>
    <row r="9335" spans="1:10" x14ac:dyDescent="0.25">
      <c r="A9335" t="s">
        <v>79</v>
      </c>
      <c r="B9335" s="1" t="str">
        <f>HYPERLINK("http://vistapointe.net","vistapointe.net")</f>
        <v>vistapointe.net</v>
      </c>
      <c r="C9335" t="s">
        <v>474</v>
      </c>
      <c r="E9335">
        <v>561177</v>
      </c>
      <c r="F9335">
        <v>4.6641802109105399E-8</v>
      </c>
      <c r="G9335">
        <v>1002103</v>
      </c>
      <c r="H9335">
        <v>14586540</v>
      </c>
      <c r="I9335">
        <v>700217</v>
      </c>
      <c r="J9335">
        <v>8</v>
      </c>
    </row>
    <row r="9336" spans="1:10" x14ac:dyDescent="0.25">
      <c r="A9336" t="s">
        <v>1599</v>
      </c>
      <c r="B9336" s="1" t="str">
        <f>HYPERLINK("http://brookfieldproperties.app","brookfieldproperties.app")</f>
        <v>brookfieldproperties.app</v>
      </c>
      <c r="C9336" t="s">
        <v>587</v>
      </c>
      <c r="F9336">
        <v>5.5607229703567398E-9</v>
      </c>
      <c r="G9336">
        <v>20267175</v>
      </c>
      <c r="H9336">
        <v>12131035</v>
      </c>
      <c r="I9336">
        <v>25108255</v>
      </c>
      <c r="J9336">
        <v>3</v>
      </c>
    </row>
    <row r="9337" spans="1:10" x14ac:dyDescent="0.25">
      <c r="A9337" t="s">
        <v>1599</v>
      </c>
      <c r="B9337" s="1" t="str">
        <f>HYPERLINK("http://schoellerallibert.be","schoellerallibert.be")</f>
        <v>schoellerallibert.be</v>
      </c>
      <c r="C9337" t="s">
        <v>421</v>
      </c>
      <c r="D9337" t="s">
        <v>803</v>
      </c>
      <c r="F9337">
        <v>1.1360910600384601E-8</v>
      </c>
      <c r="G9337">
        <v>5600764</v>
      </c>
      <c r="H9337">
        <v>12382455</v>
      </c>
      <c r="I9337">
        <v>19165270</v>
      </c>
      <c r="J9337">
        <v>6</v>
      </c>
    </row>
    <row r="9338" spans="1:10" x14ac:dyDescent="0.25">
      <c r="A9338" t="s">
        <v>1599</v>
      </c>
      <c r="B9338" s="1" t="str">
        <f>HYPERLINK("http://greenergyfuels.ca","greenergyfuels.ca")</f>
        <v>greenergyfuels.ca</v>
      </c>
      <c r="C9338" t="s">
        <v>428</v>
      </c>
      <c r="D9338" t="s">
        <v>809</v>
      </c>
      <c r="J9338">
        <v>4</v>
      </c>
    </row>
    <row r="9339" spans="1:10" x14ac:dyDescent="0.25">
      <c r="A9339" t="s">
        <v>1599</v>
      </c>
      <c r="B9339" s="1" t="str">
        <f>HYPERLINK("http://sagen.ca","sagen.ca")</f>
        <v>sagen.ca</v>
      </c>
      <c r="C9339" t="s">
        <v>428</v>
      </c>
      <c r="D9339" t="s">
        <v>809</v>
      </c>
      <c r="F9339">
        <v>1.7942204745690899E-7</v>
      </c>
      <c r="G9339">
        <v>215337</v>
      </c>
      <c r="H9339">
        <v>13412708</v>
      </c>
      <c r="I9339">
        <v>10322743</v>
      </c>
      <c r="J9339">
        <v>4</v>
      </c>
    </row>
    <row r="9340" spans="1:10" x14ac:dyDescent="0.25">
      <c r="A9340" t="s">
        <v>1599</v>
      </c>
      <c r="B9340" s="1" t="str">
        <f>HYPERLINK("http://brookfield.cn","brookfield.cn")</f>
        <v>brookfield.cn</v>
      </c>
      <c r="C9340" t="s">
        <v>431</v>
      </c>
      <c r="D9340" t="s">
        <v>812</v>
      </c>
      <c r="F9340">
        <v>9.6980331843592199E-9</v>
      </c>
      <c r="G9340">
        <v>7082781</v>
      </c>
      <c r="H9340">
        <v>12116814</v>
      </c>
      <c r="I9340">
        <v>25492892</v>
      </c>
      <c r="J9340">
        <v>2</v>
      </c>
    </row>
    <row r="9341" spans="1:10" x14ac:dyDescent="0.25">
      <c r="A9341" t="s">
        <v>1599</v>
      </c>
      <c r="B9341" s="1" t="str">
        <f>HYPERLINK("http://isagen.com.co","isagen.com.co")</f>
        <v>isagen.com.co</v>
      </c>
      <c r="C9341" t="s">
        <v>432</v>
      </c>
      <c r="F9341">
        <v>3.1558361905839298E-8</v>
      </c>
      <c r="G9341">
        <v>1635166</v>
      </c>
      <c r="H9341">
        <v>14103300</v>
      </c>
      <c r="I9341">
        <v>2696374</v>
      </c>
      <c r="J9341">
        <v>3</v>
      </c>
    </row>
    <row r="9342" spans="1:10" x14ac:dyDescent="0.25">
      <c r="A9342" t="s">
        <v>1599</v>
      </c>
      <c r="B9342" s="1" t="str">
        <f>HYPERLINK("http://bfin.com","bfin.com")</f>
        <v>bfin.com</v>
      </c>
      <c r="C9342" t="s">
        <v>433</v>
      </c>
      <c r="F9342">
        <v>4.7685102518725597E-9</v>
      </c>
      <c r="G9342">
        <v>37439010</v>
      </c>
      <c r="H9342">
        <v>10879797</v>
      </c>
      <c r="I9342">
        <v>36334301</v>
      </c>
      <c r="J9342">
        <v>4</v>
      </c>
    </row>
    <row r="9343" spans="1:10" x14ac:dyDescent="0.25">
      <c r="A9343" t="s">
        <v>1599</v>
      </c>
      <c r="B9343" s="1" t="str">
        <f>HYPERLINK("http://brookfield.com","brookfield.com")</f>
        <v>brookfield.com</v>
      </c>
      <c r="C9343" t="s">
        <v>433</v>
      </c>
      <c r="E9343">
        <v>69331</v>
      </c>
      <c r="F9343">
        <v>6.9548803859000595E-7</v>
      </c>
      <c r="G9343">
        <v>55537</v>
      </c>
      <c r="H9343">
        <v>17237178</v>
      </c>
      <c r="I9343">
        <v>35806</v>
      </c>
      <c r="J9343">
        <v>1</v>
      </c>
    </row>
    <row r="9344" spans="1:10" x14ac:dyDescent="0.25">
      <c r="A9344" t="s">
        <v>1599</v>
      </c>
      <c r="B9344" s="1" t="str">
        <f>HYPERLINK("http://brookfieldbr.com","brookfieldbr.com")</f>
        <v>brookfieldbr.com</v>
      </c>
      <c r="C9344" t="s">
        <v>433</v>
      </c>
      <c r="E9344">
        <v>909458</v>
      </c>
      <c r="F9344">
        <v>7.82201220441027E-9</v>
      </c>
      <c r="G9344">
        <v>10272690</v>
      </c>
      <c r="H9344">
        <v>13763800</v>
      </c>
      <c r="I9344">
        <v>7615456</v>
      </c>
      <c r="J9344">
        <v>3</v>
      </c>
    </row>
    <row r="9345" spans="1:10" x14ac:dyDescent="0.25">
      <c r="A9345" t="s">
        <v>1599</v>
      </c>
      <c r="B9345" s="1" t="str">
        <f>HYPERLINK("http://brookfieldim.com","brookfieldim.com")</f>
        <v>brookfieldim.com</v>
      </c>
      <c r="C9345" t="s">
        <v>433</v>
      </c>
      <c r="F9345">
        <v>6.7071898027769101E-9</v>
      </c>
      <c r="G9345">
        <v>13277762</v>
      </c>
      <c r="H9345">
        <v>13377122</v>
      </c>
      <c r="I9345">
        <v>10439469</v>
      </c>
      <c r="J9345">
        <v>4</v>
      </c>
    </row>
    <row r="9346" spans="1:10" x14ac:dyDescent="0.25">
      <c r="A9346" t="s">
        <v>1599</v>
      </c>
      <c r="B9346" s="1" t="str">
        <f>HYPERLINK("http://brookfieldinfrastructure.com","brookfieldinfrastructure.com")</f>
        <v>brookfieldinfrastructure.com</v>
      </c>
      <c r="C9346" t="s">
        <v>433</v>
      </c>
      <c r="F9346">
        <v>8.7191945068203897E-9</v>
      </c>
      <c r="G9346">
        <v>8444520</v>
      </c>
      <c r="H9346">
        <v>14082880</v>
      </c>
      <c r="I9346">
        <v>2797192</v>
      </c>
      <c r="J9346">
        <v>4</v>
      </c>
    </row>
    <row r="9347" spans="1:10" x14ac:dyDescent="0.25">
      <c r="A9347" t="s">
        <v>1599</v>
      </c>
      <c r="B9347" s="1" t="str">
        <f>HYPERLINK("http://brookfieldinvestmentcorp.com","brookfieldinvestmentcorp.com")</f>
        <v>brookfieldinvestmentcorp.com</v>
      </c>
      <c r="C9347" t="s">
        <v>433</v>
      </c>
      <c r="F9347">
        <v>4.5039513495345599E-9</v>
      </c>
      <c r="G9347">
        <v>58360259</v>
      </c>
      <c r="H9347">
        <v>12005514</v>
      </c>
      <c r="I9347">
        <v>28167599</v>
      </c>
      <c r="J9347">
        <v>4</v>
      </c>
    </row>
    <row r="9348" spans="1:10" x14ac:dyDescent="0.25">
      <c r="A9348" t="s">
        <v>1599</v>
      </c>
      <c r="B9348" s="1" t="str">
        <f>HYPERLINK("http://brookfieldproperties.com","brookfieldproperties.com")</f>
        <v>brookfieldproperties.com</v>
      </c>
      <c r="C9348" t="s">
        <v>433</v>
      </c>
      <c r="E9348">
        <v>81853</v>
      </c>
      <c r="F9348">
        <v>7.2665421307656299E-7</v>
      </c>
      <c r="G9348">
        <v>53474</v>
      </c>
      <c r="H9348">
        <v>17265462</v>
      </c>
      <c r="I9348">
        <v>31930</v>
      </c>
      <c r="J9348">
        <v>2</v>
      </c>
    </row>
    <row r="9349" spans="1:10" x14ac:dyDescent="0.25">
      <c r="A9349" t="s">
        <v>1599</v>
      </c>
      <c r="B9349" s="1" t="str">
        <f>HYPERLINK("http://brookfieldpropertiesretail.com","brookfieldpropertiesretail.com")</f>
        <v>brookfieldpropertiesretail.com</v>
      </c>
      <c r="C9349" t="s">
        <v>433</v>
      </c>
      <c r="E9349">
        <v>734367</v>
      </c>
      <c r="F9349">
        <v>1.5395025015169299E-7</v>
      </c>
      <c r="G9349">
        <v>252300</v>
      </c>
      <c r="H9349">
        <v>15080827</v>
      </c>
      <c r="I9349">
        <v>409439</v>
      </c>
      <c r="J9349">
        <v>4</v>
      </c>
    </row>
    <row r="9350" spans="1:10" x14ac:dyDescent="0.25">
      <c r="A9350" t="s">
        <v>1599</v>
      </c>
      <c r="B9350" s="1" t="str">
        <f>HYPERLINK("http://brookfieldpropertypartners.com","brookfieldpropertypartners.com")</f>
        <v>brookfieldpropertypartners.com</v>
      </c>
      <c r="C9350" t="s">
        <v>433</v>
      </c>
      <c r="F9350">
        <v>8.2850538063182901E-9</v>
      </c>
      <c r="G9350">
        <v>9293657</v>
      </c>
      <c r="H9350">
        <v>12760329</v>
      </c>
      <c r="I9350">
        <v>14950069</v>
      </c>
      <c r="J9350">
        <v>4</v>
      </c>
    </row>
    <row r="9351" spans="1:10" x14ac:dyDescent="0.25">
      <c r="A9351" t="s">
        <v>1599</v>
      </c>
      <c r="B9351" s="1" t="str">
        <f>HYPERLINK("http://brookfieldrenewable.com","brookfieldrenewable.com")</f>
        <v>brookfieldrenewable.com</v>
      </c>
      <c r="C9351" t="s">
        <v>433</v>
      </c>
      <c r="F9351">
        <v>3.3299317841079997E-8</v>
      </c>
      <c r="G9351">
        <v>1551935</v>
      </c>
      <c r="H9351">
        <v>14120090</v>
      </c>
      <c r="I9351">
        <v>2388652</v>
      </c>
      <c r="J9351">
        <v>3</v>
      </c>
    </row>
    <row r="9352" spans="1:10" x14ac:dyDescent="0.25">
      <c r="A9352" t="s">
        <v>1599</v>
      </c>
      <c r="B9352" s="1" t="str">
        <f>HYPERLINK("http://brookfieldresidential.com","brookfieldresidential.com")</f>
        <v>brookfieldresidential.com</v>
      </c>
      <c r="C9352" t="s">
        <v>433</v>
      </c>
      <c r="E9352">
        <v>136326</v>
      </c>
      <c r="F9352">
        <v>2.1700060188778101E-7</v>
      </c>
      <c r="G9352">
        <v>173803</v>
      </c>
      <c r="H9352">
        <v>13973748</v>
      </c>
      <c r="I9352">
        <v>4066425</v>
      </c>
      <c r="J9352">
        <v>3</v>
      </c>
    </row>
    <row r="9353" spans="1:10" x14ac:dyDescent="0.25">
      <c r="A9353" t="s">
        <v>1599</v>
      </c>
      <c r="B9353" s="1" t="str">
        <f>HYPERLINK("http://brookfieldrp.com","brookfieldrp.com")</f>
        <v>brookfieldrp.com</v>
      </c>
      <c r="C9353" t="s">
        <v>433</v>
      </c>
      <c r="E9353">
        <v>252521</v>
      </c>
      <c r="F9353">
        <v>9.7620107939653503E-9</v>
      </c>
      <c r="G9353">
        <v>7010473</v>
      </c>
      <c r="H9353">
        <v>14081348</v>
      </c>
      <c r="I9353">
        <v>2811009</v>
      </c>
      <c r="J9353">
        <v>6</v>
      </c>
    </row>
    <row r="9354" spans="1:10" x14ac:dyDescent="0.25">
      <c r="A9354" t="s">
        <v>1599</v>
      </c>
      <c r="B9354" s="1" t="str">
        <f>HYPERLINK("http://canarywharf.com","canarywharf.com")</f>
        <v>canarywharf.com</v>
      </c>
      <c r="C9354" t="s">
        <v>433</v>
      </c>
      <c r="E9354">
        <v>126776</v>
      </c>
      <c r="F9354">
        <v>2.6742408022897998E-7</v>
      </c>
      <c r="G9354">
        <v>139332</v>
      </c>
      <c r="H9354">
        <v>15185157</v>
      </c>
      <c r="I9354">
        <v>396837</v>
      </c>
      <c r="J9354">
        <v>4</v>
      </c>
    </row>
    <row r="9355" spans="1:10" x14ac:dyDescent="0.25">
      <c r="A9355" t="s">
        <v>1599</v>
      </c>
      <c r="B9355" s="1" t="str">
        <f>HYPERLINK("http://canarywharfinvestorrelations.com","canarywharfinvestorrelations.com")</f>
        <v>canarywharfinvestorrelations.com</v>
      </c>
      <c r="C9355" t="s">
        <v>433</v>
      </c>
      <c r="F9355">
        <v>4.4829939979196599E-9</v>
      </c>
      <c r="G9355">
        <v>61764542</v>
      </c>
      <c r="H9355">
        <v>10731831</v>
      </c>
      <c r="I9355">
        <v>40839155</v>
      </c>
      <c r="J9355">
        <v>6</v>
      </c>
    </row>
    <row r="9356" spans="1:10" x14ac:dyDescent="0.25">
      <c r="A9356" t="s">
        <v>1599</v>
      </c>
      <c r="B9356" s="1" t="str">
        <f>HYPERLINK("http://catalystgrp.com","catalystgrp.com")</f>
        <v>catalystgrp.com</v>
      </c>
      <c r="C9356" t="s">
        <v>433</v>
      </c>
      <c r="F9356">
        <v>1.4364856034465999E-8</v>
      </c>
      <c r="G9356">
        <v>4069240</v>
      </c>
      <c r="H9356">
        <v>13294736</v>
      </c>
      <c r="I9356">
        <v>10854755</v>
      </c>
      <c r="J9356">
        <v>4</v>
      </c>
    </row>
    <row r="9357" spans="1:10" x14ac:dyDescent="0.25">
      <c r="A9357" t="s">
        <v>1599</v>
      </c>
      <c r="B9357" s="1" t="str">
        <f>HYPERLINK("http://clarios.com","clarios.com")</f>
        <v>clarios.com</v>
      </c>
      <c r="C9357" t="s">
        <v>433</v>
      </c>
      <c r="E9357">
        <v>110061</v>
      </c>
      <c r="F9357">
        <v>1.84705585103115E-7</v>
      </c>
      <c r="G9357">
        <v>208723</v>
      </c>
      <c r="H9357">
        <v>16792832</v>
      </c>
      <c r="I9357">
        <v>210215</v>
      </c>
      <c r="J9357">
        <v>4</v>
      </c>
    </row>
    <row r="9358" spans="1:10" x14ac:dyDescent="0.25">
      <c r="A9358" t="s">
        <v>1599</v>
      </c>
      <c r="B9358" s="1" t="str">
        <f>HYPERLINK("http://enwave.com","enwave.com")</f>
        <v>enwave.com</v>
      </c>
      <c r="C9358" t="s">
        <v>433</v>
      </c>
      <c r="F9358">
        <v>4.3477609899699099E-8</v>
      </c>
      <c r="G9358">
        <v>1100323</v>
      </c>
      <c r="H9358">
        <v>14589430</v>
      </c>
      <c r="I9358">
        <v>696928</v>
      </c>
      <c r="J9358">
        <v>3</v>
      </c>
    </row>
    <row r="9359" spans="1:10" x14ac:dyDescent="0.25">
      <c r="A9359" t="s">
        <v>1599</v>
      </c>
      <c r="B9359" s="1" t="str">
        <f>HYPERLINK("http://enwavetoronto.com","enwavetoronto.com")</f>
        <v>enwavetoronto.com</v>
      </c>
      <c r="C9359" t="s">
        <v>433</v>
      </c>
      <c r="F9359">
        <v>6.5156506615298097E-9</v>
      </c>
      <c r="G9359">
        <v>14013172</v>
      </c>
      <c r="H9359">
        <v>12372056</v>
      </c>
      <c r="I9359">
        <v>19373208</v>
      </c>
      <c r="J9359">
        <v>6</v>
      </c>
    </row>
    <row r="9360" spans="1:10" x14ac:dyDescent="0.25">
      <c r="A9360" t="s">
        <v>1599</v>
      </c>
      <c r="B9360" s="1" t="str">
        <f>HYPERLINK("http://graftech.com","graftech.com")</f>
        <v>graftech.com</v>
      </c>
      <c r="C9360" t="s">
        <v>433</v>
      </c>
      <c r="E9360">
        <v>665773</v>
      </c>
      <c r="F9360">
        <v>4.7571691108320898E-8</v>
      </c>
      <c r="G9360">
        <v>978832</v>
      </c>
      <c r="H9360">
        <v>14604448</v>
      </c>
      <c r="I9360">
        <v>682698</v>
      </c>
      <c r="J9360">
        <v>3</v>
      </c>
    </row>
    <row r="9361" spans="1:10" x14ac:dyDescent="0.25">
      <c r="A9361" t="s">
        <v>1599</v>
      </c>
      <c r="B9361" s="1" t="str">
        <f>HYPERLINK("http://greenergy.com","greenergy.com")</f>
        <v>greenergy.com</v>
      </c>
      <c r="C9361" t="s">
        <v>433</v>
      </c>
      <c r="E9361">
        <v>621145</v>
      </c>
      <c r="F9361">
        <v>5.7661232004501402E-8</v>
      </c>
      <c r="G9361">
        <v>772864</v>
      </c>
      <c r="H9361">
        <v>14579215</v>
      </c>
      <c r="I9361">
        <v>713069</v>
      </c>
      <c r="J9361">
        <v>6</v>
      </c>
    </row>
    <row r="9362" spans="1:10" x14ac:dyDescent="0.25">
      <c r="A9362" t="s">
        <v>1599</v>
      </c>
      <c r="B9362" s="1" t="str">
        <f>HYPERLINK("http://kramerlevin.com","kramerlevin.com")</f>
        <v>kramerlevin.com</v>
      </c>
      <c r="C9362" t="s">
        <v>433</v>
      </c>
      <c r="E9362">
        <v>251991</v>
      </c>
      <c r="F9362">
        <v>2.8671782692452197E-7</v>
      </c>
      <c r="G9362">
        <v>129652</v>
      </c>
      <c r="H9362">
        <v>14649826</v>
      </c>
      <c r="I9362">
        <v>628198</v>
      </c>
      <c r="J9362">
        <v>5</v>
      </c>
    </row>
    <row r="9363" spans="1:10" x14ac:dyDescent="0.25">
      <c r="A9363" t="s">
        <v>1599</v>
      </c>
      <c r="B9363" s="1" t="str">
        <f>HYPERLINK("http://schoellerallibert.com","schoellerallibert.com")</f>
        <v>schoellerallibert.com</v>
      </c>
      <c r="C9363" t="s">
        <v>433</v>
      </c>
      <c r="E9363">
        <v>269931</v>
      </c>
      <c r="F9363">
        <v>2.48223390256881E-7</v>
      </c>
      <c r="G9363">
        <v>150728</v>
      </c>
      <c r="H9363">
        <v>14046803</v>
      </c>
      <c r="I9363">
        <v>3899113</v>
      </c>
      <c r="J9363">
        <v>5</v>
      </c>
    </row>
    <row r="9364" spans="1:10" x14ac:dyDescent="0.25">
      <c r="A9364" t="s">
        <v>1599</v>
      </c>
      <c r="B9364" s="1" t="str">
        <f>HYPERLINK("http://stoneandwebster.com","stoneandwebster.com")</f>
        <v>stoneandwebster.com</v>
      </c>
      <c r="C9364" t="s">
        <v>433</v>
      </c>
      <c r="F9364">
        <v>1.1070767924455601E-8</v>
      </c>
      <c r="G9364">
        <v>5807075</v>
      </c>
      <c r="H9364">
        <v>14080316</v>
      </c>
      <c r="I9364">
        <v>2821318</v>
      </c>
      <c r="J9364">
        <v>7</v>
      </c>
    </row>
    <row r="9365" spans="1:10" x14ac:dyDescent="0.25">
      <c r="A9365" t="s">
        <v>1599</v>
      </c>
      <c r="B9365" s="1" t="str">
        <f>HYPERLINK("http://terraform.com","terraform.com")</f>
        <v>terraform.com</v>
      </c>
      <c r="C9365" t="s">
        <v>433</v>
      </c>
      <c r="E9365">
        <v>813159</v>
      </c>
      <c r="F9365">
        <v>3.0219081819466899E-8</v>
      </c>
      <c r="G9365">
        <v>1703043</v>
      </c>
      <c r="H9365">
        <v>14178081</v>
      </c>
      <c r="I9365">
        <v>1785533</v>
      </c>
      <c r="J9365">
        <v>4</v>
      </c>
    </row>
    <row r="9366" spans="1:10" x14ac:dyDescent="0.25">
      <c r="A9366" t="s">
        <v>1599</v>
      </c>
      <c r="B9366" s="1" t="str">
        <f>HYPERLINK("http://theriverlofts.com","theriverlofts.com")</f>
        <v>theriverlofts.com</v>
      </c>
      <c r="C9366" t="s">
        <v>433</v>
      </c>
      <c r="F9366">
        <v>4.9402184431040401E-9</v>
      </c>
      <c r="G9366">
        <v>31080547</v>
      </c>
      <c r="H9366">
        <v>12635675</v>
      </c>
      <c r="I9366">
        <v>15908940</v>
      </c>
      <c r="J9366">
        <v>6</v>
      </c>
    </row>
    <row r="9367" spans="1:10" x14ac:dyDescent="0.25">
      <c r="A9367" t="s">
        <v>1599</v>
      </c>
      <c r="B9367" s="1" t="str">
        <f>HYPERLINK("http://wec.com","wec.com")</f>
        <v>wec.com</v>
      </c>
      <c r="C9367" t="s">
        <v>433</v>
      </c>
      <c r="F9367">
        <v>5.2136589289975402E-9</v>
      </c>
      <c r="G9367">
        <v>24857725</v>
      </c>
      <c r="H9367">
        <v>12879958</v>
      </c>
      <c r="I9367">
        <v>14000754</v>
      </c>
      <c r="J9367">
        <v>7</v>
      </c>
    </row>
    <row r="9368" spans="1:10" x14ac:dyDescent="0.25">
      <c r="A9368" t="s">
        <v>1599</v>
      </c>
      <c r="B9368" s="1" t="str">
        <f>HYPERLINK("http://wecnq.com","wecnq.com")</f>
        <v>wecnq.com</v>
      </c>
      <c r="C9368" t="s">
        <v>433</v>
      </c>
      <c r="E9368">
        <v>693382</v>
      </c>
      <c r="F9368">
        <v>4.7239504979947502E-9</v>
      </c>
      <c r="G9368">
        <v>39654811</v>
      </c>
      <c r="H9368">
        <v>13933061</v>
      </c>
      <c r="I9368">
        <v>5454249</v>
      </c>
      <c r="J9368">
        <v>7</v>
      </c>
    </row>
    <row r="9369" spans="1:10" x14ac:dyDescent="0.25">
      <c r="A9369" t="s">
        <v>1599</v>
      </c>
      <c r="B9369" s="1" t="str">
        <f>HYPERLINK("http://wectec.com","wectec.com")</f>
        <v>wectec.com</v>
      </c>
      <c r="C9369" t="s">
        <v>433</v>
      </c>
      <c r="F9369">
        <v>4.9925741832649396E-9</v>
      </c>
      <c r="G9369">
        <v>29602816</v>
      </c>
      <c r="H9369">
        <v>10106864</v>
      </c>
      <c r="I9369">
        <v>59831236</v>
      </c>
      <c r="J9369">
        <v>7</v>
      </c>
    </row>
    <row r="9370" spans="1:10" x14ac:dyDescent="0.25">
      <c r="A9370" t="s">
        <v>1599</v>
      </c>
      <c r="B9370" s="1" t="str">
        <f>HYPERLINK("http://wectecstaffing.com","wectecstaffing.com")</f>
        <v>wectecstaffing.com</v>
      </c>
      <c r="C9370" t="s">
        <v>433</v>
      </c>
      <c r="F9370">
        <v>9.7977290021089804E-9</v>
      </c>
      <c r="G9370">
        <v>6971253</v>
      </c>
      <c r="H9370">
        <v>12161577</v>
      </c>
      <c r="I9370">
        <v>24323300</v>
      </c>
      <c r="J9370">
        <v>7</v>
      </c>
    </row>
    <row r="9371" spans="1:10" x14ac:dyDescent="0.25">
      <c r="A9371" t="s">
        <v>1599</v>
      </c>
      <c r="B9371" s="1" t="str">
        <f>HYPERLINK("http://westinghousenuclear.com","westinghousenuclear.com")</f>
        <v>westinghousenuclear.com</v>
      </c>
      <c r="C9371" t="s">
        <v>433</v>
      </c>
      <c r="E9371">
        <v>146109</v>
      </c>
      <c r="F9371">
        <v>3.6472447909889702E-7</v>
      </c>
      <c r="G9371">
        <v>102555</v>
      </c>
      <c r="H9371">
        <v>17258926</v>
      </c>
      <c r="I9371">
        <v>32787</v>
      </c>
      <c r="J9371">
        <v>5</v>
      </c>
    </row>
    <row r="9372" spans="1:10" x14ac:dyDescent="0.25">
      <c r="A9372" t="s">
        <v>1599</v>
      </c>
      <c r="B9372" s="1" t="str">
        <f>HYPERLINK("http://westinghousesolarlights.com","westinghousesolarlights.com")</f>
        <v>westinghousesolarlights.com</v>
      </c>
      <c r="C9372" t="s">
        <v>433</v>
      </c>
      <c r="F9372">
        <v>8.4269097154052208E-9</v>
      </c>
      <c r="G9372">
        <v>8988215</v>
      </c>
      <c r="H9372">
        <v>13147280</v>
      </c>
      <c r="I9372">
        <v>11839138</v>
      </c>
      <c r="J9372">
        <v>9</v>
      </c>
    </row>
    <row r="9373" spans="1:10" x14ac:dyDescent="0.25">
      <c r="A9373" t="s">
        <v>1599</v>
      </c>
      <c r="B9373" s="1" t="str">
        <f>HYPERLINK("http://woodwharf.com","woodwharf.com")</f>
        <v>woodwharf.com</v>
      </c>
      <c r="C9373" t="s">
        <v>433</v>
      </c>
      <c r="F9373">
        <v>7.2786115662840004E-9</v>
      </c>
      <c r="G9373">
        <v>11532482</v>
      </c>
      <c r="H9373">
        <v>13768092</v>
      </c>
      <c r="I9373">
        <v>6896825</v>
      </c>
      <c r="J9373">
        <v>4</v>
      </c>
    </row>
    <row r="9374" spans="1:10" x14ac:dyDescent="0.25">
      <c r="A9374" t="s">
        <v>1599</v>
      </c>
      <c r="B9374" s="1" t="str">
        <f>HYPERLINK("http://schoellerallibert.de","schoellerallibert.de")</f>
        <v>schoellerallibert.de</v>
      </c>
      <c r="C9374" t="s">
        <v>436</v>
      </c>
      <c r="D9374" t="s">
        <v>815</v>
      </c>
      <c r="F9374">
        <v>1.1848033872443E-8</v>
      </c>
      <c r="G9374">
        <v>5271858</v>
      </c>
      <c r="H9374">
        <v>12439213</v>
      </c>
      <c r="I9374">
        <v>18153198</v>
      </c>
      <c r="J9374">
        <v>6</v>
      </c>
    </row>
    <row r="9375" spans="1:10" x14ac:dyDescent="0.25">
      <c r="A9375" t="s">
        <v>1599</v>
      </c>
      <c r="B9375" s="1" t="str">
        <f>HYPERLINK("http://schoellerallibert.es","schoellerallibert.es")</f>
        <v>schoellerallibert.es</v>
      </c>
      <c r="C9375" t="s">
        <v>443</v>
      </c>
      <c r="D9375" t="s">
        <v>822</v>
      </c>
      <c r="F9375">
        <v>1.10007739020094E-8</v>
      </c>
      <c r="G9375">
        <v>5859623</v>
      </c>
      <c r="H9375">
        <v>12429785</v>
      </c>
      <c r="I9375">
        <v>18304485</v>
      </c>
      <c r="J9375">
        <v>6</v>
      </c>
    </row>
    <row r="9376" spans="1:10" x14ac:dyDescent="0.25">
      <c r="A9376" t="s">
        <v>1599</v>
      </c>
      <c r="B9376" s="1" t="str">
        <f>HYPERLINK("http://schoellerallibert.fr","schoellerallibert.fr")</f>
        <v>schoellerallibert.fr</v>
      </c>
      <c r="C9376" t="s">
        <v>446</v>
      </c>
      <c r="D9376" t="s">
        <v>824</v>
      </c>
      <c r="F9376">
        <v>1.0305871882613E-8</v>
      </c>
      <c r="G9376">
        <v>6445475</v>
      </c>
      <c r="H9376">
        <v>10828029</v>
      </c>
      <c r="I9376">
        <v>37442352</v>
      </c>
      <c r="J9376">
        <v>6</v>
      </c>
    </row>
    <row r="9377" spans="1:10" x14ac:dyDescent="0.25">
      <c r="A9377" t="s">
        <v>1599</v>
      </c>
      <c r="B9377" s="1" t="str">
        <f>HYPERLINK("http://multiplex.global","multiplex.global")</f>
        <v>multiplex.global</v>
      </c>
      <c r="C9377" t="s">
        <v>517</v>
      </c>
      <c r="E9377">
        <v>727238</v>
      </c>
      <c r="F9377">
        <v>7.6651823808596693E-8</v>
      </c>
      <c r="G9377">
        <v>546788</v>
      </c>
      <c r="H9377">
        <v>14692410</v>
      </c>
      <c r="I9377">
        <v>601243</v>
      </c>
      <c r="J9377">
        <v>3</v>
      </c>
    </row>
    <row r="9378" spans="1:10" x14ac:dyDescent="0.25">
      <c r="A9378" t="s">
        <v>1599</v>
      </c>
      <c r="B9378" s="1" t="str">
        <f>HYPERLINK("http://greenergy.com.gr","greenergy.com.gr")</f>
        <v>greenergy.com.gr</v>
      </c>
      <c r="C9378" t="s">
        <v>447</v>
      </c>
      <c r="D9378" t="s">
        <v>825</v>
      </c>
      <c r="J9378">
        <v>9</v>
      </c>
    </row>
    <row r="9379" spans="1:10" x14ac:dyDescent="0.25">
      <c r="A9379" t="s">
        <v>1599</v>
      </c>
      <c r="B9379" s="1" t="str">
        <f>HYPERLINK("http://amberoil.ie","amberoil.ie")</f>
        <v>amberoil.ie</v>
      </c>
      <c r="C9379" t="s">
        <v>455</v>
      </c>
      <c r="D9379" t="s">
        <v>832</v>
      </c>
      <c r="F9379">
        <v>1.1851161045882501E-8</v>
      </c>
      <c r="G9379">
        <v>5269941</v>
      </c>
      <c r="H9379">
        <v>13121885</v>
      </c>
      <c r="I9379">
        <v>11986120</v>
      </c>
      <c r="J9379">
        <v>7</v>
      </c>
    </row>
    <row r="9380" spans="1:10" x14ac:dyDescent="0.25">
      <c r="A9380" t="s">
        <v>1599</v>
      </c>
      <c r="B9380" s="1" t="str">
        <f>HYPERLINK("http://inverenergy.ie","inverenergy.ie")</f>
        <v>inverenergy.ie</v>
      </c>
      <c r="C9380" t="s">
        <v>455</v>
      </c>
      <c r="D9380" t="s">
        <v>832</v>
      </c>
      <c r="F9380">
        <v>9.8202415042555701E-9</v>
      </c>
      <c r="G9380">
        <v>6947416</v>
      </c>
      <c r="H9380">
        <v>11130605</v>
      </c>
      <c r="I9380">
        <v>31940489</v>
      </c>
      <c r="J9380">
        <v>5</v>
      </c>
    </row>
    <row r="9381" spans="1:10" x14ac:dyDescent="0.25">
      <c r="A9381" t="s">
        <v>1599</v>
      </c>
      <c r="B9381" s="1" t="str">
        <f>HYPERLINK("http://mangiarotti.it","mangiarotti.it")</f>
        <v>mangiarotti.it</v>
      </c>
      <c r="C9381" t="s">
        <v>459</v>
      </c>
      <c r="D9381" t="s">
        <v>835</v>
      </c>
      <c r="F9381">
        <v>1.85467033311766E-8</v>
      </c>
      <c r="G9381">
        <v>2916946</v>
      </c>
      <c r="H9381">
        <v>13719522</v>
      </c>
      <c r="I9381">
        <v>9477570</v>
      </c>
      <c r="J9381">
        <v>7</v>
      </c>
    </row>
    <row r="9382" spans="1:10" x14ac:dyDescent="0.25">
      <c r="A9382" t="s">
        <v>1599</v>
      </c>
      <c r="B9382" s="1" t="str">
        <f>HYPERLINK("http://schoellerallibert.it","schoellerallibert.it")</f>
        <v>schoellerallibert.it</v>
      </c>
      <c r="C9382" t="s">
        <v>459</v>
      </c>
      <c r="D9382" t="s">
        <v>835</v>
      </c>
      <c r="F9382">
        <v>1.0313387502762699E-8</v>
      </c>
      <c r="G9382">
        <v>6438451</v>
      </c>
      <c r="H9382">
        <v>10752994</v>
      </c>
      <c r="I9382">
        <v>39902693</v>
      </c>
      <c r="J9382">
        <v>6</v>
      </c>
    </row>
    <row r="9383" spans="1:10" x14ac:dyDescent="0.25">
      <c r="A9383" t="s">
        <v>1599</v>
      </c>
      <c r="B9383" s="1" t="str">
        <f>HYPERLINK("http://brookfield.jp","brookfield.jp")</f>
        <v>brookfield.jp</v>
      </c>
      <c r="C9383" t="s">
        <v>461</v>
      </c>
      <c r="D9383" t="s">
        <v>837</v>
      </c>
      <c r="F9383">
        <v>1.01055011058334E-8</v>
      </c>
      <c r="G9383">
        <v>6642593</v>
      </c>
      <c r="H9383">
        <v>12119872</v>
      </c>
      <c r="I9383">
        <v>25409053</v>
      </c>
      <c r="J9383">
        <v>2</v>
      </c>
    </row>
    <row r="9384" spans="1:10" x14ac:dyDescent="0.25">
      <c r="A9384" t="s">
        <v>1599</v>
      </c>
      <c r="B9384" s="1" t="str">
        <f>HYPERLINK("http://nfi.co.jp","nfi.co.jp")</f>
        <v>nfi.co.jp</v>
      </c>
      <c r="C9384" t="s">
        <v>461</v>
      </c>
      <c r="D9384" t="s">
        <v>837</v>
      </c>
      <c r="F9384">
        <v>2.03410118320644E-8</v>
      </c>
      <c r="G9384">
        <v>2608089</v>
      </c>
      <c r="H9384">
        <v>14089534</v>
      </c>
      <c r="I9384">
        <v>2753618</v>
      </c>
      <c r="J9384">
        <v>5</v>
      </c>
    </row>
    <row r="9385" spans="1:10" x14ac:dyDescent="0.25">
      <c r="A9385" t="s">
        <v>1599</v>
      </c>
      <c r="B9385" s="1" t="str">
        <f>HYPERLINK("http://fortybankstreet.london","fortybankstreet.london")</f>
        <v>fortybankstreet.london</v>
      </c>
      <c r="C9385" t="s">
        <v>702</v>
      </c>
      <c r="F9385">
        <v>5.6851966212413801E-9</v>
      </c>
      <c r="G9385">
        <v>19085736</v>
      </c>
      <c r="H9385">
        <v>11233257</v>
      </c>
      <c r="I9385">
        <v>31007174</v>
      </c>
      <c r="J9385">
        <v>6</v>
      </c>
    </row>
    <row r="9386" spans="1:10" x14ac:dyDescent="0.25">
      <c r="A9386" t="s">
        <v>1599</v>
      </c>
      <c r="B9386" s="1" t="str">
        <f>HYPERLINK("http://schoellerallibert.lu","schoellerallibert.lu")</f>
        <v>schoellerallibert.lu</v>
      </c>
      <c r="C9386" t="s">
        <v>547</v>
      </c>
      <c r="D9386" t="s">
        <v>904</v>
      </c>
      <c r="F9386">
        <v>9.7190565836753399E-9</v>
      </c>
      <c r="G9386">
        <v>7059010</v>
      </c>
      <c r="H9386">
        <v>10752994</v>
      </c>
      <c r="I9386">
        <v>39902694</v>
      </c>
      <c r="J9386">
        <v>6</v>
      </c>
    </row>
    <row r="9387" spans="1:10" x14ac:dyDescent="0.25">
      <c r="A9387" t="s">
        <v>1599</v>
      </c>
      <c r="B9387" s="1" t="str">
        <f>HYPERLINK("http://schoellerallibert.nl","schoellerallibert.nl")</f>
        <v>schoellerallibert.nl</v>
      </c>
      <c r="C9387" t="s">
        <v>477</v>
      </c>
      <c r="D9387" t="s">
        <v>852</v>
      </c>
      <c r="F9387">
        <v>1.25271037245085E-8</v>
      </c>
      <c r="G9387">
        <v>4871167</v>
      </c>
      <c r="H9387">
        <v>14060727</v>
      </c>
      <c r="I9387">
        <v>3814191</v>
      </c>
      <c r="J9387">
        <v>6</v>
      </c>
    </row>
    <row r="9388" spans="1:10" x14ac:dyDescent="0.25">
      <c r="A9388" t="s">
        <v>1599</v>
      </c>
      <c r="B9388" s="1" t="str">
        <f>HYPERLINK("http://schoellerallibert.pl","schoellerallibert.pl")</f>
        <v>schoellerallibert.pl</v>
      </c>
      <c r="C9388" t="s">
        <v>486</v>
      </c>
      <c r="D9388" t="s">
        <v>860</v>
      </c>
      <c r="F9388">
        <v>1.0454333046096601E-8</v>
      </c>
      <c r="G9388">
        <v>6309381</v>
      </c>
      <c r="H9388">
        <v>10753974</v>
      </c>
      <c r="I9388">
        <v>39864789</v>
      </c>
      <c r="J9388">
        <v>6</v>
      </c>
    </row>
    <row r="9389" spans="1:10" x14ac:dyDescent="0.25">
      <c r="A9389" t="s">
        <v>1599</v>
      </c>
      <c r="B9389" s="1" t="str">
        <f>HYPERLINK("http://schoellerallibert.se","schoellerallibert.se")</f>
        <v>schoellerallibert.se</v>
      </c>
      <c r="C9389" t="s">
        <v>495</v>
      </c>
      <c r="D9389" t="s">
        <v>869</v>
      </c>
      <c r="F9389">
        <v>1.0141281279364501E-8</v>
      </c>
      <c r="G9389">
        <v>6605249</v>
      </c>
      <c r="H9389">
        <v>12409686</v>
      </c>
      <c r="I9389">
        <v>18612712</v>
      </c>
      <c r="J9389">
        <v>6</v>
      </c>
    </row>
    <row r="9390" spans="1:10" x14ac:dyDescent="0.25">
      <c r="A9390" t="s">
        <v>1599</v>
      </c>
      <c r="B9390" s="1" t="str">
        <f>HYPERLINK("http://apprenticetraining.co.uk","apprenticetraining.co.uk")</f>
        <v>apprenticetraining.co.uk</v>
      </c>
      <c r="C9390" t="s">
        <v>506</v>
      </c>
      <c r="D9390" t="s">
        <v>880</v>
      </c>
      <c r="J9390">
        <v>4</v>
      </c>
    </row>
    <row r="9391" spans="1:10" x14ac:dyDescent="0.25">
      <c r="A9391" t="s">
        <v>1599</v>
      </c>
      <c r="B9391" s="1" t="str">
        <f>HYPERLINK("http://fhc.co.uk","fhc.co.uk")</f>
        <v>fhc.co.uk</v>
      </c>
      <c r="C9391" t="s">
        <v>506</v>
      </c>
      <c r="D9391" t="s">
        <v>880</v>
      </c>
      <c r="F9391">
        <v>1.9361749168510301E-8</v>
      </c>
      <c r="G9391">
        <v>2769140</v>
      </c>
      <c r="H9391">
        <v>14491223</v>
      </c>
      <c r="I9391">
        <v>904873</v>
      </c>
      <c r="J9391">
        <v>9</v>
      </c>
    </row>
    <row r="9392" spans="1:10" x14ac:dyDescent="0.25">
      <c r="A9392" t="s">
        <v>1599</v>
      </c>
      <c r="B9392" s="1" t="str">
        <f>HYPERLINK("http://inverenergy.co.uk","inverenergy.co.uk")</f>
        <v>inverenergy.co.uk</v>
      </c>
      <c r="C9392" t="s">
        <v>506</v>
      </c>
      <c r="D9392" t="s">
        <v>880</v>
      </c>
      <c r="F9392">
        <v>4.5685590901883603E-9</v>
      </c>
      <c r="G9392">
        <v>50324587</v>
      </c>
      <c r="H9392">
        <v>10430592</v>
      </c>
      <c r="I9392">
        <v>53503979</v>
      </c>
      <c r="J9392">
        <v>5</v>
      </c>
    </row>
    <row r="9393" spans="1:10" x14ac:dyDescent="0.25">
      <c r="A9393" t="s">
        <v>1599</v>
      </c>
      <c r="B9393" s="1" t="str">
        <f>HYPERLINK("http://logical-linksolutions.co.uk","logical-linksolutions.co.uk")</f>
        <v>logical-linksolutions.co.uk</v>
      </c>
      <c r="C9393" t="s">
        <v>506</v>
      </c>
      <c r="D9393" t="s">
        <v>880</v>
      </c>
      <c r="J9393">
        <v>10</v>
      </c>
    </row>
    <row r="9394" spans="1:10" x14ac:dyDescent="0.25">
      <c r="A9394" t="s">
        <v>1599</v>
      </c>
      <c r="B9394" s="1" t="str">
        <f>HYPERLINK("http://nuclearsites.co.uk","nuclearsites.co.uk")</f>
        <v>nuclearsites.co.uk</v>
      </c>
      <c r="C9394" t="s">
        <v>506</v>
      </c>
      <c r="D9394" t="s">
        <v>880</v>
      </c>
      <c r="F9394">
        <v>5.5406497396588103E-9</v>
      </c>
      <c r="G9394">
        <v>20475044</v>
      </c>
      <c r="H9394">
        <v>14380421</v>
      </c>
      <c r="I9394">
        <v>1195053</v>
      </c>
      <c r="J9394">
        <v>4</v>
      </c>
    </row>
    <row r="9395" spans="1:10" x14ac:dyDescent="0.25">
      <c r="A9395" t="s">
        <v>1599</v>
      </c>
      <c r="B9395" s="1" t="str">
        <f>HYPERLINK("http://pdports.co.uk","pdports.co.uk")</f>
        <v>pdports.co.uk</v>
      </c>
      <c r="C9395" t="s">
        <v>506</v>
      </c>
      <c r="D9395" t="s">
        <v>880</v>
      </c>
      <c r="F9395">
        <v>3.1264374972043299E-8</v>
      </c>
      <c r="G9395">
        <v>1649288</v>
      </c>
      <c r="H9395">
        <v>14422725</v>
      </c>
      <c r="I9395">
        <v>1084480</v>
      </c>
      <c r="J9395">
        <v>3</v>
      </c>
    </row>
    <row r="9396" spans="1:10" x14ac:dyDescent="0.25">
      <c r="A9396" t="s">
        <v>1599</v>
      </c>
      <c r="B9396" s="1" t="str">
        <f>HYPERLINK("http://pdteesport.co.uk","pdteesport.co.uk")</f>
        <v>pdteesport.co.uk</v>
      </c>
      <c r="C9396" t="s">
        <v>506</v>
      </c>
      <c r="D9396" t="s">
        <v>880</v>
      </c>
      <c r="J9396">
        <v>6</v>
      </c>
    </row>
    <row r="9397" spans="1:10" x14ac:dyDescent="0.25">
      <c r="A9397" t="s">
        <v>1599</v>
      </c>
      <c r="B9397" s="1" t="str">
        <f>HYPERLINK("http://pnewind.co.uk","pnewind.co.uk")</f>
        <v>pnewind.co.uk</v>
      </c>
      <c r="C9397" t="s">
        <v>506</v>
      </c>
      <c r="D9397" t="s">
        <v>880</v>
      </c>
      <c r="F9397">
        <v>6.4445745434547001E-9</v>
      </c>
      <c r="G9397">
        <v>14318262</v>
      </c>
      <c r="H9397">
        <v>11912838</v>
      </c>
      <c r="I9397">
        <v>29413775</v>
      </c>
      <c r="J9397">
        <v>4</v>
      </c>
    </row>
    <row r="9398" spans="1:10" x14ac:dyDescent="0.25">
      <c r="A9398" t="s">
        <v>1599</v>
      </c>
      <c r="B9398" s="1" t="str">
        <f>HYPERLINK("http://westinghousenuclear.co.za","westinghousenuclear.co.za")</f>
        <v>westinghousenuclear.co.za</v>
      </c>
      <c r="C9398" t="s">
        <v>510</v>
      </c>
      <c r="D9398" t="s">
        <v>884</v>
      </c>
      <c r="J9398">
        <v>9</v>
      </c>
    </row>
    <row r="9399" spans="1:10" x14ac:dyDescent="0.25">
      <c r="A9399" t="s">
        <v>80</v>
      </c>
      <c r="B9399" s="1" t="str">
        <f>HYPERLINK("http://bnbc.by","bnbc.by")</f>
        <v>bnbc.by</v>
      </c>
      <c r="C9399" t="s">
        <v>427</v>
      </c>
      <c r="D9399" t="s">
        <v>808</v>
      </c>
      <c r="F9399">
        <v>9.6461288450166203E-9</v>
      </c>
      <c r="G9399">
        <v>7144236</v>
      </c>
      <c r="H9399">
        <v>12955918</v>
      </c>
      <c r="I9399">
        <v>13185397</v>
      </c>
      <c r="J9399">
        <v>7</v>
      </c>
    </row>
    <row r="9400" spans="1:10" x14ac:dyDescent="0.25">
      <c r="A9400" t="s">
        <v>80</v>
      </c>
      <c r="B9400" s="1" t="str">
        <f>HYPERLINK("http://citic-bld.citic","citic-bld.citic")</f>
        <v>citic-bld.citic</v>
      </c>
      <c r="C9400" t="s">
        <v>735</v>
      </c>
      <c r="F9400">
        <v>6.7856219719473199E-9</v>
      </c>
      <c r="G9400">
        <v>13008677</v>
      </c>
      <c r="H9400">
        <v>10693330</v>
      </c>
      <c r="I9400">
        <v>42440014</v>
      </c>
      <c r="J9400">
        <v>3</v>
      </c>
    </row>
    <row r="9401" spans="1:10" x14ac:dyDescent="0.25">
      <c r="A9401" t="s">
        <v>80</v>
      </c>
      <c r="B9401" s="1" t="str">
        <f>HYPERLINK("http://construction.citic","construction.citic")</f>
        <v>construction.citic</v>
      </c>
      <c r="C9401" t="s">
        <v>735</v>
      </c>
      <c r="F9401">
        <v>1.2080210450536699E-8</v>
      </c>
      <c r="G9401">
        <v>5125211</v>
      </c>
      <c r="H9401">
        <v>14104262</v>
      </c>
      <c r="I9401">
        <v>2693904</v>
      </c>
      <c r="J9401">
        <v>3</v>
      </c>
    </row>
    <row r="9402" spans="1:10" x14ac:dyDescent="0.25">
      <c r="A9402" t="s">
        <v>80</v>
      </c>
      <c r="B9402" s="1" t="str">
        <f>HYPERLINK("http://group.citic","group.citic")</f>
        <v>group.citic</v>
      </c>
      <c r="C9402" t="s">
        <v>735</v>
      </c>
      <c r="F9402">
        <v>2.01120796337056E-7</v>
      </c>
      <c r="G9402">
        <v>189272</v>
      </c>
      <c r="H9402">
        <v>14431502</v>
      </c>
      <c r="I9402">
        <v>1073023</v>
      </c>
      <c r="J9402">
        <v>6</v>
      </c>
    </row>
    <row r="9403" spans="1:10" x14ac:dyDescent="0.25">
      <c r="A9403" t="s">
        <v>80</v>
      </c>
      <c r="B9403" s="1" t="str">
        <f>HYPERLINK("http://press.citic","press.citic")</f>
        <v>press.citic</v>
      </c>
      <c r="C9403" t="s">
        <v>735</v>
      </c>
      <c r="F9403">
        <v>3.3517883266205702E-8</v>
      </c>
      <c r="G9403">
        <v>1542451</v>
      </c>
      <c r="H9403">
        <v>14120963</v>
      </c>
      <c r="I9403">
        <v>2298463</v>
      </c>
      <c r="J9403">
        <v>3</v>
      </c>
    </row>
    <row r="9404" spans="1:10" x14ac:dyDescent="0.25">
      <c r="A9404" t="s">
        <v>80</v>
      </c>
      <c r="B9404" s="1" t="str">
        <f>HYPERLINK("http://resources.citic","resources.citic")</f>
        <v>resources.citic</v>
      </c>
      <c r="C9404" t="s">
        <v>735</v>
      </c>
      <c r="F9404">
        <v>1.36314832882834E-8</v>
      </c>
      <c r="G9404">
        <v>4348924</v>
      </c>
      <c r="H9404">
        <v>12931329</v>
      </c>
      <c r="I9404">
        <v>13361329</v>
      </c>
      <c r="J9404">
        <v>3</v>
      </c>
    </row>
    <row r="9405" spans="1:10" x14ac:dyDescent="0.25">
      <c r="A9405" t="s">
        <v>80</v>
      </c>
      <c r="B9405" s="1" t="str">
        <f>HYPERLINK("http://citicbank.cn","citicbank.cn")</f>
        <v>citicbank.cn</v>
      </c>
      <c r="C9405" t="s">
        <v>431</v>
      </c>
      <c r="D9405" t="s">
        <v>812</v>
      </c>
      <c r="F9405">
        <v>1.28027113764147E-8</v>
      </c>
      <c r="G9405">
        <v>4727462</v>
      </c>
      <c r="H9405">
        <v>11029157</v>
      </c>
      <c r="I9405">
        <v>33114330</v>
      </c>
      <c r="J9405">
        <v>4</v>
      </c>
    </row>
    <row r="9406" spans="1:10" x14ac:dyDescent="0.25">
      <c r="A9406" t="s">
        <v>80</v>
      </c>
      <c r="B9406" s="1" t="str">
        <f>HYPERLINK("http://citic-prudential.com.cn","citic-prudential.com.cn")</f>
        <v>citic-prudential.com.cn</v>
      </c>
      <c r="C9406" t="s">
        <v>431</v>
      </c>
      <c r="D9406" t="s">
        <v>812</v>
      </c>
      <c r="F9406">
        <v>5.0580325070222897E-8</v>
      </c>
      <c r="G9406">
        <v>907887</v>
      </c>
      <c r="H9406">
        <v>13589302</v>
      </c>
      <c r="I9406">
        <v>9669779</v>
      </c>
      <c r="J9406">
        <v>3</v>
      </c>
    </row>
    <row r="9407" spans="1:10" x14ac:dyDescent="0.25">
      <c r="A9407" t="s">
        <v>80</v>
      </c>
      <c r="B9407" s="1" t="str">
        <f>HYPERLINK("http://citictrust.com.cn","citictrust.com.cn")</f>
        <v>citictrust.com.cn</v>
      </c>
      <c r="C9407" t="s">
        <v>431</v>
      </c>
      <c r="D9407" t="s">
        <v>812</v>
      </c>
      <c r="E9407">
        <v>534597</v>
      </c>
      <c r="F9407">
        <v>1.43652173340475E-8</v>
      </c>
      <c r="G9407">
        <v>4069112</v>
      </c>
      <c r="H9407">
        <v>12663649</v>
      </c>
      <c r="I9407">
        <v>15689016</v>
      </c>
      <c r="J9407">
        <v>3</v>
      </c>
    </row>
    <row r="9408" spans="1:10" x14ac:dyDescent="0.25">
      <c r="A9408" t="s">
        <v>80</v>
      </c>
      <c r="B9408" s="1" t="str">
        <f>HYPERLINK("http://cefc.co","cefc.co")</f>
        <v>cefc.co</v>
      </c>
      <c r="C9408" t="s">
        <v>432</v>
      </c>
      <c r="F9408">
        <v>1.2468575124288399E-8</v>
      </c>
      <c r="G9408">
        <v>4902216</v>
      </c>
      <c r="H9408">
        <v>14186919</v>
      </c>
      <c r="I9408">
        <v>1767420</v>
      </c>
      <c r="J9408">
        <v>8</v>
      </c>
    </row>
    <row r="9409" spans="1:10" x14ac:dyDescent="0.25">
      <c r="A9409" t="s">
        <v>80</v>
      </c>
      <c r="B9409" s="1" t="str">
        <f>HYPERLINK("http://amoy.com","amoy.com")</f>
        <v>amoy.com</v>
      </c>
      <c r="C9409" t="s">
        <v>433</v>
      </c>
      <c r="F9409">
        <v>1.7454661597450101E-8</v>
      </c>
      <c r="G9409">
        <v>3157190</v>
      </c>
      <c r="H9409">
        <v>14632013</v>
      </c>
      <c r="I9409">
        <v>643975</v>
      </c>
      <c r="J9409">
        <v>7</v>
      </c>
    </row>
    <row r="9410" spans="1:10" x14ac:dyDescent="0.25">
      <c r="A9410" t="s">
        <v>80</v>
      </c>
      <c r="B9410" s="1" t="str">
        <f>HYPERLINK("http://cefceurope.com","cefceurope.com")</f>
        <v>cefceurope.com</v>
      </c>
      <c r="C9410" t="s">
        <v>433</v>
      </c>
      <c r="F9410">
        <v>6.2039692108638202E-9</v>
      </c>
      <c r="G9410">
        <v>15514890</v>
      </c>
      <c r="H9410">
        <v>13765455</v>
      </c>
      <c r="I9410">
        <v>7101956</v>
      </c>
      <c r="J9410">
        <v>9</v>
      </c>
    </row>
    <row r="9411" spans="1:10" x14ac:dyDescent="0.25">
      <c r="A9411" t="s">
        <v>80</v>
      </c>
      <c r="B9411" s="1" t="str">
        <f>HYPERLINK("http://citic.com","citic.com")</f>
        <v>citic.com</v>
      </c>
      <c r="C9411" t="s">
        <v>433</v>
      </c>
      <c r="E9411">
        <v>148714</v>
      </c>
      <c r="F9411">
        <v>2.5506377090552102E-7</v>
      </c>
      <c r="G9411">
        <v>146670</v>
      </c>
      <c r="H9411">
        <v>15003214</v>
      </c>
      <c r="I9411">
        <v>424999</v>
      </c>
      <c r="J9411">
        <v>3</v>
      </c>
    </row>
    <row r="9412" spans="1:10" x14ac:dyDescent="0.25">
      <c r="A9412" t="s">
        <v>80</v>
      </c>
      <c r="B9412" s="1" t="str">
        <f>HYPERLINK("http://citicbank.com","citicbank.com")</f>
        <v>citicbank.com</v>
      </c>
      <c r="C9412" t="s">
        <v>433</v>
      </c>
      <c r="E9412">
        <v>37003</v>
      </c>
      <c r="F9412">
        <v>3.2753238735277101E-7</v>
      </c>
      <c r="G9412">
        <v>113716</v>
      </c>
      <c r="H9412">
        <v>14441979</v>
      </c>
      <c r="I9412">
        <v>1061347</v>
      </c>
      <c r="J9412">
        <v>3</v>
      </c>
    </row>
    <row r="9413" spans="1:10" x14ac:dyDescent="0.25">
      <c r="A9413" t="s">
        <v>80</v>
      </c>
      <c r="B9413" s="1" t="str">
        <f>HYPERLINK("http://citicbankintl.com","citicbankintl.com")</f>
        <v>citicbankintl.com</v>
      </c>
      <c r="C9413" t="s">
        <v>433</v>
      </c>
      <c r="F9413">
        <v>6.4611436371725597E-9</v>
      </c>
      <c r="G9413">
        <v>14243594</v>
      </c>
      <c r="H9413">
        <v>13215792</v>
      </c>
      <c r="I9413">
        <v>11362043</v>
      </c>
      <c r="J9413">
        <v>6</v>
      </c>
    </row>
    <row r="9414" spans="1:10" x14ac:dyDescent="0.25">
      <c r="A9414" t="s">
        <v>80</v>
      </c>
      <c r="B9414" s="1" t="str">
        <f>HYPERLINK("http://citicei.com","citicei.com")</f>
        <v>citicei.com</v>
      </c>
      <c r="C9414" t="s">
        <v>433</v>
      </c>
      <c r="F9414">
        <v>7.0876267062145199E-9</v>
      </c>
      <c r="G9414">
        <v>12050379</v>
      </c>
      <c r="H9414">
        <v>10707476</v>
      </c>
      <c r="I9414">
        <v>42195619</v>
      </c>
      <c r="J9414">
        <v>3</v>
      </c>
    </row>
    <row r="9415" spans="1:10" x14ac:dyDescent="0.25">
      <c r="A9415" t="s">
        <v>80</v>
      </c>
      <c r="B9415" s="1" t="str">
        <f>HYPERLINK("http://citichmc.com","citichmc.com")</f>
        <v>citichmc.com</v>
      </c>
      <c r="C9415" t="s">
        <v>433</v>
      </c>
      <c r="F9415">
        <v>3.5747832540716402E-8</v>
      </c>
      <c r="G9415">
        <v>1457568</v>
      </c>
      <c r="H9415">
        <v>12781554</v>
      </c>
      <c r="I9415">
        <v>14739421</v>
      </c>
      <c r="J9415">
        <v>3</v>
      </c>
    </row>
    <row r="9416" spans="1:10" x14ac:dyDescent="0.25">
      <c r="A9416" t="s">
        <v>80</v>
      </c>
      <c r="B9416" s="1" t="str">
        <f>HYPERLINK("http://citicifh.com","citicifh.com")</f>
        <v>citicifh.com</v>
      </c>
      <c r="C9416" t="s">
        <v>433</v>
      </c>
      <c r="F9416">
        <v>1.17602872988908E-8</v>
      </c>
      <c r="G9416">
        <v>5327208</v>
      </c>
      <c r="H9416">
        <v>10818067</v>
      </c>
      <c r="I9416">
        <v>37665898</v>
      </c>
      <c r="J9416">
        <v>3</v>
      </c>
    </row>
    <row r="9417" spans="1:10" x14ac:dyDescent="0.25">
      <c r="A9417" t="s">
        <v>80</v>
      </c>
      <c r="B9417" s="1" t="str">
        <f>HYPERLINK("http://citicresources.com","citicresources.com")</f>
        <v>citicresources.com</v>
      </c>
      <c r="C9417" t="s">
        <v>433</v>
      </c>
      <c r="F9417">
        <v>1.1594702398687E-8</v>
      </c>
      <c r="G9417">
        <v>5436512</v>
      </c>
      <c r="H9417">
        <v>14072187</v>
      </c>
      <c r="I9417">
        <v>3140535</v>
      </c>
      <c r="J9417">
        <v>6</v>
      </c>
    </row>
    <row r="9418" spans="1:10" x14ac:dyDescent="0.25">
      <c r="A9418" t="s">
        <v>80</v>
      </c>
      <c r="B9418" s="1" t="str">
        <f>HYPERLINK("http://citics.com","citics.com")</f>
        <v>citics.com</v>
      </c>
      <c r="C9418" t="s">
        <v>433</v>
      </c>
      <c r="E9418">
        <v>176931</v>
      </c>
      <c r="F9418">
        <v>2.0692693428467399E-7</v>
      </c>
      <c r="G9418">
        <v>183392</v>
      </c>
      <c r="H9418">
        <v>13543049</v>
      </c>
      <c r="I9418">
        <v>9903396</v>
      </c>
      <c r="J9418">
        <v>1</v>
      </c>
    </row>
    <row r="9419" spans="1:10" x14ac:dyDescent="0.25">
      <c r="A9419" t="s">
        <v>80</v>
      </c>
      <c r="B9419" s="1" t="str">
        <f>HYPERLINK("http://citicsinfo.com","citicsinfo.com")</f>
        <v>citicsinfo.com</v>
      </c>
      <c r="C9419" t="s">
        <v>433</v>
      </c>
      <c r="E9419">
        <v>95126</v>
      </c>
      <c r="F9419">
        <v>3.6364146366999101E-8</v>
      </c>
      <c r="G9419">
        <v>1435040</v>
      </c>
      <c r="H9419">
        <v>12390095</v>
      </c>
      <c r="I9419">
        <v>19043625</v>
      </c>
      <c r="J9419">
        <v>2</v>
      </c>
    </row>
    <row r="9420" spans="1:10" x14ac:dyDescent="0.25">
      <c r="A9420" t="s">
        <v>80</v>
      </c>
      <c r="B9420" s="1" t="str">
        <f>HYPERLINK("http://citictel.com","citictel.com")</f>
        <v>citictel.com</v>
      </c>
      <c r="C9420" t="s">
        <v>433</v>
      </c>
      <c r="F9420">
        <v>8.2472403209295904E-8</v>
      </c>
      <c r="G9420">
        <v>505872</v>
      </c>
      <c r="H9420">
        <v>16898172</v>
      </c>
      <c r="I9420">
        <v>133378</v>
      </c>
      <c r="J9420">
        <v>3</v>
      </c>
    </row>
    <row r="9421" spans="1:10" x14ac:dyDescent="0.25">
      <c r="A9421" t="s">
        <v>80</v>
      </c>
      <c r="B9421" s="1" t="str">
        <f>HYPERLINK("http://citictel-cpc.com","citictel-cpc.com")</f>
        <v>citictel-cpc.com</v>
      </c>
      <c r="C9421" t="s">
        <v>433</v>
      </c>
      <c r="E9421">
        <v>801691</v>
      </c>
      <c r="F9421">
        <v>1.38616224194135E-7</v>
      </c>
      <c r="G9421">
        <v>281042</v>
      </c>
      <c r="H9421">
        <v>14386058</v>
      </c>
      <c r="I9421">
        <v>1178285</v>
      </c>
      <c r="J9421">
        <v>6</v>
      </c>
    </row>
    <row r="9422" spans="1:10" x14ac:dyDescent="0.25">
      <c r="A9422" t="s">
        <v>80</v>
      </c>
      <c r="B9422" s="1" t="str">
        <f>HYPERLINK("http://clsa.com","clsa.com")</f>
        <v>clsa.com</v>
      </c>
      <c r="C9422" t="s">
        <v>433</v>
      </c>
      <c r="E9422">
        <v>335461</v>
      </c>
      <c r="F9422">
        <v>2.04340130031251E-7</v>
      </c>
      <c r="G9422">
        <v>185968</v>
      </c>
      <c r="H9422">
        <v>14692716</v>
      </c>
      <c r="I9422">
        <v>601071</v>
      </c>
      <c r="J9422">
        <v>4</v>
      </c>
    </row>
    <row r="9423" spans="1:10" x14ac:dyDescent="0.25">
      <c r="A9423" t="s">
        <v>80</v>
      </c>
      <c r="B9423" s="1" t="str">
        <f>HYPERLINK("http://cncbinternational.com","cncbinternational.com")</f>
        <v>cncbinternational.com</v>
      </c>
      <c r="C9423" t="s">
        <v>433</v>
      </c>
      <c r="E9423">
        <v>179994</v>
      </c>
      <c r="F9423">
        <v>1.99031621278451E-7</v>
      </c>
      <c r="G9423">
        <v>191978</v>
      </c>
      <c r="H9423">
        <v>14227464</v>
      </c>
      <c r="I9423">
        <v>1677546</v>
      </c>
      <c r="J9423">
        <v>8</v>
      </c>
    </row>
    <row r="9424" spans="1:10" x14ac:dyDescent="0.25">
      <c r="A9424" t="s">
        <v>80</v>
      </c>
      <c r="B9424" s="1" t="str">
        <f>HYPERLINK("http://csc108.com","csc108.com")</f>
        <v>csc108.com</v>
      </c>
      <c r="C9424" t="s">
        <v>433</v>
      </c>
      <c r="E9424">
        <v>160178</v>
      </c>
      <c r="F9424">
        <v>3.6796577254221098E-7</v>
      </c>
      <c r="G9424">
        <v>101728</v>
      </c>
      <c r="H9424">
        <v>14284835</v>
      </c>
      <c r="I9424">
        <v>1372954</v>
      </c>
      <c r="J9424">
        <v>7</v>
      </c>
    </row>
    <row r="9425" spans="1:10" x14ac:dyDescent="0.25">
      <c r="A9425" t="s">
        <v>80</v>
      </c>
      <c r="B9425" s="1" t="str">
        <f>HYPERLINK("http://dchfoodmart.com","dchfoodmart.com")</f>
        <v>dchfoodmart.com</v>
      </c>
      <c r="C9425" t="s">
        <v>433</v>
      </c>
      <c r="F9425">
        <v>7.1626792552112003E-9</v>
      </c>
      <c r="G9425">
        <v>11842632</v>
      </c>
      <c r="H9425">
        <v>13640720</v>
      </c>
      <c r="I9425">
        <v>9611190</v>
      </c>
      <c r="J9425">
        <v>6</v>
      </c>
    </row>
    <row r="9426" spans="1:10" x14ac:dyDescent="0.25">
      <c r="A9426" t="s">
        <v>80</v>
      </c>
      <c r="B9426" s="1" t="str">
        <f>HYPERLINK("http://dicastal.com","dicastal.com")</f>
        <v>dicastal.com</v>
      </c>
      <c r="C9426" t="s">
        <v>433</v>
      </c>
      <c r="F9426">
        <v>1.7167285635207499E-8</v>
      </c>
      <c r="G9426">
        <v>3245969</v>
      </c>
      <c r="H9426">
        <v>12407606</v>
      </c>
      <c r="I9426">
        <v>18646855</v>
      </c>
      <c r="J9426">
        <v>3</v>
      </c>
    </row>
    <row r="9427" spans="1:10" x14ac:dyDescent="0.25">
      <c r="A9427" t="s">
        <v>80</v>
      </c>
      <c r="B9427" s="1" t="str">
        <f>HYPERLINK("http://ecitic.com","ecitic.com")</f>
        <v>ecitic.com</v>
      </c>
      <c r="C9427" t="s">
        <v>433</v>
      </c>
      <c r="E9427">
        <v>11631</v>
      </c>
      <c r="F9427">
        <v>1.0288220442090301E-6</v>
      </c>
      <c r="G9427">
        <v>37228</v>
      </c>
      <c r="H9427">
        <v>14993813</v>
      </c>
      <c r="I9427">
        <v>427349</v>
      </c>
      <c r="J9427">
        <v>4</v>
      </c>
    </row>
    <row r="9428" spans="1:10" x14ac:dyDescent="0.25">
      <c r="A9428" t="s">
        <v>80</v>
      </c>
      <c r="B9428" s="1" t="str">
        <f>HYPERLINK("http://eciticcfc.com","eciticcfc.com")</f>
        <v>eciticcfc.com</v>
      </c>
      <c r="C9428" t="s">
        <v>433</v>
      </c>
      <c r="F9428">
        <v>1.2175091831585899E-8</v>
      </c>
      <c r="G9428">
        <v>5065050</v>
      </c>
      <c r="H9428">
        <v>10998777</v>
      </c>
      <c r="I9428">
        <v>33604667</v>
      </c>
      <c r="J9428">
        <v>3</v>
      </c>
    </row>
    <row r="9429" spans="1:10" x14ac:dyDescent="0.25">
      <c r="A9429" t="s">
        <v>80</v>
      </c>
      <c r="B9429" s="1" t="str">
        <f>HYPERLINK("http://ectic.com","ectic.com")</f>
        <v>ectic.com</v>
      </c>
      <c r="C9429" t="s">
        <v>433</v>
      </c>
      <c r="J9429">
        <v>7</v>
      </c>
    </row>
    <row r="9430" spans="1:10" x14ac:dyDescent="0.25">
      <c r="A9430" t="s">
        <v>80</v>
      </c>
      <c r="B9430" s="1" t="str">
        <f>HYPERLINK("http://zdas.com","zdas.com")</f>
        <v>zdas.com</v>
      </c>
      <c r="C9430" t="s">
        <v>433</v>
      </c>
      <c r="F9430">
        <v>3.7513371386869999E-8</v>
      </c>
      <c r="G9430">
        <v>1379586</v>
      </c>
      <c r="H9430">
        <v>12525524</v>
      </c>
      <c r="I9430">
        <v>17091169</v>
      </c>
      <c r="J9430">
        <v>8</v>
      </c>
    </row>
    <row r="9431" spans="1:10" x14ac:dyDescent="0.25">
      <c r="A9431" t="s">
        <v>80</v>
      </c>
      <c r="B9431" s="1" t="str">
        <f>HYPERLINK("http://edenarena.cz","edenarena.cz")</f>
        <v>edenarena.cz</v>
      </c>
      <c r="C9431" t="s">
        <v>435</v>
      </c>
      <c r="D9431" t="s">
        <v>814</v>
      </c>
      <c r="F9431">
        <v>7.5367486210698908E-9</v>
      </c>
      <c r="G9431">
        <v>10933271</v>
      </c>
      <c r="H9431">
        <v>14071881</v>
      </c>
      <c r="I9431">
        <v>3251824</v>
      </c>
      <c r="J9431">
        <v>10</v>
      </c>
    </row>
    <row r="9432" spans="1:10" x14ac:dyDescent="0.25">
      <c r="A9432" t="s">
        <v>80</v>
      </c>
      <c r="B9432" s="1" t="str">
        <f>HYPERLINK("http://slavia.cz","slavia.cz")</f>
        <v>slavia.cz</v>
      </c>
      <c r="C9432" t="s">
        <v>435</v>
      </c>
      <c r="D9432" t="s">
        <v>814</v>
      </c>
      <c r="E9432">
        <v>382032</v>
      </c>
      <c r="F9432">
        <v>1.2815038135213399E-7</v>
      </c>
      <c r="G9432">
        <v>306115</v>
      </c>
      <c r="H9432">
        <v>14696875</v>
      </c>
      <c r="I9432">
        <v>598985</v>
      </c>
      <c r="J9432">
        <v>8</v>
      </c>
    </row>
    <row r="9433" spans="1:10" x14ac:dyDescent="0.25">
      <c r="A9433" t="s">
        <v>80</v>
      </c>
      <c r="B9433" s="1" t="str">
        <f>HYPERLINK("http://zdas.cz","zdas.cz")</f>
        <v>zdas.cz</v>
      </c>
      <c r="C9433" t="s">
        <v>435</v>
      </c>
      <c r="D9433" t="s">
        <v>814</v>
      </c>
      <c r="F9433">
        <v>1.5448758781230498E-8</v>
      </c>
      <c r="G9433">
        <v>3699250</v>
      </c>
      <c r="H9433">
        <v>14073348</v>
      </c>
      <c r="I9433">
        <v>3000552</v>
      </c>
      <c r="J9433">
        <v>9</v>
      </c>
    </row>
    <row r="9434" spans="1:10" x14ac:dyDescent="0.25">
      <c r="A9434" t="s">
        <v>80</v>
      </c>
      <c r="B9434" s="1" t="str">
        <f>HYPERLINK("http://citics.com.hk","citics.com.hk")</f>
        <v>citics.com.hk</v>
      </c>
      <c r="C9434" t="s">
        <v>450</v>
      </c>
      <c r="D9434" t="s">
        <v>827</v>
      </c>
      <c r="F9434">
        <v>2.0404951514374701E-8</v>
      </c>
      <c r="G9434">
        <v>2599003</v>
      </c>
      <c r="H9434">
        <v>13774741</v>
      </c>
      <c r="I9434">
        <v>6597686</v>
      </c>
      <c r="J9434">
        <v>4</v>
      </c>
    </row>
    <row r="9435" spans="1:10" x14ac:dyDescent="0.25">
      <c r="A9435" t="s">
        <v>80</v>
      </c>
      <c r="B9435" s="1" t="str">
        <f>HYPERLINK("http://csb.com.hk","csb.com.hk")</f>
        <v>csb.com.hk</v>
      </c>
      <c r="C9435" t="s">
        <v>450</v>
      </c>
      <c r="D9435" t="s">
        <v>827</v>
      </c>
      <c r="F9435">
        <v>1.01533150774815E-8</v>
      </c>
      <c r="G9435">
        <v>6593271</v>
      </c>
      <c r="H9435">
        <v>12429726</v>
      </c>
      <c r="I9435">
        <v>18305066</v>
      </c>
      <c r="J9435">
        <v>4</v>
      </c>
    </row>
    <row r="9436" spans="1:10" x14ac:dyDescent="0.25">
      <c r="A9436" t="s">
        <v>80</v>
      </c>
      <c r="B9436" s="1" t="str">
        <f>HYPERLINK("http://dch.com.hk","dch.com.hk")</f>
        <v>dch.com.hk</v>
      </c>
      <c r="C9436" t="s">
        <v>450</v>
      </c>
      <c r="D9436" t="s">
        <v>827</v>
      </c>
      <c r="E9436">
        <v>474357</v>
      </c>
      <c r="F9436">
        <v>1.1533122003047499E-7</v>
      </c>
      <c r="G9436">
        <v>345037</v>
      </c>
      <c r="H9436">
        <v>14592409</v>
      </c>
      <c r="I9436">
        <v>693561</v>
      </c>
      <c r="J9436">
        <v>3</v>
      </c>
    </row>
    <row r="9437" spans="1:10" x14ac:dyDescent="0.25">
      <c r="A9437" t="s">
        <v>80</v>
      </c>
      <c r="B9437" s="1" t="str">
        <f>HYPERLINK("http://altynbank.kz","altynbank.kz")</f>
        <v>altynbank.kz</v>
      </c>
      <c r="C9437" t="s">
        <v>465</v>
      </c>
      <c r="D9437" t="s">
        <v>841</v>
      </c>
      <c r="F9437">
        <v>1.36079989469124E-8</v>
      </c>
      <c r="G9437">
        <v>4358478</v>
      </c>
      <c r="H9437">
        <v>14079452</v>
      </c>
      <c r="I9437">
        <v>2832639</v>
      </c>
      <c r="J9437">
        <v>6</v>
      </c>
    </row>
    <row r="9438" spans="1:10" x14ac:dyDescent="0.25">
      <c r="A9438" t="s">
        <v>81</v>
      </c>
      <c r="B9438" s="1" t="str">
        <f>HYPERLINK("http://icapargentina.com.ar","icapargentina.com.ar")</f>
        <v>icapargentina.com.ar</v>
      </c>
      <c r="C9438" t="s">
        <v>418</v>
      </c>
      <c r="D9438" t="s">
        <v>800</v>
      </c>
      <c r="J9438">
        <v>3</v>
      </c>
    </row>
    <row r="9439" spans="1:10" x14ac:dyDescent="0.25">
      <c r="A9439" t="s">
        <v>81</v>
      </c>
      <c r="B9439" s="1" t="str">
        <f>HYPERLINK("http://cmegroup.cn","cmegroup.cn")</f>
        <v>cmegroup.cn</v>
      </c>
      <c r="C9439" t="s">
        <v>431</v>
      </c>
      <c r="D9439" t="s">
        <v>812</v>
      </c>
      <c r="F9439">
        <v>2.7763453583189401E-8</v>
      </c>
      <c r="G9439">
        <v>1852232</v>
      </c>
      <c r="H9439">
        <v>12442688</v>
      </c>
      <c r="I9439">
        <v>18114546</v>
      </c>
      <c r="J9439">
        <v>2</v>
      </c>
    </row>
    <row r="9440" spans="1:10" x14ac:dyDescent="0.25">
      <c r="A9440" t="s">
        <v>81</v>
      </c>
      <c r="B9440" s="1" t="str">
        <f>HYPERLINK("http://icap.com.co","icap.com.co")</f>
        <v>icap.com.co</v>
      </c>
      <c r="C9440" t="s">
        <v>432</v>
      </c>
      <c r="F9440">
        <v>7.85474526566026E-9</v>
      </c>
      <c r="G9440">
        <v>10203347</v>
      </c>
      <c r="H9440">
        <v>10622181</v>
      </c>
      <c r="I9440">
        <v>44202621</v>
      </c>
      <c r="J9440">
        <v>4</v>
      </c>
    </row>
    <row r="9441" spans="1:10" x14ac:dyDescent="0.25">
      <c r="A9441" t="s">
        <v>81</v>
      </c>
      <c r="B9441" s="1" t="str">
        <f>HYPERLINK("http://set-icap.co","set-icap.co")</f>
        <v>set-icap.co</v>
      </c>
      <c r="C9441" t="s">
        <v>432</v>
      </c>
      <c r="F9441">
        <v>5.3036719268140103E-9</v>
      </c>
      <c r="G9441">
        <v>23439112</v>
      </c>
      <c r="H9441">
        <v>9870494</v>
      </c>
      <c r="I9441">
        <v>61976411</v>
      </c>
      <c r="J9441">
        <v>6</v>
      </c>
    </row>
    <row r="9442" spans="1:10" x14ac:dyDescent="0.25">
      <c r="A9442" t="s">
        <v>81</v>
      </c>
      <c r="B9442" s="1" t="str">
        <f>HYPERLINK("http://abide-financial.com","abide-financial.com")</f>
        <v>abide-financial.com</v>
      </c>
      <c r="C9442" t="s">
        <v>433</v>
      </c>
      <c r="F9442">
        <v>9.2855762617445198E-9</v>
      </c>
      <c r="G9442">
        <v>7591421</v>
      </c>
      <c r="H9442">
        <v>12292796</v>
      </c>
      <c r="I9442">
        <v>21013731</v>
      </c>
      <c r="J9442">
        <v>6</v>
      </c>
    </row>
    <row r="9443" spans="1:10" x14ac:dyDescent="0.25">
      <c r="A9443" t="s">
        <v>81</v>
      </c>
      <c r="B9443" s="1" t="str">
        <f>HYPERLINK("http://cbot.com","cbot.com")</f>
        <v>cbot.com</v>
      </c>
      <c r="C9443" t="s">
        <v>433</v>
      </c>
      <c r="E9443">
        <v>324925</v>
      </c>
      <c r="F9443">
        <v>1.2783387787545901E-7</v>
      </c>
      <c r="G9443">
        <v>307029</v>
      </c>
      <c r="H9443">
        <v>14403483</v>
      </c>
      <c r="I9443">
        <v>1151080</v>
      </c>
      <c r="J9443">
        <v>4</v>
      </c>
    </row>
    <row r="9444" spans="1:10" x14ac:dyDescent="0.25">
      <c r="A9444" t="s">
        <v>81</v>
      </c>
      <c r="B9444" s="1" t="str">
        <f>HYPERLINK("http://cbtcorporation.com","cbtcorporation.com")</f>
        <v>cbtcorporation.com</v>
      </c>
      <c r="C9444" t="s">
        <v>433</v>
      </c>
      <c r="J9444">
        <v>3</v>
      </c>
    </row>
    <row r="9445" spans="1:10" x14ac:dyDescent="0.25">
      <c r="A9445" t="s">
        <v>81</v>
      </c>
      <c r="B9445" s="1" t="str">
        <f>HYPERLINK("http://cme.com","cme.com")</f>
        <v>cme.com</v>
      </c>
      <c r="C9445" t="s">
        <v>433</v>
      </c>
      <c r="E9445">
        <v>222416</v>
      </c>
      <c r="F9445">
        <v>1.32383666263496E-7</v>
      </c>
      <c r="G9445">
        <v>295205</v>
      </c>
      <c r="H9445">
        <v>14596697</v>
      </c>
      <c r="I9445">
        <v>689261</v>
      </c>
      <c r="J9445">
        <v>4</v>
      </c>
    </row>
    <row r="9446" spans="1:10" x14ac:dyDescent="0.25">
      <c r="A9446" t="s">
        <v>81</v>
      </c>
      <c r="B9446" s="1" t="str">
        <f>HYPERLINK("http://cmegroup.com","cmegroup.com")</f>
        <v>cmegroup.com</v>
      </c>
      <c r="C9446" t="s">
        <v>433</v>
      </c>
      <c r="E9446">
        <v>8578</v>
      </c>
      <c r="F9446">
        <v>4.7746290548938998E-6</v>
      </c>
      <c r="G9446">
        <v>7342</v>
      </c>
      <c r="H9446">
        <v>17675790</v>
      </c>
      <c r="I9446">
        <v>7827</v>
      </c>
      <c r="J9446">
        <v>1</v>
      </c>
    </row>
    <row r="9447" spans="1:10" x14ac:dyDescent="0.25">
      <c r="A9447" t="s">
        <v>81</v>
      </c>
      <c r="B9447" s="1" t="str">
        <f>HYPERLINK("http://icap.com","icap.com")</f>
        <v>icap.com</v>
      </c>
      <c r="C9447" t="s">
        <v>433</v>
      </c>
      <c r="E9447">
        <v>358082</v>
      </c>
      <c r="F9447">
        <v>9.9691282392364196E-8</v>
      </c>
      <c r="G9447">
        <v>403843</v>
      </c>
      <c r="H9447">
        <v>14287740</v>
      </c>
      <c r="I9447">
        <v>1369264</v>
      </c>
      <c r="J9447">
        <v>3</v>
      </c>
    </row>
    <row r="9448" spans="1:10" x14ac:dyDescent="0.25">
      <c r="A9448" t="s">
        <v>81</v>
      </c>
      <c r="B9448" s="1" t="str">
        <f>HYPERLINK("http://icapinformation.com","icapinformation.com")</f>
        <v>icapinformation.com</v>
      </c>
      <c r="C9448" t="s">
        <v>433</v>
      </c>
      <c r="F9448">
        <v>9.4692273440706395E-9</v>
      </c>
      <c r="G9448">
        <v>7359550</v>
      </c>
      <c r="H9448">
        <v>12269955</v>
      </c>
      <c r="I9448">
        <v>21524870</v>
      </c>
      <c r="J9448">
        <v>6</v>
      </c>
    </row>
    <row r="9449" spans="1:10" x14ac:dyDescent="0.25">
      <c r="A9449" t="s">
        <v>81</v>
      </c>
      <c r="B9449" s="1" t="str">
        <f>HYPERLINK("http://nex.com","nex.com")</f>
        <v>nex.com</v>
      </c>
      <c r="C9449" t="s">
        <v>433</v>
      </c>
      <c r="F9449">
        <v>8.0320856147439705E-8</v>
      </c>
      <c r="G9449">
        <v>520029</v>
      </c>
      <c r="H9449">
        <v>14097596</v>
      </c>
      <c r="I9449">
        <v>2720467</v>
      </c>
      <c r="J9449">
        <v>4</v>
      </c>
    </row>
    <row r="9450" spans="1:10" x14ac:dyDescent="0.25">
      <c r="A9450" t="s">
        <v>81</v>
      </c>
      <c r="B9450" s="1" t="str">
        <f>HYPERLINK("http://nexoptimisation.com","nexoptimisation.com")</f>
        <v>nexoptimisation.com</v>
      </c>
      <c r="C9450" t="s">
        <v>433</v>
      </c>
      <c r="F9450">
        <v>4.4732077878738596E-9</v>
      </c>
      <c r="G9450">
        <v>63801979</v>
      </c>
      <c r="H9450">
        <v>10663931</v>
      </c>
      <c r="I9450">
        <v>43209102</v>
      </c>
      <c r="J9450">
        <v>3</v>
      </c>
    </row>
    <row r="9451" spans="1:10" x14ac:dyDescent="0.25">
      <c r="A9451" t="s">
        <v>81</v>
      </c>
      <c r="B9451" s="1" t="str">
        <f>HYPERLINK("http://nexregreporting.com","nexregreporting.com")</f>
        <v>nexregreporting.com</v>
      </c>
      <c r="C9451" t="s">
        <v>433</v>
      </c>
      <c r="F9451">
        <v>1.4213606237689E-8</v>
      </c>
      <c r="G9451">
        <v>4124088</v>
      </c>
      <c r="H9451">
        <v>13029256</v>
      </c>
      <c r="I9451">
        <v>12674243</v>
      </c>
      <c r="J9451">
        <v>9</v>
      </c>
    </row>
    <row r="9452" spans="1:10" x14ac:dyDescent="0.25">
      <c r="A9452" t="s">
        <v>81</v>
      </c>
      <c r="B9452" s="1" t="str">
        <f>HYPERLINK("http://nymex.com","nymex.com")</f>
        <v>nymex.com</v>
      </c>
      <c r="C9452" t="s">
        <v>433</v>
      </c>
      <c r="E9452">
        <v>404581</v>
      </c>
      <c r="F9452">
        <v>1.0837939850736599E-7</v>
      </c>
      <c r="G9452">
        <v>369237</v>
      </c>
      <c r="H9452">
        <v>14573501</v>
      </c>
      <c r="I9452">
        <v>732383</v>
      </c>
      <c r="J9452">
        <v>5</v>
      </c>
    </row>
    <row r="9453" spans="1:10" x14ac:dyDescent="0.25">
      <c r="A9453" t="s">
        <v>81</v>
      </c>
      <c r="B9453" s="1" t="str">
        <f>HYPERLINK("http://optioncomputers.com","optioncomputers.com")</f>
        <v>optioncomputers.com</v>
      </c>
      <c r="C9453" t="s">
        <v>433</v>
      </c>
      <c r="F9453">
        <v>4.7136063610507801E-9</v>
      </c>
      <c r="G9453">
        <v>40552389</v>
      </c>
      <c r="H9453">
        <v>1.0003663</v>
      </c>
      <c r="I9453">
        <v>78941711</v>
      </c>
      <c r="J9453">
        <v>6</v>
      </c>
    </row>
    <row r="9454" spans="1:10" x14ac:dyDescent="0.25">
      <c r="A9454" t="s">
        <v>81</v>
      </c>
      <c r="B9454" s="1" t="str">
        <f>HYPERLINK("http://set-icap.com","set-icap.com")</f>
        <v>set-icap.com</v>
      </c>
      <c r="C9454" t="s">
        <v>433</v>
      </c>
      <c r="E9454">
        <v>921481</v>
      </c>
      <c r="F9454">
        <v>9.7789873626148993E-9</v>
      </c>
      <c r="G9454">
        <v>6991450</v>
      </c>
      <c r="H9454">
        <v>12941707</v>
      </c>
      <c r="I9454">
        <v>13277649</v>
      </c>
      <c r="J9454">
        <v>6</v>
      </c>
    </row>
    <row r="9455" spans="1:10" x14ac:dyDescent="0.25">
      <c r="A9455" t="s">
        <v>81</v>
      </c>
      <c r="B9455" s="1" t="str">
        <f>HYPERLINK("http://traditionicap.com","traditionicap.com")</f>
        <v>traditionicap.com</v>
      </c>
      <c r="C9455" t="s">
        <v>433</v>
      </c>
      <c r="F9455">
        <v>1.17414156630106E-8</v>
      </c>
      <c r="G9455">
        <v>5339907</v>
      </c>
      <c r="H9455">
        <v>10500728</v>
      </c>
      <c r="I9455">
        <v>50459846</v>
      </c>
      <c r="J9455">
        <v>7</v>
      </c>
    </row>
    <row r="9456" spans="1:10" x14ac:dyDescent="0.25">
      <c r="A9456" t="s">
        <v>81</v>
      </c>
      <c r="B9456" s="1" t="str">
        <f>HYPERLINK("http://traiana.com","traiana.com")</f>
        <v>traiana.com</v>
      </c>
      <c r="C9456" t="s">
        <v>433</v>
      </c>
      <c r="E9456">
        <v>119509</v>
      </c>
      <c r="F9456">
        <v>2.53685139112657E-8</v>
      </c>
      <c r="G9456">
        <v>2033832</v>
      </c>
      <c r="H9456">
        <v>14043026</v>
      </c>
      <c r="I9456">
        <v>3905450</v>
      </c>
      <c r="J9456">
        <v>4</v>
      </c>
    </row>
    <row r="9457" spans="1:10" x14ac:dyDescent="0.25">
      <c r="A9457" t="s">
        <v>81</v>
      </c>
      <c r="B9457" s="1" t="str">
        <f>HYPERLINK("http://trioptima.com","trioptima.com")</f>
        <v>trioptima.com</v>
      </c>
      <c r="C9457" t="s">
        <v>433</v>
      </c>
      <c r="E9457">
        <v>311722</v>
      </c>
      <c r="F9457">
        <v>6.0371439751742094E-8</v>
      </c>
      <c r="G9457">
        <v>730507</v>
      </c>
      <c r="H9457">
        <v>13946690</v>
      </c>
      <c r="I9457">
        <v>4216307</v>
      </c>
      <c r="J9457">
        <v>4</v>
      </c>
    </row>
    <row r="9458" spans="1:10" x14ac:dyDescent="0.25">
      <c r="A9458" t="s">
        <v>82</v>
      </c>
      <c r="B9458" s="1" t="str">
        <f>HYPERLINK("http://chinabluechem.com.cn","chinabluechem.com.cn")</f>
        <v>chinabluechem.com.cn</v>
      </c>
      <c r="C9458" t="s">
        <v>431</v>
      </c>
      <c r="D9458" t="s">
        <v>812</v>
      </c>
      <c r="F9458">
        <v>1.44072285762672E-8</v>
      </c>
      <c r="G9458">
        <v>4054672</v>
      </c>
      <c r="H9458">
        <v>13024759</v>
      </c>
      <c r="I9458">
        <v>12694787</v>
      </c>
      <c r="J9458">
        <v>3</v>
      </c>
    </row>
    <row r="9459" spans="1:10" x14ac:dyDescent="0.25">
      <c r="A9459" t="s">
        <v>82</v>
      </c>
      <c r="B9459" s="1" t="str">
        <f>HYPERLINK("http://cnooc.com.cn","cnooc.com.cn")</f>
        <v>cnooc.com.cn</v>
      </c>
      <c r="C9459" t="s">
        <v>431</v>
      </c>
      <c r="D9459" t="s">
        <v>812</v>
      </c>
      <c r="E9459">
        <v>59369</v>
      </c>
      <c r="F9459">
        <v>5.3841158100377997E-7</v>
      </c>
      <c r="G9459">
        <v>71701</v>
      </c>
      <c r="H9459">
        <v>14999985</v>
      </c>
      <c r="I9459">
        <v>425845</v>
      </c>
      <c r="J9459">
        <v>3</v>
      </c>
    </row>
    <row r="9460" spans="1:10" x14ac:dyDescent="0.25">
      <c r="A9460" t="s">
        <v>82</v>
      </c>
      <c r="B9460" s="1" t="str">
        <f>HYPERLINK("http://cnoocinternational.com","cnoocinternational.com")</f>
        <v>cnoocinternational.com</v>
      </c>
      <c r="C9460" t="s">
        <v>433</v>
      </c>
      <c r="F9460">
        <v>7.1513814716584303E-8</v>
      </c>
      <c r="G9460">
        <v>590903</v>
      </c>
      <c r="H9460">
        <v>13644313</v>
      </c>
      <c r="I9460">
        <v>9609063</v>
      </c>
      <c r="J9460">
        <v>4</v>
      </c>
    </row>
    <row r="9461" spans="1:10" x14ac:dyDescent="0.25">
      <c r="A9461" t="s">
        <v>82</v>
      </c>
      <c r="B9461" s="1" t="str">
        <f>HYPERLINK("http://cnoocltd.com","cnoocltd.com")</f>
        <v>cnoocltd.com</v>
      </c>
      <c r="C9461" t="s">
        <v>433</v>
      </c>
      <c r="E9461">
        <v>278799</v>
      </c>
      <c r="F9461">
        <v>1.6742287971699E-7</v>
      </c>
      <c r="G9461">
        <v>231786</v>
      </c>
      <c r="H9461">
        <v>14630812</v>
      </c>
      <c r="I9461">
        <v>645096</v>
      </c>
      <c r="J9461">
        <v>1</v>
      </c>
    </row>
    <row r="9462" spans="1:10" x14ac:dyDescent="0.25">
      <c r="A9462" t="s">
        <v>82</v>
      </c>
      <c r="B9462" s="1" t="str">
        <f>HYPERLINK("http://nexencnoocltd.com","nexencnoocltd.com")</f>
        <v>nexencnoocltd.com</v>
      </c>
      <c r="C9462" t="s">
        <v>433</v>
      </c>
      <c r="F9462">
        <v>2.4214841812106101E-8</v>
      </c>
      <c r="G9462">
        <v>2142104</v>
      </c>
      <c r="H9462">
        <v>13822930</v>
      </c>
      <c r="I9462">
        <v>6135375</v>
      </c>
      <c r="J9462">
        <v>4</v>
      </c>
    </row>
    <row r="9463" spans="1:10" x14ac:dyDescent="0.25">
      <c r="A9463" t="s">
        <v>82</v>
      </c>
      <c r="B9463" s="1" t="str">
        <f>HYPERLINK("http://nexeninc.com","nexeninc.com")</f>
        <v>nexeninc.com</v>
      </c>
      <c r="C9463" t="s">
        <v>433</v>
      </c>
      <c r="F9463">
        <v>3.8726591146629899E-8</v>
      </c>
      <c r="G9463">
        <v>1331270</v>
      </c>
      <c r="H9463">
        <v>14186456</v>
      </c>
      <c r="I9463">
        <v>1768291</v>
      </c>
      <c r="J9463">
        <v>3</v>
      </c>
    </row>
    <row r="9464" spans="1:10" x14ac:dyDescent="0.25">
      <c r="A9464" t="s">
        <v>83</v>
      </c>
      <c r="B9464" s="1" t="str">
        <f>HYPERLINK("http://cslbehring.ae","cslbehring.ae")</f>
        <v>cslbehring.ae</v>
      </c>
      <c r="C9464" t="s">
        <v>417</v>
      </c>
      <c r="D9464" t="s">
        <v>799</v>
      </c>
      <c r="F9464">
        <v>1.16606828865956E-8</v>
      </c>
      <c r="G9464">
        <v>5391833</v>
      </c>
      <c r="H9464">
        <v>12038197</v>
      </c>
      <c r="I9464">
        <v>27499713</v>
      </c>
      <c r="J9464">
        <v>3</v>
      </c>
    </row>
    <row r="9465" spans="1:10" x14ac:dyDescent="0.25">
      <c r="A9465" t="s">
        <v>83</v>
      </c>
      <c r="B9465" s="1" t="str">
        <f>HYPERLINK("http://cslbehring.com.ar","cslbehring.com.ar")</f>
        <v>cslbehring.com.ar</v>
      </c>
      <c r="C9465" t="s">
        <v>418</v>
      </c>
      <c r="D9465" t="s">
        <v>800</v>
      </c>
      <c r="F9465">
        <v>1.3360062534811E-8</v>
      </c>
      <c r="G9465">
        <v>4466745</v>
      </c>
      <c r="H9465">
        <v>12084238</v>
      </c>
      <c r="I9465">
        <v>26457301</v>
      </c>
      <c r="J9465">
        <v>3</v>
      </c>
    </row>
    <row r="9466" spans="1:10" x14ac:dyDescent="0.25">
      <c r="A9466" t="s">
        <v>83</v>
      </c>
      <c r="B9466" s="1" t="str">
        <f>HYPERLINK("http://cslbehring.at","cslbehring.at")</f>
        <v>cslbehring.at</v>
      </c>
      <c r="C9466" t="s">
        <v>419</v>
      </c>
      <c r="D9466" t="s">
        <v>801</v>
      </c>
      <c r="F9466">
        <v>1.9703753335467901E-8</v>
      </c>
      <c r="G9466">
        <v>2708598</v>
      </c>
      <c r="H9466">
        <v>12232456</v>
      </c>
      <c r="I9466">
        <v>22437286</v>
      </c>
      <c r="J9466">
        <v>3</v>
      </c>
    </row>
    <row r="9467" spans="1:10" x14ac:dyDescent="0.25">
      <c r="A9467" t="s">
        <v>83</v>
      </c>
      <c r="B9467" s="1" t="str">
        <f>HYPERLINK("http://haem-evolution.at","haem-evolution.at")</f>
        <v>haem-evolution.at</v>
      </c>
      <c r="C9467" t="s">
        <v>419</v>
      </c>
      <c r="D9467" t="s">
        <v>801</v>
      </c>
      <c r="J9467">
        <v>3</v>
      </c>
    </row>
    <row r="9468" spans="1:10" x14ac:dyDescent="0.25">
      <c r="A9468" t="s">
        <v>83</v>
      </c>
      <c r="B9468" s="1" t="str">
        <f>HYPERLINK("http://csl.com.au","csl.com.au")</f>
        <v>csl.com.au</v>
      </c>
      <c r="C9468" t="s">
        <v>420</v>
      </c>
      <c r="D9468" t="s">
        <v>802</v>
      </c>
      <c r="F9468">
        <v>7.2575596783361895E-8</v>
      </c>
      <c r="G9468">
        <v>581429</v>
      </c>
      <c r="H9468">
        <v>14663656</v>
      </c>
      <c r="I9468">
        <v>618390</v>
      </c>
      <c r="J9468">
        <v>2</v>
      </c>
    </row>
    <row r="9469" spans="1:10" x14ac:dyDescent="0.25">
      <c r="A9469" t="s">
        <v>83</v>
      </c>
      <c r="B9469" s="1" t="str">
        <f>HYPERLINK("http://cslbehring.com.au","cslbehring.com.au")</f>
        <v>cslbehring.com.au</v>
      </c>
      <c r="C9469" t="s">
        <v>420</v>
      </c>
      <c r="D9469" t="s">
        <v>802</v>
      </c>
      <c r="F9469">
        <v>4.7968945791238798E-8</v>
      </c>
      <c r="G9469">
        <v>969677</v>
      </c>
      <c r="H9469">
        <v>14035327</v>
      </c>
      <c r="I9469">
        <v>3916350</v>
      </c>
      <c r="J9469">
        <v>3</v>
      </c>
    </row>
    <row r="9470" spans="1:10" x14ac:dyDescent="0.25">
      <c r="A9470" t="s">
        <v>83</v>
      </c>
      <c r="B9470" s="1" t="str">
        <f>HYPERLINK("http://seqirus.com.au","seqirus.com.au")</f>
        <v>seqirus.com.au</v>
      </c>
      <c r="C9470" t="s">
        <v>420</v>
      </c>
      <c r="D9470" t="s">
        <v>802</v>
      </c>
      <c r="F9470">
        <v>3.5750118045907098E-8</v>
      </c>
      <c r="G9470">
        <v>1456646</v>
      </c>
      <c r="H9470">
        <v>13951175</v>
      </c>
      <c r="I9470">
        <v>4167682</v>
      </c>
      <c r="J9470">
        <v>3</v>
      </c>
    </row>
    <row r="9471" spans="1:10" x14ac:dyDescent="0.25">
      <c r="A9471" t="s">
        <v>83</v>
      </c>
      <c r="B9471" s="1" t="str">
        <f>HYPERLINK("http://cslbehring.be","cslbehring.be")</f>
        <v>cslbehring.be</v>
      </c>
      <c r="C9471" t="s">
        <v>421</v>
      </c>
      <c r="D9471" t="s">
        <v>803</v>
      </c>
      <c r="F9471">
        <v>1.3139340170700399E-8</v>
      </c>
      <c r="G9471">
        <v>4565951</v>
      </c>
      <c r="H9471">
        <v>12086185</v>
      </c>
      <c r="I9471">
        <v>26376519</v>
      </c>
      <c r="J9471">
        <v>3</v>
      </c>
    </row>
    <row r="9472" spans="1:10" x14ac:dyDescent="0.25">
      <c r="A9472" t="s">
        <v>83</v>
      </c>
      <c r="B9472" s="1" t="str">
        <f>HYPERLINK("http://haem-evolution.be","haem-evolution.be")</f>
        <v>haem-evolution.be</v>
      </c>
      <c r="C9472" t="s">
        <v>421</v>
      </c>
      <c r="D9472" t="s">
        <v>803</v>
      </c>
      <c r="J9472">
        <v>3</v>
      </c>
    </row>
    <row r="9473" spans="1:10" x14ac:dyDescent="0.25">
      <c r="A9473" t="s">
        <v>83</v>
      </c>
      <c r="B9473" s="1" t="str">
        <f>HYPERLINK("http://cslbehring.com.br","cslbehring.com.br")</f>
        <v>cslbehring.com.br</v>
      </c>
      <c r="C9473" t="s">
        <v>425</v>
      </c>
      <c r="D9473" t="s">
        <v>806</v>
      </c>
      <c r="F9473">
        <v>1.2600475611362599E-8</v>
      </c>
      <c r="G9473">
        <v>4830686</v>
      </c>
      <c r="H9473">
        <v>12113463</v>
      </c>
      <c r="I9473">
        <v>25641151</v>
      </c>
      <c r="J9473">
        <v>3</v>
      </c>
    </row>
    <row r="9474" spans="1:10" x14ac:dyDescent="0.25">
      <c r="A9474" t="s">
        <v>83</v>
      </c>
      <c r="B9474" s="1" t="str">
        <f>HYPERLINK("http://cslbehring.ca","cslbehring.ca")</f>
        <v>cslbehring.ca</v>
      </c>
      <c r="C9474" t="s">
        <v>428</v>
      </c>
      <c r="D9474" t="s">
        <v>809</v>
      </c>
      <c r="F9474">
        <v>2.32848208720596E-8</v>
      </c>
      <c r="G9474">
        <v>2240684</v>
      </c>
      <c r="H9474">
        <v>13436612</v>
      </c>
      <c r="I9474">
        <v>10268204</v>
      </c>
      <c r="J9474">
        <v>3</v>
      </c>
    </row>
    <row r="9475" spans="1:10" x14ac:dyDescent="0.25">
      <c r="A9475" t="s">
        <v>83</v>
      </c>
      <c r="B9475" s="1" t="str">
        <f>HYPERLINK("http://riastap.ca","riastap.ca")</f>
        <v>riastap.ca</v>
      </c>
      <c r="C9475" t="s">
        <v>428</v>
      </c>
      <c r="D9475" t="s">
        <v>809</v>
      </c>
      <c r="J9475">
        <v>3</v>
      </c>
    </row>
    <row r="9476" spans="1:10" x14ac:dyDescent="0.25">
      <c r="A9476" t="s">
        <v>83</v>
      </c>
      <c r="B9476" s="1" t="str">
        <f>HYPERLINK("http://seqirus.ca","seqirus.ca")</f>
        <v>seqirus.ca</v>
      </c>
      <c r="C9476" t="s">
        <v>428</v>
      </c>
      <c r="D9476" t="s">
        <v>809</v>
      </c>
      <c r="F9476">
        <v>1.45128060898844E-8</v>
      </c>
      <c r="G9476">
        <v>4008862</v>
      </c>
      <c r="H9476">
        <v>13233123</v>
      </c>
      <c r="I9476">
        <v>11256668</v>
      </c>
      <c r="J9476">
        <v>4</v>
      </c>
    </row>
    <row r="9477" spans="1:10" x14ac:dyDescent="0.25">
      <c r="A9477" t="s">
        <v>83</v>
      </c>
      <c r="B9477" s="1" t="str">
        <f>HYPERLINK("http://cslbehring.ch","cslbehring.ch")</f>
        <v>cslbehring.ch</v>
      </c>
      <c r="C9477" t="s">
        <v>429</v>
      </c>
      <c r="D9477" t="s">
        <v>810</v>
      </c>
      <c r="F9477">
        <v>6.3372161239401801E-8</v>
      </c>
      <c r="G9477">
        <v>686097</v>
      </c>
      <c r="H9477">
        <v>13174233</v>
      </c>
      <c r="I9477">
        <v>11711150</v>
      </c>
      <c r="J9477">
        <v>3</v>
      </c>
    </row>
    <row r="9478" spans="1:10" x14ac:dyDescent="0.25">
      <c r="A9478" t="s">
        <v>83</v>
      </c>
      <c r="B9478" s="1" t="str">
        <f>HYPERLINK("http://cslbehring.cl","cslbehring.cl")</f>
        <v>cslbehring.cl</v>
      </c>
      <c r="C9478" t="s">
        <v>430</v>
      </c>
      <c r="D9478" t="s">
        <v>811</v>
      </c>
      <c r="F9478">
        <v>1.03087514699355E-8</v>
      </c>
      <c r="G9478">
        <v>6442891</v>
      </c>
      <c r="H9478">
        <v>12081503</v>
      </c>
      <c r="I9478">
        <v>26534843</v>
      </c>
      <c r="J9478">
        <v>3</v>
      </c>
    </row>
    <row r="9479" spans="1:10" x14ac:dyDescent="0.25">
      <c r="A9479" t="s">
        <v>83</v>
      </c>
      <c r="B9479" s="1" t="str">
        <f>HYPERLINK("http://cslbehring.com.cn","cslbehring.com.cn")</f>
        <v>cslbehring.com.cn</v>
      </c>
      <c r="C9479" t="s">
        <v>431</v>
      </c>
      <c r="D9479" t="s">
        <v>812</v>
      </c>
      <c r="E9479">
        <v>604676</v>
      </c>
      <c r="F9479">
        <v>1.24109189985131E-8</v>
      </c>
      <c r="G9479">
        <v>4933466</v>
      </c>
      <c r="H9479">
        <v>12102415</v>
      </c>
      <c r="I9479">
        <v>25908792</v>
      </c>
      <c r="J9479">
        <v>3</v>
      </c>
    </row>
    <row r="9480" spans="1:10" x14ac:dyDescent="0.25">
      <c r="A9480" t="s">
        <v>83</v>
      </c>
      <c r="B9480" s="1" t="str">
        <f>HYPERLINK("http://cslbehringshanghaiconsulting.cn","cslbehringshanghaiconsulting.cn")</f>
        <v>cslbehringshanghaiconsulting.cn</v>
      </c>
      <c r="C9480" t="s">
        <v>431</v>
      </c>
      <c r="D9480" t="s">
        <v>812</v>
      </c>
      <c r="J9480">
        <v>3</v>
      </c>
    </row>
    <row r="9481" spans="1:10" x14ac:dyDescent="0.25">
      <c r="A9481" t="s">
        <v>83</v>
      </c>
      <c r="B9481" s="1" t="str">
        <f>HYPERLINK("http://cslbehring.co","cslbehring.co")</f>
        <v>cslbehring.co</v>
      </c>
      <c r="C9481" t="s">
        <v>432</v>
      </c>
      <c r="F9481">
        <v>1.16180521246395E-8</v>
      </c>
      <c r="G9481">
        <v>5421157</v>
      </c>
      <c r="H9481">
        <v>12038197</v>
      </c>
      <c r="I9481">
        <v>27499714</v>
      </c>
      <c r="J9481">
        <v>3</v>
      </c>
    </row>
    <row r="9482" spans="1:10" x14ac:dyDescent="0.25">
      <c r="A9482" t="s">
        <v>83</v>
      </c>
      <c r="B9482" s="1" t="str">
        <f>HYPERLINK("http://csl.com","csl.com")</f>
        <v>csl.com</v>
      </c>
      <c r="C9482" t="s">
        <v>433</v>
      </c>
      <c r="E9482">
        <v>214749</v>
      </c>
      <c r="F9482">
        <v>2.2916277143169499E-7</v>
      </c>
      <c r="G9482">
        <v>164079</v>
      </c>
      <c r="H9482">
        <v>14832539</v>
      </c>
      <c r="I9482">
        <v>503994</v>
      </c>
      <c r="J9482">
        <v>1</v>
      </c>
    </row>
    <row r="9483" spans="1:10" x14ac:dyDescent="0.25">
      <c r="A9483" t="s">
        <v>83</v>
      </c>
      <c r="B9483" s="1" t="str">
        <f>HYPERLINK("http://cslbehring.com","cslbehring.com")</f>
        <v>cslbehring.com</v>
      </c>
      <c r="C9483" t="s">
        <v>433</v>
      </c>
      <c r="E9483">
        <v>116933</v>
      </c>
      <c r="F9483">
        <v>4.72531447290894E-7</v>
      </c>
      <c r="G9483">
        <v>80317</v>
      </c>
      <c r="H9483">
        <v>17059574</v>
      </c>
      <c r="I9483">
        <v>74246</v>
      </c>
      <c r="J9483">
        <v>2</v>
      </c>
    </row>
    <row r="9484" spans="1:10" x14ac:dyDescent="0.25">
      <c r="A9484" t="s">
        <v>83</v>
      </c>
      <c r="B9484" s="1" t="str">
        <f>HYPERLINK("http://cslplasma.com","cslplasma.com")</f>
        <v>cslplasma.com</v>
      </c>
      <c r="C9484" t="s">
        <v>433</v>
      </c>
      <c r="E9484">
        <v>108247</v>
      </c>
      <c r="F9484">
        <v>1.8349428148701999E-7</v>
      </c>
      <c r="G9484">
        <v>210159</v>
      </c>
      <c r="H9484">
        <v>17076164</v>
      </c>
      <c r="I9484">
        <v>69271</v>
      </c>
      <c r="J9484">
        <v>3</v>
      </c>
    </row>
    <row r="9485" spans="1:10" x14ac:dyDescent="0.25">
      <c r="A9485" t="s">
        <v>83</v>
      </c>
      <c r="B9485" s="1" t="str">
        <f>HYPERLINK("http://cslseqirus.com","cslseqirus.com")</f>
        <v>cslseqirus.com</v>
      </c>
      <c r="C9485" t="s">
        <v>433</v>
      </c>
      <c r="F9485">
        <v>8.8766351613285704E-9</v>
      </c>
      <c r="G9485">
        <v>8181750</v>
      </c>
      <c r="H9485">
        <v>13934206</v>
      </c>
      <c r="I9485">
        <v>4618152</v>
      </c>
      <c r="J9485">
        <v>3</v>
      </c>
    </row>
    <row r="9486" spans="1:10" x14ac:dyDescent="0.25">
      <c r="A9486" t="s">
        <v>83</v>
      </c>
      <c r="B9486" s="1" t="str">
        <f>HYPERLINK("http://fluadquadrivalent.com","fluadquadrivalent.com")</f>
        <v>fluadquadrivalent.com</v>
      </c>
      <c r="C9486" t="s">
        <v>433</v>
      </c>
      <c r="J9486">
        <v>3</v>
      </c>
    </row>
    <row r="9487" spans="1:10" x14ac:dyDescent="0.25">
      <c r="A9487" t="s">
        <v>83</v>
      </c>
      <c r="B9487" s="1" t="str">
        <f>HYPERLINK("http://seqirus.com","seqirus.com")</f>
        <v>seqirus.com</v>
      </c>
      <c r="C9487" t="s">
        <v>433</v>
      </c>
      <c r="E9487">
        <v>351336</v>
      </c>
      <c r="F9487">
        <v>1.48298190128993E-7</v>
      </c>
      <c r="G9487">
        <v>262135</v>
      </c>
      <c r="H9487">
        <v>14598045</v>
      </c>
      <c r="I9487">
        <v>688030</v>
      </c>
      <c r="J9487">
        <v>3</v>
      </c>
    </row>
    <row r="9488" spans="1:10" x14ac:dyDescent="0.25">
      <c r="A9488" t="s">
        <v>83</v>
      </c>
      <c r="B9488" s="1" t="str">
        <f>HYPERLINK("http://cslbehring.cz","cslbehring.cz")</f>
        <v>cslbehring.cz</v>
      </c>
      <c r="C9488" t="s">
        <v>435</v>
      </c>
      <c r="D9488" t="s">
        <v>814</v>
      </c>
      <c r="F9488">
        <v>1.5857901271263999E-8</v>
      </c>
      <c r="G9488">
        <v>3583656</v>
      </c>
      <c r="H9488">
        <v>12132592</v>
      </c>
      <c r="I9488">
        <v>25068801</v>
      </c>
      <c r="J9488">
        <v>3</v>
      </c>
    </row>
    <row r="9489" spans="1:10" x14ac:dyDescent="0.25">
      <c r="A9489" t="s">
        <v>83</v>
      </c>
      <c r="B9489" s="1" t="str">
        <f>HYPERLINK("http://cslbehring.de","cslbehring.de")</f>
        <v>cslbehring.de</v>
      </c>
      <c r="C9489" t="s">
        <v>436</v>
      </c>
      <c r="D9489" t="s">
        <v>815</v>
      </c>
      <c r="F9489">
        <v>1.13414134871694E-7</v>
      </c>
      <c r="G9489">
        <v>351649</v>
      </c>
      <c r="H9489">
        <v>14020556</v>
      </c>
      <c r="I9489">
        <v>3984481</v>
      </c>
      <c r="J9489">
        <v>3</v>
      </c>
    </row>
    <row r="9490" spans="1:10" x14ac:dyDescent="0.25">
      <c r="A9490" t="s">
        <v>83</v>
      </c>
      <c r="B9490" s="1" t="str">
        <f>HYPERLINK("http://cslplasma.de","cslplasma.de")</f>
        <v>cslplasma.de</v>
      </c>
      <c r="C9490" t="s">
        <v>436</v>
      </c>
      <c r="D9490" t="s">
        <v>815</v>
      </c>
      <c r="F9490">
        <v>3.9918973338971703E-8</v>
      </c>
      <c r="G9490">
        <v>1294621</v>
      </c>
      <c r="H9490">
        <v>13934552</v>
      </c>
      <c r="I9490">
        <v>4591123</v>
      </c>
      <c r="J9490">
        <v>4</v>
      </c>
    </row>
    <row r="9491" spans="1:10" x14ac:dyDescent="0.25">
      <c r="A9491" t="s">
        <v>83</v>
      </c>
      <c r="B9491" s="1" t="str">
        <f>HYPERLINK("http://haem-evolution.de","haem-evolution.de")</f>
        <v>haem-evolution.de</v>
      </c>
      <c r="C9491" t="s">
        <v>436</v>
      </c>
      <c r="D9491" t="s">
        <v>815</v>
      </c>
      <c r="J9491">
        <v>3</v>
      </c>
    </row>
    <row r="9492" spans="1:10" x14ac:dyDescent="0.25">
      <c r="A9492" t="s">
        <v>83</v>
      </c>
      <c r="B9492" s="1" t="str">
        <f>HYPERLINK("http://seqirus.de","seqirus.de")</f>
        <v>seqirus.de</v>
      </c>
      <c r="C9492" t="s">
        <v>436</v>
      </c>
      <c r="D9492" t="s">
        <v>815</v>
      </c>
      <c r="F9492">
        <v>1.67401464244051E-8</v>
      </c>
      <c r="G9492">
        <v>3348736</v>
      </c>
      <c r="H9492">
        <v>12413778</v>
      </c>
      <c r="I9492">
        <v>18554454</v>
      </c>
      <c r="J9492">
        <v>4</v>
      </c>
    </row>
    <row r="9493" spans="1:10" x14ac:dyDescent="0.25">
      <c r="A9493" t="s">
        <v>83</v>
      </c>
      <c r="B9493" s="1" t="str">
        <f>HYPERLINK("http://cslbehring.dk","cslbehring.dk")</f>
        <v>cslbehring.dk</v>
      </c>
      <c r="C9493" t="s">
        <v>437</v>
      </c>
      <c r="D9493" t="s">
        <v>816</v>
      </c>
      <c r="F9493">
        <v>1.38983996406246E-8</v>
      </c>
      <c r="G9493">
        <v>4241686</v>
      </c>
      <c r="H9493">
        <v>12110374</v>
      </c>
      <c r="I9493">
        <v>25715560</v>
      </c>
      <c r="J9493">
        <v>3</v>
      </c>
    </row>
    <row r="9494" spans="1:10" x14ac:dyDescent="0.25">
      <c r="A9494" t="s">
        <v>83</v>
      </c>
      <c r="B9494" s="1" t="str">
        <f>HYPERLINK("http://cslbehring.es","cslbehring.es")</f>
        <v>cslbehring.es</v>
      </c>
      <c r="C9494" t="s">
        <v>443</v>
      </c>
      <c r="D9494" t="s">
        <v>822</v>
      </c>
      <c r="F9494">
        <v>1.8488191755638401E-8</v>
      </c>
      <c r="G9494">
        <v>2927800</v>
      </c>
      <c r="H9494">
        <v>12451281</v>
      </c>
      <c r="I9494">
        <v>17981513</v>
      </c>
      <c r="J9494">
        <v>3</v>
      </c>
    </row>
    <row r="9495" spans="1:10" x14ac:dyDescent="0.25">
      <c r="A9495" t="s">
        <v>83</v>
      </c>
      <c r="B9495" s="1" t="str">
        <f>HYPERLINK("http://haem-evolution.es","haem-evolution.es")</f>
        <v>haem-evolution.es</v>
      </c>
      <c r="C9495" t="s">
        <v>443</v>
      </c>
      <c r="D9495" t="s">
        <v>822</v>
      </c>
      <c r="J9495">
        <v>3</v>
      </c>
    </row>
    <row r="9496" spans="1:10" x14ac:dyDescent="0.25">
      <c r="A9496" t="s">
        <v>83</v>
      </c>
      <c r="B9496" s="1" t="str">
        <f>HYPERLINK("http://hae-expert.eu","hae-expert.eu")</f>
        <v>hae-expert.eu</v>
      </c>
      <c r="C9496" t="s">
        <v>444</v>
      </c>
      <c r="F9496">
        <v>5.1770100392765601E-9</v>
      </c>
      <c r="G9496">
        <v>25603725</v>
      </c>
      <c r="H9496">
        <v>9609933</v>
      </c>
      <c r="I9496">
        <v>64297451</v>
      </c>
      <c r="J9496">
        <v>3</v>
      </c>
    </row>
    <row r="9497" spans="1:10" x14ac:dyDescent="0.25">
      <c r="A9497" t="s">
        <v>83</v>
      </c>
      <c r="B9497" s="1" t="str">
        <f>HYPERLINK("http://haem-evolution.eu","haem-evolution.eu")</f>
        <v>haem-evolution.eu</v>
      </c>
      <c r="C9497" t="s">
        <v>444</v>
      </c>
      <c r="J9497">
        <v>3</v>
      </c>
    </row>
    <row r="9498" spans="1:10" x14ac:dyDescent="0.25">
      <c r="A9498" t="s">
        <v>83</v>
      </c>
      <c r="B9498" s="1" t="str">
        <f>HYPERLINK("http://a1rtime.fi","a1rtime.fi")</f>
        <v>a1rtime.fi</v>
      </c>
      <c r="C9498" t="s">
        <v>445</v>
      </c>
      <c r="D9498" t="s">
        <v>823</v>
      </c>
      <c r="J9498">
        <v>3</v>
      </c>
    </row>
    <row r="9499" spans="1:10" x14ac:dyDescent="0.25">
      <c r="A9499" t="s">
        <v>83</v>
      </c>
      <c r="B9499" s="1" t="str">
        <f>HYPERLINK("http://cslbehring.fi","cslbehring.fi")</f>
        <v>cslbehring.fi</v>
      </c>
      <c r="C9499" t="s">
        <v>445</v>
      </c>
      <c r="D9499" t="s">
        <v>823</v>
      </c>
      <c r="F9499">
        <v>1.3660743456429399E-8</v>
      </c>
      <c r="G9499">
        <v>4336958</v>
      </c>
      <c r="H9499">
        <v>12128263</v>
      </c>
      <c r="I9499">
        <v>25185641</v>
      </c>
      <c r="J9499">
        <v>3</v>
      </c>
    </row>
    <row r="9500" spans="1:10" x14ac:dyDescent="0.25">
      <c r="A9500" t="s">
        <v>83</v>
      </c>
      <c r="B9500" s="1" t="str">
        <f>HYPERLINK("http://cslbehringmaterial.fi","cslbehringmaterial.fi")</f>
        <v>cslbehringmaterial.fi</v>
      </c>
      <c r="C9500" t="s">
        <v>445</v>
      </c>
      <c r="D9500" t="s">
        <v>823</v>
      </c>
      <c r="J9500">
        <v>3</v>
      </c>
    </row>
    <row r="9501" spans="1:10" x14ac:dyDescent="0.25">
      <c r="A9501" t="s">
        <v>83</v>
      </c>
      <c r="B9501" s="1" t="str">
        <f>HYPERLINK("http://cslseqirus.fi","cslseqirus.fi")</f>
        <v>cslseqirus.fi</v>
      </c>
      <c r="C9501" t="s">
        <v>445</v>
      </c>
      <c r="D9501" t="s">
        <v>823</v>
      </c>
      <c r="J9501">
        <v>3</v>
      </c>
    </row>
    <row r="9502" spans="1:10" x14ac:dyDescent="0.25">
      <c r="A9502" t="s">
        <v>83</v>
      </c>
      <c r="B9502" s="1" t="str">
        <f>HYPERLINK("http://cslvifor.fi","cslvifor.fi")</f>
        <v>cslvifor.fi</v>
      </c>
      <c r="C9502" t="s">
        <v>445</v>
      </c>
      <c r="D9502" t="s">
        <v>823</v>
      </c>
      <c r="J9502">
        <v>3</v>
      </c>
    </row>
    <row r="9503" spans="1:10" x14ac:dyDescent="0.25">
      <c r="A9503" t="s">
        <v>83</v>
      </c>
      <c r="B9503" s="1" t="str">
        <f>HYPERLINK("http://cslviforpharma.fi","cslviforpharma.fi")</f>
        <v>cslviforpharma.fi</v>
      </c>
      <c r="C9503" t="s">
        <v>445</v>
      </c>
      <c r="D9503" t="s">
        <v>823</v>
      </c>
      <c r="J9503">
        <v>3</v>
      </c>
    </row>
    <row r="9504" spans="1:10" x14ac:dyDescent="0.25">
      <c r="A9504" t="s">
        <v>83</v>
      </c>
      <c r="B9504" s="1" t="str">
        <f>HYPERLINK("http://hemgenix.fi","hemgenix.fi")</f>
        <v>hemgenix.fi</v>
      </c>
      <c r="C9504" t="s">
        <v>445</v>
      </c>
      <c r="D9504" t="s">
        <v>823</v>
      </c>
      <c r="J9504">
        <v>3</v>
      </c>
    </row>
    <row r="9505" spans="1:10" x14ac:dyDescent="0.25">
      <c r="A9505" t="s">
        <v>83</v>
      </c>
      <c r="B9505" s="1" t="str">
        <f>HYPERLINK("http://seqiruscsl.fi","seqiruscsl.fi")</f>
        <v>seqiruscsl.fi</v>
      </c>
      <c r="C9505" t="s">
        <v>445</v>
      </c>
      <c r="D9505" t="s">
        <v>823</v>
      </c>
      <c r="J9505">
        <v>3</v>
      </c>
    </row>
    <row r="9506" spans="1:10" x14ac:dyDescent="0.25">
      <c r="A9506" t="s">
        <v>83</v>
      </c>
      <c r="B9506" s="1" t="str">
        <f>HYPERLINK("http://thaesta.fi","thaesta.fi")</f>
        <v>thaesta.fi</v>
      </c>
      <c r="C9506" t="s">
        <v>445</v>
      </c>
      <c r="D9506" t="s">
        <v>823</v>
      </c>
      <c r="J9506">
        <v>3</v>
      </c>
    </row>
    <row r="9507" spans="1:10" x14ac:dyDescent="0.25">
      <c r="A9507" t="s">
        <v>83</v>
      </c>
      <c r="B9507" s="1" t="str">
        <f>HYPERLINK("http://cslbehring.fr","cslbehring.fr")</f>
        <v>cslbehring.fr</v>
      </c>
      <c r="C9507" t="s">
        <v>446</v>
      </c>
      <c r="D9507" t="s">
        <v>824</v>
      </c>
      <c r="F9507">
        <v>1.92645831827512E-8</v>
      </c>
      <c r="G9507">
        <v>2787852</v>
      </c>
      <c r="H9507">
        <v>12995117</v>
      </c>
      <c r="I9507">
        <v>12824254</v>
      </c>
      <c r="J9507">
        <v>3</v>
      </c>
    </row>
    <row r="9508" spans="1:10" x14ac:dyDescent="0.25">
      <c r="A9508" t="s">
        <v>83</v>
      </c>
      <c r="B9508" s="1" t="str">
        <f>HYPERLINK("http://haem-evolution.fr","haem-evolution.fr")</f>
        <v>haem-evolution.fr</v>
      </c>
      <c r="C9508" t="s">
        <v>446</v>
      </c>
      <c r="D9508" t="s">
        <v>824</v>
      </c>
      <c r="J9508">
        <v>3</v>
      </c>
    </row>
    <row r="9509" spans="1:10" x14ac:dyDescent="0.25">
      <c r="A9509" t="s">
        <v>83</v>
      </c>
      <c r="B9509" s="1" t="str">
        <f>HYPERLINK("http://rtu-transplantation-berinert.fr","rtu-transplantation-berinert.fr")</f>
        <v>rtu-transplantation-berinert.fr</v>
      </c>
      <c r="C9509" t="s">
        <v>446</v>
      </c>
      <c r="D9509" t="s">
        <v>824</v>
      </c>
      <c r="J9509">
        <v>3</v>
      </c>
    </row>
    <row r="9510" spans="1:10" x14ac:dyDescent="0.25">
      <c r="A9510" t="s">
        <v>83</v>
      </c>
      <c r="B9510" s="1" t="str">
        <f>HYPERLINK("http://cslbehring.gr","cslbehring.gr")</f>
        <v>cslbehring.gr</v>
      </c>
      <c r="C9510" t="s">
        <v>447</v>
      </c>
      <c r="D9510" t="s">
        <v>825</v>
      </c>
      <c r="F9510">
        <v>1.8284815266992301E-8</v>
      </c>
      <c r="G9510">
        <v>2970330</v>
      </c>
      <c r="H9510">
        <v>12414597</v>
      </c>
      <c r="I9510">
        <v>18543849</v>
      </c>
      <c r="J9510">
        <v>3</v>
      </c>
    </row>
    <row r="9511" spans="1:10" x14ac:dyDescent="0.25">
      <c r="A9511" t="s">
        <v>83</v>
      </c>
      <c r="B9511" s="1" t="str">
        <f>HYPERLINK("http://cslbehring.hu","cslbehring.hu")</f>
        <v>cslbehring.hu</v>
      </c>
      <c r="C9511" t="s">
        <v>453</v>
      </c>
      <c r="D9511" t="s">
        <v>830</v>
      </c>
      <c r="F9511">
        <v>1.3385704524792899E-8</v>
      </c>
      <c r="G9511">
        <v>4454073</v>
      </c>
      <c r="H9511">
        <v>12085566</v>
      </c>
      <c r="I9511">
        <v>26396153</v>
      </c>
      <c r="J9511">
        <v>3</v>
      </c>
    </row>
    <row r="9512" spans="1:10" x14ac:dyDescent="0.25">
      <c r="A9512" t="s">
        <v>83</v>
      </c>
      <c r="B9512" s="1" t="str">
        <f>HYPERLINK("http://cslplasma.hu","cslplasma.hu")</f>
        <v>cslplasma.hu</v>
      </c>
      <c r="C9512" t="s">
        <v>453</v>
      </c>
      <c r="D9512" t="s">
        <v>830</v>
      </c>
      <c r="F9512">
        <v>2.04623829544658E-8</v>
      </c>
      <c r="G9512">
        <v>2589942</v>
      </c>
      <c r="H9512">
        <v>12133452</v>
      </c>
      <c r="I9512">
        <v>25040640</v>
      </c>
      <c r="J9512">
        <v>4</v>
      </c>
    </row>
    <row r="9513" spans="1:10" x14ac:dyDescent="0.25">
      <c r="A9513" t="s">
        <v>83</v>
      </c>
      <c r="B9513" s="1" t="str">
        <f>HYPERLINK("http://haem-evolution.ie","haem-evolution.ie")</f>
        <v>haem-evolution.ie</v>
      </c>
      <c r="C9513" t="s">
        <v>455</v>
      </c>
      <c r="D9513" t="s">
        <v>832</v>
      </c>
      <c r="J9513">
        <v>3</v>
      </c>
    </row>
    <row r="9514" spans="1:10" x14ac:dyDescent="0.25">
      <c r="A9514" t="s">
        <v>83</v>
      </c>
      <c r="B9514" s="1" t="str">
        <f>HYPERLINK("http://cslbehring.it","cslbehring.it")</f>
        <v>cslbehring.it</v>
      </c>
      <c r="C9514" t="s">
        <v>459</v>
      </c>
      <c r="D9514" t="s">
        <v>835</v>
      </c>
      <c r="F9514">
        <v>1.6934570392675201E-8</v>
      </c>
      <c r="G9514">
        <v>3298943</v>
      </c>
      <c r="H9514">
        <v>12176853</v>
      </c>
      <c r="I9514">
        <v>23887636</v>
      </c>
      <c r="J9514">
        <v>3</v>
      </c>
    </row>
    <row r="9515" spans="1:10" x14ac:dyDescent="0.25">
      <c r="A9515" t="s">
        <v>83</v>
      </c>
      <c r="B9515" s="1" t="str">
        <f>HYPERLINK("http://haem-evolution.it","haem-evolution.it")</f>
        <v>haem-evolution.it</v>
      </c>
      <c r="C9515" t="s">
        <v>459</v>
      </c>
      <c r="D9515" t="s">
        <v>835</v>
      </c>
      <c r="J9515">
        <v>3</v>
      </c>
    </row>
    <row r="9516" spans="1:10" x14ac:dyDescent="0.25">
      <c r="A9516" t="s">
        <v>83</v>
      </c>
      <c r="B9516" s="1" t="str">
        <f>HYPERLINK("http://progettopronti.it","progettopronti.it")</f>
        <v>progettopronti.it</v>
      </c>
      <c r="C9516" t="s">
        <v>459</v>
      </c>
      <c r="D9516" t="s">
        <v>835</v>
      </c>
      <c r="J9516">
        <v>3</v>
      </c>
    </row>
    <row r="9517" spans="1:10" x14ac:dyDescent="0.25">
      <c r="A9517" t="s">
        <v>83</v>
      </c>
      <c r="B9517" s="1" t="str">
        <f>HYPERLINK("http://seqirus.it","seqirus.it")</f>
        <v>seqirus.it</v>
      </c>
      <c r="C9517" t="s">
        <v>459</v>
      </c>
      <c r="D9517" t="s">
        <v>835</v>
      </c>
      <c r="F9517">
        <v>9.9511180614064199E-9</v>
      </c>
      <c r="G9517">
        <v>6805235</v>
      </c>
      <c r="H9517">
        <v>12215041</v>
      </c>
      <c r="I9517">
        <v>22903076</v>
      </c>
      <c r="J9517">
        <v>4</v>
      </c>
    </row>
    <row r="9518" spans="1:10" x14ac:dyDescent="0.25">
      <c r="A9518" t="s">
        <v>83</v>
      </c>
      <c r="B9518" s="1" t="str">
        <f>HYPERLINK("http://cslbehring.co.jp","cslbehring.co.jp")</f>
        <v>cslbehring.co.jp</v>
      </c>
      <c r="C9518" t="s">
        <v>461</v>
      </c>
      <c r="D9518" t="s">
        <v>837</v>
      </c>
      <c r="F9518">
        <v>4.6973599497107003E-8</v>
      </c>
      <c r="G9518">
        <v>993736</v>
      </c>
      <c r="H9518">
        <v>14429138</v>
      </c>
      <c r="I9518">
        <v>1075964</v>
      </c>
      <c r="J9518">
        <v>3</v>
      </c>
    </row>
    <row r="9519" spans="1:10" x14ac:dyDescent="0.25">
      <c r="A9519" t="s">
        <v>83</v>
      </c>
      <c r="B9519" s="1" t="str">
        <f>HYPERLINK("http://cslbehring.co.kr","cslbehring.co.kr")</f>
        <v>cslbehring.co.kr</v>
      </c>
      <c r="C9519" t="s">
        <v>463</v>
      </c>
      <c r="D9519" t="s">
        <v>839</v>
      </c>
      <c r="F9519">
        <v>7.6565007945309796E-9</v>
      </c>
      <c r="G9519">
        <v>10672279</v>
      </c>
      <c r="H9519">
        <v>9353822</v>
      </c>
      <c r="I9519">
        <v>67939482</v>
      </c>
      <c r="J9519">
        <v>3</v>
      </c>
    </row>
    <row r="9520" spans="1:10" x14ac:dyDescent="0.25">
      <c r="A9520" t="s">
        <v>83</v>
      </c>
      <c r="B9520" s="1" t="str">
        <f>HYPERLINK("http://seqirus.co.kr","seqirus.co.kr")</f>
        <v>seqirus.co.kr</v>
      </c>
      <c r="C9520" t="s">
        <v>463</v>
      </c>
      <c r="D9520" t="s">
        <v>839</v>
      </c>
      <c r="J9520">
        <v>3</v>
      </c>
    </row>
    <row r="9521" spans="1:10" x14ac:dyDescent="0.25">
      <c r="A9521" t="s">
        <v>83</v>
      </c>
      <c r="B9521" s="1" t="str">
        <f>HYPERLINK("http://cslbehring.kr","cslbehring.kr")</f>
        <v>cslbehring.kr</v>
      </c>
      <c r="C9521" t="s">
        <v>463</v>
      </c>
      <c r="D9521" t="s">
        <v>839</v>
      </c>
      <c r="F9521">
        <v>1.5118570924017399E-8</v>
      </c>
      <c r="G9521">
        <v>3801796</v>
      </c>
      <c r="H9521">
        <v>12084848</v>
      </c>
      <c r="I9521">
        <v>26445565</v>
      </c>
      <c r="J9521">
        <v>3</v>
      </c>
    </row>
    <row r="9522" spans="1:10" x14ac:dyDescent="0.25">
      <c r="A9522" t="s">
        <v>83</v>
      </c>
      <c r="B9522" s="1" t="str">
        <f>HYPERLINK("http://cslbehring.com.mx","cslbehring.com.mx")</f>
        <v>cslbehring.com.mx</v>
      </c>
      <c r="C9522" t="s">
        <v>471</v>
      </c>
      <c r="D9522" t="s">
        <v>847</v>
      </c>
      <c r="F9522">
        <v>1.32170987830812E-8</v>
      </c>
      <c r="G9522">
        <v>4530624</v>
      </c>
      <c r="H9522">
        <v>12089424</v>
      </c>
      <c r="I9522">
        <v>26267188</v>
      </c>
      <c r="J9522">
        <v>3</v>
      </c>
    </row>
    <row r="9523" spans="1:10" x14ac:dyDescent="0.25">
      <c r="A9523" t="s">
        <v>83</v>
      </c>
      <c r="B9523" s="1" t="str">
        <f>HYPERLINK("http://cslg.net","cslg.net")</f>
        <v>cslg.net</v>
      </c>
      <c r="C9523" t="s">
        <v>474</v>
      </c>
      <c r="E9523">
        <v>266801</v>
      </c>
      <c r="F9523">
        <v>4.8703615402620603E-9</v>
      </c>
      <c r="G9523">
        <v>33390638</v>
      </c>
      <c r="H9523">
        <v>10477056</v>
      </c>
      <c r="I9523">
        <v>51108529</v>
      </c>
      <c r="J9523">
        <v>3</v>
      </c>
    </row>
    <row r="9524" spans="1:10" x14ac:dyDescent="0.25">
      <c r="A9524" t="s">
        <v>83</v>
      </c>
      <c r="B9524" s="1" t="str">
        <f>HYPERLINK("http://cslbehring.nl","cslbehring.nl")</f>
        <v>cslbehring.nl</v>
      </c>
      <c r="C9524" t="s">
        <v>477</v>
      </c>
      <c r="D9524" t="s">
        <v>852</v>
      </c>
      <c r="F9524">
        <v>1.2890136285287099E-8</v>
      </c>
      <c r="G9524">
        <v>4684113</v>
      </c>
      <c r="H9524">
        <v>12086132</v>
      </c>
      <c r="I9524">
        <v>26378389</v>
      </c>
      <c r="J9524">
        <v>3</v>
      </c>
    </row>
    <row r="9525" spans="1:10" x14ac:dyDescent="0.25">
      <c r="A9525" t="s">
        <v>83</v>
      </c>
      <c r="B9525" s="1" t="str">
        <f>HYPERLINK("http://haem-evolution.nl","haem-evolution.nl")</f>
        <v>haem-evolution.nl</v>
      </c>
      <c r="C9525" t="s">
        <v>477</v>
      </c>
      <c r="D9525" t="s">
        <v>852</v>
      </c>
      <c r="J9525">
        <v>3</v>
      </c>
    </row>
    <row r="9526" spans="1:10" x14ac:dyDescent="0.25">
      <c r="A9526" t="s">
        <v>83</v>
      </c>
      <c r="B9526" s="1" t="str">
        <f>HYPERLINK("http://cslbehring.no","cslbehring.no")</f>
        <v>cslbehring.no</v>
      </c>
      <c r="C9526" t="s">
        <v>478</v>
      </c>
      <c r="D9526" t="s">
        <v>853</v>
      </c>
      <c r="F9526">
        <v>1.26907800879731E-8</v>
      </c>
      <c r="G9526">
        <v>4784309</v>
      </c>
      <c r="H9526">
        <v>12084242</v>
      </c>
      <c r="I9526">
        <v>26457234</v>
      </c>
      <c r="J9526">
        <v>3</v>
      </c>
    </row>
    <row r="9527" spans="1:10" x14ac:dyDescent="0.25">
      <c r="A9527" t="s">
        <v>83</v>
      </c>
      <c r="B9527" s="1" t="str">
        <f>HYPERLINK("http://seqirus.co.nz","seqirus.co.nz")</f>
        <v>seqirus.co.nz</v>
      </c>
      <c r="C9527" t="s">
        <v>479</v>
      </c>
      <c r="D9527" t="s">
        <v>854</v>
      </c>
      <c r="F9527">
        <v>9.3100167382395794E-9</v>
      </c>
      <c r="G9527">
        <v>7559472</v>
      </c>
      <c r="H9527">
        <v>12163985</v>
      </c>
      <c r="I9527">
        <v>24256203</v>
      </c>
      <c r="J9527">
        <v>4</v>
      </c>
    </row>
    <row r="9528" spans="1:10" x14ac:dyDescent="0.25">
      <c r="A9528" t="s">
        <v>83</v>
      </c>
      <c r="B9528" s="1" t="str">
        <f>HYPERLINK("http://cslbehring.pl","cslbehring.pl")</f>
        <v>cslbehring.pl</v>
      </c>
      <c r="C9528" t="s">
        <v>486</v>
      </c>
      <c r="D9528" t="s">
        <v>860</v>
      </c>
      <c r="F9528">
        <v>1.5528659014911099E-8</v>
      </c>
      <c r="G9528">
        <v>3676449</v>
      </c>
      <c r="H9528">
        <v>12146958</v>
      </c>
      <c r="I9528">
        <v>24702174</v>
      </c>
      <c r="J9528">
        <v>3</v>
      </c>
    </row>
    <row r="9529" spans="1:10" x14ac:dyDescent="0.25">
      <c r="A9529" t="s">
        <v>83</v>
      </c>
      <c r="B9529" s="1" t="str">
        <f>HYPERLINK("http://cslbehring.ru","cslbehring.ru")</f>
        <v>cslbehring.ru</v>
      </c>
      <c r="C9529" t="s">
        <v>493</v>
      </c>
      <c r="D9529" t="s">
        <v>867</v>
      </c>
      <c r="F9529">
        <v>1.09953667119215E-8</v>
      </c>
      <c r="G9529">
        <v>5864430</v>
      </c>
      <c r="H9529">
        <v>12207788</v>
      </c>
      <c r="I9529">
        <v>23081187</v>
      </c>
      <c r="J9529">
        <v>3</v>
      </c>
    </row>
    <row r="9530" spans="1:10" x14ac:dyDescent="0.25">
      <c r="A9530" t="s">
        <v>83</v>
      </c>
      <c r="B9530" s="1" t="str">
        <f>HYPERLINK("http://cslbehring.se","cslbehring.se")</f>
        <v>cslbehring.se</v>
      </c>
      <c r="C9530" t="s">
        <v>495</v>
      </c>
      <c r="D9530" t="s">
        <v>869</v>
      </c>
      <c r="F9530">
        <v>1.84318413421138E-8</v>
      </c>
      <c r="G9530">
        <v>2939479</v>
      </c>
      <c r="H9530">
        <v>12198286</v>
      </c>
      <c r="I9530">
        <v>23365854</v>
      </c>
      <c r="J9530">
        <v>3</v>
      </c>
    </row>
    <row r="9531" spans="1:10" x14ac:dyDescent="0.25">
      <c r="A9531" t="s">
        <v>83</v>
      </c>
      <c r="B9531" s="1" t="str">
        <f>HYPERLINK("http://haem-evolution.se","haem-evolution.se")</f>
        <v>haem-evolution.se</v>
      </c>
      <c r="C9531" t="s">
        <v>495</v>
      </c>
      <c r="D9531" t="s">
        <v>869</v>
      </c>
      <c r="J9531">
        <v>3</v>
      </c>
    </row>
    <row r="9532" spans="1:10" x14ac:dyDescent="0.25">
      <c r="A9532" t="s">
        <v>83</v>
      </c>
      <c r="B9532" s="1" t="str">
        <f>HYPERLINK("http://cslbehring.com.sg","cslbehring.com.sg")</f>
        <v>cslbehring.com.sg</v>
      </c>
      <c r="C9532" t="s">
        <v>496</v>
      </c>
      <c r="D9532" t="s">
        <v>870</v>
      </c>
      <c r="F9532">
        <v>1.6309955623151499E-8</v>
      </c>
      <c r="G9532">
        <v>3468314</v>
      </c>
      <c r="H9532">
        <v>12140356</v>
      </c>
      <c r="I9532">
        <v>24873825</v>
      </c>
      <c r="J9532">
        <v>3</v>
      </c>
    </row>
    <row r="9533" spans="1:10" x14ac:dyDescent="0.25">
      <c r="A9533" t="s">
        <v>83</v>
      </c>
      <c r="B9533" s="1" t="str">
        <f>HYPERLINK("http://cslbehring.sk","cslbehring.sk")</f>
        <v>cslbehring.sk</v>
      </c>
      <c r="C9533" t="s">
        <v>498</v>
      </c>
      <c r="D9533" t="s">
        <v>872</v>
      </c>
      <c r="F9533">
        <v>1.4995002262831501E-8</v>
      </c>
      <c r="G9533">
        <v>3841490</v>
      </c>
      <c r="H9533">
        <v>12085741</v>
      </c>
      <c r="I9533">
        <v>26388347</v>
      </c>
      <c r="J9533">
        <v>3</v>
      </c>
    </row>
    <row r="9534" spans="1:10" x14ac:dyDescent="0.25">
      <c r="A9534" t="s">
        <v>83</v>
      </c>
      <c r="B9534" s="1" t="str">
        <f>HYPERLINK("http://cslbehring.com.tr","cslbehring.com.tr")</f>
        <v>cslbehring.com.tr</v>
      </c>
      <c r="C9534" t="s">
        <v>502</v>
      </c>
      <c r="D9534" t="s">
        <v>876</v>
      </c>
      <c r="F9534">
        <v>1.2394123498609699E-8</v>
      </c>
      <c r="G9534">
        <v>4942502</v>
      </c>
      <c r="H9534">
        <v>12084683</v>
      </c>
      <c r="I9534">
        <v>26449065</v>
      </c>
      <c r="J9534">
        <v>4</v>
      </c>
    </row>
    <row r="9535" spans="1:10" x14ac:dyDescent="0.25">
      <c r="A9535" t="s">
        <v>83</v>
      </c>
      <c r="B9535" s="1" t="str">
        <f>HYPERLINK("http://cslbehring.com.tw","cslbehring.com.tw")</f>
        <v>cslbehring.com.tw</v>
      </c>
      <c r="C9535" t="s">
        <v>504</v>
      </c>
      <c r="D9535" t="s">
        <v>878</v>
      </c>
      <c r="F9535">
        <v>1.34003749289595E-8</v>
      </c>
      <c r="G9535">
        <v>4447654</v>
      </c>
      <c r="H9535">
        <v>12094362</v>
      </c>
      <c r="I9535">
        <v>26110733</v>
      </c>
      <c r="J9535">
        <v>3</v>
      </c>
    </row>
    <row r="9536" spans="1:10" x14ac:dyDescent="0.25">
      <c r="A9536" t="s">
        <v>83</v>
      </c>
      <c r="B9536" s="1" t="str">
        <f>HYPERLINK("http://beriplex.co.uk","beriplex.co.uk")</f>
        <v>beriplex.co.uk</v>
      </c>
      <c r="C9536" t="s">
        <v>506</v>
      </c>
      <c r="D9536" t="s">
        <v>880</v>
      </c>
      <c r="F9536">
        <v>4.5890206575221097E-9</v>
      </c>
      <c r="G9536">
        <v>48500617</v>
      </c>
      <c r="H9536">
        <v>10884622</v>
      </c>
      <c r="I9536">
        <v>36258275</v>
      </c>
      <c r="J9536">
        <v>3</v>
      </c>
    </row>
    <row r="9537" spans="1:10" x14ac:dyDescent="0.25">
      <c r="A9537" t="s">
        <v>83</v>
      </c>
      <c r="B9537" s="1" t="str">
        <f>HYPERLINK("http://cslbehring.co.uk","cslbehring.co.uk")</f>
        <v>cslbehring.co.uk</v>
      </c>
      <c r="C9537" t="s">
        <v>506</v>
      </c>
      <c r="D9537" t="s">
        <v>880</v>
      </c>
      <c r="F9537">
        <v>1.6822598745015901E-8</v>
      </c>
      <c r="G9537">
        <v>3327850</v>
      </c>
      <c r="H9537">
        <v>13130136</v>
      </c>
      <c r="I9537">
        <v>11940566</v>
      </c>
      <c r="J9537">
        <v>3</v>
      </c>
    </row>
    <row r="9538" spans="1:10" x14ac:dyDescent="0.25">
      <c r="A9538" t="s">
        <v>83</v>
      </c>
      <c r="B9538" s="1" t="str">
        <f>HYPERLINK("http://haem-evolution.co.uk","haem-evolution.co.uk")</f>
        <v>haem-evolution.co.uk</v>
      </c>
      <c r="C9538" t="s">
        <v>506</v>
      </c>
      <c r="D9538" t="s">
        <v>880</v>
      </c>
      <c r="J9538">
        <v>3</v>
      </c>
    </row>
    <row r="9539" spans="1:10" x14ac:dyDescent="0.25">
      <c r="A9539" t="s">
        <v>83</v>
      </c>
      <c r="B9539" s="1" t="str">
        <f>HYPERLINK("http://cslseqirus.us","cslseqirus.us")</f>
        <v>cslseqirus.us</v>
      </c>
      <c r="C9539" t="s">
        <v>522</v>
      </c>
      <c r="D9539" t="s">
        <v>891</v>
      </c>
      <c r="F9539">
        <v>5.9137731415975197E-9</v>
      </c>
      <c r="G9539">
        <v>17266048</v>
      </c>
      <c r="H9539">
        <v>10782789</v>
      </c>
      <c r="I9539">
        <v>38807953</v>
      </c>
      <c r="J9539">
        <v>4</v>
      </c>
    </row>
    <row r="9540" spans="1:10" x14ac:dyDescent="0.25">
      <c r="A9540" t="s">
        <v>83</v>
      </c>
      <c r="B9540" s="1" t="str">
        <f>HYPERLINK("http://seqirus.us","seqirus.us")</f>
        <v>seqirus.us</v>
      </c>
      <c r="C9540" t="s">
        <v>522</v>
      </c>
      <c r="D9540" t="s">
        <v>891</v>
      </c>
      <c r="F9540">
        <v>6.4038707653984204E-8</v>
      </c>
      <c r="G9540">
        <v>676761</v>
      </c>
      <c r="H9540">
        <v>14079908</v>
      </c>
      <c r="I9540">
        <v>2826232</v>
      </c>
      <c r="J9540">
        <v>4</v>
      </c>
    </row>
    <row r="9541" spans="1:10" x14ac:dyDescent="0.25">
      <c r="A9541" t="s">
        <v>84</v>
      </c>
      <c r="B9541" s="1" t="str">
        <f>HYPERLINK("http://csx.com","csx.com")</f>
        <v>csx.com</v>
      </c>
      <c r="C9541" t="s">
        <v>433</v>
      </c>
      <c r="E9541">
        <v>40894</v>
      </c>
      <c r="F9541">
        <v>7.0943293118583698E-7</v>
      </c>
      <c r="G9541">
        <v>54638</v>
      </c>
      <c r="H9541">
        <v>15304485</v>
      </c>
      <c r="I9541">
        <v>385726</v>
      </c>
      <c r="J9541">
        <v>1</v>
      </c>
    </row>
    <row r="9542" spans="1:10" x14ac:dyDescent="0.25">
      <c r="A9542" t="s">
        <v>84</v>
      </c>
      <c r="B9542" s="1" t="str">
        <f>HYPERLINK("http://gbrx.com","gbrx.com")</f>
        <v>gbrx.com</v>
      </c>
      <c r="C9542" t="s">
        <v>433</v>
      </c>
      <c r="E9542">
        <v>217805</v>
      </c>
      <c r="F9542">
        <v>1.41988929493066E-7</v>
      </c>
      <c r="G9542">
        <v>274164</v>
      </c>
      <c r="H9542">
        <v>14910113</v>
      </c>
      <c r="I9542">
        <v>457882</v>
      </c>
      <c r="J9542">
        <v>7</v>
      </c>
    </row>
    <row r="9543" spans="1:10" x14ac:dyDescent="0.25">
      <c r="A9543" t="s">
        <v>84</v>
      </c>
      <c r="B9543" s="1" t="str">
        <f>HYPERLINK("http://greenbrier.com","greenbrier.com")</f>
        <v>greenbrier.com</v>
      </c>
      <c r="C9543" t="s">
        <v>433</v>
      </c>
      <c r="E9543">
        <v>135067</v>
      </c>
      <c r="F9543">
        <v>2.3922939156910002E-7</v>
      </c>
      <c r="G9543">
        <v>156451</v>
      </c>
      <c r="H9543">
        <v>15136775</v>
      </c>
      <c r="I9543">
        <v>401600</v>
      </c>
      <c r="J9543">
        <v>4</v>
      </c>
    </row>
    <row r="9544" spans="1:10" x14ac:dyDescent="0.25">
      <c r="A9544" t="s">
        <v>84</v>
      </c>
      <c r="B9544" s="1" t="str">
        <f>HYPERLINK("http://intermodal.com","intermodal.com")</f>
        <v>intermodal.com</v>
      </c>
      <c r="C9544" t="s">
        <v>433</v>
      </c>
      <c r="F9544">
        <v>3.5027901978298E-8</v>
      </c>
      <c r="G9544">
        <v>1483281</v>
      </c>
      <c r="H9544">
        <v>13862340</v>
      </c>
      <c r="I9544">
        <v>6017298</v>
      </c>
      <c r="J9544">
        <v>3</v>
      </c>
    </row>
    <row r="9545" spans="1:10" x14ac:dyDescent="0.25">
      <c r="A9545" t="s">
        <v>85</v>
      </c>
      <c r="B9545" s="1" t="str">
        <f>HYPERLINK("http://bswift.biz","bswift.biz")</f>
        <v>bswift.biz</v>
      </c>
      <c r="C9545" t="s">
        <v>423</v>
      </c>
      <c r="J9545">
        <v>4</v>
      </c>
    </row>
    <row r="9546" spans="1:10" x14ac:dyDescent="0.25">
      <c r="A9546" t="s">
        <v>85</v>
      </c>
      <c r="B9546" s="1" t="str">
        <f>HYPERLINK("http://cvs.co","cvs.co")</f>
        <v>cvs.co</v>
      </c>
      <c r="C9546" t="s">
        <v>432</v>
      </c>
      <c r="F9546">
        <v>3.34147989508899E-8</v>
      </c>
      <c r="G9546">
        <v>1546936</v>
      </c>
      <c r="H9546">
        <v>13941250</v>
      </c>
      <c r="I9546">
        <v>4351088</v>
      </c>
      <c r="J9546">
        <v>3</v>
      </c>
    </row>
    <row r="9547" spans="1:10" x14ac:dyDescent="0.25">
      <c r="A9547" t="s">
        <v>85</v>
      </c>
      <c r="B9547" s="1" t="str">
        <f>HYPERLINK("http://activehealth.com","activehealth.com")</f>
        <v>activehealth.com</v>
      </c>
      <c r="C9547" t="s">
        <v>433</v>
      </c>
      <c r="F9547">
        <v>3.3214633104825498E-8</v>
      </c>
      <c r="G9547">
        <v>1555700</v>
      </c>
      <c r="H9547">
        <v>14492186</v>
      </c>
      <c r="I9547">
        <v>896869</v>
      </c>
      <c r="J9547">
        <v>4</v>
      </c>
    </row>
    <row r="9548" spans="1:10" x14ac:dyDescent="0.25">
      <c r="A9548" t="s">
        <v>85</v>
      </c>
      <c r="B9548" s="1" t="str">
        <f>HYPERLINK("http://aetdmz.com","aetdmz.com")</f>
        <v>aetdmz.com</v>
      </c>
      <c r="C9548" t="s">
        <v>433</v>
      </c>
      <c r="J9548">
        <v>4</v>
      </c>
    </row>
    <row r="9549" spans="1:10" x14ac:dyDescent="0.25">
      <c r="A9549" t="s">
        <v>85</v>
      </c>
      <c r="B9549" s="1" t="str">
        <f>HYPERLINK("http://aetdmzq.com","aetdmzq.com")</f>
        <v>aetdmzq.com</v>
      </c>
      <c r="C9549" t="s">
        <v>433</v>
      </c>
      <c r="J9549">
        <v>4</v>
      </c>
    </row>
    <row r="9550" spans="1:10" x14ac:dyDescent="0.25">
      <c r="A9550" t="s">
        <v>85</v>
      </c>
      <c r="B9550" s="1" t="str">
        <f>HYPERLINK("http://aetdmzt.com","aetdmzt.com")</f>
        <v>aetdmzt.com</v>
      </c>
      <c r="C9550" t="s">
        <v>433</v>
      </c>
      <c r="J9550">
        <v>4</v>
      </c>
    </row>
    <row r="9551" spans="1:10" x14ac:dyDescent="0.25">
      <c r="A9551" t="s">
        <v>85</v>
      </c>
      <c r="B9551" s="1" t="str">
        <f>HYPERLINK("http://aetna.com","aetna.com")</f>
        <v>aetna.com</v>
      </c>
      <c r="C9551" t="s">
        <v>433</v>
      </c>
      <c r="E9551">
        <v>3377</v>
      </c>
      <c r="F9551">
        <v>5.5366422697734203E-6</v>
      </c>
      <c r="G9551">
        <v>6271</v>
      </c>
      <c r="H9551">
        <v>17473046</v>
      </c>
      <c r="I9551">
        <v>14921</v>
      </c>
      <c r="J9551">
        <v>2</v>
      </c>
    </row>
    <row r="9552" spans="1:10" x14ac:dyDescent="0.25">
      <c r="A9552" t="s">
        <v>85</v>
      </c>
      <c r="B9552" s="1" t="str">
        <f>HYPERLINK("http://aetnabetterhealth.com","aetnabetterhealth.com")</f>
        <v>aetnabetterhealth.com</v>
      </c>
      <c r="C9552" t="s">
        <v>433</v>
      </c>
      <c r="E9552">
        <v>127217</v>
      </c>
      <c r="F9552">
        <v>2.8462712861539801E-7</v>
      </c>
      <c r="G9552">
        <v>130600</v>
      </c>
      <c r="H9552">
        <v>14092138</v>
      </c>
      <c r="I9552">
        <v>2740717</v>
      </c>
      <c r="J9552">
        <v>4</v>
      </c>
    </row>
    <row r="9553" spans="1:10" x14ac:dyDescent="0.25">
      <c r="A9553" t="s">
        <v>85</v>
      </c>
      <c r="B9553" s="1" t="str">
        <f>HYPERLINK("http://aetnaeap.com","aetnaeap.com")</f>
        <v>aetnaeap.com</v>
      </c>
      <c r="C9553" t="s">
        <v>433</v>
      </c>
      <c r="F9553">
        <v>5.2585159382706001E-9</v>
      </c>
      <c r="G9553">
        <v>24125726</v>
      </c>
      <c r="H9553">
        <v>8754463</v>
      </c>
      <c r="I9553">
        <v>69621745</v>
      </c>
      <c r="J9553">
        <v>4</v>
      </c>
    </row>
    <row r="9554" spans="1:10" x14ac:dyDescent="0.25">
      <c r="A9554" t="s">
        <v>85</v>
      </c>
      <c r="B9554" s="1" t="str">
        <f>HYPERLINK("http://aetnaeoi.com","aetnaeoi.com")</f>
        <v>aetnaeoi.com</v>
      </c>
      <c r="C9554" t="s">
        <v>433</v>
      </c>
      <c r="J9554">
        <v>4</v>
      </c>
    </row>
    <row r="9555" spans="1:10" x14ac:dyDescent="0.25">
      <c r="A9555" t="s">
        <v>85</v>
      </c>
      <c r="B9555" s="1" t="str">
        <f>HYPERLINK("http://aetnafeds.com","aetnafeds.com")</f>
        <v>aetnafeds.com</v>
      </c>
      <c r="C9555" t="s">
        <v>433</v>
      </c>
      <c r="E9555">
        <v>653650</v>
      </c>
      <c r="F9555">
        <v>5.57266694714489E-8</v>
      </c>
      <c r="G9555">
        <v>804615</v>
      </c>
      <c r="H9555">
        <v>13048402</v>
      </c>
      <c r="I9555">
        <v>12596266</v>
      </c>
      <c r="J9555">
        <v>5</v>
      </c>
    </row>
    <row r="9556" spans="1:10" x14ac:dyDescent="0.25">
      <c r="A9556" t="s">
        <v>85</v>
      </c>
      <c r="B9556" s="1" t="str">
        <f>HYPERLINK("http://aetnainternational.com","aetnainternational.com")</f>
        <v>aetnainternational.com</v>
      </c>
      <c r="C9556" t="s">
        <v>433</v>
      </c>
      <c r="E9556">
        <v>161909</v>
      </c>
      <c r="F9556">
        <v>4.2161254681938103E-7</v>
      </c>
      <c r="G9556">
        <v>89337</v>
      </c>
      <c r="H9556">
        <v>17272310</v>
      </c>
      <c r="I9556">
        <v>31067</v>
      </c>
      <c r="J9556">
        <v>4</v>
      </c>
    </row>
    <row r="9557" spans="1:10" x14ac:dyDescent="0.25">
      <c r="A9557" t="s">
        <v>85</v>
      </c>
      <c r="B9557" s="1" t="str">
        <f>HYPERLINK("http://aetnamedicare.com","aetnamedicare.com")</f>
        <v>aetnamedicare.com</v>
      </c>
      <c r="C9557" t="s">
        <v>433</v>
      </c>
      <c r="E9557">
        <v>89344</v>
      </c>
      <c r="F9557">
        <v>2.9070259035931598E-7</v>
      </c>
      <c r="G9557">
        <v>128022</v>
      </c>
      <c r="H9557">
        <v>14101811</v>
      </c>
      <c r="I9557">
        <v>2700590</v>
      </c>
      <c r="J9557">
        <v>4</v>
      </c>
    </row>
    <row r="9558" spans="1:10" x14ac:dyDescent="0.25">
      <c r="A9558" t="s">
        <v>85</v>
      </c>
      <c r="B9558" s="1" t="str">
        <f>HYPERLINK("http://aetnaprotectionplus.com","aetnaprotectionplus.com")</f>
        <v>aetnaprotectionplus.com</v>
      </c>
      <c r="C9558" t="s">
        <v>433</v>
      </c>
      <c r="J9558">
        <v>4</v>
      </c>
    </row>
    <row r="9559" spans="1:10" x14ac:dyDescent="0.25">
      <c r="A9559" t="s">
        <v>85</v>
      </c>
      <c r="B9559" s="1" t="str">
        <f>HYPERLINK("http://aetnastudenthealth.com","aetnastudenthealth.com")</f>
        <v>aetnastudenthealth.com</v>
      </c>
      <c r="C9559" t="s">
        <v>433</v>
      </c>
      <c r="E9559">
        <v>444435</v>
      </c>
      <c r="F9559">
        <v>9.9753115993359398E-8</v>
      </c>
      <c r="G9559">
        <v>403543</v>
      </c>
      <c r="H9559">
        <v>13957772</v>
      </c>
      <c r="I9559">
        <v>4125446</v>
      </c>
      <c r="J9559">
        <v>4</v>
      </c>
    </row>
    <row r="9560" spans="1:10" x14ac:dyDescent="0.25">
      <c r="A9560" t="s">
        <v>85</v>
      </c>
      <c r="B9560" s="1" t="str">
        <f>HYPERLINK("http://aetnat.com","aetnat.com")</f>
        <v>aetnat.com</v>
      </c>
      <c r="C9560" t="s">
        <v>433</v>
      </c>
      <c r="J9560">
        <v>4</v>
      </c>
    </row>
    <row r="9561" spans="1:10" x14ac:dyDescent="0.25">
      <c r="A9561" t="s">
        <v>85</v>
      </c>
      <c r="B9561" s="1" t="str">
        <f>HYPERLINK("http://aetnavitalgroupsavings.com","aetnavitalgroupsavings.com")</f>
        <v>aetnavitalgroupsavings.com</v>
      </c>
      <c r="C9561" t="s">
        <v>433</v>
      </c>
      <c r="F9561">
        <v>1.0555700827016899E-8</v>
      </c>
      <c r="G9561">
        <v>6221643</v>
      </c>
      <c r="H9561">
        <v>11048897</v>
      </c>
      <c r="I9561">
        <v>32811434</v>
      </c>
      <c r="J9561">
        <v>4</v>
      </c>
    </row>
    <row r="9562" spans="1:10" x14ac:dyDescent="0.25">
      <c r="A9562" t="s">
        <v>85</v>
      </c>
      <c r="B9562" s="1" t="str">
        <f>HYPERLINK("http://aetnavitalsavings.com","aetnavitalsavings.com")</f>
        <v>aetnavitalsavings.com</v>
      </c>
      <c r="C9562" t="s">
        <v>433</v>
      </c>
      <c r="F9562">
        <v>1.8628971638179899E-8</v>
      </c>
      <c r="G9562">
        <v>2902028</v>
      </c>
      <c r="H9562">
        <v>12344353</v>
      </c>
      <c r="I9562">
        <v>19863388</v>
      </c>
      <c r="J9562">
        <v>4</v>
      </c>
    </row>
    <row r="9563" spans="1:10" x14ac:dyDescent="0.25">
      <c r="A9563" t="s">
        <v>85</v>
      </c>
      <c r="B9563" s="1" t="str">
        <f>HYPERLINK("http://ahmcampaignmanager.com","ahmcampaignmanager.com")</f>
        <v>ahmcampaignmanager.com</v>
      </c>
      <c r="C9563" t="s">
        <v>433</v>
      </c>
      <c r="J9563">
        <v>4</v>
      </c>
    </row>
    <row r="9564" spans="1:10" x14ac:dyDescent="0.25">
      <c r="A9564" t="s">
        <v>85</v>
      </c>
      <c r="B9564" s="1" t="str">
        <f>HYPERLINK("http://ahmcert.com","ahmcert.com")</f>
        <v>ahmcert.com</v>
      </c>
      <c r="C9564" t="s">
        <v>433</v>
      </c>
      <c r="J9564">
        <v>4</v>
      </c>
    </row>
    <row r="9565" spans="1:10" x14ac:dyDescent="0.25">
      <c r="A9565" t="s">
        <v>85</v>
      </c>
      <c r="B9565" s="1" t="str">
        <f>HYPERLINK("http://allinahealthaetna.com","allinahealthaetna.com")</f>
        <v>allinahealthaetna.com</v>
      </c>
      <c r="C9565" t="s">
        <v>433</v>
      </c>
      <c r="F9565">
        <v>1.9294546515151501E-8</v>
      </c>
      <c r="G9565">
        <v>2782980</v>
      </c>
      <c r="H9565">
        <v>12439775</v>
      </c>
      <c r="I9565">
        <v>18147386</v>
      </c>
      <c r="J9565">
        <v>4</v>
      </c>
    </row>
    <row r="9566" spans="1:10" x14ac:dyDescent="0.25">
      <c r="A9566" t="s">
        <v>85</v>
      </c>
      <c r="B9566" s="1" t="str">
        <f>HYPERLINK("http://allinahealthaetnamedicare.com","allinahealthaetnamedicare.com")</f>
        <v>allinahealthaetnamedicare.com</v>
      </c>
      <c r="C9566" t="s">
        <v>433</v>
      </c>
      <c r="F9566">
        <v>9.3715277691971104E-9</v>
      </c>
      <c r="G9566">
        <v>7481055</v>
      </c>
      <c r="H9566">
        <v>13202245</v>
      </c>
      <c r="I9566">
        <v>11543023</v>
      </c>
      <c r="J9566">
        <v>4</v>
      </c>
    </row>
    <row r="9567" spans="1:10" x14ac:dyDescent="0.25">
      <c r="A9567" t="s">
        <v>85</v>
      </c>
      <c r="B9567" s="1" t="str">
        <f>HYPERLINK("http://attainbyaetna.com","attainbyaetna.com")</f>
        <v>attainbyaetna.com</v>
      </c>
      <c r="C9567" t="s">
        <v>433</v>
      </c>
      <c r="F9567">
        <v>5.9777117964401003E-8</v>
      </c>
      <c r="G9567">
        <v>739020</v>
      </c>
      <c r="H9567">
        <v>13533115</v>
      </c>
      <c r="I9567">
        <v>9915517</v>
      </c>
      <c r="J9567">
        <v>4</v>
      </c>
    </row>
    <row r="9568" spans="1:10" x14ac:dyDescent="0.25">
      <c r="A9568" t="s">
        <v>85</v>
      </c>
      <c r="B9568" s="1" t="str">
        <f>HYPERLINK("http://avpenroll.com","avpenroll.com")</f>
        <v>avpenroll.com</v>
      </c>
      <c r="C9568" t="s">
        <v>433</v>
      </c>
      <c r="J9568">
        <v>4</v>
      </c>
    </row>
    <row r="9569" spans="1:10" x14ac:dyDescent="0.25">
      <c r="A9569" t="s">
        <v>85</v>
      </c>
      <c r="B9569" s="1" t="str">
        <f>HYPERLINK("http://bannerhealthaetna.com","bannerhealthaetna.com")</f>
        <v>bannerhealthaetna.com</v>
      </c>
      <c r="C9569" t="s">
        <v>433</v>
      </c>
      <c r="J9569">
        <v>4</v>
      </c>
    </row>
    <row r="9570" spans="1:10" x14ac:dyDescent="0.25">
      <c r="A9570" t="s">
        <v>85</v>
      </c>
      <c r="B9570" s="1" t="str">
        <f>HYPERLINK("http://bswift.com","bswift.com")</f>
        <v>bswift.com</v>
      </c>
      <c r="C9570" t="s">
        <v>433</v>
      </c>
      <c r="E9570">
        <v>65431</v>
      </c>
      <c r="F9570">
        <v>3.0180622811628301E-7</v>
      </c>
      <c r="G9570">
        <v>123204</v>
      </c>
      <c r="H9570">
        <v>14379876</v>
      </c>
      <c r="I9570">
        <v>1197158</v>
      </c>
      <c r="J9570">
        <v>4</v>
      </c>
    </row>
    <row r="9571" spans="1:10" x14ac:dyDescent="0.25">
      <c r="A9571" t="s">
        <v>85</v>
      </c>
      <c r="B9571" s="1" t="str">
        <f>HYPERLINK("http://bswiftdev.com","bswiftdev.com")</f>
        <v>bswiftdev.com</v>
      </c>
      <c r="C9571" t="s">
        <v>433</v>
      </c>
      <c r="J9571">
        <v>4</v>
      </c>
    </row>
    <row r="9572" spans="1:10" x14ac:dyDescent="0.25">
      <c r="A9572" t="s">
        <v>85</v>
      </c>
      <c r="B9572" s="1" t="str">
        <f>HYPERLINK("http://bswiftdev2.com","bswiftdev2.com")</f>
        <v>bswiftdev2.com</v>
      </c>
      <c r="C9572" t="s">
        <v>433</v>
      </c>
      <c r="J9572">
        <v>4</v>
      </c>
    </row>
    <row r="9573" spans="1:10" x14ac:dyDescent="0.25">
      <c r="A9573" t="s">
        <v>85</v>
      </c>
      <c r="B9573" s="1" t="str">
        <f>HYPERLINK("http://bswiftparallelp.com","bswiftparallelp.com")</f>
        <v>bswiftparallelp.com</v>
      </c>
      <c r="C9573" t="s">
        <v>433</v>
      </c>
      <c r="J9573">
        <v>4</v>
      </c>
    </row>
    <row r="9574" spans="1:10" x14ac:dyDescent="0.25">
      <c r="A9574" t="s">
        <v>85</v>
      </c>
      <c r="B9574" s="1" t="str">
        <f>HYPERLINK("http://bswiftparallelq.com","bswiftparallelq.com")</f>
        <v>bswiftparallelq.com</v>
      </c>
      <c r="C9574" t="s">
        <v>433</v>
      </c>
      <c r="J9574">
        <v>4</v>
      </c>
    </row>
    <row r="9575" spans="1:10" x14ac:dyDescent="0.25">
      <c r="A9575" t="s">
        <v>85</v>
      </c>
      <c r="B9575" s="1" t="str">
        <f>HYPERLINK("http://bswiftperf.com","bswiftperf.com")</f>
        <v>bswiftperf.com</v>
      </c>
      <c r="C9575" t="s">
        <v>433</v>
      </c>
      <c r="J9575">
        <v>4</v>
      </c>
    </row>
    <row r="9576" spans="1:10" x14ac:dyDescent="0.25">
      <c r="A9576" t="s">
        <v>85</v>
      </c>
      <c r="B9576" s="1" t="str">
        <f>HYPERLINK("http://bswiftqa.com","bswiftqa.com")</f>
        <v>bswiftqa.com</v>
      </c>
      <c r="C9576" t="s">
        <v>433</v>
      </c>
      <c r="F9576">
        <v>4.44380927664477E-9</v>
      </c>
      <c r="G9576">
        <v>79779176</v>
      </c>
      <c r="H9576">
        <v>10352960</v>
      </c>
      <c r="I9576">
        <v>55926545</v>
      </c>
      <c r="J9576">
        <v>4</v>
      </c>
    </row>
    <row r="9577" spans="1:10" x14ac:dyDescent="0.25">
      <c r="A9577" t="s">
        <v>85</v>
      </c>
      <c r="B9577" s="1" t="str">
        <f>HYPERLINK("http://bswiftqa2.com","bswiftqa2.com")</f>
        <v>bswiftqa2.com</v>
      </c>
      <c r="C9577" t="s">
        <v>433</v>
      </c>
      <c r="J9577">
        <v>4</v>
      </c>
    </row>
    <row r="9578" spans="1:10" x14ac:dyDescent="0.25">
      <c r="A9578" t="s">
        <v>85</v>
      </c>
      <c r="B9578" s="1" t="str">
        <f>HYPERLINK("http://bswiftsandbox.com","bswiftsandbox.com")</f>
        <v>bswiftsandbox.com</v>
      </c>
      <c r="C9578" t="s">
        <v>433</v>
      </c>
      <c r="F9578">
        <v>6.1205165546104603E-9</v>
      </c>
      <c r="G9578">
        <v>15976925</v>
      </c>
      <c r="H9578">
        <v>10740785</v>
      </c>
      <c r="I9578">
        <v>40398957</v>
      </c>
      <c r="J9578">
        <v>4</v>
      </c>
    </row>
    <row r="9579" spans="1:10" x14ac:dyDescent="0.25">
      <c r="A9579" t="s">
        <v>85</v>
      </c>
      <c r="B9579" s="1" t="str">
        <f>HYPERLINK("http://bswiftsandbox2.com","bswiftsandbox2.com")</f>
        <v>bswiftsandbox2.com</v>
      </c>
      <c r="C9579" t="s">
        <v>433</v>
      </c>
      <c r="J9579">
        <v>4</v>
      </c>
    </row>
    <row r="9580" spans="1:10" x14ac:dyDescent="0.25">
      <c r="A9580" t="s">
        <v>85</v>
      </c>
      <c r="B9580" s="1" t="str">
        <f>HYPERLINK("http://bswiftuat.com","bswiftuat.com")</f>
        <v>bswiftuat.com</v>
      </c>
      <c r="C9580" t="s">
        <v>433</v>
      </c>
      <c r="J9580">
        <v>4</v>
      </c>
    </row>
    <row r="9581" spans="1:10" x14ac:dyDescent="0.25">
      <c r="A9581" t="s">
        <v>85</v>
      </c>
      <c r="B9581" s="1" t="str">
        <f>HYPERLINK("http://caremark.com","caremark.com")</f>
        <v>caremark.com</v>
      </c>
      <c r="C9581" t="s">
        <v>433</v>
      </c>
      <c r="E9581">
        <v>18400</v>
      </c>
      <c r="F9581">
        <v>9.68661734434583E-7</v>
      </c>
      <c r="G9581">
        <v>39492</v>
      </c>
      <c r="H9581">
        <v>17303110</v>
      </c>
      <c r="I9581">
        <v>27534</v>
      </c>
      <c r="J9581">
        <v>2</v>
      </c>
    </row>
    <row r="9582" spans="1:10" x14ac:dyDescent="0.25">
      <c r="A9582" t="s">
        <v>85</v>
      </c>
      <c r="B9582" s="1" t="str">
        <f>HYPERLINK("http://chchcusa.com","chchcusa.com")</f>
        <v>chchcusa.com</v>
      </c>
      <c r="C9582" t="s">
        <v>433</v>
      </c>
      <c r="F9582">
        <v>4.5295116430732199E-9</v>
      </c>
      <c r="G9582">
        <v>55114794</v>
      </c>
      <c r="H9582">
        <v>10493419</v>
      </c>
      <c r="I9582">
        <v>50560651</v>
      </c>
      <c r="J9582">
        <v>4</v>
      </c>
    </row>
    <row r="9583" spans="1:10" x14ac:dyDescent="0.25">
      <c r="A9583" t="s">
        <v>85</v>
      </c>
      <c r="B9583" s="1" t="str">
        <f>HYPERLINK("http://coramhc.com","coramhc.com")</f>
        <v>coramhc.com</v>
      </c>
      <c r="C9583" t="s">
        <v>433</v>
      </c>
      <c r="E9583">
        <v>595480</v>
      </c>
      <c r="F9583">
        <v>3.5457156799450998E-8</v>
      </c>
      <c r="G9583">
        <v>1467778</v>
      </c>
      <c r="H9583">
        <v>13823622</v>
      </c>
      <c r="I9583">
        <v>6132952</v>
      </c>
      <c r="J9583">
        <v>3</v>
      </c>
    </row>
    <row r="9584" spans="1:10" x14ac:dyDescent="0.25">
      <c r="A9584" t="s">
        <v>85</v>
      </c>
      <c r="B9584" s="1" t="str">
        <f>HYPERLINK("http://coventryhealthcare.com","coventryhealthcare.com")</f>
        <v>coventryhealthcare.com</v>
      </c>
      <c r="C9584" t="s">
        <v>433</v>
      </c>
      <c r="E9584">
        <v>352430</v>
      </c>
      <c r="F9584">
        <v>3.0040381666341901E-7</v>
      </c>
      <c r="G9584">
        <v>123807</v>
      </c>
      <c r="H9584">
        <v>14204465</v>
      </c>
      <c r="I9584">
        <v>1714130</v>
      </c>
      <c r="J9584">
        <v>4</v>
      </c>
    </row>
    <row r="9585" spans="1:10" x14ac:dyDescent="0.25">
      <c r="A9585" t="s">
        <v>85</v>
      </c>
      <c r="B9585" s="1" t="str">
        <f>HYPERLINK("http://cvs.com","cvs.com")</f>
        <v>cvs.com</v>
      </c>
      <c r="C9585" t="s">
        <v>433</v>
      </c>
      <c r="E9585">
        <v>2508</v>
      </c>
      <c r="F9585">
        <v>4.4160596989677903E-6</v>
      </c>
      <c r="G9585">
        <v>8006</v>
      </c>
      <c r="H9585">
        <v>17849130</v>
      </c>
      <c r="I9585">
        <v>4989</v>
      </c>
      <c r="J9585">
        <v>2</v>
      </c>
    </row>
    <row r="9586" spans="1:10" x14ac:dyDescent="0.25">
      <c r="A9586" t="s">
        <v>85</v>
      </c>
      <c r="B9586" s="1" t="str">
        <f>HYPERLINK("http://cvscaremark.com","cvscaremark.com")</f>
        <v>cvscaremark.com</v>
      </c>
      <c r="C9586" t="s">
        <v>433</v>
      </c>
      <c r="E9586">
        <v>9655</v>
      </c>
      <c r="F9586">
        <v>1.6079851750787101E-7</v>
      </c>
      <c r="G9586">
        <v>241409</v>
      </c>
      <c r="H9586">
        <v>14876168</v>
      </c>
      <c r="I9586">
        <v>475066</v>
      </c>
      <c r="J9586">
        <v>2</v>
      </c>
    </row>
    <row r="9587" spans="1:10" x14ac:dyDescent="0.25">
      <c r="A9587" t="s">
        <v>85</v>
      </c>
      <c r="B9587" s="1" t="str">
        <f>HYPERLINK("http://cvshealth.com","cvshealth.com")</f>
        <v>cvshealth.com</v>
      </c>
      <c r="C9587" t="s">
        <v>433</v>
      </c>
      <c r="E9587">
        <v>12136</v>
      </c>
      <c r="F9587">
        <v>2.5969353019175299E-6</v>
      </c>
      <c r="G9587">
        <v>14579</v>
      </c>
      <c r="H9587">
        <v>17618190</v>
      </c>
      <c r="I9587">
        <v>9163</v>
      </c>
      <c r="J9587">
        <v>1</v>
      </c>
    </row>
    <row r="9588" spans="1:10" x14ac:dyDescent="0.25">
      <c r="A9588" t="s">
        <v>85</v>
      </c>
      <c r="B9588" s="1" t="str">
        <f>HYPERLINK("http://cvspharmacy.com","cvspharmacy.com")</f>
        <v>cvspharmacy.com</v>
      </c>
      <c r="C9588" t="s">
        <v>433</v>
      </c>
      <c r="F9588">
        <v>5.0322556000991504E-9</v>
      </c>
      <c r="G9588">
        <v>28617153</v>
      </c>
      <c r="H9588">
        <v>12102958</v>
      </c>
      <c r="I9588">
        <v>25896799</v>
      </c>
      <c r="J9588">
        <v>4</v>
      </c>
    </row>
    <row r="9589" spans="1:10" x14ac:dyDescent="0.25">
      <c r="A9589" t="s">
        <v>85</v>
      </c>
      <c r="B9589" s="1" t="str">
        <f>HYPERLINK("http://cvsspecialty.com","cvsspecialty.com")</f>
        <v>cvsspecialty.com</v>
      </c>
      <c r="C9589" t="s">
        <v>433</v>
      </c>
      <c r="E9589">
        <v>131537</v>
      </c>
      <c r="F9589">
        <v>2.3515425978528801E-7</v>
      </c>
      <c r="G9589">
        <v>159374</v>
      </c>
      <c r="H9589">
        <v>16824136</v>
      </c>
      <c r="I9589">
        <v>184266</v>
      </c>
      <c r="J9589">
        <v>4</v>
      </c>
    </row>
    <row r="9590" spans="1:10" x14ac:dyDescent="0.25">
      <c r="A9590" t="s">
        <v>85</v>
      </c>
      <c r="B9590" s="1" t="str">
        <f>HYPERLINK("http://cvty.com","cvty.com")</f>
        <v>cvty.com</v>
      </c>
      <c r="C9590" t="s">
        <v>433</v>
      </c>
      <c r="E9590">
        <v>525964</v>
      </c>
      <c r="F9590">
        <v>2.9742310589118402E-8</v>
      </c>
      <c r="G9590">
        <v>1730364</v>
      </c>
      <c r="H9590">
        <v>13519542</v>
      </c>
      <c r="I9590">
        <v>9939034</v>
      </c>
      <c r="J9590">
        <v>4</v>
      </c>
    </row>
    <row r="9591" spans="1:10" x14ac:dyDescent="0.25">
      <c r="A9591" t="s">
        <v>85</v>
      </c>
      <c r="B9591" s="1" t="str">
        <f>HYPERLINK("http://firsthealth.com","firsthealth.com")</f>
        <v>firsthealth.com</v>
      </c>
      <c r="C9591" t="s">
        <v>433</v>
      </c>
      <c r="E9591">
        <v>252908</v>
      </c>
      <c r="F9591">
        <v>2.35112667054095E-7</v>
      </c>
      <c r="G9591">
        <v>159403</v>
      </c>
      <c r="H9591">
        <v>16876226</v>
      </c>
      <c r="I9591">
        <v>141461</v>
      </c>
      <c r="J9591">
        <v>4</v>
      </c>
    </row>
    <row r="9592" spans="1:10" x14ac:dyDescent="0.25">
      <c r="A9592" t="s">
        <v>85</v>
      </c>
      <c r="B9592" s="1" t="str">
        <f>HYPERLINK("http://hdms.com","hdms.com")</f>
        <v>hdms.com</v>
      </c>
      <c r="C9592" t="s">
        <v>433</v>
      </c>
      <c r="F9592">
        <v>1.61144633866061E-8</v>
      </c>
      <c r="G9592">
        <v>3516929</v>
      </c>
      <c r="H9592">
        <v>12901928</v>
      </c>
      <c r="I9592">
        <v>13851257</v>
      </c>
      <c r="J9592">
        <v>4</v>
      </c>
    </row>
    <row r="9593" spans="1:10" x14ac:dyDescent="0.25">
      <c r="A9593" t="s">
        <v>85</v>
      </c>
      <c r="B9593" s="1" t="str">
        <f>HYPERLINK("http://healthcare4ppl.com","healthcare4ppl.com")</f>
        <v>healthcare4ppl.com</v>
      </c>
      <c r="C9593" t="s">
        <v>433</v>
      </c>
      <c r="E9593">
        <v>59590</v>
      </c>
      <c r="F9593">
        <v>8.8660883464463398E-8</v>
      </c>
      <c r="G9593">
        <v>461463</v>
      </c>
      <c r="H9593">
        <v>14577189</v>
      </c>
      <c r="I9593">
        <v>718578</v>
      </c>
      <c r="J9593">
        <v>4</v>
      </c>
    </row>
    <row r="9594" spans="1:10" x14ac:dyDescent="0.25">
      <c r="A9594" t="s">
        <v>85</v>
      </c>
      <c r="B9594" s="1" t="str">
        <f>HYPERLINK("http://healthhub.com","healthhub.com")</f>
        <v>healthhub.com</v>
      </c>
      <c r="C9594" t="s">
        <v>433</v>
      </c>
      <c r="F9594">
        <v>1.5433694350451001E-8</v>
      </c>
      <c r="G9594">
        <v>3704097</v>
      </c>
      <c r="H9594">
        <v>13343026</v>
      </c>
      <c r="I9594">
        <v>10663054</v>
      </c>
      <c r="J9594">
        <v>4</v>
      </c>
    </row>
    <row r="9595" spans="1:10" x14ac:dyDescent="0.25">
      <c r="A9595" t="s">
        <v>85</v>
      </c>
      <c r="B9595" s="1" t="str">
        <f>HYPERLINK("http://illinicare.com","illinicare.com")</f>
        <v>illinicare.com</v>
      </c>
      <c r="C9595" t="s">
        <v>433</v>
      </c>
      <c r="F9595">
        <v>3.7493733434697397E-8</v>
      </c>
      <c r="G9595">
        <v>1380368</v>
      </c>
      <c r="H9595">
        <v>13460344</v>
      </c>
      <c r="I9595">
        <v>10166743</v>
      </c>
      <c r="J9595">
        <v>4</v>
      </c>
    </row>
    <row r="9596" spans="1:10" x14ac:dyDescent="0.25">
      <c r="A9596" t="s">
        <v>85</v>
      </c>
      <c r="B9596" s="1" t="str">
        <f>HYPERLINK("http://innovation-health.com","innovation-health.com")</f>
        <v>innovation-health.com</v>
      </c>
      <c r="C9596" t="s">
        <v>433</v>
      </c>
      <c r="F9596">
        <v>6.2711421041200404E-9</v>
      </c>
      <c r="G9596">
        <v>15169909</v>
      </c>
      <c r="H9596">
        <v>14121828</v>
      </c>
      <c r="I9596">
        <v>2236642</v>
      </c>
      <c r="J9596">
        <v>7</v>
      </c>
    </row>
    <row r="9597" spans="1:10" x14ac:dyDescent="0.25">
      <c r="A9597" t="s">
        <v>85</v>
      </c>
      <c r="B9597" s="1" t="str">
        <f>HYPERLINK("http://innovationhealth.com","innovationhealth.com")</f>
        <v>innovationhealth.com</v>
      </c>
      <c r="C9597" t="s">
        <v>433</v>
      </c>
      <c r="F9597">
        <v>3.8728835384826701E-8</v>
      </c>
      <c r="G9597">
        <v>1331199</v>
      </c>
      <c r="H9597">
        <v>13395936</v>
      </c>
      <c r="I9597">
        <v>10377608</v>
      </c>
      <c r="J9597">
        <v>4</v>
      </c>
    </row>
    <row r="9598" spans="1:10" x14ac:dyDescent="0.25">
      <c r="A9598" t="s">
        <v>85</v>
      </c>
      <c r="B9598" s="1" t="str">
        <f>HYPERLINK("http://innovationhealthmedicare.com","innovationhealthmedicare.com")</f>
        <v>innovationhealthmedicare.com</v>
      </c>
      <c r="C9598" t="s">
        <v>433</v>
      </c>
      <c r="F9598">
        <v>7.3760511695759703E-9</v>
      </c>
      <c r="G9598">
        <v>11299948</v>
      </c>
      <c r="H9598">
        <v>12151696</v>
      </c>
      <c r="I9598">
        <v>24580908</v>
      </c>
      <c r="J9598">
        <v>4</v>
      </c>
    </row>
    <row r="9599" spans="1:10" x14ac:dyDescent="0.25">
      <c r="A9599" t="s">
        <v>85</v>
      </c>
      <c r="B9599" s="1" t="str">
        <f>HYPERLINK("http://interglobalpmi.com","interglobalpmi.com")</f>
        <v>interglobalpmi.com</v>
      </c>
      <c r="C9599" t="s">
        <v>433</v>
      </c>
      <c r="F9599">
        <v>1.8477653096859399E-8</v>
      </c>
      <c r="G9599">
        <v>2929849</v>
      </c>
      <c r="H9599">
        <v>14121286</v>
      </c>
      <c r="I9599">
        <v>2263708</v>
      </c>
      <c r="J9599">
        <v>4</v>
      </c>
    </row>
    <row r="9600" spans="1:10" x14ac:dyDescent="0.25">
      <c r="A9600" t="s">
        <v>85</v>
      </c>
      <c r="B9600" s="1" t="str">
        <f>HYPERLINK("http://lettershopindia.com","lettershopindia.com")</f>
        <v>lettershopindia.com</v>
      </c>
      <c r="C9600" t="s">
        <v>433</v>
      </c>
      <c r="J9600">
        <v>5</v>
      </c>
    </row>
    <row r="9601" spans="1:10" x14ac:dyDescent="0.25">
      <c r="A9601" t="s">
        <v>85</v>
      </c>
      <c r="B9601" s="1" t="str">
        <f>HYPERLINK("http://mednecessity.com","mednecessity.com")</f>
        <v>mednecessity.com</v>
      </c>
      <c r="C9601" t="s">
        <v>433</v>
      </c>
      <c r="F9601">
        <v>4.97279184397959E-9</v>
      </c>
      <c r="G9601">
        <v>30175485</v>
      </c>
      <c r="H9601">
        <v>10439737</v>
      </c>
      <c r="I9601">
        <v>52458077</v>
      </c>
      <c r="J9601">
        <v>4</v>
      </c>
    </row>
    <row r="9602" spans="1:10" x14ac:dyDescent="0.25">
      <c r="A9602" t="s">
        <v>85</v>
      </c>
      <c r="B9602" s="1" t="str">
        <f>HYPERLINK("http://mercycareplan.com","mercycareplan.com")</f>
        <v>mercycareplan.com</v>
      </c>
      <c r="C9602" t="s">
        <v>433</v>
      </c>
      <c r="F9602">
        <v>2.9231760200137199E-8</v>
      </c>
      <c r="G9602">
        <v>1762065</v>
      </c>
      <c r="H9602">
        <v>14259157</v>
      </c>
      <c r="I9602">
        <v>1422870</v>
      </c>
      <c r="J9602">
        <v>4</v>
      </c>
    </row>
    <row r="9603" spans="1:10" x14ac:dyDescent="0.25">
      <c r="A9603" t="s">
        <v>85</v>
      </c>
      <c r="B9603" s="1" t="str">
        <f>HYPERLINK("http://meritain.com","meritain.com")</f>
        <v>meritain.com</v>
      </c>
      <c r="C9603" t="s">
        <v>433</v>
      </c>
      <c r="E9603">
        <v>178168</v>
      </c>
      <c r="F9603">
        <v>2.9494667055959599E-7</v>
      </c>
      <c r="G9603">
        <v>126149</v>
      </c>
      <c r="H9603">
        <v>13928550</v>
      </c>
      <c r="I9603">
        <v>5930028</v>
      </c>
      <c r="J9603">
        <v>4</v>
      </c>
    </row>
    <row r="9604" spans="1:10" x14ac:dyDescent="0.25">
      <c r="A9604" t="s">
        <v>85</v>
      </c>
      <c r="B9604" s="1" t="str">
        <f>HYPERLINK("http://minuteclinic.com","minuteclinic.com")</f>
        <v>minuteclinic.com</v>
      </c>
      <c r="C9604" t="s">
        <v>433</v>
      </c>
      <c r="E9604">
        <v>164413</v>
      </c>
      <c r="F9604">
        <v>1.8761476148014101E-7</v>
      </c>
      <c r="G9604">
        <v>205427</v>
      </c>
      <c r="H9604">
        <v>14849907</v>
      </c>
      <c r="I9604">
        <v>491101</v>
      </c>
      <c r="J9604">
        <v>3</v>
      </c>
    </row>
    <row r="9605" spans="1:10" x14ac:dyDescent="0.25">
      <c r="A9605" t="s">
        <v>85</v>
      </c>
      <c r="B9605" s="1" t="str">
        <f>HYPERLINK("http://mlolawyer.com","mlolawyer.com")</f>
        <v>mlolawyer.com</v>
      </c>
      <c r="C9605" t="s">
        <v>433</v>
      </c>
      <c r="F9605">
        <v>1.0965273557365901E-8</v>
      </c>
      <c r="G9605">
        <v>5888109</v>
      </c>
      <c r="H9605">
        <v>13277374</v>
      </c>
      <c r="I9605">
        <v>10923799</v>
      </c>
      <c r="J9605">
        <v>4</v>
      </c>
    </row>
    <row r="9606" spans="1:10" x14ac:dyDescent="0.25">
      <c r="A9606" t="s">
        <v>85</v>
      </c>
      <c r="B9606" s="1" t="str">
        <f>HYPERLINK("http://myactivehealthcoach.com","myactivehealthcoach.com")</f>
        <v>myactivehealthcoach.com</v>
      </c>
      <c r="C9606" t="s">
        <v>433</v>
      </c>
      <c r="J9606">
        <v>4</v>
      </c>
    </row>
    <row r="9607" spans="1:10" x14ac:dyDescent="0.25">
      <c r="A9607" t="s">
        <v>85</v>
      </c>
      <c r="B9607" s="1" t="str">
        <f>HYPERLINK("http://myaetnasupplemental.com","myaetnasupplemental.com")</f>
        <v>myaetnasupplemental.com</v>
      </c>
      <c r="C9607" t="s">
        <v>433</v>
      </c>
      <c r="E9607">
        <v>891068</v>
      </c>
      <c r="F9607">
        <v>3.3137267055636998E-8</v>
      </c>
      <c r="G9607">
        <v>1559170</v>
      </c>
      <c r="H9607">
        <v>12459850</v>
      </c>
      <c r="I9607">
        <v>17878674</v>
      </c>
      <c r="J9607">
        <v>4</v>
      </c>
    </row>
    <row r="9608" spans="1:10" x14ac:dyDescent="0.25">
      <c r="A9608" t="s">
        <v>85</v>
      </c>
      <c r="B9608" s="1" t="str">
        <f>HYPERLINK("http://mygenerationhealth.com","mygenerationhealth.com")</f>
        <v>mygenerationhealth.com</v>
      </c>
      <c r="C9608" t="s">
        <v>433</v>
      </c>
      <c r="F9608">
        <v>5.7008432772574902E-9</v>
      </c>
      <c r="G9608">
        <v>18953708</v>
      </c>
      <c r="H9608">
        <v>13774601</v>
      </c>
      <c r="I9608">
        <v>6601647</v>
      </c>
      <c r="J9608">
        <v>4</v>
      </c>
    </row>
    <row r="9609" spans="1:10" x14ac:dyDescent="0.25">
      <c r="A9609" t="s">
        <v>85</v>
      </c>
      <c r="B9609" s="1" t="str">
        <f>HYPERLINK("http://mylifevalues.com","mylifevalues.com")</f>
        <v>mylifevalues.com</v>
      </c>
      <c r="C9609" t="s">
        <v>433</v>
      </c>
      <c r="F9609">
        <v>1.10440099062941E-7</v>
      </c>
      <c r="G9609">
        <v>362121</v>
      </c>
      <c r="H9609">
        <v>13740470</v>
      </c>
      <c r="I9609">
        <v>9429837</v>
      </c>
      <c r="J9609">
        <v>4</v>
      </c>
    </row>
    <row r="9610" spans="1:10" x14ac:dyDescent="0.25">
      <c r="A9610" t="s">
        <v>85</v>
      </c>
      <c r="B9610" s="1" t="str">
        <f>HYPERLINK("http://myplanportal.com","myplanportal.com")</f>
        <v>myplanportal.com</v>
      </c>
      <c r="C9610" t="s">
        <v>433</v>
      </c>
      <c r="E9610">
        <v>190027</v>
      </c>
      <c r="F9610">
        <v>2.8139646410421899E-8</v>
      </c>
      <c r="G9610">
        <v>1828599</v>
      </c>
      <c r="H9610">
        <v>13236388</v>
      </c>
      <c r="I9610">
        <v>11240169</v>
      </c>
      <c r="J9610">
        <v>4</v>
      </c>
    </row>
    <row r="9611" spans="1:10" x14ac:dyDescent="0.25">
      <c r="A9611" t="s">
        <v>85</v>
      </c>
      <c r="B9611" s="1" t="str">
        <f>HYPERLINK("http://navarro.com","navarro.com")</f>
        <v>navarro.com</v>
      </c>
      <c r="C9611" t="s">
        <v>433</v>
      </c>
      <c r="F9611">
        <v>2.2981133576078902E-8</v>
      </c>
      <c r="G9611">
        <v>2273913</v>
      </c>
      <c r="H9611">
        <v>14366029</v>
      </c>
      <c r="I9611">
        <v>1301861</v>
      </c>
      <c r="J9611">
        <v>4</v>
      </c>
    </row>
    <row r="9612" spans="1:10" x14ac:dyDescent="0.25">
      <c r="A9612" t="s">
        <v>85</v>
      </c>
      <c r="B9612" s="1" t="str">
        <f>HYPERLINK("http://omnicare.com","omnicare.com")</f>
        <v>omnicare.com</v>
      </c>
      <c r="C9612" t="s">
        <v>433</v>
      </c>
      <c r="E9612">
        <v>252461</v>
      </c>
      <c r="F9612">
        <v>1.0491436116610699E-7</v>
      </c>
      <c r="G9612">
        <v>381961</v>
      </c>
      <c r="H9612">
        <v>13914492</v>
      </c>
      <c r="I9612">
        <v>5939020</v>
      </c>
      <c r="J9612">
        <v>2</v>
      </c>
    </row>
    <row r="9613" spans="1:10" x14ac:dyDescent="0.25">
      <c r="A9613" t="s">
        <v>85</v>
      </c>
      <c r="B9613" s="1" t="str">
        <f>HYPERLINK("http://payflex.com","payflex.com")</f>
        <v>payflex.com</v>
      </c>
      <c r="C9613" t="s">
        <v>433</v>
      </c>
      <c r="E9613">
        <v>92199</v>
      </c>
      <c r="F9613">
        <v>1.3396940121601201E-7</v>
      </c>
      <c r="G9613">
        <v>291450</v>
      </c>
      <c r="H9613">
        <v>13575308</v>
      </c>
      <c r="I9613">
        <v>9703539</v>
      </c>
      <c r="J9613">
        <v>4</v>
      </c>
    </row>
    <row r="9614" spans="1:10" x14ac:dyDescent="0.25">
      <c r="A9614" t="s">
        <v>85</v>
      </c>
      <c r="B9614" s="1" t="str">
        <f>HYPERLINK("http://payflexdirect.com","payflexdirect.com")</f>
        <v>payflexdirect.com</v>
      </c>
      <c r="C9614" t="s">
        <v>433</v>
      </c>
      <c r="F9614">
        <v>1.7884871848020002E-8</v>
      </c>
      <c r="G9614">
        <v>3056753</v>
      </c>
      <c r="H9614">
        <v>13291916</v>
      </c>
      <c r="I9614">
        <v>10870947</v>
      </c>
      <c r="J9614">
        <v>4</v>
      </c>
    </row>
    <row r="9615" spans="1:10" x14ac:dyDescent="0.25">
      <c r="A9615" t="s">
        <v>85</v>
      </c>
      <c r="B9615" s="1" t="str">
        <f>HYPERLINK("http://payflexusa.com","payflexusa.com")</f>
        <v>payflexusa.com</v>
      </c>
      <c r="C9615" t="s">
        <v>433</v>
      </c>
      <c r="F9615">
        <v>4.4445638666997097E-9</v>
      </c>
      <c r="G9615">
        <v>76576923</v>
      </c>
      <c r="H9615">
        <v>9428703</v>
      </c>
      <c r="I9615">
        <v>66842216</v>
      </c>
      <c r="J9615">
        <v>4</v>
      </c>
    </row>
    <row r="9616" spans="1:10" x14ac:dyDescent="0.25">
      <c r="A9616" t="s">
        <v>85</v>
      </c>
      <c r="B9616" s="1" t="str">
        <f>HYPERLINK("http://pcshs.com","pcshs.com")</f>
        <v>pcshs.com</v>
      </c>
      <c r="C9616" t="s">
        <v>433</v>
      </c>
      <c r="E9616">
        <v>54415</v>
      </c>
      <c r="F9616">
        <v>7.1351998580628701E-9</v>
      </c>
      <c r="G9616">
        <v>11917063</v>
      </c>
      <c r="H9616">
        <v>13196961</v>
      </c>
      <c r="I9616">
        <v>11571422</v>
      </c>
      <c r="J9616">
        <v>2</v>
      </c>
    </row>
    <row r="9617" spans="1:10" x14ac:dyDescent="0.25">
      <c r="A9617" t="s">
        <v>85</v>
      </c>
      <c r="B9617" s="1" t="str">
        <f>HYPERLINK("http://pdchs.com","pdchs.com")</f>
        <v>pdchs.com</v>
      </c>
      <c r="C9617" t="s">
        <v>433</v>
      </c>
      <c r="E9617">
        <v>492527</v>
      </c>
      <c r="F9617">
        <v>4.4438425958072798E-9</v>
      </c>
      <c r="G9617">
        <v>78699847</v>
      </c>
      <c r="H9617">
        <v>10535755</v>
      </c>
      <c r="I9617">
        <v>47603648</v>
      </c>
      <c r="J9617">
        <v>4</v>
      </c>
    </row>
    <row r="9618" spans="1:10" x14ac:dyDescent="0.25">
      <c r="A9618" t="s">
        <v>85</v>
      </c>
      <c r="B9618" s="1" t="str">
        <f>HYPERLINK("http://resourcesforliving.com","resourcesforliving.com")</f>
        <v>resourcesforliving.com</v>
      </c>
      <c r="C9618" t="s">
        <v>433</v>
      </c>
      <c r="E9618">
        <v>516374</v>
      </c>
      <c r="F9618">
        <v>2.50930848682688E-7</v>
      </c>
      <c r="G9618">
        <v>149055</v>
      </c>
      <c r="H9618">
        <v>13575207</v>
      </c>
      <c r="I9618">
        <v>9703853</v>
      </c>
      <c r="J9618">
        <v>4</v>
      </c>
    </row>
    <row r="9619" spans="1:10" x14ac:dyDescent="0.25">
      <c r="A9619" t="s">
        <v>85</v>
      </c>
      <c r="B9619" s="1" t="str">
        <f>HYPERLINK("http://rxhealthalerts.com","rxhealthalerts.com")</f>
        <v>rxhealthalerts.com</v>
      </c>
      <c r="C9619" t="s">
        <v>433</v>
      </c>
      <c r="E9619">
        <v>590113</v>
      </c>
      <c r="F9619">
        <v>4.4438479190959197E-9</v>
      </c>
      <c r="G9619">
        <v>78576965</v>
      </c>
      <c r="H9619">
        <v>10542119</v>
      </c>
      <c r="I9619">
        <v>47115581</v>
      </c>
      <c r="J9619">
        <v>2</v>
      </c>
    </row>
    <row r="9620" spans="1:10" x14ac:dyDescent="0.25">
      <c r="A9620" t="s">
        <v>85</v>
      </c>
      <c r="B9620" s="1" t="str">
        <f>HYPERLINK("http://silverscript.com","silverscript.com")</f>
        <v>silverscript.com</v>
      </c>
      <c r="C9620" t="s">
        <v>433</v>
      </c>
      <c r="E9620">
        <v>339118</v>
      </c>
      <c r="F9620">
        <v>1.12416595288064E-7</v>
      </c>
      <c r="G9620">
        <v>355273</v>
      </c>
      <c r="H9620">
        <v>14172476</v>
      </c>
      <c r="I9620">
        <v>1798761</v>
      </c>
      <c r="J9620">
        <v>4</v>
      </c>
    </row>
    <row r="9621" spans="1:10" x14ac:dyDescent="0.25">
      <c r="A9621" t="s">
        <v>85</v>
      </c>
      <c r="B9621" s="1" t="str">
        <f>HYPERLINK("http://southernhealth.com","southernhealth.com")</f>
        <v>southernhealth.com</v>
      </c>
      <c r="C9621" t="s">
        <v>433</v>
      </c>
      <c r="F9621">
        <v>5.0783261858150699E-9</v>
      </c>
      <c r="G9621">
        <v>27547677</v>
      </c>
      <c r="H9621">
        <v>10200873</v>
      </c>
      <c r="I9621">
        <v>59029244</v>
      </c>
      <c r="J9621">
        <v>4</v>
      </c>
    </row>
    <row r="9622" spans="1:10" x14ac:dyDescent="0.25">
      <c r="A9622" t="s">
        <v>85</v>
      </c>
      <c r="B9622" s="1" t="str">
        <f>HYPERLINK("http://sutterhealthaetna.com","sutterhealthaetna.com")</f>
        <v>sutterhealthaetna.com</v>
      </c>
      <c r="C9622" t="s">
        <v>433</v>
      </c>
      <c r="F9622">
        <v>1.9572350305169901E-8</v>
      </c>
      <c r="G9622">
        <v>2732509</v>
      </c>
      <c r="H9622">
        <v>13318588</v>
      </c>
      <c r="I9622">
        <v>10751902</v>
      </c>
      <c r="J9622">
        <v>4</v>
      </c>
    </row>
    <row r="9623" spans="1:10" x14ac:dyDescent="0.25">
      <c r="A9623" t="s">
        <v>85</v>
      </c>
      <c r="B9623" s="1" t="str">
        <f>HYPERLINK("http://texashealthaetna.com","texashealthaetna.com")</f>
        <v>texashealthaetna.com</v>
      </c>
      <c r="C9623" t="s">
        <v>433</v>
      </c>
      <c r="F9623">
        <v>2.0456827296004799E-8</v>
      </c>
      <c r="G9623">
        <v>2590744</v>
      </c>
      <c r="H9623">
        <v>12884343</v>
      </c>
      <c r="I9623">
        <v>13971742</v>
      </c>
      <c r="J9623">
        <v>4</v>
      </c>
    </row>
    <row r="9624" spans="1:10" x14ac:dyDescent="0.25">
      <c r="A9624" t="s">
        <v>85</v>
      </c>
      <c r="B9624" s="1" t="str">
        <f>HYPERLINK("http://vitalsavings.com","vitalsavings.com")</f>
        <v>vitalsavings.com</v>
      </c>
      <c r="C9624" t="s">
        <v>433</v>
      </c>
      <c r="F9624">
        <v>2.76241804247745E-8</v>
      </c>
      <c r="G9624">
        <v>1861221</v>
      </c>
      <c r="H9624">
        <v>12953306</v>
      </c>
      <c r="I9624">
        <v>13196358</v>
      </c>
      <c r="J9624">
        <v>4</v>
      </c>
    </row>
    <row r="9625" spans="1:10" x14ac:dyDescent="0.25">
      <c r="A9625" t="s">
        <v>85</v>
      </c>
      <c r="B9625" s="1" t="str">
        <f>HYPERLINK("http://ppom.info","ppom.info")</f>
        <v>ppom.info</v>
      </c>
      <c r="C9625" t="s">
        <v>458</v>
      </c>
      <c r="J9625">
        <v>4</v>
      </c>
    </row>
    <row r="9626" spans="1:10" x14ac:dyDescent="0.25">
      <c r="A9626" t="s">
        <v>85</v>
      </c>
      <c r="B9626" s="1" t="str">
        <f>HYPERLINK("http://vhealth.io","vhealth.io")</f>
        <v>vhealth.io</v>
      </c>
      <c r="C9626" t="s">
        <v>518</v>
      </c>
      <c r="F9626">
        <v>2.2450955690880699E-8</v>
      </c>
      <c r="G9626">
        <v>2334041</v>
      </c>
      <c r="H9626">
        <v>13220421</v>
      </c>
      <c r="I9626">
        <v>11334854</v>
      </c>
      <c r="J9626">
        <v>3</v>
      </c>
    </row>
    <row r="9627" spans="1:10" x14ac:dyDescent="0.25">
      <c r="A9627" t="s">
        <v>85</v>
      </c>
      <c r="B9627" s="1" t="str">
        <f>HYPERLINK("http://activeadviceview.net","activeadviceview.net")</f>
        <v>activeadviceview.net</v>
      </c>
      <c r="C9627" t="s">
        <v>474</v>
      </c>
      <c r="J9627">
        <v>4</v>
      </c>
    </row>
    <row r="9628" spans="1:10" x14ac:dyDescent="0.25">
      <c r="A9628" t="s">
        <v>85</v>
      </c>
      <c r="B9628" s="1" t="str">
        <f>HYPERLINK("http://activehealth.net","activehealth.net")</f>
        <v>activehealth.net</v>
      </c>
      <c r="C9628" t="s">
        <v>474</v>
      </c>
      <c r="F9628">
        <v>4.76710331370356E-9</v>
      </c>
      <c r="G9628">
        <v>37500234</v>
      </c>
      <c r="H9628">
        <v>13763870</v>
      </c>
      <c r="I9628">
        <v>7536291</v>
      </c>
      <c r="J9628">
        <v>4</v>
      </c>
    </row>
    <row r="9629" spans="1:10" x14ac:dyDescent="0.25">
      <c r="A9629" t="s">
        <v>85</v>
      </c>
      <c r="B9629" s="1" t="str">
        <f>HYPERLINK("http://activehealthhie.net","activehealthhie.net")</f>
        <v>activehealthhie.net</v>
      </c>
      <c r="C9629" t="s">
        <v>474</v>
      </c>
      <c r="J9629">
        <v>4</v>
      </c>
    </row>
    <row r="9630" spans="1:10" x14ac:dyDescent="0.25">
      <c r="A9630" t="s">
        <v>85</v>
      </c>
      <c r="B9630" s="1" t="str">
        <f>HYPERLINK("http://activehealthsftp.net","activehealthsftp.net")</f>
        <v>activehealthsftp.net</v>
      </c>
      <c r="C9630" t="s">
        <v>474</v>
      </c>
      <c r="J9630">
        <v>4</v>
      </c>
    </row>
    <row r="9631" spans="1:10" x14ac:dyDescent="0.25">
      <c r="A9631" t="s">
        <v>85</v>
      </c>
      <c r="B9631" s="1" t="str">
        <f>HYPERLINK("http://bswift.net","bswift.net")</f>
        <v>bswift.net</v>
      </c>
      <c r="C9631" t="s">
        <v>474</v>
      </c>
      <c r="J9631">
        <v>4</v>
      </c>
    </row>
    <row r="9632" spans="1:10" x14ac:dyDescent="0.25">
      <c r="A9632" t="s">
        <v>85</v>
      </c>
      <c r="B9632" s="1" t="str">
        <f>HYPERLINK("http://caremarkrx.net","caremarkrx.net")</f>
        <v>caremarkrx.net</v>
      </c>
      <c r="C9632" t="s">
        <v>474</v>
      </c>
      <c r="E9632">
        <v>53198</v>
      </c>
      <c r="F9632">
        <v>4.44380996400719E-9</v>
      </c>
      <c r="G9632">
        <v>79640022</v>
      </c>
      <c r="H9632">
        <v>10351910</v>
      </c>
      <c r="I9632">
        <v>56145964</v>
      </c>
      <c r="J9632">
        <v>2</v>
      </c>
    </row>
    <row r="9633" spans="1:10" x14ac:dyDescent="0.25">
      <c r="A9633" t="s">
        <v>85</v>
      </c>
      <c r="B9633" s="1" t="str">
        <f>HYPERLINK("http://pdchs.net","pdchs.net")</f>
        <v>pdchs.net</v>
      </c>
      <c r="C9633" t="s">
        <v>474</v>
      </c>
      <c r="J9633">
        <v>4</v>
      </c>
    </row>
    <row r="9634" spans="1:10" x14ac:dyDescent="0.25">
      <c r="A9634" t="s">
        <v>86</v>
      </c>
      <c r="B9634" s="1" t="str">
        <f>HYPERLINK("http://numeca.be","numeca.be")</f>
        <v>numeca.be</v>
      </c>
      <c r="C9634" t="s">
        <v>421</v>
      </c>
      <c r="D9634" t="s">
        <v>803</v>
      </c>
      <c r="F9634">
        <v>1.83006896047839E-8</v>
      </c>
      <c r="G9634">
        <v>2967282</v>
      </c>
      <c r="H9634">
        <v>12551526</v>
      </c>
      <c r="I9634">
        <v>16813974</v>
      </c>
      <c r="J9634">
        <v>6</v>
      </c>
    </row>
    <row r="9635" spans="1:10" x14ac:dyDescent="0.25">
      <c r="A9635" t="s">
        <v>86</v>
      </c>
      <c r="B9635" s="1" t="str">
        <f>HYPERLINK("http://awrcorp.com","awrcorp.com")</f>
        <v>awrcorp.com</v>
      </c>
      <c r="C9635" t="s">
        <v>433</v>
      </c>
      <c r="E9635">
        <v>559409</v>
      </c>
      <c r="F9635">
        <v>4.0570185231975002E-8</v>
      </c>
      <c r="G9635">
        <v>1276660</v>
      </c>
      <c r="H9635">
        <v>13823854</v>
      </c>
      <c r="I9635">
        <v>6131571</v>
      </c>
      <c r="J9635">
        <v>3</v>
      </c>
    </row>
    <row r="9636" spans="1:10" x14ac:dyDescent="0.25">
      <c r="A9636" t="s">
        <v>86</v>
      </c>
      <c r="B9636" s="1" t="str">
        <f>HYPERLINK("http://cadence.com","cadence.com")</f>
        <v>cadence.com</v>
      </c>
      <c r="C9636" t="s">
        <v>433</v>
      </c>
      <c r="E9636">
        <v>16351</v>
      </c>
      <c r="F9636">
        <v>1.3539461756784299E-6</v>
      </c>
      <c r="G9636">
        <v>28723</v>
      </c>
      <c r="H9636">
        <v>17438350</v>
      </c>
      <c r="I9636">
        <v>16780</v>
      </c>
      <c r="J9636">
        <v>1</v>
      </c>
    </row>
    <row r="9637" spans="1:10" x14ac:dyDescent="0.25">
      <c r="A9637" t="s">
        <v>86</v>
      </c>
      <c r="B9637" s="1" t="str">
        <f>HYPERLINK("http://denali.com","denali.com")</f>
        <v>denali.com</v>
      </c>
      <c r="C9637" t="s">
        <v>433</v>
      </c>
      <c r="F9637">
        <v>2.38165337110111E-8</v>
      </c>
      <c r="G9637">
        <v>2181574</v>
      </c>
      <c r="H9637">
        <v>14493913</v>
      </c>
      <c r="I9637">
        <v>884948</v>
      </c>
      <c r="J9637">
        <v>4</v>
      </c>
    </row>
    <row r="9638" spans="1:10" x14ac:dyDescent="0.25">
      <c r="A9638" t="s">
        <v>86</v>
      </c>
      <c r="B9638" s="1" t="str">
        <f>HYPERLINK("http://eyesopen.com","eyesopen.com")</f>
        <v>eyesopen.com</v>
      </c>
      <c r="C9638" t="s">
        <v>433</v>
      </c>
      <c r="E9638">
        <v>555159</v>
      </c>
      <c r="F9638">
        <v>2.26147293475786E-7</v>
      </c>
      <c r="G9638">
        <v>166560</v>
      </c>
      <c r="H9638">
        <v>15118390</v>
      </c>
      <c r="I9638">
        <v>403954</v>
      </c>
      <c r="J9638">
        <v>3</v>
      </c>
    </row>
    <row r="9639" spans="1:10" x14ac:dyDescent="0.25">
      <c r="A9639" t="s">
        <v>86</v>
      </c>
      <c r="B9639" s="1" t="str">
        <f>HYPERLINK("http://forteds.com","forteds.com")</f>
        <v>forteds.com</v>
      </c>
      <c r="C9639" t="s">
        <v>433</v>
      </c>
      <c r="F9639">
        <v>4.6989229334162897E-8</v>
      </c>
      <c r="G9639">
        <v>993349</v>
      </c>
      <c r="H9639">
        <v>16773419</v>
      </c>
      <c r="I9639">
        <v>221162</v>
      </c>
      <c r="J9639">
        <v>4</v>
      </c>
    </row>
    <row r="9640" spans="1:10" x14ac:dyDescent="0.25">
      <c r="A9640" t="s">
        <v>86</v>
      </c>
      <c r="B9640" s="1" t="str">
        <f>HYPERLINK("http://numeca.com","numeca.com")</f>
        <v>numeca.com</v>
      </c>
      <c r="C9640" t="s">
        <v>433</v>
      </c>
      <c r="F9640">
        <v>5.0275854049826203E-8</v>
      </c>
      <c r="G9640">
        <v>914820</v>
      </c>
      <c r="H9640">
        <v>13897826</v>
      </c>
      <c r="I9640">
        <v>5953389</v>
      </c>
      <c r="J9640">
        <v>5</v>
      </c>
    </row>
    <row r="9641" spans="1:10" x14ac:dyDescent="0.25">
      <c r="A9641" t="s">
        <v>86</v>
      </c>
      <c r="B9641" s="1" t="str">
        <f>HYPERLINK("http://pointwise.com","pointwise.com")</f>
        <v>pointwise.com</v>
      </c>
      <c r="C9641" t="s">
        <v>433</v>
      </c>
      <c r="F9641">
        <v>6.2800062112194205E-8</v>
      </c>
      <c r="G9641">
        <v>698319</v>
      </c>
      <c r="H9641">
        <v>14492441</v>
      </c>
      <c r="I9641">
        <v>894927</v>
      </c>
      <c r="J9641">
        <v>3</v>
      </c>
    </row>
    <row r="9642" spans="1:10" x14ac:dyDescent="0.25">
      <c r="A9642" t="s">
        <v>86</v>
      </c>
      <c r="B9642" s="1" t="str">
        <f>HYPERLINK("http://verifyter.com","verifyter.com")</f>
        <v>verifyter.com</v>
      </c>
      <c r="C9642" t="s">
        <v>433</v>
      </c>
      <c r="F9642">
        <v>1.14503168936667E-8</v>
      </c>
      <c r="G9642">
        <v>5539154</v>
      </c>
      <c r="H9642">
        <v>12534551</v>
      </c>
      <c r="I9642">
        <v>16991705</v>
      </c>
      <c r="J9642">
        <v>3</v>
      </c>
    </row>
    <row r="9643" spans="1:10" x14ac:dyDescent="0.25">
      <c r="A9643" t="s">
        <v>86</v>
      </c>
      <c r="B9643" s="1" t="str">
        <f>HYPERLINK("http://numeca.de","numeca.de")</f>
        <v>numeca.de</v>
      </c>
      <c r="C9643" t="s">
        <v>436</v>
      </c>
      <c r="D9643" t="s">
        <v>815</v>
      </c>
      <c r="F9643">
        <v>7.8377468784359498E-9</v>
      </c>
      <c r="G9643">
        <v>10239689</v>
      </c>
      <c r="H9643">
        <v>12470522</v>
      </c>
      <c r="I9643">
        <v>17742319</v>
      </c>
      <c r="J9643">
        <v>6</v>
      </c>
    </row>
    <row r="9644" spans="1:10" x14ac:dyDescent="0.25">
      <c r="A9644" t="s">
        <v>86</v>
      </c>
      <c r="B9644" s="1" t="str">
        <f>HYPERLINK("http://cadence.co.jp","cadence.co.jp")</f>
        <v>cadence.co.jp</v>
      </c>
      <c r="C9644" t="s">
        <v>461</v>
      </c>
      <c r="D9644" t="s">
        <v>837</v>
      </c>
      <c r="F9644">
        <v>1.2214421870909901E-8</v>
      </c>
      <c r="G9644">
        <v>5042317</v>
      </c>
      <c r="H9644">
        <v>13474410</v>
      </c>
      <c r="I9644">
        <v>10024335</v>
      </c>
      <c r="J9644">
        <v>2</v>
      </c>
    </row>
    <row r="9645" spans="1:10" x14ac:dyDescent="0.25">
      <c r="A9645" t="s">
        <v>86</v>
      </c>
      <c r="B9645" s="1" t="str">
        <f>HYPERLINK("http://numeca.co.jp","numeca.co.jp")</f>
        <v>numeca.co.jp</v>
      </c>
      <c r="C9645" t="s">
        <v>461</v>
      </c>
      <c r="D9645" t="s">
        <v>837</v>
      </c>
      <c r="F9645">
        <v>4.9222316376402999E-9</v>
      </c>
      <c r="G9645">
        <v>31616716</v>
      </c>
      <c r="H9645">
        <v>10680719</v>
      </c>
      <c r="I9645">
        <v>42738130</v>
      </c>
      <c r="J9645">
        <v>6</v>
      </c>
    </row>
    <row r="9646" spans="1:10" x14ac:dyDescent="0.25">
      <c r="A9646" t="s">
        <v>87</v>
      </c>
      <c r="B9646" s="1" t="str">
        <f>HYPERLINK("http://cibc.ca","cibc.ca")</f>
        <v>cibc.ca</v>
      </c>
      <c r="C9646" t="s">
        <v>428</v>
      </c>
      <c r="D9646" t="s">
        <v>809</v>
      </c>
      <c r="E9646">
        <v>773641</v>
      </c>
      <c r="F9646">
        <v>3.9570550400002402E-8</v>
      </c>
      <c r="G9646">
        <v>1304822</v>
      </c>
      <c r="H9646">
        <v>14007654</v>
      </c>
      <c r="I9646">
        <v>4003868</v>
      </c>
      <c r="J9646">
        <v>2</v>
      </c>
    </row>
    <row r="9647" spans="1:10" x14ac:dyDescent="0.25">
      <c r="A9647" t="s">
        <v>87</v>
      </c>
      <c r="B9647" s="1" t="str">
        <f>HYPERLINK("http://hlcmortgages.ca","hlcmortgages.ca")</f>
        <v>hlcmortgages.ca</v>
      </c>
      <c r="C9647" t="s">
        <v>428</v>
      </c>
      <c r="D9647" t="s">
        <v>809</v>
      </c>
      <c r="J9647">
        <v>2</v>
      </c>
    </row>
    <row r="9648" spans="1:10" x14ac:dyDescent="0.25">
      <c r="A9648" t="s">
        <v>87</v>
      </c>
      <c r="B9648" s="1" t="str">
        <f>HYPERLINK("http://atlantictrust.com","atlantictrust.com")</f>
        <v>atlantictrust.com</v>
      </c>
      <c r="C9648" t="s">
        <v>433</v>
      </c>
      <c r="F9648">
        <v>1.2145265079665501E-8</v>
      </c>
      <c r="G9648">
        <v>5082370</v>
      </c>
      <c r="H9648">
        <v>13525036</v>
      </c>
      <c r="I9648">
        <v>9932970</v>
      </c>
      <c r="J9648">
        <v>2</v>
      </c>
    </row>
    <row r="9649" spans="1:10" x14ac:dyDescent="0.25">
      <c r="A9649" t="s">
        <v>87</v>
      </c>
      <c r="B9649" s="1" t="str">
        <f>HYPERLINK("http://cibc.com","cibc.com")</f>
        <v>cibc.com</v>
      </c>
      <c r="C9649" t="s">
        <v>433</v>
      </c>
      <c r="E9649">
        <v>5577</v>
      </c>
      <c r="F9649">
        <v>1.8175347988772301E-6</v>
      </c>
      <c r="G9649">
        <v>20930</v>
      </c>
      <c r="H9649">
        <v>17599378</v>
      </c>
      <c r="I9649">
        <v>9679</v>
      </c>
      <c r="J9649">
        <v>1</v>
      </c>
    </row>
    <row r="9650" spans="1:10" x14ac:dyDescent="0.25">
      <c r="A9650" t="s">
        <v>87</v>
      </c>
      <c r="B9650" s="1" t="str">
        <f>HYPERLINK("http://cibcatlantictrust.com","cibcatlantictrust.com")</f>
        <v>cibcatlantictrust.com</v>
      </c>
      <c r="C9650" t="s">
        <v>433</v>
      </c>
      <c r="F9650">
        <v>7.2558783791861099E-9</v>
      </c>
      <c r="G9650">
        <v>11590839</v>
      </c>
      <c r="H9650">
        <v>12336404</v>
      </c>
      <c r="I9650">
        <v>20078911</v>
      </c>
      <c r="J9650">
        <v>2</v>
      </c>
    </row>
    <row r="9651" spans="1:10" x14ac:dyDescent="0.25">
      <c r="A9651" t="s">
        <v>87</v>
      </c>
      <c r="B9651" s="1" t="str">
        <f>HYPERLINK("http://cibccards.com","cibccards.com")</f>
        <v>cibccards.com</v>
      </c>
      <c r="C9651" t="s">
        <v>433</v>
      </c>
      <c r="F9651">
        <v>4.4545885358210403E-9</v>
      </c>
      <c r="G9651">
        <v>69683149</v>
      </c>
      <c r="H9651">
        <v>10913408</v>
      </c>
      <c r="I9651">
        <v>35548581</v>
      </c>
      <c r="J9651">
        <v>2</v>
      </c>
    </row>
    <row r="9652" spans="1:10" x14ac:dyDescent="0.25">
      <c r="A9652" t="s">
        <v>87</v>
      </c>
      <c r="B9652" s="1" t="str">
        <f>HYPERLINK("http://cibccm.com","cibccm.com")</f>
        <v>cibccm.com</v>
      </c>
      <c r="C9652" t="s">
        <v>433</v>
      </c>
      <c r="E9652">
        <v>504583</v>
      </c>
      <c r="F9652">
        <v>1.90160015662501E-7</v>
      </c>
      <c r="G9652">
        <v>202619</v>
      </c>
      <c r="H9652">
        <v>14682074</v>
      </c>
      <c r="I9652">
        <v>607637</v>
      </c>
      <c r="J9652">
        <v>3</v>
      </c>
    </row>
    <row r="9653" spans="1:10" x14ac:dyDescent="0.25">
      <c r="A9653" t="s">
        <v>87</v>
      </c>
      <c r="B9653" s="1" t="str">
        <f>HYPERLINK("http://cibcfcib.com","cibcfcib.com")</f>
        <v>cibcfcib.com</v>
      </c>
      <c r="C9653" t="s">
        <v>433</v>
      </c>
      <c r="E9653">
        <v>125484</v>
      </c>
      <c r="F9653">
        <v>7.5923782327508798E-8</v>
      </c>
      <c r="G9653">
        <v>553308</v>
      </c>
      <c r="H9653">
        <v>13587089</v>
      </c>
      <c r="I9653">
        <v>9674504</v>
      </c>
      <c r="J9653">
        <v>2</v>
      </c>
    </row>
    <row r="9654" spans="1:10" x14ac:dyDescent="0.25">
      <c r="A9654" t="s">
        <v>87</v>
      </c>
      <c r="B9654" s="1" t="str">
        <f>HYPERLINK("http://cibcinc.com","cibcinc.com")</f>
        <v>cibcinc.com</v>
      </c>
      <c r="C9654" t="s">
        <v>433</v>
      </c>
      <c r="F9654">
        <v>4.4672279699293E-9</v>
      </c>
      <c r="G9654">
        <v>65365462</v>
      </c>
      <c r="H9654">
        <v>10251223</v>
      </c>
      <c r="I9654">
        <v>58662311</v>
      </c>
      <c r="J9654">
        <v>4</v>
      </c>
    </row>
    <row r="9655" spans="1:10" x14ac:dyDescent="0.25">
      <c r="A9655" t="s">
        <v>87</v>
      </c>
      <c r="B9655" s="1" t="str">
        <f>HYPERLINK("http://cibcmellon.com","cibcmellon.com")</f>
        <v>cibcmellon.com</v>
      </c>
      <c r="C9655" t="s">
        <v>433</v>
      </c>
      <c r="E9655">
        <v>736872</v>
      </c>
      <c r="F9655">
        <v>4.7961513773744801E-8</v>
      </c>
      <c r="G9655">
        <v>969838</v>
      </c>
      <c r="H9655">
        <v>13844820</v>
      </c>
      <c r="I9655">
        <v>6063161</v>
      </c>
      <c r="J9655">
        <v>2</v>
      </c>
    </row>
    <row r="9656" spans="1:10" x14ac:dyDescent="0.25">
      <c r="A9656" t="s">
        <v>87</v>
      </c>
      <c r="B9656" s="1" t="str">
        <f>HYPERLINK("http://cibcmortgages.com","cibcmortgages.com")</f>
        <v>cibcmortgages.com</v>
      </c>
      <c r="C9656" t="s">
        <v>433</v>
      </c>
      <c r="F9656">
        <v>4.4439140361994699E-9</v>
      </c>
      <c r="G9656">
        <v>77901026</v>
      </c>
      <c r="H9656">
        <v>10059403</v>
      </c>
      <c r="I9656">
        <v>60266446</v>
      </c>
      <c r="J9656">
        <v>2</v>
      </c>
    </row>
    <row r="9657" spans="1:10" x14ac:dyDescent="0.25">
      <c r="A9657" t="s">
        <v>87</v>
      </c>
      <c r="B9657" s="1" t="str">
        <f>HYPERLINK("http://cibcrewards.com","cibcrewards.com")</f>
        <v>cibcrewards.com</v>
      </c>
      <c r="C9657" t="s">
        <v>433</v>
      </c>
      <c r="E9657">
        <v>714207</v>
      </c>
      <c r="F9657">
        <v>2.0103942851397699E-8</v>
      </c>
      <c r="G9657">
        <v>2643310</v>
      </c>
      <c r="H9657">
        <v>13329519</v>
      </c>
      <c r="I9657">
        <v>10722508</v>
      </c>
      <c r="J9657">
        <v>2</v>
      </c>
    </row>
    <row r="9658" spans="1:10" x14ac:dyDescent="0.25">
      <c r="A9658" t="s">
        <v>87</v>
      </c>
      <c r="B9658" s="1" t="str">
        <f>HYPERLINK("http://cibcwm.com","cibcwm.com")</f>
        <v>cibcwm.com</v>
      </c>
      <c r="C9658" t="s">
        <v>433</v>
      </c>
      <c r="E9658">
        <v>184350</v>
      </c>
      <c r="F9658">
        <v>8.9075047639139093E-8</v>
      </c>
      <c r="G9658">
        <v>458908</v>
      </c>
      <c r="H9658">
        <v>14632254</v>
      </c>
      <c r="I9658">
        <v>643786</v>
      </c>
      <c r="J9658">
        <v>2</v>
      </c>
    </row>
    <row r="9659" spans="1:10" x14ac:dyDescent="0.25">
      <c r="A9659" t="s">
        <v>87</v>
      </c>
      <c r="B9659" s="1" t="str">
        <f>HYPERLINK("http://cibcwoodgundy.com","cibcwoodgundy.com")</f>
        <v>cibcwoodgundy.com</v>
      </c>
      <c r="C9659" t="s">
        <v>433</v>
      </c>
      <c r="F9659">
        <v>4.7477832561629399E-9</v>
      </c>
      <c r="G9659">
        <v>38427831</v>
      </c>
      <c r="H9659">
        <v>12416202</v>
      </c>
      <c r="I9659">
        <v>18525192</v>
      </c>
      <c r="J9659">
        <v>2</v>
      </c>
    </row>
    <row r="9660" spans="1:10" x14ac:dyDescent="0.25">
      <c r="A9660" t="s">
        <v>87</v>
      </c>
      <c r="B9660" s="1" t="str">
        <f>HYPERLINK("http://firstcaribbeanbank.com","firstcaribbeanbank.com")</f>
        <v>firstcaribbeanbank.com</v>
      </c>
      <c r="C9660" t="s">
        <v>433</v>
      </c>
      <c r="E9660">
        <v>292810</v>
      </c>
      <c r="F9660">
        <v>2.8235551192808599E-8</v>
      </c>
      <c r="G9660">
        <v>1822749</v>
      </c>
      <c r="H9660">
        <v>13299066</v>
      </c>
      <c r="I9660">
        <v>10835953</v>
      </c>
      <c r="J9660">
        <v>2</v>
      </c>
    </row>
    <row r="9661" spans="1:10" x14ac:dyDescent="0.25">
      <c r="A9661" t="s">
        <v>87</v>
      </c>
      <c r="B9661" s="1" t="str">
        <f>HYPERLINK("http://firstline.com","firstline.com")</f>
        <v>firstline.com</v>
      </c>
      <c r="C9661" t="s">
        <v>433</v>
      </c>
      <c r="F9661">
        <v>6.9786367516100798E-9</v>
      </c>
      <c r="G9661">
        <v>12375684</v>
      </c>
      <c r="H9661">
        <v>13763953</v>
      </c>
      <c r="I9661">
        <v>7471269</v>
      </c>
      <c r="J9661">
        <v>2</v>
      </c>
    </row>
    <row r="9662" spans="1:10" x14ac:dyDescent="0.25">
      <c r="A9662" t="s">
        <v>87</v>
      </c>
      <c r="B9662" s="1" t="str">
        <f>HYPERLINK("http://intria.com","intria.com")</f>
        <v>intria.com</v>
      </c>
      <c r="C9662" t="s">
        <v>433</v>
      </c>
      <c r="F9662">
        <v>4.44381528729672E-9</v>
      </c>
      <c r="G9662">
        <v>79370194</v>
      </c>
      <c r="H9662">
        <v>10358497</v>
      </c>
      <c r="I9662">
        <v>55362575</v>
      </c>
      <c r="J9662">
        <v>2</v>
      </c>
    </row>
    <row r="9663" spans="1:10" x14ac:dyDescent="0.25">
      <c r="A9663" t="s">
        <v>87</v>
      </c>
      <c r="B9663" s="1" t="str">
        <f>HYPERLINK("http://intriaitemsinc.com","intriaitemsinc.com")</f>
        <v>intriaitemsinc.com</v>
      </c>
      <c r="C9663" t="s">
        <v>433</v>
      </c>
      <c r="F9663">
        <v>4.5303571566742503E-9</v>
      </c>
      <c r="G9663">
        <v>55017444</v>
      </c>
      <c r="H9663">
        <v>12321769</v>
      </c>
      <c r="I9663">
        <v>20379366</v>
      </c>
      <c r="J9663">
        <v>3</v>
      </c>
    </row>
    <row r="9664" spans="1:10" x14ac:dyDescent="0.25">
      <c r="A9664" t="s">
        <v>87</v>
      </c>
      <c r="B9664" s="1" t="str">
        <f>HYPERLINK("http://nowicanlivechallenge.com","nowicanlivechallenge.com")</f>
        <v>nowicanlivechallenge.com</v>
      </c>
      <c r="C9664" t="s">
        <v>433</v>
      </c>
      <c r="F9664">
        <v>4.9406676959345704E-9</v>
      </c>
      <c r="G9664">
        <v>31067787</v>
      </c>
      <c r="H9664">
        <v>9498340</v>
      </c>
      <c r="I9664">
        <v>65755002</v>
      </c>
      <c r="J9664">
        <v>2</v>
      </c>
    </row>
    <row r="9665" spans="1:10" x14ac:dyDescent="0.25">
      <c r="A9665" t="s">
        <v>87</v>
      </c>
      <c r="B9665" s="1" t="str">
        <f>HYPERLINK("http://psecd.com","psecd.com")</f>
        <v>psecd.com</v>
      </c>
      <c r="C9665" t="s">
        <v>433</v>
      </c>
      <c r="J9665">
        <v>2</v>
      </c>
    </row>
    <row r="9666" spans="1:10" x14ac:dyDescent="0.25">
      <c r="A9666" t="s">
        <v>87</v>
      </c>
      <c r="B9666" s="1" t="str">
        <f>HYPERLINK("http://simplii.com","simplii.com")</f>
        <v>simplii.com</v>
      </c>
      <c r="C9666" t="s">
        <v>433</v>
      </c>
      <c r="E9666">
        <v>53332</v>
      </c>
      <c r="F9666">
        <v>1.41368840751279E-7</v>
      </c>
      <c r="G9666">
        <v>275473</v>
      </c>
      <c r="H9666">
        <v>14480418</v>
      </c>
      <c r="I9666">
        <v>1026131</v>
      </c>
      <c r="J9666">
        <v>2</v>
      </c>
    </row>
    <row r="9667" spans="1:10" x14ac:dyDescent="0.25">
      <c r="A9667" t="s">
        <v>87</v>
      </c>
      <c r="B9667" s="1" t="str">
        <f>HYPERLINK("http://woodgundy.com","woodgundy.com")</f>
        <v>woodgundy.com</v>
      </c>
      <c r="C9667" t="s">
        <v>433</v>
      </c>
      <c r="F9667">
        <v>1.5387916372098399E-8</v>
      </c>
      <c r="G9667">
        <v>3719218</v>
      </c>
      <c r="H9667">
        <v>14151328</v>
      </c>
      <c r="I9667">
        <v>1873708</v>
      </c>
      <c r="J9667">
        <v>2</v>
      </c>
    </row>
    <row r="9668" spans="1:10" x14ac:dyDescent="0.25">
      <c r="A9668" t="s">
        <v>87</v>
      </c>
      <c r="B9668" s="1" t="str">
        <f>HYPERLINK("http://cibc.com.hk","cibc.com.hk")</f>
        <v>cibc.com.hk</v>
      </c>
      <c r="C9668" t="s">
        <v>450</v>
      </c>
      <c r="D9668" t="s">
        <v>827</v>
      </c>
      <c r="J9668">
        <v>2</v>
      </c>
    </row>
    <row r="9669" spans="1:10" x14ac:dyDescent="0.25">
      <c r="A9669" t="s">
        <v>87</v>
      </c>
      <c r="B9669" s="1" t="str">
        <f>HYPERLINK("http://cibc.mobi","cibc.mobi")</f>
        <v>cibc.mobi</v>
      </c>
      <c r="C9669" t="s">
        <v>532</v>
      </c>
      <c r="E9669">
        <v>705237</v>
      </c>
      <c r="F9669">
        <v>6.6563472105339499E-9</v>
      </c>
      <c r="G9669">
        <v>13462011</v>
      </c>
      <c r="H9669">
        <v>12336454</v>
      </c>
      <c r="I9669">
        <v>20078157</v>
      </c>
      <c r="J9669">
        <v>2</v>
      </c>
    </row>
    <row r="9670" spans="1:10" x14ac:dyDescent="0.25">
      <c r="A9670" t="s">
        <v>87</v>
      </c>
      <c r="B9670" s="1" t="str">
        <f>HYPERLINK("http://cibc.com.sg","cibc.com.sg")</f>
        <v>cibc.com.sg</v>
      </c>
      <c r="C9670" t="s">
        <v>496</v>
      </c>
      <c r="D9670" t="s">
        <v>870</v>
      </c>
      <c r="J9670">
        <v>2</v>
      </c>
    </row>
    <row r="9671" spans="1:10" x14ac:dyDescent="0.25">
      <c r="A9671" t="s">
        <v>87</v>
      </c>
      <c r="B9671" s="1" t="str">
        <f>HYPERLINK("http://cibc.co.uk","cibc.co.uk")</f>
        <v>cibc.co.uk</v>
      </c>
      <c r="C9671" t="s">
        <v>506</v>
      </c>
      <c r="D9671" t="s">
        <v>880</v>
      </c>
      <c r="F9671">
        <v>4.5139427940101998E-9</v>
      </c>
      <c r="G9671">
        <v>56982097</v>
      </c>
      <c r="H9671">
        <v>12113691</v>
      </c>
      <c r="I9671">
        <v>25636082</v>
      </c>
      <c r="J9671">
        <v>2</v>
      </c>
    </row>
    <row r="9672" spans="1:10" x14ac:dyDescent="0.25">
      <c r="A9672" t="s">
        <v>88</v>
      </c>
      <c r="B9672" s="1" t="str">
        <f>HYPERLINK("http://cn.ca","cn.ca")</f>
        <v>cn.ca</v>
      </c>
      <c r="C9672" t="s">
        <v>428</v>
      </c>
      <c r="D9672" t="s">
        <v>809</v>
      </c>
      <c r="E9672">
        <v>36644</v>
      </c>
      <c r="F9672">
        <v>5.7941592663803305E-7</v>
      </c>
      <c r="G9672">
        <v>65934</v>
      </c>
      <c r="H9672">
        <v>15048915</v>
      </c>
      <c r="I9672">
        <v>414857</v>
      </c>
      <c r="J9672">
        <v>1</v>
      </c>
    </row>
    <row r="9673" spans="1:10" x14ac:dyDescent="0.25">
      <c r="A9673" t="s">
        <v>89</v>
      </c>
      <c r="B9673" s="1" t="str">
        <f>HYPERLINK("http://cnrl.com","cnrl.com")</f>
        <v>cnrl.com</v>
      </c>
      <c r="C9673" t="s">
        <v>433</v>
      </c>
      <c r="E9673">
        <v>25422</v>
      </c>
      <c r="F9673">
        <v>2.5754321079550101E-7</v>
      </c>
      <c r="G9673">
        <v>145239</v>
      </c>
      <c r="H9673">
        <v>14336257</v>
      </c>
      <c r="I9673">
        <v>1319355</v>
      </c>
      <c r="J9673">
        <v>1</v>
      </c>
    </row>
    <row r="9674" spans="1:10" x14ac:dyDescent="0.25">
      <c r="A9674" t="s">
        <v>89</v>
      </c>
      <c r="B9674" s="1" t="str">
        <f>HYPERLINK("http://cnrinternational.co.uk","cnrinternational.co.uk")</f>
        <v>cnrinternational.co.uk</v>
      </c>
      <c r="C9674" t="s">
        <v>506</v>
      </c>
      <c r="D9674" t="s">
        <v>880</v>
      </c>
      <c r="J9674">
        <v>5</v>
      </c>
    </row>
    <row r="9675" spans="1:10" x14ac:dyDescent="0.25">
      <c r="A9675" t="s">
        <v>90</v>
      </c>
      <c r="B9675" s="1" t="str">
        <f>HYPERLINK("http://cpr.ca","cpr.ca")</f>
        <v>cpr.ca</v>
      </c>
      <c r="C9675" t="s">
        <v>428</v>
      </c>
      <c r="D9675" t="s">
        <v>809</v>
      </c>
      <c r="E9675">
        <v>48690</v>
      </c>
      <c r="F9675">
        <v>5.7522029013109003E-7</v>
      </c>
      <c r="G9675">
        <v>66391</v>
      </c>
      <c r="H9675">
        <v>15212592</v>
      </c>
      <c r="I9675">
        <v>394249</v>
      </c>
      <c r="J9675">
        <v>1</v>
      </c>
    </row>
    <row r="9676" spans="1:10" x14ac:dyDescent="0.25">
      <c r="A9676" t="s">
        <v>90</v>
      </c>
      <c r="B9676" s="1" t="str">
        <f>HYPERLINK("http://cmqrailway.com","cmqrailway.com")</f>
        <v>cmqrailway.com</v>
      </c>
      <c r="C9676" t="s">
        <v>433</v>
      </c>
      <c r="F9676">
        <v>1.48509803360187E-8</v>
      </c>
      <c r="G9676">
        <v>3889144</v>
      </c>
      <c r="H9676">
        <v>14258581</v>
      </c>
      <c r="I9676">
        <v>1424717</v>
      </c>
      <c r="J9676">
        <v>4</v>
      </c>
    </row>
    <row r="9677" spans="1:10" x14ac:dyDescent="0.25">
      <c r="A9677" t="s">
        <v>90</v>
      </c>
      <c r="B9677" s="1" t="str">
        <f>HYPERLINK("http://cpkcr.com","cpkcr.com")</f>
        <v>cpkcr.com</v>
      </c>
      <c r="C9677" t="s">
        <v>433</v>
      </c>
      <c r="J9677">
        <v>5</v>
      </c>
    </row>
    <row r="9678" spans="1:10" x14ac:dyDescent="0.25">
      <c r="A9678" t="s">
        <v>90</v>
      </c>
      <c r="B9678" s="1" t="str">
        <f>HYPERLINK("http://kcsouthern.com","kcsouthern.com")</f>
        <v>kcsouthern.com</v>
      </c>
      <c r="C9678" t="s">
        <v>433</v>
      </c>
      <c r="E9678">
        <v>169968</v>
      </c>
      <c r="F9678">
        <v>1.92146488801806E-7</v>
      </c>
      <c r="G9678">
        <v>200594</v>
      </c>
      <c r="H9678">
        <v>14626935</v>
      </c>
      <c r="I9678">
        <v>649266</v>
      </c>
      <c r="J9678">
        <v>3</v>
      </c>
    </row>
    <row r="9679" spans="1:10" x14ac:dyDescent="0.25">
      <c r="A9679" t="s">
        <v>91</v>
      </c>
      <c r="B9679" s="1" t="str">
        <f>HYPERLINK("http://capitalone.ca","capitalone.ca")</f>
        <v>capitalone.ca</v>
      </c>
      <c r="C9679" t="s">
        <v>428</v>
      </c>
      <c r="D9679" t="s">
        <v>809</v>
      </c>
      <c r="E9679">
        <v>83434</v>
      </c>
      <c r="F9679">
        <v>1.01130875510706E-7</v>
      </c>
      <c r="G9679">
        <v>397573</v>
      </c>
      <c r="H9679">
        <v>14946390</v>
      </c>
      <c r="I9679">
        <v>441682</v>
      </c>
      <c r="J9679">
        <v>2</v>
      </c>
    </row>
    <row r="9680" spans="1:10" x14ac:dyDescent="0.25">
      <c r="A9680" t="s">
        <v>91</v>
      </c>
      <c r="B9680" s="1" t="str">
        <f>HYPERLINK("http://3525eastham.com","3525eastham.com")</f>
        <v>3525eastham.com</v>
      </c>
      <c r="C9680" t="s">
        <v>433</v>
      </c>
      <c r="F9680">
        <v>4.7128178432939603E-9</v>
      </c>
      <c r="G9680">
        <v>40609836</v>
      </c>
      <c r="H9680">
        <v>9671251</v>
      </c>
      <c r="I9680">
        <v>63721739</v>
      </c>
      <c r="J9680">
        <v>3</v>
      </c>
    </row>
    <row r="9681" spans="1:10" x14ac:dyDescent="0.25">
      <c r="A9681" t="s">
        <v>91</v>
      </c>
      <c r="B9681" s="1" t="str">
        <f>HYPERLINK("http://arsharmonica.com","arsharmonica.com")</f>
        <v>arsharmonica.com</v>
      </c>
      <c r="C9681" t="s">
        <v>433</v>
      </c>
      <c r="F9681">
        <v>4.48557539687075E-9</v>
      </c>
      <c r="G9681">
        <v>61288116</v>
      </c>
      <c r="H9681">
        <v>12376120</v>
      </c>
      <c r="I9681">
        <v>19290091</v>
      </c>
      <c r="J9681">
        <v>5</v>
      </c>
    </row>
    <row r="9682" spans="1:10" x14ac:dyDescent="0.25">
      <c r="A9682" t="s">
        <v>91</v>
      </c>
      <c r="B9682" s="1" t="str">
        <f>HYPERLINK("http://beechstcap.com","beechstcap.com")</f>
        <v>beechstcap.com</v>
      </c>
      <c r="C9682" t="s">
        <v>433</v>
      </c>
      <c r="F9682">
        <v>4.4862880192426997E-9</v>
      </c>
      <c r="G9682">
        <v>61164783</v>
      </c>
      <c r="H9682">
        <v>10597731</v>
      </c>
      <c r="I9682">
        <v>45034189</v>
      </c>
      <c r="J9682">
        <v>4</v>
      </c>
    </row>
    <row r="9683" spans="1:10" x14ac:dyDescent="0.25">
      <c r="A9683" t="s">
        <v>91</v>
      </c>
      <c r="B9683" s="1" t="str">
        <f>HYPERLINK("http://bemarketing.com","bemarketing.com")</f>
        <v>bemarketing.com</v>
      </c>
      <c r="C9683" t="s">
        <v>433</v>
      </c>
      <c r="F9683">
        <v>7.8269278491288798E-8</v>
      </c>
      <c r="G9683">
        <v>534263</v>
      </c>
      <c r="H9683">
        <v>13396384</v>
      </c>
      <c r="I9683">
        <v>10376666</v>
      </c>
      <c r="J9683">
        <v>5</v>
      </c>
    </row>
    <row r="9684" spans="1:10" x14ac:dyDescent="0.25">
      <c r="A9684" t="s">
        <v>91</v>
      </c>
      <c r="B9684" s="1" t="str">
        <f>HYPERLINK("http://bemarketingsolutions.com","bemarketingsolutions.com")</f>
        <v>bemarketingsolutions.com</v>
      </c>
      <c r="C9684" t="s">
        <v>433</v>
      </c>
      <c r="F9684">
        <v>9.7148044698386095E-9</v>
      </c>
      <c r="G9684">
        <v>7063701</v>
      </c>
      <c r="H9684">
        <v>10740527</v>
      </c>
      <c r="I9684">
        <v>40409663</v>
      </c>
      <c r="J9684">
        <v>5</v>
      </c>
    </row>
    <row r="9685" spans="1:10" x14ac:dyDescent="0.25">
      <c r="A9685" t="s">
        <v>91</v>
      </c>
      <c r="B9685" s="1" t="str">
        <f>HYPERLINK("http://capitalone.com","capitalone.com")</f>
        <v>capitalone.com</v>
      </c>
      <c r="C9685" t="s">
        <v>433</v>
      </c>
      <c r="E9685">
        <v>847</v>
      </c>
      <c r="F9685">
        <v>6.1521383594182503E-6</v>
      </c>
      <c r="G9685">
        <v>5594</v>
      </c>
      <c r="H9685">
        <v>17762020</v>
      </c>
      <c r="I9685">
        <v>6151</v>
      </c>
      <c r="J9685">
        <v>1</v>
      </c>
    </row>
    <row r="9686" spans="1:10" x14ac:dyDescent="0.25">
      <c r="A9686" t="s">
        <v>91</v>
      </c>
      <c r="B9686" s="1" t="str">
        <f>HYPERLINK("http://capitalone360.com","capitalone360.com")</f>
        <v>capitalone360.com</v>
      </c>
      <c r="C9686" t="s">
        <v>433</v>
      </c>
      <c r="E9686">
        <v>72775</v>
      </c>
      <c r="F9686">
        <v>1.3410869305779401E-7</v>
      </c>
      <c r="G9686">
        <v>291129</v>
      </c>
      <c r="H9686">
        <v>14503439</v>
      </c>
      <c r="I9686">
        <v>842749</v>
      </c>
      <c r="J9686">
        <v>4</v>
      </c>
    </row>
    <row r="9687" spans="1:10" x14ac:dyDescent="0.25">
      <c r="A9687" t="s">
        <v>91</v>
      </c>
      <c r="B9687" s="1" t="str">
        <f>HYPERLINK("http://capitalonebank.com","capitalonebank.com")</f>
        <v>capitalonebank.com</v>
      </c>
      <c r="C9687" t="s">
        <v>433</v>
      </c>
      <c r="E9687">
        <v>137593</v>
      </c>
      <c r="F9687">
        <v>1.7934236781450901E-8</v>
      </c>
      <c r="G9687">
        <v>3046403</v>
      </c>
      <c r="H9687">
        <v>13087820</v>
      </c>
      <c r="I9687">
        <v>12153412</v>
      </c>
      <c r="J9687">
        <v>4</v>
      </c>
    </row>
    <row r="9688" spans="1:10" x14ac:dyDescent="0.25">
      <c r="A9688" t="s">
        <v>91</v>
      </c>
      <c r="B9688" s="1" t="str">
        <f>HYPERLINK("http://esmartloan.com","esmartloan.com")</f>
        <v>esmartloan.com</v>
      </c>
      <c r="C9688" t="s">
        <v>433</v>
      </c>
      <c r="F9688">
        <v>4.5465597257815599E-9</v>
      </c>
      <c r="G9688">
        <v>52559673</v>
      </c>
      <c r="H9688">
        <v>13059331</v>
      </c>
      <c r="I9688">
        <v>12428875</v>
      </c>
      <c r="J9688">
        <v>4</v>
      </c>
    </row>
    <row r="9689" spans="1:10" x14ac:dyDescent="0.25">
      <c r="A9689" t="s">
        <v>91</v>
      </c>
      <c r="B9689" s="1" t="str">
        <f>HYPERLINK("http://estiradco.com","estiradco.com")</f>
        <v>estiradco.com</v>
      </c>
      <c r="C9689" t="s">
        <v>433</v>
      </c>
      <c r="F9689">
        <v>4.44380395335525E-9</v>
      </c>
      <c r="G9689">
        <v>81568370</v>
      </c>
      <c r="H9689">
        <v>0</v>
      </c>
      <c r="I9689">
        <v>81978760</v>
      </c>
      <c r="J9689">
        <v>5</v>
      </c>
    </row>
    <row r="9690" spans="1:10" x14ac:dyDescent="0.25">
      <c r="A9690" t="s">
        <v>91</v>
      </c>
      <c r="B9690" s="1" t="str">
        <f>HYPERLINK("http://ingdirect.com","ingdirect.com")</f>
        <v>ingdirect.com</v>
      </c>
      <c r="C9690" t="s">
        <v>433</v>
      </c>
      <c r="E9690">
        <v>339490</v>
      </c>
      <c r="F9690">
        <v>2.07365008437321E-7</v>
      </c>
      <c r="G9690">
        <v>182992</v>
      </c>
      <c r="H9690">
        <v>14903300</v>
      </c>
      <c r="I9690">
        <v>461541</v>
      </c>
      <c r="J9690">
        <v>4</v>
      </c>
    </row>
    <row r="9691" spans="1:10" x14ac:dyDescent="0.25">
      <c r="A9691" t="s">
        <v>91</v>
      </c>
      <c r="B9691" s="1" t="str">
        <f>HYPERLINK("http://mens-remhair.com","mens-remhair.com")</f>
        <v>mens-remhair.com</v>
      </c>
      <c r="C9691" t="s">
        <v>433</v>
      </c>
      <c r="F9691">
        <v>4.5514086373609798E-9</v>
      </c>
      <c r="G9691">
        <v>52038192</v>
      </c>
      <c r="H9691">
        <v>9484728</v>
      </c>
      <c r="I9691">
        <v>65950167</v>
      </c>
      <c r="J9691">
        <v>5</v>
      </c>
    </row>
    <row r="9692" spans="1:10" x14ac:dyDescent="0.25">
      <c r="A9692" t="s">
        <v>91</v>
      </c>
      <c r="B9692" s="1" t="str">
        <f>HYPERLINK("http://p-in-e.com","p-in-e.com")</f>
        <v>p-in-e.com</v>
      </c>
      <c r="C9692" t="s">
        <v>433</v>
      </c>
      <c r="F9692">
        <v>4.44380395335525E-9</v>
      </c>
      <c r="G9692">
        <v>82926048</v>
      </c>
      <c r="H9692">
        <v>0</v>
      </c>
      <c r="I9692">
        <v>83640661</v>
      </c>
      <c r="J9692">
        <v>5</v>
      </c>
    </row>
    <row r="9693" spans="1:10" x14ac:dyDescent="0.25">
      <c r="A9693" t="s">
        <v>91</v>
      </c>
      <c r="B9693" s="1" t="str">
        <f>HYPERLINK("http://shewearsaredsoxcap.com","shewearsaredsoxcap.com")</f>
        <v>shewearsaredsoxcap.com</v>
      </c>
      <c r="C9693" t="s">
        <v>433</v>
      </c>
      <c r="F9693">
        <v>5.3941726084863203E-9</v>
      </c>
      <c r="G9693">
        <v>22190652</v>
      </c>
      <c r="H9693">
        <v>14124043</v>
      </c>
      <c r="I9693">
        <v>2155808</v>
      </c>
      <c r="J9693">
        <v>5</v>
      </c>
    </row>
    <row r="9694" spans="1:10" x14ac:dyDescent="0.25">
      <c r="A9694" t="s">
        <v>91</v>
      </c>
      <c r="B9694" s="1" t="str">
        <f>HYPERLINK("http://skyebedandbreakfast.com","skyebedandbreakfast.com")</f>
        <v>skyebedandbreakfast.com</v>
      </c>
      <c r="C9694" t="s">
        <v>433</v>
      </c>
      <c r="F9694">
        <v>4.44380395335525E-9</v>
      </c>
      <c r="G9694">
        <v>83439306</v>
      </c>
      <c r="H9694">
        <v>0</v>
      </c>
      <c r="I9694">
        <v>84264464</v>
      </c>
      <c r="J9694">
        <v>5</v>
      </c>
    </row>
    <row r="9695" spans="1:10" x14ac:dyDescent="0.25">
      <c r="A9695" t="s">
        <v>91</v>
      </c>
      <c r="B9695" s="1" t="str">
        <f>HYPERLINK("http://sparkbusinessiq.com","sparkbusinessiq.com")</f>
        <v>sparkbusinessiq.com</v>
      </c>
      <c r="C9695" t="s">
        <v>433</v>
      </c>
      <c r="F9695">
        <v>2.5958475247492601E-8</v>
      </c>
      <c r="G9695">
        <v>1985032</v>
      </c>
      <c r="H9695">
        <v>13524785</v>
      </c>
      <c r="I9695">
        <v>9933207</v>
      </c>
      <c r="J9695">
        <v>4</v>
      </c>
    </row>
    <row r="9696" spans="1:10" x14ac:dyDescent="0.25">
      <c r="A9696" t="s">
        <v>91</v>
      </c>
      <c r="B9696" s="1" t="str">
        <f>HYPERLINK("http://unitedincome.com","unitedincome.com")</f>
        <v>unitedincome.com</v>
      </c>
      <c r="C9696" t="s">
        <v>433</v>
      </c>
      <c r="F9696">
        <v>6.0142380895252494E-8</v>
      </c>
      <c r="G9696">
        <v>733761</v>
      </c>
      <c r="H9696">
        <v>14566986</v>
      </c>
      <c r="I9696">
        <v>739094</v>
      </c>
      <c r="J9696">
        <v>4</v>
      </c>
    </row>
    <row r="9697" spans="1:10" x14ac:dyDescent="0.25">
      <c r="A9697" t="s">
        <v>91</v>
      </c>
      <c r="B9697" s="1" t="str">
        <f>HYPERLINK("http://capitalone.fi","capitalone.fi")</f>
        <v>capitalone.fi</v>
      </c>
      <c r="C9697" t="s">
        <v>445</v>
      </c>
      <c r="D9697" t="s">
        <v>823</v>
      </c>
      <c r="J9697">
        <v>5</v>
      </c>
    </row>
    <row r="9698" spans="1:10" x14ac:dyDescent="0.25">
      <c r="A9698" t="s">
        <v>91</v>
      </c>
      <c r="B9698" s="1" t="str">
        <f>HYPERLINK("http://capitalone.co.uk","capitalone.co.uk")</f>
        <v>capitalone.co.uk</v>
      </c>
      <c r="C9698" t="s">
        <v>506</v>
      </c>
      <c r="D9698" t="s">
        <v>880</v>
      </c>
      <c r="E9698">
        <v>45344</v>
      </c>
      <c r="F9698">
        <v>2.52869267458664E-7</v>
      </c>
      <c r="G9698">
        <v>147902</v>
      </c>
      <c r="H9698">
        <v>17035998</v>
      </c>
      <c r="I9698">
        <v>81210</v>
      </c>
      <c r="J9698">
        <v>2</v>
      </c>
    </row>
    <row r="9699" spans="1:10" x14ac:dyDescent="0.25">
      <c r="A9699" t="s">
        <v>92</v>
      </c>
      <c r="B9699" s="1" t="str">
        <f>HYPERLINK("http://kidde.com.ar","kidde.com.ar")</f>
        <v>kidde.com.ar</v>
      </c>
      <c r="C9699" t="s">
        <v>418</v>
      </c>
      <c r="D9699" t="s">
        <v>800</v>
      </c>
      <c r="F9699">
        <v>7.9052899164668103E-9</v>
      </c>
      <c r="G9699">
        <v>10101217</v>
      </c>
      <c r="H9699">
        <v>10830457</v>
      </c>
      <c r="I9699">
        <v>37383870</v>
      </c>
      <c r="J9699">
        <v>4</v>
      </c>
    </row>
    <row r="9700" spans="1:10" x14ac:dyDescent="0.25">
      <c r="A9700" t="s">
        <v>92</v>
      </c>
      <c r="B9700" s="1" t="str">
        <f>HYPERLINK("http://ahi-carrier.com.au","ahi-carrier.com.au")</f>
        <v>ahi-carrier.com.au</v>
      </c>
      <c r="C9700" t="s">
        <v>420</v>
      </c>
      <c r="D9700" t="s">
        <v>802</v>
      </c>
      <c r="F9700">
        <v>6.4053343889376802E-9</v>
      </c>
      <c r="G9700">
        <v>14492466</v>
      </c>
      <c r="H9700">
        <v>13763636</v>
      </c>
      <c r="I9700">
        <v>8054389</v>
      </c>
      <c r="J9700">
        <v>4</v>
      </c>
    </row>
    <row r="9701" spans="1:10" x14ac:dyDescent="0.25">
      <c r="A9701" t="s">
        <v>92</v>
      </c>
      <c r="B9701" s="1" t="str">
        <f>HYPERLINK("http://carrieraustralia.com.au","carrieraustralia.com.au")</f>
        <v>carrieraustralia.com.au</v>
      </c>
      <c r="C9701" t="s">
        <v>420</v>
      </c>
      <c r="D9701" t="s">
        <v>802</v>
      </c>
      <c r="J9701">
        <v>4</v>
      </c>
    </row>
    <row r="9702" spans="1:10" x14ac:dyDescent="0.25">
      <c r="A9702" t="s">
        <v>92</v>
      </c>
      <c r="B9702" s="1" t="str">
        <f>HYPERLINK("http://systemaxaustralia.com.au","systemaxaustralia.com.au")</f>
        <v>systemaxaustralia.com.au</v>
      </c>
      <c r="C9702" t="s">
        <v>420</v>
      </c>
      <c r="D9702" t="s">
        <v>802</v>
      </c>
      <c r="J9702">
        <v>3</v>
      </c>
    </row>
    <row r="9703" spans="1:10" x14ac:dyDescent="0.25">
      <c r="A9703" t="s">
        <v>92</v>
      </c>
      <c r="B9703" s="1" t="str">
        <f>HYPERLINK("http://carrier.be","carrier.be")</f>
        <v>carrier.be</v>
      </c>
      <c r="C9703" t="s">
        <v>421</v>
      </c>
      <c r="D9703" t="s">
        <v>803</v>
      </c>
      <c r="F9703">
        <v>5.4949712563787103E-9</v>
      </c>
      <c r="G9703">
        <v>20957831</v>
      </c>
      <c r="H9703">
        <v>9468717</v>
      </c>
      <c r="I9703">
        <v>66224769</v>
      </c>
      <c r="J9703">
        <v>2</v>
      </c>
    </row>
    <row r="9704" spans="1:10" x14ac:dyDescent="0.25">
      <c r="A9704" t="s">
        <v>92</v>
      </c>
      <c r="B9704" s="1" t="str">
        <f>HYPERLINK("http://kidde.com.br","kidde.com.br")</f>
        <v>kidde.com.br</v>
      </c>
      <c r="C9704" t="s">
        <v>425</v>
      </c>
      <c r="D9704" t="s">
        <v>806</v>
      </c>
      <c r="F9704">
        <v>1.06604715375872E-8</v>
      </c>
      <c r="G9704">
        <v>6132768</v>
      </c>
      <c r="H9704">
        <v>12203479</v>
      </c>
      <c r="I9704">
        <v>23232089</v>
      </c>
      <c r="J9704">
        <v>3</v>
      </c>
    </row>
    <row r="9705" spans="1:10" x14ac:dyDescent="0.25">
      <c r="A9705" t="s">
        <v>92</v>
      </c>
      <c r="B9705" s="1" t="str">
        <f>HYPERLINK("http://carrier.ca","carrier.ca")</f>
        <v>carrier.ca</v>
      </c>
      <c r="C9705" t="s">
        <v>428</v>
      </c>
      <c r="D9705" t="s">
        <v>809</v>
      </c>
      <c r="F9705">
        <v>3.4901381921130399E-8</v>
      </c>
      <c r="G9705">
        <v>1488091</v>
      </c>
      <c r="H9705">
        <v>12930630</v>
      </c>
      <c r="I9705">
        <v>13364964</v>
      </c>
      <c r="J9705">
        <v>2</v>
      </c>
    </row>
    <row r="9706" spans="1:10" x14ac:dyDescent="0.25">
      <c r="A9706" t="s">
        <v>92</v>
      </c>
      <c r="B9706" s="1" t="str">
        <f>HYPERLINK("http://carrierenterprise.ca","carrierenterprise.ca")</f>
        <v>carrierenterprise.ca</v>
      </c>
      <c r="C9706" t="s">
        <v>428</v>
      </c>
      <c r="D9706" t="s">
        <v>809</v>
      </c>
      <c r="F9706">
        <v>7.9336905201903297E-9</v>
      </c>
      <c r="G9706">
        <v>10046371</v>
      </c>
      <c r="H9706">
        <v>10791628</v>
      </c>
      <c r="I9706">
        <v>38437022</v>
      </c>
      <c r="J9706">
        <v>4</v>
      </c>
    </row>
    <row r="9707" spans="1:10" x14ac:dyDescent="0.25">
      <c r="A9707" t="s">
        <v>92</v>
      </c>
      <c r="B9707" s="1" t="str">
        <f>HYPERLINK("http://lkskaelte.ch","lkskaelte.ch")</f>
        <v>lkskaelte.ch</v>
      </c>
      <c r="C9707" t="s">
        <v>429</v>
      </c>
      <c r="D9707" t="s">
        <v>810</v>
      </c>
      <c r="J9707">
        <v>4</v>
      </c>
    </row>
    <row r="9708" spans="1:10" x14ac:dyDescent="0.25">
      <c r="A9708" t="s">
        <v>92</v>
      </c>
      <c r="B9708" s="1" t="str">
        <f>HYPERLINK("http://carrierjobs.cn","carrierjobs.cn")</f>
        <v>carrierjobs.cn</v>
      </c>
      <c r="C9708" t="s">
        <v>431</v>
      </c>
      <c r="D9708" t="s">
        <v>812</v>
      </c>
      <c r="F9708">
        <v>1.01989446217896E-8</v>
      </c>
      <c r="G9708">
        <v>6548072</v>
      </c>
      <c r="H9708">
        <v>12192401</v>
      </c>
      <c r="I9708">
        <v>23525380</v>
      </c>
      <c r="J9708">
        <v>3</v>
      </c>
    </row>
    <row r="9709" spans="1:10" x14ac:dyDescent="0.25">
      <c r="A9709" t="s">
        <v>92</v>
      </c>
      <c r="B9709" s="1" t="str">
        <f>HYPERLINK("http://carrier.com.cn","carrier.com.cn")</f>
        <v>carrier.com.cn</v>
      </c>
      <c r="C9709" t="s">
        <v>431</v>
      </c>
      <c r="D9709" t="s">
        <v>812</v>
      </c>
      <c r="F9709">
        <v>1.7747516384039301E-8</v>
      </c>
      <c r="G9709">
        <v>3086070</v>
      </c>
      <c r="H9709">
        <v>12521775</v>
      </c>
      <c r="I9709">
        <v>17131232</v>
      </c>
      <c r="J9709">
        <v>2</v>
      </c>
    </row>
    <row r="9710" spans="1:10" x14ac:dyDescent="0.25">
      <c r="A9710" t="s">
        <v>92</v>
      </c>
      <c r="B9710" s="1" t="str">
        <f>HYPERLINK("http://gst.com.cn","gst.com.cn")</f>
        <v>gst.com.cn</v>
      </c>
      <c r="C9710" t="s">
        <v>431</v>
      </c>
      <c r="D9710" t="s">
        <v>812</v>
      </c>
      <c r="F9710">
        <v>1.9100493080110799E-8</v>
      </c>
      <c r="G9710">
        <v>2817796</v>
      </c>
      <c r="H9710">
        <v>12469597</v>
      </c>
      <c r="I9710">
        <v>17756829</v>
      </c>
      <c r="J9710">
        <v>3</v>
      </c>
    </row>
    <row r="9711" spans="1:10" x14ac:dyDescent="0.25">
      <c r="A9711" t="s">
        <v>92</v>
      </c>
      <c r="B9711" s="1" t="str">
        <f>HYPERLINK("http://kidde.com.cn","kidde.com.cn")</f>
        <v>kidde.com.cn</v>
      </c>
      <c r="C9711" t="s">
        <v>431</v>
      </c>
      <c r="D9711" t="s">
        <v>812</v>
      </c>
      <c r="F9711">
        <v>9.8037516901347792E-9</v>
      </c>
      <c r="G9711">
        <v>6964826</v>
      </c>
      <c r="H9711">
        <v>10824237</v>
      </c>
      <c r="I9711">
        <v>37521717</v>
      </c>
      <c r="J9711">
        <v>3</v>
      </c>
    </row>
    <row r="9712" spans="1:10" x14ac:dyDescent="0.25">
      <c r="A9712" t="s">
        <v>92</v>
      </c>
      <c r="B9712" s="1" t="str">
        <f>HYPERLINK("http://ahi-carrier.com","ahi-carrier.com")</f>
        <v>ahi-carrier.com</v>
      </c>
      <c r="C9712" t="s">
        <v>433</v>
      </c>
      <c r="F9712">
        <v>1.25861406360293E-8</v>
      </c>
      <c r="G9712">
        <v>4837874</v>
      </c>
      <c r="H9712">
        <v>12491914</v>
      </c>
      <c r="I9712">
        <v>17471602</v>
      </c>
      <c r="J9712">
        <v>3</v>
      </c>
    </row>
    <row r="9713" spans="1:10" x14ac:dyDescent="0.25">
      <c r="A9713" t="s">
        <v>92</v>
      </c>
      <c r="B9713" s="1" t="str">
        <f>HYPERLINK("http://automatedlogic.com","automatedlogic.com")</f>
        <v>automatedlogic.com</v>
      </c>
      <c r="C9713" t="s">
        <v>433</v>
      </c>
      <c r="E9713">
        <v>805334</v>
      </c>
      <c r="F9713">
        <v>9.5020919243606899E-8</v>
      </c>
      <c r="G9713">
        <v>426639</v>
      </c>
      <c r="H9713">
        <v>14324268</v>
      </c>
      <c r="I9713">
        <v>1328273</v>
      </c>
      <c r="J9713">
        <v>3</v>
      </c>
    </row>
    <row r="9714" spans="1:10" x14ac:dyDescent="0.25">
      <c r="A9714" t="s">
        <v>92</v>
      </c>
      <c r="B9714" s="1" t="str">
        <f>HYPERLINK("http://besmart-home.com","besmart-home.com")</f>
        <v>besmart-home.com</v>
      </c>
      <c r="C9714" t="s">
        <v>433</v>
      </c>
      <c r="F9714">
        <v>2.3088612066231201E-8</v>
      </c>
      <c r="G9714">
        <v>2261318</v>
      </c>
      <c r="H9714">
        <v>14030165</v>
      </c>
      <c r="I9714">
        <v>3939565</v>
      </c>
      <c r="J9714">
        <v>3</v>
      </c>
    </row>
    <row r="9715" spans="1:10" x14ac:dyDescent="0.25">
      <c r="A9715" t="s">
        <v>92</v>
      </c>
      <c r="B9715" s="1" t="str">
        <f>HYPERLINK("http://carcgl.com","carcgl.com")</f>
        <v>carcgl.com</v>
      </c>
      <c r="C9715" t="s">
        <v>433</v>
      </c>
      <c r="E9715">
        <v>238415</v>
      </c>
      <c r="F9715">
        <v>7.2446955135685102E-9</v>
      </c>
      <c r="G9715">
        <v>11619114</v>
      </c>
      <c r="H9715">
        <v>12192468</v>
      </c>
      <c r="I9715">
        <v>23523985</v>
      </c>
      <c r="J9715">
        <v>3</v>
      </c>
    </row>
    <row r="9716" spans="1:10" x14ac:dyDescent="0.25">
      <c r="A9716" t="s">
        <v>92</v>
      </c>
      <c r="B9716" s="1" t="str">
        <f>HYPERLINK("http://carcglx.com","carcglx.com")</f>
        <v>carcglx.com</v>
      </c>
      <c r="C9716" t="s">
        <v>433</v>
      </c>
      <c r="F9716">
        <v>4.44380927664477E-9</v>
      </c>
      <c r="G9716">
        <v>79779664</v>
      </c>
      <c r="H9716">
        <v>10352960</v>
      </c>
      <c r="I9716">
        <v>55927116</v>
      </c>
      <c r="J9716">
        <v>3</v>
      </c>
    </row>
    <row r="9717" spans="1:10" x14ac:dyDescent="0.25">
      <c r="A9717" t="s">
        <v>92</v>
      </c>
      <c r="B9717" s="1" t="str">
        <f>HYPERLINK("http://carrier.com","carrier.com")</f>
        <v>carrier.com</v>
      </c>
      <c r="C9717" t="s">
        <v>433</v>
      </c>
      <c r="E9717">
        <v>12397</v>
      </c>
      <c r="F9717">
        <v>2.0298293995445499E-6</v>
      </c>
      <c r="G9717">
        <v>17987</v>
      </c>
      <c r="H9717">
        <v>17385568</v>
      </c>
      <c r="I9717">
        <v>20255</v>
      </c>
      <c r="J9717">
        <v>1</v>
      </c>
    </row>
    <row r="9718" spans="1:10" x14ac:dyDescent="0.25">
      <c r="A9718" t="s">
        <v>92</v>
      </c>
      <c r="B9718" s="1" t="str">
        <f>HYPERLINK("http://carrier-refrigeration.com","carrier-refrigeration.com")</f>
        <v>carrier-refrigeration.com</v>
      </c>
      <c r="C9718" t="s">
        <v>433</v>
      </c>
      <c r="F9718">
        <v>1.0693108224566601E-8</v>
      </c>
      <c r="G9718">
        <v>6106321</v>
      </c>
      <c r="H9718">
        <v>14072206</v>
      </c>
      <c r="I9718">
        <v>3136671</v>
      </c>
      <c r="J9718">
        <v>3</v>
      </c>
    </row>
    <row r="9719" spans="1:10" x14ac:dyDescent="0.25">
      <c r="A9719" t="s">
        <v>92</v>
      </c>
      <c r="B9719" s="1" t="str">
        <f>HYPERLINK("http://carrier-transicold-europe.com","carrier-transicold-europe.com")</f>
        <v>carrier-transicold-europe.com</v>
      </c>
      <c r="C9719" t="s">
        <v>433</v>
      </c>
      <c r="F9719">
        <v>9.8494728847921599E-9</v>
      </c>
      <c r="G9719">
        <v>6914644</v>
      </c>
      <c r="H9719">
        <v>12906556</v>
      </c>
      <c r="I9719">
        <v>13817305</v>
      </c>
      <c r="J9719">
        <v>3</v>
      </c>
    </row>
    <row r="9720" spans="1:10" x14ac:dyDescent="0.25">
      <c r="A9720" t="s">
        <v>92</v>
      </c>
      <c r="B9720" s="1" t="str">
        <f>HYPERLINK("http://carrierbenelux.com","carrierbenelux.com")</f>
        <v>carrierbenelux.com</v>
      </c>
      <c r="C9720" t="s">
        <v>433</v>
      </c>
      <c r="F9720">
        <v>5.2479063153228599E-9</v>
      </c>
      <c r="G9720">
        <v>24288890</v>
      </c>
      <c r="H9720">
        <v>9459538</v>
      </c>
      <c r="I9720">
        <v>66363022</v>
      </c>
      <c r="J9720">
        <v>3</v>
      </c>
    </row>
    <row r="9721" spans="1:10" x14ac:dyDescent="0.25">
      <c r="A9721" t="s">
        <v>92</v>
      </c>
      <c r="B9721" s="1" t="str">
        <f>HYPERLINK("http://carrierenterprise.com","carrierenterprise.com")</f>
        <v>carrierenterprise.com</v>
      </c>
      <c r="C9721" t="s">
        <v>433</v>
      </c>
      <c r="E9721">
        <v>229423</v>
      </c>
      <c r="F9721">
        <v>1.3939922102918499E-7</v>
      </c>
      <c r="G9721">
        <v>279471</v>
      </c>
      <c r="H9721">
        <v>13743099</v>
      </c>
      <c r="I9721">
        <v>9426398</v>
      </c>
      <c r="J9721">
        <v>3</v>
      </c>
    </row>
    <row r="9722" spans="1:10" x14ac:dyDescent="0.25">
      <c r="A9722" t="s">
        <v>92</v>
      </c>
      <c r="B9722" s="1" t="str">
        <f>HYPERLINK("http://carrierindia.com","carrierindia.com")</f>
        <v>carrierindia.com</v>
      </c>
      <c r="C9722" t="s">
        <v>433</v>
      </c>
      <c r="F9722">
        <v>9.8217849008733004E-9</v>
      </c>
      <c r="G9722">
        <v>6945789</v>
      </c>
      <c r="H9722">
        <v>12279291</v>
      </c>
      <c r="I9722">
        <v>21322204</v>
      </c>
      <c r="J9722">
        <v>3</v>
      </c>
    </row>
    <row r="9723" spans="1:10" x14ac:dyDescent="0.25">
      <c r="A9723" t="s">
        <v>92</v>
      </c>
      <c r="B9723" s="1" t="str">
        <f>HYPERLINK("http://carriermideaindia.com","carriermideaindia.com")</f>
        <v>carriermideaindia.com</v>
      </c>
      <c r="C9723" t="s">
        <v>433</v>
      </c>
      <c r="F9723">
        <v>1.9692837501852401E-8</v>
      </c>
      <c r="G9723">
        <v>2710360</v>
      </c>
      <c r="H9723">
        <v>14189109</v>
      </c>
      <c r="I9723">
        <v>1763046</v>
      </c>
      <c r="J9723">
        <v>4</v>
      </c>
    </row>
    <row r="9724" spans="1:10" x14ac:dyDescent="0.25">
      <c r="A9724" t="s">
        <v>92</v>
      </c>
      <c r="B9724" s="1" t="str">
        <f>HYPERLINK("http://carrierrentals.com","carrierrentals.com")</f>
        <v>carrierrentals.com</v>
      </c>
      <c r="C9724" t="s">
        <v>433</v>
      </c>
      <c r="F9724">
        <v>8.3852830229768105E-9</v>
      </c>
      <c r="G9724">
        <v>9073369</v>
      </c>
      <c r="H9724">
        <v>13771317</v>
      </c>
      <c r="I9724">
        <v>6697852</v>
      </c>
      <c r="J9724">
        <v>4</v>
      </c>
    </row>
    <row r="9725" spans="1:10" x14ac:dyDescent="0.25">
      <c r="A9725" t="s">
        <v>92</v>
      </c>
      <c r="B9725" s="1" t="str">
        <f>HYPERLINK("http://carriertransicold.com","carriertransicold.com")</f>
        <v>carriertransicold.com</v>
      </c>
      <c r="C9725" t="s">
        <v>433</v>
      </c>
      <c r="F9725">
        <v>7.9249097290948199E-9</v>
      </c>
      <c r="G9725">
        <v>10063222</v>
      </c>
      <c r="H9725">
        <v>12281705</v>
      </c>
      <c r="I9725">
        <v>21274302</v>
      </c>
      <c r="J9725">
        <v>4</v>
      </c>
    </row>
    <row r="9726" spans="1:10" x14ac:dyDescent="0.25">
      <c r="A9726" t="s">
        <v>92</v>
      </c>
      <c r="B9726" s="1" t="str">
        <f>HYPERLINK("http://centerforintelligentbuildings.com","centerforintelligentbuildings.com")</f>
        <v>centerforintelligentbuildings.com</v>
      </c>
      <c r="C9726" t="s">
        <v>433</v>
      </c>
      <c r="F9726">
        <v>1.0878344604038799E-8</v>
      </c>
      <c r="G9726">
        <v>5959264</v>
      </c>
      <c r="H9726">
        <v>12193383</v>
      </c>
      <c r="I9726">
        <v>23501141</v>
      </c>
      <c r="J9726">
        <v>3</v>
      </c>
    </row>
    <row r="9727" spans="1:10" x14ac:dyDescent="0.25">
      <c r="A9727" t="s">
        <v>92</v>
      </c>
      <c r="B9727" s="1" t="str">
        <f>HYPERLINK("http://chtsinc.com","chtsinc.com")</f>
        <v>chtsinc.com</v>
      </c>
      <c r="C9727" t="s">
        <v>433</v>
      </c>
      <c r="F9727">
        <v>5.65030927824618E-9</v>
      </c>
      <c r="G9727">
        <v>19389526</v>
      </c>
      <c r="H9727">
        <v>10968210</v>
      </c>
      <c r="I9727">
        <v>34180042</v>
      </c>
      <c r="J9727">
        <v>4</v>
      </c>
    </row>
    <row r="9728" spans="1:10" x14ac:dyDescent="0.25">
      <c r="A9728" t="s">
        <v>92</v>
      </c>
      <c r="B9728" s="1" t="str">
        <f>HYPERLINK("http://chubbedwards.com","chubbedwards.com")</f>
        <v>chubbedwards.com</v>
      </c>
      <c r="C9728" t="s">
        <v>433</v>
      </c>
      <c r="F9728">
        <v>2.8719423655678E-8</v>
      </c>
      <c r="G9728">
        <v>1791995</v>
      </c>
      <c r="H9728">
        <v>13334589</v>
      </c>
      <c r="I9728">
        <v>10696622</v>
      </c>
      <c r="J9728">
        <v>4</v>
      </c>
    </row>
    <row r="9729" spans="1:10" x14ac:dyDescent="0.25">
      <c r="A9729" t="s">
        <v>92</v>
      </c>
      <c r="B9729" s="1" t="str">
        <f>HYPERLINK("http://chubbfiresecurity.com","chubbfiresecurity.com")</f>
        <v>chubbfiresecurity.com</v>
      </c>
      <c r="C9729" t="s">
        <v>433</v>
      </c>
      <c r="E9729">
        <v>452442</v>
      </c>
      <c r="F9729">
        <v>1.8348617711570199E-7</v>
      </c>
      <c r="G9729">
        <v>210174</v>
      </c>
      <c r="H9729">
        <v>14463537</v>
      </c>
      <c r="I9729">
        <v>1045567</v>
      </c>
      <c r="J9729">
        <v>3</v>
      </c>
    </row>
    <row r="9730" spans="1:10" x14ac:dyDescent="0.25">
      <c r="A9730" t="s">
        <v>92</v>
      </c>
      <c r="B9730" s="1" t="str">
        <f>HYPERLINK("http://chubbfs.com","chubbfs.com")</f>
        <v>chubbfs.com</v>
      </c>
      <c r="C9730" t="s">
        <v>433</v>
      </c>
      <c r="E9730">
        <v>265334</v>
      </c>
      <c r="F9730">
        <v>2.13005506550375E-8</v>
      </c>
      <c r="G9730">
        <v>2474120</v>
      </c>
      <c r="H9730">
        <v>13661372</v>
      </c>
      <c r="I9730">
        <v>9578509</v>
      </c>
      <c r="J9730">
        <v>5</v>
      </c>
    </row>
    <row r="9731" spans="1:10" x14ac:dyDescent="0.25">
      <c r="A9731" t="s">
        <v>92</v>
      </c>
      <c r="B9731" s="1" t="str">
        <f>HYPERLINK("http://chubbfsad.com","chubbfsad.com")</f>
        <v>chubbfsad.com</v>
      </c>
      <c r="C9731" t="s">
        <v>433</v>
      </c>
      <c r="E9731">
        <v>964883</v>
      </c>
      <c r="F9731">
        <v>4.4438152872977804E-9</v>
      </c>
      <c r="G9731">
        <v>79361228</v>
      </c>
      <c r="H9731">
        <v>10358497</v>
      </c>
      <c r="I9731">
        <v>55350262</v>
      </c>
      <c r="J9731">
        <v>3</v>
      </c>
    </row>
    <row r="9732" spans="1:10" x14ac:dyDescent="0.25">
      <c r="A9732" t="s">
        <v>92</v>
      </c>
      <c r="B9732" s="1" t="str">
        <f>HYPERLINK("http://det-tronics.com","det-tronics.com")</f>
        <v>det-tronics.com</v>
      </c>
      <c r="C9732" t="s">
        <v>433</v>
      </c>
      <c r="F9732">
        <v>4.69486446268885E-8</v>
      </c>
      <c r="G9732">
        <v>994340</v>
      </c>
      <c r="H9732">
        <v>14078025</v>
      </c>
      <c r="I9732">
        <v>2853987</v>
      </c>
      <c r="J9732">
        <v>3</v>
      </c>
    </row>
    <row r="9733" spans="1:10" x14ac:dyDescent="0.25">
      <c r="A9733" t="s">
        <v>92</v>
      </c>
      <c r="B9733" s="1" t="str">
        <f>HYPERLINK("http://detronics.com","detronics.com")</f>
        <v>detronics.com</v>
      </c>
      <c r="C9733" t="s">
        <v>433</v>
      </c>
      <c r="F9733">
        <v>9.3056855994131201E-9</v>
      </c>
      <c r="G9733">
        <v>7564992</v>
      </c>
      <c r="H9733">
        <v>12454570</v>
      </c>
      <c r="I9733">
        <v>17939552</v>
      </c>
      <c r="J9733">
        <v>3</v>
      </c>
    </row>
    <row r="9734" spans="1:10" x14ac:dyDescent="0.25">
      <c r="A9734" t="s">
        <v>92</v>
      </c>
      <c r="B9734" s="1" t="str">
        <f>HYPERLINK("http://ebward.com","ebward.com")</f>
        <v>ebward.com</v>
      </c>
      <c r="C9734" t="s">
        <v>433</v>
      </c>
      <c r="J9734">
        <v>3</v>
      </c>
    </row>
    <row r="9735" spans="1:10" x14ac:dyDescent="0.25">
      <c r="A9735" t="s">
        <v>92</v>
      </c>
      <c r="B9735" s="1" t="str">
        <f>HYPERLINK("http://emeasuprakim.com","emeasuprakim.com")</f>
        <v>emeasuprakim.com</v>
      </c>
      <c r="C9735" t="s">
        <v>433</v>
      </c>
      <c r="J9735">
        <v>3</v>
      </c>
    </row>
    <row r="9736" spans="1:10" x14ac:dyDescent="0.25">
      <c r="A9736" t="s">
        <v>92</v>
      </c>
      <c r="B9736" s="1" t="str">
        <f>HYPERLINK("http://fieldviewsolutions.com","fieldviewsolutions.com")</f>
        <v>fieldviewsolutions.com</v>
      </c>
      <c r="C9736" t="s">
        <v>433</v>
      </c>
      <c r="F9736">
        <v>1.0187586892012401E-8</v>
      </c>
      <c r="G9736">
        <v>6559301</v>
      </c>
      <c r="H9736">
        <v>13177698</v>
      </c>
      <c r="I9736">
        <v>11691670</v>
      </c>
      <c r="J9736">
        <v>6</v>
      </c>
    </row>
    <row r="9737" spans="1:10" x14ac:dyDescent="0.25">
      <c r="A9737" t="s">
        <v>92</v>
      </c>
      <c r="B9737" s="1" t="str">
        <f>HYPERLINK("http://firesecurityproducts.com","firesecurityproducts.com")</f>
        <v>firesecurityproducts.com</v>
      </c>
      <c r="C9737" t="s">
        <v>433</v>
      </c>
      <c r="E9737">
        <v>782352</v>
      </c>
      <c r="F9737">
        <v>1.2680578034475699E-7</v>
      </c>
      <c r="G9737">
        <v>311011</v>
      </c>
      <c r="H9737">
        <v>16752846</v>
      </c>
      <c r="I9737">
        <v>250856</v>
      </c>
      <c r="J9737">
        <v>3</v>
      </c>
    </row>
    <row r="9738" spans="1:10" x14ac:dyDescent="0.25">
      <c r="A9738" t="s">
        <v>92</v>
      </c>
      <c r="B9738" s="1" t="str">
        <f>HYPERLINK("http://fireye.com","fireye.com")</f>
        <v>fireye.com</v>
      </c>
      <c r="C9738" t="s">
        <v>433</v>
      </c>
      <c r="F9738">
        <v>5.2028756980566497E-8</v>
      </c>
      <c r="G9738">
        <v>877655</v>
      </c>
      <c r="H9738">
        <v>13965057</v>
      </c>
      <c r="I9738">
        <v>4091754</v>
      </c>
      <c r="J9738">
        <v>3</v>
      </c>
    </row>
    <row r="9739" spans="1:10" x14ac:dyDescent="0.25">
      <c r="A9739" t="s">
        <v>92</v>
      </c>
      <c r="B9739" s="1" t="str">
        <f>HYPERLINK("http://freightwatchintl.com","freightwatchintl.com")</f>
        <v>freightwatchintl.com</v>
      </c>
      <c r="C9739" t="s">
        <v>433</v>
      </c>
      <c r="F9739">
        <v>1.47163709578136E-8</v>
      </c>
      <c r="G9739">
        <v>3935328</v>
      </c>
      <c r="H9739">
        <v>13952482</v>
      </c>
      <c r="I9739">
        <v>4156513</v>
      </c>
      <c r="J9739">
        <v>3</v>
      </c>
    </row>
    <row r="9740" spans="1:10" x14ac:dyDescent="0.25">
      <c r="A9740" t="s">
        <v>92</v>
      </c>
      <c r="B9740" s="1" t="str">
        <f>HYPERLINK("http://gesecurity.com","gesecurity.com")</f>
        <v>gesecurity.com</v>
      </c>
      <c r="C9740" t="s">
        <v>433</v>
      </c>
      <c r="F9740">
        <v>2.66720368462094E-8</v>
      </c>
      <c r="G9740">
        <v>1929735</v>
      </c>
      <c r="H9740">
        <v>13803572</v>
      </c>
      <c r="I9740">
        <v>6261777</v>
      </c>
      <c r="J9740">
        <v>4</v>
      </c>
    </row>
    <row r="9741" spans="1:10" x14ac:dyDescent="0.25">
      <c r="A9741" t="s">
        <v>92</v>
      </c>
      <c r="B9741" s="1" t="str">
        <f>HYPERLINK("http://haiercarrier.com","haiercarrier.com")</f>
        <v>haiercarrier.com</v>
      </c>
      <c r="C9741" t="s">
        <v>433</v>
      </c>
      <c r="F9741">
        <v>7.3696274829641801E-9</v>
      </c>
      <c r="G9741">
        <v>11314647</v>
      </c>
      <c r="H9741">
        <v>11017452</v>
      </c>
      <c r="I9741">
        <v>33295389</v>
      </c>
      <c r="J9741">
        <v>3</v>
      </c>
    </row>
    <row r="9742" spans="1:10" x14ac:dyDescent="0.25">
      <c r="A9742" t="s">
        <v>92</v>
      </c>
      <c r="B9742" s="1" t="str">
        <f>HYPERLINK("http://hvacpartners.com","hvacpartners.com")</f>
        <v>hvacpartners.com</v>
      </c>
      <c r="C9742" t="s">
        <v>433</v>
      </c>
      <c r="E9742">
        <v>282149</v>
      </c>
      <c r="F9742">
        <v>9.7687416577613902E-8</v>
      </c>
      <c r="G9742">
        <v>413272</v>
      </c>
      <c r="H9742">
        <v>13806335</v>
      </c>
      <c r="I9742">
        <v>6231961</v>
      </c>
      <c r="J9742">
        <v>3</v>
      </c>
    </row>
    <row r="9743" spans="1:10" x14ac:dyDescent="0.25">
      <c r="A9743" t="s">
        <v>92</v>
      </c>
      <c r="B9743" s="1" t="str">
        <f>HYPERLINK("http://ivusystems.com","ivusystems.com")</f>
        <v>ivusystems.com</v>
      </c>
      <c r="C9743" t="s">
        <v>433</v>
      </c>
      <c r="J9743">
        <v>3</v>
      </c>
    </row>
    <row r="9744" spans="1:10" x14ac:dyDescent="0.25">
      <c r="A9744" t="s">
        <v>92</v>
      </c>
      <c r="B9744" s="1" t="str">
        <f>HYPERLINK("http://kidde.com","kidde.com")</f>
        <v>kidde.com</v>
      </c>
      <c r="C9744" t="s">
        <v>433</v>
      </c>
      <c r="E9744">
        <v>114792</v>
      </c>
      <c r="F9744">
        <v>3.7335890713351802E-7</v>
      </c>
      <c r="G9744">
        <v>100304</v>
      </c>
      <c r="H9744">
        <v>14686081</v>
      </c>
      <c r="I9744">
        <v>604882</v>
      </c>
      <c r="J9744">
        <v>3</v>
      </c>
    </row>
    <row r="9745" spans="1:10" x14ac:dyDescent="0.25">
      <c r="A9745" t="s">
        <v>92</v>
      </c>
      <c r="B9745" s="1" t="str">
        <f>HYPERLINK("http://kidde-fenwal.com","kidde-fenwal.com")</f>
        <v>kidde-fenwal.com</v>
      </c>
      <c r="C9745" t="s">
        <v>433</v>
      </c>
      <c r="F9745">
        <v>6.3552411772749303E-8</v>
      </c>
      <c r="G9745">
        <v>683413</v>
      </c>
      <c r="H9745">
        <v>13079711</v>
      </c>
      <c r="I9745">
        <v>12190478</v>
      </c>
      <c r="J9745">
        <v>3</v>
      </c>
    </row>
    <row r="9746" spans="1:10" x14ac:dyDescent="0.25">
      <c r="A9746" t="s">
        <v>92</v>
      </c>
      <c r="B9746" s="1" t="str">
        <f>HYPERLINK("http://kidde-fire.com","kidde-fire.com")</f>
        <v>kidde-fire.com</v>
      </c>
      <c r="C9746" t="s">
        <v>433</v>
      </c>
      <c r="F9746">
        <v>5.9590194524852999E-9</v>
      </c>
      <c r="G9746">
        <v>16961421</v>
      </c>
      <c r="H9746">
        <v>11150892</v>
      </c>
      <c r="I9746">
        <v>31730691</v>
      </c>
      <c r="J9746">
        <v>3</v>
      </c>
    </row>
    <row r="9747" spans="1:10" x14ac:dyDescent="0.25">
      <c r="A9747" t="s">
        <v>92</v>
      </c>
      <c r="B9747" s="1" t="str">
        <f>HYPERLINK("http://kiddefiresystems.com","kiddefiresystems.com")</f>
        <v>kiddefiresystems.com</v>
      </c>
      <c r="C9747" t="s">
        <v>433</v>
      </c>
      <c r="F9747">
        <v>1.57971889461015E-8</v>
      </c>
      <c r="G9747">
        <v>3600289</v>
      </c>
      <c r="H9747">
        <v>13310266</v>
      </c>
      <c r="I9747">
        <v>10776849</v>
      </c>
      <c r="J9747">
        <v>6</v>
      </c>
    </row>
    <row r="9748" spans="1:10" x14ac:dyDescent="0.25">
      <c r="A9748" t="s">
        <v>92</v>
      </c>
      <c r="B9748" s="1" t="str">
        <f>HYPERLINK("http://kiddeus.com","kiddeus.com")</f>
        <v>kiddeus.com</v>
      </c>
      <c r="C9748" t="s">
        <v>433</v>
      </c>
      <c r="F9748">
        <v>2.6507397826832801E-8</v>
      </c>
      <c r="G9748">
        <v>1942363</v>
      </c>
      <c r="H9748">
        <v>13089199</v>
      </c>
      <c r="I9748">
        <v>12148372</v>
      </c>
      <c r="J9748">
        <v>4</v>
      </c>
    </row>
    <row r="9749" spans="1:10" x14ac:dyDescent="0.25">
      <c r="A9749" t="s">
        <v>92</v>
      </c>
      <c r="B9749" s="1" t="str">
        <f>HYPERLINK("http://lenels2.com","lenels2.com")</f>
        <v>lenels2.com</v>
      </c>
      <c r="C9749" t="s">
        <v>433</v>
      </c>
      <c r="E9749">
        <v>813479</v>
      </c>
      <c r="F9749">
        <v>1.58830455385536E-7</v>
      </c>
      <c r="G9749">
        <v>244457</v>
      </c>
      <c r="H9749">
        <v>16754758</v>
      </c>
      <c r="I9749">
        <v>242094</v>
      </c>
      <c r="J9749">
        <v>3</v>
      </c>
    </row>
    <row r="9750" spans="1:10" x14ac:dyDescent="0.25">
      <c r="A9750" t="s">
        <v>92</v>
      </c>
      <c r="B9750" s="1" t="str">
        <f>HYPERLINK("http://lenels2bluediamondct.com","lenels2bluediamondct.com")</f>
        <v>lenels2bluediamondct.com</v>
      </c>
      <c r="C9750" t="s">
        <v>433</v>
      </c>
      <c r="J9750">
        <v>3</v>
      </c>
    </row>
    <row r="9751" spans="1:10" x14ac:dyDescent="0.25">
      <c r="A9751" t="s">
        <v>92</v>
      </c>
      <c r="B9751" s="1" t="str">
        <f>HYPERLINK("http://marioff.com","marioff.com")</f>
        <v>marioff.com</v>
      </c>
      <c r="C9751" t="s">
        <v>433</v>
      </c>
      <c r="F9751">
        <v>6.1629686712462099E-8</v>
      </c>
      <c r="G9751">
        <v>713967</v>
      </c>
      <c r="H9751">
        <v>13042812</v>
      </c>
      <c r="I9751">
        <v>12615768</v>
      </c>
      <c r="J9751">
        <v>3</v>
      </c>
    </row>
    <row r="9752" spans="1:10" x14ac:dyDescent="0.25">
      <c r="A9752" t="s">
        <v>92</v>
      </c>
      <c r="B9752" s="1" t="str">
        <f>HYPERLINK("http://nlyte.com","nlyte.com")</f>
        <v>nlyte.com</v>
      </c>
      <c r="C9752" t="s">
        <v>433</v>
      </c>
      <c r="E9752">
        <v>786483</v>
      </c>
      <c r="F9752">
        <v>1.76362468989495E-7</v>
      </c>
      <c r="G9752">
        <v>219520</v>
      </c>
      <c r="H9752">
        <v>13919896</v>
      </c>
      <c r="I9752">
        <v>5935179</v>
      </c>
      <c r="J9752">
        <v>3</v>
      </c>
    </row>
    <row r="9753" spans="1:10" x14ac:dyDescent="0.25">
      <c r="A9753" t="s">
        <v>92</v>
      </c>
      <c r="B9753" s="1" t="str">
        <f>HYPERLINK("http://noresco.com","noresco.com")</f>
        <v>noresco.com</v>
      </c>
      <c r="C9753" t="s">
        <v>433</v>
      </c>
      <c r="F9753">
        <v>1.1930078320356301E-7</v>
      </c>
      <c r="G9753">
        <v>331540</v>
      </c>
      <c r="H9753">
        <v>14214982</v>
      </c>
      <c r="I9753">
        <v>1694549</v>
      </c>
      <c r="J9753">
        <v>4</v>
      </c>
    </row>
    <row r="9754" spans="1:10" x14ac:dyDescent="0.25">
      <c r="A9754" t="s">
        <v>92</v>
      </c>
      <c r="B9754" s="1" t="str">
        <f>HYPERLINK("http://oemctrl.com","oemctrl.com")</f>
        <v>oemctrl.com</v>
      </c>
      <c r="C9754" t="s">
        <v>433</v>
      </c>
      <c r="F9754">
        <v>6.1942214813954997E-9</v>
      </c>
      <c r="G9754">
        <v>15566622</v>
      </c>
      <c r="H9754">
        <v>12854864</v>
      </c>
      <c r="I9754">
        <v>14234031</v>
      </c>
      <c r="J9754">
        <v>3</v>
      </c>
    </row>
    <row r="9755" spans="1:10" x14ac:dyDescent="0.25">
      <c r="A9755" t="s">
        <v>92</v>
      </c>
      <c r="B9755" s="1" t="str">
        <f>HYPERLINK("http://onity.com","onity.com")</f>
        <v>onity.com</v>
      </c>
      <c r="C9755" t="s">
        <v>433</v>
      </c>
      <c r="F9755">
        <v>5.2435423879187302E-8</v>
      </c>
      <c r="G9755">
        <v>869839</v>
      </c>
      <c r="H9755">
        <v>13486076</v>
      </c>
      <c r="I9755">
        <v>9995002</v>
      </c>
      <c r="J9755">
        <v>4</v>
      </c>
    </row>
    <row r="9756" spans="1:10" x14ac:dyDescent="0.25">
      <c r="A9756" t="s">
        <v>92</v>
      </c>
      <c r="B9756" s="1" t="str">
        <f>HYPERLINK("http://riello-burners.com","riello-burners.com")</f>
        <v>riello-burners.com</v>
      </c>
      <c r="C9756" t="s">
        <v>433</v>
      </c>
      <c r="F9756">
        <v>7.7217359856143893E-9</v>
      </c>
      <c r="G9756">
        <v>10525439</v>
      </c>
      <c r="H9756">
        <v>11063850</v>
      </c>
      <c r="I9756">
        <v>32644425</v>
      </c>
      <c r="J9756">
        <v>3</v>
      </c>
    </row>
    <row r="9757" spans="1:10" x14ac:dyDescent="0.25">
      <c r="A9757" t="s">
        <v>92</v>
      </c>
      <c r="B9757" s="1" t="str">
        <f>HYPERLINK("http://safetyproductswarehouse.com","safetyproductswarehouse.com")</f>
        <v>safetyproductswarehouse.com</v>
      </c>
      <c r="C9757" t="s">
        <v>433</v>
      </c>
      <c r="J9757">
        <v>3</v>
      </c>
    </row>
    <row r="9758" spans="1:10" x14ac:dyDescent="0.25">
      <c r="A9758" t="s">
        <v>92</v>
      </c>
      <c r="B9758" s="1" t="str">
        <f>HYPERLINK("http://sensitech.com","sensitech.com")</f>
        <v>sensitech.com</v>
      </c>
      <c r="C9758" t="s">
        <v>433</v>
      </c>
      <c r="E9758">
        <v>347330</v>
      </c>
      <c r="F9758">
        <v>5.6727233081246402E-8</v>
      </c>
      <c r="G9758">
        <v>787733</v>
      </c>
      <c r="H9758">
        <v>13631788</v>
      </c>
      <c r="I9758">
        <v>9617015</v>
      </c>
      <c r="J9758">
        <v>3</v>
      </c>
    </row>
    <row r="9759" spans="1:10" x14ac:dyDescent="0.25">
      <c r="A9759" t="s">
        <v>92</v>
      </c>
      <c r="B9759" s="1" t="str">
        <f>HYPERLINK("http://uhssystems.com","uhssystems.com")</f>
        <v>uhssystems.com</v>
      </c>
      <c r="C9759" t="s">
        <v>433</v>
      </c>
      <c r="F9759">
        <v>4.6764974482117899E-9</v>
      </c>
      <c r="G9759">
        <v>42568682</v>
      </c>
      <c r="H9759">
        <v>11253306</v>
      </c>
      <c r="I9759">
        <v>30875576</v>
      </c>
      <c r="J9759">
        <v>3</v>
      </c>
    </row>
    <row r="9760" spans="1:10" x14ac:dyDescent="0.25">
      <c r="A9760" t="s">
        <v>92</v>
      </c>
      <c r="B9760" s="1" t="str">
        <f>HYPERLINK("http://williscarrier.com","williscarrier.com")</f>
        <v>williscarrier.com</v>
      </c>
      <c r="C9760" t="s">
        <v>433</v>
      </c>
      <c r="F9760">
        <v>4.2123006221170799E-8</v>
      </c>
      <c r="G9760">
        <v>1159747</v>
      </c>
      <c r="H9760">
        <v>14852408</v>
      </c>
      <c r="I9760">
        <v>489389</v>
      </c>
      <c r="J9760">
        <v>3</v>
      </c>
    </row>
    <row r="9761" spans="1:10" x14ac:dyDescent="0.25">
      <c r="A9761" t="s">
        <v>92</v>
      </c>
      <c r="B9761" s="1" t="str">
        <f>HYPERLINK("http://lindefrigera.cz","lindefrigera.cz")</f>
        <v>lindefrigera.cz</v>
      </c>
      <c r="C9761" t="s">
        <v>435</v>
      </c>
      <c r="D9761" t="s">
        <v>814</v>
      </c>
      <c r="J9761">
        <v>3</v>
      </c>
    </row>
    <row r="9762" spans="1:10" x14ac:dyDescent="0.25">
      <c r="A9762" t="s">
        <v>92</v>
      </c>
      <c r="B9762" s="1" t="str">
        <f>HYPERLINK("http://carrier.de","carrier.de")</f>
        <v>carrier.de</v>
      </c>
      <c r="C9762" t="s">
        <v>436</v>
      </c>
      <c r="D9762" t="s">
        <v>815</v>
      </c>
      <c r="F9762">
        <v>2.0559287345563698E-8</v>
      </c>
      <c r="G9762">
        <v>2576170</v>
      </c>
      <c r="H9762">
        <v>14074237</v>
      </c>
      <c r="I9762">
        <v>2950845</v>
      </c>
      <c r="J9762">
        <v>2</v>
      </c>
    </row>
    <row r="9763" spans="1:10" x14ac:dyDescent="0.25">
      <c r="A9763" t="s">
        <v>92</v>
      </c>
      <c r="B9763" s="1" t="str">
        <f>HYPERLINK("http://carrier-transicold.de","carrier-transicold.de")</f>
        <v>carrier-transicold.de</v>
      </c>
      <c r="C9763" t="s">
        <v>436</v>
      </c>
      <c r="D9763" t="s">
        <v>815</v>
      </c>
      <c r="F9763">
        <v>5.0396035366614398E-9</v>
      </c>
      <c r="G9763">
        <v>28450968</v>
      </c>
      <c r="H9763">
        <v>9513840</v>
      </c>
      <c r="I9763">
        <v>65520177</v>
      </c>
      <c r="J9763">
        <v>3</v>
      </c>
    </row>
    <row r="9764" spans="1:10" x14ac:dyDescent="0.25">
      <c r="A9764" t="s">
        <v>92</v>
      </c>
      <c r="B9764" s="1" t="str">
        <f>HYPERLINK("http://celsior.de","celsior.de")</f>
        <v>celsior.de</v>
      </c>
      <c r="C9764" t="s">
        <v>436</v>
      </c>
      <c r="D9764" t="s">
        <v>815</v>
      </c>
      <c r="F9764">
        <v>9.32386396597278E-9</v>
      </c>
      <c r="G9764">
        <v>7542098</v>
      </c>
      <c r="H9764">
        <v>12235439</v>
      </c>
      <c r="I9764">
        <v>22363614</v>
      </c>
      <c r="J9764">
        <v>3</v>
      </c>
    </row>
    <row r="9765" spans="1:10" x14ac:dyDescent="0.25">
      <c r="A9765" t="s">
        <v>92</v>
      </c>
      <c r="B9765" s="1" t="str">
        <f>HYPERLINK("http://chubb.de","chubb.de")</f>
        <v>chubb.de</v>
      </c>
      <c r="C9765" t="s">
        <v>436</v>
      </c>
      <c r="D9765" t="s">
        <v>815</v>
      </c>
      <c r="F9765">
        <v>1.4113173448812E-8</v>
      </c>
      <c r="G9765">
        <v>4160840</v>
      </c>
      <c r="H9765">
        <v>13156340</v>
      </c>
      <c r="I9765">
        <v>11800815</v>
      </c>
      <c r="J9765">
        <v>4</v>
      </c>
    </row>
    <row r="9766" spans="1:10" x14ac:dyDescent="0.25">
      <c r="A9766" t="s">
        <v>92</v>
      </c>
      <c r="B9766" s="1" t="str">
        <f>HYPERLINK("http://fsz-web.de","fsz-web.de")</f>
        <v>fsz-web.de</v>
      </c>
      <c r="C9766" t="s">
        <v>436</v>
      </c>
      <c r="D9766" t="s">
        <v>815</v>
      </c>
      <c r="J9766">
        <v>3</v>
      </c>
    </row>
    <row r="9767" spans="1:10" x14ac:dyDescent="0.25">
      <c r="A9767" t="s">
        <v>92</v>
      </c>
      <c r="B9767" s="1" t="str">
        <f>HYPERLINK("http://carrier.es","carrier.es")</f>
        <v>carrier.es</v>
      </c>
      <c r="C9767" t="s">
        <v>443</v>
      </c>
      <c r="D9767" t="s">
        <v>822</v>
      </c>
      <c r="F9767">
        <v>3.4711149072714202E-8</v>
      </c>
      <c r="G9767">
        <v>1495246</v>
      </c>
      <c r="H9767">
        <v>14128570</v>
      </c>
      <c r="I9767">
        <v>2058980</v>
      </c>
      <c r="J9767">
        <v>2</v>
      </c>
    </row>
    <row r="9768" spans="1:10" x14ac:dyDescent="0.25">
      <c r="A9768" t="s">
        <v>92</v>
      </c>
      <c r="B9768" s="1" t="str">
        <f>HYPERLINK("http://carrier-refrigeracion.es","carrier-refrigeracion.es")</f>
        <v>carrier-refrigeracion.es</v>
      </c>
      <c r="C9768" t="s">
        <v>443</v>
      </c>
      <c r="D9768" t="s">
        <v>822</v>
      </c>
      <c r="F9768">
        <v>4.4456287607218602E-9</v>
      </c>
      <c r="G9768">
        <v>75092329</v>
      </c>
      <c r="H9768">
        <v>9565410</v>
      </c>
      <c r="I9768">
        <v>64782967</v>
      </c>
      <c r="J9768">
        <v>3</v>
      </c>
    </row>
    <row r="9769" spans="1:10" x14ac:dyDescent="0.25">
      <c r="A9769" t="s">
        <v>92</v>
      </c>
      <c r="B9769" s="1" t="str">
        <f>HYPERLINK("http://carriertransicold.eu","carriertransicold.eu")</f>
        <v>carriertransicold.eu</v>
      </c>
      <c r="C9769" t="s">
        <v>444</v>
      </c>
      <c r="F9769">
        <v>5.1760185649411198E-8</v>
      </c>
      <c r="G9769">
        <v>882975</v>
      </c>
      <c r="H9769">
        <v>16752216</v>
      </c>
      <c r="I9769">
        <v>255153</v>
      </c>
      <c r="J9769">
        <v>3</v>
      </c>
    </row>
    <row r="9770" spans="1:10" x14ac:dyDescent="0.25">
      <c r="A9770" t="s">
        <v>92</v>
      </c>
      <c r="B9770" s="1" t="str">
        <f>HYPERLINK("http://aritech.fi","aritech.fi")</f>
        <v>aritech.fi</v>
      </c>
      <c r="C9770" t="s">
        <v>445</v>
      </c>
      <c r="D9770" t="s">
        <v>823</v>
      </c>
      <c r="J9770">
        <v>2</v>
      </c>
    </row>
    <row r="9771" spans="1:10" x14ac:dyDescent="0.25">
      <c r="A9771" t="s">
        <v>92</v>
      </c>
      <c r="B9771" s="1" t="str">
        <f>HYPERLINK("http://carrier.fi","carrier.fi")</f>
        <v>carrier.fi</v>
      </c>
      <c r="C9771" t="s">
        <v>445</v>
      </c>
      <c r="D9771" t="s">
        <v>823</v>
      </c>
      <c r="F9771">
        <v>8.4214349568343898E-9</v>
      </c>
      <c r="G9771">
        <v>8999411</v>
      </c>
      <c r="H9771">
        <v>14072207</v>
      </c>
      <c r="I9771">
        <v>3136485</v>
      </c>
      <c r="J9771">
        <v>2</v>
      </c>
    </row>
    <row r="9772" spans="1:10" x14ac:dyDescent="0.25">
      <c r="A9772" t="s">
        <v>92</v>
      </c>
      <c r="B9772" s="1" t="str">
        <f>HYPERLINK("http://carrier-refrigeration.fi","carrier-refrigeration.fi")</f>
        <v>carrier-refrigeration.fi</v>
      </c>
      <c r="C9772" t="s">
        <v>445</v>
      </c>
      <c r="D9772" t="s">
        <v>823</v>
      </c>
      <c r="J9772">
        <v>2</v>
      </c>
    </row>
    <row r="9773" spans="1:10" x14ac:dyDescent="0.25">
      <c r="A9773" t="s">
        <v>92</v>
      </c>
      <c r="B9773" s="1" t="str">
        <f>HYPERLINK("http://carrierglobal.fi","carrierglobal.fi")</f>
        <v>carrierglobal.fi</v>
      </c>
      <c r="C9773" t="s">
        <v>445</v>
      </c>
      <c r="D9773" t="s">
        <v>823</v>
      </c>
      <c r="J9773">
        <v>2</v>
      </c>
    </row>
    <row r="9774" spans="1:10" x14ac:dyDescent="0.25">
      <c r="A9774" t="s">
        <v>92</v>
      </c>
      <c r="B9774" s="1" t="str">
        <f>HYPERLINK("http://carriersolutions.fi","carriersolutions.fi")</f>
        <v>carriersolutions.fi</v>
      </c>
      <c r="C9774" t="s">
        <v>445</v>
      </c>
      <c r="D9774" t="s">
        <v>823</v>
      </c>
      <c r="J9774">
        <v>2</v>
      </c>
    </row>
    <row r="9775" spans="1:10" x14ac:dyDescent="0.25">
      <c r="A9775" t="s">
        <v>92</v>
      </c>
      <c r="B9775" s="1" t="str">
        <f>HYPERLINK("http://chubbsuomi.fi","chubbsuomi.fi")</f>
        <v>chubbsuomi.fi</v>
      </c>
      <c r="C9775" t="s">
        <v>445</v>
      </c>
      <c r="D9775" t="s">
        <v>823</v>
      </c>
      <c r="J9775">
        <v>6</v>
      </c>
    </row>
    <row r="9776" spans="1:10" x14ac:dyDescent="0.25">
      <c r="A9776" t="s">
        <v>92</v>
      </c>
      <c r="B9776" s="1" t="str">
        <f>HYPERLINK("http://coolstep.fi","coolstep.fi")</f>
        <v>coolstep.fi</v>
      </c>
      <c r="C9776" t="s">
        <v>445</v>
      </c>
      <c r="D9776" t="s">
        <v>823</v>
      </c>
      <c r="J9776">
        <v>2</v>
      </c>
    </row>
    <row r="9777" spans="1:10" x14ac:dyDescent="0.25">
      <c r="A9777" t="s">
        <v>92</v>
      </c>
      <c r="B9777" s="1" t="str">
        <f>HYPERLINK("http://extinguishment.fi","extinguishment.fi")</f>
        <v>extinguishment.fi</v>
      </c>
      <c r="C9777" t="s">
        <v>445</v>
      </c>
      <c r="D9777" t="s">
        <v>823</v>
      </c>
      <c r="J9777">
        <v>2</v>
      </c>
    </row>
    <row r="9778" spans="1:10" x14ac:dyDescent="0.25">
      <c r="A9778" t="s">
        <v>92</v>
      </c>
      <c r="B9778" s="1" t="str">
        <f>HYPERLINK("http://fireprotection.fi","fireprotection.fi")</f>
        <v>fireprotection.fi</v>
      </c>
      <c r="C9778" t="s">
        <v>445</v>
      </c>
      <c r="D9778" t="s">
        <v>823</v>
      </c>
      <c r="J9778">
        <v>2</v>
      </c>
    </row>
    <row r="9779" spans="1:10" x14ac:dyDescent="0.25">
      <c r="A9779" t="s">
        <v>92</v>
      </c>
      <c r="B9779" s="1" t="str">
        <f>HYPERLINK("http://firesecurityproduct.fi","firesecurityproduct.fi")</f>
        <v>firesecurityproduct.fi</v>
      </c>
      <c r="C9779" t="s">
        <v>445</v>
      </c>
      <c r="D9779" t="s">
        <v>823</v>
      </c>
      <c r="J9779">
        <v>2</v>
      </c>
    </row>
    <row r="9780" spans="1:10" x14ac:dyDescent="0.25">
      <c r="A9780" t="s">
        <v>92</v>
      </c>
      <c r="B9780" s="1" t="str">
        <f>HYPERLINK("http://firesecurityproducts.fi","firesecurityproducts.fi")</f>
        <v>firesecurityproducts.fi</v>
      </c>
      <c r="C9780" t="s">
        <v>445</v>
      </c>
      <c r="D9780" t="s">
        <v>823</v>
      </c>
      <c r="J9780">
        <v>2</v>
      </c>
    </row>
    <row r="9781" spans="1:10" x14ac:dyDescent="0.25">
      <c r="A9781" t="s">
        <v>92</v>
      </c>
      <c r="B9781" s="1" t="str">
        <f>HYPERLINK("http://fog.fi","fog.fi")</f>
        <v>fog.fi</v>
      </c>
      <c r="C9781" t="s">
        <v>445</v>
      </c>
      <c r="D9781" t="s">
        <v>823</v>
      </c>
      <c r="J9781">
        <v>2</v>
      </c>
    </row>
    <row r="9782" spans="1:10" x14ac:dyDescent="0.25">
      <c r="A9782" t="s">
        <v>92</v>
      </c>
      <c r="B9782" s="1" t="str">
        <f>HYPERLINK("http://gelighting.fi","gelighting.fi")</f>
        <v>gelighting.fi</v>
      </c>
      <c r="C9782" t="s">
        <v>445</v>
      </c>
      <c r="D9782" t="s">
        <v>823</v>
      </c>
      <c r="J9782">
        <v>4</v>
      </c>
    </row>
    <row r="9783" spans="1:10" x14ac:dyDescent="0.25">
      <c r="A9783" t="s">
        <v>92</v>
      </c>
      <c r="B9783" s="1" t="str">
        <f>HYPERLINK("http://hi-fog.fi","hi-fog.fi")</f>
        <v>hi-fog.fi</v>
      </c>
      <c r="C9783" t="s">
        <v>445</v>
      </c>
      <c r="D9783" t="s">
        <v>823</v>
      </c>
      <c r="J9783">
        <v>2</v>
      </c>
    </row>
    <row r="9784" spans="1:10" x14ac:dyDescent="0.25">
      <c r="A9784" t="s">
        <v>92</v>
      </c>
      <c r="B9784" s="1" t="str">
        <f>HYPERLINK("http://marijot.fi","marijot.fi")</f>
        <v>marijot.fi</v>
      </c>
      <c r="C9784" t="s">
        <v>445</v>
      </c>
      <c r="D9784" t="s">
        <v>823</v>
      </c>
      <c r="J9784">
        <v>2</v>
      </c>
    </row>
    <row r="9785" spans="1:10" x14ac:dyDescent="0.25">
      <c r="A9785" t="s">
        <v>92</v>
      </c>
      <c r="B9785" s="1" t="str">
        <f>HYPERLINK("http://marioff.fi","marioff.fi")</f>
        <v>marioff.fi</v>
      </c>
      <c r="C9785" t="s">
        <v>445</v>
      </c>
      <c r="D9785" t="s">
        <v>823</v>
      </c>
      <c r="F9785">
        <v>4.4632554842436796E-9</v>
      </c>
      <c r="G9785">
        <v>66750489</v>
      </c>
      <c r="H9785">
        <v>12048694</v>
      </c>
      <c r="I9785">
        <v>27286610</v>
      </c>
      <c r="J9785">
        <v>2</v>
      </c>
    </row>
    <row r="9786" spans="1:10" x14ac:dyDescent="0.25">
      <c r="A9786" t="s">
        <v>92</v>
      </c>
      <c r="B9786" s="1" t="str">
        <f>HYPERLINK("http://mist.fi","mist.fi")</f>
        <v>mist.fi</v>
      </c>
      <c r="C9786" t="s">
        <v>445</v>
      </c>
      <c r="D9786" t="s">
        <v>823</v>
      </c>
      <c r="J9786">
        <v>2</v>
      </c>
    </row>
    <row r="9787" spans="1:10" x14ac:dyDescent="0.25">
      <c r="A9787" t="s">
        <v>92</v>
      </c>
      <c r="B9787" s="1" t="str">
        <f>HYPERLINK("http://paisari.fi","paisari.fi")</f>
        <v>paisari.fi</v>
      </c>
      <c r="C9787" t="s">
        <v>445</v>
      </c>
      <c r="D9787" t="s">
        <v>823</v>
      </c>
      <c r="J9787">
        <v>2</v>
      </c>
    </row>
    <row r="9788" spans="1:10" x14ac:dyDescent="0.25">
      <c r="A9788" t="s">
        <v>92</v>
      </c>
      <c r="B9788" s="1" t="str">
        <f>HYPERLINK("http://premisesconnect.fi","premisesconnect.fi")</f>
        <v>premisesconnect.fi</v>
      </c>
      <c r="C9788" t="s">
        <v>445</v>
      </c>
      <c r="D9788" t="s">
        <v>823</v>
      </c>
      <c r="J9788">
        <v>2</v>
      </c>
    </row>
    <row r="9789" spans="1:10" x14ac:dyDescent="0.25">
      <c r="A9789" t="s">
        <v>92</v>
      </c>
      <c r="B9789" s="1" t="str">
        <f>HYPERLINK("http://sammutus.fi","sammutus.fi")</f>
        <v>sammutus.fi</v>
      </c>
      <c r="C9789" t="s">
        <v>445</v>
      </c>
      <c r="D9789" t="s">
        <v>823</v>
      </c>
      <c r="J9789">
        <v>2</v>
      </c>
    </row>
    <row r="9790" spans="1:10" x14ac:dyDescent="0.25">
      <c r="A9790" t="s">
        <v>92</v>
      </c>
      <c r="B9790" s="1" t="str">
        <f>HYPERLINK("http://sprinkler.fi","sprinkler.fi")</f>
        <v>sprinkler.fi</v>
      </c>
      <c r="C9790" t="s">
        <v>445</v>
      </c>
      <c r="D9790" t="s">
        <v>823</v>
      </c>
      <c r="J9790">
        <v>2</v>
      </c>
    </row>
    <row r="9791" spans="1:10" x14ac:dyDescent="0.25">
      <c r="A9791" t="s">
        <v>92</v>
      </c>
      <c r="B9791" s="1" t="str">
        <f>HYPERLINK("http://sprinkleri.fi","sprinkleri.fi")</f>
        <v>sprinkleri.fi</v>
      </c>
      <c r="C9791" t="s">
        <v>445</v>
      </c>
      <c r="D9791" t="s">
        <v>823</v>
      </c>
      <c r="J9791">
        <v>2</v>
      </c>
    </row>
    <row r="9792" spans="1:10" x14ac:dyDescent="0.25">
      <c r="A9792" t="s">
        <v>92</v>
      </c>
      <c r="B9792" s="1" t="str">
        <f>HYPERLINK("http://sprinklersystems.fi","sprinklersystems.fi")</f>
        <v>sprinklersystems.fi</v>
      </c>
      <c r="C9792" t="s">
        <v>445</v>
      </c>
      <c r="D9792" t="s">
        <v>823</v>
      </c>
      <c r="J9792">
        <v>2</v>
      </c>
    </row>
    <row r="9793" spans="1:10" x14ac:dyDescent="0.25">
      <c r="A9793" t="s">
        <v>92</v>
      </c>
      <c r="B9793" s="1" t="str">
        <f>HYPERLINK("http://suppression.fi","suppression.fi")</f>
        <v>suppression.fi</v>
      </c>
      <c r="C9793" t="s">
        <v>445</v>
      </c>
      <c r="D9793" t="s">
        <v>823</v>
      </c>
      <c r="J9793">
        <v>2</v>
      </c>
    </row>
    <row r="9794" spans="1:10" x14ac:dyDescent="0.25">
      <c r="A9794" t="s">
        <v>92</v>
      </c>
      <c r="B9794" s="1" t="str">
        <f>HYPERLINK("http://ultraconnect.fi","ultraconnect.fi")</f>
        <v>ultraconnect.fi</v>
      </c>
      <c r="C9794" t="s">
        <v>445</v>
      </c>
      <c r="D9794" t="s">
        <v>823</v>
      </c>
      <c r="J9794">
        <v>2</v>
      </c>
    </row>
    <row r="9795" spans="1:10" x14ac:dyDescent="0.25">
      <c r="A9795" t="s">
        <v>92</v>
      </c>
      <c r="B9795" s="1" t="str">
        <f>HYPERLINK("http://vesisumu.fi","vesisumu.fi")</f>
        <v>vesisumu.fi</v>
      </c>
      <c r="C9795" t="s">
        <v>445</v>
      </c>
      <c r="D9795" t="s">
        <v>823</v>
      </c>
      <c r="J9795">
        <v>2</v>
      </c>
    </row>
    <row r="9796" spans="1:10" x14ac:dyDescent="0.25">
      <c r="A9796" t="s">
        <v>92</v>
      </c>
      <c r="B9796" s="1" t="str">
        <f>HYPERLINK("http://waterfog.fi","waterfog.fi")</f>
        <v>waterfog.fi</v>
      </c>
      <c r="C9796" t="s">
        <v>445</v>
      </c>
      <c r="D9796" t="s">
        <v>823</v>
      </c>
      <c r="J9796">
        <v>2</v>
      </c>
    </row>
    <row r="9797" spans="1:10" x14ac:dyDescent="0.25">
      <c r="A9797" t="s">
        <v>92</v>
      </c>
      <c r="B9797" s="1" t="str">
        <f>HYPERLINK("http://watermist.fi","watermist.fi")</f>
        <v>watermist.fi</v>
      </c>
      <c r="C9797" t="s">
        <v>445</v>
      </c>
      <c r="D9797" t="s">
        <v>823</v>
      </c>
      <c r="J9797">
        <v>2</v>
      </c>
    </row>
    <row r="9798" spans="1:10" x14ac:dyDescent="0.25">
      <c r="A9798" t="s">
        <v>92</v>
      </c>
      <c r="B9798" s="1" t="str">
        <f>HYPERLINK("http://zerowire.fi","zerowire.fi")</f>
        <v>zerowire.fi</v>
      </c>
      <c r="C9798" t="s">
        <v>445</v>
      </c>
      <c r="D9798" t="s">
        <v>823</v>
      </c>
      <c r="J9798">
        <v>2</v>
      </c>
    </row>
    <row r="9799" spans="1:10" x14ac:dyDescent="0.25">
      <c r="A9799" t="s">
        <v>92</v>
      </c>
      <c r="B9799" s="1" t="str">
        <f>HYPERLINK("http://carrier.fr","carrier.fr")</f>
        <v>carrier.fr</v>
      </c>
      <c r="C9799" t="s">
        <v>446</v>
      </c>
      <c r="D9799" t="s">
        <v>824</v>
      </c>
      <c r="F9799">
        <v>2.23481144550501E-8</v>
      </c>
      <c r="G9799">
        <v>2345478</v>
      </c>
      <c r="H9799">
        <v>12926780</v>
      </c>
      <c r="I9799">
        <v>13384594</v>
      </c>
      <c r="J9799">
        <v>2</v>
      </c>
    </row>
    <row r="9800" spans="1:10" x14ac:dyDescent="0.25">
      <c r="A9800" t="s">
        <v>92</v>
      </c>
      <c r="B9800" s="1" t="str">
        <f>HYPERLINK("http://carrierjobs.fr","carrierjobs.fr")</f>
        <v>carrierjobs.fr</v>
      </c>
      <c r="C9800" t="s">
        <v>446</v>
      </c>
      <c r="D9800" t="s">
        <v>824</v>
      </c>
      <c r="F9800">
        <v>1.0908470223445799E-8</v>
      </c>
      <c r="G9800">
        <v>5935829</v>
      </c>
      <c r="H9800">
        <v>12592484</v>
      </c>
      <c r="I9800">
        <v>16394384</v>
      </c>
      <c r="J9800">
        <v>3</v>
      </c>
    </row>
    <row r="9801" spans="1:10" x14ac:dyDescent="0.25">
      <c r="A9801" t="s">
        <v>92</v>
      </c>
      <c r="B9801" s="1" t="str">
        <f>HYPERLINK("http://kidde.fr","kidde.fr")</f>
        <v>kidde.fr</v>
      </c>
      <c r="C9801" t="s">
        <v>446</v>
      </c>
      <c r="D9801" t="s">
        <v>824</v>
      </c>
      <c r="F9801">
        <v>5.9746210871081202E-9</v>
      </c>
      <c r="G9801">
        <v>16852501</v>
      </c>
      <c r="H9801">
        <v>13062148</v>
      </c>
      <c r="I9801">
        <v>12317599</v>
      </c>
      <c r="J9801">
        <v>4</v>
      </c>
    </row>
    <row r="9802" spans="1:10" x14ac:dyDescent="0.25">
      <c r="A9802" t="s">
        <v>92</v>
      </c>
      <c r="B9802" s="1" t="str">
        <f>HYPERLINK("http://carrier.com.hk","carrier.com.hk")</f>
        <v>carrier.com.hk</v>
      </c>
      <c r="C9802" t="s">
        <v>450</v>
      </c>
      <c r="D9802" t="s">
        <v>827</v>
      </c>
      <c r="F9802">
        <v>1.4539728242265899E-8</v>
      </c>
      <c r="G9802">
        <v>3998920</v>
      </c>
      <c r="H9802">
        <v>12259145</v>
      </c>
      <c r="I9802">
        <v>21791652</v>
      </c>
      <c r="J9802">
        <v>2</v>
      </c>
    </row>
    <row r="9803" spans="1:10" x14ac:dyDescent="0.25">
      <c r="A9803" t="s">
        <v>92</v>
      </c>
      <c r="B9803" s="1" t="str">
        <f>HYPERLINK("http://bercacarrier.co.id","bercacarrier.co.id")</f>
        <v>bercacarrier.co.id</v>
      </c>
      <c r="C9803" t="s">
        <v>454</v>
      </c>
      <c r="D9803" t="s">
        <v>831</v>
      </c>
      <c r="F9803">
        <v>5.2064337769949596E-9</v>
      </c>
      <c r="G9803">
        <v>24988728</v>
      </c>
      <c r="H9803">
        <v>10763631</v>
      </c>
      <c r="I9803">
        <v>39479875</v>
      </c>
      <c r="J9803">
        <v>3</v>
      </c>
    </row>
    <row r="9804" spans="1:10" x14ac:dyDescent="0.25">
      <c r="A9804" t="s">
        <v>92</v>
      </c>
      <c r="B9804" s="1" t="str">
        <f>HYPERLINK("http://carrier.co.id","carrier.co.id")</f>
        <v>carrier.co.id</v>
      </c>
      <c r="C9804" t="s">
        <v>454</v>
      </c>
      <c r="D9804" t="s">
        <v>831</v>
      </c>
      <c r="F9804">
        <v>7.5547807774299602E-9</v>
      </c>
      <c r="G9804">
        <v>10895227</v>
      </c>
      <c r="H9804">
        <v>12249709</v>
      </c>
      <c r="I9804">
        <v>22020320</v>
      </c>
      <c r="J9804">
        <v>2</v>
      </c>
    </row>
    <row r="9805" spans="1:10" x14ac:dyDescent="0.25">
      <c r="A9805" t="s">
        <v>92</v>
      </c>
      <c r="B9805" s="1" t="str">
        <f>HYPERLINK("http://carrierjobs.co.in","carrierjobs.co.in")</f>
        <v>carrierjobs.co.in</v>
      </c>
      <c r="C9805" t="s">
        <v>457</v>
      </c>
      <c r="D9805" t="s">
        <v>834</v>
      </c>
      <c r="F9805">
        <v>1.0134597307971599E-8</v>
      </c>
      <c r="G9805">
        <v>6612090</v>
      </c>
      <c r="H9805">
        <v>12192401</v>
      </c>
      <c r="I9805">
        <v>23525395</v>
      </c>
      <c r="J9805">
        <v>3</v>
      </c>
    </row>
    <row r="9806" spans="1:10" x14ac:dyDescent="0.25">
      <c r="A9806" t="s">
        <v>92</v>
      </c>
      <c r="B9806" s="1" t="str">
        <f>HYPERLINK("http://sensitech.info","sensitech.info")</f>
        <v>sensitech.info</v>
      </c>
      <c r="C9806" t="s">
        <v>458</v>
      </c>
      <c r="F9806">
        <v>8.11020990896616E-9</v>
      </c>
      <c r="G9806">
        <v>9724103</v>
      </c>
      <c r="H9806">
        <v>12196659</v>
      </c>
      <c r="I9806">
        <v>23405846</v>
      </c>
      <c r="J9806">
        <v>4</v>
      </c>
    </row>
    <row r="9807" spans="1:10" x14ac:dyDescent="0.25">
      <c r="A9807" t="s">
        <v>92</v>
      </c>
      <c r="B9807" s="1" t="str">
        <f>HYPERLINK("http://carrier.io","carrier.io")</f>
        <v>carrier.io</v>
      </c>
      <c r="C9807" t="s">
        <v>518</v>
      </c>
      <c r="E9807">
        <v>106668</v>
      </c>
      <c r="F9807">
        <v>3.1002046475566599E-8</v>
      </c>
      <c r="G9807">
        <v>1662190</v>
      </c>
      <c r="H9807">
        <v>13769585</v>
      </c>
      <c r="I9807">
        <v>6779462</v>
      </c>
      <c r="J9807">
        <v>3</v>
      </c>
    </row>
    <row r="9808" spans="1:10" x14ac:dyDescent="0.25">
      <c r="A9808" t="s">
        <v>92</v>
      </c>
      <c r="B9808" s="1" t="str">
        <f>HYPERLINK("http://carrier.it","carrier.it")</f>
        <v>carrier.it</v>
      </c>
      <c r="C9808" t="s">
        <v>459</v>
      </c>
      <c r="D9808" t="s">
        <v>835</v>
      </c>
      <c r="F9808">
        <v>1.7091383688040499E-8</v>
      </c>
      <c r="G9808">
        <v>3262591</v>
      </c>
      <c r="H9808">
        <v>12730052</v>
      </c>
      <c r="I9808">
        <v>15197911</v>
      </c>
      <c r="J9808">
        <v>2</v>
      </c>
    </row>
    <row r="9809" spans="1:10" x14ac:dyDescent="0.25">
      <c r="A9809" t="s">
        <v>92</v>
      </c>
      <c r="B9809" s="1" t="str">
        <f>HYPERLINK("http://carrier.com.mx","carrier.com.mx")</f>
        <v>carrier.com.mx</v>
      </c>
      <c r="C9809" t="s">
        <v>471</v>
      </c>
      <c r="D9809" t="s">
        <v>847</v>
      </c>
      <c r="F9809">
        <v>1.5077053108879299E-8</v>
      </c>
      <c r="G9809">
        <v>3815146</v>
      </c>
      <c r="H9809">
        <v>13366611</v>
      </c>
      <c r="I9809">
        <v>10481113</v>
      </c>
      <c r="J9809">
        <v>2</v>
      </c>
    </row>
    <row r="9810" spans="1:10" x14ac:dyDescent="0.25">
      <c r="A9810" t="s">
        <v>92</v>
      </c>
      <c r="B9810" s="1" t="str">
        <f>HYPERLINK("http://kidde.com.mx","kidde.com.mx")</f>
        <v>kidde.com.mx</v>
      </c>
      <c r="C9810" t="s">
        <v>471</v>
      </c>
      <c r="D9810" t="s">
        <v>847</v>
      </c>
      <c r="F9810">
        <v>5.5023168257153598E-9</v>
      </c>
      <c r="G9810">
        <v>20875544</v>
      </c>
      <c r="H9810">
        <v>10824238</v>
      </c>
      <c r="I9810">
        <v>37521714</v>
      </c>
      <c r="J9810">
        <v>3</v>
      </c>
    </row>
    <row r="9811" spans="1:10" x14ac:dyDescent="0.25">
      <c r="A9811" t="s">
        <v>92</v>
      </c>
      <c r="B9811" s="1" t="str">
        <f>HYPERLINK("http://totaline.com.mx","totaline.com.mx")</f>
        <v>totaline.com.mx</v>
      </c>
      <c r="C9811" t="s">
        <v>471</v>
      </c>
      <c r="D9811" t="s">
        <v>847</v>
      </c>
      <c r="F9811">
        <v>5.3130125811134103E-9</v>
      </c>
      <c r="G9811">
        <v>23306238</v>
      </c>
      <c r="H9811">
        <v>12050762</v>
      </c>
      <c r="I9811">
        <v>27215740</v>
      </c>
      <c r="J9811">
        <v>3</v>
      </c>
    </row>
    <row r="9812" spans="1:10" x14ac:dyDescent="0.25">
      <c r="A9812" t="s">
        <v>92</v>
      </c>
      <c r="B9812" s="1" t="str">
        <f>HYPERLINK("http://carrier.com.my","carrier.com.my")</f>
        <v>carrier.com.my</v>
      </c>
      <c r="C9812" t="s">
        <v>472</v>
      </c>
      <c r="D9812" t="s">
        <v>848</v>
      </c>
      <c r="F9812">
        <v>8.9313414989187198E-9</v>
      </c>
      <c r="G9812">
        <v>8096428</v>
      </c>
      <c r="H9812">
        <v>13764165</v>
      </c>
      <c r="I9812">
        <v>7354002</v>
      </c>
      <c r="J9812">
        <v>2</v>
      </c>
    </row>
    <row r="9813" spans="1:10" x14ac:dyDescent="0.25">
      <c r="A9813" t="s">
        <v>92</v>
      </c>
      <c r="B9813" s="1" t="str">
        <f>HYPERLINK("http://carrier.nl","carrier.nl")</f>
        <v>carrier.nl</v>
      </c>
      <c r="C9813" t="s">
        <v>477</v>
      </c>
      <c r="D9813" t="s">
        <v>852</v>
      </c>
      <c r="F9813">
        <v>2.2326029495319099E-8</v>
      </c>
      <c r="G9813">
        <v>2347893</v>
      </c>
      <c r="H9813">
        <v>12332531</v>
      </c>
      <c r="I9813">
        <v>20158839</v>
      </c>
      <c r="J9813">
        <v>2</v>
      </c>
    </row>
    <row r="9814" spans="1:10" x14ac:dyDescent="0.25">
      <c r="A9814" t="s">
        <v>92</v>
      </c>
      <c r="B9814" s="1" t="str">
        <f>HYPERLINK("http://gesecurity.nl","gesecurity.nl")</f>
        <v>gesecurity.nl</v>
      </c>
      <c r="C9814" t="s">
        <v>477</v>
      </c>
      <c r="D9814" t="s">
        <v>852</v>
      </c>
      <c r="F9814">
        <v>5.3714724790743197E-9</v>
      </c>
      <c r="G9814">
        <v>22522853</v>
      </c>
      <c r="H9814">
        <v>10178613</v>
      </c>
      <c r="I9814">
        <v>59250571</v>
      </c>
      <c r="J9814">
        <v>4</v>
      </c>
    </row>
    <row r="9815" spans="1:10" x14ac:dyDescent="0.25">
      <c r="A9815" t="s">
        <v>92</v>
      </c>
      <c r="B9815" s="1" t="str">
        <f>HYPERLINK("http://autronicafire.no","autronicafire.no")</f>
        <v>autronicafire.no</v>
      </c>
      <c r="C9815" t="s">
        <v>478</v>
      </c>
      <c r="D9815" t="s">
        <v>853</v>
      </c>
      <c r="F9815">
        <v>1.61384391356886E-8</v>
      </c>
      <c r="G9815">
        <v>3510919</v>
      </c>
      <c r="H9815">
        <v>13722110</v>
      </c>
      <c r="I9815">
        <v>9470145</v>
      </c>
      <c r="J9815">
        <v>3</v>
      </c>
    </row>
    <row r="9816" spans="1:10" x14ac:dyDescent="0.25">
      <c r="A9816" t="s">
        <v>92</v>
      </c>
      <c r="B9816" s="1" t="str">
        <f>HYPERLINK("http://carrier.no","carrier.no")</f>
        <v>carrier.no</v>
      </c>
      <c r="C9816" t="s">
        <v>478</v>
      </c>
      <c r="D9816" t="s">
        <v>853</v>
      </c>
      <c r="F9816">
        <v>7.6970137270634608E-9</v>
      </c>
      <c r="G9816">
        <v>10589857</v>
      </c>
      <c r="H9816">
        <v>12164405</v>
      </c>
      <c r="I9816">
        <v>24240158</v>
      </c>
      <c r="J9816">
        <v>3</v>
      </c>
    </row>
    <row r="9817" spans="1:10" x14ac:dyDescent="0.25">
      <c r="A9817" t="s">
        <v>92</v>
      </c>
      <c r="B9817" s="1" t="str">
        <f>HYPERLINK("http://utcfssecurityproducts.no","utcfssecurityproducts.no")</f>
        <v>utcfssecurityproducts.no</v>
      </c>
      <c r="C9817" t="s">
        <v>478</v>
      </c>
      <c r="D9817" t="s">
        <v>853</v>
      </c>
      <c r="F9817">
        <v>4.7402830538155598E-9</v>
      </c>
      <c r="G9817">
        <v>38788014</v>
      </c>
      <c r="H9817">
        <v>12076834</v>
      </c>
      <c r="I9817">
        <v>26638152</v>
      </c>
      <c r="J9817">
        <v>3</v>
      </c>
    </row>
    <row r="9818" spans="1:10" x14ac:dyDescent="0.25">
      <c r="A9818" t="s">
        <v>92</v>
      </c>
      <c r="B9818" s="1" t="str">
        <f>HYPERLINK("http://chubb.co.nz","chubb.co.nz")</f>
        <v>chubb.co.nz</v>
      </c>
      <c r="C9818" t="s">
        <v>479</v>
      </c>
      <c r="D9818" t="s">
        <v>854</v>
      </c>
      <c r="F9818">
        <v>1.5644174562707201E-8</v>
      </c>
      <c r="G9818">
        <v>3642936</v>
      </c>
      <c r="H9818">
        <v>12397302</v>
      </c>
      <c r="I9818">
        <v>18891875</v>
      </c>
      <c r="J9818">
        <v>6</v>
      </c>
    </row>
    <row r="9819" spans="1:10" x14ac:dyDescent="0.25">
      <c r="A9819" t="s">
        <v>92</v>
      </c>
      <c r="B9819" s="1" t="str">
        <f>HYPERLINK("http://carrier.com.pl","carrier.com.pl")</f>
        <v>carrier.com.pl</v>
      </c>
      <c r="C9819" t="s">
        <v>486</v>
      </c>
      <c r="D9819" t="s">
        <v>860</v>
      </c>
      <c r="F9819">
        <v>8.9715946027830995E-9</v>
      </c>
      <c r="G9819">
        <v>8034258</v>
      </c>
      <c r="H9819">
        <v>14071798</v>
      </c>
      <c r="I9819">
        <v>3324820</v>
      </c>
      <c r="J9819">
        <v>3</v>
      </c>
    </row>
    <row r="9820" spans="1:10" x14ac:dyDescent="0.25">
      <c r="A9820" t="s">
        <v>92</v>
      </c>
      <c r="B9820" s="1" t="str">
        <f>HYPERLINK("http://ahi-carrier.ru","ahi-carrier.ru")</f>
        <v>ahi-carrier.ru</v>
      </c>
      <c r="C9820" t="s">
        <v>493</v>
      </c>
      <c r="D9820" t="s">
        <v>867</v>
      </c>
      <c r="F9820">
        <v>1.16836764186565E-8</v>
      </c>
      <c r="G9820">
        <v>5376723</v>
      </c>
      <c r="H9820">
        <v>13241216</v>
      </c>
      <c r="I9820">
        <v>11213548</v>
      </c>
      <c r="J9820">
        <v>4</v>
      </c>
    </row>
    <row r="9821" spans="1:10" x14ac:dyDescent="0.25">
      <c r="A9821" t="s">
        <v>92</v>
      </c>
      <c r="B9821" s="1" t="str">
        <f>HYPERLINK("http://carrier.com.sg","carrier.com.sg")</f>
        <v>carrier.com.sg</v>
      </c>
      <c r="C9821" t="s">
        <v>496</v>
      </c>
      <c r="D9821" t="s">
        <v>870</v>
      </c>
      <c r="F9821">
        <v>1.0158281407012501E-8</v>
      </c>
      <c r="G9821">
        <v>6588128</v>
      </c>
      <c r="H9821">
        <v>12650156</v>
      </c>
      <c r="I9821">
        <v>15797140</v>
      </c>
      <c r="J9821">
        <v>2</v>
      </c>
    </row>
    <row r="9822" spans="1:10" x14ac:dyDescent="0.25">
      <c r="A9822" t="s">
        <v>92</v>
      </c>
      <c r="B9822" s="1" t="str">
        <f>HYPERLINK("http://chubb.com.sg","chubb.com.sg")</f>
        <v>chubb.com.sg</v>
      </c>
      <c r="C9822" t="s">
        <v>496</v>
      </c>
      <c r="D9822" t="s">
        <v>870</v>
      </c>
      <c r="F9822">
        <v>6.9627143385489698E-9</v>
      </c>
      <c r="G9822">
        <v>12423865</v>
      </c>
      <c r="H9822">
        <v>12271809</v>
      </c>
      <c r="I9822">
        <v>21484093</v>
      </c>
      <c r="J9822">
        <v>4</v>
      </c>
    </row>
    <row r="9823" spans="1:10" x14ac:dyDescent="0.25">
      <c r="A9823" t="s">
        <v>92</v>
      </c>
      <c r="B9823" s="1" t="str">
        <f>HYPERLINK("http://carrier.co.th","carrier.co.th")</f>
        <v>carrier.co.th</v>
      </c>
      <c r="C9823" t="s">
        <v>500</v>
      </c>
      <c r="D9823" t="s">
        <v>874</v>
      </c>
      <c r="F9823">
        <v>6.1296673882351006E-8</v>
      </c>
      <c r="G9823">
        <v>718351</v>
      </c>
      <c r="H9823">
        <v>16858768</v>
      </c>
      <c r="I9823">
        <v>155614</v>
      </c>
      <c r="J9823">
        <v>2</v>
      </c>
    </row>
    <row r="9824" spans="1:10" x14ac:dyDescent="0.25">
      <c r="A9824" t="s">
        <v>92</v>
      </c>
      <c r="B9824" s="1" t="str">
        <f>HYPERLINK("http://alarko-carrier.com.tr","alarko-carrier.com.tr")</f>
        <v>alarko-carrier.com.tr</v>
      </c>
      <c r="C9824" t="s">
        <v>502</v>
      </c>
      <c r="D9824" t="s">
        <v>876</v>
      </c>
      <c r="E9824">
        <v>633583</v>
      </c>
      <c r="F9824">
        <v>5.87695267751038E-8</v>
      </c>
      <c r="G9824">
        <v>755074</v>
      </c>
      <c r="H9824">
        <v>14077341</v>
      </c>
      <c r="I9824">
        <v>2868518</v>
      </c>
      <c r="J9824">
        <v>3</v>
      </c>
    </row>
    <row r="9825" spans="1:10" x14ac:dyDescent="0.25">
      <c r="A9825" t="s">
        <v>92</v>
      </c>
      <c r="B9825" s="1" t="str">
        <f>HYPERLINK("http://carrier.com.tw","carrier.com.tw")</f>
        <v>carrier.com.tw</v>
      </c>
      <c r="C9825" t="s">
        <v>504</v>
      </c>
      <c r="D9825" t="s">
        <v>878</v>
      </c>
      <c r="F9825">
        <v>7.7726733700398405E-9</v>
      </c>
      <c r="G9825">
        <v>10385093</v>
      </c>
      <c r="H9825">
        <v>12198726</v>
      </c>
      <c r="I9825">
        <v>23346997</v>
      </c>
      <c r="J9825">
        <v>2</v>
      </c>
    </row>
    <row r="9826" spans="1:10" x14ac:dyDescent="0.25">
      <c r="A9826" t="s">
        <v>92</v>
      </c>
      <c r="B9826" s="1" t="str">
        <f>HYPERLINK("http://carrierrentalsystems.co.uk","carrierrentalsystems.co.uk")</f>
        <v>carrierrentalsystems.co.uk</v>
      </c>
      <c r="C9826" t="s">
        <v>506</v>
      </c>
      <c r="D9826" t="s">
        <v>880</v>
      </c>
      <c r="F9826">
        <v>9.4269889559320393E-9</v>
      </c>
      <c r="G9826">
        <v>7410975</v>
      </c>
      <c r="H9826">
        <v>12704685</v>
      </c>
      <c r="I9826">
        <v>15329831</v>
      </c>
      <c r="J9826">
        <v>3</v>
      </c>
    </row>
    <row r="9827" spans="1:10" x14ac:dyDescent="0.25">
      <c r="A9827" t="s">
        <v>92</v>
      </c>
      <c r="B9827" s="1" t="str">
        <f>HYPERLINK("http://chubb.co.uk","chubb.co.uk")</f>
        <v>chubb.co.uk</v>
      </c>
      <c r="C9827" t="s">
        <v>506</v>
      </c>
      <c r="D9827" t="s">
        <v>880</v>
      </c>
      <c r="F9827">
        <v>1.95484672681162E-8</v>
      </c>
      <c r="G9827">
        <v>2736837</v>
      </c>
      <c r="H9827">
        <v>14599664</v>
      </c>
      <c r="I9827">
        <v>686607</v>
      </c>
      <c r="J9827">
        <v>5</v>
      </c>
    </row>
    <row r="9828" spans="1:10" x14ac:dyDescent="0.25">
      <c r="A9828" t="s">
        <v>92</v>
      </c>
      <c r="B9828" s="1" t="str">
        <f>HYPERLINK("http://emsgroup.co.uk","emsgroup.co.uk")</f>
        <v>emsgroup.co.uk</v>
      </c>
      <c r="C9828" t="s">
        <v>506</v>
      </c>
      <c r="D9828" t="s">
        <v>880</v>
      </c>
      <c r="F9828">
        <v>7.61021981430285E-9</v>
      </c>
      <c r="G9828">
        <v>10773231</v>
      </c>
      <c r="H9828">
        <v>12113450</v>
      </c>
      <c r="I9828">
        <v>25641397</v>
      </c>
      <c r="J9828">
        <v>3</v>
      </c>
    </row>
    <row r="9829" spans="1:10" x14ac:dyDescent="0.25">
      <c r="A9829" t="s">
        <v>92</v>
      </c>
      <c r="B9829" s="1" t="str">
        <f>HYPERLINK("http://kiddesafetyeurope.co.uk","kiddesafetyeurope.co.uk")</f>
        <v>kiddesafetyeurope.co.uk</v>
      </c>
      <c r="C9829" t="s">
        <v>506</v>
      </c>
      <c r="D9829" t="s">
        <v>880</v>
      </c>
      <c r="F9829">
        <v>1.10676628082879E-8</v>
      </c>
      <c r="G9829">
        <v>5809373</v>
      </c>
      <c r="H9829">
        <v>12699327</v>
      </c>
      <c r="I9829">
        <v>15358617</v>
      </c>
      <c r="J9829">
        <v>3</v>
      </c>
    </row>
    <row r="9830" spans="1:10" x14ac:dyDescent="0.25">
      <c r="A9830" t="s">
        <v>92</v>
      </c>
      <c r="B9830" s="1" t="str">
        <f>HYPERLINK("http://rielloburners.co.uk","rielloburners.co.uk")</f>
        <v>rielloburners.co.uk</v>
      </c>
      <c r="C9830" t="s">
        <v>506</v>
      </c>
      <c r="D9830" t="s">
        <v>880</v>
      </c>
      <c r="F9830">
        <v>2.2696803628763801E-8</v>
      </c>
      <c r="G9830">
        <v>2307083</v>
      </c>
      <c r="H9830">
        <v>12247682</v>
      </c>
      <c r="I9830">
        <v>22059154</v>
      </c>
      <c r="J9830">
        <v>3</v>
      </c>
    </row>
    <row r="9831" spans="1:10" x14ac:dyDescent="0.25">
      <c r="A9831" t="s">
        <v>92</v>
      </c>
      <c r="B9831" s="1" t="str">
        <f>HYPERLINK("http://tcuk-aircon.co.uk","tcuk-aircon.co.uk")</f>
        <v>tcuk-aircon.co.uk</v>
      </c>
      <c r="C9831" t="s">
        <v>506</v>
      </c>
      <c r="D9831" t="s">
        <v>880</v>
      </c>
      <c r="J9831">
        <v>3</v>
      </c>
    </row>
    <row r="9832" spans="1:10" x14ac:dyDescent="0.25">
      <c r="A9832" t="s">
        <v>92</v>
      </c>
      <c r="B9832" s="1" t="str">
        <f>HYPERLINK("http://thomas-glover.co.uk","thomas-glover.co.uk")</f>
        <v>thomas-glover.co.uk</v>
      </c>
      <c r="C9832" t="s">
        <v>506</v>
      </c>
      <c r="D9832" t="s">
        <v>880</v>
      </c>
      <c r="F9832">
        <v>4.9895542043623699E-9</v>
      </c>
      <c r="G9832">
        <v>29681963</v>
      </c>
      <c r="H9832">
        <v>8678508</v>
      </c>
      <c r="I9832">
        <v>70118656</v>
      </c>
      <c r="J9832">
        <v>3</v>
      </c>
    </row>
    <row r="9833" spans="1:10" x14ac:dyDescent="0.25">
      <c r="A9833" t="s">
        <v>92</v>
      </c>
      <c r="B9833" s="1" t="str">
        <f>HYPERLINK("http://toshiba-aircon.co.uk","toshiba-aircon.co.uk")</f>
        <v>toshiba-aircon.co.uk</v>
      </c>
      <c r="C9833" t="s">
        <v>506</v>
      </c>
      <c r="D9833" t="s">
        <v>880</v>
      </c>
      <c r="F9833">
        <v>2.9842025145628E-8</v>
      </c>
      <c r="G9833">
        <v>1724666</v>
      </c>
      <c r="H9833">
        <v>12875892</v>
      </c>
      <c r="I9833">
        <v>14027447</v>
      </c>
      <c r="J9833">
        <v>4</v>
      </c>
    </row>
    <row r="9834" spans="1:10" x14ac:dyDescent="0.25">
      <c r="A9834" t="s">
        <v>92</v>
      </c>
      <c r="B9834" s="1" t="str">
        <f>HYPERLINK("http://utcfssecurityproducts.co.uk","utcfssecurityproducts.co.uk")</f>
        <v>utcfssecurityproducts.co.uk</v>
      </c>
      <c r="C9834" t="s">
        <v>506</v>
      </c>
      <c r="D9834" t="s">
        <v>880</v>
      </c>
      <c r="F9834">
        <v>7.38005281639122E-9</v>
      </c>
      <c r="G9834">
        <v>11289488</v>
      </c>
      <c r="H9834">
        <v>12208142</v>
      </c>
      <c r="I9834">
        <v>23073695</v>
      </c>
      <c r="J9834">
        <v>3</v>
      </c>
    </row>
    <row r="9835" spans="1:10" x14ac:dyDescent="0.25">
      <c r="A9835" t="s">
        <v>92</v>
      </c>
      <c r="B9835" s="1" t="str">
        <f>HYPERLINK("http://vipondfire.co.uk","vipondfire.co.uk")</f>
        <v>vipondfire.co.uk</v>
      </c>
      <c r="C9835" t="s">
        <v>506</v>
      </c>
      <c r="D9835" t="s">
        <v>880</v>
      </c>
      <c r="F9835">
        <v>5.8854702294157598E-9</v>
      </c>
      <c r="G9835">
        <v>17458911</v>
      </c>
      <c r="H9835">
        <v>11343612</v>
      </c>
      <c r="I9835">
        <v>30411097</v>
      </c>
      <c r="J9835">
        <v>7</v>
      </c>
    </row>
    <row r="9836" spans="1:10" x14ac:dyDescent="0.25">
      <c r="A9836" t="s">
        <v>92</v>
      </c>
      <c r="B9836" s="1" t="str">
        <f>HYPERLINK("http://vipondltd.co.uk","vipondltd.co.uk")</f>
        <v>vipondltd.co.uk</v>
      </c>
      <c r="C9836" t="s">
        <v>506</v>
      </c>
      <c r="D9836" t="s">
        <v>880</v>
      </c>
      <c r="J9836">
        <v>6</v>
      </c>
    </row>
    <row r="9837" spans="1:10" x14ac:dyDescent="0.25">
      <c r="A9837" t="s">
        <v>92</v>
      </c>
      <c r="B9837" s="1" t="str">
        <f>HYPERLINK("http://watkinshire.co.uk","watkinshire.co.uk")</f>
        <v>watkinshire.co.uk</v>
      </c>
      <c r="C9837" t="s">
        <v>506</v>
      </c>
      <c r="D9837" t="s">
        <v>880</v>
      </c>
      <c r="F9837">
        <v>5.5475878246447797E-9</v>
      </c>
      <c r="G9837">
        <v>20401665</v>
      </c>
      <c r="H9837">
        <v>13933184</v>
      </c>
      <c r="I9837">
        <v>4880986</v>
      </c>
      <c r="J9837">
        <v>3</v>
      </c>
    </row>
    <row r="9838" spans="1:10" x14ac:dyDescent="0.25">
      <c r="A9838" t="s">
        <v>93</v>
      </c>
      <c r="B9838" s="1" t="str">
        <f>HYPERLINK("http://fgwilson.ae","fgwilson.ae")</f>
        <v>fgwilson.ae</v>
      </c>
      <c r="C9838" t="s">
        <v>417</v>
      </c>
      <c r="D9838" t="s">
        <v>799</v>
      </c>
      <c r="F9838">
        <v>8.2176357205222394E-9</v>
      </c>
      <c r="G9838">
        <v>9541641</v>
      </c>
      <c r="H9838">
        <v>12362054</v>
      </c>
      <c r="I9838">
        <v>19548372</v>
      </c>
      <c r="J9838">
        <v>4</v>
      </c>
    </row>
    <row r="9839" spans="1:10" x14ac:dyDescent="0.25">
      <c r="A9839" t="s">
        <v>93</v>
      </c>
      <c r="B9839" s="1" t="str">
        <f>HYPERLINK("http://minetec.com.au","minetec.com.au")</f>
        <v>minetec.com.au</v>
      </c>
      <c r="C9839" t="s">
        <v>420</v>
      </c>
      <c r="D9839" t="s">
        <v>802</v>
      </c>
      <c r="F9839">
        <v>8.8801205514170401E-9</v>
      </c>
      <c r="G9839">
        <v>8176266</v>
      </c>
      <c r="H9839">
        <v>12561847</v>
      </c>
      <c r="I9839">
        <v>16694334</v>
      </c>
      <c r="J9839">
        <v>3</v>
      </c>
    </row>
    <row r="9840" spans="1:10" x14ac:dyDescent="0.25">
      <c r="A9840" t="s">
        <v>93</v>
      </c>
      <c r="B9840" s="1" t="str">
        <f>HYPERLINK("http://pecktech.ca","pecktech.ca")</f>
        <v>pecktech.ca</v>
      </c>
      <c r="C9840" t="s">
        <v>428</v>
      </c>
      <c r="D9840" t="s">
        <v>809</v>
      </c>
      <c r="F9840">
        <v>6.71592895612516E-9</v>
      </c>
      <c r="G9840">
        <v>13247479</v>
      </c>
      <c r="H9840">
        <v>12775778</v>
      </c>
      <c r="I9840">
        <v>14795605</v>
      </c>
      <c r="J9840">
        <v>3</v>
      </c>
    </row>
    <row r="9841" spans="1:10" x14ac:dyDescent="0.25">
      <c r="A9841" t="s">
        <v>93</v>
      </c>
      <c r="B9841" s="1" t="str">
        <f>HYPERLINK("http://afsifilters.com","afsifilters.com")</f>
        <v>afsifilters.com</v>
      </c>
      <c r="C9841" t="s">
        <v>433</v>
      </c>
      <c r="F9841">
        <v>4.7856718370467497E-9</v>
      </c>
      <c r="G9841">
        <v>36723604</v>
      </c>
      <c r="H9841">
        <v>11182724</v>
      </c>
      <c r="I9841">
        <v>31412013</v>
      </c>
      <c r="J9841">
        <v>3</v>
      </c>
    </row>
    <row r="9842" spans="1:10" x14ac:dyDescent="0.25">
      <c r="A9842" t="s">
        <v>93</v>
      </c>
      <c r="B9842" s="1" t="str">
        <f>HYPERLINK("http://bucyrus.com","bucyrus.com")</f>
        <v>bucyrus.com</v>
      </c>
      <c r="C9842" t="s">
        <v>433</v>
      </c>
      <c r="F9842">
        <v>2.2264475123091998E-8</v>
      </c>
      <c r="G9842">
        <v>2355125</v>
      </c>
      <c r="H9842">
        <v>14473021</v>
      </c>
      <c r="I9842">
        <v>1040862</v>
      </c>
      <c r="J9842">
        <v>3</v>
      </c>
    </row>
    <row r="9843" spans="1:10" x14ac:dyDescent="0.25">
      <c r="A9843" t="s">
        <v>93</v>
      </c>
      <c r="B9843" s="1" t="str">
        <f>HYPERLINK("http://busybusy.com","busybusy.com")</f>
        <v>busybusy.com</v>
      </c>
      <c r="C9843" t="s">
        <v>433</v>
      </c>
      <c r="E9843">
        <v>762934</v>
      </c>
      <c r="F9843">
        <v>6.3979735794265494E-8</v>
      </c>
      <c r="G9843">
        <v>677539</v>
      </c>
      <c r="H9843">
        <v>14650902</v>
      </c>
      <c r="I9843">
        <v>627092</v>
      </c>
      <c r="J9843">
        <v>3</v>
      </c>
    </row>
    <row r="9844" spans="1:10" x14ac:dyDescent="0.25">
      <c r="A9844" t="s">
        <v>93</v>
      </c>
      <c r="B9844" s="1" t="str">
        <f>HYPERLINK("http://cat.com","cat.com")</f>
        <v>cat.com</v>
      </c>
      <c r="C9844" t="s">
        <v>433</v>
      </c>
      <c r="E9844">
        <v>9113</v>
      </c>
      <c r="F9844">
        <v>2.0092845638662102E-6</v>
      </c>
      <c r="G9844">
        <v>18211</v>
      </c>
      <c r="H9844">
        <v>17634424</v>
      </c>
      <c r="I9844">
        <v>8751</v>
      </c>
      <c r="J9844">
        <v>2</v>
      </c>
    </row>
    <row r="9845" spans="1:10" x14ac:dyDescent="0.25">
      <c r="A9845" t="s">
        <v>93</v>
      </c>
      <c r="B9845" s="1" t="str">
        <f>HYPERLINK("http://caterpilar.com","caterpilar.com")</f>
        <v>caterpilar.com</v>
      </c>
      <c r="C9845" t="s">
        <v>433</v>
      </c>
      <c r="F9845">
        <v>7.20308375005426E-9</v>
      </c>
      <c r="G9845">
        <v>11732079</v>
      </c>
      <c r="H9845">
        <v>12319415</v>
      </c>
      <c r="I9845">
        <v>20430846</v>
      </c>
      <c r="J9845">
        <v>3</v>
      </c>
    </row>
    <row r="9846" spans="1:10" x14ac:dyDescent="0.25">
      <c r="A9846" t="s">
        <v>93</v>
      </c>
      <c r="B9846" s="1" t="str">
        <f>HYPERLINK("http://caterpillar.com","caterpillar.com")</f>
        <v>caterpillar.com</v>
      </c>
      <c r="C9846" t="s">
        <v>433</v>
      </c>
      <c r="E9846">
        <v>31306</v>
      </c>
      <c r="F9846">
        <v>2.3069890688330301E-6</v>
      </c>
      <c r="G9846">
        <v>16017</v>
      </c>
      <c r="H9846">
        <v>17615262</v>
      </c>
      <c r="I9846">
        <v>9233</v>
      </c>
      <c r="J9846">
        <v>1</v>
      </c>
    </row>
    <row r="9847" spans="1:10" x14ac:dyDescent="0.25">
      <c r="A9847" t="s">
        <v>93</v>
      </c>
      <c r="B9847" s="1" t="str">
        <f>HYPERLINK("http://caterpillar-energy-solutions.com","caterpillar-energy-solutions.com")</f>
        <v>caterpillar-energy-solutions.com</v>
      </c>
      <c r="C9847" t="s">
        <v>433</v>
      </c>
      <c r="F9847">
        <v>5.0790506138400997E-9</v>
      </c>
      <c r="G9847">
        <v>27530336</v>
      </c>
      <c r="H9847">
        <v>9891683</v>
      </c>
      <c r="I9847">
        <v>61749600</v>
      </c>
      <c r="J9847">
        <v>4</v>
      </c>
    </row>
    <row r="9848" spans="1:10" x14ac:dyDescent="0.25">
      <c r="A9848" t="s">
        <v>93</v>
      </c>
      <c r="B9848" s="1" t="str">
        <f>HYPERLINK("http://catfinancial.com","catfinancial.com")</f>
        <v>catfinancial.com</v>
      </c>
      <c r="C9848" t="s">
        <v>433</v>
      </c>
      <c r="E9848">
        <v>689078</v>
      </c>
      <c r="F9848">
        <v>8.0514430187559194E-8</v>
      </c>
      <c r="G9848">
        <v>518705</v>
      </c>
      <c r="H9848">
        <v>13353188</v>
      </c>
      <c r="I9848">
        <v>10605812</v>
      </c>
      <c r="J9848">
        <v>3</v>
      </c>
    </row>
    <row r="9849" spans="1:10" x14ac:dyDescent="0.25">
      <c r="A9849" t="s">
        <v>93</v>
      </c>
      <c r="B9849" s="1" t="str">
        <f>HYPERLINK("http://catjs.com","catjs.com")</f>
        <v>catjs.com</v>
      </c>
      <c r="C9849" t="s">
        <v>433</v>
      </c>
      <c r="F9849">
        <v>4.4438674851844697E-9</v>
      </c>
      <c r="G9849">
        <v>78206792</v>
      </c>
      <c r="H9849">
        <v>11957257</v>
      </c>
      <c r="I9849">
        <v>29020767</v>
      </c>
      <c r="J9849">
        <v>3</v>
      </c>
    </row>
    <row r="9850" spans="1:10" x14ac:dyDescent="0.25">
      <c r="A9850" t="s">
        <v>93</v>
      </c>
      <c r="B9850" s="1" t="str">
        <f>HYPERLINK("http://catpressurewashers.com","catpressurewashers.com")</f>
        <v>catpressurewashers.com</v>
      </c>
      <c r="C9850" t="s">
        <v>433</v>
      </c>
      <c r="F9850">
        <v>7.5507197218558994E-9</v>
      </c>
      <c r="G9850">
        <v>10903616</v>
      </c>
      <c r="H9850">
        <v>12328358</v>
      </c>
      <c r="I9850">
        <v>20238311</v>
      </c>
      <c r="J9850">
        <v>3</v>
      </c>
    </row>
    <row r="9851" spans="1:10" x14ac:dyDescent="0.25">
      <c r="A9851" t="s">
        <v>93</v>
      </c>
      <c r="B9851" s="1" t="str">
        <f>HYPERLINK("http://emdiesels.com","emdiesels.com")</f>
        <v>emdiesels.com</v>
      </c>
      <c r="C9851" t="s">
        <v>433</v>
      </c>
      <c r="E9851">
        <v>446147</v>
      </c>
      <c r="F9851">
        <v>1.75775719073496E-8</v>
      </c>
      <c r="G9851">
        <v>3123948</v>
      </c>
      <c r="H9851">
        <v>14500797</v>
      </c>
      <c r="I9851">
        <v>852009</v>
      </c>
      <c r="J9851">
        <v>3</v>
      </c>
    </row>
    <row r="9852" spans="1:10" x14ac:dyDescent="0.25">
      <c r="A9852" t="s">
        <v>93</v>
      </c>
      <c r="B9852" s="1" t="str">
        <f>HYPERLINK("http://fgwilson.com","fgwilson.com")</f>
        <v>fgwilson.com</v>
      </c>
      <c r="C9852" t="s">
        <v>433</v>
      </c>
      <c r="E9852">
        <v>889425</v>
      </c>
      <c r="F9852">
        <v>5.8978918630865899E-8</v>
      </c>
      <c r="G9852">
        <v>751944</v>
      </c>
      <c r="H9852">
        <v>14579028</v>
      </c>
      <c r="I9852">
        <v>713519</v>
      </c>
      <c r="J9852">
        <v>3</v>
      </c>
    </row>
    <row r="9853" spans="1:10" x14ac:dyDescent="0.25">
      <c r="A9853" t="s">
        <v>93</v>
      </c>
      <c r="B9853" s="1" t="str">
        <f>HYPERLINK("http://holtcat.com","holtcat.com")</f>
        <v>holtcat.com</v>
      </c>
      <c r="C9853" t="s">
        <v>433</v>
      </c>
      <c r="E9853">
        <v>740237</v>
      </c>
      <c r="F9853">
        <v>8.6810165470635498E-8</v>
      </c>
      <c r="G9853">
        <v>473210</v>
      </c>
      <c r="H9853">
        <v>14288887</v>
      </c>
      <c r="I9853">
        <v>1367895</v>
      </c>
      <c r="J9853">
        <v>3</v>
      </c>
    </row>
    <row r="9854" spans="1:10" x14ac:dyDescent="0.25">
      <c r="A9854" t="s">
        <v>93</v>
      </c>
      <c r="B9854" s="1" t="str">
        <f>HYPERLINK("http://insightplatform.com","insightplatform.com")</f>
        <v>insightplatform.com</v>
      </c>
      <c r="C9854" t="s">
        <v>433</v>
      </c>
      <c r="E9854">
        <v>880581</v>
      </c>
      <c r="F9854">
        <v>6.9905939575482398E-9</v>
      </c>
      <c r="G9854">
        <v>12339615</v>
      </c>
      <c r="H9854">
        <v>10848541</v>
      </c>
      <c r="I9854">
        <v>36890881</v>
      </c>
      <c r="J9854">
        <v>2</v>
      </c>
    </row>
    <row r="9855" spans="1:10" x14ac:dyDescent="0.25">
      <c r="A9855" t="s">
        <v>93</v>
      </c>
      <c r="B9855" s="1" t="str">
        <f>HYPERLINK("http://lincoln-industries.com","lincoln-industries.com")</f>
        <v>lincoln-industries.com</v>
      </c>
      <c r="C9855" t="s">
        <v>433</v>
      </c>
      <c r="J9855">
        <v>4</v>
      </c>
    </row>
    <row r="9856" spans="1:10" x14ac:dyDescent="0.25">
      <c r="A9856" t="s">
        <v>93</v>
      </c>
      <c r="B9856" s="1" t="str">
        <f>HYPERLINK("http://mak-global.com","mak-global.com")</f>
        <v>mak-global.com</v>
      </c>
      <c r="C9856" t="s">
        <v>433</v>
      </c>
      <c r="F9856">
        <v>5.5490045615338404E-9</v>
      </c>
      <c r="G9856">
        <v>20387170</v>
      </c>
      <c r="H9856">
        <v>14071868</v>
      </c>
      <c r="I9856">
        <v>3264699</v>
      </c>
      <c r="J9856">
        <v>3</v>
      </c>
    </row>
    <row r="9857" spans="1:10" x14ac:dyDescent="0.25">
      <c r="A9857" t="s">
        <v>93</v>
      </c>
      <c r="B9857" s="1" t="str">
        <f>HYPERLINK("http://perkins.com","perkins.com")</f>
        <v>perkins.com</v>
      </c>
      <c r="C9857" t="s">
        <v>433</v>
      </c>
      <c r="E9857">
        <v>229692</v>
      </c>
      <c r="F9857">
        <v>1.61226556845229E-7</v>
      </c>
      <c r="G9857">
        <v>240781</v>
      </c>
      <c r="H9857">
        <v>14662935</v>
      </c>
      <c r="I9857">
        <v>618792</v>
      </c>
      <c r="J9857">
        <v>3</v>
      </c>
    </row>
    <row r="9858" spans="1:10" x14ac:dyDescent="0.25">
      <c r="A9858" t="s">
        <v>93</v>
      </c>
      <c r="B9858" s="1" t="str">
        <f>HYPERLINK("http://perkins-br.com","perkins-br.com")</f>
        <v>perkins-br.com</v>
      </c>
      <c r="C9858" t="s">
        <v>433</v>
      </c>
      <c r="F9858">
        <v>4.5623304349632702E-9</v>
      </c>
      <c r="G9858">
        <v>50932561</v>
      </c>
      <c r="H9858">
        <v>13763633</v>
      </c>
      <c r="I9858">
        <v>8938905</v>
      </c>
      <c r="J9858">
        <v>3</v>
      </c>
    </row>
    <row r="9859" spans="1:10" x14ac:dyDescent="0.25">
      <c r="A9859" t="s">
        <v>93</v>
      </c>
      <c r="B9859" s="1" t="str">
        <f>HYPERLINK("http://progressrai.com","progressrai.com")</f>
        <v>progressrai.com</v>
      </c>
      <c r="C9859" t="s">
        <v>433</v>
      </c>
      <c r="J9859">
        <v>5</v>
      </c>
    </row>
    <row r="9860" spans="1:10" x14ac:dyDescent="0.25">
      <c r="A9860" t="s">
        <v>93</v>
      </c>
      <c r="B9860" s="1" t="str">
        <f>HYPERLINK("http://progressrail.com","progressrail.com")</f>
        <v>progressrail.com</v>
      </c>
      <c r="C9860" t="s">
        <v>433</v>
      </c>
      <c r="E9860">
        <v>140302</v>
      </c>
      <c r="F9860">
        <v>7.4815514974435196E-8</v>
      </c>
      <c r="G9860">
        <v>562325</v>
      </c>
      <c r="H9860">
        <v>14830909</v>
      </c>
      <c r="I9860">
        <v>505519</v>
      </c>
      <c r="J9860">
        <v>3</v>
      </c>
    </row>
    <row r="9861" spans="1:10" x14ac:dyDescent="0.25">
      <c r="A9861" t="s">
        <v>93</v>
      </c>
      <c r="B9861" s="1" t="str">
        <f>HYPERLINK("http://solarturbines.com","solarturbines.com")</f>
        <v>solarturbines.com</v>
      </c>
      <c r="C9861" t="s">
        <v>433</v>
      </c>
      <c r="E9861">
        <v>538169</v>
      </c>
      <c r="F9861">
        <v>9.8874732099122797E-8</v>
      </c>
      <c r="G9861">
        <v>407511</v>
      </c>
      <c r="H9861">
        <v>14581974</v>
      </c>
      <c r="I9861">
        <v>707293</v>
      </c>
      <c r="J9861">
        <v>3</v>
      </c>
    </row>
    <row r="9862" spans="1:10" x14ac:dyDescent="0.25">
      <c r="A9862" t="s">
        <v>93</v>
      </c>
      <c r="B9862" s="1" t="str">
        <f>HYPERLINK("http://terexmining.com","terexmining.com")</f>
        <v>terexmining.com</v>
      </c>
      <c r="C9862" t="s">
        <v>433</v>
      </c>
      <c r="F9862">
        <v>4.8047449168746603E-9</v>
      </c>
      <c r="G9862">
        <v>35903929</v>
      </c>
      <c r="H9862">
        <v>11119034</v>
      </c>
      <c r="I9862">
        <v>32057883</v>
      </c>
      <c r="J9862">
        <v>5</v>
      </c>
    </row>
    <row r="9863" spans="1:10" x14ac:dyDescent="0.25">
      <c r="A9863" t="s">
        <v>93</v>
      </c>
      <c r="B9863" s="1" t="str">
        <f>HYPERLINK("http://turbomach.com","turbomach.com")</f>
        <v>turbomach.com</v>
      </c>
      <c r="C9863" t="s">
        <v>433</v>
      </c>
      <c r="F9863">
        <v>8.2458544375860793E-9</v>
      </c>
      <c r="G9863">
        <v>9388264</v>
      </c>
      <c r="H9863">
        <v>12909381</v>
      </c>
      <c r="I9863">
        <v>13800045</v>
      </c>
      <c r="J9863">
        <v>3</v>
      </c>
    </row>
    <row r="9864" spans="1:10" x14ac:dyDescent="0.25">
      <c r="A9864" t="s">
        <v>93</v>
      </c>
      <c r="B9864" s="1" t="str">
        <f>HYPERLINK("http://zieglercat.com","zieglercat.com")</f>
        <v>zieglercat.com</v>
      </c>
      <c r="C9864" t="s">
        <v>433</v>
      </c>
      <c r="E9864">
        <v>599005</v>
      </c>
      <c r="F9864">
        <v>4.3639887765098702E-8</v>
      </c>
      <c r="G9864">
        <v>1094299</v>
      </c>
      <c r="H9864">
        <v>13817335</v>
      </c>
      <c r="I9864">
        <v>6157980</v>
      </c>
      <c r="J9864">
        <v>3</v>
      </c>
    </row>
    <row r="9865" spans="1:10" x14ac:dyDescent="0.25">
      <c r="A9865" t="s">
        <v>93</v>
      </c>
      <c r="B9865" s="1" t="str">
        <f>HYPERLINK("http://afsifilters.cz","afsifilters.cz")</f>
        <v>afsifilters.cz</v>
      </c>
      <c r="C9865" t="s">
        <v>435</v>
      </c>
      <c r="D9865" t="s">
        <v>814</v>
      </c>
      <c r="F9865">
        <v>5.4769199518491897E-9</v>
      </c>
      <c r="G9865">
        <v>21166096</v>
      </c>
      <c r="H9865">
        <v>12202137</v>
      </c>
      <c r="I9865">
        <v>23263826</v>
      </c>
      <c r="J9865">
        <v>4</v>
      </c>
    </row>
    <row r="9866" spans="1:10" x14ac:dyDescent="0.25">
      <c r="A9866" t="s">
        <v>93</v>
      </c>
      <c r="B9866" s="1" t="str">
        <f>HYPERLINK("http://caterpillar.cz","caterpillar.cz")</f>
        <v>caterpillar.cz</v>
      </c>
      <c r="C9866" t="s">
        <v>435</v>
      </c>
      <c r="D9866" t="s">
        <v>814</v>
      </c>
      <c r="F9866">
        <v>6.9291567598851598E-9</v>
      </c>
      <c r="G9866">
        <v>12528313</v>
      </c>
      <c r="H9866">
        <v>14072601</v>
      </c>
      <c r="I9866">
        <v>3068038</v>
      </c>
      <c r="J9866">
        <v>4</v>
      </c>
    </row>
    <row r="9867" spans="1:10" x14ac:dyDescent="0.25">
      <c r="A9867" t="s">
        <v>93</v>
      </c>
      <c r="B9867" s="1" t="str">
        <f>HYPERLINK("http://caterpillar-energy-solutions.de","caterpillar-energy-solutions.de")</f>
        <v>caterpillar-energy-solutions.de</v>
      </c>
      <c r="C9867" t="s">
        <v>436</v>
      </c>
      <c r="D9867" t="s">
        <v>815</v>
      </c>
      <c r="F9867">
        <v>2.7069948653628601E-8</v>
      </c>
      <c r="G9867">
        <v>1899894</v>
      </c>
      <c r="H9867">
        <v>12973808</v>
      </c>
      <c r="I9867">
        <v>13023875</v>
      </c>
      <c r="J9867">
        <v>3</v>
      </c>
    </row>
    <row r="9868" spans="1:10" x14ac:dyDescent="0.25">
      <c r="A9868" t="s">
        <v>93</v>
      </c>
      <c r="B9868" s="1" t="str">
        <f>HYPERLINK("http://motoren-steffens.de","motoren-steffens.de")</f>
        <v>motoren-steffens.de</v>
      </c>
      <c r="C9868" t="s">
        <v>436</v>
      </c>
      <c r="D9868" t="s">
        <v>815</v>
      </c>
      <c r="F9868">
        <v>4.7207496490289298E-9</v>
      </c>
      <c r="G9868">
        <v>40185077</v>
      </c>
      <c r="H9868">
        <v>9448388</v>
      </c>
      <c r="I9868">
        <v>66547640</v>
      </c>
      <c r="J9868">
        <v>3</v>
      </c>
    </row>
    <row r="9869" spans="1:10" x14ac:dyDescent="0.25">
      <c r="A9869" t="s">
        <v>93</v>
      </c>
      <c r="B9869" s="1" t="str">
        <f>HYPERLINK("http://fastrent.fi","fastrent.fi")</f>
        <v>fastrent.fi</v>
      </c>
      <c r="C9869" t="s">
        <v>445</v>
      </c>
      <c r="D9869" t="s">
        <v>823</v>
      </c>
      <c r="J9869">
        <v>2</v>
      </c>
    </row>
    <row r="9870" spans="1:10" x14ac:dyDescent="0.25">
      <c r="A9870" t="s">
        <v>93</v>
      </c>
      <c r="B9870" s="1" t="str">
        <f>HYPERLINK("http://solarturbines.fi","solarturbines.fi")</f>
        <v>solarturbines.fi</v>
      </c>
      <c r="C9870" t="s">
        <v>445</v>
      </c>
      <c r="D9870" t="s">
        <v>823</v>
      </c>
      <c r="J9870">
        <v>4</v>
      </c>
    </row>
    <row r="9871" spans="1:10" x14ac:dyDescent="0.25">
      <c r="A9871" t="s">
        <v>93</v>
      </c>
      <c r="B9871" s="1" t="str">
        <f>HYPERLINK("http://eraholdings.com.hk","eraholdings.com.hk")</f>
        <v>eraholdings.com.hk</v>
      </c>
      <c r="C9871" t="s">
        <v>450</v>
      </c>
      <c r="D9871" t="s">
        <v>827</v>
      </c>
      <c r="F9871">
        <v>4.5416943634452902E-9</v>
      </c>
      <c r="G9871">
        <v>53144199</v>
      </c>
      <c r="H9871">
        <v>12392493</v>
      </c>
      <c r="I9871">
        <v>18990524</v>
      </c>
      <c r="J9871">
        <v>3</v>
      </c>
    </row>
    <row r="9872" spans="1:10" x14ac:dyDescent="0.25">
      <c r="A9872" t="s">
        <v>93</v>
      </c>
      <c r="B9872" s="1" t="str">
        <f>HYPERLINK("http://nipponcat.co.jp","nipponcat.co.jp")</f>
        <v>nipponcat.co.jp</v>
      </c>
      <c r="C9872" t="s">
        <v>461</v>
      </c>
      <c r="D9872" t="s">
        <v>837</v>
      </c>
      <c r="F9872">
        <v>2.8369052866192499E-8</v>
      </c>
      <c r="G9872">
        <v>1813982</v>
      </c>
      <c r="H9872">
        <v>13808026</v>
      </c>
      <c r="I9872">
        <v>6223711</v>
      </c>
      <c r="J9872">
        <v>3</v>
      </c>
    </row>
    <row r="9873" spans="1:10" x14ac:dyDescent="0.25">
      <c r="A9873" t="s">
        <v>93</v>
      </c>
      <c r="B9873" s="1" t="str">
        <f>HYPERLINK("http://mwm.net","mwm.net")</f>
        <v>mwm.net</v>
      </c>
      <c r="C9873" t="s">
        <v>474</v>
      </c>
      <c r="E9873">
        <v>664727</v>
      </c>
      <c r="F9873">
        <v>5.2301338182492701E-8</v>
      </c>
      <c r="G9873">
        <v>872341</v>
      </c>
      <c r="H9873">
        <v>14030721</v>
      </c>
      <c r="I9873">
        <v>3932415</v>
      </c>
      <c r="J9873">
        <v>3</v>
      </c>
    </row>
    <row r="9874" spans="1:10" x14ac:dyDescent="0.25">
      <c r="A9874" t="s">
        <v>93</v>
      </c>
      <c r="B9874" s="1" t="str">
        <f>HYPERLINK("http://b-m.pl","b-m.pl")</f>
        <v>b-m.pl</v>
      </c>
      <c r="C9874" t="s">
        <v>486</v>
      </c>
      <c r="D9874" t="s">
        <v>860</v>
      </c>
      <c r="F9874">
        <v>7.3227552338115197E-9</v>
      </c>
      <c r="G9874">
        <v>11424613</v>
      </c>
      <c r="H9874">
        <v>11268042</v>
      </c>
      <c r="I9874">
        <v>30777656</v>
      </c>
      <c r="J9874">
        <v>3</v>
      </c>
    </row>
    <row r="9875" spans="1:10" x14ac:dyDescent="0.25">
      <c r="A9875" t="s">
        <v>93</v>
      </c>
      <c r="B9875" s="1" t="str">
        <f>HYPERLINK("http://fgwilson.com.tr","fgwilson.com.tr")</f>
        <v>fgwilson.com.tr</v>
      </c>
      <c r="C9875" t="s">
        <v>502</v>
      </c>
      <c r="D9875" t="s">
        <v>876</v>
      </c>
      <c r="F9875">
        <v>5.3729643573801598E-9</v>
      </c>
      <c r="G9875">
        <v>22504554</v>
      </c>
      <c r="H9875">
        <v>10952875</v>
      </c>
      <c r="I9875">
        <v>34517229</v>
      </c>
      <c r="J9875">
        <v>4</v>
      </c>
    </row>
    <row r="9876" spans="1:10" x14ac:dyDescent="0.25">
      <c r="A9876" t="s">
        <v>93</v>
      </c>
      <c r="B9876" s="1" t="str">
        <f>HYPERLINK("http://fgwilson.com.ua","fgwilson.com.ua")</f>
        <v>fgwilson.com.ua</v>
      </c>
      <c r="C9876" t="s">
        <v>505</v>
      </c>
      <c r="D9876" t="s">
        <v>879</v>
      </c>
      <c r="F9876">
        <v>5.3855572357383099E-9</v>
      </c>
      <c r="G9876">
        <v>22348931</v>
      </c>
      <c r="H9876">
        <v>10768472</v>
      </c>
      <c r="I9876">
        <v>39305500</v>
      </c>
      <c r="J9876">
        <v>4</v>
      </c>
    </row>
    <row r="9877" spans="1:10" x14ac:dyDescent="0.25">
      <c r="A9877" t="s">
        <v>1600</v>
      </c>
      <c r="B9877" s="1" t="str">
        <f>HYPERLINK("http://cenovus.com","cenovus.com")</f>
        <v>cenovus.com</v>
      </c>
      <c r="C9877" t="s">
        <v>433</v>
      </c>
      <c r="E9877">
        <v>100859</v>
      </c>
      <c r="F9877">
        <v>3.2921914091920601E-7</v>
      </c>
      <c r="G9877">
        <v>113151</v>
      </c>
      <c r="H9877">
        <v>14910846</v>
      </c>
      <c r="I9877">
        <v>457439</v>
      </c>
      <c r="J9877">
        <v>3</v>
      </c>
    </row>
    <row r="9878" spans="1:10" x14ac:dyDescent="0.25">
      <c r="A9878" t="s">
        <v>94</v>
      </c>
      <c r="B9878" s="1" t="str">
        <f>HYPERLINK("http://absolutetotalcare.com","absolutetotalcare.com")</f>
        <v>absolutetotalcare.com</v>
      </c>
      <c r="C9878" t="s">
        <v>433</v>
      </c>
      <c r="F9878">
        <v>3.1756744686203601E-8</v>
      </c>
      <c r="G9878">
        <v>1625969</v>
      </c>
      <c r="H9878">
        <v>13844558</v>
      </c>
      <c r="I9878">
        <v>6063658</v>
      </c>
      <c r="J9878">
        <v>3</v>
      </c>
    </row>
    <row r="9879" spans="1:10" x14ac:dyDescent="0.25">
      <c r="A9879" t="s">
        <v>94</v>
      </c>
      <c r="B9879" s="1" t="str">
        <f>HYPERLINK("http://acariahealth.com","acariahealth.com")</f>
        <v>acariahealth.com</v>
      </c>
      <c r="C9879" t="s">
        <v>433</v>
      </c>
      <c r="F9879">
        <v>1.0687095794985299E-8</v>
      </c>
      <c r="G9879">
        <v>6111227</v>
      </c>
      <c r="H9879">
        <v>12336374</v>
      </c>
      <c r="I9879">
        <v>20079506</v>
      </c>
      <c r="J9879">
        <v>3</v>
      </c>
    </row>
    <row r="9880" spans="1:10" x14ac:dyDescent="0.25">
      <c r="A9880" t="s">
        <v>94</v>
      </c>
      <c r="B9880" s="1" t="str">
        <f>HYPERLINK("http://afsc.com","afsc.com")</f>
        <v>afsc.com</v>
      </c>
      <c r="C9880" t="s">
        <v>433</v>
      </c>
      <c r="F9880">
        <v>1.9172292192410001E-8</v>
      </c>
      <c r="G9880">
        <v>2803337</v>
      </c>
      <c r="H9880">
        <v>13167868</v>
      </c>
      <c r="I9880">
        <v>11733021</v>
      </c>
      <c r="J9880">
        <v>3</v>
      </c>
    </row>
    <row r="9881" spans="1:10" x14ac:dyDescent="0.25">
      <c r="A9881" t="s">
        <v>94</v>
      </c>
      <c r="B9881" s="1" t="str">
        <f>HYPERLINK("http://apixio.com","apixio.com")</f>
        <v>apixio.com</v>
      </c>
      <c r="C9881" t="s">
        <v>433</v>
      </c>
      <c r="F9881">
        <v>6.8493034301963494E-8</v>
      </c>
      <c r="G9881">
        <v>621631</v>
      </c>
      <c r="H9881">
        <v>14130929</v>
      </c>
      <c r="I9881">
        <v>2021787</v>
      </c>
      <c r="J9881">
        <v>3</v>
      </c>
    </row>
    <row r="9882" spans="1:10" x14ac:dyDescent="0.25">
      <c r="A9882" t="s">
        <v>94</v>
      </c>
      <c r="B9882" s="1" t="str">
        <f>HYPERLINK("http://bchpohio.com","bchpohio.com")</f>
        <v>bchpohio.com</v>
      </c>
      <c r="C9882" t="s">
        <v>433</v>
      </c>
      <c r="F9882">
        <v>8.9959672257384703E-9</v>
      </c>
      <c r="G9882">
        <v>7997637</v>
      </c>
      <c r="H9882">
        <v>12416443</v>
      </c>
      <c r="I9882">
        <v>18516712</v>
      </c>
      <c r="J9882">
        <v>3</v>
      </c>
    </row>
    <row r="9883" spans="1:10" x14ac:dyDescent="0.25">
      <c r="A9883" t="s">
        <v>94</v>
      </c>
      <c r="B9883" s="1" t="str">
        <f>HYPERLINK("http://celticarehealth.com","celticarehealth.com")</f>
        <v>celticarehealth.com</v>
      </c>
      <c r="C9883" t="s">
        <v>433</v>
      </c>
      <c r="F9883">
        <v>4.4810715226778201E-9</v>
      </c>
      <c r="G9883">
        <v>62128504</v>
      </c>
      <c r="H9883">
        <v>10787194</v>
      </c>
      <c r="I9883">
        <v>38609726</v>
      </c>
      <c r="J9883">
        <v>3</v>
      </c>
    </row>
    <row r="9884" spans="1:10" x14ac:dyDescent="0.25">
      <c r="A9884" t="s">
        <v>94</v>
      </c>
      <c r="B9884" s="1" t="str">
        <f>HYPERLINK("http://centene.com","centene.com")</f>
        <v>centene.com</v>
      </c>
      <c r="C9884" t="s">
        <v>433</v>
      </c>
      <c r="E9884">
        <v>9417</v>
      </c>
      <c r="F9884">
        <v>6.5222775468492605E-7</v>
      </c>
      <c r="G9884">
        <v>59032</v>
      </c>
      <c r="H9884">
        <v>14745652</v>
      </c>
      <c r="I9884">
        <v>565359</v>
      </c>
      <c r="J9884">
        <v>1</v>
      </c>
    </row>
    <row r="9885" spans="1:10" x14ac:dyDescent="0.25">
      <c r="A9885" t="s">
        <v>94</v>
      </c>
      <c r="B9885" s="1" t="str">
        <f>HYPERLINK("http://communitymedicalgroup.com","communitymedicalgroup.com")</f>
        <v>communitymedicalgroup.com</v>
      </c>
      <c r="C9885" t="s">
        <v>433</v>
      </c>
      <c r="F9885">
        <v>1.1587509227502601E-8</v>
      </c>
      <c r="G9885">
        <v>5442332</v>
      </c>
      <c r="H9885">
        <v>12736421</v>
      </c>
      <c r="I9885">
        <v>15160836</v>
      </c>
      <c r="J9885">
        <v>3</v>
      </c>
    </row>
    <row r="9886" spans="1:10" x14ac:dyDescent="0.25">
      <c r="A9886" t="s">
        <v>94</v>
      </c>
      <c r="B9886" s="1" t="str">
        <f>HYPERLINK("http://easychoicehealthplan.com","easychoicehealthplan.com")</f>
        <v>easychoicehealthplan.com</v>
      </c>
      <c r="C9886" t="s">
        <v>433</v>
      </c>
      <c r="F9886">
        <v>8.2422921503223704E-9</v>
      </c>
      <c r="G9886">
        <v>9397915</v>
      </c>
      <c r="H9886">
        <v>13766708</v>
      </c>
      <c r="I9886">
        <v>6980827</v>
      </c>
      <c r="J9886">
        <v>7</v>
      </c>
    </row>
    <row r="9887" spans="1:10" x14ac:dyDescent="0.25">
      <c r="A9887" t="s">
        <v>94</v>
      </c>
      <c r="B9887" s="1" t="str">
        <f>HYPERLINK("http://envolvehealth.com","envolvehealth.com")</f>
        <v>envolvehealth.com</v>
      </c>
      <c r="C9887" t="s">
        <v>433</v>
      </c>
      <c r="E9887">
        <v>218559</v>
      </c>
      <c r="F9887">
        <v>1.37937447844322E-7</v>
      </c>
      <c r="G9887">
        <v>282484</v>
      </c>
      <c r="H9887">
        <v>13409021</v>
      </c>
      <c r="I9887">
        <v>10342596</v>
      </c>
      <c r="J9887">
        <v>3</v>
      </c>
    </row>
    <row r="9888" spans="1:10" x14ac:dyDescent="0.25">
      <c r="A9888" t="s">
        <v>94</v>
      </c>
      <c r="B9888" s="1" t="str">
        <f>HYPERLINK("http://healthnet.com","healthnet.com")</f>
        <v>healthnet.com</v>
      </c>
      <c r="C9888" t="s">
        <v>433</v>
      </c>
      <c r="E9888">
        <v>45221</v>
      </c>
      <c r="F9888">
        <v>4.4560943028745098E-7</v>
      </c>
      <c r="G9888">
        <v>84697</v>
      </c>
      <c r="H9888">
        <v>14715308</v>
      </c>
      <c r="I9888">
        <v>580799</v>
      </c>
      <c r="J9888">
        <v>3</v>
      </c>
    </row>
    <row r="9889" spans="1:10" x14ac:dyDescent="0.25">
      <c r="A9889" t="s">
        <v>94</v>
      </c>
      <c r="B9889" s="1" t="str">
        <f>HYPERLINK("http://healthnetfederalservices.com","healthnetfederalservices.com")</f>
        <v>healthnetfederalservices.com</v>
      </c>
      <c r="C9889" t="s">
        <v>433</v>
      </c>
      <c r="F9889">
        <v>1.8475212408004299E-8</v>
      </c>
      <c r="G9889">
        <v>2930315</v>
      </c>
      <c r="H9889">
        <v>13251240</v>
      </c>
      <c r="I9889">
        <v>11077988</v>
      </c>
      <c r="J9889">
        <v>6</v>
      </c>
    </row>
    <row r="9890" spans="1:10" x14ac:dyDescent="0.25">
      <c r="A9890" t="s">
        <v>94</v>
      </c>
      <c r="B9890" s="1" t="str">
        <f>HYPERLINK("http://healthnetoregon.com","healthnetoregon.com")</f>
        <v>healthnetoregon.com</v>
      </c>
      <c r="C9890" t="s">
        <v>433</v>
      </c>
      <c r="F9890">
        <v>1.42832136186248E-8</v>
      </c>
      <c r="G9890">
        <v>4099242</v>
      </c>
      <c r="H9890">
        <v>12357207</v>
      </c>
      <c r="I9890">
        <v>19640284</v>
      </c>
      <c r="J9890">
        <v>3</v>
      </c>
    </row>
    <row r="9891" spans="1:10" x14ac:dyDescent="0.25">
      <c r="A9891" t="s">
        <v>94</v>
      </c>
      <c r="B9891" s="1" t="str">
        <f>HYPERLINK("http://hnfs.com","hnfs.com")</f>
        <v>hnfs.com</v>
      </c>
      <c r="C9891" t="s">
        <v>433</v>
      </c>
      <c r="E9891">
        <v>590620</v>
      </c>
      <c r="F9891">
        <v>1.06409422480521E-7</v>
      </c>
      <c r="G9891">
        <v>376285</v>
      </c>
      <c r="H9891">
        <v>13455659</v>
      </c>
      <c r="I9891">
        <v>10186496</v>
      </c>
      <c r="J9891">
        <v>2</v>
      </c>
    </row>
    <row r="9892" spans="1:10" x14ac:dyDescent="0.25">
      <c r="A9892" t="s">
        <v>94</v>
      </c>
      <c r="B9892" s="1" t="str">
        <f>HYPERLINK("http://homestatehealth.com","homestatehealth.com")</f>
        <v>homestatehealth.com</v>
      </c>
      <c r="C9892" t="s">
        <v>433</v>
      </c>
      <c r="E9892">
        <v>532865</v>
      </c>
      <c r="F9892">
        <v>3.78018075121203E-8</v>
      </c>
      <c r="G9892">
        <v>1368888</v>
      </c>
      <c r="H9892">
        <v>13527271</v>
      </c>
      <c r="I9892">
        <v>9923684</v>
      </c>
      <c r="J9892">
        <v>3</v>
      </c>
    </row>
    <row r="9893" spans="1:10" x14ac:dyDescent="0.25">
      <c r="A9893" t="s">
        <v>94</v>
      </c>
      <c r="B9893" s="1" t="str">
        <f>HYPERLINK("http://interpreta.com","interpreta.com")</f>
        <v>interpreta.com</v>
      </c>
      <c r="C9893" t="s">
        <v>433</v>
      </c>
      <c r="F9893">
        <v>1.35675004464442E-8</v>
      </c>
      <c r="G9893">
        <v>4375512</v>
      </c>
      <c r="H9893">
        <v>13124224</v>
      </c>
      <c r="I9893">
        <v>11968299</v>
      </c>
      <c r="J9893">
        <v>3</v>
      </c>
    </row>
    <row r="9894" spans="1:10" x14ac:dyDescent="0.25">
      <c r="A9894" t="s">
        <v>94</v>
      </c>
      <c r="B9894" s="1" t="str">
        <f>HYPERLINK("http://louisianahealthconnect.com","louisianahealthconnect.com")</f>
        <v>louisianahealthconnect.com</v>
      </c>
      <c r="C9894" t="s">
        <v>433</v>
      </c>
      <c r="E9894">
        <v>442320</v>
      </c>
      <c r="F9894">
        <v>4.90741168899795E-8</v>
      </c>
      <c r="G9894">
        <v>943709</v>
      </c>
      <c r="H9894">
        <v>14026904</v>
      </c>
      <c r="I9894">
        <v>3972336</v>
      </c>
      <c r="J9894">
        <v>3</v>
      </c>
    </row>
    <row r="9895" spans="1:10" x14ac:dyDescent="0.25">
      <c r="A9895" t="s">
        <v>94</v>
      </c>
      <c r="B9895" s="1" t="str">
        <f>HYPERLINK("http://magellanfederal.com","magellanfederal.com")</f>
        <v>magellanfederal.com</v>
      </c>
      <c r="C9895" t="s">
        <v>433</v>
      </c>
      <c r="F9895">
        <v>1.5687530165411202E-8</v>
      </c>
      <c r="G9895">
        <v>3630941</v>
      </c>
      <c r="H9895">
        <v>13250903</v>
      </c>
      <c r="I9895">
        <v>11081497</v>
      </c>
      <c r="J9895">
        <v>6</v>
      </c>
    </row>
    <row r="9896" spans="1:10" x14ac:dyDescent="0.25">
      <c r="A9896" t="s">
        <v>94</v>
      </c>
      <c r="B9896" s="1" t="str">
        <f>HYPERLINK("http://magellanofaz.com","magellanofaz.com")</f>
        <v>magellanofaz.com</v>
      </c>
      <c r="C9896" t="s">
        <v>433</v>
      </c>
      <c r="F9896">
        <v>1.25931104739068E-8</v>
      </c>
      <c r="G9896">
        <v>4834491</v>
      </c>
      <c r="H9896">
        <v>13948766</v>
      </c>
      <c r="I9896">
        <v>4191188</v>
      </c>
      <c r="J9896">
        <v>3</v>
      </c>
    </row>
    <row r="9897" spans="1:10" x14ac:dyDescent="0.25">
      <c r="A9897" t="s">
        <v>94</v>
      </c>
      <c r="B9897" s="1" t="str">
        <f>HYPERLINK("http://magellanofpa.com","magellanofpa.com")</f>
        <v>magellanofpa.com</v>
      </c>
      <c r="C9897" t="s">
        <v>433</v>
      </c>
      <c r="F9897">
        <v>2.2445892281562599E-8</v>
      </c>
      <c r="G9897">
        <v>2334592</v>
      </c>
      <c r="H9897">
        <v>12485161</v>
      </c>
      <c r="I9897">
        <v>17545494</v>
      </c>
      <c r="J9897">
        <v>3</v>
      </c>
    </row>
    <row r="9898" spans="1:10" x14ac:dyDescent="0.25">
      <c r="A9898" t="s">
        <v>94</v>
      </c>
      <c r="B9898" s="1" t="str">
        <f>HYPERLINK("http://mhm-services.com","mhm-services.com")</f>
        <v>mhm-services.com</v>
      </c>
      <c r="C9898" t="s">
        <v>433</v>
      </c>
      <c r="E9898">
        <v>199489</v>
      </c>
      <c r="F9898">
        <v>1.7236248574099499E-8</v>
      </c>
      <c r="G9898">
        <v>3215633</v>
      </c>
      <c r="H9898">
        <v>13107888</v>
      </c>
      <c r="I9898">
        <v>12049550</v>
      </c>
      <c r="J9898">
        <v>3</v>
      </c>
    </row>
    <row r="9899" spans="1:10" x14ac:dyDescent="0.25">
      <c r="A9899" t="s">
        <v>94</v>
      </c>
      <c r="B9899" s="1" t="str">
        <f>HYPERLINK("http://mhn.com","mhn.com")</f>
        <v>mhn.com</v>
      </c>
      <c r="C9899" t="s">
        <v>433</v>
      </c>
      <c r="E9899">
        <v>508026</v>
      </c>
      <c r="F9899">
        <v>8.6920420779692506E-8</v>
      </c>
      <c r="G9899">
        <v>472505</v>
      </c>
      <c r="H9899">
        <v>14132716</v>
      </c>
      <c r="I9899">
        <v>1996445</v>
      </c>
      <c r="J9899">
        <v>3</v>
      </c>
    </row>
    <row r="9900" spans="1:10" x14ac:dyDescent="0.25">
      <c r="A9900" t="s">
        <v>94</v>
      </c>
      <c r="B9900" s="1" t="str">
        <f>HYPERLINK("http://mhplan.com","mhplan.com")</f>
        <v>mhplan.com</v>
      </c>
      <c r="C9900" t="s">
        <v>433</v>
      </c>
      <c r="E9900">
        <v>441884</v>
      </c>
      <c r="F9900">
        <v>6.5011473013476606E-8</v>
      </c>
      <c r="G9900">
        <v>662830</v>
      </c>
      <c r="H9900">
        <v>13651079</v>
      </c>
      <c r="I9900">
        <v>9605636</v>
      </c>
      <c r="J9900">
        <v>3</v>
      </c>
    </row>
    <row r="9901" spans="1:10" x14ac:dyDescent="0.25">
      <c r="A9901" t="s">
        <v>94</v>
      </c>
      <c r="B9901" s="1" t="str">
        <f>HYPERLINK("http://nurturhealth.com","nurturhealth.com")</f>
        <v>nurturhealth.com</v>
      </c>
      <c r="C9901" t="s">
        <v>433</v>
      </c>
      <c r="F9901">
        <v>2.4245856524045201E-8</v>
      </c>
      <c r="G9901">
        <v>2138920</v>
      </c>
      <c r="H9901">
        <v>13772165</v>
      </c>
      <c r="I9901">
        <v>6669210</v>
      </c>
      <c r="J9901">
        <v>3</v>
      </c>
    </row>
    <row r="9902" spans="1:10" x14ac:dyDescent="0.25">
      <c r="A9902" t="s">
        <v>94</v>
      </c>
      <c r="B9902" s="1" t="str">
        <f>HYPERLINK("http://pshpgeorgia.com","pshpgeorgia.com")</f>
        <v>pshpgeorgia.com</v>
      </c>
      <c r="C9902" t="s">
        <v>433</v>
      </c>
      <c r="E9902">
        <v>308666</v>
      </c>
      <c r="F9902">
        <v>5.1382599119556999E-8</v>
      </c>
      <c r="G9902">
        <v>890782</v>
      </c>
      <c r="H9902">
        <v>13860303</v>
      </c>
      <c r="I9902">
        <v>6021901</v>
      </c>
      <c r="J9902">
        <v>3</v>
      </c>
    </row>
    <row r="9903" spans="1:10" x14ac:dyDescent="0.25">
      <c r="A9903" t="s">
        <v>94</v>
      </c>
      <c r="B9903" s="1" t="str">
        <f>HYPERLINK("http://radmd.com","radmd.com")</f>
        <v>radmd.com</v>
      </c>
      <c r="C9903" t="s">
        <v>433</v>
      </c>
      <c r="E9903">
        <v>169874</v>
      </c>
      <c r="F9903">
        <v>4.2797454240431998E-8</v>
      </c>
      <c r="G9903">
        <v>1126979</v>
      </c>
      <c r="H9903">
        <v>13002812</v>
      </c>
      <c r="I9903">
        <v>12783127</v>
      </c>
      <c r="J9903">
        <v>3</v>
      </c>
    </row>
    <row r="9904" spans="1:10" x14ac:dyDescent="0.25">
      <c r="A9904" t="s">
        <v>94</v>
      </c>
      <c r="B9904" s="1" t="str">
        <f>HYPERLINK("http://superiorhealthplan.com","superiorhealthplan.com")</f>
        <v>superiorhealthplan.com</v>
      </c>
      <c r="C9904" t="s">
        <v>433</v>
      </c>
      <c r="E9904">
        <v>180161</v>
      </c>
      <c r="F9904">
        <v>9.3443378222132001E-8</v>
      </c>
      <c r="G9904">
        <v>435010</v>
      </c>
      <c r="H9904">
        <v>13889620</v>
      </c>
      <c r="I9904">
        <v>5963639</v>
      </c>
      <c r="J9904">
        <v>3</v>
      </c>
    </row>
    <row r="9905" spans="1:10" x14ac:dyDescent="0.25">
      <c r="A9905" t="s">
        <v>94</v>
      </c>
      <c r="B9905" s="1" t="str">
        <f>HYPERLINK("http://teamcenturion.com","teamcenturion.com")</f>
        <v>teamcenturion.com</v>
      </c>
      <c r="C9905" t="s">
        <v>433</v>
      </c>
      <c r="E9905">
        <v>395657</v>
      </c>
      <c r="F9905">
        <v>9.8913009841777197E-9</v>
      </c>
      <c r="G9905">
        <v>6868556</v>
      </c>
      <c r="H9905">
        <v>12221762</v>
      </c>
      <c r="I9905">
        <v>22752761</v>
      </c>
      <c r="J9905">
        <v>4</v>
      </c>
    </row>
    <row r="9906" spans="1:10" x14ac:dyDescent="0.25">
      <c r="A9906" t="s">
        <v>94</v>
      </c>
      <c r="B9906" s="1" t="str">
        <f>HYPERLINK("http://wellcare.com","wellcare.com")</f>
        <v>wellcare.com</v>
      </c>
      <c r="C9906" t="s">
        <v>433</v>
      </c>
      <c r="E9906">
        <v>36040</v>
      </c>
      <c r="F9906">
        <v>4.2351195402792801E-7</v>
      </c>
      <c r="G9906">
        <v>88931</v>
      </c>
      <c r="H9906">
        <v>14727828</v>
      </c>
      <c r="I9906">
        <v>574123</v>
      </c>
      <c r="J9906">
        <v>3</v>
      </c>
    </row>
    <row r="9907" spans="1:10" x14ac:dyDescent="0.25">
      <c r="A9907" t="s">
        <v>94</v>
      </c>
      <c r="B9907" s="1" t="str">
        <f>HYPERLINK("http://windsorhealthgroup.com","windsorhealthgroup.com")</f>
        <v>windsorhealthgroup.com</v>
      </c>
      <c r="C9907" t="s">
        <v>433</v>
      </c>
      <c r="F9907">
        <v>4.44380395335525E-9</v>
      </c>
      <c r="G9907">
        <v>84000968</v>
      </c>
      <c r="H9907">
        <v>0</v>
      </c>
      <c r="I9907">
        <v>84947861</v>
      </c>
      <c r="J9907">
        <v>7</v>
      </c>
    </row>
    <row r="9908" spans="1:10" x14ac:dyDescent="0.25">
      <c r="A9908" t="s">
        <v>94</v>
      </c>
      <c r="B9908" s="1" t="str">
        <f>HYPERLINK("http://povisa.es","povisa.es")</f>
        <v>povisa.es</v>
      </c>
      <c r="C9908" t="s">
        <v>443</v>
      </c>
      <c r="D9908" t="s">
        <v>822</v>
      </c>
      <c r="F9908">
        <v>1.36083785548617E-8</v>
      </c>
      <c r="G9908">
        <v>4358310</v>
      </c>
      <c r="H9908">
        <v>14245087</v>
      </c>
      <c r="I9908">
        <v>1468451</v>
      </c>
      <c r="J9908">
        <v>4</v>
      </c>
    </row>
    <row r="9909" spans="1:10" x14ac:dyDescent="0.25">
      <c r="A9909" t="s">
        <v>94</v>
      </c>
      <c r="B9909" s="1" t="str">
        <f>HYPERLINK("http://healthsmart.net","healthsmart.net")</f>
        <v>healthsmart.net</v>
      </c>
      <c r="C9909" t="s">
        <v>474</v>
      </c>
      <c r="F9909">
        <v>6.8850716725457603E-9</v>
      </c>
      <c r="G9909">
        <v>12680715</v>
      </c>
      <c r="H9909">
        <v>13763638</v>
      </c>
      <c r="I9909">
        <v>7998434</v>
      </c>
      <c r="J9909">
        <v>3</v>
      </c>
    </row>
    <row r="9910" spans="1:10" x14ac:dyDescent="0.25">
      <c r="A9910" t="s">
        <v>94</v>
      </c>
      <c r="B9910" s="1" t="str">
        <f>HYPERLINK("http://caqh.org","caqh.org")</f>
        <v>caqh.org</v>
      </c>
      <c r="C9910" t="s">
        <v>481</v>
      </c>
      <c r="E9910">
        <v>72415</v>
      </c>
      <c r="F9910">
        <v>3.8214864223358298E-6</v>
      </c>
      <c r="G9910">
        <v>10949</v>
      </c>
      <c r="H9910">
        <v>14444330</v>
      </c>
      <c r="I9910">
        <v>1058661</v>
      </c>
      <c r="J9910">
        <v>3</v>
      </c>
    </row>
    <row r="9911" spans="1:10" x14ac:dyDescent="0.25">
      <c r="A9911" t="s">
        <v>94</v>
      </c>
      <c r="B9911" s="1" t="str">
        <f>HYPERLINK("http://fideliscare.org","fideliscare.org")</f>
        <v>fideliscare.org</v>
      </c>
      <c r="C9911" t="s">
        <v>481</v>
      </c>
      <c r="E9911">
        <v>59616</v>
      </c>
      <c r="F9911">
        <v>1.44978172391561E-7</v>
      </c>
      <c r="G9911">
        <v>268496</v>
      </c>
      <c r="H9911">
        <v>13912711</v>
      </c>
      <c r="I9911">
        <v>5940443</v>
      </c>
      <c r="J9911">
        <v>3</v>
      </c>
    </row>
    <row r="9912" spans="1:10" x14ac:dyDescent="0.25">
      <c r="A9912" t="s">
        <v>95</v>
      </c>
      <c r="B9912" s="1" t="str">
        <f>HYPERLINK("http://aboutschwab.com","aboutschwab.com")</f>
        <v>aboutschwab.com</v>
      </c>
      <c r="C9912" t="s">
        <v>433</v>
      </c>
      <c r="E9912">
        <v>85383</v>
      </c>
      <c r="F9912">
        <v>9.6362454122709901E-7</v>
      </c>
      <c r="G9912">
        <v>39702</v>
      </c>
      <c r="H9912">
        <v>14962795</v>
      </c>
      <c r="I9912">
        <v>436383</v>
      </c>
      <c r="J9912">
        <v>4</v>
      </c>
    </row>
    <row r="9913" spans="1:10" x14ac:dyDescent="0.25">
      <c r="A9913" t="s">
        <v>95</v>
      </c>
      <c r="B9913" s="1" t="str">
        <f>HYPERLINK("http://ameritraderetirement.com","ameritraderetirement.com")</f>
        <v>ameritraderetirement.com</v>
      </c>
      <c r="C9913" t="s">
        <v>433</v>
      </c>
      <c r="J9913">
        <v>4</v>
      </c>
    </row>
    <row r="9914" spans="1:10" x14ac:dyDescent="0.25">
      <c r="A9914" t="s">
        <v>95</v>
      </c>
      <c r="B9914" s="1" t="str">
        <f>HYPERLINK("http://amtd.com","amtd.com")</f>
        <v>amtd.com</v>
      </c>
      <c r="C9914" t="s">
        <v>433</v>
      </c>
      <c r="E9914">
        <v>146964</v>
      </c>
      <c r="F9914">
        <v>4.53509435658565E-7</v>
      </c>
      <c r="G9914">
        <v>83371</v>
      </c>
      <c r="H9914">
        <v>14330105</v>
      </c>
      <c r="I9914">
        <v>1323438</v>
      </c>
      <c r="J9914">
        <v>3</v>
      </c>
    </row>
    <row r="9915" spans="1:10" x14ac:dyDescent="0.25">
      <c r="A9915" t="s">
        <v>95</v>
      </c>
      <c r="B9915" s="1" t="str">
        <f>HYPERLINK("http://csimfunds.com","csimfunds.com")</f>
        <v>csimfunds.com</v>
      </c>
      <c r="C9915" t="s">
        <v>433</v>
      </c>
      <c r="F9915">
        <v>1.3279684828217899E-8</v>
      </c>
      <c r="G9915">
        <v>4502399</v>
      </c>
      <c r="H9915">
        <v>13159642</v>
      </c>
      <c r="I9915">
        <v>11789037</v>
      </c>
      <c r="J9915">
        <v>3</v>
      </c>
    </row>
    <row r="9916" spans="1:10" x14ac:dyDescent="0.25">
      <c r="A9916" t="s">
        <v>95</v>
      </c>
      <c r="B9916" s="1" t="str">
        <f>HYPERLINK("http://datek.com","datek.com")</f>
        <v>datek.com</v>
      </c>
      <c r="C9916" t="s">
        <v>433</v>
      </c>
      <c r="E9916">
        <v>651411</v>
      </c>
      <c r="F9916">
        <v>2.7092545589545702E-8</v>
      </c>
      <c r="G9916">
        <v>1898245</v>
      </c>
      <c r="H9916">
        <v>13840782</v>
      </c>
      <c r="I9916">
        <v>6072076</v>
      </c>
      <c r="J9916">
        <v>6</v>
      </c>
    </row>
    <row r="9917" spans="1:10" x14ac:dyDescent="0.25">
      <c r="A9917" t="s">
        <v>95</v>
      </c>
      <c r="B9917" s="1" t="str">
        <f>HYPERLINK("http://individualinvestor.com","individualinvestor.com")</f>
        <v>individualinvestor.com</v>
      </c>
      <c r="C9917" t="s">
        <v>433</v>
      </c>
      <c r="F9917">
        <v>5.9040416903151704E-9</v>
      </c>
      <c r="G9917">
        <v>17331647</v>
      </c>
      <c r="H9917">
        <v>12841527</v>
      </c>
      <c r="I9917">
        <v>14340111</v>
      </c>
      <c r="J9917">
        <v>7</v>
      </c>
    </row>
    <row r="9918" spans="1:10" x14ac:dyDescent="0.25">
      <c r="A9918" t="s">
        <v>95</v>
      </c>
      <c r="B9918" s="1" t="str">
        <f>HYPERLINK("http://investools.com","investools.com")</f>
        <v>investools.com</v>
      </c>
      <c r="C9918" t="s">
        <v>433</v>
      </c>
      <c r="E9918">
        <v>896081</v>
      </c>
      <c r="F9918">
        <v>2.48109978840558E-8</v>
      </c>
      <c r="G9918">
        <v>2084336</v>
      </c>
      <c r="H9918">
        <v>14220489</v>
      </c>
      <c r="I9918">
        <v>1686134</v>
      </c>
      <c r="J9918">
        <v>7</v>
      </c>
    </row>
    <row r="9919" spans="1:10" x14ac:dyDescent="0.25">
      <c r="A9919" t="s">
        <v>95</v>
      </c>
      <c r="B9919" s="1" t="str">
        <f>HYPERLINK("http://irebal.com","irebal.com")</f>
        <v>irebal.com</v>
      </c>
      <c r="C9919" t="s">
        <v>433</v>
      </c>
      <c r="F9919">
        <v>5.2906617572048901E-9</v>
      </c>
      <c r="G9919">
        <v>23633042</v>
      </c>
      <c r="H9919">
        <v>13934076</v>
      </c>
      <c r="I9919">
        <v>4634936</v>
      </c>
      <c r="J9919">
        <v>7</v>
      </c>
    </row>
    <row r="9920" spans="1:10" x14ac:dyDescent="0.25">
      <c r="A9920" t="s">
        <v>95</v>
      </c>
      <c r="B9920" s="1" t="str">
        <f>HYPERLINK("http://schwab.com","schwab.com")</f>
        <v>schwab.com</v>
      </c>
      <c r="C9920" t="s">
        <v>433</v>
      </c>
      <c r="E9920">
        <v>1568</v>
      </c>
      <c r="F9920">
        <v>4.3842053919069597E-6</v>
      </c>
      <c r="G9920">
        <v>8066</v>
      </c>
      <c r="H9920">
        <v>17597344</v>
      </c>
      <c r="I9920">
        <v>9740</v>
      </c>
      <c r="J9920">
        <v>1</v>
      </c>
    </row>
    <row r="9921" spans="1:10" x14ac:dyDescent="0.25">
      <c r="A9921" t="s">
        <v>95</v>
      </c>
      <c r="B9921" s="1" t="str">
        <f>HYPERLINK("http://schwabcdn.com","schwabcdn.com")</f>
        <v>schwabcdn.com</v>
      </c>
      <c r="C9921" t="s">
        <v>433</v>
      </c>
      <c r="E9921">
        <v>117464</v>
      </c>
      <c r="F9921">
        <v>1.26121848109326E-8</v>
      </c>
      <c r="G9921">
        <v>4824747</v>
      </c>
      <c r="H9921">
        <v>13770939</v>
      </c>
      <c r="I9921">
        <v>6710677</v>
      </c>
      <c r="J9921">
        <v>3</v>
      </c>
    </row>
    <row r="9922" spans="1:10" x14ac:dyDescent="0.25">
      <c r="A9922" t="s">
        <v>95</v>
      </c>
      <c r="B9922" s="1" t="str">
        <f>HYPERLINK("http://schwabplan.com","schwabplan.com")</f>
        <v>schwabplan.com</v>
      </c>
      <c r="C9922" t="s">
        <v>433</v>
      </c>
      <c r="E9922">
        <v>135025</v>
      </c>
      <c r="F9922">
        <v>3.1950982095618201E-8</v>
      </c>
      <c r="G9922">
        <v>1617210</v>
      </c>
      <c r="H9922">
        <v>13389698</v>
      </c>
      <c r="I9922">
        <v>10392800</v>
      </c>
      <c r="J9922">
        <v>3</v>
      </c>
    </row>
    <row r="9923" spans="1:10" x14ac:dyDescent="0.25">
      <c r="A9923" t="s">
        <v>95</v>
      </c>
      <c r="B9923" s="1" t="str">
        <f>HYPERLINK("http://schwabpt.com","schwabpt.com")</f>
        <v>schwabpt.com</v>
      </c>
      <c r="C9923" t="s">
        <v>433</v>
      </c>
      <c r="F9923">
        <v>1.93234570005208E-8</v>
      </c>
      <c r="G9923">
        <v>2778299</v>
      </c>
      <c r="H9923">
        <v>12466998</v>
      </c>
      <c r="I9923">
        <v>17792968</v>
      </c>
      <c r="J9923">
        <v>3</v>
      </c>
    </row>
    <row r="9924" spans="1:10" x14ac:dyDescent="0.25">
      <c r="A9924" t="s">
        <v>95</v>
      </c>
      <c r="B9924" s="1" t="str">
        <f>HYPERLINK("http://schwabretirementcenter.com","schwabretirementcenter.com")</f>
        <v>schwabretirementcenter.com</v>
      </c>
      <c r="C9924" t="s">
        <v>433</v>
      </c>
      <c r="F9924">
        <v>9.6186370583137103E-9</v>
      </c>
      <c r="G9924">
        <v>7177209</v>
      </c>
      <c r="H9924">
        <v>12111893</v>
      </c>
      <c r="I9924">
        <v>25674978</v>
      </c>
      <c r="J9924">
        <v>3</v>
      </c>
    </row>
    <row r="9925" spans="1:10" x14ac:dyDescent="0.25">
      <c r="A9925" t="s">
        <v>95</v>
      </c>
      <c r="B9925" s="1" t="str">
        <f>HYPERLINK("http://tdainstitutional.com","tdainstitutional.com")</f>
        <v>tdainstitutional.com</v>
      </c>
      <c r="C9925" t="s">
        <v>433</v>
      </c>
      <c r="E9925">
        <v>58050</v>
      </c>
      <c r="F9925">
        <v>3.4218464159512801E-7</v>
      </c>
      <c r="G9925">
        <v>109121</v>
      </c>
      <c r="H9925">
        <v>16783728</v>
      </c>
      <c r="I9925">
        <v>215103</v>
      </c>
      <c r="J9925">
        <v>4</v>
      </c>
    </row>
    <row r="9926" spans="1:10" x14ac:dyDescent="0.25">
      <c r="A9926" t="s">
        <v>95</v>
      </c>
      <c r="B9926" s="1" t="str">
        <f>HYPERLINK("http://tdameritrade.com","tdameritrade.com")</f>
        <v>tdameritrade.com</v>
      </c>
      <c r="C9926" t="s">
        <v>433</v>
      </c>
      <c r="E9926">
        <v>3362</v>
      </c>
      <c r="F9926">
        <v>1.5190454840329E-6</v>
      </c>
      <c r="G9926">
        <v>25844</v>
      </c>
      <c r="H9926">
        <v>17405098</v>
      </c>
      <c r="I9926">
        <v>18858</v>
      </c>
      <c r="J9926">
        <v>3</v>
      </c>
    </row>
    <row r="9927" spans="1:10" x14ac:dyDescent="0.25">
      <c r="A9927" t="s">
        <v>95</v>
      </c>
      <c r="B9927" s="1" t="str">
        <f>HYPERLINK("http://tdameritradenetwork.com","tdameritradenetwork.com")</f>
        <v>tdameritradenetwork.com</v>
      </c>
      <c r="C9927" t="s">
        <v>433</v>
      </c>
      <c r="E9927">
        <v>184538</v>
      </c>
      <c r="F9927">
        <v>4.0051129953152702E-7</v>
      </c>
      <c r="G9927">
        <v>93716</v>
      </c>
      <c r="H9927">
        <v>14441909</v>
      </c>
      <c r="I9927">
        <v>1061462</v>
      </c>
      <c r="J9927">
        <v>5</v>
      </c>
    </row>
    <row r="9928" spans="1:10" x14ac:dyDescent="0.25">
      <c r="A9928" t="s">
        <v>95</v>
      </c>
      <c r="B9928" s="1" t="str">
        <f>HYPERLINK("http://tdameritradetrust.com","tdameritradetrust.com")</f>
        <v>tdameritradetrust.com</v>
      </c>
      <c r="C9928" t="s">
        <v>433</v>
      </c>
      <c r="F9928">
        <v>5.0250199403271899E-9</v>
      </c>
      <c r="G9928">
        <v>28785181</v>
      </c>
      <c r="H9928">
        <v>10949003</v>
      </c>
      <c r="I9928">
        <v>34606900</v>
      </c>
      <c r="J9928">
        <v>4</v>
      </c>
    </row>
    <row r="9929" spans="1:10" x14ac:dyDescent="0.25">
      <c r="A9929" t="s">
        <v>95</v>
      </c>
      <c r="B9929" s="1" t="str">
        <f>HYPERLINK("http://tdwaterhouse.com","tdwaterhouse.com")</f>
        <v>tdwaterhouse.com</v>
      </c>
      <c r="C9929" t="s">
        <v>433</v>
      </c>
      <c r="F9929">
        <v>5.0536689020564201E-8</v>
      </c>
      <c r="G9929">
        <v>908887</v>
      </c>
      <c r="H9929">
        <v>13792270</v>
      </c>
      <c r="I9929">
        <v>6330947</v>
      </c>
      <c r="J9929">
        <v>6</v>
      </c>
    </row>
    <row r="9930" spans="1:10" x14ac:dyDescent="0.25">
      <c r="A9930" t="s">
        <v>95</v>
      </c>
      <c r="B9930" s="1" t="str">
        <f>HYPERLINK("http://thinkorswim.com","thinkorswim.com")</f>
        <v>thinkorswim.com</v>
      </c>
      <c r="C9930" t="s">
        <v>433</v>
      </c>
      <c r="E9930">
        <v>21012</v>
      </c>
      <c r="F9930">
        <v>1.90327861632302E-7</v>
      </c>
      <c r="G9930">
        <v>202462</v>
      </c>
      <c r="H9930">
        <v>17027220</v>
      </c>
      <c r="I9930">
        <v>85593</v>
      </c>
      <c r="J9930">
        <v>4</v>
      </c>
    </row>
    <row r="9931" spans="1:10" x14ac:dyDescent="0.25">
      <c r="A9931" t="s">
        <v>95</v>
      </c>
      <c r="B9931" s="1" t="str">
        <f>HYPERLINK("http://thomaspartnersinvestmentmanagement.com","thomaspartnersinvestmentmanagement.com")</f>
        <v>thomaspartnersinvestmentmanagement.com</v>
      </c>
      <c r="C9931" t="s">
        <v>433</v>
      </c>
      <c r="F9931">
        <v>4.4474352121255701E-9</v>
      </c>
      <c r="G9931">
        <v>73527784</v>
      </c>
      <c r="H9931">
        <v>10547419</v>
      </c>
      <c r="I9931">
        <v>46804137</v>
      </c>
      <c r="J9931">
        <v>3</v>
      </c>
    </row>
    <row r="9932" spans="1:10" x14ac:dyDescent="0.25">
      <c r="A9932" t="s">
        <v>95</v>
      </c>
      <c r="B9932" s="1" t="str">
        <f>HYPERLINK("http://windhaveninvestments.com","windhaveninvestments.com")</f>
        <v>windhaveninvestments.com</v>
      </c>
      <c r="C9932" t="s">
        <v>433</v>
      </c>
      <c r="F9932">
        <v>7.1150794977587203E-9</v>
      </c>
      <c r="G9932">
        <v>11972555</v>
      </c>
      <c r="H9932">
        <v>12326362</v>
      </c>
      <c r="I9932">
        <v>20300338</v>
      </c>
      <c r="J9932">
        <v>5</v>
      </c>
    </row>
    <row r="9933" spans="1:10" x14ac:dyDescent="0.25">
      <c r="A9933" t="s">
        <v>95</v>
      </c>
      <c r="B9933" s="1" t="str">
        <f>HYPERLINK("http://schwab.com.hk","schwab.com.hk")</f>
        <v>schwab.com.hk</v>
      </c>
      <c r="C9933" t="s">
        <v>450</v>
      </c>
      <c r="D9933" t="s">
        <v>827</v>
      </c>
      <c r="F9933">
        <v>2.18609885699446E-8</v>
      </c>
      <c r="G9933">
        <v>2402604</v>
      </c>
      <c r="H9933">
        <v>13928518</v>
      </c>
      <c r="I9933">
        <v>5930043</v>
      </c>
      <c r="J9933">
        <v>2</v>
      </c>
    </row>
    <row r="9934" spans="1:10" x14ac:dyDescent="0.25">
      <c r="A9934" t="s">
        <v>95</v>
      </c>
      <c r="B9934" s="1" t="str">
        <f>HYPERLINK("http://tdameritrade.com.hk","tdameritrade.com.hk")</f>
        <v>tdameritrade.com.hk</v>
      </c>
      <c r="C9934" t="s">
        <v>450</v>
      </c>
      <c r="D9934" t="s">
        <v>827</v>
      </c>
      <c r="E9934">
        <v>204253</v>
      </c>
      <c r="F9934">
        <v>9.99666662053611E-9</v>
      </c>
      <c r="G9934">
        <v>6759159</v>
      </c>
      <c r="H9934">
        <v>13208591</v>
      </c>
      <c r="I9934">
        <v>11509174</v>
      </c>
      <c r="J9934">
        <v>4</v>
      </c>
    </row>
    <row r="9935" spans="1:10" x14ac:dyDescent="0.25">
      <c r="A9935" t="s">
        <v>95</v>
      </c>
      <c r="B9935" s="1" t="str">
        <f>HYPERLINK("http://tdameritrade.com.sg","tdameritrade.com.sg")</f>
        <v>tdameritrade.com.sg</v>
      </c>
      <c r="C9935" t="s">
        <v>496</v>
      </c>
      <c r="D9935" t="s">
        <v>870</v>
      </c>
      <c r="E9935">
        <v>62255</v>
      </c>
      <c r="F9935">
        <v>1.74772594101389E-8</v>
      </c>
      <c r="G9935">
        <v>3151426</v>
      </c>
      <c r="H9935">
        <v>13813918</v>
      </c>
      <c r="I9935">
        <v>6177858</v>
      </c>
      <c r="J9935">
        <v>4</v>
      </c>
    </row>
    <row r="9936" spans="1:10" x14ac:dyDescent="0.25">
      <c r="A9936" t="s">
        <v>95</v>
      </c>
      <c r="B9936" s="1" t="str">
        <f>HYPERLINK("http://schwab.tech","schwab.tech")</f>
        <v>schwab.tech</v>
      </c>
      <c r="C9936" t="s">
        <v>534</v>
      </c>
      <c r="E9936">
        <v>14854</v>
      </c>
      <c r="F9936">
        <v>4.44380996400719E-9</v>
      </c>
      <c r="G9936">
        <v>79651966</v>
      </c>
      <c r="H9936">
        <v>10351910</v>
      </c>
      <c r="I9936">
        <v>56159066</v>
      </c>
      <c r="J9936">
        <v>3</v>
      </c>
    </row>
    <row r="9937" spans="1:10" x14ac:dyDescent="0.25">
      <c r="A9937" t="s">
        <v>95</v>
      </c>
      <c r="B9937" s="1" t="str">
        <f>HYPERLINK("http://schwab.co.uk","schwab.co.uk")</f>
        <v>schwab.co.uk</v>
      </c>
      <c r="C9937" t="s">
        <v>506</v>
      </c>
      <c r="D9937" t="s">
        <v>880</v>
      </c>
      <c r="F9937">
        <v>1.55932649896607E-8</v>
      </c>
      <c r="G9937">
        <v>3657015</v>
      </c>
      <c r="H9937">
        <v>13843663</v>
      </c>
      <c r="I9937">
        <v>6065337</v>
      </c>
      <c r="J9937">
        <v>2</v>
      </c>
    </row>
    <row r="9938" spans="1:10" x14ac:dyDescent="0.25">
      <c r="A9938" t="s">
        <v>96</v>
      </c>
      <c r="B9938" s="1" t="str">
        <f>HYPERLINK("http://brighthouse.com","brighthouse.com")</f>
        <v>brighthouse.com</v>
      </c>
      <c r="C9938" t="s">
        <v>433</v>
      </c>
      <c r="E9938">
        <v>187514</v>
      </c>
      <c r="F9938">
        <v>2.6943168346624702E-7</v>
      </c>
      <c r="G9938">
        <v>138235</v>
      </c>
      <c r="H9938">
        <v>17163698</v>
      </c>
      <c r="I9938">
        <v>49124</v>
      </c>
      <c r="J9938">
        <v>3</v>
      </c>
    </row>
    <row r="9939" spans="1:10" x14ac:dyDescent="0.25">
      <c r="A9939" t="s">
        <v>96</v>
      </c>
      <c r="B9939" s="1" t="str">
        <f>HYPERLINK("http://charter.com","charter.com")</f>
        <v>charter.com</v>
      </c>
      <c r="C9939" t="s">
        <v>433</v>
      </c>
      <c r="E9939">
        <v>4084</v>
      </c>
      <c r="F9939">
        <v>2.5567392145611701E-6</v>
      </c>
      <c r="G9939">
        <v>14752</v>
      </c>
      <c r="H9939">
        <v>17608090</v>
      </c>
      <c r="I9939">
        <v>9444</v>
      </c>
      <c r="J9939">
        <v>1</v>
      </c>
    </row>
    <row r="9940" spans="1:10" x14ac:dyDescent="0.25">
      <c r="A9940" t="s">
        <v>96</v>
      </c>
      <c r="B9940" s="1" t="str">
        <f>HYPERLINK("http://chartercom.com","chartercom.com")</f>
        <v>chartercom.com</v>
      </c>
      <c r="C9940" t="s">
        <v>433</v>
      </c>
      <c r="E9940">
        <v>67053</v>
      </c>
      <c r="F9940">
        <v>3.98428279545292E-8</v>
      </c>
      <c r="G9940">
        <v>1296843</v>
      </c>
      <c r="H9940">
        <v>14028619</v>
      </c>
      <c r="I9940">
        <v>3970144</v>
      </c>
      <c r="J9940">
        <v>3</v>
      </c>
    </row>
    <row r="9941" spans="1:10" x14ac:dyDescent="0.25">
      <c r="A9941" t="s">
        <v>96</v>
      </c>
      <c r="B9941" s="1" t="str">
        <f>HYPERLINK("http://charterlab.com","charterlab.com")</f>
        <v>charterlab.com</v>
      </c>
      <c r="C9941" t="s">
        <v>433</v>
      </c>
      <c r="E9941">
        <v>937228</v>
      </c>
      <c r="J9941">
        <v>3</v>
      </c>
    </row>
    <row r="9942" spans="1:10" x14ac:dyDescent="0.25">
      <c r="A9942" t="s">
        <v>96</v>
      </c>
      <c r="B9942" s="1" t="str">
        <f>HYPERLINK("http://chtrse.com","chtrse.com")</f>
        <v>chtrse.com</v>
      </c>
      <c r="C9942" t="s">
        <v>433</v>
      </c>
      <c r="E9942">
        <v>551688</v>
      </c>
      <c r="F9942">
        <v>4.4438181532156802E-9</v>
      </c>
      <c r="G9942">
        <v>79256813</v>
      </c>
      <c r="H9942">
        <v>10352276</v>
      </c>
      <c r="I9942">
        <v>56067437</v>
      </c>
      <c r="J9942">
        <v>3</v>
      </c>
    </row>
    <row r="9943" spans="1:10" x14ac:dyDescent="0.25">
      <c r="A9943" t="s">
        <v>96</v>
      </c>
      <c r="B9943" s="1" t="str">
        <f>HYPERLINK("http://dukenet.com","dukenet.com")</f>
        <v>dukenet.com</v>
      </c>
      <c r="C9943" t="s">
        <v>433</v>
      </c>
      <c r="F9943">
        <v>7.9571047531657402E-9</v>
      </c>
      <c r="G9943">
        <v>10000327</v>
      </c>
      <c r="H9943">
        <v>13078153</v>
      </c>
      <c r="I9943">
        <v>12198166</v>
      </c>
      <c r="J9943">
        <v>3</v>
      </c>
    </row>
    <row r="9944" spans="1:10" x14ac:dyDescent="0.25">
      <c r="A9944" t="s">
        <v>96</v>
      </c>
      <c r="B9944" s="1" t="str">
        <f>HYPERLINK("http://klaskolaw.com","klaskolaw.com")</f>
        <v>klaskolaw.com</v>
      </c>
      <c r="C9944" t="s">
        <v>433</v>
      </c>
      <c r="F9944">
        <v>3.5742514610633002E-8</v>
      </c>
      <c r="G9944">
        <v>1457746</v>
      </c>
      <c r="H9944">
        <v>14477392</v>
      </c>
      <c r="I9944">
        <v>1030486</v>
      </c>
      <c r="J9944">
        <v>2</v>
      </c>
    </row>
    <row r="9945" spans="1:10" x14ac:dyDescent="0.25">
      <c r="A9945" t="s">
        <v>96</v>
      </c>
      <c r="B9945" s="1" t="str">
        <f>HYPERLINK("http://sb-insights-host.com","sb-insights-host.com")</f>
        <v>sb-insights-host.com</v>
      </c>
      <c r="C9945" t="s">
        <v>433</v>
      </c>
      <c r="F9945">
        <v>9.5190600356688105E-9</v>
      </c>
      <c r="G9945">
        <v>7299867</v>
      </c>
      <c r="H9945">
        <v>12214984</v>
      </c>
      <c r="I9945">
        <v>22904104</v>
      </c>
      <c r="J9945">
        <v>5</v>
      </c>
    </row>
    <row r="9946" spans="1:10" x14ac:dyDescent="0.25">
      <c r="A9946" t="s">
        <v>96</v>
      </c>
      <c r="B9946" s="1" t="str">
        <f>HYPERLINK("http://spectrum.com","spectrum.com")</f>
        <v>spectrum.com</v>
      </c>
      <c r="C9946" t="s">
        <v>433</v>
      </c>
      <c r="E9946">
        <v>1615</v>
      </c>
      <c r="F9946">
        <v>3.3931370554756099E-6</v>
      </c>
      <c r="G9946">
        <v>11905</v>
      </c>
      <c r="H9946">
        <v>17428960</v>
      </c>
      <c r="I9946">
        <v>17311</v>
      </c>
      <c r="J9946">
        <v>2</v>
      </c>
    </row>
    <row r="9947" spans="1:10" x14ac:dyDescent="0.25">
      <c r="A9947" t="s">
        <v>96</v>
      </c>
      <c r="B9947" s="1" t="str">
        <f>HYPERLINK("http://spectrumemployeecareers.com","spectrumemployeecareers.com")</f>
        <v>spectrumemployeecareers.com</v>
      </c>
      <c r="C9947" t="s">
        <v>433</v>
      </c>
      <c r="F9947">
        <v>6.5618367607503697E-9</v>
      </c>
      <c r="G9947">
        <v>13826582</v>
      </c>
      <c r="H9947">
        <v>11077607</v>
      </c>
      <c r="I9947">
        <v>32505170</v>
      </c>
      <c r="J9947">
        <v>3</v>
      </c>
    </row>
    <row r="9948" spans="1:10" x14ac:dyDescent="0.25">
      <c r="A9948" t="s">
        <v>96</v>
      </c>
      <c r="B9948" s="1" t="str">
        <f>HYPERLINK("http://spectrummobile.com","spectrummobile.com")</f>
        <v>spectrummobile.com</v>
      </c>
      <c r="C9948" t="s">
        <v>433</v>
      </c>
      <c r="E9948">
        <v>272422</v>
      </c>
      <c r="F9948">
        <v>6.0993146696009099E-8</v>
      </c>
      <c r="G9948">
        <v>722383</v>
      </c>
      <c r="H9948">
        <v>13114136</v>
      </c>
      <c r="I9948">
        <v>12020794</v>
      </c>
      <c r="J9948">
        <v>3</v>
      </c>
    </row>
    <row r="9949" spans="1:10" x14ac:dyDescent="0.25">
      <c r="A9949" t="s">
        <v>96</v>
      </c>
      <c r="B9949" s="1" t="str">
        <f>HYPERLINK("http://spectrumreach.com","spectrumreach.com")</f>
        <v>spectrumreach.com</v>
      </c>
      <c r="C9949" t="s">
        <v>433</v>
      </c>
      <c r="E9949">
        <v>273232</v>
      </c>
      <c r="F9949">
        <v>3.3306045214211401E-7</v>
      </c>
      <c r="G9949">
        <v>111913</v>
      </c>
      <c r="H9949">
        <v>14787045</v>
      </c>
      <c r="I9949">
        <v>552159</v>
      </c>
      <c r="J9949">
        <v>3</v>
      </c>
    </row>
    <row r="9950" spans="1:10" x14ac:dyDescent="0.25">
      <c r="A9950" t="s">
        <v>96</v>
      </c>
      <c r="B9950" s="1" t="str">
        <f>HYPERLINK("http://spectrumscience.com","spectrumscience.com")</f>
        <v>spectrumscience.com</v>
      </c>
      <c r="C9950" t="s">
        <v>433</v>
      </c>
      <c r="E9950">
        <v>821785</v>
      </c>
      <c r="F9950">
        <v>3.1137272344447698E-8</v>
      </c>
      <c r="G9950">
        <v>1655669</v>
      </c>
      <c r="H9950">
        <v>14182746</v>
      </c>
      <c r="I9950">
        <v>1776430</v>
      </c>
      <c r="J9950">
        <v>5</v>
      </c>
    </row>
    <row r="9951" spans="1:10" x14ac:dyDescent="0.25">
      <c r="A9951" t="s">
        <v>96</v>
      </c>
      <c r="B9951" s="1" t="str">
        <f>HYPERLINK("http://srincentives.com","srincentives.com")</f>
        <v>srincentives.com</v>
      </c>
      <c r="C9951" t="s">
        <v>433</v>
      </c>
      <c r="J9951">
        <v>3</v>
      </c>
    </row>
    <row r="9952" spans="1:10" x14ac:dyDescent="0.25">
      <c r="A9952" t="s">
        <v>96</v>
      </c>
      <c r="B9952" s="1" t="str">
        <f>HYPERLINK("http://srsites.com","srsites.com")</f>
        <v>srsites.com</v>
      </c>
      <c r="C9952" t="s">
        <v>433</v>
      </c>
      <c r="F9952">
        <v>4.6321351024799402E-9</v>
      </c>
      <c r="G9952">
        <v>45306615</v>
      </c>
      <c r="H9952">
        <v>9466659</v>
      </c>
      <c r="I9952">
        <v>66254751</v>
      </c>
      <c r="J9952">
        <v>3</v>
      </c>
    </row>
    <row r="9953" spans="1:10" x14ac:dyDescent="0.25">
      <c r="A9953" t="s">
        <v>96</v>
      </c>
      <c r="B9953" s="1" t="str">
        <f>HYPERLINK("http://tctechllc.com","tctechllc.com")</f>
        <v>tctechllc.com</v>
      </c>
      <c r="C9953" t="s">
        <v>433</v>
      </c>
      <c r="J9953">
        <v>4</v>
      </c>
    </row>
    <row r="9954" spans="1:10" x14ac:dyDescent="0.25">
      <c r="A9954" t="s">
        <v>96</v>
      </c>
      <c r="B9954" s="1" t="str">
        <f>HYPERLINK("http://timewarnercable.com","timewarnercable.com")</f>
        <v>timewarnercable.com</v>
      </c>
      <c r="C9954" t="s">
        <v>433</v>
      </c>
      <c r="E9954">
        <v>25892</v>
      </c>
      <c r="F9954">
        <v>1.0173695099369E-6</v>
      </c>
      <c r="G9954">
        <v>37638</v>
      </c>
      <c r="H9954">
        <v>15367917</v>
      </c>
      <c r="I9954">
        <v>381815</v>
      </c>
      <c r="J9954">
        <v>3</v>
      </c>
    </row>
    <row r="9955" spans="1:10" x14ac:dyDescent="0.25">
      <c r="A9955" t="s">
        <v>96</v>
      </c>
      <c r="B9955" s="1" t="str">
        <f>HYPERLINK("http://twcable.com","twcable.com")</f>
        <v>twcable.com</v>
      </c>
      <c r="C9955" t="s">
        <v>433</v>
      </c>
      <c r="E9955">
        <v>31987</v>
      </c>
      <c r="F9955">
        <v>2.3888039743527299E-8</v>
      </c>
      <c r="G9955">
        <v>2174036</v>
      </c>
      <c r="H9955">
        <v>13506031</v>
      </c>
      <c r="I9955">
        <v>9962703</v>
      </c>
      <c r="J9955">
        <v>3</v>
      </c>
    </row>
    <row r="9956" spans="1:10" x14ac:dyDescent="0.25">
      <c r="A9956" t="s">
        <v>96</v>
      </c>
      <c r="B9956" s="1" t="str">
        <f>HYPERLINK("http://twcwifi.com","twcwifi.com")</f>
        <v>twcwifi.com</v>
      </c>
      <c r="C9956" t="s">
        <v>433</v>
      </c>
      <c r="F9956">
        <v>5.1749887303051197E-9</v>
      </c>
      <c r="G9956">
        <v>25637142</v>
      </c>
      <c r="H9956">
        <v>14119742</v>
      </c>
      <c r="I9956">
        <v>2468339</v>
      </c>
      <c r="J9956">
        <v>3</v>
      </c>
    </row>
    <row r="9957" spans="1:10" x14ac:dyDescent="0.25">
      <c r="A9957" t="s">
        <v>96</v>
      </c>
      <c r="B9957" s="1" t="str">
        <f>HYPERLINK("http://dev-charter.net","dev-charter.net")</f>
        <v>dev-charter.net</v>
      </c>
      <c r="C9957" t="s">
        <v>474</v>
      </c>
      <c r="E9957">
        <v>430622</v>
      </c>
      <c r="F9957">
        <v>4.44381528729582E-9</v>
      </c>
      <c r="G9957">
        <v>79418983</v>
      </c>
      <c r="H9957">
        <v>10358497</v>
      </c>
      <c r="I9957">
        <v>55405374</v>
      </c>
      <c r="J9957">
        <v>3</v>
      </c>
    </row>
    <row r="9958" spans="1:10" x14ac:dyDescent="0.25">
      <c r="A9958" t="s">
        <v>96</v>
      </c>
      <c r="B9958" s="1" t="str">
        <f>HYPERLINK("http://eng-charter.net","eng-charter.net")</f>
        <v>eng-charter.net</v>
      </c>
      <c r="C9958" t="s">
        <v>474</v>
      </c>
      <c r="J9958">
        <v>3</v>
      </c>
    </row>
    <row r="9959" spans="1:10" x14ac:dyDescent="0.25">
      <c r="A9959" t="s">
        <v>96</v>
      </c>
      <c r="B9959" s="1" t="str">
        <f>HYPERLINK("http://hicv.net","hicv.net")</f>
        <v>hicv.net</v>
      </c>
      <c r="C9959" t="s">
        <v>474</v>
      </c>
      <c r="E9959">
        <v>684262</v>
      </c>
      <c r="F9959">
        <v>4.4438599792413897E-9</v>
      </c>
      <c r="G9959">
        <v>78278114</v>
      </c>
      <c r="H9959">
        <v>10542786</v>
      </c>
      <c r="I9959">
        <v>47057996</v>
      </c>
      <c r="J9959">
        <v>3</v>
      </c>
    </row>
    <row r="9960" spans="1:10" x14ac:dyDescent="0.25">
      <c r="A9960" t="s">
        <v>96</v>
      </c>
      <c r="B9960" s="1" t="str">
        <f>HYPERLINK("http://spectrum.net","spectrum.net")</f>
        <v>spectrum.net</v>
      </c>
      <c r="C9960" t="s">
        <v>474</v>
      </c>
      <c r="E9960">
        <v>2431</v>
      </c>
      <c r="F9960">
        <v>3.6921913507993299E-6</v>
      </c>
      <c r="G9960">
        <v>11252</v>
      </c>
      <c r="H9960">
        <v>17323296</v>
      </c>
      <c r="I9960">
        <v>25531</v>
      </c>
      <c r="J9960">
        <v>3</v>
      </c>
    </row>
    <row r="9961" spans="1:10" x14ac:dyDescent="0.25">
      <c r="A9961" t="s">
        <v>96</v>
      </c>
      <c r="B9961" s="1" t="str">
        <f>HYPERLINK("http://spectrumbusiness.net","spectrumbusiness.net")</f>
        <v>spectrumbusiness.net</v>
      </c>
      <c r="C9961" t="s">
        <v>474</v>
      </c>
      <c r="E9961">
        <v>79377</v>
      </c>
      <c r="F9961">
        <v>8.5744462754879798E-8</v>
      </c>
      <c r="G9961">
        <v>480246</v>
      </c>
      <c r="H9961">
        <v>13117233</v>
      </c>
      <c r="I9961">
        <v>12004162</v>
      </c>
      <c r="J9961">
        <v>3</v>
      </c>
    </row>
    <row r="9962" spans="1:10" x14ac:dyDescent="0.25">
      <c r="A9962" t="s">
        <v>96</v>
      </c>
      <c r="B9962" s="1" t="str">
        <f>HYPERLINK("http://spectrumenterprise.net","spectrumenterprise.net")</f>
        <v>spectrumenterprise.net</v>
      </c>
      <c r="C9962" t="s">
        <v>474</v>
      </c>
      <c r="E9962">
        <v>555523</v>
      </c>
      <c r="F9962">
        <v>6.4788589477101996E-9</v>
      </c>
      <c r="G9962">
        <v>14167526</v>
      </c>
      <c r="H9962">
        <v>12330697</v>
      </c>
      <c r="I9962">
        <v>20201574</v>
      </c>
      <c r="J9962">
        <v>3</v>
      </c>
    </row>
    <row r="9963" spans="1:10" x14ac:dyDescent="0.25">
      <c r="A9963" t="s">
        <v>1601</v>
      </c>
      <c r="B9963" s="1" t="str">
        <f>HYPERLINK("http://cheniere.com","cheniere.com")</f>
        <v>cheniere.com</v>
      </c>
      <c r="C9963" t="s">
        <v>433</v>
      </c>
      <c r="E9963">
        <v>229187</v>
      </c>
      <c r="F9963">
        <v>2.45351133993803E-7</v>
      </c>
      <c r="G9963">
        <v>152491</v>
      </c>
      <c r="H9963">
        <v>14683440</v>
      </c>
      <c r="I9963">
        <v>606682</v>
      </c>
      <c r="J9963">
        <v>1</v>
      </c>
    </row>
    <row r="9964" spans="1:10" x14ac:dyDescent="0.25">
      <c r="A9964" t="s">
        <v>97</v>
      </c>
      <c r="B9964" s="1" t="str">
        <f>HYPERLINK("http://chevron.ca","chevron.ca")</f>
        <v>chevron.ca</v>
      </c>
      <c r="C9964" t="s">
        <v>428</v>
      </c>
      <c r="D9964" t="s">
        <v>809</v>
      </c>
      <c r="F9964">
        <v>3.6341805182148701E-8</v>
      </c>
      <c r="G9964">
        <v>1435802</v>
      </c>
      <c r="H9964">
        <v>14260001</v>
      </c>
      <c r="I9964">
        <v>1420440</v>
      </c>
      <c r="J9964">
        <v>2</v>
      </c>
    </row>
    <row r="9965" spans="1:10" x14ac:dyDescent="0.25">
      <c r="A9965" t="s">
        <v>97</v>
      </c>
      <c r="B9965" s="1" t="str">
        <f>HYPERLINK("http://chevronwithtechron.ca","chevronwithtechron.ca")</f>
        <v>chevronwithtechron.ca</v>
      </c>
      <c r="C9965" t="s">
        <v>428</v>
      </c>
      <c r="D9965" t="s">
        <v>809</v>
      </c>
      <c r="F9965">
        <v>1.22102168224108E-8</v>
      </c>
      <c r="G9965">
        <v>5044642</v>
      </c>
      <c r="H9965">
        <v>14375240</v>
      </c>
      <c r="I9965">
        <v>1228102</v>
      </c>
      <c r="J9965">
        <v>3</v>
      </c>
    </row>
    <row r="9966" spans="1:10" x14ac:dyDescent="0.25">
      <c r="A9966" t="s">
        <v>97</v>
      </c>
      <c r="B9966" s="1" t="str">
        <f>HYPERLINK("http://chervon.com.cn","chervon.com.cn")</f>
        <v>chervon.com.cn</v>
      </c>
      <c r="C9966" t="s">
        <v>431</v>
      </c>
      <c r="D9966" t="s">
        <v>812</v>
      </c>
      <c r="E9966">
        <v>361855</v>
      </c>
      <c r="F9966">
        <v>9.8299407465131999E-9</v>
      </c>
      <c r="G9966">
        <v>6937159</v>
      </c>
      <c r="H9966">
        <v>12330531</v>
      </c>
      <c r="I9966">
        <v>20203592</v>
      </c>
      <c r="J9966">
        <v>7</v>
      </c>
    </row>
    <row r="9967" spans="1:10" x14ac:dyDescent="0.25">
      <c r="A9967" t="s">
        <v>97</v>
      </c>
      <c r="B9967" s="1" t="str">
        <f>HYPERLINK("http://chevron.co","chevron.co")</f>
        <v>chevron.co</v>
      </c>
      <c r="C9967" t="s">
        <v>432</v>
      </c>
      <c r="E9967">
        <v>116706</v>
      </c>
      <c r="F9967">
        <v>1.1384453391158E-8</v>
      </c>
      <c r="G9967">
        <v>5584666</v>
      </c>
      <c r="H9967">
        <v>13108201</v>
      </c>
      <c r="I9967">
        <v>12047754</v>
      </c>
      <c r="J9967">
        <v>2</v>
      </c>
    </row>
    <row r="9968" spans="1:10" x14ac:dyDescent="0.25">
      <c r="A9968" t="s">
        <v>97</v>
      </c>
      <c r="B9968" s="1" t="str">
        <f>HYPERLINK("http://brownbear.com","brownbear.com")</f>
        <v>brownbear.com</v>
      </c>
      <c r="C9968" t="s">
        <v>433</v>
      </c>
      <c r="F9968">
        <v>2.5699891848718301E-8</v>
      </c>
      <c r="G9968">
        <v>2006145</v>
      </c>
      <c r="H9968">
        <v>13852476</v>
      </c>
      <c r="I9968">
        <v>6049692</v>
      </c>
      <c r="J9968">
        <v>5</v>
      </c>
    </row>
    <row r="9969" spans="1:10" x14ac:dyDescent="0.25">
      <c r="A9969" t="s">
        <v>97</v>
      </c>
      <c r="B9969" s="1" t="str">
        <f>HYPERLINK("http://chervongroup.com","chervongroup.com")</f>
        <v>chervongroup.com</v>
      </c>
      <c r="C9969" t="s">
        <v>433</v>
      </c>
      <c r="F9969">
        <v>5.8232555319636998E-8</v>
      </c>
      <c r="G9969">
        <v>763651</v>
      </c>
      <c r="H9969">
        <v>14160750</v>
      </c>
      <c r="I9969">
        <v>1837515</v>
      </c>
      <c r="J9969">
        <v>4</v>
      </c>
    </row>
    <row r="9970" spans="1:10" x14ac:dyDescent="0.25">
      <c r="A9970" t="s">
        <v>97</v>
      </c>
      <c r="B9970" s="1" t="str">
        <f>HYPERLINK("http://chevron.com","chevron.com")</f>
        <v>chevron.com</v>
      </c>
      <c r="C9970" t="s">
        <v>433</v>
      </c>
      <c r="E9970">
        <v>7764</v>
      </c>
      <c r="F9970">
        <v>2.63781387359437E-6</v>
      </c>
      <c r="G9970">
        <v>14386</v>
      </c>
      <c r="H9970">
        <v>17414972</v>
      </c>
      <c r="I9970">
        <v>18196</v>
      </c>
      <c r="J9970">
        <v>1</v>
      </c>
    </row>
    <row r="9971" spans="1:10" x14ac:dyDescent="0.25">
      <c r="A9971" t="s">
        <v>97</v>
      </c>
      <c r="B9971" s="1" t="str">
        <f>HYPERLINK("http://chevronadvocacynetwork.com","chevronadvocacynetwork.com")</f>
        <v>chevronadvocacynetwork.com</v>
      </c>
      <c r="C9971" t="s">
        <v>433</v>
      </c>
      <c r="F9971">
        <v>8.6101570421241903E-9</v>
      </c>
      <c r="G9971">
        <v>8638196</v>
      </c>
      <c r="H9971">
        <v>12214528</v>
      </c>
      <c r="I9971">
        <v>22916574</v>
      </c>
      <c r="J9971">
        <v>3</v>
      </c>
    </row>
    <row r="9972" spans="1:10" x14ac:dyDescent="0.25">
      <c r="A9972" t="s">
        <v>97</v>
      </c>
      <c r="B9972" s="1" t="str">
        <f>HYPERLINK("http://chevronenergy.com","chevronenergy.com")</f>
        <v>chevronenergy.com</v>
      </c>
      <c r="C9972" t="s">
        <v>433</v>
      </c>
      <c r="F9972">
        <v>1.16768074223364E-8</v>
      </c>
      <c r="G9972">
        <v>5381227</v>
      </c>
      <c r="H9972">
        <v>13830292</v>
      </c>
      <c r="I9972">
        <v>6110188</v>
      </c>
      <c r="J9972">
        <v>4</v>
      </c>
    </row>
    <row r="9973" spans="1:10" x14ac:dyDescent="0.25">
      <c r="A9973" t="s">
        <v>97</v>
      </c>
      <c r="B9973" s="1" t="str">
        <f>HYPERLINK("http://chevronextramile.com","chevronextramile.com")</f>
        <v>chevronextramile.com</v>
      </c>
      <c r="C9973" t="s">
        <v>433</v>
      </c>
      <c r="F9973">
        <v>6.0592589895157505E-8</v>
      </c>
      <c r="G9973">
        <v>727594</v>
      </c>
      <c r="H9973">
        <v>16751211</v>
      </c>
      <c r="I9973">
        <v>270265</v>
      </c>
      <c r="J9973">
        <v>3</v>
      </c>
    </row>
    <row r="9974" spans="1:10" x14ac:dyDescent="0.25">
      <c r="A9974" t="s">
        <v>97</v>
      </c>
      <c r="B9974" s="1" t="str">
        <f>HYPERLINK("http://chevronwithtechron.com","chevronwithtechron.com")</f>
        <v>chevronwithtechron.com</v>
      </c>
      <c r="C9974" t="s">
        <v>433</v>
      </c>
      <c r="E9974">
        <v>366943</v>
      </c>
      <c r="F9974">
        <v>1.57033066040544E-7</v>
      </c>
      <c r="G9974">
        <v>247299</v>
      </c>
      <c r="H9974">
        <v>16940116</v>
      </c>
      <c r="I9974">
        <v>112870</v>
      </c>
      <c r="J9974">
        <v>3</v>
      </c>
    </row>
    <row r="9975" spans="1:10" x14ac:dyDescent="0.25">
      <c r="A9975" t="s">
        <v>97</v>
      </c>
      <c r="B9975" s="1" t="str">
        <f>HYPERLINK("http://colemanhanna.com","colemanhanna.com")</f>
        <v>colemanhanna.com</v>
      </c>
      <c r="C9975" t="s">
        <v>433</v>
      </c>
      <c r="F9975">
        <v>1.4430514808409401E-8</v>
      </c>
      <c r="G9975">
        <v>4046584</v>
      </c>
      <c r="H9975">
        <v>14106819</v>
      </c>
      <c r="I9975">
        <v>2685563</v>
      </c>
      <c r="J9975">
        <v>3</v>
      </c>
    </row>
    <row r="9976" spans="1:10" x14ac:dyDescent="0.25">
      <c r="A9976" t="s">
        <v>97</v>
      </c>
      <c r="B9976" s="1" t="str">
        <f>HYPERLINK("http://cpchem.com","cpchem.com")</f>
        <v>cpchem.com</v>
      </c>
      <c r="C9976" t="s">
        <v>433</v>
      </c>
      <c r="E9976">
        <v>165905</v>
      </c>
      <c r="F9976">
        <v>2.0034623585545999E-7</v>
      </c>
      <c r="G9976">
        <v>190171</v>
      </c>
      <c r="H9976">
        <v>15072565</v>
      </c>
      <c r="I9976">
        <v>410762</v>
      </c>
      <c r="J9976">
        <v>3</v>
      </c>
    </row>
    <row r="9977" spans="1:10" x14ac:dyDescent="0.25">
      <c r="A9977" t="s">
        <v>97</v>
      </c>
      <c r="B9977" s="1" t="str">
        <f>HYPERLINK("http://denaliexpress.com","denaliexpress.com")</f>
        <v>denaliexpress.com</v>
      </c>
      <c r="C9977" t="s">
        <v>433</v>
      </c>
      <c r="F9977">
        <v>5.3179647499412499E-9</v>
      </c>
      <c r="G9977">
        <v>23236299</v>
      </c>
      <c r="H9977">
        <v>11411944</v>
      </c>
      <c r="I9977">
        <v>30192032</v>
      </c>
      <c r="J9977">
        <v>3</v>
      </c>
    </row>
    <row r="9978" spans="1:10" x14ac:dyDescent="0.25">
      <c r="A9978" t="s">
        <v>97</v>
      </c>
      <c r="B9978" s="1" t="str">
        <f>HYPERLINK("http://dynamicfuelsllc.com","dynamicfuelsllc.com")</f>
        <v>dynamicfuelsllc.com</v>
      </c>
      <c r="C9978" t="s">
        <v>433</v>
      </c>
      <c r="F9978">
        <v>9.7179350276352495E-9</v>
      </c>
      <c r="G9978">
        <v>7060225</v>
      </c>
      <c r="H9978">
        <v>14160673</v>
      </c>
      <c r="I9978">
        <v>1837733</v>
      </c>
      <c r="J9978">
        <v>6</v>
      </c>
    </row>
    <row r="9979" spans="1:10" x14ac:dyDescent="0.25">
      <c r="A9979" t="s">
        <v>97</v>
      </c>
      <c r="B9979" s="1" t="str">
        <f>HYPERLINK("http://extramile.com","extramile.com")</f>
        <v>extramile.com</v>
      </c>
      <c r="C9979" t="s">
        <v>433</v>
      </c>
      <c r="F9979">
        <v>1.66218776907227E-8</v>
      </c>
      <c r="G9979">
        <v>3383624</v>
      </c>
      <c r="H9979">
        <v>13217704</v>
      </c>
      <c r="I9979">
        <v>11351755</v>
      </c>
      <c r="J9979">
        <v>4</v>
      </c>
    </row>
    <row r="9980" spans="1:10" x14ac:dyDescent="0.25">
      <c r="A9980" t="s">
        <v>97</v>
      </c>
      <c r="B9980" s="1" t="str">
        <f>HYPERLINK("http://imperiumrenewables.com","imperiumrenewables.com")</f>
        <v>imperiumrenewables.com</v>
      </c>
      <c r="C9980" t="s">
        <v>433</v>
      </c>
      <c r="F9980">
        <v>1.9549809003529601E-8</v>
      </c>
      <c r="G9980">
        <v>2736640</v>
      </c>
      <c r="H9980">
        <v>14395494</v>
      </c>
      <c r="I9980">
        <v>1160444</v>
      </c>
      <c r="J9980">
        <v>6</v>
      </c>
    </row>
    <row r="9981" spans="1:10" x14ac:dyDescent="0.25">
      <c r="A9981" t="s">
        <v>97</v>
      </c>
      <c r="B9981" s="1" t="str">
        <f>HYPERLINK("http://lagunaniguelchevron.com","lagunaniguelchevron.com")</f>
        <v>lagunaniguelchevron.com</v>
      </c>
      <c r="C9981" t="s">
        <v>433</v>
      </c>
      <c r="F9981">
        <v>4.8416162190932001E-9</v>
      </c>
      <c r="G9981">
        <v>34422025</v>
      </c>
      <c r="H9981">
        <v>12336492</v>
      </c>
      <c r="I9981">
        <v>20077273</v>
      </c>
      <c r="J9981">
        <v>3</v>
      </c>
    </row>
    <row r="9982" spans="1:10" x14ac:dyDescent="0.25">
      <c r="A9982" t="s">
        <v>97</v>
      </c>
      <c r="B9982" s="1" t="str">
        <f>HYPERLINK("http://nblenergy.com","nblenergy.com")</f>
        <v>nblenergy.com</v>
      </c>
      <c r="C9982" t="s">
        <v>433</v>
      </c>
      <c r="F9982">
        <v>7.4917305101603696E-8</v>
      </c>
      <c r="G9982">
        <v>561498</v>
      </c>
      <c r="H9982">
        <v>14161705</v>
      </c>
      <c r="I9982">
        <v>1834716</v>
      </c>
      <c r="J9982">
        <v>3</v>
      </c>
    </row>
    <row r="9983" spans="1:10" x14ac:dyDescent="0.25">
      <c r="A9983" t="s">
        <v>97</v>
      </c>
      <c r="B9983" s="1" t="str">
        <f>HYPERLINK("http://nobleenergyinc.com","nobleenergyinc.com")</f>
        <v>nobleenergyinc.com</v>
      </c>
      <c r="C9983" t="s">
        <v>433</v>
      </c>
      <c r="F9983">
        <v>1.0990497159915501E-7</v>
      </c>
      <c r="G9983">
        <v>363911</v>
      </c>
      <c r="H9983">
        <v>17056108</v>
      </c>
      <c r="I9983">
        <v>75014</v>
      </c>
      <c r="J9983">
        <v>4</v>
      </c>
    </row>
    <row r="9984" spans="1:10" x14ac:dyDescent="0.25">
      <c r="A9984" t="s">
        <v>97</v>
      </c>
      <c r="B9984" s="1" t="str">
        <f>HYPERLINK("http://oxisenergy.com","oxisenergy.com")</f>
        <v>oxisenergy.com</v>
      </c>
      <c r="C9984" t="s">
        <v>433</v>
      </c>
      <c r="F9984">
        <v>3.27578065202291E-8</v>
      </c>
      <c r="G9984">
        <v>1577027</v>
      </c>
      <c r="H9984">
        <v>14551390</v>
      </c>
      <c r="I9984">
        <v>758299</v>
      </c>
      <c r="J9984">
        <v>10</v>
      </c>
    </row>
    <row r="9985" spans="1:10" x14ac:dyDescent="0.25">
      <c r="A9985" t="s">
        <v>97</v>
      </c>
      <c r="B9985" s="1" t="str">
        <f>HYPERLINK("http://rallystopcstores.com","rallystopcstores.com")</f>
        <v>rallystopcstores.com</v>
      </c>
      <c r="C9985" t="s">
        <v>433</v>
      </c>
      <c r="F9985">
        <v>4.9648998051626299E-9</v>
      </c>
      <c r="G9985">
        <v>30379059</v>
      </c>
      <c r="H9985">
        <v>10476596</v>
      </c>
      <c r="I9985">
        <v>51116652</v>
      </c>
      <c r="J9985">
        <v>3</v>
      </c>
    </row>
    <row r="9986" spans="1:10" x14ac:dyDescent="0.25">
      <c r="A9986" t="s">
        <v>97</v>
      </c>
      <c r="B9986" s="1" t="str">
        <f>HYPERLINK("http://regfuel.com","regfuel.com")</f>
        <v>regfuel.com</v>
      </c>
      <c r="C9986" t="s">
        <v>433</v>
      </c>
      <c r="F9986">
        <v>1.3701193839921599E-8</v>
      </c>
      <c r="G9986">
        <v>4320633</v>
      </c>
      <c r="H9986">
        <v>13465871</v>
      </c>
      <c r="I9986">
        <v>10059043</v>
      </c>
      <c r="J9986">
        <v>6</v>
      </c>
    </row>
    <row r="9987" spans="1:10" x14ac:dyDescent="0.25">
      <c r="A9987" t="s">
        <v>97</v>
      </c>
      <c r="B9987" s="1" t="str">
        <f>HYPERLINK("http://regi.com","regi.com")</f>
        <v>regi.com</v>
      </c>
      <c r="C9987" t="s">
        <v>433</v>
      </c>
      <c r="E9987">
        <v>258405</v>
      </c>
      <c r="F9987">
        <v>1.4779494547118301E-7</v>
      </c>
      <c r="G9987">
        <v>263412</v>
      </c>
      <c r="H9987">
        <v>13946011</v>
      </c>
      <c r="I9987">
        <v>4227043</v>
      </c>
      <c r="J9987">
        <v>3</v>
      </c>
    </row>
    <row r="9988" spans="1:10" x14ac:dyDescent="0.25">
      <c r="A9988" t="s">
        <v>97</v>
      </c>
      <c r="B9988" s="1" t="str">
        <f>HYPERLINK("http://rickstireandchevron.com","rickstireandchevron.com")</f>
        <v>rickstireandchevron.com</v>
      </c>
      <c r="C9988" t="s">
        <v>433</v>
      </c>
      <c r="F9988">
        <v>4.4816025060382802E-9</v>
      </c>
      <c r="G9988">
        <v>62028344</v>
      </c>
      <c r="H9988">
        <v>10449465</v>
      </c>
      <c r="I9988">
        <v>52122195</v>
      </c>
      <c r="J9988">
        <v>3</v>
      </c>
    </row>
    <row r="9989" spans="1:10" x14ac:dyDescent="0.25">
      <c r="A9989" t="s">
        <v>97</v>
      </c>
      <c r="B9989" s="1" t="str">
        <f>HYPERLINK("http://sasol.com","sasol.com")</f>
        <v>sasol.com</v>
      </c>
      <c r="C9989" t="s">
        <v>433</v>
      </c>
      <c r="E9989">
        <v>66259</v>
      </c>
      <c r="F9989">
        <v>3.1549405717724802E-7</v>
      </c>
      <c r="G9989">
        <v>117840</v>
      </c>
      <c r="H9989">
        <v>14997784</v>
      </c>
      <c r="I9989">
        <v>426375</v>
      </c>
      <c r="J9989">
        <v>7</v>
      </c>
    </row>
    <row r="9990" spans="1:10" x14ac:dyDescent="0.25">
      <c r="A9990" t="s">
        <v>97</v>
      </c>
      <c r="B9990" s="1" t="str">
        <f>HYPERLINK("http://sasolnorthamerica.com","sasolnorthamerica.com")</f>
        <v>sasolnorthamerica.com</v>
      </c>
      <c r="C9990" t="s">
        <v>433</v>
      </c>
      <c r="F9990">
        <v>4.1496803981113E-8</v>
      </c>
      <c r="G9990">
        <v>1200757</v>
      </c>
      <c r="H9990">
        <v>13836372</v>
      </c>
      <c r="I9990">
        <v>6085858</v>
      </c>
      <c r="J9990">
        <v>10</v>
      </c>
    </row>
    <row r="9991" spans="1:10" x14ac:dyDescent="0.25">
      <c r="A9991" t="s">
        <v>97</v>
      </c>
      <c r="B9991" s="1" t="str">
        <f>HYPERLINK("http://tengizchevroil.com","tengizchevroil.com")</f>
        <v>tengizchevroil.com</v>
      </c>
      <c r="C9991" t="s">
        <v>433</v>
      </c>
      <c r="E9991">
        <v>585392</v>
      </c>
      <c r="F9991">
        <v>7.9059598164517005E-8</v>
      </c>
      <c r="G9991">
        <v>528631</v>
      </c>
      <c r="H9991">
        <v>14078110</v>
      </c>
      <c r="I9991">
        <v>2852496</v>
      </c>
      <c r="J9991">
        <v>2</v>
      </c>
    </row>
    <row r="9992" spans="1:10" x14ac:dyDescent="0.25">
      <c r="A9992" t="s">
        <v>97</v>
      </c>
      <c r="B9992" s="1" t="str">
        <f>HYPERLINK("http://teribelherst.com","teribelherst.com")</f>
        <v>teribelherst.com</v>
      </c>
      <c r="C9992" t="s">
        <v>433</v>
      </c>
      <c r="J9992">
        <v>3</v>
      </c>
    </row>
    <row r="9993" spans="1:10" x14ac:dyDescent="0.25">
      <c r="A9993" t="s">
        <v>97</v>
      </c>
      <c r="B9993" s="1" t="str">
        <f>HYPERLINK("http://teriblehertz.com","teriblehertz.com")</f>
        <v>teriblehertz.com</v>
      </c>
      <c r="C9993" t="s">
        <v>433</v>
      </c>
      <c r="J9993">
        <v>6</v>
      </c>
    </row>
    <row r="9994" spans="1:10" x14ac:dyDescent="0.25">
      <c r="A9994" t="s">
        <v>97</v>
      </c>
      <c r="B9994" s="1" t="str">
        <f>HYPERLINK("http://terribleherbst.com","terribleherbst.com")</f>
        <v>terribleherbst.com</v>
      </c>
      <c r="C9994" t="s">
        <v>433</v>
      </c>
      <c r="E9994">
        <v>420646</v>
      </c>
      <c r="F9994">
        <v>1.9552223226167799E-8</v>
      </c>
      <c r="G9994">
        <v>2736285</v>
      </c>
      <c r="H9994">
        <v>13785668</v>
      </c>
      <c r="I9994">
        <v>6399052</v>
      </c>
      <c r="J9994">
        <v>3</v>
      </c>
    </row>
    <row r="9995" spans="1:10" x14ac:dyDescent="0.25">
      <c r="A9995" t="s">
        <v>97</v>
      </c>
      <c r="B9995" s="1" t="str">
        <f>HYPERLINK("http://terribles.com","terribles.com")</f>
        <v>terribles.com</v>
      </c>
      <c r="C9995" t="s">
        <v>433</v>
      </c>
      <c r="F9995">
        <v>1.3298783896169E-8</v>
      </c>
      <c r="G9995">
        <v>4493987</v>
      </c>
      <c r="H9995">
        <v>12568490</v>
      </c>
      <c r="I9995">
        <v>16638026</v>
      </c>
      <c r="J9995">
        <v>7</v>
      </c>
    </row>
    <row r="9996" spans="1:10" x14ac:dyDescent="0.25">
      <c r="A9996" t="s">
        <v>97</v>
      </c>
      <c r="B9996" s="1" t="str">
        <f>HYPERLINK("http://texaco.com","texaco.com")</f>
        <v>texaco.com</v>
      </c>
      <c r="C9996" t="s">
        <v>433</v>
      </c>
      <c r="E9996">
        <v>221076</v>
      </c>
      <c r="F9996">
        <v>1.4662684134559401E-7</v>
      </c>
      <c r="G9996">
        <v>265538</v>
      </c>
      <c r="H9996">
        <v>15174685</v>
      </c>
      <c r="I9996">
        <v>397787</v>
      </c>
      <c r="J9996">
        <v>3</v>
      </c>
    </row>
    <row r="9997" spans="1:10" x14ac:dyDescent="0.25">
      <c r="A9997" t="s">
        <v>97</v>
      </c>
      <c r="B9997" s="1" t="str">
        <f>HYPERLINK("http://theranchaf.com","theranchaf.com")</f>
        <v>theranchaf.com</v>
      </c>
      <c r="C9997" t="s">
        <v>433</v>
      </c>
      <c r="J9997">
        <v>3</v>
      </c>
    </row>
    <row r="9998" spans="1:10" x14ac:dyDescent="0.25">
      <c r="A9998" t="s">
        <v>97</v>
      </c>
      <c r="B9998" s="1" t="str">
        <f>HYPERLINK("http://unocal.com","unocal.com")</f>
        <v>unocal.com</v>
      </c>
      <c r="C9998" t="s">
        <v>433</v>
      </c>
      <c r="F9998">
        <v>2.76444022257893E-8</v>
      </c>
      <c r="G9998">
        <v>1859914</v>
      </c>
      <c r="H9998">
        <v>14269554</v>
      </c>
      <c r="I9998">
        <v>1401661</v>
      </c>
      <c r="J9998">
        <v>3</v>
      </c>
    </row>
    <row r="9999" spans="1:10" x14ac:dyDescent="0.25">
      <c r="A9999" t="s">
        <v>97</v>
      </c>
      <c r="B9999" s="1" t="str">
        <f>HYPERLINK("http://sasolgermany.de","sasolgermany.de")</f>
        <v>sasolgermany.de</v>
      </c>
      <c r="C9999" t="s">
        <v>436</v>
      </c>
      <c r="D9999" t="s">
        <v>815</v>
      </c>
      <c r="F9999">
        <v>3.4885674620974102E-8</v>
      </c>
      <c r="G9999">
        <v>1488666</v>
      </c>
      <c r="H9999">
        <v>12669599</v>
      </c>
      <c r="I9999">
        <v>15628325</v>
      </c>
      <c r="J9999">
        <v>10</v>
      </c>
    </row>
    <row r="10000" spans="1:10" x14ac:dyDescent="0.25">
      <c r="A10000" t="s">
        <v>97</v>
      </c>
      <c r="B10000" s="1" t="str">
        <f>HYPERLINK("http://chevron.email","chevron.email")</f>
        <v>chevron.email</v>
      </c>
      <c r="C10000" t="s">
        <v>736</v>
      </c>
      <c r="F10000">
        <v>8.4655341165711705E-9</v>
      </c>
      <c r="G10000">
        <v>8911955</v>
      </c>
      <c r="H10000">
        <v>12225381</v>
      </c>
      <c r="I10000">
        <v>22644624</v>
      </c>
      <c r="J10000">
        <v>2</v>
      </c>
    </row>
    <row r="10001" spans="1:10" x14ac:dyDescent="0.25">
      <c r="A10001" t="s">
        <v>97</v>
      </c>
      <c r="B10001" s="1" t="str">
        <f>HYPERLINK("http://chevron.fi","chevron.fi")</f>
        <v>chevron.fi</v>
      </c>
      <c r="C10001" t="s">
        <v>445</v>
      </c>
      <c r="D10001" t="s">
        <v>823</v>
      </c>
      <c r="J10001">
        <v>2</v>
      </c>
    </row>
    <row r="10002" spans="1:10" x14ac:dyDescent="0.25">
      <c r="A10002" t="s">
        <v>97</v>
      </c>
      <c r="B10002" s="1" t="str">
        <f>HYPERLINK("http://sasol.fi","sasol.fi")</f>
        <v>sasol.fi</v>
      </c>
      <c r="C10002" t="s">
        <v>445</v>
      </c>
      <c r="D10002" t="s">
        <v>823</v>
      </c>
      <c r="J10002">
        <v>10</v>
      </c>
    </row>
    <row r="10003" spans="1:10" x14ac:dyDescent="0.25">
      <c r="A10003" t="s">
        <v>97</v>
      </c>
      <c r="B10003" s="1" t="str">
        <f>HYPERLINK("http://texaco.fi","texaco.fi")</f>
        <v>texaco.fi</v>
      </c>
      <c r="C10003" t="s">
        <v>445</v>
      </c>
      <c r="D10003" t="s">
        <v>823</v>
      </c>
      <c r="J10003">
        <v>2</v>
      </c>
    </row>
    <row r="10004" spans="1:10" x14ac:dyDescent="0.25">
      <c r="A10004" t="s">
        <v>97</v>
      </c>
      <c r="B10004" s="1" t="str">
        <f>HYPERLINK("http://chevron.lk","chevron.lk")</f>
        <v>chevron.lk</v>
      </c>
      <c r="C10004" t="s">
        <v>466</v>
      </c>
      <c r="D10004" t="s">
        <v>842</v>
      </c>
      <c r="F10004">
        <v>8.7038957128483892E-9</v>
      </c>
      <c r="G10004">
        <v>8470893</v>
      </c>
      <c r="H10004">
        <v>12343850</v>
      </c>
      <c r="I10004">
        <v>19877053</v>
      </c>
      <c r="J10004">
        <v>2</v>
      </c>
    </row>
    <row r="10005" spans="1:10" x14ac:dyDescent="0.25">
      <c r="A10005" t="s">
        <v>98</v>
      </c>
      <c r="B10005" s="1" t="str">
        <f>HYPERLINK("http://bicbanco.com.br","bicbanco.com.br")</f>
        <v>bicbanco.com.br</v>
      </c>
      <c r="C10005" t="s">
        <v>425</v>
      </c>
      <c r="D10005" t="s">
        <v>806</v>
      </c>
      <c r="E10005">
        <v>569798</v>
      </c>
      <c r="F10005">
        <v>5.14616698947577E-8</v>
      </c>
      <c r="G10005">
        <v>889091</v>
      </c>
      <c r="H10005">
        <v>13776358</v>
      </c>
      <c r="I10005">
        <v>6556836</v>
      </c>
      <c r="J10005">
        <v>4</v>
      </c>
    </row>
    <row r="10006" spans="1:10" x14ac:dyDescent="0.25">
      <c r="A10006" t="s">
        <v>98</v>
      </c>
      <c r="B10006" s="1" t="str">
        <f>HYPERLINK("http://ccbfund.cn","ccbfund.cn")</f>
        <v>ccbfund.cn</v>
      </c>
      <c r="C10006" t="s">
        <v>431</v>
      </c>
      <c r="D10006" t="s">
        <v>812</v>
      </c>
      <c r="E10006">
        <v>488245</v>
      </c>
      <c r="F10006">
        <v>2.02299596759885E-7</v>
      </c>
      <c r="G10006">
        <v>188044</v>
      </c>
      <c r="H10006">
        <v>13130258</v>
      </c>
      <c r="I10006">
        <v>11939977</v>
      </c>
      <c r="J10006">
        <v>4</v>
      </c>
    </row>
    <row r="10007" spans="1:10" x14ac:dyDescent="0.25">
      <c r="A10007" t="s">
        <v>98</v>
      </c>
      <c r="B10007" s="1" t="str">
        <f>HYPERLINK("http://ccb.com.cn","ccb.com.cn")</f>
        <v>ccb.com.cn</v>
      </c>
      <c r="C10007" t="s">
        <v>431</v>
      </c>
      <c r="D10007" t="s">
        <v>812</v>
      </c>
      <c r="E10007">
        <v>22962</v>
      </c>
      <c r="F10007">
        <v>3.1019484749372201E-7</v>
      </c>
      <c r="G10007">
        <v>119898</v>
      </c>
      <c r="H10007">
        <v>13491033</v>
      </c>
      <c r="I10007">
        <v>9986473</v>
      </c>
      <c r="J10007">
        <v>2</v>
      </c>
    </row>
    <row r="10008" spans="1:10" x14ac:dyDescent="0.25">
      <c r="A10008" t="s">
        <v>98</v>
      </c>
      <c r="B10008" s="1" t="str">
        <f>HYPERLINK("http://ccb-life.com.cn","ccb-life.com.cn")</f>
        <v>ccb-life.com.cn</v>
      </c>
      <c r="C10008" t="s">
        <v>431</v>
      </c>
      <c r="D10008" t="s">
        <v>812</v>
      </c>
      <c r="E10008">
        <v>58890</v>
      </c>
      <c r="F10008">
        <v>6.7222568253275901E-8</v>
      </c>
      <c r="G10008">
        <v>636066</v>
      </c>
      <c r="H10008">
        <v>12466521</v>
      </c>
      <c r="I10008">
        <v>17798116</v>
      </c>
      <c r="J10008">
        <v>3</v>
      </c>
    </row>
    <row r="10009" spans="1:10" x14ac:dyDescent="0.25">
      <c r="A10009" t="s">
        <v>98</v>
      </c>
      <c r="B10009" s="1" t="str">
        <f>HYPERLINK("http://ccbpi.com.cn","ccbpi.com.cn")</f>
        <v>ccbpi.com.cn</v>
      </c>
      <c r="C10009" t="s">
        <v>431</v>
      </c>
      <c r="D10009" t="s">
        <v>812</v>
      </c>
      <c r="E10009">
        <v>740511</v>
      </c>
      <c r="F10009">
        <v>5.6017485475341202E-8</v>
      </c>
      <c r="G10009">
        <v>799609</v>
      </c>
      <c r="H10009">
        <v>11093183</v>
      </c>
      <c r="I10009">
        <v>32350503</v>
      </c>
      <c r="J10009">
        <v>3</v>
      </c>
    </row>
    <row r="10010" spans="1:10" x14ac:dyDescent="0.25">
      <c r="A10010" t="s">
        <v>98</v>
      </c>
      <c r="B10010" s="1" t="str">
        <f>HYPERLINK("http://ccbtrust.com.cn","ccbtrust.com.cn")</f>
        <v>ccbtrust.com.cn</v>
      </c>
      <c r="C10010" t="s">
        <v>431</v>
      </c>
      <c r="D10010" t="s">
        <v>812</v>
      </c>
      <c r="F10010">
        <v>6.2873520707120697E-8</v>
      </c>
      <c r="G10010">
        <v>697404</v>
      </c>
      <c r="H10010">
        <v>11714678</v>
      </c>
      <c r="I10010">
        <v>29846400</v>
      </c>
      <c r="J10010">
        <v>3</v>
      </c>
    </row>
    <row r="10011" spans="1:10" x14ac:dyDescent="0.25">
      <c r="A10011" t="s">
        <v>98</v>
      </c>
      <c r="B10011" s="1" t="str">
        <f>HYPERLINK("http://sgb.cn","sgb.cn")</f>
        <v>sgb.cn</v>
      </c>
      <c r="C10011" t="s">
        <v>431</v>
      </c>
      <c r="D10011" t="s">
        <v>812</v>
      </c>
      <c r="E10011">
        <v>146380</v>
      </c>
      <c r="F10011">
        <v>6.9746703358289501E-8</v>
      </c>
      <c r="G10011">
        <v>607942</v>
      </c>
      <c r="H10011">
        <v>11508782</v>
      </c>
      <c r="I10011">
        <v>30017798</v>
      </c>
      <c r="J10011">
        <v>3</v>
      </c>
    </row>
    <row r="10012" spans="1:10" x14ac:dyDescent="0.25">
      <c r="A10012" t="s">
        <v>98</v>
      </c>
      <c r="B10012" s="1" t="str">
        <f>HYPERLINK("http://ccb.com","ccb.com")</f>
        <v>ccb.com</v>
      </c>
      <c r="C10012" t="s">
        <v>433</v>
      </c>
      <c r="E10012">
        <v>4281</v>
      </c>
      <c r="F10012">
        <v>6.3810753354039498E-6</v>
      </c>
      <c r="G10012">
        <v>5333</v>
      </c>
      <c r="H10012">
        <v>15193250</v>
      </c>
      <c r="I10012">
        <v>396184</v>
      </c>
      <c r="J10012">
        <v>1</v>
      </c>
    </row>
    <row r="10013" spans="1:10" x14ac:dyDescent="0.25">
      <c r="A10013" t="s">
        <v>98</v>
      </c>
      <c r="B10013" s="1" t="str">
        <f>HYPERLINK("http://ccbfi.com","ccbfi.com")</f>
        <v>ccbfi.com</v>
      </c>
      <c r="C10013" t="s">
        <v>433</v>
      </c>
      <c r="F10013">
        <v>5.13632057026345E-8</v>
      </c>
      <c r="G10013">
        <v>891203</v>
      </c>
      <c r="H10013">
        <v>12633856</v>
      </c>
      <c r="I10013">
        <v>15945474</v>
      </c>
      <c r="J10013">
        <v>3</v>
      </c>
    </row>
    <row r="10014" spans="1:10" x14ac:dyDescent="0.25">
      <c r="A10014" t="s">
        <v>98</v>
      </c>
      <c r="B10014" s="1" t="str">
        <f>HYPERLINK("http://ccbfutures.com","ccbfutures.com")</f>
        <v>ccbfutures.com</v>
      </c>
      <c r="C10014" t="s">
        <v>433</v>
      </c>
      <c r="F10014">
        <v>6.2919142995852197E-8</v>
      </c>
      <c r="G10014">
        <v>696822</v>
      </c>
      <c r="H10014">
        <v>12401214</v>
      </c>
      <c r="I10014">
        <v>18761764</v>
      </c>
      <c r="J10014">
        <v>3</v>
      </c>
    </row>
    <row r="10015" spans="1:10" x14ac:dyDescent="0.25">
      <c r="A10015" t="s">
        <v>98</v>
      </c>
      <c r="B10015" s="1" t="str">
        <f>HYPERLINK("http://ccbhk.com","ccbhk.com")</f>
        <v>ccbhk.com</v>
      </c>
      <c r="C10015" t="s">
        <v>433</v>
      </c>
      <c r="F10015">
        <v>6.1711201297586503E-9</v>
      </c>
      <c r="G10015">
        <v>15686928</v>
      </c>
      <c r="H10015">
        <v>13414434</v>
      </c>
      <c r="I10015">
        <v>10317740</v>
      </c>
      <c r="J10015">
        <v>4</v>
      </c>
    </row>
    <row r="10016" spans="1:10" x14ac:dyDescent="0.25">
      <c r="A10016" t="s">
        <v>98</v>
      </c>
      <c r="B10016" s="1" t="str">
        <f>HYPERLINK("http://ccbimetdist.com","ccbimetdist.com")</f>
        <v>ccbimetdist.com</v>
      </c>
      <c r="C10016" t="s">
        <v>433</v>
      </c>
      <c r="J10016">
        <v>4</v>
      </c>
    </row>
    <row r="10017" spans="1:10" x14ac:dyDescent="0.25">
      <c r="A10017" t="s">
        <v>98</v>
      </c>
      <c r="B10017" s="1" t="str">
        <f>HYPERLINK("http://ccbintl.com","ccbintl.com")</f>
        <v>ccbintl.com</v>
      </c>
      <c r="C10017" t="s">
        <v>433</v>
      </c>
      <c r="F10017">
        <v>6.8539953820089496E-8</v>
      </c>
      <c r="G10017">
        <v>621045</v>
      </c>
      <c r="H10017">
        <v>13821254</v>
      </c>
      <c r="I10017">
        <v>6141840</v>
      </c>
      <c r="J10017">
        <v>5</v>
      </c>
    </row>
    <row r="10018" spans="1:10" x14ac:dyDescent="0.25">
      <c r="A10018" t="s">
        <v>98</v>
      </c>
      <c r="B10018" s="1" t="str">
        <f>HYPERLINK("http://ccbleasing.com","ccbleasing.com")</f>
        <v>ccbleasing.com</v>
      </c>
      <c r="C10018" t="s">
        <v>433</v>
      </c>
      <c r="E10018">
        <v>545833</v>
      </c>
      <c r="F10018">
        <v>5.5894417709158299E-8</v>
      </c>
      <c r="G10018">
        <v>801683</v>
      </c>
      <c r="H10018">
        <v>11145820</v>
      </c>
      <c r="I10018">
        <v>31780607</v>
      </c>
      <c r="J10018">
        <v>3</v>
      </c>
    </row>
    <row r="10019" spans="1:10" x14ac:dyDescent="0.25">
      <c r="A10019" t="s">
        <v>98</v>
      </c>
      <c r="B10019" s="1" t="str">
        <f>HYPERLINK("http://ccbpension.com","ccbpension.com")</f>
        <v>ccbpension.com</v>
      </c>
      <c r="C10019" t="s">
        <v>433</v>
      </c>
      <c r="F10019">
        <v>5.4336431672705202E-8</v>
      </c>
      <c r="G10019">
        <v>831272</v>
      </c>
      <c r="H10019">
        <v>12289689</v>
      </c>
      <c r="I10019">
        <v>21122675</v>
      </c>
      <c r="J10019">
        <v>3</v>
      </c>
    </row>
    <row r="10020" spans="1:10" x14ac:dyDescent="0.25">
      <c r="A10020" t="s">
        <v>98</v>
      </c>
      <c r="B10020" s="1" t="str">
        <f>HYPERLINK("http://ccbxt.com","ccbxt.com")</f>
        <v>ccbxt.com</v>
      </c>
      <c r="C10020" t="s">
        <v>433</v>
      </c>
      <c r="F10020">
        <v>4.4438518136706798E-9</v>
      </c>
      <c r="G10020">
        <v>78402225</v>
      </c>
      <c r="H10020">
        <v>10367426</v>
      </c>
      <c r="I10020">
        <v>54950473</v>
      </c>
      <c r="J10020">
        <v>4</v>
      </c>
    </row>
    <row r="10021" spans="1:10" x14ac:dyDescent="0.25">
      <c r="A10021" t="s">
        <v>98</v>
      </c>
      <c r="B10021" s="1" t="str">
        <f>HYPERLINK("http://ccbintl.com.hk","ccbintl.com.hk")</f>
        <v>ccbintl.com.hk</v>
      </c>
      <c r="C10021" t="s">
        <v>450</v>
      </c>
      <c r="D10021" t="s">
        <v>827</v>
      </c>
      <c r="F10021">
        <v>7.28487204556072E-8</v>
      </c>
      <c r="G10021">
        <v>578949</v>
      </c>
      <c r="H10021">
        <v>12376780</v>
      </c>
      <c r="I10021">
        <v>19278846</v>
      </c>
      <c r="J10021">
        <v>4</v>
      </c>
    </row>
    <row r="10022" spans="1:10" x14ac:dyDescent="0.25">
      <c r="A10022" t="s">
        <v>99</v>
      </c>
      <c r="B10022" s="1" t="str">
        <f>HYPERLINK("http://chinalifepension.cn","chinalifepension.cn")</f>
        <v>chinalifepension.cn</v>
      </c>
      <c r="C10022" t="s">
        <v>431</v>
      </c>
      <c r="D10022" t="s">
        <v>812</v>
      </c>
      <c r="E10022">
        <v>777098</v>
      </c>
      <c r="F10022">
        <v>3.5447321934384199E-8</v>
      </c>
      <c r="G10022">
        <v>1468104</v>
      </c>
      <c r="H10022">
        <v>12205287</v>
      </c>
      <c r="I10022">
        <v>23184259</v>
      </c>
      <c r="J10022">
        <v>4</v>
      </c>
    </row>
    <row r="10023" spans="1:10" x14ac:dyDescent="0.25">
      <c r="A10023" t="s">
        <v>99</v>
      </c>
      <c r="B10023" s="1" t="str">
        <f>HYPERLINK("http://chinalife.com.cn","chinalife.com.cn")</f>
        <v>chinalife.com.cn</v>
      </c>
      <c r="C10023" t="s">
        <v>431</v>
      </c>
      <c r="D10023" t="s">
        <v>812</v>
      </c>
      <c r="E10023">
        <v>93606</v>
      </c>
      <c r="F10023">
        <v>3.8444527666707799E-7</v>
      </c>
      <c r="G10023">
        <v>97388</v>
      </c>
      <c r="H10023">
        <v>14389158</v>
      </c>
      <c r="I10023">
        <v>1171367</v>
      </c>
      <c r="J10023">
        <v>2</v>
      </c>
    </row>
    <row r="10024" spans="1:10" x14ac:dyDescent="0.25">
      <c r="A10024" t="s">
        <v>99</v>
      </c>
      <c r="B10024" s="1" t="str">
        <f>HYPERLINK("http://chinalifepension.com.cn","chinalifepension.com.cn")</f>
        <v>chinalifepension.com.cn</v>
      </c>
      <c r="C10024" t="s">
        <v>431</v>
      </c>
      <c r="D10024" t="s">
        <v>812</v>
      </c>
      <c r="F10024">
        <v>6.1451429011887097E-9</v>
      </c>
      <c r="G10024">
        <v>15831997</v>
      </c>
      <c r="H10024">
        <v>10552800</v>
      </c>
      <c r="I10024">
        <v>46605774</v>
      </c>
      <c r="J10024">
        <v>3</v>
      </c>
    </row>
    <row r="10025" spans="1:10" x14ac:dyDescent="0.25">
      <c r="A10025" t="s">
        <v>99</v>
      </c>
      <c r="B10025" s="1" t="str">
        <f>HYPERLINK("http://gsfunds.com.cn","gsfunds.com.cn")</f>
        <v>gsfunds.com.cn</v>
      </c>
      <c r="C10025" t="s">
        <v>431</v>
      </c>
      <c r="D10025" t="s">
        <v>812</v>
      </c>
      <c r="F10025">
        <v>7.5693623952792196E-8</v>
      </c>
      <c r="G10025">
        <v>555312</v>
      </c>
      <c r="H10025">
        <v>12674513</v>
      </c>
      <c r="I10025">
        <v>15562266</v>
      </c>
      <c r="J10025">
        <v>3</v>
      </c>
    </row>
    <row r="10026" spans="1:10" x14ac:dyDescent="0.25">
      <c r="A10026" t="s">
        <v>99</v>
      </c>
      <c r="B10026" s="1" t="str">
        <f>HYPERLINK("http://clamc.com","clamc.com")</f>
        <v>clamc.com</v>
      </c>
      <c r="C10026" t="s">
        <v>433</v>
      </c>
      <c r="F10026">
        <v>8.3742396034895504E-9</v>
      </c>
      <c r="G10026">
        <v>9096175</v>
      </c>
      <c r="H10026">
        <v>10979343</v>
      </c>
      <c r="I10026">
        <v>33948711</v>
      </c>
      <c r="J10026">
        <v>3</v>
      </c>
    </row>
    <row r="10027" spans="1:10" x14ac:dyDescent="0.25">
      <c r="A10027" t="s">
        <v>99</v>
      </c>
      <c r="B10027" s="1" t="str">
        <f>HYPERLINK("http://e-chinalife.com","e-chinalife.com")</f>
        <v>e-chinalife.com</v>
      </c>
      <c r="C10027" t="s">
        <v>433</v>
      </c>
      <c r="E10027">
        <v>53903</v>
      </c>
      <c r="F10027">
        <v>2.4611356313353298E-7</v>
      </c>
      <c r="G10027">
        <v>152013</v>
      </c>
      <c r="H10027">
        <v>14483781</v>
      </c>
      <c r="I10027">
        <v>1021979</v>
      </c>
      <c r="J10027">
        <v>1</v>
      </c>
    </row>
    <row r="10028" spans="1:10" x14ac:dyDescent="0.25">
      <c r="A10028" t="s">
        <v>99</v>
      </c>
      <c r="B10028" s="1" t="str">
        <f>HYPERLINK("http://chinalife.com.hk","chinalife.com.hk")</f>
        <v>chinalife.com.hk</v>
      </c>
      <c r="C10028" t="s">
        <v>450</v>
      </c>
      <c r="D10028" t="s">
        <v>827</v>
      </c>
      <c r="F10028">
        <v>7.9839184665046102E-8</v>
      </c>
      <c r="G10028">
        <v>523217</v>
      </c>
      <c r="H10028">
        <v>14152878</v>
      </c>
      <c r="I10028">
        <v>1867946</v>
      </c>
      <c r="J10028">
        <v>3</v>
      </c>
    </row>
    <row r="10029" spans="1:10" x14ac:dyDescent="0.25">
      <c r="A10029" t="s">
        <v>99</v>
      </c>
      <c r="B10029" s="1" t="str">
        <f>HYPERLINK("http://clamc.com.hk","clamc.com.hk")</f>
        <v>clamc.com.hk</v>
      </c>
      <c r="C10029" t="s">
        <v>450</v>
      </c>
      <c r="D10029" t="s">
        <v>827</v>
      </c>
      <c r="F10029">
        <v>5.1640242946880399E-9</v>
      </c>
      <c r="G10029">
        <v>25827936</v>
      </c>
      <c r="H10029">
        <v>12295132</v>
      </c>
      <c r="I10029">
        <v>20961820</v>
      </c>
      <c r="J10029">
        <v>3</v>
      </c>
    </row>
    <row r="10030" spans="1:10" x14ac:dyDescent="0.25">
      <c r="A10030" t="s">
        <v>99</v>
      </c>
      <c r="B10030" s="1" t="str">
        <f>HYPERLINK("http://chinalife.co.id","chinalife.co.id")</f>
        <v>chinalife.co.id</v>
      </c>
      <c r="C10030" t="s">
        <v>454</v>
      </c>
      <c r="D10030" t="s">
        <v>831</v>
      </c>
      <c r="F10030">
        <v>8.4970064570402793E-9</v>
      </c>
      <c r="G10030">
        <v>8851335</v>
      </c>
      <c r="H10030">
        <v>14072222</v>
      </c>
      <c r="I10030">
        <v>3133320</v>
      </c>
      <c r="J10030">
        <v>4</v>
      </c>
    </row>
    <row r="10031" spans="1:10" x14ac:dyDescent="0.25">
      <c r="A10031" t="s">
        <v>99</v>
      </c>
      <c r="B10031" s="1" t="str">
        <f>HYPERLINK("http://chinalife.com.mo","chinalife.com.mo")</f>
        <v>chinalife.com.mo</v>
      </c>
      <c r="C10031" t="s">
        <v>548</v>
      </c>
      <c r="D10031" t="s">
        <v>905</v>
      </c>
      <c r="F10031">
        <v>2.21998718447071E-8</v>
      </c>
      <c r="G10031">
        <v>2362474</v>
      </c>
      <c r="H10031">
        <v>13560899</v>
      </c>
      <c r="I10031">
        <v>9848957</v>
      </c>
      <c r="J10031">
        <v>4</v>
      </c>
    </row>
    <row r="10032" spans="1:10" x14ac:dyDescent="0.25">
      <c r="A10032" t="s">
        <v>99</v>
      </c>
      <c r="B10032" s="1" t="str">
        <f>HYPERLINK("http://chinalife.com.sg","chinalife.com.sg")</f>
        <v>chinalife.com.sg</v>
      </c>
      <c r="C10032" t="s">
        <v>496</v>
      </c>
      <c r="D10032" t="s">
        <v>870</v>
      </c>
      <c r="F10032">
        <v>1.26903440980089E-8</v>
      </c>
      <c r="G10032">
        <v>4784521</v>
      </c>
      <c r="H10032">
        <v>13561031</v>
      </c>
      <c r="I10032">
        <v>9848538</v>
      </c>
      <c r="J10032">
        <v>4</v>
      </c>
    </row>
    <row r="10033" spans="1:10" x14ac:dyDescent="0.25">
      <c r="A10033" t="s">
        <v>100</v>
      </c>
      <c r="B10033" s="1" t="str">
        <f>HYPERLINK("http://cmbchina.biz","cmbchina.biz")</f>
        <v>cmbchina.biz</v>
      </c>
      <c r="C10033" t="s">
        <v>423</v>
      </c>
      <c r="E10033">
        <v>138481</v>
      </c>
      <c r="F10033">
        <v>2.57596527458482E-8</v>
      </c>
      <c r="G10033">
        <v>2001123</v>
      </c>
      <c r="H10033">
        <v>12301804</v>
      </c>
      <c r="I10033">
        <v>20794184</v>
      </c>
      <c r="J10033">
        <v>2</v>
      </c>
    </row>
    <row r="10034" spans="1:10" x14ac:dyDescent="0.25">
      <c r="A10034" t="s">
        <v>100</v>
      </c>
      <c r="B10034" s="1" t="str">
        <f>HYPERLINK("http://cmbchina.cn","cmbchina.cn")</f>
        <v>cmbchina.cn</v>
      </c>
      <c r="C10034" t="s">
        <v>431</v>
      </c>
      <c r="D10034" t="s">
        <v>812</v>
      </c>
      <c r="J10034">
        <v>2</v>
      </c>
    </row>
    <row r="10035" spans="1:10" x14ac:dyDescent="0.25">
      <c r="A10035" t="s">
        <v>100</v>
      </c>
      <c r="B10035" s="1" t="str">
        <f>HYPERLINK("http://cmburl.cn","cmburl.cn")</f>
        <v>cmburl.cn</v>
      </c>
      <c r="C10035" t="s">
        <v>431</v>
      </c>
      <c r="D10035" t="s">
        <v>812</v>
      </c>
      <c r="E10035">
        <v>724237</v>
      </c>
      <c r="F10035">
        <v>2.23937940010656E-8</v>
      </c>
      <c r="G10035">
        <v>2340440</v>
      </c>
      <c r="H10035">
        <v>12213840</v>
      </c>
      <c r="I10035">
        <v>22930596</v>
      </c>
      <c r="J10035">
        <v>2</v>
      </c>
    </row>
    <row r="10036" spans="1:10" x14ac:dyDescent="0.25">
      <c r="A10036" t="s">
        <v>100</v>
      </c>
      <c r="B10036" s="1" t="str">
        <f>HYPERLINK("http://cmb-leasing.com","cmb-leasing.com")</f>
        <v>cmb-leasing.com</v>
      </c>
      <c r="C10036" t="s">
        <v>433</v>
      </c>
      <c r="F10036">
        <v>3.5851740820248203E-8</v>
      </c>
      <c r="G10036">
        <v>1452857</v>
      </c>
      <c r="H10036">
        <v>12413413</v>
      </c>
      <c r="I10036">
        <v>18558642</v>
      </c>
      <c r="J10036">
        <v>3</v>
      </c>
    </row>
    <row r="10037" spans="1:10" x14ac:dyDescent="0.25">
      <c r="A10037" t="s">
        <v>100</v>
      </c>
      <c r="B10037" s="1" t="str">
        <f>HYPERLINK("http://cmbchina.com","cmbchina.com")</f>
        <v>cmbchina.com</v>
      </c>
      <c r="C10037" t="s">
        <v>433</v>
      </c>
      <c r="E10037">
        <v>3529</v>
      </c>
      <c r="F10037">
        <v>5.8703797936827801E-6</v>
      </c>
      <c r="G10037">
        <v>5893</v>
      </c>
      <c r="H10037">
        <v>17412184</v>
      </c>
      <c r="I10037">
        <v>18358</v>
      </c>
      <c r="J10037">
        <v>1</v>
      </c>
    </row>
    <row r="10038" spans="1:10" x14ac:dyDescent="0.25">
      <c r="A10038" t="s">
        <v>100</v>
      </c>
      <c r="B10038" s="1" t="str">
        <f>HYPERLINK("http://cmbchinawm.com","cmbchinawm.com")</f>
        <v>cmbchinawm.com</v>
      </c>
      <c r="C10038" t="s">
        <v>433</v>
      </c>
      <c r="F10038">
        <v>1.2777754350368999E-8</v>
      </c>
      <c r="G10038">
        <v>4740652</v>
      </c>
      <c r="H10038">
        <v>10697413</v>
      </c>
      <c r="I10038">
        <v>42361958</v>
      </c>
      <c r="J10038">
        <v>3</v>
      </c>
    </row>
    <row r="10039" spans="1:10" x14ac:dyDescent="0.25">
      <c r="A10039" t="s">
        <v>100</v>
      </c>
      <c r="B10039" s="1" t="str">
        <f>HYPERLINK("http://cmbi.com","cmbi.com")</f>
        <v>cmbi.com</v>
      </c>
      <c r="C10039" t="s">
        <v>433</v>
      </c>
      <c r="F10039">
        <v>8.3232618644360795E-9</v>
      </c>
      <c r="G10039">
        <v>9204486</v>
      </c>
      <c r="H10039">
        <v>12464179</v>
      </c>
      <c r="I10039">
        <v>17825968</v>
      </c>
      <c r="J10039">
        <v>4</v>
      </c>
    </row>
    <row r="10040" spans="1:10" x14ac:dyDescent="0.25">
      <c r="A10040" t="s">
        <v>100</v>
      </c>
      <c r="B10040" s="1" t="str">
        <f>HYPERLINK("http://cmbwinglungbank.com","cmbwinglungbank.com")</f>
        <v>cmbwinglungbank.com</v>
      </c>
      <c r="C10040" t="s">
        <v>433</v>
      </c>
      <c r="E10040">
        <v>257425</v>
      </c>
      <c r="F10040">
        <v>1.2219208257631099E-7</v>
      </c>
      <c r="G10040">
        <v>323079</v>
      </c>
      <c r="H10040">
        <v>14477792</v>
      </c>
      <c r="I10040">
        <v>1030068</v>
      </c>
      <c r="J10040">
        <v>3</v>
      </c>
    </row>
    <row r="10041" spans="1:10" x14ac:dyDescent="0.25">
      <c r="A10041" t="s">
        <v>100</v>
      </c>
      <c r="B10041" s="1" t="str">
        <f>HYPERLINK("http://cmenergyshipping.com","cmenergyshipping.com")</f>
        <v>cmenergyshipping.com</v>
      </c>
      <c r="C10041" t="s">
        <v>433</v>
      </c>
      <c r="F10041">
        <v>3.0230285451788198E-8</v>
      </c>
      <c r="G10041">
        <v>1702444</v>
      </c>
      <c r="H10041">
        <v>14132832</v>
      </c>
      <c r="I10041">
        <v>1995203</v>
      </c>
      <c r="J10041">
        <v>5</v>
      </c>
    </row>
    <row r="10042" spans="1:10" x14ac:dyDescent="0.25">
      <c r="A10042" t="s">
        <v>100</v>
      </c>
      <c r="B10042" s="1" t="str">
        <f>HYPERLINK("http://cmfchina.com","cmfchina.com")</f>
        <v>cmfchina.com</v>
      </c>
      <c r="C10042" t="s">
        <v>433</v>
      </c>
      <c r="E10042">
        <v>174210</v>
      </c>
      <c r="F10042">
        <v>1.4397480538425099E-7</v>
      </c>
      <c r="G10042">
        <v>270456</v>
      </c>
      <c r="H10042">
        <v>13040867</v>
      </c>
      <c r="I10042">
        <v>12622336</v>
      </c>
      <c r="J10042">
        <v>3</v>
      </c>
    </row>
    <row r="10043" spans="1:10" x14ac:dyDescent="0.25">
      <c r="A10043" t="s">
        <v>100</v>
      </c>
      <c r="B10043" s="1" t="str">
        <f>HYPERLINK("http://cmfhk.com","cmfhk.com")</f>
        <v>cmfhk.com</v>
      </c>
      <c r="C10043" t="s">
        <v>433</v>
      </c>
      <c r="F10043">
        <v>1.1345807168444999E-8</v>
      </c>
      <c r="G10043">
        <v>5611098</v>
      </c>
      <c r="H10043">
        <v>10959120</v>
      </c>
      <c r="I10043">
        <v>34379796</v>
      </c>
      <c r="J10043">
        <v>12</v>
      </c>
    </row>
    <row r="10044" spans="1:10" x14ac:dyDescent="0.25">
      <c r="A10044" t="s">
        <v>100</v>
      </c>
      <c r="B10044" s="1" t="str">
        <f>HYPERLINK("http://cmhico.com","cmhico.com")</f>
        <v>cmhico.com</v>
      </c>
      <c r="C10044" t="s">
        <v>433</v>
      </c>
      <c r="F10044">
        <v>6.7536526828711696E-9</v>
      </c>
      <c r="G10044">
        <v>13116744</v>
      </c>
      <c r="H10044">
        <v>13427208</v>
      </c>
      <c r="I10044">
        <v>10291351</v>
      </c>
      <c r="J10044">
        <v>5</v>
      </c>
    </row>
    <row r="10045" spans="1:10" x14ac:dyDescent="0.25">
      <c r="A10045" t="s">
        <v>100</v>
      </c>
      <c r="B10045" s="1" t="str">
        <f>HYPERLINK("http://cmhk.com","cmhk.com")</f>
        <v>cmhk.com</v>
      </c>
      <c r="C10045" t="s">
        <v>433</v>
      </c>
      <c r="E10045">
        <v>101241</v>
      </c>
      <c r="F10045">
        <v>2.2018164040662499E-7</v>
      </c>
      <c r="G10045">
        <v>171176</v>
      </c>
      <c r="H10045">
        <v>14938802</v>
      </c>
      <c r="I10045">
        <v>444408</v>
      </c>
      <c r="J10045">
        <v>4</v>
      </c>
    </row>
    <row r="10046" spans="1:10" x14ac:dyDescent="0.25">
      <c r="A10046" t="s">
        <v>100</v>
      </c>
      <c r="B10046" s="1" t="str">
        <f>HYPERLINK("http://winglungbank.com","winglungbank.com")</f>
        <v>winglungbank.com</v>
      </c>
      <c r="C10046" t="s">
        <v>433</v>
      </c>
      <c r="F10046">
        <v>6.2769361336419104E-8</v>
      </c>
      <c r="G10046">
        <v>698712</v>
      </c>
      <c r="H10046">
        <v>13817593</v>
      </c>
      <c r="I10046">
        <v>6156923</v>
      </c>
      <c r="J10046">
        <v>6</v>
      </c>
    </row>
    <row r="10047" spans="1:10" x14ac:dyDescent="0.25">
      <c r="A10047" t="s">
        <v>100</v>
      </c>
      <c r="B10047" s="1" t="str">
        <f>HYPERLINK("http://xunlongferry.com","xunlongferry.com")</f>
        <v>xunlongferry.com</v>
      </c>
      <c r="C10047" t="s">
        <v>433</v>
      </c>
      <c r="F10047">
        <v>1.2575435722163701E-8</v>
      </c>
      <c r="G10047">
        <v>4843666</v>
      </c>
      <c r="H10047">
        <v>14415358</v>
      </c>
      <c r="I10047">
        <v>1113850</v>
      </c>
      <c r="J10047">
        <v>5</v>
      </c>
    </row>
    <row r="10048" spans="1:10" x14ac:dyDescent="0.25">
      <c r="A10048" t="s">
        <v>100</v>
      </c>
      <c r="B10048" s="1" t="str">
        <f>HYPERLINK("http://cmland.hk","cmland.hk")</f>
        <v>cmland.hk</v>
      </c>
      <c r="C10048" t="s">
        <v>450</v>
      </c>
      <c r="D10048" t="s">
        <v>827</v>
      </c>
      <c r="F10048">
        <v>8.5354889337569897E-9</v>
      </c>
      <c r="G10048">
        <v>8777356</v>
      </c>
      <c r="H10048">
        <v>12403996</v>
      </c>
      <c r="I10048">
        <v>18706954</v>
      </c>
      <c r="J10048">
        <v>9</v>
      </c>
    </row>
    <row r="10049" spans="1:10" x14ac:dyDescent="0.25">
      <c r="A10049" t="s">
        <v>100</v>
      </c>
      <c r="B10049" s="1" t="str">
        <f>HYPERLINK("http://cmbi.com.hk","cmbi.com.hk")</f>
        <v>cmbi.com.hk</v>
      </c>
      <c r="C10049" t="s">
        <v>450</v>
      </c>
      <c r="D10049" t="s">
        <v>827</v>
      </c>
      <c r="F10049">
        <v>4.8538305771948098E-8</v>
      </c>
      <c r="G10049">
        <v>955607</v>
      </c>
      <c r="H10049">
        <v>13179360</v>
      </c>
      <c r="I10049">
        <v>11686603</v>
      </c>
      <c r="J10049">
        <v>3</v>
      </c>
    </row>
    <row r="10050" spans="1:10" x14ac:dyDescent="0.25">
      <c r="A10050" t="s">
        <v>100</v>
      </c>
      <c r="B10050" s="1" t="str">
        <f>HYPERLINK("http://cmport.com.hk","cmport.com.hk")</f>
        <v>cmport.com.hk</v>
      </c>
      <c r="C10050" t="s">
        <v>450</v>
      </c>
      <c r="D10050" t="s">
        <v>827</v>
      </c>
      <c r="F10050">
        <v>6.4452840818288795E-8</v>
      </c>
      <c r="G10050">
        <v>671406</v>
      </c>
      <c r="H10050">
        <v>13706276</v>
      </c>
      <c r="I10050">
        <v>9510254</v>
      </c>
      <c r="J10050">
        <v>7</v>
      </c>
    </row>
    <row r="10051" spans="1:10" x14ac:dyDescent="0.25">
      <c r="A10051" t="s">
        <v>101</v>
      </c>
      <c r="B10051" s="1" t="str">
        <f>HYPERLINK("http://online-cmos.cn","online-cmos.cn")</f>
        <v>online-cmos.cn</v>
      </c>
      <c r="C10051" t="s">
        <v>431</v>
      </c>
      <c r="D10051" t="s">
        <v>812</v>
      </c>
      <c r="J10051">
        <v>4</v>
      </c>
    </row>
    <row r="10052" spans="1:10" x14ac:dyDescent="0.25">
      <c r="A10052" t="s">
        <v>101</v>
      </c>
      <c r="B10052" s="1" t="str">
        <f>HYPERLINK("http://archclearing.com","archclearing.com")</f>
        <v>archclearing.com</v>
      </c>
      <c r="C10052" t="s">
        <v>433</v>
      </c>
      <c r="F10052">
        <v>4.9726553988875796E-9</v>
      </c>
      <c r="G10052">
        <v>30179189</v>
      </c>
      <c r="H10052">
        <v>12161032</v>
      </c>
      <c r="I10052">
        <v>24337348</v>
      </c>
      <c r="J10052">
        <v>3</v>
      </c>
    </row>
    <row r="10053" spans="1:10" x14ac:dyDescent="0.25">
      <c r="A10053" t="s">
        <v>101</v>
      </c>
      <c r="B10053" s="1" t="str">
        <f>HYPERLINK("http://chinamobile.com","chinamobile.com")</f>
        <v>chinamobile.com</v>
      </c>
      <c r="C10053" t="s">
        <v>433</v>
      </c>
      <c r="E10053">
        <v>372</v>
      </c>
      <c r="F10053">
        <v>1.2196763892009299E-6</v>
      </c>
      <c r="G10053">
        <v>31872</v>
      </c>
      <c r="H10053">
        <v>17301620</v>
      </c>
      <c r="I10053">
        <v>27705</v>
      </c>
      <c r="J10053">
        <v>3</v>
      </c>
    </row>
    <row r="10054" spans="1:10" x14ac:dyDescent="0.25">
      <c r="A10054" t="s">
        <v>101</v>
      </c>
      <c r="B10054" s="1" t="str">
        <f>HYPERLINK("http://chinamobileltd.com","chinamobileltd.com")</f>
        <v>chinamobileltd.com</v>
      </c>
      <c r="C10054" t="s">
        <v>433</v>
      </c>
      <c r="E10054">
        <v>174629</v>
      </c>
      <c r="F10054">
        <v>1.27980834742982E-6</v>
      </c>
      <c r="G10054">
        <v>30367</v>
      </c>
      <c r="H10054">
        <v>15638106</v>
      </c>
      <c r="I10054">
        <v>371065</v>
      </c>
      <c r="J10054">
        <v>1</v>
      </c>
    </row>
    <row r="10055" spans="1:10" x14ac:dyDescent="0.25">
      <c r="A10055" t="s">
        <v>101</v>
      </c>
      <c r="B10055" s="1" t="str">
        <f>HYPERLINK("http://dahua-faq.com","dahua-faq.com")</f>
        <v>dahua-faq.com</v>
      </c>
      <c r="C10055" t="s">
        <v>433</v>
      </c>
      <c r="F10055">
        <v>4.8266869008879902E-9</v>
      </c>
      <c r="G10055">
        <v>34966328</v>
      </c>
      <c r="H10055">
        <v>8894352</v>
      </c>
      <c r="I10055">
        <v>69049462</v>
      </c>
      <c r="J10055">
        <v>4</v>
      </c>
    </row>
    <row r="10056" spans="1:10" x14ac:dyDescent="0.25">
      <c r="A10056" t="s">
        <v>101</v>
      </c>
      <c r="B10056" s="1" t="str">
        <f>HYPERLINK("http://dahuasecurity.com","dahuasecurity.com")</f>
        <v>dahuasecurity.com</v>
      </c>
      <c r="C10056" t="s">
        <v>433</v>
      </c>
      <c r="E10056">
        <v>29895</v>
      </c>
      <c r="F10056">
        <v>1.14559851950708E-6</v>
      </c>
      <c r="G10056">
        <v>33787</v>
      </c>
      <c r="H10056">
        <v>17230320</v>
      </c>
      <c r="I10056">
        <v>36846</v>
      </c>
      <c r="J10056">
        <v>4</v>
      </c>
    </row>
    <row r="10057" spans="1:10" x14ac:dyDescent="0.25">
      <c r="A10057" t="s">
        <v>101</v>
      </c>
      <c r="B10057" s="1" t="str">
        <f>HYPERLINK("http://dahuatech.com","dahuatech.com")</f>
        <v>dahuatech.com</v>
      </c>
      <c r="C10057" t="s">
        <v>433</v>
      </c>
      <c r="E10057">
        <v>53739</v>
      </c>
      <c r="F10057">
        <v>3.6451120423808402E-7</v>
      </c>
      <c r="G10057">
        <v>102620</v>
      </c>
      <c r="H10057">
        <v>16993750</v>
      </c>
      <c r="I10057">
        <v>95018</v>
      </c>
      <c r="J10057">
        <v>3</v>
      </c>
    </row>
    <row r="10058" spans="1:10" x14ac:dyDescent="0.25">
      <c r="A10058" t="s">
        <v>101</v>
      </c>
      <c r="B10058" s="1" t="str">
        <f>HYPERLINK("http://utvhk.com","utvhk.com")</f>
        <v>utvhk.com</v>
      </c>
      <c r="C10058" t="s">
        <v>433</v>
      </c>
      <c r="F10058">
        <v>2.05035410355022E-8</v>
      </c>
      <c r="G10058">
        <v>2584161</v>
      </c>
      <c r="H10058">
        <v>13491733</v>
      </c>
      <c r="I10058">
        <v>9985128</v>
      </c>
      <c r="J10058">
        <v>4</v>
      </c>
    </row>
    <row r="10059" spans="1:10" x14ac:dyDescent="0.25">
      <c r="A10059" t="s">
        <v>101</v>
      </c>
      <c r="B10059" s="1" t="str">
        <f>HYPERLINK("http://dahuasecurity.de","dahuasecurity.de")</f>
        <v>dahuasecurity.de</v>
      </c>
      <c r="C10059" t="s">
        <v>436</v>
      </c>
      <c r="D10059" t="s">
        <v>815</v>
      </c>
      <c r="F10059">
        <v>7.9436739478987505E-9</v>
      </c>
      <c r="G10059">
        <v>10025920</v>
      </c>
      <c r="H10059">
        <v>12114319</v>
      </c>
      <c r="I10059">
        <v>25621275</v>
      </c>
      <c r="J10059">
        <v>5</v>
      </c>
    </row>
    <row r="10060" spans="1:10" x14ac:dyDescent="0.25">
      <c r="A10060" t="s">
        <v>101</v>
      </c>
      <c r="B10060" s="1" t="str">
        <f>HYPERLINK("http://dahuasecurity.fi","dahuasecurity.fi")</f>
        <v>dahuasecurity.fi</v>
      </c>
      <c r="C10060" t="s">
        <v>445</v>
      </c>
      <c r="D10060" t="s">
        <v>823</v>
      </c>
      <c r="J10060">
        <v>6</v>
      </c>
    </row>
    <row r="10061" spans="1:10" x14ac:dyDescent="0.25">
      <c r="A10061" t="s">
        <v>101</v>
      </c>
      <c r="B10061" s="1" t="str">
        <f>HYPERLINK("http://dahuatech.fi","dahuatech.fi")</f>
        <v>dahuatech.fi</v>
      </c>
      <c r="C10061" t="s">
        <v>445</v>
      </c>
      <c r="D10061" t="s">
        <v>823</v>
      </c>
      <c r="J10061">
        <v>6</v>
      </c>
    </row>
    <row r="10062" spans="1:10" x14ac:dyDescent="0.25">
      <c r="A10062" t="s">
        <v>101</v>
      </c>
      <c r="B10062" s="1" t="str">
        <f>HYPERLINK("http://dahuatechnology.fi","dahuatechnology.fi")</f>
        <v>dahuatechnology.fi</v>
      </c>
      <c r="C10062" t="s">
        <v>445</v>
      </c>
      <c r="D10062" t="s">
        <v>823</v>
      </c>
      <c r="J10062">
        <v>6</v>
      </c>
    </row>
    <row r="10063" spans="1:10" x14ac:dyDescent="0.25">
      <c r="A10063" t="s">
        <v>101</v>
      </c>
      <c r="B10063" s="1" t="str">
        <f>HYPERLINK("http://dahuasecurity.co.il","dahuasecurity.co.il")</f>
        <v>dahuasecurity.co.il</v>
      </c>
      <c r="C10063" t="s">
        <v>456</v>
      </c>
      <c r="D10063" t="s">
        <v>833</v>
      </c>
      <c r="F10063">
        <v>6.7650114152629597E-9</v>
      </c>
      <c r="G10063">
        <v>13078341</v>
      </c>
      <c r="H10063">
        <v>12132599</v>
      </c>
      <c r="I10063">
        <v>25068680</v>
      </c>
      <c r="J10063">
        <v>5</v>
      </c>
    </row>
    <row r="10064" spans="1:10" x14ac:dyDescent="0.25">
      <c r="A10064" t="s">
        <v>101</v>
      </c>
      <c r="B10064" s="1" t="str">
        <f>HYPERLINK("http://zong.com.pk","zong.com.pk")</f>
        <v>zong.com.pk</v>
      </c>
      <c r="C10064" t="s">
        <v>485</v>
      </c>
      <c r="D10064" t="s">
        <v>859</v>
      </c>
      <c r="E10064">
        <v>124868</v>
      </c>
      <c r="F10064">
        <v>1.21053476329975E-7</v>
      </c>
      <c r="G10064">
        <v>326278</v>
      </c>
      <c r="H10064">
        <v>17022172</v>
      </c>
      <c r="I10064">
        <v>89088</v>
      </c>
      <c r="J10064">
        <v>3</v>
      </c>
    </row>
    <row r="10065" spans="1:10" x14ac:dyDescent="0.25">
      <c r="A10065" t="s">
        <v>101</v>
      </c>
      <c r="B10065" s="1" t="str">
        <f>HYPERLINK("http://dahuasecurity.co.uk","dahuasecurity.co.uk")</f>
        <v>dahuasecurity.co.uk</v>
      </c>
      <c r="C10065" t="s">
        <v>506</v>
      </c>
      <c r="D10065" t="s">
        <v>880</v>
      </c>
      <c r="F10065">
        <v>7.1088980478800601E-9</v>
      </c>
      <c r="G10065">
        <v>11989274</v>
      </c>
      <c r="H10065">
        <v>12286501</v>
      </c>
      <c r="I10065">
        <v>21182457</v>
      </c>
      <c r="J10065">
        <v>5</v>
      </c>
    </row>
    <row r="10066" spans="1:10" x14ac:dyDescent="0.25">
      <c r="A10066" t="s">
        <v>102</v>
      </c>
      <c r="B10066" s="1" t="str">
        <f>HYPERLINK("http://spc.com.cn","spc.com.cn")</f>
        <v>spc.com.cn</v>
      </c>
      <c r="C10066" t="s">
        <v>431</v>
      </c>
      <c r="D10066" t="s">
        <v>812</v>
      </c>
      <c r="F10066">
        <v>3.6147141321053897E-8</v>
      </c>
      <c r="G10066">
        <v>1442383</v>
      </c>
      <c r="H10066">
        <v>14367006</v>
      </c>
      <c r="I10066">
        <v>1301459</v>
      </c>
      <c r="J10066">
        <v>3</v>
      </c>
    </row>
    <row r="10067" spans="1:10" x14ac:dyDescent="0.25">
      <c r="A10067" t="s">
        <v>102</v>
      </c>
      <c r="B10067" s="1" t="str">
        <f>HYPERLINK("http://qrc.cn","qrc.cn")</f>
        <v>qrc.cn</v>
      </c>
      <c r="C10067" t="s">
        <v>431</v>
      </c>
      <c r="D10067" t="s">
        <v>812</v>
      </c>
      <c r="J10067">
        <v>3</v>
      </c>
    </row>
    <row r="10068" spans="1:10" x14ac:dyDescent="0.25">
      <c r="A10068" t="s">
        <v>102</v>
      </c>
      <c r="B10068" s="1" t="str">
        <f>HYPERLINK("http://ejoy365.com","ejoy365.com")</f>
        <v>ejoy365.com</v>
      </c>
      <c r="C10068" t="s">
        <v>433</v>
      </c>
      <c r="F10068">
        <v>5.2672660276623698E-8</v>
      </c>
      <c r="G10068">
        <v>865375</v>
      </c>
      <c r="H10068">
        <v>11298800</v>
      </c>
      <c r="I10068">
        <v>30614024</v>
      </c>
      <c r="J10068">
        <v>3</v>
      </c>
    </row>
    <row r="10069" spans="1:10" x14ac:dyDescent="0.25">
      <c r="A10069" t="s">
        <v>102</v>
      </c>
      <c r="B10069" s="1" t="str">
        <f>HYPERLINK("http://fjglpc.com","fjglpc.com")</f>
        <v>fjglpc.com</v>
      </c>
      <c r="C10069" t="s">
        <v>433</v>
      </c>
      <c r="J10069">
        <v>2</v>
      </c>
    </row>
    <row r="10070" spans="1:10" x14ac:dyDescent="0.25">
      <c r="A10070" t="s">
        <v>102</v>
      </c>
      <c r="B10070" s="1" t="str">
        <f>HYPERLINK("http://pcitc.com","pcitc.com")</f>
        <v>pcitc.com</v>
      </c>
      <c r="C10070" t="s">
        <v>433</v>
      </c>
      <c r="E10070">
        <v>173845</v>
      </c>
      <c r="F10070">
        <v>2.74683526176375E-8</v>
      </c>
      <c r="G10070">
        <v>1871577</v>
      </c>
      <c r="H10070">
        <v>11492147</v>
      </c>
      <c r="I10070">
        <v>30043771</v>
      </c>
      <c r="J10070">
        <v>2</v>
      </c>
    </row>
    <row r="10071" spans="1:10" x14ac:dyDescent="0.25">
      <c r="A10071" t="s">
        <v>102</v>
      </c>
      <c r="B10071" s="1" t="str">
        <f>HYPERLINK("http://sinopec.com","sinopec.com")</f>
        <v>sinopec.com</v>
      </c>
      <c r="C10071" t="s">
        <v>433</v>
      </c>
      <c r="E10071">
        <v>17508</v>
      </c>
      <c r="F10071">
        <v>1.14525249872992E-6</v>
      </c>
      <c r="G10071">
        <v>33794</v>
      </c>
      <c r="H10071">
        <v>15231627</v>
      </c>
      <c r="I10071">
        <v>392136</v>
      </c>
      <c r="J10071">
        <v>1</v>
      </c>
    </row>
    <row r="10072" spans="1:10" x14ac:dyDescent="0.25">
      <c r="A10072" t="s">
        <v>102</v>
      </c>
      <c r="B10072" s="1" t="str">
        <f>HYPERLINK("http://sinopecgroup.com","sinopecgroup.com")</f>
        <v>sinopecgroup.com</v>
      </c>
      <c r="C10072" t="s">
        <v>433</v>
      </c>
      <c r="E10072">
        <v>125763</v>
      </c>
      <c r="F10072">
        <v>4.6419792461184798E-7</v>
      </c>
      <c r="G10072">
        <v>81559</v>
      </c>
      <c r="H10072">
        <v>14975234</v>
      </c>
      <c r="I10072">
        <v>432434</v>
      </c>
      <c r="J10072">
        <v>2</v>
      </c>
    </row>
    <row r="10073" spans="1:10" x14ac:dyDescent="0.25">
      <c r="A10073" t="s">
        <v>102</v>
      </c>
      <c r="B10073" s="1" t="str">
        <f>HYPERLINK("http://sinopecsales.com","sinopecsales.com")</f>
        <v>sinopecsales.com</v>
      </c>
      <c r="C10073" t="s">
        <v>433</v>
      </c>
      <c r="E10073">
        <v>355251</v>
      </c>
      <c r="F10073">
        <v>8.1010225532161503E-8</v>
      </c>
      <c r="G10073">
        <v>515336</v>
      </c>
      <c r="H10073">
        <v>13254192</v>
      </c>
      <c r="I10073">
        <v>11063806</v>
      </c>
      <c r="J10073">
        <v>3</v>
      </c>
    </row>
    <row r="10074" spans="1:10" x14ac:dyDescent="0.25">
      <c r="A10074" t="s">
        <v>102</v>
      </c>
      <c r="B10074" s="1" t="str">
        <f>HYPERLINK("http://eddid.com.hk","eddid.com.hk")</f>
        <v>eddid.com.hk</v>
      </c>
      <c r="C10074" t="s">
        <v>450</v>
      </c>
      <c r="D10074" t="s">
        <v>827</v>
      </c>
      <c r="F10074">
        <v>1.1187863789494001E-8</v>
      </c>
      <c r="G10074">
        <v>5721479</v>
      </c>
      <c r="H10074">
        <v>12600545</v>
      </c>
      <c r="I10074">
        <v>16321766</v>
      </c>
      <c r="J10074">
        <v>6</v>
      </c>
    </row>
    <row r="10075" spans="1:10" x14ac:dyDescent="0.25">
      <c r="A10075" t="s">
        <v>102</v>
      </c>
      <c r="B10075" s="1" t="str">
        <f>HYPERLINK("http://sinopec.com.hk","sinopec.com.hk")</f>
        <v>sinopec.com.hk</v>
      </c>
      <c r="C10075" t="s">
        <v>450</v>
      </c>
      <c r="D10075" t="s">
        <v>827</v>
      </c>
      <c r="F10075">
        <v>5.8635583622774599E-9</v>
      </c>
      <c r="G10075">
        <v>17613132</v>
      </c>
      <c r="H10075">
        <v>12460734</v>
      </c>
      <c r="I10075">
        <v>17868121</v>
      </c>
      <c r="J10075">
        <v>3</v>
      </c>
    </row>
    <row r="10076" spans="1:10" x14ac:dyDescent="0.25">
      <c r="A10076" t="s">
        <v>103</v>
      </c>
      <c r="B10076" s="1" t="str">
        <f>HYPERLINK("http://shenhuagroup.com.cn","shenhuagroup.com.cn")</f>
        <v>shenhuagroup.com.cn</v>
      </c>
      <c r="C10076" t="s">
        <v>431</v>
      </c>
      <c r="D10076" t="s">
        <v>812</v>
      </c>
      <c r="E10076">
        <v>53841</v>
      </c>
      <c r="F10076">
        <v>1.60885796765519E-7</v>
      </c>
      <c r="G10076">
        <v>241296</v>
      </c>
      <c r="H10076">
        <v>14578586</v>
      </c>
      <c r="I10076">
        <v>714619</v>
      </c>
      <c r="J10076">
        <v>4</v>
      </c>
    </row>
    <row r="10077" spans="1:10" x14ac:dyDescent="0.25">
      <c r="A10077" t="s">
        <v>103</v>
      </c>
      <c r="B10077" s="1" t="str">
        <f>HYPERLINK("http://csec.com","csec.com")</f>
        <v>csec.com</v>
      </c>
      <c r="C10077" t="s">
        <v>433</v>
      </c>
      <c r="F10077">
        <v>4.7985376394939101E-8</v>
      </c>
      <c r="G10077">
        <v>969312</v>
      </c>
      <c r="H10077">
        <v>14144134</v>
      </c>
      <c r="I10077">
        <v>1908357</v>
      </c>
      <c r="J10077">
        <v>1</v>
      </c>
    </row>
    <row r="10078" spans="1:10" x14ac:dyDescent="0.25">
      <c r="A10078" t="s">
        <v>1602</v>
      </c>
      <c r="B10078" s="1" t="str">
        <f>HYPERLINK("http://cscec.com.cn","cscec.com.cn")</f>
        <v>cscec.com.cn</v>
      </c>
      <c r="C10078" t="s">
        <v>431</v>
      </c>
      <c r="D10078" t="s">
        <v>812</v>
      </c>
      <c r="E10078">
        <v>217530</v>
      </c>
      <c r="F10078">
        <v>4.0843064285122201E-7</v>
      </c>
      <c r="G10078">
        <v>92006</v>
      </c>
      <c r="H10078">
        <v>14571970</v>
      </c>
      <c r="I10078">
        <v>733876</v>
      </c>
      <c r="J10078">
        <v>2</v>
      </c>
    </row>
    <row r="10079" spans="1:10" x14ac:dyDescent="0.25">
      <c r="A10079" t="s">
        <v>1602</v>
      </c>
      <c r="B10079" s="1" t="str">
        <f>HYPERLINK("http://cscec2b.com.cn","cscec2b.com.cn")</f>
        <v>cscec2b.com.cn</v>
      </c>
      <c r="C10079" t="s">
        <v>431</v>
      </c>
      <c r="D10079" t="s">
        <v>812</v>
      </c>
      <c r="F10079">
        <v>7.4407335873945902E-9</v>
      </c>
      <c r="G10079">
        <v>11148359</v>
      </c>
      <c r="H10079">
        <v>11104427</v>
      </c>
      <c r="I10079">
        <v>32216901</v>
      </c>
      <c r="J10079">
        <v>5</v>
      </c>
    </row>
    <row r="10080" spans="1:10" x14ac:dyDescent="0.25">
      <c r="A10080" t="s">
        <v>1602</v>
      </c>
      <c r="B10080" s="1" t="str">
        <f>HYPERLINK("http://cscec3b.com.cn","cscec3b.com.cn")</f>
        <v>cscec3b.com.cn</v>
      </c>
      <c r="C10080" t="s">
        <v>431</v>
      </c>
      <c r="D10080" t="s">
        <v>812</v>
      </c>
      <c r="E10080">
        <v>69136</v>
      </c>
      <c r="F10080">
        <v>1.15639046800221E-7</v>
      </c>
      <c r="G10080">
        <v>344003</v>
      </c>
      <c r="H10080">
        <v>12932547</v>
      </c>
      <c r="I10080">
        <v>13355993</v>
      </c>
      <c r="J10080">
        <v>5</v>
      </c>
    </row>
    <row r="10081" spans="1:10" x14ac:dyDescent="0.25">
      <c r="A10081" t="s">
        <v>1602</v>
      </c>
      <c r="B10081" s="1" t="str">
        <f>HYPERLINK("http://cscec4b.com.cn","cscec4b.com.cn")</f>
        <v>cscec4b.com.cn</v>
      </c>
      <c r="C10081" t="s">
        <v>431</v>
      </c>
      <c r="D10081" t="s">
        <v>812</v>
      </c>
      <c r="F10081">
        <v>9.7715806071142E-9</v>
      </c>
      <c r="G10081">
        <v>6999607</v>
      </c>
      <c r="H10081">
        <v>14072176</v>
      </c>
      <c r="I10081">
        <v>3145115</v>
      </c>
      <c r="J10081">
        <v>5</v>
      </c>
    </row>
    <row r="10082" spans="1:10" x14ac:dyDescent="0.25">
      <c r="A10082" t="s">
        <v>1602</v>
      </c>
      <c r="B10082" s="1" t="str">
        <f>HYPERLINK("http://cscec5b.com.cn","cscec5b.com.cn")</f>
        <v>cscec5b.com.cn</v>
      </c>
      <c r="C10082" t="s">
        <v>431</v>
      </c>
      <c r="D10082" t="s">
        <v>812</v>
      </c>
      <c r="E10082">
        <v>442618</v>
      </c>
      <c r="F10082">
        <v>3.9166012260152801E-8</v>
      </c>
      <c r="G10082">
        <v>1317045</v>
      </c>
      <c r="H10082">
        <v>11352360</v>
      </c>
      <c r="I10082">
        <v>30384106</v>
      </c>
      <c r="J10082">
        <v>3</v>
      </c>
    </row>
    <row r="10083" spans="1:10" x14ac:dyDescent="0.25">
      <c r="A10083" t="s">
        <v>1602</v>
      </c>
      <c r="B10083" s="1" t="str">
        <f>HYPERLINK("http://bchiltonnassauhotel.com","bchiltonnassauhotel.com")</f>
        <v>bchiltonnassauhotel.com</v>
      </c>
      <c r="C10083" t="s">
        <v>433</v>
      </c>
      <c r="F10083">
        <v>6.4019768877647002E-9</v>
      </c>
      <c r="G10083">
        <v>14507425</v>
      </c>
      <c r="H10083">
        <v>12686903</v>
      </c>
      <c r="I10083">
        <v>15443042</v>
      </c>
      <c r="J10083">
        <v>5</v>
      </c>
    </row>
    <row r="10084" spans="1:10" x14ac:dyDescent="0.25">
      <c r="A10084" t="s">
        <v>1602</v>
      </c>
      <c r="B10084" s="1" t="str">
        <f>HYPERLINK("http://cohl.com","cohl.com")</f>
        <v>cohl.com</v>
      </c>
      <c r="C10084" t="s">
        <v>433</v>
      </c>
      <c r="E10084">
        <v>455718</v>
      </c>
      <c r="F10084">
        <v>3.6254669834008902E-8</v>
      </c>
      <c r="G10084">
        <v>1438654</v>
      </c>
      <c r="H10084">
        <v>14486770</v>
      </c>
      <c r="I10084">
        <v>959822</v>
      </c>
      <c r="J10084">
        <v>8</v>
      </c>
    </row>
    <row r="10085" spans="1:10" x14ac:dyDescent="0.25">
      <c r="A10085" t="s">
        <v>1602</v>
      </c>
      <c r="B10085" s="1" t="str">
        <f>HYPERLINK("http://cscec.com","cscec.com")</f>
        <v>cscec.com</v>
      </c>
      <c r="C10085" t="s">
        <v>433</v>
      </c>
      <c r="E10085">
        <v>13608</v>
      </c>
      <c r="F10085">
        <v>4.6196934865465701E-7</v>
      </c>
      <c r="G10085">
        <v>81908</v>
      </c>
      <c r="H10085">
        <v>14918687</v>
      </c>
      <c r="I10085">
        <v>452770</v>
      </c>
      <c r="J10085">
        <v>1</v>
      </c>
    </row>
    <row r="10086" spans="1:10" x14ac:dyDescent="0.25">
      <c r="A10086" t="s">
        <v>1602</v>
      </c>
      <c r="B10086" s="1" t="str">
        <f>HYPERLINK("http://cscec6b.com","cscec6b.com")</f>
        <v>cscec6b.com</v>
      </c>
      <c r="C10086" t="s">
        <v>433</v>
      </c>
      <c r="F10086">
        <v>4.8133191330484196E-9</v>
      </c>
      <c r="G10086">
        <v>35531517</v>
      </c>
      <c r="H10086">
        <v>8437723</v>
      </c>
      <c r="I10086">
        <v>72665749</v>
      </c>
      <c r="J10086">
        <v>5</v>
      </c>
    </row>
    <row r="10087" spans="1:10" x14ac:dyDescent="0.25">
      <c r="A10087" t="s">
        <v>1602</v>
      </c>
      <c r="B10087" s="1" t="str">
        <f>HYPERLINK("http://cscec7b.com","cscec7b.com")</f>
        <v>cscec7b.com</v>
      </c>
      <c r="C10087" t="s">
        <v>433</v>
      </c>
      <c r="E10087">
        <v>160118</v>
      </c>
      <c r="F10087">
        <v>1.26821727751245E-8</v>
      </c>
      <c r="G10087">
        <v>4788561</v>
      </c>
      <c r="H10087">
        <v>14073927</v>
      </c>
      <c r="I10087">
        <v>2964076</v>
      </c>
      <c r="J10087">
        <v>5</v>
      </c>
    </row>
    <row r="10088" spans="1:10" x14ac:dyDescent="0.25">
      <c r="A10088" t="s">
        <v>1602</v>
      </c>
      <c r="B10088" s="1" t="str">
        <f>HYPERLINK("http://cscecfc.com","cscecfc.com")</f>
        <v>cscecfc.com</v>
      </c>
      <c r="C10088" t="s">
        <v>433</v>
      </c>
      <c r="F10088">
        <v>4.9838877333394202E-9</v>
      </c>
      <c r="G10088">
        <v>29842674</v>
      </c>
      <c r="H10088">
        <v>7839705.5</v>
      </c>
      <c r="I10088">
        <v>75539239</v>
      </c>
      <c r="J10088">
        <v>3</v>
      </c>
    </row>
    <row r="10089" spans="1:10" x14ac:dyDescent="0.25">
      <c r="A10089" t="s">
        <v>1602</v>
      </c>
      <c r="B10089" s="1" t="str">
        <f>HYPERLINK("http://fareastglobal.com","fareastglobal.com")</f>
        <v>fareastglobal.com</v>
      </c>
      <c r="C10089" t="s">
        <v>433</v>
      </c>
      <c r="F10089">
        <v>1.2510364396695501E-8</v>
      </c>
      <c r="G10089">
        <v>4879962</v>
      </c>
      <c r="H10089">
        <v>14237752</v>
      </c>
      <c r="I10089">
        <v>1542224</v>
      </c>
      <c r="J10089">
        <v>5</v>
      </c>
    </row>
    <row r="10090" spans="1:10" x14ac:dyDescent="0.25">
      <c r="A10090" t="s">
        <v>1602</v>
      </c>
      <c r="B10090" s="1" t="str">
        <f>HYPERLINK("http://coli.com.hk","coli.com.hk")</f>
        <v>coli.com.hk</v>
      </c>
      <c r="C10090" t="s">
        <v>450</v>
      </c>
      <c r="D10090" t="s">
        <v>827</v>
      </c>
      <c r="F10090">
        <v>4.2028430476948902E-8</v>
      </c>
      <c r="G10090">
        <v>1164858</v>
      </c>
      <c r="H10090">
        <v>14159621</v>
      </c>
      <c r="I10090">
        <v>1840882</v>
      </c>
      <c r="J10090">
        <v>4</v>
      </c>
    </row>
    <row r="10091" spans="1:10" x14ac:dyDescent="0.25">
      <c r="A10091" t="s">
        <v>1602</v>
      </c>
      <c r="B10091" s="1" t="str">
        <f>HYPERLINK("http://csci.com.hk","csci.com.hk")</f>
        <v>csci.com.hk</v>
      </c>
      <c r="C10091" t="s">
        <v>450</v>
      </c>
      <c r="D10091" t="s">
        <v>827</v>
      </c>
      <c r="F10091">
        <v>4.1085557616260497E-8</v>
      </c>
      <c r="G10091">
        <v>1263258</v>
      </c>
      <c r="H10091">
        <v>14311158</v>
      </c>
      <c r="I10091">
        <v>1341123</v>
      </c>
      <c r="J10091">
        <v>4</v>
      </c>
    </row>
    <row r="10092" spans="1:10" x14ac:dyDescent="0.25">
      <c r="A10092" t="s">
        <v>1602</v>
      </c>
      <c r="B10092" s="1" t="str">
        <f>HYPERLINK("http://cscec1b.net","cscec1b.net")</f>
        <v>cscec1b.net</v>
      </c>
      <c r="C10092" t="s">
        <v>474</v>
      </c>
      <c r="E10092">
        <v>284816</v>
      </c>
      <c r="F10092">
        <v>4.8927927318115101E-8</v>
      </c>
      <c r="G10092">
        <v>946865</v>
      </c>
      <c r="H10092">
        <v>12805174</v>
      </c>
      <c r="I10092">
        <v>14616299</v>
      </c>
      <c r="J10092">
        <v>3</v>
      </c>
    </row>
    <row r="10093" spans="1:10" x14ac:dyDescent="0.25">
      <c r="A10093" t="s">
        <v>104</v>
      </c>
      <c r="B10093" s="1" t="str">
        <f>HYPERLINK("http://10010.cn","10010.cn")</f>
        <v>10010.cn</v>
      </c>
      <c r="C10093" t="s">
        <v>431</v>
      </c>
      <c r="D10093" t="s">
        <v>812</v>
      </c>
      <c r="E10093">
        <v>395804</v>
      </c>
      <c r="F10093">
        <v>4.2360840674533802E-7</v>
      </c>
      <c r="G10093">
        <v>88907</v>
      </c>
      <c r="H10093">
        <v>12989634</v>
      </c>
      <c r="I10093">
        <v>12862321</v>
      </c>
      <c r="J10093">
        <v>7</v>
      </c>
    </row>
    <row r="10094" spans="1:10" x14ac:dyDescent="0.25">
      <c r="A10094" t="s">
        <v>104</v>
      </c>
      <c r="B10094" s="1" t="str">
        <f>HYPERLINK("http://189.cn","189.cn")</f>
        <v>189.cn</v>
      </c>
      <c r="C10094" t="s">
        <v>431</v>
      </c>
      <c r="D10094" t="s">
        <v>812</v>
      </c>
      <c r="E10094">
        <v>2360</v>
      </c>
      <c r="F10094">
        <v>7.6785806950068995E-6</v>
      </c>
      <c r="G10094">
        <v>4376</v>
      </c>
      <c r="H10094">
        <v>15248260</v>
      </c>
      <c r="I10094">
        <v>390458</v>
      </c>
      <c r="J10094">
        <v>4</v>
      </c>
    </row>
    <row r="10095" spans="1:10" x14ac:dyDescent="0.25">
      <c r="A10095" t="s">
        <v>104</v>
      </c>
      <c r="B10095" s="1" t="str">
        <f>HYPERLINK("http://chinatelecom.cn","chinatelecom.cn")</f>
        <v>chinatelecom.cn</v>
      </c>
      <c r="C10095" t="s">
        <v>431</v>
      </c>
      <c r="D10095" t="s">
        <v>812</v>
      </c>
      <c r="E10095">
        <v>287769</v>
      </c>
      <c r="F10095">
        <v>5.8156170088002001E-9</v>
      </c>
      <c r="G10095">
        <v>17969947</v>
      </c>
      <c r="H10095">
        <v>12391858</v>
      </c>
      <c r="I10095">
        <v>19000220</v>
      </c>
      <c r="J10095">
        <v>7</v>
      </c>
    </row>
    <row r="10096" spans="1:10" x14ac:dyDescent="0.25">
      <c r="A10096" t="s">
        <v>104</v>
      </c>
      <c r="B10096" s="1" t="str">
        <f>HYPERLINK("http://chinaunicom.cn","chinaunicom.cn")</f>
        <v>chinaunicom.cn</v>
      </c>
      <c r="C10096" t="s">
        <v>431</v>
      </c>
      <c r="D10096" t="s">
        <v>812</v>
      </c>
      <c r="E10096">
        <v>51343</v>
      </c>
      <c r="F10096">
        <v>5.0430989309651896E-7</v>
      </c>
      <c r="G10096">
        <v>75874</v>
      </c>
      <c r="H10096">
        <v>14480178</v>
      </c>
      <c r="I10096">
        <v>1026668</v>
      </c>
      <c r="J10096">
        <v>7</v>
      </c>
    </row>
    <row r="10097" spans="1:10" x14ac:dyDescent="0.25">
      <c r="A10097" t="s">
        <v>104</v>
      </c>
      <c r="B10097" s="1" t="str">
        <f>HYPERLINK("http://besttone.com.cn","besttone.com.cn")</f>
        <v>besttone.com.cn</v>
      </c>
      <c r="C10097" t="s">
        <v>431</v>
      </c>
      <c r="D10097" t="s">
        <v>812</v>
      </c>
      <c r="F10097">
        <v>1.90282238943069E-8</v>
      </c>
      <c r="G10097">
        <v>2831218</v>
      </c>
      <c r="H10097">
        <v>10815580</v>
      </c>
      <c r="I10097">
        <v>37725647</v>
      </c>
      <c r="J10097">
        <v>3</v>
      </c>
    </row>
    <row r="10098" spans="1:10" x14ac:dyDescent="0.25">
      <c r="A10098" t="s">
        <v>104</v>
      </c>
      <c r="B10098" s="1" t="str">
        <f>HYPERLINK("http://chinaccs.com.cn","chinaccs.com.cn")</f>
        <v>chinaccs.com.cn</v>
      </c>
      <c r="C10098" t="s">
        <v>431</v>
      </c>
      <c r="D10098" t="s">
        <v>812</v>
      </c>
      <c r="F10098">
        <v>1.6128384521863101E-8</v>
      </c>
      <c r="G10098">
        <v>3513502</v>
      </c>
      <c r="H10098">
        <v>14072836</v>
      </c>
      <c r="I10098">
        <v>3040471</v>
      </c>
      <c r="J10098">
        <v>5</v>
      </c>
    </row>
    <row r="10099" spans="1:10" x14ac:dyDescent="0.25">
      <c r="A10099" t="s">
        <v>104</v>
      </c>
      <c r="B10099" s="1" t="str">
        <f>HYPERLINK("http://chinatelecom.com.cn","chinatelecom.com.cn")</f>
        <v>chinatelecom.com.cn</v>
      </c>
      <c r="C10099" t="s">
        <v>431</v>
      </c>
      <c r="D10099" t="s">
        <v>812</v>
      </c>
      <c r="E10099">
        <v>44477</v>
      </c>
      <c r="F10099">
        <v>1.81026934740014E-6</v>
      </c>
      <c r="G10099">
        <v>21136</v>
      </c>
      <c r="H10099">
        <v>15398651</v>
      </c>
      <c r="I10099">
        <v>380316</v>
      </c>
      <c r="J10099">
        <v>4</v>
      </c>
    </row>
    <row r="10100" spans="1:10" x14ac:dyDescent="0.25">
      <c r="A10100" t="s">
        <v>104</v>
      </c>
      <c r="B10100" s="1" t="str">
        <f>HYPERLINK("http://chinaunicom.com.cn","chinaunicom.com.cn")</f>
        <v>chinaunicom.com.cn</v>
      </c>
      <c r="C10100" t="s">
        <v>431</v>
      </c>
      <c r="D10100" t="s">
        <v>812</v>
      </c>
      <c r="E10100">
        <v>69564</v>
      </c>
      <c r="F10100">
        <v>1.15184369797246E-6</v>
      </c>
      <c r="G10100">
        <v>33652</v>
      </c>
      <c r="H10100">
        <v>14698636</v>
      </c>
      <c r="I10100">
        <v>598143</v>
      </c>
      <c r="J10100">
        <v>6</v>
      </c>
    </row>
    <row r="10101" spans="1:10" x14ac:dyDescent="0.25">
      <c r="A10101" t="s">
        <v>104</v>
      </c>
      <c r="B10101" s="1" t="str">
        <f>HYPERLINK("http://tower.com.cn","tower.com.cn")</f>
        <v>tower.com.cn</v>
      </c>
      <c r="C10101" t="s">
        <v>431</v>
      </c>
      <c r="D10101" t="s">
        <v>812</v>
      </c>
      <c r="F10101">
        <v>7.3078358348769296E-9</v>
      </c>
      <c r="G10101">
        <v>11460611</v>
      </c>
      <c r="H10101">
        <v>10620311</v>
      </c>
      <c r="I10101">
        <v>44248612</v>
      </c>
      <c r="J10101">
        <v>4</v>
      </c>
    </row>
    <row r="10102" spans="1:10" x14ac:dyDescent="0.25">
      <c r="A10102" t="s">
        <v>104</v>
      </c>
      <c r="B10102" s="1" t="str">
        <f>HYPERLINK("http://10010.com","10010.com")</f>
        <v>10010.com</v>
      </c>
      <c r="C10102" t="s">
        <v>433</v>
      </c>
      <c r="E10102">
        <v>14196</v>
      </c>
      <c r="F10102">
        <v>1.0641660114465601E-5</v>
      </c>
      <c r="G10102">
        <v>3174</v>
      </c>
      <c r="H10102">
        <v>14982268</v>
      </c>
      <c r="I10102">
        <v>430337</v>
      </c>
      <c r="J10102">
        <v>6</v>
      </c>
    </row>
    <row r="10103" spans="1:10" x14ac:dyDescent="0.25">
      <c r="A10103" t="s">
        <v>104</v>
      </c>
      <c r="B10103" s="1" t="str">
        <f>HYPERLINK("http://chinatelecom-h.com","chinatelecom-h.com")</f>
        <v>chinatelecom-h.com</v>
      </c>
      <c r="C10103" t="s">
        <v>433</v>
      </c>
      <c r="E10103">
        <v>202713</v>
      </c>
      <c r="F10103">
        <v>2.6682427878589899E-7</v>
      </c>
      <c r="G10103">
        <v>139669</v>
      </c>
      <c r="H10103">
        <v>14689204</v>
      </c>
      <c r="I10103">
        <v>603037</v>
      </c>
      <c r="J10103">
        <v>1</v>
      </c>
    </row>
    <row r="10104" spans="1:10" x14ac:dyDescent="0.25">
      <c r="A10104" t="s">
        <v>104</v>
      </c>
      <c r="B10104" s="1" t="str">
        <f>HYPERLINK("http://chinatelecomglobal.com","chinatelecomglobal.com")</f>
        <v>chinatelecomglobal.com</v>
      </c>
      <c r="C10104" t="s">
        <v>433</v>
      </c>
      <c r="E10104">
        <v>2476</v>
      </c>
      <c r="F10104">
        <v>3.2509602162524101E-7</v>
      </c>
      <c r="G10104">
        <v>114552</v>
      </c>
      <c r="H10104">
        <v>17087854</v>
      </c>
      <c r="I10104">
        <v>66449</v>
      </c>
      <c r="J10104">
        <v>5</v>
      </c>
    </row>
    <row r="10105" spans="1:10" x14ac:dyDescent="0.25">
      <c r="A10105" t="s">
        <v>104</v>
      </c>
      <c r="B10105" s="1" t="str">
        <f>HYPERLINK("http://chinaunicom.com","chinaunicom.com")</f>
        <v>chinaunicom.com</v>
      </c>
      <c r="C10105" t="s">
        <v>433</v>
      </c>
      <c r="E10105">
        <v>29001</v>
      </c>
      <c r="F10105">
        <v>6.5483714996919398E-7</v>
      </c>
      <c r="G10105">
        <v>58794</v>
      </c>
      <c r="H10105">
        <v>14435648</v>
      </c>
      <c r="I10105">
        <v>1068856</v>
      </c>
      <c r="J10105">
        <v>5</v>
      </c>
    </row>
    <row r="10106" spans="1:10" x14ac:dyDescent="0.25">
      <c r="A10106" t="s">
        <v>104</v>
      </c>
      <c r="B10106" s="1" t="str">
        <f>HYPERLINK("http://unicomamericas.com","unicomamericas.com")</f>
        <v>unicomamericas.com</v>
      </c>
      <c r="C10106" t="s">
        <v>433</v>
      </c>
      <c r="F10106">
        <v>5.87215604280309E-9</v>
      </c>
      <c r="G10106">
        <v>17553083</v>
      </c>
      <c r="H10106">
        <v>12688128</v>
      </c>
      <c r="I10106">
        <v>15432684</v>
      </c>
      <c r="J10106">
        <v>10</v>
      </c>
    </row>
    <row r="10107" spans="1:10" x14ac:dyDescent="0.25">
      <c r="A10107" t="s">
        <v>104</v>
      </c>
      <c r="B10107" s="1" t="str">
        <f>HYPERLINK("http://chinatelecom.com.hk","chinatelecom.com.hk")</f>
        <v>chinatelecom.com.hk</v>
      </c>
      <c r="C10107" t="s">
        <v>450</v>
      </c>
      <c r="D10107" t="s">
        <v>827</v>
      </c>
      <c r="F10107">
        <v>7.7250983960945193E-9</v>
      </c>
      <c r="G10107">
        <v>10518585</v>
      </c>
      <c r="H10107">
        <v>14071796</v>
      </c>
      <c r="I10107">
        <v>3332275</v>
      </c>
      <c r="J10107">
        <v>3</v>
      </c>
    </row>
    <row r="10108" spans="1:10" x14ac:dyDescent="0.25">
      <c r="A10108" t="s">
        <v>104</v>
      </c>
      <c r="B10108" s="1" t="str">
        <f>HYPERLINK("http://chinaunicom.com.hk","chinaunicom.com.hk")</f>
        <v>chinaunicom.com.hk</v>
      </c>
      <c r="C10108" t="s">
        <v>450</v>
      </c>
      <c r="D10108" t="s">
        <v>827</v>
      </c>
      <c r="E10108">
        <v>688885</v>
      </c>
      <c r="F10108">
        <v>3.3254127497266498E-7</v>
      </c>
      <c r="G10108">
        <v>112108</v>
      </c>
      <c r="H10108">
        <v>14695725</v>
      </c>
      <c r="I10108">
        <v>599508</v>
      </c>
      <c r="J10108">
        <v>6</v>
      </c>
    </row>
    <row r="10109" spans="1:10" x14ac:dyDescent="0.25">
      <c r="A10109" t="s">
        <v>104</v>
      </c>
      <c r="B10109" s="1" t="str">
        <f>HYPERLINK("http://ctexcel.com.hk","ctexcel.com.hk")</f>
        <v>ctexcel.com.hk</v>
      </c>
      <c r="C10109" t="s">
        <v>450</v>
      </c>
      <c r="D10109" t="s">
        <v>827</v>
      </c>
      <c r="F10109">
        <v>3.5046104396415802E-8</v>
      </c>
      <c r="G10109">
        <v>1482615</v>
      </c>
      <c r="H10109">
        <v>14422281</v>
      </c>
      <c r="I10109">
        <v>1085370</v>
      </c>
      <c r="J10109">
        <v>4</v>
      </c>
    </row>
    <row r="10110" spans="1:10" x14ac:dyDescent="0.25">
      <c r="A10110" t="s">
        <v>104</v>
      </c>
      <c r="B10110" s="1" t="str">
        <f>HYPERLINK("http://1888.com.mo","1888.com.mo")</f>
        <v>1888.com.mo</v>
      </c>
      <c r="C10110" t="s">
        <v>548</v>
      </c>
      <c r="D10110" t="s">
        <v>905</v>
      </c>
      <c r="F10110">
        <v>9.6378513961226196E-8</v>
      </c>
      <c r="G10110">
        <v>419642</v>
      </c>
      <c r="H10110">
        <v>14232330</v>
      </c>
      <c r="I10110">
        <v>1672004</v>
      </c>
      <c r="J10110">
        <v>4</v>
      </c>
    </row>
    <row r="10111" spans="1:10" x14ac:dyDescent="0.25">
      <c r="A10111" t="s">
        <v>105</v>
      </c>
      <c r="B10111" s="1" t="str">
        <f>HYPERLINK("http://cn.","cn.")</f>
        <v>cn.</v>
      </c>
      <c r="C10111" t="s">
        <v>739</v>
      </c>
      <c r="J10111">
        <v>3</v>
      </c>
    </row>
    <row r="10112" spans="1:10" x14ac:dyDescent="0.25">
      <c r="A10112" t="s">
        <v>105</v>
      </c>
      <c r="B10112" s="1" t="str">
        <f>HYPERLINK("http://hndf.cn","hndf.cn")</f>
        <v>hndf.cn</v>
      </c>
      <c r="C10112" t="s">
        <v>431</v>
      </c>
      <c r="D10112" t="s">
        <v>812</v>
      </c>
      <c r="F10112">
        <v>4.4687095410229399E-9</v>
      </c>
      <c r="G10112">
        <v>64892400</v>
      </c>
      <c r="H10112">
        <v>9584540</v>
      </c>
      <c r="I10112">
        <v>64575046</v>
      </c>
      <c r="J10112">
        <v>3</v>
      </c>
    </row>
    <row r="10113" spans="1:10" x14ac:dyDescent="0.25">
      <c r="A10113" t="s">
        <v>105</v>
      </c>
      <c r="B10113" s="1" t="str">
        <f>HYPERLINK("http://citsgroup.net","citsgroup.net")</f>
        <v>citsgroup.net</v>
      </c>
      <c r="C10113" t="s">
        <v>474</v>
      </c>
      <c r="F10113">
        <v>7.0669869227370101E-9</v>
      </c>
      <c r="G10113">
        <v>12107243</v>
      </c>
      <c r="H10113">
        <v>14072022</v>
      </c>
      <c r="I10113">
        <v>3184404</v>
      </c>
      <c r="J10113">
        <v>1</v>
      </c>
    </row>
    <row r="10114" spans="1:10" x14ac:dyDescent="0.25">
      <c r="A10114" t="s">
        <v>106</v>
      </c>
      <c r="B10114" s="1" t="str">
        <f>HYPERLINK("http://ctg.com.cn","ctg.com.cn")</f>
        <v>ctg.com.cn</v>
      </c>
      <c r="C10114" t="s">
        <v>431</v>
      </c>
      <c r="D10114" t="s">
        <v>812</v>
      </c>
      <c r="E10114">
        <v>268060</v>
      </c>
      <c r="F10114">
        <v>2.4951331159631502E-7</v>
      </c>
      <c r="G10114">
        <v>149911</v>
      </c>
      <c r="H10114">
        <v>14901116</v>
      </c>
      <c r="I10114">
        <v>462444</v>
      </c>
      <c r="J10114">
        <v>4</v>
      </c>
    </row>
    <row r="10115" spans="1:10" x14ac:dyDescent="0.25">
      <c r="A10115" t="s">
        <v>106</v>
      </c>
      <c r="B10115" s="1" t="str">
        <f>HYPERLINK("http://cypc.com.cn","cypc.com.cn")</f>
        <v>cypc.com.cn</v>
      </c>
      <c r="C10115" t="s">
        <v>431</v>
      </c>
      <c r="D10115" t="s">
        <v>812</v>
      </c>
      <c r="E10115">
        <v>693769</v>
      </c>
      <c r="F10115">
        <v>3.5571435498041501E-8</v>
      </c>
      <c r="G10115">
        <v>1463758</v>
      </c>
      <c r="H10115">
        <v>14140792</v>
      </c>
      <c r="I10115">
        <v>1931138</v>
      </c>
      <c r="J10115">
        <v>1</v>
      </c>
    </row>
    <row r="10116" spans="1:10" x14ac:dyDescent="0.25">
      <c r="A10116" t="s">
        <v>106</v>
      </c>
      <c r="B10116" s="1" t="str">
        <f>HYPERLINK("http://luzdelsur.com.pe","luzdelsur.com.pe")</f>
        <v>luzdelsur.com.pe</v>
      </c>
      <c r="C10116" t="s">
        <v>483</v>
      </c>
      <c r="D10116" t="s">
        <v>857</v>
      </c>
      <c r="E10116">
        <v>381885</v>
      </c>
      <c r="F10116">
        <v>1.46896336327784E-8</v>
      </c>
      <c r="G10116">
        <v>3944717</v>
      </c>
      <c r="H10116">
        <v>13047287</v>
      </c>
      <c r="I10116">
        <v>12599666</v>
      </c>
      <c r="J10116">
        <v>3</v>
      </c>
    </row>
    <row r="10117" spans="1:10" x14ac:dyDescent="0.25">
      <c r="A10117" t="s">
        <v>106</v>
      </c>
      <c r="B10117" s="1" t="str">
        <f>HYPERLINK("http://tecsur.com.pe","tecsur.com.pe")</f>
        <v>tecsur.com.pe</v>
      </c>
      <c r="C10117" t="s">
        <v>483</v>
      </c>
      <c r="D10117" t="s">
        <v>857</v>
      </c>
      <c r="F10117">
        <v>5.4727895857446997E-9</v>
      </c>
      <c r="G10117">
        <v>21211870</v>
      </c>
      <c r="H10117">
        <v>11891525</v>
      </c>
      <c r="I10117">
        <v>29563000</v>
      </c>
      <c r="J10117">
        <v>3</v>
      </c>
    </row>
    <row r="10118" spans="1:10" x14ac:dyDescent="0.25">
      <c r="A10118" t="s">
        <v>107</v>
      </c>
      <c r="B10118" s="1" t="str">
        <f>HYPERLINK("http://chipotle.ca","chipotle.ca")</f>
        <v>chipotle.ca</v>
      </c>
      <c r="C10118" t="s">
        <v>428</v>
      </c>
      <c r="D10118" t="s">
        <v>809</v>
      </c>
      <c r="E10118">
        <v>246900</v>
      </c>
      <c r="F10118">
        <v>2.7798867817878901E-8</v>
      </c>
      <c r="G10118">
        <v>1849919</v>
      </c>
      <c r="H10118">
        <v>13042650</v>
      </c>
      <c r="I10118">
        <v>12616184</v>
      </c>
      <c r="J10118">
        <v>2</v>
      </c>
    </row>
    <row r="10119" spans="1:10" x14ac:dyDescent="0.25">
      <c r="A10119" t="s">
        <v>107</v>
      </c>
      <c r="B10119" s="1" t="str">
        <f>HYPERLINK("http://cheeseburgercharleys.com","cheeseburgercharleys.com")</f>
        <v>cheeseburgercharleys.com</v>
      </c>
      <c r="C10119" t="s">
        <v>433</v>
      </c>
      <c r="F10119">
        <v>4.4820086336294003E-9</v>
      </c>
      <c r="G10119">
        <v>61954861</v>
      </c>
      <c r="H10119">
        <v>11093082</v>
      </c>
      <c r="I10119">
        <v>32351695</v>
      </c>
      <c r="J10119">
        <v>3</v>
      </c>
    </row>
    <row r="10120" spans="1:10" x14ac:dyDescent="0.25">
      <c r="A10120" t="s">
        <v>107</v>
      </c>
      <c r="B10120" s="1" t="str">
        <f>HYPERLINK("http://chipolte.com","chipolte.com")</f>
        <v>chipolte.com</v>
      </c>
      <c r="C10120" t="s">
        <v>433</v>
      </c>
      <c r="F10120">
        <v>6.62125561663844E-9</v>
      </c>
      <c r="G10120">
        <v>13593415</v>
      </c>
      <c r="H10120">
        <v>13767787</v>
      </c>
      <c r="I10120">
        <v>6913553</v>
      </c>
      <c r="J10120">
        <v>3</v>
      </c>
    </row>
    <row r="10121" spans="1:10" x14ac:dyDescent="0.25">
      <c r="A10121" t="s">
        <v>107</v>
      </c>
      <c r="B10121" s="1" t="str">
        <f>HYPERLINK("http://chipotle.com","chipotle.com")</f>
        <v>chipotle.com</v>
      </c>
      <c r="C10121" t="s">
        <v>433</v>
      </c>
      <c r="E10121">
        <v>6947</v>
      </c>
      <c r="F10121">
        <v>2.8632764473737101E-6</v>
      </c>
      <c r="G10121">
        <v>13463</v>
      </c>
      <c r="H10121">
        <v>17654898</v>
      </c>
      <c r="I10121">
        <v>8268</v>
      </c>
      <c r="J10121">
        <v>1</v>
      </c>
    </row>
    <row r="10122" spans="1:10" x14ac:dyDescent="0.25">
      <c r="A10122" t="s">
        <v>107</v>
      </c>
      <c r="B10122" s="1" t="str">
        <f>HYPERLINK("http://tinderboxinternational.com","tinderboxinternational.com")</f>
        <v>tinderboxinternational.com</v>
      </c>
      <c r="C10122" t="s">
        <v>433</v>
      </c>
      <c r="F10122">
        <v>1.3408781934485E-8</v>
      </c>
      <c r="G10122">
        <v>4444051</v>
      </c>
      <c r="H10122">
        <v>14122033</v>
      </c>
      <c r="I10122">
        <v>2227848</v>
      </c>
      <c r="J10122">
        <v>3</v>
      </c>
    </row>
    <row r="10123" spans="1:10" x14ac:dyDescent="0.25">
      <c r="A10123" t="s">
        <v>107</v>
      </c>
      <c r="B10123" s="1" t="str">
        <f>HYPERLINK("http://chipotle.de","chipotle.de")</f>
        <v>chipotle.de</v>
      </c>
      <c r="C10123" t="s">
        <v>436</v>
      </c>
      <c r="D10123" t="s">
        <v>815</v>
      </c>
      <c r="F10123">
        <v>7.8202917753393308E-9</v>
      </c>
      <c r="G10123">
        <v>10276365</v>
      </c>
      <c r="H10123">
        <v>13933991</v>
      </c>
      <c r="I10123">
        <v>4645858</v>
      </c>
      <c r="J10123">
        <v>3</v>
      </c>
    </row>
    <row r="10124" spans="1:10" x14ac:dyDescent="0.25">
      <c r="A10124" t="s">
        <v>107</v>
      </c>
      <c r="B10124" s="1" t="str">
        <f>HYPERLINK("http://chipotle.fr","chipotle.fr")</f>
        <v>chipotle.fr</v>
      </c>
      <c r="C10124" t="s">
        <v>446</v>
      </c>
      <c r="D10124" t="s">
        <v>824</v>
      </c>
      <c r="F10124">
        <v>1.08839548615397E-8</v>
      </c>
      <c r="G10124">
        <v>5954875</v>
      </c>
      <c r="H10124">
        <v>13954341</v>
      </c>
      <c r="I10124">
        <v>4145510</v>
      </c>
      <c r="J10124">
        <v>3</v>
      </c>
    </row>
    <row r="10125" spans="1:10" x14ac:dyDescent="0.25">
      <c r="A10125" t="s">
        <v>107</v>
      </c>
      <c r="B10125" s="1" t="str">
        <f>HYPERLINK("http://chipotle.co.uk","chipotle.co.uk")</f>
        <v>chipotle.co.uk</v>
      </c>
      <c r="C10125" t="s">
        <v>506</v>
      </c>
      <c r="D10125" t="s">
        <v>880</v>
      </c>
      <c r="E10125">
        <v>623569</v>
      </c>
      <c r="F10125">
        <v>1.24066421764934E-7</v>
      </c>
      <c r="G10125">
        <v>318048</v>
      </c>
      <c r="H10125">
        <v>14046462</v>
      </c>
      <c r="I10125">
        <v>3899634</v>
      </c>
      <c r="J10125">
        <v>2</v>
      </c>
    </row>
    <row r="10126" spans="1:10" x14ac:dyDescent="0.25">
      <c r="A10126" t="s">
        <v>108</v>
      </c>
      <c r="B10126" s="1" t="str">
        <f>HYPERLINK("http://dior.ae","dior.ae")</f>
        <v>dior.ae</v>
      </c>
      <c r="C10126" t="s">
        <v>417</v>
      </c>
      <c r="D10126" t="s">
        <v>799</v>
      </c>
      <c r="E10126">
        <v>647134</v>
      </c>
      <c r="F10126">
        <v>4.22867492022093E-8</v>
      </c>
      <c r="G10126">
        <v>1150548</v>
      </c>
      <c r="H10126">
        <v>12989796</v>
      </c>
      <c r="I10126">
        <v>12861351</v>
      </c>
      <c r="J10126">
        <v>4</v>
      </c>
    </row>
    <row r="10127" spans="1:10" x14ac:dyDescent="0.25">
      <c r="A10127" t="s">
        <v>108</v>
      </c>
      <c r="B10127" s="1" t="str">
        <f>HYPERLINK("http://makeupforever.ae","makeupforever.ae")</f>
        <v>makeupforever.ae</v>
      </c>
      <c r="C10127" t="s">
        <v>417</v>
      </c>
      <c r="D10127" t="s">
        <v>799</v>
      </c>
      <c r="F10127">
        <v>8.5610522853621703E-9</v>
      </c>
      <c r="G10127">
        <v>8727472</v>
      </c>
      <c r="H10127">
        <v>11117145</v>
      </c>
      <c r="I10127">
        <v>32078947</v>
      </c>
      <c r="J10127">
        <v>6</v>
      </c>
    </row>
    <row r="10128" spans="1:10" x14ac:dyDescent="0.25">
      <c r="A10128" t="s">
        <v>108</v>
      </c>
      <c r="B10128" s="1" t="str">
        <f>HYPERLINK("http://sephora.ae","sephora.ae")</f>
        <v>sephora.ae</v>
      </c>
      <c r="C10128" t="s">
        <v>417</v>
      </c>
      <c r="D10128" t="s">
        <v>799</v>
      </c>
      <c r="E10128">
        <v>141407</v>
      </c>
      <c r="F10128">
        <v>1.01704768246006E-7</v>
      </c>
      <c r="G10128">
        <v>395156</v>
      </c>
      <c r="H10128">
        <v>14918800</v>
      </c>
      <c r="I10128">
        <v>452719</v>
      </c>
      <c r="J10128">
        <v>3</v>
      </c>
    </row>
    <row r="10129" spans="1:10" x14ac:dyDescent="0.25">
      <c r="A10129" t="s">
        <v>108</v>
      </c>
      <c r="B10129" s="1" t="str">
        <f>HYPERLINK("http://wearesephora.asia","wearesephora.asia")</f>
        <v>wearesephora.asia</v>
      </c>
      <c r="C10129" t="s">
        <v>525</v>
      </c>
      <c r="J10129">
        <v>9</v>
      </c>
    </row>
    <row r="10130" spans="1:10" x14ac:dyDescent="0.25">
      <c r="A10130" t="s">
        <v>108</v>
      </c>
      <c r="B10130" s="1" t="str">
        <f>HYPERLINK("http://tiffany.at","tiffany.at")</f>
        <v>tiffany.at</v>
      </c>
      <c r="C10130" t="s">
        <v>419</v>
      </c>
      <c r="D10130" t="s">
        <v>801</v>
      </c>
      <c r="F10130">
        <v>6.0747068406890901E-8</v>
      </c>
      <c r="G10130">
        <v>725566</v>
      </c>
      <c r="H10130">
        <v>13785202</v>
      </c>
      <c r="I10130">
        <v>6404022</v>
      </c>
      <c r="J10130">
        <v>4</v>
      </c>
    </row>
    <row r="10131" spans="1:10" x14ac:dyDescent="0.25">
      <c r="A10131" t="s">
        <v>108</v>
      </c>
      <c r="B10131" s="1" t="str">
        <f>HYPERLINK("http://capementelle.com.au","capementelle.com.au")</f>
        <v>capementelle.com.au</v>
      </c>
      <c r="C10131" t="s">
        <v>420</v>
      </c>
      <c r="D10131" t="s">
        <v>802</v>
      </c>
      <c r="F10131">
        <v>2.9690340012978701E-8</v>
      </c>
      <c r="G10131">
        <v>1733933</v>
      </c>
      <c r="H10131">
        <v>14194844</v>
      </c>
      <c r="I10131">
        <v>1738952</v>
      </c>
      <c r="J10131">
        <v>5</v>
      </c>
    </row>
    <row r="10132" spans="1:10" x14ac:dyDescent="0.25">
      <c r="A10132" t="s">
        <v>108</v>
      </c>
      <c r="B10132" s="1" t="str">
        <f>HYPERLINK("http://dior.com.au","dior.com.au")</f>
        <v>dior.com.au</v>
      </c>
      <c r="C10132" t="s">
        <v>420</v>
      </c>
      <c r="D10132" t="s">
        <v>802</v>
      </c>
      <c r="F10132">
        <v>3.7624691103953302E-8</v>
      </c>
      <c r="G10132">
        <v>1375396</v>
      </c>
      <c r="H10132">
        <v>12580762</v>
      </c>
      <c r="I10132">
        <v>16499439</v>
      </c>
      <c r="J10132">
        <v>4</v>
      </c>
    </row>
    <row r="10133" spans="1:10" x14ac:dyDescent="0.25">
      <c r="A10133" t="s">
        <v>108</v>
      </c>
      <c r="B10133" s="1" t="str">
        <f>HYPERLINK("http://louisvuitton.com.au","louisvuitton.com.au")</f>
        <v>louisvuitton.com.au</v>
      </c>
      <c r="C10133" t="s">
        <v>420</v>
      </c>
      <c r="D10133" t="s">
        <v>802</v>
      </c>
      <c r="F10133">
        <v>7.7160900126298601E-9</v>
      </c>
      <c r="G10133">
        <v>10537769</v>
      </c>
      <c r="H10133">
        <v>14124925</v>
      </c>
      <c r="I10133">
        <v>2132941</v>
      </c>
      <c r="J10133">
        <v>3</v>
      </c>
    </row>
    <row r="10134" spans="1:10" x14ac:dyDescent="0.25">
      <c r="A10134" t="s">
        <v>108</v>
      </c>
      <c r="B10134" s="1" t="str">
        <f>HYPERLINK("http://sephora.com.au","sephora.com.au")</f>
        <v>sephora.com.au</v>
      </c>
      <c r="C10134" t="s">
        <v>420</v>
      </c>
      <c r="D10134" t="s">
        <v>802</v>
      </c>
      <c r="E10134">
        <v>69508</v>
      </c>
      <c r="F10134">
        <v>1.9825120873580101E-7</v>
      </c>
      <c r="G10134">
        <v>194508</v>
      </c>
      <c r="H10134">
        <v>16991132</v>
      </c>
      <c r="I10134">
        <v>95634</v>
      </c>
      <c r="J10134">
        <v>3</v>
      </c>
    </row>
    <row r="10135" spans="1:10" x14ac:dyDescent="0.25">
      <c r="A10135" t="s">
        <v>108</v>
      </c>
      <c r="B10135" s="1" t="str">
        <f>HYPERLINK("http://tiffany.com.au","tiffany.com.au")</f>
        <v>tiffany.com.au</v>
      </c>
      <c r="C10135" t="s">
        <v>420</v>
      </c>
      <c r="D10135" t="s">
        <v>802</v>
      </c>
      <c r="E10135">
        <v>280989</v>
      </c>
      <c r="F10135">
        <v>8.8171578514701696E-8</v>
      </c>
      <c r="G10135">
        <v>464756</v>
      </c>
      <c r="H10135">
        <v>14148217</v>
      </c>
      <c r="I10135">
        <v>1886547</v>
      </c>
      <c r="J10135">
        <v>4</v>
      </c>
    </row>
    <row r="10136" spans="1:10" x14ac:dyDescent="0.25">
      <c r="A10136" t="s">
        <v>108</v>
      </c>
      <c r="B10136" s="1" t="str">
        <f>HYPERLINK("http://louisvuitton.be","louisvuitton.be")</f>
        <v>louisvuitton.be</v>
      </c>
      <c r="C10136" t="s">
        <v>421</v>
      </c>
      <c r="D10136" t="s">
        <v>803</v>
      </c>
      <c r="F10136">
        <v>3.06848164476049E-8</v>
      </c>
      <c r="G10136">
        <v>1678680</v>
      </c>
      <c r="H10136">
        <v>12563815</v>
      </c>
      <c r="I10136">
        <v>16679110</v>
      </c>
      <c r="J10136">
        <v>3</v>
      </c>
    </row>
    <row r="10137" spans="1:10" x14ac:dyDescent="0.25">
      <c r="A10137" t="s">
        <v>108</v>
      </c>
      <c r="B10137" s="1" t="str">
        <f>HYPERLINK("http://sephora.bh","sephora.bh")</f>
        <v>sephora.bh</v>
      </c>
      <c r="C10137" t="s">
        <v>580</v>
      </c>
      <c r="D10137" t="s">
        <v>922</v>
      </c>
      <c r="F10137">
        <v>3.0822941254579797E-8</v>
      </c>
      <c r="G10137">
        <v>1671161</v>
      </c>
      <c r="H10137">
        <v>12264733</v>
      </c>
      <c r="I10137">
        <v>21642899</v>
      </c>
      <c r="J10137">
        <v>4</v>
      </c>
    </row>
    <row r="10138" spans="1:10" x14ac:dyDescent="0.25">
      <c r="A10138" t="s">
        <v>108</v>
      </c>
      <c r="B10138" s="1" t="str">
        <f>HYPERLINK("http://vuitton.biz","vuitton.biz")</f>
        <v>vuitton.biz</v>
      </c>
      <c r="C10138" t="s">
        <v>423</v>
      </c>
      <c r="E10138">
        <v>352680</v>
      </c>
      <c r="F10138">
        <v>4.4438539297498102E-9</v>
      </c>
      <c r="G10138">
        <v>78354615</v>
      </c>
      <c r="H10138">
        <v>10546614</v>
      </c>
      <c r="I10138">
        <v>46849289</v>
      </c>
      <c r="J10138">
        <v>4</v>
      </c>
    </row>
    <row r="10139" spans="1:10" x14ac:dyDescent="0.25">
      <c r="A10139" t="s">
        <v>108</v>
      </c>
      <c r="B10139" s="1" t="str">
        <f>HYPERLINK("http://dior.com.br","dior.com.br")</f>
        <v>dior.com.br</v>
      </c>
      <c r="C10139" t="s">
        <v>425</v>
      </c>
      <c r="D10139" t="s">
        <v>806</v>
      </c>
      <c r="F10139">
        <v>2.7883591705648599E-8</v>
      </c>
      <c r="G10139">
        <v>1844610</v>
      </c>
      <c r="H10139">
        <v>12868711</v>
      </c>
      <c r="I10139">
        <v>14090761</v>
      </c>
      <c r="J10139">
        <v>4</v>
      </c>
    </row>
    <row r="10140" spans="1:10" x14ac:dyDescent="0.25">
      <c r="A10140" t="s">
        <v>108</v>
      </c>
      <c r="B10140" s="1" t="str">
        <f>HYPERLINK("http://louisvuitton.com.br","louisvuitton.com.br")</f>
        <v>louisvuitton.com.br</v>
      </c>
      <c r="C10140" t="s">
        <v>425</v>
      </c>
      <c r="D10140" t="s">
        <v>806</v>
      </c>
      <c r="F10140">
        <v>4.52487256593611E-9</v>
      </c>
      <c r="G10140">
        <v>55622497</v>
      </c>
      <c r="H10140">
        <v>10788349</v>
      </c>
      <c r="I10140">
        <v>38565248</v>
      </c>
      <c r="J10140">
        <v>3</v>
      </c>
    </row>
    <row r="10141" spans="1:10" x14ac:dyDescent="0.25">
      <c r="A10141" t="s">
        <v>108</v>
      </c>
      <c r="B10141" s="1" t="str">
        <f>HYPERLINK("http://mhwnet.com.br","mhwnet.com.br")</f>
        <v>mhwnet.com.br</v>
      </c>
      <c r="C10141" t="s">
        <v>425</v>
      </c>
      <c r="D10141" t="s">
        <v>806</v>
      </c>
      <c r="F10141">
        <v>4.4622294836368902E-9</v>
      </c>
      <c r="G10141">
        <v>67031276</v>
      </c>
      <c r="H10141">
        <v>1.0003663</v>
      </c>
      <c r="I10141">
        <v>78264336</v>
      </c>
      <c r="J10141">
        <v>5</v>
      </c>
    </row>
    <row r="10142" spans="1:10" x14ac:dyDescent="0.25">
      <c r="A10142" t="s">
        <v>108</v>
      </c>
      <c r="B10142" s="1" t="str">
        <f>HYPERLINK("http://tiffany.com.br","tiffany.com.br")</f>
        <v>tiffany.com.br</v>
      </c>
      <c r="C10142" t="s">
        <v>425</v>
      </c>
      <c r="D10142" t="s">
        <v>806</v>
      </c>
      <c r="F10142">
        <v>6.3127358851026597E-8</v>
      </c>
      <c r="G10142">
        <v>690122</v>
      </c>
      <c r="H10142">
        <v>13790124</v>
      </c>
      <c r="I10142">
        <v>6349813</v>
      </c>
      <c r="J10142">
        <v>4</v>
      </c>
    </row>
    <row r="10143" spans="1:10" x14ac:dyDescent="0.25">
      <c r="A10143" t="s">
        <v>108</v>
      </c>
      <c r="B10143" s="1" t="str">
        <f>HYPERLINK("http://sephora.ca","sephora.ca")</f>
        <v>sephora.ca</v>
      </c>
      <c r="C10143" t="s">
        <v>428</v>
      </c>
      <c r="D10143" t="s">
        <v>809</v>
      </c>
      <c r="E10143">
        <v>767630</v>
      </c>
      <c r="F10143">
        <v>3.64953016864172E-8</v>
      </c>
      <c r="G10143">
        <v>1430735</v>
      </c>
      <c r="H10143">
        <v>13809798</v>
      </c>
      <c r="I10143">
        <v>6214217</v>
      </c>
      <c r="J10143">
        <v>4</v>
      </c>
    </row>
    <row r="10144" spans="1:10" x14ac:dyDescent="0.25">
      <c r="A10144" t="s">
        <v>108</v>
      </c>
      <c r="B10144" s="1" t="str">
        <f>HYPERLINK("http://tiffany.ca","tiffany.ca")</f>
        <v>tiffany.ca</v>
      </c>
      <c r="C10144" t="s">
        <v>428</v>
      </c>
      <c r="D10144" t="s">
        <v>809</v>
      </c>
      <c r="E10144">
        <v>272412</v>
      </c>
      <c r="F10144">
        <v>1.10851609952647E-7</v>
      </c>
      <c r="G10144">
        <v>360664</v>
      </c>
      <c r="H10144">
        <v>14318380</v>
      </c>
      <c r="I10144">
        <v>1333425</v>
      </c>
      <c r="J10144">
        <v>4</v>
      </c>
    </row>
    <row r="10145" spans="1:10" x14ac:dyDescent="0.25">
      <c r="A10145" t="s">
        <v>108</v>
      </c>
      <c r="B10145" s="1" t="str">
        <f>HYPERLINK("http://artecad.ch","artecad.ch")</f>
        <v>artecad.ch</v>
      </c>
      <c r="C10145" t="s">
        <v>429</v>
      </c>
      <c r="D10145" t="s">
        <v>810</v>
      </c>
      <c r="F10145">
        <v>8.0635369855832295E-9</v>
      </c>
      <c r="G10145">
        <v>9805820</v>
      </c>
      <c r="H10145">
        <v>12247161</v>
      </c>
      <c r="I10145">
        <v>22069611</v>
      </c>
      <c r="J10145">
        <v>3</v>
      </c>
    </row>
    <row r="10146" spans="1:10" x14ac:dyDescent="0.25">
      <c r="A10146" t="s">
        <v>108</v>
      </c>
      <c r="B10146" s="1" t="str">
        <f>HYPERLINK("http://hublot.ch","hublot.ch")</f>
        <v>hublot.ch</v>
      </c>
      <c r="C10146" t="s">
        <v>429</v>
      </c>
      <c r="D10146" t="s">
        <v>810</v>
      </c>
      <c r="F10146">
        <v>9.8713342401425492E-9</v>
      </c>
      <c r="G10146">
        <v>6890206</v>
      </c>
      <c r="H10146">
        <v>13935263</v>
      </c>
      <c r="I10146">
        <v>4541787</v>
      </c>
      <c r="J10146">
        <v>5</v>
      </c>
    </row>
    <row r="10147" spans="1:10" x14ac:dyDescent="0.25">
      <c r="A10147" t="s">
        <v>108</v>
      </c>
      <c r="B10147" s="1" t="str">
        <f>HYPERLINK("http://bulgari.cn","bulgari.cn")</f>
        <v>bulgari.cn</v>
      </c>
      <c r="C10147" t="s">
        <v>431</v>
      </c>
      <c r="D10147" t="s">
        <v>812</v>
      </c>
      <c r="F10147">
        <v>7.4407191322351997E-8</v>
      </c>
      <c r="G10147">
        <v>565571</v>
      </c>
      <c r="H10147">
        <v>12409263</v>
      </c>
      <c r="I10147">
        <v>18617385</v>
      </c>
      <c r="J10147">
        <v>4</v>
      </c>
    </row>
    <row r="10148" spans="1:10" x14ac:dyDescent="0.25">
      <c r="A10148" t="s">
        <v>108</v>
      </c>
      <c r="B10148" s="1" t="str">
        <f>HYPERLINK("http://celine.cn","celine.cn")</f>
        <v>celine.cn</v>
      </c>
      <c r="C10148" t="s">
        <v>431</v>
      </c>
      <c r="D10148" t="s">
        <v>812</v>
      </c>
      <c r="E10148">
        <v>739270</v>
      </c>
      <c r="F10148">
        <v>2.52249773530466E-8</v>
      </c>
      <c r="G10148">
        <v>2046820</v>
      </c>
      <c r="H10148">
        <v>13570770</v>
      </c>
      <c r="I10148">
        <v>9722642</v>
      </c>
      <c r="J10148">
        <v>4</v>
      </c>
    </row>
    <row r="10149" spans="1:10" x14ac:dyDescent="0.25">
      <c r="A10149" t="s">
        <v>108</v>
      </c>
      <c r="B10149" s="1" t="str">
        <f>HYPERLINK("http://chaumet.cn","chaumet.cn")</f>
        <v>chaumet.cn</v>
      </c>
      <c r="C10149" t="s">
        <v>431</v>
      </c>
      <c r="D10149" t="s">
        <v>812</v>
      </c>
      <c r="F10149">
        <v>1.20838033514715E-8</v>
      </c>
      <c r="G10149">
        <v>5123022</v>
      </c>
      <c r="H10149">
        <v>12384136</v>
      </c>
      <c r="I10149">
        <v>19134717</v>
      </c>
      <c r="J10149">
        <v>6</v>
      </c>
    </row>
    <row r="10150" spans="1:10" x14ac:dyDescent="0.25">
      <c r="A10150" t="s">
        <v>108</v>
      </c>
      <c r="B10150" s="1" t="str">
        <f>HYPERLINK("http://loewe.com.cn","loewe.com.cn")</f>
        <v>loewe.com.cn</v>
      </c>
      <c r="C10150" t="s">
        <v>431</v>
      </c>
      <c r="D10150" t="s">
        <v>812</v>
      </c>
      <c r="F10150">
        <v>2.2923393176576401E-8</v>
      </c>
      <c r="G10150">
        <v>2280230</v>
      </c>
      <c r="H10150">
        <v>12293196</v>
      </c>
      <c r="I10150">
        <v>21005045</v>
      </c>
      <c r="J10150">
        <v>6</v>
      </c>
    </row>
    <row r="10151" spans="1:10" x14ac:dyDescent="0.25">
      <c r="A10151" t="s">
        <v>108</v>
      </c>
      <c r="B10151" s="1" t="str">
        <f>HYPERLINK("http://dior.cn","dior.cn")</f>
        <v>dior.cn</v>
      </c>
      <c r="C10151" t="s">
        <v>431</v>
      </c>
      <c r="D10151" t="s">
        <v>812</v>
      </c>
      <c r="E10151">
        <v>288226</v>
      </c>
      <c r="F10151">
        <v>9.6062000584353806E-8</v>
      </c>
      <c r="G10151">
        <v>421245</v>
      </c>
      <c r="H10151">
        <v>13164691</v>
      </c>
      <c r="I10151">
        <v>11745726</v>
      </c>
      <c r="J10151">
        <v>4</v>
      </c>
    </row>
    <row r="10152" spans="1:10" x14ac:dyDescent="0.25">
      <c r="A10152" t="s">
        <v>108</v>
      </c>
      <c r="B10152" s="1" t="str">
        <f>HYPERLINK("http://fred.cn","fred.cn")</f>
        <v>fred.cn</v>
      </c>
      <c r="C10152" t="s">
        <v>431</v>
      </c>
      <c r="D10152" t="s">
        <v>812</v>
      </c>
      <c r="F10152">
        <v>8.7884268233440703E-9</v>
      </c>
      <c r="G10152">
        <v>8329534</v>
      </c>
      <c r="H10152">
        <v>12500230</v>
      </c>
      <c r="I10152">
        <v>17355809</v>
      </c>
      <c r="J10152">
        <v>6</v>
      </c>
    </row>
    <row r="10153" spans="1:10" x14ac:dyDescent="0.25">
      <c r="A10153" t="s">
        <v>108</v>
      </c>
      <c r="B10153" s="1" t="str">
        <f>HYPERLINK("http://givenchy.cn","givenchy.cn")</f>
        <v>givenchy.cn</v>
      </c>
      <c r="C10153" t="s">
        <v>431</v>
      </c>
      <c r="D10153" t="s">
        <v>812</v>
      </c>
      <c r="F10153">
        <v>1.6527746704451E-8</v>
      </c>
      <c r="G10153">
        <v>3406958</v>
      </c>
      <c r="H10153">
        <v>11270385</v>
      </c>
      <c r="I10153">
        <v>30758952</v>
      </c>
      <c r="J10153">
        <v>4</v>
      </c>
    </row>
    <row r="10154" spans="1:10" x14ac:dyDescent="0.25">
      <c r="A10154" t="s">
        <v>108</v>
      </c>
      <c r="B10154" s="1" t="str">
        <f>HYPERLINK("http://hennessy.cn","hennessy.cn")</f>
        <v>hennessy.cn</v>
      </c>
      <c r="C10154" t="s">
        <v>431</v>
      </c>
      <c r="D10154" t="s">
        <v>812</v>
      </c>
      <c r="F10154">
        <v>1.0646723580015899E-8</v>
      </c>
      <c r="G10154">
        <v>6144248</v>
      </c>
      <c r="H10154">
        <v>11513305</v>
      </c>
      <c r="I10154">
        <v>30011536</v>
      </c>
      <c r="J10154">
        <v>6</v>
      </c>
    </row>
    <row r="10155" spans="1:10" x14ac:dyDescent="0.25">
      <c r="A10155" t="s">
        <v>108</v>
      </c>
      <c r="B10155" s="1" t="str">
        <f>HYPERLINK("http://loropiana.cn","loropiana.cn")</f>
        <v>loropiana.cn</v>
      </c>
      <c r="C10155" t="s">
        <v>431</v>
      </c>
      <c r="D10155" t="s">
        <v>812</v>
      </c>
      <c r="F10155">
        <v>4.5295924251495603E-9</v>
      </c>
      <c r="G10155">
        <v>55106733</v>
      </c>
      <c r="H10155">
        <v>10599367</v>
      </c>
      <c r="I10155">
        <v>44930982</v>
      </c>
      <c r="J10155">
        <v>4</v>
      </c>
    </row>
    <row r="10156" spans="1:10" x14ac:dyDescent="0.25">
      <c r="A10156" t="s">
        <v>108</v>
      </c>
      <c r="B10156" s="1" t="str">
        <f>HYPERLINK("http://louisvuitton.cn","louisvuitton.cn")</f>
        <v>louisvuitton.cn</v>
      </c>
      <c r="C10156" t="s">
        <v>431</v>
      </c>
      <c r="D10156" t="s">
        <v>812</v>
      </c>
      <c r="E10156">
        <v>70407</v>
      </c>
      <c r="F10156">
        <v>1.10023140784024E-7</v>
      </c>
      <c r="G10156">
        <v>363510</v>
      </c>
      <c r="H10156">
        <v>14284826</v>
      </c>
      <c r="I10156">
        <v>1372967</v>
      </c>
      <c r="J10156">
        <v>3</v>
      </c>
    </row>
    <row r="10157" spans="1:10" x14ac:dyDescent="0.25">
      <c r="A10157" t="s">
        <v>108</v>
      </c>
      <c r="B10157" s="1" t="str">
        <f>HYPERLINK("http://lvmh.cn","lvmh.cn")</f>
        <v>lvmh.cn</v>
      </c>
      <c r="C10157" t="s">
        <v>431</v>
      </c>
      <c r="D10157" t="s">
        <v>812</v>
      </c>
      <c r="F10157">
        <v>2.4362251703858899E-8</v>
      </c>
      <c r="G10157">
        <v>2127630</v>
      </c>
      <c r="H10157">
        <v>14146509</v>
      </c>
      <c r="I10157">
        <v>1894673</v>
      </c>
      <c r="J10157">
        <v>4</v>
      </c>
    </row>
    <row r="10158" spans="1:10" x14ac:dyDescent="0.25">
      <c r="A10158" t="s">
        <v>108</v>
      </c>
      <c r="B10158" s="1" t="str">
        <f>HYPERLINK("http://makeupforever.cn","makeupforever.cn")</f>
        <v>makeupforever.cn</v>
      </c>
      <c r="C10158" t="s">
        <v>431</v>
      </c>
      <c r="D10158" t="s">
        <v>812</v>
      </c>
      <c r="F10158">
        <v>3.7702927177138601E-8</v>
      </c>
      <c r="G10158">
        <v>1372538</v>
      </c>
      <c r="H10158">
        <v>12954166</v>
      </c>
      <c r="I10158">
        <v>13192094</v>
      </c>
      <c r="J10158">
        <v>6</v>
      </c>
    </row>
    <row r="10159" spans="1:10" x14ac:dyDescent="0.25">
      <c r="A10159" t="s">
        <v>108</v>
      </c>
      <c r="B10159" s="1" t="str">
        <f>HYPERLINK("http://tagheuer.cn","tagheuer.cn")</f>
        <v>tagheuer.cn</v>
      </c>
      <c r="C10159" t="s">
        <v>431</v>
      </c>
      <c r="D10159" t="s">
        <v>812</v>
      </c>
      <c r="F10159">
        <v>2.8282186312080301E-8</v>
      </c>
      <c r="G10159">
        <v>1819885</v>
      </c>
      <c r="H10159">
        <v>14110505</v>
      </c>
      <c r="I10159">
        <v>2675060</v>
      </c>
      <c r="J10159">
        <v>6</v>
      </c>
    </row>
    <row r="10160" spans="1:10" x14ac:dyDescent="0.25">
      <c r="A10160" t="s">
        <v>108</v>
      </c>
      <c r="B10160" s="1" t="str">
        <f>HYPERLINK("http://tiffany.cn","tiffany.cn")</f>
        <v>tiffany.cn</v>
      </c>
      <c r="C10160" t="s">
        <v>431</v>
      </c>
      <c r="D10160" t="s">
        <v>812</v>
      </c>
      <c r="E10160">
        <v>280200</v>
      </c>
      <c r="F10160">
        <v>3.5745025821471898E-7</v>
      </c>
      <c r="G10160">
        <v>104590</v>
      </c>
      <c r="H10160">
        <v>13684068</v>
      </c>
      <c r="I10160">
        <v>9533136</v>
      </c>
      <c r="J10160">
        <v>4</v>
      </c>
    </row>
    <row r="10161" spans="1:10" x14ac:dyDescent="0.25">
      <c r="A10161" t="s">
        <v>108</v>
      </c>
      <c r="B10161" s="1" t="str">
        <f>HYPERLINK("http://21club.com","21club.com")</f>
        <v>21club.com</v>
      </c>
      <c r="C10161" t="s">
        <v>433</v>
      </c>
      <c r="E10161">
        <v>594561</v>
      </c>
      <c r="F10161">
        <v>7.40486777186266E-8</v>
      </c>
      <c r="G10161">
        <v>568577</v>
      </c>
      <c r="H10161">
        <v>14597949</v>
      </c>
      <c r="I10161">
        <v>688163</v>
      </c>
      <c r="J10161">
        <v>3</v>
      </c>
    </row>
    <row r="10162" spans="1:10" x14ac:dyDescent="0.25">
      <c r="A10162" t="s">
        <v>108</v>
      </c>
      <c r="B10162" s="1" t="str">
        <f>HYPERLINK("http://acquadiparma.com","acquadiparma.com")</f>
        <v>acquadiparma.com</v>
      </c>
      <c r="C10162" t="s">
        <v>433</v>
      </c>
      <c r="E10162">
        <v>229413</v>
      </c>
      <c r="F10162">
        <v>1.2603040394355101E-7</v>
      </c>
      <c r="G10162">
        <v>312964</v>
      </c>
      <c r="H10162">
        <v>14952484</v>
      </c>
      <c r="I10162">
        <v>439706</v>
      </c>
      <c r="J10162">
        <v>5</v>
      </c>
    </row>
    <row r="10163" spans="1:10" x14ac:dyDescent="0.25">
      <c r="A10163" t="s">
        <v>108</v>
      </c>
      <c r="B10163" s="1" t="str">
        <f>HYPERLINK("http://alto-international.com","alto-international.com")</f>
        <v>alto-international.com</v>
      </c>
      <c r="C10163" t="s">
        <v>433</v>
      </c>
      <c r="F10163">
        <v>7.5289091448454794E-9</v>
      </c>
      <c r="G10163">
        <v>10950031</v>
      </c>
      <c r="H10163">
        <v>13764298</v>
      </c>
      <c r="I10163">
        <v>7303330</v>
      </c>
      <c r="J10163">
        <v>3</v>
      </c>
    </row>
    <row r="10164" spans="1:10" x14ac:dyDescent="0.25">
      <c r="A10164" t="s">
        <v>108</v>
      </c>
      <c r="B10164" s="1" t="str">
        <f>HYPERLINK("http://ardbeg.com","ardbeg.com")</f>
        <v>ardbeg.com</v>
      </c>
      <c r="C10164" t="s">
        <v>433</v>
      </c>
      <c r="E10164">
        <v>189657</v>
      </c>
      <c r="F10164">
        <v>1.66767471914977E-7</v>
      </c>
      <c r="G10164">
        <v>232714</v>
      </c>
      <c r="H10164">
        <v>14964808</v>
      </c>
      <c r="I10164">
        <v>435743</v>
      </c>
      <c r="J10164">
        <v>5</v>
      </c>
    </row>
    <row r="10165" spans="1:10" x14ac:dyDescent="0.25">
      <c r="A10165" t="s">
        <v>108</v>
      </c>
      <c r="B10165" s="1" t="str">
        <f>HYPERLINK("http://atelier-fluvial.com","atelier-fluvial.com")</f>
        <v>atelier-fluvial.com</v>
      </c>
      <c r="C10165" t="s">
        <v>433</v>
      </c>
      <c r="F10165">
        <v>6.3691241731595596E-9</v>
      </c>
      <c r="G10165">
        <v>14670022</v>
      </c>
      <c r="H10165">
        <v>13763636</v>
      </c>
      <c r="I10165">
        <v>8062783</v>
      </c>
      <c r="J10165">
        <v>3</v>
      </c>
    </row>
    <row r="10166" spans="1:10" x14ac:dyDescent="0.25">
      <c r="A10166" t="s">
        <v>108</v>
      </c>
      <c r="B10166" s="1" t="str">
        <f>HYPERLINK("http://belmond.com","belmond.com")</f>
        <v>belmond.com</v>
      </c>
      <c r="C10166" t="s">
        <v>433</v>
      </c>
      <c r="E10166">
        <v>19166</v>
      </c>
      <c r="F10166">
        <v>1.44242686843047E-6</v>
      </c>
      <c r="G10166">
        <v>27173</v>
      </c>
      <c r="H10166">
        <v>17465634</v>
      </c>
      <c r="I10166">
        <v>15307</v>
      </c>
      <c r="J10166">
        <v>2</v>
      </c>
    </row>
    <row r="10167" spans="1:10" x14ac:dyDescent="0.25">
      <c r="A10167" t="s">
        <v>108</v>
      </c>
      <c r="B10167" s="1" t="str">
        <f>HYPERLINK("http://benefitboutiques.com","benefitboutiques.com")</f>
        <v>benefitboutiques.com</v>
      </c>
      <c r="C10167" t="s">
        <v>433</v>
      </c>
      <c r="F10167">
        <v>2.3576455756093301E-8</v>
      </c>
      <c r="G10167">
        <v>2206447</v>
      </c>
      <c r="H10167">
        <v>12749855</v>
      </c>
      <c r="I10167">
        <v>15051062</v>
      </c>
      <c r="J10167">
        <v>6</v>
      </c>
    </row>
    <row r="10168" spans="1:10" x14ac:dyDescent="0.25">
      <c r="A10168" t="s">
        <v>108</v>
      </c>
      <c r="B10168" s="1" t="str">
        <f>HYPERLINK("http://benefitcosmetics.com","benefitcosmetics.com")</f>
        <v>benefitcosmetics.com</v>
      </c>
      <c r="C10168" t="s">
        <v>433</v>
      </c>
      <c r="E10168">
        <v>35177</v>
      </c>
      <c r="F10168">
        <v>9.2719752013075404E-7</v>
      </c>
      <c r="G10168">
        <v>41537</v>
      </c>
      <c r="H10168">
        <v>17403044</v>
      </c>
      <c r="I10168">
        <v>18994</v>
      </c>
      <c r="J10168">
        <v>3</v>
      </c>
    </row>
    <row r="10169" spans="1:10" x14ac:dyDescent="0.25">
      <c r="A10169" t="s">
        <v>108</v>
      </c>
      <c r="B10169" s="1" t="str">
        <f>HYPERLINK("http://berluti.com","berluti.com")</f>
        <v>berluti.com</v>
      </c>
      <c r="C10169" t="s">
        <v>433</v>
      </c>
      <c r="E10169">
        <v>77810</v>
      </c>
      <c r="F10169">
        <v>2.06328380945904E-7</v>
      </c>
      <c r="G10169">
        <v>183998</v>
      </c>
      <c r="H10169">
        <v>15088124</v>
      </c>
      <c r="I10169">
        <v>408316</v>
      </c>
      <c r="J10169">
        <v>3</v>
      </c>
    </row>
    <row r="10170" spans="1:10" x14ac:dyDescent="0.25">
      <c r="A10170" t="s">
        <v>108</v>
      </c>
      <c r="B10170" s="1" t="str">
        <f>HYPERLINK("http://bluewateryacht.com","bluewateryacht.com")</f>
        <v>bluewateryacht.com</v>
      </c>
      <c r="C10170" t="s">
        <v>433</v>
      </c>
      <c r="F10170">
        <v>4.5932314260583601E-9</v>
      </c>
      <c r="G10170">
        <v>48149647</v>
      </c>
      <c r="H10170">
        <v>13763753</v>
      </c>
      <c r="I10170">
        <v>7670777</v>
      </c>
      <c r="J10170">
        <v>3</v>
      </c>
    </row>
    <row r="10171" spans="1:10" x14ac:dyDescent="0.25">
      <c r="A10171" t="s">
        <v>108</v>
      </c>
      <c r="B10171" s="1" t="str">
        <f>HYPERLINK("http://bueno.com","bueno.com")</f>
        <v>bueno.com</v>
      </c>
      <c r="C10171" t="s">
        <v>433</v>
      </c>
      <c r="F10171">
        <v>4.5668385429123801E-9</v>
      </c>
      <c r="G10171">
        <v>50480116</v>
      </c>
      <c r="H10171">
        <v>12149643</v>
      </c>
      <c r="I10171">
        <v>24633079</v>
      </c>
      <c r="J10171">
        <v>3</v>
      </c>
    </row>
    <row r="10172" spans="1:10" x14ac:dyDescent="0.25">
      <c r="A10172" t="s">
        <v>108</v>
      </c>
      <c r="B10172" s="1" t="str">
        <f>HYPERLINK("http://bulgari.com","bulgari.com")</f>
        <v>bulgari.com</v>
      </c>
      <c r="C10172" t="s">
        <v>433</v>
      </c>
      <c r="E10172">
        <v>19682</v>
      </c>
      <c r="F10172">
        <v>1.59684877770783E-6</v>
      </c>
      <c r="G10172">
        <v>24649</v>
      </c>
      <c r="H10172">
        <v>15729383</v>
      </c>
      <c r="I10172">
        <v>369217</v>
      </c>
      <c r="J10172">
        <v>3</v>
      </c>
    </row>
    <row r="10173" spans="1:10" x14ac:dyDescent="0.25">
      <c r="A10173" t="s">
        <v>108</v>
      </c>
      <c r="B10173" s="1" t="str">
        <f>HYPERLINK("http://bulgarihotels.com","bulgarihotels.com")</f>
        <v>bulgarihotels.com</v>
      </c>
      <c r="C10173" t="s">
        <v>433</v>
      </c>
      <c r="E10173">
        <v>84228</v>
      </c>
      <c r="F10173">
        <v>3.7678197929537801E-7</v>
      </c>
      <c r="G10173">
        <v>99350</v>
      </c>
      <c r="H10173">
        <v>15389048</v>
      </c>
      <c r="I10173">
        <v>380725</v>
      </c>
      <c r="J10173">
        <v>5</v>
      </c>
    </row>
    <row r="10174" spans="1:10" x14ac:dyDescent="0.25">
      <c r="A10174" t="s">
        <v>108</v>
      </c>
      <c r="B10174" s="1" t="str">
        <f>HYPERLINK("http://buly1803.com","buly1803.com")</f>
        <v>buly1803.com</v>
      </c>
      <c r="C10174" t="s">
        <v>433</v>
      </c>
      <c r="E10174">
        <v>292670</v>
      </c>
      <c r="F10174">
        <v>1.49991793921508E-7</v>
      </c>
      <c r="G10174">
        <v>259037</v>
      </c>
      <c r="H10174">
        <v>14701689</v>
      </c>
      <c r="I10174">
        <v>590973</v>
      </c>
      <c r="J10174">
        <v>7</v>
      </c>
    </row>
    <row r="10175" spans="1:10" x14ac:dyDescent="0.25">
      <c r="A10175" t="s">
        <v>108</v>
      </c>
      <c r="B10175" s="1" t="str">
        <f>HYPERLINK("http://bvlgari.com","bvlgari.com")</f>
        <v>bvlgari.com</v>
      </c>
      <c r="C10175" t="s">
        <v>433</v>
      </c>
      <c r="F10175">
        <v>1.12311416687437E-8</v>
      </c>
      <c r="G10175">
        <v>5691341</v>
      </c>
      <c r="H10175">
        <v>14449665</v>
      </c>
      <c r="I10175">
        <v>1053892</v>
      </c>
      <c r="J10175">
        <v>5</v>
      </c>
    </row>
    <row r="10176" spans="1:10" x14ac:dyDescent="0.25">
      <c r="A10176" t="s">
        <v>108</v>
      </c>
      <c r="B10176" s="1" t="str">
        <f>HYPERLINK("http://bvlgary.com","bvlgary.com")</f>
        <v>bvlgary.com</v>
      </c>
      <c r="C10176" t="s">
        <v>433</v>
      </c>
      <c r="J10176">
        <v>5</v>
      </c>
    </row>
    <row r="10177" spans="1:10" x14ac:dyDescent="0.25">
      <c r="A10177" t="s">
        <v>108</v>
      </c>
      <c r="B10177" s="1" t="str">
        <f>HYPERLINK("http://casadesierranevada.com","casadesierranevada.com")</f>
        <v>casadesierranevada.com</v>
      </c>
      <c r="C10177" t="s">
        <v>433</v>
      </c>
      <c r="F10177">
        <v>1.3204563123021801E-8</v>
      </c>
      <c r="G10177">
        <v>4535969</v>
      </c>
      <c r="H10177">
        <v>13999891</v>
      </c>
      <c r="I10177">
        <v>4013624</v>
      </c>
      <c r="J10177">
        <v>4</v>
      </c>
    </row>
    <row r="10178" spans="1:10" x14ac:dyDescent="0.25">
      <c r="A10178" t="s">
        <v>108</v>
      </c>
      <c r="B10178" s="1" t="str">
        <f>HYPERLINK("http://celine.com","celine.com")</f>
        <v>celine.com</v>
      </c>
      <c r="C10178" t="s">
        <v>433</v>
      </c>
      <c r="E10178">
        <v>20150</v>
      </c>
      <c r="F10178">
        <v>5.46371018900234E-7</v>
      </c>
      <c r="G10178">
        <v>70755</v>
      </c>
      <c r="H10178">
        <v>15561526</v>
      </c>
      <c r="I10178">
        <v>373432</v>
      </c>
      <c r="J10178">
        <v>3</v>
      </c>
    </row>
    <row r="10179" spans="1:10" x14ac:dyDescent="0.25">
      <c r="A10179" t="s">
        <v>108</v>
      </c>
      <c r="B10179" s="1" t="str">
        <f>HYPERLINK("http://chandon.com","chandon.com")</f>
        <v>chandon.com</v>
      </c>
      <c r="C10179" t="s">
        <v>433</v>
      </c>
      <c r="E10179">
        <v>317596</v>
      </c>
      <c r="F10179">
        <v>1.5685131792932301E-7</v>
      </c>
      <c r="G10179">
        <v>247605</v>
      </c>
      <c r="H10179">
        <v>14708085</v>
      </c>
      <c r="I10179">
        <v>585407</v>
      </c>
      <c r="J10179">
        <v>2</v>
      </c>
    </row>
    <row r="10180" spans="1:10" x14ac:dyDescent="0.25">
      <c r="A10180" t="s">
        <v>108</v>
      </c>
      <c r="B10180" s="1" t="str">
        <f>HYPERLINK("http://chaumet.com","chaumet.com")</f>
        <v>chaumet.com</v>
      </c>
      <c r="C10180" t="s">
        <v>433</v>
      </c>
      <c r="E10180">
        <v>194619</v>
      </c>
      <c r="F10180">
        <v>2.2636767584532601E-7</v>
      </c>
      <c r="G10180">
        <v>166385</v>
      </c>
      <c r="H10180">
        <v>15098906</v>
      </c>
      <c r="I10180">
        <v>406642</v>
      </c>
      <c r="J10180">
        <v>5</v>
      </c>
    </row>
    <row r="10181" spans="1:10" x14ac:dyDescent="0.25">
      <c r="A10181" t="s">
        <v>108</v>
      </c>
      <c r="B10181" s="1" t="str">
        <f>HYPERLINK("http://chevalblanc.com","chevalblanc.com")</f>
        <v>chevalblanc.com</v>
      </c>
      <c r="C10181" t="s">
        <v>433</v>
      </c>
      <c r="E10181">
        <v>196774</v>
      </c>
      <c r="F10181">
        <v>2.7078167682290398E-7</v>
      </c>
      <c r="G10181">
        <v>137503</v>
      </c>
      <c r="H10181">
        <v>14569926</v>
      </c>
      <c r="I10181">
        <v>735859</v>
      </c>
      <c r="J10181">
        <v>5</v>
      </c>
    </row>
    <row r="10182" spans="1:10" x14ac:dyDescent="0.25">
      <c r="A10182" t="s">
        <v>108</v>
      </c>
      <c r="B10182" s="1" t="str">
        <f>HYPERLINK("http://christiandior.com","christiandior.com")</f>
        <v>christiandior.com</v>
      </c>
      <c r="C10182" t="s">
        <v>433</v>
      </c>
      <c r="E10182">
        <v>167441</v>
      </c>
      <c r="F10182">
        <v>4.0463481573322397E-8</v>
      </c>
      <c r="G10182">
        <v>1279608</v>
      </c>
      <c r="H10182">
        <v>14071353</v>
      </c>
      <c r="I10182">
        <v>3715477</v>
      </c>
      <c r="J10182">
        <v>2</v>
      </c>
    </row>
    <row r="10183" spans="1:10" x14ac:dyDescent="0.25">
      <c r="A10183" t="s">
        <v>108</v>
      </c>
      <c r="B10183" s="1" t="str">
        <f>HYPERLINK("http://colgincellars.com","colgincellars.com")</f>
        <v>colgincellars.com</v>
      </c>
      <c r="C10183" t="s">
        <v>433</v>
      </c>
      <c r="F10183">
        <v>2.3760887534721501E-8</v>
      </c>
      <c r="G10183">
        <v>2187188</v>
      </c>
      <c r="H10183">
        <v>13897446</v>
      </c>
      <c r="I10183">
        <v>5953771</v>
      </c>
      <c r="J10183">
        <v>3</v>
      </c>
    </row>
    <row r="10184" spans="1:10" x14ac:dyDescent="0.25">
      <c r="A10184" t="s">
        <v>108</v>
      </c>
      <c r="B10184" s="1" t="str">
        <f>HYPERLINK("http://dfs.com","dfs.com")</f>
        <v>dfs.com</v>
      </c>
      <c r="C10184" t="s">
        <v>433</v>
      </c>
      <c r="E10184">
        <v>64198</v>
      </c>
      <c r="F10184">
        <v>3.48590507272665E-7</v>
      </c>
      <c r="G10184">
        <v>107233</v>
      </c>
      <c r="H10184">
        <v>14825097</v>
      </c>
      <c r="I10184">
        <v>511544</v>
      </c>
      <c r="J10184">
        <v>3</v>
      </c>
    </row>
    <row r="10185" spans="1:10" x14ac:dyDescent="0.25">
      <c r="A10185" t="s">
        <v>108</v>
      </c>
      <c r="B10185" s="1" t="str">
        <f>HYPERLINK("http://dfsgroup.com","dfsgroup.com")</f>
        <v>dfsgroup.com</v>
      </c>
      <c r="C10185" t="s">
        <v>433</v>
      </c>
      <c r="F10185">
        <v>1.4936435225485801E-8</v>
      </c>
      <c r="G10185">
        <v>3860552</v>
      </c>
      <c r="H10185">
        <v>13971001</v>
      </c>
      <c r="I10185">
        <v>4074556</v>
      </c>
      <c r="J10185">
        <v>5</v>
      </c>
    </row>
    <row r="10186" spans="1:10" x14ac:dyDescent="0.25">
      <c r="A10186" t="s">
        <v>108</v>
      </c>
      <c r="B10186" s="1" t="str">
        <f>HYPERLINK("http://dfsmiddleeast.com","dfsmiddleeast.com")</f>
        <v>dfsmiddleeast.com</v>
      </c>
      <c r="C10186" t="s">
        <v>433</v>
      </c>
      <c r="F10186">
        <v>5.36543534359098E-9</v>
      </c>
      <c r="G10186">
        <v>22601579</v>
      </c>
      <c r="H10186">
        <v>10802039</v>
      </c>
      <c r="I10186">
        <v>38100276</v>
      </c>
      <c r="J10186">
        <v>3</v>
      </c>
    </row>
    <row r="10187" spans="1:10" x14ac:dyDescent="0.25">
      <c r="A10187" t="s">
        <v>108</v>
      </c>
      <c r="B10187" s="1" t="str">
        <f>HYPERLINK("http://dior.com","dior.com")</f>
        <v>dior.com</v>
      </c>
      <c r="C10187" t="s">
        <v>433</v>
      </c>
      <c r="E10187">
        <v>6069</v>
      </c>
      <c r="F10187">
        <v>2.5739841508530801E-6</v>
      </c>
      <c r="G10187">
        <v>14679</v>
      </c>
      <c r="H10187">
        <v>16268758</v>
      </c>
      <c r="I10187">
        <v>365353</v>
      </c>
      <c r="J10187">
        <v>3</v>
      </c>
    </row>
    <row r="10188" spans="1:10" x14ac:dyDescent="0.25">
      <c r="A10188" t="s">
        <v>108</v>
      </c>
      <c r="B10188" s="1" t="str">
        <f>HYPERLINK("http://dior-finance.com","dior-finance.com")</f>
        <v>dior-finance.com</v>
      </c>
      <c r="C10188" t="s">
        <v>433</v>
      </c>
      <c r="F10188">
        <v>8.1367000585002104E-8</v>
      </c>
      <c r="G10188">
        <v>513011</v>
      </c>
      <c r="H10188">
        <v>14413939</v>
      </c>
      <c r="I10188">
        <v>1141621</v>
      </c>
      <c r="J10188">
        <v>1</v>
      </c>
    </row>
    <row r="10189" spans="1:10" x14ac:dyDescent="0.25">
      <c r="A10189" t="s">
        <v>108</v>
      </c>
      <c r="B10189" s="1" t="str">
        <f>HYPERLINK("http://diorboutique-il.com","diorboutique-il.com")</f>
        <v>diorboutique-il.com</v>
      </c>
      <c r="C10189" t="s">
        <v>433</v>
      </c>
      <c r="F10189">
        <v>4.93749008513846E-9</v>
      </c>
      <c r="G10189">
        <v>31162562</v>
      </c>
      <c r="H10189">
        <v>10930456</v>
      </c>
      <c r="I10189">
        <v>35054963</v>
      </c>
      <c r="J10189">
        <v>4</v>
      </c>
    </row>
    <row r="10190" spans="1:10" x14ac:dyDescent="0.25">
      <c r="A10190" t="s">
        <v>108</v>
      </c>
      <c r="B10190" s="1" t="str">
        <f>HYPERLINK("http://diorcareer.com","diorcareer.com")</f>
        <v>diorcareer.com</v>
      </c>
      <c r="C10190" t="s">
        <v>433</v>
      </c>
      <c r="F10190">
        <v>4.4535981364395003E-9</v>
      </c>
      <c r="G10190">
        <v>70103963</v>
      </c>
      <c r="H10190">
        <v>9598824</v>
      </c>
      <c r="I10190">
        <v>64411612</v>
      </c>
      <c r="J10190">
        <v>6</v>
      </c>
    </row>
    <row r="10191" spans="1:10" x14ac:dyDescent="0.25">
      <c r="A10191" t="s">
        <v>108</v>
      </c>
      <c r="B10191" s="1" t="str">
        <f>HYPERLINK("http://e-stockagesecurise.com","e-stockagesecurise.com")</f>
        <v>e-stockagesecurise.com</v>
      </c>
      <c r="C10191" t="s">
        <v>433</v>
      </c>
      <c r="F10191">
        <v>1.5245219723340301E-8</v>
      </c>
      <c r="G10191">
        <v>3762243</v>
      </c>
      <c r="H10191">
        <v>10933637</v>
      </c>
      <c r="I10191">
        <v>34993960</v>
      </c>
      <c r="J10191">
        <v>3</v>
      </c>
    </row>
    <row r="10192" spans="1:10" x14ac:dyDescent="0.25">
      <c r="A10192" t="s">
        <v>108</v>
      </c>
      <c r="B10192" s="1" t="str">
        <f>HYPERLINK("http://eatatbasil.com","eatatbasil.com")</f>
        <v>eatatbasil.com</v>
      </c>
      <c r="C10192" t="s">
        <v>433</v>
      </c>
      <c r="F10192">
        <v>2.3337760101393702E-8</v>
      </c>
      <c r="G10192">
        <v>2234976</v>
      </c>
      <c r="H10192">
        <v>14142908</v>
      </c>
      <c r="I10192">
        <v>1916861</v>
      </c>
      <c r="J10192">
        <v>7</v>
      </c>
    </row>
    <row r="10193" spans="1:10" x14ac:dyDescent="0.25">
      <c r="A10193" t="s">
        <v>108</v>
      </c>
      <c r="B10193" s="1" t="str">
        <f>HYPERLINK("http://emiliopucci.com","emiliopucci.com")</f>
        <v>emiliopucci.com</v>
      </c>
      <c r="C10193" t="s">
        <v>433</v>
      </c>
      <c r="E10193">
        <v>263579</v>
      </c>
      <c r="F10193">
        <v>1.18838243005635E-7</v>
      </c>
      <c r="G10193">
        <v>333075</v>
      </c>
      <c r="H10193">
        <v>15331054</v>
      </c>
      <c r="I10193">
        <v>383938</v>
      </c>
      <c r="J10193">
        <v>3</v>
      </c>
    </row>
    <row r="10194" spans="1:10" x14ac:dyDescent="0.25">
      <c r="A10194" t="s">
        <v>108</v>
      </c>
      <c r="B10194" s="1" t="str">
        <f>HYPERLINK("http://feelunique.com","feelunique.com")</f>
        <v>feelunique.com</v>
      </c>
      <c r="C10194" t="s">
        <v>433</v>
      </c>
      <c r="E10194">
        <v>28470</v>
      </c>
      <c r="F10194">
        <v>5.60918414580557E-7</v>
      </c>
      <c r="G10194">
        <v>69217</v>
      </c>
      <c r="H10194">
        <v>17300840</v>
      </c>
      <c r="I10194">
        <v>27796</v>
      </c>
      <c r="J10194">
        <v>3</v>
      </c>
    </row>
    <row r="10195" spans="1:10" x14ac:dyDescent="0.25">
      <c r="A10195" t="s">
        <v>108</v>
      </c>
      <c r="B10195" s="1" t="str">
        <f>HYPERLINK("http://fendi.com","fendi.com")</f>
        <v>fendi.com</v>
      </c>
      <c r="C10195" t="s">
        <v>433</v>
      </c>
      <c r="E10195">
        <v>19683</v>
      </c>
      <c r="F10195">
        <v>1.00169025869133E-6</v>
      </c>
      <c r="G10195">
        <v>38201</v>
      </c>
      <c r="H10195">
        <v>15689697</v>
      </c>
      <c r="I10195">
        <v>369943</v>
      </c>
      <c r="J10195">
        <v>3</v>
      </c>
    </row>
    <row r="10196" spans="1:10" x14ac:dyDescent="0.25">
      <c r="A10196" t="s">
        <v>108</v>
      </c>
      <c r="B10196" s="1" t="str">
        <f>HYPERLINK("http://fentybeauty.com","fentybeauty.com")</f>
        <v>fentybeauty.com</v>
      </c>
      <c r="C10196" t="s">
        <v>433</v>
      </c>
      <c r="E10196">
        <v>35363</v>
      </c>
      <c r="F10196">
        <v>1.0993326617540899E-6</v>
      </c>
      <c r="G10196">
        <v>34991</v>
      </c>
      <c r="H10196">
        <v>17354102</v>
      </c>
      <c r="I10196">
        <v>22724</v>
      </c>
      <c r="J10196">
        <v>3</v>
      </c>
    </row>
    <row r="10197" spans="1:10" x14ac:dyDescent="0.25">
      <c r="A10197" t="s">
        <v>108</v>
      </c>
      <c r="B10197" s="1" t="str">
        <f>HYPERLINK("http://franciskurkdjian.com","franciskurkdjian.com")</f>
        <v>franciskurkdjian.com</v>
      </c>
      <c r="C10197" t="s">
        <v>433</v>
      </c>
      <c r="E10197">
        <v>165519</v>
      </c>
      <c r="F10197">
        <v>1.09606494378767E-7</v>
      </c>
      <c r="G10197">
        <v>364967</v>
      </c>
      <c r="H10197">
        <v>14649843</v>
      </c>
      <c r="I10197">
        <v>628189</v>
      </c>
      <c r="J10197">
        <v>5</v>
      </c>
    </row>
    <row r="10198" spans="1:10" x14ac:dyDescent="0.25">
      <c r="A10198" t="s">
        <v>108</v>
      </c>
      <c r="B10198" s="1" t="str">
        <f>HYPERLINK("http://fred.com","fred.com")</f>
        <v>fred.com</v>
      </c>
      <c r="C10198" t="s">
        <v>433</v>
      </c>
      <c r="E10198">
        <v>403135</v>
      </c>
      <c r="F10198">
        <v>1.7669939823445401E-7</v>
      </c>
      <c r="G10198">
        <v>219015</v>
      </c>
      <c r="H10198">
        <v>17138198</v>
      </c>
      <c r="I10198">
        <v>54795</v>
      </c>
      <c r="J10198">
        <v>5</v>
      </c>
    </row>
    <row r="10199" spans="1:10" x14ac:dyDescent="0.25">
      <c r="A10199" t="s">
        <v>108</v>
      </c>
      <c r="B10199" s="1" t="str">
        <f>HYPERLINK("http://galeriedior.com","galeriedior.com")</f>
        <v>galeriedior.com</v>
      </c>
      <c r="C10199" t="s">
        <v>433</v>
      </c>
      <c r="F10199">
        <v>4.9572895951420897E-8</v>
      </c>
      <c r="G10199">
        <v>933124</v>
      </c>
      <c r="H10199">
        <v>14222554</v>
      </c>
      <c r="I10199">
        <v>1683459</v>
      </c>
      <c r="J10199">
        <v>4</v>
      </c>
    </row>
    <row r="10200" spans="1:10" x14ac:dyDescent="0.25">
      <c r="A10200" t="s">
        <v>108</v>
      </c>
      <c r="B10200" s="1" t="str">
        <f>HYPERLINK("http://galoupet.com","galoupet.com")</f>
        <v>galoupet.com</v>
      </c>
      <c r="C10200" t="s">
        <v>433</v>
      </c>
      <c r="F10200">
        <v>1.4698649428736799E-8</v>
      </c>
      <c r="G10200">
        <v>3941551</v>
      </c>
      <c r="H10200">
        <v>12406518</v>
      </c>
      <c r="I10200">
        <v>18663054</v>
      </c>
      <c r="J10200">
        <v>3</v>
      </c>
    </row>
    <row r="10201" spans="1:10" x14ac:dyDescent="0.25">
      <c r="A10201" t="s">
        <v>108</v>
      </c>
      <c r="B10201" s="1" t="str">
        <f>HYPERLINK("http://givenchy.com","givenchy.com")</f>
        <v>givenchy.com</v>
      </c>
      <c r="C10201" t="s">
        <v>433</v>
      </c>
      <c r="E10201">
        <v>26265</v>
      </c>
      <c r="F10201">
        <v>4.6881974882138698E-7</v>
      </c>
      <c r="G10201">
        <v>80891</v>
      </c>
      <c r="H10201">
        <v>15564906</v>
      </c>
      <c r="I10201">
        <v>373331</v>
      </c>
      <c r="J10201">
        <v>3</v>
      </c>
    </row>
    <row r="10202" spans="1:10" x14ac:dyDescent="0.25">
      <c r="A10202" t="s">
        <v>108</v>
      </c>
      <c r="B10202" s="1" t="str">
        <f>HYPERLINK("http://glenmorangie.com","glenmorangie.com")</f>
        <v>glenmorangie.com</v>
      </c>
      <c r="C10202" t="s">
        <v>433</v>
      </c>
      <c r="E10202">
        <v>140342</v>
      </c>
      <c r="F10202">
        <v>2.94417163476461E-7</v>
      </c>
      <c r="G10202">
        <v>126397</v>
      </c>
      <c r="H10202">
        <v>14700071</v>
      </c>
      <c r="I10202">
        <v>593061</v>
      </c>
      <c r="J10202">
        <v>5</v>
      </c>
    </row>
    <row r="10203" spans="1:10" x14ac:dyDescent="0.25">
      <c r="A10203" t="s">
        <v>108</v>
      </c>
      <c r="B10203" s="1" t="str">
        <f>HYPERLINK("http://grandhoteleurope.com","grandhoteleurope.com")</f>
        <v>grandhoteleurope.com</v>
      </c>
      <c r="C10203" t="s">
        <v>433</v>
      </c>
      <c r="F10203">
        <v>2.6941234712383099E-8</v>
      </c>
      <c r="G10203">
        <v>1909264</v>
      </c>
      <c r="H10203">
        <v>14509193</v>
      </c>
      <c r="I10203">
        <v>826714</v>
      </c>
      <c r="J10203">
        <v>5</v>
      </c>
    </row>
    <row r="10204" spans="1:10" x14ac:dyDescent="0.25">
      <c r="A10204" t="s">
        <v>108</v>
      </c>
      <c r="B10204" s="1" t="str">
        <f>HYPERLINK("http://grapp-hennessy.com","grapp-hennessy.com")</f>
        <v>grapp-hennessy.com</v>
      </c>
      <c r="C10204" t="s">
        <v>433</v>
      </c>
      <c r="J10204">
        <v>6</v>
      </c>
    </row>
    <row r="10205" spans="1:10" x14ac:dyDescent="0.25">
      <c r="A10205" t="s">
        <v>108</v>
      </c>
      <c r="B10205" s="1" t="str">
        <f>HYPERLINK("http://guerlain.com","guerlain.com")</f>
        <v>guerlain.com</v>
      </c>
      <c r="C10205" t="s">
        <v>433</v>
      </c>
      <c r="E10205">
        <v>44723</v>
      </c>
      <c r="F10205">
        <v>6.1557386853945596E-7</v>
      </c>
      <c r="G10205">
        <v>62181</v>
      </c>
      <c r="H10205">
        <v>15646828</v>
      </c>
      <c r="I10205">
        <v>370915</v>
      </c>
      <c r="J10205">
        <v>3</v>
      </c>
    </row>
    <row r="10206" spans="1:10" x14ac:dyDescent="0.25">
      <c r="A10206" t="s">
        <v>108</v>
      </c>
      <c r="B10206" s="1" t="str">
        <f>HYPERLINK("http://guidedelacreationdentreprise.com","guidedelacreationdentreprise.com")</f>
        <v>guidedelacreationdentreprise.com</v>
      </c>
      <c r="C10206" t="s">
        <v>433</v>
      </c>
      <c r="F10206">
        <v>2.3460539718010701E-8</v>
      </c>
      <c r="G10206">
        <v>2219039</v>
      </c>
      <c r="H10206">
        <v>13946225</v>
      </c>
      <c r="I10206">
        <v>4223478</v>
      </c>
      <c r="J10206">
        <v>5</v>
      </c>
    </row>
    <row r="10207" spans="1:10" x14ac:dyDescent="0.25">
      <c r="A10207" t="s">
        <v>108</v>
      </c>
      <c r="B10207" s="1" t="str">
        <f>HYPERLINK("http://halftheskyasia.com","halftheskyasia.com")</f>
        <v>halftheskyasia.com</v>
      </c>
      <c r="C10207" t="s">
        <v>433</v>
      </c>
      <c r="F10207">
        <v>1.5270594495589099E-8</v>
      </c>
      <c r="G10207">
        <v>3754529</v>
      </c>
      <c r="H10207">
        <v>13936736</v>
      </c>
      <c r="I10207">
        <v>4485777</v>
      </c>
      <c r="J10207">
        <v>5</v>
      </c>
    </row>
    <row r="10208" spans="1:10" x14ac:dyDescent="0.25">
      <c r="A10208" t="s">
        <v>108</v>
      </c>
      <c r="B10208" s="1" t="str">
        <f>HYPERLINK("http://happeningco.com","happeningco.com")</f>
        <v>happeningco.com</v>
      </c>
      <c r="C10208" t="s">
        <v>433</v>
      </c>
      <c r="F10208">
        <v>4.44380395335525E-9</v>
      </c>
      <c r="G10208">
        <v>81885902</v>
      </c>
      <c r="H10208">
        <v>0</v>
      </c>
      <c r="I10208">
        <v>82367914</v>
      </c>
      <c r="J10208">
        <v>3</v>
      </c>
    </row>
    <row r="10209" spans="1:10" x14ac:dyDescent="0.25">
      <c r="A10209" t="s">
        <v>108</v>
      </c>
      <c r="B10209" s="1" t="str">
        <f>HYPERLINK("http://hennessy.com","hennessy.com")</f>
        <v>hennessy.com</v>
      </c>
      <c r="C10209" t="s">
        <v>433</v>
      </c>
      <c r="E10209">
        <v>112049</v>
      </c>
      <c r="F10209">
        <v>3.7717626971148E-7</v>
      </c>
      <c r="G10209">
        <v>99245</v>
      </c>
      <c r="H10209">
        <v>15528496</v>
      </c>
      <c r="I10209">
        <v>375920</v>
      </c>
      <c r="J10209">
        <v>5</v>
      </c>
    </row>
    <row r="10210" spans="1:10" x14ac:dyDescent="0.25">
      <c r="A10210" t="s">
        <v>108</v>
      </c>
      <c r="B10210" s="1" t="str">
        <f>HYPERLINK("http://hotelchevalblanc.com","hotelchevalblanc.com")</f>
        <v>hotelchevalblanc.com</v>
      </c>
      <c r="C10210" t="s">
        <v>433</v>
      </c>
      <c r="F10210">
        <v>9.0070697303035499E-9</v>
      </c>
      <c r="G10210">
        <v>7981242</v>
      </c>
      <c r="H10210">
        <v>13354993</v>
      </c>
      <c r="I10210">
        <v>10601100</v>
      </c>
      <c r="J10210">
        <v>7</v>
      </c>
    </row>
    <row r="10211" spans="1:10" x14ac:dyDescent="0.25">
      <c r="A10211" t="s">
        <v>108</v>
      </c>
      <c r="B10211" s="1" t="str">
        <f>HYPERLINK("http://hublot.com","hublot.com")</f>
        <v>hublot.com</v>
      </c>
      <c r="C10211" t="s">
        <v>433</v>
      </c>
      <c r="E10211">
        <v>47869</v>
      </c>
      <c r="F10211">
        <v>9.4796653639984002E-7</v>
      </c>
      <c r="G10211">
        <v>40415</v>
      </c>
      <c r="H10211">
        <v>17311544</v>
      </c>
      <c r="I10211">
        <v>26657</v>
      </c>
      <c r="J10211">
        <v>3</v>
      </c>
    </row>
    <row r="10212" spans="1:10" x14ac:dyDescent="0.25">
      <c r="A10212" t="s">
        <v>108</v>
      </c>
      <c r="B10212" s="1" t="str">
        <f>HYPERLINK("http://internalsephora.com","internalsephora.com")</f>
        <v>internalsephora.com</v>
      </c>
      <c r="C10212" t="s">
        <v>433</v>
      </c>
      <c r="E10212">
        <v>242239</v>
      </c>
      <c r="F10212">
        <v>4.44380996400719E-9</v>
      </c>
      <c r="G10212">
        <v>79621321</v>
      </c>
      <c r="H10212">
        <v>10351910</v>
      </c>
      <c r="I10212">
        <v>56125087</v>
      </c>
      <c r="J10212">
        <v>4</v>
      </c>
    </row>
    <row r="10213" spans="1:10" x14ac:dyDescent="0.25">
      <c r="A10213" t="s">
        <v>108</v>
      </c>
      <c r="B10213" s="1" t="str">
        <f>HYPERLINK("http://jeanpatou.com","jeanpatou.com")</f>
        <v>jeanpatou.com</v>
      </c>
      <c r="C10213" t="s">
        <v>433</v>
      </c>
      <c r="F10213">
        <v>1.7551381146408499E-8</v>
      </c>
      <c r="G10213">
        <v>3130024</v>
      </c>
      <c r="H10213">
        <v>14513758</v>
      </c>
      <c r="I10213">
        <v>816565</v>
      </c>
      <c r="J10213">
        <v>8</v>
      </c>
    </row>
    <row r="10214" spans="1:10" x14ac:dyDescent="0.25">
      <c r="A10214" t="s">
        <v>108</v>
      </c>
      <c r="B10214" s="1" t="str">
        <f>HYPERLINK("http://jonnymundey.com","jonnymundey.com")</f>
        <v>jonnymundey.com</v>
      </c>
      <c r="C10214" t="s">
        <v>433</v>
      </c>
      <c r="F10214">
        <v>4.4742528595986497E-9</v>
      </c>
      <c r="G10214">
        <v>63573160</v>
      </c>
      <c r="H10214">
        <v>10536638</v>
      </c>
      <c r="I10214">
        <v>47490972</v>
      </c>
      <c r="J10214">
        <v>7</v>
      </c>
    </row>
    <row r="10215" spans="1:10" x14ac:dyDescent="0.25">
      <c r="A10215" t="s">
        <v>108</v>
      </c>
      <c r="B10215" s="1" t="str">
        <f>HYPERLINK("http://kendobrands.com","kendobrands.com")</f>
        <v>kendobrands.com</v>
      </c>
      <c r="C10215" t="s">
        <v>433</v>
      </c>
      <c r="F10215">
        <v>9.0365083229508605E-8</v>
      </c>
      <c r="G10215">
        <v>451448</v>
      </c>
      <c r="H10215">
        <v>13513663</v>
      </c>
      <c r="I10215">
        <v>9946662</v>
      </c>
      <c r="J10215">
        <v>3</v>
      </c>
    </row>
    <row r="10216" spans="1:10" x14ac:dyDescent="0.25">
      <c r="A10216" t="s">
        <v>108</v>
      </c>
      <c r="B10216" s="1" t="str">
        <f>HYPERLINK("http://kenzo.com","kenzo.com")</f>
        <v>kenzo.com</v>
      </c>
      <c r="C10216" t="s">
        <v>433</v>
      </c>
      <c r="E10216">
        <v>69840</v>
      </c>
      <c r="F10216">
        <v>3.7077804992658602E-7</v>
      </c>
      <c r="G10216">
        <v>100977</v>
      </c>
      <c r="H10216">
        <v>15487564</v>
      </c>
      <c r="I10216">
        <v>377076</v>
      </c>
      <c r="J10216">
        <v>3</v>
      </c>
    </row>
    <row r="10217" spans="1:10" x14ac:dyDescent="0.25">
      <c r="A10217" t="s">
        <v>108</v>
      </c>
      <c r="B10217" s="1" t="str">
        <f>HYPERLINK("http://krug.com","krug.com")</f>
        <v>krug.com</v>
      </c>
      <c r="C10217" t="s">
        <v>433</v>
      </c>
      <c r="E10217">
        <v>329204</v>
      </c>
      <c r="F10217">
        <v>1.6706657937565999E-7</v>
      </c>
      <c r="G10217">
        <v>232286</v>
      </c>
      <c r="H10217">
        <v>15171166</v>
      </c>
      <c r="I10217">
        <v>398087</v>
      </c>
      <c r="J10217">
        <v>5</v>
      </c>
    </row>
    <row r="10218" spans="1:10" x14ac:dyDescent="0.25">
      <c r="A10218" t="s">
        <v>108</v>
      </c>
      <c r="B10218" s="1" t="str">
        <f>HYPERLINK("http://kvdbeauty.com","kvdbeauty.com")</f>
        <v>kvdbeauty.com</v>
      </c>
      <c r="C10218" t="s">
        <v>433</v>
      </c>
      <c r="F10218">
        <v>1.7763929634295699E-8</v>
      </c>
      <c r="G10218">
        <v>3082553</v>
      </c>
      <c r="H10218">
        <v>12520324</v>
      </c>
      <c r="I10218">
        <v>17147699</v>
      </c>
      <c r="J10218">
        <v>4</v>
      </c>
    </row>
    <row r="10219" spans="1:10" x14ac:dyDescent="0.25">
      <c r="A10219" t="s">
        <v>108</v>
      </c>
      <c r="B10219" s="1" t="str">
        <f>HYPERLINK("http://lagrandeepicerie.com","lagrandeepicerie.com")</f>
        <v>lagrandeepicerie.com</v>
      </c>
      <c r="C10219" t="s">
        <v>433</v>
      </c>
      <c r="E10219">
        <v>204397</v>
      </c>
      <c r="F10219">
        <v>1.75442450768993E-7</v>
      </c>
      <c r="G10219">
        <v>221035</v>
      </c>
      <c r="H10219">
        <v>14286435</v>
      </c>
      <c r="I10219">
        <v>1370845</v>
      </c>
      <c r="J10219">
        <v>3</v>
      </c>
    </row>
    <row r="10220" spans="1:10" x14ac:dyDescent="0.25">
      <c r="A10220" t="s">
        <v>108</v>
      </c>
      <c r="B10220" s="1" t="str">
        <f>HYPERLINK("http://lambrays.com","lambrays.com")</f>
        <v>lambrays.com</v>
      </c>
      <c r="C10220" t="s">
        <v>433</v>
      </c>
      <c r="F10220">
        <v>4.3802453236389101E-8</v>
      </c>
      <c r="G10220">
        <v>1088393</v>
      </c>
      <c r="H10220">
        <v>14099509</v>
      </c>
      <c r="I10220">
        <v>2710738</v>
      </c>
      <c r="J10220">
        <v>3</v>
      </c>
    </row>
    <row r="10221" spans="1:10" x14ac:dyDescent="0.25">
      <c r="A10221" t="s">
        <v>108</v>
      </c>
      <c r="B10221" s="1" t="str">
        <f>HYPERLINK("http://lebonmarche.com","lebonmarche.com")</f>
        <v>lebonmarche.com</v>
      </c>
      <c r="C10221" t="s">
        <v>433</v>
      </c>
      <c r="E10221">
        <v>180807</v>
      </c>
      <c r="F10221">
        <v>2.0428770172793801E-7</v>
      </c>
      <c r="G10221">
        <v>186020</v>
      </c>
      <c r="H10221">
        <v>15229709</v>
      </c>
      <c r="I10221">
        <v>392326</v>
      </c>
      <c r="J10221">
        <v>5</v>
      </c>
    </row>
    <row r="10222" spans="1:10" x14ac:dyDescent="0.25">
      <c r="A10222" t="s">
        <v>108</v>
      </c>
      <c r="B10222" s="1" t="str">
        <f>HYPERLINK("http://lefood-summit.com","lefood-summit.com")</f>
        <v>lefood-summit.com</v>
      </c>
      <c r="C10222" t="s">
        <v>433</v>
      </c>
      <c r="F10222">
        <v>1.3347016203583301E-8</v>
      </c>
      <c r="G10222">
        <v>4472930</v>
      </c>
      <c r="H10222">
        <v>13107927</v>
      </c>
      <c r="I10222">
        <v>12049301</v>
      </c>
      <c r="J10222">
        <v>5</v>
      </c>
    </row>
    <row r="10223" spans="1:10" x14ac:dyDescent="0.25">
      <c r="A10223" t="s">
        <v>108</v>
      </c>
      <c r="B10223" s="1" t="str">
        <f>HYPERLINK("http://lesechos.com","lesechos.com")</f>
        <v>lesechos.com</v>
      </c>
      <c r="C10223" t="s">
        <v>433</v>
      </c>
      <c r="E10223">
        <v>383801</v>
      </c>
      <c r="F10223">
        <v>1.3657709826002599E-7</v>
      </c>
      <c r="G10223">
        <v>285452</v>
      </c>
      <c r="H10223">
        <v>14595715</v>
      </c>
      <c r="I10223">
        <v>690214</v>
      </c>
      <c r="J10223">
        <v>4</v>
      </c>
    </row>
    <row r="10224" spans="1:10" x14ac:dyDescent="0.25">
      <c r="A10224" t="s">
        <v>108</v>
      </c>
      <c r="B10224" s="1" t="str">
        <f>HYPERLINK("http://lesgrappes.com","lesgrappes.com")</f>
        <v>lesgrappes.com</v>
      </c>
      <c r="C10224" t="s">
        <v>433</v>
      </c>
      <c r="E10224">
        <v>894068</v>
      </c>
      <c r="F10224">
        <v>1.16667295048478E-7</v>
      </c>
      <c r="G10224">
        <v>340798</v>
      </c>
      <c r="H10224">
        <v>14545752</v>
      </c>
      <c r="I10224">
        <v>768849</v>
      </c>
      <c r="J10224">
        <v>8</v>
      </c>
    </row>
    <row r="10225" spans="1:10" x14ac:dyDescent="0.25">
      <c r="A10225" t="s">
        <v>108</v>
      </c>
      <c r="B10225" s="1" t="str">
        <f>HYPERLINK("http://loewe.com","loewe.com")</f>
        <v>loewe.com</v>
      </c>
      <c r="C10225" t="s">
        <v>433</v>
      </c>
      <c r="E10225">
        <v>27202</v>
      </c>
      <c r="F10225">
        <v>8.2828236810129303E-7</v>
      </c>
      <c r="G10225">
        <v>47802</v>
      </c>
      <c r="H10225">
        <v>15043388</v>
      </c>
      <c r="I10225">
        <v>415902</v>
      </c>
      <c r="J10225">
        <v>5</v>
      </c>
    </row>
    <row r="10226" spans="1:10" x14ac:dyDescent="0.25">
      <c r="A10226" t="s">
        <v>108</v>
      </c>
      <c r="B10226" s="1" t="str">
        <f>HYPERLINK("http://loropiana.com","loropiana.com")</f>
        <v>loropiana.com</v>
      </c>
      <c r="C10226" t="s">
        <v>433</v>
      </c>
      <c r="E10226">
        <v>71561</v>
      </c>
      <c r="F10226">
        <v>3.5567210233591602E-7</v>
      </c>
      <c r="G10226">
        <v>105081</v>
      </c>
      <c r="H10226">
        <v>14779104</v>
      </c>
      <c r="I10226">
        <v>555000</v>
      </c>
      <c r="J10226">
        <v>3</v>
      </c>
    </row>
    <row r="10227" spans="1:10" x14ac:dyDescent="0.25">
      <c r="A10227" t="s">
        <v>108</v>
      </c>
      <c r="B10227" s="1" t="str">
        <f>HYPERLINK("http://louisvuitton.com","louisvuitton.com")</f>
        <v>louisvuitton.com</v>
      </c>
      <c r="C10227" t="s">
        <v>433</v>
      </c>
      <c r="E10227">
        <v>5250</v>
      </c>
      <c r="F10227">
        <v>3.6591571650304398E-6</v>
      </c>
      <c r="G10227">
        <v>11323</v>
      </c>
      <c r="H10227">
        <v>17956912</v>
      </c>
      <c r="I10227">
        <v>3996</v>
      </c>
      <c r="J10227">
        <v>2</v>
      </c>
    </row>
    <row r="10228" spans="1:10" x14ac:dyDescent="0.25">
      <c r="A10228" t="s">
        <v>108</v>
      </c>
      <c r="B10228" s="1" t="str">
        <f>HYPERLINK("http://luisvuitton.com","luisvuitton.com")</f>
        <v>luisvuitton.com</v>
      </c>
      <c r="C10228" t="s">
        <v>433</v>
      </c>
      <c r="F10228">
        <v>7.65203512992409E-9</v>
      </c>
      <c r="G10228">
        <v>10681603</v>
      </c>
      <c r="H10228">
        <v>12820281</v>
      </c>
      <c r="I10228">
        <v>14506096</v>
      </c>
      <c r="J10228">
        <v>4</v>
      </c>
    </row>
    <row r="10229" spans="1:10" x14ac:dyDescent="0.25">
      <c r="A10229" t="s">
        <v>108</v>
      </c>
      <c r="B10229" s="1" t="str">
        <f>HYPERLINK("http://lvcampaign.com","lvcampaign.com")</f>
        <v>lvcampaign.com</v>
      </c>
      <c r="C10229" t="s">
        <v>433</v>
      </c>
      <c r="F10229">
        <v>6.1316013707114199E-9</v>
      </c>
      <c r="G10229">
        <v>15916862</v>
      </c>
      <c r="H10229">
        <v>12775612</v>
      </c>
      <c r="I10229">
        <v>14796663</v>
      </c>
      <c r="J10229">
        <v>4</v>
      </c>
    </row>
    <row r="10230" spans="1:10" x14ac:dyDescent="0.25">
      <c r="A10230" t="s">
        <v>108</v>
      </c>
      <c r="B10230" s="1" t="str">
        <f>HYPERLINK("http://lvhmmcpc.com","lvhmmcpc.com")</f>
        <v>lvhmmcpc.com</v>
      </c>
      <c r="C10230" t="s">
        <v>433</v>
      </c>
      <c r="J10230">
        <v>5</v>
      </c>
    </row>
    <row r="10231" spans="1:10" x14ac:dyDescent="0.25">
      <c r="A10231" t="s">
        <v>108</v>
      </c>
      <c r="B10231" s="1" t="str">
        <f>HYPERLINK("http://lvmh.com","lvmh.com")</f>
        <v>lvmh.com</v>
      </c>
      <c r="C10231" t="s">
        <v>433</v>
      </c>
      <c r="E10231">
        <v>18373</v>
      </c>
      <c r="F10231">
        <v>1.82103502721767E-6</v>
      </c>
      <c r="G10231">
        <v>20839</v>
      </c>
      <c r="H10231">
        <v>15345220</v>
      </c>
      <c r="I10231">
        <v>383103</v>
      </c>
      <c r="J10231">
        <v>3</v>
      </c>
    </row>
    <row r="10232" spans="1:10" x14ac:dyDescent="0.25">
      <c r="A10232" t="s">
        <v>108</v>
      </c>
      <c r="B10232" s="1" t="str">
        <f>HYPERLINK("http://lvmh-pc.com","lvmh-pc.com")</f>
        <v>lvmh-pc.com</v>
      </c>
      <c r="C10232" t="s">
        <v>433</v>
      </c>
      <c r="E10232">
        <v>402050</v>
      </c>
      <c r="F10232">
        <v>4.8224344595308896E-9</v>
      </c>
      <c r="G10232">
        <v>35129400</v>
      </c>
      <c r="H10232">
        <v>10333200</v>
      </c>
      <c r="I10232">
        <v>58314885</v>
      </c>
      <c r="J10232">
        <v>4</v>
      </c>
    </row>
    <row r="10233" spans="1:10" x14ac:dyDescent="0.25">
      <c r="A10233" t="s">
        <v>108</v>
      </c>
      <c r="B10233" s="1" t="str">
        <f>HYPERLINK("http://lvmhluxuryventures.com","lvmhluxuryventures.com")</f>
        <v>lvmhluxuryventures.com</v>
      </c>
      <c r="C10233" t="s">
        <v>433</v>
      </c>
      <c r="F10233">
        <v>7.6141499755771394E-9</v>
      </c>
      <c r="G10233">
        <v>10765318</v>
      </c>
      <c r="H10233">
        <v>13068055</v>
      </c>
      <c r="I10233">
        <v>12265183</v>
      </c>
      <c r="J10233">
        <v>5</v>
      </c>
    </row>
    <row r="10234" spans="1:10" x14ac:dyDescent="0.25">
      <c r="A10234" t="s">
        <v>108</v>
      </c>
      <c r="B10234" s="1" t="str">
        <f>HYPERLINK("http://lvmhmxpc.com","lvmhmxpc.com")</f>
        <v>lvmhmxpc.com</v>
      </c>
      <c r="C10234" t="s">
        <v>433</v>
      </c>
      <c r="J10234">
        <v>5</v>
      </c>
    </row>
    <row r="10235" spans="1:10" x14ac:dyDescent="0.25">
      <c r="A10235" t="s">
        <v>108</v>
      </c>
      <c r="B10235" s="1" t="str">
        <f>HYPERLINK("http://makeupforever.com","makeupforever.com")</f>
        <v>makeupforever.com</v>
      </c>
      <c r="C10235" t="s">
        <v>433</v>
      </c>
      <c r="E10235">
        <v>81549</v>
      </c>
      <c r="F10235">
        <v>3.8019461006934501E-7</v>
      </c>
      <c r="G10235">
        <v>98408</v>
      </c>
      <c r="H10235">
        <v>15263528</v>
      </c>
      <c r="I10235">
        <v>389057</v>
      </c>
      <c r="J10235">
        <v>5</v>
      </c>
    </row>
    <row r="10236" spans="1:10" x14ac:dyDescent="0.25">
      <c r="A10236" t="s">
        <v>108</v>
      </c>
      <c r="B10236" s="1" t="str">
        <f>HYPERLINK("http://manoir.com","manoir.com")</f>
        <v>manoir.com</v>
      </c>
      <c r="C10236" t="s">
        <v>433</v>
      </c>
      <c r="F10236">
        <v>1.96988284079031E-8</v>
      </c>
      <c r="G10236">
        <v>2709402</v>
      </c>
      <c r="H10236">
        <v>14216780</v>
      </c>
      <c r="I10236">
        <v>1691470</v>
      </c>
      <c r="J10236">
        <v>5</v>
      </c>
    </row>
    <row r="10237" spans="1:10" x14ac:dyDescent="0.25">
      <c r="A10237" t="s">
        <v>108</v>
      </c>
      <c r="B10237" s="1" t="str">
        <f>HYPERLINK("http://marcjacobs.com","marcjacobs.com")</f>
        <v>marcjacobs.com</v>
      </c>
      <c r="C10237" t="s">
        <v>433</v>
      </c>
      <c r="E10237">
        <v>29451</v>
      </c>
      <c r="F10237">
        <v>8.9386872559036998E-7</v>
      </c>
      <c r="G10237">
        <v>45079</v>
      </c>
      <c r="H10237">
        <v>15780195</v>
      </c>
      <c r="I10237">
        <v>368495</v>
      </c>
      <c r="J10237">
        <v>5</v>
      </c>
    </row>
    <row r="10238" spans="1:10" x14ac:dyDescent="0.25">
      <c r="A10238" t="s">
        <v>108</v>
      </c>
      <c r="B10238" s="1" t="str">
        <f>HYPERLINK("http://mhusa.com","mhusa.com")</f>
        <v>mhusa.com</v>
      </c>
      <c r="C10238" t="s">
        <v>433</v>
      </c>
      <c r="E10238">
        <v>478162</v>
      </c>
      <c r="F10238">
        <v>6.0815716587398405E-8</v>
      </c>
      <c r="G10238">
        <v>724654</v>
      </c>
      <c r="H10238">
        <v>14302720</v>
      </c>
      <c r="I10238">
        <v>1354357</v>
      </c>
      <c r="J10238">
        <v>6</v>
      </c>
    </row>
    <row r="10239" spans="1:10" x14ac:dyDescent="0.25">
      <c r="A10239" t="s">
        <v>108</v>
      </c>
      <c r="B10239" s="1" t="str">
        <f>HYPERLINK("http://moet.com","moet.com")</f>
        <v>moet.com</v>
      </c>
      <c r="C10239" t="s">
        <v>433</v>
      </c>
      <c r="E10239">
        <v>81654</v>
      </c>
      <c r="F10239">
        <v>4.59224475772896E-7</v>
      </c>
      <c r="G10239">
        <v>82379</v>
      </c>
      <c r="H10239">
        <v>15159450</v>
      </c>
      <c r="I10239">
        <v>399220</v>
      </c>
      <c r="J10239">
        <v>3</v>
      </c>
    </row>
    <row r="10240" spans="1:10" x14ac:dyDescent="0.25">
      <c r="A10240" t="s">
        <v>108</v>
      </c>
      <c r="B10240" s="1" t="str">
        <f>HYPERLINK("http://moethennessy.com","moethennessy.com")</f>
        <v>moethennessy.com</v>
      </c>
      <c r="C10240" t="s">
        <v>433</v>
      </c>
      <c r="E10240">
        <v>683343</v>
      </c>
      <c r="F10240">
        <v>9.5540640824299906E-8</v>
      </c>
      <c r="G10240">
        <v>423888</v>
      </c>
      <c r="H10240">
        <v>12987164</v>
      </c>
      <c r="I10240">
        <v>12886065</v>
      </c>
      <c r="J10240">
        <v>3</v>
      </c>
    </row>
    <row r="10241" spans="1:10" x14ac:dyDescent="0.25">
      <c r="A10241" t="s">
        <v>108</v>
      </c>
      <c r="B10241" s="1" t="str">
        <f>HYPERLINK("http://orient-express.com","orient-express.com")</f>
        <v>orient-express.com</v>
      </c>
      <c r="C10241" t="s">
        <v>433</v>
      </c>
      <c r="E10241">
        <v>146339</v>
      </c>
      <c r="F10241">
        <v>3.1831686288255497E-7</v>
      </c>
      <c r="G10241">
        <v>116868</v>
      </c>
      <c r="H10241">
        <v>14768825</v>
      </c>
      <c r="I10241">
        <v>558104</v>
      </c>
      <c r="J10241">
        <v>3</v>
      </c>
    </row>
    <row r="10242" spans="1:10" x14ac:dyDescent="0.25">
      <c r="A10242" t="s">
        <v>108</v>
      </c>
      <c r="B10242" s="1" t="str">
        <f>HYPERLINK("http://parfumsgivenchy.com","parfumsgivenchy.com")</f>
        <v>parfumsgivenchy.com</v>
      </c>
      <c r="C10242" t="s">
        <v>433</v>
      </c>
      <c r="F10242">
        <v>1.09004283590808E-8</v>
      </c>
      <c r="G10242">
        <v>5942077</v>
      </c>
      <c r="H10242">
        <v>14494336</v>
      </c>
      <c r="I10242">
        <v>882270</v>
      </c>
      <c r="J10242">
        <v>3</v>
      </c>
    </row>
    <row r="10243" spans="1:10" x14ac:dyDescent="0.25">
      <c r="A10243" t="s">
        <v>108</v>
      </c>
      <c r="B10243" s="1" t="str">
        <f>HYPERLINK("http://pasticceriacova.com","pasticceriacova.com")</f>
        <v>pasticceriacova.com</v>
      </c>
      <c r="C10243" t="s">
        <v>433</v>
      </c>
      <c r="E10243">
        <v>945682</v>
      </c>
      <c r="F10243">
        <v>5.4105224109811097E-8</v>
      </c>
      <c r="G10243">
        <v>836241</v>
      </c>
      <c r="H10243">
        <v>14864416</v>
      </c>
      <c r="I10243">
        <v>482389</v>
      </c>
      <c r="J10243">
        <v>5</v>
      </c>
    </row>
    <row r="10244" spans="1:10" x14ac:dyDescent="0.25">
      <c r="A10244" t="s">
        <v>108</v>
      </c>
      <c r="B10244" s="1" t="str">
        <f>HYPERLINK("http://patou.com","patou.com")</f>
        <v>patou.com</v>
      </c>
      <c r="C10244" t="s">
        <v>433</v>
      </c>
      <c r="E10244">
        <v>621239</v>
      </c>
      <c r="F10244">
        <v>5.0081272515302603E-8</v>
      </c>
      <c r="G10244">
        <v>919403</v>
      </c>
      <c r="H10244">
        <v>14347696</v>
      </c>
      <c r="I10244">
        <v>1311089</v>
      </c>
      <c r="J10244">
        <v>5</v>
      </c>
    </row>
    <row r="10245" spans="1:10" x14ac:dyDescent="0.25">
      <c r="A10245" t="s">
        <v>108</v>
      </c>
      <c r="B10245" s="1" t="str">
        <f>HYPERLINK("http://pelhammedia.com","pelhammedia.com")</f>
        <v>pelhammedia.com</v>
      </c>
      <c r="C10245" t="s">
        <v>433</v>
      </c>
      <c r="F10245">
        <v>2.1552821046870201E-8</v>
      </c>
      <c r="G10245">
        <v>2442443</v>
      </c>
      <c r="H10245">
        <v>13441926</v>
      </c>
      <c r="I10245">
        <v>10245780</v>
      </c>
      <c r="J10245">
        <v>3</v>
      </c>
    </row>
    <row r="10246" spans="1:10" x14ac:dyDescent="0.25">
      <c r="A10246" t="s">
        <v>108</v>
      </c>
      <c r="B10246" s="1" t="str">
        <f>HYPERLINK("http://perfumesloewe.com","perfumesloewe.com")</f>
        <v>perfumesloewe.com</v>
      </c>
      <c r="C10246" t="s">
        <v>433</v>
      </c>
      <c r="E10246">
        <v>772230</v>
      </c>
      <c r="F10246">
        <v>6.4640874082028996E-8</v>
      </c>
      <c r="G10246">
        <v>669021</v>
      </c>
      <c r="H10246">
        <v>14311624</v>
      </c>
      <c r="I10246">
        <v>1340406</v>
      </c>
      <c r="J10246">
        <v>4</v>
      </c>
    </row>
    <row r="10247" spans="1:10" x14ac:dyDescent="0.25">
      <c r="A10247" t="s">
        <v>108</v>
      </c>
      <c r="B10247" s="1" t="str">
        <f>HYPERLINK("http://pucci.com","pucci.com")</f>
        <v>pucci.com</v>
      </c>
      <c r="C10247" t="s">
        <v>433</v>
      </c>
      <c r="E10247">
        <v>484855</v>
      </c>
      <c r="F10247">
        <v>1.2096257811734601E-7</v>
      </c>
      <c r="G10247">
        <v>326566</v>
      </c>
      <c r="H10247">
        <v>14377104</v>
      </c>
      <c r="I10247">
        <v>1212490</v>
      </c>
      <c r="J10247">
        <v>5</v>
      </c>
    </row>
    <row r="10248" spans="1:10" x14ac:dyDescent="0.25">
      <c r="A10248" t="s">
        <v>108</v>
      </c>
      <c r="B10248" s="1" t="str">
        <f>HYPERLINK("http://reidspalace.com","reidspalace.com")</f>
        <v>reidspalace.com</v>
      </c>
      <c r="C10248" t="s">
        <v>433</v>
      </c>
      <c r="F10248">
        <v>1.00052015745459E-8</v>
      </c>
      <c r="G10248">
        <v>6750556</v>
      </c>
      <c r="H10248">
        <v>13879028</v>
      </c>
      <c r="I10248">
        <v>5985188</v>
      </c>
      <c r="J10248">
        <v>5</v>
      </c>
    </row>
    <row r="10249" spans="1:10" x14ac:dyDescent="0.25">
      <c r="A10249" t="s">
        <v>108</v>
      </c>
      <c r="B10249" s="1" t="str">
        <f>HYPERLINK("http://repossi.com","repossi.com")</f>
        <v>repossi.com</v>
      </c>
      <c r="C10249" t="s">
        <v>433</v>
      </c>
      <c r="F10249">
        <v>8.91798543358565E-8</v>
      </c>
      <c r="G10249">
        <v>458263</v>
      </c>
      <c r="H10249">
        <v>14296928</v>
      </c>
      <c r="I10249">
        <v>1359435</v>
      </c>
      <c r="J10249">
        <v>5</v>
      </c>
    </row>
    <row r="10250" spans="1:10" x14ac:dyDescent="0.25">
      <c r="A10250" t="s">
        <v>108</v>
      </c>
      <c r="B10250" s="1" t="str">
        <f>HYPERLINK("http://residencedangkor.com","residencedangkor.com")</f>
        <v>residencedangkor.com</v>
      </c>
      <c r="C10250" t="s">
        <v>433</v>
      </c>
      <c r="F10250">
        <v>6.5357064987484101E-9</v>
      </c>
      <c r="G10250">
        <v>13930435</v>
      </c>
      <c r="H10250">
        <v>13963911</v>
      </c>
      <c r="I10250">
        <v>4095908</v>
      </c>
      <c r="J10250">
        <v>6</v>
      </c>
    </row>
    <row r="10251" spans="1:10" x14ac:dyDescent="0.25">
      <c r="A10251" t="s">
        <v>108</v>
      </c>
      <c r="B10251" s="1" t="str">
        <f>HYPERLINK("http://rimowa.com","rimowa.com")</f>
        <v>rimowa.com</v>
      </c>
      <c r="C10251" t="s">
        <v>433</v>
      </c>
      <c r="E10251">
        <v>56156</v>
      </c>
      <c r="F10251">
        <v>4.6109829442550703E-7</v>
      </c>
      <c r="G10251">
        <v>82055</v>
      </c>
      <c r="H10251">
        <v>17300676</v>
      </c>
      <c r="I10251">
        <v>27808</v>
      </c>
      <c r="J10251">
        <v>3</v>
      </c>
    </row>
    <row r="10252" spans="1:10" x14ac:dyDescent="0.25">
      <c r="A10252" t="s">
        <v>108</v>
      </c>
      <c r="B10252" s="1" t="str">
        <f>HYPERLINK("http://rimowa-electronictag.com","rimowa-electronictag.com")</f>
        <v>rimowa-electronictag.com</v>
      </c>
      <c r="C10252" t="s">
        <v>433</v>
      </c>
      <c r="F10252">
        <v>2.94598375618861E-8</v>
      </c>
      <c r="G10252">
        <v>1749477</v>
      </c>
      <c r="H10252">
        <v>14633156</v>
      </c>
      <c r="I10252">
        <v>642954</v>
      </c>
      <c r="J10252">
        <v>3</v>
      </c>
    </row>
    <row r="10253" spans="1:10" x14ac:dyDescent="0.25">
      <c r="A10253" t="s">
        <v>108</v>
      </c>
      <c r="B10253" s="1" t="str">
        <f>HYPERLINK("http://rossimoda.com","rossimoda.com")</f>
        <v>rossimoda.com</v>
      </c>
      <c r="C10253" t="s">
        <v>433</v>
      </c>
      <c r="E10253">
        <v>885233</v>
      </c>
      <c r="F10253">
        <v>1.25415335655033E-8</v>
      </c>
      <c r="G10253">
        <v>4863800</v>
      </c>
      <c r="H10253">
        <v>13938747</v>
      </c>
      <c r="I10253">
        <v>4415086</v>
      </c>
      <c r="J10253">
        <v>6</v>
      </c>
    </row>
    <row r="10254" spans="1:10" x14ac:dyDescent="0.25">
      <c r="A10254" t="s">
        <v>108</v>
      </c>
      <c r="B10254" s="1" t="str">
        <f>HYPERLINK("http://ruinart.com","ruinart.com")</f>
        <v>ruinart.com</v>
      </c>
      <c r="C10254" t="s">
        <v>433</v>
      </c>
      <c r="E10254">
        <v>284887</v>
      </c>
      <c r="F10254">
        <v>4.38389023447428E-7</v>
      </c>
      <c r="G10254">
        <v>85983</v>
      </c>
      <c r="H10254">
        <v>15085126</v>
      </c>
      <c r="I10254">
        <v>408809</v>
      </c>
      <c r="J10254">
        <v>5</v>
      </c>
    </row>
    <row r="10255" spans="1:10" x14ac:dyDescent="0.25">
      <c r="A10255" t="s">
        <v>108</v>
      </c>
      <c r="B10255" s="1" t="str">
        <f>HYPERLINK("http://ruoungoaiplaza.com","ruoungoaiplaza.com")</f>
        <v>ruoungoaiplaza.com</v>
      </c>
      <c r="C10255" t="s">
        <v>433</v>
      </c>
      <c r="F10255">
        <v>4.6240857774326797E-9</v>
      </c>
      <c r="G10255">
        <v>45838169</v>
      </c>
      <c r="H10255">
        <v>11078846</v>
      </c>
      <c r="I10255">
        <v>32494621</v>
      </c>
      <c r="J10255">
        <v>7</v>
      </c>
    </row>
    <row r="10256" spans="1:10" x14ac:dyDescent="0.25">
      <c r="A10256" t="s">
        <v>108</v>
      </c>
      <c r="B10256" s="1" t="str">
        <f>HYPERLINK("http://seohora.com","seohora.com")</f>
        <v>seohora.com</v>
      </c>
      <c r="C10256" t="s">
        <v>433</v>
      </c>
      <c r="J10256">
        <v>5</v>
      </c>
    </row>
    <row r="10257" spans="1:10" x14ac:dyDescent="0.25">
      <c r="A10257" t="s">
        <v>108</v>
      </c>
      <c r="B10257" s="1" t="str">
        <f>HYPERLINK("http://sephora.com","sephora.com")</f>
        <v>sephora.com</v>
      </c>
      <c r="C10257" t="s">
        <v>433</v>
      </c>
      <c r="E10257">
        <v>2772</v>
      </c>
      <c r="F10257">
        <v>6.3024813543542996E-6</v>
      </c>
      <c r="G10257">
        <v>5419</v>
      </c>
      <c r="H10257">
        <v>17852562</v>
      </c>
      <c r="I10257">
        <v>4957</v>
      </c>
      <c r="J10257">
        <v>3</v>
      </c>
    </row>
    <row r="10258" spans="1:10" x14ac:dyDescent="0.25">
      <c r="A10258" t="s">
        <v>108</v>
      </c>
      <c r="B10258" s="1" t="str">
        <f>HYPERLINK("http://stellamccartney.com","stellamccartney.com")</f>
        <v>stellamccartney.com</v>
      </c>
      <c r="C10258" t="s">
        <v>433</v>
      </c>
      <c r="E10258">
        <v>36770</v>
      </c>
      <c r="F10258">
        <v>2.8341740310915399E-6</v>
      </c>
      <c r="G10258">
        <v>13565</v>
      </c>
      <c r="H10258">
        <v>16738076</v>
      </c>
      <c r="I10258">
        <v>364759</v>
      </c>
      <c r="J10258">
        <v>7</v>
      </c>
    </row>
    <row r="10259" spans="1:10" x14ac:dyDescent="0.25">
      <c r="A10259" t="s">
        <v>108</v>
      </c>
      <c r="B10259" s="1" t="str">
        <f>HYPERLINK("http://tagheuer.com","tagheuer.com")</f>
        <v>tagheuer.com</v>
      </c>
      <c r="C10259" t="s">
        <v>433</v>
      </c>
      <c r="E10259">
        <v>23551</v>
      </c>
      <c r="F10259">
        <v>1.6225062479799001E-6</v>
      </c>
      <c r="G10259">
        <v>24289</v>
      </c>
      <c r="H10259">
        <v>17559596</v>
      </c>
      <c r="I10259">
        <v>10953</v>
      </c>
      <c r="J10259">
        <v>5</v>
      </c>
    </row>
    <row r="10260" spans="1:10" x14ac:dyDescent="0.25">
      <c r="A10260" t="s">
        <v>108</v>
      </c>
      <c r="B10260" s="1" t="str">
        <f>HYPERLINK("http://thedealoutlet.com","thedealoutlet.com")</f>
        <v>thedealoutlet.com</v>
      </c>
      <c r="C10260" t="s">
        <v>433</v>
      </c>
      <c r="F10260">
        <v>6.7081020829386702E-9</v>
      </c>
      <c r="G10260">
        <v>13274708</v>
      </c>
      <c r="H10260">
        <v>13208654</v>
      </c>
      <c r="I10260">
        <v>11508939</v>
      </c>
      <c r="J10260">
        <v>8</v>
      </c>
    </row>
    <row r="10261" spans="1:10" x14ac:dyDescent="0.25">
      <c r="A10261" t="s">
        <v>108</v>
      </c>
      <c r="B10261" s="1" t="str">
        <f>HYPERLINK("http://thelios.com","thelios.com")</f>
        <v>thelios.com</v>
      </c>
      <c r="C10261" t="s">
        <v>433</v>
      </c>
      <c r="E10261">
        <v>881882</v>
      </c>
      <c r="F10261">
        <v>1.3982187900287699E-8</v>
      </c>
      <c r="G10261">
        <v>4209432</v>
      </c>
      <c r="H10261">
        <v>12397139</v>
      </c>
      <c r="I10261">
        <v>18894016</v>
      </c>
      <c r="J10261">
        <v>6</v>
      </c>
    </row>
    <row r="10262" spans="1:10" x14ac:dyDescent="0.25">
      <c r="A10262" t="s">
        <v>108</v>
      </c>
      <c r="B10262" s="1" t="str">
        <f>HYPERLINK("http://thomaspink.com","thomaspink.com")</f>
        <v>thomaspink.com</v>
      </c>
      <c r="C10262" t="s">
        <v>433</v>
      </c>
      <c r="E10262">
        <v>277066</v>
      </c>
      <c r="F10262">
        <v>1.0676268028375201E-7</v>
      </c>
      <c r="G10262">
        <v>374986</v>
      </c>
      <c r="H10262">
        <v>14276822</v>
      </c>
      <c r="I10262">
        <v>1388799</v>
      </c>
      <c r="J10262">
        <v>5</v>
      </c>
    </row>
    <row r="10263" spans="1:10" x14ac:dyDescent="0.25">
      <c r="A10263" t="s">
        <v>108</v>
      </c>
      <c r="B10263" s="1" t="str">
        <f>HYPERLINK("http://tiffany.com","tiffany.com")</f>
        <v>tiffany.com</v>
      </c>
      <c r="C10263" t="s">
        <v>433</v>
      </c>
      <c r="E10263">
        <v>8316</v>
      </c>
      <c r="F10263">
        <v>2.55059014079553E-6</v>
      </c>
      <c r="G10263">
        <v>14790</v>
      </c>
      <c r="H10263">
        <v>17709986</v>
      </c>
      <c r="I10263">
        <v>7106</v>
      </c>
      <c r="J10263">
        <v>3</v>
      </c>
    </row>
    <row r="10264" spans="1:10" x14ac:dyDescent="0.25">
      <c r="A10264" t="s">
        <v>108</v>
      </c>
      <c r="B10264" s="1" t="str">
        <f>HYPERLINK("http://tiffanyjewelryfreeshipping.com","tiffanyjewelryfreeshipping.com")</f>
        <v>tiffanyjewelryfreeshipping.com</v>
      </c>
      <c r="C10264" t="s">
        <v>433</v>
      </c>
      <c r="F10264">
        <v>4.44384112825239E-9</v>
      </c>
      <c r="G10264">
        <v>78768001</v>
      </c>
      <c r="H10264">
        <v>10343960</v>
      </c>
      <c r="I10264">
        <v>57503955</v>
      </c>
      <c r="J10264">
        <v>5</v>
      </c>
    </row>
    <row r="10265" spans="1:10" x14ac:dyDescent="0.25">
      <c r="A10265" t="s">
        <v>108</v>
      </c>
      <c r="B10265" s="1" t="str">
        <f>HYPERLINK("http://tjjjx.com","tjjjx.com")</f>
        <v>tjjjx.com</v>
      </c>
      <c r="C10265" t="s">
        <v>433</v>
      </c>
      <c r="F10265">
        <v>1.71960147433458E-8</v>
      </c>
      <c r="G10265">
        <v>3226538</v>
      </c>
      <c r="H10265">
        <v>10735220</v>
      </c>
      <c r="I10265">
        <v>40653323</v>
      </c>
      <c r="J10265">
        <v>8</v>
      </c>
    </row>
    <row r="10266" spans="1:10" x14ac:dyDescent="0.25">
      <c r="A10266" t="s">
        <v>108</v>
      </c>
      <c r="B10266" s="1" t="str">
        <f>HYPERLINK("http://ulta.com","ulta.com")</f>
        <v>ulta.com</v>
      </c>
      <c r="C10266" t="s">
        <v>433</v>
      </c>
      <c r="E10266">
        <v>4018</v>
      </c>
      <c r="F10266">
        <v>3.5059414254051299E-6</v>
      </c>
      <c r="G10266">
        <v>11651</v>
      </c>
      <c r="H10266">
        <v>17642862</v>
      </c>
      <c r="I10266">
        <v>8545</v>
      </c>
      <c r="J10266">
        <v>6</v>
      </c>
    </row>
    <row r="10267" spans="1:10" x14ac:dyDescent="0.25">
      <c r="A10267" t="s">
        <v>108</v>
      </c>
      <c r="B10267" s="1" t="str">
        <f>HYPERLINK("http://veuve-clicquot.com","veuve-clicquot.com")</f>
        <v>veuve-clicquot.com</v>
      </c>
      <c r="C10267" t="s">
        <v>433</v>
      </c>
      <c r="E10267">
        <v>305557</v>
      </c>
      <c r="F10267">
        <v>1.4692648565264999E-7</v>
      </c>
      <c r="G10267">
        <v>264987</v>
      </c>
      <c r="H10267">
        <v>15029997</v>
      </c>
      <c r="I10267">
        <v>418658</v>
      </c>
      <c r="J10267">
        <v>5</v>
      </c>
    </row>
    <row r="10268" spans="1:10" x14ac:dyDescent="0.25">
      <c r="A10268" t="s">
        <v>108</v>
      </c>
      <c r="B10268" s="1" t="str">
        <f>HYPERLINK("http://vitkac.com","vitkac.com")</f>
        <v>vitkac.com</v>
      </c>
      <c r="C10268" t="s">
        <v>433</v>
      </c>
      <c r="E10268">
        <v>61744</v>
      </c>
      <c r="F10268">
        <v>8.2067044165995194E-8</v>
      </c>
      <c r="G10268">
        <v>508462</v>
      </c>
      <c r="H10268">
        <v>15509611</v>
      </c>
      <c r="I10268">
        <v>376423</v>
      </c>
      <c r="J10268">
        <v>5</v>
      </c>
    </row>
    <row r="10269" spans="1:10" x14ac:dyDescent="0.25">
      <c r="A10269" t="s">
        <v>108</v>
      </c>
      <c r="B10269" s="1" t="str">
        <f>HYPERLINK("http://vuitton.com","vuitton.com")</f>
        <v>vuitton.com</v>
      </c>
      <c r="C10269" t="s">
        <v>433</v>
      </c>
      <c r="E10269">
        <v>222477</v>
      </c>
      <c r="F10269">
        <v>5.9658473589860403E-8</v>
      </c>
      <c r="G10269">
        <v>740677</v>
      </c>
      <c r="H10269">
        <v>14554523</v>
      </c>
      <c r="I10269">
        <v>753791</v>
      </c>
      <c r="J10269">
        <v>3</v>
      </c>
    </row>
    <row r="10270" spans="1:10" x14ac:dyDescent="0.25">
      <c r="A10270" t="s">
        <v>108</v>
      </c>
      <c r="B10270" s="1" t="str">
        <f>HYPERLINK("http://wansquare.com","wansquare.com")</f>
        <v>wansquare.com</v>
      </c>
      <c r="C10270" t="s">
        <v>433</v>
      </c>
      <c r="F10270">
        <v>5.0213816346040398E-8</v>
      </c>
      <c r="G10270">
        <v>916292</v>
      </c>
      <c r="H10270">
        <v>14267070</v>
      </c>
      <c r="I10270">
        <v>1405896</v>
      </c>
      <c r="J10270">
        <v>3</v>
      </c>
    </row>
    <row r="10271" spans="1:10" x14ac:dyDescent="0.25">
      <c r="A10271" t="s">
        <v>108</v>
      </c>
      <c r="B10271" s="1" t="str">
        <f>HYPERLINK("http://woodinvillewhiskeyco.com","woodinvillewhiskeyco.com")</f>
        <v>woodinvillewhiskeyco.com</v>
      </c>
      <c r="C10271" t="s">
        <v>433</v>
      </c>
      <c r="F10271">
        <v>6.6021044215006906E-8</v>
      </c>
      <c r="G10271">
        <v>650090</v>
      </c>
      <c r="H10271">
        <v>14357520</v>
      </c>
      <c r="I10271">
        <v>1305755</v>
      </c>
      <c r="J10271">
        <v>3</v>
      </c>
    </row>
    <row r="10272" spans="1:10" x14ac:dyDescent="0.25">
      <c r="A10272" t="s">
        <v>108</v>
      </c>
      <c r="B10272" s="1" t="str">
        <f>HYPERLINK("http://zenith-watches.com","zenith-watches.com")</f>
        <v>zenith-watches.com</v>
      </c>
      <c r="C10272" t="s">
        <v>433</v>
      </c>
      <c r="E10272">
        <v>124035</v>
      </c>
      <c r="F10272">
        <v>4.9546020332232495E-7</v>
      </c>
      <c r="G10272">
        <v>77065</v>
      </c>
      <c r="H10272">
        <v>15030440</v>
      </c>
      <c r="I10272">
        <v>418560</v>
      </c>
      <c r="J10272">
        <v>5</v>
      </c>
    </row>
    <row r="10273" spans="1:10" x14ac:dyDescent="0.25">
      <c r="A10273" t="s">
        <v>108</v>
      </c>
      <c r="B10273" s="1" t="str">
        <f>HYPERLINK("http://sephora.cz","sephora.cz")</f>
        <v>sephora.cz</v>
      </c>
      <c r="C10273" t="s">
        <v>435</v>
      </c>
      <c r="D10273" t="s">
        <v>814</v>
      </c>
      <c r="E10273">
        <v>428618</v>
      </c>
      <c r="F10273">
        <v>5.9778379617610705E-8</v>
      </c>
      <c r="G10273">
        <v>739001</v>
      </c>
      <c r="H10273">
        <v>14242183</v>
      </c>
      <c r="I10273">
        <v>1486122</v>
      </c>
      <c r="J10273">
        <v>4</v>
      </c>
    </row>
    <row r="10274" spans="1:10" x14ac:dyDescent="0.25">
      <c r="A10274" t="s">
        <v>108</v>
      </c>
      <c r="B10274" s="1" t="str">
        <f>HYPERLINK("http://intranet-mhde.de","intranet-mhde.de")</f>
        <v>intranet-mhde.de</v>
      </c>
      <c r="C10274" t="s">
        <v>436</v>
      </c>
      <c r="D10274" t="s">
        <v>815</v>
      </c>
      <c r="J10274">
        <v>4</v>
      </c>
    </row>
    <row r="10275" spans="1:10" x14ac:dyDescent="0.25">
      <c r="A10275" t="s">
        <v>108</v>
      </c>
      <c r="B10275" s="1" t="str">
        <f>HYPERLINK("http://louisvuitton.de","louisvuitton.de")</f>
        <v>louisvuitton.de</v>
      </c>
      <c r="C10275" t="s">
        <v>436</v>
      </c>
      <c r="D10275" t="s">
        <v>815</v>
      </c>
      <c r="F10275">
        <v>3.5933198363997399E-8</v>
      </c>
      <c r="G10275">
        <v>1449915</v>
      </c>
      <c r="H10275">
        <v>14125629</v>
      </c>
      <c r="I10275">
        <v>2115718</v>
      </c>
      <c r="J10275">
        <v>3</v>
      </c>
    </row>
    <row r="10276" spans="1:10" x14ac:dyDescent="0.25">
      <c r="A10276" t="s">
        <v>108</v>
      </c>
      <c r="B10276" s="1" t="str">
        <f>HYPERLINK("http://moet-hennessy.de","moet-hennessy.de")</f>
        <v>moet-hennessy.de</v>
      </c>
      <c r="C10276" t="s">
        <v>436</v>
      </c>
      <c r="D10276" t="s">
        <v>815</v>
      </c>
      <c r="F10276">
        <v>2.47649138539378E-8</v>
      </c>
      <c r="G10276">
        <v>2088535</v>
      </c>
      <c r="H10276">
        <v>13770219</v>
      </c>
      <c r="I10276">
        <v>6739118</v>
      </c>
      <c r="J10276">
        <v>5</v>
      </c>
    </row>
    <row r="10277" spans="1:10" x14ac:dyDescent="0.25">
      <c r="A10277" t="s">
        <v>108</v>
      </c>
      <c r="B10277" s="1" t="str">
        <f>HYPERLINK("http://sephora.de","sephora.de")</f>
        <v>sephora.de</v>
      </c>
      <c r="C10277" t="s">
        <v>436</v>
      </c>
      <c r="D10277" t="s">
        <v>815</v>
      </c>
      <c r="E10277">
        <v>35016</v>
      </c>
      <c r="F10277">
        <v>9.3453194323834604E-8</v>
      </c>
      <c r="G10277">
        <v>434970</v>
      </c>
      <c r="H10277">
        <v>14701222</v>
      </c>
      <c r="I10277">
        <v>591492</v>
      </c>
      <c r="J10277">
        <v>4</v>
      </c>
    </row>
    <row r="10278" spans="1:10" x14ac:dyDescent="0.25">
      <c r="A10278" t="s">
        <v>108</v>
      </c>
      <c r="B10278" s="1" t="str">
        <f>HYPERLINK("http://tiffany.de","tiffany.de")</f>
        <v>tiffany.de</v>
      </c>
      <c r="C10278" t="s">
        <v>436</v>
      </c>
      <c r="D10278" t="s">
        <v>815</v>
      </c>
      <c r="E10278">
        <v>633370</v>
      </c>
      <c r="F10278">
        <v>9.4940104138977005E-8</v>
      </c>
      <c r="G10278">
        <v>427054</v>
      </c>
      <c r="H10278">
        <v>14310176</v>
      </c>
      <c r="I10278">
        <v>1342670</v>
      </c>
      <c r="J10278">
        <v>4</v>
      </c>
    </row>
    <row r="10279" spans="1:10" x14ac:dyDescent="0.25">
      <c r="A10279" t="s">
        <v>108</v>
      </c>
      <c r="B10279" s="1" t="str">
        <f>HYPERLINK("http://louisvuitton.dk","louisvuitton.dk")</f>
        <v>louisvuitton.dk</v>
      </c>
      <c r="C10279" t="s">
        <v>437</v>
      </c>
      <c r="D10279" t="s">
        <v>816</v>
      </c>
      <c r="F10279">
        <v>3.0580640846429799E-8</v>
      </c>
      <c r="G10279">
        <v>1684077</v>
      </c>
      <c r="H10279">
        <v>12480838</v>
      </c>
      <c r="I10279">
        <v>17590859</v>
      </c>
      <c r="J10279">
        <v>3</v>
      </c>
    </row>
    <row r="10280" spans="1:10" x14ac:dyDescent="0.25">
      <c r="A10280" t="s">
        <v>108</v>
      </c>
      <c r="B10280" s="1" t="str">
        <f>HYPERLINK("http://sephora.dk","sephora.dk")</f>
        <v>sephora.dk</v>
      </c>
      <c r="C10280" t="s">
        <v>437</v>
      </c>
      <c r="D10280" t="s">
        <v>816</v>
      </c>
      <c r="E10280">
        <v>364244</v>
      </c>
      <c r="F10280">
        <v>6.2402847866742802E-8</v>
      </c>
      <c r="G10280">
        <v>703448</v>
      </c>
      <c r="H10280">
        <v>13769836</v>
      </c>
      <c r="I10280">
        <v>6760196</v>
      </c>
      <c r="J10280">
        <v>3</v>
      </c>
    </row>
    <row r="10281" spans="1:10" x14ac:dyDescent="0.25">
      <c r="A10281" t="s">
        <v>108</v>
      </c>
      <c r="B10281" s="1" t="str">
        <f>HYPERLINK("http://loewe.es","loewe.es")</f>
        <v>loewe.es</v>
      </c>
      <c r="C10281" t="s">
        <v>443</v>
      </c>
      <c r="D10281" t="s">
        <v>822</v>
      </c>
      <c r="F10281">
        <v>6.5956955528784302E-9</v>
      </c>
      <c r="G10281">
        <v>13693460</v>
      </c>
      <c r="H10281">
        <v>12763018</v>
      </c>
      <c r="I10281">
        <v>14934296</v>
      </c>
      <c r="J10281">
        <v>4</v>
      </c>
    </row>
    <row r="10282" spans="1:10" x14ac:dyDescent="0.25">
      <c r="A10282" t="s">
        <v>108</v>
      </c>
      <c r="B10282" s="1" t="str">
        <f>HYPERLINK("http://louisvuitton.es","louisvuitton.es")</f>
        <v>louisvuitton.es</v>
      </c>
      <c r="C10282" t="s">
        <v>443</v>
      </c>
      <c r="D10282" t="s">
        <v>822</v>
      </c>
      <c r="F10282">
        <v>3.8018955359333399E-8</v>
      </c>
      <c r="G10282">
        <v>1361224</v>
      </c>
      <c r="H10282">
        <v>14498083</v>
      </c>
      <c r="I10282">
        <v>863116</v>
      </c>
      <c r="J10282">
        <v>3</v>
      </c>
    </row>
    <row r="10283" spans="1:10" x14ac:dyDescent="0.25">
      <c r="A10283" t="s">
        <v>108</v>
      </c>
      <c r="B10283" s="1" t="str">
        <f>HYPERLINK("http://sephora.es","sephora.es")</f>
        <v>sephora.es</v>
      </c>
      <c r="C10283" t="s">
        <v>443</v>
      </c>
      <c r="D10283" t="s">
        <v>822</v>
      </c>
      <c r="E10283">
        <v>135451</v>
      </c>
      <c r="F10283">
        <v>1.7550505835082499E-7</v>
      </c>
      <c r="G10283">
        <v>220951</v>
      </c>
      <c r="H10283">
        <v>14766070</v>
      </c>
      <c r="I10283">
        <v>558993</v>
      </c>
      <c r="J10283">
        <v>4</v>
      </c>
    </row>
    <row r="10284" spans="1:10" x14ac:dyDescent="0.25">
      <c r="A10284" t="s">
        <v>108</v>
      </c>
      <c r="B10284" s="1" t="str">
        <f>HYPERLINK("http://tiffany.es","tiffany.es")</f>
        <v>tiffany.es</v>
      </c>
      <c r="C10284" t="s">
        <v>443</v>
      </c>
      <c r="D10284" t="s">
        <v>822</v>
      </c>
      <c r="F10284">
        <v>7.7420306158621305E-8</v>
      </c>
      <c r="G10284">
        <v>540692</v>
      </c>
      <c r="H10284">
        <v>14555435</v>
      </c>
      <c r="I10284">
        <v>752512</v>
      </c>
      <c r="J10284">
        <v>4</v>
      </c>
    </row>
    <row r="10285" spans="1:10" x14ac:dyDescent="0.25">
      <c r="A10285" t="s">
        <v>108</v>
      </c>
      <c r="B10285" s="1" t="str">
        <f>HYPERLINK("http://louisvuitton.eu","louisvuitton.eu")</f>
        <v>louisvuitton.eu</v>
      </c>
      <c r="C10285" t="s">
        <v>444</v>
      </c>
      <c r="F10285">
        <v>4.3364161959663301E-8</v>
      </c>
      <c r="G10285">
        <v>1104491</v>
      </c>
      <c r="H10285">
        <v>14194718</v>
      </c>
      <c r="I10285">
        <v>1739318</v>
      </c>
      <c r="J10285">
        <v>3</v>
      </c>
    </row>
    <row r="10286" spans="1:10" x14ac:dyDescent="0.25">
      <c r="A10286" t="s">
        <v>108</v>
      </c>
      <c r="B10286" s="1" t="str">
        <f>HYPERLINK("http://dior.fi","dior.fi")</f>
        <v>dior.fi</v>
      </c>
      <c r="C10286" t="s">
        <v>445</v>
      </c>
      <c r="D10286" t="s">
        <v>823</v>
      </c>
      <c r="J10286">
        <v>6</v>
      </c>
    </row>
    <row r="10287" spans="1:10" x14ac:dyDescent="0.25">
      <c r="A10287" t="s">
        <v>108</v>
      </c>
      <c r="B10287" s="1" t="str">
        <f>HYPERLINK("http://diorbeauty.fi","diorbeauty.fi")</f>
        <v>diorbeauty.fi</v>
      </c>
      <c r="C10287" t="s">
        <v>445</v>
      </c>
      <c r="D10287" t="s">
        <v>823</v>
      </c>
      <c r="J10287">
        <v>6</v>
      </c>
    </row>
    <row r="10288" spans="1:10" x14ac:dyDescent="0.25">
      <c r="A10288" t="s">
        <v>108</v>
      </c>
      <c r="B10288" s="1" t="str">
        <f>HYPERLINK("http://fendi.fi","fendi.fi")</f>
        <v>fendi.fi</v>
      </c>
      <c r="C10288" t="s">
        <v>445</v>
      </c>
      <c r="D10288" t="s">
        <v>823</v>
      </c>
      <c r="J10288">
        <v>4</v>
      </c>
    </row>
    <row r="10289" spans="1:10" x14ac:dyDescent="0.25">
      <c r="A10289" t="s">
        <v>108</v>
      </c>
      <c r="B10289" s="1" t="str">
        <f>HYPERLINK("http://galoupet.fi","galoupet.fi")</f>
        <v>galoupet.fi</v>
      </c>
      <c r="C10289" t="s">
        <v>445</v>
      </c>
      <c r="D10289" t="s">
        <v>823</v>
      </c>
      <c r="J10289">
        <v>4</v>
      </c>
    </row>
    <row r="10290" spans="1:10" x14ac:dyDescent="0.25">
      <c r="A10290" t="s">
        <v>108</v>
      </c>
      <c r="B10290" s="1" t="str">
        <f>HYPERLINK("http://guerlain.fi","guerlain.fi")</f>
        <v>guerlain.fi</v>
      </c>
      <c r="C10290" t="s">
        <v>445</v>
      </c>
      <c r="D10290" t="s">
        <v>823</v>
      </c>
      <c r="J10290">
        <v>4</v>
      </c>
    </row>
    <row r="10291" spans="1:10" x14ac:dyDescent="0.25">
      <c r="A10291" t="s">
        <v>108</v>
      </c>
      <c r="B10291" s="1" t="str">
        <f>HYPERLINK("http://louis-vuitton.fi","louis-vuitton.fi")</f>
        <v>louis-vuitton.fi</v>
      </c>
      <c r="C10291" t="s">
        <v>445</v>
      </c>
      <c r="D10291" t="s">
        <v>823</v>
      </c>
      <c r="J10291">
        <v>2</v>
      </c>
    </row>
    <row r="10292" spans="1:10" x14ac:dyDescent="0.25">
      <c r="A10292" t="s">
        <v>108</v>
      </c>
      <c r="B10292" s="1" t="str">
        <f>HYPERLINK("http://louisvuitton.fi","louisvuitton.fi")</f>
        <v>louisvuitton.fi</v>
      </c>
      <c r="C10292" t="s">
        <v>445</v>
      </c>
      <c r="D10292" t="s">
        <v>823</v>
      </c>
      <c r="F10292">
        <v>3.0580640846429799E-8</v>
      </c>
      <c r="G10292">
        <v>1684078</v>
      </c>
      <c r="H10292">
        <v>12480838</v>
      </c>
      <c r="I10292">
        <v>17590860</v>
      </c>
      <c r="J10292">
        <v>2</v>
      </c>
    </row>
    <row r="10293" spans="1:10" x14ac:dyDescent="0.25">
      <c r="A10293" t="s">
        <v>108</v>
      </c>
      <c r="B10293" s="1" t="str">
        <f>HYPERLINK("http://marcjacobs.fi","marcjacobs.fi")</f>
        <v>marcjacobs.fi</v>
      </c>
      <c r="C10293" t="s">
        <v>445</v>
      </c>
      <c r="D10293" t="s">
        <v>823</v>
      </c>
      <c r="J10293">
        <v>9</v>
      </c>
    </row>
    <row r="10294" spans="1:10" x14ac:dyDescent="0.25">
      <c r="A10294" t="s">
        <v>108</v>
      </c>
      <c r="B10294" s="1" t="str">
        <f>HYPERLINK("http://moet-hennessy.fi","moet-hennessy.fi")</f>
        <v>moet-hennessy.fi</v>
      </c>
      <c r="C10294" t="s">
        <v>445</v>
      </c>
      <c r="D10294" t="s">
        <v>823</v>
      </c>
      <c r="J10294">
        <v>4</v>
      </c>
    </row>
    <row r="10295" spans="1:10" x14ac:dyDescent="0.25">
      <c r="A10295" t="s">
        <v>108</v>
      </c>
      <c r="B10295" s="1" t="str">
        <f>HYPERLINK("http://rimowa.fi","rimowa.fi")</f>
        <v>rimowa.fi</v>
      </c>
      <c r="C10295" t="s">
        <v>445</v>
      </c>
      <c r="D10295" t="s">
        <v>823</v>
      </c>
      <c r="J10295">
        <v>2</v>
      </c>
    </row>
    <row r="10296" spans="1:10" x14ac:dyDescent="0.25">
      <c r="A10296" t="s">
        <v>108</v>
      </c>
      <c r="B10296" s="1" t="str">
        <f>HYPERLINK("http://ruinart.fi","ruinart.fi")</f>
        <v>ruinart.fi</v>
      </c>
      <c r="C10296" t="s">
        <v>445</v>
      </c>
      <c r="D10296" t="s">
        <v>823</v>
      </c>
      <c r="J10296">
        <v>2</v>
      </c>
    </row>
    <row r="10297" spans="1:10" x14ac:dyDescent="0.25">
      <c r="A10297" t="s">
        <v>108</v>
      </c>
      <c r="B10297" s="1" t="str">
        <f>HYPERLINK("http://stellamccartney.fi","stellamccartney.fi")</f>
        <v>stellamccartney.fi</v>
      </c>
      <c r="C10297" t="s">
        <v>445</v>
      </c>
      <c r="D10297" t="s">
        <v>823</v>
      </c>
      <c r="J10297">
        <v>7</v>
      </c>
    </row>
    <row r="10298" spans="1:10" x14ac:dyDescent="0.25">
      <c r="A10298" t="s">
        <v>108</v>
      </c>
      <c r="B10298" s="1" t="str">
        <f>HYPERLINK("http://vuitton.fi","vuitton.fi")</f>
        <v>vuitton.fi</v>
      </c>
      <c r="C10298" t="s">
        <v>445</v>
      </c>
      <c r="D10298" t="s">
        <v>823</v>
      </c>
      <c r="J10298">
        <v>2</v>
      </c>
    </row>
    <row r="10299" spans="1:10" x14ac:dyDescent="0.25">
      <c r="A10299" t="s">
        <v>108</v>
      </c>
      <c r="B10299" s="1" t="str">
        <f>HYPERLINK("http://celine.fr","celine.fr")</f>
        <v>celine.fr</v>
      </c>
      <c r="C10299" t="s">
        <v>446</v>
      </c>
      <c r="D10299" t="s">
        <v>824</v>
      </c>
      <c r="F10299">
        <v>5.9513939583680896E-9</v>
      </c>
      <c r="G10299">
        <v>17013891</v>
      </c>
      <c r="H10299">
        <v>13779839</v>
      </c>
      <c r="I10299">
        <v>6481685</v>
      </c>
      <c r="J10299">
        <v>4</v>
      </c>
    </row>
    <row r="10300" spans="1:10" x14ac:dyDescent="0.25">
      <c r="A10300" t="s">
        <v>108</v>
      </c>
      <c r="B10300" s="1" t="str">
        <f>HYPERLINK("http://chaumet.fr","chaumet.fr")</f>
        <v>chaumet.fr</v>
      </c>
      <c r="C10300" t="s">
        <v>446</v>
      </c>
      <c r="D10300" t="s">
        <v>824</v>
      </c>
      <c r="F10300">
        <v>1.6614038503280998E-8</v>
      </c>
      <c r="G10300">
        <v>3386007</v>
      </c>
      <c r="H10300">
        <v>13213901</v>
      </c>
      <c r="I10300">
        <v>11380002</v>
      </c>
      <c r="J10300">
        <v>6</v>
      </c>
    </row>
    <row r="10301" spans="1:10" x14ac:dyDescent="0.25">
      <c r="A10301" t="s">
        <v>108</v>
      </c>
      <c r="B10301" s="1" t="str">
        <f>HYPERLINK("http://dior.fr","dior.fr")</f>
        <v>dior.fr</v>
      </c>
      <c r="C10301" t="s">
        <v>446</v>
      </c>
      <c r="D10301" t="s">
        <v>824</v>
      </c>
      <c r="F10301">
        <v>5.8724382452019201E-9</v>
      </c>
      <c r="G10301">
        <v>17551200</v>
      </c>
      <c r="H10301">
        <v>13764965</v>
      </c>
      <c r="I10301">
        <v>7165000</v>
      </c>
      <c r="J10301">
        <v>4</v>
      </c>
    </row>
    <row r="10302" spans="1:10" x14ac:dyDescent="0.25">
      <c r="A10302" t="s">
        <v>108</v>
      </c>
      <c r="B10302" s="1" t="str">
        <f>HYPERLINK("http://hennessy.fr","hennessy.fr")</f>
        <v>hennessy.fr</v>
      </c>
      <c r="C10302" t="s">
        <v>446</v>
      </c>
      <c r="D10302" t="s">
        <v>824</v>
      </c>
      <c r="F10302">
        <v>1.12313774049929E-8</v>
      </c>
      <c r="G10302">
        <v>5691195</v>
      </c>
      <c r="H10302">
        <v>12562695</v>
      </c>
      <c r="I10302">
        <v>16687925</v>
      </c>
      <c r="J10302">
        <v>6</v>
      </c>
    </row>
    <row r="10303" spans="1:10" x14ac:dyDescent="0.25">
      <c r="A10303" t="s">
        <v>108</v>
      </c>
      <c r="B10303" s="1" t="str">
        <f>HYPERLINK("http://leparisien.fr","leparisien.fr")</f>
        <v>leparisien.fr</v>
      </c>
      <c r="C10303" t="s">
        <v>446</v>
      </c>
      <c r="D10303" t="s">
        <v>824</v>
      </c>
      <c r="E10303">
        <v>3493</v>
      </c>
      <c r="F10303">
        <v>9.6495480246883399E-6</v>
      </c>
      <c r="G10303">
        <v>3500</v>
      </c>
      <c r="H10303">
        <v>18148378</v>
      </c>
      <c r="I10303">
        <v>2924</v>
      </c>
      <c r="J10303">
        <v>5</v>
      </c>
    </row>
    <row r="10304" spans="1:10" x14ac:dyDescent="0.25">
      <c r="A10304" t="s">
        <v>108</v>
      </c>
      <c r="B10304" s="1" t="str">
        <f>HYPERLINK("http://lesechos.fr","lesechos.fr")</f>
        <v>lesechos.fr</v>
      </c>
      <c r="C10304" t="s">
        <v>446</v>
      </c>
      <c r="D10304" t="s">
        <v>824</v>
      </c>
      <c r="E10304">
        <v>5689</v>
      </c>
      <c r="F10304">
        <v>1.27051538327529E-5</v>
      </c>
      <c r="G10304">
        <v>2737</v>
      </c>
      <c r="H10304">
        <v>18415188</v>
      </c>
      <c r="I10304">
        <v>1922</v>
      </c>
      <c r="J10304">
        <v>3</v>
      </c>
    </row>
    <row r="10305" spans="1:10" x14ac:dyDescent="0.25">
      <c r="A10305" t="s">
        <v>108</v>
      </c>
      <c r="B10305" s="1" t="str">
        <f>HYPERLINK("http://louisvuitton.fr","louisvuitton.fr")</f>
        <v>louisvuitton.fr</v>
      </c>
      <c r="C10305" t="s">
        <v>446</v>
      </c>
      <c r="D10305" t="s">
        <v>824</v>
      </c>
      <c r="F10305">
        <v>6.98611779760797E-8</v>
      </c>
      <c r="G10305">
        <v>606744</v>
      </c>
      <c r="H10305">
        <v>17040988</v>
      </c>
      <c r="I10305">
        <v>79149</v>
      </c>
      <c r="J10305">
        <v>4</v>
      </c>
    </row>
    <row r="10306" spans="1:10" x14ac:dyDescent="0.25">
      <c r="A10306" t="s">
        <v>108</v>
      </c>
      <c r="B10306" s="1" t="str">
        <f>HYPERLINK("http://lvmh.fr","lvmh.fr")</f>
        <v>lvmh.fr</v>
      </c>
      <c r="C10306" t="s">
        <v>446</v>
      </c>
      <c r="D10306" t="s">
        <v>824</v>
      </c>
      <c r="E10306">
        <v>167681</v>
      </c>
      <c r="F10306">
        <v>5.8866850498071398E-7</v>
      </c>
      <c r="G10306">
        <v>64974</v>
      </c>
      <c r="H10306">
        <v>15073226</v>
      </c>
      <c r="I10306">
        <v>410648</v>
      </c>
      <c r="J10306">
        <v>3</v>
      </c>
    </row>
    <row r="10307" spans="1:10" x14ac:dyDescent="0.25">
      <c r="A10307" t="s">
        <v>108</v>
      </c>
      <c r="B10307" s="1" t="str">
        <f>HYPERLINK("http://makeupforever.fr","makeupforever.fr")</f>
        <v>makeupforever.fr</v>
      </c>
      <c r="C10307" t="s">
        <v>446</v>
      </c>
      <c r="D10307" t="s">
        <v>824</v>
      </c>
      <c r="F10307">
        <v>1.39815462159661E-8</v>
      </c>
      <c r="G10307">
        <v>4209677</v>
      </c>
      <c r="H10307">
        <v>14134075</v>
      </c>
      <c r="I10307">
        <v>1982467</v>
      </c>
      <c r="J10307">
        <v>6</v>
      </c>
    </row>
    <row r="10308" spans="1:10" x14ac:dyDescent="0.25">
      <c r="A10308" t="s">
        <v>108</v>
      </c>
      <c r="B10308" s="1" t="str">
        <f>HYPERLINK("http://oteline.fr","oteline.fr")</f>
        <v>oteline.fr</v>
      </c>
      <c r="C10308" t="s">
        <v>446</v>
      </c>
      <c r="D10308" t="s">
        <v>824</v>
      </c>
      <c r="F10308">
        <v>6.7063312170451603E-9</v>
      </c>
      <c r="G10308">
        <v>13280813</v>
      </c>
      <c r="H10308">
        <v>12364443</v>
      </c>
      <c r="I10308">
        <v>19508521</v>
      </c>
      <c r="J10308">
        <v>3</v>
      </c>
    </row>
    <row r="10309" spans="1:10" x14ac:dyDescent="0.25">
      <c r="A10309" t="s">
        <v>108</v>
      </c>
      <c r="B10309" s="1" t="str">
        <f>HYPERLINK("http://patou.fr","patou.fr")</f>
        <v>patou.fr</v>
      </c>
      <c r="C10309" t="s">
        <v>446</v>
      </c>
      <c r="D10309" t="s">
        <v>824</v>
      </c>
      <c r="F10309">
        <v>2.67813802136129E-8</v>
      </c>
      <c r="G10309">
        <v>1920895</v>
      </c>
      <c r="H10309">
        <v>13883765</v>
      </c>
      <c r="I10309">
        <v>5973672</v>
      </c>
      <c r="J10309">
        <v>6</v>
      </c>
    </row>
    <row r="10310" spans="1:10" x14ac:dyDescent="0.25">
      <c r="A10310" t="s">
        <v>108</v>
      </c>
      <c r="B10310" s="1" t="str">
        <f>HYPERLINK("http://radioclassique.fr","radioclassique.fr")</f>
        <v>radioclassique.fr</v>
      </c>
      <c r="C10310" t="s">
        <v>446</v>
      </c>
      <c r="D10310" t="s">
        <v>824</v>
      </c>
      <c r="E10310">
        <v>117596</v>
      </c>
      <c r="F10310">
        <v>5.7939082173894896E-7</v>
      </c>
      <c r="G10310">
        <v>65940</v>
      </c>
      <c r="H10310">
        <v>17163334</v>
      </c>
      <c r="I10310">
        <v>49205</v>
      </c>
      <c r="J10310">
        <v>3</v>
      </c>
    </row>
    <row r="10311" spans="1:10" x14ac:dyDescent="0.25">
      <c r="A10311" t="s">
        <v>108</v>
      </c>
      <c r="B10311" s="1" t="str">
        <f>HYPERLINK("http://repossi.fr","repossi.fr")</f>
        <v>repossi.fr</v>
      </c>
      <c r="C10311" t="s">
        <v>446</v>
      </c>
      <c r="D10311" t="s">
        <v>824</v>
      </c>
      <c r="F10311">
        <v>4.9627910203016996E-9</v>
      </c>
      <c r="G10311">
        <v>30433598</v>
      </c>
      <c r="H10311">
        <v>10756909</v>
      </c>
      <c r="I10311">
        <v>39749846</v>
      </c>
      <c r="J10311">
        <v>6</v>
      </c>
    </row>
    <row r="10312" spans="1:10" x14ac:dyDescent="0.25">
      <c r="A10312" t="s">
        <v>108</v>
      </c>
      <c r="B10312" s="1" t="str">
        <f>HYPERLINK("http://sephora.fr","sephora.fr")</f>
        <v>sephora.fr</v>
      </c>
      <c r="C10312" t="s">
        <v>446</v>
      </c>
      <c r="D10312" t="s">
        <v>824</v>
      </c>
      <c r="E10312">
        <v>27453</v>
      </c>
      <c r="F10312">
        <v>6.6674203076310596E-7</v>
      </c>
      <c r="G10312">
        <v>57767</v>
      </c>
      <c r="H10312">
        <v>17312720</v>
      </c>
      <c r="I10312">
        <v>26535</v>
      </c>
      <c r="J10312">
        <v>3</v>
      </c>
    </row>
    <row r="10313" spans="1:10" x14ac:dyDescent="0.25">
      <c r="A10313" t="s">
        <v>108</v>
      </c>
      <c r="B10313" s="1" t="str">
        <f>HYPERLINK("http://teamdiffusion-recrute.fr","teamdiffusion-recrute.fr")</f>
        <v>teamdiffusion-recrute.fr</v>
      </c>
      <c r="C10313" t="s">
        <v>446</v>
      </c>
      <c r="D10313" t="s">
        <v>824</v>
      </c>
      <c r="J10313">
        <v>3</v>
      </c>
    </row>
    <row r="10314" spans="1:10" x14ac:dyDescent="0.25">
      <c r="A10314" t="s">
        <v>108</v>
      </c>
      <c r="B10314" s="1" t="str">
        <f>HYPERLINK("http://tiffany.fr","tiffany.fr")</f>
        <v>tiffany.fr</v>
      </c>
      <c r="C10314" t="s">
        <v>446</v>
      </c>
      <c r="D10314" t="s">
        <v>824</v>
      </c>
      <c r="E10314">
        <v>983810</v>
      </c>
      <c r="F10314">
        <v>1.2260444356130999E-7</v>
      </c>
      <c r="G10314">
        <v>321980</v>
      </c>
      <c r="H10314">
        <v>14680314</v>
      </c>
      <c r="I10314">
        <v>608771</v>
      </c>
      <c r="J10314">
        <v>4</v>
      </c>
    </row>
    <row r="10315" spans="1:10" x14ac:dyDescent="0.25">
      <c r="A10315" t="s">
        <v>108</v>
      </c>
      <c r="B10315" s="1" t="str">
        <f>HYPERLINK("http://sephora.gr","sephora.gr")</f>
        <v>sephora.gr</v>
      </c>
      <c r="C10315" t="s">
        <v>447</v>
      </c>
      <c r="D10315" t="s">
        <v>825</v>
      </c>
      <c r="E10315">
        <v>384847</v>
      </c>
      <c r="F10315">
        <v>6.2111687022931998E-8</v>
      </c>
      <c r="G10315">
        <v>707774</v>
      </c>
      <c r="H10315">
        <v>14911467</v>
      </c>
      <c r="I10315">
        <v>457064</v>
      </c>
      <c r="J10315">
        <v>4</v>
      </c>
    </row>
    <row r="10316" spans="1:10" x14ac:dyDescent="0.25">
      <c r="A10316" t="s">
        <v>108</v>
      </c>
      <c r="B10316" s="1" t="str">
        <f>HYPERLINK("http://buly1803.hk","buly1803.hk")</f>
        <v>buly1803.hk</v>
      </c>
      <c r="C10316" t="s">
        <v>450</v>
      </c>
      <c r="D10316" t="s">
        <v>827</v>
      </c>
      <c r="F10316">
        <v>8.3072289483031802E-9</v>
      </c>
      <c r="G10316">
        <v>9240681</v>
      </c>
      <c r="H10316">
        <v>10833217</v>
      </c>
      <c r="I10316">
        <v>37321506</v>
      </c>
      <c r="J10316">
        <v>8</v>
      </c>
    </row>
    <row r="10317" spans="1:10" x14ac:dyDescent="0.25">
      <c r="A10317" t="s">
        <v>108</v>
      </c>
      <c r="B10317" s="1" t="str">
        <f>HYPERLINK("http://tiffany.ie","tiffany.ie")</f>
        <v>tiffany.ie</v>
      </c>
      <c r="C10317" t="s">
        <v>455</v>
      </c>
      <c r="D10317" t="s">
        <v>832</v>
      </c>
      <c r="F10317">
        <v>5.9955877139281295E-8</v>
      </c>
      <c r="G10317">
        <v>736383</v>
      </c>
      <c r="H10317">
        <v>13783581</v>
      </c>
      <c r="I10317">
        <v>6423604</v>
      </c>
      <c r="J10317">
        <v>4</v>
      </c>
    </row>
    <row r="10318" spans="1:10" x14ac:dyDescent="0.25">
      <c r="A10318" t="s">
        <v>108</v>
      </c>
      <c r="B10318" s="1" t="str">
        <f>HYPERLINK("http://tiffany.co.in","tiffany.co.in")</f>
        <v>tiffany.co.in</v>
      </c>
      <c r="C10318" t="s">
        <v>457</v>
      </c>
      <c r="D10318" t="s">
        <v>834</v>
      </c>
      <c r="F10318">
        <v>7.7434827078615801E-8</v>
      </c>
      <c r="G10318">
        <v>540571</v>
      </c>
      <c r="H10318">
        <v>12835935</v>
      </c>
      <c r="I10318">
        <v>14377354</v>
      </c>
      <c r="J10318">
        <v>4</v>
      </c>
    </row>
    <row r="10319" spans="1:10" x14ac:dyDescent="0.25">
      <c r="A10319" t="s">
        <v>108</v>
      </c>
      <c r="B10319" s="1" t="str">
        <f>HYPERLINK("http://ichimoku-kinko-hyo.info","ichimoku-kinko-hyo.info")</f>
        <v>ichimoku-kinko-hyo.info</v>
      </c>
      <c r="C10319" t="s">
        <v>458</v>
      </c>
      <c r="F10319">
        <v>7.4845408508961697E-9</v>
      </c>
      <c r="G10319">
        <v>11047726</v>
      </c>
      <c r="H10319">
        <v>12968438</v>
      </c>
      <c r="I10319">
        <v>13061895</v>
      </c>
      <c r="J10319">
        <v>5</v>
      </c>
    </row>
    <row r="10320" spans="1:10" x14ac:dyDescent="0.25">
      <c r="A10320" t="s">
        <v>108</v>
      </c>
      <c r="B10320" s="1" t="str">
        <f>HYPERLINK("http://louisvuitton.it","louisvuitton.it")</f>
        <v>louisvuitton.it</v>
      </c>
      <c r="C10320" t="s">
        <v>459</v>
      </c>
      <c r="D10320" t="s">
        <v>835</v>
      </c>
      <c r="F10320">
        <v>3.3614048058290301E-8</v>
      </c>
      <c r="G10320">
        <v>1538511</v>
      </c>
      <c r="H10320">
        <v>14487719</v>
      </c>
      <c r="I10320">
        <v>943167</v>
      </c>
      <c r="J10320">
        <v>3</v>
      </c>
    </row>
    <row r="10321" spans="1:10" x14ac:dyDescent="0.25">
      <c r="A10321" t="s">
        <v>108</v>
      </c>
      <c r="B10321" s="1" t="str">
        <f>HYPERLINK("http://lvmh.it","lvmh.it")</f>
        <v>lvmh.it</v>
      </c>
      <c r="C10321" t="s">
        <v>459</v>
      </c>
      <c r="D10321" t="s">
        <v>835</v>
      </c>
      <c r="F10321">
        <v>8.3181025805159801E-8</v>
      </c>
      <c r="G10321">
        <v>501336</v>
      </c>
      <c r="H10321">
        <v>14085614</v>
      </c>
      <c r="I10321">
        <v>2776492</v>
      </c>
      <c r="J10321">
        <v>4</v>
      </c>
    </row>
    <row r="10322" spans="1:10" x14ac:dyDescent="0.25">
      <c r="A10322" t="s">
        <v>108</v>
      </c>
      <c r="B10322" s="1" t="str">
        <f>HYPERLINK("http://maglificiomatisse.it","maglificiomatisse.it")</f>
        <v>maglificiomatisse.it</v>
      </c>
      <c r="C10322" t="s">
        <v>459</v>
      </c>
      <c r="D10322" t="s">
        <v>835</v>
      </c>
      <c r="F10322">
        <v>6.9247480630748898E-9</v>
      </c>
      <c r="G10322">
        <v>12542549</v>
      </c>
      <c r="H10322">
        <v>12473234</v>
      </c>
      <c r="I10322">
        <v>17663859</v>
      </c>
      <c r="J10322">
        <v>3</v>
      </c>
    </row>
    <row r="10323" spans="1:10" x14ac:dyDescent="0.25">
      <c r="A10323" t="s">
        <v>108</v>
      </c>
      <c r="B10323" s="1" t="str">
        <f>HYPERLINK("http://sephora.it","sephora.it")</f>
        <v>sephora.it</v>
      </c>
      <c r="C10323" t="s">
        <v>459</v>
      </c>
      <c r="D10323" t="s">
        <v>835</v>
      </c>
      <c r="E10323">
        <v>114743</v>
      </c>
      <c r="F10323">
        <v>1.8967799273574201E-7</v>
      </c>
      <c r="G10323">
        <v>203145</v>
      </c>
      <c r="H10323">
        <v>14997061</v>
      </c>
      <c r="I10323">
        <v>426539</v>
      </c>
      <c r="J10323">
        <v>4</v>
      </c>
    </row>
    <row r="10324" spans="1:10" x14ac:dyDescent="0.25">
      <c r="A10324" t="s">
        <v>108</v>
      </c>
      <c r="B10324" s="1" t="str">
        <f>HYPERLINK("http://tiffany.it","tiffany.it")</f>
        <v>tiffany.it</v>
      </c>
      <c r="C10324" t="s">
        <v>459</v>
      </c>
      <c r="D10324" t="s">
        <v>835</v>
      </c>
      <c r="E10324">
        <v>631848</v>
      </c>
      <c r="F10324">
        <v>9.5945691497027904E-8</v>
      </c>
      <c r="G10324">
        <v>421866</v>
      </c>
      <c r="H10324">
        <v>14567425</v>
      </c>
      <c r="I10324">
        <v>738495</v>
      </c>
      <c r="J10324">
        <v>4</v>
      </c>
    </row>
    <row r="10325" spans="1:10" x14ac:dyDescent="0.25">
      <c r="A10325" t="s">
        <v>108</v>
      </c>
      <c r="B10325" s="1" t="str">
        <f>HYPERLINK("http://lvmh.co.jp","lvmh.co.jp")</f>
        <v>lvmh.co.jp</v>
      </c>
      <c r="C10325" t="s">
        <v>461</v>
      </c>
      <c r="D10325" t="s">
        <v>837</v>
      </c>
      <c r="F10325">
        <v>5.4796637630160899E-8</v>
      </c>
      <c r="G10325">
        <v>821656</v>
      </c>
      <c r="H10325">
        <v>14094416</v>
      </c>
      <c r="I10325">
        <v>2732299</v>
      </c>
      <c r="J10325">
        <v>4</v>
      </c>
    </row>
    <row r="10326" spans="1:10" x14ac:dyDescent="0.25">
      <c r="A10326" t="s">
        <v>108</v>
      </c>
      <c r="B10326" s="1" t="str">
        <f>HYPERLINK("http://tiffany.co.jp","tiffany.co.jp")</f>
        <v>tiffany.co.jp</v>
      </c>
      <c r="C10326" t="s">
        <v>461</v>
      </c>
      <c r="D10326" t="s">
        <v>837</v>
      </c>
      <c r="E10326">
        <v>174213</v>
      </c>
      <c r="F10326">
        <v>1.7756718886912101E-7</v>
      </c>
      <c r="G10326">
        <v>217771</v>
      </c>
      <c r="H10326">
        <v>14613525</v>
      </c>
      <c r="I10326">
        <v>674639</v>
      </c>
      <c r="J10326">
        <v>4</v>
      </c>
    </row>
    <row r="10327" spans="1:10" x14ac:dyDescent="0.25">
      <c r="A10327" t="s">
        <v>108</v>
      </c>
      <c r="B10327" s="1" t="str">
        <f>HYPERLINK("http://louisvuitton.jp","louisvuitton.jp")</f>
        <v>louisvuitton.jp</v>
      </c>
      <c r="C10327" t="s">
        <v>461</v>
      </c>
      <c r="D10327" t="s">
        <v>837</v>
      </c>
      <c r="F10327">
        <v>1.42607341943883E-8</v>
      </c>
      <c r="G10327">
        <v>4107277</v>
      </c>
      <c r="H10327">
        <v>14329481</v>
      </c>
      <c r="I10327">
        <v>1323935</v>
      </c>
      <c r="J10327">
        <v>3</v>
      </c>
    </row>
    <row r="10328" spans="1:10" x14ac:dyDescent="0.25">
      <c r="A10328" t="s">
        <v>108</v>
      </c>
      <c r="B10328" s="1" t="str">
        <f>HYPERLINK("http://makeupforever.jp","makeupforever.jp")</f>
        <v>makeupforever.jp</v>
      </c>
      <c r="C10328" t="s">
        <v>461</v>
      </c>
      <c r="D10328" t="s">
        <v>837</v>
      </c>
      <c r="F10328">
        <v>3.21506137073027E-8</v>
      </c>
      <c r="G10328">
        <v>1608587</v>
      </c>
      <c r="H10328">
        <v>13067703</v>
      </c>
      <c r="I10328">
        <v>12271248</v>
      </c>
      <c r="J10328">
        <v>6</v>
      </c>
    </row>
    <row r="10329" spans="1:10" x14ac:dyDescent="0.25">
      <c r="A10329" t="s">
        <v>108</v>
      </c>
      <c r="B10329" s="1" t="str">
        <f>HYPERLINK("http://repossi.jp","repossi.jp")</f>
        <v>repossi.jp</v>
      </c>
      <c r="C10329" t="s">
        <v>461</v>
      </c>
      <c r="D10329" t="s">
        <v>837</v>
      </c>
      <c r="F10329">
        <v>1.05457465557451E-8</v>
      </c>
      <c r="G10329">
        <v>6230535</v>
      </c>
      <c r="H10329">
        <v>12814768</v>
      </c>
      <c r="I10329">
        <v>14539149</v>
      </c>
      <c r="J10329">
        <v>6</v>
      </c>
    </row>
    <row r="10330" spans="1:10" x14ac:dyDescent="0.25">
      <c r="A10330" t="s">
        <v>108</v>
      </c>
      <c r="B10330" s="1" t="str">
        <f>HYPERLINK("http://dior.co.kr","dior.co.kr")</f>
        <v>dior.co.kr</v>
      </c>
      <c r="C10330" t="s">
        <v>463</v>
      </c>
      <c r="D10330" t="s">
        <v>839</v>
      </c>
      <c r="F10330">
        <v>2.87211550904257E-8</v>
      </c>
      <c r="G10330">
        <v>1791894</v>
      </c>
      <c r="H10330">
        <v>11655156</v>
      </c>
      <c r="I10330">
        <v>29879940</v>
      </c>
      <c r="J10330">
        <v>4</v>
      </c>
    </row>
    <row r="10331" spans="1:10" x14ac:dyDescent="0.25">
      <c r="A10331" t="s">
        <v>108</v>
      </c>
      <c r="B10331" s="1" t="str">
        <f>HYPERLINK("http://louisvuitton.kr","louisvuitton.kr")</f>
        <v>louisvuitton.kr</v>
      </c>
      <c r="C10331" t="s">
        <v>463</v>
      </c>
      <c r="D10331" t="s">
        <v>839</v>
      </c>
      <c r="F10331">
        <v>3.0734087679091202E-8</v>
      </c>
      <c r="G10331">
        <v>1676152</v>
      </c>
      <c r="H10331">
        <v>12510991</v>
      </c>
      <c r="I10331">
        <v>17236233</v>
      </c>
      <c r="J10331">
        <v>3</v>
      </c>
    </row>
    <row r="10332" spans="1:10" x14ac:dyDescent="0.25">
      <c r="A10332" t="s">
        <v>108</v>
      </c>
      <c r="B10332" s="1" t="str">
        <f>HYPERLINK("http://tiffany.kr","tiffany.kr")</f>
        <v>tiffany.kr</v>
      </c>
      <c r="C10332" t="s">
        <v>463</v>
      </c>
      <c r="D10332" t="s">
        <v>839</v>
      </c>
      <c r="E10332">
        <v>442934</v>
      </c>
      <c r="F10332">
        <v>6.1493495741369706E-8</v>
      </c>
      <c r="G10332">
        <v>715652</v>
      </c>
      <c r="H10332">
        <v>13032475</v>
      </c>
      <c r="I10332">
        <v>12661584</v>
      </c>
      <c r="J10332">
        <v>4</v>
      </c>
    </row>
    <row r="10333" spans="1:10" x14ac:dyDescent="0.25">
      <c r="A10333" t="s">
        <v>108</v>
      </c>
      <c r="B10333" s="1" t="str">
        <f>HYPERLINK("http://dior.com.kw","dior.com.kw")</f>
        <v>dior.com.kw</v>
      </c>
      <c r="C10333" t="s">
        <v>464</v>
      </c>
      <c r="D10333" t="s">
        <v>840</v>
      </c>
      <c r="F10333">
        <v>3.3353732937145602E-8</v>
      </c>
      <c r="G10333">
        <v>1549596</v>
      </c>
      <c r="H10333">
        <v>11632001</v>
      </c>
      <c r="I10333">
        <v>29897742</v>
      </c>
      <c r="J10333">
        <v>4</v>
      </c>
    </row>
    <row r="10334" spans="1:10" x14ac:dyDescent="0.25">
      <c r="A10334" t="s">
        <v>108</v>
      </c>
      <c r="B10334" s="1" t="str">
        <f>HYPERLINK("http://makeupforever.com.kw","makeupforever.com.kw")</f>
        <v>makeupforever.com.kw</v>
      </c>
      <c r="C10334" t="s">
        <v>464</v>
      </c>
      <c r="D10334" t="s">
        <v>840</v>
      </c>
      <c r="F10334">
        <v>8.2430575320416698E-9</v>
      </c>
      <c r="G10334">
        <v>9395927</v>
      </c>
      <c r="H10334">
        <v>11270783</v>
      </c>
      <c r="I10334">
        <v>30757177</v>
      </c>
      <c r="J10334">
        <v>6</v>
      </c>
    </row>
    <row r="10335" spans="1:10" x14ac:dyDescent="0.25">
      <c r="A10335" t="s">
        <v>108</v>
      </c>
      <c r="B10335" s="1" t="str">
        <f>HYPERLINK("http://sephora.com.kw","sephora.com.kw")</f>
        <v>sephora.com.kw</v>
      </c>
      <c r="C10335" t="s">
        <v>464</v>
      </c>
      <c r="D10335" t="s">
        <v>840</v>
      </c>
      <c r="E10335">
        <v>957334</v>
      </c>
      <c r="F10335">
        <v>3.2897243146623099E-8</v>
      </c>
      <c r="G10335">
        <v>1570571</v>
      </c>
      <c r="H10335">
        <v>12288637</v>
      </c>
      <c r="I10335">
        <v>21142720</v>
      </c>
      <c r="J10335">
        <v>4</v>
      </c>
    </row>
    <row r="10336" spans="1:10" x14ac:dyDescent="0.25">
      <c r="A10336" t="s">
        <v>108</v>
      </c>
      <c r="B10336" s="1" t="str">
        <f>HYPERLINK("http://louisvuitton.lu","louisvuitton.lu")</f>
        <v>louisvuitton.lu</v>
      </c>
      <c r="C10336" t="s">
        <v>547</v>
      </c>
      <c r="D10336" t="s">
        <v>904</v>
      </c>
      <c r="F10336">
        <v>3.0580640846429799E-8</v>
      </c>
      <c r="G10336">
        <v>1684080</v>
      </c>
      <c r="H10336">
        <v>12480838</v>
      </c>
      <c r="I10336">
        <v>17590863</v>
      </c>
      <c r="J10336">
        <v>3</v>
      </c>
    </row>
    <row r="10337" spans="1:10" x14ac:dyDescent="0.25">
      <c r="A10337" t="s">
        <v>108</v>
      </c>
      <c r="B10337" s="1" t="str">
        <f>HYPERLINK("http://dior.ma","dior.ma")</f>
        <v>dior.ma</v>
      </c>
      <c r="C10337" t="s">
        <v>469</v>
      </c>
      <c r="D10337" t="s">
        <v>845</v>
      </c>
      <c r="F10337">
        <v>3.3064631603965901E-8</v>
      </c>
      <c r="G10337">
        <v>1562571</v>
      </c>
      <c r="H10337">
        <v>11632006</v>
      </c>
      <c r="I10337">
        <v>29897740</v>
      </c>
      <c r="J10337">
        <v>4</v>
      </c>
    </row>
    <row r="10338" spans="1:10" x14ac:dyDescent="0.25">
      <c r="A10338" t="s">
        <v>108</v>
      </c>
      <c r="B10338" s="1" t="str">
        <f>HYPERLINK("http://cmasc.com.mx","cmasc.com.mx")</f>
        <v>cmasc.com.mx</v>
      </c>
      <c r="C10338" t="s">
        <v>471</v>
      </c>
      <c r="D10338" t="s">
        <v>847</v>
      </c>
      <c r="J10338">
        <v>4</v>
      </c>
    </row>
    <row r="10339" spans="1:10" x14ac:dyDescent="0.25">
      <c r="A10339" t="s">
        <v>108</v>
      </c>
      <c r="B10339" s="1" t="str">
        <f>HYPERLINK("http://lvhm.com.mx","lvhm.com.mx")</f>
        <v>lvhm.com.mx</v>
      </c>
      <c r="C10339" t="s">
        <v>471</v>
      </c>
      <c r="D10339" t="s">
        <v>847</v>
      </c>
      <c r="J10339">
        <v>5</v>
      </c>
    </row>
    <row r="10340" spans="1:10" x14ac:dyDescent="0.25">
      <c r="A10340" t="s">
        <v>108</v>
      </c>
      <c r="B10340" s="1" t="str">
        <f>HYPERLINK("http://lvmh.com.mx","lvmh.com.mx")</f>
        <v>lvmh.com.mx</v>
      </c>
      <c r="C10340" t="s">
        <v>471</v>
      </c>
      <c r="D10340" t="s">
        <v>847</v>
      </c>
      <c r="J10340">
        <v>5</v>
      </c>
    </row>
    <row r="10341" spans="1:10" x14ac:dyDescent="0.25">
      <c r="A10341" t="s">
        <v>108</v>
      </c>
      <c r="B10341" s="1" t="str">
        <f>HYPERLINK("http://sephora.com.mx","sephora.com.mx")</f>
        <v>sephora.com.mx</v>
      </c>
      <c r="C10341" t="s">
        <v>471</v>
      </c>
      <c r="D10341" t="s">
        <v>847</v>
      </c>
      <c r="E10341">
        <v>294785</v>
      </c>
      <c r="F10341">
        <v>3.7514422683077898E-8</v>
      </c>
      <c r="G10341">
        <v>1379541</v>
      </c>
      <c r="H10341">
        <v>13936992</v>
      </c>
      <c r="I10341">
        <v>4478457</v>
      </c>
      <c r="J10341">
        <v>4</v>
      </c>
    </row>
    <row r="10342" spans="1:10" x14ac:dyDescent="0.25">
      <c r="A10342" t="s">
        <v>108</v>
      </c>
      <c r="B10342" s="1" t="str">
        <f>HYPERLINK("http://tiffany.com.mx","tiffany.com.mx")</f>
        <v>tiffany.com.mx</v>
      </c>
      <c r="C10342" t="s">
        <v>471</v>
      </c>
      <c r="D10342" t="s">
        <v>847</v>
      </c>
      <c r="E10342">
        <v>567137</v>
      </c>
      <c r="F10342">
        <v>6.7398710482055305E-8</v>
      </c>
      <c r="G10342">
        <v>634061</v>
      </c>
      <c r="H10342">
        <v>13891808</v>
      </c>
      <c r="I10342">
        <v>5960623</v>
      </c>
      <c r="J10342">
        <v>4</v>
      </c>
    </row>
    <row r="10343" spans="1:10" x14ac:dyDescent="0.25">
      <c r="A10343" t="s">
        <v>108</v>
      </c>
      <c r="B10343" s="1" t="str">
        <f>HYPERLINK("http://dior.com.my","dior.com.my")</f>
        <v>dior.com.my</v>
      </c>
      <c r="C10343" t="s">
        <v>472</v>
      </c>
      <c r="D10343" t="s">
        <v>848</v>
      </c>
      <c r="F10343">
        <v>3.4867451790776399E-8</v>
      </c>
      <c r="G10343">
        <v>1489354</v>
      </c>
      <c r="H10343">
        <v>13610028</v>
      </c>
      <c r="I10343">
        <v>9636484</v>
      </c>
      <c r="J10343">
        <v>4</v>
      </c>
    </row>
    <row r="10344" spans="1:10" x14ac:dyDescent="0.25">
      <c r="A10344" t="s">
        <v>108</v>
      </c>
      <c r="B10344" s="1" t="str">
        <f>HYPERLINK("http://sephora.my","sephora.my")</f>
        <v>sephora.my</v>
      </c>
      <c r="C10344" t="s">
        <v>472</v>
      </c>
      <c r="D10344" t="s">
        <v>848</v>
      </c>
      <c r="E10344">
        <v>270055</v>
      </c>
      <c r="F10344">
        <v>1.9353130317792401E-7</v>
      </c>
      <c r="G10344">
        <v>199188</v>
      </c>
      <c r="H10344">
        <v>14745075</v>
      </c>
      <c r="I10344">
        <v>565566</v>
      </c>
      <c r="J10344">
        <v>8</v>
      </c>
    </row>
    <row r="10345" spans="1:10" x14ac:dyDescent="0.25">
      <c r="A10345" t="s">
        <v>108</v>
      </c>
      <c r="B10345" s="1" t="str">
        <f>HYPERLINK("http://tiffany.my","tiffany.my")</f>
        <v>tiffany.my</v>
      </c>
      <c r="C10345" t="s">
        <v>472</v>
      </c>
      <c r="D10345" t="s">
        <v>848</v>
      </c>
      <c r="F10345">
        <v>4.70421880772965E-8</v>
      </c>
      <c r="G10345">
        <v>991991</v>
      </c>
      <c r="H10345">
        <v>12383518</v>
      </c>
      <c r="I10345">
        <v>19146778</v>
      </c>
      <c r="J10345">
        <v>4</v>
      </c>
    </row>
    <row r="10346" spans="1:10" x14ac:dyDescent="0.25">
      <c r="A10346" t="s">
        <v>108</v>
      </c>
      <c r="B10346" s="1" t="str">
        <f>HYPERLINK("http://vuitton.net","vuitton.net")</f>
        <v>vuitton.net</v>
      </c>
      <c r="C10346" t="s">
        <v>474</v>
      </c>
      <c r="E10346">
        <v>457520</v>
      </c>
      <c r="F10346">
        <v>3.1228216055167603E-8</v>
      </c>
      <c r="G10346">
        <v>1651060</v>
      </c>
      <c r="H10346">
        <v>12489001</v>
      </c>
      <c r="I10346">
        <v>17500777</v>
      </c>
      <c r="J10346">
        <v>4</v>
      </c>
    </row>
    <row r="10347" spans="1:10" x14ac:dyDescent="0.25">
      <c r="A10347" t="s">
        <v>108</v>
      </c>
      <c r="B10347" s="1" t="str">
        <f>HYPERLINK("http://louisvuitton.nl","louisvuitton.nl")</f>
        <v>louisvuitton.nl</v>
      </c>
      <c r="C10347" t="s">
        <v>477</v>
      </c>
      <c r="D10347" t="s">
        <v>852</v>
      </c>
      <c r="F10347">
        <v>3.0580640846429799E-8</v>
      </c>
      <c r="G10347">
        <v>1684082</v>
      </c>
      <c r="H10347">
        <v>12480838</v>
      </c>
      <c r="I10347">
        <v>17590865</v>
      </c>
      <c r="J10347">
        <v>3</v>
      </c>
    </row>
    <row r="10348" spans="1:10" x14ac:dyDescent="0.25">
      <c r="A10348" t="s">
        <v>108</v>
      </c>
      <c r="B10348" s="1" t="str">
        <f>HYPERLINK("http://dior.co.nz","dior.co.nz")</f>
        <v>dior.co.nz</v>
      </c>
      <c r="C10348" t="s">
        <v>479</v>
      </c>
      <c r="D10348" t="s">
        <v>854</v>
      </c>
      <c r="F10348">
        <v>4.5909204825659103E-9</v>
      </c>
      <c r="G10348">
        <v>48328401</v>
      </c>
      <c r="H10348">
        <v>11157531</v>
      </c>
      <c r="I10348">
        <v>31651452</v>
      </c>
      <c r="J10348">
        <v>5</v>
      </c>
    </row>
    <row r="10349" spans="1:10" x14ac:dyDescent="0.25">
      <c r="A10349" t="s">
        <v>108</v>
      </c>
      <c r="B10349" s="1" t="str">
        <f>HYPERLINK("http://sephora.nz","sephora.nz")</f>
        <v>sephora.nz</v>
      </c>
      <c r="C10349" t="s">
        <v>479</v>
      </c>
      <c r="D10349" t="s">
        <v>854</v>
      </c>
      <c r="E10349">
        <v>610957</v>
      </c>
      <c r="F10349">
        <v>5.2168841648245102E-8</v>
      </c>
      <c r="G10349">
        <v>874894</v>
      </c>
      <c r="H10349">
        <v>13943582</v>
      </c>
      <c r="I10349">
        <v>4312033</v>
      </c>
      <c r="J10349">
        <v>6</v>
      </c>
    </row>
    <row r="10350" spans="1:10" x14ac:dyDescent="0.25">
      <c r="A10350" t="s">
        <v>108</v>
      </c>
      <c r="B10350" s="1" t="str">
        <f>HYPERLINK("http://dior.om","dior.om")</f>
        <v>dior.om</v>
      </c>
      <c r="C10350" t="s">
        <v>480</v>
      </c>
      <c r="D10350" t="s">
        <v>855</v>
      </c>
      <c r="F10350">
        <v>3.3113220800095097E-8</v>
      </c>
      <c r="G10350">
        <v>1560318</v>
      </c>
      <c r="H10350">
        <v>11633392</v>
      </c>
      <c r="I10350">
        <v>29896848</v>
      </c>
      <c r="J10350">
        <v>4</v>
      </c>
    </row>
    <row r="10351" spans="1:10" x14ac:dyDescent="0.25">
      <c r="A10351" t="s">
        <v>108</v>
      </c>
      <c r="B10351" s="1" t="str">
        <f>HYPERLINK("http://sephora.om","sephora.om")</f>
        <v>sephora.om</v>
      </c>
      <c r="C10351" t="s">
        <v>480</v>
      </c>
      <c r="D10351" t="s">
        <v>855</v>
      </c>
      <c r="F10351">
        <v>3.1497064310470597E-8</v>
      </c>
      <c r="G10351">
        <v>1637999</v>
      </c>
      <c r="H10351">
        <v>13017168</v>
      </c>
      <c r="I10351">
        <v>12724713</v>
      </c>
      <c r="J10351">
        <v>4</v>
      </c>
    </row>
    <row r="10352" spans="1:10" x14ac:dyDescent="0.25">
      <c r="A10352" t="s">
        <v>108</v>
      </c>
      <c r="B10352" s="1" t="str">
        <f>HYPERLINK("http://otbfoundation.org","otbfoundation.org")</f>
        <v>otbfoundation.org</v>
      </c>
      <c r="C10352" t="s">
        <v>481</v>
      </c>
      <c r="F10352">
        <v>4.5440513577319403E-8</v>
      </c>
      <c r="G10352">
        <v>1036286</v>
      </c>
      <c r="H10352">
        <v>13822237</v>
      </c>
      <c r="I10352">
        <v>6137832</v>
      </c>
      <c r="J10352">
        <v>7</v>
      </c>
    </row>
    <row r="10353" spans="1:10" x14ac:dyDescent="0.25">
      <c r="A10353" t="s">
        <v>108</v>
      </c>
      <c r="B10353" s="1" t="str">
        <f>HYPERLINK("http://belvedere-zyrardow.com.pl","belvedere-zyrardow.com.pl")</f>
        <v>belvedere-zyrardow.com.pl</v>
      </c>
      <c r="C10353" t="s">
        <v>486</v>
      </c>
      <c r="D10353" t="s">
        <v>860</v>
      </c>
      <c r="F10353">
        <v>4.6031991599069798E-9</v>
      </c>
      <c r="G10353">
        <v>47361802</v>
      </c>
      <c r="H10353">
        <v>11183324</v>
      </c>
      <c r="I10353">
        <v>31407207</v>
      </c>
      <c r="J10353">
        <v>3</v>
      </c>
    </row>
    <row r="10354" spans="1:10" x14ac:dyDescent="0.25">
      <c r="A10354" t="s">
        <v>108</v>
      </c>
      <c r="B10354" s="1" t="str">
        <f>HYPERLINK("http://sephora.pl","sephora.pl")</f>
        <v>sephora.pl</v>
      </c>
      <c r="C10354" t="s">
        <v>486</v>
      </c>
      <c r="D10354" t="s">
        <v>860</v>
      </c>
      <c r="E10354">
        <v>85023</v>
      </c>
      <c r="F10354">
        <v>1.5344034365943299E-7</v>
      </c>
      <c r="G10354">
        <v>253140</v>
      </c>
      <c r="H10354">
        <v>15020845</v>
      </c>
      <c r="I10354">
        <v>420792</v>
      </c>
      <c r="J10354">
        <v>3</v>
      </c>
    </row>
    <row r="10355" spans="1:10" x14ac:dyDescent="0.25">
      <c r="A10355" t="s">
        <v>108</v>
      </c>
      <c r="B10355" s="1" t="str">
        <f>HYPERLINK("http://sephora.pt","sephora.pt")</f>
        <v>sephora.pt</v>
      </c>
      <c r="C10355" t="s">
        <v>488</v>
      </c>
      <c r="D10355" t="s">
        <v>862</v>
      </c>
      <c r="E10355">
        <v>551893</v>
      </c>
      <c r="F10355">
        <v>6.26728881915941E-8</v>
      </c>
      <c r="G10355">
        <v>699950</v>
      </c>
      <c r="H10355">
        <v>14494588</v>
      </c>
      <c r="I10355">
        <v>880850</v>
      </c>
      <c r="J10355">
        <v>4</v>
      </c>
    </row>
    <row r="10356" spans="1:10" x14ac:dyDescent="0.25">
      <c r="A10356" t="s">
        <v>108</v>
      </c>
      <c r="B10356" s="1" t="str">
        <f>HYPERLINK("http://dior.qa","dior.qa")</f>
        <v>dior.qa</v>
      </c>
      <c r="C10356" t="s">
        <v>490</v>
      </c>
      <c r="D10356" t="s">
        <v>864</v>
      </c>
      <c r="F10356">
        <v>3.3232826180286001E-8</v>
      </c>
      <c r="G10356">
        <v>1554877</v>
      </c>
      <c r="H10356">
        <v>11633711</v>
      </c>
      <c r="I10356">
        <v>29896703</v>
      </c>
      <c r="J10356">
        <v>4</v>
      </c>
    </row>
    <row r="10357" spans="1:10" x14ac:dyDescent="0.25">
      <c r="A10357" t="s">
        <v>108</v>
      </c>
      <c r="B10357" s="1" t="str">
        <f>HYPERLINK("http://sephora.qa","sephora.qa")</f>
        <v>sephora.qa</v>
      </c>
      <c r="C10357" t="s">
        <v>490</v>
      </c>
      <c r="D10357" t="s">
        <v>864</v>
      </c>
      <c r="F10357">
        <v>2.75653335320702E-8</v>
      </c>
      <c r="G10357">
        <v>1865073</v>
      </c>
      <c r="H10357">
        <v>12247083</v>
      </c>
      <c r="I10357">
        <v>22071191</v>
      </c>
      <c r="J10357">
        <v>4</v>
      </c>
    </row>
    <row r="10358" spans="1:10" x14ac:dyDescent="0.25">
      <c r="A10358" t="s">
        <v>108</v>
      </c>
      <c r="B10358" s="1" t="str">
        <f>HYPERLINK("http://sephora.ro","sephora.ro")</f>
        <v>sephora.ro</v>
      </c>
      <c r="C10358" t="s">
        <v>491</v>
      </c>
      <c r="D10358" t="s">
        <v>865</v>
      </c>
      <c r="E10358">
        <v>167451</v>
      </c>
      <c r="F10358">
        <v>6.0162350312250694E-8</v>
      </c>
      <c r="G10358">
        <v>733493</v>
      </c>
      <c r="H10358">
        <v>14125777</v>
      </c>
      <c r="I10358">
        <v>2112831</v>
      </c>
      <c r="J10358">
        <v>3</v>
      </c>
    </row>
    <row r="10359" spans="1:10" x14ac:dyDescent="0.25">
      <c r="A10359" t="s">
        <v>108</v>
      </c>
      <c r="B10359" s="1" t="str">
        <f>HYPERLINK("http://louisvuitton.ru","louisvuitton.ru")</f>
        <v>louisvuitton.ru</v>
      </c>
      <c r="C10359" t="s">
        <v>493</v>
      </c>
      <c r="D10359" t="s">
        <v>867</v>
      </c>
      <c r="F10359">
        <v>3.22604895019253E-8</v>
      </c>
      <c r="G10359">
        <v>1602908</v>
      </c>
      <c r="H10359">
        <v>13026283</v>
      </c>
      <c r="I10359">
        <v>12686954</v>
      </c>
      <c r="J10359">
        <v>3</v>
      </c>
    </row>
    <row r="10360" spans="1:10" x14ac:dyDescent="0.25">
      <c r="A10360" t="s">
        <v>108</v>
      </c>
      <c r="B10360" s="1" t="str">
        <f>HYPERLINK("http://lvmh.ru","lvmh.ru")</f>
        <v>lvmh.ru</v>
      </c>
      <c r="C10360" t="s">
        <v>493</v>
      </c>
      <c r="D10360" t="s">
        <v>867</v>
      </c>
      <c r="F10360">
        <v>3.37224550510131E-8</v>
      </c>
      <c r="G10360">
        <v>1534090</v>
      </c>
      <c r="H10360">
        <v>14081495</v>
      </c>
      <c r="I10360">
        <v>2809509</v>
      </c>
      <c r="J10360">
        <v>4</v>
      </c>
    </row>
    <row r="10361" spans="1:10" x14ac:dyDescent="0.25">
      <c r="A10361" t="s">
        <v>108</v>
      </c>
      <c r="B10361" s="1" t="str">
        <f>HYPERLINK("http://sephora.ru","sephora.ru")</f>
        <v>sephora.ru</v>
      </c>
      <c r="C10361" t="s">
        <v>493</v>
      </c>
      <c r="D10361" t="s">
        <v>867</v>
      </c>
      <c r="E10361">
        <v>314507</v>
      </c>
      <c r="F10361">
        <v>1.8550154822224E-7</v>
      </c>
      <c r="G10361">
        <v>207759</v>
      </c>
      <c r="H10361">
        <v>14305909</v>
      </c>
      <c r="I10361">
        <v>1350604</v>
      </c>
      <c r="J10361">
        <v>4</v>
      </c>
    </row>
    <row r="10362" spans="1:10" x14ac:dyDescent="0.25">
      <c r="A10362" t="s">
        <v>108</v>
      </c>
      <c r="B10362" s="1" t="str">
        <f>HYPERLINK("http://tiffany.ru","tiffany.ru")</f>
        <v>tiffany.ru</v>
      </c>
      <c r="C10362" t="s">
        <v>493</v>
      </c>
      <c r="D10362" t="s">
        <v>867</v>
      </c>
      <c r="E10362">
        <v>690438</v>
      </c>
      <c r="F10362">
        <v>1.2231049234863799E-7</v>
      </c>
      <c r="G10362">
        <v>322749</v>
      </c>
      <c r="H10362">
        <v>13267661</v>
      </c>
      <c r="I10362">
        <v>11001345</v>
      </c>
      <c r="J10362">
        <v>4</v>
      </c>
    </row>
    <row r="10363" spans="1:10" x14ac:dyDescent="0.25">
      <c r="A10363" t="s">
        <v>108</v>
      </c>
      <c r="B10363" s="1" t="str">
        <f>HYPERLINK("http://dior.sa","dior.sa")</f>
        <v>dior.sa</v>
      </c>
      <c r="C10363" t="s">
        <v>494</v>
      </c>
      <c r="D10363" t="s">
        <v>868</v>
      </c>
      <c r="F10363">
        <v>3.4726663574895898E-8</v>
      </c>
      <c r="G10363">
        <v>1494669</v>
      </c>
      <c r="H10363">
        <v>12383141</v>
      </c>
      <c r="I10363">
        <v>19153305</v>
      </c>
      <c r="J10363">
        <v>4</v>
      </c>
    </row>
    <row r="10364" spans="1:10" x14ac:dyDescent="0.25">
      <c r="A10364" t="s">
        <v>108</v>
      </c>
      <c r="B10364" s="1" t="str">
        <f>HYPERLINK("http://makeupforever.sa","makeupforever.sa")</f>
        <v>makeupforever.sa</v>
      </c>
      <c r="C10364" t="s">
        <v>494</v>
      </c>
      <c r="D10364" t="s">
        <v>868</v>
      </c>
      <c r="F10364">
        <v>8.7725584446437401E-9</v>
      </c>
      <c r="G10364">
        <v>8355406</v>
      </c>
      <c r="H10364">
        <v>12269668</v>
      </c>
      <c r="I10364">
        <v>21530496</v>
      </c>
      <c r="J10364">
        <v>6</v>
      </c>
    </row>
    <row r="10365" spans="1:10" x14ac:dyDescent="0.25">
      <c r="A10365" t="s">
        <v>108</v>
      </c>
      <c r="B10365" s="1" t="str">
        <f>HYPERLINK("http://sephora.sa","sephora.sa")</f>
        <v>sephora.sa</v>
      </c>
      <c r="C10365" t="s">
        <v>494</v>
      </c>
      <c r="D10365" t="s">
        <v>868</v>
      </c>
      <c r="E10365">
        <v>268896</v>
      </c>
      <c r="F10365">
        <v>7.9373834391258296E-8</v>
      </c>
      <c r="G10365">
        <v>526456</v>
      </c>
      <c r="H10365">
        <v>16752338</v>
      </c>
      <c r="I10365">
        <v>253336</v>
      </c>
      <c r="J10365">
        <v>4</v>
      </c>
    </row>
    <row r="10366" spans="1:10" x14ac:dyDescent="0.25">
      <c r="A10366" t="s">
        <v>108</v>
      </c>
      <c r="B10366" s="1" t="str">
        <f>HYPERLINK("http://louisvuitton.se","louisvuitton.se")</f>
        <v>louisvuitton.se</v>
      </c>
      <c r="C10366" t="s">
        <v>495</v>
      </c>
      <c r="D10366" t="s">
        <v>869</v>
      </c>
      <c r="F10366">
        <v>3.0580640846429799E-8</v>
      </c>
      <c r="G10366">
        <v>1684083</v>
      </c>
      <c r="H10366">
        <v>12480838</v>
      </c>
      <c r="I10366">
        <v>17590867</v>
      </c>
      <c r="J10366">
        <v>3</v>
      </c>
    </row>
    <row r="10367" spans="1:10" x14ac:dyDescent="0.25">
      <c r="A10367" t="s">
        <v>108</v>
      </c>
      <c r="B10367" s="1" t="str">
        <f>HYPERLINK("http://sephora.se","sephora.se")</f>
        <v>sephora.se</v>
      </c>
      <c r="C10367" t="s">
        <v>495</v>
      </c>
      <c r="D10367" t="s">
        <v>869</v>
      </c>
      <c r="E10367">
        <v>386343</v>
      </c>
      <c r="F10367">
        <v>7.3808386029523207E-8</v>
      </c>
      <c r="G10367">
        <v>570650</v>
      </c>
      <c r="H10367">
        <v>14164960</v>
      </c>
      <c r="I10367">
        <v>1823465</v>
      </c>
      <c r="J10367">
        <v>4</v>
      </c>
    </row>
    <row r="10368" spans="1:10" x14ac:dyDescent="0.25">
      <c r="A10368" t="s">
        <v>108</v>
      </c>
      <c r="B10368" s="1" t="str">
        <f>HYPERLINK("http://dior.com.sg","dior.com.sg")</f>
        <v>dior.com.sg</v>
      </c>
      <c r="C10368" t="s">
        <v>496</v>
      </c>
      <c r="D10368" t="s">
        <v>870</v>
      </c>
      <c r="F10368">
        <v>3.9337444677145302E-8</v>
      </c>
      <c r="G10368">
        <v>1311826</v>
      </c>
      <c r="H10368">
        <v>13573678</v>
      </c>
      <c r="I10368">
        <v>9709124</v>
      </c>
      <c r="J10368">
        <v>4</v>
      </c>
    </row>
    <row r="10369" spans="1:10" x14ac:dyDescent="0.25">
      <c r="A10369" t="s">
        <v>108</v>
      </c>
      <c r="B10369" s="1" t="str">
        <f>HYPERLINK("http://sephora.sg","sephora.sg")</f>
        <v>sephora.sg</v>
      </c>
      <c r="C10369" t="s">
        <v>496</v>
      </c>
      <c r="D10369" t="s">
        <v>870</v>
      </c>
      <c r="E10369">
        <v>123392</v>
      </c>
      <c r="F10369">
        <v>3.4920752895348997E-7</v>
      </c>
      <c r="G10369">
        <v>107063</v>
      </c>
      <c r="H10369">
        <v>14945792</v>
      </c>
      <c r="I10369">
        <v>441894</v>
      </c>
      <c r="J10369">
        <v>6</v>
      </c>
    </row>
    <row r="10370" spans="1:10" x14ac:dyDescent="0.25">
      <c r="A10370" t="s">
        <v>108</v>
      </c>
      <c r="B10370" s="1" t="str">
        <f>HYPERLINK("http://tiffany.sg","tiffany.sg")</f>
        <v>tiffany.sg</v>
      </c>
      <c r="C10370" t="s">
        <v>496</v>
      </c>
      <c r="D10370" t="s">
        <v>870</v>
      </c>
      <c r="F10370">
        <v>4.8149442225948697E-8</v>
      </c>
      <c r="G10370">
        <v>965087</v>
      </c>
      <c r="H10370">
        <v>13562120</v>
      </c>
      <c r="I10370">
        <v>9845429</v>
      </c>
      <c r="J10370">
        <v>4</v>
      </c>
    </row>
    <row r="10371" spans="1:10" x14ac:dyDescent="0.25">
      <c r="A10371" t="s">
        <v>108</v>
      </c>
      <c r="B10371" s="1" t="str">
        <f>HYPERLINK("http://bulgariresortdubai-ilcioccolato.shop","bulgariresortdubai-ilcioccolato.shop")</f>
        <v>bulgariresortdubai-ilcioccolato.shop</v>
      </c>
      <c r="C10371" t="s">
        <v>708</v>
      </c>
      <c r="F10371">
        <v>1.5487413691323199E-8</v>
      </c>
      <c r="G10371">
        <v>3688324</v>
      </c>
      <c r="H10371">
        <v>11188544</v>
      </c>
      <c r="I10371">
        <v>31364031</v>
      </c>
      <c r="J10371">
        <v>8</v>
      </c>
    </row>
    <row r="10372" spans="1:10" x14ac:dyDescent="0.25">
      <c r="A10372" t="s">
        <v>108</v>
      </c>
      <c r="B10372" s="1" t="str">
        <f>HYPERLINK("http://dior.co.th","dior.co.th")</f>
        <v>dior.co.th</v>
      </c>
      <c r="C10372" t="s">
        <v>500</v>
      </c>
      <c r="D10372" t="s">
        <v>874</v>
      </c>
      <c r="F10372">
        <v>3.75740092355955E-8</v>
      </c>
      <c r="G10372">
        <v>1377284</v>
      </c>
      <c r="H10372">
        <v>12686693</v>
      </c>
      <c r="I10372">
        <v>15444493</v>
      </c>
      <c r="J10372">
        <v>4</v>
      </c>
    </row>
    <row r="10373" spans="1:10" x14ac:dyDescent="0.25">
      <c r="A10373" t="s">
        <v>108</v>
      </c>
      <c r="B10373" s="1" t="str">
        <f>HYPERLINK("http://bilgins.com.tr","bilgins.com.tr")</f>
        <v>bilgins.com.tr</v>
      </c>
      <c r="C10373" t="s">
        <v>502</v>
      </c>
      <c r="D10373" t="s">
        <v>876</v>
      </c>
      <c r="F10373">
        <v>4.8490711098135802E-9</v>
      </c>
      <c r="G10373">
        <v>34173391</v>
      </c>
      <c r="H10373">
        <v>8165784</v>
      </c>
      <c r="I10373">
        <v>74888605</v>
      </c>
      <c r="J10373">
        <v>6</v>
      </c>
    </row>
    <row r="10374" spans="1:10" x14ac:dyDescent="0.25">
      <c r="A10374" t="s">
        <v>108</v>
      </c>
      <c r="B10374" s="1" t="str">
        <f>HYPERLINK("http://sephora.com.tr","sephora.com.tr")</f>
        <v>sephora.com.tr</v>
      </c>
      <c r="C10374" t="s">
        <v>502</v>
      </c>
      <c r="D10374" t="s">
        <v>876</v>
      </c>
      <c r="E10374">
        <v>212035</v>
      </c>
      <c r="F10374">
        <v>7.5746527844693099E-8</v>
      </c>
      <c r="G10374">
        <v>554908</v>
      </c>
      <c r="H10374">
        <v>13884269</v>
      </c>
      <c r="I10374">
        <v>5972702</v>
      </c>
      <c r="J10374">
        <v>4</v>
      </c>
    </row>
    <row r="10375" spans="1:10" x14ac:dyDescent="0.25">
      <c r="A10375" t="s">
        <v>108</v>
      </c>
      <c r="B10375" s="1" t="str">
        <f>HYPERLINK("http://guerlain.com.tw","guerlain.com.tw")</f>
        <v>guerlain.com.tw</v>
      </c>
      <c r="C10375" t="s">
        <v>504</v>
      </c>
      <c r="D10375" t="s">
        <v>878</v>
      </c>
      <c r="F10375">
        <v>1.40413349521889E-8</v>
      </c>
      <c r="G10375">
        <v>4187271</v>
      </c>
      <c r="H10375">
        <v>13235885</v>
      </c>
      <c r="I10375">
        <v>11242592</v>
      </c>
      <c r="J10375">
        <v>4</v>
      </c>
    </row>
    <row r="10376" spans="1:10" x14ac:dyDescent="0.25">
      <c r="A10376" t="s">
        <v>108</v>
      </c>
      <c r="B10376" s="1" t="str">
        <f>HYPERLINK("http://louisvuitton.tw","louisvuitton.tw")</f>
        <v>louisvuitton.tw</v>
      </c>
      <c r="C10376" t="s">
        <v>504</v>
      </c>
      <c r="D10376" t="s">
        <v>878</v>
      </c>
      <c r="F10376">
        <v>3.1561657599587301E-8</v>
      </c>
      <c r="G10376">
        <v>1634999</v>
      </c>
      <c r="H10376">
        <v>12494543</v>
      </c>
      <c r="I10376">
        <v>17431934</v>
      </c>
      <c r="J10376">
        <v>3</v>
      </c>
    </row>
    <row r="10377" spans="1:10" x14ac:dyDescent="0.25">
      <c r="A10377" t="s">
        <v>108</v>
      </c>
      <c r="B10377" s="1" t="str">
        <f>HYPERLINK("http://benefitcosmetics.co.uk","benefitcosmetics.co.uk")</f>
        <v>benefitcosmetics.co.uk</v>
      </c>
      <c r="C10377" t="s">
        <v>506</v>
      </c>
      <c r="D10377" t="s">
        <v>880</v>
      </c>
      <c r="E10377">
        <v>858212</v>
      </c>
      <c r="F10377">
        <v>4.7744000803037501E-8</v>
      </c>
      <c r="G10377">
        <v>974803</v>
      </c>
      <c r="H10377">
        <v>14208962</v>
      </c>
      <c r="I10377">
        <v>1705946</v>
      </c>
      <c r="J10377">
        <v>3</v>
      </c>
    </row>
    <row r="10378" spans="1:10" x14ac:dyDescent="0.25">
      <c r="A10378" t="s">
        <v>108</v>
      </c>
      <c r="B10378" s="1" t="str">
        <f>HYPERLINK("http://glenmorangie.co.uk","glenmorangie.co.uk")</f>
        <v>glenmorangie.co.uk</v>
      </c>
      <c r="C10378" t="s">
        <v>506</v>
      </c>
      <c r="D10378" t="s">
        <v>880</v>
      </c>
      <c r="F10378">
        <v>1.20767584181187E-8</v>
      </c>
      <c r="G10378">
        <v>5127313</v>
      </c>
      <c r="H10378">
        <v>10832138</v>
      </c>
      <c r="I10378">
        <v>37344650</v>
      </c>
      <c r="J10378">
        <v>4</v>
      </c>
    </row>
    <row r="10379" spans="1:10" x14ac:dyDescent="0.25">
      <c r="A10379" t="s">
        <v>108</v>
      </c>
      <c r="B10379" s="1" t="str">
        <f>HYPERLINK("http://louisvuitton.co.uk","louisvuitton.co.uk")</f>
        <v>louisvuitton.co.uk</v>
      </c>
      <c r="C10379" t="s">
        <v>506</v>
      </c>
      <c r="D10379" t="s">
        <v>880</v>
      </c>
      <c r="F10379">
        <v>2.0439487027380802E-8</v>
      </c>
      <c r="G10379">
        <v>2593196</v>
      </c>
      <c r="H10379">
        <v>14600465</v>
      </c>
      <c r="I10379">
        <v>685924</v>
      </c>
      <c r="J10379">
        <v>5</v>
      </c>
    </row>
    <row r="10380" spans="1:10" x14ac:dyDescent="0.25">
      <c r="A10380" t="s">
        <v>108</v>
      </c>
      <c r="B10380" s="1" t="str">
        <f>HYPERLINK("http://tiffany.co.uk","tiffany.co.uk")</f>
        <v>tiffany.co.uk</v>
      </c>
      <c r="C10380" t="s">
        <v>506</v>
      </c>
      <c r="D10380" t="s">
        <v>880</v>
      </c>
      <c r="E10380">
        <v>163639</v>
      </c>
      <c r="F10380">
        <v>1.5459552521035699E-7</v>
      </c>
      <c r="G10380">
        <v>251243</v>
      </c>
      <c r="H10380">
        <v>14380687</v>
      </c>
      <c r="I10380">
        <v>1194068</v>
      </c>
      <c r="J10380">
        <v>4</v>
      </c>
    </row>
    <row r="10381" spans="1:10" x14ac:dyDescent="0.25">
      <c r="A10381" t="s">
        <v>108</v>
      </c>
      <c r="B10381" s="1" t="str">
        <f>HYPERLINK("http://dior.co.za","dior.co.za")</f>
        <v>dior.co.za</v>
      </c>
      <c r="C10381" t="s">
        <v>510</v>
      </c>
      <c r="D10381" t="s">
        <v>884</v>
      </c>
      <c r="F10381">
        <v>3.4355998417275998E-8</v>
      </c>
      <c r="G10381">
        <v>1509291</v>
      </c>
      <c r="H10381">
        <v>11632009</v>
      </c>
      <c r="I10381">
        <v>29897738</v>
      </c>
      <c r="J10381">
        <v>4</v>
      </c>
    </row>
    <row r="10382" spans="1:10" x14ac:dyDescent="0.25">
      <c r="A10382" t="s">
        <v>109</v>
      </c>
      <c r="B10382" s="1" t="str">
        <f>HYPERLINK("http://aceinsurance.com.au","aceinsurance.com.au")</f>
        <v>aceinsurance.com.au</v>
      </c>
      <c r="C10382" t="s">
        <v>420</v>
      </c>
      <c r="D10382" t="s">
        <v>802</v>
      </c>
      <c r="F10382">
        <v>8.7296617635558706E-9</v>
      </c>
      <c r="G10382">
        <v>8427027</v>
      </c>
      <c r="H10382">
        <v>12616785</v>
      </c>
      <c r="I10382">
        <v>16119051</v>
      </c>
      <c r="J10382">
        <v>7</v>
      </c>
    </row>
    <row r="10383" spans="1:10" x14ac:dyDescent="0.25">
      <c r="A10383" t="s">
        <v>109</v>
      </c>
      <c r="B10383" s="1" t="str">
        <f>HYPERLINK("http://chubb.com.br","chubb.com.br")</f>
        <v>chubb.com.br</v>
      </c>
      <c r="C10383" t="s">
        <v>425</v>
      </c>
      <c r="D10383" t="s">
        <v>806</v>
      </c>
      <c r="F10383">
        <v>5.8751636685984196E-9</v>
      </c>
      <c r="G10383">
        <v>17531080</v>
      </c>
      <c r="H10383">
        <v>12343186</v>
      </c>
      <c r="I10383">
        <v>19889014</v>
      </c>
      <c r="J10383">
        <v>2</v>
      </c>
    </row>
    <row r="10384" spans="1:10" x14ac:dyDescent="0.25">
      <c r="A10384" t="s">
        <v>109</v>
      </c>
      <c r="B10384" s="1" t="str">
        <f>HYPERLINK("http://chubbinsurance.ca","chubbinsurance.ca")</f>
        <v>chubbinsurance.ca</v>
      </c>
      <c r="C10384" t="s">
        <v>428</v>
      </c>
      <c r="D10384" t="s">
        <v>809</v>
      </c>
      <c r="F10384">
        <v>6.1664734723873604E-9</v>
      </c>
      <c r="G10384">
        <v>15711752</v>
      </c>
      <c r="H10384">
        <v>12377706</v>
      </c>
      <c r="I10384">
        <v>19265659</v>
      </c>
      <c r="J10384">
        <v>5</v>
      </c>
    </row>
    <row r="10385" spans="1:10" x14ac:dyDescent="0.25">
      <c r="A10385" t="s">
        <v>109</v>
      </c>
      <c r="B10385" s="1" t="str">
        <f>HYPERLINK("http://chubb.com.cn","chubb.com.cn")</f>
        <v>chubb.com.cn</v>
      </c>
      <c r="C10385" t="s">
        <v>431</v>
      </c>
      <c r="D10385" t="s">
        <v>812</v>
      </c>
      <c r="F10385">
        <v>1.26385371971124E-8</v>
      </c>
      <c r="G10385">
        <v>4811202</v>
      </c>
      <c r="H10385">
        <v>12633787</v>
      </c>
      <c r="I10385">
        <v>15945989</v>
      </c>
      <c r="J10385">
        <v>2</v>
      </c>
    </row>
    <row r="10386" spans="1:10" x14ac:dyDescent="0.25">
      <c r="A10386" t="s">
        <v>109</v>
      </c>
      <c r="B10386" s="1" t="str">
        <f>HYPERLINK("http://abaseguros.com","abaseguros.com")</f>
        <v>abaseguros.com</v>
      </c>
      <c r="C10386" t="s">
        <v>433</v>
      </c>
      <c r="E10386">
        <v>252518</v>
      </c>
      <c r="F10386">
        <v>1.46105607915291E-8</v>
      </c>
      <c r="G10386">
        <v>3973257</v>
      </c>
      <c r="H10386">
        <v>13766829</v>
      </c>
      <c r="I10386">
        <v>6972743</v>
      </c>
      <c r="J10386">
        <v>5</v>
      </c>
    </row>
    <row r="10387" spans="1:10" x14ac:dyDescent="0.25">
      <c r="A10387" t="s">
        <v>109</v>
      </c>
      <c r="B10387" s="1" t="str">
        <f>HYPERLINK("http://abbaseguros.com","abbaseguros.com")</f>
        <v>abbaseguros.com</v>
      </c>
      <c r="C10387" t="s">
        <v>433</v>
      </c>
      <c r="J10387">
        <v>5</v>
      </c>
    </row>
    <row r="10388" spans="1:10" x14ac:dyDescent="0.25">
      <c r="A10388" t="s">
        <v>109</v>
      </c>
      <c r="B10388" s="1" t="str">
        <f>HYPERLINK("http://ace-ina.com","ace-ina.com")</f>
        <v>ace-ina.com</v>
      </c>
      <c r="C10388" t="s">
        <v>433</v>
      </c>
      <c r="E10388">
        <v>293727</v>
      </c>
      <c r="F10388">
        <v>8.5193422271296894E-9</v>
      </c>
      <c r="G10388">
        <v>8807371</v>
      </c>
      <c r="H10388">
        <v>13782472</v>
      </c>
      <c r="I10388">
        <v>6438952</v>
      </c>
      <c r="J10388">
        <v>6</v>
      </c>
    </row>
    <row r="10389" spans="1:10" x14ac:dyDescent="0.25">
      <c r="A10389" t="s">
        <v>109</v>
      </c>
      <c r="B10389" s="1" t="str">
        <f>HYPERLINK("http://ace-smeweb.com","ace-smeweb.com")</f>
        <v>ace-smeweb.com</v>
      </c>
      <c r="C10389" t="s">
        <v>433</v>
      </c>
      <c r="F10389">
        <v>5.9557447788724202E-9</v>
      </c>
      <c r="G10389">
        <v>16983103</v>
      </c>
      <c r="H10389">
        <v>12290211</v>
      </c>
      <c r="I10389">
        <v>21105971</v>
      </c>
      <c r="J10389">
        <v>6</v>
      </c>
    </row>
    <row r="10390" spans="1:10" x14ac:dyDescent="0.25">
      <c r="A10390" t="s">
        <v>109</v>
      </c>
      <c r="B10390" s="1" t="str">
        <f>HYPERLINK("http://acebermuda.com","acebermuda.com")</f>
        <v>acebermuda.com</v>
      </c>
      <c r="C10390" t="s">
        <v>433</v>
      </c>
      <c r="F10390">
        <v>1.1416449070914901E-8</v>
      </c>
      <c r="G10390">
        <v>5563147</v>
      </c>
      <c r="H10390">
        <v>14415896</v>
      </c>
      <c r="I10390">
        <v>1109177</v>
      </c>
      <c r="J10390">
        <v>4</v>
      </c>
    </row>
    <row r="10391" spans="1:10" x14ac:dyDescent="0.25">
      <c r="A10391" t="s">
        <v>109</v>
      </c>
      <c r="B10391" s="1" t="str">
        <f>HYPERLINK("http://aceglobalmarkets.com","aceglobalmarkets.com")</f>
        <v>aceglobalmarkets.com</v>
      </c>
      <c r="C10391" t="s">
        <v>433</v>
      </c>
      <c r="J10391">
        <v>5</v>
      </c>
    </row>
    <row r="10392" spans="1:10" x14ac:dyDescent="0.25">
      <c r="A10392" t="s">
        <v>109</v>
      </c>
      <c r="B10392" s="1" t="str">
        <f>HYPERLINK("http://acegroup.com","acegroup.com")</f>
        <v>acegroup.com</v>
      </c>
      <c r="C10392" t="s">
        <v>433</v>
      </c>
      <c r="E10392">
        <v>185958</v>
      </c>
      <c r="F10392">
        <v>2.3817804212800301E-7</v>
      </c>
      <c r="G10392">
        <v>157155</v>
      </c>
      <c r="H10392">
        <v>14907064</v>
      </c>
      <c r="I10392">
        <v>460059</v>
      </c>
      <c r="J10392">
        <v>3</v>
      </c>
    </row>
    <row r="10393" spans="1:10" x14ac:dyDescent="0.25">
      <c r="A10393" t="s">
        <v>109</v>
      </c>
      <c r="B10393" s="1" t="str">
        <f>HYPERLINK("http://acegruop.com","acegruop.com")</f>
        <v>acegruop.com</v>
      </c>
      <c r="C10393" t="s">
        <v>433</v>
      </c>
      <c r="J10393">
        <v>4</v>
      </c>
    </row>
    <row r="10394" spans="1:10" x14ac:dyDescent="0.25">
      <c r="A10394" t="s">
        <v>109</v>
      </c>
      <c r="B10394" s="1" t="str">
        <f>HYPERLINK("http://acelatinamerica.com","acelatinamerica.com")</f>
        <v>acelatinamerica.com</v>
      </c>
      <c r="C10394" t="s">
        <v>433</v>
      </c>
      <c r="E10394">
        <v>390697</v>
      </c>
      <c r="F10394">
        <v>7.96808967395346E-9</v>
      </c>
      <c r="G10394">
        <v>9979892</v>
      </c>
      <c r="H10394">
        <v>12655074</v>
      </c>
      <c r="I10394">
        <v>15767763</v>
      </c>
      <c r="J10394">
        <v>6</v>
      </c>
    </row>
    <row r="10395" spans="1:10" x14ac:dyDescent="0.25">
      <c r="A10395" t="s">
        <v>109</v>
      </c>
      <c r="B10395" s="1" t="str">
        <f>HYPERLINK("http://acelatinomerica.com","acelatinomerica.com")</f>
        <v>acelatinomerica.com</v>
      </c>
      <c r="C10395" t="s">
        <v>433</v>
      </c>
      <c r="J10395">
        <v>3</v>
      </c>
    </row>
    <row r="10396" spans="1:10" x14ac:dyDescent="0.25">
      <c r="A10396" t="s">
        <v>109</v>
      </c>
      <c r="B10396" s="1" t="str">
        <f>HYPERLINK("http://acelimited.com","acelimited.com")</f>
        <v>acelimited.com</v>
      </c>
      <c r="C10396" t="s">
        <v>433</v>
      </c>
      <c r="F10396">
        <v>2.9525037421516999E-8</v>
      </c>
      <c r="G10396">
        <v>1745808</v>
      </c>
      <c r="H10396">
        <v>14589193</v>
      </c>
      <c r="I10396">
        <v>697190</v>
      </c>
      <c r="J10396">
        <v>4</v>
      </c>
    </row>
    <row r="10397" spans="1:10" x14ac:dyDescent="0.25">
      <c r="A10397" t="s">
        <v>109</v>
      </c>
      <c r="B10397" s="1" t="str">
        <f>HYPERLINK("http://acetempestre.com","acetempestre.com")</f>
        <v>acetempestre.com</v>
      </c>
      <c r="C10397" t="s">
        <v>433</v>
      </c>
      <c r="F10397">
        <v>5.9990236617070704E-9</v>
      </c>
      <c r="G10397">
        <v>16690102</v>
      </c>
      <c r="H10397">
        <v>12526989</v>
      </c>
      <c r="I10397">
        <v>17078055</v>
      </c>
      <c r="J10397">
        <v>4</v>
      </c>
    </row>
    <row r="10398" spans="1:10" x14ac:dyDescent="0.25">
      <c r="A10398" t="s">
        <v>109</v>
      </c>
      <c r="B10398" s="1" t="str">
        <f>HYPERLINK("http://acewestchester.com","acewestchester.com")</f>
        <v>acewestchester.com</v>
      </c>
      <c r="C10398" t="s">
        <v>433</v>
      </c>
      <c r="F10398">
        <v>5.0896453047045598E-9</v>
      </c>
      <c r="G10398">
        <v>27295106</v>
      </c>
      <c r="H10398">
        <v>10635618</v>
      </c>
      <c r="I10398">
        <v>43858366</v>
      </c>
      <c r="J10398">
        <v>7</v>
      </c>
    </row>
    <row r="10399" spans="1:10" x14ac:dyDescent="0.25">
      <c r="A10399" t="s">
        <v>109</v>
      </c>
      <c r="B10399" s="1" t="str">
        <f>HYPERLINK("http://chubb.com","chubb.com")</f>
        <v>chubb.com</v>
      </c>
      <c r="C10399" t="s">
        <v>433</v>
      </c>
      <c r="E10399">
        <v>13037</v>
      </c>
      <c r="F10399">
        <v>2.3655952447835999E-6</v>
      </c>
      <c r="G10399">
        <v>15690</v>
      </c>
      <c r="H10399">
        <v>17570832</v>
      </c>
      <c r="I10399">
        <v>10594</v>
      </c>
      <c r="J10399">
        <v>1</v>
      </c>
    </row>
    <row r="10400" spans="1:10" x14ac:dyDescent="0.25">
      <c r="A10400" t="s">
        <v>109</v>
      </c>
      <c r="B10400" s="1" t="str">
        <f>HYPERLINK("http://chubbinsured.com","chubbinsured.com")</f>
        <v>chubbinsured.com</v>
      </c>
      <c r="C10400" t="s">
        <v>433</v>
      </c>
      <c r="F10400">
        <v>1.19615116604479E-7</v>
      </c>
      <c r="G10400">
        <v>330545</v>
      </c>
      <c r="H10400">
        <v>13239898</v>
      </c>
      <c r="I10400">
        <v>11222331</v>
      </c>
      <c r="J10400">
        <v>2</v>
      </c>
    </row>
    <row r="10401" spans="1:10" x14ac:dyDescent="0.25">
      <c r="A10401" t="s">
        <v>109</v>
      </c>
      <c r="B10401" s="1" t="str">
        <f>HYPERLINK("http://combinedinsurance.com","combinedinsurance.com")</f>
        <v>combinedinsurance.com</v>
      </c>
      <c r="C10401" t="s">
        <v>433</v>
      </c>
      <c r="E10401">
        <v>322890</v>
      </c>
      <c r="F10401">
        <v>1.3610013763870001E-7</v>
      </c>
      <c r="G10401">
        <v>286536</v>
      </c>
      <c r="H10401">
        <v>16881940</v>
      </c>
      <c r="I10401">
        <v>138782</v>
      </c>
      <c r="J10401">
        <v>10</v>
      </c>
    </row>
    <row r="10402" spans="1:10" x14ac:dyDescent="0.25">
      <c r="A10402" t="s">
        <v>109</v>
      </c>
      <c r="B10402" s="1" t="str">
        <f>HYPERLINK("http://ehuatai.com","ehuatai.com")</f>
        <v>ehuatai.com</v>
      </c>
      <c r="C10402" t="s">
        <v>433</v>
      </c>
      <c r="E10402">
        <v>334221</v>
      </c>
      <c r="F10402">
        <v>9.5066369928756606E-8</v>
      </c>
      <c r="G10402">
        <v>426380</v>
      </c>
      <c r="H10402">
        <v>13001804</v>
      </c>
      <c r="I10402">
        <v>12787561</v>
      </c>
      <c r="J10402">
        <v>7</v>
      </c>
    </row>
    <row r="10403" spans="1:10" x14ac:dyDescent="0.25">
      <c r="A10403" t="s">
        <v>109</v>
      </c>
      <c r="B10403" s="1" t="str">
        <f>HYPERLINK("http://newmarketsagency.com","newmarketsagency.com")</f>
        <v>newmarketsagency.com</v>
      </c>
      <c r="C10403" t="s">
        <v>433</v>
      </c>
      <c r="F10403">
        <v>5.3935577350664798E-9</v>
      </c>
      <c r="G10403">
        <v>22199986</v>
      </c>
      <c r="H10403">
        <v>12445267</v>
      </c>
      <c r="I10403">
        <v>18082768</v>
      </c>
      <c r="J10403">
        <v>11</v>
      </c>
    </row>
    <row r="10404" spans="1:10" x14ac:dyDescent="0.25">
      <c r="A10404" t="s">
        <v>109</v>
      </c>
      <c r="B10404" s="1" t="str">
        <f>HYPERLINK("http://pennmillers.com","pennmillers.com")</f>
        <v>pennmillers.com</v>
      </c>
      <c r="C10404" t="s">
        <v>433</v>
      </c>
      <c r="F10404">
        <v>5.4737796346101202E-9</v>
      </c>
      <c r="G10404">
        <v>21200966</v>
      </c>
      <c r="H10404">
        <v>10853402</v>
      </c>
      <c r="I10404">
        <v>36788232</v>
      </c>
      <c r="J10404">
        <v>7</v>
      </c>
    </row>
    <row r="10405" spans="1:10" x14ac:dyDescent="0.25">
      <c r="A10405" t="s">
        <v>109</v>
      </c>
      <c r="B10405" s="1" t="str">
        <f>HYPERLINK("http://rainhail.com","rainhail.com")</f>
        <v>rainhail.com</v>
      </c>
      <c r="C10405" t="s">
        <v>433</v>
      </c>
      <c r="E10405">
        <v>216852</v>
      </c>
      <c r="F10405">
        <v>8.2075866860596397E-8</v>
      </c>
      <c r="G10405">
        <v>508412</v>
      </c>
      <c r="H10405">
        <v>14882010</v>
      </c>
      <c r="I10405">
        <v>471618</v>
      </c>
      <c r="J10405">
        <v>7</v>
      </c>
    </row>
    <row r="10406" spans="1:10" x14ac:dyDescent="0.25">
      <c r="A10406" t="s">
        <v>109</v>
      </c>
      <c r="B10406" s="1" t="str">
        <f>HYPERLINK("http://chubu-net.co.jp","chubu-net.co.jp")</f>
        <v>chubu-net.co.jp</v>
      </c>
      <c r="C10406" t="s">
        <v>461</v>
      </c>
      <c r="D10406" t="s">
        <v>837</v>
      </c>
      <c r="F10406">
        <v>1.7505607616103902E-8</v>
      </c>
      <c r="G10406">
        <v>3144886</v>
      </c>
      <c r="H10406">
        <v>13378585</v>
      </c>
      <c r="I10406">
        <v>10432575</v>
      </c>
      <c r="J10406">
        <v>4</v>
      </c>
    </row>
    <row r="10407" spans="1:10" x14ac:dyDescent="0.25">
      <c r="A10407" t="s">
        <v>109</v>
      </c>
      <c r="B10407" s="1" t="str">
        <f>HYPERLINK("http://chubblife.co.kr","chubblife.co.kr")</f>
        <v>chubblife.co.kr</v>
      </c>
      <c r="C10407" t="s">
        <v>463</v>
      </c>
      <c r="D10407" t="s">
        <v>839</v>
      </c>
      <c r="F10407">
        <v>1.3145715221482399E-8</v>
      </c>
      <c r="G10407">
        <v>4562949</v>
      </c>
      <c r="H10407">
        <v>12309433</v>
      </c>
      <c r="I10407">
        <v>20628955</v>
      </c>
      <c r="J10407">
        <v>4</v>
      </c>
    </row>
    <row r="10408" spans="1:10" x14ac:dyDescent="0.25">
      <c r="A10408" t="s">
        <v>109</v>
      </c>
      <c r="B10408" s="1" t="str">
        <f>HYPERLINK("http://lina.co.kr","lina.co.kr")</f>
        <v>lina.co.kr</v>
      </c>
      <c r="C10408" t="s">
        <v>463</v>
      </c>
      <c r="D10408" t="s">
        <v>839</v>
      </c>
      <c r="E10408">
        <v>514058</v>
      </c>
      <c r="F10408">
        <v>1.19996465062984E-7</v>
      </c>
      <c r="G10408">
        <v>329435</v>
      </c>
      <c r="H10408">
        <v>16824488</v>
      </c>
      <c r="I10408">
        <v>184165</v>
      </c>
      <c r="J10408">
        <v>3</v>
      </c>
    </row>
    <row r="10409" spans="1:10" x14ac:dyDescent="0.25">
      <c r="A10409" t="s">
        <v>109</v>
      </c>
      <c r="B10409" s="1" t="str">
        <f>HYPERLINK("http://chubb.mx","chubb.mx")</f>
        <v>chubb.mx</v>
      </c>
      <c r="C10409" t="s">
        <v>471</v>
      </c>
      <c r="D10409" t="s">
        <v>847</v>
      </c>
      <c r="J10409">
        <v>3</v>
      </c>
    </row>
    <row r="10410" spans="1:10" x14ac:dyDescent="0.25">
      <c r="A10410" t="s">
        <v>109</v>
      </c>
      <c r="B10410" s="1" t="str">
        <f>HYPERLINK("http://abaseguros.com.mx","abaseguros.com.mx")</f>
        <v>abaseguros.com.mx</v>
      </c>
      <c r="C10410" t="s">
        <v>471</v>
      </c>
      <c r="D10410" t="s">
        <v>847</v>
      </c>
      <c r="F10410">
        <v>5.1311883255850498E-9</v>
      </c>
      <c r="G10410">
        <v>26433865</v>
      </c>
      <c r="H10410">
        <v>9882326</v>
      </c>
      <c r="I10410">
        <v>61876722</v>
      </c>
      <c r="J10410">
        <v>3</v>
      </c>
    </row>
    <row r="10411" spans="1:10" x14ac:dyDescent="0.25">
      <c r="A10411" t="s">
        <v>109</v>
      </c>
      <c r="B10411" s="1" t="str">
        <f>HYPERLINK("http://acefianzasmonterrey.com.mx","acefianzasmonterrey.com.mx")</f>
        <v>acefianzasmonterrey.com.mx</v>
      </c>
      <c r="C10411" t="s">
        <v>471</v>
      </c>
      <c r="D10411" t="s">
        <v>847</v>
      </c>
      <c r="J10411">
        <v>3</v>
      </c>
    </row>
    <row r="10412" spans="1:10" x14ac:dyDescent="0.25">
      <c r="A10412" t="s">
        <v>109</v>
      </c>
      <c r="B10412" s="1" t="str">
        <f>HYPERLINK("http://chubb.com.mx","chubb.com.mx")</f>
        <v>chubb.com.mx</v>
      </c>
      <c r="C10412" t="s">
        <v>471</v>
      </c>
      <c r="D10412" t="s">
        <v>847</v>
      </c>
      <c r="J10412">
        <v>3</v>
      </c>
    </row>
    <row r="10413" spans="1:10" x14ac:dyDescent="0.25">
      <c r="A10413" t="s">
        <v>109</v>
      </c>
      <c r="B10413" s="1" t="str">
        <f>HYPERLINK("http://chubsegurosmexico.com.mx","chubsegurosmexico.com.mx")</f>
        <v>chubsegurosmexico.com.mx</v>
      </c>
      <c r="C10413" t="s">
        <v>471</v>
      </c>
      <c r="D10413" t="s">
        <v>847</v>
      </c>
      <c r="J10413">
        <v>3</v>
      </c>
    </row>
    <row r="10414" spans="1:10" x14ac:dyDescent="0.25">
      <c r="A10414" t="s">
        <v>109</v>
      </c>
      <c r="B10414" s="1" t="str">
        <f>HYPERLINK("http://jerneh.com.my","jerneh.com.my")</f>
        <v>jerneh.com.my</v>
      </c>
      <c r="C10414" t="s">
        <v>472</v>
      </c>
      <c r="D10414" t="s">
        <v>848</v>
      </c>
      <c r="F10414">
        <v>4.45118084259578E-9</v>
      </c>
      <c r="G10414">
        <v>71322097</v>
      </c>
      <c r="H10414">
        <v>10889956</v>
      </c>
      <c r="I10414">
        <v>36091902</v>
      </c>
      <c r="J10414">
        <v>4</v>
      </c>
    </row>
    <row r="10415" spans="1:10" x14ac:dyDescent="0.25">
      <c r="A10415" t="s">
        <v>109</v>
      </c>
      <c r="B10415" s="1" t="str">
        <f>HYPERLINK("http://aceinsurance.co.nz","aceinsurance.co.nz")</f>
        <v>aceinsurance.co.nz</v>
      </c>
      <c r="C10415" t="s">
        <v>479</v>
      </c>
      <c r="D10415" t="s">
        <v>854</v>
      </c>
      <c r="F10415">
        <v>4.4560203415729703E-9</v>
      </c>
      <c r="G10415">
        <v>69104784</v>
      </c>
      <c r="H10415">
        <v>10638350</v>
      </c>
      <c r="I10415">
        <v>43800258</v>
      </c>
      <c r="J10415">
        <v>6</v>
      </c>
    </row>
    <row r="10416" spans="1:10" x14ac:dyDescent="0.25">
      <c r="A10416" t="s">
        <v>109</v>
      </c>
      <c r="B10416" s="1" t="str">
        <f>HYPERLINK("http://combinedinsurance.co.nz","combinedinsurance.co.nz")</f>
        <v>combinedinsurance.co.nz</v>
      </c>
      <c r="C10416" t="s">
        <v>479</v>
      </c>
      <c r="D10416" t="s">
        <v>854</v>
      </c>
      <c r="F10416">
        <v>5.1698824588743401E-9</v>
      </c>
      <c r="G10416">
        <v>25727306</v>
      </c>
      <c r="H10416">
        <v>12102661</v>
      </c>
      <c r="I10416">
        <v>25903799</v>
      </c>
      <c r="J10416">
        <v>11</v>
      </c>
    </row>
    <row r="10417" spans="1:10" x14ac:dyDescent="0.25">
      <c r="A10417" t="s">
        <v>109</v>
      </c>
      <c r="B10417" s="1" t="str">
        <f>HYPERLINK("http://onepath.co.nz","onepath.co.nz")</f>
        <v>onepath.co.nz</v>
      </c>
      <c r="C10417" t="s">
        <v>479</v>
      </c>
      <c r="D10417" t="s">
        <v>854</v>
      </c>
      <c r="F10417">
        <v>4.46750998621762E-9</v>
      </c>
      <c r="G10417">
        <v>65289510</v>
      </c>
      <c r="H10417">
        <v>11082218</v>
      </c>
      <c r="I10417">
        <v>32461541</v>
      </c>
      <c r="J10417">
        <v>3</v>
      </c>
    </row>
    <row r="10418" spans="1:10" x14ac:dyDescent="0.25">
      <c r="A10418" t="s">
        <v>109</v>
      </c>
      <c r="B10418" s="1" t="str">
        <f>HYPERLINK("http://combinedinsurance.com.pt","combinedinsurance.com.pt")</f>
        <v>combinedinsurance.com.pt</v>
      </c>
      <c r="C10418" t="s">
        <v>488</v>
      </c>
      <c r="D10418" t="s">
        <v>862</v>
      </c>
      <c r="F10418">
        <v>9.2235324222857001E-9</v>
      </c>
      <c r="G10418">
        <v>7678513</v>
      </c>
      <c r="H10418">
        <v>12038616</v>
      </c>
      <c r="I10418">
        <v>27492456</v>
      </c>
      <c r="J10418">
        <v>11</v>
      </c>
    </row>
    <row r="10419" spans="1:10" x14ac:dyDescent="0.25">
      <c r="A10419" t="s">
        <v>109</v>
      </c>
      <c r="B10419" s="1" t="str">
        <f>HYPERLINK("http://russianre.ru","russianre.ru")</f>
        <v>russianre.ru</v>
      </c>
      <c r="C10419" t="s">
        <v>493</v>
      </c>
      <c r="D10419" t="s">
        <v>867</v>
      </c>
      <c r="F10419">
        <v>8.4713254807660603E-9</v>
      </c>
      <c r="G10419">
        <v>8900398</v>
      </c>
      <c r="H10419">
        <v>12999719</v>
      </c>
      <c r="I10419">
        <v>12797403</v>
      </c>
      <c r="J10419">
        <v>3</v>
      </c>
    </row>
    <row r="10420" spans="1:10" x14ac:dyDescent="0.25">
      <c r="A10420" t="s">
        <v>109</v>
      </c>
      <c r="B10420" s="1" t="str">
        <f>HYPERLINK("http://chubb.se","chubb.se")</f>
        <v>chubb.se</v>
      </c>
      <c r="C10420" t="s">
        <v>495</v>
      </c>
      <c r="D10420" t="s">
        <v>869</v>
      </c>
      <c r="F10420">
        <v>6.2641769476843402E-9</v>
      </c>
      <c r="G10420">
        <v>15204797</v>
      </c>
      <c r="H10420">
        <v>12291598</v>
      </c>
      <c r="I10420">
        <v>21070601</v>
      </c>
      <c r="J10420">
        <v>2</v>
      </c>
    </row>
    <row r="10421" spans="1:10" x14ac:dyDescent="0.25">
      <c r="A10421" t="s">
        <v>109</v>
      </c>
      <c r="B10421" s="1" t="str">
        <f>HYPERLINK("http://chubb.com.tw","chubb.com.tw")</f>
        <v>chubb.com.tw</v>
      </c>
      <c r="C10421" t="s">
        <v>504</v>
      </c>
      <c r="D10421" t="s">
        <v>878</v>
      </c>
      <c r="F10421">
        <v>8.2403068620644994E-9</v>
      </c>
      <c r="G10421">
        <v>9403569</v>
      </c>
      <c r="H10421">
        <v>12362629</v>
      </c>
      <c r="I10421">
        <v>19535736</v>
      </c>
      <c r="J10421">
        <v>2</v>
      </c>
    </row>
    <row r="10422" spans="1:10" x14ac:dyDescent="0.25">
      <c r="A10422" t="s">
        <v>109</v>
      </c>
      <c r="B10422" s="1" t="str">
        <f>HYPERLINK("http://combinedinsurance.co.uk","combinedinsurance.co.uk")</f>
        <v>combinedinsurance.co.uk</v>
      </c>
      <c r="C10422" t="s">
        <v>506</v>
      </c>
      <c r="D10422" t="s">
        <v>880</v>
      </c>
      <c r="F10422">
        <v>5.1239802486900896E-9</v>
      </c>
      <c r="G10422">
        <v>26569145</v>
      </c>
      <c r="H10422">
        <v>12648391</v>
      </c>
      <c r="I10422">
        <v>15812060</v>
      </c>
      <c r="J10422">
        <v>11</v>
      </c>
    </row>
    <row r="10423" spans="1:10" x14ac:dyDescent="0.25">
      <c r="A10423" t="s">
        <v>109</v>
      </c>
      <c r="B10423" s="1" t="str">
        <f>HYPERLINK("http://chubblifefund.com.vn","chubblifefund.com.vn")</f>
        <v>chubblifefund.com.vn</v>
      </c>
      <c r="C10423" t="s">
        <v>509</v>
      </c>
      <c r="D10423" t="s">
        <v>883</v>
      </c>
      <c r="F10423">
        <v>2.25363211523419E-8</v>
      </c>
      <c r="G10423">
        <v>2324484</v>
      </c>
      <c r="H10423">
        <v>12645961</v>
      </c>
      <c r="I10423">
        <v>15827651</v>
      </c>
      <c r="J10423">
        <v>6</v>
      </c>
    </row>
    <row r="10424" spans="1:10" x14ac:dyDescent="0.25">
      <c r="A10424" t="s">
        <v>1603</v>
      </c>
      <c r="B10424" s="1" t="str">
        <f>HYPERLINK("http://cigna.be","cigna.be")</f>
        <v>cigna.be</v>
      </c>
      <c r="C10424" t="s">
        <v>421</v>
      </c>
      <c r="D10424" t="s">
        <v>803</v>
      </c>
      <c r="F10424">
        <v>1.6663541746069501E-8</v>
      </c>
      <c r="G10424">
        <v>3368175</v>
      </c>
      <c r="H10424">
        <v>11122759</v>
      </c>
      <c r="I10424">
        <v>32022654</v>
      </c>
      <c r="J10424">
        <v>3</v>
      </c>
    </row>
    <row r="10425" spans="1:10" x14ac:dyDescent="0.25">
      <c r="A10425" t="s">
        <v>1603</v>
      </c>
      <c r="B10425" s="1" t="str">
        <f>HYPERLINK("http://express-scripts.ca","express-scripts.ca")</f>
        <v>express-scripts.ca</v>
      </c>
      <c r="C10425" t="s">
        <v>428</v>
      </c>
      <c r="D10425" t="s">
        <v>809</v>
      </c>
      <c r="E10425">
        <v>424319</v>
      </c>
      <c r="F10425">
        <v>5.84545066833521E-8</v>
      </c>
      <c r="G10425">
        <v>759951</v>
      </c>
      <c r="H10425">
        <v>14094426</v>
      </c>
      <c r="I10425">
        <v>2732268</v>
      </c>
      <c r="J10425">
        <v>4</v>
      </c>
    </row>
    <row r="10426" spans="1:10" x14ac:dyDescent="0.25">
      <c r="A10426" t="s">
        <v>1603</v>
      </c>
      <c r="B10426" s="1" t="str">
        <f>HYPERLINK("http://accredo.com","accredo.com")</f>
        <v>accredo.com</v>
      </c>
      <c r="C10426" t="s">
        <v>433</v>
      </c>
      <c r="E10426">
        <v>172900</v>
      </c>
      <c r="F10426">
        <v>2.1213987140918899E-7</v>
      </c>
      <c r="G10426">
        <v>178044</v>
      </c>
      <c r="H10426">
        <v>16958918</v>
      </c>
      <c r="I10426">
        <v>105921</v>
      </c>
      <c r="J10426">
        <v>3</v>
      </c>
    </row>
    <row r="10427" spans="1:10" x14ac:dyDescent="0.25">
      <c r="A10427" t="s">
        <v>1603</v>
      </c>
      <c r="B10427" s="1" t="str">
        <f>HYPERLINK("http://accredohealth.com","accredohealth.com")</f>
        <v>accredohealth.com</v>
      </c>
      <c r="C10427" t="s">
        <v>433</v>
      </c>
      <c r="F10427">
        <v>5.3867582372189002E-9</v>
      </c>
      <c r="G10427">
        <v>22334172</v>
      </c>
      <c r="H10427">
        <v>11042801</v>
      </c>
      <c r="I10427">
        <v>32889018</v>
      </c>
      <c r="J10427">
        <v>3</v>
      </c>
    </row>
    <row r="10428" spans="1:10" x14ac:dyDescent="0.25">
      <c r="A10428" t="s">
        <v>1603</v>
      </c>
      <c r="B10428" s="1" t="str">
        <f>HYPERLINK("http://bravohealth.com","bravohealth.com")</f>
        <v>bravohealth.com</v>
      </c>
      <c r="C10428" t="s">
        <v>433</v>
      </c>
      <c r="F10428">
        <v>5.6010012928233897E-9</v>
      </c>
      <c r="G10428">
        <v>19847755</v>
      </c>
      <c r="H10428">
        <v>13769890</v>
      </c>
      <c r="I10428">
        <v>6756718</v>
      </c>
      <c r="J10428">
        <v>7</v>
      </c>
    </row>
    <row r="10429" spans="1:10" x14ac:dyDescent="0.25">
      <c r="A10429" t="s">
        <v>1603</v>
      </c>
      <c r="B10429" s="1" t="str">
        <f>HYPERLINK("http://carecorenational.com","carecorenational.com")</f>
        <v>carecorenational.com</v>
      </c>
      <c r="C10429" t="s">
        <v>433</v>
      </c>
      <c r="E10429">
        <v>101791</v>
      </c>
      <c r="F10429">
        <v>3.0948411617609397E-8</v>
      </c>
      <c r="G10429">
        <v>1664852</v>
      </c>
      <c r="H10429">
        <v>12861887</v>
      </c>
      <c r="I10429">
        <v>14191267</v>
      </c>
      <c r="J10429">
        <v>7</v>
      </c>
    </row>
    <row r="10430" spans="1:10" x14ac:dyDescent="0.25">
      <c r="A10430" t="s">
        <v>1603</v>
      </c>
      <c r="B10430" s="1" t="str">
        <f>HYPERLINK("http://cigna.com","cigna.com")</f>
        <v>cigna.com</v>
      </c>
      <c r="C10430" t="s">
        <v>433</v>
      </c>
      <c r="E10430">
        <v>4215</v>
      </c>
      <c r="F10430">
        <v>1.1998835906595599E-5</v>
      </c>
      <c r="G10430">
        <v>2884</v>
      </c>
      <c r="H10430">
        <v>17974522</v>
      </c>
      <c r="I10430">
        <v>3861</v>
      </c>
      <c r="J10430">
        <v>1</v>
      </c>
    </row>
    <row r="10431" spans="1:10" x14ac:dyDescent="0.25">
      <c r="A10431" t="s">
        <v>1603</v>
      </c>
      <c r="B10431" s="1" t="str">
        <f>HYPERLINK("http://cignaeurope.com","cignaeurope.com")</f>
        <v>cignaeurope.com</v>
      </c>
      <c r="C10431" t="s">
        <v>433</v>
      </c>
      <c r="F10431">
        <v>1.58697577929788E-8</v>
      </c>
      <c r="G10431">
        <v>3580512</v>
      </c>
      <c r="H10431">
        <v>12393954</v>
      </c>
      <c r="I10431">
        <v>18954494</v>
      </c>
      <c r="J10431">
        <v>3</v>
      </c>
    </row>
    <row r="10432" spans="1:10" x14ac:dyDescent="0.25">
      <c r="A10432" t="s">
        <v>1603</v>
      </c>
      <c r="B10432" s="1" t="str">
        <f>HYPERLINK("http://cignaglobal.com","cignaglobal.com")</f>
        <v>cignaglobal.com</v>
      </c>
      <c r="C10432" t="s">
        <v>433</v>
      </c>
      <c r="E10432">
        <v>169755</v>
      </c>
      <c r="F10432">
        <v>1.9756845069803999E-7</v>
      </c>
      <c r="G10432">
        <v>195183</v>
      </c>
      <c r="H10432">
        <v>14517619</v>
      </c>
      <c r="I10432">
        <v>809480</v>
      </c>
      <c r="J10432">
        <v>5</v>
      </c>
    </row>
    <row r="10433" spans="1:10" x14ac:dyDescent="0.25">
      <c r="A10433" t="s">
        <v>1603</v>
      </c>
      <c r="B10433" s="1" t="str">
        <f>HYPERLINK("http://dnadirect.com","dnadirect.com")</f>
        <v>dnadirect.com</v>
      </c>
      <c r="C10433" t="s">
        <v>433</v>
      </c>
      <c r="F10433">
        <v>1.9797813433289599E-8</v>
      </c>
      <c r="G10433">
        <v>2693516</v>
      </c>
      <c r="H10433">
        <v>14506670</v>
      </c>
      <c r="I10433">
        <v>832748</v>
      </c>
      <c r="J10433">
        <v>7</v>
      </c>
    </row>
    <row r="10434" spans="1:10" x14ac:dyDescent="0.25">
      <c r="A10434" t="s">
        <v>1603</v>
      </c>
      <c r="B10434" s="1" t="str">
        <f>HYPERLINK("http://esrx.com","esrx.com")</f>
        <v>esrx.com</v>
      </c>
      <c r="C10434" t="s">
        <v>433</v>
      </c>
      <c r="E10434">
        <v>540870</v>
      </c>
      <c r="F10434">
        <v>6.7963857036632596E-8</v>
      </c>
      <c r="G10434">
        <v>628070</v>
      </c>
      <c r="H10434">
        <v>13365681</v>
      </c>
      <c r="I10434">
        <v>10485726</v>
      </c>
      <c r="J10434">
        <v>4</v>
      </c>
    </row>
    <row r="10435" spans="1:10" x14ac:dyDescent="0.25">
      <c r="A10435" t="s">
        <v>1603</v>
      </c>
      <c r="B10435" s="1" t="str">
        <f>HYPERLINK("http://evernorth.com","evernorth.com")</f>
        <v>evernorth.com</v>
      </c>
      <c r="C10435" t="s">
        <v>433</v>
      </c>
      <c r="E10435">
        <v>134551</v>
      </c>
      <c r="F10435">
        <v>1.3198617467019801E-7</v>
      </c>
      <c r="G10435">
        <v>296133</v>
      </c>
      <c r="H10435">
        <v>13774824</v>
      </c>
      <c r="I10435">
        <v>6595625</v>
      </c>
      <c r="J10435">
        <v>3</v>
      </c>
    </row>
    <row r="10436" spans="1:10" x14ac:dyDescent="0.25">
      <c r="A10436" t="s">
        <v>1603</v>
      </c>
      <c r="B10436" s="1" t="str">
        <f>HYPERLINK("http://evicore.com","evicore.com")</f>
        <v>evicore.com</v>
      </c>
      <c r="C10436" t="s">
        <v>433</v>
      </c>
      <c r="E10436">
        <v>69141</v>
      </c>
      <c r="F10436">
        <v>1.97976649795759E-7</v>
      </c>
      <c r="G10436">
        <v>194769</v>
      </c>
      <c r="H10436">
        <v>14270445</v>
      </c>
      <c r="I10436">
        <v>1400230</v>
      </c>
      <c r="J10436">
        <v>3</v>
      </c>
    </row>
    <row r="10437" spans="1:10" x14ac:dyDescent="0.25">
      <c r="A10437" t="s">
        <v>1603</v>
      </c>
      <c r="B10437" s="1" t="str">
        <f>HYPERLINK("http://express-scripts.com","express-scripts.com")</f>
        <v>express-scripts.com</v>
      </c>
      <c r="C10437" t="s">
        <v>433</v>
      </c>
      <c r="E10437">
        <v>12503</v>
      </c>
      <c r="F10437">
        <v>1.4513392963775499E-6</v>
      </c>
      <c r="G10437">
        <v>26992</v>
      </c>
      <c r="H10437">
        <v>17369384</v>
      </c>
      <c r="I10437">
        <v>21486</v>
      </c>
      <c r="J10437">
        <v>3</v>
      </c>
    </row>
    <row r="10438" spans="1:10" x14ac:dyDescent="0.25">
      <c r="A10438" t="s">
        <v>1603</v>
      </c>
      <c r="B10438" s="1" t="str">
        <f>HYPERLINK("http://freedomfertility.com","freedomfertility.com")</f>
        <v>freedomfertility.com</v>
      </c>
      <c r="C10438" t="s">
        <v>433</v>
      </c>
      <c r="F10438">
        <v>7.1378546336763506E-8</v>
      </c>
      <c r="G10438">
        <v>592138</v>
      </c>
      <c r="H10438">
        <v>13950405</v>
      </c>
      <c r="I10438">
        <v>4173961</v>
      </c>
      <c r="J10438">
        <v>4</v>
      </c>
    </row>
    <row r="10439" spans="1:10" x14ac:dyDescent="0.25">
      <c r="A10439" t="s">
        <v>1603</v>
      </c>
      <c r="B10439" s="1" t="str">
        <f>HYPERLINK("http://healthspring.com","healthspring.com")</f>
        <v>healthspring.com</v>
      </c>
      <c r="C10439" t="s">
        <v>433</v>
      </c>
      <c r="F10439">
        <v>2.07910347039494E-8</v>
      </c>
      <c r="G10439">
        <v>2544264</v>
      </c>
      <c r="H10439">
        <v>13791647</v>
      </c>
      <c r="I10439">
        <v>6335539</v>
      </c>
      <c r="J10439">
        <v>3</v>
      </c>
    </row>
    <row r="10440" spans="1:10" x14ac:dyDescent="0.25">
      <c r="A10440" t="s">
        <v>1603</v>
      </c>
      <c r="B10440" s="1" t="str">
        <f>HYPERLINK("http://manipalcigna.com","manipalcigna.com")</f>
        <v>manipalcigna.com</v>
      </c>
      <c r="C10440" t="s">
        <v>433</v>
      </c>
      <c r="E10440">
        <v>466146</v>
      </c>
      <c r="F10440">
        <v>7.2780951532390306E-8</v>
      </c>
      <c r="G10440">
        <v>579602</v>
      </c>
      <c r="H10440">
        <v>14023902</v>
      </c>
      <c r="I10440">
        <v>3977487</v>
      </c>
      <c r="J10440">
        <v>3</v>
      </c>
    </row>
    <row r="10441" spans="1:10" x14ac:dyDescent="0.25">
      <c r="A10441" t="s">
        <v>1603</v>
      </c>
      <c r="B10441" s="1" t="str">
        <f>HYPERLINK("http://medsolutions.com","medsolutions.com")</f>
        <v>medsolutions.com</v>
      </c>
      <c r="C10441" t="s">
        <v>433</v>
      </c>
      <c r="E10441">
        <v>181331</v>
      </c>
      <c r="F10441">
        <v>2.5553192434444299E-8</v>
      </c>
      <c r="G10441">
        <v>2018224</v>
      </c>
      <c r="H10441">
        <v>13779451</v>
      </c>
      <c r="I10441">
        <v>6487109</v>
      </c>
      <c r="J10441">
        <v>3</v>
      </c>
    </row>
    <row r="10442" spans="1:10" x14ac:dyDescent="0.25">
      <c r="A10442" t="s">
        <v>1603</v>
      </c>
      <c r="B10442" s="1" t="str">
        <f>HYPERLINK("http://mymatrixx.com","mymatrixx.com")</f>
        <v>mymatrixx.com</v>
      </c>
      <c r="C10442" t="s">
        <v>433</v>
      </c>
      <c r="E10442">
        <v>725093</v>
      </c>
      <c r="F10442">
        <v>3.7596332421442601E-8</v>
      </c>
      <c r="G10442">
        <v>1376440</v>
      </c>
      <c r="H10442">
        <v>13813136</v>
      </c>
      <c r="I10442">
        <v>6182578</v>
      </c>
      <c r="J10442">
        <v>3</v>
      </c>
    </row>
    <row r="10443" spans="1:10" x14ac:dyDescent="0.25">
      <c r="A10443" t="s">
        <v>1603</v>
      </c>
      <c r="B10443" s="1" t="str">
        <f>HYPERLINK("http://sterlingplans.com","sterlingplans.com")</f>
        <v>sterlingplans.com</v>
      </c>
      <c r="C10443" t="s">
        <v>433</v>
      </c>
      <c r="F10443">
        <v>9.7839113225608003E-9</v>
      </c>
      <c r="G10443">
        <v>6986183</v>
      </c>
      <c r="H10443">
        <v>12812188</v>
      </c>
      <c r="I10443">
        <v>14579117</v>
      </c>
      <c r="J10443">
        <v>3</v>
      </c>
    </row>
    <row r="10444" spans="1:10" x14ac:dyDescent="0.25">
      <c r="A10444" t="s">
        <v>1603</v>
      </c>
      <c r="B10444" s="1" t="str">
        <f>HYPERLINK("http://vanbreda-international.com","vanbreda-international.com")</f>
        <v>vanbreda-international.com</v>
      </c>
      <c r="C10444" t="s">
        <v>433</v>
      </c>
      <c r="F10444">
        <v>7.8285840797810406E-9</v>
      </c>
      <c r="G10444">
        <v>10258540</v>
      </c>
      <c r="H10444">
        <v>13763650</v>
      </c>
      <c r="I10444">
        <v>7890501</v>
      </c>
      <c r="J10444">
        <v>6</v>
      </c>
    </row>
    <row r="10445" spans="1:10" x14ac:dyDescent="0.25">
      <c r="A10445" t="s">
        <v>1603</v>
      </c>
      <c r="B10445" s="1" t="str">
        <f>HYPERLINK("http://cigna.es","cigna.es")</f>
        <v>cigna.es</v>
      </c>
      <c r="C10445" t="s">
        <v>443</v>
      </c>
      <c r="D10445" t="s">
        <v>822</v>
      </c>
      <c r="E10445">
        <v>857709</v>
      </c>
      <c r="F10445">
        <v>5.6384848729819598E-8</v>
      </c>
      <c r="G10445">
        <v>793354</v>
      </c>
      <c r="H10445">
        <v>12763556</v>
      </c>
      <c r="I10445">
        <v>14931850</v>
      </c>
      <c r="J10445">
        <v>2</v>
      </c>
    </row>
    <row r="10446" spans="1:10" x14ac:dyDescent="0.25">
      <c r="A10446" t="s">
        <v>1603</v>
      </c>
      <c r="B10446" s="1" t="str">
        <f>HYPERLINK("http://cignasalud.es","cignasalud.es")</f>
        <v>cignasalud.es</v>
      </c>
      <c r="C10446" t="s">
        <v>443</v>
      </c>
      <c r="D10446" t="s">
        <v>822</v>
      </c>
      <c r="E10446">
        <v>611356</v>
      </c>
      <c r="F10446">
        <v>1.09810226864959E-7</v>
      </c>
      <c r="G10446">
        <v>364271</v>
      </c>
      <c r="H10446">
        <v>14156419</v>
      </c>
      <c r="I10446">
        <v>1853730</v>
      </c>
      <c r="J10446">
        <v>5</v>
      </c>
    </row>
    <row r="10447" spans="1:10" x14ac:dyDescent="0.25">
      <c r="A10447" t="s">
        <v>1603</v>
      </c>
      <c r="B10447" s="1" t="str">
        <f>HYPERLINK("http://cigna.com.hk","cigna.com.hk")</f>
        <v>cigna.com.hk</v>
      </c>
      <c r="C10447" t="s">
        <v>450</v>
      </c>
      <c r="D10447" t="s">
        <v>827</v>
      </c>
      <c r="E10447">
        <v>864296</v>
      </c>
      <c r="F10447">
        <v>1.27693516687096E-7</v>
      </c>
      <c r="G10447">
        <v>307439</v>
      </c>
      <c r="H10447">
        <v>16954684</v>
      </c>
      <c r="I10447">
        <v>106968</v>
      </c>
      <c r="J10447">
        <v>2</v>
      </c>
    </row>
    <row r="10448" spans="1:10" x14ac:dyDescent="0.25">
      <c r="A10448" t="s">
        <v>1603</v>
      </c>
      <c r="B10448" s="1" t="str">
        <f>HYPERLINK("http://cigna.co.id","cigna.co.id")</f>
        <v>cigna.co.id</v>
      </c>
      <c r="C10448" t="s">
        <v>454</v>
      </c>
      <c r="D10448" t="s">
        <v>831</v>
      </c>
      <c r="F10448">
        <v>4.9837500479675703E-8</v>
      </c>
      <c r="G10448">
        <v>925224</v>
      </c>
      <c r="H10448">
        <v>14241409</v>
      </c>
      <c r="I10448">
        <v>1492240</v>
      </c>
      <c r="J10448">
        <v>2</v>
      </c>
    </row>
    <row r="10449" spans="1:10" x14ac:dyDescent="0.25">
      <c r="A10449" t="s">
        <v>1603</v>
      </c>
      <c r="B10449" s="1" t="str">
        <f>HYPERLINK("http://accredohealth.net","accredohealth.net")</f>
        <v>accredohealth.net</v>
      </c>
      <c r="C10449" t="s">
        <v>474</v>
      </c>
      <c r="F10449">
        <v>4.45267076273064E-9</v>
      </c>
      <c r="G10449">
        <v>70554486</v>
      </c>
      <c r="H10449">
        <v>9524177</v>
      </c>
      <c r="I10449">
        <v>65372013</v>
      </c>
      <c r="J10449">
        <v>7</v>
      </c>
    </row>
    <row r="10450" spans="1:10" x14ac:dyDescent="0.25">
      <c r="A10450" t="s">
        <v>1603</v>
      </c>
      <c r="B10450" s="1" t="str">
        <f>HYPERLINK("http://cigna.co.nz","cigna.co.nz")</f>
        <v>cigna.co.nz</v>
      </c>
      <c r="C10450" t="s">
        <v>479</v>
      </c>
      <c r="D10450" t="s">
        <v>854</v>
      </c>
      <c r="F10450">
        <v>3.7261369128750802E-8</v>
      </c>
      <c r="G10450">
        <v>1389832</v>
      </c>
      <c r="H10450">
        <v>12949929</v>
      </c>
      <c r="I10450">
        <v>13212566</v>
      </c>
      <c r="J10450">
        <v>3</v>
      </c>
    </row>
    <row r="10451" spans="1:10" x14ac:dyDescent="0.25">
      <c r="A10451" t="s">
        <v>1603</v>
      </c>
      <c r="B10451" s="1" t="str">
        <f>HYPERLINK("http://cigna.com.sg","cigna.com.sg")</f>
        <v>cigna.com.sg</v>
      </c>
      <c r="C10451" t="s">
        <v>496</v>
      </c>
      <c r="D10451" t="s">
        <v>870</v>
      </c>
      <c r="F10451">
        <v>1.84079280593561E-8</v>
      </c>
      <c r="G10451">
        <v>2944002</v>
      </c>
      <c r="H10451">
        <v>13455079</v>
      </c>
      <c r="I10451">
        <v>10187757</v>
      </c>
      <c r="J10451">
        <v>3</v>
      </c>
    </row>
    <row r="10452" spans="1:10" x14ac:dyDescent="0.25">
      <c r="A10452" t="s">
        <v>1603</v>
      </c>
      <c r="B10452" s="1" t="str">
        <f>HYPERLINK("http://cigna.co.th","cigna.co.th")</f>
        <v>cigna.co.th</v>
      </c>
      <c r="C10452" t="s">
        <v>500</v>
      </c>
      <c r="D10452" t="s">
        <v>874</v>
      </c>
      <c r="E10452">
        <v>440436</v>
      </c>
      <c r="F10452">
        <v>2.0079472961992299E-7</v>
      </c>
      <c r="G10452">
        <v>189651</v>
      </c>
      <c r="H10452">
        <v>17205324</v>
      </c>
      <c r="I10452">
        <v>40830</v>
      </c>
      <c r="J10452">
        <v>2</v>
      </c>
    </row>
    <row r="10453" spans="1:10" x14ac:dyDescent="0.25">
      <c r="A10453" t="s">
        <v>1603</v>
      </c>
      <c r="B10453" s="1" t="str">
        <f>HYPERLINK("http://cigna.tw","cigna.tw")</f>
        <v>cigna.tw</v>
      </c>
      <c r="C10453" t="s">
        <v>504</v>
      </c>
      <c r="D10453" t="s">
        <v>878</v>
      </c>
      <c r="F10453">
        <v>4.44380395335525E-9</v>
      </c>
      <c r="G10453">
        <v>86450312</v>
      </c>
      <c r="H10453">
        <v>0</v>
      </c>
      <c r="I10453">
        <v>87919239</v>
      </c>
      <c r="J10453">
        <v>3</v>
      </c>
    </row>
    <row r="10454" spans="1:10" x14ac:dyDescent="0.25">
      <c r="A10454" t="s">
        <v>1603</v>
      </c>
      <c r="B10454" s="1" t="str">
        <f>HYPERLINK("http://cigna.com.tw","cigna.com.tw")</f>
        <v>cigna.com.tw</v>
      </c>
      <c r="C10454" t="s">
        <v>504</v>
      </c>
      <c r="D10454" t="s">
        <v>878</v>
      </c>
      <c r="F10454">
        <v>5.2635773136961898E-8</v>
      </c>
      <c r="G10454">
        <v>866031</v>
      </c>
      <c r="H10454">
        <v>14037740</v>
      </c>
      <c r="I10454">
        <v>3911837</v>
      </c>
      <c r="J10454">
        <v>2</v>
      </c>
    </row>
    <row r="10455" spans="1:10" x14ac:dyDescent="0.25">
      <c r="A10455" t="s">
        <v>1603</v>
      </c>
      <c r="B10455" s="1" t="str">
        <f>HYPERLINK("http://cigna.co.uk","cigna.co.uk")</f>
        <v>cigna.co.uk</v>
      </c>
      <c r="C10455" t="s">
        <v>506</v>
      </c>
      <c r="D10455" t="s">
        <v>880</v>
      </c>
      <c r="E10455">
        <v>471385</v>
      </c>
      <c r="F10455">
        <v>5.89562055351214E-8</v>
      </c>
      <c r="G10455">
        <v>752278</v>
      </c>
      <c r="H10455">
        <v>14094507</v>
      </c>
      <c r="I10455">
        <v>2732031</v>
      </c>
      <c r="J10455">
        <v>2</v>
      </c>
    </row>
    <row r="10456" spans="1:10" x14ac:dyDescent="0.25">
      <c r="A10456" t="s">
        <v>1603</v>
      </c>
      <c r="B10456" s="1" t="str">
        <f>HYPERLINK("http://cignainsurance.co.uk","cignainsurance.co.uk")</f>
        <v>cignainsurance.co.uk</v>
      </c>
      <c r="C10456" t="s">
        <v>506</v>
      </c>
      <c r="D10456" t="s">
        <v>880</v>
      </c>
      <c r="F10456">
        <v>2.48330206561003E-8</v>
      </c>
      <c r="G10456">
        <v>2082325</v>
      </c>
      <c r="H10456">
        <v>12600828</v>
      </c>
      <c r="I10456">
        <v>16320111</v>
      </c>
      <c r="J10456">
        <v>6</v>
      </c>
    </row>
    <row r="10457" spans="1:10" x14ac:dyDescent="0.25">
      <c r="A10457" t="s">
        <v>110</v>
      </c>
      <c r="B10457" s="1" t="str">
        <f>HYPERLINK("http://cintas.ca","cintas.ca")</f>
        <v>cintas.ca</v>
      </c>
      <c r="C10457" t="s">
        <v>428</v>
      </c>
      <c r="D10457" t="s">
        <v>809</v>
      </c>
      <c r="F10457">
        <v>2.60364304380147E-8</v>
      </c>
      <c r="G10457">
        <v>1978761</v>
      </c>
      <c r="H10457">
        <v>12963419</v>
      </c>
      <c r="I10457">
        <v>13140112</v>
      </c>
      <c r="J10457">
        <v>2</v>
      </c>
    </row>
    <row r="10458" spans="1:10" x14ac:dyDescent="0.25">
      <c r="A10458" t="s">
        <v>110</v>
      </c>
      <c r="B10458" s="1" t="str">
        <f>HYPERLINK("http://cintas.com","cintas.com")</f>
        <v>cintas.com</v>
      </c>
      <c r="C10458" t="s">
        <v>433</v>
      </c>
      <c r="E10458">
        <v>39821</v>
      </c>
      <c r="F10458">
        <v>6.2946074204412403E-7</v>
      </c>
      <c r="G10458">
        <v>60940</v>
      </c>
      <c r="H10458">
        <v>17115990</v>
      </c>
      <c r="I10458">
        <v>60992</v>
      </c>
      <c r="J10458">
        <v>1</v>
      </c>
    </row>
    <row r="10459" spans="1:10" x14ac:dyDescent="0.25">
      <c r="A10459" t="s">
        <v>110</v>
      </c>
      <c r="B10459" s="1" t="str">
        <f>HYPERLINK("http://millmats.com","millmats.com")</f>
        <v>millmats.com</v>
      </c>
      <c r="C10459" t="s">
        <v>433</v>
      </c>
      <c r="E10459">
        <v>808811</v>
      </c>
      <c r="F10459">
        <v>5.7988019520127199E-9</v>
      </c>
      <c r="G10459">
        <v>18095483</v>
      </c>
      <c r="H10459">
        <v>12229201</v>
      </c>
      <c r="I10459">
        <v>22524698</v>
      </c>
      <c r="J10459">
        <v>4</v>
      </c>
    </row>
    <row r="10460" spans="1:10" x14ac:dyDescent="0.25">
      <c r="A10460" t="s">
        <v>111</v>
      </c>
      <c r="B10460" s="1" t="str">
        <f>HYPERLINK("http://wrappup.ai","wrappup.ai")</f>
        <v>wrappup.ai</v>
      </c>
      <c r="C10460" t="s">
        <v>524</v>
      </c>
      <c r="D10460" t="s">
        <v>892</v>
      </c>
      <c r="F10460">
        <v>5.2643858518941102E-9</v>
      </c>
      <c r="G10460">
        <v>24036586</v>
      </c>
      <c r="H10460">
        <v>13203602</v>
      </c>
      <c r="I10460">
        <v>11537532</v>
      </c>
      <c r="J10460">
        <v>6</v>
      </c>
    </row>
    <row r="10461" spans="1:10" x14ac:dyDescent="0.25">
      <c r="A10461" t="s">
        <v>111</v>
      </c>
      <c r="B10461" s="1" t="str">
        <f>HYPERLINK("http://calisti.app","calisti.app")</f>
        <v>calisti.app</v>
      </c>
      <c r="C10461" t="s">
        <v>587</v>
      </c>
      <c r="F10461">
        <v>9.5599045924632698E-9</v>
      </c>
      <c r="G10461">
        <v>7251209</v>
      </c>
      <c r="H10461">
        <v>13058377</v>
      </c>
      <c r="I10461">
        <v>12548554</v>
      </c>
      <c r="J10461">
        <v>5</v>
      </c>
    </row>
    <row r="10462" spans="1:10" x14ac:dyDescent="0.25">
      <c r="A10462" t="s">
        <v>111</v>
      </c>
      <c r="B10462" s="1" t="str">
        <f>HYPERLINK("http://panoptica.app","panoptica.app")</f>
        <v>panoptica.app</v>
      </c>
      <c r="C10462" t="s">
        <v>587</v>
      </c>
      <c r="F10462">
        <v>1.1430943162653399E-8</v>
      </c>
      <c r="G10462">
        <v>5553576</v>
      </c>
      <c r="H10462">
        <v>13061285</v>
      </c>
      <c r="I10462">
        <v>12326702</v>
      </c>
      <c r="J10462">
        <v>5</v>
      </c>
    </row>
    <row r="10463" spans="1:10" x14ac:dyDescent="0.25">
      <c r="A10463" t="s">
        <v>111</v>
      </c>
      <c r="B10463" s="1" t="str">
        <f>HYPERLINK("http://cisco.at","cisco.at")</f>
        <v>cisco.at</v>
      </c>
      <c r="C10463" t="s">
        <v>419</v>
      </c>
      <c r="D10463" t="s">
        <v>801</v>
      </c>
      <c r="F10463">
        <v>1.2802038617911499E-8</v>
      </c>
      <c r="G10463">
        <v>4727772</v>
      </c>
      <c r="H10463">
        <v>13947178</v>
      </c>
      <c r="I10463">
        <v>4210207</v>
      </c>
      <c r="J10463">
        <v>2</v>
      </c>
    </row>
    <row r="10464" spans="1:10" x14ac:dyDescent="0.25">
      <c r="A10464" t="s">
        <v>111</v>
      </c>
      <c r="B10464" s="1" t="str">
        <f>HYPERLINK("http://cisco.com.au","cisco.com.au")</f>
        <v>cisco.com.au</v>
      </c>
      <c r="C10464" t="s">
        <v>420</v>
      </c>
      <c r="D10464" t="s">
        <v>802</v>
      </c>
      <c r="F10464">
        <v>1.5267585421543699E-8</v>
      </c>
      <c r="G10464">
        <v>3755436</v>
      </c>
      <c r="H10464">
        <v>13376562</v>
      </c>
      <c r="I10464">
        <v>10441115</v>
      </c>
      <c r="J10464">
        <v>2</v>
      </c>
    </row>
    <row r="10465" spans="1:10" x14ac:dyDescent="0.25">
      <c r="A10465" t="s">
        <v>111</v>
      </c>
      <c r="B10465" s="1" t="str">
        <f>HYPERLINK("http://webex.com.au","webex.com.au")</f>
        <v>webex.com.au</v>
      </c>
      <c r="C10465" t="s">
        <v>420</v>
      </c>
      <c r="D10465" t="s">
        <v>802</v>
      </c>
      <c r="F10465">
        <v>3.1296392416988599E-8</v>
      </c>
      <c r="G10465">
        <v>1647693</v>
      </c>
      <c r="H10465">
        <v>14249310</v>
      </c>
      <c r="I10465">
        <v>1450065</v>
      </c>
      <c r="J10465">
        <v>3</v>
      </c>
    </row>
    <row r="10466" spans="1:10" x14ac:dyDescent="0.25">
      <c r="A10466" t="s">
        <v>111</v>
      </c>
      <c r="B10466" s="1" t="str">
        <f>HYPERLINK("http://cisco.be","cisco.be")</f>
        <v>cisco.be</v>
      </c>
      <c r="C10466" t="s">
        <v>421</v>
      </c>
      <c r="D10466" t="s">
        <v>803</v>
      </c>
      <c r="F10466">
        <v>8.19860092769556E-9</v>
      </c>
      <c r="G10466">
        <v>9573489</v>
      </c>
      <c r="H10466">
        <v>13785952</v>
      </c>
      <c r="I10466">
        <v>6393353</v>
      </c>
      <c r="J10466">
        <v>2</v>
      </c>
    </row>
    <row r="10467" spans="1:10" x14ac:dyDescent="0.25">
      <c r="A10467" t="s">
        <v>111</v>
      </c>
      <c r="B10467" s="1" t="str">
        <f>HYPERLINK("http://cisco.biz","cisco.biz")</f>
        <v>cisco.biz</v>
      </c>
      <c r="C10467" t="s">
        <v>423</v>
      </c>
      <c r="F10467">
        <v>9.9558398520565408E-9</v>
      </c>
      <c r="G10467">
        <v>6800349</v>
      </c>
      <c r="H10467">
        <v>13240709</v>
      </c>
      <c r="I10467">
        <v>11218923</v>
      </c>
      <c r="J10467">
        <v>2</v>
      </c>
    </row>
    <row r="10468" spans="1:10" x14ac:dyDescent="0.25">
      <c r="A10468" t="s">
        <v>111</v>
      </c>
      <c r="B10468" s="1" t="str">
        <f>HYPERLINK("http://webex.bot","webex.bot")</f>
        <v>webex.bot</v>
      </c>
      <c r="C10468" t="s">
        <v>740</v>
      </c>
      <c r="F10468">
        <v>2.5470192765339601E-8</v>
      </c>
      <c r="G10468">
        <v>2025177</v>
      </c>
      <c r="H10468">
        <v>13017743</v>
      </c>
      <c r="I10468">
        <v>12722431</v>
      </c>
      <c r="J10468">
        <v>4</v>
      </c>
    </row>
    <row r="10469" spans="1:10" x14ac:dyDescent="0.25">
      <c r="A10469" t="s">
        <v>111</v>
      </c>
      <c r="B10469" s="1" t="str">
        <f>HYPERLINK("http://cisco.com.br","cisco.com.br")</f>
        <v>cisco.com.br</v>
      </c>
      <c r="C10469" t="s">
        <v>425</v>
      </c>
      <c r="D10469" t="s">
        <v>806</v>
      </c>
      <c r="F10469">
        <v>2.2460750378280201E-8</v>
      </c>
      <c r="G10469">
        <v>2332864</v>
      </c>
      <c r="H10469">
        <v>13470121</v>
      </c>
      <c r="I10469">
        <v>10037267</v>
      </c>
      <c r="J10469">
        <v>2</v>
      </c>
    </row>
    <row r="10470" spans="1:10" x14ac:dyDescent="0.25">
      <c r="A10470" t="s">
        <v>111</v>
      </c>
      <c r="B10470" s="1" t="str">
        <f>HYPERLINK("http://webex.com.br","webex.com.br")</f>
        <v>webex.com.br</v>
      </c>
      <c r="C10470" t="s">
        <v>425</v>
      </c>
      <c r="D10470" t="s">
        <v>806</v>
      </c>
      <c r="F10470">
        <v>5.24934892546615E-8</v>
      </c>
      <c r="G10470">
        <v>868767</v>
      </c>
      <c r="H10470">
        <v>13685684</v>
      </c>
      <c r="I10470">
        <v>9531877</v>
      </c>
      <c r="J10470">
        <v>4</v>
      </c>
    </row>
    <row r="10471" spans="1:10" x14ac:dyDescent="0.25">
      <c r="A10471" t="s">
        <v>111</v>
      </c>
      <c r="B10471" s="1" t="str">
        <f>HYPERLINK("http://webex.ca","webex.ca")</f>
        <v>webex.ca</v>
      </c>
      <c r="C10471" t="s">
        <v>428</v>
      </c>
      <c r="D10471" t="s">
        <v>809</v>
      </c>
      <c r="F10471">
        <v>4.5671737812052603E-8</v>
      </c>
      <c r="G10471">
        <v>1029630</v>
      </c>
      <c r="H10471">
        <v>13436630</v>
      </c>
      <c r="I10471">
        <v>10268182</v>
      </c>
      <c r="J10471">
        <v>4</v>
      </c>
    </row>
    <row r="10472" spans="1:10" x14ac:dyDescent="0.25">
      <c r="A10472" t="s">
        <v>111</v>
      </c>
      <c r="B10472" s="1" t="str">
        <f>HYPERLINK("http://cisco.ch","cisco.ch")</f>
        <v>cisco.ch</v>
      </c>
      <c r="C10472" t="s">
        <v>429</v>
      </c>
      <c r="D10472" t="s">
        <v>810</v>
      </c>
      <c r="F10472">
        <v>1.4587049270029701E-8</v>
      </c>
      <c r="G10472">
        <v>3981654</v>
      </c>
      <c r="H10472">
        <v>13064380</v>
      </c>
      <c r="I10472">
        <v>12298198</v>
      </c>
      <c r="J10472">
        <v>2</v>
      </c>
    </row>
    <row r="10473" spans="1:10" x14ac:dyDescent="0.25">
      <c r="A10473" t="s">
        <v>111</v>
      </c>
      <c r="B10473" s="1" t="str">
        <f>HYPERLINK("http://cisco.cl","cisco.cl")</f>
        <v>cisco.cl</v>
      </c>
      <c r="C10473" t="s">
        <v>430</v>
      </c>
      <c r="D10473" t="s">
        <v>811</v>
      </c>
      <c r="F10473">
        <v>8.2531622597739702E-9</v>
      </c>
      <c r="G10473">
        <v>9369653</v>
      </c>
      <c r="H10473">
        <v>13050250</v>
      </c>
      <c r="I10473">
        <v>12583746</v>
      </c>
      <c r="J10473">
        <v>2</v>
      </c>
    </row>
    <row r="10474" spans="1:10" x14ac:dyDescent="0.25">
      <c r="A10474" t="s">
        <v>111</v>
      </c>
      <c r="B10474" s="1" t="str">
        <f>HYPERLINK("http://webex.com.cn","webex.com.cn")</f>
        <v>webex.com.cn</v>
      </c>
      <c r="C10474" t="s">
        <v>431</v>
      </c>
      <c r="D10474" t="s">
        <v>812</v>
      </c>
      <c r="E10474">
        <v>161948</v>
      </c>
      <c r="F10474">
        <v>1.5218750036022501E-7</v>
      </c>
      <c r="G10474">
        <v>255201</v>
      </c>
      <c r="H10474">
        <v>14291805</v>
      </c>
      <c r="I10474">
        <v>1364787</v>
      </c>
      <c r="J10474">
        <v>3</v>
      </c>
    </row>
    <row r="10475" spans="1:10" x14ac:dyDescent="0.25">
      <c r="A10475" t="s">
        <v>111</v>
      </c>
      <c r="B10475" s="1" t="str">
        <f>HYPERLINK("http://wrappup.co","wrappup.co")</f>
        <v>wrappup.co</v>
      </c>
      <c r="C10475" t="s">
        <v>432</v>
      </c>
      <c r="F10475">
        <v>1.3627840183883501E-8</v>
      </c>
      <c r="G10475">
        <v>4350409</v>
      </c>
      <c r="H10475">
        <v>13227869</v>
      </c>
      <c r="I10475">
        <v>11293729</v>
      </c>
      <c r="J10475">
        <v>3</v>
      </c>
    </row>
    <row r="10476" spans="1:10" x14ac:dyDescent="0.25">
      <c r="A10476" t="s">
        <v>111</v>
      </c>
      <c r="B10476" s="1" t="str">
        <f>HYPERLINK("http://47line.com","47line.com")</f>
        <v>47line.com</v>
      </c>
      <c r="C10476" t="s">
        <v>433</v>
      </c>
      <c r="F10476">
        <v>4.4448741865554099E-9</v>
      </c>
      <c r="G10476">
        <v>75956892</v>
      </c>
      <c r="H10476">
        <v>10690006</v>
      </c>
      <c r="I10476">
        <v>42497521</v>
      </c>
      <c r="J10476">
        <v>6</v>
      </c>
    </row>
    <row r="10477" spans="1:10" x14ac:dyDescent="0.25">
      <c r="A10477" t="s">
        <v>111</v>
      </c>
      <c r="B10477" s="1" t="str">
        <f>HYPERLINK("http://acacia-inc.com","acacia-inc.com")</f>
        <v>acacia-inc.com</v>
      </c>
      <c r="C10477" t="s">
        <v>433</v>
      </c>
      <c r="E10477">
        <v>824296</v>
      </c>
      <c r="F10477">
        <v>5.6970034183957197E-8</v>
      </c>
      <c r="G10477">
        <v>783860</v>
      </c>
      <c r="H10477">
        <v>13516649</v>
      </c>
      <c r="I10477">
        <v>9942523</v>
      </c>
      <c r="J10477">
        <v>3</v>
      </c>
    </row>
    <row r="10478" spans="1:10" x14ac:dyDescent="0.25">
      <c r="A10478" t="s">
        <v>111</v>
      </c>
      <c r="B10478" s="1" t="str">
        <f>HYPERLINK("http://acano.com","acano.com")</f>
        <v>acano.com</v>
      </c>
      <c r="C10478" t="s">
        <v>433</v>
      </c>
      <c r="F10478">
        <v>2.1230623530888702E-8</v>
      </c>
      <c r="G10478">
        <v>2483855</v>
      </c>
      <c r="H10478">
        <v>13841917</v>
      </c>
      <c r="I10478">
        <v>6069113</v>
      </c>
      <c r="J10478">
        <v>3</v>
      </c>
    </row>
    <row r="10479" spans="1:10" x14ac:dyDescent="0.25">
      <c r="A10479" t="s">
        <v>111</v>
      </c>
      <c r="B10479" s="1" t="str">
        <f>HYPERLINK("http://appd-test.com","appd-test.com")</f>
        <v>appd-test.com</v>
      </c>
      <c r="C10479" t="s">
        <v>433</v>
      </c>
      <c r="E10479">
        <v>710226</v>
      </c>
      <c r="F10479">
        <v>4.4438479190968097E-9</v>
      </c>
      <c r="G10479">
        <v>78567910</v>
      </c>
      <c r="H10479">
        <v>10542119</v>
      </c>
      <c r="I10479">
        <v>47106136</v>
      </c>
      <c r="J10479">
        <v>4</v>
      </c>
    </row>
    <row r="10480" spans="1:10" x14ac:dyDescent="0.25">
      <c r="A10480" t="s">
        <v>111</v>
      </c>
      <c r="B10480" s="1" t="str">
        <f>HYPERLINK("http://appdynamics.com","appdynamics.com")</f>
        <v>appdynamics.com</v>
      </c>
      <c r="C10480" t="s">
        <v>433</v>
      </c>
      <c r="E10480">
        <v>3470</v>
      </c>
      <c r="F10480">
        <v>1.2208444187568199E-5</v>
      </c>
      <c r="G10480">
        <v>2827</v>
      </c>
      <c r="H10480">
        <v>18558620</v>
      </c>
      <c r="I10480">
        <v>1390</v>
      </c>
      <c r="J10480">
        <v>3</v>
      </c>
    </row>
    <row r="10481" spans="1:10" x14ac:dyDescent="0.25">
      <c r="A10481" t="s">
        <v>111</v>
      </c>
      <c r="B10481" s="1" t="str">
        <f>HYPERLINK("http://broadhop.com","broadhop.com")</f>
        <v>broadhop.com</v>
      </c>
      <c r="C10481" t="s">
        <v>433</v>
      </c>
      <c r="F10481">
        <v>1.36855780957481E-8</v>
      </c>
      <c r="G10481">
        <v>4326893</v>
      </c>
      <c r="H10481">
        <v>13788177</v>
      </c>
      <c r="I10481">
        <v>6366596</v>
      </c>
      <c r="J10481">
        <v>3</v>
      </c>
    </row>
    <row r="10482" spans="1:10" x14ac:dyDescent="0.25">
      <c r="A10482" t="s">
        <v>111</v>
      </c>
      <c r="B10482" s="1" t="str">
        <f>HYPERLINK("http://broadsoft.com","broadsoft.com")</f>
        <v>broadsoft.com</v>
      </c>
      <c r="C10482" t="s">
        <v>433</v>
      </c>
      <c r="E10482">
        <v>120843</v>
      </c>
      <c r="F10482">
        <v>3.3878481867965101E-7</v>
      </c>
      <c r="G10482">
        <v>110137</v>
      </c>
      <c r="H10482">
        <v>14684946</v>
      </c>
      <c r="I10482">
        <v>605660</v>
      </c>
      <c r="J10482">
        <v>3</v>
      </c>
    </row>
    <row r="10483" spans="1:10" x14ac:dyDescent="0.25">
      <c r="A10483" t="s">
        <v>111</v>
      </c>
      <c r="B10483" s="1" t="str">
        <f>HYPERLINK("http://cisco.com","cisco.com")</f>
        <v>cisco.com</v>
      </c>
      <c r="C10483" t="s">
        <v>433</v>
      </c>
      <c r="E10483">
        <v>181</v>
      </c>
      <c r="F10483">
        <v>4.22632549665718E-5</v>
      </c>
      <c r="G10483">
        <v>638</v>
      </c>
      <c r="H10483">
        <v>19081082</v>
      </c>
      <c r="I10483">
        <v>472</v>
      </c>
      <c r="J10483">
        <v>1</v>
      </c>
    </row>
    <row r="10484" spans="1:10" x14ac:dyDescent="0.25">
      <c r="A10484" t="s">
        <v>111</v>
      </c>
      <c r="B10484" s="1" t="str">
        <f>HYPERLINK("http://cloudcherry.com","cloudcherry.com")</f>
        <v>cloudcherry.com</v>
      </c>
      <c r="C10484" t="s">
        <v>433</v>
      </c>
      <c r="E10484">
        <v>675900</v>
      </c>
      <c r="F10484">
        <v>5.8598632200237102E-8</v>
      </c>
      <c r="G10484">
        <v>757703</v>
      </c>
      <c r="H10484">
        <v>13701892</v>
      </c>
      <c r="I10484">
        <v>9513081</v>
      </c>
      <c r="J10484">
        <v>3</v>
      </c>
    </row>
    <row r="10485" spans="1:10" x14ac:dyDescent="0.25">
      <c r="A10485" t="s">
        <v>111</v>
      </c>
      <c r="B10485" s="1" t="str">
        <f>HYPERLINK("http://coreoptics.com","coreoptics.com")</f>
        <v>coreoptics.com</v>
      </c>
      <c r="C10485" t="s">
        <v>433</v>
      </c>
      <c r="F10485">
        <v>1.09202311199796E-8</v>
      </c>
      <c r="G10485">
        <v>5926871</v>
      </c>
      <c r="H10485">
        <v>12962065</v>
      </c>
      <c r="I10485">
        <v>13158870</v>
      </c>
      <c r="J10485">
        <v>3</v>
      </c>
    </row>
    <row r="10486" spans="1:10" x14ac:dyDescent="0.25">
      <c r="A10486" t="s">
        <v>111</v>
      </c>
      <c r="B10486" s="1" t="str">
        <f>HYPERLINK("http://duo.com","duo.com")</f>
        <v>duo.com</v>
      </c>
      <c r="C10486" t="s">
        <v>433</v>
      </c>
      <c r="E10486">
        <v>16729</v>
      </c>
      <c r="F10486">
        <v>6.1035705142467804E-6</v>
      </c>
      <c r="G10486">
        <v>5641</v>
      </c>
      <c r="H10486">
        <v>18260518</v>
      </c>
      <c r="I10486">
        <v>2502</v>
      </c>
      <c r="J10486">
        <v>3</v>
      </c>
    </row>
    <row r="10487" spans="1:10" x14ac:dyDescent="0.25">
      <c r="A10487" t="s">
        <v>111</v>
      </c>
      <c r="B10487" s="1" t="str">
        <f>HYPERLINK("http://epsagon.com","epsagon.com")</f>
        <v>epsagon.com</v>
      </c>
      <c r="C10487" t="s">
        <v>433</v>
      </c>
      <c r="E10487">
        <v>484498</v>
      </c>
      <c r="F10487">
        <v>2.9600961789436102E-7</v>
      </c>
      <c r="G10487">
        <v>125670</v>
      </c>
      <c r="H10487">
        <v>14316515</v>
      </c>
      <c r="I10487">
        <v>1335072</v>
      </c>
      <c r="J10487">
        <v>3</v>
      </c>
    </row>
    <row r="10488" spans="1:10" x14ac:dyDescent="0.25">
      <c r="A10488" t="s">
        <v>111</v>
      </c>
      <c r="B10488" s="1" t="str">
        <f>HYPERLINK("http://exablaze.com","exablaze.com")</f>
        <v>exablaze.com</v>
      </c>
      <c r="C10488" t="s">
        <v>433</v>
      </c>
      <c r="F10488">
        <v>1.7210551301426601E-8</v>
      </c>
      <c r="G10488">
        <v>3222713</v>
      </c>
      <c r="H10488">
        <v>13632112</v>
      </c>
      <c r="I10488">
        <v>9616781</v>
      </c>
      <c r="J10488">
        <v>3</v>
      </c>
    </row>
    <row r="10489" spans="1:10" x14ac:dyDescent="0.25">
      <c r="A10489" t="s">
        <v>111</v>
      </c>
      <c r="B10489" s="1" t="str">
        <f>HYPERLINK("http://fluidmesh.com","fluidmesh.com")</f>
        <v>fluidmesh.com</v>
      </c>
      <c r="C10489" t="s">
        <v>433</v>
      </c>
      <c r="F10489">
        <v>2.8976717410391699E-8</v>
      </c>
      <c r="G10489">
        <v>1776787</v>
      </c>
      <c r="H10489">
        <v>13420797</v>
      </c>
      <c r="I10489">
        <v>10303815</v>
      </c>
      <c r="J10489">
        <v>3</v>
      </c>
    </row>
    <row r="10490" spans="1:10" x14ac:dyDescent="0.25">
      <c r="A10490" t="s">
        <v>111</v>
      </c>
      <c r="B10490" s="1" t="str">
        <f>HYPERLINK("http://getcloudcherry.com","getcloudcherry.com")</f>
        <v>getcloudcherry.com</v>
      </c>
      <c r="C10490" t="s">
        <v>433</v>
      </c>
      <c r="E10490">
        <v>424539</v>
      </c>
      <c r="F10490">
        <v>7.9742882434677096E-8</v>
      </c>
      <c r="G10490">
        <v>523890</v>
      </c>
      <c r="H10490">
        <v>13910856</v>
      </c>
      <c r="I10490">
        <v>5941780</v>
      </c>
      <c r="J10490">
        <v>4</v>
      </c>
    </row>
    <row r="10491" spans="1:10" x14ac:dyDescent="0.25">
      <c r="A10491" t="s">
        <v>111</v>
      </c>
      <c r="B10491" s="1" t="str">
        <f>HYPERLINK("http://healthcare-communications.com","healthcare-communications.com")</f>
        <v>healthcare-communications.com</v>
      </c>
      <c r="C10491" t="s">
        <v>433</v>
      </c>
      <c r="F10491">
        <v>1.7665450279883701E-8</v>
      </c>
      <c r="G10491">
        <v>3104240</v>
      </c>
      <c r="H10491">
        <v>13579646</v>
      </c>
      <c r="I10491">
        <v>9690900</v>
      </c>
      <c r="J10491">
        <v>3</v>
      </c>
    </row>
    <row r="10492" spans="1:10" x14ac:dyDescent="0.25">
      <c r="A10492" t="s">
        <v>111</v>
      </c>
      <c r="B10492" s="1" t="str">
        <f>HYPERLINK("http://heathcare-communications.com","heathcare-communications.com")</f>
        <v>heathcare-communications.com</v>
      </c>
      <c r="C10492" t="s">
        <v>433</v>
      </c>
      <c r="J10492">
        <v>6</v>
      </c>
    </row>
    <row r="10493" spans="1:10" x14ac:dyDescent="0.25">
      <c r="A10493" t="s">
        <v>111</v>
      </c>
      <c r="B10493" s="1" t="str">
        <f>HYPERLINK("http://imimobile.com","imimobile.com")</f>
        <v>imimobile.com</v>
      </c>
      <c r="C10493" t="s">
        <v>433</v>
      </c>
      <c r="E10493">
        <v>252942</v>
      </c>
      <c r="F10493">
        <v>2.7454073068145899E-7</v>
      </c>
      <c r="G10493">
        <v>135499</v>
      </c>
      <c r="H10493">
        <v>16858062</v>
      </c>
      <c r="I10493">
        <v>155848</v>
      </c>
      <c r="J10493">
        <v>3</v>
      </c>
    </row>
    <row r="10494" spans="1:10" x14ac:dyDescent="0.25">
      <c r="A10494" t="s">
        <v>111</v>
      </c>
      <c r="B10494" s="1" t="str">
        <f>HYPERLINK("http://intranets.com","intranets.com")</f>
        <v>intranets.com</v>
      </c>
      <c r="C10494" t="s">
        <v>433</v>
      </c>
      <c r="F10494">
        <v>9.2521581580677099E-8</v>
      </c>
      <c r="G10494">
        <v>439843</v>
      </c>
      <c r="H10494">
        <v>13831726</v>
      </c>
      <c r="I10494">
        <v>6104586</v>
      </c>
      <c r="J10494">
        <v>6</v>
      </c>
    </row>
    <row r="10495" spans="1:10" x14ac:dyDescent="0.25">
      <c r="A10495" t="s">
        <v>111</v>
      </c>
      <c r="B10495" s="1" t="str">
        <f>HYPERLINK("http://intucellsystems.com","intucellsystems.com")</f>
        <v>intucellsystems.com</v>
      </c>
      <c r="C10495" t="s">
        <v>433</v>
      </c>
      <c r="F10495">
        <v>1.0336863473701101E-8</v>
      </c>
      <c r="G10495">
        <v>6416570</v>
      </c>
      <c r="H10495">
        <v>13848914</v>
      </c>
      <c r="I10495">
        <v>6055994</v>
      </c>
      <c r="J10495">
        <v>3</v>
      </c>
    </row>
    <row r="10496" spans="1:10" x14ac:dyDescent="0.25">
      <c r="A10496" t="s">
        <v>111</v>
      </c>
      <c r="B10496" s="1" t="str">
        <f>HYPERLINK("http://ironport.com","ironport.com")</f>
        <v>ironport.com</v>
      </c>
      <c r="C10496" t="s">
        <v>433</v>
      </c>
      <c r="E10496">
        <v>19384</v>
      </c>
      <c r="F10496">
        <v>1.3013229272532301E-7</v>
      </c>
      <c r="G10496">
        <v>300749</v>
      </c>
      <c r="H10496">
        <v>14529819</v>
      </c>
      <c r="I10496">
        <v>787939</v>
      </c>
      <c r="J10496">
        <v>8</v>
      </c>
    </row>
    <row r="10497" spans="1:10" x14ac:dyDescent="0.25">
      <c r="A10497" t="s">
        <v>111</v>
      </c>
      <c r="B10497" s="1" t="str">
        <f>HYPERLINK("http://jasper.com","jasper.com")</f>
        <v>jasper.com</v>
      </c>
      <c r="C10497" t="s">
        <v>433</v>
      </c>
      <c r="E10497">
        <v>27240</v>
      </c>
      <c r="F10497">
        <v>8.5449837506915502E-8</v>
      </c>
      <c r="G10497">
        <v>482369</v>
      </c>
      <c r="H10497">
        <v>14095059</v>
      </c>
      <c r="I10497">
        <v>2730305</v>
      </c>
      <c r="J10497">
        <v>3</v>
      </c>
    </row>
    <row r="10498" spans="1:10" x14ac:dyDescent="0.25">
      <c r="A10498" t="s">
        <v>111</v>
      </c>
      <c r="B10498" s="1" t="str">
        <f>HYPERLINK("http://julysystems.com","julysystems.com")</f>
        <v>julysystems.com</v>
      </c>
      <c r="C10498" t="s">
        <v>433</v>
      </c>
      <c r="F10498">
        <v>1.0381512262743901E-7</v>
      </c>
      <c r="G10498">
        <v>386355</v>
      </c>
      <c r="H10498">
        <v>14745659</v>
      </c>
      <c r="I10498">
        <v>565356</v>
      </c>
      <c r="J10498">
        <v>3</v>
      </c>
    </row>
    <row r="10499" spans="1:10" x14ac:dyDescent="0.25">
      <c r="A10499" t="s">
        <v>111</v>
      </c>
      <c r="B10499" s="1" t="str">
        <f>HYPERLINK("http://leonidsystems.com","leonidsystems.com")</f>
        <v>leonidsystems.com</v>
      </c>
      <c r="C10499" t="s">
        <v>433</v>
      </c>
      <c r="F10499">
        <v>6.1712750449917501E-9</v>
      </c>
      <c r="G10499">
        <v>15686089</v>
      </c>
      <c r="H10499">
        <v>11273392</v>
      </c>
      <c r="I10499">
        <v>30744767</v>
      </c>
      <c r="J10499">
        <v>7</v>
      </c>
    </row>
    <row r="10500" spans="1:10" x14ac:dyDescent="0.25">
      <c r="A10500" t="s">
        <v>111</v>
      </c>
      <c r="B10500" s="1" t="str">
        <f>HYPERLINK("http://meraki.com","meraki.com")</f>
        <v>meraki.com</v>
      </c>
      <c r="C10500" t="s">
        <v>433</v>
      </c>
      <c r="E10500">
        <v>128</v>
      </c>
      <c r="F10500">
        <v>9.1968603893672497E-7</v>
      </c>
      <c r="G10500">
        <v>42010</v>
      </c>
      <c r="H10500">
        <v>17415306</v>
      </c>
      <c r="I10500">
        <v>18174</v>
      </c>
      <c r="J10500">
        <v>3</v>
      </c>
    </row>
    <row r="10501" spans="1:10" x14ac:dyDescent="0.25">
      <c r="A10501" t="s">
        <v>111</v>
      </c>
      <c r="B10501" s="1" t="str">
        <f>HYPERLINK("http://modcam.com","modcam.com")</f>
        <v>modcam.com</v>
      </c>
      <c r="C10501" t="s">
        <v>433</v>
      </c>
      <c r="F10501">
        <v>1.43861912156725E-8</v>
      </c>
      <c r="G10501">
        <v>4061845</v>
      </c>
      <c r="H10501">
        <v>13624493</v>
      </c>
      <c r="I10501">
        <v>9622398</v>
      </c>
      <c r="J10501">
        <v>3</v>
      </c>
    </row>
    <row r="10502" spans="1:10" x14ac:dyDescent="0.25">
      <c r="A10502" t="s">
        <v>111</v>
      </c>
      <c r="B10502" s="1" t="str">
        <f>HYPERLINK("http://neohapsis.com","neohapsis.com")</f>
        <v>neohapsis.com</v>
      </c>
      <c r="C10502" t="s">
        <v>433</v>
      </c>
      <c r="E10502">
        <v>234710</v>
      </c>
      <c r="F10502">
        <v>6.9999437978662003E-7</v>
      </c>
      <c r="G10502">
        <v>55238</v>
      </c>
      <c r="H10502">
        <v>17311376</v>
      </c>
      <c r="I10502">
        <v>26681</v>
      </c>
      <c r="J10502">
        <v>3</v>
      </c>
    </row>
    <row r="10503" spans="1:10" x14ac:dyDescent="0.25">
      <c r="A10503" t="s">
        <v>111</v>
      </c>
      <c r="B10503" s="1" t="str">
        <f>HYPERLINK("http://nodetime.com","nodetime.com")</f>
        <v>nodetime.com</v>
      </c>
      <c r="C10503" t="s">
        <v>433</v>
      </c>
      <c r="F10503">
        <v>2.4186538355994301E-8</v>
      </c>
      <c r="G10503">
        <v>2144879</v>
      </c>
      <c r="H10503">
        <v>14092139</v>
      </c>
      <c r="I10503">
        <v>2740712</v>
      </c>
      <c r="J10503">
        <v>6</v>
      </c>
    </row>
    <row r="10504" spans="1:10" x14ac:dyDescent="0.25">
      <c r="A10504" t="s">
        <v>111</v>
      </c>
      <c r="B10504" s="1" t="str">
        <f>HYPERLINK("http://opendns.com","opendns.com")</f>
        <v>opendns.com</v>
      </c>
      <c r="C10504" t="s">
        <v>433</v>
      </c>
      <c r="E10504">
        <v>230</v>
      </c>
      <c r="F10504">
        <v>5.5714630672200904E-6</v>
      </c>
      <c r="G10504">
        <v>6239</v>
      </c>
      <c r="H10504">
        <v>18103728</v>
      </c>
      <c r="I10504">
        <v>3113</v>
      </c>
      <c r="J10504">
        <v>4</v>
      </c>
    </row>
    <row r="10505" spans="1:10" x14ac:dyDescent="0.25">
      <c r="A10505" t="s">
        <v>111</v>
      </c>
      <c r="B10505" s="1" t="str">
        <f>HYPERLINK("http://packetisland.com","packetisland.com")</f>
        <v>packetisland.com</v>
      </c>
      <c r="C10505" t="s">
        <v>433</v>
      </c>
      <c r="F10505">
        <v>7.2066994255002103E-9</v>
      </c>
      <c r="G10505">
        <v>11722600</v>
      </c>
      <c r="H10505">
        <v>12992819</v>
      </c>
      <c r="I10505">
        <v>12835673</v>
      </c>
      <c r="J10505">
        <v>7</v>
      </c>
    </row>
    <row r="10506" spans="1:10" x14ac:dyDescent="0.25">
      <c r="A10506" t="s">
        <v>111</v>
      </c>
      <c r="B10506" s="1" t="str">
        <f>HYPERLINK("http://pawaa.com","pawaa.com")</f>
        <v>pawaa.com</v>
      </c>
      <c r="C10506" t="s">
        <v>433</v>
      </c>
      <c r="F10506">
        <v>8.2618780664236692E-9</v>
      </c>
      <c r="G10506">
        <v>9348127</v>
      </c>
      <c r="H10506">
        <v>13050275</v>
      </c>
      <c r="I10506">
        <v>12583228</v>
      </c>
      <c r="J10506">
        <v>3</v>
      </c>
    </row>
    <row r="10507" spans="1:10" x14ac:dyDescent="0.25">
      <c r="A10507" t="s">
        <v>111</v>
      </c>
      <c r="B10507" s="1" t="str">
        <f>HYPERLINK("http://scansafe.com","scansafe.com")</f>
        <v>scansafe.com</v>
      </c>
      <c r="C10507" t="s">
        <v>433</v>
      </c>
      <c r="E10507">
        <v>690550</v>
      </c>
      <c r="F10507">
        <v>4.3161113226134998E-8</v>
      </c>
      <c r="G10507">
        <v>1112325</v>
      </c>
      <c r="H10507">
        <v>14182753</v>
      </c>
      <c r="I10507">
        <v>1776419</v>
      </c>
      <c r="J10507">
        <v>8</v>
      </c>
    </row>
    <row r="10508" spans="1:10" x14ac:dyDescent="0.25">
      <c r="A10508" t="s">
        <v>111</v>
      </c>
      <c r="B10508" s="1" t="str">
        <f>HYPERLINK("http://sciatl.com","sciatl.com")</f>
        <v>sciatl.com</v>
      </c>
      <c r="C10508" t="s">
        <v>433</v>
      </c>
      <c r="E10508">
        <v>401305</v>
      </c>
      <c r="F10508">
        <v>1.9700025394779699E-8</v>
      </c>
      <c r="G10508">
        <v>2709210</v>
      </c>
      <c r="H10508">
        <v>13829433</v>
      </c>
      <c r="I10508">
        <v>6113000</v>
      </c>
      <c r="J10508">
        <v>4</v>
      </c>
    </row>
    <row r="10509" spans="1:10" x14ac:dyDescent="0.25">
      <c r="A10509" t="s">
        <v>111</v>
      </c>
      <c r="B10509" s="1" t="str">
        <f>HYPERLINK("http://sedonasys.com","sedonasys.com")</f>
        <v>sedonasys.com</v>
      </c>
      <c r="C10509" t="s">
        <v>433</v>
      </c>
      <c r="F10509">
        <v>2.29885686727131E-8</v>
      </c>
      <c r="G10509">
        <v>2273104</v>
      </c>
      <c r="H10509">
        <v>13483753</v>
      </c>
      <c r="I10509">
        <v>9999453</v>
      </c>
      <c r="J10509">
        <v>3</v>
      </c>
    </row>
    <row r="10510" spans="1:10" x14ac:dyDescent="0.25">
      <c r="A10510" t="s">
        <v>111</v>
      </c>
      <c r="B10510" s="1" t="str">
        <f>HYPERLINK("http://skinkers.com","skinkers.com")</f>
        <v>skinkers.com</v>
      </c>
      <c r="C10510" t="s">
        <v>433</v>
      </c>
      <c r="F10510">
        <v>8.2711777740062405E-8</v>
      </c>
      <c r="G10510">
        <v>504379</v>
      </c>
      <c r="H10510">
        <v>14820970</v>
      </c>
      <c r="I10510">
        <v>516621</v>
      </c>
      <c r="J10510">
        <v>3</v>
      </c>
    </row>
    <row r="10511" spans="1:10" x14ac:dyDescent="0.25">
      <c r="A10511" t="s">
        <v>111</v>
      </c>
      <c r="B10511" s="1" t="str">
        <f>HYPERLINK("http://slido.com","slido.com")</f>
        <v>slido.com</v>
      </c>
      <c r="C10511" t="s">
        <v>433</v>
      </c>
      <c r="E10511">
        <v>21840</v>
      </c>
      <c r="F10511">
        <v>6.6544254615217898E-7</v>
      </c>
      <c r="G10511">
        <v>57862</v>
      </c>
      <c r="H10511">
        <v>17154084</v>
      </c>
      <c r="I10511">
        <v>51364</v>
      </c>
      <c r="J10511">
        <v>5</v>
      </c>
    </row>
    <row r="10512" spans="1:10" x14ac:dyDescent="0.25">
      <c r="A10512" t="s">
        <v>111</v>
      </c>
      <c r="B10512" s="1" t="str">
        <f>HYPERLINK("http://slido-staging.com","slido-staging.com")</f>
        <v>slido-staging.com</v>
      </c>
      <c r="C10512" t="s">
        <v>433</v>
      </c>
      <c r="F10512">
        <v>4.44380395335525E-9</v>
      </c>
      <c r="G10512">
        <v>83443365</v>
      </c>
      <c r="H10512">
        <v>0</v>
      </c>
      <c r="I10512">
        <v>84269361</v>
      </c>
      <c r="J10512">
        <v>5</v>
      </c>
    </row>
    <row r="10513" spans="1:10" x14ac:dyDescent="0.25">
      <c r="A10513" t="s">
        <v>111</v>
      </c>
      <c r="B10513" s="1" t="str">
        <f>HYPERLINK("http://tail-f.com","tail-f.com")</f>
        <v>tail-f.com</v>
      </c>
      <c r="C10513" t="s">
        <v>433</v>
      </c>
      <c r="F10513">
        <v>1.36973081866069E-7</v>
      </c>
      <c r="G10513">
        <v>284561</v>
      </c>
      <c r="H10513">
        <v>14288436</v>
      </c>
      <c r="I10513">
        <v>1368466</v>
      </c>
      <c r="J10513">
        <v>3</v>
      </c>
    </row>
    <row r="10514" spans="1:10" x14ac:dyDescent="0.25">
      <c r="A10514" t="s">
        <v>111</v>
      </c>
      <c r="B10514" s="1" t="str">
        <f>HYPERLINK("http://team-one.com","team-one.com")</f>
        <v>team-one.com</v>
      </c>
      <c r="C10514" t="s">
        <v>433</v>
      </c>
      <c r="F10514">
        <v>1.7178353395708799E-8</v>
      </c>
      <c r="G10514">
        <v>3231649</v>
      </c>
      <c r="H10514">
        <v>13272671</v>
      </c>
      <c r="I10514">
        <v>10948825</v>
      </c>
      <c r="J10514">
        <v>9</v>
      </c>
    </row>
    <row r="10515" spans="1:10" x14ac:dyDescent="0.25">
      <c r="A10515" t="s">
        <v>111</v>
      </c>
      <c r="B10515" s="1" t="str">
        <f>HYPERLINK("http://textlocal.com","textlocal.com")</f>
        <v>textlocal.com</v>
      </c>
      <c r="C10515" t="s">
        <v>433</v>
      </c>
      <c r="E10515">
        <v>327106</v>
      </c>
      <c r="F10515">
        <v>2.3260212538606699E-7</v>
      </c>
      <c r="G10515">
        <v>161350</v>
      </c>
      <c r="H10515">
        <v>14801539</v>
      </c>
      <c r="I10515">
        <v>547949</v>
      </c>
      <c r="J10515">
        <v>3</v>
      </c>
    </row>
    <row r="10516" spans="1:10" x14ac:dyDescent="0.25">
      <c r="A10516" t="s">
        <v>111</v>
      </c>
      <c r="B10516" s="1" t="str">
        <f>HYPERLINK("http://thousandeyes.com","thousandeyes.com")</f>
        <v>thousandeyes.com</v>
      </c>
      <c r="C10516" t="s">
        <v>433</v>
      </c>
      <c r="E10516">
        <v>5743</v>
      </c>
      <c r="F10516">
        <v>3.25797754452293E-6</v>
      </c>
      <c r="G10516">
        <v>12278</v>
      </c>
      <c r="H10516">
        <v>17993720</v>
      </c>
      <c r="I10516">
        <v>3726</v>
      </c>
      <c r="J10516">
        <v>4</v>
      </c>
    </row>
    <row r="10517" spans="1:10" x14ac:dyDescent="0.25">
      <c r="A10517" t="s">
        <v>111</v>
      </c>
      <c r="B10517" s="1" t="str">
        <f>HYPERLINK("http://threatgrid.com","threatgrid.com")</f>
        <v>threatgrid.com</v>
      </c>
      <c r="C10517" t="s">
        <v>433</v>
      </c>
      <c r="E10517">
        <v>45347</v>
      </c>
      <c r="F10517">
        <v>5.9891334933882197E-8</v>
      </c>
      <c r="G10517">
        <v>737354</v>
      </c>
      <c r="H10517">
        <v>13957615</v>
      </c>
      <c r="I10517">
        <v>4126131</v>
      </c>
      <c r="J10517">
        <v>8</v>
      </c>
    </row>
    <row r="10518" spans="1:10" x14ac:dyDescent="0.25">
      <c r="A10518" t="s">
        <v>111</v>
      </c>
      <c r="B10518" s="1" t="str">
        <f>HYPERLINK("http://tropo.com","tropo.com")</f>
        <v>tropo.com</v>
      </c>
      <c r="C10518" t="s">
        <v>433</v>
      </c>
      <c r="E10518">
        <v>749689</v>
      </c>
      <c r="F10518">
        <v>1.8604589645604401E-7</v>
      </c>
      <c r="G10518">
        <v>207131</v>
      </c>
      <c r="H10518">
        <v>17073898</v>
      </c>
      <c r="I10518">
        <v>69904</v>
      </c>
      <c r="J10518">
        <v>3</v>
      </c>
    </row>
    <row r="10519" spans="1:10" x14ac:dyDescent="0.25">
      <c r="A10519" t="s">
        <v>111</v>
      </c>
      <c r="B10519" s="1" t="str">
        <f>HYPERLINK("http://viptela.com","viptela.com")</f>
        <v>viptela.com</v>
      </c>
      <c r="C10519" t="s">
        <v>433</v>
      </c>
      <c r="E10519">
        <v>553263</v>
      </c>
      <c r="F10519">
        <v>8.0361029156713404E-8</v>
      </c>
      <c r="G10519">
        <v>519733</v>
      </c>
      <c r="H10519">
        <v>13957973</v>
      </c>
      <c r="I10519">
        <v>4124455</v>
      </c>
      <c r="J10519">
        <v>3</v>
      </c>
    </row>
    <row r="10520" spans="1:10" x14ac:dyDescent="0.25">
      <c r="A10520" t="s">
        <v>111</v>
      </c>
      <c r="B10520" s="1" t="str">
        <f>HYPERLINK("http://voxeolabs.com","voxeolabs.com")</f>
        <v>voxeolabs.com</v>
      </c>
      <c r="C10520" t="s">
        <v>433</v>
      </c>
      <c r="F10520">
        <v>1.59141210668458E-8</v>
      </c>
      <c r="G10520">
        <v>3568972</v>
      </c>
      <c r="H10520">
        <v>13829511</v>
      </c>
      <c r="I10520">
        <v>6112785</v>
      </c>
      <c r="J10520">
        <v>7</v>
      </c>
    </row>
    <row r="10521" spans="1:10" x14ac:dyDescent="0.25">
      <c r="A10521" t="s">
        <v>111</v>
      </c>
      <c r="B10521" s="1" t="str">
        <f>HYPERLINK("http://webex.com","webex.com")</f>
        <v>webex.com</v>
      </c>
      <c r="C10521" t="s">
        <v>433</v>
      </c>
      <c r="E10521">
        <v>95</v>
      </c>
      <c r="F10521">
        <v>3.0695608455168699E-5</v>
      </c>
      <c r="G10521">
        <v>949</v>
      </c>
      <c r="H10521">
        <v>18628298</v>
      </c>
      <c r="I10521">
        <v>1202</v>
      </c>
      <c r="J10521">
        <v>3</v>
      </c>
    </row>
    <row r="10522" spans="1:10" x14ac:dyDescent="0.25">
      <c r="A10522" t="s">
        <v>111</v>
      </c>
      <c r="B10522" s="1" t="str">
        <f>HYPERLINK("http://webexcce.com","webexcce.com")</f>
        <v>webexcce.com</v>
      </c>
      <c r="C10522" t="s">
        <v>433</v>
      </c>
      <c r="E10522">
        <v>288806</v>
      </c>
      <c r="J10522">
        <v>3</v>
      </c>
    </row>
    <row r="10523" spans="1:10" x14ac:dyDescent="0.25">
      <c r="A10523" t="s">
        <v>111</v>
      </c>
      <c r="B10523" s="1" t="str">
        <f>HYPERLINK("http://winplc.com","winplc.com")</f>
        <v>winplc.com</v>
      </c>
      <c r="C10523" t="s">
        <v>433</v>
      </c>
      <c r="F10523">
        <v>6.8323865909312802E-9</v>
      </c>
      <c r="G10523">
        <v>12854612</v>
      </c>
      <c r="H10523">
        <v>13765346</v>
      </c>
      <c r="I10523">
        <v>7113093</v>
      </c>
      <c r="J10523">
        <v>3</v>
      </c>
    </row>
    <row r="10524" spans="1:10" x14ac:dyDescent="0.25">
      <c r="A10524" t="s">
        <v>111</v>
      </c>
      <c r="B10524" s="1" t="str">
        <f>HYPERLINK("http://zomojo.com","zomojo.com")</f>
        <v>zomojo.com</v>
      </c>
      <c r="C10524" t="s">
        <v>433</v>
      </c>
      <c r="F10524">
        <v>6.3943585678646E-9</v>
      </c>
      <c r="G10524">
        <v>14548998</v>
      </c>
      <c r="H10524">
        <v>13094035</v>
      </c>
      <c r="I10524">
        <v>12128773</v>
      </c>
      <c r="J10524">
        <v>3</v>
      </c>
    </row>
    <row r="10525" spans="1:10" x14ac:dyDescent="0.25">
      <c r="A10525" t="s">
        <v>111</v>
      </c>
      <c r="B10525" s="1" t="str">
        <f>HYPERLINK("http://cisco.cz","cisco.cz")</f>
        <v>cisco.cz</v>
      </c>
      <c r="C10525" t="s">
        <v>435</v>
      </c>
      <c r="D10525" t="s">
        <v>814</v>
      </c>
      <c r="F10525">
        <v>1.8364066269488501E-8</v>
      </c>
      <c r="G10525">
        <v>2955035</v>
      </c>
      <c r="H10525">
        <v>14072143</v>
      </c>
      <c r="I10525">
        <v>3152454</v>
      </c>
      <c r="J10525">
        <v>3</v>
      </c>
    </row>
    <row r="10526" spans="1:10" x14ac:dyDescent="0.25">
      <c r="A10526" t="s">
        <v>111</v>
      </c>
      <c r="B10526" s="1" t="str">
        <f>HYPERLINK("http://cognitivesecurity.cz","cognitivesecurity.cz")</f>
        <v>cognitivesecurity.cz</v>
      </c>
      <c r="C10526" t="s">
        <v>435</v>
      </c>
      <c r="D10526" t="s">
        <v>814</v>
      </c>
      <c r="F10526">
        <v>5.5862736844191399E-9</v>
      </c>
      <c r="G10526">
        <v>19992694</v>
      </c>
      <c r="H10526">
        <v>13216200</v>
      </c>
      <c r="I10526">
        <v>11359742</v>
      </c>
      <c r="J10526">
        <v>4</v>
      </c>
    </row>
    <row r="10527" spans="1:10" x14ac:dyDescent="0.25">
      <c r="A10527" t="s">
        <v>111</v>
      </c>
      <c r="B10527" s="1" t="str">
        <f>HYPERLINK("http://appdynamics.de","appdynamics.de")</f>
        <v>appdynamics.de</v>
      </c>
      <c r="C10527" t="s">
        <v>436</v>
      </c>
      <c r="D10527" t="s">
        <v>815</v>
      </c>
      <c r="F10527">
        <v>2.13302385571616E-8</v>
      </c>
      <c r="G10527">
        <v>2470411</v>
      </c>
      <c r="H10527">
        <v>13299894</v>
      </c>
      <c r="I10527">
        <v>10825141</v>
      </c>
      <c r="J10527">
        <v>4</v>
      </c>
    </row>
    <row r="10528" spans="1:10" x14ac:dyDescent="0.25">
      <c r="A10528" t="s">
        <v>111</v>
      </c>
      <c r="B10528" s="1" t="str">
        <f>HYPERLINK("http://cisco.de","cisco.de")</f>
        <v>cisco.de</v>
      </c>
      <c r="C10528" t="s">
        <v>436</v>
      </c>
      <c r="D10528" t="s">
        <v>815</v>
      </c>
      <c r="F10528">
        <v>1.01017064591106E-7</v>
      </c>
      <c r="G10528">
        <v>398044</v>
      </c>
      <c r="H10528">
        <v>13842085</v>
      </c>
      <c r="I10528">
        <v>6068740</v>
      </c>
      <c r="J10528">
        <v>2</v>
      </c>
    </row>
    <row r="10529" spans="1:10" x14ac:dyDescent="0.25">
      <c r="A10529" t="s">
        <v>111</v>
      </c>
      <c r="B10529" s="1" t="str">
        <f>HYPERLINK("http://webex.de","webex.de")</f>
        <v>webex.de</v>
      </c>
      <c r="C10529" t="s">
        <v>436</v>
      </c>
      <c r="D10529" t="s">
        <v>815</v>
      </c>
      <c r="F10529">
        <v>7.5343037075023697E-8</v>
      </c>
      <c r="G10529">
        <v>558054</v>
      </c>
      <c r="H10529">
        <v>14316544</v>
      </c>
      <c r="I10529">
        <v>1335046</v>
      </c>
      <c r="J10529">
        <v>3</v>
      </c>
    </row>
    <row r="10530" spans="1:10" x14ac:dyDescent="0.25">
      <c r="A10530" t="s">
        <v>111</v>
      </c>
      <c r="B10530" s="1" t="str">
        <f>HYPERLINK("http://sli.do","sli.do")</f>
        <v>sli.do</v>
      </c>
      <c r="C10530" t="s">
        <v>438</v>
      </c>
      <c r="D10530" t="s">
        <v>817</v>
      </c>
      <c r="E10530">
        <v>12814</v>
      </c>
      <c r="F10530">
        <v>4.19277554723061E-6</v>
      </c>
      <c r="G10530">
        <v>8593</v>
      </c>
      <c r="H10530">
        <v>17849358</v>
      </c>
      <c r="I10530">
        <v>4987</v>
      </c>
      <c r="J10530">
        <v>3</v>
      </c>
    </row>
    <row r="10531" spans="1:10" x14ac:dyDescent="0.25">
      <c r="A10531" t="s">
        <v>111</v>
      </c>
      <c r="B10531" s="1" t="str">
        <f>HYPERLINK("http://appdynamics.es","appdynamics.es")</f>
        <v>appdynamics.es</v>
      </c>
      <c r="C10531" t="s">
        <v>443</v>
      </c>
      <c r="D10531" t="s">
        <v>822</v>
      </c>
      <c r="F10531">
        <v>1.4925801488135999E-8</v>
      </c>
      <c r="G10531">
        <v>3864097</v>
      </c>
      <c r="H10531">
        <v>12783590</v>
      </c>
      <c r="I10531">
        <v>14725220</v>
      </c>
      <c r="J10531">
        <v>4</v>
      </c>
    </row>
    <row r="10532" spans="1:10" x14ac:dyDescent="0.25">
      <c r="A10532" t="s">
        <v>111</v>
      </c>
      <c r="B10532" s="1" t="str">
        <f>HYPERLINK("http://cisco.es","cisco.es")</f>
        <v>cisco.es</v>
      </c>
      <c r="C10532" t="s">
        <v>443</v>
      </c>
      <c r="D10532" t="s">
        <v>822</v>
      </c>
      <c r="F10532">
        <v>1.28957583218361E-8</v>
      </c>
      <c r="G10532">
        <v>4681407</v>
      </c>
      <c r="H10532">
        <v>13254905</v>
      </c>
      <c r="I10532">
        <v>11060742</v>
      </c>
      <c r="J10532">
        <v>2</v>
      </c>
    </row>
    <row r="10533" spans="1:10" x14ac:dyDescent="0.25">
      <c r="A10533" t="s">
        <v>111</v>
      </c>
      <c r="B10533" s="1" t="str">
        <f>HYPERLINK("http://textlocal.es","textlocal.es")</f>
        <v>textlocal.es</v>
      </c>
      <c r="C10533" t="s">
        <v>443</v>
      </c>
      <c r="D10533" t="s">
        <v>822</v>
      </c>
      <c r="F10533">
        <v>5.9487172128141304E-9</v>
      </c>
      <c r="G10533">
        <v>17030706</v>
      </c>
      <c r="H10533">
        <v>12265280</v>
      </c>
      <c r="I10533">
        <v>21630033</v>
      </c>
      <c r="J10533">
        <v>4</v>
      </c>
    </row>
    <row r="10534" spans="1:10" x14ac:dyDescent="0.25">
      <c r="A10534" t="s">
        <v>111</v>
      </c>
      <c r="B10534" s="1" t="str">
        <f>HYPERLINK("http://webex.es","webex.es")</f>
        <v>webex.es</v>
      </c>
      <c r="C10534" t="s">
        <v>443</v>
      </c>
      <c r="D10534" t="s">
        <v>822</v>
      </c>
      <c r="F10534">
        <v>1.0907174988226501E-7</v>
      </c>
      <c r="G10534">
        <v>366790</v>
      </c>
      <c r="H10534">
        <v>14261878</v>
      </c>
      <c r="I10534">
        <v>1416130</v>
      </c>
      <c r="J10534">
        <v>4</v>
      </c>
    </row>
    <row r="10535" spans="1:10" x14ac:dyDescent="0.25">
      <c r="A10535" t="s">
        <v>111</v>
      </c>
      <c r="B10535" s="1" t="str">
        <f>HYPERLINK("http://socio.events","socio.events")</f>
        <v>socio.events</v>
      </c>
      <c r="C10535" t="s">
        <v>699</v>
      </c>
      <c r="E10535">
        <v>98347</v>
      </c>
      <c r="F10535">
        <v>9.0718390784022697E-7</v>
      </c>
      <c r="G10535">
        <v>43106</v>
      </c>
      <c r="H10535">
        <v>17312780</v>
      </c>
      <c r="I10535">
        <v>26530</v>
      </c>
      <c r="J10535">
        <v>3</v>
      </c>
    </row>
    <row r="10536" spans="1:10" x14ac:dyDescent="0.25">
      <c r="A10536" t="s">
        <v>111</v>
      </c>
      <c r="B10536" s="1" t="str">
        <f>HYPERLINK("http://appdynamics.fi","appdynamics.fi")</f>
        <v>appdynamics.fi</v>
      </c>
      <c r="C10536" t="s">
        <v>445</v>
      </c>
      <c r="D10536" t="s">
        <v>823</v>
      </c>
      <c r="J10536">
        <v>4</v>
      </c>
    </row>
    <row r="10537" spans="1:10" x14ac:dyDescent="0.25">
      <c r="A10537" t="s">
        <v>111</v>
      </c>
      <c r="B10537" s="1" t="str">
        <f>HYPERLINK("http://cisco.fi","cisco.fi")</f>
        <v>cisco.fi</v>
      </c>
      <c r="C10537" t="s">
        <v>445</v>
      </c>
      <c r="D10537" t="s">
        <v>823</v>
      </c>
      <c r="F10537">
        <v>7.06369554917533E-9</v>
      </c>
      <c r="G10537">
        <v>12116471</v>
      </c>
      <c r="H10537">
        <v>12214208</v>
      </c>
      <c r="I10537">
        <v>22923023</v>
      </c>
      <c r="J10537">
        <v>4</v>
      </c>
    </row>
    <row r="10538" spans="1:10" x14ac:dyDescent="0.25">
      <c r="A10538" t="s">
        <v>111</v>
      </c>
      <c r="B10538" s="1" t="str">
        <f>HYPERLINK("http://ciscoquad.fi","ciscoquad.fi")</f>
        <v>ciscoquad.fi</v>
      </c>
      <c r="C10538" t="s">
        <v>445</v>
      </c>
      <c r="D10538" t="s">
        <v>823</v>
      </c>
      <c r="J10538">
        <v>4</v>
      </c>
    </row>
    <row r="10539" spans="1:10" x14ac:dyDescent="0.25">
      <c r="A10539" t="s">
        <v>111</v>
      </c>
      <c r="B10539" s="1" t="str">
        <f>HYPERLINK("http://ciscospark.fi","ciscospark.fi")</f>
        <v>ciscospark.fi</v>
      </c>
      <c r="C10539" t="s">
        <v>445</v>
      </c>
      <c r="D10539" t="s">
        <v>823</v>
      </c>
      <c r="J10539">
        <v>4</v>
      </c>
    </row>
    <row r="10540" spans="1:10" x14ac:dyDescent="0.25">
      <c r="A10540" t="s">
        <v>111</v>
      </c>
      <c r="B10540" s="1" t="str">
        <f>HYPERLINK("http://ciscowebex.fi","ciscowebex.fi")</f>
        <v>ciscowebex.fi</v>
      </c>
      <c r="C10540" t="s">
        <v>445</v>
      </c>
      <c r="D10540" t="s">
        <v>823</v>
      </c>
      <c r="J10540">
        <v>4</v>
      </c>
    </row>
    <row r="10541" spans="1:10" x14ac:dyDescent="0.25">
      <c r="A10541" t="s">
        <v>111</v>
      </c>
      <c r="B10541" s="1" t="str">
        <f>HYPERLINK("http://tandberg.fi","tandberg.fi")</f>
        <v>tandberg.fi</v>
      </c>
      <c r="C10541" t="s">
        <v>445</v>
      </c>
      <c r="D10541" t="s">
        <v>823</v>
      </c>
      <c r="J10541">
        <v>4</v>
      </c>
    </row>
    <row r="10542" spans="1:10" x14ac:dyDescent="0.25">
      <c r="A10542" t="s">
        <v>111</v>
      </c>
      <c r="B10542" s="1" t="str">
        <f>HYPERLINK("http://webex.fi","webex.fi")</f>
        <v>webex.fi</v>
      </c>
      <c r="C10542" t="s">
        <v>445</v>
      </c>
      <c r="D10542" t="s">
        <v>823</v>
      </c>
      <c r="J10542">
        <v>4</v>
      </c>
    </row>
    <row r="10543" spans="1:10" x14ac:dyDescent="0.25">
      <c r="A10543" t="s">
        <v>111</v>
      </c>
      <c r="B10543" s="1" t="str">
        <f>HYPERLINK("http://appdynamics.fr","appdynamics.fr")</f>
        <v>appdynamics.fr</v>
      </c>
      <c r="C10543" t="s">
        <v>446</v>
      </c>
      <c r="D10543" t="s">
        <v>824</v>
      </c>
      <c r="F10543">
        <v>2.27691713966661E-8</v>
      </c>
      <c r="G10543">
        <v>2299218</v>
      </c>
      <c r="H10543">
        <v>13359880</v>
      </c>
      <c r="I10543">
        <v>10587939</v>
      </c>
      <c r="J10543">
        <v>4</v>
      </c>
    </row>
    <row r="10544" spans="1:10" x14ac:dyDescent="0.25">
      <c r="A10544" t="s">
        <v>111</v>
      </c>
      <c r="B10544" s="1" t="str">
        <f>HYPERLINK("http://cisco.fr","cisco.fr")</f>
        <v>cisco.fr</v>
      </c>
      <c r="C10544" t="s">
        <v>446</v>
      </c>
      <c r="D10544" t="s">
        <v>824</v>
      </c>
      <c r="F10544">
        <v>2.4000043279970899E-8</v>
      </c>
      <c r="G10544">
        <v>2162955</v>
      </c>
      <c r="H10544">
        <v>14128023</v>
      </c>
      <c r="I10544">
        <v>2070290</v>
      </c>
      <c r="J10544">
        <v>2</v>
      </c>
    </row>
    <row r="10545" spans="1:10" x14ac:dyDescent="0.25">
      <c r="A10545" t="s">
        <v>111</v>
      </c>
      <c r="B10545" s="1" t="str">
        <f>HYPERLINK("http://webex.fr","webex.fr")</f>
        <v>webex.fr</v>
      </c>
      <c r="C10545" t="s">
        <v>446</v>
      </c>
      <c r="D10545" t="s">
        <v>824</v>
      </c>
      <c r="F10545">
        <v>5.0802660416046701E-8</v>
      </c>
      <c r="G10545">
        <v>903045</v>
      </c>
      <c r="H10545">
        <v>13400336</v>
      </c>
      <c r="I10545">
        <v>10367474</v>
      </c>
      <c r="J10545">
        <v>3</v>
      </c>
    </row>
    <row r="10546" spans="1:10" x14ac:dyDescent="0.25">
      <c r="A10546" t="s">
        <v>111</v>
      </c>
      <c r="B10546" s="1" t="str">
        <f>HYPERLINK("http://webex.com.hk","webex.com.hk")</f>
        <v>webex.com.hk</v>
      </c>
      <c r="C10546" t="s">
        <v>450</v>
      </c>
      <c r="D10546" t="s">
        <v>827</v>
      </c>
      <c r="F10546">
        <v>3.00902576916124E-8</v>
      </c>
      <c r="G10546">
        <v>1710068</v>
      </c>
      <c r="H10546">
        <v>12930606</v>
      </c>
      <c r="I10546">
        <v>13365109</v>
      </c>
      <c r="J10546">
        <v>4</v>
      </c>
    </row>
    <row r="10547" spans="1:10" x14ac:dyDescent="0.25">
      <c r="A10547" t="s">
        <v>111</v>
      </c>
      <c r="B10547" s="1" t="str">
        <f>HYPERLINK("http://webex.co.in","webex.co.in")</f>
        <v>webex.co.in</v>
      </c>
      <c r="C10547" t="s">
        <v>457</v>
      </c>
      <c r="D10547" t="s">
        <v>834</v>
      </c>
      <c r="F10547">
        <v>8.6336752838201399E-8</v>
      </c>
      <c r="G10547">
        <v>476338</v>
      </c>
      <c r="H10547">
        <v>13948807</v>
      </c>
      <c r="I10547">
        <v>4190611</v>
      </c>
      <c r="J10547">
        <v>4</v>
      </c>
    </row>
    <row r="10548" spans="1:10" x14ac:dyDescent="0.25">
      <c r="A10548" t="s">
        <v>111</v>
      </c>
      <c r="B10548" s="1" t="str">
        <f>HYPERLINK("http://cmpute.io","cmpute.io")</f>
        <v>cmpute.io</v>
      </c>
      <c r="C10548" t="s">
        <v>518</v>
      </c>
      <c r="F10548">
        <v>7.7050220023654592E-9</v>
      </c>
      <c r="G10548">
        <v>10560924</v>
      </c>
      <c r="H10548">
        <v>13054579</v>
      </c>
      <c r="I10548">
        <v>12569584</v>
      </c>
      <c r="J10548">
        <v>3</v>
      </c>
    </row>
    <row r="10549" spans="1:10" x14ac:dyDescent="0.25">
      <c r="A10549" t="s">
        <v>111</v>
      </c>
      <c r="B10549" s="1" t="str">
        <f>HYPERLINK("http://perspica.io","perspica.io")</f>
        <v>perspica.io</v>
      </c>
      <c r="C10549" t="s">
        <v>518</v>
      </c>
      <c r="F10549">
        <v>1.28665559481904E-8</v>
      </c>
      <c r="G10549">
        <v>4695987</v>
      </c>
      <c r="H10549">
        <v>13434426</v>
      </c>
      <c r="I10549">
        <v>10273297</v>
      </c>
      <c r="J10549">
        <v>4</v>
      </c>
    </row>
    <row r="10550" spans="1:10" x14ac:dyDescent="0.25">
      <c r="A10550" t="s">
        <v>111</v>
      </c>
      <c r="B10550" s="1" t="str">
        <f>HYPERLINK("http://portshift.io","portshift.io")</f>
        <v>portshift.io</v>
      </c>
      <c r="C10550" t="s">
        <v>518</v>
      </c>
      <c r="F10550">
        <v>7.3649295865054101E-8</v>
      </c>
      <c r="G10550">
        <v>572045</v>
      </c>
      <c r="H10550">
        <v>14130620</v>
      </c>
      <c r="I10550">
        <v>2026318</v>
      </c>
      <c r="J10550">
        <v>3</v>
      </c>
    </row>
    <row r="10551" spans="1:10" x14ac:dyDescent="0.25">
      <c r="A10551" t="s">
        <v>111</v>
      </c>
      <c r="B10551" s="1" t="str">
        <f>HYPERLINK("http://presentation.io","presentation.io")</f>
        <v>presentation.io</v>
      </c>
      <c r="C10551" t="s">
        <v>518</v>
      </c>
      <c r="F10551">
        <v>6.7200569592694198E-9</v>
      </c>
      <c r="G10551">
        <v>13233364</v>
      </c>
      <c r="H10551">
        <v>13781781</v>
      </c>
      <c r="I10551">
        <v>6453401</v>
      </c>
      <c r="J10551">
        <v>5</v>
      </c>
    </row>
    <row r="10552" spans="1:10" x14ac:dyDescent="0.25">
      <c r="A10552" t="s">
        <v>111</v>
      </c>
      <c r="B10552" s="1" t="str">
        <f>HYPERLINK("http://projectuce.io","projectuce.io")</f>
        <v>projectuce.io</v>
      </c>
      <c r="C10552" t="s">
        <v>518</v>
      </c>
      <c r="J10552">
        <v>3</v>
      </c>
    </row>
    <row r="10553" spans="1:10" x14ac:dyDescent="0.25">
      <c r="A10553" t="s">
        <v>111</v>
      </c>
      <c r="B10553" s="1" t="str">
        <f>HYPERLINK("http://replex.io","replex.io")</f>
        <v>replex.io</v>
      </c>
      <c r="C10553" t="s">
        <v>518</v>
      </c>
      <c r="F10553">
        <v>7.3643748629807596E-8</v>
      </c>
      <c r="G10553">
        <v>572106</v>
      </c>
      <c r="H10553">
        <v>14567856</v>
      </c>
      <c r="I10553">
        <v>738001</v>
      </c>
      <c r="J10553">
        <v>3</v>
      </c>
    </row>
    <row r="10554" spans="1:10" x14ac:dyDescent="0.25">
      <c r="A10554" t="s">
        <v>111</v>
      </c>
      <c r="B10554" s="1" t="str">
        <f>HYPERLINK("http://webex.co.it","webex.co.it")</f>
        <v>webex.co.it</v>
      </c>
      <c r="C10554" t="s">
        <v>459</v>
      </c>
      <c r="D10554" t="s">
        <v>835</v>
      </c>
      <c r="F10554">
        <v>3.8735285472737602E-8</v>
      </c>
      <c r="G10554">
        <v>1330976</v>
      </c>
      <c r="H10554">
        <v>12899302</v>
      </c>
      <c r="I10554">
        <v>13883829</v>
      </c>
      <c r="J10554">
        <v>4</v>
      </c>
    </row>
    <row r="10555" spans="1:10" x14ac:dyDescent="0.25">
      <c r="A10555" t="s">
        <v>111</v>
      </c>
      <c r="B10555" s="1" t="str">
        <f>HYPERLINK("http://webex.co.jp","webex.co.jp")</f>
        <v>webex.co.jp</v>
      </c>
      <c r="C10555" t="s">
        <v>461</v>
      </c>
      <c r="D10555" t="s">
        <v>837</v>
      </c>
      <c r="F10555">
        <v>4.5124473429974203E-8</v>
      </c>
      <c r="G10555">
        <v>1045786</v>
      </c>
      <c r="H10555">
        <v>13810164</v>
      </c>
      <c r="I10555">
        <v>6212870</v>
      </c>
      <c r="J10555">
        <v>4</v>
      </c>
    </row>
    <row r="10556" spans="1:10" x14ac:dyDescent="0.25">
      <c r="A10556" t="s">
        <v>111</v>
      </c>
      <c r="B10556" s="1" t="str">
        <f>HYPERLINK("http://thousandeyes.jp","thousandeyes.jp")</f>
        <v>thousandeyes.jp</v>
      </c>
      <c r="C10556" t="s">
        <v>461</v>
      </c>
      <c r="D10556" t="s">
        <v>837</v>
      </c>
      <c r="F10556">
        <v>1.19111130762556E-8</v>
      </c>
      <c r="G10556">
        <v>5230595</v>
      </c>
      <c r="H10556">
        <v>12717595</v>
      </c>
      <c r="I10556">
        <v>15263275</v>
      </c>
      <c r="J10556">
        <v>5</v>
      </c>
    </row>
    <row r="10557" spans="1:10" x14ac:dyDescent="0.25">
      <c r="A10557" t="s">
        <v>111</v>
      </c>
      <c r="B10557" s="1" t="str">
        <f>HYPERLINK("http://cisco.kr","cisco.kr")</f>
        <v>cisco.kr</v>
      </c>
      <c r="C10557" t="s">
        <v>463</v>
      </c>
      <c r="D10557" t="s">
        <v>839</v>
      </c>
      <c r="F10557">
        <v>6.5743293150834496E-9</v>
      </c>
      <c r="G10557">
        <v>13776176</v>
      </c>
      <c r="H10557">
        <v>13046733</v>
      </c>
      <c r="I10557">
        <v>12602048</v>
      </c>
      <c r="J10557">
        <v>2</v>
      </c>
    </row>
    <row r="10558" spans="1:10" x14ac:dyDescent="0.25">
      <c r="A10558" t="s">
        <v>111</v>
      </c>
      <c r="B10558" s="1" t="str">
        <f>HYPERLINK("http://webex.co.kr","webex.co.kr")</f>
        <v>webex.co.kr</v>
      </c>
      <c r="C10558" t="s">
        <v>463</v>
      </c>
      <c r="D10558" t="s">
        <v>839</v>
      </c>
      <c r="F10558">
        <v>3.0065840459648697E-8</v>
      </c>
      <c r="G10558">
        <v>1711379</v>
      </c>
      <c r="H10558">
        <v>13097020</v>
      </c>
      <c r="I10558">
        <v>12118153</v>
      </c>
      <c r="J10558">
        <v>4</v>
      </c>
    </row>
    <row r="10559" spans="1:10" x14ac:dyDescent="0.25">
      <c r="A10559" t="s">
        <v>111</v>
      </c>
      <c r="B10559" s="1" t="str">
        <f>HYPERLINK("http://cisco.kz","cisco.kz")</f>
        <v>cisco.kz</v>
      </c>
      <c r="C10559" t="s">
        <v>465</v>
      </c>
      <c r="D10559" t="s">
        <v>841</v>
      </c>
      <c r="F10559">
        <v>7.1109926891514403E-9</v>
      </c>
      <c r="G10559">
        <v>11983567</v>
      </c>
      <c r="H10559">
        <v>13046726</v>
      </c>
      <c r="I10559">
        <v>12602260</v>
      </c>
      <c r="J10559">
        <v>2</v>
      </c>
    </row>
    <row r="10560" spans="1:10" x14ac:dyDescent="0.25">
      <c r="A10560" t="s">
        <v>111</v>
      </c>
      <c r="B10560" s="1" t="str">
        <f>HYPERLINK("http://cisco.com.mx","cisco.com.mx")</f>
        <v>cisco.com.mx</v>
      </c>
      <c r="C10560" t="s">
        <v>471</v>
      </c>
      <c r="D10560" t="s">
        <v>847</v>
      </c>
      <c r="F10560">
        <v>7.1674480283716302E-9</v>
      </c>
      <c r="G10560">
        <v>11829629</v>
      </c>
      <c r="H10560">
        <v>13785599</v>
      </c>
      <c r="I10560">
        <v>6399864</v>
      </c>
      <c r="J10560">
        <v>2</v>
      </c>
    </row>
    <row r="10561" spans="1:10" x14ac:dyDescent="0.25">
      <c r="A10561" t="s">
        <v>111</v>
      </c>
      <c r="B10561" s="1" t="str">
        <f>HYPERLINK("http://webex.com.mx","webex.com.mx")</f>
        <v>webex.com.mx</v>
      </c>
      <c r="C10561" t="s">
        <v>471</v>
      </c>
      <c r="D10561" t="s">
        <v>847</v>
      </c>
      <c r="F10561">
        <v>3.2787428828823299E-8</v>
      </c>
      <c r="G10561">
        <v>1575676</v>
      </c>
      <c r="H10561">
        <v>13970439</v>
      </c>
      <c r="I10561">
        <v>4075857</v>
      </c>
      <c r="J10561">
        <v>4</v>
      </c>
    </row>
    <row r="10562" spans="1:10" x14ac:dyDescent="0.25">
      <c r="A10562" t="s">
        <v>111</v>
      </c>
      <c r="B10562" s="1" t="str">
        <f>HYPERLINK("http://castup.net","castup.net")</f>
        <v>castup.net</v>
      </c>
      <c r="C10562" t="s">
        <v>474</v>
      </c>
      <c r="E10562">
        <v>333672</v>
      </c>
      <c r="F10562">
        <v>8.4276318444179202E-8</v>
      </c>
      <c r="G10562">
        <v>490578</v>
      </c>
      <c r="H10562">
        <v>14867662</v>
      </c>
      <c r="I10562">
        <v>480570</v>
      </c>
      <c r="J10562">
        <v>3</v>
      </c>
    </row>
    <row r="10563" spans="1:10" x14ac:dyDescent="0.25">
      <c r="A10563" t="s">
        <v>111</v>
      </c>
      <c r="B10563" s="1" t="str">
        <f>HYPERLINK("http://meraki.net","meraki.net")</f>
        <v>meraki.net</v>
      </c>
      <c r="C10563" t="s">
        <v>474</v>
      </c>
      <c r="E10563">
        <v>207565</v>
      </c>
      <c r="F10563">
        <v>3.1805584649362397E-8</v>
      </c>
      <c r="G10563">
        <v>1623765</v>
      </c>
      <c r="H10563">
        <v>14196500</v>
      </c>
      <c r="I10563">
        <v>1733867</v>
      </c>
      <c r="J10563">
        <v>4</v>
      </c>
    </row>
    <row r="10564" spans="1:10" x14ac:dyDescent="0.25">
      <c r="A10564" t="s">
        <v>111</v>
      </c>
      <c r="B10564" s="1" t="str">
        <f>HYPERLINK("http://sentryo.net","sentryo.net")</f>
        <v>sentryo.net</v>
      </c>
      <c r="C10564" t="s">
        <v>474</v>
      </c>
      <c r="F10564">
        <v>1.09386537763586E-7</v>
      </c>
      <c r="G10564">
        <v>365752</v>
      </c>
      <c r="H10564">
        <v>14948428</v>
      </c>
      <c r="I10564">
        <v>441006</v>
      </c>
      <c r="J10564">
        <v>3</v>
      </c>
    </row>
    <row r="10565" spans="1:10" x14ac:dyDescent="0.25">
      <c r="A10565" t="s">
        <v>111</v>
      </c>
      <c r="B10565" s="1" t="str">
        <f>HYPERLINK("http://cisco.nl","cisco.nl")</f>
        <v>cisco.nl</v>
      </c>
      <c r="C10565" t="s">
        <v>477</v>
      </c>
      <c r="D10565" t="s">
        <v>852</v>
      </c>
      <c r="F10565">
        <v>2.01307833773579E-8</v>
      </c>
      <c r="G10565">
        <v>2639173</v>
      </c>
      <c r="H10565">
        <v>14095712</v>
      </c>
      <c r="I10565">
        <v>2728041</v>
      </c>
      <c r="J10565">
        <v>2</v>
      </c>
    </row>
    <row r="10566" spans="1:10" x14ac:dyDescent="0.25">
      <c r="A10566" t="s">
        <v>111</v>
      </c>
      <c r="B10566" s="1" t="str">
        <f>HYPERLINK("http://cisco.no","cisco.no")</f>
        <v>cisco.no</v>
      </c>
      <c r="C10566" t="s">
        <v>478</v>
      </c>
      <c r="D10566" t="s">
        <v>853</v>
      </c>
      <c r="F10566">
        <v>7.0788902262092597E-9</v>
      </c>
      <c r="G10566">
        <v>12074427</v>
      </c>
      <c r="H10566">
        <v>13054493</v>
      </c>
      <c r="I10566">
        <v>12569875</v>
      </c>
      <c r="J10566">
        <v>2</v>
      </c>
    </row>
    <row r="10567" spans="1:10" x14ac:dyDescent="0.25">
      <c r="A10567" t="s">
        <v>111</v>
      </c>
      <c r="B10567" s="1" t="str">
        <f>HYPERLINK("http://centerfordigitalengagement.org","centerfordigitalengagement.org")</f>
        <v>centerfordigitalengagement.org</v>
      </c>
      <c r="C10567" t="s">
        <v>481</v>
      </c>
      <c r="F10567">
        <v>8.7198005684143207E-9</v>
      </c>
      <c r="G10567">
        <v>8443513</v>
      </c>
      <c r="H10567">
        <v>13459686</v>
      </c>
      <c r="I10567">
        <v>10170933</v>
      </c>
      <c r="J10567">
        <v>6</v>
      </c>
    </row>
    <row r="10568" spans="1:10" x14ac:dyDescent="0.25">
      <c r="A10568" t="s">
        <v>111</v>
      </c>
      <c r="B10568" s="1" t="str">
        <f>HYPERLINK("http://pocon.org","pocon.org")</f>
        <v>pocon.org</v>
      </c>
      <c r="C10568" t="s">
        <v>481</v>
      </c>
      <c r="F10568">
        <v>4.7761030282381898E-9</v>
      </c>
      <c r="G10568">
        <v>37115924</v>
      </c>
      <c r="H10568">
        <v>8297394.5</v>
      </c>
      <c r="I10568">
        <v>74435347</v>
      </c>
      <c r="J10568">
        <v>5</v>
      </c>
    </row>
    <row r="10569" spans="1:10" x14ac:dyDescent="0.25">
      <c r="A10569" t="s">
        <v>111</v>
      </c>
      <c r="B10569" s="1" t="str">
        <f>HYPERLINK("http://cisco.pl","cisco.pl")</f>
        <v>cisco.pl</v>
      </c>
      <c r="C10569" t="s">
        <v>486</v>
      </c>
      <c r="D10569" t="s">
        <v>860</v>
      </c>
      <c r="F10569">
        <v>8.8939694493065607E-9</v>
      </c>
      <c r="G10569">
        <v>8153460</v>
      </c>
      <c r="H10569">
        <v>12483398</v>
      </c>
      <c r="I10569">
        <v>17565322</v>
      </c>
      <c r="J10569">
        <v>2</v>
      </c>
    </row>
    <row r="10570" spans="1:10" x14ac:dyDescent="0.25">
      <c r="A10570" t="s">
        <v>111</v>
      </c>
      <c r="B10570" s="1" t="str">
        <f>HYPERLINK("http://cisco.pt","cisco.pt")</f>
        <v>cisco.pt</v>
      </c>
      <c r="C10570" t="s">
        <v>488</v>
      </c>
      <c r="D10570" t="s">
        <v>862</v>
      </c>
      <c r="F10570">
        <v>1.11128068906879E-8</v>
      </c>
      <c r="G10570">
        <v>5776043</v>
      </c>
      <c r="H10570">
        <v>13934080</v>
      </c>
      <c r="I10570">
        <v>4634624</v>
      </c>
      <c r="J10570">
        <v>2</v>
      </c>
    </row>
    <row r="10571" spans="1:10" x14ac:dyDescent="0.25">
      <c r="A10571" t="s">
        <v>111</v>
      </c>
      <c r="B10571" s="1" t="str">
        <f>HYPERLINK("http://cisco.re","cisco.re")</f>
        <v>cisco.re</v>
      </c>
      <c r="C10571" t="s">
        <v>575</v>
      </c>
      <c r="D10571" t="s">
        <v>920</v>
      </c>
      <c r="F10571">
        <v>6.4815104574410604E-9</v>
      </c>
      <c r="G10571">
        <v>14155801</v>
      </c>
      <c r="H10571">
        <v>13046993</v>
      </c>
      <c r="I10571">
        <v>12600918</v>
      </c>
      <c r="J10571">
        <v>2</v>
      </c>
    </row>
    <row r="10572" spans="1:10" x14ac:dyDescent="0.25">
      <c r="A10572" t="s">
        <v>111</v>
      </c>
      <c r="B10572" s="1" t="str">
        <f>HYPERLINK("http://cisco.ru","cisco.ru")</f>
        <v>cisco.ru</v>
      </c>
      <c r="C10572" t="s">
        <v>493</v>
      </c>
      <c r="D10572" t="s">
        <v>867</v>
      </c>
      <c r="E10572">
        <v>522019</v>
      </c>
      <c r="F10572">
        <v>7.2830132505805698E-8</v>
      </c>
      <c r="G10572">
        <v>579124</v>
      </c>
      <c r="H10572">
        <v>14143953</v>
      </c>
      <c r="I10572">
        <v>1909507</v>
      </c>
      <c r="J10572">
        <v>2</v>
      </c>
    </row>
    <row r="10573" spans="1:10" x14ac:dyDescent="0.25">
      <c r="A10573" t="s">
        <v>111</v>
      </c>
      <c r="B10573" s="1" t="str">
        <f>HYPERLINK("http://duo.sc","duo.sc")</f>
        <v>duo.sc</v>
      </c>
      <c r="C10573" t="s">
        <v>664</v>
      </c>
      <c r="D10573" t="s">
        <v>983</v>
      </c>
      <c r="F10573">
        <v>2.50699214981046E-8</v>
      </c>
      <c r="G10573">
        <v>2060666</v>
      </c>
      <c r="H10573">
        <v>13477070</v>
      </c>
      <c r="I10573">
        <v>10017696</v>
      </c>
      <c r="J10573">
        <v>4</v>
      </c>
    </row>
    <row r="10574" spans="1:10" x14ac:dyDescent="0.25">
      <c r="A10574" t="s">
        <v>111</v>
      </c>
      <c r="B10574" s="1" t="str">
        <f>HYPERLINK("http://i.to","i.to")</f>
        <v>i.to</v>
      </c>
      <c r="C10574" t="s">
        <v>578</v>
      </c>
      <c r="D10574" t="s">
        <v>921</v>
      </c>
      <c r="F10574">
        <v>5.5468964959671604E-9</v>
      </c>
      <c r="G10574">
        <v>20408715</v>
      </c>
      <c r="H10574">
        <v>13763860</v>
      </c>
      <c r="I10574">
        <v>7548279</v>
      </c>
      <c r="J10574">
        <v>7</v>
      </c>
    </row>
    <row r="10575" spans="1:10" x14ac:dyDescent="0.25">
      <c r="A10575" t="s">
        <v>111</v>
      </c>
      <c r="B10575" s="1" t="str">
        <f>HYPERLINK("http://umee.tv","umee.tv")</f>
        <v>umee.tv</v>
      </c>
      <c r="C10575" t="s">
        <v>535</v>
      </c>
      <c r="D10575" t="s">
        <v>897</v>
      </c>
      <c r="F10575">
        <v>4.7448688066160701E-9</v>
      </c>
      <c r="G10575">
        <v>38570324</v>
      </c>
      <c r="H10575">
        <v>12561060</v>
      </c>
      <c r="I10575">
        <v>16701928</v>
      </c>
      <c r="J10575">
        <v>7</v>
      </c>
    </row>
    <row r="10576" spans="1:10" x14ac:dyDescent="0.25">
      <c r="A10576" t="s">
        <v>111</v>
      </c>
      <c r="B10576" s="1" t="str">
        <f>HYPERLINK("http://cisco.uk","cisco.uk")</f>
        <v>cisco.uk</v>
      </c>
      <c r="C10576" t="s">
        <v>506</v>
      </c>
      <c r="D10576" t="s">
        <v>880</v>
      </c>
      <c r="F10576">
        <v>6.4814537957594397E-9</v>
      </c>
      <c r="G10576">
        <v>14156612</v>
      </c>
      <c r="H10576">
        <v>13046725</v>
      </c>
      <c r="I10576">
        <v>12602761</v>
      </c>
      <c r="J10576">
        <v>2</v>
      </c>
    </row>
    <row r="10577" spans="1:10" x14ac:dyDescent="0.25">
      <c r="A10577" t="s">
        <v>111</v>
      </c>
      <c r="B10577" s="1" t="str">
        <f>HYPERLINK("http://appdynamics.co.uk","appdynamics.co.uk")</f>
        <v>appdynamics.co.uk</v>
      </c>
      <c r="C10577" t="s">
        <v>506</v>
      </c>
      <c r="D10577" t="s">
        <v>880</v>
      </c>
      <c r="F10577">
        <v>2.57453573326594E-8</v>
      </c>
      <c r="G10577">
        <v>2002323</v>
      </c>
      <c r="H10577">
        <v>13306508</v>
      </c>
      <c r="I10577">
        <v>10796245</v>
      </c>
      <c r="J10577">
        <v>4</v>
      </c>
    </row>
    <row r="10578" spans="1:10" x14ac:dyDescent="0.25">
      <c r="A10578" t="s">
        <v>111</v>
      </c>
      <c r="B10578" s="1" t="str">
        <f>HYPERLINK("http://cisco.co.uk","cisco.co.uk")</f>
        <v>cisco.co.uk</v>
      </c>
      <c r="C10578" t="s">
        <v>506</v>
      </c>
      <c r="D10578" t="s">
        <v>880</v>
      </c>
      <c r="F10578">
        <v>1.67728849908235E-8</v>
      </c>
      <c r="G10578">
        <v>3339901</v>
      </c>
      <c r="H10578">
        <v>13358262</v>
      </c>
      <c r="I10578">
        <v>10592607</v>
      </c>
      <c r="J10578">
        <v>2</v>
      </c>
    </row>
    <row r="10579" spans="1:10" x14ac:dyDescent="0.25">
      <c r="A10579" t="s">
        <v>111</v>
      </c>
      <c r="B10579" s="1" t="str">
        <f>HYPERLINK("http://sieuthimang.com.vn","sieuthimang.com.vn")</f>
        <v>sieuthimang.com.vn</v>
      </c>
      <c r="C10579" t="s">
        <v>509</v>
      </c>
      <c r="D10579" t="s">
        <v>883</v>
      </c>
      <c r="F10579">
        <v>9.9207136603809997E-9</v>
      </c>
      <c r="G10579">
        <v>6837223</v>
      </c>
      <c r="H10579">
        <v>12140600</v>
      </c>
      <c r="I10579">
        <v>24867031</v>
      </c>
      <c r="J10579">
        <v>5</v>
      </c>
    </row>
    <row r="10580" spans="1:10" x14ac:dyDescent="0.25">
      <c r="A10580" t="s">
        <v>111</v>
      </c>
      <c r="B10580" s="1" t="str">
        <f>HYPERLINK("http://sieuthimang.vn","sieuthimang.vn")</f>
        <v>sieuthimang.vn</v>
      </c>
      <c r="C10580" t="s">
        <v>509</v>
      </c>
      <c r="D10580" t="s">
        <v>883</v>
      </c>
      <c r="F10580">
        <v>1.38663157558667E-7</v>
      </c>
      <c r="G10580">
        <v>280949</v>
      </c>
      <c r="H10580">
        <v>14514969</v>
      </c>
      <c r="I10580">
        <v>814152</v>
      </c>
      <c r="J10580">
        <v>5</v>
      </c>
    </row>
    <row r="10581" spans="1:10" x14ac:dyDescent="0.25">
      <c r="A10581" t="s">
        <v>111</v>
      </c>
      <c r="B10581" s="1" t="str">
        <f>HYPERLINK("http://switchcisco.vn","switchcisco.vn")</f>
        <v>switchcisco.vn</v>
      </c>
      <c r="C10581" t="s">
        <v>509</v>
      </c>
      <c r="D10581" t="s">
        <v>883</v>
      </c>
      <c r="F10581">
        <v>5.4539748066100902E-9</v>
      </c>
      <c r="G10581">
        <v>21435255</v>
      </c>
      <c r="H10581">
        <v>12249744</v>
      </c>
      <c r="I10581">
        <v>22019803</v>
      </c>
      <c r="J10581">
        <v>3</v>
      </c>
    </row>
    <row r="10582" spans="1:10" x14ac:dyDescent="0.25">
      <c r="A10582" t="s">
        <v>111</v>
      </c>
      <c r="B10582" s="1" t="str">
        <f>HYPERLINK("http://cisco.ws","cisco.ws")</f>
        <v>cisco.ws</v>
      </c>
      <c r="C10582" t="s">
        <v>536</v>
      </c>
      <c r="D10582" t="s">
        <v>898</v>
      </c>
      <c r="F10582">
        <v>1.8745506256769799E-8</v>
      </c>
      <c r="G10582">
        <v>2881294</v>
      </c>
      <c r="H10582">
        <v>13808551</v>
      </c>
      <c r="I10582">
        <v>6220092</v>
      </c>
      <c r="J10582">
        <v>2</v>
      </c>
    </row>
    <row r="10583" spans="1:10" x14ac:dyDescent="0.25">
      <c r="A10583" t="s">
        <v>112</v>
      </c>
      <c r="B10583" s="1" t="str">
        <f>HYPERLINK("http://citibank.ae","citibank.ae")</f>
        <v>citibank.ae</v>
      </c>
      <c r="C10583" t="s">
        <v>417</v>
      </c>
      <c r="D10583" t="s">
        <v>799</v>
      </c>
      <c r="E10583">
        <v>249198</v>
      </c>
      <c r="F10583">
        <v>8.2050922862720401E-8</v>
      </c>
      <c r="G10583">
        <v>508545</v>
      </c>
      <c r="H10583">
        <v>14428593</v>
      </c>
      <c r="I10583">
        <v>1076579</v>
      </c>
      <c r="J10583">
        <v>3</v>
      </c>
    </row>
    <row r="10584" spans="1:10" x14ac:dyDescent="0.25">
      <c r="A10584" t="s">
        <v>112</v>
      </c>
      <c r="B10584" s="1" t="str">
        <f>HYPERLINK("http://citi.com.au","citi.com.au")</f>
        <v>citi.com.au</v>
      </c>
      <c r="C10584" t="s">
        <v>420</v>
      </c>
      <c r="D10584" t="s">
        <v>802</v>
      </c>
      <c r="F10584">
        <v>8.9170771822473701E-9</v>
      </c>
      <c r="G10584">
        <v>8117929</v>
      </c>
      <c r="H10584">
        <v>12983325</v>
      </c>
      <c r="I10584">
        <v>12921222</v>
      </c>
      <c r="J10584">
        <v>3</v>
      </c>
    </row>
    <row r="10585" spans="1:10" x14ac:dyDescent="0.25">
      <c r="A10585" t="s">
        <v>112</v>
      </c>
      <c r="B10585" s="1" t="str">
        <f>HYPERLINK("http://citibank.com.au","citibank.com.au")</f>
        <v>citibank.com.au</v>
      </c>
      <c r="C10585" t="s">
        <v>420</v>
      </c>
      <c r="D10585" t="s">
        <v>802</v>
      </c>
      <c r="E10585">
        <v>113132</v>
      </c>
      <c r="F10585">
        <v>4.2462345828481498E-7</v>
      </c>
      <c r="G10585">
        <v>88700</v>
      </c>
      <c r="H10585">
        <v>17147222</v>
      </c>
      <c r="I10585">
        <v>52790</v>
      </c>
      <c r="J10585">
        <v>2</v>
      </c>
    </row>
    <row r="10586" spans="1:10" x14ac:dyDescent="0.25">
      <c r="A10586" t="s">
        <v>112</v>
      </c>
      <c r="B10586" s="1" t="str">
        <f>HYPERLINK("http://citigroup.com.au","citigroup.com.au")</f>
        <v>citigroup.com.au</v>
      </c>
      <c r="C10586" t="s">
        <v>420</v>
      </c>
      <c r="D10586" t="s">
        <v>802</v>
      </c>
      <c r="F10586">
        <v>4.56808746297848E-9</v>
      </c>
      <c r="G10586">
        <v>50370189</v>
      </c>
      <c r="H10586">
        <v>13763634</v>
      </c>
      <c r="I10586">
        <v>8272448</v>
      </c>
      <c r="J10586">
        <v>2</v>
      </c>
    </row>
    <row r="10587" spans="1:10" x14ac:dyDescent="0.25">
      <c r="A10587" t="s">
        <v>112</v>
      </c>
      <c r="B10587" s="1" t="str">
        <f>HYPERLINK("http://dinersclub.com.au","dinersclub.com.au")</f>
        <v>dinersclub.com.au</v>
      </c>
      <c r="C10587" t="s">
        <v>420</v>
      </c>
      <c r="D10587" t="s">
        <v>802</v>
      </c>
      <c r="F10587">
        <v>7.37653562651427E-9</v>
      </c>
      <c r="G10587">
        <v>11298879</v>
      </c>
      <c r="H10587">
        <v>14073420</v>
      </c>
      <c r="I10587">
        <v>2995886</v>
      </c>
      <c r="J10587">
        <v>4</v>
      </c>
    </row>
    <row r="10588" spans="1:10" x14ac:dyDescent="0.25">
      <c r="A10588" t="s">
        <v>112</v>
      </c>
      <c r="B10588" s="1" t="str">
        <f>HYPERLINK("http://citibank.bh","citibank.bh")</f>
        <v>citibank.bh</v>
      </c>
      <c r="C10588" t="s">
        <v>580</v>
      </c>
      <c r="D10588" t="s">
        <v>922</v>
      </c>
      <c r="F10588">
        <v>1.7532316555798899E-8</v>
      </c>
      <c r="G10588">
        <v>3138576</v>
      </c>
      <c r="H10588">
        <v>12534773</v>
      </c>
      <c r="I10588">
        <v>16989764</v>
      </c>
      <c r="J10588">
        <v>3</v>
      </c>
    </row>
    <row r="10589" spans="1:10" x14ac:dyDescent="0.25">
      <c r="A10589" t="s">
        <v>112</v>
      </c>
      <c r="B10589" s="1" t="str">
        <f>HYPERLINK("http://citibank.com.bh","citibank.com.bh")</f>
        <v>citibank.com.bh</v>
      </c>
      <c r="C10589" t="s">
        <v>580</v>
      </c>
      <c r="D10589" t="s">
        <v>922</v>
      </c>
      <c r="F10589">
        <v>1.76547813784264E-8</v>
      </c>
      <c r="G10589">
        <v>3106763</v>
      </c>
      <c r="H10589">
        <v>14030020</v>
      </c>
      <c r="I10589">
        <v>3948408</v>
      </c>
      <c r="J10589">
        <v>2</v>
      </c>
    </row>
    <row r="10590" spans="1:10" x14ac:dyDescent="0.25">
      <c r="A10590" t="s">
        <v>112</v>
      </c>
      <c r="B10590" s="1" t="str">
        <f>HYPERLINK("http://citi.com.br","citi.com.br")</f>
        <v>citi.com.br</v>
      </c>
      <c r="C10590" t="s">
        <v>425</v>
      </c>
      <c r="D10590" t="s">
        <v>806</v>
      </c>
      <c r="F10590">
        <v>1.198876153816E-8</v>
      </c>
      <c r="G10590">
        <v>5183596</v>
      </c>
      <c r="H10590">
        <v>12214581</v>
      </c>
      <c r="I10590">
        <v>22915604</v>
      </c>
      <c r="J10590">
        <v>7</v>
      </c>
    </row>
    <row r="10591" spans="1:10" x14ac:dyDescent="0.25">
      <c r="A10591" t="s">
        <v>112</v>
      </c>
      <c r="B10591" s="1" t="str">
        <f>HYPERLINK("http://citibank.com.br","citibank.com.br")</f>
        <v>citibank.com.br</v>
      </c>
      <c r="C10591" t="s">
        <v>425</v>
      </c>
      <c r="D10591" t="s">
        <v>806</v>
      </c>
      <c r="E10591">
        <v>55249</v>
      </c>
      <c r="F10591">
        <v>3.8322103075464998E-8</v>
      </c>
      <c r="G10591">
        <v>1350958</v>
      </c>
      <c r="H10591">
        <v>14502902</v>
      </c>
      <c r="I10591">
        <v>844542</v>
      </c>
      <c r="J10591">
        <v>4</v>
      </c>
    </row>
    <row r="10592" spans="1:10" x14ac:dyDescent="0.25">
      <c r="A10592" t="s">
        <v>112</v>
      </c>
      <c r="B10592" s="1" t="str">
        <f>HYPERLINK("http://citicorretora.com.br","citicorretora.com.br")</f>
        <v>citicorretora.com.br</v>
      </c>
      <c r="C10592" t="s">
        <v>425</v>
      </c>
      <c r="D10592" t="s">
        <v>806</v>
      </c>
      <c r="F10592">
        <v>4.6190628192471396E-9</v>
      </c>
      <c r="G10592">
        <v>46199319</v>
      </c>
      <c r="H10592">
        <v>13763637</v>
      </c>
      <c r="I10592">
        <v>8007193</v>
      </c>
      <c r="J10592">
        <v>4</v>
      </c>
    </row>
    <row r="10593" spans="1:10" x14ac:dyDescent="0.25">
      <c r="A10593" t="s">
        <v>112</v>
      </c>
      <c r="B10593" s="1" t="str">
        <f>HYPERLINK("http://citibank.ca","citibank.ca")</f>
        <v>citibank.ca</v>
      </c>
      <c r="C10593" t="s">
        <v>428</v>
      </c>
      <c r="D10593" t="s">
        <v>809</v>
      </c>
      <c r="F10593">
        <v>7.09128625547444E-9</v>
      </c>
      <c r="G10593">
        <v>12039295</v>
      </c>
      <c r="H10593">
        <v>12875440</v>
      </c>
      <c r="I10593">
        <v>14032946</v>
      </c>
      <c r="J10593">
        <v>3</v>
      </c>
    </row>
    <row r="10594" spans="1:10" x14ac:dyDescent="0.25">
      <c r="A10594" t="s">
        <v>112</v>
      </c>
      <c r="B10594" s="1" t="str">
        <f>HYPERLINK("http://citi.cn","citi.cn")</f>
        <v>citi.cn</v>
      </c>
      <c r="C10594" t="s">
        <v>431</v>
      </c>
      <c r="D10594" t="s">
        <v>812</v>
      </c>
      <c r="F10594">
        <v>1.4679382459194599E-8</v>
      </c>
      <c r="G10594">
        <v>3948128</v>
      </c>
      <c r="H10594">
        <v>12744023</v>
      </c>
      <c r="I10594">
        <v>15095497</v>
      </c>
      <c r="J10594">
        <v>3</v>
      </c>
    </row>
    <row r="10595" spans="1:10" x14ac:dyDescent="0.25">
      <c r="A10595" t="s">
        <v>112</v>
      </c>
      <c r="B10595" s="1" t="str">
        <f>HYPERLINK("http://citibank.cn","citibank.cn")</f>
        <v>citibank.cn</v>
      </c>
      <c r="C10595" t="s">
        <v>431</v>
      </c>
      <c r="D10595" t="s">
        <v>812</v>
      </c>
      <c r="F10595">
        <v>4.5846723224469496E-9</v>
      </c>
      <c r="G10595">
        <v>48866412</v>
      </c>
      <c r="H10595">
        <v>12089020</v>
      </c>
      <c r="I10595">
        <v>26280031</v>
      </c>
      <c r="J10595">
        <v>4</v>
      </c>
    </row>
    <row r="10596" spans="1:10" x14ac:dyDescent="0.25">
      <c r="A10596" t="s">
        <v>112</v>
      </c>
      <c r="B10596" s="1" t="str">
        <f>HYPERLINK("http://citi.com.cn","citi.com.cn")</f>
        <v>citi.com.cn</v>
      </c>
      <c r="C10596" t="s">
        <v>431</v>
      </c>
      <c r="D10596" t="s">
        <v>812</v>
      </c>
      <c r="F10596">
        <v>3.4031950809242599E-8</v>
      </c>
      <c r="G10596">
        <v>1521804</v>
      </c>
      <c r="H10596">
        <v>13496983</v>
      </c>
      <c r="I10596">
        <v>9977674</v>
      </c>
      <c r="J10596">
        <v>4</v>
      </c>
    </row>
    <row r="10597" spans="1:10" x14ac:dyDescent="0.25">
      <c r="A10597" t="s">
        <v>112</v>
      </c>
      <c r="B10597" s="1" t="str">
        <f>HYPERLINK("http://citibank.com.cn","citibank.com.cn")</f>
        <v>citibank.com.cn</v>
      </c>
      <c r="C10597" t="s">
        <v>431</v>
      </c>
      <c r="D10597" t="s">
        <v>812</v>
      </c>
      <c r="E10597">
        <v>139126</v>
      </c>
      <c r="F10597">
        <v>6.5354354695120398E-8</v>
      </c>
      <c r="G10597">
        <v>658288</v>
      </c>
      <c r="H10597">
        <v>14299808</v>
      </c>
      <c r="I10597">
        <v>1356734</v>
      </c>
      <c r="J10597">
        <v>3</v>
      </c>
    </row>
    <row r="10598" spans="1:10" x14ac:dyDescent="0.25">
      <c r="A10598" t="s">
        <v>112</v>
      </c>
      <c r="B10598" s="1" t="str">
        <f>HYPERLINK("http://citibank.com.co","citibank.com.co")</f>
        <v>citibank.com.co</v>
      </c>
      <c r="C10598" t="s">
        <v>432</v>
      </c>
      <c r="F10598">
        <v>3.4005302617709103E-8</v>
      </c>
      <c r="G10598">
        <v>1522804</v>
      </c>
      <c r="H10598">
        <v>14076423</v>
      </c>
      <c r="I10598">
        <v>2887656</v>
      </c>
      <c r="J10598">
        <v>3</v>
      </c>
    </row>
    <row r="10599" spans="1:10" x14ac:dyDescent="0.25">
      <c r="A10599" t="s">
        <v>112</v>
      </c>
      <c r="B10599" s="1" t="str">
        <f>HYPERLINK("http://accitrade.com","accitrade.com")</f>
        <v>accitrade.com</v>
      </c>
      <c r="C10599" t="s">
        <v>433</v>
      </c>
      <c r="F10599">
        <v>4.5246491941431103E-9</v>
      </c>
      <c r="G10599">
        <v>55646897</v>
      </c>
      <c r="H10599">
        <v>10781271</v>
      </c>
      <c r="I10599">
        <v>38880001</v>
      </c>
      <c r="J10599">
        <v>4</v>
      </c>
    </row>
    <row r="10600" spans="1:10" x14ac:dyDescent="0.25">
      <c r="A10600" t="s">
        <v>112</v>
      </c>
      <c r="B10600" s="1" t="str">
        <f>HYPERLINK("http://banamex.com","banamex.com")</f>
        <v>banamex.com</v>
      </c>
      <c r="C10600" t="s">
        <v>433</v>
      </c>
      <c r="E10600">
        <v>12896</v>
      </c>
      <c r="F10600">
        <v>5.1562086445854697E-7</v>
      </c>
      <c r="G10600">
        <v>74429</v>
      </c>
      <c r="H10600">
        <v>15149820</v>
      </c>
      <c r="I10600">
        <v>400150</v>
      </c>
      <c r="J10600">
        <v>3</v>
      </c>
    </row>
    <row r="10601" spans="1:10" x14ac:dyDescent="0.25">
      <c r="A10601" t="s">
        <v>112</v>
      </c>
      <c r="B10601" s="1" t="str">
        <f>HYPERLINK("http://banmex.com","banmex.com")</f>
        <v>banmex.com</v>
      </c>
      <c r="C10601" t="s">
        <v>433</v>
      </c>
      <c r="J10601">
        <v>5</v>
      </c>
    </row>
    <row r="10602" spans="1:10" x14ac:dyDescent="0.25">
      <c r="A10602" t="s">
        <v>112</v>
      </c>
      <c r="B10602" s="1" t="str">
        <f>HYPERLINK("http://citi.com","citi.com")</f>
        <v>citi.com</v>
      </c>
      <c r="C10602" t="s">
        <v>433</v>
      </c>
      <c r="E10602">
        <v>1729</v>
      </c>
      <c r="F10602">
        <v>3.3106234414242999E-6</v>
      </c>
      <c r="G10602">
        <v>12141</v>
      </c>
      <c r="H10602">
        <v>17542584</v>
      </c>
      <c r="I10602">
        <v>11571</v>
      </c>
      <c r="J10602">
        <v>2</v>
      </c>
    </row>
    <row r="10603" spans="1:10" x14ac:dyDescent="0.25">
      <c r="A10603" t="s">
        <v>112</v>
      </c>
      <c r="B10603" s="1" t="str">
        <f>HYPERLINK("http://citibanamex.com","citibanamex.com")</f>
        <v>citibanamex.com</v>
      </c>
      <c r="C10603" t="s">
        <v>433</v>
      </c>
      <c r="E10603">
        <v>194581</v>
      </c>
      <c r="F10603">
        <v>6.0534724455937305E-8</v>
      </c>
      <c r="G10603">
        <v>728340</v>
      </c>
      <c r="H10603">
        <v>13841704</v>
      </c>
      <c r="I10603">
        <v>6069637</v>
      </c>
      <c r="J10603">
        <v>4</v>
      </c>
    </row>
    <row r="10604" spans="1:10" x14ac:dyDescent="0.25">
      <c r="A10604" t="s">
        <v>112</v>
      </c>
      <c r="B10604" s="1" t="str">
        <f>HYPERLINK("http://citibank.com","citibank.com")</f>
        <v>citibank.com</v>
      </c>
      <c r="C10604" t="s">
        <v>433</v>
      </c>
      <c r="E10604">
        <v>14867</v>
      </c>
      <c r="F10604">
        <v>1.62643548437689E-6</v>
      </c>
      <c r="G10604">
        <v>24247</v>
      </c>
      <c r="H10604">
        <v>15618696</v>
      </c>
      <c r="I10604">
        <v>371539</v>
      </c>
      <c r="J10604">
        <v>2</v>
      </c>
    </row>
    <row r="10605" spans="1:10" x14ac:dyDescent="0.25">
      <c r="A10605" t="s">
        <v>112</v>
      </c>
      <c r="B10605" s="1" t="str">
        <f>HYPERLINK("http://citibusinessonline.com","citibusinessonline.com")</f>
        <v>citibusinessonline.com</v>
      </c>
      <c r="C10605" t="s">
        <v>433</v>
      </c>
      <c r="F10605">
        <v>4.8405527685059004E-9</v>
      </c>
      <c r="G10605">
        <v>34459682</v>
      </c>
      <c r="H10605">
        <v>12108734</v>
      </c>
      <c r="I10605">
        <v>25769332</v>
      </c>
      <c r="J10605">
        <v>2</v>
      </c>
    </row>
    <row r="10606" spans="1:10" x14ac:dyDescent="0.25">
      <c r="A10606" t="s">
        <v>112</v>
      </c>
      <c r="B10606" s="1" t="str">
        <f>HYPERLINK("http://citicorp.com","citicorp.com")</f>
        <v>citicorp.com</v>
      </c>
      <c r="C10606" t="s">
        <v>433</v>
      </c>
      <c r="E10606">
        <v>26587</v>
      </c>
      <c r="F10606">
        <v>2.20139207372278E-8</v>
      </c>
      <c r="G10606">
        <v>2384506</v>
      </c>
      <c r="H10606">
        <v>14182352</v>
      </c>
      <c r="I10606">
        <v>1777111</v>
      </c>
      <c r="J10606">
        <v>2</v>
      </c>
    </row>
    <row r="10607" spans="1:10" x14ac:dyDescent="0.25">
      <c r="A10607" t="s">
        <v>112</v>
      </c>
      <c r="B10607" s="1" t="str">
        <f>HYPERLINK("http://citidirect.com","citidirect.com")</f>
        <v>citidirect.com</v>
      </c>
      <c r="C10607" t="s">
        <v>433</v>
      </c>
      <c r="E10607">
        <v>42491</v>
      </c>
      <c r="F10607">
        <v>1.76514790137592E-7</v>
      </c>
      <c r="G10607">
        <v>219298</v>
      </c>
      <c r="H10607">
        <v>13651087</v>
      </c>
      <c r="I10607">
        <v>9605631</v>
      </c>
      <c r="J10607">
        <v>2</v>
      </c>
    </row>
    <row r="10608" spans="1:10" x14ac:dyDescent="0.25">
      <c r="A10608" t="s">
        <v>112</v>
      </c>
      <c r="B10608" s="1" t="str">
        <f>HYPERLINK("http://citidirectbe.com","citidirectbe.com")</f>
        <v>citidirectbe.com</v>
      </c>
      <c r="C10608" t="s">
        <v>433</v>
      </c>
      <c r="F10608">
        <v>1.18764392314216E-8</v>
      </c>
      <c r="G10608">
        <v>5253572</v>
      </c>
      <c r="H10608">
        <v>11300777</v>
      </c>
      <c r="I10608">
        <v>30605292</v>
      </c>
      <c r="J10608">
        <v>2</v>
      </c>
    </row>
    <row r="10609" spans="1:10" x14ac:dyDescent="0.25">
      <c r="A10609" t="s">
        <v>112</v>
      </c>
      <c r="B10609" s="1" t="str">
        <f>HYPERLINK("http://citientertainment.com","citientertainment.com")</f>
        <v>citientertainment.com</v>
      </c>
      <c r="C10609" t="s">
        <v>433</v>
      </c>
      <c r="E10609">
        <v>125083</v>
      </c>
      <c r="F10609">
        <v>4.8481343203545904E-7</v>
      </c>
      <c r="G10609">
        <v>78518</v>
      </c>
      <c r="H10609">
        <v>14558542</v>
      </c>
      <c r="I10609">
        <v>748457</v>
      </c>
      <c r="J10609">
        <v>2</v>
      </c>
    </row>
    <row r="10610" spans="1:10" x14ac:dyDescent="0.25">
      <c r="A10610" t="s">
        <v>112</v>
      </c>
      <c r="B10610" s="1" t="str">
        <f>HYPERLINK("http://citigroup.com","citigroup.com")</f>
        <v>citigroup.com</v>
      </c>
      <c r="C10610" t="s">
        <v>433</v>
      </c>
      <c r="E10610">
        <v>9752</v>
      </c>
      <c r="F10610">
        <v>3.5024946037698601E-6</v>
      </c>
      <c r="G10610">
        <v>11661</v>
      </c>
      <c r="H10610">
        <v>17623526</v>
      </c>
      <c r="I10610">
        <v>9027</v>
      </c>
      <c r="J10610">
        <v>1</v>
      </c>
    </row>
    <row r="10611" spans="1:10" x14ac:dyDescent="0.25">
      <c r="A10611" t="s">
        <v>112</v>
      </c>
      <c r="B10611" s="1" t="str">
        <f>HYPERLINK("http://citiislamic.com","citiislamic.com")</f>
        <v>citiislamic.com</v>
      </c>
      <c r="C10611" t="s">
        <v>433</v>
      </c>
      <c r="J10611">
        <v>4</v>
      </c>
    </row>
    <row r="10612" spans="1:10" x14ac:dyDescent="0.25">
      <c r="A10612" t="s">
        <v>112</v>
      </c>
      <c r="B10612" s="1" t="str">
        <f>HYPERLINK("http://citimenkuldegerler.com","citimenkuldegerler.com")</f>
        <v>citimenkuldegerler.com</v>
      </c>
      <c r="C10612" t="s">
        <v>433</v>
      </c>
      <c r="F10612">
        <v>4.4559697748796504E-9</v>
      </c>
      <c r="G10612">
        <v>69125857</v>
      </c>
      <c r="H10612">
        <v>7157478</v>
      </c>
      <c r="I10612">
        <v>76507131</v>
      </c>
      <c r="J10612">
        <v>4</v>
      </c>
    </row>
    <row r="10613" spans="1:10" x14ac:dyDescent="0.25">
      <c r="A10613" t="s">
        <v>112</v>
      </c>
      <c r="B10613" s="1" t="str">
        <f>HYPERLINK("http://citimortgage.com","citimortgage.com")</f>
        <v>citimortgage.com</v>
      </c>
      <c r="C10613" t="s">
        <v>433</v>
      </c>
      <c r="E10613">
        <v>856752</v>
      </c>
      <c r="F10613">
        <v>9.2434666061115094E-8</v>
      </c>
      <c r="G10613">
        <v>440274</v>
      </c>
      <c r="H10613">
        <v>14567016</v>
      </c>
      <c r="I10613">
        <v>739058</v>
      </c>
      <c r="J10613">
        <v>4</v>
      </c>
    </row>
    <row r="10614" spans="1:10" x14ac:dyDescent="0.25">
      <c r="A10614" t="s">
        <v>112</v>
      </c>
      <c r="B10614" s="1" t="str">
        <f>HYPERLINK("http://citiprepaid.com","citiprepaid.com")</f>
        <v>citiprepaid.com</v>
      </c>
      <c r="C10614" t="s">
        <v>433</v>
      </c>
      <c r="F10614">
        <v>6.9859349539414002E-9</v>
      </c>
      <c r="G10614">
        <v>12353593</v>
      </c>
      <c r="H10614">
        <v>13034170</v>
      </c>
      <c r="I10614">
        <v>12651997</v>
      </c>
      <c r="J10614">
        <v>5</v>
      </c>
    </row>
    <row r="10615" spans="1:10" x14ac:dyDescent="0.25">
      <c r="A10615" t="s">
        <v>112</v>
      </c>
      <c r="B10615" s="1" t="str">
        <f>HYPERLINK("http://citirl.com","citirl.com")</f>
        <v>citirl.com</v>
      </c>
      <c r="C10615" t="s">
        <v>433</v>
      </c>
      <c r="J10615">
        <v>4</v>
      </c>
    </row>
    <row r="10616" spans="1:10" x14ac:dyDescent="0.25">
      <c r="A10616" t="s">
        <v>112</v>
      </c>
      <c r="B10616" s="1" t="str">
        <f>HYPERLINK("http://citivelocity.com","citivelocity.com")</f>
        <v>citivelocity.com</v>
      </c>
      <c r="C10616" t="s">
        <v>433</v>
      </c>
      <c r="E10616">
        <v>96981</v>
      </c>
      <c r="F10616">
        <v>4.6522709224980302E-7</v>
      </c>
      <c r="G10616">
        <v>81414</v>
      </c>
      <c r="H10616">
        <v>14446001</v>
      </c>
      <c r="I10616">
        <v>1057042</v>
      </c>
      <c r="J10616">
        <v>2</v>
      </c>
    </row>
    <row r="10617" spans="1:10" x14ac:dyDescent="0.25">
      <c r="A10617" t="s">
        <v>112</v>
      </c>
      <c r="B10617" s="1" t="str">
        <f>HYPERLINK("http://citybanamex.com","citybanamex.com")</f>
        <v>citybanamex.com</v>
      </c>
      <c r="C10617" t="s">
        <v>433</v>
      </c>
      <c r="J10617">
        <v>5</v>
      </c>
    </row>
    <row r="10618" spans="1:10" x14ac:dyDescent="0.25">
      <c r="A10618" t="s">
        <v>112</v>
      </c>
      <c r="B10618" s="1" t="str">
        <f>HYPERLINK("http://metalmarkcapital.com","metalmarkcapital.com")</f>
        <v>metalmarkcapital.com</v>
      </c>
      <c r="C10618" t="s">
        <v>433</v>
      </c>
      <c r="F10618">
        <v>1.1174195775761801E-8</v>
      </c>
      <c r="G10618">
        <v>5731093</v>
      </c>
      <c r="H10618">
        <v>13799525</v>
      </c>
      <c r="I10618">
        <v>6285203</v>
      </c>
      <c r="J10618">
        <v>3</v>
      </c>
    </row>
    <row r="10619" spans="1:10" x14ac:dyDescent="0.25">
      <c r="A10619" t="s">
        <v>112</v>
      </c>
      <c r="B10619" s="1" t="str">
        <f>HYPERLINK("http://mysavingsaccount.com","mysavingsaccount.com")</f>
        <v>mysavingsaccount.com</v>
      </c>
      <c r="C10619" t="s">
        <v>433</v>
      </c>
      <c r="F10619">
        <v>1.36386344409282E-8</v>
      </c>
      <c r="G10619">
        <v>4345827</v>
      </c>
      <c r="H10619">
        <v>13069801</v>
      </c>
      <c r="I10619">
        <v>12249378</v>
      </c>
      <c r="J10619">
        <v>2</v>
      </c>
    </row>
    <row r="10620" spans="1:10" x14ac:dyDescent="0.25">
      <c r="A10620" t="s">
        <v>112</v>
      </c>
      <c r="B10620" s="1" t="str">
        <f>HYPERLINK("http://payquik.com","payquik.com")</f>
        <v>payquik.com</v>
      </c>
      <c r="C10620" t="s">
        <v>433</v>
      </c>
      <c r="F10620">
        <v>4.4925097995766103E-9</v>
      </c>
      <c r="G10620">
        <v>60092331</v>
      </c>
      <c r="H10620">
        <v>10921558</v>
      </c>
      <c r="I10620">
        <v>35249962</v>
      </c>
      <c r="J10620">
        <v>4</v>
      </c>
    </row>
    <row r="10621" spans="1:10" x14ac:dyDescent="0.25">
      <c r="A10621" t="s">
        <v>112</v>
      </c>
      <c r="B10621" s="1" t="str">
        <f>HYPERLINK("http://segurosbanamex.com","segurosbanamex.com")</f>
        <v>segurosbanamex.com</v>
      </c>
      <c r="C10621" t="s">
        <v>433</v>
      </c>
      <c r="F10621">
        <v>4.5446472238585197E-9</v>
      </c>
      <c r="G10621">
        <v>52764998</v>
      </c>
      <c r="H10621">
        <v>8579420</v>
      </c>
      <c r="I10621">
        <v>70986486</v>
      </c>
      <c r="J10621">
        <v>4</v>
      </c>
    </row>
    <row r="10622" spans="1:10" x14ac:dyDescent="0.25">
      <c r="A10622" t="s">
        <v>112</v>
      </c>
      <c r="B10622" s="1" t="str">
        <f>HYPERLINK("http://ssmb.com","ssmb.com")</f>
        <v>ssmb.com</v>
      </c>
      <c r="C10622" t="s">
        <v>433</v>
      </c>
      <c r="E10622">
        <v>29948</v>
      </c>
      <c r="F10622">
        <v>5.2988323511669603E-9</v>
      </c>
      <c r="G10622">
        <v>23511506</v>
      </c>
      <c r="H10622">
        <v>13279256</v>
      </c>
      <c r="I10622">
        <v>10917652</v>
      </c>
      <c r="J10622">
        <v>2</v>
      </c>
    </row>
    <row r="10623" spans="1:10" x14ac:dyDescent="0.25">
      <c r="A10623" t="s">
        <v>112</v>
      </c>
      <c r="B10623" s="1" t="str">
        <f>HYPERLINK("http://storm1.com","storm1.com")</f>
        <v>storm1.com</v>
      </c>
      <c r="C10623" t="s">
        <v>433</v>
      </c>
      <c r="J10623">
        <v>4</v>
      </c>
    </row>
    <row r="10624" spans="1:10" x14ac:dyDescent="0.25">
      <c r="A10624" t="s">
        <v>112</v>
      </c>
      <c r="B10624" s="1" t="str">
        <f>HYPERLINK("http://transferbanamex.com","transferbanamex.com")</f>
        <v>transferbanamex.com</v>
      </c>
      <c r="C10624" t="s">
        <v>433</v>
      </c>
      <c r="F10624">
        <v>5.5298589940223002E-9</v>
      </c>
      <c r="G10624">
        <v>20585935</v>
      </c>
      <c r="H10624">
        <v>11034213</v>
      </c>
      <c r="I10624">
        <v>33008288</v>
      </c>
      <c r="J10624">
        <v>2</v>
      </c>
    </row>
    <row r="10625" spans="1:10" x14ac:dyDescent="0.25">
      <c r="A10625" t="s">
        <v>112</v>
      </c>
      <c r="B10625" s="1" t="str">
        <f>HYPERLINK("http://vordere.com","vordere.com")</f>
        <v>vordere.com</v>
      </c>
      <c r="C10625" t="s">
        <v>433</v>
      </c>
      <c r="F10625">
        <v>4.7778493250091298E-9</v>
      </c>
      <c r="G10625">
        <v>37045027</v>
      </c>
      <c r="H10625">
        <v>10204767</v>
      </c>
      <c r="I10625">
        <v>59004629</v>
      </c>
      <c r="J10625">
        <v>7</v>
      </c>
    </row>
    <row r="10626" spans="1:10" x14ac:dyDescent="0.25">
      <c r="A10626" t="s">
        <v>112</v>
      </c>
      <c r="B10626" s="1" t="str">
        <f>HYPERLINK("http://citibank.co.cr","citibank.co.cr")</f>
        <v>citibank.co.cr</v>
      </c>
      <c r="C10626" t="s">
        <v>434</v>
      </c>
      <c r="D10626" t="s">
        <v>813</v>
      </c>
      <c r="F10626">
        <v>4.8664435513062798E-9</v>
      </c>
      <c r="G10626">
        <v>33542248</v>
      </c>
      <c r="H10626">
        <v>11220994</v>
      </c>
      <c r="I10626">
        <v>31084830</v>
      </c>
      <c r="J10626">
        <v>4</v>
      </c>
    </row>
    <row r="10627" spans="1:10" x14ac:dyDescent="0.25">
      <c r="A10627" t="s">
        <v>112</v>
      </c>
      <c r="B10627" s="1" t="str">
        <f>HYPERLINK("http://citibank.cz","citibank.cz")</f>
        <v>citibank.cz</v>
      </c>
      <c r="C10627" t="s">
        <v>435</v>
      </c>
      <c r="D10627" t="s">
        <v>814</v>
      </c>
      <c r="F10627">
        <v>5.5694665977722699E-8</v>
      </c>
      <c r="G10627">
        <v>805137</v>
      </c>
      <c r="H10627">
        <v>13975201</v>
      </c>
      <c r="I10627">
        <v>4063124</v>
      </c>
      <c r="J10627">
        <v>3</v>
      </c>
    </row>
    <row r="10628" spans="1:10" x14ac:dyDescent="0.25">
      <c r="A10628" t="s">
        <v>112</v>
      </c>
      <c r="B10628" s="1" t="str">
        <f>HYPERLINK("http://citibank.de","citibank.de")</f>
        <v>citibank.de</v>
      </c>
      <c r="C10628" t="s">
        <v>436</v>
      </c>
      <c r="D10628" t="s">
        <v>815</v>
      </c>
      <c r="F10628">
        <v>1.64924802041265E-8</v>
      </c>
      <c r="G10628">
        <v>3415430</v>
      </c>
      <c r="H10628">
        <v>14131638</v>
      </c>
      <c r="I10628">
        <v>2012917</v>
      </c>
      <c r="J10628">
        <v>4</v>
      </c>
    </row>
    <row r="10629" spans="1:10" x14ac:dyDescent="0.25">
      <c r="A10629" t="s">
        <v>112</v>
      </c>
      <c r="B10629" s="1" t="str">
        <f>HYPERLINK("http://citigroup.de","citigroup.de")</f>
        <v>citigroup.de</v>
      </c>
      <c r="C10629" t="s">
        <v>436</v>
      </c>
      <c r="D10629" t="s">
        <v>815</v>
      </c>
      <c r="F10629">
        <v>2.1471487358902101E-8</v>
      </c>
      <c r="G10629">
        <v>2452598</v>
      </c>
      <c r="H10629">
        <v>12619004</v>
      </c>
      <c r="I10629">
        <v>16099526</v>
      </c>
      <c r="J10629">
        <v>4</v>
      </c>
    </row>
    <row r="10630" spans="1:10" x14ac:dyDescent="0.25">
      <c r="A10630" t="s">
        <v>112</v>
      </c>
      <c r="B10630" s="1" t="str">
        <f>HYPERLINK("http://gtl-online.de","gtl-online.de")</f>
        <v>gtl-online.de</v>
      </c>
      <c r="C10630" t="s">
        <v>436</v>
      </c>
      <c r="D10630" t="s">
        <v>815</v>
      </c>
      <c r="J10630">
        <v>4</v>
      </c>
    </row>
    <row r="10631" spans="1:10" x14ac:dyDescent="0.25">
      <c r="A10631" t="s">
        <v>112</v>
      </c>
      <c r="B10631" s="1" t="str">
        <f>HYPERLINK("http://citi.es","citi.es")</f>
        <v>citi.es</v>
      </c>
      <c r="C10631" t="s">
        <v>443</v>
      </c>
      <c r="D10631" t="s">
        <v>822</v>
      </c>
      <c r="F10631">
        <v>1.24157685386375E-8</v>
      </c>
      <c r="G10631">
        <v>4930878</v>
      </c>
      <c r="H10631">
        <v>12743040</v>
      </c>
      <c r="I10631">
        <v>15102139</v>
      </c>
      <c r="J10631">
        <v>3</v>
      </c>
    </row>
    <row r="10632" spans="1:10" x14ac:dyDescent="0.25">
      <c r="A10632" t="s">
        <v>112</v>
      </c>
      <c r="B10632" s="1" t="str">
        <f>HYPERLINK("http://citibank.com.gt","citibank.com.gt")</f>
        <v>citibank.com.gt</v>
      </c>
      <c r="C10632" t="s">
        <v>448</v>
      </c>
      <c r="D10632" t="s">
        <v>826</v>
      </c>
      <c r="F10632">
        <v>4.8945729526656297E-9</v>
      </c>
      <c r="G10632">
        <v>32624790</v>
      </c>
      <c r="H10632">
        <v>11783101</v>
      </c>
      <c r="I10632">
        <v>29820722</v>
      </c>
      <c r="J10632">
        <v>4</v>
      </c>
    </row>
    <row r="10633" spans="1:10" x14ac:dyDescent="0.25">
      <c r="A10633" t="s">
        <v>112</v>
      </c>
      <c r="B10633" s="1" t="str">
        <f>HYPERLINK("http://citibank.hk","citibank.hk")</f>
        <v>citibank.hk</v>
      </c>
      <c r="C10633" t="s">
        <v>450</v>
      </c>
      <c r="D10633" t="s">
        <v>827</v>
      </c>
      <c r="F10633">
        <v>2.25370673628951E-8</v>
      </c>
      <c r="G10633">
        <v>2324403</v>
      </c>
      <c r="H10633">
        <v>13880952</v>
      </c>
      <c r="I10633">
        <v>5981392</v>
      </c>
      <c r="J10633">
        <v>4</v>
      </c>
    </row>
    <row r="10634" spans="1:10" x14ac:dyDescent="0.25">
      <c r="A10634" t="s">
        <v>112</v>
      </c>
      <c r="B10634" s="1" t="str">
        <f>HYPERLINK("http://citibank.com.hk","citibank.com.hk")</f>
        <v>citibank.com.hk</v>
      </c>
      <c r="C10634" t="s">
        <v>450</v>
      </c>
      <c r="D10634" t="s">
        <v>827</v>
      </c>
      <c r="E10634">
        <v>83132</v>
      </c>
      <c r="F10634">
        <v>1.9967580745978299E-7</v>
      </c>
      <c r="G10634">
        <v>191050</v>
      </c>
      <c r="H10634">
        <v>14491582</v>
      </c>
      <c r="I10634">
        <v>901777</v>
      </c>
      <c r="J10634">
        <v>3</v>
      </c>
    </row>
    <row r="10635" spans="1:10" x14ac:dyDescent="0.25">
      <c r="A10635" t="s">
        <v>112</v>
      </c>
      <c r="B10635" s="1" t="str">
        <f>HYPERLINK("http://citibank.co.id","citibank.co.id")</f>
        <v>citibank.co.id</v>
      </c>
      <c r="C10635" t="s">
        <v>454</v>
      </c>
      <c r="D10635" t="s">
        <v>831</v>
      </c>
      <c r="E10635">
        <v>412355</v>
      </c>
      <c r="F10635">
        <v>7.1882856933657898E-8</v>
      </c>
      <c r="G10635">
        <v>587573</v>
      </c>
      <c r="H10635">
        <v>14695446</v>
      </c>
      <c r="I10635">
        <v>599673</v>
      </c>
      <c r="J10635">
        <v>2</v>
      </c>
    </row>
    <row r="10636" spans="1:10" x14ac:dyDescent="0.25">
      <c r="A10636" t="s">
        <v>112</v>
      </c>
      <c r="B10636" s="1" t="str">
        <f>HYPERLINK("http://citibank.co.in","citibank.co.in")</f>
        <v>citibank.co.in</v>
      </c>
      <c r="C10636" t="s">
        <v>457</v>
      </c>
      <c r="D10636" t="s">
        <v>834</v>
      </c>
      <c r="E10636">
        <v>18495</v>
      </c>
      <c r="F10636">
        <v>2.6223844370514102E-7</v>
      </c>
      <c r="G10636">
        <v>142622</v>
      </c>
      <c r="H10636">
        <v>14404174</v>
      </c>
      <c r="I10636">
        <v>1150442</v>
      </c>
      <c r="J10636">
        <v>3</v>
      </c>
    </row>
    <row r="10637" spans="1:10" x14ac:dyDescent="0.25">
      <c r="A10637" t="s">
        <v>112</v>
      </c>
      <c r="B10637" s="1" t="str">
        <f>HYPERLINK("http://citicorpfinance.co.in","citicorpfinance.co.in")</f>
        <v>citicorpfinance.co.in</v>
      </c>
      <c r="C10637" t="s">
        <v>457</v>
      </c>
      <c r="D10637" t="s">
        <v>834</v>
      </c>
      <c r="F10637">
        <v>1.10414453305633E-8</v>
      </c>
      <c r="G10637">
        <v>5828633</v>
      </c>
      <c r="H10637">
        <v>14072910</v>
      </c>
      <c r="I10637">
        <v>3033771</v>
      </c>
      <c r="J10637">
        <v>4</v>
      </c>
    </row>
    <row r="10638" spans="1:10" x14ac:dyDescent="0.25">
      <c r="A10638" t="s">
        <v>112</v>
      </c>
      <c r="B10638" s="1" t="str">
        <f>HYPERLINK("http://cfjgk.jp","cfjgk.jp")</f>
        <v>cfjgk.jp</v>
      </c>
      <c r="C10638" t="s">
        <v>461</v>
      </c>
      <c r="D10638" t="s">
        <v>837</v>
      </c>
      <c r="F10638">
        <v>5.4999845172418797E-9</v>
      </c>
      <c r="G10638">
        <v>20900612</v>
      </c>
      <c r="H10638">
        <v>12048745</v>
      </c>
      <c r="I10638">
        <v>27285571</v>
      </c>
      <c r="J10638">
        <v>4</v>
      </c>
    </row>
    <row r="10639" spans="1:10" x14ac:dyDescent="0.25">
      <c r="A10639" t="s">
        <v>112</v>
      </c>
      <c r="B10639" s="1" t="str">
        <f>HYPERLINK("http://citigroup.jp","citigroup.jp")</f>
        <v>citigroup.jp</v>
      </c>
      <c r="C10639" t="s">
        <v>461</v>
      </c>
      <c r="D10639" t="s">
        <v>837</v>
      </c>
      <c r="F10639">
        <v>4.1234369430581402E-8</v>
      </c>
      <c r="G10639">
        <v>1228262</v>
      </c>
      <c r="H10639">
        <v>14449955</v>
      </c>
      <c r="I10639">
        <v>1053652</v>
      </c>
      <c r="J10639">
        <v>3</v>
      </c>
    </row>
    <row r="10640" spans="1:10" x14ac:dyDescent="0.25">
      <c r="A10640" t="s">
        <v>112</v>
      </c>
      <c r="B10640" s="1" t="str">
        <f>HYPERLINK("http://citibank.co.jp","citibank.co.jp")</f>
        <v>citibank.co.jp</v>
      </c>
      <c r="C10640" t="s">
        <v>461</v>
      </c>
      <c r="D10640" t="s">
        <v>837</v>
      </c>
      <c r="E10640">
        <v>658682</v>
      </c>
      <c r="F10640">
        <v>6.2519088846529195E-8</v>
      </c>
      <c r="G10640">
        <v>701898</v>
      </c>
      <c r="H10640">
        <v>14550609</v>
      </c>
      <c r="I10640">
        <v>759487</v>
      </c>
      <c r="J10640">
        <v>4</v>
      </c>
    </row>
    <row r="10641" spans="1:10" x14ac:dyDescent="0.25">
      <c r="A10641" t="s">
        <v>112</v>
      </c>
      <c r="B10641" s="1" t="str">
        <f>HYPERLINK("http://citigroupglobalmarkets.co.jp","citigroupglobalmarkets.co.jp")</f>
        <v>citigroupglobalmarkets.co.jp</v>
      </c>
      <c r="C10641" t="s">
        <v>461</v>
      </c>
      <c r="D10641" t="s">
        <v>837</v>
      </c>
      <c r="F10641">
        <v>5.9992672840569999E-9</v>
      </c>
      <c r="G10641">
        <v>16688591</v>
      </c>
      <c r="H10641">
        <v>12305805</v>
      </c>
      <c r="I10641">
        <v>20721485</v>
      </c>
      <c r="J10641">
        <v>3</v>
      </c>
    </row>
    <row r="10642" spans="1:10" x14ac:dyDescent="0.25">
      <c r="A10642" t="s">
        <v>112</v>
      </c>
      <c r="B10642" s="1" t="str">
        <f>HYPERLINK("http://citibank.co.kr","citibank.co.kr")</f>
        <v>citibank.co.kr</v>
      </c>
      <c r="C10642" t="s">
        <v>463</v>
      </c>
      <c r="D10642" t="s">
        <v>839</v>
      </c>
      <c r="E10642">
        <v>151836</v>
      </c>
      <c r="F10642">
        <v>1.2520683744591799E-7</v>
      </c>
      <c r="G10642">
        <v>315088</v>
      </c>
      <c r="H10642">
        <v>14275396</v>
      </c>
      <c r="I10642">
        <v>1391159</v>
      </c>
      <c r="J10642">
        <v>2</v>
      </c>
    </row>
    <row r="10643" spans="1:10" x14ac:dyDescent="0.25">
      <c r="A10643" t="s">
        <v>112</v>
      </c>
      <c r="B10643" s="1" t="str">
        <f>HYPERLINK("http://citibank.kz","citibank.kz")</f>
        <v>citibank.kz</v>
      </c>
      <c r="C10643" t="s">
        <v>465</v>
      </c>
      <c r="D10643" t="s">
        <v>841</v>
      </c>
      <c r="F10643">
        <v>7.9386410058297495E-9</v>
      </c>
      <c r="G10643">
        <v>10035497</v>
      </c>
      <c r="H10643">
        <v>12659042</v>
      </c>
      <c r="I10643">
        <v>15727732</v>
      </c>
      <c r="J10643">
        <v>3</v>
      </c>
    </row>
    <row r="10644" spans="1:10" x14ac:dyDescent="0.25">
      <c r="A10644" t="s">
        <v>112</v>
      </c>
      <c r="B10644" s="1" t="str">
        <f>HYPERLINK("http://aforebanamex.com.mx","aforebanamex.com.mx")</f>
        <v>aforebanamex.com.mx</v>
      </c>
      <c r="C10644" t="s">
        <v>471</v>
      </c>
      <c r="D10644" t="s">
        <v>847</v>
      </c>
      <c r="F10644">
        <v>2.21633208941831E-8</v>
      </c>
      <c r="G10644">
        <v>2367036</v>
      </c>
      <c r="H10644">
        <v>14072467</v>
      </c>
      <c r="I10644">
        <v>3088176</v>
      </c>
      <c r="J10644">
        <v>4</v>
      </c>
    </row>
    <row r="10645" spans="1:10" x14ac:dyDescent="0.25">
      <c r="A10645" t="s">
        <v>112</v>
      </c>
      <c r="B10645" s="1" t="str">
        <f>HYPERLINK("http://banamex.com.mx","banamex.com.mx")</f>
        <v>banamex.com.mx</v>
      </c>
      <c r="C10645" t="s">
        <v>471</v>
      </c>
      <c r="D10645" t="s">
        <v>847</v>
      </c>
      <c r="E10645">
        <v>73270</v>
      </c>
      <c r="F10645">
        <v>3.8330069847192301E-8</v>
      </c>
      <c r="G10645">
        <v>1350667</v>
      </c>
      <c r="H10645">
        <v>13951336</v>
      </c>
      <c r="I10645">
        <v>4165856</v>
      </c>
      <c r="J10645">
        <v>4</v>
      </c>
    </row>
    <row r="10646" spans="1:10" x14ac:dyDescent="0.25">
      <c r="A10646" t="s">
        <v>112</v>
      </c>
      <c r="B10646" s="1" t="str">
        <f>HYPERLINK("http://citibanamex.com.mx","citibanamex.com.mx")</f>
        <v>citibanamex.com.mx</v>
      </c>
      <c r="C10646" t="s">
        <v>471</v>
      </c>
      <c r="D10646" t="s">
        <v>847</v>
      </c>
      <c r="E10646">
        <v>110567</v>
      </c>
      <c r="F10646">
        <v>4.4554774429909802E-9</v>
      </c>
      <c r="G10646">
        <v>69321830</v>
      </c>
      <c r="H10646">
        <v>10812363</v>
      </c>
      <c r="I10646">
        <v>37804750</v>
      </c>
      <c r="J10646">
        <v>5</v>
      </c>
    </row>
    <row r="10647" spans="1:10" x14ac:dyDescent="0.25">
      <c r="A10647" t="s">
        <v>112</v>
      </c>
      <c r="B10647" s="1" t="str">
        <f>HYPERLINK("http://segurosbanamex.com.mx","segurosbanamex.com.mx")</f>
        <v>segurosbanamex.com.mx</v>
      </c>
      <c r="C10647" t="s">
        <v>471</v>
      </c>
      <c r="D10647" t="s">
        <v>847</v>
      </c>
      <c r="F10647">
        <v>1.6424928618281499E-8</v>
      </c>
      <c r="G10647">
        <v>3432844</v>
      </c>
      <c r="H10647">
        <v>11337732</v>
      </c>
      <c r="I10647">
        <v>30431427</v>
      </c>
      <c r="J10647">
        <v>4</v>
      </c>
    </row>
    <row r="10648" spans="1:10" x14ac:dyDescent="0.25">
      <c r="A10648" t="s">
        <v>112</v>
      </c>
      <c r="B10648" s="1" t="str">
        <f>HYPERLINK("http://vitamedica.com.mx","vitamedica.com.mx")</f>
        <v>vitamedica.com.mx</v>
      </c>
      <c r="C10648" t="s">
        <v>471</v>
      </c>
      <c r="D10648" t="s">
        <v>847</v>
      </c>
      <c r="F10648">
        <v>7.6680521214791405E-9</v>
      </c>
      <c r="G10648">
        <v>10647909</v>
      </c>
      <c r="H10648">
        <v>12391551</v>
      </c>
      <c r="I10648">
        <v>19005716</v>
      </c>
      <c r="J10648">
        <v>4</v>
      </c>
    </row>
    <row r="10649" spans="1:10" x14ac:dyDescent="0.25">
      <c r="A10649" t="s">
        <v>112</v>
      </c>
      <c r="B10649" s="1" t="str">
        <f>HYPERLINK("http://citibank.com.my","citibank.com.my")</f>
        <v>citibank.com.my</v>
      </c>
      <c r="C10649" t="s">
        <v>472</v>
      </c>
      <c r="D10649" t="s">
        <v>848</v>
      </c>
      <c r="E10649">
        <v>111487</v>
      </c>
      <c r="F10649">
        <v>9.5339510231792103E-8</v>
      </c>
      <c r="G10649">
        <v>424949</v>
      </c>
      <c r="H10649">
        <v>14219414</v>
      </c>
      <c r="I10649">
        <v>1687651</v>
      </c>
      <c r="J10649">
        <v>2</v>
      </c>
    </row>
    <row r="10650" spans="1:10" x14ac:dyDescent="0.25">
      <c r="A10650" t="s">
        <v>112</v>
      </c>
      <c r="B10650" s="1" t="str">
        <f>HYPERLINK("http://citigroup.net","citigroup.net")</f>
        <v>citigroup.net</v>
      </c>
      <c r="C10650" t="s">
        <v>474</v>
      </c>
      <c r="E10650">
        <v>302025</v>
      </c>
      <c r="F10650">
        <v>7.03660364891062E-8</v>
      </c>
      <c r="G10650">
        <v>601836</v>
      </c>
      <c r="H10650">
        <v>13097157</v>
      </c>
      <c r="I10650">
        <v>12117727</v>
      </c>
      <c r="J10650">
        <v>2</v>
      </c>
    </row>
    <row r="10651" spans="1:10" x14ac:dyDescent="0.25">
      <c r="A10651" t="s">
        <v>112</v>
      </c>
      <c r="B10651" s="1" t="str">
        <f>HYPERLINK("http://dmzroot.net","dmzroot.net")</f>
        <v>dmzroot.net</v>
      </c>
      <c r="C10651" t="s">
        <v>474</v>
      </c>
      <c r="F10651">
        <v>4.44380927664388E-9</v>
      </c>
      <c r="G10651">
        <v>79836477</v>
      </c>
      <c r="H10651">
        <v>10352960</v>
      </c>
      <c r="I10651">
        <v>55984210</v>
      </c>
      <c r="J10651">
        <v>2</v>
      </c>
    </row>
    <row r="10652" spans="1:10" x14ac:dyDescent="0.25">
      <c r="A10652" t="s">
        <v>112</v>
      </c>
      <c r="B10652" s="1" t="str">
        <f>HYPERLINK("http://nsroot.net","nsroot.net")</f>
        <v>nsroot.net</v>
      </c>
      <c r="C10652" t="s">
        <v>474</v>
      </c>
      <c r="E10652">
        <v>11722</v>
      </c>
      <c r="F10652">
        <v>1.2056031476341101E-7</v>
      </c>
      <c r="G10652">
        <v>327743</v>
      </c>
      <c r="H10652">
        <v>13720543</v>
      </c>
      <c r="I10652">
        <v>9474230</v>
      </c>
      <c r="J10652">
        <v>2</v>
      </c>
    </row>
    <row r="10653" spans="1:10" x14ac:dyDescent="0.25">
      <c r="A10653" t="s">
        <v>112</v>
      </c>
      <c r="B10653" s="1" t="str">
        <f>HYPERLINK("http://citibank.com.pe","citibank.com.pe")</f>
        <v>citibank.com.pe</v>
      </c>
      <c r="C10653" t="s">
        <v>483</v>
      </c>
      <c r="D10653" t="s">
        <v>857</v>
      </c>
      <c r="F10653">
        <v>2.6671072805647401E-8</v>
      </c>
      <c r="G10653">
        <v>1929797</v>
      </c>
      <c r="H10653">
        <v>12745713</v>
      </c>
      <c r="I10653">
        <v>15086476</v>
      </c>
      <c r="J10653">
        <v>4</v>
      </c>
    </row>
    <row r="10654" spans="1:10" x14ac:dyDescent="0.25">
      <c r="A10654" t="s">
        <v>112</v>
      </c>
      <c r="B10654" s="1" t="str">
        <f>HYPERLINK("http://citibank.com.ph","citibank.com.ph")</f>
        <v>citibank.com.ph</v>
      </c>
      <c r="C10654" t="s">
        <v>484</v>
      </c>
      <c r="D10654" t="s">
        <v>858</v>
      </c>
      <c r="E10654">
        <v>163783</v>
      </c>
      <c r="F10654">
        <v>1.1600849705416699E-7</v>
      </c>
      <c r="G10654">
        <v>342817</v>
      </c>
      <c r="H10654">
        <v>14311566</v>
      </c>
      <c r="I10654">
        <v>1340485</v>
      </c>
      <c r="J10654">
        <v>2</v>
      </c>
    </row>
    <row r="10655" spans="1:10" x14ac:dyDescent="0.25">
      <c r="A10655" t="s">
        <v>112</v>
      </c>
      <c r="B10655" s="1" t="str">
        <f>HYPERLINK("http://citibank.pl","citibank.pl")</f>
        <v>citibank.pl</v>
      </c>
      <c r="C10655" t="s">
        <v>486</v>
      </c>
      <c r="D10655" t="s">
        <v>860</v>
      </c>
      <c r="E10655">
        <v>170462</v>
      </c>
      <c r="F10655">
        <v>2.4625437856362898E-7</v>
      </c>
      <c r="G10655">
        <v>151910</v>
      </c>
      <c r="H10655">
        <v>16947492</v>
      </c>
      <c r="I10655">
        <v>109159</v>
      </c>
      <c r="J10655">
        <v>2</v>
      </c>
    </row>
    <row r="10656" spans="1:10" x14ac:dyDescent="0.25">
      <c r="A10656" t="s">
        <v>112</v>
      </c>
      <c r="B10656" s="1" t="str">
        <f>HYPERLINK("http://citibankonline.pl","citibankonline.pl")</f>
        <v>citibankonline.pl</v>
      </c>
      <c r="C10656" t="s">
        <v>486</v>
      </c>
      <c r="D10656" t="s">
        <v>860</v>
      </c>
      <c r="E10656">
        <v>235255</v>
      </c>
      <c r="F10656">
        <v>2.6845933860239901E-8</v>
      </c>
      <c r="G10656">
        <v>1916145</v>
      </c>
      <c r="H10656">
        <v>13764329</v>
      </c>
      <c r="I10656">
        <v>7294809</v>
      </c>
      <c r="J10656">
        <v>4</v>
      </c>
    </row>
    <row r="10657" spans="1:10" x14ac:dyDescent="0.25">
      <c r="A10657" t="s">
        <v>112</v>
      </c>
      <c r="B10657" s="1" t="str">
        <f>HYPERLINK("http://dmbh.pl","dmbh.pl")</f>
        <v>dmbh.pl</v>
      </c>
      <c r="C10657" t="s">
        <v>486</v>
      </c>
      <c r="D10657" t="s">
        <v>860</v>
      </c>
      <c r="F10657">
        <v>7.6239250293819899E-9</v>
      </c>
      <c r="G10657">
        <v>10742201</v>
      </c>
      <c r="H10657">
        <v>12259371</v>
      </c>
      <c r="I10657">
        <v>21787160</v>
      </c>
      <c r="J10657">
        <v>4</v>
      </c>
    </row>
    <row r="10658" spans="1:10" x14ac:dyDescent="0.25">
      <c r="A10658" t="s">
        <v>112</v>
      </c>
      <c r="B10658" s="1" t="str">
        <f>HYPERLINK("http://citi.com.pt","citi.com.pt")</f>
        <v>citi.com.pt</v>
      </c>
      <c r="C10658" t="s">
        <v>488</v>
      </c>
      <c r="D10658" t="s">
        <v>862</v>
      </c>
      <c r="F10658">
        <v>1.1940260905866899E-8</v>
      </c>
      <c r="G10658">
        <v>5212945</v>
      </c>
      <c r="H10658">
        <v>12733744</v>
      </c>
      <c r="I10658">
        <v>15179382</v>
      </c>
      <c r="J10658">
        <v>3</v>
      </c>
    </row>
    <row r="10659" spans="1:10" x14ac:dyDescent="0.25">
      <c r="A10659" t="s">
        <v>112</v>
      </c>
      <c r="B10659" s="1" t="str">
        <f>HYPERLINK("http://citibank.ru","citibank.ru")</f>
        <v>citibank.ru</v>
      </c>
      <c r="C10659" t="s">
        <v>493</v>
      </c>
      <c r="D10659" t="s">
        <v>867</v>
      </c>
      <c r="E10659">
        <v>89144</v>
      </c>
      <c r="F10659">
        <v>2.25422461679365E-7</v>
      </c>
      <c r="G10659">
        <v>167158</v>
      </c>
      <c r="H10659">
        <v>14212548</v>
      </c>
      <c r="I10659">
        <v>1699168</v>
      </c>
      <c r="J10659">
        <v>3</v>
      </c>
    </row>
    <row r="10660" spans="1:10" x14ac:dyDescent="0.25">
      <c r="A10660" t="s">
        <v>112</v>
      </c>
      <c r="B10660" s="1" t="str">
        <f>HYPERLINK("http://citiglobalmarkets.ru","citiglobalmarkets.ru")</f>
        <v>citiglobalmarkets.ru</v>
      </c>
      <c r="C10660" t="s">
        <v>493</v>
      </c>
      <c r="D10660" t="s">
        <v>867</v>
      </c>
      <c r="F10660">
        <v>5.0513353688337398E-9</v>
      </c>
      <c r="G10660">
        <v>28190763</v>
      </c>
      <c r="H10660">
        <v>12277449</v>
      </c>
      <c r="I10660">
        <v>21361227</v>
      </c>
      <c r="J10660">
        <v>4</v>
      </c>
    </row>
    <row r="10661" spans="1:10" x14ac:dyDescent="0.25">
      <c r="A10661" t="s">
        <v>112</v>
      </c>
      <c r="B10661" s="1" t="str">
        <f>HYPERLINK("http://citibank.com.sg","citibank.com.sg")</f>
        <v>citibank.com.sg</v>
      </c>
      <c r="C10661" t="s">
        <v>496</v>
      </c>
      <c r="D10661" t="s">
        <v>870</v>
      </c>
      <c r="E10661">
        <v>90724</v>
      </c>
      <c r="F10661">
        <v>2.05889906953271E-7</v>
      </c>
      <c r="G10661">
        <v>184439</v>
      </c>
      <c r="H10661">
        <v>14599493</v>
      </c>
      <c r="I10661">
        <v>686750</v>
      </c>
      <c r="J10661">
        <v>2</v>
      </c>
    </row>
    <row r="10662" spans="1:10" x14ac:dyDescent="0.25">
      <c r="A10662" t="s">
        <v>112</v>
      </c>
      <c r="B10662" s="1" t="str">
        <f>HYPERLINK("http://citi.co.th","citi.co.th")</f>
        <v>citi.co.th</v>
      </c>
      <c r="C10662" t="s">
        <v>500</v>
      </c>
      <c r="D10662" t="s">
        <v>874</v>
      </c>
      <c r="F10662">
        <v>6.7665842966508997E-9</v>
      </c>
      <c r="G10662">
        <v>13073130</v>
      </c>
      <c r="H10662">
        <v>12245139</v>
      </c>
      <c r="I10662">
        <v>22115581</v>
      </c>
      <c r="J10662">
        <v>4</v>
      </c>
    </row>
    <row r="10663" spans="1:10" x14ac:dyDescent="0.25">
      <c r="A10663" t="s">
        <v>112</v>
      </c>
      <c r="B10663" s="1" t="str">
        <f>HYPERLINK("http://citibank.co.th","citibank.co.th")</f>
        <v>citibank.co.th</v>
      </c>
      <c r="C10663" t="s">
        <v>500</v>
      </c>
      <c r="D10663" t="s">
        <v>874</v>
      </c>
      <c r="E10663">
        <v>163395</v>
      </c>
      <c r="F10663">
        <v>1.11281350750726E-7</v>
      </c>
      <c r="G10663">
        <v>359202</v>
      </c>
      <c r="H10663">
        <v>14705162</v>
      </c>
      <c r="I10663">
        <v>587748</v>
      </c>
      <c r="J10663">
        <v>3</v>
      </c>
    </row>
    <row r="10664" spans="1:10" x14ac:dyDescent="0.25">
      <c r="A10664" t="s">
        <v>112</v>
      </c>
      <c r="B10664" s="1" t="str">
        <f>HYPERLINK("http://citibank.com.tr","citibank.com.tr")</f>
        <v>citibank.com.tr</v>
      </c>
      <c r="C10664" t="s">
        <v>502</v>
      </c>
      <c r="D10664" t="s">
        <v>876</v>
      </c>
      <c r="F10664">
        <v>3.4204685966559603E-8</v>
      </c>
      <c r="G10664">
        <v>1515066</v>
      </c>
      <c r="H10664">
        <v>14238932</v>
      </c>
      <c r="I10664">
        <v>1519001</v>
      </c>
      <c r="J10664">
        <v>3</v>
      </c>
    </row>
    <row r="10665" spans="1:10" x14ac:dyDescent="0.25">
      <c r="A10665" t="s">
        <v>112</v>
      </c>
      <c r="B10665" s="1" t="str">
        <f>HYPERLINK("http://citi.tw","citi.tw")</f>
        <v>citi.tw</v>
      </c>
      <c r="C10665" t="s">
        <v>504</v>
      </c>
      <c r="D10665" t="s">
        <v>878</v>
      </c>
      <c r="F10665">
        <v>1.1940260775844601E-8</v>
      </c>
      <c r="G10665">
        <v>5212947</v>
      </c>
      <c r="H10665">
        <v>12733744</v>
      </c>
      <c r="I10665">
        <v>15179383</v>
      </c>
      <c r="J10665">
        <v>3</v>
      </c>
    </row>
    <row r="10666" spans="1:10" x14ac:dyDescent="0.25">
      <c r="A10666" t="s">
        <v>112</v>
      </c>
      <c r="B10666" s="1" t="str">
        <f>HYPERLINK("http://citibank.com.tw","citibank.com.tw")</f>
        <v>citibank.com.tw</v>
      </c>
      <c r="C10666" t="s">
        <v>504</v>
      </c>
      <c r="D10666" t="s">
        <v>878</v>
      </c>
      <c r="E10666">
        <v>93071</v>
      </c>
      <c r="F10666">
        <v>1.3270813005253499E-7</v>
      </c>
      <c r="G10666">
        <v>294440</v>
      </c>
      <c r="H10666">
        <v>14643307</v>
      </c>
      <c r="I10666">
        <v>634862</v>
      </c>
      <c r="J10666">
        <v>3</v>
      </c>
    </row>
    <row r="10667" spans="1:10" x14ac:dyDescent="0.25">
      <c r="A10667" t="s">
        <v>112</v>
      </c>
      <c r="B10667" s="1" t="str">
        <f>HYPERLINK("http://brennangroup.co.uk","brennangroup.co.uk")</f>
        <v>brennangroup.co.uk</v>
      </c>
      <c r="C10667" t="s">
        <v>506</v>
      </c>
      <c r="D10667" t="s">
        <v>880</v>
      </c>
      <c r="F10667">
        <v>5.2197189607504796E-9</v>
      </c>
      <c r="G10667">
        <v>24750970</v>
      </c>
      <c r="H10667">
        <v>11077420</v>
      </c>
      <c r="I10667">
        <v>32506786</v>
      </c>
      <c r="J10667">
        <v>4</v>
      </c>
    </row>
    <row r="10668" spans="1:10" x14ac:dyDescent="0.25">
      <c r="A10668" t="s">
        <v>112</v>
      </c>
      <c r="B10668" s="1" t="str">
        <f>HYPERLINK("http://citibank.co.uk","citibank.co.uk")</f>
        <v>citibank.co.uk</v>
      </c>
      <c r="C10668" t="s">
        <v>506</v>
      </c>
      <c r="D10668" t="s">
        <v>880</v>
      </c>
      <c r="E10668">
        <v>360766</v>
      </c>
      <c r="F10668">
        <v>1.37728179799231E-7</v>
      </c>
      <c r="G10668">
        <v>282935</v>
      </c>
      <c r="H10668">
        <v>17045828</v>
      </c>
      <c r="I10668">
        <v>77654</v>
      </c>
      <c r="J10668">
        <v>3</v>
      </c>
    </row>
    <row r="10669" spans="1:10" x14ac:dyDescent="0.25">
      <c r="A10669" t="s">
        <v>112</v>
      </c>
      <c r="B10669" s="1" t="str">
        <f>HYPERLINK("http://citi.us","citi.us")</f>
        <v>citi.us</v>
      </c>
      <c r="C10669" t="s">
        <v>522</v>
      </c>
      <c r="D10669" t="s">
        <v>891</v>
      </c>
      <c r="F10669">
        <v>5.0806270458047802E-8</v>
      </c>
      <c r="G10669">
        <v>902975</v>
      </c>
      <c r="H10669">
        <v>13385196</v>
      </c>
      <c r="I10669">
        <v>10411286</v>
      </c>
      <c r="J10669">
        <v>3</v>
      </c>
    </row>
    <row r="10670" spans="1:10" x14ac:dyDescent="0.25">
      <c r="A10670" t="s">
        <v>112</v>
      </c>
      <c r="B10670" s="1" t="str">
        <f>HYPERLINK("http://citibank.com.vn","citibank.com.vn")</f>
        <v>citibank.com.vn</v>
      </c>
      <c r="C10670" t="s">
        <v>509</v>
      </c>
      <c r="D10670" t="s">
        <v>883</v>
      </c>
      <c r="E10670">
        <v>481866</v>
      </c>
      <c r="F10670">
        <v>1.14732847444185E-7</v>
      </c>
      <c r="G10670">
        <v>346998</v>
      </c>
      <c r="H10670">
        <v>14242225</v>
      </c>
      <c r="I10670">
        <v>1485826</v>
      </c>
      <c r="J10670">
        <v>3</v>
      </c>
    </row>
    <row r="10671" spans="1:10" x14ac:dyDescent="0.25">
      <c r="A10671" t="s">
        <v>113</v>
      </c>
      <c r="B10671" s="1" t="str">
        <f>HYPERLINK("http://costacoffee.ae","costacoffee.ae")</f>
        <v>costacoffee.ae</v>
      </c>
      <c r="C10671" t="s">
        <v>417</v>
      </c>
      <c r="D10671" t="s">
        <v>799</v>
      </c>
      <c r="F10671">
        <v>3.3480120646328998E-8</v>
      </c>
      <c r="G10671">
        <v>1544075</v>
      </c>
      <c r="H10671">
        <v>14439310</v>
      </c>
      <c r="I10671">
        <v>1065285</v>
      </c>
      <c r="J10671">
        <v>4</v>
      </c>
    </row>
    <row r="10672" spans="1:10" x14ac:dyDescent="0.25">
      <c r="A10672" t="s">
        <v>113</v>
      </c>
      <c r="B10672" s="1" t="str">
        <f>HYPERLINK("http://ccbs.al","ccbs.al")</f>
        <v>ccbs.al</v>
      </c>
      <c r="C10672" t="s">
        <v>588</v>
      </c>
      <c r="D10672" t="s">
        <v>924</v>
      </c>
      <c r="F10672">
        <v>1.0914970818050799E-8</v>
      </c>
      <c r="G10672">
        <v>5930825</v>
      </c>
      <c r="H10672">
        <v>11103234</v>
      </c>
      <c r="I10672">
        <v>32229047</v>
      </c>
      <c r="J10672">
        <v>3</v>
      </c>
    </row>
    <row r="10673" spans="1:10" x14ac:dyDescent="0.25">
      <c r="A10673" t="s">
        <v>113</v>
      </c>
      <c r="B10673" s="1" t="str">
        <f>HYPERLINK("http://cocacoladeargentina.com.ar","cocacoladeargentina.com.ar")</f>
        <v>cocacoladeargentina.com.ar</v>
      </c>
      <c r="C10673" t="s">
        <v>418</v>
      </c>
      <c r="D10673" t="s">
        <v>800</v>
      </c>
      <c r="F10673">
        <v>9.1138936750581305E-8</v>
      </c>
      <c r="G10673">
        <v>447302</v>
      </c>
      <c r="H10673">
        <v>14392885</v>
      </c>
      <c r="I10673">
        <v>1164272</v>
      </c>
      <c r="J10673">
        <v>4</v>
      </c>
    </row>
    <row r="10674" spans="1:10" x14ac:dyDescent="0.25">
      <c r="A10674" t="s">
        <v>113</v>
      </c>
      <c r="B10674" s="1" t="str">
        <f>HYPERLINK("http://cokecareers.com.au","cokecareers.com.au")</f>
        <v>cokecareers.com.au</v>
      </c>
      <c r="C10674" t="s">
        <v>420</v>
      </c>
      <c r="D10674" t="s">
        <v>802</v>
      </c>
      <c r="F10674">
        <v>4.4550626912124502E-9</v>
      </c>
      <c r="G10674">
        <v>69488657</v>
      </c>
      <c r="H10674">
        <v>12008252</v>
      </c>
      <c r="I10674">
        <v>28119323</v>
      </c>
      <c r="J10674">
        <v>6</v>
      </c>
    </row>
    <row r="10675" spans="1:10" x14ac:dyDescent="0.25">
      <c r="A10675" t="s">
        <v>113</v>
      </c>
      <c r="B10675" s="1" t="str">
        <f>HYPERLINK("http://cocacolabrasil.com.br","cocacolabrasil.com.br")</f>
        <v>cocacolabrasil.com.br</v>
      </c>
      <c r="C10675" t="s">
        <v>425</v>
      </c>
      <c r="D10675" t="s">
        <v>806</v>
      </c>
      <c r="E10675">
        <v>468361</v>
      </c>
      <c r="F10675">
        <v>6.5466027525167406E-8</v>
      </c>
      <c r="G10675">
        <v>656835</v>
      </c>
      <c r="H10675">
        <v>14751496</v>
      </c>
      <c r="I10675">
        <v>563232</v>
      </c>
      <c r="J10675">
        <v>3</v>
      </c>
    </row>
    <row r="10676" spans="1:10" x14ac:dyDescent="0.25">
      <c r="A10676" t="s">
        <v>113</v>
      </c>
      <c r="B10676" s="1" t="str">
        <f>HYPERLINK("http://coca-cola.ch","coca-cola.ch")</f>
        <v>coca-cola.ch</v>
      </c>
      <c r="C10676" t="s">
        <v>429</v>
      </c>
      <c r="D10676" t="s">
        <v>810</v>
      </c>
      <c r="E10676">
        <v>924099</v>
      </c>
      <c r="F10676">
        <v>9.75686665763752E-8</v>
      </c>
      <c r="G10676">
        <v>413870</v>
      </c>
      <c r="H10676">
        <v>14490672</v>
      </c>
      <c r="I10676">
        <v>909626</v>
      </c>
      <c r="J10676">
        <v>3</v>
      </c>
    </row>
    <row r="10677" spans="1:10" x14ac:dyDescent="0.25">
      <c r="A10677" t="s">
        <v>113</v>
      </c>
      <c r="B10677" s="1" t="str">
        <f>HYPERLINK("http://cocacoladechile.cl","cocacoladechile.cl")</f>
        <v>cocacoladechile.cl</v>
      </c>
      <c r="C10677" t="s">
        <v>430</v>
      </c>
      <c r="D10677" t="s">
        <v>811</v>
      </c>
      <c r="F10677">
        <v>2.4356950659392E-8</v>
      </c>
      <c r="G10677">
        <v>2128124</v>
      </c>
      <c r="H10677">
        <v>14376181</v>
      </c>
      <c r="I10677">
        <v>1219424</v>
      </c>
      <c r="J10677">
        <v>3</v>
      </c>
    </row>
    <row r="10678" spans="1:10" x14ac:dyDescent="0.25">
      <c r="A10678" t="s">
        <v>113</v>
      </c>
      <c r="B10678" s="1" t="str">
        <f>HYPERLINK("http://coca-cola.com.cn","coca-cola.com.cn")</f>
        <v>coca-cola.com.cn</v>
      </c>
      <c r="C10678" t="s">
        <v>431</v>
      </c>
      <c r="D10678" t="s">
        <v>812</v>
      </c>
      <c r="E10678">
        <v>510000</v>
      </c>
      <c r="F10678">
        <v>3.3369879816936901E-7</v>
      </c>
      <c r="G10678">
        <v>111706</v>
      </c>
      <c r="H10678">
        <v>14706435</v>
      </c>
      <c r="I10678">
        <v>586667</v>
      </c>
      <c r="J10678">
        <v>3</v>
      </c>
    </row>
    <row r="10679" spans="1:10" x14ac:dyDescent="0.25">
      <c r="A10679" t="s">
        <v>113</v>
      </c>
      <c r="B10679" s="1" t="str">
        <f>HYPERLINK("http://coca-cola.com.co","coca-cola.com.co")</f>
        <v>coca-cola.com.co</v>
      </c>
      <c r="C10679" t="s">
        <v>432</v>
      </c>
      <c r="E10679">
        <v>928959</v>
      </c>
      <c r="F10679">
        <v>3.13466465306095E-7</v>
      </c>
      <c r="G10679">
        <v>118584</v>
      </c>
      <c r="H10679">
        <v>14149416</v>
      </c>
      <c r="I10679">
        <v>1881434</v>
      </c>
      <c r="J10679">
        <v>3</v>
      </c>
    </row>
    <row r="10680" spans="1:10" x14ac:dyDescent="0.25">
      <c r="A10680" t="s">
        <v>113</v>
      </c>
      <c r="B10680" s="1" t="str">
        <f>HYPERLINK("http://ccamatil.com","ccamatil.com")</f>
        <v>ccamatil.com</v>
      </c>
      <c r="C10680" t="s">
        <v>433</v>
      </c>
      <c r="E10680">
        <v>477755</v>
      </c>
      <c r="F10680">
        <v>7.9136394049458202E-8</v>
      </c>
      <c r="G10680">
        <v>528105</v>
      </c>
      <c r="H10680">
        <v>15075355</v>
      </c>
      <c r="I10680">
        <v>410308</v>
      </c>
      <c r="J10680">
        <v>3</v>
      </c>
    </row>
    <row r="10681" spans="1:10" x14ac:dyDescent="0.25">
      <c r="A10681" t="s">
        <v>113</v>
      </c>
      <c r="B10681" s="1" t="str">
        <f>HYPERLINK("http://ccbagroup.com","ccbagroup.com")</f>
        <v>ccbagroup.com</v>
      </c>
      <c r="C10681" t="s">
        <v>433</v>
      </c>
      <c r="E10681">
        <v>776032</v>
      </c>
      <c r="F10681">
        <v>5.7044275599177001E-8</v>
      </c>
      <c r="G10681">
        <v>782673</v>
      </c>
      <c r="H10681">
        <v>14419376</v>
      </c>
      <c r="I10681">
        <v>1091947</v>
      </c>
      <c r="J10681">
        <v>3</v>
      </c>
    </row>
    <row r="10682" spans="1:10" x14ac:dyDescent="0.25">
      <c r="A10682" t="s">
        <v>113</v>
      </c>
      <c r="B10682" s="1" t="str">
        <f>HYPERLINK("http://ccbcc.com","ccbcc.com")</f>
        <v>ccbcc.com</v>
      </c>
      <c r="C10682" t="s">
        <v>433</v>
      </c>
      <c r="E10682">
        <v>348256</v>
      </c>
      <c r="F10682">
        <v>5.0760947579751798E-9</v>
      </c>
      <c r="G10682">
        <v>27598304</v>
      </c>
      <c r="H10682">
        <v>12251991</v>
      </c>
      <c r="I10682">
        <v>21964244</v>
      </c>
      <c r="J10682">
        <v>5</v>
      </c>
    </row>
    <row r="10683" spans="1:10" x14ac:dyDescent="0.25">
      <c r="A10683" t="s">
        <v>113</v>
      </c>
      <c r="B10683" s="1" t="str">
        <f>HYPERLINK("http://ccbj-holdings.com","ccbj-holdings.com")</f>
        <v>ccbj-holdings.com</v>
      </c>
      <c r="C10683" t="s">
        <v>433</v>
      </c>
      <c r="F10683">
        <v>2.2745138631915001E-8</v>
      </c>
      <c r="G10683">
        <v>2301803</v>
      </c>
      <c r="H10683">
        <v>14165976</v>
      </c>
      <c r="I10683">
        <v>1819929</v>
      </c>
      <c r="J10683">
        <v>3</v>
      </c>
    </row>
    <row r="10684" spans="1:10" x14ac:dyDescent="0.25">
      <c r="A10684" t="s">
        <v>113</v>
      </c>
      <c r="B10684" s="1" t="str">
        <f>HYPERLINK("http://ccep.com","ccep.com")</f>
        <v>ccep.com</v>
      </c>
      <c r="C10684" t="s">
        <v>433</v>
      </c>
      <c r="E10684">
        <v>217258</v>
      </c>
      <c r="F10684">
        <v>1.09508871265864E-7</v>
      </c>
      <c r="G10684">
        <v>365309</v>
      </c>
      <c r="H10684">
        <v>14458979</v>
      </c>
      <c r="I10684">
        <v>1047894</v>
      </c>
      <c r="J10684">
        <v>6</v>
      </c>
    </row>
    <row r="10685" spans="1:10" x14ac:dyDescent="0.25">
      <c r="A10685" t="s">
        <v>113</v>
      </c>
      <c r="B10685" s="1" t="str">
        <f>HYPERLINK("http://ccepiberia.com","ccepiberia.com")</f>
        <v>ccepiberia.com</v>
      </c>
      <c r="C10685" t="s">
        <v>433</v>
      </c>
      <c r="F10685">
        <v>3.3753610344755202E-8</v>
      </c>
      <c r="G10685">
        <v>1532778</v>
      </c>
      <c r="H10685">
        <v>13775685</v>
      </c>
      <c r="I10685">
        <v>6573105</v>
      </c>
      <c r="J10685">
        <v>4</v>
      </c>
    </row>
    <row r="10686" spans="1:10" x14ac:dyDescent="0.25">
      <c r="A10686" t="s">
        <v>113</v>
      </c>
      <c r="B10686" s="1" t="str">
        <f>HYPERLINK("http://coca-cola.com","coca-cola.com")</f>
        <v>coca-cola.com</v>
      </c>
      <c r="C10686" t="s">
        <v>433</v>
      </c>
      <c r="E10686">
        <v>8291</v>
      </c>
      <c r="F10686">
        <v>8.10240114544502E-6</v>
      </c>
      <c r="G10686">
        <v>4143</v>
      </c>
      <c r="H10686">
        <v>18753386</v>
      </c>
      <c r="I10686">
        <v>902</v>
      </c>
      <c r="J10686">
        <v>2</v>
      </c>
    </row>
    <row r="10687" spans="1:10" x14ac:dyDescent="0.25">
      <c r="A10687" t="s">
        <v>113</v>
      </c>
      <c r="B10687" s="1" t="str">
        <f>HYPERLINK("http://coca-colacompany.com","coca-colacompany.com")</f>
        <v>coca-colacompany.com</v>
      </c>
      <c r="C10687" t="s">
        <v>433</v>
      </c>
      <c r="E10687">
        <v>9956</v>
      </c>
      <c r="F10687">
        <v>7.7288022952372099E-6</v>
      </c>
      <c r="G10687">
        <v>4351</v>
      </c>
      <c r="H10687">
        <v>17993162</v>
      </c>
      <c r="I10687">
        <v>3729</v>
      </c>
      <c r="J10687">
        <v>1</v>
      </c>
    </row>
    <row r="10688" spans="1:10" x14ac:dyDescent="0.25">
      <c r="A10688" t="s">
        <v>113</v>
      </c>
      <c r="B10688" s="1" t="str">
        <f>HYPERLINK("http://coca-colaindia.com","coca-colaindia.com")</f>
        <v>coca-colaindia.com</v>
      </c>
      <c r="C10688" t="s">
        <v>433</v>
      </c>
      <c r="E10688">
        <v>309036</v>
      </c>
      <c r="F10688">
        <v>1.45828941038336E-7</v>
      </c>
      <c r="G10688">
        <v>266954</v>
      </c>
      <c r="H10688">
        <v>14943688</v>
      </c>
      <c r="I10688">
        <v>442658</v>
      </c>
      <c r="J10688">
        <v>3</v>
      </c>
    </row>
    <row r="10689" spans="1:10" x14ac:dyDescent="0.25">
      <c r="A10689" t="s">
        <v>113</v>
      </c>
      <c r="B10689" s="1" t="str">
        <f>HYPERLINK("http://cocacola.com","cocacola.com")</f>
        <v>cocacola.com</v>
      </c>
      <c r="C10689" t="s">
        <v>433</v>
      </c>
      <c r="E10689">
        <v>257087</v>
      </c>
      <c r="F10689">
        <v>1.7913831717753399E-7</v>
      </c>
      <c r="G10689">
        <v>215693</v>
      </c>
      <c r="H10689">
        <v>14650203</v>
      </c>
      <c r="I10689">
        <v>627615</v>
      </c>
      <c r="J10689">
        <v>4</v>
      </c>
    </row>
    <row r="10690" spans="1:10" x14ac:dyDescent="0.25">
      <c r="A10690" t="s">
        <v>113</v>
      </c>
      <c r="B10690" s="1" t="str">
        <f>HYPERLINK("http://cocacolaep.com","cocacolaep.com")</f>
        <v>cocacolaep.com</v>
      </c>
      <c r="C10690" t="s">
        <v>433</v>
      </c>
      <c r="E10690">
        <v>162125</v>
      </c>
      <c r="F10690">
        <v>7.9259782116947295E-7</v>
      </c>
      <c r="G10690">
        <v>49598</v>
      </c>
      <c r="H10690">
        <v>14661690</v>
      </c>
      <c r="I10690">
        <v>619474</v>
      </c>
      <c r="J10690">
        <v>3</v>
      </c>
    </row>
    <row r="10691" spans="1:10" x14ac:dyDescent="0.25">
      <c r="A10691" t="s">
        <v>113</v>
      </c>
      <c r="B10691" s="1" t="str">
        <f>HYPERLINK("http://coffeenation.com","coffeenation.com")</f>
        <v>coffeenation.com</v>
      </c>
      <c r="C10691" t="s">
        <v>433</v>
      </c>
      <c r="F10691">
        <v>9.3340182117711906E-9</v>
      </c>
      <c r="G10691">
        <v>7529103</v>
      </c>
      <c r="H10691">
        <v>12837721</v>
      </c>
      <c r="I10691">
        <v>14366885</v>
      </c>
      <c r="J10691">
        <v>7</v>
      </c>
    </row>
    <row r="10692" spans="1:10" x14ac:dyDescent="0.25">
      <c r="A10692" t="s">
        <v>113</v>
      </c>
      <c r="B10692" s="1" t="str">
        <f>HYPERLINK("http://coke.com","coke.com")</f>
        <v>coke.com</v>
      </c>
      <c r="C10692" t="s">
        <v>433</v>
      </c>
      <c r="E10692">
        <v>102670</v>
      </c>
      <c r="F10692">
        <v>1.1996509350093499E-6</v>
      </c>
      <c r="G10692">
        <v>32520</v>
      </c>
      <c r="H10692">
        <v>17134104</v>
      </c>
      <c r="I10692">
        <v>55735</v>
      </c>
      <c r="J10692">
        <v>2</v>
      </c>
    </row>
    <row r="10693" spans="1:10" x14ac:dyDescent="0.25">
      <c r="A10693" t="s">
        <v>113</v>
      </c>
      <c r="B10693" s="1" t="str">
        <f>HYPERLINK("http://cokecce.com","cokecce.com")</f>
        <v>cokecce.com</v>
      </c>
      <c r="C10693" t="s">
        <v>433</v>
      </c>
      <c r="E10693">
        <v>265767</v>
      </c>
      <c r="F10693">
        <v>7.9523691271167694E-8</v>
      </c>
      <c r="G10693">
        <v>525443</v>
      </c>
      <c r="H10693">
        <v>14866436</v>
      </c>
      <c r="I10693">
        <v>481342</v>
      </c>
      <c r="J10693">
        <v>9</v>
      </c>
    </row>
    <row r="10694" spans="1:10" x14ac:dyDescent="0.25">
      <c r="A10694" t="s">
        <v>113</v>
      </c>
      <c r="B10694" s="1" t="str">
        <f>HYPERLINK("http://cokeconsolidated.com","cokeconsolidated.com")</f>
        <v>cokeconsolidated.com</v>
      </c>
      <c r="C10694" t="s">
        <v>433</v>
      </c>
      <c r="E10694">
        <v>424062</v>
      </c>
      <c r="F10694">
        <v>1.54336910288896E-7</v>
      </c>
      <c r="G10694">
        <v>251661</v>
      </c>
      <c r="H10694">
        <v>14671838</v>
      </c>
      <c r="I10694">
        <v>613555</v>
      </c>
      <c r="J10694">
        <v>3</v>
      </c>
    </row>
    <row r="10695" spans="1:10" x14ac:dyDescent="0.25">
      <c r="A10695" t="s">
        <v>113</v>
      </c>
      <c r="B10695" s="1" t="str">
        <f>HYPERLINK("http://cola.com","cola.com")</f>
        <v>cola.com</v>
      </c>
      <c r="C10695" t="s">
        <v>433</v>
      </c>
      <c r="F10695">
        <v>4.7459440289285503E-9</v>
      </c>
      <c r="G10695">
        <v>38518572</v>
      </c>
      <c r="H10695">
        <v>10954436</v>
      </c>
      <c r="I10695">
        <v>34482304</v>
      </c>
      <c r="J10695">
        <v>4</v>
      </c>
    </row>
    <row r="10696" spans="1:10" x14ac:dyDescent="0.25">
      <c r="A10696" t="s">
        <v>113</v>
      </c>
      <c r="B10696" s="1" t="str">
        <f>HYPERLINK("http://costacoffee.com","costacoffee.com")</f>
        <v>costacoffee.com</v>
      </c>
      <c r="C10696" t="s">
        <v>433</v>
      </c>
      <c r="E10696">
        <v>44331</v>
      </c>
      <c r="F10696">
        <v>4.2377647677925103E-8</v>
      </c>
      <c r="G10696">
        <v>1146047</v>
      </c>
      <c r="H10696">
        <v>13896287</v>
      </c>
      <c r="I10696">
        <v>5954991</v>
      </c>
      <c r="J10696">
        <v>4</v>
      </c>
    </row>
    <row r="10697" spans="1:10" x14ac:dyDescent="0.25">
      <c r="A10697" t="s">
        <v>113</v>
      </c>
      <c r="B10697" s="1" t="str">
        <f>HYPERLINK("http://costamalta.com","costamalta.com")</f>
        <v>costamalta.com</v>
      </c>
      <c r="C10697" t="s">
        <v>433</v>
      </c>
      <c r="E10697">
        <v>598702</v>
      </c>
      <c r="F10697">
        <v>9.2780268411985599E-9</v>
      </c>
      <c r="G10697">
        <v>7601253</v>
      </c>
      <c r="H10697">
        <v>12281326</v>
      </c>
      <c r="I10697">
        <v>21281588</v>
      </c>
      <c r="J10697">
        <v>4</v>
      </c>
    </row>
    <row r="10698" spans="1:10" x14ac:dyDescent="0.25">
      <c r="A10698" t="s">
        <v>113</v>
      </c>
      <c r="B10698" s="1" t="str">
        <f>HYPERLINK("http://drinkbluesky.com","drinkbluesky.com")</f>
        <v>drinkbluesky.com</v>
      </c>
      <c r="C10698" t="s">
        <v>433</v>
      </c>
      <c r="F10698">
        <v>5.7435997025164702E-9</v>
      </c>
      <c r="G10698">
        <v>18550233</v>
      </c>
      <c r="H10698">
        <v>14119733</v>
      </c>
      <c r="I10698">
        <v>2502752</v>
      </c>
      <c r="J10698">
        <v>3</v>
      </c>
    </row>
    <row r="10699" spans="1:10" x14ac:dyDescent="0.25">
      <c r="A10699" t="s">
        <v>113</v>
      </c>
      <c r="B10699" s="1" t="str">
        <f>HYPERLINK("http://drinkbodyarmor.com","drinkbodyarmor.com")</f>
        <v>drinkbodyarmor.com</v>
      </c>
      <c r="C10699" t="s">
        <v>433</v>
      </c>
      <c r="E10699">
        <v>222092</v>
      </c>
      <c r="F10699">
        <v>2.0592434035270201E-7</v>
      </c>
      <c r="G10699">
        <v>184408</v>
      </c>
      <c r="H10699">
        <v>14373976</v>
      </c>
      <c r="I10699">
        <v>1255461</v>
      </c>
      <c r="J10699">
        <v>3</v>
      </c>
    </row>
    <row r="10700" spans="1:10" x14ac:dyDescent="0.25">
      <c r="A10700" t="s">
        <v>113</v>
      </c>
      <c r="B10700" s="1" t="str">
        <f>HYPERLINK("http://eccbc.com","eccbc.com")</f>
        <v>eccbc.com</v>
      </c>
      <c r="C10700" t="s">
        <v>433</v>
      </c>
      <c r="E10700">
        <v>563845</v>
      </c>
      <c r="F10700">
        <v>1.7403564123449399E-8</v>
      </c>
      <c r="G10700">
        <v>3172330</v>
      </c>
      <c r="H10700">
        <v>13310165</v>
      </c>
      <c r="I10700">
        <v>10777185</v>
      </c>
      <c r="J10700">
        <v>3</v>
      </c>
    </row>
    <row r="10701" spans="1:10" x14ac:dyDescent="0.25">
      <c r="A10701" t="s">
        <v>113</v>
      </c>
      <c r="B10701" s="1" t="str">
        <f>HYPERLINK("http://fairlife.com","fairlife.com")</f>
        <v>fairlife.com</v>
      </c>
      <c r="C10701" t="s">
        <v>433</v>
      </c>
      <c r="E10701">
        <v>192895</v>
      </c>
      <c r="F10701">
        <v>1.8569152528975501E-7</v>
      </c>
      <c r="G10701">
        <v>207536</v>
      </c>
      <c r="H10701">
        <v>14889991</v>
      </c>
      <c r="I10701">
        <v>467491</v>
      </c>
      <c r="J10701">
        <v>3</v>
      </c>
    </row>
    <row r="10702" spans="1:10" x14ac:dyDescent="0.25">
      <c r="A10702" t="s">
        <v>113</v>
      </c>
      <c r="B10702" s="1" t="str">
        <f>HYPERLINK("http://fuzebev.com","fuzebev.com")</f>
        <v>fuzebev.com</v>
      </c>
      <c r="C10702" t="s">
        <v>433</v>
      </c>
      <c r="E10702">
        <v>219102</v>
      </c>
      <c r="F10702">
        <v>1.33874045108838E-8</v>
      </c>
      <c r="G10702">
        <v>4453320</v>
      </c>
      <c r="H10702">
        <v>14134367</v>
      </c>
      <c r="I10702">
        <v>1979661</v>
      </c>
      <c r="J10702">
        <v>3</v>
      </c>
    </row>
    <row r="10703" spans="1:10" x14ac:dyDescent="0.25">
      <c r="A10703" t="s">
        <v>113</v>
      </c>
      <c r="B10703" s="1" t="str">
        <f>HYPERLINK("http://hindustancoca-cola.com","hindustancoca-cola.com")</f>
        <v>hindustancoca-cola.com</v>
      </c>
      <c r="C10703" t="s">
        <v>433</v>
      </c>
      <c r="F10703">
        <v>1.0434313057199801E-8</v>
      </c>
      <c r="G10703">
        <v>6327743</v>
      </c>
      <c r="H10703">
        <v>13123774</v>
      </c>
      <c r="I10703">
        <v>11972156</v>
      </c>
      <c r="J10703">
        <v>3</v>
      </c>
    </row>
    <row r="10704" spans="1:10" x14ac:dyDescent="0.25">
      <c r="A10704" t="s">
        <v>113</v>
      </c>
      <c r="B10704" s="1" t="str">
        <f>HYPERLINK("http://houseofchi.com","houseofchi.com")</f>
        <v>houseofchi.com</v>
      </c>
      <c r="C10704" t="s">
        <v>433</v>
      </c>
      <c r="F10704">
        <v>5.8834387942734498E-9</v>
      </c>
      <c r="G10704">
        <v>17473139</v>
      </c>
      <c r="H10704">
        <v>12564898</v>
      </c>
      <c r="I10704">
        <v>16667139</v>
      </c>
      <c r="J10704">
        <v>3</v>
      </c>
    </row>
    <row r="10705" spans="1:10" x14ac:dyDescent="0.25">
      <c r="A10705" t="s">
        <v>113</v>
      </c>
      <c r="B10705" s="1" t="str">
        <f>HYPERLINK("http://innocentdrinks.com","innocentdrinks.com")</f>
        <v>innocentdrinks.com</v>
      </c>
      <c r="C10705" t="s">
        <v>433</v>
      </c>
      <c r="F10705">
        <v>8.0500936633377499E-9</v>
      </c>
      <c r="G10705">
        <v>9830151</v>
      </c>
      <c r="H10705">
        <v>13950295</v>
      </c>
      <c r="I10705">
        <v>4174958</v>
      </c>
      <c r="J10705">
        <v>4</v>
      </c>
    </row>
    <row r="10706" spans="1:10" x14ac:dyDescent="0.25">
      <c r="A10706" t="s">
        <v>113</v>
      </c>
      <c r="B10706" s="1" t="str">
        <f>HYPERLINK("http://ko.com","ko.com")</f>
        <v>ko.com</v>
      </c>
      <c r="C10706" t="s">
        <v>433</v>
      </c>
      <c r="E10706">
        <v>133250</v>
      </c>
      <c r="F10706">
        <v>6.8452773748272394E-8</v>
      </c>
      <c r="G10706">
        <v>623078</v>
      </c>
      <c r="H10706">
        <v>14246421</v>
      </c>
      <c r="I10706">
        <v>1461655</v>
      </c>
      <c r="J10706">
        <v>2</v>
      </c>
    </row>
    <row r="10707" spans="1:10" x14ac:dyDescent="0.25">
      <c r="A10707" t="s">
        <v>113</v>
      </c>
      <c r="B10707" s="1" t="str">
        <f>HYPERLINK("http://koandina.com","koandina.com")</f>
        <v>koandina.com</v>
      </c>
      <c r="C10707" t="s">
        <v>433</v>
      </c>
      <c r="F10707">
        <v>4.2576189113615601E-8</v>
      </c>
      <c r="G10707">
        <v>1136686</v>
      </c>
      <c r="H10707">
        <v>13779141</v>
      </c>
      <c r="I10707">
        <v>6492030</v>
      </c>
      <c r="J10707">
        <v>3</v>
      </c>
    </row>
    <row r="10708" spans="1:10" x14ac:dyDescent="0.25">
      <c r="A10708" t="s">
        <v>113</v>
      </c>
      <c r="B10708" s="1" t="str">
        <f>HYPERLINK("http://minutemaid.com","minutemaid.com")</f>
        <v>minutemaid.com</v>
      </c>
      <c r="C10708" t="s">
        <v>433</v>
      </c>
      <c r="E10708">
        <v>339208</v>
      </c>
      <c r="F10708">
        <v>1.2253671197333201E-7</v>
      </c>
      <c r="G10708">
        <v>322173</v>
      </c>
      <c r="H10708">
        <v>14885902</v>
      </c>
      <c r="I10708">
        <v>469558</v>
      </c>
      <c r="J10708">
        <v>3</v>
      </c>
    </row>
    <row r="10709" spans="1:10" x14ac:dyDescent="0.25">
      <c r="A10709" t="s">
        <v>113</v>
      </c>
      <c r="B10709" s="1" t="str">
        <f>HYPERLINK("http://scaletccs.com","scaletccs.com")</f>
        <v>scaletccs.com</v>
      </c>
      <c r="C10709" t="s">
        <v>433</v>
      </c>
      <c r="J10709">
        <v>2</v>
      </c>
    </row>
    <row r="10710" spans="1:10" x14ac:dyDescent="0.25">
      <c r="A10710" t="s">
        <v>113</v>
      </c>
      <c r="B10710" s="1" t="str">
        <f>HYPERLINK("http://simplyorangejuice.com","simplyorangejuice.com")</f>
        <v>simplyorangejuice.com</v>
      </c>
      <c r="C10710" t="s">
        <v>433</v>
      </c>
      <c r="F10710">
        <v>4.1451879186214698E-8</v>
      </c>
      <c r="G10710">
        <v>1204124</v>
      </c>
      <c r="H10710">
        <v>14223687</v>
      </c>
      <c r="I10710">
        <v>1681998</v>
      </c>
      <c r="J10710">
        <v>3</v>
      </c>
    </row>
    <row r="10711" spans="1:10" x14ac:dyDescent="0.25">
      <c r="A10711" t="s">
        <v>113</v>
      </c>
      <c r="B10711" s="1" t="str">
        <f>HYPERLINK("http://costacoffee.com.cy","costacoffee.com.cy")</f>
        <v>costacoffee.com.cy</v>
      </c>
      <c r="C10711" t="s">
        <v>610</v>
      </c>
      <c r="D10711" t="s">
        <v>937</v>
      </c>
      <c r="F10711">
        <v>4.5172634594396099E-8</v>
      </c>
      <c r="G10711">
        <v>1044379</v>
      </c>
      <c r="H10711">
        <v>16974378</v>
      </c>
      <c r="I10711">
        <v>100925</v>
      </c>
      <c r="J10711">
        <v>4</v>
      </c>
    </row>
    <row r="10712" spans="1:10" x14ac:dyDescent="0.25">
      <c r="A10712" t="s">
        <v>113</v>
      </c>
      <c r="B10712" s="1" t="str">
        <f>HYPERLINK("http://costa-coffee.cz","costa-coffee.cz")</f>
        <v>costa-coffee.cz</v>
      </c>
      <c r="C10712" t="s">
        <v>435</v>
      </c>
      <c r="D10712" t="s">
        <v>814</v>
      </c>
      <c r="F10712">
        <v>3.0285563283510398E-8</v>
      </c>
      <c r="G10712">
        <v>1699577</v>
      </c>
      <c r="H10712">
        <v>14124540</v>
      </c>
      <c r="I10712">
        <v>2142781</v>
      </c>
      <c r="J10712">
        <v>4</v>
      </c>
    </row>
    <row r="10713" spans="1:10" x14ac:dyDescent="0.25">
      <c r="A10713" t="s">
        <v>113</v>
      </c>
      <c r="B10713" s="1" t="str">
        <f>HYPERLINK("http://costacoffee.de","costacoffee.de")</f>
        <v>costacoffee.de</v>
      </c>
      <c r="C10713" t="s">
        <v>436</v>
      </c>
      <c r="D10713" t="s">
        <v>815</v>
      </c>
      <c r="E10713">
        <v>150987</v>
      </c>
      <c r="F10713">
        <v>1.4319530988505E-8</v>
      </c>
      <c r="G10713">
        <v>4086535</v>
      </c>
      <c r="H10713">
        <v>12278123</v>
      </c>
      <c r="I10713">
        <v>21345633</v>
      </c>
      <c r="J10713">
        <v>5</v>
      </c>
    </row>
    <row r="10714" spans="1:10" x14ac:dyDescent="0.25">
      <c r="A10714" t="s">
        <v>113</v>
      </c>
      <c r="B10714" s="1" t="str">
        <f>HYPERLINK("http://coca-cola.et","coca-cola.et")</f>
        <v>coca-cola.et</v>
      </c>
      <c r="C10714" t="s">
        <v>635</v>
      </c>
      <c r="D10714" t="s">
        <v>956</v>
      </c>
      <c r="F10714">
        <v>7.2212126042429699E-8</v>
      </c>
      <c r="G10714">
        <v>584542</v>
      </c>
      <c r="H10714">
        <v>12884909</v>
      </c>
      <c r="I10714">
        <v>13968885</v>
      </c>
      <c r="J10714">
        <v>3</v>
      </c>
    </row>
    <row r="10715" spans="1:10" x14ac:dyDescent="0.25">
      <c r="A10715" t="s">
        <v>113</v>
      </c>
      <c r="B10715" s="1" t="str">
        <f>HYPERLINK("http://coffeeheaven.eu","coffeeheaven.eu")</f>
        <v>coffeeheaven.eu</v>
      </c>
      <c r="C10715" t="s">
        <v>444</v>
      </c>
      <c r="F10715">
        <v>4.6451950547549598E-9</v>
      </c>
      <c r="G10715">
        <v>44439504</v>
      </c>
      <c r="H10715">
        <v>13763885</v>
      </c>
      <c r="I10715">
        <v>7520575</v>
      </c>
      <c r="J10715">
        <v>5</v>
      </c>
    </row>
    <row r="10716" spans="1:10" x14ac:dyDescent="0.25">
      <c r="A10716" t="s">
        <v>113</v>
      </c>
      <c r="B10716" s="1" t="str">
        <f>HYPERLINK("http://ades.fi","ades.fi")</f>
        <v>ades.fi</v>
      </c>
      <c r="C10716" t="s">
        <v>445</v>
      </c>
      <c r="D10716" t="s">
        <v>823</v>
      </c>
      <c r="J10716">
        <v>2</v>
      </c>
    </row>
    <row r="10717" spans="1:10" x14ac:dyDescent="0.25">
      <c r="A10717" t="s">
        <v>113</v>
      </c>
      <c r="B10717" s="1" t="str">
        <f>HYPERLINK("http://adez.fi","adez.fi")</f>
        <v>adez.fi</v>
      </c>
      <c r="C10717" t="s">
        <v>445</v>
      </c>
      <c r="D10717" t="s">
        <v>823</v>
      </c>
      <c r="J10717">
        <v>2</v>
      </c>
    </row>
    <row r="10718" spans="1:10" x14ac:dyDescent="0.25">
      <c r="A10718" t="s">
        <v>113</v>
      </c>
      <c r="B10718" s="1" t="str">
        <f>HYPERLINK("http://costacoffee.fi","costacoffee.fi")</f>
        <v>costacoffee.fi</v>
      </c>
      <c r="C10718" t="s">
        <v>445</v>
      </c>
      <c r="D10718" t="s">
        <v>823</v>
      </c>
      <c r="J10718">
        <v>4</v>
      </c>
    </row>
    <row r="10719" spans="1:10" x14ac:dyDescent="0.25">
      <c r="A10719" t="s">
        <v>113</v>
      </c>
      <c r="B10719" s="1" t="str">
        <f>HYPERLINK("http://fuze-tea.fi","fuze-tea.fi")</f>
        <v>fuze-tea.fi</v>
      </c>
      <c r="C10719" t="s">
        <v>445</v>
      </c>
      <c r="D10719" t="s">
        <v>823</v>
      </c>
      <c r="J10719">
        <v>2</v>
      </c>
    </row>
    <row r="10720" spans="1:10" x14ac:dyDescent="0.25">
      <c r="A10720" t="s">
        <v>113</v>
      </c>
      <c r="B10720" s="1" t="str">
        <f>HYPERLINK("http://fuzetea.fi","fuzetea.fi")</f>
        <v>fuzetea.fi</v>
      </c>
      <c r="C10720" t="s">
        <v>445</v>
      </c>
      <c r="D10720" t="s">
        <v>823</v>
      </c>
      <c r="F10720">
        <v>4.8660287831131496E-9</v>
      </c>
      <c r="G10720">
        <v>33557120</v>
      </c>
      <c r="H10720">
        <v>12406891</v>
      </c>
      <c r="I10720">
        <v>18658519</v>
      </c>
      <c r="J10720">
        <v>2</v>
      </c>
    </row>
    <row r="10721" spans="1:10" x14ac:dyDescent="0.25">
      <c r="A10721" t="s">
        <v>113</v>
      </c>
      <c r="B10721" s="1" t="str">
        <f>HYPERLINK("http://innocentdrinks.fi","innocentdrinks.fi")</f>
        <v>innocentdrinks.fi</v>
      </c>
      <c r="C10721" t="s">
        <v>445</v>
      </c>
      <c r="D10721" t="s">
        <v>823</v>
      </c>
      <c r="F10721">
        <v>4.5710520219773899E-9</v>
      </c>
      <c r="G10721">
        <v>50092135</v>
      </c>
      <c r="H10721">
        <v>13763637</v>
      </c>
      <c r="I10721">
        <v>8036461</v>
      </c>
      <c r="J10721">
        <v>5</v>
      </c>
    </row>
    <row r="10722" spans="1:10" x14ac:dyDescent="0.25">
      <c r="A10722" t="s">
        <v>113</v>
      </c>
      <c r="B10722" s="1" t="str">
        <f>HYPERLINK("http://pienetjuomatsuuretunelmat.fi","pienetjuomatsuuretunelmat.fi")</f>
        <v>pienetjuomatsuuretunelmat.fi</v>
      </c>
      <c r="C10722" t="s">
        <v>445</v>
      </c>
      <c r="D10722" t="s">
        <v>823</v>
      </c>
      <c r="J10722">
        <v>2</v>
      </c>
    </row>
    <row r="10723" spans="1:10" x14ac:dyDescent="0.25">
      <c r="A10723" t="s">
        <v>113</v>
      </c>
      <c r="B10723" s="1" t="str">
        <f>HYPERLINK("http://paradisebeverages.com.fj","paradisebeverages.com.fj")</f>
        <v>paradisebeverages.com.fj</v>
      </c>
      <c r="C10723" t="s">
        <v>636</v>
      </c>
      <c r="D10723" t="s">
        <v>957</v>
      </c>
      <c r="F10723">
        <v>5.8259318773957199E-9</v>
      </c>
      <c r="G10723">
        <v>17893921</v>
      </c>
      <c r="H10723">
        <v>11305989</v>
      </c>
      <c r="I10723">
        <v>30581324</v>
      </c>
      <c r="J10723">
        <v>6</v>
      </c>
    </row>
    <row r="10724" spans="1:10" x14ac:dyDescent="0.25">
      <c r="A10724" t="s">
        <v>113</v>
      </c>
      <c r="B10724" s="1" t="str">
        <f>HYPERLINK("http://coca-cola.fm","coca-cola.fm")</f>
        <v>coca-cola.fm</v>
      </c>
      <c r="C10724" t="s">
        <v>528</v>
      </c>
      <c r="D10724" t="s">
        <v>894</v>
      </c>
      <c r="F10724">
        <v>7.7680666814823899E-7</v>
      </c>
      <c r="G10724">
        <v>50429</v>
      </c>
      <c r="H10724">
        <v>14150641</v>
      </c>
      <c r="I10724">
        <v>1876284</v>
      </c>
      <c r="J10724">
        <v>3</v>
      </c>
    </row>
    <row r="10725" spans="1:10" x14ac:dyDescent="0.25">
      <c r="A10725" t="s">
        <v>113</v>
      </c>
      <c r="B10725" s="1" t="str">
        <f>HYPERLINK("http://coca-cola-france.fr","coca-cola-france.fr")</f>
        <v>coca-cola-france.fr</v>
      </c>
      <c r="C10725" t="s">
        <v>446</v>
      </c>
      <c r="D10725" t="s">
        <v>824</v>
      </c>
      <c r="E10725">
        <v>214076</v>
      </c>
      <c r="F10725">
        <v>3.12706453496616E-7</v>
      </c>
      <c r="G10725">
        <v>118903</v>
      </c>
      <c r="H10725">
        <v>14844691</v>
      </c>
      <c r="I10725">
        <v>494555</v>
      </c>
      <c r="J10725">
        <v>3</v>
      </c>
    </row>
    <row r="10726" spans="1:10" x14ac:dyDescent="0.25">
      <c r="A10726" t="s">
        <v>113</v>
      </c>
      <c r="B10726" s="1" t="str">
        <f>HYPERLINK("http://coca-cola.hk","coca-cola.hk")</f>
        <v>coca-cola.hk</v>
      </c>
      <c r="C10726" t="s">
        <v>450</v>
      </c>
      <c r="D10726" t="s">
        <v>827</v>
      </c>
      <c r="F10726">
        <v>1.24135833280742E-7</v>
      </c>
      <c r="G10726">
        <v>317866</v>
      </c>
      <c r="H10726">
        <v>14415430</v>
      </c>
      <c r="I10726">
        <v>1113055</v>
      </c>
      <c r="J10726">
        <v>3</v>
      </c>
    </row>
    <row r="10727" spans="1:10" x14ac:dyDescent="0.25">
      <c r="A10727" t="s">
        <v>113</v>
      </c>
      <c r="B10727" s="1" t="str">
        <f>HYPERLINK("http://cocacola.co.id","cocacola.co.id")</f>
        <v>cocacola.co.id</v>
      </c>
      <c r="C10727" t="s">
        <v>454</v>
      </c>
      <c r="D10727" t="s">
        <v>831</v>
      </c>
      <c r="F10727">
        <v>1.6161605857656E-8</v>
      </c>
      <c r="G10727">
        <v>3505024</v>
      </c>
      <c r="H10727">
        <v>12806427</v>
      </c>
      <c r="I10727">
        <v>14606557</v>
      </c>
      <c r="J10727">
        <v>4</v>
      </c>
    </row>
    <row r="10728" spans="1:10" x14ac:dyDescent="0.25">
      <c r="A10728" t="s">
        <v>113</v>
      </c>
      <c r="B10728" s="1" t="str">
        <f>HYPERLINK("http://costaireland.ie","costaireland.ie")</f>
        <v>costaireland.ie</v>
      </c>
      <c r="C10728" t="s">
        <v>455</v>
      </c>
      <c r="D10728" t="s">
        <v>832</v>
      </c>
      <c r="F10728">
        <v>2.53249275987445E-7</v>
      </c>
      <c r="G10728">
        <v>147678</v>
      </c>
      <c r="H10728">
        <v>12901727</v>
      </c>
      <c r="I10728">
        <v>13852378</v>
      </c>
      <c r="J10728">
        <v>4</v>
      </c>
    </row>
    <row r="10729" spans="1:10" x14ac:dyDescent="0.25">
      <c r="A10729" t="s">
        <v>113</v>
      </c>
      <c r="B10729" s="1" t="str">
        <f>HYPERLINK("http://costa-coffee.info","costa-coffee.info")</f>
        <v>costa-coffee.info</v>
      </c>
      <c r="C10729" t="s">
        <v>458</v>
      </c>
      <c r="F10729">
        <v>5.7771039371295704E-9</v>
      </c>
      <c r="G10729">
        <v>18269316</v>
      </c>
      <c r="H10729">
        <v>10531192</v>
      </c>
      <c r="I10729">
        <v>48161070</v>
      </c>
      <c r="J10729">
        <v>5</v>
      </c>
    </row>
    <row r="10730" spans="1:10" x14ac:dyDescent="0.25">
      <c r="A10730" t="s">
        <v>113</v>
      </c>
      <c r="B10730" s="1" t="str">
        <f>HYPERLINK("http://ccbc.co.jp","ccbc.co.jp")</f>
        <v>ccbc.co.jp</v>
      </c>
      <c r="C10730" t="s">
        <v>461</v>
      </c>
      <c r="D10730" t="s">
        <v>837</v>
      </c>
      <c r="E10730">
        <v>662633</v>
      </c>
      <c r="F10730">
        <v>1.43499722882384E-7</v>
      </c>
      <c r="G10730">
        <v>271304</v>
      </c>
      <c r="H10730">
        <v>16979562</v>
      </c>
      <c r="I10730">
        <v>98747</v>
      </c>
      <c r="J10730">
        <v>7</v>
      </c>
    </row>
    <row r="10731" spans="1:10" x14ac:dyDescent="0.25">
      <c r="A10731" t="s">
        <v>113</v>
      </c>
      <c r="B10731" s="1" t="str">
        <f>HYPERLINK("http://ccbji.co.jp","ccbji.co.jp")</f>
        <v>ccbji.co.jp</v>
      </c>
      <c r="C10731" t="s">
        <v>461</v>
      </c>
      <c r="D10731" t="s">
        <v>837</v>
      </c>
      <c r="E10731">
        <v>355991</v>
      </c>
      <c r="F10731">
        <v>2.0325826243389001E-7</v>
      </c>
      <c r="G10731">
        <v>187059</v>
      </c>
      <c r="H10731">
        <v>16894064</v>
      </c>
      <c r="I10731">
        <v>134257</v>
      </c>
      <c r="J10731">
        <v>4</v>
      </c>
    </row>
    <row r="10732" spans="1:10" x14ac:dyDescent="0.25">
      <c r="A10732" t="s">
        <v>113</v>
      </c>
      <c r="B10732" s="1" t="str">
        <f>HYPERLINK("http://cocacola.co.jp","cocacola.co.jp")</f>
        <v>cocacola.co.jp</v>
      </c>
      <c r="C10732" t="s">
        <v>461</v>
      </c>
      <c r="D10732" t="s">
        <v>837</v>
      </c>
      <c r="E10732">
        <v>123729</v>
      </c>
      <c r="F10732">
        <v>1.50417074715278E-6</v>
      </c>
      <c r="G10732">
        <v>26064</v>
      </c>
      <c r="H10732">
        <v>17789042</v>
      </c>
      <c r="I10732">
        <v>5751</v>
      </c>
      <c r="J10732">
        <v>3</v>
      </c>
    </row>
    <row r="10733" spans="1:10" x14ac:dyDescent="0.25">
      <c r="A10733" t="s">
        <v>113</v>
      </c>
      <c r="B10733" s="1" t="str">
        <f>HYPERLINK("http://kyusai.co.jp","kyusai.co.jp")</f>
        <v>kyusai.co.jp</v>
      </c>
      <c r="C10733" t="s">
        <v>461</v>
      </c>
      <c r="D10733" t="s">
        <v>837</v>
      </c>
      <c r="E10733">
        <v>653167</v>
      </c>
      <c r="F10733">
        <v>6.5879263270410694E-8</v>
      </c>
      <c r="G10733">
        <v>651757</v>
      </c>
      <c r="H10733">
        <v>14168765</v>
      </c>
      <c r="I10733">
        <v>1809770</v>
      </c>
      <c r="J10733">
        <v>4</v>
      </c>
    </row>
    <row r="10734" spans="1:10" x14ac:dyDescent="0.25">
      <c r="A10734" t="s">
        <v>113</v>
      </c>
      <c r="B10734" s="1" t="str">
        <f>HYPERLINK("http://cocacola.jp","cocacola.jp")</f>
        <v>cocacola.jp</v>
      </c>
      <c r="C10734" t="s">
        <v>461</v>
      </c>
      <c r="D10734" t="s">
        <v>837</v>
      </c>
      <c r="E10734">
        <v>255365</v>
      </c>
      <c r="F10734">
        <v>1.7487035129301901E-7</v>
      </c>
      <c r="G10734">
        <v>221767</v>
      </c>
      <c r="H10734">
        <v>14693882</v>
      </c>
      <c r="I10734">
        <v>600464</v>
      </c>
      <c r="J10734">
        <v>4</v>
      </c>
    </row>
    <row r="10735" spans="1:10" x14ac:dyDescent="0.25">
      <c r="A10735" t="s">
        <v>113</v>
      </c>
      <c r="B10735" s="1" t="str">
        <f>HYPERLINK("http://costacoffee.jp","costacoffee.jp")</f>
        <v>costacoffee.jp</v>
      </c>
      <c r="C10735" t="s">
        <v>461</v>
      </c>
      <c r="D10735" t="s">
        <v>837</v>
      </c>
      <c r="E10735">
        <v>125744</v>
      </c>
      <c r="F10735">
        <v>1.8999200476100101E-8</v>
      </c>
      <c r="G10735">
        <v>2836147</v>
      </c>
      <c r="H10735">
        <v>14072367</v>
      </c>
      <c r="I10735">
        <v>3107211</v>
      </c>
      <c r="J10735">
        <v>5</v>
      </c>
    </row>
    <row r="10736" spans="1:10" x14ac:dyDescent="0.25">
      <c r="A10736" t="s">
        <v>113</v>
      </c>
      <c r="B10736" s="1" t="str">
        <f>HYPERLINK("http://coffeenation.lv","coffeenation.lv")</f>
        <v>coffeenation.lv</v>
      </c>
      <c r="C10736" t="s">
        <v>468</v>
      </c>
      <c r="D10736" t="s">
        <v>844</v>
      </c>
      <c r="F10736">
        <v>4.9916501517269003E-9</v>
      </c>
      <c r="G10736">
        <v>29627504</v>
      </c>
      <c r="H10736">
        <v>10343947</v>
      </c>
      <c r="I10736">
        <v>57514106</v>
      </c>
      <c r="J10736">
        <v>4</v>
      </c>
    </row>
    <row r="10737" spans="1:10" x14ac:dyDescent="0.25">
      <c r="A10737" t="s">
        <v>113</v>
      </c>
      <c r="B10737" s="1" t="str">
        <f>HYPERLINK("http://coca-colamexico.com.mx","coca-colamexico.com.mx")</f>
        <v>coca-colamexico.com.mx</v>
      </c>
      <c r="C10737" t="s">
        <v>471</v>
      </c>
      <c r="D10737" t="s">
        <v>847</v>
      </c>
      <c r="E10737">
        <v>609837</v>
      </c>
      <c r="F10737">
        <v>8.4381861759547698E-8</v>
      </c>
      <c r="G10737">
        <v>489792</v>
      </c>
      <c r="H10737">
        <v>14869615</v>
      </c>
      <c r="I10737">
        <v>479234</v>
      </c>
      <c r="J10737">
        <v>4</v>
      </c>
    </row>
    <row r="10738" spans="1:10" x14ac:dyDescent="0.25">
      <c r="A10738" t="s">
        <v>113</v>
      </c>
      <c r="B10738" s="1" t="str">
        <f>HYPERLINK("http://costacoffee.mx","costacoffee.mx")</f>
        <v>costacoffee.mx</v>
      </c>
      <c r="C10738" t="s">
        <v>471</v>
      </c>
      <c r="D10738" t="s">
        <v>847</v>
      </c>
      <c r="F10738">
        <v>1.2898745704821199E-8</v>
      </c>
      <c r="G10738">
        <v>4679996</v>
      </c>
      <c r="H10738">
        <v>10699777</v>
      </c>
      <c r="I10738">
        <v>42319170</v>
      </c>
      <c r="J10738">
        <v>5</v>
      </c>
    </row>
    <row r="10739" spans="1:10" x14ac:dyDescent="0.25">
      <c r="A10739" t="s">
        <v>113</v>
      </c>
      <c r="B10739" s="1" t="str">
        <f>HYPERLINK("http://pizzacosta.nl","pizzacosta.nl")</f>
        <v>pizzacosta.nl</v>
      </c>
      <c r="C10739" t="s">
        <v>477</v>
      </c>
      <c r="D10739" t="s">
        <v>852</v>
      </c>
      <c r="F10739">
        <v>8.2830548841012492E-9</v>
      </c>
      <c r="G10739">
        <v>9298091</v>
      </c>
      <c r="H10739">
        <v>10880460</v>
      </c>
      <c r="I10739">
        <v>36324171</v>
      </c>
      <c r="J10739">
        <v>4</v>
      </c>
    </row>
    <row r="10740" spans="1:10" x14ac:dyDescent="0.25">
      <c r="A10740" t="s">
        <v>113</v>
      </c>
      <c r="B10740" s="1" t="str">
        <f>HYPERLINK("http://ccen.no","ccen.no")</f>
        <v>ccen.no</v>
      </c>
      <c r="C10740" t="s">
        <v>478</v>
      </c>
      <c r="D10740" t="s">
        <v>853</v>
      </c>
      <c r="J10740">
        <v>4</v>
      </c>
    </row>
    <row r="10741" spans="1:10" x14ac:dyDescent="0.25">
      <c r="A10741" t="s">
        <v>113</v>
      </c>
      <c r="B10741" s="1" t="str">
        <f>HYPERLINK("http://coca-cola.no","coca-cola.no")</f>
        <v>coca-cola.no</v>
      </c>
      <c r="C10741" t="s">
        <v>478</v>
      </c>
      <c r="D10741" t="s">
        <v>853</v>
      </c>
      <c r="F10741">
        <v>5.6652582477655303E-8</v>
      </c>
      <c r="G10741">
        <v>789019</v>
      </c>
      <c r="H10741">
        <v>14809860</v>
      </c>
      <c r="I10741">
        <v>535970</v>
      </c>
      <c r="J10741">
        <v>3</v>
      </c>
    </row>
    <row r="10742" spans="1:10" x14ac:dyDescent="0.25">
      <c r="A10742" t="s">
        <v>113</v>
      </c>
      <c r="B10742" s="1" t="str">
        <f>HYPERLINK("http://costacoffee.no","costacoffee.no")</f>
        <v>costacoffee.no</v>
      </c>
      <c r="C10742" t="s">
        <v>478</v>
      </c>
      <c r="D10742" t="s">
        <v>853</v>
      </c>
      <c r="F10742">
        <v>1.36657534800584E-8</v>
      </c>
      <c r="G10742">
        <v>4334918</v>
      </c>
      <c r="H10742">
        <v>12222953</v>
      </c>
      <c r="I10742">
        <v>22708708</v>
      </c>
      <c r="J10742">
        <v>5</v>
      </c>
    </row>
    <row r="10743" spans="1:10" x14ac:dyDescent="0.25">
      <c r="A10743" t="s">
        <v>113</v>
      </c>
      <c r="B10743" s="1" t="str">
        <f>HYPERLINK("http://ccamatil.co.nz","ccamatil.co.nz")</f>
        <v>ccamatil.co.nz</v>
      </c>
      <c r="C10743" t="s">
        <v>479</v>
      </c>
      <c r="D10743" t="s">
        <v>854</v>
      </c>
      <c r="F10743">
        <v>1.46160428116881E-8</v>
      </c>
      <c r="G10743">
        <v>3971314</v>
      </c>
      <c r="H10743">
        <v>14418983</v>
      </c>
      <c r="I10743">
        <v>1092986</v>
      </c>
      <c r="J10743">
        <v>8</v>
      </c>
    </row>
    <row r="10744" spans="1:10" x14ac:dyDescent="0.25">
      <c r="A10744" t="s">
        <v>113</v>
      </c>
      <c r="B10744" s="1" t="str">
        <f>HYPERLINK("http://ccbp.com.ph","ccbp.com.ph")</f>
        <v>ccbp.com.ph</v>
      </c>
      <c r="C10744" t="s">
        <v>484</v>
      </c>
      <c r="D10744" t="s">
        <v>858</v>
      </c>
      <c r="F10744">
        <v>4.4651866411896601E-9</v>
      </c>
      <c r="G10744">
        <v>66212703</v>
      </c>
      <c r="H10744">
        <v>12616163</v>
      </c>
      <c r="I10744">
        <v>16127871</v>
      </c>
      <c r="J10744">
        <v>4</v>
      </c>
    </row>
    <row r="10745" spans="1:10" x14ac:dyDescent="0.25">
      <c r="A10745" t="s">
        <v>113</v>
      </c>
      <c r="B10745" s="1" t="str">
        <f>HYPERLINK("http://coca-cola.com.ph","coca-cola.com.ph")</f>
        <v>coca-cola.com.ph</v>
      </c>
      <c r="C10745" t="s">
        <v>484</v>
      </c>
      <c r="D10745" t="s">
        <v>858</v>
      </c>
      <c r="F10745">
        <v>1.6841223173159101E-8</v>
      </c>
      <c r="G10745">
        <v>3323348</v>
      </c>
      <c r="H10745">
        <v>13937638</v>
      </c>
      <c r="I10745">
        <v>4457612</v>
      </c>
      <c r="J10745">
        <v>2</v>
      </c>
    </row>
    <row r="10746" spans="1:10" x14ac:dyDescent="0.25">
      <c r="A10746" t="s">
        <v>113</v>
      </c>
      <c r="B10746" s="1" t="str">
        <f>HYPERLINK("http://coffeeheaven.pl","coffeeheaven.pl")</f>
        <v>coffeeheaven.pl</v>
      </c>
      <c r="C10746" t="s">
        <v>486</v>
      </c>
      <c r="D10746" t="s">
        <v>860</v>
      </c>
      <c r="F10746">
        <v>1.09279577855184E-8</v>
      </c>
      <c r="G10746">
        <v>5920941</v>
      </c>
      <c r="H10746">
        <v>14072000</v>
      </c>
      <c r="I10746">
        <v>3189627</v>
      </c>
      <c r="J10746">
        <v>4</v>
      </c>
    </row>
    <row r="10747" spans="1:10" x14ac:dyDescent="0.25">
      <c r="A10747" t="s">
        <v>113</v>
      </c>
      <c r="B10747" s="1" t="str">
        <f>HYPERLINK("http://costacoffee.pl","costacoffee.pl")</f>
        <v>costacoffee.pl</v>
      </c>
      <c r="C10747" t="s">
        <v>486</v>
      </c>
      <c r="D10747" t="s">
        <v>860</v>
      </c>
      <c r="E10747">
        <v>85136</v>
      </c>
      <c r="F10747">
        <v>3.5193505054349699E-8</v>
      </c>
      <c r="G10747">
        <v>1477231</v>
      </c>
      <c r="H10747">
        <v>14082377</v>
      </c>
      <c r="I10747">
        <v>2801012</v>
      </c>
      <c r="J10747">
        <v>4</v>
      </c>
    </row>
    <row r="10748" spans="1:10" x14ac:dyDescent="0.25">
      <c r="A10748" t="s">
        <v>113</v>
      </c>
      <c r="B10748" s="1" t="str">
        <f>HYPERLINK("http://costapolska.pl","costapolska.pl")</f>
        <v>costapolska.pl</v>
      </c>
      <c r="C10748" t="s">
        <v>486</v>
      </c>
      <c r="D10748" t="s">
        <v>860</v>
      </c>
      <c r="J10748">
        <v>4</v>
      </c>
    </row>
    <row r="10749" spans="1:10" x14ac:dyDescent="0.25">
      <c r="A10749" t="s">
        <v>113</v>
      </c>
      <c r="B10749" s="1" t="str">
        <f>HYPERLINK("http://ecoffee.pl","ecoffee.pl")</f>
        <v>ecoffee.pl</v>
      </c>
      <c r="C10749" t="s">
        <v>486</v>
      </c>
      <c r="D10749" t="s">
        <v>860</v>
      </c>
      <c r="J10749">
        <v>4</v>
      </c>
    </row>
    <row r="10750" spans="1:10" x14ac:dyDescent="0.25">
      <c r="A10750" t="s">
        <v>113</v>
      </c>
      <c r="B10750" s="1" t="str">
        <f>HYPERLINK("http://costacoffee.ru","costacoffee.ru")</f>
        <v>costacoffee.ru</v>
      </c>
      <c r="C10750" t="s">
        <v>493</v>
      </c>
      <c r="D10750" t="s">
        <v>867</v>
      </c>
      <c r="E10750">
        <v>296609</v>
      </c>
      <c r="F10750">
        <v>1.34521625449988E-8</v>
      </c>
      <c r="G10750">
        <v>4425705</v>
      </c>
      <c r="H10750">
        <v>12839271</v>
      </c>
      <c r="I10750">
        <v>14357065</v>
      </c>
      <c r="J10750">
        <v>4</v>
      </c>
    </row>
    <row r="10751" spans="1:10" x14ac:dyDescent="0.25">
      <c r="A10751" t="s">
        <v>113</v>
      </c>
      <c r="B10751" s="1" t="str">
        <f>HYPERLINK("http://costa-coffee.sk","costa-coffee.sk")</f>
        <v>costa-coffee.sk</v>
      </c>
      <c r="C10751" t="s">
        <v>498</v>
      </c>
      <c r="D10751" t="s">
        <v>872</v>
      </c>
      <c r="F10751">
        <v>4.78466685106399E-9</v>
      </c>
      <c r="G10751">
        <v>36763684</v>
      </c>
      <c r="H10751">
        <v>12085666</v>
      </c>
      <c r="I10751">
        <v>26392013</v>
      </c>
      <c r="J10751">
        <v>4</v>
      </c>
    </row>
    <row r="10752" spans="1:10" x14ac:dyDescent="0.25">
      <c r="A10752" t="s">
        <v>113</v>
      </c>
      <c r="B10752" s="1" t="str">
        <f>HYPERLINK("http://cokecce.co.uk","cokecce.co.uk")</f>
        <v>cokecce.co.uk</v>
      </c>
      <c r="C10752" t="s">
        <v>506</v>
      </c>
      <c r="D10752" t="s">
        <v>880</v>
      </c>
      <c r="F10752">
        <v>2.3774688002734301E-8</v>
      </c>
      <c r="G10752">
        <v>2185832</v>
      </c>
      <c r="H10752">
        <v>14595816</v>
      </c>
      <c r="I10752">
        <v>690111</v>
      </c>
      <c r="J10752">
        <v>4</v>
      </c>
    </row>
    <row r="10753" spans="1:10" x14ac:dyDescent="0.25">
      <c r="A10753" t="s">
        <v>113</v>
      </c>
      <c r="B10753" s="1" t="str">
        <f>HYPERLINK("http://costa.co.uk","costa.co.uk")</f>
        <v>costa.co.uk</v>
      </c>
      <c r="C10753" t="s">
        <v>506</v>
      </c>
      <c r="D10753" t="s">
        <v>880</v>
      </c>
      <c r="E10753">
        <v>2194</v>
      </c>
      <c r="F10753">
        <v>7.0051614409847702E-7</v>
      </c>
      <c r="G10753">
        <v>55203</v>
      </c>
      <c r="H10753">
        <v>17318072</v>
      </c>
      <c r="I10753">
        <v>26027</v>
      </c>
      <c r="J10753">
        <v>3</v>
      </c>
    </row>
    <row r="10754" spans="1:10" x14ac:dyDescent="0.25">
      <c r="A10754" t="s">
        <v>113</v>
      </c>
      <c r="B10754" s="1" t="str">
        <f>HYPERLINK("http://costacoffee.co.uk","costacoffee.co.uk")</f>
        <v>costacoffee.co.uk</v>
      </c>
      <c r="C10754" t="s">
        <v>506</v>
      </c>
      <c r="D10754" t="s">
        <v>880</v>
      </c>
      <c r="F10754">
        <v>4.5889317178266301E-9</v>
      </c>
      <c r="G10754">
        <v>48507663</v>
      </c>
      <c r="H10754">
        <v>10894556</v>
      </c>
      <c r="I10754">
        <v>35962859</v>
      </c>
      <c r="J10754">
        <v>4</v>
      </c>
    </row>
    <row r="10755" spans="1:10" x14ac:dyDescent="0.25">
      <c r="A10755" t="s">
        <v>113</v>
      </c>
      <c r="B10755" s="1" t="str">
        <f>HYPERLINK("http://innocentdrinks.co.uk","innocentdrinks.co.uk")</f>
        <v>innocentdrinks.co.uk</v>
      </c>
      <c r="C10755" t="s">
        <v>506</v>
      </c>
      <c r="D10755" t="s">
        <v>880</v>
      </c>
      <c r="E10755">
        <v>174315</v>
      </c>
      <c r="F10755">
        <v>1.1655847651036201E-6</v>
      </c>
      <c r="G10755">
        <v>33338</v>
      </c>
      <c r="H10755">
        <v>15718107</v>
      </c>
      <c r="I10755">
        <v>369388</v>
      </c>
      <c r="J10755">
        <v>3</v>
      </c>
    </row>
    <row r="10756" spans="1:10" x14ac:dyDescent="0.25">
      <c r="A10756" t="s">
        <v>113</v>
      </c>
      <c r="B10756" s="1" t="str">
        <f>HYPERLINK("http://ravenheadrp.co.uk","ravenheadrp.co.uk")</f>
        <v>ravenheadrp.co.uk</v>
      </c>
      <c r="C10756" t="s">
        <v>506</v>
      </c>
      <c r="D10756" t="s">
        <v>880</v>
      </c>
      <c r="J10756">
        <v>4</v>
      </c>
    </row>
    <row r="10757" spans="1:10" x14ac:dyDescent="0.25">
      <c r="A10757" t="s">
        <v>113</v>
      </c>
      <c r="B10757" s="1" t="str">
        <f>HYPERLINK("http://coca-cola.vn","coca-cola.vn")</f>
        <v>coca-cola.vn</v>
      </c>
      <c r="C10757" t="s">
        <v>509</v>
      </c>
      <c r="D10757" t="s">
        <v>883</v>
      </c>
      <c r="F10757">
        <v>1.6757883844233202E-8</v>
      </c>
      <c r="G10757">
        <v>3343916</v>
      </c>
      <c r="H10757">
        <v>12507491</v>
      </c>
      <c r="I10757">
        <v>17269145</v>
      </c>
      <c r="J10757">
        <v>3</v>
      </c>
    </row>
    <row r="10758" spans="1:10" x14ac:dyDescent="0.25">
      <c r="A10758" t="s">
        <v>113</v>
      </c>
      <c r="B10758" s="1" t="str">
        <f>HYPERLINK("http://peninsulabeverage.co.za","peninsulabeverage.co.za")</f>
        <v>peninsulabeverage.co.za</v>
      </c>
      <c r="C10758" t="s">
        <v>510</v>
      </c>
      <c r="D10758" t="s">
        <v>884</v>
      </c>
      <c r="F10758">
        <v>1.346966882287E-8</v>
      </c>
      <c r="G10758">
        <v>4416699</v>
      </c>
      <c r="H10758">
        <v>13183635</v>
      </c>
      <c r="I10758">
        <v>11674414</v>
      </c>
      <c r="J10758">
        <v>4</v>
      </c>
    </row>
    <row r="10759" spans="1:10" x14ac:dyDescent="0.25">
      <c r="A10759" t="s">
        <v>114</v>
      </c>
      <c r="B10759" s="1" t="str">
        <f>HYPERLINK("http://hillspet.ae","hillspet.ae")</f>
        <v>hillspet.ae</v>
      </c>
      <c r="C10759" t="s">
        <v>417</v>
      </c>
      <c r="D10759" t="s">
        <v>799</v>
      </c>
      <c r="F10759">
        <v>1.09172371738714E-8</v>
      </c>
      <c r="G10759">
        <v>5929130</v>
      </c>
      <c r="H10759">
        <v>12280006</v>
      </c>
      <c r="I10759">
        <v>21304887</v>
      </c>
      <c r="J10759">
        <v>4</v>
      </c>
    </row>
    <row r="10760" spans="1:10" x14ac:dyDescent="0.25">
      <c r="A10760" t="s">
        <v>114</v>
      </c>
      <c r="B10760" s="1" t="str">
        <f>HYPERLINK("http://colgate.com.ar","colgate.com.ar")</f>
        <v>colgate.com.ar</v>
      </c>
      <c r="C10760" t="s">
        <v>418</v>
      </c>
      <c r="D10760" t="s">
        <v>800</v>
      </c>
      <c r="F10760">
        <v>8.2584368101695492E-9</v>
      </c>
      <c r="G10760">
        <v>9356533</v>
      </c>
      <c r="H10760">
        <v>13765546</v>
      </c>
      <c r="I10760">
        <v>7091613</v>
      </c>
      <c r="J10760">
        <v>2</v>
      </c>
    </row>
    <row r="10761" spans="1:10" x14ac:dyDescent="0.25">
      <c r="A10761" t="s">
        <v>114</v>
      </c>
      <c r="B10761" s="1" t="str">
        <f>HYPERLINK("http://colgatepalmolive.com.ar","colgatepalmolive.com.ar")</f>
        <v>colgatepalmolive.com.ar</v>
      </c>
      <c r="C10761" t="s">
        <v>418</v>
      </c>
      <c r="D10761" t="s">
        <v>800</v>
      </c>
      <c r="F10761">
        <v>3.0646214457150098E-8</v>
      </c>
      <c r="G10761">
        <v>1680692</v>
      </c>
      <c r="H10761">
        <v>12332946</v>
      </c>
      <c r="I10761">
        <v>20150235</v>
      </c>
      <c r="J10761">
        <v>3</v>
      </c>
    </row>
    <row r="10762" spans="1:10" x14ac:dyDescent="0.25">
      <c r="A10762" t="s">
        <v>114</v>
      </c>
      <c r="B10762" s="1" t="str">
        <f>HYPERLINK("http://colgate.at","colgate.at")</f>
        <v>colgate.at</v>
      </c>
      <c r="C10762" t="s">
        <v>419</v>
      </c>
      <c r="D10762" t="s">
        <v>801</v>
      </c>
      <c r="F10762">
        <v>2.6811117608212701E-8</v>
      </c>
      <c r="G10762">
        <v>1918725</v>
      </c>
      <c r="H10762">
        <v>12615798</v>
      </c>
      <c r="I10762">
        <v>16130760</v>
      </c>
      <c r="J10762">
        <v>2</v>
      </c>
    </row>
    <row r="10763" spans="1:10" x14ac:dyDescent="0.25">
      <c r="A10763" t="s">
        <v>114</v>
      </c>
      <c r="B10763" s="1" t="str">
        <f>HYPERLINK("http://colgatepalmolive.at","colgatepalmolive.at")</f>
        <v>colgatepalmolive.at</v>
      </c>
      <c r="C10763" t="s">
        <v>419</v>
      </c>
      <c r="D10763" t="s">
        <v>801</v>
      </c>
      <c r="F10763">
        <v>2.5072075609367601E-8</v>
      </c>
      <c r="G10763">
        <v>2060486</v>
      </c>
      <c r="H10763">
        <v>12349235</v>
      </c>
      <c r="I10763">
        <v>19777844</v>
      </c>
      <c r="J10763">
        <v>3</v>
      </c>
    </row>
    <row r="10764" spans="1:10" x14ac:dyDescent="0.25">
      <c r="A10764" t="s">
        <v>114</v>
      </c>
      <c r="B10764" s="1" t="str">
        <f>HYPERLINK("http://elmex.at","elmex.at")</f>
        <v>elmex.at</v>
      </c>
      <c r="C10764" t="s">
        <v>419</v>
      </c>
      <c r="D10764" t="s">
        <v>801</v>
      </c>
      <c r="F10764">
        <v>1.72529301124871E-8</v>
      </c>
      <c r="G10764">
        <v>3210776</v>
      </c>
      <c r="H10764">
        <v>12228647</v>
      </c>
      <c r="I10764">
        <v>22542589</v>
      </c>
      <c r="J10764">
        <v>7</v>
      </c>
    </row>
    <row r="10765" spans="1:10" x14ac:dyDescent="0.25">
      <c r="A10765" t="s">
        <v>114</v>
      </c>
      <c r="B10765" s="1" t="str">
        <f>HYPERLINK("http://hillsvet.at","hillsvet.at")</f>
        <v>hillsvet.at</v>
      </c>
      <c r="C10765" t="s">
        <v>419</v>
      </c>
      <c r="D10765" t="s">
        <v>801</v>
      </c>
      <c r="F10765">
        <v>1.3221573784459001E-8</v>
      </c>
      <c r="G10765">
        <v>4528663</v>
      </c>
      <c r="H10765">
        <v>11509116</v>
      </c>
      <c r="I10765">
        <v>30017485</v>
      </c>
      <c r="J10765">
        <v>5</v>
      </c>
    </row>
    <row r="10766" spans="1:10" x14ac:dyDescent="0.25">
      <c r="A10766" t="s">
        <v>114</v>
      </c>
      <c r="B10766" s="1" t="str">
        <f>HYPERLINK("http://meridol.at","meridol.at")</f>
        <v>meridol.at</v>
      </c>
      <c r="C10766" t="s">
        <v>419</v>
      </c>
      <c r="D10766" t="s">
        <v>801</v>
      </c>
      <c r="F10766">
        <v>9.2437995550537804E-9</v>
      </c>
      <c r="G10766">
        <v>7646756</v>
      </c>
      <c r="H10766">
        <v>12189266</v>
      </c>
      <c r="I10766">
        <v>23599730</v>
      </c>
      <c r="J10766">
        <v>7</v>
      </c>
    </row>
    <row r="10767" spans="1:10" x14ac:dyDescent="0.25">
      <c r="A10767" t="s">
        <v>114</v>
      </c>
      <c r="B10767" s="1" t="str">
        <f>HYPERLINK("http://palmolive.at","palmolive.at")</f>
        <v>palmolive.at</v>
      </c>
      <c r="C10767" t="s">
        <v>419</v>
      </c>
      <c r="D10767" t="s">
        <v>801</v>
      </c>
      <c r="F10767">
        <v>8.8553347564405893E-9</v>
      </c>
      <c r="G10767">
        <v>8215640</v>
      </c>
      <c r="H10767">
        <v>10393416</v>
      </c>
      <c r="I10767">
        <v>54344211</v>
      </c>
      <c r="J10767">
        <v>5</v>
      </c>
    </row>
    <row r="10768" spans="1:10" x14ac:dyDescent="0.25">
      <c r="A10768" t="s">
        <v>114</v>
      </c>
      <c r="B10768" s="1" t="str">
        <f>HYPERLINK("http://colgate.com.au","colgate.com.au")</f>
        <v>colgate.com.au</v>
      </c>
      <c r="C10768" t="s">
        <v>420</v>
      </c>
      <c r="D10768" t="s">
        <v>802</v>
      </c>
      <c r="E10768">
        <v>950539</v>
      </c>
      <c r="F10768">
        <v>3.64426074620055E-8</v>
      </c>
      <c r="G10768">
        <v>1432468</v>
      </c>
      <c r="H10768">
        <v>14492132</v>
      </c>
      <c r="I10768">
        <v>897397</v>
      </c>
      <c r="J10768">
        <v>2</v>
      </c>
    </row>
    <row r="10769" spans="1:10" x14ac:dyDescent="0.25">
      <c r="A10769" t="s">
        <v>114</v>
      </c>
      <c r="B10769" s="1" t="str">
        <f>HYPERLINK("http://colgatepalmolive.com.au","colgatepalmolive.com.au")</f>
        <v>colgatepalmolive.com.au</v>
      </c>
      <c r="C10769" t="s">
        <v>420</v>
      </c>
      <c r="D10769" t="s">
        <v>802</v>
      </c>
      <c r="F10769">
        <v>2.57518625085212E-8</v>
      </c>
      <c r="G10769">
        <v>2001776</v>
      </c>
      <c r="H10769">
        <v>12355136</v>
      </c>
      <c r="I10769">
        <v>19677590</v>
      </c>
      <c r="J10769">
        <v>3</v>
      </c>
    </row>
    <row r="10770" spans="1:10" x14ac:dyDescent="0.25">
      <c r="A10770" t="s">
        <v>114</v>
      </c>
      <c r="B10770" s="1" t="str">
        <f>HYPERLINK("http://colgateprofessional.com.au","colgateprofessional.com.au")</f>
        <v>colgateprofessional.com.au</v>
      </c>
      <c r="C10770" t="s">
        <v>420</v>
      </c>
      <c r="D10770" t="s">
        <v>802</v>
      </c>
      <c r="F10770">
        <v>2.65725138164946E-8</v>
      </c>
      <c r="G10770">
        <v>1937303</v>
      </c>
      <c r="H10770">
        <v>13787813</v>
      </c>
      <c r="I10770">
        <v>6370050</v>
      </c>
      <c r="J10770">
        <v>6</v>
      </c>
    </row>
    <row r="10771" spans="1:10" x14ac:dyDescent="0.25">
      <c r="A10771" t="s">
        <v>114</v>
      </c>
      <c r="B10771" s="1" t="str">
        <f>HYPERLINK("http://hillspet.com.au","hillspet.com.au")</f>
        <v>hillspet.com.au</v>
      </c>
      <c r="C10771" t="s">
        <v>420</v>
      </c>
      <c r="D10771" t="s">
        <v>802</v>
      </c>
      <c r="E10771">
        <v>613742</v>
      </c>
      <c r="F10771">
        <v>2.55217165078477E-8</v>
      </c>
      <c r="G10771">
        <v>2020924</v>
      </c>
      <c r="H10771">
        <v>13953332</v>
      </c>
      <c r="I10771">
        <v>4151095</v>
      </c>
      <c r="J10771">
        <v>4</v>
      </c>
    </row>
    <row r="10772" spans="1:10" x14ac:dyDescent="0.25">
      <c r="A10772" t="s">
        <v>114</v>
      </c>
      <c r="B10772" s="1" t="str">
        <f>HYPERLINK("http://colgate.az","colgate.az")</f>
        <v>colgate.az</v>
      </c>
      <c r="C10772" t="s">
        <v>561</v>
      </c>
      <c r="D10772" t="s">
        <v>911</v>
      </c>
      <c r="F10772">
        <v>1.37301448232989E-8</v>
      </c>
      <c r="G10772">
        <v>4309099</v>
      </c>
      <c r="H10772">
        <v>12274588</v>
      </c>
      <c r="I10772">
        <v>21424777</v>
      </c>
      <c r="J10772">
        <v>2</v>
      </c>
    </row>
    <row r="10773" spans="1:10" x14ac:dyDescent="0.25">
      <c r="A10773" t="s">
        <v>114</v>
      </c>
      <c r="B10773" s="1" t="str">
        <f>HYPERLINK("http://colgate.be","colgate.be")</f>
        <v>colgate.be</v>
      </c>
      <c r="C10773" t="s">
        <v>421</v>
      </c>
      <c r="D10773" t="s">
        <v>803</v>
      </c>
      <c r="F10773">
        <v>2.4778036606071202E-8</v>
      </c>
      <c r="G10773">
        <v>2087373</v>
      </c>
      <c r="H10773">
        <v>13943348</v>
      </c>
      <c r="I10773">
        <v>4315752</v>
      </c>
      <c r="J10773">
        <v>2</v>
      </c>
    </row>
    <row r="10774" spans="1:10" x14ac:dyDescent="0.25">
      <c r="A10774" t="s">
        <v>114</v>
      </c>
      <c r="B10774" s="1" t="str">
        <f>HYPERLINK("http://colgatepalmolive.be","colgatepalmolive.be")</f>
        <v>colgatepalmolive.be</v>
      </c>
      <c r="C10774" t="s">
        <v>421</v>
      </c>
      <c r="D10774" t="s">
        <v>803</v>
      </c>
      <c r="F10774">
        <v>2.53188017253621E-8</v>
      </c>
      <c r="G10774">
        <v>2038018</v>
      </c>
      <c r="H10774">
        <v>12326871</v>
      </c>
      <c r="I10774">
        <v>20292870</v>
      </c>
      <c r="J10774">
        <v>3</v>
      </c>
    </row>
    <row r="10775" spans="1:10" x14ac:dyDescent="0.25">
      <c r="A10775" t="s">
        <v>114</v>
      </c>
      <c r="B10775" s="1" t="str">
        <f>HYPERLINK("http://colgateprofessional.be","colgateprofessional.be")</f>
        <v>colgateprofessional.be</v>
      </c>
      <c r="C10775" t="s">
        <v>421</v>
      </c>
      <c r="D10775" t="s">
        <v>803</v>
      </c>
      <c r="F10775">
        <v>1.30925977540277E-8</v>
      </c>
      <c r="G10775">
        <v>4587443</v>
      </c>
      <c r="H10775">
        <v>11006852</v>
      </c>
      <c r="I10775">
        <v>33455218</v>
      </c>
      <c r="J10775">
        <v>5</v>
      </c>
    </row>
    <row r="10776" spans="1:10" x14ac:dyDescent="0.25">
      <c r="A10776" t="s">
        <v>114</v>
      </c>
      <c r="B10776" s="1" t="str">
        <f>HYPERLINK("http://elmex.be","elmex.be")</f>
        <v>elmex.be</v>
      </c>
      <c r="C10776" t="s">
        <v>421</v>
      </c>
      <c r="D10776" t="s">
        <v>803</v>
      </c>
      <c r="F10776">
        <v>1.5961560056495999E-8</v>
      </c>
      <c r="G10776">
        <v>3556327</v>
      </c>
      <c r="H10776">
        <v>10548749</v>
      </c>
      <c r="I10776">
        <v>46748947</v>
      </c>
      <c r="J10776">
        <v>7</v>
      </c>
    </row>
    <row r="10777" spans="1:10" x14ac:dyDescent="0.25">
      <c r="A10777" t="s">
        <v>114</v>
      </c>
      <c r="B10777" s="1" t="str">
        <f>HYPERLINK("http://hillspet.be","hillspet.be")</f>
        <v>hillspet.be</v>
      </c>
      <c r="C10777" t="s">
        <v>421</v>
      </c>
      <c r="D10777" t="s">
        <v>803</v>
      </c>
      <c r="F10777">
        <v>4.1403684864397602E-8</v>
      </c>
      <c r="G10777">
        <v>1208058</v>
      </c>
      <c r="H10777">
        <v>13122414</v>
      </c>
      <c r="I10777">
        <v>11983865</v>
      </c>
      <c r="J10777">
        <v>4</v>
      </c>
    </row>
    <row r="10778" spans="1:10" x14ac:dyDescent="0.25">
      <c r="A10778" t="s">
        <v>114</v>
      </c>
      <c r="B10778" s="1" t="str">
        <f>HYPERLINK("http://hillsvet.be","hillsvet.be")</f>
        <v>hillsvet.be</v>
      </c>
      <c r="C10778" t="s">
        <v>421</v>
      </c>
      <c r="D10778" t="s">
        <v>803</v>
      </c>
      <c r="F10778">
        <v>1.70071517724565E-8</v>
      </c>
      <c r="G10778">
        <v>3281645</v>
      </c>
      <c r="H10778">
        <v>12632401</v>
      </c>
      <c r="I10778">
        <v>15963467</v>
      </c>
      <c r="J10778">
        <v>5</v>
      </c>
    </row>
    <row r="10779" spans="1:10" x14ac:dyDescent="0.25">
      <c r="A10779" t="s">
        <v>114</v>
      </c>
      <c r="B10779" s="1" t="str">
        <f>HYPERLINK("http://meridol.be","meridol.be")</f>
        <v>meridol.be</v>
      </c>
      <c r="C10779" t="s">
        <v>421</v>
      </c>
      <c r="D10779" t="s">
        <v>803</v>
      </c>
      <c r="F10779">
        <v>8.3659757534098502E-9</v>
      </c>
      <c r="G10779">
        <v>9113235</v>
      </c>
      <c r="H10779">
        <v>12098708</v>
      </c>
      <c r="I10779">
        <v>26002734</v>
      </c>
      <c r="J10779">
        <v>7</v>
      </c>
    </row>
    <row r="10780" spans="1:10" x14ac:dyDescent="0.25">
      <c r="A10780" t="s">
        <v>114</v>
      </c>
      <c r="B10780" s="1" t="str">
        <f>HYPERLINK("http://palmolive.be","palmolive.be")</f>
        <v>palmolive.be</v>
      </c>
      <c r="C10780" t="s">
        <v>421</v>
      </c>
      <c r="D10780" t="s">
        <v>803</v>
      </c>
      <c r="F10780">
        <v>4.7361635033974899E-9</v>
      </c>
      <c r="G10780">
        <v>38993397</v>
      </c>
      <c r="H10780">
        <v>9445969</v>
      </c>
      <c r="I10780">
        <v>66584405</v>
      </c>
      <c r="J10780">
        <v>6</v>
      </c>
    </row>
    <row r="10781" spans="1:10" x14ac:dyDescent="0.25">
      <c r="A10781" t="s">
        <v>114</v>
      </c>
      <c r="B10781" s="1" t="str">
        <f>HYPERLINK("http://hillspet.bg","hillspet.bg")</f>
        <v>hillspet.bg</v>
      </c>
      <c r="C10781" t="s">
        <v>422</v>
      </c>
      <c r="D10781" t="s">
        <v>804</v>
      </c>
      <c r="F10781">
        <v>1.0523763578131E-8</v>
      </c>
      <c r="G10781">
        <v>6249054</v>
      </c>
      <c r="H10781">
        <v>11374374</v>
      </c>
      <c r="I10781">
        <v>30306409</v>
      </c>
      <c r="J10781">
        <v>4</v>
      </c>
    </row>
    <row r="10782" spans="1:10" x14ac:dyDescent="0.25">
      <c r="A10782" t="s">
        <v>114</v>
      </c>
      <c r="B10782" s="1" t="str">
        <f>HYPERLINK("http://colgatepalmolive.com.bo","colgatepalmolive.com.bo")</f>
        <v>colgatepalmolive.com.bo</v>
      </c>
      <c r="C10782" t="s">
        <v>424</v>
      </c>
      <c r="D10782" t="s">
        <v>805</v>
      </c>
      <c r="F10782">
        <v>2.5695721388561E-8</v>
      </c>
      <c r="G10782">
        <v>2006490</v>
      </c>
      <c r="H10782">
        <v>12321981</v>
      </c>
      <c r="I10782">
        <v>20375481</v>
      </c>
      <c r="J10782">
        <v>3</v>
      </c>
    </row>
    <row r="10783" spans="1:10" x14ac:dyDescent="0.25">
      <c r="A10783" t="s">
        <v>114</v>
      </c>
      <c r="B10783" s="1" t="str">
        <f>HYPERLINK("http://colgate.com.br","colgate.com.br")</f>
        <v>colgate.com.br</v>
      </c>
      <c r="C10783" t="s">
        <v>425</v>
      </c>
      <c r="D10783" t="s">
        <v>806</v>
      </c>
      <c r="E10783">
        <v>496458</v>
      </c>
      <c r="F10783">
        <v>3.9373358124521102E-8</v>
      </c>
      <c r="G10783">
        <v>1310744</v>
      </c>
      <c r="H10783">
        <v>14494157</v>
      </c>
      <c r="I10783">
        <v>883312</v>
      </c>
      <c r="J10783">
        <v>2</v>
      </c>
    </row>
    <row r="10784" spans="1:10" x14ac:dyDescent="0.25">
      <c r="A10784" t="s">
        <v>114</v>
      </c>
      <c r="B10784" s="1" t="str">
        <f>HYPERLINK("http://colgatepalmolive.com.br","colgatepalmolive.com.br")</f>
        <v>colgatepalmolive.com.br</v>
      </c>
      <c r="C10784" t="s">
        <v>425</v>
      </c>
      <c r="D10784" t="s">
        <v>806</v>
      </c>
      <c r="F10784">
        <v>2.5052932407087999E-8</v>
      </c>
      <c r="G10784">
        <v>2062148</v>
      </c>
      <c r="H10784">
        <v>12351582</v>
      </c>
      <c r="I10784">
        <v>19741862</v>
      </c>
      <c r="J10784">
        <v>3</v>
      </c>
    </row>
    <row r="10785" spans="1:10" x14ac:dyDescent="0.25">
      <c r="A10785" t="s">
        <v>114</v>
      </c>
      <c r="B10785" s="1" t="str">
        <f>HYPERLINK("http://elmex.com.br","elmex.com.br")</f>
        <v>elmex.com.br</v>
      </c>
      <c r="C10785" t="s">
        <v>425</v>
      </c>
      <c r="D10785" t="s">
        <v>806</v>
      </c>
      <c r="F10785">
        <v>1.58005885786262E-8</v>
      </c>
      <c r="G10785">
        <v>3599346</v>
      </c>
      <c r="H10785">
        <v>10770328</v>
      </c>
      <c r="I10785">
        <v>39232095</v>
      </c>
      <c r="J10785">
        <v>7</v>
      </c>
    </row>
    <row r="10786" spans="1:10" x14ac:dyDescent="0.25">
      <c r="A10786" t="s">
        <v>114</v>
      </c>
      <c r="B10786" s="1" t="str">
        <f>HYPERLINK("http://hillspet.com.br","hillspet.com.br")</f>
        <v>hillspet.com.br</v>
      </c>
      <c r="C10786" t="s">
        <v>425</v>
      </c>
      <c r="D10786" t="s">
        <v>806</v>
      </c>
      <c r="F10786">
        <v>1.1716076421938699E-8</v>
      </c>
      <c r="G10786">
        <v>5356058</v>
      </c>
      <c r="H10786">
        <v>14120710</v>
      </c>
      <c r="I10786">
        <v>2332217</v>
      </c>
      <c r="J10786">
        <v>4</v>
      </c>
    </row>
    <row r="10787" spans="1:10" x14ac:dyDescent="0.25">
      <c r="A10787" t="s">
        <v>114</v>
      </c>
      <c r="B10787" s="1" t="str">
        <f>HYPERLINK("http://hillsvet.com.br","hillsvet.com.br")</f>
        <v>hillsvet.com.br</v>
      </c>
      <c r="C10787" t="s">
        <v>425</v>
      </c>
      <c r="D10787" t="s">
        <v>806</v>
      </c>
      <c r="F10787">
        <v>8.2301098715596001E-9</v>
      </c>
      <c r="G10787">
        <v>9433175</v>
      </c>
      <c r="H10787">
        <v>10592629</v>
      </c>
      <c r="I10787">
        <v>45593018</v>
      </c>
      <c r="J10787">
        <v>5</v>
      </c>
    </row>
    <row r="10788" spans="1:10" x14ac:dyDescent="0.25">
      <c r="A10788" t="s">
        <v>114</v>
      </c>
      <c r="B10788" s="1" t="str">
        <f>HYPERLINK("http://colgate.by","colgate.by")</f>
        <v>colgate.by</v>
      </c>
      <c r="C10788" t="s">
        <v>427</v>
      </c>
      <c r="D10788" t="s">
        <v>808</v>
      </c>
      <c r="F10788">
        <v>1.4178139060185001E-8</v>
      </c>
      <c r="G10788">
        <v>4136953</v>
      </c>
      <c r="H10788">
        <v>12274594</v>
      </c>
      <c r="I10788">
        <v>21424634</v>
      </c>
      <c r="J10788">
        <v>2</v>
      </c>
    </row>
    <row r="10789" spans="1:10" x14ac:dyDescent="0.25">
      <c r="A10789" t="s">
        <v>114</v>
      </c>
      <c r="B10789" s="1" t="str">
        <f>HYPERLINK("http://hillspet.by","hillspet.by")</f>
        <v>hillspet.by</v>
      </c>
      <c r="C10789" t="s">
        <v>427</v>
      </c>
      <c r="D10789" t="s">
        <v>808</v>
      </c>
      <c r="F10789">
        <v>1.2981789546049299E-8</v>
      </c>
      <c r="G10789">
        <v>4640299</v>
      </c>
      <c r="H10789">
        <v>12294105</v>
      </c>
      <c r="I10789">
        <v>20985597</v>
      </c>
      <c r="J10789">
        <v>4</v>
      </c>
    </row>
    <row r="10790" spans="1:10" x14ac:dyDescent="0.25">
      <c r="A10790" t="s">
        <v>114</v>
      </c>
      <c r="B10790" s="1" t="str">
        <f>HYPERLINK("http://colgate.ca","colgate.ca")</f>
        <v>colgate.ca</v>
      </c>
      <c r="C10790" t="s">
        <v>428</v>
      </c>
      <c r="D10790" t="s">
        <v>809</v>
      </c>
      <c r="F10790">
        <v>1.5128855842855301E-8</v>
      </c>
      <c r="G10790">
        <v>3798497</v>
      </c>
      <c r="H10790">
        <v>13774323</v>
      </c>
      <c r="I10790">
        <v>6608262</v>
      </c>
      <c r="J10790">
        <v>2</v>
      </c>
    </row>
    <row r="10791" spans="1:10" x14ac:dyDescent="0.25">
      <c r="A10791" t="s">
        <v>114</v>
      </c>
      <c r="B10791" s="1" t="str">
        <f>HYPERLINK("http://colgatepalmolive.ca","colgatepalmolive.ca")</f>
        <v>colgatepalmolive.ca</v>
      </c>
      <c r="C10791" t="s">
        <v>428</v>
      </c>
      <c r="D10791" t="s">
        <v>809</v>
      </c>
      <c r="F10791">
        <v>3.00930677656182E-8</v>
      </c>
      <c r="G10791">
        <v>1709923</v>
      </c>
      <c r="H10791">
        <v>12371584</v>
      </c>
      <c r="I10791">
        <v>19381106</v>
      </c>
      <c r="J10791">
        <v>3</v>
      </c>
    </row>
    <row r="10792" spans="1:10" x14ac:dyDescent="0.25">
      <c r="A10792" t="s">
        <v>114</v>
      </c>
      <c r="B10792" s="1" t="str">
        <f>HYPERLINK("http://colgateprofessional.ca","colgateprofessional.ca")</f>
        <v>colgateprofessional.ca</v>
      </c>
      <c r="C10792" t="s">
        <v>428</v>
      </c>
      <c r="D10792" t="s">
        <v>809</v>
      </c>
      <c r="F10792">
        <v>2.36650582066018E-8</v>
      </c>
      <c r="G10792">
        <v>2197057</v>
      </c>
      <c r="H10792">
        <v>13766460</v>
      </c>
      <c r="I10792">
        <v>7003351</v>
      </c>
      <c r="J10792">
        <v>6</v>
      </c>
    </row>
    <row r="10793" spans="1:10" x14ac:dyDescent="0.25">
      <c r="A10793" t="s">
        <v>114</v>
      </c>
      <c r="B10793" s="1" t="str">
        <f>HYPERLINK("http://hillspet.ca","hillspet.ca")</f>
        <v>hillspet.ca</v>
      </c>
      <c r="C10793" t="s">
        <v>428</v>
      </c>
      <c r="D10793" t="s">
        <v>809</v>
      </c>
      <c r="E10793">
        <v>886841</v>
      </c>
      <c r="F10793">
        <v>9.3043965483562402E-8</v>
      </c>
      <c r="G10793">
        <v>437077</v>
      </c>
      <c r="H10793">
        <v>14116556</v>
      </c>
      <c r="I10793">
        <v>2661557</v>
      </c>
      <c r="J10793">
        <v>4</v>
      </c>
    </row>
    <row r="10794" spans="1:10" x14ac:dyDescent="0.25">
      <c r="A10794" t="s">
        <v>114</v>
      </c>
      <c r="B10794" s="1" t="str">
        <f>HYPERLINK("http://hillsvet.ca","hillsvet.ca")</f>
        <v>hillsvet.ca</v>
      </c>
      <c r="C10794" t="s">
        <v>428</v>
      </c>
      <c r="D10794" t="s">
        <v>809</v>
      </c>
      <c r="F10794">
        <v>1.12647205672858E-8</v>
      </c>
      <c r="G10794">
        <v>5666991</v>
      </c>
      <c r="H10794">
        <v>11143212</v>
      </c>
      <c r="I10794">
        <v>31805622</v>
      </c>
      <c r="J10794">
        <v>5</v>
      </c>
    </row>
    <row r="10795" spans="1:10" x14ac:dyDescent="0.25">
      <c r="A10795" t="s">
        <v>114</v>
      </c>
      <c r="B10795" s="1" t="str">
        <f>HYPERLINK("http://colgate.ch","colgate.ch")</f>
        <v>colgate.ch</v>
      </c>
      <c r="C10795" t="s">
        <v>429</v>
      </c>
      <c r="D10795" t="s">
        <v>810</v>
      </c>
      <c r="F10795">
        <v>1.8131445807542301E-8</v>
      </c>
      <c r="G10795">
        <v>3003530</v>
      </c>
      <c r="H10795">
        <v>12442165</v>
      </c>
      <c r="I10795">
        <v>18119772</v>
      </c>
      <c r="J10795">
        <v>2</v>
      </c>
    </row>
    <row r="10796" spans="1:10" x14ac:dyDescent="0.25">
      <c r="A10796" t="s">
        <v>114</v>
      </c>
      <c r="B10796" s="1" t="str">
        <f>HYPERLINK("http://colgatepalmolive.ch","colgatepalmolive.ch")</f>
        <v>colgatepalmolive.ch</v>
      </c>
      <c r="C10796" t="s">
        <v>429</v>
      </c>
      <c r="D10796" t="s">
        <v>810</v>
      </c>
      <c r="F10796">
        <v>3.3813203616575401E-8</v>
      </c>
      <c r="G10796">
        <v>1530363</v>
      </c>
      <c r="H10796">
        <v>12438647</v>
      </c>
      <c r="I10796">
        <v>18160953</v>
      </c>
      <c r="J10796">
        <v>3</v>
      </c>
    </row>
    <row r="10797" spans="1:10" x14ac:dyDescent="0.25">
      <c r="A10797" t="s">
        <v>114</v>
      </c>
      <c r="B10797" s="1" t="str">
        <f>HYPERLINK("http://colgateprofessional.ch","colgateprofessional.ch")</f>
        <v>colgateprofessional.ch</v>
      </c>
      <c r="C10797" t="s">
        <v>429</v>
      </c>
      <c r="D10797" t="s">
        <v>810</v>
      </c>
      <c r="F10797">
        <v>2.8725540387473601E-8</v>
      </c>
      <c r="G10797">
        <v>1791645</v>
      </c>
      <c r="H10797">
        <v>11186963</v>
      </c>
      <c r="I10797">
        <v>31378685</v>
      </c>
      <c r="J10797">
        <v>5</v>
      </c>
    </row>
    <row r="10798" spans="1:10" x14ac:dyDescent="0.25">
      <c r="A10798" t="s">
        <v>114</v>
      </c>
      <c r="B10798" s="1" t="str">
        <f>HYPERLINK("http://elmex.ch","elmex.ch")</f>
        <v>elmex.ch</v>
      </c>
      <c r="C10798" t="s">
        <v>429</v>
      </c>
      <c r="D10798" t="s">
        <v>810</v>
      </c>
      <c r="F10798">
        <v>2.9229532574345699E-8</v>
      </c>
      <c r="G10798">
        <v>1762202</v>
      </c>
      <c r="H10798">
        <v>12278374</v>
      </c>
      <c r="I10798">
        <v>21339408</v>
      </c>
      <c r="J10798">
        <v>7</v>
      </c>
    </row>
    <row r="10799" spans="1:10" x14ac:dyDescent="0.25">
      <c r="A10799" t="s">
        <v>114</v>
      </c>
      <c r="B10799" s="1" t="str">
        <f>HYPERLINK("http://gaba.ch","gaba.ch")</f>
        <v>gaba.ch</v>
      </c>
      <c r="C10799" t="s">
        <v>429</v>
      </c>
      <c r="D10799" t="s">
        <v>810</v>
      </c>
      <c r="F10799">
        <v>1.18640627494926E-8</v>
      </c>
      <c r="G10799">
        <v>5261856</v>
      </c>
      <c r="H10799">
        <v>12381653</v>
      </c>
      <c r="I10799">
        <v>19176361</v>
      </c>
      <c r="J10799">
        <v>3</v>
      </c>
    </row>
    <row r="10800" spans="1:10" x14ac:dyDescent="0.25">
      <c r="A10800" t="s">
        <v>114</v>
      </c>
      <c r="B10800" s="1" t="str">
        <f>HYPERLINK("http://hillspet.ch","hillspet.ch")</f>
        <v>hillspet.ch</v>
      </c>
      <c r="C10800" t="s">
        <v>429</v>
      </c>
      <c r="D10800" t="s">
        <v>810</v>
      </c>
      <c r="F10800">
        <v>2.1784351145844301E-8</v>
      </c>
      <c r="G10800">
        <v>2412817</v>
      </c>
      <c r="H10800">
        <v>12663952</v>
      </c>
      <c r="I10800">
        <v>15687437</v>
      </c>
      <c r="J10800">
        <v>4</v>
      </c>
    </row>
    <row r="10801" spans="1:10" x14ac:dyDescent="0.25">
      <c r="A10801" t="s">
        <v>114</v>
      </c>
      <c r="B10801" s="1" t="str">
        <f>HYPERLINK("http://hillsvet.ch","hillsvet.ch")</f>
        <v>hillsvet.ch</v>
      </c>
      <c r="C10801" t="s">
        <v>429</v>
      </c>
      <c r="D10801" t="s">
        <v>810</v>
      </c>
      <c r="F10801">
        <v>1.61969820490151E-8</v>
      </c>
      <c r="G10801">
        <v>3496100</v>
      </c>
      <c r="H10801">
        <v>12766842</v>
      </c>
      <c r="I10801">
        <v>14867768</v>
      </c>
      <c r="J10801">
        <v>5</v>
      </c>
    </row>
    <row r="10802" spans="1:10" x14ac:dyDescent="0.25">
      <c r="A10802" t="s">
        <v>114</v>
      </c>
      <c r="B10802" s="1" t="str">
        <f>HYPERLINK("http://meridol.ch","meridol.ch")</f>
        <v>meridol.ch</v>
      </c>
      <c r="C10802" t="s">
        <v>429</v>
      </c>
      <c r="D10802" t="s">
        <v>810</v>
      </c>
      <c r="F10802">
        <v>1.04425890451057E-8</v>
      </c>
      <c r="G10802">
        <v>6320422</v>
      </c>
      <c r="H10802">
        <v>12106352</v>
      </c>
      <c r="I10802">
        <v>25817222</v>
      </c>
      <c r="J10802">
        <v>7</v>
      </c>
    </row>
    <row r="10803" spans="1:10" x14ac:dyDescent="0.25">
      <c r="A10803" t="s">
        <v>114</v>
      </c>
      <c r="B10803" s="1" t="str">
        <f>HYPERLINK("http://palmolive.ch","palmolive.ch")</f>
        <v>palmolive.ch</v>
      </c>
      <c r="C10803" t="s">
        <v>429</v>
      </c>
      <c r="D10803" t="s">
        <v>810</v>
      </c>
      <c r="F10803">
        <v>1.1350427978370501E-8</v>
      </c>
      <c r="G10803">
        <v>5607918</v>
      </c>
      <c r="H10803">
        <v>12236058</v>
      </c>
      <c r="I10803">
        <v>22350985</v>
      </c>
      <c r="J10803">
        <v>5</v>
      </c>
    </row>
    <row r="10804" spans="1:10" x14ac:dyDescent="0.25">
      <c r="A10804" t="s">
        <v>114</v>
      </c>
      <c r="B10804" s="1" t="str">
        <f>HYPERLINK("http://colgate.cl","colgate.cl")</f>
        <v>colgate.cl</v>
      </c>
      <c r="C10804" t="s">
        <v>430</v>
      </c>
      <c r="D10804" t="s">
        <v>811</v>
      </c>
      <c r="F10804">
        <v>7.1449852289676102E-9</v>
      </c>
      <c r="G10804">
        <v>11890460</v>
      </c>
      <c r="H10804">
        <v>13764300</v>
      </c>
      <c r="I10804">
        <v>7302699</v>
      </c>
      <c r="J10804">
        <v>3</v>
      </c>
    </row>
    <row r="10805" spans="1:10" x14ac:dyDescent="0.25">
      <c r="A10805" t="s">
        <v>114</v>
      </c>
      <c r="B10805" s="1" t="str">
        <f>HYPERLINK("http://colgatepalmolive.cl","colgatepalmolive.cl")</f>
        <v>colgatepalmolive.cl</v>
      </c>
      <c r="C10805" t="s">
        <v>430</v>
      </c>
      <c r="D10805" t="s">
        <v>811</v>
      </c>
      <c r="F10805">
        <v>2.8846369866870999E-8</v>
      </c>
      <c r="G10805">
        <v>1784341</v>
      </c>
      <c r="H10805">
        <v>12324609</v>
      </c>
      <c r="I10805">
        <v>20331019</v>
      </c>
      <c r="J10805">
        <v>3</v>
      </c>
    </row>
    <row r="10806" spans="1:10" x14ac:dyDescent="0.25">
      <c r="A10806" t="s">
        <v>114</v>
      </c>
      <c r="B10806" s="1" t="str">
        <f>HYPERLINK("http://elmex.cl","elmex.cl")</f>
        <v>elmex.cl</v>
      </c>
      <c r="C10806" t="s">
        <v>430</v>
      </c>
      <c r="D10806" t="s">
        <v>811</v>
      </c>
      <c r="F10806">
        <v>1.61871040878007E-8</v>
      </c>
      <c r="G10806">
        <v>3498703</v>
      </c>
      <c r="H10806">
        <v>10664643</v>
      </c>
      <c r="I10806">
        <v>43168122</v>
      </c>
      <c r="J10806">
        <v>7</v>
      </c>
    </row>
    <row r="10807" spans="1:10" x14ac:dyDescent="0.25">
      <c r="A10807" t="s">
        <v>114</v>
      </c>
      <c r="B10807" s="1" t="str">
        <f>HYPERLINK("http://hillspet.cl","hillspet.cl")</f>
        <v>hillspet.cl</v>
      </c>
      <c r="C10807" t="s">
        <v>430</v>
      </c>
      <c r="D10807" t="s">
        <v>811</v>
      </c>
      <c r="F10807">
        <v>1.1202969688076199E-8</v>
      </c>
      <c r="G10807">
        <v>5711071</v>
      </c>
      <c r="H10807">
        <v>11390156</v>
      </c>
      <c r="I10807">
        <v>30252896</v>
      </c>
      <c r="J10807">
        <v>4</v>
      </c>
    </row>
    <row r="10808" spans="1:10" x14ac:dyDescent="0.25">
      <c r="A10808" t="s">
        <v>114</v>
      </c>
      <c r="B10808" s="1" t="str">
        <f>HYPERLINK("http://colgate.com.cn","colgate.com.cn")</f>
        <v>colgate.com.cn</v>
      </c>
      <c r="C10808" t="s">
        <v>431</v>
      </c>
      <c r="D10808" t="s">
        <v>812</v>
      </c>
      <c r="E10808">
        <v>996389</v>
      </c>
      <c r="F10808">
        <v>3.93244941481016E-8</v>
      </c>
      <c r="G10808">
        <v>1312194</v>
      </c>
      <c r="H10808">
        <v>12674932</v>
      </c>
      <c r="I10808">
        <v>15559523</v>
      </c>
      <c r="J10808">
        <v>2</v>
      </c>
    </row>
    <row r="10809" spans="1:10" x14ac:dyDescent="0.25">
      <c r="A10809" t="s">
        <v>114</v>
      </c>
      <c r="B10809" s="1" t="str">
        <f>HYPERLINK("http://colgateprofessional.com.cn","colgateprofessional.com.cn")</f>
        <v>colgateprofessional.com.cn</v>
      </c>
      <c r="C10809" t="s">
        <v>431</v>
      </c>
      <c r="D10809" t="s">
        <v>812</v>
      </c>
      <c r="F10809">
        <v>1.29337367740078E-8</v>
      </c>
      <c r="G10809">
        <v>4663479</v>
      </c>
      <c r="H10809">
        <v>11009902</v>
      </c>
      <c r="I10809">
        <v>33408832</v>
      </c>
      <c r="J10809">
        <v>6</v>
      </c>
    </row>
    <row r="10810" spans="1:10" x14ac:dyDescent="0.25">
      <c r="A10810" t="s">
        <v>114</v>
      </c>
      <c r="B10810" s="1" t="str">
        <f>HYPERLINK("http://colgatepalmolive.com.co","colgatepalmolive.com.co")</f>
        <v>colgatepalmolive.com.co</v>
      </c>
      <c r="C10810" t="s">
        <v>432</v>
      </c>
      <c r="F10810">
        <v>2.7408251932955301E-8</v>
      </c>
      <c r="G10810">
        <v>1875587</v>
      </c>
      <c r="H10810">
        <v>12351414</v>
      </c>
      <c r="I10810">
        <v>19744023</v>
      </c>
      <c r="J10810">
        <v>3</v>
      </c>
    </row>
    <row r="10811" spans="1:10" x14ac:dyDescent="0.25">
      <c r="A10811" t="s">
        <v>114</v>
      </c>
      <c r="B10811" s="1" t="str">
        <f>HYPERLINK("http://hillspet.co","hillspet.co")</f>
        <v>hillspet.co</v>
      </c>
      <c r="C10811" t="s">
        <v>432</v>
      </c>
      <c r="F10811">
        <v>1.16967502443709E-8</v>
      </c>
      <c r="G10811">
        <v>5368547</v>
      </c>
      <c r="H10811">
        <v>11549814</v>
      </c>
      <c r="I10811">
        <v>29969821</v>
      </c>
      <c r="J10811">
        <v>4</v>
      </c>
    </row>
    <row r="10812" spans="1:10" x14ac:dyDescent="0.25">
      <c r="A10812" t="s">
        <v>114</v>
      </c>
      <c r="B10812" s="1" t="str">
        <f>HYPERLINK("http://colgate.com","colgate.com")</f>
        <v>colgate.com</v>
      </c>
      <c r="C10812" t="s">
        <v>433</v>
      </c>
      <c r="E10812">
        <v>12804</v>
      </c>
      <c r="F10812">
        <v>3.1216045134360001E-6</v>
      </c>
      <c r="G10812">
        <v>12637</v>
      </c>
      <c r="H10812">
        <v>17529340</v>
      </c>
      <c r="I10812">
        <v>12106</v>
      </c>
      <c r="J10812">
        <v>1</v>
      </c>
    </row>
    <row r="10813" spans="1:10" x14ac:dyDescent="0.25">
      <c r="A10813" t="s">
        <v>114</v>
      </c>
      <c r="B10813" s="1" t="str">
        <f>HYPERLINK("http://colgatepalmolive.com","colgatepalmolive.com")</f>
        <v>colgatepalmolive.com</v>
      </c>
      <c r="C10813" t="s">
        <v>433</v>
      </c>
      <c r="E10813">
        <v>120862</v>
      </c>
      <c r="F10813">
        <v>1.03534351593964E-6</v>
      </c>
      <c r="G10813">
        <v>37014</v>
      </c>
      <c r="H10813">
        <v>17293680</v>
      </c>
      <c r="I10813">
        <v>28591</v>
      </c>
      <c r="J10813">
        <v>2</v>
      </c>
    </row>
    <row r="10814" spans="1:10" x14ac:dyDescent="0.25">
      <c r="A10814" t="s">
        <v>114</v>
      </c>
      <c r="B10814" s="1" t="str">
        <f>HYPERLINK("http://colgateprofessional.com","colgateprofessional.com")</f>
        <v>colgateprofessional.com</v>
      </c>
      <c r="C10814" t="s">
        <v>433</v>
      </c>
      <c r="E10814">
        <v>235883</v>
      </c>
      <c r="F10814">
        <v>2.6257537907497198E-7</v>
      </c>
      <c r="G10814">
        <v>142419</v>
      </c>
      <c r="H10814">
        <v>15019101</v>
      </c>
      <c r="I10814">
        <v>421173</v>
      </c>
      <c r="J10814">
        <v>6</v>
      </c>
    </row>
    <row r="10815" spans="1:10" x14ac:dyDescent="0.25">
      <c r="A10815" t="s">
        <v>114</v>
      </c>
      <c r="B10815" s="1" t="str">
        <f>HYPERLINK("http://colgatesanxiao.com","colgatesanxiao.com")</f>
        <v>colgatesanxiao.com</v>
      </c>
      <c r="C10815" t="s">
        <v>433</v>
      </c>
      <c r="F10815">
        <v>4.4550370241287396E-9</v>
      </c>
      <c r="G10815">
        <v>69502836</v>
      </c>
      <c r="H10815">
        <v>7569158</v>
      </c>
      <c r="I10815">
        <v>76251826</v>
      </c>
      <c r="J10815">
        <v>3</v>
      </c>
    </row>
    <row r="10816" spans="1:10" x14ac:dyDescent="0.25">
      <c r="A10816" t="s">
        <v>114</v>
      </c>
      <c r="B10816" s="1" t="str">
        <f>HYPERLINK("http://colpal.com","colpal.com")</f>
        <v>colpal.com</v>
      </c>
      <c r="C10816" t="s">
        <v>433</v>
      </c>
      <c r="E10816">
        <v>54010</v>
      </c>
      <c r="F10816">
        <v>1.48317405786054E-8</v>
      </c>
      <c r="G10816">
        <v>3896282</v>
      </c>
      <c r="H10816">
        <v>13316836</v>
      </c>
      <c r="I10816">
        <v>10756298</v>
      </c>
      <c r="J10816">
        <v>2</v>
      </c>
    </row>
    <row r="10817" spans="1:10" x14ac:dyDescent="0.25">
      <c r="A10817" t="s">
        <v>114</v>
      </c>
      <c r="B10817" s="1" t="str">
        <f>HYPERLINK("http://elmex.com","elmex.com")</f>
        <v>elmex.com</v>
      </c>
      <c r="C10817" t="s">
        <v>433</v>
      </c>
      <c r="F10817">
        <v>2.6774590769295001E-8</v>
      </c>
      <c r="G10817">
        <v>1921401</v>
      </c>
      <c r="H10817">
        <v>13764553</v>
      </c>
      <c r="I10817">
        <v>7238357</v>
      </c>
      <c r="J10817">
        <v>7</v>
      </c>
    </row>
    <row r="10818" spans="1:10" x14ac:dyDescent="0.25">
      <c r="A10818" t="s">
        <v>114</v>
      </c>
      <c r="B10818" s="1" t="str">
        <f>HYPERLINK("http://hello-products.com","hello-products.com")</f>
        <v>hello-products.com</v>
      </c>
      <c r="C10818" t="s">
        <v>433</v>
      </c>
      <c r="E10818">
        <v>476030</v>
      </c>
      <c r="F10818">
        <v>1.1091041568392799E-7</v>
      </c>
      <c r="G10818">
        <v>360463</v>
      </c>
      <c r="H10818">
        <v>14390480</v>
      </c>
      <c r="I10818">
        <v>1168330</v>
      </c>
      <c r="J10818">
        <v>3</v>
      </c>
    </row>
    <row r="10819" spans="1:10" x14ac:dyDescent="0.25">
      <c r="A10819" t="s">
        <v>114</v>
      </c>
      <c r="B10819" s="1" t="str">
        <f>HYPERLINK("http://hillspet.com","hillspet.com")</f>
        <v>hillspet.com</v>
      </c>
      <c r="C10819" t="s">
        <v>433</v>
      </c>
      <c r="E10819">
        <v>24095</v>
      </c>
      <c r="F10819">
        <v>1.35285418525475E-6</v>
      </c>
      <c r="G10819">
        <v>28750</v>
      </c>
      <c r="H10819">
        <v>15513747</v>
      </c>
      <c r="I10819">
        <v>376317</v>
      </c>
      <c r="J10819">
        <v>3</v>
      </c>
    </row>
    <row r="10820" spans="1:10" x14ac:dyDescent="0.25">
      <c r="A10820" t="s">
        <v>114</v>
      </c>
      <c r="B10820" s="1" t="str">
        <f>HYPERLINK("http://hillsvet.com","hillsvet.com")</f>
        <v>hillsvet.com</v>
      </c>
      <c r="C10820" t="s">
        <v>433</v>
      </c>
      <c r="E10820">
        <v>205091</v>
      </c>
      <c r="F10820">
        <v>1.14229699907997E-7</v>
      </c>
      <c r="G10820">
        <v>348689</v>
      </c>
      <c r="H10820">
        <v>14229534</v>
      </c>
      <c r="I10820">
        <v>1675288</v>
      </c>
      <c r="J10820">
        <v>5</v>
      </c>
    </row>
    <row r="10821" spans="1:10" x14ac:dyDescent="0.25">
      <c r="A10821" t="s">
        <v>114</v>
      </c>
      <c r="B10821" s="1" t="str">
        <f>HYPERLINK("http://meridol.com","meridol.com")</f>
        <v>meridol.com</v>
      </c>
      <c r="C10821" t="s">
        <v>433</v>
      </c>
      <c r="F10821">
        <v>1.0094268631807199E-8</v>
      </c>
      <c r="G10821">
        <v>6655043</v>
      </c>
      <c r="H10821">
        <v>10856595</v>
      </c>
      <c r="I10821">
        <v>36732655</v>
      </c>
      <c r="J10821">
        <v>7</v>
      </c>
    </row>
    <row r="10822" spans="1:10" x14ac:dyDescent="0.25">
      <c r="A10822" t="s">
        <v>114</v>
      </c>
      <c r="B10822" s="1" t="str">
        <f>HYPERLINK("http://colgate.co.cr","colgate.co.cr")</f>
        <v>colgate.co.cr</v>
      </c>
      <c r="C10822" t="s">
        <v>434</v>
      </c>
      <c r="D10822" t="s">
        <v>813</v>
      </c>
      <c r="J10822">
        <v>3</v>
      </c>
    </row>
    <row r="10823" spans="1:10" x14ac:dyDescent="0.25">
      <c r="A10823" t="s">
        <v>114</v>
      </c>
      <c r="B10823" s="1" t="str">
        <f>HYPERLINK("http://hillspet.co.cr","hillspet.co.cr")</f>
        <v>hillspet.co.cr</v>
      </c>
      <c r="C10823" t="s">
        <v>434</v>
      </c>
      <c r="D10823" t="s">
        <v>813</v>
      </c>
      <c r="F10823">
        <v>1.1393313086318101E-8</v>
      </c>
      <c r="G10823">
        <v>5578784</v>
      </c>
      <c r="H10823">
        <v>11365719</v>
      </c>
      <c r="I10823">
        <v>30341283</v>
      </c>
      <c r="J10823">
        <v>4</v>
      </c>
    </row>
    <row r="10824" spans="1:10" x14ac:dyDescent="0.25">
      <c r="A10824" t="s">
        <v>114</v>
      </c>
      <c r="B10824" s="1" t="str">
        <f>HYPERLINK("http://hillspet.com.cy","hillspet.com.cy")</f>
        <v>hillspet.com.cy</v>
      </c>
      <c r="C10824" t="s">
        <v>610</v>
      </c>
      <c r="D10824" t="s">
        <v>937</v>
      </c>
      <c r="F10824">
        <v>1.0206400088449701E-8</v>
      </c>
      <c r="G10824">
        <v>6540694</v>
      </c>
      <c r="H10824">
        <v>11365711</v>
      </c>
      <c r="I10824">
        <v>30341314</v>
      </c>
      <c r="J10824">
        <v>4</v>
      </c>
    </row>
    <row r="10825" spans="1:10" x14ac:dyDescent="0.25">
      <c r="A10825" t="s">
        <v>114</v>
      </c>
      <c r="B10825" s="1" t="str">
        <f>HYPERLINK("http://hillsvet.com.cy","hillsvet.com.cy")</f>
        <v>hillsvet.com.cy</v>
      </c>
      <c r="C10825" t="s">
        <v>610</v>
      </c>
      <c r="D10825" t="s">
        <v>937</v>
      </c>
      <c r="F10825">
        <v>8.1471610377598107E-9</v>
      </c>
      <c r="G10825">
        <v>9660978</v>
      </c>
      <c r="H10825">
        <v>10602554</v>
      </c>
      <c r="I10825">
        <v>44808586</v>
      </c>
      <c r="J10825">
        <v>5</v>
      </c>
    </row>
    <row r="10826" spans="1:10" x14ac:dyDescent="0.25">
      <c r="A10826" t="s">
        <v>114</v>
      </c>
      <c r="B10826" s="1" t="str">
        <f>HYPERLINK("http://colgate.cz","colgate.cz")</f>
        <v>colgate.cz</v>
      </c>
      <c r="C10826" t="s">
        <v>435</v>
      </c>
      <c r="D10826" t="s">
        <v>814</v>
      </c>
      <c r="F10826">
        <v>1.7425640613325001E-8</v>
      </c>
      <c r="G10826">
        <v>3167056</v>
      </c>
      <c r="H10826">
        <v>12386654</v>
      </c>
      <c r="I10826">
        <v>19100300</v>
      </c>
      <c r="J10826">
        <v>2</v>
      </c>
    </row>
    <row r="10827" spans="1:10" x14ac:dyDescent="0.25">
      <c r="A10827" t="s">
        <v>114</v>
      </c>
      <c r="B10827" s="1" t="str">
        <f>HYPERLINK("http://colgatepalmolive.cz","colgatepalmolive.cz")</f>
        <v>colgatepalmolive.cz</v>
      </c>
      <c r="C10827" t="s">
        <v>435</v>
      </c>
      <c r="D10827" t="s">
        <v>814</v>
      </c>
      <c r="F10827">
        <v>3.0009120104000101E-8</v>
      </c>
      <c r="G10827">
        <v>1714495</v>
      </c>
      <c r="H10827">
        <v>12381621</v>
      </c>
      <c r="I10827">
        <v>19176891</v>
      </c>
      <c r="J10827">
        <v>3</v>
      </c>
    </row>
    <row r="10828" spans="1:10" x14ac:dyDescent="0.25">
      <c r="A10828" t="s">
        <v>114</v>
      </c>
      <c r="B10828" s="1" t="str">
        <f>HYPERLINK("http://colgateprofessional.cz","colgateprofessional.cz")</f>
        <v>colgateprofessional.cz</v>
      </c>
      <c r="C10828" t="s">
        <v>435</v>
      </c>
      <c r="D10828" t="s">
        <v>814</v>
      </c>
      <c r="F10828">
        <v>1.4691596485037101E-8</v>
      </c>
      <c r="G10828">
        <v>3943971</v>
      </c>
      <c r="H10828">
        <v>11019817</v>
      </c>
      <c r="I10828">
        <v>33261158</v>
      </c>
      <c r="J10828">
        <v>5</v>
      </c>
    </row>
    <row r="10829" spans="1:10" x14ac:dyDescent="0.25">
      <c r="A10829" t="s">
        <v>114</v>
      </c>
      <c r="B10829" s="1" t="str">
        <f>HYPERLINK("http://elmex.cz","elmex.cz")</f>
        <v>elmex.cz</v>
      </c>
      <c r="C10829" t="s">
        <v>435</v>
      </c>
      <c r="D10829" t="s">
        <v>814</v>
      </c>
      <c r="F10829">
        <v>1.86877451188148E-8</v>
      </c>
      <c r="G10829">
        <v>2891462</v>
      </c>
      <c r="H10829">
        <v>12247595</v>
      </c>
      <c r="I10829">
        <v>22060636</v>
      </c>
      <c r="J10829">
        <v>7</v>
      </c>
    </row>
    <row r="10830" spans="1:10" x14ac:dyDescent="0.25">
      <c r="A10830" t="s">
        <v>114</v>
      </c>
      <c r="B10830" s="1" t="str">
        <f>HYPERLINK("http://hillspet.cz","hillspet.cz")</f>
        <v>hillspet.cz</v>
      </c>
      <c r="C10830" t="s">
        <v>435</v>
      </c>
      <c r="D10830" t="s">
        <v>814</v>
      </c>
      <c r="F10830">
        <v>2.58271586784355E-8</v>
      </c>
      <c r="G10830">
        <v>1995662</v>
      </c>
      <c r="H10830">
        <v>12322121</v>
      </c>
      <c r="I10830">
        <v>20373445</v>
      </c>
      <c r="J10830">
        <v>4</v>
      </c>
    </row>
    <row r="10831" spans="1:10" x14ac:dyDescent="0.25">
      <c r="A10831" t="s">
        <v>114</v>
      </c>
      <c r="B10831" s="1" t="str">
        <f>HYPERLINK("http://hillsvet.cz","hillsvet.cz")</f>
        <v>hillsvet.cz</v>
      </c>
      <c r="C10831" t="s">
        <v>435</v>
      </c>
      <c r="D10831" t="s">
        <v>814</v>
      </c>
      <c r="F10831">
        <v>8.6230491203558094E-9</v>
      </c>
      <c r="G10831">
        <v>8614579</v>
      </c>
      <c r="H10831">
        <v>10602830</v>
      </c>
      <c r="I10831">
        <v>44799010</v>
      </c>
      <c r="J10831">
        <v>5</v>
      </c>
    </row>
    <row r="10832" spans="1:10" x14ac:dyDescent="0.25">
      <c r="A10832" t="s">
        <v>114</v>
      </c>
      <c r="B10832" s="1" t="str">
        <f>HYPERLINK("http://meridol.cz","meridol.cz")</f>
        <v>meridol.cz</v>
      </c>
      <c r="C10832" t="s">
        <v>435</v>
      </c>
      <c r="D10832" t="s">
        <v>814</v>
      </c>
      <c r="F10832">
        <v>1.4318442975595901E-8</v>
      </c>
      <c r="G10832">
        <v>4086906</v>
      </c>
      <c r="H10832">
        <v>12188008</v>
      </c>
      <c r="I10832">
        <v>23632012</v>
      </c>
      <c r="J10832">
        <v>7</v>
      </c>
    </row>
    <row r="10833" spans="1:10" x14ac:dyDescent="0.25">
      <c r="A10833" t="s">
        <v>114</v>
      </c>
      <c r="B10833" s="1" t="str">
        <f>HYPERLINK("http://palmolive.cz","palmolive.cz")</f>
        <v>palmolive.cz</v>
      </c>
      <c r="C10833" t="s">
        <v>435</v>
      </c>
      <c r="D10833" t="s">
        <v>814</v>
      </c>
      <c r="F10833">
        <v>8.9269420688246108E-9</v>
      </c>
      <c r="G10833">
        <v>8102990</v>
      </c>
      <c r="H10833">
        <v>10355456</v>
      </c>
      <c r="I10833">
        <v>55762428</v>
      </c>
      <c r="J10833">
        <v>5</v>
      </c>
    </row>
    <row r="10834" spans="1:10" x14ac:dyDescent="0.25">
      <c r="A10834" t="s">
        <v>114</v>
      </c>
      <c r="B10834" s="1" t="str">
        <f>HYPERLINK("http://colgate.de","colgate.de")</f>
        <v>colgate.de</v>
      </c>
      <c r="C10834" t="s">
        <v>436</v>
      </c>
      <c r="D10834" t="s">
        <v>815</v>
      </c>
      <c r="E10834">
        <v>441507</v>
      </c>
      <c r="F10834">
        <v>5.9420108533056098E-8</v>
      </c>
      <c r="G10834">
        <v>743994</v>
      </c>
      <c r="H10834">
        <v>14493699</v>
      </c>
      <c r="I10834">
        <v>886250</v>
      </c>
      <c r="J10834">
        <v>2</v>
      </c>
    </row>
    <row r="10835" spans="1:10" x14ac:dyDescent="0.25">
      <c r="A10835" t="s">
        <v>114</v>
      </c>
      <c r="B10835" s="1" t="str">
        <f>HYPERLINK("http://colgatepalmolive.de","colgatepalmolive.de")</f>
        <v>colgatepalmolive.de</v>
      </c>
      <c r="C10835" t="s">
        <v>436</v>
      </c>
      <c r="D10835" t="s">
        <v>815</v>
      </c>
      <c r="F10835">
        <v>6.0593153406507805E-8</v>
      </c>
      <c r="G10835">
        <v>727585</v>
      </c>
      <c r="H10835">
        <v>13188964</v>
      </c>
      <c r="I10835">
        <v>11606296</v>
      </c>
      <c r="J10835">
        <v>3</v>
      </c>
    </row>
    <row r="10836" spans="1:10" x14ac:dyDescent="0.25">
      <c r="A10836" t="s">
        <v>114</v>
      </c>
      <c r="B10836" s="1" t="str">
        <f>HYPERLINK("http://cpgaba-shop.de","cpgaba-shop.de")</f>
        <v>cpgaba-shop.de</v>
      </c>
      <c r="C10836" t="s">
        <v>436</v>
      </c>
      <c r="D10836" t="s">
        <v>815</v>
      </c>
      <c r="F10836">
        <v>7.1841574342389897E-9</v>
      </c>
      <c r="G10836">
        <v>11785690</v>
      </c>
      <c r="H10836">
        <v>12420314</v>
      </c>
      <c r="I10836">
        <v>18448609</v>
      </c>
      <c r="J10836">
        <v>3</v>
      </c>
    </row>
    <row r="10837" spans="1:10" x14ac:dyDescent="0.25">
      <c r="A10837" t="s">
        <v>114</v>
      </c>
      <c r="B10837" s="1" t="str">
        <f>HYPERLINK("http://elmex.de","elmex.de")</f>
        <v>elmex.de</v>
      </c>
      <c r="C10837" t="s">
        <v>436</v>
      </c>
      <c r="D10837" t="s">
        <v>815</v>
      </c>
      <c r="F10837">
        <v>7.1021673078548294E-8</v>
      </c>
      <c r="G10837">
        <v>595436</v>
      </c>
      <c r="H10837">
        <v>14149900</v>
      </c>
      <c r="I10837">
        <v>1879497</v>
      </c>
      <c r="J10837">
        <v>7</v>
      </c>
    </row>
    <row r="10838" spans="1:10" x14ac:dyDescent="0.25">
      <c r="A10838" t="s">
        <v>114</v>
      </c>
      <c r="B10838" s="1" t="str">
        <f>HYPERLINK("http://hillspet.de","hillspet.de")</f>
        <v>hillspet.de</v>
      </c>
      <c r="C10838" t="s">
        <v>436</v>
      </c>
      <c r="D10838" t="s">
        <v>815</v>
      </c>
      <c r="E10838">
        <v>574784</v>
      </c>
      <c r="F10838">
        <v>6.3294824925042295E-8</v>
      </c>
      <c r="G10838">
        <v>687312</v>
      </c>
      <c r="H10838">
        <v>13272760</v>
      </c>
      <c r="I10838">
        <v>10948502</v>
      </c>
      <c r="J10838">
        <v>3</v>
      </c>
    </row>
    <row r="10839" spans="1:10" x14ac:dyDescent="0.25">
      <c r="A10839" t="s">
        <v>114</v>
      </c>
      <c r="B10839" s="1" t="str">
        <f>HYPERLINK("http://hillsvet.de","hillsvet.de")</f>
        <v>hillsvet.de</v>
      </c>
      <c r="C10839" t="s">
        <v>436</v>
      </c>
      <c r="D10839" t="s">
        <v>815</v>
      </c>
      <c r="F10839">
        <v>1.5528833614415101E-8</v>
      </c>
      <c r="G10839">
        <v>3676399</v>
      </c>
      <c r="H10839">
        <v>12617110</v>
      </c>
      <c r="I10839">
        <v>16114549</v>
      </c>
      <c r="J10839">
        <v>5</v>
      </c>
    </row>
    <row r="10840" spans="1:10" x14ac:dyDescent="0.25">
      <c r="A10840" t="s">
        <v>114</v>
      </c>
      <c r="B10840" s="1" t="str">
        <f>HYPERLINK("http://meridol.de","meridol.de")</f>
        <v>meridol.de</v>
      </c>
      <c r="C10840" t="s">
        <v>436</v>
      </c>
      <c r="D10840" t="s">
        <v>815</v>
      </c>
      <c r="F10840">
        <v>3.7986992185585202E-8</v>
      </c>
      <c r="G10840">
        <v>1362351</v>
      </c>
      <c r="H10840">
        <v>13774076</v>
      </c>
      <c r="I10840">
        <v>6615180</v>
      </c>
      <c r="J10840">
        <v>7</v>
      </c>
    </row>
    <row r="10841" spans="1:10" x14ac:dyDescent="0.25">
      <c r="A10841" t="s">
        <v>114</v>
      </c>
      <c r="B10841" s="1" t="str">
        <f>HYPERLINK("http://palmolive.de","palmolive.de")</f>
        <v>palmolive.de</v>
      </c>
      <c r="C10841" t="s">
        <v>436</v>
      </c>
      <c r="D10841" t="s">
        <v>815</v>
      </c>
      <c r="F10841">
        <v>1.11655509696285E-8</v>
      </c>
      <c r="G10841">
        <v>5737908</v>
      </c>
      <c r="H10841">
        <v>13765506</v>
      </c>
      <c r="I10841">
        <v>7097071</v>
      </c>
      <c r="J10841">
        <v>5</v>
      </c>
    </row>
    <row r="10842" spans="1:10" x14ac:dyDescent="0.25">
      <c r="A10842" t="s">
        <v>114</v>
      </c>
      <c r="B10842" s="1" t="str">
        <f>HYPERLINK("http://siliconbeach.dental","siliconbeach.dental")</f>
        <v>siliconbeach.dental</v>
      </c>
      <c r="C10842" t="s">
        <v>1672</v>
      </c>
      <c r="F10842">
        <v>1.5213855191129001E-8</v>
      </c>
      <c r="G10842">
        <v>3771648</v>
      </c>
      <c r="H10842">
        <v>13655040</v>
      </c>
      <c r="I10842">
        <v>9603945</v>
      </c>
      <c r="J10842">
        <v>6</v>
      </c>
    </row>
    <row r="10843" spans="1:10" x14ac:dyDescent="0.25">
      <c r="A10843" t="s">
        <v>114</v>
      </c>
      <c r="B10843" s="1" t="str">
        <f>HYPERLINK("http://colgate.dk","colgate.dk")</f>
        <v>colgate.dk</v>
      </c>
      <c r="C10843" t="s">
        <v>437</v>
      </c>
      <c r="D10843" t="s">
        <v>816</v>
      </c>
      <c r="F10843">
        <v>2.59763285102486E-8</v>
      </c>
      <c r="G10843">
        <v>1983532</v>
      </c>
      <c r="H10843">
        <v>12450212</v>
      </c>
      <c r="I10843">
        <v>17994258</v>
      </c>
      <c r="J10843">
        <v>2</v>
      </c>
    </row>
    <row r="10844" spans="1:10" x14ac:dyDescent="0.25">
      <c r="A10844" t="s">
        <v>114</v>
      </c>
      <c r="B10844" s="1" t="str">
        <f>HYPERLINK("http://colgatepalmolive.dk","colgatepalmolive.dk")</f>
        <v>colgatepalmolive.dk</v>
      </c>
      <c r="C10844" t="s">
        <v>437</v>
      </c>
      <c r="D10844" t="s">
        <v>816</v>
      </c>
      <c r="F10844">
        <v>2.4423875286202699E-8</v>
      </c>
      <c r="G10844">
        <v>2121665</v>
      </c>
      <c r="H10844">
        <v>12321986</v>
      </c>
      <c r="I10844">
        <v>20375424</v>
      </c>
      <c r="J10844">
        <v>3</v>
      </c>
    </row>
    <row r="10845" spans="1:10" x14ac:dyDescent="0.25">
      <c r="A10845" t="s">
        <v>114</v>
      </c>
      <c r="B10845" s="1" t="str">
        <f>HYPERLINK("http://colgateprofessional.dk","colgateprofessional.dk")</f>
        <v>colgateprofessional.dk</v>
      </c>
      <c r="C10845" t="s">
        <v>437</v>
      </c>
      <c r="D10845" t="s">
        <v>816</v>
      </c>
      <c r="F10845">
        <v>1.0900137786141999E-8</v>
      </c>
      <c r="G10845">
        <v>5942317</v>
      </c>
      <c r="H10845">
        <v>13297198</v>
      </c>
      <c r="I10845">
        <v>10842606</v>
      </c>
      <c r="J10845">
        <v>5</v>
      </c>
    </row>
    <row r="10846" spans="1:10" x14ac:dyDescent="0.25">
      <c r="A10846" t="s">
        <v>114</v>
      </c>
      <c r="B10846" s="1" t="str">
        <f>HYPERLINK("http://hillspet.dk","hillspet.dk")</f>
        <v>hillspet.dk</v>
      </c>
      <c r="C10846" t="s">
        <v>437</v>
      </c>
      <c r="D10846" t="s">
        <v>816</v>
      </c>
      <c r="F10846">
        <v>3.9481888836413999E-8</v>
      </c>
      <c r="G10846">
        <v>1307550</v>
      </c>
      <c r="H10846">
        <v>14130940</v>
      </c>
      <c r="I10846">
        <v>2021641</v>
      </c>
      <c r="J10846">
        <v>3</v>
      </c>
    </row>
    <row r="10847" spans="1:10" x14ac:dyDescent="0.25">
      <c r="A10847" t="s">
        <v>114</v>
      </c>
      <c r="B10847" s="1" t="str">
        <f>HYPERLINK("http://hillsvet.dk","hillsvet.dk")</f>
        <v>hillsvet.dk</v>
      </c>
      <c r="C10847" t="s">
        <v>437</v>
      </c>
      <c r="D10847" t="s">
        <v>816</v>
      </c>
      <c r="F10847">
        <v>9.9268398586640498E-9</v>
      </c>
      <c r="G10847">
        <v>6830585</v>
      </c>
      <c r="H10847">
        <v>10976252</v>
      </c>
      <c r="I10847">
        <v>34010639</v>
      </c>
      <c r="J10847">
        <v>5</v>
      </c>
    </row>
    <row r="10848" spans="1:10" x14ac:dyDescent="0.25">
      <c r="A10848" t="s">
        <v>114</v>
      </c>
      <c r="B10848" s="1" t="str">
        <f>HYPERLINK("http://palmolive.dk","palmolive.dk")</f>
        <v>palmolive.dk</v>
      </c>
      <c r="C10848" t="s">
        <v>437</v>
      </c>
      <c r="D10848" t="s">
        <v>816</v>
      </c>
      <c r="F10848">
        <v>9.7101306142678804E-9</v>
      </c>
      <c r="G10848">
        <v>7069012</v>
      </c>
      <c r="H10848">
        <v>10826420</v>
      </c>
      <c r="I10848">
        <v>37474587</v>
      </c>
      <c r="J10848">
        <v>5</v>
      </c>
    </row>
    <row r="10849" spans="1:10" x14ac:dyDescent="0.25">
      <c r="A10849" t="s">
        <v>114</v>
      </c>
      <c r="B10849" s="1" t="str">
        <f>HYPERLINK("http://colgatepalmolive.com.do","colgatepalmolive.com.do")</f>
        <v>colgatepalmolive.com.do</v>
      </c>
      <c r="C10849" t="s">
        <v>438</v>
      </c>
      <c r="D10849" t="s">
        <v>817</v>
      </c>
      <c r="F10849">
        <v>2.8587646147534201E-8</v>
      </c>
      <c r="G10849">
        <v>1800069</v>
      </c>
      <c r="H10849">
        <v>12323268</v>
      </c>
      <c r="I10849">
        <v>20353264</v>
      </c>
      <c r="J10849">
        <v>3</v>
      </c>
    </row>
    <row r="10850" spans="1:10" x14ac:dyDescent="0.25">
      <c r="A10850" t="s">
        <v>114</v>
      </c>
      <c r="B10850" s="1" t="str">
        <f>HYPERLINK("http://colgatepalmolive.com.ec","colgatepalmolive.com.ec")</f>
        <v>colgatepalmolive.com.ec</v>
      </c>
      <c r="C10850" t="s">
        <v>440</v>
      </c>
      <c r="D10850" t="s">
        <v>819</v>
      </c>
      <c r="F10850">
        <v>2.8003738256772201E-8</v>
      </c>
      <c r="G10850">
        <v>1837097</v>
      </c>
      <c r="H10850">
        <v>12322004</v>
      </c>
      <c r="I10850">
        <v>20375170</v>
      </c>
      <c r="J10850">
        <v>3</v>
      </c>
    </row>
    <row r="10851" spans="1:10" x14ac:dyDescent="0.25">
      <c r="A10851" t="s">
        <v>114</v>
      </c>
      <c r="B10851" s="1" t="str">
        <f>HYPERLINK("http://hillspet.ee","hillspet.ee")</f>
        <v>hillspet.ee</v>
      </c>
      <c r="C10851" t="s">
        <v>441</v>
      </c>
      <c r="D10851" t="s">
        <v>820</v>
      </c>
      <c r="F10851">
        <v>1.47778484594908E-8</v>
      </c>
      <c r="G10851">
        <v>3914755</v>
      </c>
      <c r="H10851">
        <v>12334947</v>
      </c>
      <c r="I10851">
        <v>20104436</v>
      </c>
      <c r="J10851">
        <v>4</v>
      </c>
    </row>
    <row r="10852" spans="1:10" x14ac:dyDescent="0.25">
      <c r="A10852" t="s">
        <v>114</v>
      </c>
      <c r="B10852" s="1" t="str">
        <f>HYPERLINK("http://colgate.es","colgate.es")</f>
        <v>colgate.es</v>
      </c>
      <c r="C10852" t="s">
        <v>443</v>
      </c>
      <c r="D10852" t="s">
        <v>822</v>
      </c>
      <c r="F10852">
        <v>5.4435079668956399E-8</v>
      </c>
      <c r="G10852">
        <v>829161</v>
      </c>
      <c r="H10852">
        <v>13792653</v>
      </c>
      <c r="I10852">
        <v>6328260</v>
      </c>
      <c r="J10852">
        <v>2</v>
      </c>
    </row>
    <row r="10853" spans="1:10" x14ac:dyDescent="0.25">
      <c r="A10853" t="s">
        <v>114</v>
      </c>
      <c r="B10853" s="1" t="str">
        <f>HYPERLINK("http://hillspet.es","hillspet.es")</f>
        <v>hillspet.es</v>
      </c>
      <c r="C10853" t="s">
        <v>443</v>
      </c>
      <c r="D10853" t="s">
        <v>822</v>
      </c>
      <c r="E10853">
        <v>935714</v>
      </c>
      <c r="F10853">
        <v>6.1478357494711698E-8</v>
      </c>
      <c r="G10853">
        <v>715858</v>
      </c>
      <c r="H10853">
        <v>14493767</v>
      </c>
      <c r="I10853">
        <v>885814</v>
      </c>
      <c r="J10853">
        <v>4</v>
      </c>
    </row>
    <row r="10854" spans="1:10" x14ac:dyDescent="0.25">
      <c r="A10854" t="s">
        <v>114</v>
      </c>
      <c r="B10854" s="1" t="str">
        <f>HYPERLINK("http://hillsvet.es","hillsvet.es")</f>
        <v>hillsvet.es</v>
      </c>
      <c r="C10854" t="s">
        <v>443</v>
      </c>
      <c r="D10854" t="s">
        <v>822</v>
      </c>
      <c r="F10854">
        <v>1.5785406248520799E-8</v>
      </c>
      <c r="G10854">
        <v>3603625</v>
      </c>
      <c r="H10854">
        <v>11002048</v>
      </c>
      <c r="I10854">
        <v>33552184</v>
      </c>
      <c r="J10854">
        <v>5</v>
      </c>
    </row>
    <row r="10855" spans="1:10" x14ac:dyDescent="0.25">
      <c r="A10855" t="s">
        <v>114</v>
      </c>
      <c r="B10855" s="1" t="str">
        <f>HYPERLINK("http://sanex.es","sanex.es")</f>
        <v>sanex.es</v>
      </c>
      <c r="C10855" t="s">
        <v>443</v>
      </c>
      <c r="D10855" t="s">
        <v>822</v>
      </c>
      <c r="F10855">
        <v>1.7010903465173999E-8</v>
      </c>
      <c r="G10855">
        <v>3280732</v>
      </c>
      <c r="H10855">
        <v>13766973</v>
      </c>
      <c r="I10855">
        <v>6963231</v>
      </c>
      <c r="J10855">
        <v>4</v>
      </c>
    </row>
    <row r="10856" spans="1:10" x14ac:dyDescent="0.25">
      <c r="A10856" t="s">
        <v>114</v>
      </c>
      <c r="B10856" s="1" t="str">
        <f>HYPERLINK("http://colgate.eu","colgate.eu")</f>
        <v>colgate.eu</v>
      </c>
      <c r="C10856" t="s">
        <v>444</v>
      </c>
      <c r="F10856">
        <v>6.5768748128562501E-9</v>
      </c>
      <c r="G10856">
        <v>13765680</v>
      </c>
      <c r="H10856">
        <v>12525403</v>
      </c>
      <c r="I10856">
        <v>17092299</v>
      </c>
      <c r="J10856">
        <v>2</v>
      </c>
    </row>
    <row r="10857" spans="1:10" x14ac:dyDescent="0.25">
      <c r="A10857" t="s">
        <v>114</v>
      </c>
      <c r="B10857" s="1" t="str">
        <f>HYPERLINK("http://ajax.fi","ajax.fi")</f>
        <v>ajax.fi</v>
      </c>
      <c r="C10857" t="s">
        <v>445</v>
      </c>
      <c r="D10857" t="s">
        <v>823</v>
      </c>
      <c r="J10857">
        <v>4</v>
      </c>
    </row>
    <row r="10858" spans="1:10" x14ac:dyDescent="0.25">
      <c r="A10858" t="s">
        <v>114</v>
      </c>
      <c r="B10858" s="1" t="str">
        <f>HYPERLINK("http://bsbf.fi","bsbf.fi")</f>
        <v>bsbf.fi</v>
      </c>
      <c r="C10858" t="s">
        <v>445</v>
      </c>
      <c r="D10858" t="s">
        <v>823</v>
      </c>
      <c r="J10858">
        <v>6</v>
      </c>
    </row>
    <row r="10859" spans="1:10" x14ac:dyDescent="0.25">
      <c r="A10859" t="s">
        <v>114</v>
      </c>
      <c r="B10859" s="1" t="str">
        <f>HYPERLINK("http://colgate.fi","colgate.fi")</f>
        <v>colgate.fi</v>
      </c>
      <c r="C10859" t="s">
        <v>445</v>
      </c>
      <c r="D10859" t="s">
        <v>823</v>
      </c>
      <c r="F10859">
        <v>2.2635624800552399E-8</v>
      </c>
      <c r="G10859">
        <v>2313601</v>
      </c>
      <c r="H10859">
        <v>13775660</v>
      </c>
      <c r="I10859">
        <v>6573745</v>
      </c>
      <c r="J10859">
        <v>2</v>
      </c>
    </row>
    <row r="10860" spans="1:10" x14ac:dyDescent="0.25">
      <c r="A10860" t="s">
        <v>114</v>
      </c>
      <c r="B10860" s="1" t="str">
        <f>HYPERLINK("http://colgatepalmolive.fi","colgatepalmolive.fi")</f>
        <v>colgatepalmolive.fi</v>
      </c>
      <c r="C10860" t="s">
        <v>445</v>
      </c>
      <c r="D10860" t="s">
        <v>823</v>
      </c>
      <c r="F10860">
        <v>2.4791822020370002E-8</v>
      </c>
      <c r="G10860">
        <v>2086136</v>
      </c>
      <c r="H10860">
        <v>12321987</v>
      </c>
      <c r="I10860">
        <v>20375412</v>
      </c>
      <c r="J10860">
        <v>3</v>
      </c>
    </row>
    <row r="10861" spans="1:10" x14ac:dyDescent="0.25">
      <c r="A10861" t="s">
        <v>114</v>
      </c>
      <c r="B10861" s="1" t="str">
        <f>HYPERLINK("http://colgateprofessional.fi","colgateprofessional.fi")</f>
        <v>colgateprofessional.fi</v>
      </c>
      <c r="C10861" t="s">
        <v>445</v>
      </c>
      <c r="D10861" t="s">
        <v>823</v>
      </c>
      <c r="F10861">
        <v>1.0025918506062799E-8</v>
      </c>
      <c r="G10861">
        <v>6730087</v>
      </c>
      <c r="H10861">
        <v>10836734</v>
      </c>
      <c r="I10861">
        <v>37245589</v>
      </c>
      <c r="J10861">
        <v>4</v>
      </c>
    </row>
    <row r="10862" spans="1:10" x14ac:dyDescent="0.25">
      <c r="A10862" t="s">
        <v>114</v>
      </c>
      <c r="B10862" s="1" t="str">
        <f>HYPERLINK("http://colgatesensitive.fi","colgatesensitive.fi")</f>
        <v>colgatesensitive.fi</v>
      </c>
      <c r="C10862" t="s">
        <v>445</v>
      </c>
      <c r="D10862" t="s">
        <v>823</v>
      </c>
      <c r="J10862">
        <v>4</v>
      </c>
    </row>
    <row r="10863" spans="1:10" x14ac:dyDescent="0.25">
      <c r="A10863" t="s">
        <v>114</v>
      </c>
      <c r="B10863" s="1" t="str">
        <f>HYPERLINK("http://colgatesensitiveprorelief.fi","colgatesensitiveprorelief.fi")</f>
        <v>colgatesensitiveprorelief.fi</v>
      </c>
      <c r="C10863" t="s">
        <v>445</v>
      </c>
      <c r="D10863" t="s">
        <v>823</v>
      </c>
      <c r="J10863">
        <v>4</v>
      </c>
    </row>
    <row r="10864" spans="1:10" x14ac:dyDescent="0.25">
      <c r="A10864" t="s">
        <v>114</v>
      </c>
      <c r="B10864" s="1" t="str">
        <f>HYPERLINK("http://colgatetotal.fi","colgatetotal.fi")</f>
        <v>colgatetotal.fi</v>
      </c>
      <c r="C10864" t="s">
        <v>445</v>
      </c>
      <c r="D10864" t="s">
        <v>823</v>
      </c>
      <c r="J10864">
        <v>4</v>
      </c>
    </row>
    <row r="10865" spans="1:10" x14ac:dyDescent="0.25">
      <c r="A10865" t="s">
        <v>114</v>
      </c>
      <c r="B10865" s="1" t="str">
        <f>HYPERLINK("http://elmex.fi","elmex.fi")</f>
        <v>elmex.fi</v>
      </c>
      <c r="C10865" t="s">
        <v>445</v>
      </c>
      <c r="D10865" t="s">
        <v>823</v>
      </c>
      <c r="F10865">
        <v>1.9763570542778298E-8</v>
      </c>
      <c r="G10865">
        <v>2698957</v>
      </c>
      <c r="H10865">
        <v>13763644</v>
      </c>
      <c r="I10865">
        <v>7910974</v>
      </c>
      <c r="J10865">
        <v>6</v>
      </c>
    </row>
    <row r="10866" spans="1:10" x14ac:dyDescent="0.25">
      <c r="A10866" t="s">
        <v>114</v>
      </c>
      <c r="B10866" s="1" t="str">
        <f>HYPERLINK("http://elmexprofessional.fi","elmexprofessional.fi")</f>
        <v>elmexprofessional.fi</v>
      </c>
      <c r="C10866" t="s">
        <v>445</v>
      </c>
      <c r="D10866" t="s">
        <v>823</v>
      </c>
      <c r="J10866">
        <v>6</v>
      </c>
    </row>
    <row r="10867" spans="1:10" x14ac:dyDescent="0.25">
      <c r="A10867" t="s">
        <v>114</v>
      </c>
      <c r="B10867" s="1" t="str">
        <f>HYPERLINK("http://elmexsensitive.fi","elmexsensitive.fi")</f>
        <v>elmexsensitive.fi</v>
      </c>
      <c r="C10867" t="s">
        <v>445</v>
      </c>
      <c r="D10867" t="s">
        <v>823</v>
      </c>
      <c r="J10867">
        <v>6</v>
      </c>
    </row>
    <row r="10868" spans="1:10" x14ac:dyDescent="0.25">
      <c r="A10868" t="s">
        <v>114</v>
      </c>
      <c r="B10868" s="1" t="str">
        <f>HYPERLINK("http://filorga.fi","filorga.fi")</f>
        <v>filorga.fi</v>
      </c>
      <c r="C10868" t="s">
        <v>445</v>
      </c>
      <c r="D10868" t="s">
        <v>823</v>
      </c>
      <c r="F10868">
        <v>5.1860724312708004E-9</v>
      </c>
      <c r="G10868">
        <v>25412334</v>
      </c>
      <c r="H10868">
        <v>10529267</v>
      </c>
      <c r="I10868">
        <v>48474523</v>
      </c>
      <c r="J10868">
        <v>2</v>
      </c>
    </row>
    <row r="10869" spans="1:10" x14ac:dyDescent="0.25">
      <c r="A10869" t="s">
        <v>114</v>
      </c>
      <c r="B10869" s="1" t="str">
        <f>HYPERLINK("http://gaba.fi","gaba.fi")</f>
        <v>gaba.fi</v>
      </c>
      <c r="C10869" t="s">
        <v>445</v>
      </c>
      <c r="D10869" t="s">
        <v>823</v>
      </c>
      <c r="F10869">
        <v>4.7377317852886702E-9</v>
      </c>
      <c r="G10869">
        <v>38914082</v>
      </c>
      <c r="H10869">
        <v>10936345</v>
      </c>
      <c r="I10869">
        <v>34927522</v>
      </c>
      <c r="J10869">
        <v>6</v>
      </c>
    </row>
    <row r="10870" spans="1:10" x14ac:dyDescent="0.25">
      <c r="A10870" t="s">
        <v>114</v>
      </c>
      <c r="B10870" s="1" t="str">
        <f>HYPERLINK("http://hills.fi","hills.fi")</f>
        <v>hills.fi</v>
      </c>
      <c r="C10870" t="s">
        <v>445</v>
      </c>
      <c r="D10870" t="s">
        <v>823</v>
      </c>
      <c r="J10870">
        <v>4</v>
      </c>
    </row>
    <row r="10871" spans="1:10" x14ac:dyDescent="0.25">
      <c r="A10871" t="s">
        <v>114</v>
      </c>
      <c r="B10871" s="1" t="str">
        <f>HYPERLINK("http://hills4me.fi","hills4me.fi")</f>
        <v>hills4me.fi</v>
      </c>
      <c r="C10871" t="s">
        <v>445</v>
      </c>
      <c r="D10871" t="s">
        <v>823</v>
      </c>
      <c r="J10871">
        <v>4</v>
      </c>
    </row>
    <row r="10872" spans="1:10" x14ac:dyDescent="0.25">
      <c r="A10872" t="s">
        <v>114</v>
      </c>
      <c r="B10872" s="1" t="str">
        <f>HYPERLINK("http://hillskissanpentuni.fi","hillskissanpentuni.fi")</f>
        <v>hillskissanpentuni.fi</v>
      </c>
      <c r="C10872" t="s">
        <v>445</v>
      </c>
      <c r="D10872" t="s">
        <v>823</v>
      </c>
      <c r="J10872">
        <v>4</v>
      </c>
    </row>
    <row r="10873" spans="1:10" x14ac:dyDescent="0.25">
      <c r="A10873" t="s">
        <v>114</v>
      </c>
      <c r="B10873" s="1" t="str">
        <f>HYPERLINK("http://hillskoiranpentuni.fi","hillskoiranpentuni.fi")</f>
        <v>hillskoiranpentuni.fi</v>
      </c>
      <c r="C10873" t="s">
        <v>445</v>
      </c>
      <c r="D10873" t="s">
        <v>823</v>
      </c>
      <c r="J10873">
        <v>4</v>
      </c>
    </row>
    <row r="10874" spans="1:10" x14ac:dyDescent="0.25">
      <c r="A10874" t="s">
        <v>114</v>
      </c>
      <c r="B10874" s="1" t="str">
        <f>HYPERLINK("http://hillspet.fi","hillspet.fi")</f>
        <v>hillspet.fi</v>
      </c>
      <c r="C10874" t="s">
        <v>445</v>
      </c>
      <c r="D10874" t="s">
        <v>823</v>
      </c>
      <c r="F10874">
        <v>3.01353496615693E-8</v>
      </c>
      <c r="G10874">
        <v>1707560</v>
      </c>
      <c r="H10874">
        <v>14249944</v>
      </c>
      <c r="I10874">
        <v>1448233</v>
      </c>
      <c r="J10874">
        <v>4</v>
      </c>
    </row>
    <row r="10875" spans="1:10" x14ac:dyDescent="0.25">
      <c r="A10875" t="s">
        <v>114</v>
      </c>
      <c r="B10875" s="1" t="str">
        <f>HYPERLINK("http://hillsvet.fi","hillsvet.fi")</f>
        <v>hillsvet.fi</v>
      </c>
      <c r="C10875" t="s">
        <v>445</v>
      </c>
      <c r="D10875" t="s">
        <v>823</v>
      </c>
      <c r="F10875">
        <v>8.8459181662302397E-9</v>
      </c>
      <c r="G10875">
        <v>8230947</v>
      </c>
      <c r="H10875">
        <v>10825746</v>
      </c>
      <c r="I10875">
        <v>37489563</v>
      </c>
      <c r="J10875">
        <v>4</v>
      </c>
    </row>
    <row r="10876" spans="1:10" x14ac:dyDescent="0.25">
      <c r="A10876" t="s">
        <v>114</v>
      </c>
      <c r="B10876" s="1" t="str">
        <f>HYPERLINK("http://hillsvetshop.fi","hillsvetshop.fi")</f>
        <v>hillsvetshop.fi</v>
      </c>
      <c r="C10876" t="s">
        <v>445</v>
      </c>
      <c r="D10876" t="s">
        <v>823</v>
      </c>
      <c r="J10876">
        <v>4</v>
      </c>
    </row>
    <row r="10877" spans="1:10" x14ac:dyDescent="0.25">
      <c r="A10877" t="s">
        <v>114</v>
      </c>
      <c r="B10877" s="1" t="str">
        <f>HYPERLINK("http://loppulemmikkienylipainolle.fi","loppulemmikkienylipainolle.fi")</f>
        <v>loppulemmikkienylipainolle.fi</v>
      </c>
      <c r="C10877" t="s">
        <v>445</v>
      </c>
      <c r="D10877" t="s">
        <v>823</v>
      </c>
      <c r="J10877">
        <v>4</v>
      </c>
    </row>
    <row r="10878" spans="1:10" x14ac:dyDescent="0.25">
      <c r="A10878" t="s">
        <v>114</v>
      </c>
      <c r="B10878" s="1" t="str">
        <f>HYPERLINK("http://mahtavahymy.fi","mahtavahymy.fi")</f>
        <v>mahtavahymy.fi</v>
      </c>
      <c r="C10878" t="s">
        <v>445</v>
      </c>
      <c r="D10878" t="s">
        <v>823</v>
      </c>
      <c r="J10878">
        <v>6</v>
      </c>
    </row>
    <row r="10879" spans="1:10" x14ac:dyDescent="0.25">
      <c r="A10879" t="s">
        <v>114</v>
      </c>
      <c r="B10879" s="1" t="str">
        <f>HYPERLINK("http://meridol.fi","meridol.fi")</f>
        <v>meridol.fi</v>
      </c>
      <c r="C10879" t="s">
        <v>445</v>
      </c>
      <c r="D10879" t="s">
        <v>823</v>
      </c>
      <c r="F10879">
        <v>9.2101977619409796E-9</v>
      </c>
      <c r="G10879">
        <v>7696384</v>
      </c>
      <c r="H10879">
        <v>10818644</v>
      </c>
      <c r="I10879">
        <v>37654515</v>
      </c>
      <c r="J10879">
        <v>6</v>
      </c>
    </row>
    <row r="10880" spans="1:10" x14ac:dyDescent="0.25">
      <c r="A10880" t="s">
        <v>114</v>
      </c>
      <c r="B10880" s="1" t="str">
        <f>HYPERLINK("http://palmolive.fi","palmolive.fi")</f>
        <v>palmolive.fi</v>
      </c>
      <c r="C10880" t="s">
        <v>445</v>
      </c>
      <c r="D10880" t="s">
        <v>823</v>
      </c>
      <c r="F10880">
        <v>9.1107787578320102E-9</v>
      </c>
      <c r="G10880">
        <v>7832107</v>
      </c>
      <c r="H10880">
        <v>10356195</v>
      </c>
      <c r="I10880">
        <v>55639139</v>
      </c>
      <c r="J10880">
        <v>4</v>
      </c>
    </row>
    <row r="10881" spans="1:10" x14ac:dyDescent="0.25">
      <c r="A10881" t="s">
        <v>114</v>
      </c>
      <c r="B10881" s="1" t="str">
        <f>HYPERLINK("http://petfit.fi","petfit.fi")</f>
        <v>petfit.fi</v>
      </c>
      <c r="C10881" t="s">
        <v>445</v>
      </c>
      <c r="D10881" t="s">
        <v>823</v>
      </c>
      <c r="J10881">
        <v>4</v>
      </c>
    </row>
    <row r="10882" spans="1:10" x14ac:dyDescent="0.25">
      <c r="A10882" t="s">
        <v>114</v>
      </c>
      <c r="B10882" s="1" t="str">
        <f>HYPERLINK("http://prescriptiondiet.fi","prescriptiondiet.fi")</f>
        <v>prescriptiondiet.fi</v>
      </c>
      <c r="C10882" t="s">
        <v>445</v>
      </c>
      <c r="D10882" t="s">
        <v>823</v>
      </c>
      <c r="J10882">
        <v>4</v>
      </c>
    </row>
    <row r="10883" spans="1:10" x14ac:dyDescent="0.25">
      <c r="A10883" t="s">
        <v>114</v>
      </c>
      <c r="B10883" s="1" t="str">
        <f>HYPERLINK("http://sanexadvanced.fi","sanexadvanced.fi")</f>
        <v>sanexadvanced.fi</v>
      </c>
      <c r="C10883" t="s">
        <v>445</v>
      </c>
      <c r="D10883" t="s">
        <v>823</v>
      </c>
      <c r="J10883">
        <v>6</v>
      </c>
    </row>
    <row r="10884" spans="1:10" x14ac:dyDescent="0.25">
      <c r="A10884" t="s">
        <v>114</v>
      </c>
      <c r="B10884" s="1" t="str">
        <f>HYPERLINK("http://scienceplan.fi","scienceplan.fi")</f>
        <v>scienceplan.fi</v>
      </c>
      <c r="C10884" t="s">
        <v>445</v>
      </c>
      <c r="D10884" t="s">
        <v>823</v>
      </c>
      <c r="J10884">
        <v>4</v>
      </c>
    </row>
    <row r="10885" spans="1:10" x14ac:dyDescent="0.25">
      <c r="A10885" t="s">
        <v>114</v>
      </c>
      <c r="B10885" s="1" t="str">
        <f>HYPERLINK("http://suunhoitonaytetilaus.fi","suunhoitonaytetilaus.fi")</f>
        <v>suunhoitonaytetilaus.fi</v>
      </c>
      <c r="C10885" t="s">
        <v>445</v>
      </c>
      <c r="D10885" t="s">
        <v>823</v>
      </c>
      <c r="F10885">
        <v>5.16786002296355E-9</v>
      </c>
      <c r="G10885">
        <v>25762152</v>
      </c>
      <c r="H10885">
        <v>9970891</v>
      </c>
      <c r="I10885">
        <v>61059938</v>
      </c>
      <c r="J10885">
        <v>4</v>
      </c>
    </row>
    <row r="10886" spans="1:10" x14ac:dyDescent="0.25">
      <c r="A10886" t="s">
        <v>114</v>
      </c>
      <c r="B10886" s="1" t="str">
        <f>HYPERLINK("http://suunhoitonytetilaus.fi","suunhoitonytetilaus.fi")</f>
        <v>suunhoitonytetilaus.fi</v>
      </c>
      <c r="C10886" t="s">
        <v>445</v>
      </c>
      <c r="D10886" t="s">
        <v>823</v>
      </c>
      <c r="J10886">
        <v>4</v>
      </c>
    </row>
    <row r="10887" spans="1:10" x14ac:dyDescent="0.25">
      <c r="A10887" t="s">
        <v>114</v>
      </c>
      <c r="B10887" s="1" t="str">
        <f>HYPERLINK("http://colgate.fr","colgate.fr")</f>
        <v>colgate.fr</v>
      </c>
      <c r="C10887" t="s">
        <v>446</v>
      </c>
      <c r="D10887" t="s">
        <v>824</v>
      </c>
      <c r="F10887">
        <v>7.2191758423633402E-8</v>
      </c>
      <c r="G10887">
        <v>584734</v>
      </c>
      <c r="H10887">
        <v>13801346</v>
      </c>
      <c r="I10887">
        <v>6274650</v>
      </c>
      <c r="J10887">
        <v>2</v>
      </c>
    </row>
    <row r="10888" spans="1:10" x14ac:dyDescent="0.25">
      <c r="A10888" t="s">
        <v>114</v>
      </c>
      <c r="B10888" s="1" t="str">
        <f>HYPERLINK("http://colgatepalmolive.fr","colgatepalmolive.fr")</f>
        <v>colgatepalmolive.fr</v>
      </c>
      <c r="C10888" t="s">
        <v>446</v>
      </c>
      <c r="D10888" t="s">
        <v>824</v>
      </c>
      <c r="F10888">
        <v>4.5082203236343998E-8</v>
      </c>
      <c r="G10888">
        <v>1047009</v>
      </c>
      <c r="H10888">
        <v>12657040</v>
      </c>
      <c r="I10888">
        <v>15757606</v>
      </c>
      <c r="J10888">
        <v>3</v>
      </c>
    </row>
    <row r="10889" spans="1:10" x14ac:dyDescent="0.25">
      <c r="A10889" t="s">
        <v>114</v>
      </c>
      <c r="B10889" s="1" t="str">
        <f>HYPERLINK("http://colgateprofessional.fr","colgateprofessional.fr")</f>
        <v>colgateprofessional.fr</v>
      </c>
      <c r="C10889" t="s">
        <v>446</v>
      </c>
      <c r="D10889" t="s">
        <v>824</v>
      </c>
      <c r="F10889">
        <v>2.0798922590611799E-8</v>
      </c>
      <c r="G10889">
        <v>2543196</v>
      </c>
      <c r="H10889">
        <v>12281983</v>
      </c>
      <c r="I10889">
        <v>21266640</v>
      </c>
      <c r="J10889">
        <v>5</v>
      </c>
    </row>
    <row r="10890" spans="1:10" x14ac:dyDescent="0.25">
      <c r="A10890" t="s">
        <v>114</v>
      </c>
      <c r="B10890" s="1" t="str">
        <f>HYPERLINK("http://elmex.fr","elmex.fr")</f>
        <v>elmex.fr</v>
      </c>
      <c r="C10890" t="s">
        <v>446</v>
      </c>
      <c r="D10890" t="s">
        <v>824</v>
      </c>
      <c r="F10890">
        <v>4.8108749558375202E-9</v>
      </c>
      <c r="G10890">
        <v>35668063</v>
      </c>
      <c r="H10890">
        <v>10344130</v>
      </c>
      <c r="I10890">
        <v>57320410</v>
      </c>
      <c r="J10890">
        <v>8</v>
      </c>
    </row>
    <row r="10891" spans="1:10" x14ac:dyDescent="0.25">
      <c r="A10891" t="s">
        <v>114</v>
      </c>
      <c r="B10891" s="1" t="str">
        <f>HYPERLINK("http://hillspet.fr","hillspet.fr")</f>
        <v>hillspet.fr</v>
      </c>
      <c r="C10891" t="s">
        <v>446</v>
      </c>
      <c r="D10891" t="s">
        <v>824</v>
      </c>
      <c r="F10891">
        <v>4.0454871804032601E-8</v>
      </c>
      <c r="G10891">
        <v>1279832</v>
      </c>
      <c r="H10891">
        <v>13960985</v>
      </c>
      <c r="I10891">
        <v>4109786</v>
      </c>
      <c r="J10891">
        <v>3</v>
      </c>
    </row>
    <row r="10892" spans="1:10" x14ac:dyDescent="0.25">
      <c r="A10892" t="s">
        <v>114</v>
      </c>
      <c r="B10892" s="1" t="str">
        <f>HYPERLINK("http://hillsvet.fr","hillsvet.fr")</f>
        <v>hillsvet.fr</v>
      </c>
      <c r="C10892" t="s">
        <v>446</v>
      </c>
      <c r="D10892" t="s">
        <v>824</v>
      </c>
      <c r="F10892">
        <v>1.06677310176936E-8</v>
      </c>
      <c r="G10892">
        <v>6126917</v>
      </c>
      <c r="H10892">
        <v>10832812</v>
      </c>
      <c r="I10892">
        <v>37329104</v>
      </c>
      <c r="J10892">
        <v>5</v>
      </c>
    </row>
    <row r="10893" spans="1:10" x14ac:dyDescent="0.25">
      <c r="A10893" t="s">
        <v>114</v>
      </c>
      <c r="B10893" s="1" t="str">
        <f>HYPERLINK("http://meridol.fr","meridol.fr")</f>
        <v>meridol.fr</v>
      </c>
      <c r="C10893" t="s">
        <v>446</v>
      </c>
      <c r="D10893" t="s">
        <v>824</v>
      </c>
      <c r="F10893">
        <v>9.5043696185002408E-9</v>
      </c>
      <c r="G10893">
        <v>7317391</v>
      </c>
      <c r="H10893">
        <v>12033944</v>
      </c>
      <c r="I10893">
        <v>27583057</v>
      </c>
      <c r="J10893">
        <v>7</v>
      </c>
    </row>
    <row r="10894" spans="1:10" x14ac:dyDescent="0.25">
      <c r="A10894" t="s">
        <v>114</v>
      </c>
      <c r="B10894" s="1" t="str">
        <f>HYPERLINK("http://colgateprofessional.gr","colgateprofessional.gr")</f>
        <v>colgateprofessional.gr</v>
      </c>
      <c r="C10894" t="s">
        <v>447</v>
      </c>
      <c r="D10894" t="s">
        <v>825</v>
      </c>
      <c r="F10894">
        <v>9.2562321321692904E-9</v>
      </c>
      <c r="G10894">
        <v>7630315</v>
      </c>
      <c r="H10894">
        <v>14071847</v>
      </c>
      <c r="I10894">
        <v>3294609</v>
      </c>
      <c r="J10894">
        <v>5</v>
      </c>
    </row>
    <row r="10895" spans="1:10" x14ac:dyDescent="0.25">
      <c r="A10895" t="s">
        <v>114</v>
      </c>
      <c r="B10895" s="1" t="str">
        <f>HYPERLINK("http://colgate.com.gr","colgate.com.gr")</f>
        <v>colgate.com.gr</v>
      </c>
      <c r="C10895" t="s">
        <v>447</v>
      </c>
      <c r="D10895" t="s">
        <v>825</v>
      </c>
      <c r="F10895">
        <v>2.9738307142359699E-8</v>
      </c>
      <c r="G10895">
        <v>1731212</v>
      </c>
      <c r="H10895">
        <v>14488681</v>
      </c>
      <c r="I10895">
        <v>930564</v>
      </c>
      <c r="J10895">
        <v>2</v>
      </c>
    </row>
    <row r="10896" spans="1:10" x14ac:dyDescent="0.25">
      <c r="A10896" t="s">
        <v>114</v>
      </c>
      <c r="B10896" s="1" t="str">
        <f>HYPERLINK("http://colgatepalmolive.com.gr","colgatepalmolive.com.gr")</f>
        <v>colgatepalmolive.com.gr</v>
      </c>
      <c r="C10896" t="s">
        <v>447</v>
      </c>
      <c r="D10896" t="s">
        <v>825</v>
      </c>
      <c r="F10896">
        <v>3.5773318436096899E-8</v>
      </c>
      <c r="G10896">
        <v>1455746</v>
      </c>
      <c r="H10896">
        <v>12334993</v>
      </c>
      <c r="I10896">
        <v>20103794</v>
      </c>
      <c r="J10896">
        <v>3</v>
      </c>
    </row>
    <row r="10897" spans="1:10" x14ac:dyDescent="0.25">
      <c r="A10897" t="s">
        <v>114</v>
      </c>
      <c r="B10897" s="1" t="str">
        <f>HYPERLINK("http://hillspet.gr","hillspet.gr")</f>
        <v>hillspet.gr</v>
      </c>
      <c r="C10897" t="s">
        <v>447</v>
      </c>
      <c r="D10897" t="s">
        <v>825</v>
      </c>
      <c r="F10897">
        <v>2.2424287068716999E-8</v>
      </c>
      <c r="G10897">
        <v>2337033</v>
      </c>
      <c r="H10897">
        <v>13112137</v>
      </c>
      <c r="I10897">
        <v>12028309</v>
      </c>
      <c r="J10897">
        <v>4</v>
      </c>
    </row>
    <row r="10898" spans="1:10" x14ac:dyDescent="0.25">
      <c r="A10898" t="s">
        <v>114</v>
      </c>
      <c r="B10898" s="1" t="str">
        <f>HYPERLINK("http://hillsvet.gr","hillsvet.gr")</f>
        <v>hillsvet.gr</v>
      </c>
      <c r="C10898" t="s">
        <v>447</v>
      </c>
      <c r="D10898" t="s">
        <v>825</v>
      </c>
      <c r="F10898">
        <v>8.2600666743280003E-9</v>
      </c>
      <c r="G10898">
        <v>9352632</v>
      </c>
      <c r="H10898">
        <v>10607858</v>
      </c>
      <c r="I10898">
        <v>44629519</v>
      </c>
      <c r="J10898">
        <v>5</v>
      </c>
    </row>
    <row r="10899" spans="1:10" x14ac:dyDescent="0.25">
      <c r="A10899" t="s">
        <v>114</v>
      </c>
      <c r="B10899" s="1" t="str">
        <f>HYPERLINK("http://palmolive.gr","palmolive.gr")</f>
        <v>palmolive.gr</v>
      </c>
      <c r="C10899" t="s">
        <v>447</v>
      </c>
      <c r="D10899" t="s">
        <v>825</v>
      </c>
      <c r="F10899">
        <v>9.1866099274445006E-9</v>
      </c>
      <c r="G10899">
        <v>7727861</v>
      </c>
      <c r="H10899">
        <v>10351559</v>
      </c>
      <c r="I10899">
        <v>56223279</v>
      </c>
      <c r="J10899">
        <v>5</v>
      </c>
    </row>
    <row r="10900" spans="1:10" x14ac:dyDescent="0.25">
      <c r="A10900" t="s">
        <v>114</v>
      </c>
      <c r="B10900" s="1" t="str">
        <f>HYPERLINK("http://colgatepalmolive.com.gt","colgatepalmolive.com.gt")</f>
        <v>colgatepalmolive.com.gt</v>
      </c>
      <c r="C10900" t="s">
        <v>448</v>
      </c>
      <c r="D10900" t="s">
        <v>826</v>
      </c>
      <c r="F10900">
        <v>2.6616460045561002E-8</v>
      </c>
      <c r="G10900">
        <v>1934040</v>
      </c>
      <c r="H10900">
        <v>12322113</v>
      </c>
      <c r="I10900">
        <v>20373538</v>
      </c>
      <c r="J10900">
        <v>3</v>
      </c>
    </row>
    <row r="10901" spans="1:10" x14ac:dyDescent="0.25">
      <c r="A10901" t="s">
        <v>114</v>
      </c>
      <c r="B10901" s="1" t="str">
        <f>HYPERLINK("http://colgate.com.hk","colgate.com.hk")</f>
        <v>colgate.com.hk</v>
      </c>
      <c r="C10901" t="s">
        <v>450</v>
      </c>
      <c r="D10901" t="s">
        <v>827</v>
      </c>
      <c r="F10901">
        <v>2.21650008984766E-8</v>
      </c>
      <c r="G10901">
        <v>2366828</v>
      </c>
      <c r="H10901">
        <v>13813966</v>
      </c>
      <c r="I10901">
        <v>6177360</v>
      </c>
      <c r="J10901">
        <v>2</v>
      </c>
    </row>
    <row r="10902" spans="1:10" x14ac:dyDescent="0.25">
      <c r="A10902" t="s">
        <v>114</v>
      </c>
      <c r="B10902" s="1" t="str">
        <f>HYPERLINK("http://colgatepalmolive.com.hk","colgatepalmolive.com.hk")</f>
        <v>colgatepalmolive.com.hk</v>
      </c>
      <c r="C10902" t="s">
        <v>450</v>
      </c>
      <c r="D10902" t="s">
        <v>827</v>
      </c>
      <c r="F10902">
        <v>2.3712222556591701E-8</v>
      </c>
      <c r="G10902">
        <v>2192244</v>
      </c>
      <c r="H10902">
        <v>12321989</v>
      </c>
      <c r="I10902">
        <v>20375384</v>
      </c>
      <c r="J10902">
        <v>3</v>
      </c>
    </row>
    <row r="10903" spans="1:10" x14ac:dyDescent="0.25">
      <c r="A10903" t="s">
        <v>114</v>
      </c>
      <c r="B10903" s="1" t="str">
        <f>HYPERLINK("http://colgateprofessional.com.hk","colgateprofessional.com.hk")</f>
        <v>colgateprofessional.com.hk</v>
      </c>
      <c r="C10903" t="s">
        <v>450</v>
      </c>
      <c r="D10903" t="s">
        <v>827</v>
      </c>
      <c r="F10903">
        <v>1.39331785349604E-8</v>
      </c>
      <c r="G10903">
        <v>4228282</v>
      </c>
      <c r="H10903">
        <v>12118977</v>
      </c>
      <c r="I10903">
        <v>25431844</v>
      </c>
      <c r="J10903">
        <v>6</v>
      </c>
    </row>
    <row r="10904" spans="1:10" x14ac:dyDescent="0.25">
      <c r="A10904" t="s">
        <v>114</v>
      </c>
      <c r="B10904" s="1" t="str">
        <f>HYPERLINK("http://hillspet.hk","hillspet.hk")</f>
        <v>hillspet.hk</v>
      </c>
      <c r="C10904" t="s">
        <v>450</v>
      </c>
      <c r="D10904" t="s">
        <v>827</v>
      </c>
      <c r="F10904">
        <v>1.5048796390973301E-8</v>
      </c>
      <c r="G10904">
        <v>3823996</v>
      </c>
      <c r="H10904">
        <v>12359737</v>
      </c>
      <c r="I10904">
        <v>19591277</v>
      </c>
      <c r="J10904">
        <v>4</v>
      </c>
    </row>
    <row r="10905" spans="1:10" x14ac:dyDescent="0.25">
      <c r="A10905" t="s">
        <v>114</v>
      </c>
      <c r="B10905" s="1" t="str">
        <f>HYPERLINK("http://colgate.hr","colgate.hr")</f>
        <v>colgate.hr</v>
      </c>
      <c r="C10905" t="s">
        <v>452</v>
      </c>
      <c r="D10905" t="s">
        <v>829</v>
      </c>
      <c r="F10905">
        <v>1.32205840845515E-8</v>
      </c>
      <c r="G10905">
        <v>4529108</v>
      </c>
      <c r="H10905">
        <v>12285843</v>
      </c>
      <c r="I10905">
        <v>21193951</v>
      </c>
      <c r="J10905">
        <v>2</v>
      </c>
    </row>
    <row r="10906" spans="1:10" x14ac:dyDescent="0.25">
      <c r="A10906" t="s">
        <v>114</v>
      </c>
      <c r="B10906" s="1" t="str">
        <f>HYPERLINK("http://colgatepalmolive.hr","colgatepalmolive.hr")</f>
        <v>colgatepalmolive.hr</v>
      </c>
      <c r="C10906" t="s">
        <v>452</v>
      </c>
      <c r="D10906" t="s">
        <v>829</v>
      </c>
      <c r="F10906">
        <v>1.6104703912293599E-8</v>
      </c>
      <c r="G10906">
        <v>3519392</v>
      </c>
      <c r="H10906">
        <v>12509715</v>
      </c>
      <c r="I10906">
        <v>17248898</v>
      </c>
      <c r="J10906">
        <v>3</v>
      </c>
    </row>
    <row r="10907" spans="1:10" x14ac:dyDescent="0.25">
      <c r="A10907" t="s">
        <v>114</v>
      </c>
      <c r="B10907" s="1" t="str">
        <f>HYPERLINK("http://hillspet.com.hr","hillspet.com.hr")</f>
        <v>hillspet.com.hr</v>
      </c>
      <c r="C10907" t="s">
        <v>452</v>
      </c>
      <c r="D10907" t="s">
        <v>829</v>
      </c>
      <c r="F10907">
        <v>1.1742810531461301E-8</v>
      </c>
      <c r="G10907">
        <v>5339046</v>
      </c>
      <c r="H10907">
        <v>11374536</v>
      </c>
      <c r="I10907">
        <v>30305957</v>
      </c>
      <c r="J10907">
        <v>4</v>
      </c>
    </row>
    <row r="10908" spans="1:10" x14ac:dyDescent="0.25">
      <c r="A10908" t="s">
        <v>114</v>
      </c>
      <c r="B10908" s="1" t="str">
        <f>HYPERLINK("http://hillspet.co.hu","hillspet.co.hu")</f>
        <v>hillspet.co.hu</v>
      </c>
      <c r="C10908" t="s">
        <v>453</v>
      </c>
      <c r="D10908" t="s">
        <v>830</v>
      </c>
      <c r="F10908">
        <v>1.1464584496442599E-8</v>
      </c>
      <c r="G10908">
        <v>5529114</v>
      </c>
      <c r="H10908">
        <v>11374346</v>
      </c>
      <c r="I10908">
        <v>30306477</v>
      </c>
      <c r="J10908">
        <v>4</v>
      </c>
    </row>
    <row r="10909" spans="1:10" x14ac:dyDescent="0.25">
      <c r="A10909" t="s">
        <v>114</v>
      </c>
      <c r="B10909" s="1" t="str">
        <f>HYPERLINK("http://colgate.hu","colgate.hu")</f>
        <v>colgate.hu</v>
      </c>
      <c r="C10909" t="s">
        <v>453</v>
      </c>
      <c r="D10909" t="s">
        <v>830</v>
      </c>
      <c r="F10909">
        <v>1.36852032255255E-8</v>
      </c>
      <c r="G10909">
        <v>4327038</v>
      </c>
      <c r="H10909">
        <v>12283165</v>
      </c>
      <c r="I10909">
        <v>21247127</v>
      </c>
      <c r="J10909">
        <v>2</v>
      </c>
    </row>
    <row r="10910" spans="1:10" x14ac:dyDescent="0.25">
      <c r="A10910" t="s">
        <v>114</v>
      </c>
      <c r="B10910" s="1" t="str">
        <f>HYPERLINK("http://colgatepalmolive.hu","colgatepalmolive.hu")</f>
        <v>colgatepalmolive.hu</v>
      </c>
      <c r="C10910" t="s">
        <v>453</v>
      </c>
      <c r="D10910" t="s">
        <v>830</v>
      </c>
      <c r="F10910">
        <v>2.7039630115180699E-8</v>
      </c>
      <c r="G10910">
        <v>1902034</v>
      </c>
      <c r="H10910">
        <v>12322944</v>
      </c>
      <c r="I10910">
        <v>20360144</v>
      </c>
      <c r="J10910">
        <v>3</v>
      </c>
    </row>
    <row r="10911" spans="1:10" x14ac:dyDescent="0.25">
      <c r="A10911" t="s">
        <v>114</v>
      </c>
      <c r="B10911" s="1" t="str">
        <f>HYPERLINK("http://colgateprofessional.hu","colgateprofessional.hu")</f>
        <v>colgateprofessional.hu</v>
      </c>
      <c r="C10911" t="s">
        <v>453</v>
      </c>
      <c r="D10911" t="s">
        <v>830</v>
      </c>
      <c r="F10911">
        <v>9.1350932166432895E-9</v>
      </c>
      <c r="G10911">
        <v>7798788</v>
      </c>
      <c r="H10911">
        <v>11000552</v>
      </c>
      <c r="I10911">
        <v>33577350</v>
      </c>
      <c r="J10911">
        <v>5</v>
      </c>
    </row>
    <row r="10912" spans="1:10" x14ac:dyDescent="0.25">
      <c r="A10912" t="s">
        <v>114</v>
      </c>
      <c r="B10912" s="1" t="str">
        <f>HYPERLINK("http://elmex.hu","elmex.hu")</f>
        <v>elmex.hu</v>
      </c>
      <c r="C10912" t="s">
        <v>453</v>
      </c>
      <c r="D10912" t="s">
        <v>830</v>
      </c>
      <c r="F10912">
        <v>1.5671808777001399E-8</v>
      </c>
      <c r="G10912">
        <v>3635255</v>
      </c>
      <c r="H10912">
        <v>10546962</v>
      </c>
      <c r="I10912">
        <v>46827559</v>
      </c>
      <c r="J10912">
        <v>7</v>
      </c>
    </row>
    <row r="10913" spans="1:10" x14ac:dyDescent="0.25">
      <c r="A10913" t="s">
        <v>114</v>
      </c>
      <c r="B10913" s="1" t="str">
        <f>HYPERLINK("http://meridol.hu","meridol.hu")</f>
        <v>meridol.hu</v>
      </c>
      <c r="C10913" t="s">
        <v>453</v>
      </c>
      <c r="D10913" t="s">
        <v>830</v>
      </c>
      <c r="F10913">
        <v>8.4192204879555504E-9</v>
      </c>
      <c r="G10913">
        <v>9003884</v>
      </c>
      <c r="H10913">
        <v>10598554</v>
      </c>
      <c r="I10913">
        <v>44981263</v>
      </c>
      <c r="J10913">
        <v>7</v>
      </c>
    </row>
    <row r="10914" spans="1:10" x14ac:dyDescent="0.25">
      <c r="A10914" t="s">
        <v>114</v>
      </c>
      <c r="B10914" s="1" t="str">
        <f>HYPERLINK("http://palmolive.hu","palmolive.hu")</f>
        <v>palmolive.hu</v>
      </c>
      <c r="C10914" t="s">
        <v>453</v>
      </c>
      <c r="D10914" t="s">
        <v>830</v>
      </c>
      <c r="F10914">
        <v>8.5806920476506692E-9</v>
      </c>
      <c r="G10914">
        <v>8691601</v>
      </c>
      <c r="H10914">
        <v>13763644</v>
      </c>
      <c r="I10914">
        <v>7911117</v>
      </c>
      <c r="J10914">
        <v>5</v>
      </c>
    </row>
    <row r="10915" spans="1:10" x14ac:dyDescent="0.25">
      <c r="A10915" t="s">
        <v>114</v>
      </c>
      <c r="B10915" s="1" t="str">
        <f>HYPERLINK("http://colgate.co.id","colgate.co.id")</f>
        <v>colgate.co.id</v>
      </c>
      <c r="C10915" t="s">
        <v>454</v>
      </c>
      <c r="D10915" t="s">
        <v>831</v>
      </c>
      <c r="F10915">
        <v>1.07907127024358E-8</v>
      </c>
      <c r="G10915">
        <v>6028061</v>
      </c>
      <c r="H10915">
        <v>12274346</v>
      </c>
      <c r="I10915">
        <v>21430897</v>
      </c>
      <c r="J10915">
        <v>2</v>
      </c>
    </row>
    <row r="10916" spans="1:10" x14ac:dyDescent="0.25">
      <c r="A10916" t="s">
        <v>114</v>
      </c>
      <c r="B10916" s="1" t="str">
        <f>HYPERLINK("http://hillspet.co.id","hillspet.co.id")</f>
        <v>hillspet.co.id</v>
      </c>
      <c r="C10916" t="s">
        <v>454</v>
      </c>
      <c r="D10916" t="s">
        <v>831</v>
      </c>
      <c r="F10916">
        <v>1.8052564456691501E-8</v>
      </c>
      <c r="G10916">
        <v>3019749</v>
      </c>
      <c r="H10916">
        <v>13767007</v>
      </c>
      <c r="I10916">
        <v>6961317</v>
      </c>
      <c r="J10916">
        <v>4</v>
      </c>
    </row>
    <row r="10917" spans="1:10" x14ac:dyDescent="0.25">
      <c r="A10917" t="s">
        <v>114</v>
      </c>
      <c r="B10917" s="1" t="str">
        <f>HYPERLINK("http://colgate.ie","colgate.ie")</f>
        <v>colgate.ie</v>
      </c>
      <c r="C10917" t="s">
        <v>455</v>
      </c>
      <c r="D10917" t="s">
        <v>832</v>
      </c>
      <c r="F10917">
        <v>1.73018916115365E-8</v>
      </c>
      <c r="G10917">
        <v>3198791</v>
      </c>
      <c r="H10917">
        <v>12459542</v>
      </c>
      <c r="I10917">
        <v>17886843</v>
      </c>
      <c r="J10917">
        <v>2</v>
      </c>
    </row>
    <row r="10918" spans="1:10" x14ac:dyDescent="0.25">
      <c r="A10918" t="s">
        <v>114</v>
      </c>
      <c r="B10918" s="1" t="str">
        <f>HYPERLINK("http://colgate.co.il","colgate.co.il")</f>
        <v>colgate.co.il</v>
      </c>
      <c r="C10918" t="s">
        <v>456</v>
      </c>
      <c r="D10918" t="s">
        <v>833</v>
      </c>
      <c r="F10918">
        <v>1.68382354861851E-8</v>
      </c>
      <c r="G10918">
        <v>3324063</v>
      </c>
      <c r="H10918">
        <v>12321523</v>
      </c>
      <c r="I10918">
        <v>20384705</v>
      </c>
      <c r="J10918">
        <v>2</v>
      </c>
    </row>
    <row r="10919" spans="1:10" x14ac:dyDescent="0.25">
      <c r="A10919" t="s">
        <v>114</v>
      </c>
      <c r="B10919" s="1" t="str">
        <f>HYPERLINK("http://hillspet.co.il","hillspet.co.il")</f>
        <v>hillspet.co.il</v>
      </c>
      <c r="C10919" t="s">
        <v>456</v>
      </c>
      <c r="D10919" t="s">
        <v>833</v>
      </c>
      <c r="F10919">
        <v>1.0303876702386201E-8</v>
      </c>
      <c r="G10919">
        <v>6447352</v>
      </c>
      <c r="H10919">
        <v>11365712</v>
      </c>
      <c r="I10919">
        <v>30341308</v>
      </c>
      <c r="J10919">
        <v>4</v>
      </c>
    </row>
    <row r="10920" spans="1:10" x14ac:dyDescent="0.25">
      <c r="A10920" t="s">
        <v>114</v>
      </c>
      <c r="B10920" s="1" t="str">
        <f>HYPERLINK("http://hillsvet.co.il","hillsvet.co.il")</f>
        <v>hillsvet.co.il</v>
      </c>
      <c r="C10920" t="s">
        <v>456</v>
      </c>
      <c r="D10920" t="s">
        <v>833</v>
      </c>
      <c r="F10920">
        <v>8.1829032384537293E-9</v>
      </c>
      <c r="G10920">
        <v>9600205</v>
      </c>
      <c r="H10920">
        <v>10592554</v>
      </c>
      <c r="I10920">
        <v>45594609</v>
      </c>
      <c r="J10920">
        <v>5</v>
      </c>
    </row>
    <row r="10921" spans="1:10" x14ac:dyDescent="0.25">
      <c r="A10921" t="s">
        <v>114</v>
      </c>
      <c r="B10921" s="1" t="str">
        <f>HYPERLINK("http://colgate.co.in","colgate.co.in")</f>
        <v>colgate.co.in</v>
      </c>
      <c r="C10921" t="s">
        <v>457</v>
      </c>
      <c r="D10921" t="s">
        <v>834</v>
      </c>
      <c r="F10921">
        <v>2.5182504447188201E-8</v>
      </c>
      <c r="G10921">
        <v>2050479</v>
      </c>
      <c r="H10921">
        <v>14812460</v>
      </c>
      <c r="I10921">
        <v>530152</v>
      </c>
      <c r="J10921">
        <v>2</v>
      </c>
    </row>
    <row r="10922" spans="1:10" x14ac:dyDescent="0.25">
      <c r="A10922" t="s">
        <v>114</v>
      </c>
      <c r="B10922" s="1" t="str">
        <f>HYPERLINK("http://colgatepalmolive.co.in","colgatepalmolive.co.in")</f>
        <v>colgatepalmolive.co.in</v>
      </c>
      <c r="C10922" t="s">
        <v>457</v>
      </c>
      <c r="D10922" t="s">
        <v>834</v>
      </c>
      <c r="F10922">
        <v>3.6658351590473E-8</v>
      </c>
      <c r="G10922">
        <v>1425238</v>
      </c>
      <c r="H10922">
        <v>13288562</v>
      </c>
      <c r="I10922">
        <v>10881881</v>
      </c>
      <c r="J10922">
        <v>3</v>
      </c>
    </row>
    <row r="10923" spans="1:10" x14ac:dyDescent="0.25">
      <c r="A10923" t="s">
        <v>114</v>
      </c>
      <c r="B10923" s="1" t="str">
        <f>HYPERLINK("http://cpbrush.co.in","cpbrush.co.in")</f>
        <v>cpbrush.co.in</v>
      </c>
      <c r="C10923" t="s">
        <v>457</v>
      </c>
      <c r="D10923" t="s">
        <v>834</v>
      </c>
      <c r="F10923">
        <v>7.1787699926003802E-9</v>
      </c>
      <c r="G10923">
        <v>11799873</v>
      </c>
      <c r="H10923">
        <v>12456452</v>
      </c>
      <c r="I10923">
        <v>17918956</v>
      </c>
      <c r="J10923">
        <v>4</v>
      </c>
    </row>
    <row r="10924" spans="1:10" x14ac:dyDescent="0.25">
      <c r="A10924" t="s">
        <v>114</v>
      </c>
      <c r="B10924" s="1" t="str">
        <f>HYPERLINK("http://hillspet.co.in","hillspet.co.in")</f>
        <v>hillspet.co.in</v>
      </c>
      <c r="C10924" t="s">
        <v>457</v>
      </c>
      <c r="D10924" t="s">
        <v>834</v>
      </c>
      <c r="F10924">
        <v>1.25101828411238E-8</v>
      </c>
      <c r="G10924">
        <v>4880065</v>
      </c>
      <c r="H10924">
        <v>12529164</v>
      </c>
      <c r="I10924">
        <v>17043225</v>
      </c>
      <c r="J10924">
        <v>4</v>
      </c>
    </row>
    <row r="10925" spans="1:10" x14ac:dyDescent="0.25">
      <c r="A10925" t="s">
        <v>114</v>
      </c>
      <c r="B10925" s="1" t="str">
        <f>HYPERLINK("http://colgate.it","colgate.it")</f>
        <v>colgate.it</v>
      </c>
      <c r="C10925" t="s">
        <v>459</v>
      </c>
      <c r="D10925" t="s">
        <v>835</v>
      </c>
      <c r="F10925">
        <v>3.43894392915715E-8</v>
      </c>
      <c r="G10925">
        <v>1507930</v>
      </c>
      <c r="H10925">
        <v>14241050</v>
      </c>
      <c r="I10925">
        <v>1495265</v>
      </c>
      <c r="J10925">
        <v>2</v>
      </c>
    </row>
    <row r="10926" spans="1:10" x14ac:dyDescent="0.25">
      <c r="A10926" t="s">
        <v>114</v>
      </c>
      <c r="B10926" s="1" t="str">
        <f>HYPERLINK("http://colgatepalmolive.it","colgatepalmolive.it")</f>
        <v>colgatepalmolive.it</v>
      </c>
      <c r="C10926" t="s">
        <v>459</v>
      </c>
      <c r="D10926" t="s">
        <v>835</v>
      </c>
      <c r="F10926">
        <v>2.79505238710142E-8</v>
      </c>
      <c r="G10926">
        <v>1840461</v>
      </c>
      <c r="H10926">
        <v>12444265</v>
      </c>
      <c r="I10926">
        <v>18093335</v>
      </c>
      <c r="J10926">
        <v>3</v>
      </c>
    </row>
    <row r="10927" spans="1:10" x14ac:dyDescent="0.25">
      <c r="A10927" t="s">
        <v>114</v>
      </c>
      <c r="B10927" s="1" t="str">
        <f>HYPERLINK("http://colgateprofessional.it","colgateprofessional.it")</f>
        <v>colgateprofessional.it</v>
      </c>
      <c r="C10927" t="s">
        <v>459</v>
      </c>
      <c r="D10927" t="s">
        <v>835</v>
      </c>
      <c r="F10927">
        <v>3.2417846825692002E-8</v>
      </c>
      <c r="G10927">
        <v>1593782</v>
      </c>
      <c r="H10927">
        <v>13108300</v>
      </c>
      <c r="I10927">
        <v>12047250</v>
      </c>
      <c r="J10927">
        <v>5</v>
      </c>
    </row>
    <row r="10928" spans="1:10" x14ac:dyDescent="0.25">
      <c r="A10928" t="s">
        <v>114</v>
      </c>
      <c r="B10928" s="1" t="str">
        <f>HYPERLINK("http://hillspet.it","hillspet.it")</f>
        <v>hillspet.it</v>
      </c>
      <c r="C10928" t="s">
        <v>459</v>
      </c>
      <c r="D10928" t="s">
        <v>835</v>
      </c>
      <c r="F10928">
        <v>2.5548183973559698E-8</v>
      </c>
      <c r="G10928">
        <v>2018646</v>
      </c>
      <c r="H10928">
        <v>13857947</v>
      </c>
      <c r="I10928">
        <v>6028926</v>
      </c>
      <c r="J10928">
        <v>4</v>
      </c>
    </row>
    <row r="10929" spans="1:10" x14ac:dyDescent="0.25">
      <c r="A10929" t="s">
        <v>114</v>
      </c>
      <c r="B10929" s="1" t="str">
        <f>HYPERLINK("http://hillsvet.it","hillsvet.it")</f>
        <v>hillsvet.it</v>
      </c>
      <c r="C10929" t="s">
        <v>459</v>
      </c>
      <c r="D10929" t="s">
        <v>835</v>
      </c>
      <c r="F10929">
        <v>1.0265313800825001E-8</v>
      </c>
      <c r="G10929">
        <v>6483887</v>
      </c>
      <c r="H10929">
        <v>12092973</v>
      </c>
      <c r="I10929">
        <v>26158872</v>
      </c>
      <c r="J10929">
        <v>5</v>
      </c>
    </row>
    <row r="10930" spans="1:10" x14ac:dyDescent="0.25">
      <c r="A10930" t="s">
        <v>114</v>
      </c>
      <c r="B10930" s="1" t="str">
        <f>HYPERLINK("http://palmolive.it","palmolive.it")</f>
        <v>palmolive.it</v>
      </c>
      <c r="C10930" t="s">
        <v>459</v>
      </c>
      <c r="D10930" t="s">
        <v>835</v>
      </c>
      <c r="F10930">
        <v>8.9206587844965108E-9</v>
      </c>
      <c r="G10930">
        <v>8112525</v>
      </c>
      <c r="H10930">
        <v>10804703</v>
      </c>
      <c r="I10930">
        <v>38021597</v>
      </c>
      <c r="J10930">
        <v>5</v>
      </c>
    </row>
    <row r="10931" spans="1:10" x14ac:dyDescent="0.25">
      <c r="A10931" t="s">
        <v>114</v>
      </c>
      <c r="B10931" s="1" t="str">
        <f>HYPERLINK("http://hills.co.jp","hills.co.jp")</f>
        <v>hills.co.jp</v>
      </c>
      <c r="C10931" t="s">
        <v>461</v>
      </c>
      <c r="D10931" t="s">
        <v>837</v>
      </c>
      <c r="E10931">
        <v>766274</v>
      </c>
      <c r="F10931">
        <v>8.3705296868233106E-8</v>
      </c>
      <c r="G10931">
        <v>495192</v>
      </c>
      <c r="H10931">
        <v>14210946</v>
      </c>
      <c r="I10931">
        <v>1702241</v>
      </c>
      <c r="J10931">
        <v>3</v>
      </c>
    </row>
    <row r="10932" spans="1:10" x14ac:dyDescent="0.25">
      <c r="A10932" t="s">
        <v>114</v>
      </c>
      <c r="B10932" s="1" t="str">
        <f>HYPERLINK("http://colgate.ke","colgate.ke")</f>
        <v>colgate.ke</v>
      </c>
      <c r="C10932" t="s">
        <v>462</v>
      </c>
      <c r="D10932" t="s">
        <v>838</v>
      </c>
      <c r="F10932">
        <v>1.8155795228520799E-8</v>
      </c>
      <c r="G10932">
        <v>2998557</v>
      </c>
      <c r="H10932">
        <v>12870377</v>
      </c>
      <c r="I10932">
        <v>14066921</v>
      </c>
      <c r="J10932">
        <v>2</v>
      </c>
    </row>
    <row r="10933" spans="1:10" x14ac:dyDescent="0.25">
      <c r="A10933" t="s">
        <v>114</v>
      </c>
      <c r="B10933" s="1" t="str">
        <f>HYPERLINK("http://hillspet.co.kr","hillspet.co.kr")</f>
        <v>hillspet.co.kr</v>
      </c>
      <c r="C10933" t="s">
        <v>463</v>
      </c>
      <c r="D10933" t="s">
        <v>839</v>
      </c>
      <c r="F10933">
        <v>1.1654158610494701E-8</v>
      </c>
      <c r="G10933">
        <v>5396088</v>
      </c>
      <c r="H10933">
        <v>14072008</v>
      </c>
      <c r="I10933">
        <v>3188374</v>
      </c>
      <c r="J10933">
        <v>4</v>
      </c>
    </row>
    <row r="10934" spans="1:10" x14ac:dyDescent="0.25">
      <c r="A10934" t="s">
        <v>114</v>
      </c>
      <c r="B10934" s="1" t="str">
        <f>HYPERLINK("http://hillsvet.co.kr","hillsvet.co.kr")</f>
        <v>hillsvet.co.kr</v>
      </c>
      <c r="C10934" t="s">
        <v>463</v>
      </c>
      <c r="D10934" t="s">
        <v>839</v>
      </c>
      <c r="F10934">
        <v>8.5977415233440897E-9</v>
      </c>
      <c r="G10934">
        <v>8660538</v>
      </c>
      <c r="H10934">
        <v>10766346</v>
      </c>
      <c r="I10934">
        <v>39400542</v>
      </c>
      <c r="J10934">
        <v>5</v>
      </c>
    </row>
    <row r="10935" spans="1:10" x14ac:dyDescent="0.25">
      <c r="A10935" t="s">
        <v>114</v>
      </c>
      <c r="B10935" s="1" t="str">
        <f>HYPERLINK("http://colgate.kz","colgate.kz")</f>
        <v>colgate.kz</v>
      </c>
      <c r="C10935" t="s">
        <v>465</v>
      </c>
      <c r="D10935" t="s">
        <v>841</v>
      </c>
      <c r="F10935">
        <v>7.4461591231451897E-9</v>
      </c>
      <c r="G10935">
        <v>11135707</v>
      </c>
      <c r="H10935">
        <v>12262726</v>
      </c>
      <c r="I10935">
        <v>21690280</v>
      </c>
      <c r="J10935">
        <v>2</v>
      </c>
    </row>
    <row r="10936" spans="1:10" x14ac:dyDescent="0.25">
      <c r="A10936" t="s">
        <v>114</v>
      </c>
      <c r="B10936" s="1" t="str">
        <f>HYPERLINK("http://colgatepalmolive.lt","colgatepalmolive.lt")</f>
        <v>colgatepalmolive.lt</v>
      </c>
      <c r="C10936" t="s">
        <v>467</v>
      </c>
      <c r="D10936" t="s">
        <v>843</v>
      </c>
      <c r="F10936">
        <v>2.4456139641690001E-8</v>
      </c>
      <c r="G10936">
        <v>2118639</v>
      </c>
      <c r="H10936">
        <v>12326454</v>
      </c>
      <c r="I10936">
        <v>20298907</v>
      </c>
      <c r="J10936">
        <v>3</v>
      </c>
    </row>
    <row r="10937" spans="1:10" x14ac:dyDescent="0.25">
      <c r="A10937" t="s">
        <v>114</v>
      </c>
      <c r="B10937" s="1" t="str">
        <f>HYPERLINK("http://hillspet.lt","hillspet.lt")</f>
        <v>hillspet.lt</v>
      </c>
      <c r="C10937" t="s">
        <v>467</v>
      </c>
      <c r="D10937" t="s">
        <v>843</v>
      </c>
      <c r="F10937">
        <v>1.5884263175674001E-8</v>
      </c>
      <c r="G10937">
        <v>3576755</v>
      </c>
      <c r="H10937">
        <v>11381666</v>
      </c>
      <c r="I10937">
        <v>30278313</v>
      </c>
      <c r="J10937">
        <v>4</v>
      </c>
    </row>
    <row r="10938" spans="1:10" x14ac:dyDescent="0.25">
      <c r="A10938" t="s">
        <v>114</v>
      </c>
      <c r="B10938" s="1" t="str">
        <f>HYPERLINK("http://hillsvet.lt","hillsvet.lt")</f>
        <v>hillsvet.lt</v>
      </c>
      <c r="C10938" t="s">
        <v>467</v>
      </c>
      <c r="D10938" t="s">
        <v>843</v>
      </c>
      <c r="F10938">
        <v>8.1688278979642903E-9</v>
      </c>
      <c r="G10938">
        <v>9624445</v>
      </c>
      <c r="H10938">
        <v>10592557</v>
      </c>
      <c r="I10938">
        <v>45594519</v>
      </c>
      <c r="J10938">
        <v>5</v>
      </c>
    </row>
    <row r="10939" spans="1:10" x14ac:dyDescent="0.25">
      <c r="A10939" t="s">
        <v>114</v>
      </c>
      <c r="B10939" s="1" t="str">
        <f>HYPERLINK("http://colgatepalmolive.lv","colgatepalmolive.lv")</f>
        <v>colgatepalmolive.lv</v>
      </c>
      <c r="C10939" t="s">
        <v>468</v>
      </c>
      <c r="D10939" t="s">
        <v>844</v>
      </c>
      <c r="F10939">
        <v>2.4055434249666901E-8</v>
      </c>
      <c r="G10939">
        <v>2157576</v>
      </c>
      <c r="H10939">
        <v>12321986</v>
      </c>
      <c r="I10939">
        <v>20375425</v>
      </c>
      <c r="J10939">
        <v>3</v>
      </c>
    </row>
    <row r="10940" spans="1:10" x14ac:dyDescent="0.25">
      <c r="A10940" t="s">
        <v>114</v>
      </c>
      <c r="B10940" s="1" t="str">
        <f>HYPERLINK("http://hillspet.lv","hillspet.lv")</f>
        <v>hillspet.lv</v>
      </c>
      <c r="C10940" t="s">
        <v>468</v>
      </c>
      <c r="D10940" t="s">
        <v>844</v>
      </c>
      <c r="F10940">
        <v>1.11312514292762E-8</v>
      </c>
      <c r="G10940">
        <v>5762669</v>
      </c>
      <c r="H10940">
        <v>11378673</v>
      </c>
      <c r="I10940">
        <v>30289462</v>
      </c>
      <c r="J10940">
        <v>4</v>
      </c>
    </row>
    <row r="10941" spans="1:10" x14ac:dyDescent="0.25">
      <c r="A10941" t="s">
        <v>114</v>
      </c>
      <c r="B10941" s="1" t="str">
        <f>HYPERLINK("http://meridol.me","meridol.me")</f>
        <v>meridol.me</v>
      </c>
      <c r="C10941" t="s">
        <v>470</v>
      </c>
      <c r="D10941" t="s">
        <v>846</v>
      </c>
      <c r="F10941">
        <v>9.1582288714250095E-9</v>
      </c>
      <c r="G10941">
        <v>7767199</v>
      </c>
      <c r="H10941">
        <v>12130080</v>
      </c>
      <c r="I10941">
        <v>25138053</v>
      </c>
      <c r="J10941">
        <v>7</v>
      </c>
    </row>
    <row r="10942" spans="1:10" x14ac:dyDescent="0.25">
      <c r="A10942" t="s">
        <v>114</v>
      </c>
      <c r="B10942" s="1" t="str">
        <f>HYPERLINK("http://pgtb.me","pgtb.me")</f>
        <v>pgtb.me</v>
      </c>
      <c r="C10942" t="s">
        <v>470</v>
      </c>
      <c r="D10942" t="s">
        <v>846</v>
      </c>
      <c r="E10942">
        <v>54693</v>
      </c>
      <c r="F10942">
        <v>1.05465629430687E-6</v>
      </c>
      <c r="G10942">
        <v>36384</v>
      </c>
      <c r="H10942">
        <v>15502623</v>
      </c>
      <c r="I10942">
        <v>376629</v>
      </c>
      <c r="J10942">
        <v>3</v>
      </c>
    </row>
    <row r="10943" spans="1:10" x14ac:dyDescent="0.25">
      <c r="A10943" t="s">
        <v>114</v>
      </c>
      <c r="B10943" s="1" t="str">
        <f>HYPERLINK("http://colgate.com.mx","colgate.com.mx")</f>
        <v>colgate.com.mx</v>
      </c>
      <c r="C10943" t="s">
        <v>471</v>
      </c>
      <c r="D10943" t="s">
        <v>847</v>
      </c>
      <c r="F10943">
        <v>1.2487330119454801E-8</v>
      </c>
      <c r="G10943">
        <v>4892154</v>
      </c>
      <c r="H10943">
        <v>14238385</v>
      </c>
      <c r="I10943">
        <v>1527800</v>
      </c>
      <c r="J10943">
        <v>2</v>
      </c>
    </row>
    <row r="10944" spans="1:10" x14ac:dyDescent="0.25">
      <c r="A10944" t="s">
        <v>114</v>
      </c>
      <c r="B10944" s="1" t="str">
        <f>HYPERLINK("http://colgatepalmolive.com.mx","colgatepalmolive.com.mx")</f>
        <v>colgatepalmolive.com.mx</v>
      </c>
      <c r="C10944" t="s">
        <v>471</v>
      </c>
      <c r="D10944" t="s">
        <v>847</v>
      </c>
      <c r="F10944">
        <v>3.2846314349108298E-8</v>
      </c>
      <c r="G10944">
        <v>1572900</v>
      </c>
      <c r="H10944">
        <v>12548768</v>
      </c>
      <c r="I10944">
        <v>16834195</v>
      </c>
      <c r="J10944">
        <v>3</v>
      </c>
    </row>
    <row r="10945" spans="1:10" x14ac:dyDescent="0.25">
      <c r="A10945" t="s">
        <v>114</v>
      </c>
      <c r="B10945" s="1" t="str">
        <f>HYPERLINK("http://hillspet.com.mx","hillspet.com.mx")</f>
        <v>hillspet.com.mx</v>
      </c>
      <c r="C10945" t="s">
        <v>471</v>
      </c>
      <c r="D10945" t="s">
        <v>847</v>
      </c>
      <c r="F10945">
        <v>3.0960718545143501E-8</v>
      </c>
      <c r="G10945">
        <v>1664258</v>
      </c>
      <c r="H10945">
        <v>14496513</v>
      </c>
      <c r="I10945">
        <v>870469</v>
      </c>
      <c r="J10945">
        <v>4</v>
      </c>
    </row>
    <row r="10946" spans="1:10" x14ac:dyDescent="0.25">
      <c r="A10946" t="s">
        <v>114</v>
      </c>
      <c r="B10946" s="1" t="str">
        <f>HYPERLINK("http://hillsvet.com.mx","hillsvet.com.mx")</f>
        <v>hillsvet.com.mx</v>
      </c>
      <c r="C10946" t="s">
        <v>471</v>
      </c>
      <c r="D10946" t="s">
        <v>847</v>
      </c>
      <c r="F10946">
        <v>1.29531775500342E-8</v>
      </c>
      <c r="G10946">
        <v>4654253</v>
      </c>
      <c r="H10946">
        <v>10593365</v>
      </c>
      <c r="I10946">
        <v>45524169</v>
      </c>
      <c r="J10946">
        <v>5</v>
      </c>
    </row>
    <row r="10947" spans="1:10" x14ac:dyDescent="0.25">
      <c r="A10947" t="s">
        <v>114</v>
      </c>
      <c r="B10947" s="1" t="str">
        <f>HYPERLINK("http://palmolive.com.mx","palmolive.com.mx")</f>
        <v>palmolive.com.mx</v>
      </c>
      <c r="C10947" t="s">
        <v>471</v>
      </c>
      <c r="D10947" t="s">
        <v>847</v>
      </c>
      <c r="F10947">
        <v>5.6766520937991002E-9</v>
      </c>
      <c r="G10947">
        <v>19159719</v>
      </c>
      <c r="H10947">
        <v>13220241</v>
      </c>
      <c r="I10947">
        <v>11335628</v>
      </c>
      <c r="J10947">
        <v>4</v>
      </c>
    </row>
    <row r="10948" spans="1:10" x14ac:dyDescent="0.25">
      <c r="A10948" t="s">
        <v>114</v>
      </c>
      <c r="B10948" s="1" t="str">
        <f>HYPERLINK("http://colgate.com.my","colgate.com.my")</f>
        <v>colgate.com.my</v>
      </c>
      <c r="C10948" t="s">
        <v>472</v>
      </c>
      <c r="D10948" t="s">
        <v>848</v>
      </c>
      <c r="F10948">
        <v>5.3558987465361904E-9</v>
      </c>
      <c r="G10948">
        <v>22722930</v>
      </c>
      <c r="H10948">
        <v>13765238</v>
      </c>
      <c r="I10948">
        <v>7126080</v>
      </c>
      <c r="J10948">
        <v>2</v>
      </c>
    </row>
    <row r="10949" spans="1:10" x14ac:dyDescent="0.25">
      <c r="A10949" t="s">
        <v>114</v>
      </c>
      <c r="B10949" s="1" t="str">
        <f>HYPERLINK("http://colgatepalmolive.com.my","colgatepalmolive.com.my")</f>
        <v>colgatepalmolive.com.my</v>
      </c>
      <c r="C10949" t="s">
        <v>472</v>
      </c>
      <c r="D10949" t="s">
        <v>848</v>
      </c>
      <c r="F10949">
        <v>2.4122784436204201E-8</v>
      </c>
      <c r="G10949">
        <v>2150968</v>
      </c>
      <c r="H10949">
        <v>12374309</v>
      </c>
      <c r="I10949">
        <v>19330397</v>
      </c>
      <c r="J10949">
        <v>3</v>
      </c>
    </row>
    <row r="10950" spans="1:10" x14ac:dyDescent="0.25">
      <c r="A10950" t="s">
        <v>114</v>
      </c>
      <c r="B10950" s="1" t="str">
        <f>HYPERLINK("http://colgateprofessional.com.my","colgateprofessional.com.my")</f>
        <v>colgateprofessional.com.my</v>
      </c>
      <c r="C10950" t="s">
        <v>472</v>
      </c>
      <c r="D10950" t="s">
        <v>848</v>
      </c>
      <c r="F10950">
        <v>1.4670581835659E-8</v>
      </c>
      <c r="G10950">
        <v>3951170</v>
      </c>
      <c r="H10950">
        <v>12262666</v>
      </c>
      <c r="I10950">
        <v>21691627</v>
      </c>
      <c r="J10950">
        <v>6</v>
      </c>
    </row>
    <row r="10951" spans="1:10" x14ac:dyDescent="0.25">
      <c r="A10951" t="s">
        <v>114</v>
      </c>
      <c r="B10951" s="1" t="str">
        <f>HYPERLINK("http://hillspet.com.my","hillspet.com.my")</f>
        <v>hillspet.com.my</v>
      </c>
      <c r="C10951" t="s">
        <v>472</v>
      </c>
      <c r="D10951" t="s">
        <v>848</v>
      </c>
      <c r="F10951">
        <v>1.07729700906804E-8</v>
      </c>
      <c r="G10951">
        <v>6042139</v>
      </c>
      <c r="H10951">
        <v>11439748</v>
      </c>
      <c r="I10951">
        <v>30135192</v>
      </c>
      <c r="J10951">
        <v>4</v>
      </c>
    </row>
    <row r="10952" spans="1:10" x14ac:dyDescent="0.25">
      <c r="A10952" t="s">
        <v>114</v>
      </c>
      <c r="B10952" s="1" t="str">
        <f>HYPERLINK("http://colgate.ng","colgate.ng")</f>
        <v>colgate.ng</v>
      </c>
      <c r="C10952" t="s">
        <v>475</v>
      </c>
      <c r="D10952" t="s">
        <v>850</v>
      </c>
      <c r="F10952">
        <v>1.6305806803350699E-8</v>
      </c>
      <c r="G10952">
        <v>3469313</v>
      </c>
      <c r="H10952">
        <v>12321517</v>
      </c>
      <c r="I10952">
        <v>20384808</v>
      </c>
      <c r="J10952">
        <v>2</v>
      </c>
    </row>
    <row r="10953" spans="1:10" x14ac:dyDescent="0.25">
      <c r="A10953" t="s">
        <v>114</v>
      </c>
      <c r="B10953" s="1" t="str">
        <f>HYPERLINK("http://colgate.nl","colgate.nl")</f>
        <v>colgate.nl</v>
      </c>
      <c r="C10953" t="s">
        <v>477</v>
      </c>
      <c r="D10953" t="s">
        <v>852</v>
      </c>
      <c r="F10953">
        <v>3.2220789645081198E-8</v>
      </c>
      <c r="G10953">
        <v>1604864</v>
      </c>
      <c r="H10953">
        <v>14092939</v>
      </c>
      <c r="I10953">
        <v>2737652</v>
      </c>
      <c r="J10953">
        <v>2</v>
      </c>
    </row>
    <row r="10954" spans="1:10" x14ac:dyDescent="0.25">
      <c r="A10954" t="s">
        <v>114</v>
      </c>
      <c r="B10954" s="1" t="str">
        <f>HYPERLINK("http://colgatepalmolive.nl","colgatepalmolive.nl")</f>
        <v>colgatepalmolive.nl</v>
      </c>
      <c r="C10954" t="s">
        <v>477</v>
      </c>
      <c r="D10954" t="s">
        <v>852</v>
      </c>
      <c r="F10954">
        <v>3.1784939280873598E-8</v>
      </c>
      <c r="G10954">
        <v>1624695</v>
      </c>
      <c r="H10954">
        <v>12322573</v>
      </c>
      <c r="I10954">
        <v>20365438</v>
      </c>
      <c r="J10954">
        <v>3</v>
      </c>
    </row>
    <row r="10955" spans="1:10" x14ac:dyDescent="0.25">
      <c r="A10955" t="s">
        <v>114</v>
      </c>
      <c r="B10955" s="1" t="str">
        <f>HYPERLINK("http://elmex.nl","elmex.nl")</f>
        <v>elmex.nl</v>
      </c>
      <c r="C10955" t="s">
        <v>477</v>
      </c>
      <c r="D10955" t="s">
        <v>852</v>
      </c>
      <c r="F10955">
        <v>5.5906795903938503E-8</v>
      </c>
      <c r="G10955">
        <v>801465</v>
      </c>
      <c r="H10955">
        <v>12212473</v>
      </c>
      <c r="I10955">
        <v>22966429</v>
      </c>
      <c r="J10955">
        <v>7</v>
      </c>
    </row>
    <row r="10956" spans="1:10" x14ac:dyDescent="0.25">
      <c r="A10956" t="s">
        <v>114</v>
      </c>
      <c r="B10956" s="1" t="str">
        <f>HYPERLINK("http://hillspet.nl","hillspet.nl")</f>
        <v>hillspet.nl</v>
      </c>
      <c r="C10956" t="s">
        <v>477</v>
      </c>
      <c r="D10956" t="s">
        <v>852</v>
      </c>
      <c r="F10956">
        <v>4.4670238577762502E-8</v>
      </c>
      <c r="G10956">
        <v>1059699</v>
      </c>
      <c r="H10956">
        <v>14123267</v>
      </c>
      <c r="I10956">
        <v>2181428</v>
      </c>
      <c r="J10956">
        <v>4</v>
      </c>
    </row>
    <row r="10957" spans="1:10" x14ac:dyDescent="0.25">
      <c r="A10957" t="s">
        <v>114</v>
      </c>
      <c r="B10957" s="1" t="str">
        <f>HYPERLINK("http://hillsvet.nl","hillsvet.nl")</f>
        <v>hillsvet.nl</v>
      </c>
      <c r="C10957" t="s">
        <v>477</v>
      </c>
      <c r="D10957" t="s">
        <v>852</v>
      </c>
      <c r="F10957">
        <v>1.79753034664156E-8</v>
      </c>
      <c r="G10957">
        <v>3037791</v>
      </c>
      <c r="H10957">
        <v>11536219</v>
      </c>
      <c r="I10957">
        <v>29982489</v>
      </c>
      <c r="J10957">
        <v>5</v>
      </c>
    </row>
    <row r="10958" spans="1:10" x14ac:dyDescent="0.25">
      <c r="A10958" t="s">
        <v>114</v>
      </c>
      <c r="B10958" s="1" t="str">
        <f>HYPERLINK("http://meridol.nl","meridol.nl")</f>
        <v>meridol.nl</v>
      </c>
      <c r="C10958" t="s">
        <v>477</v>
      </c>
      <c r="D10958" t="s">
        <v>852</v>
      </c>
      <c r="F10958">
        <v>9.2456980370834203E-9</v>
      </c>
      <c r="G10958">
        <v>7644253</v>
      </c>
      <c r="H10958">
        <v>11109731</v>
      </c>
      <c r="I10958">
        <v>32162987</v>
      </c>
      <c r="J10958">
        <v>7</v>
      </c>
    </row>
    <row r="10959" spans="1:10" x14ac:dyDescent="0.25">
      <c r="A10959" t="s">
        <v>114</v>
      </c>
      <c r="B10959" s="1" t="str">
        <f>HYPERLINK("http://palmolive.nl","palmolive.nl")</f>
        <v>palmolive.nl</v>
      </c>
      <c r="C10959" t="s">
        <v>477</v>
      </c>
      <c r="D10959" t="s">
        <v>852</v>
      </c>
      <c r="F10959">
        <v>9.3416940764996998E-9</v>
      </c>
      <c r="G10959">
        <v>7519261</v>
      </c>
      <c r="H10959">
        <v>11210552</v>
      </c>
      <c r="I10959">
        <v>31160987</v>
      </c>
      <c r="J10959">
        <v>5</v>
      </c>
    </row>
    <row r="10960" spans="1:10" x14ac:dyDescent="0.25">
      <c r="A10960" t="s">
        <v>114</v>
      </c>
      <c r="B10960" s="1" t="str">
        <f>HYPERLINK("http://colgate.no","colgate.no")</f>
        <v>colgate.no</v>
      </c>
      <c r="C10960" t="s">
        <v>478</v>
      </c>
      <c r="D10960" t="s">
        <v>853</v>
      </c>
      <c r="F10960">
        <v>2.1743970056927201E-8</v>
      </c>
      <c r="G10960">
        <v>2418103</v>
      </c>
      <c r="H10960">
        <v>14239193</v>
      </c>
      <c r="I10960">
        <v>1515613</v>
      </c>
      <c r="J10960">
        <v>2</v>
      </c>
    </row>
    <row r="10961" spans="1:10" x14ac:dyDescent="0.25">
      <c r="A10961" t="s">
        <v>114</v>
      </c>
      <c r="B10961" s="1" t="str">
        <f>HYPERLINK("http://colgatepalmolive.no","colgatepalmolive.no")</f>
        <v>colgatepalmolive.no</v>
      </c>
      <c r="C10961" t="s">
        <v>478</v>
      </c>
      <c r="D10961" t="s">
        <v>853</v>
      </c>
      <c r="F10961">
        <v>2.4960853054602401E-8</v>
      </c>
      <c r="G10961">
        <v>2070668</v>
      </c>
      <c r="H10961">
        <v>12321990</v>
      </c>
      <c r="I10961">
        <v>20375373</v>
      </c>
      <c r="J10961">
        <v>3</v>
      </c>
    </row>
    <row r="10962" spans="1:10" x14ac:dyDescent="0.25">
      <c r="A10962" t="s">
        <v>114</v>
      </c>
      <c r="B10962" s="1" t="str">
        <f>HYPERLINK("http://colgateprofessional.no","colgateprofessional.no")</f>
        <v>colgateprofessional.no</v>
      </c>
      <c r="C10962" t="s">
        <v>478</v>
      </c>
      <c r="D10962" t="s">
        <v>853</v>
      </c>
      <c r="F10962">
        <v>1.16069854890268E-8</v>
      </c>
      <c r="G10962">
        <v>5428440</v>
      </c>
      <c r="H10962">
        <v>12069279</v>
      </c>
      <c r="I10962">
        <v>26805753</v>
      </c>
      <c r="J10962">
        <v>5</v>
      </c>
    </row>
    <row r="10963" spans="1:10" x14ac:dyDescent="0.25">
      <c r="A10963" t="s">
        <v>114</v>
      </c>
      <c r="B10963" s="1" t="str">
        <f>HYPERLINK("http://hillspet.no","hillspet.no")</f>
        <v>hillspet.no</v>
      </c>
      <c r="C10963" t="s">
        <v>478</v>
      </c>
      <c r="D10963" t="s">
        <v>853</v>
      </c>
      <c r="F10963">
        <v>2.60768826589581E-8</v>
      </c>
      <c r="G10963">
        <v>1975505</v>
      </c>
      <c r="H10963">
        <v>14120188</v>
      </c>
      <c r="I10963">
        <v>2377844</v>
      </c>
      <c r="J10963">
        <v>4</v>
      </c>
    </row>
    <row r="10964" spans="1:10" x14ac:dyDescent="0.25">
      <c r="A10964" t="s">
        <v>114</v>
      </c>
      <c r="B10964" s="1" t="str">
        <f>HYPERLINK("http://hillsvet.no","hillsvet.no")</f>
        <v>hillsvet.no</v>
      </c>
      <c r="C10964" t="s">
        <v>478</v>
      </c>
      <c r="D10964" t="s">
        <v>853</v>
      </c>
      <c r="F10964">
        <v>9.1355307592508306E-9</v>
      </c>
      <c r="G10964">
        <v>7798210</v>
      </c>
      <c r="H10964">
        <v>10604633</v>
      </c>
      <c r="I10964">
        <v>44722356</v>
      </c>
      <c r="J10964">
        <v>5</v>
      </c>
    </row>
    <row r="10965" spans="1:10" x14ac:dyDescent="0.25">
      <c r="A10965" t="s">
        <v>114</v>
      </c>
      <c r="B10965" s="1" t="str">
        <f>HYPERLINK("http://palmolive.no","palmolive.no")</f>
        <v>palmolive.no</v>
      </c>
      <c r="C10965" t="s">
        <v>478</v>
      </c>
      <c r="D10965" t="s">
        <v>853</v>
      </c>
      <c r="F10965">
        <v>8.9217637937086806E-9</v>
      </c>
      <c r="G10965">
        <v>8110834</v>
      </c>
      <c r="H10965">
        <v>10660049</v>
      </c>
      <c r="I10965">
        <v>43422704</v>
      </c>
      <c r="J10965">
        <v>5</v>
      </c>
    </row>
    <row r="10966" spans="1:10" x14ac:dyDescent="0.25">
      <c r="A10966" t="s">
        <v>114</v>
      </c>
      <c r="B10966" s="1" t="str">
        <f>HYPERLINK("http://hillspet.co.nz","hillspet.co.nz")</f>
        <v>hillspet.co.nz</v>
      </c>
      <c r="C10966" t="s">
        <v>479</v>
      </c>
      <c r="D10966" t="s">
        <v>854</v>
      </c>
      <c r="F10966">
        <v>1.5749943386018001E-8</v>
      </c>
      <c r="G10966">
        <v>3613462</v>
      </c>
      <c r="H10966">
        <v>12562992</v>
      </c>
      <c r="I10966">
        <v>16685923</v>
      </c>
      <c r="J10966">
        <v>4</v>
      </c>
    </row>
    <row r="10967" spans="1:10" x14ac:dyDescent="0.25">
      <c r="A10967" t="s">
        <v>114</v>
      </c>
      <c r="B10967" s="1" t="str">
        <f>HYPERLINK("http://hillsvet.co.nz","hillsvet.co.nz")</f>
        <v>hillsvet.co.nz</v>
      </c>
      <c r="C10967" t="s">
        <v>479</v>
      </c>
      <c r="D10967" t="s">
        <v>854</v>
      </c>
      <c r="F10967">
        <v>8.4847031150702092E-9</v>
      </c>
      <c r="G10967">
        <v>8874661</v>
      </c>
      <c r="H10967">
        <v>12151858</v>
      </c>
      <c r="I10967">
        <v>24576623</v>
      </c>
      <c r="J10967">
        <v>5</v>
      </c>
    </row>
    <row r="10968" spans="1:10" x14ac:dyDescent="0.25">
      <c r="A10968" t="s">
        <v>114</v>
      </c>
      <c r="B10968" s="1" t="str">
        <f>HYPERLINK("http://colgatepalmolive.com.pe","colgatepalmolive.com.pe")</f>
        <v>colgatepalmolive.com.pe</v>
      </c>
      <c r="C10968" t="s">
        <v>483</v>
      </c>
      <c r="D10968" t="s">
        <v>857</v>
      </c>
      <c r="F10968">
        <v>2.6037458092748199E-8</v>
      </c>
      <c r="G10968">
        <v>1978645</v>
      </c>
      <c r="H10968">
        <v>12322010</v>
      </c>
      <c r="I10968">
        <v>20375080</v>
      </c>
      <c r="J10968">
        <v>3</v>
      </c>
    </row>
    <row r="10969" spans="1:10" x14ac:dyDescent="0.25">
      <c r="A10969" t="s">
        <v>114</v>
      </c>
      <c r="B10969" s="1" t="str">
        <f>HYPERLINK("http://hillspet.com.pe","hillspet.com.pe")</f>
        <v>hillspet.com.pe</v>
      </c>
      <c r="C10969" t="s">
        <v>483</v>
      </c>
      <c r="D10969" t="s">
        <v>857</v>
      </c>
      <c r="F10969">
        <v>1.04371711332325E-8</v>
      </c>
      <c r="G10969">
        <v>6325294</v>
      </c>
      <c r="H10969">
        <v>11366611</v>
      </c>
      <c r="I10969">
        <v>30339032</v>
      </c>
      <c r="J10969">
        <v>4</v>
      </c>
    </row>
    <row r="10970" spans="1:10" x14ac:dyDescent="0.25">
      <c r="A10970" t="s">
        <v>114</v>
      </c>
      <c r="B10970" s="1" t="str">
        <f>HYPERLINK("http://colgate.ph","colgate.ph")</f>
        <v>colgate.ph</v>
      </c>
      <c r="C10970" t="s">
        <v>484</v>
      </c>
      <c r="D10970" t="s">
        <v>858</v>
      </c>
      <c r="F10970">
        <v>1.17793188963022E-8</v>
      </c>
      <c r="G10970">
        <v>5314938</v>
      </c>
      <c r="H10970">
        <v>13765722</v>
      </c>
      <c r="I10970">
        <v>7070917</v>
      </c>
      <c r="J10970">
        <v>2</v>
      </c>
    </row>
    <row r="10971" spans="1:10" x14ac:dyDescent="0.25">
      <c r="A10971" t="s">
        <v>114</v>
      </c>
      <c r="B10971" s="1" t="str">
        <f>HYPERLINK("http://colgatepalmolive.ph","colgatepalmolive.ph")</f>
        <v>colgatepalmolive.ph</v>
      </c>
      <c r="C10971" t="s">
        <v>484</v>
      </c>
      <c r="D10971" t="s">
        <v>858</v>
      </c>
      <c r="F10971">
        <v>2.9234104216851002E-8</v>
      </c>
      <c r="G10971">
        <v>1761947</v>
      </c>
      <c r="H10971">
        <v>12324701</v>
      </c>
      <c r="I10971">
        <v>20329936</v>
      </c>
      <c r="J10971">
        <v>3</v>
      </c>
    </row>
    <row r="10972" spans="1:10" x14ac:dyDescent="0.25">
      <c r="A10972" t="s">
        <v>114</v>
      </c>
      <c r="B10972" s="1" t="str">
        <f>HYPERLINK("http://colgateprofessional.com.ph","colgateprofessional.com.ph")</f>
        <v>colgateprofessional.com.ph</v>
      </c>
      <c r="C10972" t="s">
        <v>484</v>
      </c>
      <c r="D10972" t="s">
        <v>858</v>
      </c>
      <c r="F10972">
        <v>1.4420880481087001E-8</v>
      </c>
      <c r="G10972">
        <v>4049944</v>
      </c>
      <c r="H10972">
        <v>12265134</v>
      </c>
      <c r="I10972">
        <v>21632733</v>
      </c>
      <c r="J10972">
        <v>6</v>
      </c>
    </row>
    <row r="10973" spans="1:10" x14ac:dyDescent="0.25">
      <c r="A10973" t="s">
        <v>114</v>
      </c>
      <c r="B10973" s="1" t="str">
        <f>HYPERLINK("http://hillspet.com.ph","hillspet.com.ph")</f>
        <v>hillspet.com.ph</v>
      </c>
      <c r="C10973" t="s">
        <v>484</v>
      </c>
      <c r="D10973" t="s">
        <v>858</v>
      </c>
      <c r="F10973">
        <v>1.10768412454506E-8</v>
      </c>
      <c r="G10973">
        <v>5802517</v>
      </c>
      <c r="H10973">
        <v>12534957</v>
      </c>
      <c r="I10973">
        <v>16986730</v>
      </c>
      <c r="J10973">
        <v>4</v>
      </c>
    </row>
    <row r="10974" spans="1:10" x14ac:dyDescent="0.25">
      <c r="A10974" t="s">
        <v>114</v>
      </c>
      <c r="B10974" s="1" t="str">
        <f>HYPERLINK("http://colgate.com.pk","colgate.com.pk")</f>
        <v>colgate.com.pk</v>
      </c>
      <c r="C10974" t="s">
        <v>485</v>
      </c>
      <c r="D10974" t="s">
        <v>859</v>
      </c>
      <c r="F10974">
        <v>3.2190268883673599E-8</v>
      </c>
      <c r="G10974">
        <v>1606932</v>
      </c>
      <c r="H10974">
        <v>14098501</v>
      </c>
      <c r="I10974">
        <v>2717325</v>
      </c>
      <c r="J10974">
        <v>2</v>
      </c>
    </row>
    <row r="10975" spans="1:10" x14ac:dyDescent="0.25">
      <c r="A10975" t="s">
        <v>114</v>
      </c>
      <c r="B10975" s="1" t="str">
        <f>HYPERLINK("http://colgate.pl","colgate.pl")</f>
        <v>colgate.pl</v>
      </c>
      <c r="C10975" t="s">
        <v>486</v>
      </c>
      <c r="D10975" t="s">
        <v>860</v>
      </c>
      <c r="F10975">
        <v>4.5441770359576997E-8</v>
      </c>
      <c r="G10975">
        <v>1036253</v>
      </c>
      <c r="H10975">
        <v>13778228</v>
      </c>
      <c r="I10975">
        <v>6524178</v>
      </c>
      <c r="J10975">
        <v>2</v>
      </c>
    </row>
    <row r="10976" spans="1:10" x14ac:dyDescent="0.25">
      <c r="A10976" t="s">
        <v>114</v>
      </c>
      <c r="B10976" s="1" t="str">
        <f>HYPERLINK("http://colgatepalmolive.pl","colgatepalmolive.pl")</f>
        <v>colgatepalmolive.pl</v>
      </c>
      <c r="C10976" t="s">
        <v>486</v>
      </c>
      <c r="D10976" t="s">
        <v>860</v>
      </c>
      <c r="F10976">
        <v>2.7524141039430701E-8</v>
      </c>
      <c r="G10976">
        <v>1867847</v>
      </c>
      <c r="H10976">
        <v>12341844</v>
      </c>
      <c r="I10976">
        <v>19917506</v>
      </c>
      <c r="J10976">
        <v>3</v>
      </c>
    </row>
    <row r="10977" spans="1:10" x14ac:dyDescent="0.25">
      <c r="A10977" t="s">
        <v>114</v>
      </c>
      <c r="B10977" s="1" t="str">
        <f>HYPERLINK("http://colgateprofessional.pl","colgateprofessional.pl")</f>
        <v>colgateprofessional.pl</v>
      </c>
      <c r="C10977" t="s">
        <v>486</v>
      </c>
      <c r="D10977" t="s">
        <v>860</v>
      </c>
      <c r="F10977">
        <v>1.6092925999720899E-8</v>
      </c>
      <c r="G10977">
        <v>3522328</v>
      </c>
      <c r="H10977">
        <v>11056722</v>
      </c>
      <c r="I10977">
        <v>32718443</v>
      </c>
      <c r="J10977">
        <v>5</v>
      </c>
    </row>
    <row r="10978" spans="1:10" x14ac:dyDescent="0.25">
      <c r="A10978" t="s">
        <v>114</v>
      </c>
      <c r="B10978" s="1" t="str">
        <f>HYPERLINK("http://elmex.pl","elmex.pl")</f>
        <v>elmex.pl</v>
      </c>
      <c r="C10978" t="s">
        <v>486</v>
      </c>
      <c r="D10978" t="s">
        <v>860</v>
      </c>
      <c r="F10978">
        <v>2.79840014429784E-8</v>
      </c>
      <c r="G10978">
        <v>1838319</v>
      </c>
      <c r="H10978">
        <v>11234915</v>
      </c>
      <c r="I10978">
        <v>30995825</v>
      </c>
      <c r="J10978">
        <v>7</v>
      </c>
    </row>
    <row r="10979" spans="1:10" x14ac:dyDescent="0.25">
      <c r="A10979" t="s">
        <v>114</v>
      </c>
      <c r="B10979" s="1" t="str">
        <f>HYPERLINK("http://hillspet.pl","hillspet.pl")</f>
        <v>hillspet.pl</v>
      </c>
      <c r="C10979" t="s">
        <v>486</v>
      </c>
      <c r="D10979" t="s">
        <v>860</v>
      </c>
      <c r="F10979">
        <v>2.2780050122054101E-8</v>
      </c>
      <c r="G10979">
        <v>2298018</v>
      </c>
      <c r="H10979">
        <v>13111134</v>
      </c>
      <c r="I10979">
        <v>12032311</v>
      </c>
      <c r="J10979">
        <v>4</v>
      </c>
    </row>
    <row r="10980" spans="1:10" x14ac:dyDescent="0.25">
      <c r="A10980" t="s">
        <v>114</v>
      </c>
      <c r="B10980" s="1" t="str">
        <f>HYPERLINK("http://hillsvet.pl","hillsvet.pl")</f>
        <v>hillsvet.pl</v>
      </c>
      <c r="C10980" t="s">
        <v>486</v>
      </c>
      <c r="D10980" t="s">
        <v>860</v>
      </c>
      <c r="F10980">
        <v>8.9125188870867005E-9</v>
      </c>
      <c r="G10980">
        <v>8124789</v>
      </c>
      <c r="H10980">
        <v>10644246</v>
      </c>
      <c r="I10980">
        <v>43691423</v>
      </c>
      <c r="J10980">
        <v>5</v>
      </c>
    </row>
    <row r="10981" spans="1:10" x14ac:dyDescent="0.25">
      <c r="A10981" t="s">
        <v>114</v>
      </c>
      <c r="B10981" s="1" t="str">
        <f>HYPERLINK("http://meridol.pl","meridol.pl")</f>
        <v>meridol.pl</v>
      </c>
      <c r="C10981" t="s">
        <v>486</v>
      </c>
      <c r="D10981" t="s">
        <v>860</v>
      </c>
      <c r="F10981">
        <v>9.6381694945960798E-9</v>
      </c>
      <c r="G10981">
        <v>7153562</v>
      </c>
      <c r="H10981">
        <v>10465513</v>
      </c>
      <c r="I10981">
        <v>51484882</v>
      </c>
      <c r="J10981">
        <v>7</v>
      </c>
    </row>
    <row r="10982" spans="1:10" x14ac:dyDescent="0.25">
      <c r="A10982" t="s">
        <v>114</v>
      </c>
      <c r="B10982" s="1" t="str">
        <f>HYPERLINK("http://colgate.com.pr","colgate.com.pr")</f>
        <v>colgate.com.pr</v>
      </c>
      <c r="C10982" t="s">
        <v>487</v>
      </c>
      <c r="D10982" t="s">
        <v>861</v>
      </c>
      <c r="F10982">
        <v>1.7942794817907601E-8</v>
      </c>
      <c r="G10982">
        <v>3044471</v>
      </c>
      <c r="H10982">
        <v>12274588</v>
      </c>
      <c r="I10982">
        <v>21424795</v>
      </c>
      <c r="J10982">
        <v>2</v>
      </c>
    </row>
    <row r="10983" spans="1:10" x14ac:dyDescent="0.25">
      <c r="A10983" t="s">
        <v>114</v>
      </c>
      <c r="B10983" s="1" t="str">
        <f>HYPERLINK("http://colgate.pt","colgate.pt")</f>
        <v>colgate.pt</v>
      </c>
      <c r="C10983" t="s">
        <v>488</v>
      </c>
      <c r="D10983" t="s">
        <v>862</v>
      </c>
      <c r="F10983">
        <v>1.4475265830995699E-8</v>
      </c>
      <c r="G10983">
        <v>4031030</v>
      </c>
      <c r="H10983">
        <v>14238783</v>
      </c>
      <c r="I10983">
        <v>1521107</v>
      </c>
      <c r="J10983">
        <v>2</v>
      </c>
    </row>
    <row r="10984" spans="1:10" x14ac:dyDescent="0.25">
      <c r="A10984" t="s">
        <v>114</v>
      </c>
      <c r="B10984" s="1" t="str">
        <f>HYPERLINK("http://colgatepalmolive.pt","colgatepalmolive.pt")</f>
        <v>colgatepalmolive.pt</v>
      </c>
      <c r="C10984" t="s">
        <v>488</v>
      </c>
      <c r="D10984" t="s">
        <v>862</v>
      </c>
      <c r="F10984">
        <v>2.96330987722396E-8</v>
      </c>
      <c r="G10984">
        <v>1737387</v>
      </c>
      <c r="H10984">
        <v>13777614</v>
      </c>
      <c r="I10984">
        <v>6534658</v>
      </c>
      <c r="J10984">
        <v>3</v>
      </c>
    </row>
    <row r="10985" spans="1:10" x14ac:dyDescent="0.25">
      <c r="A10985" t="s">
        <v>114</v>
      </c>
      <c r="B10985" s="1" t="str">
        <f>HYPERLINK("http://hillspet.com.pt","hillspet.com.pt")</f>
        <v>hillspet.com.pt</v>
      </c>
      <c r="C10985" t="s">
        <v>488</v>
      </c>
      <c r="D10985" t="s">
        <v>862</v>
      </c>
      <c r="F10985">
        <v>2.5123519246570599E-8</v>
      </c>
      <c r="G10985">
        <v>2055998</v>
      </c>
      <c r="H10985">
        <v>13137372</v>
      </c>
      <c r="I10985">
        <v>11897285</v>
      </c>
      <c r="J10985">
        <v>4</v>
      </c>
    </row>
    <row r="10986" spans="1:10" x14ac:dyDescent="0.25">
      <c r="A10986" t="s">
        <v>114</v>
      </c>
      <c r="B10986" s="1" t="str">
        <f>HYPERLINK("http://hillspet.pt","hillspet.pt")</f>
        <v>hillspet.pt</v>
      </c>
      <c r="C10986" t="s">
        <v>488</v>
      </c>
      <c r="D10986" t="s">
        <v>862</v>
      </c>
      <c r="F10986">
        <v>5.2452835711849899E-9</v>
      </c>
      <c r="G10986">
        <v>24329354</v>
      </c>
      <c r="H10986">
        <v>9988007</v>
      </c>
      <c r="I10986">
        <v>60917742</v>
      </c>
      <c r="J10986">
        <v>5</v>
      </c>
    </row>
    <row r="10987" spans="1:10" x14ac:dyDescent="0.25">
      <c r="A10987" t="s">
        <v>114</v>
      </c>
      <c r="B10987" s="1" t="str">
        <f>HYPERLINK("http://palmolive.pt","palmolive.pt")</f>
        <v>palmolive.pt</v>
      </c>
      <c r="C10987" t="s">
        <v>488</v>
      </c>
      <c r="D10987" t="s">
        <v>862</v>
      </c>
      <c r="F10987">
        <v>8.6791634902570403E-9</v>
      </c>
      <c r="G10987">
        <v>8514216</v>
      </c>
      <c r="H10987">
        <v>10352977</v>
      </c>
      <c r="I10987">
        <v>55899978</v>
      </c>
      <c r="J10987">
        <v>5</v>
      </c>
    </row>
    <row r="10988" spans="1:10" x14ac:dyDescent="0.25">
      <c r="A10988" t="s">
        <v>114</v>
      </c>
      <c r="B10988" s="1" t="str">
        <f>HYPERLINK("http://colgatepalmolive.com.py","colgatepalmolive.com.py")</f>
        <v>colgatepalmolive.com.py</v>
      </c>
      <c r="C10988" t="s">
        <v>489</v>
      </c>
      <c r="D10988" t="s">
        <v>863</v>
      </c>
      <c r="F10988">
        <v>2.5387436853831202E-8</v>
      </c>
      <c r="G10988">
        <v>2032237</v>
      </c>
      <c r="H10988">
        <v>12338895</v>
      </c>
      <c r="I10988">
        <v>20030470</v>
      </c>
      <c r="J10988">
        <v>3</v>
      </c>
    </row>
    <row r="10989" spans="1:10" x14ac:dyDescent="0.25">
      <c r="A10989" t="s">
        <v>114</v>
      </c>
      <c r="B10989" s="1" t="str">
        <f>HYPERLINK("http://colgate.ro","colgate.ro")</f>
        <v>colgate.ro</v>
      </c>
      <c r="C10989" t="s">
        <v>491</v>
      </c>
      <c r="D10989" t="s">
        <v>865</v>
      </c>
      <c r="F10989">
        <v>2.90763221218261E-8</v>
      </c>
      <c r="G10989">
        <v>1770897</v>
      </c>
      <c r="H10989">
        <v>14488368</v>
      </c>
      <c r="I10989">
        <v>934326</v>
      </c>
      <c r="J10989">
        <v>2</v>
      </c>
    </row>
    <row r="10990" spans="1:10" x14ac:dyDescent="0.25">
      <c r="A10990" t="s">
        <v>114</v>
      </c>
      <c r="B10990" s="1" t="str">
        <f>HYPERLINK("http://colgatepalmolive.ro","colgatepalmolive.ro")</f>
        <v>colgatepalmolive.ro</v>
      </c>
      <c r="C10990" t="s">
        <v>491</v>
      </c>
      <c r="D10990" t="s">
        <v>865</v>
      </c>
      <c r="F10990">
        <v>4.0522040832804802E-8</v>
      </c>
      <c r="G10990">
        <v>1277990</v>
      </c>
      <c r="H10990">
        <v>12326958</v>
      </c>
      <c r="I10990">
        <v>20291555</v>
      </c>
      <c r="J10990">
        <v>3</v>
      </c>
    </row>
    <row r="10991" spans="1:10" x14ac:dyDescent="0.25">
      <c r="A10991" t="s">
        <v>114</v>
      </c>
      <c r="B10991" s="1" t="str">
        <f>HYPERLINK("http://colgateprofessional.ro","colgateprofessional.ro")</f>
        <v>colgateprofessional.ro</v>
      </c>
      <c r="C10991" t="s">
        <v>491</v>
      </c>
      <c r="D10991" t="s">
        <v>865</v>
      </c>
      <c r="F10991">
        <v>1.35162816176758E-8</v>
      </c>
      <c r="G10991">
        <v>4397112</v>
      </c>
      <c r="H10991">
        <v>11015234</v>
      </c>
      <c r="I10991">
        <v>33329181</v>
      </c>
      <c r="J10991">
        <v>5</v>
      </c>
    </row>
    <row r="10992" spans="1:10" x14ac:dyDescent="0.25">
      <c r="A10992" t="s">
        <v>114</v>
      </c>
      <c r="B10992" s="1" t="str">
        <f>HYPERLINK("http://elmex.ro","elmex.ro")</f>
        <v>elmex.ro</v>
      </c>
      <c r="C10992" t="s">
        <v>491</v>
      </c>
      <c r="D10992" t="s">
        <v>865</v>
      </c>
      <c r="F10992">
        <v>1.76941215608065E-8</v>
      </c>
      <c r="G10992">
        <v>3097963</v>
      </c>
      <c r="H10992">
        <v>10833567</v>
      </c>
      <c r="I10992">
        <v>37314706</v>
      </c>
      <c r="J10992">
        <v>7</v>
      </c>
    </row>
    <row r="10993" spans="1:10" x14ac:dyDescent="0.25">
      <c r="A10993" t="s">
        <v>114</v>
      </c>
      <c r="B10993" s="1" t="str">
        <f>HYPERLINK("http://hillspet.ro","hillspet.ro")</f>
        <v>hillspet.ro</v>
      </c>
      <c r="C10993" t="s">
        <v>491</v>
      </c>
      <c r="D10993" t="s">
        <v>865</v>
      </c>
      <c r="F10993">
        <v>1.1971677220183501E-8</v>
      </c>
      <c r="G10993">
        <v>5193793</v>
      </c>
      <c r="H10993">
        <v>11389432</v>
      </c>
      <c r="I10993">
        <v>30255957</v>
      </c>
      <c r="J10993">
        <v>4</v>
      </c>
    </row>
    <row r="10994" spans="1:10" x14ac:dyDescent="0.25">
      <c r="A10994" t="s">
        <v>114</v>
      </c>
      <c r="B10994" s="1" t="str">
        <f>HYPERLINK("http://hillsvet.ro","hillsvet.ro")</f>
        <v>hillsvet.ro</v>
      </c>
      <c r="C10994" t="s">
        <v>491</v>
      </c>
      <c r="D10994" t="s">
        <v>865</v>
      </c>
      <c r="F10994">
        <v>8.1580013633343208E-9</v>
      </c>
      <c r="G10994">
        <v>9642501</v>
      </c>
      <c r="H10994">
        <v>10592562</v>
      </c>
      <c r="I10994">
        <v>45594398</v>
      </c>
      <c r="J10994">
        <v>5</v>
      </c>
    </row>
    <row r="10995" spans="1:10" x14ac:dyDescent="0.25">
      <c r="A10995" t="s">
        <v>114</v>
      </c>
      <c r="B10995" s="1" t="str">
        <f>HYPERLINK("http://palmolive.ro","palmolive.ro")</f>
        <v>palmolive.ro</v>
      </c>
      <c r="C10995" t="s">
        <v>491</v>
      </c>
      <c r="D10995" t="s">
        <v>865</v>
      </c>
      <c r="F10995">
        <v>8.8783457617885698E-9</v>
      </c>
      <c r="G10995">
        <v>8178929</v>
      </c>
      <c r="H10995">
        <v>10351382</v>
      </c>
      <c r="I10995">
        <v>56233333</v>
      </c>
      <c r="J10995">
        <v>5</v>
      </c>
    </row>
    <row r="10996" spans="1:10" x14ac:dyDescent="0.25">
      <c r="A10996" t="s">
        <v>114</v>
      </c>
      <c r="B10996" s="1" t="str">
        <f>HYPERLINK("http://colgate.ru","colgate.ru")</f>
        <v>colgate.ru</v>
      </c>
      <c r="C10996" t="s">
        <v>493</v>
      </c>
      <c r="D10996" t="s">
        <v>867</v>
      </c>
      <c r="E10996">
        <v>359845</v>
      </c>
      <c r="F10996">
        <v>5.9777347026441703E-8</v>
      </c>
      <c r="G10996">
        <v>739015</v>
      </c>
      <c r="H10996">
        <v>14275971</v>
      </c>
      <c r="I10996">
        <v>1390441</v>
      </c>
      <c r="J10996">
        <v>2</v>
      </c>
    </row>
    <row r="10997" spans="1:10" x14ac:dyDescent="0.25">
      <c r="A10997" t="s">
        <v>114</v>
      </c>
      <c r="B10997" s="1" t="str">
        <f>HYPERLINK("http://colgatepalmolive.ru","colgatepalmolive.ru")</f>
        <v>colgatepalmolive.ru</v>
      </c>
      <c r="C10997" t="s">
        <v>493</v>
      </c>
      <c r="D10997" t="s">
        <v>867</v>
      </c>
      <c r="F10997">
        <v>2.2588387045316399E-8</v>
      </c>
      <c r="G10997">
        <v>2318736</v>
      </c>
      <c r="H10997">
        <v>12417737</v>
      </c>
      <c r="I10997">
        <v>18495954</v>
      </c>
      <c r="J10997">
        <v>3</v>
      </c>
    </row>
    <row r="10998" spans="1:10" x14ac:dyDescent="0.25">
      <c r="A10998" t="s">
        <v>114</v>
      </c>
      <c r="B10998" s="1" t="str">
        <f>HYPERLINK("http://colgateprofessional.ru","colgateprofessional.ru")</f>
        <v>colgateprofessional.ru</v>
      </c>
      <c r="C10998" t="s">
        <v>493</v>
      </c>
      <c r="D10998" t="s">
        <v>867</v>
      </c>
      <c r="F10998">
        <v>1.7061482873891099E-8</v>
      </c>
      <c r="G10998">
        <v>3269294</v>
      </c>
      <c r="H10998">
        <v>12706857</v>
      </c>
      <c r="I10998">
        <v>15319003</v>
      </c>
      <c r="J10998">
        <v>6</v>
      </c>
    </row>
    <row r="10999" spans="1:10" x14ac:dyDescent="0.25">
      <c r="A10999" t="s">
        <v>114</v>
      </c>
      <c r="B10999" s="1" t="str">
        <f>HYPERLINK("http://hillspet.ru","hillspet.ru")</f>
        <v>hillspet.ru</v>
      </c>
      <c r="C10999" t="s">
        <v>493</v>
      </c>
      <c r="D10999" t="s">
        <v>867</v>
      </c>
      <c r="E10999">
        <v>232164</v>
      </c>
      <c r="F10999">
        <v>1.0652185078599799E-7</v>
      </c>
      <c r="G10999">
        <v>375892</v>
      </c>
      <c r="H10999">
        <v>14284494</v>
      </c>
      <c r="I10999">
        <v>1373430</v>
      </c>
      <c r="J10999">
        <v>4</v>
      </c>
    </row>
    <row r="11000" spans="1:10" x14ac:dyDescent="0.25">
      <c r="A11000" t="s">
        <v>114</v>
      </c>
      <c r="B11000" s="1" t="str">
        <f>HYPERLINK("http://hillsvet.ru","hillsvet.ru")</f>
        <v>hillsvet.ru</v>
      </c>
      <c r="C11000" t="s">
        <v>493</v>
      </c>
      <c r="D11000" t="s">
        <v>867</v>
      </c>
      <c r="F11000">
        <v>9.8362790527101994E-9</v>
      </c>
      <c r="G11000">
        <v>6930445</v>
      </c>
      <c r="H11000">
        <v>11091635</v>
      </c>
      <c r="I11000">
        <v>32365686</v>
      </c>
      <c r="J11000">
        <v>5</v>
      </c>
    </row>
    <row r="11001" spans="1:10" x14ac:dyDescent="0.25">
      <c r="A11001" t="s">
        <v>114</v>
      </c>
      <c r="B11001" s="1" t="str">
        <f>HYPERLINK("http://colgate.com.sa","colgate.com.sa")</f>
        <v>colgate.com.sa</v>
      </c>
      <c r="C11001" t="s">
        <v>494</v>
      </c>
      <c r="D11001" t="s">
        <v>868</v>
      </c>
      <c r="F11001">
        <v>6.1315008737743897E-9</v>
      </c>
      <c r="G11001">
        <v>15917416</v>
      </c>
      <c r="H11001">
        <v>12262465</v>
      </c>
      <c r="I11001">
        <v>21696771</v>
      </c>
      <c r="J11001">
        <v>2</v>
      </c>
    </row>
    <row r="11002" spans="1:10" x14ac:dyDescent="0.25">
      <c r="A11002" t="s">
        <v>114</v>
      </c>
      <c r="B11002" s="1" t="str">
        <f>HYPERLINK("http://colgate.se","colgate.se")</f>
        <v>colgate.se</v>
      </c>
      <c r="C11002" t="s">
        <v>495</v>
      </c>
      <c r="D11002" t="s">
        <v>869</v>
      </c>
      <c r="F11002">
        <v>2.9609714551485199E-8</v>
      </c>
      <c r="G11002">
        <v>1741045</v>
      </c>
      <c r="H11002">
        <v>14500933</v>
      </c>
      <c r="I11002">
        <v>851523</v>
      </c>
      <c r="J11002">
        <v>2</v>
      </c>
    </row>
    <row r="11003" spans="1:10" x14ac:dyDescent="0.25">
      <c r="A11003" t="s">
        <v>114</v>
      </c>
      <c r="B11003" s="1" t="str">
        <f>HYPERLINK("http://colgatepalmolive.se","colgatepalmolive.se")</f>
        <v>colgatepalmolive.se</v>
      </c>
      <c r="C11003" t="s">
        <v>495</v>
      </c>
      <c r="D11003" t="s">
        <v>869</v>
      </c>
      <c r="F11003">
        <v>2.5318490970862698E-8</v>
      </c>
      <c r="G11003">
        <v>2038041</v>
      </c>
      <c r="H11003">
        <v>12327894</v>
      </c>
      <c r="I11003">
        <v>20249588</v>
      </c>
      <c r="J11003">
        <v>3</v>
      </c>
    </row>
    <row r="11004" spans="1:10" x14ac:dyDescent="0.25">
      <c r="A11004" t="s">
        <v>114</v>
      </c>
      <c r="B11004" s="1" t="str">
        <f>HYPERLINK("http://colgateprofessional.se","colgateprofessional.se")</f>
        <v>colgateprofessional.se</v>
      </c>
      <c r="C11004" t="s">
        <v>495</v>
      </c>
      <c r="D11004" t="s">
        <v>869</v>
      </c>
      <c r="F11004">
        <v>8.6157419842688608E-9</v>
      </c>
      <c r="G11004">
        <v>8628509</v>
      </c>
      <c r="H11004">
        <v>10865905</v>
      </c>
      <c r="I11004">
        <v>36574339</v>
      </c>
      <c r="J11004">
        <v>5</v>
      </c>
    </row>
    <row r="11005" spans="1:10" x14ac:dyDescent="0.25">
      <c r="A11005" t="s">
        <v>114</v>
      </c>
      <c r="B11005" s="1" t="str">
        <f>HYPERLINK("http://hillspet.se","hillspet.se")</f>
        <v>hillspet.se</v>
      </c>
      <c r="C11005" t="s">
        <v>495</v>
      </c>
      <c r="D11005" t="s">
        <v>869</v>
      </c>
      <c r="F11005">
        <v>5.0649559841074701E-8</v>
      </c>
      <c r="G11005">
        <v>906327</v>
      </c>
      <c r="H11005">
        <v>13794070</v>
      </c>
      <c r="I11005">
        <v>6318561</v>
      </c>
      <c r="J11005">
        <v>4</v>
      </c>
    </row>
    <row r="11006" spans="1:10" x14ac:dyDescent="0.25">
      <c r="A11006" t="s">
        <v>114</v>
      </c>
      <c r="B11006" s="1" t="str">
        <f>HYPERLINK("http://hillsvet.se","hillsvet.se")</f>
        <v>hillsvet.se</v>
      </c>
      <c r="C11006" t="s">
        <v>495</v>
      </c>
      <c r="D11006" t="s">
        <v>869</v>
      </c>
      <c r="F11006">
        <v>8.58933759695491E-9</v>
      </c>
      <c r="G11006">
        <v>8675765</v>
      </c>
      <c r="H11006">
        <v>10659409</v>
      </c>
      <c r="I11006">
        <v>43439506</v>
      </c>
      <c r="J11006">
        <v>5</v>
      </c>
    </row>
    <row r="11007" spans="1:10" x14ac:dyDescent="0.25">
      <c r="A11007" t="s">
        <v>114</v>
      </c>
      <c r="B11007" s="1" t="str">
        <f>HYPERLINK("http://palmolive.se","palmolive.se")</f>
        <v>palmolive.se</v>
      </c>
      <c r="C11007" t="s">
        <v>495</v>
      </c>
      <c r="D11007" t="s">
        <v>869</v>
      </c>
      <c r="F11007">
        <v>9.2174209934658399E-9</v>
      </c>
      <c r="G11007">
        <v>7686570</v>
      </c>
      <c r="H11007">
        <v>11101607</v>
      </c>
      <c r="I11007">
        <v>32246960</v>
      </c>
      <c r="J11007">
        <v>5</v>
      </c>
    </row>
    <row r="11008" spans="1:10" x14ac:dyDescent="0.25">
      <c r="A11008" t="s">
        <v>114</v>
      </c>
      <c r="B11008" s="1" t="str">
        <f>HYPERLINK("http://colgate.com.sg","colgate.com.sg")</f>
        <v>colgate.com.sg</v>
      </c>
      <c r="C11008" t="s">
        <v>496</v>
      </c>
      <c r="D11008" t="s">
        <v>870</v>
      </c>
      <c r="F11008">
        <v>8.3391552203558008E-9</v>
      </c>
      <c r="G11008">
        <v>9169239</v>
      </c>
      <c r="H11008">
        <v>14123087</v>
      </c>
      <c r="I11008">
        <v>2188310</v>
      </c>
      <c r="J11008">
        <v>2</v>
      </c>
    </row>
    <row r="11009" spans="1:10" x14ac:dyDescent="0.25">
      <c r="A11009" t="s">
        <v>114</v>
      </c>
      <c r="B11009" s="1" t="str">
        <f>HYPERLINK("http://colgatepalmolive.com.sg","colgatepalmolive.com.sg")</f>
        <v>colgatepalmolive.com.sg</v>
      </c>
      <c r="C11009" t="s">
        <v>496</v>
      </c>
      <c r="D11009" t="s">
        <v>870</v>
      </c>
      <c r="F11009">
        <v>2.7290502647663999E-8</v>
      </c>
      <c r="G11009">
        <v>1883832</v>
      </c>
      <c r="H11009">
        <v>13129445</v>
      </c>
      <c r="I11009">
        <v>11943687</v>
      </c>
      <c r="J11009">
        <v>3</v>
      </c>
    </row>
    <row r="11010" spans="1:10" x14ac:dyDescent="0.25">
      <c r="A11010" t="s">
        <v>114</v>
      </c>
      <c r="B11010" s="1" t="str">
        <f>HYPERLINK("http://colgateprofessional.com.sg","colgateprofessional.com.sg")</f>
        <v>colgateprofessional.com.sg</v>
      </c>
      <c r="C11010" t="s">
        <v>496</v>
      </c>
      <c r="D11010" t="s">
        <v>870</v>
      </c>
      <c r="F11010">
        <v>1.48125965260131E-8</v>
      </c>
      <c r="G11010">
        <v>3903074</v>
      </c>
      <c r="H11010">
        <v>13935232</v>
      </c>
      <c r="I11010">
        <v>4544140</v>
      </c>
      <c r="J11010">
        <v>6</v>
      </c>
    </row>
    <row r="11011" spans="1:10" x14ac:dyDescent="0.25">
      <c r="A11011" t="s">
        <v>114</v>
      </c>
      <c r="B11011" s="1" t="str">
        <f>HYPERLINK("http://hillspet.com.sg","hillspet.com.sg")</f>
        <v>hillspet.com.sg</v>
      </c>
      <c r="C11011" t="s">
        <v>496</v>
      </c>
      <c r="D11011" t="s">
        <v>870</v>
      </c>
      <c r="F11011">
        <v>1.16727508959985E-8</v>
      </c>
      <c r="G11011">
        <v>5383824</v>
      </c>
      <c r="H11011">
        <v>12309485</v>
      </c>
      <c r="I11011">
        <v>20628264</v>
      </c>
      <c r="J11011">
        <v>4</v>
      </c>
    </row>
    <row r="11012" spans="1:10" x14ac:dyDescent="0.25">
      <c r="A11012" t="s">
        <v>114</v>
      </c>
      <c r="B11012" s="1" t="str">
        <f>HYPERLINK("http://colgatepalmolive.si","colgatepalmolive.si")</f>
        <v>colgatepalmolive.si</v>
      </c>
      <c r="C11012" t="s">
        <v>497</v>
      </c>
      <c r="D11012" t="s">
        <v>871</v>
      </c>
      <c r="F11012">
        <v>3.3120778176760302E-8</v>
      </c>
      <c r="G11012">
        <v>1559954</v>
      </c>
      <c r="H11012">
        <v>12321513</v>
      </c>
      <c r="I11012">
        <v>20384987</v>
      </c>
      <c r="J11012">
        <v>3</v>
      </c>
    </row>
    <row r="11013" spans="1:10" x14ac:dyDescent="0.25">
      <c r="A11013" t="s">
        <v>114</v>
      </c>
      <c r="B11013" s="1" t="str">
        <f>HYPERLINK("http://colgate-profesional.sk","colgate-profesional.sk")</f>
        <v>colgate-profesional.sk</v>
      </c>
      <c r="C11013" t="s">
        <v>498</v>
      </c>
      <c r="D11013" t="s">
        <v>872</v>
      </c>
      <c r="F11013">
        <v>4.6183388555948702E-9</v>
      </c>
      <c r="G11013">
        <v>46249828</v>
      </c>
      <c r="H11013">
        <v>10461684</v>
      </c>
      <c r="I11013">
        <v>51739018</v>
      </c>
      <c r="J11013">
        <v>3</v>
      </c>
    </row>
    <row r="11014" spans="1:10" x14ac:dyDescent="0.25">
      <c r="A11014" t="s">
        <v>114</v>
      </c>
      <c r="B11014" s="1" t="str">
        <f>HYPERLINK("http://colgatepalmolive.sk","colgatepalmolive.sk")</f>
        <v>colgatepalmolive.sk</v>
      </c>
      <c r="C11014" t="s">
        <v>498</v>
      </c>
      <c r="D11014" t="s">
        <v>872</v>
      </c>
      <c r="F11014">
        <v>2.58547627356562E-8</v>
      </c>
      <c r="G11014">
        <v>1993365</v>
      </c>
      <c r="H11014">
        <v>13775072</v>
      </c>
      <c r="I11014">
        <v>6589882</v>
      </c>
      <c r="J11014">
        <v>3</v>
      </c>
    </row>
    <row r="11015" spans="1:10" x14ac:dyDescent="0.25">
      <c r="A11015" t="s">
        <v>114</v>
      </c>
      <c r="B11015" s="1" t="str">
        <f>HYPERLINK("http://colgateprofessional.sk","colgateprofessional.sk")</f>
        <v>colgateprofessional.sk</v>
      </c>
      <c r="C11015" t="s">
        <v>498</v>
      </c>
      <c r="D11015" t="s">
        <v>872</v>
      </c>
      <c r="F11015">
        <v>8.7127638530908199E-9</v>
      </c>
      <c r="G11015">
        <v>8455164</v>
      </c>
      <c r="H11015">
        <v>11000546</v>
      </c>
      <c r="I11015">
        <v>33577441</v>
      </c>
      <c r="J11015">
        <v>5</v>
      </c>
    </row>
    <row r="11016" spans="1:10" x14ac:dyDescent="0.25">
      <c r="A11016" t="s">
        <v>114</v>
      </c>
      <c r="B11016" s="1" t="str">
        <f>HYPERLINK("http://hillspet.sk","hillspet.sk")</f>
        <v>hillspet.sk</v>
      </c>
      <c r="C11016" t="s">
        <v>498</v>
      </c>
      <c r="D11016" t="s">
        <v>872</v>
      </c>
      <c r="F11016">
        <v>1.0714291168249701E-8</v>
      </c>
      <c r="G11016">
        <v>6088243</v>
      </c>
      <c r="H11016">
        <v>11365709</v>
      </c>
      <c r="I11016">
        <v>30341318</v>
      </c>
      <c r="J11016">
        <v>4</v>
      </c>
    </row>
    <row r="11017" spans="1:10" x14ac:dyDescent="0.25">
      <c r="A11017" t="s">
        <v>114</v>
      </c>
      <c r="B11017" s="1" t="str">
        <f>HYPERLINK("http://colgatepalmolive.sl","colgatepalmolive.sl")</f>
        <v>colgatepalmolive.sl</v>
      </c>
      <c r="C11017" t="s">
        <v>666</v>
      </c>
      <c r="D11017" t="s">
        <v>985</v>
      </c>
      <c r="F11017">
        <v>1.5472504366277699E-8</v>
      </c>
      <c r="G11017">
        <v>3692455</v>
      </c>
      <c r="H11017">
        <v>10392474</v>
      </c>
      <c r="I11017">
        <v>54367617</v>
      </c>
      <c r="J11017">
        <v>4</v>
      </c>
    </row>
    <row r="11018" spans="1:10" x14ac:dyDescent="0.25">
      <c r="A11018" t="s">
        <v>114</v>
      </c>
      <c r="B11018" s="1" t="str">
        <f>HYPERLINK("http://colgate.co.th","colgate.co.th")</f>
        <v>colgate.co.th</v>
      </c>
      <c r="C11018" t="s">
        <v>500</v>
      </c>
      <c r="D11018" t="s">
        <v>874</v>
      </c>
      <c r="F11018">
        <v>5.3994624547638997E-9</v>
      </c>
      <c r="G11018">
        <v>22120921</v>
      </c>
      <c r="H11018">
        <v>12331440</v>
      </c>
      <c r="I11018">
        <v>20179151</v>
      </c>
      <c r="J11018">
        <v>3</v>
      </c>
    </row>
    <row r="11019" spans="1:10" x14ac:dyDescent="0.25">
      <c r="A11019" t="s">
        <v>114</v>
      </c>
      <c r="B11019" s="1" t="str">
        <f>HYPERLINK("http://colgatepalmolive.co.th","colgatepalmolive.co.th")</f>
        <v>colgatepalmolive.co.th</v>
      </c>
      <c r="C11019" t="s">
        <v>500</v>
      </c>
      <c r="D11019" t="s">
        <v>874</v>
      </c>
      <c r="F11019">
        <v>2.3499554135355599E-8</v>
      </c>
      <c r="G11019">
        <v>2214810</v>
      </c>
      <c r="H11019">
        <v>12321979</v>
      </c>
      <c r="I11019">
        <v>20375529</v>
      </c>
      <c r="J11019">
        <v>3</v>
      </c>
    </row>
    <row r="11020" spans="1:10" x14ac:dyDescent="0.25">
      <c r="A11020" t="s">
        <v>114</v>
      </c>
      <c r="B11020" s="1" t="str">
        <f>HYPERLINK("http://colgateprofessional.co.th","colgateprofessional.co.th")</f>
        <v>colgateprofessional.co.th</v>
      </c>
      <c r="C11020" t="s">
        <v>500</v>
      </c>
      <c r="D11020" t="s">
        <v>874</v>
      </c>
      <c r="F11020">
        <v>1.3811349235007901E-8</v>
      </c>
      <c r="G11020">
        <v>4276810</v>
      </c>
      <c r="H11020">
        <v>12264843</v>
      </c>
      <c r="I11020">
        <v>21640564</v>
      </c>
      <c r="J11020">
        <v>6</v>
      </c>
    </row>
    <row r="11021" spans="1:10" x14ac:dyDescent="0.25">
      <c r="A11021" t="s">
        <v>114</v>
      </c>
      <c r="B11021" s="1" t="str">
        <f>HYPERLINK("http://hills.co.th","hills.co.th")</f>
        <v>hills.co.th</v>
      </c>
      <c r="C11021" t="s">
        <v>500</v>
      </c>
      <c r="D11021" t="s">
        <v>874</v>
      </c>
      <c r="F11021">
        <v>1.67265642214472E-8</v>
      </c>
      <c r="G11021">
        <v>3352081</v>
      </c>
      <c r="H11021">
        <v>13940294</v>
      </c>
      <c r="I11021">
        <v>4372787</v>
      </c>
      <c r="J11021">
        <v>4</v>
      </c>
    </row>
    <row r="11022" spans="1:10" x14ac:dyDescent="0.25">
      <c r="A11022" t="s">
        <v>114</v>
      </c>
      <c r="B11022" s="1" t="str">
        <f>HYPERLINK("http://colgatepalmolive.com.tr","colgatepalmolive.com.tr")</f>
        <v>colgatepalmolive.com.tr</v>
      </c>
      <c r="C11022" t="s">
        <v>502</v>
      </c>
      <c r="D11022" t="s">
        <v>876</v>
      </c>
      <c r="F11022">
        <v>2.7808892072601599E-8</v>
      </c>
      <c r="G11022">
        <v>1849271</v>
      </c>
      <c r="H11022">
        <v>12449005</v>
      </c>
      <c r="I11022">
        <v>18032341</v>
      </c>
      <c r="J11022">
        <v>3</v>
      </c>
    </row>
    <row r="11023" spans="1:10" x14ac:dyDescent="0.25">
      <c r="A11023" t="s">
        <v>114</v>
      </c>
      <c r="B11023" s="1" t="str">
        <f>HYPERLINK("http://hillspet.com.tr","hillspet.com.tr")</f>
        <v>hillspet.com.tr</v>
      </c>
      <c r="C11023" t="s">
        <v>502</v>
      </c>
      <c r="D11023" t="s">
        <v>876</v>
      </c>
      <c r="F11023">
        <v>1.5057404194065098E-8</v>
      </c>
      <c r="G11023">
        <v>3821062</v>
      </c>
      <c r="H11023">
        <v>14072013</v>
      </c>
      <c r="I11023">
        <v>3186982</v>
      </c>
      <c r="J11023">
        <v>4</v>
      </c>
    </row>
    <row r="11024" spans="1:10" x14ac:dyDescent="0.25">
      <c r="A11024" t="s">
        <v>114</v>
      </c>
      <c r="B11024" s="1" t="str">
        <f>HYPERLINK("http://hillsvet.com.tr","hillsvet.com.tr")</f>
        <v>hillsvet.com.tr</v>
      </c>
      <c r="C11024" t="s">
        <v>502</v>
      </c>
      <c r="D11024" t="s">
        <v>876</v>
      </c>
      <c r="F11024">
        <v>8.1829031018012703E-9</v>
      </c>
      <c r="G11024">
        <v>9600206</v>
      </c>
      <c r="H11024">
        <v>10592554</v>
      </c>
      <c r="I11024">
        <v>45594614</v>
      </c>
      <c r="J11024">
        <v>5</v>
      </c>
    </row>
    <row r="11025" spans="1:10" x14ac:dyDescent="0.25">
      <c r="A11025" t="s">
        <v>114</v>
      </c>
      <c r="B11025" s="1" t="str">
        <f>HYPERLINK("http://colgate.com.tw","colgate.com.tw")</f>
        <v>colgate.com.tw</v>
      </c>
      <c r="C11025" t="s">
        <v>504</v>
      </c>
      <c r="D11025" t="s">
        <v>878</v>
      </c>
      <c r="F11025">
        <v>1.75387585370875E-8</v>
      </c>
      <c r="G11025">
        <v>3133292</v>
      </c>
      <c r="H11025">
        <v>13885798</v>
      </c>
      <c r="I11025">
        <v>5970052</v>
      </c>
      <c r="J11025">
        <v>2</v>
      </c>
    </row>
    <row r="11026" spans="1:10" x14ac:dyDescent="0.25">
      <c r="A11026" t="s">
        <v>114</v>
      </c>
      <c r="B11026" s="1" t="str">
        <f>HYPERLINK("http://colgatepalmolive.com.tw","colgatepalmolive.com.tw")</f>
        <v>colgatepalmolive.com.tw</v>
      </c>
      <c r="C11026" t="s">
        <v>504</v>
      </c>
      <c r="D11026" t="s">
        <v>878</v>
      </c>
      <c r="F11026">
        <v>2.3491764846579901E-8</v>
      </c>
      <c r="G11026">
        <v>2215632</v>
      </c>
      <c r="H11026">
        <v>12325290</v>
      </c>
      <c r="I11026">
        <v>20319919</v>
      </c>
      <c r="J11026">
        <v>3</v>
      </c>
    </row>
    <row r="11027" spans="1:10" x14ac:dyDescent="0.25">
      <c r="A11027" t="s">
        <v>114</v>
      </c>
      <c r="B11027" s="1" t="str">
        <f>HYPERLINK("http://colgateprofessional.com.tw","colgateprofessional.com.tw")</f>
        <v>colgateprofessional.com.tw</v>
      </c>
      <c r="C11027" t="s">
        <v>504</v>
      </c>
      <c r="D11027" t="s">
        <v>878</v>
      </c>
      <c r="F11027">
        <v>1.44467731398337E-8</v>
      </c>
      <c r="G11027">
        <v>4040923</v>
      </c>
      <c r="H11027">
        <v>12266589</v>
      </c>
      <c r="I11027">
        <v>21605257</v>
      </c>
      <c r="J11027">
        <v>6</v>
      </c>
    </row>
    <row r="11028" spans="1:10" x14ac:dyDescent="0.25">
      <c r="A11028" t="s">
        <v>114</v>
      </c>
      <c r="B11028" s="1" t="str">
        <f>HYPERLINK("http://hills.com.tw","hills.com.tw")</f>
        <v>hills.com.tw</v>
      </c>
      <c r="C11028" t="s">
        <v>504</v>
      </c>
      <c r="D11028" t="s">
        <v>878</v>
      </c>
      <c r="F11028">
        <v>1.4652223884781E-8</v>
      </c>
      <c r="G11028">
        <v>3957559</v>
      </c>
      <c r="H11028">
        <v>14072767</v>
      </c>
      <c r="I11028">
        <v>3047005</v>
      </c>
      <c r="J11028">
        <v>4</v>
      </c>
    </row>
    <row r="11029" spans="1:10" x14ac:dyDescent="0.25">
      <c r="A11029" t="s">
        <v>114</v>
      </c>
      <c r="B11029" s="1" t="str">
        <f>HYPERLINK("http://hillsvet.tw","hillsvet.tw")</f>
        <v>hillsvet.tw</v>
      </c>
      <c r="C11029" t="s">
        <v>504</v>
      </c>
      <c r="D11029" t="s">
        <v>878</v>
      </c>
      <c r="F11029">
        <v>8.3123876438904694E-9</v>
      </c>
      <c r="G11029">
        <v>9229133</v>
      </c>
      <c r="H11029">
        <v>10636957</v>
      </c>
      <c r="I11029">
        <v>43831470</v>
      </c>
      <c r="J11029">
        <v>5</v>
      </c>
    </row>
    <row r="11030" spans="1:10" x14ac:dyDescent="0.25">
      <c r="A11030" t="s">
        <v>114</v>
      </c>
      <c r="B11030" s="1" t="str">
        <f>HYPERLINK("http://colgate.com.ua","colgate.com.ua")</f>
        <v>colgate.com.ua</v>
      </c>
      <c r="C11030" t="s">
        <v>505</v>
      </c>
      <c r="D11030" t="s">
        <v>879</v>
      </c>
      <c r="F11030">
        <v>2.3024174403803099E-8</v>
      </c>
      <c r="G11030">
        <v>2269256</v>
      </c>
      <c r="H11030">
        <v>12826072</v>
      </c>
      <c r="I11030">
        <v>14458425</v>
      </c>
      <c r="J11030">
        <v>2</v>
      </c>
    </row>
    <row r="11031" spans="1:10" x14ac:dyDescent="0.25">
      <c r="A11031" t="s">
        <v>114</v>
      </c>
      <c r="B11031" s="1" t="str">
        <f>HYPERLINK("http://colgatepalmolive.com.ua","colgatepalmolive.com.ua")</f>
        <v>colgatepalmolive.com.ua</v>
      </c>
      <c r="C11031" t="s">
        <v>505</v>
      </c>
      <c r="D11031" t="s">
        <v>879</v>
      </c>
      <c r="F11031">
        <v>1.5754874205919699E-8</v>
      </c>
      <c r="G11031">
        <v>3612159</v>
      </c>
      <c r="H11031">
        <v>12321511</v>
      </c>
      <c r="I11031">
        <v>20385015</v>
      </c>
      <c r="J11031">
        <v>3</v>
      </c>
    </row>
    <row r="11032" spans="1:10" x14ac:dyDescent="0.25">
      <c r="A11032" t="s">
        <v>114</v>
      </c>
      <c r="B11032" s="1" t="str">
        <f>HYPERLINK("http://hillspet.com.ua","hillspet.com.ua")</f>
        <v>hillspet.com.ua</v>
      </c>
      <c r="C11032" t="s">
        <v>505</v>
      </c>
      <c r="D11032" t="s">
        <v>879</v>
      </c>
      <c r="F11032">
        <v>1.04674416349168E-8</v>
      </c>
      <c r="G11032">
        <v>6297861</v>
      </c>
      <c r="H11032">
        <v>11365715</v>
      </c>
      <c r="I11032">
        <v>30341299</v>
      </c>
      <c r="J11032">
        <v>4</v>
      </c>
    </row>
    <row r="11033" spans="1:10" x14ac:dyDescent="0.25">
      <c r="A11033" t="s">
        <v>114</v>
      </c>
      <c r="B11033" s="1" t="str">
        <f>HYPERLINK("http://meridol.com.ua","meridol.com.ua")</f>
        <v>meridol.com.ua</v>
      </c>
      <c r="C11033" t="s">
        <v>505</v>
      </c>
      <c r="D11033" t="s">
        <v>879</v>
      </c>
      <c r="F11033">
        <v>8.5282416226765804E-9</v>
      </c>
      <c r="G11033">
        <v>8790635</v>
      </c>
      <c r="H11033">
        <v>10350656</v>
      </c>
      <c r="I11033">
        <v>56315572</v>
      </c>
      <c r="J11033">
        <v>7</v>
      </c>
    </row>
    <row r="11034" spans="1:10" x14ac:dyDescent="0.25">
      <c r="A11034" t="s">
        <v>114</v>
      </c>
      <c r="B11034" s="1" t="str">
        <f>HYPERLINK("http://colgate.co.uk","colgate.co.uk")</f>
        <v>colgate.co.uk</v>
      </c>
      <c r="C11034" t="s">
        <v>506</v>
      </c>
      <c r="D11034" t="s">
        <v>880</v>
      </c>
      <c r="F11034">
        <v>3.0463860836910701E-8</v>
      </c>
      <c r="G11034">
        <v>1690117</v>
      </c>
      <c r="H11034">
        <v>14648512</v>
      </c>
      <c r="I11034">
        <v>630797</v>
      </c>
      <c r="J11034">
        <v>2</v>
      </c>
    </row>
    <row r="11035" spans="1:10" x14ac:dyDescent="0.25">
      <c r="A11035" t="s">
        <v>114</v>
      </c>
      <c r="B11035" s="1" t="str">
        <f>HYPERLINK("http://colgatepalmolive.co.uk","colgatepalmolive.co.uk")</f>
        <v>colgatepalmolive.co.uk</v>
      </c>
      <c r="C11035" t="s">
        <v>506</v>
      </c>
      <c r="D11035" t="s">
        <v>880</v>
      </c>
      <c r="F11035">
        <v>4.1557452624902598E-8</v>
      </c>
      <c r="G11035">
        <v>1195972</v>
      </c>
      <c r="H11035">
        <v>13215789</v>
      </c>
      <c r="I11035">
        <v>11362064</v>
      </c>
      <c r="J11035">
        <v>3</v>
      </c>
    </row>
    <row r="11036" spans="1:10" x14ac:dyDescent="0.25">
      <c r="A11036" t="s">
        <v>114</v>
      </c>
      <c r="B11036" s="1" t="str">
        <f>HYPERLINK("http://colgateprofessional.co.uk","colgateprofessional.co.uk")</f>
        <v>colgateprofessional.co.uk</v>
      </c>
      <c r="C11036" t="s">
        <v>506</v>
      </c>
      <c r="D11036" t="s">
        <v>880</v>
      </c>
      <c r="F11036">
        <v>3.1222404703314402E-8</v>
      </c>
      <c r="G11036">
        <v>1651312</v>
      </c>
      <c r="H11036">
        <v>13938500</v>
      </c>
      <c r="I11036">
        <v>4425186</v>
      </c>
      <c r="J11036">
        <v>6</v>
      </c>
    </row>
    <row r="11037" spans="1:10" x14ac:dyDescent="0.25">
      <c r="A11037" t="s">
        <v>114</v>
      </c>
      <c r="B11037" s="1" t="str">
        <f>HYPERLINK("http://hillspet.co.uk","hillspet.co.uk")</f>
        <v>hillspet.co.uk</v>
      </c>
      <c r="C11037" t="s">
        <v>506</v>
      </c>
      <c r="D11037" t="s">
        <v>880</v>
      </c>
      <c r="E11037">
        <v>508175</v>
      </c>
      <c r="F11037">
        <v>7.81449850138665E-8</v>
      </c>
      <c r="G11037">
        <v>535209</v>
      </c>
      <c r="H11037">
        <v>14529793</v>
      </c>
      <c r="I11037">
        <v>787981</v>
      </c>
      <c r="J11037">
        <v>3</v>
      </c>
    </row>
    <row r="11038" spans="1:10" x14ac:dyDescent="0.25">
      <c r="A11038" t="s">
        <v>114</v>
      </c>
      <c r="B11038" s="1" t="str">
        <f>HYPERLINK("http://hillsvet.co.uk","hillsvet.co.uk")</f>
        <v>hillsvet.co.uk</v>
      </c>
      <c r="C11038" t="s">
        <v>506</v>
      </c>
      <c r="D11038" t="s">
        <v>880</v>
      </c>
      <c r="F11038">
        <v>2.2906381893713299E-8</v>
      </c>
      <c r="G11038">
        <v>2282253</v>
      </c>
      <c r="H11038">
        <v>12220502</v>
      </c>
      <c r="I11038">
        <v>22778262</v>
      </c>
      <c r="J11038">
        <v>5</v>
      </c>
    </row>
    <row r="11039" spans="1:10" x14ac:dyDescent="0.25">
      <c r="A11039" t="s">
        <v>114</v>
      </c>
      <c r="B11039" s="1" t="str">
        <f>HYPERLINK("http://palmolive.co.uk","palmolive.co.uk")</f>
        <v>palmolive.co.uk</v>
      </c>
      <c r="C11039" t="s">
        <v>506</v>
      </c>
      <c r="D11039" t="s">
        <v>880</v>
      </c>
      <c r="F11039">
        <v>1.5045894302166001E-8</v>
      </c>
      <c r="G11039">
        <v>3825005</v>
      </c>
      <c r="H11039">
        <v>14485317</v>
      </c>
      <c r="I11039">
        <v>999510</v>
      </c>
      <c r="J11039">
        <v>5</v>
      </c>
    </row>
    <row r="11040" spans="1:10" x14ac:dyDescent="0.25">
      <c r="A11040" t="s">
        <v>114</v>
      </c>
      <c r="B11040" s="1" t="str">
        <f>HYPERLINK("http://sanex.co.uk","sanex.co.uk")</f>
        <v>sanex.co.uk</v>
      </c>
      <c r="C11040" t="s">
        <v>506</v>
      </c>
      <c r="D11040" t="s">
        <v>880</v>
      </c>
      <c r="F11040">
        <v>3.1507387233812003E-8</v>
      </c>
      <c r="G11040">
        <v>1637536</v>
      </c>
      <c r="H11040">
        <v>14121522</v>
      </c>
      <c r="I11040">
        <v>2250332</v>
      </c>
      <c r="J11040">
        <v>3</v>
      </c>
    </row>
    <row r="11041" spans="1:10" x14ac:dyDescent="0.25">
      <c r="A11041" t="s">
        <v>114</v>
      </c>
      <c r="B11041" s="1" t="str">
        <f>HYPERLINK("http://colgatepalmolive.com.uy","colgatepalmolive.com.uy")</f>
        <v>colgatepalmolive.com.uy</v>
      </c>
      <c r="C11041" t="s">
        <v>507</v>
      </c>
      <c r="D11041" t="s">
        <v>881</v>
      </c>
      <c r="F11041">
        <v>2.5888682718512601E-8</v>
      </c>
      <c r="G11041">
        <v>1990608</v>
      </c>
      <c r="H11041">
        <v>12322007</v>
      </c>
      <c r="I11041">
        <v>20375123</v>
      </c>
      <c r="J11041">
        <v>3</v>
      </c>
    </row>
    <row r="11042" spans="1:10" x14ac:dyDescent="0.25">
      <c r="A11042" t="s">
        <v>114</v>
      </c>
      <c r="B11042" s="1" t="str">
        <f>HYPERLINK("http://colgatepalmolive.com.ve","colgatepalmolive.com.ve")</f>
        <v>colgatepalmolive.com.ve</v>
      </c>
      <c r="C11042" t="s">
        <v>508</v>
      </c>
      <c r="D11042" t="s">
        <v>882</v>
      </c>
      <c r="F11042">
        <v>3.0080811068868099E-8</v>
      </c>
      <c r="G11042">
        <v>1710580</v>
      </c>
      <c r="H11042">
        <v>12322001</v>
      </c>
      <c r="I11042">
        <v>20375217</v>
      </c>
      <c r="J11042">
        <v>3</v>
      </c>
    </row>
    <row r="11043" spans="1:10" x14ac:dyDescent="0.25">
      <c r="A11043" t="s">
        <v>114</v>
      </c>
      <c r="B11043" s="1" t="str">
        <f>HYPERLINK("http://colgate.com.vn","colgate.com.vn")</f>
        <v>colgate.com.vn</v>
      </c>
      <c r="C11043" t="s">
        <v>509</v>
      </c>
      <c r="D11043" t="s">
        <v>883</v>
      </c>
      <c r="F11043">
        <v>2.2971922479826401E-8</v>
      </c>
      <c r="G11043">
        <v>2274915</v>
      </c>
      <c r="H11043">
        <v>13767069</v>
      </c>
      <c r="I11043">
        <v>6957549</v>
      </c>
      <c r="J11043">
        <v>2</v>
      </c>
    </row>
    <row r="11044" spans="1:10" x14ac:dyDescent="0.25">
      <c r="A11044" t="s">
        <v>114</v>
      </c>
      <c r="B11044" s="1" t="str">
        <f>HYPERLINK("http://colgatepalmolive.com.vn","colgatepalmolive.com.vn")</f>
        <v>colgatepalmolive.com.vn</v>
      </c>
      <c r="C11044" t="s">
        <v>509</v>
      </c>
      <c r="D11044" t="s">
        <v>883</v>
      </c>
      <c r="F11044">
        <v>2.3383977383686799E-8</v>
      </c>
      <c r="G11044">
        <v>2230124</v>
      </c>
      <c r="H11044">
        <v>12338244</v>
      </c>
      <c r="I11044">
        <v>20048076</v>
      </c>
      <c r="J11044">
        <v>3</v>
      </c>
    </row>
    <row r="11045" spans="1:10" x14ac:dyDescent="0.25">
      <c r="A11045" t="s">
        <v>114</v>
      </c>
      <c r="B11045" s="1" t="str">
        <f>HYPERLINK("http://colgateprofessional.com.vn","colgateprofessional.com.vn")</f>
        <v>colgateprofessional.com.vn</v>
      </c>
      <c r="C11045" t="s">
        <v>509</v>
      </c>
      <c r="D11045" t="s">
        <v>883</v>
      </c>
      <c r="F11045">
        <v>1.6020325645867901E-8</v>
      </c>
      <c r="G11045">
        <v>3540874</v>
      </c>
      <c r="H11045">
        <v>12881141</v>
      </c>
      <c r="I11045">
        <v>13994434</v>
      </c>
      <c r="J11045">
        <v>6</v>
      </c>
    </row>
    <row r="11046" spans="1:10" x14ac:dyDescent="0.25">
      <c r="A11046" t="s">
        <v>114</v>
      </c>
      <c r="B11046" s="1" t="str">
        <f>HYPERLINK("http://colgate.co.za","colgate.co.za")</f>
        <v>colgate.co.za</v>
      </c>
      <c r="C11046" t="s">
        <v>510</v>
      </c>
      <c r="D11046" t="s">
        <v>884</v>
      </c>
      <c r="F11046">
        <v>6.3859491014276198E-9</v>
      </c>
      <c r="G11046">
        <v>14589181</v>
      </c>
      <c r="H11046">
        <v>12306156</v>
      </c>
      <c r="I11046">
        <v>20711694</v>
      </c>
      <c r="J11046">
        <v>2</v>
      </c>
    </row>
    <row r="11047" spans="1:10" x14ac:dyDescent="0.25">
      <c r="A11047" t="s">
        <v>114</v>
      </c>
      <c r="B11047" s="1" t="str">
        <f>HYPERLINK("http://colgatepalmolive.co.za","colgatepalmolive.co.za")</f>
        <v>colgatepalmolive.co.za</v>
      </c>
      <c r="C11047" t="s">
        <v>510</v>
      </c>
      <c r="D11047" t="s">
        <v>884</v>
      </c>
      <c r="F11047">
        <v>2.4420503507144901E-8</v>
      </c>
      <c r="G11047">
        <v>2121980</v>
      </c>
      <c r="H11047">
        <v>12418247</v>
      </c>
      <c r="I11047">
        <v>18489366</v>
      </c>
      <c r="J11047">
        <v>3</v>
      </c>
    </row>
    <row r="11048" spans="1:10" x14ac:dyDescent="0.25">
      <c r="A11048" t="s">
        <v>114</v>
      </c>
      <c r="B11048" s="1" t="str">
        <f>HYPERLINK("http://colgateprofessional.co.za","colgateprofessional.co.za")</f>
        <v>colgateprofessional.co.za</v>
      </c>
      <c r="C11048" t="s">
        <v>510</v>
      </c>
      <c r="D11048" t="s">
        <v>884</v>
      </c>
      <c r="F11048">
        <v>1.44467545949811E-8</v>
      </c>
      <c r="G11048">
        <v>4040932</v>
      </c>
      <c r="H11048">
        <v>12262640</v>
      </c>
      <c r="I11048">
        <v>21692313</v>
      </c>
      <c r="J11048">
        <v>6</v>
      </c>
    </row>
    <row r="11049" spans="1:10" x14ac:dyDescent="0.25">
      <c r="A11049" t="s">
        <v>114</v>
      </c>
      <c r="B11049" s="1" t="str">
        <f>HYPERLINK("http://hillspet.co.za","hillspet.co.za")</f>
        <v>hillspet.co.za</v>
      </c>
      <c r="C11049" t="s">
        <v>510</v>
      </c>
      <c r="D11049" t="s">
        <v>884</v>
      </c>
      <c r="F11049">
        <v>2.10405137624622E-8</v>
      </c>
      <c r="G11049">
        <v>2510530</v>
      </c>
      <c r="H11049">
        <v>14191211</v>
      </c>
      <c r="I11049">
        <v>1750268</v>
      </c>
      <c r="J11049">
        <v>4</v>
      </c>
    </row>
    <row r="11050" spans="1:10" x14ac:dyDescent="0.25">
      <c r="A11050" t="s">
        <v>114</v>
      </c>
      <c r="B11050" s="1" t="str">
        <f>HYPERLINK("http://hillsvet.co.za","hillsvet.co.za")</f>
        <v>hillsvet.co.za</v>
      </c>
      <c r="C11050" t="s">
        <v>510</v>
      </c>
      <c r="D11050" t="s">
        <v>884</v>
      </c>
      <c r="F11050">
        <v>8.1829160333629793E-9</v>
      </c>
      <c r="G11050">
        <v>9600180</v>
      </c>
      <c r="H11050">
        <v>10634388</v>
      </c>
      <c r="I11050">
        <v>43883093</v>
      </c>
      <c r="J11050">
        <v>5</v>
      </c>
    </row>
    <row r="11051" spans="1:10" x14ac:dyDescent="0.25">
      <c r="A11051" t="s">
        <v>115</v>
      </c>
      <c r="B11051" s="1" t="str">
        <f>HYPERLINK("http://uip.com.ar","uip.com.ar")</f>
        <v>uip.com.ar</v>
      </c>
      <c r="C11051" t="s">
        <v>418</v>
      </c>
      <c r="D11051" t="s">
        <v>800</v>
      </c>
      <c r="F11051">
        <v>1.6854018453930501E-8</v>
      </c>
      <c r="G11051">
        <v>3320270</v>
      </c>
      <c r="H11051">
        <v>14236375</v>
      </c>
      <c r="I11051">
        <v>1590382</v>
      </c>
      <c r="J11051">
        <v>4</v>
      </c>
    </row>
    <row r="11052" spans="1:10" x14ac:dyDescent="0.25">
      <c r="A11052" t="s">
        <v>115</v>
      </c>
      <c r="B11052" s="1" t="str">
        <f>HYPERLINK("http://undertv.com.ar","undertv.com.ar")</f>
        <v>undertv.com.ar</v>
      </c>
      <c r="C11052" t="s">
        <v>418</v>
      </c>
      <c r="D11052" t="s">
        <v>800</v>
      </c>
      <c r="F11052">
        <v>5.7300157612452904E-9</v>
      </c>
      <c r="G11052">
        <v>18664810</v>
      </c>
      <c r="H11052">
        <v>12355141</v>
      </c>
      <c r="I11052">
        <v>19677542</v>
      </c>
      <c r="J11052">
        <v>3</v>
      </c>
    </row>
    <row r="11053" spans="1:10" x14ac:dyDescent="0.25">
      <c r="A11053" t="s">
        <v>115</v>
      </c>
      <c r="B11053" s="1" t="str">
        <f>HYPERLINK("http://sky.at","sky.at")</f>
        <v>sky.at</v>
      </c>
      <c r="C11053" t="s">
        <v>419</v>
      </c>
      <c r="D11053" t="s">
        <v>801</v>
      </c>
      <c r="E11053">
        <v>200942</v>
      </c>
      <c r="F11053">
        <v>2.4047544433951302E-7</v>
      </c>
      <c r="G11053">
        <v>155588</v>
      </c>
      <c r="H11053">
        <v>17190888</v>
      </c>
      <c r="I11053">
        <v>43451</v>
      </c>
      <c r="J11053">
        <v>2</v>
      </c>
    </row>
    <row r="11054" spans="1:10" x14ac:dyDescent="0.25">
      <c r="A11054" t="s">
        <v>115</v>
      </c>
      <c r="B11054" s="1" t="str">
        <f>HYPERLINK("http://golfnow.com.au","golfnow.com.au")</f>
        <v>golfnow.com.au</v>
      </c>
      <c r="C11054" t="s">
        <v>420</v>
      </c>
      <c r="D11054" t="s">
        <v>802</v>
      </c>
      <c r="F11054">
        <v>1.6356980075647301E-8</v>
      </c>
      <c r="G11054">
        <v>3456953</v>
      </c>
      <c r="H11054">
        <v>11454706</v>
      </c>
      <c r="I11054">
        <v>30108532</v>
      </c>
      <c r="J11054">
        <v>5</v>
      </c>
    </row>
    <row r="11055" spans="1:10" x14ac:dyDescent="0.25">
      <c r="A11055" t="s">
        <v>115</v>
      </c>
      <c r="B11055" s="1" t="str">
        <f>HYPERLINK("http://universalpictures.ca","universalpictures.ca")</f>
        <v>universalpictures.ca</v>
      </c>
      <c r="C11055" t="s">
        <v>428</v>
      </c>
      <c r="D11055" t="s">
        <v>809</v>
      </c>
      <c r="F11055">
        <v>3.0398394217284397E-8</v>
      </c>
      <c r="G11055">
        <v>1693560</v>
      </c>
      <c r="H11055">
        <v>14200014</v>
      </c>
      <c r="I11055">
        <v>1724414</v>
      </c>
      <c r="J11055">
        <v>4</v>
      </c>
    </row>
    <row r="11056" spans="1:10" x14ac:dyDescent="0.25">
      <c r="A11056" t="s">
        <v>115</v>
      </c>
      <c r="B11056" s="1" t="str">
        <f>HYPERLINK("http://skywifi.cloud","skywifi.cloud")</f>
        <v>skywifi.cloud</v>
      </c>
      <c r="C11056" t="s">
        <v>516</v>
      </c>
      <c r="F11056">
        <v>6.2821095751730704E-9</v>
      </c>
      <c r="G11056">
        <v>15117480</v>
      </c>
      <c r="H11056">
        <v>12449833</v>
      </c>
      <c r="I11056">
        <v>17998590</v>
      </c>
      <c r="J11056">
        <v>7</v>
      </c>
    </row>
    <row r="11057" spans="1:10" x14ac:dyDescent="0.25">
      <c r="A11057" t="s">
        <v>115</v>
      </c>
      <c r="B11057" s="1" t="str">
        <f>HYPERLINK("http://365mediagroup.com","365mediagroup.com")</f>
        <v>365mediagroup.com</v>
      </c>
      <c r="C11057" t="s">
        <v>433</v>
      </c>
      <c r="F11057">
        <v>8.9917159436809903E-9</v>
      </c>
      <c r="G11057">
        <v>8003825</v>
      </c>
      <c r="H11057">
        <v>11539857</v>
      </c>
      <c r="I11057">
        <v>29978808</v>
      </c>
      <c r="J11057">
        <v>7</v>
      </c>
    </row>
    <row r="11058" spans="1:10" x14ac:dyDescent="0.25">
      <c r="A11058" t="s">
        <v>115</v>
      </c>
      <c r="B11058" s="1" t="str">
        <f>HYPERLINK("http://999ktdy.com","999ktdy.com")</f>
        <v>999ktdy.com</v>
      </c>
      <c r="C11058" t="s">
        <v>433</v>
      </c>
      <c r="E11058">
        <v>295124</v>
      </c>
      <c r="F11058">
        <v>8.5882714789298001E-8</v>
      </c>
      <c r="G11058">
        <v>479316</v>
      </c>
      <c r="H11058">
        <v>17184786</v>
      </c>
      <c r="I11058">
        <v>44602</v>
      </c>
      <c r="J11058">
        <v>5</v>
      </c>
    </row>
    <row r="11059" spans="1:10" x14ac:dyDescent="0.25">
      <c r="A11059" t="s">
        <v>115</v>
      </c>
      <c r="B11059" s="1" t="str">
        <f>HYPERLINK("http://accesshollywood.com","accesshollywood.com")</f>
        <v>accesshollywood.com</v>
      </c>
      <c r="C11059" t="s">
        <v>433</v>
      </c>
      <c r="E11059">
        <v>57147</v>
      </c>
      <c r="F11059">
        <v>5.0575104840801003E-7</v>
      </c>
      <c r="G11059">
        <v>75673</v>
      </c>
      <c r="H11059">
        <v>15163797</v>
      </c>
      <c r="I11059">
        <v>398771</v>
      </c>
      <c r="J11059">
        <v>5</v>
      </c>
    </row>
    <row r="11060" spans="1:10" x14ac:dyDescent="0.25">
      <c r="A11060" t="s">
        <v>115</v>
      </c>
      <c r="B11060" s="1" t="str">
        <f>HYPERLINK("http://accessonline.com","accessonline.com")</f>
        <v>accessonline.com</v>
      </c>
      <c r="C11060" t="s">
        <v>433</v>
      </c>
      <c r="E11060">
        <v>50957</v>
      </c>
      <c r="F11060">
        <v>6.2658020839345395E-7</v>
      </c>
      <c r="G11060">
        <v>61169</v>
      </c>
      <c r="H11060">
        <v>15279281</v>
      </c>
      <c r="I11060">
        <v>387743</v>
      </c>
      <c r="J11060">
        <v>5</v>
      </c>
    </row>
    <row r="11061" spans="1:10" x14ac:dyDescent="0.25">
      <c r="A11061" t="s">
        <v>115</v>
      </c>
      <c r="B11061" s="1" t="str">
        <f>HYPERLINK("http://audiencexpress.com","audiencexpress.com")</f>
        <v>audiencexpress.com</v>
      </c>
      <c r="C11061" t="s">
        <v>433</v>
      </c>
      <c r="F11061">
        <v>4.2730024748078502E-8</v>
      </c>
      <c r="G11061">
        <v>1129946</v>
      </c>
      <c r="H11061">
        <v>13259943</v>
      </c>
      <c r="I11061">
        <v>11041692</v>
      </c>
      <c r="J11061">
        <v>4</v>
      </c>
    </row>
    <row r="11062" spans="1:10" x14ac:dyDescent="0.25">
      <c r="A11062" t="s">
        <v>115</v>
      </c>
      <c r="B11062" s="1" t="str">
        <f>HYPERLINK("http://beeswax.com","beeswax.com")</f>
        <v>beeswax.com</v>
      </c>
      <c r="C11062" t="s">
        <v>433</v>
      </c>
      <c r="E11062">
        <v>147146</v>
      </c>
      <c r="F11062">
        <v>2.3178602645154701E-6</v>
      </c>
      <c r="G11062">
        <v>15948</v>
      </c>
      <c r="H11062">
        <v>17129402</v>
      </c>
      <c r="I11062">
        <v>56941</v>
      </c>
      <c r="J11062">
        <v>3</v>
      </c>
    </row>
    <row r="11063" spans="1:10" x14ac:dyDescent="0.25">
      <c r="A11063" t="s">
        <v>115</v>
      </c>
      <c r="B11063" s="1" t="str">
        <f>HYPERLINK("http://blacksumac.com","blacksumac.com")</f>
        <v>blacksumac.com</v>
      </c>
      <c r="C11063" t="s">
        <v>433</v>
      </c>
      <c r="F11063">
        <v>5.9142625408897299E-9</v>
      </c>
      <c r="G11063">
        <v>17260139</v>
      </c>
      <c r="H11063">
        <v>13161700</v>
      </c>
      <c r="I11063">
        <v>11777412</v>
      </c>
      <c r="J11063">
        <v>6</v>
      </c>
    </row>
    <row r="11064" spans="1:10" x14ac:dyDescent="0.25">
      <c r="A11064" t="s">
        <v>115</v>
      </c>
      <c r="B11064" s="1" t="str">
        <f>HYPERLINK("http://blueface.com","blueface.com")</f>
        <v>blueface.com</v>
      </c>
      <c r="C11064" t="s">
        <v>433</v>
      </c>
      <c r="E11064">
        <v>94782</v>
      </c>
      <c r="F11064">
        <v>7.5636509080720198E-8</v>
      </c>
      <c r="G11064">
        <v>555741</v>
      </c>
      <c r="H11064">
        <v>13590446</v>
      </c>
      <c r="I11064">
        <v>9667752</v>
      </c>
      <c r="J11064">
        <v>3</v>
      </c>
    </row>
    <row r="11065" spans="1:10" x14ac:dyDescent="0.25">
      <c r="A11065" t="s">
        <v>115</v>
      </c>
      <c r="B11065" s="1" t="str">
        <f>HYPERLINK("http://bskyb.com","bskyb.com")</f>
        <v>bskyb.com</v>
      </c>
      <c r="C11065" t="s">
        <v>433</v>
      </c>
      <c r="E11065">
        <v>172011</v>
      </c>
      <c r="F11065">
        <v>4.67256609030721E-8</v>
      </c>
      <c r="G11065">
        <v>999983</v>
      </c>
      <c r="H11065">
        <v>14306948</v>
      </c>
      <c r="I11065">
        <v>1348831</v>
      </c>
      <c r="J11065">
        <v>4</v>
      </c>
    </row>
    <row r="11066" spans="1:10" x14ac:dyDescent="0.25">
      <c r="A11066" t="s">
        <v>115</v>
      </c>
      <c r="B11066" s="1" t="str">
        <f>HYPERLINK("http://cinepapaya.com","cinepapaya.com")</f>
        <v>cinepapaya.com</v>
      </c>
      <c r="C11066" t="s">
        <v>433</v>
      </c>
      <c r="F11066">
        <v>1.4414953362662001E-8</v>
      </c>
      <c r="G11066">
        <v>4051986</v>
      </c>
      <c r="H11066">
        <v>14381314</v>
      </c>
      <c r="I11066">
        <v>1191953</v>
      </c>
      <c r="J11066">
        <v>5</v>
      </c>
    </row>
    <row r="11067" spans="1:10" x14ac:dyDescent="0.25">
      <c r="A11067" t="s">
        <v>115</v>
      </c>
      <c r="B11067" s="1" t="str">
        <f>HYPERLINK("http://cmcsa.com","cmcsa.com")</f>
        <v>cmcsa.com</v>
      </c>
      <c r="C11067" t="s">
        <v>433</v>
      </c>
      <c r="E11067">
        <v>301271</v>
      </c>
      <c r="F11067">
        <v>7.6619535346938696E-7</v>
      </c>
      <c r="G11067">
        <v>50988</v>
      </c>
      <c r="H11067">
        <v>15506483</v>
      </c>
      <c r="I11067">
        <v>376512</v>
      </c>
      <c r="J11067">
        <v>2</v>
      </c>
    </row>
    <row r="11068" spans="1:10" x14ac:dyDescent="0.25">
      <c r="A11068" t="s">
        <v>115</v>
      </c>
      <c r="B11068" s="1" t="str">
        <f>HYPERLINK("http://cnbc.com","cnbc.com")</f>
        <v>cnbc.com</v>
      </c>
      <c r="C11068" t="s">
        <v>433</v>
      </c>
      <c r="E11068">
        <v>263</v>
      </c>
      <c r="F11068">
        <v>8.42509952717579E-5</v>
      </c>
      <c r="G11068">
        <v>316</v>
      </c>
      <c r="H11068">
        <v>19684204</v>
      </c>
      <c r="I11068">
        <v>112</v>
      </c>
      <c r="J11068">
        <v>3</v>
      </c>
    </row>
    <row r="11069" spans="1:10" x14ac:dyDescent="0.25">
      <c r="A11069" t="s">
        <v>115</v>
      </c>
      <c r="B11069" s="1" t="str">
        <f>HYPERLINK("http://comcast.com","comcast.com")</f>
        <v>comcast.com</v>
      </c>
      <c r="C11069" t="s">
        <v>433</v>
      </c>
      <c r="E11069">
        <v>708</v>
      </c>
      <c r="F11069">
        <v>7.3161112242613497E-6</v>
      </c>
      <c r="G11069">
        <v>4596</v>
      </c>
      <c r="H11069">
        <v>18054454</v>
      </c>
      <c r="I11069">
        <v>3365</v>
      </c>
      <c r="J11069">
        <v>1</v>
      </c>
    </row>
    <row r="11070" spans="1:10" x14ac:dyDescent="0.25">
      <c r="A11070" t="s">
        <v>115</v>
      </c>
      <c r="B11070" s="1" t="str">
        <f>HYPERLINK("http://comcastnbcustartup.com","comcastnbcustartup.com")</f>
        <v>comcastnbcustartup.com</v>
      </c>
      <c r="C11070" t="s">
        <v>433</v>
      </c>
      <c r="F11070">
        <v>6.1093628611698402E-9</v>
      </c>
      <c r="G11070">
        <v>16040691</v>
      </c>
      <c r="H11070">
        <v>12559802</v>
      </c>
      <c r="I11070">
        <v>16716453</v>
      </c>
      <c r="J11070">
        <v>3</v>
      </c>
    </row>
    <row r="11071" spans="1:10" x14ac:dyDescent="0.25">
      <c r="A11071" t="s">
        <v>115</v>
      </c>
      <c r="B11071" s="1" t="str">
        <f>HYPERLINK("http://comcastspectacor.com","comcastspectacor.com")</f>
        <v>comcastspectacor.com</v>
      </c>
      <c r="C11071" t="s">
        <v>433</v>
      </c>
      <c r="E11071">
        <v>337240</v>
      </c>
      <c r="F11071">
        <v>9.5470951349626404E-8</v>
      </c>
      <c r="G11071">
        <v>424226</v>
      </c>
      <c r="H11071">
        <v>14544230</v>
      </c>
      <c r="I11071">
        <v>770829</v>
      </c>
      <c r="J11071">
        <v>3</v>
      </c>
    </row>
    <row r="11072" spans="1:10" x14ac:dyDescent="0.25">
      <c r="A11072" t="s">
        <v>115</v>
      </c>
      <c r="B11072" s="1" t="str">
        <f>HYPERLINK("http://comcastventures.com","comcastventures.com")</f>
        <v>comcastventures.com</v>
      </c>
      <c r="C11072" t="s">
        <v>433</v>
      </c>
      <c r="F11072">
        <v>6.1923653639558703E-8</v>
      </c>
      <c r="G11072">
        <v>710155</v>
      </c>
      <c r="H11072">
        <v>13813027</v>
      </c>
      <c r="I11072">
        <v>6183771</v>
      </c>
      <c r="J11072">
        <v>3</v>
      </c>
    </row>
    <row r="11073" spans="1:10" x14ac:dyDescent="0.25">
      <c r="A11073" t="s">
        <v>115</v>
      </c>
      <c r="B11073" s="1" t="str">
        <f>HYPERLINK("http://createmusicgroup.com","createmusicgroup.com")</f>
        <v>createmusicgroup.com</v>
      </c>
      <c r="C11073" t="s">
        <v>433</v>
      </c>
      <c r="F11073">
        <v>1.4175332793829599E-7</v>
      </c>
      <c r="G11073">
        <v>274683</v>
      </c>
      <c r="H11073">
        <v>16851832</v>
      </c>
      <c r="I11073">
        <v>157335</v>
      </c>
      <c r="J11073">
        <v>5</v>
      </c>
    </row>
    <row r="11074" spans="1:10" x14ac:dyDescent="0.25">
      <c r="A11074" t="s">
        <v>115</v>
      </c>
      <c r="B11074" s="1" t="str">
        <f>HYPERLINK("http://csnphilly.com","csnphilly.com")</f>
        <v>csnphilly.com</v>
      </c>
      <c r="C11074" t="s">
        <v>433</v>
      </c>
      <c r="E11074">
        <v>271405</v>
      </c>
      <c r="F11074">
        <v>2.3432519355199601E-7</v>
      </c>
      <c r="G11074">
        <v>160000</v>
      </c>
      <c r="H11074">
        <v>15104100</v>
      </c>
      <c r="I11074">
        <v>405913</v>
      </c>
      <c r="J11074">
        <v>3</v>
      </c>
    </row>
    <row r="11075" spans="1:10" x14ac:dyDescent="0.25">
      <c r="A11075" t="s">
        <v>115</v>
      </c>
      <c r="B11075" s="1" t="str">
        <f>HYPERLINK("http://cssott.com","cssott.com")</f>
        <v>cssott.com</v>
      </c>
      <c r="C11075" t="s">
        <v>433</v>
      </c>
      <c r="J11075">
        <v>4</v>
      </c>
    </row>
    <row r="11076" spans="1:10" x14ac:dyDescent="0.25">
      <c r="A11076" t="s">
        <v>115</v>
      </c>
      <c r="B11076" s="1" t="str">
        <f>HYPERLINK("http://dailycandy.com","dailycandy.com")</f>
        <v>dailycandy.com</v>
      </c>
      <c r="C11076" t="s">
        <v>433</v>
      </c>
      <c r="E11076">
        <v>158207</v>
      </c>
      <c r="F11076">
        <v>4.7467225785414001E-7</v>
      </c>
      <c r="G11076">
        <v>80013</v>
      </c>
      <c r="H11076">
        <v>14784077</v>
      </c>
      <c r="I11076">
        <v>553133</v>
      </c>
      <c r="J11076">
        <v>3</v>
      </c>
    </row>
    <row r="11077" spans="1:10" x14ac:dyDescent="0.25">
      <c r="A11077" t="s">
        <v>115</v>
      </c>
      <c r="B11077" s="1" t="str">
        <f>HYPERLINK("http://deepbluecommunications.com","deepbluecommunications.com")</f>
        <v>deepbluecommunications.com</v>
      </c>
      <c r="C11077" t="s">
        <v>433</v>
      </c>
      <c r="F11077">
        <v>1.8733328090883298E-8</v>
      </c>
      <c r="G11077">
        <v>2883474</v>
      </c>
      <c r="H11077">
        <v>13276888</v>
      </c>
      <c r="I11077">
        <v>10925498</v>
      </c>
      <c r="J11077">
        <v>3</v>
      </c>
    </row>
    <row r="11078" spans="1:10" x14ac:dyDescent="0.25">
      <c r="A11078" t="s">
        <v>115</v>
      </c>
      <c r="B11078" s="1" t="str">
        <f>HYPERLINK("http://deftech.com","deftech.com")</f>
        <v>deftech.com</v>
      </c>
      <c r="C11078" t="s">
        <v>433</v>
      </c>
      <c r="F11078">
        <v>7.13844164433779E-9</v>
      </c>
      <c r="G11078">
        <v>11908091</v>
      </c>
      <c r="H11078">
        <v>12688374</v>
      </c>
      <c r="I11078">
        <v>15431190</v>
      </c>
      <c r="J11078">
        <v>4</v>
      </c>
    </row>
    <row r="11079" spans="1:10" x14ac:dyDescent="0.25">
      <c r="A11079" t="s">
        <v>115</v>
      </c>
      <c r="B11079" s="1" t="str">
        <f>HYPERLINK("http://despicableme.com","despicableme.com")</f>
        <v>despicableme.com</v>
      </c>
      <c r="C11079" t="s">
        <v>433</v>
      </c>
      <c r="E11079">
        <v>841371</v>
      </c>
      <c r="F11079">
        <v>4.2226228421598801E-8</v>
      </c>
      <c r="G11079">
        <v>1154165</v>
      </c>
      <c r="H11079">
        <v>14644596</v>
      </c>
      <c r="I11079">
        <v>633674</v>
      </c>
      <c r="J11079">
        <v>5</v>
      </c>
    </row>
    <row r="11080" spans="1:10" x14ac:dyDescent="0.25">
      <c r="A11080" t="s">
        <v>115</v>
      </c>
      <c r="B11080" s="1" t="str">
        <f>HYPERLINK("http://diagonal-view.com","diagonal-view.com")</f>
        <v>diagonal-view.com</v>
      </c>
      <c r="C11080" t="s">
        <v>433</v>
      </c>
      <c r="F11080">
        <v>2.1885273368790699E-8</v>
      </c>
      <c r="G11080">
        <v>2399777</v>
      </c>
      <c r="H11080">
        <v>14162930</v>
      </c>
      <c r="I11080">
        <v>1831166</v>
      </c>
      <c r="J11080">
        <v>3</v>
      </c>
    </row>
    <row r="11081" spans="1:10" x14ac:dyDescent="0.25">
      <c r="A11081" t="s">
        <v>115</v>
      </c>
      <c r="B11081" s="1" t="str">
        <f>HYPERLINK("http://dreamworksanimation.com","dreamworksanimation.com")</f>
        <v>dreamworksanimation.com</v>
      </c>
      <c r="C11081" t="s">
        <v>433</v>
      </c>
      <c r="E11081">
        <v>131076</v>
      </c>
      <c r="F11081">
        <v>5.5230444367209101E-7</v>
      </c>
      <c r="G11081">
        <v>70093</v>
      </c>
      <c r="H11081">
        <v>17288130</v>
      </c>
      <c r="I11081">
        <v>29242</v>
      </c>
      <c r="J11081">
        <v>3</v>
      </c>
    </row>
    <row r="11082" spans="1:10" x14ac:dyDescent="0.25">
      <c r="A11082" t="s">
        <v>115</v>
      </c>
      <c r="B11082" s="1" t="str">
        <f>HYPERLINK("http://eonline.com","eonline.com")</f>
        <v>eonline.com</v>
      </c>
      <c r="C11082" t="s">
        <v>433</v>
      </c>
      <c r="E11082">
        <v>2866</v>
      </c>
      <c r="F11082">
        <v>1.16099410040213E-5</v>
      </c>
      <c r="G11082">
        <v>2951</v>
      </c>
      <c r="H11082">
        <v>18902968</v>
      </c>
      <c r="I11082">
        <v>640</v>
      </c>
      <c r="J11082">
        <v>3</v>
      </c>
    </row>
    <row r="11083" spans="1:10" x14ac:dyDescent="0.25">
      <c r="A11083" t="s">
        <v>115</v>
      </c>
      <c r="B11083" s="1" t="str">
        <f>HYPERLINK("http://fandango.com","fandango.com")</f>
        <v>fandango.com</v>
      </c>
      <c r="C11083" t="s">
        <v>433</v>
      </c>
      <c r="E11083">
        <v>6409</v>
      </c>
      <c r="F11083">
        <v>2.91835947923109E-6</v>
      </c>
      <c r="G11083">
        <v>13254</v>
      </c>
      <c r="H11083">
        <v>17668382</v>
      </c>
      <c r="I11083">
        <v>7990</v>
      </c>
      <c r="J11083">
        <v>3</v>
      </c>
    </row>
    <row r="11084" spans="1:10" x14ac:dyDescent="0.25">
      <c r="A11084" t="s">
        <v>115</v>
      </c>
      <c r="B11084" s="1" t="str">
        <f>HYPERLINK("http://fandangonow.com","fandangonow.com")</f>
        <v>fandangonow.com</v>
      </c>
      <c r="C11084" t="s">
        <v>433</v>
      </c>
      <c r="E11084">
        <v>11267</v>
      </c>
      <c r="F11084">
        <v>8.35165473403664E-7</v>
      </c>
      <c r="G11084">
        <v>47504</v>
      </c>
      <c r="H11084">
        <v>15538601</v>
      </c>
      <c r="I11084">
        <v>374125</v>
      </c>
      <c r="J11084">
        <v>5</v>
      </c>
    </row>
    <row r="11085" spans="1:10" x14ac:dyDescent="0.25">
      <c r="A11085" t="s">
        <v>115</v>
      </c>
      <c r="B11085" s="1" t="str">
        <f>HYPERLINK("http://fandangorewards.com","fandangorewards.com")</f>
        <v>fandangorewards.com</v>
      </c>
      <c r="C11085" t="s">
        <v>433</v>
      </c>
      <c r="F11085">
        <v>1.08223037740905E-8</v>
      </c>
      <c r="G11085">
        <v>6003228</v>
      </c>
      <c r="H11085">
        <v>12258010</v>
      </c>
      <c r="I11085">
        <v>21825403</v>
      </c>
      <c r="J11085">
        <v>7</v>
      </c>
    </row>
    <row r="11086" spans="1:10" x14ac:dyDescent="0.25">
      <c r="A11086" t="s">
        <v>115</v>
      </c>
      <c r="B11086" s="1" t="str">
        <f>HYPERLINK("http://focusfeatures.com","focusfeatures.com")</f>
        <v>focusfeatures.com</v>
      </c>
      <c r="C11086" t="s">
        <v>433</v>
      </c>
      <c r="E11086">
        <v>36576</v>
      </c>
      <c r="F11086">
        <v>1.1966544303274E-6</v>
      </c>
      <c r="G11086">
        <v>32584</v>
      </c>
      <c r="H11086">
        <v>15808290</v>
      </c>
      <c r="I11086">
        <v>368047</v>
      </c>
      <c r="J11086">
        <v>3</v>
      </c>
    </row>
    <row r="11087" spans="1:10" x14ac:dyDescent="0.25">
      <c r="A11087" t="s">
        <v>115</v>
      </c>
      <c r="B11087" s="1" t="str">
        <f>HYPERLINK("http://freewheel.com","freewheel.com")</f>
        <v>freewheel.com</v>
      </c>
      <c r="C11087" t="s">
        <v>433</v>
      </c>
      <c r="E11087">
        <v>202334</v>
      </c>
      <c r="F11087">
        <v>1.76525571617378E-6</v>
      </c>
      <c r="G11087">
        <v>22601</v>
      </c>
      <c r="H11087">
        <v>17100666</v>
      </c>
      <c r="I11087">
        <v>63768</v>
      </c>
      <c r="J11087">
        <v>3</v>
      </c>
    </row>
    <row r="11088" spans="1:10" x14ac:dyDescent="0.25">
      <c r="A11088" t="s">
        <v>115</v>
      </c>
      <c r="B11088" s="1" t="str">
        <f>HYPERLINK("http://globaldataguard.com","globaldataguard.com")</f>
        <v>globaldataguard.com</v>
      </c>
      <c r="C11088" t="s">
        <v>433</v>
      </c>
      <c r="F11088">
        <v>4.5857511293578101E-9</v>
      </c>
      <c r="G11088">
        <v>48776704</v>
      </c>
      <c r="H11088">
        <v>10842694</v>
      </c>
      <c r="I11088">
        <v>37045518</v>
      </c>
      <c r="J11088">
        <v>6</v>
      </c>
    </row>
    <row r="11089" spans="1:10" x14ac:dyDescent="0.25">
      <c r="A11089" t="s">
        <v>115</v>
      </c>
      <c r="B11089" s="1" t="str">
        <f>HYPERLINK("http://golfnow.com","golfnow.com")</f>
        <v>golfnow.com</v>
      </c>
      <c r="C11089" t="s">
        <v>433</v>
      </c>
      <c r="E11089">
        <v>37147</v>
      </c>
      <c r="F11089">
        <v>8.7958696391908999E-7</v>
      </c>
      <c r="G11089">
        <v>45629</v>
      </c>
      <c r="H11089">
        <v>15262333</v>
      </c>
      <c r="I11089">
        <v>389176</v>
      </c>
      <c r="J11089">
        <v>5</v>
      </c>
    </row>
    <row r="11090" spans="1:10" x14ac:dyDescent="0.25">
      <c r="A11090" t="s">
        <v>115</v>
      </c>
      <c r="B11090" s="1" t="str">
        <f>HYPERLINK("http://gramercypictures.com","gramercypictures.com")</f>
        <v>gramercypictures.com</v>
      </c>
      <c r="C11090" t="s">
        <v>433</v>
      </c>
      <c r="F11090">
        <v>6.2173476000753796E-9</v>
      </c>
      <c r="G11090">
        <v>15443983</v>
      </c>
      <c r="H11090">
        <v>14236553</v>
      </c>
      <c r="I11090">
        <v>1581192</v>
      </c>
      <c r="J11090">
        <v>3</v>
      </c>
    </row>
    <row r="11091" spans="1:10" x14ac:dyDescent="0.25">
      <c r="A11091" t="s">
        <v>115</v>
      </c>
      <c r="B11091" s="1" t="str">
        <f>HYPERLINK("http://hayu.com","hayu.com")</f>
        <v>hayu.com</v>
      </c>
      <c r="C11091" t="s">
        <v>433</v>
      </c>
      <c r="E11091">
        <v>74638</v>
      </c>
      <c r="F11091">
        <v>2.14275652694159E-7</v>
      </c>
      <c r="G11091">
        <v>176159</v>
      </c>
      <c r="H11091">
        <v>15062590</v>
      </c>
      <c r="I11091">
        <v>412349</v>
      </c>
      <c r="J11091">
        <v>4</v>
      </c>
    </row>
    <row r="11092" spans="1:10" x14ac:dyDescent="0.25">
      <c r="A11092" t="s">
        <v>115</v>
      </c>
      <c r="B11092" s="1" t="str">
        <f>HYPERLINK("http://icontrol.com","icontrol.com")</f>
        <v>icontrol.com</v>
      </c>
      <c r="C11092" t="s">
        <v>433</v>
      </c>
      <c r="E11092">
        <v>413593</v>
      </c>
      <c r="F11092">
        <v>8.3867402525128394E-8</v>
      </c>
      <c r="G11092">
        <v>493837</v>
      </c>
      <c r="H11092">
        <v>14545732</v>
      </c>
      <c r="I11092">
        <v>768879</v>
      </c>
      <c r="J11092">
        <v>3</v>
      </c>
    </row>
    <row r="11093" spans="1:10" x14ac:dyDescent="0.25">
      <c r="A11093" t="s">
        <v>115</v>
      </c>
      <c r="B11093" s="1" t="str">
        <f>HYPERLINK("http://illumination.com","illumination.com")</f>
        <v>illumination.com</v>
      </c>
      <c r="C11093" t="s">
        <v>433</v>
      </c>
      <c r="E11093">
        <v>549218</v>
      </c>
      <c r="F11093">
        <v>6.7631858669391101E-8</v>
      </c>
      <c r="G11093">
        <v>631582</v>
      </c>
      <c r="H11093">
        <v>14345262</v>
      </c>
      <c r="I11093">
        <v>1312708</v>
      </c>
      <c r="J11093">
        <v>4</v>
      </c>
    </row>
    <row r="11094" spans="1:10" x14ac:dyDescent="0.25">
      <c r="A11094" t="s">
        <v>115</v>
      </c>
      <c r="B11094" s="1" t="str">
        <f>HYPERLINK("http://illuminationent.com","illuminationent.com")</f>
        <v>illuminationent.com</v>
      </c>
      <c r="C11094" t="s">
        <v>433</v>
      </c>
      <c r="F11094">
        <v>4.4686994416352398E-9</v>
      </c>
      <c r="G11094">
        <v>64894677</v>
      </c>
      <c r="H11094">
        <v>10900795</v>
      </c>
      <c r="I11094">
        <v>35814348</v>
      </c>
      <c r="J11094">
        <v>4</v>
      </c>
    </row>
    <row r="11095" spans="1:10" x14ac:dyDescent="0.25">
      <c r="A11095" t="s">
        <v>115</v>
      </c>
      <c r="B11095" s="1" t="str">
        <f>HYPERLINK("http://illuminationmacguff.com","illuminationmacguff.com")</f>
        <v>illuminationmacguff.com</v>
      </c>
      <c r="C11095" t="s">
        <v>433</v>
      </c>
      <c r="F11095">
        <v>6.2116936602093894E-8</v>
      </c>
      <c r="G11095">
        <v>707715</v>
      </c>
      <c r="H11095">
        <v>14649449</v>
      </c>
      <c r="I11095">
        <v>628497</v>
      </c>
      <c r="J11095">
        <v>4</v>
      </c>
    </row>
    <row r="11096" spans="1:10" x14ac:dyDescent="0.25">
      <c r="A11096" t="s">
        <v>115</v>
      </c>
      <c r="B11096" s="1" t="str">
        <f>HYPERLINK("http://inbcu.com","inbcu.com")</f>
        <v>inbcu.com</v>
      </c>
      <c r="C11096" t="s">
        <v>433</v>
      </c>
      <c r="E11096">
        <v>65739</v>
      </c>
      <c r="F11096">
        <v>1.7156165846108899E-7</v>
      </c>
      <c r="G11096">
        <v>226100</v>
      </c>
      <c r="H11096">
        <v>13463787</v>
      </c>
      <c r="I11096">
        <v>10145106</v>
      </c>
      <c r="J11096">
        <v>4</v>
      </c>
    </row>
    <row r="11097" spans="1:10" x14ac:dyDescent="0.25">
      <c r="A11097" t="s">
        <v>115</v>
      </c>
      <c r="B11097" s="1" t="str">
        <f>HYPERLINK("http://irecruittotal.com","irecruittotal.com")</f>
        <v>irecruittotal.com</v>
      </c>
      <c r="C11097" t="s">
        <v>433</v>
      </c>
      <c r="F11097">
        <v>1.1299387050608999E-8</v>
      </c>
      <c r="G11097">
        <v>5643015</v>
      </c>
      <c r="H11097">
        <v>13982097</v>
      </c>
      <c r="I11097">
        <v>4046738</v>
      </c>
      <c r="J11097">
        <v>8</v>
      </c>
    </row>
    <row r="11098" spans="1:10" x14ac:dyDescent="0.25">
      <c r="A11098" t="s">
        <v>115</v>
      </c>
      <c r="B11098" s="1" t="str">
        <f>HYPERLINK("http://kurumba.com","kurumba.com")</f>
        <v>kurumba.com</v>
      </c>
      <c r="C11098" t="s">
        <v>433</v>
      </c>
      <c r="E11098">
        <v>667595</v>
      </c>
      <c r="F11098">
        <v>3.4647426638363101E-8</v>
      </c>
      <c r="G11098">
        <v>1497736</v>
      </c>
      <c r="H11098">
        <v>14653003</v>
      </c>
      <c r="I11098">
        <v>625559</v>
      </c>
      <c r="J11098">
        <v>5</v>
      </c>
    </row>
    <row r="11099" spans="1:10" x14ac:dyDescent="0.25">
      <c r="A11099" t="s">
        <v>115</v>
      </c>
      <c r="B11099" s="1" t="str">
        <f>HYPERLINK("http://lamplighterlabs.com","lamplighterlabs.com")</f>
        <v>lamplighterlabs.com</v>
      </c>
      <c r="C11099" t="s">
        <v>433</v>
      </c>
      <c r="F11099">
        <v>6.30335680100874E-9</v>
      </c>
      <c r="G11099">
        <v>15015702</v>
      </c>
      <c r="H11099">
        <v>13160744</v>
      </c>
      <c r="I11099">
        <v>11785644</v>
      </c>
      <c r="J11099">
        <v>6</v>
      </c>
    </row>
    <row r="11100" spans="1:10" x14ac:dyDescent="0.25">
      <c r="A11100" t="s">
        <v>115</v>
      </c>
      <c r="B11100" s="1" t="str">
        <f>HYPERLINK("http://masergy.com","masergy.com")</f>
        <v>masergy.com</v>
      </c>
      <c r="C11100" t="s">
        <v>433</v>
      </c>
      <c r="E11100">
        <v>34747</v>
      </c>
      <c r="F11100">
        <v>7.1421693188047305E-7</v>
      </c>
      <c r="G11100">
        <v>54336</v>
      </c>
      <c r="H11100">
        <v>14575379</v>
      </c>
      <c r="I11100">
        <v>730691</v>
      </c>
      <c r="J11100">
        <v>3</v>
      </c>
    </row>
    <row r="11101" spans="1:10" x14ac:dyDescent="0.25">
      <c r="A11101" t="s">
        <v>115</v>
      </c>
      <c r="B11101" s="1" t="str">
        <f>HYPERLINK("http://mbcuni.com","mbcuni.com")</f>
        <v>mbcuni.com</v>
      </c>
      <c r="C11101" t="s">
        <v>433</v>
      </c>
      <c r="J11101">
        <v>7</v>
      </c>
    </row>
    <row r="11102" spans="1:10" x14ac:dyDescent="0.25">
      <c r="A11102" t="s">
        <v>115</v>
      </c>
      <c r="B11102" s="1" t="str">
        <f>HYPERLINK("http://metrological.com","metrological.com")</f>
        <v>metrological.com</v>
      </c>
      <c r="C11102" t="s">
        <v>433</v>
      </c>
      <c r="E11102">
        <v>21612</v>
      </c>
      <c r="F11102">
        <v>7.7734734674263295E-8</v>
      </c>
      <c r="G11102">
        <v>538314</v>
      </c>
      <c r="H11102">
        <v>13143678</v>
      </c>
      <c r="I11102">
        <v>11861525</v>
      </c>
      <c r="J11102">
        <v>3</v>
      </c>
    </row>
    <row r="11103" spans="1:10" x14ac:dyDescent="0.25">
      <c r="A11103" t="s">
        <v>115</v>
      </c>
      <c r="B11103" s="1" t="str">
        <f>HYPERLINK("http://monkeykingdom.com","monkeykingdom.com")</f>
        <v>monkeykingdom.com</v>
      </c>
      <c r="C11103" t="s">
        <v>433</v>
      </c>
      <c r="F11103">
        <v>1.78685572233337E-8</v>
      </c>
      <c r="G11103">
        <v>3060130</v>
      </c>
      <c r="H11103">
        <v>14708702</v>
      </c>
      <c r="I11103">
        <v>584983</v>
      </c>
      <c r="J11103">
        <v>3</v>
      </c>
    </row>
    <row r="11104" spans="1:10" x14ac:dyDescent="0.25">
      <c r="A11104" t="s">
        <v>115</v>
      </c>
      <c r="B11104" s="1" t="str">
        <f>HYPERLINK("http://movieclips.com","movieclips.com")</f>
        <v>movieclips.com</v>
      </c>
      <c r="C11104" t="s">
        <v>433</v>
      </c>
      <c r="E11104">
        <v>108400</v>
      </c>
      <c r="F11104">
        <v>2.4029738622463001E-7</v>
      </c>
      <c r="G11104">
        <v>155694</v>
      </c>
      <c r="H11104">
        <v>15401958</v>
      </c>
      <c r="I11104">
        <v>380118</v>
      </c>
      <c r="J11104">
        <v>5</v>
      </c>
    </row>
    <row r="11105" spans="1:10" x14ac:dyDescent="0.25">
      <c r="A11105" t="s">
        <v>115</v>
      </c>
      <c r="B11105" s="1" t="str">
        <f>HYPERLINK("http://movietickets.com","movietickets.com")</f>
        <v>movietickets.com</v>
      </c>
      <c r="C11105" t="s">
        <v>433</v>
      </c>
      <c r="E11105">
        <v>77372</v>
      </c>
      <c r="F11105">
        <v>5.7338332326968899E-7</v>
      </c>
      <c r="G11105">
        <v>66644</v>
      </c>
      <c r="H11105">
        <v>17220574</v>
      </c>
      <c r="I11105">
        <v>38350</v>
      </c>
      <c r="J11105">
        <v>3</v>
      </c>
    </row>
    <row r="11106" spans="1:10" x14ac:dyDescent="0.25">
      <c r="A11106" t="s">
        <v>115</v>
      </c>
      <c r="B11106" s="1" t="str">
        <f>HYPERLINK("http://nbc.com","nbc.com")</f>
        <v>nbc.com</v>
      </c>
      <c r="C11106" t="s">
        <v>433</v>
      </c>
      <c r="E11106">
        <v>2625</v>
      </c>
      <c r="F11106">
        <v>1.00750922856278E-5</v>
      </c>
      <c r="G11106">
        <v>3336</v>
      </c>
      <c r="H11106">
        <v>18573336</v>
      </c>
      <c r="I11106">
        <v>1331</v>
      </c>
      <c r="J11106">
        <v>4</v>
      </c>
    </row>
    <row r="11107" spans="1:10" x14ac:dyDescent="0.25">
      <c r="A11107" t="s">
        <v>115</v>
      </c>
      <c r="B11107" s="1" t="str">
        <f>HYPERLINK("http://nbcnews.com","nbcnews.com")</f>
        <v>nbcnews.com</v>
      </c>
      <c r="C11107" t="s">
        <v>433</v>
      </c>
      <c r="E11107">
        <v>515</v>
      </c>
      <c r="F11107">
        <v>5.1258767807875001E-5</v>
      </c>
      <c r="G11107">
        <v>510</v>
      </c>
      <c r="H11107">
        <v>19380928</v>
      </c>
      <c r="I11107">
        <v>226</v>
      </c>
      <c r="J11107">
        <v>5</v>
      </c>
    </row>
    <row r="11108" spans="1:10" x14ac:dyDescent="0.25">
      <c r="A11108" t="s">
        <v>115</v>
      </c>
      <c r="B11108" s="1" t="str">
        <f>HYPERLINK("http://nbcsboston.com","nbcsboston.com")</f>
        <v>nbcsboston.com</v>
      </c>
      <c r="C11108" t="s">
        <v>433</v>
      </c>
      <c r="J11108">
        <v>4</v>
      </c>
    </row>
    <row r="11109" spans="1:10" x14ac:dyDescent="0.25">
      <c r="A11109" t="s">
        <v>115</v>
      </c>
      <c r="B11109" s="1" t="str">
        <f>HYPERLINK("http://nbcschicago.com","nbcschicago.com")</f>
        <v>nbcschicago.com</v>
      </c>
      <c r="C11109" t="s">
        <v>433</v>
      </c>
      <c r="F11109">
        <v>5.8170269520570403E-8</v>
      </c>
      <c r="G11109">
        <v>764973</v>
      </c>
      <c r="H11109">
        <v>13322372</v>
      </c>
      <c r="I11109">
        <v>10740806</v>
      </c>
      <c r="J11109">
        <v>4</v>
      </c>
    </row>
    <row r="11110" spans="1:10" x14ac:dyDescent="0.25">
      <c r="A11110" t="s">
        <v>115</v>
      </c>
      <c r="B11110" s="1" t="str">
        <f>HYPERLINK("http://nbcsphilly.com","nbcsphilly.com")</f>
        <v>nbcsphilly.com</v>
      </c>
      <c r="C11110" t="s">
        <v>433</v>
      </c>
      <c r="F11110">
        <v>4.58131766442066E-9</v>
      </c>
      <c r="G11110">
        <v>49182458</v>
      </c>
      <c r="H11110">
        <v>12130758</v>
      </c>
      <c r="I11110">
        <v>25120870</v>
      </c>
      <c r="J11110">
        <v>4</v>
      </c>
    </row>
    <row r="11111" spans="1:10" x14ac:dyDescent="0.25">
      <c r="A11111" t="s">
        <v>115</v>
      </c>
      <c r="B11111" s="1" t="str">
        <f>HYPERLINK("http://nbcsports.com","nbcsports.com")</f>
        <v>nbcsports.com</v>
      </c>
      <c r="C11111" t="s">
        <v>433</v>
      </c>
      <c r="E11111">
        <v>2827</v>
      </c>
      <c r="F11111">
        <v>7.8037803372356004E-6</v>
      </c>
      <c r="G11111">
        <v>4306</v>
      </c>
      <c r="H11111">
        <v>17990954</v>
      </c>
      <c r="I11111">
        <v>3749</v>
      </c>
      <c r="J11111">
        <v>4</v>
      </c>
    </row>
    <row r="11112" spans="1:10" x14ac:dyDescent="0.25">
      <c r="A11112" t="s">
        <v>115</v>
      </c>
      <c r="B11112" s="1" t="str">
        <f>HYPERLINK("http://nbcsportsbayarea.com","nbcsportsbayarea.com")</f>
        <v>nbcsportsbayarea.com</v>
      </c>
      <c r="C11112" t="s">
        <v>433</v>
      </c>
      <c r="F11112">
        <v>1.5312510643550701E-8</v>
      </c>
      <c r="G11112">
        <v>3742027</v>
      </c>
      <c r="H11112">
        <v>13012362</v>
      </c>
      <c r="I11112">
        <v>12742869</v>
      </c>
      <c r="J11112">
        <v>4</v>
      </c>
    </row>
    <row r="11113" spans="1:10" x14ac:dyDescent="0.25">
      <c r="A11113" t="s">
        <v>115</v>
      </c>
      <c r="B11113" s="1" t="str">
        <f>HYPERLINK("http://nbcsportsboston.com","nbcsportsboston.com")</f>
        <v>nbcsportsboston.com</v>
      </c>
      <c r="C11113" t="s">
        <v>433</v>
      </c>
      <c r="F11113">
        <v>1.1999349202189601E-7</v>
      </c>
      <c r="G11113">
        <v>329441</v>
      </c>
      <c r="H11113">
        <v>13600551</v>
      </c>
      <c r="I11113">
        <v>9649682</v>
      </c>
      <c r="J11113">
        <v>4</v>
      </c>
    </row>
    <row r="11114" spans="1:10" x14ac:dyDescent="0.25">
      <c r="A11114" t="s">
        <v>115</v>
      </c>
      <c r="B11114" s="1" t="str">
        <f>HYPERLINK("http://nbcsportscalifornia.com","nbcsportscalifornia.com")</f>
        <v>nbcsportscalifornia.com</v>
      </c>
      <c r="C11114" t="s">
        <v>433</v>
      </c>
      <c r="F11114">
        <v>1.30184720053821E-8</v>
      </c>
      <c r="G11114">
        <v>4622939</v>
      </c>
      <c r="H11114">
        <v>14419488</v>
      </c>
      <c r="I11114">
        <v>1091685</v>
      </c>
      <c r="J11114">
        <v>4</v>
      </c>
    </row>
    <row r="11115" spans="1:10" x14ac:dyDescent="0.25">
      <c r="A11115" t="s">
        <v>115</v>
      </c>
      <c r="B11115" s="1" t="str">
        <f>HYPERLINK("http://nbcsportschicago.com","nbcsportschicago.com")</f>
        <v>nbcsportschicago.com</v>
      </c>
      <c r="C11115" t="s">
        <v>433</v>
      </c>
      <c r="F11115">
        <v>1.8496550814130199E-7</v>
      </c>
      <c r="G11115">
        <v>208418</v>
      </c>
      <c r="H11115">
        <v>13658651</v>
      </c>
      <c r="I11115">
        <v>9602164</v>
      </c>
      <c r="J11115">
        <v>4</v>
      </c>
    </row>
    <row r="11116" spans="1:10" x14ac:dyDescent="0.25">
      <c r="A11116" t="s">
        <v>115</v>
      </c>
      <c r="B11116" s="1" t="str">
        <f>HYPERLINK("http://nbcsportsnorthwest.com","nbcsportsnorthwest.com")</f>
        <v>nbcsportsnorthwest.com</v>
      </c>
      <c r="C11116" t="s">
        <v>433</v>
      </c>
      <c r="F11116">
        <v>5.0349044560743804E-9</v>
      </c>
      <c r="G11116">
        <v>28557651</v>
      </c>
      <c r="H11116">
        <v>12496802</v>
      </c>
      <c r="I11116">
        <v>17403899</v>
      </c>
      <c r="J11116">
        <v>4</v>
      </c>
    </row>
    <row r="11117" spans="1:10" x14ac:dyDescent="0.25">
      <c r="A11117" t="s">
        <v>115</v>
      </c>
      <c r="B11117" s="1" t="str">
        <f>HYPERLINK("http://nbcsportsphiladelphia.com","nbcsportsphiladelphia.com")</f>
        <v>nbcsportsphiladelphia.com</v>
      </c>
      <c r="C11117" t="s">
        <v>433</v>
      </c>
      <c r="F11117">
        <v>3.22051720725327E-8</v>
      </c>
      <c r="G11117">
        <v>1605590</v>
      </c>
      <c r="H11117">
        <v>13294004</v>
      </c>
      <c r="I11117">
        <v>10857672</v>
      </c>
      <c r="J11117">
        <v>4</v>
      </c>
    </row>
    <row r="11118" spans="1:10" x14ac:dyDescent="0.25">
      <c r="A11118" t="s">
        <v>115</v>
      </c>
      <c r="B11118" s="1" t="str">
        <f>HYPERLINK("http://nbcsportswashington.com","nbcsportswashington.com")</f>
        <v>nbcsportswashington.com</v>
      </c>
      <c r="C11118" t="s">
        <v>433</v>
      </c>
      <c r="F11118">
        <v>6.7159167243375697E-8</v>
      </c>
      <c r="G11118">
        <v>636784</v>
      </c>
      <c r="H11118">
        <v>13366641</v>
      </c>
      <c r="I11118">
        <v>10480885</v>
      </c>
      <c r="J11118">
        <v>4</v>
      </c>
    </row>
    <row r="11119" spans="1:10" x14ac:dyDescent="0.25">
      <c r="A11119" t="s">
        <v>115</v>
      </c>
      <c r="B11119" s="1" t="str">
        <f>HYPERLINK("http://nbcswashington.com","nbcswashington.com")</f>
        <v>nbcswashington.com</v>
      </c>
      <c r="C11119" t="s">
        <v>433</v>
      </c>
      <c r="J11119">
        <v>4</v>
      </c>
    </row>
    <row r="11120" spans="1:10" x14ac:dyDescent="0.25">
      <c r="A11120" t="s">
        <v>115</v>
      </c>
      <c r="B11120" s="1" t="str">
        <f>HYPERLINK("http://nbcuas.com","nbcuas.com")</f>
        <v>nbcuas.com</v>
      </c>
      <c r="C11120" t="s">
        <v>433</v>
      </c>
      <c r="E11120">
        <v>22621</v>
      </c>
      <c r="F11120">
        <v>9.7778827076870496E-9</v>
      </c>
      <c r="G11120">
        <v>6992627</v>
      </c>
      <c r="H11120">
        <v>13252602</v>
      </c>
      <c r="I11120">
        <v>11070863</v>
      </c>
      <c r="J11120">
        <v>4</v>
      </c>
    </row>
    <row r="11121" spans="1:10" x14ac:dyDescent="0.25">
      <c r="A11121" t="s">
        <v>115</v>
      </c>
      <c r="B11121" s="1" t="str">
        <f>HYPERLINK("http://nbcumv.com","nbcumv.com")</f>
        <v>nbcumv.com</v>
      </c>
      <c r="C11121" t="s">
        <v>433</v>
      </c>
      <c r="E11121">
        <v>122600</v>
      </c>
      <c r="F11121">
        <v>1.5256246041711201E-6</v>
      </c>
      <c r="G11121">
        <v>25749</v>
      </c>
      <c r="H11121">
        <v>16559987</v>
      </c>
      <c r="I11121">
        <v>364862</v>
      </c>
      <c r="J11121">
        <v>4</v>
      </c>
    </row>
    <row r="11122" spans="1:10" x14ac:dyDescent="0.25">
      <c r="A11122" t="s">
        <v>115</v>
      </c>
      <c r="B11122" s="1" t="str">
        <f>HYPERLINK("http://nbcuni.com","nbcuni.com")</f>
        <v>nbcuni.com</v>
      </c>
      <c r="C11122" t="s">
        <v>433</v>
      </c>
      <c r="E11122">
        <v>7246</v>
      </c>
      <c r="F11122">
        <v>1.2974658996631799E-6</v>
      </c>
      <c r="G11122">
        <v>29937</v>
      </c>
      <c r="H11122">
        <v>17341646</v>
      </c>
      <c r="I11122">
        <v>23857</v>
      </c>
      <c r="J11122">
        <v>3</v>
      </c>
    </row>
    <row r="11123" spans="1:10" x14ac:dyDescent="0.25">
      <c r="A11123" t="s">
        <v>115</v>
      </c>
      <c r="B11123" s="1" t="str">
        <f>HYPERLINK("http://nbcuni-internationalcareers.com","nbcuni-internationalcareers.com")</f>
        <v>nbcuni-internationalcareers.com</v>
      </c>
      <c r="C11123" t="s">
        <v>433</v>
      </c>
      <c r="F11123">
        <v>4.8073713899197799E-9</v>
      </c>
      <c r="G11123">
        <v>35797901</v>
      </c>
      <c r="H11123">
        <v>12253956</v>
      </c>
      <c r="I11123">
        <v>21921020</v>
      </c>
      <c r="J11123">
        <v>3</v>
      </c>
    </row>
    <row r="11124" spans="1:10" x14ac:dyDescent="0.25">
      <c r="A11124" t="s">
        <v>115</v>
      </c>
      <c r="B11124" s="1" t="str">
        <f>HYPERLINK("http://nbcunicareers.com","nbcunicareers.com")</f>
        <v>nbcunicareers.com</v>
      </c>
      <c r="C11124" t="s">
        <v>433</v>
      </c>
      <c r="E11124">
        <v>255568</v>
      </c>
      <c r="F11124">
        <v>4.63851096229148E-7</v>
      </c>
      <c r="G11124">
        <v>81605</v>
      </c>
      <c r="H11124">
        <v>17243210</v>
      </c>
      <c r="I11124">
        <v>34921</v>
      </c>
      <c r="J11124">
        <v>5</v>
      </c>
    </row>
    <row r="11125" spans="1:10" x14ac:dyDescent="0.25">
      <c r="A11125" t="s">
        <v>115</v>
      </c>
      <c r="B11125" s="1" t="str">
        <f>HYPERLINK("http://nbcunitips.com","nbcunitips.com")</f>
        <v>nbcunitips.com</v>
      </c>
      <c r="C11125" t="s">
        <v>433</v>
      </c>
      <c r="F11125">
        <v>5.4336335950118698E-8</v>
      </c>
      <c r="G11125">
        <v>831276</v>
      </c>
      <c r="H11125">
        <v>14172538</v>
      </c>
      <c r="I11125">
        <v>1798607</v>
      </c>
      <c r="J11125">
        <v>4</v>
      </c>
    </row>
    <row r="11126" spans="1:10" x14ac:dyDescent="0.25">
      <c r="A11126" t="s">
        <v>115</v>
      </c>
      <c r="B11126" s="1" t="str">
        <f>HYPERLINK("http://nbcuniversal.com","nbcuniversal.com")</f>
        <v>nbcuniversal.com</v>
      </c>
      <c r="C11126" t="s">
        <v>433</v>
      </c>
      <c r="E11126">
        <v>38767</v>
      </c>
      <c r="F11126">
        <v>3.8715097667390796E-6</v>
      </c>
      <c r="G11126">
        <v>10705</v>
      </c>
      <c r="H11126">
        <v>17823110</v>
      </c>
      <c r="I11126">
        <v>5297</v>
      </c>
      <c r="J11126">
        <v>3</v>
      </c>
    </row>
    <row r="11127" spans="1:10" x14ac:dyDescent="0.25">
      <c r="A11127" t="s">
        <v>115</v>
      </c>
      <c r="B11127" s="1" t="str">
        <f>HYPERLINK("http://nbcunow.com","nbcunow.com")</f>
        <v>nbcunow.com</v>
      </c>
      <c r="C11127" t="s">
        <v>433</v>
      </c>
      <c r="E11127">
        <v>313049</v>
      </c>
      <c r="F11127">
        <v>1.44330772871392E-8</v>
      </c>
      <c r="G11127">
        <v>4045720</v>
      </c>
      <c r="H11127">
        <v>14416652</v>
      </c>
      <c r="I11127">
        <v>1101765</v>
      </c>
      <c r="J11127">
        <v>4</v>
      </c>
    </row>
    <row r="11128" spans="1:10" x14ac:dyDescent="0.25">
      <c r="A11128" t="s">
        <v>115</v>
      </c>
      <c r="B11128" s="1" t="str">
        <f>HYPERLINK("http://ncsisafe.com","ncsisafe.com")</f>
        <v>ncsisafe.com</v>
      </c>
      <c r="C11128" t="s">
        <v>433</v>
      </c>
      <c r="F11128">
        <v>7.7356737153846404E-8</v>
      </c>
      <c r="G11128">
        <v>541271</v>
      </c>
      <c r="H11128">
        <v>13111559</v>
      </c>
      <c r="I11128">
        <v>12030477</v>
      </c>
      <c r="J11128">
        <v>3</v>
      </c>
    </row>
    <row r="11129" spans="1:10" x14ac:dyDescent="0.25">
      <c r="A11129" t="s">
        <v>115</v>
      </c>
      <c r="B11129" s="1" t="str">
        <f>HYPERLINK("http://necn.com","necn.com")</f>
        <v>necn.com</v>
      </c>
      <c r="C11129" t="s">
        <v>433</v>
      </c>
      <c r="E11129">
        <v>24335</v>
      </c>
      <c r="F11129">
        <v>1.4275016209995599E-6</v>
      </c>
      <c r="G11129">
        <v>27420</v>
      </c>
      <c r="H11129">
        <v>17439756</v>
      </c>
      <c r="I11129">
        <v>16705</v>
      </c>
      <c r="J11129">
        <v>3</v>
      </c>
    </row>
    <row r="11130" spans="1:10" x14ac:dyDescent="0.25">
      <c r="A11130" t="s">
        <v>115</v>
      </c>
      <c r="B11130" s="1" t="str">
        <f>HYPERLINK("http://neweratickets.com","neweratickets.com")</f>
        <v>neweratickets.com</v>
      </c>
      <c r="C11130" t="s">
        <v>433</v>
      </c>
      <c r="F11130">
        <v>2.9682096345727699E-8</v>
      </c>
      <c r="G11130">
        <v>1734430</v>
      </c>
      <c r="H11130">
        <v>12234932</v>
      </c>
      <c r="I11130">
        <v>22381167</v>
      </c>
      <c r="J11130">
        <v>3</v>
      </c>
    </row>
    <row r="11131" spans="1:10" x14ac:dyDescent="0.25">
      <c r="A11131" t="s">
        <v>115</v>
      </c>
      <c r="B11131" s="1" t="str">
        <f>HYPERLINK("http://nowtv.com","nowtv.com")</f>
        <v>nowtv.com</v>
      </c>
      <c r="C11131" t="s">
        <v>433</v>
      </c>
      <c r="E11131">
        <v>21864</v>
      </c>
      <c r="F11131">
        <v>7.3365790115814203E-7</v>
      </c>
      <c r="G11131">
        <v>53047</v>
      </c>
      <c r="H11131">
        <v>17301812</v>
      </c>
      <c r="I11131">
        <v>27686</v>
      </c>
      <c r="J11131">
        <v>4</v>
      </c>
    </row>
    <row r="11132" spans="1:10" x14ac:dyDescent="0.25">
      <c r="A11132" t="s">
        <v>115</v>
      </c>
      <c r="B11132" s="1" t="str">
        <f>HYPERLINK("http://nvcuni.com","nvcuni.com")</f>
        <v>nvcuni.com</v>
      </c>
      <c r="C11132" t="s">
        <v>433</v>
      </c>
      <c r="J11132">
        <v>4</v>
      </c>
    </row>
    <row r="11133" spans="1:10" x14ac:dyDescent="0.25">
      <c r="A11133" t="s">
        <v>115</v>
      </c>
      <c r="B11133" s="1" t="str">
        <f>HYPERLINK("http://oceanusorigin.com","oceanusorigin.com")</f>
        <v>oceanusorigin.com</v>
      </c>
      <c r="C11133" t="s">
        <v>433</v>
      </c>
      <c r="F11133">
        <v>1.8178251469962599E-8</v>
      </c>
      <c r="G11133">
        <v>2994007</v>
      </c>
      <c r="H11133">
        <v>14473309</v>
      </c>
      <c r="I11133">
        <v>1040752</v>
      </c>
      <c r="J11133">
        <v>4</v>
      </c>
    </row>
    <row r="11134" spans="1:10" x14ac:dyDescent="0.25">
      <c r="A11134" t="s">
        <v>115</v>
      </c>
      <c r="B11134" s="1" t="str">
        <f>HYPERLINK("http://parthenonentertainment.com","parthenonentertainment.com")</f>
        <v>parthenonentertainment.com</v>
      </c>
      <c r="C11134" t="s">
        <v>433</v>
      </c>
      <c r="F11134">
        <v>1.5746772329954302E-8</v>
      </c>
      <c r="G11134">
        <v>3614305</v>
      </c>
      <c r="H11134">
        <v>12894087</v>
      </c>
      <c r="I11134">
        <v>13910631</v>
      </c>
      <c r="J11134">
        <v>3</v>
      </c>
    </row>
    <row r="11135" spans="1:10" x14ac:dyDescent="0.25">
      <c r="A11135" t="s">
        <v>115</v>
      </c>
      <c r="B11135" s="1" t="str">
        <f>HYPERLINK("http://peacocktv.com","peacocktv.com")</f>
        <v>peacocktv.com</v>
      </c>
      <c r="C11135" t="s">
        <v>433</v>
      </c>
      <c r="E11135">
        <v>1248</v>
      </c>
      <c r="F11135">
        <v>2.4688867250460102E-6</v>
      </c>
      <c r="G11135">
        <v>15139</v>
      </c>
      <c r="H11135">
        <v>17627610</v>
      </c>
      <c r="I11135">
        <v>8929</v>
      </c>
      <c r="J11135">
        <v>3</v>
      </c>
    </row>
    <row r="11136" spans="1:10" x14ac:dyDescent="0.25">
      <c r="A11136" t="s">
        <v>115</v>
      </c>
      <c r="B11136" s="1" t="str">
        <f>HYPERLINK("http://phonecheckinc.com","phonecheckinc.com")</f>
        <v>phonecheckinc.com</v>
      </c>
      <c r="C11136" t="s">
        <v>433</v>
      </c>
      <c r="F11136">
        <v>4.4459138740848901E-9</v>
      </c>
      <c r="G11136">
        <v>74771004</v>
      </c>
      <c r="H11136">
        <v>10647462</v>
      </c>
      <c r="I11136">
        <v>43644693</v>
      </c>
      <c r="J11136">
        <v>6</v>
      </c>
    </row>
    <row r="11137" spans="1:10" x14ac:dyDescent="0.25">
      <c r="A11137" t="s">
        <v>115</v>
      </c>
      <c r="B11137" s="1" t="str">
        <f>HYPERLINK("http://plaxo.com","plaxo.com")</f>
        <v>plaxo.com</v>
      </c>
      <c r="C11137" t="s">
        <v>433</v>
      </c>
      <c r="E11137">
        <v>51065</v>
      </c>
      <c r="F11137">
        <v>7.0537303652471899E-7</v>
      </c>
      <c r="G11137">
        <v>54923</v>
      </c>
      <c r="H11137">
        <v>17547988</v>
      </c>
      <c r="I11137">
        <v>11366</v>
      </c>
      <c r="J11137">
        <v>3</v>
      </c>
    </row>
    <row r="11138" spans="1:10" x14ac:dyDescent="0.25">
      <c r="A11138" t="s">
        <v>115</v>
      </c>
      <c r="B11138" s="1" t="str">
        <f>HYPERLINK("http://rottentomatoes.com","rottentomatoes.com")</f>
        <v>rottentomatoes.com</v>
      </c>
      <c r="C11138" t="s">
        <v>433</v>
      </c>
      <c r="E11138">
        <v>1179</v>
      </c>
      <c r="F11138">
        <v>7.9312290908312907E-6</v>
      </c>
      <c r="G11138">
        <v>4227</v>
      </c>
      <c r="H11138">
        <v>18184946</v>
      </c>
      <c r="I11138">
        <v>2799</v>
      </c>
      <c r="J11138">
        <v>5</v>
      </c>
    </row>
    <row r="11139" spans="1:10" x14ac:dyDescent="0.25">
      <c r="A11139" t="s">
        <v>115</v>
      </c>
      <c r="B11139" s="1" t="str">
        <f>HYPERLINK("http://seeso.com","seeso.com")</f>
        <v>seeso.com</v>
      </c>
      <c r="C11139" t="s">
        <v>433</v>
      </c>
      <c r="F11139">
        <v>6.1709058919993704E-8</v>
      </c>
      <c r="G11139">
        <v>712942</v>
      </c>
      <c r="H11139">
        <v>14567694</v>
      </c>
      <c r="I11139">
        <v>738171</v>
      </c>
      <c r="J11139">
        <v>4</v>
      </c>
    </row>
    <row r="11140" spans="1:10" x14ac:dyDescent="0.25">
      <c r="A11140" t="s">
        <v>115</v>
      </c>
      <c r="B11140" s="1" t="str">
        <f>HYPERLINK("http://sistusrecords.com","sistusrecords.com")</f>
        <v>sistusrecords.com</v>
      </c>
      <c r="C11140" t="s">
        <v>433</v>
      </c>
      <c r="F11140">
        <v>6.6131420284780203E-9</v>
      </c>
      <c r="G11140">
        <v>13627154</v>
      </c>
      <c r="H11140">
        <v>14071941</v>
      </c>
      <c r="I11140">
        <v>3219178</v>
      </c>
      <c r="J11140">
        <v>5</v>
      </c>
    </row>
    <row r="11141" spans="1:10" x14ac:dyDescent="0.25">
      <c r="A11141" t="s">
        <v>115</v>
      </c>
      <c r="B11141" s="1" t="str">
        <f>HYPERLINK("http://sky.com","sky.com")</f>
        <v>sky.com</v>
      </c>
      <c r="C11141" t="s">
        <v>433</v>
      </c>
      <c r="E11141">
        <v>1108</v>
      </c>
      <c r="F11141">
        <v>2.0486108085141901E-5</v>
      </c>
      <c r="G11141">
        <v>1448</v>
      </c>
      <c r="H11141">
        <v>19273958</v>
      </c>
      <c r="I11141">
        <v>301</v>
      </c>
      <c r="J11141">
        <v>3</v>
      </c>
    </row>
    <row r="11142" spans="1:10" x14ac:dyDescent="0.25">
      <c r="A11142" t="s">
        <v>115</v>
      </c>
      <c r="B11142" s="1" t="str">
        <f>HYPERLINK("http://skycdp.com","skycdp.com")</f>
        <v>skycdp.com</v>
      </c>
      <c r="C11142" t="s">
        <v>433</v>
      </c>
      <c r="E11142">
        <v>197692</v>
      </c>
      <c r="F11142">
        <v>1.9801422440580298E-8</v>
      </c>
      <c r="G11142">
        <v>2692927</v>
      </c>
      <c r="H11142">
        <v>13813976</v>
      </c>
      <c r="I11142">
        <v>6177283</v>
      </c>
      <c r="J11142">
        <v>4</v>
      </c>
    </row>
    <row r="11143" spans="1:10" x14ac:dyDescent="0.25">
      <c r="A11143" t="s">
        <v>115</v>
      </c>
      <c r="B11143" s="1" t="str">
        <f>HYPERLINK("http://skyprotect.com","skyprotect.com")</f>
        <v>skyprotect.com</v>
      </c>
      <c r="C11143" t="s">
        <v>433</v>
      </c>
      <c r="F11143">
        <v>3.1954180974141299E-8</v>
      </c>
      <c r="G11143">
        <v>1617080</v>
      </c>
      <c r="H11143">
        <v>13192074</v>
      </c>
      <c r="I11143">
        <v>11596240</v>
      </c>
      <c r="J11143">
        <v>4</v>
      </c>
    </row>
    <row r="11144" spans="1:10" x14ac:dyDescent="0.25">
      <c r="A11144" t="s">
        <v>115</v>
      </c>
      <c r="B11144" s="1" t="str">
        <f>HYPERLINK("http://skyshowtime.com","skyshowtime.com")</f>
        <v>skyshowtime.com</v>
      </c>
      <c r="C11144" t="s">
        <v>433</v>
      </c>
      <c r="E11144">
        <v>116054</v>
      </c>
      <c r="F11144">
        <v>7.6135047860377103E-8</v>
      </c>
      <c r="G11144">
        <v>551632</v>
      </c>
      <c r="H11144">
        <v>14352166</v>
      </c>
      <c r="I11144">
        <v>1308448</v>
      </c>
      <c r="J11144">
        <v>3</v>
      </c>
    </row>
    <row r="11145" spans="1:10" x14ac:dyDescent="0.25">
      <c r="A11145" t="s">
        <v>115</v>
      </c>
      <c r="B11145" s="1" t="str">
        <f>HYPERLINK("http://sportsengine.com","sportsengine.com")</f>
        <v>sportsengine.com</v>
      </c>
      <c r="C11145" t="s">
        <v>433</v>
      </c>
      <c r="E11145">
        <v>37628</v>
      </c>
      <c r="F11145">
        <v>6.7548613544273896E-6</v>
      </c>
      <c r="G11145">
        <v>4971</v>
      </c>
      <c r="H11145">
        <v>17378224</v>
      </c>
      <c r="I11145">
        <v>20805</v>
      </c>
      <c r="J11145">
        <v>3</v>
      </c>
    </row>
    <row r="11146" spans="1:10" x14ac:dyDescent="0.25">
      <c r="A11146" t="s">
        <v>115</v>
      </c>
      <c r="B11146" s="1" t="str">
        <f>HYPERLINK("http://stg-nbcuni.com","stg-nbcuni.com")</f>
        <v>stg-nbcuni.com</v>
      </c>
      <c r="C11146" t="s">
        <v>433</v>
      </c>
      <c r="J11146">
        <v>4</v>
      </c>
    </row>
    <row r="11147" spans="1:10" x14ac:dyDescent="0.25">
      <c r="A11147" t="s">
        <v>115</v>
      </c>
      <c r="B11147" s="1" t="str">
        <f>HYPERLINK("http://stg-tfayd.com","stg-tfayd.com")</f>
        <v>stg-tfayd.com</v>
      </c>
      <c r="C11147" t="s">
        <v>433</v>
      </c>
      <c r="E11147">
        <v>753330</v>
      </c>
      <c r="F11147">
        <v>4.44380996400719E-9</v>
      </c>
      <c r="G11147">
        <v>79628940</v>
      </c>
      <c r="H11147">
        <v>10351910</v>
      </c>
      <c r="I11147">
        <v>56133687</v>
      </c>
      <c r="J11147">
        <v>4</v>
      </c>
    </row>
    <row r="11148" spans="1:10" x14ac:dyDescent="0.25">
      <c r="A11148" t="s">
        <v>115</v>
      </c>
      <c r="B11148" s="1" t="str">
        <f>HYPERLINK("http://telemundo.com","telemundo.com")</f>
        <v>telemundo.com</v>
      </c>
      <c r="C11148" t="s">
        <v>433</v>
      </c>
      <c r="E11148">
        <v>22157</v>
      </c>
      <c r="F11148">
        <v>2.2663525213245001E-6</v>
      </c>
      <c r="G11148">
        <v>16273</v>
      </c>
      <c r="H11148">
        <v>17871708</v>
      </c>
      <c r="I11148">
        <v>4735</v>
      </c>
      <c r="J11148">
        <v>3</v>
      </c>
    </row>
    <row r="11149" spans="1:10" x14ac:dyDescent="0.25">
      <c r="A11149" t="s">
        <v>115</v>
      </c>
      <c r="B11149" s="1" t="str">
        <f>HYPERLINK("http://tfayd.com","tfayd.com")</f>
        <v>tfayd.com</v>
      </c>
      <c r="C11149" t="s">
        <v>433</v>
      </c>
      <c r="E11149">
        <v>142866</v>
      </c>
      <c r="F11149">
        <v>6.3403341235524598E-9</v>
      </c>
      <c r="G11149">
        <v>14809498</v>
      </c>
      <c r="H11149">
        <v>12196803</v>
      </c>
      <c r="I11149">
        <v>23402211</v>
      </c>
      <c r="J11149">
        <v>4</v>
      </c>
    </row>
    <row r="11150" spans="1:10" x14ac:dyDescent="0.25">
      <c r="A11150" t="s">
        <v>115</v>
      </c>
      <c r="B11150" s="1" t="str">
        <f>HYPERLINK("http://theplatform.com","theplatform.com")</f>
        <v>theplatform.com</v>
      </c>
      <c r="C11150" t="s">
        <v>433</v>
      </c>
      <c r="E11150">
        <v>3962</v>
      </c>
      <c r="F11150">
        <v>2.5080642024882901E-6</v>
      </c>
      <c r="G11150">
        <v>14968</v>
      </c>
      <c r="H11150">
        <v>17349196</v>
      </c>
      <c r="I11150">
        <v>23179</v>
      </c>
      <c r="J11150">
        <v>3</v>
      </c>
    </row>
    <row r="11151" spans="1:10" x14ac:dyDescent="0.25">
      <c r="A11151" t="s">
        <v>115</v>
      </c>
      <c r="B11151" s="1" t="str">
        <f>HYPERLINK("http://uip.com","uip.com")</f>
        <v>uip.com</v>
      </c>
      <c r="C11151" t="s">
        <v>433</v>
      </c>
      <c r="E11151">
        <v>738754</v>
      </c>
      <c r="F11151">
        <v>4.1128650803296498E-8</v>
      </c>
      <c r="G11151">
        <v>1262188</v>
      </c>
      <c r="H11151">
        <v>14646276</v>
      </c>
      <c r="I11151">
        <v>632303</v>
      </c>
      <c r="J11151">
        <v>3</v>
      </c>
    </row>
    <row r="11152" spans="1:10" x14ac:dyDescent="0.25">
      <c r="A11152" t="s">
        <v>115</v>
      </c>
      <c r="B11152" s="1" t="str">
        <f>HYPERLINK("http://uniquehandcarwash.com","uniquehandcarwash.com")</f>
        <v>uniquehandcarwash.com</v>
      </c>
      <c r="C11152" t="s">
        <v>433</v>
      </c>
      <c r="J11152">
        <v>3</v>
      </c>
    </row>
    <row r="11153" spans="1:10" x14ac:dyDescent="0.25">
      <c r="A11153" t="s">
        <v>115</v>
      </c>
      <c r="B11153" s="1" t="str">
        <f>HYPERLINK("http://universalbeijing.com","universalbeijing.com")</f>
        <v>universalbeijing.com</v>
      </c>
      <c r="C11153" t="s">
        <v>433</v>
      </c>
      <c r="J11153">
        <v>6</v>
      </c>
    </row>
    <row r="11154" spans="1:10" x14ac:dyDescent="0.25">
      <c r="A11154" t="s">
        <v>115</v>
      </c>
      <c r="B11154" s="1" t="str">
        <f>HYPERLINK("http://universalbeijingresort.com","universalbeijingresort.com")</f>
        <v>universalbeijingresort.com</v>
      </c>
      <c r="C11154" t="s">
        <v>433</v>
      </c>
      <c r="E11154">
        <v>446641</v>
      </c>
      <c r="F11154">
        <v>3.7345302134088799E-7</v>
      </c>
      <c r="G11154">
        <v>100275</v>
      </c>
      <c r="H11154">
        <v>14749970</v>
      </c>
      <c r="I11154">
        <v>563789</v>
      </c>
      <c r="J11154">
        <v>4</v>
      </c>
    </row>
    <row r="11155" spans="1:10" x14ac:dyDescent="0.25">
      <c r="A11155" t="s">
        <v>115</v>
      </c>
      <c r="B11155" s="1" t="str">
        <f>HYPERLINK("http://universalorlando.com","universalorlando.com")</f>
        <v>universalorlando.com</v>
      </c>
      <c r="C11155" t="s">
        <v>433</v>
      </c>
      <c r="E11155">
        <v>14665</v>
      </c>
      <c r="F11155">
        <v>2.2822078217979201E-6</v>
      </c>
      <c r="G11155">
        <v>16165</v>
      </c>
      <c r="H11155">
        <v>17620902</v>
      </c>
      <c r="I11155">
        <v>9101</v>
      </c>
      <c r="J11155">
        <v>4</v>
      </c>
    </row>
    <row r="11156" spans="1:10" x14ac:dyDescent="0.25">
      <c r="A11156" t="s">
        <v>115</v>
      </c>
      <c r="B11156" s="1" t="str">
        <f>HYPERLINK("http://universalparks.com","universalparks.com")</f>
        <v>universalparks.com</v>
      </c>
      <c r="C11156" t="s">
        <v>433</v>
      </c>
      <c r="E11156">
        <v>105644</v>
      </c>
      <c r="F11156">
        <v>1.4665707864995099E-7</v>
      </c>
      <c r="G11156">
        <v>265486</v>
      </c>
      <c r="H11156">
        <v>14187767</v>
      </c>
      <c r="I11156">
        <v>1765573</v>
      </c>
      <c r="J11156">
        <v>4</v>
      </c>
    </row>
    <row r="11157" spans="1:10" x14ac:dyDescent="0.25">
      <c r="A11157" t="s">
        <v>115</v>
      </c>
      <c r="B11157" s="1" t="str">
        <f>HYPERLINK("http://universalpicture.com","universalpicture.com")</f>
        <v>universalpicture.com</v>
      </c>
      <c r="C11157" t="s">
        <v>433</v>
      </c>
      <c r="F11157">
        <v>4.4496879075917503E-9</v>
      </c>
      <c r="G11157">
        <v>72113481</v>
      </c>
      <c r="H11157">
        <v>10731043</v>
      </c>
      <c r="I11157">
        <v>40881585</v>
      </c>
      <c r="J11157">
        <v>5</v>
      </c>
    </row>
    <row r="11158" spans="1:10" x14ac:dyDescent="0.25">
      <c r="A11158" t="s">
        <v>115</v>
      </c>
      <c r="B11158" s="1" t="str">
        <f>HYPERLINK("http://universalpictures.com","universalpictures.com")</f>
        <v>universalpictures.com</v>
      </c>
      <c r="C11158" t="s">
        <v>433</v>
      </c>
      <c r="E11158">
        <v>50817</v>
      </c>
      <c r="F11158">
        <v>1.45455825813292E-6</v>
      </c>
      <c r="G11158">
        <v>26947</v>
      </c>
      <c r="H11158">
        <v>15759102</v>
      </c>
      <c r="I11158">
        <v>368823</v>
      </c>
      <c r="J11158">
        <v>3</v>
      </c>
    </row>
    <row r="11159" spans="1:10" x14ac:dyDescent="0.25">
      <c r="A11159" t="s">
        <v>115</v>
      </c>
      <c r="B11159" s="1" t="str">
        <f>HYPERLINK("http://universalstudios.com","universalstudios.com")</f>
        <v>universalstudios.com</v>
      </c>
      <c r="C11159" t="s">
        <v>433</v>
      </c>
      <c r="E11159">
        <v>59408</v>
      </c>
      <c r="F11159">
        <v>5.9625103716442801E-7</v>
      </c>
      <c r="G11159">
        <v>64133</v>
      </c>
      <c r="H11159">
        <v>17241922</v>
      </c>
      <c r="I11159">
        <v>35102</v>
      </c>
      <c r="J11159">
        <v>3</v>
      </c>
    </row>
    <row r="11160" spans="1:10" x14ac:dyDescent="0.25">
      <c r="A11160" t="s">
        <v>115</v>
      </c>
      <c r="B11160" s="1" t="str">
        <f>HYPERLINK("http://universalstudiosentertainment.com","universalstudiosentertainment.com")</f>
        <v>universalstudiosentertainment.com</v>
      </c>
      <c r="C11160" t="s">
        <v>433</v>
      </c>
      <c r="E11160">
        <v>649811</v>
      </c>
      <c r="F11160">
        <v>2.8432136832037701E-7</v>
      </c>
      <c r="G11160">
        <v>130741</v>
      </c>
      <c r="H11160">
        <v>14990919</v>
      </c>
      <c r="I11160">
        <v>428066</v>
      </c>
      <c r="J11160">
        <v>4</v>
      </c>
    </row>
    <row r="11161" spans="1:10" x14ac:dyDescent="0.25">
      <c r="A11161" t="s">
        <v>115</v>
      </c>
      <c r="B11161" s="1" t="str">
        <f>HYPERLINK("http://universalstudioshollywood.com","universalstudioshollywood.com")</f>
        <v>universalstudioshollywood.com</v>
      </c>
      <c r="C11161" t="s">
        <v>433</v>
      </c>
      <c r="E11161">
        <v>27055</v>
      </c>
      <c r="F11161">
        <v>1.05340733475258E-6</v>
      </c>
      <c r="G11161">
        <v>36422</v>
      </c>
      <c r="H11161">
        <v>17311936</v>
      </c>
      <c r="I11161">
        <v>26607</v>
      </c>
      <c r="J11161">
        <v>3</v>
      </c>
    </row>
    <row r="11162" spans="1:10" x14ac:dyDescent="0.25">
      <c r="A11162" t="s">
        <v>115</v>
      </c>
      <c r="B11162" s="1" t="str">
        <f>HYPERLINK("http://uphe.com","uphe.com")</f>
        <v>uphe.com</v>
      </c>
      <c r="C11162" t="s">
        <v>433</v>
      </c>
      <c r="E11162">
        <v>21082</v>
      </c>
      <c r="F11162">
        <v>4.5159712650461301E-6</v>
      </c>
      <c r="G11162">
        <v>7796</v>
      </c>
      <c r="H11162">
        <v>17313574</v>
      </c>
      <c r="I11162">
        <v>26457</v>
      </c>
      <c r="J11162">
        <v>3</v>
      </c>
    </row>
    <row r="11163" spans="1:10" x14ac:dyDescent="0.25">
      <c r="A11163" t="s">
        <v>115</v>
      </c>
      <c r="B11163" s="1" t="str">
        <f>HYPERLINK("http://veggietales.com","veggietales.com")</f>
        <v>veggietales.com</v>
      </c>
      <c r="C11163" t="s">
        <v>433</v>
      </c>
      <c r="E11163">
        <v>320692</v>
      </c>
      <c r="F11163">
        <v>1.5216996406404299E-7</v>
      </c>
      <c r="G11163">
        <v>255238</v>
      </c>
      <c r="H11163">
        <v>15052150</v>
      </c>
      <c r="I11163">
        <v>414195</v>
      </c>
      <c r="J11163">
        <v>3</v>
      </c>
    </row>
    <row r="11164" spans="1:10" x14ac:dyDescent="0.25">
      <c r="A11164" t="s">
        <v>115</v>
      </c>
      <c r="B11164" s="1" t="str">
        <f>HYPERLINK("http://visibleworld.com","visibleworld.com")</f>
        <v>visibleworld.com</v>
      </c>
      <c r="C11164" t="s">
        <v>433</v>
      </c>
      <c r="F11164">
        <v>3.5593933757992099E-8</v>
      </c>
      <c r="G11164">
        <v>1462979</v>
      </c>
      <c r="H11164">
        <v>13801559</v>
      </c>
      <c r="I11164">
        <v>6273687</v>
      </c>
      <c r="J11164">
        <v>4</v>
      </c>
    </row>
    <row r="11165" spans="1:10" x14ac:dyDescent="0.25">
      <c r="A11165" t="s">
        <v>115</v>
      </c>
      <c r="B11165" s="1" t="str">
        <f>HYPERLINK("http://vudu.com","vudu.com")</f>
        <v>vudu.com</v>
      </c>
      <c r="C11165" t="s">
        <v>433</v>
      </c>
      <c r="E11165">
        <v>5977</v>
      </c>
      <c r="F11165">
        <v>2.71436156649894E-6</v>
      </c>
      <c r="G11165">
        <v>14050</v>
      </c>
      <c r="H11165">
        <v>17525008</v>
      </c>
      <c r="I11165">
        <v>12282</v>
      </c>
      <c r="J11165">
        <v>3</v>
      </c>
    </row>
    <row r="11166" spans="1:10" x14ac:dyDescent="0.25">
      <c r="A11166" t="s">
        <v>115</v>
      </c>
      <c r="B11166" s="1" t="str">
        <f>HYPERLINK("http://wetnwildorlando.com","wetnwildorlando.com")</f>
        <v>wetnwildorlando.com</v>
      </c>
      <c r="C11166" t="s">
        <v>433</v>
      </c>
      <c r="F11166">
        <v>2.70287583268337E-8</v>
      </c>
      <c r="G11166">
        <v>1902868</v>
      </c>
      <c r="H11166">
        <v>14567947</v>
      </c>
      <c r="I11166">
        <v>737888</v>
      </c>
      <c r="J11166">
        <v>5</v>
      </c>
    </row>
    <row r="11167" spans="1:10" x14ac:dyDescent="0.25">
      <c r="A11167" t="s">
        <v>115</v>
      </c>
      <c r="B11167" s="1" t="str">
        <f>HYPERLINK("http://workingtitlefilms.com","workingtitlefilms.com")</f>
        <v>workingtitlefilms.com</v>
      </c>
      <c r="C11167" t="s">
        <v>433</v>
      </c>
      <c r="E11167">
        <v>451421</v>
      </c>
      <c r="F11167">
        <v>1.91679637140253E-7</v>
      </c>
      <c r="G11167">
        <v>201062</v>
      </c>
      <c r="H11167">
        <v>14899164</v>
      </c>
      <c r="I11167">
        <v>463272</v>
      </c>
      <c r="J11167">
        <v>4</v>
      </c>
    </row>
    <row r="11168" spans="1:10" x14ac:dyDescent="0.25">
      <c r="A11168" t="s">
        <v>115</v>
      </c>
      <c r="B11168" s="1" t="str">
        <f>HYPERLINK("http://xfinity.com","xfinity.com")</f>
        <v>xfinity.com</v>
      </c>
      <c r="C11168" t="s">
        <v>433</v>
      </c>
      <c r="E11168">
        <v>547</v>
      </c>
      <c r="F11168">
        <v>7.28820037197913E-6</v>
      </c>
      <c r="G11168">
        <v>4627</v>
      </c>
      <c r="H11168">
        <v>18188022</v>
      </c>
      <c r="I11168">
        <v>2788</v>
      </c>
      <c r="J11168">
        <v>3</v>
      </c>
    </row>
    <row r="11169" spans="1:10" x14ac:dyDescent="0.25">
      <c r="A11169" t="s">
        <v>115</v>
      </c>
      <c r="B11169" s="1" t="str">
        <f>HYPERLINK("http://xfinityoncampus.com","xfinityoncampus.com")</f>
        <v>xfinityoncampus.com</v>
      </c>
      <c r="C11169" t="s">
        <v>433</v>
      </c>
      <c r="E11169">
        <v>718912</v>
      </c>
      <c r="F11169">
        <v>4.8239164314160502E-8</v>
      </c>
      <c r="G11169">
        <v>963053</v>
      </c>
      <c r="H11169">
        <v>14189776</v>
      </c>
      <c r="I11169">
        <v>1761932</v>
      </c>
      <c r="J11169">
        <v>4</v>
      </c>
    </row>
    <row r="11170" spans="1:10" x14ac:dyDescent="0.25">
      <c r="A11170" t="s">
        <v>115</v>
      </c>
      <c r="B11170" s="1" t="str">
        <f>HYPERLINK("http://xumo.com","xumo.com")</f>
        <v>xumo.com</v>
      </c>
      <c r="C11170" t="s">
        <v>433</v>
      </c>
      <c r="E11170">
        <v>46411</v>
      </c>
      <c r="F11170">
        <v>2.0350540474043701E-7</v>
      </c>
      <c r="G11170">
        <v>186819</v>
      </c>
      <c r="H11170">
        <v>15178740</v>
      </c>
      <c r="I11170">
        <v>397422</v>
      </c>
      <c r="J11170">
        <v>3</v>
      </c>
    </row>
    <row r="11171" spans="1:10" x14ac:dyDescent="0.25">
      <c r="A11171" t="s">
        <v>115</v>
      </c>
      <c r="B11171" s="1" t="str">
        <f>HYPERLINK("http://nbcuniversal.de","nbcuniversal.de")</f>
        <v>nbcuniversal.de</v>
      </c>
      <c r="C11171" t="s">
        <v>436</v>
      </c>
      <c r="D11171" t="s">
        <v>815</v>
      </c>
      <c r="F11171">
        <v>1.5412859501191398E-8</v>
      </c>
      <c r="G11171">
        <v>3710290</v>
      </c>
      <c r="H11171">
        <v>12543993</v>
      </c>
      <c r="I11171">
        <v>16895264</v>
      </c>
      <c r="J11171">
        <v>3</v>
      </c>
    </row>
    <row r="11172" spans="1:10" x14ac:dyDescent="0.25">
      <c r="A11172" t="s">
        <v>115</v>
      </c>
      <c r="B11172" s="1" t="str">
        <f>HYPERLINK("http://sky.de","sky.de")</f>
        <v>sky.de</v>
      </c>
      <c r="C11172" t="s">
        <v>436</v>
      </c>
      <c r="D11172" t="s">
        <v>815</v>
      </c>
      <c r="E11172">
        <v>20345</v>
      </c>
      <c r="F11172">
        <v>1.72765161035481E-6</v>
      </c>
      <c r="G11172">
        <v>23099</v>
      </c>
      <c r="H11172">
        <v>17428190</v>
      </c>
      <c r="I11172">
        <v>17356</v>
      </c>
      <c r="J11172">
        <v>3</v>
      </c>
    </row>
    <row r="11173" spans="1:10" x14ac:dyDescent="0.25">
      <c r="A11173" t="s">
        <v>115</v>
      </c>
      <c r="B11173" s="1" t="str">
        <f>HYPERLINK("http://sky-dierolledeineslebens.de","sky-dierolledeineslebens.de")</f>
        <v>sky-dierolledeineslebens.de</v>
      </c>
      <c r="C11173" t="s">
        <v>436</v>
      </c>
      <c r="D11173" t="s">
        <v>815</v>
      </c>
      <c r="J11173">
        <v>6</v>
      </c>
    </row>
    <row r="11174" spans="1:10" x14ac:dyDescent="0.25">
      <c r="A11174" t="s">
        <v>115</v>
      </c>
      <c r="B11174" s="1" t="str">
        <f>HYPERLINK("http://uphe.de","uphe.de")</f>
        <v>uphe.de</v>
      </c>
      <c r="C11174" t="s">
        <v>436</v>
      </c>
      <c r="D11174" t="s">
        <v>815</v>
      </c>
      <c r="F11174">
        <v>3.4049699162413E-8</v>
      </c>
      <c r="G11174">
        <v>1521108</v>
      </c>
      <c r="H11174">
        <v>14766792</v>
      </c>
      <c r="I11174">
        <v>558795</v>
      </c>
      <c r="J11174">
        <v>3</v>
      </c>
    </row>
    <row r="11175" spans="1:10" x14ac:dyDescent="0.25">
      <c r="A11175" t="s">
        <v>115</v>
      </c>
      <c r="B11175" s="1" t="str">
        <f>HYPERLINK("http://filmibiografen.dk","filmibiografen.dk")</f>
        <v>filmibiografen.dk</v>
      </c>
      <c r="C11175" t="s">
        <v>437</v>
      </c>
      <c r="D11175" t="s">
        <v>816</v>
      </c>
      <c r="F11175">
        <v>5.9745742680745297E-9</v>
      </c>
      <c r="G11175">
        <v>16852778</v>
      </c>
      <c r="H11175">
        <v>13560872</v>
      </c>
      <c r="I11175">
        <v>9849051</v>
      </c>
      <c r="J11175">
        <v>4</v>
      </c>
    </row>
    <row r="11176" spans="1:10" x14ac:dyDescent="0.25">
      <c r="A11176" t="s">
        <v>115</v>
      </c>
      <c r="B11176" s="1" t="str">
        <f>HYPERLINK("http://uip.dk","uip.dk")</f>
        <v>uip.dk</v>
      </c>
      <c r="C11176" t="s">
        <v>437</v>
      </c>
      <c r="D11176" t="s">
        <v>816</v>
      </c>
      <c r="F11176">
        <v>1.6272244999790701E-8</v>
      </c>
      <c r="G11176">
        <v>3477570</v>
      </c>
      <c r="H11176">
        <v>14096945</v>
      </c>
      <c r="I11176">
        <v>2722938</v>
      </c>
      <c r="J11176">
        <v>4</v>
      </c>
    </row>
    <row r="11177" spans="1:10" x14ac:dyDescent="0.25">
      <c r="A11177" t="s">
        <v>115</v>
      </c>
      <c r="B11177" s="1" t="str">
        <f>HYPERLINK("http://sky.es","sky.es")</f>
        <v>sky.es</v>
      </c>
      <c r="C11177" t="s">
        <v>443</v>
      </c>
      <c r="D11177" t="s">
        <v>822</v>
      </c>
      <c r="F11177">
        <v>4.0186165788752299E-8</v>
      </c>
      <c r="G11177">
        <v>1287155</v>
      </c>
      <c r="H11177">
        <v>14083879</v>
      </c>
      <c r="I11177">
        <v>2790767</v>
      </c>
      <c r="J11177">
        <v>4</v>
      </c>
    </row>
    <row r="11178" spans="1:10" x14ac:dyDescent="0.25">
      <c r="A11178" t="s">
        <v>115</v>
      </c>
      <c r="B11178" s="1" t="str">
        <f>HYPERLINK("http://eonline.fi","eonline.fi")</f>
        <v>eonline.fi</v>
      </c>
      <c r="C11178" t="s">
        <v>445</v>
      </c>
      <c r="D11178" t="s">
        <v>823</v>
      </c>
      <c r="J11178">
        <v>4</v>
      </c>
    </row>
    <row r="11179" spans="1:10" x14ac:dyDescent="0.25">
      <c r="A11179" t="s">
        <v>115</v>
      </c>
      <c r="B11179" s="1" t="str">
        <f>HYPERLINK("http://fiftyshades.fi","fiftyshades.fi")</f>
        <v>fiftyshades.fi</v>
      </c>
      <c r="C11179" t="s">
        <v>445</v>
      </c>
      <c r="D11179" t="s">
        <v>823</v>
      </c>
      <c r="F11179">
        <v>4.44380395335525E-9</v>
      </c>
      <c r="G11179">
        <v>87708406</v>
      </c>
      <c r="H11179">
        <v>0</v>
      </c>
      <c r="I11179">
        <v>85884794</v>
      </c>
      <c r="J11179">
        <v>4</v>
      </c>
    </row>
    <row r="11180" spans="1:10" x14ac:dyDescent="0.25">
      <c r="A11180" t="s">
        <v>115</v>
      </c>
      <c r="B11180" s="1" t="str">
        <f>HYPERLINK("http://fiftyshadesofgrey.fi","fiftyshadesofgrey.fi")</f>
        <v>fiftyshadesofgrey.fi</v>
      </c>
      <c r="C11180" t="s">
        <v>445</v>
      </c>
      <c r="D11180" t="s">
        <v>823</v>
      </c>
      <c r="F11180">
        <v>4.93271912094508E-9</v>
      </c>
      <c r="G11180">
        <v>31301437</v>
      </c>
      <c r="H11180">
        <v>14071789</v>
      </c>
      <c r="I11180">
        <v>3635061</v>
      </c>
      <c r="J11180">
        <v>4</v>
      </c>
    </row>
    <row r="11181" spans="1:10" x14ac:dyDescent="0.25">
      <c r="A11181" t="s">
        <v>115</v>
      </c>
      <c r="B11181" s="1" t="str">
        <f>HYPERLINK("http://jurassicworld.fi","jurassicworld.fi")</f>
        <v>jurassicworld.fi</v>
      </c>
      <c r="C11181" t="s">
        <v>445</v>
      </c>
      <c r="D11181" t="s">
        <v>823</v>
      </c>
      <c r="J11181">
        <v>4</v>
      </c>
    </row>
    <row r="11182" spans="1:10" x14ac:dyDescent="0.25">
      <c r="A11182" t="s">
        <v>115</v>
      </c>
      <c r="B11182" s="1" t="str">
        <f>HYPERLINK("http://katyrit.fi","katyrit.fi")</f>
        <v>katyrit.fi</v>
      </c>
      <c r="C11182" t="s">
        <v>445</v>
      </c>
      <c r="D11182" t="s">
        <v>823</v>
      </c>
      <c r="F11182">
        <v>4.9163486943717898E-9</v>
      </c>
      <c r="G11182">
        <v>31904434</v>
      </c>
      <c r="H11182">
        <v>14071789</v>
      </c>
      <c r="I11182">
        <v>3635320</v>
      </c>
      <c r="J11182">
        <v>4</v>
      </c>
    </row>
    <row r="11183" spans="1:10" x14ac:dyDescent="0.25">
      <c r="A11183" t="s">
        <v>115</v>
      </c>
      <c r="B11183" s="1" t="str">
        <f>HYPERLINK("http://ktyrit.fi","ktyrit.fi")</f>
        <v>ktyrit.fi</v>
      </c>
      <c r="C11183" t="s">
        <v>445</v>
      </c>
      <c r="D11183" t="s">
        <v>823</v>
      </c>
      <c r="J11183">
        <v>4</v>
      </c>
    </row>
    <row r="11184" spans="1:10" x14ac:dyDescent="0.25">
      <c r="A11184" t="s">
        <v>115</v>
      </c>
      <c r="B11184" s="1" t="str">
        <f>HYPERLINK("http://madagascar-elokuva.fi","madagascar-elokuva.fi")</f>
        <v>madagascar-elokuva.fi</v>
      </c>
      <c r="C11184" t="s">
        <v>445</v>
      </c>
      <c r="D11184" t="s">
        <v>823</v>
      </c>
      <c r="J11184">
        <v>4</v>
      </c>
    </row>
    <row r="11185" spans="1:10" x14ac:dyDescent="0.25">
      <c r="A11185" t="s">
        <v>115</v>
      </c>
      <c r="B11185" s="1" t="str">
        <f>HYPERLINK("http://nainkoulutatlohikaarmeesi.fi","nainkoulutatlohikaarmeesi.fi")</f>
        <v>nainkoulutatlohikaarmeesi.fi</v>
      </c>
      <c r="C11185" t="s">
        <v>445</v>
      </c>
      <c r="D11185" t="s">
        <v>823</v>
      </c>
      <c r="F11185">
        <v>4.8810993716143603E-9</v>
      </c>
      <c r="G11185">
        <v>33042676</v>
      </c>
      <c r="H11185">
        <v>12959142</v>
      </c>
      <c r="I11185">
        <v>13172827</v>
      </c>
      <c r="J11185">
        <v>4</v>
      </c>
    </row>
    <row r="11186" spans="1:10" x14ac:dyDescent="0.25">
      <c r="A11186" t="s">
        <v>115</v>
      </c>
      <c r="B11186" s="1" t="str">
        <f>HYPERLINK("http://nowtv.fi","nowtv.fi")</f>
        <v>nowtv.fi</v>
      </c>
      <c r="C11186" t="s">
        <v>445</v>
      </c>
      <c r="D11186" t="s">
        <v>823</v>
      </c>
      <c r="J11186">
        <v>4</v>
      </c>
    </row>
    <row r="11187" spans="1:10" x14ac:dyDescent="0.25">
      <c r="A11187" t="s">
        <v>115</v>
      </c>
      <c r="B11187" s="1" t="str">
        <f>HYPERLINK("http://pacificrim-elokuva.fi","pacificrim-elokuva.fi")</f>
        <v>pacificrim-elokuva.fi</v>
      </c>
      <c r="C11187" t="s">
        <v>445</v>
      </c>
      <c r="D11187" t="s">
        <v>823</v>
      </c>
      <c r="J11187">
        <v>4</v>
      </c>
    </row>
    <row r="11188" spans="1:10" x14ac:dyDescent="0.25">
      <c r="A11188" t="s">
        <v>115</v>
      </c>
      <c r="B11188" s="1" t="str">
        <f>HYPERLINK("http://pomagrate.fi","pomagrate.fi")</f>
        <v>pomagrate.fi</v>
      </c>
      <c r="C11188" t="s">
        <v>445</v>
      </c>
      <c r="D11188" t="s">
        <v>823</v>
      </c>
      <c r="J11188">
        <v>6</v>
      </c>
    </row>
    <row r="11189" spans="1:10" x14ac:dyDescent="0.25">
      <c r="A11189" t="s">
        <v>115</v>
      </c>
      <c r="B11189" s="1" t="str">
        <f>HYPERLINK("http://pomagreat.fi","pomagreat.fi")</f>
        <v>pomagreat.fi</v>
      </c>
      <c r="C11189" t="s">
        <v>445</v>
      </c>
      <c r="D11189" t="s">
        <v>823</v>
      </c>
      <c r="J11189">
        <v>6</v>
      </c>
    </row>
    <row r="11190" spans="1:10" x14ac:dyDescent="0.25">
      <c r="A11190" t="s">
        <v>115</v>
      </c>
      <c r="B11190" s="1" t="str">
        <f>HYPERLINK("http://pomegrate.fi","pomegrate.fi")</f>
        <v>pomegrate.fi</v>
      </c>
      <c r="C11190" t="s">
        <v>445</v>
      </c>
      <c r="D11190" t="s">
        <v>823</v>
      </c>
      <c r="J11190">
        <v>6</v>
      </c>
    </row>
    <row r="11191" spans="1:10" x14ac:dyDescent="0.25">
      <c r="A11191" t="s">
        <v>115</v>
      </c>
      <c r="B11191" s="1" t="str">
        <f>HYPERLINK("http://pomegreat.fi","pomegreat.fi")</f>
        <v>pomegreat.fi</v>
      </c>
      <c r="C11191" t="s">
        <v>445</v>
      </c>
      <c r="D11191" t="s">
        <v>823</v>
      </c>
      <c r="J11191">
        <v>6</v>
      </c>
    </row>
    <row r="11192" spans="1:10" x14ac:dyDescent="0.25">
      <c r="A11192" t="s">
        <v>115</v>
      </c>
      <c r="B11192" s="1" t="str">
        <f>HYPERLINK("http://pomegreatjuice.fi","pomegreatjuice.fi")</f>
        <v>pomegreatjuice.fi</v>
      </c>
      <c r="C11192" t="s">
        <v>445</v>
      </c>
      <c r="D11192" t="s">
        <v>823</v>
      </c>
      <c r="J11192">
        <v>6</v>
      </c>
    </row>
    <row r="11193" spans="1:10" x14ac:dyDescent="0.25">
      <c r="A11193" t="s">
        <v>115</v>
      </c>
      <c r="B11193" s="1" t="str">
        <f>HYPERLINK("http://pomegreatpomegranatejuice.fi","pomegreatpomegranatejuice.fi")</f>
        <v>pomegreatpomegranatejuice.fi</v>
      </c>
      <c r="C11193" t="s">
        <v>445</v>
      </c>
      <c r="D11193" t="s">
        <v>823</v>
      </c>
      <c r="J11193">
        <v>6</v>
      </c>
    </row>
    <row r="11194" spans="1:10" x14ac:dyDescent="0.25">
      <c r="A11194" t="s">
        <v>115</v>
      </c>
      <c r="B11194" s="1" t="str">
        <f>HYPERLINK("http://pomegreatpomwonderful.fi","pomegreatpomwonderful.fi")</f>
        <v>pomegreatpomwonderful.fi</v>
      </c>
      <c r="C11194" t="s">
        <v>445</v>
      </c>
      <c r="D11194" t="s">
        <v>823</v>
      </c>
      <c r="J11194">
        <v>6</v>
      </c>
    </row>
    <row r="11195" spans="1:10" x14ac:dyDescent="0.25">
      <c r="A11195" t="s">
        <v>115</v>
      </c>
      <c r="B11195" s="1" t="str">
        <f>HYPERLINK("http://pomwonderful.fi","pomwonderful.fi")</f>
        <v>pomwonderful.fi</v>
      </c>
      <c r="C11195" t="s">
        <v>445</v>
      </c>
      <c r="D11195" t="s">
        <v>823</v>
      </c>
      <c r="J11195">
        <v>6</v>
      </c>
    </row>
    <row r="11196" spans="1:10" x14ac:dyDescent="0.25">
      <c r="A11196" t="s">
        <v>115</v>
      </c>
      <c r="B11196" s="1" t="str">
        <f>HYPERLINK("http://pomwonderfulpomegreat.fi","pomwonderfulpomegreat.fi")</f>
        <v>pomwonderfulpomegreat.fi</v>
      </c>
      <c r="C11196" t="s">
        <v>445</v>
      </c>
      <c r="D11196" t="s">
        <v>823</v>
      </c>
      <c r="J11196">
        <v>6</v>
      </c>
    </row>
    <row r="11197" spans="1:10" x14ac:dyDescent="0.25">
      <c r="A11197" t="s">
        <v>115</v>
      </c>
      <c r="B11197" s="1" t="str">
        <f>HYPERLINK("http://popofculture.fi","popofculture.fi")</f>
        <v>popofculture.fi</v>
      </c>
      <c r="C11197" t="s">
        <v>445</v>
      </c>
      <c r="D11197" t="s">
        <v>823</v>
      </c>
      <c r="J11197">
        <v>4</v>
      </c>
    </row>
    <row r="11198" spans="1:10" x14ac:dyDescent="0.25">
      <c r="A11198" t="s">
        <v>115</v>
      </c>
      <c r="B11198" s="1" t="str">
        <f>HYPERLINK("http://skyprocycling.fi","skyprocycling.fi")</f>
        <v>skyprocycling.fi</v>
      </c>
      <c r="C11198" t="s">
        <v>445</v>
      </c>
      <c r="D11198" t="s">
        <v>823</v>
      </c>
      <c r="J11198">
        <v>4</v>
      </c>
    </row>
    <row r="11199" spans="1:10" x14ac:dyDescent="0.25">
      <c r="A11199" t="s">
        <v>115</v>
      </c>
      <c r="B11199" s="1" t="str">
        <f>HYPERLINK("http://skytv.fi","skytv.fi")</f>
        <v>skytv.fi</v>
      </c>
      <c r="C11199" t="s">
        <v>445</v>
      </c>
      <c r="D11199" t="s">
        <v>823</v>
      </c>
      <c r="J11199">
        <v>2</v>
      </c>
    </row>
    <row r="11200" spans="1:10" x14ac:dyDescent="0.25">
      <c r="A11200" t="s">
        <v>115</v>
      </c>
      <c r="B11200" s="1" t="str">
        <f>HYPERLINK("http://teamsky.fi","teamsky.fi")</f>
        <v>teamsky.fi</v>
      </c>
      <c r="C11200" t="s">
        <v>445</v>
      </c>
      <c r="D11200" t="s">
        <v>823</v>
      </c>
      <c r="J11200">
        <v>4</v>
      </c>
    </row>
    <row r="11201" spans="1:10" x14ac:dyDescent="0.25">
      <c r="A11201" t="s">
        <v>115</v>
      </c>
      <c r="B11201" s="1" t="str">
        <f>HYPERLINK("http://unwrapt.fi","unwrapt.fi")</f>
        <v>unwrapt.fi</v>
      </c>
      <c r="C11201" t="s">
        <v>445</v>
      </c>
      <c r="D11201" t="s">
        <v>823</v>
      </c>
      <c r="J11201">
        <v>4</v>
      </c>
    </row>
    <row r="11202" spans="1:10" x14ac:dyDescent="0.25">
      <c r="A11202" t="s">
        <v>115</v>
      </c>
      <c r="B11202" s="1" t="str">
        <f>HYPERLINK("http://blueface.ie","blueface.ie")</f>
        <v>blueface.ie</v>
      </c>
      <c r="C11202" t="s">
        <v>455</v>
      </c>
      <c r="D11202" t="s">
        <v>832</v>
      </c>
      <c r="F11202">
        <v>1.88410381709013E-8</v>
      </c>
      <c r="G11202">
        <v>2864114</v>
      </c>
      <c r="H11202">
        <v>13077130</v>
      </c>
      <c r="I11202">
        <v>12203336</v>
      </c>
      <c r="J11202">
        <v>4</v>
      </c>
    </row>
    <row r="11203" spans="1:10" x14ac:dyDescent="0.25">
      <c r="A11203" t="s">
        <v>115</v>
      </c>
      <c r="B11203" s="1" t="str">
        <f>HYPERLINK("http://golfnow.ie","golfnow.ie")</f>
        <v>golfnow.ie</v>
      </c>
      <c r="C11203" t="s">
        <v>455</v>
      </c>
      <c r="D11203" t="s">
        <v>832</v>
      </c>
      <c r="F11203">
        <v>1.02423092248391E-8</v>
      </c>
      <c r="G11203">
        <v>6505987</v>
      </c>
      <c r="H11203">
        <v>13559165</v>
      </c>
      <c r="I11203">
        <v>9858117</v>
      </c>
      <c r="J11203">
        <v>5</v>
      </c>
    </row>
    <row r="11204" spans="1:10" x14ac:dyDescent="0.25">
      <c r="A11204" t="s">
        <v>115</v>
      </c>
      <c r="B11204" s="1" t="str">
        <f>HYPERLINK("http://sky.ie","sky.ie")</f>
        <v>sky.ie</v>
      </c>
      <c r="C11204" t="s">
        <v>455</v>
      </c>
      <c r="D11204" t="s">
        <v>832</v>
      </c>
      <c r="F11204">
        <v>3.6504527503009099E-8</v>
      </c>
      <c r="G11204">
        <v>1430427</v>
      </c>
      <c r="H11204">
        <v>13148088</v>
      </c>
      <c r="I11204">
        <v>11835875</v>
      </c>
      <c r="J11204">
        <v>4</v>
      </c>
    </row>
    <row r="11205" spans="1:10" x14ac:dyDescent="0.25">
      <c r="A11205" t="s">
        <v>115</v>
      </c>
      <c r="B11205" s="1" t="str">
        <f>HYPERLINK("http://accessonline.io","accessonline.io")</f>
        <v>accessonline.io</v>
      </c>
      <c r="C11205" t="s">
        <v>518</v>
      </c>
      <c r="F11205">
        <v>4.44380395335525E-9</v>
      </c>
      <c r="G11205">
        <v>85090942</v>
      </c>
      <c r="H11205">
        <v>0</v>
      </c>
      <c r="I11205">
        <v>86273139</v>
      </c>
      <c r="J11205">
        <v>6</v>
      </c>
    </row>
    <row r="11206" spans="1:10" x14ac:dyDescent="0.25">
      <c r="A11206" t="s">
        <v>115</v>
      </c>
      <c r="B11206" s="1" t="str">
        <f>HYPERLINK("http://bluvector.io","bluvector.io")</f>
        <v>bluvector.io</v>
      </c>
      <c r="C11206" t="s">
        <v>518</v>
      </c>
      <c r="F11206">
        <v>7.7738365638806194E-8</v>
      </c>
      <c r="G11206">
        <v>538289</v>
      </c>
      <c r="H11206">
        <v>13891630</v>
      </c>
      <c r="I11206">
        <v>5960865</v>
      </c>
      <c r="J11206">
        <v>3</v>
      </c>
    </row>
    <row r="11207" spans="1:10" x14ac:dyDescent="0.25">
      <c r="A11207" t="s">
        <v>115</v>
      </c>
      <c r="B11207" s="1" t="str">
        <f>HYPERLINK("http://esposat.it","esposat.it")</f>
        <v>esposat.it</v>
      </c>
      <c r="C11207" t="s">
        <v>459</v>
      </c>
      <c r="D11207" t="s">
        <v>835</v>
      </c>
      <c r="F11207">
        <v>4.6247138275085098E-9</v>
      </c>
      <c r="G11207">
        <v>45794359</v>
      </c>
      <c r="H11207">
        <v>10350203</v>
      </c>
      <c r="I11207">
        <v>56362497</v>
      </c>
      <c r="J11207">
        <v>4</v>
      </c>
    </row>
    <row r="11208" spans="1:10" x14ac:dyDescent="0.25">
      <c r="A11208" t="s">
        <v>115</v>
      </c>
      <c r="B11208" s="1" t="str">
        <f>HYPERLINK("http://nowtv.it","nowtv.it")</f>
        <v>nowtv.it</v>
      </c>
      <c r="C11208" t="s">
        <v>459</v>
      </c>
      <c r="D11208" t="s">
        <v>835</v>
      </c>
      <c r="E11208">
        <v>91379</v>
      </c>
      <c r="F11208">
        <v>3.2561463499795902E-7</v>
      </c>
      <c r="G11208">
        <v>114386</v>
      </c>
      <c r="H11208">
        <v>14868001</v>
      </c>
      <c r="I11208">
        <v>480340</v>
      </c>
      <c r="J11208">
        <v>5</v>
      </c>
    </row>
    <row r="11209" spans="1:10" x14ac:dyDescent="0.25">
      <c r="A11209" t="s">
        <v>115</v>
      </c>
      <c r="B11209" s="1" t="str">
        <f>HYPERLINK("http://sky.it","sky.it")</f>
        <v>sky.it</v>
      </c>
      <c r="C11209" t="s">
        <v>459</v>
      </c>
      <c r="D11209" t="s">
        <v>835</v>
      </c>
      <c r="E11209">
        <v>7367</v>
      </c>
      <c r="F11209">
        <v>3.5347481420819701E-6</v>
      </c>
      <c r="G11209">
        <v>11582</v>
      </c>
      <c r="H11209">
        <v>17766930</v>
      </c>
      <c r="I11209">
        <v>6065</v>
      </c>
      <c r="J11209">
        <v>2</v>
      </c>
    </row>
    <row r="11210" spans="1:10" x14ac:dyDescent="0.25">
      <c r="A11210" t="s">
        <v>115</v>
      </c>
      <c r="B11210" s="1" t="str">
        <f>HYPERLINK("http://skyacademy.it","skyacademy.it")</f>
        <v>skyacademy.it</v>
      </c>
      <c r="C11210" t="s">
        <v>459</v>
      </c>
      <c r="D11210" t="s">
        <v>835</v>
      </c>
      <c r="F11210">
        <v>1.0201397392321E-8</v>
      </c>
      <c r="G11210">
        <v>6545689</v>
      </c>
      <c r="H11210">
        <v>13983539</v>
      </c>
      <c r="I11210">
        <v>4044139</v>
      </c>
      <c r="J11210">
        <v>2</v>
      </c>
    </row>
    <row r="11211" spans="1:10" x14ac:dyDescent="0.25">
      <c r="A11211" t="s">
        <v>115</v>
      </c>
      <c r="B11211" s="1" t="str">
        <f>HYPERLINK("http://skytv.it","skytv.it")</f>
        <v>skytv.it</v>
      </c>
      <c r="C11211" t="s">
        <v>459</v>
      </c>
      <c r="D11211" t="s">
        <v>835</v>
      </c>
      <c r="E11211">
        <v>749678</v>
      </c>
      <c r="F11211">
        <v>1.3090084649286399E-8</v>
      </c>
      <c r="G11211">
        <v>4588676</v>
      </c>
      <c r="H11211">
        <v>14131943</v>
      </c>
      <c r="I11211">
        <v>2005550</v>
      </c>
      <c r="J11211">
        <v>2</v>
      </c>
    </row>
    <row r="11212" spans="1:10" x14ac:dyDescent="0.25">
      <c r="A11212" t="s">
        <v>115</v>
      </c>
      <c r="B11212" s="1" t="str">
        <f>HYPERLINK("http://tv8.it","tv8.it")</f>
        <v>tv8.it</v>
      </c>
      <c r="C11212" t="s">
        <v>459</v>
      </c>
      <c r="D11212" t="s">
        <v>835</v>
      </c>
      <c r="E11212">
        <v>317553</v>
      </c>
      <c r="F11212">
        <v>8.8935017904207794E-8</v>
      </c>
      <c r="G11212">
        <v>459799</v>
      </c>
      <c r="H11212">
        <v>14767422</v>
      </c>
      <c r="I11212">
        <v>558566</v>
      </c>
      <c r="J11212">
        <v>5</v>
      </c>
    </row>
    <row r="11213" spans="1:10" x14ac:dyDescent="0.25">
      <c r="A11213" t="s">
        <v>115</v>
      </c>
      <c r="B11213" s="1" t="str">
        <f>HYPERLINK("http://nbcuni.co.jp","nbcuni.co.jp")</f>
        <v>nbcuni.co.jp</v>
      </c>
      <c r="C11213" t="s">
        <v>461</v>
      </c>
      <c r="D11213" t="s">
        <v>837</v>
      </c>
      <c r="E11213">
        <v>283190</v>
      </c>
      <c r="F11213">
        <v>2.1874223260854299E-7</v>
      </c>
      <c r="G11213">
        <v>172330</v>
      </c>
      <c r="H11213">
        <v>14824440</v>
      </c>
      <c r="I11213">
        <v>512311</v>
      </c>
      <c r="J11213">
        <v>4</v>
      </c>
    </row>
    <row r="11214" spans="1:10" x14ac:dyDescent="0.25">
      <c r="A11214" t="s">
        <v>115</v>
      </c>
      <c r="B11214" s="1" t="str">
        <f>HYPERLINK("http://usj.co.jp","usj.co.jp")</f>
        <v>usj.co.jp</v>
      </c>
      <c r="C11214" t="s">
        <v>461</v>
      </c>
      <c r="D11214" t="s">
        <v>837</v>
      </c>
      <c r="E11214">
        <v>33874</v>
      </c>
      <c r="F11214">
        <v>7.4755247912362005E-7</v>
      </c>
      <c r="G11214">
        <v>52114</v>
      </c>
      <c r="H11214">
        <v>15398969</v>
      </c>
      <c r="I11214">
        <v>380300</v>
      </c>
      <c r="J11214">
        <v>3</v>
      </c>
    </row>
    <row r="11215" spans="1:10" x14ac:dyDescent="0.25">
      <c r="A11215" t="s">
        <v>115</v>
      </c>
      <c r="B11215" s="1" t="str">
        <f>HYPERLINK("http://fandango.lat","fandango.lat")</f>
        <v>fandango.lat</v>
      </c>
      <c r="C11215" t="s">
        <v>614</v>
      </c>
      <c r="F11215">
        <v>2.38355000212725E-8</v>
      </c>
      <c r="G11215">
        <v>2179556</v>
      </c>
      <c r="H11215">
        <v>14853403</v>
      </c>
      <c r="I11215">
        <v>488737</v>
      </c>
      <c r="J11215">
        <v>5</v>
      </c>
    </row>
    <row r="11216" spans="1:10" x14ac:dyDescent="0.25">
      <c r="A11216" t="s">
        <v>115</v>
      </c>
      <c r="B11216" s="1" t="str">
        <f>HYPERLINK("http://sds.media","sds.media")</f>
        <v>sds.media</v>
      </c>
      <c r="C11216" t="s">
        <v>530</v>
      </c>
      <c r="F11216">
        <v>9.6677899246824707E-9</v>
      </c>
      <c r="G11216">
        <v>7118623</v>
      </c>
      <c r="H11216">
        <v>13812480</v>
      </c>
      <c r="I11216">
        <v>6187134</v>
      </c>
      <c r="J11216">
        <v>5</v>
      </c>
    </row>
    <row r="11217" spans="1:10" x14ac:dyDescent="0.25">
      <c r="A11217" t="s">
        <v>115</v>
      </c>
      <c r="B11217" s="1" t="str">
        <f>HYPERLINK("http://albatros.net","albatros.net")</f>
        <v>albatros.net</v>
      </c>
      <c r="C11217" t="s">
        <v>474</v>
      </c>
      <c r="F11217">
        <v>7.4246071540868105E-8</v>
      </c>
      <c r="G11217">
        <v>566887</v>
      </c>
      <c r="H11217">
        <v>16823566</v>
      </c>
      <c r="I11217">
        <v>184599</v>
      </c>
      <c r="J11217">
        <v>3</v>
      </c>
    </row>
    <row r="11218" spans="1:10" x14ac:dyDescent="0.25">
      <c r="A11218" t="s">
        <v>115</v>
      </c>
      <c r="B11218" s="1" t="str">
        <f>HYPERLINK("http://broadnet.net","broadnet.net")</f>
        <v>broadnet.net</v>
      </c>
      <c r="C11218" t="s">
        <v>474</v>
      </c>
      <c r="F11218">
        <v>4.4529492568786997E-9</v>
      </c>
      <c r="G11218">
        <v>70369129</v>
      </c>
      <c r="H11218">
        <v>10776546</v>
      </c>
      <c r="I11218">
        <v>39030322</v>
      </c>
      <c r="J11218">
        <v>3</v>
      </c>
    </row>
    <row r="11219" spans="1:10" x14ac:dyDescent="0.25">
      <c r="A11219" t="s">
        <v>115</v>
      </c>
      <c r="B11219" s="1" t="str">
        <f>HYPERLINK("http://comcast.net","comcast.net")</f>
        <v>comcast.net</v>
      </c>
      <c r="C11219" t="s">
        <v>474</v>
      </c>
      <c r="E11219">
        <v>116</v>
      </c>
      <c r="F11219">
        <v>7.3741621119499296E-6</v>
      </c>
      <c r="G11219">
        <v>4549</v>
      </c>
      <c r="H11219">
        <v>18036422</v>
      </c>
      <c r="I11219">
        <v>3461</v>
      </c>
      <c r="J11219">
        <v>2</v>
      </c>
    </row>
    <row r="11220" spans="1:10" x14ac:dyDescent="0.25">
      <c r="A11220" t="s">
        <v>115</v>
      </c>
      <c r="B11220" s="1" t="str">
        <f>HYPERLINK("http://fwmrm.net","fwmrm.net")</f>
        <v>fwmrm.net</v>
      </c>
      <c r="C11220" t="s">
        <v>474</v>
      </c>
      <c r="E11220">
        <v>3526</v>
      </c>
      <c r="F11220">
        <v>3.0699321292445401E-7</v>
      </c>
      <c r="G11220">
        <v>121101</v>
      </c>
      <c r="H11220">
        <v>14209397</v>
      </c>
      <c r="I11220">
        <v>1705179</v>
      </c>
      <c r="J11220">
        <v>4</v>
      </c>
    </row>
    <row r="11221" spans="1:10" x14ac:dyDescent="0.25">
      <c r="A11221" t="s">
        <v>115</v>
      </c>
      <c r="B11221" s="1" t="str">
        <f>HYPERLINK("http://thecloud.net","thecloud.net")</f>
        <v>thecloud.net</v>
      </c>
      <c r="C11221" t="s">
        <v>474</v>
      </c>
      <c r="E11221">
        <v>54572</v>
      </c>
      <c r="F11221">
        <v>1.3911239560646901E-7</v>
      </c>
      <c r="G11221">
        <v>280043</v>
      </c>
      <c r="H11221">
        <v>14938724</v>
      </c>
      <c r="I11221">
        <v>444442</v>
      </c>
      <c r="J11221">
        <v>4</v>
      </c>
    </row>
    <row r="11222" spans="1:10" x14ac:dyDescent="0.25">
      <c r="A11222" t="s">
        <v>115</v>
      </c>
      <c r="B11222" s="1" t="str">
        <f>HYPERLINK("http://universalpictures.nl","universalpictures.nl")</f>
        <v>universalpictures.nl</v>
      </c>
      <c r="C11222" t="s">
        <v>477</v>
      </c>
      <c r="D11222" t="s">
        <v>852</v>
      </c>
      <c r="F11222">
        <v>6.6434809978021597E-8</v>
      </c>
      <c r="G11222">
        <v>644977</v>
      </c>
      <c r="H11222">
        <v>14257101</v>
      </c>
      <c r="I11222">
        <v>1428819</v>
      </c>
      <c r="J11222">
        <v>3</v>
      </c>
    </row>
    <row r="11223" spans="1:10" x14ac:dyDescent="0.25">
      <c r="A11223" t="s">
        <v>115</v>
      </c>
      <c r="B11223" s="1" t="str">
        <f>HYPERLINK("http://uip.no","uip.no")</f>
        <v>uip.no</v>
      </c>
      <c r="C11223" t="s">
        <v>478</v>
      </c>
      <c r="D11223" t="s">
        <v>853</v>
      </c>
      <c r="F11223">
        <v>1.3288725256727099E-8</v>
      </c>
      <c r="G11223">
        <v>4498383</v>
      </c>
      <c r="H11223">
        <v>14374278</v>
      </c>
      <c r="I11223">
        <v>1243834</v>
      </c>
      <c r="J11223">
        <v>4</v>
      </c>
    </row>
    <row r="11224" spans="1:10" x14ac:dyDescent="0.25">
      <c r="A11224" t="s">
        <v>115</v>
      </c>
      <c r="B11224" s="1" t="str">
        <f>HYPERLINK("http://fatso.co.nz","fatso.co.nz")</f>
        <v>fatso.co.nz</v>
      </c>
      <c r="C11224" t="s">
        <v>479</v>
      </c>
      <c r="D11224" t="s">
        <v>854</v>
      </c>
      <c r="F11224">
        <v>5.7203661581457804E-9</v>
      </c>
      <c r="G11224">
        <v>18746157</v>
      </c>
      <c r="H11224">
        <v>14119861</v>
      </c>
      <c r="I11224">
        <v>2438495</v>
      </c>
      <c r="J11224">
        <v>5</v>
      </c>
    </row>
    <row r="11225" spans="1:10" x14ac:dyDescent="0.25">
      <c r="A11225" t="s">
        <v>115</v>
      </c>
      <c r="B11225" s="1" t="str">
        <f>HYPERLINK("http://sky.co.nz","sky.co.nz")</f>
        <v>sky.co.nz</v>
      </c>
      <c r="C11225" t="s">
        <v>479</v>
      </c>
      <c r="D11225" t="s">
        <v>854</v>
      </c>
      <c r="E11225">
        <v>160808</v>
      </c>
      <c r="F11225">
        <v>2.6016728845590102E-7</v>
      </c>
      <c r="G11225">
        <v>143781</v>
      </c>
      <c r="H11225">
        <v>17160224</v>
      </c>
      <c r="I11225">
        <v>49942</v>
      </c>
      <c r="J11225">
        <v>7</v>
      </c>
    </row>
    <row r="11226" spans="1:10" x14ac:dyDescent="0.25">
      <c r="A11226" t="s">
        <v>115</v>
      </c>
      <c r="B11226" s="1" t="str">
        <f>HYPERLINK("http://skytv.co.nz","skytv.co.nz")</f>
        <v>skytv.co.nz</v>
      </c>
      <c r="C11226" t="s">
        <v>479</v>
      </c>
      <c r="D11226" t="s">
        <v>854</v>
      </c>
      <c r="E11226">
        <v>359131</v>
      </c>
      <c r="F11226">
        <v>5.0710406122647002E-8</v>
      </c>
      <c r="G11226">
        <v>905057</v>
      </c>
      <c r="H11226">
        <v>14829245</v>
      </c>
      <c r="I11226">
        <v>507073</v>
      </c>
      <c r="J11226">
        <v>4</v>
      </c>
    </row>
    <row r="11227" spans="1:10" x14ac:dyDescent="0.25">
      <c r="A11227" t="s">
        <v>115</v>
      </c>
      <c r="B11227" s="1" t="str">
        <f>HYPERLINK("http://avenueofthearts.org","avenueofthearts.org")</f>
        <v>avenueofthearts.org</v>
      </c>
      <c r="C11227" t="s">
        <v>481</v>
      </c>
      <c r="F11227">
        <v>2.1204334263944099E-8</v>
      </c>
      <c r="G11227">
        <v>2487181</v>
      </c>
      <c r="H11227">
        <v>14261311</v>
      </c>
      <c r="I11227">
        <v>1417466</v>
      </c>
      <c r="J11227">
        <v>3</v>
      </c>
    </row>
    <row r="11228" spans="1:10" x14ac:dyDescent="0.25">
      <c r="A11228" t="s">
        <v>115</v>
      </c>
      <c r="B11228" s="1" t="str">
        <f>HYPERLINK("http://emsdc.org","emsdc.org")</f>
        <v>emsdc.org</v>
      </c>
      <c r="C11228" t="s">
        <v>481</v>
      </c>
      <c r="F11228">
        <v>4.5848517579796803E-8</v>
      </c>
      <c r="G11228">
        <v>1024694</v>
      </c>
      <c r="H11228">
        <v>13208928</v>
      </c>
      <c r="I11228">
        <v>11508103</v>
      </c>
      <c r="J11228">
        <v>3</v>
      </c>
    </row>
    <row r="11229" spans="1:10" x14ac:dyDescent="0.25">
      <c r="A11229" t="s">
        <v>115</v>
      </c>
      <c r="B11229" s="1" t="str">
        <f>HYPERLINK("http://universalpictures.ru","universalpictures.ru")</f>
        <v>universalpictures.ru</v>
      </c>
      <c r="C11229" t="s">
        <v>493</v>
      </c>
      <c r="D11229" t="s">
        <v>867</v>
      </c>
      <c r="F11229">
        <v>2.6057528465613402E-8</v>
      </c>
      <c r="G11229">
        <v>1977074</v>
      </c>
      <c r="H11229">
        <v>14078032</v>
      </c>
      <c r="I11229">
        <v>2853869</v>
      </c>
      <c r="J11229">
        <v>3</v>
      </c>
    </row>
    <row r="11230" spans="1:10" x14ac:dyDescent="0.25">
      <c r="A11230" t="s">
        <v>115</v>
      </c>
      <c r="B11230" s="1" t="str">
        <f>HYPERLINK("http://uip.se","uip.se")</f>
        <v>uip.se</v>
      </c>
      <c r="C11230" t="s">
        <v>495</v>
      </c>
      <c r="D11230" t="s">
        <v>869</v>
      </c>
      <c r="F11230">
        <v>1.97051547797083E-8</v>
      </c>
      <c r="G11230">
        <v>2708378</v>
      </c>
      <c r="H11230">
        <v>14073153</v>
      </c>
      <c r="I11230">
        <v>3013459</v>
      </c>
      <c r="J11230">
        <v>4</v>
      </c>
    </row>
    <row r="11231" spans="1:10" x14ac:dyDescent="0.25">
      <c r="A11231" t="s">
        <v>115</v>
      </c>
      <c r="B11231" s="1" t="str">
        <f>HYPERLINK("http://intranet.sky","intranet.sky")</f>
        <v>intranet.sky</v>
      </c>
      <c r="C11231" t="s">
        <v>743</v>
      </c>
      <c r="F11231">
        <v>2.5838078064632099E-8</v>
      </c>
      <c r="G11231">
        <v>1994764</v>
      </c>
      <c r="H11231">
        <v>13144170</v>
      </c>
      <c r="I11231">
        <v>11859758</v>
      </c>
      <c r="J11231">
        <v>2</v>
      </c>
    </row>
    <row r="11232" spans="1:10" x14ac:dyDescent="0.25">
      <c r="A11232" t="s">
        <v>115</v>
      </c>
      <c r="B11232" s="1" t="str">
        <f>HYPERLINK("http://productionservices.sky","productionservices.sky")</f>
        <v>productionservices.sky</v>
      </c>
      <c r="C11232" t="s">
        <v>743</v>
      </c>
      <c r="F11232">
        <v>1.26120003277506E-8</v>
      </c>
      <c r="G11232">
        <v>4824844</v>
      </c>
      <c r="H11232">
        <v>13811464</v>
      </c>
      <c r="I11232">
        <v>6197395</v>
      </c>
      <c r="J11232">
        <v>2</v>
      </c>
    </row>
    <row r="11233" spans="1:10" x14ac:dyDescent="0.25">
      <c r="A11233" t="s">
        <v>115</v>
      </c>
      <c r="B11233" s="1" t="str">
        <f>HYPERLINK("http://skygroup.sky","skygroup.sky")</f>
        <v>skygroup.sky</v>
      </c>
      <c r="C11233" t="s">
        <v>743</v>
      </c>
      <c r="E11233">
        <v>158663</v>
      </c>
      <c r="F11233">
        <v>4.9195595090226298E-7</v>
      </c>
      <c r="G11233">
        <v>77536</v>
      </c>
      <c r="H11233">
        <v>15147163</v>
      </c>
      <c r="I11233">
        <v>400448</v>
      </c>
      <c r="J11233">
        <v>3</v>
      </c>
    </row>
    <row r="11234" spans="1:10" x14ac:dyDescent="0.25">
      <c r="A11234" t="s">
        <v>115</v>
      </c>
      <c r="B11234" s="1" t="str">
        <f>HYPERLINK("http://nbcnews.to","nbcnews.to")</f>
        <v>nbcnews.to</v>
      </c>
      <c r="C11234" t="s">
        <v>578</v>
      </c>
      <c r="D11234" t="s">
        <v>921</v>
      </c>
      <c r="E11234">
        <v>81027</v>
      </c>
      <c r="F11234">
        <v>6.7245211147694196E-7</v>
      </c>
      <c r="G11234">
        <v>57290</v>
      </c>
      <c r="H11234">
        <v>14900026</v>
      </c>
      <c r="I11234">
        <v>462912</v>
      </c>
      <c r="J11234">
        <v>6</v>
      </c>
    </row>
    <row r="11235" spans="1:10" x14ac:dyDescent="0.25">
      <c r="A11235" t="s">
        <v>115</v>
      </c>
      <c r="B11235" s="1" t="str">
        <f>HYPERLINK("http://uip.com.tr","uip.com.tr")</f>
        <v>uip.com.tr</v>
      </c>
      <c r="C11235" t="s">
        <v>502</v>
      </c>
      <c r="D11235" t="s">
        <v>876</v>
      </c>
      <c r="F11235">
        <v>1.65335889500809E-8</v>
      </c>
      <c r="G11235">
        <v>3405448</v>
      </c>
      <c r="H11235">
        <v>14071997</v>
      </c>
      <c r="I11235">
        <v>3190443</v>
      </c>
      <c r="J11235">
        <v>4</v>
      </c>
    </row>
    <row r="11236" spans="1:10" x14ac:dyDescent="0.25">
      <c r="A11236" t="s">
        <v>115</v>
      </c>
      <c r="B11236" s="1" t="str">
        <f>HYPERLINK("http://aenetworks.tv","aenetworks.tv")</f>
        <v>aenetworks.tv</v>
      </c>
      <c r="C11236" t="s">
        <v>535</v>
      </c>
      <c r="D11236" t="s">
        <v>897</v>
      </c>
      <c r="E11236">
        <v>223056</v>
      </c>
      <c r="F11236">
        <v>1.2265812548512E-7</v>
      </c>
      <c r="G11236">
        <v>321805</v>
      </c>
      <c r="H11236">
        <v>17041370</v>
      </c>
      <c r="I11236">
        <v>78997</v>
      </c>
      <c r="J11236">
        <v>5</v>
      </c>
    </row>
    <row r="11237" spans="1:10" x14ac:dyDescent="0.25">
      <c r="A11237" t="s">
        <v>115</v>
      </c>
      <c r="B11237" s="1" t="str">
        <f>HYPERLINK("http://classicmedia.tv","classicmedia.tv")</f>
        <v>classicmedia.tv</v>
      </c>
      <c r="C11237" t="s">
        <v>535</v>
      </c>
      <c r="D11237" t="s">
        <v>897</v>
      </c>
      <c r="F11237">
        <v>2.0628283379854501E-8</v>
      </c>
      <c r="G11237">
        <v>2566769</v>
      </c>
      <c r="H11237">
        <v>14927164</v>
      </c>
      <c r="I11237">
        <v>448908</v>
      </c>
      <c r="J11237">
        <v>3</v>
      </c>
    </row>
    <row r="11238" spans="1:10" x14ac:dyDescent="0.25">
      <c r="A11238" t="s">
        <v>115</v>
      </c>
      <c r="B11238" s="1" t="str">
        <f>HYPERLINK("http://create.tv","create.tv")</f>
        <v>create.tv</v>
      </c>
      <c r="C11238" t="s">
        <v>535</v>
      </c>
      <c r="D11238" t="s">
        <v>897</v>
      </c>
      <c r="F11238">
        <v>5.0112866390042801E-8</v>
      </c>
      <c r="G11238">
        <v>918675</v>
      </c>
      <c r="H11238">
        <v>16868548</v>
      </c>
      <c r="I11238">
        <v>151472</v>
      </c>
      <c r="J11238">
        <v>8</v>
      </c>
    </row>
    <row r="11239" spans="1:10" x14ac:dyDescent="0.25">
      <c r="A11239" t="s">
        <v>115</v>
      </c>
      <c r="B11239" s="1" t="str">
        <f>HYPERLINK("http://freewheel.tv","freewheel.tv")</f>
        <v>freewheel.tv</v>
      </c>
      <c r="C11239" t="s">
        <v>535</v>
      </c>
      <c r="D11239" t="s">
        <v>897</v>
      </c>
      <c r="E11239">
        <v>82960</v>
      </c>
      <c r="F11239">
        <v>1.8743679318139599E-6</v>
      </c>
      <c r="G11239">
        <v>19900</v>
      </c>
      <c r="H11239">
        <v>17165930</v>
      </c>
      <c r="I11239">
        <v>48637</v>
      </c>
      <c r="J11239">
        <v>3</v>
      </c>
    </row>
    <row r="11240" spans="1:10" x14ac:dyDescent="0.25">
      <c r="A11240" t="s">
        <v>115</v>
      </c>
      <c r="B11240" s="1" t="str">
        <f>HYPERLINK("http://truenorth.tv","truenorth.tv")</f>
        <v>truenorth.tv</v>
      </c>
      <c r="C11240" t="s">
        <v>535</v>
      </c>
      <c r="D11240" t="s">
        <v>897</v>
      </c>
      <c r="F11240">
        <v>3.1047694990498699E-8</v>
      </c>
      <c r="G11240">
        <v>1659985</v>
      </c>
      <c r="H11240">
        <v>14502866</v>
      </c>
      <c r="I11240">
        <v>844686</v>
      </c>
      <c r="J11240">
        <v>3</v>
      </c>
    </row>
    <row r="11241" spans="1:10" x14ac:dyDescent="0.25">
      <c r="A11241" t="s">
        <v>115</v>
      </c>
      <c r="B11241" s="1" t="str">
        <f>HYPERLINK("http://uninetworks.tv","uninetworks.tv")</f>
        <v>uninetworks.tv</v>
      </c>
      <c r="C11241" t="s">
        <v>535</v>
      </c>
      <c r="D11241" t="s">
        <v>897</v>
      </c>
      <c r="F11241">
        <v>6.1616531761982901E-9</v>
      </c>
      <c r="G11241">
        <v>15737693</v>
      </c>
      <c r="H11241">
        <v>14071965</v>
      </c>
      <c r="I11241">
        <v>3210943</v>
      </c>
      <c r="J11241">
        <v>4</v>
      </c>
    </row>
    <row r="11242" spans="1:10" x14ac:dyDescent="0.25">
      <c r="A11242" t="s">
        <v>115</v>
      </c>
      <c r="B11242" s="1" t="str">
        <f>HYPERLINK("http://xumo.tv","xumo.tv")</f>
        <v>xumo.tv</v>
      </c>
      <c r="C11242" t="s">
        <v>535</v>
      </c>
      <c r="D11242" t="s">
        <v>897</v>
      </c>
      <c r="E11242">
        <v>198111</v>
      </c>
      <c r="F11242">
        <v>4.0551327339947402E-7</v>
      </c>
      <c r="G11242">
        <v>92640</v>
      </c>
      <c r="H11242">
        <v>15330528</v>
      </c>
      <c r="I11242">
        <v>383981</v>
      </c>
      <c r="J11242">
        <v>4</v>
      </c>
    </row>
    <row r="11243" spans="1:10" x14ac:dyDescent="0.25">
      <c r="A11243" t="s">
        <v>115</v>
      </c>
      <c r="B11243" s="1" t="str">
        <f>HYPERLINK("http://uip.com.tw","uip.com.tw")</f>
        <v>uip.com.tw</v>
      </c>
      <c r="C11243" t="s">
        <v>504</v>
      </c>
      <c r="D11243" t="s">
        <v>878</v>
      </c>
      <c r="F11243">
        <v>1.3788984695590399E-7</v>
      </c>
      <c r="G11243">
        <v>282591</v>
      </c>
      <c r="H11243">
        <v>14490131</v>
      </c>
      <c r="I11243">
        <v>914902</v>
      </c>
      <c r="J11243">
        <v>4</v>
      </c>
    </row>
    <row r="11244" spans="1:10" x14ac:dyDescent="0.25">
      <c r="A11244" t="s">
        <v>115</v>
      </c>
      <c r="B11244" s="1" t="str">
        <f>HYPERLINK("http://carnivalfilms.co.uk","carnivalfilms.co.uk")</f>
        <v>carnivalfilms.co.uk</v>
      </c>
      <c r="C11244" t="s">
        <v>506</v>
      </c>
      <c r="D11244" t="s">
        <v>880</v>
      </c>
      <c r="F11244">
        <v>3.3198630373928398E-8</v>
      </c>
      <c r="G11244">
        <v>1556403</v>
      </c>
      <c r="H11244">
        <v>14643506</v>
      </c>
      <c r="I11244">
        <v>634711</v>
      </c>
      <c r="J11244">
        <v>4</v>
      </c>
    </row>
    <row r="11245" spans="1:10" x14ac:dyDescent="0.25">
      <c r="A11245" t="s">
        <v>115</v>
      </c>
      <c r="B11245" s="1" t="str">
        <f>HYPERLINK("http://golfnow.co.uk","golfnow.co.uk")</f>
        <v>golfnow.co.uk</v>
      </c>
      <c r="C11245" t="s">
        <v>506</v>
      </c>
      <c r="D11245" t="s">
        <v>880</v>
      </c>
      <c r="E11245">
        <v>658394</v>
      </c>
      <c r="F11245">
        <v>2.9452142308590398E-8</v>
      </c>
      <c r="G11245">
        <v>1749916</v>
      </c>
      <c r="H11245">
        <v>12874728</v>
      </c>
      <c r="I11245">
        <v>14037211</v>
      </c>
      <c r="J11245">
        <v>4</v>
      </c>
    </row>
    <row r="11246" spans="1:10" x14ac:dyDescent="0.25">
      <c r="A11246" t="s">
        <v>115</v>
      </c>
      <c r="B11246" s="1" t="str">
        <f>HYPERLINK("http://history.co.uk","history.co.uk")</f>
        <v>history.co.uk</v>
      </c>
      <c r="C11246" t="s">
        <v>506</v>
      </c>
      <c r="D11246" t="s">
        <v>880</v>
      </c>
      <c r="E11246">
        <v>45697</v>
      </c>
      <c r="F11246">
        <v>5.2546679292256204E-7</v>
      </c>
      <c r="G11246">
        <v>73202</v>
      </c>
      <c r="H11246">
        <v>15583710</v>
      </c>
      <c r="I11246">
        <v>372875</v>
      </c>
      <c r="J11246">
        <v>6</v>
      </c>
    </row>
    <row r="11247" spans="1:10" x14ac:dyDescent="0.25">
      <c r="A11247" t="s">
        <v>115</v>
      </c>
      <c r="B11247" s="1" t="str">
        <f>HYPERLINK("http://neos.co.uk","neos.co.uk")</f>
        <v>neos.co.uk</v>
      </c>
      <c r="C11247" t="s">
        <v>506</v>
      </c>
      <c r="D11247" t="s">
        <v>880</v>
      </c>
      <c r="E11247">
        <v>5471</v>
      </c>
      <c r="F11247">
        <v>8.0074513144930501E-8</v>
      </c>
      <c r="G11247">
        <v>521661</v>
      </c>
      <c r="H11247">
        <v>16779670</v>
      </c>
      <c r="I11247">
        <v>216737</v>
      </c>
      <c r="J11247">
        <v>3</v>
      </c>
    </row>
    <row r="11248" spans="1:10" x14ac:dyDescent="0.25">
      <c r="A11248" t="s">
        <v>115</v>
      </c>
      <c r="B11248" s="1" t="str">
        <f>HYPERLINK("http://nutshelltuition.co.uk","nutshelltuition.co.uk")</f>
        <v>nutshelltuition.co.uk</v>
      </c>
      <c r="C11248" t="s">
        <v>506</v>
      </c>
      <c r="D11248" t="s">
        <v>880</v>
      </c>
      <c r="J11248">
        <v>4</v>
      </c>
    </row>
    <row r="11249" spans="1:10" x14ac:dyDescent="0.25">
      <c r="A11249" t="s">
        <v>115</v>
      </c>
      <c r="B11249" s="1" t="str">
        <f>HYPERLINK("http://skymedia.co.uk","skymedia.co.uk")</f>
        <v>skymedia.co.uk</v>
      </c>
      <c r="C11249" t="s">
        <v>506</v>
      </c>
      <c r="D11249" t="s">
        <v>880</v>
      </c>
      <c r="E11249">
        <v>312992</v>
      </c>
      <c r="F11249">
        <v>3.1356449613174598E-7</v>
      </c>
      <c r="G11249">
        <v>118550</v>
      </c>
      <c r="H11249">
        <v>14979281</v>
      </c>
      <c r="I11249">
        <v>431194</v>
      </c>
      <c r="J11249">
        <v>6</v>
      </c>
    </row>
    <row r="11250" spans="1:10" x14ac:dyDescent="0.25">
      <c r="A11250" t="s">
        <v>115</v>
      </c>
      <c r="B11250" s="1" t="str">
        <f>HYPERLINK("http://skypresents.co.uk","skypresents.co.uk")</f>
        <v>skypresents.co.uk</v>
      </c>
      <c r="C11250" t="s">
        <v>506</v>
      </c>
      <c r="D11250" t="s">
        <v>880</v>
      </c>
      <c r="F11250">
        <v>4.60505237697308E-9</v>
      </c>
      <c r="G11250">
        <v>47225624</v>
      </c>
      <c r="H11250">
        <v>11955182</v>
      </c>
      <c r="I11250">
        <v>29119884</v>
      </c>
      <c r="J11250">
        <v>6</v>
      </c>
    </row>
    <row r="11251" spans="1:10" x14ac:dyDescent="0.25">
      <c r="A11251" t="s">
        <v>115</v>
      </c>
      <c r="B11251" s="1" t="str">
        <f>HYPERLINK("http://truenorthproductions.co.uk","truenorthproductions.co.uk")</f>
        <v>truenorthproductions.co.uk</v>
      </c>
      <c r="C11251" t="s">
        <v>506</v>
      </c>
      <c r="D11251" t="s">
        <v>880</v>
      </c>
      <c r="F11251">
        <v>4.4472262623540403E-9</v>
      </c>
      <c r="G11251">
        <v>73676240</v>
      </c>
      <c r="H11251">
        <v>10944568</v>
      </c>
      <c r="I11251">
        <v>34712776</v>
      </c>
      <c r="J11251">
        <v>6</v>
      </c>
    </row>
    <row r="11252" spans="1:10" x14ac:dyDescent="0.25">
      <c r="A11252" t="s">
        <v>115</v>
      </c>
      <c r="B11252" s="1" t="str">
        <f>HYPERLINK("http://universalorlando.co.uk","universalorlando.co.uk")</f>
        <v>universalorlando.co.uk</v>
      </c>
      <c r="C11252" t="s">
        <v>506</v>
      </c>
      <c r="D11252" t="s">
        <v>880</v>
      </c>
      <c r="F11252">
        <v>1.27670420637745E-7</v>
      </c>
      <c r="G11252">
        <v>307506</v>
      </c>
      <c r="H11252">
        <v>16889756</v>
      </c>
      <c r="I11252">
        <v>135429</v>
      </c>
      <c r="J11252">
        <v>5</v>
      </c>
    </row>
    <row r="11253" spans="1:10" x14ac:dyDescent="0.25">
      <c r="A11253" t="s">
        <v>115</v>
      </c>
      <c r="B11253" s="1" t="str">
        <f>HYPERLINK("http://sky.uk","sky.uk")</f>
        <v>sky.uk</v>
      </c>
      <c r="C11253" t="s">
        <v>506</v>
      </c>
      <c r="D11253" t="s">
        <v>880</v>
      </c>
      <c r="F11253">
        <v>2.8287221300945901E-8</v>
      </c>
      <c r="G11253">
        <v>1819626</v>
      </c>
      <c r="H11253">
        <v>13162120</v>
      </c>
      <c r="I11253">
        <v>11775625</v>
      </c>
      <c r="J11253">
        <v>2</v>
      </c>
    </row>
    <row r="11254" spans="1:10" x14ac:dyDescent="0.25">
      <c r="A11254" t="s">
        <v>116</v>
      </c>
      <c r="B11254" s="1" t="str">
        <f>HYPERLINK("http://bankwest.com.au","bankwest.com.au")</f>
        <v>bankwest.com.au</v>
      </c>
      <c r="C11254" t="s">
        <v>420</v>
      </c>
      <c r="D11254" t="s">
        <v>802</v>
      </c>
      <c r="E11254">
        <v>50464</v>
      </c>
      <c r="F11254">
        <v>2.1169177909134401E-7</v>
      </c>
      <c r="G11254">
        <v>178473</v>
      </c>
      <c r="H11254">
        <v>17063870</v>
      </c>
      <c r="I11254">
        <v>72943</v>
      </c>
      <c r="J11254">
        <v>4</v>
      </c>
    </row>
    <row r="11255" spans="1:10" x14ac:dyDescent="0.25">
      <c r="A11255" t="s">
        <v>116</v>
      </c>
      <c r="B11255" s="1" t="str">
        <f>HYPERLINK("http://cba.com.au","cba.com.au")</f>
        <v>cba.com.au</v>
      </c>
      <c r="C11255" t="s">
        <v>420</v>
      </c>
      <c r="D11255" t="s">
        <v>802</v>
      </c>
      <c r="E11255">
        <v>212278</v>
      </c>
      <c r="F11255">
        <v>3.1798146282290298E-8</v>
      </c>
      <c r="G11255">
        <v>1624095</v>
      </c>
      <c r="H11255">
        <v>13767019</v>
      </c>
      <c r="I11255">
        <v>6960440</v>
      </c>
      <c r="J11255">
        <v>2</v>
      </c>
    </row>
    <row r="11256" spans="1:10" x14ac:dyDescent="0.25">
      <c r="A11256" t="s">
        <v>116</v>
      </c>
      <c r="B11256" s="1" t="str">
        <f>HYPERLINK("http://cbaiq.com.au","cbaiq.com.au")</f>
        <v>cbaiq.com.au</v>
      </c>
      <c r="C11256" t="s">
        <v>420</v>
      </c>
      <c r="D11256" t="s">
        <v>802</v>
      </c>
      <c r="J11256">
        <v>2</v>
      </c>
    </row>
    <row r="11257" spans="1:10" x14ac:dyDescent="0.25">
      <c r="A11257" t="s">
        <v>116</v>
      </c>
      <c r="B11257" s="1" t="str">
        <f>HYPERLINK("http://commbank.com.au","commbank.com.au")</f>
        <v>commbank.com.au</v>
      </c>
      <c r="C11257" t="s">
        <v>420</v>
      </c>
      <c r="D11257" t="s">
        <v>802</v>
      </c>
      <c r="E11257">
        <v>5642</v>
      </c>
      <c r="F11257">
        <v>2.6315666406178898E-6</v>
      </c>
      <c r="G11257">
        <v>14413</v>
      </c>
      <c r="H11257">
        <v>17755904</v>
      </c>
      <c r="I11257">
        <v>6267</v>
      </c>
      <c r="J11257">
        <v>1</v>
      </c>
    </row>
    <row r="11258" spans="1:10" x14ac:dyDescent="0.25">
      <c r="A11258" t="s">
        <v>116</v>
      </c>
      <c r="B11258" s="1" t="str">
        <f>HYPERLINK("http://comminsureadviser.com.au","comminsureadviser.com.au")</f>
        <v>comminsureadviser.com.au</v>
      </c>
      <c r="C11258" t="s">
        <v>420</v>
      </c>
      <c r="D11258" t="s">
        <v>802</v>
      </c>
      <c r="F11258">
        <v>4.6785589273119496E-9</v>
      </c>
      <c r="G11258">
        <v>42455538</v>
      </c>
      <c r="H11258">
        <v>12871959</v>
      </c>
      <c r="I11258">
        <v>14055009</v>
      </c>
      <c r="J11258">
        <v>4</v>
      </c>
    </row>
    <row r="11259" spans="1:10" x14ac:dyDescent="0.25">
      <c r="A11259" t="s">
        <v>116</v>
      </c>
      <c r="B11259" s="1" t="str">
        <f>HYPERLINK("http://commsec.com.au","commsec.com.au")</f>
        <v>commsec.com.au</v>
      </c>
      <c r="C11259" t="s">
        <v>420</v>
      </c>
      <c r="D11259" t="s">
        <v>802</v>
      </c>
      <c r="E11259">
        <v>41110</v>
      </c>
      <c r="F11259">
        <v>1.3690870932094399E-7</v>
      </c>
      <c r="G11259">
        <v>284687</v>
      </c>
      <c r="H11259">
        <v>17127050</v>
      </c>
      <c r="I11259">
        <v>57583</v>
      </c>
      <c r="J11259">
        <v>2</v>
      </c>
    </row>
    <row r="11260" spans="1:10" x14ac:dyDescent="0.25">
      <c r="A11260" t="s">
        <v>116</v>
      </c>
      <c r="B11260" s="1" t="str">
        <f>HYPERLINK("http://comsec.com.au","comsec.com.au")</f>
        <v>comsec.com.au</v>
      </c>
      <c r="C11260" t="s">
        <v>420</v>
      </c>
      <c r="D11260" t="s">
        <v>802</v>
      </c>
      <c r="F11260">
        <v>2.4666171674184799E-8</v>
      </c>
      <c r="G11260">
        <v>2097620</v>
      </c>
      <c r="H11260">
        <v>14594187</v>
      </c>
      <c r="I11260">
        <v>691712</v>
      </c>
      <c r="J11260">
        <v>3</v>
      </c>
    </row>
    <row r="11261" spans="1:10" x14ac:dyDescent="0.25">
      <c r="A11261" t="s">
        <v>116</v>
      </c>
      <c r="B11261" s="1" t="str">
        <f>HYPERLINK("http://esb.cba","esb.cba")</f>
        <v>esb.cba</v>
      </c>
      <c r="C11261" t="s">
        <v>744</v>
      </c>
      <c r="J11261">
        <v>2</v>
      </c>
    </row>
    <row r="11262" spans="1:10" x14ac:dyDescent="0.25">
      <c r="A11262" t="s">
        <v>116</v>
      </c>
      <c r="B11262" s="1" t="str">
        <f>HYPERLINK("http://sparr.cba","sparr.cba")</f>
        <v>sparr.cba</v>
      </c>
      <c r="C11262" t="s">
        <v>744</v>
      </c>
      <c r="J11262">
        <v>2</v>
      </c>
    </row>
    <row r="11263" spans="1:10" x14ac:dyDescent="0.25">
      <c r="A11263" t="s">
        <v>116</v>
      </c>
      <c r="B11263" s="1" t="str">
        <f>HYPERLINK("http://stg.cba","stg.cba")</f>
        <v>stg.cba</v>
      </c>
      <c r="C11263" t="s">
        <v>744</v>
      </c>
      <c r="J11263">
        <v>2</v>
      </c>
    </row>
    <row r="11264" spans="1:10" x14ac:dyDescent="0.25">
      <c r="A11264" t="s">
        <v>116</v>
      </c>
      <c r="B11264" s="1" t="str">
        <f>HYPERLINK("http://asb.co","asb.co")</f>
        <v>asb.co</v>
      </c>
      <c r="C11264" t="s">
        <v>432</v>
      </c>
      <c r="F11264">
        <v>4.44476952909218E-9</v>
      </c>
      <c r="G11264">
        <v>76122379</v>
      </c>
      <c r="H11264">
        <v>10599285</v>
      </c>
      <c r="I11264">
        <v>44935072</v>
      </c>
      <c r="J11264">
        <v>3</v>
      </c>
    </row>
    <row r="11265" spans="1:10" x14ac:dyDescent="0.25">
      <c r="A11265" t="s">
        <v>116</v>
      </c>
      <c r="B11265" s="1" t="str">
        <f>HYPERLINK("http://cbainet.com","cbainet.com")</f>
        <v>cbainet.com</v>
      </c>
      <c r="C11265" t="s">
        <v>433</v>
      </c>
      <c r="J11265">
        <v>2</v>
      </c>
    </row>
    <row r="11266" spans="1:10" x14ac:dyDescent="0.25">
      <c r="A11266" t="s">
        <v>116</v>
      </c>
      <c r="B11266" s="1" t="str">
        <f>HYPERLINK("http://cbaitest01.com","cbaitest01.com")</f>
        <v>cbaitest01.com</v>
      </c>
      <c r="C11266" t="s">
        <v>433</v>
      </c>
      <c r="J11266">
        <v>2</v>
      </c>
    </row>
    <row r="11267" spans="1:10" x14ac:dyDescent="0.25">
      <c r="A11267" t="s">
        <v>116</v>
      </c>
      <c r="B11267" s="1" t="str">
        <f>HYPERLINK("http://combankltd.com","combankltd.com")</f>
        <v>combankltd.com</v>
      </c>
      <c r="C11267" t="s">
        <v>433</v>
      </c>
      <c r="E11267">
        <v>527349</v>
      </c>
      <c r="F11267">
        <v>2.39090186457892E-8</v>
      </c>
      <c r="G11267">
        <v>2171961</v>
      </c>
      <c r="H11267">
        <v>14421746</v>
      </c>
      <c r="I11267">
        <v>1086548</v>
      </c>
      <c r="J11267">
        <v>4</v>
      </c>
    </row>
    <row r="11268" spans="1:10" x14ac:dyDescent="0.25">
      <c r="A11268" t="s">
        <v>116</v>
      </c>
      <c r="B11268" s="1" t="str">
        <f>HYPERLINK("http://commbank.co.id","commbank.co.id")</f>
        <v>commbank.co.id</v>
      </c>
      <c r="C11268" t="s">
        <v>454</v>
      </c>
      <c r="D11268" t="s">
        <v>831</v>
      </c>
      <c r="E11268">
        <v>758961</v>
      </c>
      <c r="F11268">
        <v>4.2867353476717501E-8</v>
      </c>
      <c r="G11268">
        <v>1124082</v>
      </c>
      <c r="H11268">
        <v>14788952</v>
      </c>
      <c r="I11268">
        <v>551529</v>
      </c>
      <c r="J11268">
        <v>2</v>
      </c>
    </row>
    <row r="11269" spans="1:10" x14ac:dyDescent="0.25">
      <c r="A11269" t="s">
        <v>116</v>
      </c>
      <c r="B11269" s="1" t="str">
        <f>HYPERLINK("http://asb.co.nz","asb.co.nz")</f>
        <v>asb.co.nz</v>
      </c>
      <c r="C11269" t="s">
        <v>479</v>
      </c>
      <c r="D11269" t="s">
        <v>854</v>
      </c>
      <c r="E11269">
        <v>54814</v>
      </c>
      <c r="F11269">
        <v>2.5814864179708602E-7</v>
      </c>
      <c r="G11269">
        <v>144887</v>
      </c>
      <c r="H11269">
        <v>15134245</v>
      </c>
      <c r="I11269">
        <v>401892</v>
      </c>
      <c r="J11269">
        <v>2</v>
      </c>
    </row>
    <row r="11270" spans="1:10" x14ac:dyDescent="0.25">
      <c r="A11270" t="s">
        <v>116</v>
      </c>
      <c r="B11270" s="1" t="str">
        <f>HYPERLINK("http://myemailanywhere.org","myemailanywhere.org")</f>
        <v>myemailanywhere.org</v>
      </c>
      <c r="C11270" t="s">
        <v>481</v>
      </c>
      <c r="F11270">
        <v>4.4507701135385097E-9</v>
      </c>
      <c r="G11270">
        <v>71525220</v>
      </c>
      <c r="H11270">
        <v>8709033</v>
      </c>
      <c r="I11270">
        <v>69878014</v>
      </c>
      <c r="J11270">
        <v>2</v>
      </c>
    </row>
    <row r="11271" spans="1:10" x14ac:dyDescent="0.25">
      <c r="A11271" t="s">
        <v>117</v>
      </c>
      <c r="B11271" s="1" t="str">
        <f>HYPERLINK("http://cartier.ae","cartier.ae")</f>
        <v>cartier.ae</v>
      </c>
      <c r="C11271" t="s">
        <v>417</v>
      </c>
      <c r="D11271" t="s">
        <v>799</v>
      </c>
      <c r="F11271">
        <v>9.4684228925262693E-9</v>
      </c>
      <c r="G11271">
        <v>7360686</v>
      </c>
      <c r="H11271">
        <v>12743258</v>
      </c>
      <c r="I11271">
        <v>15100901</v>
      </c>
      <c r="J11271">
        <v>3</v>
      </c>
    </row>
    <row r="11272" spans="1:10" x14ac:dyDescent="0.25">
      <c r="A11272" t="s">
        <v>117</v>
      </c>
      <c r="B11272" s="1" t="str">
        <f>HYPERLINK("http://watchfinder.ae","watchfinder.ae")</f>
        <v>watchfinder.ae</v>
      </c>
      <c r="C11272" t="s">
        <v>417</v>
      </c>
      <c r="D11272" t="s">
        <v>799</v>
      </c>
      <c r="F11272">
        <v>9.4791659081379799E-9</v>
      </c>
      <c r="G11272">
        <v>7347800</v>
      </c>
      <c r="H11272">
        <v>11195607</v>
      </c>
      <c r="I11272">
        <v>31308345</v>
      </c>
      <c r="J11272">
        <v>4</v>
      </c>
    </row>
    <row r="11273" spans="1:10" x14ac:dyDescent="0.25">
      <c r="A11273" t="s">
        <v>117</v>
      </c>
      <c r="B11273" s="1" t="str">
        <f>HYPERLINK("http://watchfinder.at","watchfinder.at")</f>
        <v>watchfinder.at</v>
      </c>
      <c r="C11273" t="s">
        <v>419</v>
      </c>
      <c r="D11273" t="s">
        <v>801</v>
      </c>
      <c r="F11273">
        <v>9.4284515151847895E-9</v>
      </c>
      <c r="G11273">
        <v>7409200</v>
      </c>
      <c r="H11273">
        <v>10642115</v>
      </c>
      <c r="I11273">
        <v>43722646</v>
      </c>
      <c r="J11273">
        <v>4</v>
      </c>
    </row>
    <row r="11274" spans="1:10" x14ac:dyDescent="0.25">
      <c r="A11274" t="s">
        <v>117</v>
      </c>
      <c r="B11274" s="1" t="str">
        <f>HYPERLINK("http://cartier.com.au","cartier.com.au")</f>
        <v>cartier.com.au</v>
      </c>
      <c r="C11274" t="s">
        <v>420</v>
      </c>
      <c r="D11274" t="s">
        <v>802</v>
      </c>
      <c r="E11274">
        <v>485497</v>
      </c>
      <c r="F11274">
        <v>4.0389490606225599E-8</v>
      </c>
      <c r="G11274">
        <v>1281621</v>
      </c>
      <c r="H11274">
        <v>13988271</v>
      </c>
      <c r="I11274">
        <v>4035841</v>
      </c>
      <c r="J11274">
        <v>3</v>
      </c>
    </row>
    <row r="11275" spans="1:10" x14ac:dyDescent="0.25">
      <c r="A11275" t="s">
        <v>117</v>
      </c>
      <c r="B11275" s="1" t="str">
        <f>HYPERLINK("http://watchfinder.com.au","watchfinder.com.au")</f>
        <v>watchfinder.com.au</v>
      </c>
      <c r="C11275" t="s">
        <v>420</v>
      </c>
      <c r="D11275" t="s">
        <v>802</v>
      </c>
      <c r="F11275">
        <v>1.0666898894995899E-8</v>
      </c>
      <c r="G11275">
        <v>6127605</v>
      </c>
      <c r="H11275">
        <v>12960414</v>
      </c>
      <c r="I11275">
        <v>13167961</v>
      </c>
      <c r="J11275">
        <v>4</v>
      </c>
    </row>
    <row r="11276" spans="1:10" x14ac:dyDescent="0.25">
      <c r="A11276" t="s">
        <v>117</v>
      </c>
      <c r="B11276" s="1" t="str">
        <f>HYPERLINK("http://watchfinder.be","watchfinder.be")</f>
        <v>watchfinder.be</v>
      </c>
      <c r="C11276" t="s">
        <v>421</v>
      </c>
      <c r="D11276" t="s">
        <v>803</v>
      </c>
      <c r="F11276">
        <v>9.4284457916033905E-9</v>
      </c>
      <c r="G11276">
        <v>7409208</v>
      </c>
      <c r="H11276">
        <v>10558408</v>
      </c>
      <c r="I11276">
        <v>46413882</v>
      </c>
      <c r="J11276">
        <v>4</v>
      </c>
    </row>
    <row r="11277" spans="1:10" x14ac:dyDescent="0.25">
      <c r="A11277" t="s">
        <v>117</v>
      </c>
      <c r="B11277" s="1" t="str">
        <f>HYPERLINK("http://watchfinder.bg","watchfinder.bg")</f>
        <v>watchfinder.bg</v>
      </c>
      <c r="C11277" t="s">
        <v>422</v>
      </c>
      <c r="D11277" t="s">
        <v>804</v>
      </c>
      <c r="F11277">
        <v>9.4237497485289596E-9</v>
      </c>
      <c r="G11277">
        <v>7414900</v>
      </c>
      <c r="H11277">
        <v>10558408</v>
      </c>
      <c r="I11277">
        <v>46413883</v>
      </c>
      <c r="J11277">
        <v>4</v>
      </c>
    </row>
    <row r="11278" spans="1:10" x14ac:dyDescent="0.25">
      <c r="A11278" t="s">
        <v>117</v>
      </c>
      <c r="B11278" s="1" t="str">
        <f>HYPERLINK("http://yoox.biz","yoox.biz")</f>
        <v>yoox.biz</v>
      </c>
      <c r="C11278" t="s">
        <v>423</v>
      </c>
      <c r="E11278">
        <v>113312</v>
      </c>
      <c r="F11278">
        <v>2.8609721711759498E-7</v>
      </c>
      <c r="G11278">
        <v>129902</v>
      </c>
      <c r="H11278">
        <v>14290395</v>
      </c>
      <c r="I11278">
        <v>1366263</v>
      </c>
      <c r="J11278">
        <v>7</v>
      </c>
    </row>
    <row r="11279" spans="1:10" x14ac:dyDescent="0.25">
      <c r="A11279" t="s">
        <v>117</v>
      </c>
      <c r="B11279" s="1" t="str">
        <f>HYPERLINK("http://cartier.com.br","cartier.com.br")</f>
        <v>cartier.com.br</v>
      </c>
      <c r="C11279" t="s">
        <v>425</v>
      </c>
      <c r="D11279" t="s">
        <v>806</v>
      </c>
      <c r="F11279">
        <v>9.0566397623141098E-8</v>
      </c>
      <c r="G11279">
        <v>450374</v>
      </c>
      <c r="H11279">
        <v>14376777</v>
      </c>
      <c r="I11279">
        <v>1214720</v>
      </c>
      <c r="J11279">
        <v>3</v>
      </c>
    </row>
    <row r="11280" spans="1:10" x14ac:dyDescent="0.25">
      <c r="A11280" t="s">
        <v>117</v>
      </c>
      <c r="B11280" s="1" t="str">
        <f>HYPERLINK("http://montblanc.com.br","montblanc.com.br")</f>
        <v>montblanc.com.br</v>
      </c>
      <c r="C11280" t="s">
        <v>425</v>
      </c>
      <c r="D11280" t="s">
        <v>806</v>
      </c>
      <c r="F11280">
        <v>2.1454285596326299E-8</v>
      </c>
      <c r="G11280">
        <v>2454724</v>
      </c>
      <c r="H11280">
        <v>12840043</v>
      </c>
      <c r="I11280">
        <v>14353748</v>
      </c>
      <c r="J11280">
        <v>4</v>
      </c>
    </row>
    <row r="11281" spans="1:10" x14ac:dyDescent="0.25">
      <c r="A11281" t="s">
        <v>117</v>
      </c>
      <c r="B11281" s="1" t="str">
        <f>HYPERLINK("http://panerai.com.br","panerai.com.br")</f>
        <v>panerai.com.br</v>
      </c>
      <c r="C11281" t="s">
        <v>425</v>
      </c>
      <c r="D11281" t="s">
        <v>806</v>
      </c>
      <c r="F11281">
        <v>1.24738843451532E-8</v>
      </c>
      <c r="G11281">
        <v>4899243</v>
      </c>
      <c r="H11281">
        <v>12316316</v>
      </c>
      <c r="I11281">
        <v>20492965</v>
      </c>
      <c r="J11281">
        <v>4</v>
      </c>
    </row>
    <row r="11282" spans="1:10" x14ac:dyDescent="0.25">
      <c r="A11282" t="s">
        <v>117</v>
      </c>
      <c r="B11282" s="1" t="str">
        <f>HYPERLINK("http://cartier.ch","cartier.ch")</f>
        <v>cartier.ch</v>
      </c>
      <c r="C11282" t="s">
        <v>429</v>
      </c>
      <c r="D11282" t="s">
        <v>810</v>
      </c>
      <c r="F11282">
        <v>2.68502922631022E-8</v>
      </c>
      <c r="G11282">
        <v>1915821</v>
      </c>
      <c r="H11282">
        <v>13165952</v>
      </c>
      <c r="I11282">
        <v>11740334</v>
      </c>
      <c r="J11282">
        <v>3</v>
      </c>
    </row>
    <row r="11283" spans="1:10" x14ac:dyDescent="0.25">
      <c r="A11283" t="s">
        <v>117</v>
      </c>
      <c r="B11283" s="1" t="str">
        <f>HYPERLINK("http://watchfinder.ch","watchfinder.ch")</f>
        <v>watchfinder.ch</v>
      </c>
      <c r="C11283" t="s">
        <v>429</v>
      </c>
      <c r="D11283" t="s">
        <v>810</v>
      </c>
      <c r="F11283">
        <v>1.07309335457449E-8</v>
      </c>
      <c r="G11283">
        <v>6075056</v>
      </c>
      <c r="H11283">
        <v>12215976</v>
      </c>
      <c r="I11283">
        <v>22881470</v>
      </c>
      <c r="J11283">
        <v>4</v>
      </c>
    </row>
    <row r="11284" spans="1:10" x14ac:dyDescent="0.25">
      <c r="A11284" t="s">
        <v>117</v>
      </c>
      <c r="B11284" s="1" t="str">
        <f>HYPERLINK("http://baume-et-mercier.cn","baume-et-mercier.cn")</f>
        <v>baume-et-mercier.cn</v>
      </c>
      <c r="C11284" t="s">
        <v>431</v>
      </c>
      <c r="D11284" t="s">
        <v>812</v>
      </c>
      <c r="F11284">
        <v>1.4333097050061801E-8</v>
      </c>
      <c r="G11284">
        <v>4080393</v>
      </c>
      <c r="H11284">
        <v>12472110</v>
      </c>
      <c r="I11284">
        <v>17677897</v>
      </c>
      <c r="J11284">
        <v>2</v>
      </c>
    </row>
    <row r="11285" spans="1:10" x14ac:dyDescent="0.25">
      <c r="A11285" t="s">
        <v>117</v>
      </c>
      <c r="B11285" s="1" t="str">
        <f>HYPERLINK("http://cartier.cn","cartier.cn")</f>
        <v>cartier.cn</v>
      </c>
      <c r="C11285" t="s">
        <v>431</v>
      </c>
      <c r="D11285" t="s">
        <v>812</v>
      </c>
      <c r="E11285">
        <v>356095</v>
      </c>
      <c r="F11285">
        <v>1.20783177633418E-7</v>
      </c>
      <c r="G11285">
        <v>327080</v>
      </c>
      <c r="H11285">
        <v>12984813</v>
      </c>
      <c r="I11285">
        <v>12907868</v>
      </c>
      <c r="J11285">
        <v>2</v>
      </c>
    </row>
    <row r="11286" spans="1:10" x14ac:dyDescent="0.25">
      <c r="A11286" t="s">
        <v>117</v>
      </c>
      <c r="B11286" s="1" t="str">
        <f>HYPERLINK("http://chloe.cn","chloe.cn")</f>
        <v>chloe.cn</v>
      </c>
      <c r="C11286" t="s">
        <v>431</v>
      </c>
      <c r="D11286" t="s">
        <v>812</v>
      </c>
      <c r="F11286">
        <v>4.1452257011295302E-8</v>
      </c>
      <c r="G11286">
        <v>1204094</v>
      </c>
      <c r="H11286">
        <v>12958639</v>
      </c>
      <c r="I11286">
        <v>13175003</v>
      </c>
      <c r="J11286">
        <v>6</v>
      </c>
    </row>
    <row r="11287" spans="1:10" x14ac:dyDescent="0.25">
      <c r="A11287" t="s">
        <v>117</v>
      </c>
      <c r="B11287" s="1" t="str">
        <f>HYPERLINK("http://buccellati.com.cn","buccellati.com.cn")</f>
        <v>buccellati.com.cn</v>
      </c>
      <c r="C11287" t="s">
        <v>431</v>
      </c>
      <c r="D11287" t="s">
        <v>812</v>
      </c>
      <c r="F11287">
        <v>1.31919754465045E-8</v>
      </c>
      <c r="G11287">
        <v>4541781</v>
      </c>
      <c r="H11287">
        <v>10991720</v>
      </c>
      <c r="I11287">
        <v>33718932</v>
      </c>
      <c r="J11287">
        <v>4</v>
      </c>
    </row>
    <row r="11288" spans="1:10" x14ac:dyDescent="0.25">
      <c r="A11288" t="s">
        <v>117</v>
      </c>
      <c r="B11288" s="1" t="str">
        <f>HYPERLINK("http://dunhill.cn","dunhill.cn")</f>
        <v>dunhill.cn</v>
      </c>
      <c r="C11288" t="s">
        <v>431</v>
      </c>
      <c r="D11288" t="s">
        <v>812</v>
      </c>
      <c r="F11288">
        <v>9.7889439133848604E-9</v>
      </c>
      <c r="G11288">
        <v>6980863</v>
      </c>
      <c r="H11288">
        <v>12296345</v>
      </c>
      <c r="I11288">
        <v>20937209</v>
      </c>
      <c r="J11288">
        <v>4</v>
      </c>
    </row>
    <row r="11289" spans="1:10" x14ac:dyDescent="0.25">
      <c r="A11289" t="s">
        <v>117</v>
      </c>
      <c r="B11289" s="1" t="str">
        <f>HYPERLINK("http://iwc.cn","iwc.cn")</f>
        <v>iwc.cn</v>
      </c>
      <c r="C11289" t="s">
        <v>431</v>
      </c>
      <c r="D11289" t="s">
        <v>812</v>
      </c>
      <c r="F11289">
        <v>6.4205777636356105E-8</v>
      </c>
      <c r="G11289">
        <v>674571</v>
      </c>
      <c r="H11289">
        <v>12474809</v>
      </c>
      <c r="I11289">
        <v>17647574</v>
      </c>
      <c r="J11289">
        <v>2</v>
      </c>
    </row>
    <row r="11290" spans="1:10" x14ac:dyDescent="0.25">
      <c r="A11290" t="s">
        <v>117</v>
      </c>
      <c r="B11290" s="1" t="str">
        <f>HYPERLINK("http://jaeger-lecoultre.cn","jaeger-lecoultre.cn")</f>
        <v>jaeger-lecoultre.cn</v>
      </c>
      <c r="C11290" t="s">
        <v>431</v>
      </c>
      <c r="D11290" t="s">
        <v>812</v>
      </c>
      <c r="F11290">
        <v>2.58848048506244E-8</v>
      </c>
      <c r="G11290">
        <v>1990910</v>
      </c>
      <c r="H11290">
        <v>11495978</v>
      </c>
      <c r="I11290">
        <v>30037245</v>
      </c>
      <c r="J11290">
        <v>2</v>
      </c>
    </row>
    <row r="11291" spans="1:10" x14ac:dyDescent="0.25">
      <c r="A11291" t="s">
        <v>117</v>
      </c>
      <c r="B11291" s="1" t="str">
        <f>HYPERLINK("http://lange-soehne.cn","lange-soehne.cn")</f>
        <v>lange-soehne.cn</v>
      </c>
      <c r="C11291" t="s">
        <v>431</v>
      </c>
      <c r="D11291" t="s">
        <v>812</v>
      </c>
      <c r="J11291">
        <v>2</v>
      </c>
    </row>
    <row r="11292" spans="1:10" x14ac:dyDescent="0.25">
      <c r="A11292" t="s">
        <v>117</v>
      </c>
      <c r="B11292" s="1" t="str">
        <f>HYPERLINK("http://montblanc.cn","montblanc.cn")</f>
        <v>montblanc.cn</v>
      </c>
      <c r="C11292" t="s">
        <v>431</v>
      </c>
      <c r="D11292" t="s">
        <v>812</v>
      </c>
      <c r="F11292">
        <v>2.8307313618293801E-8</v>
      </c>
      <c r="G11292">
        <v>1817869</v>
      </c>
      <c r="H11292">
        <v>12488751</v>
      </c>
      <c r="I11292">
        <v>17503707</v>
      </c>
      <c r="J11292">
        <v>2</v>
      </c>
    </row>
    <row r="11293" spans="1:10" x14ac:dyDescent="0.25">
      <c r="A11293" t="s">
        <v>117</v>
      </c>
      <c r="B11293" s="1" t="str">
        <f>HYPERLINK("http://chloe.net.cn","chloe.net.cn")</f>
        <v>chloe.net.cn</v>
      </c>
      <c r="C11293" t="s">
        <v>431</v>
      </c>
      <c r="D11293" t="s">
        <v>812</v>
      </c>
      <c r="J11293">
        <v>7</v>
      </c>
    </row>
    <row r="11294" spans="1:10" x14ac:dyDescent="0.25">
      <c r="A11294" t="s">
        <v>117</v>
      </c>
      <c r="B11294" s="1" t="str">
        <f>HYPERLINK("http://panerai.cn","panerai.cn")</f>
        <v>panerai.cn</v>
      </c>
      <c r="C11294" t="s">
        <v>431</v>
      </c>
      <c r="D11294" t="s">
        <v>812</v>
      </c>
      <c r="F11294">
        <v>2.27101167591912E-8</v>
      </c>
      <c r="G11294">
        <v>2305590</v>
      </c>
      <c r="H11294">
        <v>12520191</v>
      </c>
      <c r="I11294">
        <v>17149200</v>
      </c>
      <c r="J11294">
        <v>2</v>
      </c>
    </row>
    <row r="11295" spans="1:10" x14ac:dyDescent="0.25">
      <c r="A11295" t="s">
        <v>117</v>
      </c>
      <c r="B11295" s="1" t="str">
        <f>HYPERLINK("http://piaget.cn","piaget.cn")</f>
        <v>piaget.cn</v>
      </c>
      <c r="C11295" t="s">
        <v>431</v>
      </c>
      <c r="D11295" t="s">
        <v>812</v>
      </c>
      <c r="F11295">
        <v>8.8547352159462699E-8</v>
      </c>
      <c r="G11295">
        <v>462171</v>
      </c>
      <c r="H11295">
        <v>13687681</v>
      </c>
      <c r="I11295">
        <v>9530575</v>
      </c>
      <c r="J11295">
        <v>2</v>
      </c>
    </row>
    <row r="11296" spans="1:10" x14ac:dyDescent="0.25">
      <c r="A11296" t="s">
        <v>117</v>
      </c>
      <c r="B11296" s="1" t="str">
        <f>HYPERLINK("http://rogerdubuis.cn","rogerdubuis.cn")</f>
        <v>rogerdubuis.cn</v>
      </c>
      <c r="C11296" t="s">
        <v>431</v>
      </c>
      <c r="D11296" t="s">
        <v>812</v>
      </c>
      <c r="F11296">
        <v>1.5725856632140601E-8</v>
      </c>
      <c r="G11296">
        <v>3620040</v>
      </c>
      <c r="H11296">
        <v>10980475</v>
      </c>
      <c r="I11296">
        <v>33926841</v>
      </c>
      <c r="J11296">
        <v>2</v>
      </c>
    </row>
    <row r="11297" spans="1:10" x14ac:dyDescent="0.25">
      <c r="A11297" t="s">
        <v>117</v>
      </c>
      <c r="B11297" s="1" t="str">
        <f>HYPERLINK("http://vacheron-constantin.cn","vacheron-constantin.cn")</f>
        <v>vacheron-constantin.cn</v>
      </c>
      <c r="C11297" t="s">
        <v>431</v>
      </c>
      <c r="D11297" t="s">
        <v>812</v>
      </c>
      <c r="F11297">
        <v>3.7250611219273403E-8</v>
      </c>
      <c r="G11297">
        <v>1390303</v>
      </c>
      <c r="H11297">
        <v>14075702</v>
      </c>
      <c r="I11297">
        <v>2902649</v>
      </c>
      <c r="J11297">
        <v>2</v>
      </c>
    </row>
    <row r="11298" spans="1:10" x14ac:dyDescent="0.25">
      <c r="A11298" t="s">
        <v>117</v>
      </c>
      <c r="B11298" s="1" t="str">
        <f>HYPERLINK("http://vancleefarpels.cn","vancleefarpels.cn")</f>
        <v>vancleefarpels.cn</v>
      </c>
      <c r="C11298" t="s">
        <v>431</v>
      </c>
      <c r="D11298" t="s">
        <v>812</v>
      </c>
      <c r="E11298">
        <v>790977</v>
      </c>
      <c r="F11298">
        <v>1.3941160853869101E-8</v>
      </c>
      <c r="G11298">
        <v>4225240</v>
      </c>
      <c r="H11298">
        <v>11694252</v>
      </c>
      <c r="I11298">
        <v>29857427</v>
      </c>
      <c r="J11298">
        <v>3</v>
      </c>
    </row>
    <row r="11299" spans="1:10" x14ac:dyDescent="0.25">
      <c r="A11299" t="s">
        <v>117</v>
      </c>
      <c r="B11299" s="1" t="str">
        <f>HYPERLINK("http://alange-soehne.com","alange-soehne.com")</f>
        <v>alange-soehne.com</v>
      </c>
      <c r="C11299" t="s">
        <v>433</v>
      </c>
      <c r="E11299">
        <v>166978</v>
      </c>
      <c r="F11299">
        <v>4.4861681553328299E-7</v>
      </c>
      <c r="G11299">
        <v>84184</v>
      </c>
      <c r="H11299">
        <v>15296329</v>
      </c>
      <c r="I11299">
        <v>386378</v>
      </c>
      <c r="J11299">
        <v>2</v>
      </c>
    </row>
    <row r="11300" spans="1:10" x14ac:dyDescent="0.25">
      <c r="A11300" t="s">
        <v>117</v>
      </c>
      <c r="B11300" s="1" t="str">
        <f>HYPERLINK("http://baume-et-mercier.com","baume-et-mercier.com")</f>
        <v>baume-et-mercier.com</v>
      </c>
      <c r="C11300" t="s">
        <v>433</v>
      </c>
      <c r="E11300">
        <v>201835</v>
      </c>
      <c r="F11300">
        <v>4.5993072568738799E-7</v>
      </c>
      <c r="G11300">
        <v>82230</v>
      </c>
      <c r="H11300">
        <v>14821300</v>
      </c>
      <c r="I11300">
        <v>516133</v>
      </c>
      <c r="J11300">
        <v>2</v>
      </c>
    </row>
    <row r="11301" spans="1:10" x14ac:dyDescent="0.25">
      <c r="A11301" t="s">
        <v>117</v>
      </c>
      <c r="B11301" s="1" t="str">
        <f>HYPERLINK("http://buccellati.com","buccellati.com")</f>
        <v>buccellati.com</v>
      </c>
      <c r="C11301" t="s">
        <v>433</v>
      </c>
      <c r="E11301">
        <v>389592</v>
      </c>
      <c r="F11301">
        <v>1.69480137006166E-7</v>
      </c>
      <c r="G11301">
        <v>228912</v>
      </c>
      <c r="H11301">
        <v>15014886</v>
      </c>
      <c r="I11301">
        <v>422133</v>
      </c>
      <c r="J11301">
        <v>3</v>
      </c>
    </row>
    <row r="11302" spans="1:10" x14ac:dyDescent="0.25">
      <c r="A11302" t="s">
        <v>117</v>
      </c>
      <c r="B11302" s="1" t="str">
        <f>HYPERLINK("http://cartier.com","cartier.com")</f>
        <v>cartier.com</v>
      </c>
      <c r="C11302" t="s">
        <v>433</v>
      </c>
      <c r="E11302">
        <v>13953</v>
      </c>
      <c r="F11302">
        <v>1.5403503634191301E-6</v>
      </c>
      <c r="G11302">
        <v>25472</v>
      </c>
      <c r="H11302">
        <v>15897823</v>
      </c>
      <c r="I11302">
        <v>367185</v>
      </c>
      <c r="J11302">
        <v>2</v>
      </c>
    </row>
    <row r="11303" spans="1:10" x14ac:dyDescent="0.25">
      <c r="A11303" t="s">
        <v>117</v>
      </c>
      <c r="B11303" s="1" t="str">
        <f>HYPERLINK("http://chloe.com","chloe.com")</f>
        <v>chloe.com</v>
      </c>
      <c r="C11303" t="s">
        <v>433</v>
      </c>
      <c r="E11303">
        <v>45525</v>
      </c>
      <c r="F11303">
        <v>4.3014727572926602E-7</v>
      </c>
      <c r="G11303">
        <v>87589</v>
      </c>
      <c r="H11303">
        <v>15504173</v>
      </c>
      <c r="I11303">
        <v>376584</v>
      </c>
      <c r="J11303">
        <v>5</v>
      </c>
    </row>
    <row r="11304" spans="1:10" x14ac:dyDescent="0.25">
      <c r="A11304" t="s">
        <v>117</v>
      </c>
      <c r="B11304" s="1" t="str">
        <f>HYPERLINK("http://delvaux.com","delvaux.com")</f>
        <v>delvaux.com</v>
      </c>
      <c r="C11304" t="s">
        <v>433</v>
      </c>
      <c r="E11304">
        <v>184856</v>
      </c>
      <c r="F11304">
        <v>8.2043635396455494E-8</v>
      </c>
      <c r="G11304">
        <v>508590</v>
      </c>
      <c r="H11304">
        <v>14344710</v>
      </c>
      <c r="I11304">
        <v>1313105</v>
      </c>
      <c r="J11304">
        <v>3</v>
      </c>
    </row>
    <row r="11305" spans="1:10" x14ac:dyDescent="0.25">
      <c r="A11305" t="s">
        <v>117</v>
      </c>
      <c r="B11305" s="1" t="str">
        <f>HYPERLINK("http://dunhill.com","dunhill.com")</f>
        <v>dunhill.com</v>
      </c>
      <c r="C11305" t="s">
        <v>433</v>
      </c>
      <c r="E11305">
        <v>118842</v>
      </c>
      <c r="F11305">
        <v>1.8950281415628601E-7</v>
      </c>
      <c r="G11305">
        <v>203327</v>
      </c>
      <c r="H11305">
        <v>14811419</v>
      </c>
      <c r="I11305">
        <v>532322</v>
      </c>
      <c r="J11305">
        <v>3</v>
      </c>
    </row>
    <row r="11306" spans="1:10" x14ac:dyDescent="0.25">
      <c r="A11306" t="s">
        <v>117</v>
      </c>
      <c r="B11306" s="1" t="str">
        <f>HYPERLINK("http://iwc.com","iwc.com")</f>
        <v>iwc.com</v>
      </c>
      <c r="C11306" t="s">
        <v>433</v>
      </c>
      <c r="E11306">
        <v>49257</v>
      </c>
      <c r="F11306">
        <v>9.2580390136810396E-7</v>
      </c>
      <c r="G11306">
        <v>41631</v>
      </c>
      <c r="H11306">
        <v>17490342</v>
      </c>
      <c r="I11306">
        <v>14136</v>
      </c>
      <c r="J11306">
        <v>3</v>
      </c>
    </row>
    <row r="11307" spans="1:10" x14ac:dyDescent="0.25">
      <c r="A11307" t="s">
        <v>117</v>
      </c>
      <c r="B11307" s="1" t="str">
        <f>HYPERLINK("http://jaeger-lecoultre.com","jaeger-lecoultre.com")</f>
        <v>jaeger-lecoultre.com</v>
      </c>
      <c r="C11307" t="s">
        <v>433</v>
      </c>
      <c r="E11307">
        <v>80414</v>
      </c>
      <c r="F11307">
        <v>5.7079666859332295E-7</v>
      </c>
      <c r="G11307">
        <v>66927</v>
      </c>
      <c r="H11307">
        <v>15015877</v>
      </c>
      <c r="I11307">
        <v>421890</v>
      </c>
      <c r="J11307">
        <v>2</v>
      </c>
    </row>
    <row r="11308" spans="1:10" x14ac:dyDescent="0.25">
      <c r="A11308" t="s">
        <v>117</v>
      </c>
      <c r="B11308" s="1" t="str">
        <f>HYPERLINK("http://jaegerlecoultre.com","jaegerlecoultre.com")</f>
        <v>jaegerlecoultre.com</v>
      </c>
      <c r="C11308" t="s">
        <v>433</v>
      </c>
      <c r="F11308">
        <v>7.5875347272475399E-9</v>
      </c>
      <c r="G11308">
        <v>10821193</v>
      </c>
      <c r="H11308">
        <v>14489280</v>
      </c>
      <c r="I11308">
        <v>923857</v>
      </c>
      <c r="J11308">
        <v>4</v>
      </c>
    </row>
    <row r="11309" spans="1:10" x14ac:dyDescent="0.25">
      <c r="A11309" t="s">
        <v>117</v>
      </c>
      <c r="B11309" s="1" t="str">
        <f>HYPERLINK("http://lange-soehne.com","lange-soehne.com")</f>
        <v>lange-soehne.com</v>
      </c>
      <c r="C11309" t="s">
        <v>433</v>
      </c>
      <c r="F11309">
        <v>1.24790410889846E-8</v>
      </c>
      <c r="G11309">
        <v>4896503</v>
      </c>
      <c r="H11309">
        <v>12832029</v>
      </c>
      <c r="I11309">
        <v>14404461</v>
      </c>
      <c r="J11309">
        <v>4</v>
      </c>
    </row>
    <row r="11310" spans="1:10" x14ac:dyDescent="0.25">
      <c r="A11310" t="s">
        <v>117</v>
      </c>
      <c r="B11310" s="1" t="str">
        <f>HYPERLINK("http://montblanc.com","montblanc.com")</f>
        <v>montblanc.com</v>
      </c>
      <c r="C11310" t="s">
        <v>433</v>
      </c>
      <c r="E11310">
        <v>24736</v>
      </c>
      <c r="F11310">
        <v>1.0347054564588099E-6</v>
      </c>
      <c r="G11310">
        <v>37034</v>
      </c>
      <c r="H11310">
        <v>17379126</v>
      </c>
      <c r="I11310">
        <v>20741</v>
      </c>
      <c r="J11310">
        <v>3</v>
      </c>
    </row>
    <row r="11311" spans="1:10" x14ac:dyDescent="0.25">
      <c r="A11311" t="s">
        <v>117</v>
      </c>
      <c r="B11311" s="1" t="str">
        <f>HYPERLINK("http://montblanc-boutique-strasbourg.com","montblanc-boutique-strasbourg.com")</f>
        <v>montblanc-boutique-strasbourg.com</v>
      </c>
      <c r="C11311" t="s">
        <v>433</v>
      </c>
      <c r="F11311">
        <v>4.6734196209282498E-9</v>
      </c>
      <c r="G11311">
        <v>42739082</v>
      </c>
      <c r="H11311">
        <v>9836140</v>
      </c>
      <c r="I11311">
        <v>62280042</v>
      </c>
      <c r="J11311">
        <v>5</v>
      </c>
    </row>
    <row r="11312" spans="1:10" x14ac:dyDescent="0.25">
      <c r="A11312" t="s">
        <v>117</v>
      </c>
      <c r="B11312" s="1" t="str">
        <f>HYPERLINK("http://net-a-porter.com","net-a-porter.com")</f>
        <v>net-a-porter.com</v>
      </c>
      <c r="C11312" t="s">
        <v>433</v>
      </c>
      <c r="E11312">
        <v>7334</v>
      </c>
      <c r="F11312">
        <v>3.5649962654348901E-6</v>
      </c>
      <c r="G11312">
        <v>11517</v>
      </c>
      <c r="H11312">
        <v>17696560</v>
      </c>
      <c r="I11312">
        <v>7393</v>
      </c>
      <c r="J11312">
        <v>3</v>
      </c>
    </row>
    <row r="11313" spans="1:10" x14ac:dyDescent="0.25">
      <c r="A11313" t="s">
        <v>117</v>
      </c>
      <c r="B11313" s="1" t="str">
        <f>HYPERLINK("http://panerai.com","panerai.com")</f>
        <v>panerai.com</v>
      </c>
      <c r="C11313" t="s">
        <v>433</v>
      </c>
      <c r="E11313">
        <v>81985</v>
      </c>
      <c r="F11313">
        <v>6.4714381784652201E-7</v>
      </c>
      <c r="G11313">
        <v>59428</v>
      </c>
      <c r="H11313">
        <v>15517474</v>
      </c>
      <c r="I11313">
        <v>376214</v>
      </c>
      <c r="J11313">
        <v>3</v>
      </c>
    </row>
    <row r="11314" spans="1:10" x14ac:dyDescent="0.25">
      <c r="A11314" t="s">
        <v>117</v>
      </c>
      <c r="B11314" s="1" t="str">
        <f>HYPERLINK("http://piaget.com","piaget.com")</f>
        <v>piaget.com</v>
      </c>
      <c r="C11314" t="s">
        <v>433</v>
      </c>
      <c r="E11314">
        <v>102391</v>
      </c>
      <c r="F11314">
        <v>6.9393935593756899E-7</v>
      </c>
      <c r="G11314">
        <v>55667</v>
      </c>
      <c r="H11314">
        <v>15277770</v>
      </c>
      <c r="I11314">
        <v>387868</v>
      </c>
      <c r="J11314">
        <v>5</v>
      </c>
    </row>
    <row r="11315" spans="1:10" x14ac:dyDescent="0.25">
      <c r="A11315" t="s">
        <v>117</v>
      </c>
      <c r="B11315" s="1" t="str">
        <f>HYPERLINK("http://real-timeprice.com","real-timeprice.com")</f>
        <v>real-timeprice.com</v>
      </c>
      <c r="C11315" t="s">
        <v>433</v>
      </c>
      <c r="F11315">
        <v>9.3145006174969204E-9</v>
      </c>
      <c r="G11315">
        <v>7553694</v>
      </c>
      <c r="H11315">
        <v>14100453</v>
      </c>
      <c r="I11315">
        <v>2705694</v>
      </c>
      <c r="J11315">
        <v>5</v>
      </c>
    </row>
    <row r="11316" spans="1:10" x14ac:dyDescent="0.25">
      <c r="A11316" t="s">
        <v>117</v>
      </c>
      <c r="B11316" s="1" t="str">
        <f>HYPERLINK("http://richemont.com","richemont.com")</f>
        <v>richemont.com</v>
      </c>
      <c r="C11316" t="s">
        <v>433</v>
      </c>
      <c r="E11316">
        <v>60926</v>
      </c>
      <c r="F11316">
        <v>7.3861005202656004E-7</v>
      </c>
      <c r="G11316">
        <v>52692</v>
      </c>
      <c r="H11316">
        <v>17161274</v>
      </c>
      <c r="I11316">
        <v>49694</v>
      </c>
      <c r="J11316">
        <v>2</v>
      </c>
    </row>
    <row r="11317" spans="1:10" x14ac:dyDescent="0.25">
      <c r="A11317" t="s">
        <v>117</v>
      </c>
      <c r="B11317" s="1" t="str">
        <f>HYPERLINK("http://rogerdubuis.com","rogerdubuis.com")</f>
        <v>rogerdubuis.com</v>
      </c>
      <c r="C11317" t="s">
        <v>433</v>
      </c>
      <c r="E11317">
        <v>377845</v>
      </c>
      <c r="F11317">
        <v>1.3927915655749101E-7</v>
      </c>
      <c r="G11317">
        <v>279704</v>
      </c>
      <c r="H11317">
        <v>14553361</v>
      </c>
      <c r="I11317">
        <v>755435</v>
      </c>
      <c r="J11317">
        <v>2</v>
      </c>
    </row>
    <row r="11318" spans="1:10" x14ac:dyDescent="0.25">
      <c r="A11318" t="s">
        <v>117</v>
      </c>
      <c r="B11318" s="1" t="str">
        <f>HYPERLINK("http://vacheron-constantin.com","vacheron-constantin.com")</f>
        <v>vacheron-constantin.com</v>
      </c>
      <c r="C11318" t="s">
        <v>433</v>
      </c>
      <c r="E11318">
        <v>91761</v>
      </c>
      <c r="F11318">
        <v>4.4896061344773099E-7</v>
      </c>
      <c r="G11318">
        <v>84118</v>
      </c>
      <c r="H11318">
        <v>15548587</v>
      </c>
      <c r="I11318">
        <v>373758</v>
      </c>
      <c r="J11318">
        <v>3</v>
      </c>
    </row>
    <row r="11319" spans="1:10" x14ac:dyDescent="0.25">
      <c r="A11319" t="s">
        <v>117</v>
      </c>
      <c r="B11319" s="1" t="str">
        <f>HYPERLINK("http://vancleefarpels.com","vancleefarpels.com")</f>
        <v>vancleefarpels.com</v>
      </c>
      <c r="C11319" t="s">
        <v>433</v>
      </c>
      <c r="E11319">
        <v>52139</v>
      </c>
      <c r="F11319">
        <v>4.5992753217222902E-7</v>
      </c>
      <c r="G11319">
        <v>82231</v>
      </c>
      <c r="H11319">
        <v>15565958</v>
      </c>
      <c r="I11319">
        <v>373293</v>
      </c>
      <c r="J11319">
        <v>2</v>
      </c>
    </row>
    <row r="11320" spans="1:10" x14ac:dyDescent="0.25">
      <c r="A11320" t="s">
        <v>117</v>
      </c>
      <c r="B11320" s="1" t="str">
        <f>HYPERLINK("http://watchfinder.com","watchfinder.com")</f>
        <v>watchfinder.com</v>
      </c>
      <c r="C11320" t="s">
        <v>433</v>
      </c>
      <c r="E11320">
        <v>330466</v>
      </c>
      <c r="F11320">
        <v>3.00250987224243E-8</v>
      </c>
      <c r="G11320">
        <v>1713666</v>
      </c>
      <c r="H11320">
        <v>14149894</v>
      </c>
      <c r="I11320">
        <v>1879512</v>
      </c>
      <c r="J11320">
        <v>4</v>
      </c>
    </row>
    <row r="11321" spans="1:10" x14ac:dyDescent="0.25">
      <c r="A11321" t="s">
        <v>117</v>
      </c>
      <c r="B11321" s="1" t="str">
        <f>HYPERLINK("http://ynap.com","ynap.com")</f>
        <v>ynap.com</v>
      </c>
      <c r="C11321" t="s">
        <v>433</v>
      </c>
      <c r="E11321">
        <v>176406</v>
      </c>
      <c r="F11321">
        <v>3.8324889566432101E-7</v>
      </c>
      <c r="G11321">
        <v>97649</v>
      </c>
      <c r="H11321">
        <v>14205447</v>
      </c>
      <c r="I11321">
        <v>1712291</v>
      </c>
      <c r="J11321">
        <v>2</v>
      </c>
    </row>
    <row r="11322" spans="1:10" x14ac:dyDescent="0.25">
      <c r="A11322" t="s">
        <v>117</v>
      </c>
      <c r="B11322" s="1" t="str">
        <f>HYPERLINK("http://yoox.com","yoox.com")</f>
        <v>yoox.com</v>
      </c>
      <c r="C11322" t="s">
        <v>433</v>
      </c>
      <c r="E11322">
        <v>7722</v>
      </c>
      <c r="F11322">
        <v>1.49307421148262E-6</v>
      </c>
      <c r="G11322">
        <v>26241</v>
      </c>
      <c r="H11322">
        <v>17727444</v>
      </c>
      <c r="I11322">
        <v>6786</v>
      </c>
      <c r="J11322">
        <v>6</v>
      </c>
    </row>
    <row r="11323" spans="1:10" x14ac:dyDescent="0.25">
      <c r="A11323" t="s">
        <v>117</v>
      </c>
      <c r="B11323" s="1" t="str">
        <f>HYPERLINK("http://yooxgroup.com","yooxgroup.com")</f>
        <v>yooxgroup.com</v>
      </c>
      <c r="C11323" t="s">
        <v>433</v>
      </c>
      <c r="F11323">
        <v>4.7010070421411098E-8</v>
      </c>
      <c r="G11323">
        <v>992799</v>
      </c>
      <c r="H11323">
        <v>13866193</v>
      </c>
      <c r="I11323">
        <v>6006954</v>
      </c>
      <c r="J11323">
        <v>7</v>
      </c>
    </row>
    <row r="11324" spans="1:10" x14ac:dyDescent="0.25">
      <c r="A11324" t="s">
        <v>117</v>
      </c>
      <c r="B11324" s="1" t="str">
        <f>HYPERLINK("http://watchfinder.cy","watchfinder.cy")</f>
        <v>watchfinder.cy</v>
      </c>
      <c r="C11324" t="s">
        <v>610</v>
      </c>
      <c r="D11324" t="s">
        <v>937</v>
      </c>
      <c r="F11324">
        <v>9.4361863484714396E-9</v>
      </c>
      <c r="G11324">
        <v>7399808</v>
      </c>
      <c r="H11324">
        <v>10641362</v>
      </c>
      <c r="I11324">
        <v>43737084</v>
      </c>
      <c r="J11324">
        <v>5</v>
      </c>
    </row>
    <row r="11325" spans="1:10" x14ac:dyDescent="0.25">
      <c r="A11325" t="s">
        <v>117</v>
      </c>
      <c r="B11325" s="1" t="str">
        <f>HYPERLINK("http://watchfinder.cz","watchfinder.cz")</f>
        <v>watchfinder.cz</v>
      </c>
      <c r="C11325" t="s">
        <v>435</v>
      </c>
      <c r="D11325" t="s">
        <v>814</v>
      </c>
      <c r="F11325">
        <v>9.4237496039805802E-9</v>
      </c>
      <c r="G11325">
        <v>7414901</v>
      </c>
      <c r="H11325">
        <v>10558408</v>
      </c>
      <c r="I11325">
        <v>46413894</v>
      </c>
      <c r="J11325">
        <v>4</v>
      </c>
    </row>
    <row r="11326" spans="1:10" x14ac:dyDescent="0.25">
      <c r="A11326" t="s">
        <v>117</v>
      </c>
      <c r="B11326" s="1" t="str">
        <f>HYPERLINK("http://cartier.de","cartier.de")</f>
        <v>cartier.de</v>
      </c>
      <c r="C11326" t="s">
        <v>436</v>
      </c>
      <c r="D11326" t="s">
        <v>815</v>
      </c>
      <c r="F11326">
        <v>1.05232909058478E-7</v>
      </c>
      <c r="G11326">
        <v>380680</v>
      </c>
      <c r="H11326">
        <v>14244358</v>
      </c>
      <c r="I11326">
        <v>1472171</v>
      </c>
      <c r="J11326">
        <v>3</v>
      </c>
    </row>
    <row r="11327" spans="1:10" x14ac:dyDescent="0.25">
      <c r="A11327" t="s">
        <v>117</v>
      </c>
      <c r="B11327" s="1" t="str">
        <f>HYPERLINK("http://montblanc.de","montblanc.de")</f>
        <v>montblanc.de</v>
      </c>
      <c r="C11327" t="s">
        <v>436</v>
      </c>
      <c r="D11327" t="s">
        <v>815</v>
      </c>
      <c r="F11327">
        <v>1.31472266807461E-8</v>
      </c>
      <c r="G11327">
        <v>4562291</v>
      </c>
      <c r="H11327">
        <v>13765050</v>
      </c>
      <c r="I11327">
        <v>7153231</v>
      </c>
      <c r="J11327">
        <v>3</v>
      </c>
    </row>
    <row r="11328" spans="1:10" x14ac:dyDescent="0.25">
      <c r="A11328" t="s">
        <v>117</v>
      </c>
      <c r="B11328" s="1" t="str">
        <f>HYPERLINK("http://watchfinder.dk","watchfinder.dk")</f>
        <v>watchfinder.dk</v>
      </c>
      <c r="C11328" t="s">
        <v>437</v>
      </c>
      <c r="D11328" t="s">
        <v>816</v>
      </c>
      <c r="F11328">
        <v>9.4237495868978596E-9</v>
      </c>
      <c r="G11328">
        <v>7414902</v>
      </c>
      <c r="H11328">
        <v>10558408</v>
      </c>
      <c r="I11328">
        <v>46413896</v>
      </c>
      <c r="J11328">
        <v>4</v>
      </c>
    </row>
    <row r="11329" spans="1:10" x14ac:dyDescent="0.25">
      <c r="A11329" t="s">
        <v>117</v>
      </c>
      <c r="B11329" s="1" t="str">
        <f>HYPERLINK("http://watchfinder.ee","watchfinder.ee")</f>
        <v>watchfinder.ee</v>
      </c>
      <c r="C11329" t="s">
        <v>441</v>
      </c>
      <c r="D11329" t="s">
        <v>820</v>
      </c>
      <c r="F11329">
        <v>9.4237495698880004E-9</v>
      </c>
      <c r="G11329">
        <v>7414903</v>
      </c>
      <c r="H11329">
        <v>10558408</v>
      </c>
      <c r="I11329">
        <v>46413897</v>
      </c>
      <c r="J11329">
        <v>4</v>
      </c>
    </row>
    <row r="11330" spans="1:10" x14ac:dyDescent="0.25">
      <c r="A11330" t="s">
        <v>117</v>
      </c>
      <c r="B11330" s="1" t="str">
        <f>HYPERLINK("http://cartier.es","cartier.es")</f>
        <v>cartier.es</v>
      </c>
      <c r="C11330" t="s">
        <v>443</v>
      </c>
      <c r="D11330" t="s">
        <v>822</v>
      </c>
      <c r="F11330">
        <v>1.06267330511844E-7</v>
      </c>
      <c r="G11330">
        <v>376796</v>
      </c>
      <c r="H11330">
        <v>14529100</v>
      </c>
      <c r="I11330">
        <v>789033</v>
      </c>
      <c r="J11330">
        <v>3</v>
      </c>
    </row>
    <row r="11331" spans="1:10" x14ac:dyDescent="0.25">
      <c r="A11331" t="s">
        <v>117</v>
      </c>
      <c r="B11331" s="1" t="str">
        <f>HYPERLINK("http://watchfinder.es","watchfinder.es")</f>
        <v>watchfinder.es</v>
      </c>
      <c r="C11331" t="s">
        <v>443</v>
      </c>
      <c r="D11331" t="s">
        <v>822</v>
      </c>
      <c r="F11331">
        <v>9.4237495529506898E-9</v>
      </c>
      <c r="G11331">
        <v>7414904</v>
      </c>
      <c r="H11331">
        <v>10558408</v>
      </c>
      <c r="I11331">
        <v>46413898</v>
      </c>
      <c r="J11331">
        <v>4</v>
      </c>
    </row>
    <row r="11332" spans="1:10" x14ac:dyDescent="0.25">
      <c r="A11332" t="s">
        <v>117</v>
      </c>
      <c r="B11332" s="1" t="str">
        <f>HYPERLINK("http://cartier.eu","cartier.eu")</f>
        <v>cartier.eu</v>
      </c>
      <c r="C11332" t="s">
        <v>444</v>
      </c>
      <c r="F11332">
        <v>1.77962723131132E-8</v>
      </c>
      <c r="G11332">
        <v>3075630</v>
      </c>
      <c r="H11332">
        <v>13940489</v>
      </c>
      <c r="I11332">
        <v>4368032</v>
      </c>
      <c r="J11332">
        <v>3</v>
      </c>
    </row>
    <row r="11333" spans="1:10" x14ac:dyDescent="0.25">
      <c r="A11333" t="s">
        <v>117</v>
      </c>
      <c r="B11333" s="1" t="str">
        <f>HYPERLINK("http://watchfinder.fi","watchfinder.fi")</f>
        <v>watchfinder.fi</v>
      </c>
      <c r="C11333" t="s">
        <v>445</v>
      </c>
      <c r="D11333" t="s">
        <v>823</v>
      </c>
      <c r="F11333">
        <v>9.4237495360856402E-9</v>
      </c>
      <c r="G11333">
        <v>7414905</v>
      </c>
      <c r="H11333">
        <v>10558408</v>
      </c>
      <c r="I11333">
        <v>46413899</v>
      </c>
      <c r="J11333">
        <v>4</v>
      </c>
    </row>
    <row r="11334" spans="1:10" x14ac:dyDescent="0.25">
      <c r="A11334" t="s">
        <v>117</v>
      </c>
      <c r="B11334" s="1" t="str">
        <f>HYPERLINK("http://baume-et-mercier.fr","baume-et-mercier.fr")</f>
        <v>baume-et-mercier.fr</v>
      </c>
      <c r="C11334" t="s">
        <v>446</v>
      </c>
      <c r="D11334" t="s">
        <v>824</v>
      </c>
      <c r="F11334">
        <v>1.1027033527794399E-8</v>
      </c>
      <c r="G11334">
        <v>5839355</v>
      </c>
      <c r="H11334">
        <v>12292975</v>
      </c>
      <c r="I11334">
        <v>21009358</v>
      </c>
      <c r="J11334">
        <v>3</v>
      </c>
    </row>
    <row r="11335" spans="1:10" x14ac:dyDescent="0.25">
      <c r="A11335" t="s">
        <v>117</v>
      </c>
      <c r="B11335" s="1" t="str">
        <f>HYPERLINK("http://cartier.fr","cartier.fr")</f>
        <v>cartier.fr</v>
      </c>
      <c r="C11335" t="s">
        <v>446</v>
      </c>
      <c r="D11335" t="s">
        <v>824</v>
      </c>
      <c r="E11335">
        <v>547649</v>
      </c>
      <c r="F11335">
        <v>1.02069725295537E-6</v>
      </c>
      <c r="G11335">
        <v>37514</v>
      </c>
      <c r="H11335">
        <v>15945430</v>
      </c>
      <c r="I11335">
        <v>366828</v>
      </c>
      <c r="J11335">
        <v>3</v>
      </c>
    </row>
    <row r="11336" spans="1:10" x14ac:dyDescent="0.25">
      <c r="A11336" t="s">
        <v>117</v>
      </c>
      <c r="B11336" s="1" t="str">
        <f>HYPERLINK("http://herzo.fr","herzo.fr")</f>
        <v>herzo.fr</v>
      </c>
      <c r="C11336" t="s">
        <v>446</v>
      </c>
      <c r="D11336" t="s">
        <v>824</v>
      </c>
      <c r="F11336">
        <v>5.39890719973899E-9</v>
      </c>
      <c r="G11336">
        <v>22128142</v>
      </c>
      <c r="H11336">
        <v>12168978</v>
      </c>
      <c r="I11336">
        <v>24096780</v>
      </c>
      <c r="J11336">
        <v>5</v>
      </c>
    </row>
    <row r="11337" spans="1:10" x14ac:dyDescent="0.25">
      <c r="A11337" t="s">
        <v>117</v>
      </c>
      <c r="B11337" s="1" t="str">
        <f>HYPERLINK("http://jaeger-lecoultre-lyon.fr","jaeger-lecoultre-lyon.fr")</f>
        <v>jaeger-lecoultre-lyon.fr</v>
      </c>
      <c r="C11337" t="s">
        <v>446</v>
      </c>
      <c r="D11337" t="s">
        <v>824</v>
      </c>
      <c r="F11337">
        <v>4.6089150091088098E-9</v>
      </c>
      <c r="G11337">
        <v>46926966</v>
      </c>
      <c r="H11337">
        <v>12429036</v>
      </c>
      <c r="I11337">
        <v>18318679</v>
      </c>
      <c r="J11337">
        <v>5</v>
      </c>
    </row>
    <row r="11338" spans="1:10" x14ac:dyDescent="0.25">
      <c r="A11338" t="s">
        <v>117</v>
      </c>
      <c r="B11338" s="1" t="str">
        <f>HYPERLINK("http://montblanc.fr","montblanc.fr")</f>
        <v>montblanc.fr</v>
      </c>
      <c r="C11338" t="s">
        <v>446</v>
      </c>
      <c r="D11338" t="s">
        <v>824</v>
      </c>
      <c r="F11338">
        <v>7.6920317857711804E-9</v>
      </c>
      <c r="G11338">
        <v>10599568</v>
      </c>
      <c r="H11338">
        <v>14491280</v>
      </c>
      <c r="I11338">
        <v>904401</v>
      </c>
      <c r="J11338">
        <v>5</v>
      </c>
    </row>
    <row r="11339" spans="1:10" x14ac:dyDescent="0.25">
      <c r="A11339" t="s">
        <v>117</v>
      </c>
      <c r="B11339" s="1" t="str">
        <f>HYPERLINK("http://piaget.fr","piaget.fr")</f>
        <v>piaget.fr</v>
      </c>
      <c r="C11339" t="s">
        <v>446</v>
      </c>
      <c r="D11339" t="s">
        <v>824</v>
      </c>
      <c r="F11339">
        <v>4.7363777615300898E-8</v>
      </c>
      <c r="G11339">
        <v>983848</v>
      </c>
      <c r="H11339">
        <v>14139444</v>
      </c>
      <c r="I11339">
        <v>1940585</v>
      </c>
      <c r="J11339">
        <v>6</v>
      </c>
    </row>
    <row r="11340" spans="1:10" x14ac:dyDescent="0.25">
      <c r="A11340" t="s">
        <v>117</v>
      </c>
      <c r="B11340" s="1" t="str">
        <f>HYPERLINK("http://watchfinder.fr","watchfinder.fr")</f>
        <v>watchfinder.fr</v>
      </c>
      <c r="C11340" t="s">
        <v>446</v>
      </c>
      <c r="D11340" t="s">
        <v>824</v>
      </c>
      <c r="F11340">
        <v>1.43966841864279E-8</v>
      </c>
      <c r="G11340">
        <v>4058208</v>
      </c>
      <c r="H11340">
        <v>13126043</v>
      </c>
      <c r="I11340">
        <v>11958468</v>
      </c>
      <c r="J11340">
        <v>4</v>
      </c>
    </row>
    <row r="11341" spans="1:10" x14ac:dyDescent="0.25">
      <c r="A11341" t="s">
        <v>117</v>
      </c>
      <c r="B11341" s="1" t="str">
        <f>HYPERLINK("http://watchfinder.gr","watchfinder.gr")</f>
        <v>watchfinder.gr</v>
      </c>
      <c r="C11341" t="s">
        <v>447</v>
      </c>
      <c r="D11341" t="s">
        <v>825</v>
      </c>
      <c r="F11341">
        <v>9.4237494918477298E-9</v>
      </c>
      <c r="G11341">
        <v>7414906</v>
      </c>
      <c r="H11341">
        <v>10558408</v>
      </c>
      <c r="I11341">
        <v>46413900</v>
      </c>
      <c r="J11341">
        <v>4</v>
      </c>
    </row>
    <row r="11342" spans="1:10" x14ac:dyDescent="0.25">
      <c r="A11342" t="s">
        <v>117</v>
      </c>
      <c r="B11342" s="1" t="str">
        <f>HYPERLINK("http://cartier.hk","cartier.hk")</f>
        <v>cartier.hk</v>
      </c>
      <c r="C11342" t="s">
        <v>450</v>
      </c>
      <c r="D11342" t="s">
        <v>827</v>
      </c>
      <c r="E11342">
        <v>858523</v>
      </c>
      <c r="F11342">
        <v>1.4802431971218101E-7</v>
      </c>
      <c r="G11342">
        <v>262969</v>
      </c>
      <c r="H11342">
        <v>13955387</v>
      </c>
      <c r="I11342">
        <v>4138661</v>
      </c>
      <c r="J11342">
        <v>3</v>
      </c>
    </row>
    <row r="11343" spans="1:10" x14ac:dyDescent="0.25">
      <c r="A11343" t="s">
        <v>117</v>
      </c>
      <c r="B11343" s="1" t="str">
        <f>HYPERLINK("http://watchfinder.hk","watchfinder.hk")</f>
        <v>watchfinder.hk</v>
      </c>
      <c r="C11343" t="s">
        <v>450</v>
      </c>
      <c r="D11343" t="s">
        <v>827</v>
      </c>
      <c r="F11343">
        <v>1.93596168850046E-8</v>
      </c>
      <c r="G11343">
        <v>2769484</v>
      </c>
      <c r="H11343">
        <v>12884427</v>
      </c>
      <c r="I11343">
        <v>13971364</v>
      </c>
      <c r="J11343">
        <v>4</v>
      </c>
    </row>
    <row r="11344" spans="1:10" x14ac:dyDescent="0.25">
      <c r="A11344" t="s">
        <v>117</v>
      </c>
      <c r="B11344" s="1" t="str">
        <f>HYPERLINK("http://watchfinder.hr","watchfinder.hr")</f>
        <v>watchfinder.hr</v>
      </c>
      <c r="C11344" t="s">
        <v>452</v>
      </c>
      <c r="D11344" t="s">
        <v>829</v>
      </c>
      <c r="F11344">
        <v>9.4237494752421899E-9</v>
      </c>
      <c r="G11344">
        <v>7414907</v>
      </c>
      <c r="H11344">
        <v>10558408</v>
      </c>
      <c r="I11344">
        <v>46413901</v>
      </c>
      <c r="J11344">
        <v>4</v>
      </c>
    </row>
    <row r="11345" spans="1:10" x14ac:dyDescent="0.25">
      <c r="A11345" t="s">
        <v>117</v>
      </c>
      <c r="B11345" s="1" t="str">
        <f>HYPERLINK("http://watchfinder.hu","watchfinder.hu")</f>
        <v>watchfinder.hu</v>
      </c>
      <c r="C11345" t="s">
        <v>453</v>
      </c>
      <c r="D11345" t="s">
        <v>830</v>
      </c>
      <c r="F11345">
        <v>9.4284455193145497E-9</v>
      </c>
      <c r="G11345">
        <v>7409209</v>
      </c>
      <c r="H11345">
        <v>10558408</v>
      </c>
      <c r="I11345">
        <v>46413902</v>
      </c>
      <c r="J11345">
        <v>4</v>
      </c>
    </row>
    <row r="11346" spans="1:10" x14ac:dyDescent="0.25">
      <c r="A11346" t="s">
        <v>117</v>
      </c>
      <c r="B11346" s="1" t="str">
        <f>HYPERLINK("http://watchfinder.ie","watchfinder.ie")</f>
        <v>watchfinder.ie</v>
      </c>
      <c r="C11346" t="s">
        <v>455</v>
      </c>
      <c r="D11346" t="s">
        <v>832</v>
      </c>
      <c r="F11346">
        <v>9.4237542428122496E-9</v>
      </c>
      <c r="G11346">
        <v>7414888</v>
      </c>
      <c r="H11346">
        <v>10641363</v>
      </c>
      <c r="I11346">
        <v>43737044</v>
      </c>
      <c r="J11346">
        <v>4</v>
      </c>
    </row>
    <row r="11347" spans="1:10" x14ac:dyDescent="0.25">
      <c r="A11347" t="s">
        <v>117</v>
      </c>
      <c r="B11347" s="1" t="str">
        <f>HYPERLINK("http://watchfinder.is","watchfinder.is")</f>
        <v>watchfinder.is</v>
      </c>
      <c r="C11347" t="s">
        <v>594</v>
      </c>
      <c r="D11347" t="s">
        <v>929</v>
      </c>
      <c r="F11347">
        <v>9.4261373118809095E-9</v>
      </c>
      <c r="G11347">
        <v>7412065</v>
      </c>
      <c r="H11347">
        <v>10558408</v>
      </c>
      <c r="I11347">
        <v>46413903</v>
      </c>
      <c r="J11347">
        <v>4</v>
      </c>
    </row>
    <row r="11348" spans="1:10" x14ac:dyDescent="0.25">
      <c r="A11348" t="s">
        <v>117</v>
      </c>
      <c r="B11348" s="1" t="str">
        <f>HYPERLINK("http://baume-et-mercier.it","baume-et-mercier.it")</f>
        <v>baume-et-mercier.it</v>
      </c>
      <c r="C11348" t="s">
        <v>459</v>
      </c>
      <c r="D11348" t="s">
        <v>835</v>
      </c>
      <c r="F11348">
        <v>1.23515189987509E-8</v>
      </c>
      <c r="G11348">
        <v>4965653</v>
      </c>
      <c r="H11348">
        <v>12635941</v>
      </c>
      <c r="I11348">
        <v>15906742</v>
      </c>
      <c r="J11348">
        <v>3</v>
      </c>
    </row>
    <row r="11349" spans="1:10" x14ac:dyDescent="0.25">
      <c r="A11349" t="s">
        <v>117</v>
      </c>
      <c r="B11349" s="1" t="str">
        <f>HYPERLINK("http://cartier.it","cartier.it")</f>
        <v>cartier.it</v>
      </c>
      <c r="C11349" t="s">
        <v>459</v>
      </c>
      <c r="D11349" t="s">
        <v>835</v>
      </c>
      <c r="F11349">
        <v>1.16041616119308E-7</v>
      </c>
      <c r="G11349">
        <v>342717</v>
      </c>
      <c r="H11349">
        <v>14136840</v>
      </c>
      <c r="I11349">
        <v>1958553</v>
      </c>
      <c r="J11349">
        <v>3</v>
      </c>
    </row>
    <row r="11350" spans="1:10" x14ac:dyDescent="0.25">
      <c r="A11350" t="s">
        <v>117</v>
      </c>
      <c r="B11350" s="1" t="str">
        <f>HYPERLINK("http://watchfinder.it","watchfinder.it")</f>
        <v>watchfinder.it</v>
      </c>
      <c r="C11350" t="s">
        <v>459</v>
      </c>
      <c r="D11350" t="s">
        <v>835</v>
      </c>
      <c r="F11350">
        <v>9.7060601530539801E-9</v>
      </c>
      <c r="G11350">
        <v>7073519</v>
      </c>
      <c r="H11350">
        <v>12033368</v>
      </c>
      <c r="I11350">
        <v>27594501</v>
      </c>
      <c r="J11350">
        <v>4</v>
      </c>
    </row>
    <row r="11351" spans="1:10" x14ac:dyDescent="0.25">
      <c r="A11351" t="s">
        <v>117</v>
      </c>
      <c r="B11351" s="1" t="str">
        <f>HYPERLINK("http://yoox.it","yoox.it")</f>
        <v>yoox.it</v>
      </c>
      <c r="C11351" t="s">
        <v>459</v>
      </c>
      <c r="D11351" t="s">
        <v>835</v>
      </c>
      <c r="E11351">
        <v>150910</v>
      </c>
      <c r="F11351">
        <v>4.6928772318724101E-8</v>
      </c>
      <c r="G11351">
        <v>994847</v>
      </c>
      <c r="H11351">
        <v>13779747</v>
      </c>
      <c r="I11351">
        <v>6482859</v>
      </c>
      <c r="J11351">
        <v>7</v>
      </c>
    </row>
    <row r="11352" spans="1:10" x14ac:dyDescent="0.25">
      <c r="A11352" t="s">
        <v>117</v>
      </c>
      <c r="B11352" s="1" t="str">
        <f>HYPERLINK("http://cartier.jp","cartier.jp")</f>
        <v>cartier.jp</v>
      </c>
      <c r="C11352" t="s">
        <v>461</v>
      </c>
      <c r="D11352" t="s">
        <v>837</v>
      </c>
      <c r="E11352">
        <v>390305</v>
      </c>
      <c r="F11352">
        <v>1.7873371456935899E-7</v>
      </c>
      <c r="G11352">
        <v>216228</v>
      </c>
      <c r="H11352">
        <v>14454878</v>
      </c>
      <c r="I11352">
        <v>1050211</v>
      </c>
      <c r="J11352">
        <v>3</v>
      </c>
    </row>
    <row r="11353" spans="1:10" x14ac:dyDescent="0.25">
      <c r="A11353" t="s">
        <v>117</v>
      </c>
      <c r="B11353" s="1" t="str">
        <f>HYPERLINK("http://cartier.co.kr","cartier.co.kr")</f>
        <v>cartier.co.kr</v>
      </c>
      <c r="C11353" t="s">
        <v>463</v>
      </c>
      <c r="D11353" t="s">
        <v>839</v>
      </c>
      <c r="F11353">
        <v>8.6057994199359005E-8</v>
      </c>
      <c r="G11353">
        <v>478178</v>
      </c>
      <c r="H11353">
        <v>13963535</v>
      </c>
      <c r="I11353">
        <v>4097477</v>
      </c>
      <c r="J11353">
        <v>3</v>
      </c>
    </row>
    <row r="11354" spans="1:10" x14ac:dyDescent="0.25">
      <c r="A11354" t="s">
        <v>117</v>
      </c>
      <c r="B11354" s="1" t="str">
        <f>HYPERLINK("http://watchfinder.lt","watchfinder.lt")</f>
        <v>watchfinder.lt</v>
      </c>
      <c r="C11354" t="s">
        <v>467</v>
      </c>
      <c r="D11354" t="s">
        <v>843</v>
      </c>
      <c r="F11354">
        <v>9.4284454113255301E-9</v>
      </c>
      <c r="G11354">
        <v>7409210</v>
      </c>
      <c r="H11354">
        <v>10558408</v>
      </c>
      <c r="I11354">
        <v>46413904</v>
      </c>
      <c r="J11354">
        <v>4</v>
      </c>
    </row>
    <row r="11355" spans="1:10" x14ac:dyDescent="0.25">
      <c r="A11355" t="s">
        <v>117</v>
      </c>
      <c r="B11355" s="1" t="str">
        <f>HYPERLINK("http://watchfinder.lu","watchfinder.lu")</f>
        <v>watchfinder.lu</v>
      </c>
      <c r="C11355" t="s">
        <v>547</v>
      </c>
      <c r="D11355" t="s">
        <v>904</v>
      </c>
      <c r="F11355">
        <v>9.4237493193814092E-9</v>
      </c>
      <c r="G11355">
        <v>7414910</v>
      </c>
      <c r="H11355">
        <v>10558408</v>
      </c>
      <c r="I11355">
        <v>46413905</v>
      </c>
      <c r="J11355">
        <v>4</v>
      </c>
    </row>
    <row r="11356" spans="1:10" x14ac:dyDescent="0.25">
      <c r="A11356" t="s">
        <v>117</v>
      </c>
      <c r="B11356" s="1" t="str">
        <f>HYPERLINK("http://watchfinder.lv","watchfinder.lv")</f>
        <v>watchfinder.lv</v>
      </c>
      <c r="C11356" t="s">
        <v>468</v>
      </c>
      <c r="D11356" t="s">
        <v>844</v>
      </c>
      <c r="F11356">
        <v>9.4237493353177601E-9</v>
      </c>
      <c r="G11356">
        <v>7414909</v>
      </c>
      <c r="H11356">
        <v>10558408</v>
      </c>
      <c r="I11356">
        <v>46413906</v>
      </c>
      <c r="J11356">
        <v>4</v>
      </c>
    </row>
    <row r="11357" spans="1:10" x14ac:dyDescent="0.25">
      <c r="A11357" t="s">
        <v>117</v>
      </c>
      <c r="B11357" s="1" t="str">
        <f>HYPERLINK("http://watchfinder.mt","watchfinder.mt")</f>
        <v>watchfinder.mt</v>
      </c>
      <c r="C11357" t="s">
        <v>597</v>
      </c>
      <c r="D11357" t="s">
        <v>932</v>
      </c>
      <c r="F11357">
        <v>9.4237493035131999E-9</v>
      </c>
      <c r="G11357">
        <v>7414912</v>
      </c>
      <c r="H11357">
        <v>10558408</v>
      </c>
      <c r="I11357">
        <v>46413907</v>
      </c>
      <c r="J11357">
        <v>4</v>
      </c>
    </row>
    <row r="11358" spans="1:10" x14ac:dyDescent="0.25">
      <c r="A11358" t="s">
        <v>117</v>
      </c>
      <c r="B11358" s="1" t="str">
        <f>HYPERLINK("http://cartier.mx","cartier.mx")</f>
        <v>cartier.mx</v>
      </c>
      <c r="C11358" t="s">
        <v>471</v>
      </c>
      <c r="D11358" t="s">
        <v>847</v>
      </c>
      <c r="F11358">
        <v>3.0490871023130399E-8</v>
      </c>
      <c r="G11358">
        <v>1688736</v>
      </c>
      <c r="H11358">
        <v>14147483</v>
      </c>
      <c r="I11358">
        <v>1889811</v>
      </c>
      <c r="J11358">
        <v>3</v>
      </c>
    </row>
    <row r="11359" spans="1:10" x14ac:dyDescent="0.25">
      <c r="A11359" t="s">
        <v>117</v>
      </c>
      <c r="B11359" s="1" t="str">
        <f>HYPERLINK("http://montblanc.com.mx","montblanc.com.mx")</f>
        <v>montblanc.com.mx</v>
      </c>
      <c r="C11359" t="s">
        <v>471</v>
      </c>
      <c r="D11359" t="s">
        <v>847</v>
      </c>
      <c r="F11359">
        <v>2.94018398212323E-8</v>
      </c>
      <c r="G11359">
        <v>1752721</v>
      </c>
      <c r="H11359">
        <v>13824642</v>
      </c>
      <c r="I11359">
        <v>6128425</v>
      </c>
      <c r="J11359">
        <v>4</v>
      </c>
    </row>
    <row r="11360" spans="1:10" x14ac:dyDescent="0.25">
      <c r="A11360" t="s">
        <v>117</v>
      </c>
      <c r="B11360" s="1" t="str">
        <f>HYPERLINK("http://watchfinder.nl","watchfinder.nl")</f>
        <v>watchfinder.nl</v>
      </c>
      <c r="C11360" t="s">
        <v>477</v>
      </c>
      <c r="D11360" t="s">
        <v>852</v>
      </c>
      <c r="F11360">
        <v>9.4237492877128706E-9</v>
      </c>
      <c r="G11360">
        <v>7414913</v>
      </c>
      <c r="H11360">
        <v>10558408</v>
      </c>
      <c r="I11360">
        <v>46413908</v>
      </c>
      <c r="J11360">
        <v>4</v>
      </c>
    </row>
    <row r="11361" spans="1:10" x14ac:dyDescent="0.25">
      <c r="A11361" t="s">
        <v>117</v>
      </c>
      <c r="B11361" s="1" t="str">
        <f>HYPERLINK("http://watchfinder.no","watchfinder.no")</f>
        <v>watchfinder.no</v>
      </c>
      <c r="C11361" t="s">
        <v>478</v>
      </c>
      <c r="D11361" t="s">
        <v>853</v>
      </c>
      <c r="F11361">
        <v>9.4261372007834792E-9</v>
      </c>
      <c r="G11361">
        <v>7412066</v>
      </c>
      <c r="H11361">
        <v>10558408</v>
      </c>
      <c r="I11361">
        <v>46413909</v>
      </c>
      <c r="J11361">
        <v>4</v>
      </c>
    </row>
    <row r="11362" spans="1:10" x14ac:dyDescent="0.25">
      <c r="A11362" t="s">
        <v>117</v>
      </c>
      <c r="B11362" s="1" t="str">
        <f>HYPERLINK("http://watchfinder.nz","watchfinder.nz")</f>
        <v>watchfinder.nz</v>
      </c>
      <c r="C11362" t="s">
        <v>479</v>
      </c>
      <c r="D11362" t="s">
        <v>854</v>
      </c>
      <c r="F11362">
        <v>9.4212773197324493E-9</v>
      </c>
      <c r="G11362">
        <v>7417924</v>
      </c>
      <c r="H11362">
        <v>10558408</v>
      </c>
      <c r="I11362">
        <v>46413910</v>
      </c>
      <c r="J11362">
        <v>4</v>
      </c>
    </row>
    <row r="11363" spans="1:10" x14ac:dyDescent="0.25">
      <c r="A11363" t="s">
        <v>117</v>
      </c>
      <c r="B11363" s="1" t="str">
        <f>HYPERLINK("http://legic.pl","legic.pl")</f>
        <v>legic.pl</v>
      </c>
      <c r="C11363" t="s">
        <v>486</v>
      </c>
      <c r="D11363" t="s">
        <v>860</v>
      </c>
      <c r="F11363">
        <v>5.5099237056679804E-9</v>
      </c>
      <c r="G11363">
        <v>20793174</v>
      </c>
      <c r="H11363">
        <v>12314420</v>
      </c>
      <c r="I11363">
        <v>20525224</v>
      </c>
      <c r="J11363">
        <v>5</v>
      </c>
    </row>
    <row r="11364" spans="1:10" x14ac:dyDescent="0.25">
      <c r="A11364" t="s">
        <v>117</v>
      </c>
      <c r="B11364" s="1" t="str">
        <f>HYPERLINK("http://nobleplace.pl","nobleplace.pl")</f>
        <v>nobleplace.pl</v>
      </c>
      <c r="C11364" t="s">
        <v>486</v>
      </c>
      <c r="D11364" t="s">
        <v>860</v>
      </c>
      <c r="F11364">
        <v>7.0611332281036398E-9</v>
      </c>
      <c r="G11364">
        <v>12123846</v>
      </c>
      <c r="H11364">
        <v>11315172</v>
      </c>
      <c r="I11364">
        <v>30531642</v>
      </c>
      <c r="J11364">
        <v>5</v>
      </c>
    </row>
    <row r="11365" spans="1:10" x14ac:dyDescent="0.25">
      <c r="A11365" t="s">
        <v>117</v>
      </c>
      <c r="B11365" s="1" t="str">
        <f>HYPERLINK("http://watchfinder.pl","watchfinder.pl")</f>
        <v>watchfinder.pl</v>
      </c>
      <c r="C11365" t="s">
        <v>486</v>
      </c>
      <c r="D11365" t="s">
        <v>860</v>
      </c>
      <c r="F11365">
        <v>9.42374924070708E-9</v>
      </c>
      <c r="G11365">
        <v>7414914</v>
      </c>
      <c r="H11365">
        <v>10558408</v>
      </c>
      <c r="I11365">
        <v>46413913</v>
      </c>
      <c r="J11365">
        <v>4</v>
      </c>
    </row>
    <row r="11366" spans="1:10" x14ac:dyDescent="0.25">
      <c r="A11366" t="s">
        <v>117</v>
      </c>
      <c r="B11366" s="1" t="str">
        <f>HYPERLINK("http://montblanc.pt","montblanc.pt")</f>
        <v>montblanc.pt</v>
      </c>
      <c r="C11366" t="s">
        <v>488</v>
      </c>
      <c r="D11366" t="s">
        <v>862</v>
      </c>
      <c r="J11366">
        <v>5</v>
      </c>
    </row>
    <row r="11367" spans="1:10" x14ac:dyDescent="0.25">
      <c r="A11367" t="s">
        <v>117</v>
      </c>
      <c r="B11367" s="1" t="str">
        <f>HYPERLINK("http://watchfinder.pt","watchfinder.pt")</f>
        <v>watchfinder.pt</v>
      </c>
      <c r="C11367" t="s">
        <v>488</v>
      </c>
      <c r="D11367" t="s">
        <v>862</v>
      </c>
      <c r="F11367">
        <v>9.4284452856328006E-9</v>
      </c>
      <c r="G11367">
        <v>7409212</v>
      </c>
      <c r="H11367">
        <v>10558408</v>
      </c>
      <c r="I11367">
        <v>46413914</v>
      </c>
      <c r="J11367">
        <v>4</v>
      </c>
    </row>
    <row r="11368" spans="1:10" x14ac:dyDescent="0.25">
      <c r="A11368" t="s">
        <v>117</v>
      </c>
      <c r="B11368" s="1" t="str">
        <f>HYPERLINK("http://helvetansa.ro","helvetansa.ro")</f>
        <v>helvetansa.ro</v>
      </c>
      <c r="C11368" t="s">
        <v>491</v>
      </c>
      <c r="D11368" t="s">
        <v>865</v>
      </c>
      <c r="F11368">
        <v>4.7243885348846603E-9</v>
      </c>
      <c r="G11368">
        <v>39622682</v>
      </c>
      <c r="H11368">
        <v>13933061</v>
      </c>
      <c r="I11368">
        <v>5545640</v>
      </c>
      <c r="J11368">
        <v>5</v>
      </c>
    </row>
    <row r="11369" spans="1:10" x14ac:dyDescent="0.25">
      <c r="A11369" t="s">
        <v>117</v>
      </c>
      <c r="B11369" s="1" t="str">
        <f>HYPERLINK("http://watchfinder.ro","watchfinder.ro")</f>
        <v>watchfinder.ro</v>
      </c>
      <c r="C11369" t="s">
        <v>491</v>
      </c>
      <c r="D11369" t="s">
        <v>865</v>
      </c>
      <c r="F11369">
        <v>9.4237492102251501E-9</v>
      </c>
      <c r="G11369">
        <v>7414916</v>
      </c>
      <c r="H11369">
        <v>10558408</v>
      </c>
      <c r="I11369">
        <v>46413915</v>
      </c>
      <c r="J11369">
        <v>4</v>
      </c>
    </row>
    <row r="11370" spans="1:10" x14ac:dyDescent="0.25">
      <c r="A11370" t="s">
        <v>117</v>
      </c>
      <c r="B11370" s="1" t="str">
        <f>HYPERLINK("http://watchfinder.se","watchfinder.se")</f>
        <v>watchfinder.se</v>
      </c>
      <c r="C11370" t="s">
        <v>495</v>
      </c>
      <c r="D11370" t="s">
        <v>869</v>
      </c>
      <c r="F11370">
        <v>9.4284452552619397E-9</v>
      </c>
      <c r="G11370">
        <v>7409213</v>
      </c>
      <c r="H11370">
        <v>10558408</v>
      </c>
      <c r="I11370">
        <v>46413917</v>
      </c>
      <c r="J11370">
        <v>5</v>
      </c>
    </row>
    <row r="11371" spans="1:10" x14ac:dyDescent="0.25">
      <c r="A11371" t="s">
        <v>117</v>
      </c>
      <c r="B11371" s="1" t="str">
        <f>HYPERLINK("http://cartier.sg","cartier.sg")</f>
        <v>cartier.sg</v>
      </c>
      <c r="C11371" t="s">
        <v>496</v>
      </c>
      <c r="D11371" t="s">
        <v>870</v>
      </c>
      <c r="E11371">
        <v>790787</v>
      </c>
      <c r="F11371">
        <v>4.2493369237556899E-8</v>
      </c>
      <c r="G11371">
        <v>1140445</v>
      </c>
      <c r="H11371">
        <v>13571611</v>
      </c>
      <c r="I11371">
        <v>9718416</v>
      </c>
      <c r="J11371">
        <v>3</v>
      </c>
    </row>
    <row r="11372" spans="1:10" x14ac:dyDescent="0.25">
      <c r="A11372" t="s">
        <v>117</v>
      </c>
      <c r="B11372" s="1" t="str">
        <f>HYPERLINK("http://watchfinder.si","watchfinder.si")</f>
        <v>watchfinder.si</v>
      </c>
      <c r="C11372" t="s">
        <v>497</v>
      </c>
      <c r="D11372" t="s">
        <v>871</v>
      </c>
      <c r="F11372">
        <v>9.4237491799994494E-9</v>
      </c>
      <c r="G11372">
        <v>7414917</v>
      </c>
      <c r="H11372">
        <v>10558408</v>
      </c>
      <c r="I11372">
        <v>46413918</v>
      </c>
      <c r="J11372">
        <v>4</v>
      </c>
    </row>
    <row r="11373" spans="1:10" x14ac:dyDescent="0.25">
      <c r="A11373" t="s">
        <v>117</v>
      </c>
      <c r="B11373" s="1" t="str">
        <f>HYPERLINK("http://watchfinder.sk","watchfinder.sk")</f>
        <v>watchfinder.sk</v>
      </c>
      <c r="C11373" t="s">
        <v>498</v>
      </c>
      <c r="D11373" t="s">
        <v>872</v>
      </c>
      <c r="F11373">
        <v>9.4284452251464492E-9</v>
      </c>
      <c r="G11373">
        <v>7409214</v>
      </c>
      <c r="H11373">
        <v>10558408</v>
      </c>
      <c r="I11373">
        <v>46413919</v>
      </c>
      <c r="J11373">
        <v>4</v>
      </c>
    </row>
    <row r="11374" spans="1:10" x14ac:dyDescent="0.25">
      <c r="A11374" t="s">
        <v>117</v>
      </c>
      <c r="B11374" s="1" t="str">
        <f>HYPERLINK("http://cartier.co.uk","cartier.co.uk")</f>
        <v>cartier.co.uk</v>
      </c>
      <c r="C11374" t="s">
        <v>506</v>
      </c>
      <c r="D11374" t="s">
        <v>880</v>
      </c>
      <c r="E11374">
        <v>660573</v>
      </c>
      <c r="F11374">
        <v>1.50907238091636E-7</v>
      </c>
      <c r="G11374">
        <v>257433</v>
      </c>
      <c r="H11374">
        <v>14284226</v>
      </c>
      <c r="I11374">
        <v>1373800</v>
      </c>
      <c r="J11374">
        <v>3</v>
      </c>
    </row>
    <row r="11375" spans="1:10" x14ac:dyDescent="0.25">
      <c r="A11375" t="s">
        <v>117</v>
      </c>
      <c r="B11375" s="1" t="str">
        <f>HYPERLINK("http://watchfinder.co.uk","watchfinder.co.uk")</f>
        <v>watchfinder.co.uk</v>
      </c>
      <c r="C11375" t="s">
        <v>506</v>
      </c>
      <c r="D11375" t="s">
        <v>880</v>
      </c>
      <c r="E11375">
        <v>129848</v>
      </c>
      <c r="F11375">
        <v>1.0948283377626799E-7</v>
      </c>
      <c r="G11375">
        <v>365400</v>
      </c>
      <c r="H11375">
        <v>14851216</v>
      </c>
      <c r="I11375">
        <v>490211</v>
      </c>
      <c r="J11375">
        <v>3</v>
      </c>
    </row>
    <row r="11376" spans="1:10" x14ac:dyDescent="0.25">
      <c r="A11376" t="s">
        <v>117</v>
      </c>
      <c r="B11376" s="1" t="str">
        <f>HYPERLINK("http://cartier.us","cartier.us")</f>
        <v>cartier.us</v>
      </c>
      <c r="C11376" t="s">
        <v>522</v>
      </c>
      <c r="D11376" t="s">
        <v>891</v>
      </c>
      <c r="E11376">
        <v>569944</v>
      </c>
      <c r="F11376">
        <v>1.9620115788118599E-7</v>
      </c>
      <c r="G11376">
        <v>196561</v>
      </c>
      <c r="H11376">
        <v>14299808</v>
      </c>
      <c r="I11376">
        <v>1356736</v>
      </c>
      <c r="J11376">
        <v>3</v>
      </c>
    </row>
    <row r="11377" spans="1:10" x14ac:dyDescent="0.25">
      <c r="A11377" t="s">
        <v>117</v>
      </c>
      <c r="B11377" s="1" t="str">
        <f>HYPERLINK("http://iwc.co.za","iwc.co.za")</f>
        <v>iwc.co.za</v>
      </c>
      <c r="C11377" t="s">
        <v>510</v>
      </c>
      <c r="D11377" t="s">
        <v>884</v>
      </c>
      <c r="F11377">
        <v>5.7302496965258804E-9</v>
      </c>
      <c r="G11377">
        <v>18662920</v>
      </c>
      <c r="H11377">
        <v>12458840</v>
      </c>
      <c r="I11377">
        <v>17893483</v>
      </c>
      <c r="J11377">
        <v>7</v>
      </c>
    </row>
    <row r="11378" spans="1:10" x14ac:dyDescent="0.25">
      <c r="A11378" t="s">
        <v>1604</v>
      </c>
      <c r="B11378" s="1" t="str">
        <f>HYPERLINK("http://compass-group.com.au","compass-group.com.au")</f>
        <v>compass-group.com.au</v>
      </c>
      <c r="C11378" t="s">
        <v>420</v>
      </c>
      <c r="D11378" t="s">
        <v>802</v>
      </c>
      <c r="E11378">
        <v>718388</v>
      </c>
      <c r="F11378">
        <v>2.1605545128696699E-8</v>
      </c>
      <c r="G11378">
        <v>2435915</v>
      </c>
      <c r="H11378">
        <v>14205748</v>
      </c>
      <c r="I11378">
        <v>1711804</v>
      </c>
      <c r="J11378">
        <v>3</v>
      </c>
    </row>
    <row r="11379" spans="1:10" x14ac:dyDescent="0.25">
      <c r="A11379" t="s">
        <v>1604</v>
      </c>
      <c r="B11379" s="1" t="str">
        <f>HYPERLINK("http://restaurantassociates.com.au","restaurantassociates.com.au")</f>
        <v>restaurantassociates.com.au</v>
      </c>
      <c r="C11379" t="s">
        <v>420</v>
      </c>
      <c r="D11379" t="s">
        <v>802</v>
      </c>
      <c r="F11379">
        <v>5.3434057525922498E-9</v>
      </c>
      <c r="G11379">
        <v>22888748</v>
      </c>
      <c r="H11379">
        <v>12335173</v>
      </c>
      <c r="I11379">
        <v>20101063</v>
      </c>
      <c r="J11379">
        <v>3</v>
      </c>
    </row>
    <row r="11380" spans="1:10" x14ac:dyDescent="0.25">
      <c r="A11380" t="s">
        <v>1604</v>
      </c>
      <c r="B11380" s="1" t="str">
        <f>HYPERLINK("http://compass-group.be","compass-group.be")</f>
        <v>compass-group.be</v>
      </c>
      <c r="C11380" t="s">
        <v>421</v>
      </c>
      <c r="D11380" t="s">
        <v>803</v>
      </c>
      <c r="F11380">
        <v>3.1028125230233298E-8</v>
      </c>
      <c r="G11380">
        <v>1660966</v>
      </c>
      <c r="H11380">
        <v>13934351</v>
      </c>
      <c r="I11380">
        <v>4605591</v>
      </c>
      <c r="J11380">
        <v>3</v>
      </c>
    </row>
    <row r="11381" spans="1:10" x14ac:dyDescent="0.25">
      <c r="A11381" t="s">
        <v>1604</v>
      </c>
      <c r="B11381" s="1" t="str">
        <f>HYPERLINK("http://prinskavelhof.be","prinskavelhof.be")</f>
        <v>prinskavelhof.be</v>
      </c>
      <c r="C11381" t="s">
        <v>421</v>
      </c>
      <c r="D11381" t="s">
        <v>803</v>
      </c>
      <c r="J11381">
        <v>5</v>
      </c>
    </row>
    <row r="11382" spans="1:10" x14ac:dyDescent="0.25">
      <c r="A11382" t="s">
        <v>1604</v>
      </c>
      <c r="B11382" s="1" t="str">
        <f>HYPERLINK("http://grsa.com.br","grsa.com.br")</f>
        <v>grsa.com.br</v>
      </c>
      <c r="C11382" t="s">
        <v>425</v>
      </c>
      <c r="D11382" t="s">
        <v>806</v>
      </c>
      <c r="F11382">
        <v>6.4894424081829196E-9</v>
      </c>
      <c r="G11382">
        <v>14122292</v>
      </c>
      <c r="H11382">
        <v>14143445</v>
      </c>
      <c r="I11382">
        <v>1913195</v>
      </c>
      <c r="J11382">
        <v>3</v>
      </c>
    </row>
    <row r="11383" spans="1:10" x14ac:dyDescent="0.25">
      <c r="A11383" t="s">
        <v>1604</v>
      </c>
      <c r="B11383" s="1" t="str">
        <f>HYPERLINK("http://clubprocure.ca","clubprocure.ca")</f>
        <v>clubprocure.ca</v>
      </c>
      <c r="C11383" t="s">
        <v>428</v>
      </c>
      <c r="D11383" t="s">
        <v>809</v>
      </c>
      <c r="F11383">
        <v>4.5407665855546902E-9</v>
      </c>
      <c r="G11383">
        <v>53247282</v>
      </c>
      <c r="H11383">
        <v>9402520</v>
      </c>
      <c r="I11383">
        <v>67233232</v>
      </c>
      <c r="J11383">
        <v>6</v>
      </c>
    </row>
    <row r="11384" spans="1:10" x14ac:dyDescent="0.25">
      <c r="A11384" t="s">
        <v>1604</v>
      </c>
      <c r="B11384" s="1" t="str">
        <f>HYPERLINK("http://foodbuy.ca","foodbuy.ca")</f>
        <v>foodbuy.ca</v>
      </c>
      <c r="C11384" t="s">
        <v>428</v>
      </c>
      <c r="D11384" t="s">
        <v>809</v>
      </c>
      <c r="F11384">
        <v>8.2133053157170406E-9</v>
      </c>
      <c r="G11384">
        <v>9548757</v>
      </c>
      <c r="H11384">
        <v>12166747</v>
      </c>
      <c r="I11384">
        <v>24152895</v>
      </c>
      <c r="J11384">
        <v>4</v>
      </c>
    </row>
    <row r="11385" spans="1:10" x14ac:dyDescent="0.25">
      <c r="A11385" t="s">
        <v>1604</v>
      </c>
      <c r="B11385" s="1" t="str">
        <f>HYPERLINK("http://compass-group.ch","compass-group.ch")</f>
        <v>compass-group.ch</v>
      </c>
      <c r="C11385" t="s">
        <v>429</v>
      </c>
      <c r="D11385" t="s">
        <v>810</v>
      </c>
      <c r="F11385">
        <v>6.6863565437339303E-8</v>
      </c>
      <c r="G11385">
        <v>640058</v>
      </c>
      <c r="H11385">
        <v>16872624</v>
      </c>
      <c r="I11385">
        <v>147510</v>
      </c>
      <c r="J11385">
        <v>3</v>
      </c>
    </row>
    <row r="11386" spans="1:10" x14ac:dyDescent="0.25">
      <c r="A11386" t="s">
        <v>1604</v>
      </c>
      <c r="B11386" s="1" t="str">
        <f>HYPERLINK("http://compass-group.cl","compass-group.cl")</f>
        <v>compass-group.cl</v>
      </c>
      <c r="C11386" t="s">
        <v>430</v>
      </c>
      <c r="D11386" t="s">
        <v>811</v>
      </c>
      <c r="F11386">
        <v>4.8346941826660002E-9</v>
      </c>
      <c r="G11386">
        <v>34669568</v>
      </c>
      <c r="H11386">
        <v>12216046</v>
      </c>
      <c r="I11386">
        <v>22880354</v>
      </c>
      <c r="J11386">
        <v>4</v>
      </c>
    </row>
    <row r="11387" spans="1:10" x14ac:dyDescent="0.25">
      <c r="A11387" t="s">
        <v>1604</v>
      </c>
      <c r="B11387" s="1" t="str">
        <f>HYPERLINK("http://feedr.co","feedr.co")</f>
        <v>feedr.co</v>
      </c>
      <c r="C11387" t="s">
        <v>432</v>
      </c>
      <c r="F11387">
        <v>6.3708956994500898E-8</v>
      </c>
      <c r="G11387">
        <v>681191</v>
      </c>
      <c r="H11387">
        <v>13633132</v>
      </c>
      <c r="I11387">
        <v>9616047</v>
      </c>
      <c r="J11387">
        <v>3</v>
      </c>
    </row>
    <row r="11388" spans="1:10" x14ac:dyDescent="0.25">
      <c r="A11388" t="s">
        <v>1604</v>
      </c>
      <c r="B11388" s="1" t="str">
        <f>HYPERLINK("http://7000info.com","7000info.com")</f>
        <v>7000info.com</v>
      </c>
      <c r="C11388" t="s">
        <v>433</v>
      </c>
      <c r="F11388">
        <v>5.9858326342878898E-9</v>
      </c>
      <c r="G11388">
        <v>16782361</v>
      </c>
      <c r="H11388">
        <v>10667898</v>
      </c>
      <c r="I11388">
        <v>43036397</v>
      </c>
      <c r="J11388">
        <v>7</v>
      </c>
    </row>
    <row r="11389" spans="1:10" x14ac:dyDescent="0.25">
      <c r="A11389" t="s">
        <v>1604</v>
      </c>
      <c r="B11389" s="1" t="str">
        <f>HYPERLINK("http://cdccoffee.com","cdccoffee.com")</f>
        <v>cdccoffee.com</v>
      </c>
      <c r="C11389" t="s">
        <v>433</v>
      </c>
      <c r="E11389">
        <v>922356</v>
      </c>
      <c r="F11389">
        <v>7.6620140459548103E-9</v>
      </c>
      <c r="G11389">
        <v>10660638</v>
      </c>
      <c r="H11389">
        <v>13974616</v>
      </c>
      <c r="I11389">
        <v>4064368</v>
      </c>
      <c r="J11389">
        <v>6</v>
      </c>
    </row>
    <row r="11390" spans="1:10" x14ac:dyDescent="0.25">
      <c r="A11390" t="s">
        <v>1604</v>
      </c>
      <c r="B11390" s="1" t="str">
        <f>HYPERLINK("http://cgnad.com","cgnad.com")</f>
        <v>cgnad.com</v>
      </c>
      <c r="C11390" t="s">
        <v>433</v>
      </c>
      <c r="F11390">
        <v>2.20308534071366E-8</v>
      </c>
      <c r="G11390">
        <v>2382501</v>
      </c>
      <c r="H11390">
        <v>13792077</v>
      </c>
      <c r="I11390">
        <v>6332252</v>
      </c>
      <c r="J11390">
        <v>3</v>
      </c>
    </row>
    <row r="11391" spans="1:10" x14ac:dyDescent="0.25">
      <c r="A11391" t="s">
        <v>1604</v>
      </c>
      <c r="B11391" s="1" t="str">
        <f>HYPERLINK("http://cgnaidm.com","cgnaidm.com")</f>
        <v>cgnaidm.com</v>
      </c>
      <c r="C11391" t="s">
        <v>433</v>
      </c>
      <c r="E11391">
        <v>495191</v>
      </c>
      <c r="J11391">
        <v>6</v>
      </c>
    </row>
    <row r="11392" spans="1:10" x14ac:dyDescent="0.25">
      <c r="A11392" t="s">
        <v>1604</v>
      </c>
      <c r="B11392" s="1" t="str">
        <f>HYPERLINK("http://cgnaidmdev.com","cgnaidmdev.com")</f>
        <v>cgnaidmdev.com</v>
      </c>
      <c r="C11392" t="s">
        <v>433</v>
      </c>
      <c r="J11392">
        <v>6</v>
      </c>
    </row>
    <row r="11393" spans="1:10" x14ac:dyDescent="0.25">
      <c r="A11393" t="s">
        <v>1604</v>
      </c>
      <c r="B11393" s="1" t="str">
        <f>HYPERLINK("http://cgnaidmstaging.com","cgnaidmstaging.com")</f>
        <v>cgnaidmstaging.com</v>
      </c>
      <c r="C11393" t="s">
        <v>433</v>
      </c>
      <c r="J11393">
        <v>6</v>
      </c>
    </row>
    <row r="11394" spans="1:10" x14ac:dyDescent="0.25">
      <c r="A11394" t="s">
        <v>1604</v>
      </c>
      <c r="B11394" s="1" t="str">
        <f>HYPERLINK("http://cgnordic.com","cgnordic.com")</f>
        <v>cgnordic.com</v>
      </c>
      <c r="C11394" t="s">
        <v>433</v>
      </c>
      <c r="F11394">
        <v>4.5176438359923301E-9</v>
      </c>
      <c r="G11394">
        <v>56515142</v>
      </c>
      <c r="H11394">
        <v>10739200</v>
      </c>
      <c r="I11394">
        <v>40465928</v>
      </c>
      <c r="J11394">
        <v>3</v>
      </c>
    </row>
    <row r="11395" spans="1:10" x14ac:dyDescent="0.25">
      <c r="A11395" t="s">
        <v>1604</v>
      </c>
      <c r="B11395" s="1" t="str">
        <f>HYPERLINK("http://compass-canada.com","compass-canada.com")</f>
        <v>compass-canada.com</v>
      </c>
      <c r="C11395" t="s">
        <v>433</v>
      </c>
      <c r="F11395">
        <v>5.7606384285370598E-8</v>
      </c>
      <c r="G11395">
        <v>773682</v>
      </c>
      <c r="H11395">
        <v>13982198</v>
      </c>
      <c r="I11395">
        <v>4046556</v>
      </c>
      <c r="J11395">
        <v>3</v>
      </c>
    </row>
    <row r="11396" spans="1:10" x14ac:dyDescent="0.25">
      <c r="A11396" t="s">
        <v>1604</v>
      </c>
      <c r="B11396" s="1" t="str">
        <f>HYPERLINK("http://compass-group.com","compass-group.com")</f>
        <v>compass-group.com</v>
      </c>
      <c r="C11396" t="s">
        <v>433</v>
      </c>
      <c r="E11396">
        <v>298619</v>
      </c>
      <c r="F11396">
        <v>1.7927290191893599E-7</v>
      </c>
      <c r="G11396">
        <v>215534</v>
      </c>
      <c r="H11396">
        <v>17058918</v>
      </c>
      <c r="I11396">
        <v>74396</v>
      </c>
      <c r="J11396">
        <v>1</v>
      </c>
    </row>
    <row r="11397" spans="1:10" x14ac:dyDescent="0.25">
      <c r="A11397" t="s">
        <v>1604</v>
      </c>
      <c r="B11397" s="1" t="str">
        <f>HYPERLINK("http://compass-usa.com","compass-usa.com")</f>
        <v>compass-usa.com</v>
      </c>
      <c r="C11397" t="s">
        <v>433</v>
      </c>
      <c r="E11397">
        <v>52381</v>
      </c>
      <c r="F11397">
        <v>2.5799641709230402E-7</v>
      </c>
      <c r="G11397">
        <v>144988</v>
      </c>
      <c r="H11397">
        <v>15348457</v>
      </c>
      <c r="I11397">
        <v>382920</v>
      </c>
      <c r="J11397">
        <v>6</v>
      </c>
    </row>
    <row r="11398" spans="1:10" x14ac:dyDescent="0.25">
      <c r="A11398" t="s">
        <v>1604</v>
      </c>
      <c r="B11398" s="1" t="str">
        <f>HYPERLINK("http://compasshg.com","compasshg.com")</f>
        <v>compasshg.com</v>
      </c>
      <c r="C11398" t="s">
        <v>433</v>
      </c>
      <c r="F11398">
        <v>4.44866558182609E-9</v>
      </c>
      <c r="G11398">
        <v>72716016</v>
      </c>
      <c r="H11398">
        <v>10510402</v>
      </c>
      <c r="I11398">
        <v>49608649</v>
      </c>
      <c r="J11398">
        <v>3</v>
      </c>
    </row>
    <row r="11399" spans="1:10" x14ac:dyDescent="0.25">
      <c r="A11399" t="s">
        <v>1604</v>
      </c>
      <c r="B11399" s="1" t="str">
        <f>HYPERLINK("http://compassicracuity.com","compassicracuity.com")</f>
        <v>compassicracuity.com</v>
      </c>
      <c r="C11399" t="s">
        <v>433</v>
      </c>
      <c r="J11399">
        <v>6</v>
      </c>
    </row>
    <row r="11400" spans="1:10" x14ac:dyDescent="0.25">
      <c r="A11400" t="s">
        <v>1604</v>
      </c>
      <c r="B11400" s="1" t="str">
        <f>HYPERLINK("http://crothall.com","crothall.com")</f>
        <v>crothall.com</v>
      </c>
      <c r="C11400" t="s">
        <v>433</v>
      </c>
      <c r="E11400">
        <v>560462</v>
      </c>
      <c r="F11400">
        <v>7.1687328635179906E-8</v>
      </c>
      <c r="G11400">
        <v>589375</v>
      </c>
      <c r="H11400">
        <v>16768263</v>
      </c>
      <c r="I11400">
        <v>223751</v>
      </c>
      <c r="J11400">
        <v>3</v>
      </c>
    </row>
    <row r="11401" spans="1:10" x14ac:dyDescent="0.25">
      <c r="A11401" t="s">
        <v>1604</v>
      </c>
      <c r="B11401" s="1" t="str">
        <f>HYPERLINK("http://culinartgroup.com","culinartgroup.com")</f>
        <v>culinartgroup.com</v>
      </c>
      <c r="C11401" t="s">
        <v>433</v>
      </c>
      <c r="F11401">
        <v>1.3959341154094699E-8</v>
      </c>
      <c r="G11401">
        <v>4218134</v>
      </c>
      <c r="H11401">
        <v>12523648</v>
      </c>
      <c r="I11401">
        <v>17115117</v>
      </c>
      <c r="J11401">
        <v>6</v>
      </c>
    </row>
    <row r="11402" spans="1:10" x14ac:dyDescent="0.25">
      <c r="A11402" t="s">
        <v>1604</v>
      </c>
      <c r="B11402" s="1" t="str">
        <f>HYPERLINK("http://culinartinc.com","culinartinc.com")</f>
        <v>culinartinc.com</v>
      </c>
      <c r="C11402" t="s">
        <v>433</v>
      </c>
      <c r="F11402">
        <v>5.6321531255777799E-9</v>
      </c>
      <c r="G11402">
        <v>19555782</v>
      </c>
      <c r="H11402">
        <v>12396187</v>
      </c>
      <c r="I11402">
        <v>18915910</v>
      </c>
      <c r="J11402">
        <v>3</v>
      </c>
    </row>
    <row r="11403" spans="1:10" x14ac:dyDescent="0.25">
      <c r="A11403" t="s">
        <v>1604</v>
      </c>
      <c r="B11403" s="1" t="str">
        <f>HYPERLINK("http://dine-contract-catering.com","dine-contract-catering.com")</f>
        <v>dine-contract-catering.com</v>
      </c>
      <c r="C11403" t="s">
        <v>433</v>
      </c>
      <c r="F11403">
        <v>4.7669205953286299E-9</v>
      </c>
      <c r="G11403">
        <v>37508086</v>
      </c>
      <c r="H11403">
        <v>10417812</v>
      </c>
      <c r="I11403">
        <v>53966287</v>
      </c>
      <c r="J11403">
        <v>3</v>
      </c>
    </row>
    <row r="11404" spans="1:10" x14ac:dyDescent="0.25">
      <c r="A11404" t="s">
        <v>1604</v>
      </c>
      <c r="B11404" s="1" t="str">
        <f>HYPERLINK("http://dynamicvending.com","dynamicvending.com")</f>
        <v>dynamicvending.com</v>
      </c>
      <c r="C11404" t="s">
        <v>433</v>
      </c>
      <c r="F11404">
        <v>4.5532185327747103E-9</v>
      </c>
      <c r="G11404">
        <v>51844077</v>
      </c>
      <c r="H11404">
        <v>12177167</v>
      </c>
      <c r="I11404">
        <v>23880522</v>
      </c>
      <c r="J11404">
        <v>3</v>
      </c>
    </row>
    <row r="11405" spans="1:10" x14ac:dyDescent="0.25">
      <c r="A11405" t="s">
        <v>1604</v>
      </c>
      <c r="B11405" s="1" t="str">
        <f>HYPERLINK("http://eurestservices.com","eurestservices.com")</f>
        <v>eurestservices.com</v>
      </c>
      <c r="C11405" t="s">
        <v>433</v>
      </c>
      <c r="J11405">
        <v>3</v>
      </c>
    </row>
    <row r="11406" spans="1:10" x14ac:dyDescent="0.25">
      <c r="A11406" t="s">
        <v>1604</v>
      </c>
      <c r="B11406" s="1" t="str">
        <f>HYPERLINK("http://foodbuy.com","foodbuy.com")</f>
        <v>foodbuy.com</v>
      </c>
      <c r="C11406" t="s">
        <v>433</v>
      </c>
      <c r="E11406">
        <v>921673</v>
      </c>
      <c r="F11406">
        <v>2.7520965181896601E-8</v>
      </c>
      <c r="G11406">
        <v>1868057</v>
      </c>
      <c r="H11406">
        <v>13829297</v>
      </c>
      <c r="I11406">
        <v>6113305</v>
      </c>
      <c r="J11406">
        <v>3</v>
      </c>
    </row>
    <row r="11407" spans="1:10" x14ac:dyDescent="0.25">
      <c r="A11407" t="s">
        <v>1604</v>
      </c>
      <c r="B11407" s="1" t="str">
        <f>HYPERLINK("http://grupponama.com","grupponama.com")</f>
        <v>grupponama.com</v>
      </c>
      <c r="C11407" t="s">
        <v>433</v>
      </c>
      <c r="F11407">
        <v>4.7923475477538299E-9</v>
      </c>
      <c r="G11407">
        <v>36392486</v>
      </c>
      <c r="H11407">
        <v>11020150</v>
      </c>
      <c r="I11407">
        <v>33245202</v>
      </c>
      <c r="J11407">
        <v>3</v>
      </c>
    </row>
    <row r="11408" spans="1:10" x14ac:dyDescent="0.25">
      <c r="A11408" t="s">
        <v>1604</v>
      </c>
      <c r="B11408" s="1" t="str">
        <f>HYPERLINK("http://hollywoodandhighland.com","hollywoodandhighland.com")</f>
        <v>hollywoodandhighland.com</v>
      </c>
      <c r="C11408" t="s">
        <v>433</v>
      </c>
      <c r="E11408">
        <v>610763</v>
      </c>
      <c r="F11408">
        <v>1.14196313678144E-7</v>
      </c>
      <c r="G11408">
        <v>348799</v>
      </c>
      <c r="H11408">
        <v>14904650</v>
      </c>
      <c r="I11408">
        <v>461027</v>
      </c>
      <c r="J11408">
        <v>3</v>
      </c>
    </row>
    <row r="11409" spans="1:10" x14ac:dyDescent="0.25">
      <c r="A11409" t="s">
        <v>1604</v>
      </c>
      <c r="B11409" s="1" t="str">
        <f>HYPERLINK("http://imperialcoffee.com","imperialcoffee.com")</f>
        <v>imperialcoffee.com</v>
      </c>
      <c r="C11409" t="s">
        <v>433</v>
      </c>
      <c r="F11409">
        <v>6.14519877677013E-9</v>
      </c>
      <c r="G11409">
        <v>15831690</v>
      </c>
      <c r="H11409">
        <v>12627991</v>
      </c>
      <c r="I11409">
        <v>16006045</v>
      </c>
      <c r="J11409">
        <v>3</v>
      </c>
    </row>
    <row r="11410" spans="1:10" x14ac:dyDescent="0.25">
      <c r="A11410" t="s">
        <v>1604</v>
      </c>
      <c r="B11410" s="1" t="str">
        <f>HYPERLINK("http://levyrestaurants.com","levyrestaurants.com")</f>
        <v>levyrestaurants.com</v>
      </c>
      <c r="C11410" t="s">
        <v>433</v>
      </c>
      <c r="E11410">
        <v>73378</v>
      </c>
      <c r="F11410">
        <v>1.9406924360016501E-7</v>
      </c>
      <c r="G11410">
        <v>198670</v>
      </c>
      <c r="H11410">
        <v>14606413</v>
      </c>
      <c r="I11410">
        <v>681324</v>
      </c>
      <c r="J11410">
        <v>3</v>
      </c>
    </row>
    <row r="11411" spans="1:10" x14ac:dyDescent="0.25">
      <c r="A11411" t="s">
        <v>1604</v>
      </c>
      <c r="B11411" s="1" t="str">
        <f>HYPERLINK("http://lssfm.com","lssfm.com")</f>
        <v>lssfm.com</v>
      </c>
      <c r="C11411" t="s">
        <v>433</v>
      </c>
      <c r="F11411">
        <v>5.2567679362890297E-9</v>
      </c>
      <c r="G11411">
        <v>24153948</v>
      </c>
      <c r="H11411">
        <v>12107432</v>
      </c>
      <c r="I11411">
        <v>25796944</v>
      </c>
      <c r="J11411">
        <v>3</v>
      </c>
    </row>
    <row r="11412" spans="1:10" x14ac:dyDescent="0.25">
      <c r="A11412" t="s">
        <v>1604</v>
      </c>
      <c r="B11412" s="1" t="str">
        <f>HYPERLINK("http://modmedsys.com","modmedsys.com")</f>
        <v>modmedsys.com</v>
      </c>
      <c r="C11412" t="s">
        <v>433</v>
      </c>
      <c r="F11412">
        <v>5.1272002430169598E-9</v>
      </c>
      <c r="G11412">
        <v>26507994</v>
      </c>
      <c r="H11412">
        <v>12402410</v>
      </c>
      <c r="I11412">
        <v>18742695</v>
      </c>
      <c r="J11412">
        <v>7</v>
      </c>
    </row>
    <row r="11413" spans="1:10" x14ac:dyDescent="0.25">
      <c r="A11413" t="s">
        <v>1604</v>
      </c>
      <c r="B11413" s="1" t="str">
        <f>HYPERLINK("http://morrisonlivingacuity.com","morrisonlivingacuity.com")</f>
        <v>morrisonlivingacuity.com</v>
      </c>
      <c r="C11413" t="s">
        <v>433</v>
      </c>
      <c r="J11413">
        <v>6</v>
      </c>
    </row>
    <row r="11414" spans="1:10" x14ac:dyDescent="0.25">
      <c r="A11414" t="s">
        <v>1604</v>
      </c>
      <c r="B11414" s="1" t="str">
        <f>HYPERLINK("http://restaurantassociates.com","restaurantassociates.com")</f>
        <v>restaurantassociates.com</v>
      </c>
      <c r="C11414" t="s">
        <v>433</v>
      </c>
      <c r="F11414">
        <v>2.8778332061312901E-8</v>
      </c>
      <c r="G11414">
        <v>1788460</v>
      </c>
      <c r="H11414">
        <v>13976831</v>
      </c>
      <c r="I11414">
        <v>4059046</v>
      </c>
      <c r="J11414">
        <v>3</v>
      </c>
    </row>
    <row r="11415" spans="1:10" x14ac:dyDescent="0.25">
      <c r="A11415" t="s">
        <v>1604</v>
      </c>
      <c r="B11415" s="1" t="str">
        <f>HYPERLINK("http://rocketfood.com","rocketfood.com")</f>
        <v>rocketfood.com</v>
      </c>
      <c r="C11415" t="s">
        <v>433</v>
      </c>
      <c r="F11415">
        <v>3.7165536938946201E-8</v>
      </c>
      <c r="G11415">
        <v>1393939</v>
      </c>
      <c r="H11415">
        <v>13396898</v>
      </c>
      <c r="I11415">
        <v>10375575</v>
      </c>
      <c r="J11415">
        <v>2</v>
      </c>
    </row>
    <row r="11416" spans="1:10" x14ac:dyDescent="0.25">
      <c r="A11416" t="s">
        <v>1604</v>
      </c>
      <c r="B11416" s="1" t="str">
        <f>HYPERLINK("http://royal-restaurants.com","royal-restaurants.com")</f>
        <v>royal-restaurants.com</v>
      </c>
      <c r="C11416" t="s">
        <v>433</v>
      </c>
      <c r="F11416">
        <v>4.9047822181199397E-9</v>
      </c>
      <c r="G11416">
        <v>32328478</v>
      </c>
      <c r="H11416">
        <v>10901767</v>
      </c>
      <c r="I11416">
        <v>35793416</v>
      </c>
      <c r="J11416">
        <v>3</v>
      </c>
    </row>
    <row r="11417" spans="1:10" x14ac:dyDescent="0.25">
      <c r="A11417" t="s">
        <v>1604</v>
      </c>
      <c r="B11417" s="1" t="str">
        <f>HYPERLINK("http://saccodining.com","saccodining.com")</f>
        <v>saccodining.com</v>
      </c>
      <c r="C11417" t="s">
        <v>433</v>
      </c>
      <c r="F11417">
        <v>4.8634965489499097E-9</v>
      </c>
      <c r="G11417">
        <v>33692081</v>
      </c>
      <c r="H11417">
        <v>1.0003663</v>
      </c>
      <c r="I11417">
        <v>79021335</v>
      </c>
      <c r="J11417">
        <v>3</v>
      </c>
    </row>
    <row r="11418" spans="1:10" x14ac:dyDescent="0.25">
      <c r="A11418" t="s">
        <v>1604</v>
      </c>
      <c r="B11418" s="1" t="str">
        <f>HYPERLINK("http://spendifference.com","spendifference.com")</f>
        <v>spendifference.com</v>
      </c>
      <c r="C11418" t="s">
        <v>433</v>
      </c>
      <c r="F11418">
        <v>5.6698432204627503E-9</v>
      </c>
      <c r="G11418">
        <v>19218173</v>
      </c>
      <c r="H11418">
        <v>11575930</v>
      </c>
      <c r="I11418">
        <v>29949483</v>
      </c>
      <c r="J11418">
        <v>3</v>
      </c>
    </row>
    <row r="11419" spans="1:10" x14ac:dyDescent="0.25">
      <c r="A11419" t="s">
        <v>1604</v>
      </c>
      <c r="B11419" s="1" t="str">
        <f>HYPERLINK("http://spiaggiaforbusiness.com","spiaggiaforbusiness.com")</f>
        <v>spiaggiaforbusiness.com</v>
      </c>
      <c r="C11419" t="s">
        <v>433</v>
      </c>
      <c r="J11419">
        <v>3</v>
      </c>
    </row>
    <row r="11420" spans="1:10" x14ac:dyDescent="0.25">
      <c r="A11420" t="s">
        <v>1604</v>
      </c>
      <c r="B11420" s="1" t="str">
        <f>HYPERLINK("http://teamfeedr.com","teamfeedr.com")</f>
        <v>teamfeedr.com</v>
      </c>
      <c r="C11420" t="s">
        <v>433</v>
      </c>
      <c r="F11420">
        <v>8.0114922062316705E-9</v>
      </c>
      <c r="G11420">
        <v>9899729</v>
      </c>
      <c r="H11420">
        <v>13416687</v>
      </c>
      <c r="I11420">
        <v>10312513</v>
      </c>
      <c r="J11420">
        <v>6</v>
      </c>
    </row>
    <row r="11421" spans="1:10" x14ac:dyDescent="0.25">
      <c r="A11421" t="s">
        <v>1604</v>
      </c>
      <c r="B11421" s="1" t="str">
        <f>HYPERLINK("http://thesmartq.com","thesmartq.com")</f>
        <v>thesmartq.com</v>
      </c>
      <c r="C11421" t="s">
        <v>433</v>
      </c>
      <c r="F11421">
        <v>5.4150634327119501E-8</v>
      </c>
      <c r="G11421">
        <v>835201</v>
      </c>
      <c r="H11421">
        <v>16968708</v>
      </c>
      <c r="I11421">
        <v>103194</v>
      </c>
      <c r="J11421">
        <v>3</v>
      </c>
    </row>
    <row r="11422" spans="1:10" x14ac:dyDescent="0.25">
      <c r="A11422" t="s">
        <v>1604</v>
      </c>
      <c r="B11422" s="1" t="str">
        <f>HYPERLINK("http://twickenhamexperience.com","twickenhamexperience.com")</f>
        <v>twickenhamexperience.com</v>
      </c>
      <c r="C11422" t="s">
        <v>433</v>
      </c>
      <c r="F11422">
        <v>1.17977768748587E-8</v>
      </c>
      <c r="G11422">
        <v>5303595</v>
      </c>
      <c r="H11422">
        <v>14088436</v>
      </c>
      <c r="I11422">
        <v>2758594</v>
      </c>
      <c r="J11422">
        <v>6</v>
      </c>
    </row>
    <row r="11423" spans="1:10" x14ac:dyDescent="0.25">
      <c r="A11423" t="s">
        <v>1604</v>
      </c>
      <c r="B11423" s="1" t="str">
        <f>HYPERLINK("http://icmltd.uk.com","icmltd.uk.com")</f>
        <v>icmltd.uk.com</v>
      </c>
      <c r="C11423" t="s">
        <v>433</v>
      </c>
      <c r="J11423">
        <v>3</v>
      </c>
    </row>
    <row r="11424" spans="1:10" x14ac:dyDescent="0.25">
      <c r="A11424" t="s">
        <v>1604</v>
      </c>
      <c r="B11424" s="1" t="str">
        <f>HYPERLINK("http://unidine.com","unidine.com")</f>
        <v>unidine.com</v>
      </c>
      <c r="C11424" t="s">
        <v>433</v>
      </c>
      <c r="F11424">
        <v>2.6389160121575599E-8</v>
      </c>
      <c r="G11424">
        <v>1951193</v>
      </c>
      <c r="H11424">
        <v>13868363</v>
      </c>
      <c r="I11424">
        <v>6002990</v>
      </c>
      <c r="J11424">
        <v>3</v>
      </c>
    </row>
    <row r="11425" spans="1:10" x14ac:dyDescent="0.25">
      <c r="A11425" t="s">
        <v>1604</v>
      </c>
      <c r="B11425" s="1" t="str">
        <f>HYPERLINK("http://williamsonhospitality.com","williamsonhospitality.com")</f>
        <v>williamsonhospitality.com</v>
      </c>
      <c r="C11425" t="s">
        <v>433</v>
      </c>
      <c r="F11425">
        <v>4.8527157965429997E-9</v>
      </c>
      <c r="G11425">
        <v>34053756</v>
      </c>
      <c r="H11425">
        <v>13763686</v>
      </c>
      <c r="I11425">
        <v>7815830</v>
      </c>
      <c r="J11425">
        <v>3</v>
      </c>
    </row>
    <row r="11426" spans="1:10" x14ac:dyDescent="0.25">
      <c r="A11426" t="s">
        <v>1604</v>
      </c>
      <c r="B11426" s="1" t="str">
        <f>HYPERLINK("http://xandrion.com","xandrion.com")</f>
        <v>xandrion.com</v>
      </c>
      <c r="C11426" t="s">
        <v>433</v>
      </c>
      <c r="F11426">
        <v>1.9674445836045899E-8</v>
      </c>
      <c r="G11426">
        <v>2713254</v>
      </c>
      <c r="H11426">
        <v>13670720</v>
      </c>
      <c r="I11426">
        <v>9552550</v>
      </c>
      <c r="J11426">
        <v>4</v>
      </c>
    </row>
    <row r="11427" spans="1:10" x14ac:dyDescent="0.25">
      <c r="A11427" t="s">
        <v>1604</v>
      </c>
      <c r="B11427" s="1" t="str">
        <f>HYPERLINK("http://compass-group.de","compass-group.de")</f>
        <v>compass-group.de</v>
      </c>
      <c r="C11427" t="s">
        <v>436</v>
      </c>
      <c r="D11427" t="s">
        <v>815</v>
      </c>
      <c r="F11427">
        <v>3.2021938686838702E-8</v>
      </c>
      <c r="G11427">
        <v>1614137</v>
      </c>
      <c r="H11427">
        <v>13240355</v>
      </c>
      <c r="I11427">
        <v>11220453</v>
      </c>
      <c r="J11427">
        <v>3</v>
      </c>
    </row>
    <row r="11428" spans="1:10" x14ac:dyDescent="0.25">
      <c r="A11428" t="s">
        <v>1604</v>
      </c>
      <c r="B11428" s="1" t="str">
        <f>HYPERLINK("http://eurest.de","eurest.de")</f>
        <v>eurest.de</v>
      </c>
      <c r="C11428" t="s">
        <v>436</v>
      </c>
      <c r="D11428" t="s">
        <v>815</v>
      </c>
      <c r="F11428">
        <v>4.7324864818064597E-8</v>
      </c>
      <c r="G11428">
        <v>984780</v>
      </c>
      <c r="H11428">
        <v>14154773</v>
      </c>
      <c r="I11428">
        <v>1861727</v>
      </c>
      <c r="J11428">
        <v>3</v>
      </c>
    </row>
    <row r="11429" spans="1:10" x14ac:dyDescent="0.25">
      <c r="A11429" t="s">
        <v>1604</v>
      </c>
      <c r="B11429" s="1" t="str">
        <f>HYPERLINK("http://leonardi-epm.de","leonardi-epm.de")</f>
        <v>leonardi-epm.de</v>
      </c>
      <c r="C11429" t="s">
        <v>436</v>
      </c>
      <c r="D11429" t="s">
        <v>815</v>
      </c>
      <c r="J11429">
        <v>3</v>
      </c>
    </row>
    <row r="11430" spans="1:10" x14ac:dyDescent="0.25">
      <c r="A11430" t="s">
        <v>1604</v>
      </c>
      <c r="B11430" s="1" t="str">
        <f>HYPERLINK("http://leonardi-hpm.de","leonardi-hpm.de")</f>
        <v>leonardi-hpm.de</v>
      </c>
      <c r="C11430" t="s">
        <v>436</v>
      </c>
      <c r="D11430" t="s">
        <v>815</v>
      </c>
      <c r="J11430">
        <v>5</v>
      </c>
    </row>
    <row r="11431" spans="1:10" x14ac:dyDescent="0.25">
      <c r="A11431" t="s">
        <v>1604</v>
      </c>
      <c r="B11431" s="1" t="str">
        <f>HYPERLINK("http://leonardi-kg.de","leonardi-kg.de")</f>
        <v>leonardi-kg.de</v>
      </c>
      <c r="C11431" t="s">
        <v>436</v>
      </c>
      <c r="D11431" t="s">
        <v>815</v>
      </c>
      <c r="F11431">
        <v>1.0450735625455E-8</v>
      </c>
      <c r="G11431">
        <v>6312730</v>
      </c>
      <c r="H11431">
        <v>12357963</v>
      </c>
      <c r="I11431">
        <v>19625544</v>
      </c>
      <c r="J11431">
        <v>3</v>
      </c>
    </row>
    <row r="11432" spans="1:10" x14ac:dyDescent="0.25">
      <c r="A11432" t="s">
        <v>1604</v>
      </c>
      <c r="B11432" s="1" t="str">
        <f>HYPERLINK("http://leonardi-svm.de","leonardi-svm.de")</f>
        <v>leonardi-svm.de</v>
      </c>
      <c r="C11432" t="s">
        <v>436</v>
      </c>
      <c r="D11432" t="s">
        <v>815</v>
      </c>
      <c r="J11432">
        <v>3</v>
      </c>
    </row>
    <row r="11433" spans="1:10" x14ac:dyDescent="0.25">
      <c r="A11433" t="s">
        <v>1604</v>
      </c>
      <c r="B11433" s="1" t="str">
        <f>HYPERLINK("http://lps.de","lps.de")</f>
        <v>lps.de</v>
      </c>
      <c r="C11433" t="s">
        <v>436</v>
      </c>
      <c r="D11433" t="s">
        <v>815</v>
      </c>
      <c r="F11433">
        <v>1.2944657702946E-8</v>
      </c>
      <c r="G11433">
        <v>4658334</v>
      </c>
      <c r="H11433">
        <v>12609730</v>
      </c>
      <c r="I11433">
        <v>16239301</v>
      </c>
      <c r="J11433">
        <v>3</v>
      </c>
    </row>
    <row r="11434" spans="1:10" x14ac:dyDescent="0.25">
      <c r="A11434" t="s">
        <v>1604</v>
      </c>
      <c r="B11434" s="1" t="str">
        <f>HYPERLINK("http://compass-group.dk","compass-group.dk")</f>
        <v>compass-group.dk</v>
      </c>
      <c r="C11434" t="s">
        <v>437</v>
      </c>
      <c r="D11434" t="s">
        <v>816</v>
      </c>
      <c r="F11434">
        <v>1.5439094530368099E-8</v>
      </c>
      <c r="G11434">
        <v>3702054</v>
      </c>
      <c r="H11434">
        <v>14073769</v>
      </c>
      <c r="I11434">
        <v>2972792</v>
      </c>
      <c r="J11434">
        <v>4</v>
      </c>
    </row>
    <row r="11435" spans="1:10" x14ac:dyDescent="0.25">
      <c r="A11435" t="s">
        <v>1604</v>
      </c>
      <c r="B11435" s="1" t="str">
        <f>HYPERLINK("http://eurest.dk","eurest.dk")</f>
        <v>eurest.dk</v>
      </c>
      <c r="C11435" t="s">
        <v>437</v>
      </c>
      <c r="D11435" t="s">
        <v>816</v>
      </c>
      <c r="F11435">
        <v>4.6423882142929497E-9</v>
      </c>
      <c r="G11435">
        <v>44638008</v>
      </c>
      <c r="H11435">
        <v>12118770</v>
      </c>
      <c r="I11435">
        <v>25437381</v>
      </c>
      <c r="J11435">
        <v>3</v>
      </c>
    </row>
    <row r="11436" spans="1:10" x14ac:dyDescent="0.25">
      <c r="A11436" t="s">
        <v>1604</v>
      </c>
      <c r="B11436" s="1" t="str">
        <f>HYPERLINK("http://compass-group.es","compass-group.es")</f>
        <v>compass-group.es</v>
      </c>
      <c r="C11436" t="s">
        <v>443</v>
      </c>
      <c r="D11436" t="s">
        <v>822</v>
      </c>
      <c r="F11436">
        <v>2.3290061355307099E-8</v>
      </c>
      <c r="G11436">
        <v>2240159</v>
      </c>
      <c r="H11436">
        <v>14076907</v>
      </c>
      <c r="I11436">
        <v>2877519</v>
      </c>
      <c r="J11436">
        <v>4</v>
      </c>
    </row>
    <row r="11437" spans="1:10" x14ac:dyDescent="0.25">
      <c r="A11437" t="s">
        <v>1604</v>
      </c>
      <c r="B11437" s="1" t="str">
        <f>HYPERLINK("http://foodbuy.eu","foodbuy.eu")</f>
        <v>foodbuy.eu</v>
      </c>
      <c r="C11437" t="s">
        <v>444</v>
      </c>
      <c r="F11437">
        <v>6.6569653979972702E-9</v>
      </c>
      <c r="G11437">
        <v>13459765</v>
      </c>
      <c r="H11437">
        <v>12290914</v>
      </c>
      <c r="I11437">
        <v>21093156</v>
      </c>
      <c r="J11437">
        <v>5</v>
      </c>
    </row>
    <row r="11438" spans="1:10" x14ac:dyDescent="0.25">
      <c r="A11438" t="s">
        <v>1604</v>
      </c>
      <c r="B11438" s="1" t="str">
        <f>HYPERLINK("http://amica.fi","amica.fi")</f>
        <v>amica.fi</v>
      </c>
      <c r="C11438" t="s">
        <v>445</v>
      </c>
      <c r="D11438" t="s">
        <v>823</v>
      </c>
      <c r="F11438">
        <v>3.3128440252521001E-8</v>
      </c>
      <c r="G11438">
        <v>1559616</v>
      </c>
      <c r="H11438">
        <v>14490537</v>
      </c>
      <c r="I11438">
        <v>910969</v>
      </c>
      <c r="J11438">
        <v>2</v>
      </c>
    </row>
    <row r="11439" spans="1:10" x14ac:dyDescent="0.25">
      <c r="A11439" t="s">
        <v>1604</v>
      </c>
      <c r="B11439" s="1" t="str">
        <f>HYPERLINK("http://blueservice.fi","blueservice.fi")</f>
        <v>blueservice.fi</v>
      </c>
      <c r="C11439" t="s">
        <v>445</v>
      </c>
      <c r="D11439" t="s">
        <v>823</v>
      </c>
      <c r="F11439">
        <v>4.4585803087297902E-9</v>
      </c>
      <c r="G11439">
        <v>68209995</v>
      </c>
      <c r="H11439">
        <v>10528958</v>
      </c>
      <c r="I11439">
        <v>48557280</v>
      </c>
      <c r="J11439">
        <v>2</v>
      </c>
    </row>
    <row r="11440" spans="1:10" x14ac:dyDescent="0.25">
      <c r="A11440" t="s">
        <v>1604</v>
      </c>
      <c r="B11440" s="1" t="str">
        <f>HYPERLINK("http://blueservicepartners.fi","blueservicepartners.fi")</f>
        <v>blueservicepartners.fi</v>
      </c>
      <c r="C11440" t="s">
        <v>445</v>
      </c>
      <c r="D11440" t="s">
        <v>823</v>
      </c>
      <c r="J11440">
        <v>2</v>
      </c>
    </row>
    <row r="11441" spans="1:10" x14ac:dyDescent="0.25">
      <c r="A11441" t="s">
        <v>1604</v>
      </c>
      <c r="B11441" s="1" t="str">
        <f>HYPERLINK("http://bluetuutti.fi","bluetuutti.fi")</f>
        <v>bluetuutti.fi</v>
      </c>
      <c r="C11441" t="s">
        <v>445</v>
      </c>
      <c r="D11441" t="s">
        <v>823</v>
      </c>
      <c r="J11441">
        <v>2</v>
      </c>
    </row>
    <row r="11442" spans="1:10" x14ac:dyDescent="0.25">
      <c r="A11442" t="s">
        <v>1604</v>
      </c>
      <c r="B11442" s="1" t="str">
        <f>HYPERLINK("http://coffeebreak.fi","coffeebreak.fi")</f>
        <v>coffeebreak.fi</v>
      </c>
      <c r="C11442" t="s">
        <v>445</v>
      </c>
      <c r="D11442" t="s">
        <v>823</v>
      </c>
      <c r="J11442">
        <v>2</v>
      </c>
    </row>
    <row r="11443" spans="1:10" x14ac:dyDescent="0.25">
      <c r="A11443" t="s">
        <v>1604</v>
      </c>
      <c r="B11443" s="1" t="str">
        <f>HYPERLINK("http://compass-group.fi","compass-group.fi")</f>
        <v>compass-group.fi</v>
      </c>
      <c r="C11443" t="s">
        <v>445</v>
      </c>
      <c r="D11443" t="s">
        <v>823</v>
      </c>
      <c r="F11443">
        <v>5.9057408294945801E-8</v>
      </c>
      <c r="G11443">
        <v>750776</v>
      </c>
      <c r="H11443">
        <v>14266946</v>
      </c>
      <c r="I11443">
        <v>1406098</v>
      </c>
      <c r="J11443">
        <v>2</v>
      </c>
    </row>
    <row r="11444" spans="1:10" x14ac:dyDescent="0.25">
      <c r="A11444" t="s">
        <v>1604</v>
      </c>
      <c r="B11444" s="1" t="str">
        <f>HYPERLINK("http://compassgroup.fi","compassgroup.fi")</f>
        <v>compassgroup.fi</v>
      </c>
      <c r="C11444" t="s">
        <v>445</v>
      </c>
      <c r="D11444" t="s">
        <v>823</v>
      </c>
      <c r="J11444">
        <v>2</v>
      </c>
    </row>
    <row r="11445" spans="1:10" x14ac:dyDescent="0.25">
      <c r="A11445" t="s">
        <v>1604</v>
      </c>
      <c r="B11445" s="1" t="str">
        <f>HYPERLINK("http://eurest.fi","eurest.fi")</f>
        <v>eurest.fi</v>
      </c>
      <c r="C11445" t="s">
        <v>445</v>
      </c>
      <c r="D11445" t="s">
        <v>823</v>
      </c>
      <c r="F11445">
        <v>5.5471795510096204E-9</v>
      </c>
      <c r="G11445">
        <v>20405721</v>
      </c>
      <c r="H11445">
        <v>13763694</v>
      </c>
      <c r="I11445">
        <v>7790056</v>
      </c>
      <c r="J11445">
        <v>2</v>
      </c>
    </row>
    <row r="11446" spans="1:10" x14ac:dyDescent="0.25">
      <c r="A11446" t="s">
        <v>1604</v>
      </c>
      <c r="B11446" s="1" t="str">
        <f>HYPERLINK("http://eurest-services.fi","eurest-services.fi")</f>
        <v>eurest-services.fi</v>
      </c>
      <c r="C11446" t="s">
        <v>445</v>
      </c>
      <c r="D11446" t="s">
        <v>823</v>
      </c>
      <c r="J11446">
        <v>2</v>
      </c>
    </row>
    <row r="11447" spans="1:10" x14ac:dyDescent="0.25">
      <c r="A11447" t="s">
        <v>1604</v>
      </c>
      <c r="B11447" s="1" t="str">
        <f>HYPERLINK("http://eurestfood.fi","eurestfood.fi")</f>
        <v>eurestfood.fi</v>
      </c>
      <c r="C11447" t="s">
        <v>445</v>
      </c>
      <c r="D11447" t="s">
        <v>823</v>
      </c>
      <c r="J11447">
        <v>4</v>
      </c>
    </row>
    <row r="11448" spans="1:10" x14ac:dyDescent="0.25">
      <c r="A11448" t="s">
        <v>1604</v>
      </c>
      <c r="B11448" s="1" t="str">
        <f>HYPERLINK("http://eurestservices.fi","eurestservices.fi")</f>
        <v>eurestservices.fi</v>
      </c>
      <c r="C11448" t="s">
        <v>445</v>
      </c>
      <c r="D11448" t="s">
        <v>823</v>
      </c>
      <c r="J11448">
        <v>2</v>
      </c>
    </row>
    <row r="11449" spans="1:10" x14ac:dyDescent="0.25">
      <c r="A11449" t="s">
        <v>1604</v>
      </c>
      <c r="B11449" s="1" t="str">
        <f>HYPERLINK("http://fazerfoodservices.fi","fazerfoodservices.fi")</f>
        <v>fazerfoodservices.fi</v>
      </c>
      <c r="C11449" t="s">
        <v>445</v>
      </c>
      <c r="D11449" t="s">
        <v>823</v>
      </c>
      <c r="F11449">
        <v>4.5242599554023197E-9</v>
      </c>
      <c r="G11449">
        <v>55692421</v>
      </c>
      <c r="H11449">
        <v>10593940</v>
      </c>
      <c r="I11449">
        <v>45393415</v>
      </c>
      <c r="J11449">
        <v>2</v>
      </c>
    </row>
    <row r="11450" spans="1:10" x14ac:dyDescent="0.25">
      <c r="A11450" t="s">
        <v>1604</v>
      </c>
      <c r="B11450" s="1" t="str">
        <f>HYPERLINK("http://foodandco.fi","foodandco.fi")</f>
        <v>foodandco.fi</v>
      </c>
      <c r="C11450" t="s">
        <v>445</v>
      </c>
      <c r="D11450" t="s">
        <v>823</v>
      </c>
      <c r="F11450">
        <v>5.1851216166421197E-8</v>
      </c>
      <c r="G11450">
        <v>881154</v>
      </c>
      <c r="H11450">
        <v>14126771</v>
      </c>
      <c r="I11450">
        <v>2094143</v>
      </c>
      <c r="J11450">
        <v>2</v>
      </c>
    </row>
    <row r="11451" spans="1:10" x14ac:dyDescent="0.25">
      <c r="A11451" t="s">
        <v>1604</v>
      </c>
      <c r="B11451" s="1" t="str">
        <f>HYPERLINK("http://gastronom.fi","gastronom.fi")</f>
        <v>gastronom.fi</v>
      </c>
      <c r="C11451" t="s">
        <v>445</v>
      </c>
      <c r="D11451" t="s">
        <v>823</v>
      </c>
      <c r="J11451">
        <v>2</v>
      </c>
    </row>
    <row r="11452" spans="1:10" x14ac:dyDescent="0.25">
      <c r="A11452" t="s">
        <v>1604</v>
      </c>
      <c r="B11452" s="1" t="str">
        <f>HYPERLINK("http://henkilostoravintolat.fi","henkilostoravintolat.fi")</f>
        <v>henkilostoravintolat.fi</v>
      </c>
      <c r="C11452" t="s">
        <v>445</v>
      </c>
      <c r="D11452" t="s">
        <v>823</v>
      </c>
      <c r="J11452">
        <v>2</v>
      </c>
    </row>
    <row r="11453" spans="1:10" x14ac:dyDescent="0.25">
      <c r="A11453" t="s">
        <v>1604</v>
      </c>
      <c r="B11453" s="1" t="str">
        <f>HYPERLINK("http://honkapirtti.fi","honkapirtti.fi")</f>
        <v>honkapirtti.fi</v>
      </c>
      <c r="C11453" t="s">
        <v>445</v>
      </c>
      <c r="D11453" t="s">
        <v>823</v>
      </c>
      <c r="F11453">
        <v>1.3812527671170201E-8</v>
      </c>
      <c r="G11453">
        <v>4276334</v>
      </c>
      <c r="H11453">
        <v>14120720</v>
      </c>
      <c r="I11453">
        <v>2331675</v>
      </c>
      <c r="J11453">
        <v>4</v>
      </c>
    </row>
    <row r="11454" spans="1:10" x14ac:dyDescent="0.25">
      <c r="A11454" t="s">
        <v>1604</v>
      </c>
      <c r="B11454" s="1" t="str">
        <f>HYPERLINK("http://kokouksetjajuhlat.fi","kokouksetjajuhlat.fi")</f>
        <v>kokouksetjajuhlat.fi</v>
      </c>
      <c r="C11454" t="s">
        <v>445</v>
      </c>
      <c r="D11454" t="s">
        <v>823</v>
      </c>
      <c r="F11454">
        <v>8.6858820746832502E-9</v>
      </c>
      <c r="G11454">
        <v>8502025</v>
      </c>
      <c r="H11454">
        <v>10816072</v>
      </c>
      <c r="I11454">
        <v>37715402</v>
      </c>
      <c r="J11454">
        <v>2</v>
      </c>
    </row>
    <row r="11455" spans="1:10" x14ac:dyDescent="0.25">
      <c r="A11455" t="s">
        <v>1604</v>
      </c>
      <c r="B11455" s="1" t="str">
        <f>HYPERLINK("http://lounaslahetti.fi","lounaslahetti.fi")</f>
        <v>lounaslahetti.fi</v>
      </c>
      <c r="C11455" t="s">
        <v>445</v>
      </c>
      <c r="D11455" t="s">
        <v>823</v>
      </c>
      <c r="J11455">
        <v>2</v>
      </c>
    </row>
    <row r="11456" spans="1:10" x14ac:dyDescent="0.25">
      <c r="A11456" t="s">
        <v>1604</v>
      </c>
      <c r="B11456" s="1" t="str">
        <f>HYPERLINK("http://lounasravintolat.fi","lounasravintolat.fi")</f>
        <v>lounasravintolat.fi</v>
      </c>
      <c r="C11456" t="s">
        <v>445</v>
      </c>
      <c r="D11456" t="s">
        <v>823</v>
      </c>
      <c r="J11456">
        <v>2</v>
      </c>
    </row>
    <row r="11457" spans="1:10" x14ac:dyDescent="0.25">
      <c r="A11457" t="s">
        <v>1604</v>
      </c>
      <c r="B11457" s="1" t="str">
        <f>HYPERLINK("http://market247.fi","market247.fi")</f>
        <v>market247.fi</v>
      </c>
      <c r="C11457" t="s">
        <v>445</v>
      </c>
      <c r="D11457" t="s">
        <v>823</v>
      </c>
      <c r="J11457">
        <v>2</v>
      </c>
    </row>
    <row r="11458" spans="1:10" x14ac:dyDescent="0.25">
      <c r="A11458" t="s">
        <v>1604</v>
      </c>
      <c r="B11458" s="1" t="str">
        <f>HYPERLINK("http://medirest.fi","medirest.fi")</f>
        <v>medirest.fi</v>
      </c>
      <c r="C11458" t="s">
        <v>445</v>
      </c>
      <c r="D11458" t="s">
        <v>823</v>
      </c>
      <c r="F11458">
        <v>4.4443914642997904E-9</v>
      </c>
      <c r="G11458">
        <v>76830500</v>
      </c>
      <c r="H11458">
        <v>8737755</v>
      </c>
      <c r="I11458">
        <v>69706780</v>
      </c>
      <c r="J11458">
        <v>2</v>
      </c>
    </row>
    <row r="11459" spans="1:10" x14ac:dyDescent="0.25">
      <c r="A11459" t="s">
        <v>1604</v>
      </c>
      <c r="B11459" s="1" t="str">
        <f>HYPERLINK("http://ravintolanom.fi","ravintolanom.fi")</f>
        <v>ravintolanom.fi</v>
      </c>
      <c r="C11459" t="s">
        <v>445</v>
      </c>
      <c r="D11459" t="s">
        <v>823</v>
      </c>
      <c r="J11459">
        <v>2</v>
      </c>
    </row>
    <row r="11460" spans="1:10" x14ac:dyDescent="0.25">
      <c r="A11460" t="s">
        <v>1604</v>
      </c>
      <c r="B11460" s="1" t="str">
        <f>HYPERLINK("http://ravintolaplatta.fi","ravintolaplatta.fi")</f>
        <v>ravintolaplatta.fi</v>
      </c>
      <c r="C11460" t="s">
        <v>445</v>
      </c>
      <c r="D11460" t="s">
        <v>823</v>
      </c>
      <c r="F11460">
        <v>9.9482949210462298E-9</v>
      </c>
      <c r="G11460">
        <v>6808189</v>
      </c>
      <c r="H11460">
        <v>12514338</v>
      </c>
      <c r="I11460">
        <v>17204286</v>
      </c>
      <c r="J11460">
        <v>2</v>
      </c>
    </row>
    <row r="11461" spans="1:10" x14ac:dyDescent="0.25">
      <c r="A11461" t="s">
        <v>1604</v>
      </c>
      <c r="B11461" s="1" t="str">
        <f>HYPERLINK("http://semma.fi","semma.fi")</f>
        <v>semma.fi</v>
      </c>
      <c r="C11461" t="s">
        <v>445</v>
      </c>
      <c r="D11461" t="s">
        <v>823</v>
      </c>
      <c r="F11461">
        <v>3.05850132987656E-8</v>
      </c>
      <c r="G11461">
        <v>1683861</v>
      </c>
      <c r="H11461">
        <v>13822920</v>
      </c>
      <c r="I11461">
        <v>6135417</v>
      </c>
      <c r="J11461">
        <v>2</v>
      </c>
    </row>
    <row r="11462" spans="1:10" x14ac:dyDescent="0.25">
      <c r="A11462" t="s">
        <v>1604</v>
      </c>
      <c r="B11462" s="1" t="str">
        <f>HYPERLINK("http://senioriateria.fi","senioriateria.fi")</f>
        <v>senioriateria.fi</v>
      </c>
      <c r="C11462" t="s">
        <v>445</v>
      </c>
      <c r="D11462" t="s">
        <v>823</v>
      </c>
      <c r="F11462">
        <v>5.2622763130756896E-9</v>
      </c>
      <c r="G11462">
        <v>24070221</v>
      </c>
      <c r="H11462">
        <v>12382723</v>
      </c>
      <c r="I11462">
        <v>19160339</v>
      </c>
      <c r="J11462">
        <v>2</v>
      </c>
    </row>
    <row r="11463" spans="1:10" x14ac:dyDescent="0.25">
      <c r="A11463" t="s">
        <v>1604</v>
      </c>
      <c r="B11463" s="1" t="str">
        <f>HYPERLINK("http://sonaatti.fi","sonaatti.fi")</f>
        <v>sonaatti.fi</v>
      </c>
      <c r="C11463" t="s">
        <v>445</v>
      </c>
      <c r="D11463" t="s">
        <v>823</v>
      </c>
      <c r="F11463">
        <v>5.2761407833856504E-9</v>
      </c>
      <c r="G11463">
        <v>23846373</v>
      </c>
      <c r="H11463">
        <v>13764655</v>
      </c>
      <c r="I11463">
        <v>7217388</v>
      </c>
      <c r="J11463">
        <v>3</v>
      </c>
    </row>
    <row r="11464" spans="1:10" x14ac:dyDescent="0.25">
      <c r="A11464" t="s">
        <v>1604</v>
      </c>
      <c r="B11464" s="1" t="str">
        <f>HYPERLINK("http://tastory.fi","tastory.fi")</f>
        <v>tastory.fi</v>
      </c>
      <c r="C11464" t="s">
        <v>445</v>
      </c>
      <c r="D11464" t="s">
        <v>823</v>
      </c>
      <c r="F11464">
        <v>8.7206798427904498E-9</v>
      </c>
      <c r="G11464">
        <v>8442003</v>
      </c>
      <c r="H11464">
        <v>11174575</v>
      </c>
      <c r="I11464">
        <v>31485937</v>
      </c>
      <c r="J11464">
        <v>2</v>
      </c>
    </row>
    <row r="11465" spans="1:10" x14ac:dyDescent="0.25">
      <c r="A11465" t="s">
        <v>1604</v>
      </c>
      <c r="B11465" s="1" t="str">
        <f>HYPERLINK("http://unica.fi","unica.fi")</f>
        <v>unica.fi</v>
      </c>
      <c r="C11465" t="s">
        <v>445</v>
      </c>
      <c r="D11465" t="s">
        <v>823</v>
      </c>
      <c r="F11465">
        <v>1.5211029140781199E-8</v>
      </c>
      <c r="G11465">
        <v>3772644</v>
      </c>
      <c r="H11465">
        <v>14135789</v>
      </c>
      <c r="I11465">
        <v>1967037</v>
      </c>
      <c r="J11465">
        <v>2</v>
      </c>
    </row>
    <row r="11466" spans="1:10" x14ac:dyDescent="0.25">
      <c r="A11466" t="s">
        <v>1604</v>
      </c>
      <c r="B11466" s="1" t="str">
        <f>HYPERLINK("http://universtas.fi","universtas.fi")</f>
        <v>universtas.fi</v>
      </c>
      <c r="C11466" t="s">
        <v>445</v>
      </c>
      <c r="D11466" t="s">
        <v>823</v>
      </c>
      <c r="F11466">
        <v>4.4697852066387802E-9</v>
      </c>
      <c r="G11466">
        <v>64620700</v>
      </c>
      <c r="H11466">
        <v>10663299</v>
      </c>
      <c r="I11466">
        <v>43249399</v>
      </c>
      <c r="J11466">
        <v>7</v>
      </c>
    </row>
    <row r="11467" spans="1:10" x14ac:dyDescent="0.25">
      <c r="A11467" t="s">
        <v>1604</v>
      </c>
      <c r="B11467" s="1" t="str">
        <f>HYPERLINK("http://uracompassilla.fi","uracompassilla.fi")</f>
        <v>uracompassilla.fi</v>
      </c>
      <c r="C11467" t="s">
        <v>445</v>
      </c>
      <c r="D11467" t="s">
        <v>823</v>
      </c>
      <c r="F11467">
        <v>8.2183121677465998E-9</v>
      </c>
      <c r="G11467">
        <v>9540529</v>
      </c>
      <c r="H11467">
        <v>10895746</v>
      </c>
      <c r="I11467">
        <v>35935617</v>
      </c>
      <c r="J11467">
        <v>2</v>
      </c>
    </row>
    <row r="11468" spans="1:10" x14ac:dyDescent="0.25">
      <c r="A11468" t="s">
        <v>1604</v>
      </c>
      <c r="B11468" s="1" t="str">
        <f>HYPERLINK("http://wilberg.fi","wilberg.fi")</f>
        <v>wilberg.fi</v>
      </c>
      <c r="C11468" t="s">
        <v>445</v>
      </c>
      <c r="D11468" t="s">
        <v>823</v>
      </c>
      <c r="J11468">
        <v>2</v>
      </c>
    </row>
    <row r="11469" spans="1:10" x14ac:dyDescent="0.25">
      <c r="A11469" t="s">
        <v>1604</v>
      </c>
      <c r="B11469" s="1" t="str">
        <f>HYPERLINK("http://wiprestaurants.fi","wiprestaurants.fi")</f>
        <v>wiprestaurants.fi</v>
      </c>
      <c r="C11469" t="s">
        <v>445</v>
      </c>
      <c r="D11469" t="s">
        <v>823</v>
      </c>
      <c r="J11469">
        <v>2</v>
      </c>
    </row>
    <row r="11470" spans="1:10" x14ac:dyDescent="0.25">
      <c r="A11470" t="s">
        <v>1604</v>
      </c>
      <c r="B11470" s="1" t="str">
        <f>HYPERLINK("http://caterine.fr","caterine.fr")</f>
        <v>caterine.fr</v>
      </c>
      <c r="C11470" t="s">
        <v>446</v>
      </c>
      <c r="D11470" t="s">
        <v>824</v>
      </c>
      <c r="F11470">
        <v>6.8622511085965302E-9</v>
      </c>
      <c r="G11470">
        <v>12753766</v>
      </c>
      <c r="H11470">
        <v>10509750</v>
      </c>
      <c r="I11470">
        <v>49722780</v>
      </c>
      <c r="J11470">
        <v>3</v>
      </c>
    </row>
    <row r="11471" spans="1:10" x14ac:dyDescent="0.25">
      <c r="A11471" t="s">
        <v>1604</v>
      </c>
      <c r="B11471" s="1" t="str">
        <f>HYPERLINK("http://compass-group.fr","compass-group.fr")</f>
        <v>compass-group.fr</v>
      </c>
      <c r="C11471" t="s">
        <v>446</v>
      </c>
      <c r="D11471" t="s">
        <v>824</v>
      </c>
      <c r="F11471">
        <v>4.3740391603414098E-8</v>
      </c>
      <c r="G11471">
        <v>1090566</v>
      </c>
      <c r="H11471">
        <v>13974978</v>
      </c>
      <c r="I11471">
        <v>4063601</v>
      </c>
      <c r="J11471">
        <v>5</v>
      </c>
    </row>
    <row r="11472" spans="1:10" x14ac:dyDescent="0.25">
      <c r="A11472" t="s">
        <v>1604</v>
      </c>
      <c r="B11472" s="1" t="str">
        <f>HYPERLINK("http://r2c-restauration.fr","r2c-restauration.fr")</f>
        <v>r2c-restauration.fr</v>
      </c>
      <c r="C11472" t="s">
        <v>446</v>
      </c>
      <c r="D11472" t="s">
        <v>824</v>
      </c>
      <c r="F11472">
        <v>5.1787579582143098E-9</v>
      </c>
      <c r="G11472">
        <v>25572902</v>
      </c>
      <c r="H11472">
        <v>10833289</v>
      </c>
      <c r="I11472">
        <v>37320229</v>
      </c>
      <c r="J11472">
        <v>3</v>
      </c>
    </row>
    <row r="11473" spans="1:10" x14ac:dyDescent="0.25">
      <c r="A11473" t="s">
        <v>1604</v>
      </c>
      <c r="B11473" s="1" t="str">
        <f>HYPERLINK("http://restauration-collective-laculinaire.fr","restauration-collective-laculinaire.fr")</f>
        <v>restauration-collective-laculinaire.fr</v>
      </c>
      <c r="C11473" t="s">
        <v>446</v>
      </c>
      <c r="D11473" t="s">
        <v>824</v>
      </c>
      <c r="F11473">
        <v>4.7271867301194997E-9</v>
      </c>
      <c r="G11473">
        <v>39483667</v>
      </c>
      <c r="H11473">
        <v>10681010</v>
      </c>
      <c r="I11473">
        <v>42729056</v>
      </c>
      <c r="J11473">
        <v>3</v>
      </c>
    </row>
    <row r="11474" spans="1:10" x14ac:dyDescent="0.25">
      <c r="A11474" t="s">
        <v>1604</v>
      </c>
      <c r="B11474" s="1" t="str">
        <f>HYPERLINK("http://sogirest.fr","sogirest.fr")</f>
        <v>sogirest.fr</v>
      </c>
      <c r="C11474" t="s">
        <v>446</v>
      </c>
      <c r="D11474" t="s">
        <v>824</v>
      </c>
      <c r="F11474">
        <v>5.0711860282612304E-9</v>
      </c>
      <c r="G11474">
        <v>27764714</v>
      </c>
      <c r="H11474">
        <v>11026100</v>
      </c>
      <c r="I11474">
        <v>33164634</v>
      </c>
      <c r="J11474">
        <v>3</v>
      </c>
    </row>
    <row r="11475" spans="1:10" x14ac:dyDescent="0.25">
      <c r="A11475" t="s">
        <v>1604</v>
      </c>
      <c r="B11475" s="1" t="str">
        <f>HYPERLINK("http://compass-group.ie","compass-group.ie")</f>
        <v>compass-group.ie</v>
      </c>
      <c r="C11475" t="s">
        <v>455</v>
      </c>
      <c r="D11475" t="s">
        <v>832</v>
      </c>
      <c r="F11475">
        <v>8.4576722218712693E-9</v>
      </c>
      <c r="G11475">
        <v>8927639</v>
      </c>
      <c r="H11475">
        <v>12214172</v>
      </c>
      <c r="I11475">
        <v>22923711</v>
      </c>
      <c r="J11475">
        <v>3</v>
      </c>
    </row>
    <row r="11476" spans="1:10" x14ac:dyDescent="0.25">
      <c r="A11476" t="s">
        <v>1604</v>
      </c>
      <c r="B11476" s="1" t="str">
        <f>HYPERLINK("http://chiyoda-kyushoku.co.jp","chiyoda-kyushoku.co.jp")</f>
        <v>chiyoda-kyushoku.co.jp</v>
      </c>
      <c r="C11476" t="s">
        <v>461</v>
      </c>
      <c r="D11476" t="s">
        <v>837</v>
      </c>
      <c r="J11476">
        <v>3</v>
      </c>
    </row>
    <row r="11477" spans="1:10" x14ac:dyDescent="0.25">
      <c r="A11477" t="s">
        <v>1604</v>
      </c>
      <c r="B11477" s="1" t="str">
        <f>HYPERLINK("http://seiyofood.co.jp","seiyofood.co.jp")</f>
        <v>seiyofood.co.jp</v>
      </c>
      <c r="C11477" t="s">
        <v>461</v>
      </c>
      <c r="D11477" t="s">
        <v>837</v>
      </c>
      <c r="F11477">
        <v>7.6645279862111502E-9</v>
      </c>
      <c r="G11477">
        <v>10654916</v>
      </c>
      <c r="H11477">
        <v>14080536</v>
      </c>
      <c r="I11477">
        <v>2819010</v>
      </c>
      <c r="J11477">
        <v>3</v>
      </c>
    </row>
    <row r="11478" spans="1:10" x14ac:dyDescent="0.25">
      <c r="A11478" t="s">
        <v>1604</v>
      </c>
      <c r="B11478" s="1" t="str">
        <f>HYPERLINK("http://eurest.lu","eurest.lu")</f>
        <v>eurest.lu</v>
      </c>
      <c r="C11478" t="s">
        <v>547</v>
      </c>
      <c r="D11478" t="s">
        <v>904</v>
      </c>
      <c r="F11478">
        <v>9.7232010772632501E-9</v>
      </c>
      <c r="G11478">
        <v>7054371</v>
      </c>
      <c r="H11478">
        <v>10974990</v>
      </c>
      <c r="I11478">
        <v>34034894</v>
      </c>
      <c r="J11478">
        <v>3</v>
      </c>
    </row>
    <row r="11479" spans="1:10" x14ac:dyDescent="0.25">
      <c r="A11479" t="s">
        <v>1604</v>
      </c>
      <c r="B11479" s="1" t="str">
        <f>HYPERLINK("http://eurest.com.mx","eurest.com.mx")</f>
        <v>eurest.com.mx</v>
      </c>
      <c r="C11479" t="s">
        <v>471</v>
      </c>
      <c r="D11479" t="s">
        <v>847</v>
      </c>
      <c r="F11479">
        <v>4.7227123544626002E-9</v>
      </c>
      <c r="G11479">
        <v>40072152</v>
      </c>
      <c r="H11479">
        <v>10035849</v>
      </c>
      <c r="I11479">
        <v>60538432</v>
      </c>
      <c r="J11479">
        <v>3</v>
      </c>
    </row>
    <row r="11480" spans="1:10" x14ac:dyDescent="0.25">
      <c r="A11480" t="s">
        <v>1604</v>
      </c>
      <c r="B11480" s="1" t="str">
        <f>HYPERLINK("http://eurets.com.mx","eurets.com.mx")</f>
        <v>eurets.com.mx</v>
      </c>
      <c r="C11480" t="s">
        <v>471</v>
      </c>
      <c r="D11480" t="s">
        <v>847</v>
      </c>
      <c r="J11480">
        <v>4</v>
      </c>
    </row>
    <row r="11481" spans="1:10" x14ac:dyDescent="0.25">
      <c r="A11481" t="s">
        <v>1604</v>
      </c>
      <c r="B11481" s="1" t="str">
        <f>HYPERLINK("http://coastalfood.net","coastalfood.net")</f>
        <v>coastalfood.net</v>
      </c>
      <c r="C11481" t="s">
        <v>474</v>
      </c>
      <c r="F11481">
        <v>5.18669168092687E-9</v>
      </c>
      <c r="G11481">
        <v>25400894</v>
      </c>
      <c r="H11481">
        <v>12390538</v>
      </c>
      <c r="I11481">
        <v>19035389</v>
      </c>
      <c r="J11481">
        <v>3</v>
      </c>
    </row>
    <row r="11482" spans="1:10" x14ac:dyDescent="0.25">
      <c r="A11482" t="s">
        <v>1604</v>
      </c>
      <c r="B11482" s="1" t="str">
        <f>HYPERLINK("http://rocketfood.net","rocketfood.net")</f>
        <v>rocketfood.net</v>
      </c>
      <c r="C11482" t="s">
        <v>474</v>
      </c>
      <c r="F11482">
        <v>4.6578224881783697E-9</v>
      </c>
      <c r="G11482">
        <v>43638879</v>
      </c>
      <c r="H11482">
        <v>12230896</v>
      </c>
      <c r="I11482">
        <v>22480839</v>
      </c>
      <c r="J11482">
        <v>3</v>
      </c>
    </row>
    <row r="11483" spans="1:10" x14ac:dyDescent="0.25">
      <c r="A11483" t="s">
        <v>1604</v>
      </c>
      <c r="B11483" s="1" t="str">
        <f>HYPERLINK("http://compass-group.nl","compass-group.nl")</f>
        <v>compass-group.nl</v>
      </c>
      <c r="C11483" t="s">
        <v>477</v>
      </c>
      <c r="D11483" t="s">
        <v>852</v>
      </c>
      <c r="F11483">
        <v>3.0641720285200302E-8</v>
      </c>
      <c r="G11483">
        <v>1680937</v>
      </c>
      <c r="H11483">
        <v>12534733</v>
      </c>
      <c r="I11483">
        <v>16990011</v>
      </c>
      <c r="J11483">
        <v>4</v>
      </c>
    </row>
    <row r="11484" spans="1:10" x14ac:dyDescent="0.25">
      <c r="A11484" t="s">
        <v>1604</v>
      </c>
      <c r="B11484" s="1" t="str">
        <f>HYPERLINK("http://famousflavours.nl","famousflavours.nl")</f>
        <v>famousflavours.nl</v>
      </c>
      <c r="C11484" t="s">
        <v>477</v>
      </c>
      <c r="D11484" t="s">
        <v>852</v>
      </c>
      <c r="F11484">
        <v>1.1397398091375E-8</v>
      </c>
      <c r="G11484">
        <v>5576059</v>
      </c>
      <c r="H11484">
        <v>11480368</v>
      </c>
      <c r="I11484">
        <v>30064974</v>
      </c>
      <c r="J11484">
        <v>3</v>
      </c>
    </row>
    <row r="11485" spans="1:10" x14ac:dyDescent="0.25">
      <c r="A11485" t="s">
        <v>1604</v>
      </c>
      <c r="B11485" s="1" t="str">
        <f>HYPERLINK("http://xandrion.nl","xandrion.nl")</f>
        <v>xandrion.nl</v>
      </c>
      <c r="C11485" t="s">
        <v>477</v>
      </c>
      <c r="D11485" t="s">
        <v>852</v>
      </c>
      <c r="F11485">
        <v>2.0405048755707299E-8</v>
      </c>
      <c r="G11485">
        <v>2598989</v>
      </c>
      <c r="H11485">
        <v>13672557</v>
      </c>
      <c r="I11485">
        <v>9544318</v>
      </c>
      <c r="J11485">
        <v>3</v>
      </c>
    </row>
    <row r="11486" spans="1:10" x14ac:dyDescent="0.25">
      <c r="A11486" t="s">
        <v>1604</v>
      </c>
      <c r="B11486" s="1" t="str">
        <f>HYPERLINK("http://eurest.no","eurest.no")</f>
        <v>eurest.no</v>
      </c>
      <c r="C11486" t="s">
        <v>478</v>
      </c>
      <c r="D11486" t="s">
        <v>853</v>
      </c>
      <c r="F11486">
        <v>4.4452024020832803E-9</v>
      </c>
      <c r="G11486">
        <v>75553127</v>
      </c>
      <c r="H11486">
        <v>8444654</v>
      </c>
      <c r="I11486">
        <v>72621684</v>
      </c>
      <c r="J11486">
        <v>3</v>
      </c>
    </row>
    <row r="11487" spans="1:10" x14ac:dyDescent="0.25">
      <c r="A11487" t="s">
        <v>1604</v>
      </c>
      <c r="B11487" s="1" t="str">
        <f>HYPERLINK("http://young-raineystarcenter.org","young-raineystarcenter.org")</f>
        <v>young-raineystarcenter.org</v>
      </c>
      <c r="C11487" t="s">
        <v>481</v>
      </c>
      <c r="F11487">
        <v>7.4838186674230197E-9</v>
      </c>
      <c r="G11487">
        <v>11049253</v>
      </c>
      <c r="H11487">
        <v>12159770</v>
      </c>
      <c r="I11487">
        <v>24368648</v>
      </c>
      <c r="J11487">
        <v>3</v>
      </c>
    </row>
    <row r="11488" spans="1:10" x14ac:dyDescent="0.25">
      <c r="A11488" t="s">
        <v>1604</v>
      </c>
      <c r="B11488" s="1" t="str">
        <f>HYPERLINK("http://eurest.pt","eurest.pt")</f>
        <v>eurest.pt</v>
      </c>
      <c r="C11488" t="s">
        <v>488</v>
      </c>
      <c r="D11488" t="s">
        <v>862</v>
      </c>
      <c r="F11488">
        <v>9.3784153585179707E-9</v>
      </c>
      <c r="G11488">
        <v>7472767</v>
      </c>
      <c r="H11488">
        <v>12733297</v>
      </c>
      <c r="I11488">
        <v>15182352</v>
      </c>
      <c r="J11488">
        <v>3</v>
      </c>
    </row>
    <row r="11489" spans="1:10" x14ac:dyDescent="0.25">
      <c r="A11489" t="s">
        <v>1604</v>
      </c>
      <c r="B11489" s="1" t="str">
        <f>HYPERLINK("http://aldermastonmanor.co.uk","aldermastonmanor.co.uk")</f>
        <v>aldermastonmanor.co.uk</v>
      </c>
      <c r="C11489" t="s">
        <v>506</v>
      </c>
      <c r="D11489" t="s">
        <v>880</v>
      </c>
      <c r="F11489">
        <v>6.2275994485719398E-9</v>
      </c>
      <c r="G11489">
        <v>15387080</v>
      </c>
      <c r="H11489">
        <v>10965616</v>
      </c>
      <c r="I11489">
        <v>34230882</v>
      </c>
      <c r="J11489">
        <v>5</v>
      </c>
    </row>
    <row r="11490" spans="1:10" x14ac:dyDescent="0.25">
      <c r="A11490" t="s">
        <v>1604</v>
      </c>
      <c r="B11490" s="1" t="str">
        <f>HYPERLINK("http://compass-academy.co.uk","compass-academy.co.uk")</f>
        <v>compass-academy.co.uk</v>
      </c>
      <c r="C11490" t="s">
        <v>506</v>
      </c>
      <c r="D11490" t="s">
        <v>880</v>
      </c>
      <c r="J11490">
        <v>3</v>
      </c>
    </row>
    <row r="11491" spans="1:10" x14ac:dyDescent="0.25">
      <c r="A11491" t="s">
        <v>1604</v>
      </c>
      <c r="B11491" s="1" t="str">
        <f>HYPERLINK("http://compass-group.co.uk","compass-group.co.uk")</f>
        <v>compass-group.co.uk</v>
      </c>
      <c r="C11491" t="s">
        <v>506</v>
      </c>
      <c r="D11491" t="s">
        <v>880</v>
      </c>
      <c r="E11491">
        <v>489553</v>
      </c>
      <c r="F11491">
        <v>1.11728549266728E-7</v>
      </c>
      <c r="G11491">
        <v>357619</v>
      </c>
      <c r="H11491">
        <v>14692499</v>
      </c>
      <c r="I11491">
        <v>601189</v>
      </c>
      <c r="J11491">
        <v>2</v>
      </c>
    </row>
    <row r="11492" spans="1:10" x14ac:dyDescent="0.25">
      <c r="A11492" t="s">
        <v>1604</v>
      </c>
      <c r="B11492" s="1" t="str">
        <f>HYPERLINK("http://e-foods.co.uk","e-foods.co.uk")</f>
        <v>e-foods.co.uk</v>
      </c>
      <c r="C11492" t="s">
        <v>506</v>
      </c>
      <c r="D11492" t="s">
        <v>880</v>
      </c>
      <c r="F11492">
        <v>5.4948724822868698E-9</v>
      </c>
      <c r="G11492">
        <v>20958888</v>
      </c>
      <c r="H11492">
        <v>12203518</v>
      </c>
      <c r="I11492">
        <v>23231422</v>
      </c>
      <c r="J11492">
        <v>4</v>
      </c>
    </row>
    <row r="11493" spans="1:10" x14ac:dyDescent="0.25">
      <c r="A11493" t="s">
        <v>1604</v>
      </c>
      <c r="B11493" s="1" t="str">
        <f>HYPERLINK("http://foodbuy.co.uk","foodbuy.co.uk")</f>
        <v>foodbuy.co.uk</v>
      </c>
      <c r="C11493" t="s">
        <v>506</v>
      </c>
      <c r="D11493" t="s">
        <v>880</v>
      </c>
      <c r="F11493">
        <v>1.1982957891928699E-8</v>
      </c>
      <c r="G11493">
        <v>5187163</v>
      </c>
      <c r="H11493">
        <v>12647713</v>
      </c>
      <c r="I11493">
        <v>15815933</v>
      </c>
      <c r="J11493">
        <v>4</v>
      </c>
    </row>
    <row r="11494" spans="1:10" x14ac:dyDescent="0.25">
      <c r="A11494" t="s">
        <v>1604</v>
      </c>
      <c r="B11494" s="1" t="str">
        <f>HYPERLINK("http://foodtradedirect.co.uk","foodtradedirect.co.uk")</f>
        <v>foodtradedirect.co.uk</v>
      </c>
      <c r="C11494" t="s">
        <v>506</v>
      </c>
      <c r="D11494" t="s">
        <v>880</v>
      </c>
      <c r="J11494">
        <v>3</v>
      </c>
    </row>
    <row r="11495" spans="1:10" x14ac:dyDescent="0.25">
      <c r="A11495" t="s">
        <v>1604</v>
      </c>
      <c r="B11495" s="1" t="str">
        <f>HYPERLINK("http://medirest.co.uk","medirest.co.uk")</f>
        <v>medirest.co.uk</v>
      </c>
      <c r="C11495" t="s">
        <v>506</v>
      </c>
      <c r="D11495" t="s">
        <v>880</v>
      </c>
      <c r="F11495">
        <v>5.1365788642188696E-9</v>
      </c>
      <c r="G11495">
        <v>26330194</v>
      </c>
      <c r="H11495">
        <v>12218305</v>
      </c>
      <c r="I11495">
        <v>22825965</v>
      </c>
      <c r="J11495">
        <v>3</v>
      </c>
    </row>
    <row r="11496" spans="1:10" x14ac:dyDescent="0.25">
      <c r="A11496" t="s">
        <v>1604</v>
      </c>
      <c r="B11496" s="1" t="str">
        <f>HYPERLINK("http://qeiicc.co.uk","qeiicc.co.uk")</f>
        <v>qeiicc.co.uk</v>
      </c>
      <c r="C11496" t="s">
        <v>506</v>
      </c>
      <c r="D11496" t="s">
        <v>880</v>
      </c>
      <c r="F11496">
        <v>2.4510326068464999E-8</v>
      </c>
      <c r="G11496">
        <v>2113662</v>
      </c>
      <c r="H11496">
        <v>14173226</v>
      </c>
      <c r="I11496">
        <v>1796603</v>
      </c>
      <c r="J11496">
        <v>3</v>
      </c>
    </row>
    <row r="11497" spans="1:10" x14ac:dyDescent="0.25">
      <c r="A11497" t="s">
        <v>1604</v>
      </c>
      <c r="B11497" s="1" t="str">
        <f>HYPERLINK("http://stepgatesschool.co.uk","stepgatesschool.co.uk")</f>
        <v>stepgatesschool.co.uk</v>
      </c>
      <c r="C11497" t="s">
        <v>506</v>
      </c>
      <c r="D11497" t="s">
        <v>880</v>
      </c>
      <c r="F11497">
        <v>5.7099073982747699E-9</v>
      </c>
      <c r="G11497">
        <v>18839144</v>
      </c>
      <c r="H11497">
        <v>13068893</v>
      </c>
      <c r="I11497">
        <v>12257563</v>
      </c>
      <c r="J11497">
        <v>3</v>
      </c>
    </row>
    <row r="11498" spans="1:10" x14ac:dyDescent="0.25">
      <c r="A11498" t="s">
        <v>1604</v>
      </c>
      <c r="B11498" s="1" t="str">
        <f>HYPERLINK("http://eurestservices.us","eurestservices.us")</f>
        <v>eurestservices.us</v>
      </c>
      <c r="C11498" t="s">
        <v>522</v>
      </c>
      <c r="D11498" t="s">
        <v>891</v>
      </c>
      <c r="F11498">
        <v>1.1588837683236E-8</v>
      </c>
      <c r="G11498">
        <v>5441464</v>
      </c>
      <c r="H11498">
        <v>13764212</v>
      </c>
      <c r="I11498">
        <v>7335153</v>
      </c>
      <c r="J11498">
        <v>3</v>
      </c>
    </row>
    <row r="11499" spans="1:10" x14ac:dyDescent="0.25">
      <c r="A11499" t="s">
        <v>118</v>
      </c>
      <c r="B11499" s="1" t="str">
        <f>HYPERLINK("http://conocophillips.com.au","conocophillips.com.au")</f>
        <v>conocophillips.com.au</v>
      </c>
      <c r="C11499" t="s">
        <v>420</v>
      </c>
      <c r="D11499" t="s">
        <v>802</v>
      </c>
      <c r="F11499">
        <v>4.39363660434973E-8</v>
      </c>
      <c r="G11499">
        <v>1083761</v>
      </c>
      <c r="H11499">
        <v>14005109</v>
      </c>
      <c r="I11499">
        <v>4006991</v>
      </c>
      <c r="J11499">
        <v>2</v>
      </c>
    </row>
    <row r="11500" spans="1:10" x14ac:dyDescent="0.25">
      <c r="A11500" t="s">
        <v>118</v>
      </c>
      <c r="B11500" s="1" t="str">
        <f>HYPERLINK("http://conocophillips.ca","conocophillips.ca")</f>
        <v>conocophillips.ca</v>
      </c>
      <c r="C11500" t="s">
        <v>428</v>
      </c>
      <c r="D11500" t="s">
        <v>809</v>
      </c>
      <c r="F11500">
        <v>6.9191348760544298E-8</v>
      </c>
      <c r="G11500">
        <v>613979</v>
      </c>
      <c r="H11500">
        <v>14587092</v>
      </c>
      <c r="I11500">
        <v>699539</v>
      </c>
      <c r="J11500">
        <v>2</v>
      </c>
    </row>
    <row r="11501" spans="1:10" x14ac:dyDescent="0.25">
      <c r="A11501" t="s">
        <v>118</v>
      </c>
      <c r="B11501" s="1" t="str">
        <f>HYPERLINK("http://conocophillips.com.cn","conocophillips.com.cn")</f>
        <v>conocophillips.com.cn</v>
      </c>
      <c r="C11501" t="s">
        <v>431</v>
      </c>
      <c r="D11501" t="s">
        <v>812</v>
      </c>
      <c r="F11501">
        <v>3.5548496532247897E-8</v>
      </c>
      <c r="G11501">
        <v>1464561</v>
      </c>
      <c r="H11501">
        <v>13789234</v>
      </c>
      <c r="I11501">
        <v>6357086</v>
      </c>
      <c r="J11501">
        <v>3</v>
      </c>
    </row>
    <row r="11502" spans="1:10" x14ac:dyDescent="0.25">
      <c r="A11502" t="s">
        <v>118</v>
      </c>
      <c r="B11502" s="1" t="str">
        <f>HYPERLINK("http://conocophillips.com.co","conocophillips.com.co")</f>
        <v>conocophillips.com.co</v>
      </c>
      <c r="C11502" t="s">
        <v>432</v>
      </c>
      <c r="F11502">
        <v>3.2587425216936201E-8</v>
      </c>
      <c r="G11502">
        <v>1585627</v>
      </c>
      <c r="H11502">
        <v>12862038</v>
      </c>
      <c r="I11502">
        <v>14189324</v>
      </c>
      <c r="J11502">
        <v>3</v>
      </c>
    </row>
    <row r="11503" spans="1:10" x14ac:dyDescent="0.25">
      <c r="A11503" t="s">
        <v>118</v>
      </c>
      <c r="B11503" s="1" t="str">
        <f>HYPERLINK("http://bursaemlakdunyasi.com","bursaemlakdunyasi.com")</f>
        <v>bursaemlakdunyasi.com</v>
      </c>
      <c r="C11503" t="s">
        <v>433</v>
      </c>
      <c r="F11503">
        <v>4.5941666150531898E-9</v>
      </c>
      <c r="G11503">
        <v>48077292</v>
      </c>
      <c r="H11503">
        <v>12223543</v>
      </c>
      <c r="I11503">
        <v>22693427</v>
      </c>
      <c r="J11503">
        <v>3</v>
      </c>
    </row>
    <row r="11504" spans="1:10" x14ac:dyDescent="0.25">
      <c r="A11504" t="s">
        <v>118</v>
      </c>
      <c r="B11504" s="1" t="str">
        <f>HYPERLINK("http://concho.com","concho.com")</f>
        <v>concho.com</v>
      </c>
      <c r="C11504" t="s">
        <v>433</v>
      </c>
      <c r="F11504">
        <v>3.35479147690852E-8</v>
      </c>
      <c r="G11504">
        <v>1541180</v>
      </c>
      <c r="H11504">
        <v>14093344</v>
      </c>
      <c r="I11504">
        <v>2735883</v>
      </c>
      <c r="J11504">
        <v>3</v>
      </c>
    </row>
    <row r="11505" spans="1:10" x14ac:dyDescent="0.25">
      <c r="A11505" t="s">
        <v>118</v>
      </c>
      <c r="B11505" s="1" t="str">
        <f>HYPERLINK("http://conchoresources.com","conchoresources.com")</f>
        <v>conchoresources.com</v>
      </c>
      <c r="C11505" t="s">
        <v>433</v>
      </c>
      <c r="F11505">
        <v>1.7704165094989601E-8</v>
      </c>
      <c r="G11505">
        <v>3095874</v>
      </c>
      <c r="H11505">
        <v>13972329</v>
      </c>
      <c r="I11505">
        <v>4071096</v>
      </c>
      <c r="J11505">
        <v>6</v>
      </c>
    </row>
    <row r="11506" spans="1:10" x14ac:dyDescent="0.25">
      <c r="A11506" t="s">
        <v>118</v>
      </c>
      <c r="B11506" s="1" t="str">
        <f>HYPERLINK("http://conocophillips.com","conocophillips.com")</f>
        <v>conocophillips.com</v>
      </c>
      <c r="C11506" t="s">
        <v>433</v>
      </c>
      <c r="E11506">
        <v>50635</v>
      </c>
      <c r="F11506">
        <v>8.1586185054947704E-7</v>
      </c>
      <c r="G11506">
        <v>48433</v>
      </c>
      <c r="H11506">
        <v>15302372</v>
      </c>
      <c r="I11506">
        <v>385886</v>
      </c>
      <c r="J11506">
        <v>1</v>
      </c>
    </row>
    <row r="11507" spans="1:10" x14ac:dyDescent="0.25">
      <c r="A11507" t="s">
        <v>118</v>
      </c>
      <c r="B11507" s="1" t="str">
        <f>HYPERLINK("http://conocophillipsclayshoot.com","conocophillipsclayshoot.com")</f>
        <v>conocophillipsclayshoot.com</v>
      </c>
      <c r="C11507" t="s">
        <v>433</v>
      </c>
      <c r="J11507">
        <v>3</v>
      </c>
    </row>
    <row r="11508" spans="1:10" x14ac:dyDescent="0.25">
      <c r="A11508" t="s">
        <v>118</v>
      </c>
      <c r="B11508" s="1" t="str">
        <f>HYPERLINK("http://conocophillipsuslower48.com","conocophillipsuslower48.com")</f>
        <v>conocophillipsuslower48.com</v>
      </c>
      <c r="C11508" t="s">
        <v>433</v>
      </c>
      <c r="F11508">
        <v>5.8486213970020403E-9</v>
      </c>
      <c r="G11508">
        <v>17719485</v>
      </c>
      <c r="H11508">
        <v>12875582</v>
      </c>
      <c r="I11508">
        <v>14029352</v>
      </c>
      <c r="J11508">
        <v>3</v>
      </c>
    </row>
    <row r="11509" spans="1:10" x14ac:dyDescent="0.25">
      <c r="A11509" t="s">
        <v>118</v>
      </c>
      <c r="B11509" s="1" t="str">
        <f>HYPERLINK("http://cop.com","cop.com")</f>
        <v>cop.com</v>
      </c>
      <c r="C11509" t="s">
        <v>433</v>
      </c>
      <c r="E11509">
        <v>117282</v>
      </c>
      <c r="F11509">
        <v>7.2097425170418698E-9</v>
      </c>
      <c r="G11509">
        <v>11714639</v>
      </c>
      <c r="H11509">
        <v>14128335</v>
      </c>
      <c r="I11509">
        <v>2063666</v>
      </c>
      <c r="J11509">
        <v>3</v>
      </c>
    </row>
    <row r="11510" spans="1:10" x14ac:dyDescent="0.25">
      <c r="A11510" t="s">
        <v>118</v>
      </c>
      <c r="B11510" s="1" t="str">
        <f>HYPERLINK("http://ddcwp.com","ddcwp.com")</f>
        <v>ddcwp.com</v>
      </c>
      <c r="C11510" t="s">
        <v>433</v>
      </c>
      <c r="F11510">
        <v>6.1331462410867398E-9</v>
      </c>
      <c r="G11510">
        <v>15901753</v>
      </c>
      <c r="H11510">
        <v>10418240</v>
      </c>
      <c r="I11510">
        <v>53962057</v>
      </c>
      <c r="J11510">
        <v>3</v>
      </c>
    </row>
    <row r="11511" spans="1:10" x14ac:dyDescent="0.25">
      <c r="A11511" t="s">
        <v>118</v>
      </c>
      <c r="B11511" s="1" t="str">
        <f>HYPERLINK("http://econocophillips.com","econocophillips.com")</f>
        <v>econocophillips.com</v>
      </c>
      <c r="C11511" t="s">
        <v>433</v>
      </c>
      <c r="F11511">
        <v>4.4651288260689398E-9</v>
      </c>
      <c r="G11511">
        <v>66228616</v>
      </c>
      <c r="H11511">
        <v>12077865</v>
      </c>
      <c r="I11511">
        <v>26609693</v>
      </c>
      <c r="J11511">
        <v>3</v>
      </c>
    </row>
    <row r="11512" spans="1:10" x14ac:dyDescent="0.25">
      <c r="A11512" t="s">
        <v>118</v>
      </c>
      <c r="B11512" s="1" t="str">
        <f>HYPERLINK("http://powerincooperation.com","powerincooperation.com")</f>
        <v>powerincooperation.com</v>
      </c>
      <c r="C11512" t="s">
        <v>433</v>
      </c>
      <c r="F11512">
        <v>1.08917551785499E-8</v>
      </c>
      <c r="G11512">
        <v>5948711</v>
      </c>
      <c r="H11512">
        <v>13799526</v>
      </c>
      <c r="I11512">
        <v>6285194</v>
      </c>
      <c r="J11512">
        <v>3</v>
      </c>
    </row>
    <row r="11513" spans="1:10" x14ac:dyDescent="0.25">
      <c r="A11513" t="s">
        <v>118</v>
      </c>
      <c r="B11513" s="1" t="str">
        <f>HYPERLINK("http://conocophillips.fi","conocophillips.fi")</f>
        <v>conocophillips.fi</v>
      </c>
      <c r="C11513" t="s">
        <v>445</v>
      </c>
      <c r="D11513" t="s">
        <v>823</v>
      </c>
      <c r="J11513">
        <v>6</v>
      </c>
    </row>
    <row r="11514" spans="1:10" x14ac:dyDescent="0.25">
      <c r="A11514" t="s">
        <v>118</v>
      </c>
      <c r="B11514" s="1" t="str">
        <f>HYPERLINK("http://econocophillips.mobi","econocophillips.mobi")</f>
        <v>econocophillips.mobi</v>
      </c>
      <c r="C11514" t="s">
        <v>532</v>
      </c>
      <c r="F11514">
        <v>4.64729131679246E-9</v>
      </c>
      <c r="G11514">
        <v>44307935</v>
      </c>
      <c r="H11514">
        <v>10343780</v>
      </c>
      <c r="I11514">
        <v>57716239</v>
      </c>
      <c r="J11514">
        <v>3</v>
      </c>
    </row>
    <row r="11515" spans="1:10" x14ac:dyDescent="0.25">
      <c r="A11515" t="s">
        <v>118</v>
      </c>
      <c r="B11515" s="1" t="str">
        <f>HYPERLINK("http://conocophillips.com.my","conocophillips.com.my")</f>
        <v>conocophillips.com.my</v>
      </c>
      <c r="C11515" t="s">
        <v>472</v>
      </c>
      <c r="D11515" t="s">
        <v>848</v>
      </c>
      <c r="J11515">
        <v>3</v>
      </c>
    </row>
    <row r="11516" spans="1:10" x14ac:dyDescent="0.25">
      <c r="A11516" t="s">
        <v>118</v>
      </c>
      <c r="B11516" s="1" t="str">
        <f>HYPERLINK("http://conocophillips.no","conocophillips.no")</f>
        <v>conocophillips.no</v>
      </c>
      <c r="C11516" t="s">
        <v>478</v>
      </c>
      <c r="D11516" t="s">
        <v>853</v>
      </c>
      <c r="F11516">
        <v>5.3644424273587298E-8</v>
      </c>
      <c r="G11516">
        <v>847678</v>
      </c>
      <c r="H11516">
        <v>14491667</v>
      </c>
      <c r="I11516">
        <v>901095</v>
      </c>
      <c r="J11516">
        <v>2</v>
      </c>
    </row>
    <row r="11517" spans="1:10" x14ac:dyDescent="0.25">
      <c r="A11517" t="s">
        <v>118</v>
      </c>
      <c r="B11517" s="1" t="str">
        <f>HYPERLINK("http://conocophillips.qa","conocophillips.qa")</f>
        <v>conocophillips.qa</v>
      </c>
      <c r="C11517" t="s">
        <v>490</v>
      </c>
      <c r="D11517" t="s">
        <v>864</v>
      </c>
      <c r="F11517">
        <v>3.5049558871976801E-8</v>
      </c>
      <c r="G11517">
        <v>1482499</v>
      </c>
      <c r="H11517">
        <v>13183625</v>
      </c>
      <c r="I11517">
        <v>11674444</v>
      </c>
      <c r="J11517">
        <v>3</v>
      </c>
    </row>
    <row r="11518" spans="1:10" x14ac:dyDescent="0.25">
      <c r="A11518" t="s">
        <v>118</v>
      </c>
      <c r="B11518" s="1" t="str">
        <f>HYPERLINK("http://conocophillips.co.uk","conocophillips.co.uk")</f>
        <v>conocophillips.co.uk</v>
      </c>
      <c r="C11518" t="s">
        <v>506</v>
      </c>
      <c r="D11518" t="s">
        <v>880</v>
      </c>
      <c r="F11518">
        <v>5.09591106669525E-8</v>
      </c>
      <c r="G11518">
        <v>899757</v>
      </c>
      <c r="H11518">
        <v>13789658</v>
      </c>
      <c r="I11518">
        <v>6353593</v>
      </c>
      <c r="J11518">
        <v>2</v>
      </c>
    </row>
    <row r="11519" spans="1:10" x14ac:dyDescent="0.25">
      <c r="A11519" t="s">
        <v>1605</v>
      </c>
      <c r="B11519" s="1" t="str">
        <f>HYPERLINK("http://coned.com","coned.com")</f>
        <v>coned.com</v>
      </c>
      <c r="C11519" t="s">
        <v>433</v>
      </c>
      <c r="E11519">
        <v>30466</v>
      </c>
      <c r="F11519">
        <v>9.6676801312076393E-7</v>
      </c>
      <c r="G11519">
        <v>39577</v>
      </c>
      <c r="H11519">
        <v>17383594</v>
      </c>
      <c r="I11519">
        <v>20380</v>
      </c>
      <c r="J11519">
        <v>2</v>
      </c>
    </row>
    <row r="11520" spans="1:10" x14ac:dyDescent="0.25">
      <c r="A11520" t="s">
        <v>1605</v>
      </c>
      <c r="B11520" s="1" t="str">
        <f>HYPERLINK("http://conedceb.com","conedceb.com")</f>
        <v>conedceb.com</v>
      </c>
      <c r="C11520" t="s">
        <v>433</v>
      </c>
      <c r="F11520">
        <v>1.03364363613886E-8</v>
      </c>
      <c r="G11520">
        <v>6416934</v>
      </c>
      <c r="H11520">
        <v>13173326</v>
      </c>
      <c r="I11520">
        <v>11713841</v>
      </c>
      <c r="J11520">
        <v>6</v>
      </c>
    </row>
    <row r="11521" spans="1:10" x14ac:dyDescent="0.25">
      <c r="A11521" t="s">
        <v>1605</v>
      </c>
      <c r="B11521" s="1" t="str">
        <f>HYPERLINK("http://coneddev.com","coneddev.com")</f>
        <v>coneddev.com</v>
      </c>
      <c r="C11521" t="s">
        <v>433</v>
      </c>
      <c r="F11521">
        <v>1.4830738143659501E-8</v>
      </c>
      <c r="G11521">
        <v>3896654</v>
      </c>
      <c r="H11521">
        <v>13155692</v>
      </c>
      <c r="I11521">
        <v>11803197</v>
      </c>
      <c r="J11521">
        <v>3</v>
      </c>
    </row>
    <row r="11522" spans="1:10" x14ac:dyDescent="0.25">
      <c r="A11522" t="s">
        <v>1605</v>
      </c>
      <c r="B11522" s="1" t="str">
        <f>HYPERLINK("http://conedison.com","conedison.com")</f>
        <v>conedison.com</v>
      </c>
      <c r="C11522" t="s">
        <v>433</v>
      </c>
      <c r="E11522">
        <v>500633</v>
      </c>
      <c r="F11522">
        <v>1.9681734868549601E-7</v>
      </c>
      <c r="G11522">
        <v>195928</v>
      </c>
      <c r="H11522">
        <v>15144657</v>
      </c>
      <c r="I11522">
        <v>400737</v>
      </c>
      <c r="J11522">
        <v>1</v>
      </c>
    </row>
    <row r="11523" spans="1:10" x14ac:dyDescent="0.25">
      <c r="A11523" t="s">
        <v>1605</v>
      </c>
      <c r="B11523" s="1" t="str">
        <f>HYPERLINK("http://conedsolutions.com","conedsolutions.com")</f>
        <v>conedsolutions.com</v>
      </c>
      <c r="C11523" t="s">
        <v>433</v>
      </c>
      <c r="F11523">
        <v>3.3440762947065598E-8</v>
      </c>
      <c r="G11523">
        <v>1545780</v>
      </c>
      <c r="H11523">
        <v>13837905</v>
      </c>
      <c r="I11523">
        <v>6080503</v>
      </c>
      <c r="J11523">
        <v>3</v>
      </c>
    </row>
    <row r="11524" spans="1:10" x14ac:dyDescent="0.25">
      <c r="A11524" t="s">
        <v>1605</v>
      </c>
      <c r="B11524" s="1" t="str">
        <f>HYPERLINK("http://oru.com","oru.com")</f>
        <v>oru.com</v>
      </c>
      <c r="C11524" t="s">
        <v>433</v>
      </c>
      <c r="E11524">
        <v>293326</v>
      </c>
      <c r="F11524">
        <v>1.5020409185128E-7</v>
      </c>
      <c r="G11524">
        <v>258662</v>
      </c>
      <c r="H11524">
        <v>14259701</v>
      </c>
      <c r="I11524">
        <v>1421229</v>
      </c>
      <c r="J11524">
        <v>3</v>
      </c>
    </row>
    <row r="11525" spans="1:10" x14ac:dyDescent="0.25">
      <c r="A11525" t="s">
        <v>119</v>
      </c>
      <c r="B11525" s="1" t="str">
        <f>HYPERLINK("http://casanoble.com","casanoble.com")</f>
        <v>casanoble.com</v>
      </c>
      <c r="C11525" t="s">
        <v>433</v>
      </c>
      <c r="F11525">
        <v>5.4003604477389097E-8</v>
      </c>
      <c r="G11525">
        <v>838815</v>
      </c>
      <c r="H11525">
        <v>14532331</v>
      </c>
      <c r="I11525">
        <v>784546</v>
      </c>
      <c r="J11525">
        <v>4</v>
      </c>
    </row>
    <row r="11526" spans="1:10" x14ac:dyDescent="0.25">
      <c r="A11526" t="s">
        <v>119</v>
      </c>
      <c r="B11526" s="1" t="str">
        <f>HYPERLINK("http://cbrands.com","cbrands.com")</f>
        <v>cbrands.com</v>
      </c>
      <c r="C11526" t="s">
        <v>433</v>
      </c>
      <c r="E11526">
        <v>60506</v>
      </c>
      <c r="F11526">
        <v>6.0262301985481096E-7</v>
      </c>
      <c r="G11526">
        <v>63465</v>
      </c>
      <c r="H11526">
        <v>14647250</v>
      </c>
      <c r="I11526">
        <v>631630</v>
      </c>
      <c r="J11526">
        <v>1</v>
      </c>
    </row>
    <row r="11527" spans="1:10" x14ac:dyDescent="0.25">
      <c r="A11527" t="s">
        <v>119</v>
      </c>
      <c r="B11527" s="1" t="str">
        <f>HYPERLINK("http://constellationnz.com","constellationnz.com")</f>
        <v>constellationnz.com</v>
      </c>
      <c r="C11527" t="s">
        <v>433</v>
      </c>
      <c r="F11527">
        <v>9.6548056664694004E-9</v>
      </c>
      <c r="G11527">
        <v>7134487</v>
      </c>
      <c r="H11527">
        <v>12311837</v>
      </c>
      <c r="I11527">
        <v>20582292</v>
      </c>
      <c r="J11527">
        <v>3</v>
      </c>
    </row>
    <row r="11528" spans="1:10" x14ac:dyDescent="0.25">
      <c r="A11528" t="s">
        <v>119</v>
      </c>
      <c r="B11528" s="1" t="str">
        <f>HYPERLINK("http://copperandkings.com","copperandkings.com")</f>
        <v>copperandkings.com</v>
      </c>
      <c r="C11528" t="s">
        <v>433</v>
      </c>
      <c r="F11528">
        <v>4.9057147093022698E-8</v>
      </c>
      <c r="G11528">
        <v>944068</v>
      </c>
      <c r="H11528">
        <v>14237283</v>
      </c>
      <c r="I11528">
        <v>1554973</v>
      </c>
      <c r="J11528">
        <v>3</v>
      </c>
    </row>
    <row r="11529" spans="1:10" x14ac:dyDescent="0.25">
      <c r="A11529" t="s">
        <v>119</v>
      </c>
      <c r="B11529" s="1" t="str">
        <f>HYPERLINK("http://crownimportsllc.com","crownimportsllc.com")</f>
        <v>crownimportsllc.com</v>
      </c>
      <c r="C11529" t="s">
        <v>433</v>
      </c>
      <c r="F11529">
        <v>2.94588010515729E-8</v>
      </c>
      <c r="G11529">
        <v>1749527</v>
      </c>
      <c r="H11529">
        <v>14557564</v>
      </c>
      <c r="I11529">
        <v>749733</v>
      </c>
      <c r="J11529">
        <v>3</v>
      </c>
    </row>
    <row r="11530" spans="1:10" x14ac:dyDescent="0.25">
      <c r="A11530" t="s">
        <v>119</v>
      </c>
      <c r="B11530" s="1" t="str">
        <f>HYPERLINK("http://empathywines.com","empathywines.com")</f>
        <v>empathywines.com</v>
      </c>
      <c r="C11530" t="s">
        <v>433</v>
      </c>
      <c r="F11530">
        <v>1.5703341892596401E-7</v>
      </c>
      <c r="G11530">
        <v>247298</v>
      </c>
      <c r="H11530">
        <v>16798222</v>
      </c>
      <c r="I11530">
        <v>208242</v>
      </c>
      <c r="J11530">
        <v>3</v>
      </c>
    </row>
    <row r="11531" spans="1:10" x14ac:dyDescent="0.25">
      <c r="A11531" t="s">
        <v>119</v>
      </c>
      <c r="B11531" s="1" t="str">
        <f>HYPERLINK("http://fcbrewing.com","fcbrewing.com")</f>
        <v>fcbrewing.com</v>
      </c>
      <c r="C11531" t="s">
        <v>433</v>
      </c>
      <c r="F11531">
        <v>3.5022700402750203E-8</v>
      </c>
      <c r="G11531">
        <v>1483473</v>
      </c>
      <c r="H11531">
        <v>14161213</v>
      </c>
      <c r="I11531">
        <v>1836188</v>
      </c>
      <c r="J11531">
        <v>3</v>
      </c>
    </row>
    <row r="11532" spans="1:10" x14ac:dyDescent="0.25">
      <c r="A11532" t="s">
        <v>119</v>
      </c>
      <c r="B11532" s="1" t="str">
        <f>HYPERLINK("http://franciscan.com","franciscan.com")</f>
        <v>franciscan.com</v>
      </c>
      <c r="C11532" t="s">
        <v>433</v>
      </c>
      <c r="F11532">
        <v>2.7133304561742E-8</v>
      </c>
      <c r="G11532">
        <v>1895304</v>
      </c>
      <c r="H11532">
        <v>14189531</v>
      </c>
      <c r="I11532">
        <v>1762383</v>
      </c>
      <c r="J11532">
        <v>3</v>
      </c>
    </row>
    <row r="11533" spans="1:10" x14ac:dyDescent="0.25">
      <c r="A11533" t="s">
        <v>119</v>
      </c>
      <c r="B11533" s="1" t="str">
        <f>HYPERLINK("http://funkybuddhabrewery.com","funkybuddhabrewery.com")</f>
        <v>funkybuddhabrewery.com</v>
      </c>
      <c r="C11533" t="s">
        <v>433</v>
      </c>
      <c r="E11533">
        <v>764716</v>
      </c>
      <c r="F11533">
        <v>1.17633602439651E-7</v>
      </c>
      <c r="G11533">
        <v>337717</v>
      </c>
      <c r="H11533">
        <v>14318857</v>
      </c>
      <c r="I11533">
        <v>1333013</v>
      </c>
      <c r="J11533">
        <v>3</v>
      </c>
    </row>
    <row r="11534" spans="1:10" x14ac:dyDescent="0.25">
      <c r="A11534" t="s">
        <v>119</v>
      </c>
      <c r="B11534" s="1" t="str">
        <f>HYPERLINK("http://greenbrierdistillery.com","greenbrierdistillery.com")</f>
        <v>greenbrierdistillery.com</v>
      </c>
      <c r="C11534" t="s">
        <v>433</v>
      </c>
      <c r="E11534">
        <v>965900</v>
      </c>
      <c r="F11534">
        <v>8.00379367277339E-8</v>
      </c>
      <c r="G11534">
        <v>521893</v>
      </c>
      <c r="H11534">
        <v>14624359</v>
      </c>
      <c r="I11534">
        <v>652474</v>
      </c>
      <c r="J11534">
        <v>3</v>
      </c>
    </row>
    <row r="11535" spans="1:10" x14ac:dyDescent="0.25">
      <c r="A11535" t="s">
        <v>119</v>
      </c>
      <c r="B11535" s="1" t="str">
        <f>HYPERLINK("http://highwest.com","highwest.com")</f>
        <v>highwest.com</v>
      </c>
      <c r="C11535" t="s">
        <v>433</v>
      </c>
      <c r="E11535">
        <v>252123</v>
      </c>
      <c r="F11535">
        <v>2.8650549531558601E-7</v>
      </c>
      <c r="G11535">
        <v>129747</v>
      </c>
      <c r="H11535">
        <v>17087894</v>
      </c>
      <c r="I11535">
        <v>66435</v>
      </c>
      <c r="J11535">
        <v>3</v>
      </c>
    </row>
    <row r="11536" spans="1:10" x14ac:dyDescent="0.25">
      <c r="A11536" t="s">
        <v>119</v>
      </c>
      <c r="B11536" s="1" t="str">
        <f>HYPERLINK("http://cbrands.mx","cbrands.mx")</f>
        <v>cbrands.mx</v>
      </c>
      <c r="C11536" t="s">
        <v>471</v>
      </c>
      <c r="D11536" t="s">
        <v>847</v>
      </c>
      <c r="F11536">
        <v>9.8546421939902993E-9</v>
      </c>
      <c r="G11536">
        <v>6908978</v>
      </c>
      <c r="H11536">
        <v>12323845</v>
      </c>
      <c r="I11536">
        <v>20343952</v>
      </c>
      <c r="J11536">
        <v>3</v>
      </c>
    </row>
    <row r="11537" spans="1:10" x14ac:dyDescent="0.25">
      <c r="A11537" t="s">
        <v>1606</v>
      </c>
      <c r="B11537" s="1" t="str">
        <f>HYPERLINK("http://trapezegroup.ae","trapezegroup.ae")</f>
        <v>trapezegroup.ae</v>
      </c>
      <c r="C11537" t="s">
        <v>417</v>
      </c>
      <c r="D11537" t="s">
        <v>799</v>
      </c>
      <c r="J11537">
        <v>5</v>
      </c>
    </row>
    <row r="11538" spans="1:10" x14ac:dyDescent="0.25">
      <c r="A11538" t="s">
        <v>1606</v>
      </c>
      <c r="B11538" s="1" t="str">
        <f>HYPERLINK("http://motiondata.at","motiondata.at")</f>
        <v>motiondata.at</v>
      </c>
      <c r="C11538" t="s">
        <v>419</v>
      </c>
      <c r="D11538" t="s">
        <v>801</v>
      </c>
      <c r="F11538">
        <v>2.0986376009686799E-8</v>
      </c>
      <c r="G11538">
        <v>2517604</v>
      </c>
      <c r="H11538">
        <v>12376244</v>
      </c>
      <c r="I11538">
        <v>19287174</v>
      </c>
      <c r="J11538">
        <v>5</v>
      </c>
    </row>
    <row r="11539" spans="1:10" x14ac:dyDescent="0.25">
      <c r="A11539" t="s">
        <v>1606</v>
      </c>
      <c r="B11539" s="1" t="str">
        <f>HYPERLINK("http://vector.at","vector.at")</f>
        <v>vector.at</v>
      </c>
      <c r="C11539" t="s">
        <v>419</v>
      </c>
      <c r="D11539" t="s">
        <v>801</v>
      </c>
      <c r="F11539">
        <v>1.13167065597149E-8</v>
      </c>
      <c r="G11539">
        <v>5631064</v>
      </c>
      <c r="H11539">
        <v>12643484</v>
      </c>
      <c r="I11539">
        <v>15845111</v>
      </c>
      <c r="J11539">
        <v>6</v>
      </c>
    </row>
    <row r="11540" spans="1:10" x14ac:dyDescent="0.25">
      <c r="A11540" t="s">
        <v>1606</v>
      </c>
      <c r="B11540" s="1" t="str">
        <f>HYPERLINK("http://acquire.com.au","acquire.com.au")</f>
        <v>acquire.com.au</v>
      </c>
      <c r="C11540" t="s">
        <v>420</v>
      </c>
      <c r="D11540" t="s">
        <v>802</v>
      </c>
      <c r="F11540">
        <v>2.1950394064254002E-8</v>
      </c>
      <c r="G11540">
        <v>2392117</v>
      </c>
      <c r="H11540">
        <v>13810114</v>
      </c>
      <c r="I11540">
        <v>6213050</v>
      </c>
      <c r="J11540">
        <v>3</v>
      </c>
    </row>
    <row r="11541" spans="1:10" x14ac:dyDescent="0.25">
      <c r="A11541" t="s">
        <v>1606</v>
      </c>
      <c r="B11541" s="1" t="str">
        <f>HYPERLINK("http://kestral.com.au","kestral.com.au")</f>
        <v>kestral.com.au</v>
      </c>
      <c r="C11541" t="s">
        <v>420</v>
      </c>
      <c r="D11541" t="s">
        <v>802</v>
      </c>
      <c r="F11541">
        <v>1.62064490166551E-8</v>
      </c>
      <c r="G11541">
        <v>3493794</v>
      </c>
      <c r="H11541">
        <v>13252404</v>
      </c>
      <c r="I11541">
        <v>11071864</v>
      </c>
      <c r="J11541">
        <v>3</v>
      </c>
    </row>
    <row r="11542" spans="1:10" x14ac:dyDescent="0.25">
      <c r="A11542" t="s">
        <v>1606</v>
      </c>
      <c r="B11542" s="1" t="str">
        <f>HYPERLINK("http://markinson.com.au","markinson.com.au")</f>
        <v>markinson.com.au</v>
      </c>
      <c r="C11542" t="s">
        <v>420</v>
      </c>
      <c r="D11542" t="s">
        <v>802</v>
      </c>
      <c r="F11542">
        <v>1.1080539806381899E-8</v>
      </c>
      <c r="G11542">
        <v>5799804</v>
      </c>
      <c r="H11542">
        <v>12474525</v>
      </c>
      <c r="I11542">
        <v>17650375</v>
      </c>
      <c r="J11542">
        <v>3</v>
      </c>
    </row>
    <row r="11543" spans="1:10" x14ac:dyDescent="0.25">
      <c r="A11543" t="s">
        <v>1606</v>
      </c>
      <c r="B11543" s="1" t="str">
        <f>HYPERLINK("http://petrosys.com.au","petrosys.com.au")</f>
        <v>petrosys.com.au</v>
      </c>
      <c r="C11543" t="s">
        <v>420</v>
      </c>
      <c r="D11543" t="s">
        <v>802</v>
      </c>
      <c r="F11543">
        <v>5.3730097250617097E-8</v>
      </c>
      <c r="G11543">
        <v>846189</v>
      </c>
      <c r="H11543">
        <v>13570085</v>
      </c>
      <c r="I11543">
        <v>9726558</v>
      </c>
      <c r="J11543">
        <v>3</v>
      </c>
    </row>
    <row r="11544" spans="1:10" x14ac:dyDescent="0.25">
      <c r="A11544" t="s">
        <v>1606</v>
      </c>
      <c r="B11544" s="1" t="str">
        <f>HYPERLINK("http://trapezegroup.com.au","trapezegroup.com.au")</f>
        <v>trapezegroup.com.au</v>
      </c>
      <c r="C11544" t="s">
        <v>420</v>
      </c>
      <c r="D11544" t="s">
        <v>802</v>
      </c>
      <c r="F11544">
        <v>1.6867046126943401E-8</v>
      </c>
      <c r="G11544">
        <v>3317265</v>
      </c>
      <c r="H11544">
        <v>13939634</v>
      </c>
      <c r="I11544">
        <v>4387751</v>
      </c>
      <c r="J11544">
        <v>4</v>
      </c>
    </row>
    <row r="11545" spans="1:10" x14ac:dyDescent="0.25">
      <c r="A11545" t="s">
        <v>1606</v>
      </c>
      <c r="B11545" s="1" t="str">
        <f>HYPERLINK("http://velasoftwaregroup.com.au","velasoftwaregroup.com.au")</f>
        <v>velasoftwaregroup.com.au</v>
      </c>
      <c r="C11545" t="s">
        <v>420</v>
      </c>
      <c r="D11545" t="s">
        <v>802</v>
      </c>
      <c r="F11545">
        <v>8.1958683239416597E-9</v>
      </c>
      <c r="G11545">
        <v>9577942</v>
      </c>
      <c r="H11545">
        <v>11918106</v>
      </c>
      <c r="I11545">
        <v>29383955</v>
      </c>
      <c r="J11545">
        <v>4</v>
      </c>
    </row>
    <row r="11546" spans="1:10" x14ac:dyDescent="0.25">
      <c r="A11546" t="s">
        <v>1606</v>
      </c>
      <c r="B11546" s="1" t="str">
        <f>HYPERLINK("http://halcom.ba","halcom.ba")</f>
        <v>halcom.ba</v>
      </c>
      <c r="C11546" t="s">
        <v>526</v>
      </c>
      <c r="D11546" t="s">
        <v>893</v>
      </c>
      <c r="F11546">
        <v>8.7991972959826501E-9</v>
      </c>
      <c r="G11546">
        <v>8311445</v>
      </c>
      <c r="H11546">
        <v>12160833</v>
      </c>
      <c r="I11546">
        <v>24340923</v>
      </c>
      <c r="J11546">
        <v>7</v>
      </c>
    </row>
    <row r="11547" spans="1:10" x14ac:dyDescent="0.25">
      <c r="A11547" t="s">
        <v>1606</v>
      </c>
      <c r="B11547" s="1" t="str">
        <f>HYPERLINK("http://in2.ba","in2.ba")</f>
        <v>in2.ba</v>
      </c>
      <c r="C11547" t="s">
        <v>526</v>
      </c>
      <c r="D11547" t="s">
        <v>893</v>
      </c>
      <c r="F11547">
        <v>5.5663425418263198E-9</v>
      </c>
      <c r="G11547">
        <v>20213272</v>
      </c>
      <c r="H11547">
        <v>10673167</v>
      </c>
      <c r="I11547">
        <v>42895621</v>
      </c>
      <c r="J11547">
        <v>5</v>
      </c>
    </row>
    <row r="11548" spans="1:10" x14ac:dyDescent="0.25">
      <c r="A11548" t="s">
        <v>1606</v>
      </c>
      <c r="B11548" s="1" t="str">
        <f>HYPERLINK("http://globaloutsource.biz","globaloutsource.biz")</f>
        <v>globaloutsource.biz</v>
      </c>
      <c r="C11548" t="s">
        <v>423</v>
      </c>
      <c r="F11548">
        <v>5.26565089201286E-9</v>
      </c>
      <c r="G11548">
        <v>24017990</v>
      </c>
      <c r="H11548">
        <v>10205731</v>
      </c>
      <c r="I11548">
        <v>59000343</v>
      </c>
      <c r="J11548">
        <v>3</v>
      </c>
    </row>
    <row r="11549" spans="1:10" x14ac:dyDescent="0.25">
      <c r="A11549" t="s">
        <v>1606</v>
      </c>
      <c r="B11549" s="1" t="str">
        <f>HYPERLINK("http://apdata.com.br","apdata.com.br")</f>
        <v>apdata.com.br</v>
      </c>
      <c r="C11549" t="s">
        <v>425</v>
      </c>
      <c r="D11549" t="s">
        <v>806</v>
      </c>
      <c r="E11549">
        <v>268720</v>
      </c>
      <c r="F11549">
        <v>8.1168704449529096E-9</v>
      </c>
      <c r="G11549">
        <v>9712521</v>
      </c>
      <c r="H11549">
        <v>12390992</v>
      </c>
      <c r="I11549">
        <v>19016396</v>
      </c>
      <c r="J11549">
        <v>4</v>
      </c>
    </row>
    <row r="11550" spans="1:10" x14ac:dyDescent="0.25">
      <c r="A11550" t="s">
        <v>1606</v>
      </c>
      <c r="B11550" s="1" t="str">
        <f>HYPERLINK("http://aurum.com.br","aurum.com.br")</f>
        <v>aurum.com.br</v>
      </c>
      <c r="C11550" t="s">
        <v>425</v>
      </c>
      <c r="D11550" t="s">
        <v>806</v>
      </c>
      <c r="E11550">
        <v>374779</v>
      </c>
      <c r="F11550">
        <v>2.5679380703271001E-8</v>
      </c>
      <c r="G11550">
        <v>2007835</v>
      </c>
      <c r="H11550">
        <v>13136815</v>
      </c>
      <c r="I11550">
        <v>11900608</v>
      </c>
      <c r="J11550">
        <v>3</v>
      </c>
    </row>
    <row r="11551" spans="1:10" x14ac:dyDescent="0.25">
      <c r="A11551" t="s">
        <v>1606</v>
      </c>
      <c r="B11551" s="1" t="str">
        <f>HYPERLINK("http://dealernet.com.br","dealernet.com.br")</f>
        <v>dealernet.com.br</v>
      </c>
      <c r="C11551" t="s">
        <v>425</v>
      </c>
      <c r="D11551" t="s">
        <v>806</v>
      </c>
      <c r="F11551">
        <v>6.5969650298068304E-9</v>
      </c>
      <c r="G11551">
        <v>13688688</v>
      </c>
      <c r="H11551">
        <v>12647410</v>
      </c>
      <c r="I11551">
        <v>15818353</v>
      </c>
      <c r="J11551">
        <v>3</v>
      </c>
    </row>
    <row r="11552" spans="1:10" x14ac:dyDescent="0.25">
      <c r="A11552" t="s">
        <v>1606</v>
      </c>
      <c r="B11552" s="1" t="str">
        <f>HYPERLINK("http://kurier.com.br","kurier.com.br")</f>
        <v>kurier.com.br</v>
      </c>
      <c r="C11552" t="s">
        <v>425</v>
      </c>
      <c r="D11552" t="s">
        <v>806</v>
      </c>
      <c r="F11552">
        <v>5.1041086614493101E-9</v>
      </c>
      <c r="G11552">
        <v>26969458</v>
      </c>
      <c r="H11552">
        <v>10997144</v>
      </c>
      <c r="I11552">
        <v>33629114</v>
      </c>
      <c r="J11552">
        <v>3</v>
      </c>
    </row>
    <row r="11553" spans="1:10" x14ac:dyDescent="0.25">
      <c r="A11553" t="s">
        <v>1606</v>
      </c>
      <c r="B11553" s="1" t="str">
        <f>HYPERLINK("http://kuriertecnologia.com.br","kuriertecnologia.com.br")</f>
        <v>kuriertecnologia.com.br</v>
      </c>
      <c r="C11553" t="s">
        <v>425</v>
      </c>
      <c r="D11553" t="s">
        <v>806</v>
      </c>
      <c r="F11553">
        <v>4.9761811561218E-9</v>
      </c>
      <c r="G11553">
        <v>30091570</v>
      </c>
      <c r="H11553">
        <v>12303692</v>
      </c>
      <c r="I11553">
        <v>20758360</v>
      </c>
      <c r="J11553">
        <v>3</v>
      </c>
    </row>
    <row r="11554" spans="1:10" x14ac:dyDescent="0.25">
      <c r="A11554" t="s">
        <v>1606</v>
      </c>
      <c r="B11554" s="1" t="str">
        <f>HYPERLINK("http://bbtsoftware.ch","bbtsoftware.ch")</f>
        <v>bbtsoftware.ch</v>
      </c>
      <c r="C11554" t="s">
        <v>429</v>
      </c>
      <c r="D11554" t="s">
        <v>810</v>
      </c>
      <c r="F11554">
        <v>4.15307285464824E-8</v>
      </c>
      <c r="G11554">
        <v>1197961</v>
      </c>
      <c r="H11554">
        <v>12397325</v>
      </c>
      <c r="I11554">
        <v>18891626</v>
      </c>
      <c r="J11554">
        <v>3</v>
      </c>
    </row>
    <row r="11555" spans="1:10" x14ac:dyDescent="0.25">
      <c r="A11555" t="s">
        <v>1606</v>
      </c>
      <c r="B11555" s="1" t="str">
        <f>HYPERLINK("http://motiondata-vector.ch","motiondata-vector.ch")</f>
        <v>motiondata-vector.ch</v>
      </c>
      <c r="C11555" t="s">
        <v>429</v>
      </c>
      <c r="D11555" t="s">
        <v>810</v>
      </c>
      <c r="F11555">
        <v>6.2581164473709003E-9</v>
      </c>
      <c r="G11555">
        <v>15234588</v>
      </c>
      <c r="H11555">
        <v>11964788</v>
      </c>
      <c r="I11555">
        <v>28807887</v>
      </c>
      <c r="J11555">
        <v>4</v>
      </c>
    </row>
    <row r="11556" spans="1:10" x14ac:dyDescent="0.25">
      <c r="A11556" t="s">
        <v>1606</v>
      </c>
      <c r="B11556" s="1" t="str">
        <f>HYPERLINK("http://trapezeits.ch","trapezeits.ch")</f>
        <v>trapezeits.ch</v>
      </c>
      <c r="C11556" t="s">
        <v>429</v>
      </c>
      <c r="D11556" t="s">
        <v>810</v>
      </c>
      <c r="F11556">
        <v>4.7553250279862999E-9</v>
      </c>
      <c r="G11556">
        <v>38088882</v>
      </c>
      <c r="H11556">
        <v>9644117</v>
      </c>
      <c r="I11556">
        <v>63945364</v>
      </c>
      <c r="J11556">
        <v>3</v>
      </c>
    </row>
    <row r="11557" spans="1:10" x14ac:dyDescent="0.25">
      <c r="A11557" t="s">
        <v>1606</v>
      </c>
      <c r="B11557" s="1" t="str">
        <f>HYPERLINK("http://a-w.com","a-w.com")</f>
        <v>a-w.com</v>
      </c>
      <c r="C11557" t="s">
        <v>433</v>
      </c>
      <c r="F11557">
        <v>3.9036911497787097E-8</v>
      </c>
      <c r="G11557">
        <v>1321139</v>
      </c>
      <c r="H11557">
        <v>13401215</v>
      </c>
      <c r="I11557">
        <v>10365765</v>
      </c>
      <c r="J11557">
        <v>5</v>
      </c>
    </row>
    <row r="11558" spans="1:10" x14ac:dyDescent="0.25">
      <c r="A11558" t="s">
        <v>1606</v>
      </c>
      <c r="B11558" s="1" t="str">
        <f>HYPERLINK("http://acceo.com","acceo.com")</f>
        <v>acceo.com</v>
      </c>
      <c r="C11558" t="s">
        <v>433</v>
      </c>
      <c r="E11558">
        <v>93043</v>
      </c>
      <c r="F11558">
        <v>2.67896273078774E-7</v>
      </c>
      <c r="G11558">
        <v>139068</v>
      </c>
      <c r="H11558">
        <v>13572652</v>
      </c>
      <c r="I11558">
        <v>9713838</v>
      </c>
      <c r="J11558">
        <v>3</v>
      </c>
    </row>
    <row r="11559" spans="1:10" x14ac:dyDescent="0.25">
      <c r="A11559" t="s">
        <v>1606</v>
      </c>
      <c r="B11559" s="1" t="str">
        <f>HYPERLINK("http://acceoestimation.com","acceoestimation.com")</f>
        <v>acceoestimation.com</v>
      </c>
      <c r="C11559" t="s">
        <v>433</v>
      </c>
      <c r="F11559">
        <v>4.44380395335525E-9</v>
      </c>
      <c r="G11559">
        <v>80509556</v>
      </c>
      <c r="H11559">
        <v>0</v>
      </c>
      <c r="I11559">
        <v>80686298</v>
      </c>
      <c r="J11559">
        <v>5</v>
      </c>
    </row>
    <row r="11560" spans="1:10" x14ac:dyDescent="0.25">
      <c r="A11560" t="s">
        <v>1606</v>
      </c>
      <c r="B11560" s="1" t="str">
        <f>HYPERLINK("http://acceorenovation.com","acceorenovation.com")</f>
        <v>acceorenovation.com</v>
      </c>
      <c r="C11560" t="s">
        <v>433</v>
      </c>
      <c r="F11560">
        <v>1.5611552436555799E-8</v>
      </c>
      <c r="G11560">
        <v>3651940</v>
      </c>
      <c r="H11560">
        <v>10717054</v>
      </c>
      <c r="I11560">
        <v>42053814</v>
      </c>
      <c r="J11560">
        <v>6</v>
      </c>
    </row>
    <row r="11561" spans="1:10" x14ac:dyDescent="0.25">
      <c r="A11561" t="s">
        <v>1606</v>
      </c>
      <c r="B11561" s="1" t="str">
        <f>HYPERLINK("http://adaptit.com","adaptit.com")</f>
        <v>adaptit.com</v>
      </c>
      <c r="C11561" t="s">
        <v>433</v>
      </c>
      <c r="F11561">
        <v>4.41699331532229E-8</v>
      </c>
      <c r="G11561">
        <v>1075926</v>
      </c>
      <c r="H11561">
        <v>13318579</v>
      </c>
      <c r="I11561">
        <v>10751927</v>
      </c>
      <c r="J11561">
        <v>4</v>
      </c>
    </row>
    <row r="11562" spans="1:10" x14ac:dyDescent="0.25">
      <c r="A11562" t="s">
        <v>1606</v>
      </c>
      <c r="B11562" s="1" t="str">
        <f>HYPERLINK("http://aislelabs.com","aislelabs.com")</f>
        <v>aislelabs.com</v>
      </c>
      <c r="C11562" t="s">
        <v>433</v>
      </c>
      <c r="E11562">
        <v>431412</v>
      </c>
      <c r="F11562">
        <v>1.9397663406913201E-7</v>
      </c>
      <c r="G11562">
        <v>198767</v>
      </c>
      <c r="H11562">
        <v>14750471</v>
      </c>
      <c r="I11562">
        <v>563603</v>
      </c>
      <c r="J11562">
        <v>3</v>
      </c>
    </row>
    <row r="11563" spans="1:10" x14ac:dyDescent="0.25">
      <c r="A11563" t="s">
        <v>1606</v>
      </c>
      <c r="B11563" s="1" t="str">
        <f>HYPERLINK("http://alcuin.com","alcuin.com")</f>
        <v>alcuin.com</v>
      </c>
      <c r="C11563" t="s">
        <v>433</v>
      </c>
      <c r="F11563">
        <v>2.3627162849839798E-8</v>
      </c>
      <c r="G11563">
        <v>2201062</v>
      </c>
      <c r="H11563">
        <v>13457103</v>
      </c>
      <c r="I11563">
        <v>10183476</v>
      </c>
      <c r="J11563">
        <v>3</v>
      </c>
    </row>
    <row r="11564" spans="1:10" x14ac:dyDescent="0.25">
      <c r="A11564" t="s">
        <v>1606</v>
      </c>
      <c r="B11564" s="1" t="str">
        <f>HYPERLINK("http://aleyant.com","aleyant.com")</f>
        <v>aleyant.com</v>
      </c>
      <c r="C11564" t="s">
        <v>433</v>
      </c>
      <c r="E11564">
        <v>955114</v>
      </c>
      <c r="F11564">
        <v>6.8738884399124393E-8</v>
      </c>
      <c r="G11564">
        <v>618799</v>
      </c>
      <c r="H11564">
        <v>13850113</v>
      </c>
      <c r="I11564">
        <v>6053789</v>
      </c>
      <c r="J11564">
        <v>3</v>
      </c>
    </row>
    <row r="11565" spans="1:10" x14ac:dyDescent="0.25">
      <c r="A11565" t="s">
        <v>1606</v>
      </c>
      <c r="B11565" s="1" t="str">
        <f>HYPERLINK("http://allscripts.com","allscripts.com")</f>
        <v>allscripts.com</v>
      </c>
      <c r="C11565" t="s">
        <v>433</v>
      </c>
      <c r="E11565">
        <v>37827</v>
      </c>
      <c r="F11565">
        <v>5.3891405226412497E-7</v>
      </c>
      <c r="G11565">
        <v>71641</v>
      </c>
      <c r="H11565">
        <v>15096516</v>
      </c>
      <c r="I11565">
        <v>407000</v>
      </c>
      <c r="J11565">
        <v>6</v>
      </c>
    </row>
    <row r="11566" spans="1:10" x14ac:dyDescent="0.25">
      <c r="A11566" t="s">
        <v>1606</v>
      </c>
      <c r="B11566" s="1" t="str">
        <f>HYPERLINK("http://altairsw.com","altairsw.com")</f>
        <v>altairsw.com</v>
      </c>
      <c r="C11566" t="s">
        <v>433</v>
      </c>
      <c r="F11566">
        <v>4.9094444808637702E-9</v>
      </c>
      <c r="G11566">
        <v>32194323</v>
      </c>
      <c r="H11566">
        <v>9692408</v>
      </c>
      <c r="I11566">
        <v>63532656</v>
      </c>
      <c r="J11566">
        <v>4</v>
      </c>
    </row>
    <row r="11567" spans="1:10" x14ac:dyDescent="0.25">
      <c r="A11567" t="s">
        <v>1606</v>
      </c>
      <c r="B11567" s="1" t="str">
        <f>HYPERLINK("http://amieducation.com","amieducation.com")</f>
        <v>amieducation.com</v>
      </c>
      <c r="C11567" t="s">
        <v>433</v>
      </c>
      <c r="F11567">
        <v>7.9190591884657608E-9</v>
      </c>
      <c r="G11567">
        <v>10074559</v>
      </c>
      <c r="H11567">
        <v>12124210</v>
      </c>
      <c r="I11567">
        <v>25299844</v>
      </c>
      <c r="J11567">
        <v>6</v>
      </c>
    </row>
    <row r="11568" spans="1:10" x14ac:dyDescent="0.25">
      <c r="A11568" t="s">
        <v>1606</v>
      </c>
      <c r="B11568" s="1" t="str">
        <f>HYPERLINK("http://amt-sybex.com","amt-sybex.com")</f>
        <v>amt-sybex.com</v>
      </c>
      <c r="C11568" t="s">
        <v>433</v>
      </c>
      <c r="F11568">
        <v>1.36444035614631E-8</v>
      </c>
      <c r="G11568">
        <v>4343525</v>
      </c>
      <c r="H11568">
        <v>13768053</v>
      </c>
      <c r="I11568">
        <v>6898771</v>
      </c>
      <c r="J11568">
        <v>5</v>
      </c>
    </row>
    <row r="11569" spans="1:10" x14ac:dyDescent="0.25">
      <c r="A11569" t="s">
        <v>1606</v>
      </c>
      <c r="B11569" s="1" t="str">
        <f>HYPERLINK("http://apdata.com","apdata.com")</f>
        <v>apdata.com</v>
      </c>
      <c r="C11569" t="s">
        <v>433</v>
      </c>
      <c r="F11569">
        <v>6.9248268293426302E-9</v>
      </c>
      <c r="G11569">
        <v>12542309</v>
      </c>
      <c r="H11569">
        <v>12311267</v>
      </c>
      <c r="I11569">
        <v>20591581</v>
      </c>
      <c r="J11569">
        <v>3</v>
      </c>
    </row>
    <row r="11570" spans="1:10" x14ac:dyDescent="0.25">
      <c r="A11570" t="s">
        <v>1606</v>
      </c>
      <c r="B11570" s="1" t="str">
        <f>HYPERLINK("http://asset-intertech.com","asset-intertech.com")</f>
        <v>asset-intertech.com</v>
      </c>
      <c r="C11570" t="s">
        <v>433</v>
      </c>
      <c r="F11570">
        <v>5.2085931159291403E-8</v>
      </c>
      <c r="G11570">
        <v>876501</v>
      </c>
      <c r="H11570">
        <v>14587395</v>
      </c>
      <c r="I11570">
        <v>699169</v>
      </c>
      <c r="J11570">
        <v>3</v>
      </c>
    </row>
    <row r="11571" spans="1:10" x14ac:dyDescent="0.25">
      <c r="A11571" t="s">
        <v>1606</v>
      </c>
      <c r="B11571" s="1" t="str">
        <f>HYPERLINK("http://assetworks.com","assetworks.com")</f>
        <v>assetworks.com</v>
      </c>
      <c r="C11571" t="s">
        <v>433</v>
      </c>
      <c r="E11571">
        <v>212787</v>
      </c>
      <c r="F11571">
        <v>7.7874999312774205E-8</v>
      </c>
      <c r="G11571">
        <v>537250</v>
      </c>
      <c r="H11571">
        <v>13688765</v>
      </c>
      <c r="I11571">
        <v>9529936</v>
      </c>
      <c r="J11571">
        <v>3</v>
      </c>
    </row>
    <row r="11572" spans="1:10" x14ac:dyDescent="0.25">
      <c r="A11572" t="s">
        <v>1606</v>
      </c>
      <c r="B11572" s="1" t="str">
        <f>HYPERLINK("http://bctsoftware.com","bctsoftware.com")</f>
        <v>bctsoftware.com</v>
      </c>
      <c r="C11572" t="s">
        <v>433</v>
      </c>
      <c r="F11572">
        <v>1.15305708747336E-7</v>
      </c>
      <c r="G11572">
        <v>345115</v>
      </c>
      <c r="H11572">
        <v>16751249</v>
      </c>
      <c r="I11572">
        <v>266083</v>
      </c>
      <c r="J11572">
        <v>3</v>
      </c>
    </row>
    <row r="11573" spans="1:10" x14ac:dyDescent="0.25">
      <c r="A11573" t="s">
        <v>1606</v>
      </c>
      <c r="B11573" s="1" t="str">
        <f>HYPERLINK("http://bobcad.com","bobcad.com")</f>
        <v>bobcad.com</v>
      </c>
      <c r="C11573" t="s">
        <v>433</v>
      </c>
      <c r="E11573">
        <v>829422</v>
      </c>
      <c r="F11573">
        <v>7.7831083669741302E-8</v>
      </c>
      <c r="G11573">
        <v>537583</v>
      </c>
      <c r="H11573">
        <v>14524598</v>
      </c>
      <c r="I11573">
        <v>797091</v>
      </c>
      <c r="J11573">
        <v>5</v>
      </c>
    </row>
    <row r="11574" spans="1:10" x14ac:dyDescent="0.25">
      <c r="A11574" t="s">
        <v>1606</v>
      </c>
      <c r="B11574" s="1" t="str">
        <f>HYPERLINK("http://cagi.com","cagi.com")</f>
        <v>cagi.com</v>
      </c>
      <c r="C11574" t="s">
        <v>433</v>
      </c>
      <c r="F11574">
        <v>2.8146350873857401E-8</v>
      </c>
      <c r="G11574">
        <v>1828211</v>
      </c>
      <c r="H11574">
        <v>12517008</v>
      </c>
      <c r="I11574">
        <v>17177791</v>
      </c>
      <c r="J11574">
        <v>2</v>
      </c>
    </row>
    <row r="11575" spans="1:10" x14ac:dyDescent="0.25">
      <c r="A11575" t="s">
        <v>1606</v>
      </c>
      <c r="B11575" s="1" t="str">
        <f>HYPERLINK("http://caliberpublicsafety.com","caliberpublicsafety.com")</f>
        <v>caliberpublicsafety.com</v>
      </c>
      <c r="C11575" t="s">
        <v>433</v>
      </c>
      <c r="F11575">
        <v>3.9463303972612598E-8</v>
      </c>
      <c r="G11575">
        <v>1308082</v>
      </c>
      <c r="H11575">
        <v>13294611</v>
      </c>
      <c r="I11575">
        <v>10855192</v>
      </c>
      <c r="J11575">
        <v>5</v>
      </c>
    </row>
    <row r="11576" spans="1:10" x14ac:dyDescent="0.25">
      <c r="A11576" t="s">
        <v>1606</v>
      </c>
      <c r="B11576" s="1" t="str">
        <f>HYPERLINK("http://cap-comp.com","cap-comp.com")</f>
        <v>cap-comp.com</v>
      </c>
      <c r="C11576" t="s">
        <v>433</v>
      </c>
      <c r="J11576">
        <v>3</v>
      </c>
    </row>
    <row r="11577" spans="1:10" x14ac:dyDescent="0.25">
      <c r="A11577" t="s">
        <v>1606</v>
      </c>
      <c r="B11577" s="1" t="str">
        <f>HYPERLINK("http://ccents.com","ccents.com")</f>
        <v>ccents.com</v>
      </c>
      <c r="C11577" t="s">
        <v>433</v>
      </c>
      <c r="F11577">
        <v>7.2797116152406601E-9</v>
      </c>
      <c r="G11577">
        <v>11529850</v>
      </c>
      <c r="H11577">
        <v>12351990</v>
      </c>
      <c r="I11577">
        <v>19735248</v>
      </c>
      <c r="J11577">
        <v>3</v>
      </c>
    </row>
    <row r="11578" spans="1:10" x14ac:dyDescent="0.25">
      <c r="A11578" t="s">
        <v>1606</v>
      </c>
      <c r="B11578" s="1" t="str">
        <f>HYPERLINK("http://cinesite.com","cinesite.com")</f>
        <v>cinesite.com</v>
      </c>
      <c r="C11578" t="s">
        <v>433</v>
      </c>
      <c r="E11578">
        <v>701139</v>
      </c>
      <c r="F11578">
        <v>1.77736094201644E-7</v>
      </c>
      <c r="G11578">
        <v>217541</v>
      </c>
      <c r="H11578">
        <v>15346165</v>
      </c>
      <c r="I11578">
        <v>383034</v>
      </c>
      <c r="J11578">
        <v>13</v>
      </c>
    </row>
    <row r="11579" spans="1:10" x14ac:dyDescent="0.25">
      <c r="A11579" t="s">
        <v>1606</v>
      </c>
      <c r="B11579" s="1" t="str">
        <f>HYPERLINK("http://compusense.com","compusense.com")</f>
        <v>compusense.com</v>
      </c>
      <c r="C11579" t="s">
        <v>433</v>
      </c>
      <c r="F11579">
        <v>1.32605769413461E-8</v>
      </c>
      <c r="G11579">
        <v>4510848</v>
      </c>
      <c r="H11579">
        <v>14244087</v>
      </c>
      <c r="I11579">
        <v>1473703</v>
      </c>
      <c r="J11579">
        <v>3</v>
      </c>
    </row>
    <row r="11580" spans="1:10" x14ac:dyDescent="0.25">
      <c r="A11580" t="s">
        <v>1606</v>
      </c>
      <c r="B11580" s="1" t="str">
        <f>HYPERLINK("http://computrition.com","computrition.com")</f>
        <v>computrition.com</v>
      </c>
      <c r="C11580" t="s">
        <v>433</v>
      </c>
      <c r="F11580">
        <v>1.8238369494518298E-8</v>
      </c>
      <c r="G11580">
        <v>2979517</v>
      </c>
      <c r="H11580">
        <v>13802870</v>
      </c>
      <c r="I11580">
        <v>6266027</v>
      </c>
      <c r="J11580">
        <v>3</v>
      </c>
    </row>
    <row r="11581" spans="1:10" x14ac:dyDescent="0.25">
      <c r="A11581" t="s">
        <v>1606</v>
      </c>
      <c r="B11581" s="1" t="str">
        <f>HYPERLINK("http://connecture.com","connecture.com")</f>
        <v>connecture.com</v>
      </c>
      <c r="C11581" t="s">
        <v>433</v>
      </c>
      <c r="F11581">
        <v>9.8316677851440099E-8</v>
      </c>
      <c r="G11581">
        <v>410269</v>
      </c>
      <c r="H11581">
        <v>14059891</v>
      </c>
      <c r="I11581">
        <v>3887020</v>
      </c>
      <c r="J11581">
        <v>3</v>
      </c>
    </row>
    <row r="11582" spans="1:10" x14ac:dyDescent="0.25">
      <c r="A11582" t="s">
        <v>1606</v>
      </c>
      <c r="B11582" s="1" t="str">
        <f>HYPERLINK("http://constellationhb.com","constellationhb.com")</f>
        <v>constellationhb.com</v>
      </c>
      <c r="C11582" t="s">
        <v>433</v>
      </c>
      <c r="F11582">
        <v>9.0086254720180497E-8</v>
      </c>
      <c r="G11582">
        <v>452976</v>
      </c>
      <c r="H11582">
        <v>13233770</v>
      </c>
      <c r="I11582">
        <v>11253745</v>
      </c>
      <c r="J11582">
        <v>3</v>
      </c>
    </row>
    <row r="11583" spans="1:10" x14ac:dyDescent="0.25">
      <c r="A11583" t="s">
        <v>1606</v>
      </c>
      <c r="B11583" s="1" t="str">
        <f>HYPERLINK("http://courtview.com","courtview.com")</f>
        <v>courtview.com</v>
      </c>
      <c r="C11583" t="s">
        <v>433</v>
      </c>
      <c r="F11583">
        <v>8.1962130183463394E-9</v>
      </c>
      <c r="G11583">
        <v>9577358</v>
      </c>
      <c r="H11583">
        <v>13786460</v>
      </c>
      <c r="I11583">
        <v>6385633</v>
      </c>
      <c r="J11583">
        <v>3</v>
      </c>
    </row>
    <row r="11584" spans="1:10" x14ac:dyDescent="0.25">
      <c r="A11584" t="s">
        <v>1606</v>
      </c>
      <c r="B11584" s="1" t="str">
        <f>HYPERLINK("http://cprvision.com","cprvision.com")</f>
        <v>cprvision.com</v>
      </c>
      <c r="C11584" t="s">
        <v>433</v>
      </c>
      <c r="F11584">
        <v>5.3774046200940897E-9</v>
      </c>
      <c r="G11584">
        <v>22450456</v>
      </c>
      <c r="H11584">
        <v>12276449</v>
      </c>
      <c r="I11584">
        <v>21382301</v>
      </c>
      <c r="J11584">
        <v>3</v>
      </c>
    </row>
    <row r="11585" spans="1:10" x14ac:dyDescent="0.25">
      <c r="A11585" t="s">
        <v>1606</v>
      </c>
      <c r="B11585" s="1" t="str">
        <f>HYPERLINK("http://csiperseus.com","csiperseus.com")</f>
        <v>csiperseus.com</v>
      </c>
      <c r="C11585" t="s">
        <v>433</v>
      </c>
      <c r="E11585">
        <v>581628</v>
      </c>
      <c r="F11585">
        <v>2.0993486910895199E-8</v>
      </c>
      <c r="G11585">
        <v>2516698</v>
      </c>
      <c r="H11585">
        <v>12847858</v>
      </c>
      <c r="I11585">
        <v>14303309</v>
      </c>
      <c r="J11585">
        <v>4</v>
      </c>
    </row>
    <row r="11586" spans="1:10" x14ac:dyDescent="0.25">
      <c r="A11586" t="s">
        <v>1606</v>
      </c>
      <c r="B11586" s="1" t="str">
        <f>HYPERLINK("http://csisoftware.com","csisoftware.com")</f>
        <v>csisoftware.com</v>
      </c>
      <c r="C11586" t="s">
        <v>433</v>
      </c>
      <c r="E11586">
        <v>445956</v>
      </c>
      <c r="F11586">
        <v>1.4235174600990201E-7</v>
      </c>
      <c r="G11586">
        <v>273474</v>
      </c>
      <c r="H11586">
        <v>14099484</v>
      </c>
      <c r="I11586">
        <v>2710897</v>
      </c>
      <c r="J11586">
        <v>1</v>
      </c>
    </row>
    <row r="11587" spans="1:10" x14ac:dyDescent="0.25">
      <c r="A11587" t="s">
        <v>1606</v>
      </c>
      <c r="B11587" s="1" t="str">
        <f>HYPERLINK("http://csystemssoftware.com","csystemssoftware.com")</f>
        <v>csystemssoftware.com</v>
      </c>
      <c r="C11587" t="s">
        <v>433</v>
      </c>
      <c r="F11587">
        <v>5.9368638085651203E-9</v>
      </c>
      <c r="G11587">
        <v>17106337</v>
      </c>
      <c r="H11587">
        <v>12147162</v>
      </c>
      <c r="I11587">
        <v>24696850</v>
      </c>
      <c r="J11587">
        <v>3</v>
      </c>
    </row>
    <row r="11588" spans="1:10" x14ac:dyDescent="0.25">
      <c r="A11588" t="s">
        <v>1606</v>
      </c>
      <c r="B11588" s="1" t="str">
        <f>HYPERLINK("http://culturatech.com","culturatech.com")</f>
        <v>culturatech.com</v>
      </c>
      <c r="C11588" t="s">
        <v>433</v>
      </c>
      <c r="F11588">
        <v>3.7254860749458497E-8</v>
      </c>
      <c r="G11588">
        <v>1390119</v>
      </c>
      <c r="H11588">
        <v>12595330</v>
      </c>
      <c r="I11588">
        <v>16373520</v>
      </c>
      <c r="J11588">
        <v>3</v>
      </c>
    </row>
    <row r="11589" spans="1:10" x14ac:dyDescent="0.25">
      <c r="A11589" t="s">
        <v>1606</v>
      </c>
      <c r="B11589" s="1" t="str">
        <f>HYPERLINK("http://da-xue-cheng.com","da-xue-cheng.com")</f>
        <v>da-xue-cheng.com</v>
      </c>
      <c r="C11589" t="s">
        <v>433</v>
      </c>
      <c r="F11589">
        <v>4.5235033644036697E-9</v>
      </c>
      <c r="G11589">
        <v>55789036</v>
      </c>
      <c r="H11589">
        <v>7141437.5</v>
      </c>
      <c r="I11589">
        <v>76533498</v>
      </c>
      <c r="J11589">
        <v>5</v>
      </c>
    </row>
    <row r="11590" spans="1:10" x14ac:dyDescent="0.25">
      <c r="A11590" t="s">
        <v>1606</v>
      </c>
      <c r="B11590" s="1" t="str">
        <f>HYPERLINK("http://dataminesoftware.com","dataminesoftware.com")</f>
        <v>dataminesoftware.com</v>
      </c>
      <c r="C11590" t="s">
        <v>433</v>
      </c>
      <c r="F11590">
        <v>3.67250986056996E-8</v>
      </c>
      <c r="G11590">
        <v>1423045</v>
      </c>
      <c r="H11590">
        <v>13402365</v>
      </c>
      <c r="I11590">
        <v>10363205</v>
      </c>
      <c r="J11590">
        <v>3</v>
      </c>
    </row>
    <row r="11591" spans="1:10" x14ac:dyDescent="0.25">
      <c r="A11591" t="s">
        <v>1606</v>
      </c>
      <c r="B11591" s="1" t="str">
        <f>HYPERLINK("http://dbmotion.com","dbmotion.com")</f>
        <v>dbmotion.com</v>
      </c>
      <c r="C11591" t="s">
        <v>433</v>
      </c>
      <c r="F11591">
        <v>2.1756608033542E-8</v>
      </c>
      <c r="G11591">
        <v>2416522</v>
      </c>
      <c r="H11591">
        <v>13830427</v>
      </c>
      <c r="I11591">
        <v>6109709</v>
      </c>
      <c r="J11591">
        <v>3</v>
      </c>
    </row>
    <row r="11592" spans="1:10" x14ac:dyDescent="0.25">
      <c r="A11592" t="s">
        <v>1606</v>
      </c>
      <c r="B11592" s="1" t="str">
        <f>HYPERLINK("http://deltacompsys.com","deltacompsys.com")</f>
        <v>deltacompsys.com</v>
      </c>
      <c r="C11592" t="s">
        <v>433</v>
      </c>
      <c r="F11592">
        <v>5.6951398819036099E-9</v>
      </c>
      <c r="G11592">
        <v>19002832</v>
      </c>
      <c r="H11592">
        <v>13061123</v>
      </c>
      <c r="I11592">
        <v>12328625</v>
      </c>
      <c r="J11592">
        <v>3</v>
      </c>
    </row>
    <row r="11593" spans="1:10" x14ac:dyDescent="0.25">
      <c r="A11593" t="s">
        <v>1606</v>
      </c>
      <c r="B11593" s="1" t="str">
        <f>HYPERLINK("http://destinationrx.com","destinationrx.com")</f>
        <v>destinationrx.com</v>
      </c>
      <c r="C11593" t="s">
        <v>433</v>
      </c>
      <c r="E11593">
        <v>105437</v>
      </c>
      <c r="F11593">
        <v>4.1164429935635701E-7</v>
      </c>
      <c r="G11593">
        <v>91378</v>
      </c>
      <c r="H11593">
        <v>14476060</v>
      </c>
      <c r="I11593">
        <v>1032086</v>
      </c>
      <c r="J11593">
        <v>3</v>
      </c>
    </row>
    <row r="11594" spans="1:10" x14ac:dyDescent="0.25">
      <c r="A11594" t="s">
        <v>1606</v>
      </c>
      <c r="B11594" s="1" t="str">
        <f>HYPERLINK("http://dis-corp.com","dis-corp.com")</f>
        <v>dis-corp.com</v>
      </c>
      <c r="C11594" t="s">
        <v>433</v>
      </c>
      <c r="F11594">
        <v>9.8547969928300094E-9</v>
      </c>
      <c r="G11594">
        <v>6908790</v>
      </c>
      <c r="H11594">
        <v>12105731</v>
      </c>
      <c r="I11594">
        <v>25831008</v>
      </c>
      <c r="J11594">
        <v>3</v>
      </c>
    </row>
    <row r="11595" spans="1:10" x14ac:dyDescent="0.25">
      <c r="A11595" t="s">
        <v>1606</v>
      </c>
      <c r="B11595" s="1" t="str">
        <f>HYPERLINK("http://drx.com","drx.com")</f>
        <v>drx.com</v>
      </c>
      <c r="C11595" t="s">
        <v>433</v>
      </c>
      <c r="F11595">
        <v>9.5654971875687902E-9</v>
      </c>
      <c r="G11595">
        <v>7244472</v>
      </c>
      <c r="H11595">
        <v>13458875</v>
      </c>
      <c r="I11595">
        <v>10173515</v>
      </c>
      <c r="J11595">
        <v>7</v>
      </c>
    </row>
    <row r="11596" spans="1:10" x14ac:dyDescent="0.25">
      <c r="A11596" t="s">
        <v>1606</v>
      </c>
      <c r="B11596" s="1" t="str">
        <f>HYPERLINK("http://drxwebservices.com","drxwebservices.com")</f>
        <v>drxwebservices.com</v>
      </c>
      <c r="C11596" t="s">
        <v>433</v>
      </c>
      <c r="E11596">
        <v>318267</v>
      </c>
      <c r="F11596">
        <v>4.4438099640082497E-9</v>
      </c>
      <c r="G11596">
        <v>79613577</v>
      </c>
      <c r="H11596">
        <v>10351910</v>
      </c>
      <c r="I11596">
        <v>56120851</v>
      </c>
      <c r="J11596">
        <v>4</v>
      </c>
    </row>
    <row r="11597" spans="1:10" x14ac:dyDescent="0.25">
      <c r="A11597" t="s">
        <v>1606</v>
      </c>
      <c r="B11597" s="1" t="str">
        <f>HYPERLINK("http://emphasys-software.com","emphasys-software.com")</f>
        <v>emphasys-software.com</v>
      </c>
      <c r="C11597" t="s">
        <v>433</v>
      </c>
      <c r="F11597">
        <v>1.7453531542232199E-8</v>
      </c>
      <c r="G11597">
        <v>3157449</v>
      </c>
      <c r="H11597">
        <v>12686208</v>
      </c>
      <c r="I11597">
        <v>15447969</v>
      </c>
      <c r="J11597">
        <v>3</v>
      </c>
    </row>
    <row r="11598" spans="1:10" x14ac:dyDescent="0.25">
      <c r="A11598" t="s">
        <v>1606</v>
      </c>
      <c r="B11598" s="1" t="str">
        <f>HYPERLINK("http://enigmadata.com","enigmadata.com")</f>
        <v>enigmadata.com</v>
      </c>
      <c r="C11598" t="s">
        <v>433</v>
      </c>
      <c r="F11598">
        <v>5.8247248320284201E-9</v>
      </c>
      <c r="G11598">
        <v>17903210</v>
      </c>
      <c r="H11598">
        <v>12785148</v>
      </c>
      <c r="I11598">
        <v>14715795</v>
      </c>
      <c r="J11598">
        <v>7</v>
      </c>
    </row>
    <row r="11599" spans="1:10" x14ac:dyDescent="0.25">
      <c r="A11599" t="s">
        <v>1606</v>
      </c>
      <c r="B11599" s="1" t="str">
        <f>HYPERLINK("http://equiniti-ics.com","equiniti-ics.com")</f>
        <v>equiniti-ics.com</v>
      </c>
      <c r="C11599" t="s">
        <v>433</v>
      </c>
      <c r="F11599">
        <v>4.80257346593452E-9</v>
      </c>
      <c r="G11599">
        <v>35988328</v>
      </c>
      <c r="H11599">
        <v>10865229</v>
      </c>
      <c r="I11599">
        <v>36586609</v>
      </c>
      <c r="J11599">
        <v>5</v>
      </c>
    </row>
    <row r="11600" spans="1:10" x14ac:dyDescent="0.25">
      <c r="A11600" t="s">
        <v>1606</v>
      </c>
      <c r="B11600" s="1" t="str">
        <f>HYPERLINK("http://escholar.com","escholar.com")</f>
        <v>escholar.com</v>
      </c>
      <c r="C11600" t="s">
        <v>433</v>
      </c>
      <c r="F11600">
        <v>2.91324951185395E-8</v>
      </c>
      <c r="G11600">
        <v>1767776</v>
      </c>
      <c r="H11600">
        <v>14150912</v>
      </c>
      <c r="I11600">
        <v>1875234</v>
      </c>
      <c r="J11600">
        <v>3</v>
      </c>
    </row>
    <row r="11601" spans="1:10" x14ac:dyDescent="0.25">
      <c r="A11601" t="s">
        <v>1606</v>
      </c>
      <c r="B11601" s="1" t="str">
        <f>HYPERLINK("http://extendag.com","extendag.com")</f>
        <v>extendag.com</v>
      </c>
      <c r="C11601" t="s">
        <v>433</v>
      </c>
      <c r="F11601">
        <v>7.1110570635131798E-9</v>
      </c>
      <c r="G11601">
        <v>11983382</v>
      </c>
      <c r="H11601">
        <v>12393294</v>
      </c>
      <c r="I11601">
        <v>18966210</v>
      </c>
      <c r="J11601">
        <v>7</v>
      </c>
    </row>
    <row r="11602" spans="1:10" x14ac:dyDescent="0.25">
      <c r="A11602" t="s">
        <v>1606</v>
      </c>
      <c r="B11602" s="1" t="str">
        <f>HYPERLINK("http://facton.com","facton.com")</f>
        <v>facton.com</v>
      </c>
      <c r="C11602" t="s">
        <v>433</v>
      </c>
      <c r="F11602">
        <v>3.8395753180872702E-8</v>
      </c>
      <c r="G11602">
        <v>1344638</v>
      </c>
      <c r="H11602">
        <v>13879843</v>
      </c>
      <c r="I11602">
        <v>5984071</v>
      </c>
      <c r="J11602">
        <v>3</v>
      </c>
    </row>
    <row r="11603" spans="1:10" x14ac:dyDescent="0.25">
      <c r="A11603" t="s">
        <v>1606</v>
      </c>
      <c r="B11603" s="1" t="str">
        <f>HYPERLINK("http://flashnetworks.com","flashnetworks.com")</f>
        <v>flashnetworks.com</v>
      </c>
      <c r="C11603" t="s">
        <v>433</v>
      </c>
      <c r="F11603">
        <v>6.5529846607353595E-8</v>
      </c>
      <c r="G11603">
        <v>656047</v>
      </c>
      <c r="H11603">
        <v>13856543</v>
      </c>
      <c r="I11603">
        <v>6044071</v>
      </c>
      <c r="J11603">
        <v>3</v>
      </c>
    </row>
    <row r="11604" spans="1:10" x14ac:dyDescent="0.25">
      <c r="A11604" t="s">
        <v>1606</v>
      </c>
      <c r="B11604" s="1" t="str">
        <f>HYPERLINK("http://friedmancorp.com","friedmancorp.com")</f>
        <v>friedmancorp.com</v>
      </c>
      <c r="C11604" t="s">
        <v>433</v>
      </c>
      <c r="F11604">
        <v>9.8147990526958992E-9</v>
      </c>
      <c r="G11604">
        <v>6953217</v>
      </c>
      <c r="H11604">
        <v>13766126</v>
      </c>
      <c r="I11604">
        <v>7036137</v>
      </c>
      <c r="J11604">
        <v>3</v>
      </c>
    </row>
    <row r="11605" spans="1:10" x14ac:dyDescent="0.25">
      <c r="A11605" t="s">
        <v>1606</v>
      </c>
      <c r="B11605" s="1" t="str">
        <f>HYPERLINK("http://frsltd.com","frsltd.com")</f>
        <v>frsltd.com</v>
      </c>
      <c r="C11605" t="s">
        <v>433</v>
      </c>
      <c r="F11605">
        <v>9.2537292860579595E-9</v>
      </c>
      <c r="G11605">
        <v>7633565</v>
      </c>
      <c r="H11605">
        <v>13933546</v>
      </c>
      <c r="I11605">
        <v>4716544</v>
      </c>
      <c r="J11605">
        <v>3</v>
      </c>
    </row>
    <row r="11606" spans="1:10" x14ac:dyDescent="0.25">
      <c r="A11606" t="s">
        <v>1606</v>
      </c>
      <c r="B11606" s="1" t="str">
        <f>HYPERLINK("http://furlongsolutions.com","furlongsolutions.com")</f>
        <v>furlongsolutions.com</v>
      </c>
      <c r="C11606" t="s">
        <v>433</v>
      </c>
      <c r="F11606">
        <v>7.0033758437651896E-9</v>
      </c>
      <c r="G11606">
        <v>12301595</v>
      </c>
      <c r="H11606">
        <v>12178147</v>
      </c>
      <c r="I11606">
        <v>23856920</v>
      </c>
      <c r="J11606">
        <v>7</v>
      </c>
    </row>
    <row r="11607" spans="1:10" x14ac:dyDescent="0.25">
      <c r="A11607" t="s">
        <v>1606</v>
      </c>
      <c r="B11607" s="1" t="str">
        <f>HYPERLINK("http://gallerysystems.com","gallerysystems.com")</f>
        <v>gallerysystems.com</v>
      </c>
      <c r="C11607" t="s">
        <v>433</v>
      </c>
      <c r="F11607">
        <v>1.9704659717493099E-7</v>
      </c>
      <c r="G11607">
        <v>195693</v>
      </c>
      <c r="H11607">
        <v>14422985</v>
      </c>
      <c r="I11607">
        <v>1083938</v>
      </c>
      <c r="J11607">
        <v>3</v>
      </c>
    </row>
    <row r="11608" spans="1:10" x14ac:dyDescent="0.25">
      <c r="A11608" t="s">
        <v>1606</v>
      </c>
      <c r="B11608" s="1" t="str">
        <f>HYPERLINK("http://gdmmps.com","gdmmps.com")</f>
        <v>gdmmps.com</v>
      </c>
      <c r="C11608" t="s">
        <v>433</v>
      </c>
      <c r="F11608">
        <v>4.44380395335525E-9</v>
      </c>
      <c r="G11608">
        <v>81747672</v>
      </c>
      <c r="H11608">
        <v>0</v>
      </c>
      <c r="I11608">
        <v>82197476</v>
      </c>
      <c r="J11608">
        <v>5</v>
      </c>
    </row>
    <row r="11609" spans="1:10" x14ac:dyDescent="0.25">
      <c r="A11609" t="s">
        <v>1606</v>
      </c>
      <c r="B11609" s="1" t="str">
        <f>HYPERLINK("http://gemmsone.com","gemmsone.com")</f>
        <v>gemmsone.com</v>
      </c>
      <c r="C11609" t="s">
        <v>433</v>
      </c>
      <c r="F11609">
        <v>7.9982335544146306E-9</v>
      </c>
      <c r="G11609">
        <v>9923768</v>
      </c>
      <c r="H11609">
        <v>12102030</v>
      </c>
      <c r="I11609">
        <v>25916468</v>
      </c>
      <c r="J11609">
        <v>3</v>
      </c>
    </row>
    <row r="11610" spans="1:10" x14ac:dyDescent="0.25">
      <c r="A11610" t="s">
        <v>1606</v>
      </c>
      <c r="B11610" s="1" t="str">
        <f>HYPERLINK("http://globys.com","globys.com")</f>
        <v>globys.com</v>
      </c>
      <c r="C11610" t="s">
        <v>433</v>
      </c>
      <c r="F11610">
        <v>1.9519667830261601E-8</v>
      </c>
      <c r="G11610">
        <v>2741308</v>
      </c>
      <c r="H11610">
        <v>14296651</v>
      </c>
      <c r="I11610">
        <v>1359705</v>
      </c>
      <c r="J11610">
        <v>3</v>
      </c>
    </row>
    <row r="11611" spans="1:10" x14ac:dyDescent="0.25">
      <c r="A11611" t="s">
        <v>1606</v>
      </c>
      <c r="B11611" s="1" t="str">
        <f>HYPERLINK("http://greycon.com","greycon.com")</f>
        <v>greycon.com</v>
      </c>
      <c r="C11611" t="s">
        <v>433</v>
      </c>
      <c r="F11611">
        <v>2.34008259877331E-8</v>
      </c>
      <c r="G11611">
        <v>2225631</v>
      </c>
      <c r="H11611">
        <v>13119992</v>
      </c>
      <c r="I11611">
        <v>11993457</v>
      </c>
      <c r="J11611">
        <v>3</v>
      </c>
    </row>
    <row r="11612" spans="1:10" x14ac:dyDescent="0.25">
      <c r="A11612" t="s">
        <v>1606</v>
      </c>
      <c r="B11612" s="1" t="str">
        <f>HYPERLINK("http://grosvenorsystems.com","grosvenorsystems.com")</f>
        <v>grosvenorsystems.com</v>
      </c>
      <c r="C11612" t="s">
        <v>433</v>
      </c>
      <c r="F11612">
        <v>7.1607803959277004E-9</v>
      </c>
      <c r="G11612">
        <v>11847526</v>
      </c>
      <c r="H11612">
        <v>12433149</v>
      </c>
      <c r="I11612">
        <v>18251644</v>
      </c>
      <c r="J11612">
        <v>4</v>
      </c>
    </row>
    <row r="11613" spans="1:10" x14ac:dyDescent="0.25">
      <c r="A11613" t="s">
        <v>1606</v>
      </c>
      <c r="B11613" s="1" t="str">
        <f>HYPERLINK("http://groupinion.com","groupinion.com")</f>
        <v>groupinion.com</v>
      </c>
      <c r="C11613" t="s">
        <v>433</v>
      </c>
      <c r="F11613">
        <v>4.6335857372817604E-9</v>
      </c>
      <c r="G11613">
        <v>45191125</v>
      </c>
      <c r="H11613">
        <v>11910933</v>
      </c>
      <c r="I11613">
        <v>29434128</v>
      </c>
      <c r="J11613">
        <v>6</v>
      </c>
    </row>
    <row r="11614" spans="1:10" x14ac:dyDescent="0.25">
      <c r="A11614" t="s">
        <v>1606</v>
      </c>
      <c r="B11614" s="1" t="str">
        <f>HYPERLINK("http://halcom.com","halcom.com")</f>
        <v>halcom.com</v>
      </c>
      <c r="C11614" t="s">
        <v>433</v>
      </c>
      <c r="E11614">
        <v>624552</v>
      </c>
      <c r="F11614">
        <v>1.3832603899920699E-7</v>
      </c>
      <c r="G11614">
        <v>281636</v>
      </c>
      <c r="H11614">
        <v>16923248</v>
      </c>
      <c r="I11614">
        <v>125927</v>
      </c>
      <c r="J11614">
        <v>6</v>
      </c>
    </row>
    <row r="11615" spans="1:10" x14ac:dyDescent="0.25">
      <c r="A11615" t="s">
        <v>1606</v>
      </c>
      <c r="B11615" s="1" t="str">
        <f>HYPERLINK("http://harriscomputer.com","harriscomputer.com")</f>
        <v>harriscomputer.com</v>
      </c>
      <c r="C11615" t="s">
        <v>433</v>
      </c>
      <c r="E11615">
        <v>32244</v>
      </c>
      <c r="F11615">
        <v>1.6640770061803501E-7</v>
      </c>
      <c r="G11615">
        <v>233226</v>
      </c>
      <c r="H11615">
        <v>14243793</v>
      </c>
      <c r="I11615">
        <v>1475301</v>
      </c>
      <c r="J11615">
        <v>2</v>
      </c>
    </row>
    <row r="11616" spans="1:10" x14ac:dyDescent="0.25">
      <c r="A11616" t="s">
        <v>1606</v>
      </c>
      <c r="B11616" s="1" t="str">
        <f>HYPERLINK("http://harrissmartworks.com","harrissmartworks.com")</f>
        <v>harrissmartworks.com</v>
      </c>
      <c r="C11616" t="s">
        <v>433</v>
      </c>
      <c r="F11616">
        <v>1.15388085857703E-8</v>
      </c>
      <c r="G11616">
        <v>5476568</v>
      </c>
      <c r="H11616">
        <v>11188016</v>
      </c>
      <c r="I11616">
        <v>31368216</v>
      </c>
      <c r="J11616">
        <v>5</v>
      </c>
    </row>
    <row r="11617" spans="1:10" x14ac:dyDescent="0.25">
      <c r="A11617" t="s">
        <v>1606</v>
      </c>
      <c r="B11617" s="1" t="str">
        <f>HYPERLINK("http://harrisutilities.com","harrisutilities.com")</f>
        <v>harrisutilities.com</v>
      </c>
      <c r="C11617" t="s">
        <v>433</v>
      </c>
      <c r="F11617">
        <v>1.10237402152335E-8</v>
      </c>
      <c r="G11617">
        <v>5841892</v>
      </c>
      <c r="H11617">
        <v>12298886</v>
      </c>
      <c r="I11617">
        <v>20862083</v>
      </c>
      <c r="J11617">
        <v>7</v>
      </c>
    </row>
    <row r="11618" spans="1:10" x14ac:dyDescent="0.25">
      <c r="A11618" t="s">
        <v>1606</v>
      </c>
      <c r="B11618" s="1" t="str">
        <f>HYPERLINK("http://hs-sites-eu1.com","hs-sites-eu1.com")</f>
        <v>hs-sites-eu1.com</v>
      </c>
      <c r="C11618" t="s">
        <v>433</v>
      </c>
      <c r="E11618">
        <v>390875</v>
      </c>
      <c r="F11618">
        <v>4.0965761740778799E-7</v>
      </c>
      <c r="G11618">
        <v>91758</v>
      </c>
      <c r="H11618">
        <v>13501541</v>
      </c>
      <c r="I11618">
        <v>9968255</v>
      </c>
      <c r="J11618">
        <v>5</v>
      </c>
    </row>
    <row r="11619" spans="1:10" x14ac:dyDescent="0.25">
      <c r="A11619" t="s">
        <v>1606</v>
      </c>
      <c r="B11619" s="1" t="str">
        <f>HYPERLINK("http://imbills.com","imbills.com")</f>
        <v>imbills.com</v>
      </c>
      <c r="C11619" t="s">
        <v>433</v>
      </c>
      <c r="E11619">
        <v>315541</v>
      </c>
      <c r="F11619">
        <v>4.8155079707825103E-9</v>
      </c>
      <c r="G11619">
        <v>35435869</v>
      </c>
      <c r="H11619">
        <v>12110669</v>
      </c>
      <c r="I11619">
        <v>25708349</v>
      </c>
      <c r="J11619">
        <v>2</v>
      </c>
    </row>
    <row r="11620" spans="1:10" x14ac:dyDescent="0.25">
      <c r="A11620" t="s">
        <v>1606</v>
      </c>
      <c r="B11620" s="1" t="str">
        <f>HYPERLINK("http://imd-soft.com","imd-soft.com")</f>
        <v>imd-soft.com</v>
      </c>
      <c r="C11620" t="s">
        <v>433</v>
      </c>
      <c r="F11620">
        <v>1.7317002982960999E-8</v>
      </c>
      <c r="G11620">
        <v>3194962</v>
      </c>
      <c r="H11620">
        <v>13444223</v>
      </c>
      <c r="I11620">
        <v>10223376</v>
      </c>
      <c r="J11620">
        <v>3</v>
      </c>
    </row>
    <row r="11621" spans="1:10" x14ac:dyDescent="0.25">
      <c r="A11621" t="s">
        <v>1606</v>
      </c>
      <c r="B11621" s="1" t="str">
        <f>HYPERLINK("http://imone.com","imone.com")</f>
        <v>imone.com</v>
      </c>
      <c r="C11621" t="s">
        <v>433</v>
      </c>
      <c r="E11621">
        <v>466308</v>
      </c>
      <c r="F11621">
        <v>4.44381528729672E-9</v>
      </c>
      <c r="G11621">
        <v>79370128</v>
      </c>
      <c r="H11621">
        <v>10358497</v>
      </c>
      <c r="I11621">
        <v>55362095</v>
      </c>
      <c r="J11621">
        <v>2</v>
      </c>
    </row>
    <row r="11622" spans="1:10" x14ac:dyDescent="0.25">
      <c r="A11622" t="s">
        <v>1606</v>
      </c>
      <c r="B11622" s="1" t="str">
        <f>HYPERLINK("http://indicater.com","indicater.com")</f>
        <v>indicater.com</v>
      </c>
      <c r="C11622" t="s">
        <v>433</v>
      </c>
      <c r="E11622">
        <v>371923</v>
      </c>
      <c r="F11622">
        <v>7.8223572764389897E-9</v>
      </c>
      <c r="G11622">
        <v>10271986</v>
      </c>
      <c r="H11622">
        <v>12789568</v>
      </c>
      <c r="I11622">
        <v>14690372</v>
      </c>
      <c r="J11622">
        <v>6</v>
      </c>
    </row>
    <row r="11623" spans="1:10" x14ac:dyDescent="0.25">
      <c r="A11623" t="s">
        <v>1606</v>
      </c>
      <c r="B11623" s="1" t="str">
        <f>HYPERLINK("http://ingeniousmed.com","ingeniousmed.com")</f>
        <v>ingeniousmed.com</v>
      </c>
      <c r="C11623" t="s">
        <v>433</v>
      </c>
      <c r="F11623">
        <v>2.9177659790209499E-8</v>
      </c>
      <c r="G11623">
        <v>1765207</v>
      </c>
      <c r="H11623">
        <v>13294434</v>
      </c>
      <c r="I11623">
        <v>10855900</v>
      </c>
      <c r="J11623">
        <v>3</v>
      </c>
    </row>
    <row r="11624" spans="1:10" x14ac:dyDescent="0.25">
      <c r="A11624" t="s">
        <v>1606</v>
      </c>
      <c r="B11624" s="1" t="str">
        <f>HYPERLINK("http://inservice2.com","inservice2.com")</f>
        <v>inservice2.com</v>
      </c>
      <c r="C11624" t="s">
        <v>433</v>
      </c>
      <c r="J11624">
        <v>2</v>
      </c>
    </row>
    <row r="11625" spans="1:10" x14ac:dyDescent="0.25">
      <c r="A11625" t="s">
        <v>1606</v>
      </c>
      <c r="B11625" s="1" t="str">
        <f>HYPERLINK("http://interact911.com","interact911.com")</f>
        <v>interact911.com</v>
      </c>
      <c r="C11625" t="s">
        <v>433</v>
      </c>
      <c r="F11625">
        <v>1.08624882324432E-8</v>
      </c>
      <c r="G11625">
        <v>5971154</v>
      </c>
      <c r="H11625">
        <v>13783299</v>
      </c>
      <c r="I11625">
        <v>6427560</v>
      </c>
      <c r="J11625">
        <v>3</v>
      </c>
    </row>
    <row r="11626" spans="1:10" x14ac:dyDescent="0.25">
      <c r="A11626" t="s">
        <v>1606</v>
      </c>
      <c r="B11626" s="1" t="str">
        <f>HYPERLINK("http://interchangecomms.com","interchangecomms.com")</f>
        <v>interchangecomms.com</v>
      </c>
      <c r="C11626" t="s">
        <v>433</v>
      </c>
      <c r="F11626">
        <v>1.7856882474089E-8</v>
      </c>
      <c r="G11626">
        <v>3062528</v>
      </c>
      <c r="H11626">
        <v>10875003</v>
      </c>
      <c r="I11626">
        <v>36412444</v>
      </c>
      <c r="J11626">
        <v>7</v>
      </c>
    </row>
    <row r="11627" spans="1:10" x14ac:dyDescent="0.25">
      <c r="A11627" t="s">
        <v>1606</v>
      </c>
      <c r="B11627" s="1" t="str">
        <f>HYPERLINK("http://interpumpfluidsolutions.com","interpumpfluidsolutions.com")</f>
        <v>interpumpfluidsolutions.com</v>
      </c>
      <c r="C11627" t="s">
        <v>433</v>
      </c>
      <c r="F11627">
        <v>2.2611591923306401E-8</v>
      </c>
      <c r="G11627">
        <v>2316270</v>
      </c>
      <c r="H11627">
        <v>10753734</v>
      </c>
      <c r="I11627">
        <v>39874237</v>
      </c>
      <c r="J11627">
        <v>12</v>
      </c>
    </row>
    <row r="11628" spans="1:10" x14ac:dyDescent="0.25">
      <c r="A11628" t="s">
        <v>1606</v>
      </c>
      <c r="B11628" s="1" t="str">
        <f>HYPERLINK("http://jobillico.com","jobillico.com")</f>
        <v>jobillico.com</v>
      </c>
      <c r="C11628" t="s">
        <v>433</v>
      </c>
      <c r="E11628">
        <v>105056</v>
      </c>
      <c r="F11628">
        <v>5.3380500468767897E-7</v>
      </c>
      <c r="G11628">
        <v>72204</v>
      </c>
      <c r="H11628">
        <v>14436128</v>
      </c>
      <c r="I11628">
        <v>1068450</v>
      </c>
      <c r="J11628">
        <v>3</v>
      </c>
    </row>
    <row r="11629" spans="1:10" x14ac:dyDescent="0.25">
      <c r="A11629" t="s">
        <v>1606</v>
      </c>
      <c r="B11629" s="1" t="str">
        <f>HYPERLINK("http://jonassoftware.com","jonassoftware.com")</f>
        <v>jonassoftware.com</v>
      </c>
      <c r="C11629" t="s">
        <v>433</v>
      </c>
      <c r="F11629">
        <v>6.1430636278218803E-8</v>
      </c>
      <c r="G11629">
        <v>716493</v>
      </c>
      <c r="H11629">
        <v>13010014</v>
      </c>
      <c r="I11629">
        <v>12752310</v>
      </c>
      <c r="J11629">
        <v>3</v>
      </c>
    </row>
    <row r="11630" spans="1:10" x14ac:dyDescent="0.25">
      <c r="A11630" t="s">
        <v>1606</v>
      </c>
      <c r="B11630" s="1" t="str">
        <f>HYPERLINK("http://justassociates.com","justassociates.com")</f>
        <v>justassociates.com</v>
      </c>
      <c r="C11630" t="s">
        <v>433</v>
      </c>
      <c r="F11630">
        <v>1.53800904283288E-8</v>
      </c>
      <c r="G11630">
        <v>3721531</v>
      </c>
      <c r="H11630">
        <v>13269665</v>
      </c>
      <c r="I11630">
        <v>10962541</v>
      </c>
      <c r="J11630">
        <v>3</v>
      </c>
    </row>
    <row r="11631" spans="1:10" x14ac:dyDescent="0.25">
      <c r="A11631" t="s">
        <v>1606</v>
      </c>
      <c r="B11631" s="1" t="str">
        <f>HYPERLINK("http://kineticsoftware.com","kineticsoftware.com")</f>
        <v>kineticsoftware.com</v>
      </c>
      <c r="C11631" t="s">
        <v>433</v>
      </c>
      <c r="F11631">
        <v>1.5896997904241601E-8</v>
      </c>
      <c r="G11631">
        <v>3573412</v>
      </c>
      <c r="H11631">
        <v>13358141</v>
      </c>
      <c r="I11631">
        <v>10592866</v>
      </c>
      <c r="J11631">
        <v>6</v>
      </c>
    </row>
    <row r="11632" spans="1:10" x14ac:dyDescent="0.25">
      <c r="A11632" t="s">
        <v>1606</v>
      </c>
      <c r="B11632" s="1" t="str">
        <f>HYPERLINK("http://lifecycle-software.com","lifecycle-software.com")</f>
        <v>lifecycle-software.com</v>
      </c>
      <c r="C11632" t="s">
        <v>433</v>
      </c>
      <c r="F11632">
        <v>8.2275232754589404E-9</v>
      </c>
      <c r="G11632">
        <v>9441768</v>
      </c>
      <c r="H11632">
        <v>12650070</v>
      </c>
      <c r="I11632">
        <v>15797700</v>
      </c>
      <c r="J11632">
        <v>3</v>
      </c>
    </row>
    <row r="11633" spans="1:10" x14ac:dyDescent="0.25">
      <c r="A11633" t="s">
        <v>1606</v>
      </c>
      <c r="B11633" s="1" t="str">
        <f>HYPERLINK("http://magentammt.com","magentammt.com")</f>
        <v>magentammt.com</v>
      </c>
      <c r="C11633" t="s">
        <v>433</v>
      </c>
      <c r="F11633">
        <v>1.4084641962335199E-8</v>
      </c>
      <c r="G11633">
        <v>4171327</v>
      </c>
      <c r="H11633">
        <v>12860655</v>
      </c>
      <c r="I11633">
        <v>14197138</v>
      </c>
      <c r="J11633">
        <v>4</v>
      </c>
    </row>
    <row r="11634" spans="1:10" x14ac:dyDescent="0.25">
      <c r="A11634" t="s">
        <v>1606</v>
      </c>
      <c r="B11634" s="1" t="str">
        <f>HYPERLINK("http://martindawessystems.com","martindawessystems.com")</f>
        <v>martindawessystems.com</v>
      </c>
      <c r="C11634" t="s">
        <v>433</v>
      </c>
      <c r="F11634">
        <v>7.5156394855510392E-9</v>
      </c>
      <c r="G11634">
        <v>10978456</v>
      </c>
      <c r="H11634">
        <v>13034913</v>
      </c>
      <c r="I11634">
        <v>12649476</v>
      </c>
      <c r="J11634">
        <v>3</v>
      </c>
    </row>
    <row r="11635" spans="1:10" x14ac:dyDescent="0.25">
      <c r="A11635" t="s">
        <v>1606</v>
      </c>
      <c r="B11635" s="1" t="str">
        <f>HYPERLINK("http://mcr-systems.com","mcr-systems.com")</f>
        <v>mcr-systems.com</v>
      </c>
      <c r="C11635" t="s">
        <v>433</v>
      </c>
      <c r="F11635">
        <v>5.2530324527769698E-9</v>
      </c>
      <c r="G11635">
        <v>24211819</v>
      </c>
      <c r="H11635">
        <v>13764207</v>
      </c>
      <c r="I11635">
        <v>7336977</v>
      </c>
      <c r="J11635">
        <v>7</v>
      </c>
    </row>
    <row r="11636" spans="1:10" x14ac:dyDescent="0.25">
      <c r="A11636" t="s">
        <v>1606</v>
      </c>
      <c r="B11636" s="1" t="str">
        <f>HYPERLINK("http://medcon.com","medcon.com")</f>
        <v>medcon.com</v>
      </c>
      <c r="C11636" t="s">
        <v>433</v>
      </c>
      <c r="E11636">
        <v>992414</v>
      </c>
      <c r="F11636">
        <v>4.68499502778673E-9</v>
      </c>
      <c r="G11636">
        <v>42054850</v>
      </c>
      <c r="H11636">
        <v>12249794</v>
      </c>
      <c r="I11636">
        <v>22018556</v>
      </c>
      <c r="J11636">
        <v>7</v>
      </c>
    </row>
    <row r="11637" spans="1:10" x14ac:dyDescent="0.25">
      <c r="A11637" t="s">
        <v>1606</v>
      </c>
      <c r="B11637" s="1" t="str">
        <f>HYPERLINK("http://media-x.com","media-x.com")</f>
        <v>media-x.com</v>
      </c>
      <c r="C11637" t="s">
        <v>433</v>
      </c>
      <c r="F11637">
        <v>5.04219911189305E-8</v>
      </c>
      <c r="G11637">
        <v>911483</v>
      </c>
      <c r="H11637">
        <v>16968008</v>
      </c>
      <c r="I11637">
        <v>103381</v>
      </c>
      <c r="J11637">
        <v>3</v>
      </c>
    </row>
    <row r="11638" spans="1:10" x14ac:dyDescent="0.25">
      <c r="A11638" t="s">
        <v>1606</v>
      </c>
      <c r="B11638" s="1" t="str">
        <f>HYPERLINK("http://medisolution.com","medisolution.com")</f>
        <v>medisolution.com</v>
      </c>
      <c r="C11638" t="s">
        <v>433</v>
      </c>
      <c r="F11638">
        <v>1.1201432082558899E-8</v>
      </c>
      <c r="G11638">
        <v>5712126</v>
      </c>
      <c r="H11638">
        <v>13089099</v>
      </c>
      <c r="I11638">
        <v>12148684</v>
      </c>
      <c r="J11638">
        <v>3</v>
      </c>
    </row>
    <row r="11639" spans="1:10" x14ac:dyDescent="0.25">
      <c r="A11639" t="s">
        <v>1606</v>
      </c>
      <c r="B11639" s="1" t="str">
        <f>HYPERLINK("http://membersfirst.com","membersfirst.com")</f>
        <v>membersfirst.com</v>
      </c>
      <c r="C11639" t="s">
        <v>433</v>
      </c>
      <c r="F11639">
        <v>2.2184297696407199E-7</v>
      </c>
      <c r="G11639">
        <v>169906</v>
      </c>
      <c r="H11639">
        <v>13357026</v>
      </c>
      <c r="I11639">
        <v>10595446</v>
      </c>
      <c r="J11639">
        <v>3</v>
      </c>
    </row>
    <row r="11640" spans="1:10" x14ac:dyDescent="0.25">
      <c r="A11640" t="s">
        <v>1606</v>
      </c>
      <c r="B11640" s="1" t="str">
        <f>HYPERLINK("http://membersolutions.com","membersolutions.com")</f>
        <v>membersolutions.com</v>
      </c>
      <c r="C11640" t="s">
        <v>433</v>
      </c>
      <c r="E11640">
        <v>419506</v>
      </c>
      <c r="F11640">
        <v>1.07056281136502E-7</v>
      </c>
      <c r="G11640">
        <v>373975</v>
      </c>
      <c r="H11640">
        <v>14203657</v>
      </c>
      <c r="I11640">
        <v>1715695</v>
      </c>
      <c r="J11640">
        <v>3</v>
      </c>
    </row>
    <row r="11641" spans="1:10" x14ac:dyDescent="0.25">
      <c r="A11641" t="s">
        <v>1606</v>
      </c>
      <c r="B11641" s="1" t="str">
        <f>HYPERLINK("http://metafileweb.com","metafileweb.com")</f>
        <v>metafileweb.com</v>
      </c>
      <c r="C11641" t="s">
        <v>433</v>
      </c>
      <c r="F11641">
        <v>4.7382158292204299E-9</v>
      </c>
      <c r="G11641">
        <v>38889841</v>
      </c>
      <c r="H11641">
        <v>10767001</v>
      </c>
      <c r="I11641">
        <v>39362057</v>
      </c>
      <c r="J11641">
        <v>3</v>
      </c>
    </row>
    <row r="11642" spans="1:10" x14ac:dyDescent="0.25">
      <c r="A11642" t="s">
        <v>1606</v>
      </c>
      <c r="B11642" s="1" t="str">
        <f>HYPERLINK("http://midamericacomputer.com","midamericacomputer.com")</f>
        <v>midamericacomputer.com</v>
      </c>
      <c r="C11642" t="s">
        <v>433</v>
      </c>
      <c r="F11642">
        <v>5.0976779808917601E-9</v>
      </c>
      <c r="G11642">
        <v>27125635</v>
      </c>
      <c r="H11642">
        <v>12752196</v>
      </c>
      <c r="I11642">
        <v>15010699</v>
      </c>
      <c r="J11642">
        <v>3</v>
      </c>
    </row>
    <row r="11643" spans="1:10" x14ac:dyDescent="0.25">
      <c r="A11643" t="s">
        <v>1606</v>
      </c>
      <c r="B11643" s="1" t="str">
        <f>HYPERLINK("http://mobixell.com","mobixell.com")</f>
        <v>mobixell.com</v>
      </c>
      <c r="C11643" t="s">
        <v>433</v>
      </c>
      <c r="F11643">
        <v>1.0181074419340101E-8</v>
      </c>
      <c r="G11643">
        <v>6565606</v>
      </c>
      <c r="H11643">
        <v>14122611</v>
      </c>
      <c r="I11643">
        <v>2204141</v>
      </c>
      <c r="J11643">
        <v>6</v>
      </c>
    </row>
    <row r="11644" spans="1:10" x14ac:dyDescent="0.25">
      <c r="A11644" t="s">
        <v>1606</v>
      </c>
      <c r="B11644" s="1" t="str">
        <f>HYPERLINK("http://morcarellc.com","morcarellc.com")</f>
        <v>morcarellc.com</v>
      </c>
      <c r="C11644" t="s">
        <v>433</v>
      </c>
      <c r="F11644">
        <v>1.01411161526813E-8</v>
      </c>
      <c r="G11644">
        <v>6605438</v>
      </c>
      <c r="H11644">
        <v>12608007</v>
      </c>
      <c r="I11644">
        <v>16252125</v>
      </c>
      <c r="J11644">
        <v>3</v>
      </c>
    </row>
    <row r="11645" spans="1:10" x14ac:dyDescent="0.25">
      <c r="A11645" t="s">
        <v>1606</v>
      </c>
      <c r="B11645" s="1" t="str">
        <f>HYPERLINK("http://motiondata-vector.com","motiondata-vector.com")</f>
        <v>motiondata-vector.com</v>
      </c>
      <c r="C11645" t="s">
        <v>433</v>
      </c>
      <c r="F11645">
        <v>3.9748764439682102E-8</v>
      </c>
      <c r="G11645">
        <v>1299596</v>
      </c>
      <c r="H11645">
        <v>12043942</v>
      </c>
      <c r="I11645">
        <v>27383431</v>
      </c>
      <c r="J11645">
        <v>3</v>
      </c>
    </row>
    <row r="11646" spans="1:10" x14ac:dyDescent="0.25">
      <c r="A11646" t="s">
        <v>1606</v>
      </c>
      <c r="B11646" s="1" t="str">
        <f>HYPERLINK("http://netadminsystems.com","netadminsystems.com")</f>
        <v>netadminsystems.com</v>
      </c>
      <c r="C11646" t="s">
        <v>433</v>
      </c>
      <c r="F11646">
        <v>1.76557741805257E-8</v>
      </c>
      <c r="G11646">
        <v>3106516</v>
      </c>
      <c r="H11646">
        <v>12669940</v>
      </c>
      <c r="I11646">
        <v>15626480</v>
      </c>
      <c r="J11646">
        <v>3</v>
      </c>
    </row>
    <row r="11647" spans="1:10" x14ac:dyDescent="0.25">
      <c r="A11647" t="s">
        <v>1606</v>
      </c>
      <c r="B11647" s="1" t="str">
        <f>HYPERLINK("http://neuralt.com","neuralt.com")</f>
        <v>neuralt.com</v>
      </c>
      <c r="C11647" t="s">
        <v>433</v>
      </c>
      <c r="F11647">
        <v>2.8990005921765501E-8</v>
      </c>
      <c r="G11647">
        <v>1775962</v>
      </c>
      <c r="H11647">
        <v>12909893</v>
      </c>
      <c r="I11647">
        <v>13568837</v>
      </c>
      <c r="J11647">
        <v>3</v>
      </c>
    </row>
    <row r="11648" spans="1:10" x14ac:dyDescent="0.25">
      <c r="A11648" t="s">
        <v>1606</v>
      </c>
      <c r="B11648" s="1" t="str">
        <f>HYPERLINK("http://obix.com","obix.com")</f>
        <v>obix.com</v>
      </c>
      <c r="C11648" t="s">
        <v>433</v>
      </c>
      <c r="F11648">
        <v>1.3994078752161099E-8</v>
      </c>
      <c r="G11648">
        <v>4204951</v>
      </c>
      <c r="H11648">
        <v>12561734</v>
      </c>
      <c r="I11648">
        <v>16695478</v>
      </c>
      <c r="J11648">
        <v>3</v>
      </c>
    </row>
    <row r="11649" spans="1:10" x14ac:dyDescent="0.25">
      <c r="A11649" t="s">
        <v>1606</v>
      </c>
      <c r="B11649" s="1" t="str">
        <f>HYPERLINK("http://onetrail.com","onetrail.com")</f>
        <v>onetrail.com</v>
      </c>
      <c r="C11649" t="s">
        <v>433</v>
      </c>
      <c r="F11649">
        <v>1.23938965984575E-8</v>
      </c>
      <c r="G11649">
        <v>4942629</v>
      </c>
      <c r="H11649">
        <v>11256309</v>
      </c>
      <c r="I11649">
        <v>30854751</v>
      </c>
      <c r="J11649">
        <v>3</v>
      </c>
    </row>
    <row r="11650" spans="1:10" x14ac:dyDescent="0.25">
      <c r="A11650" t="s">
        <v>1606</v>
      </c>
      <c r="B11650" s="1" t="str">
        <f>HYPERLINK("http://pgsolutions.com","pgsolutions.com")</f>
        <v>pgsolutions.com</v>
      </c>
      <c r="C11650" t="s">
        <v>433</v>
      </c>
      <c r="F11650">
        <v>3.0450150434096199E-8</v>
      </c>
      <c r="G11650">
        <v>1690843</v>
      </c>
      <c r="H11650">
        <v>12714031</v>
      </c>
      <c r="I11650">
        <v>15280584</v>
      </c>
      <c r="J11650">
        <v>3</v>
      </c>
    </row>
    <row r="11651" spans="1:10" x14ac:dyDescent="0.25">
      <c r="A11651" t="s">
        <v>1606</v>
      </c>
      <c r="B11651" s="1" t="str">
        <f>HYPERLINK("http://picis.com","picis.com")</f>
        <v>picis.com</v>
      </c>
      <c r="C11651" t="s">
        <v>433</v>
      </c>
      <c r="F11651">
        <v>4.9004520714038299E-8</v>
      </c>
      <c r="G11651">
        <v>945183</v>
      </c>
      <c r="H11651">
        <v>14189959</v>
      </c>
      <c r="I11651">
        <v>1757045</v>
      </c>
      <c r="J11651">
        <v>3</v>
      </c>
    </row>
    <row r="11652" spans="1:10" x14ac:dyDescent="0.25">
      <c r="A11652" t="s">
        <v>1606</v>
      </c>
      <c r="B11652" s="1" t="str">
        <f>HYPERLINK("http://practicefusion.com","practicefusion.com")</f>
        <v>practicefusion.com</v>
      </c>
      <c r="C11652" t="s">
        <v>433</v>
      </c>
      <c r="E11652">
        <v>23883</v>
      </c>
      <c r="F11652">
        <v>2.16268786040709E-6</v>
      </c>
      <c r="G11652">
        <v>16956</v>
      </c>
      <c r="H11652">
        <v>15165507</v>
      </c>
      <c r="I11652">
        <v>398612</v>
      </c>
      <c r="J11652">
        <v>9</v>
      </c>
    </row>
    <row r="11653" spans="1:10" x14ac:dyDescent="0.25">
      <c r="A11653" t="s">
        <v>1606</v>
      </c>
      <c r="B11653" s="1" t="str">
        <f>HYPERLINK("http://prognocis.com","prognocis.com")</f>
        <v>prognocis.com</v>
      </c>
      <c r="C11653" t="s">
        <v>433</v>
      </c>
      <c r="E11653">
        <v>52522</v>
      </c>
      <c r="F11653">
        <v>1.3826499377664001E-7</v>
      </c>
      <c r="G11653">
        <v>281764</v>
      </c>
      <c r="H11653">
        <v>13647911</v>
      </c>
      <c r="I11653">
        <v>9607195</v>
      </c>
      <c r="J11653">
        <v>3</v>
      </c>
    </row>
    <row r="11654" spans="1:10" x14ac:dyDescent="0.25">
      <c r="A11654" t="s">
        <v>1606</v>
      </c>
      <c r="B11654" s="1" t="str">
        <f>HYPERLINK("http://prosofttech.com","prosofttech.com")</f>
        <v>prosofttech.com</v>
      </c>
      <c r="C11654" t="s">
        <v>433</v>
      </c>
      <c r="F11654">
        <v>4.5123935490870902E-9</v>
      </c>
      <c r="G11654">
        <v>57191840</v>
      </c>
      <c r="H11654">
        <v>10620736</v>
      </c>
      <c r="I11654">
        <v>44237953</v>
      </c>
      <c r="J11654">
        <v>3</v>
      </c>
    </row>
    <row r="11655" spans="1:10" x14ac:dyDescent="0.25">
      <c r="A11655" t="s">
        <v>1606</v>
      </c>
      <c r="B11655" s="1" t="str">
        <f>HYPERLINK("http://puskee.com","puskee.com")</f>
        <v>puskee.com</v>
      </c>
      <c r="C11655" t="s">
        <v>433</v>
      </c>
      <c r="F11655">
        <v>6.2228356285825803E-9</v>
      </c>
      <c r="G11655">
        <v>15411137</v>
      </c>
      <c r="H11655">
        <v>7678221</v>
      </c>
      <c r="I11655">
        <v>76020782</v>
      </c>
      <c r="J11655">
        <v>7</v>
      </c>
    </row>
    <row r="11656" spans="1:10" x14ac:dyDescent="0.25">
      <c r="A11656" t="s">
        <v>1606</v>
      </c>
      <c r="B11656" s="1" t="str">
        <f>HYPERLINK("http://qms-us.com","qms-us.com")</f>
        <v>qms-us.com</v>
      </c>
      <c r="C11656" t="s">
        <v>433</v>
      </c>
      <c r="F11656">
        <v>6.0543172110346499E-9</v>
      </c>
      <c r="G11656">
        <v>16357472</v>
      </c>
      <c r="H11656">
        <v>13764339</v>
      </c>
      <c r="I11656">
        <v>7291923</v>
      </c>
      <c r="J11656">
        <v>3</v>
      </c>
    </row>
    <row r="11657" spans="1:10" x14ac:dyDescent="0.25">
      <c r="A11657" t="s">
        <v>1606</v>
      </c>
      <c r="B11657" s="1" t="str">
        <f>HYPERLINK("http://qss.com","qss.com")</f>
        <v>qss.com</v>
      </c>
      <c r="C11657" t="s">
        <v>433</v>
      </c>
      <c r="F11657">
        <v>1.7142019758924602E-8</v>
      </c>
      <c r="G11657">
        <v>3251585</v>
      </c>
      <c r="H11657">
        <v>12881594</v>
      </c>
      <c r="I11657">
        <v>13992280</v>
      </c>
      <c r="J11657">
        <v>3</v>
      </c>
    </row>
    <row r="11658" spans="1:10" x14ac:dyDescent="0.25">
      <c r="A11658" t="s">
        <v>1606</v>
      </c>
      <c r="B11658" s="1" t="str">
        <f>HYPERLINK("http://quadramed.com","quadramed.com")</f>
        <v>quadramed.com</v>
      </c>
      <c r="C11658" t="s">
        <v>433</v>
      </c>
      <c r="F11658">
        <v>2.3087975165394201E-8</v>
      </c>
      <c r="G11658">
        <v>2261405</v>
      </c>
      <c r="H11658">
        <v>14212506</v>
      </c>
      <c r="I11658">
        <v>1699268</v>
      </c>
      <c r="J11658">
        <v>3</v>
      </c>
    </row>
    <row r="11659" spans="1:10" x14ac:dyDescent="0.25">
      <c r="A11659" t="s">
        <v>1606</v>
      </c>
      <c r="B11659" s="1" t="str">
        <f>HYPERLINK("http://quicksilva.com","quicksilva.com")</f>
        <v>quicksilva.com</v>
      </c>
      <c r="C11659" t="s">
        <v>433</v>
      </c>
      <c r="F11659">
        <v>1.47298003126941E-8</v>
      </c>
      <c r="G11659">
        <v>3930804</v>
      </c>
      <c r="H11659">
        <v>10922413</v>
      </c>
      <c r="I11659">
        <v>35226467</v>
      </c>
      <c r="J11659">
        <v>9</v>
      </c>
    </row>
    <row r="11660" spans="1:10" x14ac:dyDescent="0.25">
      <c r="A11660" t="s">
        <v>1606</v>
      </c>
      <c r="B11660" s="1" t="str">
        <f>HYPERLINK("http://qxlva.com","qxlva.com")</f>
        <v>qxlva.com</v>
      </c>
      <c r="C11660" t="s">
        <v>433</v>
      </c>
      <c r="F11660">
        <v>1.03706152264086E-8</v>
      </c>
      <c r="G11660">
        <v>6385607</v>
      </c>
      <c r="H11660">
        <v>13145723</v>
      </c>
      <c r="I11660">
        <v>11848268</v>
      </c>
      <c r="J11660">
        <v>6</v>
      </c>
    </row>
    <row r="11661" spans="1:10" x14ac:dyDescent="0.25">
      <c r="A11661" t="s">
        <v>1606</v>
      </c>
      <c r="B11661" s="1" t="str">
        <f>HYPERLINK("http://reversevision.com","reversevision.com")</f>
        <v>reversevision.com</v>
      </c>
      <c r="C11661" t="s">
        <v>433</v>
      </c>
      <c r="E11661">
        <v>893601</v>
      </c>
      <c r="F11661">
        <v>3.0939068658753397E-8</v>
      </c>
      <c r="G11661">
        <v>1665342</v>
      </c>
      <c r="H11661">
        <v>13586558</v>
      </c>
      <c r="I11661">
        <v>9675468</v>
      </c>
      <c r="J11661">
        <v>3</v>
      </c>
    </row>
    <row r="11662" spans="1:10" x14ac:dyDescent="0.25">
      <c r="A11662" t="s">
        <v>1606</v>
      </c>
      <c r="B11662" s="1" t="str">
        <f>HYPERLINK("http://rtsystem.com","rtsystem.com")</f>
        <v>rtsystem.com</v>
      </c>
      <c r="C11662" t="s">
        <v>433</v>
      </c>
      <c r="F11662">
        <v>9.5103705538477401E-9</v>
      </c>
      <c r="G11662">
        <v>7310207</v>
      </c>
      <c r="H11662">
        <v>12226663</v>
      </c>
      <c r="I11662">
        <v>22605520</v>
      </c>
      <c r="J11662">
        <v>3</v>
      </c>
    </row>
    <row r="11663" spans="1:10" x14ac:dyDescent="0.25">
      <c r="A11663" t="s">
        <v>1606</v>
      </c>
      <c r="B11663" s="1" t="str">
        <f>HYPERLINK("http://salarinc.com","salarinc.com")</f>
        <v>salarinc.com</v>
      </c>
      <c r="C11663" t="s">
        <v>433</v>
      </c>
      <c r="F11663">
        <v>4.8531768711763504E-9</v>
      </c>
      <c r="G11663">
        <v>34039110</v>
      </c>
      <c r="H11663">
        <v>12918915</v>
      </c>
      <c r="I11663">
        <v>13450511</v>
      </c>
      <c r="J11663">
        <v>3</v>
      </c>
    </row>
    <row r="11664" spans="1:10" x14ac:dyDescent="0.25">
      <c r="A11664" t="s">
        <v>1606</v>
      </c>
      <c r="B11664" s="1" t="str">
        <f>HYPERLINK("http://searocgroup.com","searocgroup.com")</f>
        <v>searocgroup.com</v>
      </c>
      <c r="C11664" t="s">
        <v>433</v>
      </c>
      <c r="J11664">
        <v>5</v>
      </c>
    </row>
    <row r="11665" spans="1:10" x14ac:dyDescent="0.25">
      <c r="A11665" t="s">
        <v>1606</v>
      </c>
      <c r="B11665" s="1" t="str">
        <f>HYPERLINK("http://shortcutssoftware.com","shortcutssoftware.com")</f>
        <v>shortcutssoftware.com</v>
      </c>
      <c r="C11665" t="s">
        <v>433</v>
      </c>
      <c r="E11665">
        <v>103905</v>
      </c>
      <c r="F11665">
        <v>6.1068098055821297E-8</v>
      </c>
      <c r="G11665">
        <v>721406</v>
      </c>
      <c r="H11665">
        <v>12843142</v>
      </c>
      <c r="I11665">
        <v>14329590</v>
      </c>
      <c r="J11665">
        <v>3</v>
      </c>
    </row>
    <row r="11666" spans="1:10" x14ac:dyDescent="0.25">
      <c r="A11666" t="s">
        <v>1606</v>
      </c>
      <c r="B11666" s="1" t="str">
        <f>HYPERLINK("http://showdata.com","showdata.com")</f>
        <v>showdata.com</v>
      </c>
      <c r="C11666" t="s">
        <v>433</v>
      </c>
      <c r="F11666">
        <v>9.6973113580020393E-9</v>
      </c>
      <c r="G11666">
        <v>7083710</v>
      </c>
      <c r="H11666">
        <v>10695862</v>
      </c>
      <c r="I11666">
        <v>42390265</v>
      </c>
      <c r="J11666">
        <v>7</v>
      </c>
    </row>
    <row r="11667" spans="1:10" x14ac:dyDescent="0.25">
      <c r="A11667" t="s">
        <v>1606</v>
      </c>
      <c r="B11667" s="1" t="str">
        <f>HYPERLINK("http://sicap.com","sicap.com")</f>
        <v>sicap.com</v>
      </c>
      <c r="C11667" t="s">
        <v>433</v>
      </c>
      <c r="F11667">
        <v>2.9260899919309101E-8</v>
      </c>
      <c r="G11667">
        <v>1760546</v>
      </c>
      <c r="H11667">
        <v>13977901</v>
      </c>
      <c r="I11667">
        <v>4056799</v>
      </c>
      <c r="J11667">
        <v>3</v>
      </c>
    </row>
    <row r="11668" spans="1:10" x14ac:dyDescent="0.25">
      <c r="A11668" t="s">
        <v>1606</v>
      </c>
      <c r="B11668" s="1" t="str">
        <f>HYPERLINK("http://ssp-uk.com","ssp-uk.com")</f>
        <v>ssp-uk.com</v>
      </c>
      <c r="C11668" t="s">
        <v>433</v>
      </c>
      <c r="F11668">
        <v>7.6713234239922796E-9</v>
      </c>
      <c r="G11668">
        <v>10641194</v>
      </c>
      <c r="H11668">
        <v>12796347</v>
      </c>
      <c r="I11668">
        <v>14654226</v>
      </c>
      <c r="J11668">
        <v>6</v>
      </c>
    </row>
    <row r="11669" spans="1:10" x14ac:dyDescent="0.25">
      <c r="A11669" t="s">
        <v>1606</v>
      </c>
      <c r="B11669" s="1" t="str">
        <f>HYPERLINK("http://ssp-worldwide.com","ssp-worldwide.com")</f>
        <v>ssp-worldwide.com</v>
      </c>
      <c r="C11669" t="s">
        <v>433</v>
      </c>
      <c r="F11669">
        <v>2.12611489480378E-8</v>
      </c>
      <c r="G11669">
        <v>2479102</v>
      </c>
      <c r="H11669">
        <v>13375748</v>
      </c>
      <c r="I11669">
        <v>10443590</v>
      </c>
      <c r="J11669">
        <v>3</v>
      </c>
    </row>
    <row r="11670" spans="1:10" x14ac:dyDescent="0.25">
      <c r="A11670" t="s">
        <v>1606</v>
      </c>
      <c r="B11670" s="1" t="str">
        <f>HYPERLINK("http://starhomemach.com","starhomemach.com")</f>
        <v>starhomemach.com</v>
      </c>
      <c r="C11670" t="s">
        <v>433</v>
      </c>
      <c r="F11670">
        <v>7.4252562430454502E-9</v>
      </c>
      <c r="G11670">
        <v>11183022</v>
      </c>
      <c r="H11670">
        <v>13262638</v>
      </c>
      <c r="I11670">
        <v>11031672</v>
      </c>
      <c r="J11670">
        <v>3</v>
      </c>
    </row>
    <row r="11671" spans="1:10" x14ac:dyDescent="0.25">
      <c r="A11671" t="s">
        <v>1606</v>
      </c>
      <c r="B11671" s="1" t="str">
        <f>HYPERLINK("http://symbrio.com","symbrio.com")</f>
        <v>symbrio.com</v>
      </c>
      <c r="C11671" t="s">
        <v>433</v>
      </c>
      <c r="F11671">
        <v>8.2914355867605006E-9</v>
      </c>
      <c r="G11671">
        <v>9279563</v>
      </c>
      <c r="H11671">
        <v>12170916</v>
      </c>
      <c r="I11671">
        <v>24047361</v>
      </c>
      <c r="J11671">
        <v>3</v>
      </c>
    </row>
    <row r="11672" spans="1:10" x14ac:dyDescent="0.25">
      <c r="A11672" t="s">
        <v>1606</v>
      </c>
      <c r="B11672" s="1" t="str">
        <f>HYPERLINK("http://tatacoffeesonnets.com","tatacoffeesonnets.com")</f>
        <v>tatacoffeesonnets.com</v>
      </c>
      <c r="C11672" t="s">
        <v>433</v>
      </c>
      <c r="F11672">
        <v>1.0915241299643999E-8</v>
      </c>
      <c r="G11672">
        <v>5930626</v>
      </c>
      <c r="H11672">
        <v>12702912</v>
      </c>
      <c r="I11672">
        <v>15339244</v>
      </c>
      <c r="J11672">
        <v>7</v>
      </c>
    </row>
    <row r="11673" spans="1:10" x14ac:dyDescent="0.25">
      <c r="A11673" t="s">
        <v>1606</v>
      </c>
      <c r="B11673" s="1" t="str">
        <f>HYPERLINK("http://tatatea1868.com","tatatea1868.com")</f>
        <v>tatatea1868.com</v>
      </c>
      <c r="C11673" t="s">
        <v>433</v>
      </c>
      <c r="F11673">
        <v>1.08146015785223E-8</v>
      </c>
      <c r="G11673">
        <v>6009144</v>
      </c>
      <c r="H11673">
        <v>11535838</v>
      </c>
      <c r="I11673">
        <v>29982830</v>
      </c>
      <c r="J11673">
        <v>7</v>
      </c>
    </row>
    <row r="11674" spans="1:10" x14ac:dyDescent="0.25">
      <c r="A11674" t="s">
        <v>1606</v>
      </c>
      <c r="B11674" s="1" t="str">
        <f>HYPERLINK("http://technidata-web.com","technidata-web.com")</f>
        <v>technidata-web.com</v>
      </c>
      <c r="C11674" t="s">
        <v>433</v>
      </c>
      <c r="F11674">
        <v>1.8791676936049899E-8</v>
      </c>
      <c r="G11674">
        <v>2873041</v>
      </c>
      <c r="H11674">
        <v>14086203</v>
      </c>
      <c r="I11674">
        <v>2771821</v>
      </c>
      <c r="J11674">
        <v>3</v>
      </c>
    </row>
    <row r="11675" spans="1:10" x14ac:dyDescent="0.25">
      <c r="A11675" t="s">
        <v>1606</v>
      </c>
      <c r="B11675" s="1" t="str">
        <f>HYPERLINK("http://tecplot.com","tecplot.com")</f>
        <v>tecplot.com</v>
      </c>
      <c r="C11675" t="s">
        <v>433</v>
      </c>
      <c r="E11675">
        <v>636863</v>
      </c>
      <c r="F11675">
        <v>1.5132000357976101E-7</v>
      </c>
      <c r="G11675">
        <v>256693</v>
      </c>
      <c r="H11675">
        <v>14638563</v>
      </c>
      <c r="I11675">
        <v>638453</v>
      </c>
      <c r="J11675">
        <v>3</v>
      </c>
    </row>
    <row r="11676" spans="1:10" x14ac:dyDescent="0.25">
      <c r="A11676" t="s">
        <v>1606</v>
      </c>
      <c r="B11676" s="1" t="str">
        <f>HYPERLINK("http://telarix.com","telarix.com")</f>
        <v>telarix.com</v>
      </c>
      <c r="C11676" t="s">
        <v>433</v>
      </c>
      <c r="F11676">
        <v>1.5989211227416699E-8</v>
      </c>
      <c r="G11676">
        <v>3549017</v>
      </c>
      <c r="H11676">
        <v>13090053</v>
      </c>
      <c r="I11676">
        <v>12145381</v>
      </c>
      <c r="J11676">
        <v>3</v>
      </c>
    </row>
    <row r="11677" spans="1:10" x14ac:dyDescent="0.25">
      <c r="A11677" t="s">
        <v>1606</v>
      </c>
      <c r="B11677" s="1" t="str">
        <f>HYPERLINK("http://topicus.com","topicus.com")</f>
        <v>topicus.com</v>
      </c>
      <c r="C11677" t="s">
        <v>433</v>
      </c>
      <c r="E11677">
        <v>977338</v>
      </c>
      <c r="F11677">
        <v>3.7931477841302598E-8</v>
      </c>
      <c r="G11677">
        <v>1364346</v>
      </c>
      <c r="H11677">
        <v>13574217</v>
      </c>
      <c r="I11677">
        <v>9707057</v>
      </c>
      <c r="J11677">
        <v>3</v>
      </c>
    </row>
    <row r="11678" spans="1:10" x14ac:dyDescent="0.25">
      <c r="A11678" t="s">
        <v>1606</v>
      </c>
      <c r="B11678" s="1" t="str">
        <f>HYPERLINK("http://topproducer.com","topproducer.com")</f>
        <v>topproducer.com</v>
      </c>
      <c r="C11678" t="s">
        <v>433</v>
      </c>
      <c r="E11678">
        <v>319154</v>
      </c>
      <c r="F11678">
        <v>8.8318857972474504E-7</v>
      </c>
      <c r="G11678">
        <v>45504</v>
      </c>
      <c r="H11678">
        <v>13932714</v>
      </c>
      <c r="I11678">
        <v>5927934</v>
      </c>
      <c r="J11678">
        <v>3</v>
      </c>
    </row>
    <row r="11679" spans="1:10" x14ac:dyDescent="0.25">
      <c r="A11679" t="s">
        <v>1606</v>
      </c>
      <c r="B11679" s="1" t="str">
        <f>HYPERLINK("http://topproducer8i.com","topproducer8i.com")</f>
        <v>topproducer8i.com</v>
      </c>
      <c r="C11679" t="s">
        <v>433</v>
      </c>
      <c r="E11679">
        <v>403933</v>
      </c>
      <c r="F11679">
        <v>4.8127412291645101E-8</v>
      </c>
      <c r="G11679">
        <v>965608</v>
      </c>
      <c r="H11679">
        <v>12295935</v>
      </c>
      <c r="I11679">
        <v>20947064</v>
      </c>
      <c r="J11679">
        <v>6</v>
      </c>
    </row>
    <row r="11680" spans="1:10" x14ac:dyDescent="0.25">
      <c r="A11680" t="s">
        <v>1606</v>
      </c>
      <c r="B11680" s="1" t="str">
        <f>HYPERLINK("http://totalspecificsolutions.com","totalspecificsolutions.com")</f>
        <v>totalspecificsolutions.com</v>
      </c>
      <c r="C11680" t="s">
        <v>433</v>
      </c>
      <c r="F11680">
        <v>8.6879735193282502E-8</v>
      </c>
      <c r="G11680">
        <v>472783</v>
      </c>
      <c r="H11680">
        <v>13471950</v>
      </c>
      <c r="I11680">
        <v>10031055</v>
      </c>
      <c r="J11680">
        <v>3</v>
      </c>
    </row>
    <row r="11681" spans="1:10" x14ac:dyDescent="0.25">
      <c r="A11681" t="s">
        <v>1606</v>
      </c>
      <c r="B11681" s="1" t="str">
        <f>HYPERLINK("http://trapezegroup.com","trapezegroup.com")</f>
        <v>trapezegroup.com</v>
      </c>
      <c r="C11681" t="s">
        <v>433</v>
      </c>
      <c r="E11681">
        <v>460859</v>
      </c>
      <c r="F11681">
        <v>9.8499692886239703E-8</v>
      </c>
      <c r="G11681">
        <v>409409</v>
      </c>
      <c r="H11681">
        <v>14220186</v>
      </c>
      <c r="I11681">
        <v>1686522</v>
      </c>
      <c r="J11681">
        <v>2</v>
      </c>
    </row>
    <row r="11682" spans="1:10" x14ac:dyDescent="0.25">
      <c r="A11682" t="s">
        <v>1606</v>
      </c>
      <c r="B11682" s="1" t="str">
        <f>HYPERLINK("http://tucasi.com","tucasi.com")</f>
        <v>tucasi.com</v>
      </c>
      <c r="C11682" t="s">
        <v>433</v>
      </c>
      <c r="F11682">
        <v>4.6581377819321897E-8</v>
      </c>
      <c r="G11682">
        <v>1003678</v>
      </c>
      <c r="H11682">
        <v>12975818</v>
      </c>
      <c r="I11682">
        <v>13014089</v>
      </c>
      <c r="J11682">
        <v>6</v>
      </c>
    </row>
    <row r="11683" spans="1:10" x14ac:dyDescent="0.25">
      <c r="A11683" t="s">
        <v>1606</v>
      </c>
      <c r="B11683" s="1" t="str">
        <f>HYPERLINK("http://ubersmith.com","ubersmith.com")</f>
        <v>ubersmith.com</v>
      </c>
      <c r="C11683" t="s">
        <v>433</v>
      </c>
      <c r="F11683">
        <v>2.5030015622533098E-7</v>
      </c>
      <c r="G11683">
        <v>149454</v>
      </c>
      <c r="H11683">
        <v>13459858</v>
      </c>
      <c r="I11683">
        <v>10170528</v>
      </c>
      <c r="J11683">
        <v>3</v>
      </c>
    </row>
    <row r="11684" spans="1:10" x14ac:dyDescent="0.25">
      <c r="A11684" t="s">
        <v>1606</v>
      </c>
      <c r="B11684" s="1" t="str">
        <f>HYPERLINK("http://varsitylogistics.com","varsitylogistics.com")</f>
        <v>varsitylogistics.com</v>
      </c>
      <c r="C11684" t="s">
        <v>433</v>
      </c>
      <c r="F11684">
        <v>4.6831640044396302E-8</v>
      </c>
      <c r="G11684">
        <v>997231</v>
      </c>
      <c r="H11684">
        <v>12903585</v>
      </c>
      <c r="I11684">
        <v>13837405</v>
      </c>
      <c r="J11684">
        <v>3</v>
      </c>
    </row>
    <row r="11685" spans="1:10" x14ac:dyDescent="0.25">
      <c r="A11685" t="s">
        <v>1606</v>
      </c>
      <c r="B11685" s="1" t="str">
        <f>HYPERLINK("http://vcisolutions.com","vcisolutions.com")</f>
        <v>vcisolutions.com</v>
      </c>
      <c r="C11685" t="s">
        <v>433</v>
      </c>
      <c r="F11685">
        <v>5.6286378726504103E-9</v>
      </c>
      <c r="G11685">
        <v>19590272</v>
      </c>
      <c r="H11685">
        <v>13113201</v>
      </c>
      <c r="I11685">
        <v>12024180</v>
      </c>
      <c r="J11685">
        <v>6</v>
      </c>
    </row>
    <row r="11686" spans="1:10" x14ac:dyDescent="0.25">
      <c r="A11686" t="s">
        <v>1606</v>
      </c>
      <c r="B11686" s="1" t="str">
        <f>HYPERLINK("http://velasoftwaregroup.com","velasoftwaregroup.com")</f>
        <v>velasoftwaregroup.com</v>
      </c>
      <c r="C11686" t="s">
        <v>433</v>
      </c>
      <c r="F11686">
        <v>3.1284275835009701E-8</v>
      </c>
      <c r="G11686">
        <v>1648278</v>
      </c>
      <c r="H11686">
        <v>12646755</v>
      </c>
      <c r="I11686">
        <v>15821745</v>
      </c>
      <c r="J11686">
        <v>3</v>
      </c>
    </row>
    <row r="11687" spans="1:10" x14ac:dyDescent="0.25">
      <c r="A11687" t="s">
        <v>1606</v>
      </c>
      <c r="B11687" s="1" t="str">
        <f>HYPERLINK("http://veradigm.com","veradigm.com")</f>
        <v>veradigm.com</v>
      </c>
      <c r="C11687" t="s">
        <v>433</v>
      </c>
      <c r="E11687">
        <v>179604</v>
      </c>
      <c r="F11687">
        <v>1.2968537645906301E-7</v>
      </c>
      <c r="G11687">
        <v>301900</v>
      </c>
      <c r="H11687">
        <v>14201090</v>
      </c>
      <c r="I11687">
        <v>1721418</v>
      </c>
      <c r="J11687">
        <v>9</v>
      </c>
    </row>
    <row r="11688" spans="1:10" x14ac:dyDescent="0.25">
      <c r="A11688" t="s">
        <v>1606</v>
      </c>
      <c r="B11688" s="1" t="str">
        <f>HYPERLINK("http://veradigmhealth.com","veradigmhealth.com")</f>
        <v>veradigmhealth.com</v>
      </c>
      <c r="C11688" t="s">
        <v>433</v>
      </c>
      <c r="F11688">
        <v>1.8689124742344498E-8</v>
      </c>
      <c r="G11688">
        <v>2891226</v>
      </c>
      <c r="H11688">
        <v>13260557</v>
      </c>
      <c r="I11688">
        <v>11039398</v>
      </c>
      <c r="J11688">
        <v>12</v>
      </c>
    </row>
    <row r="11689" spans="1:10" x14ac:dyDescent="0.25">
      <c r="A11689" t="s">
        <v>1606</v>
      </c>
      <c r="B11689" s="1" t="str">
        <f>HYPERLINK("http://vestasoftwaregroup.com","vestasoftwaregroup.com")</f>
        <v>vestasoftwaregroup.com</v>
      </c>
      <c r="C11689" t="s">
        <v>433</v>
      </c>
      <c r="F11689">
        <v>7.9972710069143704E-9</v>
      </c>
      <c r="G11689">
        <v>9925614</v>
      </c>
      <c r="H11689">
        <v>12126330</v>
      </c>
      <c r="I11689">
        <v>25247263</v>
      </c>
      <c r="J11689">
        <v>2</v>
      </c>
    </row>
    <row r="11690" spans="1:10" x14ac:dyDescent="0.25">
      <c r="A11690" t="s">
        <v>1606</v>
      </c>
      <c r="B11690" s="1" t="str">
        <f>HYPERLINK("http://volarisgroup.com","volarisgroup.com")</f>
        <v>volarisgroup.com</v>
      </c>
      <c r="C11690" t="s">
        <v>433</v>
      </c>
      <c r="E11690">
        <v>577216</v>
      </c>
      <c r="F11690">
        <v>1.4658951579333101E-7</v>
      </c>
      <c r="G11690">
        <v>265589</v>
      </c>
      <c r="H11690">
        <v>16925932</v>
      </c>
      <c r="I11690">
        <v>121846</v>
      </c>
      <c r="J11690">
        <v>3</v>
      </c>
    </row>
    <row r="11691" spans="1:10" x14ac:dyDescent="0.25">
      <c r="A11691" t="s">
        <v>1606</v>
      </c>
      <c r="B11691" s="1" t="str">
        <f>HYPERLINK("http://well-it.com","well-it.com")</f>
        <v>well-it.com</v>
      </c>
      <c r="C11691" t="s">
        <v>433</v>
      </c>
      <c r="F11691">
        <v>2.7458634951920501E-8</v>
      </c>
      <c r="G11691">
        <v>1872234</v>
      </c>
      <c r="H11691">
        <v>12251269</v>
      </c>
      <c r="I11691">
        <v>21989957</v>
      </c>
      <c r="J11691">
        <v>3</v>
      </c>
    </row>
    <row r="11692" spans="1:10" x14ac:dyDescent="0.25">
      <c r="A11692" t="s">
        <v>1606</v>
      </c>
      <c r="B11692" s="1" t="str">
        <f>HYPERLINK("http://wideorbit.com","wideorbit.com")</f>
        <v>wideorbit.com</v>
      </c>
      <c r="C11692" t="s">
        <v>433</v>
      </c>
      <c r="E11692">
        <v>148545</v>
      </c>
      <c r="F11692">
        <v>3.8426230780544398E-7</v>
      </c>
      <c r="G11692">
        <v>97443</v>
      </c>
      <c r="H11692">
        <v>14858975</v>
      </c>
      <c r="I11692">
        <v>485397</v>
      </c>
      <c r="J11692">
        <v>3</v>
      </c>
    </row>
    <row r="11693" spans="1:10" x14ac:dyDescent="0.25">
      <c r="A11693" t="s">
        <v>1606</v>
      </c>
      <c r="B11693" s="1" t="str">
        <f>HYPERLINK("http://wifispark.com","wifispark.com")</f>
        <v>wifispark.com</v>
      </c>
      <c r="C11693" t="s">
        <v>433</v>
      </c>
      <c r="F11693">
        <v>7.7022275367316597E-8</v>
      </c>
      <c r="G11693">
        <v>543907</v>
      </c>
      <c r="H11693">
        <v>13385018</v>
      </c>
      <c r="I11693">
        <v>10411782</v>
      </c>
      <c r="J11693">
        <v>4</v>
      </c>
    </row>
    <row r="11694" spans="1:10" x14ac:dyDescent="0.25">
      <c r="A11694" t="s">
        <v>1606</v>
      </c>
      <c r="B11694" s="1" t="str">
        <f>HYPERLINK("http://wiztivi.com","wiztivi.com")</f>
        <v>wiztivi.com</v>
      </c>
      <c r="C11694" t="s">
        <v>433</v>
      </c>
      <c r="F11694">
        <v>3.1613046855060697E-8</v>
      </c>
      <c r="G11694">
        <v>1632623</v>
      </c>
      <c r="H11694">
        <v>14072370</v>
      </c>
      <c r="I11694">
        <v>3104626</v>
      </c>
      <c r="J11694">
        <v>3</v>
      </c>
    </row>
    <row r="11695" spans="1:10" x14ac:dyDescent="0.25">
      <c r="A11695" t="s">
        <v>1606</v>
      </c>
      <c r="B11695" s="1" t="str">
        <f>HYPERLINK("http://wynnesystems.com","wynnesystems.com")</f>
        <v>wynnesystems.com</v>
      </c>
      <c r="C11695" t="s">
        <v>433</v>
      </c>
      <c r="E11695">
        <v>481210</v>
      </c>
      <c r="F11695">
        <v>6.9061177752636901E-8</v>
      </c>
      <c r="G11695">
        <v>615346</v>
      </c>
      <c r="H11695">
        <v>13113794</v>
      </c>
      <c r="I11695">
        <v>12022064</v>
      </c>
      <c r="J11695">
        <v>3</v>
      </c>
    </row>
    <row r="11696" spans="1:10" x14ac:dyDescent="0.25">
      <c r="A11696" t="s">
        <v>1606</v>
      </c>
      <c r="B11696" s="1" t="str">
        <f>HYPERLINK("http://xnleisure.com","xnleisure.com")</f>
        <v>xnleisure.com</v>
      </c>
      <c r="C11696" t="s">
        <v>433</v>
      </c>
      <c r="F11696">
        <v>9.0511531780757006E-9</v>
      </c>
      <c r="G11696">
        <v>7916259</v>
      </c>
      <c r="H11696">
        <v>12753720</v>
      </c>
      <c r="I11696">
        <v>14996834</v>
      </c>
      <c r="J11696">
        <v>3</v>
      </c>
    </row>
    <row r="11697" spans="1:10" x14ac:dyDescent="0.25">
      <c r="A11697" t="s">
        <v>1606</v>
      </c>
      <c r="B11697" s="1" t="str">
        <f>HYPERLINK("http://z57.com","z57.com")</f>
        <v>z57.com</v>
      </c>
      <c r="C11697" t="s">
        <v>433</v>
      </c>
      <c r="E11697">
        <v>405244</v>
      </c>
      <c r="F11697">
        <v>1.05748174740245E-7</v>
      </c>
      <c r="G11697">
        <v>378775</v>
      </c>
      <c r="H11697">
        <v>13186775</v>
      </c>
      <c r="I11697">
        <v>11615384</v>
      </c>
      <c r="J11697">
        <v>3</v>
      </c>
    </row>
    <row r="11698" spans="1:10" x14ac:dyDescent="0.25">
      <c r="A11698" t="s">
        <v>1606</v>
      </c>
      <c r="B11698" s="1" t="str">
        <f>HYPERLINK("http://a-w.de","a-w.de")</f>
        <v>a-w.de</v>
      </c>
      <c r="C11698" t="s">
        <v>436</v>
      </c>
      <c r="D11698" t="s">
        <v>815</v>
      </c>
      <c r="F11698">
        <v>1.1055556637903E-8</v>
      </c>
      <c r="G11698">
        <v>5818156</v>
      </c>
      <c r="H11698">
        <v>13943366</v>
      </c>
      <c r="I11698">
        <v>4315518</v>
      </c>
      <c r="J11698">
        <v>4</v>
      </c>
    </row>
    <row r="11699" spans="1:10" x14ac:dyDescent="0.25">
      <c r="A11699" t="s">
        <v>1606</v>
      </c>
      <c r="B11699" s="1" t="str">
        <f>HYPERLINK("http://aixconcept.de","aixconcept.de")</f>
        <v>aixconcept.de</v>
      </c>
      <c r="C11699" t="s">
        <v>436</v>
      </c>
      <c r="D11699" t="s">
        <v>815</v>
      </c>
      <c r="F11699">
        <v>2.87821897488388E-8</v>
      </c>
      <c r="G11699">
        <v>1788215</v>
      </c>
      <c r="H11699">
        <v>12974137</v>
      </c>
      <c r="I11699">
        <v>13021555</v>
      </c>
      <c r="J11699">
        <v>3</v>
      </c>
    </row>
    <row r="11700" spans="1:10" x14ac:dyDescent="0.25">
      <c r="A11700" t="s">
        <v>1606</v>
      </c>
      <c r="B11700" s="1" t="str">
        <f>HYPERLINK("http://amic.de","amic.de")</f>
        <v>amic.de</v>
      </c>
      <c r="C11700" t="s">
        <v>436</v>
      </c>
      <c r="D11700" t="s">
        <v>815</v>
      </c>
      <c r="F11700">
        <v>2.0363505522882899E-8</v>
      </c>
      <c r="G11700">
        <v>2604878</v>
      </c>
      <c r="H11700">
        <v>13180225</v>
      </c>
      <c r="I11700">
        <v>11684063</v>
      </c>
      <c r="J11700">
        <v>3</v>
      </c>
    </row>
    <row r="11701" spans="1:10" x14ac:dyDescent="0.25">
      <c r="A11701" t="s">
        <v>1606</v>
      </c>
      <c r="B11701" s="1" t="str">
        <f>HYPERLINK("http://ergovia.de","ergovia.de")</f>
        <v>ergovia.de</v>
      </c>
      <c r="C11701" t="s">
        <v>436</v>
      </c>
      <c r="D11701" t="s">
        <v>815</v>
      </c>
      <c r="F11701">
        <v>1.86734300589439E-8</v>
      </c>
      <c r="G11701">
        <v>2894098</v>
      </c>
      <c r="H11701">
        <v>13000826</v>
      </c>
      <c r="I11701">
        <v>12792053</v>
      </c>
      <c r="J11701">
        <v>3</v>
      </c>
    </row>
    <row r="11702" spans="1:10" x14ac:dyDescent="0.25">
      <c r="A11702" t="s">
        <v>1606</v>
      </c>
      <c r="B11702" s="1" t="str">
        <f>HYPERLINK("http://iqdoq.de","iqdoq.de")</f>
        <v>iqdoq.de</v>
      </c>
      <c r="C11702" t="s">
        <v>436</v>
      </c>
      <c r="D11702" t="s">
        <v>815</v>
      </c>
      <c r="F11702">
        <v>2.1501857948122899E-8</v>
      </c>
      <c r="G11702">
        <v>2448892</v>
      </c>
      <c r="H11702">
        <v>13192518</v>
      </c>
      <c r="I11702">
        <v>11591131</v>
      </c>
      <c r="J11702">
        <v>3</v>
      </c>
    </row>
    <row r="11703" spans="1:10" x14ac:dyDescent="0.25">
      <c r="A11703" t="s">
        <v>1606</v>
      </c>
      <c r="B11703" s="1" t="str">
        <f>HYPERLINK("http://motiondata-vector.de","motiondata-vector.de")</f>
        <v>motiondata-vector.de</v>
      </c>
      <c r="C11703" t="s">
        <v>436</v>
      </c>
      <c r="D11703" t="s">
        <v>815</v>
      </c>
      <c r="F11703">
        <v>5.4133277521218403E-9</v>
      </c>
      <c r="G11703">
        <v>21943047</v>
      </c>
      <c r="H11703">
        <v>9508946</v>
      </c>
      <c r="I11703">
        <v>65602129</v>
      </c>
      <c r="J11703">
        <v>4</v>
      </c>
    </row>
    <row r="11704" spans="1:10" x14ac:dyDescent="0.25">
      <c r="A11704" t="s">
        <v>1606</v>
      </c>
      <c r="B11704" s="1" t="str">
        <f>HYPERLINK("http://prohandel.de","prohandel.de")</f>
        <v>prohandel.de</v>
      </c>
      <c r="C11704" t="s">
        <v>436</v>
      </c>
      <c r="D11704" t="s">
        <v>815</v>
      </c>
      <c r="F11704">
        <v>1.9412641480643199E-8</v>
      </c>
      <c r="G11704">
        <v>2760944</v>
      </c>
      <c r="H11704">
        <v>13136350</v>
      </c>
      <c r="I11704">
        <v>11903088</v>
      </c>
      <c r="J11704">
        <v>3</v>
      </c>
    </row>
    <row r="11705" spans="1:10" x14ac:dyDescent="0.25">
      <c r="A11705" t="s">
        <v>1606</v>
      </c>
      <c r="B11705" s="1" t="str">
        <f>HYPERLINK("http://saatmann.de","saatmann.de")</f>
        <v>saatmann.de</v>
      </c>
      <c r="C11705" t="s">
        <v>436</v>
      </c>
      <c r="D11705" t="s">
        <v>815</v>
      </c>
      <c r="F11705">
        <v>1.11196104940016E-8</v>
      </c>
      <c r="G11705">
        <v>5771079</v>
      </c>
      <c r="H11705">
        <v>12267359</v>
      </c>
      <c r="I11705">
        <v>21586985</v>
      </c>
      <c r="J11705">
        <v>3</v>
      </c>
    </row>
    <row r="11706" spans="1:10" x14ac:dyDescent="0.25">
      <c r="A11706" t="s">
        <v>1606</v>
      </c>
      <c r="B11706" s="1" t="str">
        <f>HYPERLINK("http://siv.de","siv.de")</f>
        <v>siv.de</v>
      </c>
      <c r="C11706" t="s">
        <v>436</v>
      </c>
      <c r="D11706" t="s">
        <v>815</v>
      </c>
      <c r="F11706">
        <v>6.4045606169722602E-8</v>
      </c>
      <c r="G11706">
        <v>676677</v>
      </c>
      <c r="H11706">
        <v>12788230</v>
      </c>
      <c r="I11706">
        <v>14697964</v>
      </c>
      <c r="J11706">
        <v>3</v>
      </c>
    </row>
    <row r="11707" spans="1:10" x14ac:dyDescent="0.25">
      <c r="A11707" t="s">
        <v>1606</v>
      </c>
      <c r="B11707" s="1" t="str">
        <f>HYPERLINK("http://totalspecificsolutions.de","totalspecificsolutions.de")</f>
        <v>totalspecificsolutions.de</v>
      </c>
      <c r="C11707" t="s">
        <v>436</v>
      </c>
      <c r="D11707" t="s">
        <v>815</v>
      </c>
      <c r="F11707">
        <v>5.0075274259834197E-9</v>
      </c>
      <c r="G11707">
        <v>29227805</v>
      </c>
      <c r="H11707">
        <v>10186728</v>
      </c>
      <c r="I11707">
        <v>59138267</v>
      </c>
      <c r="J11707">
        <v>4</v>
      </c>
    </row>
    <row r="11708" spans="1:10" x14ac:dyDescent="0.25">
      <c r="A11708" t="s">
        <v>1606</v>
      </c>
      <c r="B11708" s="1" t="str">
        <f>HYPERLINK("http://trapezegroup.de","trapezegroup.de")</f>
        <v>trapezegroup.de</v>
      </c>
      <c r="C11708" t="s">
        <v>436</v>
      </c>
      <c r="D11708" t="s">
        <v>815</v>
      </c>
      <c r="F11708">
        <v>2.8837539630095701E-8</v>
      </c>
      <c r="G11708">
        <v>1784857</v>
      </c>
      <c r="H11708">
        <v>14125666</v>
      </c>
      <c r="I11708">
        <v>2114959</v>
      </c>
      <c r="J11708">
        <v>4</v>
      </c>
    </row>
    <row r="11709" spans="1:10" x14ac:dyDescent="0.25">
      <c r="A11709" t="s">
        <v>1606</v>
      </c>
      <c r="B11709" s="1" t="str">
        <f>HYPERLINK("http://wiko.de","wiko.de")</f>
        <v>wiko.de</v>
      </c>
      <c r="C11709" t="s">
        <v>436</v>
      </c>
      <c r="D11709" t="s">
        <v>815</v>
      </c>
      <c r="F11709">
        <v>1.05768471771837E-8</v>
      </c>
      <c r="G11709">
        <v>6203520</v>
      </c>
      <c r="H11709">
        <v>12224876</v>
      </c>
      <c r="I11709">
        <v>22658812</v>
      </c>
      <c r="J11709">
        <v>3</v>
      </c>
    </row>
    <row r="11710" spans="1:10" x14ac:dyDescent="0.25">
      <c r="A11710" t="s">
        <v>1606</v>
      </c>
      <c r="B11710" s="1" t="str">
        <f>HYPERLINK("http://fdc.dk","fdc.dk")</f>
        <v>fdc.dk</v>
      </c>
      <c r="C11710" t="s">
        <v>437</v>
      </c>
      <c r="D11710" t="s">
        <v>816</v>
      </c>
      <c r="F11710">
        <v>7.77069887689519E-9</v>
      </c>
      <c r="G11710">
        <v>10389510</v>
      </c>
      <c r="H11710">
        <v>12562095</v>
      </c>
      <c r="I11710">
        <v>16692662</v>
      </c>
      <c r="J11710">
        <v>3</v>
      </c>
    </row>
    <row r="11711" spans="1:10" x14ac:dyDescent="0.25">
      <c r="A11711" t="s">
        <v>1606</v>
      </c>
      <c r="B11711" s="1" t="str">
        <f>HYPERLINK("http://trapezegroup.dk","trapezegroup.dk")</f>
        <v>trapezegroup.dk</v>
      </c>
      <c r="C11711" t="s">
        <v>437</v>
      </c>
      <c r="D11711" t="s">
        <v>816</v>
      </c>
      <c r="F11711">
        <v>9.6386489421058408E-9</v>
      </c>
      <c r="G11711">
        <v>7152963</v>
      </c>
      <c r="H11711">
        <v>11065217</v>
      </c>
      <c r="I11711">
        <v>32630722</v>
      </c>
      <c r="J11711">
        <v>4</v>
      </c>
    </row>
    <row r="11712" spans="1:10" x14ac:dyDescent="0.25">
      <c r="A11712" t="s">
        <v>1606</v>
      </c>
      <c r="B11712" s="1" t="str">
        <f>HYPERLINK("http://in2.eu","in2.eu")</f>
        <v>in2.eu</v>
      </c>
      <c r="C11712" t="s">
        <v>444</v>
      </c>
      <c r="F11712">
        <v>1.03401131839782E-8</v>
      </c>
      <c r="G11712">
        <v>6413657</v>
      </c>
      <c r="H11712">
        <v>12401667</v>
      </c>
      <c r="I11712">
        <v>18754337</v>
      </c>
      <c r="J11712">
        <v>4</v>
      </c>
    </row>
    <row r="11713" spans="1:10" x14ac:dyDescent="0.25">
      <c r="A11713" t="s">
        <v>1606</v>
      </c>
      <c r="B11713" s="1" t="str">
        <f>HYPERLINK("http://trapezegroup.eu","trapezegroup.eu")</f>
        <v>trapezegroup.eu</v>
      </c>
      <c r="C11713" t="s">
        <v>444</v>
      </c>
      <c r="F11713">
        <v>1.22936018588703E-8</v>
      </c>
      <c r="G11713">
        <v>4997729</v>
      </c>
      <c r="H11713">
        <v>12364193</v>
      </c>
      <c r="I11713">
        <v>19512448</v>
      </c>
      <c r="J11713">
        <v>3</v>
      </c>
    </row>
    <row r="11714" spans="1:10" x14ac:dyDescent="0.25">
      <c r="A11714" t="s">
        <v>1606</v>
      </c>
      <c r="B11714" s="1" t="str">
        <f>HYPERLINK("http://jonas.events","jonas.events")</f>
        <v>jonas.events</v>
      </c>
      <c r="C11714" t="s">
        <v>699</v>
      </c>
      <c r="F11714">
        <v>2.4831092435439599E-8</v>
      </c>
      <c r="G11714">
        <v>2082500</v>
      </c>
      <c r="H11714">
        <v>11086457</v>
      </c>
      <c r="I11714">
        <v>32422681</v>
      </c>
      <c r="J11714">
        <v>6</v>
      </c>
    </row>
    <row r="11715" spans="1:10" x14ac:dyDescent="0.25">
      <c r="A11715" t="s">
        <v>1606</v>
      </c>
      <c r="B11715" s="1" t="str">
        <f>HYPERLINK("http://arter.fi","arter.fi")</f>
        <v>arter.fi</v>
      </c>
      <c r="C11715" t="s">
        <v>445</v>
      </c>
      <c r="D11715" t="s">
        <v>823</v>
      </c>
      <c r="F11715">
        <v>1.5599384978015501E-8</v>
      </c>
      <c r="G11715">
        <v>3655286</v>
      </c>
      <c r="H11715">
        <v>12472403</v>
      </c>
      <c r="I11715">
        <v>17674087</v>
      </c>
      <c r="J11715">
        <v>2</v>
      </c>
    </row>
    <row r="11716" spans="1:10" x14ac:dyDescent="0.25">
      <c r="A11716" t="s">
        <v>1606</v>
      </c>
      <c r="B11716" s="1" t="str">
        <f>HYPERLINK("http://asuite.fi","asuite.fi")</f>
        <v>asuite.fi</v>
      </c>
      <c r="C11716" t="s">
        <v>445</v>
      </c>
      <c r="D11716" t="s">
        <v>823</v>
      </c>
      <c r="F11716">
        <v>1.6407168822077401E-8</v>
      </c>
      <c r="G11716">
        <v>3444478</v>
      </c>
      <c r="H11716">
        <v>10849106</v>
      </c>
      <c r="I11716">
        <v>36879947</v>
      </c>
      <c r="J11716">
        <v>2</v>
      </c>
    </row>
    <row r="11717" spans="1:10" x14ac:dyDescent="0.25">
      <c r="A11717" t="s">
        <v>1606</v>
      </c>
      <c r="B11717" s="1" t="str">
        <f>HYPERLINK("http://avancemetering.fi","avancemetering.fi")</f>
        <v>avancemetering.fi</v>
      </c>
      <c r="C11717" t="s">
        <v>445</v>
      </c>
      <c r="D11717" t="s">
        <v>823</v>
      </c>
      <c r="J11717">
        <v>4</v>
      </c>
    </row>
    <row r="11718" spans="1:10" x14ac:dyDescent="0.25">
      <c r="A11718" t="s">
        <v>1606</v>
      </c>
      <c r="B11718" s="1" t="str">
        <f>HYPERLINK("http://easitgo.fi","easitgo.fi")</f>
        <v>easitgo.fi</v>
      </c>
      <c r="C11718" t="s">
        <v>445</v>
      </c>
      <c r="D11718" t="s">
        <v>823</v>
      </c>
      <c r="J11718">
        <v>4</v>
      </c>
    </row>
    <row r="11719" spans="1:10" x14ac:dyDescent="0.25">
      <c r="A11719" t="s">
        <v>1606</v>
      </c>
      <c r="B11719" s="1" t="str">
        <f>HYPERLINK("http://finka.fi","finka.fi")</f>
        <v>finka.fi</v>
      </c>
      <c r="C11719" t="s">
        <v>445</v>
      </c>
      <c r="D11719" t="s">
        <v>823</v>
      </c>
      <c r="F11719">
        <v>9.4171241476747605E-9</v>
      </c>
      <c r="G11719">
        <v>7422945</v>
      </c>
      <c r="H11719">
        <v>12277742</v>
      </c>
      <c r="I11719">
        <v>21354544</v>
      </c>
      <c r="J11719">
        <v>4</v>
      </c>
    </row>
    <row r="11720" spans="1:10" x14ac:dyDescent="0.25">
      <c r="A11720" t="s">
        <v>1606</v>
      </c>
      <c r="B11720" s="1" t="str">
        <f>HYPERLINK("http://fiyap.fi","fiyap.fi")</f>
        <v>fiyap.fi</v>
      </c>
      <c r="C11720" t="s">
        <v>445</v>
      </c>
      <c r="D11720" t="s">
        <v>823</v>
      </c>
      <c r="J11720">
        <v>4</v>
      </c>
    </row>
    <row r="11721" spans="1:10" x14ac:dyDescent="0.25">
      <c r="A11721" t="s">
        <v>1606</v>
      </c>
      <c r="B11721" s="1" t="str">
        <f>HYPERLINK("http://futunio.fi","futunio.fi")</f>
        <v>futunio.fi</v>
      </c>
      <c r="C11721" t="s">
        <v>445</v>
      </c>
      <c r="D11721" t="s">
        <v>823</v>
      </c>
      <c r="F11721">
        <v>2.6718026909889201E-8</v>
      </c>
      <c r="G11721">
        <v>1926321</v>
      </c>
      <c r="H11721">
        <v>11152630</v>
      </c>
      <c r="I11721">
        <v>31697987</v>
      </c>
      <c r="J11721">
        <v>3</v>
      </c>
    </row>
    <row r="11722" spans="1:10" x14ac:dyDescent="0.25">
      <c r="A11722" t="s">
        <v>1606</v>
      </c>
      <c r="B11722" s="1" t="str">
        <f>HYPERLINK("http://helios-auto.fi","helios-auto.fi")</f>
        <v>helios-auto.fi</v>
      </c>
      <c r="C11722" t="s">
        <v>445</v>
      </c>
      <c r="D11722" t="s">
        <v>823</v>
      </c>
      <c r="J11722">
        <v>4</v>
      </c>
    </row>
    <row r="11723" spans="1:10" x14ac:dyDescent="0.25">
      <c r="A11723" t="s">
        <v>1606</v>
      </c>
      <c r="B11723" s="1" t="str">
        <f>HYPERLINK("http://huoltokeikkaplus.fi","huoltokeikkaplus.fi")</f>
        <v>huoltokeikkaplus.fi</v>
      </c>
      <c r="C11723" t="s">
        <v>445</v>
      </c>
      <c r="D11723" t="s">
        <v>823</v>
      </c>
      <c r="J11723">
        <v>4</v>
      </c>
    </row>
    <row r="11724" spans="1:10" x14ac:dyDescent="0.25">
      <c r="A11724" t="s">
        <v>1606</v>
      </c>
      <c r="B11724" s="1" t="str">
        <f>HYPERLINK("http://ims.fi","ims.fi")</f>
        <v>ims.fi</v>
      </c>
      <c r="C11724" t="s">
        <v>445</v>
      </c>
      <c r="D11724" t="s">
        <v>823</v>
      </c>
      <c r="F11724">
        <v>1.5975422766041299E-8</v>
      </c>
      <c r="G11724">
        <v>3552647</v>
      </c>
      <c r="H11724">
        <v>14237781</v>
      </c>
      <c r="I11724">
        <v>1541574</v>
      </c>
      <c r="J11724">
        <v>2</v>
      </c>
    </row>
    <row r="11725" spans="1:10" x14ac:dyDescent="0.25">
      <c r="A11725" t="s">
        <v>1606</v>
      </c>
      <c r="B11725" s="1" t="str">
        <f>HYPERLINK("http://jonassoftware.fi","jonassoftware.fi")</f>
        <v>jonassoftware.fi</v>
      </c>
      <c r="C11725" t="s">
        <v>445</v>
      </c>
      <c r="D11725" t="s">
        <v>823</v>
      </c>
      <c r="J11725">
        <v>4</v>
      </c>
    </row>
    <row r="11726" spans="1:10" x14ac:dyDescent="0.25">
      <c r="A11726" t="s">
        <v>1606</v>
      </c>
      <c r="B11726" s="1" t="str">
        <f>HYPERLINK("http://junalahdot.fi","junalahdot.fi")</f>
        <v>junalahdot.fi</v>
      </c>
      <c r="C11726" t="s">
        <v>445</v>
      </c>
      <c r="D11726" t="s">
        <v>823</v>
      </c>
      <c r="F11726">
        <v>1.0084883057321601E-7</v>
      </c>
      <c r="G11726">
        <v>398726</v>
      </c>
      <c r="H11726">
        <v>14073201</v>
      </c>
      <c r="I11726">
        <v>3009978</v>
      </c>
      <c r="J11726">
        <v>5</v>
      </c>
    </row>
    <row r="11727" spans="1:10" x14ac:dyDescent="0.25">
      <c r="A11727" t="s">
        <v>1606</v>
      </c>
      <c r="B11727" s="1" t="str">
        <f>HYPERLINK("http://maestro.fi","maestro.fi")</f>
        <v>maestro.fi</v>
      </c>
      <c r="C11727" t="s">
        <v>445</v>
      </c>
      <c r="D11727" t="s">
        <v>823</v>
      </c>
      <c r="F11727">
        <v>2.47515483435723E-8</v>
      </c>
      <c r="G11727">
        <v>2089730</v>
      </c>
      <c r="H11727">
        <v>13768407</v>
      </c>
      <c r="I11727">
        <v>6875679</v>
      </c>
      <c r="J11727">
        <v>2</v>
      </c>
    </row>
    <row r="11728" spans="1:10" x14ac:dyDescent="0.25">
      <c r="A11728" t="s">
        <v>1606</v>
      </c>
      <c r="B11728" s="1" t="str">
        <f>HYPERLINK("http://maestrong.fi","maestrong.fi")</f>
        <v>maestrong.fi</v>
      </c>
      <c r="C11728" t="s">
        <v>445</v>
      </c>
      <c r="D11728" t="s">
        <v>823</v>
      </c>
      <c r="J11728">
        <v>2</v>
      </c>
    </row>
    <row r="11729" spans="1:10" x14ac:dyDescent="0.25">
      <c r="A11729" t="s">
        <v>1606</v>
      </c>
      <c r="B11729" s="1" t="str">
        <f>HYPERLINK("http://maestroyhtiot.fi","maestroyhtiot.fi")</f>
        <v>maestroyhtiot.fi</v>
      </c>
      <c r="C11729" t="s">
        <v>445</v>
      </c>
      <c r="D11729" t="s">
        <v>823</v>
      </c>
      <c r="F11729">
        <v>4.5212574539318001E-9</v>
      </c>
      <c r="G11729">
        <v>56065522</v>
      </c>
      <c r="H11729">
        <v>10740671</v>
      </c>
      <c r="I11729">
        <v>40404427</v>
      </c>
      <c r="J11729">
        <v>4</v>
      </c>
    </row>
    <row r="11730" spans="1:10" x14ac:dyDescent="0.25">
      <c r="A11730" t="s">
        <v>1606</v>
      </c>
      <c r="B11730" s="1" t="str">
        <f>HYPERLINK("http://myyntikuntoon.fi","myyntikuntoon.fi")</f>
        <v>myyntikuntoon.fi</v>
      </c>
      <c r="C11730" t="s">
        <v>445</v>
      </c>
      <c r="D11730" t="s">
        <v>823</v>
      </c>
      <c r="J11730">
        <v>4</v>
      </c>
    </row>
    <row r="11731" spans="1:10" x14ac:dyDescent="0.25">
      <c r="A11731" t="s">
        <v>1606</v>
      </c>
      <c r="B11731" s="1" t="str">
        <f>HYPERLINK("http://onprime.fi","onprime.fi")</f>
        <v>onprime.fi</v>
      </c>
      <c r="C11731" t="s">
        <v>445</v>
      </c>
      <c r="D11731" t="s">
        <v>823</v>
      </c>
      <c r="J11731">
        <v>2</v>
      </c>
    </row>
    <row r="11732" spans="1:10" x14ac:dyDescent="0.25">
      <c r="A11732" t="s">
        <v>1606</v>
      </c>
      <c r="B11732" s="1" t="str">
        <f>HYPERLINK("http://otalspecificsolutions.fi","otalspecificsolutions.fi")</f>
        <v>otalspecificsolutions.fi</v>
      </c>
      <c r="C11732" t="s">
        <v>445</v>
      </c>
      <c r="D11732" t="s">
        <v>823</v>
      </c>
      <c r="J11732">
        <v>4</v>
      </c>
    </row>
    <row r="11733" spans="1:10" x14ac:dyDescent="0.25">
      <c r="A11733" t="s">
        <v>1606</v>
      </c>
      <c r="B11733" s="1" t="str">
        <f>HYPERLINK("http://prime.fi","prime.fi")</f>
        <v>prime.fi</v>
      </c>
      <c r="C11733" t="s">
        <v>445</v>
      </c>
      <c r="D11733" t="s">
        <v>823</v>
      </c>
      <c r="F11733">
        <v>1.25152483482895E-8</v>
      </c>
      <c r="G11733">
        <v>4877309</v>
      </c>
      <c r="H11733">
        <v>11373537</v>
      </c>
      <c r="I11733">
        <v>30309511</v>
      </c>
      <c r="J11733">
        <v>2</v>
      </c>
    </row>
    <row r="11734" spans="1:10" x14ac:dyDescent="0.25">
      <c r="A11734" t="s">
        <v>1606</v>
      </c>
      <c r="B11734" s="1" t="str">
        <f>HYPERLINK("http://puskee.fi","puskee.fi")</f>
        <v>puskee.fi</v>
      </c>
      <c r="C11734" t="s">
        <v>445</v>
      </c>
      <c r="D11734" t="s">
        <v>823</v>
      </c>
      <c r="F11734">
        <v>1.04648911369185E-8</v>
      </c>
      <c r="G11734">
        <v>6300222</v>
      </c>
      <c r="H11734">
        <v>9411356</v>
      </c>
      <c r="I11734">
        <v>67097236</v>
      </c>
      <c r="J11734">
        <v>6</v>
      </c>
    </row>
    <row r="11735" spans="1:10" x14ac:dyDescent="0.25">
      <c r="A11735" t="s">
        <v>1606</v>
      </c>
      <c r="B11735" s="1" t="str">
        <f>HYPERLINK("http://qualitas-fennica.fi","qualitas-fennica.fi")</f>
        <v>qualitas-fennica.fi</v>
      </c>
      <c r="C11735" t="s">
        <v>445</v>
      </c>
      <c r="D11735" t="s">
        <v>823</v>
      </c>
      <c r="F11735">
        <v>4.9294377981543603E-9</v>
      </c>
      <c r="G11735">
        <v>31395822</v>
      </c>
      <c r="H11735">
        <v>14071789</v>
      </c>
      <c r="I11735">
        <v>3635824</v>
      </c>
      <c r="J11735">
        <v>2</v>
      </c>
    </row>
    <row r="11736" spans="1:10" x14ac:dyDescent="0.25">
      <c r="A11736" t="s">
        <v>1606</v>
      </c>
      <c r="B11736" s="1" t="str">
        <f>HYPERLINK("http://securemail.fi","securemail.fi")</f>
        <v>securemail.fi</v>
      </c>
      <c r="C11736" t="s">
        <v>445</v>
      </c>
      <c r="D11736" t="s">
        <v>823</v>
      </c>
      <c r="F11736">
        <v>6.8848709913213603E-9</v>
      </c>
      <c r="G11736">
        <v>12681310</v>
      </c>
      <c r="H11736">
        <v>12283442</v>
      </c>
      <c r="I11736">
        <v>21241918</v>
      </c>
      <c r="J11736">
        <v>4</v>
      </c>
    </row>
    <row r="11737" spans="1:10" x14ac:dyDescent="0.25">
      <c r="A11737" t="s">
        <v>1606</v>
      </c>
      <c r="B11737" s="1" t="str">
        <f>HYPERLINK("http://selvitysplus.fi","selvitysplus.fi")</f>
        <v>selvitysplus.fi</v>
      </c>
      <c r="C11737" t="s">
        <v>445</v>
      </c>
      <c r="D11737" t="s">
        <v>823</v>
      </c>
      <c r="F11737">
        <v>7.5544300875263504E-9</v>
      </c>
      <c r="G11737">
        <v>10895945</v>
      </c>
      <c r="H11737">
        <v>10859047</v>
      </c>
      <c r="I11737">
        <v>36685397</v>
      </c>
      <c r="J11737">
        <v>4</v>
      </c>
    </row>
    <row r="11738" spans="1:10" x14ac:dyDescent="0.25">
      <c r="A11738" t="s">
        <v>1606</v>
      </c>
      <c r="B11738" s="1" t="str">
        <f>HYPERLINK("http://spffutunio.fi","spffutunio.fi")</f>
        <v>spffutunio.fi</v>
      </c>
      <c r="C11738" t="s">
        <v>445</v>
      </c>
      <c r="D11738" t="s">
        <v>823</v>
      </c>
      <c r="J11738">
        <v>2</v>
      </c>
    </row>
    <row r="11739" spans="1:10" x14ac:dyDescent="0.25">
      <c r="A11739" t="s">
        <v>1606</v>
      </c>
      <c r="B11739" s="1" t="str">
        <f>HYPERLINK("http://symbrio.fi","symbrio.fi")</f>
        <v>symbrio.fi</v>
      </c>
      <c r="C11739" t="s">
        <v>445</v>
      </c>
      <c r="D11739" t="s">
        <v>823</v>
      </c>
      <c r="J11739">
        <v>2</v>
      </c>
    </row>
    <row r="11740" spans="1:10" x14ac:dyDescent="0.25">
      <c r="A11740" t="s">
        <v>1606</v>
      </c>
      <c r="B11740" s="1" t="str">
        <f>HYPERLINK("http://tahtia.fi","tahtia.fi")</f>
        <v>tahtia.fi</v>
      </c>
      <c r="C11740" t="s">
        <v>445</v>
      </c>
      <c r="D11740" t="s">
        <v>823</v>
      </c>
      <c r="J11740">
        <v>4</v>
      </c>
    </row>
    <row r="11741" spans="1:10" x14ac:dyDescent="0.25">
      <c r="A11741" t="s">
        <v>1606</v>
      </c>
      <c r="B11741" s="1" t="str">
        <f>HYPERLINK("http://trapeze.fi","trapeze.fi")</f>
        <v>trapeze.fi</v>
      </c>
      <c r="C11741" t="s">
        <v>445</v>
      </c>
      <c r="D11741" t="s">
        <v>823</v>
      </c>
      <c r="F11741">
        <v>5.9630238094578197E-9</v>
      </c>
      <c r="G11741">
        <v>16925904</v>
      </c>
      <c r="H11741">
        <v>11353885</v>
      </c>
      <c r="I11741">
        <v>30379970</v>
      </c>
      <c r="J11741">
        <v>5</v>
      </c>
    </row>
    <row r="11742" spans="1:10" x14ac:dyDescent="0.25">
      <c r="A11742" t="s">
        <v>1606</v>
      </c>
      <c r="B11742" s="1" t="str">
        <f>HYPERLINK("http://trapezefinland.fi","trapezefinland.fi")</f>
        <v>trapezefinland.fi</v>
      </c>
      <c r="C11742" t="s">
        <v>445</v>
      </c>
      <c r="D11742" t="s">
        <v>823</v>
      </c>
      <c r="J11742">
        <v>5</v>
      </c>
    </row>
    <row r="11743" spans="1:10" x14ac:dyDescent="0.25">
      <c r="A11743" t="s">
        <v>1606</v>
      </c>
      <c r="B11743" s="1" t="str">
        <f>HYPERLINK("http://trapezegroup.fi","trapezegroup.fi")</f>
        <v>trapezegroup.fi</v>
      </c>
      <c r="C11743" t="s">
        <v>445</v>
      </c>
      <c r="D11743" t="s">
        <v>823</v>
      </c>
      <c r="J11743">
        <v>5</v>
      </c>
    </row>
    <row r="11744" spans="1:10" x14ac:dyDescent="0.25">
      <c r="A11744" t="s">
        <v>1606</v>
      </c>
      <c r="B11744" s="1" t="str">
        <f>HYPERLINK("http://urakointiplus.fi","urakointiplus.fi")</f>
        <v>urakointiplus.fi</v>
      </c>
      <c r="C11744" t="s">
        <v>445</v>
      </c>
      <c r="D11744" t="s">
        <v>823</v>
      </c>
      <c r="F11744">
        <v>6.8863699975764097E-9</v>
      </c>
      <c r="G11744">
        <v>12676684</v>
      </c>
      <c r="H11744">
        <v>12179165</v>
      </c>
      <c r="I11744">
        <v>23832969</v>
      </c>
      <c r="J11744">
        <v>4</v>
      </c>
    </row>
    <row r="11745" spans="1:10" x14ac:dyDescent="0.25">
      <c r="A11745" t="s">
        <v>1606</v>
      </c>
      <c r="B11745" s="1" t="str">
        <f>HYPERLINK("http://wiztivi.fi","wiztivi.fi")</f>
        <v>wiztivi.fi</v>
      </c>
      <c r="C11745" t="s">
        <v>445</v>
      </c>
      <c r="D11745" t="s">
        <v>823</v>
      </c>
      <c r="J11745">
        <v>4</v>
      </c>
    </row>
    <row r="11746" spans="1:10" x14ac:dyDescent="0.25">
      <c r="A11746" t="s">
        <v>1606</v>
      </c>
      <c r="B11746" s="1" t="str">
        <f>HYPERLINK("http://wiztivi-gaming.fi","wiztivi-gaming.fi")</f>
        <v>wiztivi-gaming.fi</v>
      </c>
      <c r="C11746" t="s">
        <v>445</v>
      </c>
      <c r="D11746" t="s">
        <v>823</v>
      </c>
      <c r="J11746">
        <v>4</v>
      </c>
    </row>
    <row r="11747" spans="1:10" x14ac:dyDescent="0.25">
      <c r="A11747" t="s">
        <v>1606</v>
      </c>
      <c r="B11747" s="1" t="str">
        <f>HYPERLINK("http://wiztivigaming.fi","wiztivigaming.fi")</f>
        <v>wiztivigaming.fi</v>
      </c>
      <c r="C11747" t="s">
        <v>445</v>
      </c>
      <c r="D11747" t="s">
        <v>823</v>
      </c>
      <c r="J11747">
        <v>4</v>
      </c>
    </row>
    <row r="11748" spans="1:10" x14ac:dyDescent="0.25">
      <c r="A11748" t="s">
        <v>1606</v>
      </c>
      <c r="B11748" s="1" t="str">
        <f>HYPERLINK("http://yap.fi","yap.fi")</f>
        <v>yap.fi</v>
      </c>
      <c r="C11748" t="s">
        <v>445</v>
      </c>
      <c r="D11748" t="s">
        <v>823</v>
      </c>
      <c r="F11748">
        <v>3.3462829539386003E-8</v>
      </c>
      <c r="G11748">
        <v>1544837</v>
      </c>
      <c r="H11748">
        <v>13821270</v>
      </c>
      <c r="I11748">
        <v>6141779</v>
      </c>
      <c r="J11748">
        <v>3</v>
      </c>
    </row>
    <row r="11749" spans="1:10" x14ac:dyDescent="0.25">
      <c r="A11749" t="s">
        <v>1606</v>
      </c>
      <c r="B11749" s="1" t="str">
        <f>HYPERLINK("http://yap-jarjestopalvelut.fi","yap-jarjestopalvelut.fi")</f>
        <v>yap-jarjestopalvelut.fi</v>
      </c>
      <c r="C11749" t="s">
        <v>445</v>
      </c>
      <c r="D11749" t="s">
        <v>823</v>
      </c>
      <c r="J11749">
        <v>4</v>
      </c>
    </row>
    <row r="11750" spans="1:10" x14ac:dyDescent="0.25">
      <c r="A11750" t="s">
        <v>1606</v>
      </c>
      <c r="B11750" s="1" t="str">
        <f>HYPERLINK("http://yapa.fi","yapa.fi")</f>
        <v>yapa.fi</v>
      </c>
      <c r="C11750" t="s">
        <v>445</v>
      </c>
      <c r="D11750" t="s">
        <v>823</v>
      </c>
      <c r="J11750">
        <v>6</v>
      </c>
    </row>
    <row r="11751" spans="1:10" x14ac:dyDescent="0.25">
      <c r="A11751" t="s">
        <v>1606</v>
      </c>
      <c r="B11751" s="1" t="str">
        <f>HYPERLINK("http://yapaccounting.fi","yapaccounting.fi")</f>
        <v>yapaccounting.fi</v>
      </c>
      <c r="C11751" t="s">
        <v>445</v>
      </c>
      <c r="D11751" t="s">
        <v>823</v>
      </c>
      <c r="J11751">
        <v>6</v>
      </c>
    </row>
    <row r="11752" spans="1:10" x14ac:dyDescent="0.25">
      <c r="A11752" t="s">
        <v>1606</v>
      </c>
      <c r="B11752" s="1" t="str">
        <f>HYPERLINK("http://yapsolutions.fi","yapsolutions.fi")</f>
        <v>yapsolutions.fi</v>
      </c>
      <c r="C11752" t="s">
        <v>445</v>
      </c>
      <c r="D11752" t="s">
        <v>823</v>
      </c>
      <c r="F11752">
        <v>6.1460719217704398E-9</v>
      </c>
      <c r="G11752">
        <v>15827116</v>
      </c>
      <c r="H11752">
        <v>10973570</v>
      </c>
      <c r="I11752">
        <v>34065312</v>
      </c>
      <c r="J11752">
        <v>4</v>
      </c>
    </row>
    <row r="11753" spans="1:10" x14ac:dyDescent="0.25">
      <c r="A11753" t="s">
        <v>1606</v>
      </c>
      <c r="B11753" s="1" t="str">
        <f>HYPERLINK("http://alteva.fr","alteva.fr")</f>
        <v>alteva.fr</v>
      </c>
      <c r="C11753" t="s">
        <v>446</v>
      </c>
      <c r="D11753" t="s">
        <v>824</v>
      </c>
      <c r="F11753">
        <v>1.0087690412473101E-8</v>
      </c>
      <c r="G11753">
        <v>6662072</v>
      </c>
      <c r="H11753">
        <v>10593288</v>
      </c>
      <c r="I11753">
        <v>45583371</v>
      </c>
      <c r="J11753">
        <v>3</v>
      </c>
    </row>
    <row r="11754" spans="1:10" x14ac:dyDescent="0.25">
      <c r="A11754" t="s">
        <v>1606</v>
      </c>
      <c r="B11754" s="1" t="str">
        <f>HYPERLINK("http://eureka-technology.fr","eureka-technology.fr")</f>
        <v>eureka-technology.fr</v>
      </c>
      <c r="C11754" t="s">
        <v>446</v>
      </c>
      <c r="D11754" t="s">
        <v>824</v>
      </c>
      <c r="F11754">
        <v>8.1930453713459195E-8</v>
      </c>
      <c r="G11754">
        <v>509309</v>
      </c>
      <c r="H11754">
        <v>16751236</v>
      </c>
      <c r="I11754">
        <v>266524</v>
      </c>
      <c r="J11754">
        <v>3</v>
      </c>
    </row>
    <row r="11755" spans="1:10" x14ac:dyDescent="0.25">
      <c r="A11755" t="s">
        <v>1606</v>
      </c>
      <c r="B11755" s="1" t="str">
        <f>HYPERLINK("http://felix.fr","felix.fr")</f>
        <v>felix.fr</v>
      </c>
      <c r="C11755" t="s">
        <v>446</v>
      </c>
      <c r="D11755" t="s">
        <v>824</v>
      </c>
      <c r="F11755">
        <v>9.2812956095235393E-9</v>
      </c>
      <c r="G11755">
        <v>7596933</v>
      </c>
      <c r="H11755">
        <v>10842242</v>
      </c>
      <c r="I11755">
        <v>37057552</v>
      </c>
      <c r="J11755">
        <v>3</v>
      </c>
    </row>
    <row r="11756" spans="1:10" x14ac:dyDescent="0.25">
      <c r="A11756" t="s">
        <v>1606</v>
      </c>
      <c r="B11756" s="1" t="str">
        <f>HYPERLINK("http://imd-soft.fr","imd-soft.fr")</f>
        <v>imd-soft.fr</v>
      </c>
      <c r="C11756" t="s">
        <v>446</v>
      </c>
      <c r="D11756" t="s">
        <v>824</v>
      </c>
      <c r="F11756">
        <v>5.2949475030029802E-9</v>
      </c>
      <c r="G11756">
        <v>23567765</v>
      </c>
      <c r="H11756">
        <v>10223198</v>
      </c>
      <c r="I11756">
        <v>58922284</v>
      </c>
      <c r="J11756">
        <v>4</v>
      </c>
    </row>
    <row r="11757" spans="1:10" x14ac:dyDescent="0.25">
      <c r="A11757" t="s">
        <v>1606</v>
      </c>
      <c r="B11757" s="1" t="str">
        <f>HYPERLINK("http://openportal.fr","openportal.fr")</f>
        <v>openportal.fr</v>
      </c>
      <c r="C11757" t="s">
        <v>446</v>
      </c>
      <c r="D11757" t="s">
        <v>824</v>
      </c>
      <c r="F11757">
        <v>5.2625561724598203E-9</v>
      </c>
      <c r="G11757">
        <v>24066135</v>
      </c>
      <c r="H11757">
        <v>12780030</v>
      </c>
      <c r="I11757">
        <v>14759484</v>
      </c>
      <c r="J11757">
        <v>6</v>
      </c>
    </row>
    <row r="11758" spans="1:10" x14ac:dyDescent="0.25">
      <c r="A11758" t="s">
        <v>1606</v>
      </c>
      <c r="B11758" s="1" t="str">
        <f>HYPERLINK("http://trapezegroup.fr","trapezegroup.fr")</f>
        <v>trapezegroup.fr</v>
      </c>
      <c r="C11758" t="s">
        <v>446</v>
      </c>
      <c r="D11758" t="s">
        <v>824</v>
      </c>
      <c r="F11758">
        <v>6.31434396757687E-9</v>
      </c>
      <c r="G11758">
        <v>14963376</v>
      </c>
      <c r="H11758">
        <v>10852841</v>
      </c>
      <c r="I11758">
        <v>36798415</v>
      </c>
      <c r="J11758">
        <v>4</v>
      </c>
    </row>
    <row r="11759" spans="1:10" x14ac:dyDescent="0.25">
      <c r="A11759" t="s">
        <v>1606</v>
      </c>
      <c r="B11759" s="1" t="str">
        <f>HYPERLINK("http://jungo.help","jungo.help")</f>
        <v>jungo.help</v>
      </c>
      <c r="C11759" t="s">
        <v>586</v>
      </c>
      <c r="F11759">
        <v>4.4438766680713796E-9</v>
      </c>
      <c r="G11759">
        <v>78106919</v>
      </c>
      <c r="H11759">
        <v>10469146</v>
      </c>
      <c r="I11759">
        <v>51329532</v>
      </c>
      <c r="J11759">
        <v>4</v>
      </c>
    </row>
    <row r="11760" spans="1:10" x14ac:dyDescent="0.25">
      <c r="A11760" t="s">
        <v>1606</v>
      </c>
      <c r="B11760" s="1" t="str">
        <f>HYPERLINK("http://in2.hr","in2.hr")</f>
        <v>in2.hr</v>
      </c>
      <c r="C11760" t="s">
        <v>452</v>
      </c>
      <c r="D11760" t="s">
        <v>829</v>
      </c>
      <c r="F11760">
        <v>4.7230964554964403E-8</v>
      </c>
      <c r="G11760">
        <v>987220</v>
      </c>
      <c r="H11760">
        <v>13959274</v>
      </c>
      <c r="I11760">
        <v>4119119</v>
      </c>
      <c r="J11760">
        <v>3</v>
      </c>
    </row>
    <row r="11761" spans="1:10" x14ac:dyDescent="0.25">
      <c r="A11761" t="s">
        <v>1606</v>
      </c>
      <c r="B11761" s="1" t="str">
        <f>HYPERLINK("http://easysoft.info","easysoft.info")</f>
        <v>easysoft.info</v>
      </c>
      <c r="C11761" t="s">
        <v>458</v>
      </c>
      <c r="F11761">
        <v>1.2755324128937699E-8</v>
      </c>
      <c r="G11761">
        <v>4751976</v>
      </c>
      <c r="H11761">
        <v>10853959</v>
      </c>
      <c r="I11761">
        <v>36777196</v>
      </c>
      <c r="J11761">
        <v>3</v>
      </c>
    </row>
    <row r="11762" spans="1:10" x14ac:dyDescent="0.25">
      <c r="A11762" t="s">
        <v>1606</v>
      </c>
      <c r="B11762" s="1" t="str">
        <f>HYPERLINK("http://infomill.info","infomill.info")</f>
        <v>infomill.info</v>
      </c>
      <c r="C11762" t="s">
        <v>458</v>
      </c>
      <c r="J11762">
        <v>7</v>
      </c>
    </row>
    <row r="11763" spans="1:10" x14ac:dyDescent="0.25">
      <c r="A11763" t="s">
        <v>1606</v>
      </c>
      <c r="B11763" s="1" t="str">
        <f>HYPERLINK("http://csi-japan.co.jp","csi-japan.co.jp")</f>
        <v>csi-japan.co.jp</v>
      </c>
      <c r="C11763" t="s">
        <v>461</v>
      </c>
      <c r="D11763" t="s">
        <v>837</v>
      </c>
      <c r="F11763">
        <v>4.4715172159235496E-9</v>
      </c>
      <c r="G11763">
        <v>64202223</v>
      </c>
      <c r="H11763">
        <v>10523870</v>
      </c>
      <c r="I11763">
        <v>48966118</v>
      </c>
      <c r="J11763">
        <v>3</v>
      </c>
    </row>
    <row r="11764" spans="1:10" x14ac:dyDescent="0.25">
      <c r="A11764" t="s">
        <v>1606</v>
      </c>
      <c r="B11764" s="1" t="str">
        <f>HYPERLINK("http://across.net","across.net")</f>
        <v>across.net</v>
      </c>
      <c r="C11764" t="s">
        <v>474</v>
      </c>
      <c r="E11764">
        <v>594091</v>
      </c>
      <c r="F11764">
        <v>1.7552444231703E-7</v>
      </c>
      <c r="G11764">
        <v>220934</v>
      </c>
      <c r="H11764">
        <v>14679422</v>
      </c>
      <c r="I11764">
        <v>609198</v>
      </c>
      <c r="J11764">
        <v>3</v>
      </c>
    </row>
    <row r="11765" spans="1:10" x14ac:dyDescent="0.25">
      <c r="A11765" t="s">
        <v>1606</v>
      </c>
      <c r="B11765" s="1" t="str">
        <f>HYPERLINK("http://plumsoftware.net","plumsoftware.net")</f>
        <v>plumsoftware.net</v>
      </c>
      <c r="C11765" t="s">
        <v>474</v>
      </c>
      <c r="F11765">
        <v>4.44380395335525E-9</v>
      </c>
      <c r="G11765">
        <v>87881112</v>
      </c>
      <c r="H11765">
        <v>0</v>
      </c>
      <c r="I11765">
        <v>86839895</v>
      </c>
      <c r="J11765">
        <v>10</v>
      </c>
    </row>
    <row r="11766" spans="1:10" x14ac:dyDescent="0.25">
      <c r="A11766" t="s">
        <v>1606</v>
      </c>
      <c r="B11766" s="1" t="str">
        <f>HYPERLINK("http://spectec.net","spectec.net")</f>
        <v>spectec.net</v>
      </c>
      <c r="C11766" t="s">
        <v>474</v>
      </c>
      <c r="F11766">
        <v>2.3556200125241799E-8</v>
      </c>
      <c r="G11766">
        <v>2208624</v>
      </c>
      <c r="H11766">
        <v>14125342</v>
      </c>
      <c r="I11766">
        <v>2122083</v>
      </c>
      <c r="J11766">
        <v>3</v>
      </c>
    </row>
    <row r="11767" spans="1:10" x14ac:dyDescent="0.25">
      <c r="A11767" t="s">
        <v>1606</v>
      </c>
      <c r="B11767" s="1" t="str">
        <f>HYPERLINK("http://tarantula.net","tarantula.net")</f>
        <v>tarantula.net</v>
      </c>
      <c r="C11767" t="s">
        <v>474</v>
      </c>
      <c r="F11767">
        <v>6.6779057881789899E-8</v>
      </c>
      <c r="G11767">
        <v>641062</v>
      </c>
      <c r="H11767">
        <v>12462771</v>
      </c>
      <c r="I11767">
        <v>17840990</v>
      </c>
      <c r="J11767">
        <v>2</v>
      </c>
    </row>
    <row r="11768" spans="1:10" x14ac:dyDescent="0.25">
      <c r="A11768" t="s">
        <v>1606</v>
      </c>
      <c r="B11768" s="1" t="str">
        <f>HYPERLINK("http://ccigroep.nl","ccigroep.nl")</f>
        <v>ccigroep.nl</v>
      </c>
      <c r="C11768" t="s">
        <v>477</v>
      </c>
      <c r="D11768" t="s">
        <v>852</v>
      </c>
      <c r="F11768">
        <v>1.28079840281713E-8</v>
      </c>
      <c r="G11768">
        <v>4724767</v>
      </c>
      <c r="H11768">
        <v>12311812</v>
      </c>
      <c r="I11768">
        <v>20582677</v>
      </c>
      <c r="J11768">
        <v>4</v>
      </c>
    </row>
    <row r="11769" spans="1:10" x14ac:dyDescent="0.25">
      <c r="A11769" t="s">
        <v>1606</v>
      </c>
      <c r="B11769" s="1" t="str">
        <f>HYPERLINK("http://dataplatform.nl","dataplatform.nl")</f>
        <v>dataplatform.nl</v>
      </c>
      <c r="C11769" t="s">
        <v>477</v>
      </c>
      <c r="D11769" t="s">
        <v>852</v>
      </c>
      <c r="F11769">
        <v>6.1096808200136005E-8</v>
      </c>
      <c r="G11769">
        <v>721030</v>
      </c>
      <c r="H11769">
        <v>14341230</v>
      </c>
      <c r="I11769">
        <v>1315648</v>
      </c>
      <c r="J11769">
        <v>4</v>
      </c>
    </row>
    <row r="11770" spans="1:10" x14ac:dyDescent="0.25">
      <c r="A11770" t="s">
        <v>1606</v>
      </c>
      <c r="B11770" s="1" t="str">
        <f>HYPERLINK("http://itris.nl","itris.nl")</f>
        <v>itris.nl</v>
      </c>
      <c r="C11770" t="s">
        <v>477</v>
      </c>
      <c r="D11770" t="s">
        <v>852</v>
      </c>
      <c r="F11770">
        <v>1.2131170913112299E-8</v>
      </c>
      <c r="G11770">
        <v>5090851</v>
      </c>
      <c r="H11770">
        <v>12181300</v>
      </c>
      <c r="I11770">
        <v>23789320</v>
      </c>
      <c r="J11770">
        <v>3</v>
      </c>
    </row>
    <row r="11771" spans="1:10" x14ac:dyDescent="0.25">
      <c r="A11771" t="s">
        <v>1606</v>
      </c>
      <c r="B11771" s="1" t="str">
        <f>HYPERLINK("http://jungo.nl","jungo.nl")</f>
        <v>jungo.nl</v>
      </c>
      <c r="C11771" t="s">
        <v>477</v>
      </c>
      <c r="D11771" t="s">
        <v>852</v>
      </c>
      <c r="F11771">
        <v>1.1596749386887199E-8</v>
      </c>
      <c r="G11771">
        <v>5435202</v>
      </c>
      <c r="H11771">
        <v>12939666</v>
      </c>
      <c r="I11771">
        <v>13302160</v>
      </c>
      <c r="J11771">
        <v>3</v>
      </c>
    </row>
    <row r="11772" spans="1:10" x14ac:dyDescent="0.25">
      <c r="A11772" t="s">
        <v>1606</v>
      </c>
      <c r="B11772" s="1" t="str">
        <f>HYPERLINK("http://kredit.nl","kredit.nl")</f>
        <v>kredit.nl</v>
      </c>
      <c r="C11772" t="s">
        <v>477</v>
      </c>
      <c r="D11772" t="s">
        <v>852</v>
      </c>
      <c r="F11772">
        <v>7.7466943290811408E-9</v>
      </c>
      <c r="G11772">
        <v>10473707</v>
      </c>
      <c r="H11772">
        <v>10646481</v>
      </c>
      <c r="I11772">
        <v>43658692</v>
      </c>
      <c r="J11772">
        <v>4</v>
      </c>
    </row>
    <row r="11773" spans="1:10" x14ac:dyDescent="0.25">
      <c r="A11773" t="s">
        <v>1606</v>
      </c>
      <c r="B11773" s="1" t="str">
        <f>HYPERLINK("http://magentammt.nl","magentammt.nl")</f>
        <v>magentammt.nl</v>
      </c>
      <c r="C11773" t="s">
        <v>477</v>
      </c>
      <c r="D11773" t="s">
        <v>852</v>
      </c>
      <c r="F11773">
        <v>1.39530045610826E-8</v>
      </c>
      <c r="G11773">
        <v>4220740</v>
      </c>
      <c r="H11773">
        <v>12611110</v>
      </c>
      <c r="I11773">
        <v>16230404</v>
      </c>
      <c r="J11773">
        <v>3</v>
      </c>
    </row>
    <row r="11774" spans="1:10" x14ac:dyDescent="0.25">
      <c r="A11774" t="s">
        <v>1606</v>
      </c>
      <c r="B11774" s="1" t="str">
        <f>HYPERLINK("http://nccw.nl","nccw.nl")</f>
        <v>nccw.nl</v>
      </c>
      <c r="C11774" t="s">
        <v>477</v>
      </c>
      <c r="D11774" t="s">
        <v>852</v>
      </c>
      <c r="F11774">
        <v>2.73148110436011E-8</v>
      </c>
      <c r="G11774">
        <v>1882123</v>
      </c>
      <c r="H11774">
        <v>14248429</v>
      </c>
      <c r="I11774">
        <v>1453204</v>
      </c>
      <c r="J11774">
        <v>3</v>
      </c>
    </row>
    <row r="11775" spans="1:10" x14ac:dyDescent="0.25">
      <c r="A11775" t="s">
        <v>1606</v>
      </c>
      <c r="B11775" s="1" t="str">
        <f>HYPERLINK("http://pharmapartners.nl","pharmapartners.nl")</f>
        <v>pharmapartners.nl</v>
      </c>
      <c r="C11775" t="s">
        <v>477</v>
      </c>
      <c r="D11775" t="s">
        <v>852</v>
      </c>
      <c r="F11775">
        <v>5.4278385375306698E-8</v>
      </c>
      <c r="G11775">
        <v>832463</v>
      </c>
      <c r="H11775">
        <v>13781939</v>
      </c>
      <c r="I11775">
        <v>6451164</v>
      </c>
      <c r="J11775">
        <v>5</v>
      </c>
    </row>
    <row r="11776" spans="1:10" x14ac:dyDescent="0.25">
      <c r="A11776" t="s">
        <v>1606</v>
      </c>
      <c r="B11776" s="1" t="str">
        <f>HYPERLINK("http://qps.nl","qps.nl")</f>
        <v>qps.nl</v>
      </c>
      <c r="C11776" t="s">
        <v>477</v>
      </c>
      <c r="D11776" t="s">
        <v>852</v>
      </c>
      <c r="E11776">
        <v>596628</v>
      </c>
      <c r="F11776">
        <v>1.20273695621177E-7</v>
      </c>
      <c r="G11776">
        <v>328589</v>
      </c>
      <c r="H11776">
        <v>14976323</v>
      </c>
      <c r="I11776">
        <v>432106</v>
      </c>
      <c r="J11776">
        <v>3</v>
      </c>
    </row>
    <row r="11777" spans="1:10" x14ac:dyDescent="0.25">
      <c r="A11777" t="s">
        <v>1606</v>
      </c>
      <c r="B11777" s="1" t="str">
        <f>HYPERLINK("http://slimmelden.nl","slimmelden.nl")</f>
        <v>slimmelden.nl</v>
      </c>
      <c r="C11777" t="s">
        <v>477</v>
      </c>
      <c r="D11777" t="s">
        <v>852</v>
      </c>
      <c r="F11777">
        <v>3.5707417198609699E-8</v>
      </c>
      <c r="G11777">
        <v>1458988</v>
      </c>
      <c r="H11777">
        <v>14383929</v>
      </c>
      <c r="I11777">
        <v>1184423</v>
      </c>
      <c r="J11777">
        <v>4</v>
      </c>
    </row>
    <row r="11778" spans="1:10" x14ac:dyDescent="0.25">
      <c r="A11778" t="s">
        <v>1606</v>
      </c>
      <c r="B11778" s="1" t="str">
        <f>HYPERLINK("http://topicus.nl","topicus.nl")</f>
        <v>topicus.nl</v>
      </c>
      <c r="C11778" t="s">
        <v>477</v>
      </c>
      <c r="D11778" t="s">
        <v>852</v>
      </c>
      <c r="E11778">
        <v>354009</v>
      </c>
      <c r="F11778">
        <v>1.96395250133282E-7</v>
      </c>
      <c r="G11778">
        <v>196370</v>
      </c>
      <c r="H11778">
        <v>16836436</v>
      </c>
      <c r="I11778">
        <v>163202</v>
      </c>
      <c r="J11778">
        <v>4</v>
      </c>
    </row>
    <row r="11779" spans="1:10" x14ac:dyDescent="0.25">
      <c r="A11779" t="s">
        <v>1606</v>
      </c>
      <c r="B11779" s="1" t="str">
        <f>HYPERLINK("http://vicrea.nl","vicrea.nl")</f>
        <v>vicrea.nl</v>
      </c>
      <c r="C11779" t="s">
        <v>477</v>
      </c>
      <c r="D11779" t="s">
        <v>852</v>
      </c>
      <c r="F11779">
        <v>2.50583352496007E-8</v>
      </c>
      <c r="G11779">
        <v>2061675</v>
      </c>
      <c r="H11779">
        <v>14066908</v>
      </c>
      <c r="I11779">
        <v>3729102</v>
      </c>
      <c r="J11779">
        <v>3</v>
      </c>
    </row>
    <row r="11780" spans="1:10" x14ac:dyDescent="0.25">
      <c r="A11780" t="s">
        <v>1606</v>
      </c>
      <c r="B11780" s="1" t="str">
        <f>HYPERLINK("http://simple.com.pl","simple.com.pl")</f>
        <v>simple.com.pl</v>
      </c>
      <c r="C11780" t="s">
        <v>486</v>
      </c>
      <c r="D11780" t="s">
        <v>860</v>
      </c>
      <c r="F11780">
        <v>3.3144125253890402E-8</v>
      </c>
      <c r="G11780">
        <v>1558847</v>
      </c>
      <c r="H11780">
        <v>14261139</v>
      </c>
      <c r="I11780">
        <v>1417847</v>
      </c>
      <c r="J11780">
        <v>4</v>
      </c>
    </row>
    <row r="11781" spans="1:10" x14ac:dyDescent="0.25">
      <c r="A11781" t="s">
        <v>1606</v>
      </c>
      <c r="B11781" s="1" t="str">
        <f>HYPERLINK("http://sygnity.pl","sygnity.pl")</f>
        <v>sygnity.pl</v>
      </c>
      <c r="C11781" t="s">
        <v>486</v>
      </c>
      <c r="D11781" t="s">
        <v>860</v>
      </c>
      <c r="E11781">
        <v>627149</v>
      </c>
      <c r="F11781">
        <v>2.0546795314774E-7</v>
      </c>
      <c r="G11781">
        <v>184842</v>
      </c>
      <c r="H11781">
        <v>13222655</v>
      </c>
      <c r="I11781">
        <v>11321434</v>
      </c>
      <c r="J11781">
        <v>3</v>
      </c>
    </row>
    <row r="11782" spans="1:10" x14ac:dyDescent="0.25">
      <c r="A11782" t="s">
        <v>1606</v>
      </c>
      <c r="B11782" s="1" t="str">
        <f>HYPERLINK("http://trapezegroup.pl","trapezegroup.pl")</f>
        <v>trapezegroup.pl</v>
      </c>
      <c r="C11782" t="s">
        <v>486</v>
      </c>
      <c r="D11782" t="s">
        <v>860</v>
      </c>
      <c r="F11782">
        <v>1.29246332637434E-8</v>
      </c>
      <c r="G11782">
        <v>4667748</v>
      </c>
      <c r="H11782">
        <v>12351224</v>
      </c>
      <c r="I11782">
        <v>19746966</v>
      </c>
      <c r="J11782">
        <v>4</v>
      </c>
    </row>
    <row r="11783" spans="1:10" x14ac:dyDescent="0.25">
      <c r="A11783" t="s">
        <v>1606</v>
      </c>
      <c r="B11783" s="1" t="str">
        <f>HYPERLINK("http://halcom.rs","halcom.rs")</f>
        <v>halcom.rs</v>
      </c>
      <c r="C11783" t="s">
        <v>492</v>
      </c>
      <c r="D11783" t="s">
        <v>866</v>
      </c>
      <c r="F11783">
        <v>4.65495753884206E-8</v>
      </c>
      <c r="G11783">
        <v>1004529</v>
      </c>
      <c r="H11783">
        <v>13935924</v>
      </c>
      <c r="I11783">
        <v>4511119</v>
      </c>
      <c r="J11783">
        <v>7</v>
      </c>
    </row>
    <row r="11784" spans="1:10" x14ac:dyDescent="0.25">
      <c r="A11784" t="s">
        <v>1606</v>
      </c>
      <c r="B11784" s="1" t="str">
        <f>HYPERLINK("http://in2.rs","in2.rs")</f>
        <v>in2.rs</v>
      </c>
      <c r="C11784" t="s">
        <v>492</v>
      </c>
      <c r="D11784" t="s">
        <v>866</v>
      </c>
      <c r="F11784">
        <v>7.9729257860521806E-9</v>
      </c>
      <c r="G11784">
        <v>9970933</v>
      </c>
      <c r="H11784">
        <v>12334814</v>
      </c>
      <c r="I11784">
        <v>20112599</v>
      </c>
      <c r="J11784">
        <v>4</v>
      </c>
    </row>
    <row r="11785" spans="1:10" x14ac:dyDescent="0.25">
      <c r="A11785" t="s">
        <v>1606</v>
      </c>
      <c r="B11785" s="1" t="str">
        <f>HYPERLINK("http://fdt.se","fdt.se")</f>
        <v>fdt.se</v>
      </c>
      <c r="C11785" t="s">
        <v>495</v>
      </c>
      <c r="D11785" t="s">
        <v>869</v>
      </c>
      <c r="F11785">
        <v>1.32920864107784E-8</v>
      </c>
      <c r="G11785">
        <v>4496913</v>
      </c>
      <c r="H11785">
        <v>12503522</v>
      </c>
      <c r="I11785">
        <v>17309698</v>
      </c>
      <c r="J11785">
        <v>3</v>
      </c>
    </row>
    <row r="11786" spans="1:10" x14ac:dyDescent="0.25">
      <c r="A11786" t="s">
        <v>1606</v>
      </c>
      <c r="B11786" s="1" t="str">
        <f>HYPERLINK("http://infoflex.se","infoflex.se")</f>
        <v>infoflex.se</v>
      </c>
      <c r="C11786" t="s">
        <v>495</v>
      </c>
      <c r="D11786" t="s">
        <v>869</v>
      </c>
      <c r="E11786">
        <v>650333</v>
      </c>
      <c r="F11786">
        <v>8.2701591263032103E-9</v>
      </c>
      <c r="G11786">
        <v>9328001</v>
      </c>
      <c r="H11786">
        <v>11255498</v>
      </c>
      <c r="I11786">
        <v>30860549</v>
      </c>
      <c r="J11786">
        <v>3</v>
      </c>
    </row>
    <row r="11787" spans="1:10" x14ac:dyDescent="0.25">
      <c r="A11787" t="s">
        <v>1606</v>
      </c>
      <c r="B11787" s="1" t="str">
        <f>HYPERLINK("http://planit.se","planit.se")</f>
        <v>planit.se</v>
      </c>
      <c r="C11787" t="s">
        <v>495</v>
      </c>
      <c r="D11787" t="s">
        <v>869</v>
      </c>
      <c r="F11787">
        <v>8.4585995883309693E-9</v>
      </c>
      <c r="G11787">
        <v>8925713</v>
      </c>
      <c r="H11787">
        <v>12147962</v>
      </c>
      <c r="I11787">
        <v>24679444</v>
      </c>
      <c r="J11787">
        <v>3</v>
      </c>
    </row>
    <row r="11788" spans="1:10" x14ac:dyDescent="0.25">
      <c r="A11788" t="s">
        <v>1606</v>
      </c>
      <c r="B11788" s="1" t="str">
        <f>HYPERLINK("http://symbrio.se","symbrio.se")</f>
        <v>symbrio.se</v>
      </c>
      <c r="C11788" t="s">
        <v>495</v>
      </c>
      <c r="D11788" t="s">
        <v>869</v>
      </c>
      <c r="F11788">
        <v>4.6518107803736801E-9</v>
      </c>
      <c r="G11788">
        <v>44040074</v>
      </c>
      <c r="H11788">
        <v>10458425</v>
      </c>
      <c r="I11788">
        <v>51858075</v>
      </c>
      <c r="J11788">
        <v>6</v>
      </c>
    </row>
    <row r="11789" spans="1:10" x14ac:dyDescent="0.25">
      <c r="A11789" t="s">
        <v>1606</v>
      </c>
      <c r="B11789" s="1" t="str">
        <f>HYPERLINK("http://halcom.si","halcom.si")</f>
        <v>halcom.si</v>
      </c>
      <c r="C11789" t="s">
        <v>497</v>
      </c>
      <c r="D11789" t="s">
        <v>871</v>
      </c>
      <c r="E11789">
        <v>99620</v>
      </c>
      <c r="F11789">
        <v>1.8866161088485399E-7</v>
      </c>
      <c r="G11789">
        <v>204237</v>
      </c>
      <c r="H11789">
        <v>16846880</v>
      </c>
      <c r="I11789">
        <v>158760</v>
      </c>
      <c r="J11789">
        <v>5</v>
      </c>
    </row>
    <row r="11790" spans="1:10" x14ac:dyDescent="0.25">
      <c r="A11790" t="s">
        <v>1606</v>
      </c>
      <c r="B11790" s="1" t="str">
        <f>HYPERLINK("http://adaptit.tech","adaptit.tech")</f>
        <v>adaptit.tech</v>
      </c>
      <c r="C11790" t="s">
        <v>534</v>
      </c>
      <c r="F11790">
        <v>9.0694217321362402E-9</v>
      </c>
      <c r="G11790">
        <v>7890408</v>
      </c>
      <c r="H11790">
        <v>12498192</v>
      </c>
      <c r="I11790">
        <v>17378969</v>
      </c>
      <c r="J11790">
        <v>5</v>
      </c>
    </row>
    <row r="11791" spans="1:10" x14ac:dyDescent="0.25">
      <c r="A11791" t="s">
        <v>1606</v>
      </c>
      <c r="B11791" s="1" t="str">
        <f>HYPERLINK("http://bluestar-software.co.uk","bluestar-software.co.uk")</f>
        <v>bluestar-software.co.uk</v>
      </c>
      <c r="C11791" t="s">
        <v>506</v>
      </c>
      <c r="D11791" t="s">
        <v>880</v>
      </c>
      <c r="F11791">
        <v>6.5271171945879703E-9</v>
      </c>
      <c r="G11791">
        <v>13966366</v>
      </c>
      <c r="H11791">
        <v>13253949</v>
      </c>
      <c r="I11791">
        <v>11064923</v>
      </c>
      <c r="J11791">
        <v>3</v>
      </c>
    </row>
    <row r="11792" spans="1:10" x14ac:dyDescent="0.25">
      <c r="A11792" t="s">
        <v>1606</v>
      </c>
      <c r="B11792" s="1" t="str">
        <f>HYPERLINK("http://contronics.co.uk","contronics.co.uk")</f>
        <v>contronics.co.uk</v>
      </c>
      <c r="C11792" t="s">
        <v>506</v>
      </c>
      <c r="D11792" t="s">
        <v>880</v>
      </c>
      <c r="F11792">
        <v>5.5322945086180002E-9</v>
      </c>
      <c r="G11792">
        <v>20560515</v>
      </c>
      <c r="H11792">
        <v>11998838</v>
      </c>
      <c r="I11792">
        <v>28269108</v>
      </c>
      <c r="J11792">
        <v>6</v>
      </c>
    </row>
    <row r="11793" spans="1:10" x14ac:dyDescent="0.25">
      <c r="A11793" t="s">
        <v>1606</v>
      </c>
      <c r="B11793" s="1" t="str">
        <f>HYPERLINK("http://dataprivacyservices.co.uk","dataprivacyservices.co.uk")</f>
        <v>dataprivacyservices.co.uk</v>
      </c>
      <c r="C11793" t="s">
        <v>506</v>
      </c>
      <c r="D11793" t="s">
        <v>880</v>
      </c>
      <c r="F11793">
        <v>4.7385781768402902E-9</v>
      </c>
      <c r="G11793">
        <v>38872259</v>
      </c>
      <c r="H11793">
        <v>10827677</v>
      </c>
      <c r="I11793">
        <v>37448359</v>
      </c>
      <c r="J11793">
        <v>6</v>
      </c>
    </row>
    <row r="11794" spans="1:10" x14ac:dyDescent="0.25">
      <c r="A11794" t="s">
        <v>1606</v>
      </c>
      <c r="B11794" s="1" t="str">
        <f>HYPERLINK("http://followmyhealth.co.uk","followmyhealth.co.uk")</f>
        <v>followmyhealth.co.uk</v>
      </c>
      <c r="C11794" t="s">
        <v>506</v>
      </c>
      <c r="D11794" t="s">
        <v>880</v>
      </c>
      <c r="F11794">
        <v>4.44381528729582E-9</v>
      </c>
      <c r="G11794">
        <v>79444802</v>
      </c>
      <c r="H11794">
        <v>10358497</v>
      </c>
      <c r="I11794">
        <v>55434725</v>
      </c>
      <c r="J11794">
        <v>8</v>
      </c>
    </row>
    <row r="11795" spans="1:10" x14ac:dyDescent="0.25">
      <c r="A11795" t="s">
        <v>1606</v>
      </c>
      <c r="B11795" s="1" t="str">
        <f>HYPERLINK("http://ibcos.co.uk","ibcos.co.uk")</f>
        <v>ibcos.co.uk</v>
      </c>
      <c r="C11795" t="s">
        <v>506</v>
      </c>
      <c r="D11795" t="s">
        <v>880</v>
      </c>
      <c r="F11795">
        <v>3.20137812986784E-8</v>
      </c>
      <c r="G11795">
        <v>1614489</v>
      </c>
      <c r="H11795">
        <v>12599692</v>
      </c>
      <c r="I11795">
        <v>16328024</v>
      </c>
      <c r="J11795">
        <v>6</v>
      </c>
    </row>
    <row r="11796" spans="1:10" x14ac:dyDescent="0.25">
      <c r="A11796" t="s">
        <v>1606</v>
      </c>
      <c r="B11796" s="1" t="str">
        <f>HYPERLINK("http://imd-soft.co.uk","imd-soft.co.uk")</f>
        <v>imd-soft.co.uk</v>
      </c>
      <c r="C11796" t="s">
        <v>506</v>
      </c>
      <c r="D11796" t="s">
        <v>880</v>
      </c>
      <c r="F11796">
        <v>6.1565310954548596E-9</v>
      </c>
      <c r="G11796">
        <v>15766380</v>
      </c>
      <c r="H11796">
        <v>11296501</v>
      </c>
      <c r="I11796">
        <v>30624749</v>
      </c>
      <c r="J11796">
        <v>4</v>
      </c>
    </row>
    <row r="11797" spans="1:10" x14ac:dyDescent="0.25">
      <c r="A11797" t="s">
        <v>1606</v>
      </c>
      <c r="B11797" s="1" t="str">
        <f>HYPERLINK("http://immhydraulics.co.uk","immhydraulics.co.uk")</f>
        <v>immhydraulics.co.uk</v>
      </c>
      <c r="C11797" t="s">
        <v>506</v>
      </c>
      <c r="D11797" t="s">
        <v>880</v>
      </c>
      <c r="J11797">
        <v>9</v>
      </c>
    </row>
    <row r="11798" spans="1:10" x14ac:dyDescent="0.25">
      <c r="A11798" t="s">
        <v>1606</v>
      </c>
      <c r="B11798" s="1" t="str">
        <f>HYPERLINK("http://jonassoftware.co.uk","jonassoftware.co.uk")</f>
        <v>jonassoftware.co.uk</v>
      </c>
      <c r="C11798" t="s">
        <v>506</v>
      </c>
      <c r="D11798" t="s">
        <v>880</v>
      </c>
      <c r="F11798">
        <v>5.0839729831979797E-9</v>
      </c>
      <c r="G11798">
        <v>27422624</v>
      </c>
      <c r="H11798">
        <v>10398341</v>
      </c>
      <c r="I11798">
        <v>54266300</v>
      </c>
      <c r="J11798">
        <v>4</v>
      </c>
    </row>
    <row r="11799" spans="1:10" x14ac:dyDescent="0.25">
      <c r="A11799" t="s">
        <v>1606</v>
      </c>
      <c r="B11799" s="1" t="str">
        <f>HYPERLINK("http://kineticsolutions.co.uk","kineticsolutions.co.uk")</f>
        <v>kineticsolutions.co.uk</v>
      </c>
      <c r="C11799" t="s">
        <v>506</v>
      </c>
      <c r="D11799" t="s">
        <v>880</v>
      </c>
      <c r="F11799">
        <v>4.27921906925461E-8</v>
      </c>
      <c r="G11799">
        <v>1127206</v>
      </c>
      <c r="H11799">
        <v>13438149</v>
      </c>
      <c r="I11799">
        <v>10265670</v>
      </c>
      <c r="J11799">
        <v>3</v>
      </c>
    </row>
    <row r="11800" spans="1:10" x14ac:dyDescent="0.25">
      <c r="A11800" t="s">
        <v>1606</v>
      </c>
      <c r="B11800" s="1" t="str">
        <f>HYPERLINK("http://mcr-systems.co.uk","mcr-systems.co.uk")</f>
        <v>mcr-systems.co.uk</v>
      </c>
      <c r="C11800" t="s">
        <v>506</v>
      </c>
      <c r="D11800" t="s">
        <v>880</v>
      </c>
      <c r="F11800">
        <v>6.4959351055821002E-8</v>
      </c>
      <c r="G11800">
        <v>663540</v>
      </c>
      <c r="H11800">
        <v>14036524</v>
      </c>
      <c r="I11800">
        <v>3913854</v>
      </c>
      <c r="J11800">
        <v>4</v>
      </c>
    </row>
    <row r="11801" spans="1:10" x14ac:dyDescent="0.25">
      <c r="A11801" t="s">
        <v>1606</v>
      </c>
      <c r="B11801" s="1" t="str">
        <f>HYPERLINK("http://onefile.co.uk","onefile.co.uk")</f>
        <v>onefile.co.uk</v>
      </c>
      <c r="C11801" t="s">
        <v>506</v>
      </c>
      <c r="D11801" t="s">
        <v>880</v>
      </c>
      <c r="E11801">
        <v>170844</v>
      </c>
      <c r="F11801">
        <v>3.7509006495104903E-8</v>
      </c>
      <c r="G11801">
        <v>1379786</v>
      </c>
      <c r="H11801">
        <v>14041731</v>
      </c>
      <c r="I11801">
        <v>3906946</v>
      </c>
      <c r="J11801">
        <v>5</v>
      </c>
    </row>
    <row r="11802" spans="1:10" x14ac:dyDescent="0.25">
      <c r="A11802" t="s">
        <v>1606</v>
      </c>
      <c r="B11802" s="1" t="str">
        <f>HYPERLINK("http://plumsoftware.co.uk","plumsoftware.co.uk")</f>
        <v>plumsoftware.co.uk</v>
      </c>
      <c r="C11802" t="s">
        <v>506</v>
      </c>
      <c r="D11802" t="s">
        <v>880</v>
      </c>
      <c r="F11802">
        <v>5.4084676878332102E-9</v>
      </c>
      <c r="G11802">
        <v>22004753</v>
      </c>
      <c r="H11802">
        <v>10803624</v>
      </c>
      <c r="I11802">
        <v>38053255</v>
      </c>
      <c r="J11802">
        <v>9</v>
      </c>
    </row>
    <row r="11803" spans="1:10" x14ac:dyDescent="0.25">
      <c r="A11803" t="s">
        <v>1606</v>
      </c>
      <c r="B11803" s="1" t="str">
        <f>HYPERLINK("http://sectornet.co.uk","sectornet.co.uk")</f>
        <v>sectornet.co.uk</v>
      </c>
      <c r="C11803" t="s">
        <v>506</v>
      </c>
      <c r="D11803" t="s">
        <v>880</v>
      </c>
      <c r="F11803">
        <v>4.5642722488145504E-9</v>
      </c>
      <c r="G11803">
        <v>50747789</v>
      </c>
      <c r="H11803">
        <v>11395199</v>
      </c>
      <c r="I11803">
        <v>30238681</v>
      </c>
      <c r="J11803">
        <v>8</v>
      </c>
    </row>
    <row r="11804" spans="1:10" x14ac:dyDescent="0.25">
      <c r="A11804" t="s">
        <v>1606</v>
      </c>
      <c r="B11804" s="1" t="str">
        <f>HYPERLINK("http://trapezegroup.co.uk","trapezegroup.co.uk")</f>
        <v>trapezegroup.co.uk</v>
      </c>
      <c r="C11804" t="s">
        <v>506</v>
      </c>
      <c r="D11804" t="s">
        <v>880</v>
      </c>
      <c r="F11804">
        <v>4.28208804707689E-8</v>
      </c>
      <c r="G11804">
        <v>1125978</v>
      </c>
      <c r="H11804">
        <v>14120331</v>
      </c>
      <c r="I11804">
        <v>2362531</v>
      </c>
      <c r="J11804">
        <v>3</v>
      </c>
    </row>
    <row r="11805" spans="1:10" x14ac:dyDescent="0.25">
      <c r="A11805" t="s">
        <v>1606</v>
      </c>
      <c r="B11805" s="1" t="str">
        <f>HYPERLINK("http://followmyhealth.uk","followmyhealth.uk")</f>
        <v>followmyhealth.uk</v>
      </c>
      <c r="C11805" t="s">
        <v>506</v>
      </c>
      <c r="D11805" t="s">
        <v>880</v>
      </c>
      <c r="F11805">
        <v>4.44380996400719E-9</v>
      </c>
      <c r="G11805">
        <v>79654523</v>
      </c>
      <c r="H11805">
        <v>10351910</v>
      </c>
      <c r="I11805">
        <v>56161742</v>
      </c>
      <c r="J11805">
        <v>8</v>
      </c>
    </row>
    <row r="11806" spans="1:10" x14ac:dyDescent="0.25">
      <c r="A11806" t="s">
        <v>1606</v>
      </c>
      <c r="B11806" s="1" t="str">
        <f>HYPERLINK("http://adaptit.co.za","adaptit.co.za")</f>
        <v>adaptit.co.za</v>
      </c>
      <c r="C11806" t="s">
        <v>510</v>
      </c>
      <c r="D11806" t="s">
        <v>884</v>
      </c>
      <c r="F11806">
        <v>1.24831621836119E-8</v>
      </c>
      <c r="G11806">
        <v>4894378</v>
      </c>
      <c r="H11806">
        <v>12918909</v>
      </c>
      <c r="I11806">
        <v>13450979</v>
      </c>
      <c r="J11806">
        <v>3</v>
      </c>
    </row>
    <row r="11807" spans="1:10" x14ac:dyDescent="0.25">
      <c r="A11807" t="s">
        <v>1606</v>
      </c>
      <c r="B11807" s="1" t="str">
        <f>HYPERLINK("http://micros.co.za","micros.co.za")</f>
        <v>micros.co.za</v>
      </c>
      <c r="C11807" t="s">
        <v>510</v>
      </c>
      <c r="D11807" t="s">
        <v>884</v>
      </c>
      <c r="F11807">
        <v>1.82440364421101E-8</v>
      </c>
      <c r="G11807">
        <v>2978348</v>
      </c>
      <c r="H11807">
        <v>13806505</v>
      </c>
      <c r="I11807">
        <v>6231031</v>
      </c>
      <c r="J11807">
        <v>3</v>
      </c>
    </row>
    <row r="11808" spans="1:10" x14ac:dyDescent="0.25">
      <c r="A11808" t="s">
        <v>1606</v>
      </c>
      <c r="B11808" s="1" t="str">
        <f>HYPERLINK("http://swicon360.co.za","swicon360.co.za")</f>
        <v>swicon360.co.za</v>
      </c>
      <c r="C11808" t="s">
        <v>510</v>
      </c>
      <c r="D11808" t="s">
        <v>884</v>
      </c>
      <c r="F11808">
        <v>4.4456397600399203E-9</v>
      </c>
      <c r="G11808">
        <v>75071092</v>
      </c>
      <c r="H11808">
        <v>10641130</v>
      </c>
      <c r="I11808">
        <v>43747474</v>
      </c>
      <c r="J11808">
        <v>8</v>
      </c>
    </row>
    <row r="11809" spans="1:10" x14ac:dyDescent="0.25">
      <c r="A11809" t="s">
        <v>120</v>
      </c>
      <c r="B11809" s="1" t="str">
        <f>HYPERLINK("http://brunp.com.cn","brunp.com.cn")</f>
        <v>brunp.com.cn</v>
      </c>
      <c r="C11809" t="s">
        <v>431</v>
      </c>
      <c r="D11809" t="s">
        <v>812</v>
      </c>
      <c r="F11809">
        <v>2.4087128447832699E-8</v>
      </c>
      <c r="G11809">
        <v>2154486</v>
      </c>
      <c r="H11809">
        <v>12349202</v>
      </c>
      <c r="I11809">
        <v>19778271</v>
      </c>
      <c r="J11809">
        <v>3</v>
      </c>
    </row>
    <row r="11810" spans="1:10" x14ac:dyDescent="0.25">
      <c r="A11810" t="s">
        <v>120</v>
      </c>
      <c r="B11810" s="1" t="str">
        <f>HYPERLINK("http://avatr.com","avatr.com")</f>
        <v>avatr.com</v>
      </c>
      <c r="C11810" t="s">
        <v>433</v>
      </c>
      <c r="E11810">
        <v>441846</v>
      </c>
      <c r="F11810">
        <v>2.11048232983962E-8</v>
      </c>
      <c r="G11810">
        <v>2502081</v>
      </c>
      <c r="H11810">
        <v>12840541</v>
      </c>
      <c r="I11810">
        <v>14344571</v>
      </c>
      <c r="J11810">
        <v>4</v>
      </c>
    </row>
    <row r="11811" spans="1:10" x14ac:dyDescent="0.25">
      <c r="A11811" t="s">
        <v>120</v>
      </c>
      <c r="B11811" s="1" t="str">
        <f>HYPERLINK("http://catl.com","catl.com")</f>
        <v>catl.com</v>
      </c>
      <c r="C11811" t="s">
        <v>433</v>
      </c>
      <c r="E11811">
        <v>121525</v>
      </c>
      <c r="F11811">
        <v>2.37875230292879E-7</v>
      </c>
      <c r="G11811">
        <v>157403</v>
      </c>
      <c r="H11811">
        <v>14818806</v>
      </c>
      <c r="I11811">
        <v>519521</v>
      </c>
      <c r="J11811">
        <v>1</v>
      </c>
    </row>
    <row r="11812" spans="1:10" x14ac:dyDescent="0.25">
      <c r="A11812" t="s">
        <v>120</v>
      </c>
      <c r="B11812" s="1" t="str">
        <f>HYPERLINK("http://catlbattery.com","catlbattery.com")</f>
        <v>catlbattery.com</v>
      </c>
      <c r="C11812" t="s">
        <v>433</v>
      </c>
      <c r="E11812">
        <v>232343</v>
      </c>
      <c r="F11812">
        <v>1.21433236586342E-7</v>
      </c>
      <c r="G11812">
        <v>325238</v>
      </c>
      <c r="H11812">
        <v>14397572</v>
      </c>
      <c r="I11812">
        <v>1157939</v>
      </c>
      <c r="J11812">
        <v>2</v>
      </c>
    </row>
    <row r="11813" spans="1:10" x14ac:dyDescent="0.25">
      <c r="A11813" t="s">
        <v>1607</v>
      </c>
      <c r="B11813" s="1" t="str">
        <f>HYPERLINK("http://granular.ag","granular.ag")</f>
        <v>granular.ag</v>
      </c>
      <c r="C11813" t="s">
        <v>564</v>
      </c>
      <c r="D11813" t="s">
        <v>912</v>
      </c>
      <c r="E11813">
        <v>644640</v>
      </c>
      <c r="F11813">
        <v>2.1209499103496501E-7</v>
      </c>
      <c r="G11813">
        <v>178081</v>
      </c>
      <c r="H11813">
        <v>14674994</v>
      </c>
      <c r="I11813">
        <v>611767</v>
      </c>
      <c r="J11813">
        <v>3</v>
      </c>
    </row>
    <row r="11814" spans="1:10" x14ac:dyDescent="0.25">
      <c r="A11814" t="s">
        <v>1607</v>
      </c>
      <c r="B11814" s="1" t="str">
        <f>HYPERLINK("http://corteva.com.ar","corteva.com.ar")</f>
        <v>corteva.com.ar</v>
      </c>
      <c r="C11814" t="s">
        <v>418</v>
      </c>
      <c r="D11814" t="s">
        <v>800</v>
      </c>
      <c r="F11814">
        <v>2.6574105048098601E-8</v>
      </c>
      <c r="G11814">
        <v>1937195</v>
      </c>
      <c r="H11814">
        <v>12911530</v>
      </c>
      <c r="I11814">
        <v>13544348</v>
      </c>
      <c r="J11814">
        <v>2</v>
      </c>
    </row>
    <row r="11815" spans="1:10" x14ac:dyDescent="0.25">
      <c r="A11815" t="s">
        <v>1607</v>
      </c>
      <c r="B11815" s="1" t="str">
        <f>HYPERLINK("http://corteva.com.au","corteva.com.au")</f>
        <v>corteva.com.au</v>
      </c>
      <c r="C11815" t="s">
        <v>420</v>
      </c>
      <c r="D11815" t="s">
        <v>802</v>
      </c>
      <c r="F11815">
        <v>6.9700351193880294E-8</v>
      </c>
      <c r="G11815">
        <v>608810</v>
      </c>
      <c r="H11815">
        <v>12738344</v>
      </c>
      <c r="I11815">
        <v>15152156</v>
      </c>
      <c r="J11815">
        <v>2</v>
      </c>
    </row>
    <row r="11816" spans="1:10" x14ac:dyDescent="0.25">
      <c r="A11816" t="s">
        <v>1607</v>
      </c>
      <c r="B11816" s="1" t="str">
        <f>HYPERLINK("http://pioneerseeds.com.au","pioneerseeds.com.au")</f>
        <v>pioneerseeds.com.au</v>
      </c>
      <c r="C11816" t="s">
        <v>420</v>
      </c>
      <c r="D11816" t="s">
        <v>802</v>
      </c>
      <c r="F11816">
        <v>1.47503161038358E-8</v>
      </c>
      <c r="G11816">
        <v>3923812</v>
      </c>
      <c r="H11816">
        <v>13412284</v>
      </c>
      <c r="I11816">
        <v>10325092</v>
      </c>
      <c r="J11816">
        <v>3</v>
      </c>
    </row>
    <row r="11817" spans="1:10" x14ac:dyDescent="0.25">
      <c r="A11817" t="s">
        <v>1607</v>
      </c>
      <c r="B11817" s="1" t="str">
        <f>HYPERLINK("http://corteva.be","corteva.be")</f>
        <v>corteva.be</v>
      </c>
      <c r="C11817" t="s">
        <v>421</v>
      </c>
      <c r="D11817" t="s">
        <v>803</v>
      </c>
      <c r="F11817">
        <v>1.8985310530039999E-8</v>
      </c>
      <c r="G11817">
        <v>2838581</v>
      </c>
      <c r="H11817">
        <v>12170309</v>
      </c>
      <c r="I11817">
        <v>24061728</v>
      </c>
      <c r="J11817">
        <v>2</v>
      </c>
    </row>
    <row r="11818" spans="1:10" x14ac:dyDescent="0.25">
      <c r="A11818" t="s">
        <v>1607</v>
      </c>
      <c r="B11818" s="1" t="str">
        <f>HYPERLINK("http://corteva.bg","corteva.bg")</f>
        <v>corteva.bg</v>
      </c>
      <c r="C11818" t="s">
        <v>422</v>
      </c>
      <c r="D11818" t="s">
        <v>804</v>
      </c>
      <c r="F11818">
        <v>2.52706505440409E-8</v>
      </c>
      <c r="G11818">
        <v>2042110</v>
      </c>
      <c r="H11818">
        <v>13671063</v>
      </c>
      <c r="I11818">
        <v>9547516</v>
      </c>
      <c r="J11818">
        <v>2</v>
      </c>
    </row>
    <row r="11819" spans="1:10" x14ac:dyDescent="0.25">
      <c r="A11819" t="s">
        <v>1607</v>
      </c>
      <c r="B11819" s="1" t="str">
        <f>HYPERLINK("http://corteva.bo","corteva.bo")</f>
        <v>corteva.bo</v>
      </c>
      <c r="C11819" t="s">
        <v>424</v>
      </c>
      <c r="D11819" t="s">
        <v>805</v>
      </c>
      <c r="F11819">
        <v>1.7823085043624299E-8</v>
      </c>
      <c r="G11819">
        <v>3069826</v>
      </c>
      <c r="H11819">
        <v>12169585</v>
      </c>
      <c r="I11819">
        <v>24079032</v>
      </c>
      <c r="J11819">
        <v>2</v>
      </c>
    </row>
    <row r="11820" spans="1:10" x14ac:dyDescent="0.25">
      <c r="A11820" t="s">
        <v>1607</v>
      </c>
      <c r="B11820" s="1" t="str">
        <f>HYPERLINK("http://corteva.com.br","corteva.com.br")</f>
        <v>corteva.com.br</v>
      </c>
      <c r="C11820" t="s">
        <v>425</v>
      </c>
      <c r="D11820" t="s">
        <v>806</v>
      </c>
      <c r="F11820">
        <v>2.7133449081869202E-8</v>
      </c>
      <c r="G11820">
        <v>1895292</v>
      </c>
      <c r="H11820">
        <v>12901379</v>
      </c>
      <c r="I11820">
        <v>13854416</v>
      </c>
      <c r="J11820">
        <v>2</v>
      </c>
    </row>
    <row r="11821" spans="1:10" x14ac:dyDescent="0.25">
      <c r="A11821" t="s">
        <v>1607</v>
      </c>
      <c r="B11821" s="1" t="str">
        <f>HYPERLINK("http://corteva.by","corteva.by")</f>
        <v>corteva.by</v>
      </c>
      <c r="C11821" t="s">
        <v>427</v>
      </c>
      <c r="D11821" t="s">
        <v>808</v>
      </c>
      <c r="F11821">
        <v>1.7753040674177299E-8</v>
      </c>
      <c r="G11821">
        <v>3084907</v>
      </c>
      <c r="H11821">
        <v>12169580</v>
      </c>
      <c r="I11821">
        <v>24079116</v>
      </c>
      <c r="J11821">
        <v>2</v>
      </c>
    </row>
    <row r="11822" spans="1:10" x14ac:dyDescent="0.25">
      <c r="A11822" t="s">
        <v>1607</v>
      </c>
      <c r="B11822" s="1" t="str">
        <f>HYPERLINK("http://corteva.ca","corteva.ca")</f>
        <v>corteva.ca</v>
      </c>
      <c r="C11822" t="s">
        <v>428</v>
      </c>
      <c r="D11822" t="s">
        <v>809</v>
      </c>
      <c r="F11822">
        <v>1.2010794899193699E-7</v>
      </c>
      <c r="G11822">
        <v>329124</v>
      </c>
      <c r="H11822">
        <v>14038605</v>
      </c>
      <c r="I11822">
        <v>3910586</v>
      </c>
      <c r="J11822">
        <v>2</v>
      </c>
    </row>
    <row r="11823" spans="1:10" x14ac:dyDescent="0.25">
      <c r="A11823" t="s">
        <v>1607</v>
      </c>
      <c r="B11823" s="1" t="str">
        <f>HYPERLINK("http://corteva.cl","corteva.cl")</f>
        <v>corteva.cl</v>
      </c>
      <c r="C11823" t="s">
        <v>430</v>
      </c>
      <c r="D11823" t="s">
        <v>811</v>
      </c>
      <c r="F11823">
        <v>2.1541125176492001E-8</v>
      </c>
      <c r="G11823">
        <v>2443925</v>
      </c>
      <c r="H11823">
        <v>12211593</v>
      </c>
      <c r="I11823">
        <v>22987527</v>
      </c>
      <c r="J11823">
        <v>2</v>
      </c>
    </row>
    <row r="11824" spans="1:10" x14ac:dyDescent="0.25">
      <c r="A11824" t="s">
        <v>1607</v>
      </c>
      <c r="B11824" s="1" t="str">
        <f>HYPERLINK("http://corteva.cn","corteva.cn")</f>
        <v>corteva.cn</v>
      </c>
      <c r="C11824" t="s">
        <v>431</v>
      </c>
      <c r="D11824" t="s">
        <v>812</v>
      </c>
      <c r="F11824">
        <v>1.76589103414495E-8</v>
      </c>
      <c r="G11824">
        <v>3105785</v>
      </c>
      <c r="H11824">
        <v>12169578</v>
      </c>
      <c r="I11824">
        <v>24079144</v>
      </c>
      <c r="J11824">
        <v>2</v>
      </c>
    </row>
    <row r="11825" spans="1:10" x14ac:dyDescent="0.25">
      <c r="A11825" t="s">
        <v>1607</v>
      </c>
      <c r="B11825" s="1" t="str">
        <f>HYPERLINK("http://corteva.co","corteva.co")</f>
        <v>corteva.co</v>
      </c>
      <c r="C11825" t="s">
        <v>432</v>
      </c>
      <c r="F11825">
        <v>2.2908875285023099E-8</v>
      </c>
      <c r="G11825">
        <v>2281870</v>
      </c>
      <c r="H11825">
        <v>13559571</v>
      </c>
      <c r="I11825">
        <v>9855307</v>
      </c>
      <c r="J11825">
        <v>2</v>
      </c>
    </row>
    <row r="11826" spans="1:10" x14ac:dyDescent="0.25">
      <c r="A11826" t="s">
        <v>1607</v>
      </c>
      <c r="B11826" s="1" t="str">
        <f>HYPERLINK("http://corteva.com","corteva.com")</f>
        <v>corteva.com</v>
      </c>
      <c r="C11826" t="s">
        <v>433</v>
      </c>
      <c r="E11826">
        <v>48462</v>
      </c>
      <c r="F11826">
        <v>7.9741901771926802E-7</v>
      </c>
      <c r="G11826">
        <v>49372</v>
      </c>
      <c r="H11826">
        <v>17265146</v>
      </c>
      <c r="I11826">
        <v>31976</v>
      </c>
      <c r="J11826">
        <v>1</v>
      </c>
    </row>
    <row r="11827" spans="1:10" x14ac:dyDescent="0.25">
      <c r="A11827" t="s">
        <v>1607</v>
      </c>
      <c r="B11827" s="1" t="str">
        <f>HYPERLINK("http://dowagro.com","dowagro.com")</f>
        <v>dowagro.com</v>
      </c>
      <c r="C11827" t="s">
        <v>433</v>
      </c>
      <c r="E11827">
        <v>213126</v>
      </c>
      <c r="F11827">
        <v>2.7984876592481601E-7</v>
      </c>
      <c r="G11827">
        <v>132894</v>
      </c>
      <c r="H11827">
        <v>17194092</v>
      </c>
      <c r="I11827">
        <v>42863</v>
      </c>
      <c r="J11827">
        <v>3</v>
      </c>
    </row>
    <row r="11828" spans="1:10" x14ac:dyDescent="0.25">
      <c r="A11828" t="s">
        <v>1607</v>
      </c>
      <c r="B11828" s="1" t="str">
        <f>HYPERLINK("http://dupontcapital.com","dupontcapital.com")</f>
        <v>dupontcapital.com</v>
      </c>
      <c r="C11828" t="s">
        <v>433</v>
      </c>
      <c r="F11828">
        <v>5.7006510406519E-9</v>
      </c>
      <c r="G11828">
        <v>18955314</v>
      </c>
      <c r="H11828">
        <v>12112817</v>
      </c>
      <c r="I11828">
        <v>25655942</v>
      </c>
      <c r="J11828">
        <v>3</v>
      </c>
    </row>
    <row r="11829" spans="1:10" x14ac:dyDescent="0.25">
      <c r="A11829" t="s">
        <v>1607</v>
      </c>
      <c r="B11829" s="1" t="str">
        <f>HYPERLINK("http://lavie-bio.com","lavie-bio.com")</f>
        <v>lavie-bio.com</v>
      </c>
      <c r="C11829" t="s">
        <v>433</v>
      </c>
      <c r="F11829">
        <v>1.14884756813589E-8</v>
      </c>
      <c r="G11829">
        <v>5513381</v>
      </c>
      <c r="H11829">
        <v>13765878</v>
      </c>
      <c r="I11829">
        <v>7056350</v>
      </c>
      <c r="J11829">
        <v>3</v>
      </c>
    </row>
    <row r="11830" spans="1:10" x14ac:dyDescent="0.25">
      <c r="A11830" t="s">
        <v>1607</v>
      </c>
      <c r="B11830" s="1" t="str">
        <f>HYPERLINK("http://mycogen.com","mycogen.com")</f>
        <v>mycogen.com</v>
      </c>
      <c r="C11830" t="s">
        <v>433</v>
      </c>
      <c r="F11830">
        <v>2.0785636751708599E-8</v>
      </c>
      <c r="G11830">
        <v>2544990</v>
      </c>
      <c r="H11830">
        <v>14382536</v>
      </c>
      <c r="I11830">
        <v>1188459</v>
      </c>
      <c r="J11830">
        <v>3</v>
      </c>
    </row>
    <row r="11831" spans="1:10" x14ac:dyDescent="0.25">
      <c r="A11831" t="s">
        <v>1607</v>
      </c>
      <c r="B11831" s="1" t="str">
        <f>HYPERLINK("http://pioneer.com","pioneer.com")</f>
        <v>pioneer.com</v>
      </c>
      <c r="C11831" t="s">
        <v>433</v>
      </c>
      <c r="E11831">
        <v>30690</v>
      </c>
      <c r="F11831">
        <v>4.4419540742024199E-7</v>
      </c>
      <c r="G11831">
        <v>84932</v>
      </c>
      <c r="H11831">
        <v>15215409</v>
      </c>
      <c r="I11831">
        <v>393914</v>
      </c>
      <c r="J11831">
        <v>3</v>
      </c>
    </row>
    <row r="11832" spans="1:10" x14ac:dyDescent="0.25">
      <c r="A11832" t="s">
        <v>1607</v>
      </c>
      <c r="B11832" s="1" t="str">
        <f>HYPERLINK("http://seedconsultants.com","seedconsultants.com")</f>
        <v>seedconsultants.com</v>
      </c>
      <c r="C11832" t="s">
        <v>433</v>
      </c>
      <c r="F11832">
        <v>1.4066723439617001E-8</v>
      </c>
      <c r="G11832">
        <v>4177805</v>
      </c>
      <c r="H11832">
        <v>12553412</v>
      </c>
      <c r="I11832">
        <v>16797455</v>
      </c>
      <c r="J11832">
        <v>3</v>
      </c>
    </row>
    <row r="11833" spans="1:10" x14ac:dyDescent="0.25">
      <c r="A11833" t="s">
        <v>1607</v>
      </c>
      <c r="B11833" s="1" t="str">
        <f>HYPERLINK("http://corteva.cr","corteva.cr")</f>
        <v>corteva.cr</v>
      </c>
      <c r="C11833" t="s">
        <v>434</v>
      </c>
      <c r="D11833" t="s">
        <v>813</v>
      </c>
      <c r="F11833">
        <v>1.9204817642389801E-8</v>
      </c>
      <c r="G11833">
        <v>2797875</v>
      </c>
      <c r="H11833">
        <v>12230355</v>
      </c>
      <c r="I11833">
        <v>22494731</v>
      </c>
      <c r="J11833">
        <v>2</v>
      </c>
    </row>
    <row r="11834" spans="1:10" x14ac:dyDescent="0.25">
      <c r="A11834" t="s">
        <v>1607</v>
      </c>
      <c r="B11834" s="1" t="str">
        <f>HYPERLINK("http://corteva.cz","corteva.cz")</f>
        <v>corteva.cz</v>
      </c>
      <c r="C11834" t="s">
        <v>435</v>
      </c>
      <c r="D11834" t="s">
        <v>814</v>
      </c>
      <c r="F11834">
        <v>2.1078572000355399E-8</v>
      </c>
      <c r="G11834">
        <v>2505525</v>
      </c>
      <c r="H11834">
        <v>12173701</v>
      </c>
      <c r="I11834">
        <v>23966661</v>
      </c>
      <c r="J11834">
        <v>2</v>
      </c>
    </row>
    <row r="11835" spans="1:10" x14ac:dyDescent="0.25">
      <c r="A11835" t="s">
        <v>1607</v>
      </c>
      <c r="B11835" s="1" t="str">
        <f>HYPERLINK("http://corteva.de","corteva.de")</f>
        <v>corteva.de</v>
      </c>
      <c r="C11835" t="s">
        <v>436</v>
      </c>
      <c r="D11835" t="s">
        <v>815</v>
      </c>
      <c r="F11835">
        <v>3.2402103405119399E-8</v>
      </c>
      <c r="G11835">
        <v>1594540</v>
      </c>
      <c r="H11835">
        <v>14076194</v>
      </c>
      <c r="I11835">
        <v>2892457</v>
      </c>
      <c r="J11835">
        <v>2</v>
      </c>
    </row>
    <row r="11836" spans="1:10" x14ac:dyDescent="0.25">
      <c r="A11836" t="s">
        <v>1607</v>
      </c>
      <c r="B11836" s="1" t="str">
        <f>HYPERLINK("http://corteva.dk","corteva.dk")</f>
        <v>corteva.dk</v>
      </c>
      <c r="C11836" t="s">
        <v>437</v>
      </c>
      <c r="D11836" t="s">
        <v>816</v>
      </c>
      <c r="F11836">
        <v>3.0955701607799797E-8</v>
      </c>
      <c r="G11836">
        <v>1664509</v>
      </c>
      <c r="H11836">
        <v>12538132</v>
      </c>
      <c r="I11836">
        <v>16960738</v>
      </c>
      <c r="J11836">
        <v>2</v>
      </c>
    </row>
    <row r="11837" spans="1:10" x14ac:dyDescent="0.25">
      <c r="A11837" t="s">
        <v>1607</v>
      </c>
      <c r="B11837" s="1" t="str">
        <f>HYPERLINK("http://corteva.do","corteva.do")</f>
        <v>corteva.do</v>
      </c>
      <c r="C11837" t="s">
        <v>438</v>
      </c>
      <c r="D11837" t="s">
        <v>817</v>
      </c>
      <c r="F11837">
        <v>1.7651564704431299E-8</v>
      </c>
      <c r="G11837">
        <v>3107505</v>
      </c>
      <c r="H11837">
        <v>12169578</v>
      </c>
      <c r="I11837">
        <v>24079160</v>
      </c>
      <c r="J11837">
        <v>2</v>
      </c>
    </row>
    <row r="11838" spans="1:10" x14ac:dyDescent="0.25">
      <c r="A11838" t="s">
        <v>1607</v>
      </c>
      <c r="B11838" s="1" t="str">
        <f>HYPERLINK("http://corteva.ec","corteva.ec")</f>
        <v>corteva.ec</v>
      </c>
      <c r="C11838" t="s">
        <v>440</v>
      </c>
      <c r="D11838" t="s">
        <v>819</v>
      </c>
      <c r="F11838">
        <v>1.7658909867419499E-8</v>
      </c>
      <c r="G11838">
        <v>3105786</v>
      </c>
      <c r="H11838">
        <v>12169578</v>
      </c>
      <c r="I11838">
        <v>24079161</v>
      </c>
      <c r="J11838">
        <v>2</v>
      </c>
    </row>
    <row r="11839" spans="1:10" x14ac:dyDescent="0.25">
      <c r="A11839" t="s">
        <v>1607</v>
      </c>
      <c r="B11839" s="1" t="str">
        <f>HYPERLINK("http://corteva.ee","corteva.ee")</f>
        <v>corteva.ee</v>
      </c>
      <c r="C11839" t="s">
        <v>441</v>
      </c>
      <c r="D11839" t="s">
        <v>820</v>
      </c>
      <c r="F11839">
        <v>1.7896572306261502E-8</v>
      </c>
      <c r="G11839">
        <v>3054215</v>
      </c>
      <c r="H11839">
        <v>12169607</v>
      </c>
      <c r="I11839">
        <v>24078002</v>
      </c>
      <c r="J11839">
        <v>2</v>
      </c>
    </row>
    <row r="11840" spans="1:10" x14ac:dyDescent="0.25">
      <c r="A11840" t="s">
        <v>1607</v>
      </c>
      <c r="B11840" s="1" t="str">
        <f>HYPERLINK("http://corteva.es","corteva.es")</f>
        <v>corteva.es</v>
      </c>
      <c r="C11840" t="s">
        <v>443</v>
      </c>
      <c r="D11840" t="s">
        <v>822</v>
      </c>
      <c r="F11840">
        <v>8.9967912992015805E-8</v>
      </c>
      <c r="G11840">
        <v>453642</v>
      </c>
      <c r="H11840">
        <v>13794404</v>
      </c>
      <c r="I11840">
        <v>6315871</v>
      </c>
      <c r="J11840">
        <v>2</v>
      </c>
    </row>
    <row r="11841" spans="1:10" x14ac:dyDescent="0.25">
      <c r="A11841" t="s">
        <v>1607</v>
      </c>
      <c r="B11841" s="1" t="str">
        <f>HYPERLINK("http://corteva.fi","corteva.fi")</f>
        <v>corteva.fi</v>
      </c>
      <c r="C11841" t="s">
        <v>445</v>
      </c>
      <c r="D11841" t="s">
        <v>823</v>
      </c>
      <c r="F11841">
        <v>1.94037011419876E-8</v>
      </c>
      <c r="G11841">
        <v>2762362</v>
      </c>
      <c r="H11841">
        <v>12230656</v>
      </c>
      <c r="I11841">
        <v>22487820</v>
      </c>
      <c r="J11841">
        <v>2</v>
      </c>
    </row>
    <row r="11842" spans="1:10" x14ac:dyDescent="0.25">
      <c r="A11842" t="s">
        <v>1607</v>
      </c>
      <c r="B11842" s="1" t="str">
        <f>HYPERLINK("http://nutribiosis.fi","nutribiosis.fi")</f>
        <v>nutribiosis.fi</v>
      </c>
      <c r="C11842" t="s">
        <v>445</v>
      </c>
      <c r="D11842" t="s">
        <v>823</v>
      </c>
      <c r="J11842">
        <v>4</v>
      </c>
    </row>
    <row r="11843" spans="1:10" x14ac:dyDescent="0.25">
      <c r="A11843" t="s">
        <v>1607</v>
      </c>
      <c r="B11843" s="1" t="str">
        <f>HYPERLINK("http://styrofoam.fi","styrofoam.fi")</f>
        <v>styrofoam.fi</v>
      </c>
      <c r="C11843" t="s">
        <v>445</v>
      </c>
      <c r="D11843" t="s">
        <v>823</v>
      </c>
      <c r="J11843">
        <v>4</v>
      </c>
    </row>
    <row r="11844" spans="1:10" x14ac:dyDescent="0.25">
      <c r="A11844" t="s">
        <v>1607</v>
      </c>
      <c r="B11844" s="1" t="str">
        <f>HYPERLINK("http://styrofoameurope.fi","styrofoameurope.fi")</f>
        <v>styrofoameurope.fi</v>
      </c>
      <c r="C11844" t="s">
        <v>445</v>
      </c>
      <c r="D11844" t="s">
        <v>823</v>
      </c>
      <c r="J11844">
        <v>4</v>
      </c>
    </row>
    <row r="11845" spans="1:10" x14ac:dyDescent="0.25">
      <c r="A11845" t="s">
        <v>1607</v>
      </c>
      <c r="B11845" s="1" t="str">
        <f>HYPERLINK("http://corteva.fr","corteva.fr")</f>
        <v>corteva.fr</v>
      </c>
      <c r="C11845" t="s">
        <v>446</v>
      </c>
      <c r="D11845" t="s">
        <v>824</v>
      </c>
      <c r="F11845">
        <v>3.3698462521912397E-8</v>
      </c>
      <c r="G11845">
        <v>1535038</v>
      </c>
      <c r="H11845">
        <v>12452504</v>
      </c>
      <c r="I11845">
        <v>17965944</v>
      </c>
      <c r="J11845">
        <v>2</v>
      </c>
    </row>
    <row r="11846" spans="1:10" x14ac:dyDescent="0.25">
      <c r="A11846" t="s">
        <v>1607</v>
      </c>
      <c r="B11846" s="1" t="str">
        <f>HYPERLINK("http://corteva.gr","corteva.gr")</f>
        <v>corteva.gr</v>
      </c>
      <c r="C11846" t="s">
        <v>447</v>
      </c>
      <c r="D11846" t="s">
        <v>825</v>
      </c>
      <c r="F11846">
        <v>2.4294119603618301E-8</v>
      </c>
      <c r="G11846">
        <v>2134356</v>
      </c>
      <c r="H11846">
        <v>12318648</v>
      </c>
      <c r="I11846">
        <v>20444265</v>
      </c>
      <c r="J11846">
        <v>2</v>
      </c>
    </row>
    <row r="11847" spans="1:10" x14ac:dyDescent="0.25">
      <c r="A11847" t="s">
        <v>1607</v>
      </c>
      <c r="B11847" s="1" t="str">
        <f>HYPERLINK("http://corteva.gt","corteva.gt")</f>
        <v>corteva.gt</v>
      </c>
      <c r="C11847" t="s">
        <v>448</v>
      </c>
      <c r="D11847" t="s">
        <v>826</v>
      </c>
      <c r="F11847">
        <v>1.76571333396923E-8</v>
      </c>
      <c r="G11847">
        <v>3106181</v>
      </c>
      <c r="H11847">
        <v>12169578</v>
      </c>
      <c r="I11847">
        <v>24079163</v>
      </c>
      <c r="J11847">
        <v>2</v>
      </c>
    </row>
    <row r="11848" spans="1:10" x14ac:dyDescent="0.25">
      <c r="A11848" t="s">
        <v>1607</v>
      </c>
      <c r="B11848" s="1" t="str">
        <f>HYPERLINK("http://corteva.hn","corteva.hn")</f>
        <v>corteva.hn</v>
      </c>
      <c r="C11848" t="s">
        <v>451</v>
      </c>
      <c r="D11848" t="s">
        <v>828</v>
      </c>
      <c r="F11848">
        <v>1.7660648052043301E-8</v>
      </c>
      <c r="G11848">
        <v>3105395</v>
      </c>
      <c r="H11848">
        <v>12169578</v>
      </c>
      <c r="I11848">
        <v>24079164</v>
      </c>
      <c r="J11848">
        <v>2</v>
      </c>
    </row>
    <row r="11849" spans="1:10" x14ac:dyDescent="0.25">
      <c r="A11849" t="s">
        <v>1607</v>
      </c>
      <c r="B11849" s="1" t="str">
        <f>HYPERLINK("http://corteva.hr","corteva.hr")</f>
        <v>corteva.hr</v>
      </c>
      <c r="C11849" t="s">
        <v>452</v>
      </c>
      <c r="D11849" t="s">
        <v>829</v>
      </c>
      <c r="F11849">
        <v>1.9612672850930198E-8</v>
      </c>
      <c r="G11849">
        <v>2726044</v>
      </c>
      <c r="H11849">
        <v>12235589</v>
      </c>
      <c r="I11849">
        <v>22360386</v>
      </c>
      <c r="J11849">
        <v>2</v>
      </c>
    </row>
    <row r="11850" spans="1:10" x14ac:dyDescent="0.25">
      <c r="A11850" t="s">
        <v>1607</v>
      </c>
      <c r="B11850" s="1" t="str">
        <f>HYPERLINK("http://corteva.hu","corteva.hu")</f>
        <v>corteva.hu</v>
      </c>
      <c r="C11850" t="s">
        <v>453</v>
      </c>
      <c r="D11850" t="s">
        <v>830</v>
      </c>
      <c r="F11850">
        <v>7.2101829841644595E-8</v>
      </c>
      <c r="G11850">
        <v>585567</v>
      </c>
      <c r="H11850">
        <v>16751627</v>
      </c>
      <c r="I11850">
        <v>262215</v>
      </c>
      <c r="J11850">
        <v>2</v>
      </c>
    </row>
    <row r="11851" spans="1:10" x14ac:dyDescent="0.25">
      <c r="A11851" t="s">
        <v>1607</v>
      </c>
      <c r="B11851" s="1" t="str">
        <f>HYPERLINK("http://corteva.co.id","corteva.co.id")</f>
        <v>corteva.co.id</v>
      </c>
      <c r="C11851" t="s">
        <v>454</v>
      </c>
      <c r="D11851" t="s">
        <v>831</v>
      </c>
      <c r="F11851">
        <v>4.6275265883611599E-9</v>
      </c>
      <c r="G11851">
        <v>45606569</v>
      </c>
      <c r="H11851">
        <v>10462129</v>
      </c>
      <c r="I11851">
        <v>51682856</v>
      </c>
      <c r="J11851">
        <v>3</v>
      </c>
    </row>
    <row r="11852" spans="1:10" x14ac:dyDescent="0.25">
      <c r="A11852" t="s">
        <v>1607</v>
      </c>
      <c r="B11852" s="1" t="str">
        <f>HYPERLINK("http://corteva.id","corteva.id")</f>
        <v>corteva.id</v>
      </c>
      <c r="C11852" t="s">
        <v>454</v>
      </c>
      <c r="D11852" t="s">
        <v>831</v>
      </c>
      <c r="F11852">
        <v>2.24760969110898E-8</v>
      </c>
      <c r="G11852">
        <v>2331186</v>
      </c>
      <c r="H11852">
        <v>12201473</v>
      </c>
      <c r="I11852">
        <v>23280517</v>
      </c>
      <c r="J11852">
        <v>2</v>
      </c>
    </row>
    <row r="11853" spans="1:10" x14ac:dyDescent="0.25">
      <c r="A11853" t="s">
        <v>1607</v>
      </c>
      <c r="B11853" s="1" t="str">
        <f>HYPERLINK("http://corteva.ie","corteva.ie")</f>
        <v>corteva.ie</v>
      </c>
      <c r="C11853" t="s">
        <v>455</v>
      </c>
      <c r="D11853" t="s">
        <v>832</v>
      </c>
      <c r="F11853">
        <v>2.1384313600174501E-8</v>
      </c>
      <c r="G11853">
        <v>2463617</v>
      </c>
      <c r="H11853">
        <v>12233331</v>
      </c>
      <c r="I11853">
        <v>22417165</v>
      </c>
      <c r="J11853">
        <v>2</v>
      </c>
    </row>
    <row r="11854" spans="1:10" x14ac:dyDescent="0.25">
      <c r="A11854" t="s">
        <v>1607</v>
      </c>
      <c r="B11854" s="1" t="str">
        <f>HYPERLINK("http://corteva.in","corteva.in")</f>
        <v>corteva.in</v>
      </c>
      <c r="C11854" t="s">
        <v>457</v>
      </c>
      <c r="D11854" t="s">
        <v>834</v>
      </c>
      <c r="F11854">
        <v>2.0152758987122999E-8</v>
      </c>
      <c r="G11854">
        <v>2635843</v>
      </c>
      <c r="H11854">
        <v>12231347</v>
      </c>
      <c r="I11854">
        <v>22470655</v>
      </c>
      <c r="J11854">
        <v>2</v>
      </c>
    </row>
    <row r="11855" spans="1:10" x14ac:dyDescent="0.25">
      <c r="A11855" t="s">
        <v>1607</v>
      </c>
      <c r="B11855" s="1" t="str">
        <f>HYPERLINK("http://corteva.it","corteva.it")</f>
        <v>corteva.it</v>
      </c>
      <c r="C11855" t="s">
        <v>459</v>
      </c>
      <c r="D11855" t="s">
        <v>835</v>
      </c>
      <c r="F11855">
        <v>6.8090924787667505E-8</v>
      </c>
      <c r="G11855">
        <v>626750</v>
      </c>
      <c r="H11855">
        <v>12784778</v>
      </c>
      <c r="I11855">
        <v>14718379</v>
      </c>
      <c r="J11855">
        <v>2</v>
      </c>
    </row>
    <row r="11856" spans="1:10" x14ac:dyDescent="0.25">
      <c r="A11856" t="s">
        <v>1607</v>
      </c>
      <c r="B11856" s="1" t="str">
        <f>HYPERLINK("http://corteva.jp","corteva.jp")</f>
        <v>corteva.jp</v>
      </c>
      <c r="C11856" t="s">
        <v>461</v>
      </c>
      <c r="D11856" t="s">
        <v>837</v>
      </c>
      <c r="F11856">
        <v>6.3698163040085796E-8</v>
      </c>
      <c r="G11856">
        <v>681347</v>
      </c>
      <c r="H11856">
        <v>14084813</v>
      </c>
      <c r="I11856">
        <v>2785019</v>
      </c>
      <c r="J11856">
        <v>2</v>
      </c>
    </row>
    <row r="11857" spans="1:10" x14ac:dyDescent="0.25">
      <c r="A11857" t="s">
        <v>1607</v>
      </c>
      <c r="B11857" s="1" t="str">
        <f>HYPERLINK("http://corteva.co.ke","corteva.co.ke")</f>
        <v>corteva.co.ke</v>
      </c>
      <c r="C11857" t="s">
        <v>462</v>
      </c>
      <c r="D11857" t="s">
        <v>838</v>
      </c>
      <c r="F11857">
        <v>1.76476378753962E-8</v>
      </c>
      <c r="G11857">
        <v>3108420</v>
      </c>
      <c r="H11857">
        <v>12169578</v>
      </c>
      <c r="I11857">
        <v>24079165</v>
      </c>
      <c r="J11857">
        <v>2</v>
      </c>
    </row>
    <row r="11858" spans="1:10" x14ac:dyDescent="0.25">
      <c r="A11858" t="s">
        <v>1607</v>
      </c>
      <c r="B11858" s="1" t="str">
        <f>HYPERLINK("http://corteva.co.kr","corteva.co.kr")</f>
        <v>corteva.co.kr</v>
      </c>
      <c r="C11858" t="s">
        <v>463</v>
      </c>
      <c r="D11858" t="s">
        <v>839</v>
      </c>
      <c r="F11858">
        <v>1.8267027140714E-8</v>
      </c>
      <c r="G11858">
        <v>2973862</v>
      </c>
      <c r="H11858">
        <v>12169596</v>
      </c>
      <c r="I11858">
        <v>24078836</v>
      </c>
      <c r="J11858">
        <v>2</v>
      </c>
    </row>
    <row r="11859" spans="1:10" x14ac:dyDescent="0.25">
      <c r="A11859" t="s">
        <v>1607</v>
      </c>
      <c r="B11859" s="1" t="str">
        <f>HYPERLINK("http://corteva.kz","corteva.kz")</f>
        <v>corteva.kz</v>
      </c>
      <c r="C11859" t="s">
        <v>465</v>
      </c>
      <c r="D11859" t="s">
        <v>841</v>
      </c>
      <c r="F11859">
        <v>1.77682411430849E-8</v>
      </c>
      <c r="G11859">
        <v>3081604</v>
      </c>
      <c r="H11859">
        <v>14030024</v>
      </c>
      <c r="I11859">
        <v>3944028</v>
      </c>
      <c r="J11859">
        <v>2</v>
      </c>
    </row>
    <row r="11860" spans="1:10" x14ac:dyDescent="0.25">
      <c r="A11860" t="s">
        <v>1607</v>
      </c>
      <c r="B11860" s="1" t="str">
        <f>HYPERLINK("http://corteva.lt","corteva.lt")</f>
        <v>corteva.lt</v>
      </c>
      <c r="C11860" t="s">
        <v>467</v>
      </c>
      <c r="D11860" t="s">
        <v>843</v>
      </c>
      <c r="F11860">
        <v>1.88289653344855E-8</v>
      </c>
      <c r="G11860">
        <v>2866251</v>
      </c>
      <c r="H11860">
        <v>12169795</v>
      </c>
      <c r="I11860">
        <v>24072903</v>
      </c>
      <c r="J11860">
        <v>2</v>
      </c>
    </row>
    <row r="11861" spans="1:10" x14ac:dyDescent="0.25">
      <c r="A11861" t="s">
        <v>1607</v>
      </c>
      <c r="B11861" s="1" t="str">
        <f>HYPERLINK("http://corteva.lv","corteva.lv")</f>
        <v>corteva.lv</v>
      </c>
      <c r="C11861" t="s">
        <v>468</v>
      </c>
      <c r="D11861" t="s">
        <v>844</v>
      </c>
      <c r="F11861">
        <v>2.0611666741612701E-8</v>
      </c>
      <c r="G11861">
        <v>2568956</v>
      </c>
      <c r="H11861">
        <v>12232654</v>
      </c>
      <c r="I11861">
        <v>22432693</v>
      </c>
      <c r="J11861">
        <v>2</v>
      </c>
    </row>
    <row r="11862" spans="1:10" x14ac:dyDescent="0.25">
      <c r="A11862" t="s">
        <v>1607</v>
      </c>
      <c r="B11862" s="1" t="str">
        <f>HYPERLINK("http://corteva.ma","corteva.ma")</f>
        <v>corteva.ma</v>
      </c>
      <c r="C11862" t="s">
        <v>469</v>
      </c>
      <c r="D11862" t="s">
        <v>845</v>
      </c>
      <c r="F11862">
        <v>1.76392165430066E-8</v>
      </c>
      <c r="G11862">
        <v>3110312</v>
      </c>
      <c r="H11862">
        <v>12169578</v>
      </c>
      <c r="I11862">
        <v>24079166</v>
      </c>
      <c r="J11862">
        <v>2</v>
      </c>
    </row>
    <row r="11863" spans="1:10" x14ac:dyDescent="0.25">
      <c r="A11863" t="s">
        <v>1607</v>
      </c>
      <c r="B11863" s="1" t="str">
        <f>HYPERLINK("http://corteva.md","corteva.md")</f>
        <v>corteva.md</v>
      </c>
      <c r="C11863" t="s">
        <v>571</v>
      </c>
      <c r="D11863" t="s">
        <v>918</v>
      </c>
      <c r="F11863">
        <v>1.7973799493042501E-8</v>
      </c>
      <c r="G11863">
        <v>3038137</v>
      </c>
      <c r="H11863">
        <v>12169605</v>
      </c>
      <c r="I11863">
        <v>24078258</v>
      </c>
      <c r="J11863">
        <v>2</v>
      </c>
    </row>
    <row r="11864" spans="1:10" x14ac:dyDescent="0.25">
      <c r="A11864" t="s">
        <v>1607</v>
      </c>
      <c r="B11864" s="1" t="str">
        <f>HYPERLINK("http://corteva.mx","corteva.mx")</f>
        <v>corteva.mx</v>
      </c>
      <c r="C11864" t="s">
        <v>471</v>
      </c>
      <c r="D11864" t="s">
        <v>847</v>
      </c>
      <c r="F11864">
        <v>2.22054428482077E-8</v>
      </c>
      <c r="G11864">
        <v>2361816</v>
      </c>
      <c r="H11864">
        <v>12517950</v>
      </c>
      <c r="I11864">
        <v>17169709</v>
      </c>
      <c r="J11864">
        <v>2</v>
      </c>
    </row>
    <row r="11865" spans="1:10" x14ac:dyDescent="0.25">
      <c r="A11865" t="s">
        <v>1607</v>
      </c>
      <c r="B11865" s="1" t="str">
        <f>HYPERLINK("http://corteva.my","corteva.my")</f>
        <v>corteva.my</v>
      </c>
      <c r="C11865" t="s">
        <v>472</v>
      </c>
      <c r="D11865" t="s">
        <v>848</v>
      </c>
      <c r="F11865">
        <v>1.7671797086624298E-8</v>
      </c>
      <c r="G11865">
        <v>3102824</v>
      </c>
      <c r="H11865">
        <v>12169579</v>
      </c>
      <c r="I11865">
        <v>24079137</v>
      </c>
      <c r="J11865">
        <v>2</v>
      </c>
    </row>
    <row r="11866" spans="1:10" x14ac:dyDescent="0.25">
      <c r="A11866" t="s">
        <v>1607</v>
      </c>
      <c r="B11866" s="1" t="str">
        <f>HYPERLINK("http://corteva.ng","corteva.ng")</f>
        <v>corteva.ng</v>
      </c>
      <c r="C11866" t="s">
        <v>475</v>
      </c>
      <c r="D11866" t="s">
        <v>850</v>
      </c>
      <c r="F11866">
        <v>1.7643526268923101E-8</v>
      </c>
      <c r="G11866">
        <v>3109366</v>
      </c>
      <c r="H11866">
        <v>12169578</v>
      </c>
      <c r="I11866">
        <v>24079167</v>
      </c>
      <c r="J11866">
        <v>2</v>
      </c>
    </row>
    <row r="11867" spans="1:10" x14ac:dyDescent="0.25">
      <c r="A11867" t="s">
        <v>1607</v>
      </c>
      <c r="B11867" s="1" t="str">
        <f>HYPERLINK("http://corteva.ni","corteva.ni")</f>
        <v>corteva.ni</v>
      </c>
      <c r="C11867" t="s">
        <v>476</v>
      </c>
      <c r="D11867" t="s">
        <v>851</v>
      </c>
      <c r="F11867">
        <v>1.9208557993912799E-8</v>
      </c>
      <c r="G11867">
        <v>2797288</v>
      </c>
      <c r="H11867">
        <v>12230355</v>
      </c>
      <c r="I11867">
        <v>22494738</v>
      </c>
      <c r="J11867">
        <v>2</v>
      </c>
    </row>
    <row r="11868" spans="1:10" x14ac:dyDescent="0.25">
      <c r="A11868" t="s">
        <v>1607</v>
      </c>
      <c r="B11868" s="1" t="str">
        <f>HYPERLINK("http://corteva.nl","corteva.nl")</f>
        <v>corteva.nl</v>
      </c>
      <c r="C11868" t="s">
        <v>477</v>
      </c>
      <c r="D11868" t="s">
        <v>852</v>
      </c>
      <c r="F11868">
        <v>2.59299837787658E-8</v>
      </c>
      <c r="G11868">
        <v>1987259</v>
      </c>
      <c r="H11868">
        <v>12904280</v>
      </c>
      <c r="I11868">
        <v>13832193</v>
      </c>
      <c r="J11868">
        <v>2</v>
      </c>
    </row>
    <row r="11869" spans="1:10" x14ac:dyDescent="0.25">
      <c r="A11869" t="s">
        <v>1607</v>
      </c>
      <c r="B11869" s="1" t="str">
        <f>HYPERLINK("http://corteva.co.nz","corteva.co.nz")</f>
        <v>corteva.co.nz</v>
      </c>
      <c r="C11869" t="s">
        <v>479</v>
      </c>
      <c r="D11869" t="s">
        <v>854</v>
      </c>
      <c r="F11869">
        <v>2.01666195578996E-8</v>
      </c>
      <c r="G11869">
        <v>2633788</v>
      </c>
      <c r="H11869">
        <v>12384457</v>
      </c>
      <c r="I11869">
        <v>19130420</v>
      </c>
      <c r="J11869">
        <v>2</v>
      </c>
    </row>
    <row r="11870" spans="1:10" x14ac:dyDescent="0.25">
      <c r="A11870" t="s">
        <v>1607</v>
      </c>
      <c r="B11870" s="1" t="str">
        <f>HYPERLINK("http://pioneer.co.nz","pioneer.co.nz")</f>
        <v>pioneer.co.nz</v>
      </c>
      <c r="C11870" t="s">
        <v>479</v>
      </c>
      <c r="D11870" t="s">
        <v>854</v>
      </c>
      <c r="F11870">
        <v>1.41870954547731E-8</v>
      </c>
      <c r="G11870">
        <v>4133671</v>
      </c>
      <c r="H11870">
        <v>14140746</v>
      </c>
      <c r="I11870">
        <v>1931430</v>
      </c>
      <c r="J11870">
        <v>4</v>
      </c>
    </row>
    <row r="11871" spans="1:10" x14ac:dyDescent="0.25">
      <c r="A11871" t="s">
        <v>1607</v>
      </c>
      <c r="B11871" s="1" t="str">
        <f>HYPERLINK("http://pioneer.nz","pioneer.nz")</f>
        <v>pioneer.nz</v>
      </c>
      <c r="C11871" t="s">
        <v>479</v>
      </c>
      <c r="D11871" t="s">
        <v>854</v>
      </c>
      <c r="J11871">
        <v>5</v>
      </c>
    </row>
    <row r="11872" spans="1:10" x14ac:dyDescent="0.25">
      <c r="A11872" t="s">
        <v>1607</v>
      </c>
      <c r="B11872" s="1" t="str">
        <f>HYPERLINK("http://corteva.pa","corteva.pa")</f>
        <v>corteva.pa</v>
      </c>
      <c r="C11872" t="s">
        <v>482</v>
      </c>
      <c r="D11872" t="s">
        <v>856</v>
      </c>
      <c r="F11872">
        <v>1.76688119552902E-8</v>
      </c>
      <c r="G11872">
        <v>3103509</v>
      </c>
      <c r="H11872">
        <v>12169578</v>
      </c>
      <c r="I11872">
        <v>24079168</v>
      </c>
      <c r="J11872">
        <v>2</v>
      </c>
    </row>
    <row r="11873" spans="1:10" x14ac:dyDescent="0.25">
      <c r="A11873" t="s">
        <v>1607</v>
      </c>
      <c r="B11873" s="1" t="str">
        <f>HYPERLINK("http://corteva.pe","corteva.pe")</f>
        <v>corteva.pe</v>
      </c>
      <c r="C11873" t="s">
        <v>483</v>
      </c>
      <c r="D11873" t="s">
        <v>857</v>
      </c>
      <c r="F11873">
        <v>1.7657132566114E-8</v>
      </c>
      <c r="G11873">
        <v>3106182</v>
      </c>
      <c r="H11873">
        <v>12169578</v>
      </c>
      <c r="I11873">
        <v>24079169</v>
      </c>
      <c r="J11873">
        <v>2</v>
      </c>
    </row>
    <row r="11874" spans="1:10" x14ac:dyDescent="0.25">
      <c r="A11874" t="s">
        <v>1607</v>
      </c>
      <c r="B11874" s="1" t="str">
        <f>HYPERLINK("http://corteva.ph","corteva.ph")</f>
        <v>corteva.ph</v>
      </c>
      <c r="C11874" t="s">
        <v>484</v>
      </c>
      <c r="D11874" t="s">
        <v>858</v>
      </c>
      <c r="F11874">
        <v>1.7657132537898098E-8</v>
      </c>
      <c r="G11874">
        <v>3106183</v>
      </c>
      <c r="H11874">
        <v>12169578</v>
      </c>
      <c r="I11874">
        <v>24079170</v>
      </c>
      <c r="J11874">
        <v>2</v>
      </c>
    </row>
    <row r="11875" spans="1:10" x14ac:dyDescent="0.25">
      <c r="A11875" t="s">
        <v>1607</v>
      </c>
      <c r="B11875" s="1" t="str">
        <f>HYPERLINK("http://corteva.pk","corteva.pk")</f>
        <v>corteva.pk</v>
      </c>
      <c r="C11875" t="s">
        <v>485</v>
      </c>
      <c r="D11875" t="s">
        <v>859</v>
      </c>
      <c r="F11875">
        <v>1.92632239735371E-8</v>
      </c>
      <c r="G11875">
        <v>2788113</v>
      </c>
      <c r="H11875">
        <v>12230357</v>
      </c>
      <c r="I11875">
        <v>22494696</v>
      </c>
      <c r="J11875">
        <v>2</v>
      </c>
    </row>
    <row r="11876" spans="1:10" x14ac:dyDescent="0.25">
      <c r="A11876" t="s">
        <v>1607</v>
      </c>
      <c r="B11876" s="1" t="str">
        <f>HYPERLINK("http://corteva.pl","corteva.pl")</f>
        <v>corteva.pl</v>
      </c>
      <c r="C11876" t="s">
        <v>486</v>
      </c>
      <c r="D11876" t="s">
        <v>860</v>
      </c>
      <c r="F11876">
        <v>6.2126465242369706E-8</v>
      </c>
      <c r="G11876">
        <v>707602</v>
      </c>
      <c r="H11876">
        <v>16751246</v>
      </c>
      <c r="I11876">
        <v>266179</v>
      </c>
      <c r="J11876">
        <v>2</v>
      </c>
    </row>
    <row r="11877" spans="1:10" x14ac:dyDescent="0.25">
      <c r="A11877" t="s">
        <v>1607</v>
      </c>
      <c r="B11877" s="1" t="str">
        <f>HYPERLINK("http://corteva.pt","corteva.pt")</f>
        <v>corteva.pt</v>
      </c>
      <c r="C11877" t="s">
        <v>488</v>
      </c>
      <c r="D11877" t="s">
        <v>862</v>
      </c>
      <c r="F11877">
        <v>1.91174694516061E-8</v>
      </c>
      <c r="G11877">
        <v>2813001</v>
      </c>
      <c r="H11877">
        <v>12187113</v>
      </c>
      <c r="I11877">
        <v>23649557</v>
      </c>
      <c r="J11877">
        <v>2</v>
      </c>
    </row>
    <row r="11878" spans="1:10" x14ac:dyDescent="0.25">
      <c r="A11878" t="s">
        <v>1607</v>
      </c>
      <c r="B11878" s="1" t="str">
        <f>HYPERLINK("http://corteva.com.py","corteva.com.py")</f>
        <v>corteva.com.py</v>
      </c>
      <c r="C11878" t="s">
        <v>489</v>
      </c>
      <c r="D11878" t="s">
        <v>863</v>
      </c>
      <c r="F11878">
        <v>1.7649622802339599E-8</v>
      </c>
      <c r="G11878">
        <v>3107956</v>
      </c>
      <c r="H11878">
        <v>12169578</v>
      </c>
      <c r="I11878">
        <v>24079171</v>
      </c>
      <c r="J11878">
        <v>2</v>
      </c>
    </row>
    <row r="11879" spans="1:10" x14ac:dyDescent="0.25">
      <c r="A11879" t="s">
        <v>1607</v>
      </c>
      <c r="B11879" s="1" t="str">
        <f>HYPERLINK("http://corteva.ro","corteva.ro")</f>
        <v>corteva.ro</v>
      </c>
      <c r="C11879" t="s">
        <v>491</v>
      </c>
      <c r="D11879" t="s">
        <v>865</v>
      </c>
      <c r="F11879">
        <v>4.0557343076993499E-8</v>
      </c>
      <c r="G11879">
        <v>1277023</v>
      </c>
      <c r="H11879">
        <v>14280157</v>
      </c>
      <c r="I11879">
        <v>1380891</v>
      </c>
      <c r="J11879">
        <v>2</v>
      </c>
    </row>
    <row r="11880" spans="1:10" x14ac:dyDescent="0.25">
      <c r="A11880" t="s">
        <v>1607</v>
      </c>
      <c r="B11880" s="1" t="str">
        <f>HYPERLINK("http://corteva.rs","corteva.rs")</f>
        <v>corteva.rs</v>
      </c>
      <c r="C11880" t="s">
        <v>492</v>
      </c>
      <c r="D11880" t="s">
        <v>866</v>
      </c>
      <c r="F11880">
        <v>1.9704459441540699E-8</v>
      </c>
      <c r="G11880">
        <v>2708501</v>
      </c>
      <c r="H11880">
        <v>12174044</v>
      </c>
      <c r="I11880">
        <v>23958076</v>
      </c>
      <c r="J11880">
        <v>2</v>
      </c>
    </row>
    <row r="11881" spans="1:10" x14ac:dyDescent="0.25">
      <c r="A11881" t="s">
        <v>1607</v>
      </c>
      <c r="B11881" s="1" t="str">
        <f>HYPERLINK("http://corteva.ru","corteva.ru")</f>
        <v>corteva.ru</v>
      </c>
      <c r="C11881" t="s">
        <v>493</v>
      </c>
      <c r="D11881" t="s">
        <v>867</v>
      </c>
      <c r="F11881">
        <v>2.3142437764549699E-8</v>
      </c>
      <c r="G11881">
        <v>2255361</v>
      </c>
      <c r="H11881">
        <v>13266764</v>
      </c>
      <c r="I11881">
        <v>11005516</v>
      </c>
      <c r="J11881">
        <v>2</v>
      </c>
    </row>
    <row r="11882" spans="1:10" x14ac:dyDescent="0.25">
      <c r="A11882" t="s">
        <v>1607</v>
      </c>
      <c r="B11882" s="1" t="str">
        <f>HYPERLINK("http://corteva.se","corteva.se")</f>
        <v>corteva.se</v>
      </c>
      <c r="C11882" t="s">
        <v>495</v>
      </c>
      <c r="D11882" t="s">
        <v>869</v>
      </c>
      <c r="F11882">
        <v>2.9574414899882999E-8</v>
      </c>
      <c r="G11882">
        <v>1743019</v>
      </c>
      <c r="H11882">
        <v>12596768</v>
      </c>
      <c r="I11882">
        <v>16355639</v>
      </c>
      <c r="J11882">
        <v>2</v>
      </c>
    </row>
    <row r="11883" spans="1:10" x14ac:dyDescent="0.25">
      <c r="A11883" t="s">
        <v>1607</v>
      </c>
      <c r="B11883" s="1" t="str">
        <f>HYPERLINK("http://corteva.sg","corteva.sg")</f>
        <v>corteva.sg</v>
      </c>
      <c r="C11883" t="s">
        <v>496</v>
      </c>
      <c r="D11883" t="s">
        <v>870</v>
      </c>
      <c r="F11883">
        <v>1.77734882262685E-8</v>
      </c>
      <c r="G11883">
        <v>3080480</v>
      </c>
      <c r="H11883">
        <v>12170126</v>
      </c>
      <c r="I11883">
        <v>24065306</v>
      </c>
      <c r="J11883">
        <v>2</v>
      </c>
    </row>
    <row r="11884" spans="1:10" x14ac:dyDescent="0.25">
      <c r="A11884" t="s">
        <v>1607</v>
      </c>
      <c r="B11884" s="1" t="str">
        <f>HYPERLINK("http://corteva.si","corteva.si")</f>
        <v>corteva.si</v>
      </c>
      <c r="C11884" t="s">
        <v>497</v>
      </c>
      <c r="D11884" t="s">
        <v>871</v>
      </c>
      <c r="F11884">
        <v>1.97984118690023E-8</v>
      </c>
      <c r="G11884">
        <v>2693423</v>
      </c>
      <c r="H11884">
        <v>12230367</v>
      </c>
      <c r="I11884">
        <v>22494481</v>
      </c>
      <c r="J11884">
        <v>2</v>
      </c>
    </row>
    <row r="11885" spans="1:10" x14ac:dyDescent="0.25">
      <c r="A11885" t="s">
        <v>1607</v>
      </c>
      <c r="B11885" s="1" t="str">
        <f>HYPERLINK("http://corteva.sk","corteva.sk")</f>
        <v>corteva.sk</v>
      </c>
      <c r="C11885" t="s">
        <v>498</v>
      </c>
      <c r="D11885" t="s">
        <v>872</v>
      </c>
      <c r="F11885">
        <v>1.2748145551996201E-8</v>
      </c>
      <c r="G11885">
        <v>4755429</v>
      </c>
      <c r="H11885">
        <v>12154910</v>
      </c>
      <c r="I11885">
        <v>24497353</v>
      </c>
      <c r="J11885">
        <v>2</v>
      </c>
    </row>
    <row r="11886" spans="1:10" x14ac:dyDescent="0.25">
      <c r="A11886" t="s">
        <v>1607</v>
      </c>
      <c r="B11886" s="1" t="str">
        <f>HYPERLINK("http://corteva.sn","corteva.sn")</f>
        <v>corteva.sn</v>
      </c>
      <c r="C11886" t="s">
        <v>551</v>
      </c>
      <c r="D11886" t="s">
        <v>907</v>
      </c>
      <c r="F11886">
        <v>1.7641396520548501E-8</v>
      </c>
      <c r="G11886">
        <v>3109830</v>
      </c>
      <c r="H11886">
        <v>12169578</v>
      </c>
      <c r="I11886">
        <v>24079173</v>
      </c>
      <c r="J11886">
        <v>2</v>
      </c>
    </row>
    <row r="11887" spans="1:10" x14ac:dyDescent="0.25">
      <c r="A11887" t="s">
        <v>1607</v>
      </c>
      <c r="B11887" s="1" t="str">
        <f>HYPERLINK("http://corteva.sv","corteva.sv")</f>
        <v>corteva.sv</v>
      </c>
      <c r="C11887" t="s">
        <v>499</v>
      </c>
      <c r="D11887" t="s">
        <v>873</v>
      </c>
      <c r="F11887">
        <v>1.76515633413331E-8</v>
      </c>
      <c r="G11887">
        <v>3107506</v>
      </c>
      <c r="H11887">
        <v>12169578</v>
      </c>
      <c r="I11887">
        <v>24079174</v>
      </c>
      <c r="J11887">
        <v>2</v>
      </c>
    </row>
    <row r="11888" spans="1:10" x14ac:dyDescent="0.25">
      <c r="A11888" t="s">
        <v>1607</v>
      </c>
      <c r="B11888" s="1" t="str">
        <f>HYPERLINK("http://corteva.tn","corteva.tn")</f>
        <v>corteva.tn</v>
      </c>
      <c r="C11888" t="s">
        <v>501</v>
      </c>
      <c r="D11888" t="s">
        <v>875</v>
      </c>
      <c r="F11888">
        <v>1.76413964628572E-8</v>
      </c>
      <c r="G11888">
        <v>3109831</v>
      </c>
      <c r="H11888">
        <v>12169578</v>
      </c>
      <c r="I11888">
        <v>24079175</v>
      </c>
      <c r="J11888">
        <v>2</v>
      </c>
    </row>
    <row r="11889" spans="1:10" x14ac:dyDescent="0.25">
      <c r="A11889" t="s">
        <v>1607</v>
      </c>
      <c r="B11889" s="1" t="str">
        <f>HYPERLINK("http://corteva.com.tr","corteva.com.tr")</f>
        <v>corteva.com.tr</v>
      </c>
      <c r="C11889" t="s">
        <v>502</v>
      </c>
      <c r="D11889" t="s">
        <v>876</v>
      </c>
      <c r="F11889">
        <v>8.2975886396312195E-9</v>
      </c>
      <c r="G11889">
        <v>9265709</v>
      </c>
      <c r="H11889">
        <v>12217577</v>
      </c>
      <c r="I11889">
        <v>22843009</v>
      </c>
      <c r="J11889">
        <v>2</v>
      </c>
    </row>
    <row r="11890" spans="1:10" x14ac:dyDescent="0.25">
      <c r="A11890" t="s">
        <v>1607</v>
      </c>
      <c r="B11890" s="1" t="str">
        <f>HYPERLINK("http://corteva.com.ua","corteva.com.ua")</f>
        <v>corteva.com.ua</v>
      </c>
      <c r="C11890" t="s">
        <v>505</v>
      </c>
      <c r="D11890" t="s">
        <v>879</v>
      </c>
      <c r="F11890">
        <v>8.8091672889867503E-8</v>
      </c>
      <c r="G11890">
        <v>465215</v>
      </c>
      <c r="H11890">
        <v>16817594</v>
      </c>
      <c r="I11890">
        <v>187047</v>
      </c>
      <c r="J11890">
        <v>2</v>
      </c>
    </row>
    <row r="11891" spans="1:10" x14ac:dyDescent="0.25">
      <c r="A11891" t="s">
        <v>1607</v>
      </c>
      <c r="B11891" s="1" t="str">
        <f>HYPERLINK("http://pioneer.ua","pioneer.ua")</f>
        <v>pioneer.ua</v>
      </c>
      <c r="C11891" t="s">
        <v>505</v>
      </c>
      <c r="D11891" t="s">
        <v>879</v>
      </c>
      <c r="F11891">
        <v>5.3945411764804997E-9</v>
      </c>
      <c r="G11891">
        <v>22185241</v>
      </c>
      <c r="H11891">
        <v>11047299</v>
      </c>
      <c r="I11891">
        <v>32831532</v>
      </c>
      <c r="J11891">
        <v>4</v>
      </c>
    </row>
    <row r="11892" spans="1:10" x14ac:dyDescent="0.25">
      <c r="A11892" t="s">
        <v>1607</v>
      </c>
      <c r="B11892" s="1" t="str">
        <f>HYPERLINK("http://corteva.co.uk","corteva.co.uk")</f>
        <v>corteva.co.uk</v>
      </c>
      <c r="C11892" t="s">
        <v>506</v>
      </c>
      <c r="D11892" t="s">
        <v>880</v>
      </c>
      <c r="F11892">
        <v>7.0096692669032696E-8</v>
      </c>
      <c r="G11892">
        <v>604422</v>
      </c>
      <c r="H11892">
        <v>12985153</v>
      </c>
      <c r="I11892">
        <v>12905818</v>
      </c>
      <c r="J11892">
        <v>2</v>
      </c>
    </row>
    <row r="11893" spans="1:10" x14ac:dyDescent="0.25">
      <c r="A11893" t="s">
        <v>1607</v>
      </c>
      <c r="B11893" s="1" t="str">
        <f>HYPERLINK("http://corteva.us","corteva.us")</f>
        <v>corteva.us</v>
      </c>
      <c r="C11893" t="s">
        <v>522</v>
      </c>
      <c r="D11893" t="s">
        <v>891</v>
      </c>
      <c r="E11893">
        <v>281447</v>
      </c>
      <c r="F11893">
        <v>2.8478739987827098E-7</v>
      </c>
      <c r="G11893">
        <v>130537</v>
      </c>
      <c r="H11893">
        <v>13989066</v>
      </c>
      <c r="I11893">
        <v>4034454</v>
      </c>
      <c r="J11893">
        <v>2</v>
      </c>
    </row>
    <row r="11894" spans="1:10" x14ac:dyDescent="0.25">
      <c r="A11894" t="s">
        <v>1607</v>
      </c>
      <c r="B11894" s="1" t="str">
        <f>HYPERLINK("http://corteva.uy","corteva.uy")</f>
        <v>corteva.uy</v>
      </c>
      <c r="C11894" t="s">
        <v>507</v>
      </c>
      <c r="D11894" t="s">
        <v>881</v>
      </c>
      <c r="F11894">
        <v>1.8020986395277701E-8</v>
      </c>
      <c r="G11894">
        <v>3026162</v>
      </c>
      <c r="H11894">
        <v>12219138</v>
      </c>
      <c r="I11894">
        <v>22807227</v>
      </c>
      <c r="J11894">
        <v>2</v>
      </c>
    </row>
    <row r="11895" spans="1:10" x14ac:dyDescent="0.25">
      <c r="A11895" t="s">
        <v>1607</v>
      </c>
      <c r="B11895" s="1" t="str">
        <f>HYPERLINK("http://corteva.com.ve","corteva.com.ve")</f>
        <v>corteva.com.ve</v>
      </c>
      <c r="C11895" t="s">
        <v>508</v>
      </c>
      <c r="D11895" t="s">
        <v>882</v>
      </c>
      <c r="F11895">
        <v>1.7651563155659299E-8</v>
      </c>
      <c r="G11895">
        <v>3107507</v>
      </c>
      <c r="H11895">
        <v>12169578</v>
      </c>
      <c r="I11895">
        <v>24079178</v>
      </c>
      <c r="J11895">
        <v>2</v>
      </c>
    </row>
    <row r="11896" spans="1:10" x14ac:dyDescent="0.25">
      <c r="A11896" t="s">
        <v>1607</v>
      </c>
      <c r="B11896" s="1" t="str">
        <f>HYPERLINK("http://corteva.vn","corteva.vn")</f>
        <v>corteva.vn</v>
      </c>
      <c r="C11896" t="s">
        <v>509</v>
      </c>
      <c r="D11896" t="s">
        <v>883</v>
      </c>
      <c r="F11896">
        <v>1.7822061208867299E-8</v>
      </c>
      <c r="G11896">
        <v>3070028</v>
      </c>
      <c r="H11896">
        <v>12169579</v>
      </c>
      <c r="I11896">
        <v>24079142</v>
      </c>
      <c r="J11896">
        <v>2</v>
      </c>
    </row>
    <row r="11897" spans="1:10" x14ac:dyDescent="0.25">
      <c r="A11897" t="s">
        <v>1607</v>
      </c>
      <c r="B11897" s="1" t="str">
        <f>HYPERLINK("http://corteva.co.za","corteva.co.za")</f>
        <v>corteva.co.za</v>
      </c>
      <c r="C11897" t="s">
        <v>510</v>
      </c>
      <c r="D11897" t="s">
        <v>884</v>
      </c>
      <c r="F11897">
        <v>2.0957379419912099E-8</v>
      </c>
      <c r="G11897">
        <v>2521673</v>
      </c>
      <c r="H11897">
        <v>12374419</v>
      </c>
      <c r="I11897">
        <v>19328905</v>
      </c>
      <c r="J11897">
        <v>2</v>
      </c>
    </row>
    <row r="11898" spans="1:10" x14ac:dyDescent="0.25">
      <c r="A11898" t="s">
        <v>121</v>
      </c>
      <c r="B11898" s="1" t="str">
        <f>HYPERLINK("http://costco.com.au","costco.com.au")</f>
        <v>costco.com.au</v>
      </c>
      <c r="C11898" t="s">
        <v>420</v>
      </c>
      <c r="D11898" t="s">
        <v>802</v>
      </c>
      <c r="E11898">
        <v>71596</v>
      </c>
      <c r="F11898">
        <v>1.60332158553657E-7</v>
      </c>
      <c r="G11898">
        <v>242095</v>
      </c>
      <c r="H11898">
        <v>14614531</v>
      </c>
      <c r="I11898">
        <v>669383</v>
      </c>
      <c r="J11898">
        <v>2</v>
      </c>
    </row>
    <row r="11899" spans="1:10" x14ac:dyDescent="0.25">
      <c r="A11899" t="s">
        <v>121</v>
      </c>
      <c r="B11899" s="1" t="str">
        <f>HYPERLINK("http://costco.ca","costco.ca")</f>
        <v>costco.ca</v>
      </c>
      <c r="C11899" t="s">
        <v>428</v>
      </c>
      <c r="D11899" t="s">
        <v>809</v>
      </c>
      <c r="E11899">
        <v>8603</v>
      </c>
      <c r="F11899">
        <v>7.11786232153376E-7</v>
      </c>
      <c r="G11899">
        <v>54493</v>
      </c>
      <c r="H11899">
        <v>15674304</v>
      </c>
      <c r="I11899">
        <v>370318</v>
      </c>
      <c r="J11899">
        <v>2</v>
      </c>
    </row>
    <row r="11900" spans="1:10" x14ac:dyDescent="0.25">
      <c r="A11900" t="s">
        <v>121</v>
      </c>
      <c r="B11900" s="1" t="str">
        <f>HYPERLINK("http://costcobusinesscentre.ca","costcobusinesscentre.ca")</f>
        <v>costcobusinesscentre.ca</v>
      </c>
      <c r="C11900" t="s">
        <v>428</v>
      </c>
      <c r="D11900" t="s">
        <v>809</v>
      </c>
      <c r="E11900">
        <v>117147</v>
      </c>
      <c r="F11900">
        <v>2.2353268898538001E-8</v>
      </c>
      <c r="G11900">
        <v>2344926</v>
      </c>
      <c r="H11900">
        <v>14752321</v>
      </c>
      <c r="I11900">
        <v>562938</v>
      </c>
      <c r="J11900">
        <v>3</v>
      </c>
    </row>
    <row r="11901" spans="1:10" x14ac:dyDescent="0.25">
      <c r="A11901" t="s">
        <v>121</v>
      </c>
      <c r="B11901" s="1" t="str">
        <f>HYPERLINK("http://costcotravel.ca","costcotravel.ca")</f>
        <v>costcotravel.ca</v>
      </c>
      <c r="C11901" t="s">
        <v>428</v>
      </c>
      <c r="D11901" t="s">
        <v>809</v>
      </c>
      <c r="E11901">
        <v>155931</v>
      </c>
      <c r="F11901">
        <v>1.57388809383377E-8</v>
      </c>
      <c r="G11901">
        <v>3616371</v>
      </c>
      <c r="H11901">
        <v>12434073</v>
      </c>
      <c r="I11901">
        <v>18228342</v>
      </c>
      <c r="J11901">
        <v>6</v>
      </c>
    </row>
    <row r="11902" spans="1:10" x14ac:dyDescent="0.25">
      <c r="A11902" t="s">
        <v>121</v>
      </c>
      <c r="B11902" s="1" t="str">
        <f>HYPERLINK("http://baysidefamilyeyecare.com","baysidefamilyeyecare.com")</f>
        <v>baysidefamilyeyecare.com</v>
      </c>
      <c r="C11902" t="s">
        <v>433</v>
      </c>
      <c r="J11902">
        <v>3</v>
      </c>
    </row>
    <row r="11903" spans="1:10" x14ac:dyDescent="0.25">
      <c r="A11903" t="s">
        <v>121</v>
      </c>
      <c r="B11903" s="1" t="str">
        <f>HYPERLINK("http://costco.com","costco.com")</f>
        <v>costco.com</v>
      </c>
      <c r="C11903" t="s">
        <v>433</v>
      </c>
      <c r="E11903">
        <v>1267</v>
      </c>
      <c r="F11903">
        <v>8.04439927360578E-6</v>
      </c>
      <c r="G11903">
        <v>4170</v>
      </c>
      <c r="H11903">
        <v>17925288</v>
      </c>
      <c r="I11903">
        <v>4251</v>
      </c>
      <c r="J11903">
        <v>1</v>
      </c>
    </row>
    <row r="11904" spans="1:10" x14ac:dyDescent="0.25">
      <c r="A11904" t="s">
        <v>121</v>
      </c>
      <c r="B11904" s="1" t="str">
        <f>HYPERLINK("http://costcomembershipoffer.com","costcomembershipoffer.com")</f>
        <v>costcomembershipoffer.com</v>
      </c>
      <c r="C11904" t="s">
        <v>433</v>
      </c>
      <c r="E11904">
        <v>750601</v>
      </c>
      <c r="F11904">
        <v>2.9985148973900299E-8</v>
      </c>
      <c r="G11904">
        <v>1715789</v>
      </c>
      <c r="H11904">
        <v>13623692</v>
      </c>
      <c r="I11904">
        <v>9623055</v>
      </c>
      <c r="J11904">
        <v>2</v>
      </c>
    </row>
    <row r="11905" spans="1:10" x14ac:dyDescent="0.25">
      <c r="A11905" t="s">
        <v>121</v>
      </c>
      <c r="B11905" s="1" t="str">
        <f>HYPERLINK("http://costcotireappointments.com","costcotireappointments.com")</f>
        <v>costcotireappointments.com</v>
      </c>
      <c r="C11905" t="s">
        <v>433</v>
      </c>
      <c r="E11905">
        <v>225361</v>
      </c>
      <c r="F11905">
        <v>6.5196395153395603E-8</v>
      </c>
      <c r="G11905">
        <v>660338</v>
      </c>
      <c r="H11905">
        <v>12663850</v>
      </c>
      <c r="I11905">
        <v>15687908</v>
      </c>
      <c r="J11905">
        <v>3</v>
      </c>
    </row>
    <row r="11906" spans="1:10" x14ac:dyDescent="0.25">
      <c r="A11906" t="s">
        <v>121</v>
      </c>
      <c r="B11906" s="1" t="str">
        <f>HYPERLINK("http://costcotravel.com","costcotravel.com")</f>
        <v>costcotravel.com</v>
      </c>
      <c r="C11906" t="s">
        <v>433</v>
      </c>
      <c r="E11906">
        <v>17159</v>
      </c>
      <c r="F11906">
        <v>2.2437931455571399E-7</v>
      </c>
      <c r="G11906">
        <v>167974</v>
      </c>
      <c r="H11906">
        <v>15239997</v>
      </c>
      <c r="I11906">
        <v>391327</v>
      </c>
      <c r="J11906">
        <v>5</v>
      </c>
    </row>
    <row r="11907" spans="1:10" x14ac:dyDescent="0.25">
      <c r="A11907" t="s">
        <v>121</v>
      </c>
      <c r="B11907" s="1" t="str">
        <f>HYPERLINK("http://costco.es","costco.es")</f>
        <v>costco.es</v>
      </c>
      <c r="C11907" t="s">
        <v>443</v>
      </c>
      <c r="D11907" t="s">
        <v>822</v>
      </c>
      <c r="E11907">
        <v>670139</v>
      </c>
      <c r="F11907">
        <v>9.8904805895953499E-8</v>
      </c>
      <c r="G11907">
        <v>407371</v>
      </c>
      <c r="H11907">
        <v>14330026</v>
      </c>
      <c r="I11907">
        <v>1323494</v>
      </c>
      <c r="J11907">
        <v>2</v>
      </c>
    </row>
    <row r="11908" spans="1:10" x14ac:dyDescent="0.25">
      <c r="A11908" t="s">
        <v>121</v>
      </c>
      <c r="B11908" s="1" t="str">
        <f>HYPERLINK("http://costco.fi","costco.fi")</f>
        <v>costco.fi</v>
      </c>
      <c r="C11908" t="s">
        <v>445</v>
      </c>
      <c r="D11908" t="s">
        <v>823</v>
      </c>
      <c r="J11908">
        <v>4</v>
      </c>
    </row>
    <row r="11909" spans="1:10" x14ac:dyDescent="0.25">
      <c r="A11909" t="s">
        <v>121</v>
      </c>
      <c r="B11909" s="1" t="str">
        <f>HYPERLINK("http://costco.fr","costco.fr")</f>
        <v>costco.fr</v>
      </c>
      <c r="C11909" t="s">
        <v>446</v>
      </c>
      <c r="D11909" t="s">
        <v>824</v>
      </c>
      <c r="F11909">
        <v>1.07289359580761E-7</v>
      </c>
      <c r="G11909">
        <v>373174</v>
      </c>
      <c r="H11909">
        <v>14397558</v>
      </c>
      <c r="I11909">
        <v>1157959</v>
      </c>
      <c r="J11909">
        <v>2</v>
      </c>
    </row>
    <row r="11910" spans="1:10" x14ac:dyDescent="0.25">
      <c r="A11910" t="s">
        <v>121</v>
      </c>
      <c r="B11910" s="1" t="str">
        <f>HYPERLINK("http://costco.is","costco.is")</f>
        <v>costco.is</v>
      </c>
      <c r="C11910" t="s">
        <v>594</v>
      </c>
      <c r="D11910" t="s">
        <v>929</v>
      </c>
      <c r="F11910">
        <v>7.5291998111558107E-8</v>
      </c>
      <c r="G11910">
        <v>558488</v>
      </c>
      <c r="H11910">
        <v>14381690</v>
      </c>
      <c r="I11910">
        <v>1190801</v>
      </c>
      <c r="J11910">
        <v>2</v>
      </c>
    </row>
    <row r="11911" spans="1:10" x14ac:dyDescent="0.25">
      <c r="A11911" t="s">
        <v>121</v>
      </c>
      <c r="B11911" s="1" t="str">
        <f>HYPERLINK("http://costco.co.jp","costco.co.jp")</f>
        <v>costco.co.jp</v>
      </c>
      <c r="C11911" t="s">
        <v>461</v>
      </c>
      <c r="D11911" t="s">
        <v>837</v>
      </c>
      <c r="E11911">
        <v>96273</v>
      </c>
      <c r="F11911">
        <v>3.1458311803006198E-7</v>
      </c>
      <c r="G11911">
        <v>118162</v>
      </c>
      <c r="H11911">
        <v>14758415</v>
      </c>
      <c r="I11911">
        <v>561079</v>
      </c>
      <c r="J11911">
        <v>2</v>
      </c>
    </row>
    <row r="11912" spans="1:10" x14ac:dyDescent="0.25">
      <c r="A11912" t="s">
        <v>121</v>
      </c>
      <c r="B11912" s="1" t="str">
        <f>HYPERLINK("http://costco.co.kr","costco.co.kr")</f>
        <v>costco.co.kr</v>
      </c>
      <c r="C11912" t="s">
        <v>463</v>
      </c>
      <c r="D11912" t="s">
        <v>839</v>
      </c>
      <c r="E11912">
        <v>174666</v>
      </c>
      <c r="F11912">
        <v>1.5076233447823999E-7</v>
      </c>
      <c r="G11912">
        <v>257663</v>
      </c>
      <c r="H11912">
        <v>14604659</v>
      </c>
      <c r="I11912">
        <v>682577</v>
      </c>
      <c r="J11912">
        <v>2</v>
      </c>
    </row>
    <row r="11913" spans="1:10" x14ac:dyDescent="0.25">
      <c r="A11913" t="s">
        <v>121</v>
      </c>
      <c r="B11913" s="1" t="str">
        <f>HYPERLINK("http://cosco.com.mx","cosco.com.mx")</f>
        <v>cosco.com.mx</v>
      </c>
      <c r="C11913" t="s">
        <v>471</v>
      </c>
      <c r="D11913" t="s">
        <v>847</v>
      </c>
      <c r="J11913">
        <v>4</v>
      </c>
    </row>
    <row r="11914" spans="1:10" x14ac:dyDescent="0.25">
      <c r="A11914" t="s">
        <v>121</v>
      </c>
      <c r="B11914" s="1" t="str">
        <f>HYPERLINK("http://costco.com.mx","costco.com.mx")</f>
        <v>costco.com.mx</v>
      </c>
      <c r="C11914" t="s">
        <v>471</v>
      </c>
      <c r="D11914" t="s">
        <v>847</v>
      </c>
      <c r="E11914">
        <v>30848</v>
      </c>
      <c r="F11914">
        <v>2.3697257762894E-7</v>
      </c>
      <c r="G11914">
        <v>158083</v>
      </c>
      <c r="H11914">
        <v>15411479</v>
      </c>
      <c r="I11914">
        <v>379699</v>
      </c>
      <c r="J11914">
        <v>2</v>
      </c>
    </row>
    <row r="11915" spans="1:10" x14ac:dyDescent="0.25">
      <c r="A11915" t="s">
        <v>121</v>
      </c>
      <c r="B11915" s="1" t="str">
        <f>HYPERLINK("http://costo.com.mx","costo.com.mx")</f>
        <v>costo.com.mx</v>
      </c>
      <c r="C11915" t="s">
        <v>471</v>
      </c>
      <c r="D11915" t="s">
        <v>847</v>
      </c>
      <c r="J11915">
        <v>4</v>
      </c>
    </row>
    <row r="11916" spans="1:10" x14ac:dyDescent="0.25">
      <c r="A11916" t="s">
        <v>121</v>
      </c>
      <c r="B11916" s="1" t="str">
        <f>HYPERLINK("http://cotco.com.mx","cotco.com.mx")</f>
        <v>cotco.com.mx</v>
      </c>
      <c r="C11916" t="s">
        <v>471</v>
      </c>
      <c r="D11916" t="s">
        <v>847</v>
      </c>
      <c r="J11916">
        <v>4</v>
      </c>
    </row>
    <row r="11917" spans="1:10" x14ac:dyDescent="0.25">
      <c r="A11917" t="s">
        <v>121</v>
      </c>
      <c r="B11917" s="1" t="str">
        <f>HYPERLINK("http://costco.co.nz","costco.co.nz")</f>
        <v>costco.co.nz</v>
      </c>
      <c r="C11917" t="s">
        <v>479</v>
      </c>
      <c r="D11917" t="s">
        <v>854</v>
      </c>
      <c r="F11917">
        <v>7.2431490337437504E-8</v>
      </c>
      <c r="G11917">
        <v>582609</v>
      </c>
      <c r="H11917">
        <v>13770333</v>
      </c>
      <c r="I11917">
        <v>6733958</v>
      </c>
      <c r="J11917">
        <v>2</v>
      </c>
    </row>
    <row r="11918" spans="1:10" x14ac:dyDescent="0.25">
      <c r="A11918" t="s">
        <v>121</v>
      </c>
      <c r="B11918" s="1" t="str">
        <f>HYPERLINK("http://costco.se","costco.se")</f>
        <v>costco.se</v>
      </c>
      <c r="C11918" t="s">
        <v>495</v>
      </c>
      <c r="D11918" t="s">
        <v>869</v>
      </c>
      <c r="F11918">
        <v>6.9053549836293995E-8</v>
      </c>
      <c r="G11918">
        <v>615439</v>
      </c>
      <c r="H11918">
        <v>12488952</v>
      </c>
      <c r="I11918">
        <v>17501239</v>
      </c>
      <c r="J11918">
        <v>2</v>
      </c>
    </row>
    <row r="11919" spans="1:10" x14ac:dyDescent="0.25">
      <c r="A11919" t="s">
        <v>121</v>
      </c>
      <c r="B11919" s="1" t="str">
        <f>HYPERLINK("http://costco.com.tw","costco.com.tw")</f>
        <v>costco.com.tw</v>
      </c>
      <c r="C11919" t="s">
        <v>504</v>
      </c>
      <c r="D11919" t="s">
        <v>878</v>
      </c>
      <c r="E11919">
        <v>48557</v>
      </c>
      <c r="F11919">
        <v>1.4064761737236401E-7</v>
      </c>
      <c r="G11919">
        <v>276892</v>
      </c>
      <c r="H11919">
        <v>14683749</v>
      </c>
      <c r="I11919">
        <v>606448</v>
      </c>
      <c r="J11919">
        <v>2</v>
      </c>
    </row>
    <row r="11920" spans="1:10" x14ac:dyDescent="0.25">
      <c r="A11920" t="s">
        <v>121</v>
      </c>
      <c r="B11920" s="1" t="str">
        <f>HYPERLINK("http://costco.co.uk","costco.co.uk")</f>
        <v>costco.co.uk</v>
      </c>
      <c r="C11920" t="s">
        <v>506</v>
      </c>
      <c r="D11920" t="s">
        <v>880</v>
      </c>
      <c r="E11920">
        <v>35080</v>
      </c>
      <c r="F11920">
        <v>2.4730272235203301E-7</v>
      </c>
      <c r="G11920">
        <v>151292</v>
      </c>
      <c r="H11920">
        <v>14733091</v>
      </c>
      <c r="I11920">
        <v>570862</v>
      </c>
      <c r="J11920">
        <v>2</v>
      </c>
    </row>
    <row r="11921" spans="1:10" x14ac:dyDescent="0.25">
      <c r="A11921" t="s">
        <v>121</v>
      </c>
      <c r="B11921" s="1" t="str">
        <f>HYPERLINK("http://costcotravel.co.uk","costcotravel.co.uk")</f>
        <v>costcotravel.co.uk</v>
      </c>
      <c r="C11921" t="s">
        <v>506</v>
      </c>
      <c r="D11921" t="s">
        <v>880</v>
      </c>
      <c r="F11921">
        <v>1.36506198809659E-8</v>
      </c>
      <c r="G11921">
        <v>4341075</v>
      </c>
      <c r="H11921">
        <v>11365697</v>
      </c>
      <c r="I11921">
        <v>30341353</v>
      </c>
      <c r="J11921">
        <v>6</v>
      </c>
    </row>
    <row r="11922" spans="1:10" x14ac:dyDescent="0.25">
      <c r="A11922" t="s">
        <v>1608</v>
      </c>
      <c r="B11922" s="1" t="str">
        <f>HYPERLINK("http://crowncastle.com","crowncastle.com")</f>
        <v>crowncastle.com</v>
      </c>
      <c r="C11922" t="s">
        <v>433</v>
      </c>
      <c r="E11922">
        <v>49397</v>
      </c>
      <c r="F11922">
        <v>4.0980589469731402E-7</v>
      </c>
      <c r="G11922">
        <v>91731</v>
      </c>
      <c r="H11922">
        <v>15346611</v>
      </c>
      <c r="I11922">
        <v>383014</v>
      </c>
      <c r="J11922">
        <v>1</v>
      </c>
    </row>
    <row r="11923" spans="1:10" x14ac:dyDescent="0.25">
      <c r="A11923" t="s">
        <v>1609</v>
      </c>
      <c r="B11923" s="1" t="str">
        <f>HYPERLINK("http://cummins.com.ar","cummins.com.ar")</f>
        <v>cummins.com.ar</v>
      </c>
      <c r="C11923" t="s">
        <v>418</v>
      </c>
      <c r="D11923" t="s">
        <v>800</v>
      </c>
      <c r="F11923">
        <v>1.0597805319605799E-8</v>
      </c>
      <c r="G11923">
        <v>6186036</v>
      </c>
      <c r="H11923">
        <v>12177565</v>
      </c>
      <c r="I11923">
        <v>23870101</v>
      </c>
      <c r="J11923">
        <v>2</v>
      </c>
    </row>
    <row r="11924" spans="1:10" x14ac:dyDescent="0.25">
      <c r="A11924" t="s">
        <v>1609</v>
      </c>
      <c r="B11924" s="1" t="str">
        <f>HYPERLINK("http://cumminsargentina.com.ar","cumminsargentina.com.ar")</f>
        <v>cumminsargentina.com.ar</v>
      </c>
      <c r="C11924" t="s">
        <v>418</v>
      </c>
      <c r="D11924" t="s">
        <v>800</v>
      </c>
      <c r="F11924">
        <v>4.4674633913202003E-9</v>
      </c>
      <c r="G11924">
        <v>65300841</v>
      </c>
      <c r="H11924">
        <v>10452891</v>
      </c>
      <c r="I11924">
        <v>52060603</v>
      </c>
      <c r="J11924">
        <v>3</v>
      </c>
    </row>
    <row r="11925" spans="1:10" x14ac:dyDescent="0.25">
      <c r="A11925" t="s">
        <v>1609</v>
      </c>
      <c r="B11925" s="1" t="str">
        <f>HYPERLINK("http://cummins.com.au","cummins.com.au")</f>
        <v>cummins.com.au</v>
      </c>
      <c r="C11925" t="s">
        <v>420</v>
      </c>
      <c r="D11925" t="s">
        <v>802</v>
      </c>
      <c r="F11925">
        <v>2.3271455694962601E-8</v>
      </c>
      <c r="G11925">
        <v>2242067</v>
      </c>
      <c r="H11925">
        <v>14387452</v>
      </c>
      <c r="I11925">
        <v>1175282</v>
      </c>
      <c r="J11925">
        <v>2</v>
      </c>
    </row>
    <row r="11926" spans="1:10" x14ac:dyDescent="0.25">
      <c r="A11926" t="s">
        <v>1609</v>
      </c>
      <c r="B11926" s="1" t="str">
        <f>HYPERLINK("http://cummins.com.bo","cummins.com.bo")</f>
        <v>cummins.com.bo</v>
      </c>
      <c r="C11926" t="s">
        <v>424</v>
      </c>
      <c r="D11926" t="s">
        <v>805</v>
      </c>
      <c r="F11926">
        <v>8.7342743975189202E-9</v>
      </c>
      <c r="G11926">
        <v>8419428</v>
      </c>
      <c r="H11926">
        <v>12162055</v>
      </c>
      <c r="I11926">
        <v>24305610</v>
      </c>
      <c r="J11926">
        <v>2</v>
      </c>
    </row>
    <row r="11927" spans="1:10" x14ac:dyDescent="0.25">
      <c r="A11927" t="s">
        <v>1609</v>
      </c>
      <c r="B11927" s="1" t="str">
        <f>HYPERLINK("http://cummins.com.br","cummins.com.br")</f>
        <v>cummins.com.br</v>
      </c>
      <c r="C11927" t="s">
        <v>425</v>
      </c>
      <c r="D11927" t="s">
        <v>806</v>
      </c>
      <c r="F11927">
        <v>1.41541505032222E-8</v>
      </c>
      <c r="G11927">
        <v>4145911</v>
      </c>
      <c r="H11927">
        <v>14238022</v>
      </c>
      <c r="I11927">
        <v>1535000</v>
      </c>
      <c r="J11927">
        <v>2</v>
      </c>
    </row>
    <row r="11928" spans="1:10" x14ac:dyDescent="0.25">
      <c r="A11928" t="s">
        <v>1609</v>
      </c>
      <c r="B11928" s="1" t="str">
        <f>HYPERLINK("http://cummins.com.cn","cummins.com.cn")</f>
        <v>cummins.com.cn</v>
      </c>
      <c r="C11928" t="s">
        <v>431</v>
      </c>
      <c r="D11928" t="s">
        <v>812</v>
      </c>
      <c r="E11928">
        <v>521406</v>
      </c>
      <c r="F11928">
        <v>8.4139145706051705E-8</v>
      </c>
      <c r="G11928">
        <v>491618</v>
      </c>
      <c r="H11928">
        <v>14092824</v>
      </c>
      <c r="I11928">
        <v>2738059</v>
      </c>
      <c r="J11928">
        <v>3</v>
      </c>
    </row>
    <row r="11929" spans="1:10" x14ac:dyDescent="0.25">
      <c r="A11929" t="s">
        <v>1609</v>
      </c>
      <c r="B11929" s="1" t="str">
        <f>HYPERLINK("http://xzmeritor.com.cn","xzmeritor.com.cn")</f>
        <v>xzmeritor.com.cn</v>
      </c>
      <c r="C11929" t="s">
        <v>431</v>
      </c>
      <c r="D11929" t="s">
        <v>812</v>
      </c>
      <c r="F11929">
        <v>4.47304405314477E-9</v>
      </c>
      <c r="G11929">
        <v>63838471</v>
      </c>
      <c r="H11929">
        <v>7060019</v>
      </c>
      <c r="I11929">
        <v>76727011</v>
      </c>
      <c r="J11929">
        <v>3</v>
      </c>
    </row>
    <row r="11930" spans="1:10" x14ac:dyDescent="0.25">
      <c r="A11930" t="s">
        <v>1609</v>
      </c>
      <c r="B11930" s="1" t="str">
        <f>HYPERLINK("http://addscummins.com","addscummins.com")</f>
        <v>addscummins.com</v>
      </c>
      <c r="C11930" t="s">
        <v>433</v>
      </c>
      <c r="J11930">
        <v>2</v>
      </c>
    </row>
    <row r="11931" spans="1:10" x14ac:dyDescent="0.25">
      <c r="A11931" t="s">
        <v>1609</v>
      </c>
      <c r="B11931" s="1" t="str">
        <f>HYPERLINK("http://arvinmeritor.com","arvinmeritor.com")</f>
        <v>arvinmeritor.com</v>
      </c>
      <c r="C11931" t="s">
        <v>433</v>
      </c>
      <c r="E11931">
        <v>799874</v>
      </c>
      <c r="F11931">
        <v>2.63424087742764E-8</v>
      </c>
      <c r="G11931">
        <v>1954688</v>
      </c>
      <c r="H11931">
        <v>13591587</v>
      </c>
      <c r="I11931">
        <v>9665719</v>
      </c>
      <c r="J11931">
        <v>3</v>
      </c>
    </row>
    <row r="11932" spans="1:10" x14ac:dyDescent="0.25">
      <c r="A11932" t="s">
        <v>1609</v>
      </c>
      <c r="B11932" s="1" t="str">
        <f>HYPERLINK("http://autoaxle.com","autoaxle.com")</f>
        <v>autoaxle.com</v>
      </c>
      <c r="C11932" t="s">
        <v>433</v>
      </c>
      <c r="F11932">
        <v>1.26538903500662E-8</v>
      </c>
      <c r="G11932">
        <v>4802857</v>
      </c>
      <c r="H11932">
        <v>13235604</v>
      </c>
      <c r="I11932">
        <v>11244515</v>
      </c>
      <c r="J11932">
        <v>3</v>
      </c>
    </row>
    <row r="11933" spans="1:10" x14ac:dyDescent="0.25">
      <c r="A11933" t="s">
        <v>1609</v>
      </c>
      <c r="B11933" s="1" t="str">
        <f>HYPERLINK("http://axletech.com","axletech.com")</f>
        <v>axletech.com</v>
      </c>
      <c r="C11933" t="s">
        <v>433</v>
      </c>
      <c r="F11933">
        <v>1.6164337319812499E-8</v>
      </c>
      <c r="G11933">
        <v>3504361</v>
      </c>
      <c r="H11933">
        <v>13548849</v>
      </c>
      <c r="I11933">
        <v>9898351</v>
      </c>
      <c r="J11933">
        <v>5</v>
      </c>
    </row>
    <row r="11934" spans="1:10" x14ac:dyDescent="0.25">
      <c r="A11934" t="s">
        <v>1609</v>
      </c>
      <c r="B11934" s="1" t="str">
        <f>HYPERLINK("http://codigassertivo.com","codigassertivo.com")</f>
        <v>codigassertivo.com</v>
      </c>
      <c r="C11934" t="s">
        <v>433</v>
      </c>
      <c r="F11934">
        <v>4.44380395335525E-9</v>
      </c>
      <c r="G11934">
        <v>81176025</v>
      </c>
      <c r="H11934">
        <v>0</v>
      </c>
      <c r="I11934">
        <v>81500132</v>
      </c>
      <c r="J11934">
        <v>4</v>
      </c>
    </row>
    <row r="11935" spans="1:10" x14ac:dyDescent="0.25">
      <c r="A11935" t="s">
        <v>1609</v>
      </c>
      <c r="B11935" s="1" t="str">
        <f>HYPERLINK("http://cummins.com","cummins.com")</f>
        <v>cummins.com</v>
      </c>
      <c r="C11935" t="s">
        <v>433</v>
      </c>
      <c r="E11935">
        <v>12376</v>
      </c>
      <c r="F11935">
        <v>1.8951198050282299E-6</v>
      </c>
      <c r="G11935">
        <v>19611</v>
      </c>
      <c r="H11935">
        <v>17323454</v>
      </c>
      <c r="I11935">
        <v>25517</v>
      </c>
      <c r="J11935">
        <v>1</v>
      </c>
    </row>
    <row r="11936" spans="1:10" x14ac:dyDescent="0.25">
      <c r="A11936" t="s">
        <v>1609</v>
      </c>
      <c r="B11936" s="1" t="str">
        <f>HYPERLINK("http://cummins-sp.com","cummins-sp.com")</f>
        <v>cummins-sp.com</v>
      </c>
      <c r="C11936" t="s">
        <v>433</v>
      </c>
      <c r="F11936">
        <v>6.9862375580383502E-9</v>
      </c>
      <c r="G11936">
        <v>12352572</v>
      </c>
      <c r="H11936">
        <v>12896853</v>
      </c>
      <c r="I11936">
        <v>13893945</v>
      </c>
      <c r="J11936">
        <v>3</v>
      </c>
    </row>
    <row r="11937" spans="1:10" x14ac:dyDescent="0.25">
      <c r="A11937" t="s">
        <v>1609</v>
      </c>
      <c r="B11937" s="1" t="str">
        <f>HYPERLINK("http://cumminsemissionsolutions.com","cumminsemissionsolutions.com")</f>
        <v>cumminsemissionsolutions.com</v>
      </c>
      <c r="C11937" t="s">
        <v>433</v>
      </c>
      <c r="F11937">
        <v>1.3836290792764601E-8</v>
      </c>
      <c r="G11937">
        <v>4265979</v>
      </c>
      <c r="H11937">
        <v>13445004</v>
      </c>
      <c r="I11937">
        <v>10220785</v>
      </c>
      <c r="J11937">
        <v>2</v>
      </c>
    </row>
    <row r="11938" spans="1:10" x14ac:dyDescent="0.25">
      <c r="A11938" t="s">
        <v>1609</v>
      </c>
      <c r="B11938" s="1" t="str">
        <f>HYPERLINK("http://cumminseurope.com","cumminseurope.com")</f>
        <v>cumminseurope.com</v>
      </c>
      <c r="C11938" t="s">
        <v>433</v>
      </c>
      <c r="F11938">
        <v>6.6372673223426896E-8</v>
      </c>
      <c r="G11938">
        <v>645732</v>
      </c>
      <c r="H11938">
        <v>13409649</v>
      </c>
      <c r="I11938">
        <v>10341076</v>
      </c>
      <c r="J11938">
        <v>2</v>
      </c>
    </row>
    <row r="11939" spans="1:10" x14ac:dyDescent="0.25">
      <c r="A11939" t="s">
        <v>1609</v>
      </c>
      <c r="B11939" s="1" t="str">
        <f>HYPERLINK("http://cumminsfiltration.com","cumminsfiltration.com")</f>
        <v>cumminsfiltration.com</v>
      </c>
      <c r="C11939" t="s">
        <v>433</v>
      </c>
      <c r="E11939">
        <v>191693</v>
      </c>
      <c r="F11939">
        <v>1.1687036436904601E-7</v>
      </c>
      <c r="G11939">
        <v>340142</v>
      </c>
      <c r="H11939">
        <v>14239130</v>
      </c>
      <c r="I11939">
        <v>1516438</v>
      </c>
      <c r="J11939">
        <v>3</v>
      </c>
    </row>
    <row r="11940" spans="1:10" x14ac:dyDescent="0.25">
      <c r="A11940" t="s">
        <v>1609</v>
      </c>
      <c r="B11940" s="1" t="str">
        <f>HYPERLINK("http://cumminsgeneratortechnologies.com","cumminsgeneratortechnologies.com")</f>
        <v>cumminsgeneratortechnologies.com</v>
      </c>
      <c r="C11940" t="s">
        <v>433</v>
      </c>
      <c r="F11940">
        <v>1.0238112687781E-8</v>
      </c>
      <c r="G11940">
        <v>6509911</v>
      </c>
      <c r="H11940">
        <v>14238336</v>
      </c>
      <c r="I11940">
        <v>1528692</v>
      </c>
      <c r="J11940">
        <v>3</v>
      </c>
    </row>
    <row r="11941" spans="1:10" x14ac:dyDescent="0.25">
      <c r="A11941" t="s">
        <v>1609</v>
      </c>
      <c r="B11941" s="1" t="str">
        <f>HYPERLINK("http://cumminsindia.com","cumminsindia.com")</f>
        <v>cumminsindia.com</v>
      </c>
      <c r="C11941" t="s">
        <v>433</v>
      </c>
      <c r="F11941">
        <v>2.2599791166830299E-8</v>
      </c>
      <c r="G11941">
        <v>2317509</v>
      </c>
      <c r="H11941">
        <v>14142476</v>
      </c>
      <c r="I11941">
        <v>1919627</v>
      </c>
      <c r="J11941">
        <v>3</v>
      </c>
    </row>
    <row r="11942" spans="1:10" x14ac:dyDescent="0.25">
      <c r="A11942" t="s">
        <v>1609</v>
      </c>
      <c r="B11942" s="1" t="str">
        <f>HYPERLINK("http://cumminssvam.com","cumminssvam.com")</f>
        <v>cumminssvam.com</v>
      </c>
      <c r="C11942" t="s">
        <v>433</v>
      </c>
      <c r="J11942">
        <v>5</v>
      </c>
    </row>
    <row r="11943" spans="1:10" x14ac:dyDescent="0.25">
      <c r="A11943" t="s">
        <v>1609</v>
      </c>
      <c r="B11943" s="1" t="str">
        <f>HYPERLINK("http://cumminsturbotechnologies.com","cumminsturbotechnologies.com")</f>
        <v>cumminsturbotechnologies.com</v>
      </c>
      <c r="C11943" t="s">
        <v>433</v>
      </c>
      <c r="F11943">
        <v>1.79537293252523E-8</v>
      </c>
      <c r="G11943">
        <v>3042253</v>
      </c>
      <c r="H11943">
        <v>14419073</v>
      </c>
      <c r="I11943">
        <v>1092719</v>
      </c>
      <c r="J11943">
        <v>2</v>
      </c>
    </row>
    <row r="11944" spans="1:10" x14ac:dyDescent="0.25">
      <c r="A11944" t="s">
        <v>1609</v>
      </c>
      <c r="B11944" s="1" t="str">
        <f>HYPERLINK("http://hydrogenics.com","hydrogenics.com")</f>
        <v>hydrogenics.com</v>
      </c>
      <c r="C11944" t="s">
        <v>433</v>
      </c>
      <c r="E11944">
        <v>757340</v>
      </c>
      <c r="F11944">
        <v>7.2148930446600706E-8</v>
      </c>
      <c r="G11944">
        <v>585167</v>
      </c>
      <c r="H11944">
        <v>14713942</v>
      </c>
      <c r="I11944">
        <v>581586</v>
      </c>
      <c r="J11944">
        <v>3</v>
      </c>
    </row>
    <row r="11945" spans="1:10" x14ac:dyDescent="0.25">
      <c r="A11945" t="s">
        <v>1609</v>
      </c>
      <c r="B11945" s="1" t="str">
        <f>HYPERLINK("http://jakebrake.com","jakebrake.com")</f>
        <v>jakebrake.com</v>
      </c>
      <c r="C11945" t="s">
        <v>433</v>
      </c>
      <c r="F11945">
        <v>1.9061375444367501E-8</v>
      </c>
      <c r="G11945">
        <v>2824594</v>
      </c>
      <c r="H11945">
        <v>13830096</v>
      </c>
      <c r="I11945">
        <v>6111263</v>
      </c>
      <c r="J11945">
        <v>3</v>
      </c>
    </row>
    <row r="11946" spans="1:10" x14ac:dyDescent="0.25">
      <c r="A11946" t="s">
        <v>1609</v>
      </c>
      <c r="B11946" s="1" t="str">
        <f>HYPERLINK("http://meritor.com","meritor.com")</f>
        <v>meritor.com</v>
      </c>
      <c r="C11946" t="s">
        <v>433</v>
      </c>
      <c r="E11946">
        <v>117079</v>
      </c>
      <c r="F11946">
        <v>1.60923397370922E-7</v>
      </c>
      <c r="G11946">
        <v>241247</v>
      </c>
      <c r="H11946">
        <v>15087199</v>
      </c>
      <c r="I11946">
        <v>408464</v>
      </c>
      <c r="J11946">
        <v>3</v>
      </c>
    </row>
    <row r="11947" spans="1:10" x14ac:dyDescent="0.25">
      <c r="A11947" t="s">
        <v>1609</v>
      </c>
      <c r="B11947" s="1" t="str">
        <f>HYPERLINK("http://stamford-avk.com","stamford-avk.com")</f>
        <v>stamford-avk.com</v>
      </c>
      <c r="C11947" t="s">
        <v>433</v>
      </c>
      <c r="E11947">
        <v>623976</v>
      </c>
      <c r="F11947">
        <v>4.7673582978038603E-8</v>
      </c>
      <c r="G11947">
        <v>976526</v>
      </c>
      <c r="H11947">
        <v>14381979</v>
      </c>
      <c r="I11947">
        <v>1189923</v>
      </c>
      <c r="J11947">
        <v>2</v>
      </c>
    </row>
    <row r="11948" spans="1:10" x14ac:dyDescent="0.25">
      <c r="A11948" t="s">
        <v>1609</v>
      </c>
      <c r="B11948" s="1" t="str">
        <f>HYPERLINK("http://transpowerusa.com","transpowerusa.com")</f>
        <v>transpowerusa.com</v>
      </c>
      <c r="C11948" t="s">
        <v>433</v>
      </c>
      <c r="F11948">
        <v>1.3036573838813699E-8</v>
      </c>
      <c r="G11948">
        <v>4613720</v>
      </c>
      <c r="H11948">
        <v>13417687</v>
      </c>
      <c r="I11948">
        <v>10310195</v>
      </c>
      <c r="J11948">
        <v>3</v>
      </c>
    </row>
    <row r="11949" spans="1:10" x14ac:dyDescent="0.25">
      <c r="A11949" t="s">
        <v>1609</v>
      </c>
      <c r="B11949" s="1" t="str">
        <f>HYPERLINK("http://curacommerz.de","curacommerz.de")</f>
        <v>curacommerz.de</v>
      </c>
      <c r="C11949" t="s">
        <v>436</v>
      </c>
      <c r="D11949" t="s">
        <v>815</v>
      </c>
      <c r="J11949">
        <v>3</v>
      </c>
    </row>
    <row r="11950" spans="1:10" x14ac:dyDescent="0.25">
      <c r="A11950" t="s">
        <v>1609</v>
      </c>
      <c r="B11950" s="1" t="str">
        <f>HYPERLINK("http://atmus.fi","atmus.fi")</f>
        <v>atmus.fi</v>
      </c>
      <c r="C11950" t="s">
        <v>445</v>
      </c>
      <c r="D11950" t="s">
        <v>823</v>
      </c>
      <c r="J11950">
        <v>4</v>
      </c>
    </row>
    <row r="11951" spans="1:10" x14ac:dyDescent="0.25">
      <c r="A11951" t="s">
        <v>1609</v>
      </c>
      <c r="B11951" s="1" t="str">
        <f>HYPERLINK("http://cumminsfiltration.fi","cumminsfiltration.fi")</f>
        <v>cumminsfiltration.fi</v>
      </c>
      <c r="C11951" t="s">
        <v>445</v>
      </c>
      <c r="D11951" t="s">
        <v>823</v>
      </c>
      <c r="J11951">
        <v>4</v>
      </c>
    </row>
    <row r="11952" spans="1:10" x14ac:dyDescent="0.25">
      <c r="A11952" t="s">
        <v>1609</v>
      </c>
      <c r="B11952" s="1" t="str">
        <f>HYPERLINK("http://fleetguard.fi","fleetguard.fi")</f>
        <v>fleetguard.fi</v>
      </c>
      <c r="C11952" t="s">
        <v>445</v>
      </c>
      <c r="D11952" t="s">
        <v>823</v>
      </c>
      <c r="J11952">
        <v>4</v>
      </c>
    </row>
    <row r="11953" spans="1:10" x14ac:dyDescent="0.25">
      <c r="A11953" t="s">
        <v>1609</v>
      </c>
      <c r="B11953" s="1" t="str">
        <f>HYPERLINK("http://cummins.jobs","cummins.jobs")</f>
        <v>cummins.jobs</v>
      </c>
      <c r="C11953" t="s">
        <v>521</v>
      </c>
      <c r="E11953">
        <v>551220</v>
      </c>
      <c r="F11953">
        <v>4.5946306488863198E-8</v>
      </c>
      <c r="G11953">
        <v>1021995</v>
      </c>
      <c r="H11953">
        <v>13037192</v>
      </c>
      <c r="I11953">
        <v>12634003</v>
      </c>
      <c r="J11953">
        <v>2</v>
      </c>
    </row>
    <row r="11954" spans="1:10" x14ac:dyDescent="0.25">
      <c r="A11954" t="s">
        <v>1609</v>
      </c>
      <c r="B11954" s="1" t="str">
        <f>HYPERLINK("http://cummins.jp","cummins.jp")</f>
        <v>cummins.jp</v>
      </c>
      <c r="C11954" t="s">
        <v>461</v>
      </c>
      <c r="D11954" t="s">
        <v>837</v>
      </c>
      <c r="F11954">
        <v>1.0015810635153E-8</v>
      </c>
      <c r="G11954">
        <v>6740025</v>
      </c>
      <c r="H11954">
        <v>12465860</v>
      </c>
      <c r="I11954">
        <v>17808044</v>
      </c>
      <c r="J11954">
        <v>2</v>
      </c>
    </row>
    <row r="11955" spans="1:10" x14ac:dyDescent="0.25">
      <c r="A11955" t="s">
        <v>1609</v>
      </c>
      <c r="B11955" s="1" t="str">
        <f>HYPERLINK("http://cummins.co.kr","cummins.co.kr")</f>
        <v>cummins.co.kr</v>
      </c>
      <c r="C11955" t="s">
        <v>463</v>
      </c>
      <c r="D11955" t="s">
        <v>839</v>
      </c>
      <c r="F11955">
        <v>8.7020382195289796E-9</v>
      </c>
      <c r="G11955">
        <v>8474273</v>
      </c>
      <c r="H11955">
        <v>12168156</v>
      </c>
      <c r="I11955">
        <v>24116024</v>
      </c>
      <c r="J11955">
        <v>2</v>
      </c>
    </row>
    <row r="11956" spans="1:10" x14ac:dyDescent="0.25">
      <c r="A11956" t="s">
        <v>1609</v>
      </c>
      <c r="B11956" s="1" t="str">
        <f>HYPERLINK("http://cummins.com.mx","cummins.com.mx")</f>
        <v>cummins.com.mx</v>
      </c>
      <c r="C11956" t="s">
        <v>471</v>
      </c>
      <c r="D11956" t="s">
        <v>847</v>
      </c>
      <c r="F11956">
        <v>1.0019282148924601E-8</v>
      </c>
      <c r="G11956">
        <v>6736662</v>
      </c>
      <c r="H11956">
        <v>12263949</v>
      </c>
      <c r="I11956">
        <v>21657806</v>
      </c>
      <c r="J11956">
        <v>2</v>
      </c>
    </row>
    <row r="11957" spans="1:10" x14ac:dyDescent="0.25">
      <c r="A11957" t="s">
        <v>1609</v>
      </c>
      <c r="B11957" s="1" t="str">
        <f>HYPERLINK("http://cummins.com.my","cummins.com.my")</f>
        <v>cummins.com.my</v>
      </c>
      <c r="C11957" t="s">
        <v>472</v>
      </c>
      <c r="D11957" t="s">
        <v>848</v>
      </c>
      <c r="F11957">
        <v>8.6333095931384704E-9</v>
      </c>
      <c r="G11957">
        <v>8596468</v>
      </c>
      <c r="H11957">
        <v>12241214</v>
      </c>
      <c r="I11957">
        <v>22228502</v>
      </c>
      <c r="J11957">
        <v>2</v>
      </c>
    </row>
    <row r="11958" spans="1:10" x14ac:dyDescent="0.25">
      <c r="A11958" t="s">
        <v>1609</v>
      </c>
      <c r="B11958" s="1" t="str">
        <f>HYPERLINK("http://cummins.no","cummins.no")</f>
        <v>cummins.no</v>
      </c>
      <c r="C11958" t="s">
        <v>478</v>
      </c>
      <c r="D11958" t="s">
        <v>853</v>
      </c>
      <c r="F11958">
        <v>4.7530318911669997E-9</v>
      </c>
      <c r="G11958">
        <v>38187292</v>
      </c>
      <c r="H11958">
        <v>9407845</v>
      </c>
      <c r="I11958">
        <v>67149432</v>
      </c>
      <c r="J11958">
        <v>3</v>
      </c>
    </row>
    <row r="11959" spans="1:10" x14ac:dyDescent="0.25">
      <c r="A11959" t="s">
        <v>1609</v>
      </c>
      <c r="B11959" s="1" t="str">
        <f>HYPERLINK("http://cummins.com.ph","cummins.com.ph")</f>
        <v>cummins.com.ph</v>
      </c>
      <c r="C11959" t="s">
        <v>484</v>
      </c>
      <c r="D11959" t="s">
        <v>858</v>
      </c>
      <c r="F11959">
        <v>8.2853763386597503E-9</v>
      </c>
      <c r="G11959">
        <v>9292864</v>
      </c>
      <c r="H11959">
        <v>12162051</v>
      </c>
      <c r="I11959">
        <v>24305875</v>
      </c>
      <c r="J11959">
        <v>2</v>
      </c>
    </row>
    <row r="11960" spans="1:10" x14ac:dyDescent="0.25">
      <c r="A11960" t="s">
        <v>1609</v>
      </c>
      <c r="B11960" s="1" t="str">
        <f>HYPERLINK("http://cummins.com.py","cummins.com.py")</f>
        <v>cummins.com.py</v>
      </c>
      <c r="C11960" t="s">
        <v>489</v>
      </c>
      <c r="D11960" t="s">
        <v>863</v>
      </c>
      <c r="F11960">
        <v>8.2853763386597503E-9</v>
      </c>
      <c r="G11960">
        <v>9292865</v>
      </c>
      <c r="H11960">
        <v>12162051</v>
      </c>
      <c r="I11960">
        <v>24305876</v>
      </c>
      <c r="J11960">
        <v>2</v>
      </c>
    </row>
    <row r="11961" spans="1:10" x14ac:dyDescent="0.25">
      <c r="A11961" t="s">
        <v>1609</v>
      </c>
      <c r="B11961" s="1" t="str">
        <f>HYPERLINK("http://cummins.ru","cummins.ru")</f>
        <v>cummins.ru</v>
      </c>
      <c r="C11961" t="s">
        <v>493</v>
      </c>
      <c r="D11961" t="s">
        <v>867</v>
      </c>
      <c r="F11961">
        <v>3.7267799534357999E-8</v>
      </c>
      <c r="G11961">
        <v>1389560</v>
      </c>
      <c r="H11961">
        <v>14417964</v>
      </c>
      <c r="I11961">
        <v>1096048</v>
      </c>
      <c r="J11961">
        <v>2</v>
      </c>
    </row>
    <row r="11962" spans="1:10" x14ac:dyDescent="0.25">
      <c r="A11962" t="s">
        <v>1609</v>
      </c>
      <c r="B11962" s="1" t="str">
        <f>HYPERLINK("http://cummins.com.sg","cummins.com.sg")</f>
        <v>cummins.com.sg</v>
      </c>
      <c r="C11962" t="s">
        <v>496</v>
      </c>
      <c r="D11962" t="s">
        <v>870</v>
      </c>
      <c r="F11962">
        <v>8.9878848638336508E-9</v>
      </c>
      <c r="G11962">
        <v>8010445</v>
      </c>
      <c r="H11962">
        <v>12170514</v>
      </c>
      <c r="I11962">
        <v>24055822</v>
      </c>
      <c r="J11962">
        <v>2</v>
      </c>
    </row>
    <row r="11963" spans="1:10" x14ac:dyDescent="0.25">
      <c r="A11963" t="s">
        <v>1609</v>
      </c>
      <c r="B11963" s="1" t="str">
        <f>HYPERLINK("http://cummins.tech","cummins.tech")</f>
        <v>cummins.tech</v>
      </c>
      <c r="C11963" t="s">
        <v>534</v>
      </c>
      <c r="F11963">
        <v>1.8032395982706399E-8</v>
      </c>
      <c r="G11963">
        <v>3023897</v>
      </c>
      <c r="H11963">
        <v>12393347</v>
      </c>
      <c r="I11963">
        <v>18965461</v>
      </c>
      <c r="J11963">
        <v>2</v>
      </c>
    </row>
    <row r="11964" spans="1:10" x14ac:dyDescent="0.25">
      <c r="A11964" t="s">
        <v>1609</v>
      </c>
      <c r="B11964" s="1" t="str">
        <f>HYPERLINK("http://cummins.com.uy","cummins.com.uy")</f>
        <v>cummins.com.uy</v>
      </c>
      <c r="C11964" t="s">
        <v>507</v>
      </c>
      <c r="D11964" t="s">
        <v>881</v>
      </c>
      <c r="F11964">
        <v>8.2853763386597404E-9</v>
      </c>
      <c r="G11964">
        <v>9292866</v>
      </c>
      <c r="H11964">
        <v>12162051</v>
      </c>
      <c r="I11964">
        <v>24305879</v>
      </c>
      <c r="J11964">
        <v>2</v>
      </c>
    </row>
    <row r="11965" spans="1:10" x14ac:dyDescent="0.25">
      <c r="A11965" t="s">
        <v>122</v>
      </c>
      <c r="B11965" s="1" t="str">
        <f>HYPERLINK("http://dbs.com.cn","dbs.com.cn")</f>
        <v>dbs.com.cn</v>
      </c>
      <c r="C11965" t="s">
        <v>431</v>
      </c>
      <c r="D11965" t="s">
        <v>812</v>
      </c>
      <c r="E11965">
        <v>711166</v>
      </c>
      <c r="F11965">
        <v>2.8176069852612898E-8</v>
      </c>
      <c r="G11965">
        <v>1826399</v>
      </c>
      <c r="H11965">
        <v>13571145</v>
      </c>
      <c r="I11965">
        <v>9720665</v>
      </c>
      <c r="J11965">
        <v>2</v>
      </c>
    </row>
    <row r="11966" spans="1:10" x14ac:dyDescent="0.25">
      <c r="A11966" t="s">
        <v>122</v>
      </c>
      <c r="B11966" s="1" t="str">
        <f>HYPERLINK("http://dbs.com","dbs.com")</f>
        <v>dbs.com</v>
      </c>
      <c r="C11966" t="s">
        <v>433</v>
      </c>
      <c r="E11966">
        <v>12161</v>
      </c>
      <c r="F11966">
        <v>1.17054933186155E-6</v>
      </c>
      <c r="G11966">
        <v>33187</v>
      </c>
      <c r="H11966">
        <v>17414426</v>
      </c>
      <c r="I11966">
        <v>18225</v>
      </c>
      <c r="J11966">
        <v>2</v>
      </c>
    </row>
    <row r="11967" spans="1:10" x14ac:dyDescent="0.25">
      <c r="A11967" t="s">
        <v>122</v>
      </c>
      <c r="B11967" s="1" t="str">
        <f>HYPERLINK("http://dbsdigibank.com","dbsdigibank.com")</f>
        <v>dbsdigibank.com</v>
      </c>
      <c r="C11967" t="s">
        <v>433</v>
      </c>
      <c r="F11967">
        <v>1.5554412993929001E-8</v>
      </c>
      <c r="G11967">
        <v>3668995</v>
      </c>
      <c r="H11967">
        <v>12609885</v>
      </c>
      <c r="I11967">
        <v>16238474</v>
      </c>
      <c r="J11967">
        <v>4</v>
      </c>
    </row>
    <row r="11968" spans="1:10" x14ac:dyDescent="0.25">
      <c r="A11968" t="s">
        <v>122</v>
      </c>
      <c r="B11968" s="1" t="str">
        <f>HYPERLINK("http://dbsmx.com","dbsmx.com")</f>
        <v>dbsmx.com</v>
      </c>
      <c r="C11968" t="s">
        <v>433</v>
      </c>
      <c r="F11968">
        <v>4.4438147154621998E-9</v>
      </c>
      <c r="G11968">
        <v>79460236</v>
      </c>
      <c r="H11968">
        <v>10347198</v>
      </c>
      <c r="I11968">
        <v>56712274</v>
      </c>
      <c r="J11968">
        <v>4</v>
      </c>
    </row>
    <row r="11969" spans="1:10" x14ac:dyDescent="0.25">
      <c r="A11969" t="s">
        <v>122</v>
      </c>
      <c r="B11969" s="1" t="str">
        <f>HYPERLINK("http://dbsvickers.com","dbsvickers.com")</f>
        <v>dbsvickers.com</v>
      </c>
      <c r="C11969" t="s">
        <v>433</v>
      </c>
      <c r="E11969">
        <v>354285</v>
      </c>
      <c r="F11969">
        <v>3.8821559686931898E-8</v>
      </c>
      <c r="G11969">
        <v>1328148</v>
      </c>
      <c r="H11969">
        <v>14031656</v>
      </c>
      <c r="I11969">
        <v>3926037</v>
      </c>
      <c r="J11969">
        <v>4</v>
      </c>
    </row>
    <row r="11970" spans="1:10" x14ac:dyDescent="0.25">
      <c r="A11970" t="s">
        <v>122</v>
      </c>
      <c r="B11970" s="1" t="str">
        <f>HYPERLINK("http://dbs.com.hk","dbs.com.hk")</f>
        <v>dbs.com.hk</v>
      </c>
      <c r="C11970" t="s">
        <v>450</v>
      </c>
      <c r="D11970" t="s">
        <v>827</v>
      </c>
      <c r="E11970">
        <v>121308</v>
      </c>
      <c r="F11970">
        <v>1.6378517137276299E-7</v>
      </c>
      <c r="G11970">
        <v>236989</v>
      </c>
      <c r="H11970">
        <v>14934796</v>
      </c>
      <c r="I11970">
        <v>445875</v>
      </c>
      <c r="J11970">
        <v>2</v>
      </c>
    </row>
    <row r="11971" spans="1:10" x14ac:dyDescent="0.25">
      <c r="A11971" t="s">
        <v>122</v>
      </c>
      <c r="B11971" s="1" t="str">
        <f>HYPERLINK("http://dbs.id","dbs.id")</f>
        <v>dbs.id</v>
      </c>
      <c r="C11971" t="s">
        <v>454</v>
      </c>
      <c r="D11971" t="s">
        <v>831</v>
      </c>
      <c r="E11971">
        <v>362298</v>
      </c>
      <c r="F11971">
        <v>2.2278687632150901E-7</v>
      </c>
      <c r="G11971">
        <v>169189</v>
      </c>
      <c r="H11971">
        <v>14119163</v>
      </c>
      <c r="I11971">
        <v>2657593</v>
      </c>
      <c r="J11971">
        <v>2</v>
      </c>
    </row>
    <row r="11972" spans="1:10" x14ac:dyDescent="0.25">
      <c r="A11972" t="s">
        <v>122</v>
      </c>
      <c r="B11972" s="1" t="str">
        <f>HYPERLINK("http://dbs.com.sg","dbs.com.sg")</f>
        <v>dbs.com.sg</v>
      </c>
      <c r="C11972" t="s">
        <v>496</v>
      </c>
      <c r="D11972" t="s">
        <v>870</v>
      </c>
      <c r="E11972">
        <v>4480</v>
      </c>
      <c r="F11972">
        <v>9.1159139562253396E-7</v>
      </c>
      <c r="G11972">
        <v>42642</v>
      </c>
      <c r="H11972">
        <v>17390236</v>
      </c>
      <c r="I11972">
        <v>19906</v>
      </c>
      <c r="J11972">
        <v>1</v>
      </c>
    </row>
    <row r="11973" spans="1:10" x14ac:dyDescent="0.25">
      <c r="A11973" t="s">
        <v>122</v>
      </c>
      <c r="B11973" s="1" t="str">
        <f>HYPERLINK("http://posb.com.sg","posb.com.sg")</f>
        <v>posb.com.sg</v>
      </c>
      <c r="C11973" t="s">
        <v>496</v>
      </c>
      <c r="D11973" t="s">
        <v>870</v>
      </c>
      <c r="E11973">
        <v>122820</v>
      </c>
      <c r="F11973">
        <v>1.9406428309911901E-7</v>
      </c>
      <c r="G11973">
        <v>198673</v>
      </c>
      <c r="H11973">
        <v>14380931</v>
      </c>
      <c r="I11973">
        <v>1193250</v>
      </c>
      <c r="J11973">
        <v>5</v>
      </c>
    </row>
    <row r="11974" spans="1:10" x14ac:dyDescent="0.25">
      <c r="A11974" t="s">
        <v>122</v>
      </c>
      <c r="B11974" s="1" t="str">
        <f>HYPERLINK("http://dbs.com.tw","dbs.com.tw")</f>
        <v>dbs.com.tw</v>
      </c>
      <c r="C11974" t="s">
        <v>504</v>
      </c>
      <c r="D11974" t="s">
        <v>878</v>
      </c>
      <c r="E11974">
        <v>193108</v>
      </c>
      <c r="F11974">
        <v>3.9328970761746298E-7</v>
      </c>
      <c r="G11974">
        <v>95375</v>
      </c>
      <c r="H11974">
        <v>14028720</v>
      </c>
      <c r="I11974">
        <v>3970032</v>
      </c>
      <c r="J11974">
        <v>2</v>
      </c>
    </row>
    <row r="11975" spans="1:10" x14ac:dyDescent="0.25">
      <c r="A11975" t="s">
        <v>123</v>
      </c>
      <c r="B11975" s="1" t="str">
        <f>HYPERLINK("http://aka.ag","aka.ag")</f>
        <v>aka.ag</v>
      </c>
      <c r="C11975" t="s">
        <v>564</v>
      </c>
      <c r="D11975" t="s">
        <v>912</v>
      </c>
      <c r="J11975">
        <v>6</v>
      </c>
    </row>
    <row r="11976" spans="1:10" x14ac:dyDescent="0.25">
      <c r="A11976" t="s">
        <v>123</v>
      </c>
      <c r="B11976" s="1" t="str">
        <f>HYPERLINK("http://agilitylogistics.com.au","agilitylogistics.com.au")</f>
        <v>agilitylogistics.com.au</v>
      </c>
      <c r="C11976" t="s">
        <v>420</v>
      </c>
      <c r="D11976" t="s">
        <v>802</v>
      </c>
      <c r="F11976">
        <v>4.9672384690220503E-9</v>
      </c>
      <c r="G11976">
        <v>30316740</v>
      </c>
      <c r="H11976">
        <v>10695172</v>
      </c>
      <c r="I11976">
        <v>42404825</v>
      </c>
      <c r="J11976">
        <v>3</v>
      </c>
    </row>
    <row r="11977" spans="1:10" x14ac:dyDescent="0.25">
      <c r="A11977" t="s">
        <v>123</v>
      </c>
      <c r="B11977" s="1" t="str">
        <f>HYPERLINK("http://adhandling.be","adhandling.be")</f>
        <v>adhandling.be</v>
      </c>
      <c r="C11977" t="s">
        <v>421</v>
      </c>
      <c r="D11977" t="s">
        <v>803</v>
      </c>
      <c r="F11977">
        <v>4.6076979257765198E-9</v>
      </c>
      <c r="G11977">
        <v>47033484</v>
      </c>
      <c r="H11977">
        <v>12559365</v>
      </c>
      <c r="I11977">
        <v>16720639</v>
      </c>
      <c r="J11977">
        <v>3</v>
      </c>
    </row>
    <row r="11978" spans="1:10" x14ac:dyDescent="0.25">
      <c r="A11978" t="s">
        <v>123</v>
      </c>
      <c r="B11978" s="1" t="str">
        <f>HYPERLINK("http://abxlogistics.com","abxlogistics.com")</f>
        <v>abxlogistics.com</v>
      </c>
      <c r="C11978" t="s">
        <v>433</v>
      </c>
      <c r="F11978">
        <v>5.7671077877535398E-9</v>
      </c>
      <c r="G11978">
        <v>18350297</v>
      </c>
      <c r="H11978">
        <v>12825880</v>
      </c>
      <c r="I11978">
        <v>14459323</v>
      </c>
      <c r="J11978">
        <v>3</v>
      </c>
    </row>
    <row r="11979" spans="1:10" x14ac:dyDescent="0.25">
      <c r="A11979" t="s">
        <v>123</v>
      </c>
      <c r="B11979" s="1" t="str">
        <f>HYPERLINK("http://agility.com","agility.com")</f>
        <v>agility.com</v>
      </c>
      <c r="C11979" t="s">
        <v>433</v>
      </c>
      <c r="E11979">
        <v>164578</v>
      </c>
      <c r="F11979">
        <v>3.0252671684276803E-7</v>
      </c>
      <c r="G11979">
        <v>122908</v>
      </c>
      <c r="H11979">
        <v>14780467</v>
      </c>
      <c r="I11979">
        <v>554641</v>
      </c>
      <c r="J11979">
        <v>4</v>
      </c>
    </row>
    <row r="11980" spans="1:10" x14ac:dyDescent="0.25">
      <c r="A11980" t="s">
        <v>123</v>
      </c>
      <c r="B11980" s="1" t="str">
        <f>HYPERLINK("http://agilitylogistics.com","agilitylogistics.com")</f>
        <v>agilitylogistics.com</v>
      </c>
      <c r="C11980" t="s">
        <v>433</v>
      </c>
      <c r="E11980">
        <v>967103</v>
      </c>
      <c r="F11980">
        <v>4.85709048502481E-8</v>
      </c>
      <c r="G11980">
        <v>954856</v>
      </c>
      <c r="H11980">
        <v>14168117</v>
      </c>
      <c r="I11980">
        <v>1813576</v>
      </c>
      <c r="J11980">
        <v>3</v>
      </c>
    </row>
    <row r="11981" spans="1:10" x14ac:dyDescent="0.25">
      <c r="A11981" t="s">
        <v>123</v>
      </c>
      <c r="B11981" s="1" t="str">
        <f>HYPERLINK("http://dfdstransportusa.com","dfdstransportusa.com")</f>
        <v>dfdstransportusa.com</v>
      </c>
      <c r="C11981" t="s">
        <v>433</v>
      </c>
      <c r="J11981">
        <v>4</v>
      </c>
    </row>
    <row r="11982" spans="1:10" x14ac:dyDescent="0.25">
      <c r="A11982" t="s">
        <v>123</v>
      </c>
      <c r="B11982" s="1" t="str">
        <f>HYPERLINK("http://dsv.com","dsv.com")</f>
        <v>dsv.com</v>
      </c>
      <c r="C11982" t="s">
        <v>433</v>
      </c>
      <c r="E11982">
        <v>36441</v>
      </c>
      <c r="F11982">
        <v>7.0374026684516396E-7</v>
      </c>
      <c r="G11982">
        <v>54998</v>
      </c>
      <c r="H11982">
        <v>15084206</v>
      </c>
      <c r="I11982">
        <v>408938</v>
      </c>
      <c r="J11982">
        <v>1</v>
      </c>
    </row>
    <row r="11983" spans="1:10" x14ac:dyDescent="0.25">
      <c r="A11983" t="s">
        <v>123</v>
      </c>
      <c r="B11983" s="1" t="str">
        <f>HYPERLINK("http://mxdsv.com","mxdsv.com")</f>
        <v>mxdsv.com</v>
      </c>
      <c r="C11983" t="s">
        <v>433</v>
      </c>
      <c r="J11983">
        <v>3</v>
      </c>
    </row>
    <row r="11984" spans="1:10" x14ac:dyDescent="0.25">
      <c r="A11984" t="s">
        <v>123</v>
      </c>
      <c r="B11984" s="1" t="str">
        <f>HYPERLINK("http://panalpina.com","panalpina.com")</f>
        <v>panalpina.com</v>
      </c>
      <c r="C11984" t="s">
        <v>433</v>
      </c>
      <c r="E11984">
        <v>179704</v>
      </c>
      <c r="F11984">
        <v>1.0293683026950001E-7</v>
      </c>
      <c r="G11984">
        <v>389912</v>
      </c>
      <c r="H11984">
        <v>14276960</v>
      </c>
      <c r="I11984">
        <v>1388573</v>
      </c>
      <c r="J11984">
        <v>3</v>
      </c>
    </row>
    <row r="11985" spans="1:10" x14ac:dyDescent="0.25">
      <c r="A11985" t="s">
        <v>123</v>
      </c>
      <c r="B11985" s="1" t="str">
        <f>HYPERLINK("http://sammonstrucking.com","sammonstrucking.com")</f>
        <v>sammonstrucking.com</v>
      </c>
      <c r="C11985" t="s">
        <v>433</v>
      </c>
      <c r="F11985">
        <v>1.58644867722488E-8</v>
      </c>
      <c r="G11985">
        <v>3581918</v>
      </c>
      <c r="H11985">
        <v>12361278</v>
      </c>
      <c r="I11985">
        <v>19562047</v>
      </c>
      <c r="J11985">
        <v>3</v>
      </c>
    </row>
    <row r="11986" spans="1:10" x14ac:dyDescent="0.25">
      <c r="A11986" t="s">
        <v>123</v>
      </c>
      <c r="B11986" s="1" t="str">
        <f>HYPERLINK("http://standardcorp.com","standardcorp.com")</f>
        <v>standardcorp.com</v>
      </c>
      <c r="C11986" t="s">
        <v>433</v>
      </c>
      <c r="F11986">
        <v>4.4449563170284199E-9</v>
      </c>
      <c r="G11986">
        <v>75840935</v>
      </c>
      <c r="H11986">
        <v>10059830</v>
      </c>
      <c r="I11986">
        <v>60253903</v>
      </c>
      <c r="J11986">
        <v>3</v>
      </c>
    </row>
    <row r="11987" spans="1:10" x14ac:dyDescent="0.25">
      <c r="A11987" t="s">
        <v>123</v>
      </c>
      <c r="B11987" s="1" t="str">
        <f>HYPERLINK("http://transfora.com","transfora.com")</f>
        <v>transfora.com</v>
      </c>
      <c r="C11987" t="s">
        <v>433</v>
      </c>
      <c r="F11987">
        <v>4.44390622603098E-9</v>
      </c>
      <c r="G11987">
        <v>77916232</v>
      </c>
      <c r="H11987">
        <v>10554199</v>
      </c>
      <c r="I11987">
        <v>46554632</v>
      </c>
      <c r="J11987">
        <v>6</v>
      </c>
    </row>
    <row r="11988" spans="1:10" x14ac:dyDescent="0.25">
      <c r="A11988" t="s">
        <v>123</v>
      </c>
      <c r="B11988" s="1" t="str">
        <f>HYPERLINK("http://utipharma.com","utipharma.com")</f>
        <v>utipharma.com</v>
      </c>
      <c r="C11988" t="s">
        <v>433</v>
      </c>
      <c r="F11988">
        <v>4.66659109154095E-9</v>
      </c>
      <c r="G11988">
        <v>43116730</v>
      </c>
      <c r="H11988">
        <v>10996123</v>
      </c>
      <c r="I11988">
        <v>33646325</v>
      </c>
      <c r="J11988">
        <v>3</v>
      </c>
    </row>
    <row r="11989" spans="1:10" x14ac:dyDescent="0.25">
      <c r="A11989" t="s">
        <v>123</v>
      </c>
      <c r="B11989" s="1" t="str">
        <f>HYPERLINK("http://steinle.de","steinle.de")</f>
        <v>steinle.de</v>
      </c>
      <c r="C11989" t="s">
        <v>436</v>
      </c>
      <c r="D11989" t="s">
        <v>815</v>
      </c>
      <c r="F11989">
        <v>5.3840743864124899E-9</v>
      </c>
      <c r="G11989">
        <v>22367343</v>
      </c>
      <c r="H11989">
        <v>10955390</v>
      </c>
      <c r="I11989">
        <v>34462578</v>
      </c>
      <c r="J11989">
        <v>3</v>
      </c>
    </row>
    <row r="11990" spans="1:10" x14ac:dyDescent="0.25">
      <c r="A11990" t="s">
        <v>123</v>
      </c>
      <c r="B11990" s="1" t="str">
        <f>HYPERLINK("http://primecargo.dk","primecargo.dk")</f>
        <v>primecargo.dk</v>
      </c>
      <c r="C11990" t="s">
        <v>437</v>
      </c>
      <c r="D11990" t="s">
        <v>816</v>
      </c>
      <c r="F11990">
        <v>5.27974416742813E-9</v>
      </c>
      <c r="G11990">
        <v>23793830</v>
      </c>
      <c r="H11990">
        <v>10444192</v>
      </c>
      <c r="I11990">
        <v>52252875</v>
      </c>
      <c r="J11990">
        <v>4</v>
      </c>
    </row>
    <row r="11991" spans="1:10" x14ac:dyDescent="0.25">
      <c r="A11991" t="s">
        <v>123</v>
      </c>
      <c r="B11991" s="1" t="str">
        <f>HYPERLINK("http://dsv.fi","dsv.fi")</f>
        <v>dsv.fi</v>
      </c>
      <c r="C11991" t="s">
        <v>445</v>
      </c>
      <c r="D11991" t="s">
        <v>823</v>
      </c>
      <c r="F11991">
        <v>5.4736345001117803E-9</v>
      </c>
      <c r="G11991">
        <v>21202546</v>
      </c>
      <c r="H11991">
        <v>10776689</v>
      </c>
      <c r="I11991">
        <v>39026334</v>
      </c>
      <c r="J11991">
        <v>2</v>
      </c>
    </row>
    <row r="11992" spans="1:10" x14ac:dyDescent="0.25">
      <c r="A11992" t="s">
        <v>123</v>
      </c>
      <c r="B11992" s="1" t="str">
        <f>HYPERLINK("http://termoline.fi","termoline.fi")</f>
        <v>termoline.fi</v>
      </c>
      <c r="C11992" t="s">
        <v>445</v>
      </c>
      <c r="D11992" t="s">
        <v>823</v>
      </c>
      <c r="J11992">
        <v>2</v>
      </c>
    </row>
    <row r="11993" spans="1:10" x14ac:dyDescent="0.25">
      <c r="A11993" t="s">
        <v>123</v>
      </c>
      <c r="B11993" s="1" t="str">
        <f>HYPERLINK("http://saima.it","saima.it")</f>
        <v>saima.it</v>
      </c>
      <c r="C11993" t="s">
        <v>459</v>
      </c>
      <c r="D11993" t="s">
        <v>835</v>
      </c>
      <c r="F11993">
        <v>5.0680041427425497E-9</v>
      </c>
      <c r="G11993">
        <v>27831964</v>
      </c>
      <c r="H11993">
        <v>12166517</v>
      </c>
      <c r="I11993">
        <v>24158411</v>
      </c>
      <c r="J11993">
        <v>4</v>
      </c>
    </row>
    <row r="11994" spans="1:10" x14ac:dyDescent="0.25">
      <c r="A11994" t="s">
        <v>123</v>
      </c>
      <c r="B11994" s="1" t="str">
        <f>HYPERLINK("http://upac.com.kw","upac.com.kw")</f>
        <v>upac.com.kw</v>
      </c>
      <c r="C11994" t="s">
        <v>464</v>
      </c>
      <c r="D11994" t="s">
        <v>840</v>
      </c>
      <c r="F11994">
        <v>8.2089495419960802E-9</v>
      </c>
      <c r="G11994">
        <v>9555752</v>
      </c>
      <c r="H11994">
        <v>12190250</v>
      </c>
      <c r="I11994">
        <v>23579805</v>
      </c>
      <c r="J11994">
        <v>6</v>
      </c>
    </row>
    <row r="11995" spans="1:10" x14ac:dyDescent="0.25">
      <c r="A11995" t="s">
        <v>124</v>
      </c>
      <c r="B11995" s="1" t="str">
        <f>HYPERLINK("http://daiichi-sankyo.at","daiichi-sankyo.at")</f>
        <v>daiichi-sankyo.at</v>
      </c>
      <c r="C11995" t="s">
        <v>419</v>
      </c>
      <c r="D11995" t="s">
        <v>801</v>
      </c>
      <c r="F11995">
        <v>2.1724550882330299E-8</v>
      </c>
      <c r="G11995">
        <v>2420560</v>
      </c>
      <c r="H11995">
        <v>12570740</v>
      </c>
      <c r="I11995">
        <v>16620964</v>
      </c>
      <c r="J11995">
        <v>4</v>
      </c>
    </row>
    <row r="11996" spans="1:10" x14ac:dyDescent="0.25">
      <c r="A11996" t="s">
        <v>124</v>
      </c>
      <c r="B11996" s="1" t="str">
        <f>HYPERLINK("http://daiichi-sankyo.be","daiichi-sankyo.be")</f>
        <v>daiichi-sankyo.be</v>
      </c>
      <c r="C11996" t="s">
        <v>421</v>
      </c>
      <c r="D11996" t="s">
        <v>803</v>
      </c>
      <c r="F11996">
        <v>2.4194086263782199E-8</v>
      </c>
      <c r="G11996">
        <v>2144128</v>
      </c>
      <c r="H11996">
        <v>12315577</v>
      </c>
      <c r="I11996">
        <v>20506016</v>
      </c>
      <c r="J11996">
        <v>4</v>
      </c>
    </row>
    <row r="11997" spans="1:10" x14ac:dyDescent="0.25">
      <c r="A11997" t="s">
        <v>124</v>
      </c>
      <c r="B11997" s="1" t="str">
        <f>HYPERLINK("http://daiichisankyo.com.br","daiichisankyo.com.br")</f>
        <v>daiichisankyo.com.br</v>
      </c>
      <c r="C11997" t="s">
        <v>425</v>
      </c>
      <c r="D11997" t="s">
        <v>806</v>
      </c>
      <c r="F11997">
        <v>1.5655349295036699E-8</v>
      </c>
      <c r="G11997">
        <v>3639745</v>
      </c>
      <c r="H11997">
        <v>12192676</v>
      </c>
      <c r="I11997">
        <v>23519366</v>
      </c>
      <c r="J11997">
        <v>3</v>
      </c>
    </row>
    <row r="11998" spans="1:10" x14ac:dyDescent="0.25">
      <c r="A11998" t="s">
        <v>124</v>
      </c>
      <c r="B11998" s="1" t="str">
        <f>HYPERLINK("http://dsbr.com.br","dsbr.com.br")</f>
        <v>dsbr.com.br</v>
      </c>
      <c r="C11998" t="s">
        <v>425</v>
      </c>
      <c r="D11998" t="s">
        <v>806</v>
      </c>
      <c r="J11998">
        <v>5</v>
      </c>
    </row>
    <row r="11999" spans="1:10" x14ac:dyDescent="0.25">
      <c r="A11999" t="s">
        <v>124</v>
      </c>
      <c r="B11999" s="1" t="str">
        <f>HYPERLINK("http://daiichi-sankyo.ch","daiichi-sankyo.ch")</f>
        <v>daiichi-sankyo.ch</v>
      </c>
      <c r="C11999" t="s">
        <v>429</v>
      </c>
      <c r="D11999" t="s">
        <v>810</v>
      </c>
      <c r="F11999">
        <v>2.88913168743137E-8</v>
      </c>
      <c r="G11999">
        <v>1781684</v>
      </c>
      <c r="H11999">
        <v>12392028</v>
      </c>
      <c r="I11999">
        <v>18996864</v>
      </c>
      <c r="J11999">
        <v>4</v>
      </c>
    </row>
    <row r="12000" spans="1:10" x14ac:dyDescent="0.25">
      <c r="A12000" t="s">
        <v>124</v>
      </c>
      <c r="B12000" s="1" t="str">
        <f>HYPERLINK("http://daiichisankyo.com.cn","daiichisankyo.com.cn")</f>
        <v>daiichisankyo.com.cn</v>
      </c>
      <c r="C12000" t="s">
        <v>431</v>
      </c>
      <c r="D12000" t="s">
        <v>812</v>
      </c>
      <c r="F12000">
        <v>1.45602658641854E-8</v>
      </c>
      <c r="G12000">
        <v>3991328</v>
      </c>
      <c r="H12000">
        <v>11162629</v>
      </c>
      <c r="I12000">
        <v>31604419</v>
      </c>
      <c r="J12000">
        <v>3</v>
      </c>
    </row>
    <row r="12001" spans="1:10" x14ac:dyDescent="0.25">
      <c r="A12001" t="s">
        <v>124</v>
      </c>
      <c r="B12001" s="1" t="str">
        <f>HYPERLINK("http://americanregent.com","americanregent.com")</f>
        <v>americanregent.com</v>
      </c>
      <c r="C12001" t="s">
        <v>433</v>
      </c>
      <c r="F12001">
        <v>6.9749965070880198E-8</v>
      </c>
      <c r="G12001">
        <v>607910</v>
      </c>
      <c r="H12001">
        <v>13279772</v>
      </c>
      <c r="I12001">
        <v>10916135</v>
      </c>
      <c r="J12001">
        <v>3</v>
      </c>
    </row>
    <row r="12002" spans="1:10" x14ac:dyDescent="0.25">
      <c r="A12002" t="s">
        <v>124</v>
      </c>
      <c r="B12002" s="1" t="str">
        <f>HYPERLINK("http://daiichisankyo.com","daiichisankyo.com")</f>
        <v>daiichisankyo.com</v>
      </c>
      <c r="C12002" t="s">
        <v>433</v>
      </c>
      <c r="E12002">
        <v>316525</v>
      </c>
      <c r="F12002">
        <v>3.15682227232045E-7</v>
      </c>
      <c r="G12002">
        <v>117776</v>
      </c>
      <c r="H12002">
        <v>15068207</v>
      </c>
      <c r="I12002">
        <v>411432</v>
      </c>
      <c r="J12002">
        <v>2</v>
      </c>
    </row>
    <row r="12003" spans="1:10" x14ac:dyDescent="0.25">
      <c r="A12003" t="s">
        <v>124</v>
      </c>
      <c r="B12003" s="1" t="str">
        <f>HYPERLINK("http://ds-sc.com","ds-sc.com")</f>
        <v>ds-sc.com</v>
      </c>
      <c r="C12003" t="s">
        <v>433</v>
      </c>
      <c r="E12003">
        <v>976391</v>
      </c>
      <c r="F12003">
        <v>5.0997739183838898E-9</v>
      </c>
      <c r="G12003">
        <v>27082493</v>
      </c>
      <c r="H12003">
        <v>10369374</v>
      </c>
      <c r="I12003">
        <v>54886665</v>
      </c>
      <c r="J12003">
        <v>4</v>
      </c>
    </row>
    <row r="12004" spans="1:10" x14ac:dyDescent="0.25">
      <c r="A12004" t="s">
        <v>124</v>
      </c>
      <c r="B12004" s="1" t="str">
        <f>HYPERLINK("http://dscongress.com","dscongress.com")</f>
        <v>dscongress.com</v>
      </c>
      <c r="C12004" t="s">
        <v>433</v>
      </c>
      <c r="F12004">
        <v>4.5321623453025903E-9</v>
      </c>
      <c r="G12004">
        <v>54821145</v>
      </c>
      <c r="H12004">
        <v>10510483</v>
      </c>
      <c r="I12004">
        <v>49599377</v>
      </c>
      <c r="J12004">
        <v>4</v>
      </c>
    </row>
    <row r="12005" spans="1:10" x14ac:dyDescent="0.25">
      <c r="A12005" t="s">
        <v>124</v>
      </c>
      <c r="B12005" s="1" t="str">
        <f>HYPERLINK("http://dsi.com","dsi.com")</f>
        <v>dsi.com</v>
      </c>
      <c r="C12005" t="s">
        <v>433</v>
      </c>
      <c r="E12005">
        <v>370718</v>
      </c>
      <c r="F12005">
        <v>1.46100027118528E-7</v>
      </c>
      <c r="G12005">
        <v>266446</v>
      </c>
      <c r="H12005">
        <v>14421099</v>
      </c>
      <c r="I12005">
        <v>1088212</v>
      </c>
      <c r="J12005">
        <v>3</v>
      </c>
    </row>
    <row r="12006" spans="1:10" x14ac:dyDescent="0.25">
      <c r="A12006" t="s">
        <v>124</v>
      </c>
      <c r="B12006" s="1" t="str">
        <f>HYPERLINK("http://dsi-aws.com","dsi-aws.com")</f>
        <v>dsi-aws.com</v>
      </c>
      <c r="C12006" t="s">
        <v>433</v>
      </c>
      <c r="J12006">
        <v>4</v>
      </c>
    </row>
    <row r="12007" spans="1:10" x14ac:dyDescent="0.25">
      <c r="A12007" t="s">
        <v>124</v>
      </c>
      <c r="B12007" s="1" t="str">
        <f>HYPERLINK("http://dsiaccesscentral.com","dsiaccesscentral.com")</f>
        <v>dsiaccesscentral.com</v>
      </c>
      <c r="C12007" t="s">
        <v>433</v>
      </c>
      <c r="F12007">
        <v>1.3877701698116499E-8</v>
      </c>
      <c r="G12007">
        <v>4249868</v>
      </c>
      <c r="H12007">
        <v>12435294</v>
      </c>
      <c r="I12007">
        <v>18210724</v>
      </c>
      <c r="J12007">
        <v>4</v>
      </c>
    </row>
    <row r="12008" spans="1:10" x14ac:dyDescent="0.25">
      <c r="A12008" t="s">
        <v>124</v>
      </c>
      <c r="B12008" s="1" t="str">
        <f>HYPERLINK("http://enhertuexchange.com","enhertuexchange.com")</f>
        <v>enhertuexchange.com</v>
      </c>
      <c r="C12008" t="s">
        <v>433</v>
      </c>
      <c r="J12008">
        <v>4</v>
      </c>
    </row>
    <row r="12009" spans="1:10" x14ac:dyDescent="0.25">
      <c r="A12009" t="s">
        <v>124</v>
      </c>
      <c r="B12009" s="1" t="str">
        <f>HYPERLINK("http://getironinformed.com","getironinformed.com")</f>
        <v>getironinformed.com</v>
      </c>
      <c r="C12009" t="s">
        <v>433</v>
      </c>
      <c r="F12009">
        <v>1.00145520797207E-8</v>
      </c>
      <c r="G12009">
        <v>6741270</v>
      </c>
      <c r="H12009">
        <v>13183728</v>
      </c>
      <c r="I12009">
        <v>11674181</v>
      </c>
      <c r="J12009">
        <v>4</v>
      </c>
    </row>
    <row r="12010" spans="1:10" x14ac:dyDescent="0.25">
      <c r="A12010" t="s">
        <v>124</v>
      </c>
      <c r="B12010" s="1" t="str">
        <f>HYPERLINK("http://honedaijoubu.com","honedaijoubu.com")</f>
        <v>honedaijoubu.com</v>
      </c>
      <c r="C12010" t="s">
        <v>433</v>
      </c>
      <c r="F12010">
        <v>6.5168426324568599E-9</v>
      </c>
      <c r="G12010">
        <v>14008255</v>
      </c>
      <c r="H12010">
        <v>10346296</v>
      </c>
      <c r="I12010">
        <v>56858111</v>
      </c>
      <c r="J12010">
        <v>2</v>
      </c>
    </row>
    <row r="12011" spans="1:10" x14ac:dyDescent="0.25">
      <c r="A12011" t="s">
        <v>124</v>
      </c>
      <c r="B12011" s="1" t="str">
        <f>HYPERLINK("http://isshogaiine.com","isshogaiine.com")</f>
        <v>isshogaiine.com</v>
      </c>
      <c r="C12011" t="s">
        <v>433</v>
      </c>
      <c r="F12011">
        <v>5.2528134618040097E-9</v>
      </c>
      <c r="G12011">
        <v>24215017</v>
      </c>
      <c r="H12011">
        <v>12535147</v>
      </c>
      <c r="I12011">
        <v>16985331</v>
      </c>
      <c r="J12011">
        <v>2</v>
      </c>
    </row>
    <row r="12012" spans="1:10" x14ac:dyDescent="0.25">
      <c r="A12012" t="s">
        <v>124</v>
      </c>
      <c r="B12012" s="1" t="str">
        <f>HYPERLINK("http://oshiete-shinbousaidou.com","oshiete-shinbousaidou.com")</f>
        <v>oshiete-shinbousaidou.com</v>
      </c>
      <c r="C12012" t="s">
        <v>433</v>
      </c>
      <c r="F12012">
        <v>6.3660815498702998E-9</v>
      </c>
      <c r="G12012">
        <v>14684245</v>
      </c>
      <c r="H12012">
        <v>12782843</v>
      </c>
      <c r="I12012">
        <v>14731994</v>
      </c>
      <c r="J12012">
        <v>2</v>
      </c>
    </row>
    <row r="12013" spans="1:10" x14ac:dyDescent="0.25">
      <c r="A12013" t="s">
        <v>124</v>
      </c>
      <c r="B12013" s="1" t="str">
        <f>HYPERLINK("http://daiichi-sankyo.de","daiichi-sankyo.de")</f>
        <v>daiichi-sankyo.de</v>
      </c>
      <c r="C12013" t="s">
        <v>436</v>
      </c>
      <c r="D12013" t="s">
        <v>815</v>
      </c>
      <c r="F12013">
        <v>5.5281930985094297E-8</v>
      </c>
      <c r="G12013">
        <v>812522</v>
      </c>
      <c r="H12013">
        <v>12665336</v>
      </c>
      <c r="I12013">
        <v>15660521</v>
      </c>
      <c r="J12013">
        <v>3</v>
      </c>
    </row>
    <row r="12014" spans="1:10" x14ac:dyDescent="0.25">
      <c r="A12014" t="s">
        <v>124</v>
      </c>
      <c r="B12014" s="1" t="str">
        <f>HYPERLINK("http://daiichi-sankyo.es","daiichi-sankyo.es")</f>
        <v>daiichi-sankyo.es</v>
      </c>
      <c r="C12014" t="s">
        <v>443</v>
      </c>
      <c r="D12014" t="s">
        <v>822</v>
      </c>
      <c r="F12014">
        <v>3.5133605101488198E-8</v>
      </c>
      <c r="G12014">
        <v>1479471</v>
      </c>
      <c r="H12014">
        <v>13966653</v>
      </c>
      <c r="I12014">
        <v>4087068</v>
      </c>
      <c r="J12014">
        <v>4</v>
      </c>
    </row>
    <row r="12015" spans="1:10" x14ac:dyDescent="0.25">
      <c r="A12015" t="s">
        <v>124</v>
      </c>
      <c r="B12015" s="1" t="str">
        <f>HYPERLINK("http://daiichi-sankyo.eu","daiichi-sankyo.eu")</f>
        <v>daiichi-sankyo.eu</v>
      </c>
      <c r="C12015" t="s">
        <v>444</v>
      </c>
      <c r="E12015">
        <v>823894</v>
      </c>
      <c r="F12015">
        <v>5.6168783406535301E-8</v>
      </c>
      <c r="G12015">
        <v>796976</v>
      </c>
      <c r="H12015">
        <v>13835016</v>
      </c>
      <c r="I12015">
        <v>6094904</v>
      </c>
      <c r="J12015">
        <v>4</v>
      </c>
    </row>
    <row r="12016" spans="1:10" x14ac:dyDescent="0.25">
      <c r="A12016" t="s">
        <v>124</v>
      </c>
      <c r="B12016" s="1" t="str">
        <f>HYPERLINK("http://close2her.fi","close2her.fi")</f>
        <v>close2her.fi</v>
      </c>
      <c r="C12016" t="s">
        <v>445</v>
      </c>
      <c r="D12016" t="s">
        <v>823</v>
      </c>
      <c r="J12016">
        <v>2</v>
      </c>
    </row>
    <row r="12017" spans="1:10" x14ac:dyDescent="0.25">
      <c r="A12017" t="s">
        <v>124</v>
      </c>
      <c r="B12017" s="1" t="str">
        <f>HYPERLINK("http://daiichi-sankyo.fi","daiichi-sankyo.fi")</f>
        <v>daiichi-sankyo.fi</v>
      </c>
      <c r="C12017" t="s">
        <v>445</v>
      </c>
      <c r="D12017" t="s">
        <v>823</v>
      </c>
      <c r="F12017">
        <v>5.0720074519809699E-9</v>
      </c>
      <c r="G12017">
        <v>27748602</v>
      </c>
      <c r="H12017">
        <v>10381301</v>
      </c>
      <c r="I12017">
        <v>54558207</v>
      </c>
      <c r="J12017">
        <v>2</v>
      </c>
    </row>
    <row r="12018" spans="1:10" x14ac:dyDescent="0.25">
      <c r="A12018" t="s">
        <v>124</v>
      </c>
      <c r="B12018" s="1" t="str">
        <f>HYPERLINK("http://datroway.fi","datroway.fi")</f>
        <v>datroway.fi</v>
      </c>
      <c r="C12018" t="s">
        <v>445</v>
      </c>
      <c r="D12018" t="s">
        <v>823</v>
      </c>
      <c r="J12018">
        <v>4</v>
      </c>
    </row>
    <row r="12019" spans="1:10" x14ac:dyDescent="0.25">
      <c r="A12019" t="s">
        <v>124</v>
      </c>
      <c r="B12019" s="1" t="str">
        <f>HYPERLINK("http://jemlynk.fi","jemlynk.fi")</f>
        <v>jemlynk.fi</v>
      </c>
      <c r="C12019" t="s">
        <v>445</v>
      </c>
      <c r="D12019" t="s">
        <v>823</v>
      </c>
      <c r="J12019">
        <v>4</v>
      </c>
    </row>
    <row r="12020" spans="1:10" x14ac:dyDescent="0.25">
      <c r="A12020" t="s">
        <v>124</v>
      </c>
      <c r="B12020" s="1" t="str">
        <f>HYPERLINK("http://nilemdo.fi","nilemdo.fi")</f>
        <v>nilemdo.fi</v>
      </c>
      <c r="C12020" t="s">
        <v>445</v>
      </c>
      <c r="D12020" t="s">
        <v>823</v>
      </c>
      <c r="J12020">
        <v>2</v>
      </c>
    </row>
    <row r="12021" spans="1:10" x14ac:dyDescent="0.25">
      <c r="A12021" t="s">
        <v>124</v>
      </c>
      <c r="B12021" s="1" t="str">
        <f>HYPERLINK("http://nilemdo-nustendi.fi","nilemdo-nustendi.fi")</f>
        <v>nilemdo-nustendi.fi</v>
      </c>
      <c r="C12021" t="s">
        <v>445</v>
      </c>
      <c r="D12021" t="s">
        <v>823</v>
      </c>
      <c r="J12021">
        <v>2</v>
      </c>
    </row>
    <row r="12022" spans="1:10" x14ac:dyDescent="0.25">
      <c r="A12022" t="s">
        <v>124</v>
      </c>
      <c r="B12022" s="1" t="str">
        <f>HYPERLINK("http://nustendi.fi","nustendi.fi")</f>
        <v>nustendi.fi</v>
      </c>
      <c r="C12022" t="s">
        <v>445</v>
      </c>
      <c r="D12022" t="s">
        <v>823</v>
      </c>
      <c r="J12022">
        <v>2</v>
      </c>
    </row>
    <row r="12023" spans="1:10" x14ac:dyDescent="0.25">
      <c r="A12023" t="s">
        <v>124</v>
      </c>
      <c r="B12023" s="1" t="str">
        <f>HYPERLINK("http://syoepaehoitoni.fi","syoepaehoitoni.fi")</f>
        <v>syoepaehoitoni.fi</v>
      </c>
      <c r="C12023" t="s">
        <v>445</v>
      </c>
      <c r="D12023" t="s">
        <v>823</v>
      </c>
      <c r="J12023">
        <v>2</v>
      </c>
    </row>
    <row r="12024" spans="1:10" x14ac:dyDescent="0.25">
      <c r="A12024" t="s">
        <v>124</v>
      </c>
      <c r="B12024" s="1" t="str">
        <f>HYPERLINK("http://daiichi-sankyo.fr","daiichi-sankyo.fr")</f>
        <v>daiichi-sankyo.fr</v>
      </c>
      <c r="C12024" t="s">
        <v>446</v>
      </c>
      <c r="D12024" t="s">
        <v>824</v>
      </c>
      <c r="F12024">
        <v>2.3381762682157101E-8</v>
      </c>
      <c r="G12024">
        <v>2230339</v>
      </c>
      <c r="H12024">
        <v>12328265</v>
      </c>
      <c r="I12024">
        <v>20239589</v>
      </c>
      <c r="J12024">
        <v>3</v>
      </c>
    </row>
    <row r="12025" spans="1:10" x14ac:dyDescent="0.25">
      <c r="A12025" t="s">
        <v>124</v>
      </c>
      <c r="B12025" s="1" t="str">
        <f>HYPERLINK("http://daiichisankyo.com.hk","daiichisankyo.com.hk")</f>
        <v>daiichisankyo.com.hk</v>
      </c>
      <c r="C12025" t="s">
        <v>450</v>
      </c>
      <c r="D12025" t="s">
        <v>827</v>
      </c>
      <c r="F12025">
        <v>1.3923497523617599E-8</v>
      </c>
      <c r="G12025">
        <v>4232031</v>
      </c>
      <c r="H12025">
        <v>11119504</v>
      </c>
      <c r="I12025">
        <v>32053097</v>
      </c>
      <c r="J12025">
        <v>3</v>
      </c>
    </row>
    <row r="12026" spans="1:10" x14ac:dyDescent="0.25">
      <c r="A12026" t="s">
        <v>124</v>
      </c>
      <c r="B12026" s="1" t="str">
        <f>HYPERLINK("http://daiichi-sankyo.ie","daiichi-sankyo.ie")</f>
        <v>daiichi-sankyo.ie</v>
      </c>
      <c r="C12026" t="s">
        <v>455</v>
      </c>
      <c r="D12026" t="s">
        <v>832</v>
      </c>
      <c r="F12026">
        <v>1.71995745839265E-8</v>
      </c>
      <c r="G12026">
        <v>3225567</v>
      </c>
      <c r="H12026">
        <v>11114959</v>
      </c>
      <c r="I12026">
        <v>32102099</v>
      </c>
      <c r="J12026">
        <v>4</v>
      </c>
    </row>
    <row r="12027" spans="1:10" x14ac:dyDescent="0.25">
      <c r="A12027" t="s">
        <v>124</v>
      </c>
      <c r="B12027" s="1" t="str">
        <f>HYPERLINK("http://cravit.info","cravit.info")</f>
        <v>cravit.info</v>
      </c>
      <c r="C12027" t="s">
        <v>458</v>
      </c>
      <c r="J12027">
        <v>2</v>
      </c>
    </row>
    <row r="12028" spans="1:10" x14ac:dyDescent="0.25">
      <c r="A12028" t="s">
        <v>124</v>
      </c>
      <c r="B12028" s="1" t="str">
        <f>HYPERLINK("http://gankotsuteni.info","gankotsuteni.info")</f>
        <v>gankotsuteni.info</v>
      </c>
      <c r="C12028" t="s">
        <v>458</v>
      </c>
      <c r="F12028">
        <v>4.5001197191770797E-9</v>
      </c>
      <c r="G12028">
        <v>58930547</v>
      </c>
      <c r="H12028">
        <v>9881535</v>
      </c>
      <c r="I12028">
        <v>61883795</v>
      </c>
      <c r="J12028">
        <v>2</v>
      </c>
    </row>
    <row r="12029" spans="1:10" x14ac:dyDescent="0.25">
      <c r="A12029" t="s">
        <v>124</v>
      </c>
      <c r="B12029" s="1" t="str">
        <f>HYPERLINK("http://influ-news.info","influ-news.info")</f>
        <v>influ-news.info</v>
      </c>
      <c r="C12029" t="s">
        <v>458</v>
      </c>
      <c r="F12029">
        <v>1.1100057443669399E-8</v>
      </c>
      <c r="G12029">
        <v>5785429</v>
      </c>
      <c r="H12029">
        <v>13314164</v>
      </c>
      <c r="I12029">
        <v>10764855</v>
      </c>
      <c r="J12029">
        <v>2</v>
      </c>
    </row>
    <row r="12030" spans="1:10" x14ac:dyDescent="0.25">
      <c r="A12030" t="s">
        <v>124</v>
      </c>
      <c r="B12030" s="1" t="str">
        <f>HYPERLINK("http://itb-dsc.info","itb-dsc.info")</f>
        <v>itb-dsc.info</v>
      </c>
      <c r="C12030" t="s">
        <v>458</v>
      </c>
      <c r="F12030">
        <v>1.2527614542738699E-8</v>
      </c>
      <c r="G12030">
        <v>4870901</v>
      </c>
      <c r="H12030">
        <v>10884014</v>
      </c>
      <c r="I12030">
        <v>36273497</v>
      </c>
      <c r="J12030">
        <v>2</v>
      </c>
    </row>
    <row r="12031" spans="1:10" x14ac:dyDescent="0.25">
      <c r="A12031" t="s">
        <v>124</v>
      </c>
      <c r="B12031" s="1" t="str">
        <f>HYPERLINK("http://pku-dsc.info","pku-dsc.info")</f>
        <v>pku-dsc.info</v>
      </c>
      <c r="C12031" t="s">
        <v>458</v>
      </c>
      <c r="F12031">
        <v>4.6059249529245402E-9</v>
      </c>
      <c r="G12031">
        <v>47159530</v>
      </c>
      <c r="H12031">
        <v>9874893</v>
      </c>
      <c r="I12031">
        <v>61931722</v>
      </c>
      <c r="J12031">
        <v>2</v>
      </c>
    </row>
    <row r="12032" spans="1:10" x14ac:dyDescent="0.25">
      <c r="A12032" t="s">
        <v>124</v>
      </c>
      <c r="B12032" s="1" t="str">
        <f>HYPERLINK("http://daiichi-sankyo.it","daiichi-sankyo.it")</f>
        <v>daiichi-sankyo.it</v>
      </c>
      <c r="C12032" t="s">
        <v>459</v>
      </c>
      <c r="D12032" t="s">
        <v>835</v>
      </c>
      <c r="F12032">
        <v>3.7353736566341502E-8</v>
      </c>
      <c r="G12032">
        <v>1386034</v>
      </c>
      <c r="H12032">
        <v>14301367</v>
      </c>
      <c r="I12032">
        <v>1355449</v>
      </c>
      <c r="J12032">
        <v>3</v>
      </c>
    </row>
    <row r="12033" spans="1:10" x14ac:dyDescent="0.25">
      <c r="A12033" t="s">
        <v>124</v>
      </c>
      <c r="B12033" s="1" t="str">
        <f>HYPERLINK("http://adalimumab.jp","adalimumab.jp")</f>
        <v>adalimumab.jp</v>
      </c>
      <c r="C12033" t="s">
        <v>461</v>
      </c>
      <c r="D12033" t="s">
        <v>837</v>
      </c>
      <c r="J12033">
        <v>2</v>
      </c>
    </row>
    <row r="12034" spans="1:10" x14ac:dyDescent="0.25">
      <c r="A12034" t="s">
        <v>124</v>
      </c>
      <c r="B12034" s="1" t="str">
        <f>HYPERLINK("http://daiichisankyo.co.jp","daiichisankyo.co.jp")</f>
        <v>daiichisankyo.co.jp</v>
      </c>
      <c r="C12034" t="s">
        <v>461</v>
      </c>
      <c r="D12034" t="s">
        <v>837</v>
      </c>
      <c r="E12034">
        <v>229211</v>
      </c>
      <c r="F12034">
        <v>2.62402693618435E-7</v>
      </c>
      <c r="G12034">
        <v>142527</v>
      </c>
      <c r="H12034">
        <v>17068998</v>
      </c>
      <c r="I12034">
        <v>71283</v>
      </c>
      <c r="J12034">
        <v>1</v>
      </c>
    </row>
    <row r="12035" spans="1:10" x14ac:dyDescent="0.25">
      <c r="A12035" t="s">
        <v>124</v>
      </c>
      <c r="B12035" s="1" t="str">
        <f>HYPERLINK("http://daiichisankyo-ep.co.jp","daiichisankyo-ep.co.jp")</f>
        <v>daiichisankyo-ep.co.jp</v>
      </c>
      <c r="C12035" t="s">
        <v>461</v>
      </c>
      <c r="D12035" t="s">
        <v>837</v>
      </c>
      <c r="F12035">
        <v>2.35281281617965E-8</v>
      </c>
      <c r="G12035">
        <v>2211611</v>
      </c>
      <c r="H12035">
        <v>12898434</v>
      </c>
      <c r="I12035">
        <v>13887581</v>
      </c>
      <c r="J12035">
        <v>3</v>
      </c>
    </row>
    <row r="12036" spans="1:10" x14ac:dyDescent="0.25">
      <c r="A12036" t="s">
        <v>124</v>
      </c>
      <c r="B12036" s="1" t="str">
        <f>HYPERLINK("http://daiichisankyo-rdn.co.jp","daiichisankyo-rdn.co.jp")</f>
        <v>daiichisankyo-rdn.co.jp</v>
      </c>
      <c r="C12036" t="s">
        <v>461</v>
      </c>
      <c r="D12036" t="s">
        <v>837</v>
      </c>
      <c r="F12036">
        <v>1.5414249074303201E-8</v>
      </c>
      <c r="G12036">
        <v>3709862</v>
      </c>
      <c r="H12036">
        <v>11337141</v>
      </c>
      <c r="I12036">
        <v>30433215</v>
      </c>
      <c r="J12036">
        <v>3</v>
      </c>
    </row>
    <row r="12037" spans="1:10" x14ac:dyDescent="0.25">
      <c r="A12037" t="s">
        <v>124</v>
      </c>
      <c r="B12037" s="1" t="str">
        <f>HYPERLINK("http://enhertu.jp","enhertu.jp")</f>
        <v>enhertu.jp</v>
      </c>
      <c r="C12037" t="s">
        <v>461</v>
      </c>
      <c r="D12037" t="s">
        <v>837</v>
      </c>
      <c r="F12037">
        <v>4.4526769766459797E-9</v>
      </c>
      <c r="G12037">
        <v>70548020</v>
      </c>
      <c r="H12037">
        <v>6786863</v>
      </c>
      <c r="I12037">
        <v>77203083</v>
      </c>
      <c r="J12037">
        <v>2</v>
      </c>
    </row>
    <row r="12038" spans="1:10" x14ac:dyDescent="0.25">
      <c r="A12038" t="s">
        <v>124</v>
      </c>
      <c r="B12038" s="1" t="str">
        <f>HYPERLINK("http://vimpat.jp","vimpat.jp")</f>
        <v>vimpat.jp</v>
      </c>
      <c r="C12038" t="s">
        <v>461</v>
      </c>
      <c r="D12038" t="s">
        <v>837</v>
      </c>
      <c r="J12038">
        <v>2</v>
      </c>
    </row>
    <row r="12039" spans="1:10" x14ac:dyDescent="0.25">
      <c r="A12039" t="s">
        <v>124</v>
      </c>
      <c r="B12039" s="1" t="str">
        <f>HYPERLINK("http://yescarta.jp","yescarta.jp")</f>
        <v>yescarta.jp</v>
      </c>
      <c r="C12039" t="s">
        <v>461</v>
      </c>
      <c r="D12039" t="s">
        <v>837</v>
      </c>
      <c r="F12039">
        <v>4.44380395335525E-9</v>
      </c>
      <c r="G12039">
        <v>85281508</v>
      </c>
      <c r="H12039">
        <v>0</v>
      </c>
      <c r="I12039">
        <v>86496920</v>
      </c>
      <c r="J12039">
        <v>2</v>
      </c>
    </row>
    <row r="12040" spans="1:10" x14ac:dyDescent="0.25">
      <c r="A12040" t="s">
        <v>124</v>
      </c>
      <c r="B12040" s="1" t="str">
        <f>HYPERLINK("http://daiichisankyo.co.kr","daiichisankyo.co.kr")</f>
        <v>daiichisankyo.co.kr</v>
      </c>
      <c r="C12040" t="s">
        <v>463</v>
      </c>
      <c r="D12040" t="s">
        <v>839</v>
      </c>
      <c r="F12040">
        <v>1.8497122102347E-8</v>
      </c>
      <c r="G12040">
        <v>2926171</v>
      </c>
      <c r="H12040">
        <v>14071930</v>
      </c>
      <c r="I12040">
        <v>3224775</v>
      </c>
      <c r="J12040">
        <v>2</v>
      </c>
    </row>
    <row r="12041" spans="1:10" x14ac:dyDescent="0.25">
      <c r="A12041" t="s">
        <v>124</v>
      </c>
      <c r="B12041" s="1" t="str">
        <f>HYPERLINK("http://daiichi-sankyo.nl","daiichi-sankyo.nl")</f>
        <v>daiichi-sankyo.nl</v>
      </c>
      <c r="C12041" t="s">
        <v>477</v>
      </c>
      <c r="D12041" t="s">
        <v>852</v>
      </c>
      <c r="F12041">
        <v>2.0725702342744001E-8</v>
      </c>
      <c r="G12041">
        <v>2553266</v>
      </c>
      <c r="H12041">
        <v>11320012</v>
      </c>
      <c r="I12041">
        <v>30506649</v>
      </c>
      <c r="J12041">
        <v>4</v>
      </c>
    </row>
    <row r="12042" spans="1:10" x14ac:dyDescent="0.25">
      <c r="A12042" t="s">
        <v>124</v>
      </c>
      <c r="B12042" s="1" t="str">
        <f>HYPERLINK("http://daiichi-sankyo.pt","daiichi-sankyo.pt")</f>
        <v>daiichi-sankyo.pt</v>
      </c>
      <c r="C12042" t="s">
        <v>488</v>
      </c>
      <c r="D12042" t="s">
        <v>862</v>
      </c>
      <c r="F12042">
        <v>1.6010190263245201E-8</v>
      </c>
      <c r="G12042">
        <v>3543491</v>
      </c>
      <c r="H12042">
        <v>13341444</v>
      </c>
      <c r="I12042">
        <v>10667487</v>
      </c>
      <c r="J12042">
        <v>4</v>
      </c>
    </row>
    <row r="12043" spans="1:10" x14ac:dyDescent="0.25">
      <c r="A12043" t="s">
        <v>124</v>
      </c>
      <c r="B12043" s="1" t="str">
        <f>HYPERLINK("http://daiichisankyo.co.th","daiichisankyo.co.th")</f>
        <v>daiichisankyo.co.th</v>
      </c>
      <c r="C12043" t="s">
        <v>500</v>
      </c>
      <c r="D12043" t="s">
        <v>874</v>
      </c>
      <c r="F12043">
        <v>1.3832691938147001E-8</v>
      </c>
      <c r="G12043">
        <v>4267504</v>
      </c>
      <c r="H12043">
        <v>13787346</v>
      </c>
      <c r="I12043">
        <v>6375293</v>
      </c>
      <c r="J12043">
        <v>2</v>
      </c>
    </row>
    <row r="12044" spans="1:10" x14ac:dyDescent="0.25">
      <c r="A12044" t="s">
        <v>124</v>
      </c>
      <c r="B12044" s="1" t="str">
        <f>HYPERLINK("http://daiichi-sankyo.com.tr","daiichi-sankyo.com.tr")</f>
        <v>daiichi-sankyo.com.tr</v>
      </c>
      <c r="C12044" t="s">
        <v>502</v>
      </c>
      <c r="D12044" t="s">
        <v>876</v>
      </c>
      <c r="F12044">
        <v>1.9077843728636399E-8</v>
      </c>
      <c r="G12044">
        <v>2821697</v>
      </c>
      <c r="H12044">
        <v>11245763</v>
      </c>
      <c r="I12044">
        <v>30927714</v>
      </c>
      <c r="J12044">
        <v>4</v>
      </c>
    </row>
    <row r="12045" spans="1:10" x14ac:dyDescent="0.25">
      <c r="A12045" t="s">
        <v>124</v>
      </c>
      <c r="B12045" s="1" t="str">
        <f>HYPERLINK("http://daiichisankyo.com.tw","daiichisankyo.com.tw")</f>
        <v>daiichisankyo.com.tw</v>
      </c>
      <c r="C12045" t="s">
        <v>504</v>
      </c>
      <c r="D12045" t="s">
        <v>878</v>
      </c>
      <c r="F12045">
        <v>1.5838844082418301E-8</v>
      </c>
      <c r="G12045">
        <v>3588847</v>
      </c>
      <c r="H12045">
        <v>12392810</v>
      </c>
      <c r="I12045">
        <v>18986903</v>
      </c>
      <c r="J12045">
        <v>3</v>
      </c>
    </row>
    <row r="12046" spans="1:10" x14ac:dyDescent="0.25">
      <c r="A12046" t="s">
        <v>124</v>
      </c>
      <c r="B12046" s="1" t="str">
        <f>HYPERLINK("http://daiichi-sankyo.co.uk","daiichi-sankyo.co.uk")</f>
        <v>daiichi-sankyo.co.uk</v>
      </c>
      <c r="C12046" t="s">
        <v>506</v>
      </c>
      <c r="D12046" t="s">
        <v>880</v>
      </c>
      <c r="F12046">
        <v>2.0601382717830399E-8</v>
      </c>
      <c r="G12046">
        <v>2570318</v>
      </c>
      <c r="H12046">
        <v>13115043</v>
      </c>
      <c r="I12046">
        <v>12015884</v>
      </c>
      <c r="J12046">
        <v>5</v>
      </c>
    </row>
    <row r="12047" spans="1:10" x14ac:dyDescent="0.25">
      <c r="A12047" t="s">
        <v>124</v>
      </c>
      <c r="B12047" s="1" t="str">
        <f>HYPERLINK("http://daiichisankyo.us","daiichisankyo.us")</f>
        <v>daiichisankyo.us</v>
      </c>
      <c r="C12047" t="s">
        <v>522</v>
      </c>
      <c r="D12047" t="s">
        <v>891</v>
      </c>
      <c r="E12047">
        <v>455243</v>
      </c>
      <c r="F12047">
        <v>5.50440421929817E-8</v>
      </c>
      <c r="G12047">
        <v>816870</v>
      </c>
      <c r="H12047">
        <v>13424195</v>
      </c>
      <c r="I12047">
        <v>10296789</v>
      </c>
      <c r="J12047">
        <v>3</v>
      </c>
    </row>
    <row r="12048" spans="1:10" x14ac:dyDescent="0.25">
      <c r="A12048" t="s">
        <v>124</v>
      </c>
      <c r="B12048" s="1" t="str">
        <f>HYPERLINK("http://daiichisankyo.com.vn","daiichisankyo.com.vn")</f>
        <v>daiichisankyo.com.vn</v>
      </c>
      <c r="C12048" t="s">
        <v>509</v>
      </c>
      <c r="D12048" t="s">
        <v>883</v>
      </c>
      <c r="F12048">
        <v>8.2025200307090305E-9</v>
      </c>
      <c r="G12048">
        <v>9566946</v>
      </c>
      <c r="H12048">
        <v>11027874</v>
      </c>
      <c r="I12048">
        <v>33135002</v>
      </c>
      <c r="J12048">
        <v>2</v>
      </c>
    </row>
    <row r="12049" spans="1:10" x14ac:dyDescent="0.25">
      <c r="A12049" t="s">
        <v>125</v>
      </c>
      <c r="B12049" s="1" t="str">
        <f>HYPERLINK("http://daikin.al","daikin.al")</f>
        <v>daikin.al</v>
      </c>
      <c r="C12049" t="s">
        <v>588</v>
      </c>
      <c r="D12049" t="s">
        <v>924</v>
      </c>
      <c r="F12049">
        <v>2.28805773453956E-8</v>
      </c>
      <c r="G12049">
        <v>2285016</v>
      </c>
      <c r="H12049">
        <v>12141298</v>
      </c>
      <c r="I12049">
        <v>24851998</v>
      </c>
      <c r="J12049">
        <v>3</v>
      </c>
    </row>
    <row r="12050" spans="1:10" x14ac:dyDescent="0.25">
      <c r="A12050" t="s">
        <v>125</v>
      </c>
      <c r="B12050" s="1" t="str">
        <f>HYPERLINK("http://daikin.am","daikin.am")</f>
        <v>daikin.am</v>
      </c>
      <c r="C12050" t="s">
        <v>565</v>
      </c>
      <c r="D12050" t="s">
        <v>913</v>
      </c>
      <c r="F12050">
        <v>1.9688231920330101E-8</v>
      </c>
      <c r="G12050">
        <v>2711038</v>
      </c>
      <c r="H12050">
        <v>12218020</v>
      </c>
      <c r="I12050">
        <v>22831446</v>
      </c>
      <c r="J12050">
        <v>3</v>
      </c>
    </row>
    <row r="12051" spans="1:10" x14ac:dyDescent="0.25">
      <c r="A12051" t="s">
        <v>125</v>
      </c>
      <c r="B12051" s="1" t="str">
        <f>HYPERLINK("http://aht.at","aht.at")</f>
        <v>aht.at</v>
      </c>
      <c r="C12051" t="s">
        <v>419</v>
      </c>
      <c r="D12051" t="s">
        <v>801</v>
      </c>
      <c r="F12051">
        <v>5.5966572396288001E-8</v>
      </c>
      <c r="G12051">
        <v>800420</v>
      </c>
      <c r="H12051">
        <v>12762212</v>
      </c>
      <c r="I12051">
        <v>14938493</v>
      </c>
      <c r="J12051">
        <v>3</v>
      </c>
    </row>
    <row r="12052" spans="1:10" x14ac:dyDescent="0.25">
      <c r="A12052" t="s">
        <v>125</v>
      </c>
      <c r="B12052" s="1" t="str">
        <f>HYPERLINK("http://daikin.at","daikin.at")</f>
        <v>daikin.at</v>
      </c>
      <c r="C12052" t="s">
        <v>419</v>
      </c>
      <c r="D12052" t="s">
        <v>801</v>
      </c>
      <c r="F12052">
        <v>8.8834123533345898E-8</v>
      </c>
      <c r="G12052">
        <v>460405</v>
      </c>
      <c r="H12052">
        <v>13399347</v>
      </c>
      <c r="I12052">
        <v>10369471</v>
      </c>
      <c r="J12052">
        <v>3</v>
      </c>
    </row>
    <row r="12053" spans="1:10" x14ac:dyDescent="0.25">
      <c r="A12053" t="s">
        <v>125</v>
      </c>
      <c r="B12053" s="1" t="str">
        <f>HYPERLINK("http://daikin.com.au","daikin.com.au")</f>
        <v>daikin.com.au</v>
      </c>
      <c r="C12053" t="s">
        <v>420</v>
      </c>
      <c r="D12053" t="s">
        <v>802</v>
      </c>
      <c r="E12053">
        <v>334801</v>
      </c>
      <c r="F12053">
        <v>3.8132315963208199E-8</v>
      </c>
      <c r="G12053">
        <v>1357419</v>
      </c>
      <c r="H12053">
        <v>13114581</v>
      </c>
      <c r="I12053">
        <v>12019072</v>
      </c>
      <c r="J12053">
        <v>3</v>
      </c>
    </row>
    <row r="12054" spans="1:10" x14ac:dyDescent="0.25">
      <c r="A12054" t="s">
        <v>125</v>
      </c>
      <c r="B12054" s="1" t="str">
        <f>HYPERLINK("http://daikin.az","daikin.az")</f>
        <v>daikin.az</v>
      </c>
      <c r="C12054" t="s">
        <v>561</v>
      </c>
      <c r="D12054" t="s">
        <v>911</v>
      </c>
      <c r="F12054">
        <v>1.1298948064772E-8</v>
      </c>
      <c r="G12054">
        <v>5643320</v>
      </c>
      <c r="H12054">
        <v>12097129</v>
      </c>
      <c r="I12054">
        <v>26050238</v>
      </c>
      <c r="J12054">
        <v>4</v>
      </c>
    </row>
    <row r="12055" spans="1:10" x14ac:dyDescent="0.25">
      <c r="A12055" t="s">
        <v>125</v>
      </c>
      <c r="B12055" s="1" t="str">
        <f>HYPERLINK("http://daikin.ba","daikin.ba")</f>
        <v>daikin.ba</v>
      </c>
      <c r="C12055" t="s">
        <v>526</v>
      </c>
      <c r="D12055" t="s">
        <v>893</v>
      </c>
      <c r="F12055">
        <v>2.2025837585178799E-8</v>
      </c>
      <c r="G12055">
        <v>2383091</v>
      </c>
      <c r="H12055">
        <v>12162134</v>
      </c>
      <c r="I12055">
        <v>24303203</v>
      </c>
      <c r="J12055">
        <v>3</v>
      </c>
    </row>
    <row r="12056" spans="1:10" x14ac:dyDescent="0.25">
      <c r="A12056" t="s">
        <v>125</v>
      </c>
      <c r="B12056" s="1" t="str">
        <f>HYPERLINK("http://daikin.be","daikin.be")</f>
        <v>daikin.be</v>
      </c>
      <c r="C12056" t="s">
        <v>421</v>
      </c>
      <c r="D12056" t="s">
        <v>803</v>
      </c>
      <c r="E12056">
        <v>573281</v>
      </c>
      <c r="F12056">
        <v>1.6956222982742501E-7</v>
      </c>
      <c r="G12056">
        <v>228801</v>
      </c>
      <c r="H12056">
        <v>13962332</v>
      </c>
      <c r="I12056">
        <v>4102527</v>
      </c>
      <c r="J12056">
        <v>3</v>
      </c>
    </row>
    <row r="12057" spans="1:10" x14ac:dyDescent="0.25">
      <c r="A12057" t="s">
        <v>125</v>
      </c>
      <c r="B12057" s="1" t="str">
        <f>HYPERLINK("http://instantjobs.be","instantjobs.be")</f>
        <v>instantjobs.be</v>
      </c>
      <c r="C12057" t="s">
        <v>421</v>
      </c>
      <c r="D12057" t="s">
        <v>803</v>
      </c>
      <c r="F12057">
        <v>4.44380395335525E-9</v>
      </c>
      <c r="G12057">
        <v>80019753</v>
      </c>
      <c r="H12057">
        <v>0</v>
      </c>
      <c r="I12057">
        <v>80037386</v>
      </c>
      <c r="J12057">
        <v>3</v>
      </c>
    </row>
    <row r="12058" spans="1:10" x14ac:dyDescent="0.25">
      <c r="A12058" t="s">
        <v>125</v>
      </c>
      <c r="B12058" s="1" t="str">
        <f>HYPERLINK("http://daikin.bg","daikin.bg")</f>
        <v>daikin.bg</v>
      </c>
      <c r="C12058" t="s">
        <v>422</v>
      </c>
      <c r="D12058" t="s">
        <v>804</v>
      </c>
      <c r="F12058">
        <v>3.8658550247304998E-8</v>
      </c>
      <c r="G12058">
        <v>1333747</v>
      </c>
      <c r="H12058">
        <v>14072563</v>
      </c>
      <c r="I12058">
        <v>3073103</v>
      </c>
      <c r="J12058">
        <v>3</v>
      </c>
    </row>
    <row r="12059" spans="1:10" x14ac:dyDescent="0.25">
      <c r="A12059" t="s">
        <v>125</v>
      </c>
      <c r="B12059" s="1" t="str">
        <f>HYPERLINK("http://daikin.com.br","daikin.com.br")</f>
        <v>daikin.com.br</v>
      </c>
      <c r="C12059" t="s">
        <v>425</v>
      </c>
      <c r="D12059" t="s">
        <v>806</v>
      </c>
      <c r="F12059">
        <v>1.08705925140889E-8</v>
      </c>
      <c r="G12059">
        <v>5965091</v>
      </c>
      <c r="H12059">
        <v>12375963</v>
      </c>
      <c r="I12059">
        <v>19294563</v>
      </c>
      <c r="J12059">
        <v>3</v>
      </c>
    </row>
    <row r="12060" spans="1:10" x14ac:dyDescent="0.25">
      <c r="A12060" t="s">
        <v>125</v>
      </c>
      <c r="B12060" s="1" t="str">
        <f>HYPERLINK("http://daikin.cc","daikin.cc")</f>
        <v>daikin.cc</v>
      </c>
      <c r="C12060" t="s">
        <v>569</v>
      </c>
      <c r="D12060" t="s">
        <v>916</v>
      </c>
      <c r="F12060">
        <v>2.459931752694E-8</v>
      </c>
      <c r="G12060">
        <v>2105465</v>
      </c>
      <c r="H12060">
        <v>12288332</v>
      </c>
      <c r="I12060">
        <v>21147989</v>
      </c>
      <c r="J12060">
        <v>3</v>
      </c>
    </row>
    <row r="12061" spans="1:10" x14ac:dyDescent="0.25">
      <c r="A12061" t="s">
        <v>125</v>
      </c>
      <c r="B12061" s="1" t="str">
        <f>HYPERLINK("http://daikin.ch","daikin.ch")</f>
        <v>daikin.ch</v>
      </c>
      <c r="C12061" t="s">
        <v>429</v>
      </c>
      <c r="D12061" t="s">
        <v>810</v>
      </c>
      <c r="F12061">
        <v>3.2075786371310101E-8</v>
      </c>
      <c r="G12061">
        <v>1611878</v>
      </c>
      <c r="H12061">
        <v>13850187</v>
      </c>
      <c r="I12061">
        <v>6053613</v>
      </c>
      <c r="J12061">
        <v>3</v>
      </c>
    </row>
    <row r="12062" spans="1:10" x14ac:dyDescent="0.25">
      <c r="A12062" t="s">
        <v>125</v>
      </c>
      <c r="B12062" s="1" t="str">
        <f>HYPERLINK("http://aafasia.com","aafasia.com")</f>
        <v>aafasia.com</v>
      </c>
      <c r="C12062" t="s">
        <v>433</v>
      </c>
      <c r="F12062">
        <v>1.3615051426665201E-8</v>
      </c>
      <c r="G12062">
        <v>4355642</v>
      </c>
      <c r="H12062">
        <v>12367801</v>
      </c>
      <c r="I12062">
        <v>19451522</v>
      </c>
      <c r="J12062">
        <v>3</v>
      </c>
    </row>
    <row r="12063" spans="1:10" x14ac:dyDescent="0.25">
      <c r="A12063" t="s">
        <v>125</v>
      </c>
      <c r="B12063" s="1" t="str">
        <f>HYPERLINK("http://aafintl.com","aafintl.com")</f>
        <v>aafintl.com</v>
      </c>
      <c r="C12063" t="s">
        <v>433</v>
      </c>
      <c r="E12063">
        <v>417303</v>
      </c>
      <c r="F12063">
        <v>1.0181801560992299E-7</v>
      </c>
      <c r="G12063">
        <v>394668</v>
      </c>
      <c r="H12063">
        <v>13401212</v>
      </c>
      <c r="I12063">
        <v>10365772</v>
      </c>
      <c r="J12063">
        <v>3</v>
      </c>
    </row>
    <row r="12064" spans="1:10" x14ac:dyDescent="0.25">
      <c r="A12064" t="s">
        <v>125</v>
      </c>
      <c r="B12064" s="1" t="str">
        <f>HYPERLINK("http://aaflatinoamerica.com","aaflatinoamerica.com")</f>
        <v>aaflatinoamerica.com</v>
      </c>
      <c r="C12064" t="s">
        <v>433</v>
      </c>
      <c r="F12064">
        <v>4.5551798866333002E-9</v>
      </c>
      <c r="G12064">
        <v>51640849</v>
      </c>
      <c r="H12064">
        <v>8148583.5</v>
      </c>
      <c r="I12064">
        <v>74926884</v>
      </c>
      <c r="J12064">
        <v>5</v>
      </c>
    </row>
    <row r="12065" spans="1:10" x14ac:dyDescent="0.25">
      <c r="A12065" t="s">
        <v>125</v>
      </c>
      <c r="B12065" s="1" t="str">
        <f>HYPERLINK("http://bringingcleanairtolife.com","bringingcleanairtolife.com")</f>
        <v>bringingcleanairtolife.com</v>
      </c>
      <c r="C12065" t="s">
        <v>433</v>
      </c>
      <c r="F12065">
        <v>6.9155845095420499E-9</v>
      </c>
      <c r="G12065">
        <v>12572233</v>
      </c>
      <c r="H12065">
        <v>10405306</v>
      </c>
      <c r="I12065">
        <v>54121769</v>
      </c>
      <c r="J12065">
        <v>6</v>
      </c>
    </row>
    <row r="12066" spans="1:10" x14ac:dyDescent="0.25">
      <c r="A12066" t="s">
        <v>125</v>
      </c>
      <c r="B12066" s="1" t="str">
        <f>HYPERLINK("http://daikin.com","daikin.com")</f>
        <v>daikin.com</v>
      </c>
      <c r="C12066" t="s">
        <v>433</v>
      </c>
      <c r="E12066">
        <v>117998</v>
      </c>
      <c r="F12066">
        <v>3.8597243325690101E-7</v>
      </c>
      <c r="G12066">
        <v>97050</v>
      </c>
      <c r="H12066">
        <v>15376486</v>
      </c>
      <c r="I12066">
        <v>381357</v>
      </c>
      <c r="J12066">
        <v>2</v>
      </c>
    </row>
    <row r="12067" spans="1:10" x14ac:dyDescent="0.25">
      <c r="A12067" t="s">
        <v>125</v>
      </c>
      <c r="B12067" s="1" t="str">
        <f>HYPERLINK("http://daikin-america.com","daikin-america.com")</f>
        <v>daikin-america.com</v>
      </c>
      <c r="C12067" t="s">
        <v>433</v>
      </c>
      <c r="F12067">
        <v>2.2112097830093298E-8</v>
      </c>
      <c r="G12067">
        <v>2372995</v>
      </c>
      <c r="H12067">
        <v>14380536</v>
      </c>
      <c r="I12067">
        <v>1194605</v>
      </c>
      <c r="J12067">
        <v>3</v>
      </c>
    </row>
    <row r="12068" spans="1:10" x14ac:dyDescent="0.25">
      <c r="A12068" t="s">
        <v>125</v>
      </c>
      <c r="B12068" s="1" t="str">
        <f>HYPERLINK("http://daikinaircon.com","daikinaircon.com")</f>
        <v>daikinaircon.com</v>
      </c>
      <c r="C12068" t="s">
        <v>433</v>
      </c>
      <c r="E12068">
        <v>228945</v>
      </c>
      <c r="F12068">
        <v>2.6621635503044599E-7</v>
      </c>
      <c r="G12068">
        <v>140022</v>
      </c>
      <c r="H12068">
        <v>14884463</v>
      </c>
      <c r="I12068">
        <v>470303</v>
      </c>
      <c r="J12068">
        <v>2</v>
      </c>
    </row>
    <row r="12069" spans="1:10" x14ac:dyDescent="0.25">
      <c r="A12069" t="s">
        <v>125</v>
      </c>
      <c r="B12069" s="1" t="str">
        <f>HYPERLINK("http://daikinapplied.com","daikinapplied.com")</f>
        <v>daikinapplied.com</v>
      </c>
      <c r="C12069" t="s">
        <v>433</v>
      </c>
      <c r="E12069">
        <v>225172</v>
      </c>
      <c r="F12069">
        <v>1.1810284645522401E-7</v>
      </c>
      <c r="G12069">
        <v>335545</v>
      </c>
      <c r="H12069">
        <v>14745661</v>
      </c>
      <c r="I12069">
        <v>565355</v>
      </c>
      <c r="J12069">
        <v>4</v>
      </c>
    </row>
    <row r="12070" spans="1:10" x14ac:dyDescent="0.25">
      <c r="A12070" t="s">
        <v>125</v>
      </c>
      <c r="B12070" s="1" t="str">
        <f>HYPERLINK("http://daikincc.com","daikincc.com")</f>
        <v>daikincc.com</v>
      </c>
      <c r="C12070" t="s">
        <v>433</v>
      </c>
      <c r="E12070">
        <v>706516</v>
      </c>
      <c r="F12070">
        <v>8.1010675402769496E-8</v>
      </c>
      <c r="G12070">
        <v>515335</v>
      </c>
      <c r="H12070">
        <v>13361711</v>
      </c>
      <c r="I12070">
        <v>10508732</v>
      </c>
      <c r="J12070">
        <v>2</v>
      </c>
    </row>
    <row r="12071" spans="1:10" x14ac:dyDescent="0.25">
      <c r="A12071" t="s">
        <v>125</v>
      </c>
      <c r="B12071" s="1" t="str">
        <f>HYPERLINK("http://daikincomfort.com","daikincomfort.com")</f>
        <v>daikincomfort.com</v>
      </c>
      <c r="C12071" t="s">
        <v>433</v>
      </c>
      <c r="E12071">
        <v>257186</v>
      </c>
      <c r="F12071">
        <v>2.6184523480054E-7</v>
      </c>
      <c r="G12071">
        <v>142827</v>
      </c>
      <c r="H12071">
        <v>14534845</v>
      </c>
      <c r="I12071">
        <v>781507</v>
      </c>
      <c r="J12071">
        <v>6</v>
      </c>
    </row>
    <row r="12072" spans="1:10" x14ac:dyDescent="0.25">
      <c r="A12072" t="s">
        <v>125</v>
      </c>
      <c r="B12072" s="1" t="str">
        <f>HYPERLINK("http://daikineurope.com","daikineurope.com")</f>
        <v>daikineurope.com</v>
      </c>
      <c r="C12072" t="s">
        <v>433</v>
      </c>
      <c r="F12072">
        <v>9.4455916862069101E-8</v>
      </c>
      <c r="G12072">
        <v>429545</v>
      </c>
      <c r="H12072">
        <v>16755009</v>
      </c>
      <c r="I12072">
        <v>241189</v>
      </c>
      <c r="J12072">
        <v>2</v>
      </c>
    </row>
    <row r="12073" spans="1:10" x14ac:dyDescent="0.25">
      <c r="A12073" t="s">
        <v>125</v>
      </c>
      <c r="B12073" s="1" t="str">
        <f>HYPERLINK("http://daikinindia.com","daikinindia.com")</f>
        <v>daikinindia.com</v>
      </c>
      <c r="C12073" t="s">
        <v>433</v>
      </c>
      <c r="E12073">
        <v>665166</v>
      </c>
      <c r="F12073">
        <v>4.4536403075578297E-8</v>
      </c>
      <c r="G12073">
        <v>1063926</v>
      </c>
      <c r="H12073">
        <v>14432447</v>
      </c>
      <c r="I12073">
        <v>1072037</v>
      </c>
      <c r="J12073">
        <v>3</v>
      </c>
    </row>
    <row r="12074" spans="1:10" x14ac:dyDescent="0.25">
      <c r="A12074" t="s">
        <v>125</v>
      </c>
      <c r="B12074" s="1" t="str">
        <f>HYPERLINK("http://daikinmalaysia.com","daikinmalaysia.com")</f>
        <v>daikinmalaysia.com</v>
      </c>
      <c r="C12074" t="s">
        <v>433</v>
      </c>
      <c r="F12074">
        <v>1.3786432361120599E-8</v>
      </c>
      <c r="G12074">
        <v>4286983</v>
      </c>
      <c r="H12074">
        <v>12447381</v>
      </c>
      <c r="I12074">
        <v>18059393</v>
      </c>
      <c r="J12074">
        <v>6</v>
      </c>
    </row>
    <row r="12075" spans="1:10" x14ac:dyDescent="0.25">
      <c r="A12075" t="s">
        <v>125</v>
      </c>
      <c r="B12075" s="1" t="str">
        <f>HYPERLINK("http://daikinthai.com","daikinthai.com")</f>
        <v>daikinthai.com</v>
      </c>
      <c r="C12075" t="s">
        <v>433</v>
      </c>
      <c r="E12075">
        <v>971171</v>
      </c>
      <c r="F12075">
        <v>8.2503801839261898E-9</v>
      </c>
      <c r="G12075">
        <v>9376689</v>
      </c>
      <c r="H12075">
        <v>13564766</v>
      </c>
      <c r="I12075">
        <v>9838236</v>
      </c>
      <c r="J12075">
        <v>3</v>
      </c>
    </row>
    <row r="12076" spans="1:10" x14ac:dyDescent="0.25">
      <c r="A12076" t="s">
        <v>125</v>
      </c>
      <c r="B12076" s="1" t="str">
        <f>HYPERLINK("http://daikinturkiye.com","daikinturkiye.com")</f>
        <v>daikinturkiye.com</v>
      </c>
      <c r="C12076" t="s">
        <v>433</v>
      </c>
      <c r="F12076">
        <v>1.6646975466973398E-8</v>
      </c>
      <c r="G12076">
        <v>3377597</v>
      </c>
      <c r="H12076">
        <v>13056240</v>
      </c>
      <c r="I12076">
        <v>12561181</v>
      </c>
      <c r="J12076">
        <v>4</v>
      </c>
    </row>
    <row r="12077" spans="1:10" x14ac:dyDescent="0.25">
      <c r="A12077" t="s">
        <v>125</v>
      </c>
      <c r="B12077" s="1" t="str">
        <f>HYPERLINK("http://duplomatic.com","duplomatic.com")</f>
        <v>duplomatic.com</v>
      </c>
      <c r="C12077" t="s">
        <v>433</v>
      </c>
      <c r="F12077">
        <v>4.6628823844789898E-8</v>
      </c>
      <c r="G12077">
        <v>1002428</v>
      </c>
      <c r="H12077">
        <v>12406856</v>
      </c>
      <c r="I12077">
        <v>18659196</v>
      </c>
      <c r="J12077">
        <v>3</v>
      </c>
    </row>
    <row r="12078" spans="1:10" x14ac:dyDescent="0.25">
      <c r="A12078" t="s">
        <v>125</v>
      </c>
      <c r="B12078" s="1" t="str">
        <f>HYPERLINK("http://goodmanmfg.com","goodmanmfg.com")</f>
        <v>goodmanmfg.com</v>
      </c>
      <c r="C12078" t="s">
        <v>433</v>
      </c>
      <c r="E12078">
        <v>75830</v>
      </c>
      <c r="F12078">
        <v>5.2394611538624699E-7</v>
      </c>
      <c r="G12078">
        <v>73374</v>
      </c>
      <c r="H12078">
        <v>14693162</v>
      </c>
      <c r="I12078">
        <v>600808</v>
      </c>
      <c r="J12078">
        <v>3</v>
      </c>
    </row>
    <row r="12079" spans="1:10" x14ac:dyDescent="0.25">
      <c r="A12079" t="s">
        <v>125</v>
      </c>
      <c r="B12079" s="1" t="str">
        <f>HYPERLINK("http://hydreco.com","hydreco.com")</f>
        <v>hydreco.com</v>
      </c>
      <c r="C12079" t="s">
        <v>433</v>
      </c>
      <c r="F12079">
        <v>1.6358825836675701E-8</v>
      </c>
      <c r="G12079">
        <v>3456537</v>
      </c>
      <c r="H12079">
        <v>13257395</v>
      </c>
      <c r="I12079">
        <v>11051018</v>
      </c>
      <c r="J12079">
        <v>6</v>
      </c>
    </row>
    <row r="12080" spans="1:10" x14ac:dyDescent="0.25">
      <c r="A12080" t="s">
        <v>125</v>
      </c>
      <c r="B12080" s="1" t="str">
        <f>HYPERLINK("http://immixtech.com","immixtech.com")</f>
        <v>immixtech.com</v>
      </c>
      <c r="C12080" t="s">
        <v>433</v>
      </c>
      <c r="F12080">
        <v>4.5912999043301797E-9</v>
      </c>
      <c r="G12080">
        <v>48298573</v>
      </c>
      <c r="H12080">
        <v>11147057</v>
      </c>
      <c r="I12080">
        <v>31766953</v>
      </c>
      <c r="J12080">
        <v>3</v>
      </c>
    </row>
    <row r="12081" spans="1:10" x14ac:dyDescent="0.25">
      <c r="A12081" t="s">
        <v>125</v>
      </c>
      <c r="B12081" s="1" t="str">
        <f>HYPERLINK("http://jehall.com","jehall.com")</f>
        <v>jehall.com</v>
      </c>
      <c r="C12081" t="s">
        <v>433</v>
      </c>
      <c r="F12081">
        <v>1.73720272777027E-8</v>
      </c>
      <c r="G12081">
        <v>3181774</v>
      </c>
      <c r="H12081">
        <v>13815011</v>
      </c>
      <c r="I12081">
        <v>6171675</v>
      </c>
      <c r="J12081">
        <v>5</v>
      </c>
    </row>
    <row r="12082" spans="1:10" x14ac:dyDescent="0.25">
      <c r="A12082" t="s">
        <v>125</v>
      </c>
      <c r="B12082" s="1" t="str">
        <f>HYPERLINK("http://zanotti.com","zanotti.com")</f>
        <v>zanotti.com</v>
      </c>
      <c r="C12082" t="s">
        <v>433</v>
      </c>
      <c r="F12082">
        <v>4.69482415939729E-8</v>
      </c>
      <c r="G12082">
        <v>994351</v>
      </c>
      <c r="H12082">
        <v>12648298</v>
      </c>
      <c r="I12082">
        <v>15812529</v>
      </c>
      <c r="J12082">
        <v>4</v>
      </c>
    </row>
    <row r="12083" spans="1:10" x14ac:dyDescent="0.25">
      <c r="A12083" t="s">
        <v>125</v>
      </c>
      <c r="B12083" s="1" t="str">
        <f>HYPERLINK("http://daikin.cy","daikin.cy")</f>
        <v>daikin.cy</v>
      </c>
      <c r="C12083" t="s">
        <v>610</v>
      </c>
      <c r="D12083" t="s">
        <v>937</v>
      </c>
      <c r="F12083">
        <v>1.6444869968229099E-8</v>
      </c>
      <c r="G12083">
        <v>3427676</v>
      </c>
      <c r="H12083">
        <v>12123227</v>
      </c>
      <c r="I12083">
        <v>25323911</v>
      </c>
      <c r="J12083">
        <v>3</v>
      </c>
    </row>
    <row r="12084" spans="1:10" x14ac:dyDescent="0.25">
      <c r="A12084" t="s">
        <v>125</v>
      </c>
      <c r="B12084" s="1" t="str">
        <f>HYPERLINK("http://daikin.cz","daikin.cz")</f>
        <v>daikin.cz</v>
      </c>
      <c r="C12084" t="s">
        <v>435</v>
      </c>
      <c r="D12084" t="s">
        <v>814</v>
      </c>
      <c r="F12084">
        <v>8.1243370016010405E-8</v>
      </c>
      <c r="G12084">
        <v>513793</v>
      </c>
      <c r="H12084">
        <v>13114276</v>
      </c>
      <c r="I12084">
        <v>12020315</v>
      </c>
      <c r="J12084">
        <v>3</v>
      </c>
    </row>
    <row r="12085" spans="1:10" x14ac:dyDescent="0.25">
      <c r="A12085" t="s">
        <v>125</v>
      </c>
      <c r="B12085" s="1" t="str">
        <f>HYPERLINK("http://daikin.de","daikin.de")</f>
        <v>daikin.de</v>
      </c>
      <c r="C12085" t="s">
        <v>436</v>
      </c>
      <c r="D12085" t="s">
        <v>815</v>
      </c>
      <c r="E12085">
        <v>558746</v>
      </c>
      <c r="F12085">
        <v>2.6615115508777998E-7</v>
      </c>
      <c r="G12085">
        <v>140058</v>
      </c>
      <c r="H12085">
        <v>13220307</v>
      </c>
      <c r="I12085">
        <v>11335311</v>
      </c>
      <c r="J12085">
        <v>3</v>
      </c>
    </row>
    <row r="12086" spans="1:10" x14ac:dyDescent="0.25">
      <c r="A12086" t="s">
        <v>125</v>
      </c>
      <c r="B12086" s="1" t="str">
        <f>HYPERLINK("http://daikinapplied.de","daikinapplied.de")</f>
        <v>daikinapplied.de</v>
      </c>
      <c r="C12086" t="s">
        <v>436</v>
      </c>
      <c r="D12086" t="s">
        <v>815</v>
      </c>
      <c r="F12086">
        <v>5.2625944892326101E-9</v>
      </c>
      <c r="G12086">
        <v>24065576</v>
      </c>
      <c r="H12086">
        <v>10522103</v>
      </c>
      <c r="I12086">
        <v>49011517</v>
      </c>
      <c r="J12086">
        <v>6</v>
      </c>
    </row>
    <row r="12087" spans="1:10" x14ac:dyDescent="0.25">
      <c r="A12087" t="s">
        <v>125</v>
      </c>
      <c r="B12087" s="1" t="str">
        <f>HYPERLINK("http://daikinchem.de","daikinchem.de")</f>
        <v>daikinchem.de</v>
      </c>
      <c r="C12087" t="s">
        <v>436</v>
      </c>
      <c r="D12087" t="s">
        <v>815</v>
      </c>
      <c r="F12087">
        <v>2.0948463797045101E-8</v>
      </c>
      <c r="G12087">
        <v>2522914</v>
      </c>
      <c r="H12087">
        <v>14073766</v>
      </c>
      <c r="I12087">
        <v>2972926</v>
      </c>
      <c r="J12087">
        <v>3</v>
      </c>
    </row>
    <row r="12088" spans="1:10" x14ac:dyDescent="0.25">
      <c r="A12088" t="s">
        <v>125</v>
      </c>
      <c r="B12088" s="1" t="str">
        <f>HYPERLINK("http://daikin.dk","daikin.dk")</f>
        <v>daikin.dk</v>
      </c>
      <c r="C12088" t="s">
        <v>437</v>
      </c>
      <c r="D12088" t="s">
        <v>816</v>
      </c>
      <c r="F12088">
        <v>4.8758693053708703E-8</v>
      </c>
      <c r="G12088">
        <v>950713</v>
      </c>
      <c r="H12088">
        <v>12279047</v>
      </c>
      <c r="I12088">
        <v>21327707</v>
      </c>
      <c r="J12088">
        <v>3</v>
      </c>
    </row>
    <row r="12089" spans="1:10" x14ac:dyDescent="0.25">
      <c r="A12089" t="s">
        <v>125</v>
      </c>
      <c r="B12089" s="1" t="str">
        <f>HYPERLINK("http://daikin.ee","daikin.ee")</f>
        <v>daikin.ee</v>
      </c>
      <c r="C12089" t="s">
        <v>441</v>
      </c>
      <c r="D12089" t="s">
        <v>820</v>
      </c>
      <c r="F12089">
        <v>2.90159482173308E-8</v>
      </c>
      <c r="G12089">
        <v>1774433</v>
      </c>
      <c r="H12089">
        <v>12244673</v>
      </c>
      <c r="I12089">
        <v>22134164</v>
      </c>
      <c r="J12089">
        <v>3</v>
      </c>
    </row>
    <row r="12090" spans="1:10" x14ac:dyDescent="0.25">
      <c r="A12090" t="s">
        <v>125</v>
      </c>
      <c r="B12090" s="1" t="str">
        <f>HYPERLINK("http://daikin.es","daikin.es")</f>
        <v>daikin.es</v>
      </c>
      <c r="C12090" t="s">
        <v>443</v>
      </c>
      <c r="D12090" t="s">
        <v>822</v>
      </c>
      <c r="E12090">
        <v>601314</v>
      </c>
      <c r="F12090">
        <v>1.37373403680183E-7</v>
      </c>
      <c r="G12090">
        <v>283723</v>
      </c>
      <c r="H12090">
        <v>14147888</v>
      </c>
      <c r="I12090">
        <v>1888001</v>
      </c>
      <c r="J12090">
        <v>3</v>
      </c>
    </row>
    <row r="12091" spans="1:10" x14ac:dyDescent="0.25">
      <c r="A12091" t="s">
        <v>125</v>
      </c>
      <c r="B12091" s="1" t="str">
        <f>HYPERLINK("http://daikin.eu","daikin.eu")</f>
        <v>daikin.eu</v>
      </c>
      <c r="C12091" t="s">
        <v>444</v>
      </c>
      <c r="E12091">
        <v>169811</v>
      </c>
      <c r="F12091">
        <v>1.9952578475736201E-7</v>
      </c>
      <c r="G12091">
        <v>191268</v>
      </c>
      <c r="H12091">
        <v>17057666</v>
      </c>
      <c r="I12091">
        <v>74668</v>
      </c>
      <c r="J12091">
        <v>3</v>
      </c>
    </row>
    <row r="12092" spans="1:10" x14ac:dyDescent="0.25">
      <c r="A12092" t="s">
        <v>125</v>
      </c>
      <c r="B12092" s="1" t="str">
        <f>HYPERLINK("http://daikinapplied.eu","daikinapplied.eu")</f>
        <v>daikinapplied.eu</v>
      </c>
      <c r="C12092" t="s">
        <v>444</v>
      </c>
      <c r="F12092">
        <v>3.9779822003608498E-8</v>
      </c>
      <c r="G12092">
        <v>1298685</v>
      </c>
      <c r="H12092">
        <v>12586274</v>
      </c>
      <c r="I12092">
        <v>16445791</v>
      </c>
      <c r="J12092">
        <v>5</v>
      </c>
    </row>
    <row r="12093" spans="1:10" x14ac:dyDescent="0.25">
      <c r="A12093" t="s">
        <v>125</v>
      </c>
      <c r="B12093" s="1" t="str">
        <f>HYPERLINK("http://daikin.fi","daikin.fi")</f>
        <v>daikin.fi</v>
      </c>
      <c r="C12093" t="s">
        <v>445</v>
      </c>
      <c r="D12093" t="s">
        <v>823</v>
      </c>
      <c r="F12093">
        <v>4.9773673800550298E-8</v>
      </c>
      <c r="G12093">
        <v>926857</v>
      </c>
      <c r="H12093">
        <v>13764418</v>
      </c>
      <c r="I12093">
        <v>7272510</v>
      </c>
      <c r="J12093">
        <v>3</v>
      </c>
    </row>
    <row r="12094" spans="1:10" x14ac:dyDescent="0.25">
      <c r="A12094" t="s">
        <v>125</v>
      </c>
      <c r="B12094" s="1" t="str">
        <f>HYPERLINK("http://daikinlampopumput.fi","daikinlampopumput.fi")</f>
        <v>daikinlampopumput.fi</v>
      </c>
      <c r="C12094" t="s">
        <v>445</v>
      </c>
      <c r="D12094" t="s">
        <v>823</v>
      </c>
      <c r="F12094">
        <v>4.6059021247363501E-9</v>
      </c>
      <c r="G12094">
        <v>47161064</v>
      </c>
      <c r="H12094">
        <v>10344055</v>
      </c>
      <c r="I12094">
        <v>57359477</v>
      </c>
      <c r="J12094">
        <v>4</v>
      </c>
    </row>
    <row r="12095" spans="1:10" x14ac:dyDescent="0.25">
      <c r="A12095" t="s">
        <v>125</v>
      </c>
      <c r="B12095" s="1" t="str">
        <f>HYPERLINK("http://wewillmeetsoon.fi","wewillmeetsoon.fi")</f>
        <v>wewillmeetsoon.fi</v>
      </c>
      <c r="C12095" t="s">
        <v>445</v>
      </c>
      <c r="D12095" t="s">
        <v>823</v>
      </c>
      <c r="J12095">
        <v>4</v>
      </c>
    </row>
    <row r="12096" spans="1:10" x14ac:dyDescent="0.25">
      <c r="A12096" t="s">
        <v>125</v>
      </c>
      <c r="B12096" s="1" t="str">
        <f>HYPERLINK("http://daikin.fr","daikin.fr")</f>
        <v>daikin.fr</v>
      </c>
      <c r="C12096" t="s">
        <v>446</v>
      </c>
      <c r="D12096" t="s">
        <v>824</v>
      </c>
      <c r="E12096">
        <v>536453</v>
      </c>
      <c r="F12096">
        <v>2.7814369602858899E-7</v>
      </c>
      <c r="G12096">
        <v>133721</v>
      </c>
      <c r="H12096">
        <v>14156319</v>
      </c>
      <c r="I12096">
        <v>1855558</v>
      </c>
      <c r="J12096">
        <v>3</v>
      </c>
    </row>
    <row r="12097" spans="1:10" x14ac:dyDescent="0.25">
      <c r="A12097" t="s">
        <v>125</v>
      </c>
      <c r="B12097" s="1" t="str">
        <f>HYPERLINK("http://daikin.gr","daikin.gr")</f>
        <v>daikin.gr</v>
      </c>
      <c r="C12097" t="s">
        <v>447</v>
      </c>
      <c r="D12097" t="s">
        <v>825</v>
      </c>
      <c r="F12097">
        <v>5.48420165734663E-8</v>
      </c>
      <c r="G12097">
        <v>820719</v>
      </c>
      <c r="H12097">
        <v>13775683</v>
      </c>
      <c r="I12097">
        <v>6573162</v>
      </c>
      <c r="J12097">
        <v>3</v>
      </c>
    </row>
    <row r="12098" spans="1:10" x14ac:dyDescent="0.25">
      <c r="A12098" t="s">
        <v>125</v>
      </c>
      <c r="B12098" s="1" t="str">
        <f>HYPERLINK("http://daikin.com.hk","daikin.com.hk")</f>
        <v>daikin.com.hk</v>
      </c>
      <c r="C12098" t="s">
        <v>450</v>
      </c>
      <c r="D12098" t="s">
        <v>827</v>
      </c>
      <c r="F12098">
        <v>1.9723932795802899E-8</v>
      </c>
      <c r="G12098">
        <v>2705314</v>
      </c>
      <c r="H12098">
        <v>13881145</v>
      </c>
      <c r="I12098">
        <v>5980076</v>
      </c>
      <c r="J12098">
        <v>3</v>
      </c>
    </row>
    <row r="12099" spans="1:10" x14ac:dyDescent="0.25">
      <c r="A12099" t="s">
        <v>125</v>
      </c>
      <c r="B12099" s="1" t="str">
        <f>HYPERLINK("http://daikin.hr","daikin.hr")</f>
        <v>daikin.hr</v>
      </c>
      <c r="C12099" t="s">
        <v>452</v>
      </c>
      <c r="D12099" t="s">
        <v>829</v>
      </c>
      <c r="F12099">
        <v>3.3691811144925502E-8</v>
      </c>
      <c r="G12099">
        <v>1535301</v>
      </c>
      <c r="H12099">
        <v>14072742</v>
      </c>
      <c r="I12099">
        <v>3051656</v>
      </c>
      <c r="J12099">
        <v>3</v>
      </c>
    </row>
    <row r="12100" spans="1:10" x14ac:dyDescent="0.25">
      <c r="A12100" t="s">
        <v>125</v>
      </c>
      <c r="B12100" s="1" t="str">
        <f>HYPERLINK("http://daikin.hu","daikin.hu")</f>
        <v>daikin.hu</v>
      </c>
      <c r="C12100" t="s">
        <v>453</v>
      </c>
      <c r="D12100" t="s">
        <v>830</v>
      </c>
      <c r="F12100">
        <v>5.3944531819828E-8</v>
      </c>
      <c r="G12100">
        <v>842296</v>
      </c>
      <c r="H12100">
        <v>12330745</v>
      </c>
      <c r="I12100">
        <v>20200725</v>
      </c>
      <c r="J12100">
        <v>3</v>
      </c>
    </row>
    <row r="12101" spans="1:10" x14ac:dyDescent="0.25">
      <c r="A12101" t="s">
        <v>125</v>
      </c>
      <c r="B12101" s="1" t="str">
        <f>HYPERLINK("http://daikin.ie","daikin.ie")</f>
        <v>daikin.ie</v>
      </c>
      <c r="C12101" t="s">
        <v>455</v>
      </c>
      <c r="D12101" t="s">
        <v>832</v>
      </c>
      <c r="F12101">
        <v>2.8110429522431502E-8</v>
      </c>
      <c r="G12101">
        <v>1830362</v>
      </c>
      <c r="H12101">
        <v>12429718</v>
      </c>
      <c r="I12101">
        <v>18305139</v>
      </c>
      <c r="J12101">
        <v>3</v>
      </c>
    </row>
    <row r="12102" spans="1:10" x14ac:dyDescent="0.25">
      <c r="A12102" t="s">
        <v>125</v>
      </c>
      <c r="B12102" s="1" t="str">
        <f>HYPERLINK("http://daikincomfort.io","daikincomfort.io")</f>
        <v>daikincomfort.io</v>
      </c>
      <c r="C12102" t="s">
        <v>518</v>
      </c>
      <c r="F12102">
        <v>4.44380395335525E-9</v>
      </c>
      <c r="G12102">
        <v>87777867</v>
      </c>
      <c r="H12102">
        <v>0</v>
      </c>
      <c r="I12102">
        <v>86276037</v>
      </c>
      <c r="J12102">
        <v>7</v>
      </c>
    </row>
    <row r="12103" spans="1:10" x14ac:dyDescent="0.25">
      <c r="A12103" t="s">
        <v>125</v>
      </c>
      <c r="B12103" s="1" t="str">
        <f>HYPERLINK("http://daikin.it","daikin.it")</f>
        <v>daikin.it</v>
      </c>
      <c r="C12103" t="s">
        <v>459</v>
      </c>
      <c r="D12103" t="s">
        <v>835</v>
      </c>
      <c r="E12103">
        <v>520547</v>
      </c>
      <c r="F12103">
        <v>1.5754591812771501E-7</v>
      </c>
      <c r="G12103">
        <v>246482</v>
      </c>
      <c r="H12103">
        <v>14252708</v>
      </c>
      <c r="I12103">
        <v>1440742</v>
      </c>
      <c r="J12103">
        <v>2</v>
      </c>
    </row>
    <row r="12104" spans="1:10" x14ac:dyDescent="0.25">
      <c r="A12104" t="s">
        <v>125</v>
      </c>
      <c r="B12104" s="1" t="str">
        <f>HYPERLINK("http://daikin.co.jp","daikin.co.jp")</f>
        <v>daikin.co.jp</v>
      </c>
      <c r="C12104" t="s">
        <v>461</v>
      </c>
      <c r="D12104" t="s">
        <v>837</v>
      </c>
      <c r="E12104">
        <v>51287</v>
      </c>
      <c r="F12104">
        <v>6.5162588198548896E-7</v>
      </c>
      <c r="G12104">
        <v>59087</v>
      </c>
      <c r="H12104">
        <v>15185883</v>
      </c>
      <c r="I12104">
        <v>396778</v>
      </c>
      <c r="J12104">
        <v>1</v>
      </c>
    </row>
    <row r="12105" spans="1:10" x14ac:dyDescent="0.25">
      <c r="A12105" t="s">
        <v>125</v>
      </c>
      <c r="B12105" s="1" t="str">
        <f>HYPERLINK("http://daikin.lt","daikin.lt")</f>
        <v>daikin.lt</v>
      </c>
      <c r="C12105" t="s">
        <v>467</v>
      </c>
      <c r="D12105" t="s">
        <v>843</v>
      </c>
      <c r="F12105">
        <v>2.57969333533821E-8</v>
      </c>
      <c r="G12105">
        <v>1998117</v>
      </c>
      <c r="H12105">
        <v>12190231</v>
      </c>
      <c r="I12105">
        <v>23580128</v>
      </c>
      <c r="J12105">
        <v>3</v>
      </c>
    </row>
    <row r="12106" spans="1:10" x14ac:dyDescent="0.25">
      <c r="A12106" t="s">
        <v>125</v>
      </c>
      <c r="B12106" s="1" t="str">
        <f>HYPERLINK("http://daikin.lu","daikin.lu")</f>
        <v>daikin.lu</v>
      </c>
      <c r="C12106" t="s">
        <v>547</v>
      </c>
      <c r="D12106" t="s">
        <v>904</v>
      </c>
      <c r="F12106">
        <v>1.64327659772965E-8</v>
      </c>
      <c r="G12106">
        <v>3430871</v>
      </c>
      <c r="H12106">
        <v>12142417</v>
      </c>
      <c r="I12106">
        <v>24826104</v>
      </c>
      <c r="J12106">
        <v>3</v>
      </c>
    </row>
    <row r="12107" spans="1:10" x14ac:dyDescent="0.25">
      <c r="A12107" t="s">
        <v>125</v>
      </c>
      <c r="B12107" s="1" t="str">
        <f>HYPERLINK("http://daikin.lv","daikin.lv")</f>
        <v>daikin.lv</v>
      </c>
      <c r="C12107" t="s">
        <v>468</v>
      </c>
      <c r="D12107" t="s">
        <v>844</v>
      </c>
      <c r="F12107">
        <v>2.1232446991516599E-8</v>
      </c>
      <c r="G12107">
        <v>2483633</v>
      </c>
      <c r="H12107">
        <v>12148730</v>
      </c>
      <c r="I12107">
        <v>24654030</v>
      </c>
      <c r="J12107">
        <v>3</v>
      </c>
    </row>
    <row r="12108" spans="1:10" x14ac:dyDescent="0.25">
      <c r="A12108" t="s">
        <v>125</v>
      </c>
      <c r="B12108" s="1" t="str">
        <f>HYPERLINK("http://daikin.mk","daikin.mk")</f>
        <v>daikin.mk</v>
      </c>
      <c r="C12108" t="s">
        <v>531</v>
      </c>
      <c r="D12108" t="s">
        <v>895</v>
      </c>
      <c r="F12108">
        <v>2.2501003981441699E-8</v>
      </c>
      <c r="G12108">
        <v>2328372</v>
      </c>
      <c r="H12108">
        <v>12162149</v>
      </c>
      <c r="I12108">
        <v>24302949</v>
      </c>
      <c r="J12108">
        <v>3</v>
      </c>
    </row>
    <row r="12109" spans="1:10" x14ac:dyDescent="0.25">
      <c r="A12109" t="s">
        <v>125</v>
      </c>
      <c r="B12109" s="1" t="str">
        <f>HYPERLINK("http://daikin.com.mt","daikin.com.mt")</f>
        <v>daikin.com.mt</v>
      </c>
      <c r="C12109" t="s">
        <v>597</v>
      </c>
      <c r="D12109" t="s">
        <v>932</v>
      </c>
      <c r="F12109">
        <v>2.0239025087121499E-8</v>
      </c>
      <c r="G12109">
        <v>2623353</v>
      </c>
      <c r="H12109">
        <v>12988321</v>
      </c>
      <c r="I12109">
        <v>12878519</v>
      </c>
      <c r="J12109">
        <v>3</v>
      </c>
    </row>
    <row r="12110" spans="1:10" x14ac:dyDescent="0.25">
      <c r="A12110" t="s">
        <v>125</v>
      </c>
      <c r="B12110" s="1" t="str">
        <f>HYPERLINK("http://acson.com.my","acson.com.my")</f>
        <v>acson.com.my</v>
      </c>
      <c r="C12110" t="s">
        <v>472</v>
      </c>
      <c r="D12110" t="s">
        <v>848</v>
      </c>
      <c r="F12110">
        <v>2.1644422759331699E-8</v>
      </c>
      <c r="G12110">
        <v>2430924</v>
      </c>
      <c r="H12110">
        <v>13817988</v>
      </c>
      <c r="I12110">
        <v>6155271</v>
      </c>
      <c r="J12110">
        <v>3</v>
      </c>
    </row>
    <row r="12111" spans="1:10" x14ac:dyDescent="0.25">
      <c r="A12111" t="s">
        <v>125</v>
      </c>
      <c r="B12111" s="1" t="str">
        <f>HYPERLINK("http://daikin.com.my","daikin.com.my")</f>
        <v>daikin.com.my</v>
      </c>
      <c r="C12111" t="s">
        <v>472</v>
      </c>
      <c r="D12111" t="s">
        <v>848</v>
      </c>
      <c r="F12111">
        <v>5.69170702872595E-8</v>
      </c>
      <c r="G12111">
        <v>784685</v>
      </c>
      <c r="H12111">
        <v>16752011</v>
      </c>
      <c r="I12111">
        <v>255968</v>
      </c>
      <c r="J12111">
        <v>3</v>
      </c>
    </row>
    <row r="12112" spans="1:10" x14ac:dyDescent="0.25">
      <c r="A12112" t="s">
        <v>125</v>
      </c>
      <c r="B12112" s="1" t="str">
        <f>HYPERLINK("http://daikin.nl","daikin.nl")</f>
        <v>daikin.nl</v>
      </c>
      <c r="C12112" t="s">
        <v>477</v>
      </c>
      <c r="D12112" t="s">
        <v>852</v>
      </c>
      <c r="E12112">
        <v>741471</v>
      </c>
      <c r="F12112">
        <v>1.21994528614921E-7</v>
      </c>
      <c r="G12112">
        <v>323623</v>
      </c>
      <c r="H12112">
        <v>13292557</v>
      </c>
      <c r="I12112">
        <v>10869205</v>
      </c>
      <c r="J12112">
        <v>3</v>
      </c>
    </row>
    <row r="12113" spans="1:10" x14ac:dyDescent="0.25">
      <c r="A12113" t="s">
        <v>125</v>
      </c>
      <c r="B12113" s="1" t="str">
        <f>HYPERLINK("http://daikin.no","daikin.no")</f>
        <v>daikin.no</v>
      </c>
      <c r="C12113" t="s">
        <v>478</v>
      </c>
      <c r="D12113" t="s">
        <v>853</v>
      </c>
      <c r="F12113">
        <v>5.67839548314897E-8</v>
      </c>
      <c r="G12113">
        <v>786833</v>
      </c>
      <c r="H12113">
        <v>12359071</v>
      </c>
      <c r="I12113">
        <v>19605309</v>
      </c>
      <c r="J12113">
        <v>3</v>
      </c>
    </row>
    <row r="12114" spans="1:10" x14ac:dyDescent="0.25">
      <c r="A12114" t="s">
        <v>125</v>
      </c>
      <c r="B12114" s="1" t="str">
        <f>HYPERLINK("http://friganor.no","friganor.no")</f>
        <v>friganor.no</v>
      </c>
      <c r="C12114" t="s">
        <v>478</v>
      </c>
      <c r="D12114" t="s">
        <v>853</v>
      </c>
      <c r="F12114">
        <v>7.5757707168451303E-9</v>
      </c>
      <c r="G12114">
        <v>10846243</v>
      </c>
      <c r="H12114">
        <v>10762817</v>
      </c>
      <c r="I12114">
        <v>39506889</v>
      </c>
      <c r="J12114">
        <v>4</v>
      </c>
    </row>
    <row r="12115" spans="1:10" x14ac:dyDescent="0.25">
      <c r="A12115" t="s">
        <v>125</v>
      </c>
      <c r="B12115" s="1" t="str">
        <f>HYPERLINK("http://daikin.co.nz","daikin.co.nz")</f>
        <v>daikin.co.nz</v>
      </c>
      <c r="C12115" t="s">
        <v>479</v>
      </c>
      <c r="D12115" t="s">
        <v>854</v>
      </c>
      <c r="F12115">
        <v>1.01093776159789E-8</v>
      </c>
      <c r="G12115">
        <v>6638653</v>
      </c>
      <c r="H12115">
        <v>12430549</v>
      </c>
      <c r="I12115">
        <v>18295022</v>
      </c>
      <c r="J12115">
        <v>3</v>
      </c>
    </row>
    <row r="12116" spans="1:10" x14ac:dyDescent="0.25">
      <c r="A12116" t="s">
        <v>125</v>
      </c>
      <c r="B12116" s="1" t="str">
        <f>HYPERLINK("http://daikin.com.ph","daikin.com.ph")</f>
        <v>daikin.com.ph</v>
      </c>
      <c r="C12116" t="s">
        <v>484</v>
      </c>
      <c r="D12116" t="s">
        <v>858</v>
      </c>
      <c r="F12116">
        <v>1.89650671767815E-8</v>
      </c>
      <c r="G12116">
        <v>2841980</v>
      </c>
      <c r="H12116">
        <v>14576588</v>
      </c>
      <c r="I12116">
        <v>720695</v>
      </c>
      <c r="J12116">
        <v>3</v>
      </c>
    </row>
    <row r="12117" spans="1:10" x14ac:dyDescent="0.25">
      <c r="A12117" t="s">
        <v>125</v>
      </c>
      <c r="B12117" s="1" t="str">
        <f>HYPERLINK("http://daikin.pl","daikin.pl")</f>
        <v>daikin.pl</v>
      </c>
      <c r="C12117" t="s">
        <v>486</v>
      </c>
      <c r="D12117" t="s">
        <v>860</v>
      </c>
      <c r="F12117">
        <v>7.7205221187392397E-8</v>
      </c>
      <c r="G12117">
        <v>542467</v>
      </c>
      <c r="H12117">
        <v>12772372</v>
      </c>
      <c r="I12117">
        <v>14824449</v>
      </c>
      <c r="J12117">
        <v>3</v>
      </c>
    </row>
    <row r="12118" spans="1:10" x14ac:dyDescent="0.25">
      <c r="A12118" t="s">
        <v>125</v>
      </c>
      <c r="B12118" s="1" t="str">
        <f>HYPERLINK("http://daikin.pt","daikin.pt")</f>
        <v>daikin.pt</v>
      </c>
      <c r="C12118" t="s">
        <v>488</v>
      </c>
      <c r="D12118" t="s">
        <v>862</v>
      </c>
      <c r="F12118">
        <v>5.9052295733016803E-8</v>
      </c>
      <c r="G12118">
        <v>750849</v>
      </c>
      <c r="H12118">
        <v>14097327</v>
      </c>
      <c r="I12118">
        <v>2721371</v>
      </c>
      <c r="J12118">
        <v>3</v>
      </c>
    </row>
    <row r="12119" spans="1:10" x14ac:dyDescent="0.25">
      <c r="A12119" t="s">
        <v>125</v>
      </c>
      <c r="B12119" s="1" t="str">
        <f>HYPERLINK("http://daikin.ro","daikin.ro")</f>
        <v>daikin.ro</v>
      </c>
      <c r="C12119" t="s">
        <v>491</v>
      </c>
      <c r="D12119" t="s">
        <v>865</v>
      </c>
      <c r="F12119">
        <v>4.9240197101768603E-8</v>
      </c>
      <c r="G12119">
        <v>940095</v>
      </c>
      <c r="H12119">
        <v>13775668</v>
      </c>
      <c r="I12119">
        <v>6573574</v>
      </c>
      <c r="J12119">
        <v>3</v>
      </c>
    </row>
    <row r="12120" spans="1:10" x14ac:dyDescent="0.25">
      <c r="A12120" t="s">
        <v>125</v>
      </c>
      <c r="B12120" s="1" t="str">
        <f>HYPERLINK("http://daikin.rs","daikin.rs")</f>
        <v>daikin.rs</v>
      </c>
      <c r="C12120" t="s">
        <v>492</v>
      </c>
      <c r="D12120" t="s">
        <v>866</v>
      </c>
      <c r="F12120">
        <v>2.4020356616849101E-8</v>
      </c>
      <c r="G12120">
        <v>2160983</v>
      </c>
      <c r="H12120">
        <v>12250545</v>
      </c>
      <c r="I12120">
        <v>22004587</v>
      </c>
      <c r="J12120">
        <v>3</v>
      </c>
    </row>
    <row r="12121" spans="1:10" x14ac:dyDescent="0.25">
      <c r="A12121" t="s">
        <v>125</v>
      </c>
      <c r="B12121" s="1" t="str">
        <f>HYPERLINK("http://daikin.ru","daikin.ru")</f>
        <v>daikin.ru</v>
      </c>
      <c r="C12121" t="s">
        <v>493</v>
      </c>
      <c r="D12121" t="s">
        <v>867</v>
      </c>
      <c r="F12121">
        <v>3.7685979453483097E-8</v>
      </c>
      <c r="G12121">
        <v>1373160</v>
      </c>
      <c r="H12121">
        <v>12291022</v>
      </c>
      <c r="I12121">
        <v>21090083</v>
      </c>
      <c r="J12121">
        <v>4</v>
      </c>
    </row>
    <row r="12122" spans="1:10" x14ac:dyDescent="0.25">
      <c r="A12122" t="s">
        <v>125</v>
      </c>
      <c r="B12122" s="1" t="str">
        <f>HYPERLINK("http://daikin.se","daikin.se")</f>
        <v>daikin.se</v>
      </c>
      <c r="C12122" t="s">
        <v>495</v>
      </c>
      <c r="D12122" t="s">
        <v>869</v>
      </c>
      <c r="F12122">
        <v>8.4967572901693498E-8</v>
      </c>
      <c r="G12122">
        <v>485632</v>
      </c>
      <c r="H12122">
        <v>13073037</v>
      </c>
      <c r="I12122">
        <v>12228551</v>
      </c>
      <c r="J12122">
        <v>3</v>
      </c>
    </row>
    <row r="12123" spans="1:10" x14ac:dyDescent="0.25">
      <c r="A12123" t="s">
        <v>125</v>
      </c>
      <c r="B12123" s="1" t="str">
        <f>HYPERLINK("http://daikin.com.sg","daikin.com.sg")</f>
        <v>daikin.com.sg</v>
      </c>
      <c r="C12123" t="s">
        <v>496</v>
      </c>
      <c r="D12123" t="s">
        <v>870</v>
      </c>
      <c r="E12123">
        <v>825757</v>
      </c>
      <c r="F12123">
        <v>4.7066357435384303E-8</v>
      </c>
      <c r="G12123">
        <v>991389</v>
      </c>
      <c r="H12123">
        <v>14416772</v>
      </c>
      <c r="I12123">
        <v>1101080</v>
      </c>
      <c r="J12123">
        <v>3</v>
      </c>
    </row>
    <row r="12124" spans="1:10" x14ac:dyDescent="0.25">
      <c r="A12124" t="s">
        <v>125</v>
      </c>
      <c r="B12124" s="1" t="str">
        <f>HYPERLINK("http://daikin.si","daikin.si")</f>
        <v>daikin.si</v>
      </c>
      <c r="C12124" t="s">
        <v>497</v>
      </c>
      <c r="D12124" t="s">
        <v>871</v>
      </c>
      <c r="F12124">
        <v>3.2772175163858302E-8</v>
      </c>
      <c r="G12124">
        <v>1576376</v>
      </c>
      <c r="H12124">
        <v>12438762</v>
      </c>
      <c r="I12124">
        <v>18159561</v>
      </c>
      <c r="J12124">
        <v>3</v>
      </c>
    </row>
    <row r="12125" spans="1:10" x14ac:dyDescent="0.25">
      <c r="A12125" t="s">
        <v>125</v>
      </c>
      <c r="B12125" s="1" t="str">
        <f>HYPERLINK("http://daikin.sk","daikin.sk")</f>
        <v>daikin.sk</v>
      </c>
      <c r="C12125" t="s">
        <v>498</v>
      </c>
      <c r="D12125" t="s">
        <v>872</v>
      </c>
      <c r="F12125">
        <v>4.7337913046898797E-8</v>
      </c>
      <c r="G12125">
        <v>984482</v>
      </c>
      <c r="H12125">
        <v>12387171</v>
      </c>
      <c r="I12125">
        <v>19094278</v>
      </c>
      <c r="J12125">
        <v>3</v>
      </c>
    </row>
    <row r="12126" spans="1:10" x14ac:dyDescent="0.25">
      <c r="A12126" t="s">
        <v>125</v>
      </c>
      <c r="B12126" s="1" t="str">
        <f>HYPERLINK("http://daikin.co.th","daikin.co.th")</f>
        <v>daikin.co.th</v>
      </c>
      <c r="C12126" t="s">
        <v>500</v>
      </c>
      <c r="D12126" t="s">
        <v>874</v>
      </c>
      <c r="F12126">
        <v>3.8499784176982E-8</v>
      </c>
      <c r="G12126">
        <v>1339671</v>
      </c>
      <c r="H12126">
        <v>14073148</v>
      </c>
      <c r="I12126">
        <v>3013793</v>
      </c>
      <c r="J12126">
        <v>3</v>
      </c>
    </row>
    <row r="12127" spans="1:10" x14ac:dyDescent="0.25">
      <c r="A12127" t="s">
        <v>125</v>
      </c>
      <c r="B12127" s="1" t="str">
        <f>HYPERLINK("http://airfel.com.tr","airfel.com.tr")</f>
        <v>airfel.com.tr</v>
      </c>
      <c r="C12127" t="s">
        <v>502</v>
      </c>
      <c r="D12127" t="s">
        <v>876</v>
      </c>
      <c r="F12127">
        <v>9.2797316609421493E-9</v>
      </c>
      <c r="G12127">
        <v>7598971</v>
      </c>
      <c r="H12127">
        <v>11194930</v>
      </c>
      <c r="I12127">
        <v>31313501</v>
      </c>
      <c r="J12127">
        <v>7</v>
      </c>
    </row>
    <row r="12128" spans="1:10" x14ac:dyDescent="0.25">
      <c r="A12128" t="s">
        <v>125</v>
      </c>
      <c r="B12128" s="1" t="str">
        <f>HYPERLINK("http://daikin.com.tr","daikin.com.tr")</f>
        <v>daikin.com.tr</v>
      </c>
      <c r="C12128" t="s">
        <v>502</v>
      </c>
      <c r="D12128" t="s">
        <v>876</v>
      </c>
      <c r="F12128">
        <v>8.8825428308322104E-8</v>
      </c>
      <c r="G12128">
        <v>460467</v>
      </c>
      <c r="H12128">
        <v>16772266</v>
      </c>
      <c r="I12128">
        <v>221823</v>
      </c>
      <c r="J12128">
        <v>3</v>
      </c>
    </row>
    <row r="12129" spans="1:10" x14ac:dyDescent="0.25">
      <c r="A12129" t="s">
        <v>125</v>
      </c>
      <c r="B12129" s="1" t="str">
        <f>HYPERLINK("http://daikin.com.ua","daikin.com.ua")</f>
        <v>daikin.com.ua</v>
      </c>
      <c r="C12129" t="s">
        <v>505</v>
      </c>
      <c r="D12129" t="s">
        <v>879</v>
      </c>
      <c r="F12129">
        <v>2.1043364757533599E-8</v>
      </c>
      <c r="G12129">
        <v>2510186</v>
      </c>
      <c r="H12129">
        <v>12270663</v>
      </c>
      <c r="I12129">
        <v>21511631</v>
      </c>
      <c r="J12129">
        <v>4</v>
      </c>
    </row>
    <row r="12130" spans="1:10" x14ac:dyDescent="0.25">
      <c r="A12130" t="s">
        <v>125</v>
      </c>
      <c r="B12130" s="1" t="str">
        <f>HYPERLINK("http://daikin.co.uk","daikin.co.uk")</f>
        <v>daikin.co.uk</v>
      </c>
      <c r="C12130" t="s">
        <v>506</v>
      </c>
      <c r="D12130" t="s">
        <v>880</v>
      </c>
      <c r="E12130">
        <v>398519</v>
      </c>
      <c r="F12130">
        <v>6.7867855263989504E-8</v>
      </c>
      <c r="G12130">
        <v>629069</v>
      </c>
      <c r="H12130">
        <v>14448800</v>
      </c>
      <c r="I12130">
        <v>1054569</v>
      </c>
      <c r="J12130">
        <v>3</v>
      </c>
    </row>
    <row r="12131" spans="1:10" x14ac:dyDescent="0.25">
      <c r="A12131" t="s">
        <v>125</v>
      </c>
      <c r="B12131" s="1" t="str">
        <f>HYPERLINK("http://jehall.co.uk","jehall.co.uk")</f>
        <v>jehall.co.uk</v>
      </c>
      <c r="C12131" t="s">
        <v>506</v>
      </c>
      <c r="D12131" t="s">
        <v>880</v>
      </c>
      <c r="F12131">
        <v>1.0505430718515399E-8</v>
      </c>
      <c r="G12131">
        <v>6264769</v>
      </c>
      <c r="H12131">
        <v>14071844</v>
      </c>
      <c r="I12131">
        <v>3296190</v>
      </c>
      <c r="J12131">
        <v>4</v>
      </c>
    </row>
    <row r="12132" spans="1:10" x14ac:dyDescent="0.25">
      <c r="A12132" t="s">
        <v>125</v>
      </c>
      <c r="B12132" s="1" t="str">
        <f>HYPERLINK("http://mcquay.co.uk","mcquay.co.uk")</f>
        <v>mcquay.co.uk</v>
      </c>
      <c r="C12132" t="s">
        <v>506</v>
      </c>
      <c r="D12132" t="s">
        <v>880</v>
      </c>
      <c r="J12132">
        <v>4</v>
      </c>
    </row>
    <row r="12133" spans="1:10" x14ac:dyDescent="0.25">
      <c r="A12133" t="s">
        <v>125</v>
      </c>
      <c r="B12133" s="1" t="str">
        <f>HYPERLINK("http://daikinapplied.uk","daikinapplied.uk")</f>
        <v>daikinapplied.uk</v>
      </c>
      <c r="C12133" t="s">
        <v>506</v>
      </c>
      <c r="D12133" t="s">
        <v>880</v>
      </c>
      <c r="F12133">
        <v>1.3984718512356899E-8</v>
      </c>
      <c r="G12133">
        <v>4208487</v>
      </c>
      <c r="H12133">
        <v>14415069</v>
      </c>
      <c r="I12133">
        <v>1118312</v>
      </c>
      <c r="J12133">
        <v>6</v>
      </c>
    </row>
    <row r="12134" spans="1:10" x14ac:dyDescent="0.25">
      <c r="A12134" t="s">
        <v>125</v>
      </c>
      <c r="B12134" s="1" t="str">
        <f>HYPERLINK("http://daikin.uz","daikin.uz")</f>
        <v>daikin.uz</v>
      </c>
      <c r="C12134" t="s">
        <v>560</v>
      </c>
      <c r="D12134" t="s">
        <v>910</v>
      </c>
      <c r="F12134">
        <v>5.8787645900772203E-9</v>
      </c>
      <c r="G12134">
        <v>17506201</v>
      </c>
      <c r="H12134">
        <v>12024414</v>
      </c>
      <c r="I12134">
        <v>27790659</v>
      </c>
      <c r="J12134">
        <v>4</v>
      </c>
    </row>
    <row r="12135" spans="1:10" x14ac:dyDescent="0.25">
      <c r="A12135" t="s">
        <v>125</v>
      </c>
      <c r="B12135" s="1" t="str">
        <f>HYPERLINK("http://daikin.co.za","daikin.co.za")</f>
        <v>daikin.co.za</v>
      </c>
      <c r="C12135" t="s">
        <v>510</v>
      </c>
      <c r="D12135" t="s">
        <v>884</v>
      </c>
      <c r="F12135">
        <v>1.8161170551569499E-8</v>
      </c>
      <c r="G12135">
        <v>2997465</v>
      </c>
      <c r="H12135">
        <v>14073159</v>
      </c>
      <c r="I12135">
        <v>3013048</v>
      </c>
      <c r="J12135">
        <v>3</v>
      </c>
    </row>
    <row r="12136" spans="1:10" x14ac:dyDescent="0.25">
      <c r="A12136" t="s">
        <v>126</v>
      </c>
      <c r="B12136" s="1" t="str">
        <f>HYPERLINK("http://beckman.ae","beckman.ae")</f>
        <v>beckman.ae</v>
      </c>
      <c r="C12136" t="s">
        <v>417</v>
      </c>
      <c r="D12136" t="s">
        <v>799</v>
      </c>
      <c r="F12136">
        <v>1.10561795622102E-8</v>
      </c>
      <c r="G12136">
        <v>5817726</v>
      </c>
      <c r="H12136">
        <v>10950865</v>
      </c>
      <c r="I12136">
        <v>34564238</v>
      </c>
      <c r="J12136">
        <v>5</v>
      </c>
    </row>
    <row r="12137" spans="1:10" x14ac:dyDescent="0.25">
      <c r="A12137" t="s">
        <v>126</v>
      </c>
      <c r="B12137" s="1" t="str">
        <f>HYPERLINK("http://radiometer.ae","radiometer.ae")</f>
        <v>radiometer.ae</v>
      </c>
      <c r="C12137" t="s">
        <v>417</v>
      </c>
      <c r="D12137" t="s">
        <v>799</v>
      </c>
      <c r="F12137">
        <v>9.7787249855351897E-9</v>
      </c>
      <c r="G12137">
        <v>6991736</v>
      </c>
      <c r="H12137">
        <v>10698720</v>
      </c>
      <c r="I12137">
        <v>42339752</v>
      </c>
      <c r="J12137">
        <v>4</v>
      </c>
    </row>
    <row r="12138" spans="1:10" x14ac:dyDescent="0.25">
      <c r="A12138" t="s">
        <v>126</v>
      </c>
      <c r="B12138" s="1" t="str">
        <f>HYPERLINK("http://videojet.ae","videojet.ae")</f>
        <v>videojet.ae</v>
      </c>
      <c r="C12138" t="s">
        <v>417</v>
      </c>
      <c r="D12138" t="s">
        <v>799</v>
      </c>
      <c r="F12138">
        <v>8.2194509939469906E-9</v>
      </c>
      <c r="G12138">
        <v>9538589</v>
      </c>
      <c r="H12138">
        <v>12129466</v>
      </c>
      <c r="I12138">
        <v>25155130</v>
      </c>
      <c r="J12138">
        <v>4</v>
      </c>
    </row>
    <row r="12139" spans="1:10" x14ac:dyDescent="0.25">
      <c r="A12139" t="s">
        <v>126</v>
      </c>
      <c r="B12139" s="1" t="str">
        <f>HYPERLINK("http://videojet.com.ar","videojet.com.ar")</f>
        <v>videojet.com.ar</v>
      </c>
      <c r="C12139" t="s">
        <v>418</v>
      </c>
      <c r="D12139" t="s">
        <v>800</v>
      </c>
      <c r="F12139">
        <v>9.8966455190621807E-9</v>
      </c>
      <c r="G12139">
        <v>6862913</v>
      </c>
      <c r="H12139">
        <v>13366675</v>
      </c>
      <c r="I12139">
        <v>10480714</v>
      </c>
      <c r="J12139">
        <v>4</v>
      </c>
    </row>
    <row r="12140" spans="1:10" x14ac:dyDescent="0.25">
      <c r="A12140" t="s">
        <v>126</v>
      </c>
      <c r="B12140" s="1" t="str">
        <f>HYPERLINK("http://beckman.at","beckman.at")</f>
        <v>beckman.at</v>
      </c>
      <c r="C12140" t="s">
        <v>419</v>
      </c>
      <c r="D12140" t="s">
        <v>801</v>
      </c>
      <c r="F12140">
        <v>1.1075624845139999E-8</v>
      </c>
      <c r="G12140">
        <v>5803417</v>
      </c>
      <c r="H12140">
        <v>10950865</v>
      </c>
      <c r="I12140">
        <v>34564239</v>
      </c>
      <c r="J12140">
        <v>5</v>
      </c>
    </row>
    <row r="12141" spans="1:10" x14ac:dyDescent="0.25">
      <c r="A12141" t="s">
        <v>126</v>
      </c>
      <c r="B12141" s="1" t="str">
        <f>HYPERLINK("http://beckman.com.au","beckman.com.au")</f>
        <v>beckman.com.au</v>
      </c>
      <c r="C12141" t="s">
        <v>420</v>
      </c>
      <c r="D12141" t="s">
        <v>802</v>
      </c>
      <c r="F12141">
        <v>1.9259311073563601E-8</v>
      </c>
      <c r="G12141">
        <v>2788767</v>
      </c>
      <c r="H12141">
        <v>12574128</v>
      </c>
      <c r="I12141">
        <v>16590233</v>
      </c>
      <c r="J12141">
        <v>5</v>
      </c>
    </row>
    <row r="12142" spans="1:10" x14ac:dyDescent="0.25">
      <c r="A12142" t="s">
        <v>126</v>
      </c>
      <c r="B12142" s="1" t="str">
        <f>HYPERLINK("http://radiometer.com.au","radiometer.com.au")</f>
        <v>radiometer.com.au</v>
      </c>
      <c r="C12142" t="s">
        <v>420</v>
      </c>
      <c r="D12142" t="s">
        <v>802</v>
      </c>
      <c r="F12142">
        <v>1.1029046422606101E-8</v>
      </c>
      <c r="G12142">
        <v>5837845</v>
      </c>
      <c r="H12142">
        <v>13361034</v>
      </c>
      <c r="I12142">
        <v>10522407</v>
      </c>
      <c r="J12142">
        <v>4</v>
      </c>
    </row>
    <row r="12143" spans="1:10" x14ac:dyDescent="0.25">
      <c r="A12143" t="s">
        <v>126</v>
      </c>
      <c r="B12143" s="1" t="str">
        <f>HYPERLINK("http://pantone.net.au","pantone.net.au")</f>
        <v>pantone.net.au</v>
      </c>
      <c r="C12143" t="s">
        <v>420</v>
      </c>
      <c r="D12143" t="s">
        <v>802</v>
      </c>
      <c r="F12143">
        <v>1.12601987867824E-6</v>
      </c>
      <c r="G12143">
        <v>34250</v>
      </c>
      <c r="H12143">
        <v>12891686</v>
      </c>
      <c r="I12143">
        <v>13925713</v>
      </c>
      <c r="J12143">
        <v>4</v>
      </c>
    </row>
    <row r="12144" spans="1:10" x14ac:dyDescent="0.25">
      <c r="A12144" t="s">
        <v>126</v>
      </c>
      <c r="B12144" s="1" t="str">
        <f>HYPERLINK("http://radiometer.be","radiometer.be")</f>
        <v>radiometer.be</v>
      </c>
      <c r="C12144" t="s">
        <v>421</v>
      </c>
      <c r="D12144" t="s">
        <v>803</v>
      </c>
      <c r="F12144">
        <v>1.01499419259245E-8</v>
      </c>
      <c r="G12144">
        <v>6596742</v>
      </c>
      <c r="H12144">
        <v>10652394</v>
      </c>
      <c r="I12144">
        <v>43576091</v>
      </c>
      <c r="J12144">
        <v>4</v>
      </c>
    </row>
    <row r="12145" spans="1:10" x14ac:dyDescent="0.25">
      <c r="A12145" t="s">
        <v>126</v>
      </c>
      <c r="B12145" s="1" t="str">
        <f>HYPERLINK("http://videojet.be","videojet.be")</f>
        <v>videojet.be</v>
      </c>
      <c r="C12145" t="s">
        <v>421</v>
      </c>
      <c r="D12145" t="s">
        <v>803</v>
      </c>
      <c r="F12145">
        <v>8.0998125937828307E-9</v>
      </c>
      <c r="G12145">
        <v>9741847</v>
      </c>
      <c r="H12145">
        <v>12109724</v>
      </c>
      <c r="I12145">
        <v>25743894</v>
      </c>
      <c r="J12145">
        <v>4</v>
      </c>
    </row>
    <row r="12146" spans="1:10" x14ac:dyDescent="0.25">
      <c r="A12146" t="s">
        <v>126</v>
      </c>
      <c r="B12146" s="1" t="str">
        <f>HYPERLINK("http://videojet.bg","videojet.bg")</f>
        <v>videojet.bg</v>
      </c>
      <c r="C12146" t="s">
        <v>422</v>
      </c>
      <c r="D12146" t="s">
        <v>804</v>
      </c>
      <c r="F12146">
        <v>8.2997003224206497E-9</v>
      </c>
      <c r="G12146">
        <v>9257720</v>
      </c>
      <c r="H12146">
        <v>12109726</v>
      </c>
      <c r="I12146">
        <v>25743864</v>
      </c>
      <c r="J12146">
        <v>4</v>
      </c>
    </row>
    <row r="12147" spans="1:10" x14ac:dyDescent="0.25">
      <c r="A12147" t="s">
        <v>126</v>
      </c>
      <c r="B12147" s="1" t="str">
        <f>HYPERLINK("http://phenomenex.blog","phenomenex.blog")</f>
        <v>phenomenex.blog</v>
      </c>
      <c r="C12147" t="s">
        <v>581</v>
      </c>
      <c r="F12147">
        <v>1.12849403764621E-8</v>
      </c>
      <c r="G12147">
        <v>5653016</v>
      </c>
      <c r="H12147">
        <v>13949436</v>
      </c>
      <c r="I12147">
        <v>4183538</v>
      </c>
      <c r="J12147">
        <v>4</v>
      </c>
    </row>
    <row r="12148" spans="1:10" x14ac:dyDescent="0.25">
      <c r="A12148" t="s">
        <v>126</v>
      </c>
      <c r="B12148" s="1" t="str">
        <f>HYPERLINK("http://mybeckman.com.br","mybeckman.com.br")</f>
        <v>mybeckman.com.br</v>
      </c>
      <c r="C12148" t="s">
        <v>425</v>
      </c>
      <c r="D12148" t="s">
        <v>806</v>
      </c>
      <c r="F12148">
        <v>1.14753210547036E-8</v>
      </c>
      <c r="G12148">
        <v>5522010</v>
      </c>
      <c r="H12148">
        <v>12147298</v>
      </c>
      <c r="I12148">
        <v>24693576</v>
      </c>
      <c r="J12148">
        <v>7</v>
      </c>
    </row>
    <row r="12149" spans="1:10" x14ac:dyDescent="0.25">
      <c r="A12149" t="s">
        <v>126</v>
      </c>
      <c r="B12149" s="1" t="str">
        <f>HYPERLINK("http://beckman.by","beckman.by")</f>
        <v>beckman.by</v>
      </c>
      <c r="C12149" t="s">
        <v>427</v>
      </c>
      <c r="D12149" t="s">
        <v>808</v>
      </c>
      <c r="F12149">
        <v>1.10598652705454E-8</v>
      </c>
      <c r="G12149">
        <v>5815018</v>
      </c>
      <c r="H12149">
        <v>10950865</v>
      </c>
      <c r="I12149">
        <v>34564241</v>
      </c>
      <c r="J12149">
        <v>5</v>
      </c>
    </row>
    <row r="12150" spans="1:10" x14ac:dyDescent="0.25">
      <c r="A12150" t="s">
        <v>126</v>
      </c>
      <c r="B12150" s="1" t="str">
        <f>HYPERLINK("http://mybeckman.ca","mybeckman.ca")</f>
        <v>mybeckman.ca</v>
      </c>
      <c r="C12150" t="s">
        <v>428</v>
      </c>
      <c r="D12150" t="s">
        <v>809</v>
      </c>
      <c r="F12150">
        <v>1.4816798579946799E-8</v>
      </c>
      <c r="G12150">
        <v>3901676</v>
      </c>
      <c r="H12150">
        <v>12693326</v>
      </c>
      <c r="I12150">
        <v>15396239</v>
      </c>
      <c r="J12150">
        <v>7</v>
      </c>
    </row>
    <row r="12151" spans="1:10" x14ac:dyDescent="0.25">
      <c r="A12151" t="s">
        <v>126</v>
      </c>
      <c r="B12151" s="1" t="str">
        <f>HYPERLINK("http://radiometer.ca","radiometer.ca")</f>
        <v>radiometer.ca</v>
      </c>
      <c r="C12151" t="s">
        <v>428</v>
      </c>
      <c r="D12151" t="s">
        <v>809</v>
      </c>
      <c r="F12151">
        <v>1.05864050602134E-8</v>
      </c>
      <c r="G12151">
        <v>6195521</v>
      </c>
      <c r="H12151">
        <v>12382671</v>
      </c>
      <c r="I12151">
        <v>19162288</v>
      </c>
      <c r="J12151">
        <v>4</v>
      </c>
    </row>
    <row r="12152" spans="1:10" x14ac:dyDescent="0.25">
      <c r="A12152" t="s">
        <v>126</v>
      </c>
      <c r="B12152" s="1" t="str">
        <f>HYPERLINK("http://beckman.ch","beckman.ch")</f>
        <v>beckman.ch</v>
      </c>
      <c r="C12152" t="s">
        <v>429</v>
      </c>
      <c r="D12152" t="s">
        <v>810</v>
      </c>
      <c r="F12152">
        <v>1.4087984952280401E-8</v>
      </c>
      <c r="G12152">
        <v>4170115</v>
      </c>
      <c r="H12152">
        <v>13061530</v>
      </c>
      <c r="I12152">
        <v>12324001</v>
      </c>
      <c r="J12152">
        <v>5</v>
      </c>
    </row>
    <row r="12153" spans="1:10" x14ac:dyDescent="0.25">
      <c r="A12153" t="s">
        <v>126</v>
      </c>
      <c r="B12153" s="1" t="str">
        <f>HYPERLINK("http://radiometer.ch","radiometer.ch")</f>
        <v>radiometer.ch</v>
      </c>
      <c r="C12153" t="s">
        <v>429</v>
      </c>
      <c r="D12153" t="s">
        <v>810</v>
      </c>
      <c r="F12153">
        <v>1.06177702599538E-8</v>
      </c>
      <c r="G12153">
        <v>6168635</v>
      </c>
      <c r="H12153">
        <v>10655337</v>
      </c>
      <c r="I12153">
        <v>43542737</v>
      </c>
      <c r="J12153">
        <v>4</v>
      </c>
    </row>
    <row r="12154" spans="1:10" x14ac:dyDescent="0.25">
      <c r="A12154" t="s">
        <v>126</v>
      </c>
      <c r="B12154" s="1" t="str">
        <f>HYPERLINK("http://videojet.ch","videojet.ch")</f>
        <v>videojet.ch</v>
      </c>
      <c r="C12154" t="s">
        <v>429</v>
      </c>
      <c r="D12154" t="s">
        <v>810</v>
      </c>
      <c r="F12154">
        <v>9.2147584569292904E-9</v>
      </c>
      <c r="G12154">
        <v>7690101</v>
      </c>
      <c r="H12154">
        <v>12112377</v>
      </c>
      <c r="I12154">
        <v>25665743</v>
      </c>
      <c r="J12154">
        <v>4</v>
      </c>
    </row>
    <row r="12155" spans="1:10" x14ac:dyDescent="0.25">
      <c r="A12155" t="s">
        <v>126</v>
      </c>
      <c r="B12155" s="1" t="str">
        <f>HYPERLINK("http://radiometer.cl","radiometer.cl")</f>
        <v>radiometer.cl</v>
      </c>
      <c r="C12155" t="s">
        <v>430</v>
      </c>
      <c r="D12155" t="s">
        <v>811</v>
      </c>
      <c r="F12155">
        <v>9.7650985364362903E-9</v>
      </c>
      <c r="G12155">
        <v>7006763</v>
      </c>
      <c r="H12155">
        <v>10708606</v>
      </c>
      <c r="I12155">
        <v>42177068</v>
      </c>
      <c r="J12155">
        <v>4</v>
      </c>
    </row>
    <row r="12156" spans="1:10" x14ac:dyDescent="0.25">
      <c r="A12156" t="s">
        <v>126</v>
      </c>
      <c r="B12156" s="1" t="str">
        <f>HYPERLINK("http://videojet.cl","videojet.cl")</f>
        <v>videojet.cl</v>
      </c>
      <c r="C12156" t="s">
        <v>430</v>
      </c>
      <c r="D12156" t="s">
        <v>811</v>
      </c>
      <c r="F12156">
        <v>8.2025333513629803E-9</v>
      </c>
      <c r="G12156">
        <v>9566919</v>
      </c>
      <c r="H12156">
        <v>12109724</v>
      </c>
      <c r="I12156">
        <v>25743895</v>
      </c>
      <c r="J12156">
        <v>4</v>
      </c>
    </row>
    <row r="12157" spans="1:10" x14ac:dyDescent="0.25">
      <c r="A12157" t="s">
        <v>126</v>
      </c>
      <c r="B12157" s="1" t="str">
        <f>HYPERLINK("http://sciex.cloud","sciex.cloud")</f>
        <v>sciex.cloud</v>
      </c>
      <c r="C12157" t="s">
        <v>516</v>
      </c>
      <c r="F12157">
        <v>8.5198518929875899E-9</v>
      </c>
      <c r="G12157">
        <v>8806489</v>
      </c>
      <c r="H12157">
        <v>12009791</v>
      </c>
      <c r="I12157">
        <v>28079324</v>
      </c>
      <c r="J12157">
        <v>4</v>
      </c>
    </row>
    <row r="12158" spans="1:10" x14ac:dyDescent="0.25">
      <c r="A12158" t="s">
        <v>126</v>
      </c>
      <c r="B12158" s="1" t="str">
        <f>HYPERLINK("http://beckmancoulter.cn","beckmancoulter.cn")</f>
        <v>beckmancoulter.cn</v>
      </c>
      <c r="C12158" t="s">
        <v>431</v>
      </c>
      <c r="D12158" t="s">
        <v>812</v>
      </c>
      <c r="F12158">
        <v>9.44656787727286E-8</v>
      </c>
      <c r="G12158">
        <v>429503</v>
      </c>
      <c r="H12158">
        <v>12281257</v>
      </c>
      <c r="I12158">
        <v>21282601</v>
      </c>
      <c r="J12158">
        <v>3</v>
      </c>
    </row>
    <row r="12159" spans="1:10" x14ac:dyDescent="0.25">
      <c r="A12159" t="s">
        <v>126</v>
      </c>
      <c r="B12159" s="1" t="str">
        <f>HYPERLINK("http://cytivalifesciences.com.cn","cytivalifesciences.com.cn")</f>
        <v>cytivalifesciences.com.cn</v>
      </c>
      <c r="C12159" t="s">
        <v>431</v>
      </c>
      <c r="D12159" t="s">
        <v>812</v>
      </c>
      <c r="E12159">
        <v>565609</v>
      </c>
      <c r="F12159">
        <v>1.2358973412288699E-8</v>
      </c>
      <c r="G12159">
        <v>4961545</v>
      </c>
      <c r="H12159">
        <v>11309488</v>
      </c>
      <c r="I12159">
        <v>30564844</v>
      </c>
      <c r="J12159">
        <v>4</v>
      </c>
    </row>
    <row r="12160" spans="1:10" x14ac:dyDescent="0.25">
      <c r="A12160" t="s">
        <v>126</v>
      </c>
      <c r="B12160" s="1" t="str">
        <f>HYPERLINK("http://esko.com.cn","esko.com.cn")</f>
        <v>esko.com.cn</v>
      </c>
      <c r="C12160" t="s">
        <v>431</v>
      </c>
      <c r="D12160" t="s">
        <v>812</v>
      </c>
      <c r="F12160">
        <v>8.4721470535215306E-9</v>
      </c>
      <c r="G12160">
        <v>8898850</v>
      </c>
      <c r="H12160">
        <v>11032308</v>
      </c>
      <c r="I12160">
        <v>33066737</v>
      </c>
      <c r="J12160">
        <v>5</v>
      </c>
    </row>
    <row r="12161" spans="1:10" x14ac:dyDescent="0.25">
      <c r="A12161" t="s">
        <v>126</v>
      </c>
      <c r="B12161" s="1" t="str">
        <f>HYPERLINK("http://leica-microsystems.com.cn","leica-microsystems.com.cn")</f>
        <v>leica-microsystems.com.cn</v>
      </c>
      <c r="C12161" t="s">
        <v>431</v>
      </c>
      <c r="D12161" t="s">
        <v>812</v>
      </c>
      <c r="F12161">
        <v>7.0171518424113499E-8</v>
      </c>
      <c r="G12161">
        <v>603726</v>
      </c>
      <c r="H12161">
        <v>12428884</v>
      </c>
      <c r="I12161">
        <v>18320906</v>
      </c>
      <c r="J12161">
        <v>4</v>
      </c>
    </row>
    <row r="12162" spans="1:10" x14ac:dyDescent="0.25">
      <c r="A12162" t="s">
        <v>126</v>
      </c>
      <c r="B12162" s="1" t="str">
        <f>HYPERLINK("http://linxglobal.com.cn","linxglobal.com.cn")</f>
        <v>linxglobal.com.cn</v>
      </c>
      <c r="C12162" t="s">
        <v>431</v>
      </c>
      <c r="D12162" t="s">
        <v>812</v>
      </c>
      <c r="F12162">
        <v>1.19355282027384E-8</v>
      </c>
      <c r="G12162">
        <v>5215777</v>
      </c>
      <c r="H12162">
        <v>10535289</v>
      </c>
      <c r="I12162">
        <v>47675939</v>
      </c>
      <c r="J12162">
        <v>4</v>
      </c>
    </row>
    <row r="12163" spans="1:10" x14ac:dyDescent="0.25">
      <c r="A12163" t="s">
        <v>126</v>
      </c>
      <c r="B12163" s="1" t="str">
        <f>HYPERLINK("http://moleculardevices.com.cn","moleculardevices.com.cn")</f>
        <v>moleculardevices.com.cn</v>
      </c>
      <c r="C12163" t="s">
        <v>431</v>
      </c>
      <c r="D12163" t="s">
        <v>812</v>
      </c>
      <c r="F12163">
        <v>1.37920273912608E-8</v>
      </c>
      <c r="G12163">
        <v>4284771</v>
      </c>
      <c r="H12163">
        <v>11312805</v>
      </c>
      <c r="I12163">
        <v>30544109</v>
      </c>
      <c r="J12163">
        <v>4</v>
      </c>
    </row>
    <row r="12164" spans="1:10" x14ac:dyDescent="0.25">
      <c r="A12164" t="s">
        <v>126</v>
      </c>
      <c r="B12164" s="1" t="str">
        <f>HYPERLINK("http://phenomenex.com.cn","phenomenex.com.cn")</f>
        <v>phenomenex.com.cn</v>
      </c>
      <c r="C12164" t="s">
        <v>431</v>
      </c>
      <c r="D12164" t="s">
        <v>812</v>
      </c>
      <c r="F12164">
        <v>5.96556157806671E-9</v>
      </c>
      <c r="G12164">
        <v>16909558</v>
      </c>
      <c r="H12164">
        <v>10874917</v>
      </c>
      <c r="I12164">
        <v>36413692</v>
      </c>
      <c r="J12164">
        <v>4</v>
      </c>
    </row>
    <row r="12165" spans="1:10" x14ac:dyDescent="0.25">
      <c r="A12165" t="s">
        <v>126</v>
      </c>
      <c r="B12165" s="1" t="str">
        <f>HYPERLINK("http://sciex.com.cn","sciex.com.cn")</f>
        <v>sciex.com.cn</v>
      </c>
      <c r="C12165" t="s">
        <v>431</v>
      </c>
      <c r="D12165" t="s">
        <v>812</v>
      </c>
      <c r="F12165">
        <v>9.1113105406088295E-8</v>
      </c>
      <c r="G12165">
        <v>447429</v>
      </c>
      <c r="H12165">
        <v>13262278</v>
      </c>
      <c r="I12165">
        <v>11033167</v>
      </c>
      <c r="J12165">
        <v>3</v>
      </c>
    </row>
    <row r="12166" spans="1:10" x14ac:dyDescent="0.25">
      <c r="A12166" t="s">
        <v>126</v>
      </c>
      <c r="B12166" s="1" t="str">
        <f>HYPERLINK("http://videojet.com.cn","videojet.com.cn")</f>
        <v>videojet.com.cn</v>
      </c>
      <c r="C12166" t="s">
        <v>431</v>
      </c>
      <c r="D12166" t="s">
        <v>812</v>
      </c>
      <c r="E12166">
        <v>706430</v>
      </c>
      <c r="F12166">
        <v>3.0716485327705997E-8</v>
      </c>
      <c r="G12166">
        <v>1677070</v>
      </c>
      <c r="H12166">
        <v>12315780</v>
      </c>
      <c r="I12166">
        <v>20501009</v>
      </c>
      <c r="J12166">
        <v>4</v>
      </c>
    </row>
    <row r="12167" spans="1:10" x14ac:dyDescent="0.25">
      <c r="A12167" t="s">
        <v>126</v>
      </c>
      <c r="B12167" s="1" t="str">
        <f>HYPERLINK("http://mybeckman.cn","mybeckman.cn")</f>
        <v>mybeckman.cn</v>
      </c>
      <c r="C12167" t="s">
        <v>431</v>
      </c>
      <c r="D12167" t="s">
        <v>812</v>
      </c>
      <c r="F12167">
        <v>1.02684421017847E-7</v>
      </c>
      <c r="G12167">
        <v>390934</v>
      </c>
      <c r="H12167">
        <v>12385335</v>
      </c>
      <c r="I12167">
        <v>19118231</v>
      </c>
      <c r="J12167">
        <v>7</v>
      </c>
    </row>
    <row r="12168" spans="1:10" x14ac:dyDescent="0.25">
      <c r="A12168" t="s">
        <v>126</v>
      </c>
      <c r="B12168" s="1" t="str">
        <f>HYPERLINK("http://pall.cn","pall.cn")</f>
        <v>pall.cn</v>
      </c>
      <c r="C12168" t="s">
        <v>431</v>
      </c>
      <c r="D12168" t="s">
        <v>812</v>
      </c>
      <c r="F12168">
        <v>1.5083024940258301E-8</v>
      </c>
      <c r="G12168">
        <v>3813051</v>
      </c>
      <c r="H12168">
        <v>13175867</v>
      </c>
      <c r="I12168">
        <v>11700737</v>
      </c>
      <c r="J12168">
        <v>4</v>
      </c>
    </row>
    <row r="12169" spans="1:10" x14ac:dyDescent="0.25">
      <c r="A12169" t="s">
        <v>126</v>
      </c>
      <c r="B12169" s="1" t="str">
        <f>HYPERLINK("http://radiometer.cn","radiometer.cn")</f>
        <v>radiometer.cn</v>
      </c>
      <c r="C12169" t="s">
        <v>431</v>
      </c>
      <c r="D12169" t="s">
        <v>812</v>
      </c>
      <c r="F12169">
        <v>1.02960995155372E-8</v>
      </c>
      <c r="G12169">
        <v>6454526</v>
      </c>
      <c r="H12169">
        <v>10662059</v>
      </c>
      <c r="I12169">
        <v>43385378</v>
      </c>
      <c r="J12169">
        <v>4</v>
      </c>
    </row>
    <row r="12170" spans="1:10" x14ac:dyDescent="0.25">
      <c r="A12170" t="s">
        <v>126</v>
      </c>
      <c r="B12170" s="1" t="str">
        <f>HYPERLINK("http://xrite.cn","xrite.cn")</f>
        <v>xrite.cn</v>
      </c>
      <c r="C12170" t="s">
        <v>431</v>
      </c>
      <c r="D12170" t="s">
        <v>812</v>
      </c>
      <c r="F12170">
        <v>1.1052188087846299E-7</v>
      </c>
      <c r="G12170">
        <v>361848</v>
      </c>
      <c r="H12170">
        <v>12222121</v>
      </c>
      <c r="I12170">
        <v>22741694</v>
      </c>
      <c r="J12170">
        <v>4</v>
      </c>
    </row>
    <row r="12171" spans="1:10" x14ac:dyDescent="0.25">
      <c r="A12171" t="s">
        <v>126</v>
      </c>
      <c r="B12171" s="1" t="str">
        <f>HYPERLINK("http://radiometer.com.co","radiometer.com.co")</f>
        <v>radiometer.com.co</v>
      </c>
      <c r="C12171" t="s">
        <v>432</v>
      </c>
      <c r="F12171">
        <v>9.93475523600418E-9</v>
      </c>
      <c r="G12171">
        <v>6822214</v>
      </c>
      <c r="H12171">
        <v>10654927</v>
      </c>
      <c r="I12171">
        <v>43546852</v>
      </c>
      <c r="J12171">
        <v>4</v>
      </c>
    </row>
    <row r="12172" spans="1:10" x14ac:dyDescent="0.25">
      <c r="A12172" t="s">
        <v>126</v>
      </c>
      <c r="B12172" s="1" t="str">
        <f>HYPERLINK("http://mybeckman.co","mybeckman.co")</f>
        <v>mybeckman.co</v>
      </c>
      <c r="C12172" t="s">
        <v>432</v>
      </c>
      <c r="F12172">
        <v>1.15330672768093E-8</v>
      </c>
      <c r="G12172">
        <v>5480681</v>
      </c>
      <c r="H12172">
        <v>11058104</v>
      </c>
      <c r="I12172">
        <v>32703432</v>
      </c>
      <c r="J12172">
        <v>7</v>
      </c>
    </row>
    <row r="12173" spans="1:10" x14ac:dyDescent="0.25">
      <c r="A12173" t="s">
        <v>126</v>
      </c>
      <c r="B12173" s="1" t="str">
        <f>HYPERLINK("http://aldevron.com","aldevron.com")</f>
        <v>aldevron.com</v>
      </c>
      <c r="C12173" t="s">
        <v>433</v>
      </c>
      <c r="F12173">
        <v>6.7813651250753098E-8</v>
      </c>
      <c r="G12173">
        <v>629653</v>
      </c>
      <c r="H12173">
        <v>14344002</v>
      </c>
      <c r="I12173">
        <v>1313571</v>
      </c>
      <c r="J12173">
        <v>3</v>
      </c>
    </row>
    <row r="12174" spans="1:10" x14ac:dyDescent="0.25">
      <c r="A12174" t="s">
        <v>126</v>
      </c>
      <c r="B12174" s="1" t="str">
        <f>HYPERLINK("http://aperio.com","aperio.com")</f>
        <v>aperio.com</v>
      </c>
      <c r="C12174" t="s">
        <v>433</v>
      </c>
      <c r="F12174">
        <v>6.6400349293479202E-8</v>
      </c>
      <c r="G12174">
        <v>645356</v>
      </c>
      <c r="H12174">
        <v>14555925</v>
      </c>
      <c r="I12174">
        <v>751855</v>
      </c>
      <c r="J12174">
        <v>7</v>
      </c>
    </row>
    <row r="12175" spans="1:10" x14ac:dyDescent="0.25">
      <c r="A12175" t="s">
        <v>126</v>
      </c>
      <c r="B12175" s="1" t="str">
        <f>HYPERLINK("http://applitek.com","applitek.com")</f>
        <v>applitek.com</v>
      </c>
      <c r="C12175" t="s">
        <v>433</v>
      </c>
      <c r="F12175">
        <v>8.7528510947085798E-9</v>
      </c>
      <c r="G12175">
        <v>8387955</v>
      </c>
      <c r="H12175">
        <v>12434312</v>
      </c>
      <c r="I12175">
        <v>18225136</v>
      </c>
      <c r="J12175">
        <v>3</v>
      </c>
    </row>
    <row r="12176" spans="1:10" x14ac:dyDescent="0.25">
      <c r="A12176" t="s">
        <v>126</v>
      </c>
      <c r="B12176" s="1" t="str">
        <f>HYPERLINK("http://beckman.com","beckman.com")</f>
        <v>beckman.com</v>
      </c>
      <c r="C12176" t="s">
        <v>433</v>
      </c>
      <c r="E12176">
        <v>106021</v>
      </c>
      <c r="F12176">
        <v>2.8585664565415899E-7</v>
      </c>
      <c r="G12176">
        <v>130013</v>
      </c>
      <c r="H12176">
        <v>14824352</v>
      </c>
      <c r="I12176">
        <v>512408</v>
      </c>
      <c r="J12176">
        <v>4</v>
      </c>
    </row>
    <row r="12177" spans="1:10" x14ac:dyDescent="0.25">
      <c r="A12177" t="s">
        <v>126</v>
      </c>
      <c r="B12177" s="1" t="str">
        <f>HYPERLINK("http://beckmancoulter.com","beckmancoulter.com")</f>
        <v>beckmancoulter.com</v>
      </c>
      <c r="C12177" t="s">
        <v>433</v>
      </c>
      <c r="E12177">
        <v>91622</v>
      </c>
      <c r="F12177">
        <v>4.04330592248268E-7</v>
      </c>
      <c r="G12177">
        <v>92890</v>
      </c>
      <c r="H12177">
        <v>15124472</v>
      </c>
      <c r="I12177">
        <v>403111</v>
      </c>
      <c r="J12177">
        <v>3</v>
      </c>
    </row>
    <row r="12178" spans="1:10" x14ac:dyDescent="0.25">
      <c r="A12178" t="s">
        <v>126</v>
      </c>
      <c r="B12178" s="1" t="str">
        <f>HYPERLINK("http://bioptigen.com","bioptigen.com")</f>
        <v>bioptigen.com</v>
      </c>
      <c r="C12178" t="s">
        <v>433</v>
      </c>
      <c r="F12178">
        <v>8.7688400119860796E-9</v>
      </c>
      <c r="G12178">
        <v>8361435</v>
      </c>
      <c r="H12178">
        <v>13194255</v>
      </c>
      <c r="I12178">
        <v>11583028</v>
      </c>
      <c r="J12178">
        <v>7</v>
      </c>
    </row>
    <row r="12179" spans="1:10" x14ac:dyDescent="0.25">
      <c r="A12179" t="s">
        <v>126</v>
      </c>
      <c r="B12179" s="1" t="str">
        <f>HYPERLINK("http://videojet.br.com","videojet.br.com")</f>
        <v>videojet.br.com</v>
      </c>
      <c r="C12179" t="s">
        <v>433</v>
      </c>
      <c r="J12179">
        <v>8</v>
      </c>
    </row>
    <row r="12180" spans="1:10" x14ac:dyDescent="0.25">
      <c r="A12180" t="s">
        <v>126</v>
      </c>
      <c r="B12180" s="1" t="str">
        <f>HYPERLINK("http://cellesce.com","cellesce.com")</f>
        <v>cellesce.com</v>
      </c>
      <c r="C12180" t="s">
        <v>433</v>
      </c>
      <c r="F12180">
        <v>1.1717038164084E-8</v>
      </c>
      <c r="G12180">
        <v>5355471</v>
      </c>
      <c r="H12180">
        <v>13464179</v>
      </c>
      <c r="I12180">
        <v>10144087</v>
      </c>
      <c r="J12180">
        <v>10</v>
      </c>
    </row>
    <row r="12181" spans="1:10" x14ac:dyDescent="0.25">
      <c r="A12181" t="s">
        <v>126</v>
      </c>
      <c r="B12181" s="1" t="str">
        <f>HYPERLINK("http://cepheid.com","cepheid.com")</f>
        <v>cepheid.com</v>
      </c>
      <c r="C12181" t="s">
        <v>433</v>
      </c>
      <c r="E12181">
        <v>135947</v>
      </c>
      <c r="F12181">
        <v>2.8249600277407397E-7</v>
      </c>
      <c r="G12181">
        <v>131613</v>
      </c>
      <c r="H12181">
        <v>14911838</v>
      </c>
      <c r="I12181">
        <v>456765</v>
      </c>
      <c r="J12181">
        <v>2</v>
      </c>
    </row>
    <row r="12182" spans="1:10" x14ac:dyDescent="0.25">
      <c r="A12182" t="s">
        <v>126</v>
      </c>
      <c r="B12182" s="1" t="str">
        <f>HYPERLINK("http://cevec.com","cevec.com")</f>
        <v>cevec.com</v>
      </c>
      <c r="C12182" t="s">
        <v>433</v>
      </c>
      <c r="F12182">
        <v>2.9873699460053597E-8</v>
      </c>
      <c r="G12182">
        <v>1722599</v>
      </c>
      <c r="H12182">
        <v>13964303</v>
      </c>
      <c r="I12182">
        <v>4094407</v>
      </c>
      <c r="J12182">
        <v>3</v>
      </c>
    </row>
    <row r="12183" spans="1:10" x14ac:dyDescent="0.25">
      <c r="A12183" t="s">
        <v>126</v>
      </c>
      <c r="B12183" s="1" t="str">
        <f>HYPERLINK("http://chemtreat.com","chemtreat.com")</f>
        <v>chemtreat.com</v>
      </c>
      <c r="C12183" t="s">
        <v>433</v>
      </c>
      <c r="E12183">
        <v>558467</v>
      </c>
      <c r="F12183">
        <v>3.5008811623095603E-8</v>
      </c>
      <c r="G12183">
        <v>1483978</v>
      </c>
      <c r="H12183">
        <v>13790422</v>
      </c>
      <c r="I12183">
        <v>6347665</v>
      </c>
      <c r="J12183">
        <v>3</v>
      </c>
    </row>
    <row r="12184" spans="1:10" x14ac:dyDescent="0.25">
      <c r="A12184" t="s">
        <v>126</v>
      </c>
      <c r="B12184" s="1" t="str">
        <f>HYPERLINK("http://ctilex.com","ctilex.com")</f>
        <v>ctilex.com</v>
      </c>
      <c r="C12184" t="s">
        <v>433</v>
      </c>
      <c r="J12184">
        <v>6</v>
      </c>
    </row>
    <row r="12185" spans="1:10" x14ac:dyDescent="0.25">
      <c r="A12185" t="s">
        <v>126</v>
      </c>
      <c r="B12185" s="1" t="str">
        <f>HYPERLINK("http://cytiva.com","cytiva.com")</f>
        <v>cytiva.com</v>
      </c>
      <c r="C12185" t="s">
        <v>433</v>
      </c>
      <c r="E12185">
        <v>285825</v>
      </c>
      <c r="F12185">
        <v>2.20961892481717E-7</v>
      </c>
      <c r="G12185">
        <v>170579</v>
      </c>
      <c r="H12185">
        <v>17028658</v>
      </c>
      <c r="I12185">
        <v>84603</v>
      </c>
      <c r="J12185">
        <v>4</v>
      </c>
    </row>
    <row r="12186" spans="1:10" x14ac:dyDescent="0.25">
      <c r="A12186" t="s">
        <v>126</v>
      </c>
      <c r="B12186" s="1" t="str">
        <f>HYPERLINK("http://cytivalifesciences.com","cytivalifesciences.com")</f>
        <v>cytivalifesciences.com</v>
      </c>
      <c r="C12186" t="s">
        <v>433</v>
      </c>
      <c r="E12186">
        <v>120569</v>
      </c>
      <c r="F12186">
        <v>5.48078492922475E-7</v>
      </c>
      <c r="G12186">
        <v>70581</v>
      </c>
      <c r="H12186">
        <v>13901072</v>
      </c>
      <c r="I12186">
        <v>5950161</v>
      </c>
      <c r="J12186">
        <v>3</v>
      </c>
    </row>
    <row r="12187" spans="1:10" x14ac:dyDescent="0.25">
      <c r="A12187" t="s">
        <v>126</v>
      </c>
      <c r="B12187" s="1" t="str">
        <f>HYPERLINK("http://danaher.com","danaher.com")</f>
        <v>danaher.com</v>
      </c>
      <c r="C12187" t="s">
        <v>433</v>
      </c>
      <c r="E12187">
        <v>68718</v>
      </c>
      <c r="F12187">
        <v>4.23304999773208E-7</v>
      </c>
      <c r="G12187">
        <v>88977</v>
      </c>
      <c r="H12187">
        <v>15140579</v>
      </c>
      <c r="I12187">
        <v>401183</v>
      </c>
      <c r="J12187">
        <v>1</v>
      </c>
    </row>
    <row r="12188" spans="1:10" x14ac:dyDescent="0.25">
      <c r="A12188" t="s">
        <v>126</v>
      </c>
      <c r="B12188" s="1" t="str">
        <f>HYPERLINK("http://danaherdigital.com","danaherdigital.com")</f>
        <v>danaherdigital.com</v>
      </c>
      <c r="C12188" t="s">
        <v>433</v>
      </c>
      <c r="F12188">
        <v>4.4521795781956002E-9</v>
      </c>
      <c r="G12188">
        <v>70772408</v>
      </c>
      <c r="H12188">
        <v>9524609</v>
      </c>
      <c r="I12188">
        <v>65366508</v>
      </c>
      <c r="J12188">
        <v>4</v>
      </c>
    </row>
    <row r="12189" spans="1:10" x14ac:dyDescent="0.25">
      <c r="A12189" t="s">
        <v>126</v>
      </c>
      <c r="B12189" s="1" t="str">
        <f>HYPERLINK("http://esko.com","esko.com")</f>
        <v>esko.com</v>
      </c>
      <c r="C12189" t="s">
        <v>433</v>
      </c>
      <c r="E12189">
        <v>103752</v>
      </c>
      <c r="F12189">
        <v>3.0208209586318702E-7</v>
      </c>
      <c r="G12189">
        <v>123093</v>
      </c>
      <c r="H12189">
        <v>15081088</v>
      </c>
      <c r="I12189">
        <v>409407</v>
      </c>
      <c r="J12189">
        <v>4</v>
      </c>
    </row>
    <row r="12190" spans="1:10" x14ac:dyDescent="0.25">
      <c r="A12190" t="s">
        <v>126</v>
      </c>
      <c r="B12190" s="1" t="str">
        <f>HYPERLINK("http://genetix.com","genetix.com")</f>
        <v>genetix.com</v>
      </c>
      <c r="C12190" t="s">
        <v>433</v>
      </c>
      <c r="F12190">
        <v>1.9127750403495699E-8</v>
      </c>
      <c r="G12190">
        <v>2811106</v>
      </c>
      <c r="H12190">
        <v>13745800</v>
      </c>
      <c r="I12190">
        <v>9423751</v>
      </c>
      <c r="J12190">
        <v>6</v>
      </c>
    </row>
    <row r="12191" spans="1:10" x14ac:dyDescent="0.25">
      <c r="A12191" t="s">
        <v>126</v>
      </c>
      <c r="B12191" s="1" t="str">
        <f>HYPERLINK("http://hach.com","hach.com")</f>
        <v>hach.com</v>
      </c>
      <c r="C12191" t="s">
        <v>433</v>
      </c>
      <c r="E12191">
        <v>68113</v>
      </c>
      <c r="F12191">
        <v>4.5335804574929099E-7</v>
      </c>
      <c r="G12191">
        <v>83399</v>
      </c>
      <c r="H12191">
        <v>16991452</v>
      </c>
      <c r="I12191">
        <v>95560</v>
      </c>
      <c r="J12191">
        <v>3</v>
      </c>
    </row>
    <row r="12192" spans="1:10" x14ac:dyDescent="0.25">
      <c r="A12192" t="s">
        <v>126</v>
      </c>
      <c r="B12192" s="1" t="str">
        <f>HYPERLINK("http://hemocue.com","hemocue.com")</f>
        <v>hemocue.com</v>
      </c>
      <c r="C12192" t="s">
        <v>433</v>
      </c>
      <c r="F12192">
        <v>5.0689935963634002E-8</v>
      </c>
      <c r="G12192">
        <v>905454</v>
      </c>
      <c r="H12192">
        <v>14064195</v>
      </c>
      <c r="I12192">
        <v>3743941</v>
      </c>
      <c r="J12192">
        <v>5</v>
      </c>
    </row>
    <row r="12193" spans="1:10" x14ac:dyDescent="0.25">
      <c r="A12193" t="s">
        <v>126</v>
      </c>
      <c r="B12193" s="1" t="str">
        <f>HYPERLINK("http://idbs.com","idbs.com")</f>
        <v>idbs.com</v>
      </c>
      <c r="C12193" t="s">
        <v>433</v>
      </c>
      <c r="E12193">
        <v>833703</v>
      </c>
      <c r="F12193">
        <v>1.07166108559126E-7</v>
      </c>
      <c r="G12193">
        <v>373584</v>
      </c>
      <c r="H12193">
        <v>14344817</v>
      </c>
      <c r="I12193">
        <v>1313037</v>
      </c>
      <c r="J12193">
        <v>3</v>
      </c>
    </row>
    <row r="12194" spans="1:10" x14ac:dyDescent="0.25">
      <c r="A12194" t="s">
        <v>126</v>
      </c>
      <c r="B12194" s="1" t="str">
        <f>HYPERLINK("http://idtdna.com","idtdna.com")</f>
        <v>idtdna.com</v>
      </c>
      <c r="C12194" t="s">
        <v>433</v>
      </c>
      <c r="E12194">
        <v>84285</v>
      </c>
      <c r="F12194">
        <v>3.7819758168144499E-7</v>
      </c>
      <c r="G12194">
        <v>98930</v>
      </c>
      <c r="H12194">
        <v>14946365</v>
      </c>
      <c r="I12194">
        <v>441689</v>
      </c>
      <c r="J12194">
        <v>3</v>
      </c>
    </row>
    <row r="12195" spans="1:10" x14ac:dyDescent="0.25">
      <c r="A12195" t="s">
        <v>126</v>
      </c>
      <c r="B12195" s="1" t="str">
        <f>HYPERLINK("http://inforsense.com","inforsense.com")</f>
        <v>inforsense.com</v>
      </c>
      <c r="C12195" t="s">
        <v>433</v>
      </c>
      <c r="F12195">
        <v>2.4623170581807998E-8</v>
      </c>
      <c r="G12195">
        <v>2103388</v>
      </c>
      <c r="H12195">
        <v>13313196</v>
      </c>
      <c r="I12195">
        <v>10767753</v>
      </c>
      <c r="J12195">
        <v>6</v>
      </c>
    </row>
    <row r="12196" spans="1:10" x14ac:dyDescent="0.25">
      <c r="A12196" t="s">
        <v>126</v>
      </c>
      <c r="B12196" s="1" t="str">
        <f>HYPERLINK("http://insilixa.com","insilixa.com")</f>
        <v>insilixa.com</v>
      </c>
      <c r="C12196" t="s">
        <v>433</v>
      </c>
      <c r="F12196">
        <v>6.0713572055221204E-9</v>
      </c>
      <c r="G12196">
        <v>16257830</v>
      </c>
      <c r="H12196">
        <v>13764140</v>
      </c>
      <c r="I12196">
        <v>7364158</v>
      </c>
      <c r="J12196">
        <v>3</v>
      </c>
    </row>
    <row r="12197" spans="1:10" x14ac:dyDescent="0.25">
      <c r="A12197" t="s">
        <v>126</v>
      </c>
      <c r="B12197" s="1" t="str">
        <f>HYPERLINK("http://kippzonen.com","kippzonen.com")</f>
        <v>kippzonen.com</v>
      </c>
      <c r="C12197" t="s">
        <v>433</v>
      </c>
      <c r="E12197">
        <v>987828</v>
      </c>
      <c r="F12197">
        <v>8.4181670377413794E-8</v>
      </c>
      <c r="G12197">
        <v>491321</v>
      </c>
      <c r="H12197">
        <v>14917659</v>
      </c>
      <c r="I12197">
        <v>453298</v>
      </c>
      <c r="J12197">
        <v>3</v>
      </c>
    </row>
    <row r="12198" spans="1:10" x14ac:dyDescent="0.25">
      <c r="A12198" t="s">
        <v>126</v>
      </c>
      <c r="B12198" s="1" t="str">
        <f>HYPERLINK("http://kreatech.com","kreatech.com")</f>
        <v>kreatech.com</v>
      </c>
      <c r="C12198" t="s">
        <v>433</v>
      </c>
      <c r="F12198">
        <v>6.6061269102201503E-9</v>
      </c>
      <c r="G12198">
        <v>13653845</v>
      </c>
      <c r="H12198">
        <v>12937882</v>
      </c>
      <c r="I12198">
        <v>13319390</v>
      </c>
      <c r="J12198">
        <v>7</v>
      </c>
    </row>
    <row r="12199" spans="1:10" x14ac:dyDescent="0.25">
      <c r="A12199" t="s">
        <v>126</v>
      </c>
      <c r="B12199" s="1" t="str">
        <f>HYPERLINK("http://labcyte.com","labcyte.com")</f>
        <v>labcyte.com</v>
      </c>
      <c r="C12199" t="s">
        <v>433</v>
      </c>
      <c r="F12199">
        <v>4.70930984886966E-8</v>
      </c>
      <c r="G12199">
        <v>990744</v>
      </c>
      <c r="H12199">
        <v>14263818</v>
      </c>
      <c r="I12199">
        <v>1411848</v>
      </c>
      <c r="J12199">
        <v>3</v>
      </c>
    </row>
    <row r="12200" spans="1:10" x14ac:dyDescent="0.25">
      <c r="A12200" t="s">
        <v>126</v>
      </c>
      <c r="B12200" s="1" t="str">
        <f>HYPERLINK("http://leica-microsystems.com","leica-microsystems.com")</f>
        <v>leica-microsystems.com</v>
      </c>
      <c r="C12200" t="s">
        <v>433</v>
      </c>
      <c r="E12200">
        <v>68584</v>
      </c>
      <c r="F12200">
        <v>6.0205659626331196E-7</v>
      </c>
      <c r="G12200">
        <v>63513</v>
      </c>
      <c r="H12200">
        <v>15437569</v>
      </c>
      <c r="I12200">
        <v>378671</v>
      </c>
      <c r="J12200">
        <v>3</v>
      </c>
    </row>
    <row r="12201" spans="1:10" x14ac:dyDescent="0.25">
      <c r="A12201" t="s">
        <v>126</v>
      </c>
      <c r="B12201" s="1" t="str">
        <f>HYPERLINK("http://leicabiosystems.com","leicabiosystems.com")</f>
        <v>leicabiosystems.com</v>
      </c>
      <c r="C12201" t="s">
        <v>433</v>
      </c>
      <c r="E12201">
        <v>135724</v>
      </c>
      <c r="F12201">
        <v>3.1923512424492999E-7</v>
      </c>
      <c r="G12201">
        <v>116542</v>
      </c>
      <c r="H12201">
        <v>14913339</v>
      </c>
      <c r="I12201">
        <v>455777</v>
      </c>
      <c r="J12201">
        <v>3</v>
      </c>
    </row>
    <row r="12202" spans="1:10" x14ac:dyDescent="0.25">
      <c r="A12202" t="s">
        <v>126</v>
      </c>
      <c r="B12202" s="1" t="str">
        <f>HYPERLINK("http://linxglobal.com","linxglobal.com")</f>
        <v>linxglobal.com</v>
      </c>
      <c r="C12202" t="s">
        <v>433</v>
      </c>
      <c r="F12202">
        <v>3.6278395014489199E-8</v>
      </c>
      <c r="G12202">
        <v>1437902</v>
      </c>
      <c r="H12202">
        <v>13953427</v>
      </c>
      <c r="I12202">
        <v>4150575</v>
      </c>
      <c r="J12202">
        <v>3</v>
      </c>
    </row>
    <row r="12203" spans="1:10" x14ac:dyDescent="0.25">
      <c r="A12203" t="s">
        <v>126</v>
      </c>
      <c r="B12203" s="1" t="str">
        <f>HYPERLINK("http://lipesa.com","lipesa.com")</f>
        <v>lipesa.com</v>
      </c>
      <c r="C12203" t="s">
        <v>433</v>
      </c>
      <c r="F12203">
        <v>5.2762030329866498E-9</v>
      </c>
      <c r="G12203">
        <v>23845525</v>
      </c>
      <c r="H12203">
        <v>11063151</v>
      </c>
      <c r="I12203">
        <v>32651758</v>
      </c>
      <c r="J12203">
        <v>7</v>
      </c>
    </row>
    <row r="12204" spans="1:10" x14ac:dyDescent="0.25">
      <c r="A12204" t="s">
        <v>126</v>
      </c>
      <c r="B12204" s="1" t="str">
        <f>HYPERLINK("http://moleculardevices.com","moleculardevices.com")</f>
        <v>moleculardevices.com</v>
      </c>
      <c r="C12204" t="s">
        <v>433</v>
      </c>
      <c r="E12204">
        <v>161676</v>
      </c>
      <c r="F12204">
        <v>2.7077556666677799E-7</v>
      </c>
      <c r="G12204">
        <v>137506</v>
      </c>
      <c r="H12204">
        <v>15289426</v>
      </c>
      <c r="I12204">
        <v>386924</v>
      </c>
      <c r="J12204">
        <v>3</v>
      </c>
    </row>
    <row r="12205" spans="1:10" x14ac:dyDescent="0.25">
      <c r="A12205" t="s">
        <v>126</v>
      </c>
      <c r="B12205" s="1" t="str">
        <f>HYPERLINK("http://pall.com","pall.com")</f>
        <v>pall.com</v>
      </c>
      <c r="C12205" t="s">
        <v>433</v>
      </c>
      <c r="E12205">
        <v>47901</v>
      </c>
      <c r="F12205">
        <v>3.9137174886494402E-7</v>
      </c>
      <c r="G12205">
        <v>95776</v>
      </c>
      <c r="H12205">
        <v>15471371</v>
      </c>
      <c r="I12205">
        <v>377537</v>
      </c>
      <c r="J12205">
        <v>3</v>
      </c>
    </row>
    <row r="12206" spans="1:10" x14ac:dyDescent="0.25">
      <c r="A12206" t="s">
        <v>126</v>
      </c>
      <c r="B12206" s="1" t="str">
        <f>HYPERLINK("http://pantone.com","pantone.com")</f>
        <v>pantone.com</v>
      </c>
      <c r="C12206" t="s">
        <v>433</v>
      </c>
      <c r="E12206">
        <v>6473</v>
      </c>
      <c r="F12206">
        <v>7.1190246715637599E-6</v>
      </c>
      <c r="G12206">
        <v>4726</v>
      </c>
      <c r="H12206">
        <v>17921814</v>
      </c>
      <c r="I12206">
        <v>4274</v>
      </c>
      <c r="J12206">
        <v>3</v>
      </c>
    </row>
    <row r="12207" spans="1:10" x14ac:dyDescent="0.25">
      <c r="A12207" t="s">
        <v>126</v>
      </c>
      <c r="B12207" s="1" t="str">
        <f>HYPERLINK("http://phenomenex.com","phenomenex.com")</f>
        <v>phenomenex.com</v>
      </c>
      <c r="C12207" t="s">
        <v>433</v>
      </c>
      <c r="E12207">
        <v>260135</v>
      </c>
      <c r="F12207">
        <v>9.2622284929745799E-8</v>
      </c>
      <c r="G12207">
        <v>439249</v>
      </c>
      <c r="H12207">
        <v>14098314</v>
      </c>
      <c r="I12207">
        <v>2718037</v>
      </c>
      <c r="J12207">
        <v>3</v>
      </c>
    </row>
    <row r="12208" spans="1:10" x14ac:dyDescent="0.25">
      <c r="A12208" t="s">
        <v>126</v>
      </c>
      <c r="B12208" s="1" t="str">
        <f>HYPERLINK("http://proiris.com","proiris.com")</f>
        <v>proiris.com</v>
      </c>
      <c r="C12208" t="s">
        <v>433</v>
      </c>
      <c r="F12208">
        <v>9.0929348473857493E-9</v>
      </c>
      <c r="G12208">
        <v>7856610</v>
      </c>
      <c r="H12208">
        <v>13578458</v>
      </c>
      <c r="I12208">
        <v>9694149</v>
      </c>
      <c r="J12208">
        <v>3</v>
      </c>
    </row>
    <row r="12209" spans="1:10" x14ac:dyDescent="0.25">
      <c r="A12209" t="s">
        <v>126</v>
      </c>
      <c r="B12209" s="1" t="str">
        <f>HYPERLINK("http://puridify.com","puridify.com")</f>
        <v>puridify.com</v>
      </c>
      <c r="C12209" t="s">
        <v>433</v>
      </c>
      <c r="F12209">
        <v>8.5626167042393194E-9</v>
      </c>
      <c r="G12209">
        <v>8724714</v>
      </c>
      <c r="H12209">
        <v>13178556</v>
      </c>
      <c r="I12209">
        <v>11689035</v>
      </c>
      <c r="J12209">
        <v>7</v>
      </c>
    </row>
    <row r="12210" spans="1:10" x14ac:dyDescent="0.25">
      <c r="A12210" t="s">
        <v>126</v>
      </c>
      <c r="B12210" s="1" t="str">
        <f>HYPERLINK("http://radiometer.com","radiometer.com")</f>
        <v>radiometer.com</v>
      </c>
      <c r="C12210" t="s">
        <v>433</v>
      </c>
      <c r="E12210">
        <v>588353</v>
      </c>
      <c r="F12210">
        <v>8.7758434735201699E-8</v>
      </c>
      <c r="G12210">
        <v>467275</v>
      </c>
      <c r="H12210">
        <v>13932335</v>
      </c>
      <c r="I12210">
        <v>5928123</v>
      </c>
      <c r="J12210">
        <v>3</v>
      </c>
    </row>
    <row r="12211" spans="1:10" x14ac:dyDescent="0.25">
      <c r="A12211" t="s">
        <v>126</v>
      </c>
      <c r="B12211" s="1" t="str">
        <f>HYPERLINK("http://radiometeramerica.com","radiometeramerica.com")</f>
        <v>radiometeramerica.com</v>
      </c>
      <c r="C12211" t="s">
        <v>433</v>
      </c>
      <c r="F12211">
        <v>1.7870014304353101E-8</v>
      </c>
      <c r="G12211">
        <v>3059824</v>
      </c>
      <c r="H12211">
        <v>13457821</v>
      </c>
      <c r="I12211">
        <v>10180039</v>
      </c>
      <c r="J12211">
        <v>7</v>
      </c>
    </row>
    <row r="12212" spans="1:10" x14ac:dyDescent="0.25">
      <c r="A12212" t="s">
        <v>126</v>
      </c>
      <c r="B12212" s="1" t="str">
        <f>HYPERLINK("http://sciex.com","sciex.com")</f>
        <v>sciex.com</v>
      </c>
      <c r="C12212" t="s">
        <v>433</v>
      </c>
      <c r="E12212">
        <v>121714</v>
      </c>
      <c r="F12212">
        <v>3.0267352115763999E-7</v>
      </c>
      <c r="G12212">
        <v>122855</v>
      </c>
      <c r="H12212">
        <v>14460105</v>
      </c>
      <c r="I12212">
        <v>1047315</v>
      </c>
      <c r="J12212">
        <v>3</v>
      </c>
    </row>
    <row r="12213" spans="1:10" x14ac:dyDescent="0.25">
      <c r="A12213" t="s">
        <v>126</v>
      </c>
      <c r="B12213" s="1" t="str">
        <f>HYPERLINK("http://sea-birdscientific.com","sea-birdscientific.com")</f>
        <v>sea-birdscientific.com</v>
      </c>
      <c r="C12213" t="s">
        <v>433</v>
      </c>
      <c r="F12213">
        <v>1.6875234362772402E-8</v>
      </c>
      <c r="G12213">
        <v>3315112</v>
      </c>
      <c r="H12213">
        <v>13427987</v>
      </c>
      <c r="I12213">
        <v>10286146</v>
      </c>
      <c r="J12213">
        <v>6</v>
      </c>
    </row>
    <row r="12214" spans="1:10" x14ac:dyDescent="0.25">
      <c r="A12214" t="s">
        <v>126</v>
      </c>
      <c r="B12214" s="1" t="str">
        <f>HYPERLINK("http://seabird.com","seabird.com")</f>
        <v>seabird.com</v>
      </c>
      <c r="C12214" t="s">
        <v>433</v>
      </c>
      <c r="E12214">
        <v>483603</v>
      </c>
      <c r="F12214">
        <v>1.91370129684551E-7</v>
      </c>
      <c r="G12214">
        <v>201383</v>
      </c>
      <c r="H12214">
        <v>14966811</v>
      </c>
      <c r="I12214">
        <v>435121</v>
      </c>
      <c r="J12214">
        <v>4</v>
      </c>
    </row>
    <row r="12215" spans="1:10" x14ac:dyDescent="0.25">
      <c r="A12215" t="s">
        <v>126</v>
      </c>
      <c r="B12215" s="1" t="str">
        <f>HYPERLINK("http://sonicrecruit.com","sonicrecruit.com")</f>
        <v>sonicrecruit.com</v>
      </c>
      <c r="C12215" t="s">
        <v>433</v>
      </c>
      <c r="F12215">
        <v>5.5633752375381696E-9</v>
      </c>
      <c r="G12215">
        <v>20241816</v>
      </c>
      <c r="H12215">
        <v>12953055</v>
      </c>
      <c r="I12215">
        <v>13197372</v>
      </c>
      <c r="J12215">
        <v>6</v>
      </c>
    </row>
    <row r="12216" spans="1:10" x14ac:dyDescent="0.25">
      <c r="A12216" t="s">
        <v>126</v>
      </c>
      <c r="B12216" s="1" t="str">
        <f>HYPERLINK("http://surgipath.com","surgipath.com")</f>
        <v>surgipath.com</v>
      </c>
      <c r="C12216" t="s">
        <v>433</v>
      </c>
      <c r="F12216">
        <v>5.0394683919893696E-9</v>
      </c>
      <c r="G12216">
        <v>28453751</v>
      </c>
      <c r="H12216">
        <v>12151771</v>
      </c>
      <c r="I12216">
        <v>24578612</v>
      </c>
      <c r="J12216">
        <v>3</v>
      </c>
    </row>
    <row r="12217" spans="1:10" x14ac:dyDescent="0.25">
      <c r="A12217" t="s">
        <v>126</v>
      </c>
      <c r="B12217" s="1" t="str">
        <f>HYPERLINK("http://vanrx.com","vanrx.com")</f>
        <v>vanrx.com</v>
      </c>
      <c r="C12217" t="s">
        <v>433</v>
      </c>
      <c r="F12217">
        <v>1.1467283915552601E-8</v>
      </c>
      <c r="G12217">
        <v>5527378</v>
      </c>
      <c r="H12217">
        <v>12679653</v>
      </c>
      <c r="I12217">
        <v>15504979</v>
      </c>
      <c r="J12217">
        <v>3</v>
      </c>
    </row>
    <row r="12218" spans="1:10" x14ac:dyDescent="0.25">
      <c r="A12218" t="s">
        <v>126</v>
      </c>
      <c r="B12218" s="1" t="str">
        <f>HYPERLINK("http://videojet.com","videojet.com")</f>
        <v>videojet.com</v>
      </c>
      <c r="C12218" t="s">
        <v>433</v>
      </c>
      <c r="E12218">
        <v>108888</v>
      </c>
      <c r="F12218">
        <v>1.19141915004595E-7</v>
      </c>
      <c r="G12218">
        <v>332048</v>
      </c>
      <c r="H12218">
        <v>13851469</v>
      </c>
      <c r="I12218">
        <v>6051245</v>
      </c>
      <c r="J12218">
        <v>4</v>
      </c>
    </row>
    <row r="12219" spans="1:10" x14ac:dyDescent="0.25">
      <c r="A12219" t="s">
        <v>126</v>
      </c>
      <c r="B12219" s="1" t="str">
        <f>HYPERLINK("http://xos.com","xos.com")</f>
        <v>xos.com</v>
      </c>
      <c r="C12219" t="s">
        <v>433</v>
      </c>
      <c r="F12219">
        <v>3.2832629616887999E-8</v>
      </c>
      <c r="G12219">
        <v>1573577</v>
      </c>
      <c r="H12219">
        <v>14378013</v>
      </c>
      <c r="I12219">
        <v>1206586</v>
      </c>
      <c r="J12219">
        <v>3</v>
      </c>
    </row>
    <row r="12220" spans="1:10" x14ac:dyDescent="0.25">
      <c r="A12220" t="s">
        <v>126</v>
      </c>
      <c r="B12220" s="1" t="str">
        <f>HYPERLINK("http://xrite.com","xrite.com")</f>
        <v>xrite.com</v>
      </c>
      <c r="C12220" t="s">
        <v>433</v>
      </c>
      <c r="E12220">
        <v>36396</v>
      </c>
      <c r="F12220">
        <v>7.8976107757024099E-7</v>
      </c>
      <c r="G12220">
        <v>49731</v>
      </c>
      <c r="H12220">
        <v>17333208</v>
      </c>
      <c r="I12220">
        <v>24634</v>
      </c>
      <c r="J12220">
        <v>3</v>
      </c>
    </row>
    <row r="12221" spans="1:10" x14ac:dyDescent="0.25">
      <c r="A12221" t="s">
        <v>126</v>
      </c>
      <c r="B12221" s="1" t="str">
        <f>HYPERLINK("http://xritephoto.com","xritephoto.com")</f>
        <v>xritephoto.com</v>
      </c>
      <c r="C12221" t="s">
        <v>433</v>
      </c>
      <c r="E12221">
        <v>268592</v>
      </c>
      <c r="F12221">
        <v>3.86462069066708E-7</v>
      </c>
      <c r="G12221">
        <v>96939</v>
      </c>
      <c r="H12221">
        <v>15275742</v>
      </c>
      <c r="I12221">
        <v>388031</v>
      </c>
      <c r="J12221">
        <v>5</v>
      </c>
    </row>
    <row r="12222" spans="1:10" x14ac:dyDescent="0.25">
      <c r="A12222" t="s">
        <v>126</v>
      </c>
      <c r="B12222" s="1" t="str">
        <f>HYPERLINK("http://mybeckman.cz","mybeckman.cz")</f>
        <v>mybeckman.cz</v>
      </c>
      <c r="C12222" t="s">
        <v>435</v>
      </c>
      <c r="D12222" t="s">
        <v>814</v>
      </c>
      <c r="F12222">
        <v>8.5919480037913394E-9</v>
      </c>
      <c r="G12222">
        <v>8671018</v>
      </c>
      <c r="H12222">
        <v>12041219</v>
      </c>
      <c r="I12222">
        <v>27437411</v>
      </c>
      <c r="J12222">
        <v>8</v>
      </c>
    </row>
    <row r="12223" spans="1:10" x14ac:dyDescent="0.25">
      <c r="A12223" t="s">
        <v>126</v>
      </c>
      <c r="B12223" s="1" t="str">
        <f>HYPERLINK("http://radiometer.cz","radiometer.cz")</f>
        <v>radiometer.cz</v>
      </c>
      <c r="C12223" t="s">
        <v>435</v>
      </c>
      <c r="D12223" t="s">
        <v>814</v>
      </c>
      <c r="F12223">
        <v>1.0828315123791401E-8</v>
      </c>
      <c r="G12223">
        <v>5998450</v>
      </c>
      <c r="H12223">
        <v>10862008</v>
      </c>
      <c r="I12223">
        <v>36639211</v>
      </c>
      <c r="J12223">
        <v>4</v>
      </c>
    </row>
    <row r="12224" spans="1:10" x14ac:dyDescent="0.25">
      <c r="A12224" t="s">
        <v>126</v>
      </c>
      <c r="B12224" s="1" t="str">
        <f>HYPERLINK("http://videojet.cz","videojet.cz")</f>
        <v>videojet.cz</v>
      </c>
      <c r="C12224" t="s">
        <v>435</v>
      </c>
      <c r="D12224" t="s">
        <v>814</v>
      </c>
      <c r="F12224">
        <v>8.4231416200563497E-9</v>
      </c>
      <c r="G12224">
        <v>8995875</v>
      </c>
      <c r="H12224">
        <v>12200951</v>
      </c>
      <c r="I12224">
        <v>23296449</v>
      </c>
      <c r="J12224">
        <v>4</v>
      </c>
    </row>
    <row r="12225" spans="1:10" x14ac:dyDescent="0.25">
      <c r="A12225" t="s">
        <v>126</v>
      </c>
      <c r="B12225" s="1" t="str">
        <f>HYPERLINK("http://beckman.de","beckman.de")</f>
        <v>beckman.de</v>
      </c>
      <c r="C12225" t="s">
        <v>436</v>
      </c>
      <c r="D12225" t="s">
        <v>815</v>
      </c>
      <c r="F12225">
        <v>3.2428263503105098E-8</v>
      </c>
      <c r="G12225">
        <v>1593269</v>
      </c>
      <c r="H12225">
        <v>14080010</v>
      </c>
      <c r="I12225">
        <v>2824995</v>
      </c>
      <c r="J12225">
        <v>5</v>
      </c>
    </row>
    <row r="12226" spans="1:10" x14ac:dyDescent="0.25">
      <c r="A12226" t="s">
        <v>126</v>
      </c>
      <c r="B12226" s="1" t="str">
        <f>HYPERLINK("http://kippzonen.de","kippzonen.de")</f>
        <v>kippzonen.de</v>
      </c>
      <c r="C12226" t="s">
        <v>436</v>
      </c>
      <c r="D12226" t="s">
        <v>815</v>
      </c>
      <c r="F12226">
        <v>5.6236531960373903E-9</v>
      </c>
      <c r="G12226">
        <v>19635182</v>
      </c>
      <c r="H12226">
        <v>10948578</v>
      </c>
      <c r="I12226">
        <v>34619615</v>
      </c>
      <c r="J12226">
        <v>4</v>
      </c>
    </row>
    <row r="12227" spans="1:10" x14ac:dyDescent="0.25">
      <c r="A12227" t="s">
        <v>126</v>
      </c>
      <c r="B12227" s="1" t="str">
        <f>HYPERLINK("http://pall.de","pall.de")</f>
        <v>pall.de</v>
      </c>
      <c r="C12227" t="s">
        <v>436</v>
      </c>
      <c r="D12227" t="s">
        <v>815</v>
      </c>
      <c r="F12227">
        <v>8.3143009762774204E-9</v>
      </c>
      <c r="G12227">
        <v>9224543</v>
      </c>
      <c r="H12227">
        <v>10953510</v>
      </c>
      <c r="I12227">
        <v>34503842</v>
      </c>
      <c r="J12227">
        <v>4</v>
      </c>
    </row>
    <row r="12228" spans="1:10" x14ac:dyDescent="0.25">
      <c r="A12228" t="s">
        <v>126</v>
      </c>
      <c r="B12228" s="1" t="str">
        <f>HYPERLINK("http://radiometer.de","radiometer.de")</f>
        <v>radiometer.de</v>
      </c>
      <c r="C12228" t="s">
        <v>436</v>
      </c>
      <c r="D12228" t="s">
        <v>815</v>
      </c>
      <c r="F12228">
        <v>1.6545843785943999E-8</v>
      </c>
      <c r="G12228">
        <v>3402503</v>
      </c>
      <c r="H12228">
        <v>12518103</v>
      </c>
      <c r="I12228">
        <v>17168185</v>
      </c>
      <c r="J12228">
        <v>4</v>
      </c>
    </row>
    <row r="12229" spans="1:10" x14ac:dyDescent="0.25">
      <c r="A12229" t="s">
        <v>126</v>
      </c>
      <c r="B12229" s="1" t="str">
        <f>HYPERLINK("http://videojet.de","videojet.de")</f>
        <v>videojet.de</v>
      </c>
      <c r="C12229" t="s">
        <v>436</v>
      </c>
      <c r="D12229" t="s">
        <v>815</v>
      </c>
      <c r="F12229">
        <v>2.2807310086472201E-8</v>
      </c>
      <c r="G12229">
        <v>2293082</v>
      </c>
      <c r="H12229">
        <v>14122533</v>
      </c>
      <c r="I12229">
        <v>2208591</v>
      </c>
      <c r="J12229">
        <v>4</v>
      </c>
    </row>
    <row r="12230" spans="1:10" x14ac:dyDescent="0.25">
      <c r="A12230" t="s">
        <v>126</v>
      </c>
      <c r="B12230" s="1" t="str">
        <f>HYPERLINK("http://hemocue.dk","hemocue.dk")</f>
        <v>hemocue.dk</v>
      </c>
      <c r="C12230" t="s">
        <v>437</v>
      </c>
      <c r="D12230" t="s">
        <v>816</v>
      </c>
      <c r="F12230">
        <v>7.5343742736348406E-9</v>
      </c>
      <c r="G12230">
        <v>10938454</v>
      </c>
      <c r="H12230">
        <v>10783733</v>
      </c>
      <c r="I12230">
        <v>38763351</v>
      </c>
      <c r="J12230">
        <v>5</v>
      </c>
    </row>
    <row r="12231" spans="1:10" x14ac:dyDescent="0.25">
      <c r="A12231" t="s">
        <v>126</v>
      </c>
      <c r="B12231" s="1" t="str">
        <f>HYPERLINK("http://radiometer.dk","radiometer.dk")</f>
        <v>radiometer.dk</v>
      </c>
      <c r="C12231" t="s">
        <v>437</v>
      </c>
      <c r="D12231" t="s">
        <v>816</v>
      </c>
      <c r="F12231">
        <v>1.4236071596562499E-8</v>
      </c>
      <c r="G12231">
        <v>4116167</v>
      </c>
      <c r="H12231">
        <v>12449670</v>
      </c>
      <c r="I12231">
        <v>18001271</v>
      </c>
      <c r="J12231">
        <v>4</v>
      </c>
    </row>
    <row r="12232" spans="1:10" x14ac:dyDescent="0.25">
      <c r="A12232" t="s">
        <v>126</v>
      </c>
      <c r="B12232" s="1" t="str">
        <f>HYPERLINK("http://beckman.es","beckman.es")</f>
        <v>beckman.es</v>
      </c>
      <c r="C12232" t="s">
        <v>443</v>
      </c>
      <c r="D12232" t="s">
        <v>822</v>
      </c>
      <c r="F12232">
        <v>1.17915370981228E-8</v>
      </c>
      <c r="G12232">
        <v>5307366</v>
      </c>
      <c r="H12232">
        <v>11235143</v>
      </c>
      <c r="I12232">
        <v>30994618</v>
      </c>
      <c r="J12232">
        <v>5</v>
      </c>
    </row>
    <row r="12233" spans="1:10" x14ac:dyDescent="0.25">
      <c r="A12233" t="s">
        <v>126</v>
      </c>
      <c r="B12233" s="1" t="str">
        <f>HYPERLINK("http://kippzonen.es","kippzonen.es")</f>
        <v>kippzonen.es</v>
      </c>
      <c r="C12233" t="s">
        <v>443</v>
      </c>
      <c r="D12233" t="s">
        <v>822</v>
      </c>
      <c r="F12233">
        <v>7.4324481542817099E-9</v>
      </c>
      <c r="G12233">
        <v>11166987</v>
      </c>
      <c r="H12233">
        <v>12988841</v>
      </c>
      <c r="I12233">
        <v>12869354</v>
      </c>
      <c r="J12233">
        <v>4</v>
      </c>
    </row>
    <row r="12234" spans="1:10" x14ac:dyDescent="0.25">
      <c r="A12234" t="s">
        <v>126</v>
      </c>
      <c r="B12234" s="1" t="str">
        <f>HYPERLINK("http://radiometer.es","radiometer.es")</f>
        <v>radiometer.es</v>
      </c>
      <c r="C12234" t="s">
        <v>443</v>
      </c>
      <c r="D12234" t="s">
        <v>822</v>
      </c>
      <c r="F12234">
        <v>1.0954271984255299E-8</v>
      </c>
      <c r="G12234">
        <v>5900182</v>
      </c>
      <c r="H12234">
        <v>10886468</v>
      </c>
      <c r="I12234">
        <v>36197809</v>
      </c>
      <c r="J12234">
        <v>4</v>
      </c>
    </row>
    <row r="12235" spans="1:10" x14ac:dyDescent="0.25">
      <c r="A12235" t="s">
        <v>126</v>
      </c>
      <c r="B12235" s="1" t="str">
        <f>HYPERLINK("http://videojet.es","videojet.es")</f>
        <v>videojet.es</v>
      </c>
      <c r="C12235" t="s">
        <v>443</v>
      </c>
      <c r="D12235" t="s">
        <v>822</v>
      </c>
      <c r="F12235">
        <v>1.10046282766025E-8</v>
      </c>
      <c r="G12235">
        <v>5856516</v>
      </c>
      <c r="H12235">
        <v>13942267</v>
      </c>
      <c r="I12235">
        <v>4333465</v>
      </c>
      <c r="J12235">
        <v>4</v>
      </c>
    </row>
    <row r="12236" spans="1:10" x14ac:dyDescent="0.25">
      <c r="A12236" t="s">
        <v>126</v>
      </c>
      <c r="B12236" s="1" t="str">
        <f>HYPERLINK("http://videojet.eu","videojet.eu")</f>
        <v>videojet.eu</v>
      </c>
      <c r="C12236" t="s">
        <v>444</v>
      </c>
      <c r="F12236">
        <v>6.0021214299658498E-9</v>
      </c>
      <c r="G12236">
        <v>16670241</v>
      </c>
      <c r="H12236">
        <v>11208003</v>
      </c>
      <c r="I12236">
        <v>31178441</v>
      </c>
      <c r="J12236">
        <v>5</v>
      </c>
    </row>
    <row r="12237" spans="1:10" x14ac:dyDescent="0.25">
      <c r="A12237" t="s">
        <v>126</v>
      </c>
      <c r="B12237" s="1" t="str">
        <f>HYPERLINK("http://xritephoto.eu","xritephoto.eu")</f>
        <v>xritephoto.eu</v>
      </c>
      <c r="C12237" t="s">
        <v>444</v>
      </c>
      <c r="F12237">
        <v>7.8070812228344907E-8</v>
      </c>
      <c r="G12237">
        <v>535784</v>
      </c>
      <c r="H12237">
        <v>13714101</v>
      </c>
      <c r="I12237">
        <v>9502901</v>
      </c>
      <c r="J12237">
        <v>6</v>
      </c>
    </row>
    <row r="12238" spans="1:10" x14ac:dyDescent="0.25">
      <c r="A12238" t="s">
        <v>126</v>
      </c>
      <c r="B12238" s="1" t="str">
        <f>HYPERLINK("http://cytiva.fi","cytiva.fi")</f>
        <v>cytiva.fi</v>
      </c>
      <c r="C12238" t="s">
        <v>445</v>
      </c>
      <c r="D12238" t="s">
        <v>823</v>
      </c>
      <c r="J12238">
        <v>4</v>
      </c>
    </row>
    <row r="12239" spans="1:10" x14ac:dyDescent="0.25">
      <c r="A12239" t="s">
        <v>126</v>
      </c>
      <c r="B12239" s="1" t="str">
        <f>HYPERLINK("http://innotrac.fi","innotrac.fi")</f>
        <v>innotrac.fi</v>
      </c>
      <c r="C12239" t="s">
        <v>445</v>
      </c>
      <c r="D12239" t="s">
        <v>823</v>
      </c>
      <c r="F12239">
        <v>4.6696819060509603E-9</v>
      </c>
      <c r="G12239">
        <v>42941286</v>
      </c>
      <c r="H12239">
        <v>12559390</v>
      </c>
      <c r="I12239">
        <v>16720147</v>
      </c>
      <c r="J12239">
        <v>4</v>
      </c>
    </row>
    <row r="12240" spans="1:10" x14ac:dyDescent="0.25">
      <c r="A12240" t="s">
        <v>126</v>
      </c>
      <c r="B12240" s="1" t="str">
        <f>HYPERLINK("http://pall-medical.fi","pall-medical.fi")</f>
        <v>pall-medical.fi</v>
      </c>
      <c r="C12240" t="s">
        <v>445</v>
      </c>
      <c r="D12240" t="s">
        <v>823</v>
      </c>
      <c r="J12240">
        <v>4</v>
      </c>
    </row>
    <row r="12241" spans="1:10" x14ac:dyDescent="0.25">
      <c r="A12241" t="s">
        <v>126</v>
      </c>
      <c r="B12241" s="1" t="str">
        <f>HYPERLINK("http://pallmedical.fi","pallmedical.fi")</f>
        <v>pallmedical.fi</v>
      </c>
      <c r="C12241" t="s">
        <v>445</v>
      </c>
      <c r="D12241" t="s">
        <v>823</v>
      </c>
      <c r="J12241">
        <v>4</v>
      </c>
    </row>
    <row r="12242" spans="1:10" x14ac:dyDescent="0.25">
      <c r="A12242" t="s">
        <v>126</v>
      </c>
      <c r="B12242" s="1" t="str">
        <f>HYPERLINK("http://radiometer.fi","radiometer.fi")</f>
        <v>radiometer.fi</v>
      </c>
      <c r="C12242" t="s">
        <v>445</v>
      </c>
      <c r="D12242" t="s">
        <v>823</v>
      </c>
      <c r="J12242">
        <v>4</v>
      </c>
    </row>
    <row r="12243" spans="1:10" x14ac:dyDescent="0.25">
      <c r="A12243" t="s">
        <v>126</v>
      </c>
      <c r="B12243" s="1" t="str">
        <f>HYPERLINK("http://smartnet.fi","smartnet.fi")</f>
        <v>smartnet.fi</v>
      </c>
      <c r="C12243" t="s">
        <v>445</v>
      </c>
      <c r="D12243" t="s">
        <v>823</v>
      </c>
      <c r="J12243">
        <v>4</v>
      </c>
    </row>
    <row r="12244" spans="1:10" x14ac:dyDescent="0.25">
      <c r="A12244" t="s">
        <v>126</v>
      </c>
      <c r="B12244" s="1" t="str">
        <f>HYPERLINK("http://beckman.fr","beckman.fr")</f>
        <v>beckman.fr</v>
      </c>
      <c r="C12244" t="s">
        <v>446</v>
      </c>
      <c r="D12244" t="s">
        <v>824</v>
      </c>
      <c r="F12244">
        <v>1.95230341316679E-8</v>
      </c>
      <c r="G12244">
        <v>2740756</v>
      </c>
      <c r="H12244">
        <v>13363453</v>
      </c>
      <c r="I12244">
        <v>10497130</v>
      </c>
      <c r="J12244">
        <v>5</v>
      </c>
    </row>
    <row r="12245" spans="1:10" x14ac:dyDescent="0.25">
      <c r="A12245" t="s">
        <v>126</v>
      </c>
      <c r="B12245" s="1" t="str">
        <f>HYPERLINK("http://hemocue.fr","hemocue.fr")</f>
        <v>hemocue.fr</v>
      </c>
      <c r="C12245" t="s">
        <v>446</v>
      </c>
      <c r="D12245" t="s">
        <v>824</v>
      </c>
      <c r="F12245">
        <v>8.4139151430791406E-9</v>
      </c>
      <c r="G12245">
        <v>9014492</v>
      </c>
      <c r="H12245">
        <v>12216641</v>
      </c>
      <c r="I12245">
        <v>22867980</v>
      </c>
      <c r="J12245">
        <v>5</v>
      </c>
    </row>
    <row r="12246" spans="1:10" x14ac:dyDescent="0.25">
      <c r="A12246" t="s">
        <v>126</v>
      </c>
      <c r="B12246" s="1" t="str">
        <f>HYPERLINK("http://pall.fr","pall.fr")</f>
        <v>pall.fr</v>
      </c>
      <c r="C12246" t="s">
        <v>446</v>
      </c>
      <c r="D12246" t="s">
        <v>824</v>
      </c>
      <c r="F12246">
        <v>5.8722212943961001E-9</v>
      </c>
      <c r="G12246">
        <v>17552622</v>
      </c>
      <c r="H12246">
        <v>12935801</v>
      </c>
      <c r="I12246">
        <v>13339435</v>
      </c>
      <c r="J12246">
        <v>4</v>
      </c>
    </row>
    <row r="12247" spans="1:10" x14ac:dyDescent="0.25">
      <c r="A12247" t="s">
        <v>126</v>
      </c>
      <c r="B12247" s="1" t="str">
        <f>HYPERLINK("http://radiometer.fr","radiometer.fr")</f>
        <v>radiometer.fr</v>
      </c>
      <c r="C12247" t="s">
        <v>446</v>
      </c>
      <c r="D12247" t="s">
        <v>824</v>
      </c>
      <c r="F12247">
        <v>1.32189287787661E-8</v>
      </c>
      <c r="G12247">
        <v>4529853</v>
      </c>
      <c r="H12247">
        <v>14072055</v>
      </c>
      <c r="I12247">
        <v>3177694</v>
      </c>
      <c r="J12247">
        <v>4</v>
      </c>
    </row>
    <row r="12248" spans="1:10" x14ac:dyDescent="0.25">
      <c r="A12248" t="s">
        <v>126</v>
      </c>
      <c r="B12248" s="1" t="str">
        <f>HYPERLINK("http://videojet.fr","videojet.fr")</f>
        <v>videojet.fr</v>
      </c>
      <c r="C12248" t="s">
        <v>446</v>
      </c>
      <c r="D12248" t="s">
        <v>824</v>
      </c>
      <c r="F12248">
        <v>1.08794205265441E-8</v>
      </c>
      <c r="G12248">
        <v>5958414</v>
      </c>
      <c r="H12248">
        <v>12175706</v>
      </c>
      <c r="I12248">
        <v>23913963</v>
      </c>
      <c r="J12248">
        <v>4</v>
      </c>
    </row>
    <row r="12249" spans="1:10" x14ac:dyDescent="0.25">
      <c r="A12249" t="s">
        <v>126</v>
      </c>
      <c r="B12249" s="1" t="str">
        <f>HYPERLINK("http://beckman.hk","beckman.hk")</f>
        <v>beckman.hk</v>
      </c>
      <c r="C12249" t="s">
        <v>450</v>
      </c>
      <c r="D12249" t="s">
        <v>827</v>
      </c>
      <c r="F12249">
        <v>1.10713106494362E-8</v>
      </c>
      <c r="G12249">
        <v>5806676</v>
      </c>
      <c r="H12249">
        <v>10950865</v>
      </c>
      <c r="I12249">
        <v>34564248</v>
      </c>
      <c r="J12249">
        <v>5</v>
      </c>
    </row>
    <row r="12250" spans="1:10" x14ac:dyDescent="0.25">
      <c r="A12250" t="s">
        <v>126</v>
      </c>
      <c r="B12250" s="1" t="str">
        <f>HYPERLINK("http://pantone.com.hk","pantone.com.hk")</f>
        <v>pantone.com.hk</v>
      </c>
      <c r="C12250" t="s">
        <v>450</v>
      </c>
      <c r="D12250" t="s">
        <v>827</v>
      </c>
      <c r="F12250">
        <v>4.4862053117560196E-9</v>
      </c>
      <c r="G12250">
        <v>61180419</v>
      </c>
      <c r="H12250">
        <v>10472145</v>
      </c>
      <c r="I12250">
        <v>51220174</v>
      </c>
      <c r="J12250">
        <v>4</v>
      </c>
    </row>
    <row r="12251" spans="1:10" x14ac:dyDescent="0.25">
      <c r="A12251" t="s">
        <v>126</v>
      </c>
      <c r="B12251" s="1" t="str">
        <f>HYPERLINK("http://phenomenex.com.hk","phenomenex.com.hk")</f>
        <v>phenomenex.com.hk</v>
      </c>
      <c r="C12251" t="s">
        <v>450</v>
      </c>
      <c r="D12251" t="s">
        <v>827</v>
      </c>
      <c r="F12251">
        <v>7.4016467329053603E-9</v>
      </c>
      <c r="G12251">
        <v>11240015</v>
      </c>
      <c r="H12251">
        <v>13869640</v>
      </c>
      <c r="I12251">
        <v>6000595</v>
      </c>
      <c r="J12251">
        <v>5</v>
      </c>
    </row>
    <row r="12252" spans="1:10" x14ac:dyDescent="0.25">
      <c r="A12252" t="s">
        <v>126</v>
      </c>
      <c r="B12252" s="1" t="str">
        <f>HYPERLINK("http://radiometer.hu","radiometer.hu")</f>
        <v>radiometer.hu</v>
      </c>
      <c r="C12252" t="s">
        <v>453</v>
      </c>
      <c r="D12252" t="s">
        <v>830</v>
      </c>
      <c r="F12252">
        <v>9.7768417745946493E-9</v>
      </c>
      <c r="G12252">
        <v>6993769</v>
      </c>
      <c r="H12252">
        <v>10754985</v>
      </c>
      <c r="I12252">
        <v>39825203</v>
      </c>
      <c r="J12252">
        <v>4</v>
      </c>
    </row>
    <row r="12253" spans="1:10" x14ac:dyDescent="0.25">
      <c r="A12253" t="s">
        <v>126</v>
      </c>
      <c r="B12253" s="1" t="str">
        <f>HYPERLINK("http://radiometer.ie","radiometer.ie")</f>
        <v>radiometer.ie</v>
      </c>
      <c r="C12253" t="s">
        <v>455</v>
      </c>
      <c r="D12253" t="s">
        <v>832</v>
      </c>
      <c r="F12253">
        <v>9.9801141083615393E-9</v>
      </c>
      <c r="G12253">
        <v>6775588</v>
      </c>
      <c r="H12253">
        <v>10653733</v>
      </c>
      <c r="I12253">
        <v>43560336</v>
      </c>
      <c r="J12253">
        <v>4</v>
      </c>
    </row>
    <row r="12254" spans="1:10" x14ac:dyDescent="0.25">
      <c r="A12254" t="s">
        <v>126</v>
      </c>
      <c r="B12254" s="1" t="str">
        <f>HYPERLINK("http://videojet.ie","videojet.ie")</f>
        <v>videojet.ie</v>
      </c>
      <c r="C12254" t="s">
        <v>455</v>
      </c>
      <c r="D12254" t="s">
        <v>832</v>
      </c>
      <c r="F12254">
        <v>8.3559488951255793E-9</v>
      </c>
      <c r="G12254">
        <v>9133928</v>
      </c>
      <c r="H12254">
        <v>12111075</v>
      </c>
      <c r="I12254">
        <v>25698675</v>
      </c>
      <c r="J12254">
        <v>4</v>
      </c>
    </row>
    <row r="12255" spans="1:10" x14ac:dyDescent="0.25">
      <c r="A12255" t="s">
        <v>126</v>
      </c>
      <c r="B12255" s="1" t="str">
        <f>HYPERLINK("http://beckman.co.il","beckman.co.il")</f>
        <v>beckman.co.il</v>
      </c>
      <c r="C12255" t="s">
        <v>456</v>
      </c>
      <c r="D12255" t="s">
        <v>833</v>
      </c>
      <c r="F12255">
        <v>1.13130966206136E-8</v>
      </c>
      <c r="G12255">
        <v>5633544</v>
      </c>
      <c r="H12255">
        <v>12100102</v>
      </c>
      <c r="I12255">
        <v>25962577</v>
      </c>
      <c r="J12255">
        <v>5</v>
      </c>
    </row>
    <row r="12256" spans="1:10" x14ac:dyDescent="0.25">
      <c r="A12256" t="s">
        <v>126</v>
      </c>
      <c r="B12256" s="1" t="str">
        <f>HYPERLINK("http://pall.co.in","pall.co.in")</f>
        <v>pall.co.in</v>
      </c>
      <c r="C12256" t="s">
        <v>457</v>
      </c>
      <c r="D12256" t="s">
        <v>834</v>
      </c>
      <c r="F12256">
        <v>8.9851660204376203E-9</v>
      </c>
      <c r="G12256">
        <v>8014438</v>
      </c>
      <c r="H12256">
        <v>12535835</v>
      </c>
      <c r="I12256">
        <v>16979594</v>
      </c>
      <c r="J12256">
        <v>3</v>
      </c>
    </row>
    <row r="12257" spans="1:10" x14ac:dyDescent="0.25">
      <c r="A12257" t="s">
        <v>126</v>
      </c>
      <c r="B12257" s="1" t="str">
        <f>HYPERLINK("http://hemocue.in","hemocue.in")</f>
        <v>hemocue.in</v>
      </c>
      <c r="C12257" t="s">
        <v>457</v>
      </c>
      <c r="D12257" t="s">
        <v>834</v>
      </c>
      <c r="F12257">
        <v>7.0227623794634403E-9</v>
      </c>
      <c r="G12257">
        <v>12245520</v>
      </c>
      <c r="H12257">
        <v>12011978</v>
      </c>
      <c r="I12257">
        <v>28022813</v>
      </c>
      <c r="J12257">
        <v>5</v>
      </c>
    </row>
    <row r="12258" spans="1:10" x14ac:dyDescent="0.25">
      <c r="A12258" t="s">
        <v>126</v>
      </c>
      <c r="B12258" s="1" t="str">
        <f>HYPERLINK("http://mybeckman.in","mybeckman.in")</f>
        <v>mybeckman.in</v>
      </c>
      <c r="C12258" t="s">
        <v>457</v>
      </c>
      <c r="D12258" t="s">
        <v>834</v>
      </c>
      <c r="F12258">
        <v>1.6090449607073901E-8</v>
      </c>
      <c r="G12258">
        <v>3522971</v>
      </c>
      <c r="H12258">
        <v>13361880</v>
      </c>
      <c r="I12258">
        <v>10507349</v>
      </c>
      <c r="J12258">
        <v>7</v>
      </c>
    </row>
    <row r="12259" spans="1:10" x14ac:dyDescent="0.25">
      <c r="A12259" t="s">
        <v>126</v>
      </c>
      <c r="B12259" s="1" t="str">
        <f>HYPERLINK("http://radiometer.in","radiometer.in")</f>
        <v>radiometer.in</v>
      </c>
      <c r="C12259" t="s">
        <v>457</v>
      </c>
      <c r="D12259" t="s">
        <v>834</v>
      </c>
      <c r="F12259">
        <v>9.8554821752846699E-9</v>
      </c>
      <c r="G12259">
        <v>6908049</v>
      </c>
      <c r="H12259">
        <v>10705577</v>
      </c>
      <c r="I12259">
        <v>42230759</v>
      </c>
      <c r="J12259">
        <v>4</v>
      </c>
    </row>
    <row r="12260" spans="1:10" x14ac:dyDescent="0.25">
      <c r="A12260" t="s">
        <v>126</v>
      </c>
      <c r="B12260" s="1" t="str">
        <f>HYPERLINK("http://videojet.in","videojet.in")</f>
        <v>videojet.in</v>
      </c>
      <c r="C12260" t="s">
        <v>457</v>
      </c>
      <c r="D12260" t="s">
        <v>834</v>
      </c>
      <c r="F12260">
        <v>9.4640712657327105E-9</v>
      </c>
      <c r="G12260">
        <v>7365916</v>
      </c>
      <c r="H12260">
        <v>12471785</v>
      </c>
      <c r="I12260">
        <v>17681418</v>
      </c>
      <c r="J12260">
        <v>3</v>
      </c>
    </row>
    <row r="12261" spans="1:10" x14ac:dyDescent="0.25">
      <c r="A12261" t="s">
        <v>126</v>
      </c>
      <c r="B12261" s="1" t="str">
        <f>HYPERLINK("http://beckman.it","beckman.it")</f>
        <v>beckman.it</v>
      </c>
      <c r="C12261" t="s">
        <v>459</v>
      </c>
      <c r="D12261" t="s">
        <v>835</v>
      </c>
      <c r="F12261">
        <v>1.5063523933646498E-8</v>
      </c>
      <c r="G12261">
        <v>3819216</v>
      </c>
      <c r="H12261">
        <v>12150647</v>
      </c>
      <c r="I12261">
        <v>24604274</v>
      </c>
      <c r="J12261">
        <v>5</v>
      </c>
    </row>
    <row r="12262" spans="1:10" x14ac:dyDescent="0.25">
      <c r="A12262" t="s">
        <v>126</v>
      </c>
      <c r="B12262" s="1" t="str">
        <f>HYPERLINK("http://beckmancoulter.it","beckmancoulter.it")</f>
        <v>beckmancoulter.it</v>
      </c>
      <c r="C12262" t="s">
        <v>459</v>
      </c>
      <c r="D12262" t="s">
        <v>835</v>
      </c>
      <c r="F12262">
        <v>4.67931732598723E-9</v>
      </c>
      <c r="G12262">
        <v>42408828</v>
      </c>
      <c r="H12262">
        <v>11962708</v>
      </c>
      <c r="I12262">
        <v>28850841</v>
      </c>
      <c r="J12262">
        <v>3</v>
      </c>
    </row>
    <row r="12263" spans="1:10" x14ac:dyDescent="0.25">
      <c r="A12263" t="s">
        <v>126</v>
      </c>
      <c r="B12263" s="1" t="str">
        <f>HYPERLINK("http://videojet.it","videojet.it")</f>
        <v>videojet.it</v>
      </c>
      <c r="C12263" t="s">
        <v>459</v>
      </c>
      <c r="D12263" t="s">
        <v>835</v>
      </c>
      <c r="F12263">
        <v>8.9210406948140497E-9</v>
      </c>
      <c r="G12263">
        <v>8111927</v>
      </c>
      <c r="H12263">
        <v>12153590</v>
      </c>
      <c r="I12263">
        <v>24538298</v>
      </c>
      <c r="J12263">
        <v>4</v>
      </c>
    </row>
    <row r="12264" spans="1:10" x14ac:dyDescent="0.25">
      <c r="A12264" t="s">
        <v>126</v>
      </c>
      <c r="B12264" s="1" t="str">
        <f>HYPERLINK("http://beckman.jp","beckman.jp")</f>
        <v>beckman.jp</v>
      </c>
      <c r="C12264" t="s">
        <v>461</v>
      </c>
      <c r="D12264" t="s">
        <v>837</v>
      </c>
      <c r="F12264">
        <v>1.8346741325877701E-8</v>
      </c>
      <c r="G12264">
        <v>2958435</v>
      </c>
      <c r="H12264">
        <v>13004618</v>
      </c>
      <c r="I12264">
        <v>12774214</v>
      </c>
      <c r="J12264">
        <v>5</v>
      </c>
    </row>
    <row r="12265" spans="1:10" x14ac:dyDescent="0.25">
      <c r="A12265" t="s">
        <v>126</v>
      </c>
      <c r="B12265" s="1" t="str">
        <f>HYPERLINK("http://beckmancoulter.co.jp","beckmancoulter.co.jp")</f>
        <v>beckmancoulter.co.jp</v>
      </c>
      <c r="C12265" t="s">
        <v>461</v>
      </c>
      <c r="D12265" t="s">
        <v>837</v>
      </c>
      <c r="F12265">
        <v>4.0280160351887403E-8</v>
      </c>
      <c r="G12265">
        <v>1284642</v>
      </c>
      <c r="H12265">
        <v>14095135</v>
      </c>
      <c r="I12265">
        <v>2730071</v>
      </c>
      <c r="J12265">
        <v>3</v>
      </c>
    </row>
    <row r="12266" spans="1:10" x14ac:dyDescent="0.25">
      <c r="A12266" t="s">
        <v>126</v>
      </c>
      <c r="B12266" s="1" t="str">
        <f>HYPERLINK("http://esko.co.jp","esko.co.jp")</f>
        <v>esko.co.jp</v>
      </c>
      <c r="C12266" t="s">
        <v>461</v>
      </c>
      <c r="D12266" t="s">
        <v>837</v>
      </c>
      <c r="F12266">
        <v>9.3835384033405804E-9</v>
      </c>
      <c r="G12266">
        <v>7466541</v>
      </c>
      <c r="H12266">
        <v>13145691</v>
      </c>
      <c r="I12266">
        <v>11848399</v>
      </c>
      <c r="J12266">
        <v>5</v>
      </c>
    </row>
    <row r="12267" spans="1:10" x14ac:dyDescent="0.25">
      <c r="A12267" t="s">
        <v>126</v>
      </c>
      <c r="B12267" s="1" t="str">
        <f>HYPERLINK("http://moleculardevices.co.jp","moleculardevices.co.jp")</f>
        <v>moleculardevices.co.jp</v>
      </c>
      <c r="C12267" t="s">
        <v>461</v>
      </c>
      <c r="D12267" t="s">
        <v>837</v>
      </c>
      <c r="F12267">
        <v>1.81356121627158E-8</v>
      </c>
      <c r="G12267">
        <v>3002662</v>
      </c>
      <c r="H12267">
        <v>12760553</v>
      </c>
      <c r="I12267">
        <v>14948881</v>
      </c>
      <c r="J12267">
        <v>4</v>
      </c>
    </row>
    <row r="12268" spans="1:10" x14ac:dyDescent="0.25">
      <c r="A12268" t="s">
        <v>126</v>
      </c>
      <c r="B12268" s="1" t="str">
        <f>HYPERLINK("http://radiometer.co.jp","radiometer.co.jp")</f>
        <v>radiometer.co.jp</v>
      </c>
      <c r="C12268" t="s">
        <v>461</v>
      </c>
      <c r="D12268" t="s">
        <v>837</v>
      </c>
      <c r="F12268">
        <v>1.90013410275159E-8</v>
      </c>
      <c r="G12268">
        <v>2835785</v>
      </c>
      <c r="H12268">
        <v>12465870</v>
      </c>
      <c r="I12268">
        <v>17807974</v>
      </c>
      <c r="J12268">
        <v>4</v>
      </c>
    </row>
    <row r="12269" spans="1:10" x14ac:dyDescent="0.25">
      <c r="A12269" t="s">
        <v>126</v>
      </c>
      <c r="B12269" s="1" t="str">
        <f>HYPERLINK("http://videojet.co.jp","videojet.co.jp")</f>
        <v>videojet.co.jp</v>
      </c>
      <c r="C12269" t="s">
        <v>461</v>
      </c>
      <c r="D12269" t="s">
        <v>837</v>
      </c>
      <c r="F12269">
        <v>9.4099469129478805E-9</v>
      </c>
      <c r="G12269">
        <v>7432055</v>
      </c>
      <c r="H12269">
        <v>12154203</v>
      </c>
      <c r="I12269">
        <v>24514918</v>
      </c>
      <c r="J12269">
        <v>4</v>
      </c>
    </row>
    <row r="12270" spans="1:10" x14ac:dyDescent="0.25">
      <c r="A12270" t="s">
        <v>126</v>
      </c>
      <c r="B12270" s="1" t="str">
        <f>HYPERLINK("http://xrite.co.jp","xrite.co.jp")</f>
        <v>xrite.co.jp</v>
      </c>
      <c r="C12270" t="s">
        <v>461</v>
      </c>
      <c r="D12270" t="s">
        <v>837</v>
      </c>
      <c r="F12270">
        <v>2.6571594336140099E-8</v>
      </c>
      <c r="G12270">
        <v>1937381</v>
      </c>
      <c r="H12270">
        <v>13312712</v>
      </c>
      <c r="I12270">
        <v>10769380</v>
      </c>
      <c r="J12270">
        <v>4</v>
      </c>
    </row>
    <row r="12271" spans="1:10" x14ac:dyDescent="0.25">
      <c r="A12271" t="s">
        <v>126</v>
      </c>
      <c r="B12271" s="1" t="str">
        <f>HYPERLINK("http://pall.jp","pall.jp")</f>
        <v>pall.jp</v>
      </c>
      <c r="C12271" t="s">
        <v>461</v>
      </c>
      <c r="D12271" t="s">
        <v>837</v>
      </c>
      <c r="F12271">
        <v>1.18215305131315E-8</v>
      </c>
      <c r="G12271">
        <v>5288680</v>
      </c>
      <c r="H12271">
        <v>12922514</v>
      </c>
      <c r="I12271">
        <v>13412929</v>
      </c>
      <c r="J12271">
        <v>4</v>
      </c>
    </row>
    <row r="12272" spans="1:10" x14ac:dyDescent="0.25">
      <c r="A12272" t="s">
        <v>126</v>
      </c>
      <c r="B12272" s="1" t="str">
        <f>HYPERLINK("http://pantone.jp","pantone.jp")</f>
        <v>pantone.jp</v>
      </c>
      <c r="C12272" t="s">
        <v>461</v>
      </c>
      <c r="D12272" t="s">
        <v>837</v>
      </c>
      <c r="F12272">
        <v>3.9054983546721498E-8</v>
      </c>
      <c r="G12272">
        <v>1320603</v>
      </c>
      <c r="H12272">
        <v>14395235</v>
      </c>
      <c r="I12272">
        <v>1160788</v>
      </c>
      <c r="J12272">
        <v>5</v>
      </c>
    </row>
    <row r="12273" spans="1:10" x14ac:dyDescent="0.25">
      <c r="A12273" t="s">
        <v>126</v>
      </c>
      <c r="B12273" s="1" t="str">
        <f>HYPERLINK("http://sciex.jp","sciex.jp")</f>
        <v>sciex.jp</v>
      </c>
      <c r="C12273" t="s">
        <v>461</v>
      </c>
      <c r="D12273" t="s">
        <v>837</v>
      </c>
      <c r="F12273">
        <v>5.3719813883296099E-8</v>
      </c>
      <c r="G12273">
        <v>846359</v>
      </c>
      <c r="H12273">
        <v>16751211</v>
      </c>
      <c r="I12273">
        <v>270555</v>
      </c>
      <c r="J12273">
        <v>4</v>
      </c>
    </row>
    <row r="12274" spans="1:10" x14ac:dyDescent="0.25">
      <c r="A12274" t="s">
        <v>126</v>
      </c>
      <c r="B12274" s="1" t="str">
        <f>HYPERLINK("http://videojet.co.ke","videojet.co.ke")</f>
        <v>videojet.co.ke</v>
      </c>
      <c r="C12274" t="s">
        <v>462</v>
      </c>
      <c r="D12274" t="s">
        <v>838</v>
      </c>
      <c r="F12274">
        <v>8.2602979267045697E-9</v>
      </c>
      <c r="G12274">
        <v>9352027</v>
      </c>
      <c r="H12274">
        <v>12109729</v>
      </c>
      <c r="I12274">
        <v>25742439</v>
      </c>
      <c r="J12274">
        <v>4</v>
      </c>
    </row>
    <row r="12275" spans="1:10" x14ac:dyDescent="0.25">
      <c r="A12275" t="s">
        <v>126</v>
      </c>
      <c r="B12275" s="1" t="str">
        <f>HYPERLINK("http://beckman.kr","beckman.kr")</f>
        <v>beckman.kr</v>
      </c>
      <c r="C12275" t="s">
        <v>463</v>
      </c>
      <c r="D12275" t="s">
        <v>839</v>
      </c>
      <c r="F12275">
        <v>1.3256877264663699E-8</v>
      </c>
      <c r="G12275">
        <v>4512731</v>
      </c>
      <c r="H12275">
        <v>10979539</v>
      </c>
      <c r="I12275">
        <v>33944504</v>
      </c>
      <c r="J12275">
        <v>5</v>
      </c>
    </row>
    <row r="12276" spans="1:10" x14ac:dyDescent="0.25">
      <c r="A12276" t="s">
        <v>126</v>
      </c>
      <c r="B12276" s="1" t="str">
        <f>HYPERLINK("http://cytivalifesciences.co.kr","cytivalifesciences.co.kr")</f>
        <v>cytivalifesciences.co.kr</v>
      </c>
      <c r="C12276" t="s">
        <v>463</v>
      </c>
      <c r="D12276" t="s">
        <v>839</v>
      </c>
      <c r="F12276">
        <v>1.7969115659240602E-8</v>
      </c>
      <c r="G12276">
        <v>3039126</v>
      </c>
      <c r="H12276">
        <v>12634645</v>
      </c>
      <c r="I12276">
        <v>15936998</v>
      </c>
      <c r="J12276">
        <v>5</v>
      </c>
    </row>
    <row r="12277" spans="1:10" x14ac:dyDescent="0.25">
      <c r="A12277" t="s">
        <v>126</v>
      </c>
      <c r="B12277" s="1" t="str">
        <f>HYPERLINK("http://pall.co.kr","pall.co.kr")</f>
        <v>pall.co.kr</v>
      </c>
      <c r="C12277" t="s">
        <v>463</v>
      </c>
      <c r="D12277" t="s">
        <v>839</v>
      </c>
      <c r="F12277">
        <v>5.47762238800098E-9</v>
      </c>
      <c r="G12277">
        <v>21155085</v>
      </c>
      <c r="H12277">
        <v>12205215</v>
      </c>
      <c r="I12277">
        <v>23185514</v>
      </c>
      <c r="J12277">
        <v>4</v>
      </c>
    </row>
    <row r="12278" spans="1:10" x14ac:dyDescent="0.25">
      <c r="A12278" t="s">
        <v>126</v>
      </c>
      <c r="B12278" s="1" t="str">
        <f>HYPERLINK("http://pantone.co.kr","pantone.co.kr")</f>
        <v>pantone.co.kr</v>
      </c>
      <c r="C12278" t="s">
        <v>463</v>
      </c>
      <c r="D12278" t="s">
        <v>839</v>
      </c>
      <c r="F12278">
        <v>4.44380395335525E-9</v>
      </c>
      <c r="G12278">
        <v>85303740</v>
      </c>
      <c r="H12278">
        <v>0</v>
      </c>
      <c r="I12278">
        <v>86525626</v>
      </c>
      <c r="J12278">
        <v>5</v>
      </c>
    </row>
    <row r="12279" spans="1:10" x14ac:dyDescent="0.25">
      <c r="A12279" t="s">
        <v>126</v>
      </c>
      <c r="B12279" s="1" t="str">
        <f>HYPERLINK("http://pantone.kr","pantone.kr")</f>
        <v>pantone.kr</v>
      </c>
      <c r="C12279" t="s">
        <v>463</v>
      </c>
      <c r="D12279" t="s">
        <v>839</v>
      </c>
      <c r="F12279">
        <v>9.0845190448378202E-9</v>
      </c>
      <c r="G12279">
        <v>7868385</v>
      </c>
      <c r="H12279">
        <v>13020379</v>
      </c>
      <c r="I12279">
        <v>12711951</v>
      </c>
      <c r="J12279">
        <v>5</v>
      </c>
    </row>
    <row r="12280" spans="1:10" x14ac:dyDescent="0.25">
      <c r="A12280" t="s">
        <v>126</v>
      </c>
      <c r="B12280" s="1" t="str">
        <f>HYPERLINK("http://radiometer.kr","radiometer.kr")</f>
        <v>radiometer.kr</v>
      </c>
      <c r="C12280" t="s">
        <v>463</v>
      </c>
      <c r="D12280" t="s">
        <v>839</v>
      </c>
      <c r="F12280">
        <v>9.92731013074493E-9</v>
      </c>
      <c r="G12280">
        <v>6830096</v>
      </c>
      <c r="H12280">
        <v>10652339</v>
      </c>
      <c r="I12280">
        <v>43576822</v>
      </c>
      <c r="J12280">
        <v>4</v>
      </c>
    </row>
    <row r="12281" spans="1:10" x14ac:dyDescent="0.25">
      <c r="A12281" t="s">
        <v>126</v>
      </c>
      <c r="B12281" s="1" t="str">
        <f>HYPERLINK("http://beckman.kz","beckman.kz")</f>
        <v>beckman.kz</v>
      </c>
      <c r="C12281" t="s">
        <v>465</v>
      </c>
      <c r="D12281" t="s">
        <v>841</v>
      </c>
      <c r="F12281">
        <v>1.10932518697876E-8</v>
      </c>
      <c r="G12281">
        <v>5790475</v>
      </c>
      <c r="H12281">
        <v>10961977</v>
      </c>
      <c r="I12281">
        <v>34308205</v>
      </c>
      <c r="J12281">
        <v>5</v>
      </c>
    </row>
    <row r="12282" spans="1:10" x14ac:dyDescent="0.25">
      <c r="A12282" t="s">
        <v>126</v>
      </c>
      <c r="B12282" s="1" t="str">
        <f>HYPERLINK("http://sciex.li","sciex.li")</f>
        <v>sciex.li</v>
      </c>
      <c r="C12282" t="s">
        <v>545</v>
      </c>
      <c r="D12282" t="s">
        <v>903</v>
      </c>
      <c r="F12282">
        <v>1.66168982258549E-8</v>
      </c>
      <c r="G12282">
        <v>3384782</v>
      </c>
      <c r="H12282">
        <v>13406287</v>
      </c>
      <c r="I12282">
        <v>10354772</v>
      </c>
      <c r="J12282">
        <v>4</v>
      </c>
    </row>
    <row r="12283" spans="1:10" x14ac:dyDescent="0.25">
      <c r="A12283" t="s">
        <v>126</v>
      </c>
      <c r="B12283" s="1" t="str">
        <f>HYPERLINK("http://radiometer.lu","radiometer.lu")</f>
        <v>radiometer.lu</v>
      </c>
      <c r="C12283" t="s">
        <v>547</v>
      </c>
      <c r="D12283" t="s">
        <v>904</v>
      </c>
      <c r="F12283">
        <v>9.7861962458551398E-9</v>
      </c>
      <c r="G12283">
        <v>6983822</v>
      </c>
      <c r="H12283">
        <v>10656857</v>
      </c>
      <c r="I12283">
        <v>43500754</v>
      </c>
      <c r="J12283">
        <v>4</v>
      </c>
    </row>
    <row r="12284" spans="1:10" x14ac:dyDescent="0.25">
      <c r="A12284" t="s">
        <v>126</v>
      </c>
      <c r="B12284" s="1" t="str">
        <f>HYPERLINK("http://beckman.mx","beckman.mx")</f>
        <v>beckman.mx</v>
      </c>
      <c r="C12284" t="s">
        <v>471</v>
      </c>
      <c r="D12284" t="s">
        <v>847</v>
      </c>
      <c r="F12284">
        <v>1.1313125979034E-8</v>
      </c>
      <c r="G12284">
        <v>5633530</v>
      </c>
      <c r="H12284">
        <v>11172689</v>
      </c>
      <c r="I12284">
        <v>31505213</v>
      </c>
      <c r="J12284">
        <v>5</v>
      </c>
    </row>
    <row r="12285" spans="1:10" x14ac:dyDescent="0.25">
      <c r="A12285" t="s">
        <v>126</v>
      </c>
      <c r="B12285" s="1" t="str">
        <f>HYPERLINK("http://radiometer.mx","radiometer.mx")</f>
        <v>radiometer.mx</v>
      </c>
      <c r="C12285" t="s">
        <v>471</v>
      </c>
      <c r="D12285" t="s">
        <v>847</v>
      </c>
      <c r="F12285">
        <v>9.8909007469299304E-9</v>
      </c>
      <c r="G12285">
        <v>6868973</v>
      </c>
      <c r="H12285">
        <v>10718714</v>
      </c>
      <c r="I12285">
        <v>42030347</v>
      </c>
      <c r="J12285">
        <v>4</v>
      </c>
    </row>
    <row r="12286" spans="1:10" x14ac:dyDescent="0.25">
      <c r="A12286" t="s">
        <v>126</v>
      </c>
      <c r="B12286" s="1" t="str">
        <f>HYPERLINK("http://videojet.mx","videojet.mx")</f>
        <v>videojet.mx</v>
      </c>
      <c r="C12286" t="s">
        <v>471</v>
      </c>
      <c r="D12286" t="s">
        <v>847</v>
      </c>
      <c r="F12286">
        <v>8.2004060035958395E-9</v>
      </c>
      <c r="G12286">
        <v>9570458</v>
      </c>
      <c r="H12286">
        <v>12130789</v>
      </c>
      <c r="I12286">
        <v>25120341</v>
      </c>
      <c r="J12286">
        <v>4</v>
      </c>
    </row>
    <row r="12287" spans="1:10" x14ac:dyDescent="0.25">
      <c r="A12287" t="s">
        <v>126</v>
      </c>
      <c r="B12287" s="1" t="str">
        <f>HYPERLINK("http://radiometer.my","radiometer.my")</f>
        <v>radiometer.my</v>
      </c>
      <c r="C12287" t="s">
        <v>472</v>
      </c>
      <c r="D12287" t="s">
        <v>848</v>
      </c>
      <c r="F12287">
        <v>1.05654182258042E-8</v>
      </c>
      <c r="G12287">
        <v>6213248</v>
      </c>
      <c r="H12287">
        <v>12054975</v>
      </c>
      <c r="I12287">
        <v>27118017</v>
      </c>
      <c r="J12287">
        <v>4</v>
      </c>
    </row>
    <row r="12288" spans="1:10" x14ac:dyDescent="0.25">
      <c r="A12288" t="s">
        <v>126</v>
      </c>
      <c r="B12288" s="1" t="str">
        <f>HYPERLINK("http://radiometer.nl","radiometer.nl")</f>
        <v>radiometer.nl</v>
      </c>
      <c r="C12288" t="s">
        <v>477</v>
      </c>
      <c r="D12288" t="s">
        <v>852</v>
      </c>
      <c r="F12288">
        <v>9.9708236039370195E-9</v>
      </c>
      <c r="G12288">
        <v>6784933</v>
      </c>
      <c r="H12288">
        <v>10652620</v>
      </c>
      <c r="I12288">
        <v>43574056</v>
      </c>
      <c r="J12288">
        <v>4</v>
      </c>
    </row>
    <row r="12289" spans="1:10" x14ac:dyDescent="0.25">
      <c r="A12289" t="s">
        <v>126</v>
      </c>
      <c r="B12289" s="1" t="str">
        <f>HYPERLINK("http://videojet.nl","videojet.nl")</f>
        <v>videojet.nl</v>
      </c>
      <c r="C12289" t="s">
        <v>477</v>
      </c>
      <c r="D12289" t="s">
        <v>852</v>
      </c>
      <c r="F12289">
        <v>9.4504572066528801E-9</v>
      </c>
      <c r="G12289">
        <v>7382160</v>
      </c>
      <c r="H12289">
        <v>12113519</v>
      </c>
      <c r="I12289">
        <v>25640292</v>
      </c>
      <c r="J12289">
        <v>4</v>
      </c>
    </row>
    <row r="12290" spans="1:10" x14ac:dyDescent="0.25">
      <c r="A12290" t="s">
        <v>126</v>
      </c>
      <c r="B12290" s="1" t="str">
        <f>HYPERLINK("http://videojet.no","videojet.no")</f>
        <v>videojet.no</v>
      </c>
      <c r="C12290" t="s">
        <v>478</v>
      </c>
      <c r="D12290" t="s">
        <v>853</v>
      </c>
      <c r="F12290">
        <v>8.1992580649629494E-9</v>
      </c>
      <c r="G12290">
        <v>9572412</v>
      </c>
      <c r="H12290">
        <v>12109724</v>
      </c>
      <c r="I12290">
        <v>25743906</v>
      </c>
      <c r="J12290">
        <v>4</v>
      </c>
    </row>
    <row r="12291" spans="1:10" x14ac:dyDescent="0.25">
      <c r="A12291" t="s">
        <v>126</v>
      </c>
      <c r="B12291" s="1" t="str">
        <f>HYPERLINK("http://radiometer.co.nz","radiometer.co.nz")</f>
        <v>radiometer.co.nz</v>
      </c>
      <c r="C12291" t="s">
        <v>479</v>
      </c>
      <c r="D12291" t="s">
        <v>854</v>
      </c>
      <c r="F12291">
        <v>9.9416879245661694E-9</v>
      </c>
      <c r="G12291">
        <v>6814952</v>
      </c>
      <c r="H12291">
        <v>10652336</v>
      </c>
      <c r="I12291">
        <v>43576837</v>
      </c>
      <c r="J12291">
        <v>4</v>
      </c>
    </row>
    <row r="12292" spans="1:10" x14ac:dyDescent="0.25">
      <c r="A12292" t="s">
        <v>126</v>
      </c>
      <c r="B12292" s="1" t="str">
        <f>HYPERLINK("http://danaher.org","danaher.org")</f>
        <v>danaher.org</v>
      </c>
      <c r="C12292" t="s">
        <v>481</v>
      </c>
      <c r="E12292">
        <v>187130</v>
      </c>
      <c r="J12292">
        <v>2</v>
      </c>
    </row>
    <row r="12293" spans="1:10" x14ac:dyDescent="0.25">
      <c r="A12293" t="s">
        <v>126</v>
      </c>
      <c r="B12293" s="1" t="str">
        <f>HYPERLINK("http://mybeckman.pl","mybeckman.pl")</f>
        <v>mybeckman.pl</v>
      </c>
      <c r="C12293" t="s">
        <v>486</v>
      </c>
      <c r="D12293" t="s">
        <v>860</v>
      </c>
      <c r="F12293">
        <v>1.1036642879561701E-8</v>
      </c>
      <c r="G12293">
        <v>5832262</v>
      </c>
      <c r="H12293">
        <v>10950865</v>
      </c>
      <c r="I12293">
        <v>34564254</v>
      </c>
      <c r="J12293">
        <v>7</v>
      </c>
    </row>
    <row r="12294" spans="1:10" x14ac:dyDescent="0.25">
      <c r="A12294" t="s">
        <v>126</v>
      </c>
      <c r="B12294" s="1" t="str">
        <f>HYPERLINK("http://radiometer.pl","radiometer.pl")</f>
        <v>radiometer.pl</v>
      </c>
      <c r="C12294" t="s">
        <v>486</v>
      </c>
      <c r="D12294" t="s">
        <v>860</v>
      </c>
      <c r="F12294">
        <v>1.32451548071294E-8</v>
      </c>
      <c r="G12294">
        <v>4517927</v>
      </c>
      <c r="H12294">
        <v>12363116</v>
      </c>
      <c r="I12294">
        <v>19529084</v>
      </c>
      <c r="J12294">
        <v>4</v>
      </c>
    </row>
    <row r="12295" spans="1:10" x14ac:dyDescent="0.25">
      <c r="A12295" t="s">
        <v>126</v>
      </c>
      <c r="B12295" s="1" t="str">
        <f>HYPERLINK("http://videojet.pl","videojet.pl")</f>
        <v>videojet.pl</v>
      </c>
      <c r="C12295" t="s">
        <v>486</v>
      </c>
      <c r="D12295" t="s">
        <v>860</v>
      </c>
      <c r="F12295">
        <v>9.0781456879955401E-9</v>
      </c>
      <c r="G12295">
        <v>7877276</v>
      </c>
      <c r="H12295">
        <v>12110029</v>
      </c>
      <c r="I12295">
        <v>25724545</v>
      </c>
      <c r="J12295">
        <v>4</v>
      </c>
    </row>
    <row r="12296" spans="1:10" x14ac:dyDescent="0.25">
      <c r="A12296" t="s">
        <v>126</v>
      </c>
      <c r="B12296" s="1" t="str">
        <f>HYPERLINK("http://beckman.pt","beckman.pt")</f>
        <v>beckman.pt</v>
      </c>
      <c r="C12296" t="s">
        <v>488</v>
      </c>
      <c r="D12296" t="s">
        <v>862</v>
      </c>
      <c r="F12296">
        <v>1.2595346895425901E-8</v>
      </c>
      <c r="G12296">
        <v>4833326</v>
      </c>
      <c r="H12296">
        <v>12630388</v>
      </c>
      <c r="I12296">
        <v>15980059</v>
      </c>
      <c r="J12296">
        <v>5</v>
      </c>
    </row>
    <row r="12297" spans="1:10" x14ac:dyDescent="0.25">
      <c r="A12297" t="s">
        <v>126</v>
      </c>
      <c r="B12297" s="1" t="str">
        <f>HYPERLINK("http://radiometer.pt","radiometer.pt")</f>
        <v>radiometer.pt</v>
      </c>
      <c r="C12297" t="s">
        <v>488</v>
      </c>
      <c r="D12297" t="s">
        <v>862</v>
      </c>
      <c r="F12297">
        <v>9.8262940563018706E-9</v>
      </c>
      <c r="G12297">
        <v>6941172</v>
      </c>
      <c r="H12297">
        <v>10772908</v>
      </c>
      <c r="I12297">
        <v>39138125</v>
      </c>
      <c r="J12297">
        <v>4</v>
      </c>
    </row>
    <row r="12298" spans="1:10" x14ac:dyDescent="0.25">
      <c r="A12298" t="s">
        <v>126</v>
      </c>
      <c r="B12298" s="1" t="str">
        <f>HYPERLINK("http://videojet.pt","videojet.pt")</f>
        <v>videojet.pt</v>
      </c>
      <c r="C12298" t="s">
        <v>488</v>
      </c>
      <c r="D12298" t="s">
        <v>862</v>
      </c>
      <c r="F12298">
        <v>8.2015004763648203E-9</v>
      </c>
      <c r="G12298">
        <v>9568616</v>
      </c>
      <c r="H12298">
        <v>12130799</v>
      </c>
      <c r="I12298">
        <v>25120198</v>
      </c>
      <c r="J12298">
        <v>4</v>
      </c>
    </row>
    <row r="12299" spans="1:10" x14ac:dyDescent="0.25">
      <c r="A12299" t="s">
        <v>126</v>
      </c>
      <c r="B12299" s="1" t="str">
        <f>HYPERLINK("http://mybeckman.ru","mybeckman.ru")</f>
        <v>mybeckman.ru</v>
      </c>
      <c r="C12299" t="s">
        <v>493</v>
      </c>
      <c r="D12299" t="s">
        <v>867</v>
      </c>
      <c r="F12299">
        <v>1.48362789551048E-8</v>
      </c>
      <c r="G12299">
        <v>3894207</v>
      </c>
      <c r="H12299">
        <v>14079787</v>
      </c>
      <c r="I12299">
        <v>2827895</v>
      </c>
      <c r="J12299">
        <v>7</v>
      </c>
    </row>
    <row r="12300" spans="1:10" x14ac:dyDescent="0.25">
      <c r="A12300" t="s">
        <v>126</v>
      </c>
      <c r="B12300" s="1" t="str">
        <f>HYPERLINK("http://radiometer.ru","radiometer.ru")</f>
        <v>radiometer.ru</v>
      </c>
      <c r="C12300" t="s">
        <v>493</v>
      </c>
      <c r="D12300" t="s">
        <v>867</v>
      </c>
      <c r="F12300">
        <v>1.30534537595948E-8</v>
      </c>
      <c r="G12300">
        <v>4605658</v>
      </c>
      <c r="H12300">
        <v>10674496</v>
      </c>
      <c r="I12300">
        <v>42866710</v>
      </c>
      <c r="J12300">
        <v>4</v>
      </c>
    </row>
    <row r="12301" spans="1:10" x14ac:dyDescent="0.25">
      <c r="A12301" t="s">
        <v>126</v>
      </c>
      <c r="B12301" s="1" t="str">
        <f>HYPERLINK("http://videojet.ru","videojet.ru")</f>
        <v>videojet.ru</v>
      </c>
      <c r="C12301" t="s">
        <v>493</v>
      </c>
      <c r="D12301" t="s">
        <v>867</v>
      </c>
      <c r="F12301">
        <v>2.01267471672103E-8</v>
      </c>
      <c r="G12301">
        <v>2639914</v>
      </c>
      <c r="H12301">
        <v>12242130</v>
      </c>
      <c r="I12301">
        <v>22192748</v>
      </c>
      <c r="J12301">
        <v>4</v>
      </c>
    </row>
    <row r="12302" spans="1:10" x14ac:dyDescent="0.25">
      <c r="A12302" t="s">
        <v>126</v>
      </c>
      <c r="B12302" s="1" t="str">
        <f>HYPERLINK("http://hemocue.se","hemocue.se")</f>
        <v>hemocue.se</v>
      </c>
      <c r="C12302" t="s">
        <v>495</v>
      </c>
      <c r="D12302" t="s">
        <v>869</v>
      </c>
      <c r="F12302">
        <v>1.35139045801975E-8</v>
      </c>
      <c r="G12302">
        <v>4398139</v>
      </c>
      <c r="H12302">
        <v>12484826</v>
      </c>
      <c r="I12302">
        <v>17548808</v>
      </c>
      <c r="J12302">
        <v>4</v>
      </c>
    </row>
    <row r="12303" spans="1:10" x14ac:dyDescent="0.25">
      <c r="A12303" t="s">
        <v>126</v>
      </c>
      <c r="B12303" s="1" t="str">
        <f>HYPERLINK("http://mybeckman.se","mybeckman.se")</f>
        <v>mybeckman.se</v>
      </c>
      <c r="C12303" t="s">
        <v>495</v>
      </c>
      <c r="D12303" t="s">
        <v>869</v>
      </c>
      <c r="F12303">
        <v>1.19615061715452E-8</v>
      </c>
      <c r="G12303">
        <v>5200262</v>
      </c>
      <c r="H12303">
        <v>12505274</v>
      </c>
      <c r="I12303">
        <v>17292865</v>
      </c>
      <c r="J12303">
        <v>7</v>
      </c>
    </row>
    <row r="12304" spans="1:10" x14ac:dyDescent="0.25">
      <c r="A12304" t="s">
        <v>126</v>
      </c>
      <c r="B12304" s="1" t="str">
        <f>HYPERLINK("http://videojet.se","videojet.se")</f>
        <v>videojet.se</v>
      </c>
      <c r="C12304" t="s">
        <v>495</v>
      </c>
      <c r="D12304" t="s">
        <v>869</v>
      </c>
      <c r="F12304">
        <v>8.7575331016705308E-9</v>
      </c>
      <c r="G12304">
        <v>8379980</v>
      </c>
      <c r="H12304">
        <v>12195267</v>
      </c>
      <c r="I12304">
        <v>23449069</v>
      </c>
      <c r="J12304">
        <v>4</v>
      </c>
    </row>
    <row r="12305" spans="1:10" x14ac:dyDescent="0.25">
      <c r="A12305" t="s">
        <v>126</v>
      </c>
      <c r="B12305" s="1" t="str">
        <f>HYPERLINK("http://radiometer.sg","radiometer.sg")</f>
        <v>radiometer.sg</v>
      </c>
      <c r="C12305" t="s">
        <v>496</v>
      </c>
      <c r="D12305" t="s">
        <v>870</v>
      </c>
      <c r="F12305">
        <v>9.7650852206929892E-9</v>
      </c>
      <c r="G12305">
        <v>7006784</v>
      </c>
      <c r="H12305">
        <v>10652336</v>
      </c>
      <c r="I12305">
        <v>43576842</v>
      </c>
      <c r="J12305">
        <v>4</v>
      </c>
    </row>
    <row r="12306" spans="1:10" x14ac:dyDescent="0.25">
      <c r="A12306" t="s">
        <v>126</v>
      </c>
      <c r="B12306" s="1" t="str">
        <f>HYPERLINK("http://videojet.sg","videojet.sg")</f>
        <v>videojet.sg</v>
      </c>
      <c r="C12306" t="s">
        <v>496</v>
      </c>
      <c r="D12306" t="s">
        <v>870</v>
      </c>
      <c r="F12306">
        <v>1.0143186235906E-8</v>
      </c>
      <c r="G12306">
        <v>6603391</v>
      </c>
      <c r="H12306">
        <v>12129479</v>
      </c>
      <c r="I12306">
        <v>25154965</v>
      </c>
      <c r="J12306">
        <v>4</v>
      </c>
    </row>
    <row r="12307" spans="1:10" x14ac:dyDescent="0.25">
      <c r="A12307" t="s">
        <v>126</v>
      </c>
      <c r="B12307" s="1" t="str">
        <f>HYPERLINK("http://videojet.sk","videojet.sk")</f>
        <v>videojet.sk</v>
      </c>
      <c r="C12307" t="s">
        <v>498</v>
      </c>
      <c r="D12307" t="s">
        <v>872</v>
      </c>
      <c r="F12307">
        <v>8.1832189242092305E-9</v>
      </c>
      <c r="G12307">
        <v>9599682</v>
      </c>
      <c r="H12307">
        <v>12109724</v>
      </c>
      <c r="I12307">
        <v>25743907</v>
      </c>
      <c r="J12307">
        <v>4</v>
      </c>
    </row>
    <row r="12308" spans="1:10" x14ac:dyDescent="0.25">
      <c r="A12308" t="s">
        <v>126</v>
      </c>
      <c r="B12308" s="1" t="str">
        <f>HYPERLINK("http://videojet.co.th","videojet.co.th")</f>
        <v>videojet.co.th</v>
      </c>
      <c r="C12308" t="s">
        <v>500</v>
      </c>
      <c r="D12308" t="s">
        <v>874</v>
      </c>
      <c r="F12308">
        <v>8.2886088772478894E-9</v>
      </c>
      <c r="G12308">
        <v>9285738</v>
      </c>
      <c r="H12308">
        <v>12109725</v>
      </c>
      <c r="I12308">
        <v>25743893</v>
      </c>
      <c r="J12308">
        <v>4</v>
      </c>
    </row>
    <row r="12309" spans="1:10" x14ac:dyDescent="0.25">
      <c r="A12309" t="s">
        <v>126</v>
      </c>
      <c r="B12309" s="1" t="str">
        <f>HYPERLINK("http://beckman.com.tr","beckman.com.tr")</f>
        <v>beckman.com.tr</v>
      </c>
      <c r="C12309" t="s">
        <v>502</v>
      </c>
      <c r="D12309" t="s">
        <v>876</v>
      </c>
      <c r="F12309">
        <v>1.11904321057761E-8</v>
      </c>
      <c r="G12309">
        <v>5719745</v>
      </c>
      <c r="H12309">
        <v>10950866</v>
      </c>
      <c r="I12309">
        <v>34564237</v>
      </c>
      <c r="J12309">
        <v>5</v>
      </c>
    </row>
    <row r="12310" spans="1:10" x14ac:dyDescent="0.25">
      <c r="A12310" t="s">
        <v>126</v>
      </c>
      <c r="B12310" s="1" t="str">
        <f>HYPERLINK("http://radiometer.com.tr","radiometer.com.tr")</f>
        <v>radiometer.com.tr</v>
      </c>
      <c r="C12310" t="s">
        <v>502</v>
      </c>
      <c r="D12310" t="s">
        <v>876</v>
      </c>
      <c r="F12310">
        <v>1.05901671112301E-8</v>
      </c>
      <c r="G12310">
        <v>6192349</v>
      </c>
      <c r="H12310">
        <v>10772910</v>
      </c>
      <c r="I12310">
        <v>39138056</v>
      </c>
      <c r="J12310">
        <v>4</v>
      </c>
    </row>
    <row r="12311" spans="1:10" x14ac:dyDescent="0.25">
      <c r="A12311" t="s">
        <v>126</v>
      </c>
      <c r="B12311" s="1" t="str">
        <f>HYPERLINK("http://videojet.com.tr","videojet.com.tr")</f>
        <v>videojet.com.tr</v>
      </c>
      <c r="C12311" t="s">
        <v>502</v>
      </c>
      <c r="D12311" t="s">
        <v>876</v>
      </c>
      <c r="F12311">
        <v>8.4803221573745102E-9</v>
      </c>
      <c r="G12311">
        <v>8882902</v>
      </c>
      <c r="H12311">
        <v>13763652</v>
      </c>
      <c r="I12311">
        <v>7886304</v>
      </c>
      <c r="J12311">
        <v>4</v>
      </c>
    </row>
    <row r="12312" spans="1:10" x14ac:dyDescent="0.25">
      <c r="A12312" t="s">
        <v>126</v>
      </c>
      <c r="B12312" s="1" t="str">
        <f>HYPERLINK("http://beckman.tw","beckman.tw")</f>
        <v>beckman.tw</v>
      </c>
      <c r="C12312" t="s">
        <v>504</v>
      </c>
      <c r="D12312" t="s">
        <v>878</v>
      </c>
      <c r="F12312">
        <v>1.45833237990723E-8</v>
      </c>
      <c r="G12312">
        <v>3982967</v>
      </c>
      <c r="H12312">
        <v>12560881</v>
      </c>
      <c r="I12312">
        <v>16705172</v>
      </c>
      <c r="J12312">
        <v>5</v>
      </c>
    </row>
    <row r="12313" spans="1:10" x14ac:dyDescent="0.25">
      <c r="A12313" t="s">
        <v>126</v>
      </c>
      <c r="B12313" s="1" t="str">
        <f>HYPERLINK("http://hach.com.tw","hach.com.tw")</f>
        <v>hach.com.tw</v>
      </c>
      <c r="C12313" t="s">
        <v>504</v>
      </c>
      <c r="D12313" t="s">
        <v>878</v>
      </c>
      <c r="F12313">
        <v>8.3943986425232896E-8</v>
      </c>
      <c r="G12313">
        <v>493177</v>
      </c>
      <c r="H12313">
        <v>12669583</v>
      </c>
      <c r="I12313">
        <v>15628412</v>
      </c>
      <c r="J12313">
        <v>4</v>
      </c>
    </row>
    <row r="12314" spans="1:10" x14ac:dyDescent="0.25">
      <c r="A12314" t="s">
        <v>126</v>
      </c>
      <c r="B12314" s="1" t="str">
        <f>HYPERLINK("http://beckman.ua","beckman.ua")</f>
        <v>beckman.ua</v>
      </c>
      <c r="C12314" t="s">
        <v>505</v>
      </c>
      <c r="D12314" t="s">
        <v>879</v>
      </c>
      <c r="F12314">
        <v>1.1065028411534901E-8</v>
      </c>
      <c r="G12314">
        <v>5811226</v>
      </c>
      <c r="H12314">
        <v>10950865</v>
      </c>
      <c r="I12314">
        <v>34564256</v>
      </c>
      <c r="J12314">
        <v>5</v>
      </c>
    </row>
    <row r="12315" spans="1:10" x14ac:dyDescent="0.25">
      <c r="A12315" t="s">
        <v>126</v>
      </c>
      <c r="B12315" s="1" t="str">
        <f>HYPERLINK("http://clearmark.uk","clearmark.uk")</f>
        <v>clearmark.uk</v>
      </c>
      <c r="C12315" t="s">
        <v>506</v>
      </c>
      <c r="D12315" t="s">
        <v>880</v>
      </c>
      <c r="F12315">
        <v>7.8640628946432697E-9</v>
      </c>
      <c r="G12315">
        <v>10184137</v>
      </c>
      <c r="H12315">
        <v>13121180</v>
      </c>
      <c r="I12315">
        <v>11988442</v>
      </c>
      <c r="J12315">
        <v>8</v>
      </c>
    </row>
    <row r="12316" spans="1:10" x14ac:dyDescent="0.25">
      <c r="A12316" t="s">
        <v>126</v>
      </c>
      <c r="B12316" s="1" t="str">
        <f>HYPERLINK("http://asymptote.co.uk","asymptote.co.uk")</f>
        <v>asymptote.co.uk</v>
      </c>
      <c r="C12316" t="s">
        <v>506</v>
      </c>
      <c r="D12316" t="s">
        <v>880</v>
      </c>
      <c r="F12316">
        <v>1.23621135372322E-8</v>
      </c>
      <c r="G12316">
        <v>4959893</v>
      </c>
      <c r="H12316">
        <v>13140512</v>
      </c>
      <c r="I12316">
        <v>11877658</v>
      </c>
      <c r="J12316">
        <v>7</v>
      </c>
    </row>
    <row r="12317" spans="1:10" x14ac:dyDescent="0.25">
      <c r="A12317" t="s">
        <v>126</v>
      </c>
      <c r="B12317" s="1" t="str">
        <f>HYPERLINK("http://beckmancoulter.co.uk","beckmancoulter.co.uk")</f>
        <v>beckmancoulter.co.uk</v>
      </c>
      <c r="C12317" t="s">
        <v>506</v>
      </c>
      <c r="D12317" t="s">
        <v>880</v>
      </c>
      <c r="F12317">
        <v>4.5809410714956399E-9</v>
      </c>
      <c r="G12317">
        <v>49212881</v>
      </c>
      <c r="H12317">
        <v>10790786</v>
      </c>
      <c r="I12317">
        <v>38468752</v>
      </c>
      <c r="J12317">
        <v>3</v>
      </c>
    </row>
    <row r="12318" spans="1:10" x14ac:dyDescent="0.25">
      <c r="A12318" t="s">
        <v>126</v>
      </c>
      <c r="B12318" s="1" t="str">
        <f>HYPERLINK("http://interactivecoding.co.uk","interactivecoding.co.uk")</f>
        <v>interactivecoding.co.uk</v>
      </c>
      <c r="C12318" t="s">
        <v>506</v>
      </c>
      <c r="D12318" t="s">
        <v>880</v>
      </c>
      <c r="F12318">
        <v>8.1112501542499797E-9</v>
      </c>
      <c r="G12318">
        <v>9722251</v>
      </c>
      <c r="H12318">
        <v>12514917</v>
      </c>
      <c r="I12318">
        <v>17194503</v>
      </c>
      <c r="J12318">
        <v>6</v>
      </c>
    </row>
    <row r="12319" spans="1:10" x14ac:dyDescent="0.25">
      <c r="A12319" t="s">
        <v>126</v>
      </c>
      <c r="B12319" s="1" t="str">
        <f>HYPERLINK("http://pall.co.uk","pall.co.uk")</f>
        <v>pall.co.uk</v>
      </c>
      <c r="C12319" t="s">
        <v>506</v>
      </c>
      <c r="D12319" t="s">
        <v>880</v>
      </c>
      <c r="F12319">
        <v>1.4028118766345601E-8</v>
      </c>
      <c r="G12319">
        <v>4192155</v>
      </c>
      <c r="H12319">
        <v>12968018</v>
      </c>
      <c r="I12319">
        <v>13064230</v>
      </c>
      <c r="J12319">
        <v>4</v>
      </c>
    </row>
    <row r="12320" spans="1:10" x14ac:dyDescent="0.25">
      <c r="A12320" t="s">
        <v>126</v>
      </c>
      <c r="B12320" s="1" t="str">
        <f>HYPERLINK("http://radiometer.co.uk","radiometer.co.uk")</f>
        <v>radiometer.co.uk</v>
      </c>
      <c r="C12320" t="s">
        <v>506</v>
      </c>
      <c r="D12320" t="s">
        <v>880</v>
      </c>
      <c r="F12320">
        <v>1.2915169894440701E-8</v>
      </c>
      <c r="G12320">
        <v>4672229</v>
      </c>
      <c r="H12320">
        <v>13199048</v>
      </c>
      <c r="I12320">
        <v>11556201</v>
      </c>
      <c r="J12320">
        <v>4</v>
      </c>
    </row>
    <row r="12321" spans="1:10" x14ac:dyDescent="0.25">
      <c r="A12321" t="s">
        <v>126</v>
      </c>
      <c r="B12321" s="1" t="str">
        <f>HYPERLINK("http://springassociates.co.uk","springassociates.co.uk")</f>
        <v>springassociates.co.uk</v>
      </c>
      <c r="C12321" t="s">
        <v>506</v>
      </c>
      <c r="D12321" t="s">
        <v>880</v>
      </c>
      <c r="F12321">
        <v>4.5316622388055699E-9</v>
      </c>
      <c r="G12321">
        <v>54874636</v>
      </c>
      <c r="H12321">
        <v>8635802</v>
      </c>
      <c r="I12321">
        <v>70491691</v>
      </c>
      <c r="J12321">
        <v>11</v>
      </c>
    </row>
    <row r="12322" spans="1:10" x14ac:dyDescent="0.25">
      <c r="A12322" t="s">
        <v>126</v>
      </c>
      <c r="B12322" s="1" t="str">
        <f>HYPERLINK("http://videojet.co.uk","videojet.co.uk")</f>
        <v>videojet.co.uk</v>
      </c>
      <c r="C12322" t="s">
        <v>506</v>
      </c>
      <c r="D12322" t="s">
        <v>880</v>
      </c>
      <c r="F12322">
        <v>1.26258160507437E-8</v>
      </c>
      <c r="G12322">
        <v>4817787</v>
      </c>
      <c r="H12322">
        <v>13768054</v>
      </c>
      <c r="I12322">
        <v>6898762</v>
      </c>
      <c r="J12322">
        <v>4</v>
      </c>
    </row>
    <row r="12323" spans="1:10" x14ac:dyDescent="0.25">
      <c r="A12323" t="s">
        <v>126</v>
      </c>
      <c r="B12323" s="1" t="str">
        <f>HYPERLINK("http://mybeckman.uk","mybeckman.uk")</f>
        <v>mybeckman.uk</v>
      </c>
      <c r="C12323" t="s">
        <v>506</v>
      </c>
      <c r="D12323" t="s">
        <v>880</v>
      </c>
      <c r="F12323">
        <v>1.54164340701139E-8</v>
      </c>
      <c r="G12323">
        <v>3709195</v>
      </c>
      <c r="H12323">
        <v>13140335</v>
      </c>
      <c r="I12323">
        <v>11878364</v>
      </c>
      <c r="J12323">
        <v>6</v>
      </c>
    </row>
    <row r="12324" spans="1:10" x14ac:dyDescent="0.25">
      <c r="A12324" t="s">
        <v>126</v>
      </c>
      <c r="B12324" s="1" t="str">
        <f>HYPERLINK("http://mybeckman.vn","mybeckman.vn")</f>
        <v>mybeckman.vn</v>
      </c>
      <c r="C12324" t="s">
        <v>509</v>
      </c>
      <c r="D12324" t="s">
        <v>883</v>
      </c>
      <c r="F12324">
        <v>9.9679279691946596E-9</v>
      </c>
      <c r="G12324">
        <v>6787870</v>
      </c>
      <c r="H12324">
        <v>10913732</v>
      </c>
      <c r="I12324">
        <v>35542235</v>
      </c>
      <c r="J12324">
        <v>7</v>
      </c>
    </row>
    <row r="12325" spans="1:10" x14ac:dyDescent="0.25">
      <c r="A12325" t="s">
        <v>126</v>
      </c>
      <c r="B12325" s="1" t="str">
        <f>HYPERLINK("http://beckman.co.za","beckman.co.za")</f>
        <v>beckman.co.za</v>
      </c>
      <c r="C12325" t="s">
        <v>510</v>
      </c>
      <c r="D12325" t="s">
        <v>884</v>
      </c>
      <c r="F12325">
        <v>1.28778478392115E-8</v>
      </c>
      <c r="G12325">
        <v>4690022</v>
      </c>
      <c r="H12325">
        <v>12862562</v>
      </c>
      <c r="I12325">
        <v>14183800</v>
      </c>
      <c r="J12325">
        <v>5</v>
      </c>
    </row>
    <row r="12326" spans="1:10" x14ac:dyDescent="0.25">
      <c r="A12326" t="s">
        <v>126</v>
      </c>
      <c r="B12326" s="1" t="str">
        <f>HYPERLINK("http://hemocue.co.za","hemocue.co.za")</f>
        <v>hemocue.co.za</v>
      </c>
      <c r="C12326" t="s">
        <v>510</v>
      </c>
      <c r="D12326" t="s">
        <v>884</v>
      </c>
      <c r="F12326">
        <v>7.1119102983235801E-9</v>
      </c>
      <c r="G12326">
        <v>11981087</v>
      </c>
      <c r="H12326">
        <v>10666519</v>
      </c>
      <c r="I12326">
        <v>43090822</v>
      </c>
      <c r="J12326">
        <v>5</v>
      </c>
    </row>
    <row r="12327" spans="1:10" x14ac:dyDescent="0.25">
      <c r="A12327" t="s">
        <v>126</v>
      </c>
      <c r="B12327" s="1" t="str">
        <f>HYPERLINK("http://radiometer.co.za","radiometer.co.za")</f>
        <v>radiometer.co.za</v>
      </c>
      <c r="C12327" t="s">
        <v>510</v>
      </c>
      <c r="D12327" t="s">
        <v>884</v>
      </c>
      <c r="F12327">
        <v>1.02112987021722E-8</v>
      </c>
      <c r="G12327">
        <v>6535977</v>
      </c>
      <c r="H12327">
        <v>10652336</v>
      </c>
      <c r="I12327">
        <v>43576844</v>
      </c>
      <c r="J12327">
        <v>4</v>
      </c>
    </row>
    <row r="12328" spans="1:10" x14ac:dyDescent="0.25">
      <c r="A12328" t="s">
        <v>127</v>
      </c>
      <c r="B12328" s="1" t="str">
        <f>HYPERLINK("http://danone.com.ar","danone.com.ar")</f>
        <v>danone.com.ar</v>
      </c>
      <c r="C12328" t="s">
        <v>418</v>
      </c>
      <c r="D12328" t="s">
        <v>800</v>
      </c>
      <c r="F12328">
        <v>2.8131410493552599E-8</v>
      </c>
      <c r="G12328">
        <v>1829110</v>
      </c>
      <c r="H12328">
        <v>13401219</v>
      </c>
      <c r="I12328">
        <v>10365755</v>
      </c>
      <c r="J12328">
        <v>2</v>
      </c>
    </row>
    <row r="12329" spans="1:10" x14ac:dyDescent="0.25">
      <c r="A12329" t="s">
        <v>127</v>
      </c>
      <c r="B12329" s="1" t="str">
        <f>HYPERLINK("http://nutricia-bago.com.ar","nutricia-bago.com.ar")</f>
        <v>nutricia-bago.com.ar</v>
      </c>
      <c r="C12329" t="s">
        <v>418</v>
      </c>
      <c r="D12329" t="s">
        <v>800</v>
      </c>
      <c r="F12329">
        <v>1.23946475118341E-8</v>
      </c>
      <c r="G12329">
        <v>4942243</v>
      </c>
      <c r="H12329">
        <v>12674885</v>
      </c>
      <c r="I12329">
        <v>15559925</v>
      </c>
      <c r="J12329">
        <v>3</v>
      </c>
    </row>
    <row r="12330" spans="1:10" x14ac:dyDescent="0.25">
      <c r="A12330" t="s">
        <v>127</v>
      </c>
      <c r="B12330" s="1" t="str">
        <f>HYPERLINK("http://danone.at","danone.at")</f>
        <v>danone.at</v>
      </c>
      <c r="C12330" t="s">
        <v>419</v>
      </c>
      <c r="D12330" t="s">
        <v>801</v>
      </c>
      <c r="F12330">
        <v>1.12640870532888E-8</v>
      </c>
      <c r="G12330">
        <v>5667716</v>
      </c>
      <c r="H12330">
        <v>12584366</v>
      </c>
      <c r="I12330">
        <v>16460719</v>
      </c>
      <c r="J12330">
        <v>3</v>
      </c>
    </row>
    <row r="12331" spans="1:10" x14ac:dyDescent="0.25">
      <c r="A12331" t="s">
        <v>127</v>
      </c>
      <c r="B12331" s="1" t="str">
        <f>HYPERLINK("http://nutricia.at","nutricia.at")</f>
        <v>nutricia.at</v>
      </c>
      <c r="C12331" t="s">
        <v>419</v>
      </c>
      <c r="D12331" t="s">
        <v>801</v>
      </c>
      <c r="F12331">
        <v>8.2805295820792301E-9</v>
      </c>
      <c r="G12331">
        <v>9304223</v>
      </c>
      <c r="H12331">
        <v>12251137</v>
      </c>
      <c r="I12331">
        <v>21993320</v>
      </c>
      <c r="J12331">
        <v>4</v>
      </c>
    </row>
    <row r="12332" spans="1:10" x14ac:dyDescent="0.25">
      <c r="A12332" t="s">
        <v>127</v>
      </c>
      <c r="B12332" s="1" t="str">
        <f>HYPERLINK("http://nutricia.com.au","nutricia.com.au")</f>
        <v>nutricia.com.au</v>
      </c>
      <c r="C12332" t="s">
        <v>420</v>
      </c>
      <c r="D12332" t="s">
        <v>802</v>
      </c>
      <c r="F12332">
        <v>3.0657811323574697E-8</v>
      </c>
      <c r="G12332">
        <v>1680096</v>
      </c>
      <c r="H12332">
        <v>13109449</v>
      </c>
      <c r="I12332">
        <v>12040228</v>
      </c>
      <c r="J12332">
        <v>4</v>
      </c>
    </row>
    <row r="12333" spans="1:10" x14ac:dyDescent="0.25">
      <c r="A12333" t="s">
        <v>127</v>
      </c>
      <c r="B12333" s="1" t="str">
        <f>HYPERLINK("http://danerolles.be","danerolles.be")</f>
        <v>danerolles.be</v>
      </c>
      <c r="C12333" t="s">
        <v>421</v>
      </c>
      <c r="D12333" t="s">
        <v>803</v>
      </c>
      <c r="F12333">
        <v>5.7738130738215502E-9</v>
      </c>
      <c r="G12333">
        <v>18295119</v>
      </c>
      <c r="H12333">
        <v>10947766</v>
      </c>
      <c r="I12333">
        <v>34637432</v>
      </c>
      <c r="J12333">
        <v>7</v>
      </c>
    </row>
    <row r="12334" spans="1:10" x14ac:dyDescent="0.25">
      <c r="A12334" t="s">
        <v>127</v>
      </c>
      <c r="B12334" s="1" t="str">
        <f>HYPERLINK("http://danone.be","danone.be")</f>
        <v>danone.be</v>
      </c>
      <c r="C12334" t="s">
        <v>421</v>
      </c>
      <c r="D12334" t="s">
        <v>803</v>
      </c>
      <c r="F12334">
        <v>5.6333132708477701E-8</v>
      </c>
      <c r="G12334">
        <v>794200</v>
      </c>
      <c r="H12334">
        <v>14078806</v>
      </c>
      <c r="I12334">
        <v>2840856</v>
      </c>
      <c r="J12334">
        <v>2</v>
      </c>
    </row>
    <row r="12335" spans="1:10" x14ac:dyDescent="0.25">
      <c r="A12335" t="s">
        <v>127</v>
      </c>
      <c r="B12335" s="1" t="str">
        <f>HYPERLINK("http://sorgente.be","sorgente.be")</f>
        <v>sorgente.be</v>
      </c>
      <c r="C12335" t="s">
        <v>421</v>
      </c>
      <c r="D12335" t="s">
        <v>803</v>
      </c>
      <c r="F12335">
        <v>4.5251921194056903E-9</v>
      </c>
      <c r="G12335">
        <v>55587987</v>
      </c>
      <c r="H12335">
        <v>10483621</v>
      </c>
      <c r="I12335">
        <v>50877186</v>
      </c>
      <c r="J12335">
        <v>3</v>
      </c>
    </row>
    <row r="12336" spans="1:10" x14ac:dyDescent="0.25">
      <c r="A12336" t="s">
        <v>127</v>
      </c>
      <c r="B12336" s="1" t="str">
        <f>HYPERLINK("http://danone.bg","danone.bg")</f>
        <v>danone.bg</v>
      </c>
      <c r="C12336" t="s">
        <v>422</v>
      </c>
      <c r="D12336" t="s">
        <v>804</v>
      </c>
      <c r="F12336">
        <v>2.3659474135702701E-8</v>
      </c>
      <c r="G12336">
        <v>2197658</v>
      </c>
      <c r="H12336">
        <v>13777481</v>
      </c>
      <c r="I12336">
        <v>6536669</v>
      </c>
      <c r="J12336">
        <v>2</v>
      </c>
    </row>
    <row r="12337" spans="1:10" x14ac:dyDescent="0.25">
      <c r="A12337" t="s">
        <v>127</v>
      </c>
      <c r="B12337" s="1" t="str">
        <f>HYPERLINK("http://danone.com.br","danone.com.br")</f>
        <v>danone.com.br</v>
      </c>
      <c r="C12337" t="s">
        <v>425</v>
      </c>
      <c r="D12337" t="s">
        <v>806</v>
      </c>
      <c r="F12337">
        <v>3.4790630940413603E-8</v>
      </c>
      <c r="G12337">
        <v>1492270</v>
      </c>
      <c r="H12337">
        <v>14512247</v>
      </c>
      <c r="I12337">
        <v>819629</v>
      </c>
      <c r="J12337">
        <v>2</v>
      </c>
    </row>
    <row r="12338" spans="1:10" x14ac:dyDescent="0.25">
      <c r="A12338" t="s">
        <v>127</v>
      </c>
      <c r="B12338" s="1" t="str">
        <f>HYPERLINK("http://nutrimed.com.br","nutrimed.com.br")</f>
        <v>nutrimed.com.br</v>
      </c>
      <c r="C12338" t="s">
        <v>425</v>
      </c>
      <c r="D12338" t="s">
        <v>806</v>
      </c>
      <c r="J12338">
        <v>3</v>
      </c>
    </row>
    <row r="12339" spans="1:10" x14ac:dyDescent="0.25">
      <c r="A12339" t="s">
        <v>127</v>
      </c>
      <c r="B12339" s="1" t="str">
        <f>HYPERLINK("http://paulista.com.br","paulista.com.br")</f>
        <v>paulista.com.br</v>
      </c>
      <c r="C12339" t="s">
        <v>425</v>
      </c>
      <c r="D12339" t="s">
        <v>806</v>
      </c>
      <c r="J12339">
        <v>3</v>
      </c>
    </row>
    <row r="12340" spans="1:10" x14ac:dyDescent="0.25">
      <c r="A12340" t="s">
        <v>127</v>
      </c>
      <c r="B12340" s="1" t="str">
        <f>HYPERLINK("http://supportnet.com.br","supportnet.com.br")</f>
        <v>supportnet.com.br</v>
      </c>
      <c r="C12340" t="s">
        <v>425</v>
      </c>
      <c r="D12340" t="s">
        <v>806</v>
      </c>
      <c r="F12340">
        <v>4.45933385160637E-9</v>
      </c>
      <c r="G12340">
        <v>67961378</v>
      </c>
      <c r="H12340">
        <v>10938696</v>
      </c>
      <c r="I12340">
        <v>34862946</v>
      </c>
      <c r="J12340">
        <v>3</v>
      </c>
    </row>
    <row r="12341" spans="1:10" x14ac:dyDescent="0.25">
      <c r="A12341" t="s">
        <v>127</v>
      </c>
      <c r="B12341" s="1" t="str">
        <f>HYPERLINK("http://danone.by","danone.by")</f>
        <v>danone.by</v>
      </c>
      <c r="C12341" t="s">
        <v>427</v>
      </c>
      <c r="D12341" t="s">
        <v>808</v>
      </c>
      <c r="F12341">
        <v>2.1700799059217101E-8</v>
      </c>
      <c r="G12341">
        <v>2423760</v>
      </c>
      <c r="H12341">
        <v>12580075</v>
      </c>
      <c r="I12341">
        <v>16507119</v>
      </c>
      <c r="J12341">
        <v>2</v>
      </c>
    </row>
    <row r="12342" spans="1:10" x14ac:dyDescent="0.25">
      <c r="A12342" t="s">
        <v>127</v>
      </c>
      <c r="B12342" s="1" t="str">
        <f>HYPERLINK("http://danone.ca","danone.ca")</f>
        <v>danone.ca</v>
      </c>
      <c r="C12342" t="s">
        <v>428</v>
      </c>
      <c r="D12342" t="s">
        <v>809</v>
      </c>
      <c r="F12342">
        <v>1.6288845132867501E-7</v>
      </c>
      <c r="G12342">
        <v>238288</v>
      </c>
      <c r="H12342">
        <v>16939404</v>
      </c>
      <c r="I12342">
        <v>113397</v>
      </c>
      <c r="J12342">
        <v>2</v>
      </c>
    </row>
    <row r="12343" spans="1:10" x14ac:dyDescent="0.25">
      <c r="A12343" t="s">
        <v>127</v>
      </c>
      <c r="B12343" s="1" t="str">
        <f>HYPERLINK("http://nutricia.ca","nutricia.ca")</f>
        <v>nutricia.ca</v>
      </c>
      <c r="C12343" t="s">
        <v>428</v>
      </c>
      <c r="D12343" t="s">
        <v>809</v>
      </c>
      <c r="F12343">
        <v>1.5601748317020899E-8</v>
      </c>
      <c r="G12343">
        <v>3654651</v>
      </c>
      <c r="H12343">
        <v>12209785</v>
      </c>
      <c r="I12343">
        <v>23033208</v>
      </c>
      <c r="J12343">
        <v>6</v>
      </c>
    </row>
    <row r="12344" spans="1:10" x14ac:dyDescent="0.25">
      <c r="A12344" t="s">
        <v>127</v>
      </c>
      <c r="B12344" s="1" t="str">
        <f>HYPERLINK("http://sodeliciousdairyfree.ca","sodeliciousdairyfree.ca")</f>
        <v>sodeliciousdairyfree.ca</v>
      </c>
      <c r="C12344" t="s">
        <v>428</v>
      </c>
      <c r="D12344" t="s">
        <v>809</v>
      </c>
      <c r="F12344">
        <v>2.4442884531705099E-8</v>
      </c>
      <c r="G12344">
        <v>2119879</v>
      </c>
      <c r="H12344">
        <v>13768663</v>
      </c>
      <c r="I12344">
        <v>6862800</v>
      </c>
      <c r="J12344">
        <v>4</v>
      </c>
    </row>
    <row r="12345" spans="1:10" x14ac:dyDescent="0.25">
      <c r="A12345" t="s">
        <v>127</v>
      </c>
      <c r="B12345" s="1" t="str">
        <f>HYPERLINK("http://evian.ch","evian.ch")</f>
        <v>evian.ch</v>
      </c>
      <c r="C12345" t="s">
        <v>429</v>
      </c>
      <c r="D12345" t="s">
        <v>810</v>
      </c>
      <c r="F12345">
        <v>1.63812842528575E-8</v>
      </c>
      <c r="G12345">
        <v>3450614</v>
      </c>
      <c r="H12345">
        <v>11235762</v>
      </c>
      <c r="I12345">
        <v>30991650</v>
      </c>
      <c r="J12345">
        <v>4</v>
      </c>
    </row>
    <row r="12346" spans="1:10" x14ac:dyDescent="0.25">
      <c r="A12346" t="s">
        <v>127</v>
      </c>
      <c r="B12346" s="1" t="str">
        <f>HYPERLINK("http://nutricia.ch","nutricia.ch")</f>
        <v>nutricia.ch</v>
      </c>
      <c r="C12346" t="s">
        <v>429</v>
      </c>
      <c r="D12346" t="s">
        <v>810</v>
      </c>
      <c r="F12346">
        <v>7.9321568444185002E-9</v>
      </c>
      <c r="G12346">
        <v>10049285</v>
      </c>
      <c r="H12346">
        <v>10679116</v>
      </c>
      <c r="I12346">
        <v>42775458</v>
      </c>
      <c r="J12346">
        <v>4</v>
      </c>
    </row>
    <row r="12347" spans="1:10" x14ac:dyDescent="0.25">
      <c r="A12347" t="s">
        <v>127</v>
      </c>
      <c r="B12347" s="1" t="str">
        <f>HYPERLINK("http://danone.com.cn","danone.com.cn")</f>
        <v>danone.com.cn</v>
      </c>
      <c r="C12347" t="s">
        <v>431</v>
      </c>
      <c r="D12347" t="s">
        <v>812</v>
      </c>
      <c r="F12347">
        <v>4.1746561040405098E-8</v>
      </c>
      <c r="G12347">
        <v>1181714</v>
      </c>
      <c r="H12347">
        <v>12764014</v>
      </c>
      <c r="I12347">
        <v>14929246</v>
      </c>
      <c r="J12347">
        <v>2</v>
      </c>
    </row>
    <row r="12348" spans="1:10" x14ac:dyDescent="0.25">
      <c r="A12348" t="s">
        <v>127</v>
      </c>
      <c r="B12348" s="1" t="str">
        <f>HYPERLINK("http://eurbest.com.cn","eurbest.com.cn")</f>
        <v>eurbest.com.cn</v>
      </c>
      <c r="C12348" t="s">
        <v>431</v>
      </c>
      <c r="D12348" t="s">
        <v>812</v>
      </c>
      <c r="F12348">
        <v>7.30979091117714E-9</v>
      </c>
      <c r="G12348">
        <v>11455887</v>
      </c>
      <c r="H12348">
        <v>9019480</v>
      </c>
      <c r="I12348">
        <v>68850659</v>
      </c>
      <c r="J12348">
        <v>3</v>
      </c>
    </row>
    <row r="12349" spans="1:10" x14ac:dyDescent="0.25">
      <c r="A12349" t="s">
        <v>127</v>
      </c>
      <c r="B12349" s="1" t="str">
        <f>HYPERLINK("http://alpro.com","alpro.com")</f>
        <v>alpro.com</v>
      </c>
      <c r="C12349" t="s">
        <v>433</v>
      </c>
      <c r="E12349">
        <v>129238</v>
      </c>
      <c r="F12349">
        <v>3.8230565321480199E-7</v>
      </c>
      <c r="G12349">
        <v>97904</v>
      </c>
      <c r="H12349">
        <v>17266060</v>
      </c>
      <c r="I12349">
        <v>31860</v>
      </c>
      <c r="J12349">
        <v>5</v>
      </c>
    </row>
    <row r="12350" spans="1:10" x14ac:dyDescent="0.25">
      <c r="A12350" t="s">
        <v>127</v>
      </c>
      <c r="B12350" s="1" t="str">
        <f>HYPERLINK("http://aqua.com","aqua.com")</f>
        <v>aqua.com</v>
      </c>
      <c r="C12350" t="s">
        <v>433</v>
      </c>
      <c r="F12350">
        <v>1.8016113951744901E-8</v>
      </c>
      <c r="G12350">
        <v>3027192</v>
      </c>
      <c r="H12350">
        <v>14374820</v>
      </c>
      <c r="I12350">
        <v>1233539</v>
      </c>
      <c r="J12350">
        <v>3</v>
      </c>
    </row>
    <row r="12351" spans="1:10" x14ac:dyDescent="0.25">
      <c r="A12351" t="s">
        <v>127</v>
      </c>
      <c r="B12351" s="1" t="str">
        <f>HYPERLINK("http://bledina.com","bledina.com")</f>
        <v>bledina.com</v>
      </c>
      <c r="C12351" t="s">
        <v>433</v>
      </c>
      <c r="F12351">
        <v>1.13680495423552E-7</v>
      </c>
      <c r="G12351">
        <v>350545</v>
      </c>
      <c r="H12351">
        <v>17209852</v>
      </c>
      <c r="I12351">
        <v>40063</v>
      </c>
      <c r="J12351">
        <v>3</v>
      </c>
    </row>
    <row r="12352" spans="1:10" x14ac:dyDescent="0.25">
      <c r="A12352" t="s">
        <v>127</v>
      </c>
      <c r="B12352" s="1" t="str">
        <f>HYPERLINK("http://bonafon.com","bonafon.com")</f>
        <v>bonafon.com</v>
      </c>
      <c r="C12352" t="s">
        <v>433</v>
      </c>
      <c r="J12352">
        <v>3</v>
      </c>
    </row>
    <row r="12353" spans="1:10" x14ac:dyDescent="0.25">
      <c r="A12353" t="s">
        <v>127</v>
      </c>
      <c r="B12353" s="1" t="str">
        <f>HYPERLINK("http://centraledanone.com","centraledanone.com")</f>
        <v>centraledanone.com</v>
      </c>
      <c r="C12353" t="s">
        <v>433</v>
      </c>
      <c r="F12353">
        <v>1.2877099385849299E-8</v>
      </c>
      <c r="G12353">
        <v>4690375</v>
      </c>
      <c r="H12353">
        <v>12644504</v>
      </c>
      <c r="I12353">
        <v>15837969</v>
      </c>
      <c r="J12353">
        <v>3</v>
      </c>
    </row>
    <row r="12354" spans="1:10" x14ac:dyDescent="0.25">
      <c r="A12354" t="s">
        <v>127</v>
      </c>
      <c r="B12354" s="1" t="str">
        <f>HYPERLINK("http://centralelaitiere.com","centralelaitiere.com")</f>
        <v>centralelaitiere.com</v>
      </c>
      <c r="C12354" t="s">
        <v>433</v>
      </c>
      <c r="F12354">
        <v>7.5611320006390398E-9</v>
      </c>
      <c r="G12354">
        <v>10882075</v>
      </c>
      <c r="H12354">
        <v>14073035</v>
      </c>
      <c r="I12354">
        <v>3022888</v>
      </c>
      <c r="J12354">
        <v>3</v>
      </c>
    </row>
    <row r="12355" spans="1:10" x14ac:dyDescent="0.25">
      <c r="A12355" t="s">
        <v>127</v>
      </c>
      <c r="B12355" s="1" t="str">
        <f>HYPERLINK("http://dannon.com","dannon.com")</f>
        <v>dannon.com</v>
      </c>
      <c r="C12355" t="s">
        <v>433</v>
      </c>
      <c r="E12355">
        <v>459085</v>
      </c>
      <c r="F12355">
        <v>1.7361128239939901E-7</v>
      </c>
      <c r="G12355">
        <v>223381</v>
      </c>
      <c r="H12355">
        <v>14687225</v>
      </c>
      <c r="I12355">
        <v>604173</v>
      </c>
      <c r="J12355">
        <v>3</v>
      </c>
    </row>
    <row r="12356" spans="1:10" x14ac:dyDescent="0.25">
      <c r="A12356" t="s">
        <v>127</v>
      </c>
      <c r="B12356" s="1" t="str">
        <f>HYPERLINK("http://danone.com","danone.com")</f>
        <v>danone.com</v>
      </c>
      <c r="C12356" t="s">
        <v>433</v>
      </c>
      <c r="E12356">
        <v>34157</v>
      </c>
      <c r="F12356">
        <v>4.0424183385979501E-6</v>
      </c>
      <c r="G12356">
        <v>9193</v>
      </c>
      <c r="H12356">
        <v>18016788</v>
      </c>
      <c r="I12356">
        <v>3583</v>
      </c>
      <c r="J12356">
        <v>1</v>
      </c>
    </row>
    <row r="12357" spans="1:10" x14ac:dyDescent="0.25">
      <c r="A12357" t="s">
        <v>127</v>
      </c>
      <c r="B12357" s="1" t="str">
        <f>HYPERLINK("http://danonenorthamerica.com","danonenorthamerica.com")</f>
        <v>danonenorthamerica.com</v>
      </c>
      <c r="C12357" t="s">
        <v>433</v>
      </c>
      <c r="E12357">
        <v>473316</v>
      </c>
      <c r="F12357">
        <v>3.3504613745844E-7</v>
      </c>
      <c r="G12357">
        <v>111283</v>
      </c>
      <c r="H12357">
        <v>14426763</v>
      </c>
      <c r="I12357">
        <v>1078592</v>
      </c>
      <c r="J12357">
        <v>3</v>
      </c>
    </row>
    <row r="12358" spans="1:10" x14ac:dyDescent="0.25">
      <c r="A12358" t="s">
        <v>127</v>
      </c>
      <c r="B12358" s="1" t="str">
        <f>HYPERLINK("http://danoneventures.com","danoneventures.com")</f>
        <v>danoneventures.com</v>
      </c>
      <c r="C12358" t="s">
        <v>433</v>
      </c>
      <c r="F12358">
        <v>1.9592936671288502E-8</v>
      </c>
      <c r="G12358">
        <v>2729191</v>
      </c>
      <c r="H12358">
        <v>13590322</v>
      </c>
      <c r="I12358">
        <v>9667967</v>
      </c>
      <c r="J12358">
        <v>3</v>
      </c>
    </row>
    <row r="12359" spans="1:10" x14ac:dyDescent="0.25">
      <c r="A12359" t="s">
        <v>127</v>
      </c>
      <c r="B12359" s="1" t="str">
        <f>HYPERLINK("http://emidan.com","emidan.com")</f>
        <v>emidan.com</v>
      </c>
      <c r="C12359" t="s">
        <v>433</v>
      </c>
      <c r="J12359">
        <v>4</v>
      </c>
    </row>
    <row r="12360" spans="1:10" x14ac:dyDescent="0.25">
      <c r="A12360" t="s">
        <v>127</v>
      </c>
      <c r="B12360" s="1" t="str">
        <f>HYPERLINK("http://evian.com","evian.com")</f>
        <v>evian.com</v>
      </c>
      <c r="C12360" t="s">
        <v>433</v>
      </c>
      <c r="E12360">
        <v>141828</v>
      </c>
      <c r="F12360">
        <v>7.8485457961433497E-7</v>
      </c>
      <c r="G12360">
        <v>50006</v>
      </c>
      <c r="H12360">
        <v>15393189</v>
      </c>
      <c r="I12360">
        <v>380547</v>
      </c>
      <c r="J12360">
        <v>3</v>
      </c>
    </row>
    <row r="12361" spans="1:10" x14ac:dyDescent="0.25">
      <c r="A12361" t="s">
        <v>127</v>
      </c>
      <c r="B12361" s="1" t="str">
        <f>HYPERLINK("http://fanmilk.com","fanmilk.com")</f>
        <v>fanmilk.com</v>
      </c>
      <c r="C12361" t="s">
        <v>433</v>
      </c>
      <c r="F12361">
        <v>1.9889751222628301E-8</v>
      </c>
      <c r="G12361">
        <v>2676417</v>
      </c>
      <c r="H12361">
        <v>13253408</v>
      </c>
      <c r="I12361">
        <v>11067319</v>
      </c>
      <c r="J12361">
        <v>3</v>
      </c>
    </row>
    <row r="12362" spans="1:10" x14ac:dyDescent="0.25">
      <c r="A12362" t="s">
        <v>127</v>
      </c>
      <c r="B12362" s="1" t="str">
        <f>HYPERLINK("http://foragerproject.com","foragerproject.com")</f>
        <v>foragerproject.com</v>
      </c>
      <c r="C12362" t="s">
        <v>433</v>
      </c>
      <c r="E12362">
        <v>528590</v>
      </c>
      <c r="F12362">
        <v>1.1630770774053399E-7</v>
      </c>
      <c r="G12362">
        <v>341912</v>
      </c>
      <c r="H12362">
        <v>14734507</v>
      </c>
      <c r="I12362">
        <v>570173</v>
      </c>
      <c r="J12362">
        <v>3</v>
      </c>
    </row>
    <row r="12363" spans="1:10" x14ac:dyDescent="0.25">
      <c r="A12363" t="s">
        <v>127</v>
      </c>
      <c r="B12363" s="1" t="str">
        <f>HYPERLINK("http://harmlessharvest.com","harmlessharvest.com")</f>
        <v>harmlessharvest.com</v>
      </c>
      <c r="C12363" t="s">
        <v>433</v>
      </c>
      <c r="E12363">
        <v>438950</v>
      </c>
      <c r="F12363">
        <v>1.2918537786966399E-7</v>
      </c>
      <c r="G12363">
        <v>303290</v>
      </c>
      <c r="H12363">
        <v>14752245</v>
      </c>
      <c r="I12363">
        <v>562959</v>
      </c>
      <c r="J12363">
        <v>3</v>
      </c>
    </row>
    <row r="12364" spans="1:10" x14ac:dyDescent="0.25">
      <c r="A12364" t="s">
        <v>127</v>
      </c>
      <c r="B12364" s="1" t="str">
        <f>HYPERLINK("http://harrogatewaterbrands.com","harrogatewaterbrands.com")</f>
        <v>harrogatewaterbrands.com</v>
      </c>
      <c r="C12364" t="s">
        <v>433</v>
      </c>
      <c r="F12364">
        <v>4.6733289491175502E-9</v>
      </c>
      <c r="G12364">
        <v>42744241</v>
      </c>
      <c r="H12364">
        <v>10916106</v>
      </c>
      <c r="I12364">
        <v>35492621</v>
      </c>
      <c r="J12364">
        <v>3</v>
      </c>
    </row>
    <row r="12365" spans="1:10" x14ac:dyDescent="0.25">
      <c r="A12365" t="s">
        <v>127</v>
      </c>
      <c r="B12365" s="1" t="str">
        <f>HYPERLINK("http://horizondairy.com","horizondairy.com")</f>
        <v>horizondairy.com</v>
      </c>
      <c r="C12365" t="s">
        <v>433</v>
      </c>
      <c r="F12365">
        <v>3.6178083143009699E-8</v>
      </c>
      <c r="G12365">
        <v>1441265</v>
      </c>
      <c r="H12365">
        <v>14501771</v>
      </c>
      <c r="I12365">
        <v>848444</v>
      </c>
      <c r="J12365">
        <v>4</v>
      </c>
    </row>
    <row r="12366" spans="1:10" x14ac:dyDescent="0.25">
      <c r="A12366" t="s">
        <v>127</v>
      </c>
      <c r="B12366" s="1" t="str">
        <f>HYPERLINK("http://horizonorganic.com","horizonorganic.com")</f>
        <v>horizonorganic.com</v>
      </c>
      <c r="C12366" t="s">
        <v>433</v>
      </c>
      <c r="F12366">
        <v>1.5826058936835001E-8</v>
      </c>
      <c r="G12366">
        <v>3592300</v>
      </c>
      <c r="H12366">
        <v>14144847</v>
      </c>
      <c r="I12366">
        <v>1903600</v>
      </c>
      <c r="J12366">
        <v>6</v>
      </c>
    </row>
    <row r="12367" spans="1:10" x14ac:dyDescent="0.25">
      <c r="A12367" t="s">
        <v>127</v>
      </c>
      <c r="B12367" s="1" t="str">
        <f>HYPERLINK("http://hotel-royal-evian.com","hotel-royal-evian.com")</f>
        <v>hotel-royal-evian.com</v>
      </c>
      <c r="C12367" t="s">
        <v>433</v>
      </c>
      <c r="F12367">
        <v>2.8373214300153299E-8</v>
      </c>
      <c r="G12367">
        <v>1813726</v>
      </c>
      <c r="H12367">
        <v>13351519</v>
      </c>
      <c r="I12367">
        <v>10610757</v>
      </c>
      <c r="J12367">
        <v>3</v>
      </c>
    </row>
    <row r="12368" spans="1:10" x14ac:dyDescent="0.25">
      <c r="A12368" t="s">
        <v>127</v>
      </c>
      <c r="B12368" s="1" t="str">
        <f>HYPERLINK("http://laboratoire-gallia.com","laboratoire-gallia.com")</f>
        <v>laboratoire-gallia.com</v>
      </c>
      <c r="C12368" t="s">
        <v>433</v>
      </c>
      <c r="F12368">
        <v>9.3510617265046704E-8</v>
      </c>
      <c r="G12368">
        <v>434688</v>
      </c>
      <c r="H12368">
        <v>16830122</v>
      </c>
      <c r="I12368">
        <v>170139</v>
      </c>
      <c r="J12368">
        <v>3</v>
      </c>
    </row>
    <row r="12369" spans="1:10" x14ac:dyDescent="0.25">
      <c r="A12369" t="s">
        <v>127</v>
      </c>
      <c r="B12369" s="1" t="str">
        <f>HYPERLINK("http://lanjaron.com","lanjaron.com")</f>
        <v>lanjaron.com</v>
      </c>
      <c r="C12369" t="s">
        <v>433</v>
      </c>
      <c r="F12369">
        <v>4.0934952854796898E-8</v>
      </c>
      <c r="G12369">
        <v>1267154</v>
      </c>
      <c r="H12369">
        <v>13771791</v>
      </c>
      <c r="I12369">
        <v>6681708</v>
      </c>
      <c r="J12369">
        <v>4</v>
      </c>
    </row>
    <row r="12370" spans="1:10" x14ac:dyDescent="0.25">
      <c r="A12370" t="s">
        <v>127</v>
      </c>
      <c r="B12370" s="1" t="str">
        <f>HYPERLINK("http://nutricia.com","nutricia.com")</f>
        <v>nutricia.com</v>
      </c>
      <c r="C12370" t="s">
        <v>433</v>
      </c>
      <c r="E12370">
        <v>525005</v>
      </c>
      <c r="F12370">
        <v>1.06161204179059E-7</v>
      </c>
      <c r="G12370">
        <v>377188</v>
      </c>
      <c r="H12370">
        <v>14246026</v>
      </c>
      <c r="I12370">
        <v>1463360</v>
      </c>
      <c r="J12370">
        <v>3</v>
      </c>
    </row>
    <row r="12371" spans="1:10" x14ac:dyDescent="0.25">
      <c r="A12371" t="s">
        <v>127</v>
      </c>
      <c r="B12371" s="1" t="str">
        <f>HYPERLINK("http://nutricia-na.com","nutricia-na.com")</f>
        <v>nutricia-na.com</v>
      </c>
      <c r="C12371" t="s">
        <v>433</v>
      </c>
      <c r="F12371">
        <v>6.8899818995801106E-8</v>
      </c>
      <c r="G12371">
        <v>617053</v>
      </c>
      <c r="H12371">
        <v>13865268</v>
      </c>
      <c r="I12371">
        <v>6008999</v>
      </c>
      <c r="J12371">
        <v>3</v>
      </c>
    </row>
    <row r="12372" spans="1:10" x14ac:dyDescent="0.25">
      <c r="A12372" t="s">
        <v>127</v>
      </c>
      <c r="B12372" s="1" t="str">
        <f>HYPERLINK("http://nutriciana.com","nutriciana.com")</f>
        <v>nutriciana.com</v>
      </c>
      <c r="C12372" t="s">
        <v>433</v>
      </c>
      <c r="F12372">
        <v>4.5108289579936004E-9</v>
      </c>
      <c r="G12372">
        <v>57394594</v>
      </c>
      <c r="H12372">
        <v>9843362</v>
      </c>
      <c r="I12372">
        <v>62224614</v>
      </c>
      <c r="J12372">
        <v>6</v>
      </c>
    </row>
    <row r="12373" spans="1:10" x14ac:dyDescent="0.25">
      <c r="A12373" t="s">
        <v>127</v>
      </c>
      <c r="B12373" s="1" t="str">
        <f>HYPERLINK("http://nutriciaresearch.com","nutriciaresearch.com")</f>
        <v>nutriciaresearch.com</v>
      </c>
      <c r="C12373" t="s">
        <v>433</v>
      </c>
      <c r="F12373">
        <v>7.6898763203568798E-8</v>
      </c>
      <c r="G12373">
        <v>544819</v>
      </c>
      <c r="H12373">
        <v>13460902</v>
      </c>
      <c r="I12373">
        <v>10164981</v>
      </c>
      <c r="J12373">
        <v>3</v>
      </c>
    </row>
    <row r="12374" spans="1:10" x14ac:dyDescent="0.25">
      <c r="A12374" t="s">
        <v>127</v>
      </c>
      <c r="B12374" s="1" t="str">
        <f>HYPERLINK("http://shs-nutrition.com","shs-nutrition.com")</f>
        <v>shs-nutrition.com</v>
      </c>
      <c r="C12374" t="s">
        <v>433</v>
      </c>
      <c r="F12374">
        <v>5.0255782387143698E-9</v>
      </c>
      <c r="G12374">
        <v>28772382</v>
      </c>
      <c r="H12374">
        <v>11545216</v>
      </c>
      <c r="I12374">
        <v>29973937</v>
      </c>
      <c r="J12374">
        <v>5</v>
      </c>
    </row>
    <row r="12375" spans="1:10" x14ac:dyDescent="0.25">
      <c r="A12375" t="s">
        <v>127</v>
      </c>
      <c r="B12375" s="1" t="str">
        <f>HYPERLINK("http://sodeliciousdairyfree.com","sodeliciousdairyfree.com")</f>
        <v>sodeliciousdairyfree.com</v>
      </c>
      <c r="C12375" t="s">
        <v>433</v>
      </c>
      <c r="E12375">
        <v>213331</v>
      </c>
      <c r="F12375">
        <v>3.8581326930456497E-7</v>
      </c>
      <c r="G12375">
        <v>97085</v>
      </c>
      <c r="H12375">
        <v>14799129</v>
      </c>
      <c r="I12375">
        <v>548578</v>
      </c>
      <c r="J12375">
        <v>3</v>
      </c>
    </row>
    <row r="12376" spans="1:10" x14ac:dyDescent="0.25">
      <c r="A12376" t="s">
        <v>127</v>
      </c>
      <c r="B12376" s="1" t="str">
        <f>HYPERLINK("http://volvic.com","volvic.com")</f>
        <v>volvic.com</v>
      </c>
      <c r="C12376" t="s">
        <v>433</v>
      </c>
      <c r="F12376">
        <v>3.0000168272160697E-8</v>
      </c>
      <c r="G12376">
        <v>1714980</v>
      </c>
      <c r="H12376">
        <v>13058089</v>
      </c>
      <c r="I12376">
        <v>12549412</v>
      </c>
      <c r="J12376">
        <v>3</v>
      </c>
    </row>
    <row r="12377" spans="1:10" x14ac:dyDescent="0.25">
      <c r="A12377" t="s">
        <v>127</v>
      </c>
      <c r="B12377" s="1" t="str">
        <f>HYPERLINK("http://whitewave.com","whitewave.com")</f>
        <v>whitewave.com</v>
      </c>
      <c r="C12377" t="s">
        <v>433</v>
      </c>
      <c r="E12377">
        <v>765224</v>
      </c>
      <c r="F12377">
        <v>1.02981682904109E-7</v>
      </c>
      <c r="G12377">
        <v>389728</v>
      </c>
      <c r="H12377">
        <v>14234963</v>
      </c>
      <c r="I12377">
        <v>1668747</v>
      </c>
      <c r="J12377">
        <v>3</v>
      </c>
    </row>
    <row r="12378" spans="1:10" x14ac:dyDescent="0.25">
      <c r="A12378" t="s">
        <v>127</v>
      </c>
      <c r="B12378" s="1" t="str">
        <f>HYPERLINK("http://yocream.com","yocream.com")</f>
        <v>yocream.com</v>
      </c>
      <c r="C12378" t="s">
        <v>433</v>
      </c>
      <c r="F12378">
        <v>3.2459135052673299E-8</v>
      </c>
      <c r="G12378">
        <v>1591748</v>
      </c>
      <c r="H12378">
        <v>13963349</v>
      </c>
      <c r="I12378">
        <v>4098128</v>
      </c>
      <c r="J12378">
        <v>3</v>
      </c>
    </row>
    <row r="12379" spans="1:10" x14ac:dyDescent="0.25">
      <c r="A12379" t="s">
        <v>127</v>
      </c>
      <c r="B12379" s="1" t="str">
        <f>HYPERLINK("http://yocrunch.com","yocrunch.com")</f>
        <v>yocrunch.com</v>
      </c>
      <c r="C12379" t="s">
        <v>433</v>
      </c>
      <c r="F12379">
        <v>1.4936457758337598E-8</v>
      </c>
      <c r="G12379">
        <v>3860545</v>
      </c>
      <c r="H12379">
        <v>14141652</v>
      </c>
      <c r="I12379">
        <v>1925603</v>
      </c>
      <c r="J12379">
        <v>3</v>
      </c>
    </row>
    <row r="12380" spans="1:10" x14ac:dyDescent="0.25">
      <c r="A12380" t="s">
        <v>127</v>
      </c>
      <c r="B12380" s="1" t="str">
        <f>HYPERLINK("http://danone.cz","danone.cz")</f>
        <v>danone.cz</v>
      </c>
      <c r="C12380" t="s">
        <v>435</v>
      </c>
      <c r="D12380" t="s">
        <v>814</v>
      </c>
      <c r="F12380">
        <v>3.1975115114142097E-8</v>
      </c>
      <c r="G12380">
        <v>1616227</v>
      </c>
      <c r="H12380">
        <v>12663840</v>
      </c>
      <c r="I12380">
        <v>15687954</v>
      </c>
      <c r="J12380">
        <v>2</v>
      </c>
    </row>
    <row r="12381" spans="1:10" x14ac:dyDescent="0.25">
      <c r="A12381" t="s">
        <v>127</v>
      </c>
      <c r="B12381" s="1" t="str">
        <f>HYPERLINK("http://nutricia.cz","nutricia.cz")</f>
        <v>nutricia.cz</v>
      </c>
      <c r="C12381" t="s">
        <v>435</v>
      </c>
      <c r="D12381" t="s">
        <v>814</v>
      </c>
      <c r="F12381">
        <v>1.8994109110570999E-8</v>
      </c>
      <c r="G12381">
        <v>2837038</v>
      </c>
      <c r="H12381">
        <v>12454411</v>
      </c>
      <c r="I12381">
        <v>17940986</v>
      </c>
      <c r="J12381">
        <v>4</v>
      </c>
    </row>
    <row r="12382" spans="1:10" x14ac:dyDescent="0.25">
      <c r="A12382" t="s">
        <v>127</v>
      </c>
      <c r="B12382" s="1" t="str">
        <f>HYPERLINK("http://danone.de","danone.de")</f>
        <v>danone.de</v>
      </c>
      <c r="C12382" t="s">
        <v>436</v>
      </c>
      <c r="D12382" t="s">
        <v>815</v>
      </c>
      <c r="E12382">
        <v>936141</v>
      </c>
      <c r="F12382">
        <v>1.1776704729584E-7</v>
      </c>
      <c r="G12382">
        <v>337294</v>
      </c>
      <c r="H12382">
        <v>14508679</v>
      </c>
      <c r="I12382">
        <v>827856</v>
      </c>
      <c r="J12382">
        <v>2</v>
      </c>
    </row>
    <row r="12383" spans="1:10" x14ac:dyDescent="0.25">
      <c r="A12383" t="s">
        <v>127</v>
      </c>
      <c r="B12383" s="1" t="str">
        <f>HYPERLINK("http://evian.de","evian.de")</f>
        <v>evian.de</v>
      </c>
      <c r="C12383" t="s">
        <v>436</v>
      </c>
      <c r="D12383" t="s">
        <v>815</v>
      </c>
      <c r="F12383">
        <v>1.28854823055461E-8</v>
      </c>
      <c r="G12383">
        <v>4686350</v>
      </c>
      <c r="H12383">
        <v>13765249</v>
      </c>
      <c r="I12383">
        <v>7124243</v>
      </c>
      <c r="J12383">
        <v>4</v>
      </c>
    </row>
    <row r="12384" spans="1:10" x14ac:dyDescent="0.25">
      <c r="A12384" t="s">
        <v>127</v>
      </c>
      <c r="B12384" s="1" t="str">
        <f>HYPERLINK("http://milupa-gmbh.de","milupa-gmbh.de")</f>
        <v>milupa-gmbh.de</v>
      </c>
      <c r="C12384" t="s">
        <v>436</v>
      </c>
      <c r="D12384" t="s">
        <v>815</v>
      </c>
      <c r="F12384">
        <v>5.1610422159448998E-9</v>
      </c>
      <c r="G12384">
        <v>25883191</v>
      </c>
      <c r="H12384">
        <v>12405353</v>
      </c>
      <c r="I12384">
        <v>18684012</v>
      </c>
      <c r="J12384">
        <v>4</v>
      </c>
    </row>
    <row r="12385" spans="1:10" x14ac:dyDescent="0.25">
      <c r="A12385" t="s">
        <v>127</v>
      </c>
      <c r="B12385" s="1" t="str">
        <f>HYPERLINK("http://nutricia.de","nutricia.de")</f>
        <v>nutricia.de</v>
      </c>
      <c r="C12385" t="s">
        <v>436</v>
      </c>
      <c r="D12385" t="s">
        <v>815</v>
      </c>
      <c r="F12385">
        <v>8.1321995618808099E-8</v>
      </c>
      <c r="G12385">
        <v>513295</v>
      </c>
      <c r="H12385">
        <v>14394666</v>
      </c>
      <c r="I12385">
        <v>1161555</v>
      </c>
      <c r="J12385">
        <v>3</v>
      </c>
    </row>
    <row r="12386" spans="1:10" x14ac:dyDescent="0.25">
      <c r="A12386" t="s">
        <v>127</v>
      </c>
      <c r="B12386" s="1" t="str">
        <f>HYPERLINK("http://nutricia.digital","nutricia.digital")</f>
        <v>nutricia.digital</v>
      </c>
      <c r="C12386" t="s">
        <v>543</v>
      </c>
      <c r="F12386">
        <v>5.1175336796024798E-9</v>
      </c>
      <c r="G12386">
        <v>26706191</v>
      </c>
      <c r="H12386">
        <v>8602281</v>
      </c>
      <c r="I12386">
        <v>70758405</v>
      </c>
      <c r="J12386">
        <v>5</v>
      </c>
    </row>
    <row r="12387" spans="1:10" x14ac:dyDescent="0.25">
      <c r="A12387" t="s">
        <v>127</v>
      </c>
      <c r="B12387" s="1" t="str">
        <f>HYPERLINK("http://aquador.dk","aquador.dk")</f>
        <v>aquador.dk</v>
      </c>
      <c r="C12387" t="s">
        <v>437</v>
      </c>
      <c r="D12387" t="s">
        <v>816</v>
      </c>
      <c r="F12387">
        <v>3.01696653654719E-8</v>
      </c>
      <c r="G12387">
        <v>1705690</v>
      </c>
      <c r="H12387">
        <v>12539146</v>
      </c>
      <c r="I12387">
        <v>16949020</v>
      </c>
      <c r="J12387">
        <v>3</v>
      </c>
    </row>
    <row r="12388" spans="1:10" x14ac:dyDescent="0.25">
      <c r="A12388" t="s">
        <v>127</v>
      </c>
      <c r="B12388" s="1" t="str">
        <f>HYPERLINK("http://danerolles.dk","danerolles.dk")</f>
        <v>danerolles.dk</v>
      </c>
      <c r="C12388" t="s">
        <v>437</v>
      </c>
      <c r="D12388" t="s">
        <v>816</v>
      </c>
      <c r="F12388">
        <v>8.5954975839830007E-9</v>
      </c>
      <c r="G12388">
        <v>8664425</v>
      </c>
      <c r="H12388">
        <v>12091552</v>
      </c>
      <c r="I12388">
        <v>26202029</v>
      </c>
      <c r="J12388">
        <v>6</v>
      </c>
    </row>
    <row r="12389" spans="1:10" x14ac:dyDescent="0.25">
      <c r="A12389" t="s">
        <v>127</v>
      </c>
      <c r="B12389" s="1" t="str">
        <f>HYPERLINK("http://danone.dk","danone.dk")</f>
        <v>danone.dk</v>
      </c>
      <c r="C12389" t="s">
        <v>437</v>
      </c>
      <c r="D12389" t="s">
        <v>816</v>
      </c>
      <c r="F12389">
        <v>1.27058770657099E-8</v>
      </c>
      <c r="G12389">
        <v>4776664</v>
      </c>
      <c r="H12389">
        <v>12534046</v>
      </c>
      <c r="I12389">
        <v>16995368</v>
      </c>
      <c r="J12389">
        <v>2</v>
      </c>
    </row>
    <row r="12390" spans="1:10" x14ac:dyDescent="0.25">
      <c r="A12390" t="s">
        <v>127</v>
      </c>
      <c r="B12390" s="1" t="str">
        <f>HYPERLINK("http://nutricia.dk","nutricia.dk")</f>
        <v>nutricia.dk</v>
      </c>
      <c r="C12390" t="s">
        <v>437</v>
      </c>
      <c r="D12390" t="s">
        <v>816</v>
      </c>
      <c r="F12390">
        <v>3.9145478430367399E-8</v>
      </c>
      <c r="G12390">
        <v>1317775</v>
      </c>
      <c r="H12390">
        <v>12534841</v>
      </c>
      <c r="I12390">
        <v>16987559</v>
      </c>
      <c r="J12390">
        <v>4</v>
      </c>
    </row>
    <row r="12391" spans="1:10" x14ac:dyDescent="0.25">
      <c r="A12391" t="s">
        <v>127</v>
      </c>
      <c r="B12391" s="1" t="str">
        <f>HYPERLINK("http://danone.dz","danone.dz")</f>
        <v>danone.dz</v>
      </c>
      <c r="C12391" t="s">
        <v>439</v>
      </c>
      <c r="D12391" t="s">
        <v>818</v>
      </c>
      <c r="F12391">
        <v>1.30369229480715E-8</v>
      </c>
      <c r="G12391">
        <v>4613557</v>
      </c>
      <c r="H12391">
        <v>12511077</v>
      </c>
      <c r="I12391">
        <v>17235610</v>
      </c>
      <c r="J12391">
        <v>2</v>
      </c>
    </row>
    <row r="12392" spans="1:10" x14ac:dyDescent="0.25">
      <c r="A12392" t="s">
        <v>127</v>
      </c>
      <c r="B12392" s="1" t="str">
        <f>HYPERLINK("http://evian.eco","evian.eco")</f>
        <v>evian.eco</v>
      </c>
      <c r="C12392" t="s">
        <v>749</v>
      </c>
      <c r="F12392">
        <v>2.5665182471154001E-8</v>
      </c>
      <c r="G12392">
        <v>2008978</v>
      </c>
      <c r="H12392">
        <v>12951235</v>
      </c>
      <c r="I12392">
        <v>13205229</v>
      </c>
      <c r="J12392">
        <v>4</v>
      </c>
    </row>
    <row r="12393" spans="1:10" x14ac:dyDescent="0.25">
      <c r="A12393" t="s">
        <v>127</v>
      </c>
      <c r="B12393" s="1" t="str">
        <f>HYPERLINK("http://alimentasonrisas.es","alimentasonrisas.es")</f>
        <v>alimentasonrisas.es</v>
      </c>
      <c r="C12393" t="s">
        <v>443</v>
      </c>
      <c r="D12393" t="s">
        <v>822</v>
      </c>
      <c r="F12393">
        <v>3.6994608603780598E-8</v>
      </c>
      <c r="G12393">
        <v>1402610</v>
      </c>
      <c r="H12393">
        <v>14136874</v>
      </c>
      <c r="I12393">
        <v>1958292</v>
      </c>
      <c r="J12393">
        <v>3</v>
      </c>
    </row>
    <row r="12394" spans="1:10" x14ac:dyDescent="0.25">
      <c r="A12394" t="s">
        <v>127</v>
      </c>
      <c r="B12394" s="1" t="str">
        <f>HYPERLINK("http://almiron.es","almiron.es")</f>
        <v>almiron.es</v>
      </c>
      <c r="C12394" t="s">
        <v>443</v>
      </c>
      <c r="D12394" t="s">
        <v>822</v>
      </c>
      <c r="F12394">
        <v>4.8699187177907802E-9</v>
      </c>
      <c r="G12394">
        <v>33408280</v>
      </c>
      <c r="H12394">
        <v>13763807</v>
      </c>
      <c r="I12394">
        <v>7610110</v>
      </c>
      <c r="J12394">
        <v>4</v>
      </c>
    </row>
    <row r="12395" spans="1:10" x14ac:dyDescent="0.25">
      <c r="A12395" t="s">
        <v>127</v>
      </c>
      <c r="B12395" s="1" t="str">
        <f>HYPERLINK("http://alpro.es","alpro.es")</f>
        <v>alpro.es</v>
      </c>
      <c r="C12395" t="s">
        <v>443</v>
      </c>
      <c r="D12395" t="s">
        <v>822</v>
      </c>
      <c r="F12395">
        <v>6.1908996804121399E-9</v>
      </c>
      <c r="G12395">
        <v>15583975</v>
      </c>
      <c r="H12395">
        <v>12129071</v>
      </c>
      <c r="I12395">
        <v>25164178</v>
      </c>
      <c r="J12395">
        <v>6</v>
      </c>
    </row>
    <row r="12396" spans="1:10" x14ac:dyDescent="0.25">
      <c r="A12396" t="s">
        <v>127</v>
      </c>
      <c r="B12396" s="1" t="str">
        <f>HYPERLINK("http://danone.es","danone.es")</f>
        <v>danone.es</v>
      </c>
      <c r="C12396" t="s">
        <v>443</v>
      </c>
      <c r="D12396" t="s">
        <v>822</v>
      </c>
      <c r="E12396">
        <v>372914</v>
      </c>
      <c r="F12396">
        <v>2.0396016418330801E-7</v>
      </c>
      <c r="G12396">
        <v>186343</v>
      </c>
      <c r="H12396">
        <v>15169838</v>
      </c>
      <c r="I12396">
        <v>398206</v>
      </c>
      <c r="J12396">
        <v>2</v>
      </c>
    </row>
    <row r="12397" spans="1:10" x14ac:dyDescent="0.25">
      <c r="A12397" t="s">
        <v>127</v>
      </c>
      <c r="B12397" s="1" t="str">
        <f>HYPERLINK("http://danoneespana.es","danoneespana.es")</f>
        <v>danoneespana.es</v>
      </c>
      <c r="C12397" t="s">
        <v>443</v>
      </c>
      <c r="D12397" t="s">
        <v>822</v>
      </c>
      <c r="F12397">
        <v>3.5810386983121302E-8</v>
      </c>
      <c r="G12397">
        <v>1454381</v>
      </c>
      <c r="H12397">
        <v>12791907</v>
      </c>
      <c r="I12397">
        <v>14679141</v>
      </c>
      <c r="J12397">
        <v>3</v>
      </c>
    </row>
    <row r="12398" spans="1:10" x14ac:dyDescent="0.25">
      <c r="A12398" t="s">
        <v>127</v>
      </c>
      <c r="B12398" s="1" t="str">
        <f>HYPERLINK("http://nutricia.es","nutricia.es")</f>
        <v>nutricia.es</v>
      </c>
      <c r="C12398" t="s">
        <v>443</v>
      </c>
      <c r="D12398" t="s">
        <v>822</v>
      </c>
      <c r="F12398">
        <v>4.00635283162254E-8</v>
      </c>
      <c r="G12398">
        <v>1290587</v>
      </c>
      <c r="H12398">
        <v>12722851</v>
      </c>
      <c r="I12398">
        <v>15239366</v>
      </c>
      <c r="J12398">
        <v>4</v>
      </c>
    </row>
    <row r="12399" spans="1:10" x14ac:dyDescent="0.25">
      <c r="A12399" t="s">
        <v>127</v>
      </c>
      <c r="B12399" s="1" t="str">
        <f>HYPERLINK("http://danerolles.eu","danerolles.eu")</f>
        <v>danerolles.eu</v>
      </c>
      <c r="C12399" t="s">
        <v>444</v>
      </c>
      <c r="F12399">
        <v>1.44661438531165E-8</v>
      </c>
      <c r="G12399">
        <v>4034517</v>
      </c>
      <c r="H12399">
        <v>10484132</v>
      </c>
      <c r="I12399">
        <v>50842228</v>
      </c>
      <c r="J12399">
        <v>6</v>
      </c>
    </row>
    <row r="12400" spans="1:10" x14ac:dyDescent="0.25">
      <c r="A12400" t="s">
        <v>127</v>
      </c>
      <c r="B12400" s="1" t="str">
        <f>HYPERLINK("http://actimel.fi","actimel.fi")</f>
        <v>actimel.fi</v>
      </c>
      <c r="C12400" t="s">
        <v>445</v>
      </c>
      <c r="D12400" t="s">
        <v>823</v>
      </c>
      <c r="F12400">
        <v>6.0301391487814998E-9</v>
      </c>
      <c r="G12400">
        <v>16498918</v>
      </c>
      <c r="H12400">
        <v>12782884</v>
      </c>
      <c r="I12400">
        <v>14731779</v>
      </c>
      <c r="J12400">
        <v>4</v>
      </c>
    </row>
    <row r="12401" spans="1:10" x14ac:dyDescent="0.25">
      <c r="A12401" t="s">
        <v>127</v>
      </c>
      <c r="B12401" s="1" t="str">
        <f>HYPERLINK("http://activia.fi","activia.fi")</f>
        <v>activia.fi</v>
      </c>
      <c r="C12401" t="s">
        <v>445</v>
      </c>
      <c r="D12401" t="s">
        <v>823</v>
      </c>
      <c r="F12401">
        <v>7.0312998782900003E-9</v>
      </c>
      <c r="G12401">
        <v>12220789</v>
      </c>
      <c r="H12401">
        <v>12782955</v>
      </c>
      <c r="I12401">
        <v>14731374</v>
      </c>
      <c r="J12401">
        <v>4</v>
      </c>
    </row>
    <row r="12402" spans="1:10" x14ac:dyDescent="0.25">
      <c r="A12402" t="s">
        <v>127</v>
      </c>
      <c r="B12402" s="1" t="str">
        <f>HYPERLINK("http://aliravitsemus.fi","aliravitsemus.fi")</f>
        <v>aliravitsemus.fi</v>
      </c>
      <c r="C12402" t="s">
        <v>445</v>
      </c>
      <c r="D12402" t="s">
        <v>823</v>
      </c>
      <c r="J12402">
        <v>4</v>
      </c>
    </row>
    <row r="12403" spans="1:10" x14ac:dyDescent="0.25">
      <c r="A12403" t="s">
        <v>127</v>
      </c>
      <c r="B12403" s="1" t="str">
        <f>HYPERLINK("http://alpro.fi","alpro.fi")</f>
        <v>alpro.fi</v>
      </c>
      <c r="C12403" t="s">
        <v>445</v>
      </c>
      <c r="D12403" t="s">
        <v>823</v>
      </c>
      <c r="F12403">
        <v>4.4526139801663402E-9</v>
      </c>
      <c r="G12403">
        <v>70575111</v>
      </c>
      <c r="H12403">
        <v>10532694</v>
      </c>
      <c r="I12403">
        <v>47964036</v>
      </c>
      <c r="J12403">
        <v>6</v>
      </c>
    </row>
    <row r="12404" spans="1:10" x14ac:dyDescent="0.25">
      <c r="A12404" t="s">
        <v>127</v>
      </c>
      <c r="B12404" s="1" t="str">
        <f>HYPERLINK("http://danacol.fi","danacol.fi")</f>
        <v>danacol.fi</v>
      </c>
      <c r="C12404" t="s">
        <v>445</v>
      </c>
      <c r="D12404" t="s">
        <v>823</v>
      </c>
      <c r="J12404">
        <v>5</v>
      </c>
    </row>
    <row r="12405" spans="1:10" x14ac:dyDescent="0.25">
      <c r="A12405" t="s">
        <v>127</v>
      </c>
      <c r="B12405" s="1" t="str">
        <f>HYPERLINK("http://danerolles.fi","danerolles.fi")</f>
        <v>danerolles.fi</v>
      </c>
      <c r="C12405" t="s">
        <v>445</v>
      </c>
      <c r="D12405" t="s">
        <v>823</v>
      </c>
      <c r="F12405">
        <v>1.0708685503156899E-8</v>
      </c>
      <c r="G12405">
        <v>6092707</v>
      </c>
      <c r="H12405">
        <v>13763738</v>
      </c>
      <c r="I12405">
        <v>7712746</v>
      </c>
      <c r="J12405">
        <v>5</v>
      </c>
    </row>
    <row r="12406" spans="1:10" x14ac:dyDescent="0.25">
      <c r="A12406" t="s">
        <v>127</v>
      </c>
      <c r="B12406" s="1" t="str">
        <f>HYPERLINK("http://danette.fi","danette.fi")</f>
        <v>danette.fi</v>
      </c>
      <c r="C12406" t="s">
        <v>445</v>
      </c>
      <c r="D12406" t="s">
        <v>823</v>
      </c>
      <c r="J12406">
        <v>4</v>
      </c>
    </row>
    <row r="12407" spans="1:10" x14ac:dyDescent="0.25">
      <c r="A12407" t="s">
        <v>127</v>
      </c>
      <c r="B12407" s="1" t="str">
        <f>HYPERLINK("http://danone.fi","danone.fi")</f>
        <v>danone.fi</v>
      </c>
      <c r="C12407" t="s">
        <v>445</v>
      </c>
      <c r="D12407" t="s">
        <v>823</v>
      </c>
      <c r="F12407">
        <v>1.5334672740169301E-8</v>
      </c>
      <c r="G12407">
        <v>3735281</v>
      </c>
      <c r="H12407">
        <v>14237319</v>
      </c>
      <c r="I12407">
        <v>1554210</v>
      </c>
      <c r="J12407">
        <v>2</v>
      </c>
    </row>
    <row r="12408" spans="1:10" x14ac:dyDescent="0.25">
      <c r="A12408" t="s">
        <v>127</v>
      </c>
      <c r="B12408" s="1" t="str">
        <f>HYPERLINK("http://danonepro.fi","danonepro.fi")</f>
        <v>danonepro.fi</v>
      </c>
      <c r="C12408" t="s">
        <v>445</v>
      </c>
      <c r="D12408" t="s">
        <v>823</v>
      </c>
      <c r="J12408">
        <v>5</v>
      </c>
    </row>
    <row r="12409" spans="1:10" x14ac:dyDescent="0.25">
      <c r="A12409" t="s">
        <v>127</v>
      </c>
      <c r="B12409" s="1" t="str">
        <f>HYPERLINK("http://danonino.fi","danonino.fi")</f>
        <v>danonino.fi</v>
      </c>
      <c r="C12409" t="s">
        <v>445</v>
      </c>
      <c r="D12409" t="s">
        <v>823</v>
      </c>
      <c r="J12409">
        <v>4</v>
      </c>
    </row>
    <row r="12410" spans="1:10" x14ac:dyDescent="0.25">
      <c r="A12410" t="s">
        <v>127</v>
      </c>
      <c r="B12410" s="1" t="str">
        <f>HYPERLINK("http://evian.fi","evian.fi")</f>
        <v>evian.fi</v>
      </c>
      <c r="C12410" t="s">
        <v>445</v>
      </c>
      <c r="D12410" t="s">
        <v>823</v>
      </c>
      <c r="J12410">
        <v>4</v>
      </c>
    </row>
    <row r="12411" spans="1:10" x14ac:dyDescent="0.25">
      <c r="A12411" t="s">
        <v>127</v>
      </c>
      <c r="B12411" s="1" t="str">
        <f>HYPERLINK("http://fortini.fi","fortini.fi")</f>
        <v>fortini.fi</v>
      </c>
      <c r="C12411" t="s">
        <v>445</v>
      </c>
      <c r="D12411" t="s">
        <v>823</v>
      </c>
      <c r="J12411">
        <v>4</v>
      </c>
    </row>
    <row r="12412" spans="1:10" x14ac:dyDescent="0.25">
      <c r="A12412" t="s">
        <v>127</v>
      </c>
      <c r="B12412" s="1" t="str">
        <f>HYPERLINK("http://lastenravitsemus.fi","lastenravitsemus.fi")</f>
        <v>lastenravitsemus.fi</v>
      </c>
      <c r="C12412" t="s">
        <v>445</v>
      </c>
      <c r="D12412" t="s">
        <v>823</v>
      </c>
      <c r="F12412">
        <v>4.44380395335525E-9</v>
      </c>
      <c r="G12412">
        <v>84776755</v>
      </c>
      <c r="H12412">
        <v>0</v>
      </c>
      <c r="I12412">
        <v>85890933</v>
      </c>
      <c r="J12412">
        <v>4</v>
      </c>
    </row>
    <row r="12413" spans="1:10" x14ac:dyDescent="0.25">
      <c r="A12413" t="s">
        <v>127</v>
      </c>
      <c r="B12413" s="1" t="str">
        <f>HYPERLINK("http://lastenruoka.fi","lastenruoka.fi")</f>
        <v>lastenruoka.fi</v>
      </c>
      <c r="C12413" t="s">
        <v>445</v>
      </c>
      <c r="D12413" t="s">
        <v>823</v>
      </c>
      <c r="J12413">
        <v>5</v>
      </c>
    </row>
    <row r="12414" spans="1:10" x14ac:dyDescent="0.25">
      <c r="A12414" t="s">
        <v>127</v>
      </c>
      <c r="B12414" s="1" t="str">
        <f>HYPERLINK("http://letkuravitsemus.fi","letkuravitsemus.fi")</f>
        <v>letkuravitsemus.fi</v>
      </c>
      <c r="C12414" t="s">
        <v>445</v>
      </c>
      <c r="D12414" t="s">
        <v>823</v>
      </c>
      <c r="F12414">
        <v>4.6355362194391997E-9</v>
      </c>
      <c r="G12414">
        <v>45060278</v>
      </c>
      <c r="H12414">
        <v>10731999</v>
      </c>
      <c r="I12414">
        <v>40832077</v>
      </c>
      <c r="J12414">
        <v>4</v>
      </c>
    </row>
    <row r="12415" spans="1:10" x14ac:dyDescent="0.25">
      <c r="A12415" t="s">
        <v>127</v>
      </c>
      <c r="B12415" s="1" t="str">
        <f>HYPERLINK("http://maitoallergia.fi","maitoallergia.fi")</f>
        <v>maitoallergia.fi</v>
      </c>
      <c r="C12415" t="s">
        <v>445</v>
      </c>
      <c r="D12415" t="s">
        <v>823</v>
      </c>
      <c r="F12415">
        <v>4.7710096821497997E-9</v>
      </c>
      <c r="G12415">
        <v>37334666</v>
      </c>
      <c r="H12415">
        <v>9661026</v>
      </c>
      <c r="I12415">
        <v>63804167</v>
      </c>
      <c r="J12415">
        <v>4</v>
      </c>
    </row>
    <row r="12416" spans="1:10" x14ac:dyDescent="0.25">
      <c r="A12416" t="s">
        <v>127</v>
      </c>
      <c r="B12416" s="1" t="str">
        <f>HYPERLINK("http://nutilis.fi","nutilis.fi")</f>
        <v>nutilis.fi</v>
      </c>
      <c r="C12416" t="s">
        <v>445</v>
      </c>
      <c r="D12416" t="s">
        <v>823</v>
      </c>
      <c r="J12416">
        <v>4</v>
      </c>
    </row>
    <row r="12417" spans="1:10" x14ac:dyDescent="0.25">
      <c r="A12417" t="s">
        <v>127</v>
      </c>
      <c r="B12417" s="1" t="str">
        <f>HYPERLINK("http://nutricia.fi","nutricia.fi")</f>
        <v>nutricia.fi</v>
      </c>
      <c r="C12417" t="s">
        <v>445</v>
      </c>
      <c r="D12417" t="s">
        <v>823</v>
      </c>
      <c r="F12417">
        <v>3.3105515901578203E-8</v>
      </c>
      <c r="G12417">
        <v>1560658</v>
      </c>
      <c r="H12417">
        <v>12593054</v>
      </c>
      <c r="I12417">
        <v>16388116</v>
      </c>
      <c r="J12417">
        <v>4</v>
      </c>
    </row>
    <row r="12418" spans="1:10" x14ac:dyDescent="0.25">
      <c r="A12418" t="s">
        <v>127</v>
      </c>
      <c r="B12418" s="1" t="str">
        <f>HYPERLINK("http://nutricia-allergi.fi","nutricia-allergi.fi")</f>
        <v>nutricia-allergi.fi</v>
      </c>
      <c r="C12418" t="s">
        <v>445</v>
      </c>
      <c r="D12418" t="s">
        <v>823</v>
      </c>
      <c r="J12418">
        <v>4</v>
      </c>
    </row>
    <row r="12419" spans="1:10" x14ac:dyDescent="0.25">
      <c r="A12419" t="s">
        <v>127</v>
      </c>
      <c r="B12419" s="1" t="str">
        <f>HYPERLINK("http://nutricia-allergia.fi","nutricia-allergia.fi")</f>
        <v>nutricia-allergia.fi</v>
      </c>
      <c r="C12419" t="s">
        <v>445</v>
      </c>
      <c r="D12419" t="s">
        <v>823</v>
      </c>
      <c r="J12419">
        <v>4</v>
      </c>
    </row>
    <row r="12420" spans="1:10" x14ac:dyDescent="0.25">
      <c r="A12420" t="s">
        <v>127</v>
      </c>
      <c r="B12420" s="1" t="str">
        <f>HYPERLINK("http://nutriclub.fi","nutriclub.fi")</f>
        <v>nutriclub.fi</v>
      </c>
      <c r="C12420" t="s">
        <v>445</v>
      </c>
      <c r="D12420" t="s">
        <v>823</v>
      </c>
      <c r="J12420">
        <v>4</v>
      </c>
    </row>
    <row r="12421" spans="1:10" x14ac:dyDescent="0.25">
      <c r="A12421" t="s">
        <v>127</v>
      </c>
      <c r="B12421" s="1" t="str">
        <f>HYPERLINK("http://nutridrink.fi","nutridrink.fi")</f>
        <v>nutridrink.fi</v>
      </c>
      <c r="C12421" t="s">
        <v>445</v>
      </c>
      <c r="D12421" t="s">
        <v>823</v>
      </c>
      <c r="F12421">
        <v>4.44380395335525E-9</v>
      </c>
      <c r="G12421">
        <v>84779437</v>
      </c>
      <c r="H12421">
        <v>0</v>
      </c>
      <c r="I12421">
        <v>85894118</v>
      </c>
      <c r="J12421">
        <v>4</v>
      </c>
    </row>
    <row r="12422" spans="1:10" x14ac:dyDescent="0.25">
      <c r="A12422" t="s">
        <v>127</v>
      </c>
      <c r="B12422" s="1" t="str">
        <f>HYPERLINK("http://nutrijunior.fi","nutrijunior.fi")</f>
        <v>nutrijunior.fi</v>
      </c>
      <c r="C12422" t="s">
        <v>445</v>
      </c>
      <c r="D12422" t="s">
        <v>823</v>
      </c>
      <c r="F12422">
        <v>4.44380395335525E-9</v>
      </c>
      <c r="G12422">
        <v>84779438</v>
      </c>
      <c r="H12422">
        <v>0</v>
      </c>
      <c r="I12422">
        <v>85894119</v>
      </c>
      <c r="J12422">
        <v>4</v>
      </c>
    </row>
    <row r="12423" spans="1:10" x14ac:dyDescent="0.25">
      <c r="A12423" t="s">
        <v>127</v>
      </c>
      <c r="B12423" s="1" t="str">
        <f>HYPERLINK("http://nutrilon.fi","nutrilon.fi")</f>
        <v>nutrilon.fi</v>
      </c>
      <c r="C12423" t="s">
        <v>445</v>
      </c>
      <c r="D12423" t="s">
        <v>823</v>
      </c>
      <c r="F12423">
        <v>4.55978813457747E-9</v>
      </c>
      <c r="G12423">
        <v>51188477</v>
      </c>
      <c r="H12423">
        <v>10734926</v>
      </c>
      <c r="I12423">
        <v>40664371</v>
      </c>
      <c r="J12423">
        <v>4</v>
      </c>
    </row>
    <row r="12424" spans="1:10" x14ac:dyDescent="0.25">
      <c r="A12424" t="s">
        <v>127</v>
      </c>
      <c r="B12424" s="1" t="str">
        <f>HYPERLINK("http://provamel.fi","provamel.fi")</f>
        <v>provamel.fi</v>
      </c>
      <c r="C12424" t="s">
        <v>445</v>
      </c>
      <c r="D12424" t="s">
        <v>823</v>
      </c>
      <c r="J12424">
        <v>6</v>
      </c>
    </row>
    <row r="12425" spans="1:10" x14ac:dyDescent="0.25">
      <c r="A12425" t="s">
        <v>127</v>
      </c>
      <c r="B12425" s="1" t="str">
        <f>HYPERLINK("http://souvenaid.fi","souvenaid.fi")</f>
        <v>souvenaid.fi</v>
      </c>
      <c r="C12425" t="s">
        <v>445</v>
      </c>
      <c r="D12425" t="s">
        <v>823</v>
      </c>
      <c r="F12425">
        <v>8.7188540880611202E-9</v>
      </c>
      <c r="G12425">
        <v>8445117</v>
      </c>
      <c r="H12425">
        <v>10843483</v>
      </c>
      <c r="I12425">
        <v>37025460</v>
      </c>
      <c r="J12425">
        <v>4</v>
      </c>
    </row>
    <row r="12426" spans="1:10" x14ac:dyDescent="0.25">
      <c r="A12426" t="s">
        <v>127</v>
      </c>
      <c r="B12426" s="1" t="str">
        <f>HYPERLINK("http://tutteli.fi","tutteli.fi")</f>
        <v>tutteli.fi</v>
      </c>
      <c r="C12426" t="s">
        <v>445</v>
      </c>
      <c r="D12426" t="s">
        <v>823</v>
      </c>
      <c r="J12426">
        <v>5</v>
      </c>
    </row>
    <row r="12427" spans="1:10" x14ac:dyDescent="0.25">
      <c r="A12427" t="s">
        <v>127</v>
      </c>
      <c r="B12427" s="1" t="str">
        <f>HYPERLINK("http://vajaaravitsemus.fi","vajaaravitsemus.fi")</f>
        <v>vajaaravitsemus.fi</v>
      </c>
      <c r="C12427" t="s">
        <v>445</v>
      </c>
      <c r="D12427" t="s">
        <v>823</v>
      </c>
      <c r="J12427">
        <v>5</v>
      </c>
    </row>
    <row r="12428" spans="1:10" x14ac:dyDescent="0.25">
      <c r="A12428" t="s">
        <v>127</v>
      </c>
      <c r="B12428" s="1" t="str">
        <f>HYPERLINK("http://vitalinea.fi","vitalinea.fi")</f>
        <v>vitalinea.fi</v>
      </c>
      <c r="C12428" t="s">
        <v>445</v>
      </c>
      <c r="D12428" t="s">
        <v>823</v>
      </c>
      <c r="J12428">
        <v>4</v>
      </c>
    </row>
    <row r="12429" spans="1:10" x14ac:dyDescent="0.25">
      <c r="A12429" t="s">
        <v>127</v>
      </c>
      <c r="B12429" s="1" t="str">
        <f>HYPERLINK("http://vivega.fi","vivega.fi")</f>
        <v>vivega.fi</v>
      </c>
      <c r="C12429" t="s">
        <v>445</v>
      </c>
      <c r="D12429" t="s">
        <v>823</v>
      </c>
      <c r="J12429">
        <v>6</v>
      </c>
    </row>
    <row r="12430" spans="1:10" x14ac:dyDescent="0.25">
      <c r="A12430" t="s">
        <v>127</v>
      </c>
      <c r="B12430" s="1" t="str">
        <f>HYPERLINK("http://danone.fr","danone.fr")</f>
        <v>danone.fr</v>
      </c>
      <c r="C12430" t="s">
        <v>446</v>
      </c>
      <c r="D12430" t="s">
        <v>824</v>
      </c>
      <c r="F12430">
        <v>2.35295978578289E-7</v>
      </c>
      <c r="G12430">
        <v>159264</v>
      </c>
      <c r="H12430">
        <v>14926674</v>
      </c>
      <c r="I12430">
        <v>449105</v>
      </c>
      <c r="J12430">
        <v>2</v>
      </c>
    </row>
    <row r="12431" spans="1:10" x14ac:dyDescent="0.25">
      <c r="A12431" t="s">
        <v>127</v>
      </c>
      <c r="B12431" s="1" t="str">
        <f>HYPERLINK("http://evian.fr","evian.fr")</f>
        <v>evian.fr</v>
      </c>
      <c r="C12431" t="s">
        <v>446</v>
      </c>
      <c r="D12431" t="s">
        <v>824</v>
      </c>
      <c r="F12431">
        <v>4.5902998265645299E-8</v>
      </c>
      <c r="G12431">
        <v>1023171</v>
      </c>
      <c r="H12431">
        <v>14507504</v>
      </c>
      <c r="I12431">
        <v>830576</v>
      </c>
      <c r="J12431">
        <v>4</v>
      </c>
    </row>
    <row r="12432" spans="1:10" x14ac:dyDescent="0.25">
      <c r="A12432" t="s">
        <v>127</v>
      </c>
      <c r="B12432" s="1" t="str">
        <f>HYPERLINK("http://nutricia.fr","nutricia.fr")</f>
        <v>nutricia.fr</v>
      </c>
      <c r="C12432" t="s">
        <v>446</v>
      </c>
      <c r="D12432" t="s">
        <v>824</v>
      </c>
      <c r="F12432">
        <v>4.1976253668014601E-8</v>
      </c>
      <c r="G12432">
        <v>1167711</v>
      </c>
      <c r="H12432">
        <v>13769994</v>
      </c>
      <c r="I12432">
        <v>6750678</v>
      </c>
      <c r="J12432">
        <v>3</v>
      </c>
    </row>
    <row r="12433" spans="1:10" x14ac:dyDescent="0.25">
      <c r="A12433" t="s">
        <v>127</v>
      </c>
      <c r="B12433" s="1" t="str">
        <f>HYPERLINK("http://volvic.fr","volvic.fr")</f>
        <v>volvic.fr</v>
      </c>
      <c r="C12433" t="s">
        <v>446</v>
      </c>
      <c r="D12433" t="s">
        <v>824</v>
      </c>
      <c r="F12433">
        <v>7.5339165804388306E-8</v>
      </c>
      <c r="G12433">
        <v>558087</v>
      </c>
      <c r="H12433">
        <v>14494702</v>
      </c>
      <c r="I12433">
        <v>880160</v>
      </c>
      <c r="J12433">
        <v>4</v>
      </c>
    </row>
    <row r="12434" spans="1:10" x14ac:dyDescent="0.25">
      <c r="A12434" t="s">
        <v>127</v>
      </c>
      <c r="B12434" s="1" t="str">
        <f>HYPERLINK("http://danone.gr","danone.gr")</f>
        <v>danone.gr</v>
      </c>
      <c r="C12434" t="s">
        <v>447</v>
      </c>
      <c r="D12434" t="s">
        <v>825</v>
      </c>
      <c r="F12434">
        <v>6.59315243922179E-9</v>
      </c>
      <c r="G12434">
        <v>13703120</v>
      </c>
      <c r="H12434">
        <v>12031167</v>
      </c>
      <c r="I12434">
        <v>27634289</v>
      </c>
      <c r="J12434">
        <v>4</v>
      </c>
    </row>
    <row r="12435" spans="1:10" x14ac:dyDescent="0.25">
      <c r="A12435" t="s">
        <v>127</v>
      </c>
      <c r="B12435" s="1" t="str">
        <f>HYPERLINK("http://numil.gr","numil.gr")</f>
        <v>numil.gr</v>
      </c>
      <c r="C12435" t="s">
        <v>447</v>
      </c>
      <c r="D12435" t="s">
        <v>825</v>
      </c>
      <c r="F12435">
        <v>5.2142384389418504E-9</v>
      </c>
      <c r="G12435">
        <v>24848060</v>
      </c>
      <c r="H12435">
        <v>10728209</v>
      </c>
      <c r="I12435">
        <v>41060102</v>
      </c>
      <c r="J12435">
        <v>3</v>
      </c>
    </row>
    <row r="12436" spans="1:10" x14ac:dyDescent="0.25">
      <c r="A12436" t="s">
        <v>127</v>
      </c>
      <c r="B12436" s="1" t="str">
        <f>HYPERLINK("http://nutricia.com.hk","nutricia.com.hk")</f>
        <v>nutricia.com.hk</v>
      </c>
      <c r="C12436" t="s">
        <v>450</v>
      </c>
      <c r="D12436" t="s">
        <v>827</v>
      </c>
      <c r="F12436">
        <v>6.3655038739341E-9</v>
      </c>
      <c r="G12436">
        <v>14687048</v>
      </c>
      <c r="H12436">
        <v>10840268</v>
      </c>
      <c r="I12436">
        <v>37174907</v>
      </c>
      <c r="J12436">
        <v>4</v>
      </c>
    </row>
    <row r="12437" spans="1:10" x14ac:dyDescent="0.25">
      <c r="A12437" t="s">
        <v>127</v>
      </c>
      <c r="B12437" s="1" t="str">
        <f>HYPERLINK("http://amnutrition.hu","amnutrition.hu")</f>
        <v>amnutrition.hu</v>
      </c>
      <c r="C12437" t="s">
        <v>453</v>
      </c>
      <c r="D12437" t="s">
        <v>830</v>
      </c>
      <c r="F12437">
        <v>2.8822684208609499E-8</v>
      </c>
      <c r="G12437">
        <v>1785854</v>
      </c>
      <c r="H12437">
        <v>13162617</v>
      </c>
      <c r="I12437">
        <v>11762804</v>
      </c>
      <c r="J12437">
        <v>4</v>
      </c>
    </row>
    <row r="12438" spans="1:10" x14ac:dyDescent="0.25">
      <c r="A12438" t="s">
        <v>127</v>
      </c>
      <c r="B12438" s="1" t="str">
        <f>HYPERLINK("http://danerolles.hu","danerolles.hu")</f>
        <v>danerolles.hu</v>
      </c>
      <c r="C12438" t="s">
        <v>453</v>
      </c>
      <c r="D12438" t="s">
        <v>830</v>
      </c>
      <c r="F12438">
        <v>7.5317904303047099E-9</v>
      </c>
      <c r="G12438">
        <v>10943759</v>
      </c>
      <c r="H12438">
        <v>10345554</v>
      </c>
      <c r="I12438">
        <v>56952181</v>
      </c>
      <c r="J12438">
        <v>6</v>
      </c>
    </row>
    <row r="12439" spans="1:10" x14ac:dyDescent="0.25">
      <c r="A12439" t="s">
        <v>127</v>
      </c>
      <c r="B12439" s="1" t="str">
        <f>HYPERLINK("http://danone.hu","danone.hu")</f>
        <v>danone.hu</v>
      </c>
      <c r="C12439" t="s">
        <v>453</v>
      </c>
      <c r="D12439" t="s">
        <v>830</v>
      </c>
      <c r="F12439">
        <v>2.3042679025156799E-8</v>
      </c>
      <c r="G12439">
        <v>2265960</v>
      </c>
      <c r="H12439">
        <v>14243052</v>
      </c>
      <c r="I12439">
        <v>1479775</v>
      </c>
      <c r="J12439">
        <v>2</v>
      </c>
    </row>
    <row r="12440" spans="1:10" x14ac:dyDescent="0.25">
      <c r="A12440" t="s">
        <v>127</v>
      </c>
      <c r="B12440" s="1" t="str">
        <f>HYPERLINK("http://aqua.co.id","aqua.co.id")</f>
        <v>aqua.co.id</v>
      </c>
      <c r="C12440" t="s">
        <v>454</v>
      </c>
      <c r="D12440" t="s">
        <v>831</v>
      </c>
      <c r="F12440">
        <v>3.4892779586469697E-8</v>
      </c>
      <c r="G12440">
        <v>1488399</v>
      </c>
      <c r="H12440">
        <v>13952079</v>
      </c>
      <c r="I12440">
        <v>4159414</v>
      </c>
      <c r="J12440">
        <v>6</v>
      </c>
    </row>
    <row r="12441" spans="1:10" x14ac:dyDescent="0.25">
      <c r="A12441" t="s">
        <v>127</v>
      </c>
      <c r="B12441" s="1" t="str">
        <f>HYPERLINK("http://nutricia.co.id","nutricia.co.id")</f>
        <v>nutricia.co.id</v>
      </c>
      <c r="C12441" t="s">
        <v>454</v>
      </c>
      <c r="D12441" t="s">
        <v>831</v>
      </c>
      <c r="F12441">
        <v>1.82771057555482E-8</v>
      </c>
      <c r="G12441">
        <v>2971878</v>
      </c>
      <c r="H12441">
        <v>12585668</v>
      </c>
      <c r="I12441">
        <v>16450716</v>
      </c>
      <c r="J12441">
        <v>3</v>
      </c>
    </row>
    <row r="12442" spans="1:10" x14ac:dyDescent="0.25">
      <c r="A12442" t="s">
        <v>127</v>
      </c>
      <c r="B12442" s="1" t="str">
        <f>HYPERLINK("http://sarihusada.co.id","sarihusada.co.id")</f>
        <v>sarihusada.co.id</v>
      </c>
      <c r="C12442" t="s">
        <v>454</v>
      </c>
      <c r="D12442" t="s">
        <v>831</v>
      </c>
      <c r="F12442">
        <v>2.0043279012828201E-8</v>
      </c>
      <c r="G12442">
        <v>2652641</v>
      </c>
      <c r="H12442">
        <v>14825440</v>
      </c>
      <c r="I12442">
        <v>511120</v>
      </c>
      <c r="J12442">
        <v>3</v>
      </c>
    </row>
    <row r="12443" spans="1:10" x14ac:dyDescent="0.25">
      <c r="A12443" t="s">
        <v>127</v>
      </c>
      <c r="B12443" s="1" t="str">
        <f>HYPERLINK("http://danone.ie","danone.ie")</f>
        <v>danone.ie</v>
      </c>
      <c r="C12443" t="s">
        <v>455</v>
      </c>
      <c r="D12443" t="s">
        <v>832</v>
      </c>
      <c r="F12443">
        <v>2.5255457780320801E-8</v>
      </c>
      <c r="G12443">
        <v>2043584</v>
      </c>
      <c r="H12443">
        <v>12736669</v>
      </c>
      <c r="I12443">
        <v>15159686</v>
      </c>
      <c r="J12443">
        <v>2</v>
      </c>
    </row>
    <row r="12444" spans="1:10" x14ac:dyDescent="0.25">
      <c r="A12444" t="s">
        <v>127</v>
      </c>
      <c r="B12444" s="1" t="str">
        <f>HYPERLINK("http://nutricia.ie","nutricia.ie")</f>
        <v>nutricia.ie</v>
      </c>
      <c r="C12444" t="s">
        <v>455</v>
      </c>
      <c r="D12444" t="s">
        <v>832</v>
      </c>
      <c r="F12444">
        <v>2.0874818589086799E-8</v>
      </c>
      <c r="G12444">
        <v>2532678</v>
      </c>
      <c r="H12444">
        <v>13936197</v>
      </c>
      <c r="I12444">
        <v>4502497</v>
      </c>
      <c r="J12444">
        <v>3</v>
      </c>
    </row>
    <row r="12445" spans="1:10" x14ac:dyDescent="0.25">
      <c r="A12445" t="s">
        <v>127</v>
      </c>
      <c r="B12445" s="1" t="str">
        <f>HYPERLINK("http://danone.in","danone.in")</f>
        <v>danone.in</v>
      </c>
      <c r="C12445" t="s">
        <v>457</v>
      </c>
      <c r="D12445" t="s">
        <v>834</v>
      </c>
      <c r="F12445">
        <v>1.6774137313789201E-8</v>
      </c>
      <c r="G12445">
        <v>3339575</v>
      </c>
      <c r="H12445">
        <v>14378758</v>
      </c>
      <c r="I12445">
        <v>1202461</v>
      </c>
      <c r="J12445">
        <v>2</v>
      </c>
    </row>
    <row r="12446" spans="1:10" x14ac:dyDescent="0.25">
      <c r="A12446" t="s">
        <v>127</v>
      </c>
      <c r="B12446" s="1" t="str">
        <f>HYPERLINK("http://danone.it","danone.it")</f>
        <v>danone.it</v>
      </c>
      <c r="C12446" t="s">
        <v>459</v>
      </c>
      <c r="D12446" t="s">
        <v>835</v>
      </c>
      <c r="F12446">
        <v>4.5394812226452402E-8</v>
      </c>
      <c r="G12446">
        <v>1037611</v>
      </c>
      <c r="H12446">
        <v>14156743</v>
      </c>
      <c r="I12446">
        <v>1851892</v>
      </c>
      <c r="J12446">
        <v>2</v>
      </c>
    </row>
    <row r="12447" spans="1:10" x14ac:dyDescent="0.25">
      <c r="A12447" t="s">
        <v>127</v>
      </c>
      <c r="B12447" s="1" t="str">
        <f>HYPERLINK("http://danone.co.jp","danone.co.jp")</f>
        <v>danone.co.jp</v>
      </c>
      <c r="C12447" t="s">
        <v>461</v>
      </c>
      <c r="D12447" t="s">
        <v>837</v>
      </c>
      <c r="E12447">
        <v>948961</v>
      </c>
      <c r="F12447">
        <v>7.6076652452443901E-8</v>
      </c>
      <c r="G12447">
        <v>552068</v>
      </c>
      <c r="H12447">
        <v>14456918</v>
      </c>
      <c r="I12447">
        <v>1049018</v>
      </c>
      <c r="J12447">
        <v>2</v>
      </c>
    </row>
    <row r="12448" spans="1:10" x14ac:dyDescent="0.25">
      <c r="A12448" t="s">
        <v>127</v>
      </c>
      <c r="B12448" s="1" t="str">
        <f>HYPERLINK("http://evian.co.jp","evian.co.jp")</f>
        <v>evian.co.jp</v>
      </c>
      <c r="C12448" t="s">
        <v>461</v>
      </c>
      <c r="D12448" t="s">
        <v>837</v>
      </c>
      <c r="F12448">
        <v>6.7310030425343499E-8</v>
      </c>
      <c r="G12448">
        <v>635090</v>
      </c>
      <c r="H12448">
        <v>14506522</v>
      </c>
      <c r="I12448">
        <v>833183</v>
      </c>
      <c r="J12448">
        <v>4</v>
      </c>
    </row>
    <row r="12449" spans="1:10" x14ac:dyDescent="0.25">
      <c r="A12449" t="s">
        <v>127</v>
      </c>
      <c r="B12449" s="1" t="str">
        <f>HYPERLINK("http://danone.lt","danone.lt")</f>
        <v>danone.lt</v>
      </c>
      <c r="C12449" t="s">
        <v>467</v>
      </c>
      <c r="D12449" t="s">
        <v>843</v>
      </c>
      <c r="F12449">
        <v>1.6793204063399201E-8</v>
      </c>
      <c r="G12449">
        <v>3334991</v>
      </c>
      <c r="H12449">
        <v>12715197</v>
      </c>
      <c r="I12449">
        <v>15275645</v>
      </c>
      <c r="J12449">
        <v>2</v>
      </c>
    </row>
    <row r="12450" spans="1:10" x14ac:dyDescent="0.25">
      <c r="A12450" t="s">
        <v>127</v>
      </c>
      <c r="B12450" s="1" t="str">
        <f>HYPERLINK("http://danerolles.lv","danerolles.lv")</f>
        <v>danerolles.lv</v>
      </c>
      <c r="C12450" t="s">
        <v>468</v>
      </c>
      <c r="D12450" t="s">
        <v>844</v>
      </c>
      <c r="F12450">
        <v>7.5697339240269205E-9</v>
      </c>
      <c r="G12450">
        <v>10864352</v>
      </c>
      <c r="H12450">
        <v>10345554</v>
      </c>
      <c r="I12450">
        <v>56952195</v>
      </c>
      <c r="J12450">
        <v>6</v>
      </c>
    </row>
    <row r="12451" spans="1:10" x14ac:dyDescent="0.25">
      <c r="A12451" t="s">
        <v>127</v>
      </c>
      <c r="B12451" s="1" t="str">
        <f>HYPERLINK("http://danone.lv","danone.lv")</f>
        <v>danone.lv</v>
      </c>
      <c r="C12451" t="s">
        <v>468</v>
      </c>
      <c r="D12451" t="s">
        <v>844</v>
      </c>
      <c r="F12451">
        <v>1.8962822948974599E-8</v>
      </c>
      <c r="G12451">
        <v>2842340</v>
      </c>
      <c r="H12451">
        <v>13774303</v>
      </c>
      <c r="I12451">
        <v>6608770</v>
      </c>
      <c r="J12451">
        <v>2</v>
      </c>
    </row>
    <row r="12452" spans="1:10" x14ac:dyDescent="0.25">
      <c r="A12452" t="s">
        <v>127</v>
      </c>
      <c r="B12452" s="1" t="str">
        <f>HYPERLINK("http://danone.ma","danone.ma")</f>
        <v>danone.ma</v>
      </c>
      <c r="C12452" t="s">
        <v>469</v>
      </c>
      <c r="D12452" t="s">
        <v>845</v>
      </c>
      <c r="F12452">
        <v>1.65409223931171E-8</v>
      </c>
      <c r="G12452">
        <v>3403662</v>
      </c>
      <c r="H12452">
        <v>12988059</v>
      </c>
      <c r="I12452">
        <v>12879842</v>
      </c>
      <c r="J12452">
        <v>2</v>
      </c>
    </row>
    <row r="12453" spans="1:10" x14ac:dyDescent="0.25">
      <c r="A12453" t="s">
        <v>127</v>
      </c>
      <c r="B12453" s="1" t="str">
        <f>HYPERLINK("http://bonafont.com.mx","bonafont.com.mx")</f>
        <v>bonafont.com.mx</v>
      </c>
      <c r="C12453" t="s">
        <v>471</v>
      </c>
      <c r="D12453" t="s">
        <v>847</v>
      </c>
      <c r="F12453">
        <v>2.14341290769252E-8</v>
      </c>
      <c r="G12453">
        <v>2457232</v>
      </c>
      <c r="H12453">
        <v>14073543</v>
      </c>
      <c r="I12453">
        <v>2988083</v>
      </c>
      <c r="J12453">
        <v>2</v>
      </c>
    </row>
    <row r="12454" spans="1:10" x14ac:dyDescent="0.25">
      <c r="A12454" t="s">
        <v>127</v>
      </c>
      <c r="B12454" s="1" t="str">
        <f>HYPERLINK("http://boonafont.com.mx","boonafont.com.mx")</f>
        <v>boonafont.com.mx</v>
      </c>
      <c r="C12454" t="s">
        <v>471</v>
      </c>
      <c r="D12454" t="s">
        <v>847</v>
      </c>
      <c r="J12454">
        <v>3</v>
      </c>
    </row>
    <row r="12455" spans="1:10" x14ac:dyDescent="0.25">
      <c r="A12455" t="s">
        <v>127</v>
      </c>
      <c r="B12455" s="1" t="str">
        <f>HYPERLINK("http://danone.com.mx","danone.com.mx")</f>
        <v>danone.com.mx</v>
      </c>
      <c r="C12455" t="s">
        <v>471</v>
      </c>
      <c r="D12455" t="s">
        <v>847</v>
      </c>
      <c r="F12455">
        <v>7.0742650623406599E-9</v>
      </c>
      <c r="G12455">
        <v>12087161</v>
      </c>
      <c r="H12455">
        <v>13942812</v>
      </c>
      <c r="I12455">
        <v>4325017</v>
      </c>
      <c r="J12455">
        <v>2</v>
      </c>
    </row>
    <row r="12456" spans="1:10" x14ac:dyDescent="0.25">
      <c r="A12456" t="s">
        <v>127</v>
      </c>
      <c r="B12456" s="1" t="str">
        <f>HYPERLINK("http://gupodanone.com.mx","gupodanone.com.mx")</f>
        <v>gupodanone.com.mx</v>
      </c>
      <c r="C12456" t="s">
        <v>471</v>
      </c>
      <c r="D12456" t="s">
        <v>847</v>
      </c>
      <c r="J12456">
        <v>3</v>
      </c>
    </row>
    <row r="12457" spans="1:10" x14ac:dyDescent="0.25">
      <c r="A12457" t="s">
        <v>127</v>
      </c>
      <c r="B12457" s="1" t="str">
        <f>HYPERLINK("http://danerolles.nl","danerolles.nl")</f>
        <v>danerolles.nl</v>
      </c>
      <c r="C12457" t="s">
        <v>477</v>
      </c>
      <c r="D12457" t="s">
        <v>852</v>
      </c>
      <c r="F12457">
        <v>1.41685088471918E-8</v>
      </c>
      <c r="G12457">
        <v>4140317</v>
      </c>
      <c r="H12457">
        <v>12222652</v>
      </c>
      <c r="I12457">
        <v>22715881</v>
      </c>
      <c r="J12457">
        <v>6</v>
      </c>
    </row>
    <row r="12458" spans="1:10" x14ac:dyDescent="0.25">
      <c r="A12458" t="s">
        <v>127</v>
      </c>
      <c r="B12458" s="1" t="str">
        <f>HYPERLINK("http://danone.nl","danone.nl")</f>
        <v>danone.nl</v>
      </c>
      <c r="C12458" t="s">
        <v>477</v>
      </c>
      <c r="D12458" t="s">
        <v>852</v>
      </c>
      <c r="F12458">
        <v>3.7124886946499702E-8</v>
      </c>
      <c r="G12458">
        <v>1395722</v>
      </c>
      <c r="H12458">
        <v>14491623</v>
      </c>
      <c r="I12458">
        <v>901435</v>
      </c>
      <c r="J12458">
        <v>2</v>
      </c>
    </row>
    <row r="12459" spans="1:10" x14ac:dyDescent="0.25">
      <c r="A12459" t="s">
        <v>127</v>
      </c>
      <c r="B12459" s="1" t="str">
        <f>HYPERLINK("http://nutriciazoetermeer.nl","nutriciazoetermeer.nl")</f>
        <v>nutriciazoetermeer.nl</v>
      </c>
      <c r="C12459" t="s">
        <v>477</v>
      </c>
      <c r="D12459" t="s">
        <v>852</v>
      </c>
      <c r="F12459">
        <v>5.6045338841182901E-9</v>
      </c>
      <c r="G12459">
        <v>19814547</v>
      </c>
      <c r="H12459">
        <v>10612410</v>
      </c>
      <c r="I12459">
        <v>44508590</v>
      </c>
      <c r="J12459">
        <v>5</v>
      </c>
    </row>
    <row r="12460" spans="1:10" x14ac:dyDescent="0.25">
      <c r="A12460" t="s">
        <v>127</v>
      </c>
      <c r="B12460" s="1" t="str">
        <f>HYPERLINK("http://sorgente.nl","sorgente.nl")</f>
        <v>sorgente.nl</v>
      </c>
      <c r="C12460" t="s">
        <v>477</v>
      </c>
      <c r="D12460" t="s">
        <v>852</v>
      </c>
      <c r="F12460">
        <v>2.7274256321579502E-8</v>
      </c>
      <c r="G12460">
        <v>1885031</v>
      </c>
      <c r="H12460">
        <v>13785036</v>
      </c>
      <c r="I12460">
        <v>6405777</v>
      </c>
      <c r="J12460">
        <v>3</v>
      </c>
    </row>
    <row r="12461" spans="1:10" x14ac:dyDescent="0.25">
      <c r="A12461" t="s">
        <v>127</v>
      </c>
      <c r="B12461" s="1" t="str">
        <f>HYPERLINK("http://danerolles.no","danerolles.no")</f>
        <v>danerolles.no</v>
      </c>
      <c r="C12461" t="s">
        <v>478</v>
      </c>
      <c r="D12461" t="s">
        <v>853</v>
      </c>
      <c r="F12461">
        <v>7.9083798697740105E-9</v>
      </c>
      <c r="G12461">
        <v>10095152</v>
      </c>
      <c r="H12461">
        <v>10345555</v>
      </c>
      <c r="I12461">
        <v>56952084</v>
      </c>
      <c r="J12461">
        <v>6</v>
      </c>
    </row>
    <row r="12462" spans="1:10" x14ac:dyDescent="0.25">
      <c r="A12462" t="s">
        <v>127</v>
      </c>
      <c r="B12462" s="1" t="str">
        <f>HYPERLINK("http://danone.no","danone.no")</f>
        <v>danone.no</v>
      </c>
      <c r="C12462" t="s">
        <v>478</v>
      </c>
      <c r="D12462" t="s">
        <v>853</v>
      </c>
      <c r="F12462">
        <v>1.23085572579932E-8</v>
      </c>
      <c r="G12462">
        <v>4989728</v>
      </c>
      <c r="H12462">
        <v>12510934</v>
      </c>
      <c r="I12462">
        <v>17236721</v>
      </c>
      <c r="J12462">
        <v>2</v>
      </c>
    </row>
    <row r="12463" spans="1:10" x14ac:dyDescent="0.25">
      <c r="A12463" t="s">
        <v>127</v>
      </c>
      <c r="B12463" s="1" t="str">
        <f>HYPERLINK("http://nutricia.no","nutricia.no")</f>
        <v>nutricia.no</v>
      </c>
      <c r="C12463" t="s">
        <v>478</v>
      </c>
      <c r="D12463" t="s">
        <v>853</v>
      </c>
      <c r="F12463">
        <v>2.3883582424655799E-8</v>
      </c>
      <c r="G12463">
        <v>2174467</v>
      </c>
      <c r="H12463">
        <v>12994872</v>
      </c>
      <c r="I12463">
        <v>12825505</v>
      </c>
      <c r="J12463">
        <v>3</v>
      </c>
    </row>
    <row r="12464" spans="1:10" x14ac:dyDescent="0.25">
      <c r="A12464" t="s">
        <v>127</v>
      </c>
      <c r="B12464" s="1" t="str">
        <f>HYPERLINK("http://nutricia.co.nz","nutricia.co.nz")</f>
        <v>nutricia.co.nz</v>
      </c>
      <c r="C12464" t="s">
        <v>479</v>
      </c>
      <c r="D12464" t="s">
        <v>854</v>
      </c>
      <c r="F12464">
        <v>8.4608234661529593E-9</v>
      </c>
      <c r="G12464">
        <v>8920798</v>
      </c>
      <c r="H12464">
        <v>12529612</v>
      </c>
      <c r="I12464">
        <v>17039082</v>
      </c>
      <c r="J12464">
        <v>4</v>
      </c>
    </row>
    <row r="12465" spans="1:10" x14ac:dyDescent="0.25">
      <c r="A12465" t="s">
        <v>127</v>
      </c>
      <c r="B12465" s="1" t="str">
        <f>HYPERLINK("http://alergianamlekokrowie.pl","alergianamlekokrowie.pl")</f>
        <v>alergianamlekokrowie.pl</v>
      </c>
      <c r="C12465" t="s">
        <v>486</v>
      </c>
      <c r="D12465" t="s">
        <v>860</v>
      </c>
      <c r="F12465">
        <v>7.5295340100231698E-9</v>
      </c>
      <c r="G12465">
        <v>10948696</v>
      </c>
      <c r="H12465">
        <v>10615398</v>
      </c>
      <c r="I12465">
        <v>44421018</v>
      </c>
      <c r="J12465">
        <v>5</v>
      </c>
    </row>
    <row r="12466" spans="1:10" x14ac:dyDescent="0.25">
      <c r="A12466" t="s">
        <v>127</v>
      </c>
      <c r="B12466" s="1" t="str">
        <f>HYPERLINK("http://nutricia.com.pl","nutricia.com.pl")</f>
        <v>nutricia.com.pl</v>
      </c>
      <c r="C12466" t="s">
        <v>486</v>
      </c>
      <c r="D12466" t="s">
        <v>860</v>
      </c>
      <c r="F12466">
        <v>2.6147393402285201E-8</v>
      </c>
      <c r="G12466">
        <v>1970116</v>
      </c>
      <c r="H12466">
        <v>14239810</v>
      </c>
      <c r="I12466">
        <v>1507767</v>
      </c>
      <c r="J12466">
        <v>3</v>
      </c>
    </row>
    <row r="12467" spans="1:10" x14ac:dyDescent="0.25">
      <c r="A12467" t="s">
        <v>127</v>
      </c>
      <c r="B12467" s="1" t="str">
        <f>HYPERLINK("http://danerolles.pl","danerolles.pl")</f>
        <v>danerolles.pl</v>
      </c>
      <c r="C12467" t="s">
        <v>486</v>
      </c>
      <c r="D12467" t="s">
        <v>860</v>
      </c>
      <c r="F12467">
        <v>7.5517685403070895E-9</v>
      </c>
      <c r="G12467">
        <v>10901410</v>
      </c>
      <c r="H12467">
        <v>10345554</v>
      </c>
      <c r="I12467">
        <v>56952209</v>
      </c>
      <c r="J12467">
        <v>6</v>
      </c>
    </row>
    <row r="12468" spans="1:10" x14ac:dyDescent="0.25">
      <c r="A12468" t="s">
        <v>127</v>
      </c>
      <c r="B12468" s="1" t="str">
        <f>HYPERLINK("http://danone.pl","danone.pl")</f>
        <v>danone.pl</v>
      </c>
      <c r="C12468" t="s">
        <v>486</v>
      </c>
      <c r="D12468" t="s">
        <v>860</v>
      </c>
      <c r="F12468">
        <v>4.1031107168750102E-8</v>
      </c>
      <c r="G12468">
        <v>1264668</v>
      </c>
      <c r="H12468">
        <v>14239217</v>
      </c>
      <c r="I12468">
        <v>1515340</v>
      </c>
      <c r="J12468">
        <v>2</v>
      </c>
    </row>
    <row r="12469" spans="1:10" x14ac:dyDescent="0.25">
      <c r="A12469" t="s">
        <v>127</v>
      </c>
      <c r="B12469" s="1" t="str">
        <f>HYPERLINK("http://dobrowianka.pl","dobrowianka.pl")</f>
        <v>dobrowianka.pl</v>
      </c>
      <c r="C12469" t="s">
        <v>486</v>
      </c>
      <c r="D12469" t="s">
        <v>860</v>
      </c>
      <c r="F12469">
        <v>5.3105048045134404E-9</v>
      </c>
      <c r="G12469">
        <v>23341040</v>
      </c>
      <c r="H12469">
        <v>13763635</v>
      </c>
      <c r="I12469">
        <v>8254951</v>
      </c>
      <c r="J12469">
        <v>4</v>
      </c>
    </row>
    <row r="12470" spans="1:10" x14ac:dyDescent="0.25">
      <c r="A12470" t="s">
        <v>127</v>
      </c>
      <c r="B12470" s="1" t="str">
        <f>HYPERLINK("http://nutricia.pl","nutricia.pl")</f>
        <v>nutricia.pl</v>
      </c>
      <c r="C12470" t="s">
        <v>486</v>
      </c>
      <c r="D12470" t="s">
        <v>860</v>
      </c>
      <c r="F12470">
        <v>3.6066036030076299E-8</v>
      </c>
      <c r="G12470">
        <v>1445187</v>
      </c>
      <c r="H12470">
        <v>14123708</v>
      </c>
      <c r="I12470">
        <v>2166166</v>
      </c>
      <c r="J12470">
        <v>4</v>
      </c>
    </row>
    <row r="12471" spans="1:10" x14ac:dyDescent="0.25">
      <c r="A12471" t="s">
        <v>127</v>
      </c>
      <c r="B12471" s="1" t="str">
        <f>HYPERLINK("http://nutrimed.pl","nutrimed.pl")</f>
        <v>nutrimed.pl</v>
      </c>
      <c r="C12471" t="s">
        <v>486</v>
      </c>
      <c r="D12471" t="s">
        <v>860</v>
      </c>
      <c r="F12471">
        <v>9.4111811757820498E-9</v>
      </c>
      <c r="G12471">
        <v>7430490</v>
      </c>
      <c r="H12471">
        <v>11125318</v>
      </c>
      <c r="I12471">
        <v>31996868</v>
      </c>
      <c r="J12471">
        <v>3</v>
      </c>
    </row>
    <row r="12472" spans="1:10" x14ac:dyDescent="0.25">
      <c r="A12472" t="s">
        <v>127</v>
      </c>
      <c r="B12472" s="1" t="str">
        <f>HYPERLINK("http://pelnaporcjaopieki.pl","pelnaporcjaopieki.pl")</f>
        <v>pelnaporcjaopieki.pl</v>
      </c>
      <c r="C12472" t="s">
        <v>486</v>
      </c>
      <c r="D12472" t="s">
        <v>860</v>
      </c>
      <c r="F12472">
        <v>9.4978197974418006E-9</v>
      </c>
      <c r="G12472">
        <v>7325152</v>
      </c>
      <c r="H12472">
        <v>11018729</v>
      </c>
      <c r="I12472">
        <v>33275575</v>
      </c>
      <c r="J12472">
        <v>5</v>
      </c>
    </row>
    <row r="12473" spans="1:10" x14ac:dyDescent="0.25">
      <c r="A12473" t="s">
        <v>127</v>
      </c>
      <c r="B12473" s="1" t="str">
        <f>HYPERLINK("http://posilkiwchorobie.pl","posilkiwchorobie.pl")</f>
        <v>posilkiwchorobie.pl</v>
      </c>
      <c r="C12473" t="s">
        <v>486</v>
      </c>
      <c r="D12473" t="s">
        <v>860</v>
      </c>
      <c r="F12473">
        <v>3.4553939827097799E-8</v>
      </c>
      <c r="G12473">
        <v>1501379</v>
      </c>
      <c r="H12473">
        <v>12458188</v>
      </c>
      <c r="I12473">
        <v>17899469</v>
      </c>
      <c r="J12473">
        <v>5</v>
      </c>
    </row>
    <row r="12474" spans="1:10" x14ac:dyDescent="0.25">
      <c r="A12474" t="s">
        <v>127</v>
      </c>
      <c r="B12474" s="1" t="str">
        <f>HYPERLINK("http://zywiec-zdroj.pl","zywiec-zdroj.pl")</f>
        <v>zywiec-zdroj.pl</v>
      </c>
      <c r="C12474" t="s">
        <v>486</v>
      </c>
      <c r="D12474" t="s">
        <v>860</v>
      </c>
      <c r="F12474">
        <v>4.5304132433790999E-8</v>
      </c>
      <c r="G12474">
        <v>1040316</v>
      </c>
      <c r="H12474">
        <v>14075569</v>
      </c>
      <c r="I12474">
        <v>2905897</v>
      </c>
      <c r="J12474">
        <v>3</v>
      </c>
    </row>
    <row r="12475" spans="1:10" x14ac:dyDescent="0.25">
      <c r="A12475" t="s">
        <v>127</v>
      </c>
      <c r="B12475" s="1" t="str">
        <f>HYPERLINK("http://alpro.pt","alpro.pt")</f>
        <v>alpro.pt</v>
      </c>
      <c r="C12475" t="s">
        <v>488</v>
      </c>
      <c r="D12475" t="s">
        <v>862</v>
      </c>
      <c r="F12475">
        <v>6.1908996804121299E-9</v>
      </c>
      <c r="G12475">
        <v>15583978</v>
      </c>
      <c r="H12475">
        <v>12129072</v>
      </c>
      <c r="I12475">
        <v>25164160</v>
      </c>
      <c r="J12475">
        <v>6</v>
      </c>
    </row>
    <row r="12476" spans="1:10" x14ac:dyDescent="0.25">
      <c r="A12476" t="s">
        <v>127</v>
      </c>
      <c r="B12476" s="1" t="str">
        <f>HYPERLINK("http://danone.pt","danone.pt")</f>
        <v>danone.pt</v>
      </c>
      <c r="C12476" t="s">
        <v>488</v>
      </c>
      <c r="D12476" t="s">
        <v>862</v>
      </c>
      <c r="F12476">
        <v>2.3767331368211601E-8</v>
      </c>
      <c r="G12476">
        <v>2186569</v>
      </c>
      <c r="H12476">
        <v>14487310</v>
      </c>
      <c r="I12476">
        <v>949495</v>
      </c>
      <c r="J12476">
        <v>2</v>
      </c>
    </row>
    <row r="12477" spans="1:10" x14ac:dyDescent="0.25">
      <c r="A12477" t="s">
        <v>127</v>
      </c>
      <c r="B12477" s="1" t="str">
        <f>HYPERLINK("http://nutricia.pt","nutricia.pt")</f>
        <v>nutricia.pt</v>
      </c>
      <c r="C12477" t="s">
        <v>488</v>
      </c>
      <c r="D12477" t="s">
        <v>862</v>
      </c>
      <c r="F12477">
        <v>1.6621679466329901E-8</v>
      </c>
      <c r="G12477">
        <v>3383680</v>
      </c>
      <c r="H12477">
        <v>12639588</v>
      </c>
      <c r="I12477">
        <v>15880040</v>
      </c>
      <c r="J12477">
        <v>4</v>
      </c>
    </row>
    <row r="12478" spans="1:10" x14ac:dyDescent="0.25">
      <c r="A12478" t="s">
        <v>127</v>
      </c>
      <c r="B12478" s="1" t="str">
        <f>HYPERLINK("http://danerolles.ro","danerolles.ro")</f>
        <v>danerolles.ro</v>
      </c>
      <c r="C12478" t="s">
        <v>491</v>
      </c>
      <c r="D12478" t="s">
        <v>865</v>
      </c>
      <c r="F12478">
        <v>7.5317902796733304E-9</v>
      </c>
      <c r="G12478">
        <v>10943760</v>
      </c>
      <c r="H12478">
        <v>10345554</v>
      </c>
      <c r="I12478">
        <v>56952215</v>
      </c>
      <c r="J12478">
        <v>6</v>
      </c>
    </row>
    <row r="12479" spans="1:10" x14ac:dyDescent="0.25">
      <c r="A12479" t="s">
        <v>127</v>
      </c>
      <c r="B12479" s="1" t="str">
        <f>HYPERLINK("http://danone.ro","danone.ro")</f>
        <v>danone.ro</v>
      </c>
      <c r="C12479" t="s">
        <v>491</v>
      </c>
      <c r="D12479" t="s">
        <v>865</v>
      </c>
      <c r="F12479">
        <v>2.3864061666957201E-8</v>
      </c>
      <c r="G12479">
        <v>2176446</v>
      </c>
      <c r="H12479">
        <v>14122013</v>
      </c>
      <c r="I12479">
        <v>2228602</v>
      </c>
      <c r="J12479">
        <v>2</v>
      </c>
    </row>
    <row r="12480" spans="1:10" x14ac:dyDescent="0.25">
      <c r="A12480" t="s">
        <v>127</v>
      </c>
      <c r="B12480" s="1" t="str">
        <f>HYPERLINK("http://danone.ru","danone.ru")</f>
        <v>danone.ru</v>
      </c>
      <c r="C12480" t="s">
        <v>493</v>
      </c>
      <c r="D12480" t="s">
        <v>867</v>
      </c>
      <c r="E12480">
        <v>505191</v>
      </c>
      <c r="F12480">
        <v>7.5401934689602505E-8</v>
      </c>
      <c r="G12480">
        <v>557592</v>
      </c>
      <c r="H12480">
        <v>14099647</v>
      </c>
      <c r="I12480">
        <v>2710080</v>
      </c>
      <c r="J12480">
        <v>2</v>
      </c>
    </row>
    <row r="12481" spans="1:10" x14ac:dyDescent="0.25">
      <c r="A12481" t="s">
        <v>127</v>
      </c>
      <c r="B12481" s="1" t="str">
        <f>HYPERLINK("http://petmol.ru","petmol.ru")</f>
        <v>petmol.ru</v>
      </c>
      <c r="C12481" t="s">
        <v>493</v>
      </c>
      <c r="D12481" t="s">
        <v>867</v>
      </c>
      <c r="F12481">
        <v>5.9458257051234002E-9</v>
      </c>
      <c r="G12481">
        <v>17049064</v>
      </c>
      <c r="H12481">
        <v>14072396</v>
      </c>
      <c r="I12481">
        <v>3099079</v>
      </c>
      <c r="J12481">
        <v>5</v>
      </c>
    </row>
    <row r="12482" spans="1:10" x14ac:dyDescent="0.25">
      <c r="A12482" t="s">
        <v>127</v>
      </c>
      <c r="B12482" s="1" t="str">
        <f>HYPERLINK("http://danerolles.se","danerolles.se")</f>
        <v>danerolles.se</v>
      </c>
      <c r="C12482" t="s">
        <v>495</v>
      </c>
      <c r="D12482" t="s">
        <v>869</v>
      </c>
      <c r="F12482">
        <v>7.6141949584385207E-9</v>
      </c>
      <c r="G12482">
        <v>10765232</v>
      </c>
      <c r="H12482">
        <v>10345554</v>
      </c>
      <c r="I12482">
        <v>56952218</v>
      </c>
      <c r="J12482">
        <v>6</v>
      </c>
    </row>
    <row r="12483" spans="1:10" x14ac:dyDescent="0.25">
      <c r="A12483" t="s">
        <v>127</v>
      </c>
      <c r="B12483" s="1" t="str">
        <f>HYPERLINK("http://danone.se","danone.se")</f>
        <v>danone.se</v>
      </c>
      <c r="C12483" t="s">
        <v>495</v>
      </c>
      <c r="D12483" t="s">
        <v>869</v>
      </c>
      <c r="F12483">
        <v>1.81481626190858E-8</v>
      </c>
      <c r="G12483">
        <v>3000058</v>
      </c>
      <c r="H12483">
        <v>13782867</v>
      </c>
      <c r="I12483">
        <v>6432776</v>
      </c>
      <c r="J12483">
        <v>2</v>
      </c>
    </row>
    <row r="12484" spans="1:10" x14ac:dyDescent="0.25">
      <c r="A12484" t="s">
        <v>127</v>
      </c>
      <c r="B12484" s="1" t="str">
        <f>HYPERLINK("http://nutricia.se","nutricia.se")</f>
        <v>nutricia.se</v>
      </c>
      <c r="C12484" t="s">
        <v>495</v>
      </c>
      <c r="D12484" t="s">
        <v>869</v>
      </c>
      <c r="F12484">
        <v>4.19822954810892E-8</v>
      </c>
      <c r="G12484">
        <v>1167364</v>
      </c>
      <c r="H12484">
        <v>12626370</v>
      </c>
      <c r="I12484">
        <v>16021089</v>
      </c>
      <c r="J12484">
        <v>4</v>
      </c>
    </row>
    <row r="12485" spans="1:10" x14ac:dyDescent="0.25">
      <c r="A12485" t="s">
        <v>127</v>
      </c>
      <c r="B12485" s="1" t="str">
        <f>HYPERLINK("http://proviva.se","proviva.se")</f>
        <v>proviva.se</v>
      </c>
      <c r="C12485" t="s">
        <v>495</v>
      </c>
      <c r="D12485" t="s">
        <v>869</v>
      </c>
      <c r="F12485">
        <v>2.0808566577015399E-8</v>
      </c>
      <c r="G12485">
        <v>2541678</v>
      </c>
      <c r="H12485">
        <v>14493088</v>
      </c>
      <c r="I12485">
        <v>890238</v>
      </c>
      <c r="J12485">
        <v>4</v>
      </c>
    </row>
    <row r="12486" spans="1:10" x14ac:dyDescent="0.25">
      <c r="A12486" t="s">
        <v>127</v>
      </c>
      <c r="B12486" s="1" t="str">
        <f>HYPERLINK("http://danone.sk","danone.sk")</f>
        <v>danone.sk</v>
      </c>
      <c r="C12486" t="s">
        <v>498</v>
      </c>
      <c r="D12486" t="s">
        <v>872</v>
      </c>
      <c r="F12486">
        <v>2.2316438126130498E-8</v>
      </c>
      <c r="G12486">
        <v>2349082</v>
      </c>
      <c r="H12486">
        <v>12599704</v>
      </c>
      <c r="I12486">
        <v>16327947</v>
      </c>
      <c r="J12486">
        <v>2</v>
      </c>
    </row>
    <row r="12487" spans="1:10" x14ac:dyDescent="0.25">
      <c r="A12487" t="s">
        <v>127</v>
      </c>
      <c r="B12487" s="1" t="str">
        <f>HYPERLINK("http://nutrilon.sk","nutrilon.sk")</f>
        <v>nutrilon.sk</v>
      </c>
      <c r="C12487" t="s">
        <v>498</v>
      </c>
      <c r="D12487" t="s">
        <v>872</v>
      </c>
      <c r="F12487">
        <v>4.5925751466216699E-9</v>
      </c>
      <c r="G12487">
        <v>48199238</v>
      </c>
      <c r="H12487">
        <v>10766973</v>
      </c>
      <c r="I12487">
        <v>39372772</v>
      </c>
      <c r="J12487">
        <v>4</v>
      </c>
    </row>
    <row r="12488" spans="1:10" x14ac:dyDescent="0.25">
      <c r="A12488" t="s">
        <v>127</v>
      </c>
      <c r="B12488" s="1" t="str">
        <f>HYPERLINK("http://danone.com.tr","danone.com.tr")</f>
        <v>danone.com.tr</v>
      </c>
      <c r="C12488" t="s">
        <v>502</v>
      </c>
      <c r="D12488" t="s">
        <v>876</v>
      </c>
      <c r="F12488">
        <v>1.43111742117241E-8</v>
      </c>
      <c r="G12488">
        <v>4089392</v>
      </c>
      <c r="H12488">
        <v>13774311</v>
      </c>
      <c r="I12488">
        <v>6608548</v>
      </c>
      <c r="J12488">
        <v>2</v>
      </c>
    </row>
    <row r="12489" spans="1:10" x14ac:dyDescent="0.25">
      <c r="A12489" t="s">
        <v>127</v>
      </c>
      <c r="B12489" s="1" t="str">
        <f>HYPERLINK("http://hayatsu.com.tr","hayatsu.com.tr")</f>
        <v>hayatsu.com.tr</v>
      </c>
      <c r="C12489" t="s">
        <v>502</v>
      </c>
      <c r="D12489" t="s">
        <v>876</v>
      </c>
      <c r="F12489">
        <v>1.43596786603681E-8</v>
      </c>
      <c r="G12489">
        <v>4071022</v>
      </c>
      <c r="H12489">
        <v>13774320</v>
      </c>
      <c r="I12489">
        <v>6608348</v>
      </c>
      <c r="J12489">
        <v>7</v>
      </c>
    </row>
    <row r="12490" spans="1:10" x14ac:dyDescent="0.25">
      <c r="A12490" t="s">
        <v>127</v>
      </c>
      <c r="B12490" s="1" t="str">
        <f>HYPERLINK("http://nutricia.com.tr","nutricia.com.tr")</f>
        <v>nutricia.com.tr</v>
      </c>
      <c r="C12490" t="s">
        <v>502</v>
      </c>
      <c r="D12490" t="s">
        <v>876</v>
      </c>
      <c r="F12490">
        <v>1.6278028983952098E-8</v>
      </c>
      <c r="G12490">
        <v>3476193</v>
      </c>
      <c r="H12490">
        <v>12519989</v>
      </c>
      <c r="I12490">
        <v>17152640</v>
      </c>
      <c r="J12490">
        <v>4</v>
      </c>
    </row>
    <row r="12491" spans="1:10" x14ac:dyDescent="0.25">
      <c r="A12491" t="s">
        <v>127</v>
      </c>
      <c r="B12491" s="1" t="str">
        <f>HYPERLINK("http://danone.com.ua","danone.com.ua")</f>
        <v>danone.com.ua</v>
      </c>
      <c r="C12491" t="s">
        <v>505</v>
      </c>
      <c r="D12491" t="s">
        <v>879</v>
      </c>
      <c r="F12491">
        <v>5.7896398549667897E-9</v>
      </c>
      <c r="G12491">
        <v>18167410</v>
      </c>
      <c r="H12491">
        <v>10846521</v>
      </c>
      <c r="I12491">
        <v>36950548</v>
      </c>
      <c r="J12491">
        <v>4</v>
      </c>
    </row>
    <row r="12492" spans="1:10" x14ac:dyDescent="0.25">
      <c r="A12492" t="s">
        <v>127</v>
      </c>
      <c r="B12492" s="1" t="str">
        <f>HYPERLINK("http://danone.ua","danone.ua")</f>
        <v>danone.ua</v>
      </c>
      <c r="C12492" t="s">
        <v>505</v>
      </c>
      <c r="D12492" t="s">
        <v>879</v>
      </c>
      <c r="F12492">
        <v>2.5151209544042402E-8</v>
      </c>
      <c r="G12492">
        <v>2053190</v>
      </c>
      <c r="H12492">
        <v>14279609</v>
      </c>
      <c r="I12492">
        <v>1382213</v>
      </c>
      <c r="J12492">
        <v>3</v>
      </c>
    </row>
    <row r="12493" spans="1:10" x14ac:dyDescent="0.25">
      <c r="A12493" t="s">
        <v>127</v>
      </c>
      <c r="B12493" s="1" t="str">
        <f>HYPERLINK("http://danone.co.uk","danone.co.uk")</f>
        <v>danone.co.uk</v>
      </c>
      <c r="C12493" t="s">
        <v>506</v>
      </c>
      <c r="D12493" t="s">
        <v>880</v>
      </c>
      <c r="F12493">
        <v>4.7469567638537698E-8</v>
      </c>
      <c r="G12493">
        <v>981267</v>
      </c>
      <c r="H12493">
        <v>14332684</v>
      </c>
      <c r="I12493">
        <v>1321585</v>
      </c>
      <c r="J12493">
        <v>2</v>
      </c>
    </row>
    <row r="12494" spans="1:10" x14ac:dyDescent="0.25">
      <c r="A12494" t="s">
        <v>127</v>
      </c>
      <c r="B12494" s="1" t="str">
        <f>HYPERLINK("http://nutricia.co.uk","nutricia.co.uk")</f>
        <v>nutricia.co.uk</v>
      </c>
      <c r="C12494" t="s">
        <v>506</v>
      </c>
      <c r="D12494" t="s">
        <v>880</v>
      </c>
      <c r="E12494">
        <v>623435</v>
      </c>
      <c r="F12494">
        <v>5.0094146443689899E-8</v>
      </c>
      <c r="G12494">
        <v>919114</v>
      </c>
      <c r="H12494">
        <v>14137226</v>
      </c>
      <c r="I12494">
        <v>1955757</v>
      </c>
      <c r="J12494">
        <v>4</v>
      </c>
    </row>
    <row r="12495" spans="1:10" x14ac:dyDescent="0.25">
      <c r="A12495" t="s">
        <v>127</v>
      </c>
      <c r="B12495" s="1" t="str">
        <f>HYPERLINK("http://danone.com.uy","danone.com.uy")</f>
        <v>danone.com.uy</v>
      </c>
      <c r="C12495" t="s">
        <v>507</v>
      </c>
      <c r="D12495" t="s">
        <v>881</v>
      </c>
      <c r="F12495">
        <v>6.5873032017753004E-9</v>
      </c>
      <c r="G12495">
        <v>13725622</v>
      </c>
      <c r="H12495">
        <v>14120135</v>
      </c>
      <c r="I12495">
        <v>2384760</v>
      </c>
      <c r="J12495">
        <v>3</v>
      </c>
    </row>
    <row r="12496" spans="1:10" x14ac:dyDescent="0.25">
      <c r="A12496" t="s">
        <v>127</v>
      </c>
      <c r="B12496" s="1" t="str">
        <f>HYPERLINK("http://salus.com.uy","salus.com.uy")</f>
        <v>salus.com.uy</v>
      </c>
      <c r="C12496" t="s">
        <v>507</v>
      </c>
      <c r="D12496" t="s">
        <v>881</v>
      </c>
      <c r="F12496">
        <v>2.06062640539452E-8</v>
      </c>
      <c r="G12496">
        <v>2569637</v>
      </c>
      <c r="H12496">
        <v>14486575</v>
      </c>
      <c r="I12496">
        <v>963664</v>
      </c>
      <c r="J12496">
        <v>3</v>
      </c>
    </row>
    <row r="12497" spans="1:10" x14ac:dyDescent="0.25">
      <c r="A12497" t="s">
        <v>127</v>
      </c>
      <c r="B12497" s="1" t="str">
        <f>HYPERLINK("http://danone.co.za","danone.co.za")</f>
        <v>danone.co.za</v>
      </c>
      <c r="C12497" t="s">
        <v>510</v>
      </c>
      <c r="D12497" t="s">
        <v>884</v>
      </c>
      <c r="F12497">
        <v>2.4888086472858299E-8</v>
      </c>
      <c r="G12497">
        <v>2077525</v>
      </c>
      <c r="H12497">
        <v>13979965</v>
      </c>
      <c r="I12497">
        <v>4052673</v>
      </c>
      <c r="J12497">
        <v>2</v>
      </c>
    </row>
    <row r="12498" spans="1:10" x14ac:dyDescent="0.25">
      <c r="A12498" t="s">
        <v>128</v>
      </c>
      <c r="B12498" s="1" t="str">
        <f>HYPERLINK("http://solidworks.be","solidworks.be")</f>
        <v>solidworks.be</v>
      </c>
      <c r="C12498" t="s">
        <v>421</v>
      </c>
      <c r="D12498" t="s">
        <v>803</v>
      </c>
      <c r="F12498">
        <v>7.6003118979718098E-9</v>
      </c>
      <c r="G12498">
        <v>10793823</v>
      </c>
      <c r="H12498">
        <v>13004658</v>
      </c>
      <c r="I12498">
        <v>12774083</v>
      </c>
      <c r="J12498">
        <v>4</v>
      </c>
    </row>
    <row r="12499" spans="1:10" x14ac:dyDescent="0.25">
      <c r="A12499" t="s">
        <v>128</v>
      </c>
      <c r="B12499" s="1" t="str">
        <f>HYPERLINK("http://3dcontentcentral.com.br","3dcontentcentral.com.br")</f>
        <v>3dcontentcentral.com.br</v>
      </c>
      <c r="C12499" t="s">
        <v>425</v>
      </c>
      <c r="D12499" t="s">
        <v>806</v>
      </c>
      <c r="F12499">
        <v>1.04809567195551E-8</v>
      </c>
      <c r="G12499">
        <v>6286120</v>
      </c>
      <c r="H12499">
        <v>12515583</v>
      </c>
      <c r="I12499">
        <v>17189162</v>
      </c>
      <c r="J12499">
        <v>5</v>
      </c>
    </row>
    <row r="12500" spans="1:10" x14ac:dyDescent="0.25">
      <c r="A12500" t="s">
        <v>128</v>
      </c>
      <c r="B12500" s="1" t="str">
        <f>HYPERLINK("http://3dcontentcentral.cn","3dcontentcentral.cn")</f>
        <v>3dcontentcentral.cn</v>
      </c>
      <c r="C12500" t="s">
        <v>431</v>
      </c>
      <c r="D12500" t="s">
        <v>812</v>
      </c>
      <c r="F12500">
        <v>1.10141086820917E-8</v>
      </c>
      <c r="G12500">
        <v>5849207</v>
      </c>
      <c r="H12500">
        <v>12517960</v>
      </c>
      <c r="I12500">
        <v>17169644</v>
      </c>
      <c r="J12500">
        <v>5</v>
      </c>
    </row>
    <row r="12501" spans="1:10" x14ac:dyDescent="0.25">
      <c r="A12501" t="s">
        <v>128</v>
      </c>
      <c r="B12501" s="1" t="str">
        <f>HYPERLINK("http://centriccloud.cn","centriccloud.cn")</f>
        <v>centriccloud.cn</v>
      </c>
      <c r="C12501" t="s">
        <v>431</v>
      </c>
      <c r="D12501" t="s">
        <v>812</v>
      </c>
      <c r="J12501">
        <v>4</v>
      </c>
    </row>
    <row r="12502" spans="1:10" x14ac:dyDescent="0.25">
      <c r="A12502" t="s">
        <v>128</v>
      </c>
      <c r="B12502" s="1" t="str">
        <f>HYPERLINK("http://3dcontentcentral.com.cn","3dcontentcentral.com.cn")</f>
        <v>3dcontentcentral.com.cn</v>
      </c>
      <c r="C12502" t="s">
        <v>431</v>
      </c>
      <c r="D12502" t="s">
        <v>812</v>
      </c>
      <c r="F12502">
        <v>4.44380927664477E-9</v>
      </c>
      <c r="G12502">
        <v>79771489</v>
      </c>
      <c r="H12502">
        <v>10352960</v>
      </c>
      <c r="I12502">
        <v>55917764</v>
      </c>
      <c r="J12502">
        <v>5</v>
      </c>
    </row>
    <row r="12503" spans="1:10" x14ac:dyDescent="0.25">
      <c r="A12503" t="s">
        <v>128</v>
      </c>
      <c r="B12503" s="1" t="str">
        <f>HYPERLINK("http://solidworks.com.cn","solidworks.com.cn")</f>
        <v>solidworks.com.cn</v>
      </c>
      <c r="C12503" t="s">
        <v>431</v>
      </c>
      <c r="D12503" t="s">
        <v>812</v>
      </c>
      <c r="F12503">
        <v>3.0865835415775999E-8</v>
      </c>
      <c r="G12503">
        <v>1669013</v>
      </c>
      <c r="H12503">
        <v>12081297</v>
      </c>
      <c r="I12503">
        <v>26538625</v>
      </c>
      <c r="J12503">
        <v>4</v>
      </c>
    </row>
    <row r="12504" spans="1:10" x14ac:dyDescent="0.25">
      <c r="A12504" t="s">
        <v>128</v>
      </c>
      <c r="B12504" s="1" t="str">
        <f>HYPERLINK("http://3dcontentcentral.com","3dcontentcentral.com")</f>
        <v>3dcontentcentral.com</v>
      </c>
      <c r="C12504" t="s">
        <v>433</v>
      </c>
      <c r="E12504">
        <v>116617</v>
      </c>
      <c r="F12504">
        <v>2.3946560445624498E-7</v>
      </c>
      <c r="G12504">
        <v>156279</v>
      </c>
      <c r="H12504">
        <v>17124692</v>
      </c>
      <c r="I12504">
        <v>58257</v>
      </c>
      <c r="J12504">
        <v>5</v>
      </c>
    </row>
    <row r="12505" spans="1:10" x14ac:dyDescent="0.25">
      <c r="A12505" t="s">
        <v>128</v>
      </c>
      <c r="B12505" s="1" t="str">
        <f>HYPERLINK("http://3dexcite.com","3dexcite.com")</f>
        <v>3dexcite.com</v>
      </c>
      <c r="C12505" t="s">
        <v>433</v>
      </c>
      <c r="F12505">
        <v>1.8712103094074899E-8</v>
      </c>
      <c r="G12505">
        <v>2887209</v>
      </c>
      <c r="H12505">
        <v>12840696</v>
      </c>
      <c r="I12505">
        <v>14343862</v>
      </c>
      <c r="J12505">
        <v>5</v>
      </c>
    </row>
    <row r="12506" spans="1:10" x14ac:dyDescent="0.25">
      <c r="A12506" t="s">
        <v>128</v>
      </c>
      <c r="B12506" s="1" t="str">
        <f>HYPERLINK("http://3ds.com","3ds.com")</f>
        <v>3ds.com</v>
      </c>
      <c r="C12506" t="s">
        <v>433</v>
      </c>
      <c r="E12506">
        <v>5667</v>
      </c>
      <c r="F12506">
        <v>3.9796825994891601E-6</v>
      </c>
      <c r="G12506">
        <v>9528</v>
      </c>
      <c r="H12506">
        <v>17669972</v>
      </c>
      <c r="I12506">
        <v>7952</v>
      </c>
      <c r="J12506">
        <v>1</v>
      </c>
    </row>
    <row r="12507" spans="1:10" x14ac:dyDescent="0.25">
      <c r="A12507" t="s">
        <v>128</v>
      </c>
      <c r="B12507" s="1" t="str">
        <f>HYPERLINK("http://3dsbiovia.com","3dsbiovia.com")</f>
        <v>3dsbiovia.com</v>
      </c>
      <c r="C12507" t="s">
        <v>433</v>
      </c>
      <c r="F12507">
        <v>4.5429311808917601E-7</v>
      </c>
      <c r="G12507">
        <v>83217</v>
      </c>
      <c r="H12507">
        <v>14741774</v>
      </c>
      <c r="I12507">
        <v>566981</v>
      </c>
      <c r="J12507">
        <v>6</v>
      </c>
    </row>
    <row r="12508" spans="1:10" x14ac:dyDescent="0.25">
      <c r="A12508" t="s">
        <v>128</v>
      </c>
      <c r="B12508" s="1" t="str">
        <f>HYPERLINK("http://accelrys.com","accelrys.com")</f>
        <v>accelrys.com</v>
      </c>
      <c r="C12508" t="s">
        <v>433</v>
      </c>
      <c r="E12508">
        <v>351643</v>
      </c>
      <c r="F12508">
        <v>9.1146178848372205E-7</v>
      </c>
      <c r="G12508">
        <v>42653</v>
      </c>
      <c r="H12508">
        <v>15175224</v>
      </c>
      <c r="I12508">
        <v>397733</v>
      </c>
      <c r="J12508">
        <v>4</v>
      </c>
    </row>
    <row r="12509" spans="1:10" x14ac:dyDescent="0.25">
      <c r="A12509" t="s">
        <v>128</v>
      </c>
      <c r="B12509" s="1" t="str">
        <f>HYPERLINK("http://centricsoftware.com","centricsoftware.com")</f>
        <v>centricsoftware.com</v>
      </c>
      <c r="C12509" t="s">
        <v>433</v>
      </c>
      <c r="E12509">
        <v>94110</v>
      </c>
      <c r="F12509">
        <v>1.6473862438503401E-7</v>
      </c>
      <c r="G12509">
        <v>235662</v>
      </c>
      <c r="H12509">
        <v>14282793</v>
      </c>
      <c r="I12509">
        <v>1376015</v>
      </c>
      <c r="J12509">
        <v>4</v>
      </c>
    </row>
    <row r="12510" spans="1:10" x14ac:dyDescent="0.25">
      <c r="A12510" t="s">
        <v>128</v>
      </c>
      <c r="B12510" s="1" t="str">
        <f>HYPERLINK("http://contur.com","contur.com")</f>
        <v>contur.com</v>
      </c>
      <c r="C12510" t="s">
        <v>433</v>
      </c>
      <c r="F12510">
        <v>5.0809117651146496E-9</v>
      </c>
      <c r="G12510">
        <v>27488324</v>
      </c>
      <c r="H12510">
        <v>12417606</v>
      </c>
      <c r="I12510">
        <v>18500495</v>
      </c>
      <c r="J12510">
        <v>8</v>
      </c>
    </row>
    <row r="12511" spans="1:10" x14ac:dyDescent="0.25">
      <c r="A12511" t="s">
        <v>128</v>
      </c>
      <c r="B12511" s="1" t="str">
        <f>HYPERLINK("http://dassault-aviation.com","dassault-aviation.com")</f>
        <v>dassault-aviation.com</v>
      </c>
      <c r="C12511" t="s">
        <v>433</v>
      </c>
      <c r="E12511">
        <v>119054</v>
      </c>
      <c r="F12511">
        <v>4.8238575241197302E-7</v>
      </c>
      <c r="G12511">
        <v>78877</v>
      </c>
      <c r="H12511">
        <v>16004149</v>
      </c>
      <c r="I12511">
        <v>366387</v>
      </c>
      <c r="J12511">
        <v>5</v>
      </c>
    </row>
    <row r="12512" spans="1:10" x14ac:dyDescent="0.25">
      <c r="A12512" t="s">
        <v>128</v>
      </c>
      <c r="B12512" s="1" t="str">
        <f>HYPERLINK("http://dassaultfalcon.com","dassaultfalcon.com")</f>
        <v>dassaultfalcon.com</v>
      </c>
      <c r="C12512" t="s">
        <v>433</v>
      </c>
      <c r="E12512">
        <v>256847</v>
      </c>
      <c r="F12512">
        <v>1.6922304487379099E-7</v>
      </c>
      <c r="G12512">
        <v>229230</v>
      </c>
      <c r="H12512">
        <v>14675766</v>
      </c>
      <c r="I12512">
        <v>611218</v>
      </c>
      <c r="J12512">
        <v>5</v>
      </c>
    </row>
    <row r="12513" spans="1:10" x14ac:dyDescent="0.25">
      <c r="A12513" t="s">
        <v>128</v>
      </c>
      <c r="B12513" s="1" t="str">
        <f>HYPERLINK("http://dassaultfalconjet.com","dassaultfalconjet.com")</f>
        <v>dassaultfalconjet.com</v>
      </c>
      <c r="C12513" t="s">
        <v>433</v>
      </c>
      <c r="J12513">
        <v>8</v>
      </c>
    </row>
    <row r="12514" spans="1:10" x14ac:dyDescent="0.25">
      <c r="A12514" t="s">
        <v>128</v>
      </c>
      <c r="B12514" s="1" t="str">
        <f>HYPERLINK("http://dassaultfalconservice.com","dassaultfalconservice.com")</f>
        <v>dassaultfalconservice.com</v>
      </c>
      <c r="C12514" t="s">
        <v>433</v>
      </c>
      <c r="F12514">
        <v>2.4219203133302001E-8</v>
      </c>
      <c r="G12514">
        <v>2141660</v>
      </c>
      <c r="H12514">
        <v>14072462</v>
      </c>
      <c r="I12514">
        <v>3088944</v>
      </c>
      <c r="J12514">
        <v>6</v>
      </c>
    </row>
    <row r="12515" spans="1:10" x14ac:dyDescent="0.25">
      <c r="A12515" t="s">
        <v>128</v>
      </c>
      <c r="B12515" s="1" t="str">
        <f>HYPERLINK("http://exalead.com","exalead.com")</f>
        <v>exalead.com</v>
      </c>
      <c r="C12515" t="s">
        <v>433</v>
      </c>
      <c r="E12515">
        <v>83907</v>
      </c>
      <c r="F12515">
        <v>5.0494283477951498E-7</v>
      </c>
      <c r="G12515">
        <v>75787</v>
      </c>
      <c r="H12515">
        <v>17100552</v>
      </c>
      <c r="I12515">
        <v>63792</v>
      </c>
      <c r="J12515">
        <v>5</v>
      </c>
    </row>
    <row r="12516" spans="1:10" x14ac:dyDescent="0.25">
      <c r="A12516" t="s">
        <v>128</v>
      </c>
      <c r="B12516" s="1" t="str">
        <f>HYPERLINK("http://geoviasupport.com","geoviasupport.com")</f>
        <v>geoviasupport.com</v>
      </c>
      <c r="C12516" t="s">
        <v>433</v>
      </c>
      <c r="F12516">
        <v>5.7084290067285402E-9</v>
      </c>
      <c r="G12516">
        <v>18852483</v>
      </c>
      <c r="H12516">
        <v>12336923</v>
      </c>
      <c r="I12516">
        <v>20069973</v>
      </c>
      <c r="J12516">
        <v>3</v>
      </c>
    </row>
    <row r="12517" spans="1:10" x14ac:dyDescent="0.25">
      <c r="A12517" t="s">
        <v>128</v>
      </c>
      <c r="B12517" s="1" t="str">
        <f>HYPERLINK("http://hail.com","hail.com")</f>
        <v>hail.com</v>
      </c>
      <c r="C12517" t="s">
        <v>433</v>
      </c>
      <c r="F12517">
        <v>5.3455967777607703E-9</v>
      </c>
      <c r="G12517">
        <v>22859992</v>
      </c>
      <c r="H12517">
        <v>13937323</v>
      </c>
      <c r="I12517">
        <v>4467174</v>
      </c>
      <c r="J12517">
        <v>3</v>
      </c>
    </row>
    <row r="12518" spans="1:10" x14ac:dyDescent="0.25">
      <c r="A12518" t="s">
        <v>128</v>
      </c>
      <c r="B12518" s="1" t="str">
        <f>HYPERLINK("http://hosting-quintiq.com","hosting-quintiq.com")</f>
        <v>hosting-quintiq.com</v>
      </c>
      <c r="C12518" t="s">
        <v>433</v>
      </c>
      <c r="J12518">
        <v>2</v>
      </c>
    </row>
    <row r="12519" spans="1:10" x14ac:dyDescent="0.25">
      <c r="A12519" t="s">
        <v>128</v>
      </c>
      <c r="B12519" s="1" t="str">
        <f>HYPERLINK("http://immobiliere-dassault.com","immobiliere-dassault.com")</f>
        <v>immobiliere-dassault.com</v>
      </c>
      <c r="C12519" t="s">
        <v>433</v>
      </c>
      <c r="F12519">
        <v>8.6523684522319793E-9</v>
      </c>
      <c r="G12519">
        <v>8562502</v>
      </c>
      <c r="H12519">
        <v>12504528</v>
      </c>
      <c r="I12519">
        <v>17300677</v>
      </c>
      <c r="J12519">
        <v>5</v>
      </c>
    </row>
    <row r="12520" spans="1:10" x14ac:dyDescent="0.25">
      <c r="A12520" t="s">
        <v>128</v>
      </c>
      <c r="B12520" s="1" t="str">
        <f>HYPERLINK("http://iterop.com","iterop.com")</f>
        <v>iterop.com</v>
      </c>
      <c r="C12520" t="s">
        <v>433</v>
      </c>
      <c r="F12520">
        <v>3.5248594446907298E-8</v>
      </c>
      <c r="G12520">
        <v>1475241</v>
      </c>
      <c r="H12520">
        <v>14073529</v>
      </c>
      <c r="I12520">
        <v>2989040</v>
      </c>
      <c r="J12520">
        <v>4</v>
      </c>
    </row>
    <row r="12521" spans="1:10" x14ac:dyDescent="0.25">
      <c r="A12521" t="s">
        <v>128</v>
      </c>
      <c r="B12521" s="1" t="str">
        <f>HYPERLINK("http://mdsol.com","mdsol.com")</f>
        <v>mdsol.com</v>
      </c>
      <c r="C12521" t="s">
        <v>433</v>
      </c>
      <c r="E12521">
        <v>80003</v>
      </c>
      <c r="F12521">
        <v>5.65274895886287E-7</v>
      </c>
      <c r="G12521">
        <v>67742</v>
      </c>
      <c r="H12521">
        <v>14695247</v>
      </c>
      <c r="I12521">
        <v>599765</v>
      </c>
      <c r="J12521">
        <v>3</v>
      </c>
    </row>
    <row r="12522" spans="1:10" x14ac:dyDescent="0.25">
      <c r="A12522" t="s">
        <v>128</v>
      </c>
      <c r="B12522" s="1" t="str">
        <f>HYPERLINK("http://medidata.com","medidata.com")</f>
        <v>medidata.com</v>
      </c>
      <c r="C12522" t="s">
        <v>433</v>
      </c>
      <c r="E12522">
        <v>200673</v>
      </c>
      <c r="F12522">
        <v>3.9144326178516798E-7</v>
      </c>
      <c r="G12522">
        <v>95757</v>
      </c>
      <c r="H12522">
        <v>14366693</v>
      </c>
      <c r="I12522">
        <v>1301586</v>
      </c>
      <c r="J12522">
        <v>3</v>
      </c>
    </row>
    <row r="12523" spans="1:10" x14ac:dyDescent="0.25">
      <c r="A12523" t="s">
        <v>128</v>
      </c>
      <c r="B12523" s="1" t="str">
        <f>HYPERLINK("http://nomagic.com","nomagic.com")</f>
        <v>nomagic.com</v>
      </c>
      <c r="C12523" t="s">
        <v>433</v>
      </c>
      <c r="E12523">
        <v>205803</v>
      </c>
      <c r="F12523">
        <v>1.98184347680272E-7</v>
      </c>
      <c r="G12523">
        <v>194570</v>
      </c>
      <c r="H12523">
        <v>14648014</v>
      </c>
      <c r="I12523">
        <v>631122</v>
      </c>
      <c r="J12523">
        <v>3</v>
      </c>
    </row>
    <row r="12524" spans="1:10" x14ac:dyDescent="0.25">
      <c r="A12524" t="s">
        <v>128</v>
      </c>
      <c r="B12524" s="1" t="str">
        <f>HYPERLINK("http://outscale.com","outscale.com")</f>
        <v>outscale.com</v>
      </c>
      <c r="C12524" t="s">
        <v>433</v>
      </c>
      <c r="E12524">
        <v>269061</v>
      </c>
      <c r="F12524">
        <v>3.5601759505863701E-7</v>
      </c>
      <c r="G12524">
        <v>104974</v>
      </c>
      <c r="H12524">
        <v>14255752</v>
      </c>
      <c r="I12524">
        <v>1432207</v>
      </c>
      <c r="J12524">
        <v>3</v>
      </c>
    </row>
    <row r="12525" spans="1:10" x14ac:dyDescent="0.25">
      <c r="A12525" t="s">
        <v>128</v>
      </c>
      <c r="B12525" s="1" t="str">
        <f>HYPERLINK("http://scilab-enterprises.com","scilab-enterprises.com")</f>
        <v>scilab-enterprises.com</v>
      </c>
      <c r="C12525" t="s">
        <v>433</v>
      </c>
      <c r="F12525">
        <v>7.3221418991385996E-9</v>
      </c>
      <c r="G12525">
        <v>11426120</v>
      </c>
      <c r="H12525">
        <v>14072448</v>
      </c>
      <c r="I12525">
        <v>3091125</v>
      </c>
      <c r="J12525">
        <v>4</v>
      </c>
    </row>
    <row r="12526" spans="1:10" x14ac:dyDescent="0.25">
      <c r="A12526" t="s">
        <v>128</v>
      </c>
      <c r="B12526" s="1" t="str">
        <f>HYPERLINK("http://simpoe.com","simpoe.com")</f>
        <v>simpoe.com</v>
      </c>
      <c r="C12526" t="s">
        <v>433</v>
      </c>
      <c r="F12526">
        <v>9.0780270644391802E-9</v>
      </c>
      <c r="G12526">
        <v>7877448</v>
      </c>
      <c r="H12526">
        <v>14073887</v>
      </c>
      <c r="I12526">
        <v>2966146</v>
      </c>
      <c r="J12526">
        <v>5</v>
      </c>
    </row>
    <row r="12527" spans="1:10" x14ac:dyDescent="0.25">
      <c r="A12527" t="s">
        <v>128</v>
      </c>
      <c r="B12527" s="1" t="str">
        <f>HYPERLINK("http://smarteam.com","smarteam.com")</f>
        <v>smarteam.com</v>
      </c>
      <c r="C12527" t="s">
        <v>433</v>
      </c>
      <c r="F12527">
        <v>8.8145732501566104E-9</v>
      </c>
      <c r="G12527">
        <v>8281005</v>
      </c>
      <c r="H12527">
        <v>13566146</v>
      </c>
      <c r="I12527">
        <v>9760001</v>
      </c>
      <c r="J12527">
        <v>4</v>
      </c>
    </row>
    <row r="12528" spans="1:10" x14ac:dyDescent="0.25">
      <c r="A12528" t="s">
        <v>128</v>
      </c>
      <c r="B12528" s="1" t="str">
        <f>HYPERLINK("http://sogitec.com","sogitec.com")</f>
        <v>sogitec.com</v>
      </c>
      <c r="C12528" t="s">
        <v>433</v>
      </c>
      <c r="F12528">
        <v>1.36169144326892E-8</v>
      </c>
      <c r="G12528">
        <v>4354879</v>
      </c>
      <c r="H12528">
        <v>14245996</v>
      </c>
      <c r="I12528">
        <v>1463499</v>
      </c>
      <c r="J12528">
        <v>5</v>
      </c>
    </row>
    <row r="12529" spans="1:10" x14ac:dyDescent="0.25">
      <c r="A12529" t="s">
        <v>128</v>
      </c>
      <c r="B12529" s="1" t="str">
        <f>HYPERLINK("http://solidworks.com","solidworks.com")</f>
        <v>solidworks.com</v>
      </c>
      <c r="C12529" t="s">
        <v>433</v>
      </c>
      <c r="E12529">
        <v>8676</v>
      </c>
      <c r="F12529">
        <v>3.8619888003932101E-6</v>
      </c>
      <c r="G12529">
        <v>10876</v>
      </c>
      <c r="H12529">
        <v>16916626</v>
      </c>
      <c r="I12529">
        <v>129970</v>
      </c>
      <c r="J12529">
        <v>3</v>
      </c>
    </row>
    <row r="12530" spans="1:10" x14ac:dyDescent="0.25">
      <c r="A12530" t="s">
        <v>128</v>
      </c>
      <c r="B12530" s="1" t="str">
        <f>HYPERLINK("http://symyx.com","symyx.com")</f>
        <v>symyx.com</v>
      </c>
      <c r="C12530" t="s">
        <v>433</v>
      </c>
      <c r="F12530">
        <v>3.32553927970121E-8</v>
      </c>
      <c r="G12530">
        <v>1553864</v>
      </c>
      <c r="H12530">
        <v>14499515</v>
      </c>
      <c r="I12530">
        <v>856952</v>
      </c>
      <c r="J12530">
        <v>6</v>
      </c>
    </row>
    <row r="12531" spans="1:10" x14ac:dyDescent="0.25">
      <c r="A12531" t="s">
        <v>128</v>
      </c>
      <c r="B12531" s="1" t="str">
        <f>HYPERLINK("http://thestore-dassault-aviation.com","thestore-dassault-aviation.com")</f>
        <v>thestore-dassault-aviation.com</v>
      </c>
      <c r="C12531" t="s">
        <v>433</v>
      </c>
      <c r="F12531">
        <v>9.3358755263567206E-9</v>
      </c>
      <c r="G12531">
        <v>7526803</v>
      </c>
      <c r="H12531">
        <v>14071799</v>
      </c>
      <c r="I12531">
        <v>3321094</v>
      </c>
      <c r="J12531">
        <v>6</v>
      </c>
    </row>
    <row r="12532" spans="1:10" x14ac:dyDescent="0.25">
      <c r="A12532" t="s">
        <v>128</v>
      </c>
      <c r="B12532" s="1" t="str">
        <f>HYPERLINK("http://solidworks.cz","solidworks.cz")</f>
        <v>solidworks.cz</v>
      </c>
      <c r="C12532" t="s">
        <v>435</v>
      </c>
      <c r="D12532" t="s">
        <v>814</v>
      </c>
      <c r="F12532">
        <v>1.9630135937165301E-8</v>
      </c>
      <c r="G12532">
        <v>2722579</v>
      </c>
      <c r="H12532">
        <v>14072566</v>
      </c>
      <c r="I12532">
        <v>3072655</v>
      </c>
      <c r="J12532">
        <v>4</v>
      </c>
    </row>
    <row r="12533" spans="1:10" x14ac:dyDescent="0.25">
      <c r="A12533" t="s">
        <v>128</v>
      </c>
      <c r="B12533" s="1" t="str">
        <f>HYPERLINK("http://3dcontentcentral.de","3dcontentcentral.de")</f>
        <v>3dcontentcentral.de</v>
      </c>
      <c r="C12533" t="s">
        <v>436</v>
      </c>
      <c r="D12533" t="s">
        <v>815</v>
      </c>
      <c r="F12533">
        <v>1.9834394491323801E-8</v>
      </c>
      <c r="G12533">
        <v>2687709</v>
      </c>
      <c r="H12533">
        <v>13074888</v>
      </c>
      <c r="I12533">
        <v>12218550</v>
      </c>
      <c r="J12533">
        <v>5</v>
      </c>
    </row>
    <row r="12534" spans="1:10" x14ac:dyDescent="0.25">
      <c r="A12534" t="s">
        <v>128</v>
      </c>
      <c r="B12534" s="1" t="str">
        <f>HYPERLINK("http://solidworks.de","solidworks.de")</f>
        <v>solidworks.de</v>
      </c>
      <c r="C12534" t="s">
        <v>436</v>
      </c>
      <c r="D12534" t="s">
        <v>815</v>
      </c>
      <c r="F12534">
        <v>5.9025198148381899E-8</v>
      </c>
      <c r="G12534">
        <v>751276</v>
      </c>
      <c r="H12534">
        <v>14083991</v>
      </c>
      <c r="I12534">
        <v>2790037</v>
      </c>
      <c r="J12534">
        <v>4</v>
      </c>
    </row>
    <row r="12535" spans="1:10" x14ac:dyDescent="0.25">
      <c r="A12535" t="s">
        <v>128</v>
      </c>
      <c r="B12535" s="1" t="str">
        <f>HYPERLINK("http://solidworks.dk","solidworks.dk")</f>
        <v>solidworks.dk</v>
      </c>
      <c r="C12535" t="s">
        <v>437</v>
      </c>
      <c r="D12535" t="s">
        <v>816</v>
      </c>
      <c r="F12535">
        <v>7.2811371654567497E-9</v>
      </c>
      <c r="G12535">
        <v>11526347</v>
      </c>
      <c r="H12535">
        <v>11961147</v>
      </c>
      <c r="I12535">
        <v>28931661</v>
      </c>
      <c r="J12535">
        <v>4</v>
      </c>
    </row>
    <row r="12536" spans="1:10" x14ac:dyDescent="0.25">
      <c r="A12536" t="s">
        <v>128</v>
      </c>
      <c r="B12536" s="1" t="str">
        <f>HYPERLINK("http://3dcontentcentral.es","3dcontentcentral.es")</f>
        <v>3dcontentcentral.es</v>
      </c>
      <c r="C12536" t="s">
        <v>443</v>
      </c>
      <c r="D12536" t="s">
        <v>822</v>
      </c>
      <c r="F12536">
        <v>1.24363696036915E-8</v>
      </c>
      <c r="G12536">
        <v>4919647</v>
      </c>
      <c r="H12536">
        <v>13052474</v>
      </c>
      <c r="I12536">
        <v>12575580</v>
      </c>
      <c r="J12536">
        <v>5</v>
      </c>
    </row>
    <row r="12537" spans="1:10" x14ac:dyDescent="0.25">
      <c r="A12537" t="s">
        <v>128</v>
      </c>
      <c r="B12537" s="1" t="str">
        <f>HYPERLINK("http://solidworks.es","solidworks.es")</f>
        <v>solidworks.es</v>
      </c>
      <c r="C12537" t="s">
        <v>443</v>
      </c>
      <c r="D12537" t="s">
        <v>822</v>
      </c>
      <c r="F12537">
        <v>2.0448334969626E-8</v>
      </c>
      <c r="G12537">
        <v>2591935</v>
      </c>
      <c r="H12537">
        <v>13788734</v>
      </c>
      <c r="I12537">
        <v>6361460</v>
      </c>
      <c r="J12537">
        <v>4</v>
      </c>
    </row>
    <row r="12538" spans="1:10" x14ac:dyDescent="0.25">
      <c r="A12538" t="s">
        <v>128</v>
      </c>
      <c r="B12538" s="1" t="str">
        <f>HYPERLINK("http://catia.fi","catia.fi")</f>
        <v>catia.fi</v>
      </c>
      <c r="C12538" t="s">
        <v>445</v>
      </c>
      <c r="D12538" t="s">
        <v>823</v>
      </c>
      <c r="J12538">
        <v>2</v>
      </c>
    </row>
    <row r="12539" spans="1:10" x14ac:dyDescent="0.25">
      <c r="A12539" t="s">
        <v>128</v>
      </c>
      <c r="B12539" s="1" t="str">
        <f>HYPERLINK("http://enovia.fi","enovia.fi")</f>
        <v>enovia.fi</v>
      </c>
      <c r="C12539" t="s">
        <v>445</v>
      </c>
      <c r="D12539" t="s">
        <v>823</v>
      </c>
      <c r="J12539">
        <v>2</v>
      </c>
    </row>
    <row r="12540" spans="1:10" x14ac:dyDescent="0.25">
      <c r="A12540" t="s">
        <v>128</v>
      </c>
      <c r="B12540" s="1" t="str">
        <f>HYPERLINK("http://solidworks.fi","solidworks.fi")</f>
        <v>solidworks.fi</v>
      </c>
      <c r="C12540" t="s">
        <v>445</v>
      </c>
      <c r="D12540" t="s">
        <v>823</v>
      </c>
      <c r="F12540">
        <v>6.9921920070772298E-9</v>
      </c>
      <c r="G12540">
        <v>12334805</v>
      </c>
      <c r="H12540">
        <v>11984198</v>
      </c>
      <c r="I12540">
        <v>28448154</v>
      </c>
      <c r="J12540">
        <v>4</v>
      </c>
    </row>
    <row r="12541" spans="1:10" x14ac:dyDescent="0.25">
      <c r="A12541" t="s">
        <v>128</v>
      </c>
      <c r="B12541" s="1" t="str">
        <f>HYPERLINK("http://3dcontentcentral.fr","3dcontentcentral.fr")</f>
        <v>3dcontentcentral.fr</v>
      </c>
      <c r="C12541" t="s">
        <v>446</v>
      </c>
      <c r="D12541" t="s">
        <v>824</v>
      </c>
      <c r="F12541">
        <v>1.2296305805812201E-8</v>
      </c>
      <c r="G12541">
        <v>4996243</v>
      </c>
      <c r="H12541">
        <v>12518947</v>
      </c>
      <c r="I12541">
        <v>17161610</v>
      </c>
      <c r="J12541">
        <v>5</v>
      </c>
    </row>
    <row r="12542" spans="1:10" x14ac:dyDescent="0.25">
      <c r="A12542" t="s">
        <v>128</v>
      </c>
      <c r="B12542" s="1" t="str">
        <f>HYPERLINK("http://dassault.fr","dassault.fr")</f>
        <v>dassault.fr</v>
      </c>
      <c r="C12542" t="s">
        <v>446</v>
      </c>
      <c r="D12542" t="s">
        <v>824</v>
      </c>
      <c r="F12542">
        <v>7.1109873938148303E-8</v>
      </c>
      <c r="G12542">
        <v>594644</v>
      </c>
      <c r="H12542">
        <v>14324545</v>
      </c>
      <c r="I12542">
        <v>1328019</v>
      </c>
      <c r="J12542">
        <v>4</v>
      </c>
    </row>
    <row r="12543" spans="1:10" x14ac:dyDescent="0.25">
      <c r="A12543" t="s">
        <v>128</v>
      </c>
      <c r="B12543" s="1" t="str">
        <f>HYPERLINK("http://exalead.fr","exalead.fr")</f>
        <v>exalead.fr</v>
      </c>
      <c r="C12543" t="s">
        <v>446</v>
      </c>
      <c r="D12543" t="s">
        <v>824</v>
      </c>
      <c r="E12543">
        <v>387434</v>
      </c>
      <c r="F12543">
        <v>1.9430109505064499E-7</v>
      </c>
      <c r="G12543">
        <v>198429</v>
      </c>
      <c r="H12543">
        <v>17034314</v>
      </c>
      <c r="I12543">
        <v>81883</v>
      </c>
      <c r="J12543">
        <v>4</v>
      </c>
    </row>
    <row r="12544" spans="1:10" x14ac:dyDescent="0.25">
      <c r="A12544" t="s">
        <v>128</v>
      </c>
      <c r="B12544" s="1" t="str">
        <f>HYPERLINK("http://interopsys.fr","interopsys.fr")</f>
        <v>interopsys.fr</v>
      </c>
      <c r="C12544" t="s">
        <v>446</v>
      </c>
      <c r="D12544" t="s">
        <v>824</v>
      </c>
      <c r="F12544">
        <v>6.8482269876128296E-9</v>
      </c>
      <c r="G12544">
        <v>12801109</v>
      </c>
      <c r="H12544">
        <v>12339322</v>
      </c>
      <c r="I12544">
        <v>20021804</v>
      </c>
      <c r="J12544">
        <v>3</v>
      </c>
    </row>
    <row r="12545" spans="1:10" x14ac:dyDescent="0.25">
      <c r="A12545" t="s">
        <v>128</v>
      </c>
      <c r="B12545" s="1" t="str">
        <f>HYPERLINK("http://sogitec.fr","sogitec.fr")</f>
        <v>sogitec.fr</v>
      </c>
      <c r="C12545" t="s">
        <v>446</v>
      </c>
      <c r="D12545" t="s">
        <v>824</v>
      </c>
      <c r="F12545">
        <v>1.0273071048761099E-8</v>
      </c>
      <c r="G12545">
        <v>6476403</v>
      </c>
      <c r="H12545">
        <v>13163409</v>
      </c>
      <c r="I12545">
        <v>11754621</v>
      </c>
      <c r="J12545">
        <v>6</v>
      </c>
    </row>
    <row r="12546" spans="1:10" x14ac:dyDescent="0.25">
      <c r="A12546" t="s">
        <v>128</v>
      </c>
      <c r="B12546" s="1" t="str">
        <f>HYPERLINK("http://solidworks.fr","solidworks.fr")</f>
        <v>solidworks.fr</v>
      </c>
      <c r="C12546" t="s">
        <v>446</v>
      </c>
      <c r="D12546" t="s">
        <v>824</v>
      </c>
      <c r="F12546">
        <v>3.3002920551873301E-8</v>
      </c>
      <c r="G12546">
        <v>1565367</v>
      </c>
      <c r="H12546">
        <v>14436128</v>
      </c>
      <c r="I12546">
        <v>1068451</v>
      </c>
      <c r="J12546">
        <v>4</v>
      </c>
    </row>
    <row r="12547" spans="1:10" x14ac:dyDescent="0.25">
      <c r="A12547" t="s">
        <v>128</v>
      </c>
      <c r="B12547" s="1" t="str">
        <f>HYPERLINK("http://solidworks.hu","solidworks.hu")</f>
        <v>solidworks.hu</v>
      </c>
      <c r="C12547" t="s">
        <v>453</v>
      </c>
      <c r="D12547" t="s">
        <v>830</v>
      </c>
      <c r="F12547">
        <v>6.7847743983049499E-9</v>
      </c>
      <c r="G12547">
        <v>13011479</v>
      </c>
      <c r="H12547">
        <v>11957533</v>
      </c>
      <c r="I12547">
        <v>29010871</v>
      </c>
      <c r="J12547">
        <v>4</v>
      </c>
    </row>
    <row r="12548" spans="1:10" x14ac:dyDescent="0.25">
      <c r="A12548" t="s">
        <v>128</v>
      </c>
      <c r="B12548" s="1" t="str">
        <f>HYPERLINK("http://3dcontentcentral.it","3dcontentcentral.it")</f>
        <v>3dcontentcentral.it</v>
      </c>
      <c r="C12548" t="s">
        <v>459</v>
      </c>
      <c r="D12548" t="s">
        <v>835</v>
      </c>
      <c r="F12548">
        <v>1.07998571172844E-8</v>
      </c>
      <c r="G12548">
        <v>6020972</v>
      </c>
      <c r="H12548">
        <v>12942467</v>
      </c>
      <c r="I12548">
        <v>13271939</v>
      </c>
      <c r="J12548">
        <v>5</v>
      </c>
    </row>
    <row r="12549" spans="1:10" x14ac:dyDescent="0.25">
      <c r="A12549" t="s">
        <v>128</v>
      </c>
      <c r="B12549" s="1" t="str">
        <f>HYPERLINK("http://solidworks.it","solidworks.it")</f>
        <v>solidworks.it</v>
      </c>
      <c r="C12549" t="s">
        <v>459</v>
      </c>
      <c r="D12549" t="s">
        <v>835</v>
      </c>
      <c r="F12549">
        <v>1.7326190516205E-8</v>
      </c>
      <c r="G12549">
        <v>3192769</v>
      </c>
      <c r="H12549">
        <v>13766366</v>
      </c>
      <c r="I12549">
        <v>7011747</v>
      </c>
      <c r="J12549">
        <v>4</v>
      </c>
    </row>
    <row r="12550" spans="1:10" x14ac:dyDescent="0.25">
      <c r="A12550" t="s">
        <v>128</v>
      </c>
      <c r="B12550" s="1" t="str">
        <f>HYPERLINK("http://3dcontentcentral.jp","3dcontentcentral.jp")</f>
        <v>3dcontentcentral.jp</v>
      </c>
      <c r="C12550" t="s">
        <v>461</v>
      </c>
      <c r="D12550" t="s">
        <v>837</v>
      </c>
      <c r="F12550">
        <v>7.7184244532931901E-9</v>
      </c>
      <c r="G12550">
        <v>10532976</v>
      </c>
      <c r="H12550">
        <v>12061459</v>
      </c>
      <c r="I12550">
        <v>26975809</v>
      </c>
      <c r="J12550">
        <v>5</v>
      </c>
    </row>
    <row r="12551" spans="1:10" x14ac:dyDescent="0.25">
      <c r="A12551" t="s">
        <v>128</v>
      </c>
      <c r="B12551" s="1" t="str">
        <f>HYPERLINK("http://accelrys.co.jp","accelrys.co.jp")</f>
        <v>accelrys.co.jp</v>
      </c>
      <c r="C12551" t="s">
        <v>461</v>
      </c>
      <c r="D12551" t="s">
        <v>837</v>
      </c>
      <c r="F12551">
        <v>5.4655485008294396E-9</v>
      </c>
      <c r="G12551">
        <v>21295188</v>
      </c>
      <c r="H12551">
        <v>12775702</v>
      </c>
      <c r="I12551">
        <v>14796027</v>
      </c>
      <c r="J12551">
        <v>4</v>
      </c>
    </row>
    <row r="12552" spans="1:10" x14ac:dyDescent="0.25">
      <c r="A12552" t="s">
        <v>128</v>
      </c>
      <c r="B12552" s="1" t="str">
        <f>HYPERLINK("http://solidworks.co.jp","solidworks.co.jp")</f>
        <v>solidworks.co.jp</v>
      </c>
      <c r="C12552" t="s">
        <v>461</v>
      </c>
      <c r="D12552" t="s">
        <v>837</v>
      </c>
      <c r="F12552">
        <v>6.1488860696567706E-8</v>
      </c>
      <c r="G12552">
        <v>715729</v>
      </c>
      <c r="H12552">
        <v>14146699</v>
      </c>
      <c r="I12552">
        <v>1893744</v>
      </c>
      <c r="J12552">
        <v>4</v>
      </c>
    </row>
    <row r="12553" spans="1:10" x14ac:dyDescent="0.25">
      <c r="A12553" t="s">
        <v>128</v>
      </c>
      <c r="B12553" s="1" t="str">
        <f>HYPERLINK("http://3dcontentcentral.kr","3dcontentcentral.kr")</f>
        <v>3dcontentcentral.kr</v>
      </c>
      <c r="C12553" t="s">
        <v>463</v>
      </c>
      <c r="D12553" t="s">
        <v>839</v>
      </c>
      <c r="F12553">
        <v>7.7858296873266894E-9</v>
      </c>
      <c r="G12553">
        <v>10355121</v>
      </c>
      <c r="H12553">
        <v>12061460</v>
      </c>
      <c r="I12553">
        <v>26975795</v>
      </c>
      <c r="J12553">
        <v>5</v>
      </c>
    </row>
    <row r="12554" spans="1:10" x14ac:dyDescent="0.25">
      <c r="A12554" t="s">
        <v>128</v>
      </c>
      <c r="B12554" s="1" t="str">
        <f>HYPERLINK("http://solidworks.co.kr","solidworks.co.kr")</f>
        <v>solidworks.co.kr</v>
      </c>
      <c r="C12554" t="s">
        <v>463</v>
      </c>
      <c r="D12554" t="s">
        <v>839</v>
      </c>
      <c r="F12554">
        <v>7.8664691939501596E-9</v>
      </c>
      <c r="G12554">
        <v>10179404</v>
      </c>
      <c r="H12554">
        <v>11965096</v>
      </c>
      <c r="I12554">
        <v>28797516</v>
      </c>
      <c r="J12554">
        <v>4</v>
      </c>
    </row>
    <row r="12555" spans="1:10" x14ac:dyDescent="0.25">
      <c r="A12555" t="s">
        <v>128</v>
      </c>
      <c r="B12555" s="1" t="str">
        <f>HYPERLINK("http://3dcontentcentral.net","3dcontentcentral.net")</f>
        <v>3dcontentcentral.net</v>
      </c>
      <c r="C12555" t="s">
        <v>474</v>
      </c>
      <c r="F12555">
        <v>4.5951736593635198E-9</v>
      </c>
      <c r="G12555">
        <v>47985074</v>
      </c>
      <c r="H12555">
        <v>12086532</v>
      </c>
      <c r="I12555">
        <v>26367928</v>
      </c>
      <c r="J12555">
        <v>5</v>
      </c>
    </row>
    <row r="12556" spans="1:10" x14ac:dyDescent="0.25">
      <c r="A12556" t="s">
        <v>128</v>
      </c>
      <c r="B12556" s="1" t="str">
        <f>HYPERLINK("http://3dpublisher.net","3dpublisher.net")</f>
        <v>3dpublisher.net</v>
      </c>
      <c r="C12556" t="s">
        <v>474</v>
      </c>
      <c r="F12556">
        <v>3.9193406400654197E-8</v>
      </c>
      <c r="G12556">
        <v>1316222</v>
      </c>
      <c r="H12556">
        <v>12395473</v>
      </c>
      <c r="I12556">
        <v>18928944</v>
      </c>
      <c r="J12556">
        <v>5</v>
      </c>
    </row>
    <row r="12557" spans="1:10" x14ac:dyDescent="0.25">
      <c r="A12557" t="s">
        <v>128</v>
      </c>
      <c r="B12557" s="1" t="str">
        <f>HYPERLINK("http://outscale.net","outscale.net")</f>
        <v>outscale.net</v>
      </c>
      <c r="C12557" t="s">
        <v>474</v>
      </c>
      <c r="E12557">
        <v>246308</v>
      </c>
      <c r="F12557">
        <v>2.2293948169724099E-8</v>
      </c>
      <c r="G12557">
        <v>2351664</v>
      </c>
      <c r="H12557">
        <v>13664595</v>
      </c>
      <c r="I12557">
        <v>9563738</v>
      </c>
      <c r="J12557">
        <v>4</v>
      </c>
    </row>
    <row r="12558" spans="1:10" x14ac:dyDescent="0.25">
      <c r="A12558" t="s">
        <v>128</v>
      </c>
      <c r="B12558" s="1" t="str">
        <f>HYPERLINK("http://solidworks.nl","solidworks.nl")</f>
        <v>solidworks.nl</v>
      </c>
      <c r="C12558" t="s">
        <v>477</v>
      </c>
      <c r="D12558" t="s">
        <v>852</v>
      </c>
      <c r="F12558">
        <v>9.2921566053451403E-9</v>
      </c>
      <c r="G12558">
        <v>7582683</v>
      </c>
      <c r="H12558">
        <v>13770603</v>
      </c>
      <c r="I12558">
        <v>6722746</v>
      </c>
      <c r="J12558">
        <v>4</v>
      </c>
    </row>
    <row r="12559" spans="1:10" x14ac:dyDescent="0.25">
      <c r="A12559" t="s">
        <v>128</v>
      </c>
      <c r="B12559" s="1" t="str">
        <f>HYPERLINK("http://solidworks.no","solidworks.no")</f>
        <v>solidworks.no</v>
      </c>
      <c r="C12559" t="s">
        <v>478</v>
      </c>
      <c r="D12559" t="s">
        <v>853</v>
      </c>
      <c r="F12559">
        <v>8.6568905978489905E-9</v>
      </c>
      <c r="G12559">
        <v>8554851</v>
      </c>
      <c r="H12559">
        <v>12627315</v>
      </c>
      <c r="I12559">
        <v>16010681</v>
      </c>
      <c r="J12559">
        <v>4</v>
      </c>
    </row>
    <row r="12560" spans="1:10" x14ac:dyDescent="0.25">
      <c r="A12560" t="s">
        <v>128</v>
      </c>
      <c r="B12560" s="1" t="str">
        <f>HYPERLINK("http://3ds.one","3ds.one")</f>
        <v>3ds.one</v>
      </c>
      <c r="C12560" t="s">
        <v>704</v>
      </c>
      <c r="F12560">
        <v>8.2315205869790306E-9</v>
      </c>
      <c r="G12560">
        <v>9428850</v>
      </c>
      <c r="H12560">
        <v>12587299</v>
      </c>
      <c r="I12560">
        <v>16438874</v>
      </c>
      <c r="J12560">
        <v>2</v>
      </c>
    </row>
    <row r="12561" spans="1:10" x14ac:dyDescent="0.25">
      <c r="A12561" t="s">
        <v>128</v>
      </c>
      <c r="B12561" s="1" t="str">
        <f>HYPERLINK("http://solidworks.pl","solidworks.pl")</f>
        <v>solidworks.pl</v>
      </c>
      <c r="C12561" t="s">
        <v>486</v>
      </c>
      <c r="D12561" t="s">
        <v>860</v>
      </c>
      <c r="F12561">
        <v>1.12965864095748E-8</v>
      </c>
      <c r="G12561">
        <v>5644937</v>
      </c>
      <c r="H12561">
        <v>11991459</v>
      </c>
      <c r="I12561">
        <v>28370069</v>
      </c>
      <c r="J12561">
        <v>4</v>
      </c>
    </row>
    <row r="12562" spans="1:10" x14ac:dyDescent="0.25">
      <c r="A12562" t="s">
        <v>128</v>
      </c>
      <c r="B12562" s="1" t="str">
        <f>HYPERLINK("http://solidworks.se","solidworks.se")</f>
        <v>solidworks.se</v>
      </c>
      <c r="C12562" t="s">
        <v>495</v>
      </c>
      <c r="D12562" t="s">
        <v>869</v>
      </c>
      <c r="F12562">
        <v>8.0831709712906606E-9</v>
      </c>
      <c r="G12562">
        <v>9771765</v>
      </c>
      <c r="H12562">
        <v>11957528</v>
      </c>
      <c r="I12562">
        <v>29011348</v>
      </c>
      <c r="J12562">
        <v>4</v>
      </c>
    </row>
    <row r="12563" spans="1:10" x14ac:dyDescent="0.25">
      <c r="A12563" t="s">
        <v>128</v>
      </c>
      <c r="B12563" s="1" t="str">
        <f>HYPERLINK("http://3dcontentcentral.com.tr","3dcontentcentral.com.tr")</f>
        <v>3dcontentcentral.com.tr</v>
      </c>
      <c r="C12563" t="s">
        <v>502</v>
      </c>
      <c r="D12563" t="s">
        <v>876</v>
      </c>
      <c r="F12563">
        <v>9.1643221094599108E-9</v>
      </c>
      <c r="G12563">
        <v>7759018</v>
      </c>
      <c r="H12563">
        <v>12084644</v>
      </c>
      <c r="I12563">
        <v>26449836</v>
      </c>
      <c r="J12563">
        <v>5</v>
      </c>
    </row>
    <row r="12564" spans="1:10" x14ac:dyDescent="0.25">
      <c r="A12564" t="s">
        <v>128</v>
      </c>
      <c r="B12564" s="1" t="str">
        <f>HYPERLINK("http://outscale.tv","outscale.tv")</f>
        <v>outscale.tv</v>
      </c>
      <c r="C12564" t="s">
        <v>535</v>
      </c>
      <c r="D12564" t="s">
        <v>897</v>
      </c>
      <c r="F12564">
        <v>6.4205594224604296E-9</v>
      </c>
      <c r="G12564">
        <v>14423478</v>
      </c>
      <c r="H12564">
        <v>10867131</v>
      </c>
      <c r="I12564">
        <v>36555819</v>
      </c>
      <c r="J12564">
        <v>4</v>
      </c>
    </row>
    <row r="12565" spans="1:10" x14ac:dyDescent="0.25">
      <c r="A12565" t="s">
        <v>128</v>
      </c>
      <c r="B12565" s="1" t="str">
        <f>HYPERLINK("http://3dcontentcentral.tw","3dcontentcentral.tw")</f>
        <v>3dcontentcentral.tw</v>
      </c>
      <c r="C12565" t="s">
        <v>504</v>
      </c>
      <c r="D12565" t="s">
        <v>878</v>
      </c>
      <c r="F12565">
        <v>7.8550898260774101E-9</v>
      </c>
      <c r="G12565">
        <v>10202601</v>
      </c>
      <c r="H12565">
        <v>12069504</v>
      </c>
      <c r="I12565">
        <v>26800814</v>
      </c>
      <c r="J12565">
        <v>5</v>
      </c>
    </row>
    <row r="12566" spans="1:10" x14ac:dyDescent="0.25">
      <c r="A12566" t="s">
        <v>128</v>
      </c>
      <c r="B12566" s="1" t="str">
        <f>HYPERLINK("http://solidworks.org.tw","solidworks.org.tw")</f>
        <v>solidworks.org.tw</v>
      </c>
      <c r="C12566" t="s">
        <v>504</v>
      </c>
      <c r="D12566" t="s">
        <v>878</v>
      </c>
      <c r="F12566">
        <v>4.9111669165876898E-9</v>
      </c>
      <c r="G12566">
        <v>32144193</v>
      </c>
      <c r="H12566">
        <v>10763357</v>
      </c>
      <c r="I12566">
        <v>39490635</v>
      </c>
      <c r="J12566">
        <v>5</v>
      </c>
    </row>
    <row r="12567" spans="1:10" x14ac:dyDescent="0.25">
      <c r="A12567" t="s">
        <v>128</v>
      </c>
      <c r="B12567" s="1" t="str">
        <f>HYPERLINK("http://solidworks.co.uk","solidworks.co.uk")</f>
        <v>solidworks.co.uk</v>
      </c>
      <c r="C12567" t="s">
        <v>506</v>
      </c>
      <c r="D12567" t="s">
        <v>880</v>
      </c>
      <c r="F12567">
        <v>1.3892268045529501E-8</v>
      </c>
      <c r="G12567">
        <v>4244073</v>
      </c>
      <c r="H12567">
        <v>13319532</v>
      </c>
      <c r="I12567">
        <v>10749590</v>
      </c>
      <c r="J12567">
        <v>4</v>
      </c>
    </row>
    <row r="12568" spans="1:10" x14ac:dyDescent="0.25">
      <c r="A12568" t="s">
        <v>129</v>
      </c>
      <c r="B12568" s="1" t="str">
        <f>HYPERLINK("http://deere.africa","deere.africa")</f>
        <v>deere.africa</v>
      </c>
      <c r="C12568" t="s">
        <v>523</v>
      </c>
      <c r="F12568">
        <v>4.08415470935847E-8</v>
      </c>
      <c r="G12568">
        <v>1269600</v>
      </c>
      <c r="H12568">
        <v>13354174</v>
      </c>
      <c r="I12568">
        <v>10603183</v>
      </c>
      <c r="J12568">
        <v>2</v>
      </c>
    </row>
    <row r="12569" spans="1:10" x14ac:dyDescent="0.25">
      <c r="A12569" t="s">
        <v>129</v>
      </c>
      <c r="B12569" s="1" t="str">
        <f>HYPERLINK("http://deere.com.ar","deere.com.ar")</f>
        <v>deere.com.ar</v>
      </c>
      <c r="C12569" t="s">
        <v>418</v>
      </c>
      <c r="D12569" t="s">
        <v>800</v>
      </c>
      <c r="F12569">
        <v>4.6308346668412702E-8</v>
      </c>
      <c r="G12569">
        <v>1010883</v>
      </c>
      <c r="H12569">
        <v>13936084</v>
      </c>
      <c r="I12569">
        <v>4505993</v>
      </c>
      <c r="J12569">
        <v>2</v>
      </c>
    </row>
    <row r="12570" spans="1:10" x14ac:dyDescent="0.25">
      <c r="A12570" t="s">
        <v>129</v>
      </c>
      <c r="B12570" s="1" t="str">
        <f>HYPERLINK("http://deere.asia","deere.asia")</f>
        <v>deere.asia</v>
      </c>
      <c r="C12570" t="s">
        <v>525</v>
      </c>
      <c r="F12570">
        <v>2.2814530768110399E-8</v>
      </c>
      <c r="G12570">
        <v>2292268</v>
      </c>
      <c r="H12570">
        <v>12361832</v>
      </c>
      <c r="I12570">
        <v>19551251</v>
      </c>
      <c r="J12570">
        <v>2</v>
      </c>
    </row>
    <row r="12571" spans="1:10" x14ac:dyDescent="0.25">
      <c r="A12571" t="s">
        <v>129</v>
      </c>
      <c r="B12571" s="1" t="str">
        <f>HYPERLINK("http://deere.at","deere.at")</f>
        <v>deere.at</v>
      </c>
      <c r="C12571" t="s">
        <v>419</v>
      </c>
      <c r="D12571" t="s">
        <v>801</v>
      </c>
      <c r="F12571">
        <v>3.2686793817785598E-8</v>
      </c>
      <c r="G12571">
        <v>1580875</v>
      </c>
      <c r="H12571">
        <v>12405168</v>
      </c>
      <c r="I12571">
        <v>18686743</v>
      </c>
      <c r="J12571">
        <v>2</v>
      </c>
    </row>
    <row r="12572" spans="1:10" x14ac:dyDescent="0.25">
      <c r="A12572" t="s">
        <v>129</v>
      </c>
      <c r="B12572" s="1" t="str">
        <f>HYPERLINK("http://deere.com.au","deere.com.au")</f>
        <v>deere.com.au</v>
      </c>
      <c r="C12572" t="s">
        <v>420</v>
      </c>
      <c r="D12572" t="s">
        <v>802</v>
      </c>
      <c r="E12572">
        <v>704989</v>
      </c>
      <c r="F12572">
        <v>3.4620442307088702E-8</v>
      </c>
      <c r="G12572">
        <v>1498824</v>
      </c>
      <c r="H12572">
        <v>14122473</v>
      </c>
      <c r="I12572">
        <v>2210719</v>
      </c>
      <c r="J12572">
        <v>2</v>
      </c>
    </row>
    <row r="12573" spans="1:10" x14ac:dyDescent="0.25">
      <c r="A12573" t="s">
        <v>129</v>
      </c>
      <c r="B12573" s="1" t="str">
        <f>HYPERLINK("http://deere.be","deere.be")</f>
        <v>deere.be</v>
      </c>
      <c r="C12573" t="s">
        <v>421</v>
      </c>
      <c r="D12573" t="s">
        <v>803</v>
      </c>
      <c r="F12573">
        <v>3.4265208214912101E-8</v>
      </c>
      <c r="G12573">
        <v>1512821</v>
      </c>
      <c r="H12573">
        <v>12364016</v>
      </c>
      <c r="I12573">
        <v>19515586</v>
      </c>
      <c r="J12573">
        <v>2</v>
      </c>
    </row>
    <row r="12574" spans="1:10" x14ac:dyDescent="0.25">
      <c r="A12574" t="s">
        <v>129</v>
      </c>
      <c r="B12574" s="1" t="str">
        <f>HYPERLINK("http://deere.bg","deere.bg")</f>
        <v>deere.bg</v>
      </c>
      <c r="C12574" t="s">
        <v>422</v>
      </c>
      <c r="D12574" t="s">
        <v>804</v>
      </c>
      <c r="F12574">
        <v>2.3265131183492601E-8</v>
      </c>
      <c r="G12574">
        <v>2242722</v>
      </c>
      <c r="H12574">
        <v>12361494</v>
      </c>
      <c r="I12574">
        <v>19558674</v>
      </c>
      <c r="J12574">
        <v>2</v>
      </c>
    </row>
    <row r="12575" spans="1:10" x14ac:dyDescent="0.25">
      <c r="A12575" t="s">
        <v>129</v>
      </c>
      <c r="B12575" s="1" t="str">
        <f>HYPERLINK("http://deere.com.br","deere.com.br")</f>
        <v>deere.com.br</v>
      </c>
      <c r="C12575" t="s">
        <v>425</v>
      </c>
      <c r="D12575" t="s">
        <v>806</v>
      </c>
      <c r="F12575">
        <v>5.1562806435891103E-8</v>
      </c>
      <c r="G12575">
        <v>886991</v>
      </c>
      <c r="H12575">
        <v>14786210</v>
      </c>
      <c r="I12575">
        <v>552411</v>
      </c>
      <c r="J12575">
        <v>2</v>
      </c>
    </row>
    <row r="12576" spans="1:10" x14ac:dyDescent="0.25">
      <c r="A12576" t="s">
        <v>129</v>
      </c>
      <c r="B12576" s="1" t="str">
        <f>HYPERLINK("http://deere.ca","deere.ca")</f>
        <v>deere.ca</v>
      </c>
      <c r="C12576" t="s">
        <v>428</v>
      </c>
      <c r="D12576" t="s">
        <v>809</v>
      </c>
      <c r="E12576">
        <v>498829</v>
      </c>
      <c r="F12576">
        <v>1.0755774225294901E-7</v>
      </c>
      <c r="G12576">
        <v>372173</v>
      </c>
      <c r="H12576">
        <v>14362371</v>
      </c>
      <c r="I12576">
        <v>1303529</v>
      </c>
      <c r="J12576">
        <v>2</v>
      </c>
    </row>
    <row r="12577" spans="1:10" x14ac:dyDescent="0.25">
      <c r="A12577" t="s">
        <v>129</v>
      </c>
      <c r="B12577" s="1" t="str">
        <f>HYPERLINK("http://greentractors.ca","greentractors.ca")</f>
        <v>greentractors.ca</v>
      </c>
      <c r="C12577" t="s">
        <v>428</v>
      </c>
      <c r="D12577" t="s">
        <v>809</v>
      </c>
      <c r="F12577">
        <v>1.09420458429213E-8</v>
      </c>
      <c r="G12577">
        <v>5909678</v>
      </c>
      <c r="H12577">
        <v>12509973</v>
      </c>
      <c r="I12577">
        <v>17247172</v>
      </c>
      <c r="J12577">
        <v>3</v>
      </c>
    </row>
    <row r="12578" spans="1:10" x14ac:dyDescent="0.25">
      <c r="A12578" t="s">
        <v>129</v>
      </c>
      <c r="B12578" s="1" t="str">
        <f>HYPERLINK("http://deere.ch","deere.ch")</f>
        <v>deere.ch</v>
      </c>
      <c r="C12578" t="s">
        <v>429</v>
      </c>
      <c r="D12578" t="s">
        <v>810</v>
      </c>
      <c r="F12578">
        <v>3.0197833090531397E-8</v>
      </c>
      <c r="G12578">
        <v>1704146</v>
      </c>
      <c r="H12578">
        <v>12369132</v>
      </c>
      <c r="I12578">
        <v>19424013</v>
      </c>
      <c r="J12578">
        <v>2</v>
      </c>
    </row>
    <row r="12579" spans="1:10" x14ac:dyDescent="0.25">
      <c r="A12579" t="s">
        <v>129</v>
      </c>
      <c r="B12579" s="1" t="str">
        <f>HYPERLINK("http://deere.com.cn","deere.com.cn")</f>
        <v>deere.com.cn</v>
      </c>
      <c r="C12579" t="s">
        <v>431</v>
      </c>
      <c r="D12579" t="s">
        <v>812</v>
      </c>
      <c r="F12579">
        <v>3.69848348529355E-8</v>
      </c>
      <c r="G12579">
        <v>1403193</v>
      </c>
      <c r="H12579">
        <v>14082588</v>
      </c>
      <c r="I12579">
        <v>2799415</v>
      </c>
      <c r="J12579">
        <v>2</v>
      </c>
    </row>
    <row r="12580" spans="1:10" x14ac:dyDescent="0.25">
      <c r="A12580" t="s">
        <v>129</v>
      </c>
      <c r="B12580" s="1" t="str">
        <f>HYPERLINK("http://bearflagrobotics.com","bearflagrobotics.com")</f>
        <v>bearflagrobotics.com</v>
      </c>
      <c r="C12580" t="s">
        <v>433</v>
      </c>
      <c r="F12580">
        <v>4.8870853686214303E-8</v>
      </c>
      <c r="G12580">
        <v>948077</v>
      </c>
      <c r="H12580">
        <v>13696367</v>
      </c>
      <c r="I12580">
        <v>9523944</v>
      </c>
      <c r="J12580">
        <v>3</v>
      </c>
    </row>
    <row r="12581" spans="1:10" x14ac:dyDescent="0.25">
      <c r="A12581" t="s">
        <v>129</v>
      </c>
      <c r="B12581" s="1" t="str">
        <f>HYPERLINK("http://bluerivertech.com","bluerivertech.com")</f>
        <v>bluerivertech.com</v>
      </c>
      <c r="C12581" t="s">
        <v>433</v>
      </c>
      <c r="F12581">
        <v>6.1111572301924296E-9</v>
      </c>
      <c r="G12581">
        <v>16031002</v>
      </c>
      <c r="H12581">
        <v>10686801</v>
      </c>
      <c r="I12581">
        <v>42572650</v>
      </c>
      <c r="J12581">
        <v>4</v>
      </c>
    </row>
    <row r="12582" spans="1:10" x14ac:dyDescent="0.25">
      <c r="A12582" t="s">
        <v>129</v>
      </c>
      <c r="B12582" s="1" t="str">
        <f>HYPERLINK("http://bluerivertechnology.com","bluerivertechnology.com")</f>
        <v>bluerivertechnology.com</v>
      </c>
      <c r="C12582" t="s">
        <v>433</v>
      </c>
      <c r="E12582">
        <v>822803</v>
      </c>
      <c r="F12582">
        <v>8.5881731487672898E-8</v>
      </c>
      <c r="G12582">
        <v>479324</v>
      </c>
      <c r="H12582">
        <v>14116439</v>
      </c>
      <c r="I12582">
        <v>2661803</v>
      </c>
      <c r="J12582">
        <v>3</v>
      </c>
    </row>
    <row r="12583" spans="1:10" x14ac:dyDescent="0.25">
      <c r="A12583" t="s">
        <v>129</v>
      </c>
      <c r="B12583" s="1" t="str">
        <f>HYPERLINK("http://budherbertmotors.com","budherbertmotors.com")</f>
        <v>budherbertmotors.com</v>
      </c>
      <c r="C12583" t="s">
        <v>433</v>
      </c>
      <c r="F12583">
        <v>5.6776414500866797E-9</v>
      </c>
      <c r="G12583">
        <v>19150417</v>
      </c>
      <c r="H12583">
        <v>12265322</v>
      </c>
      <c r="I12583">
        <v>21629428</v>
      </c>
      <c r="J12583">
        <v>3</v>
      </c>
    </row>
    <row r="12584" spans="1:10" x14ac:dyDescent="0.25">
      <c r="A12584" t="s">
        <v>129</v>
      </c>
      <c r="B12584" s="1" t="str">
        <f>HYPERLINK("http://deere.com","deere.com")</f>
        <v>deere.com</v>
      </c>
      <c r="C12584" t="s">
        <v>433</v>
      </c>
      <c r="E12584">
        <v>8952</v>
      </c>
      <c r="F12584">
        <v>2.8283693051745E-6</v>
      </c>
      <c r="G12584">
        <v>13611</v>
      </c>
      <c r="H12584">
        <v>17678976</v>
      </c>
      <c r="I12584">
        <v>7757</v>
      </c>
      <c r="J12584">
        <v>1</v>
      </c>
    </row>
    <row r="12585" spans="1:10" x14ac:dyDescent="0.25">
      <c r="A12585" t="s">
        <v>129</v>
      </c>
      <c r="B12585" s="1" t="str">
        <f>HYPERLINK("http://hutsoninc.com","hutsoninc.com")</f>
        <v>hutsoninc.com</v>
      </c>
      <c r="C12585" t="s">
        <v>433</v>
      </c>
      <c r="E12585">
        <v>751073</v>
      </c>
      <c r="F12585">
        <v>3.7866799700671302E-8</v>
      </c>
      <c r="G12585">
        <v>1366625</v>
      </c>
      <c r="H12585">
        <v>13978215</v>
      </c>
      <c r="I12585">
        <v>4056139</v>
      </c>
      <c r="J12585">
        <v>3</v>
      </c>
    </row>
    <row r="12586" spans="1:10" x14ac:dyDescent="0.25">
      <c r="A12586" t="s">
        <v>129</v>
      </c>
      <c r="B12586" s="1" t="str">
        <f>HYPERLINK("http://johndeere.com","johndeere.com")</f>
        <v>johndeere.com</v>
      </c>
      <c r="C12586" t="s">
        <v>433</v>
      </c>
      <c r="E12586">
        <v>73771</v>
      </c>
      <c r="F12586">
        <v>2.6741227997578999E-7</v>
      </c>
      <c r="G12586">
        <v>139336</v>
      </c>
      <c r="H12586">
        <v>17070934</v>
      </c>
      <c r="I12586">
        <v>70698</v>
      </c>
      <c r="J12586">
        <v>2</v>
      </c>
    </row>
    <row r="12587" spans="1:10" x14ac:dyDescent="0.25">
      <c r="A12587" t="s">
        <v>129</v>
      </c>
      <c r="B12587" s="1" t="str">
        <f>HYPERLINK("http://meadetractor.com","meadetractor.com")</f>
        <v>meadetractor.com</v>
      </c>
      <c r="C12587" t="s">
        <v>433</v>
      </c>
      <c r="F12587">
        <v>1.1288964948936499E-8</v>
      </c>
      <c r="G12587">
        <v>5650173</v>
      </c>
      <c r="H12587">
        <v>12437181</v>
      </c>
      <c r="I12587">
        <v>18182372</v>
      </c>
      <c r="J12587">
        <v>3</v>
      </c>
    </row>
    <row r="12588" spans="1:10" x14ac:dyDescent="0.25">
      <c r="A12588" t="s">
        <v>129</v>
      </c>
      <c r="B12588" s="1" t="str">
        <f>HYPERLINK("http://phillipsequipmentcorp.com","phillipsequipmentcorp.com")</f>
        <v>phillipsequipmentcorp.com</v>
      </c>
      <c r="C12588" t="s">
        <v>433</v>
      </c>
      <c r="F12588">
        <v>5.1187223086363399E-9</v>
      </c>
      <c r="G12588">
        <v>26683130</v>
      </c>
      <c r="H12588">
        <v>12232134</v>
      </c>
      <c r="I12588">
        <v>22444978</v>
      </c>
      <c r="J12588">
        <v>3</v>
      </c>
    </row>
    <row r="12589" spans="1:10" x14ac:dyDescent="0.25">
      <c r="A12589" t="s">
        <v>129</v>
      </c>
      <c r="B12589" s="1" t="str">
        <f>HYPERLINK("http://rosencrantztractor.com","rosencrantztractor.com")</f>
        <v>rosencrantztractor.com</v>
      </c>
      <c r="C12589" t="s">
        <v>433</v>
      </c>
      <c r="F12589">
        <v>4.44380395335525E-9</v>
      </c>
      <c r="G12589">
        <v>83238693</v>
      </c>
      <c r="H12589">
        <v>0</v>
      </c>
      <c r="I12589">
        <v>84019101</v>
      </c>
      <c r="J12589">
        <v>3</v>
      </c>
    </row>
    <row r="12590" spans="1:10" x14ac:dyDescent="0.25">
      <c r="A12590" t="s">
        <v>129</v>
      </c>
      <c r="B12590" s="1" t="str">
        <f>HYPERLINK("http://sunsouth.com","sunsouth.com")</f>
        <v>sunsouth.com</v>
      </c>
      <c r="C12590" t="s">
        <v>433</v>
      </c>
      <c r="F12590">
        <v>1.14887412164509E-8</v>
      </c>
      <c r="G12590">
        <v>5513212</v>
      </c>
      <c r="H12590">
        <v>12944100</v>
      </c>
      <c r="I12590">
        <v>13252014</v>
      </c>
      <c r="J12590">
        <v>3</v>
      </c>
    </row>
    <row r="12591" spans="1:10" x14ac:dyDescent="0.25">
      <c r="A12591" t="s">
        <v>129</v>
      </c>
      <c r="B12591" s="1" t="str">
        <f>HYPERLINK("http://timberjack.com","timberjack.com")</f>
        <v>timberjack.com</v>
      </c>
      <c r="C12591" t="s">
        <v>433</v>
      </c>
      <c r="F12591">
        <v>4.8657280402771997E-9</v>
      </c>
      <c r="G12591">
        <v>33568686</v>
      </c>
      <c r="H12591">
        <v>12365846</v>
      </c>
      <c r="I12591">
        <v>19483424</v>
      </c>
      <c r="J12591">
        <v>2</v>
      </c>
    </row>
    <row r="12592" spans="1:10" x14ac:dyDescent="0.25">
      <c r="A12592" t="s">
        <v>129</v>
      </c>
      <c r="B12592" s="1" t="str">
        <f>HYPERLINK("http://vatractor.com","vatractor.com")</f>
        <v>vatractor.com</v>
      </c>
      <c r="C12592" t="s">
        <v>433</v>
      </c>
      <c r="F12592">
        <v>1.4700079061031E-8</v>
      </c>
      <c r="G12592">
        <v>3941022</v>
      </c>
      <c r="H12592">
        <v>13240044</v>
      </c>
      <c r="I12592">
        <v>11221763</v>
      </c>
      <c r="J12592">
        <v>3</v>
      </c>
    </row>
    <row r="12593" spans="1:10" x14ac:dyDescent="0.25">
      <c r="A12593" t="s">
        <v>129</v>
      </c>
      <c r="B12593" s="1" t="str">
        <f>HYPERLINK("http://wirtgen-group.com","wirtgen-group.com")</f>
        <v>wirtgen-group.com</v>
      </c>
      <c r="C12593" t="s">
        <v>433</v>
      </c>
      <c r="E12593">
        <v>123642</v>
      </c>
      <c r="F12593">
        <v>3.2535387026219401E-7</v>
      </c>
      <c r="G12593">
        <v>114468</v>
      </c>
      <c r="H12593">
        <v>14451901</v>
      </c>
      <c r="I12593">
        <v>1052184</v>
      </c>
      <c r="J12593">
        <v>4</v>
      </c>
    </row>
    <row r="12594" spans="1:10" x14ac:dyDescent="0.25">
      <c r="A12594" t="s">
        <v>129</v>
      </c>
      <c r="B12594" s="1" t="str">
        <f>HYPERLINK("http://wirtgenindia.com","wirtgenindia.com")</f>
        <v>wirtgenindia.com</v>
      </c>
      <c r="C12594" t="s">
        <v>433</v>
      </c>
      <c r="F12594">
        <v>4.5436765390849096E-9</v>
      </c>
      <c r="G12594">
        <v>52869881</v>
      </c>
      <c r="H12594">
        <v>10510184</v>
      </c>
      <c r="I12594">
        <v>49641527</v>
      </c>
      <c r="J12594">
        <v>4</v>
      </c>
    </row>
    <row r="12595" spans="1:10" x14ac:dyDescent="0.25">
      <c r="A12595" t="s">
        <v>129</v>
      </c>
      <c r="B12595" s="1" t="str">
        <f>HYPERLINK("http://deere.cz","deere.cz")</f>
        <v>deere.cz</v>
      </c>
      <c r="C12595" t="s">
        <v>435</v>
      </c>
      <c r="D12595" t="s">
        <v>814</v>
      </c>
      <c r="F12595">
        <v>2.6395767068753501E-8</v>
      </c>
      <c r="G12595">
        <v>1950671</v>
      </c>
      <c r="H12595">
        <v>12369914</v>
      </c>
      <c r="I12595">
        <v>19414506</v>
      </c>
      <c r="J12595">
        <v>2</v>
      </c>
    </row>
    <row r="12596" spans="1:10" x14ac:dyDescent="0.25">
      <c r="A12596" t="s">
        <v>129</v>
      </c>
      <c r="B12596" s="1" t="str">
        <f>HYPERLINK("http://deere.de","deere.de")</f>
        <v>deere.de</v>
      </c>
      <c r="C12596" t="s">
        <v>436</v>
      </c>
      <c r="D12596" t="s">
        <v>815</v>
      </c>
      <c r="E12596">
        <v>427954</v>
      </c>
      <c r="F12596">
        <v>1.8754871763496799E-7</v>
      </c>
      <c r="G12596">
        <v>205497</v>
      </c>
      <c r="H12596">
        <v>14494297</v>
      </c>
      <c r="I12596">
        <v>882486</v>
      </c>
      <c r="J12596">
        <v>2</v>
      </c>
    </row>
    <row r="12597" spans="1:10" x14ac:dyDescent="0.25">
      <c r="A12597" t="s">
        <v>129</v>
      </c>
      <c r="B12597" s="1" t="str">
        <f>HYPERLINK("http://wirtgen.de","wirtgen.de")</f>
        <v>wirtgen.de</v>
      </c>
      <c r="C12597" t="s">
        <v>436</v>
      </c>
      <c r="D12597" t="s">
        <v>815</v>
      </c>
      <c r="F12597">
        <v>3.4537420242488303E-8</v>
      </c>
      <c r="G12597">
        <v>1502104</v>
      </c>
      <c r="H12597">
        <v>12790856</v>
      </c>
      <c r="I12597">
        <v>14684327</v>
      </c>
      <c r="J12597">
        <v>4</v>
      </c>
    </row>
    <row r="12598" spans="1:10" x14ac:dyDescent="0.25">
      <c r="A12598" t="s">
        <v>129</v>
      </c>
      <c r="B12598" s="1" t="str">
        <f>HYPERLINK("http://wirtgen-invest.de","wirtgen-invest.de")</f>
        <v>wirtgen-invest.de</v>
      </c>
      <c r="C12598" t="s">
        <v>436</v>
      </c>
      <c r="D12598" t="s">
        <v>815</v>
      </c>
      <c r="F12598">
        <v>1.3617842361185199E-8</v>
      </c>
      <c r="G12598">
        <v>4354535</v>
      </c>
      <c r="H12598">
        <v>13117041</v>
      </c>
      <c r="I12598">
        <v>12004885</v>
      </c>
      <c r="J12598">
        <v>3</v>
      </c>
    </row>
    <row r="12599" spans="1:10" x14ac:dyDescent="0.25">
      <c r="A12599" t="s">
        <v>129</v>
      </c>
      <c r="B12599" s="1" t="str">
        <f>HYPERLINK("http://deere.dk","deere.dk")</f>
        <v>deere.dk</v>
      </c>
      <c r="C12599" t="s">
        <v>437</v>
      </c>
      <c r="D12599" t="s">
        <v>816</v>
      </c>
      <c r="F12599">
        <v>3.1638186519078097E-8</v>
      </c>
      <c r="G12599">
        <v>1631434</v>
      </c>
      <c r="H12599">
        <v>12495574</v>
      </c>
      <c r="I12599">
        <v>17419121</v>
      </c>
      <c r="J12599">
        <v>2</v>
      </c>
    </row>
    <row r="12600" spans="1:10" x14ac:dyDescent="0.25">
      <c r="A12600" t="s">
        <v>129</v>
      </c>
      <c r="B12600" s="1" t="str">
        <f>HYPERLINK("http://deere.ee","deere.ee")</f>
        <v>deere.ee</v>
      </c>
      <c r="C12600" t="s">
        <v>441</v>
      </c>
      <c r="D12600" t="s">
        <v>820</v>
      </c>
      <c r="F12600">
        <v>2.3450682264987799E-8</v>
      </c>
      <c r="G12600">
        <v>2220107</v>
      </c>
      <c r="H12600">
        <v>12367409</v>
      </c>
      <c r="I12600">
        <v>19459014</v>
      </c>
      <c r="J12600">
        <v>2</v>
      </c>
    </row>
    <row r="12601" spans="1:10" x14ac:dyDescent="0.25">
      <c r="A12601" t="s">
        <v>129</v>
      </c>
      <c r="B12601" s="1" t="str">
        <f>HYPERLINK("http://deere.es","deere.es")</f>
        <v>deere.es</v>
      </c>
      <c r="C12601" t="s">
        <v>443</v>
      </c>
      <c r="D12601" t="s">
        <v>822</v>
      </c>
      <c r="F12601">
        <v>5.5385686674255401E-8</v>
      </c>
      <c r="G12601">
        <v>810637</v>
      </c>
      <c r="H12601">
        <v>14147972</v>
      </c>
      <c r="I12601">
        <v>1887624</v>
      </c>
      <c r="J12601">
        <v>2</v>
      </c>
    </row>
    <row r="12602" spans="1:10" x14ac:dyDescent="0.25">
      <c r="A12602" t="s">
        <v>129</v>
      </c>
      <c r="B12602" s="1" t="str">
        <f>HYPERLINK("http://deere.eu","deere.eu")</f>
        <v>deere.eu</v>
      </c>
      <c r="C12602" t="s">
        <v>444</v>
      </c>
      <c r="F12602">
        <v>2.2849090838137401E-8</v>
      </c>
      <c r="G12602">
        <v>2288295</v>
      </c>
      <c r="H12602">
        <v>12361484</v>
      </c>
      <c r="I12602">
        <v>19558819</v>
      </c>
      <c r="J12602">
        <v>2</v>
      </c>
    </row>
    <row r="12603" spans="1:10" x14ac:dyDescent="0.25">
      <c r="A12603" t="s">
        <v>129</v>
      </c>
      <c r="B12603" s="1" t="str">
        <f>HYPERLINK("http://deere.fi","deere.fi")</f>
        <v>deere.fi</v>
      </c>
      <c r="C12603" t="s">
        <v>445</v>
      </c>
      <c r="D12603" t="s">
        <v>823</v>
      </c>
      <c r="F12603">
        <v>5.3152689924089999E-8</v>
      </c>
      <c r="G12603">
        <v>856598</v>
      </c>
      <c r="H12603">
        <v>14073073</v>
      </c>
      <c r="I12603">
        <v>3019691</v>
      </c>
      <c r="J12603">
        <v>2</v>
      </c>
    </row>
    <row r="12604" spans="1:10" x14ac:dyDescent="0.25">
      <c r="A12604" t="s">
        <v>129</v>
      </c>
      <c r="B12604" s="1" t="str">
        <f>HYPERLINK("http://deereservice.fi","deereservice.fi")</f>
        <v>deereservice.fi</v>
      </c>
      <c r="C12604" t="s">
        <v>445</v>
      </c>
      <c r="D12604" t="s">
        <v>823</v>
      </c>
      <c r="J12604">
        <v>2</v>
      </c>
    </row>
    <row r="12605" spans="1:10" x14ac:dyDescent="0.25">
      <c r="A12605" t="s">
        <v>129</v>
      </c>
      <c r="B12605" s="1" t="str">
        <f>HYPERLINK("http://johndeere.fi","johndeere.fi")</f>
        <v>johndeere.fi</v>
      </c>
      <c r="C12605" t="s">
        <v>445</v>
      </c>
      <c r="D12605" t="s">
        <v>823</v>
      </c>
      <c r="F12605">
        <v>5.17364651957315E-9</v>
      </c>
      <c r="G12605">
        <v>25660574</v>
      </c>
      <c r="H12605">
        <v>10509280</v>
      </c>
      <c r="I12605">
        <v>49831803</v>
      </c>
      <c r="J12605">
        <v>2</v>
      </c>
    </row>
    <row r="12606" spans="1:10" x14ac:dyDescent="0.25">
      <c r="A12606" t="s">
        <v>129</v>
      </c>
      <c r="B12606" s="1" t="str">
        <f>HYPERLINK("http://johndeereshop.fi","johndeereshop.fi")</f>
        <v>johndeereshop.fi</v>
      </c>
      <c r="C12606" t="s">
        <v>445</v>
      </c>
      <c r="D12606" t="s">
        <v>823</v>
      </c>
      <c r="J12606">
        <v>2</v>
      </c>
    </row>
    <row r="12607" spans="1:10" x14ac:dyDescent="0.25">
      <c r="A12607" t="s">
        <v>129</v>
      </c>
      <c r="B12607" s="1" t="str">
        <f>HYPERLINK("http://machinefinder.fi","machinefinder.fi")</f>
        <v>machinefinder.fi</v>
      </c>
      <c r="C12607" t="s">
        <v>445</v>
      </c>
      <c r="D12607" t="s">
        <v>823</v>
      </c>
      <c r="F12607">
        <v>4.9110508379459599E-9</v>
      </c>
      <c r="G12607">
        <v>32147314</v>
      </c>
      <c r="H12607">
        <v>11187664</v>
      </c>
      <c r="I12607">
        <v>31371081</v>
      </c>
      <c r="J12607">
        <v>2</v>
      </c>
    </row>
    <row r="12608" spans="1:10" x14ac:dyDescent="0.25">
      <c r="A12608" t="s">
        <v>129</v>
      </c>
      <c r="B12608" s="1" t="str">
        <f>HYPERLINK("http://myjohndeere.fi","myjohndeere.fi")</f>
        <v>myjohndeere.fi</v>
      </c>
      <c r="C12608" t="s">
        <v>445</v>
      </c>
      <c r="D12608" t="s">
        <v>823</v>
      </c>
      <c r="J12608">
        <v>2</v>
      </c>
    </row>
    <row r="12609" spans="1:10" x14ac:dyDescent="0.25">
      <c r="A12609" t="s">
        <v>129</v>
      </c>
      <c r="B12609" s="1" t="str">
        <f>HYPERLINK("http://springtraining.fi","springtraining.fi")</f>
        <v>springtraining.fi</v>
      </c>
      <c r="C12609" t="s">
        <v>445</v>
      </c>
      <c r="D12609" t="s">
        <v>823</v>
      </c>
      <c r="J12609">
        <v>4</v>
      </c>
    </row>
    <row r="12610" spans="1:10" x14ac:dyDescent="0.25">
      <c r="A12610" t="s">
        <v>129</v>
      </c>
      <c r="B12610" s="1" t="str">
        <f>HYPERLINK("http://deere.fr","deere.fr")</f>
        <v>deere.fr</v>
      </c>
      <c r="C12610" t="s">
        <v>446</v>
      </c>
      <c r="D12610" t="s">
        <v>824</v>
      </c>
      <c r="F12610">
        <v>7.4526138078816706E-8</v>
      </c>
      <c r="G12610">
        <v>564582</v>
      </c>
      <c r="H12610">
        <v>14775970</v>
      </c>
      <c r="I12610">
        <v>555951</v>
      </c>
      <c r="J12610">
        <v>2</v>
      </c>
    </row>
    <row r="12611" spans="1:10" x14ac:dyDescent="0.25">
      <c r="A12611" t="s">
        <v>129</v>
      </c>
      <c r="B12611" s="1" t="str">
        <f>HYPERLINK("http://deere.ge","deere.ge")</f>
        <v>deere.ge</v>
      </c>
      <c r="C12611" t="s">
        <v>637</v>
      </c>
      <c r="D12611" t="s">
        <v>958</v>
      </c>
      <c r="F12611">
        <v>2.2625308202137999E-8</v>
      </c>
      <c r="G12611">
        <v>2314782</v>
      </c>
      <c r="H12611">
        <v>12361480</v>
      </c>
      <c r="I12611">
        <v>19558870</v>
      </c>
      <c r="J12611">
        <v>2</v>
      </c>
    </row>
    <row r="12612" spans="1:10" x14ac:dyDescent="0.25">
      <c r="A12612" t="s">
        <v>129</v>
      </c>
      <c r="B12612" s="1" t="str">
        <f>HYPERLINK("http://deere.gr","deere.gr")</f>
        <v>deere.gr</v>
      </c>
      <c r="C12612" t="s">
        <v>447</v>
      </c>
      <c r="D12612" t="s">
        <v>825</v>
      </c>
      <c r="F12612">
        <v>2.3246370914361701E-8</v>
      </c>
      <c r="G12612">
        <v>2244672</v>
      </c>
      <c r="H12612">
        <v>12412718</v>
      </c>
      <c r="I12612">
        <v>18567201</v>
      </c>
      <c r="J12612">
        <v>2</v>
      </c>
    </row>
    <row r="12613" spans="1:10" x14ac:dyDescent="0.25">
      <c r="A12613" t="s">
        <v>129</v>
      </c>
      <c r="B12613" s="1" t="str">
        <f>HYPERLINK("http://deere.hr","deere.hr")</f>
        <v>deere.hr</v>
      </c>
      <c r="C12613" t="s">
        <v>452</v>
      </c>
      <c r="D12613" t="s">
        <v>829</v>
      </c>
      <c r="F12613">
        <v>2.2766086745523501E-8</v>
      </c>
      <c r="G12613">
        <v>2299552</v>
      </c>
      <c r="H12613">
        <v>12361501</v>
      </c>
      <c r="I12613">
        <v>19558601</v>
      </c>
      <c r="J12613">
        <v>2</v>
      </c>
    </row>
    <row r="12614" spans="1:10" x14ac:dyDescent="0.25">
      <c r="A12614" t="s">
        <v>129</v>
      </c>
      <c r="B12614" s="1" t="str">
        <f>HYPERLINK("http://deere.hu","deere.hu")</f>
        <v>deere.hu</v>
      </c>
      <c r="C12614" t="s">
        <v>453</v>
      </c>
      <c r="D12614" t="s">
        <v>830</v>
      </c>
      <c r="F12614">
        <v>2.2694855670466199E-8</v>
      </c>
      <c r="G12614">
        <v>2307303</v>
      </c>
      <c r="H12614">
        <v>12361490</v>
      </c>
      <c r="I12614">
        <v>19558734</v>
      </c>
      <c r="J12614">
        <v>2</v>
      </c>
    </row>
    <row r="12615" spans="1:10" x14ac:dyDescent="0.25">
      <c r="A12615" t="s">
        <v>129</v>
      </c>
      <c r="B12615" s="1" t="str">
        <f>HYPERLINK("http://deere.co.in","deere.co.in")</f>
        <v>deere.co.in</v>
      </c>
      <c r="C12615" t="s">
        <v>457</v>
      </c>
      <c r="D12615" t="s">
        <v>834</v>
      </c>
      <c r="F12615">
        <v>8.2202471397134599E-8</v>
      </c>
      <c r="G12615">
        <v>507574</v>
      </c>
      <c r="H12615">
        <v>16828356</v>
      </c>
      <c r="I12615">
        <v>174724</v>
      </c>
      <c r="J12615">
        <v>2</v>
      </c>
    </row>
    <row r="12616" spans="1:10" x14ac:dyDescent="0.25">
      <c r="A12616" t="s">
        <v>129</v>
      </c>
      <c r="B12616" s="1" t="str">
        <f>HYPERLINK("http://kleemann.info","kleemann.info")</f>
        <v>kleemann.info</v>
      </c>
      <c r="C12616" t="s">
        <v>458</v>
      </c>
      <c r="F12616">
        <v>2.60577552730226E-8</v>
      </c>
      <c r="G12616">
        <v>1977054</v>
      </c>
      <c r="H12616">
        <v>12462546</v>
      </c>
      <c r="I12616">
        <v>17843068</v>
      </c>
      <c r="J12616">
        <v>4</v>
      </c>
    </row>
    <row r="12617" spans="1:10" x14ac:dyDescent="0.25">
      <c r="A12617" t="s">
        <v>129</v>
      </c>
      <c r="B12617" s="1" t="str">
        <f>HYPERLINK("http://deere.it","deere.it")</f>
        <v>deere.it</v>
      </c>
      <c r="C12617" t="s">
        <v>459</v>
      </c>
      <c r="D12617" t="s">
        <v>835</v>
      </c>
      <c r="F12617">
        <v>4.1969047338505397E-8</v>
      </c>
      <c r="G12617">
        <v>1168131</v>
      </c>
      <c r="H12617">
        <v>12705678</v>
      </c>
      <c r="I12617">
        <v>15324800</v>
      </c>
      <c r="J12617">
        <v>2</v>
      </c>
    </row>
    <row r="12618" spans="1:10" x14ac:dyDescent="0.25">
      <c r="A12618" t="s">
        <v>129</v>
      </c>
      <c r="B12618" s="1" t="str">
        <f>HYPERLINK("http://deere.lt","deere.lt")</f>
        <v>deere.lt</v>
      </c>
      <c r="C12618" t="s">
        <v>467</v>
      </c>
      <c r="D12618" t="s">
        <v>843</v>
      </c>
      <c r="F12618">
        <v>2.8391479371306798E-8</v>
      </c>
      <c r="G12618">
        <v>1812662</v>
      </c>
      <c r="H12618">
        <v>12363520</v>
      </c>
      <c r="I12618">
        <v>19523147</v>
      </c>
      <c r="J12618">
        <v>2</v>
      </c>
    </row>
    <row r="12619" spans="1:10" x14ac:dyDescent="0.25">
      <c r="A12619" t="s">
        <v>129</v>
      </c>
      <c r="B12619" s="1" t="str">
        <f>HYPERLINK("http://deere.lu","deere.lu")</f>
        <v>deere.lu</v>
      </c>
      <c r="C12619" t="s">
        <v>547</v>
      </c>
      <c r="D12619" t="s">
        <v>904</v>
      </c>
      <c r="F12619">
        <v>2.3346276616692099E-8</v>
      </c>
      <c r="G12619">
        <v>2234091</v>
      </c>
      <c r="H12619">
        <v>12542410</v>
      </c>
      <c r="I12619">
        <v>16909013</v>
      </c>
      <c r="J12619">
        <v>2</v>
      </c>
    </row>
    <row r="12620" spans="1:10" x14ac:dyDescent="0.25">
      <c r="A12620" t="s">
        <v>129</v>
      </c>
      <c r="B12620" s="1" t="str">
        <f>HYPERLINK("http://deere.lv","deere.lv")</f>
        <v>deere.lv</v>
      </c>
      <c r="C12620" t="s">
        <v>468</v>
      </c>
      <c r="D12620" t="s">
        <v>844</v>
      </c>
      <c r="F12620">
        <v>2.3263479638406699E-8</v>
      </c>
      <c r="G12620">
        <v>2242888</v>
      </c>
      <c r="H12620">
        <v>12361485</v>
      </c>
      <c r="I12620">
        <v>19558800</v>
      </c>
      <c r="J12620">
        <v>2</v>
      </c>
    </row>
    <row r="12621" spans="1:10" x14ac:dyDescent="0.25">
      <c r="A12621" t="s">
        <v>129</v>
      </c>
      <c r="B12621" s="1" t="str">
        <f>HYPERLINK("http://deere.com.mx","deere.com.mx")</f>
        <v>deere.com.mx</v>
      </c>
      <c r="C12621" t="s">
        <v>471</v>
      </c>
      <c r="D12621" t="s">
        <v>847</v>
      </c>
      <c r="F12621">
        <v>3.7655868474041897E-8</v>
      </c>
      <c r="G12621">
        <v>1374238</v>
      </c>
      <c r="H12621">
        <v>14044502</v>
      </c>
      <c r="I12621">
        <v>3903436</v>
      </c>
      <c r="J12621">
        <v>2</v>
      </c>
    </row>
    <row r="12622" spans="1:10" x14ac:dyDescent="0.25">
      <c r="A12622" t="s">
        <v>129</v>
      </c>
      <c r="B12622" s="1" t="str">
        <f>HYPERLINK("http://deere.nl","deere.nl")</f>
        <v>deere.nl</v>
      </c>
      <c r="C12622" t="s">
        <v>477</v>
      </c>
      <c r="D12622" t="s">
        <v>852</v>
      </c>
      <c r="F12622">
        <v>4.4836555119278399E-8</v>
      </c>
      <c r="G12622">
        <v>1054451</v>
      </c>
      <c r="H12622">
        <v>13946970</v>
      </c>
      <c r="I12622">
        <v>4212723</v>
      </c>
      <c r="J12622">
        <v>2</v>
      </c>
    </row>
    <row r="12623" spans="1:10" x14ac:dyDescent="0.25">
      <c r="A12623" t="s">
        <v>129</v>
      </c>
      <c r="B12623" s="1" t="str">
        <f>HYPERLINK("http://deere.no","deere.no")</f>
        <v>deere.no</v>
      </c>
      <c r="C12623" t="s">
        <v>478</v>
      </c>
      <c r="D12623" t="s">
        <v>853</v>
      </c>
      <c r="F12623">
        <v>2.4000102781840401E-8</v>
      </c>
      <c r="G12623">
        <v>2162950</v>
      </c>
      <c r="H12623">
        <v>12365019</v>
      </c>
      <c r="I12623">
        <v>19498060</v>
      </c>
      <c r="J12623">
        <v>2</v>
      </c>
    </row>
    <row r="12624" spans="1:10" x14ac:dyDescent="0.25">
      <c r="A12624" t="s">
        <v>129</v>
      </c>
      <c r="B12624" s="1" t="str">
        <f>HYPERLINK("http://wirtgen.no","wirtgen.no")</f>
        <v>wirtgen.no</v>
      </c>
      <c r="C12624" t="s">
        <v>478</v>
      </c>
      <c r="D12624" t="s">
        <v>853</v>
      </c>
      <c r="F12624">
        <v>4.4448546044167898E-9</v>
      </c>
      <c r="G12624">
        <v>75986676</v>
      </c>
      <c r="H12624">
        <v>10720850</v>
      </c>
      <c r="I12624">
        <v>41841100</v>
      </c>
      <c r="J12624">
        <v>4</v>
      </c>
    </row>
    <row r="12625" spans="1:10" x14ac:dyDescent="0.25">
      <c r="A12625" t="s">
        <v>129</v>
      </c>
      <c r="B12625" s="1" t="str">
        <f>HYPERLINK("http://deere.co.nz","deere.co.nz")</f>
        <v>deere.co.nz</v>
      </c>
      <c r="C12625" t="s">
        <v>479</v>
      </c>
      <c r="D12625" t="s">
        <v>854</v>
      </c>
      <c r="F12625">
        <v>2.6619888574351201E-8</v>
      </c>
      <c r="G12625">
        <v>1933786</v>
      </c>
      <c r="H12625">
        <v>13458155</v>
      </c>
      <c r="I12625">
        <v>10177582</v>
      </c>
      <c r="J12625">
        <v>2</v>
      </c>
    </row>
    <row r="12626" spans="1:10" x14ac:dyDescent="0.25">
      <c r="A12626" t="s">
        <v>129</v>
      </c>
      <c r="B12626" s="1" t="str">
        <f>HYPERLINK("http://deere.pl","deere.pl")</f>
        <v>deere.pl</v>
      </c>
      <c r="C12626" t="s">
        <v>486</v>
      </c>
      <c r="D12626" t="s">
        <v>860</v>
      </c>
      <c r="F12626">
        <v>3.8691573114655703E-8</v>
      </c>
      <c r="G12626">
        <v>1332499</v>
      </c>
      <c r="H12626">
        <v>14074388</v>
      </c>
      <c r="I12626">
        <v>2944980</v>
      </c>
      <c r="J12626">
        <v>2</v>
      </c>
    </row>
    <row r="12627" spans="1:10" x14ac:dyDescent="0.25">
      <c r="A12627" t="s">
        <v>129</v>
      </c>
      <c r="B12627" s="1" t="str">
        <f>HYPERLINK("http://deere.pt","deere.pt")</f>
        <v>deere.pt</v>
      </c>
      <c r="C12627" t="s">
        <v>488</v>
      </c>
      <c r="D12627" t="s">
        <v>862</v>
      </c>
      <c r="F12627">
        <v>2.80483768995981E-8</v>
      </c>
      <c r="G12627">
        <v>1834211</v>
      </c>
      <c r="H12627">
        <v>13773005</v>
      </c>
      <c r="I12627">
        <v>6642789</v>
      </c>
      <c r="J12627">
        <v>2</v>
      </c>
    </row>
    <row r="12628" spans="1:10" x14ac:dyDescent="0.25">
      <c r="A12628" t="s">
        <v>129</v>
      </c>
      <c r="B12628" s="1" t="str">
        <f>HYPERLINK("http://deere.ro","deere.ro")</f>
        <v>deere.ro</v>
      </c>
      <c r="C12628" t="s">
        <v>491</v>
      </c>
      <c r="D12628" t="s">
        <v>865</v>
      </c>
      <c r="F12628">
        <v>2.31305378740197E-8</v>
      </c>
      <c r="G12628">
        <v>2256655</v>
      </c>
      <c r="H12628">
        <v>12373520</v>
      </c>
      <c r="I12628">
        <v>19344769</v>
      </c>
      <c r="J12628">
        <v>2</v>
      </c>
    </row>
    <row r="12629" spans="1:10" x14ac:dyDescent="0.25">
      <c r="A12629" t="s">
        <v>129</v>
      </c>
      <c r="B12629" s="1" t="str">
        <f>HYPERLINK("http://deere.rs","deere.rs")</f>
        <v>deere.rs</v>
      </c>
      <c r="C12629" t="s">
        <v>492</v>
      </c>
      <c r="D12629" t="s">
        <v>866</v>
      </c>
      <c r="F12629">
        <v>2.5169929400706601E-8</v>
      </c>
      <c r="G12629">
        <v>2051591</v>
      </c>
      <c r="H12629">
        <v>12380261</v>
      </c>
      <c r="I12629">
        <v>19207260</v>
      </c>
      <c r="J12629">
        <v>2</v>
      </c>
    </row>
    <row r="12630" spans="1:10" x14ac:dyDescent="0.25">
      <c r="A12630" t="s">
        <v>129</v>
      </c>
      <c r="B12630" s="1" t="str">
        <f>HYPERLINK("http://deere.ru","deere.ru")</f>
        <v>deere.ru</v>
      </c>
      <c r="C12630" t="s">
        <v>493</v>
      </c>
      <c r="D12630" t="s">
        <v>867</v>
      </c>
      <c r="E12630">
        <v>597472</v>
      </c>
      <c r="F12630">
        <v>5.9016300772014998E-8</v>
      </c>
      <c r="G12630">
        <v>751411</v>
      </c>
      <c r="H12630">
        <v>14093149</v>
      </c>
      <c r="I12630">
        <v>2736682</v>
      </c>
      <c r="J12630">
        <v>2</v>
      </c>
    </row>
    <row r="12631" spans="1:10" x14ac:dyDescent="0.25">
      <c r="A12631" t="s">
        <v>129</v>
      </c>
      <c r="B12631" s="1" t="str">
        <f>HYPERLINK("http://deere.se","deere.se")</f>
        <v>deere.se</v>
      </c>
      <c r="C12631" t="s">
        <v>495</v>
      </c>
      <c r="D12631" t="s">
        <v>869</v>
      </c>
      <c r="F12631">
        <v>4.4549174490736499E-8</v>
      </c>
      <c r="G12631">
        <v>1063535</v>
      </c>
      <c r="H12631">
        <v>14081306</v>
      </c>
      <c r="I12631">
        <v>2811369</v>
      </c>
      <c r="J12631">
        <v>2</v>
      </c>
    </row>
    <row r="12632" spans="1:10" x14ac:dyDescent="0.25">
      <c r="A12632" t="s">
        <v>129</v>
      </c>
      <c r="B12632" s="1" t="str">
        <f>HYPERLINK("http://deere.si","deere.si")</f>
        <v>deere.si</v>
      </c>
      <c r="C12632" t="s">
        <v>497</v>
      </c>
      <c r="D12632" t="s">
        <v>871</v>
      </c>
      <c r="F12632">
        <v>2.37254550022929E-8</v>
      </c>
      <c r="G12632">
        <v>2190856</v>
      </c>
      <c r="H12632">
        <v>12380246</v>
      </c>
      <c r="I12632">
        <v>19207826</v>
      </c>
      <c r="J12632">
        <v>2</v>
      </c>
    </row>
    <row r="12633" spans="1:10" x14ac:dyDescent="0.25">
      <c r="A12633" t="s">
        <v>129</v>
      </c>
      <c r="B12633" s="1" t="str">
        <f>HYPERLINK("http://deere.sk","deere.sk")</f>
        <v>deere.sk</v>
      </c>
      <c r="C12633" t="s">
        <v>498</v>
      </c>
      <c r="D12633" t="s">
        <v>872</v>
      </c>
      <c r="F12633">
        <v>2.2848567289170599E-8</v>
      </c>
      <c r="G12633">
        <v>2288345</v>
      </c>
      <c r="H12633">
        <v>12361492</v>
      </c>
      <c r="I12633">
        <v>19558712</v>
      </c>
      <c r="J12633">
        <v>2</v>
      </c>
    </row>
    <row r="12634" spans="1:10" x14ac:dyDescent="0.25">
      <c r="A12634" t="s">
        <v>129</v>
      </c>
      <c r="B12634" s="1" t="str">
        <f>HYPERLINK("http://deere.co.th","deere.co.th")</f>
        <v>deere.co.th</v>
      </c>
      <c r="C12634" t="s">
        <v>500</v>
      </c>
      <c r="D12634" t="s">
        <v>874</v>
      </c>
      <c r="F12634">
        <v>2.3236987883402002E-8</v>
      </c>
      <c r="G12634">
        <v>2245690</v>
      </c>
      <c r="H12634">
        <v>12362360</v>
      </c>
      <c r="I12634">
        <v>19541963</v>
      </c>
      <c r="J12634">
        <v>2</v>
      </c>
    </row>
    <row r="12635" spans="1:10" x14ac:dyDescent="0.25">
      <c r="A12635" t="s">
        <v>129</v>
      </c>
      <c r="B12635" s="1" t="str">
        <f>HYPERLINK("http://deere.com.tr","deere.com.tr")</f>
        <v>deere.com.tr</v>
      </c>
      <c r="C12635" t="s">
        <v>502</v>
      </c>
      <c r="D12635" t="s">
        <v>876</v>
      </c>
      <c r="F12635">
        <v>2.3523909764152001E-8</v>
      </c>
      <c r="G12635">
        <v>2212060</v>
      </c>
      <c r="H12635">
        <v>14073425</v>
      </c>
      <c r="I12635">
        <v>2995688</v>
      </c>
      <c r="J12635">
        <v>2</v>
      </c>
    </row>
    <row r="12636" spans="1:10" x14ac:dyDescent="0.25">
      <c r="A12636" t="s">
        <v>129</v>
      </c>
      <c r="B12636" s="1" t="str">
        <f>HYPERLINK("http://deere.ua","deere.ua")</f>
        <v>deere.ua</v>
      </c>
      <c r="C12636" t="s">
        <v>505</v>
      </c>
      <c r="D12636" t="s">
        <v>879</v>
      </c>
      <c r="F12636">
        <v>2.62503682685653E-8</v>
      </c>
      <c r="G12636">
        <v>1961796</v>
      </c>
      <c r="H12636">
        <v>12477316</v>
      </c>
      <c r="I12636">
        <v>17623305</v>
      </c>
      <c r="J12636">
        <v>2</v>
      </c>
    </row>
    <row r="12637" spans="1:10" x14ac:dyDescent="0.25">
      <c r="A12637" t="s">
        <v>129</v>
      </c>
      <c r="B12637" s="1" t="str">
        <f>HYPERLINK("http://deere.co.uk","deere.co.uk")</f>
        <v>deere.co.uk</v>
      </c>
      <c r="C12637" t="s">
        <v>506</v>
      </c>
      <c r="D12637" t="s">
        <v>880</v>
      </c>
      <c r="E12637">
        <v>450074</v>
      </c>
      <c r="F12637">
        <v>9.8505010950269195E-8</v>
      </c>
      <c r="G12637">
        <v>409389</v>
      </c>
      <c r="H12637">
        <v>13987147</v>
      </c>
      <c r="I12637">
        <v>4037644</v>
      </c>
      <c r="J12637">
        <v>2</v>
      </c>
    </row>
    <row r="12638" spans="1:10" x14ac:dyDescent="0.25">
      <c r="A12638" t="s">
        <v>129</v>
      </c>
      <c r="B12638" s="1" t="str">
        <f>HYPERLINK("http://wirtgen.co.uk","wirtgen.co.uk")</f>
        <v>wirtgen.co.uk</v>
      </c>
      <c r="C12638" t="s">
        <v>506</v>
      </c>
      <c r="D12638" t="s">
        <v>880</v>
      </c>
      <c r="F12638">
        <v>4.8408157933107502E-9</v>
      </c>
      <c r="G12638">
        <v>34451219</v>
      </c>
      <c r="H12638">
        <v>12104359</v>
      </c>
      <c r="I12638">
        <v>25864149</v>
      </c>
      <c r="J12638">
        <v>9</v>
      </c>
    </row>
    <row r="12639" spans="1:10" x14ac:dyDescent="0.25">
      <c r="A12639" t="s">
        <v>129</v>
      </c>
      <c r="B12639" s="1" t="str">
        <f>HYPERLINK("http://deere.co.za","deere.co.za")</f>
        <v>deere.co.za</v>
      </c>
      <c r="C12639" t="s">
        <v>510</v>
      </c>
      <c r="D12639" t="s">
        <v>884</v>
      </c>
      <c r="F12639">
        <v>5.0137456496349903E-9</v>
      </c>
      <c r="G12639">
        <v>29048451</v>
      </c>
      <c r="H12639">
        <v>13764967</v>
      </c>
      <c r="I12639">
        <v>7164776</v>
      </c>
      <c r="J12639">
        <v>2</v>
      </c>
    </row>
    <row r="12640" spans="1:10" x14ac:dyDescent="0.25">
      <c r="A12640" t="s">
        <v>130</v>
      </c>
      <c r="B12640" s="1" t="str">
        <f>HYPERLINK("http://denso.com.br","denso.com.br")</f>
        <v>denso.com.br</v>
      </c>
      <c r="C12640" t="s">
        <v>425</v>
      </c>
      <c r="D12640" t="s">
        <v>806</v>
      </c>
      <c r="F12640">
        <v>5.8363092585483701E-9</v>
      </c>
      <c r="G12640">
        <v>17811871</v>
      </c>
      <c r="H12640">
        <v>14071795</v>
      </c>
      <c r="I12640">
        <v>3335346</v>
      </c>
      <c r="J12640">
        <v>3</v>
      </c>
    </row>
    <row r="12641" spans="1:10" x14ac:dyDescent="0.25">
      <c r="A12641" t="s">
        <v>130</v>
      </c>
      <c r="B12641" s="1" t="str">
        <f>HYPERLINK("http://denso.com.cn","denso.com.cn")</f>
        <v>denso.com.cn</v>
      </c>
      <c r="C12641" t="s">
        <v>431</v>
      </c>
      <c r="D12641" t="s">
        <v>812</v>
      </c>
      <c r="F12641">
        <v>7.6732108253477306E-8</v>
      </c>
      <c r="G12641">
        <v>546124</v>
      </c>
      <c r="H12641">
        <v>11589060</v>
      </c>
      <c r="I12641">
        <v>29936906</v>
      </c>
      <c r="J12641">
        <v>3</v>
      </c>
    </row>
    <row r="12642" spans="1:10" x14ac:dyDescent="0.25">
      <c r="A12642" t="s">
        <v>130</v>
      </c>
      <c r="B12642" s="1" t="str">
        <f>HYPERLINK("http://avostest.com","avostest.com")</f>
        <v>avostest.com</v>
      </c>
      <c r="C12642" t="s">
        <v>433</v>
      </c>
      <c r="J12642">
        <v>2</v>
      </c>
    </row>
    <row r="12643" spans="1:10" x14ac:dyDescent="0.25">
      <c r="A12643" t="s">
        <v>130</v>
      </c>
      <c r="B12643" s="1" t="str">
        <f>HYPERLINK("http://denso.com","denso.com")</f>
        <v>denso.com</v>
      </c>
      <c r="C12643" t="s">
        <v>433</v>
      </c>
      <c r="E12643">
        <v>45935</v>
      </c>
      <c r="F12643">
        <v>9.0173130206854405E-7</v>
      </c>
      <c r="G12643">
        <v>44127</v>
      </c>
      <c r="H12643">
        <v>15464684</v>
      </c>
      <c r="I12643">
        <v>377758</v>
      </c>
      <c r="J12643">
        <v>1</v>
      </c>
    </row>
    <row r="12644" spans="1:10" x14ac:dyDescent="0.25">
      <c r="A12644" t="s">
        <v>130</v>
      </c>
      <c r="B12644" s="1" t="str">
        <f>HYPERLINK("http://denso-am.com","denso-am.com")</f>
        <v>denso-am.com</v>
      </c>
      <c r="C12644" t="s">
        <v>433</v>
      </c>
      <c r="F12644">
        <v>5.3433227941842897E-9</v>
      </c>
      <c r="G12644">
        <v>22889829</v>
      </c>
      <c r="H12644">
        <v>12843397</v>
      </c>
      <c r="I12644">
        <v>14328170</v>
      </c>
      <c r="J12644">
        <v>5</v>
      </c>
    </row>
    <row r="12645" spans="1:10" x14ac:dyDescent="0.25">
      <c r="A12645" t="s">
        <v>130</v>
      </c>
      <c r="B12645" s="1" t="str">
        <f>HYPERLINK("http://denso-diam.com","denso-diam.com")</f>
        <v>denso-diam.com</v>
      </c>
      <c r="C12645" t="s">
        <v>433</v>
      </c>
      <c r="E12645">
        <v>775517</v>
      </c>
      <c r="F12645">
        <v>4.6568040282519596E-9</v>
      </c>
      <c r="G12645">
        <v>43699534</v>
      </c>
      <c r="H12645">
        <v>10354942</v>
      </c>
      <c r="I12645">
        <v>55789183</v>
      </c>
      <c r="J12645">
        <v>4</v>
      </c>
    </row>
    <row r="12646" spans="1:10" x14ac:dyDescent="0.25">
      <c r="A12646" t="s">
        <v>130</v>
      </c>
      <c r="B12646" s="1" t="str">
        <f>HYPERLINK("http://denso-europe.com","denso-europe.com")</f>
        <v>denso-europe.com</v>
      </c>
      <c r="C12646" t="s">
        <v>433</v>
      </c>
      <c r="F12646">
        <v>3.9737042734547998E-8</v>
      </c>
      <c r="G12646">
        <v>1299971</v>
      </c>
      <c r="H12646">
        <v>14454724</v>
      </c>
      <c r="I12646">
        <v>1050299</v>
      </c>
      <c r="J12646">
        <v>3</v>
      </c>
    </row>
    <row r="12647" spans="1:10" x14ac:dyDescent="0.25">
      <c r="A12647" t="s">
        <v>130</v>
      </c>
      <c r="B12647" s="1" t="str">
        <f>HYPERLINK("http://denso-solution.com","denso-solution.com")</f>
        <v>denso-solution.com</v>
      </c>
      <c r="C12647" t="s">
        <v>433</v>
      </c>
      <c r="F12647">
        <v>2.53702334293234E-8</v>
      </c>
      <c r="G12647">
        <v>2033671</v>
      </c>
      <c r="H12647">
        <v>12915706</v>
      </c>
      <c r="I12647">
        <v>13516390</v>
      </c>
      <c r="J12647">
        <v>3</v>
      </c>
    </row>
    <row r="12648" spans="1:10" x14ac:dyDescent="0.25">
      <c r="A12648" t="s">
        <v>130</v>
      </c>
      <c r="B12648" s="1" t="str">
        <f>HYPERLINK("http://denso-ten.com","denso-ten.com")</f>
        <v>denso-ten.com</v>
      </c>
      <c r="C12648" t="s">
        <v>433</v>
      </c>
      <c r="E12648">
        <v>332067</v>
      </c>
      <c r="F12648">
        <v>1.08645180171091E-7</v>
      </c>
      <c r="G12648">
        <v>368281</v>
      </c>
      <c r="H12648">
        <v>14558478</v>
      </c>
      <c r="I12648">
        <v>748532</v>
      </c>
      <c r="J12648">
        <v>3</v>
      </c>
    </row>
    <row r="12649" spans="1:10" x14ac:dyDescent="0.25">
      <c r="A12649" t="s">
        <v>130</v>
      </c>
      <c r="B12649" s="1" t="str">
        <f>HYPERLINK("http://denso-wave.com","denso-wave.com")</f>
        <v>denso-wave.com</v>
      </c>
      <c r="C12649" t="s">
        <v>433</v>
      </c>
      <c r="E12649">
        <v>164720</v>
      </c>
      <c r="F12649">
        <v>6.9844310431916205E-7</v>
      </c>
      <c r="G12649">
        <v>55340</v>
      </c>
      <c r="H12649">
        <v>17467112</v>
      </c>
      <c r="I12649">
        <v>15226</v>
      </c>
      <c r="J12649">
        <v>3</v>
      </c>
    </row>
    <row r="12650" spans="1:10" x14ac:dyDescent="0.25">
      <c r="A12650" t="s">
        <v>130</v>
      </c>
      <c r="B12650" s="1" t="str">
        <f>HYPERLINK("http://denso-wipersys.com","denso-wipersys.com")</f>
        <v>denso-wipersys.com</v>
      </c>
      <c r="C12650" t="s">
        <v>433</v>
      </c>
      <c r="F12650">
        <v>7.4902379483343099E-9</v>
      </c>
      <c r="G12650">
        <v>11034752</v>
      </c>
      <c r="H12650">
        <v>12626433</v>
      </c>
      <c r="I12650">
        <v>16020539</v>
      </c>
      <c r="J12650">
        <v>3</v>
      </c>
    </row>
    <row r="12651" spans="1:10" x14ac:dyDescent="0.25">
      <c r="A12651" t="s">
        <v>130</v>
      </c>
      <c r="B12651" s="1" t="str">
        <f>HYPERLINK("http://densocareers.com","densocareers.com")</f>
        <v>densocareers.com</v>
      </c>
      <c r="C12651" t="s">
        <v>433</v>
      </c>
      <c r="F12651">
        <v>3.8529118485299002E-8</v>
      </c>
      <c r="G12651">
        <v>1338573</v>
      </c>
      <c r="H12651">
        <v>13626836</v>
      </c>
      <c r="I12651">
        <v>9620604</v>
      </c>
      <c r="J12651">
        <v>5</v>
      </c>
    </row>
    <row r="12652" spans="1:10" x14ac:dyDescent="0.25">
      <c r="A12652" t="s">
        <v>130</v>
      </c>
      <c r="B12652" s="1" t="str">
        <f>HYPERLINK("http://densocorp-na.com","densocorp-na.com")</f>
        <v>densocorp-na.com</v>
      </c>
      <c r="C12652" t="s">
        <v>433</v>
      </c>
      <c r="F12652">
        <v>3.69451701109311E-8</v>
      </c>
      <c r="G12652">
        <v>1406439</v>
      </c>
      <c r="H12652">
        <v>14610244</v>
      </c>
      <c r="I12652">
        <v>677493</v>
      </c>
      <c r="J12652">
        <v>3</v>
      </c>
    </row>
    <row r="12653" spans="1:10" x14ac:dyDescent="0.25">
      <c r="A12653" t="s">
        <v>130</v>
      </c>
      <c r="B12653" s="1" t="str">
        <f>HYPERLINK("http://densocorp-na-dsca.com","densocorp-na-dsca.com")</f>
        <v>densocorp-na-dsca.com</v>
      </c>
      <c r="C12653" t="s">
        <v>433</v>
      </c>
      <c r="F12653">
        <v>4.9382877021671297E-9</v>
      </c>
      <c r="G12653">
        <v>31140156</v>
      </c>
      <c r="H12653">
        <v>12129352</v>
      </c>
      <c r="I12653">
        <v>25157381</v>
      </c>
      <c r="J12653">
        <v>3</v>
      </c>
    </row>
    <row r="12654" spans="1:10" x14ac:dyDescent="0.25">
      <c r="A12654" t="s">
        <v>130</v>
      </c>
      <c r="B12654" s="1" t="str">
        <f>HYPERLINK("http://densopts.com","densopts.com")</f>
        <v>densopts.com</v>
      </c>
      <c r="C12654" t="s">
        <v>433</v>
      </c>
      <c r="J12654">
        <v>4</v>
      </c>
    </row>
    <row r="12655" spans="1:10" x14ac:dyDescent="0.25">
      <c r="A12655" t="s">
        <v>130</v>
      </c>
      <c r="B12655" s="1" t="str">
        <f>HYPERLINK("http://densoservice.com","densoservice.com")</f>
        <v>densoservice.com</v>
      </c>
      <c r="C12655" t="s">
        <v>433</v>
      </c>
      <c r="J12655">
        <v>3</v>
      </c>
    </row>
    <row r="12656" spans="1:10" x14ac:dyDescent="0.25">
      <c r="A12656" t="s">
        <v>130</v>
      </c>
      <c r="B12656" s="1" t="str">
        <f>HYPERLINK("http://globaldenso.com","globaldenso.com")</f>
        <v>globaldenso.com</v>
      </c>
      <c r="C12656" t="s">
        <v>433</v>
      </c>
      <c r="E12656">
        <v>261897</v>
      </c>
      <c r="F12656">
        <v>1.2170958343503601E-7</v>
      </c>
      <c r="G12656">
        <v>324451</v>
      </c>
      <c r="H12656">
        <v>14894570</v>
      </c>
      <c r="I12656">
        <v>465238</v>
      </c>
      <c r="J12656">
        <v>2</v>
      </c>
    </row>
    <row r="12657" spans="1:10" x14ac:dyDescent="0.25">
      <c r="A12657" t="s">
        <v>130</v>
      </c>
      <c r="B12657" s="1" t="str">
        <f>HYPERLINK("http://denso.cz","denso.cz")</f>
        <v>denso.cz</v>
      </c>
      <c r="C12657" t="s">
        <v>435</v>
      </c>
      <c r="D12657" t="s">
        <v>814</v>
      </c>
      <c r="F12657">
        <v>1.71560628234827E-8</v>
      </c>
      <c r="G12657">
        <v>3248469</v>
      </c>
      <c r="H12657">
        <v>13304419</v>
      </c>
      <c r="I12657">
        <v>10808655</v>
      </c>
      <c r="J12657">
        <v>2</v>
      </c>
    </row>
    <row r="12658" spans="1:10" x14ac:dyDescent="0.25">
      <c r="A12658" t="s">
        <v>130</v>
      </c>
      <c r="B12658" s="1" t="str">
        <f>HYPERLINK("http://denso-am.de","denso-am.de")</f>
        <v>denso-am.de</v>
      </c>
      <c r="C12658" t="s">
        <v>436</v>
      </c>
      <c r="D12658" t="s">
        <v>815</v>
      </c>
      <c r="F12658">
        <v>1.8257057672751499E-8</v>
      </c>
      <c r="G12658">
        <v>2975814</v>
      </c>
      <c r="H12658">
        <v>14074135</v>
      </c>
      <c r="I12658">
        <v>2955251</v>
      </c>
      <c r="J12658">
        <v>5</v>
      </c>
    </row>
    <row r="12659" spans="1:10" x14ac:dyDescent="0.25">
      <c r="A12659" t="s">
        <v>130</v>
      </c>
      <c r="B12659" s="1" t="str">
        <f>HYPERLINK("http://denso-am.es","denso-am.es")</f>
        <v>denso-am.es</v>
      </c>
      <c r="C12659" t="s">
        <v>443</v>
      </c>
      <c r="D12659" t="s">
        <v>822</v>
      </c>
      <c r="F12659">
        <v>8.3337783059191597E-9</v>
      </c>
      <c r="G12659">
        <v>9181032</v>
      </c>
      <c r="H12659">
        <v>11538983</v>
      </c>
      <c r="I12659">
        <v>29979848</v>
      </c>
      <c r="J12659">
        <v>5</v>
      </c>
    </row>
    <row r="12660" spans="1:10" x14ac:dyDescent="0.25">
      <c r="A12660" t="s">
        <v>130</v>
      </c>
      <c r="B12660" s="1" t="str">
        <f>HYPERLINK("http://denso-am.eu","denso-am.eu")</f>
        <v>denso-am.eu</v>
      </c>
      <c r="C12660" t="s">
        <v>444</v>
      </c>
      <c r="E12660">
        <v>210150</v>
      </c>
      <c r="F12660">
        <v>2.0251618090714E-7</v>
      </c>
      <c r="G12660">
        <v>187809</v>
      </c>
      <c r="H12660">
        <v>14704928</v>
      </c>
      <c r="I12660">
        <v>587989</v>
      </c>
      <c r="J12660">
        <v>4</v>
      </c>
    </row>
    <row r="12661" spans="1:10" x14ac:dyDescent="0.25">
      <c r="A12661" t="s">
        <v>130</v>
      </c>
      <c r="B12661" s="1" t="str">
        <f>HYPERLINK("http://denso-wave.eu","denso-wave.eu")</f>
        <v>denso-wave.eu</v>
      </c>
      <c r="C12661" t="s">
        <v>444</v>
      </c>
      <c r="F12661">
        <v>3.5190924248740003E-8</v>
      </c>
      <c r="G12661">
        <v>1477323</v>
      </c>
      <c r="H12661">
        <v>13092293</v>
      </c>
      <c r="I12661">
        <v>12138428</v>
      </c>
      <c r="J12661">
        <v>4</v>
      </c>
    </row>
    <row r="12662" spans="1:10" x14ac:dyDescent="0.25">
      <c r="A12662" t="s">
        <v>130</v>
      </c>
      <c r="B12662" s="1" t="str">
        <f>HYPERLINK("http://denso.fi","denso.fi")</f>
        <v>denso.fi</v>
      </c>
      <c r="C12662" t="s">
        <v>445</v>
      </c>
      <c r="D12662" t="s">
        <v>823</v>
      </c>
      <c r="J12662">
        <v>2</v>
      </c>
    </row>
    <row r="12663" spans="1:10" x14ac:dyDescent="0.25">
      <c r="A12663" t="s">
        <v>130</v>
      </c>
      <c r="B12663" s="1" t="str">
        <f>HYPERLINK("http://densoevidens.fi","densoevidens.fi")</f>
        <v>densoevidens.fi</v>
      </c>
      <c r="C12663" t="s">
        <v>445</v>
      </c>
      <c r="D12663" t="s">
        <v>823</v>
      </c>
      <c r="J12663">
        <v>4</v>
      </c>
    </row>
    <row r="12664" spans="1:10" x14ac:dyDescent="0.25">
      <c r="A12664" t="s">
        <v>130</v>
      </c>
      <c r="B12664" s="1" t="str">
        <f>HYPERLINK("http://denso-am.fr","denso-am.fr")</f>
        <v>denso-am.fr</v>
      </c>
      <c r="C12664" t="s">
        <v>446</v>
      </c>
      <c r="D12664" t="s">
        <v>824</v>
      </c>
      <c r="F12664">
        <v>8.6304365345437294E-9</v>
      </c>
      <c r="G12664">
        <v>8601583</v>
      </c>
      <c r="H12664">
        <v>11235341</v>
      </c>
      <c r="I12664">
        <v>30993641</v>
      </c>
      <c r="J12664">
        <v>5</v>
      </c>
    </row>
    <row r="12665" spans="1:10" x14ac:dyDescent="0.25">
      <c r="A12665" t="s">
        <v>130</v>
      </c>
      <c r="B12665" s="1" t="str">
        <f>HYPERLINK("http://denso.co.id","denso.co.id")</f>
        <v>denso.co.id</v>
      </c>
      <c r="C12665" t="s">
        <v>454</v>
      </c>
      <c r="D12665" t="s">
        <v>831</v>
      </c>
      <c r="F12665">
        <v>9.5824504048685905E-9</v>
      </c>
      <c r="G12665">
        <v>7225074</v>
      </c>
      <c r="H12665">
        <v>13933670</v>
      </c>
      <c r="I12665">
        <v>4688883</v>
      </c>
      <c r="J12665">
        <v>2</v>
      </c>
    </row>
    <row r="12666" spans="1:10" x14ac:dyDescent="0.25">
      <c r="A12666" t="s">
        <v>130</v>
      </c>
      <c r="B12666" s="1" t="str">
        <f>HYPERLINK("http://denso-am.it","denso-am.it")</f>
        <v>denso-am.it</v>
      </c>
      <c r="C12666" t="s">
        <v>459</v>
      </c>
      <c r="D12666" t="s">
        <v>835</v>
      </c>
      <c r="F12666">
        <v>9.0304806037989608E-9</v>
      </c>
      <c r="G12666">
        <v>7946831</v>
      </c>
      <c r="H12666">
        <v>11222970</v>
      </c>
      <c r="I12666">
        <v>31071098</v>
      </c>
      <c r="J12666">
        <v>5</v>
      </c>
    </row>
    <row r="12667" spans="1:10" x14ac:dyDescent="0.25">
      <c r="A12667" t="s">
        <v>130</v>
      </c>
      <c r="B12667" s="1" t="str">
        <f>HYPERLINK("http://anden.jp","anden.jp")</f>
        <v>anden.jp</v>
      </c>
      <c r="C12667" t="s">
        <v>461</v>
      </c>
      <c r="D12667" t="s">
        <v>837</v>
      </c>
      <c r="F12667">
        <v>4.6287002894927102E-9</v>
      </c>
      <c r="G12667">
        <v>45527105</v>
      </c>
      <c r="H12667">
        <v>10381251</v>
      </c>
      <c r="I12667">
        <v>54559667</v>
      </c>
      <c r="J12667">
        <v>3</v>
      </c>
    </row>
    <row r="12668" spans="1:10" x14ac:dyDescent="0.25">
      <c r="A12668" t="s">
        <v>130</v>
      </c>
      <c r="B12668" s="1" t="str">
        <f>HYPERLINK("http://daishinseiki.co.jp","daishinseiki.co.jp")</f>
        <v>daishinseiki.co.jp</v>
      </c>
      <c r="C12668" t="s">
        <v>461</v>
      </c>
      <c r="D12668" t="s">
        <v>837</v>
      </c>
      <c r="F12668">
        <v>4.4453185605012201E-9</v>
      </c>
      <c r="G12668">
        <v>75398730</v>
      </c>
      <c r="H12668">
        <v>10380980</v>
      </c>
      <c r="I12668">
        <v>54569549</v>
      </c>
      <c r="J12668">
        <v>3</v>
      </c>
    </row>
    <row r="12669" spans="1:10" x14ac:dyDescent="0.25">
      <c r="A12669" t="s">
        <v>130</v>
      </c>
      <c r="B12669" s="1" t="str">
        <f>HYPERLINK("http://denso.co.jp","denso.co.jp")</f>
        <v>denso.co.jp</v>
      </c>
      <c r="C12669" t="s">
        <v>461</v>
      </c>
      <c r="D12669" t="s">
        <v>837</v>
      </c>
      <c r="E12669">
        <v>49577</v>
      </c>
      <c r="F12669">
        <v>1.16898001189064E-7</v>
      </c>
      <c r="G12669">
        <v>340069</v>
      </c>
      <c r="H12669">
        <v>14747036</v>
      </c>
      <c r="I12669">
        <v>564842</v>
      </c>
      <c r="J12669">
        <v>2</v>
      </c>
    </row>
    <row r="12670" spans="1:10" x14ac:dyDescent="0.25">
      <c r="A12670" t="s">
        <v>130</v>
      </c>
      <c r="B12670" s="1" t="str">
        <f>HYPERLINK("http://denso-electronics.co.jp","denso-electronics.co.jp")</f>
        <v>denso-electronics.co.jp</v>
      </c>
      <c r="C12670" t="s">
        <v>461</v>
      </c>
      <c r="D12670" t="s">
        <v>837</v>
      </c>
      <c r="F12670">
        <v>4.4453185605012201E-9</v>
      </c>
      <c r="G12670">
        <v>75398738</v>
      </c>
      <c r="H12670">
        <v>10380980</v>
      </c>
      <c r="I12670">
        <v>54569557</v>
      </c>
      <c r="J12670">
        <v>3</v>
      </c>
    </row>
    <row r="12671" spans="1:10" x14ac:dyDescent="0.25">
      <c r="A12671" t="s">
        <v>130</v>
      </c>
      <c r="B12671" s="1" t="str">
        <f>HYPERLINK("http://denso-iwate.co.jp","denso-iwate.co.jp")</f>
        <v>denso-iwate.co.jp</v>
      </c>
      <c r="C12671" t="s">
        <v>461</v>
      </c>
      <c r="D12671" t="s">
        <v>837</v>
      </c>
      <c r="F12671">
        <v>7.1429889957494601E-9</v>
      </c>
      <c r="G12671">
        <v>11895700</v>
      </c>
      <c r="H12671">
        <v>11298011</v>
      </c>
      <c r="I12671">
        <v>30618727</v>
      </c>
      <c r="J12671">
        <v>3</v>
      </c>
    </row>
    <row r="12672" spans="1:10" x14ac:dyDescent="0.25">
      <c r="A12672" t="s">
        <v>130</v>
      </c>
      <c r="B12672" s="1" t="str">
        <f>HYPERLINK("http://densotechno.co.jp","densotechno.co.jp")</f>
        <v>densotechno.co.jp</v>
      </c>
      <c r="C12672" t="s">
        <v>461</v>
      </c>
      <c r="D12672" t="s">
        <v>837</v>
      </c>
      <c r="F12672">
        <v>2.22003743682468E-8</v>
      </c>
      <c r="G12672">
        <v>2362413</v>
      </c>
      <c r="H12672">
        <v>13377938</v>
      </c>
      <c r="I12672">
        <v>10436971</v>
      </c>
      <c r="J12672">
        <v>3</v>
      </c>
    </row>
    <row r="12673" spans="1:10" x14ac:dyDescent="0.25">
      <c r="A12673" t="s">
        <v>130</v>
      </c>
      <c r="B12673" s="1" t="str">
        <f>HYPERLINK("http://fujitsu-ten.co.jp","fujitsu-ten.co.jp")</f>
        <v>fujitsu-ten.co.jp</v>
      </c>
      <c r="C12673" t="s">
        <v>461</v>
      </c>
      <c r="D12673" t="s">
        <v>837</v>
      </c>
      <c r="E12673">
        <v>871930</v>
      </c>
      <c r="F12673">
        <v>4.1037533253377598E-8</v>
      </c>
      <c r="G12673">
        <v>1264491</v>
      </c>
      <c r="H12673">
        <v>14128306</v>
      </c>
      <c r="I12673">
        <v>2064204</v>
      </c>
      <c r="J12673">
        <v>3</v>
      </c>
    </row>
    <row r="12674" spans="1:10" x14ac:dyDescent="0.25">
      <c r="A12674" t="s">
        <v>130</v>
      </c>
      <c r="B12674" s="1" t="str">
        <f>HYPERLINK("http://kyosan-denki.co.jp","kyosan-denki.co.jp")</f>
        <v>kyosan-denki.co.jp</v>
      </c>
      <c r="C12674" t="s">
        <v>461</v>
      </c>
      <c r="D12674" t="s">
        <v>837</v>
      </c>
      <c r="F12674">
        <v>1.5073964503867E-8</v>
      </c>
      <c r="G12674">
        <v>3816087</v>
      </c>
      <c r="H12674">
        <v>12627981</v>
      </c>
      <c r="I12674">
        <v>16006098</v>
      </c>
      <c r="J12674">
        <v>3</v>
      </c>
    </row>
    <row r="12675" spans="1:10" x14ac:dyDescent="0.25">
      <c r="A12675" t="s">
        <v>130</v>
      </c>
      <c r="B12675" s="1" t="str">
        <f>HYPERLINK("http://obvious.jp","obvious.jp")</f>
        <v>obvious.jp</v>
      </c>
      <c r="C12675" t="s">
        <v>461</v>
      </c>
      <c r="D12675" t="s">
        <v>837</v>
      </c>
      <c r="J12675">
        <v>4</v>
      </c>
    </row>
    <row r="12676" spans="1:10" x14ac:dyDescent="0.25">
      <c r="A12676" t="s">
        <v>130</v>
      </c>
      <c r="B12676" s="1" t="str">
        <f>HYPERLINK("http://denso.com.my","denso.com.my")</f>
        <v>denso.com.my</v>
      </c>
      <c r="C12676" t="s">
        <v>472</v>
      </c>
      <c r="D12676" t="s">
        <v>848</v>
      </c>
      <c r="F12676">
        <v>4.7066029528839399E-9</v>
      </c>
      <c r="G12676">
        <v>40904595</v>
      </c>
      <c r="H12676">
        <v>10931191</v>
      </c>
      <c r="I12676">
        <v>35042298</v>
      </c>
      <c r="J12676">
        <v>3</v>
      </c>
    </row>
    <row r="12677" spans="1:10" x14ac:dyDescent="0.25">
      <c r="A12677" t="s">
        <v>130</v>
      </c>
      <c r="B12677" s="1" t="str">
        <f>HYPERLINK("http://denso-am.pl","denso-am.pl")</f>
        <v>denso-am.pl</v>
      </c>
      <c r="C12677" t="s">
        <v>486</v>
      </c>
      <c r="D12677" t="s">
        <v>860</v>
      </c>
      <c r="F12677">
        <v>1.43053740721153E-8</v>
      </c>
      <c r="G12677">
        <v>4091408</v>
      </c>
      <c r="H12677">
        <v>12375827</v>
      </c>
      <c r="I12677">
        <v>19304470</v>
      </c>
      <c r="J12677">
        <v>5</v>
      </c>
    </row>
    <row r="12678" spans="1:10" x14ac:dyDescent="0.25">
      <c r="A12678" t="s">
        <v>130</v>
      </c>
      <c r="B12678" s="1" t="str">
        <f>HYPERLINK("http://denso-am.pt","denso-am.pt")</f>
        <v>denso-am.pt</v>
      </c>
      <c r="C12678" t="s">
        <v>488</v>
      </c>
      <c r="D12678" t="s">
        <v>862</v>
      </c>
      <c r="F12678">
        <v>4.56336586917819E-9</v>
      </c>
      <c r="G12678">
        <v>50830103</v>
      </c>
      <c r="H12678">
        <v>9791700</v>
      </c>
      <c r="I12678">
        <v>62663219</v>
      </c>
      <c r="J12678">
        <v>5</v>
      </c>
    </row>
    <row r="12679" spans="1:10" x14ac:dyDescent="0.25">
      <c r="A12679" t="s">
        <v>130</v>
      </c>
      <c r="B12679" s="1" t="str">
        <f>HYPERLINK("http://denso.ro","denso.ro")</f>
        <v>denso.ro</v>
      </c>
      <c r="C12679" t="s">
        <v>491</v>
      </c>
      <c r="D12679" t="s">
        <v>865</v>
      </c>
      <c r="F12679">
        <v>6.8386951854726402E-9</v>
      </c>
      <c r="G12679">
        <v>12834604</v>
      </c>
      <c r="H12679">
        <v>11248323</v>
      </c>
      <c r="I12679">
        <v>30908194</v>
      </c>
      <c r="J12679">
        <v>2</v>
      </c>
    </row>
    <row r="12680" spans="1:10" x14ac:dyDescent="0.25">
      <c r="A12680" t="s">
        <v>130</v>
      </c>
      <c r="B12680" s="1" t="str">
        <f>HYPERLINK("http://denso-am.ru","denso-am.ru")</f>
        <v>denso-am.ru</v>
      </c>
      <c r="C12680" t="s">
        <v>493</v>
      </c>
      <c r="D12680" t="s">
        <v>867</v>
      </c>
      <c r="F12680">
        <v>8.2726793484794596E-8</v>
      </c>
      <c r="G12680">
        <v>504279</v>
      </c>
      <c r="H12680">
        <v>14241448</v>
      </c>
      <c r="I12680">
        <v>1491897</v>
      </c>
      <c r="J12680">
        <v>5</v>
      </c>
    </row>
    <row r="12681" spans="1:10" x14ac:dyDescent="0.25">
      <c r="A12681" t="s">
        <v>130</v>
      </c>
      <c r="B12681" s="1" t="str">
        <f>HYPERLINK("http://denso.ua","denso.ua")</f>
        <v>denso.ua</v>
      </c>
      <c r="C12681" t="s">
        <v>505</v>
      </c>
      <c r="D12681" t="s">
        <v>879</v>
      </c>
      <c r="F12681">
        <v>7.1342820979774203E-9</v>
      </c>
      <c r="G12681">
        <v>11919679</v>
      </c>
      <c r="H12681">
        <v>11430849</v>
      </c>
      <c r="I12681">
        <v>30152866</v>
      </c>
      <c r="J12681">
        <v>2</v>
      </c>
    </row>
    <row r="12682" spans="1:10" x14ac:dyDescent="0.25">
      <c r="A12682" t="s">
        <v>130</v>
      </c>
      <c r="B12682" s="1" t="str">
        <f>HYPERLINK("http://denso-am.co.uk","denso-am.co.uk")</f>
        <v>denso-am.co.uk</v>
      </c>
      <c r="C12682" t="s">
        <v>506</v>
      </c>
      <c r="D12682" t="s">
        <v>880</v>
      </c>
      <c r="F12682">
        <v>1.1494550009432299E-8</v>
      </c>
      <c r="G12682">
        <v>5509295</v>
      </c>
      <c r="H12682">
        <v>12832222</v>
      </c>
      <c r="I12682">
        <v>14403159</v>
      </c>
      <c r="J12682">
        <v>5</v>
      </c>
    </row>
    <row r="12683" spans="1:10" x14ac:dyDescent="0.25">
      <c r="A12683" t="s">
        <v>131</v>
      </c>
      <c r="B12683" s="1" t="str">
        <f>HYPERLINK("http://dhl.co.ae","dhl.co.ae")</f>
        <v>dhl.co.ae</v>
      </c>
      <c r="C12683" t="s">
        <v>417</v>
      </c>
      <c r="D12683" t="s">
        <v>799</v>
      </c>
      <c r="F12683">
        <v>4.82569441350697E-9</v>
      </c>
      <c r="G12683">
        <v>35003249</v>
      </c>
      <c r="H12683">
        <v>12258759</v>
      </c>
      <c r="I12683">
        <v>21800562</v>
      </c>
      <c r="J12683">
        <v>3</v>
      </c>
    </row>
    <row r="12684" spans="1:10" x14ac:dyDescent="0.25">
      <c r="A12684" t="s">
        <v>131</v>
      </c>
      <c r="B12684" s="1" t="str">
        <f>HYPERLINK("http://dhl.ae","dhl.ae")</f>
        <v>dhl.ae</v>
      </c>
      <c r="C12684" t="s">
        <v>417</v>
      </c>
      <c r="D12684" t="s">
        <v>799</v>
      </c>
      <c r="F12684">
        <v>1.4978400072788901E-8</v>
      </c>
      <c r="G12684">
        <v>3846998</v>
      </c>
      <c r="H12684">
        <v>13033422</v>
      </c>
      <c r="I12684">
        <v>12654778</v>
      </c>
      <c r="J12684">
        <v>3</v>
      </c>
    </row>
    <row r="12685" spans="1:10" x14ac:dyDescent="0.25">
      <c r="A12685" t="s">
        <v>131</v>
      </c>
      <c r="B12685" s="1" t="str">
        <f>HYPERLINK("http://saloodo.ae","saloodo.ae")</f>
        <v>saloodo.ae</v>
      </c>
      <c r="C12685" t="s">
        <v>417</v>
      </c>
      <c r="D12685" t="s">
        <v>799</v>
      </c>
      <c r="F12685">
        <v>9.0846333214923796E-9</v>
      </c>
      <c r="G12685">
        <v>7868239</v>
      </c>
      <c r="H12685">
        <v>13770009</v>
      </c>
      <c r="I12685">
        <v>6749837</v>
      </c>
      <c r="J12685">
        <v>4</v>
      </c>
    </row>
    <row r="12686" spans="1:10" x14ac:dyDescent="0.25">
      <c r="A12686" t="s">
        <v>131</v>
      </c>
      <c r="B12686" s="1" t="str">
        <f>HYPERLINK("http://aerologic.aero","aerologic.aero")</f>
        <v>aerologic.aero</v>
      </c>
      <c r="C12686" t="s">
        <v>601</v>
      </c>
      <c r="E12686">
        <v>652743</v>
      </c>
      <c r="F12686">
        <v>4.2529813019393197E-8</v>
      </c>
      <c r="G12686">
        <v>1138761</v>
      </c>
      <c r="H12686">
        <v>14418610</v>
      </c>
      <c r="I12686">
        <v>1094100</v>
      </c>
      <c r="J12686">
        <v>4</v>
      </c>
    </row>
    <row r="12687" spans="1:10" x14ac:dyDescent="0.25">
      <c r="A12687" t="s">
        <v>131</v>
      </c>
      <c r="B12687" s="1" t="str">
        <f>HYPERLINK("http://dhl.af","dhl.af")</f>
        <v>dhl.af</v>
      </c>
      <c r="C12687" t="s">
        <v>620</v>
      </c>
      <c r="D12687" t="s">
        <v>944</v>
      </c>
      <c r="F12687">
        <v>8.8211687455916105E-9</v>
      </c>
      <c r="G12687">
        <v>8270423</v>
      </c>
      <c r="H12687">
        <v>12636562</v>
      </c>
      <c r="I12687">
        <v>15902466</v>
      </c>
      <c r="J12687">
        <v>3</v>
      </c>
    </row>
    <row r="12688" spans="1:10" x14ac:dyDescent="0.25">
      <c r="A12688" t="s">
        <v>131</v>
      </c>
      <c r="B12688" s="1" t="str">
        <f>HYPERLINK("http://dhl.al","dhl.al")</f>
        <v>dhl.al</v>
      </c>
      <c r="C12688" t="s">
        <v>588</v>
      </c>
      <c r="D12688" t="s">
        <v>924</v>
      </c>
      <c r="F12688">
        <v>1.7284921809381598E-8</v>
      </c>
      <c r="G12688">
        <v>3202840</v>
      </c>
      <c r="H12688">
        <v>12695365</v>
      </c>
      <c r="I12688">
        <v>15384014</v>
      </c>
      <c r="J12688">
        <v>3</v>
      </c>
    </row>
    <row r="12689" spans="1:10" x14ac:dyDescent="0.25">
      <c r="A12689" t="s">
        <v>131</v>
      </c>
      <c r="B12689" s="1" t="str">
        <f>HYPERLINK("http://armbiotech.am","armbiotech.am")</f>
        <v>armbiotech.am</v>
      </c>
      <c r="C12689" t="s">
        <v>565</v>
      </c>
      <c r="D12689" t="s">
        <v>913</v>
      </c>
      <c r="F12689">
        <v>7.2043008857299701E-9</v>
      </c>
      <c r="G12689">
        <v>11728925</v>
      </c>
      <c r="H12689">
        <v>14072040</v>
      </c>
      <c r="I12689">
        <v>3180236</v>
      </c>
      <c r="J12689">
        <v>6</v>
      </c>
    </row>
    <row r="12690" spans="1:10" x14ac:dyDescent="0.25">
      <c r="A12690" t="s">
        <v>131</v>
      </c>
      <c r="B12690" s="1" t="str">
        <f>HYPERLINK("http://netsys.am","netsys.am")</f>
        <v>netsys.am</v>
      </c>
      <c r="C12690" t="s">
        <v>565</v>
      </c>
      <c r="D12690" t="s">
        <v>913</v>
      </c>
      <c r="E12690">
        <v>461092</v>
      </c>
      <c r="F12690">
        <v>4.7417138104952297E-9</v>
      </c>
      <c r="G12690">
        <v>38717222</v>
      </c>
      <c r="H12690">
        <v>10810628</v>
      </c>
      <c r="I12690">
        <v>37854171</v>
      </c>
      <c r="J12690">
        <v>4</v>
      </c>
    </row>
    <row r="12691" spans="1:10" x14ac:dyDescent="0.25">
      <c r="A12691" t="s">
        <v>131</v>
      </c>
      <c r="B12691" s="1" t="str">
        <f>HYPERLINK("http://dhl.co.ao","dhl.co.ao")</f>
        <v>dhl.co.ao</v>
      </c>
      <c r="C12691" t="s">
        <v>566</v>
      </c>
      <c r="D12691" t="s">
        <v>914</v>
      </c>
      <c r="F12691">
        <v>1.7063167590536801E-8</v>
      </c>
      <c r="G12691">
        <v>3268933</v>
      </c>
      <c r="H12691">
        <v>12694530</v>
      </c>
      <c r="I12691">
        <v>15388614</v>
      </c>
      <c r="J12691">
        <v>3</v>
      </c>
    </row>
    <row r="12692" spans="1:10" x14ac:dyDescent="0.25">
      <c r="A12692" t="s">
        <v>131</v>
      </c>
      <c r="B12692" s="1" t="str">
        <f>HYPERLINK("http://dhl.com.ar","dhl.com.ar")</f>
        <v>dhl.com.ar</v>
      </c>
      <c r="C12692" t="s">
        <v>418</v>
      </c>
      <c r="D12692" t="s">
        <v>800</v>
      </c>
      <c r="F12692">
        <v>4.3425842798915299E-8</v>
      </c>
      <c r="G12692">
        <v>1102166</v>
      </c>
      <c r="H12692">
        <v>12960032</v>
      </c>
      <c r="I12692">
        <v>13169288</v>
      </c>
      <c r="J12692">
        <v>3</v>
      </c>
    </row>
    <row r="12693" spans="1:10" x14ac:dyDescent="0.25">
      <c r="A12693" t="s">
        <v>131</v>
      </c>
      <c r="B12693" s="1" t="str">
        <f>HYPERLINK("http://vitalmed.co.at","vitalmed.co.at")</f>
        <v>vitalmed.co.at</v>
      </c>
      <c r="C12693" t="s">
        <v>419</v>
      </c>
      <c r="D12693" t="s">
        <v>801</v>
      </c>
      <c r="F12693">
        <v>4.8156959857349599E-9</v>
      </c>
      <c r="G12693">
        <v>35429074</v>
      </c>
      <c r="H12693">
        <v>10488401</v>
      </c>
      <c r="I12693">
        <v>50679383</v>
      </c>
      <c r="J12693">
        <v>4</v>
      </c>
    </row>
    <row r="12694" spans="1:10" x14ac:dyDescent="0.25">
      <c r="A12694" t="s">
        <v>131</v>
      </c>
      <c r="B12694" s="1" t="str">
        <f>HYPERLINK("http://dhl.at","dhl.at")</f>
        <v>dhl.at</v>
      </c>
      <c r="C12694" t="s">
        <v>419</v>
      </c>
      <c r="D12694" t="s">
        <v>801</v>
      </c>
      <c r="F12694">
        <v>1.20204028948798E-7</v>
      </c>
      <c r="G12694">
        <v>328787</v>
      </c>
      <c r="H12694">
        <v>13025167</v>
      </c>
      <c r="I12694">
        <v>12693489</v>
      </c>
      <c r="J12694">
        <v>3</v>
      </c>
    </row>
    <row r="12695" spans="1:10" x14ac:dyDescent="0.25">
      <c r="A12695" t="s">
        <v>131</v>
      </c>
      <c r="B12695" s="1" t="str">
        <f>HYPERLINK("http://dhl-freight.at","dhl-freight.at")</f>
        <v>dhl-freight.at</v>
      </c>
      <c r="C12695" t="s">
        <v>419</v>
      </c>
      <c r="D12695" t="s">
        <v>801</v>
      </c>
      <c r="F12695">
        <v>6.0168458707842602E-9</v>
      </c>
      <c r="G12695">
        <v>16581447</v>
      </c>
      <c r="H12695">
        <v>12284801</v>
      </c>
      <c r="I12695">
        <v>21214706</v>
      </c>
      <c r="J12695">
        <v>4</v>
      </c>
    </row>
    <row r="12696" spans="1:10" x14ac:dyDescent="0.25">
      <c r="A12696" t="s">
        <v>131</v>
      </c>
      <c r="B12696" s="1" t="str">
        <f>HYPERLINK("http://dhl.com.au","dhl.com.au")</f>
        <v>dhl.com.au</v>
      </c>
      <c r="C12696" t="s">
        <v>420</v>
      </c>
      <c r="D12696" t="s">
        <v>802</v>
      </c>
      <c r="E12696">
        <v>975928</v>
      </c>
      <c r="F12696">
        <v>1.01342438630967E-7</v>
      </c>
      <c r="G12696">
        <v>396701</v>
      </c>
      <c r="H12696">
        <v>14270802</v>
      </c>
      <c r="I12696">
        <v>1397715</v>
      </c>
      <c r="J12696">
        <v>3</v>
      </c>
    </row>
    <row r="12697" spans="1:10" x14ac:dyDescent="0.25">
      <c r="A12697" t="s">
        <v>131</v>
      </c>
      <c r="B12697" s="1" t="str">
        <f>HYPERLINK("http://dhl.ba","dhl.ba")</f>
        <v>dhl.ba</v>
      </c>
      <c r="C12697" t="s">
        <v>526</v>
      </c>
      <c r="D12697" t="s">
        <v>893</v>
      </c>
      <c r="F12697">
        <v>1.8864575913137599E-8</v>
      </c>
      <c r="G12697">
        <v>2859966</v>
      </c>
      <c r="H12697">
        <v>12648126</v>
      </c>
      <c r="I12697">
        <v>15813361</v>
      </c>
      <c r="J12697">
        <v>3</v>
      </c>
    </row>
    <row r="12698" spans="1:10" x14ac:dyDescent="0.25">
      <c r="A12698" t="s">
        <v>131</v>
      </c>
      <c r="B12698" s="1" t="str">
        <f>HYPERLINK("http://dhl.com.bb","dhl.com.bb")</f>
        <v>dhl.com.bb</v>
      </c>
      <c r="C12698" t="s">
        <v>589</v>
      </c>
      <c r="D12698" t="s">
        <v>925</v>
      </c>
      <c r="F12698">
        <v>1.8318308885841801E-8</v>
      </c>
      <c r="G12698">
        <v>2963880</v>
      </c>
      <c r="H12698">
        <v>12700210</v>
      </c>
      <c r="I12698">
        <v>15353227</v>
      </c>
      <c r="J12698">
        <v>3</v>
      </c>
    </row>
    <row r="12699" spans="1:10" x14ac:dyDescent="0.25">
      <c r="A12699" t="s">
        <v>131</v>
      </c>
      <c r="B12699" s="1" t="str">
        <f>HYPERLINK("http://dhl.com.bd","dhl.com.bd")</f>
        <v>dhl.com.bd</v>
      </c>
      <c r="C12699" t="s">
        <v>603</v>
      </c>
      <c r="D12699" t="s">
        <v>934</v>
      </c>
      <c r="F12699">
        <v>1.83487661353475E-8</v>
      </c>
      <c r="G12699">
        <v>2958033</v>
      </c>
      <c r="H12699">
        <v>12690114</v>
      </c>
      <c r="I12699">
        <v>15419493</v>
      </c>
      <c r="J12699">
        <v>3</v>
      </c>
    </row>
    <row r="12700" spans="1:10" x14ac:dyDescent="0.25">
      <c r="A12700" t="s">
        <v>131</v>
      </c>
      <c r="B12700" s="1" t="str">
        <f>HYPERLINK("http://dhl.be","dhl.be")</f>
        <v>dhl.be</v>
      </c>
      <c r="C12700" t="s">
        <v>421</v>
      </c>
      <c r="D12700" t="s">
        <v>803</v>
      </c>
      <c r="F12700">
        <v>5.82206805989133E-8</v>
      </c>
      <c r="G12700">
        <v>763848</v>
      </c>
      <c r="H12700">
        <v>14091091</v>
      </c>
      <c r="I12700">
        <v>2745439</v>
      </c>
      <c r="J12700">
        <v>3</v>
      </c>
    </row>
    <row r="12701" spans="1:10" x14ac:dyDescent="0.25">
      <c r="A12701" t="s">
        <v>131</v>
      </c>
      <c r="B12701" s="1" t="str">
        <f>HYPERLINK("http://dhlparcel.be","dhlparcel.be")</f>
        <v>dhlparcel.be</v>
      </c>
      <c r="C12701" t="s">
        <v>421</v>
      </c>
      <c r="D12701" t="s">
        <v>803</v>
      </c>
      <c r="E12701">
        <v>616040</v>
      </c>
      <c r="F12701">
        <v>1.01120569946308E-7</v>
      </c>
      <c r="G12701">
        <v>397621</v>
      </c>
      <c r="H12701">
        <v>14326365</v>
      </c>
      <c r="I12701">
        <v>1326572</v>
      </c>
      <c r="J12701">
        <v>4</v>
      </c>
    </row>
    <row r="12702" spans="1:10" x14ac:dyDescent="0.25">
      <c r="A12702" t="s">
        <v>131</v>
      </c>
      <c r="B12702" s="1" t="str">
        <f>HYPERLINK("http://dhl.bg","dhl.bg")</f>
        <v>dhl.bg</v>
      </c>
      <c r="C12702" t="s">
        <v>422</v>
      </c>
      <c r="D12702" t="s">
        <v>804</v>
      </c>
      <c r="F12702">
        <v>4.3857821421107102E-8</v>
      </c>
      <c r="G12702">
        <v>1086423</v>
      </c>
      <c r="H12702">
        <v>12729317</v>
      </c>
      <c r="I12702">
        <v>15201050</v>
      </c>
      <c r="J12702">
        <v>3</v>
      </c>
    </row>
    <row r="12703" spans="1:10" x14ac:dyDescent="0.25">
      <c r="A12703" t="s">
        <v>131</v>
      </c>
      <c r="B12703" s="1" t="str">
        <f>HYPERLINK("http://dhl.com.bh","dhl.com.bh")</f>
        <v>dhl.com.bh</v>
      </c>
      <c r="C12703" t="s">
        <v>580</v>
      </c>
      <c r="D12703" t="s">
        <v>922</v>
      </c>
      <c r="F12703">
        <v>1.8372988481118802E-8</v>
      </c>
      <c r="G12703">
        <v>2953249</v>
      </c>
      <c r="H12703">
        <v>12693492</v>
      </c>
      <c r="I12703">
        <v>15395299</v>
      </c>
      <c r="J12703">
        <v>3</v>
      </c>
    </row>
    <row r="12704" spans="1:10" x14ac:dyDescent="0.25">
      <c r="A12704" t="s">
        <v>131</v>
      </c>
      <c r="B12704" s="1" t="str">
        <f>HYPERLINK("http://dhl.com.bm","dhl.com.bm")</f>
        <v>dhl.com.bm</v>
      </c>
      <c r="C12704" t="s">
        <v>568</v>
      </c>
      <c r="D12704" t="s">
        <v>915</v>
      </c>
      <c r="F12704">
        <v>1.6808344888748001E-8</v>
      </c>
      <c r="G12704">
        <v>3331309</v>
      </c>
      <c r="H12704">
        <v>12690335</v>
      </c>
      <c r="I12704">
        <v>15417479</v>
      </c>
      <c r="J12704">
        <v>3</v>
      </c>
    </row>
    <row r="12705" spans="1:10" x14ac:dyDescent="0.25">
      <c r="A12705" t="s">
        <v>131</v>
      </c>
      <c r="B12705" s="1" t="str">
        <f>HYPERLINK("http://dhl.com.bn","dhl.com.bn")</f>
        <v>dhl.com.bn</v>
      </c>
      <c r="C12705" t="s">
        <v>511</v>
      </c>
      <c r="D12705" t="s">
        <v>885</v>
      </c>
      <c r="F12705">
        <v>1.6673409210627601E-8</v>
      </c>
      <c r="G12705">
        <v>3365506</v>
      </c>
      <c r="H12705">
        <v>12646196</v>
      </c>
      <c r="I12705">
        <v>15824994</v>
      </c>
      <c r="J12705">
        <v>3</v>
      </c>
    </row>
    <row r="12706" spans="1:10" x14ac:dyDescent="0.25">
      <c r="A12706" t="s">
        <v>131</v>
      </c>
      <c r="B12706" s="1" t="str">
        <f>HYPERLINK("http://dhl.com.bo","dhl.com.bo")</f>
        <v>dhl.com.bo</v>
      </c>
      <c r="C12706" t="s">
        <v>424</v>
      </c>
      <c r="D12706" t="s">
        <v>805</v>
      </c>
      <c r="F12706">
        <v>1.7835954285678501E-8</v>
      </c>
      <c r="G12706">
        <v>3067080</v>
      </c>
      <c r="H12706">
        <v>12641653</v>
      </c>
      <c r="I12706">
        <v>15857521</v>
      </c>
      <c r="J12706">
        <v>3</v>
      </c>
    </row>
    <row r="12707" spans="1:10" x14ac:dyDescent="0.25">
      <c r="A12707" t="s">
        <v>131</v>
      </c>
      <c r="B12707" s="1" t="str">
        <f>HYPERLINK("http://dhl.com.br","dhl.com.br")</f>
        <v>dhl.com.br</v>
      </c>
      <c r="C12707" t="s">
        <v>425</v>
      </c>
      <c r="D12707" t="s">
        <v>806</v>
      </c>
      <c r="F12707">
        <v>4.2686326484165701E-8</v>
      </c>
      <c r="G12707">
        <v>1131844</v>
      </c>
      <c r="H12707">
        <v>13992577</v>
      </c>
      <c r="I12707">
        <v>4029357</v>
      </c>
      <c r="J12707">
        <v>3</v>
      </c>
    </row>
    <row r="12708" spans="1:10" x14ac:dyDescent="0.25">
      <c r="A12708" t="s">
        <v>131</v>
      </c>
      <c r="B12708" s="1" t="str">
        <f>HYPERLINK("http://polartruck.com.br","polartruck.com.br")</f>
        <v>polartruck.com.br</v>
      </c>
      <c r="C12708" t="s">
        <v>425</v>
      </c>
      <c r="D12708" t="s">
        <v>806</v>
      </c>
      <c r="F12708">
        <v>4.50625395878561E-9</v>
      </c>
      <c r="G12708">
        <v>58032050</v>
      </c>
      <c r="H12708">
        <v>10616878</v>
      </c>
      <c r="I12708">
        <v>44375342</v>
      </c>
      <c r="J12708">
        <v>5</v>
      </c>
    </row>
    <row r="12709" spans="1:10" x14ac:dyDescent="0.25">
      <c r="A12709" t="s">
        <v>131</v>
      </c>
      <c r="B12709" s="1" t="str">
        <f>HYPERLINK("http://dhl.com.bs","dhl.com.bs")</f>
        <v>dhl.com.bs</v>
      </c>
      <c r="C12709" t="s">
        <v>623</v>
      </c>
      <c r="D12709" t="s">
        <v>947</v>
      </c>
      <c r="F12709">
        <v>1.6887638359731802E-8</v>
      </c>
      <c r="G12709">
        <v>3311217</v>
      </c>
      <c r="H12709">
        <v>13022118</v>
      </c>
      <c r="I12709">
        <v>12704796</v>
      </c>
      <c r="J12709">
        <v>3</v>
      </c>
    </row>
    <row r="12710" spans="1:10" x14ac:dyDescent="0.25">
      <c r="A12710" t="s">
        <v>131</v>
      </c>
      <c r="B12710" s="1" t="str">
        <f>HYPERLINK("http://dhl.co.bw","dhl.co.bw")</f>
        <v>dhl.co.bw</v>
      </c>
      <c r="C12710" t="s">
        <v>426</v>
      </c>
      <c r="D12710" t="s">
        <v>807</v>
      </c>
      <c r="F12710">
        <v>1.7108157244207801E-8</v>
      </c>
      <c r="G12710">
        <v>3258999</v>
      </c>
      <c r="H12710">
        <v>12697758</v>
      </c>
      <c r="I12710">
        <v>15372705</v>
      </c>
      <c r="J12710">
        <v>3</v>
      </c>
    </row>
    <row r="12711" spans="1:10" x14ac:dyDescent="0.25">
      <c r="A12711" t="s">
        <v>131</v>
      </c>
      <c r="B12711" s="1" t="str">
        <f>HYPERLINK("http://logitrack.by","logitrack.by")</f>
        <v>logitrack.by</v>
      </c>
      <c r="C12711" t="s">
        <v>427</v>
      </c>
      <c r="D12711" t="s">
        <v>808</v>
      </c>
      <c r="F12711">
        <v>4.8862454125299801E-9</v>
      </c>
      <c r="G12711">
        <v>32883942</v>
      </c>
      <c r="H12711">
        <v>12268109</v>
      </c>
      <c r="I12711">
        <v>21566229</v>
      </c>
      <c r="J12711">
        <v>4</v>
      </c>
    </row>
    <row r="12712" spans="1:10" x14ac:dyDescent="0.25">
      <c r="A12712" t="s">
        <v>131</v>
      </c>
      <c r="B12712" s="1" t="str">
        <f>HYPERLINK("http://dhl.org.bz","dhl.org.bz")</f>
        <v>dhl.org.bz</v>
      </c>
      <c r="C12712" t="s">
        <v>590</v>
      </c>
      <c r="D12712" t="s">
        <v>926</v>
      </c>
      <c r="F12712">
        <v>1.75048411670967E-8</v>
      </c>
      <c r="G12712">
        <v>3145047</v>
      </c>
      <c r="H12712">
        <v>12673282</v>
      </c>
      <c r="I12712">
        <v>15572037</v>
      </c>
      <c r="J12712">
        <v>3</v>
      </c>
    </row>
    <row r="12713" spans="1:10" x14ac:dyDescent="0.25">
      <c r="A12713" t="s">
        <v>131</v>
      </c>
      <c r="B12713" s="1" t="str">
        <f>HYPERLINK("http://dhl.ca","dhl.ca")</f>
        <v>dhl.ca</v>
      </c>
      <c r="C12713" t="s">
        <v>428</v>
      </c>
      <c r="D12713" t="s">
        <v>809</v>
      </c>
      <c r="E12713">
        <v>798420</v>
      </c>
      <c r="F12713">
        <v>1.10486199388458E-7</v>
      </c>
      <c r="G12713">
        <v>361974</v>
      </c>
      <c r="H12713">
        <v>13725561</v>
      </c>
      <c r="I12713">
        <v>9464533</v>
      </c>
      <c r="J12713">
        <v>3</v>
      </c>
    </row>
    <row r="12714" spans="1:10" x14ac:dyDescent="0.25">
      <c r="A12714" t="s">
        <v>131</v>
      </c>
      <c r="B12714" s="1" t="str">
        <f>HYPERLINK("http://dhl.cd","dhl.cd")</f>
        <v>dhl.cd</v>
      </c>
      <c r="C12714" t="s">
        <v>625</v>
      </c>
      <c r="D12714" t="s">
        <v>949</v>
      </c>
      <c r="F12714">
        <v>1.7152436981397599E-8</v>
      </c>
      <c r="G12714">
        <v>3249331</v>
      </c>
      <c r="H12714">
        <v>12682369</v>
      </c>
      <c r="I12714">
        <v>15477229</v>
      </c>
      <c r="J12714">
        <v>3</v>
      </c>
    </row>
    <row r="12715" spans="1:10" x14ac:dyDescent="0.25">
      <c r="A12715" t="s">
        <v>131</v>
      </c>
      <c r="B12715" s="1" t="str">
        <f>HYPERLINK("http://dhl.ch","dhl.ch")</f>
        <v>dhl.ch</v>
      </c>
      <c r="C12715" t="s">
        <v>429</v>
      </c>
      <c r="D12715" t="s">
        <v>810</v>
      </c>
      <c r="F12715">
        <v>1.3807395019125501E-7</v>
      </c>
      <c r="G12715">
        <v>282169</v>
      </c>
      <c r="H12715">
        <v>13259558</v>
      </c>
      <c r="I12715">
        <v>11042997</v>
      </c>
      <c r="J12715">
        <v>3</v>
      </c>
    </row>
    <row r="12716" spans="1:10" x14ac:dyDescent="0.25">
      <c r="A12716" t="s">
        <v>131</v>
      </c>
      <c r="B12716" s="1" t="str">
        <f>HYPERLINK("http://dhl.ci","dhl.ci")</f>
        <v>dhl.ci</v>
      </c>
      <c r="C12716" t="s">
        <v>539</v>
      </c>
      <c r="D12716" t="s">
        <v>899</v>
      </c>
      <c r="F12716">
        <v>8.8612684778765105E-9</v>
      </c>
      <c r="G12716">
        <v>8205752</v>
      </c>
      <c r="H12716">
        <v>12687647</v>
      </c>
      <c r="I12716">
        <v>15438819</v>
      </c>
      <c r="J12716">
        <v>3</v>
      </c>
    </row>
    <row r="12717" spans="1:10" x14ac:dyDescent="0.25">
      <c r="A12717" t="s">
        <v>131</v>
      </c>
      <c r="B12717" s="1" t="str">
        <f>HYPERLINK("http://dhl.cl","dhl.cl")</f>
        <v>dhl.cl</v>
      </c>
      <c r="C12717" t="s">
        <v>430</v>
      </c>
      <c r="D12717" t="s">
        <v>811</v>
      </c>
      <c r="F12717">
        <v>2.1767159141886701E-8</v>
      </c>
      <c r="G12717">
        <v>2415194</v>
      </c>
      <c r="H12717">
        <v>13115360</v>
      </c>
      <c r="I12717">
        <v>12014504</v>
      </c>
      <c r="J12717">
        <v>3</v>
      </c>
    </row>
    <row r="12718" spans="1:10" x14ac:dyDescent="0.25">
      <c r="A12718" t="s">
        <v>131</v>
      </c>
      <c r="B12718" s="1" t="str">
        <f>HYPERLINK("http://dhl.cm","dhl.cm")</f>
        <v>dhl.cm</v>
      </c>
      <c r="C12718" t="s">
        <v>541</v>
      </c>
      <c r="D12718" t="s">
        <v>900</v>
      </c>
      <c r="F12718">
        <v>1.6872926656053399E-8</v>
      </c>
      <c r="G12718">
        <v>3315677</v>
      </c>
      <c r="H12718">
        <v>12638618</v>
      </c>
      <c r="I12718">
        <v>15886217</v>
      </c>
      <c r="J12718">
        <v>3</v>
      </c>
    </row>
    <row r="12719" spans="1:10" x14ac:dyDescent="0.25">
      <c r="A12719" t="s">
        <v>131</v>
      </c>
      <c r="B12719" s="1" t="str">
        <f>HYPERLINK("http://dhl.com.co","dhl.com.co")</f>
        <v>dhl.com.co</v>
      </c>
      <c r="C12719" t="s">
        <v>432</v>
      </c>
      <c r="F12719">
        <v>2.7034268748932899E-8</v>
      </c>
      <c r="G12719">
        <v>1902402</v>
      </c>
      <c r="H12719">
        <v>13140438</v>
      </c>
      <c r="I12719">
        <v>11877927</v>
      </c>
      <c r="J12719">
        <v>3</v>
      </c>
    </row>
    <row r="12720" spans="1:10" x14ac:dyDescent="0.25">
      <c r="A12720" t="s">
        <v>131</v>
      </c>
      <c r="B12720" s="1" t="str">
        <f>HYPERLINK("http://b-on.com","b-on.com")</f>
        <v>b-on.com</v>
      </c>
      <c r="C12720" t="s">
        <v>433</v>
      </c>
      <c r="F12720">
        <v>2.1818465759525001E-8</v>
      </c>
      <c r="G12720">
        <v>2407966</v>
      </c>
      <c r="H12720">
        <v>12644018</v>
      </c>
      <c r="I12720">
        <v>15840977</v>
      </c>
      <c r="J12720">
        <v>3</v>
      </c>
    </row>
    <row r="12721" spans="1:10" x14ac:dyDescent="0.25">
      <c r="A12721" t="s">
        <v>131</v>
      </c>
      <c r="B12721" s="1" t="str">
        <f>HYPERLINK("http://bluedart.com","bluedart.com")</f>
        <v>bluedart.com</v>
      </c>
      <c r="C12721" t="s">
        <v>433</v>
      </c>
      <c r="E12721">
        <v>26219</v>
      </c>
      <c r="F12721">
        <v>4.56816731436104E-7</v>
      </c>
      <c r="G12721">
        <v>82777</v>
      </c>
      <c r="H12721">
        <v>15055085</v>
      </c>
      <c r="I12721">
        <v>413679</v>
      </c>
      <c r="J12721">
        <v>4</v>
      </c>
    </row>
    <row r="12722" spans="1:10" x14ac:dyDescent="0.25">
      <c r="A12722" t="s">
        <v>131</v>
      </c>
      <c r="B12722" s="1" t="str">
        <f>HYPERLINK("http://bluedartaviation.com","bluedartaviation.com")</f>
        <v>bluedartaviation.com</v>
      </c>
      <c r="C12722" t="s">
        <v>433</v>
      </c>
      <c r="F12722">
        <v>3.16356705506695E-8</v>
      </c>
      <c r="G12722">
        <v>1631551</v>
      </c>
      <c r="H12722">
        <v>14416140</v>
      </c>
      <c r="I12722">
        <v>1105555</v>
      </c>
      <c r="J12722">
        <v>3</v>
      </c>
    </row>
    <row r="12723" spans="1:10" x14ac:dyDescent="0.25">
      <c r="A12723" t="s">
        <v>131</v>
      </c>
      <c r="B12723" s="1" t="str">
        <f>HYPERLINK("http://braidco.com","braidco.com")</f>
        <v>braidco.com</v>
      </c>
      <c r="C12723" t="s">
        <v>433</v>
      </c>
      <c r="F12723">
        <v>1.13797106037265E-8</v>
      </c>
      <c r="G12723">
        <v>5587919</v>
      </c>
      <c r="H12723">
        <v>12298536</v>
      </c>
      <c r="I12723">
        <v>20873762</v>
      </c>
      <c r="J12723">
        <v>3</v>
      </c>
    </row>
    <row r="12724" spans="1:10" x14ac:dyDescent="0.25">
      <c r="A12724" t="s">
        <v>131</v>
      </c>
      <c r="B12724" s="1" t="str">
        <f>HYPERLINK("http://deutschepost.com","deutschepost.com")</f>
        <v>deutschepost.com</v>
      </c>
      <c r="C12724" t="s">
        <v>433</v>
      </c>
      <c r="E12724">
        <v>116950</v>
      </c>
      <c r="F12724">
        <v>1.6144218327249301E-7</v>
      </c>
      <c r="G12724">
        <v>240456</v>
      </c>
      <c r="H12724">
        <v>14707133</v>
      </c>
      <c r="I12724">
        <v>586136</v>
      </c>
      <c r="J12724">
        <v>2</v>
      </c>
    </row>
    <row r="12725" spans="1:10" x14ac:dyDescent="0.25">
      <c r="A12725" t="s">
        <v>131</v>
      </c>
      <c r="B12725" s="1" t="str">
        <f>HYPERLINK("http://dhal.com","dhal.com")</f>
        <v>dhal.com</v>
      </c>
      <c r="C12725" t="s">
        <v>433</v>
      </c>
      <c r="F12725">
        <v>1.06986052114159E-8</v>
      </c>
      <c r="G12725">
        <v>6101931</v>
      </c>
      <c r="H12725">
        <v>13369607</v>
      </c>
      <c r="I12725">
        <v>10469906</v>
      </c>
      <c r="J12725">
        <v>4</v>
      </c>
    </row>
    <row r="12726" spans="1:10" x14ac:dyDescent="0.25">
      <c r="A12726" t="s">
        <v>131</v>
      </c>
      <c r="B12726" s="1" t="str">
        <f>HYPERLINK("http://dhl.com","dhl.com")</f>
        <v>dhl.com</v>
      </c>
      <c r="C12726" t="s">
        <v>433</v>
      </c>
      <c r="E12726">
        <v>827</v>
      </c>
      <c r="F12726">
        <v>1.3993737048144899E-5</v>
      </c>
      <c r="G12726">
        <v>2520</v>
      </c>
      <c r="H12726">
        <v>18259284</v>
      </c>
      <c r="I12726">
        <v>2506</v>
      </c>
      <c r="J12726">
        <v>2</v>
      </c>
    </row>
    <row r="12727" spans="1:10" x14ac:dyDescent="0.25">
      <c r="A12727" t="s">
        <v>131</v>
      </c>
      <c r="B12727" s="1" t="str">
        <f>HYPERLINK("http://dhl-globalmail.com","dhl-globalmail.com")</f>
        <v>dhl-globalmail.com</v>
      </c>
      <c r="C12727" t="s">
        <v>433</v>
      </c>
      <c r="F12727">
        <v>4.72881733119414E-9</v>
      </c>
      <c r="G12727">
        <v>39403415</v>
      </c>
      <c r="H12727">
        <v>13765660</v>
      </c>
      <c r="I12727">
        <v>7079745</v>
      </c>
      <c r="J12727">
        <v>3</v>
      </c>
    </row>
    <row r="12728" spans="1:10" x14ac:dyDescent="0.25">
      <c r="A12728" t="s">
        <v>131</v>
      </c>
      <c r="B12728" s="1" t="str">
        <f>HYPERLINK("http://dhl-ma.com","dhl-ma.com")</f>
        <v>dhl-ma.com</v>
      </c>
      <c r="C12728" t="s">
        <v>433</v>
      </c>
      <c r="F12728">
        <v>1.84549179954799E-8</v>
      </c>
      <c r="G12728">
        <v>2934812</v>
      </c>
      <c r="H12728">
        <v>12690140</v>
      </c>
      <c r="I12728">
        <v>15419393</v>
      </c>
      <c r="J12728">
        <v>3</v>
      </c>
    </row>
    <row r="12729" spans="1:10" x14ac:dyDescent="0.25">
      <c r="A12729" t="s">
        <v>131</v>
      </c>
      <c r="B12729" s="1" t="str">
        <f>HYPERLINK("http://dhl-usa.com","dhl-usa.com")</f>
        <v>dhl-usa.com</v>
      </c>
      <c r="C12729" t="s">
        <v>433</v>
      </c>
      <c r="E12729">
        <v>96130</v>
      </c>
      <c r="F12729">
        <v>7.2670052845275401E-7</v>
      </c>
      <c r="G12729">
        <v>53469</v>
      </c>
      <c r="H12729">
        <v>15629953</v>
      </c>
      <c r="I12729">
        <v>371259</v>
      </c>
      <c r="J12729">
        <v>3</v>
      </c>
    </row>
    <row r="12730" spans="1:10" x14ac:dyDescent="0.25">
      <c r="A12730" t="s">
        <v>131</v>
      </c>
      <c r="B12730" s="1" t="str">
        <f>HYPERLINK("http://dhlegypt.com","dhlegypt.com")</f>
        <v>dhlegypt.com</v>
      </c>
      <c r="C12730" t="s">
        <v>433</v>
      </c>
      <c r="F12730">
        <v>1.9650730463363E-8</v>
      </c>
      <c r="G12730">
        <v>2719036</v>
      </c>
      <c r="H12730">
        <v>12867030</v>
      </c>
      <c r="I12730">
        <v>14142304</v>
      </c>
      <c r="J12730">
        <v>3</v>
      </c>
    </row>
    <row r="12731" spans="1:10" x14ac:dyDescent="0.25">
      <c r="A12731" t="s">
        <v>131</v>
      </c>
      <c r="B12731" s="1" t="str">
        <f>HYPERLINK("http://dhlexpress.com","dhlexpress.com")</f>
        <v>dhlexpress.com</v>
      </c>
      <c r="C12731" t="s">
        <v>433</v>
      </c>
      <c r="F12731">
        <v>5.8252840966284702E-9</v>
      </c>
      <c r="G12731">
        <v>17898862</v>
      </c>
      <c r="H12731">
        <v>11139973</v>
      </c>
      <c r="I12731">
        <v>31835411</v>
      </c>
      <c r="J12731">
        <v>4</v>
      </c>
    </row>
    <row r="12732" spans="1:10" x14ac:dyDescent="0.25">
      <c r="A12732" t="s">
        <v>131</v>
      </c>
      <c r="B12732" s="1" t="str">
        <f>HYPERLINK("http://dhlexpressmexico.com","dhlexpressmexico.com")</f>
        <v>dhlexpressmexico.com</v>
      </c>
      <c r="C12732" t="s">
        <v>433</v>
      </c>
      <c r="J12732">
        <v>4</v>
      </c>
    </row>
    <row r="12733" spans="1:10" x14ac:dyDescent="0.25">
      <c r="A12733" t="s">
        <v>131</v>
      </c>
      <c r="B12733" s="1" t="str">
        <f>HYPERLINK("http://dhlkleidung.com","dhlkleidung.com")</f>
        <v>dhlkleidung.com</v>
      </c>
      <c r="C12733" t="s">
        <v>433</v>
      </c>
      <c r="J12733">
        <v>2</v>
      </c>
    </row>
    <row r="12734" spans="1:10" x14ac:dyDescent="0.25">
      <c r="A12734" t="s">
        <v>131</v>
      </c>
      <c r="B12734" s="1" t="str">
        <f>HYPERLINK("http://dhlmexico.com","dhlmexico.com")</f>
        <v>dhlmexico.com</v>
      </c>
      <c r="C12734" t="s">
        <v>433</v>
      </c>
      <c r="J12734">
        <v>4</v>
      </c>
    </row>
    <row r="12735" spans="1:10" x14ac:dyDescent="0.25">
      <c r="A12735" t="s">
        <v>131</v>
      </c>
      <c r="B12735" s="1" t="str">
        <f>HYPERLINK("http://digihaul.com","digihaul.com")</f>
        <v>digihaul.com</v>
      </c>
      <c r="C12735" t="s">
        <v>433</v>
      </c>
      <c r="F12735">
        <v>1.7634387871907299E-8</v>
      </c>
      <c r="G12735">
        <v>3111336</v>
      </c>
      <c r="H12735">
        <v>14030258</v>
      </c>
      <c r="I12735">
        <v>3937186</v>
      </c>
      <c r="J12735">
        <v>4</v>
      </c>
    </row>
    <row r="12736" spans="1:10" x14ac:dyDescent="0.25">
      <c r="A12736" t="s">
        <v>131</v>
      </c>
      <c r="B12736" s="1" t="str">
        <f>HYPERLINK("http://dp-dhl.com","dp-dhl.com")</f>
        <v>dp-dhl.com</v>
      </c>
      <c r="C12736" t="s">
        <v>433</v>
      </c>
      <c r="E12736">
        <v>678213</v>
      </c>
      <c r="F12736">
        <v>1.5833961666253801E-7</v>
      </c>
      <c r="G12736">
        <v>245191</v>
      </c>
      <c r="H12736">
        <v>14885957</v>
      </c>
      <c r="I12736">
        <v>469527</v>
      </c>
      <c r="J12736">
        <v>3</v>
      </c>
    </row>
    <row r="12737" spans="1:10" x14ac:dyDescent="0.25">
      <c r="A12737" t="s">
        <v>131</v>
      </c>
      <c r="B12737" s="1" t="str">
        <f>HYPERLINK("http://dpdhl.com","dpdhl.com")</f>
        <v>dpdhl.com</v>
      </c>
      <c r="C12737" t="s">
        <v>433</v>
      </c>
      <c r="E12737">
        <v>41329</v>
      </c>
      <c r="F12737">
        <v>1.8986007922033301E-6</v>
      </c>
      <c r="G12737">
        <v>19563</v>
      </c>
      <c r="H12737">
        <v>15437349</v>
      </c>
      <c r="I12737">
        <v>378681</v>
      </c>
      <c r="J12737">
        <v>3</v>
      </c>
    </row>
    <row r="12738" spans="1:10" x14ac:dyDescent="0.25">
      <c r="A12738" t="s">
        <v>131</v>
      </c>
      <c r="B12738" s="1" t="str">
        <f>HYPERLINK("http://dpkleidung.com","dpkleidung.com")</f>
        <v>dpkleidung.com</v>
      </c>
      <c r="C12738" t="s">
        <v>433</v>
      </c>
      <c r="F12738">
        <v>4.73533006701245E-9</v>
      </c>
      <c r="G12738">
        <v>39035735</v>
      </c>
      <c r="H12738">
        <v>10364931</v>
      </c>
      <c r="I12738">
        <v>55026267</v>
      </c>
      <c r="J12738">
        <v>2</v>
      </c>
    </row>
    <row r="12739" spans="1:10" x14ac:dyDescent="0.25">
      <c r="A12739" t="s">
        <v>131</v>
      </c>
      <c r="B12739" s="1" t="str">
        <f>HYPERLINK("http://exelfreightconnect.com","exelfreightconnect.com")</f>
        <v>exelfreightconnect.com</v>
      </c>
      <c r="C12739" t="s">
        <v>433</v>
      </c>
      <c r="J12739">
        <v>3</v>
      </c>
    </row>
    <row r="12740" spans="1:10" x14ac:dyDescent="0.25">
      <c r="A12740" t="s">
        <v>131</v>
      </c>
      <c r="B12740" s="1" t="str">
        <f>HYPERLINK("http://exportacondhl.com","exportacondhl.com")</f>
        <v>exportacondhl.com</v>
      </c>
      <c r="C12740" t="s">
        <v>433</v>
      </c>
      <c r="F12740">
        <v>2.2726543729529799E-8</v>
      </c>
      <c r="G12740">
        <v>2303860</v>
      </c>
      <c r="H12740">
        <v>12773271</v>
      </c>
      <c r="I12740">
        <v>14818371</v>
      </c>
      <c r="J12740">
        <v>6</v>
      </c>
    </row>
    <row r="12741" spans="1:10" x14ac:dyDescent="0.25">
      <c r="A12741" t="s">
        <v>131</v>
      </c>
      <c r="B12741" s="1" t="str">
        <f>HYPERLINK("http://fuels-transport-logistics.com","fuels-transport-logistics.com")</f>
        <v>fuels-transport-logistics.com</v>
      </c>
      <c r="C12741" t="s">
        <v>433</v>
      </c>
      <c r="J12741">
        <v>5</v>
      </c>
    </row>
    <row r="12742" spans="1:10" x14ac:dyDescent="0.25">
      <c r="A12742" t="s">
        <v>131</v>
      </c>
      <c r="B12742" s="1" t="str">
        <f>HYPERLINK("http://hdloficial.com","hdloficial.com")</f>
        <v>hdloficial.com</v>
      </c>
      <c r="C12742" t="s">
        <v>433</v>
      </c>
      <c r="J12742">
        <v>4</v>
      </c>
    </row>
    <row r="12743" spans="1:10" x14ac:dyDescent="0.25">
      <c r="A12743" t="s">
        <v>131</v>
      </c>
      <c r="B12743" s="1" t="str">
        <f>HYPERLINK("http://hillebrand.com","hillebrand.com")</f>
        <v>hillebrand.com</v>
      </c>
      <c r="C12743" t="s">
        <v>433</v>
      </c>
      <c r="E12743">
        <v>513318</v>
      </c>
      <c r="F12743">
        <v>7.3904613988594094E-8</v>
      </c>
      <c r="G12743">
        <v>569782</v>
      </c>
      <c r="H12743">
        <v>14073416</v>
      </c>
      <c r="I12743">
        <v>2996137</v>
      </c>
      <c r="J12743">
        <v>3</v>
      </c>
    </row>
    <row r="12744" spans="1:10" x14ac:dyDescent="0.25">
      <c r="A12744" t="s">
        <v>131</v>
      </c>
      <c r="B12744" s="1" t="str">
        <f>HYPERLINK("http://hillebrandmexico.com","hillebrandmexico.com")</f>
        <v>hillebrandmexico.com</v>
      </c>
      <c r="C12744" t="s">
        <v>433</v>
      </c>
      <c r="J12744">
        <v>4</v>
      </c>
    </row>
    <row r="12745" spans="1:10" x14ac:dyDescent="0.25">
      <c r="A12745" t="s">
        <v>131</v>
      </c>
      <c r="B12745" s="1" t="str">
        <f>HYPERLINK("http://jfhillebrand.com","jfhillebrand.com")</f>
        <v>jfhillebrand.com</v>
      </c>
      <c r="C12745" t="s">
        <v>433</v>
      </c>
      <c r="E12745">
        <v>688596</v>
      </c>
      <c r="F12745">
        <v>3.2223612364581503E-8</v>
      </c>
      <c r="G12745">
        <v>1604712</v>
      </c>
      <c r="H12745">
        <v>13562125</v>
      </c>
      <c r="I12745">
        <v>9845415</v>
      </c>
      <c r="J12745">
        <v>3</v>
      </c>
    </row>
    <row r="12746" spans="1:10" x14ac:dyDescent="0.25">
      <c r="A12746" t="s">
        <v>131</v>
      </c>
      <c r="B12746" s="1" t="str">
        <f>HYPERLINK("http://jfhillebrandgroup.com","jfhillebrandgroup.com")</f>
        <v>jfhillebrandgroup.com</v>
      </c>
      <c r="C12746" t="s">
        <v>433</v>
      </c>
      <c r="F12746">
        <v>4.6013350739703196E-9</v>
      </c>
      <c r="G12746">
        <v>47502387</v>
      </c>
      <c r="H12746">
        <v>12559339</v>
      </c>
      <c r="I12746">
        <v>16724360</v>
      </c>
      <c r="J12746">
        <v>3</v>
      </c>
    </row>
    <row r="12747" spans="1:10" x14ac:dyDescent="0.25">
      <c r="A12747" t="s">
        <v>131</v>
      </c>
      <c r="B12747" s="1" t="str">
        <f>HYPERLINK("http://kosmol.com","kosmol.com")</f>
        <v>kosmol.com</v>
      </c>
      <c r="C12747" t="s">
        <v>433</v>
      </c>
      <c r="J12747">
        <v>4</v>
      </c>
    </row>
    <row r="12748" spans="1:10" x14ac:dyDescent="0.25">
      <c r="A12748" t="s">
        <v>131</v>
      </c>
      <c r="B12748" s="1" t="str">
        <f>HYPERLINK("http://polaraircargo.com","polaraircargo.com")</f>
        <v>polaraircargo.com</v>
      </c>
      <c r="C12748" t="s">
        <v>433</v>
      </c>
      <c r="E12748">
        <v>220388</v>
      </c>
      <c r="F12748">
        <v>5.3327997015103003E-8</v>
      </c>
      <c r="G12748">
        <v>853558</v>
      </c>
      <c r="H12748">
        <v>14821758</v>
      </c>
      <c r="I12748">
        <v>515563</v>
      </c>
      <c r="J12748">
        <v>3</v>
      </c>
    </row>
    <row r="12749" spans="1:10" x14ac:dyDescent="0.25">
      <c r="A12749" t="s">
        <v>131</v>
      </c>
      <c r="B12749" s="1" t="str">
        <f>HYPERLINK("http://rentenservice.com","rentenservice.com")</f>
        <v>rentenservice.com</v>
      </c>
      <c r="C12749" t="s">
        <v>433</v>
      </c>
      <c r="F12749">
        <v>3.8260546445641499E-8</v>
      </c>
      <c r="G12749">
        <v>1352944</v>
      </c>
      <c r="H12749">
        <v>14241968</v>
      </c>
      <c r="I12749">
        <v>1487676</v>
      </c>
      <c r="J12749">
        <v>3</v>
      </c>
    </row>
    <row r="12750" spans="1:10" x14ac:dyDescent="0.25">
      <c r="A12750" t="s">
        <v>131</v>
      </c>
      <c r="B12750" s="1" t="str">
        <f>HYPERLINK("http://saloodo.com","saloodo.com")</f>
        <v>saloodo.com</v>
      </c>
      <c r="C12750" t="s">
        <v>433</v>
      </c>
      <c r="E12750">
        <v>385551</v>
      </c>
      <c r="F12750">
        <v>6.8590268446368298E-8</v>
      </c>
      <c r="G12750">
        <v>620442</v>
      </c>
      <c r="H12750">
        <v>14192859</v>
      </c>
      <c r="I12750">
        <v>1744408</v>
      </c>
      <c r="J12750">
        <v>3</v>
      </c>
    </row>
    <row r="12751" spans="1:10" x14ac:dyDescent="0.25">
      <c r="A12751" t="s">
        <v>131</v>
      </c>
      <c r="B12751" s="1" t="str">
        <f>HYPERLINK("http://slg.com","slg.com")</f>
        <v>slg.com</v>
      </c>
      <c r="C12751" t="s">
        <v>433</v>
      </c>
      <c r="F12751">
        <v>2.25345676276206E-8</v>
      </c>
      <c r="G12751">
        <v>2324680</v>
      </c>
      <c r="H12751">
        <v>13167767</v>
      </c>
      <c r="I12751">
        <v>11733477</v>
      </c>
      <c r="J12751">
        <v>3</v>
      </c>
    </row>
    <row r="12752" spans="1:10" x14ac:dyDescent="0.25">
      <c r="A12752" t="s">
        <v>131</v>
      </c>
      <c r="B12752" s="1" t="str">
        <f>HYPERLINK("http://tradeteam.com","tradeteam.com")</f>
        <v>tradeteam.com</v>
      </c>
      <c r="C12752" t="s">
        <v>433</v>
      </c>
      <c r="F12752">
        <v>4.9846586732891196E-9</v>
      </c>
      <c r="G12752">
        <v>29820429</v>
      </c>
      <c r="H12752">
        <v>10767709</v>
      </c>
      <c r="I12752">
        <v>39333248</v>
      </c>
      <c r="J12752">
        <v>3</v>
      </c>
    </row>
    <row r="12753" spans="1:10" x14ac:dyDescent="0.25">
      <c r="A12753" t="s">
        <v>131</v>
      </c>
      <c r="B12753" s="1" t="str">
        <f>HYPERLINK("http://ukmail.com","ukmail.com")</f>
        <v>ukmail.com</v>
      </c>
      <c r="C12753" t="s">
        <v>433</v>
      </c>
      <c r="E12753">
        <v>507594</v>
      </c>
      <c r="F12753">
        <v>3.24932316519302E-7</v>
      </c>
      <c r="G12753">
        <v>114599</v>
      </c>
      <c r="H12753">
        <v>14272364</v>
      </c>
      <c r="I12753">
        <v>1395327</v>
      </c>
      <c r="J12753">
        <v>3</v>
      </c>
    </row>
    <row r="12754" spans="1:10" x14ac:dyDescent="0.25">
      <c r="A12754" t="s">
        <v>131</v>
      </c>
      <c r="B12754" s="1" t="str">
        <f>HYPERLINK("http://dhl.co.cr","dhl.co.cr")</f>
        <v>dhl.co.cr</v>
      </c>
      <c r="C12754" t="s">
        <v>434</v>
      </c>
      <c r="D12754" t="s">
        <v>813</v>
      </c>
      <c r="F12754">
        <v>1.8193692937952999E-8</v>
      </c>
      <c r="G12754">
        <v>2989104</v>
      </c>
      <c r="H12754">
        <v>12679966</v>
      </c>
      <c r="I12754">
        <v>15503053</v>
      </c>
      <c r="J12754">
        <v>3</v>
      </c>
    </row>
    <row r="12755" spans="1:10" x14ac:dyDescent="0.25">
      <c r="A12755" t="s">
        <v>131</v>
      </c>
      <c r="B12755" s="1" t="str">
        <f>HYPERLINK("http://dhl.cw","dhl.cw")</f>
        <v>dhl.cw</v>
      </c>
      <c r="C12755" t="s">
        <v>689</v>
      </c>
      <c r="D12755" t="s">
        <v>1006</v>
      </c>
      <c r="F12755">
        <v>1.6692809734247699E-8</v>
      </c>
      <c r="G12755">
        <v>3360564</v>
      </c>
      <c r="H12755">
        <v>12689725</v>
      </c>
      <c r="I12755">
        <v>15421706</v>
      </c>
      <c r="J12755">
        <v>3</v>
      </c>
    </row>
    <row r="12756" spans="1:10" x14ac:dyDescent="0.25">
      <c r="A12756" t="s">
        <v>131</v>
      </c>
      <c r="B12756" s="1" t="str">
        <f>HYPERLINK("http://dhl.com.cy","dhl.com.cy")</f>
        <v>dhl.com.cy</v>
      </c>
      <c r="C12756" t="s">
        <v>610</v>
      </c>
      <c r="D12756" t="s">
        <v>937</v>
      </c>
      <c r="F12756">
        <v>1.7898462961778801E-8</v>
      </c>
      <c r="G12756">
        <v>3053808</v>
      </c>
      <c r="H12756">
        <v>12701905</v>
      </c>
      <c r="I12756">
        <v>15344756</v>
      </c>
      <c r="J12756">
        <v>3</v>
      </c>
    </row>
    <row r="12757" spans="1:10" x14ac:dyDescent="0.25">
      <c r="A12757" t="s">
        <v>131</v>
      </c>
      <c r="B12757" s="1" t="str">
        <f>HYPERLINK("http://dhl.cz","dhl.cz")</f>
        <v>dhl.cz</v>
      </c>
      <c r="C12757" t="s">
        <v>435</v>
      </c>
      <c r="D12757" t="s">
        <v>814</v>
      </c>
      <c r="F12757">
        <v>1.50317516243228E-7</v>
      </c>
      <c r="G12757">
        <v>258461</v>
      </c>
      <c r="H12757">
        <v>12964576</v>
      </c>
      <c r="I12757">
        <v>13130603</v>
      </c>
      <c r="J12757">
        <v>3</v>
      </c>
    </row>
    <row r="12758" spans="1:10" x14ac:dyDescent="0.25">
      <c r="A12758" t="s">
        <v>131</v>
      </c>
      <c r="B12758" s="1" t="str">
        <f>HYPERLINK("http://ppl.cz","ppl.cz")</f>
        <v>ppl.cz</v>
      </c>
      <c r="C12758" t="s">
        <v>435</v>
      </c>
      <c r="D12758" t="s">
        <v>814</v>
      </c>
      <c r="E12758">
        <v>125466</v>
      </c>
      <c r="F12758">
        <v>1.1314317882747999E-6</v>
      </c>
      <c r="G12758">
        <v>34125</v>
      </c>
      <c r="H12758">
        <v>13322533</v>
      </c>
      <c r="I12758">
        <v>10739766</v>
      </c>
      <c r="J12758">
        <v>2</v>
      </c>
    </row>
    <row r="12759" spans="1:10" x14ac:dyDescent="0.25">
      <c r="A12759" t="s">
        <v>131</v>
      </c>
      <c r="B12759" s="1" t="str">
        <f>HYPERLINK("http://activesport.de","activesport.de")</f>
        <v>activesport.de</v>
      </c>
      <c r="C12759" t="s">
        <v>436</v>
      </c>
      <c r="D12759" t="s">
        <v>815</v>
      </c>
      <c r="F12759">
        <v>4.6048037860854498E-9</v>
      </c>
      <c r="G12759">
        <v>47244653</v>
      </c>
      <c r="H12759">
        <v>12031813</v>
      </c>
      <c r="I12759">
        <v>27623172</v>
      </c>
      <c r="J12759">
        <v>4</v>
      </c>
    </row>
    <row r="12760" spans="1:10" x14ac:dyDescent="0.25">
      <c r="A12760" t="s">
        <v>131</v>
      </c>
      <c r="B12760" s="1" t="str">
        <f>HYPERLINK("http://axel-bringts.de","axel-bringts.de")</f>
        <v>axel-bringts.de</v>
      </c>
      <c r="C12760" t="s">
        <v>436</v>
      </c>
      <c r="D12760" t="s">
        <v>815</v>
      </c>
      <c r="F12760">
        <v>6.8088659632747196E-9</v>
      </c>
      <c r="G12760">
        <v>12930489</v>
      </c>
      <c r="H12760">
        <v>12466985</v>
      </c>
      <c r="I12760">
        <v>17793217</v>
      </c>
      <c r="J12760">
        <v>6</v>
      </c>
    </row>
    <row r="12761" spans="1:10" x14ac:dyDescent="0.25">
      <c r="A12761" t="s">
        <v>131</v>
      </c>
      <c r="B12761" s="1" t="str">
        <f>HYPERLINK("http://axels-kiosk.de","axels-kiosk.de")</f>
        <v>axels-kiosk.de</v>
      </c>
      <c r="C12761" t="s">
        <v>436</v>
      </c>
      <c r="D12761" t="s">
        <v>815</v>
      </c>
      <c r="F12761">
        <v>1.0231340022138799E-8</v>
      </c>
      <c r="G12761">
        <v>6516404</v>
      </c>
      <c r="H12761">
        <v>9584771</v>
      </c>
      <c r="I12761">
        <v>64572973</v>
      </c>
      <c r="J12761">
        <v>4</v>
      </c>
    </row>
    <row r="12762" spans="1:10" x14ac:dyDescent="0.25">
      <c r="A12762" t="s">
        <v>131</v>
      </c>
      <c r="B12762" s="1" t="str">
        <f>HYPERLINK("http://designexpresswitten.de","designexpresswitten.de")</f>
        <v>designexpresswitten.de</v>
      </c>
      <c r="C12762" t="s">
        <v>436</v>
      </c>
      <c r="D12762" t="s">
        <v>815</v>
      </c>
      <c r="J12762">
        <v>4</v>
      </c>
    </row>
    <row r="12763" spans="1:10" x14ac:dyDescent="0.25">
      <c r="A12763" t="s">
        <v>131</v>
      </c>
      <c r="B12763" s="1" t="str">
        <f>HYPERLINK("http://deutschepost.de","deutschepost.de")</f>
        <v>deutschepost.de</v>
      </c>
      <c r="C12763" t="s">
        <v>436</v>
      </c>
      <c r="D12763" t="s">
        <v>815</v>
      </c>
      <c r="E12763">
        <v>11278</v>
      </c>
      <c r="F12763">
        <v>4.3341350341355697E-6</v>
      </c>
      <c r="G12763">
        <v>8187</v>
      </c>
      <c r="H12763">
        <v>17844892</v>
      </c>
      <c r="I12763">
        <v>5039</v>
      </c>
      <c r="J12763">
        <v>1</v>
      </c>
    </row>
    <row r="12764" spans="1:10" x14ac:dyDescent="0.25">
      <c r="A12764" t="s">
        <v>131</v>
      </c>
      <c r="B12764" s="1" t="str">
        <f>HYPERLINK("http://dhl.de","dhl.de")</f>
        <v>dhl.de</v>
      </c>
      <c r="C12764" t="s">
        <v>436</v>
      </c>
      <c r="D12764" t="s">
        <v>815</v>
      </c>
      <c r="E12764">
        <v>3098</v>
      </c>
      <c r="F12764">
        <v>6.7577722730566E-6</v>
      </c>
      <c r="G12764">
        <v>4969</v>
      </c>
      <c r="H12764">
        <v>17546800</v>
      </c>
      <c r="I12764">
        <v>11409</v>
      </c>
      <c r="J12764">
        <v>3</v>
      </c>
    </row>
    <row r="12765" spans="1:10" x14ac:dyDescent="0.25">
      <c r="A12765" t="s">
        <v>131</v>
      </c>
      <c r="B12765" s="1" t="str">
        <f>HYPERLINK("http://dhl-leupold.de","dhl-leupold.de")</f>
        <v>dhl-leupold.de</v>
      </c>
      <c r="C12765" t="s">
        <v>436</v>
      </c>
      <c r="D12765" t="s">
        <v>815</v>
      </c>
      <c r="J12765">
        <v>3</v>
      </c>
    </row>
    <row r="12766" spans="1:10" x14ac:dyDescent="0.25">
      <c r="A12766" t="s">
        <v>131</v>
      </c>
      <c r="B12766" s="1" t="str">
        <f>HYPERLINK("http://dhlkleidung.de","dhlkleidung.de")</f>
        <v>dhlkleidung.de</v>
      </c>
      <c r="C12766" t="s">
        <v>436</v>
      </c>
      <c r="D12766" t="s">
        <v>815</v>
      </c>
      <c r="J12766">
        <v>2</v>
      </c>
    </row>
    <row r="12767" spans="1:10" x14ac:dyDescent="0.25">
      <c r="A12767" t="s">
        <v>131</v>
      </c>
      <c r="B12767" s="1" t="str">
        <f>HYPERLINK("http://dpdhl.de","dpdhl.de")</f>
        <v>dpdhl.de</v>
      </c>
      <c r="C12767" t="s">
        <v>436</v>
      </c>
      <c r="D12767" t="s">
        <v>815</v>
      </c>
      <c r="F12767">
        <v>1.56995563953721E-7</v>
      </c>
      <c r="G12767">
        <v>247364</v>
      </c>
      <c r="H12767">
        <v>14070105</v>
      </c>
      <c r="I12767">
        <v>3718368</v>
      </c>
      <c r="J12767">
        <v>4</v>
      </c>
    </row>
    <row r="12768" spans="1:10" x14ac:dyDescent="0.25">
      <c r="A12768" t="s">
        <v>131</v>
      </c>
      <c r="B12768" s="1" t="str">
        <f>HYPERLINK("http://dpkleidung.de","dpkleidung.de")</f>
        <v>dpkleidung.de</v>
      </c>
      <c r="C12768" t="s">
        <v>436</v>
      </c>
      <c r="D12768" t="s">
        <v>815</v>
      </c>
      <c r="J12768">
        <v>2</v>
      </c>
    </row>
    <row r="12769" spans="1:10" x14ac:dyDescent="0.25">
      <c r="A12769" t="s">
        <v>131</v>
      </c>
      <c r="B12769" s="1" t="str">
        <f>HYPERLINK("http://dpwn.de","dpwn.de")</f>
        <v>dpwn.de</v>
      </c>
      <c r="C12769" t="s">
        <v>436</v>
      </c>
      <c r="D12769" t="s">
        <v>815</v>
      </c>
      <c r="F12769">
        <v>3.7294719534724697E-8</v>
      </c>
      <c r="G12769">
        <v>1388481</v>
      </c>
      <c r="H12769">
        <v>15004549</v>
      </c>
      <c r="I12769">
        <v>424698</v>
      </c>
      <c r="J12769">
        <v>3</v>
      </c>
    </row>
    <row r="12770" spans="1:10" x14ac:dyDescent="0.25">
      <c r="A12770" t="s">
        <v>131</v>
      </c>
      <c r="B12770" s="1" t="str">
        <f>HYPERLINK("http://duesseldorf-bilk-arcaden.de","duesseldorf-bilk-arcaden.de")</f>
        <v>duesseldorf-bilk-arcaden.de</v>
      </c>
      <c r="C12770" t="s">
        <v>436</v>
      </c>
      <c r="D12770" t="s">
        <v>815</v>
      </c>
      <c r="J12770">
        <v>3</v>
      </c>
    </row>
    <row r="12771" spans="1:10" x14ac:dyDescent="0.25">
      <c r="A12771" t="s">
        <v>131</v>
      </c>
      <c r="B12771" s="1" t="str">
        <f>HYPERLINK("http://epost.de","epost.de")</f>
        <v>epost.de</v>
      </c>
      <c r="C12771" t="s">
        <v>436</v>
      </c>
      <c r="D12771" t="s">
        <v>815</v>
      </c>
      <c r="E12771">
        <v>169536</v>
      </c>
      <c r="F12771">
        <v>1.8837584708472499E-7</v>
      </c>
      <c r="G12771">
        <v>204563</v>
      </c>
      <c r="H12771">
        <v>17094126</v>
      </c>
      <c r="I12771">
        <v>65022</v>
      </c>
      <c r="J12771">
        <v>3</v>
      </c>
    </row>
    <row r="12772" spans="1:10" x14ac:dyDescent="0.25">
      <c r="A12772" t="s">
        <v>131</v>
      </c>
      <c r="B12772" s="1" t="str">
        <f>HYPERLINK("http://foto-genz-gmbh.de","foto-genz-gmbh.de")</f>
        <v>foto-genz-gmbh.de</v>
      </c>
      <c r="C12772" t="s">
        <v>436</v>
      </c>
      <c r="D12772" t="s">
        <v>815</v>
      </c>
      <c r="F12772">
        <v>8.6517555312346693E-9</v>
      </c>
      <c r="G12772">
        <v>8563579</v>
      </c>
      <c r="H12772">
        <v>12171574</v>
      </c>
      <c r="I12772">
        <v>24032214</v>
      </c>
      <c r="J12772">
        <v>3</v>
      </c>
    </row>
    <row r="12773" spans="1:10" x14ac:dyDescent="0.25">
      <c r="A12773" t="s">
        <v>131</v>
      </c>
      <c r="B12773" s="1" t="str">
        <f>HYPERLINK("http://foto-master.de","foto-master.de")</f>
        <v>foto-master.de</v>
      </c>
      <c r="C12773" t="s">
        <v>436</v>
      </c>
      <c r="D12773" t="s">
        <v>815</v>
      </c>
      <c r="F12773">
        <v>4.65423763756668E-9</v>
      </c>
      <c r="G12773">
        <v>43862500</v>
      </c>
      <c r="H12773">
        <v>7808558.5</v>
      </c>
      <c r="I12773">
        <v>75607813</v>
      </c>
      <c r="J12773">
        <v>3</v>
      </c>
    </row>
    <row r="12774" spans="1:10" x14ac:dyDescent="0.25">
      <c r="A12774" t="s">
        <v>131</v>
      </c>
      <c r="B12774" s="1" t="str">
        <f>HYPERLINK("http://gerdasdiveshop.de","gerdasdiveshop.de")</f>
        <v>gerdasdiveshop.de</v>
      </c>
      <c r="C12774" t="s">
        <v>436</v>
      </c>
      <c r="D12774" t="s">
        <v>815</v>
      </c>
      <c r="F12774">
        <v>6.1620486566064796E-9</v>
      </c>
      <c r="G12774">
        <v>15735579</v>
      </c>
      <c r="H12774">
        <v>12880849</v>
      </c>
      <c r="I12774">
        <v>13995970</v>
      </c>
      <c r="J12774">
        <v>4</v>
      </c>
    </row>
    <row r="12775" spans="1:10" x14ac:dyDescent="0.25">
      <c r="A12775" t="s">
        <v>131</v>
      </c>
      <c r="B12775" s="1" t="str">
        <f>HYPERLINK("http://lfs-service.de","lfs-service.de")</f>
        <v>lfs-service.de</v>
      </c>
      <c r="C12775" t="s">
        <v>436</v>
      </c>
      <c r="D12775" t="s">
        <v>815</v>
      </c>
      <c r="F12775">
        <v>5.4612676729402299E-9</v>
      </c>
      <c r="G12775">
        <v>21345796</v>
      </c>
      <c r="H12775">
        <v>9685320</v>
      </c>
      <c r="I12775">
        <v>63587350</v>
      </c>
      <c r="J12775">
        <v>3</v>
      </c>
    </row>
    <row r="12776" spans="1:10" x14ac:dyDescent="0.25">
      <c r="A12776" t="s">
        <v>131</v>
      </c>
      <c r="B12776" s="1" t="str">
        <f>HYPERLINK("http://packstation.de","packstation.de")</f>
        <v>packstation.de</v>
      </c>
      <c r="C12776" t="s">
        <v>436</v>
      </c>
      <c r="D12776" t="s">
        <v>815</v>
      </c>
      <c r="E12776">
        <v>950880</v>
      </c>
      <c r="F12776">
        <v>8.8947589571174501E-8</v>
      </c>
      <c r="G12776">
        <v>459710</v>
      </c>
      <c r="H12776">
        <v>14255583</v>
      </c>
      <c r="I12776">
        <v>1432666</v>
      </c>
      <c r="J12776">
        <v>4</v>
      </c>
    </row>
    <row r="12777" spans="1:10" x14ac:dyDescent="0.25">
      <c r="A12777" t="s">
        <v>131</v>
      </c>
      <c r="B12777" s="1" t="str">
        <f>HYPERLINK("http://post.de","post.de")</f>
        <v>post.de</v>
      </c>
      <c r="C12777" t="s">
        <v>436</v>
      </c>
      <c r="D12777" t="s">
        <v>815</v>
      </c>
      <c r="E12777">
        <v>981050</v>
      </c>
      <c r="F12777">
        <v>2.3048840431218199E-8</v>
      </c>
      <c r="G12777">
        <v>2265319</v>
      </c>
      <c r="H12777">
        <v>13837099</v>
      </c>
      <c r="I12777">
        <v>6083327</v>
      </c>
      <c r="J12777">
        <v>3</v>
      </c>
    </row>
    <row r="12778" spans="1:10" x14ac:dyDescent="0.25">
      <c r="A12778" t="s">
        <v>131</v>
      </c>
      <c r="B12778" s="1" t="str">
        <f>HYPERLINK("http://postadress.de","postadress.de")</f>
        <v>postadress.de</v>
      </c>
      <c r="C12778" t="s">
        <v>436</v>
      </c>
      <c r="D12778" t="s">
        <v>815</v>
      </c>
      <c r="F12778">
        <v>3.20161541697013E-8</v>
      </c>
      <c r="G12778">
        <v>1614399</v>
      </c>
      <c r="H12778">
        <v>12621831</v>
      </c>
      <c r="I12778">
        <v>16077566</v>
      </c>
      <c r="J12778">
        <v>2</v>
      </c>
    </row>
    <row r="12779" spans="1:10" x14ac:dyDescent="0.25">
      <c r="A12779" t="s">
        <v>131</v>
      </c>
      <c r="B12779" s="1" t="str">
        <f>HYPERLINK("http://postbus.de","postbus.de")</f>
        <v>postbus.de</v>
      </c>
      <c r="C12779" t="s">
        <v>436</v>
      </c>
      <c r="D12779" t="s">
        <v>815</v>
      </c>
      <c r="F12779">
        <v>1.49071001868792E-8</v>
      </c>
      <c r="G12779">
        <v>3870300</v>
      </c>
      <c r="H12779">
        <v>13788681</v>
      </c>
      <c r="I12779">
        <v>6361893</v>
      </c>
      <c r="J12779">
        <v>3</v>
      </c>
    </row>
    <row r="12780" spans="1:10" x14ac:dyDescent="0.25">
      <c r="A12780" t="s">
        <v>131</v>
      </c>
      <c r="B12780" s="1" t="str">
        <f>HYPERLINK("http://postident.de","postident.de")</f>
        <v>postident.de</v>
      </c>
      <c r="C12780" t="s">
        <v>436</v>
      </c>
      <c r="D12780" t="s">
        <v>815</v>
      </c>
      <c r="F12780">
        <v>5.0292854048579696E-9</v>
      </c>
      <c r="G12780">
        <v>28685543</v>
      </c>
      <c r="H12780">
        <v>12434251</v>
      </c>
      <c r="I12780">
        <v>18226139</v>
      </c>
      <c r="J12780">
        <v>2</v>
      </c>
    </row>
    <row r="12781" spans="1:10" x14ac:dyDescent="0.25">
      <c r="A12781" t="s">
        <v>131</v>
      </c>
      <c r="B12781" s="1" t="str">
        <f>HYPERLINK("http://printecke.de","printecke.de")</f>
        <v>printecke.de</v>
      </c>
      <c r="C12781" t="s">
        <v>436</v>
      </c>
      <c r="D12781" t="s">
        <v>815</v>
      </c>
      <c r="F12781">
        <v>4.7224430097929596E-9</v>
      </c>
      <c r="G12781">
        <v>40086487</v>
      </c>
      <c r="H12781">
        <v>12664447</v>
      </c>
      <c r="I12781">
        <v>15682521</v>
      </c>
      <c r="J12781">
        <v>4</v>
      </c>
    </row>
    <row r="12782" spans="1:10" x14ac:dyDescent="0.25">
      <c r="A12782" t="s">
        <v>131</v>
      </c>
      <c r="B12782" s="1" t="str">
        <f>HYPERLINK("http://scherbauer.de","scherbauer.de")</f>
        <v>scherbauer.de</v>
      </c>
      <c r="C12782" t="s">
        <v>436</v>
      </c>
      <c r="D12782" t="s">
        <v>815</v>
      </c>
      <c r="F12782">
        <v>6.7786896627951302E-9</v>
      </c>
      <c r="G12782">
        <v>13031980</v>
      </c>
      <c r="H12782">
        <v>11927850</v>
      </c>
      <c r="I12782">
        <v>29338043</v>
      </c>
      <c r="J12782">
        <v>3</v>
      </c>
    </row>
    <row r="12783" spans="1:10" x14ac:dyDescent="0.25">
      <c r="A12783" t="s">
        <v>131</v>
      </c>
      <c r="B12783" s="1" t="str">
        <f>HYPERLINK("http://unicomputershop.de","unicomputershop.de")</f>
        <v>unicomputershop.de</v>
      </c>
      <c r="C12783" t="s">
        <v>436</v>
      </c>
      <c r="D12783" t="s">
        <v>815</v>
      </c>
      <c r="F12783">
        <v>4.44420093718128E-9</v>
      </c>
      <c r="G12783">
        <v>77282528</v>
      </c>
      <c r="H12783">
        <v>10608553</v>
      </c>
      <c r="I12783">
        <v>44611169</v>
      </c>
      <c r="J12783">
        <v>4</v>
      </c>
    </row>
    <row r="12784" spans="1:10" x14ac:dyDescent="0.25">
      <c r="A12784" t="s">
        <v>131</v>
      </c>
      <c r="B12784" s="1" t="str">
        <f>HYPERLINK("http://unitrans-hauptvogel.de","unitrans-hauptvogel.de")</f>
        <v>unitrans-hauptvogel.de</v>
      </c>
      <c r="C12784" t="s">
        <v>436</v>
      </c>
      <c r="D12784" t="s">
        <v>815</v>
      </c>
      <c r="F12784">
        <v>1.2145491813053301E-8</v>
      </c>
      <c r="G12784">
        <v>5082249</v>
      </c>
      <c r="H12784">
        <v>13136645</v>
      </c>
      <c r="I12784">
        <v>11901339</v>
      </c>
      <c r="J12784">
        <v>3</v>
      </c>
    </row>
    <row r="12785" spans="1:10" x14ac:dyDescent="0.25">
      <c r="A12785" t="s">
        <v>131</v>
      </c>
      <c r="B12785" s="1" t="str">
        <f>HYPERLINK("http://wahl-unitrans.de","wahl-unitrans.de")</f>
        <v>wahl-unitrans.de</v>
      </c>
      <c r="C12785" t="s">
        <v>436</v>
      </c>
      <c r="D12785" t="s">
        <v>815</v>
      </c>
      <c r="J12785">
        <v>3</v>
      </c>
    </row>
    <row r="12786" spans="1:10" x14ac:dyDescent="0.25">
      <c r="A12786" t="s">
        <v>131</v>
      </c>
      <c r="B12786" s="1" t="str">
        <f>HYPERLINK("http://express.dhl","express.dhl")</f>
        <v>express.dhl</v>
      </c>
      <c r="C12786" t="s">
        <v>750</v>
      </c>
      <c r="E12786">
        <v>6386</v>
      </c>
      <c r="F12786">
        <v>2.1747474955215302E-6</v>
      </c>
      <c r="G12786">
        <v>16864</v>
      </c>
      <c r="H12786">
        <v>17226166</v>
      </c>
      <c r="I12786">
        <v>37477</v>
      </c>
      <c r="J12786">
        <v>4</v>
      </c>
    </row>
    <row r="12787" spans="1:10" x14ac:dyDescent="0.25">
      <c r="A12787" t="s">
        <v>131</v>
      </c>
      <c r="B12787" s="1" t="str">
        <f>HYPERLINK("http://logistics.dhl","logistics.dhl")</f>
        <v>logistics.dhl</v>
      </c>
      <c r="C12787" t="s">
        <v>750</v>
      </c>
      <c r="E12787">
        <v>69969</v>
      </c>
      <c r="F12787">
        <v>1.3888398819293E-6</v>
      </c>
      <c r="G12787">
        <v>28085</v>
      </c>
      <c r="H12787">
        <v>17438244</v>
      </c>
      <c r="I12787">
        <v>16784</v>
      </c>
      <c r="J12787">
        <v>3</v>
      </c>
    </row>
    <row r="12788" spans="1:10" x14ac:dyDescent="0.25">
      <c r="A12788" t="s">
        <v>131</v>
      </c>
      <c r="B12788" s="1" t="str">
        <f>HYPERLINK("http://dhl.dk","dhl.dk")</f>
        <v>dhl.dk</v>
      </c>
      <c r="C12788" t="s">
        <v>437</v>
      </c>
      <c r="D12788" t="s">
        <v>816</v>
      </c>
      <c r="F12788">
        <v>4.7669981375876303E-8</v>
      </c>
      <c r="G12788">
        <v>976605</v>
      </c>
      <c r="H12788">
        <v>14081230</v>
      </c>
      <c r="I12788">
        <v>2812317</v>
      </c>
      <c r="J12788">
        <v>3</v>
      </c>
    </row>
    <row r="12789" spans="1:10" x14ac:dyDescent="0.25">
      <c r="A12789" t="s">
        <v>131</v>
      </c>
      <c r="B12789" s="1" t="str">
        <f>HYPERLINK("http://dhl.com.do","dhl.com.do")</f>
        <v>dhl.com.do</v>
      </c>
      <c r="C12789" t="s">
        <v>438</v>
      </c>
      <c r="D12789" t="s">
        <v>817</v>
      </c>
      <c r="F12789">
        <v>1.9462477020626899E-8</v>
      </c>
      <c r="G12789">
        <v>2751756</v>
      </c>
      <c r="H12789">
        <v>12761909</v>
      </c>
      <c r="I12789">
        <v>14940273</v>
      </c>
      <c r="J12789">
        <v>3</v>
      </c>
    </row>
    <row r="12790" spans="1:10" x14ac:dyDescent="0.25">
      <c r="A12790" t="s">
        <v>131</v>
      </c>
      <c r="B12790" s="1" t="str">
        <f>HYPERLINK("http://dhl.dz","dhl.dz")</f>
        <v>dhl.dz</v>
      </c>
      <c r="C12790" t="s">
        <v>439</v>
      </c>
      <c r="D12790" t="s">
        <v>818</v>
      </c>
      <c r="F12790">
        <v>1.79175807339141E-8</v>
      </c>
      <c r="G12790">
        <v>3049800</v>
      </c>
      <c r="H12790">
        <v>12672521</v>
      </c>
      <c r="I12790">
        <v>15601024</v>
      </c>
      <c r="J12790">
        <v>3</v>
      </c>
    </row>
    <row r="12791" spans="1:10" x14ac:dyDescent="0.25">
      <c r="A12791" t="s">
        <v>131</v>
      </c>
      <c r="B12791" s="1" t="str">
        <f>HYPERLINK("http://dhl.com.ec","dhl.com.ec")</f>
        <v>dhl.com.ec</v>
      </c>
      <c r="C12791" t="s">
        <v>440</v>
      </c>
      <c r="D12791" t="s">
        <v>819</v>
      </c>
      <c r="F12791">
        <v>1.8298745837774201E-8</v>
      </c>
      <c r="G12791">
        <v>2967684</v>
      </c>
      <c r="H12791">
        <v>12723519</v>
      </c>
      <c r="I12791">
        <v>15235952</v>
      </c>
      <c r="J12791">
        <v>3</v>
      </c>
    </row>
    <row r="12792" spans="1:10" x14ac:dyDescent="0.25">
      <c r="A12792" t="s">
        <v>131</v>
      </c>
      <c r="B12792" s="1" t="str">
        <f>HYPERLINK("http://dhl.ee","dhl.ee")</f>
        <v>dhl.ee</v>
      </c>
      <c r="C12792" t="s">
        <v>441</v>
      </c>
      <c r="D12792" t="s">
        <v>820</v>
      </c>
      <c r="F12792">
        <v>3.1090837529323397E-8</v>
      </c>
      <c r="G12792">
        <v>1657933</v>
      </c>
      <c r="H12792">
        <v>14076834</v>
      </c>
      <c r="I12792">
        <v>2879044</v>
      </c>
      <c r="J12792">
        <v>3</v>
      </c>
    </row>
    <row r="12793" spans="1:10" x14ac:dyDescent="0.25">
      <c r="A12793" t="s">
        <v>131</v>
      </c>
      <c r="B12793" s="1" t="str">
        <f>HYPERLINK("http://dhl.es","dhl.es")</f>
        <v>dhl.es</v>
      </c>
      <c r="C12793" t="s">
        <v>443</v>
      </c>
      <c r="D12793" t="s">
        <v>822</v>
      </c>
      <c r="E12793">
        <v>161628</v>
      </c>
      <c r="F12793">
        <v>1.5255481123814499E-7</v>
      </c>
      <c r="G12793">
        <v>254591</v>
      </c>
      <c r="H12793">
        <v>14628993</v>
      </c>
      <c r="I12793">
        <v>646982</v>
      </c>
      <c r="J12793">
        <v>3</v>
      </c>
    </row>
    <row r="12794" spans="1:10" x14ac:dyDescent="0.25">
      <c r="A12794" t="s">
        <v>131</v>
      </c>
      <c r="B12794" s="1" t="str">
        <f>HYPERLINK("http://dhl.com.et","dhl.com.et")</f>
        <v>dhl.com.et</v>
      </c>
      <c r="C12794" t="s">
        <v>635</v>
      </c>
      <c r="D12794" t="s">
        <v>956</v>
      </c>
      <c r="F12794">
        <v>1.7216929366213499E-8</v>
      </c>
      <c r="G12794">
        <v>3220471</v>
      </c>
      <c r="H12794">
        <v>12689941</v>
      </c>
      <c r="I12794">
        <v>15420381</v>
      </c>
      <c r="J12794">
        <v>3</v>
      </c>
    </row>
    <row r="12795" spans="1:10" x14ac:dyDescent="0.25">
      <c r="A12795" t="s">
        <v>131</v>
      </c>
      <c r="B12795" s="1" t="str">
        <f>HYPERLINK("http://juergen-manheller.eu","juergen-manheller.eu")</f>
        <v>juergen-manheller.eu</v>
      </c>
      <c r="C12795" t="s">
        <v>444</v>
      </c>
      <c r="J12795">
        <v>5</v>
      </c>
    </row>
    <row r="12796" spans="1:10" x14ac:dyDescent="0.25">
      <c r="A12796" t="s">
        <v>131</v>
      </c>
      <c r="B12796" s="1" t="str">
        <f>HYPERLINK("http://deutsche-post.fi","deutsche-post.fi")</f>
        <v>deutsche-post.fi</v>
      </c>
      <c r="C12796" t="s">
        <v>445</v>
      </c>
      <c r="D12796" t="s">
        <v>823</v>
      </c>
      <c r="J12796">
        <v>4</v>
      </c>
    </row>
    <row r="12797" spans="1:10" x14ac:dyDescent="0.25">
      <c r="A12797" t="s">
        <v>131</v>
      </c>
      <c r="B12797" s="1" t="str">
        <f>HYPERLINK("http://deutschepost.fi","deutschepost.fi")</f>
        <v>deutschepost.fi</v>
      </c>
      <c r="C12797" t="s">
        <v>445</v>
      </c>
      <c r="D12797" t="s">
        <v>823</v>
      </c>
      <c r="J12797">
        <v>4</v>
      </c>
    </row>
    <row r="12798" spans="1:10" x14ac:dyDescent="0.25">
      <c r="A12798" t="s">
        <v>131</v>
      </c>
      <c r="B12798" s="1" t="str">
        <f>HYPERLINK("http://dgf.fi","dgf.fi")</f>
        <v>dgf.fi</v>
      </c>
      <c r="C12798" t="s">
        <v>445</v>
      </c>
      <c r="D12798" t="s">
        <v>823</v>
      </c>
      <c r="F12798">
        <v>4.7261704160525103E-9</v>
      </c>
      <c r="G12798">
        <v>39534171</v>
      </c>
      <c r="H12798">
        <v>13763633</v>
      </c>
      <c r="I12798">
        <v>9126431</v>
      </c>
      <c r="J12798">
        <v>2</v>
      </c>
    </row>
    <row r="12799" spans="1:10" x14ac:dyDescent="0.25">
      <c r="A12799" t="s">
        <v>131</v>
      </c>
      <c r="B12799" s="1" t="str">
        <f>HYPERLINK("http://dhl.fi","dhl.fi")</f>
        <v>dhl.fi</v>
      </c>
      <c r="C12799" t="s">
        <v>445</v>
      </c>
      <c r="D12799" t="s">
        <v>823</v>
      </c>
      <c r="F12799">
        <v>4.7267406546171602E-8</v>
      </c>
      <c r="G12799">
        <v>986180</v>
      </c>
      <c r="H12799">
        <v>14244272</v>
      </c>
      <c r="I12799">
        <v>1472629</v>
      </c>
      <c r="J12799">
        <v>3</v>
      </c>
    </row>
    <row r="12800" spans="1:10" x14ac:dyDescent="0.25">
      <c r="A12800" t="s">
        <v>131</v>
      </c>
      <c r="B12800" s="1" t="str">
        <f>HYPERLINK("http://dhl-express.fi","dhl-express.fi")</f>
        <v>dhl-express.fi</v>
      </c>
      <c r="C12800" t="s">
        <v>445</v>
      </c>
      <c r="D12800" t="s">
        <v>823</v>
      </c>
      <c r="J12800">
        <v>4</v>
      </c>
    </row>
    <row r="12801" spans="1:10" x14ac:dyDescent="0.25">
      <c r="A12801" t="s">
        <v>131</v>
      </c>
      <c r="B12801" s="1" t="str">
        <f>HYPERLINK("http://dhl-freight.fi","dhl-freight.fi")</f>
        <v>dhl-freight.fi</v>
      </c>
      <c r="C12801" t="s">
        <v>445</v>
      </c>
      <c r="D12801" t="s">
        <v>823</v>
      </c>
      <c r="J12801">
        <v>4</v>
      </c>
    </row>
    <row r="12802" spans="1:10" x14ac:dyDescent="0.25">
      <c r="A12802" t="s">
        <v>131</v>
      </c>
      <c r="B12802" s="1" t="str">
        <f>HYPERLINK("http://dhl-paketti.fi","dhl-paketti.fi")</f>
        <v>dhl-paketti.fi</v>
      </c>
      <c r="C12802" t="s">
        <v>445</v>
      </c>
      <c r="D12802" t="s">
        <v>823</v>
      </c>
      <c r="J12802">
        <v>4</v>
      </c>
    </row>
    <row r="12803" spans="1:10" x14ac:dyDescent="0.25">
      <c r="A12803" t="s">
        <v>131</v>
      </c>
      <c r="B12803" s="1" t="str">
        <f>HYPERLINK("http://dhl-parcel.fi","dhl-parcel.fi")</f>
        <v>dhl-parcel.fi</v>
      </c>
      <c r="C12803" t="s">
        <v>445</v>
      </c>
      <c r="D12803" t="s">
        <v>823</v>
      </c>
      <c r="J12803">
        <v>4</v>
      </c>
    </row>
    <row r="12804" spans="1:10" x14ac:dyDescent="0.25">
      <c r="A12804" t="s">
        <v>131</v>
      </c>
      <c r="B12804" s="1" t="str">
        <f>HYPERLINK("http://dhlexpress.fi","dhlexpress.fi")</f>
        <v>dhlexpress.fi</v>
      </c>
      <c r="C12804" t="s">
        <v>445</v>
      </c>
      <c r="D12804" t="s">
        <v>823</v>
      </c>
      <c r="F12804">
        <v>4.4447707232553003E-9</v>
      </c>
      <c r="G12804">
        <v>76118728</v>
      </c>
      <c r="H12804">
        <v>10344101</v>
      </c>
      <c r="I12804">
        <v>57337236</v>
      </c>
      <c r="J12804">
        <v>4</v>
      </c>
    </row>
    <row r="12805" spans="1:10" x14ac:dyDescent="0.25">
      <c r="A12805" t="s">
        <v>131</v>
      </c>
      <c r="B12805" s="1" t="str">
        <f>HYPERLINK("http://dhlfreight.fi","dhlfreight.fi")</f>
        <v>dhlfreight.fi</v>
      </c>
      <c r="C12805" t="s">
        <v>445</v>
      </c>
      <c r="D12805" t="s">
        <v>823</v>
      </c>
      <c r="F12805">
        <v>4.6349695243983804E-9</v>
      </c>
      <c r="G12805">
        <v>45095412</v>
      </c>
      <c r="H12805">
        <v>10599557</v>
      </c>
      <c r="I12805">
        <v>44922912</v>
      </c>
      <c r="J12805">
        <v>4</v>
      </c>
    </row>
    <row r="12806" spans="1:10" x14ac:dyDescent="0.25">
      <c r="A12806" t="s">
        <v>131</v>
      </c>
      <c r="B12806" s="1" t="str">
        <f>HYPERLINK("http://dhlpaketti.fi","dhlpaketti.fi")</f>
        <v>dhlpaketti.fi</v>
      </c>
      <c r="C12806" t="s">
        <v>445</v>
      </c>
      <c r="D12806" t="s">
        <v>823</v>
      </c>
      <c r="J12806">
        <v>4</v>
      </c>
    </row>
    <row r="12807" spans="1:10" x14ac:dyDescent="0.25">
      <c r="A12807" t="s">
        <v>131</v>
      </c>
      <c r="B12807" s="1" t="str">
        <f>HYPERLINK("http://dhlparcel.fi","dhlparcel.fi")</f>
        <v>dhlparcel.fi</v>
      </c>
      <c r="C12807" t="s">
        <v>445</v>
      </c>
      <c r="D12807" t="s">
        <v>823</v>
      </c>
      <c r="F12807">
        <v>4.4440876141971E-9</v>
      </c>
      <c r="G12807">
        <v>77542748</v>
      </c>
      <c r="H12807">
        <v>10461247</v>
      </c>
      <c r="I12807">
        <v>51782499</v>
      </c>
      <c r="J12807">
        <v>4</v>
      </c>
    </row>
    <row r="12808" spans="1:10" x14ac:dyDescent="0.25">
      <c r="A12808" t="s">
        <v>131</v>
      </c>
      <c r="B12808" s="1" t="str">
        <f>HYPERLINK("http://dhlsc.fi","dhlsc.fi")</f>
        <v>dhlsc.fi</v>
      </c>
      <c r="C12808" t="s">
        <v>445</v>
      </c>
      <c r="D12808" t="s">
        <v>823</v>
      </c>
      <c r="F12808">
        <v>4.78665867443525E-9</v>
      </c>
      <c r="G12808">
        <v>36685093</v>
      </c>
      <c r="H12808">
        <v>10599013</v>
      </c>
      <c r="I12808">
        <v>44955803</v>
      </c>
      <c r="J12808">
        <v>2</v>
      </c>
    </row>
    <row r="12809" spans="1:10" x14ac:dyDescent="0.25">
      <c r="A12809" t="s">
        <v>131</v>
      </c>
      <c r="B12809" s="1" t="str">
        <f>HYPERLINK("http://express-easy.fi","express-easy.fi")</f>
        <v>express-easy.fi</v>
      </c>
      <c r="C12809" t="s">
        <v>445</v>
      </c>
      <c r="D12809" t="s">
        <v>823</v>
      </c>
      <c r="J12809">
        <v>2</v>
      </c>
    </row>
    <row r="12810" spans="1:10" x14ac:dyDescent="0.25">
      <c r="A12810" t="s">
        <v>131</v>
      </c>
      <c r="B12810" s="1" t="str">
        <f>HYPERLINK("http://expresseasy.fi","expresseasy.fi")</f>
        <v>expresseasy.fi</v>
      </c>
      <c r="C12810" t="s">
        <v>445</v>
      </c>
      <c r="D12810" t="s">
        <v>823</v>
      </c>
      <c r="F12810">
        <v>2.1887228797792701E-8</v>
      </c>
      <c r="G12810">
        <v>2399543</v>
      </c>
      <c r="H12810">
        <v>12195659</v>
      </c>
      <c r="I12810">
        <v>23435449</v>
      </c>
      <c r="J12810">
        <v>4</v>
      </c>
    </row>
    <row r="12811" spans="1:10" x14ac:dyDescent="0.25">
      <c r="A12811" t="s">
        <v>131</v>
      </c>
      <c r="B12811" s="1" t="str">
        <f>HYPERLINK("http://intraship-dhl.fi","intraship-dhl.fi")</f>
        <v>intraship-dhl.fi</v>
      </c>
      <c r="C12811" t="s">
        <v>445</v>
      </c>
      <c r="D12811" t="s">
        <v>823</v>
      </c>
      <c r="J12811">
        <v>2</v>
      </c>
    </row>
    <row r="12812" spans="1:10" x14ac:dyDescent="0.25">
      <c r="A12812" t="s">
        <v>131</v>
      </c>
      <c r="B12812" s="1" t="str">
        <f>HYPERLINK("http://my-dhl.fi","my-dhl.fi")</f>
        <v>my-dhl.fi</v>
      </c>
      <c r="C12812" t="s">
        <v>445</v>
      </c>
      <c r="D12812" t="s">
        <v>823</v>
      </c>
      <c r="J12812">
        <v>4</v>
      </c>
    </row>
    <row r="12813" spans="1:10" x14ac:dyDescent="0.25">
      <c r="A12813" t="s">
        <v>131</v>
      </c>
      <c r="B12813" s="1" t="str">
        <f>HYPERLINK("http://mydhl.fi","mydhl.fi")</f>
        <v>mydhl.fi</v>
      </c>
      <c r="C12813" t="s">
        <v>445</v>
      </c>
      <c r="D12813" t="s">
        <v>823</v>
      </c>
      <c r="J12813">
        <v>2</v>
      </c>
    </row>
    <row r="12814" spans="1:10" x14ac:dyDescent="0.25">
      <c r="A12814" t="s">
        <v>131</v>
      </c>
      <c r="B12814" s="1" t="str">
        <f>HYPERLINK("http://mydhlfreight.fi","mydhlfreight.fi")</f>
        <v>mydhlfreight.fi</v>
      </c>
      <c r="C12814" t="s">
        <v>445</v>
      </c>
      <c r="D12814" t="s">
        <v>823</v>
      </c>
      <c r="J12814">
        <v>2</v>
      </c>
    </row>
    <row r="12815" spans="1:10" x14ac:dyDescent="0.25">
      <c r="A12815" t="s">
        <v>131</v>
      </c>
      <c r="B12815" s="1" t="str">
        <f>HYPERLINK("http://saloodo.fi","saloodo.fi")</f>
        <v>saloodo.fi</v>
      </c>
      <c r="C12815" t="s">
        <v>445</v>
      </c>
      <c r="D12815" t="s">
        <v>823</v>
      </c>
      <c r="J12815">
        <v>2</v>
      </c>
    </row>
    <row r="12816" spans="1:10" x14ac:dyDescent="0.25">
      <c r="A12816" t="s">
        <v>131</v>
      </c>
      <c r="B12816" s="1" t="str">
        <f>HYPERLINK("http://dhl.com.fj","dhl.com.fj")</f>
        <v>dhl.com.fj</v>
      </c>
      <c r="C12816" t="s">
        <v>636</v>
      </c>
      <c r="D12816" t="s">
        <v>957</v>
      </c>
      <c r="F12816">
        <v>1.6663320873480199E-8</v>
      </c>
      <c r="G12816">
        <v>3368234</v>
      </c>
      <c r="H12816">
        <v>12638614</v>
      </c>
      <c r="I12816">
        <v>15886244</v>
      </c>
      <c r="J12816">
        <v>3</v>
      </c>
    </row>
    <row r="12817" spans="1:10" x14ac:dyDescent="0.25">
      <c r="A12817" t="s">
        <v>131</v>
      </c>
      <c r="B12817" s="1" t="str">
        <f>HYPERLINK("http://dhl.fr","dhl.fr")</f>
        <v>dhl.fr</v>
      </c>
      <c r="C12817" t="s">
        <v>446</v>
      </c>
      <c r="D12817" t="s">
        <v>824</v>
      </c>
      <c r="E12817">
        <v>758723</v>
      </c>
      <c r="F12817">
        <v>1.54455815832552E-7</v>
      </c>
      <c r="G12817">
        <v>251468</v>
      </c>
      <c r="H12817">
        <v>14507997</v>
      </c>
      <c r="I12817">
        <v>829439</v>
      </c>
      <c r="J12817">
        <v>3</v>
      </c>
    </row>
    <row r="12818" spans="1:10" x14ac:dyDescent="0.25">
      <c r="A12818" t="s">
        <v>131</v>
      </c>
      <c r="B12818" s="1" t="str">
        <f>HYPERLINK("http://dhl.ga","dhl.ga")</f>
        <v>dhl.ga</v>
      </c>
      <c r="C12818" t="s">
        <v>544</v>
      </c>
      <c r="D12818" t="s">
        <v>902</v>
      </c>
      <c r="F12818">
        <v>1.67095510462436E-8</v>
      </c>
      <c r="G12818">
        <v>3356411</v>
      </c>
      <c r="H12818">
        <v>12696673</v>
      </c>
      <c r="I12818">
        <v>15377947</v>
      </c>
      <c r="J12818">
        <v>3</v>
      </c>
    </row>
    <row r="12819" spans="1:10" x14ac:dyDescent="0.25">
      <c r="A12819" t="s">
        <v>131</v>
      </c>
      <c r="B12819" s="1" t="str">
        <f>HYPERLINK("http://dhl.com.ge","dhl.com.ge")</f>
        <v>dhl.com.ge</v>
      </c>
      <c r="C12819" t="s">
        <v>637</v>
      </c>
      <c r="D12819" t="s">
        <v>958</v>
      </c>
      <c r="F12819">
        <v>8.9621356954743606E-9</v>
      </c>
      <c r="G12819">
        <v>8048469</v>
      </c>
      <c r="H12819">
        <v>12688118</v>
      </c>
      <c r="I12819">
        <v>15432758</v>
      </c>
      <c r="J12819">
        <v>3</v>
      </c>
    </row>
    <row r="12820" spans="1:10" x14ac:dyDescent="0.25">
      <c r="A12820" t="s">
        <v>131</v>
      </c>
      <c r="B12820" s="1" t="str">
        <f>HYPERLINK("http://dhl.com.gh","dhl.com.gh")</f>
        <v>dhl.com.gh</v>
      </c>
      <c r="C12820" t="s">
        <v>640</v>
      </c>
      <c r="D12820" t="s">
        <v>961</v>
      </c>
      <c r="F12820">
        <v>1.80421392488953E-8</v>
      </c>
      <c r="G12820">
        <v>3021897</v>
      </c>
      <c r="H12820">
        <v>12693183</v>
      </c>
      <c r="I12820">
        <v>15396977</v>
      </c>
      <c r="J12820">
        <v>3</v>
      </c>
    </row>
    <row r="12821" spans="1:10" x14ac:dyDescent="0.25">
      <c r="A12821" t="s">
        <v>131</v>
      </c>
      <c r="B12821" s="1" t="str">
        <f>HYPERLINK("http://dhl.gm","dhl.gm")</f>
        <v>dhl.gm</v>
      </c>
      <c r="C12821" t="s">
        <v>643</v>
      </c>
      <c r="D12821" t="s">
        <v>964</v>
      </c>
      <c r="F12821">
        <v>1.6732183857105899E-8</v>
      </c>
      <c r="G12821">
        <v>3350763</v>
      </c>
      <c r="H12821">
        <v>12679777</v>
      </c>
      <c r="I12821">
        <v>15504225</v>
      </c>
      <c r="J12821">
        <v>3</v>
      </c>
    </row>
    <row r="12822" spans="1:10" x14ac:dyDescent="0.25">
      <c r="A12822" t="s">
        <v>131</v>
      </c>
      <c r="B12822" s="1" t="str">
        <f>HYPERLINK("http://dhl.gr","dhl.gr")</f>
        <v>dhl.gr</v>
      </c>
      <c r="C12822" t="s">
        <v>447</v>
      </c>
      <c r="D12822" t="s">
        <v>825</v>
      </c>
      <c r="F12822">
        <v>7.6024895348091204E-8</v>
      </c>
      <c r="G12822">
        <v>552486</v>
      </c>
      <c r="H12822">
        <v>13789618</v>
      </c>
      <c r="I12822">
        <v>6353913</v>
      </c>
      <c r="J12822">
        <v>3</v>
      </c>
    </row>
    <row r="12823" spans="1:10" x14ac:dyDescent="0.25">
      <c r="A12823" t="s">
        <v>131</v>
      </c>
      <c r="B12823" s="1" t="str">
        <f>HYPERLINK("http://dhl.com.gt","dhl.com.gt")</f>
        <v>dhl.com.gt</v>
      </c>
      <c r="C12823" t="s">
        <v>448</v>
      </c>
      <c r="D12823" t="s">
        <v>826</v>
      </c>
      <c r="F12823">
        <v>1.83610554458261E-8</v>
      </c>
      <c r="G12823">
        <v>2955630</v>
      </c>
      <c r="H12823">
        <v>12641042</v>
      </c>
      <c r="I12823">
        <v>15868766</v>
      </c>
      <c r="J12823">
        <v>3</v>
      </c>
    </row>
    <row r="12824" spans="1:10" x14ac:dyDescent="0.25">
      <c r="A12824" t="s">
        <v>131</v>
      </c>
      <c r="B12824" s="1" t="str">
        <f>HYPERLINK("http://dhl.com.hk","dhl.com.hk")</f>
        <v>dhl.com.hk</v>
      </c>
      <c r="C12824" t="s">
        <v>450</v>
      </c>
      <c r="D12824" t="s">
        <v>827</v>
      </c>
      <c r="E12824">
        <v>380235</v>
      </c>
      <c r="F12824">
        <v>1.28122278078779E-7</v>
      </c>
      <c r="G12824">
        <v>306191</v>
      </c>
      <c r="H12824">
        <v>14278625</v>
      </c>
      <c r="I12824">
        <v>1385192</v>
      </c>
      <c r="J12824">
        <v>3</v>
      </c>
    </row>
    <row r="12825" spans="1:10" x14ac:dyDescent="0.25">
      <c r="A12825" t="s">
        <v>131</v>
      </c>
      <c r="B12825" s="1" t="str">
        <f>HYPERLINK("http://dhl.com.hn","dhl.com.hn")</f>
        <v>dhl.com.hn</v>
      </c>
      <c r="C12825" t="s">
        <v>451</v>
      </c>
      <c r="D12825" t="s">
        <v>828</v>
      </c>
      <c r="F12825">
        <v>1.72356841247596E-8</v>
      </c>
      <c r="G12825">
        <v>3215783</v>
      </c>
      <c r="H12825">
        <v>12641028</v>
      </c>
      <c r="I12825">
        <v>15868848</v>
      </c>
      <c r="J12825">
        <v>3</v>
      </c>
    </row>
    <row r="12826" spans="1:10" x14ac:dyDescent="0.25">
      <c r="A12826" t="s">
        <v>131</v>
      </c>
      <c r="B12826" s="1" t="str">
        <f>HYPERLINK("http://dhl.hr","dhl.hr")</f>
        <v>dhl.hr</v>
      </c>
      <c r="C12826" t="s">
        <v>452</v>
      </c>
      <c r="D12826" t="s">
        <v>829</v>
      </c>
      <c r="F12826">
        <v>2.8571231274388901E-8</v>
      </c>
      <c r="G12826">
        <v>1801025</v>
      </c>
      <c r="H12826">
        <v>13272117</v>
      </c>
      <c r="I12826">
        <v>10950760</v>
      </c>
      <c r="J12826">
        <v>3</v>
      </c>
    </row>
    <row r="12827" spans="1:10" x14ac:dyDescent="0.25">
      <c r="A12827" t="s">
        <v>131</v>
      </c>
      <c r="B12827" s="1" t="str">
        <f>HYPERLINK("http://dhl.com.ht","dhl.com.ht")</f>
        <v>dhl.com.ht</v>
      </c>
      <c r="C12827" t="s">
        <v>646</v>
      </c>
      <c r="D12827" t="s">
        <v>965</v>
      </c>
      <c r="F12827">
        <v>1.7308231029544399E-8</v>
      </c>
      <c r="G12827">
        <v>3197210</v>
      </c>
      <c r="H12827">
        <v>12643333</v>
      </c>
      <c r="I12827">
        <v>15845897</v>
      </c>
      <c r="J12827">
        <v>3</v>
      </c>
    </row>
    <row r="12828" spans="1:10" x14ac:dyDescent="0.25">
      <c r="A12828" t="s">
        <v>131</v>
      </c>
      <c r="B12828" s="1" t="str">
        <f>HYPERLINK("http://dhl.hu","dhl.hu")</f>
        <v>dhl.hu</v>
      </c>
      <c r="C12828" t="s">
        <v>453</v>
      </c>
      <c r="D12828" t="s">
        <v>830</v>
      </c>
      <c r="F12828">
        <v>3.8981023710689297E-8</v>
      </c>
      <c r="G12828">
        <v>1322839</v>
      </c>
      <c r="H12828">
        <v>13134479</v>
      </c>
      <c r="I12828">
        <v>11919502</v>
      </c>
      <c r="J12828">
        <v>3</v>
      </c>
    </row>
    <row r="12829" spans="1:10" x14ac:dyDescent="0.25">
      <c r="A12829" t="s">
        <v>131</v>
      </c>
      <c r="B12829" s="1" t="str">
        <f>HYPERLINK("http://dhl.co.id","dhl.co.id")</f>
        <v>dhl.co.id</v>
      </c>
      <c r="C12829" t="s">
        <v>454</v>
      </c>
      <c r="D12829" t="s">
        <v>831</v>
      </c>
      <c r="F12829">
        <v>2.3138244766286901E-7</v>
      </c>
      <c r="G12829">
        <v>162305</v>
      </c>
      <c r="H12829">
        <v>14387744</v>
      </c>
      <c r="I12829">
        <v>1174641</v>
      </c>
      <c r="J12829">
        <v>3</v>
      </c>
    </row>
    <row r="12830" spans="1:10" x14ac:dyDescent="0.25">
      <c r="A12830" t="s">
        <v>131</v>
      </c>
      <c r="B12830" s="1" t="str">
        <f>HYPERLINK("http://dhl.ie","dhl.ie")</f>
        <v>dhl.ie</v>
      </c>
      <c r="C12830" t="s">
        <v>455</v>
      </c>
      <c r="D12830" t="s">
        <v>832</v>
      </c>
      <c r="F12830">
        <v>3.6419245641404601E-8</v>
      </c>
      <c r="G12830">
        <v>1433251</v>
      </c>
      <c r="H12830">
        <v>13947582</v>
      </c>
      <c r="I12830">
        <v>4205762</v>
      </c>
      <c r="J12830">
        <v>3</v>
      </c>
    </row>
    <row r="12831" spans="1:10" x14ac:dyDescent="0.25">
      <c r="A12831" t="s">
        <v>131</v>
      </c>
      <c r="B12831" s="1" t="str">
        <f>HYPERLINK("http://dhl.co.il","dhl.co.il")</f>
        <v>dhl.co.il</v>
      </c>
      <c r="C12831" t="s">
        <v>456</v>
      </c>
      <c r="D12831" t="s">
        <v>833</v>
      </c>
      <c r="F12831">
        <v>2.3494480612239199E-8</v>
      </c>
      <c r="G12831">
        <v>2215361</v>
      </c>
      <c r="H12831">
        <v>12743804</v>
      </c>
      <c r="I12831">
        <v>15097161</v>
      </c>
      <c r="J12831">
        <v>3</v>
      </c>
    </row>
    <row r="12832" spans="1:10" x14ac:dyDescent="0.25">
      <c r="A12832" t="s">
        <v>131</v>
      </c>
      <c r="B12832" s="1" t="str">
        <f>HYPERLINK("http://bluedart.in","bluedart.in")</f>
        <v>bluedart.in</v>
      </c>
      <c r="C12832" t="s">
        <v>457</v>
      </c>
      <c r="D12832" t="s">
        <v>834</v>
      </c>
      <c r="F12832">
        <v>4.4851269236302597E-9</v>
      </c>
      <c r="G12832">
        <v>61374127</v>
      </c>
      <c r="H12832">
        <v>10547685</v>
      </c>
      <c r="I12832">
        <v>46789998</v>
      </c>
      <c r="J12832">
        <v>2</v>
      </c>
    </row>
    <row r="12833" spans="1:10" x14ac:dyDescent="0.25">
      <c r="A12833" t="s">
        <v>131</v>
      </c>
      <c r="B12833" s="1" t="str">
        <f>HYPERLINK("http://dhl.co.in","dhl.co.in")</f>
        <v>dhl.co.in</v>
      </c>
      <c r="C12833" t="s">
        <v>457</v>
      </c>
      <c r="D12833" t="s">
        <v>834</v>
      </c>
      <c r="F12833">
        <v>9.1326693193447402E-8</v>
      </c>
      <c r="G12833">
        <v>446338</v>
      </c>
      <c r="H12833">
        <v>14248707</v>
      </c>
      <c r="I12833">
        <v>1452078</v>
      </c>
      <c r="J12833">
        <v>3</v>
      </c>
    </row>
    <row r="12834" spans="1:10" x14ac:dyDescent="0.25">
      <c r="A12834" t="s">
        <v>131</v>
      </c>
      <c r="B12834" s="1" t="str">
        <f>HYPERLINK("http://dhl.co.ir","dhl.co.ir")</f>
        <v>dhl.co.ir</v>
      </c>
      <c r="C12834" t="s">
        <v>751</v>
      </c>
      <c r="D12834" t="s">
        <v>1010</v>
      </c>
      <c r="F12834">
        <v>2.8024296624388E-8</v>
      </c>
      <c r="G12834">
        <v>1835771</v>
      </c>
      <c r="H12834">
        <v>14074381</v>
      </c>
      <c r="I12834">
        <v>2945190</v>
      </c>
      <c r="J12834">
        <v>3</v>
      </c>
    </row>
    <row r="12835" spans="1:10" x14ac:dyDescent="0.25">
      <c r="A12835" t="s">
        <v>131</v>
      </c>
      <c r="B12835" s="1" t="str">
        <f>HYPERLINK("http://dhl.is","dhl.is")</f>
        <v>dhl.is</v>
      </c>
      <c r="C12835" t="s">
        <v>594</v>
      </c>
      <c r="D12835" t="s">
        <v>929</v>
      </c>
      <c r="F12835">
        <v>2.4842871786474401E-8</v>
      </c>
      <c r="G12835">
        <v>2081458</v>
      </c>
      <c r="H12835">
        <v>13770093</v>
      </c>
      <c r="I12835">
        <v>6745245</v>
      </c>
      <c r="J12835">
        <v>3</v>
      </c>
    </row>
    <row r="12836" spans="1:10" x14ac:dyDescent="0.25">
      <c r="A12836" t="s">
        <v>131</v>
      </c>
      <c r="B12836" s="1" t="str">
        <f>HYPERLINK("http://dhl.it","dhl.it")</f>
        <v>dhl.it</v>
      </c>
      <c r="C12836" t="s">
        <v>459</v>
      </c>
      <c r="D12836" t="s">
        <v>835</v>
      </c>
      <c r="E12836">
        <v>584359</v>
      </c>
      <c r="F12836">
        <v>3.2774599463824301E-7</v>
      </c>
      <c r="G12836">
        <v>113636</v>
      </c>
      <c r="H12836">
        <v>14130739</v>
      </c>
      <c r="I12836">
        <v>2024488</v>
      </c>
      <c r="J12836">
        <v>3</v>
      </c>
    </row>
    <row r="12837" spans="1:10" x14ac:dyDescent="0.25">
      <c r="A12837" t="s">
        <v>131</v>
      </c>
      <c r="B12837" s="1" t="str">
        <f>HYPERLINK("http://eurodifarm.it","eurodifarm.it")</f>
        <v>eurodifarm.it</v>
      </c>
      <c r="C12837" t="s">
        <v>459</v>
      </c>
      <c r="D12837" t="s">
        <v>835</v>
      </c>
      <c r="F12837">
        <v>6.9347984713542101E-9</v>
      </c>
      <c r="G12837">
        <v>12510722</v>
      </c>
      <c r="H12837">
        <v>12025823</v>
      </c>
      <c r="I12837">
        <v>27757248</v>
      </c>
      <c r="J12837">
        <v>3</v>
      </c>
    </row>
    <row r="12838" spans="1:10" x14ac:dyDescent="0.25">
      <c r="A12838" t="s">
        <v>131</v>
      </c>
      <c r="B12838" s="1" t="str">
        <f>HYPERLINK("http://mitsafetrans.it","mitsafetrans.it")</f>
        <v>mitsafetrans.it</v>
      </c>
      <c r="C12838" t="s">
        <v>459</v>
      </c>
      <c r="D12838" t="s">
        <v>835</v>
      </c>
      <c r="F12838">
        <v>6.4902868756236501E-9</v>
      </c>
      <c r="G12838">
        <v>14118703</v>
      </c>
      <c r="H12838">
        <v>11027374</v>
      </c>
      <c r="I12838">
        <v>33147038</v>
      </c>
      <c r="J12838">
        <v>3</v>
      </c>
    </row>
    <row r="12839" spans="1:10" x14ac:dyDescent="0.25">
      <c r="A12839" t="s">
        <v>131</v>
      </c>
      <c r="B12839" s="1" t="str">
        <f>HYPERLINK("http://dhl.com.jm","dhl.com.jm")</f>
        <v>dhl.com.jm</v>
      </c>
      <c r="C12839" t="s">
        <v>460</v>
      </c>
      <c r="D12839" t="s">
        <v>836</v>
      </c>
      <c r="F12839">
        <v>1.69431595901592E-8</v>
      </c>
      <c r="G12839">
        <v>3296919</v>
      </c>
      <c r="H12839">
        <v>13029097</v>
      </c>
      <c r="I12839">
        <v>12674764</v>
      </c>
      <c r="J12839">
        <v>3</v>
      </c>
    </row>
    <row r="12840" spans="1:10" x14ac:dyDescent="0.25">
      <c r="A12840" t="s">
        <v>131</v>
      </c>
      <c r="B12840" s="1" t="str">
        <f>HYPERLINK("http://dhl.com.jo","dhl.com.jo")</f>
        <v>dhl.com.jo</v>
      </c>
      <c r="C12840" t="s">
        <v>519</v>
      </c>
      <c r="D12840" t="s">
        <v>889</v>
      </c>
      <c r="F12840">
        <v>1.7306953327916599E-8</v>
      </c>
      <c r="G12840">
        <v>3197517</v>
      </c>
      <c r="H12840">
        <v>12694707</v>
      </c>
      <c r="I12840">
        <v>15387271</v>
      </c>
      <c r="J12840">
        <v>3</v>
      </c>
    </row>
    <row r="12841" spans="1:10" x14ac:dyDescent="0.25">
      <c r="A12841" t="s">
        <v>131</v>
      </c>
      <c r="B12841" s="1" t="str">
        <f>HYPERLINK("http://dhl.co.jp","dhl.co.jp")</f>
        <v>dhl.co.jp</v>
      </c>
      <c r="C12841" t="s">
        <v>461</v>
      </c>
      <c r="D12841" t="s">
        <v>837</v>
      </c>
      <c r="E12841">
        <v>537733</v>
      </c>
      <c r="F12841">
        <v>1.67740314455815E-7</v>
      </c>
      <c r="G12841">
        <v>231326</v>
      </c>
      <c r="H12841">
        <v>14204045</v>
      </c>
      <c r="I12841">
        <v>1714917</v>
      </c>
      <c r="J12841">
        <v>3</v>
      </c>
    </row>
    <row r="12842" spans="1:10" x14ac:dyDescent="0.25">
      <c r="A12842" t="s">
        <v>131</v>
      </c>
      <c r="B12842" s="1" t="str">
        <f>HYPERLINK("http://dhl.co.ke","dhl.co.ke")</f>
        <v>dhl.co.ke</v>
      </c>
      <c r="C12842" t="s">
        <v>462</v>
      </c>
      <c r="D12842" t="s">
        <v>838</v>
      </c>
      <c r="F12842">
        <v>1.88253860120512E-8</v>
      </c>
      <c r="G12842">
        <v>2866846</v>
      </c>
      <c r="H12842">
        <v>12825253</v>
      </c>
      <c r="I12842">
        <v>14462654</v>
      </c>
      <c r="J12842">
        <v>3</v>
      </c>
    </row>
    <row r="12843" spans="1:10" x14ac:dyDescent="0.25">
      <c r="A12843" t="s">
        <v>131</v>
      </c>
      <c r="B12843" s="1" t="str">
        <f>HYPERLINK("http://dhl.com.kh","dhl.com.kh")</f>
        <v>dhl.com.kh</v>
      </c>
      <c r="C12843" t="s">
        <v>512</v>
      </c>
      <c r="D12843" t="s">
        <v>886</v>
      </c>
      <c r="F12843">
        <v>9.34598179202658E-9</v>
      </c>
      <c r="G12843">
        <v>7513773</v>
      </c>
      <c r="H12843">
        <v>12692383</v>
      </c>
      <c r="I12843">
        <v>15402817</v>
      </c>
      <c r="J12843">
        <v>3</v>
      </c>
    </row>
    <row r="12844" spans="1:10" x14ac:dyDescent="0.25">
      <c r="A12844" t="s">
        <v>131</v>
      </c>
      <c r="B12844" s="1" t="str">
        <f>HYPERLINK("http://dhl.co.kr","dhl.co.kr")</f>
        <v>dhl.co.kr</v>
      </c>
      <c r="C12844" t="s">
        <v>463</v>
      </c>
      <c r="D12844" t="s">
        <v>839</v>
      </c>
      <c r="F12844">
        <v>7.9755192071813396E-8</v>
      </c>
      <c r="G12844">
        <v>523799</v>
      </c>
      <c r="H12844">
        <v>14097031</v>
      </c>
      <c r="I12844">
        <v>2722433</v>
      </c>
      <c r="J12844">
        <v>3</v>
      </c>
    </row>
    <row r="12845" spans="1:10" x14ac:dyDescent="0.25">
      <c r="A12845" t="s">
        <v>131</v>
      </c>
      <c r="B12845" s="1" t="str">
        <f>HYPERLINK("http://dhl.com.kw","dhl.com.kw")</f>
        <v>dhl.com.kw</v>
      </c>
      <c r="C12845" t="s">
        <v>464</v>
      </c>
      <c r="D12845" t="s">
        <v>840</v>
      </c>
      <c r="F12845">
        <v>1.8234856597725199E-8</v>
      </c>
      <c r="G12845">
        <v>2980170</v>
      </c>
      <c r="H12845">
        <v>12705921</v>
      </c>
      <c r="I12845">
        <v>15323557</v>
      </c>
      <c r="J12845">
        <v>3</v>
      </c>
    </row>
    <row r="12846" spans="1:10" x14ac:dyDescent="0.25">
      <c r="A12846" t="s">
        <v>131</v>
      </c>
      <c r="B12846" s="1" t="str">
        <f>HYPERLINK("http://dhl.com.ky","dhl.com.ky")</f>
        <v>dhl.com.ky</v>
      </c>
      <c r="C12846" t="s">
        <v>752</v>
      </c>
      <c r="D12846" t="s">
        <v>1011</v>
      </c>
      <c r="F12846">
        <v>8.8248554244363395E-9</v>
      </c>
      <c r="G12846">
        <v>8264368</v>
      </c>
      <c r="H12846">
        <v>12637406</v>
      </c>
      <c r="I12846">
        <v>15894480</v>
      </c>
      <c r="J12846">
        <v>3</v>
      </c>
    </row>
    <row r="12847" spans="1:10" x14ac:dyDescent="0.25">
      <c r="A12847" t="s">
        <v>131</v>
      </c>
      <c r="B12847" s="1" t="str">
        <f>HYPERLINK("http://dhl.kz","dhl.kz")</f>
        <v>dhl.kz</v>
      </c>
      <c r="C12847" t="s">
        <v>465</v>
      </c>
      <c r="D12847" t="s">
        <v>841</v>
      </c>
      <c r="F12847">
        <v>2.38422059748934E-8</v>
      </c>
      <c r="G12847">
        <v>2178868</v>
      </c>
      <c r="H12847">
        <v>14073982</v>
      </c>
      <c r="I12847">
        <v>2961581</v>
      </c>
      <c r="J12847">
        <v>3</v>
      </c>
    </row>
    <row r="12848" spans="1:10" x14ac:dyDescent="0.25">
      <c r="A12848" t="s">
        <v>131</v>
      </c>
      <c r="B12848" s="1" t="str">
        <f>HYPERLINK("http://dhl.com.la","dhl.com.la")</f>
        <v>dhl.com.la</v>
      </c>
      <c r="C12848" t="s">
        <v>595</v>
      </c>
      <c r="D12848" t="s">
        <v>930</v>
      </c>
      <c r="F12848">
        <v>1.7160967098042399E-8</v>
      </c>
      <c r="G12848">
        <v>3247439</v>
      </c>
      <c r="H12848">
        <v>12691083</v>
      </c>
      <c r="I12848">
        <v>15413191</v>
      </c>
      <c r="J12848">
        <v>3</v>
      </c>
    </row>
    <row r="12849" spans="1:10" x14ac:dyDescent="0.25">
      <c r="A12849" t="s">
        <v>131</v>
      </c>
      <c r="B12849" s="1" t="str">
        <f>HYPERLINK("http://dhl.com.lb","dhl.com.lb")</f>
        <v>dhl.com.lb</v>
      </c>
      <c r="C12849" t="s">
        <v>612</v>
      </c>
      <c r="D12849" t="s">
        <v>938</v>
      </c>
      <c r="F12849">
        <v>2.3796765800111302E-8</v>
      </c>
      <c r="G12849">
        <v>2183477</v>
      </c>
      <c r="H12849">
        <v>14045218</v>
      </c>
      <c r="I12849">
        <v>3901490</v>
      </c>
      <c r="J12849">
        <v>3</v>
      </c>
    </row>
    <row r="12850" spans="1:10" x14ac:dyDescent="0.25">
      <c r="A12850" t="s">
        <v>131</v>
      </c>
      <c r="B12850" s="1" t="str">
        <f>HYPERLINK("http://dhl.com.lk","dhl.com.lk")</f>
        <v>dhl.com.lk</v>
      </c>
      <c r="C12850" t="s">
        <v>466</v>
      </c>
      <c r="D12850" t="s">
        <v>842</v>
      </c>
      <c r="F12850">
        <v>1.8176503270825701E-8</v>
      </c>
      <c r="G12850">
        <v>2994373</v>
      </c>
      <c r="H12850">
        <v>13770088</v>
      </c>
      <c r="I12850">
        <v>6745511</v>
      </c>
      <c r="J12850">
        <v>3</v>
      </c>
    </row>
    <row r="12851" spans="1:10" x14ac:dyDescent="0.25">
      <c r="A12851" t="s">
        <v>131</v>
      </c>
      <c r="B12851" s="1" t="str">
        <f>HYPERLINK("http://dhl.co.ls","dhl.co.ls")</f>
        <v>dhl.co.ls</v>
      </c>
      <c r="C12851" t="s">
        <v>651</v>
      </c>
      <c r="D12851" t="s">
        <v>970</v>
      </c>
      <c r="F12851">
        <v>1.67440621310227E-8</v>
      </c>
      <c r="G12851">
        <v>3347425</v>
      </c>
      <c r="H12851">
        <v>12689905</v>
      </c>
      <c r="I12851">
        <v>15420638</v>
      </c>
      <c r="J12851">
        <v>3</v>
      </c>
    </row>
    <row r="12852" spans="1:10" x14ac:dyDescent="0.25">
      <c r="A12852" t="s">
        <v>131</v>
      </c>
      <c r="B12852" s="1" t="str">
        <f>HYPERLINK("http://dhl.lt","dhl.lt")</f>
        <v>dhl.lt</v>
      </c>
      <c r="C12852" t="s">
        <v>467</v>
      </c>
      <c r="D12852" t="s">
        <v>843</v>
      </c>
      <c r="F12852">
        <v>1.5599065399052799E-8</v>
      </c>
      <c r="G12852">
        <v>3655377</v>
      </c>
      <c r="H12852">
        <v>12651397</v>
      </c>
      <c r="I12852">
        <v>15789114</v>
      </c>
      <c r="J12852">
        <v>3</v>
      </c>
    </row>
    <row r="12853" spans="1:10" x14ac:dyDescent="0.25">
      <c r="A12853" t="s">
        <v>131</v>
      </c>
      <c r="B12853" s="1" t="str">
        <f>HYPERLINK("http://dhl.lu","dhl.lu")</f>
        <v>dhl.lu</v>
      </c>
      <c r="C12853" t="s">
        <v>547</v>
      </c>
      <c r="D12853" t="s">
        <v>904</v>
      </c>
      <c r="F12853">
        <v>3.2180699201134798E-8</v>
      </c>
      <c r="G12853">
        <v>1607341</v>
      </c>
      <c r="H12853">
        <v>12786292</v>
      </c>
      <c r="I12853">
        <v>14708976</v>
      </c>
      <c r="J12853">
        <v>3</v>
      </c>
    </row>
    <row r="12854" spans="1:10" x14ac:dyDescent="0.25">
      <c r="A12854" t="s">
        <v>131</v>
      </c>
      <c r="B12854" s="1" t="str">
        <f>HYPERLINK("http://dhl.lv","dhl.lv")</f>
        <v>dhl.lv</v>
      </c>
      <c r="C12854" t="s">
        <v>468</v>
      </c>
      <c r="D12854" t="s">
        <v>844</v>
      </c>
      <c r="F12854">
        <v>2.46803900874454E-8</v>
      </c>
      <c r="G12854">
        <v>2096178</v>
      </c>
      <c r="H12854">
        <v>13770461</v>
      </c>
      <c r="I12854">
        <v>6728930</v>
      </c>
      <c r="J12854">
        <v>3</v>
      </c>
    </row>
    <row r="12855" spans="1:10" x14ac:dyDescent="0.25">
      <c r="A12855" t="s">
        <v>131</v>
      </c>
      <c r="B12855" s="1" t="str">
        <f>HYPERLINK("http://dhl.md","dhl.md")</f>
        <v>dhl.md</v>
      </c>
      <c r="C12855" t="s">
        <v>571</v>
      </c>
      <c r="D12855" t="s">
        <v>918</v>
      </c>
      <c r="F12855">
        <v>4.9992909932580197E-9</v>
      </c>
      <c r="G12855">
        <v>29429260</v>
      </c>
      <c r="H12855">
        <v>12146450</v>
      </c>
      <c r="I12855">
        <v>24714360</v>
      </c>
      <c r="J12855">
        <v>4</v>
      </c>
    </row>
    <row r="12856" spans="1:10" x14ac:dyDescent="0.25">
      <c r="A12856" t="s">
        <v>131</v>
      </c>
      <c r="B12856" s="1" t="str">
        <f>HYPERLINK("http://dhl.com.mg","dhl.com.mg")</f>
        <v>dhl.com.mg</v>
      </c>
      <c r="C12856" t="s">
        <v>615</v>
      </c>
      <c r="D12856" t="s">
        <v>940</v>
      </c>
      <c r="F12856">
        <v>4.7712817317489801E-9</v>
      </c>
      <c r="G12856">
        <v>37323383</v>
      </c>
      <c r="H12856">
        <v>10024970</v>
      </c>
      <c r="I12856">
        <v>60648195</v>
      </c>
      <c r="J12856">
        <v>3</v>
      </c>
    </row>
    <row r="12857" spans="1:10" x14ac:dyDescent="0.25">
      <c r="A12857" t="s">
        <v>131</v>
      </c>
      <c r="B12857" s="1" t="str">
        <f>HYPERLINK("http://dhl.com.mk","dhl.com.mk")</f>
        <v>dhl.com.mk</v>
      </c>
      <c r="C12857" t="s">
        <v>531</v>
      </c>
      <c r="D12857" t="s">
        <v>895</v>
      </c>
      <c r="F12857">
        <v>2.0774649397267101E-8</v>
      </c>
      <c r="G12857">
        <v>2546500</v>
      </c>
      <c r="H12857">
        <v>12663276</v>
      </c>
      <c r="I12857">
        <v>15691482</v>
      </c>
      <c r="J12857">
        <v>3</v>
      </c>
    </row>
    <row r="12858" spans="1:10" x14ac:dyDescent="0.25">
      <c r="A12858" t="s">
        <v>131</v>
      </c>
      <c r="B12858" s="1" t="str">
        <f>HYPERLINK("http://dhl.mn","dhl.mn")</f>
        <v>dhl.mn</v>
      </c>
      <c r="C12858" t="s">
        <v>652</v>
      </c>
      <c r="D12858" t="s">
        <v>971</v>
      </c>
      <c r="F12858">
        <v>1.7929238660908999E-8</v>
      </c>
      <c r="G12858">
        <v>3047396</v>
      </c>
      <c r="H12858">
        <v>12697913</v>
      </c>
      <c r="I12858">
        <v>15372029</v>
      </c>
      <c r="J12858">
        <v>3</v>
      </c>
    </row>
    <row r="12859" spans="1:10" x14ac:dyDescent="0.25">
      <c r="A12859" t="s">
        <v>131</v>
      </c>
      <c r="B12859" s="1" t="str">
        <f>HYPERLINK("http://dhl.com.mt","dhl.com.mt")</f>
        <v>dhl.com.mt</v>
      </c>
      <c r="C12859" t="s">
        <v>597</v>
      </c>
      <c r="D12859" t="s">
        <v>932</v>
      </c>
      <c r="F12859">
        <v>1.9403358222454701E-8</v>
      </c>
      <c r="G12859">
        <v>2762413</v>
      </c>
      <c r="H12859">
        <v>13231039</v>
      </c>
      <c r="I12859">
        <v>11273764</v>
      </c>
      <c r="J12859">
        <v>3</v>
      </c>
    </row>
    <row r="12860" spans="1:10" x14ac:dyDescent="0.25">
      <c r="A12860" t="s">
        <v>131</v>
      </c>
      <c r="B12860" s="1" t="str">
        <f>HYPERLINK("http://dhl.co.mu","dhl.co.mu")</f>
        <v>dhl.co.mu</v>
      </c>
      <c r="C12860" t="s">
        <v>572</v>
      </c>
      <c r="D12860" t="s">
        <v>919</v>
      </c>
      <c r="F12860">
        <v>1.7227264993523399E-8</v>
      </c>
      <c r="G12860">
        <v>3217833</v>
      </c>
      <c r="H12860">
        <v>12694830</v>
      </c>
      <c r="I12860">
        <v>15386611</v>
      </c>
      <c r="J12860">
        <v>3</v>
      </c>
    </row>
    <row r="12861" spans="1:10" x14ac:dyDescent="0.25">
      <c r="A12861" t="s">
        <v>131</v>
      </c>
      <c r="B12861" s="1" t="str">
        <f>HYPERLINK("http://dhl.co.mw","dhl.co.mw")</f>
        <v>dhl.co.mw</v>
      </c>
      <c r="C12861" t="s">
        <v>655</v>
      </c>
      <c r="D12861" t="s">
        <v>974</v>
      </c>
      <c r="F12861">
        <v>1.7226988279699E-8</v>
      </c>
      <c r="G12861">
        <v>3217904</v>
      </c>
      <c r="H12861">
        <v>12694724</v>
      </c>
      <c r="I12861">
        <v>15387170</v>
      </c>
      <c r="J12861">
        <v>3</v>
      </c>
    </row>
    <row r="12862" spans="1:10" x14ac:dyDescent="0.25">
      <c r="A12862" t="s">
        <v>131</v>
      </c>
      <c r="B12862" s="1" t="str">
        <f>HYPERLINK("http://dhl.com.mx","dhl.com.mx")</f>
        <v>dhl.com.mx</v>
      </c>
      <c r="C12862" t="s">
        <v>471</v>
      </c>
      <c r="D12862" t="s">
        <v>847</v>
      </c>
      <c r="E12862">
        <v>746863</v>
      </c>
      <c r="F12862">
        <v>8.5244012182656206E-8</v>
      </c>
      <c r="G12862">
        <v>483778</v>
      </c>
      <c r="H12862">
        <v>13897046</v>
      </c>
      <c r="I12862">
        <v>5954213</v>
      </c>
      <c r="J12862">
        <v>3</v>
      </c>
    </row>
    <row r="12863" spans="1:10" x14ac:dyDescent="0.25">
      <c r="A12863" t="s">
        <v>131</v>
      </c>
      <c r="B12863" s="1" t="str">
        <f>HYPERLINK("http://phl.com.mx","phl.com.mx")</f>
        <v>phl.com.mx</v>
      </c>
      <c r="C12863" t="s">
        <v>471</v>
      </c>
      <c r="D12863" t="s">
        <v>847</v>
      </c>
      <c r="F12863">
        <v>5.0966595337541504E-9</v>
      </c>
      <c r="G12863">
        <v>27148348</v>
      </c>
      <c r="H12863">
        <v>10171680</v>
      </c>
      <c r="I12863">
        <v>59320846</v>
      </c>
      <c r="J12863">
        <v>4</v>
      </c>
    </row>
    <row r="12864" spans="1:10" x14ac:dyDescent="0.25">
      <c r="A12864" t="s">
        <v>131</v>
      </c>
      <c r="B12864" s="1" t="str">
        <f>HYPERLINK("http://dhl.mx","dhl.mx")</f>
        <v>dhl.mx</v>
      </c>
      <c r="C12864" t="s">
        <v>471</v>
      </c>
      <c r="D12864" t="s">
        <v>847</v>
      </c>
      <c r="J12864">
        <v>4</v>
      </c>
    </row>
    <row r="12865" spans="1:10" x14ac:dyDescent="0.25">
      <c r="A12865" t="s">
        <v>131</v>
      </c>
      <c r="B12865" s="1" t="str">
        <f>HYPERLINK("http://express.mx","express.mx")</f>
        <v>express.mx</v>
      </c>
      <c r="C12865" t="s">
        <v>471</v>
      </c>
      <c r="D12865" t="s">
        <v>847</v>
      </c>
      <c r="J12865">
        <v>4</v>
      </c>
    </row>
    <row r="12866" spans="1:10" x14ac:dyDescent="0.25">
      <c r="A12866" t="s">
        <v>131</v>
      </c>
      <c r="B12866" s="1" t="str">
        <f>HYPERLINK("http://dhl.com.my","dhl.com.my")</f>
        <v>dhl.com.my</v>
      </c>
      <c r="C12866" t="s">
        <v>472</v>
      </c>
      <c r="D12866" t="s">
        <v>848</v>
      </c>
      <c r="F12866">
        <v>3.8564904008483403E-8</v>
      </c>
      <c r="G12866">
        <v>1337221</v>
      </c>
      <c r="H12866">
        <v>13945053</v>
      </c>
      <c r="I12866">
        <v>4287703</v>
      </c>
      <c r="J12866">
        <v>3</v>
      </c>
    </row>
    <row r="12867" spans="1:10" x14ac:dyDescent="0.25">
      <c r="A12867" t="s">
        <v>131</v>
      </c>
      <c r="B12867" s="1" t="str">
        <f>HYPERLINK("http://dhl.co.mz","dhl.co.mz")</f>
        <v>dhl.co.mz</v>
      </c>
      <c r="C12867" t="s">
        <v>616</v>
      </c>
      <c r="D12867" t="s">
        <v>941</v>
      </c>
      <c r="F12867">
        <v>1.6752879148480199E-8</v>
      </c>
      <c r="G12867">
        <v>3345181</v>
      </c>
      <c r="H12867">
        <v>12638690</v>
      </c>
      <c r="I12867">
        <v>15885826</v>
      </c>
      <c r="J12867">
        <v>3</v>
      </c>
    </row>
    <row r="12868" spans="1:10" x14ac:dyDescent="0.25">
      <c r="A12868" t="s">
        <v>131</v>
      </c>
      <c r="B12868" s="1" t="str">
        <f>HYPERLINK("http://dhl.com.na","dhl.com.na")</f>
        <v>dhl.com.na</v>
      </c>
      <c r="C12868" t="s">
        <v>473</v>
      </c>
      <c r="D12868" t="s">
        <v>849</v>
      </c>
      <c r="F12868">
        <v>1.6655792986732401E-8</v>
      </c>
      <c r="G12868">
        <v>3375523</v>
      </c>
      <c r="H12868">
        <v>12638613</v>
      </c>
      <c r="I12868">
        <v>15886250</v>
      </c>
      <c r="J12868">
        <v>3</v>
      </c>
    </row>
    <row r="12869" spans="1:10" x14ac:dyDescent="0.25">
      <c r="A12869" t="s">
        <v>131</v>
      </c>
      <c r="B12869" s="1" t="str">
        <f>HYPERLINK("http://adobecqms.net","adobecqms.net")</f>
        <v>adobecqms.net</v>
      </c>
      <c r="C12869" t="s">
        <v>474</v>
      </c>
      <c r="E12869">
        <v>8183</v>
      </c>
      <c r="F12869">
        <v>1.4965814150785001E-6</v>
      </c>
      <c r="G12869">
        <v>26180</v>
      </c>
      <c r="H12869">
        <v>15178819</v>
      </c>
      <c r="I12869">
        <v>397414</v>
      </c>
      <c r="J12869">
        <v>4</v>
      </c>
    </row>
    <row r="12870" spans="1:10" x14ac:dyDescent="0.25">
      <c r="A12870" t="s">
        <v>131</v>
      </c>
      <c r="B12870" s="1" t="str">
        <f>HYPERLINK("http://dhl.com.ng","dhl.com.ng")</f>
        <v>dhl.com.ng</v>
      </c>
      <c r="C12870" t="s">
        <v>475</v>
      </c>
      <c r="D12870" t="s">
        <v>850</v>
      </c>
      <c r="F12870">
        <v>2.32582502361767E-8</v>
      </c>
      <c r="G12870">
        <v>2243425</v>
      </c>
      <c r="H12870">
        <v>13235652</v>
      </c>
      <c r="I12870">
        <v>11244096</v>
      </c>
      <c r="J12870">
        <v>3</v>
      </c>
    </row>
    <row r="12871" spans="1:10" x14ac:dyDescent="0.25">
      <c r="A12871" t="s">
        <v>131</v>
      </c>
      <c r="B12871" s="1" t="str">
        <f>HYPERLINK("http://dhl.com.ni","dhl.com.ni")</f>
        <v>dhl.com.ni</v>
      </c>
      <c r="C12871" t="s">
        <v>476</v>
      </c>
      <c r="D12871" t="s">
        <v>851</v>
      </c>
      <c r="F12871">
        <v>1.7203163523017101E-8</v>
      </c>
      <c r="G12871">
        <v>3224652</v>
      </c>
      <c r="H12871">
        <v>12693851</v>
      </c>
      <c r="I12871">
        <v>15393504</v>
      </c>
      <c r="J12871">
        <v>3</v>
      </c>
    </row>
    <row r="12872" spans="1:10" x14ac:dyDescent="0.25">
      <c r="A12872" t="s">
        <v>131</v>
      </c>
      <c r="B12872" s="1" t="str">
        <f>HYPERLINK("http://dhl.nl","dhl.nl")</f>
        <v>dhl.nl</v>
      </c>
      <c r="C12872" t="s">
        <v>477</v>
      </c>
      <c r="D12872" t="s">
        <v>852</v>
      </c>
      <c r="E12872">
        <v>541514</v>
      </c>
      <c r="F12872">
        <v>1.8011463173055899E-7</v>
      </c>
      <c r="G12872">
        <v>214514</v>
      </c>
      <c r="H12872">
        <v>14643548</v>
      </c>
      <c r="I12872">
        <v>634675</v>
      </c>
      <c r="J12872">
        <v>3</v>
      </c>
    </row>
    <row r="12873" spans="1:10" x14ac:dyDescent="0.25">
      <c r="A12873" t="s">
        <v>131</v>
      </c>
      <c r="B12873" s="1" t="str">
        <f>HYPERLINK("http://dhlparcel.nl","dhlparcel.nl")</f>
        <v>dhlparcel.nl</v>
      </c>
      <c r="C12873" t="s">
        <v>477</v>
      </c>
      <c r="D12873" t="s">
        <v>852</v>
      </c>
      <c r="E12873">
        <v>28742</v>
      </c>
      <c r="F12873">
        <v>2.1601828208631499E-6</v>
      </c>
      <c r="G12873">
        <v>16978</v>
      </c>
      <c r="H12873">
        <v>17528518</v>
      </c>
      <c r="I12873">
        <v>12137</v>
      </c>
      <c r="J12873">
        <v>4</v>
      </c>
    </row>
    <row r="12874" spans="1:10" x14ac:dyDescent="0.25">
      <c r="A12874" t="s">
        <v>131</v>
      </c>
      <c r="B12874" s="1" t="str">
        <f>HYPERLINK("http://dhl.no","dhl.no")</f>
        <v>dhl.no</v>
      </c>
      <c r="C12874" t="s">
        <v>478</v>
      </c>
      <c r="D12874" t="s">
        <v>853</v>
      </c>
      <c r="F12874">
        <v>3.8350944667066702E-8</v>
      </c>
      <c r="G12874">
        <v>1349983</v>
      </c>
      <c r="H12874">
        <v>14075521</v>
      </c>
      <c r="I12874">
        <v>2907010</v>
      </c>
      <c r="J12874">
        <v>3</v>
      </c>
    </row>
    <row r="12875" spans="1:10" x14ac:dyDescent="0.25">
      <c r="A12875" t="s">
        <v>131</v>
      </c>
      <c r="B12875" s="1" t="str">
        <f>HYPERLINK("http://dhl.com.np","dhl.com.np")</f>
        <v>dhl.com.np</v>
      </c>
      <c r="C12875" t="s">
        <v>604</v>
      </c>
      <c r="D12875" t="s">
        <v>935</v>
      </c>
      <c r="F12875">
        <v>1.7911757453307801E-8</v>
      </c>
      <c r="G12875">
        <v>3051014</v>
      </c>
      <c r="H12875">
        <v>12703199</v>
      </c>
      <c r="I12875">
        <v>15337669</v>
      </c>
      <c r="J12875">
        <v>3</v>
      </c>
    </row>
    <row r="12876" spans="1:10" x14ac:dyDescent="0.25">
      <c r="A12876" t="s">
        <v>131</v>
      </c>
      <c r="B12876" s="1" t="str">
        <f>HYPERLINK("http://dhl.co.nz","dhl.co.nz")</f>
        <v>dhl.co.nz</v>
      </c>
      <c r="C12876" t="s">
        <v>479</v>
      </c>
      <c r="D12876" t="s">
        <v>854</v>
      </c>
      <c r="F12876">
        <v>2.4087581108323099E-8</v>
      </c>
      <c r="G12876">
        <v>2154435</v>
      </c>
      <c r="H12876">
        <v>14158263</v>
      </c>
      <c r="I12876">
        <v>1845626</v>
      </c>
      <c r="J12876">
        <v>3</v>
      </c>
    </row>
    <row r="12877" spans="1:10" x14ac:dyDescent="0.25">
      <c r="A12877" t="s">
        <v>131</v>
      </c>
      <c r="B12877" s="1" t="str">
        <f>HYPERLINK("http://dhl.com.om","dhl.com.om")</f>
        <v>dhl.com.om</v>
      </c>
      <c r="C12877" t="s">
        <v>480</v>
      </c>
      <c r="D12877" t="s">
        <v>855</v>
      </c>
      <c r="F12877">
        <v>2.02028906842084E-8</v>
      </c>
      <c r="G12877">
        <v>2628652</v>
      </c>
      <c r="H12877">
        <v>12785348</v>
      </c>
      <c r="I12877">
        <v>14714713</v>
      </c>
      <c r="J12877">
        <v>3</v>
      </c>
    </row>
    <row r="12878" spans="1:10" x14ac:dyDescent="0.25">
      <c r="A12878" t="s">
        <v>131</v>
      </c>
      <c r="B12878" s="1" t="str">
        <f>HYPERLINK("http://dhl.com.pa","dhl.com.pa")</f>
        <v>dhl.com.pa</v>
      </c>
      <c r="C12878" t="s">
        <v>482</v>
      </c>
      <c r="D12878" t="s">
        <v>856</v>
      </c>
      <c r="F12878">
        <v>1.7987085282504299E-8</v>
      </c>
      <c r="G12878">
        <v>3033405</v>
      </c>
      <c r="H12878">
        <v>12641808</v>
      </c>
      <c r="I12878">
        <v>15855798</v>
      </c>
      <c r="J12878">
        <v>3</v>
      </c>
    </row>
    <row r="12879" spans="1:10" x14ac:dyDescent="0.25">
      <c r="A12879" t="s">
        <v>131</v>
      </c>
      <c r="B12879" s="1" t="str">
        <f>HYPERLINK("http://dhl.com.pe","dhl.com.pe")</f>
        <v>dhl.com.pe</v>
      </c>
      <c r="C12879" t="s">
        <v>483</v>
      </c>
      <c r="D12879" t="s">
        <v>857</v>
      </c>
      <c r="F12879">
        <v>5.6463647903379503E-8</v>
      </c>
      <c r="G12879">
        <v>792081</v>
      </c>
      <c r="H12879">
        <v>13184605</v>
      </c>
      <c r="I12879">
        <v>11671901</v>
      </c>
      <c r="J12879">
        <v>3</v>
      </c>
    </row>
    <row r="12880" spans="1:10" x14ac:dyDescent="0.25">
      <c r="A12880" t="s">
        <v>131</v>
      </c>
      <c r="B12880" s="1" t="str">
        <f>HYPERLINK("http://dhl.com.pg","dhl.com.pg")</f>
        <v>dhl.com.pg</v>
      </c>
      <c r="C12880" t="s">
        <v>659</v>
      </c>
      <c r="D12880" t="s">
        <v>978</v>
      </c>
      <c r="F12880">
        <v>1.6687260244439298E-8</v>
      </c>
      <c r="G12880">
        <v>3362001</v>
      </c>
      <c r="H12880">
        <v>12689725</v>
      </c>
      <c r="I12880">
        <v>15421708</v>
      </c>
      <c r="J12880">
        <v>3</v>
      </c>
    </row>
    <row r="12881" spans="1:10" x14ac:dyDescent="0.25">
      <c r="A12881" t="s">
        <v>131</v>
      </c>
      <c r="B12881" s="1" t="str">
        <f>HYPERLINK("http://dhl.com.ph","dhl.com.ph")</f>
        <v>dhl.com.ph</v>
      </c>
      <c r="C12881" t="s">
        <v>484</v>
      </c>
      <c r="D12881" t="s">
        <v>858</v>
      </c>
      <c r="F12881">
        <v>2.4588991794486901E-7</v>
      </c>
      <c r="G12881">
        <v>152151</v>
      </c>
      <c r="H12881">
        <v>13823593</v>
      </c>
      <c r="I12881">
        <v>6133068</v>
      </c>
      <c r="J12881">
        <v>3</v>
      </c>
    </row>
    <row r="12882" spans="1:10" x14ac:dyDescent="0.25">
      <c r="A12882" t="s">
        <v>131</v>
      </c>
      <c r="B12882" s="1" t="str">
        <f>HYPERLINK("http://dhl.com.pk","dhl.com.pk")</f>
        <v>dhl.com.pk</v>
      </c>
      <c r="C12882" t="s">
        <v>485</v>
      </c>
      <c r="D12882" t="s">
        <v>859</v>
      </c>
      <c r="F12882">
        <v>2.36638680017881E-8</v>
      </c>
      <c r="G12882">
        <v>2197226</v>
      </c>
      <c r="H12882">
        <v>12700398</v>
      </c>
      <c r="I12882">
        <v>15352169</v>
      </c>
      <c r="J12882">
        <v>3</v>
      </c>
    </row>
    <row r="12883" spans="1:10" x14ac:dyDescent="0.25">
      <c r="A12883" t="s">
        <v>131</v>
      </c>
      <c r="B12883" s="1" t="str">
        <f>HYPERLINK("http://dhl.com.pl","dhl.com.pl")</f>
        <v>dhl.com.pl</v>
      </c>
      <c r="C12883" t="s">
        <v>486</v>
      </c>
      <c r="D12883" t="s">
        <v>860</v>
      </c>
      <c r="E12883">
        <v>126431</v>
      </c>
      <c r="F12883">
        <v>3.21328540417612E-7</v>
      </c>
      <c r="G12883">
        <v>115798</v>
      </c>
      <c r="H12883">
        <v>14419918</v>
      </c>
      <c r="I12883">
        <v>1090657</v>
      </c>
      <c r="J12883">
        <v>3</v>
      </c>
    </row>
    <row r="12884" spans="1:10" x14ac:dyDescent="0.25">
      <c r="A12884" t="s">
        <v>131</v>
      </c>
      <c r="B12884" s="1" t="str">
        <f>HYPERLINK("http://dhl.pl","dhl.pl")</f>
        <v>dhl.pl</v>
      </c>
      <c r="C12884" t="s">
        <v>486</v>
      </c>
      <c r="D12884" t="s">
        <v>860</v>
      </c>
      <c r="F12884">
        <v>7.3409085433084806E-8</v>
      </c>
      <c r="G12884">
        <v>574151</v>
      </c>
      <c r="H12884">
        <v>12745887</v>
      </c>
      <c r="I12884">
        <v>15085741</v>
      </c>
      <c r="J12884">
        <v>3</v>
      </c>
    </row>
    <row r="12885" spans="1:10" x14ac:dyDescent="0.25">
      <c r="A12885" t="s">
        <v>131</v>
      </c>
      <c r="B12885" s="1" t="str">
        <f>HYPERLINK("http://dhlparcel.pl","dhlparcel.pl")</f>
        <v>dhlparcel.pl</v>
      </c>
      <c r="C12885" t="s">
        <v>486</v>
      </c>
      <c r="D12885" t="s">
        <v>860</v>
      </c>
      <c r="E12885">
        <v>715289</v>
      </c>
      <c r="F12885">
        <v>1.03816592534567E-7</v>
      </c>
      <c r="G12885">
        <v>386348</v>
      </c>
      <c r="H12885">
        <v>13147373</v>
      </c>
      <c r="I12885">
        <v>11838802</v>
      </c>
      <c r="J12885">
        <v>4</v>
      </c>
    </row>
    <row r="12886" spans="1:10" x14ac:dyDescent="0.25">
      <c r="A12886" t="s">
        <v>131</v>
      </c>
      <c r="B12886" s="1" t="str">
        <f>HYPERLINK("http://dhl.pt","dhl.pt")</f>
        <v>dhl.pt</v>
      </c>
      <c r="C12886" t="s">
        <v>488</v>
      </c>
      <c r="D12886" t="s">
        <v>862</v>
      </c>
      <c r="F12886">
        <v>5.12702657203511E-8</v>
      </c>
      <c r="G12886">
        <v>893251</v>
      </c>
      <c r="H12886">
        <v>14245956</v>
      </c>
      <c r="I12886">
        <v>1463683</v>
      </c>
      <c r="J12886">
        <v>3</v>
      </c>
    </row>
    <row r="12887" spans="1:10" x14ac:dyDescent="0.25">
      <c r="A12887" t="s">
        <v>131</v>
      </c>
      <c r="B12887" s="1" t="str">
        <f>HYPERLINK("http://dhl.com.py","dhl.com.py")</f>
        <v>dhl.com.py</v>
      </c>
      <c r="C12887" t="s">
        <v>489</v>
      </c>
      <c r="D12887" t="s">
        <v>863</v>
      </c>
      <c r="F12887">
        <v>1.7790474295337901E-8</v>
      </c>
      <c r="G12887">
        <v>3076841</v>
      </c>
      <c r="H12887">
        <v>12644667</v>
      </c>
      <c r="I12887">
        <v>15836858</v>
      </c>
      <c r="J12887">
        <v>3</v>
      </c>
    </row>
    <row r="12888" spans="1:10" x14ac:dyDescent="0.25">
      <c r="A12888" t="s">
        <v>131</v>
      </c>
      <c r="B12888" s="1" t="str">
        <f>HYPERLINK("http://dhl.com.qa","dhl.com.qa")</f>
        <v>dhl.com.qa</v>
      </c>
      <c r="C12888" t="s">
        <v>490</v>
      </c>
      <c r="D12888" t="s">
        <v>864</v>
      </c>
      <c r="F12888">
        <v>2.4579761854389199E-8</v>
      </c>
      <c r="G12888">
        <v>2107293</v>
      </c>
      <c r="H12888">
        <v>13940601</v>
      </c>
      <c r="I12888">
        <v>4365548</v>
      </c>
      <c r="J12888">
        <v>3</v>
      </c>
    </row>
    <row r="12889" spans="1:10" x14ac:dyDescent="0.25">
      <c r="A12889" t="s">
        <v>131</v>
      </c>
      <c r="B12889" s="1" t="str">
        <f>HYPERLINK("http://dhl.re","dhl.re")</f>
        <v>dhl.re</v>
      </c>
      <c r="C12889" t="s">
        <v>575</v>
      </c>
      <c r="D12889" t="s">
        <v>920</v>
      </c>
      <c r="F12889">
        <v>1.6670313710183399E-8</v>
      </c>
      <c r="G12889">
        <v>3366347</v>
      </c>
      <c r="H12889">
        <v>12638623</v>
      </c>
      <c r="I12889">
        <v>15886194</v>
      </c>
      <c r="J12889">
        <v>3</v>
      </c>
    </row>
    <row r="12890" spans="1:10" x14ac:dyDescent="0.25">
      <c r="A12890" t="s">
        <v>131</v>
      </c>
      <c r="B12890" s="1" t="str">
        <f>HYPERLINK("http://cargus.ro","cargus.ro")</f>
        <v>cargus.ro</v>
      </c>
      <c r="C12890" t="s">
        <v>491</v>
      </c>
      <c r="D12890" t="s">
        <v>865</v>
      </c>
      <c r="E12890">
        <v>259971</v>
      </c>
      <c r="F12890">
        <v>2.5180148031371002E-7</v>
      </c>
      <c r="G12890">
        <v>148551</v>
      </c>
      <c r="H12890">
        <v>17020376</v>
      </c>
      <c r="I12890">
        <v>89454</v>
      </c>
      <c r="J12890">
        <v>4</v>
      </c>
    </row>
    <row r="12891" spans="1:10" x14ac:dyDescent="0.25">
      <c r="A12891" t="s">
        <v>131</v>
      </c>
      <c r="B12891" s="1" t="str">
        <f>HYPERLINK("http://dhl.ro","dhl.ro")</f>
        <v>dhl.ro</v>
      </c>
      <c r="C12891" t="s">
        <v>491</v>
      </c>
      <c r="D12891" t="s">
        <v>865</v>
      </c>
      <c r="F12891">
        <v>1.6472976143182599E-8</v>
      </c>
      <c r="G12891">
        <v>3420532</v>
      </c>
      <c r="H12891">
        <v>14078329</v>
      </c>
      <c r="I12891">
        <v>2848707</v>
      </c>
      <c r="J12891">
        <v>3</v>
      </c>
    </row>
    <row r="12892" spans="1:10" x14ac:dyDescent="0.25">
      <c r="A12892" t="s">
        <v>131</v>
      </c>
      <c r="B12892" s="1" t="str">
        <f>HYPERLINK("http://urgentcargus.ro","urgentcargus.ro")</f>
        <v>urgentcargus.ro</v>
      </c>
      <c r="C12892" t="s">
        <v>491</v>
      </c>
      <c r="D12892" t="s">
        <v>865</v>
      </c>
      <c r="E12892">
        <v>194609</v>
      </c>
      <c r="F12892">
        <v>2.3809967812144E-7</v>
      </c>
      <c r="G12892">
        <v>157211</v>
      </c>
      <c r="H12892">
        <v>14167745</v>
      </c>
      <c r="I12892">
        <v>1814662</v>
      </c>
      <c r="J12892">
        <v>6</v>
      </c>
    </row>
    <row r="12893" spans="1:10" x14ac:dyDescent="0.25">
      <c r="A12893" t="s">
        <v>131</v>
      </c>
      <c r="B12893" s="1" t="str">
        <f>HYPERLINK("http://dhl.rs","dhl.rs")</f>
        <v>dhl.rs</v>
      </c>
      <c r="C12893" t="s">
        <v>492</v>
      </c>
      <c r="D12893" t="s">
        <v>866</v>
      </c>
      <c r="F12893">
        <v>2.4917230334462501E-8</v>
      </c>
      <c r="G12893">
        <v>2074915</v>
      </c>
      <c r="H12893">
        <v>13125327</v>
      </c>
      <c r="I12893">
        <v>11961274</v>
      </c>
      <c r="J12893">
        <v>3</v>
      </c>
    </row>
    <row r="12894" spans="1:10" x14ac:dyDescent="0.25">
      <c r="A12894" t="s">
        <v>131</v>
      </c>
      <c r="B12894" s="1" t="str">
        <f>HYPERLINK("http://dhl.ru","dhl.ru")</f>
        <v>dhl.ru</v>
      </c>
      <c r="C12894" t="s">
        <v>493</v>
      </c>
      <c r="D12894" t="s">
        <v>867</v>
      </c>
      <c r="E12894">
        <v>57998</v>
      </c>
      <c r="F12894">
        <v>5.9021897525162002E-7</v>
      </c>
      <c r="G12894">
        <v>64804</v>
      </c>
      <c r="H12894">
        <v>14824490</v>
      </c>
      <c r="I12894">
        <v>512255</v>
      </c>
      <c r="J12894">
        <v>3</v>
      </c>
    </row>
    <row r="12895" spans="1:10" x14ac:dyDescent="0.25">
      <c r="A12895" t="s">
        <v>131</v>
      </c>
      <c r="B12895" s="1" t="str">
        <f>HYPERLINK("http://dhl.com.sa","dhl.com.sa")</f>
        <v>dhl.com.sa</v>
      </c>
      <c r="C12895" t="s">
        <v>494</v>
      </c>
      <c r="D12895" t="s">
        <v>868</v>
      </c>
      <c r="F12895">
        <v>2.2564215485446E-7</v>
      </c>
      <c r="G12895">
        <v>167004</v>
      </c>
      <c r="H12895">
        <v>13616118</v>
      </c>
      <c r="I12895">
        <v>9629859</v>
      </c>
      <c r="J12895">
        <v>3</v>
      </c>
    </row>
    <row r="12896" spans="1:10" x14ac:dyDescent="0.25">
      <c r="A12896" t="s">
        <v>131</v>
      </c>
      <c r="B12896" s="1" t="str">
        <f>HYPERLINK("http://dhl.sc","dhl.sc")</f>
        <v>dhl.sc</v>
      </c>
      <c r="C12896" t="s">
        <v>664</v>
      </c>
      <c r="D12896" t="s">
        <v>983</v>
      </c>
      <c r="F12896">
        <v>1.79097119253712E-8</v>
      </c>
      <c r="G12896">
        <v>3051429</v>
      </c>
      <c r="H12896">
        <v>12689952</v>
      </c>
      <c r="I12896">
        <v>15420333</v>
      </c>
      <c r="J12896">
        <v>3</v>
      </c>
    </row>
    <row r="12897" spans="1:10" x14ac:dyDescent="0.25">
      <c r="A12897" t="s">
        <v>131</v>
      </c>
      <c r="B12897" s="1" t="str">
        <f>HYPERLINK("http://dhl.se","dhl.se")</f>
        <v>dhl.se</v>
      </c>
      <c r="C12897" t="s">
        <v>495</v>
      </c>
      <c r="D12897" t="s">
        <v>869</v>
      </c>
      <c r="F12897">
        <v>1.15628590871184E-7</v>
      </c>
      <c r="G12897">
        <v>344043</v>
      </c>
      <c r="H12897">
        <v>14491876</v>
      </c>
      <c r="I12897">
        <v>899382</v>
      </c>
      <c r="J12897">
        <v>3</v>
      </c>
    </row>
    <row r="12898" spans="1:10" x14ac:dyDescent="0.25">
      <c r="A12898" t="s">
        <v>131</v>
      </c>
      <c r="B12898" s="1" t="str">
        <f>HYPERLINK("http://dhl.com.sg","dhl.com.sg")</f>
        <v>dhl.com.sg</v>
      </c>
      <c r="C12898" t="s">
        <v>496</v>
      </c>
      <c r="D12898" t="s">
        <v>870</v>
      </c>
      <c r="F12898">
        <v>4.6106348834361799E-8</v>
      </c>
      <c r="G12898">
        <v>1017056</v>
      </c>
      <c r="H12898">
        <v>13819020</v>
      </c>
      <c r="I12898">
        <v>6150239</v>
      </c>
      <c r="J12898">
        <v>3</v>
      </c>
    </row>
    <row r="12899" spans="1:10" x14ac:dyDescent="0.25">
      <c r="A12899" t="s">
        <v>131</v>
      </c>
      <c r="B12899" s="1" t="str">
        <f>HYPERLINK("http://dhl.si","dhl.si")</f>
        <v>dhl.si</v>
      </c>
      <c r="C12899" t="s">
        <v>497</v>
      </c>
      <c r="D12899" t="s">
        <v>871</v>
      </c>
      <c r="F12899">
        <v>2.13158758262583E-8</v>
      </c>
      <c r="G12899">
        <v>2472198</v>
      </c>
      <c r="H12899">
        <v>12780142</v>
      </c>
      <c r="I12899">
        <v>14757015</v>
      </c>
      <c r="J12899">
        <v>3</v>
      </c>
    </row>
    <row r="12900" spans="1:10" x14ac:dyDescent="0.25">
      <c r="A12900" t="s">
        <v>131</v>
      </c>
      <c r="B12900" s="1" t="str">
        <f>HYPERLINK("http://dhl.sk","dhl.sk")</f>
        <v>dhl.sk</v>
      </c>
      <c r="C12900" t="s">
        <v>498</v>
      </c>
      <c r="D12900" t="s">
        <v>872</v>
      </c>
      <c r="F12900">
        <v>9.5992116271274994E-8</v>
      </c>
      <c r="G12900">
        <v>421626</v>
      </c>
      <c r="H12900">
        <v>12967298</v>
      </c>
      <c r="I12900">
        <v>13072987</v>
      </c>
      <c r="J12900">
        <v>3</v>
      </c>
    </row>
    <row r="12901" spans="1:10" x14ac:dyDescent="0.25">
      <c r="A12901" t="s">
        <v>131</v>
      </c>
      <c r="B12901" s="1" t="str">
        <f>HYPERLINK("http://expresnapreprava.sk","expresnapreprava.sk")</f>
        <v>expresnapreprava.sk</v>
      </c>
      <c r="C12901" t="s">
        <v>498</v>
      </c>
      <c r="D12901" t="s">
        <v>872</v>
      </c>
      <c r="F12901">
        <v>1.09310265634436E-8</v>
      </c>
      <c r="G12901">
        <v>5918559</v>
      </c>
      <c r="H12901">
        <v>12473468</v>
      </c>
      <c r="I12901">
        <v>17661785</v>
      </c>
      <c r="J12901">
        <v>4</v>
      </c>
    </row>
    <row r="12902" spans="1:10" x14ac:dyDescent="0.25">
      <c r="A12902" t="s">
        <v>131</v>
      </c>
      <c r="B12902" s="1" t="str">
        <f>HYPERLINK("http://dhl.sl","dhl.sl")</f>
        <v>dhl.sl</v>
      </c>
      <c r="C12902" t="s">
        <v>666</v>
      </c>
      <c r="D12902" t="s">
        <v>985</v>
      </c>
      <c r="F12902">
        <v>1.7647473189736801E-8</v>
      </c>
      <c r="G12902">
        <v>3108459</v>
      </c>
      <c r="H12902">
        <v>12696699</v>
      </c>
      <c r="I12902">
        <v>15377836</v>
      </c>
      <c r="J12902">
        <v>3</v>
      </c>
    </row>
    <row r="12903" spans="1:10" x14ac:dyDescent="0.25">
      <c r="A12903" t="s">
        <v>131</v>
      </c>
      <c r="B12903" s="1" t="str">
        <f>HYPERLINK("http://dhl.sn","dhl.sn")</f>
        <v>dhl.sn</v>
      </c>
      <c r="C12903" t="s">
        <v>551</v>
      </c>
      <c r="D12903" t="s">
        <v>907</v>
      </c>
      <c r="F12903">
        <v>1.68614200672547E-8</v>
      </c>
      <c r="G12903">
        <v>3318550</v>
      </c>
      <c r="H12903">
        <v>12640199</v>
      </c>
      <c r="I12903">
        <v>15874741</v>
      </c>
      <c r="J12903">
        <v>3</v>
      </c>
    </row>
    <row r="12904" spans="1:10" x14ac:dyDescent="0.25">
      <c r="A12904" t="s">
        <v>131</v>
      </c>
      <c r="B12904" s="1" t="str">
        <f>HYPERLINK("http://dhl.com.sv","dhl.com.sv")</f>
        <v>dhl.com.sv</v>
      </c>
      <c r="C12904" t="s">
        <v>499</v>
      </c>
      <c r="D12904" t="s">
        <v>873</v>
      </c>
      <c r="F12904">
        <v>1.7264724835754301E-8</v>
      </c>
      <c r="G12904">
        <v>3207770</v>
      </c>
      <c r="H12904">
        <v>12645311</v>
      </c>
      <c r="I12904">
        <v>15831516</v>
      </c>
      <c r="J12904">
        <v>3</v>
      </c>
    </row>
    <row r="12905" spans="1:10" x14ac:dyDescent="0.25">
      <c r="A12905" t="s">
        <v>131</v>
      </c>
      <c r="B12905" s="1" t="str">
        <f>HYPERLINK("http://dhl.co.sz","dhl.co.sz")</f>
        <v>dhl.co.sz</v>
      </c>
      <c r="C12905" t="s">
        <v>753</v>
      </c>
      <c r="D12905" t="s">
        <v>1013</v>
      </c>
      <c r="F12905">
        <v>1.7136109522442402E-8</v>
      </c>
      <c r="G12905">
        <v>3252810</v>
      </c>
      <c r="H12905">
        <v>12641024</v>
      </c>
      <c r="I12905">
        <v>15868872</v>
      </c>
      <c r="J12905">
        <v>3</v>
      </c>
    </row>
    <row r="12906" spans="1:10" x14ac:dyDescent="0.25">
      <c r="A12906" t="s">
        <v>131</v>
      </c>
      <c r="B12906" s="1" t="str">
        <f>HYPERLINK("http://exel.tech","exel.tech")</f>
        <v>exel.tech</v>
      </c>
      <c r="C12906" t="s">
        <v>534</v>
      </c>
      <c r="F12906">
        <v>4.8376292115983503E-9</v>
      </c>
      <c r="G12906">
        <v>34566387</v>
      </c>
      <c r="H12906">
        <v>10780160</v>
      </c>
      <c r="I12906">
        <v>38930042</v>
      </c>
      <c r="J12906">
        <v>5</v>
      </c>
    </row>
    <row r="12907" spans="1:10" x14ac:dyDescent="0.25">
      <c r="A12907" t="s">
        <v>131</v>
      </c>
      <c r="B12907" s="1" t="str">
        <f>HYPERLINK("http://dhl.co.th","dhl.co.th")</f>
        <v>dhl.co.th</v>
      </c>
      <c r="C12907" t="s">
        <v>500</v>
      </c>
      <c r="D12907" t="s">
        <v>874</v>
      </c>
      <c r="F12907">
        <v>5.3600147625863103E-8</v>
      </c>
      <c r="G12907">
        <v>848477</v>
      </c>
      <c r="H12907">
        <v>14255147</v>
      </c>
      <c r="I12907">
        <v>1433899</v>
      </c>
      <c r="J12907">
        <v>3</v>
      </c>
    </row>
    <row r="12908" spans="1:10" x14ac:dyDescent="0.25">
      <c r="A12908" t="s">
        <v>131</v>
      </c>
      <c r="B12908" s="1" t="str">
        <f>HYPERLINK("http://dhl.tl","dhl.tl")</f>
        <v>dhl.tl</v>
      </c>
      <c r="C12908" t="s">
        <v>599</v>
      </c>
      <c r="D12908" t="s">
        <v>933</v>
      </c>
      <c r="F12908">
        <v>1.6736612818150899E-8</v>
      </c>
      <c r="G12908">
        <v>3349629</v>
      </c>
      <c r="H12908">
        <v>12689741</v>
      </c>
      <c r="I12908">
        <v>15421613</v>
      </c>
      <c r="J12908">
        <v>3</v>
      </c>
    </row>
    <row r="12909" spans="1:10" x14ac:dyDescent="0.25">
      <c r="A12909" t="s">
        <v>131</v>
      </c>
      <c r="B12909" s="1" t="str">
        <f>HYPERLINK("http://dhl.com.tr","dhl.com.tr")</f>
        <v>dhl.com.tr</v>
      </c>
      <c r="C12909" t="s">
        <v>502</v>
      </c>
      <c r="D12909" t="s">
        <v>876</v>
      </c>
      <c r="F12909">
        <v>3.2541189880068302E-8</v>
      </c>
      <c r="G12909">
        <v>1587816</v>
      </c>
      <c r="H12909">
        <v>13770653</v>
      </c>
      <c r="I12909">
        <v>6720903</v>
      </c>
      <c r="J12909">
        <v>3</v>
      </c>
    </row>
    <row r="12910" spans="1:10" x14ac:dyDescent="0.25">
      <c r="A12910" t="s">
        <v>131</v>
      </c>
      <c r="B12910" s="1" t="str">
        <f>HYPERLINK("http://dhl.com.tt","dhl.com.tt")</f>
        <v>dhl.com.tt</v>
      </c>
      <c r="C12910" t="s">
        <v>503</v>
      </c>
      <c r="D12910" t="s">
        <v>877</v>
      </c>
      <c r="F12910">
        <v>1.7524056878934001E-8</v>
      </c>
      <c r="G12910">
        <v>3140568</v>
      </c>
      <c r="H12910">
        <v>12705928</v>
      </c>
      <c r="I12910">
        <v>15323519</v>
      </c>
      <c r="J12910">
        <v>3</v>
      </c>
    </row>
    <row r="12911" spans="1:10" x14ac:dyDescent="0.25">
      <c r="A12911" t="s">
        <v>131</v>
      </c>
      <c r="B12911" s="1" t="str">
        <f>HYPERLINK("http://dhl.com.tw","dhl.com.tw")</f>
        <v>dhl.com.tw</v>
      </c>
      <c r="C12911" t="s">
        <v>504</v>
      </c>
      <c r="D12911" t="s">
        <v>878</v>
      </c>
      <c r="F12911">
        <v>5.5647927051312002E-8</v>
      </c>
      <c r="G12911">
        <v>805963</v>
      </c>
      <c r="H12911">
        <v>14379538</v>
      </c>
      <c r="I12911">
        <v>1198585</v>
      </c>
      <c r="J12911">
        <v>3</v>
      </c>
    </row>
    <row r="12912" spans="1:10" x14ac:dyDescent="0.25">
      <c r="A12912" t="s">
        <v>131</v>
      </c>
      <c r="B12912" s="1" t="str">
        <f>HYPERLINK("http://dhl.co.tz","dhl.co.tz")</f>
        <v>dhl.co.tz</v>
      </c>
      <c r="C12912" t="s">
        <v>676</v>
      </c>
      <c r="D12912" t="s">
        <v>994</v>
      </c>
      <c r="F12912">
        <v>1.78954090307553E-8</v>
      </c>
      <c r="G12912">
        <v>3054440</v>
      </c>
      <c r="H12912">
        <v>12753346</v>
      </c>
      <c r="I12912">
        <v>15002859</v>
      </c>
      <c r="J12912">
        <v>3</v>
      </c>
    </row>
    <row r="12913" spans="1:10" x14ac:dyDescent="0.25">
      <c r="A12913" t="s">
        <v>131</v>
      </c>
      <c r="B12913" s="1" t="str">
        <f>HYPERLINK("http://dhl.com.ua","dhl.com.ua")</f>
        <v>dhl.com.ua</v>
      </c>
      <c r="C12913" t="s">
        <v>505</v>
      </c>
      <c r="D12913" t="s">
        <v>879</v>
      </c>
      <c r="F12913">
        <v>3.4802273241601398E-8</v>
      </c>
      <c r="G12913">
        <v>1491843</v>
      </c>
      <c r="H12913">
        <v>14239636</v>
      </c>
      <c r="I12913">
        <v>1509867</v>
      </c>
      <c r="J12913">
        <v>3</v>
      </c>
    </row>
    <row r="12914" spans="1:10" x14ac:dyDescent="0.25">
      <c r="A12914" t="s">
        <v>131</v>
      </c>
      <c r="B12914" s="1" t="str">
        <f>HYPERLINK("http://dhl.co.ug","dhl.co.ug")</f>
        <v>dhl.co.ug</v>
      </c>
      <c r="C12914" t="s">
        <v>677</v>
      </c>
      <c r="D12914" t="s">
        <v>995</v>
      </c>
      <c r="F12914">
        <v>1.6879363595008301E-8</v>
      </c>
      <c r="G12914">
        <v>3313900</v>
      </c>
      <c r="H12914">
        <v>12695815</v>
      </c>
      <c r="I12914">
        <v>15381862</v>
      </c>
      <c r="J12914">
        <v>3</v>
      </c>
    </row>
    <row r="12915" spans="1:10" x14ac:dyDescent="0.25">
      <c r="A12915" t="s">
        <v>131</v>
      </c>
      <c r="B12915" s="1" t="str">
        <f>HYPERLINK("http://dhl.co.uk","dhl.co.uk")</f>
        <v>dhl.co.uk</v>
      </c>
      <c r="C12915" t="s">
        <v>506</v>
      </c>
      <c r="D12915" t="s">
        <v>880</v>
      </c>
      <c r="E12915">
        <v>133672</v>
      </c>
      <c r="F12915">
        <v>3.7469672335284302E-7</v>
      </c>
      <c r="G12915">
        <v>99964</v>
      </c>
      <c r="H12915">
        <v>14873459</v>
      </c>
      <c r="I12915">
        <v>476693</v>
      </c>
      <c r="J12915">
        <v>3</v>
      </c>
    </row>
    <row r="12916" spans="1:10" x14ac:dyDescent="0.25">
      <c r="A12916" t="s">
        <v>131</v>
      </c>
      <c r="B12916" s="1" t="str">
        <f>HYPERLINK("http://dhlparcel.co.uk","dhlparcel.co.uk")</f>
        <v>dhlparcel.co.uk</v>
      </c>
      <c r="C12916" t="s">
        <v>506</v>
      </c>
      <c r="D12916" t="s">
        <v>880</v>
      </c>
      <c r="E12916">
        <v>53342</v>
      </c>
      <c r="F12916">
        <v>1.3870043763300399E-7</v>
      </c>
      <c r="G12916">
        <v>280893</v>
      </c>
      <c r="H12916">
        <v>13988931</v>
      </c>
      <c r="I12916">
        <v>4034670</v>
      </c>
      <c r="J12916">
        <v>4</v>
      </c>
    </row>
    <row r="12917" spans="1:10" x14ac:dyDescent="0.25">
      <c r="A12917" t="s">
        <v>131</v>
      </c>
      <c r="B12917" s="1" t="str">
        <f>HYPERLINK("http://sto-express.co.uk","sto-express.co.uk")</f>
        <v>sto-express.co.uk</v>
      </c>
      <c r="C12917" t="s">
        <v>506</v>
      </c>
      <c r="D12917" t="s">
        <v>880</v>
      </c>
      <c r="F12917">
        <v>7.5374989140503593E-9</v>
      </c>
      <c r="G12917">
        <v>10931680</v>
      </c>
      <c r="H12917">
        <v>13152806</v>
      </c>
      <c r="I12917">
        <v>11814888</v>
      </c>
      <c r="J12917">
        <v>4</v>
      </c>
    </row>
    <row r="12918" spans="1:10" x14ac:dyDescent="0.25">
      <c r="A12918" t="s">
        <v>131</v>
      </c>
      <c r="B12918" s="1" t="str">
        <f>HYPERLINK("http://tbda.co.uk","tbda.co.uk")</f>
        <v>tbda.co.uk</v>
      </c>
      <c r="C12918" t="s">
        <v>506</v>
      </c>
      <c r="D12918" t="s">
        <v>880</v>
      </c>
      <c r="J12918">
        <v>5</v>
      </c>
    </row>
    <row r="12919" spans="1:10" x14ac:dyDescent="0.25">
      <c r="A12919" t="s">
        <v>131</v>
      </c>
      <c r="B12919" s="1" t="str">
        <f>HYPERLINK("http://dhl.com.uy","dhl.com.uy")</f>
        <v>dhl.com.uy</v>
      </c>
      <c r="C12919" t="s">
        <v>507</v>
      </c>
      <c r="D12919" t="s">
        <v>881</v>
      </c>
      <c r="F12919">
        <v>1.88684495503039E-8</v>
      </c>
      <c r="G12919">
        <v>2859284</v>
      </c>
      <c r="H12919">
        <v>12645148</v>
      </c>
      <c r="I12919">
        <v>15832398</v>
      </c>
      <c r="J12919">
        <v>3</v>
      </c>
    </row>
    <row r="12920" spans="1:10" x14ac:dyDescent="0.25">
      <c r="A12920" t="s">
        <v>131</v>
      </c>
      <c r="B12920" s="1" t="str">
        <f>HYPERLINK("http://dhl.com.vc","dhl.com.vc")</f>
        <v>dhl.com.vc</v>
      </c>
      <c r="C12920" t="s">
        <v>520</v>
      </c>
      <c r="D12920" t="s">
        <v>890</v>
      </c>
      <c r="F12920">
        <v>1.9953699192543799E-8</v>
      </c>
      <c r="G12920">
        <v>2666344</v>
      </c>
      <c r="H12920">
        <v>12692127</v>
      </c>
      <c r="I12920">
        <v>15405536</v>
      </c>
      <c r="J12920">
        <v>3</v>
      </c>
    </row>
    <row r="12921" spans="1:10" x14ac:dyDescent="0.25">
      <c r="A12921" t="s">
        <v>131</v>
      </c>
      <c r="B12921" s="1" t="str">
        <f>HYPERLINK("http://dhl.com.ve","dhl.com.ve")</f>
        <v>dhl.com.ve</v>
      </c>
      <c r="C12921" t="s">
        <v>508</v>
      </c>
      <c r="D12921" t="s">
        <v>882</v>
      </c>
      <c r="F12921">
        <v>1.8427897899068499E-8</v>
      </c>
      <c r="G12921">
        <v>2940270</v>
      </c>
      <c r="H12921">
        <v>12707039</v>
      </c>
      <c r="I12921">
        <v>15318239</v>
      </c>
      <c r="J12921">
        <v>3</v>
      </c>
    </row>
    <row r="12922" spans="1:10" x14ac:dyDescent="0.25">
      <c r="A12922" t="s">
        <v>131</v>
      </c>
      <c r="B12922" s="1" t="str">
        <f>HYPERLINK("http://domesa.com.ve","domesa.com.ve")</f>
        <v>domesa.com.ve</v>
      </c>
      <c r="C12922" t="s">
        <v>508</v>
      </c>
      <c r="D12922" t="s">
        <v>882</v>
      </c>
      <c r="F12922">
        <v>9.1037517334128808E-9</v>
      </c>
      <c r="G12922">
        <v>7841791</v>
      </c>
      <c r="H12922">
        <v>14020480</v>
      </c>
      <c r="I12922">
        <v>3984766</v>
      </c>
      <c r="J12922">
        <v>4</v>
      </c>
    </row>
    <row r="12923" spans="1:10" x14ac:dyDescent="0.25">
      <c r="A12923" t="s">
        <v>131</v>
      </c>
      <c r="B12923" s="1" t="str">
        <f>HYPERLINK("http://dhl.vg","dhl.vg")</f>
        <v>dhl.vg</v>
      </c>
      <c r="C12923" t="s">
        <v>678</v>
      </c>
      <c r="D12923" t="s">
        <v>996</v>
      </c>
      <c r="F12923">
        <v>1.6727214754035701E-8</v>
      </c>
      <c r="G12923">
        <v>3351914</v>
      </c>
      <c r="H12923">
        <v>12638615</v>
      </c>
      <c r="I12923">
        <v>15886242</v>
      </c>
      <c r="J12923">
        <v>3</v>
      </c>
    </row>
    <row r="12924" spans="1:10" x14ac:dyDescent="0.25">
      <c r="A12924" t="s">
        <v>131</v>
      </c>
      <c r="B12924" s="1" t="str">
        <f>HYPERLINK("http://dhl.com.vn","dhl.com.vn")</f>
        <v>dhl.com.vn</v>
      </c>
      <c r="C12924" t="s">
        <v>509</v>
      </c>
      <c r="D12924" t="s">
        <v>883</v>
      </c>
      <c r="F12924">
        <v>5.32660075850346E-8</v>
      </c>
      <c r="G12924">
        <v>854641</v>
      </c>
      <c r="H12924">
        <v>13841300</v>
      </c>
      <c r="I12924">
        <v>6070686</v>
      </c>
      <c r="J12924">
        <v>3</v>
      </c>
    </row>
    <row r="12925" spans="1:10" x14ac:dyDescent="0.25">
      <c r="A12925" t="s">
        <v>131</v>
      </c>
      <c r="B12925" s="1" t="str">
        <f>HYPERLINK("http://dhl.co.za","dhl.co.za")</f>
        <v>dhl.co.za</v>
      </c>
      <c r="C12925" t="s">
        <v>510</v>
      </c>
      <c r="D12925" t="s">
        <v>884</v>
      </c>
      <c r="F12925">
        <v>2.6910376905166901E-8</v>
      </c>
      <c r="G12925">
        <v>1911465</v>
      </c>
      <c r="H12925">
        <v>13943838</v>
      </c>
      <c r="I12925">
        <v>4308878</v>
      </c>
      <c r="J12925">
        <v>3</v>
      </c>
    </row>
    <row r="12926" spans="1:10" x14ac:dyDescent="0.25">
      <c r="A12926" t="s">
        <v>131</v>
      </c>
      <c r="B12926" s="1" t="str">
        <f>HYPERLINK("http://dhl.co.zm","dhl.co.zm")</f>
        <v>dhl.co.zm</v>
      </c>
      <c r="C12926" t="s">
        <v>681</v>
      </c>
      <c r="D12926" t="s">
        <v>999</v>
      </c>
      <c r="F12926">
        <v>1.6726483625279499E-8</v>
      </c>
      <c r="G12926">
        <v>3352100</v>
      </c>
      <c r="H12926">
        <v>12671370</v>
      </c>
      <c r="I12926">
        <v>15608442</v>
      </c>
      <c r="J12926">
        <v>3</v>
      </c>
    </row>
    <row r="12927" spans="1:10" x14ac:dyDescent="0.25">
      <c r="A12927" t="s">
        <v>131</v>
      </c>
      <c r="B12927" s="1" t="str">
        <f>HYPERLINK("http://dhl.co.zw","dhl.co.zw")</f>
        <v>dhl.co.zw</v>
      </c>
      <c r="C12927" t="s">
        <v>682</v>
      </c>
      <c r="D12927" t="s">
        <v>1000</v>
      </c>
      <c r="F12927">
        <v>2.8533720049240599E-8</v>
      </c>
      <c r="G12927">
        <v>1804047</v>
      </c>
      <c r="H12927">
        <v>12704236</v>
      </c>
      <c r="I12927">
        <v>15331852</v>
      </c>
      <c r="J12927">
        <v>3</v>
      </c>
    </row>
    <row r="12928" spans="1:10" x14ac:dyDescent="0.25">
      <c r="A12928" t="s">
        <v>132</v>
      </c>
      <c r="B12928" s="1" t="str">
        <f>HYPERLINK("http://detecon.at","detecon.at")</f>
        <v>detecon.at</v>
      </c>
      <c r="C12928" t="s">
        <v>419</v>
      </c>
      <c r="D12928" t="s">
        <v>801</v>
      </c>
      <c r="J12928">
        <v>3</v>
      </c>
    </row>
    <row r="12929" spans="1:10" x14ac:dyDescent="0.25">
      <c r="A12929" t="s">
        <v>132</v>
      </c>
      <c r="B12929" s="1" t="str">
        <f>HYPERLINK("http://egr.at","egr.at")</f>
        <v>egr.at</v>
      </c>
      <c r="C12929" t="s">
        <v>419</v>
      </c>
      <c r="D12929" t="s">
        <v>801</v>
      </c>
      <c r="F12929">
        <v>6.4038877920950497E-9</v>
      </c>
      <c r="G12929">
        <v>14498776</v>
      </c>
      <c r="H12929">
        <v>11015375</v>
      </c>
      <c r="I12929">
        <v>33327352</v>
      </c>
      <c r="J12929">
        <v>4</v>
      </c>
    </row>
    <row r="12930" spans="1:10" x14ac:dyDescent="0.25">
      <c r="A12930" t="s">
        <v>132</v>
      </c>
      <c r="B12930" s="1" t="str">
        <f>HYPERLINK("http://magenta.at","magenta.at")</f>
        <v>magenta.at</v>
      </c>
      <c r="C12930" t="s">
        <v>419</v>
      </c>
      <c r="D12930" t="s">
        <v>801</v>
      </c>
      <c r="E12930">
        <v>76442</v>
      </c>
      <c r="F12930">
        <v>4.8427708293596997E-7</v>
      </c>
      <c r="G12930">
        <v>78598</v>
      </c>
      <c r="H12930">
        <v>14924537</v>
      </c>
      <c r="I12930">
        <v>449990</v>
      </c>
      <c r="J12930">
        <v>3</v>
      </c>
    </row>
    <row r="12931" spans="1:10" x14ac:dyDescent="0.25">
      <c r="A12931" t="s">
        <v>132</v>
      </c>
      <c r="B12931" s="1" t="str">
        <f>HYPERLINK("http://magentatv.at","magentatv.at")</f>
        <v>magentatv.at</v>
      </c>
      <c r="C12931" t="s">
        <v>419</v>
      </c>
      <c r="D12931" t="s">
        <v>801</v>
      </c>
      <c r="F12931">
        <v>7.9611913774173099E-9</v>
      </c>
      <c r="G12931">
        <v>9992778</v>
      </c>
      <c r="H12931">
        <v>12629164</v>
      </c>
      <c r="I12931">
        <v>15998120</v>
      </c>
      <c r="J12931">
        <v>2</v>
      </c>
    </row>
    <row r="12932" spans="1:10" x14ac:dyDescent="0.25">
      <c r="A12932" t="s">
        <v>132</v>
      </c>
      <c r="B12932" s="1" t="str">
        <f>HYPERLINK("http://t-mobile.at","t-mobile.at")</f>
        <v>t-mobile.at</v>
      </c>
      <c r="C12932" t="s">
        <v>419</v>
      </c>
      <c r="D12932" t="s">
        <v>801</v>
      </c>
      <c r="E12932">
        <v>19020</v>
      </c>
      <c r="F12932">
        <v>1.95460075877022E-7</v>
      </c>
      <c r="G12932">
        <v>197298</v>
      </c>
      <c r="H12932">
        <v>14614934</v>
      </c>
      <c r="I12932">
        <v>668249</v>
      </c>
      <c r="J12932">
        <v>2</v>
      </c>
    </row>
    <row r="12933" spans="1:10" x14ac:dyDescent="0.25">
      <c r="A12933" t="s">
        <v>132</v>
      </c>
      <c r="B12933" s="1" t="str">
        <f>HYPERLINK("http://t-systems.at","t-systems.at")</f>
        <v>t-systems.at</v>
      </c>
      <c r="C12933" t="s">
        <v>419</v>
      </c>
      <c r="D12933" t="s">
        <v>801</v>
      </c>
      <c r="E12933">
        <v>117753</v>
      </c>
      <c r="F12933">
        <v>4.0137927126311801E-8</v>
      </c>
      <c r="G12933">
        <v>1288500</v>
      </c>
      <c r="H12933">
        <v>13852752</v>
      </c>
      <c r="I12933">
        <v>6049282</v>
      </c>
      <c r="J12933">
        <v>3</v>
      </c>
    </row>
    <row r="12934" spans="1:10" x14ac:dyDescent="0.25">
      <c r="A12934" t="s">
        <v>132</v>
      </c>
      <c r="B12934" s="1" t="str">
        <f>HYPERLINK("http://tsystems.at","tsystems.at")</f>
        <v>tsystems.at</v>
      </c>
      <c r="C12934" t="s">
        <v>419</v>
      </c>
      <c r="D12934" t="s">
        <v>801</v>
      </c>
      <c r="F12934">
        <v>4.4675205363573599E-9</v>
      </c>
      <c r="G12934">
        <v>65283116</v>
      </c>
      <c r="H12934">
        <v>9454883</v>
      </c>
      <c r="I12934">
        <v>66445386</v>
      </c>
      <c r="J12934">
        <v>3</v>
      </c>
    </row>
    <row r="12935" spans="1:10" x14ac:dyDescent="0.25">
      <c r="A12935" t="s">
        <v>132</v>
      </c>
      <c r="B12935" s="1" t="str">
        <f>HYPERLINK("http://ht.ba","ht.ba")</f>
        <v>ht.ba</v>
      </c>
      <c r="C12935" t="s">
        <v>526</v>
      </c>
      <c r="D12935" t="s">
        <v>893</v>
      </c>
      <c r="F12935">
        <v>5.7100508728641804E-9</v>
      </c>
      <c r="G12935">
        <v>18837870</v>
      </c>
      <c r="H12935">
        <v>14071792</v>
      </c>
      <c r="I12935">
        <v>3378704</v>
      </c>
      <c r="J12935">
        <v>6</v>
      </c>
    </row>
    <row r="12936" spans="1:10" x14ac:dyDescent="0.25">
      <c r="A12936" t="s">
        <v>132</v>
      </c>
      <c r="B12936" s="1" t="str">
        <f>HYPERLINK("http://hteronet.ba","hteronet.ba")</f>
        <v>hteronet.ba</v>
      </c>
      <c r="C12936" t="s">
        <v>526</v>
      </c>
      <c r="D12936" t="s">
        <v>893</v>
      </c>
      <c r="E12936">
        <v>924055</v>
      </c>
      <c r="F12936">
        <v>8.1073211082692305E-8</v>
      </c>
      <c r="G12936">
        <v>514896</v>
      </c>
      <c r="H12936">
        <v>16873778</v>
      </c>
      <c r="I12936">
        <v>143693</v>
      </c>
      <c r="J12936">
        <v>3</v>
      </c>
    </row>
    <row r="12937" spans="1:10" x14ac:dyDescent="0.25">
      <c r="A12937" t="s">
        <v>132</v>
      </c>
      <c r="B12937" s="1" t="str">
        <f>HYPERLINK("http://satellic.be","satellic.be")</f>
        <v>satellic.be</v>
      </c>
      <c r="C12937" t="s">
        <v>421</v>
      </c>
      <c r="D12937" t="s">
        <v>803</v>
      </c>
      <c r="E12937">
        <v>877671</v>
      </c>
      <c r="F12937">
        <v>6.0065300325117005E-8</v>
      </c>
      <c r="G12937">
        <v>734855</v>
      </c>
      <c r="H12937">
        <v>14246170</v>
      </c>
      <c r="I12937">
        <v>1462742</v>
      </c>
      <c r="J12937">
        <v>3</v>
      </c>
    </row>
    <row r="12938" spans="1:10" x14ac:dyDescent="0.25">
      <c r="A12938" t="s">
        <v>132</v>
      </c>
      <c r="B12938" s="1" t="str">
        <f>HYPERLINK("http://t-systems.be","t-systems.be")</f>
        <v>t-systems.be</v>
      </c>
      <c r="C12938" t="s">
        <v>421</v>
      </c>
      <c r="D12938" t="s">
        <v>803</v>
      </c>
      <c r="F12938">
        <v>6.6876939591088998E-9</v>
      </c>
      <c r="G12938">
        <v>13346816</v>
      </c>
      <c r="H12938">
        <v>12309994</v>
      </c>
      <c r="I12938">
        <v>20619608</v>
      </c>
      <c r="J12938">
        <v>4</v>
      </c>
    </row>
    <row r="12939" spans="1:10" x14ac:dyDescent="0.25">
      <c r="A12939" t="s">
        <v>132</v>
      </c>
      <c r="B12939" s="1" t="str">
        <f>HYPERLINK("http://dtcp.capital","dtcp.capital")</f>
        <v>dtcp.capital</v>
      </c>
      <c r="C12939" t="s">
        <v>778</v>
      </c>
      <c r="F12939">
        <v>1.7034684422578399E-7</v>
      </c>
      <c r="G12939">
        <v>227715</v>
      </c>
      <c r="H12939">
        <v>13708512</v>
      </c>
      <c r="I12939">
        <v>9508674</v>
      </c>
      <c r="J12939">
        <v>6</v>
      </c>
    </row>
    <row r="12940" spans="1:10" x14ac:dyDescent="0.25">
      <c r="A12940" t="s">
        <v>132</v>
      </c>
      <c r="B12940" s="1" t="str">
        <f>HYPERLINK("http://dmc-ag.ch","dmc-ag.ch")</f>
        <v>dmc-ag.ch</v>
      </c>
      <c r="C12940" t="s">
        <v>429</v>
      </c>
      <c r="D12940" t="s">
        <v>810</v>
      </c>
      <c r="J12940">
        <v>3</v>
      </c>
    </row>
    <row r="12941" spans="1:10" x14ac:dyDescent="0.25">
      <c r="A12941" t="s">
        <v>132</v>
      </c>
      <c r="B12941" s="1" t="str">
        <f>HYPERLINK("http://t-systems.ch","t-systems.ch")</f>
        <v>t-systems.ch</v>
      </c>
      <c r="C12941" t="s">
        <v>429</v>
      </c>
      <c r="D12941" t="s">
        <v>810</v>
      </c>
      <c r="E12941">
        <v>538732</v>
      </c>
      <c r="F12941">
        <v>2.9491084182547101E-8</v>
      </c>
      <c r="G12941">
        <v>1747742</v>
      </c>
      <c r="H12941">
        <v>13388043</v>
      </c>
      <c r="I12941">
        <v>10398064</v>
      </c>
      <c r="J12941">
        <v>3</v>
      </c>
    </row>
    <row r="12942" spans="1:10" x14ac:dyDescent="0.25">
      <c r="A12942" t="s">
        <v>132</v>
      </c>
      <c r="B12942" s="1" t="str">
        <f>HYPERLINK("http://nemesisnow.christmas","nemesisnow.christmas")</f>
        <v>nemesisnow.christmas</v>
      </c>
      <c r="C12942" t="s">
        <v>695</v>
      </c>
      <c r="F12942">
        <v>5.4763619761436398E-9</v>
      </c>
      <c r="G12942">
        <v>21172342</v>
      </c>
      <c r="H12942">
        <v>10356360</v>
      </c>
      <c r="I12942">
        <v>55628189</v>
      </c>
      <c r="J12942">
        <v>22</v>
      </c>
    </row>
    <row r="12943" spans="1:10" x14ac:dyDescent="0.25">
      <c r="A12943" t="s">
        <v>132</v>
      </c>
      <c r="B12943" s="1" t="str">
        <f>HYPERLINK("http://apartment-mateo.com","apartment-mateo.com")</f>
        <v>apartment-mateo.com</v>
      </c>
      <c r="C12943" t="s">
        <v>433</v>
      </c>
      <c r="J12943">
        <v>5</v>
      </c>
    </row>
    <row r="12944" spans="1:10" x14ac:dyDescent="0.25">
      <c r="A12944" t="s">
        <v>132</v>
      </c>
      <c r="B12944" s="1" t="str">
        <f>HYPERLINK("http://argolatours.com","argolatours.com")</f>
        <v>argolatours.com</v>
      </c>
      <c r="C12944" t="s">
        <v>433</v>
      </c>
      <c r="F12944">
        <v>4.4722700864544802E-9</v>
      </c>
      <c r="G12944">
        <v>64021518</v>
      </c>
      <c r="H12944">
        <v>9569010</v>
      </c>
      <c r="I12944">
        <v>64741359</v>
      </c>
      <c r="J12944">
        <v>9</v>
      </c>
    </row>
    <row r="12945" spans="1:10" x14ac:dyDescent="0.25">
      <c r="A12945" t="s">
        <v>132</v>
      </c>
      <c r="B12945" s="1" t="str">
        <f>HYPERLINK("http://benocs.com","benocs.com")</f>
        <v>benocs.com</v>
      </c>
      <c r="C12945" t="s">
        <v>433</v>
      </c>
      <c r="E12945">
        <v>960010</v>
      </c>
      <c r="F12945">
        <v>3.4200543613997699E-8</v>
      </c>
      <c r="G12945">
        <v>1515243</v>
      </c>
      <c r="H12945">
        <v>12991148</v>
      </c>
      <c r="I12945">
        <v>12849915</v>
      </c>
      <c r="J12945">
        <v>3</v>
      </c>
    </row>
    <row r="12946" spans="1:10" x14ac:dyDescent="0.25">
      <c r="A12946" t="s">
        <v>132</v>
      </c>
      <c r="B12946" s="1" t="str">
        <f>HYPERLINK("http://bt.com","bt.com")</f>
        <v>bt.com</v>
      </c>
      <c r="C12946" t="s">
        <v>433</v>
      </c>
      <c r="E12946">
        <v>2295</v>
      </c>
      <c r="F12946">
        <v>7.3004778141888697E-6</v>
      </c>
      <c r="G12946">
        <v>4612</v>
      </c>
      <c r="H12946">
        <v>17956752</v>
      </c>
      <c r="I12946">
        <v>3998</v>
      </c>
      <c r="J12946">
        <v>4</v>
      </c>
    </row>
    <row r="12947" spans="1:10" x14ac:dyDescent="0.25">
      <c r="A12947" t="s">
        <v>132</v>
      </c>
      <c r="B12947" s="1" t="str">
        <f>HYPERLINK("http://btci.com","btci.com")</f>
        <v>btci.com</v>
      </c>
      <c r="C12947" t="s">
        <v>433</v>
      </c>
      <c r="E12947">
        <v>546536</v>
      </c>
      <c r="F12947">
        <v>1.16107129987784E-7</v>
      </c>
      <c r="G12947">
        <v>342519</v>
      </c>
      <c r="H12947">
        <v>13588295</v>
      </c>
      <c r="I12947">
        <v>9671830</v>
      </c>
      <c r="J12947">
        <v>8</v>
      </c>
    </row>
    <row r="12948" spans="1:10" x14ac:dyDescent="0.25">
      <c r="A12948" t="s">
        <v>132</v>
      </c>
      <c r="B12948" s="1" t="str">
        <f>HYPERLINK("http://btocmvoice.com","btocmvoice.com")</f>
        <v>btocmvoice.com</v>
      </c>
      <c r="C12948" t="s">
        <v>433</v>
      </c>
      <c r="J12948">
        <v>6</v>
      </c>
    </row>
    <row r="12949" spans="1:10" x14ac:dyDescent="0.25">
      <c r="A12949" t="s">
        <v>132</v>
      </c>
      <c r="B12949" s="1" t="str">
        <f>HYPERLINK("http://btplc.com","btplc.com")</f>
        <v>btplc.com</v>
      </c>
      <c r="C12949" t="s">
        <v>433</v>
      </c>
      <c r="E12949">
        <v>106972</v>
      </c>
      <c r="F12949">
        <v>8.6930613255947796E-7</v>
      </c>
      <c r="G12949">
        <v>46046</v>
      </c>
      <c r="H12949">
        <v>15435241</v>
      </c>
      <c r="I12949">
        <v>378764</v>
      </c>
      <c r="J12949">
        <v>7</v>
      </c>
    </row>
    <row r="12950" spans="1:10" x14ac:dyDescent="0.25">
      <c r="A12950" t="s">
        <v>132</v>
      </c>
      <c r="B12950" s="1" t="str">
        <f>HYPERLINK("http://btradianz.com","btradianz.com")</f>
        <v>btradianz.com</v>
      </c>
      <c r="C12950" t="s">
        <v>433</v>
      </c>
      <c r="F12950">
        <v>2.3725215562591301E-8</v>
      </c>
      <c r="G12950">
        <v>2190889</v>
      </c>
      <c r="H12950">
        <v>12906972</v>
      </c>
      <c r="I12950">
        <v>13814824</v>
      </c>
      <c r="J12950">
        <v>8</v>
      </c>
    </row>
    <row r="12951" spans="1:10" x14ac:dyDescent="0.25">
      <c r="A12951" t="s">
        <v>132</v>
      </c>
      <c r="B12951" s="1" t="str">
        <f>HYPERLINK("http://btwifi.com","btwifi.com")</f>
        <v>btwifi.com</v>
      </c>
      <c r="C12951" t="s">
        <v>433</v>
      </c>
      <c r="E12951">
        <v>134796</v>
      </c>
      <c r="F12951">
        <v>3.9189326126604803E-8</v>
      </c>
      <c r="G12951">
        <v>1316340</v>
      </c>
      <c r="H12951">
        <v>13738769</v>
      </c>
      <c r="I12951">
        <v>9433743</v>
      </c>
      <c r="J12951">
        <v>7</v>
      </c>
    </row>
    <row r="12952" spans="1:10" x14ac:dyDescent="0.25">
      <c r="A12952" t="s">
        <v>132</v>
      </c>
      <c r="B12952" s="1" t="str">
        <f>HYPERLINK("http://callingcardone.com","callingcardone.com")</f>
        <v>callingcardone.com</v>
      </c>
      <c r="C12952" t="s">
        <v>433</v>
      </c>
      <c r="J12952">
        <v>7</v>
      </c>
    </row>
    <row r="12953" spans="1:10" x14ac:dyDescent="0.25">
      <c r="A12953" t="s">
        <v>132</v>
      </c>
      <c r="B12953" s="1" t="str">
        <f>HYPERLINK("http://cecolo.com","cecolo.com")</f>
        <v>cecolo.com</v>
      </c>
      <c r="C12953" t="s">
        <v>433</v>
      </c>
      <c r="F12953">
        <v>2.2459408544400599E-8</v>
      </c>
      <c r="G12953">
        <v>2333032</v>
      </c>
      <c r="H12953">
        <v>12687561</v>
      </c>
      <c r="I12953">
        <v>15439342</v>
      </c>
      <c r="J12953">
        <v>3</v>
      </c>
    </row>
    <row r="12954" spans="1:10" x14ac:dyDescent="0.25">
      <c r="A12954" t="s">
        <v>132</v>
      </c>
      <c r="B12954" s="1" t="str">
        <f>HYPERLINK("http://clickandbuy.com","clickandbuy.com")</f>
        <v>clickandbuy.com</v>
      </c>
      <c r="C12954" t="s">
        <v>433</v>
      </c>
      <c r="E12954">
        <v>469313</v>
      </c>
      <c r="F12954">
        <v>2.3569752542112699E-7</v>
      </c>
      <c r="G12954">
        <v>158952</v>
      </c>
      <c r="H12954">
        <v>14295297</v>
      </c>
      <c r="I12954">
        <v>1361025</v>
      </c>
      <c r="J12954">
        <v>4</v>
      </c>
    </row>
    <row r="12955" spans="1:10" x14ac:dyDescent="0.25">
      <c r="A12955" t="s">
        <v>132</v>
      </c>
      <c r="B12955" s="1" t="str">
        <f>HYPERLINK("http://congstar.com","congstar.com")</f>
        <v>congstar.com</v>
      </c>
      <c r="C12955" t="s">
        <v>433</v>
      </c>
      <c r="F12955">
        <v>5.2707766202892404E-9</v>
      </c>
      <c r="G12955">
        <v>23941454</v>
      </c>
      <c r="H12955">
        <v>12075486</v>
      </c>
      <c r="I12955">
        <v>26673517</v>
      </c>
      <c r="J12955">
        <v>4</v>
      </c>
    </row>
    <row r="12956" spans="1:10" x14ac:dyDescent="0.25">
      <c r="A12956" t="s">
        <v>132</v>
      </c>
      <c r="B12956" s="1" t="str">
        <f>HYPERLINK("http://detecon.com","detecon.com")</f>
        <v>detecon.com</v>
      </c>
      <c r="C12956" t="s">
        <v>433</v>
      </c>
      <c r="E12956">
        <v>393137</v>
      </c>
      <c r="F12956">
        <v>2.86777406671026E-7</v>
      </c>
      <c r="G12956">
        <v>129622</v>
      </c>
      <c r="H12956">
        <v>14782812</v>
      </c>
      <c r="I12956">
        <v>553547</v>
      </c>
      <c r="J12956">
        <v>2</v>
      </c>
    </row>
    <row r="12957" spans="1:10" x14ac:dyDescent="0.25">
      <c r="A12957" t="s">
        <v>132</v>
      </c>
      <c r="B12957" s="1" t="str">
        <f>HYPERLINK("http://dokostaverna.com","dokostaverna.com")</f>
        <v>dokostaverna.com</v>
      </c>
      <c r="C12957" t="s">
        <v>433</v>
      </c>
      <c r="J12957">
        <v>6</v>
      </c>
    </row>
    <row r="12958" spans="1:10" x14ac:dyDescent="0.25">
      <c r="A12958" t="s">
        <v>132</v>
      </c>
      <c r="B12958" s="1" t="str">
        <f>HYPERLINK("http://edi-t-systems.com","edi-t-systems.com")</f>
        <v>edi-t-systems.com</v>
      </c>
      <c r="C12958" t="s">
        <v>433</v>
      </c>
      <c r="F12958">
        <v>8.5426266650343799E-9</v>
      </c>
      <c r="G12958">
        <v>8764207</v>
      </c>
      <c r="H12958">
        <v>12327082</v>
      </c>
      <c r="I12958">
        <v>20289705</v>
      </c>
      <c r="J12958">
        <v>4</v>
      </c>
    </row>
    <row r="12959" spans="1:10" x14ac:dyDescent="0.25">
      <c r="A12959" t="s">
        <v>132</v>
      </c>
      <c r="B12959" s="1" t="str">
        <f>HYPERLINK("http://emetriq.com","emetriq.com")</f>
        <v>emetriq.com</v>
      </c>
      <c r="C12959" t="s">
        <v>433</v>
      </c>
      <c r="E12959">
        <v>217989</v>
      </c>
      <c r="F12959">
        <v>2.2663156147202799E-6</v>
      </c>
      <c r="G12959">
        <v>16274</v>
      </c>
      <c r="H12959">
        <v>16885150</v>
      </c>
      <c r="I12959">
        <v>137099</v>
      </c>
      <c r="J12959">
        <v>3</v>
      </c>
    </row>
    <row r="12960" spans="1:10" x14ac:dyDescent="0.25">
      <c r="A12960" t="s">
        <v>132</v>
      </c>
      <c r="B12960" s="1" t="str">
        <f>HYPERLINK("http://ferienwohnungdenzel.com","ferienwohnungdenzel.com")</f>
        <v>ferienwohnungdenzel.com</v>
      </c>
      <c r="C12960" t="s">
        <v>433</v>
      </c>
      <c r="J12960">
        <v>5</v>
      </c>
    </row>
    <row r="12961" spans="1:10" x14ac:dyDescent="0.25">
      <c r="A12961" t="s">
        <v>132</v>
      </c>
      <c r="B12961" s="1" t="str">
        <f>HYPERLINK("http://goingsoft.com","goingsoft.com")</f>
        <v>goingsoft.com</v>
      </c>
      <c r="C12961" t="s">
        <v>433</v>
      </c>
      <c r="F12961">
        <v>1.14059309981537E-7</v>
      </c>
      <c r="G12961">
        <v>349242</v>
      </c>
      <c r="H12961">
        <v>12574955</v>
      </c>
      <c r="I12961">
        <v>16566427</v>
      </c>
      <c r="J12961">
        <v>3</v>
      </c>
    </row>
    <row r="12962" spans="1:10" x14ac:dyDescent="0.25">
      <c r="A12962" t="s">
        <v>132</v>
      </c>
      <c r="B12962" s="1" t="str">
        <f>HYPERLINK("http://gsslavonskibrod.com","gsslavonskibrod.com")</f>
        <v>gsslavonskibrod.com</v>
      </c>
      <c r="C12962" t="s">
        <v>433</v>
      </c>
      <c r="F12962">
        <v>5.7098322724412303E-9</v>
      </c>
      <c r="G12962">
        <v>18839835</v>
      </c>
      <c r="H12962">
        <v>14071791</v>
      </c>
      <c r="I12962">
        <v>3425452</v>
      </c>
      <c r="J12962">
        <v>7</v>
      </c>
    </row>
    <row r="12963" spans="1:10" x14ac:dyDescent="0.25">
      <c r="A12963" t="s">
        <v>132</v>
      </c>
      <c r="B12963" s="1" t="str">
        <f>HYPERLINK("http://hotelplazadrasnice.com","hotelplazadrasnice.com")</f>
        <v>hotelplazadrasnice.com</v>
      </c>
      <c r="C12963" t="s">
        <v>433</v>
      </c>
      <c r="J12963">
        <v>9</v>
      </c>
    </row>
    <row r="12964" spans="1:10" x14ac:dyDescent="0.25">
      <c r="A12964" t="s">
        <v>132</v>
      </c>
      <c r="B12964" s="1" t="str">
        <f>HYPERLINK("http://iwireless.com","iwireless.com")</f>
        <v>iwireless.com</v>
      </c>
      <c r="C12964" t="s">
        <v>433</v>
      </c>
      <c r="F12964">
        <v>1.9908644032991499E-8</v>
      </c>
      <c r="G12964">
        <v>2673294</v>
      </c>
      <c r="H12964">
        <v>13773593</v>
      </c>
      <c r="I12964">
        <v>6627432</v>
      </c>
      <c r="J12964">
        <v>6</v>
      </c>
    </row>
    <row r="12965" spans="1:10" x14ac:dyDescent="0.25">
      <c r="A12965" t="s">
        <v>132</v>
      </c>
      <c r="B12965" s="1" t="str">
        <f>HYPERLINK("http://jigsaw24.com","jigsaw24.com")</f>
        <v>jigsaw24.com</v>
      </c>
      <c r="C12965" t="s">
        <v>433</v>
      </c>
      <c r="E12965">
        <v>645239</v>
      </c>
      <c r="F12965">
        <v>1.06225462141489E-7</v>
      </c>
      <c r="G12965">
        <v>376951</v>
      </c>
      <c r="H12965">
        <v>14582367</v>
      </c>
      <c r="I12965">
        <v>706525</v>
      </c>
      <c r="J12965">
        <v>21</v>
      </c>
    </row>
    <row r="12966" spans="1:10" x14ac:dyDescent="0.25">
      <c r="A12966" t="s">
        <v>132</v>
      </c>
      <c r="B12966" s="1" t="str">
        <f>HYPERLINK("http://krvavicaapartments.com","krvavicaapartments.com")</f>
        <v>krvavicaapartments.com</v>
      </c>
      <c r="C12966" t="s">
        <v>433</v>
      </c>
      <c r="J12966">
        <v>9</v>
      </c>
    </row>
    <row r="12967" spans="1:10" x14ac:dyDescent="0.25">
      <c r="A12967" t="s">
        <v>132</v>
      </c>
      <c r="B12967" s="1" t="str">
        <f>HYPERLINK("http://metrobyt-mobile.com","metrobyt-mobile.com")</f>
        <v>metrobyt-mobile.com</v>
      </c>
      <c r="C12967" t="s">
        <v>433</v>
      </c>
      <c r="E12967">
        <v>41259</v>
      </c>
      <c r="F12967">
        <v>1.1413790542259101E-6</v>
      </c>
      <c r="G12967">
        <v>33878</v>
      </c>
      <c r="H12967">
        <v>17046686</v>
      </c>
      <c r="I12967">
        <v>77441</v>
      </c>
      <c r="J12967">
        <v>6</v>
      </c>
    </row>
    <row r="12968" spans="1:10" x14ac:dyDescent="0.25">
      <c r="A12968" t="s">
        <v>132</v>
      </c>
      <c r="B12968" s="1" t="str">
        <f>HYPERLINK("http://metrobytmobile.com","metrobytmobile.com")</f>
        <v>metrobytmobile.com</v>
      </c>
      <c r="C12968" t="s">
        <v>433</v>
      </c>
      <c r="F12968">
        <v>7.0625497106345094E-8</v>
      </c>
      <c r="G12968">
        <v>599301</v>
      </c>
      <c r="H12968">
        <v>13016983</v>
      </c>
      <c r="I12968">
        <v>12725307</v>
      </c>
      <c r="J12968">
        <v>7</v>
      </c>
    </row>
    <row r="12969" spans="1:10" x14ac:dyDescent="0.25">
      <c r="A12969" t="s">
        <v>132</v>
      </c>
      <c r="B12969" s="1" t="str">
        <f>HYPERLINK("http://metropcs.com","metropcs.com")</f>
        <v>metropcs.com</v>
      </c>
      <c r="C12969" t="s">
        <v>433</v>
      </c>
      <c r="E12969">
        <v>98740</v>
      </c>
      <c r="F12969">
        <v>6.2768392257225202E-7</v>
      </c>
      <c r="G12969">
        <v>61088</v>
      </c>
      <c r="H12969">
        <v>17283228</v>
      </c>
      <c r="I12969">
        <v>29804</v>
      </c>
      <c r="J12969">
        <v>7</v>
      </c>
    </row>
    <row r="12970" spans="1:10" x14ac:dyDescent="0.25">
      <c r="A12970" t="s">
        <v>132</v>
      </c>
      <c r="B12970" s="1" t="str">
        <f>HYPERLINK("http://metropcsbywirelink.com","metropcsbywirelink.com")</f>
        <v>metropcsbywirelink.com</v>
      </c>
      <c r="C12970" t="s">
        <v>433</v>
      </c>
      <c r="J12970">
        <v>7</v>
      </c>
    </row>
    <row r="12971" spans="1:10" x14ac:dyDescent="0.25">
      <c r="A12971" t="s">
        <v>132</v>
      </c>
      <c r="B12971" s="1" t="str">
        <f>HYPERLINK("http://mobilecityny.com","mobilecityny.com")</f>
        <v>mobilecityny.com</v>
      </c>
      <c r="C12971" t="s">
        <v>433</v>
      </c>
      <c r="F12971">
        <v>4.5660078668223698E-9</v>
      </c>
      <c r="G12971">
        <v>50574699</v>
      </c>
      <c r="H12971">
        <v>9897512</v>
      </c>
      <c r="I12971">
        <v>61666754</v>
      </c>
      <c r="J12971">
        <v>7</v>
      </c>
    </row>
    <row r="12972" spans="1:10" x14ac:dyDescent="0.25">
      <c r="A12972" t="s">
        <v>132</v>
      </c>
      <c r="B12972" s="1" t="str">
        <f>HYPERLINK("http://mobilestar.com","mobilestar.com")</f>
        <v>mobilestar.com</v>
      </c>
      <c r="C12972" t="s">
        <v>433</v>
      </c>
      <c r="F12972">
        <v>1.0117988394731499E-8</v>
      </c>
      <c r="G12972">
        <v>6629126</v>
      </c>
      <c r="H12972">
        <v>13429397</v>
      </c>
      <c r="I12972">
        <v>10282926</v>
      </c>
      <c r="J12972">
        <v>6</v>
      </c>
    </row>
    <row r="12973" spans="1:10" x14ac:dyDescent="0.25">
      <c r="A12973" t="s">
        <v>132</v>
      </c>
      <c r="B12973" s="1" t="str">
        <f>HYPERLINK("http://nemesisnow.com","nemesisnow.com")</f>
        <v>nemesisnow.com</v>
      </c>
      <c r="C12973" t="s">
        <v>433</v>
      </c>
      <c r="F12973">
        <v>1.9356565728483E-8</v>
      </c>
      <c r="G12973">
        <v>2769971</v>
      </c>
      <c r="H12973">
        <v>13777352</v>
      </c>
      <c r="I12973">
        <v>6538870</v>
      </c>
      <c r="J12973">
        <v>21</v>
      </c>
    </row>
    <row r="12974" spans="1:10" x14ac:dyDescent="0.25">
      <c r="A12974" t="s">
        <v>132</v>
      </c>
      <c r="B12974" s="1" t="str">
        <f>HYPERLINK("http://nextel.com","nextel.com")</f>
        <v>nextel.com</v>
      </c>
      <c r="C12974" t="s">
        <v>433</v>
      </c>
      <c r="E12974">
        <v>246213</v>
      </c>
      <c r="F12974">
        <v>1.34234750041028E-7</v>
      </c>
      <c r="G12974">
        <v>290857</v>
      </c>
      <c r="H12974">
        <v>15103817</v>
      </c>
      <c r="I12974">
        <v>405958</v>
      </c>
      <c r="J12974">
        <v>7</v>
      </c>
    </row>
    <row r="12975" spans="1:10" x14ac:dyDescent="0.25">
      <c r="A12975" t="s">
        <v>132</v>
      </c>
      <c r="B12975" s="1" t="str">
        <f>HYPERLINK("http://ocmvoice.com","ocmvoice.com")</f>
        <v>ocmvoice.com</v>
      </c>
      <c r="C12975" t="s">
        <v>433</v>
      </c>
      <c r="J12975">
        <v>6</v>
      </c>
    </row>
    <row r="12976" spans="1:10" x14ac:dyDescent="0.25">
      <c r="A12976" t="s">
        <v>132</v>
      </c>
      <c r="B12976" s="1" t="str">
        <f>HYPERLINK("http://openreach.com","openreach.com")</f>
        <v>openreach.com</v>
      </c>
      <c r="C12976" t="s">
        <v>433</v>
      </c>
      <c r="E12976">
        <v>175105</v>
      </c>
      <c r="F12976">
        <v>3.5837656816691499E-7</v>
      </c>
      <c r="G12976">
        <v>104332</v>
      </c>
      <c r="H12976">
        <v>14856259</v>
      </c>
      <c r="I12976">
        <v>486943</v>
      </c>
      <c r="J12976">
        <v>6</v>
      </c>
    </row>
    <row r="12977" spans="1:10" x14ac:dyDescent="0.25">
      <c r="A12977" t="s">
        <v>132</v>
      </c>
      <c r="B12977" s="1" t="str">
        <f>HYPERLINK("http://os-odra.com","os-odra.com")</f>
        <v>os-odra.com</v>
      </c>
      <c r="C12977" t="s">
        <v>433</v>
      </c>
      <c r="F12977">
        <v>5.49974556824253E-9</v>
      </c>
      <c r="G12977">
        <v>20903152</v>
      </c>
      <c r="H12977">
        <v>12296838</v>
      </c>
      <c r="I12977">
        <v>20928392</v>
      </c>
      <c r="J12977">
        <v>7</v>
      </c>
    </row>
    <row r="12978" spans="1:10" x14ac:dyDescent="0.25">
      <c r="A12978" t="s">
        <v>132</v>
      </c>
      <c r="B12978" s="1" t="str">
        <f>HYPERLINK("http://os-otok.com","os-otok.com")</f>
        <v>os-otok.com</v>
      </c>
      <c r="C12978" t="s">
        <v>433</v>
      </c>
      <c r="F12978">
        <v>5.7692503956955802E-9</v>
      </c>
      <c r="G12978">
        <v>18332372</v>
      </c>
      <c r="H12978">
        <v>12150558</v>
      </c>
      <c r="I12978">
        <v>24606209</v>
      </c>
      <c r="J12978">
        <v>7</v>
      </c>
    </row>
    <row r="12979" spans="1:10" x14ac:dyDescent="0.25">
      <c r="A12979" t="s">
        <v>132</v>
      </c>
      <c r="B12979" s="1" t="str">
        <f>HYPERLINK("http://playoctopus.com","playoctopus.com")</f>
        <v>playoctopus.com</v>
      </c>
      <c r="C12979" t="s">
        <v>433</v>
      </c>
      <c r="E12979">
        <v>839899</v>
      </c>
      <c r="F12979">
        <v>4.3327206631188201E-8</v>
      </c>
      <c r="G12979">
        <v>1105838</v>
      </c>
      <c r="H12979">
        <v>13523285</v>
      </c>
      <c r="I12979">
        <v>9934779</v>
      </c>
      <c r="J12979">
        <v>2</v>
      </c>
    </row>
    <row r="12980" spans="1:10" x14ac:dyDescent="0.25">
      <c r="A12980" t="s">
        <v>132</v>
      </c>
      <c r="B12980" s="1" t="str">
        <f>HYPERLINK("http://plus.com","plus.com")</f>
        <v>plus.com</v>
      </c>
      <c r="C12980" t="s">
        <v>433</v>
      </c>
      <c r="E12980">
        <v>17107</v>
      </c>
      <c r="F12980">
        <v>1.63978010630752E-6</v>
      </c>
      <c r="G12980">
        <v>24084</v>
      </c>
      <c r="H12980">
        <v>17723826</v>
      </c>
      <c r="I12980">
        <v>6848</v>
      </c>
      <c r="J12980">
        <v>7</v>
      </c>
    </row>
    <row r="12981" spans="1:10" x14ac:dyDescent="0.25">
      <c r="A12981" t="s">
        <v>132</v>
      </c>
      <c r="B12981" s="1" t="str">
        <f>HYPERLINK("http://rivusfleetsolutions.com","rivusfleetsolutions.com")</f>
        <v>rivusfleetsolutions.com</v>
      </c>
      <c r="C12981" t="s">
        <v>433</v>
      </c>
      <c r="F12981">
        <v>5.36956328527788E-9</v>
      </c>
      <c r="G12981">
        <v>22547839</v>
      </c>
      <c r="H12981">
        <v>12386312</v>
      </c>
      <c r="I12981">
        <v>19105169</v>
      </c>
      <c r="J12981">
        <v>7</v>
      </c>
    </row>
    <row r="12982" spans="1:10" x14ac:dyDescent="0.25">
      <c r="A12982" t="s">
        <v>132</v>
      </c>
      <c r="B12982" s="1" t="str">
        <f>HYPERLINK("http://rola.com","rola.com")</f>
        <v>rola.com</v>
      </c>
      <c r="C12982" t="s">
        <v>433</v>
      </c>
      <c r="E12982">
        <v>887744</v>
      </c>
      <c r="F12982">
        <v>2.3362771009769299E-8</v>
      </c>
      <c r="G12982">
        <v>2232292</v>
      </c>
      <c r="H12982">
        <v>13979552</v>
      </c>
      <c r="I12982">
        <v>4053368</v>
      </c>
      <c r="J12982">
        <v>3</v>
      </c>
    </row>
    <row r="12983" spans="1:10" x14ac:dyDescent="0.25">
      <c r="A12983" t="s">
        <v>132</v>
      </c>
      <c r="B12983" s="1" t="str">
        <f>HYPERLINK("http://scout24.com","scout24.com")</f>
        <v>scout24.com</v>
      </c>
      <c r="C12983" t="s">
        <v>433</v>
      </c>
      <c r="E12983">
        <v>6032</v>
      </c>
      <c r="F12983">
        <v>4.1241939059151402E-7</v>
      </c>
      <c r="G12983">
        <v>91224</v>
      </c>
      <c r="H12983">
        <v>17095862</v>
      </c>
      <c r="I12983">
        <v>64700</v>
      </c>
      <c r="J12983">
        <v>3</v>
      </c>
    </row>
    <row r="12984" spans="1:10" x14ac:dyDescent="0.25">
      <c r="A12984" t="s">
        <v>132</v>
      </c>
      <c r="B12984" s="1" t="str">
        <f>HYPERLINK("http://spint.com","spint.com")</f>
        <v>spint.com</v>
      </c>
      <c r="C12984" t="s">
        <v>433</v>
      </c>
      <c r="F12984">
        <v>4.44618106029603E-9</v>
      </c>
      <c r="G12984">
        <v>74536492</v>
      </c>
      <c r="H12984">
        <v>10065585</v>
      </c>
      <c r="I12984">
        <v>60175801</v>
      </c>
      <c r="J12984">
        <v>5</v>
      </c>
    </row>
    <row r="12985" spans="1:10" x14ac:dyDescent="0.25">
      <c r="A12985" t="s">
        <v>132</v>
      </c>
      <c r="B12985" s="1" t="str">
        <f>HYPERLINK("http://sprint.com","sprint.com")</f>
        <v>sprint.com</v>
      </c>
      <c r="C12985" t="s">
        <v>433</v>
      </c>
      <c r="E12985">
        <v>5130</v>
      </c>
      <c r="F12985">
        <v>3.5778173571449998E-6</v>
      </c>
      <c r="G12985">
        <v>11490</v>
      </c>
      <c r="H12985">
        <v>17502832</v>
      </c>
      <c r="I12985">
        <v>13563</v>
      </c>
      <c r="J12985">
        <v>3</v>
      </c>
    </row>
    <row r="12986" spans="1:10" x14ac:dyDescent="0.25">
      <c r="A12986" t="s">
        <v>132</v>
      </c>
      <c r="B12986" s="1" t="str">
        <f>HYPERLINK("http://sprintworldwide.com","sprintworldwide.com")</f>
        <v>sprintworldwide.com</v>
      </c>
      <c r="C12986" t="s">
        <v>433</v>
      </c>
      <c r="F12986">
        <v>7.8520546809299207E-9</v>
      </c>
      <c r="G12986">
        <v>10210229</v>
      </c>
      <c r="H12986">
        <v>12308413</v>
      </c>
      <c r="I12986">
        <v>20669619</v>
      </c>
      <c r="J12986">
        <v>3</v>
      </c>
    </row>
    <row r="12987" spans="1:10" x14ac:dyDescent="0.25">
      <c r="A12987" t="s">
        <v>132</v>
      </c>
      <c r="B12987" s="1" t="str">
        <f>HYPERLINK("http://sthenrymorse.com","sthenrymorse.com")</f>
        <v>sthenrymorse.com</v>
      </c>
      <c r="C12987" t="s">
        <v>433</v>
      </c>
      <c r="F12987">
        <v>4.6172953691157402E-9</v>
      </c>
      <c r="G12987">
        <v>46323831</v>
      </c>
      <c r="H12987">
        <v>10904986</v>
      </c>
      <c r="I12987">
        <v>35726176</v>
      </c>
      <c r="J12987">
        <v>9</v>
      </c>
    </row>
    <row r="12988" spans="1:10" x14ac:dyDescent="0.25">
      <c r="A12988" t="s">
        <v>132</v>
      </c>
      <c r="B12988" s="1" t="str">
        <f>HYPERLINK("http://suncom.com","suncom.com")</f>
        <v>suncom.com</v>
      </c>
      <c r="C12988" t="s">
        <v>433</v>
      </c>
      <c r="F12988">
        <v>1.74715090892922E-8</v>
      </c>
      <c r="G12988">
        <v>3152932</v>
      </c>
      <c r="H12988">
        <v>14514210</v>
      </c>
      <c r="I12988">
        <v>815692</v>
      </c>
      <c r="J12988">
        <v>6</v>
      </c>
    </row>
    <row r="12989" spans="1:10" x14ac:dyDescent="0.25">
      <c r="A12989" t="s">
        <v>132</v>
      </c>
      <c r="B12989" s="1" t="str">
        <f>HYPERLINK("http://t-mobile.com","t-mobile.com")</f>
        <v>t-mobile.com</v>
      </c>
      <c r="C12989" t="s">
        <v>433</v>
      </c>
      <c r="E12989">
        <v>894</v>
      </c>
      <c r="F12989">
        <v>1.1226090288277299E-5</v>
      </c>
      <c r="G12989">
        <v>3036</v>
      </c>
      <c r="H12989">
        <v>17856030</v>
      </c>
      <c r="I12989">
        <v>4910</v>
      </c>
      <c r="J12989">
        <v>3</v>
      </c>
    </row>
    <row r="12990" spans="1:10" x14ac:dyDescent="0.25">
      <c r="A12990" t="s">
        <v>132</v>
      </c>
      <c r="B12990" s="1" t="str">
        <f>HYPERLINK("http://t-systems.com","t-systems.com")</f>
        <v>t-systems.com</v>
      </c>
      <c r="C12990" t="s">
        <v>433</v>
      </c>
      <c r="E12990">
        <v>15173</v>
      </c>
      <c r="F12990">
        <v>2.8678680812149899E-6</v>
      </c>
      <c r="G12990">
        <v>13447</v>
      </c>
      <c r="H12990">
        <v>17650122</v>
      </c>
      <c r="I12990">
        <v>8380</v>
      </c>
      <c r="J12990">
        <v>2</v>
      </c>
    </row>
    <row r="12991" spans="1:10" x14ac:dyDescent="0.25">
      <c r="A12991" t="s">
        <v>132</v>
      </c>
      <c r="B12991" s="1" t="str">
        <f>HYPERLINK("http://t-systems-mms.com","t-systems-mms.com")</f>
        <v>t-systems-mms.com</v>
      </c>
      <c r="C12991" t="s">
        <v>433</v>
      </c>
      <c r="E12991">
        <v>273723</v>
      </c>
      <c r="F12991">
        <v>4.9242414502662401E-7</v>
      </c>
      <c r="G12991">
        <v>77468</v>
      </c>
      <c r="H12991">
        <v>14942114</v>
      </c>
      <c r="I12991">
        <v>443230</v>
      </c>
      <c r="J12991">
        <v>3</v>
      </c>
    </row>
    <row r="12992" spans="1:10" x14ac:dyDescent="0.25">
      <c r="A12992" t="s">
        <v>132</v>
      </c>
      <c r="B12992" s="1" t="str">
        <f>HYPERLINK("http://t-systems-service.com","t-systems-service.com")</f>
        <v>t-systems-service.com</v>
      </c>
      <c r="C12992" t="s">
        <v>433</v>
      </c>
      <c r="E12992">
        <v>59229</v>
      </c>
      <c r="F12992">
        <v>1.10415677875569E-7</v>
      </c>
      <c r="G12992">
        <v>362210</v>
      </c>
      <c r="H12992">
        <v>13180570</v>
      </c>
      <c r="I12992">
        <v>11683059</v>
      </c>
      <c r="J12992">
        <v>4</v>
      </c>
    </row>
    <row r="12993" spans="1:10" x14ac:dyDescent="0.25">
      <c r="A12993" t="s">
        <v>132</v>
      </c>
      <c r="B12993" s="1" t="str">
        <f>HYPERLINK("http://t-systemsus.com","t-systemsus.com")</f>
        <v>t-systemsus.com</v>
      </c>
      <c r="C12993" t="s">
        <v>433</v>
      </c>
      <c r="F12993">
        <v>1.12981772112547E-8</v>
      </c>
      <c r="G12993">
        <v>5643804</v>
      </c>
      <c r="H12993">
        <v>13189848</v>
      </c>
      <c r="I12993">
        <v>11603147</v>
      </c>
      <c r="J12993">
        <v>5</v>
      </c>
    </row>
    <row r="12994" spans="1:10" x14ac:dyDescent="0.25">
      <c r="A12994" t="s">
        <v>132</v>
      </c>
      <c r="B12994" s="1" t="str">
        <f>HYPERLINK("http://tcom.com","tcom.com")</f>
        <v>tcom.com</v>
      </c>
      <c r="C12994" t="s">
        <v>433</v>
      </c>
      <c r="F12994">
        <v>4.5087765270924596E-9</v>
      </c>
      <c r="G12994">
        <v>57663864</v>
      </c>
      <c r="H12994">
        <v>10672162</v>
      </c>
      <c r="I12994">
        <v>42919039</v>
      </c>
      <c r="J12994">
        <v>4</v>
      </c>
    </row>
    <row r="12995" spans="1:10" x14ac:dyDescent="0.25">
      <c r="A12995" t="s">
        <v>132</v>
      </c>
      <c r="B12995" s="1" t="str">
        <f>HYPERLINK("http://telekom.com","telekom.com")</f>
        <v>telekom.com</v>
      </c>
      <c r="C12995" t="s">
        <v>433</v>
      </c>
      <c r="E12995">
        <v>9435</v>
      </c>
      <c r="F12995">
        <v>4.0299678146634596E-6</v>
      </c>
      <c r="G12995">
        <v>9246</v>
      </c>
      <c r="H12995">
        <v>17611436</v>
      </c>
      <c r="I12995">
        <v>9341</v>
      </c>
      <c r="J12995">
        <v>1</v>
      </c>
    </row>
    <row r="12996" spans="1:10" x14ac:dyDescent="0.25">
      <c r="A12996" t="s">
        <v>132</v>
      </c>
      <c r="B12996" s="1" t="str">
        <f>HYPERLINK("http://telekom-capital.com","telekom-capital.com")</f>
        <v>telekom-capital.com</v>
      </c>
      <c r="C12996" t="s">
        <v>433</v>
      </c>
      <c r="F12996">
        <v>2.2463201826694901E-7</v>
      </c>
      <c r="G12996">
        <v>167766</v>
      </c>
      <c r="H12996">
        <v>13187299</v>
      </c>
      <c r="I12996">
        <v>11612599</v>
      </c>
      <c r="J12996">
        <v>3</v>
      </c>
    </row>
    <row r="12997" spans="1:10" x14ac:dyDescent="0.25">
      <c r="A12997" t="s">
        <v>132</v>
      </c>
      <c r="B12997" s="1" t="str">
        <f>HYPERLINK("http://telekom-healthcare.com","telekom-healthcare.com")</f>
        <v>telekom-healthcare.com</v>
      </c>
      <c r="C12997" t="s">
        <v>433</v>
      </c>
      <c r="F12997">
        <v>1.7894672233537599E-7</v>
      </c>
      <c r="G12997">
        <v>215952</v>
      </c>
      <c r="H12997">
        <v>13277167</v>
      </c>
      <c r="I12997">
        <v>10924485</v>
      </c>
      <c r="J12997">
        <v>3</v>
      </c>
    </row>
    <row r="12998" spans="1:10" x14ac:dyDescent="0.25">
      <c r="A12998" t="s">
        <v>132</v>
      </c>
      <c r="B12998" s="1" t="str">
        <f>HYPERLINK("http://telekom-icss.com","telekom-icss.com")</f>
        <v>telekom-icss.com</v>
      </c>
      <c r="C12998" t="s">
        <v>433</v>
      </c>
      <c r="F12998">
        <v>1.6750519992352399E-8</v>
      </c>
      <c r="G12998">
        <v>3345832</v>
      </c>
      <c r="H12998">
        <v>14248698</v>
      </c>
      <c r="I12998">
        <v>1452118</v>
      </c>
      <c r="J12998">
        <v>5</v>
      </c>
    </row>
    <row r="12999" spans="1:10" x14ac:dyDescent="0.25">
      <c r="A12999" t="s">
        <v>132</v>
      </c>
      <c r="B12999" s="1" t="str">
        <f>HYPERLINK("http://tmobile.com","tmobile.com")</f>
        <v>tmobile.com</v>
      </c>
      <c r="C12999" t="s">
        <v>433</v>
      </c>
      <c r="E12999">
        <v>63409</v>
      </c>
      <c r="F12999">
        <v>2.9812650178192697E-7</v>
      </c>
      <c r="G12999">
        <v>124744</v>
      </c>
      <c r="H12999">
        <v>15011921</v>
      </c>
      <c r="I12999">
        <v>422904</v>
      </c>
      <c r="J12999">
        <v>4</v>
      </c>
    </row>
    <row r="13000" spans="1:10" x14ac:dyDescent="0.25">
      <c r="A13000" t="s">
        <v>132</v>
      </c>
      <c r="B13000" s="1" t="str">
        <f>HYPERLINK("http://tmocache.com","tmocache.com")</f>
        <v>tmocache.com</v>
      </c>
      <c r="C13000" t="s">
        <v>433</v>
      </c>
      <c r="E13000">
        <v>481519</v>
      </c>
      <c r="F13000">
        <v>1.7046776627737098E-8</v>
      </c>
      <c r="G13000">
        <v>3272537</v>
      </c>
      <c r="H13000">
        <v>14123397</v>
      </c>
      <c r="I13000">
        <v>2175911</v>
      </c>
      <c r="J13000">
        <v>5</v>
      </c>
    </row>
    <row r="13001" spans="1:10" x14ac:dyDescent="0.25">
      <c r="A13001" t="s">
        <v>132</v>
      </c>
      <c r="B13001" s="1" t="str">
        <f>HYPERLINK("http://trading-command.com","trading-command.com")</f>
        <v>trading-command.com</v>
      </c>
      <c r="C13001" t="s">
        <v>433</v>
      </c>
      <c r="F13001">
        <v>4.4440352322167298E-9</v>
      </c>
      <c r="G13001">
        <v>77618621</v>
      </c>
      <c r="H13001">
        <v>9802208</v>
      </c>
      <c r="I13001">
        <v>62586461</v>
      </c>
      <c r="J13001">
        <v>6</v>
      </c>
    </row>
    <row r="13002" spans="1:10" x14ac:dyDescent="0.25">
      <c r="A13002" t="s">
        <v>132</v>
      </c>
      <c r="B13002" s="1" t="str">
        <f>HYPERLINK("http://mainline.uk.com","mainline.uk.com")</f>
        <v>mainline.uk.com</v>
      </c>
      <c r="C13002" t="s">
        <v>433</v>
      </c>
      <c r="J13002">
        <v>7</v>
      </c>
    </row>
    <row r="13003" spans="1:10" x14ac:dyDescent="0.25">
      <c r="A13003" t="s">
        <v>132</v>
      </c>
      <c r="B13003" s="1" t="str">
        <f>HYPERLINK("http://upccorp.com","upccorp.com")</f>
        <v>upccorp.com</v>
      </c>
      <c r="C13003" t="s">
        <v>433</v>
      </c>
      <c r="F13003">
        <v>8.2250855828725604E-9</v>
      </c>
      <c r="G13003">
        <v>9450747</v>
      </c>
      <c r="H13003">
        <v>12555467</v>
      </c>
      <c r="I13003">
        <v>16768221</v>
      </c>
      <c r="J13003">
        <v>3</v>
      </c>
    </row>
    <row r="13004" spans="1:10" x14ac:dyDescent="0.25">
      <c r="A13004" t="s">
        <v>132</v>
      </c>
      <c r="B13004" s="1" t="str">
        <f>HYPERLINK("http://urbanvintagehairstudio.com","urbanvintagehairstudio.com")</f>
        <v>urbanvintagehairstudio.com</v>
      </c>
      <c r="C13004" t="s">
        <v>433</v>
      </c>
      <c r="F13004">
        <v>5.6401313916550398E-9</v>
      </c>
      <c r="G13004">
        <v>19483055</v>
      </c>
      <c r="H13004">
        <v>13517767</v>
      </c>
      <c r="I13004">
        <v>9941288</v>
      </c>
      <c r="J13004">
        <v>7</v>
      </c>
    </row>
    <row r="13005" spans="1:10" x14ac:dyDescent="0.25">
      <c r="A13005" t="s">
        <v>132</v>
      </c>
      <c r="B13005" s="1" t="str">
        <f>HYPERLINK("http://a1m.cz","a1m.cz")</f>
        <v>a1m.cz</v>
      </c>
      <c r="C13005" t="s">
        <v>435</v>
      </c>
      <c r="D13005" t="s">
        <v>814</v>
      </c>
      <c r="E13005">
        <v>133583</v>
      </c>
      <c r="F13005">
        <v>1.80458487475422E-8</v>
      </c>
      <c r="G13005">
        <v>3021176</v>
      </c>
      <c r="H13005">
        <v>12706755</v>
      </c>
      <c r="I13005">
        <v>15319391</v>
      </c>
      <c r="J13005">
        <v>5</v>
      </c>
    </row>
    <row r="13006" spans="1:10" x14ac:dyDescent="0.25">
      <c r="A13006" t="s">
        <v>132</v>
      </c>
      <c r="B13006" s="1" t="str">
        <f>HYPERLINK("http://gts.cz","gts.cz")</f>
        <v>gts.cz</v>
      </c>
      <c r="C13006" t="s">
        <v>435</v>
      </c>
      <c r="D13006" t="s">
        <v>814</v>
      </c>
      <c r="E13006">
        <v>98811</v>
      </c>
      <c r="F13006">
        <v>4.5593056834003001E-8</v>
      </c>
      <c r="G13006">
        <v>1031903</v>
      </c>
      <c r="H13006">
        <v>14316547</v>
      </c>
      <c r="I13006">
        <v>1335040</v>
      </c>
      <c r="J13006">
        <v>7</v>
      </c>
    </row>
    <row r="13007" spans="1:10" x14ac:dyDescent="0.25">
      <c r="A13007" t="s">
        <v>132</v>
      </c>
      <c r="B13007" s="1" t="str">
        <f>HYPERLINK("http://t-mobile.cz","t-mobile.cz")</f>
        <v>t-mobile.cz</v>
      </c>
      <c r="C13007" t="s">
        <v>435</v>
      </c>
      <c r="D13007" t="s">
        <v>814</v>
      </c>
      <c r="E13007">
        <v>45372</v>
      </c>
      <c r="F13007">
        <v>8.04044038444274E-7</v>
      </c>
      <c r="G13007">
        <v>49034</v>
      </c>
      <c r="H13007">
        <v>17173756</v>
      </c>
      <c r="I13007">
        <v>46920</v>
      </c>
      <c r="J13007">
        <v>3</v>
      </c>
    </row>
    <row r="13008" spans="1:10" x14ac:dyDescent="0.25">
      <c r="A13008" t="s">
        <v>132</v>
      </c>
      <c r="B13008" s="1" t="str">
        <f>HYPERLINK("http://arolser-telefonladen.de","arolser-telefonladen.de")</f>
        <v>arolser-telefonladen.de</v>
      </c>
      <c r="C13008" t="s">
        <v>436</v>
      </c>
      <c r="D13008" t="s">
        <v>815</v>
      </c>
      <c r="F13008">
        <v>4.44380395335525E-9</v>
      </c>
      <c r="G13008">
        <v>84245512</v>
      </c>
      <c r="H13008">
        <v>0</v>
      </c>
      <c r="I13008">
        <v>85260946</v>
      </c>
      <c r="J13008">
        <v>3</v>
      </c>
    </row>
    <row r="13009" spans="1:10" x14ac:dyDescent="0.25">
      <c r="A13009" t="s">
        <v>132</v>
      </c>
      <c r="B13009" s="1" t="str">
        <f>HYPERLINK("http://bcc-rheinmain.de","bcc-rheinmain.de")</f>
        <v>bcc-rheinmain.de</v>
      </c>
      <c r="C13009" t="s">
        <v>436</v>
      </c>
      <c r="D13009" t="s">
        <v>815</v>
      </c>
      <c r="J13009">
        <v>3</v>
      </c>
    </row>
    <row r="13010" spans="1:10" x14ac:dyDescent="0.25">
      <c r="A13010" t="s">
        <v>132</v>
      </c>
      <c r="B13010" s="1" t="str">
        <f>HYPERLINK("http://bodymass.de","bodymass.de")</f>
        <v>bodymass.de</v>
      </c>
      <c r="C13010" t="s">
        <v>436</v>
      </c>
      <c r="D13010" t="s">
        <v>815</v>
      </c>
      <c r="F13010">
        <v>4.5448645409917204E-9</v>
      </c>
      <c r="G13010">
        <v>52743370</v>
      </c>
      <c r="H13010">
        <v>9532829</v>
      </c>
      <c r="I13010">
        <v>65246569</v>
      </c>
      <c r="J13010">
        <v>3</v>
      </c>
    </row>
    <row r="13011" spans="1:10" x14ac:dyDescent="0.25">
      <c r="A13011" t="s">
        <v>132</v>
      </c>
      <c r="B13011" s="1" t="str">
        <f>HYPERLINK("http://congstar.de","congstar.de")</f>
        <v>congstar.de</v>
      </c>
      <c r="C13011" t="s">
        <v>436</v>
      </c>
      <c r="D13011" t="s">
        <v>815</v>
      </c>
      <c r="E13011">
        <v>52544</v>
      </c>
      <c r="F13011">
        <v>5.9542020702362097E-7</v>
      </c>
      <c r="G13011">
        <v>64231</v>
      </c>
      <c r="H13011">
        <v>17155244</v>
      </c>
      <c r="I13011">
        <v>51102</v>
      </c>
      <c r="J13011">
        <v>3</v>
      </c>
    </row>
    <row r="13012" spans="1:10" x14ac:dyDescent="0.25">
      <c r="A13012" t="s">
        <v>132</v>
      </c>
      <c r="B13012" s="1" t="str">
        <f>HYPERLINK("http://cosmophone.de","cosmophone.de")</f>
        <v>cosmophone.de</v>
      </c>
      <c r="C13012" t="s">
        <v>436</v>
      </c>
      <c r="D13012" t="s">
        <v>815</v>
      </c>
      <c r="F13012">
        <v>4.6337577052410801E-9</v>
      </c>
      <c r="G13012">
        <v>45178576</v>
      </c>
      <c r="H13012">
        <v>11910224</v>
      </c>
      <c r="I13012">
        <v>29442106</v>
      </c>
      <c r="J13012">
        <v>3</v>
      </c>
    </row>
    <row r="13013" spans="1:10" x14ac:dyDescent="0.25">
      <c r="A13013" t="s">
        <v>132</v>
      </c>
      <c r="B13013" s="1" t="str">
        <f>HYPERLINK("http://dan-com.de","dan-com.de")</f>
        <v>dan-com.de</v>
      </c>
      <c r="C13013" t="s">
        <v>436</v>
      </c>
      <c r="D13013" t="s">
        <v>815</v>
      </c>
      <c r="F13013">
        <v>7.0325431502915497E-9</v>
      </c>
      <c r="G13013">
        <v>12216498</v>
      </c>
      <c r="H13013">
        <v>12057222</v>
      </c>
      <c r="I13013">
        <v>27069768</v>
      </c>
      <c r="J13013">
        <v>3</v>
      </c>
    </row>
    <row r="13014" spans="1:10" x14ac:dyDescent="0.25">
      <c r="A13014" t="s">
        <v>132</v>
      </c>
      <c r="B13014" s="1" t="str">
        <f>HYPERLINK("http://dannkomm.de","dannkomm.de")</f>
        <v>dannkomm.de</v>
      </c>
      <c r="C13014" t="s">
        <v>436</v>
      </c>
      <c r="D13014" t="s">
        <v>815</v>
      </c>
      <c r="F13014">
        <v>4.8598583499972402E-9</v>
      </c>
      <c r="G13014">
        <v>33817898</v>
      </c>
      <c r="H13014">
        <v>9459434</v>
      </c>
      <c r="I13014">
        <v>66364479</v>
      </c>
      <c r="J13014">
        <v>3</v>
      </c>
    </row>
    <row r="13015" spans="1:10" x14ac:dyDescent="0.25">
      <c r="A13015" t="s">
        <v>132</v>
      </c>
      <c r="B13015" s="1" t="str">
        <f>HYPERLINK("http://detefleetservices.de","detefleetservices.de")</f>
        <v>detefleetservices.de</v>
      </c>
      <c r="C13015" t="s">
        <v>436</v>
      </c>
      <c r="D13015" t="s">
        <v>815</v>
      </c>
      <c r="F13015">
        <v>5.6338820095811203E-9</v>
      </c>
      <c r="G13015">
        <v>19540296</v>
      </c>
      <c r="H13015">
        <v>11400509</v>
      </c>
      <c r="I13015">
        <v>30223560</v>
      </c>
      <c r="J13015">
        <v>3</v>
      </c>
    </row>
    <row r="13016" spans="1:10" x14ac:dyDescent="0.25">
      <c r="A13016" t="s">
        <v>132</v>
      </c>
      <c r="B13016" s="1" t="str">
        <f>HYPERLINK("http://deutscherfernsehpreis.de","deutscherfernsehpreis.de")</f>
        <v>deutscherfernsehpreis.de</v>
      </c>
      <c r="C13016" t="s">
        <v>436</v>
      </c>
      <c r="D13016" t="s">
        <v>815</v>
      </c>
      <c r="F13016">
        <v>3.3490780174348499E-8</v>
      </c>
      <c r="G13016">
        <v>1543616</v>
      </c>
      <c r="H13016">
        <v>14303490</v>
      </c>
      <c r="I13016">
        <v>1353282</v>
      </c>
      <c r="J13016">
        <v>3</v>
      </c>
    </row>
    <row r="13017" spans="1:10" x14ac:dyDescent="0.25">
      <c r="A13017" t="s">
        <v>132</v>
      </c>
      <c r="B13017" s="1" t="str">
        <f>HYPERLINK("http://dfmg.de","dfmg.de")</f>
        <v>dfmg.de</v>
      </c>
      <c r="C13017" t="s">
        <v>436</v>
      </c>
      <c r="D13017" t="s">
        <v>815</v>
      </c>
      <c r="F13017">
        <v>1.2817724189578999E-7</v>
      </c>
      <c r="G13017">
        <v>306032</v>
      </c>
      <c r="H13017">
        <v>14426796</v>
      </c>
      <c r="I13017">
        <v>1078555</v>
      </c>
      <c r="J13017">
        <v>3</v>
      </c>
    </row>
    <row r="13018" spans="1:10" x14ac:dyDescent="0.25">
      <c r="A13018" t="s">
        <v>132</v>
      </c>
      <c r="B13018" s="1" t="str">
        <f>HYPERLINK("http://emetriq.de","emetriq.de")</f>
        <v>emetriq.de</v>
      </c>
      <c r="C13018" t="s">
        <v>436</v>
      </c>
      <c r="D13018" t="s">
        <v>815</v>
      </c>
      <c r="E13018">
        <v>42923</v>
      </c>
      <c r="F13018">
        <v>6.9863991148330401E-8</v>
      </c>
      <c r="G13018">
        <v>606719</v>
      </c>
      <c r="H13018">
        <v>13207017</v>
      </c>
      <c r="I13018">
        <v>11524859</v>
      </c>
      <c r="J13018">
        <v>4</v>
      </c>
    </row>
    <row r="13019" spans="1:10" x14ac:dyDescent="0.25">
      <c r="A13019" t="s">
        <v>132</v>
      </c>
      <c r="B13019" s="1" t="str">
        <f>HYPERLINK("http://erding-frauenaerztin.de","erding-frauenaerztin.de")</f>
        <v>erding-frauenaerztin.de</v>
      </c>
      <c r="C13019" t="s">
        <v>436</v>
      </c>
      <c r="D13019" t="s">
        <v>815</v>
      </c>
      <c r="F13019">
        <v>5.0261600093623399E-9</v>
      </c>
      <c r="G13019">
        <v>28758389</v>
      </c>
      <c r="H13019">
        <v>9863027</v>
      </c>
      <c r="I13019">
        <v>62039370</v>
      </c>
      <c r="J13019">
        <v>5</v>
      </c>
    </row>
    <row r="13020" spans="1:10" x14ac:dyDescent="0.25">
      <c r="A13020" t="s">
        <v>132</v>
      </c>
      <c r="B13020" s="1" t="str">
        <f>HYPERLINK("http://eutelmedia24.de","eutelmedia24.de")</f>
        <v>eutelmedia24.de</v>
      </c>
      <c r="C13020" t="s">
        <v>436</v>
      </c>
      <c r="D13020" t="s">
        <v>815</v>
      </c>
      <c r="J13020">
        <v>3</v>
      </c>
    </row>
    <row r="13021" spans="1:10" x14ac:dyDescent="0.25">
      <c r="A13021" t="s">
        <v>132</v>
      </c>
      <c r="B13021" s="1" t="str">
        <f>HYPERLINK("http://exklusivstore-deverpark.de","exklusivstore-deverpark.de")</f>
        <v>exklusivstore-deverpark.de</v>
      </c>
      <c r="C13021" t="s">
        <v>436</v>
      </c>
      <c r="D13021" t="s">
        <v>815</v>
      </c>
      <c r="J13021">
        <v>3</v>
      </c>
    </row>
    <row r="13022" spans="1:10" x14ac:dyDescent="0.25">
      <c r="A13022" t="s">
        <v>132</v>
      </c>
      <c r="B13022" s="1" t="str">
        <f>HYPERLINK("http://gedas.de","gedas.de")</f>
        <v>gedas.de</v>
      </c>
      <c r="C13022" t="s">
        <v>436</v>
      </c>
      <c r="D13022" t="s">
        <v>815</v>
      </c>
      <c r="E13022">
        <v>511776</v>
      </c>
      <c r="F13022">
        <v>7.3552235009296497E-9</v>
      </c>
      <c r="G13022">
        <v>11348828</v>
      </c>
      <c r="H13022">
        <v>14081295</v>
      </c>
      <c r="I13022">
        <v>2811505</v>
      </c>
      <c r="J13022">
        <v>3</v>
      </c>
    </row>
    <row r="13023" spans="1:10" x14ac:dyDescent="0.25">
      <c r="A13023" t="s">
        <v>132</v>
      </c>
      <c r="B13023" s="1" t="str">
        <f>HYPERLINK("http://goingsoft.de","goingsoft.de")</f>
        <v>goingsoft.de</v>
      </c>
      <c r="C13023" t="s">
        <v>436</v>
      </c>
      <c r="D13023" t="s">
        <v>815</v>
      </c>
      <c r="F13023">
        <v>6.3315621866144098E-9</v>
      </c>
      <c r="G13023">
        <v>14881155</v>
      </c>
      <c r="H13023">
        <v>8429655</v>
      </c>
      <c r="I13023">
        <v>72736442</v>
      </c>
      <c r="J13023">
        <v>5</v>
      </c>
    </row>
    <row r="13024" spans="1:10" x14ac:dyDescent="0.25">
      <c r="A13024" t="s">
        <v>132</v>
      </c>
      <c r="B13024" s="1" t="str">
        <f>HYPERLINK("http://hmmdeutschland.de","hmmdeutschland.de")</f>
        <v>hmmdeutschland.de</v>
      </c>
      <c r="C13024" t="s">
        <v>436</v>
      </c>
      <c r="D13024" t="s">
        <v>815</v>
      </c>
      <c r="F13024">
        <v>3.7161901294131301E-8</v>
      </c>
      <c r="G13024">
        <v>1394083</v>
      </c>
      <c r="H13024">
        <v>13936392</v>
      </c>
      <c r="I13024">
        <v>4496510</v>
      </c>
      <c r="J13024">
        <v>3</v>
      </c>
    </row>
    <row r="13025" spans="1:10" x14ac:dyDescent="0.25">
      <c r="A13025" t="s">
        <v>132</v>
      </c>
      <c r="B13025" s="1" t="str">
        <f>HYPERLINK("http://intertel.de","intertel.de")</f>
        <v>intertel.de</v>
      </c>
      <c r="C13025" t="s">
        <v>436</v>
      </c>
      <c r="D13025" t="s">
        <v>815</v>
      </c>
      <c r="F13025">
        <v>4.8845093698664203E-9</v>
      </c>
      <c r="G13025">
        <v>32938024</v>
      </c>
      <c r="H13025">
        <v>7941159</v>
      </c>
      <c r="I13025">
        <v>75336029</v>
      </c>
      <c r="J13025">
        <v>3</v>
      </c>
    </row>
    <row r="13026" spans="1:10" x14ac:dyDescent="0.25">
      <c r="A13026" t="s">
        <v>132</v>
      </c>
      <c r="B13026" s="1" t="str">
        <f>HYPERLINK("http://itenos.de","itenos.de")</f>
        <v>itenos.de</v>
      </c>
      <c r="C13026" t="s">
        <v>436</v>
      </c>
      <c r="D13026" t="s">
        <v>815</v>
      </c>
      <c r="F13026">
        <v>3.4292046545313699E-8</v>
      </c>
      <c r="G13026">
        <v>1511776</v>
      </c>
      <c r="H13026">
        <v>13139122</v>
      </c>
      <c r="I13026">
        <v>11884218</v>
      </c>
      <c r="J13026">
        <v>3</v>
      </c>
    </row>
    <row r="13027" spans="1:10" x14ac:dyDescent="0.25">
      <c r="A13027" t="s">
        <v>132</v>
      </c>
      <c r="B13027" s="1" t="str">
        <f>HYPERLINK("http://jotel-gmbh.de","jotel-gmbh.de")</f>
        <v>jotel-gmbh.de</v>
      </c>
      <c r="C13027" t="s">
        <v>436</v>
      </c>
      <c r="D13027" t="s">
        <v>815</v>
      </c>
      <c r="J13027">
        <v>3</v>
      </c>
    </row>
    <row r="13028" spans="1:10" x14ac:dyDescent="0.25">
      <c r="A13028" t="s">
        <v>132</v>
      </c>
      <c r="B13028" s="1" t="str">
        <f>HYPERLINK("http://kf-telecom.de","kf-telecom.de")</f>
        <v>kf-telecom.de</v>
      </c>
      <c r="C13028" t="s">
        <v>436</v>
      </c>
      <c r="D13028" t="s">
        <v>815</v>
      </c>
      <c r="F13028">
        <v>4.6292615056566898E-9</v>
      </c>
      <c r="G13028">
        <v>45487505</v>
      </c>
      <c r="H13028">
        <v>9938923</v>
      </c>
      <c r="I13028">
        <v>61343812</v>
      </c>
      <c r="J13028">
        <v>3</v>
      </c>
    </row>
    <row r="13029" spans="1:10" x14ac:dyDescent="0.25">
      <c r="A13029" t="s">
        <v>132</v>
      </c>
      <c r="B13029" s="1" t="str">
        <f>HYPERLINK("http://labs-exit.de","labs-exit.de")</f>
        <v>labs-exit.de</v>
      </c>
      <c r="C13029" t="s">
        <v>436</v>
      </c>
      <c r="D13029" t="s">
        <v>815</v>
      </c>
      <c r="F13029">
        <v>6.6502413332910401E-9</v>
      </c>
      <c r="G13029">
        <v>13484283</v>
      </c>
      <c r="H13029">
        <v>12859155</v>
      </c>
      <c r="I13029">
        <v>14205360</v>
      </c>
      <c r="J13029">
        <v>2</v>
      </c>
    </row>
    <row r="13030" spans="1:10" x14ac:dyDescent="0.25">
      <c r="A13030" t="s">
        <v>132</v>
      </c>
      <c r="B13030" s="1" t="str">
        <f>HYPERLINK("http://mcom-bad-neustadt.de","mcom-bad-neustadt.de")</f>
        <v>mcom-bad-neustadt.de</v>
      </c>
      <c r="C13030" t="s">
        <v>436</v>
      </c>
      <c r="D13030" t="s">
        <v>815</v>
      </c>
      <c r="F13030">
        <v>4.4646395821257402E-9</v>
      </c>
      <c r="G13030">
        <v>66358278</v>
      </c>
      <c r="H13030">
        <v>9609251</v>
      </c>
      <c r="I13030">
        <v>64305682</v>
      </c>
      <c r="J13030">
        <v>3</v>
      </c>
    </row>
    <row r="13031" spans="1:10" x14ac:dyDescent="0.25">
      <c r="A13031" t="s">
        <v>132</v>
      </c>
      <c r="B13031" s="1" t="str">
        <f>HYPERLINK("http://mms-at-work.de","mms-at-work.de")</f>
        <v>mms-at-work.de</v>
      </c>
      <c r="C13031" t="s">
        <v>436</v>
      </c>
      <c r="D13031" t="s">
        <v>815</v>
      </c>
      <c r="F13031">
        <v>4.4440622862914599E-9</v>
      </c>
      <c r="G13031">
        <v>77581568</v>
      </c>
      <c r="H13031">
        <v>11976343</v>
      </c>
      <c r="I13031">
        <v>28546046</v>
      </c>
      <c r="J13031">
        <v>2</v>
      </c>
    </row>
    <row r="13032" spans="1:10" x14ac:dyDescent="0.25">
      <c r="A13032" t="s">
        <v>132</v>
      </c>
      <c r="B13032" s="1" t="str">
        <f>HYPERLINK("http://mobile-entertain.de","mobile-entertain.de")</f>
        <v>mobile-entertain.de</v>
      </c>
      <c r="C13032" t="s">
        <v>436</v>
      </c>
      <c r="D13032" t="s">
        <v>815</v>
      </c>
      <c r="F13032">
        <v>8.4691575516667203E-9</v>
      </c>
      <c r="G13032">
        <v>8904680</v>
      </c>
      <c r="H13032">
        <v>9321950</v>
      </c>
      <c r="I13032">
        <v>68292371</v>
      </c>
      <c r="J13032">
        <v>3</v>
      </c>
    </row>
    <row r="13033" spans="1:10" x14ac:dyDescent="0.25">
      <c r="A13033" t="s">
        <v>132</v>
      </c>
      <c r="B13033" s="1" t="str">
        <f>HYPERLINK("http://mobile-store-deutschland.de","mobile-store-deutschland.de")</f>
        <v>mobile-store-deutschland.de</v>
      </c>
      <c r="C13033" t="s">
        <v>436</v>
      </c>
      <c r="D13033" t="s">
        <v>815</v>
      </c>
      <c r="F13033">
        <v>4.44380395335525E-9</v>
      </c>
      <c r="G13033">
        <v>84462464</v>
      </c>
      <c r="H13033">
        <v>0</v>
      </c>
      <c r="I13033">
        <v>85519471</v>
      </c>
      <c r="J13033">
        <v>3</v>
      </c>
    </row>
    <row r="13034" spans="1:10" x14ac:dyDescent="0.25">
      <c r="A13034" t="s">
        <v>132</v>
      </c>
      <c r="B13034" s="1" t="str">
        <f>HYPERLINK("http://motionlogic.de","motionlogic.de")</f>
        <v>motionlogic.de</v>
      </c>
      <c r="C13034" t="s">
        <v>436</v>
      </c>
      <c r="D13034" t="s">
        <v>815</v>
      </c>
      <c r="F13034">
        <v>3.4087206001269503E-8</v>
      </c>
      <c r="G13034">
        <v>1519606</v>
      </c>
      <c r="H13034">
        <v>14440705</v>
      </c>
      <c r="I13034">
        <v>1063205</v>
      </c>
      <c r="J13034">
        <v>3</v>
      </c>
    </row>
    <row r="13035" spans="1:10" x14ac:dyDescent="0.25">
      <c r="A13035" t="s">
        <v>132</v>
      </c>
      <c r="B13035" s="1" t="str">
        <f>HYPERLINK("http://operational-services.de","operational-services.de")</f>
        <v>operational-services.de</v>
      </c>
      <c r="C13035" t="s">
        <v>436</v>
      </c>
      <c r="D13035" t="s">
        <v>815</v>
      </c>
      <c r="F13035">
        <v>1.5602545018213301E-7</v>
      </c>
      <c r="G13035">
        <v>248909</v>
      </c>
      <c r="H13035">
        <v>14180711</v>
      </c>
      <c r="I13035">
        <v>1780141</v>
      </c>
      <c r="J13035">
        <v>4</v>
      </c>
    </row>
    <row r="13036" spans="1:10" x14ac:dyDescent="0.25">
      <c r="A13036" t="s">
        <v>132</v>
      </c>
      <c r="B13036" s="1" t="str">
        <f>HYPERLINK("http://orbit.de","orbit.de")</f>
        <v>orbit.de</v>
      </c>
      <c r="C13036" t="s">
        <v>436</v>
      </c>
      <c r="D13036" t="s">
        <v>815</v>
      </c>
      <c r="E13036">
        <v>961189</v>
      </c>
      <c r="F13036">
        <v>2.00836605936065E-8</v>
      </c>
      <c r="G13036">
        <v>2646654</v>
      </c>
      <c r="H13036">
        <v>13768973</v>
      </c>
      <c r="I13036">
        <v>6824800</v>
      </c>
      <c r="J13036">
        <v>3</v>
      </c>
    </row>
    <row r="13037" spans="1:10" x14ac:dyDescent="0.25">
      <c r="A13037" t="s">
        <v>132</v>
      </c>
      <c r="B13037" s="1" t="str">
        <f>HYPERLINK("http://osmobile.de","osmobile.de")</f>
        <v>osmobile.de</v>
      </c>
      <c r="C13037" t="s">
        <v>436</v>
      </c>
      <c r="D13037" t="s">
        <v>815</v>
      </c>
      <c r="J13037">
        <v>3</v>
      </c>
    </row>
    <row r="13038" spans="1:10" x14ac:dyDescent="0.25">
      <c r="A13038" t="s">
        <v>132</v>
      </c>
      <c r="B13038" s="1" t="str">
        <f>HYPERLINK("http://prehcm-services.de","prehcm-services.de")</f>
        <v>prehcm-services.de</v>
      </c>
      <c r="C13038" t="s">
        <v>436</v>
      </c>
      <c r="D13038" t="s">
        <v>815</v>
      </c>
      <c r="F13038">
        <v>4.5826400587902596E-9</v>
      </c>
      <c r="G13038">
        <v>49070317</v>
      </c>
      <c r="H13038">
        <v>9988578</v>
      </c>
      <c r="I13038">
        <v>60913817</v>
      </c>
      <c r="J13038">
        <v>3</v>
      </c>
    </row>
    <row r="13039" spans="1:10" x14ac:dyDescent="0.25">
      <c r="A13039" t="s">
        <v>132</v>
      </c>
      <c r="B13039" s="1" t="str">
        <f>HYPERLINK("http://scout24.de","scout24.de")</f>
        <v>scout24.de</v>
      </c>
      <c r="C13039" t="s">
        <v>436</v>
      </c>
      <c r="D13039" t="s">
        <v>815</v>
      </c>
      <c r="F13039">
        <v>7.2941744043996403E-8</v>
      </c>
      <c r="G13039">
        <v>578163</v>
      </c>
      <c r="H13039">
        <v>13115946</v>
      </c>
      <c r="I13039">
        <v>12012500</v>
      </c>
      <c r="J13039">
        <v>4</v>
      </c>
    </row>
    <row r="13040" spans="1:10" x14ac:dyDescent="0.25">
      <c r="A13040" t="s">
        <v>132</v>
      </c>
      <c r="B13040" s="1" t="str">
        <f>HYPERLINK("http://selhandy.de","selhandy.de")</f>
        <v>selhandy.de</v>
      </c>
      <c r="C13040" t="s">
        <v>436</v>
      </c>
      <c r="D13040" t="s">
        <v>815</v>
      </c>
      <c r="J13040">
        <v>3</v>
      </c>
    </row>
    <row r="13041" spans="1:10" x14ac:dyDescent="0.25">
      <c r="A13041" t="s">
        <v>132</v>
      </c>
      <c r="B13041" s="1" t="str">
        <f>HYPERLINK("http://shop-bernburg.de","shop-bernburg.de")</f>
        <v>shop-bernburg.de</v>
      </c>
      <c r="C13041" t="s">
        <v>436</v>
      </c>
      <c r="D13041" t="s">
        <v>815</v>
      </c>
      <c r="F13041">
        <v>8.6407305274052195E-9</v>
      </c>
      <c r="G13041">
        <v>8582897</v>
      </c>
      <c r="H13041">
        <v>4.0029320000000004</v>
      </c>
      <c r="I13041">
        <v>77752320</v>
      </c>
      <c r="J13041">
        <v>3</v>
      </c>
    </row>
    <row r="13042" spans="1:10" x14ac:dyDescent="0.25">
      <c r="A13042" t="s">
        <v>132</v>
      </c>
      <c r="B13042" s="1" t="str">
        <f>HYPERLINK("http://shop-koethen.de","shop-koethen.de")</f>
        <v>shop-koethen.de</v>
      </c>
      <c r="C13042" t="s">
        <v>436</v>
      </c>
      <c r="D13042" t="s">
        <v>815</v>
      </c>
      <c r="F13042">
        <v>8.64073042507124E-9</v>
      </c>
      <c r="G13042">
        <v>8582914</v>
      </c>
      <c r="H13042">
        <v>4.0029320000000004</v>
      </c>
      <c r="I13042">
        <v>77752321</v>
      </c>
      <c r="J13042">
        <v>3</v>
      </c>
    </row>
    <row r="13043" spans="1:10" x14ac:dyDescent="0.25">
      <c r="A13043" t="s">
        <v>132</v>
      </c>
      <c r="B13043" s="1" t="str">
        <f>HYPERLINK("http://shop-wolfen.de","shop-wolfen.de")</f>
        <v>shop-wolfen.de</v>
      </c>
      <c r="C13043" t="s">
        <v>436</v>
      </c>
      <c r="D13043" t="s">
        <v>815</v>
      </c>
      <c r="F13043">
        <v>8.6407301364739594E-9</v>
      </c>
      <c r="G13043">
        <v>8582993</v>
      </c>
      <c r="H13043">
        <v>4.0029320000000004</v>
      </c>
      <c r="I13043">
        <v>77752324</v>
      </c>
      <c r="J13043">
        <v>3</v>
      </c>
    </row>
    <row r="13044" spans="1:10" x14ac:dyDescent="0.25">
      <c r="A13044" t="s">
        <v>132</v>
      </c>
      <c r="B13044" s="1" t="str">
        <f>HYPERLINK("http://sireo.de","sireo.de")</f>
        <v>sireo.de</v>
      </c>
      <c r="C13044" t="s">
        <v>436</v>
      </c>
      <c r="D13044" t="s">
        <v>815</v>
      </c>
      <c r="F13044">
        <v>5.4111804229033003E-9</v>
      </c>
      <c r="G13044">
        <v>21971225</v>
      </c>
      <c r="H13044">
        <v>12196625</v>
      </c>
      <c r="I13044">
        <v>23407149</v>
      </c>
      <c r="J13044">
        <v>3</v>
      </c>
    </row>
    <row r="13045" spans="1:10" x14ac:dyDescent="0.25">
      <c r="A13045" t="s">
        <v>132</v>
      </c>
      <c r="B13045" s="1" t="str">
        <f>HYPERLINK("http://t-mobile.de","t-mobile.de")</f>
        <v>t-mobile.de</v>
      </c>
      <c r="C13045" t="s">
        <v>436</v>
      </c>
      <c r="D13045" t="s">
        <v>815</v>
      </c>
      <c r="E13045">
        <v>123107</v>
      </c>
      <c r="F13045">
        <v>3.7688831125320202E-7</v>
      </c>
      <c r="G13045">
        <v>99329</v>
      </c>
      <c r="H13045">
        <v>15164814</v>
      </c>
      <c r="I13045">
        <v>398675</v>
      </c>
      <c r="J13045">
        <v>3</v>
      </c>
    </row>
    <row r="13046" spans="1:10" x14ac:dyDescent="0.25">
      <c r="A13046" t="s">
        <v>132</v>
      </c>
      <c r="B13046" s="1" t="str">
        <f>HYPERLINK("http://t-online-travel.de","t-online-travel.de")</f>
        <v>t-online-travel.de</v>
      </c>
      <c r="C13046" t="s">
        <v>436</v>
      </c>
      <c r="D13046" t="s">
        <v>815</v>
      </c>
      <c r="F13046">
        <v>4.6071761141710103E-9</v>
      </c>
      <c r="G13046">
        <v>47070719</v>
      </c>
      <c r="H13046">
        <v>12388713</v>
      </c>
      <c r="I13046">
        <v>19072984</v>
      </c>
      <c r="J13046">
        <v>3</v>
      </c>
    </row>
    <row r="13047" spans="1:10" x14ac:dyDescent="0.25">
      <c r="A13047" t="s">
        <v>132</v>
      </c>
      <c r="B13047" s="1" t="str">
        <f>HYPERLINK("http://t-systems.de","t-systems.de")</f>
        <v>t-systems.de</v>
      </c>
      <c r="C13047" t="s">
        <v>436</v>
      </c>
      <c r="D13047" t="s">
        <v>815</v>
      </c>
      <c r="E13047">
        <v>485424</v>
      </c>
      <c r="F13047">
        <v>3.9398071563443698E-7</v>
      </c>
      <c r="G13047">
        <v>95214</v>
      </c>
      <c r="H13047">
        <v>14722603</v>
      </c>
      <c r="I13047">
        <v>576912</v>
      </c>
      <c r="J13047">
        <v>3</v>
      </c>
    </row>
    <row r="13048" spans="1:10" x14ac:dyDescent="0.25">
      <c r="A13048" t="s">
        <v>132</v>
      </c>
      <c r="B13048" s="1" t="str">
        <f>HYPERLINK("http://t-systems-onsite.de","t-systems-onsite.de")</f>
        <v>t-systems-onsite.de</v>
      </c>
      <c r="C13048" t="s">
        <v>436</v>
      </c>
      <c r="D13048" t="s">
        <v>815</v>
      </c>
      <c r="F13048">
        <v>1.98855643736432E-8</v>
      </c>
      <c r="G13048">
        <v>2677041</v>
      </c>
      <c r="H13048">
        <v>13085047</v>
      </c>
      <c r="I13048">
        <v>12163365</v>
      </c>
      <c r="J13048">
        <v>3</v>
      </c>
    </row>
    <row r="13049" spans="1:10" x14ac:dyDescent="0.25">
      <c r="A13049" t="s">
        <v>132</v>
      </c>
      <c r="B13049" s="1" t="str">
        <f>HYPERLINK("http://tel-dis.de","tel-dis.de")</f>
        <v>tel-dis.de</v>
      </c>
      <c r="C13049" t="s">
        <v>436</v>
      </c>
      <c r="D13049" t="s">
        <v>815</v>
      </c>
      <c r="F13049">
        <v>5.4911656261851799E-9</v>
      </c>
      <c r="G13049">
        <v>20999064</v>
      </c>
      <c r="H13049">
        <v>12073837</v>
      </c>
      <c r="I13049">
        <v>26709590</v>
      </c>
      <c r="J13049">
        <v>3</v>
      </c>
    </row>
    <row r="13050" spans="1:10" x14ac:dyDescent="0.25">
      <c r="A13050" t="s">
        <v>132</v>
      </c>
      <c r="B13050" s="1" t="str">
        <f>HYPERLINK("http://telecaro.de","telecaro.de")</f>
        <v>telecaro.de</v>
      </c>
      <c r="C13050" t="s">
        <v>436</v>
      </c>
      <c r="D13050" t="s">
        <v>815</v>
      </c>
      <c r="F13050">
        <v>4.9749293265636502E-9</v>
      </c>
      <c r="G13050">
        <v>30123116</v>
      </c>
      <c r="H13050">
        <v>12739793</v>
      </c>
      <c r="I13050">
        <v>15137139</v>
      </c>
      <c r="J13050">
        <v>3</v>
      </c>
    </row>
    <row r="13051" spans="1:10" x14ac:dyDescent="0.25">
      <c r="A13051" t="s">
        <v>132</v>
      </c>
      <c r="B13051" s="1" t="str">
        <f>HYPERLINK("http://telefon-center.de","telefon-center.de")</f>
        <v>telefon-center.de</v>
      </c>
      <c r="C13051" t="s">
        <v>436</v>
      </c>
      <c r="D13051" t="s">
        <v>815</v>
      </c>
      <c r="F13051">
        <v>4.7693252901718104E-9</v>
      </c>
      <c r="G13051">
        <v>37404386</v>
      </c>
      <c r="H13051">
        <v>10691460</v>
      </c>
      <c r="I13051">
        <v>42471610</v>
      </c>
      <c r="J13051">
        <v>3</v>
      </c>
    </row>
    <row r="13052" spans="1:10" x14ac:dyDescent="0.25">
      <c r="A13052" t="s">
        <v>132</v>
      </c>
      <c r="B13052" s="1" t="str">
        <f>HYPERLINK("http://telefonladen-duderstadt.de","telefonladen-duderstadt.de")</f>
        <v>telefonladen-duderstadt.de</v>
      </c>
      <c r="C13052" t="s">
        <v>436</v>
      </c>
      <c r="D13052" t="s">
        <v>815</v>
      </c>
      <c r="F13052">
        <v>4.4809276605967203E-9</v>
      </c>
      <c r="G13052">
        <v>62153455</v>
      </c>
      <c r="H13052">
        <v>10841245</v>
      </c>
      <c r="I13052">
        <v>37104190</v>
      </c>
      <c r="J13052">
        <v>3</v>
      </c>
    </row>
    <row r="13053" spans="1:10" x14ac:dyDescent="0.25">
      <c r="A13053" t="s">
        <v>132</v>
      </c>
      <c r="B13053" s="1" t="str">
        <f>HYPERLINK("http://telehot.de","telehot.de")</f>
        <v>telehot.de</v>
      </c>
      <c r="C13053" t="s">
        <v>436</v>
      </c>
      <c r="D13053" t="s">
        <v>815</v>
      </c>
      <c r="F13053">
        <v>6.9739583132677703E-9</v>
      </c>
      <c r="G13053">
        <v>12389695</v>
      </c>
      <c r="H13053">
        <v>9497334</v>
      </c>
      <c r="I13053">
        <v>65767881</v>
      </c>
      <c r="J13053">
        <v>3</v>
      </c>
    </row>
    <row r="13054" spans="1:10" x14ac:dyDescent="0.25">
      <c r="A13054" t="s">
        <v>132</v>
      </c>
      <c r="B13054" s="1" t="str">
        <f>HYPERLINK("http://telekom.de","telekom.de")</f>
        <v>telekom.de</v>
      </c>
      <c r="C13054" t="s">
        <v>436</v>
      </c>
      <c r="D13054" t="s">
        <v>815</v>
      </c>
      <c r="E13054">
        <v>6919</v>
      </c>
      <c r="F13054">
        <v>4.8461381994016899E-5</v>
      </c>
      <c r="G13054">
        <v>540</v>
      </c>
      <c r="H13054">
        <v>17609352</v>
      </c>
      <c r="I13054">
        <v>9403</v>
      </c>
      <c r="J13054">
        <v>2</v>
      </c>
    </row>
    <row r="13055" spans="1:10" x14ac:dyDescent="0.25">
      <c r="A13055" t="s">
        <v>132</v>
      </c>
      <c r="B13055" s="1" t="str">
        <f>HYPERLINK("http://telekom-partner-oberkirch.de","telekom-partner-oberkirch.de")</f>
        <v>telekom-partner-oberkirch.de</v>
      </c>
      <c r="C13055" t="s">
        <v>436</v>
      </c>
      <c r="D13055" t="s">
        <v>815</v>
      </c>
      <c r="F13055">
        <v>8.4390911643036804E-9</v>
      </c>
      <c r="G13055">
        <v>8963966</v>
      </c>
      <c r="H13055">
        <v>9353787</v>
      </c>
      <c r="I13055">
        <v>67939909</v>
      </c>
      <c r="J13055">
        <v>3</v>
      </c>
    </row>
    <row r="13056" spans="1:10" x14ac:dyDescent="0.25">
      <c r="A13056" t="s">
        <v>132</v>
      </c>
      <c r="B13056" s="1" t="str">
        <f>HYPERLINK("http://telekomshop.de","telekomshop.de")</f>
        <v>telekomshop.de</v>
      </c>
      <c r="C13056" t="s">
        <v>436</v>
      </c>
      <c r="D13056" t="s">
        <v>815</v>
      </c>
      <c r="F13056">
        <v>1.1803733462621199E-7</v>
      </c>
      <c r="G13056">
        <v>335815</v>
      </c>
      <c r="H13056">
        <v>13051407</v>
      </c>
      <c r="I13056">
        <v>12578708</v>
      </c>
      <c r="J13056">
        <v>3</v>
      </c>
    </row>
    <row r="13057" spans="1:10" x14ac:dyDescent="0.25">
      <c r="A13057" t="s">
        <v>132</v>
      </c>
      <c r="B13057" s="1" t="str">
        <f>HYPERLINK("http://tkpoint-woerth.de","tkpoint-woerth.de")</f>
        <v>tkpoint-woerth.de</v>
      </c>
      <c r="C13057" t="s">
        <v>436</v>
      </c>
      <c r="D13057" t="s">
        <v>815</v>
      </c>
      <c r="J13057">
        <v>3</v>
      </c>
    </row>
    <row r="13058" spans="1:10" x14ac:dyDescent="0.25">
      <c r="A13058" t="s">
        <v>132</v>
      </c>
      <c r="B13058" s="1" t="str">
        <f>HYPERLINK("http://vivento.de","vivento.de")</f>
        <v>vivento.de</v>
      </c>
      <c r="C13058" t="s">
        <v>436</v>
      </c>
      <c r="D13058" t="s">
        <v>815</v>
      </c>
      <c r="F13058">
        <v>9.5622288754811193E-9</v>
      </c>
      <c r="G13058">
        <v>7248448</v>
      </c>
      <c r="H13058">
        <v>10985269</v>
      </c>
      <c r="I13058">
        <v>33834655</v>
      </c>
      <c r="J13058">
        <v>3</v>
      </c>
    </row>
    <row r="13059" spans="1:10" x14ac:dyDescent="0.25">
      <c r="A13059" t="s">
        <v>132</v>
      </c>
      <c r="B13059" s="1" t="str">
        <f>HYPERLINK("http://vivento-cs.de","vivento-cs.de")</f>
        <v>vivento-cs.de</v>
      </c>
      <c r="C13059" t="s">
        <v>436</v>
      </c>
      <c r="D13059" t="s">
        <v>815</v>
      </c>
      <c r="F13059">
        <v>4.4593220803793996E-9</v>
      </c>
      <c r="G13059">
        <v>67964182</v>
      </c>
      <c r="H13059">
        <v>10728480</v>
      </c>
      <c r="I13059">
        <v>41042676</v>
      </c>
      <c r="J13059">
        <v>5</v>
      </c>
    </row>
    <row r="13060" spans="1:10" x14ac:dyDescent="0.25">
      <c r="A13060" t="s">
        <v>132</v>
      </c>
      <c r="B13060" s="1" t="str">
        <f>HYPERLINK("http://t-systems.dk","t-systems.dk")</f>
        <v>t-systems.dk</v>
      </c>
      <c r="C13060" t="s">
        <v>437</v>
      </c>
      <c r="D13060" t="s">
        <v>816</v>
      </c>
      <c r="F13060">
        <v>7.8511634235383006E-9</v>
      </c>
      <c r="G13060">
        <v>10212172</v>
      </c>
      <c r="H13060">
        <v>14073953</v>
      </c>
      <c r="I13060">
        <v>2962857</v>
      </c>
      <c r="J13060">
        <v>6</v>
      </c>
    </row>
    <row r="13061" spans="1:10" x14ac:dyDescent="0.25">
      <c r="A13061" t="s">
        <v>132</v>
      </c>
      <c r="B13061" s="1" t="str">
        <f>HYPERLINK("http://bt.es","bt.es")</f>
        <v>bt.es</v>
      </c>
      <c r="C13061" t="s">
        <v>443</v>
      </c>
      <c r="D13061" t="s">
        <v>822</v>
      </c>
      <c r="E13061">
        <v>193436</v>
      </c>
      <c r="F13061">
        <v>3.0775401260090401E-8</v>
      </c>
      <c r="G13061">
        <v>1673781</v>
      </c>
      <c r="H13061">
        <v>14133601</v>
      </c>
      <c r="I13061">
        <v>1987128</v>
      </c>
      <c r="J13061">
        <v>5</v>
      </c>
    </row>
    <row r="13062" spans="1:10" x14ac:dyDescent="0.25">
      <c r="A13062" t="s">
        <v>132</v>
      </c>
      <c r="B13062" s="1" t="str">
        <f>HYPERLINK("http://t-systems.es","t-systems.es")</f>
        <v>t-systems.es</v>
      </c>
      <c r="C13062" t="s">
        <v>443</v>
      </c>
      <c r="D13062" t="s">
        <v>822</v>
      </c>
      <c r="E13062">
        <v>305820</v>
      </c>
      <c r="F13062">
        <v>2.9980774609432903E-8</v>
      </c>
      <c r="G13062">
        <v>1716022</v>
      </c>
      <c r="H13062">
        <v>13782601</v>
      </c>
      <c r="I13062">
        <v>6436860</v>
      </c>
      <c r="J13062">
        <v>3</v>
      </c>
    </row>
    <row r="13063" spans="1:10" x14ac:dyDescent="0.25">
      <c r="A13063" t="s">
        <v>132</v>
      </c>
      <c r="B13063" s="1" t="str">
        <f>HYPERLINK("http://combis.eu","combis.eu")</f>
        <v>combis.eu</v>
      </c>
      <c r="C13063" t="s">
        <v>444</v>
      </c>
      <c r="F13063">
        <v>6.19717791316815E-9</v>
      </c>
      <c r="G13063">
        <v>15551173</v>
      </c>
      <c r="H13063">
        <v>12125439</v>
      </c>
      <c r="I13063">
        <v>25268659</v>
      </c>
      <c r="J13063">
        <v>4</v>
      </c>
    </row>
    <row r="13064" spans="1:10" x14ac:dyDescent="0.25">
      <c r="A13064" t="s">
        <v>132</v>
      </c>
      <c r="B13064" s="1" t="str">
        <f>HYPERLINK("http://t-systems-mms.eu","t-systems-mms.eu")</f>
        <v>t-systems-mms.eu</v>
      </c>
      <c r="C13064" t="s">
        <v>444</v>
      </c>
      <c r="F13064">
        <v>5.8699592041893803E-9</v>
      </c>
      <c r="G13064">
        <v>17568246</v>
      </c>
      <c r="H13064">
        <v>11220886</v>
      </c>
      <c r="I13064">
        <v>31085437</v>
      </c>
      <c r="J13064">
        <v>4</v>
      </c>
    </row>
    <row r="13065" spans="1:10" x14ac:dyDescent="0.25">
      <c r="A13065" t="s">
        <v>132</v>
      </c>
      <c r="B13065" s="1" t="str">
        <f>HYPERLINK("http://toll4europe.eu","toll4europe.eu")</f>
        <v>toll4europe.eu</v>
      </c>
      <c r="C13065" t="s">
        <v>444</v>
      </c>
      <c r="F13065">
        <v>7.4044322026874702E-8</v>
      </c>
      <c r="G13065">
        <v>568608</v>
      </c>
      <c r="H13065">
        <v>13289140</v>
      </c>
      <c r="I13065">
        <v>10879616</v>
      </c>
      <c r="J13065">
        <v>3</v>
      </c>
    </row>
    <row r="13066" spans="1:10" x14ac:dyDescent="0.25">
      <c r="A13066" t="s">
        <v>132</v>
      </c>
      <c r="B13066" s="1" t="str">
        <f>HYPERLINK("http://congstar.fi","congstar.fi")</f>
        <v>congstar.fi</v>
      </c>
      <c r="C13066" t="s">
        <v>445</v>
      </c>
      <c r="D13066" t="s">
        <v>823</v>
      </c>
      <c r="J13066">
        <v>2</v>
      </c>
    </row>
    <row r="13067" spans="1:10" x14ac:dyDescent="0.25">
      <c r="A13067" t="s">
        <v>132</v>
      </c>
      <c r="B13067" s="1" t="str">
        <f>HYPERLINK("http://deutsche-telekom.fi","deutsche-telekom.fi")</f>
        <v>deutsche-telekom.fi</v>
      </c>
      <c r="C13067" t="s">
        <v>445</v>
      </c>
      <c r="D13067" t="s">
        <v>823</v>
      </c>
      <c r="J13067">
        <v>2</v>
      </c>
    </row>
    <row r="13068" spans="1:10" x14ac:dyDescent="0.25">
      <c r="A13068" t="s">
        <v>132</v>
      </c>
      <c r="B13068" s="1" t="str">
        <f>HYPERLINK("http://deutschetelekom.fi","deutschetelekom.fi")</f>
        <v>deutschetelekom.fi</v>
      </c>
      <c r="C13068" t="s">
        <v>445</v>
      </c>
      <c r="D13068" t="s">
        <v>823</v>
      </c>
      <c r="J13068">
        <v>2</v>
      </c>
    </row>
    <row r="13069" spans="1:10" x14ac:dyDescent="0.25">
      <c r="A13069" t="s">
        <v>132</v>
      </c>
      <c r="B13069" s="1" t="str">
        <f>HYPERLINK("http://magenta.fi","magenta.fi")</f>
        <v>magenta.fi</v>
      </c>
      <c r="C13069" t="s">
        <v>445</v>
      </c>
      <c r="D13069" t="s">
        <v>823</v>
      </c>
      <c r="F13069">
        <v>4.5290644477725402E-9</v>
      </c>
      <c r="G13069">
        <v>55161388</v>
      </c>
      <c r="H13069">
        <v>10726344</v>
      </c>
      <c r="I13069">
        <v>41246803</v>
      </c>
      <c r="J13069">
        <v>2</v>
      </c>
    </row>
    <row r="13070" spans="1:10" x14ac:dyDescent="0.25">
      <c r="A13070" t="s">
        <v>132</v>
      </c>
      <c r="B13070" s="1" t="str">
        <f>HYPERLINK("http://t-mobile.fi","t-mobile.fi")</f>
        <v>t-mobile.fi</v>
      </c>
      <c r="C13070" t="s">
        <v>445</v>
      </c>
      <c r="D13070" t="s">
        <v>823</v>
      </c>
      <c r="J13070">
        <v>2</v>
      </c>
    </row>
    <row r="13071" spans="1:10" x14ac:dyDescent="0.25">
      <c r="A13071" t="s">
        <v>132</v>
      </c>
      <c r="B13071" s="1" t="str">
        <f>HYPERLINK("http://t-online.fi","t-online.fi")</f>
        <v>t-online.fi</v>
      </c>
      <c r="C13071" t="s">
        <v>445</v>
      </c>
      <c r="D13071" t="s">
        <v>823</v>
      </c>
      <c r="J13071">
        <v>2</v>
      </c>
    </row>
    <row r="13072" spans="1:10" x14ac:dyDescent="0.25">
      <c r="A13072" t="s">
        <v>132</v>
      </c>
      <c r="B13072" s="1" t="str">
        <f>HYPERLINK("http://t-systems.fi","t-systems.fi")</f>
        <v>t-systems.fi</v>
      </c>
      <c r="C13072" t="s">
        <v>445</v>
      </c>
      <c r="D13072" t="s">
        <v>823</v>
      </c>
      <c r="J13072">
        <v>2</v>
      </c>
    </row>
    <row r="13073" spans="1:10" x14ac:dyDescent="0.25">
      <c r="A13073" t="s">
        <v>132</v>
      </c>
      <c r="B13073" s="1" t="str">
        <f>HYPERLINK("http://telekom.fi","telekom.fi")</f>
        <v>telekom.fi</v>
      </c>
      <c r="C13073" t="s">
        <v>445</v>
      </c>
      <c r="D13073" t="s">
        <v>823</v>
      </c>
      <c r="J13073">
        <v>2</v>
      </c>
    </row>
    <row r="13074" spans="1:10" x14ac:dyDescent="0.25">
      <c r="A13074" t="s">
        <v>132</v>
      </c>
      <c r="B13074" s="1" t="str">
        <f>HYPERLINK("http://telekom-healthcare.fi","telekom-healthcare.fi")</f>
        <v>telekom-healthcare.fi</v>
      </c>
      <c r="C13074" t="s">
        <v>445</v>
      </c>
      <c r="D13074" t="s">
        <v>823</v>
      </c>
      <c r="J13074">
        <v>2</v>
      </c>
    </row>
    <row r="13075" spans="1:10" x14ac:dyDescent="0.25">
      <c r="A13075" t="s">
        <v>132</v>
      </c>
      <c r="B13075" s="1" t="str">
        <f>HYPERLINK("http://telekomhealthcare.fi","telekomhealthcare.fi")</f>
        <v>telekomhealthcare.fi</v>
      </c>
      <c r="C13075" t="s">
        <v>445</v>
      </c>
      <c r="D13075" t="s">
        <v>823</v>
      </c>
      <c r="J13075">
        <v>2</v>
      </c>
    </row>
    <row r="13076" spans="1:10" x14ac:dyDescent="0.25">
      <c r="A13076" t="s">
        <v>132</v>
      </c>
      <c r="B13076" s="1" t="str">
        <f>HYPERLINK("http://tmobile.fi","tmobile.fi")</f>
        <v>tmobile.fi</v>
      </c>
      <c r="C13076" t="s">
        <v>445</v>
      </c>
      <c r="D13076" t="s">
        <v>823</v>
      </c>
      <c r="J13076">
        <v>2</v>
      </c>
    </row>
    <row r="13077" spans="1:10" x14ac:dyDescent="0.25">
      <c r="A13077" t="s">
        <v>132</v>
      </c>
      <c r="B13077" s="1" t="str">
        <f>HYPERLINK("http://tonline.fi","tonline.fi")</f>
        <v>tonline.fi</v>
      </c>
      <c r="C13077" t="s">
        <v>445</v>
      </c>
      <c r="D13077" t="s">
        <v>823</v>
      </c>
      <c r="J13077">
        <v>2</v>
      </c>
    </row>
    <row r="13078" spans="1:10" x14ac:dyDescent="0.25">
      <c r="A13078" t="s">
        <v>132</v>
      </c>
      <c r="B13078" s="1" t="str">
        <f>HYPERLINK("http://tsystems.fi","tsystems.fi")</f>
        <v>tsystems.fi</v>
      </c>
      <c r="C13078" t="s">
        <v>445</v>
      </c>
      <c r="D13078" t="s">
        <v>823</v>
      </c>
      <c r="J13078">
        <v>2</v>
      </c>
    </row>
    <row r="13079" spans="1:10" x14ac:dyDescent="0.25">
      <c r="A13079" t="s">
        <v>132</v>
      </c>
      <c r="B13079" s="1" t="str">
        <f>HYPERLINK("http://cio-practice.fr","cio-practice.fr")</f>
        <v>cio-practice.fr</v>
      </c>
      <c r="C13079" t="s">
        <v>446</v>
      </c>
      <c r="D13079" t="s">
        <v>824</v>
      </c>
      <c r="F13079">
        <v>1.28800976636085E-8</v>
      </c>
      <c r="G13079">
        <v>4688977</v>
      </c>
      <c r="H13079">
        <v>14128682</v>
      </c>
      <c r="I13079">
        <v>2057285</v>
      </c>
      <c r="J13079">
        <v>5</v>
      </c>
    </row>
    <row r="13080" spans="1:10" x14ac:dyDescent="0.25">
      <c r="A13080" t="s">
        <v>132</v>
      </c>
      <c r="B13080" s="1" t="str">
        <f>HYPERLINK("http://t-systems.fr","t-systems.fr")</f>
        <v>t-systems.fr</v>
      </c>
      <c r="C13080" t="s">
        <v>446</v>
      </c>
      <c r="D13080" t="s">
        <v>824</v>
      </c>
      <c r="F13080">
        <v>1.09406147943772E-8</v>
      </c>
      <c r="G13080">
        <v>5910919</v>
      </c>
      <c r="H13080">
        <v>14078403</v>
      </c>
      <c r="I13080">
        <v>2847289</v>
      </c>
      <c r="J13080">
        <v>3</v>
      </c>
    </row>
    <row r="13081" spans="1:10" x14ac:dyDescent="0.25">
      <c r="A13081" t="s">
        <v>132</v>
      </c>
      <c r="B13081" s="1" t="str">
        <f>HYPERLINK("http://carinahotel.gr","carinahotel.gr")</f>
        <v>carinahotel.gr</v>
      </c>
      <c r="C13081" t="s">
        <v>447</v>
      </c>
      <c r="D13081" t="s">
        <v>825</v>
      </c>
      <c r="F13081">
        <v>4.5257663948298601E-9</v>
      </c>
      <c r="G13081">
        <v>55527988</v>
      </c>
      <c r="H13081">
        <v>12340598</v>
      </c>
      <c r="I13081">
        <v>19992638</v>
      </c>
      <c r="J13081">
        <v>6</v>
      </c>
    </row>
    <row r="13082" spans="1:10" x14ac:dyDescent="0.25">
      <c r="A13082" t="s">
        <v>132</v>
      </c>
      <c r="B13082" s="1" t="str">
        <f>HYPERLINK("http://cosmote.gr","cosmote.gr")</f>
        <v>cosmote.gr</v>
      </c>
      <c r="C13082" t="s">
        <v>447</v>
      </c>
      <c r="D13082" t="s">
        <v>825</v>
      </c>
      <c r="E13082">
        <v>38927</v>
      </c>
      <c r="F13082">
        <v>8.25944004688754E-7</v>
      </c>
      <c r="G13082">
        <v>47913</v>
      </c>
      <c r="H13082">
        <v>17291308</v>
      </c>
      <c r="I13082">
        <v>28846</v>
      </c>
      <c r="J13082">
        <v>3</v>
      </c>
    </row>
    <row r="13083" spans="1:10" x14ac:dyDescent="0.25">
      <c r="A13083" t="s">
        <v>132</v>
      </c>
      <c r="B13083" s="1" t="str">
        <f>HYPERLINK("http://cosmotemyview.gr","cosmotemyview.gr")</f>
        <v>cosmotemyview.gr</v>
      </c>
      <c r="C13083" t="s">
        <v>447</v>
      </c>
      <c r="D13083" t="s">
        <v>825</v>
      </c>
      <c r="E13083">
        <v>498006</v>
      </c>
      <c r="F13083">
        <v>1.17746046833905E-8</v>
      </c>
      <c r="G13083">
        <v>5317870</v>
      </c>
      <c r="H13083">
        <v>12147422</v>
      </c>
      <c r="I13083">
        <v>24691043</v>
      </c>
      <c r="J13083">
        <v>5</v>
      </c>
    </row>
    <row r="13084" spans="1:10" x14ac:dyDescent="0.25">
      <c r="A13084" t="s">
        <v>132</v>
      </c>
      <c r="B13084" s="1" t="str">
        <f>HYPERLINK("http://eekt.gr","eekt.gr")</f>
        <v>eekt.gr</v>
      </c>
      <c r="C13084" t="s">
        <v>447</v>
      </c>
      <c r="D13084" t="s">
        <v>825</v>
      </c>
      <c r="F13084">
        <v>1.2363153644331401E-8</v>
      </c>
      <c r="G13084">
        <v>4959347</v>
      </c>
      <c r="H13084">
        <v>14440065</v>
      </c>
      <c r="I13084">
        <v>1064149</v>
      </c>
      <c r="J13084">
        <v>3</v>
      </c>
    </row>
    <row r="13085" spans="1:10" x14ac:dyDescent="0.25">
      <c r="A13085" t="s">
        <v>132</v>
      </c>
      <c r="B13085" s="1" t="str">
        <f>HYPERLINK("http://kalamitsihotel.gr","kalamitsihotel.gr")</f>
        <v>kalamitsihotel.gr</v>
      </c>
      <c r="C13085" t="s">
        <v>447</v>
      </c>
      <c r="D13085" t="s">
        <v>825</v>
      </c>
      <c r="F13085">
        <v>5.0212245684841701E-9</v>
      </c>
      <c r="G13085">
        <v>28871254</v>
      </c>
      <c r="H13085">
        <v>12055204</v>
      </c>
      <c r="I13085">
        <v>27113768</v>
      </c>
      <c r="J13085">
        <v>6</v>
      </c>
    </row>
    <row r="13086" spans="1:10" x14ac:dyDescent="0.25">
      <c r="A13086" t="s">
        <v>132</v>
      </c>
      <c r="B13086" s="1" t="str">
        <f>HYPERLINK("http://ote.gr","ote.gr")</f>
        <v>ote.gr</v>
      </c>
      <c r="C13086" t="s">
        <v>447</v>
      </c>
      <c r="D13086" t="s">
        <v>825</v>
      </c>
      <c r="E13086">
        <v>139978</v>
      </c>
      <c r="F13086">
        <v>1.3483373321376201E-7</v>
      </c>
      <c r="G13086">
        <v>289481</v>
      </c>
      <c r="H13086">
        <v>14748154</v>
      </c>
      <c r="I13086">
        <v>564443</v>
      </c>
      <c r="J13086">
        <v>3</v>
      </c>
    </row>
    <row r="13087" spans="1:10" x14ac:dyDescent="0.25">
      <c r="A13087" t="s">
        <v>132</v>
      </c>
      <c r="B13087" s="1" t="str">
        <f>HYPERLINK("http://ote-estate.gr","ote-estate.gr")</f>
        <v>ote-estate.gr</v>
      </c>
      <c r="C13087" t="s">
        <v>447</v>
      </c>
      <c r="D13087" t="s">
        <v>825</v>
      </c>
      <c r="F13087">
        <v>1.38411717292735E-8</v>
      </c>
      <c r="G13087">
        <v>4264023</v>
      </c>
      <c r="H13087">
        <v>12294110</v>
      </c>
      <c r="I13087">
        <v>20985496</v>
      </c>
      <c r="J13087">
        <v>3</v>
      </c>
    </row>
    <row r="13088" spans="1:10" x14ac:dyDescent="0.25">
      <c r="A13088" t="s">
        <v>132</v>
      </c>
      <c r="B13088" s="1" t="str">
        <f>HYPERLINK("http://oteglobe.gr","oteglobe.gr")</f>
        <v>oteglobe.gr</v>
      </c>
      <c r="C13088" t="s">
        <v>447</v>
      </c>
      <c r="D13088" t="s">
        <v>825</v>
      </c>
      <c r="E13088">
        <v>411567</v>
      </c>
      <c r="F13088">
        <v>6.3076287253495703E-8</v>
      </c>
      <c r="G13088">
        <v>691016</v>
      </c>
      <c r="H13088">
        <v>16751217</v>
      </c>
      <c r="I13088">
        <v>268463</v>
      </c>
      <c r="J13088">
        <v>4</v>
      </c>
    </row>
    <row r="13089" spans="1:10" x14ac:dyDescent="0.25">
      <c r="A13089" t="s">
        <v>132</v>
      </c>
      <c r="B13089" s="1" t="str">
        <f>HYPERLINK("http://otegroupmuseum.gr","otegroupmuseum.gr")</f>
        <v>otegroupmuseum.gr</v>
      </c>
      <c r="C13089" t="s">
        <v>447</v>
      </c>
      <c r="D13089" t="s">
        <v>825</v>
      </c>
      <c r="F13089">
        <v>2.7269958094760499E-8</v>
      </c>
      <c r="G13089">
        <v>1885379</v>
      </c>
      <c r="H13089">
        <v>14376149</v>
      </c>
      <c r="I13089">
        <v>1219646</v>
      </c>
      <c r="J13089">
        <v>5</v>
      </c>
    </row>
    <row r="13090" spans="1:10" x14ac:dyDescent="0.25">
      <c r="A13090" t="s">
        <v>132</v>
      </c>
      <c r="B13090" s="1" t="str">
        <f>HYPERLINK("http://otenet.gr","otenet.gr")</f>
        <v>otenet.gr</v>
      </c>
      <c r="C13090" t="s">
        <v>447</v>
      </c>
      <c r="D13090" t="s">
        <v>825</v>
      </c>
      <c r="E13090">
        <v>3002</v>
      </c>
      <c r="F13090">
        <v>3.3110578188983702E-7</v>
      </c>
      <c r="G13090">
        <v>112541</v>
      </c>
      <c r="H13090">
        <v>17226124</v>
      </c>
      <c r="I13090">
        <v>37484</v>
      </c>
      <c r="J13090">
        <v>4</v>
      </c>
    </row>
    <row r="13091" spans="1:10" x14ac:dyDescent="0.25">
      <c r="A13091" t="s">
        <v>132</v>
      </c>
      <c r="B13091" s="1" t="str">
        <f>HYPERLINK("http://vmathios.gr","vmathios.gr")</f>
        <v>vmathios.gr</v>
      </c>
      <c r="C13091" t="s">
        <v>447</v>
      </c>
      <c r="D13091" t="s">
        <v>825</v>
      </c>
      <c r="F13091">
        <v>6.1709948368848102E-9</v>
      </c>
      <c r="G13091">
        <v>15687562</v>
      </c>
      <c r="H13091">
        <v>12310702</v>
      </c>
      <c r="I13091">
        <v>20601171</v>
      </c>
      <c r="J13091">
        <v>6</v>
      </c>
    </row>
    <row r="13092" spans="1:10" x14ac:dyDescent="0.25">
      <c r="A13092" t="s">
        <v>132</v>
      </c>
      <c r="B13092" s="1" t="str">
        <f>HYPERLINK("http://yamasrestaurant.gr","yamasrestaurant.gr")</f>
        <v>yamasrestaurant.gr</v>
      </c>
      <c r="C13092" t="s">
        <v>447</v>
      </c>
      <c r="D13092" t="s">
        <v>825</v>
      </c>
      <c r="J13092">
        <v>6</v>
      </c>
    </row>
    <row r="13093" spans="1:10" x14ac:dyDescent="0.25">
      <c r="A13093" t="s">
        <v>132</v>
      </c>
      <c r="B13093" s="1" t="str">
        <f>HYPERLINK("http://3gimnazija.hr","3gimnazija.hr")</f>
        <v>3gimnazija.hr</v>
      </c>
      <c r="C13093" t="s">
        <v>452</v>
      </c>
      <c r="D13093" t="s">
        <v>829</v>
      </c>
      <c r="J13093">
        <v>7</v>
      </c>
    </row>
    <row r="13094" spans="1:10" x14ac:dyDescent="0.25">
      <c r="A13094" t="s">
        <v>132</v>
      </c>
      <c r="B13094" s="1" t="str">
        <f>HYPERLINK("http://andrijasevci.hr","andrijasevci.hr")</f>
        <v>andrijasevci.hr</v>
      </c>
      <c r="C13094" t="s">
        <v>452</v>
      </c>
      <c r="D13094" t="s">
        <v>829</v>
      </c>
      <c r="F13094">
        <v>7.5325266206483703E-9</v>
      </c>
      <c r="G13094">
        <v>10942271</v>
      </c>
      <c r="H13094">
        <v>14072315</v>
      </c>
      <c r="I13094">
        <v>3116899</v>
      </c>
      <c r="J13094">
        <v>9</v>
      </c>
    </row>
    <row r="13095" spans="1:10" x14ac:dyDescent="0.25">
      <c r="A13095" t="s">
        <v>132</v>
      </c>
      <c r="B13095" s="1" t="str">
        <f>HYPERLINK("http://autoskola-tratincica.hr","autoskola-tratincica.hr")</f>
        <v>autoskola-tratincica.hr</v>
      </c>
      <c r="C13095" t="s">
        <v>452</v>
      </c>
      <c r="D13095" t="s">
        <v>829</v>
      </c>
      <c r="F13095">
        <v>4.7588535242383601E-9</v>
      </c>
      <c r="G13095">
        <v>37879942</v>
      </c>
      <c r="H13095">
        <v>10848802</v>
      </c>
      <c r="I13095">
        <v>36885487</v>
      </c>
      <c r="J13095">
        <v>9</v>
      </c>
    </row>
    <row r="13096" spans="1:10" x14ac:dyDescent="0.25">
      <c r="A13096" t="s">
        <v>132</v>
      </c>
      <c r="B13096" s="1" t="str">
        <f>HYPERLINK("http://bonbon.hr","bonbon.hr")</f>
        <v>bonbon.hr</v>
      </c>
      <c r="C13096" t="s">
        <v>452</v>
      </c>
      <c r="D13096" t="s">
        <v>829</v>
      </c>
      <c r="E13096">
        <v>533056</v>
      </c>
      <c r="F13096">
        <v>2.6847248065358301E-8</v>
      </c>
      <c r="G13096">
        <v>1916049</v>
      </c>
      <c r="H13096">
        <v>14422034</v>
      </c>
      <c r="I13096">
        <v>1085952</v>
      </c>
      <c r="J13096">
        <v>4</v>
      </c>
    </row>
    <row r="13097" spans="1:10" x14ac:dyDescent="0.25">
      <c r="A13097" t="s">
        <v>132</v>
      </c>
      <c r="B13097" s="1" t="str">
        <f>HYPERLINK("http://breznica.hr","breznica.hr")</f>
        <v>breznica.hr</v>
      </c>
      <c r="C13097" t="s">
        <v>452</v>
      </c>
      <c r="D13097" t="s">
        <v>829</v>
      </c>
      <c r="F13097">
        <v>8.6591880404652805E-9</v>
      </c>
      <c r="G13097">
        <v>8550941</v>
      </c>
      <c r="H13097">
        <v>14072810</v>
      </c>
      <c r="I13097">
        <v>3042993</v>
      </c>
      <c r="J13097">
        <v>9</v>
      </c>
    </row>
    <row r="13098" spans="1:10" x14ac:dyDescent="0.25">
      <c r="A13098" t="s">
        <v>132</v>
      </c>
      <c r="B13098" s="1" t="str">
        <f>HYPERLINK("http://brlici.hr","brlici.hr")</f>
        <v>brlici.hr</v>
      </c>
      <c r="C13098" t="s">
        <v>452</v>
      </c>
      <c r="D13098" t="s">
        <v>829</v>
      </c>
      <c r="F13098">
        <v>6.7020164123610699E-9</v>
      </c>
      <c r="G13098">
        <v>13295897</v>
      </c>
      <c r="H13098">
        <v>13939786</v>
      </c>
      <c r="I13098">
        <v>4384101</v>
      </c>
      <c r="J13098">
        <v>7</v>
      </c>
    </row>
    <row r="13099" spans="1:10" x14ac:dyDescent="0.25">
      <c r="A13099" t="s">
        <v>132</v>
      </c>
      <c r="B13099" s="1" t="str">
        <f>HYPERLINK("http://centar-tuskanac.hr","centar-tuskanac.hr")</f>
        <v>centar-tuskanac.hr</v>
      </c>
      <c r="C13099" t="s">
        <v>452</v>
      </c>
      <c r="D13099" t="s">
        <v>829</v>
      </c>
      <c r="F13099">
        <v>4.7867319447571703E-9</v>
      </c>
      <c r="G13099">
        <v>36682489</v>
      </c>
      <c r="H13099">
        <v>11135962</v>
      </c>
      <c r="I13099">
        <v>31879460</v>
      </c>
      <c r="J13099">
        <v>7</v>
      </c>
    </row>
    <row r="13100" spans="1:10" x14ac:dyDescent="0.25">
      <c r="A13100" t="s">
        <v>132</v>
      </c>
      <c r="B13100" s="1" t="str">
        <f>HYPERLINK("http://combis.hr","combis.hr")</f>
        <v>combis.hr</v>
      </c>
      <c r="C13100" t="s">
        <v>452</v>
      </c>
      <c r="D13100" t="s">
        <v>829</v>
      </c>
      <c r="F13100">
        <v>5.8547163499021299E-8</v>
      </c>
      <c r="G13100">
        <v>758496</v>
      </c>
      <c r="H13100">
        <v>14288231</v>
      </c>
      <c r="I13100">
        <v>1368673</v>
      </c>
      <c r="J13100">
        <v>3</v>
      </c>
    </row>
    <row r="13101" spans="1:10" x14ac:dyDescent="0.25">
      <c r="A13101" t="s">
        <v>132</v>
      </c>
      <c r="B13101" s="1" t="str">
        <f>HYPERLINK("http://coor-os.hr","coor-os.hr")</f>
        <v>coor-os.hr</v>
      </c>
      <c r="C13101" t="s">
        <v>452</v>
      </c>
      <c r="D13101" t="s">
        <v>829</v>
      </c>
      <c r="F13101">
        <v>5.5036573922249803E-9</v>
      </c>
      <c r="G13101">
        <v>20859911</v>
      </c>
      <c r="H13101">
        <v>11026643</v>
      </c>
      <c r="I13101">
        <v>33157840</v>
      </c>
      <c r="J13101">
        <v>7</v>
      </c>
    </row>
    <row r="13102" spans="1:10" x14ac:dyDescent="0.25">
      <c r="A13102" t="s">
        <v>132</v>
      </c>
      <c r="B13102" s="1" t="str">
        <f>HYPERLINK("http://coovinkobek.hr","coovinkobek.hr")</f>
        <v>coovinkobek.hr</v>
      </c>
      <c r="C13102" t="s">
        <v>452</v>
      </c>
      <c r="D13102" t="s">
        <v>829</v>
      </c>
      <c r="F13102">
        <v>6.6540504486345001E-9</v>
      </c>
      <c r="G13102">
        <v>13470249</v>
      </c>
      <c r="H13102">
        <v>14072284</v>
      </c>
      <c r="I13102">
        <v>3121691</v>
      </c>
      <c r="J13102">
        <v>7</v>
      </c>
    </row>
    <row r="13103" spans="1:10" x14ac:dyDescent="0.25">
      <c r="A13103" t="s">
        <v>132</v>
      </c>
      <c r="B13103" s="1" t="str">
        <f>HYPERLINK("http://ees.hr","ees.hr")</f>
        <v>ees.hr</v>
      </c>
      <c r="C13103" t="s">
        <v>452</v>
      </c>
      <c r="D13103" t="s">
        <v>829</v>
      </c>
      <c r="F13103">
        <v>4.7010582063869499E-9</v>
      </c>
      <c r="G13103">
        <v>41179460</v>
      </c>
      <c r="H13103">
        <v>10729072</v>
      </c>
      <c r="I13103">
        <v>41004458</v>
      </c>
      <c r="J13103">
        <v>7</v>
      </c>
    </row>
    <row r="13104" spans="1:10" x14ac:dyDescent="0.25">
      <c r="A13104" t="s">
        <v>132</v>
      </c>
      <c r="B13104" s="1" t="str">
        <f>HYPERLINK("http://ggg.hr","ggg.hr")</f>
        <v>ggg.hr</v>
      </c>
      <c r="C13104" t="s">
        <v>452</v>
      </c>
      <c r="D13104" t="s">
        <v>829</v>
      </c>
      <c r="F13104">
        <v>5.0928753421979999E-9</v>
      </c>
      <c r="G13104">
        <v>27228615</v>
      </c>
      <c r="H13104">
        <v>12444794</v>
      </c>
      <c r="I13104">
        <v>18087261</v>
      </c>
      <c r="J13104">
        <v>7</v>
      </c>
    </row>
    <row r="13105" spans="1:10" x14ac:dyDescent="0.25">
      <c r="A13105" t="s">
        <v>132</v>
      </c>
      <c r="B13105" s="1" t="str">
        <f>HYPERLINK("http://gk-labin.hr","gk-labin.hr")</f>
        <v>gk-labin.hr</v>
      </c>
      <c r="C13105" t="s">
        <v>452</v>
      </c>
      <c r="D13105" t="s">
        <v>829</v>
      </c>
      <c r="F13105">
        <v>7.5454882006988196E-9</v>
      </c>
      <c r="G13105">
        <v>10914874</v>
      </c>
      <c r="H13105">
        <v>14071995</v>
      </c>
      <c r="I13105">
        <v>3190927</v>
      </c>
      <c r="J13105">
        <v>5</v>
      </c>
    </row>
    <row r="13106" spans="1:10" x14ac:dyDescent="0.25">
      <c r="A13106" t="s">
        <v>132</v>
      </c>
      <c r="B13106" s="1" t="str">
        <f>HYPERLINK("http://glazbena-skola-pozega.hr","glazbena-skola-pozega.hr")</f>
        <v>glazbena-skola-pozega.hr</v>
      </c>
      <c r="C13106" t="s">
        <v>452</v>
      </c>
      <c r="D13106" t="s">
        <v>829</v>
      </c>
      <c r="F13106">
        <v>5.71848842956071E-9</v>
      </c>
      <c r="G13106">
        <v>18763033</v>
      </c>
      <c r="H13106">
        <v>11004874</v>
      </c>
      <c r="I13106">
        <v>33493596</v>
      </c>
      <c r="J13106">
        <v>5</v>
      </c>
    </row>
    <row r="13107" spans="1:10" x14ac:dyDescent="0.25">
      <c r="A13107" t="s">
        <v>132</v>
      </c>
      <c r="B13107" s="1" t="str">
        <f>HYPERLINK("http://hinet.hr","hinet.hr")</f>
        <v>hinet.hr</v>
      </c>
      <c r="C13107" t="s">
        <v>452</v>
      </c>
      <c r="D13107" t="s">
        <v>829</v>
      </c>
      <c r="E13107">
        <v>887790</v>
      </c>
      <c r="F13107">
        <v>5.63778342114598E-8</v>
      </c>
      <c r="G13107">
        <v>793484</v>
      </c>
      <c r="H13107">
        <v>14243998</v>
      </c>
      <c r="I13107">
        <v>1474201</v>
      </c>
      <c r="J13107">
        <v>9</v>
      </c>
    </row>
    <row r="13108" spans="1:10" x14ac:dyDescent="0.25">
      <c r="A13108" t="s">
        <v>132</v>
      </c>
      <c r="B13108" s="1" t="str">
        <f>HYPERLINK("http://holex.hr","holex.hr")</f>
        <v>holex.hr</v>
      </c>
      <c r="C13108" t="s">
        <v>452</v>
      </c>
      <c r="D13108" t="s">
        <v>829</v>
      </c>
      <c r="F13108">
        <v>4.44653465204113E-9</v>
      </c>
      <c r="G13108">
        <v>74218183</v>
      </c>
      <c r="H13108">
        <v>10808070</v>
      </c>
      <c r="I13108">
        <v>37925252</v>
      </c>
      <c r="J13108">
        <v>9</v>
      </c>
    </row>
    <row r="13109" spans="1:10" x14ac:dyDescent="0.25">
      <c r="A13109" t="s">
        <v>132</v>
      </c>
      <c r="B13109" s="1" t="str">
        <f>HYPERLINK("http://hotel-pinia.hr","hotel-pinia.hr")</f>
        <v>hotel-pinia.hr</v>
      </c>
      <c r="C13109" t="s">
        <v>452</v>
      </c>
      <c r="D13109" t="s">
        <v>829</v>
      </c>
      <c r="F13109">
        <v>5.7488133225490303E-9</v>
      </c>
      <c r="G13109">
        <v>18506736</v>
      </c>
      <c r="H13109">
        <v>12314650</v>
      </c>
      <c r="I13109">
        <v>20520603</v>
      </c>
      <c r="J13109">
        <v>9</v>
      </c>
    </row>
    <row r="13110" spans="1:10" x14ac:dyDescent="0.25">
      <c r="A13110" t="s">
        <v>132</v>
      </c>
      <c r="B13110" s="1" t="str">
        <f>HYPERLINK("http://ht.hr","ht.hr")</f>
        <v>ht.hr</v>
      </c>
      <c r="C13110" t="s">
        <v>452</v>
      </c>
      <c r="D13110" t="s">
        <v>829</v>
      </c>
      <c r="E13110">
        <v>32138</v>
      </c>
      <c r="F13110">
        <v>1.2133199371234999E-7</v>
      </c>
      <c r="G13110">
        <v>325496</v>
      </c>
      <c r="H13110">
        <v>14961360</v>
      </c>
      <c r="I13110">
        <v>436862</v>
      </c>
      <c r="J13110">
        <v>3</v>
      </c>
    </row>
    <row r="13111" spans="1:10" x14ac:dyDescent="0.25">
      <c r="A13111" t="s">
        <v>132</v>
      </c>
      <c r="B13111" s="1" t="str">
        <f>HYPERLINK("http://htnet.hr","htnet.hr")</f>
        <v>htnet.hr</v>
      </c>
      <c r="C13111" t="s">
        <v>452</v>
      </c>
      <c r="D13111" t="s">
        <v>829</v>
      </c>
      <c r="E13111">
        <v>245131</v>
      </c>
      <c r="F13111">
        <v>1.3785508757394199E-7</v>
      </c>
      <c r="G13111">
        <v>282671</v>
      </c>
      <c r="H13111">
        <v>14921326</v>
      </c>
      <c r="I13111">
        <v>451481</v>
      </c>
      <c r="J13111">
        <v>7</v>
      </c>
    </row>
    <row r="13112" spans="1:10" x14ac:dyDescent="0.25">
      <c r="A13112" t="s">
        <v>132</v>
      </c>
      <c r="B13112" s="1" t="str">
        <f>HYPERLINK("http://inet.hr","inet.hr")</f>
        <v>inet.hr</v>
      </c>
      <c r="C13112" t="s">
        <v>452</v>
      </c>
      <c r="D13112" t="s">
        <v>829</v>
      </c>
      <c r="E13112">
        <v>305422</v>
      </c>
      <c r="F13112">
        <v>1.6246274572722701E-7</v>
      </c>
      <c r="G13112">
        <v>238921</v>
      </c>
      <c r="H13112">
        <v>17083860</v>
      </c>
      <c r="I13112">
        <v>67410</v>
      </c>
      <c r="J13112">
        <v>7</v>
      </c>
    </row>
    <row r="13113" spans="1:10" x14ac:dyDescent="0.25">
      <c r="A13113" t="s">
        <v>132</v>
      </c>
      <c r="B13113" s="1" t="str">
        <f>HYPERLINK("http://iskon.hr","iskon.hr")</f>
        <v>iskon.hr</v>
      </c>
      <c r="C13113" t="s">
        <v>452</v>
      </c>
      <c r="D13113" t="s">
        <v>829</v>
      </c>
      <c r="E13113">
        <v>31076</v>
      </c>
      <c r="F13113">
        <v>1.51264875236805E-7</v>
      </c>
      <c r="G13113">
        <v>256796</v>
      </c>
      <c r="H13113">
        <v>16992224</v>
      </c>
      <c r="I13113">
        <v>95377</v>
      </c>
      <c r="J13113">
        <v>3</v>
      </c>
    </row>
    <row r="13114" spans="1:10" x14ac:dyDescent="0.25">
      <c r="A13114" t="s">
        <v>132</v>
      </c>
      <c r="B13114" s="1" t="str">
        <f>HYPERLINK("http://kavana-queen.hr","kavana-queen.hr")</f>
        <v>kavana-queen.hr</v>
      </c>
      <c r="C13114" t="s">
        <v>452</v>
      </c>
      <c r="D13114" t="s">
        <v>829</v>
      </c>
      <c r="J13114">
        <v>9</v>
      </c>
    </row>
    <row r="13115" spans="1:10" x14ac:dyDescent="0.25">
      <c r="A13115" t="s">
        <v>132</v>
      </c>
      <c r="B13115" s="1" t="str">
        <f>HYPERLINK("http://konjscina.hr","konjscina.hr")</f>
        <v>konjscina.hr</v>
      </c>
      <c r="C13115" t="s">
        <v>452</v>
      </c>
      <c r="D13115" t="s">
        <v>829</v>
      </c>
      <c r="F13115">
        <v>1.03496618669715E-8</v>
      </c>
      <c r="G13115">
        <v>6404997</v>
      </c>
      <c r="H13115">
        <v>14099172</v>
      </c>
      <c r="I13115">
        <v>2712789</v>
      </c>
      <c r="J13115">
        <v>9</v>
      </c>
    </row>
    <row r="13116" spans="1:10" x14ac:dyDescent="0.25">
      <c r="A13116" t="s">
        <v>132</v>
      </c>
      <c r="B13116" s="1" t="str">
        <f>HYPERLINK("http://marija-bistrica.hr","marija-bistrica.hr")</f>
        <v>marija-bistrica.hr</v>
      </c>
      <c r="C13116" t="s">
        <v>452</v>
      </c>
      <c r="D13116" t="s">
        <v>829</v>
      </c>
      <c r="F13116">
        <v>1.3579720882472801E-8</v>
      </c>
      <c r="G13116">
        <v>4370217</v>
      </c>
      <c r="H13116">
        <v>14078387</v>
      </c>
      <c r="I13116">
        <v>2847681</v>
      </c>
      <c r="J13116">
        <v>9</v>
      </c>
    </row>
    <row r="13117" spans="1:10" x14ac:dyDescent="0.25">
      <c r="A13117" t="s">
        <v>132</v>
      </c>
      <c r="B13117" s="1" t="str">
        <f>HYPERLINK("http://okucani.hr","okucani.hr")</f>
        <v>okucani.hr</v>
      </c>
      <c r="C13117" t="s">
        <v>452</v>
      </c>
      <c r="D13117" t="s">
        <v>829</v>
      </c>
      <c r="F13117">
        <v>8.31383568555311E-9</v>
      </c>
      <c r="G13117">
        <v>9225575</v>
      </c>
      <c r="H13117">
        <v>14071797</v>
      </c>
      <c r="I13117">
        <v>3327441</v>
      </c>
      <c r="J13117">
        <v>9</v>
      </c>
    </row>
    <row r="13118" spans="1:10" x14ac:dyDescent="0.25">
      <c r="A13118" t="s">
        <v>132</v>
      </c>
      <c r="B13118" s="1" t="str">
        <f>HYPERLINK("http://opcina-hrascina.hr","opcina-hrascina.hr")</f>
        <v>opcina-hrascina.hr</v>
      </c>
      <c r="C13118" t="s">
        <v>452</v>
      </c>
      <c r="D13118" t="s">
        <v>829</v>
      </c>
      <c r="F13118">
        <v>5.93965719113052E-9</v>
      </c>
      <c r="G13118">
        <v>17088638</v>
      </c>
      <c r="H13118">
        <v>14071892</v>
      </c>
      <c r="I13118">
        <v>3236215</v>
      </c>
      <c r="J13118">
        <v>9</v>
      </c>
    </row>
    <row r="13119" spans="1:10" x14ac:dyDescent="0.25">
      <c r="A13119" t="s">
        <v>132</v>
      </c>
      <c r="B13119" s="1" t="str">
        <f>HYPERLINK("http://opcina-kukljica.hr","opcina-kukljica.hr")</f>
        <v>opcina-kukljica.hr</v>
      </c>
      <c r="C13119" t="s">
        <v>452</v>
      </c>
      <c r="D13119" t="s">
        <v>829</v>
      </c>
      <c r="F13119">
        <v>5.4672402529139802E-9</v>
      </c>
      <c r="G13119">
        <v>21275841</v>
      </c>
      <c r="H13119">
        <v>14071794</v>
      </c>
      <c r="I13119">
        <v>3350632</v>
      </c>
      <c r="J13119">
        <v>9</v>
      </c>
    </row>
    <row r="13120" spans="1:10" x14ac:dyDescent="0.25">
      <c r="A13120" t="s">
        <v>132</v>
      </c>
      <c r="B13120" s="1" t="str">
        <f>HYPERLINK("http://opcina-orle.hr","opcina-orle.hr")</f>
        <v>opcina-orle.hr</v>
      </c>
      <c r="C13120" t="s">
        <v>452</v>
      </c>
      <c r="D13120" t="s">
        <v>829</v>
      </c>
      <c r="F13120">
        <v>1.11145803279131E-8</v>
      </c>
      <c r="G13120">
        <v>5774772</v>
      </c>
      <c r="H13120">
        <v>14073237</v>
      </c>
      <c r="I13120">
        <v>3007605</v>
      </c>
      <c r="J13120">
        <v>5</v>
      </c>
    </row>
    <row r="13121" spans="1:10" x14ac:dyDescent="0.25">
      <c r="A13121" t="s">
        <v>132</v>
      </c>
      <c r="B13121" s="1" t="str">
        <f>HYPERLINK("http://opcina-prgomet.hr","opcina-prgomet.hr")</f>
        <v>opcina-prgomet.hr</v>
      </c>
      <c r="C13121" t="s">
        <v>452</v>
      </c>
      <c r="D13121" t="s">
        <v>829</v>
      </c>
      <c r="F13121">
        <v>5.3693212220776497E-9</v>
      </c>
      <c r="G13121">
        <v>22550661</v>
      </c>
      <c r="H13121">
        <v>14071791</v>
      </c>
      <c r="I13121">
        <v>3445573</v>
      </c>
      <c r="J13121">
        <v>9</v>
      </c>
    </row>
    <row r="13122" spans="1:10" x14ac:dyDescent="0.25">
      <c r="A13122" t="s">
        <v>132</v>
      </c>
      <c r="B13122" s="1" t="str">
        <f>HYPERLINK("http://opcina-vrbnik.hr","opcina-vrbnik.hr")</f>
        <v>opcina-vrbnik.hr</v>
      </c>
      <c r="C13122" t="s">
        <v>452</v>
      </c>
      <c r="D13122" t="s">
        <v>829</v>
      </c>
      <c r="F13122">
        <v>7.6191516885192797E-9</v>
      </c>
      <c r="G13122">
        <v>10755334</v>
      </c>
      <c r="H13122">
        <v>14072359</v>
      </c>
      <c r="I13122">
        <v>3110339</v>
      </c>
      <c r="J13122">
        <v>9</v>
      </c>
    </row>
    <row r="13123" spans="1:10" x14ac:dyDescent="0.25">
      <c r="A13123" t="s">
        <v>132</v>
      </c>
      <c r="B13123" s="1" t="str">
        <f>HYPERLINK("http://opcinaseget.hr","opcinaseget.hr")</f>
        <v>opcinaseget.hr</v>
      </c>
      <c r="C13123" t="s">
        <v>452</v>
      </c>
      <c r="D13123" t="s">
        <v>829</v>
      </c>
      <c r="F13123">
        <v>5.5995879370131302E-9</v>
      </c>
      <c r="G13123">
        <v>19861654</v>
      </c>
      <c r="H13123">
        <v>14071794</v>
      </c>
      <c r="I13123">
        <v>3350636</v>
      </c>
      <c r="J13123">
        <v>9</v>
      </c>
    </row>
    <row r="13124" spans="1:10" x14ac:dyDescent="0.25">
      <c r="A13124" t="s">
        <v>132</v>
      </c>
      <c r="B13124" s="1" t="str">
        <f>HYPERLINK("http://os-gospic.hr","os-gospic.hr")</f>
        <v>os-gospic.hr</v>
      </c>
      <c r="C13124" t="s">
        <v>452</v>
      </c>
      <c r="D13124" t="s">
        <v>829</v>
      </c>
      <c r="F13124">
        <v>7.39501450228224E-9</v>
      </c>
      <c r="G13124">
        <v>11255301</v>
      </c>
      <c r="H13124">
        <v>12470842</v>
      </c>
      <c r="I13124">
        <v>17739426</v>
      </c>
      <c r="J13124">
        <v>7</v>
      </c>
    </row>
    <row r="13125" spans="1:10" x14ac:dyDescent="0.25">
      <c r="A13125" t="s">
        <v>132</v>
      </c>
      <c r="B13125" s="1" t="str">
        <f>HYPERLINK("http://os-icankara.hr","os-icankara.hr")</f>
        <v>os-icankara.hr</v>
      </c>
      <c r="C13125" t="s">
        <v>452</v>
      </c>
      <c r="D13125" t="s">
        <v>829</v>
      </c>
      <c r="F13125">
        <v>8.0515522425552606E-9</v>
      </c>
      <c r="G13125">
        <v>9827566</v>
      </c>
      <c r="H13125">
        <v>12443526</v>
      </c>
      <c r="I13125">
        <v>18100754</v>
      </c>
      <c r="J13125">
        <v>7</v>
      </c>
    </row>
    <row r="13126" spans="1:10" x14ac:dyDescent="0.25">
      <c r="A13126" t="s">
        <v>132</v>
      </c>
      <c r="B13126" s="1" t="str">
        <f>HYPERLINK("http://os-j-racica.hr","os-j-racica.hr")</f>
        <v>os-j-racica.hr</v>
      </c>
      <c r="C13126" t="s">
        <v>452</v>
      </c>
      <c r="D13126" t="s">
        <v>829</v>
      </c>
      <c r="F13126">
        <v>5.6753217610511598E-9</v>
      </c>
      <c r="G13126">
        <v>19171371</v>
      </c>
      <c r="H13126">
        <v>14020444</v>
      </c>
      <c r="I13126">
        <v>3984952</v>
      </c>
      <c r="J13126">
        <v>7</v>
      </c>
    </row>
    <row r="13127" spans="1:10" x14ac:dyDescent="0.25">
      <c r="A13127" t="s">
        <v>132</v>
      </c>
      <c r="B13127" s="1" t="str">
        <f>HYPERLINK("http://os-ljgaj-mihovljan.hr","os-ljgaj-mihovljan.hr")</f>
        <v>os-ljgaj-mihovljan.hr</v>
      </c>
      <c r="C13127" t="s">
        <v>452</v>
      </c>
      <c r="D13127" t="s">
        <v>829</v>
      </c>
      <c r="J13127">
        <v>7</v>
      </c>
    </row>
    <row r="13128" spans="1:10" x14ac:dyDescent="0.25">
      <c r="A13128" t="s">
        <v>132</v>
      </c>
      <c r="B13128" s="1" t="str">
        <f>HYPERLINK("http://os-novska.hr","os-novska.hr")</f>
        <v>os-novska.hr</v>
      </c>
      <c r="C13128" t="s">
        <v>452</v>
      </c>
      <c r="D13128" t="s">
        <v>829</v>
      </c>
      <c r="F13128">
        <v>8.2796740900242902E-9</v>
      </c>
      <c r="G13128">
        <v>9306139</v>
      </c>
      <c r="H13128">
        <v>12637382</v>
      </c>
      <c r="I13128">
        <v>15894607</v>
      </c>
      <c r="J13128">
        <v>7</v>
      </c>
    </row>
    <row r="13129" spans="1:10" x14ac:dyDescent="0.25">
      <c r="A13129" t="s">
        <v>132</v>
      </c>
      <c r="B13129" s="1" t="str">
        <f>HYPERLINK("http://os-ruzicnjak.hr","os-ruzicnjak.hr")</f>
        <v>os-ruzicnjak.hr</v>
      </c>
      <c r="C13129" t="s">
        <v>452</v>
      </c>
      <c r="D13129" t="s">
        <v>829</v>
      </c>
      <c r="F13129">
        <v>5.0888858203715503E-9</v>
      </c>
      <c r="G13129">
        <v>27312182</v>
      </c>
      <c r="H13129">
        <v>10879643</v>
      </c>
      <c r="I13129">
        <v>36336469</v>
      </c>
      <c r="J13129">
        <v>7</v>
      </c>
    </row>
    <row r="13130" spans="1:10" x14ac:dyDescent="0.25">
      <c r="A13130" t="s">
        <v>132</v>
      </c>
      <c r="B13130" s="1" t="str">
        <f>HYPERLINK("http://os-voltino.hr","os-voltino.hr")</f>
        <v>os-voltino.hr</v>
      </c>
      <c r="C13130" t="s">
        <v>452</v>
      </c>
      <c r="D13130" t="s">
        <v>829</v>
      </c>
      <c r="F13130">
        <v>5.72371400608419E-9</v>
      </c>
      <c r="G13130">
        <v>18717427</v>
      </c>
      <c r="H13130">
        <v>12150599</v>
      </c>
      <c r="I13130">
        <v>24605145</v>
      </c>
      <c r="J13130">
        <v>7</v>
      </c>
    </row>
    <row r="13131" spans="1:10" x14ac:dyDescent="0.25">
      <c r="A13131" t="s">
        <v>132</v>
      </c>
      <c r="B13131" s="1" t="str">
        <f>HYPERLINK("http://oskajzerica.hr","oskajzerica.hr")</f>
        <v>oskajzerica.hr</v>
      </c>
      <c r="C13131" t="s">
        <v>452</v>
      </c>
      <c r="D13131" t="s">
        <v>829</v>
      </c>
      <c r="F13131">
        <v>6.29886700244544E-9</v>
      </c>
      <c r="G13131">
        <v>15038086</v>
      </c>
      <c r="H13131">
        <v>12182984</v>
      </c>
      <c r="I13131">
        <v>23736780</v>
      </c>
      <c r="J13131">
        <v>7</v>
      </c>
    </row>
    <row r="13132" spans="1:10" x14ac:dyDescent="0.25">
      <c r="A13132" t="s">
        <v>132</v>
      </c>
      <c r="B13132" s="1" t="str">
        <f>HYPERLINK("http://osmalesnica.hr","osmalesnica.hr")</f>
        <v>osmalesnica.hr</v>
      </c>
      <c r="C13132" t="s">
        <v>452</v>
      </c>
      <c r="D13132" t="s">
        <v>829</v>
      </c>
      <c r="J13132">
        <v>7</v>
      </c>
    </row>
    <row r="13133" spans="1:10" x14ac:dyDescent="0.25">
      <c r="A13133" t="s">
        <v>132</v>
      </c>
      <c r="B13133" s="1" t="str">
        <f>HYPERLINK("http://ossracinec.hr","ossracinec.hr")</f>
        <v>ossracinec.hr</v>
      </c>
      <c r="C13133" t="s">
        <v>452</v>
      </c>
      <c r="D13133" t="s">
        <v>829</v>
      </c>
      <c r="J13133">
        <v>7</v>
      </c>
    </row>
    <row r="13134" spans="1:10" x14ac:dyDescent="0.25">
      <c r="A13134" t="s">
        <v>132</v>
      </c>
      <c r="B13134" s="1" t="str">
        <f>HYPERLINK("http://osvrbani.hr","osvrbani.hr")</f>
        <v>osvrbani.hr</v>
      </c>
      <c r="C13134" t="s">
        <v>452</v>
      </c>
      <c r="D13134" t="s">
        <v>829</v>
      </c>
      <c r="J13134">
        <v>7</v>
      </c>
    </row>
    <row r="13135" spans="1:10" x14ac:dyDescent="0.25">
      <c r="A13135" t="s">
        <v>132</v>
      </c>
      <c r="B13135" s="1" t="str">
        <f>HYPERLINK("http://otok.hr","otok.hr")</f>
        <v>otok.hr</v>
      </c>
      <c r="C13135" t="s">
        <v>452</v>
      </c>
      <c r="D13135" t="s">
        <v>829</v>
      </c>
      <c r="F13135">
        <v>7.9591459130420497E-9</v>
      </c>
      <c r="G13135">
        <v>9996487</v>
      </c>
      <c r="H13135">
        <v>14072452</v>
      </c>
      <c r="I13135">
        <v>3090741</v>
      </c>
      <c r="J13135">
        <v>9</v>
      </c>
    </row>
    <row r="13136" spans="1:10" x14ac:dyDescent="0.25">
      <c r="A13136" t="s">
        <v>132</v>
      </c>
      <c r="B13136" s="1" t="str">
        <f>HYPERLINK("http://petagimnazija.hr","petagimnazija.hr")</f>
        <v>petagimnazija.hr</v>
      </c>
      <c r="C13136" t="s">
        <v>452</v>
      </c>
      <c r="D13136" t="s">
        <v>829</v>
      </c>
      <c r="F13136">
        <v>1.1126505389349699E-8</v>
      </c>
      <c r="G13136">
        <v>5766141</v>
      </c>
      <c r="H13136">
        <v>14021894</v>
      </c>
      <c r="I13136">
        <v>3980919</v>
      </c>
      <c r="J13136">
        <v>7</v>
      </c>
    </row>
    <row r="13137" spans="1:10" x14ac:dyDescent="0.25">
      <c r="A13137" t="s">
        <v>132</v>
      </c>
      <c r="B13137" s="1" t="str">
        <f>HYPERLINK("http://pozgajec.hr","pozgajec.hr")</f>
        <v>pozgajec.hr</v>
      </c>
      <c r="C13137" t="s">
        <v>452</v>
      </c>
      <c r="D13137" t="s">
        <v>829</v>
      </c>
      <c r="J13137">
        <v>9</v>
      </c>
    </row>
    <row r="13138" spans="1:10" x14ac:dyDescent="0.25">
      <c r="A13138" t="s">
        <v>132</v>
      </c>
      <c r="B13138" s="1" t="str">
        <f>HYPERLINK("http://pp-ucka.hr","pp-ucka.hr")</f>
        <v>pp-ucka.hr</v>
      </c>
      <c r="C13138" t="s">
        <v>452</v>
      </c>
      <c r="D13138" t="s">
        <v>829</v>
      </c>
      <c r="F13138">
        <v>7.3863363102580505E-8</v>
      </c>
      <c r="G13138">
        <v>570172</v>
      </c>
      <c r="H13138">
        <v>14686579</v>
      </c>
      <c r="I13138">
        <v>604571</v>
      </c>
      <c r="J13138">
        <v>9</v>
      </c>
    </row>
    <row r="13139" spans="1:10" x14ac:dyDescent="0.25">
      <c r="A13139" t="s">
        <v>132</v>
      </c>
      <c r="B13139" s="1" t="str">
        <f>HYPERLINK("http://primosten.hr","primosten.hr")</f>
        <v>primosten.hr</v>
      </c>
      <c r="C13139" t="s">
        <v>452</v>
      </c>
      <c r="D13139" t="s">
        <v>829</v>
      </c>
      <c r="F13139">
        <v>1.39786788626801E-8</v>
      </c>
      <c r="G13139">
        <v>4210774</v>
      </c>
      <c r="H13139">
        <v>14151705</v>
      </c>
      <c r="I13139">
        <v>1872301</v>
      </c>
      <c r="J13139">
        <v>9</v>
      </c>
    </row>
    <row r="13140" spans="1:10" x14ac:dyDescent="0.25">
      <c r="A13140" t="s">
        <v>132</v>
      </c>
      <c r="B13140" s="1" t="str">
        <f>HYPERLINK("http://prva-ekonomska-skola.hr","prva-ekonomska-skola.hr")</f>
        <v>prva-ekonomska-skola.hr</v>
      </c>
      <c r="C13140" t="s">
        <v>452</v>
      </c>
      <c r="D13140" t="s">
        <v>829</v>
      </c>
      <c r="J13140">
        <v>7</v>
      </c>
    </row>
    <row r="13141" spans="1:10" x14ac:dyDescent="0.25">
      <c r="A13141" t="s">
        <v>132</v>
      </c>
      <c r="B13141" s="1" t="str">
        <f>HYPERLINK("http://radio-rab.hr","radio-rab.hr")</f>
        <v>radio-rab.hr</v>
      </c>
      <c r="C13141" t="s">
        <v>452</v>
      </c>
      <c r="D13141" t="s">
        <v>829</v>
      </c>
      <c r="F13141">
        <v>7.0184948414500396E-9</v>
      </c>
      <c r="G13141">
        <v>12257798</v>
      </c>
      <c r="H13141">
        <v>12120687</v>
      </c>
      <c r="I13141">
        <v>25387542</v>
      </c>
      <c r="J13141">
        <v>9</v>
      </c>
    </row>
    <row r="13142" spans="1:10" x14ac:dyDescent="0.25">
      <c r="A13142" t="s">
        <v>132</v>
      </c>
      <c r="B13142" s="1" t="str">
        <f>HYPERLINK("http://rentacardubrovnik.hr","rentacardubrovnik.hr")</f>
        <v>rentacardubrovnik.hr</v>
      </c>
      <c r="C13142" t="s">
        <v>452</v>
      </c>
      <c r="D13142" t="s">
        <v>829</v>
      </c>
      <c r="F13142">
        <v>5.3470310054259804E-9</v>
      </c>
      <c r="G13142">
        <v>22841271</v>
      </c>
      <c r="H13142">
        <v>12365087</v>
      </c>
      <c r="I13142">
        <v>19497321</v>
      </c>
      <c r="J13142">
        <v>9</v>
      </c>
    </row>
    <row r="13143" spans="1:10" x14ac:dyDescent="0.25">
      <c r="A13143" t="s">
        <v>132</v>
      </c>
      <c r="B13143" s="1" t="str">
        <f>HYPERLINK("http://skole.hr","skole.hr")</f>
        <v>skole.hr</v>
      </c>
      <c r="C13143" t="s">
        <v>452</v>
      </c>
      <c r="D13143" t="s">
        <v>829</v>
      </c>
      <c r="E13143">
        <v>41139</v>
      </c>
      <c r="F13143">
        <v>6.9271454263188105E-7</v>
      </c>
      <c r="G13143">
        <v>55745</v>
      </c>
      <c r="H13143">
        <v>15298836</v>
      </c>
      <c r="I13143">
        <v>386177</v>
      </c>
      <c r="J13143">
        <v>5</v>
      </c>
    </row>
    <row r="13144" spans="1:10" x14ac:dyDescent="0.25">
      <c r="A13144" t="s">
        <v>132</v>
      </c>
      <c r="B13144" s="1" t="str">
        <f>HYPERLINK("http://smimk.hr","smimk.hr")</f>
        <v>smimk.hr</v>
      </c>
      <c r="C13144" t="s">
        <v>452</v>
      </c>
      <c r="D13144" t="s">
        <v>829</v>
      </c>
      <c r="J13144">
        <v>7</v>
      </c>
    </row>
    <row r="13145" spans="1:10" x14ac:dyDescent="0.25">
      <c r="A13145" t="s">
        <v>132</v>
      </c>
      <c r="B13145" s="1" t="str">
        <f>HYPERLINK("http://srednjastrukovnaskolavinkovci.hr","srednjastrukovnaskolavinkovci.hr")</f>
        <v>srednjastrukovnaskolavinkovci.hr</v>
      </c>
      <c r="C13145" t="s">
        <v>452</v>
      </c>
      <c r="D13145" t="s">
        <v>829</v>
      </c>
      <c r="F13145">
        <v>4.7057853723948599E-9</v>
      </c>
      <c r="G13145">
        <v>40946157</v>
      </c>
      <c r="H13145">
        <v>10742812</v>
      </c>
      <c r="I13145">
        <v>40316352</v>
      </c>
      <c r="J13145">
        <v>7</v>
      </c>
    </row>
    <row r="13146" spans="1:10" x14ac:dyDescent="0.25">
      <c r="A13146" t="s">
        <v>132</v>
      </c>
      <c r="B13146" s="1" t="str">
        <f>HYPERLINK("http://ss-czoio.hr","ss-czoio.hr")</f>
        <v>ss-czoio.hr</v>
      </c>
      <c r="C13146" t="s">
        <v>452</v>
      </c>
      <c r="D13146" t="s">
        <v>829</v>
      </c>
      <c r="F13146">
        <v>2.2186573181824901E-8</v>
      </c>
      <c r="G13146">
        <v>2364076</v>
      </c>
      <c r="H13146">
        <v>13277290</v>
      </c>
      <c r="I13146">
        <v>10924074</v>
      </c>
      <c r="J13146">
        <v>7</v>
      </c>
    </row>
    <row r="13147" spans="1:10" x14ac:dyDescent="0.25">
      <c r="A13147" t="s">
        <v>132</v>
      </c>
      <c r="B13147" s="1" t="str">
        <f>HYPERLINK("http://ssilok.hr","ssilok.hr")</f>
        <v>ssilok.hr</v>
      </c>
      <c r="C13147" t="s">
        <v>452</v>
      </c>
      <c r="D13147" t="s">
        <v>829</v>
      </c>
      <c r="F13147">
        <v>4.4438136526760601E-9</v>
      </c>
      <c r="G13147">
        <v>79488683</v>
      </c>
      <c r="H13147">
        <v>10434388</v>
      </c>
      <c r="I13147">
        <v>52836260</v>
      </c>
      <c r="J13147">
        <v>7</v>
      </c>
    </row>
    <row r="13148" spans="1:10" x14ac:dyDescent="0.25">
      <c r="A13148" t="s">
        <v>132</v>
      </c>
      <c r="B13148" s="1" t="str">
        <f>HYPERLINK("http://staropetrovoselo.hr","staropetrovoselo.hr")</f>
        <v>staropetrovoselo.hr</v>
      </c>
      <c r="C13148" t="s">
        <v>452</v>
      </c>
      <c r="D13148" t="s">
        <v>829</v>
      </c>
      <c r="F13148">
        <v>1.5411685169508701E-8</v>
      </c>
      <c r="G13148">
        <v>3710616</v>
      </c>
      <c r="H13148">
        <v>14278308</v>
      </c>
      <c r="I13148">
        <v>1385745</v>
      </c>
      <c r="J13148">
        <v>9</v>
      </c>
    </row>
    <row r="13149" spans="1:10" x14ac:dyDescent="0.25">
      <c r="A13149" t="s">
        <v>132</v>
      </c>
      <c r="B13149" s="1" t="str">
        <f>HYPERLINK("http://tcloud.hr","tcloud.hr")</f>
        <v>tcloud.hr</v>
      </c>
      <c r="C13149" t="s">
        <v>452</v>
      </c>
      <c r="D13149" t="s">
        <v>829</v>
      </c>
      <c r="F13149">
        <v>4.7266717107334E-9</v>
      </c>
      <c r="G13149">
        <v>39509744</v>
      </c>
      <c r="H13149">
        <v>9506193</v>
      </c>
      <c r="I13149">
        <v>65640252</v>
      </c>
      <c r="J13149">
        <v>7</v>
      </c>
    </row>
    <row r="13150" spans="1:10" x14ac:dyDescent="0.25">
      <c r="A13150" t="s">
        <v>132</v>
      </c>
      <c r="B13150" s="1" t="str">
        <f>HYPERLINK("http://tes.hr","tes.hr")</f>
        <v>tes.hr</v>
      </c>
      <c r="C13150" t="s">
        <v>452</v>
      </c>
      <c r="D13150" t="s">
        <v>829</v>
      </c>
      <c r="J13150">
        <v>7</v>
      </c>
    </row>
    <row r="13151" spans="1:10" x14ac:dyDescent="0.25">
      <c r="A13151" t="s">
        <v>132</v>
      </c>
      <c r="B13151" s="1" t="str">
        <f>HYPERLINK("http://utu.hr","utu.hr")</f>
        <v>utu.hr</v>
      </c>
      <c r="C13151" t="s">
        <v>452</v>
      </c>
      <c r="D13151" t="s">
        <v>829</v>
      </c>
      <c r="J13151">
        <v>7</v>
      </c>
    </row>
    <row r="13152" spans="1:10" x14ac:dyDescent="0.25">
      <c r="A13152" t="s">
        <v>132</v>
      </c>
      <c r="B13152" s="1" t="str">
        <f>HYPERLINK("http://vsvu.hr","vsvu.hr")</f>
        <v>vsvu.hr</v>
      </c>
      <c r="C13152" t="s">
        <v>452</v>
      </c>
      <c r="D13152" t="s">
        <v>829</v>
      </c>
      <c r="F13152">
        <v>4.7266815738951503E-9</v>
      </c>
      <c r="G13152">
        <v>39509316</v>
      </c>
      <c r="H13152">
        <v>10773442</v>
      </c>
      <c r="I13152">
        <v>39121952</v>
      </c>
      <c r="J13152">
        <v>9</v>
      </c>
    </row>
    <row r="13153" spans="1:10" x14ac:dyDescent="0.25">
      <c r="A13153" t="s">
        <v>132</v>
      </c>
      <c r="B13153" s="1" t="str">
        <f>HYPERLINK("http://zraka-sunca.hr","zraka-sunca.hr")</f>
        <v>zraka-sunca.hr</v>
      </c>
      <c r="C13153" t="s">
        <v>452</v>
      </c>
      <c r="D13153" t="s">
        <v>829</v>
      </c>
      <c r="F13153">
        <v>5.3007035948776696E-9</v>
      </c>
      <c r="G13153">
        <v>23485541</v>
      </c>
      <c r="H13153">
        <v>11035836</v>
      </c>
      <c r="I13153">
        <v>32983913</v>
      </c>
      <c r="J13153">
        <v>9</v>
      </c>
    </row>
    <row r="13154" spans="1:10" x14ac:dyDescent="0.25">
      <c r="A13154" t="s">
        <v>132</v>
      </c>
      <c r="B13154" s="1" t="str">
        <f>HYPERLINK("http://deutschetelekomitsolutions.hu","deutschetelekomitsolutions.hu")</f>
        <v>deutschetelekomitsolutions.hu</v>
      </c>
      <c r="C13154" t="s">
        <v>453</v>
      </c>
      <c r="D13154" t="s">
        <v>830</v>
      </c>
      <c r="F13154">
        <v>5.5708290979727598E-8</v>
      </c>
      <c r="G13154">
        <v>804918</v>
      </c>
      <c r="H13154">
        <v>12933573</v>
      </c>
      <c r="I13154">
        <v>13351452</v>
      </c>
      <c r="J13154">
        <v>7</v>
      </c>
    </row>
    <row r="13155" spans="1:10" x14ac:dyDescent="0.25">
      <c r="A13155" t="s">
        <v>132</v>
      </c>
      <c r="B13155" s="1" t="str">
        <f>HYPERLINK("http://gts.hu","gts.hu")</f>
        <v>gts.hu</v>
      </c>
      <c r="C13155" t="s">
        <v>453</v>
      </c>
      <c r="D13155" t="s">
        <v>830</v>
      </c>
      <c r="F13155">
        <v>4.5324389433738002E-8</v>
      </c>
      <c r="G13155">
        <v>1039711</v>
      </c>
      <c r="H13155">
        <v>12720450</v>
      </c>
      <c r="I13155">
        <v>15250683</v>
      </c>
      <c r="J13155">
        <v>8</v>
      </c>
    </row>
    <row r="13156" spans="1:10" x14ac:dyDescent="0.25">
      <c r="A13156" t="s">
        <v>132</v>
      </c>
      <c r="B13156" s="1" t="str">
        <f>HYPERLINK("http://ikonewmedia.hu","ikonewmedia.hu")</f>
        <v>ikonewmedia.hu</v>
      </c>
      <c r="C13156" t="s">
        <v>453</v>
      </c>
      <c r="D13156" t="s">
        <v>830</v>
      </c>
      <c r="F13156">
        <v>5.2191344180352101E-9</v>
      </c>
      <c r="G13156">
        <v>24761186</v>
      </c>
      <c r="H13156">
        <v>10721017</v>
      </c>
      <c r="I13156">
        <v>41804898</v>
      </c>
      <c r="J13156">
        <v>3</v>
      </c>
    </row>
    <row r="13157" spans="1:10" x14ac:dyDescent="0.25">
      <c r="A13157" t="s">
        <v>132</v>
      </c>
      <c r="B13157" s="1" t="str">
        <f>HYPERLINK("http://it-services.hu","it-services.hu")</f>
        <v>it-services.hu</v>
      </c>
      <c r="C13157" t="s">
        <v>453</v>
      </c>
      <c r="D13157" t="s">
        <v>830</v>
      </c>
      <c r="F13157">
        <v>2.16303070041907E-8</v>
      </c>
      <c r="G13157">
        <v>2432870</v>
      </c>
      <c r="H13157">
        <v>13768060</v>
      </c>
      <c r="I13157">
        <v>6898493</v>
      </c>
      <c r="J13157">
        <v>4</v>
      </c>
    </row>
    <row r="13158" spans="1:10" x14ac:dyDescent="0.25">
      <c r="A13158" t="s">
        <v>132</v>
      </c>
      <c r="B13158" s="1" t="str">
        <f>HYPERLINK("http://kabeltv.hu","kabeltv.hu")</f>
        <v>kabeltv.hu</v>
      </c>
      <c r="C13158" t="s">
        <v>453</v>
      </c>
      <c r="D13158" t="s">
        <v>830</v>
      </c>
      <c r="J13158">
        <v>3</v>
      </c>
    </row>
    <row r="13159" spans="1:10" x14ac:dyDescent="0.25">
      <c r="A13159" t="s">
        <v>132</v>
      </c>
      <c r="B13159" s="1" t="str">
        <f>HYPERLINK("http://telekom.hu","telekom.hu")</f>
        <v>telekom.hu</v>
      </c>
      <c r="C13159" t="s">
        <v>453</v>
      </c>
      <c r="D13159" t="s">
        <v>830</v>
      </c>
      <c r="E13159">
        <v>8400</v>
      </c>
      <c r="F13159">
        <v>5.2089338077297504E-7</v>
      </c>
      <c r="G13159">
        <v>73744</v>
      </c>
      <c r="H13159">
        <v>17157058</v>
      </c>
      <c r="I13159">
        <v>50683</v>
      </c>
      <c r="J13159">
        <v>2</v>
      </c>
    </row>
    <row r="13160" spans="1:10" x14ac:dyDescent="0.25">
      <c r="A13160" t="s">
        <v>132</v>
      </c>
      <c r="B13160" s="1" t="str">
        <f>HYPERLINK("http://telekom-healthcare.in","telekom-healthcare.in")</f>
        <v>telekom-healthcare.in</v>
      </c>
      <c r="C13160" t="s">
        <v>457</v>
      </c>
      <c r="D13160" t="s">
        <v>834</v>
      </c>
      <c r="F13160">
        <v>7.8063085866451405E-9</v>
      </c>
      <c r="G13160">
        <v>10306527</v>
      </c>
      <c r="H13160">
        <v>12197867</v>
      </c>
      <c r="I13160">
        <v>23377092</v>
      </c>
      <c r="J13160">
        <v>4</v>
      </c>
    </row>
    <row r="13161" spans="1:10" x14ac:dyDescent="0.25">
      <c r="A13161" t="s">
        <v>132</v>
      </c>
      <c r="B13161" s="1" t="str">
        <f>HYPERLINK("http://advanced-ict.info","advanced-ict.info")</f>
        <v>advanced-ict.info</v>
      </c>
      <c r="C13161" t="s">
        <v>458</v>
      </c>
      <c r="F13161">
        <v>9.6936878660004701E-9</v>
      </c>
      <c r="G13161">
        <v>7087737</v>
      </c>
      <c r="H13161">
        <v>13213000</v>
      </c>
      <c r="I13161">
        <v>11393411</v>
      </c>
      <c r="J13161">
        <v>9</v>
      </c>
    </row>
    <row r="13162" spans="1:10" x14ac:dyDescent="0.25">
      <c r="A13162" t="s">
        <v>132</v>
      </c>
      <c r="B13162" s="1" t="str">
        <f>HYPERLINK("http://albacom.it","albacom.it")</f>
        <v>albacom.it</v>
      </c>
      <c r="C13162" t="s">
        <v>459</v>
      </c>
      <c r="D13162" t="s">
        <v>835</v>
      </c>
      <c r="F13162">
        <v>7.0095692949337301E-9</v>
      </c>
      <c r="G13162">
        <v>12283822</v>
      </c>
      <c r="H13162">
        <v>12663054</v>
      </c>
      <c r="I13162">
        <v>15692830</v>
      </c>
      <c r="J13162">
        <v>9</v>
      </c>
    </row>
    <row r="13163" spans="1:10" x14ac:dyDescent="0.25">
      <c r="A13163" t="s">
        <v>132</v>
      </c>
      <c r="B13163" s="1" t="str">
        <f>HYPERLINK("http://btitalia.it","btitalia.it")</f>
        <v>btitalia.it</v>
      </c>
      <c r="C13163" t="s">
        <v>459</v>
      </c>
      <c r="D13163" t="s">
        <v>835</v>
      </c>
      <c r="E13163">
        <v>13290</v>
      </c>
      <c r="F13163">
        <v>6.3859937888640096E-9</v>
      </c>
      <c r="G13163">
        <v>14588984</v>
      </c>
      <c r="H13163">
        <v>13933213</v>
      </c>
      <c r="I13163">
        <v>4832335</v>
      </c>
      <c r="J13163">
        <v>9</v>
      </c>
    </row>
    <row r="13164" spans="1:10" x14ac:dyDescent="0.25">
      <c r="A13164" t="s">
        <v>132</v>
      </c>
      <c r="B13164" s="1" t="str">
        <f>HYPERLINK("http://marexport.it","marexport.it")</f>
        <v>marexport.it</v>
      </c>
      <c r="C13164" t="s">
        <v>459</v>
      </c>
      <c r="D13164" t="s">
        <v>835</v>
      </c>
      <c r="F13164">
        <v>4.7382561473956902E-9</v>
      </c>
      <c r="G13164">
        <v>38887986</v>
      </c>
      <c r="H13164">
        <v>11002025</v>
      </c>
      <c r="I13164">
        <v>33552784</v>
      </c>
      <c r="J13164">
        <v>23</v>
      </c>
    </row>
    <row r="13165" spans="1:10" x14ac:dyDescent="0.25">
      <c r="A13165" t="s">
        <v>132</v>
      </c>
      <c r="B13165" s="1" t="str">
        <f>HYPERLINK("http://t-mobile.jobs","t-mobile.jobs")</f>
        <v>t-mobile.jobs</v>
      </c>
      <c r="C13165" t="s">
        <v>521</v>
      </c>
      <c r="F13165">
        <v>7.9132499977825701E-9</v>
      </c>
      <c r="G13165">
        <v>10085867</v>
      </c>
      <c r="H13165">
        <v>12224874</v>
      </c>
      <c r="I13165">
        <v>22659007</v>
      </c>
      <c r="J13165">
        <v>4</v>
      </c>
    </row>
    <row r="13166" spans="1:10" x14ac:dyDescent="0.25">
      <c r="A13166" t="s">
        <v>132</v>
      </c>
      <c r="B13166" s="1" t="str">
        <f>HYPERLINK("http://t-systems.jobs","t-systems.jobs")</f>
        <v>t-systems.jobs</v>
      </c>
      <c r="C13166" t="s">
        <v>521</v>
      </c>
      <c r="F13166">
        <v>1.9246151139172699E-8</v>
      </c>
      <c r="G13166">
        <v>2790935</v>
      </c>
      <c r="H13166">
        <v>12462311</v>
      </c>
      <c r="I13166">
        <v>17845223</v>
      </c>
      <c r="J13166">
        <v>3</v>
      </c>
    </row>
    <row r="13167" spans="1:10" x14ac:dyDescent="0.25">
      <c r="A13167" t="s">
        <v>132</v>
      </c>
      <c r="B13167" s="1" t="str">
        <f>HYPERLINK("http://telekom.jobs","telekom.jobs")</f>
        <v>telekom.jobs</v>
      </c>
      <c r="C13167" t="s">
        <v>521</v>
      </c>
      <c r="E13167">
        <v>586744</v>
      </c>
      <c r="F13167">
        <v>3.9496930885651301E-8</v>
      </c>
      <c r="G13167">
        <v>1307016</v>
      </c>
      <c r="H13167">
        <v>14079983</v>
      </c>
      <c r="I13167">
        <v>2825332</v>
      </c>
      <c r="J13167">
        <v>2</v>
      </c>
    </row>
    <row r="13168" spans="1:10" x14ac:dyDescent="0.25">
      <c r="A13168" t="s">
        <v>132</v>
      </c>
      <c r="B13168" s="1" t="str">
        <f>HYPERLINK("http://mcom.li","mcom.li")</f>
        <v>mcom.li</v>
      </c>
      <c r="C13168" t="s">
        <v>545</v>
      </c>
      <c r="D13168" t="s">
        <v>903</v>
      </c>
      <c r="F13168">
        <v>4.44380395335525E-9</v>
      </c>
      <c r="G13168">
        <v>85329153</v>
      </c>
      <c r="H13168">
        <v>0</v>
      </c>
      <c r="I13168">
        <v>86557038</v>
      </c>
      <c r="J13168">
        <v>3</v>
      </c>
    </row>
    <row r="13169" spans="1:10" x14ac:dyDescent="0.25">
      <c r="A13169" t="s">
        <v>132</v>
      </c>
      <c r="B13169" s="1" t="str">
        <f>HYPERLINK("http://telekom.me","telekom.me")</f>
        <v>telekom.me</v>
      </c>
      <c r="C13169" t="s">
        <v>470</v>
      </c>
      <c r="D13169" t="s">
        <v>846</v>
      </c>
      <c r="E13169">
        <v>322719</v>
      </c>
      <c r="F13169">
        <v>9.8863794629371604E-8</v>
      </c>
      <c r="G13169">
        <v>407551</v>
      </c>
      <c r="H13169">
        <v>16930484</v>
      </c>
      <c r="I13169">
        <v>118332</v>
      </c>
      <c r="J13169">
        <v>2</v>
      </c>
    </row>
    <row r="13170" spans="1:10" x14ac:dyDescent="0.25">
      <c r="A13170" t="s">
        <v>132</v>
      </c>
      <c r="B13170" s="1" t="str">
        <f>HYPERLINK("http://t-mobile.mk","t-mobile.mk")</f>
        <v>t-mobile.mk</v>
      </c>
      <c r="C13170" t="s">
        <v>531</v>
      </c>
      <c r="D13170" t="s">
        <v>895</v>
      </c>
      <c r="F13170">
        <v>1.9058954939971501E-8</v>
      </c>
      <c r="G13170">
        <v>2824985</v>
      </c>
      <c r="H13170">
        <v>13279682</v>
      </c>
      <c r="I13170">
        <v>10916418</v>
      </c>
      <c r="J13170">
        <v>3</v>
      </c>
    </row>
    <row r="13171" spans="1:10" x14ac:dyDescent="0.25">
      <c r="A13171" t="s">
        <v>132</v>
      </c>
      <c r="B13171" s="1" t="str">
        <f>HYPERLINK("http://telekom.mk","telekom.mk")</f>
        <v>telekom.mk</v>
      </c>
      <c r="C13171" t="s">
        <v>531</v>
      </c>
      <c r="D13171" t="s">
        <v>895</v>
      </c>
      <c r="E13171">
        <v>172268</v>
      </c>
      <c r="F13171">
        <v>2.5192842948996697E-7</v>
      </c>
      <c r="G13171">
        <v>148462</v>
      </c>
      <c r="H13171">
        <v>17019976</v>
      </c>
      <c r="I13171">
        <v>89517</v>
      </c>
      <c r="J13171">
        <v>2</v>
      </c>
    </row>
    <row r="13172" spans="1:10" x14ac:dyDescent="0.25">
      <c r="A13172" t="s">
        <v>132</v>
      </c>
      <c r="B13172" s="1" t="str">
        <f>HYPERLINK("http://t-systems.com.mx","t-systems.com.mx")</f>
        <v>t-systems.com.mx</v>
      </c>
      <c r="C13172" t="s">
        <v>471</v>
      </c>
      <c r="D13172" t="s">
        <v>847</v>
      </c>
      <c r="F13172">
        <v>7.3936526422227701E-9</v>
      </c>
      <c r="G13172">
        <v>11258303</v>
      </c>
      <c r="H13172">
        <v>12591791</v>
      </c>
      <c r="I13172">
        <v>16400523</v>
      </c>
      <c r="J13172">
        <v>3</v>
      </c>
    </row>
    <row r="13173" spans="1:10" x14ac:dyDescent="0.25">
      <c r="A13173" t="s">
        <v>132</v>
      </c>
      <c r="B13173" s="1" t="str">
        <f>HYPERLINK("http://bt.net","bt.net")</f>
        <v>bt.net</v>
      </c>
      <c r="C13173" t="s">
        <v>474</v>
      </c>
      <c r="E13173">
        <v>2042</v>
      </c>
      <c r="F13173">
        <v>4.0572976253281699E-8</v>
      </c>
      <c r="G13173">
        <v>1276589</v>
      </c>
      <c r="H13173">
        <v>13278944</v>
      </c>
      <c r="I13173">
        <v>10918643</v>
      </c>
      <c r="J13173">
        <v>5</v>
      </c>
    </row>
    <row r="13174" spans="1:10" x14ac:dyDescent="0.25">
      <c r="A13174" t="s">
        <v>132</v>
      </c>
      <c r="B13174" s="1" t="str">
        <f>HYPERLINK("http://concordia-hotel.net","concordia-hotel.net")</f>
        <v>concordia-hotel.net</v>
      </c>
      <c r="C13174" t="s">
        <v>474</v>
      </c>
      <c r="F13174">
        <v>5.3752498671383803E-9</v>
      </c>
      <c r="G13174">
        <v>22476511</v>
      </c>
      <c r="H13174">
        <v>12314805</v>
      </c>
      <c r="I13174">
        <v>20517984</v>
      </c>
      <c r="J13174">
        <v>9</v>
      </c>
    </row>
    <row r="13175" spans="1:10" x14ac:dyDescent="0.25">
      <c r="A13175" t="s">
        <v>132</v>
      </c>
      <c r="B13175" s="1" t="str">
        <f>HYPERLINK("http://congstar.net","congstar.net")</f>
        <v>congstar.net</v>
      </c>
      <c r="C13175" t="s">
        <v>474</v>
      </c>
      <c r="E13175">
        <v>708471</v>
      </c>
      <c r="F13175">
        <v>7.62839411291428E-9</v>
      </c>
      <c r="G13175">
        <v>10733061</v>
      </c>
      <c r="H13175">
        <v>12254222</v>
      </c>
      <c r="I13175">
        <v>21915306</v>
      </c>
      <c r="J13175">
        <v>4</v>
      </c>
    </row>
    <row r="13176" spans="1:10" x14ac:dyDescent="0.25">
      <c r="A13176" t="s">
        <v>132</v>
      </c>
      <c r="B13176" s="1" t="str">
        <f>HYPERLINK("http://plus.net","plus.net")</f>
        <v>plus.net</v>
      </c>
      <c r="C13176" t="s">
        <v>474</v>
      </c>
      <c r="E13176">
        <v>12207</v>
      </c>
      <c r="F13176">
        <v>8.7705277944266604E-7</v>
      </c>
      <c r="G13176">
        <v>45732</v>
      </c>
      <c r="H13176">
        <v>17325912</v>
      </c>
      <c r="I13176">
        <v>25264</v>
      </c>
      <c r="J13176">
        <v>6</v>
      </c>
    </row>
    <row r="13177" spans="1:10" x14ac:dyDescent="0.25">
      <c r="A13177" t="s">
        <v>132</v>
      </c>
      <c r="B13177" s="1" t="str">
        <f>HYPERLINK("http://prime-connect.net","prime-connect.net")</f>
        <v>prime-connect.net</v>
      </c>
      <c r="C13177" t="s">
        <v>474</v>
      </c>
      <c r="F13177">
        <v>4.6292615056566898E-9</v>
      </c>
      <c r="G13177">
        <v>45487525</v>
      </c>
      <c r="H13177">
        <v>9938923</v>
      </c>
      <c r="I13177">
        <v>61343858</v>
      </c>
      <c r="J13177">
        <v>3</v>
      </c>
    </row>
    <row r="13178" spans="1:10" x14ac:dyDescent="0.25">
      <c r="A13178" t="s">
        <v>132</v>
      </c>
      <c r="B13178" s="1" t="str">
        <f>HYPERLINK("http://sprint.net","sprint.net")</f>
        <v>sprint.net</v>
      </c>
      <c r="C13178" t="s">
        <v>474</v>
      </c>
      <c r="E13178">
        <v>284406</v>
      </c>
      <c r="F13178">
        <v>2.3181487227054799E-7</v>
      </c>
      <c r="G13178">
        <v>161960</v>
      </c>
      <c r="H13178">
        <v>17064986</v>
      </c>
      <c r="I13178">
        <v>72538</v>
      </c>
      <c r="J13178">
        <v>4</v>
      </c>
    </row>
    <row r="13179" spans="1:10" x14ac:dyDescent="0.25">
      <c r="A13179" t="s">
        <v>132</v>
      </c>
      <c r="B13179" s="1" t="str">
        <f>HYPERLINK("http://t-systems.net","t-systems.net")</f>
        <v>t-systems.net</v>
      </c>
      <c r="C13179" t="s">
        <v>474</v>
      </c>
      <c r="F13179">
        <v>1.0634459436925599E-8</v>
      </c>
      <c r="G13179">
        <v>6154392</v>
      </c>
      <c r="H13179">
        <v>12377199</v>
      </c>
      <c r="I13179">
        <v>19272649</v>
      </c>
      <c r="J13179">
        <v>3</v>
      </c>
    </row>
    <row r="13180" spans="1:10" x14ac:dyDescent="0.25">
      <c r="A13180" t="s">
        <v>132</v>
      </c>
      <c r="B13180" s="1" t="str">
        <f>HYPERLINK("http://telekom.net","telekom.net")</f>
        <v>telekom.net</v>
      </c>
      <c r="C13180" t="s">
        <v>474</v>
      </c>
      <c r="E13180">
        <v>9790</v>
      </c>
      <c r="F13180">
        <v>1.44139499160543E-7</v>
      </c>
      <c r="G13180">
        <v>270137</v>
      </c>
      <c r="H13180">
        <v>14246961</v>
      </c>
      <c r="I13180">
        <v>1459354</v>
      </c>
      <c r="J13180">
        <v>2</v>
      </c>
    </row>
    <row r="13181" spans="1:10" x14ac:dyDescent="0.25">
      <c r="A13181" t="s">
        <v>132</v>
      </c>
      <c r="B13181" s="1" t="str">
        <f>HYPERLINK("http://ben.nl","ben.nl")</f>
        <v>ben.nl</v>
      </c>
      <c r="C13181" t="s">
        <v>477</v>
      </c>
      <c r="D13181" t="s">
        <v>852</v>
      </c>
      <c r="E13181">
        <v>212779</v>
      </c>
      <c r="F13181">
        <v>1.2598685565870799E-7</v>
      </c>
      <c r="G13181">
        <v>313060</v>
      </c>
      <c r="H13181">
        <v>16980076</v>
      </c>
      <c r="I13181">
        <v>98616</v>
      </c>
      <c r="J13181">
        <v>4</v>
      </c>
    </row>
    <row r="13182" spans="1:10" x14ac:dyDescent="0.25">
      <c r="A13182" t="s">
        <v>132</v>
      </c>
      <c r="B13182" s="1" t="str">
        <f>HYPERLINK("http://t-mobile.nl","t-mobile.nl")</f>
        <v>t-mobile.nl</v>
      </c>
      <c r="C13182" t="s">
        <v>477</v>
      </c>
      <c r="D13182" t="s">
        <v>852</v>
      </c>
      <c r="E13182">
        <v>46199</v>
      </c>
      <c r="F13182">
        <v>6.1886505807829496E-7</v>
      </c>
      <c r="G13182">
        <v>61874</v>
      </c>
      <c r="H13182">
        <v>17272382</v>
      </c>
      <c r="I13182">
        <v>31055</v>
      </c>
      <c r="J13182">
        <v>3</v>
      </c>
    </row>
    <row r="13183" spans="1:10" x14ac:dyDescent="0.25">
      <c r="A13183" t="s">
        <v>132</v>
      </c>
      <c r="B13183" s="1" t="str">
        <f>HYPERLINK("http://t-systems.nl","t-systems.nl")</f>
        <v>t-systems.nl</v>
      </c>
      <c r="C13183" t="s">
        <v>477</v>
      </c>
      <c r="D13183" t="s">
        <v>852</v>
      </c>
      <c r="F13183">
        <v>1.7329942168865499E-8</v>
      </c>
      <c r="G13183">
        <v>3191811</v>
      </c>
      <c r="H13183">
        <v>13312013</v>
      </c>
      <c r="I13183">
        <v>10771390</v>
      </c>
      <c r="J13183">
        <v>3</v>
      </c>
    </row>
    <row r="13184" spans="1:10" x14ac:dyDescent="0.25">
      <c r="A13184" t="s">
        <v>132</v>
      </c>
      <c r="B13184" s="1" t="str">
        <f>HYPERLINK("http://mex.net.pl","mex.net.pl")</f>
        <v>mex.net.pl</v>
      </c>
      <c r="C13184" t="s">
        <v>486</v>
      </c>
      <c r="D13184" t="s">
        <v>860</v>
      </c>
      <c r="F13184">
        <v>4.44792440300077E-9</v>
      </c>
      <c r="G13184">
        <v>73192177</v>
      </c>
      <c r="H13184">
        <v>10343676</v>
      </c>
      <c r="I13184">
        <v>58173725</v>
      </c>
      <c r="J13184">
        <v>5</v>
      </c>
    </row>
    <row r="13185" spans="1:10" x14ac:dyDescent="0.25">
      <c r="A13185" t="s">
        <v>132</v>
      </c>
      <c r="B13185" s="1" t="str">
        <f>HYPERLINK("http://t-mobile.pl","t-mobile.pl")</f>
        <v>t-mobile.pl</v>
      </c>
      <c r="C13185" t="s">
        <v>486</v>
      </c>
      <c r="D13185" t="s">
        <v>860</v>
      </c>
      <c r="E13185">
        <v>11218</v>
      </c>
      <c r="F13185">
        <v>5.7190165886674103E-7</v>
      </c>
      <c r="G13185">
        <v>66823</v>
      </c>
      <c r="H13185">
        <v>17242000</v>
      </c>
      <c r="I13185">
        <v>35089</v>
      </c>
      <c r="J13185">
        <v>3</v>
      </c>
    </row>
    <row r="13186" spans="1:10" x14ac:dyDescent="0.25">
      <c r="A13186" t="s">
        <v>132</v>
      </c>
      <c r="B13186" s="1" t="str">
        <f>HYPERLINK("http://t-systems.pl","t-systems.pl")</f>
        <v>t-systems.pl</v>
      </c>
      <c r="C13186" t="s">
        <v>486</v>
      </c>
      <c r="D13186" t="s">
        <v>860</v>
      </c>
      <c r="F13186">
        <v>3.3058695059733098E-8</v>
      </c>
      <c r="G13186">
        <v>1562842</v>
      </c>
      <c r="H13186">
        <v>13808462</v>
      </c>
      <c r="I13186">
        <v>6221888</v>
      </c>
      <c r="J13186">
        <v>3</v>
      </c>
    </row>
    <row r="13187" spans="1:10" x14ac:dyDescent="0.25">
      <c r="A13187" t="s">
        <v>132</v>
      </c>
      <c r="B13187" s="1" t="str">
        <f>HYPERLINK("http://buyin.pro","buyin.pro")</f>
        <v>buyin.pro</v>
      </c>
      <c r="C13187" t="s">
        <v>574</v>
      </c>
      <c r="F13187">
        <v>1.68468992549672E-8</v>
      </c>
      <c r="G13187">
        <v>3322003</v>
      </c>
      <c r="H13187">
        <v>14237724</v>
      </c>
      <c r="I13187">
        <v>1542834</v>
      </c>
      <c r="J13187">
        <v>4</v>
      </c>
    </row>
    <row r="13188" spans="1:10" x14ac:dyDescent="0.25">
      <c r="A13188" t="s">
        <v>132</v>
      </c>
      <c r="B13188" s="1" t="str">
        <f>HYPERLINK("http://evalueinternational.ro","evalueinternational.ro")</f>
        <v>evalueinternational.ro</v>
      </c>
      <c r="C13188" t="s">
        <v>491</v>
      </c>
      <c r="D13188" t="s">
        <v>865</v>
      </c>
      <c r="J13188">
        <v>4</v>
      </c>
    </row>
    <row r="13189" spans="1:10" x14ac:dyDescent="0.25">
      <c r="A13189" t="s">
        <v>132</v>
      </c>
      <c r="B13189" s="1" t="str">
        <f>HYPERLINK("http://telekom.ro","telekom.ro")</f>
        <v>telekom.ro</v>
      </c>
      <c r="C13189" t="s">
        <v>491</v>
      </c>
      <c r="D13189" t="s">
        <v>865</v>
      </c>
      <c r="E13189">
        <v>73164</v>
      </c>
      <c r="F13189">
        <v>3.20378575056756E-7</v>
      </c>
      <c r="G13189">
        <v>116139</v>
      </c>
      <c r="H13189">
        <v>17089456</v>
      </c>
      <c r="I13189">
        <v>66079</v>
      </c>
      <c r="J13189">
        <v>3</v>
      </c>
    </row>
    <row r="13190" spans="1:10" x14ac:dyDescent="0.25">
      <c r="A13190" t="s">
        <v>132</v>
      </c>
      <c r="B13190" s="1" t="str">
        <f>HYPERLINK("http://combis.rs","combis.rs")</f>
        <v>combis.rs</v>
      </c>
      <c r="C13190" t="s">
        <v>492</v>
      </c>
      <c r="D13190" t="s">
        <v>866</v>
      </c>
      <c r="F13190">
        <v>4.5265444450685603E-9</v>
      </c>
      <c r="G13190">
        <v>55432070</v>
      </c>
      <c r="H13190">
        <v>12136479</v>
      </c>
      <c r="I13190">
        <v>24966732</v>
      </c>
      <c r="J13190">
        <v>4</v>
      </c>
    </row>
    <row r="13191" spans="1:10" x14ac:dyDescent="0.25">
      <c r="A13191" t="s">
        <v>132</v>
      </c>
      <c r="B13191" s="1" t="str">
        <f>HYPERLINK("http://t-systems.ru","t-systems.ru")</f>
        <v>t-systems.ru</v>
      </c>
      <c r="C13191" t="s">
        <v>493</v>
      </c>
      <c r="D13191" t="s">
        <v>867</v>
      </c>
      <c r="E13191">
        <v>150585</v>
      </c>
      <c r="F13191">
        <v>1.79889054151372E-8</v>
      </c>
      <c r="G13191">
        <v>3033021</v>
      </c>
      <c r="H13191">
        <v>12706335</v>
      </c>
      <c r="I13191">
        <v>15321742</v>
      </c>
      <c r="J13191">
        <v>3</v>
      </c>
    </row>
    <row r="13192" spans="1:10" x14ac:dyDescent="0.25">
      <c r="A13192" t="s">
        <v>132</v>
      </c>
      <c r="B13192" s="1" t="str">
        <f>HYPERLINK("http://t-systems.com.sg","t-systems.com.sg")</f>
        <v>t-systems.com.sg</v>
      </c>
      <c r="C13192" t="s">
        <v>496</v>
      </c>
      <c r="D13192" t="s">
        <v>870</v>
      </c>
      <c r="E13192">
        <v>387362</v>
      </c>
      <c r="F13192">
        <v>8.6930256932474207E-9</v>
      </c>
      <c r="G13192">
        <v>8489894</v>
      </c>
      <c r="H13192">
        <v>12417619</v>
      </c>
      <c r="I13192">
        <v>18500373</v>
      </c>
      <c r="J13192">
        <v>3</v>
      </c>
    </row>
    <row r="13193" spans="1:10" x14ac:dyDescent="0.25">
      <c r="A13193" t="s">
        <v>132</v>
      </c>
      <c r="B13193" s="1" t="str">
        <f>HYPERLINK("http://televista.shop","televista.shop")</f>
        <v>televista.shop</v>
      </c>
      <c r="C13193" t="s">
        <v>708</v>
      </c>
      <c r="F13193">
        <v>4.6292615056566898E-9</v>
      </c>
      <c r="G13193">
        <v>45487495</v>
      </c>
      <c r="H13193">
        <v>9938923</v>
      </c>
      <c r="I13193">
        <v>61343869</v>
      </c>
      <c r="J13193">
        <v>3</v>
      </c>
    </row>
    <row r="13194" spans="1:10" x14ac:dyDescent="0.25">
      <c r="A13194" t="s">
        <v>132</v>
      </c>
      <c r="B13194" s="1" t="str">
        <f>HYPERLINK("http://deutschetelekomitsolutions.sk","deutschetelekomitsolutions.sk")</f>
        <v>deutschetelekomitsolutions.sk</v>
      </c>
      <c r="C13194" t="s">
        <v>498</v>
      </c>
      <c r="D13194" t="s">
        <v>872</v>
      </c>
      <c r="F13194">
        <v>3.3768850116646503E-8</v>
      </c>
      <c r="G13194">
        <v>1532147</v>
      </c>
      <c r="H13194">
        <v>14077612</v>
      </c>
      <c r="I13194">
        <v>2861938</v>
      </c>
      <c r="J13194">
        <v>3</v>
      </c>
    </row>
    <row r="13195" spans="1:10" x14ac:dyDescent="0.25">
      <c r="A13195" t="s">
        <v>132</v>
      </c>
      <c r="B13195" s="1" t="str">
        <f>HYPERLINK("http://mhplus.sk","mhplus.sk")</f>
        <v>mhplus.sk</v>
      </c>
      <c r="C13195" t="s">
        <v>498</v>
      </c>
      <c r="D13195" t="s">
        <v>872</v>
      </c>
      <c r="F13195">
        <v>4.44380395335525E-9</v>
      </c>
      <c r="G13195">
        <v>86387300</v>
      </c>
      <c r="H13195">
        <v>0</v>
      </c>
      <c r="I13195">
        <v>87840445</v>
      </c>
      <c r="J13195">
        <v>3</v>
      </c>
    </row>
    <row r="13196" spans="1:10" x14ac:dyDescent="0.25">
      <c r="A13196" t="s">
        <v>132</v>
      </c>
      <c r="B13196" s="1" t="str">
        <f>HYPERLINK("http://posam.sk","posam.sk")</f>
        <v>posam.sk</v>
      </c>
      <c r="C13196" t="s">
        <v>498</v>
      </c>
      <c r="D13196" t="s">
        <v>872</v>
      </c>
      <c r="E13196">
        <v>623582</v>
      </c>
      <c r="F13196">
        <v>3.4641809592236697E-8</v>
      </c>
      <c r="G13196">
        <v>1497958</v>
      </c>
      <c r="H13196">
        <v>12755234</v>
      </c>
      <c r="I13196">
        <v>14987403</v>
      </c>
      <c r="J13196">
        <v>3</v>
      </c>
    </row>
    <row r="13197" spans="1:10" x14ac:dyDescent="0.25">
      <c r="A13197" t="s">
        <v>132</v>
      </c>
      <c r="B13197" s="1" t="str">
        <f>HYPERLINK("http://sosgemke.sk","sosgemke.sk")</f>
        <v>sosgemke.sk</v>
      </c>
      <c r="C13197" t="s">
        <v>498</v>
      </c>
      <c r="D13197" t="s">
        <v>872</v>
      </c>
      <c r="F13197">
        <v>5.17645753724305E-9</v>
      </c>
      <c r="G13197">
        <v>25612835</v>
      </c>
      <c r="H13197">
        <v>12211955</v>
      </c>
      <c r="I13197">
        <v>22980648</v>
      </c>
      <c r="J13197">
        <v>4</v>
      </c>
    </row>
    <row r="13198" spans="1:10" x14ac:dyDescent="0.25">
      <c r="A13198" t="s">
        <v>132</v>
      </c>
      <c r="B13198" s="1" t="str">
        <f>HYPERLINK("http://stavenamobil.sk","stavenamobil.sk")</f>
        <v>stavenamobil.sk</v>
      </c>
      <c r="C13198" t="s">
        <v>498</v>
      </c>
      <c r="D13198" t="s">
        <v>872</v>
      </c>
      <c r="J13198">
        <v>3</v>
      </c>
    </row>
    <row r="13199" spans="1:10" x14ac:dyDescent="0.25">
      <c r="A13199" t="s">
        <v>132</v>
      </c>
      <c r="B13199" s="1" t="str">
        <f>HYPERLINK("http://t-systems.sk","t-systems.sk")</f>
        <v>t-systems.sk</v>
      </c>
      <c r="C13199" t="s">
        <v>498</v>
      </c>
      <c r="D13199" t="s">
        <v>872</v>
      </c>
      <c r="E13199">
        <v>862504</v>
      </c>
      <c r="F13199">
        <v>9.8746079753956002E-9</v>
      </c>
      <c r="G13199">
        <v>6886761</v>
      </c>
      <c r="H13199">
        <v>13114607</v>
      </c>
      <c r="I13199">
        <v>12018986</v>
      </c>
      <c r="J13199">
        <v>3</v>
      </c>
    </row>
    <row r="13200" spans="1:10" x14ac:dyDescent="0.25">
      <c r="A13200" t="s">
        <v>132</v>
      </c>
      <c r="B13200" s="1" t="str">
        <f>HYPERLINK("http://telekom.sk","telekom.sk")</f>
        <v>telekom.sk</v>
      </c>
      <c r="C13200" t="s">
        <v>498</v>
      </c>
      <c r="D13200" t="s">
        <v>872</v>
      </c>
      <c r="E13200">
        <v>98717</v>
      </c>
      <c r="F13200">
        <v>4.3727272140314498E-7</v>
      </c>
      <c r="G13200">
        <v>86197</v>
      </c>
      <c r="H13200">
        <v>17151676</v>
      </c>
      <c r="I13200">
        <v>51902</v>
      </c>
      <c r="J13200">
        <v>2</v>
      </c>
    </row>
    <row r="13201" spans="1:10" x14ac:dyDescent="0.25">
      <c r="A13201" t="s">
        <v>132</v>
      </c>
      <c r="B13201" s="1" t="str">
        <f>HYPERLINK("http://bt.co.uk","bt.co.uk")</f>
        <v>bt.co.uk</v>
      </c>
      <c r="C13201" t="s">
        <v>506</v>
      </c>
      <c r="D13201" t="s">
        <v>880</v>
      </c>
      <c r="E13201">
        <v>95744</v>
      </c>
      <c r="F13201">
        <v>2.56940846801587E-7</v>
      </c>
      <c r="G13201">
        <v>145598</v>
      </c>
      <c r="H13201">
        <v>14531576</v>
      </c>
      <c r="I13201">
        <v>785479</v>
      </c>
      <c r="J13201">
        <v>5</v>
      </c>
    </row>
    <row r="13202" spans="1:10" x14ac:dyDescent="0.25">
      <c r="A13202" t="s">
        <v>132</v>
      </c>
      <c r="B13202" s="1" t="str">
        <f>HYPERLINK("http://btck.co.uk","btck.co.uk")</f>
        <v>btck.co.uk</v>
      </c>
      <c r="C13202" t="s">
        <v>506</v>
      </c>
      <c r="D13202" t="s">
        <v>880</v>
      </c>
      <c r="E13202">
        <v>100342</v>
      </c>
      <c r="F13202">
        <v>3.1986418689235E-7</v>
      </c>
      <c r="G13202">
        <v>116320</v>
      </c>
      <c r="H13202">
        <v>17422966</v>
      </c>
      <c r="I13202">
        <v>17708</v>
      </c>
      <c r="J13202">
        <v>8</v>
      </c>
    </row>
    <row r="13203" spans="1:10" x14ac:dyDescent="0.25">
      <c r="A13203" t="s">
        <v>132</v>
      </c>
      <c r="B13203" s="1" t="str">
        <f>HYPERLINK("http://btwifi.co.uk","btwifi.co.uk")</f>
        <v>btwifi.co.uk</v>
      </c>
      <c r="C13203" t="s">
        <v>506</v>
      </c>
      <c r="D13203" t="s">
        <v>880</v>
      </c>
      <c r="F13203">
        <v>5.1552671928869799E-8</v>
      </c>
      <c r="G13203">
        <v>887196</v>
      </c>
      <c r="H13203">
        <v>13807726</v>
      </c>
      <c r="I13203">
        <v>6225069</v>
      </c>
      <c r="J13203">
        <v>8</v>
      </c>
    </row>
    <row r="13204" spans="1:10" x14ac:dyDescent="0.25">
      <c r="A13204" t="s">
        <v>132</v>
      </c>
      <c r="B13204" s="1" t="str">
        <f>HYPERLINK("http://cimlogic.co.uk","cimlogic.co.uk")</f>
        <v>cimlogic.co.uk</v>
      </c>
      <c r="C13204" t="s">
        <v>506</v>
      </c>
      <c r="D13204" t="s">
        <v>880</v>
      </c>
      <c r="F13204">
        <v>1.01779829039913E-8</v>
      </c>
      <c r="G13204">
        <v>6568640</v>
      </c>
      <c r="H13204">
        <v>11407702</v>
      </c>
      <c r="I13204">
        <v>30202944</v>
      </c>
      <c r="J13204">
        <v>15</v>
      </c>
    </row>
    <row r="13205" spans="1:10" x14ac:dyDescent="0.25">
      <c r="A13205" t="s">
        <v>132</v>
      </c>
      <c r="B13205" s="1" t="str">
        <f>HYPERLINK("http://ee.co.uk","ee.co.uk")</f>
        <v>ee.co.uk</v>
      </c>
      <c r="C13205" t="s">
        <v>506</v>
      </c>
      <c r="D13205" t="s">
        <v>880</v>
      </c>
      <c r="E13205">
        <v>13904</v>
      </c>
      <c r="F13205">
        <v>2.5930320161504001E-6</v>
      </c>
      <c r="G13205">
        <v>14598</v>
      </c>
      <c r="H13205">
        <v>17586678</v>
      </c>
      <c r="I13205">
        <v>10079</v>
      </c>
      <c r="J13205">
        <v>3</v>
      </c>
    </row>
    <row r="13206" spans="1:10" x14ac:dyDescent="0.25">
      <c r="A13206" t="s">
        <v>132</v>
      </c>
      <c r="B13206" s="1" t="str">
        <f>HYPERLINK("http://itigroup.co.uk","itigroup.co.uk")</f>
        <v>itigroup.co.uk</v>
      </c>
      <c r="C13206" t="s">
        <v>506</v>
      </c>
      <c r="D13206" t="s">
        <v>880</v>
      </c>
      <c r="F13206">
        <v>1.3691330941982299E-8</v>
      </c>
      <c r="G13206">
        <v>4324686</v>
      </c>
      <c r="H13206">
        <v>14075269</v>
      </c>
      <c r="I13206">
        <v>2913693</v>
      </c>
      <c r="J13206">
        <v>12</v>
      </c>
    </row>
    <row r="13207" spans="1:10" x14ac:dyDescent="0.25">
      <c r="A13207" t="s">
        <v>132</v>
      </c>
      <c r="B13207" s="1" t="str">
        <f>HYPERLINK("http://justbecauses.co.uk","justbecauses.co.uk")</f>
        <v>justbecauses.co.uk</v>
      </c>
      <c r="C13207" t="s">
        <v>506</v>
      </c>
      <c r="D13207" t="s">
        <v>880</v>
      </c>
      <c r="J13207">
        <v>9</v>
      </c>
    </row>
    <row r="13208" spans="1:10" x14ac:dyDescent="0.25">
      <c r="A13208" t="s">
        <v>132</v>
      </c>
      <c r="B13208" s="1" t="str">
        <f>HYPERLINK("http://marsden-weighing.co.uk","marsden-weighing.co.uk")</f>
        <v>marsden-weighing.co.uk</v>
      </c>
      <c r="C13208" t="s">
        <v>506</v>
      </c>
      <c r="D13208" t="s">
        <v>880</v>
      </c>
      <c r="F13208">
        <v>1.4337253678729401E-8</v>
      </c>
      <c r="G13208">
        <v>4078922</v>
      </c>
      <c r="H13208">
        <v>13939235</v>
      </c>
      <c r="I13208">
        <v>4399822</v>
      </c>
      <c r="J13208">
        <v>22</v>
      </c>
    </row>
    <row r="13209" spans="1:10" x14ac:dyDescent="0.25">
      <c r="A13209" t="s">
        <v>132</v>
      </c>
      <c r="B13209" s="1" t="str">
        <f>HYPERLINK("http://mbnl.co.uk","mbnl.co.uk")</f>
        <v>mbnl.co.uk</v>
      </c>
      <c r="C13209" t="s">
        <v>506</v>
      </c>
      <c r="D13209" t="s">
        <v>880</v>
      </c>
      <c r="E13209">
        <v>368930</v>
      </c>
      <c r="F13209">
        <v>9.5303583678996996E-9</v>
      </c>
      <c r="G13209">
        <v>7286504</v>
      </c>
      <c r="H13209">
        <v>14075978</v>
      </c>
      <c r="I13209">
        <v>2896568</v>
      </c>
      <c r="J13209">
        <v>7</v>
      </c>
    </row>
    <row r="13210" spans="1:10" x14ac:dyDescent="0.25">
      <c r="A13210" t="s">
        <v>132</v>
      </c>
      <c r="B13210" s="1" t="str">
        <f>HYPERLINK("http://oneconnectlimited.co.uk","oneconnectlimited.co.uk")</f>
        <v>oneconnectlimited.co.uk</v>
      </c>
      <c r="C13210" t="s">
        <v>506</v>
      </c>
      <c r="D13210" t="s">
        <v>880</v>
      </c>
      <c r="J13210">
        <v>7</v>
      </c>
    </row>
    <row r="13211" spans="1:10" x14ac:dyDescent="0.25">
      <c r="A13211" t="s">
        <v>132</v>
      </c>
      <c r="B13211" s="1" t="str">
        <f>HYPERLINK("http://openreach.co.uk","openreach.co.uk")</f>
        <v>openreach.co.uk</v>
      </c>
      <c r="C13211" t="s">
        <v>506</v>
      </c>
      <c r="D13211" t="s">
        <v>880</v>
      </c>
      <c r="E13211">
        <v>240608</v>
      </c>
      <c r="F13211">
        <v>1.2633947733439499E-7</v>
      </c>
      <c r="G13211">
        <v>312166</v>
      </c>
      <c r="H13211">
        <v>14809251</v>
      </c>
      <c r="I13211">
        <v>537561</v>
      </c>
      <c r="J13211">
        <v>7</v>
      </c>
    </row>
    <row r="13212" spans="1:10" x14ac:dyDescent="0.25">
      <c r="A13212" t="s">
        <v>132</v>
      </c>
      <c r="B13212" s="1" t="str">
        <f>HYPERLINK("http://rivusgroup.co.uk","rivusgroup.co.uk")</f>
        <v>rivusgroup.co.uk</v>
      </c>
      <c r="C13212" t="s">
        <v>506</v>
      </c>
      <c r="D13212" t="s">
        <v>880</v>
      </c>
      <c r="F13212">
        <v>1.23193962030561E-8</v>
      </c>
      <c r="G13212">
        <v>4983687</v>
      </c>
      <c r="H13212">
        <v>12481125</v>
      </c>
      <c r="I13212">
        <v>17587704</v>
      </c>
      <c r="J13212">
        <v>7</v>
      </c>
    </row>
    <row r="13213" spans="1:10" x14ac:dyDescent="0.25">
      <c r="A13213" t="s">
        <v>132</v>
      </c>
      <c r="B13213" s="1" t="str">
        <f>HYPERLINK("http://sysia.co.uk","sysia.co.uk")</f>
        <v>sysia.co.uk</v>
      </c>
      <c r="C13213" t="s">
        <v>506</v>
      </c>
      <c r="D13213" t="s">
        <v>880</v>
      </c>
      <c r="F13213">
        <v>4.44454315393659E-9</v>
      </c>
      <c r="G13213">
        <v>76610321</v>
      </c>
      <c r="H13213">
        <v>7853089.5</v>
      </c>
      <c r="I13213">
        <v>75516302</v>
      </c>
      <c r="J13213">
        <v>9</v>
      </c>
    </row>
    <row r="13214" spans="1:10" x14ac:dyDescent="0.25">
      <c r="A13214" t="s">
        <v>132</v>
      </c>
      <c r="B13214" s="1" t="str">
        <f>HYPERLINK("http://t-systems.co.uk","t-systems.co.uk")</f>
        <v>t-systems.co.uk</v>
      </c>
      <c r="C13214" t="s">
        <v>506</v>
      </c>
      <c r="D13214" t="s">
        <v>880</v>
      </c>
      <c r="F13214">
        <v>1.29469504487912E-8</v>
      </c>
      <c r="G13214">
        <v>4657215</v>
      </c>
      <c r="H13214">
        <v>13235327</v>
      </c>
      <c r="I13214">
        <v>11246952</v>
      </c>
      <c r="J13214">
        <v>3</v>
      </c>
    </row>
    <row r="13215" spans="1:10" x14ac:dyDescent="0.25">
      <c r="A13215" t="s">
        <v>132</v>
      </c>
      <c r="B13215" s="1" t="str">
        <f>HYPERLINK("http://thaliatheatre.co.uk","thaliatheatre.co.uk")</f>
        <v>thaliatheatre.co.uk</v>
      </c>
      <c r="C13215" t="s">
        <v>506</v>
      </c>
      <c r="D13215" t="s">
        <v>880</v>
      </c>
      <c r="F13215">
        <v>4.8787364889485202E-9</v>
      </c>
      <c r="G13215">
        <v>33123794</v>
      </c>
      <c r="H13215">
        <v>10939929</v>
      </c>
      <c r="I13215">
        <v>34828965</v>
      </c>
      <c r="J13215">
        <v>9</v>
      </c>
    </row>
    <row r="13216" spans="1:10" x14ac:dyDescent="0.25">
      <c r="A13216" t="s">
        <v>132</v>
      </c>
      <c r="B13216" s="1" t="str">
        <f>HYPERLINK("http://vinecom.co.uk","vinecom.co.uk")</f>
        <v>vinecom.co.uk</v>
      </c>
      <c r="C13216" t="s">
        <v>506</v>
      </c>
      <c r="D13216" t="s">
        <v>880</v>
      </c>
      <c r="F13216">
        <v>2.5934634384154501E-8</v>
      </c>
      <c r="G13216">
        <v>1986888</v>
      </c>
      <c r="H13216">
        <v>14130889</v>
      </c>
      <c r="I13216">
        <v>2022348</v>
      </c>
      <c r="J13216">
        <v>9</v>
      </c>
    </row>
    <row r="13217" spans="1:10" x14ac:dyDescent="0.25">
      <c r="A13217" t="s">
        <v>132</v>
      </c>
      <c r="B13217" s="1" t="str">
        <f>HYPERLINK("http://wollastonbaptist.co.uk","wollastonbaptist.co.uk")</f>
        <v>wollastonbaptist.co.uk</v>
      </c>
      <c r="C13217" t="s">
        <v>506</v>
      </c>
      <c r="D13217" t="s">
        <v>880</v>
      </c>
      <c r="F13217">
        <v>4.53518709125468E-9</v>
      </c>
      <c r="G13217">
        <v>54481121</v>
      </c>
      <c r="H13217">
        <v>13763633</v>
      </c>
      <c r="I13217">
        <v>9393405</v>
      </c>
      <c r="J13217">
        <v>9</v>
      </c>
    </row>
    <row r="13218" spans="1:10" x14ac:dyDescent="0.25">
      <c r="A13218" t="s">
        <v>132</v>
      </c>
      <c r="B13218" s="1" t="str">
        <f>HYPERLINK("http://yourwhc.co.uk","yourwhc.co.uk")</f>
        <v>yourwhc.co.uk</v>
      </c>
      <c r="C13218" t="s">
        <v>506</v>
      </c>
      <c r="D13218" t="s">
        <v>880</v>
      </c>
      <c r="E13218">
        <v>209862</v>
      </c>
      <c r="F13218">
        <v>8.6731761187196407E-9</v>
      </c>
      <c r="G13218">
        <v>8524533</v>
      </c>
      <c r="H13218">
        <v>12249279</v>
      </c>
      <c r="I13218">
        <v>22028868</v>
      </c>
      <c r="J13218">
        <v>6</v>
      </c>
    </row>
    <row r="13219" spans="1:10" x14ac:dyDescent="0.25">
      <c r="A13219" t="s">
        <v>132</v>
      </c>
      <c r="B13219" s="1" t="str">
        <f>HYPERLINK("http://plus.net.uk","plus.net.uk")</f>
        <v>plus.net.uk</v>
      </c>
      <c r="C13219" t="s">
        <v>506</v>
      </c>
      <c r="D13219" t="s">
        <v>880</v>
      </c>
      <c r="F13219">
        <v>4.63441885044711E-9</v>
      </c>
      <c r="G13219">
        <v>45132302</v>
      </c>
      <c r="H13219">
        <v>12163381</v>
      </c>
      <c r="I13219">
        <v>24276172</v>
      </c>
      <c r="J13219">
        <v>7</v>
      </c>
    </row>
    <row r="13220" spans="1:10" x14ac:dyDescent="0.25">
      <c r="A13220" t="s">
        <v>132</v>
      </c>
      <c r="B13220" s="1" t="str">
        <f>HYPERLINK("http://swanagemuseum.org.uk","swanagemuseum.org.uk")</f>
        <v>swanagemuseum.org.uk</v>
      </c>
      <c r="C13220" t="s">
        <v>506</v>
      </c>
      <c r="D13220" t="s">
        <v>880</v>
      </c>
      <c r="F13220">
        <v>7.8532724595183798E-9</v>
      </c>
      <c r="G13220">
        <v>10206519</v>
      </c>
      <c r="H13220">
        <v>13792999</v>
      </c>
      <c r="I13220">
        <v>6325477</v>
      </c>
      <c r="J13220">
        <v>9</v>
      </c>
    </row>
    <row r="13221" spans="1:10" x14ac:dyDescent="0.25">
      <c r="A13221" t="s">
        <v>132</v>
      </c>
      <c r="B13221" s="1" t="str">
        <f>HYPERLINK("http://t-systems.co.za","t-systems.co.za")</f>
        <v>t-systems.co.za</v>
      </c>
      <c r="C13221" t="s">
        <v>510</v>
      </c>
      <c r="D13221" t="s">
        <v>884</v>
      </c>
      <c r="F13221">
        <v>7.7723790569621601E-9</v>
      </c>
      <c r="G13221">
        <v>10385741</v>
      </c>
      <c r="H13221">
        <v>13146289</v>
      </c>
      <c r="I13221">
        <v>11843481</v>
      </c>
      <c r="J13221">
        <v>5</v>
      </c>
    </row>
    <row r="13222" spans="1:10" x14ac:dyDescent="0.25">
      <c r="A13222" t="s">
        <v>1610</v>
      </c>
      <c r="B13222" s="1" t="str">
        <f>HYPERLINK("http://devonenergy.com","devonenergy.com")</f>
        <v>devonenergy.com</v>
      </c>
      <c r="C13222" t="s">
        <v>433</v>
      </c>
      <c r="E13222">
        <v>224561</v>
      </c>
      <c r="F13222">
        <v>2.2470619575665201E-7</v>
      </c>
      <c r="G13222">
        <v>167712</v>
      </c>
      <c r="H13222">
        <v>14996490</v>
      </c>
      <c r="I13222">
        <v>426664</v>
      </c>
      <c r="J13222">
        <v>1</v>
      </c>
    </row>
    <row r="13223" spans="1:10" x14ac:dyDescent="0.25">
      <c r="A13223" t="s">
        <v>1610</v>
      </c>
      <c r="B13223" s="1" t="str">
        <f>HYPERLINK("http://dvn.com","dvn.com")</f>
        <v>dvn.com</v>
      </c>
      <c r="C13223" t="s">
        <v>433</v>
      </c>
      <c r="E13223">
        <v>250726</v>
      </c>
      <c r="F13223">
        <v>1.7434110543917E-8</v>
      </c>
      <c r="G13223">
        <v>3163874</v>
      </c>
      <c r="H13223">
        <v>13869631</v>
      </c>
      <c r="I13223">
        <v>6000613</v>
      </c>
      <c r="J13223">
        <v>2</v>
      </c>
    </row>
    <row r="13224" spans="1:10" x14ac:dyDescent="0.25">
      <c r="A13224" t="s">
        <v>1610</v>
      </c>
      <c r="B13224" s="1" t="str">
        <f>HYPERLINK("http://wpxenergy.com","wpxenergy.com")</f>
        <v>wpxenergy.com</v>
      </c>
      <c r="C13224" t="s">
        <v>433</v>
      </c>
      <c r="F13224">
        <v>2.96368249219271E-8</v>
      </c>
      <c r="G13224">
        <v>1737147</v>
      </c>
      <c r="H13224">
        <v>13915694</v>
      </c>
      <c r="I13224">
        <v>5938150</v>
      </c>
      <c r="J13224">
        <v>4</v>
      </c>
    </row>
    <row r="13225" spans="1:10" x14ac:dyDescent="0.25">
      <c r="A13225" t="s">
        <v>133</v>
      </c>
      <c r="B13225" s="1" t="str">
        <f>HYPERLINK("http://dexcom.com","dexcom.com")</f>
        <v>dexcom.com</v>
      </c>
      <c r="C13225" t="s">
        <v>433</v>
      </c>
      <c r="E13225">
        <v>21469</v>
      </c>
      <c r="F13225">
        <v>7.8907113678112701E-7</v>
      </c>
      <c r="G13225">
        <v>49768</v>
      </c>
      <c r="H13225">
        <v>17440552</v>
      </c>
      <c r="I13225">
        <v>16648</v>
      </c>
      <c r="J13225">
        <v>1</v>
      </c>
    </row>
    <row r="13226" spans="1:10" x14ac:dyDescent="0.25">
      <c r="A13226" t="s">
        <v>133</v>
      </c>
      <c r="B13226" s="1" t="str">
        <f>HYPERLINK("http://sweetspotdiabetes.com","sweetspotdiabetes.com")</f>
        <v>sweetspotdiabetes.com</v>
      </c>
      <c r="C13226" t="s">
        <v>433</v>
      </c>
      <c r="F13226">
        <v>7.3936653099727599E-9</v>
      </c>
      <c r="G13226">
        <v>11258269</v>
      </c>
      <c r="H13226">
        <v>12672251</v>
      </c>
      <c r="I13226">
        <v>15602992</v>
      </c>
      <c r="J13226">
        <v>3</v>
      </c>
    </row>
    <row r="13227" spans="1:10" x14ac:dyDescent="0.25">
      <c r="A13227" t="s">
        <v>133</v>
      </c>
      <c r="B13227" s="1" t="str">
        <f>HYPERLINK("http://typezero.com","typezero.com")</f>
        <v>typezero.com</v>
      </c>
      <c r="C13227" t="s">
        <v>433</v>
      </c>
      <c r="F13227">
        <v>9.7385388966555903E-9</v>
      </c>
      <c r="G13227">
        <v>7036724</v>
      </c>
      <c r="H13227">
        <v>13372261</v>
      </c>
      <c r="I13227">
        <v>10460085</v>
      </c>
      <c r="J13227">
        <v>3</v>
      </c>
    </row>
    <row r="13228" spans="1:10" x14ac:dyDescent="0.25">
      <c r="A13228" t="s">
        <v>133</v>
      </c>
      <c r="B13228" s="1" t="str">
        <f>HYPERLINK("http://dexcom.eu","dexcom.eu")</f>
        <v>dexcom.eu</v>
      </c>
      <c r="C13228" t="s">
        <v>444</v>
      </c>
      <c r="E13228">
        <v>403106</v>
      </c>
      <c r="F13228">
        <v>2.4442198849702701E-8</v>
      </c>
      <c r="G13228">
        <v>2119942</v>
      </c>
      <c r="H13228">
        <v>13128135</v>
      </c>
      <c r="I13228">
        <v>11949019</v>
      </c>
      <c r="J13228">
        <v>2</v>
      </c>
    </row>
    <row r="13229" spans="1:10" x14ac:dyDescent="0.25">
      <c r="A13229" t="s">
        <v>133</v>
      </c>
      <c r="B13229" s="1" t="str">
        <f>HYPERLINK("http://dexcom.jp","dexcom.jp")</f>
        <v>dexcom.jp</v>
      </c>
      <c r="C13229" t="s">
        <v>461</v>
      </c>
      <c r="D13229" t="s">
        <v>837</v>
      </c>
      <c r="F13229">
        <v>1.2112717578894799E-8</v>
      </c>
      <c r="G13229">
        <v>5101881</v>
      </c>
      <c r="H13229">
        <v>12221722</v>
      </c>
      <c r="I13229">
        <v>22753406</v>
      </c>
      <c r="J13229">
        <v>2</v>
      </c>
    </row>
    <row r="13230" spans="1:10" x14ac:dyDescent="0.25">
      <c r="A13230" t="s">
        <v>133</v>
      </c>
      <c r="B13230" s="1" t="str">
        <f>HYPERLINK("http://the-100.org","the-100.org")</f>
        <v>the-100.org</v>
      </c>
      <c r="C13230" t="s">
        <v>481</v>
      </c>
      <c r="F13230">
        <v>4.5133910477344104E-9</v>
      </c>
      <c r="G13230">
        <v>57059294</v>
      </c>
      <c r="H13230">
        <v>11086981</v>
      </c>
      <c r="I13230">
        <v>32415948</v>
      </c>
      <c r="J13230">
        <v>3</v>
      </c>
    </row>
    <row r="13231" spans="1:10" x14ac:dyDescent="0.25">
      <c r="A13231" t="s">
        <v>134</v>
      </c>
      <c r="B13231" s="1" t="str">
        <f>HYPERLINK("http://johnniewalker.bg","johnniewalker.bg")</f>
        <v>johnniewalker.bg</v>
      </c>
      <c r="C13231" t="s">
        <v>422</v>
      </c>
      <c r="D13231" t="s">
        <v>804</v>
      </c>
      <c r="F13231">
        <v>7.7755648539247808E-9</v>
      </c>
      <c r="G13231">
        <v>10378751</v>
      </c>
      <c r="H13231">
        <v>12219482</v>
      </c>
      <c r="I13231">
        <v>22797628</v>
      </c>
      <c r="J13231">
        <v>4</v>
      </c>
    </row>
    <row r="13232" spans="1:10" x14ac:dyDescent="0.25">
      <c r="A13232" t="s">
        <v>134</v>
      </c>
      <c r="B13232" s="1" t="str">
        <f>HYPERLINK("http://21seeds.com","21seeds.com")</f>
        <v>21seeds.com</v>
      </c>
      <c r="C13232" t="s">
        <v>433</v>
      </c>
      <c r="E13232">
        <v>390451</v>
      </c>
      <c r="F13232">
        <v>4.6447436007547599E-8</v>
      </c>
      <c r="G13232">
        <v>1007222</v>
      </c>
      <c r="H13232">
        <v>14103295</v>
      </c>
      <c r="I13232">
        <v>2696389</v>
      </c>
      <c r="J13232">
        <v>3</v>
      </c>
    </row>
    <row r="13233" spans="1:10" x14ac:dyDescent="0.25">
      <c r="A13233" t="s">
        <v>134</v>
      </c>
      <c r="B13233" s="1" t="str">
        <f>HYPERLINK("http://alexanderandjames.com","alexanderandjames.com")</f>
        <v>alexanderandjames.com</v>
      </c>
      <c r="C13233" t="s">
        <v>433</v>
      </c>
      <c r="F13233">
        <v>2.0523337209058299E-8</v>
      </c>
      <c r="G13233">
        <v>2581457</v>
      </c>
      <c r="H13233">
        <v>13809990</v>
      </c>
      <c r="I13233">
        <v>6213493</v>
      </c>
      <c r="J13233">
        <v>3</v>
      </c>
    </row>
    <row r="13234" spans="1:10" x14ac:dyDescent="0.25">
      <c r="A13234" t="s">
        <v>134</v>
      </c>
      <c r="B13234" s="1" t="str">
        <f>HYPERLINK("http://casamigos.com","casamigos.com")</f>
        <v>casamigos.com</v>
      </c>
      <c r="C13234" t="s">
        <v>433</v>
      </c>
      <c r="E13234">
        <v>540188</v>
      </c>
      <c r="F13234">
        <v>1.8106041729618999E-7</v>
      </c>
      <c r="G13234">
        <v>213369</v>
      </c>
      <c r="H13234">
        <v>14105808</v>
      </c>
      <c r="I13234">
        <v>2690078</v>
      </c>
      <c r="J13234">
        <v>6</v>
      </c>
    </row>
    <row r="13235" spans="1:10" x14ac:dyDescent="0.25">
      <c r="A13235" t="s">
        <v>134</v>
      </c>
      <c r="B13235" s="1" t="str">
        <f>HYPERLINK("http://casamigostequila.com","casamigostequila.com")</f>
        <v>casamigostequila.com</v>
      </c>
      <c r="C13235" t="s">
        <v>433</v>
      </c>
      <c r="F13235">
        <v>1.3296728926014099E-7</v>
      </c>
      <c r="G13235">
        <v>293829</v>
      </c>
      <c r="H13235">
        <v>14421638</v>
      </c>
      <c r="I13235">
        <v>1086832</v>
      </c>
      <c r="J13235">
        <v>3</v>
      </c>
    </row>
    <row r="13236" spans="1:10" x14ac:dyDescent="0.25">
      <c r="A13236" t="s">
        <v>134</v>
      </c>
      <c r="B13236" s="1" t="str">
        <f>HYPERLINK("http://davosbrands.com","davosbrands.com")</f>
        <v>davosbrands.com</v>
      </c>
      <c r="C13236" t="s">
        <v>433</v>
      </c>
      <c r="F13236">
        <v>2.2119954008055201E-8</v>
      </c>
      <c r="G13236">
        <v>2372120</v>
      </c>
      <c r="H13236">
        <v>13538120</v>
      </c>
      <c r="I13236">
        <v>9910507</v>
      </c>
      <c r="J13236">
        <v>3</v>
      </c>
    </row>
    <row r="13237" spans="1:10" x14ac:dyDescent="0.25">
      <c r="A13237" t="s">
        <v>134</v>
      </c>
      <c r="B13237" s="1" t="str">
        <f>HYPERLINK("http://diageo.com","diageo.com")</f>
        <v>diageo.com</v>
      </c>
      <c r="C13237" t="s">
        <v>433</v>
      </c>
      <c r="E13237">
        <v>28638</v>
      </c>
      <c r="F13237">
        <v>1.44318378693204E-6</v>
      </c>
      <c r="G13237">
        <v>27155</v>
      </c>
      <c r="H13237">
        <v>15655402</v>
      </c>
      <c r="I13237">
        <v>370646</v>
      </c>
      <c r="J13237">
        <v>1</v>
      </c>
    </row>
    <row r="13238" spans="1:10" x14ac:dyDescent="0.25">
      <c r="A13238" t="s">
        <v>134</v>
      </c>
      <c r="B13238" s="1" t="str">
        <f>HYPERLINK("http://diageocms.com","diageocms.com")</f>
        <v>diageocms.com</v>
      </c>
      <c r="C13238" t="s">
        <v>433</v>
      </c>
      <c r="E13238">
        <v>822438</v>
      </c>
      <c r="F13238">
        <v>6.2035170602614199E-8</v>
      </c>
      <c r="G13238">
        <v>708747</v>
      </c>
      <c r="H13238">
        <v>14307685</v>
      </c>
      <c r="I13238">
        <v>1347335</v>
      </c>
      <c r="J13238">
        <v>3</v>
      </c>
    </row>
    <row r="13239" spans="1:10" x14ac:dyDescent="0.25">
      <c r="A13239" t="s">
        <v>134</v>
      </c>
      <c r="B13239" s="1" t="str">
        <f>HYPERLINK("http://diageoindia.com","diageoindia.com")</f>
        <v>diageoindia.com</v>
      </c>
      <c r="C13239" t="s">
        <v>433</v>
      </c>
      <c r="E13239">
        <v>999402</v>
      </c>
      <c r="F13239">
        <v>5.0179651152540702E-8</v>
      </c>
      <c r="G13239">
        <v>917112</v>
      </c>
      <c r="H13239">
        <v>14091901</v>
      </c>
      <c r="I13239">
        <v>2741758</v>
      </c>
      <c r="J13239">
        <v>3</v>
      </c>
    </row>
    <row r="13240" spans="1:10" x14ac:dyDescent="0.25">
      <c r="A13240" t="s">
        <v>134</v>
      </c>
      <c r="B13240" s="1" t="str">
        <f>HYPERLINK("http://eabl.com","eabl.com")</f>
        <v>eabl.com</v>
      </c>
      <c r="C13240" t="s">
        <v>433</v>
      </c>
      <c r="E13240">
        <v>684510</v>
      </c>
      <c r="F13240">
        <v>8.8005122221823905E-8</v>
      </c>
      <c r="G13240">
        <v>465739</v>
      </c>
      <c r="H13240">
        <v>14303240</v>
      </c>
      <c r="I13240">
        <v>1353656</v>
      </c>
      <c r="J13240">
        <v>3</v>
      </c>
    </row>
    <row r="13241" spans="1:10" x14ac:dyDescent="0.25">
      <c r="A13241" t="s">
        <v>134</v>
      </c>
      <c r="B13241" s="1" t="str">
        <f>HYPERLINK("http://georgedickel.com","georgedickel.com")</f>
        <v>georgedickel.com</v>
      </c>
      <c r="C13241" t="s">
        <v>433</v>
      </c>
      <c r="E13241">
        <v>686129</v>
      </c>
      <c r="F13241">
        <v>7.2967225803290594E-8</v>
      </c>
      <c r="G13241">
        <v>577961</v>
      </c>
      <c r="H13241">
        <v>14587850</v>
      </c>
      <c r="I13241">
        <v>698636</v>
      </c>
      <c r="J13241">
        <v>3</v>
      </c>
    </row>
    <row r="13242" spans="1:10" x14ac:dyDescent="0.25">
      <c r="A13242" t="s">
        <v>134</v>
      </c>
      <c r="B13242" s="1" t="str">
        <f>HYPERLINK("http://guinness.com","guinness.com")</f>
        <v>guinness.com</v>
      </c>
      <c r="C13242" t="s">
        <v>433</v>
      </c>
      <c r="E13242">
        <v>44759</v>
      </c>
      <c r="F13242">
        <v>6.3838216593169505E-7</v>
      </c>
      <c r="G13242">
        <v>60171</v>
      </c>
      <c r="H13242">
        <v>15424885</v>
      </c>
      <c r="I13242">
        <v>379146</v>
      </c>
      <c r="J13242">
        <v>5</v>
      </c>
    </row>
    <row r="13243" spans="1:10" x14ac:dyDescent="0.25">
      <c r="A13243" t="s">
        <v>134</v>
      </c>
      <c r="B13243" s="1" t="str">
        <f>HYPERLINK("http://guinness-nigeria.com","guinness-nigeria.com")</f>
        <v>guinness-nigeria.com</v>
      </c>
      <c r="C13243" t="s">
        <v>433</v>
      </c>
      <c r="E13243">
        <v>826359</v>
      </c>
      <c r="F13243">
        <v>3.28348882323157E-8</v>
      </c>
      <c r="G13243">
        <v>1573446</v>
      </c>
      <c r="H13243">
        <v>14258365</v>
      </c>
      <c r="I13243">
        <v>1425191</v>
      </c>
      <c r="J13243">
        <v>3</v>
      </c>
    </row>
    <row r="13244" spans="1:10" x14ac:dyDescent="0.25">
      <c r="A13244" t="s">
        <v>134</v>
      </c>
      <c r="B13244" s="1" t="str">
        <f>HYPERLINK("http://johnniewalker.com","johnniewalker.com")</f>
        <v>johnniewalker.com</v>
      </c>
      <c r="C13244" t="s">
        <v>433</v>
      </c>
      <c r="E13244">
        <v>51013</v>
      </c>
      <c r="F13244">
        <v>5.80118253077469E-7</v>
      </c>
      <c r="G13244">
        <v>65858</v>
      </c>
      <c r="H13244">
        <v>17441984</v>
      </c>
      <c r="I13244">
        <v>16569</v>
      </c>
      <c r="J13244">
        <v>3</v>
      </c>
    </row>
    <row r="13245" spans="1:10" x14ac:dyDescent="0.25">
      <c r="A13245" t="s">
        <v>134</v>
      </c>
      <c r="B13245" s="1" t="str">
        <f>HYPERLINK("http://malts.com","malts.com")</f>
        <v>malts.com</v>
      </c>
      <c r="C13245" t="s">
        <v>433</v>
      </c>
      <c r="E13245">
        <v>91679</v>
      </c>
      <c r="F13245">
        <v>3.46605813337396E-7</v>
      </c>
      <c r="G13245">
        <v>107777</v>
      </c>
      <c r="H13245">
        <v>17209628</v>
      </c>
      <c r="I13245">
        <v>40110</v>
      </c>
      <c r="J13245">
        <v>3</v>
      </c>
    </row>
    <row r="13246" spans="1:10" x14ac:dyDescent="0.25">
      <c r="A13246" t="s">
        <v>134</v>
      </c>
      <c r="B13246" s="1" t="str">
        <f>HYPERLINK("http://mortlach.com","mortlach.com")</f>
        <v>mortlach.com</v>
      </c>
      <c r="C13246" t="s">
        <v>433</v>
      </c>
      <c r="F13246">
        <v>1.4754067723079999E-8</v>
      </c>
      <c r="G13246">
        <v>3922617</v>
      </c>
      <c r="H13246">
        <v>13476541</v>
      </c>
      <c r="I13246">
        <v>10018919</v>
      </c>
      <c r="J13246">
        <v>3</v>
      </c>
    </row>
    <row r="13247" spans="1:10" x14ac:dyDescent="0.25">
      <c r="A13247" t="s">
        <v>134</v>
      </c>
      <c r="B13247" s="1" t="str">
        <f>HYPERLINK("http://pioneerdistilleries.com","pioneerdistilleries.com")</f>
        <v>pioneerdistilleries.com</v>
      </c>
      <c r="C13247" t="s">
        <v>433</v>
      </c>
      <c r="F13247">
        <v>5.9664371301979503E-9</v>
      </c>
      <c r="G13247">
        <v>16904065</v>
      </c>
      <c r="H13247">
        <v>12084133</v>
      </c>
      <c r="I13247">
        <v>26459344</v>
      </c>
      <c r="J13247">
        <v>3</v>
      </c>
    </row>
    <row r="13248" spans="1:10" x14ac:dyDescent="0.25">
      <c r="A13248" t="s">
        <v>134</v>
      </c>
      <c r="B13248" s="1" t="str">
        <f>HYPERLINK("http://pulpex.com","pulpex.com")</f>
        <v>pulpex.com</v>
      </c>
      <c r="C13248" t="s">
        <v>433</v>
      </c>
      <c r="F13248">
        <v>5.3855076908152898E-8</v>
      </c>
      <c r="G13248">
        <v>843896</v>
      </c>
      <c r="H13248">
        <v>13559341</v>
      </c>
      <c r="I13248">
        <v>9856674</v>
      </c>
      <c r="J13248">
        <v>6</v>
      </c>
    </row>
    <row r="13249" spans="1:10" x14ac:dyDescent="0.25">
      <c r="A13249" t="s">
        <v>134</v>
      </c>
      <c r="B13249" s="1" t="str">
        <f>HYPERLINK("http://royalchallengers.com","royalchallengers.com")</f>
        <v>royalchallengers.com</v>
      </c>
      <c r="C13249" t="s">
        <v>433</v>
      </c>
      <c r="E13249">
        <v>571541</v>
      </c>
      <c r="F13249">
        <v>9.2460950454413099E-8</v>
      </c>
      <c r="G13249">
        <v>440132</v>
      </c>
      <c r="H13249">
        <v>14971783</v>
      </c>
      <c r="I13249">
        <v>433484</v>
      </c>
      <c r="J13249">
        <v>3</v>
      </c>
    </row>
    <row r="13250" spans="1:10" x14ac:dyDescent="0.25">
      <c r="A13250" t="s">
        <v>134</v>
      </c>
      <c r="B13250" s="1" t="str">
        <f>HYPERLINK("http://serengetibrew.com","serengetibrew.com")</f>
        <v>serengetibrew.com</v>
      </c>
      <c r="C13250" t="s">
        <v>433</v>
      </c>
      <c r="F13250">
        <v>4.6106794723805397E-9</v>
      </c>
      <c r="G13250">
        <v>46795984</v>
      </c>
      <c r="H13250">
        <v>10730774</v>
      </c>
      <c r="I13250">
        <v>40895734</v>
      </c>
      <c r="J13250">
        <v>3</v>
      </c>
    </row>
    <row r="13251" spans="1:10" x14ac:dyDescent="0.25">
      <c r="A13251" t="s">
        <v>134</v>
      </c>
      <c r="B13251" s="1" t="str">
        <f>HYPERLINK("http://smirnoff.com","smirnoff.com")</f>
        <v>smirnoff.com</v>
      </c>
      <c r="C13251" t="s">
        <v>433</v>
      </c>
      <c r="E13251">
        <v>101840</v>
      </c>
      <c r="F13251">
        <v>2.7256334604791302E-7</v>
      </c>
      <c r="G13251">
        <v>136514</v>
      </c>
      <c r="H13251">
        <v>15478324</v>
      </c>
      <c r="I13251">
        <v>377320</v>
      </c>
      <c r="J13251">
        <v>3</v>
      </c>
    </row>
    <row r="13252" spans="1:10" x14ac:dyDescent="0.25">
      <c r="A13252" t="s">
        <v>134</v>
      </c>
      <c r="B13252" s="1" t="str">
        <f>HYPERLINK("http://smithwicksexperience.com","smithwicksexperience.com")</f>
        <v>smithwicksexperience.com</v>
      </c>
      <c r="C13252" t="s">
        <v>433</v>
      </c>
      <c r="F13252">
        <v>5.8331565592011701E-8</v>
      </c>
      <c r="G13252">
        <v>761984</v>
      </c>
      <c r="H13252">
        <v>14508965</v>
      </c>
      <c r="I13252">
        <v>827226</v>
      </c>
      <c r="J13252">
        <v>3</v>
      </c>
    </row>
    <row r="13253" spans="1:10" x14ac:dyDescent="0.25">
      <c r="A13253" t="s">
        <v>134</v>
      </c>
      <c r="B13253" s="1" t="str">
        <f>HYPERLINK("http://sovereigndistilleries.com","sovereigndistilleries.com")</f>
        <v>sovereigndistilleries.com</v>
      </c>
      <c r="C13253" t="s">
        <v>433</v>
      </c>
      <c r="J13253">
        <v>3</v>
      </c>
    </row>
    <row r="13254" spans="1:10" x14ac:dyDescent="0.25">
      <c r="A13254" t="s">
        <v>134</v>
      </c>
      <c r="B13254" s="1" t="str">
        <f>HYPERLINK("http://stirrings.com","stirrings.com")</f>
        <v>stirrings.com</v>
      </c>
      <c r="C13254" t="s">
        <v>433</v>
      </c>
      <c r="F13254">
        <v>3.5109268667189098E-8</v>
      </c>
      <c r="G13254">
        <v>1480397</v>
      </c>
      <c r="H13254">
        <v>14155965</v>
      </c>
      <c r="I13254">
        <v>1857518</v>
      </c>
      <c r="J13254">
        <v>3</v>
      </c>
    </row>
    <row r="13255" spans="1:10" x14ac:dyDescent="0.25">
      <c r="A13255" t="s">
        <v>134</v>
      </c>
      <c r="B13255" s="1" t="str">
        <f>HYPERLINK("http://swellfun.com","swellfun.com")</f>
        <v>swellfun.com</v>
      </c>
      <c r="C13255" t="s">
        <v>433</v>
      </c>
      <c r="E13255">
        <v>301941</v>
      </c>
      <c r="F13255">
        <v>3.8300154538111298E-8</v>
      </c>
      <c r="G13255">
        <v>1351685</v>
      </c>
      <c r="H13255">
        <v>13439863</v>
      </c>
      <c r="I13255">
        <v>10261187</v>
      </c>
      <c r="J13255">
        <v>3</v>
      </c>
    </row>
    <row r="13256" spans="1:10" x14ac:dyDescent="0.25">
      <c r="A13256" t="s">
        <v>134</v>
      </c>
      <c r="B13256" s="1" t="str">
        <f>HYPERLINK("http://theubgroup.com","theubgroup.com")</f>
        <v>theubgroup.com</v>
      </c>
      <c r="C13256" t="s">
        <v>433</v>
      </c>
      <c r="F13256">
        <v>8.0193115392963405E-9</v>
      </c>
      <c r="G13256">
        <v>9885521</v>
      </c>
      <c r="H13256">
        <v>14485566</v>
      </c>
      <c r="I13256">
        <v>990932</v>
      </c>
      <c r="J13256">
        <v>4</v>
      </c>
    </row>
    <row r="13257" spans="1:10" x14ac:dyDescent="0.25">
      <c r="A13257" t="s">
        <v>134</v>
      </c>
      <c r="B13257" s="1" t="str">
        <f>HYPERLINK("http://diageo.co.kr","diageo.co.kr")</f>
        <v>diageo.co.kr</v>
      </c>
      <c r="C13257" t="s">
        <v>463</v>
      </c>
      <c r="D13257" t="s">
        <v>839</v>
      </c>
      <c r="F13257">
        <v>1.18814875295339E-8</v>
      </c>
      <c r="G13257">
        <v>5250484</v>
      </c>
      <c r="H13257">
        <v>12784432</v>
      </c>
      <c r="I13257">
        <v>14720219</v>
      </c>
      <c r="J13257">
        <v>3</v>
      </c>
    </row>
    <row r="13258" spans="1:10" x14ac:dyDescent="0.25">
      <c r="A13258" t="s">
        <v>134</v>
      </c>
      <c r="B13258" s="1" t="str">
        <f>HYPERLINK("http://diageo.net","diageo.net")</f>
        <v>diageo.net</v>
      </c>
      <c r="C13258" t="s">
        <v>474</v>
      </c>
      <c r="E13258">
        <v>863705</v>
      </c>
      <c r="F13258">
        <v>5.4987492137651403E-9</v>
      </c>
      <c r="G13258">
        <v>20915377</v>
      </c>
      <c r="H13258">
        <v>13075286</v>
      </c>
      <c r="I13258">
        <v>12214236</v>
      </c>
      <c r="J13258">
        <v>2</v>
      </c>
    </row>
    <row r="13259" spans="1:10" x14ac:dyDescent="0.25">
      <c r="A13259" t="s">
        <v>134</v>
      </c>
      <c r="B13259" s="1" t="str">
        <f>HYPERLINK("http://guww.net","guww.net")</f>
        <v>guww.net</v>
      </c>
      <c r="C13259" t="s">
        <v>474</v>
      </c>
      <c r="F13259">
        <v>4.44381528729582E-9</v>
      </c>
      <c r="G13259">
        <v>79420153</v>
      </c>
      <c r="H13259">
        <v>10358497</v>
      </c>
      <c r="I13259">
        <v>55406673</v>
      </c>
      <c r="J13259">
        <v>2</v>
      </c>
    </row>
    <row r="13260" spans="1:10" x14ac:dyDescent="0.25">
      <c r="A13260" t="s">
        <v>134</v>
      </c>
      <c r="B13260" s="1" t="str">
        <f>HYPERLINK("http://mey.com.tr","mey.com.tr")</f>
        <v>mey.com.tr</v>
      </c>
      <c r="C13260" t="s">
        <v>502</v>
      </c>
      <c r="D13260" t="s">
        <v>876</v>
      </c>
      <c r="F13260">
        <v>3.3224813728662301E-8</v>
      </c>
      <c r="G13260">
        <v>1555251</v>
      </c>
      <c r="H13260">
        <v>14237335</v>
      </c>
      <c r="I13260">
        <v>1553858</v>
      </c>
      <c r="J13260">
        <v>3</v>
      </c>
    </row>
    <row r="13261" spans="1:10" x14ac:dyDescent="0.25">
      <c r="A13261" t="s">
        <v>134</v>
      </c>
      <c r="B13261" s="1" t="str">
        <f>HYPERLINK("http://northbritish.co.uk","northbritish.co.uk")</f>
        <v>northbritish.co.uk</v>
      </c>
      <c r="C13261" t="s">
        <v>506</v>
      </c>
      <c r="D13261" t="s">
        <v>880</v>
      </c>
      <c r="F13261">
        <v>7.7173880380330401E-9</v>
      </c>
      <c r="G13261">
        <v>10535111</v>
      </c>
      <c r="H13261">
        <v>14123691</v>
      </c>
      <c r="I13261">
        <v>2166704</v>
      </c>
      <c r="J13261">
        <v>10</v>
      </c>
    </row>
    <row r="13262" spans="1:10" x14ac:dyDescent="0.25">
      <c r="A13262" t="s">
        <v>134</v>
      </c>
      <c r="B13262" s="1" t="str">
        <f>HYPERLINK("http://scotchwhiskyexperience.co.uk","scotchwhiskyexperience.co.uk")</f>
        <v>scotchwhiskyexperience.co.uk</v>
      </c>
      <c r="C13262" t="s">
        <v>506</v>
      </c>
      <c r="D13262" t="s">
        <v>880</v>
      </c>
      <c r="E13262">
        <v>279325</v>
      </c>
      <c r="F13262">
        <v>1.4713160295392801E-7</v>
      </c>
      <c r="G13262">
        <v>264605</v>
      </c>
      <c r="H13262">
        <v>17158070</v>
      </c>
      <c r="I13262">
        <v>50459</v>
      </c>
      <c r="J13262">
        <v>5</v>
      </c>
    </row>
    <row r="13263" spans="1:10" x14ac:dyDescent="0.25">
      <c r="A13263" t="s">
        <v>134</v>
      </c>
      <c r="B13263" s="1" t="str">
        <f>HYPERLINK("http://thenorthbritish.co.uk","thenorthbritish.co.uk")</f>
        <v>thenorthbritish.co.uk</v>
      </c>
      <c r="C13263" t="s">
        <v>506</v>
      </c>
      <c r="D13263" t="s">
        <v>880</v>
      </c>
      <c r="F13263">
        <v>5.4763158283560098E-9</v>
      </c>
      <c r="G13263">
        <v>21172874</v>
      </c>
      <c r="H13263">
        <v>12322201</v>
      </c>
      <c r="I13263">
        <v>20371760</v>
      </c>
      <c r="J13263">
        <v>7</v>
      </c>
    </row>
    <row r="13264" spans="1:10" x14ac:dyDescent="0.25">
      <c r="A13264" t="s">
        <v>134</v>
      </c>
      <c r="B13264" s="1" t="str">
        <f>HYPERLINK("http://undiscoveredscotland.co.uk","undiscoveredscotland.co.uk")</f>
        <v>undiscoveredscotland.co.uk</v>
      </c>
      <c r="C13264" t="s">
        <v>506</v>
      </c>
      <c r="D13264" t="s">
        <v>880</v>
      </c>
      <c r="E13264">
        <v>73253</v>
      </c>
      <c r="F13264">
        <v>2.8319322607763199E-7</v>
      </c>
      <c r="G13264">
        <v>131266</v>
      </c>
      <c r="H13264">
        <v>15118762</v>
      </c>
      <c r="I13264">
        <v>403891</v>
      </c>
      <c r="J13264">
        <v>3</v>
      </c>
    </row>
    <row r="13265" spans="1:10" x14ac:dyDescent="0.25">
      <c r="A13265" t="s">
        <v>134</v>
      </c>
      <c r="B13265" s="1" t="str">
        <f>HYPERLINK("http://diageo.co.za","diageo.co.za")</f>
        <v>diageo.co.za</v>
      </c>
      <c r="C13265" t="s">
        <v>510</v>
      </c>
      <c r="D13265" t="s">
        <v>884</v>
      </c>
      <c r="F13265">
        <v>1.48272784725716E-8</v>
      </c>
      <c r="G13265">
        <v>3897813</v>
      </c>
      <c r="H13265">
        <v>12929070</v>
      </c>
      <c r="I13265">
        <v>13373044</v>
      </c>
      <c r="J13265">
        <v>2</v>
      </c>
    </row>
    <row r="13266" spans="1:10" x14ac:dyDescent="0.25">
      <c r="A13266" t="s">
        <v>135</v>
      </c>
      <c r="B13266" s="1" t="str">
        <f>HYPERLINK("http://buckortwo.com","buckortwo.com")</f>
        <v>buckortwo.com</v>
      </c>
      <c r="C13266" t="s">
        <v>433</v>
      </c>
      <c r="F13266">
        <v>9.9400628440317308E-9</v>
      </c>
      <c r="G13266">
        <v>6816645</v>
      </c>
      <c r="H13266">
        <v>13767907</v>
      </c>
      <c r="I13266">
        <v>6906581</v>
      </c>
      <c r="J13266">
        <v>5</v>
      </c>
    </row>
    <row r="13267" spans="1:10" x14ac:dyDescent="0.25">
      <c r="A13267" t="s">
        <v>135</v>
      </c>
      <c r="B13267" s="1" t="str">
        <f>HYPERLINK("http://dg.com","dg.com")</f>
        <v>dg.com</v>
      </c>
      <c r="C13267" t="s">
        <v>433</v>
      </c>
      <c r="E13267">
        <v>423259</v>
      </c>
      <c r="F13267">
        <v>5.4898448133007E-8</v>
      </c>
      <c r="G13267">
        <v>819573</v>
      </c>
      <c r="H13267">
        <v>14311588</v>
      </c>
      <c r="I13267">
        <v>1340457</v>
      </c>
      <c r="J13267">
        <v>3</v>
      </c>
    </row>
    <row r="13268" spans="1:10" x14ac:dyDescent="0.25">
      <c r="A13268" t="s">
        <v>135</v>
      </c>
      <c r="B13268" s="1" t="str">
        <f>HYPERLINK("http://dgmedianetwork.com","dgmedianetwork.com")</f>
        <v>dgmedianetwork.com</v>
      </c>
      <c r="C13268" t="s">
        <v>433</v>
      </c>
      <c r="F13268">
        <v>2.17183407064528E-8</v>
      </c>
      <c r="G13268">
        <v>2421522</v>
      </c>
      <c r="H13268">
        <v>12492632</v>
      </c>
      <c r="I13268">
        <v>17457332</v>
      </c>
      <c r="J13268">
        <v>2</v>
      </c>
    </row>
    <row r="13269" spans="1:10" x14ac:dyDescent="0.25">
      <c r="A13269" t="s">
        <v>135</v>
      </c>
      <c r="B13269" s="1" t="str">
        <f>HYPERLINK("http://dollargeneral.com","dollargeneral.com")</f>
        <v>dollargeneral.com</v>
      </c>
      <c r="C13269" t="s">
        <v>433</v>
      </c>
      <c r="E13269">
        <v>16789</v>
      </c>
      <c r="F13269">
        <v>1.7060368279159199E-6</v>
      </c>
      <c r="G13269">
        <v>23341</v>
      </c>
      <c r="H13269">
        <v>17466940</v>
      </c>
      <c r="I13269">
        <v>15239</v>
      </c>
      <c r="J13269">
        <v>1</v>
      </c>
    </row>
    <row r="13270" spans="1:10" x14ac:dyDescent="0.25">
      <c r="A13270" t="s">
        <v>135</v>
      </c>
      <c r="B13270" s="1" t="str">
        <f>HYPERLINK("http://dollargeneralmarketing.com","dollargeneralmarketing.com")</f>
        <v>dollargeneralmarketing.com</v>
      </c>
      <c r="C13270" t="s">
        <v>433</v>
      </c>
      <c r="E13270">
        <v>589998</v>
      </c>
      <c r="F13270">
        <v>4.4447743910179198E-9</v>
      </c>
      <c r="G13270">
        <v>76108795</v>
      </c>
      <c r="H13270">
        <v>10355503</v>
      </c>
      <c r="I13270">
        <v>55756822</v>
      </c>
      <c r="J13270">
        <v>2</v>
      </c>
    </row>
    <row r="13271" spans="1:10" x14ac:dyDescent="0.25">
      <c r="A13271" t="s">
        <v>135</v>
      </c>
      <c r="B13271" s="1" t="str">
        <f>HYPERLINK("http://dollartree.com","dollartree.com")</f>
        <v>dollartree.com</v>
      </c>
      <c r="C13271" t="s">
        <v>433</v>
      </c>
      <c r="E13271">
        <v>13380</v>
      </c>
      <c r="F13271">
        <v>1.26546444184387E-6</v>
      </c>
      <c r="G13271">
        <v>30796</v>
      </c>
      <c r="H13271">
        <v>17381538</v>
      </c>
      <c r="I13271">
        <v>20562</v>
      </c>
      <c r="J13271">
        <v>4</v>
      </c>
    </row>
    <row r="13272" spans="1:10" x14ac:dyDescent="0.25">
      <c r="A13272" t="s">
        <v>135</v>
      </c>
      <c r="B13272" s="1" t="str">
        <f>HYPERLINK("http://dollartreecanada.com","dollartreecanada.com")</f>
        <v>dollartreecanada.com</v>
      </c>
      <c r="C13272" t="s">
        <v>433</v>
      </c>
      <c r="E13272">
        <v>823505</v>
      </c>
      <c r="F13272">
        <v>3.6869712551736999E-8</v>
      </c>
      <c r="G13272">
        <v>1418342</v>
      </c>
      <c r="H13272">
        <v>13792187</v>
      </c>
      <c r="I13272">
        <v>6331495</v>
      </c>
      <c r="J13272">
        <v>5</v>
      </c>
    </row>
    <row r="13273" spans="1:10" x14ac:dyDescent="0.25">
      <c r="A13273" t="s">
        <v>135</v>
      </c>
      <c r="B13273" s="1" t="str">
        <f>HYPERLINK("http://familydollar.com","familydollar.com")</f>
        <v>familydollar.com</v>
      </c>
      <c r="C13273" t="s">
        <v>433</v>
      </c>
      <c r="E13273">
        <v>34347</v>
      </c>
      <c r="F13273">
        <v>4.8683235347669996E-7</v>
      </c>
      <c r="G13273">
        <v>78250</v>
      </c>
      <c r="H13273">
        <v>17267858</v>
      </c>
      <c r="I13273">
        <v>31626</v>
      </c>
      <c r="J13273">
        <v>3</v>
      </c>
    </row>
    <row r="13274" spans="1:10" x14ac:dyDescent="0.25">
      <c r="A13274" t="s">
        <v>135</v>
      </c>
      <c r="B13274" s="1" t="str">
        <f>HYPERLINK("http://familyvideo.com","familyvideo.com")</f>
        <v>familyvideo.com</v>
      </c>
      <c r="C13274" t="s">
        <v>433</v>
      </c>
      <c r="E13274">
        <v>297160</v>
      </c>
      <c r="F13274">
        <v>7.1568447530083796E-8</v>
      </c>
      <c r="G13274">
        <v>590396</v>
      </c>
      <c r="H13274">
        <v>14946794</v>
      </c>
      <c r="I13274">
        <v>441547</v>
      </c>
      <c r="J13274">
        <v>3</v>
      </c>
    </row>
    <row r="13275" spans="1:10" x14ac:dyDescent="0.25">
      <c r="A13275" t="s">
        <v>135</v>
      </c>
      <c r="B13275" s="1" t="str">
        <f>HYPERLINK("http://mountaingear.com","mountaingear.com")</f>
        <v>mountaingear.com</v>
      </c>
      <c r="C13275" t="s">
        <v>433</v>
      </c>
      <c r="E13275">
        <v>782399</v>
      </c>
      <c r="F13275">
        <v>4.5819444117649598E-8</v>
      </c>
      <c r="G13275">
        <v>1025453</v>
      </c>
      <c r="H13275">
        <v>14261262</v>
      </c>
      <c r="I13275">
        <v>1417571</v>
      </c>
      <c r="J13275">
        <v>5</v>
      </c>
    </row>
    <row r="13276" spans="1:10" x14ac:dyDescent="0.25">
      <c r="A13276" t="s">
        <v>135</v>
      </c>
      <c r="B13276" s="1" t="str">
        <f>HYPERLINK("http://popshelfmarketing.com","popshelfmarketing.com")</f>
        <v>popshelfmarketing.com</v>
      </c>
      <c r="C13276" t="s">
        <v>433</v>
      </c>
      <c r="J13276">
        <v>2</v>
      </c>
    </row>
    <row r="13277" spans="1:10" x14ac:dyDescent="0.25">
      <c r="A13277" t="s">
        <v>135</v>
      </c>
      <c r="B13277" s="1" t="str">
        <f>HYPERLINK("http://swallowbicycleworks.com","swallowbicycleworks.com")</f>
        <v>swallowbicycleworks.com</v>
      </c>
      <c r="C13277" t="s">
        <v>433</v>
      </c>
      <c r="F13277">
        <v>6.62921579513931E-9</v>
      </c>
      <c r="G13277">
        <v>13562974</v>
      </c>
      <c r="H13277">
        <v>14168384</v>
      </c>
      <c r="I13277">
        <v>1811563</v>
      </c>
      <c r="J13277">
        <v>5</v>
      </c>
    </row>
    <row r="13278" spans="1:10" x14ac:dyDescent="0.25">
      <c r="A13278" t="s">
        <v>135</v>
      </c>
      <c r="B13278" s="1" t="str">
        <f>HYPERLINK("http://capricollege.edu","capricollege.edu")</f>
        <v>capricollege.edu</v>
      </c>
      <c r="C13278" t="s">
        <v>760</v>
      </c>
      <c r="F13278">
        <v>1.66071795133649E-8</v>
      </c>
      <c r="G13278">
        <v>3387616</v>
      </c>
      <c r="H13278">
        <v>13288830</v>
      </c>
      <c r="I13278">
        <v>10881054</v>
      </c>
      <c r="J13278">
        <v>3</v>
      </c>
    </row>
    <row r="13279" spans="1:10" x14ac:dyDescent="0.25">
      <c r="A13279" t="s">
        <v>135</v>
      </c>
      <c r="B13279" s="1" t="str">
        <f>HYPERLINK("http://dolgen.net","dolgen.net")</f>
        <v>dolgen.net</v>
      </c>
      <c r="C13279" t="s">
        <v>474</v>
      </c>
      <c r="E13279">
        <v>160155</v>
      </c>
      <c r="F13279">
        <v>9.4934666520037098E-8</v>
      </c>
      <c r="G13279">
        <v>427086</v>
      </c>
      <c r="H13279">
        <v>12628944</v>
      </c>
      <c r="I13279">
        <v>15999440</v>
      </c>
      <c r="J13279">
        <v>2</v>
      </c>
    </row>
    <row r="13280" spans="1:10" x14ac:dyDescent="0.25">
      <c r="A13280" t="s">
        <v>136</v>
      </c>
      <c r="B13280" s="1" t="str">
        <f>HYPERLINK("http://atlanticcoastpipeline.com","atlanticcoastpipeline.com")</f>
        <v>atlanticcoastpipeline.com</v>
      </c>
      <c r="C13280" t="s">
        <v>433</v>
      </c>
      <c r="F13280">
        <v>8.5636653621670898E-8</v>
      </c>
      <c r="G13280">
        <v>481027</v>
      </c>
      <c r="H13280">
        <v>14267670</v>
      </c>
      <c r="I13280">
        <v>1404893</v>
      </c>
      <c r="J13280">
        <v>3</v>
      </c>
    </row>
    <row r="13281" spans="1:10" x14ac:dyDescent="0.25">
      <c r="A13281" t="s">
        <v>136</v>
      </c>
      <c r="B13281" s="1" t="str">
        <f>HYPERLINK("http://birdseyeenergy.com","birdseyeenergy.com")</f>
        <v>birdseyeenergy.com</v>
      </c>
      <c r="C13281" t="s">
        <v>433</v>
      </c>
      <c r="F13281">
        <v>1.2102167832574001E-8</v>
      </c>
      <c r="G13281">
        <v>5110649</v>
      </c>
      <c r="H13281">
        <v>13268065</v>
      </c>
      <c r="I13281">
        <v>10999886</v>
      </c>
      <c r="J13281">
        <v>3</v>
      </c>
    </row>
    <row r="13282" spans="1:10" x14ac:dyDescent="0.25">
      <c r="A13282" t="s">
        <v>136</v>
      </c>
      <c r="B13282" s="1" t="str">
        <f>HYPERLINK("http://dom.com","dom.com")</f>
        <v>dom.com</v>
      </c>
      <c r="C13282" t="s">
        <v>433</v>
      </c>
      <c r="E13282">
        <v>107171</v>
      </c>
      <c r="F13282">
        <v>5.28719528522026E-7</v>
      </c>
      <c r="G13282">
        <v>72825</v>
      </c>
      <c r="H13282">
        <v>15256157</v>
      </c>
      <c r="I13282">
        <v>389725</v>
      </c>
      <c r="J13282">
        <v>4</v>
      </c>
    </row>
    <row r="13283" spans="1:10" x14ac:dyDescent="0.25">
      <c r="A13283" t="s">
        <v>136</v>
      </c>
      <c r="B13283" s="1" t="str">
        <f>HYPERLINK("http://dominionenergy.com","dominionenergy.com")</f>
        <v>dominionenergy.com</v>
      </c>
      <c r="C13283" t="s">
        <v>433</v>
      </c>
      <c r="E13283">
        <v>25662</v>
      </c>
      <c r="F13283">
        <v>1.6217061163590501E-6</v>
      </c>
      <c r="G13283">
        <v>24298</v>
      </c>
      <c r="H13283">
        <v>17411686</v>
      </c>
      <c r="I13283">
        <v>18400</v>
      </c>
      <c r="J13283">
        <v>1</v>
      </c>
    </row>
    <row r="13284" spans="1:10" x14ac:dyDescent="0.25">
      <c r="A13284" t="s">
        <v>136</v>
      </c>
      <c r="B13284" s="1" t="str">
        <f>HYPERLINK("http://dominionnet.com","dominionnet.com")</f>
        <v>dominionnet.com</v>
      </c>
      <c r="C13284" t="s">
        <v>433</v>
      </c>
      <c r="E13284">
        <v>53920</v>
      </c>
      <c r="F13284">
        <v>7.4339405473166896E-9</v>
      </c>
      <c r="G13284">
        <v>11163683</v>
      </c>
      <c r="H13284">
        <v>12205897</v>
      </c>
      <c r="I13284">
        <v>23133277</v>
      </c>
      <c r="J13284">
        <v>3</v>
      </c>
    </row>
    <row r="13285" spans="1:10" x14ac:dyDescent="0.25">
      <c r="A13285" t="s">
        <v>136</v>
      </c>
      <c r="B13285" s="1" t="str">
        <f>HYPERLINK("http://kaleholdings.com","kaleholdings.com")</f>
        <v>kaleholdings.com</v>
      </c>
      <c r="C13285" t="s">
        <v>433</v>
      </c>
      <c r="J13285">
        <v>3</v>
      </c>
    </row>
    <row r="13286" spans="1:10" x14ac:dyDescent="0.25">
      <c r="A13286" t="s">
        <v>136</v>
      </c>
      <c r="B13286" s="1" t="str">
        <f>HYPERLINK("http://psncenergy.com","psncenergy.com")</f>
        <v>psncenergy.com</v>
      </c>
      <c r="C13286" t="s">
        <v>433</v>
      </c>
      <c r="F13286">
        <v>4.9831349996542501E-8</v>
      </c>
      <c r="G13286">
        <v>925398</v>
      </c>
      <c r="H13286">
        <v>13797218</v>
      </c>
      <c r="I13286">
        <v>6298077</v>
      </c>
      <c r="J13286">
        <v>5</v>
      </c>
    </row>
    <row r="13287" spans="1:10" x14ac:dyDescent="0.25">
      <c r="A13287" t="s">
        <v>136</v>
      </c>
      <c r="B13287" s="1" t="str">
        <f>HYPERLINK("http://qepres.com","qepres.com")</f>
        <v>qepres.com</v>
      </c>
      <c r="C13287" t="s">
        <v>433</v>
      </c>
      <c r="F13287">
        <v>2.0798674436282999E-8</v>
      </c>
      <c r="G13287">
        <v>2543223</v>
      </c>
      <c r="H13287">
        <v>13501077</v>
      </c>
      <c r="I13287">
        <v>9968867</v>
      </c>
      <c r="J13287">
        <v>9</v>
      </c>
    </row>
    <row r="13288" spans="1:10" x14ac:dyDescent="0.25">
      <c r="A13288" t="s">
        <v>136</v>
      </c>
      <c r="B13288" s="1" t="str">
        <f>HYPERLINK("http://questar.com","questar.com")</f>
        <v>questar.com</v>
      </c>
      <c r="C13288" t="s">
        <v>433</v>
      </c>
      <c r="F13288">
        <v>2.83473839691124E-8</v>
      </c>
      <c r="G13288">
        <v>1815445</v>
      </c>
      <c r="H13288">
        <v>13800437</v>
      </c>
      <c r="I13288">
        <v>6279553</v>
      </c>
      <c r="J13288">
        <v>4</v>
      </c>
    </row>
    <row r="13289" spans="1:10" x14ac:dyDescent="0.25">
      <c r="A13289" t="s">
        <v>136</v>
      </c>
      <c r="B13289" s="1" t="str">
        <f>HYPERLINK("http://questarcorp.com","questarcorp.com")</f>
        <v>questarcorp.com</v>
      </c>
      <c r="C13289" t="s">
        <v>433</v>
      </c>
      <c r="F13289">
        <v>7.2880929532927301E-9</v>
      </c>
      <c r="G13289">
        <v>11509600</v>
      </c>
      <c r="H13289">
        <v>13443742</v>
      </c>
      <c r="I13289">
        <v>10226763</v>
      </c>
      <c r="J13289">
        <v>5</v>
      </c>
    </row>
    <row r="13290" spans="1:10" x14ac:dyDescent="0.25">
      <c r="A13290" t="s">
        <v>136</v>
      </c>
      <c r="B13290" s="1" t="str">
        <f>HYPERLINK("http://questarenergy.com","questarenergy.com")</f>
        <v>questarenergy.com</v>
      </c>
      <c r="C13290" t="s">
        <v>433</v>
      </c>
      <c r="F13290">
        <v>7.2027238965408098E-9</v>
      </c>
      <c r="G13290">
        <v>11733036</v>
      </c>
      <c r="H13290">
        <v>10046660</v>
      </c>
      <c r="I13290">
        <v>60453393</v>
      </c>
      <c r="J13290">
        <v>7</v>
      </c>
    </row>
    <row r="13291" spans="1:10" x14ac:dyDescent="0.25">
      <c r="A13291" t="s">
        <v>136</v>
      </c>
      <c r="B13291" s="1" t="str">
        <f>HYPERLINK("http://questargas.com","questargas.com")</f>
        <v>questargas.com</v>
      </c>
      <c r="C13291" t="s">
        <v>433</v>
      </c>
      <c r="E13291">
        <v>285036</v>
      </c>
      <c r="F13291">
        <v>5.6462907968859301E-8</v>
      </c>
      <c r="G13291">
        <v>792092</v>
      </c>
      <c r="H13291">
        <v>13773077</v>
      </c>
      <c r="I13291">
        <v>6640977</v>
      </c>
      <c r="J13291">
        <v>4</v>
      </c>
    </row>
    <row r="13292" spans="1:10" x14ac:dyDescent="0.25">
      <c r="A13292" t="s">
        <v>136</v>
      </c>
      <c r="B13292" s="1" t="str">
        <f>HYPERLINK("http://questarpipeline.com","questarpipeline.com")</f>
        <v>questarpipeline.com</v>
      </c>
      <c r="C13292" t="s">
        <v>433</v>
      </c>
      <c r="F13292">
        <v>4.36757400100782E-8</v>
      </c>
      <c r="G13292">
        <v>1092874</v>
      </c>
      <c r="H13292">
        <v>13230977</v>
      </c>
      <c r="I13292">
        <v>11274011</v>
      </c>
      <c r="J13292">
        <v>4</v>
      </c>
    </row>
    <row r="13293" spans="1:10" x14ac:dyDescent="0.25">
      <c r="A13293" t="s">
        <v>136</v>
      </c>
      <c r="B13293" s="1" t="str">
        <f>HYPERLINK("http://scana.com","scana.com")</f>
        <v>scana.com</v>
      </c>
      <c r="C13293" t="s">
        <v>433</v>
      </c>
      <c r="E13293">
        <v>170482</v>
      </c>
      <c r="F13293">
        <v>7.3323723604269403E-8</v>
      </c>
      <c r="G13293">
        <v>574858</v>
      </c>
      <c r="H13293">
        <v>14300815</v>
      </c>
      <c r="I13293">
        <v>1355873</v>
      </c>
      <c r="J13293">
        <v>3</v>
      </c>
    </row>
    <row r="13294" spans="1:10" x14ac:dyDescent="0.25">
      <c r="A13294" t="s">
        <v>136</v>
      </c>
      <c r="B13294" s="1" t="str">
        <f>HYPERLINK("http://scanaenergy.com","scanaenergy.com")</f>
        <v>scanaenergy.com</v>
      </c>
      <c r="C13294" t="s">
        <v>433</v>
      </c>
      <c r="E13294">
        <v>354941</v>
      </c>
      <c r="F13294">
        <v>4.9812349534619203E-8</v>
      </c>
      <c r="G13294">
        <v>925900</v>
      </c>
      <c r="H13294">
        <v>13778020</v>
      </c>
      <c r="I13294">
        <v>6528130</v>
      </c>
      <c r="J13294">
        <v>4</v>
      </c>
    </row>
    <row r="13295" spans="1:10" x14ac:dyDescent="0.25">
      <c r="A13295" t="s">
        <v>137</v>
      </c>
      <c r="B13295" s="1" t="str">
        <f>HYPERLINK("http://rohmhaas.com.br","rohmhaas.com.br")</f>
        <v>rohmhaas.com.br</v>
      </c>
      <c r="C13295" t="s">
        <v>425</v>
      </c>
      <c r="D13295" t="s">
        <v>806</v>
      </c>
      <c r="J13295">
        <v>7</v>
      </c>
    </row>
    <row r="13296" spans="1:10" x14ac:dyDescent="0.25">
      <c r="A13296" t="s">
        <v>137</v>
      </c>
      <c r="B13296" s="1" t="str">
        <f>HYPERLINK("http://dow.com.cn","dow.com.cn")</f>
        <v>dow.com.cn</v>
      </c>
      <c r="C13296" t="s">
        <v>431</v>
      </c>
      <c r="D13296" t="s">
        <v>812</v>
      </c>
      <c r="F13296">
        <v>7.6850051117769002E-9</v>
      </c>
      <c r="G13296">
        <v>10613511</v>
      </c>
      <c r="H13296">
        <v>14074457</v>
      </c>
      <c r="I13296">
        <v>2942475</v>
      </c>
      <c r="J13296">
        <v>2</v>
      </c>
    </row>
    <row r="13297" spans="1:10" x14ac:dyDescent="0.25">
      <c r="A13297" t="s">
        <v>137</v>
      </c>
      <c r="B13297" s="1" t="str">
        <f>HYPERLINK("http://dowcorning.com.cn","dowcorning.com.cn")</f>
        <v>dowcorning.com.cn</v>
      </c>
      <c r="C13297" t="s">
        <v>431</v>
      </c>
      <c r="D13297" t="s">
        <v>812</v>
      </c>
      <c r="F13297">
        <v>2.8408824528201199E-8</v>
      </c>
      <c r="G13297">
        <v>1811510</v>
      </c>
      <c r="H13297">
        <v>12507352</v>
      </c>
      <c r="I13297">
        <v>17271787</v>
      </c>
      <c r="J13297">
        <v>5</v>
      </c>
    </row>
    <row r="13298" spans="1:10" x14ac:dyDescent="0.25">
      <c r="A13298" t="s">
        <v>137</v>
      </c>
      <c r="B13298" s="1" t="str">
        <f>HYPERLINK("http://buildscape.com","buildscape.com")</f>
        <v>buildscape.com</v>
      </c>
      <c r="C13298" t="s">
        <v>433</v>
      </c>
      <c r="F13298">
        <v>4.8330380274659398E-9</v>
      </c>
      <c r="G13298">
        <v>34730032</v>
      </c>
      <c r="H13298">
        <v>10923229</v>
      </c>
      <c r="I13298">
        <v>35206503</v>
      </c>
      <c r="J13298">
        <v>6</v>
      </c>
    </row>
    <row r="13299" spans="1:10" x14ac:dyDescent="0.25">
      <c r="A13299" t="s">
        <v>137</v>
      </c>
      <c r="B13299" s="1" t="str">
        <f>HYPERLINK("http://cleanfiltration.com","cleanfiltration.com")</f>
        <v>cleanfiltration.com</v>
      </c>
      <c r="C13299" t="s">
        <v>433</v>
      </c>
      <c r="F13299">
        <v>4.4664135304255802E-9</v>
      </c>
      <c r="G13299">
        <v>65813090</v>
      </c>
      <c r="H13299">
        <v>10405428</v>
      </c>
      <c r="I13299">
        <v>54119847</v>
      </c>
      <c r="J13299">
        <v>4</v>
      </c>
    </row>
    <row r="13300" spans="1:10" x14ac:dyDescent="0.25">
      <c r="A13300" t="s">
        <v>137</v>
      </c>
      <c r="B13300" s="1" t="str">
        <f>HYPERLINK("http://dorinco.com","dorinco.com")</f>
        <v>dorinco.com</v>
      </c>
      <c r="C13300" t="s">
        <v>433</v>
      </c>
      <c r="F13300">
        <v>6.9319795170421297E-9</v>
      </c>
      <c r="G13300">
        <v>12519551</v>
      </c>
      <c r="H13300">
        <v>12341721</v>
      </c>
      <c r="I13300">
        <v>19919154</v>
      </c>
      <c r="J13300">
        <v>4</v>
      </c>
    </row>
    <row r="13301" spans="1:10" x14ac:dyDescent="0.25">
      <c r="A13301" t="s">
        <v>137</v>
      </c>
      <c r="B13301" s="1" t="str">
        <f>HYPERLINK("http://dow.com","dow.com")</f>
        <v>dow.com</v>
      </c>
      <c r="C13301" t="s">
        <v>433</v>
      </c>
      <c r="E13301">
        <v>7422</v>
      </c>
      <c r="F13301">
        <v>2.92645193217302E-6</v>
      </c>
      <c r="G13301">
        <v>13225</v>
      </c>
      <c r="H13301">
        <v>17672098</v>
      </c>
      <c r="I13301">
        <v>7897</v>
      </c>
      <c r="J13301">
        <v>1</v>
      </c>
    </row>
    <row r="13302" spans="1:10" x14ac:dyDescent="0.25">
      <c r="A13302" t="s">
        <v>137</v>
      </c>
      <c r="B13302" s="1" t="str">
        <f>HYPERLINK("http://dow-izolan.com","dow-izolan.com")</f>
        <v>dow-izolan.com</v>
      </c>
      <c r="C13302" t="s">
        <v>433</v>
      </c>
      <c r="F13302">
        <v>1.4925584980819201E-8</v>
      </c>
      <c r="G13302">
        <v>3864195</v>
      </c>
      <c r="H13302">
        <v>14073619</v>
      </c>
      <c r="I13302">
        <v>2982175</v>
      </c>
      <c r="J13302">
        <v>6</v>
      </c>
    </row>
    <row r="13303" spans="1:10" x14ac:dyDescent="0.25">
      <c r="A13303" t="s">
        <v>137</v>
      </c>
      <c r="B13303" s="1" t="str">
        <f>HYPERLINK("http://dowagrosciences.com","dowagrosciences.com")</f>
        <v>dowagrosciences.com</v>
      </c>
      <c r="C13303" t="s">
        <v>433</v>
      </c>
      <c r="F13303">
        <v>6.2553973649131802E-9</v>
      </c>
      <c r="G13303">
        <v>15248086</v>
      </c>
      <c r="H13303">
        <v>11062184</v>
      </c>
      <c r="I13303">
        <v>32660528</v>
      </c>
      <c r="J13303">
        <v>6</v>
      </c>
    </row>
    <row r="13304" spans="1:10" x14ac:dyDescent="0.25">
      <c r="A13304" t="s">
        <v>137</v>
      </c>
      <c r="B13304" s="1" t="str">
        <f>HYPERLINK("http://dowautomotive.com","dowautomotive.com")</f>
        <v>dowautomotive.com</v>
      </c>
      <c r="C13304" t="s">
        <v>433</v>
      </c>
      <c r="F13304">
        <v>1.1867390578748499E-8</v>
      </c>
      <c r="G13304">
        <v>5259806</v>
      </c>
      <c r="H13304">
        <v>13767000</v>
      </c>
      <c r="I13304">
        <v>6961715</v>
      </c>
      <c r="J13304">
        <v>4</v>
      </c>
    </row>
    <row r="13305" spans="1:10" x14ac:dyDescent="0.25">
      <c r="A13305" t="s">
        <v>137</v>
      </c>
      <c r="B13305" s="1" t="str">
        <f>HYPERLINK("http://dowbenelux.com","dowbenelux.com")</f>
        <v>dowbenelux.com</v>
      </c>
      <c r="C13305" t="s">
        <v>433</v>
      </c>
      <c r="F13305">
        <v>4.6701391046757702E-9</v>
      </c>
      <c r="G13305">
        <v>42916222</v>
      </c>
      <c r="H13305">
        <v>10853900</v>
      </c>
      <c r="I13305">
        <v>36778041</v>
      </c>
      <c r="J13305">
        <v>6</v>
      </c>
    </row>
    <row r="13306" spans="1:10" x14ac:dyDescent="0.25">
      <c r="A13306" t="s">
        <v>137</v>
      </c>
      <c r="B13306" s="1" t="str">
        <f>HYPERLINK("http://dowchemical.com","dowchemical.com")</f>
        <v>dowchemical.com</v>
      </c>
      <c r="C13306" t="s">
        <v>433</v>
      </c>
      <c r="F13306">
        <v>5.7558196210714996E-9</v>
      </c>
      <c r="G13306">
        <v>18450579</v>
      </c>
      <c r="H13306">
        <v>12637808</v>
      </c>
      <c r="I13306">
        <v>15891978</v>
      </c>
      <c r="J13306">
        <v>4</v>
      </c>
    </row>
    <row r="13307" spans="1:10" x14ac:dyDescent="0.25">
      <c r="A13307" t="s">
        <v>137</v>
      </c>
      <c r="B13307" s="1" t="str">
        <f>HYPERLINK("http://dowcorning.com","dowcorning.com")</f>
        <v>dowcorning.com</v>
      </c>
      <c r="C13307" t="s">
        <v>433</v>
      </c>
      <c r="E13307">
        <v>154926</v>
      </c>
      <c r="F13307">
        <v>1.78913525206758E-7</v>
      </c>
      <c r="G13307">
        <v>215994</v>
      </c>
      <c r="H13307">
        <v>14917649</v>
      </c>
      <c r="I13307">
        <v>453302</v>
      </c>
      <c r="J13307">
        <v>4</v>
      </c>
    </row>
    <row r="13308" spans="1:10" x14ac:dyDescent="0.25">
      <c r="A13308" t="s">
        <v>137</v>
      </c>
      <c r="B13308" s="1" t="str">
        <f>HYPERLINK("http://dowroofingsystems.com","dowroofingsystems.com")</f>
        <v>dowroofingsystems.com</v>
      </c>
      <c r="C13308" t="s">
        <v>433</v>
      </c>
      <c r="F13308">
        <v>5.1850686877414904E-9</v>
      </c>
      <c r="G13308">
        <v>25429613</v>
      </c>
      <c r="H13308">
        <v>10842682</v>
      </c>
      <c r="I13308">
        <v>37045721</v>
      </c>
      <c r="J13308">
        <v>5</v>
      </c>
    </row>
    <row r="13309" spans="1:10" x14ac:dyDescent="0.25">
      <c r="A13309" t="s">
        <v>137</v>
      </c>
      <c r="B13309" s="1" t="str">
        <f>HYPERLINK("http://nuvosun.com","nuvosun.com")</f>
        <v>nuvosun.com</v>
      </c>
      <c r="C13309" t="s">
        <v>433</v>
      </c>
      <c r="F13309">
        <v>4.5676602253266201E-9</v>
      </c>
      <c r="G13309">
        <v>50406989</v>
      </c>
      <c r="H13309">
        <v>12099348</v>
      </c>
      <c r="I13309">
        <v>25983827</v>
      </c>
      <c r="J13309">
        <v>4</v>
      </c>
    </row>
    <row r="13310" spans="1:10" x14ac:dyDescent="0.25">
      <c r="A13310" t="s">
        <v>137</v>
      </c>
      <c r="B13310" s="1" t="str">
        <f>HYPERLINK("http://rohmhaas.com","rohmhaas.com")</f>
        <v>rohmhaas.com</v>
      </c>
      <c r="C13310" t="s">
        <v>433</v>
      </c>
      <c r="E13310">
        <v>160748</v>
      </c>
      <c r="F13310">
        <v>5.9030542841471601E-8</v>
      </c>
      <c r="G13310">
        <v>751193</v>
      </c>
      <c r="H13310">
        <v>14857871</v>
      </c>
      <c r="I13310">
        <v>486011</v>
      </c>
      <c r="J13310">
        <v>4</v>
      </c>
    </row>
    <row r="13311" spans="1:10" x14ac:dyDescent="0.25">
      <c r="A13311" t="s">
        <v>137</v>
      </c>
      <c r="B13311" s="1" t="str">
        <f>HYPERLINK("http://unioncarbide.com","unioncarbide.com")</f>
        <v>unioncarbide.com</v>
      </c>
      <c r="C13311" t="s">
        <v>433</v>
      </c>
      <c r="F13311">
        <v>3.9118924211003798E-8</v>
      </c>
      <c r="G13311">
        <v>1318617</v>
      </c>
      <c r="H13311">
        <v>14547430</v>
      </c>
      <c r="I13311">
        <v>764984</v>
      </c>
      <c r="J13311">
        <v>3</v>
      </c>
    </row>
    <row r="13312" spans="1:10" x14ac:dyDescent="0.25">
      <c r="A13312" t="s">
        <v>137</v>
      </c>
      <c r="B13312" s="1" t="str">
        <f>HYPERLINK("http://univation.com","univation.com")</f>
        <v>univation.com</v>
      </c>
      <c r="C13312" t="s">
        <v>433</v>
      </c>
      <c r="F13312">
        <v>1.4078625776639E-8</v>
      </c>
      <c r="G13312">
        <v>4173529</v>
      </c>
      <c r="H13312">
        <v>13976401</v>
      </c>
      <c r="I13312">
        <v>4059937</v>
      </c>
      <c r="J13312">
        <v>5</v>
      </c>
    </row>
    <row r="13313" spans="1:10" x14ac:dyDescent="0.25">
      <c r="A13313" t="s">
        <v>137</v>
      </c>
      <c r="B13313" s="1" t="str">
        <f>HYPERLINK("http://dow.es","dow.es")</f>
        <v>dow.es</v>
      </c>
      <c r="C13313" t="s">
        <v>443</v>
      </c>
      <c r="D13313" t="s">
        <v>822</v>
      </c>
      <c r="F13313">
        <v>7.4206048456733E-9</v>
      </c>
      <c r="G13313">
        <v>11195019</v>
      </c>
      <c r="H13313">
        <v>12354049</v>
      </c>
      <c r="I13313">
        <v>19696683</v>
      </c>
      <c r="J13313">
        <v>2</v>
      </c>
    </row>
    <row r="13314" spans="1:10" x14ac:dyDescent="0.25">
      <c r="A13314" t="s">
        <v>137</v>
      </c>
      <c r="B13314" s="1" t="str">
        <f>HYPERLINK("http://tdeaie.es","tdeaie.es")</f>
        <v>tdeaie.es</v>
      </c>
      <c r="C13314" t="s">
        <v>443</v>
      </c>
      <c r="D13314" t="s">
        <v>822</v>
      </c>
      <c r="J13314">
        <v>7</v>
      </c>
    </row>
    <row r="13315" spans="1:10" x14ac:dyDescent="0.25">
      <c r="A13315" t="s">
        <v>137</v>
      </c>
      <c r="B13315" s="1" t="str">
        <f>HYPERLINK("http://dow.fi","dow.fi")</f>
        <v>dow.fi</v>
      </c>
      <c r="C13315" t="s">
        <v>445</v>
      </c>
      <c r="D13315" t="s">
        <v>823</v>
      </c>
      <c r="J13315">
        <v>5</v>
      </c>
    </row>
    <row r="13316" spans="1:10" x14ac:dyDescent="0.25">
      <c r="A13316" t="s">
        <v>137</v>
      </c>
      <c r="B13316" s="1" t="str">
        <f>HYPERLINK("http://dowagro.fi","dowagro.fi")</f>
        <v>dowagro.fi</v>
      </c>
      <c r="C13316" t="s">
        <v>445</v>
      </c>
      <c r="D13316" t="s">
        <v>823</v>
      </c>
      <c r="J13316">
        <v>5</v>
      </c>
    </row>
    <row r="13317" spans="1:10" x14ac:dyDescent="0.25">
      <c r="A13317" t="s">
        <v>137</v>
      </c>
      <c r="B13317" s="1" t="str">
        <f>HYPERLINK("http://dowchemical.fi","dowchemical.fi")</f>
        <v>dowchemical.fi</v>
      </c>
      <c r="C13317" t="s">
        <v>445</v>
      </c>
      <c r="D13317" t="s">
        <v>823</v>
      </c>
      <c r="J13317">
        <v>5</v>
      </c>
    </row>
    <row r="13318" spans="1:10" x14ac:dyDescent="0.25">
      <c r="A13318" t="s">
        <v>137</v>
      </c>
      <c r="B13318" s="1" t="str">
        <f>HYPERLINK("http://dowcorning.fi","dowcorning.fi")</f>
        <v>dowcorning.fi</v>
      </c>
      <c r="C13318" t="s">
        <v>445</v>
      </c>
      <c r="D13318" t="s">
        <v>823</v>
      </c>
      <c r="J13318">
        <v>4</v>
      </c>
    </row>
    <row r="13319" spans="1:10" x14ac:dyDescent="0.25">
      <c r="A13319" t="s">
        <v>137</v>
      </c>
      <c r="B13319" s="1" t="str">
        <f>HYPERLINK("http://syloff.fi","syloff.fi")</f>
        <v>syloff.fi</v>
      </c>
      <c r="C13319" t="s">
        <v>445</v>
      </c>
      <c r="D13319" t="s">
        <v>823</v>
      </c>
      <c r="J13319">
        <v>4</v>
      </c>
    </row>
    <row r="13320" spans="1:10" x14ac:dyDescent="0.25">
      <c r="A13320" t="s">
        <v>137</v>
      </c>
      <c r="B13320" s="1" t="str">
        <f>HYPERLINK("http://dow.inc","dow.inc")</f>
        <v>dow.inc</v>
      </c>
      <c r="C13320" t="s">
        <v>754</v>
      </c>
      <c r="F13320">
        <v>7.46232451719351E-9</v>
      </c>
      <c r="G13320">
        <v>11097697</v>
      </c>
      <c r="H13320">
        <v>13397327</v>
      </c>
      <c r="I13320">
        <v>10373879</v>
      </c>
      <c r="J13320">
        <v>2</v>
      </c>
    </row>
    <row r="13321" spans="1:10" x14ac:dyDescent="0.25">
      <c r="A13321" t="s">
        <v>137</v>
      </c>
      <c r="B13321" s="1" t="str">
        <f>HYPERLINK("http://dowcorning.co.jp","dowcorning.co.jp")</f>
        <v>dowcorning.co.jp</v>
      </c>
      <c r="C13321" t="s">
        <v>461</v>
      </c>
      <c r="D13321" t="s">
        <v>837</v>
      </c>
      <c r="F13321">
        <v>7.5211603096140504E-9</v>
      </c>
      <c r="G13321">
        <v>10966638</v>
      </c>
      <c r="H13321">
        <v>14076193</v>
      </c>
      <c r="I13321">
        <v>2892484</v>
      </c>
      <c r="J13321">
        <v>5</v>
      </c>
    </row>
    <row r="13322" spans="1:10" x14ac:dyDescent="0.25">
      <c r="A13322" t="s">
        <v>137</v>
      </c>
      <c r="B13322" s="1" t="str">
        <f>HYPERLINK("http://dow.com.mx","dow.com.mx")</f>
        <v>dow.com.mx</v>
      </c>
      <c r="C13322" t="s">
        <v>471</v>
      </c>
      <c r="D13322" t="s">
        <v>847</v>
      </c>
      <c r="F13322">
        <v>4.6469015286545202E-9</v>
      </c>
      <c r="G13322">
        <v>44336744</v>
      </c>
      <c r="H13322">
        <v>12135243</v>
      </c>
      <c r="I13322">
        <v>24993204</v>
      </c>
      <c r="J13322">
        <v>4</v>
      </c>
    </row>
    <row r="13323" spans="1:10" x14ac:dyDescent="0.25">
      <c r="A13323" t="s">
        <v>138</v>
      </c>
      <c r="B13323" s="1" t="str">
        <f>HYPERLINK("http://caldwellenergy.com","caldwellenergy.com")</f>
        <v>caldwellenergy.com</v>
      </c>
      <c r="C13323" t="s">
        <v>433</v>
      </c>
      <c r="F13323">
        <v>8.0923259672554006E-9</v>
      </c>
      <c r="G13323">
        <v>9755371</v>
      </c>
      <c r="H13323">
        <v>12271436</v>
      </c>
      <c r="I13323">
        <v>21494024</v>
      </c>
      <c r="J13323">
        <v>3</v>
      </c>
    </row>
    <row r="13324" spans="1:10" x14ac:dyDescent="0.25">
      <c r="A13324" t="s">
        <v>138</v>
      </c>
      <c r="B13324" s="1" t="str">
        <f>HYPERLINK("http://datcllc.com","datcllc.com")</f>
        <v>datcllc.com</v>
      </c>
      <c r="C13324" t="s">
        <v>433</v>
      </c>
      <c r="F13324">
        <v>1.3392962762342101E-8</v>
      </c>
      <c r="G13324">
        <v>4450882</v>
      </c>
      <c r="H13324">
        <v>13447538</v>
      </c>
      <c r="I13324">
        <v>10214359</v>
      </c>
      <c r="J13324">
        <v>3</v>
      </c>
    </row>
    <row r="13325" spans="1:10" x14ac:dyDescent="0.25">
      <c r="A13325" t="s">
        <v>138</v>
      </c>
      <c r="B13325" s="1" t="str">
        <f>HYPERLINK("http://duke-energy.com","duke-energy.com")</f>
        <v>duke-energy.com</v>
      </c>
      <c r="C13325" t="s">
        <v>433</v>
      </c>
      <c r="E13325">
        <v>14010</v>
      </c>
      <c r="F13325">
        <v>2.1702112015097299E-6</v>
      </c>
      <c r="G13325">
        <v>16901</v>
      </c>
      <c r="H13325">
        <v>17444028</v>
      </c>
      <c r="I13325">
        <v>16476</v>
      </c>
      <c r="J13325">
        <v>1</v>
      </c>
    </row>
    <row r="13326" spans="1:10" x14ac:dyDescent="0.25">
      <c r="A13326" t="s">
        <v>138</v>
      </c>
      <c r="B13326" s="1" t="str">
        <f>HYPERLINK("http://kotransmission.com","kotransmission.com")</f>
        <v>kotransmission.com</v>
      </c>
      <c r="C13326" t="s">
        <v>433</v>
      </c>
      <c r="F13326">
        <v>4.4459138740848901E-9</v>
      </c>
      <c r="G13326">
        <v>74770801</v>
      </c>
      <c r="H13326">
        <v>10647462</v>
      </c>
      <c r="I13326">
        <v>43644366</v>
      </c>
      <c r="J13326">
        <v>5</v>
      </c>
    </row>
    <row r="13327" spans="1:10" x14ac:dyDescent="0.25">
      <c r="A13327" t="s">
        <v>138</v>
      </c>
      <c r="B13327" s="1" t="str">
        <f>HYPERLINK("http://piedmontenergy.com","piedmontenergy.com")</f>
        <v>piedmontenergy.com</v>
      </c>
      <c r="C13327" t="s">
        <v>433</v>
      </c>
      <c r="J13327">
        <v>3</v>
      </c>
    </row>
    <row r="13328" spans="1:10" x14ac:dyDescent="0.25">
      <c r="A13328" t="s">
        <v>138</v>
      </c>
      <c r="B13328" s="1" t="str">
        <f>HYPERLINK("http://piedmontng.com","piedmontng.com")</f>
        <v>piedmontng.com</v>
      </c>
      <c r="C13328" t="s">
        <v>433</v>
      </c>
      <c r="E13328">
        <v>179113</v>
      </c>
      <c r="F13328">
        <v>1.44947815626829E-7</v>
      </c>
      <c r="G13328">
        <v>268558</v>
      </c>
      <c r="H13328">
        <v>14604481</v>
      </c>
      <c r="I13328">
        <v>682677</v>
      </c>
      <c r="J13328">
        <v>3</v>
      </c>
    </row>
    <row r="13329" spans="1:10" x14ac:dyDescent="0.25">
      <c r="A13329" t="s">
        <v>138</v>
      </c>
      <c r="B13329" s="1" t="str">
        <f>HYPERLINK("http://pnrtransmission.com","pnrtransmission.com")</f>
        <v>pnrtransmission.com</v>
      </c>
      <c r="C13329" t="s">
        <v>433</v>
      </c>
      <c r="F13329">
        <v>1.1340718164809E-8</v>
      </c>
      <c r="G13329">
        <v>5614537</v>
      </c>
      <c r="H13329">
        <v>12298707</v>
      </c>
      <c r="I13329">
        <v>20868264</v>
      </c>
      <c r="J13329">
        <v>3</v>
      </c>
    </row>
    <row r="13330" spans="1:10" x14ac:dyDescent="0.25">
      <c r="A13330" t="s">
        <v>138</v>
      </c>
      <c r="B13330" s="1" t="str">
        <f>HYPERLINK("http://progress-energy.com","progress-energy.com")</f>
        <v>progress-energy.com</v>
      </c>
      <c r="C13330" t="s">
        <v>433</v>
      </c>
      <c r="E13330">
        <v>318661</v>
      </c>
      <c r="F13330">
        <v>2.1479528189087299E-7</v>
      </c>
      <c r="G13330">
        <v>175698</v>
      </c>
      <c r="H13330">
        <v>14972799</v>
      </c>
      <c r="I13330">
        <v>433167</v>
      </c>
      <c r="J13330">
        <v>3</v>
      </c>
    </row>
    <row r="13331" spans="1:10" x14ac:dyDescent="0.25">
      <c r="A13331" t="s">
        <v>138</v>
      </c>
      <c r="B13331" s="1" t="str">
        <f>HYPERLINK("http://sevillesolar.com","sevillesolar.com")</f>
        <v>sevillesolar.com</v>
      </c>
      <c r="C13331" t="s">
        <v>433</v>
      </c>
      <c r="J13331">
        <v>3</v>
      </c>
    </row>
    <row r="13332" spans="1:10" x14ac:dyDescent="0.25">
      <c r="A13332" t="s">
        <v>139</v>
      </c>
      <c r="B13332" s="1" t="str">
        <f>HYPERLINK("http://dupont.ae","dupont.ae")</f>
        <v>dupont.ae</v>
      </c>
      <c r="C13332" t="s">
        <v>417</v>
      </c>
      <c r="D13332" t="s">
        <v>799</v>
      </c>
      <c r="F13332">
        <v>1.23602947564559E-8</v>
      </c>
      <c r="G13332">
        <v>4960850</v>
      </c>
      <c r="H13332">
        <v>12401891</v>
      </c>
      <c r="I13332">
        <v>18751472</v>
      </c>
      <c r="J13332">
        <v>2</v>
      </c>
    </row>
    <row r="13333" spans="1:10" x14ac:dyDescent="0.25">
      <c r="A13333" t="s">
        <v>139</v>
      </c>
      <c r="B13333" s="1" t="str">
        <f>HYPERLINK("http://dupont.com.ar","dupont.com.ar")</f>
        <v>dupont.com.ar</v>
      </c>
      <c r="C13333" t="s">
        <v>418</v>
      </c>
      <c r="D13333" t="s">
        <v>800</v>
      </c>
      <c r="F13333">
        <v>1.9342987426391001E-8</v>
      </c>
      <c r="G13333">
        <v>2775235</v>
      </c>
      <c r="H13333">
        <v>14238269</v>
      </c>
      <c r="I13333">
        <v>1530253</v>
      </c>
      <c r="J13333">
        <v>2</v>
      </c>
    </row>
    <row r="13334" spans="1:10" x14ac:dyDescent="0.25">
      <c r="A13334" t="s">
        <v>139</v>
      </c>
      <c r="B13334" s="1" t="str">
        <f>HYPERLINK("http://dupont.asia","dupont.asia")</f>
        <v>dupont.asia</v>
      </c>
      <c r="C13334" t="s">
        <v>525</v>
      </c>
      <c r="F13334">
        <v>1.1347940813843501E-8</v>
      </c>
      <c r="G13334">
        <v>5609632</v>
      </c>
      <c r="H13334">
        <v>12340422</v>
      </c>
      <c r="I13334">
        <v>19994902</v>
      </c>
      <c r="J13334">
        <v>2</v>
      </c>
    </row>
    <row r="13335" spans="1:10" x14ac:dyDescent="0.25">
      <c r="A13335" t="s">
        <v>139</v>
      </c>
      <c r="B13335" s="1" t="str">
        <f>HYPERLINK("http://dupont.com.au","dupont.com.au")</f>
        <v>dupont.com.au</v>
      </c>
      <c r="C13335" t="s">
        <v>420</v>
      </c>
      <c r="D13335" t="s">
        <v>802</v>
      </c>
      <c r="F13335">
        <v>2.6865292414814298E-8</v>
      </c>
      <c r="G13335">
        <v>1914720</v>
      </c>
      <c r="H13335">
        <v>13316286</v>
      </c>
      <c r="I13335">
        <v>10757829</v>
      </c>
      <c r="J13335">
        <v>2</v>
      </c>
    </row>
    <row r="13336" spans="1:10" x14ac:dyDescent="0.25">
      <c r="A13336" t="s">
        <v>139</v>
      </c>
      <c r="B13336" s="1" t="str">
        <f>HYPERLINK("http://dupont.bg","dupont.bg")</f>
        <v>dupont.bg</v>
      </c>
      <c r="C13336" t="s">
        <v>422</v>
      </c>
      <c r="D13336" t="s">
        <v>804</v>
      </c>
      <c r="F13336">
        <v>1.1057405714573101E-8</v>
      </c>
      <c r="G13336">
        <v>5816826</v>
      </c>
      <c r="H13336">
        <v>12340018</v>
      </c>
      <c r="I13336">
        <v>20001446</v>
      </c>
      <c r="J13336">
        <v>2</v>
      </c>
    </row>
    <row r="13337" spans="1:10" x14ac:dyDescent="0.25">
      <c r="A13337" t="s">
        <v>139</v>
      </c>
      <c r="B13337" s="1" t="str">
        <f>HYPERLINK("http://dupont.com.br","dupont.com.br")</f>
        <v>dupont.com.br</v>
      </c>
      <c r="C13337" t="s">
        <v>425</v>
      </c>
      <c r="D13337" t="s">
        <v>806</v>
      </c>
      <c r="F13337">
        <v>2.1126801649738199E-8</v>
      </c>
      <c r="G13337">
        <v>2499180</v>
      </c>
      <c r="H13337">
        <v>14074752</v>
      </c>
      <c r="I13337">
        <v>2930627</v>
      </c>
      <c r="J13337">
        <v>2</v>
      </c>
    </row>
    <row r="13338" spans="1:10" x14ac:dyDescent="0.25">
      <c r="A13338" t="s">
        <v>139</v>
      </c>
      <c r="B13338" s="1" t="str">
        <f>HYPERLINK("http://dupont.ca","dupont.ca")</f>
        <v>dupont.ca</v>
      </c>
      <c r="C13338" t="s">
        <v>428</v>
      </c>
      <c r="D13338" t="s">
        <v>809</v>
      </c>
      <c r="F13338">
        <v>6.4157059419227799E-8</v>
      </c>
      <c r="G13338">
        <v>675144</v>
      </c>
      <c r="H13338">
        <v>14621476</v>
      </c>
      <c r="I13338">
        <v>656738</v>
      </c>
      <c r="J13338">
        <v>2</v>
      </c>
    </row>
    <row r="13339" spans="1:10" x14ac:dyDescent="0.25">
      <c r="A13339" t="s">
        <v>139</v>
      </c>
      <c r="B13339" s="1" t="str">
        <f>HYPERLINK("http://dupont.cl","dupont.cl")</f>
        <v>dupont.cl</v>
      </c>
      <c r="C13339" t="s">
        <v>430</v>
      </c>
      <c r="D13339" t="s">
        <v>811</v>
      </c>
      <c r="F13339">
        <v>1.2027468681211201E-8</v>
      </c>
      <c r="G13339">
        <v>5158231</v>
      </c>
      <c r="H13339">
        <v>14073173</v>
      </c>
      <c r="I13339">
        <v>3011961</v>
      </c>
      <c r="J13339">
        <v>2</v>
      </c>
    </row>
    <row r="13340" spans="1:10" x14ac:dyDescent="0.25">
      <c r="A13340" t="s">
        <v>139</v>
      </c>
      <c r="B13340" s="1" t="str">
        <f>HYPERLINK("http://dupont.cn","dupont.cn")</f>
        <v>dupont.cn</v>
      </c>
      <c r="C13340" t="s">
        <v>431</v>
      </c>
      <c r="D13340" t="s">
        <v>812</v>
      </c>
      <c r="E13340">
        <v>516732</v>
      </c>
      <c r="F13340">
        <v>7.1712470537562602E-8</v>
      </c>
      <c r="G13340">
        <v>589143</v>
      </c>
      <c r="H13340">
        <v>14056646</v>
      </c>
      <c r="I13340">
        <v>3889587</v>
      </c>
      <c r="J13340">
        <v>2</v>
      </c>
    </row>
    <row r="13341" spans="1:10" x14ac:dyDescent="0.25">
      <c r="A13341" t="s">
        <v>139</v>
      </c>
      <c r="B13341" s="1" t="str">
        <f>HYPERLINK("http://dupont.co","dupont.co")</f>
        <v>dupont.co</v>
      </c>
      <c r="C13341" t="s">
        <v>432</v>
      </c>
      <c r="F13341">
        <v>1.3172811674029801E-8</v>
      </c>
      <c r="G13341">
        <v>4550519</v>
      </c>
      <c r="H13341">
        <v>12341934</v>
      </c>
      <c r="I13341">
        <v>19916344</v>
      </c>
      <c r="J13341">
        <v>2</v>
      </c>
    </row>
    <row r="13342" spans="1:10" x14ac:dyDescent="0.25">
      <c r="A13342" t="s">
        <v>139</v>
      </c>
      <c r="B13342" s="1" t="str">
        <f>HYPERLINK("http://chemfirst.com","chemfirst.com")</f>
        <v>chemfirst.com</v>
      </c>
      <c r="C13342" t="s">
        <v>433</v>
      </c>
      <c r="F13342">
        <v>4.4444423157965303E-9</v>
      </c>
      <c r="G13342">
        <v>76759898</v>
      </c>
      <c r="H13342">
        <v>9860288</v>
      </c>
      <c r="I13342">
        <v>62061224</v>
      </c>
      <c r="J13342">
        <v>5</v>
      </c>
    </row>
    <row r="13343" spans="1:10" x14ac:dyDescent="0.25">
      <c r="A13343" t="s">
        <v>139</v>
      </c>
      <c r="B13343" s="1" t="str">
        <f>HYPERLINK("http://dupont.com","dupont.com")</f>
        <v>dupont.com</v>
      </c>
      <c r="C13343" t="s">
        <v>433</v>
      </c>
      <c r="E13343">
        <v>8386</v>
      </c>
      <c r="F13343">
        <v>3.1791122333277801E-6</v>
      </c>
      <c r="G13343">
        <v>12496</v>
      </c>
      <c r="H13343">
        <v>17662510</v>
      </c>
      <c r="I13343">
        <v>8115</v>
      </c>
      <c r="J13343">
        <v>1</v>
      </c>
    </row>
    <row r="13344" spans="1:10" x14ac:dyDescent="0.25">
      <c r="A13344" t="s">
        <v>139</v>
      </c>
      <c r="B13344" s="1" t="str">
        <f>HYPERLINK("http://dupont-medical.com","dupont-medical.com")</f>
        <v>dupont-medical.com</v>
      </c>
      <c r="C13344" t="s">
        <v>433</v>
      </c>
      <c r="F13344">
        <v>6.9779646939070902E-9</v>
      </c>
      <c r="G13344">
        <v>12377622</v>
      </c>
      <c r="H13344">
        <v>10748758</v>
      </c>
      <c r="I13344">
        <v>40124791</v>
      </c>
      <c r="J13344">
        <v>4</v>
      </c>
    </row>
    <row r="13345" spans="1:10" x14ac:dyDescent="0.25">
      <c r="A13345" t="s">
        <v>139</v>
      </c>
      <c r="B13345" s="1" t="str">
        <f>HYPERLINK("http://ekctech.com","ekctech.com")</f>
        <v>ekctech.com</v>
      </c>
      <c r="C13345" t="s">
        <v>433</v>
      </c>
      <c r="J13345">
        <v>3</v>
      </c>
    </row>
    <row r="13346" spans="1:10" x14ac:dyDescent="0.25">
      <c r="A13346" t="s">
        <v>139</v>
      </c>
      <c r="B13346" s="1" t="str">
        <f>HYPERLINK("http://elessentct.com","elessentct.com")</f>
        <v>elessentct.com</v>
      </c>
      <c r="C13346" t="s">
        <v>433</v>
      </c>
      <c r="F13346">
        <v>9.9347377399575104E-9</v>
      </c>
      <c r="G13346">
        <v>6822230</v>
      </c>
      <c r="H13346">
        <v>12363993</v>
      </c>
      <c r="I13346">
        <v>19516086</v>
      </c>
      <c r="J13346">
        <v>4</v>
      </c>
    </row>
    <row r="13347" spans="1:10" x14ac:dyDescent="0.25">
      <c r="A13347" t="s">
        <v>139</v>
      </c>
      <c r="B13347" s="1" t="str">
        <f>HYPERLINK("http://genencor.com","genencor.com")</f>
        <v>genencor.com</v>
      </c>
      <c r="C13347" t="s">
        <v>433</v>
      </c>
      <c r="F13347">
        <v>4.49249807170883E-8</v>
      </c>
      <c r="G13347">
        <v>1051845</v>
      </c>
      <c r="H13347">
        <v>14526662</v>
      </c>
      <c r="I13347">
        <v>793893</v>
      </c>
      <c r="J13347">
        <v>4</v>
      </c>
    </row>
    <row r="13348" spans="1:10" x14ac:dyDescent="0.25">
      <c r="A13348" t="s">
        <v>139</v>
      </c>
      <c r="B13348" s="1" t="str">
        <f>HYPERLINK("http://hoteldupont.com","hoteldupont.com")</f>
        <v>hoteldupont.com</v>
      </c>
      <c r="C13348" t="s">
        <v>433</v>
      </c>
      <c r="E13348">
        <v>880512</v>
      </c>
      <c r="F13348">
        <v>5.0648125471429999E-8</v>
      </c>
      <c r="G13348">
        <v>906357</v>
      </c>
      <c r="H13348">
        <v>14608902</v>
      </c>
      <c r="I13348">
        <v>679653</v>
      </c>
      <c r="J13348">
        <v>4</v>
      </c>
    </row>
    <row r="13349" spans="1:10" x14ac:dyDescent="0.25">
      <c r="A13349" t="s">
        <v>139</v>
      </c>
      <c r="B13349" s="1" t="str">
        <f>HYPERLINK("http://multibaseindia.com","multibaseindia.com")</f>
        <v>multibaseindia.com</v>
      </c>
      <c r="C13349" t="s">
        <v>433</v>
      </c>
      <c r="F13349">
        <v>9.9016059469378808E-9</v>
      </c>
      <c r="G13349">
        <v>6857878</v>
      </c>
      <c r="H13349">
        <v>13766656</v>
      </c>
      <c r="I13349">
        <v>6984935</v>
      </c>
      <c r="J13349">
        <v>4</v>
      </c>
    </row>
    <row r="13350" spans="1:10" x14ac:dyDescent="0.25">
      <c r="A13350" t="s">
        <v>139</v>
      </c>
      <c r="B13350" s="1" t="str">
        <f>HYPERLINK("http://dupont.cz","dupont.cz")</f>
        <v>dupont.cz</v>
      </c>
      <c r="C13350" t="s">
        <v>435</v>
      </c>
      <c r="D13350" t="s">
        <v>814</v>
      </c>
      <c r="F13350">
        <v>2.81283549767415E-8</v>
      </c>
      <c r="G13350">
        <v>1829315</v>
      </c>
      <c r="H13350">
        <v>12574390</v>
      </c>
      <c r="I13350">
        <v>16588198</v>
      </c>
      <c r="J13350">
        <v>2</v>
      </c>
    </row>
    <row r="13351" spans="1:10" x14ac:dyDescent="0.25">
      <c r="A13351" t="s">
        <v>139</v>
      </c>
      <c r="B13351" s="1" t="str">
        <f>HYPERLINK("http://dupont.de","dupont.de")</f>
        <v>dupont.de</v>
      </c>
      <c r="C13351" t="s">
        <v>436</v>
      </c>
      <c r="D13351" t="s">
        <v>815</v>
      </c>
      <c r="F13351">
        <v>6.6394577944002795E-8</v>
      </c>
      <c r="G13351">
        <v>645448</v>
      </c>
      <c r="H13351">
        <v>14384768</v>
      </c>
      <c r="I13351">
        <v>1181571</v>
      </c>
      <c r="J13351">
        <v>2</v>
      </c>
    </row>
    <row r="13352" spans="1:10" x14ac:dyDescent="0.25">
      <c r="A13352" t="s">
        <v>139</v>
      </c>
      <c r="B13352" s="1" t="str">
        <f>HYPERLINK("http://dupont.es","dupont.es")</f>
        <v>dupont.es</v>
      </c>
      <c r="C13352" t="s">
        <v>443</v>
      </c>
      <c r="D13352" t="s">
        <v>822</v>
      </c>
      <c r="F13352">
        <v>4.8357823449860001E-8</v>
      </c>
      <c r="G13352">
        <v>960326</v>
      </c>
      <c r="H13352">
        <v>13770683</v>
      </c>
      <c r="I13352">
        <v>6719809</v>
      </c>
      <c r="J13352">
        <v>2</v>
      </c>
    </row>
    <row r="13353" spans="1:10" x14ac:dyDescent="0.25">
      <c r="A13353" t="s">
        <v>139</v>
      </c>
      <c r="B13353" s="1" t="str">
        <f>HYPERLINK("http://corian.fi","corian.fi")</f>
        <v>corian.fi</v>
      </c>
      <c r="C13353" t="s">
        <v>445</v>
      </c>
      <c r="D13353" t="s">
        <v>823</v>
      </c>
      <c r="J13353">
        <v>6</v>
      </c>
    </row>
    <row r="13354" spans="1:10" x14ac:dyDescent="0.25">
      <c r="A13354" t="s">
        <v>139</v>
      </c>
      <c r="B13354" s="1" t="str">
        <f>HYPERLINK("http://dupont.fi","dupont.fi")</f>
        <v>dupont.fi</v>
      </c>
      <c r="C13354" t="s">
        <v>445</v>
      </c>
      <c r="D13354" t="s">
        <v>823</v>
      </c>
      <c r="F13354">
        <v>4.7702233857242903E-9</v>
      </c>
      <c r="G13354">
        <v>37367434</v>
      </c>
      <c r="H13354">
        <v>12780107</v>
      </c>
      <c r="I13354">
        <v>14757763</v>
      </c>
      <c r="J13354">
        <v>4</v>
      </c>
    </row>
    <row r="13355" spans="1:10" x14ac:dyDescent="0.25">
      <c r="A13355" t="s">
        <v>139</v>
      </c>
      <c r="B13355" s="1" t="str">
        <f>HYPERLINK("http://kevlar.fi","kevlar.fi")</f>
        <v>kevlar.fi</v>
      </c>
      <c r="C13355" t="s">
        <v>445</v>
      </c>
      <c r="D13355" t="s">
        <v>823</v>
      </c>
      <c r="J13355">
        <v>6</v>
      </c>
    </row>
    <row r="13356" spans="1:10" x14ac:dyDescent="0.25">
      <c r="A13356" t="s">
        <v>139</v>
      </c>
      <c r="B13356" s="1" t="str">
        <f>HYPERLINK("http://nomex.fi","nomex.fi")</f>
        <v>nomex.fi</v>
      </c>
      <c r="C13356" t="s">
        <v>445</v>
      </c>
      <c r="D13356" t="s">
        <v>823</v>
      </c>
      <c r="J13356">
        <v>6</v>
      </c>
    </row>
    <row r="13357" spans="1:10" x14ac:dyDescent="0.25">
      <c r="A13357" t="s">
        <v>139</v>
      </c>
      <c r="B13357" s="1" t="str">
        <f>HYPERLINK("http://tyvek.fi","tyvek.fi")</f>
        <v>tyvek.fi</v>
      </c>
      <c r="C13357" t="s">
        <v>445</v>
      </c>
      <c r="D13357" t="s">
        <v>823</v>
      </c>
      <c r="J13357">
        <v>6</v>
      </c>
    </row>
    <row r="13358" spans="1:10" x14ac:dyDescent="0.25">
      <c r="A13358" t="s">
        <v>139</v>
      </c>
      <c r="B13358" s="1" t="str">
        <f>HYPERLINK("http://dupont.hk","dupont.hk")</f>
        <v>dupont.hk</v>
      </c>
      <c r="C13358" t="s">
        <v>450</v>
      </c>
      <c r="D13358" t="s">
        <v>827</v>
      </c>
      <c r="F13358">
        <v>1.17278159647092E-8</v>
      </c>
      <c r="G13358">
        <v>5348602</v>
      </c>
      <c r="H13358">
        <v>12340833</v>
      </c>
      <c r="I13358">
        <v>19989140</v>
      </c>
      <c r="J13358">
        <v>2</v>
      </c>
    </row>
    <row r="13359" spans="1:10" x14ac:dyDescent="0.25">
      <c r="A13359" t="s">
        <v>139</v>
      </c>
      <c r="B13359" s="1" t="str">
        <f>HYPERLINK("http://dupont.co.hu","dupont.co.hu")</f>
        <v>dupont.co.hu</v>
      </c>
      <c r="C13359" t="s">
        <v>453</v>
      </c>
      <c r="D13359" t="s">
        <v>830</v>
      </c>
      <c r="F13359">
        <v>1.0010895813913799E-8</v>
      </c>
      <c r="G13359">
        <v>6744853</v>
      </c>
      <c r="H13359">
        <v>12401092</v>
      </c>
      <c r="I13359">
        <v>18763516</v>
      </c>
      <c r="J13359">
        <v>2</v>
      </c>
    </row>
    <row r="13360" spans="1:10" x14ac:dyDescent="0.25">
      <c r="A13360" t="s">
        <v>139</v>
      </c>
      <c r="B13360" s="1" t="str">
        <f>HYPERLINK("http://dupont.co.id","dupont.co.id")</f>
        <v>dupont.co.id</v>
      </c>
      <c r="C13360" t="s">
        <v>454</v>
      </c>
      <c r="D13360" t="s">
        <v>831</v>
      </c>
      <c r="F13360">
        <v>9.1675874142755002E-9</v>
      </c>
      <c r="G13360">
        <v>7753694</v>
      </c>
      <c r="H13360">
        <v>12520110</v>
      </c>
      <c r="I13360">
        <v>17151686</v>
      </c>
      <c r="J13360">
        <v>2</v>
      </c>
    </row>
    <row r="13361" spans="1:10" x14ac:dyDescent="0.25">
      <c r="A13361" t="s">
        <v>139</v>
      </c>
      <c r="B13361" s="1" t="str">
        <f>HYPERLINK("http://dupont.co.in","dupont.co.in")</f>
        <v>dupont.co.in</v>
      </c>
      <c r="C13361" t="s">
        <v>457</v>
      </c>
      <c r="D13361" t="s">
        <v>834</v>
      </c>
      <c r="F13361">
        <v>2.7257435923177199E-8</v>
      </c>
      <c r="G13361">
        <v>1886247</v>
      </c>
      <c r="H13361">
        <v>13775316</v>
      </c>
      <c r="I13361">
        <v>6584471</v>
      </c>
      <c r="J13361">
        <v>2</v>
      </c>
    </row>
    <row r="13362" spans="1:10" x14ac:dyDescent="0.25">
      <c r="A13362" t="s">
        <v>139</v>
      </c>
      <c r="B13362" s="1" t="str">
        <f>HYPERLINK("http://dupont.it","dupont.it")</f>
        <v>dupont.it</v>
      </c>
      <c r="C13362" t="s">
        <v>459</v>
      </c>
      <c r="D13362" t="s">
        <v>835</v>
      </c>
      <c r="F13362">
        <v>3.0262170562263003E-8</v>
      </c>
      <c r="G13362">
        <v>1700745</v>
      </c>
      <c r="H13362">
        <v>13766914</v>
      </c>
      <c r="I13362">
        <v>6966738</v>
      </c>
      <c r="J13362">
        <v>2</v>
      </c>
    </row>
    <row r="13363" spans="1:10" x14ac:dyDescent="0.25">
      <c r="A13363" t="s">
        <v>139</v>
      </c>
      <c r="B13363" s="1" t="str">
        <f>HYPERLINK("http://dupont.co.jp","dupont.co.jp")</f>
        <v>dupont.co.jp</v>
      </c>
      <c r="C13363" t="s">
        <v>461</v>
      </c>
      <c r="D13363" t="s">
        <v>837</v>
      </c>
      <c r="F13363">
        <v>2.4472465538971801E-8</v>
      </c>
      <c r="G13363">
        <v>2117178</v>
      </c>
      <c r="H13363">
        <v>14093087</v>
      </c>
      <c r="I13363">
        <v>2736923</v>
      </c>
      <c r="J13363">
        <v>2</v>
      </c>
    </row>
    <row r="13364" spans="1:10" x14ac:dyDescent="0.25">
      <c r="A13364" t="s">
        <v>139</v>
      </c>
      <c r="B13364" s="1" t="str">
        <f>HYPERLINK("http://dupont.co.kr","dupont.co.kr")</f>
        <v>dupont.co.kr</v>
      </c>
      <c r="C13364" t="s">
        <v>463</v>
      </c>
      <c r="D13364" t="s">
        <v>839</v>
      </c>
      <c r="F13364">
        <v>1.7604883125962799E-8</v>
      </c>
      <c r="G13364">
        <v>3117830</v>
      </c>
      <c r="H13364">
        <v>14073502</v>
      </c>
      <c r="I13364">
        <v>2991082</v>
      </c>
      <c r="J13364">
        <v>2</v>
      </c>
    </row>
    <row r="13365" spans="1:10" x14ac:dyDescent="0.25">
      <c r="A13365" t="s">
        <v>139</v>
      </c>
      <c r="B13365" s="1" t="str">
        <f>HYPERLINK("http://dupont.kz","dupont.kz")</f>
        <v>dupont.kz</v>
      </c>
      <c r="C13365" t="s">
        <v>465</v>
      </c>
      <c r="D13365" t="s">
        <v>841</v>
      </c>
      <c r="F13365">
        <v>8.6892286273926495E-9</v>
      </c>
      <c r="G13365">
        <v>8496328</v>
      </c>
      <c r="H13365">
        <v>12334102</v>
      </c>
      <c r="I13365">
        <v>20124597</v>
      </c>
      <c r="J13365">
        <v>2</v>
      </c>
    </row>
    <row r="13366" spans="1:10" x14ac:dyDescent="0.25">
      <c r="A13366" t="s">
        <v>139</v>
      </c>
      <c r="B13366" s="1" t="str">
        <f>HYPERLINK("http://dupont.mx","dupont.mx")</f>
        <v>dupont.mx</v>
      </c>
      <c r="C13366" t="s">
        <v>471</v>
      </c>
      <c r="D13366" t="s">
        <v>847</v>
      </c>
      <c r="F13366">
        <v>2.0433536215469499E-8</v>
      </c>
      <c r="G13366">
        <v>2594065</v>
      </c>
      <c r="H13366">
        <v>12426889</v>
      </c>
      <c r="I13366">
        <v>18350211</v>
      </c>
      <c r="J13366">
        <v>2</v>
      </c>
    </row>
    <row r="13367" spans="1:10" x14ac:dyDescent="0.25">
      <c r="A13367" t="s">
        <v>139</v>
      </c>
      <c r="B13367" s="1" t="str">
        <f>HYPERLINK("http://dupont.com.my","dupont.com.my")</f>
        <v>dupont.com.my</v>
      </c>
      <c r="C13367" t="s">
        <v>472</v>
      </c>
      <c r="D13367" t="s">
        <v>848</v>
      </c>
      <c r="F13367">
        <v>1.29327014519181E-8</v>
      </c>
      <c r="G13367">
        <v>4663963</v>
      </c>
      <c r="H13367">
        <v>12363319</v>
      </c>
      <c r="I13367">
        <v>19526001</v>
      </c>
      <c r="J13367">
        <v>2</v>
      </c>
    </row>
    <row r="13368" spans="1:10" x14ac:dyDescent="0.25">
      <c r="A13368" t="s">
        <v>139</v>
      </c>
      <c r="B13368" s="1" t="str">
        <f>HYPERLINK("http://ddnet1.net","ddnet1.net")</f>
        <v>ddnet1.net</v>
      </c>
      <c r="C13368" t="s">
        <v>474</v>
      </c>
      <c r="E13368">
        <v>276326</v>
      </c>
      <c r="F13368">
        <v>5.5559489478516801E-9</v>
      </c>
      <c r="G13368">
        <v>20315705</v>
      </c>
      <c r="H13368">
        <v>12534897</v>
      </c>
      <c r="I13368">
        <v>16987136</v>
      </c>
      <c r="J13368">
        <v>5</v>
      </c>
    </row>
    <row r="13369" spans="1:10" x14ac:dyDescent="0.25">
      <c r="A13369" t="s">
        <v>139</v>
      </c>
      <c r="B13369" s="1" t="str">
        <f>HYPERLINK("http://dupontnederland.nl","dupontnederland.nl")</f>
        <v>dupontnederland.nl</v>
      </c>
      <c r="C13369" t="s">
        <v>477</v>
      </c>
      <c r="D13369" t="s">
        <v>852</v>
      </c>
      <c r="F13369">
        <v>2.3038641476002801E-8</v>
      </c>
      <c r="G13369">
        <v>2266464</v>
      </c>
      <c r="H13369">
        <v>14240031</v>
      </c>
      <c r="I13369">
        <v>1505222</v>
      </c>
      <c r="J13369">
        <v>4</v>
      </c>
    </row>
    <row r="13370" spans="1:10" x14ac:dyDescent="0.25">
      <c r="A13370" t="s">
        <v>139</v>
      </c>
      <c r="B13370" s="1" t="str">
        <f>HYPERLINK("http://dupont.co.nz","dupont.co.nz")</f>
        <v>dupont.co.nz</v>
      </c>
      <c r="C13370" t="s">
        <v>479</v>
      </c>
      <c r="D13370" t="s">
        <v>854</v>
      </c>
      <c r="F13370">
        <v>1.2636177118339899E-8</v>
      </c>
      <c r="G13370">
        <v>4812446</v>
      </c>
      <c r="H13370">
        <v>12346215</v>
      </c>
      <c r="I13370">
        <v>19830543</v>
      </c>
      <c r="J13370">
        <v>2</v>
      </c>
    </row>
    <row r="13371" spans="1:10" x14ac:dyDescent="0.25">
      <c r="A13371" t="s">
        <v>139</v>
      </c>
      <c r="B13371" s="1" t="str">
        <f>HYPERLINK("http://dupont.com.pe","dupont.com.pe")</f>
        <v>dupont.com.pe</v>
      </c>
      <c r="C13371" t="s">
        <v>483</v>
      </c>
      <c r="D13371" t="s">
        <v>857</v>
      </c>
      <c r="F13371">
        <v>8.5236664902463101E-9</v>
      </c>
      <c r="G13371">
        <v>8799068</v>
      </c>
      <c r="H13371">
        <v>12334102</v>
      </c>
      <c r="I13371">
        <v>20124601</v>
      </c>
      <c r="J13371">
        <v>2</v>
      </c>
    </row>
    <row r="13372" spans="1:10" x14ac:dyDescent="0.25">
      <c r="A13372" t="s">
        <v>139</v>
      </c>
      <c r="B13372" s="1" t="str">
        <f>HYPERLINK("http://dupont.ph","dupont.ph")</f>
        <v>dupont.ph</v>
      </c>
      <c r="C13372" t="s">
        <v>484</v>
      </c>
      <c r="D13372" t="s">
        <v>858</v>
      </c>
      <c r="F13372">
        <v>1.1561348131142599E-8</v>
      </c>
      <c r="G13372">
        <v>5460014</v>
      </c>
      <c r="H13372">
        <v>12340830</v>
      </c>
      <c r="I13372">
        <v>19989183</v>
      </c>
      <c r="J13372">
        <v>2</v>
      </c>
    </row>
    <row r="13373" spans="1:10" x14ac:dyDescent="0.25">
      <c r="A13373" t="s">
        <v>139</v>
      </c>
      <c r="B13373" s="1" t="str">
        <f>HYPERLINK("http://dupont.pk","dupont.pk")</f>
        <v>dupont.pk</v>
      </c>
      <c r="C13373" t="s">
        <v>485</v>
      </c>
      <c r="D13373" t="s">
        <v>859</v>
      </c>
      <c r="F13373">
        <v>8.3781363670406405E-9</v>
      </c>
      <c r="G13373">
        <v>9088222</v>
      </c>
      <c r="H13373">
        <v>12334100</v>
      </c>
      <c r="I13373">
        <v>20124626</v>
      </c>
      <c r="J13373">
        <v>2</v>
      </c>
    </row>
    <row r="13374" spans="1:10" x14ac:dyDescent="0.25">
      <c r="A13374" t="s">
        <v>139</v>
      </c>
      <c r="B13374" s="1" t="str">
        <f>HYPERLINK("http://dupont.pl","dupont.pl")</f>
        <v>dupont.pl</v>
      </c>
      <c r="C13374" t="s">
        <v>486</v>
      </c>
      <c r="D13374" t="s">
        <v>860</v>
      </c>
      <c r="F13374">
        <v>2.70633383325267E-8</v>
      </c>
      <c r="G13374">
        <v>1900378</v>
      </c>
      <c r="H13374">
        <v>14086506</v>
      </c>
      <c r="I13374">
        <v>2769683</v>
      </c>
      <c r="J13374">
        <v>2</v>
      </c>
    </row>
    <row r="13375" spans="1:10" x14ac:dyDescent="0.25">
      <c r="A13375" t="s">
        <v>139</v>
      </c>
      <c r="B13375" s="1" t="str">
        <f>HYPERLINK("http://dupont.ro","dupont.ro")</f>
        <v>dupont.ro</v>
      </c>
      <c r="C13375" t="s">
        <v>491</v>
      </c>
      <c r="D13375" t="s">
        <v>865</v>
      </c>
      <c r="F13375">
        <v>1.1798089951077499E-8</v>
      </c>
      <c r="G13375">
        <v>5303404</v>
      </c>
      <c r="H13375">
        <v>12348771</v>
      </c>
      <c r="I13375">
        <v>19784754</v>
      </c>
      <c r="J13375">
        <v>2</v>
      </c>
    </row>
    <row r="13376" spans="1:10" x14ac:dyDescent="0.25">
      <c r="A13376" t="s">
        <v>139</v>
      </c>
      <c r="B13376" s="1" t="str">
        <f>HYPERLINK("http://dupont.ru","dupont.ru")</f>
        <v>dupont.ru</v>
      </c>
      <c r="C13376" t="s">
        <v>493</v>
      </c>
      <c r="D13376" t="s">
        <v>867</v>
      </c>
      <c r="F13376">
        <v>3.99525558376025E-8</v>
      </c>
      <c r="G13376">
        <v>1293720</v>
      </c>
      <c r="H13376">
        <v>12916907</v>
      </c>
      <c r="I13376">
        <v>13508708</v>
      </c>
      <c r="J13376">
        <v>2</v>
      </c>
    </row>
    <row r="13377" spans="1:10" x14ac:dyDescent="0.25">
      <c r="A13377" t="s">
        <v>139</v>
      </c>
      <c r="B13377" s="1" t="str">
        <f>HYPERLINK("http://dupont.se","dupont.se")</f>
        <v>dupont.se</v>
      </c>
      <c r="C13377" t="s">
        <v>495</v>
      </c>
      <c r="D13377" t="s">
        <v>869</v>
      </c>
      <c r="F13377">
        <v>1.5418426515857299E-8</v>
      </c>
      <c r="G13377">
        <v>3708617</v>
      </c>
      <c r="H13377">
        <v>12430128</v>
      </c>
      <c r="I13377">
        <v>18300933</v>
      </c>
      <c r="J13377">
        <v>2</v>
      </c>
    </row>
    <row r="13378" spans="1:10" x14ac:dyDescent="0.25">
      <c r="A13378" t="s">
        <v>139</v>
      </c>
      <c r="B13378" s="1" t="str">
        <f>HYPERLINK("http://dupont.com.sg","dupont.com.sg")</f>
        <v>dupont.com.sg</v>
      </c>
      <c r="C13378" t="s">
        <v>496</v>
      </c>
      <c r="D13378" t="s">
        <v>870</v>
      </c>
      <c r="F13378">
        <v>2.49240129982647E-8</v>
      </c>
      <c r="G13378">
        <v>2074281</v>
      </c>
      <c r="H13378">
        <v>12724040</v>
      </c>
      <c r="I13378">
        <v>15233223</v>
      </c>
      <c r="J13378">
        <v>2</v>
      </c>
    </row>
    <row r="13379" spans="1:10" x14ac:dyDescent="0.25">
      <c r="A13379" t="s">
        <v>139</v>
      </c>
      <c r="B13379" s="1" t="str">
        <f>HYPERLINK("http://dupont.co.th","dupont.co.th")</f>
        <v>dupont.co.th</v>
      </c>
      <c r="C13379" t="s">
        <v>500</v>
      </c>
      <c r="D13379" t="s">
        <v>874</v>
      </c>
      <c r="F13379">
        <v>8.4665475297200306E-9</v>
      </c>
      <c r="G13379">
        <v>8909832</v>
      </c>
      <c r="H13379">
        <v>12336519</v>
      </c>
      <c r="I13379">
        <v>20076883</v>
      </c>
      <c r="J13379">
        <v>2</v>
      </c>
    </row>
    <row r="13380" spans="1:10" x14ac:dyDescent="0.25">
      <c r="A13380" t="s">
        <v>139</v>
      </c>
      <c r="B13380" s="1" t="str">
        <f>HYPERLINK("http://dupont.com.tr","dupont.com.tr")</f>
        <v>dupont.com.tr</v>
      </c>
      <c r="C13380" t="s">
        <v>502</v>
      </c>
      <c r="D13380" t="s">
        <v>876</v>
      </c>
      <c r="F13380">
        <v>1.5566696571167801E-8</v>
      </c>
      <c r="G13380">
        <v>3665590</v>
      </c>
      <c r="H13380">
        <v>12341308</v>
      </c>
      <c r="I13380">
        <v>19976030</v>
      </c>
      <c r="J13380">
        <v>2</v>
      </c>
    </row>
    <row r="13381" spans="1:10" x14ac:dyDescent="0.25">
      <c r="A13381" t="s">
        <v>139</v>
      </c>
      <c r="B13381" s="1" t="str">
        <f>HYPERLINK("http://dupont.com.tw","dupont.com.tw")</f>
        <v>dupont.com.tw</v>
      </c>
      <c r="C13381" t="s">
        <v>504</v>
      </c>
      <c r="D13381" t="s">
        <v>878</v>
      </c>
      <c r="F13381">
        <v>1.15957592041714E-8</v>
      </c>
      <c r="G13381">
        <v>5435855</v>
      </c>
      <c r="H13381">
        <v>12966867</v>
      </c>
      <c r="I13381">
        <v>13075454</v>
      </c>
      <c r="J13381">
        <v>2</v>
      </c>
    </row>
    <row r="13382" spans="1:10" x14ac:dyDescent="0.25">
      <c r="A13382" t="s">
        <v>139</v>
      </c>
      <c r="B13382" s="1" t="str">
        <f>HYPERLINK("http://dupont.co.uk","dupont.co.uk")</f>
        <v>dupont.co.uk</v>
      </c>
      <c r="C13382" t="s">
        <v>506</v>
      </c>
      <c r="D13382" t="s">
        <v>880</v>
      </c>
      <c r="E13382">
        <v>639750</v>
      </c>
      <c r="F13382">
        <v>1.01025704002967E-7</v>
      </c>
      <c r="G13382">
        <v>398005</v>
      </c>
      <c r="H13382">
        <v>14264674</v>
      </c>
      <c r="I13382">
        <v>1410227</v>
      </c>
      <c r="J13382">
        <v>2</v>
      </c>
    </row>
    <row r="13383" spans="1:10" x14ac:dyDescent="0.25">
      <c r="A13383" t="s">
        <v>139</v>
      </c>
      <c r="B13383" s="1" t="str">
        <f>HYPERLINK("http://dupont.com.vn","dupont.com.vn")</f>
        <v>dupont.com.vn</v>
      </c>
      <c r="C13383" t="s">
        <v>509</v>
      </c>
      <c r="D13383" t="s">
        <v>883</v>
      </c>
      <c r="F13383">
        <v>8.4679407102002299E-9</v>
      </c>
      <c r="G13383">
        <v>8907151</v>
      </c>
      <c r="H13383">
        <v>12334102</v>
      </c>
      <c r="I13383">
        <v>20124603</v>
      </c>
      <c r="J13383">
        <v>2</v>
      </c>
    </row>
    <row r="13384" spans="1:10" x14ac:dyDescent="0.25">
      <c r="A13384" t="s">
        <v>139</v>
      </c>
      <c r="B13384" s="1" t="str">
        <f>HYPERLINK("http://dupont.co.za","dupont.co.za")</f>
        <v>dupont.co.za</v>
      </c>
      <c r="C13384" t="s">
        <v>510</v>
      </c>
      <c r="D13384" t="s">
        <v>884</v>
      </c>
      <c r="F13384">
        <v>1.3766575827161401E-8</v>
      </c>
      <c r="G13384">
        <v>4294610</v>
      </c>
      <c r="H13384">
        <v>12930052</v>
      </c>
      <c r="I13384">
        <v>13367577</v>
      </c>
      <c r="J13384">
        <v>2</v>
      </c>
    </row>
    <row r="13385" spans="1:10" x14ac:dyDescent="0.25">
      <c r="A13385" t="s">
        <v>140</v>
      </c>
      <c r="B13385" s="1" t="str">
        <f>HYPERLINK("http://eogresources.com","eogresources.com")</f>
        <v>eogresources.com</v>
      </c>
      <c r="C13385" t="s">
        <v>433</v>
      </c>
      <c r="E13385">
        <v>198134</v>
      </c>
      <c r="F13385">
        <v>1.4810719899495801E-7</v>
      </c>
      <c r="G13385">
        <v>262511</v>
      </c>
      <c r="H13385">
        <v>14650537</v>
      </c>
      <c r="I13385">
        <v>627365</v>
      </c>
      <c r="J13385">
        <v>1</v>
      </c>
    </row>
    <row r="13386" spans="1:10" x14ac:dyDescent="0.25">
      <c r="A13386" t="s">
        <v>141</v>
      </c>
      <c r="B13386" s="1" t="str">
        <f>HYPERLINK("http://eastmoney.cn","eastmoney.cn")</f>
        <v>eastmoney.cn</v>
      </c>
      <c r="C13386" t="s">
        <v>431</v>
      </c>
      <c r="D13386" t="s">
        <v>812</v>
      </c>
      <c r="F13386">
        <v>5.6903417979537197E-8</v>
      </c>
      <c r="G13386">
        <v>784915</v>
      </c>
      <c r="H13386">
        <v>12474951</v>
      </c>
      <c r="I13386">
        <v>17646542</v>
      </c>
      <c r="J13386">
        <v>2</v>
      </c>
    </row>
    <row r="13387" spans="1:10" x14ac:dyDescent="0.25">
      <c r="A13387" t="s">
        <v>141</v>
      </c>
      <c r="B13387" s="1" t="str">
        <f>HYPERLINK("http://eastmoney.com","eastmoney.com")</f>
        <v>eastmoney.com</v>
      </c>
      <c r="C13387" t="s">
        <v>433</v>
      </c>
      <c r="E13387">
        <v>644</v>
      </c>
      <c r="F13387">
        <v>5.7679195934778296E-6</v>
      </c>
      <c r="G13387">
        <v>6013</v>
      </c>
      <c r="H13387">
        <v>15735587</v>
      </c>
      <c r="I13387">
        <v>369111</v>
      </c>
      <c r="J13387">
        <v>1</v>
      </c>
    </row>
    <row r="13388" spans="1:10" x14ac:dyDescent="0.25">
      <c r="A13388" t="s">
        <v>142</v>
      </c>
      <c r="B13388" s="1" t="str">
        <f>HYPERLINK("http://moeller.at","moeller.at")</f>
        <v>moeller.at</v>
      </c>
      <c r="C13388" t="s">
        <v>419</v>
      </c>
      <c r="D13388" t="s">
        <v>801</v>
      </c>
      <c r="F13388">
        <v>1.3227339074987801E-8</v>
      </c>
      <c r="G13388">
        <v>4526156</v>
      </c>
      <c r="H13388">
        <v>12198554</v>
      </c>
      <c r="I13388">
        <v>23351165</v>
      </c>
      <c r="J13388">
        <v>3</v>
      </c>
    </row>
    <row r="13389" spans="1:10" x14ac:dyDescent="0.25">
      <c r="A13389" t="s">
        <v>142</v>
      </c>
      <c r="B13389" s="1" t="str">
        <f>HYPERLINK("http://eaton.be","eaton.be")</f>
        <v>eaton.be</v>
      </c>
      <c r="C13389" t="s">
        <v>421</v>
      </c>
      <c r="D13389" t="s">
        <v>803</v>
      </c>
      <c r="F13389">
        <v>1.6586034782444202E-8</v>
      </c>
      <c r="G13389">
        <v>3392736</v>
      </c>
      <c r="H13389">
        <v>13138978</v>
      </c>
      <c r="I13389">
        <v>11885480</v>
      </c>
      <c r="J13389">
        <v>2</v>
      </c>
    </row>
    <row r="13390" spans="1:10" x14ac:dyDescent="0.25">
      <c r="A13390" t="s">
        <v>142</v>
      </c>
      <c r="B13390" s="1" t="str">
        <f>HYPERLINK("http://moeller.bg","moeller.bg")</f>
        <v>moeller.bg</v>
      </c>
      <c r="C13390" t="s">
        <v>422</v>
      </c>
      <c r="D13390" t="s">
        <v>804</v>
      </c>
      <c r="F13390">
        <v>5.7736476696354697E-9</v>
      </c>
      <c r="G13390">
        <v>18297489</v>
      </c>
      <c r="H13390">
        <v>10509981</v>
      </c>
      <c r="I13390">
        <v>49680857</v>
      </c>
      <c r="J13390">
        <v>3</v>
      </c>
    </row>
    <row r="13391" spans="1:10" x14ac:dyDescent="0.25">
      <c r="A13391" t="s">
        <v>142</v>
      </c>
      <c r="B13391" s="1" t="str">
        <f>HYPERLINK("http://metalroofingsystems.biz","metalroofingsystems.biz")</f>
        <v>metalroofingsystems.biz</v>
      </c>
      <c r="C13391" t="s">
        <v>423</v>
      </c>
      <c r="F13391">
        <v>7.3159535272021199E-9</v>
      </c>
      <c r="G13391">
        <v>11440895</v>
      </c>
      <c r="H13391">
        <v>13763817</v>
      </c>
      <c r="I13391">
        <v>7587175</v>
      </c>
      <c r="J13391">
        <v>4</v>
      </c>
    </row>
    <row r="13392" spans="1:10" x14ac:dyDescent="0.25">
      <c r="A13392" t="s">
        <v>142</v>
      </c>
      <c r="B13392" s="1" t="str">
        <f>HYPERLINK("http://cooperpower.com.br","cooperpower.com.br")</f>
        <v>cooperpower.com.br</v>
      </c>
      <c r="C13392" t="s">
        <v>425</v>
      </c>
      <c r="D13392" t="s">
        <v>806</v>
      </c>
      <c r="J13392">
        <v>3</v>
      </c>
    </row>
    <row r="13393" spans="1:10" x14ac:dyDescent="0.25">
      <c r="A13393" t="s">
        <v>142</v>
      </c>
      <c r="B13393" s="1" t="str">
        <f>HYPERLINK("http://eaton.com.br","eaton.com.br")</f>
        <v>eaton.com.br</v>
      </c>
      <c r="C13393" t="s">
        <v>425</v>
      </c>
      <c r="D13393" t="s">
        <v>806</v>
      </c>
      <c r="F13393">
        <v>1.5593203182558101E-8</v>
      </c>
      <c r="G13393">
        <v>3657034</v>
      </c>
      <c r="H13393">
        <v>13764515</v>
      </c>
      <c r="I13393">
        <v>7246708</v>
      </c>
      <c r="J13393">
        <v>2</v>
      </c>
    </row>
    <row r="13394" spans="1:10" x14ac:dyDescent="0.25">
      <c r="A13394" t="s">
        <v>142</v>
      </c>
      <c r="B13394" s="1" t="str">
        <f>HYPERLINK("http://moeller.com.br","moeller.com.br")</f>
        <v>moeller.com.br</v>
      </c>
      <c r="C13394" t="s">
        <v>425</v>
      </c>
      <c r="D13394" t="s">
        <v>806</v>
      </c>
      <c r="F13394">
        <v>5.8900130948611001E-9</v>
      </c>
      <c r="G13394">
        <v>17428139</v>
      </c>
      <c r="H13394">
        <v>13763634</v>
      </c>
      <c r="I13394">
        <v>8280364</v>
      </c>
      <c r="J13394">
        <v>3</v>
      </c>
    </row>
    <row r="13395" spans="1:10" x14ac:dyDescent="0.25">
      <c r="A13395" t="s">
        <v>142</v>
      </c>
      <c r="B13395" s="1" t="str">
        <f>HYPERLINK("http://eaton.by","eaton.by")</f>
        <v>eaton.by</v>
      </c>
      <c r="C13395" t="s">
        <v>427</v>
      </c>
      <c r="D13395" t="s">
        <v>808</v>
      </c>
      <c r="F13395">
        <v>1.1891082304152799E-8</v>
      </c>
      <c r="G13395">
        <v>5244775</v>
      </c>
      <c r="H13395">
        <v>12314591</v>
      </c>
      <c r="I13395">
        <v>20521391</v>
      </c>
      <c r="J13395">
        <v>2</v>
      </c>
    </row>
    <row r="13396" spans="1:10" x14ac:dyDescent="0.25">
      <c r="A13396" t="s">
        <v>142</v>
      </c>
      <c r="B13396" s="1" t="str">
        <f>HYPERLINK("http://eaton.ch","eaton.ch")</f>
        <v>eaton.ch</v>
      </c>
      <c r="C13396" t="s">
        <v>429</v>
      </c>
      <c r="D13396" t="s">
        <v>810</v>
      </c>
      <c r="F13396">
        <v>1.3292874296971E-8</v>
      </c>
      <c r="G13396">
        <v>4496564</v>
      </c>
      <c r="H13396">
        <v>12466574</v>
      </c>
      <c r="I13396">
        <v>17796980</v>
      </c>
      <c r="J13396">
        <v>3</v>
      </c>
    </row>
    <row r="13397" spans="1:10" x14ac:dyDescent="0.25">
      <c r="A13397" t="s">
        <v>142</v>
      </c>
      <c r="B13397" s="1" t="str">
        <f>HYPERLINK("http://greenmotion.ch","greenmotion.ch")</f>
        <v>greenmotion.ch</v>
      </c>
      <c r="C13397" t="s">
        <v>429</v>
      </c>
      <c r="D13397" t="s">
        <v>810</v>
      </c>
      <c r="F13397">
        <v>3.3863468014472498E-8</v>
      </c>
      <c r="G13397">
        <v>1528347</v>
      </c>
      <c r="H13397">
        <v>13935728</v>
      </c>
      <c r="I13397">
        <v>4518687</v>
      </c>
      <c r="J13397">
        <v>3</v>
      </c>
    </row>
    <row r="13398" spans="1:10" x14ac:dyDescent="0.25">
      <c r="A13398" t="s">
        <v>142</v>
      </c>
      <c r="B13398" s="1" t="str">
        <f>HYPERLINK("http://cyh.com.cn","cyh.com.cn")</f>
        <v>cyh.com.cn</v>
      </c>
      <c r="C13398" t="s">
        <v>431</v>
      </c>
      <c r="D13398" t="s">
        <v>812</v>
      </c>
      <c r="F13398">
        <v>2.0954141371432301E-8</v>
      </c>
      <c r="G13398">
        <v>2522100</v>
      </c>
      <c r="H13398">
        <v>9651195</v>
      </c>
      <c r="I13398">
        <v>63885862</v>
      </c>
      <c r="J13398">
        <v>3</v>
      </c>
    </row>
    <row r="13399" spans="1:10" x14ac:dyDescent="0.25">
      <c r="A13399" t="s">
        <v>142</v>
      </c>
      <c r="B13399" s="1" t="str">
        <f>HYPERLINK("http://eaton.com.cn","eaton.com.cn")</f>
        <v>eaton.com.cn</v>
      </c>
      <c r="C13399" t="s">
        <v>431</v>
      </c>
      <c r="D13399" t="s">
        <v>812</v>
      </c>
      <c r="E13399">
        <v>670533</v>
      </c>
      <c r="F13399">
        <v>8.8454938710373797E-8</v>
      </c>
      <c r="G13399">
        <v>462789</v>
      </c>
      <c r="H13399">
        <v>13587285</v>
      </c>
      <c r="I13399">
        <v>9674133</v>
      </c>
      <c r="J13399">
        <v>2</v>
      </c>
    </row>
    <row r="13400" spans="1:10" x14ac:dyDescent="0.25">
      <c r="A13400" t="s">
        <v>142</v>
      </c>
      <c r="B13400" s="1" t="str">
        <f>HYPERLINK("http://santak.com.cn","santak.com.cn")</f>
        <v>santak.com.cn</v>
      </c>
      <c r="C13400" t="s">
        <v>431</v>
      </c>
      <c r="D13400" t="s">
        <v>812</v>
      </c>
      <c r="F13400">
        <v>1.1432128633200501E-7</v>
      </c>
      <c r="G13400">
        <v>348356</v>
      </c>
      <c r="H13400">
        <v>12982429</v>
      </c>
      <c r="I13400">
        <v>12939802</v>
      </c>
      <c r="J13400">
        <v>3</v>
      </c>
    </row>
    <row r="13401" spans="1:10" x14ac:dyDescent="0.25">
      <c r="A13401" t="s">
        <v>142</v>
      </c>
      <c r="B13401" s="1" t="str">
        <f>HYPERLINK("http://eaton.cn","eaton.cn")</f>
        <v>eaton.cn</v>
      </c>
      <c r="C13401" t="s">
        <v>431</v>
      </c>
      <c r="D13401" t="s">
        <v>812</v>
      </c>
      <c r="F13401">
        <v>2.40743354616143E-8</v>
      </c>
      <c r="G13401">
        <v>2155720</v>
      </c>
      <c r="H13401">
        <v>12320164</v>
      </c>
      <c r="I13401">
        <v>20417080</v>
      </c>
      <c r="J13401">
        <v>3</v>
      </c>
    </row>
    <row r="13402" spans="1:10" x14ac:dyDescent="0.25">
      <c r="A13402" t="s">
        <v>142</v>
      </c>
      <c r="B13402" s="1" t="str">
        <f>HYPERLINK("http://eaton.com.co","eaton.com.co")</f>
        <v>eaton.com.co</v>
      </c>
      <c r="C13402" t="s">
        <v>432</v>
      </c>
      <c r="F13402">
        <v>5.4111289416006999E-9</v>
      </c>
      <c r="G13402">
        <v>21971824</v>
      </c>
      <c r="H13402">
        <v>10444571</v>
      </c>
      <c r="I13402">
        <v>52242892</v>
      </c>
      <c r="J13402">
        <v>2</v>
      </c>
    </row>
    <row r="13403" spans="1:10" x14ac:dyDescent="0.25">
      <c r="A13403" t="s">
        <v>142</v>
      </c>
      <c r="B13403" s="1" t="str">
        <f>HYPERLINK("http://azonix.com","azonix.com")</f>
        <v>azonix.com</v>
      </c>
      <c r="C13403" t="s">
        <v>433</v>
      </c>
      <c r="F13403">
        <v>4.6187751415697401E-9</v>
      </c>
      <c r="G13403">
        <v>46218595</v>
      </c>
      <c r="H13403">
        <v>10532656</v>
      </c>
      <c r="I13403">
        <v>47982504</v>
      </c>
      <c r="J13403">
        <v>3</v>
      </c>
    </row>
    <row r="13404" spans="1:10" x14ac:dyDescent="0.25">
      <c r="A13404" t="s">
        <v>142</v>
      </c>
      <c r="B13404" s="1" t="str">
        <f>HYPERLINK("http://bussmann.com","bussmann.com")</f>
        <v>bussmann.com</v>
      </c>
      <c r="C13404" t="s">
        <v>433</v>
      </c>
      <c r="F13404">
        <v>2.5666021861139999E-8</v>
      </c>
      <c r="G13404">
        <v>2008912</v>
      </c>
      <c r="H13404">
        <v>14078143</v>
      </c>
      <c r="I13404">
        <v>2851811</v>
      </c>
      <c r="J13404">
        <v>3</v>
      </c>
    </row>
    <row r="13405" spans="1:10" x14ac:dyDescent="0.25">
      <c r="A13405" t="s">
        <v>142</v>
      </c>
      <c r="B13405" s="1" t="str">
        <f>HYPERLINK("http://cannontech.com","cannontech.com")</f>
        <v>cannontech.com</v>
      </c>
      <c r="C13405" t="s">
        <v>433</v>
      </c>
      <c r="F13405">
        <v>5.0037620790727399E-9</v>
      </c>
      <c r="G13405">
        <v>29320818</v>
      </c>
      <c r="H13405">
        <v>12560251</v>
      </c>
      <c r="I13405">
        <v>16712953</v>
      </c>
      <c r="J13405">
        <v>3</v>
      </c>
    </row>
    <row r="13406" spans="1:10" x14ac:dyDescent="0.25">
      <c r="A13406" t="s">
        <v>142</v>
      </c>
      <c r="B13406" s="1" t="str">
        <f>HYPERLINK("http://cobhammissionsystems.com","cobhammissionsystems.com")</f>
        <v>cobhammissionsystems.com</v>
      </c>
      <c r="C13406" t="s">
        <v>433</v>
      </c>
      <c r="F13406">
        <v>1.9642903545092001E-8</v>
      </c>
      <c r="G13406">
        <v>2720530</v>
      </c>
      <c r="H13406">
        <v>14385340</v>
      </c>
      <c r="I13406">
        <v>1180121</v>
      </c>
      <c r="J13406">
        <v>4</v>
      </c>
    </row>
    <row r="13407" spans="1:10" x14ac:dyDescent="0.25">
      <c r="A13407" t="s">
        <v>142</v>
      </c>
      <c r="B13407" s="1" t="str">
        <f>HYPERLINK("http://cooper-ls.com","cooper-ls.com")</f>
        <v>cooper-ls.com</v>
      </c>
      <c r="C13407" t="s">
        <v>433</v>
      </c>
      <c r="F13407">
        <v>8.9931710146955698E-9</v>
      </c>
      <c r="G13407">
        <v>8001731</v>
      </c>
      <c r="H13407">
        <v>13934534</v>
      </c>
      <c r="I13407">
        <v>4592301</v>
      </c>
      <c r="J13407">
        <v>3</v>
      </c>
    </row>
    <row r="13408" spans="1:10" x14ac:dyDescent="0.25">
      <c r="A13408" t="s">
        <v>142</v>
      </c>
      <c r="B13408" s="1" t="str">
        <f>HYPERLINK("http://cooperbline.com","cooperbline.com")</f>
        <v>cooperbline.com</v>
      </c>
      <c r="C13408" t="s">
        <v>433</v>
      </c>
      <c r="F13408">
        <v>1.5270592308613001E-8</v>
      </c>
      <c r="G13408">
        <v>3754530</v>
      </c>
      <c r="H13408">
        <v>13774378</v>
      </c>
      <c r="I13408">
        <v>6606863</v>
      </c>
      <c r="J13408">
        <v>3</v>
      </c>
    </row>
    <row r="13409" spans="1:10" x14ac:dyDescent="0.25">
      <c r="A13409" t="s">
        <v>142</v>
      </c>
      <c r="B13409" s="1" t="str">
        <f>HYPERLINK("http://cooperfrance.com","cooperfrance.com")</f>
        <v>cooperfrance.com</v>
      </c>
      <c r="C13409" t="s">
        <v>433</v>
      </c>
      <c r="F13409">
        <v>1.4022689371960899E-8</v>
      </c>
      <c r="G13409">
        <v>4194158</v>
      </c>
      <c r="H13409">
        <v>12366821</v>
      </c>
      <c r="I13409">
        <v>19468874</v>
      </c>
      <c r="J13409">
        <v>3</v>
      </c>
    </row>
    <row r="13410" spans="1:10" x14ac:dyDescent="0.25">
      <c r="A13410" t="s">
        <v>142</v>
      </c>
      <c r="B13410" s="1" t="str">
        <f>HYPERLINK("http://cooperindustries.com","cooperindustries.com")</f>
        <v>cooperindustries.com</v>
      </c>
      <c r="C13410" t="s">
        <v>433</v>
      </c>
      <c r="E13410">
        <v>140395</v>
      </c>
      <c r="F13410">
        <v>3.0245564947157301E-7</v>
      </c>
      <c r="G13410">
        <v>122935</v>
      </c>
      <c r="H13410">
        <v>17169592</v>
      </c>
      <c r="I13410">
        <v>47786</v>
      </c>
      <c r="J13410">
        <v>3</v>
      </c>
    </row>
    <row r="13411" spans="1:10" x14ac:dyDescent="0.25">
      <c r="A13411" t="s">
        <v>142</v>
      </c>
      <c r="B13411" s="1" t="str">
        <f>HYPERLINK("http://cooperwheelock.com","cooperwheelock.com")</f>
        <v>cooperwheelock.com</v>
      </c>
      <c r="C13411" t="s">
        <v>433</v>
      </c>
      <c r="F13411">
        <v>8.2988743536526898E-9</v>
      </c>
      <c r="G13411">
        <v>9259620</v>
      </c>
      <c r="H13411">
        <v>12177122</v>
      </c>
      <c r="I13411">
        <v>23881420</v>
      </c>
      <c r="J13411">
        <v>3</v>
      </c>
    </row>
    <row r="13412" spans="1:10" x14ac:dyDescent="0.25">
      <c r="A13412" t="s">
        <v>142</v>
      </c>
      <c r="B13412" s="1" t="str">
        <f>HYPERLINK("http://eaton.com","eaton.com")</f>
        <v>eaton.com</v>
      </c>
      <c r="C13412" t="s">
        <v>433</v>
      </c>
      <c r="E13412">
        <v>7102</v>
      </c>
      <c r="F13412">
        <v>2.8599013118839502E-6</v>
      </c>
      <c r="G13412">
        <v>13475</v>
      </c>
      <c r="H13412">
        <v>17624718</v>
      </c>
      <c r="I13412">
        <v>9003</v>
      </c>
      <c r="J13412">
        <v>1</v>
      </c>
    </row>
    <row r="13413" spans="1:10" x14ac:dyDescent="0.25">
      <c r="A13413" t="s">
        <v>142</v>
      </c>
      <c r="B13413" s="1" t="str">
        <f>HYPERLINK("http://eatonelectrical.com","eatonelectrical.com")</f>
        <v>eatonelectrical.com</v>
      </c>
      <c r="C13413" t="s">
        <v>433</v>
      </c>
      <c r="F13413">
        <v>1.69841275364526E-8</v>
      </c>
      <c r="G13413">
        <v>3286879</v>
      </c>
      <c r="H13413">
        <v>12910151</v>
      </c>
      <c r="I13413">
        <v>13561744</v>
      </c>
      <c r="J13413">
        <v>3</v>
      </c>
    </row>
    <row r="13414" spans="1:10" x14ac:dyDescent="0.25">
      <c r="A13414" t="s">
        <v>142</v>
      </c>
      <c r="B13414" s="1" t="str">
        <f>HYPERLINK("http://ekasystems.com","ekasystems.com")</f>
        <v>ekasystems.com</v>
      </c>
      <c r="C13414" t="s">
        <v>433</v>
      </c>
      <c r="F13414">
        <v>8.0725007638210492E-9</v>
      </c>
      <c r="G13414">
        <v>9790186</v>
      </c>
      <c r="H13414">
        <v>13290438</v>
      </c>
      <c r="I13414">
        <v>10875468</v>
      </c>
      <c r="J13414">
        <v>9</v>
      </c>
    </row>
    <row r="13415" spans="1:10" x14ac:dyDescent="0.25">
      <c r="A13415" t="s">
        <v>142</v>
      </c>
      <c r="B13415" s="1" t="str">
        <f>HYPERLINK("http://esterline-connection-technologies.com","esterline-connection-technologies.com")</f>
        <v>esterline-connection-technologies.com</v>
      </c>
      <c r="C13415" t="s">
        <v>433</v>
      </c>
      <c r="F13415">
        <v>1.39278234349654E-8</v>
      </c>
      <c r="G13415">
        <v>4230355</v>
      </c>
      <c r="H13415">
        <v>13767913</v>
      </c>
      <c r="I13415">
        <v>6906188</v>
      </c>
      <c r="J13415">
        <v>3</v>
      </c>
    </row>
    <row r="13416" spans="1:10" x14ac:dyDescent="0.25">
      <c r="A13416" t="s">
        <v>142</v>
      </c>
      <c r="B13416" s="1" t="str">
        <f>HYPERLINK("http://flight-ref.com","flight-ref.com")</f>
        <v>flight-ref.com</v>
      </c>
      <c r="C13416" t="s">
        <v>433</v>
      </c>
      <c r="J13416">
        <v>3</v>
      </c>
    </row>
    <row r="13417" spans="1:10" x14ac:dyDescent="0.25">
      <c r="A13417" t="s">
        <v>142</v>
      </c>
      <c r="B13417" s="1" t="str">
        <f>HYPERLINK("http://gecma.com","gecma.com")</f>
        <v>gecma.com</v>
      </c>
      <c r="C13417" t="s">
        <v>433</v>
      </c>
      <c r="F13417">
        <v>1.53094510670042E-8</v>
      </c>
      <c r="G13417">
        <v>3742949</v>
      </c>
      <c r="H13417">
        <v>13765815</v>
      </c>
      <c r="I13417">
        <v>7061979</v>
      </c>
      <c r="J13417">
        <v>3</v>
      </c>
    </row>
    <row r="13418" spans="1:10" x14ac:dyDescent="0.25">
      <c r="A13418" t="s">
        <v>142</v>
      </c>
      <c r="B13418" s="1" t="str">
        <f>HYPERLINK("http://hernis.com","hernis.com")</f>
        <v>hernis.com</v>
      </c>
      <c r="C13418" t="s">
        <v>433</v>
      </c>
      <c r="F13418">
        <v>1.12844797075604E-8</v>
      </c>
      <c r="G13418">
        <v>5653325</v>
      </c>
      <c r="H13418">
        <v>14072277</v>
      </c>
      <c r="I13418">
        <v>3123570</v>
      </c>
      <c r="J13418">
        <v>4</v>
      </c>
    </row>
    <row r="13419" spans="1:10" x14ac:dyDescent="0.25">
      <c r="A13419" t="s">
        <v>142</v>
      </c>
      <c r="B13419" s="1" t="str">
        <f>HYPERLINK("http://iepower.com","iepower.com")</f>
        <v>iepower.com</v>
      </c>
      <c r="C13419" t="s">
        <v>433</v>
      </c>
      <c r="F13419">
        <v>4.64006689332469E-9</v>
      </c>
      <c r="G13419">
        <v>44778040</v>
      </c>
      <c r="H13419">
        <v>10775944</v>
      </c>
      <c r="I13419">
        <v>39047583</v>
      </c>
      <c r="J13419">
        <v>4</v>
      </c>
    </row>
    <row r="13420" spans="1:10" x14ac:dyDescent="0.25">
      <c r="A13420" t="s">
        <v>142</v>
      </c>
      <c r="B13420" s="1" t="str">
        <f>HYPERLINK("http://martekpower.com","martekpower.com")</f>
        <v>martekpower.com</v>
      </c>
      <c r="C13420" t="s">
        <v>433</v>
      </c>
      <c r="F13420">
        <v>8.9291969122840093E-9</v>
      </c>
      <c r="G13420">
        <v>8099688</v>
      </c>
      <c r="H13420">
        <v>12474861</v>
      </c>
      <c r="I13420">
        <v>17647203</v>
      </c>
      <c r="J13420">
        <v>4</v>
      </c>
    </row>
    <row r="13421" spans="1:10" x14ac:dyDescent="0.25">
      <c r="A13421" t="s">
        <v>142</v>
      </c>
      <c r="B13421" s="1" t="str">
        <f>HYPERLINK("http://microinnovation.com","microinnovation.com")</f>
        <v>microinnovation.com</v>
      </c>
      <c r="C13421" t="s">
        <v>433</v>
      </c>
      <c r="F13421">
        <v>1.4055059022434801E-8</v>
      </c>
      <c r="G13421">
        <v>4182161</v>
      </c>
      <c r="H13421">
        <v>10710826</v>
      </c>
      <c r="I13421">
        <v>42144976</v>
      </c>
      <c r="J13421">
        <v>3</v>
      </c>
    </row>
    <row r="13422" spans="1:10" x14ac:dyDescent="0.25">
      <c r="A13422" t="s">
        <v>142</v>
      </c>
      <c r="B13422" s="1" t="str">
        <f>HYPERLINK("http://mtl-inst.com","mtl-inst.com")</f>
        <v>mtl-inst.com</v>
      </c>
      <c r="C13422" t="s">
        <v>433</v>
      </c>
      <c r="E13422">
        <v>890393</v>
      </c>
      <c r="F13422">
        <v>5.6076877018640803E-8</v>
      </c>
      <c r="G13422">
        <v>798567</v>
      </c>
      <c r="H13422">
        <v>14133374</v>
      </c>
      <c r="I13422">
        <v>1989388</v>
      </c>
      <c r="J13422">
        <v>3</v>
      </c>
    </row>
    <row r="13423" spans="1:10" x14ac:dyDescent="0.25">
      <c r="A13423" t="s">
        <v>142</v>
      </c>
      <c r="B13423" s="1" t="str">
        <f>HYPERLINK("http://myenergilifestyle.com","myenergilifestyle.com")</f>
        <v>myenergilifestyle.com</v>
      </c>
      <c r="C13423" t="s">
        <v>433</v>
      </c>
      <c r="F13423">
        <v>5.80130973404208E-9</v>
      </c>
      <c r="G13423">
        <v>18076790</v>
      </c>
      <c r="H13423">
        <v>12534195</v>
      </c>
      <c r="I13423">
        <v>16994210</v>
      </c>
      <c r="J13423">
        <v>4</v>
      </c>
    </row>
    <row r="13424" spans="1:10" x14ac:dyDescent="0.25">
      <c r="A13424" t="s">
        <v>142</v>
      </c>
      <c r="B13424" s="1" t="str">
        <f>HYPERLINK("http://pdicorp.com","pdicorp.com")</f>
        <v>pdicorp.com</v>
      </c>
      <c r="C13424" t="s">
        <v>433</v>
      </c>
      <c r="F13424">
        <v>1.51228205133392E-8</v>
      </c>
      <c r="G13424">
        <v>3800474</v>
      </c>
      <c r="H13424">
        <v>12828891</v>
      </c>
      <c r="I13424">
        <v>14441041</v>
      </c>
      <c r="J13424">
        <v>3</v>
      </c>
    </row>
    <row r="13425" spans="1:10" x14ac:dyDescent="0.25">
      <c r="A13425" t="s">
        <v>142</v>
      </c>
      <c r="B13425" s="1" t="str">
        <f>HYPERLINK("http://sefelec.com","sefelec.com")</f>
        <v>sefelec.com</v>
      </c>
      <c r="C13425" t="s">
        <v>433</v>
      </c>
      <c r="F13425">
        <v>8.1327761803727202E-9</v>
      </c>
      <c r="G13425">
        <v>9685359</v>
      </c>
      <c r="H13425">
        <v>12513276</v>
      </c>
      <c r="I13425">
        <v>17215229</v>
      </c>
      <c r="J13425">
        <v>3</v>
      </c>
    </row>
    <row r="13426" spans="1:10" x14ac:dyDescent="0.25">
      <c r="A13426" t="s">
        <v>142</v>
      </c>
      <c r="B13426" s="1" t="str">
        <f>HYPERLINK("http://souriau.com","souriau.com")</f>
        <v>souriau.com</v>
      </c>
      <c r="C13426" t="s">
        <v>433</v>
      </c>
      <c r="E13426">
        <v>559523</v>
      </c>
      <c r="F13426">
        <v>7.7006427609528901E-8</v>
      </c>
      <c r="G13426">
        <v>544024</v>
      </c>
      <c r="H13426">
        <v>14249587</v>
      </c>
      <c r="I13426">
        <v>1449264</v>
      </c>
      <c r="J13426">
        <v>3</v>
      </c>
    </row>
    <row r="13427" spans="1:10" x14ac:dyDescent="0.25">
      <c r="A13427" t="s">
        <v>142</v>
      </c>
      <c r="B13427" s="1" t="str">
        <f>HYPERLINK("http://sunbankcorp.com","sunbankcorp.com")</f>
        <v>sunbankcorp.com</v>
      </c>
      <c r="C13427" t="s">
        <v>433</v>
      </c>
      <c r="F13427">
        <v>5.5666736160997501E-9</v>
      </c>
      <c r="G13427">
        <v>20210191</v>
      </c>
      <c r="H13427">
        <v>13763874</v>
      </c>
      <c r="I13427">
        <v>7528987</v>
      </c>
      <c r="J13427">
        <v>3</v>
      </c>
    </row>
    <row r="13428" spans="1:10" x14ac:dyDescent="0.25">
      <c r="A13428" t="s">
        <v>142</v>
      </c>
      <c r="B13428" s="1" t="str">
        <f>HYPERLINK("http://sure-power.com","sure-power.com")</f>
        <v>sure-power.com</v>
      </c>
      <c r="C13428" t="s">
        <v>433</v>
      </c>
      <c r="F13428">
        <v>9.0252639899403898E-9</v>
      </c>
      <c r="G13428">
        <v>7954475</v>
      </c>
      <c r="H13428">
        <v>12451971</v>
      </c>
      <c r="I13428">
        <v>17972151</v>
      </c>
      <c r="J13428">
        <v>5</v>
      </c>
    </row>
    <row r="13429" spans="1:10" x14ac:dyDescent="0.25">
      <c r="A13429" t="s">
        <v>142</v>
      </c>
      <c r="B13429" s="1" t="str">
        <f>HYPERLINK("http://surepower.com","surepower.com")</f>
        <v>surepower.com</v>
      </c>
      <c r="C13429" t="s">
        <v>433</v>
      </c>
      <c r="F13429">
        <v>6.9359533832460399E-9</v>
      </c>
      <c r="G13429">
        <v>12507227</v>
      </c>
      <c r="H13429">
        <v>13194137</v>
      </c>
      <c r="I13429">
        <v>11583543</v>
      </c>
      <c r="J13429">
        <v>3</v>
      </c>
    </row>
    <row r="13430" spans="1:10" x14ac:dyDescent="0.25">
      <c r="A13430" t="s">
        <v>142</v>
      </c>
      <c r="B13430" s="1" t="str">
        <f>HYPERLINK("http://theoxalisgroup.com","theoxalisgroup.com")</f>
        <v>theoxalisgroup.com</v>
      </c>
      <c r="C13430" t="s">
        <v>433</v>
      </c>
      <c r="J13430">
        <v>5</v>
      </c>
    </row>
    <row r="13431" spans="1:10" x14ac:dyDescent="0.25">
      <c r="A13431" t="s">
        <v>142</v>
      </c>
      <c r="B13431" s="1" t="str">
        <f>HYPERLINK("http://tripplite.com","tripplite.com")</f>
        <v>tripplite.com</v>
      </c>
      <c r="C13431" t="s">
        <v>433</v>
      </c>
      <c r="E13431">
        <v>57052</v>
      </c>
      <c r="F13431">
        <v>5.3661896820999404E-7</v>
      </c>
      <c r="G13431">
        <v>71894</v>
      </c>
      <c r="H13431">
        <v>15095671</v>
      </c>
      <c r="I13431">
        <v>407118</v>
      </c>
      <c r="J13431">
        <v>4</v>
      </c>
    </row>
    <row r="13432" spans="1:10" x14ac:dyDescent="0.25">
      <c r="A13432" t="s">
        <v>142</v>
      </c>
      <c r="B13432" s="1" t="str">
        <f>HYPERLINK("http://eaton.uk.com","eaton.uk.com")</f>
        <v>eaton.uk.com</v>
      </c>
      <c r="C13432" t="s">
        <v>433</v>
      </c>
      <c r="J13432">
        <v>3</v>
      </c>
    </row>
    <row r="13433" spans="1:10" x14ac:dyDescent="0.25">
      <c r="A13433" t="s">
        <v>142</v>
      </c>
      <c r="B13433" s="1" t="str">
        <f>HYPERLINK("http://wrightline.com","wrightline.com")</f>
        <v>wrightline.com</v>
      </c>
      <c r="C13433" t="s">
        <v>433</v>
      </c>
      <c r="F13433">
        <v>1.7589051670875902E-8</v>
      </c>
      <c r="G13433">
        <v>3121446</v>
      </c>
      <c r="H13433">
        <v>13256387</v>
      </c>
      <c r="I13433">
        <v>11055015</v>
      </c>
      <c r="J13433">
        <v>5</v>
      </c>
    </row>
    <row r="13434" spans="1:10" x14ac:dyDescent="0.25">
      <c r="A13434" t="s">
        <v>142</v>
      </c>
      <c r="B13434" s="1" t="str">
        <f>HYPERLINK("http://eaton.cr","eaton.cr")</f>
        <v>eaton.cr</v>
      </c>
      <c r="C13434" t="s">
        <v>434</v>
      </c>
      <c r="D13434" t="s">
        <v>813</v>
      </c>
      <c r="F13434">
        <v>1.17723235164832E-8</v>
      </c>
      <c r="G13434">
        <v>5319318</v>
      </c>
      <c r="H13434">
        <v>12318285</v>
      </c>
      <c r="I13434">
        <v>20450714</v>
      </c>
      <c r="J13434">
        <v>2</v>
      </c>
    </row>
    <row r="13435" spans="1:10" x14ac:dyDescent="0.25">
      <c r="A13435" t="s">
        <v>142</v>
      </c>
      <c r="B13435" s="1" t="str">
        <f>HYPERLINK("http://eaton.cz","eaton.cz")</f>
        <v>eaton.cz</v>
      </c>
      <c r="C13435" t="s">
        <v>435</v>
      </c>
      <c r="D13435" t="s">
        <v>814</v>
      </c>
      <c r="F13435">
        <v>3.2037926674349301E-8</v>
      </c>
      <c r="G13435">
        <v>1613459</v>
      </c>
      <c r="H13435">
        <v>12458500</v>
      </c>
      <c r="I13435">
        <v>17896616</v>
      </c>
      <c r="J13435">
        <v>2</v>
      </c>
    </row>
    <row r="13436" spans="1:10" x14ac:dyDescent="0.25">
      <c r="A13436" t="s">
        <v>142</v>
      </c>
      <c r="B13436" s="1" t="str">
        <f>HYPERLINK("http://ceag.de","ceag.de")</f>
        <v>ceag.de</v>
      </c>
      <c r="C13436" t="s">
        <v>436</v>
      </c>
      <c r="D13436" t="s">
        <v>815</v>
      </c>
      <c r="F13436">
        <v>2.6536758757841401E-8</v>
      </c>
      <c r="G13436">
        <v>1940169</v>
      </c>
      <c r="H13436">
        <v>13475056</v>
      </c>
      <c r="I13436">
        <v>10022612</v>
      </c>
      <c r="J13436">
        <v>3</v>
      </c>
    </row>
    <row r="13437" spans="1:10" x14ac:dyDescent="0.25">
      <c r="A13437" t="s">
        <v>142</v>
      </c>
      <c r="B13437" s="1" t="str">
        <f>HYPERLINK("http://crouse-hinds.de","crouse-hinds.de")</f>
        <v>crouse-hinds.de</v>
      </c>
      <c r="C13437" t="s">
        <v>436</v>
      </c>
      <c r="D13437" t="s">
        <v>815</v>
      </c>
      <c r="F13437">
        <v>3.4652761066329402E-8</v>
      </c>
      <c r="G13437">
        <v>1497533</v>
      </c>
      <c r="H13437">
        <v>12571274</v>
      </c>
      <c r="I13437">
        <v>16614090</v>
      </c>
      <c r="J13437">
        <v>3</v>
      </c>
    </row>
    <row r="13438" spans="1:10" x14ac:dyDescent="0.25">
      <c r="A13438" t="s">
        <v>142</v>
      </c>
      <c r="B13438" s="1" t="str">
        <f>HYPERLINK("http://eaton.de","eaton.de")</f>
        <v>eaton.de</v>
      </c>
      <c r="C13438" t="s">
        <v>436</v>
      </c>
      <c r="D13438" t="s">
        <v>815</v>
      </c>
      <c r="F13438">
        <v>1.09660205361614E-7</v>
      </c>
      <c r="G13438">
        <v>364797</v>
      </c>
      <c r="H13438">
        <v>14078442</v>
      </c>
      <c r="I13438">
        <v>2846668</v>
      </c>
      <c r="J13438">
        <v>2</v>
      </c>
    </row>
    <row r="13439" spans="1:10" x14ac:dyDescent="0.25">
      <c r="A13439" t="s">
        <v>142</v>
      </c>
      <c r="B13439" s="1" t="str">
        <f>HYPERLINK("http://fhf.de","fhf.de")</f>
        <v>fhf.de</v>
      </c>
      <c r="C13439" t="s">
        <v>436</v>
      </c>
      <c r="D13439" t="s">
        <v>815</v>
      </c>
      <c r="F13439">
        <v>1.56184230230097E-8</v>
      </c>
      <c r="G13439">
        <v>3650067</v>
      </c>
      <c r="H13439">
        <v>10946931</v>
      </c>
      <c r="I13439">
        <v>34655895</v>
      </c>
      <c r="J13439">
        <v>4</v>
      </c>
    </row>
    <row r="13440" spans="1:10" x14ac:dyDescent="0.25">
      <c r="A13440" t="s">
        <v>142</v>
      </c>
      <c r="B13440" s="1" t="str">
        <f>HYPERLINK("http://i2ps.de","i2ps.de")</f>
        <v>i2ps.de</v>
      </c>
      <c r="C13440" t="s">
        <v>436</v>
      </c>
      <c r="D13440" t="s">
        <v>815</v>
      </c>
      <c r="F13440">
        <v>3.9658737217773498E-8</v>
      </c>
      <c r="G13440">
        <v>1302249</v>
      </c>
      <c r="H13440">
        <v>12156304</v>
      </c>
      <c r="I13440">
        <v>24464778</v>
      </c>
      <c r="J13440">
        <v>3</v>
      </c>
    </row>
    <row r="13441" spans="1:10" x14ac:dyDescent="0.25">
      <c r="A13441" t="s">
        <v>142</v>
      </c>
      <c r="B13441" s="1" t="str">
        <f>HYPERLINK("http://eaton.dk","eaton.dk")</f>
        <v>eaton.dk</v>
      </c>
      <c r="C13441" t="s">
        <v>437</v>
      </c>
      <c r="D13441" t="s">
        <v>816</v>
      </c>
      <c r="F13441">
        <v>6.3160825452012299E-9</v>
      </c>
      <c r="G13441">
        <v>14955372</v>
      </c>
      <c r="H13441">
        <v>12414132</v>
      </c>
      <c r="I13441">
        <v>18549968</v>
      </c>
      <c r="J13441">
        <v>2</v>
      </c>
    </row>
    <row r="13442" spans="1:10" x14ac:dyDescent="0.25">
      <c r="A13442" t="s">
        <v>142</v>
      </c>
      <c r="B13442" s="1" t="str">
        <f>HYPERLINK("http://eatonelectric.dk","eatonelectric.dk")</f>
        <v>eatonelectric.dk</v>
      </c>
      <c r="C13442" t="s">
        <v>437</v>
      </c>
      <c r="D13442" t="s">
        <v>816</v>
      </c>
      <c r="F13442">
        <v>4.7794709121302204E-9</v>
      </c>
      <c r="G13442">
        <v>36980355</v>
      </c>
      <c r="H13442">
        <v>9513106</v>
      </c>
      <c r="I13442">
        <v>65529113</v>
      </c>
      <c r="J13442">
        <v>3</v>
      </c>
    </row>
    <row r="13443" spans="1:10" x14ac:dyDescent="0.25">
      <c r="A13443" t="s">
        <v>142</v>
      </c>
      <c r="B13443" s="1" t="str">
        <f>HYPERLINK("http://eaton.ec","eaton.ec")</f>
        <v>eaton.ec</v>
      </c>
      <c r="C13443" t="s">
        <v>440</v>
      </c>
      <c r="D13443" t="s">
        <v>819</v>
      </c>
      <c r="F13443">
        <v>4.59992496170984E-9</v>
      </c>
      <c r="G13443">
        <v>47622689</v>
      </c>
      <c r="H13443">
        <v>10932973</v>
      </c>
      <c r="I13443">
        <v>35005416</v>
      </c>
      <c r="J13443">
        <v>2</v>
      </c>
    </row>
    <row r="13444" spans="1:10" x14ac:dyDescent="0.25">
      <c r="A13444" t="s">
        <v>142</v>
      </c>
      <c r="B13444" s="1" t="str">
        <f>HYPERLINK("http://eaton.eu","eaton.eu")</f>
        <v>eaton.eu</v>
      </c>
      <c r="C13444" t="s">
        <v>444</v>
      </c>
      <c r="E13444">
        <v>536789</v>
      </c>
      <c r="F13444">
        <v>1.6363059111878601E-7</v>
      </c>
      <c r="G13444">
        <v>237203</v>
      </c>
      <c r="H13444">
        <v>16833898</v>
      </c>
      <c r="I13444">
        <v>165024</v>
      </c>
      <c r="J13444">
        <v>2</v>
      </c>
    </row>
    <row r="13445" spans="1:10" x14ac:dyDescent="0.25">
      <c r="A13445" t="s">
        <v>142</v>
      </c>
      <c r="B13445" s="1" t="str">
        <f>HYPERLINK("http://eaton.fi","eaton.fi")</f>
        <v>eaton.fi</v>
      </c>
      <c r="C13445" t="s">
        <v>445</v>
      </c>
      <c r="D13445" t="s">
        <v>823</v>
      </c>
      <c r="F13445">
        <v>8.1151823714812994E-9</v>
      </c>
      <c r="G13445">
        <v>9715468</v>
      </c>
      <c r="H13445">
        <v>12272616</v>
      </c>
      <c r="I13445">
        <v>21466354</v>
      </c>
      <c r="J13445">
        <v>2</v>
      </c>
    </row>
    <row r="13446" spans="1:10" x14ac:dyDescent="0.25">
      <c r="A13446" t="s">
        <v>142</v>
      </c>
      <c r="B13446" s="1" t="str">
        <f>HYPERLINK("http://moeller.fi","moeller.fi")</f>
        <v>moeller.fi</v>
      </c>
      <c r="C13446" t="s">
        <v>445</v>
      </c>
      <c r="D13446" t="s">
        <v>823</v>
      </c>
      <c r="J13446">
        <v>4</v>
      </c>
    </row>
    <row r="13447" spans="1:10" x14ac:dyDescent="0.25">
      <c r="A13447" t="s">
        <v>142</v>
      </c>
      <c r="B13447" s="1" t="str">
        <f>HYPERLINK("http://powerware.fi","powerware.fi")</f>
        <v>powerware.fi</v>
      </c>
      <c r="C13447" t="s">
        <v>445</v>
      </c>
      <c r="D13447" t="s">
        <v>823</v>
      </c>
      <c r="J13447">
        <v>4</v>
      </c>
    </row>
    <row r="13448" spans="1:10" x14ac:dyDescent="0.25">
      <c r="A13448" t="s">
        <v>142</v>
      </c>
      <c r="B13448" s="1" t="str">
        <f>HYPERLINK("http://eaton.fr","eaton.fr")</f>
        <v>eaton.fr</v>
      </c>
      <c r="C13448" t="s">
        <v>446</v>
      </c>
      <c r="D13448" t="s">
        <v>824</v>
      </c>
      <c r="F13448">
        <v>6.2338983357956896E-8</v>
      </c>
      <c r="G13448">
        <v>704271</v>
      </c>
      <c r="H13448">
        <v>12880383</v>
      </c>
      <c r="I13448">
        <v>13998696</v>
      </c>
      <c r="J13448">
        <v>2</v>
      </c>
    </row>
    <row r="13449" spans="1:10" x14ac:dyDescent="0.25">
      <c r="A13449" t="s">
        <v>142</v>
      </c>
      <c r="B13449" s="1" t="str">
        <f>HYPERLINK("http://sefelec.fr","sefelec.fr")</f>
        <v>sefelec.fr</v>
      </c>
      <c r="C13449" t="s">
        <v>446</v>
      </c>
      <c r="D13449" t="s">
        <v>824</v>
      </c>
      <c r="F13449">
        <v>5.2664333832484402E-9</v>
      </c>
      <c r="G13449">
        <v>24006108</v>
      </c>
      <c r="H13449">
        <v>12068986</v>
      </c>
      <c r="I13449">
        <v>26812431</v>
      </c>
      <c r="J13449">
        <v>4</v>
      </c>
    </row>
    <row r="13450" spans="1:10" x14ac:dyDescent="0.25">
      <c r="A13450" t="s">
        <v>142</v>
      </c>
      <c r="B13450" s="1" t="str">
        <f>HYPERLINK("http://eaton.com.gt","eaton.com.gt")</f>
        <v>eaton.com.gt</v>
      </c>
      <c r="C13450" t="s">
        <v>448</v>
      </c>
      <c r="D13450" t="s">
        <v>826</v>
      </c>
      <c r="F13450">
        <v>4.44380395335525E-9</v>
      </c>
      <c r="G13450">
        <v>87742618</v>
      </c>
      <c r="H13450">
        <v>0</v>
      </c>
      <c r="I13450">
        <v>86076456</v>
      </c>
      <c r="J13450">
        <v>2</v>
      </c>
    </row>
    <row r="13451" spans="1:10" x14ac:dyDescent="0.25">
      <c r="A13451" t="s">
        <v>142</v>
      </c>
      <c r="B13451" s="1" t="str">
        <f>HYPERLINK("http://eaton.hn","eaton.hn")</f>
        <v>eaton.hn</v>
      </c>
      <c r="C13451" t="s">
        <v>451</v>
      </c>
      <c r="D13451" t="s">
        <v>828</v>
      </c>
      <c r="J13451">
        <v>2</v>
      </c>
    </row>
    <row r="13452" spans="1:10" x14ac:dyDescent="0.25">
      <c r="A13452" t="s">
        <v>142</v>
      </c>
      <c r="B13452" s="1" t="str">
        <f>HYPERLINK("http://moeller.hu","moeller.hu")</f>
        <v>moeller.hu</v>
      </c>
      <c r="C13452" t="s">
        <v>453</v>
      </c>
      <c r="D13452" t="s">
        <v>830</v>
      </c>
      <c r="F13452">
        <v>6.7536035734935902E-9</v>
      </c>
      <c r="G13452">
        <v>13116918</v>
      </c>
      <c r="H13452">
        <v>14071799</v>
      </c>
      <c r="I13452">
        <v>3321576</v>
      </c>
      <c r="J13452">
        <v>3</v>
      </c>
    </row>
    <row r="13453" spans="1:10" x14ac:dyDescent="0.25">
      <c r="A13453" t="s">
        <v>142</v>
      </c>
      <c r="B13453" s="1" t="str">
        <f>HYPERLINK("http://eaton.in","eaton.in")</f>
        <v>eaton.in</v>
      </c>
      <c r="C13453" t="s">
        <v>457</v>
      </c>
      <c r="D13453" t="s">
        <v>834</v>
      </c>
      <c r="F13453">
        <v>4.95364101274513E-8</v>
      </c>
      <c r="G13453">
        <v>933920</v>
      </c>
      <c r="H13453">
        <v>14237058</v>
      </c>
      <c r="I13453">
        <v>1561225</v>
      </c>
      <c r="J13453">
        <v>2</v>
      </c>
    </row>
    <row r="13454" spans="1:10" x14ac:dyDescent="0.25">
      <c r="A13454" t="s">
        <v>142</v>
      </c>
      <c r="B13454" s="1" t="str">
        <f>HYPERLINK("http://eaton.it","eaton.it")</f>
        <v>eaton.it</v>
      </c>
      <c r="C13454" t="s">
        <v>459</v>
      </c>
      <c r="D13454" t="s">
        <v>835</v>
      </c>
      <c r="F13454">
        <v>1.9811850557238099E-8</v>
      </c>
      <c r="G13454">
        <v>2691319</v>
      </c>
      <c r="H13454">
        <v>12551033</v>
      </c>
      <c r="I13454">
        <v>16817208</v>
      </c>
      <c r="J13454">
        <v>2</v>
      </c>
    </row>
    <row r="13455" spans="1:10" x14ac:dyDescent="0.25">
      <c r="A13455" t="s">
        <v>142</v>
      </c>
      <c r="B13455" s="1" t="str">
        <f>HYPERLINK("http://moeller.it","moeller.it")</f>
        <v>moeller.it</v>
      </c>
      <c r="C13455" t="s">
        <v>459</v>
      </c>
      <c r="D13455" t="s">
        <v>835</v>
      </c>
      <c r="F13455">
        <v>1.06846900992366E-8</v>
      </c>
      <c r="G13455">
        <v>6113143</v>
      </c>
      <c r="H13455">
        <v>12938329</v>
      </c>
      <c r="I13455">
        <v>13311637</v>
      </c>
      <c r="J13455">
        <v>3</v>
      </c>
    </row>
    <row r="13456" spans="1:10" x14ac:dyDescent="0.25">
      <c r="A13456" t="s">
        <v>142</v>
      </c>
      <c r="B13456" s="1" t="str">
        <f>HYPERLINK("http://eaton.com.jm","eaton.com.jm")</f>
        <v>eaton.com.jm</v>
      </c>
      <c r="C13456" t="s">
        <v>460</v>
      </c>
      <c r="D13456" t="s">
        <v>836</v>
      </c>
      <c r="J13456">
        <v>2</v>
      </c>
    </row>
    <row r="13457" spans="1:10" x14ac:dyDescent="0.25">
      <c r="A13457" t="s">
        <v>142</v>
      </c>
      <c r="B13457" s="1" t="str">
        <f>HYPERLINK("http://jpn-moeller.co.jp","jpn-moeller.co.jp")</f>
        <v>jpn-moeller.co.jp</v>
      </c>
      <c r="C13457" t="s">
        <v>461</v>
      </c>
      <c r="D13457" t="s">
        <v>837</v>
      </c>
      <c r="F13457">
        <v>5.0320160573749903E-9</v>
      </c>
      <c r="G13457">
        <v>28622548</v>
      </c>
      <c r="H13457">
        <v>12106867</v>
      </c>
      <c r="I13457">
        <v>25807157</v>
      </c>
      <c r="J13457">
        <v>3</v>
      </c>
    </row>
    <row r="13458" spans="1:10" x14ac:dyDescent="0.25">
      <c r="A13458" t="s">
        <v>142</v>
      </c>
      <c r="B13458" s="1" t="str">
        <f>HYPERLINK("http://eaton.co.kr","eaton.co.kr")</f>
        <v>eaton.co.kr</v>
      </c>
      <c r="C13458" t="s">
        <v>463</v>
      </c>
      <c r="D13458" t="s">
        <v>839</v>
      </c>
      <c r="F13458">
        <v>3.6087360557622197E-8</v>
      </c>
      <c r="G13458">
        <v>1444463</v>
      </c>
      <c r="H13458">
        <v>12322234</v>
      </c>
      <c r="I13458">
        <v>20371302</v>
      </c>
      <c r="J13458">
        <v>2</v>
      </c>
    </row>
    <row r="13459" spans="1:10" x14ac:dyDescent="0.25">
      <c r="A13459" t="s">
        <v>142</v>
      </c>
      <c r="B13459" s="1" t="str">
        <f>HYPERLINK("http://eaton.com.mx","eaton.com.mx")</f>
        <v>eaton.com.mx</v>
      </c>
      <c r="C13459" t="s">
        <v>471</v>
      </c>
      <c r="D13459" t="s">
        <v>847</v>
      </c>
      <c r="F13459">
        <v>4.4441833393120602E-9</v>
      </c>
      <c r="G13459">
        <v>77297175</v>
      </c>
      <c r="H13459">
        <v>10343816</v>
      </c>
      <c r="I13459">
        <v>57659541</v>
      </c>
      <c r="J13459">
        <v>3</v>
      </c>
    </row>
    <row r="13460" spans="1:10" x14ac:dyDescent="0.25">
      <c r="A13460" t="s">
        <v>142</v>
      </c>
      <c r="B13460" s="1" t="str">
        <f>HYPERLINK("http://vantech.com.mx","vantech.com.mx")</f>
        <v>vantech.com.mx</v>
      </c>
      <c r="C13460" t="s">
        <v>471</v>
      </c>
      <c r="D13460" t="s">
        <v>847</v>
      </c>
      <c r="F13460">
        <v>4.55216365598568E-9</v>
      </c>
      <c r="G13460">
        <v>51949126</v>
      </c>
      <c r="H13460">
        <v>10456070</v>
      </c>
      <c r="I13460">
        <v>51958212</v>
      </c>
      <c r="J13460">
        <v>3</v>
      </c>
    </row>
    <row r="13461" spans="1:10" x14ac:dyDescent="0.25">
      <c r="A13461" t="s">
        <v>142</v>
      </c>
      <c r="B13461" s="1" t="str">
        <f>HYPERLINK("http://eaton.mx","eaton.mx")</f>
        <v>eaton.mx</v>
      </c>
      <c r="C13461" t="s">
        <v>471</v>
      </c>
      <c r="D13461" t="s">
        <v>847</v>
      </c>
      <c r="F13461">
        <v>8.0859677541881404E-9</v>
      </c>
      <c r="G13461">
        <v>9766675</v>
      </c>
      <c r="H13461">
        <v>13933206</v>
      </c>
      <c r="I13461">
        <v>4845763</v>
      </c>
      <c r="J13461">
        <v>2</v>
      </c>
    </row>
    <row r="13462" spans="1:10" x14ac:dyDescent="0.25">
      <c r="A13462" t="s">
        <v>142</v>
      </c>
      <c r="B13462" s="1" t="str">
        <f>HYPERLINK("http://moeller.net","moeller.net")</f>
        <v>moeller.net</v>
      </c>
      <c r="C13462" t="s">
        <v>474</v>
      </c>
      <c r="E13462">
        <v>670045</v>
      </c>
      <c r="F13462">
        <v>8.5860650975674797E-8</v>
      </c>
      <c r="G13462">
        <v>479461</v>
      </c>
      <c r="H13462">
        <v>14304385</v>
      </c>
      <c r="I13462">
        <v>1352286</v>
      </c>
      <c r="J13462">
        <v>3</v>
      </c>
    </row>
    <row r="13463" spans="1:10" x14ac:dyDescent="0.25">
      <c r="A13463" t="s">
        <v>142</v>
      </c>
      <c r="B13463" s="1" t="str">
        <f>HYPERLINK("http://rz1-linz.net","rz1-linz.net")</f>
        <v>rz1-linz.net</v>
      </c>
      <c r="C13463" t="s">
        <v>474</v>
      </c>
      <c r="F13463">
        <v>1.16501620696297E-8</v>
      </c>
      <c r="G13463">
        <v>5398701</v>
      </c>
      <c r="H13463">
        <v>10614027</v>
      </c>
      <c r="I13463">
        <v>44461031</v>
      </c>
      <c r="J13463">
        <v>3</v>
      </c>
    </row>
    <row r="13464" spans="1:10" x14ac:dyDescent="0.25">
      <c r="A13464" t="s">
        <v>142</v>
      </c>
      <c r="B13464" s="1" t="str">
        <f>HYPERLINK("http://eaton.com.ni","eaton.com.ni")</f>
        <v>eaton.com.ni</v>
      </c>
      <c r="C13464" t="s">
        <v>476</v>
      </c>
      <c r="D13464" t="s">
        <v>851</v>
      </c>
      <c r="F13464">
        <v>4.44380395335525E-9</v>
      </c>
      <c r="G13464">
        <v>87901415</v>
      </c>
      <c r="H13464">
        <v>0</v>
      </c>
      <c r="I13464">
        <v>86934411</v>
      </c>
      <c r="J13464">
        <v>2</v>
      </c>
    </row>
    <row r="13465" spans="1:10" x14ac:dyDescent="0.25">
      <c r="A13465" t="s">
        <v>142</v>
      </c>
      <c r="B13465" s="1" t="str">
        <f>HYPERLINK("http://coopersafety.nl","coopersafety.nl")</f>
        <v>coopersafety.nl</v>
      </c>
      <c r="C13465" t="s">
        <v>477</v>
      </c>
      <c r="D13465" t="s">
        <v>852</v>
      </c>
      <c r="F13465">
        <v>8.4885577804154406E-9</v>
      </c>
      <c r="G13465">
        <v>8867286</v>
      </c>
      <c r="H13465">
        <v>11113919</v>
      </c>
      <c r="I13465">
        <v>32115016</v>
      </c>
      <c r="J13465">
        <v>3</v>
      </c>
    </row>
    <row r="13466" spans="1:10" x14ac:dyDescent="0.25">
      <c r="A13466" t="s">
        <v>142</v>
      </c>
      <c r="B13466" s="1" t="str">
        <f>HYPERLINK("http://eaton.nl","eaton.nl")</f>
        <v>eaton.nl</v>
      </c>
      <c r="C13466" t="s">
        <v>477</v>
      </c>
      <c r="D13466" t="s">
        <v>852</v>
      </c>
      <c r="F13466">
        <v>3.5200982738122701E-8</v>
      </c>
      <c r="G13466">
        <v>1476978</v>
      </c>
      <c r="H13466">
        <v>12500689</v>
      </c>
      <c r="I13466">
        <v>17351997</v>
      </c>
      <c r="J13466">
        <v>2</v>
      </c>
    </row>
    <row r="13467" spans="1:10" x14ac:dyDescent="0.25">
      <c r="A13467" t="s">
        <v>142</v>
      </c>
      <c r="B13467" s="1" t="str">
        <f>HYPERLINK("http://eaton.no","eaton.no")</f>
        <v>eaton.no</v>
      </c>
      <c r="C13467" t="s">
        <v>478</v>
      </c>
      <c r="D13467" t="s">
        <v>853</v>
      </c>
      <c r="F13467">
        <v>2.4627245098604099E-8</v>
      </c>
      <c r="G13467">
        <v>2103007</v>
      </c>
      <c r="H13467">
        <v>13115286</v>
      </c>
      <c r="I13467">
        <v>12014794</v>
      </c>
      <c r="J13467">
        <v>2</v>
      </c>
    </row>
    <row r="13468" spans="1:10" x14ac:dyDescent="0.25">
      <c r="A13468" t="s">
        <v>142</v>
      </c>
      <c r="B13468" s="1" t="str">
        <f>HYPERLINK("http://moeller.no","moeller.no")</f>
        <v>moeller.no</v>
      </c>
      <c r="C13468" t="s">
        <v>478</v>
      </c>
      <c r="D13468" t="s">
        <v>853</v>
      </c>
      <c r="F13468">
        <v>1.0422883388394099E-8</v>
      </c>
      <c r="G13468">
        <v>6338093</v>
      </c>
      <c r="H13468">
        <v>11015830</v>
      </c>
      <c r="I13468">
        <v>33319019</v>
      </c>
      <c r="J13468">
        <v>3</v>
      </c>
    </row>
    <row r="13469" spans="1:10" x14ac:dyDescent="0.25">
      <c r="A13469" t="s">
        <v>142</v>
      </c>
      <c r="B13469" s="1" t="str">
        <f>HYPERLINK("http://fhf-bt.org","fhf-bt.org")</f>
        <v>fhf-bt.org</v>
      </c>
      <c r="C13469" t="s">
        <v>481</v>
      </c>
      <c r="J13469">
        <v>3</v>
      </c>
    </row>
    <row r="13470" spans="1:10" x14ac:dyDescent="0.25">
      <c r="A13470" t="s">
        <v>142</v>
      </c>
      <c r="B13470" s="1" t="str">
        <f>HYPERLINK("http://eaton.com.pe","eaton.com.pe")</f>
        <v>eaton.com.pe</v>
      </c>
      <c r="C13470" t="s">
        <v>483</v>
      </c>
      <c r="D13470" t="s">
        <v>857</v>
      </c>
      <c r="F13470">
        <v>4.8285441962710897E-9</v>
      </c>
      <c r="G13470">
        <v>34898258</v>
      </c>
      <c r="H13470">
        <v>12014274</v>
      </c>
      <c r="I13470">
        <v>27977554</v>
      </c>
      <c r="J13470">
        <v>2</v>
      </c>
    </row>
    <row r="13471" spans="1:10" x14ac:dyDescent="0.25">
      <c r="A13471" t="s">
        <v>142</v>
      </c>
      <c r="B13471" s="1" t="str">
        <f>HYPERLINK("http://eaton.pl","eaton.pl")</f>
        <v>eaton.pl</v>
      </c>
      <c r="C13471" t="s">
        <v>486</v>
      </c>
      <c r="D13471" t="s">
        <v>860</v>
      </c>
      <c r="F13471">
        <v>2.25386776404015E-8</v>
      </c>
      <c r="G13471">
        <v>2324240</v>
      </c>
      <c r="H13471">
        <v>14124192</v>
      </c>
      <c r="I13471">
        <v>2151631</v>
      </c>
      <c r="J13471">
        <v>2</v>
      </c>
    </row>
    <row r="13472" spans="1:10" x14ac:dyDescent="0.25">
      <c r="A13472" t="s">
        <v>142</v>
      </c>
      <c r="B13472" s="1" t="str">
        <f>HYPERLINK("http://moeller.ro","moeller.ro")</f>
        <v>moeller.ro</v>
      </c>
      <c r="C13472" t="s">
        <v>491</v>
      </c>
      <c r="D13472" t="s">
        <v>865</v>
      </c>
      <c r="F13472">
        <v>7.0253195090684598E-9</v>
      </c>
      <c r="G13472">
        <v>12238147</v>
      </c>
      <c r="H13472">
        <v>12229563</v>
      </c>
      <c r="I13472">
        <v>22516760</v>
      </c>
      <c r="J13472">
        <v>3</v>
      </c>
    </row>
    <row r="13473" spans="1:10" x14ac:dyDescent="0.25">
      <c r="A13473" t="s">
        <v>142</v>
      </c>
      <c r="B13473" s="1" t="str">
        <f>HYPERLINK("http://eaton.rs","eaton.rs")</f>
        <v>eaton.rs</v>
      </c>
      <c r="C13473" t="s">
        <v>492</v>
      </c>
      <c r="D13473" t="s">
        <v>866</v>
      </c>
      <c r="F13473">
        <v>1.4562099690424801E-8</v>
      </c>
      <c r="G13473">
        <v>3990650</v>
      </c>
      <c r="H13473">
        <v>12335066</v>
      </c>
      <c r="I13473">
        <v>20102850</v>
      </c>
      <c r="J13473">
        <v>2</v>
      </c>
    </row>
    <row r="13474" spans="1:10" x14ac:dyDescent="0.25">
      <c r="A13474" t="s">
        <v>142</v>
      </c>
      <c r="B13474" s="1" t="str">
        <f>HYPERLINK("http://eaton.ru","eaton.ru")</f>
        <v>eaton.ru</v>
      </c>
      <c r="C13474" t="s">
        <v>493</v>
      </c>
      <c r="D13474" t="s">
        <v>867</v>
      </c>
      <c r="F13474">
        <v>1.09250754577779E-7</v>
      </c>
      <c r="G13474">
        <v>366208</v>
      </c>
      <c r="H13474">
        <v>13230736</v>
      </c>
      <c r="I13474">
        <v>11274834</v>
      </c>
      <c r="J13474">
        <v>2</v>
      </c>
    </row>
    <row r="13475" spans="1:10" x14ac:dyDescent="0.25">
      <c r="A13475" t="s">
        <v>142</v>
      </c>
      <c r="B13475" s="1" t="str">
        <f>HYPERLINK("http://cchspore.com.sg","cchspore.com.sg")</f>
        <v>cchspore.com.sg</v>
      </c>
      <c r="C13475" t="s">
        <v>496</v>
      </c>
      <c r="D13475" t="s">
        <v>870</v>
      </c>
      <c r="J13475">
        <v>3</v>
      </c>
    </row>
    <row r="13476" spans="1:10" x14ac:dyDescent="0.25">
      <c r="A13476" t="s">
        <v>142</v>
      </c>
      <c r="B13476" s="1" t="str">
        <f>HYPERLINK("http://eaton.com.tr","eaton.com.tr")</f>
        <v>eaton.com.tr</v>
      </c>
      <c r="C13476" t="s">
        <v>502</v>
      </c>
      <c r="D13476" t="s">
        <v>876</v>
      </c>
      <c r="F13476">
        <v>1.5275768001377699E-8</v>
      </c>
      <c r="G13476">
        <v>3752872</v>
      </c>
      <c r="H13476">
        <v>12321331</v>
      </c>
      <c r="I13476">
        <v>20389976</v>
      </c>
      <c r="J13476">
        <v>2</v>
      </c>
    </row>
    <row r="13477" spans="1:10" x14ac:dyDescent="0.25">
      <c r="A13477" t="s">
        <v>142</v>
      </c>
      <c r="B13477" s="1" t="str">
        <f>HYPERLINK("http://moeller.com.tr","moeller.com.tr")</f>
        <v>moeller.com.tr</v>
      </c>
      <c r="C13477" t="s">
        <v>502</v>
      </c>
      <c r="D13477" t="s">
        <v>876</v>
      </c>
      <c r="F13477">
        <v>4.4815762869587704E-9</v>
      </c>
      <c r="G13477">
        <v>62035208</v>
      </c>
      <c r="H13477">
        <v>1.0003663</v>
      </c>
      <c r="I13477">
        <v>79821682</v>
      </c>
      <c r="J13477">
        <v>4</v>
      </c>
    </row>
    <row r="13478" spans="1:10" x14ac:dyDescent="0.25">
      <c r="A13478" t="s">
        <v>142</v>
      </c>
      <c r="B13478" s="1" t="str">
        <f>HYPERLINK("http://ulusoyelektrik.com.tr","ulusoyelektrik.com.tr")</f>
        <v>ulusoyelektrik.com.tr</v>
      </c>
      <c r="C13478" t="s">
        <v>502</v>
      </c>
      <c r="D13478" t="s">
        <v>876</v>
      </c>
      <c r="F13478">
        <v>7.5042440337360407E-9</v>
      </c>
      <c r="G13478">
        <v>11004198</v>
      </c>
      <c r="H13478">
        <v>12616082</v>
      </c>
      <c r="I13478">
        <v>16128463</v>
      </c>
      <c r="J13478">
        <v>3</v>
      </c>
    </row>
    <row r="13479" spans="1:10" x14ac:dyDescent="0.25">
      <c r="A13479" t="s">
        <v>142</v>
      </c>
      <c r="B13479" s="1" t="str">
        <f>HYPERLINK("http://eaton.tw","eaton.tw")</f>
        <v>eaton.tw</v>
      </c>
      <c r="C13479" t="s">
        <v>504</v>
      </c>
      <c r="D13479" t="s">
        <v>878</v>
      </c>
      <c r="F13479">
        <v>1.15278324455927E-8</v>
      </c>
      <c r="G13479">
        <v>5484293</v>
      </c>
      <c r="H13479">
        <v>12329476</v>
      </c>
      <c r="I13479">
        <v>20219192</v>
      </c>
      <c r="J13479">
        <v>2</v>
      </c>
    </row>
    <row r="13480" spans="1:10" x14ac:dyDescent="0.25">
      <c r="A13480" t="s">
        <v>142</v>
      </c>
      <c r="B13480" s="1" t="str">
        <f>HYPERLINK("http://theoxalisgroup.co.uk","theoxalisgroup.co.uk")</f>
        <v>theoxalisgroup.co.uk</v>
      </c>
      <c r="C13480" t="s">
        <v>506</v>
      </c>
      <c r="D13480" t="s">
        <v>880</v>
      </c>
      <c r="F13480">
        <v>6.1201683583517203E-9</v>
      </c>
      <c r="G13480">
        <v>15978799</v>
      </c>
      <c r="H13480">
        <v>12229761</v>
      </c>
      <c r="I13480">
        <v>22508927</v>
      </c>
      <c r="J13480">
        <v>4</v>
      </c>
    </row>
    <row r="13481" spans="1:10" x14ac:dyDescent="0.25">
      <c r="A13481" t="s">
        <v>142</v>
      </c>
      <c r="B13481" s="1" t="str">
        <f>HYPERLINK("http://eaton.works","eaton.works")</f>
        <v>eaton.works</v>
      </c>
      <c r="C13481" t="s">
        <v>741</v>
      </c>
      <c r="F13481">
        <v>1.8520289438795799E-8</v>
      </c>
      <c r="G13481">
        <v>2921895</v>
      </c>
      <c r="H13481">
        <v>13250292</v>
      </c>
      <c r="I13481">
        <v>11084705</v>
      </c>
      <c r="J13481">
        <v>2</v>
      </c>
    </row>
    <row r="13482" spans="1:10" x14ac:dyDescent="0.25">
      <c r="A13482" t="s">
        <v>142</v>
      </c>
      <c r="B13482" s="1" t="str">
        <f>HYPERLINK("http://eaton.co.za","eaton.co.za")</f>
        <v>eaton.co.za</v>
      </c>
      <c r="C13482" t="s">
        <v>510</v>
      </c>
      <c r="D13482" t="s">
        <v>884</v>
      </c>
      <c r="F13482">
        <v>5.3296395153818599E-9</v>
      </c>
      <c r="G13482">
        <v>23071006</v>
      </c>
      <c r="H13482">
        <v>12230153</v>
      </c>
      <c r="I13482">
        <v>22498917</v>
      </c>
      <c r="J13482">
        <v>2</v>
      </c>
    </row>
    <row r="13483" spans="1:10" x14ac:dyDescent="0.25">
      <c r="A13483" t="s">
        <v>143</v>
      </c>
      <c r="B13483" s="1" t="str">
        <f>HYPERLINK("http://ecolab.at","ecolab.at")</f>
        <v>ecolab.at</v>
      </c>
      <c r="C13483" t="s">
        <v>419</v>
      </c>
      <c r="D13483" t="s">
        <v>801</v>
      </c>
      <c r="F13483">
        <v>1.19471967174853E-8</v>
      </c>
      <c r="G13483">
        <v>5208888</v>
      </c>
      <c r="H13483">
        <v>12432754</v>
      </c>
      <c r="I13483">
        <v>18257997</v>
      </c>
      <c r="J13483">
        <v>2</v>
      </c>
    </row>
    <row r="13484" spans="1:10" x14ac:dyDescent="0.25">
      <c r="A13484" t="s">
        <v>143</v>
      </c>
      <c r="B13484" s="1" t="str">
        <f>HYPERLINK("http://abednego.biz","abednego.biz")</f>
        <v>abednego.biz</v>
      </c>
      <c r="C13484" t="s">
        <v>423</v>
      </c>
      <c r="J13484">
        <v>3</v>
      </c>
    </row>
    <row r="13485" spans="1:10" x14ac:dyDescent="0.25">
      <c r="A13485" t="s">
        <v>143</v>
      </c>
      <c r="B13485" s="1" t="str">
        <f>HYPERLINK("http://ecolab.com.br","ecolab.com.br")</f>
        <v>ecolab.com.br</v>
      </c>
      <c r="C13485" t="s">
        <v>425</v>
      </c>
      <c r="D13485" t="s">
        <v>806</v>
      </c>
      <c r="J13485">
        <v>4</v>
      </c>
    </row>
    <row r="13486" spans="1:10" x14ac:dyDescent="0.25">
      <c r="A13486" t="s">
        <v>143</v>
      </c>
      <c r="B13486" s="1" t="str">
        <f>HYPERLINK("http://ecolab.com.cn","ecolab.com.cn")</f>
        <v>ecolab.com.cn</v>
      </c>
      <c r="C13486" t="s">
        <v>431</v>
      </c>
      <c r="D13486" t="s">
        <v>812</v>
      </c>
      <c r="E13486">
        <v>421549</v>
      </c>
      <c r="F13486">
        <v>2.7375086953174698E-8</v>
      </c>
      <c r="G13486">
        <v>1877874</v>
      </c>
      <c r="H13486">
        <v>13744763</v>
      </c>
      <c r="I13486">
        <v>9424740</v>
      </c>
      <c r="J13486">
        <v>2</v>
      </c>
    </row>
    <row r="13487" spans="1:10" x14ac:dyDescent="0.25">
      <c r="A13487" t="s">
        <v>143</v>
      </c>
      <c r="B13487" s="1" t="str">
        <f>HYPERLINK("http://anios.com","anios.com")</f>
        <v>anios.com</v>
      </c>
      <c r="C13487" t="s">
        <v>433</v>
      </c>
      <c r="F13487">
        <v>4.0722652102554602E-8</v>
      </c>
      <c r="G13487">
        <v>1272675</v>
      </c>
      <c r="H13487">
        <v>13133228</v>
      </c>
      <c r="I13487">
        <v>11924390</v>
      </c>
      <c r="J13487">
        <v>3</v>
      </c>
    </row>
    <row r="13488" spans="1:10" x14ac:dyDescent="0.25">
      <c r="A13488" t="s">
        <v>143</v>
      </c>
      <c r="B13488" s="1" t="str">
        <f>HYPERLINK("http://championx.com","championx.com")</f>
        <v>championx.com</v>
      </c>
      <c r="C13488" t="s">
        <v>433</v>
      </c>
      <c r="E13488">
        <v>303315</v>
      </c>
      <c r="F13488">
        <v>1.3281632218908199E-7</v>
      </c>
      <c r="G13488">
        <v>294189</v>
      </c>
      <c r="H13488">
        <v>13924782</v>
      </c>
      <c r="I13488">
        <v>5932121</v>
      </c>
      <c r="J13488">
        <v>4</v>
      </c>
    </row>
    <row r="13489" spans="1:10" x14ac:dyDescent="0.25">
      <c r="A13489" t="s">
        <v>143</v>
      </c>
      <c r="B13489" s="1" t="str">
        <f>HYPERLINK("http://cidlines.com","cidlines.com")</f>
        <v>cidlines.com</v>
      </c>
      <c r="C13489" t="s">
        <v>433</v>
      </c>
      <c r="F13489">
        <v>4.6484378646590497E-8</v>
      </c>
      <c r="G13489">
        <v>1006231</v>
      </c>
      <c r="H13489">
        <v>13375254</v>
      </c>
      <c r="I13489">
        <v>10445336</v>
      </c>
      <c r="J13489">
        <v>3</v>
      </c>
    </row>
    <row r="13490" spans="1:10" x14ac:dyDescent="0.25">
      <c r="A13490" t="s">
        <v>143</v>
      </c>
      <c r="B13490" s="1" t="str">
        <f>HYPERLINK("http://ecolab.com","ecolab.com")</f>
        <v>ecolab.com</v>
      </c>
      <c r="C13490" t="s">
        <v>433</v>
      </c>
      <c r="E13490">
        <v>23603</v>
      </c>
      <c r="F13490">
        <v>1.3140029391096499E-6</v>
      </c>
      <c r="G13490">
        <v>29549</v>
      </c>
      <c r="H13490">
        <v>15231852</v>
      </c>
      <c r="I13490">
        <v>392116</v>
      </c>
      <c r="J13490">
        <v>1</v>
      </c>
    </row>
    <row r="13491" spans="1:10" x14ac:dyDescent="0.25">
      <c r="A13491" t="s">
        <v>143</v>
      </c>
      <c r="B13491" s="1" t="str">
        <f>HYPERLINK("http://ecolab-engineering.com","ecolab-engineering.com")</f>
        <v>ecolab-engineering.com</v>
      </c>
      <c r="C13491" t="s">
        <v>433</v>
      </c>
      <c r="F13491">
        <v>8.7646511622270793E-9</v>
      </c>
      <c r="G13491">
        <v>8368093</v>
      </c>
      <c r="H13491">
        <v>11107455</v>
      </c>
      <c r="I13491">
        <v>32188152</v>
      </c>
      <c r="J13491">
        <v>5</v>
      </c>
    </row>
    <row r="13492" spans="1:10" x14ac:dyDescent="0.25">
      <c r="A13492" t="s">
        <v>143</v>
      </c>
      <c r="B13492" s="1" t="str">
        <f>HYPERLINK("http://elabusa.com","elabusa.com")</f>
        <v>elabusa.com</v>
      </c>
      <c r="C13492" t="s">
        <v>433</v>
      </c>
      <c r="J13492">
        <v>3</v>
      </c>
    </row>
    <row r="13493" spans="1:10" x14ac:dyDescent="0.25">
      <c r="A13493" t="s">
        <v>143</v>
      </c>
      <c r="B13493" s="1" t="str">
        <f>HYPERLINK("http://hicopla.com","hicopla.com")</f>
        <v>hicopla.com</v>
      </c>
      <c r="C13493" t="s">
        <v>433</v>
      </c>
      <c r="F13493">
        <v>4.68360390315818E-9</v>
      </c>
      <c r="G13493">
        <v>42129211</v>
      </c>
      <c r="H13493">
        <v>8546978</v>
      </c>
      <c r="I13493">
        <v>71437975</v>
      </c>
      <c r="J13493">
        <v>4</v>
      </c>
    </row>
    <row r="13494" spans="1:10" x14ac:dyDescent="0.25">
      <c r="A13494" t="s">
        <v>143</v>
      </c>
      <c r="B13494" s="1" t="str">
        <f>HYPERLINK("http://koloneengineering.com","koloneengineering.com")</f>
        <v>koloneengineering.com</v>
      </c>
      <c r="C13494" t="s">
        <v>433</v>
      </c>
      <c r="F13494">
        <v>4.8115477616024903E-9</v>
      </c>
      <c r="G13494">
        <v>35642480</v>
      </c>
      <c r="H13494">
        <v>10456697</v>
      </c>
      <c r="I13494">
        <v>51949044</v>
      </c>
      <c r="J13494">
        <v>3</v>
      </c>
    </row>
    <row r="13495" spans="1:10" x14ac:dyDescent="0.25">
      <c r="A13495" t="s">
        <v>143</v>
      </c>
      <c r="B13495" s="1" t="str">
        <f>HYPERLINK("http://lobsterink.com","lobsterink.com")</f>
        <v>lobsterink.com</v>
      </c>
      <c r="C13495" t="s">
        <v>433</v>
      </c>
      <c r="E13495">
        <v>374446</v>
      </c>
      <c r="F13495">
        <v>3.9276588743893897E-8</v>
      </c>
      <c r="G13495">
        <v>1313618</v>
      </c>
      <c r="H13495">
        <v>13982558</v>
      </c>
      <c r="I13495">
        <v>4045902</v>
      </c>
      <c r="J13495">
        <v>3</v>
      </c>
    </row>
    <row r="13496" spans="1:10" x14ac:dyDescent="0.25">
      <c r="A13496" t="s">
        <v>143</v>
      </c>
      <c r="B13496" s="1" t="str">
        <f>HYPERLINK("http://microtekmed.com","microtekmed.com")</f>
        <v>microtekmed.com</v>
      </c>
      <c r="C13496" t="s">
        <v>433</v>
      </c>
      <c r="F13496">
        <v>6.27840079241017E-9</v>
      </c>
      <c r="G13496">
        <v>15135073</v>
      </c>
      <c r="H13496">
        <v>11423759</v>
      </c>
      <c r="I13496">
        <v>30165839</v>
      </c>
      <c r="J13496">
        <v>4</v>
      </c>
    </row>
    <row r="13497" spans="1:10" x14ac:dyDescent="0.25">
      <c r="A13497" t="s">
        <v>143</v>
      </c>
      <c r="B13497" s="1" t="str">
        <f>HYPERLINK("http://nalco.com","nalco.com")</f>
        <v>nalco.com</v>
      </c>
      <c r="C13497" t="s">
        <v>433</v>
      </c>
      <c r="E13497">
        <v>229616</v>
      </c>
      <c r="F13497">
        <v>9.7201607963323996E-8</v>
      </c>
      <c r="G13497">
        <v>415619</v>
      </c>
      <c r="H13497">
        <v>14919436</v>
      </c>
      <c r="I13497">
        <v>452385</v>
      </c>
      <c r="J13497">
        <v>2</v>
      </c>
    </row>
    <row r="13498" spans="1:10" x14ac:dyDescent="0.25">
      <c r="A13498" t="s">
        <v>143</v>
      </c>
      <c r="B13498" s="1" t="str">
        <f>HYPERLINK("http://purolite.com","purolite.com")</f>
        <v>purolite.com</v>
      </c>
      <c r="C13498" t="s">
        <v>433</v>
      </c>
      <c r="E13498">
        <v>902254</v>
      </c>
      <c r="F13498">
        <v>6.8444825790126603E-8</v>
      </c>
      <c r="G13498">
        <v>623159</v>
      </c>
      <c r="H13498">
        <v>13396616</v>
      </c>
      <c r="I13498">
        <v>10376210</v>
      </c>
      <c r="J13498">
        <v>5</v>
      </c>
    </row>
    <row r="13499" spans="1:10" x14ac:dyDescent="0.25">
      <c r="A13499" t="s">
        <v>143</v>
      </c>
      <c r="B13499" s="1" t="str">
        <f>HYPERLINK("http://purolitechina.com","purolitechina.com")</f>
        <v>purolitechina.com</v>
      </c>
      <c r="C13499" t="s">
        <v>433</v>
      </c>
      <c r="J13499">
        <v>3</v>
      </c>
    </row>
    <row r="13500" spans="1:10" x14ac:dyDescent="0.25">
      <c r="A13500" t="s">
        <v>143</v>
      </c>
      <c r="B13500" s="1" t="str">
        <f>HYPERLINK("http://shieldmedicare.com","shieldmedicare.com")</f>
        <v>shieldmedicare.com</v>
      </c>
      <c r="C13500" t="s">
        <v>433</v>
      </c>
      <c r="F13500">
        <v>4.8524603009525098E-9</v>
      </c>
      <c r="G13500">
        <v>34061655</v>
      </c>
      <c r="H13500">
        <v>9507736</v>
      </c>
      <c r="I13500">
        <v>65619169</v>
      </c>
      <c r="J13500">
        <v>4</v>
      </c>
    </row>
    <row r="13501" spans="1:10" x14ac:dyDescent="0.25">
      <c r="A13501" t="s">
        <v>143</v>
      </c>
      <c r="B13501" s="1" t="str">
        <f>HYPERLINK("http://ecolab-engineering.de","ecolab-engineering.de")</f>
        <v>ecolab-engineering.de</v>
      </c>
      <c r="C13501" t="s">
        <v>436</v>
      </c>
      <c r="D13501" t="s">
        <v>815</v>
      </c>
      <c r="F13501">
        <v>1.26521358119218E-8</v>
      </c>
      <c r="G13501">
        <v>4803800</v>
      </c>
      <c r="H13501">
        <v>10441020</v>
      </c>
      <c r="I13501">
        <v>52409704</v>
      </c>
      <c r="J13501">
        <v>4</v>
      </c>
    </row>
    <row r="13502" spans="1:10" x14ac:dyDescent="0.25">
      <c r="A13502" t="s">
        <v>143</v>
      </c>
      <c r="B13502" s="1" t="str">
        <f>HYPERLINK("http://purolite.de","purolite.de")</f>
        <v>purolite.de</v>
      </c>
      <c r="C13502" t="s">
        <v>436</v>
      </c>
      <c r="D13502" t="s">
        <v>815</v>
      </c>
      <c r="J13502">
        <v>3</v>
      </c>
    </row>
    <row r="13503" spans="1:10" x14ac:dyDescent="0.25">
      <c r="A13503" t="s">
        <v>143</v>
      </c>
      <c r="B13503" s="1" t="str">
        <f>HYPERLINK("http://ecolab.eu","ecolab.eu")</f>
        <v>ecolab.eu</v>
      </c>
      <c r="C13503" t="s">
        <v>444</v>
      </c>
      <c r="F13503">
        <v>5.7834827720898799E-8</v>
      </c>
      <c r="G13503">
        <v>770132</v>
      </c>
      <c r="H13503">
        <v>12673605</v>
      </c>
      <c r="I13503">
        <v>15569664</v>
      </c>
      <c r="J13503">
        <v>2</v>
      </c>
    </row>
    <row r="13504" spans="1:10" x14ac:dyDescent="0.25">
      <c r="A13504" t="s">
        <v>143</v>
      </c>
      <c r="B13504" s="1" t="str">
        <f>HYPERLINK("http://ecolab.fi","ecolab.fi")</f>
        <v>ecolab.fi</v>
      </c>
      <c r="C13504" t="s">
        <v>445</v>
      </c>
      <c r="D13504" t="s">
        <v>823</v>
      </c>
      <c r="F13504">
        <v>8.6249112630512095E-9</v>
      </c>
      <c r="G13504">
        <v>8611306</v>
      </c>
      <c r="H13504">
        <v>11104772</v>
      </c>
      <c r="I13504">
        <v>32213911</v>
      </c>
      <c r="J13504">
        <v>5</v>
      </c>
    </row>
    <row r="13505" spans="1:10" x14ac:dyDescent="0.25">
      <c r="A13505" t="s">
        <v>143</v>
      </c>
      <c r="B13505" s="1" t="str">
        <f>HYPERLINK("http://nalco.fi","nalco.fi")</f>
        <v>nalco.fi</v>
      </c>
      <c r="C13505" t="s">
        <v>445</v>
      </c>
      <c r="D13505" t="s">
        <v>823</v>
      </c>
      <c r="J13505">
        <v>5</v>
      </c>
    </row>
    <row r="13506" spans="1:10" x14ac:dyDescent="0.25">
      <c r="A13506" t="s">
        <v>143</v>
      </c>
      <c r="B13506" s="1" t="str">
        <f>HYPERLINK("http://nalcodirect.fi","nalcodirect.fi")</f>
        <v>nalcodirect.fi</v>
      </c>
      <c r="C13506" t="s">
        <v>445</v>
      </c>
      <c r="D13506" t="s">
        <v>823</v>
      </c>
      <c r="J13506">
        <v>5</v>
      </c>
    </row>
    <row r="13507" spans="1:10" x14ac:dyDescent="0.25">
      <c r="A13507" t="s">
        <v>143</v>
      </c>
      <c r="B13507" s="1" t="str">
        <f>HYPERLINK("http://ecolab-pest-france.fr","ecolab-pest-france.fr")</f>
        <v>ecolab-pest-france.fr</v>
      </c>
      <c r="C13507" t="s">
        <v>446</v>
      </c>
      <c r="D13507" t="s">
        <v>824</v>
      </c>
      <c r="F13507">
        <v>4.7139819994883302E-9</v>
      </c>
      <c r="G13507">
        <v>40515807</v>
      </c>
      <c r="H13507">
        <v>10888333</v>
      </c>
      <c r="I13507">
        <v>36142079</v>
      </c>
      <c r="J13507">
        <v>4</v>
      </c>
    </row>
    <row r="13508" spans="1:10" x14ac:dyDescent="0.25">
      <c r="A13508" t="s">
        <v>143</v>
      </c>
      <c r="B13508" s="1" t="str">
        <f>HYPERLINK("http://purolite.co.jp","purolite.co.jp")</f>
        <v>purolite.co.jp</v>
      </c>
      <c r="C13508" t="s">
        <v>461</v>
      </c>
      <c r="D13508" t="s">
        <v>837</v>
      </c>
      <c r="F13508">
        <v>5.9141347834760796E-9</v>
      </c>
      <c r="G13508">
        <v>17260944</v>
      </c>
      <c r="H13508">
        <v>10365082</v>
      </c>
      <c r="I13508">
        <v>55023328</v>
      </c>
      <c r="J13508">
        <v>6</v>
      </c>
    </row>
    <row r="13509" spans="1:10" x14ac:dyDescent="0.25">
      <c r="A13509" t="s">
        <v>143</v>
      </c>
      <c r="B13509" s="1" t="str">
        <f>HYPERLINK("http://rd-pegase.net","rd-pegase.net")</f>
        <v>rd-pegase.net</v>
      </c>
      <c r="C13509" t="s">
        <v>474</v>
      </c>
      <c r="F13509">
        <v>4.6501987576125299E-9</v>
      </c>
      <c r="G13509">
        <v>44133247</v>
      </c>
      <c r="H13509">
        <v>10769474</v>
      </c>
      <c r="I13509">
        <v>39262077</v>
      </c>
      <c r="J13509">
        <v>3</v>
      </c>
    </row>
    <row r="13510" spans="1:10" x14ac:dyDescent="0.25">
      <c r="A13510" t="s">
        <v>143</v>
      </c>
      <c r="B13510" s="1" t="str">
        <f>HYPERLINK("http://cidlines.pl","cidlines.pl")</f>
        <v>cidlines.pl</v>
      </c>
      <c r="C13510" t="s">
        <v>486</v>
      </c>
      <c r="D13510" t="s">
        <v>860</v>
      </c>
      <c r="F13510">
        <v>4.9952160550941203E-9</v>
      </c>
      <c r="G13510">
        <v>29529945</v>
      </c>
      <c r="H13510">
        <v>12088677</v>
      </c>
      <c r="I13510">
        <v>26288799</v>
      </c>
      <c r="J13510">
        <v>5</v>
      </c>
    </row>
    <row r="13511" spans="1:10" x14ac:dyDescent="0.25">
      <c r="A13511" t="s">
        <v>143</v>
      </c>
      <c r="B13511" s="1" t="str">
        <f>HYPERLINK("http://nalco.pl","nalco.pl")</f>
        <v>nalco.pl</v>
      </c>
      <c r="C13511" t="s">
        <v>486</v>
      </c>
      <c r="D13511" t="s">
        <v>860</v>
      </c>
      <c r="F13511">
        <v>4.5393880860676999E-9</v>
      </c>
      <c r="G13511">
        <v>53406255</v>
      </c>
      <c r="H13511">
        <v>10728820</v>
      </c>
      <c r="I13511">
        <v>41020046</v>
      </c>
      <c r="J13511">
        <v>5</v>
      </c>
    </row>
    <row r="13512" spans="1:10" x14ac:dyDescent="0.25">
      <c r="A13512" t="s">
        <v>143</v>
      </c>
      <c r="B13512" s="1" t="str">
        <f>HYPERLINK("http://ecolab.co.uk","ecolab.co.uk")</f>
        <v>ecolab.co.uk</v>
      </c>
      <c r="C13512" t="s">
        <v>506</v>
      </c>
      <c r="D13512" t="s">
        <v>880</v>
      </c>
      <c r="F13512">
        <v>4.82268147793881E-9</v>
      </c>
      <c r="G13512">
        <v>35118642</v>
      </c>
      <c r="H13512">
        <v>13934259</v>
      </c>
      <c r="I13512">
        <v>4613294</v>
      </c>
      <c r="J13512">
        <v>6</v>
      </c>
    </row>
    <row r="13513" spans="1:10" x14ac:dyDescent="0.25">
      <c r="A13513" t="s">
        <v>144</v>
      </c>
      <c r="B13513" s="1" t="str">
        <f>HYPERLINK("http://bmeye.com","bmeye.com")</f>
        <v>bmeye.com</v>
      </c>
      <c r="C13513" t="s">
        <v>433</v>
      </c>
      <c r="F13513">
        <v>4.8002623403051198E-9</v>
      </c>
      <c r="G13513">
        <v>36077683</v>
      </c>
      <c r="H13513">
        <v>12591225</v>
      </c>
      <c r="I13513">
        <v>16404181</v>
      </c>
      <c r="J13513">
        <v>5</v>
      </c>
    </row>
    <row r="13514" spans="1:10" x14ac:dyDescent="0.25">
      <c r="A13514" t="s">
        <v>144</v>
      </c>
      <c r="B13514" s="1" t="str">
        <f>HYPERLINK("http://cardiaq.com","cardiaq.com")</f>
        <v>cardiaq.com</v>
      </c>
      <c r="C13514" t="s">
        <v>433</v>
      </c>
      <c r="F13514">
        <v>9.7139159104076707E-9</v>
      </c>
      <c r="G13514">
        <v>7064731</v>
      </c>
      <c r="H13514">
        <v>13338413</v>
      </c>
      <c r="I13514">
        <v>10676365</v>
      </c>
      <c r="J13514">
        <v>5</v>
      </c>
    </row>
    <row r="13515" spans="1:10" x14ac:dyDescent="0.25">
      <c r="A13515" t="s">
        <v>144</v>
      </c>
      <c r="B13515" s="1" t="str">
        <f>HYPERLINK("http://edwards.com","edwards.com")</f>
        <v>edwards.com</v>
      </c>
      <c r="C13515" t="s">
        <v>433</v>
      </c>
      <c r="E13515">
        <v>74793</v>
      </c>
      <c r="F13515">
        <v>4.9806501237731895E-7</v>
      </c>
      <c r="G13515">
        <v>76737</v>
      </c>
      <c r="H13515">
        <v>15277202</v>
      </c>
      <c r="I13515">
        <v>387906</v>
      </c>
      <c r="J13515">
        <v>1</v>
      </c>
    </row>
    <row r="13516" spans="1:10" x14ac:dyDescent="0.25">
      <c r="A13516" t="s">
        <v>144</v>
      </c>
      <c r="B13516" s="1" t="str">
        <f>HYPERLINK("http://edwardslifesciences.com","edwardslifesciences.com")</f>
        <v>edwardslifesciences.com</v>
      </c>
      <c r="C13516" t="s">
        <v>433</v>
      </c>
      <c r="J13516">
        <v>3</v>
      </c>
    </row>
    <row r="13517" spans="1:10" x14ac:dyDescent="0.25">
      <c r="A13517" t="s">
        <v>144</v>
      </c>
      <c r="B13517" s="1" t="str">
        <f>HYPERLINK("http://lappavika.fi","lappavika.fi")</f>
        <v>lappavika.fi</v>
      </c>
      <c r="C13517" t="s">
        <v>445</v>
      </c>
      <c r="D13517" t="s">
        <v>823</v>
      </c>
      <c r="F13517">
        <v>4.4438335000452598E-9</v>
      </c>
      <c r="G13517">
        <v>78967849</v>
      </c>
      <c r="H13517">
        <v>10480218</v>
      </c>
      <c r="I13517">
        <v>51032619</v>
      </c>
      <c r="J13517">
        <v>2</v>
      </c>
    </row>
    <row r="13518" spans="1:10" x14ac:dyDescent="0.25">
      <c r="A13518" t="s">
        <v>144</v>
      </c>
      <c r="B13518" s="1" t="str">
        <f>HYPERLINK("http://lppvika.fi","lppvika.fi")</f>
        <v>lppvika.fi</v>
      </c>
      <c r="C13518" t="s">
        <v>445</v>
      </c>
      <c r="D13518" t="s">
        <v>823</v>
      </c>
      <c r="J13518">
        <v>2</v>
      </c>
    </row>
    <row r="13519" spans="1:10" x14ac:dyDescent="0.25">
      <c r="A13519" t="s">
        <v>1611</v>
      </c>
      <c r="B13519" s="1" t="str">
        <f>HYPERLINK("http://edfluminus.be","edfluminus.be")</f>
        <v>edfluminus.be</v>
      </c>
      <c r="C13519" t="s">
        <v>421</v>
      </c>
      <c r="D13519" t="s">
        <v>803</v>
      </c>
      <c r="F13519">
        <v>1.0323535430331601E-8</v>
      </c>
      <c r="G13519">
        <v>6429065</v>
      </c>
      <c r="H13519">
        <v>12311818</v>
      </c>
      <c r="I13519">
        <v>20582566</v>
      </c>
      <c r="J13519">
        <v>4</v>
      </c>
    </row>
    <row r="13520" spans="1:10" x14ac:dyDescent="0.25">
      <c r="A13520" t="s">
        <v>1611</v>
      </c>
      <c r="B13520" s="1" t="str">
        <f>HYPERLINK("http://essent.be","essent.be")</f>
        <v>essent.be</v>
      </c>
      <c r="C13520" t="s">
        <v>421</v>
      </c>
      <c r="D13520" t="s">
        <v>803</v>
      </c>
      <c r="F13520">
        <v>4.7646604977198303E-8</v>
      </c>
      <c r="G13520">
        <v>977151</v>
      </c>
      <c r="H13520">
        <v>14083986</v>
      </c>
      <c r="I13520">
        <v>2790060</v>
      </c>
      <c r="J13520">
        <v>5</v>
      </c>
    </row>
    <row r="13521" spans="1:10" x14ac:dyDescent="0.25">
      <c r="A13521" t="s">
        <v>1611</v>
      </c>
      <c r="B13521" s="1" t="str">
        <f>HYPERLINK("http://luminus.be","luminus.be")</f>
        <v>luminus.be</v>
      </c>
      <c r="C13521" t="s">
        <v>421</v>
      </c>
      <c r="D13521" t="s">
        <v>803</v>
      </c>
      <c r="E13521">
        <v>149423</v>
      </c>
      <c r="F13521">
        <v>2.2147651528397201E-7</v>
      </c>
      <c r="G13521">
        <v>170179</v>
      </c>
      <c r="H13521">
        <v>15001874</v>
      </c>
      <c r="I13521">
        <v>425350</v>
      </c>
      <c r="J13521">
        <v>4</v>
      </c>
    </row>
    <row r="13522" spans="1:10" x14ac:dyDescent="0.25">
      <c r="A13522" t="s">
        <v>1611</v>
      </c>
      <c r="B13522" s="1" t="str">
        <f>HYPERLINK("http://edfbrasil.com.br","edfbrasil.com.br")</f>
        <v>edfbrasil.com.br</v>
      </c>
      <c r="C13522" t="s">
        <v>425</v>
      </c>
      <c r="D13522" t="s">
        <v>806</v>
      </c>
      <c r="J13522">
        <v>5</v>
      </c>
    </row>
    <row r="13523" spans="1:10" x14ac:dyDescent="0.25">
      <c r="A13523" t="s">
        <v>1611</v>
      </c>
      <c r="B13523" s="1" t="str">
        <f>HYPERLINK("http://ute.com.br","ute.com.br")</f>
        <v>ute.com.br</v>
      </c>
      <c r="C13523" t="s">
        <v>425</v>
      </c>
      <c r="D13523" t="s">
        <v>806</v>
      </c>
      <c r="F13523">
        <v>4.7047320726275203E-9</v>
      </c>
      <c r="G13523">
        <v>40999248</v>
      </c>
      <c r="H13523">
        <v>12310934</v>
      </c>
      <c r="I13523">
        <v>20597181</v>
      </c>
      <c r="J13523">
        <v>3</v>
      </c>
    </row>
    <row r="13524" spans="1:10" x14ac:dyDescent="0.25">
      <c r="A13524" t="s">
        <v>1611</v>
      </c>
      <c r="B13524" s="1" t="str">
        <f>HYPERLINK("http://edf-re.ca","edf-re.ca")</f>
        <v>edf-re.ca</v>
      </c>
      <c r="C13524" t="s">
        <v>428</v>
      </c>
      <c r="D13524" t="s">
        <v>809</v>
      </c>
      <c r="F13524">
        <v>1.06894618422826E-8</v>
      </c>
      <c r="G13524">
        <v>6109327</v>
      </c>
      <c r="H13524">
        <v>12214834</v>
      </c>
      <c r="I13524">
        <v>22910878</v>
      </c>
      <c r="J13524">
        <v>5</v>
      </c>
    </row>
    <row r="13525" spans="1:10" x14ac:dyDescent="0.25">
      <c r="A13525" t="s">
        <v>1611</v>
      </c>
      <c r="B13525" s="1" t="str">
        <f>HYPERLINK("http://areva.com","areva.com")</f>
        <v>areva.com</v>
      </c>
      <c r="C13525" t="s">
        <v>433</v>
      </c>
      <c r="E13525">
        <v>36894</v>
      </c>
      <c r="F13525">
        <v>3.85468536863768E-7</v>
      </c>
      <c r="G13525">
        <v>97159</v>
      </c>
      <c r="H13525">
        <v>15189022</v>
      </c>
      <c r="I13525">
        <v>396518</v>
      </c>
      <c r="J13525">
        <v>5</v>
      </c>
    </row>
    <row r="13526" spans="1:10" x14ac:dyDescent="0.25">
      <c r="A13526" t="s">
        <v>1611</v>
      </c>
      <c r="B13526" s="1" t="str">
        <f>HYPERLINK("http://atlanticshoreswind.com","atlanticshoreswind.com")</f>
        <v>atlanticshoreswind.com</v>
      </c>
      <c r="C13526" t="s">
        <v>433</v>
      </c>
      <c r="F13526">
        <v>4.8139902629455503E-8</v>
      </c>
      <c r="G13526">
        <v>965305</v>
      </c>
      <c r="H13526">
        <v>14101721</v>
      </c>
      <c r="I13526">
        <v>2700874</v>
      </c>
      <c r="J13526">
        <v>6</v>
      </c>
    </row>
    <row r="13527" spans="1:10" x14ac:dyDescent="0.25">
      <c r="A13527" t="s">
        <v>1611</v>
      </c>
      <c r="B13527" s="1" t="str">
        <f>HYPERLINK("http://atmea-sas.com","atmea-sas.com")</f>
        <v>atmea-sas.com</v>
      </c>
      <c r="C13527" t="s">
        <v>433</v>
      </c>
      <c r="F13527">
        <v>1.4340067034011301E-8</v>
      </c>
      <c r="G13527">
        <v>4077888</v>
      </c>
      <c r="H13527">
        <v>14237775</v>
      </c>
      <c r="I13527">
        <v>1541689</v>
      </c>
      <c r="J13527">
        <v>4</v>
      </c>
    </row>
    <row r="13528" spans="1:10" x14ac:dyDescent="0.25">
      <c r="A13528" t="s">
        <v>1611</v>
      </c>
      <c r="B13528" s="1" t="str">
        <f>HYPERLINK("http://avia-e-mobilite.com","avia-e-mobilite.com")</f>
        <v>avia-e-mobilite.com</v>
      </c>
      <c r="C13528" t="s">
        <v>433</v>
      </c>
      <c r="F13528">
        <v>1.9513598955833799E-8</v>
      </c>
      <c r="G13528">
        <v>2742305</v>
      </c>
      <c r="H13528">
        <v>14030054</v>
      </c>
      <c r="I13528">
        <v>3942377</v>
      </c>
      <c r="J13528">
        <v>5</v>
      </c>
    </row>
    <row r="13529" spans="1:10" x14ac:dyDescent="0.25">
      <c r="A13529" t="s">
        <v>1611</v>
      </c>
      <c r="B13529" s="1" t="str">
        <f>HYPERLINK("http://breatheenergy.com","breatheenergy.com")</f>
        <v>breatheenergy.com</v>
      </c>
      <c r="C13529" t="s">
        <v>433</v>
      </c>
      <c r="F13529">
        <v>4.7270677554894799E-9</v>
      </c>
      <c r="G13529">
        <v>39489291</v>
      </c>
      <c r="H13529">
        <v>10222504</v>
      </c>
      <c r="I13529">
        <v>58924268</v>
      </c>
      <c r="J13529">
        <v>9</v>
      </c>
    </row>
    <row r="13530" spans="1:10" x14ac:dyDescent="0.25">
      <c r="A13530" t="s">
        <v>1611</v>
      </c>
      <c r="B13530" s="1" t="str">
        <f>HYPERLINK("http://british-energy.com","british-energy.com")</f>
        <v>british-energy.com</v>
      </c>
      <c r="C13530" t="s">
        <v>433</v>
      </c>
      <c r="F13530">
        <v>1.9336920327349201E-8</v>
      </c>
      <c r="G13530">
        <v>2776204</v>
      </c>
      <c r="H13530">
        <v>14685785</v>
      </c>
      <c r="I13530">
        <v>605074</v>
      </c>
      <c r="J13530">
        <v>6</v>
      </c>
    </row>
    <row r="13531" spans="1:10" x14ac:dyDescent="0.25">
      <c r="A13531" t="s">
        <v>1611</v>
      </c>
      <c r="B13531" s="1" t="str">
        <f>HYPERLINK("http://capula.com","capula.com")</f>
        <v>capula.com</v>
      </c>
      <c r="C13531" t="s">
        <v>433</v>
      </c>
      <c r="F13531">
        <v>7.00429722570663E-9</v>
      </c>
      <c r="G13531">
        <v>12299010</v>
      </c>
      <c r="H13531">
        <v>12471961</v>
      </c>
      <c r="I13531">
        <v>17679603</v>
      </c>
      <c r="J13531">
        <v>12</v>
      </c>
    </row>
    <row r="13532" spans="1:10" x14ac:dyDescent="0.25">
      <c r="A13532" t="s">
        <v>1611</v>
      </c>
      <c r="B13532" s="1" t="str">
        <f>HYPERLINK("http://cesbron.com","cesbron.com")</f>
        <v>cesbron.com</v>
      </c>
      <c r="C13532" t="s">
        <v>433</v>
      </c>
      <c r="F13532">
        <v>9.4342858745858208E-9</v>
      </c>
      <c r="G13532">
        <v>7402206</v>
      </c>
      <c r="H13532">
        <v>12223496</v>
      </c>
      <c r="I13532">
        <v>22694696</v>
      </c>
      <c r="J13532">
        <v>8</v>
      </c>
    </row>
    <row r="13533" spans="1:10" x14ac:dyDescent="0.25">
      <c r="A13533" t="s">
        <v>1611</v>
      </c>
      <c r="B13533" s="1" t="str">
        <f>HYPERLINK("http://citegestion.com","citegestion.com")</f>
        <v>citegestion.com</v>
      </c>
      <c r="C13533" t="s">
        <v>433</v>
      </c>
      <c r="F13533">
        <v>5.36904466460786E-9</v>
      </c>
      <c r="G13533">
        <v>22553951</v>
      </c>
      <c r="H13533">
        <v>12017157</v>
      </c>
      <c r="I13533">
        <v>27920189</v>
      </c>
      <c r="J13533">
        <v>5</v>
      </c>
    </row>
    <row r="13534" spans="1:10" x14ac:dyDescent="0.25">
      <c r="A13534" t="s">
        <v>1611</v>
      </c>
      <c r="B13534" s="1" t="str">
        <f>HYPERLINK("http://cloud-rte-france.com","cloud-rte-france.com")</f>
        <v>cloud-rte-france.com</v>
      </c>
      <c r="C13534" t="s">
        <v>433</v>
      </c>
      <c r="F13534">
        <v>8.4834278522188099E-9</v>
      </c>
      <c r="G13534">
        <v>8877107</v>
      </c>
      <c r="H13534">
        <v>12187882</v>
      </c>
      <c r="I13534">
        <v>23635229</v>
      </c>
      <c r="J13534">
        <v>6</v>
      </c>
    </row>
    <row r="13535" spans="1:10" x14ac:dyDescent="0.25">
      <c r="A13535" t="s">
        <v>1611</v>
      </c>
      <c r="B13535" s="1" t="str">
        <f>HYPERLINK("http://communication-rte-france.com","communication-rte-france.com")</f>
        <v>communication-rte-france.com</v>
      </c>
      <c r="C13535" t="s">
        <v>433</v>
      </c>
      <c r="J13535">
        <v>6</v>
      </c>
    </row>
    <row r="13536" spans="1:10" x14ac:dyDescent="0.25">
      <c r="A13536" t="s">
        <v>1611</v>
      </c>
      <c r="B13536" s="1" t="str">
        <f>HYPERLINK("http://ctelectricite.com","ctelectricite.com")</f>
        <v>ctelectricite.com</v>
      </c>
      <c r="C13536" t="s">
        <v>433</v>
      </c>
      <c r="F13536">
        <v>4.5148760089486901E-9</v>
      </c>
      <c r="G13536">
        <v>56865407</v>
      </c>
      <c r="H13536">
        <v>10713877</v>
      </c>
      <c r="I13536">
        <v>42098478</v>
      </c>
      <c r="J13536">
        <v>4</v>
      </c>
    </row>
    <row r="13537" spans="1:10" x14ac:dyDescent="0.25">
      <c r="A13537" t="s">
        <v>1611</v>
      </c>
      <c r="B13537" s="1" t="str">
        <f>HYPERLINK("http://dalkia.com","dalkia.com")</f>
        <v>dalkia.com</v>
      </c>
      <c r="C13537" t="s">
        <v>433</v>
      </c>
      <c r="F13537">
        <v>2.8439358624317299E-8</v>
      </c>
      <c r="G13537">
        <v>1809680</v>
      </c>
      <c r="H13537">
        <v>14384245</v>
      </c>
      <c r="I13537">
        <v>1183131</v>
      </c>
      <c r="J13537">
        <v>5</v>
      </c>
    </row>
    <row r="13538" spans="1:10" x14ac:dyDescent="0.25">
      <c r="A13538" t="s">
        <v>1611</v>
      </c>
      <c r="B13538" s="1" t="str">
        <f>HYPERLINK("http://dalkiafroidsolutions.com","dalkiafroidsolutions.com")</f>
        <v>dalkiafroidsolutions.com</v>
      </c>
      <c r="C13538" t="s">
        <v>433</v>
      </c>
      <c r="F13538">
        <v>2.97310845919273E-8</v>
      </c>
      <c r="G13538">
        <v>1731618</v>
      </c>
      <c r="H13538">
        <v>14076600</v>
      </c>
      <c r="I13538">
        <v>2883609</v>
      </c>
      <c r="J13538">
        <v>4</v>
      </c>
    </row>
    <row r="13539" spans="1:10" x14ac:dyDescent="0.25">
      <c r="A13539" t="s">
        <v>1611</v>
      </c>
      <c r="B13539" s="1" t="str">
        <f>HYPERLINK("http://dalkiawastenergy.com","dalkiawastenergy.com")</f>
        <v>dalkiawastenergy.com</v>
      </c>
      <c r="C13539" t="s">
        <v>433</v>
      </c>
      <c r="F13539">
        <v>4.7895358073893999E-9</v>
      </c>
      <c r="G13539">
        <v>36509777</v>
      </c>
      <c r="H13539">
        <v>12560371</v>
      </c>
      <c r="I13539">
        <v>16709688</v>
      </c>
      <c r="J13539">
        <v>5</v>
      </c>
    </row>
    <row r="13540" spans="1:10" x14ac:dyDescent="0.25">
      <c r="A13540" t="s">
        <v>1611</v>
      </c>
      <c r="B13540" s="1" t="str">
        <f>HYPERLINK("http://edf.com","edf.com")</f>
        <v>edf.com</v>
      </c>
      <c r="C13540" t="s">
        <v>433</v>
      </c>
      <c r="E13540">
        <v>59902</v>
      </c>
      <c r="F13540">
        <v>8.4474649540994101E-7</v>
      </c>
      <c r="G13540">
        <v>47070</v>
      </c>
      <c r="H13540">
        <v>17346310</v>
      </c>
      <c r="I13540">
        <v>23457</v>
      </c>
      <c r="J13540">
        <v>2</v>
      </c>
    </row>
    <row r="13541" spans="1:10" x14ac:dyDescent="0.25">
      <c r="A13541" t="s">
        <v>1611</v>
      </c>
      <c r="B13541" s="1" t="str">
        <f>HYPERLINK("http://edf-er.com","edf-er.com")</f>
        <v>edf-er.com</v>
      </c>
      <c r="C13541" t="s">
        <v>433</v>
      </c>
      <c r="F13541">
        <v>9.7652825858472301E-9</v>
      </c>
      <c r="G13541">
        <v>7006563</v>
      </c>
      <c r="H13541">
        <v>14309747</v>
      </c>
      <c r="I13541">
        <v>1343452</v>
      </c>
      <c r="J13541">
        <v>9</v>
      </c>
    </row>
    <row r="13542" spans="1:10" x14ac:dyDescent="0.25">
      <c r="A13542" t="s">
        <v>1611</v>
      </c>
      <c r="B13542" s="1" t="str">
        <f>HYPERLINK("http://edf-fenice.com","edf-fenice.com")</f>
        <v>edf-fenice.com</v>
      </c>
      <c r="C13542" t="s">
        <v>433</v>
      </c>
      <c r="F13542">
        <v>6.2994040249892996E-9</v>
      </c>
      <c r="G13542">
        <v>15035565</v>
      </c>
      <c r="H13542">
        <v>10957219</v>
      </c>
      <c r="I13542">
        <v>34420639</v>
      </c>
      <c r="J13542">
        <v>4</v>
      </c>
    </row>
    <row r="13543" spans="1:10" x14ac:dyDescent="0.25">
      <c r="A13543" t="s">
        <v>1611</v>
      </c>
      <c r="B13543" s="1" t="str">
        <f>HYPERLINK("http://edf-re.com","edf-re.com")</f>
        <v>edf-re.com</v>
      </c>
      <c r="C13543" t="s">
        <v>433</v>
      </c>
      <c r="E13543">
        <v>202642</v>
      </c>
      <c r="F13543">
        <v>2.5678407162622601E-7</v>
      </c>
      <c r="G13543">
        <v>145694</v>
      </c>
      <c r="H13543">
        <v>14728429</v>
      </c>
      <c r="I13543">
        <v>573589</v>
      </c>
      <c r="J13543">
        <v>4</v>
      </c>
    </row>
    <row r="13544" spans="1:10" x14ac:dyDescent="0.25">
      <c r="A13544" t="s">
        <v>1611</v>
      </c>
      <c r="B13544" s="1" t="str">
        <f>HYPERLINK("http://edf-renouvelables.com","edf-renouvelables.com")</f>
        <v>edf-renouvelables.com</v>
      </c>
      <c r="C13544" t="s">
        <v>433</v>
      </c>
      <c r="F13544">
        <v>1.6991755065475301E-7</v>
      </c>
      <c r="G13544">
        <v>228276</v>
      </c>
      <c r="H13544">
        <v>14304829</v>
      </c>
      <c r="I13544">
        <v>1351779</v>
      </c>
      <c r="J13544">
        <v>4</v>
      </c>
    </row>
    <row r="13545" spans="1:10" x14ac:dyDescent="0.25">
      <c r="A13545" t="s">
        <v>1611</v>
      </c>
      <c r="B13545" s="1" t="str">
        <f>HYPERLINK("http://edfenergy.com","edfenergy.com")</f>
        <v>edfenergy.com</v>
      </c>
      <c r="C13545" t="s">
        <v>433</v>
      </c>
      <c r="E13545">
        <v>27609</v>
      </c>
      <c r="F13545">
        <v>2.0768223407157402E-6</v>
      </c>
      <c r="G13545">
        <v>17613</v>
      </c>
      <c r="H13545">
        <v>17598996</v>
      </c>
      <c r="I13545">
        <v>9689</v>
      </c>
      <c r="J13545">
        <v>4</v>
      </c>
    </row>
    <row r="13546" spans="1:10" x14ac:dyDescent="0.25">
      <c r="A13546" t="s">
        <v>1611</v>
      </c>
      <c r="B13546" s="1" t="str">
        <f>HYPERLINK("http://edfenr.com","edfenr.com")</f>
        <v>edfenr.com</v>
      </c>
      <c r="C13546" t="s">
        <v>433</v>
      </c>
      <c r="E13546">
        <v>472151</v>
      </c>
      <c r="F13546">
        <v>9.7959169924117897E-8</v>
      </c>
      <c r="G13546">
        <v>411936</v>
      </c>
      <c r="H13546">
        <v>14412675</v>
      </c>
      <c r="I13546">
        <v>1142569</v>
      </c>
      <c r="J13546">
        <v>4</v>
      </c>
    </row>
    <row r="13547" spans="1:10" x14ac:dyDescent="0.25">
      <c r="A13547" t="s">
        <v>1611</v>
      </c>
      <c r="B13547" s="1" t="str">
        <f>HYPERLINK("http://edftrading.com","edftrading.com")</f>
        <v>edftrading.com</v>
      </c>
      <c r="C13547" t="s">
        <v>433</v>
      </c>
      <c r="F13547">
        <v>5.3988632925245802E-8</v>
      </c>
      <c r="G13547">
        <v>839200</v>
      </c>
      <c r="H13547">
        <v>14276253</v>
      </c>
      <c r="I13547">
        <v>1390123</v>
      </c>
      <c r="J13547">
        <v>3</v>
      </c>
    </row>
    <row r="13548" spans="1:10" x14ac:dyDescent="0.25">
      <c r="A13548" t="s">
        <v>1611</v>
      </c>
      <c r="B13548" s="1" t="str">
        <f>HYPERLINK("http://entersolar.com","entersolar.com")</f>
        <v>entersolar.com</v>
      </c>
      <c r="C13548" t="s">
        <v>433</v>
      </c>
      <c r="F13548">
        <v>1.9578516370405302E-8</v>
      </c>
      <c r="G13548">
        <v>2731508</v>
      </c>
      <c r="H13548">
        <v>13877016</v>
      </c>
      <c r="I13548">
        <v>5988330</v>
      </c>
      <c r="J13548">
        <v>6</v>
      </c>
    </row>
    <row r="13549" spans="1:10" x14ac:dyDescent="0.25">
      <c r="A13549" t="s">
        <v>1611</v>
      </c>
      <c r="B13549" s="1" t="str">
        <f>HYPERLINK("http://fenicespa.com","fenicespa.com")</f>
        <v>fenicespa.com</v>
      </c>
      <c r="C13549" t="s">
        <v>433</v>
      </c>
      <c r="F13549">
        <v>7.8845589198034293E-9</v>
      </c>
      <c r="G13549">
        <v>10142190</v>
      </c>
      <c r="H13549">
        <v>12227168</v>
      </c>
      <c r="I13549">
        <v>22588228</v>
      </c>
      <c r="J13549">
        <v>4</v>
      </c>
    </row>
    <row r="13550" spans="1:10" x14ac:dyDescent="0.25">
      <c r="A13550" t="s">
        <v>1611</v>
      </c>
      <c r="B13550" s="1" t="str">
        <f>HYPERLINK("http://framatome.com","framatome.com")</f>
        <v>framatome.com</v>
      </c>
      <c r="C13550" t="s">
        <v>433</v>
      </c>
      <c r="E13550">
        <v>310059</v>
      </c>
      <c r="F13550">
        <v>3.30583259470587E-7</v>
      </c>
      <c r="G13550">
        <v>112716</v>
      </c>
      <c r="H13550">
        <v>15098204</v>
      </c>
      <c r="I13550">
        <v>406743</v>
      </c>
      <c r="J13550">
        <v>4</v>
      </c>
    </row>
    <row r="13551" spans="1:10" x14ac:dyDescent="0.25">
      <c r="A13551" t="s">
        <v>1611</v>
      </c>
      <c r="B13551" s="1" t="str">
        <f>HYPERLINK("http://futuren-group.com","futuren-group.com")</f>
        <v>futuren-group.com</v>
      </c>
      <c r="C13551" t="s">
        <v>433</v>
      </c>
      <c r="F13551">
        <v>8.76588512610946E-9</v>
      </c>
      <c r="G13551">
        <v>8366045</v>
      </c>
      <c r="H13551">
        <v>12315399</v>
      </c>
      <c r="I13551">
        <v>20508931</v>
      </c>
      <c r="J13551">
        <v>4</v>
      </c>
    </row>
    <row r="13552" spans="1:10" x14ac:dyDescent="0.25">
      <c r="A13552" t="s">
        <v>1611</v>
      </c>
      <c r="B13552" s="1" t="str">
        <f>HYPERLINK("http://hynamics.com","hynamics.com")</f>
        <v>hynamics.com</v>
      </c>
      <c r="C13552" t="s">
        <v>433</v>
      </c>
      <c r="F13552">
        <v>3.4805838070338703E-8</v>
      </c>
      <c r="G13552">
        <v>1491716</v>
      </c>
      <c r="H13552">
        <v>13779087</v>
      </c>
      <c r="I13552">
        <v>6492972</v>
      </c>
      <c r="J13552">
        <v>3</v>
      </c>
    </row>
    <row r="13553" spans="1:10" x14ac:dyDescent="0.25">
      <c r="A13553" t="s">
        <v>1611</v>
      </c>
      <c r="B13553" s="1" t="str">
        <f>HYPERLINK("http://intercontrole.com","intercontrole.com")</f>
        <v>intercontrole.com</v>
      </c>
      <c r="C13553" t="s">
        <v>433</v>
      </c>
      <c r="F13553">
        <v>1.12514893601253E-8</v>
      </c>
      <c r="G13553">
        <v>5676744</v>
      </c>
      <c r="H13553">
        <v>12612549</v>
      </c>
      <c r="I13553">
        <v>16221666</v>
      </c>
      <c r="J13553">
        <v>6</v>
      </c>
    </row>
    <row r="13554" spans="1:10" x14ac:dyDescent="0.25">
      <c r="A13554" t="s">
        <v>1611</v>
      </c>
      <c r="B13554" s="1" t="str">
        <f>HYPERLINK("http://izivia.com","izivia.com")</f>
        <v>izivia.com</v>
      </c>
      <c r="C13554" t="s">
        <v>433</v>
      </c>
      <c r="F13554">
        <v>1.10296394882532E-7</v>
      </c>
      <c r="G13554">
        <v>362572</v>
      </c>
      <c r="H13554">
        <v>14009751</v>
      </c>
      <c r="I13554">
        <v>4001756</v>
      </c>
      <c r="J13554">
        <v>4</v>
      </c>
    </row>
    <row r="13555" spans="1:10" x14ac:dyDescent="0.25">
      <c r="A13555" t="s">
        <v>1611</v>
      </c>
      <c r="B13555" s="1" t="str">
        <f>HYPERLINK("http://nngoffshorewind.com","nngoffshorewind.com")</f>
        <v>nngoffshorewind.com</v>
      </c>
      <c r="C13555" t="s">
        <v>433</v>
      </c>
      <c r="F13555">
        <v>3.9443680046610201E-8</v>
      </c>
      <c r="G13555">
        <v>1308667</v>
      </c>
      <c r="H13555">
        <v>14376945</v>
      </c>
      <c r="I13555">
        <v>1213597</v>
      </c>
      <c r="J13555">
        <v>5</v>
      </c>
    </row>
    <row r="13556" spans="1:10" x14ac:dyDescent="0.25">
      <c r="A13556" t="s">
        <v>1611</v>
      </c>
      <c r="B13556" s="1" t="str">
        <f>HYPERLINK("http://photowatt.com","photowatt.com")</f>
        <v>photowatt.com</v>
      </c>
      <c r="C13556" t="s">
        <v>433</v>
      </c>
      <c r="F13556">
        <v>6.8368316207894405E-8</v>
      </c>
      <c r="G13556">
        <v>623927</v>
      </c>
      <c r="H13556">
        <v>16939562</v>
      </c>
      <c r="I13556">
        <v>113284</v>
      </c>
      <c r="J13556">
        <v>5</v>
      </c>
    </row>
    <row r="13557" spans="1:10" x14ac:dyDescent="0.25">
      <c r="A13557" t="s">
        <v>1611</v>
      </c>
      <c r="B13557" s="1" t="str">
        <f>HYPERLINK("http://pleurtuit.com","pleurtuit.com")</f>
        <v>pleurtuit.com</v>
      </c>
      <c r="C13557" t="s">
        <v>433</v>
      </c>
      <c r="F13557">
        <v>1.56061398903087E-8</v>
      </c>
      <c r="G13557">
        <v>3653439</v>
      </c>
      <c r="H13557">
        <v>14078844</v>
      </c>
      <c r="I13557">
        <v>2840343</v>
      </c>
      <c r="J13557">
        <v>6</v>
      </c>
    </row>
    <row r="13558" spans="1:10" x14ac:dyDescent="0.25">
      <c r="A13558" t="s">
        <v>1611</v>
      </c>
      <c r="B13558" s="1" t="str">
        <f>HYPERLINK("http://pod-point.com","pod-point.com")</f>
        <v>pod-point.com</v>
      </c>
      <c r="C13558" t="s">
        <v>433</v>
      </c>
      <c r="E13558">
        <v>149117</v>
      </c>
      <c r="F13558">
        <v>2.79102121922029E-7</v>
      </c>
      <c r="G13558">
        <v>133261</v>
      </c>
      <c r="H13558">
        <v>17158646</v>
      </c>
      <c r="I13558">
        <v>50316</v>
      </c>
      <c r="J13558">
        <v>7</v>
      </c>
    </row>
    <row r="13559" spans="1:10" x14ac:dyDescent="0.25">
      <c r="A13559" t="s">
        <v>1611</v>
      </c>
      <c r="B13559" s="1" t="str">
        <f>HYPERLINK("http://powerflex.com","powerflex.com")</f>
        <v>powerflex.com</v>
      </c>
      <c r="C13559" t="s">
        <v>433</v>
      </c>
      <c r="E13559">
        <v>567684</v>
      </c>
      <c r="F13559">
        <v>6.6395232982143505E-8</v>
      </c>
      <c r="G13559">
        <v>645435</v>
      </c>
      <c r="H13559">
        <v>14453933</v>
      </c>
      <c r="I13559">
        <v>1050792</v>
      </c>
      <c r="J13559">
        <v>6</v>
      </c>
    </row>
    <row r="13560" spans="1:10" x14ac:dyDescent="0.25">
      <c r="A13560" t="s">
        <v>1611</v>
      </c>
      <c r="B13560" s="1" t="str">
        <f>HYPERLINK("http://powerflexsystems.com","powerflexsystems.com")</f>
        <v>powerflexsystems.com</v>
      </c>
      <c r="C13560" t="s">
        <v>433</v>
      </c>
      <c r="J13560">
        <v>9</v>
      </c>
    </row>
    <row r="13561" spans="1:10" x14ac:dyDescent="0.25">
      <c r="A13561" t="s">
        <v>1611</v>
      </c>
      <c r="B13561" s="1" t="str">
        <f>HYPERLINK("http://rte-et-nous.com","rte-et-nous.com")</f>
        <v>rte-et-nous.com</v>
      </c>
      <c r="C13561" t="s">
        <v>433</v>
      </c>
      <c r="F13561">
        <v>8.4834718179594895E-9</v>
      </c>
      <c r="G13561">
        <v>8877041</v>
      </c>
      <c r="H13561">
        <v>12221478</v>
      </c>
      <c r="I13561">
        <v>22757756</v>
      </c>
      <c r="J13561">
        <v>6</v>
      </c>
    </row>
    <row r="13562" spans="1:10" x14ac:dyDescent="0.25">
      <c r="A13562" t="s">
        <v>1611</v>
      </c>
      <c r="B13562" s="1" t="str">
        <f>HYPERLINK("http://rte-france.com","rte-france.com")</f>
        <v>rte-france.com</v>
      </c>
      <c r="C13562" t="s">
        <v>433</v>
      </c>
      <c r="E13562">
        <v>85956</v>
      </c>
      <c r="F13562">
        <v>1.14059945251346E-6</v>
      </c>
      <c r="G13562">
        <v>33895</v>
      </c>
      <c r="H13562">
        <v>17373334</v>
      </c>
      <c r="I13562">
        <v>21192</v>
      </c>
      <c r="J13562">
        <v>4</v>
      </c>
    </row>
    <row r="13563" spans="1:10" x14ac:dyDescent="0.25">
      <c r="A13563" t="s">
        <v>1611</v>
      </c>
      <c r="B13563" s="1" t="str">
        <f>HYPERLINK("http://spieuk.com","spieuk.com")</f>
        <v>spieuk.com</v>
      </c>
      <c r="C13563" t="s">
        <v>433</v>
      </c>
      <c r="F13563">
        <v>1.6725659759754902E-8</v>
      </c>
      <c r="G13563">
        <v>3352291</v>
      </c>
      <c r="H13563">
        <v>13231390</v>
      </c>
      <c r="I13563">
        <v>11272439</v>
      </c>
      <c r="J13563">
        <v>9</v>
      </c>
    </row>
    <row r="13564" spans="1:10" x14ac:dyDescent="0.25">
      <c r="A13564" t="s">
        <v>1611</v>
      </c>
      <c r="B13564" s="1" t="str">
        <f>HYPERLINK("http://zephyro.com","zephyro.com")</f>
        <v>zephyro.com</v>
      </c>
      <c r="C13564" t="s">
        <v>433</v>
      </c>
      <c r="F13564">
        <v>5.33576102406228E-9</v>
      </c>
      <c r="G13564">
        <v>22990632</v>
      </c>
      <c r="H13564">
        <v>12452195</v>
      </c>
      <c r="I13564">
        <v>17969554</v>
      </c>
      <c r="J13564">
        <v>4</v>
      </c>
    </row>
    <row r="13565" spans="1:10" x14ac:dyDescent="0.25">
      <c r="A13565" t="s">
        <v>1611</v>
      </c>
      <c r="B13565" s="1" t="str">
        <f>HYPERLINK("http://edf-gas-deutschland.de","edf-gas-deutschland.de")</f>
        <v>edf-gas-deutschland.de</v>
      </c>
      <c r="C13565" t="s">
        <v>436</v>
      </c>
      <c r="D13565" t="s">
        <v>815</v>
      </c>
      <c r="F13565">
        <v>1.41020898738747E-8</v>
      </c>
      <c r="G13565">
        <v>4164917</v>
      </c>
      <c r="H13565">
        <v>11124204</v>
      </c>
      <c r="I13565">
        <v>32009617</v>
      </c>
      <c r="J13565">
        <v>3</v>
      </c>
    </row>
    <row r="13566" spans="1:10" x14ac:dyDescent="0.25">
      <c r="A13566" t="s">
        <v>1611</v>
      </c>
      <c r="B13566" s="1" t="str">
        <f>HYPERLINK("http://reetec.de","reetec.de")</f>
        <v>reetec.de</v>
      </c>
      <c r="C13566" t="s">
        <v>436</v>
      </c>
      <c r="D13566" t="s">
        <v>815</v>
      </c>
      <c r="F13566">
        <v>1.0130021765851399E-8</v>
      </c>
      <c r="G13566">
        <v>6616813</v>
      </c>
      <c r="H13566">
        <v>12246822</v>
      </c>
      <c r="I13566">
        <v>22076466</v>
      </c>
      <c r="J13566">
        <v>4</v>
      </c>
    </row>
    <row r="13567" spans="1:10" x14ac:dyDescent="0.25">
      <c r="A13567" t="s">
        <v>1611</v>
      </c>
      <c r="B13567" s="1" t="str">
        <f>HYPERLINK("http://dalkia.fi","dalkia.fi")</f>
        <v>dalkia.fi</v>
      </c>
      <c r="C13567" t="s">
        <v>445</v>
      </c>
      <c r="D13567" t="s">
        <v>823</v>
      </c>
      <c r="J13567">
        <v>4</v>
      </c>
    </row>
    <row r="13568" spans="1:10" x14ac:dyDescent="0.25">
      <c r="A13568" t="s">
        <v>1611</v>
      </c>
      <c r="B13568" s="1" t="str">
        <f>HYPERLINK("http://pod-point.fi","pod-point.fi")</f>
        <v>pod-point.fi</v>
      </c>
      <c r="C13568" t="s">
        <v>445</v>
      </c>
      <c r="D13568" t="s">
        <v>823</v>
      </c>
      <c r="J13568">
        <v>7</v>
      </c>
    </row>
    <row r="13569" spans="1:10" x14ac:dyDescent="0.25">
      <c r="A13569" t="s">
        <v>1611</v>
      </c>
      <c r="B13569" s="1" t="str">
        <f>HYPERLINK("http://podpoint.fi","podpoint.fi")</f>
        <v>podpoint.fi</v>
      </c>
      <c r="C13569" t="s">
        <v>445</v>
      </c>
      <c r="D13569" t="s">
        <v>823</v>
      </c>
      <c r="J13569">
        <v>7</v>
      </c>
    </row>
    <row r="13570" spans="1:10" x14ac:dyDescent="0.25">
      <c r="A13570" t="s">
        <v>1611</v>
      </c>
      <c r="B13570" s="1" t="str">
        <f>HYPERLINK("http://citegestion.fr","citegestion.fr")</f>
        <v>citegestion.fr</v>
      </c>
      <c r="C13570" t="s">
        <v>446</v>
      </c>
      <c r="D13570" t="s">
        <v>824</v>
      </c>
      <c r="F13570">
        <v>6.3730055798541596E-9</v>
      </c>
      <c r="G13570">
        <v>14651336</v>
      </c>
      <c r="H13570">
        <v>11116161</v>
      </c>
      <c r="I13570">
        <v>32090886</v>
      </c>
      <c r="J13570">
        <v>4</v>
      </c>
    </row>
    <row r="13571" spans="1:10" x14ac:dyDescent="0.25">
      <c r="A13571" t="s">
        <v>1611</v>
      </c>
      <c r="B13571" s="1" t="str">
        <f>HYPERLINK("http://concertation-s3renr-bfc.fr","concertation-s3renr-bfc.fr")</f>
        <v>concertation-s3renr-bfc.fr</v>
      </c>
      <c r="C13571" t="s">
        <v>446</v>
      </c>
      <c r="D13571" t="s">
        <v>824</v>
      </c>
      <c r="F13571">
        <v>4.6910606006272601E-9</v>
      </c>
      <c r="G13571">
        <v>41735355</v>
      </c>
      <c r="H13571">
        <v>9602240</v>
      </c>
      <c r="I13571">
        <v>64376711</v>
      </c>
      <c r="J13571">
        <v>6</v>
      </c>
    </row>
    <row r="13572" spans="1:10" x14ac:dyDescent="0.25">
      <c r="A13572" t="s">
        <v>1611</v>
      </c>
      <c r="B13572" s="1" t="str">
        <f>HYPERLINK("http://concertation-s3renr-paca.fr","concertation-s3renr-paca.fr")</f>
        <v>concertation-s3renr-paca.fr</v>
      </c>
      <c r="C13572" t="s">
        <v>446</v>
      </c>
      <c r="D13572" t="s">
        <v>824</v>
      </c>
      <c r="F13572">
        <v>9.7190619552718007E-9</v>
      </c>
      <c r="G13572">
        <v>7059002</v>
      </c>
      <c r="H13572">
        <v>12209408</v>
      </c>
      <c r="I13572">
        <v>23041830</v>
      </c>
      <c r="J13572">
        <v>6</v>
      </c>
    </row>
    <row r="13573" spans="1:10" x14ac:dyDescent="0.25">
      <c r="A13573" t="s">
        <v>1611</v>
      </c>
      <c r="B13573" s="1" t="str">
        <f>HYPERLINK("http://concerte.fr","concerte.fr")</f>
        <v>concerte.fr</v>
      </c>
      <c r="C13573" t="s">
        <v>446</v>
      </c>
      <c r="D13573" t="s">
        <v>824</v>
      </c>
      <c r="F13573">
        <v>4.9383152999350999E-8</v>
      </c>
      <c r="G13573">
        <v>937144</v>
      </c>
      <c r="H13573">
        <v>14446275</v>
      </c>
      <c r="I13573">
        <v>1056770</v>
      </c>
      <c r="J13573">
        <v>6</v>
      </c>
    </row>
    <row r="13574" spans="1:10" x14ac:dyDescent="0.25">
      <c r="A13574" t="s">
        <v>1611</v>
      </c>
      <c r="B13574" s="1" t="str">
        <f>HYPERLINK("http://dalkia.fr","dalkia.fr")</f>
        <v>dalkia.fr</v>
      </c>
      <c r="C13574" t="s">
        <v>446</v>
      </c>
      <c r="D13574" t="s">
        <v>824</v>
      </c>
      <c r="E13574">
        <v>448750</v>
      </c>
      <c r="F13574">
        <v>2.2118165778943E-7</v>
      </c>
      <c r="G13574">
        <v>170418</v>
      </c>
      <c r="H13574">
        <v>14815050</v>
      </c>
      <c r="I13574">
        <v>525172</v>
      </c>
      <c r="J13574">
        <v>4</v>
      </c>
    </row>
    <row r="13575" spans="1:10" x14ac:dyDescent="0.25">
      <c r="A13575" t="s">
        <v>1611</v>
      </c>
      <c r="B13575" s="1" t="str">
        <f>HYPERLINK("http://dalkiafroidsolutions.fr","dalkiafroidsolutions.fr")</f>
        <v>dalkiafroidsolutions.fr</v>
      </c>
      <c r="C13575" t="s">
        <v>446</v>
      </c>
      <c r="D13575" t="s">
        <v>824</v>
      </c>
      <c r="J13575">
        <v>4</v>
      </c>
    </row>
    <row r="13576" spans="1:10" x14ac:dyDescent="0.25">
      <c r="A13576" t="s">
        <v>1611</v>
      </c>
      <c r="B13576" s="1" t="str">
        <f>HYPERLINK("http://dalkiawastenergy.fr","dalkiawastenergy.fr")</f>
        <v>dalkiawastenergy.fr</v>
      </c>
      <c r="C13576" t="s">
        <v>446</v>
      </c>
      <c r="D13576" t="s">
        <v>824</v>
      </c>
      <c r="F13576">
        <v>3.3425765562195201E-8</v>
      </c>
      <c r="G13576">
        <v>1546452</v>
      </c>
      <c r="H13576">
        <v>12481339</v>
      </c>
      <c r="I13576">
        <v>17585940</v>
      </c>
      <c r="J13576">
        <v>4</v>
      </c>
    </row>
    <row r="13577" spans="1:10" x14ac:dyDescent="0.25">
      <c r="A13577" t="s">
        <v>1611</v>
      </c>
      <c r="B13577" s="1" t="str">
        <f>HYPERLINK("http://ecochaleurdebrest.fr","ecochaleurdebrest.fr")</f>
        <v>ecochaleurdebrest.fr</v>
      </c>
      <c r="C13577" t="s">
        <v>446</v>
      </c>
      <c r="D13577" t="s">
        <v>824</v>
      </c>
      <c r="F13577">
        <v>6.5849438771072002E-9</v>
      </c>
      <c r="G13577">
        <v>13734723</v>
      </c>
      <c r="H13577">
        <v>12243727</v>
      </c>
      <c r="I13577">
        <v>22156975</v>
      </c>
      <c r="J13577">
        <v>4</v>
      </c>
    </row>
    <row r="13578" spans="1:10" x14ac:dyDescent="0.25">
      <c r="A13578" t="s">
        <v>1611</v>
      </c>
      <c r="B13578" s="1" t="str">
        <f>HYPERLINK("http://edf.fr","edf.fr")</f>
        <v>edf.fr</v>
      </c>
      <c r="C13578" t="s">
        <v>446</v>
      </c>
      <c r="D13578" t="s">
        <v>824</v>
      </c>
      <c r="E13578">
        <v>9118</v>
      </c>
      <c r="F13578">
        <v>2.6746224023773201E-6</v>
      </c>
      <c r="G13578">
        <v>14223</v>
      </c>
      <c r="H13578">
        <v>17432872</v>
      </c>
      <c r="I13578">
        <v>17094</v>
      </c>
      <c r="J13578">
        <v>1</v>
      </c>
    </row>
    <row r="13579" spans="1:10" x14ac:dyDescent="0.25">
      <c r="A13579" t="s">
        <v>1611</v>
      </c>
      <c r="B13579" s="1" t="str">
        <f>HYPERLINK("http://edvance.fr","edvance.fr")</f>
        <v>edvance.fr</v>
      </c>
      <c r="C13579" t="s">
        <v>446</v>
      </c>
      <c r="D13579" t="s">
        <v>824</v>
      </c>
      <c r="F13579">
        <v>1.04532469489862E-8</v>
      </c>
      <c r="G13579">
        <v>6310351</v>
      </c>
      <c r="H13579">
        <v>12400907</v>
      </c>
      <c r="I13579">
        <v>18765909</v>
      </c>
      <c r="J13579">
        <v>4</v>
      </c>
    </row>
    <row r="13580" spans="1:10" x14ac:dyDescent="0.25">
      <c r="A13580" t="s">
        <v>1611</v>
      </c>
      <c r="B13580" s="1" t="str">
        <f>HYPERLINK("http://enedis.fr","enedis.fr")</f>
        <v>enedis.fr</v>
      </c>
      <c r="C13580" t="s">
        <v>446</v>
      </c>
      <c r="D13580" t="s">
        <v>824</v>
      </c>
      <c r="E13580">
        <v>35034</v>
      </c>
      <c r="F13580">
        <v>1.52490861961391E-6</v>
      </c>
      <c r="G13580">
        <v>25764</v>
      </c>
      <c r="H13580">
        <v>17248624</v>
      </c>
      <c r="I13580">
        <v>34166</v>
      </c>
      <c r="J13580">
        <v>3</v>
      </c>
    </row>
    <row r="13581" spans="1:10" x14ac:dyDescent="0.25">
      <c r="A13581" t="s">
        <v>1611</v>
      </c>
      <c r="B13581" s="1" t="str">
        <f>HYPERLINK("http://enerlis-energie.fr","enerlis-energie.fr")</f>
        <v>enerlis-energie.fr</v>
      </c>
      <c r="C13581" t="s">
        <v>446</v>
      </c>
      <c r="D13581" t="s">
        <v>824</v>
      </c>
      <c r="J13581">
        <v>4</v>
      </c>
    </row>
    <row r="13582" spans="1:10" x14ac:dyDescent="0.25">
      <c r="A13582" t="s">
        <v>1611</v>
      </c>
      <c r="B13582" s="1" t="str">
        <f>HYPERLINK("http://es-energies.fr","es-energies.fr")</f>
        <v>es-energies.fr</v>
      </c>
      <c r="C13582" t="s">
        <v>446</v>
      </c>
      <c r="D13582" t="s">
        <v>824</v>
      </c>
      <c r="F13582">
        <v>1.8711584121749901E-8</v>
      </c>
      <c r="G13582">
        <v>2887298</v>
      </c>
      <c r="H13582">
        <v>13776282</v>
      </c>
      <c r="I13582">
        <v>6558350</v>
      </c>
      <c r="J13582">
        <v>4</v>
      </c>
    </row>
    <row r="13583" spans="1:10" x14ac:dyDescent="0.25">
      <c r="A13583" t="s">
        <v>1611</v>
      </c>
      <c r="B13583" s="1" t="str">
        <f>HYPERLINK("http://hellocasa.fr","hellocasa.fr")</f>
        <v>hellocasa.fr</v>
      </c>
      <c r="C13583" t="s">
        <v>446</v>
      </c>
      <c r="D13583" t="s">
        <v>824</v>
      </c>
      <c r="F13583">
        <v>2.8063108846581399E-8</v>
      </c>
      <c r="G13583">
        <v>1833348</v>
      </c>
      <c r="H13583">
        <v>13949199</v>
      </c>
      <c r="I13583">
        <v>4185812</v>
      </c>
      <c r="J13583">
        <v>4</v>
      </c>
    </row>
    <row r="13584" spans="1:10" x14ac:dyDescent="0.25">
      <c r="A13584" t="s">
        <v>1611</v>
      </c>
      <c r="B13584" s="1" t="str">
        <f>HYPERLINK("http://izi-by-edf.fr","izi-by-edf.fr")</f>
        <v>izi-by-edf.fr</v>
      </c>
      <c r="C13584" t="s">
        <v>446</v>
      </c>
      <c r="D13584" t="s">
        <v>824</v>
      </c>
      <c r="E13584">
        <v>506161</v>
      </c>
      <c r="F13584">
        <v>1.4170079181497999E-7</v>
      </c>
      <c r="G13584">
        <v>274784</v>
      </c>
      <c r="H13584">
        <v>14257962</v>
      </c>
      <c r="I13584">
        <v>1426104</v>
      </c>
      <c r="J13584">
        <v>3</v>
      </c>
    </row>
    <row r="13585" spans="1:10" x14ac:dyDescent="0.25">
      <c r="A13585" t="s">
        <v>1611</v>
      </c>
      <c r="B13585" s="1" t="str">
        <f>HYPERLINK("http://izivia.fr","izivia.fr")</f>
        <v>izivia.fr</v>
      </c>
      <c r="C13585" t="s">
        <v>446</v>
      </c>
      <c r="D13585" t="s">
        <v>824</v>
      </c>
      <c r="J13585">
        <v>5</v>
      </c>
    </row>
    <row r="13586" spans="1:10" x14ac:dyDescent="0.25">
      <c r="A13586" t="s">
        <v>1611</v>
      </c>
      <c r="B13586" s="1" t="str">
        <f>HYPERLINK("http://luxel.fr","luxel.fr")</f>
        <v>luxel.fr</v>
      </c>
      <c r="C13586" t="s">
        <v>446</v>
      </c>
      <c r="D13586" t="s">
        <v>824</v>
      </c>
      <c r="F13586">
        <v>1.36823116479136E-8</v>
      </c>
      <c r="G13586">
        <v>4328223</v>
      </c>
      <c r="H13586">
        <v>13723839</v>
      </c>
      <c r="I13586">
        <v>9466907</v>
      </c>
      <c r="J13586">
        <v>4</v>
      </c>
    </row>
    <row r="13587" spans="1:10" x14ac:dyDescent="0.25">
      <c r="A13587" t="s">
        <v>1611</v>
      </c>
      <c r="B13587" s="1" t="str">
        <f>HYPERLINK("http://mobive.fr","mobive.fr")</f>
        <v>mobive.fr</v>
      </c>
      <c r="C13587" t="s">
        <v>446</v>
      </c>
      <c r="D13587" t="s">
        <v>824</v>
      </c>
      <c r="F13587">
        <v>2.5958112120569902E-8</v>
      </c>
      <c r="G13587">
        <v>1985057</v>
      </c>
      <c r="H13587">
        <v>13768720</v>
      </c>
      <c r="I13587">
        <v>6860112</v>
      </c>
      <c r="J13587">
        <v>5</v>
      </c>
    </row>
    <row r="13588" spans="1:10" x14ac:dyDescent="0.25">
      <c r="A13588" t="s">
        <v>1611</v>
      </c>
      <c r="B13588" s="1" t="str">
        <f>HYPERLINK("http://parc-eolien-en-mer-de-fecamp.fr","parc-eolien-en-mer-de-fecamp.fr")</f>
        <v>parc-eolien-en-mer-de-fecamp.fr</v>
      </c>
      <c r="C13588" t="s">
        <v>446</v>
      </c>
      <c r="D13588" t="s">
        <v>824</v>
      </c>
      <c r="F13588">
        <v>3.6714717094902101E-8</v>
      </c>
      <c r="G13588">
        <v>1423402</v>
      </c>
      <c r="H13588">
        <v>14082401</v>
      </c>
      <c r="I13588">
        <v>2800835</v>
      </c>
      <c r="J13588">
        <v>5</v>
      </c>
    </row>
    <row r="13589" spans="1:10" x14ac:dyDescent="0.25">
      <c r="A13589" t="s">
        <v>1611</v>
      </c>
      <c r="B13589" s="1" t="str">
        <f>HYPERLINK("http://raccordement-cigeo-rte.fr","raccordement-cigeo-rte.fr")</f>
        <v>raccordement-cigeo-rte.fr</v>
      </c>
      <c r="C13589" t="s">
        <v>446</v>
      </c>
      <c r="D13589" t="s">
        <v>824</v>
      </c>
      <c r="F13589">
        <v>9.2216106000819502E-9</v>
      </c>
      <c r="G13589">
        <v>7681033</v>
      </c>
      <c r="H13589">
        <v>12221717</v>
      </c>
      <c r="I13589">
        <v>22753497</v>
      </c>
      <c r="J13589">
        <v>6</v>
      </c>
    </row>
    <row r="13590" spans="1:10" x14ac:dyDescent="0.25">
      <c r="A13590" t="s">
        <v>1611</v>
      </c>
      <c r="B13590" s="1" t="str">
        <f>HYPERLINK("http://scuc.fr","scuc.fr")</f>
        <v>scuc.fr</v>
      </c>
      <c r="C13590" t="s">
        <v>446</v>
      </c>
      <c r="D13590" t="s">
        <v>824</v>
      </c>
      <c r="J13590">
        <v>4</v>
      </c>
    </row>
    <row r="13591" spans="1:10" x14ac:dyDescent="0.25">
      <c r="A13591" t="s">
        <v>1611</v>
      </c>
      <c r="B13591" s="1" t="str">
        <f>HYPERLINK("http://seinergie-courbevoie.fr","seinergie-courbevoie.fr")</f>
        <v>seinergie-courbevoie.fr</v>
      </c>
      <c r="C13591" t="s">
        <v>446</v>
      </c>
      <c r="D13591" t="s">
        <v>824</v>
      </c>
      <c r="F13591">
        <v>4.60972682609601E-9</v>
      </c>
      <c r="G13591">
        <v>46864294</v>
      </c>
      <c r="H13591">
        <v>8704082</v>
      </c>
      <c r="I13591">
        <v>69910696</v>
      </c>
      <c r="J13591">
        <v>4</v>
      </c>
    </row>
    <row r="13592" spans="1:10" x14ac:dyDescent="0.25">
      <c r="A13592" t="s">
        <v>1611</v>
      </c>
      <c r="B13592" s="1" t="str">
        <f>HYPERLINK("http://socodei.fr","socodei.fr")</f>
        <v>socodei.fr</v>
      </c>
      <c r="C13592" t="s">
        <v>446</v>
      </c>
      <c r="D13592" t="s">
        <v>824</v>
      </c>
      <c r="F13592">
        <v>1.10688102544183E-8</v>
      </c>
      <c r="G13592">
        <v>5808521</v>
      </c>
      <c r="H13592">
        <v>13192680</v>
      </c>
      <c r="I13592">
        <v>11590481</v>
      </c>
      <c r="J13592">
        <v>4</v>
      </c>
    </row>
    <row r="13593" spans="1:10" x14ac:dyDescent="0.25">
      <c r="A13593" t="s">
        <v>1611</v>
      </c>
      <c r="B13593" s="1" t="str">
        <f>HYPERLINK("http://sodetrel.fr","sodetrel.fr")</f>
        <v>sodetrel.fr</v>
      </c>
      <c r="C13593" t="s">
        <v>446</v>
      </c>
      <c r="D13593" t="s">
        <v>824</v>
      </c>
      <c r="F13593">
        <v>1.5009708877305699E-8</v>
      </c>
      <c r="G13593">
        <v>3836662</v>
      </c>
      <c r="H13593">
        <v>13770198</v>
      </c>
      <c r="I13593">
        <v>6740280</v>
      </c>
      <c r="J13593">
        <v>6</v>
      </c>
    </row>
    <row r="13594" spans="1:10" x14ac:dyDescent="0.25">
      <c r="A13594" t="s">
        <v>1611</v>
      </c>
      <c r="B13594" s="1" t="str">
        <f>HYPERLINK("http://somec-energie.fr","somec-energie.fr")</f>
        <v>somec-energie.fr</v>
      </c>
      <c r="C13594" t="s">
        <v>446</v>
      </c>
      <c r="D13594" t="s">
        <v>824</v>
      </c>
      <c r="F13594">
        <v>4.4697891377486803E-9</v>
      </c>
      <c r="G13594">
        <v>64619549</v>
      </c>
      <c r="H13594">
        <v>10728792</v>
      </c>
      <c r="I13594">
        <v>41021758</v>
      </c>
      <c r="J13594">
        <v>4</v>
      </c>
    </row>
    <row r="13595" spans="1:10" x14ac:dyDescent="0.25">
      <c r="A13595" t="s">
        <v>1611</v>
      </c>
      <c r="B13595" s="1" t="str">
        <f>HYPERLINK("http://edf.gf","edf.gf")</f>
        <v>edf.gf</v>
      </c>
      <c r="C13595" t="s">
        <v>638</v>
      </c>
      <c r="D13595" t="s">
        <v>959</v>
      </c>
      <c r="F13595">
        <v>2.6034660090744501E-8</v>
      </c>
      <c r="G13595">
        <v>1978917</v>
      </c>
      <c r="H13595">
        <v>12514325</v>
      </c>
      <c r="I13595">
        <v>17204395</v>
      </c>
      <c r="J13595">
        <v>2</v>
      </c>
    </row>
    <row r="13596" spans="1:10" x14ac:dyDescent="0.25">
      <c r="A13596" t="s">
        <v>1611</v>
      </c>
      <c r="B13596" s="1" t="str">
        <f>HYPERLINK("http://edf.gp","edf.gp")</f>
        <v>edf.gp</v>
      </c>
      <c r="C13596" t="s">
        <v>645</v>
      </c>
      <c r="F13596">
        <v>3.2121159900096598E-8</v>
      </c>
      <c r="G13596">
        <v>1609887</v>
      </c>
      <c r="H13596">
        <v>14077141</v>
      </c>
      <c r="I13596">
        <v>2872044</v>
      </c>
      <c r="J13596">
        <v>2</v>
      </c>
    </row>
    <row r="13597" spans="1:10" x14ac:dyDescent="0.25">
      <c r="A13597" t="s">
        <v>1611</v>
      </c>
      <c r="B13597" s="1" t="str">
        <f>HYPERLINK("http://aktinalakonias.gr","aktinalakonias.gr")</f>
        <v>aktinalakonias.gr</v>
      </c>
      <c r="C13597" t="s">
        <v>447</v>
      </c>
      <c r="D13597" t="s">
        <v>825</v>
      </c>
      <c r="J13597">
        <v>8</v>
      </c>
    </row>
    <row r="13598" spans="1:10" x14ac:dyDescent="0.25">
      <c r="A13598" t="s">
        <v>1611</v>
      </c>
      <c r="B13598" s="1" t="str">
        <f>HYPERLINK("http://eenhellas.gr","eenhellas.gr")</f>
        <v>eenhellas.gr</v>
      </c>
      <c r="C13598" t="s">
        <v>447</v>
      </c>
      <c r="D13598" t="s">
        <v>825</v>
      </c>
      <c r="F13598">
        <v>5.4971809486831501E-9</v>
      </c>
      <c r="G13598">
        <v>20933774</v>
      </c>
      <c r="H13598">
        <v>13763638</v>
      </c>
      <c r="I13598">
        <v>7994857</v>
      </c>
      <c r="J13598">
        <v>4</v>
      </c>
    </row>
    <row r="13599" spans="1:10" x14ac:dyDescent="0.25">
      <c r="A13599" t="s">
        <v>1611</v>
      </c>
      <c r="B13599" s="1" t="str">
        <f>HYPERLINK("http://orano.group","orano.group")</f>
        <v>orano.group</v>
      </c>
      <c r="C13599" t="s">
        <v>602</v>
      </c>
      <c r="E13599">
        <v>121683</v>
      </c>
      <c r="F13599">
        <v>3.0548358076488501E-7</v>
      </c>
      <c r="G13599">
        <v>121696</v>
      </c>
      <c r="H13599">
        <v>14825758</v>
      </c>
      <c r="I13599">
        <v>510742</v>
      </c>
      <c r="J13599">
        <v>6</v>
      </c>
    </row>
    <row r="13600" spans="1:10" x14ac:dyDescent="0.25">
      <c r="A13600" t="s">
        <v>1611</v>
      </c>
      <c r="B13600" s="1" t="str">
        <f>HYPERLINK("http://edf-re.ie","edf-re.ie")</f>
        <v>edf-re.ie</v>
      </c>
      <c r="C13600" t="s">
        <v>455</v>
      </c>
      <c r="D13600" t="s">
        <v>832</v>
      </c>
      <c r="F13600">
        <v>7.3378446258663904E-9</v>
      </c>
      <c r="G13600">
        <v>11389007</v>
      </c>
      <c r="H13600">
        <v>12342696</v>
      </c>
      <c r="I13600">
        <v>19897797</v>
      </c>
      <c r="J13600">
        <v>6</v>
      </c>
    </row>
    <row r="13601" spans="1:10" x14ac:dyDescent="0.25">
      <c r="A13601" t="s">
        <v>1611</v>
      </c>
      <c r="B13601" s="1" t="str">
        <f>HYPERLINK("http://attivaenergia.it","attivaenergia.it")</f>
        <v>attivaenergia.it</v>
      </c>
      <c r="C13601" t="s">
        <v>459</v>
      </c>
      <c r="D13601" t="s">
        <v>835</v>
      </c>
      <c r="F13601">
        <v>5.7747096531542503E-9</v>
      </c>
      <c r="G13601">
        <v>18288199</v>
      </c>
      <c r="H13601">
        <v>8294802</v>
      </c>
      <c r="I13601">
        <v>74571876</v>
      </c>
      <c r="J13601">
        <v>4</v>
      </c>
    </row>
    <row r="13602" spans="1:10" x14ac:dyDescent="0.25">
      <c r="A13602" t="s">
        <v>1611</v>
      </c>
      <c r="B13602" s="1" t="str">
        <f>HYPERLINK("http://edison.it","edison.it")</f>
        <v>edison.it</v>
      </c>
      <c r="C13602" t="s">
        <v>459</v>
      </c>
      <c r="D13602" t="s">
        <v>835</v>
      </c>
      <c r="E13602">
        <v>197016</v>
      </c>
      <c r="F13602">
        <v>2.1161009805272E-7</v>
      </c>
      <c r="G13602">
        <v>178552</v>
      </c>
      <c r="H13602">
        <v>14894191</v>
      </c>
      <c r="I13602">
        <v>465415</v>
      </c>
      <c r="J13602">
        <v>3</v>
      </c>
    </row>
    <row r="13603" spans="1:10" x14ac:dyDescent="0.25">
      <c r="A13603" t="s">
        <v>1611</v>
      </c>
      <c r="B13603" s="1" t="str">
        <f>HYPERLINK("http://edisonenergia.it","edisonenergia.it")</f>
        <v>edisonenergia.it</v>
      </c>
      <c r="C13603" t="s">
        <v>459</v>
      </c>
      <c r="D13603" t="s">
        <v>835</v>
      </c>
      <c r="E13603">
        <v>300814</v>
      </c>
      <c r="F13603">
        <v>1.0978929718686499E-7</v>
      </c>
      <c r="G13603">
        <v>364340</v>
      </c>
      <c r="H13603">
        <v>16862104</v>
      </c>
      <c r="I13603">
        <v>154953</v>
      </c>
      <c r="J13603">
        <v>4</v>
      </c>
    </row>
    <row r="13604" spans="1:10" x14ac:dyDescent="0.25">
      <c r="A13604" t="s">
        <v>1611</v>
      </c>
      <c r="B13604" s="1" t="str">
        <f>HYPERLINK("http://scuolaedison.it","scuolaedison.it")</f>
        <v>scuolaedison.it</v>
      </c>
      <c r="C13604" t="s">
        <v>459</v>
      </c>
      <c r="D13604" t="s">
        <v>835</v>
      </c>
      <c r="F13604">
        <v>5.6622908186728799E-9</v>
      </c>
      <c r="G13604">
        <v>19285125</v>
      </c>
      <c r="H13604">
        <v>10930968</v>
      </c>
      <c r="I13604">
        <v>35045592</v>
      </c>
      <c r="J13604">
        <v>5</v>
      </c>
    </row>
    <row r="13605" spans="1:10" x14ac:dyDescent="0.25">
      <c r="A13605" t="s">
        <v>1611</v>
      </c>
      <c r="B13605" s="1" t="str">
        <f>HYPERLINK("http://edf.mq","edf.mq")</f>
        <v>edf.mq</v>
      </c>
      <c r="C13605" t="s">
        <v>732</v>
      </c>
      <c r="D13605" t="s">
        <v>1009</v>
      </c>
      <c r="F13605">
        <v>3.2057528733805603E-8</v>
      </c>
      <c r="G13605">
        <v>1612631</v>
      </c>
      <c r="H13605">
        <v>12631828</v>
      </c>
      <c r="I13605">
        <v>15969567</v>
      </c>
      <c r="J13605">
        <v>2</v>
      </c>
    </row>
    <row r="13606" spans="1:10" x14ac:dyDescent="0.25">
      <c r="A13606" t="s">
        <v>1611</v>
      </c>
      <c r="B13606" s="1" t="str">
        <f>HYPERLINK("http://edf-re.mx","edf-re.mx")</f>
        <v>edf-re.mx</v>
      </c>
      <c r="C13606" t="s">
        <v>471</v>
      </c>
      <c r="D13606" t="s">
        <v>847</v>
      </c>
      <c r="F13606">
        <v>7.1709095488563602E-9</v>
      </c>
      <c r="G13606">
        <v>11820540</v>
      </c>
      <c r="H13606">
        <v>12442240</v>
      </c>
      <c r="I13606">
        <v>18119116</v>
      </c>
      <c r="J13606">
        <v>5</v>
      </c>
    </row>
    <row r="13607" spans="1:10" x14ac:dyDescent="0.25">
      <c r="A13607" t="s">
        <v>1611</v>
      </c>
      <c r="B13607" s="1" t="str">
        <f>HYPERLINK("http://atlanticshoreswind.net","atlanticshoreswind.net")</f>
        <v>atlanticshoreswind.net</v>
      </c>
      <c r="C13607" t="s">
        <v>474</v>
      </c>
      <c r="F13607">
        <v>5.53214740646924E-9</v>
      </c>
      <c r="G13607">
        <v>20562041</v>
      </c>
      <c r="H13607">
        <v>10524033</v>
      </c>
      <c r="I13607">
        <v>48962301</v>
      </c>
      <c r="J13607">
        <v>7</v>
      </c>
    </row>
    <row r="13608" spans="1:10" x14ac:dyDescent="0.25">
      <c r="A13608" t="s">
        <v>1611</v>
      </c>
      <c r="B13608" s="1" t="str">
        <f>HYPERLINK("http://edf-re.net","edf-re.net")</f>
        <v>edf-re.net</v>
      </c>
      <c r="C13608" t="s">
        <v>474</v>
      </c>
      <c r="J13608">
        <v>5</v>
      </c>
    </row>
    <row r="13609" spans="1:10" x14ac:dyDescent="0.25">
      <c r="A13609" t="s">
        <v>1611</v>
      </c>
      <c r="B13609" s="1" t="str">
        <f>HYPERLINK("http://nlf.uk.net","nlf.uk.net")</f>
        <v>nlf.uk.net</v>
      </c>
      <c r="C13609" t="s">
        <v>474</v>
      </c>
      <c r="J13609">
        <v>7</v>
      </c>
    </row>
    <row r="13610" spans="1:10" x14ac:dyDescent="0.25">
      <c r="A13610" t="s">
        <v>1611</v>
      </c>
      <c r="B13610" s="1" t="str">
        <f>HYPERLINK("http://sloecentrale.nl","sloecentrale.nl")</f>
        <v>sloecentrale.nl</v>
      </c>
      <c r="C13610" t="s">
        <v>477</v>
      </c>
      <c r="D13610" t="s">
        <v>852</v>
      </c>
      <c r="F13610">
        <v>1.10053264163604E-8</v>
      </c>
      <c r="G13610">
        <v>5855976</v>
      </c>
      <c r="H13610">
        <v>12427160</v>
      </c>
      <c r="I13610">
        <v>18344694</v>
      </c>
      <c r="J13610">
        <v>4</v>
      </c>
    </row>
    <row r="13611" spans="1:10" x14ac:dyDescent="0.25">
      <c r="A13611" t="s">
        <v>1611</v>
      </c>
      <c r="B13611" s="1" t="str">
        <f>HYPERLINK("http://pod-point.no","pod-point.no")</f>
        <v>pod-point.no</v>
      </c>
      <c r="C13611" t="s">
        <v>478</v>
      </c>
      <c r="D13611" t="s">
        <v>853</v>
      </c>
      <c r="F13611">
        <v>6.1959004815721202E-9</v>
      </c>
      <c r="G13611">
        <v>15557841</v>
      </c>
      <c r="H13611">
        <v>12114564</v>
      </c>
      <c r="I13611">
        <v>25616506</v>
      </c>
      <c r="J13611">
        <v>8</v>
      </c>
    </row>
    <row r="13612" spans="1:10" x14ac:dyDescent="0.25">
      <c r="A13612" t="s">
        <v>1611</v>
      </c>
      <c r="B13612" s="1" t="str">
        <f>HYPERLINK("http://inviron.org","inviron.org")</f>
        <v>inviron.org</v>
      </c>
      <c r="C13612" t="s">
        <v>481</v>
      </c>
      <c r="J13612">
        <v>8</v>
      </c>
    </row>
    <row r="13613" spans="1:10" x14ac:dyDescent="0.25">
      <c r="A13613" t="s">
        <v>1611</v>
      </c>
      <c r="B13613" s="1" t="str">
        <f>HYPERLINK("http://edf.pm","edf.pm")</f>
        <v>edf.pm</v>
      </c>
      <c r="C13613" t="s">
        <v>761</v>
      </c>
      <c r="D13613" t="s">
        <v>1015</v>
      </c>
      <c r="F13613">
        <v>1.3738508285307501E-8</v>
      </c>
      <c r="G13613">
        <v>4305728</v>
      </c>
      <c r="H13613">
        <v>14072573</v>
      </c>
      <c r="I13613">
        <v>3071736</v>
      </c>
      <c r="J13613">
        <v>2</v>
      </c>
    </row>
    <row r="13614" spans="1:10" x14ac:dyDescent="0.25">
      <c r="A13614" t="s">
        <v>1611</v>
      </c>
      <c r="B13614" s="1" t="str">
        <f>HYPERLINK("http://blythutilities.co.uk","blythutilities.co.uk")</f>
        <v>blythutilities.co.uk</v>
      </c>
      <c r="C13614" t="s">
        <v>506</v>
      </c>
      <c r="D13614" t="s">
        <v>880</v>
      </c>
      <c r="F13614">
        <v>4.4477802716220899E-9</v>
      </c>
      <c r="G13614">
        <v>73288312</v>
      </c>
      <c r="H13614">
        <v>10829472</v>
      </c>
      <c r="I13614">
        <v>37406364</v>
      </c>
      <c r="J13614">
        <v>9</v>
      </c>
    </row>
    <row r="13615" spans="1:10" x14ac:dyDescent="0.25">
      <c r="A13615" t="s">
        <v>1611</v>
      </c>
      <c r="B13615" s="1" t="str">
        <f>HYPERLINK("http://british-energy.co.uk","british-energy.co.uk")</f>
        <v>british-energy.co.uk</v>
      </c>
      <c r="C13615" t="s">
        <v>506</v>
      </c>
      <c r="D13615" t="s">
        <v>880</v>
      </c>
      <c r="F13615">
        <v>6.8969942859015397E-9</v>
      </c>
      <c r="G13615">
        <v>12643896</v>
      </c>
      <c r="H13615">
        <v>14376733</v>
      </c>
      <c r="I13615">
        <v>1214998</v>
      </c>
      <c r="J13615">
        <v>6</v>
      </c>
    </row>
    <row r="13616" spans="1:10" x14ac:dyDescent="0.25">
      <c r="A13616" t="s">
        <v>1611</v>
      </c>
      <c r="B13616" s="1" t="str">
        <f>HYPERLINK("http://capula.co.uk","capula.co.uk")</f>
        <v>capula.co.uk</v>
      </c>
      <c r="C13616" t="s">
        <v>506</v>
      </c>
      <c r="D13616" t="s">
        <v>880</v>
      </c>
      <c r="F13616">
        <v>1.13323797411524E-8</v>
      </c>
      <c r="G13616">
        <v>5620300</v>
      </c>
      <c r="H13616">
        <v>14074090</v>
      </c>
      <c r="I13616">
        <v>2957087</v>
      </c>
      <c r="J13616">
        <v>11</v>
      </c>
    </row>
    <row r="13617" spans="1:10" x14ac:dyDescent="0.25">
      <c r="A13617" t="s">
        <v>1611</v>
      </c>
      <c r="B13617" s="1" t="str">
        <f>HYPERLINK("http://energyassets.co.uk","energyassets.co.uk")</f>
        <v>energyassets.co.uk</v>
      </c>
      <c r="C13617" t="s">
        <v>506</v>
      </c>
      <c r="D13617" t="s">
        <v>880</v>
      </c>
      <c r="F13617">
        <v>9.3342670329123802E-9</v>
      </c>
      <c r="G13617">
        <v>7528840</v>
      </c>
      <c r="H13617">
        <v>12927092</v>
      </c>
      <c r="I13617">
        <v>13382872</v>
      </c>
      <c r="J13617">
        <v>6</v>
      </c>
    </row>
    <row r="13618" spans="1:10" x14ac:dyDescent="0.25">
      <c r="A13618" t="s">
        <v>1611</v>
      </c>
      <c r="B13618" s="1" t="str">
        <f>HYPERLINK("http://fegroup.co.uk","fegroup.co.uk")</f>
        <v>fegroup.co.uk</v>
      </c>
      <c r="C13618" t="s">
        <v>506</v>
      </c>
      <c r="D13618" t="s">
        <v>880</v>
      </c>
      <c r="J13618">
        <v>9</v>
      </c>
    </row>
    <row r="13619" spans="1:10" x14ac:dyDescent="0.25">
      <c r="A13619" t="s">
        <v>1611</v>
      </c>
      <c r="B13619" s="1" t="str">
        <f>HYPERLINK("http://hinkleysupplychain.co.uk","hinkleysupplychain.co.uk")</f>
        <v>hinkleysupplychain.co.uk</v>
      </c>
      <c r="C13619" t="s">
        <v>506</v>
      </c>
      <c r="D13619" t="s">
        <v>880</v>
      </c>
      <c r="F13619">
        <v>8.1338150714708195E-9</v>
      </c>
      <c r="G13619">
        <v>9683571</v>
      </c>
      <c r="H13619">
        <v>12624304</v>
      </c>
      <c r="I13619">
        <v>16043103</v>
      </c>
      <c r="J13619">
        <v>10</v>
      </c>
    </row>
    <row r="13620" spans="1:10" x14ac:dyDescent="0.25">
      <c r="A13620" t="s">
        <v>1611</v>
      </c>
      <c r="B13620" s="1" t="str">
        <f>HYPERLINK("http://imtech.co.uk","imtech.co.uk")</f>
        <v>imtech.co.uk</v>
      </c>
      <c r="C13620" t="s">
        <v>506</v>
      </c>
      <c r="D13620" t="s">
        <v>880</v>
      </c>
      <c r="F13620">
        <v>2.33939043612397E-8</v>
      </c>
      <c r="G13620">
        <v>2226400</v>
      </c>
      <c r="H13620">
        <v>13009225</v>
      </c>
      <c r="I13620">
        <v>12755205</v>
      </c>
      <c r="J13620">
        <v>8</v>
      </c>
    </row>
    <row r="13621" spans="1:10" x14ac:dyDescent="0.25">
      <c r="A13621" t="s">
        <v>1611</v>
      </c>
      <c r="B13621" s="1" t="str">
        <f>HYPERLINK("http://longfieldsolarfarm.co.uk","longfieldsolarfarm.co.uk")</f>
        <v>longfieldsolarfarm.co.uk</v>
      </c>
      <c r="C13621" t="s">
        <v>506</v>
      </c>
      <c r="D13621" t="s">
        <v>880</v>
      </c>
      <c r="F13621">
        <v>8.4370025763684894E-9</v>
      </c>
      <c r="G13621">
        <v>8968097</v>
      </c>
      <c r="H13621">
        <v>12343602</v>
      </c>
      <c r="I13621">
        <v>19881329</v>
      </c>
      <c r="J13621">
        <v>8</v>
      </c>
    </row>
    <row r="13622" spans="1:10" x14ac:dyDescent="0.25">
      <c r="A13622" t="s">
        <v>1611</v>
      </c>
      <c r="B13622" s="1" t="str">
        <f>HYPERLINK("http://edf-re.uk","edf-re.uk")</f>
        <v>edf-re.uk</v>
      </c>
      <c r="C13622" t="s">
        <v>506</v>
      </c>
      <c r="D13622" t="s">
        <v>880</v>
      </c>
      <c r="F13622">
        <v>3.46434780380991E-8</v>
      </c>
      <c r="G13622">
        <v>1497883</v>
      </c>
      <c r="H13622">
        <v>14079644</v>
      </c>
      <c r="I13622">
        <v>2830485</v>
      </c>
      <c r="J13622">
        <v>5</v>
      </c>
    </row>
    <row r="13623" spans="1:10" x14ac:dyDescent="0.25">
      <c r="A13623" t="s">
        <v>1612</v>
      </c>
      <c r="B13623" s="1" t="str">
        <f>HYPERLINK("http://firemonkeys.com.au","firemonkeys.com.au")</f>
        <v>firemonkeys.com.au</v>
      </c>
      <c r="C13623" t="s">
        <v>420</v>
      </c>
      <c r="D13623" t="s">
        <v>802</v>
      </c>
      <c r="E13623">
        <v>985527</v>
      </c>
      <c r="F13623">
        <v>9.1637852502998401E-8</v>
      </c>
      <c r="G13623">
        <v>444646</v>
      </c>
      <c r="H13623">
        <v>17071630</v>
      </c>
      <c r="I13623">
        <v>70486</v>
      </c>
      <c r="J13623">
        <v>3</v>
      </c>
    </row>
    <row r="13624" spans="1:10" x14ac:dyDescent="0.25">
      <c r="A13624" t="s">
        <v>1612</v>
      </c>
      <c r="B13624" s="1" t="str">
        <f>HYPERLINK("http://eadp.cloud","eadp.cloud")</f>
        <v>eadp.cloud</v>
      </c>
      <c r="C13624" t="s">
        <v>516</v>
      </c>
      <c r="J13624">
        <v>2</v>
      </c>
    </row>
    <row r="13625" spans="1:10" x14ac:dyDescent="0.25">
      <c r="A13625" t="s">
        <v>1612</v>
      </c>
      <c r="B13625" s="1" t="str">
        <f>HYPERLINK("http://bioware.com","bioware.com")</f>
        <v>bioware.com</v>
      </c>
      <c r="C13625" t="s">
        <v>433</v>
      </c>
      <c r="E13625">
        <v>25583</v>
      </c>
      <c r="F13625">
        <v>1.45098068921593E-6</v>
      </c>
      <c r="G13625">
        <v>26998</v>
      </c>
      <c r="H13625">
        <v>17379292</v>
      </c>
      <c r="I13625">
        <v>20723</v>
      </c>
      <c r="J13625">
        <v>3</v>
      </c>
    </row>
    <row r="13626" spans="1:10" x14ac:dyDescent="0.25">
      <c r="A13626" t="s">
        <v>1612</v>
      </c>
      <c r="B13626" s="1" t="str">
        <f>HYPERLINK("http://blammogames.com","blammogames.com")</f>
        <v>blammogames.com</v>
      </c>
      <c r="C13626" t="s">
        <v>433</v>
      </c>
      <c r="J13626">
        <v>3</v>
      </c>
    </row>
    <row r="13627" spans="1:10" x14ac:dyDescent="0.25">
      <c r="A13627" t="s">
        <v>1612</v>
      </c>
      <c r="B13627" s="1" t="str">
        <f>HYPERLINK("http://chaggle.com","chaggle.com")</f>
        <v>chaggle.com</v>
      </c>
      <c r="C13627" t="s">
        <v>433</v>
      </c>
      <c r="F13627">
        <v>4.5110768447727102E-9</v>
      </c>
      <c r="G13627">
        <v>57366438</v>
      </c>
      <c r="H13627">
        <v>11138592</v>
      </c>
      <c r="I13627">
        <v>31850656</v>
      </c>
      <c r="J13627">
        <v>4</v>
      </c>
    </row>
    <row r="13628" spans="1:10" x14ac:dyDescent="0.25">
      <c r="A13628" t="s">
        <v>1612</v>
      </c>
      <c r="B13628" s="1" t="str">
        <f>HYPERLINK("http://chillingo.com","chillingo.com")</f>
        <v>chillingo.com</v>
      </c>
      <c r="C13628" t="s">
        <v>433</v>
      </c>
      <c r="E13628">
        <v>638184</v>
      </c>
      <c r="F13628">
        <v>1.13515181983074E-7</v>
      </c>
      <c r="G13628">
        <v>351206</v>
      </c>
      <c r="H13628">
        <v>14686953</v>
      </c>
      <c r="I13628">
        <v>604325</v>
      </c>
      <c r="J13628">
        <v>5</v>
      </c>
    </row>
    <row r="13629" spans="1:10" x14ac:dyDescent="0.25">
      <c r="A13629" t="s">
        <v>1612</v>
      </c>
      <c r="B13629" s="1" t="str">
        <f>HYPERLINK("http://clickgamer.com","clickgamer.com")</f>
        <v>clickgamer.com</v>
      </c>
      <c r="C13629" t="s">
        <v>433</v>
      </c>
      <c r="F13629">
        <v>2.1470055088118598E-8</v>
      </c>
      <c r="G13629">
        <v>2452788</v>
      </c>
      <c r="H13629">
        <v>14145236</v>
      </c>
      <c r="I13629">
        <v>1901375</v>
      </c>
      <c r="J13629">
        <v>5</v>
      </c>
    </row>
    <row r="13630" spans="1:10" x14ac:dyDescent="0.25">
      <c r="A13630" t="s">
        <v>1612</v>
      </c>
      <c r="B13630" s="1" t="str">
        <f>HYPERLINK("http://codemasters.com","codemasters.com")</f>
        <v>codemasters.com</v>
      </c>
      <c r="C13630" t="s">
        <v>433</v>
      </c>
      <c r="E13630">
        <v>31344</v>
      </c>
      <c r="F13630">
        <v>5.50965466798074E-7</v>
      </c>
      <c r="G13630">
        <v>70238</v>
      </c>
      <c r="H13630">
        <v>17275278</v>
      </c>
      <c r="I13630">
        <v>30697</v>
      </c>
      <c r="J13630">
        <v>3</v>
      </c>
    </row>
    <row r="13631" spans="1:10" x14ac:dyDescent="0.25">
      <c r="A13631" t="s">
        <v>1612</v>
      </c>
      <c r="B13631" s="1" t="str">
        <f>HYPERLINK("http://criteriongames.com","criteriongames.com")</f>
        <v>criteriongames.com</v>
      </c>
      <c r="C13631" t="s">
        <v>433</v>
      </c>
      <c r="E13631">
        <v>494362</v>
      </c>
      <c r="F13631">
        <v>6.2393319295114194E-8</v>
      </c>
      <c r="G13631">
        <v>703578</v>
      </c>
      <c r="H13631">
        <v>14591221</v>
      </c>
      <c r="I13631">
        <v>694910</v>
      </c>
      <c r="J13631">
        <v>3</v>
      </c>
    </row>
    <row r="13632" spans="1:10" x14ac:dyDescent="0.25">
      <c r="A13632" t="s">
        <v>1612</v>
      </c>
      <c r="B13632" s="1" t="str">
        <f>HYPERLINK("http://dice.com","dice.com")</f>
        <v>dice.com</v>
      </c>
      <c r="C13632" t="s">
        <v>433</v>
      </c>
      <c r="E13632">
        <v>10381</v>
      </c>
      <c r="F13632">
        <v>3.3987041989651199E-6</v>
      </c>
      <c r="G13632">
        <v>11889</v>
      </c>
      <c r="H13632">
        <v>17745334</v>
      </c>
      <c r="I13632">
        <v>6445</v>
      </c>
      <c r="J13632">
        <v>6</v>
      </c>
    </row>
    <row r="13633" spans="1:10" x14ac:dyDescent="0.25">
      <c r="A13633" t="s">
        <v>1612</v>
      </c>
      <c r="B13633" s="1" t="str">
        <f>HYPERLINK("http://ea.com","ea.com")</f>
        <v>ea.com</v>
      </c>
      <c r="C13633" t="s">
        <v>433</v>
      </c>
      <c r="E13633">
        <v>411</v>
      </c>
      <c r="F13633">
        <v>1.6134276465995999E-5</v>
      </c>
      <c r="G13633">
        <v>2084</v>
      </c>
      <c r="H13633">
        <v>18421398</v>
      </c>
      <c r="I13633">
        <v>1898</v>
      </c>
      <c r="J13633">
        <v>1</v>
      </c>
    </row>
    <row r="13634" spans="1:10" x14ac:dyDescent="0.25">
      <c r="A13634" t="s">
        <v>1612</v>
      </c>
      <c r="B13634" s="1" t="str">
        <f>HYPERLINK("http://eaentertainment.com","eaentertainment.com")</f>
        <v>eaentertainment.com</v>
      </c>
      <c r="C13634" t="s">
        <v>433</v>
      </c>
      <c r="F13634">
        <v>4.5455653695543299E-9</v>
      </c>
      <c r="G13634">
        <v>52670894</v>
      </c>
      <c r="H13634">
        <v>10445170</v>
      </c>
      <c r="I13634">
        <v>52222778</v>
      </c>
      <c r="J13634">
        <v>3</v>
      </c>
    </row>
    <row r="13635" spans="1:10" x14ac:dyDescent="0.25">
      <c r="A13635" t="s">
        <v>1612</v>
      </c>
      <c r="B13635" s="1" t="str">
        <f>HYPERLINK("http://eamontreal.com","eamontreal.com")</f>
        <v>eamontreal.com</v>
      </c>
      <c r="C13635" t="s">
        <v>433</v>
      </c>
      <c r="F13635">
        <v>7.3533689656898302E-9</v>
      </c>
      <c r="G13635">
        <v>11353127</v>
      </c>
      <c r="H13635">
        <v>12535454</v>
      </c>
      <c r="I13635">
        <v>16982722</v>
      </c>
      <c r="J13635">
        <v>3</v>
      </c>
    </row>
    <row r="13636" spans="1:10" x14ac:dyDescent="0.25">
      <c r="A13636" t="s">
        <v>1612</v>
      </c>
      <c r="B13636" s="1" t="str">
        <f>HYPERLINK("http://easports.com","easports.com")</f>
        <v>easports.com</v>
      </c>
      <c r="C13636" t="s">
        <v>433</v>
      </c>
      <c r="E13636">
        <v>3833</v>
      </c>
      <c r="F13636">
        <v>1.27471572680672E-6</v>
      </c>
      <c r="G13636">
        <v>30547</v>
      </c>
      <c r="H13636">
        <v>15967798</v>
      </c>
      <c r="I13636">
        <v>366637</v>
      </c>
      <c r="J13636">
        <v>2</v>
      </c>
    </row>
    <row r="13637" spans="1:10" x14ac:dyDescent="0.25">
      <c r="A13637" t="s">
        <v>1612</v>
      </c>
      <c r="B13637" s="1" t="str">
        <f>HYPERLINK("http://frontrowio.com","frontrowio.com")</f>
        <v>frontrowio.com</v>
      </c>
      <c r="C13637" t="s">
        <v>433</v>
      </c>
      <c r="F13637">
        <v>4.7879210652612202E-9</v>
      </c>
      <c r="G13637">
        <v>36579419</v>
      </c>
      <c r="H13637">
        <v>12904622</v>
      </c>
      <c r="I13637">
        <v>13829940</v>
      </c>
      <c r="J13637">
        <v>7</v>
      </c>
    </row>
    <row r="13638" spans="1:10" x14ac:dyDescent="0.25">
      <c r="A13638" t="s">
        <v>1612</v>
      </c>
      <c r="B13638" s="1" t="str">
        <f>HYPERLINK("http://frostbite.com","frostbite.com")</f>
        <v>frostbite.com</v>
      </c>
      <c r="C13638" t="s">
        <v>433</v>
      </c>
      <c r="F13638">
        <v>5.8990268994756202E-8</v>
      </c>
      <c r="G13638">
        <v>751772</v>
      </c>
      <c r="H13638">
        <v>14835201</v>
      </c>
      <c r="I13638">
        <v>501630</v>
      </c>
      <c r="J13638">
        <v>2</v>
      </c>
    </row>
    <row r="13639" spans="1:10" x14ac:dyDescent="0.25">
      <c r="A13639" t="s">
        <v>1612</v>
      </c>
      <c r="B13639" s="1" t="str">
        <f>HYPERLINK("http://glu.com","glu.com")</f>
        <v>glu.com</v>
      </c>
      <c r="C13639" t="s">
        <v>433</v>
      </c>
      <c r="E13639">
        <v>81283</v>
      </c>
      <c r="F13639">
        <v>8.0847145855852504E-7</v>
      </c>
      <c r="G13639">
        <v>48814</v>
      </c>
      <c r="H13639">
        <v>17273542</v>
      </c>
      <c r="I13639">
        <v>30910</v>
      </c>
      <c r="J13639">
        <v>3</v>
      </c>
    </row>
    <row r="13640" spans="1:10" x14ac:dyDescent="0.25">
      <c r="A13640" t="s">
        <v>1612</v>
      </c>
      <c r="B13640" s="1" t="str">
        <f>HYPERLINK("http://infery.com","infery.com")</f>
        <v>infery.com</v>
      </c>
      <c r="C13640" t="s">
        <v>433</v>
      </c>
      <c r="F13640">
        <v>4.4438575575317103E-9</v>
      </c>
      <c r="G13640">
        <v>78289510</v>
      </c>
      <c r="H13640">
        <v>10373059</v>
      </c>
      <c r="I13640">
        <v>54768988</v>
      </c>
      <c r="J13640">
        <v>2</v>
      </c>
    </row>
    <row r="13641" spans="1:10" x14ac:dyDescent="0.25">
      <c r="A13641" t="s">
        <v>1612</v>
      </c>
      <c r="B13641" s="1" t="str">
        <f>HYPERLINK("http://jamdatmobile.com","jamdatmobile.com")</f>
        <v>jamdatmobile.com</v>
      </c>
      <c r="C13641" t="s">
        <v>433</v>
      </c>
      <c r="F13641">
        <v>6.7289170735339703E-9</v>
      </c>
      <c r="G13641">
        <v>13200861</v>
      </c>
      <c r="H13641">
        <v>13388581</v>
      </c>
      <c r="I13641">
        <v>10396579</v>
      </c>
      <c r="J13641">
        <v>4</v>
      </c>
    </row>
    <row r="13642" spans="1:10" x14ac:dyDescent="0.25">
      <c r="A13642" t="s">
        <v>1612</v>
      </c>
      <c r="B13642" s="1" t="str">
        <f>HYPERLINK("http://needforspeed.com","needforspeed.com")</f>
        <v>needforspeed.com</v>
      </c>
      <c r="C13642" t="s">
        <v>433</v>
      </c>
      <c r="E13642">
        <v>70987</v>
      </c>
      <c r="F13642">
        <v>3.3146239485731998E-7</v>
      </c>
      <c r="G13642">
        <v>112425</v>
      </c>
      <c r="H13642">
        <v>15137411</v>
      </c>
      <c r="I13642">
        <v>401542</v>
      </c>
      <c r="J13642">
        <v>5</v>
      </c>
    </row>
    <row r="13643" spans="1:10" x14ac:dyDescent="0.25">
      <c r="A13643" t="s">
        <v>1612</v>
      </c>
      <c r="B13643" s="1" t="str">
        <f>HYPERLINK("http://origin.com","origin.com")</f>
        <v>origin.com</v>
      </c>
      <c r="C13643" t="s">
        <v>433</v>
      </c>
      <c r="E13643">
        <v>3417</v>
      </c>
      <c r="F13643">
        <v>2.2868349995273998E-6</v>
      </c>
      <c r="G13643">
        <v>16134</v>
      </c>
      <c r="H13643">
        <v>16015848</v>
      </c>
      <c r="I13643">
        <v>366320</v>
      </c>
      <c r="J13643">
        <v>2</v>
      </c>
    </row>
    <row r="13644" spans="1:10" x14ac:dyDescent="0.25">
      <c r="A13644" t="s">
        <v>1612</v>
      </c>
      <c r="B13644" s="1" t="str">
        <f>HYPERLINK("http://playfish.com","playfish.com")</f>
        <v>playfish.com</v>
      </c>
      <c r="C13644" t="s">
        <v>433</v>
      </c>
      <c r="E13644">
        <v>664123</v>
      </c>
      <c r="F13644">
        <v>9.2561905036084098E-8</v>
      </c>
      <c r="G13644">
        <v>439610</v>
      </c>
      <c r="H13644">
        <v>14585690</v>
      </c>
      <c r="I13644">
        <v>701359</v>
      </c>
      <c r="J13644">
        <v>3</v>
      </c>
    </row>
    <row r="13645" spans="1:10" x14ac:dyDescent="0.25">
      <c r="A13645" t="s">
        <v>1612</v>
      </c>
      <c r="B13645" s="1" t="str">
        <f>HYPERLINK("http://pogo.com","pogo.com")</f>
        <v>pogo.com</v>
      </c>
      <c r="C13645" t="s">
        <v>433</v>
      </c>
      <c r="E13645">
        <v>17642</v>
      </c>
      <c r="F13645">
        <v>5.5751226372180704E-7</v>
      </c>
      <c r="G13645">
        <v>69552</v>
      </c>
      <c r="H13645">
        <v>17322592</v>
      </c>
      <c r="I13645">
        <v>25593</v>
      </c>
      <c r="J13645">
        <v>2</v>
      </c>
    </row>
    <row r="13646" spans="1:10" x14ac:dyDescent="0.25">
      <c r="A13646" t="s">
        <v>1612</v>
      </c>
      <c r="B13646" s="1" t="str">
        <f>HYPERLINK("http://popcap.com","popcap.com")</f>
        <v>popcap.com</v>
      </c>
      <c r="C13646" t="s">
        <v>433</v>
      </c>
      <c r="E13646">
        <v>7185</v>
      </c>
      <c r="F13646">
        <v>6.2088911609991904E-7</v>
      </c>
      <c r="G13646">
        <v>61708</v>
      </c>
      <c r="H13646">
        <v>17484600</v>
      </c>
      <c r="I13646">
        <v>14391</v>
      </c>
      <c r="J13646">
        <v>3</v>
      </c>
    </row>
    <row r="13647" spans="1:10" x14ac:dyDescent="0.25">
      <c r="A13647" t="s">
        <v>1612</v>
      </c>
      <c r="B13647" s="1" t="str">
        <f>HYPERLINK("http://respawn.com","respawn.com")</f>
        <v>respawn.com</v>
      </c>
      <c r="C13647" t="s">
        <v>433</v>
      </c>
      <c r="E13647">
        <v>4110</v>
      </c>
      <c r="F13647">
        <v>8.84725393879543E-7</v>
      </c>
      <c r="G13647">
        <v>45431</v>
      </c>
      <c r="H13647">
        <v>14805679</v>
      </c>
      <c r="I13647">
        <v>546978</v>
      </c>
      <c r="J13647">
        <v>3</v>
      </c>
    </row>
    <row r="13648" spans="1:10" x14ac:dyDescent="0.25">
      <c r="A13648" t="s">
        <v>1612</v>
      </c>
      <c r="B13648" s="1" t="str">
        <f>HYPERLINK("http://slightlymadstudios.com","slightlymadstudios.com")</f>
        <v>slightlymadstudios.com</v>
      </c>
      <c r="C13648" t="s">
        <v>433</v>
      </c>
      <c r="E13648">
        <v>507142</v>
      </c>
      <c r="F13648">
        <v>6.4608459799462905E-8</v>
      </c>
      <c r="G13648">
        <v>669436</v>
      </c>
      <c r="H13648">
        <v>14513240</v>
      </c>
      <c r="I13648">
        <v>817597</v>
      </c>
      <c r="J13648">
        <v>4</v>
      </c>
    </row>
    <row r="13649" spans="1:10" x14ac:dyDescent="0.25">
      <c r="A13649" t="s">
        <v>1612</v>
      </c>
      <c r="B13649" s="1" t="str">
        <f>HYPERLINK("http://softcannon.com","softcannon.com")</f>
        <v>softcannon.com</v>
      </c>
      <c r="C13649" t="s">
        <v>433</v>
      </c>
      <c r="F13649">
        <v>4.8532495414592202E-9</v>
      </c>
      <c r="G13649">
        <v>34036512</v>
      </c>
      <c r="H13649">
        <v>11267325</v>
      </c>
      <c r="I13649">
        <v>30781441</v>
      </c>
      <c r="J13649">
        <v>3</v>
      </c>
    </row>
    <row r="13650" spans="1:10" x14ac:dyDescent="0.25">
      <c r="A13650" t="s">
        <v>1612</v>
      </c>
      <c r="B13650" s="1" t="str">
        <f>HYPERLINK("http://sonidolocal.com","sonidolocal.com")</f>
        <v>sonidolocal.com</v>
      </c>
      <c r="C13650" t="s">
        <v>433</v>
      </c>
      <c r="F13650">
        <v>4.7337633284815203E-9</v>
      </c>
      <c r="G13650">
        <v>39159321</v>
      </c>
      <c r="H13650">
        <v>13060624</v>
      </c>
      <c r="I13650">
        <v>12338288</v>
      </c>
      <c r="J13650">
        <v>6</v>
      </c>
    </row>
    <row r="13651" spans="1:10" x14ac:dyDescent="0.25">
      <c r="A13651" t="s">
        <v>1612</v>
      </c>
      <c r="B13651" s="1" t="str">
        <f>HYPERLINK("http://spintop-games.com","spintop-games.com")</f>
        <v>spintop-games.com</v>
      </c>
      <c r="C13651" t="s">
        <v>433</v>
      </c>
      <c r="F13651">
        <v>8.2482621314990308E-9</v>
      </c>
      <c r="G13651">
        <v>9381935</v>
      </c>
      <c r="H13651">
        <v>14024197</v>
      </c>
      <c r="I13651">
        <v>3977050</v>
      </c>
      <c r="J13651">
        <v>6</v>
      </c>
    </row>
    <row r="13652" spans="1:10" x14ac:dyDescent="0.25">
      <c r="A13652" t="s">
        <v>1612</v>
      </c>
      <c r="B13652" s="1" t="str">
        <f>HYPERLINK("http://easports.es","easports.es")</f>
        <v>easports.es</v>
      </c>
      <c r="C13652" t="s">
        <v>443</v>
      </c>
      <c r="D13652" t="s">
        <v>822</v>
      </c>
      <c r="F13652">
        <v>4.5832048980139099E-9</v>
      </c>
      <c r="G13652">
        <v>49025179</v>
      </c>
      <c r="H13652">
        <v>10727480</v>
      </c>
      <c r="I13652">
        <v>41114669</v>
      </c>
      <c r="J13652">
        <v>3</v>
      </c>
    </row>
    <row r="13653" spans="1:10" x14ac:dyDescent="0.25">
      <c r="A13653" t="s">
        <v>1612</v>
      </c>
      <c r="B13653" s="1" t="str">
        <f>HYPERLINK("http://electronicarts.es","electronicarts.es")</f>
        <v>electronicarts.es</v>
      </c>
      <c r="C13653" t="s">
        <v>443</v>
      </c>
      <c r="D13653" t="s">
        <v>822</v>
      </c>
      <c r="F13653">
        <v>8.1100966449390804E-9</v>
      </c>
      <c r="G13653">
        <v>9724283</v>
      </c>
      <c r="H13653">
        <v>13938591</v>
      </c>
      <c r="I13653">
        <v>4420987</v>
      </c>
      <c r="J13653">
        <v>3</v>
      </c>
    </row>
    <row r="13654" spans="1:10" x14ac:dyDescent="0.25">
      <c r="A13654" t="s">
        <v>1612</v>
      </c>
      <c r="B13654" s="1" t="str">
        <f>HYPERLINK("http://armyoftwo.fi","armyoftwo.fi")</f>
        <v>armyoftwo.fi</v>
      </c>
      <c r="C13654" t="s">
        <v>445</v>
      </c>
      <c r="D13654" t="s">
        <v>823</v>
      </c>
      <c r="J13654">
        <v>4</v>
      </c>
    </row>
    <row r="13655" spans="1:10" x14ac:dyDescent="0.25">
      <c r="A13655" t="s">
        <v>1612</v>
      </c>
      <c r="B13655" s="1" t="str">
        <f>HYPERLINK("http://charmgirlsclub.fi","charmgirlsclub.fi")</f>
        <v>charmgirlsclub.fi</v>
      </c>
      <c r="C13655" t="s">
        <v>445</v>
      </c>
      <c r="D13655" t="s">
        <v>823</v>
      </c>
      <c r="J13655">
        <v>4</v>
      </c>
    </row>
    <row r="13656" spans="1:10" x14ac:dyDescent="0.25">
      <c r="A13656" t="s">
        <v>1612</v>
      </c>
      <c r="B13656" s="1" t="str">
        <f>HYPERLINK("http://commandandconquer.fi","commandandconquer.fi")</f>
        <v>commandandconquer.fi</v>
      </c>
      <c r="C13656" t="s">
        <v>445</v>
      </c>
      <c r="D13656" t="s">
        <v>823</v>
      </c>
      <c r="F13656">
        <v>4.7939198026289097E-9</v>
      </c>
      <c r="G13656">
        <v>36327246</v>
      </c>
      <c r="H13656">
        <v>12492021</v>
      </c>
      <c r="I13656">
        <v>17470392</v>
      </c>
      <c r="J13656">
        <v>4</v>
      </c>
    </row>
    <row r="13657" spans="1:10" x14ac:dyDescent="0.25">
      <c r="A13657" t="s">
        <v>1612</v>
      </c>
      <c r="B13657" s="1" t="str">
        <f>HYPERLINK("http://eacreate.fi","eacreate.fi")</f>
        <v>eacreate.fi</v>
      </c>
      <c r="C13657" t="s">
        <v>445</v>
      </c>
      <c r="D13657" t="s">
        <v>823</v>
      </c>
      <c r="J13657">
        <v>4</v>
      </c>
    </row>
    <row r="13658" spans="1:10" x14ac:dyDescent="0.25">
      <c r="A13658" t="s">
        <v>1612</v>
      </c>
      <c r="B13658" s="1" t="str">
        <f>HYPERLINK("http://eafootballworld.fi","eafootballworld.fi")</f>
        <v>eafootballworld.fi</v>
      </c>
      <c r="C13658" t="s">
        <v>445</v>
      </c>
      <c r="D13658" t="s">
        <v>823</v>
      </c>
      <c r="J13658">
        <v>4</v>
      </c>
    </row>
    <row r="13659" spans="1:10" x14ac:dyDescent="0.25">
      <c r="A13659" t="s">
        <v>1612</v>
      </c>
      <c r="B13659" s="1" t="str">
        <f>HYPERLINK("http://eagames.fi","eagames.fi")</f>
        <v>eagames.fi</v>
      </c>
      <c r="C13659" t="s">
        <v>445</v>
      </c>
      <c r="D13659" t="s">
        <v>823</v>
      </c>
      <c r="J13659">
        <v>4</v>
      </c>
    </row>
    <row r="13660" spans="1:10" x14ac:dyDescent="0.25">
      <c r="A13660" t="s">
        <v>1612</v>
      </c>
      <c r="B13660" s="1" t="str">
        <f>HYPERLINK("http://eamobile.fi","eamobile.fi")</f>
        <v>eamobile.fi</v>
      </c>
      <c r="C13660" t="s">
        <v>445</v>
      </c>
      <c r="D13660" t="s">
        <v>823</v>
      </c>
      <c r="J13660">
        <v>4</v>
      </c>
    </row>
    <row r="13661" spans="1:10" x14ac:dyDescent="0.25">
      <c r="A13661" t="s">
        <v>1612</v>
      </c>
      <c r="B13661" s="1" t="str">
        <f>HYPERLINK("http://easports.fi","easports.fi")</f>
        <v>easports.fi</v>
      </c>
      <c r="C13661" t="s">
        <v>445</v>
      </c>
      <c r="D13661" t="s">
        <v>823</v>
      </c>
      <c r="J13661">
        <v>4</v>
      </c>
    </row>
    <row r="13662" spans="1:10" x14ac:dyDescent="0.25">
      <c r="A13662" t="s">
        <v>1612</v>
      </c>
      <c r="B13662" s="1" t="str">
        <f>HYPERLINK("http://easportsfootball.fi","easportsfootball.fi")</f>
        <v>easportsfootball.fi</v>
      </c>
      <c r="C13662" t="s">
        <v>445</v>
      </c>
      <c r="D13662" t="s">
        <v>823</v>
      </c>
      <c r="J13662">
        <v>4</v>
      </c>
    </row>
    <row r="13663" spans="1:10" x14ac:dyDescent="0.25">
      <c r="A13663" t="s">
        <v>1612</v>
      </c>
      <c r="B13663" s="1" t="str">
        <f>HYPERLINK("http://eastore.fi","eastore.fi")</f>
        <v>eastore.fi</v>
      </c>
      <c r="C13663" t="s">
        <v>445</v>
      </c>
      <c r="D13663" t="s">
        <v>823</v>
      </c>
      <c r="J13663">
        <v>4</v>
      </c>
    </row>
    <row r="13664" spans="1:10" x14ac:dyDescent="0.25">
      <c r="A13664" t="s">
        <v>1612</v>
      </c>
      <c r="B13664" s="1" t="str">
        <f>HYPERLINK("http://electronicarts.fi","electronicarts.fi")</f>
        <v>electronicarts.fi</v>
      </c>
      <c r="C13664" t="s">
        <v>445</v>
      </c>
      <c r="D13664" t="s">
        <v>823</v>
      </c>
      <c r="J13664">
        <v>4</v>
      </c>
    </row>
    <row r="13665" spans="1:10" x14ac:dyDescent="0.25">
      <c r="A13665" t="s">
        <v>1612</v>
      </c>
      <c r="B13665" s="1" t="str">
        <f>HYPERLINK("http://masseffect2.fi","masseffect2.fi")</f>
        <v>masseffect2.fi</v>
      </c>
      <c r="C13665" t="s">
        <v>445</v>
      </c>
      <c r="D13665" t="s">
        <v>823</v>
      </c>
      <c r="J13665">
        <v>4</v>
      </c>
    </row>
    <row r="13666" spans="1:10" x14ac:dyDescent="0.25">
      <c r="A13666" t="s">
        <v>1612</v>
      </c>
      <c r="B13666" s="1" t="str">
        <f>HYPERLINK("http://medalofhonor.fi","medalofhonor.fi")</f>
        <v>medalofhonor.fi</v>
      </c>
      <c r="C13666" t="s">
        <v>445</v>
      </c>
      <c r="D13666" t="s">
        <v>823</v>
      </c>
      <c r="F13666">
        <v>4.45875138382218E-9</v>
      </c>
      <c r="G13666">
        <v>68154253</v>
      </c>
      <c r="H13666">
        <v>10724711</v>
      </c>
      <c r="I13666">
        <v>41373964</v>
      </c>
      <c r="J13666">
        <v>4</v>
      </c>
    </row>
    <row r="13667" spans="1:10" x14ac:dyDescent="0.25">
      <c r="A13667" t="s">
        <v>1612</v>
      </c>
      <c r="B13667" s="1" t="str">
        <f>HYPERLINK("http://mysims.fi","mysims.fi")</f>
        <v>mysims.fi</v>
      </c>
      <c r="C13667" t="s">
        <v>445</v>
      </c>
      <c r="D13667" t="s">
        <v>823</v>
      </c>
      <c r="J13667">
        <v>4</v>
      </c>
    </row>
    <row r="13668" spans="1:10" x14ac:dyDescent="0.25">
      <c r="A13668" t="s">
        <v>1612</v>
      </c>
      <c r="B13668" s="1" t="str">
        <f>HYPERLINK("http://needforspeed.fi","needforspeed.fi")</f>
        <v>needforspeed.fi</v>
      </c>
      <c r="C13668" t="s">
        <v>445</v>
      </c>
      <c r="D13668" t="s">
        <v>823</v>
      </c>
      <c r="J13668">
        <v>4</v>
      </c>
    </row>
    <row r="13669" spans="1:10" x14ac:dyDescent="0.25">
      <c r="A13669" t="s">
        <v>1612</v>
      </c>
      <c r="B13669" s="1" t="str">
        <f>HYPERLINK("http://sims.fi","sims.fi")</f>
        <v>sims.fi</v>
      </c>
      <c r="C13669" t="s">
        <v>445</v>
      </c>
      <c r="D13669" t="s">
        <v>823</v>
      </c>
      <c r="J13669">
        <v>4</v>
      </c>
    </row>
    <row r="13670" spans="1:10" x14ac:dyDescent="0.25">
      <c r="A13670" t="s">
        <v>1612</v>
      </c>
      <c r="B13670" s="1" t="str">
        <f>HYPERLINK("http://sims3.fi","sims3.fi")</f>
        <v>sims3.fi</v>
      </c>
      <c r="C13670" t="s">
        <v>445</v>
      </c>
      <c r="D13670" t="s">
        <v>823</v>
      </c>
      <c r="J13670">
        <v>4</v>
      </c>
    </row>
    <row r="13671" spans="1:10" x14ac:dyDescent="0.25">
      <c r="A13671" t="s">
        <v>1612</v>
      </c>
      <c r="B13671" s="1" t="str">
        <f>HYPERLINK("http://sims4.fi","sims4.fi")</f>
        <v>sims4.fi</v>
      </c>
      <c r="C13671" t="s">
        <v>445</v>
      </c>
      <c r="D13671" t="s">
        <v>823</v>
      </c>
      <c r="J13671">
        <v>2</v>
      </c>
    </row>
    <row r="13672" spans="1:10" x14ac:dyDescent="0.25">
      <c r="A13672" t="s">
        <v>1612</v>
      </c>
      <c r="B13672" s="1" t="str">
        <f>HYPERLINK("http://sims5.fi","sims5.fi")</f>
        <v>sims5.fi</v>
      </c>
      <c r="C13672" t="s">
        <v>445</v>
      </c>
      <c r="D13672" t="s">
        <v>823</v>
      </c>
      <c r="J13672">
        <v>2</v>
      </c>
    </row>
    <row r="13673" spans="1:10" x14ac:dyDescent="0.25">
      <c r="A13673" t="s">
        <v>1612</v>
      </c>
      <c r="B13673" s="1" t="str">
        <f>HYPERLINK("http://sims6.fi","sims6.fi")</f>
        <v>sims6.fi</v>
      </c>
      <c r="C13673" t="s">
        <v>445</v>
      </c>
      <c r="D13673" t="s">
        <v>823</v>
      </c>
      <c r="J13673">
        <v>2</v>
      </c>
    </row>
    <row r="13674" spans="1:10" x14ac:dyDescent="0.25">
      <c r="A13674" t="s">
        <v>1612</v>
      </c>
      <c r="B13674" s="1" t="str">
        <f>HYPERLINK("http://spore.fi","spore.fi")</f>
        <v>spore.fi</v>
      </c>
      <c r="C13674" t="s">
        <v>445</v>
      </c>
      <c r="D13674" t="s">
        <v>823</v>
      </c>
      <c r="J13674">
        <v>4</v>
      </c>
    </row>
    <row r="13675" spans="1:10" x14ac:dyDescent="0.25">
      <c r="A13675" t="s">
        <v>1612</v>
      </c>
      <c r="B13675" s="1" t="str">
        <f>HYPERLINK("http://thesims.fi","thesims.fi")</f>
        <v>thesims.fi</v>
      </c>
      <c r="C13675" t="s">
        <v>445</v>
      </c>
      <c r="D13675" t="s">
        <v>823</v>
      </c>
      <c r="J13675">
        <v>4</v>
      </c>
    </row>
    <row r="13676" spans="1:10" x14ac:dyDescent="0.25">
      <c r="A13676" t="s">
        <v>1612</v>
      </c>
      <c r="B13676" s="1" t="str">
        <f>HYPERLINK("http://thesims3.fi","thesims3.fi")</f>
        <v>thesims3.fi</v>
      </c>
      <c r="C13676" t="s">
        <v>445</v>
      </c>
      <c r="D13676" t="s">
        <v>823</v>
      </c>
      <c r="J13676">
        <v>4</v>
      </c>
    </row>
    <row r="13677" spans="1:10" x14ac:dyDescent="0.25">
      <c r="A13677" t="s">
        <v>1612</v>
      </c>
      <c r="B13677" s="1" t="str">
        <f>HYPERLINK("http://thesims4.fi","thesims4.fi")</f>
        <v>thesims4.fi</v>
      </c>
      <c r="C13677" t="s">
        <v>445</v>
      </c>
      <c r="D13677" t="s">
        <v>823</v>
      </c>
      <c r="J13677">
        <v>2</v>
      </c>
    </row>
    <row r="13678" spans="1:10" x14ac:dyDescent="0.25">
      <c r="A13678" t="s">
        <v>1612</v>
      </c>
      <c r="B13678" s="1" t="str">
        <f>HYPERLINK("http://thesims5.fi","thesims5.fi")</f>
        <v>thesims5.fi</v>
      </c>
      <c r="C13678" t="s">
        <v>445</v>
      </c>
      <c r="D13678" t="s">
        <v>823</v>
      </c>
      <c r="J13678">
        <v>2</v>
      </c>
    </row>
    <row r="13679" spans="1:10" x14ac:dyDescent="0.25">
      <c r="A13679" t="s">
        <v>1612</v>
      </c>
      <c r="B13679" s="1" t="str">
        <f>HYPERLINK("http://thesims6.fi","thesims6.fi")</f>
        <v>thesims6.fi</v>
      </c>
      <c r="C13679" t="s">
        <v>445</v>
      </c>
      <c r="D13679" t="s">
        <v>823</v>
      </c>
      <c r="J13679">
        <v>2</v>
      </c>
    </row>
    <row r="13680" spans="1:10" x14ac:dyDescent="0.25">
      <c r="A13680" t="s">
        <v>1612</v>
      </c>
      <c r="B13680" s="1" t="str">
        <f>HYPERLINK("http://easports.jp","easports.jp")</f>
        <v>easports.jp</v>
      </c>
      <c r="C13680" t="s">
        <v>461</v>
      </c>
      <c r="D13680" t="s">
        <v>837</v>
      </c>
      <c r="F13680">
        <v>7.5608885854857992E-9</v>
      </c>
      <c r="G13680">
        <v>10882565</v>
      </c>
      <c r="H13680">
        <v>12840815</v>
      </c>
      <c r="I13680">
        <v>14343277</v>
      </c>
      <c r="J13680">
        <v>3</v>
      </c>
    </row>
    <row r="13681" spans="1:10" x14ac:dyDescent="0.25">
      <c r="A13681" t="s">
        <v>1612</v>
      </c>
      <c r="B13681" s="1" t="str">
        <f>HYPERLINK("http://dice.se","dice.se")</f>
        <v>dice.se</v>
      </c>
      <c r="C13681" t="s">
        <v>495</v>
      </c>
      <c r="D13681" t="s">
        <v>869</v>
      </c>
      <c r="E13681">
        <v>24245</v>
      </c>
      <c r="F13681">
        <v>3.03775659072717E-7</v>
      </c>
      <c r="G13681">
        <v>122393</v>
      </c>
      <c r="H13681">
        <v>15279985</v>
      </c>
      <c r="I13681">
        <v>387684</v>
      </c>
      <c r="J13681">
        <v>3</v>
      </c>
    </row>
    <row r="13682" spans="1:10" x14ac:dyDescent="0.25">
      <c r="A13682" t="s">
        <v>1612</v>
      </c>
      <c r="B13682" s="1" t="str">
        <f>HYPERLINK("http://codemasters.co.uk","codemasters.co.uk")</f>
        <v>codemasters.co.uk</v>
      </c>
      <c r="C13682" t="s">
        <v>506</v>
      </c>
      <c r="D13682" t="s">
        <v>880</v>
      </c>
      <c r="E13682">
        <v>530768</v>
      </c>
      <c r="F13682">
        <v>3.9104820729387503E-8</v>
      </c>
      <c r="G13682">
        <v>1319050</v>
      </c>
      <c r="H13682">
        <v>14573003</v>
      </c>
      <c r="I13682">
        <v>732861</v>
      </c>
      <c r="J13682">
        <v>3</v>
      </c>
    </row>
    <row r="13683" spans="1:10" x14ac:dyDescent="0.25">
      <c r="A13683" t="s">
        <v>1613</v>
      </c>
      <c r="B13683" s="1" t="str">
        <f>HYPERLINK("http://caremarket.ai","caremarket.ai")</f>
        <v>caremarket.ai</v>
      </c>
      <c r="C13683" t="s">
        <v>524</v>
      </c>
      <c r="D13683" t="s">
        <v>892</v>
      </c>
      <c r="J13683">
        <v>2</v>
      </c>
    </row>
    <row r="13684" spans="1:10" x14ac:dyDescent="0.25">
      <c r="A13684" t="s">
        <v>1613</v>
      </c>
      <c r="B13684" s="1" t="str">
        <f>HYPERLINK("http://carespree.ai","carespree.ai")</f>
        <v>carespree.ai</v>
      </c>
      <c r="C13684" t="s">
        <v>524</v>
      </c>
      <c r="D13684" t="s">
        <v>892</v>
      </c>
      <c r="F13684">
        <v>4.67306220511806E-9</v>
      </c>
      <c r="G13684">
        <v>42757470</v>
      </c>
      <c r="H13684">
        <v>12357083</v>
      </c>
      <c r="I13684">
        <v>19642066</v>
      </c>
      <c r="J13684">
        <v>2</v>
      </c>
    </row>
    <row r="13685" spans="1:10" x14ac:dyDescent="0.25">
      <c r="A13685" t="s">
        <v>1613</v>
      </c>
      <c r="B13685" s="1" t="str">
        <f>HYPERLINK("http://sydneycare.ai","sydneycare.ai")</f>
        <v>sydneycare.ai</v>
      </c>
      <c r="C13685" t="s">
        <v>524</v>
      </c>
      <c r="D13685" t="s">
        <v>892</v>
      </c>
      <c r="F13685">
        <v>9.3040278205204707E-9</v>
      </c>
      <c r="G13685">
        <v>7567174</v>
      </c>
      <c r="H13685">
        <v>12279061</v>
      </c>
      <c r="I13685">
        <v>21327421</v>
      </c>
      <c r="J13685">
        <v>2</v>
      </c>
    </row>
    <row r="13686" spans="1:10" x14ac:dyDescent="0.25">
      <c r="A13686" t="s">
        <v>1613</v>
      </c>
      <c r="B13686" s="1" t="str">
        <f>HYPERLINK("http://aimspecialtyhealth.com","aimspecialtyhealth.com")</f>
        <v>aimspecialtyhealth.com</v>
      </c>
      <c r="C13686" t="s">
        <v>433</v>
      </c>
      <c r="E13686">
        <v>99694</v>
      </c>
      <c r="F13686">
        <v>1.3133325312819001E-7</v>
      </c>
      <c r="G13686">
        <v>297762</v>
      </c>
      <c r="H13686">
        <v>13589648</v>
      </c>
      <c r="I13686">
        <v>9669178</v>
      </c>
      <c r="J13686">
        <v>3</v>
      </c>
    </row>
    <row r="13687" spans="1:10" x14ac:dyDescent="0.25">
      <c r="A13687" t="s">
        <v>1613</v>
      </c>
      <c r="B13687" s="1" t="str">
        <f>HYPERLINK("http://amerigroup.com","amerigroup.com")</f>
        <v>amerigroup.com</v>
      </c>
      <c r="C13687" t="s">
        <v>433</v>
      </c>
      <c r="E13687">
        <v>151675</v>
      </c>
      <c r="F13687">
        <v>3.2348640079977302E-7</v>
      </c>
      <c r="G13687">
        <v>115097</v>
      </c>
      <c r="H13687">
        <v>14708327</v>
      </c>
      <c r="I13687">
        <v>585256</v>
      </c>
      <c r="J13687">
        <v>2</v>
      </c>
    </row>
    <row r="13688" spans="1:10" x14ac:dyDescent="0.25">
      <c r="A13688" t="s">
        <v>1613</v>
      </c>
      <c r="B13688" s="1" t="str">
        <f>HYPERLINK("http://amerigroupcorp.com","amerigroupcorp.com")</f>
        <v>amerigroupcorp.com</v>
      </c>
      <c r="C13688" t="s">
        <v>433</v>
      </c>
      <c r="F13688">
        <v>1.6977412672065E-8</v>
      </c>
      <c r="G13688">
        <v>3288574</v>
      </c>
      <c r="H13688">
        <v>13862040</v>
      </c>
      <c r="I13688">
        <v>6018033</v>
      </c>
      <c r="J13688">
        <v>3</v>
      </c>
    </row>
    <row r="13689" spans="1:10" x14ac:dyDescent="0.25">
      <c r="A13689" t="s">
        <v>1613</v>
      </c>
      <c r="B13689" s="1" t="str">
        <f>HYPERLINK("http://anthem.com","anthem.com")</f>
        <v>anthem.com</v>
      </c>
      <c r="C13689" t="s">
        <v>433</v>
      </c>
      <c r="E13689">
        <v>9963</v>
      </c>
      <c r="F13689">
        <v>3.8441526481403802E-6</v>
      </c>
      <c r="G13689">
        <v>10922</v>
      </c>
      <c r="H13689">
        <v>17330184</v>
      </c>
      <c r="I13689">
        <v>24883</v>
      </c>
      <c r="J13689">
        <v>2</v>
      </c>
    </row>
    <row r="13690" spans="1:10" x14ac:dyDescent="0.25">
      <c r="A13690" t="s">
        <v>1613</v>
      </c>
      <c r="B13690" s="1" t="str">
        <f>HYPERLINK("http://antheminc.com","antheminc.com")</f>
        <v>antheminc.com</v>
      </c>
      <c r="C13690" t="s">
        <v>433</v>
      </c>
      <c r="E13690">
        <v>131245</v>
      </c>
      <c r="F13690">
        <v>4.2743647008747201E-7</v>
      </c>
      <c r="G13690">
        <v>88123</v>
      </c>
      <c r="H13690">
        <v>14820005</v>
      </c>
      <c r="I13690">
        <v>517896</v>
      </c>
      <c r="J13690">
        <v>1</v>
      </c>
    </row>
    <row r="13691" spans="1:10" x14ac:dyDescent="0.25">
      <c r="A13691" t="s">
        <v>1613</v>
      </c>
      <c r="B13691" s="1" t="str">
        <f>HYPERLINK("http://anthemlemonaid.com","anthemlemonaid.com")</f>
        <v>anthemlemonaid.com</v>
      </c>
      <c r="C13691" t="s">
        <v>433</v>
      </c>
      <c r="F13691">
        <v>6.5001260597431098E-9</v>
      </c>
      <c r="G13691">
        <v>14077685</v>
      </c>
      <c r="H13691">
        <v>12317698</v>
      </c>
      <c r="I13691">
        <v>20458739</v>
      </c>
      <c r="J13691">
        <v>2</v>
      </c>
    </row>
    <row r="13692" spans="1:10" x14ac:dyDescent="0.25">
      <c r="A13692" t="s">
        <v>1613</v>
      </c>
      <c r="B13692" s="1" t="str">
        <f>HYPERLINK("http://bcbsdirect.com","bcbsdirect.com")</f>
        <v>bcbsdirect.com</v>
      </c>
      <c r="C13692" t="s">
        <v>433</v>
      </c>
      <c r="F13692">
        <v>5.8700022307166503E-9</v>
      </c>
      <c r="G13692">
        <v>17567958</v>
      </c>
      <c r="H13692">
        <v>10647186</v>
      </c>
      <c r="I13692">
        <v>43649758</v>
      </c>
      <c r="J13692">
        <v>2</v>
      </c>
    </row>
    <row r="13693" spans="1:10" x14ac:dyDescent="0.25">
      <c r="A13693" t="s">
        <v>1613</v>
      </c>
      <c r="B13693" s="1" t="str">
        <f>HYPERLINK("http://bcbsga.com","bcbsga.com")</f>
        <v>bcbsga.com</v>
      </c>
      <c r="C13693" t="s">
        <v>433</v>
      </c>
      <c r="E13693">
        <v>568219</v>
      </c>
      <c r="F13693">
        <v>7.1306556905084994E-8</v>
      </c>
      <c r="G13693">
        <v>592829</v>
      </c>
      <c r="H13693">
        <v>14262518</v>
      </c>
      <c r="I13693">
        <v>1414657</v>
      </c>
      <c r="J13693">
        <v>2</v>
      </c>
    </row>
    <row r="13694" spans="1:10" x14ac:dyDescent="0.25">
      <c r="A13694" t="s">
        <v>1613</v>
      </c>
      <c r="B13694" s="1" t="str">
        <f>HYPERLINK("http://beaconhealthoptions.com","beaconhealthoptions.com")</f>
        <v>beaconhealthoptions.com</v>
      </c>
      <c r="C13694" t="s">
        <v>433</v>
      </c>
      <c r="E13694">
        <v>70341</v>
      </c>
      <c r="F13694">
        <v>2.89660728579811E-7</v>
      </c>
      <c r="G13694">
        <v>128429</v>
      </c>
      <c r="H13694">
        <v>14238753</v>
      </c>
      <c r="I13694">
        <v>1521629</v>
      </c>
      <c r="J13694">
        <v>3</v>
      </c>
    </row>
    <row r="13695" spans="1:10" x14ac:dyDescent="0.25">
      <c r="A13695" t="s">
        <v>1613</v>
      </c>
      <c r="B13695" s="1" t="str">
        <f>HYPERLINK("http://beaconhealthstrategies.com","beaconhealthstrategies.com")</f>
        <v>beaconhealthstrategies.com</v>
      </c>
      <c r="C13695" t="s">
        <v>433</v>
      </c>
      <c r="F13695">
        <v>1.5329852285200101E-8</v>
      </c>
      <c r="G13695">
        <v>3736724</v>
      </c>
      <c r="H13695">
        <v>13778250</v>
      </c>
      <c r="I13695">
        <v>6523741</v>
      </c>
      <c r="J13695">
        <v>6</v>
      </c>
    </row>
    <row r="13696" spans="1:10" x14ac:dyDescent="0.25">
      <c r="A13696" t="s">
        <v>1613</v>
      </c>
      <c r="B13696" s="1" t="str">
        <f>HYPERLINK("http://betterhealthflorida.com","betterhealthflorida.com")</f>
        <v>betterhealthflorida.com</v>
      </c>
      <c r="C13696" t="s">
        <v>433</v>
      </c>
      <c r="E13696">
        <v>942654</v>
      </c>
      <c r="F13696">
        <v>1.2985958875863601E-8</v>
      </c>
      <c r="G13696">
        <v>4638293</v>
      </c>
      <c r="H13696">
        <v>13919244</v>
      </c>
      <c r="I13696">
        <v>5935649</v>
      </c>
      <c r="J13696">
        <v>2</v>
      </c>
    </row>
    <row r="13697" spans="1:10" x14ac:dyDescent="0.25">
      <c r="A13697" t="s">
        <v>1613</v>
      </c>
      <c r="B13697" s="1" t="str">
        <f>HYPERLINK("http://bluemedadv.com","bluemedadv.com")</f>
        <v>bluemedadv.com</v>
      </c>
      <c r="C13697" t="s">
        <v>433</v>
      </c>
      <c r="F13697">
        <v>4.6383603626599097E-9</v>
      </c>
      <c r="G13697">
        <v>44884053</v>
      </c>
      <c r="H13697">
        <v>10352962</v>
      </c>
      <c r="I13697">
        <v>55902895</v>
      </c>
      <c r="J13697">
        <v>2</v>
      </c>
    </row>
    <row r="13698" spans="1:10" x14ac:dyDescent="0.25">
      <c r="A13698" t="s">
        <v>1613</v>
      </c>
      <c r="B13698" s="1" t="str">
        <f>HYPERLINK("http://carelon.com","carelon.com")</f>
        <v>carelon.com</v>
      </c>
      <c r="C13698" t="s">
        <v>433</v>
      </c>
      <c r="E13698">
        <v>968409</v>
      </c>
      <c r="F13698">
        <v>6.3466116134070801E-8</v>
      </c>
      <c r="G13698">
        <v>684723</v>
      </c>
      <c r="H13698">
        <v>14133944</v>
      </c>
      <c r="I13698">
        <v>1983779</v>
      </c>
      <c r="J13698">
        <v>3</v>
      </c>
    </row>
    <row r="13699" spans="1:10" x14ac:dyDescent="0.25">
      <c r="A13699" t="s">
        <v>1613</v>
      </c>
      <c r="B13699" s="1" t="str">
        <f>HYPERLINK("http://caremore.com","caremore.com")</f>
        <v>caremore.com</v>
      </c>
      <c r="C13699" t="s">
        <v>433</v>
      </c>
      <c r="E13699">
        <v>165671</v>
      </c>
      <c r="F13699">
        <v>6.6719354809151599E-8</v>
      </c>
      <c r="G13699">
        <v>641702</v>
      </c>
      <c r="H13699">
        <v>14281077</v>
      </c>
      <c r="I13699">
        <v>1378899</v>
      </c>
      <c r="J13699">
        <v>3</v>
      </c>
    </row>
    <row r="13700" spans="1:10" x14ac:dyDescent="0.25">
      <c r="A13700" t="s">
        <v>1613</v>
      </c>
      <c r="B13700" s="1" t="str">
        <f>HYPERLINK("http://caremorehealthplan.com","caremorehealthplan.com")</f>
        <v>caremorehealthplan.com</v>
      </c>
      <c r="C13700" t="s">
        <v>433</v>
      </c>
      <c r="F13700">
        <v>4.4972274886861001E-9</v>
      </c>
      <c r="G13700">
        <v>59360610</v>
      </c>
      <c r="H13700">
        <v>10621778</v>
      </c>
      <c r="I13700">
        <v>44211652</v>
      </c>
      <c r="J13700">
        <v>3</v>
      </c>
    </row>
    <row r="13701" spans="1:10" x14ac:dyDescent="0.25">
      <c r="A13701" t="s">
        <v>1613</v>
      </c>
      <c r="B13701" s="1" t="str">
        <f>HYPERLINK("http://caremorehealthsystem.com","caremorehealthsystem.com")</f>
        <v>caremorehealthsystem.com</v>
      </c>
      <c r="C13701" t="s">
        <v>433</v>
      </c>
      <c r="F13701">
        <v>1.3518977749525E-8</v>
      </c>
      <c r="G13701">
        <v>4395997</v>
      </c>
      <c r="H13701">
        <v>13541187</v>
      </c>
      <c r="I13701">
        <v>9905239</v>
      </c>
      <c r="J13701">
        <v>7</v>
      </c>
    </row>
    <row r="13702" spans="1:10" x14ac:dyDescent="0.25">
      <c r="A13702" t="s">
        <v>1613</v>
      </c>
      <c r="B13702" s="1" t="str">
        <f>HYPERLINK("http://clearhealthalliance.com","clearhealthalliance.com")</f>
        <v>clearhealthalliance.com</v>
      </c>
      <c r="C13702" t="s">
        <v>433</v>
      </c>
      <c r="F13702">
        <v>2.8755946787298499E-8</v>
      </c>
      <c r="G13702">
        <v>1789747</v>
      </c>
      <c r="H13702">
        <v>13285493</v>
      </c>
      <c r="I13702">
        <v>10893407</v>
      </c>
      <c r="J13702">
        <v>2</v>
      </c>
    </row>
    <row r="13703" spans="1:10" x14ac:dyDescent="0.25">
      <c r="A13703" t="s">
        <v>1613</v>
      </c>
      <c r="B13703" s="1" t="str">
        <f>HYPERLINK("http://decare.com","decare.com")</f>
        <v>decare.com</v>
      </c>
      <c r="C13703" t="s">
        <v>433</v>
      </c>
      <c r="E13703">
        <v>200317</v>
      </c>
      <c r="F13703">
        <v>1.40315512350631E-8</v>
      </c>
      <c r="G13703">
        <v>4190853</v>
      </c>
      <c r="H13703">
        <v>13764540</v>
      </c>
      <c r="I13703">
        <v>7241778</v>
      </c>
      <c r="J13703">
        <v>2</v>
      </c>
    </row>
    <row r="13704" spans="1:10" x14ac:dyDescent="0.25">
      <c r="A13704" t="s">
        <v>1613</v>
      </c>
      <c r="B13704" s="1" t="str">
        <f>HYPERLINK("http://elevancehealth.com","elevancehealth.com")</f>
        <v>elevancehealth.com</v>
      </c>
      <c r="C13704" t="s">
        <v>433</v>
      </c>
      <c r="E13704">
        <v>111895</v>
      </c>
      <c r="F13704">
        <v>4.04203257730266E-7</v>
      </c>
      <c r="G13704">
        <v>92917</v>
      </c>
      <c r="H13704">
        <v>14269040</v>
      </c>
      <c r="I13704">
        <v>1402564</v>
      </c>
      <c r="J13704">
        <v>2</v>
      </c>
    </row>
    <row r="13705" spans="1:10" x14ac:dyDescent="0.25">
      <c r="A13705" t="s">
        <v>1613</v>
      </c>
      <c r="B13705" s="1" t="str">
        <f>HYPERLINK("http://empireblue.com","empireblue.com")</f>
        <v>empireblue.com</v>
      </c>
      <c r="C13705" t="s">
        <v>433</v>
      </c>
      <c r="E13705">
        <v>117002</v>
      </c>
      <c r="F13705">
        <v>3.0042414550132999E-7</v>
      </c>
      <c r="G13705">
        <v>123794</v>
      </c>
      <c r="H13705">
        <v>14659574</v>
      </c>
      <c r="I13705">
        <v>620757</v>
      </c>
      <c r="J13705">
        <v>2</v>
      </c>
    </row>
    <row r="13706" spans="1:10" x14ac:dyDescent="0.25">
      <c r="A13706" t="s">
        <v>1613</v>
      </c>
      <c r="B13706" s="1" t="str">
        <f>HYPERLINK("http://empirehealthcare.com","empirehealthcare.com")</f>
        <v>empirehealthcare.com</v>
      </c>
      <c r="C13706" t="s">
        <v>433</v>
      </c>
      <c r="F13706">
        <v>8.90493911782847E-9</v>
      </c>
      <c r="G13706">
        <v>8136397</v>
      </c>
      <c r="H13706">
        <v>13040190</v>
      </c>
      <c r="I13706">
        <v>12624570</v>
      </c>
      <c r="J13706">
        <v>2</v>
      </c>
    </row>
    <row r="13707" spans="1:10" x14ac:dyDescent="0.25">
      <c r="A13707" t="s">
        <v>1613</v>
      </c>
      <c r="B13707" s="1" t="str">
        <f>HYPERLINK("http://fbhpartners.com","fbhpartners.com")</f>
        <v>fbhpartners.com</v>
      </c>
      <c r="C13707" t="s">
        <v>433</v>
      </c>
      <c r="F13707">
        <v>1.3709312117636701E-8</v>
      </c>
      <c r="G13707">
        <v>4317440</v>
      </c>
      <c r="H13707">
        <v>10118218</v>
      </c>
      <c r="I13707">
        <v>59708071</v>
      </c>
      <c r="J13707">
        <v>6</v>
      </c>
    </row>
    <row r="13708" spans="1:10" x14ac:dyDescent="0.25">
      <c r="A13708" t="s">
        <v>1613</v>
      </c>
      <c r="B13708" s="1" t="str">
        <f>HYPERLINK("http://fhchealthsystems.com","fhchealthsystems.com")</f>
        <v>fhchealthsystems.com</v>
      </c>
      <c r="C13708" t="s">
        <v>433</v>
      </c>
      <c r="F13708">
        <v>1.01937521381413E-8</v>
      </c>
      <c r="G13708">
        <v>6553340</v>
      </c>
      <c r="H13708">
        <v>14414927</v>
      </c>
      <c r="I13708">
        <v>1122925</v>
      </c>
      <c r="J13708">
        <v>6</v>
      </c>
    </row>
    <row r="13709" spans="1:10" x14ac:dyDescent="0.25">
      <c r="A13709" t="s">
        <v>1613</v>
      </c>
      <c r="B13709" s="1" t="str">
        <f>HYPERLINK("http://freedomhealth.com","freedomhealth.com")</f>
        <v>freedomhealth.com</v>
      </c>
      <c r="C13709" t="s">
        <v>433</v>
      </c>
      <c r="E13709">
        <v>598245</v>
      </c>
      <c r="F13709">
        <v>3.7911085050913097E-8</v>
      </c>
      <c r="G13709">
        <v>1365015</v>
      </c>
      <c r="H13709">
        <v>13407326</v>
      </c>
      <c r="I13709">
        <v>10347929</v>
      </c>
      <c r="J13709">
        <v>4</v>
      </c>
    </row>
    <row r="13710" spans="1:10" x14ac:dyDescent="0.25">
      <c r="A13710" t="s">
        <v>1613</v>
      </c>
      <c r="B13710" s="1" t="str">
        <f>HYPERLINK("http://healthlink.com","healthlink.com")</f>
        <v>healthlink.com</v>
      </c>
      <c r="C13710" t="s">
        <v>433</v>
      </c>
      <c r="E13710">
        <v>139411</v>
      </c>
      <c r="F13710">
        <v>7.6305531012675095E-8</v>
      </c>
      <c r="G13710">
        <v>550200</v>
      </c>
      <c r="H13710">
        <v>14590789</v>
      </c>
      <c r="I13710">
        <v>695420</v>
      </c>
      <c r="J13710">
        <v>2</v>
      </c>
    </row>
    <row r="13711" spans="1:10" x14ac:dyDescent="0.25">
      <c r="A13711" t="s">
        <v>1613</v>
      </c>
      <c r="B13711" s="1" t="str">
        <f>HYPERLINK("http://healthsun.com","healthsun.com")</f>
        <v>healthsun.com</v>
      </c>
      <c r="C13711" t="s">
        <v>433</v>
      </c>
      <c r="F13711">
        <v>1.8258756665259601E-8</v>
      </c>
      <c r="G13711">
        <v>2975471</v>
      </c>
      <c r="H13711">
        <v>13489217</v>
      </c>
      <c r="I13711">
        <v>9989315</v>
      </c>
      <c r="J13711">
        <v>3</v>
      </c>
    </row>
    <row r="13712" spans="1:10" x14ac:dyDescent="0.25">
      <c r="A13712" t="s">
        <v>1613</v>
      </c>
      <c r="B13712" s="1" t="str">
        <f>HYPERLINK("http://healthybluekansas.com","healthybluekansas.com")</f>
        <v>healthybluekansas.com</v>
      </c>
      <c r="C13712" t="s">
        <v>433</v>
      </c>
      <c r="F13712">
        <v>4.4587143232359099E-9</v>
      </c>
      <c r="G13712">
        <v>68165998</v>
      </c>
      <c r="H13712">
        <v>10352338</v>
      </c>
      <c r="I13712">
        <v>56063393</v>
      </c>
      <c r="J13712">
        <v>2</v>
      </c>
    </row>
    <row r="13713" spans="1:10" x14ac:dyDescent="0.25">
      <c r="A13713" t="s">
        <v>1613</v>
      </c>
      <c r="B13713" s="1" t="str">
        <f>HYPERLINK("http://healthybluela.com","healthybluela.com")</f>
        <v>healthybluela.com</v>
      </c>
      <c r="C13713" t="s">
        <v>433</v>
      </c>
      <c r="F13713">
        <v>1.5636114820069399E-8</v>
      </c>
      <c r="G13713">
        <v>3645175</v>
      </c>
      <c r="H13713">
        <v>12494930</v>
      </c>
      <c r="I13713">
        <v>17428599</v>
      </c>
      <c r="J13713">
        <v>2</v>
      </c>
    </row>
    <row r="13714" spans="1:10" x14ac:dyDescent="0.25">
      <c r="A13714" t="s">
        <v>1613</v>
      </c>
      <c r="B13714" s="1" t="str">
        <f>HYPERLINK("http://healthybluemo.com","healthybluemo.com")</f>
        <v>healthybluemo.com</v>
      </c>
      <c r="C13714" t="s">
        <v>433</v>
      </c>
      <c r="F13714">
        <v>2.4486882529275298E-8</v>
      </c>
      <c r="G13714">
        <v>2115840</v>
      </c>
      <c r="H13714">
        <v>13380981</v>
      </c>
      <c r="I13714">
        <v>10424107</v>
      </c>
      <c r="J13714">
        <v>2</v>
      </c>
    </row>
    <row r="13715" spans="1:10" x14ac:dyDescent="0.25">
      <c r="A13715" t="s">
        <v>1613</v>
      </c>
      <c r="B13715" s="1" t="str">
        <f>HYPERLINK("http://healthybluenc.com","healthybluenc.com")</f>
        <v>healthybluenc.com</v>
      </c>
      <c r="C13715" t="s">
        <v>433</v>
      </c>
      <c r="F13715">
        <v>2.3078294282741898E-8</v>
      </c>
      <c r="G13715">
        <v>2262342</v>
      </c>
      <c r="H13715">
        <v>13963185</v>
      </c>
      <c r="I13715">
        <v>4098727</v>
      </c>
      <c r="J13715">
        <v>2</v>
      </c>
    </row>
    <row r="13716" spans="1:10" x14ac:dyDescent="0.25">
      <c r="A13716" t="s">
        <v>1613</v>
      </c>
      <c r="B13716" s="1" t="str">
        <f>HYPERLINK("http://healthybluene.com","healthybluene.com")</f>
        <v>healthybluene.com</v>
      </c>
      <c r="C13716" t="s">
        <v>433</v>
      </c>
      <c r="F13716">
        <v>1.45030088227256E-8</v>
      </c>
      <c r="G13716">
        <v>4021647</v>
      </c>
      <c r="H13716">
        <v>12420834</v>
      </c>
      <c r="I13716">
        <v>18441179</v>
      </c>
      <c r="J13716">
        <v>2</v>
      </c>
    </row>
    <row r="13717" spans="1:10" x14ac:dyDescent="0.25">
      <c r="A13717" t="s">
        <v>1613</v>
      </c>
      <c r="B13717" s="1" t="str">
        <f>HYPERLINK("http://healthybluesc.com","healthybluesc.com")</f>
        <v>healthybluesc.com</v>
      </c>
      <c r="C13717" t="s">
        <v>433</v>
      </c>
      <c r="F13717">
        <v>5.0050459735484299E-8</v>
      </c>
      <c r="G13717">
        <v>920100</v>
      </c>
      <c r="H13717">
        <v>13581086</v>
      </c>
      <c r="I13717">
        <v>9687089</v>
      </c>
      <c r="J13717">
        <v>2</v>
      </c>
    </row>
    <row r="13718" spans="1:10" x14ac:dyDescent="0.25">
      <c r="A13718" t="s">
        <v>1613</v>
      </c>
      <c r="B13718" s="1" t="str">
        <f>HYPERLINK("http://ingenio-rx.com","ingenio-rx.com")</f>
        <v>ingenio-rx.com</v>
      </c>
      <c r="C13718" t="s">
        <v>433</v>
      </c>
      <c r="E13718">
        <v>794934</v>
      </c>
      <c r="F13718">
        <v>2.8485857374712101E-8</v>
      </c>
      <c r="G13718">
        <v>1806907</v>
      </c>
      <c r="H13718">
        <v>13463134</v>
      </c>
      <c r="I13718">
        <v>10146941</v>
      </c>
      <c r="J13718">
        <v>2</v>
      </c>
    </row>
    <row r="13719" spans="1:10" x14ac:dyDescent="0.25">
      <c r="A13719" t="s">
        <v>1613</v>
      </c>
      <c r="B13719" s="1" t="str">
        <f>HYPERLINK("http://insidemyplan.com","insidemyplan.com")</f>
        <v>insidemyplan.com</v>
      </c>
      <c r="C13719" t="s">
        <v>433</v>
      </c>
      <c r="F13719">
        <v>4.4961380956113903E-9</v>
      </c>
      <c r="G13719">
        <v>59525524</v>
      </c>
      <c r="H13719">
        <v>10193510</v>
      </c>
      <c r="I13719">
        <v>59082035</v>
      </c>
      <c r="J13719">
        <v>2</v>
      </c>
    </row>
    <row r="13720" spans="1:10" x14ac:dyDescent="0.25">
      <c r="A13720" t="s">
        <v>1613</v>
      </c>
      <c r="B13720" s="1" t="str">
        <f>HYPERLINK("http://legato.com","legato.com")</f>
        <v>legato.com</v>
      </c>
      <c r="C13720" t="s">
        <v>433</v>
      </c>
      <c r="E13720">
        <v>769927</v>
      </c>
      <c r="F13720">
        <v>1.2923335327080301E-7</v>
      </c>
      <c r="G13720">
        <v>303169</v>
      </c>
      <c r="H13720">
        <v>16878920</v>
      </c>
      <c r="I13720">
        <v>140141</v>
      </c>
      <c r="J13720">
        <v>2</v>
      </c>
    </row>
    <row r="13721" spans="1:10" x14ac:dyDescent="0.25">
      <c r="A13721" t="s">
        <v>1613</v>
      </c>
      <c r="B13721" s="1" t="str">
        <f>HYPERLINK("http://legatohealth.com","legatohealth.com")</f>
        <v>legatohealth.com</v>
      </c>
      <c r="C13721" t="s">
        <v>433</v>
      </c>
      <c r="F13721">
        <v>1.12062481428957E-8</v>
      </c>
      <c r="G13721">
        <v>5708738</v>
      </c>
      <c r="H13721">
        <v>12265459</v>
      </c>
      <c r="I13721">
        <v>21627200</v>
      </c>
      <c r="J13721">
        <v>2</v>
      </c>
    </row>
    <row r="13722" spans="1:10" x14ac:dyDescent="0.25">
      <c r="A13722" t="s">
        <v>1613</v>
      </c>
      <c r="B13722" s="1" t="str">
        <f>HYPERLINK("http://legatohealthtech.com","legatohealthtech.com")</f>
        <v>legatohealthtech.com</v>
      </c>
      <c r="C13722" t="s">
        <v>433</v>
      </c>
      <c r="F13722">
        <v>4.56484301550382E-9</v>
      </c>
      <c r="G13722">
        <v>50697802</v>
      </c>
      <c r="H13722">
        <v>10514066</v>
      </c>
      <c r="I13722">
        <v>49291329</v>
      </c>
      <c r="J13722">
        <v>2</v>
      </c>
    </row>
    <row r="13723" spans="1:10" x14ac:dyDescent="0.25">
      <c r="A13723" t="s">
        <v>1613</v>
      </c>
      <c r="B13723" s="1" t="str">
        <f>HYPERLINK("http://mmm-pr.com","mmm-pr.com")</f>
        <v>mmm-pr.com</v>
      </c>
      <c r="C13723" t="s">
        <v>433</v>
      </c>
      <c r="F13723">
        <v>3.3943166299417301E-8</v>
      </c>
      <c r="G13723">
        <v>1525149</v>
      </c>
      <c r="H13723">
        <v>14010975</v>
      </c>
      <c r="I13723">
        <v>4000681</v>
      </c>
      <c r="J13723">
        <v>3</v>
      </c>
    </row>
    <row r="13724" spans="1:10" x14ac:dyDescent="0.25">
      <c r="A13724" t="s">
        <v>1613</v>
      </c>
      <c r="B13724" s="1" t="str">
        <f>HYPERLINK("http://myamerigroup.com","myamerigroup.com")</f>
        <v>myamerigroup.com</v>
      </c>
      <c r="C13724" t="s">
        <v>433</v>
      </c>
      <c r="E13724">
        <v>346258</v>
      </c>
      <c r="F13724">
        <v>1.2714463123670701E-7</v>
      </c>
      <c r="G13724">
        <v>310144</v>
      </c>
      <c r="H13724">
        <v>13907908</v>
      </c>
      <c r="I13724">
        <v>5944113</v>
      </c>
      <c r="J13724">
        <v>2</v>
      </c>
    </row>
    <row r="13725" spans="1:10" x14ac:dyDescent="0.25">
      <c r="A13725" t="s">
        <v>1613</v>
      </c>
      <c r="B13725" s="1" t="str">
        <f>HYPERLINK("http://mybcbswny.com","mybcbswny.com")</f>
        <v>mybcbswny.com</v>
      </c>
      <c r="C13725" t="s">
        <v>433</v>
      </c>
      <c r="F13725">
        <v>3.3208092811421199E-8</v>
      </c>
      <c r="G13725">
        <v>1555986</v>
      </c>
      <c r="H13725">
        <v>12893438</v>
      </c>
      <c r="I13725">
        <v>13916367</v>
      </c>
      <c r="J13725">
        <v>2</v>
      </c>
    </row>
    <row r="13726" spans="1:10" x14ac:dyDescent="0.25">
      <c r="A13726" t="s">
        <v>1613</v>
      </c>
      <c r="B13726" s="1" t="str">
        <f>HYPERLINK("http://mybluechoicescmedicaid.com","mybluechoicescmedicaid.com")</f>
        <v>mybluechoicescmedicaid.com</v>
      </c>
      <c r="C13726" t="s">
        <v>433</v>
      </c>
      <c r="J13726">
        <v>2</v>
      </c>
    </row>
    <row r="13727" spans="1:10" x14ac:dyDescent="0.25">
      <c r="A13727" t="s">
        <v>1613</v>
      </c>
      <c r="B13727" s="1" t="str">
        <f>HYPERLINK("http://mydellchildrens.com","mydellchildrens.com")</f>
        <v>mydellchildrens.com</v>
      </c>
      <c r="C13727" t="s">
        <v>433</v>
      </c>
      <c r="F13727">
        <v>5.7556994467659998E-9</v>
      </c>
      <c r="G13727">
        <v>18451562</v>
      </c>
      <c r="H13727">
        <v>10855731</v>
      </c>
      <c r="I13727">
        <v>36745710</v>
      </c>
      <c r="J13727">
        <v>2</v>
      </c>
    </row>
    <row r="13728" spans="1:10" x14ac:dyDescent="0.25">
      <c r="A13728" t="s">
        <v>1613</v>
      </c>
      <c r="B13728" s="1" t="str">
        <f>HYPERLINK("http://myhealthybluela.com","myhealthybluela.com")</f>
        <v>myhealthybluela.com</v>
      </c>
      <c r="C13728" t="s">
        <v>433</v>
      </c>
      <c r="F13728">
        <v>1.8721123471109599E-8</v>
      </c>
      <c r="G13728">
        <v>2885576</v>
      </c>
      <c r="H13728">
        <v>12567676</v>
      </c>
      <c r="I13728">
        <v>16646245</v>
      </c>
      <c r="J13728">
        <v>2</v>
      </c>
    </row>
    <row r="13729" spans="1:10" x14ac:dyDescent="0.25">
      <c r="A13729" t="s">
        <v>1613</v>
      </c>
      <c r="B13729" s="1" t="str">
        <f>HYPERLINK("http://myhealthybluemo.com","myhealthybluemo.com")</f>
        <v>myhealthybluemo.com</v>
      </c>
      <c r="C13729" t="s">
        <v>433</v>
      </c>
      <c r="F13729">
        <v>6.5003266495989698E-9</v>
      </c>
      <c r="G13729">
        <v>14076776</v>
      </c>
      <c r="H13729">
        <v>10861581</v>
      </c>
      <c r="I13729">
        <v>36645503</v>
      </c>
      <c r="J13729">
        <v>2</v>
      </c>
    </row>
    <row r="13730" spans="1:10" x14ac:dyDescent="0.25">
      <c r="A13730" t="s">
        <v>1613</v>
      </c>
      <c r="B13730" s="1" t="str">
        <f>HYPERLINK("http://myhealthybluene.com","myhealthybluene.com")</f>
        <v>myhealthybluene.com</v>
      </c>
      <c r="C13730" t="s">
        <v>433</v>
      </c>
      <c r="F13730">
        <v>7.1714410633536003E-9</v>
      </c>
      <c r="G13730">
        <v>11819189</v>
      </c>
      <c r="H13730">
        <v>11089201</v>
      </c>
      <c r="I13730">
        <v>32390832</v>
      </c>
      <c r="J13730">
        <v>2</v>
      </c>
    </row>
    <row r="13731" spans="1:10" x14ac:dyDescent="0.25">
      <c r="A13731" t="s">
        <v>1613</v>
      </c>
      <c r="B13731" s="1" t="str">
        <f>HYPERLINK("http://mysimplymedicare.com","mysimplymedicare.com")</f>
        <v>mysimplymedicare.com</v>
      </c>
      <c r="C13731" t="s">
        <v>433</v>
      </c>
      <c r="F13731">
        <v>4.4589128867966497E-9</v>
      </c>
      <c r="G13731">
        <v>68104663</v>
      </c>
      <c r="H13731">
        <v>1.0003663</v>
      </c>
      <c r="I13731">
        <v>78901949</v>
      </c>
      <c r="J13731">
        <v>2</v>
      </c>
    </row>
    <row r="13732" spans="1:10" x14ac:dyDescent="0.25">
      <c r="A13732" t="s">
        <v>1613</v>
      </c>
      <c r="B13732" s="1" t="str">
        <f>HYPERLINK("http://neriscience.com","neriscience.com")</f>
        <v>neriscience.com</v>
      </c>
      <c r="C13732" t="s">
        <v>433</v>
      </c>
      <c r="F13732">
        <v>2.0612366016237701E-8</v>
      </c>
      <c r="G13732">
        <v>2568866</v>
      </c>
      <c r="H13732">
        <v>14006575</v>
      </c>
      <c r="I13732">
        <v>4005127</v>
      </c>
      <c r="J13732">
        <v>3</v>
      </c>
    </row>
    <row r="13733" spans="1:10" x14ac:dyDescent="0.25">
      <c r="A13733" t="s">
        <v>1613</v>
      </c>
      <c r="B13733" s="1" t="str">
        <f>HYPERLINK("http://simplyhealthcareplans.com","simplyhealthcareplans.com")</f>
        <v>simplyhealthcareplans.com</v>
      </c>
      <c r="C13733" t="s">
        <v>433</v>
      </c>
      <c r="E13733">
        <v>586676</v>
      </c>
      <c r="F13733">
        <v>9.5880518186720097E-8</v>
      </c>
      <c r="G13733">
        <v>422159</v>
      </c>
      <c r="H13733">
        <v>13563824</v>
      </c>
      <c r="I13733">
        <v>9841245</v>
      </c>
      <c r="J13733">
        <v>2</v>
      </c>
    </row>
    <row r="13734" spans="1:10" x14ac:dyDescent="0.25">
      <c r="A13734" t="s">
        <v>1613</v>
      </c>
      <c r="B13734" s="1" t="str">
        <f>HYPERLINK("http://summitcommunitycare.com","summitcommunitycare.com")</f>
        <v>summitcommunitycare.com</v>
      </c>
      <c r="C13734" t="s">
        <v>433</v>
      </c>
      <c r="F13734">
        <v>1.03848821912992E-8</v>
      </c>
      <c r="G13734">
        <v>6372705</v>
      </c>
      <c r="H13734">
        <v>12366445</v>
      </c>
      <c r="I13734">
        <v>19474027</v>
      </c>
      <c r="J13734">
        <v>2</v>
      </c>
    </row>
    <row r="13735" spans="1:10" x14ac:dyDescent="0.25">
      <c r="A13735" t="s">
        <v>1613</v>
      </c>
      <c r="B13735" s="1" t="str">
        <f>HYPERLINK("http://um-va.com","um-va.com")</f>
        <v>um-va.com</v>
      </c>
      <c r="C13735" t="s">
        <v>433</v>
      </c>
      <c r="J13735">
        <v>2</v>
      </c>
    </row>
    <row r="13736" spans="1:10" x14ac:dyDescent="0.25">
      <c r="A13736" t="s">
        <v>1613</v>
      </c>
      <c r="B13736" s="1" t="str">
        <f>HYPERLINK("http://unicare.com","unicare.com")</f>
        <v>unicare.com</v>
      </c>
      <c r="C13736" t="s">
        <v>433</v>
      </c>
      <c r="E13736">
        <v>399541</v>
      </c>
      <c r="F13736">
        <v>7.6403711796330903E-8</v>
      </c>
      <c r="G13736">
        <v>549363</v>
      </c>
      <c r="H13736">
        <v>13838169</v>
      </c>
      <c r="I13736">
        <v>6079622</v>
      </c>
      <c r="J13736">
        <v>2</v>
      </c>
    </row>
    <row r="13737" spans="1:10" x14ac:dyDescent="0.25">
      <c r="A13737" t="s">
        <v>1613</v>
      </c>
      <c r="B13737" s="1" t="str">
        <f>HYPERLINK("http://unicaremass.com","unicaremass.com")</f>
        <v>unicaremass.com</v>
      </c>
      <c r="C13737" t="s">
        <v>433</v>
      </c>
      <c r="F13737">
        <v>3.5767955914801302E-8</v>
      </c>
      <c r="G13737">
        <v>1455944</v>
      </c>
      <c r="H13737">
        <v>12551250</v>
      </c>
      <c r="I13737">
        <v>16815685</v>
      </c>
      <c r="J13737">
        <v>2</v>
      </c>
    </row>
    <row r="13738" spans="1:10" x14ac:dyDescent="0.25">
      <c r="A13738" t="s">
        <v>1613</v>
      </c>
      <c r="B13738" s="1" t="str">
        <f>HYPERLINK("http://unicarestateplan.com","unicarestateplan.com")</f>
        <v>unicarestateplan.com</v>
      </c>
      <c r="C13738" t="s">
        <v>433</v>
      </c>
      <c r="F13738">
        <v>2.4129094628355699E-8</v>
      </c>
      <c r="G13738">
        <v>2150382</v>
      </c>
      <c r="H13738">
        <v>13199079</v>
      </c>
      <c r="I13738">
        <v>11556046</v>
      </c>
      <c r="J13738">
        <v>5</v>
      </c>
    </row>
    <row r="13739" spans="1:10" x14ac:dyDescent="0.25">
      <c r="A13739" t="s">
        <v>1613</v>
      </c>
      <c r="B13739" s="1" t="str">
        <f>HYPERLINK("http://valueoptions.com","valueoptions.com")</f>
        <v>valueoptions.com</v>
      </c>
      <c r="C13739" t="s">
        <v>433</v>
      </c>
      <c r="E13739">
        <v>404913</v>
      </c>
      <c r="F13739">
        <v>1.1194155467255701E-7</v>
      </c>
      <c r="G13739">
        <v>356934</v>
      </c>
      <c r="H13739">
        <v>14399213</v>
      </c>
      <c r="I13739">
        <v>1155687</v>
      </c>
      <c r="J13739">
        <v>3</v>
      </c>
    </row>
    <row r="13740" spans="1:10" x14ac:dyDescent="0.25">
      <c r="A13740" t="s">
        <v>1613</v>
      </c>
      <c r="B13740" s="1" t="str">
        <f>HYPERLINK("http://vbh-pa.com","vbh-pa.com")</f>
        <v>vbh-pa.com</v>
      </c>
      <c r="C13740" t="s">
        <v>433</v>
      </c>
      <c r="F13740">
        <v>1.7206538075671199E-8</v>
      </c>
      <c r="G13740">
        <v>3223739</v>
      </c>
      <c r="H13740">
        <v>12267745</v>
      </c>
      <c r="I13740">
        <v>21573568</v>
      </c>
      <c r="J13740">
        <v>3</v>
      </c>
    </row>
    <row r="13741" spans="1:10" x14ac:dyDescent="0.25">
      <c r="A13741" t="s">
        <v>1613</v>
      </c>
      <c r="B13741" s="1" t="str">
        <f>HYPERLINK("http://wellpoint.com","wellpoint.com")</f>
        <v>wellpoint.com</v>
      </c>
      <c r="C13741" t="s">
        <v>433</v>
      </c>
      <c r="E13741">
        <v>26504</v>
      </c>
      <c r="F13741">
        <v>2.1892985658492299E-7</v>
      </c>
      <c r="G13741">
        <v>172183</v>
      </c>
      <c r="H13741">
        <v>15124460</v>
      </c>
      <c r="I13741">
        <v>403113</v>
      </c>
      <c r="J13741">
        <v>2</v>
      </c>
    </row>
    <row r="13742" spans="1:10" x14ac:dyDescent="0.25">
      <c r="A13742" t="s">
        <v>1613</v>
      </c>
      <c r="B13742" s="1" t="str">
        <f>HYPERLINK("http://youroptimumhealthcare.com","youroptimumhealthcare.com")</f>
        <v>youroptimumhealthcare.com</v>
      </c>
      <c r="C13742" t="s">
        <v>433</v>
      </c>
      <c r="F13742">
        <v>2.69176936414212E-8</v>
      </c>
      <c r="G13742">
        <v>1910902</v>
      </c>
      <c r="H13742">
        <v>13386001</v>
      </c>
      <c r="I13742">
        <v>10408774</v>
      </c>
      <c r="J13742">
        <v>3</v>
      </c>
    </row>
    <row r="13743" spans="1:10" x14ac:dyDescent="0.25">
      <c r="A13743" t="s">
        <v>1613</v>
      </c>
      <c r="B13743" s="1" t="str">
        <f>HYPERLINK("http://anthem.foundation","anthem.foundation")</f>
        <v>anthem.foundation</v>
      </c>
      <c r="C13743" t="s">
        <v>755</v>
      </c>
      <c r="F13743">
        <v>3.9138797586776597E-8</v>
      </c>
      <c r="G13743">
        <v>1317999</v>
      </c>
      <c r="H13743">
        <v>13904759</v>
      </c>
      <c r="I13743">
        <v>5946813</v>
      </c>
      <c r="J13743">
        <v>3</v>
      </c>
    </row>
    <row r="13744" spans="1:10" x14ac:dyDescent="0.25">
      <c r="A13744" t="s">
        <v>1613</v>
      </c>
      <c r="B13744" s="1" t="str">
        <f>HYPERLINK("http://elevancehealth.foundation","elevancehealth.foundation")</f>
        <v>elevancehealth.foundation</v>
      </c>
      <c r="C13744" t="s">
        <v>755</v>
      </c>
      <c r="F13744">
        <v>1.5154218943840601E-7</v>
      </c>
      <c r="G13744">
        <v>256296</v>
      </c>
      <c r="H13744">
        <v>13641508</v>
      </c>
      <c r="I13744">
        <v>9610695</v>
      </c>
      <c r="J13744">
        <v>3</v>
      </c>
    </row>
    <row r="13745" spans="1:10" x14ac:dyDescent="0.25">
      <c r="A13745" t="s">
        <v>1613</v>
      </c>
      <c r="B13745" s="1" t="str">
        <f>HYPERLINK("http://anthemky.info","anthemky.info")</f>
        <v>anthemky.info</v>
      </c>
      <c r="C13745" t="s">
        <v>458</v>
      </c>
      <c r="J13745">
        <v>2</v>
      </c>
    </row>
    <row r="13746" spans="1:10" x14ac:dyDescent="0.25">
      <c r="A13746" t="s">
        <v>1613</v>
      </c>
      <c r="B13746" s="1" t="str">
        <f>HYPERLINK("http://sydneycare.io","sydneycare.io")</f>
        <v>sydneycare.io</v>
      </c>
      <c r="C13746" t="s">
        <v>518</v>
      </c>
      <c r="J13746">
        <v>2</v>
      </c>
    </row>
    <row r="13747" spans="1:10" x14ac:dyDescent="0.25">
      <c r="A13747" t="s">
        <v>1613</v>
      </c>
      <c r="B13747" s="1" t="str">
        <f>HYPERLINK("http://anthem.ly","anthem.ly")</f>
        <v>anthem.ly</v>
      </c>
      <c r="C13747" t="s">
        <v>583</v>
      </c>
      <c r="D13747" t="s">
        <v>923</v>
      </c>
      <c r="F13747">
        <v>9.0640879380010008E-9</v>
      </c>
      <c r="G13747">
        <v>7898042</v>
      </c>
      <c r="H13747">
        <v>12928429</v>
      </c>
      <c r="I13747">
        <v>13376059</v>
      </c>
      <c r="J13747">
        <v>3</v>
      </c>
    </row>
    <row r="13748" spans="1:10" x14ac:dyDescent="0.25">
      <c r="A13748" t="s">
        <v>1613</v>
      </c>
      <c r="B13748" s="1" t="str">
        <f>HYPERLINK("http://integraplan.org","integraplan.org")</f>
        <v>integraplan.org</v>
      </c>
      <c r="C13748" t="s">
        <v>481</v>
      </c>
      <c r="F13748">
        <v>7.9779180619136506E-9</v>
      </c>
      <c r="G13748">
        <v>9961650</v>
      </c>
      <c r="H13748">
        <v>12735756</v>
      </c>
      <c r="I13748">
        <v>15165392</v>
      </c>
      <c r="J13748">
        <v>2</v>
      </c>
    </row>
    <row r="13749" spans="1:10" x14ac:dyDescent="0.25">
      <c r="A13749" t="s">
        <v>145</v>
      </c>
      <c r="B13749" s="1" t="str">
        <f>HYPERLINK("http://lilly.at","lilly.at")</f>
        <v>lilly.at</v>
      </c>
      <c r="C13749" t="s">
        <v>419</v>
      </c>
      <c r="D13749" t="s">
        <v>801</v>
      </c>
      <c r="F13749">
        <v>1.7989223103949301E-8</v>
      </c>
      <c r="G13749">
        <v>3032956</v>
      </c>
      <c r="H13749">
        <v>12561901</v>
      </c>
      <c r="I13749">
        <v>16693934</v>
      </c>
      <c r="J13749">
        <v>2</v>
      </c>
    </row>
    <row r="13750" spans="1:10" x14ac:dyDescent="0.25">
      <c r="A13750" t="s">
        <v>145</v>
      </c>
      <c r="B13750" s="1" t="str">
        <f>HYPERLINK("http://lilly.com.au","lilly.com.au")</f>
        <v>lilly.com.au</v>
      </c>
      <c r="C13750" t="s">
        <v>420</v>
      </c>
      <c r="D13750" t="s">
        <v>802</v>
      </c>
      <c r="F13750">
        <v>1.2841258966545101E-8</v>
      </c>
      <c r="G13750">
        <v>4708528</v>
      </c>
      <c r="H13750">
        <v>13790443</v>
      </c>
      <c r="I13750">
        <v>6347513</v>
      </c>
      <c r="J13750">
        <v>2</v>
      </c>
    </row>
    <row r="13751" spans="1:10" x14ac:dyDescent="0.25">
      <c r="A13751" t="s">
        <v>145</v>
      </c>
      <c r="B13751" s="1" t="str">
        <f>HYPERLINK("http://lilly.be","lilly.be")</f>
        <v>lilly.be</v>
      </c>
      <c r="C13751" t="s">
        <v>421</v>
      </c>
      <c r="D13751" t="s">
        <v>803</v>
      </c>
      <c r="F13751">
        <v>9.7451232402522399E-9</v>
      </c>
      <c r="G13751">
        <v>7029494</v>
      </c>
      <c r="H13751">
        <v>12334898</v>
      </c>
      <c r="I13751">
        <v>20105240</v>
      </c>
      <c r="J13751">
        <v>3</v>
      </c>
    </row>
    <row r="13752" spans="1:10" x14ac:dyDescent="0.25">
      <c r="A13752" t="s">
        <v>145</v>
      </c>
      <c r="B13752" s="1" t="str">
        <f>HYPERLINK("http://lilly.com.br","lilly.com.br")</f>
        <v>lilly.com.br</v>
      </c>
      <c r="C13752" t="s">
        <v>425</v>
      </c>
      <c r="D13752" t="s">
        <v>806</v>
      </c>
      <c r="F13752">
        <v>6.3733672303995598E-9</v>
      </c>
      <c r="G13752">
        <v>14649629</v>
      </c>
      <c r="H13752">
        <v>13763651</v>
      </c>
      <c r="I13752">
        <v>7886586</v>
      </c>
      <c r="J13752">
        <v>5</v>
      </c>
    </row>
    <row r="13753" spans="1:10" x14ac:dyDescent="0.25">
      <c r="A13753" t="s">
        <v>145</v>
      </c>
      <c r="B13753" s="1" t="str">
        <f>HYPERLINK("http://lilly.ca","lilly.ca")</f>
        <v>lilly.ca</v>
      </c>
      <c r="C13753" t="s">
        <v>428</v>
      </c>
      <c r="D13753" t="s">
        <v>809</v>
      </c>
      <c r="F13753">
        <v>6.5799210028763095E-8</v>
      </c>
      <c r="G13753">
        <v>652774</v>
      </c>
      <c r="H13753">
        <v>14397344</v>
      </c>
      <c r="I13753">
        <v>1158192</v>
      </c>
      <c r="J13753">
        <v>3</v>
      </c>
    </row>
    <row r="13754" spans="1:10" x14ac:dyDescent="0.25">
      <c r="A13754" t="s">
        <v>145</v>
      </c>
      <c r="B13754" s="1" t="str">
        <f>HYPERLINK("http://lilly.ch","lilly.ch")</f>
        <v>lilly.ch</v>
      </c>
      <c r="C13754" t="s">
        <v>429</v>
      </c>
      <c r="D13754" t="s">
        <v>810</v>
      </c>
      <c r="F13754">
        <v>3.3103426218353201E-8</v>
      </c>
      <c r="G13754">
        <v>1560758</v>
      </c>
      <c r="H13754">
        <v>12500383</v>
      </c>
      <c r="I13754">
        <v>17354684</v>
      </c>
      <c r="J13754">
        <v>2</v>
      </c>
    </row>
    <row r="13755" spans="1:10" x14ac:dyDescent="0.25">
      <c r="A13755" t="s">
        <v>145</v>
      </c>
      <c r="B13755" s="1" t="str">
        <f>HYPERLINK("http://lillycare.com.cn","lillycare.com.cn")</f>
        <v>lillycare.com.cn</v>
      </c>
      <c r="C13755" t="s">
        <v>431</v>
      </c>
      <c r="D13755" t="s">
        <v>812</v>
      </c>
      <c r="J13755">
        <v>2</v>
      </c>
    </row>
    <row r="13756" spans="1:10" x14ac:dyDescent="0.25">
      <c r="A13756" t="s">
        <v>145</v>
      </c>
      <c r="B13756" s="1" t="str">
        <f>HYPERLINK("http://lillyadmin.cn","lillyadmin.cn")</f>
        <v>lillyadmin.cn</v>
      </c>
      <c r="C13756" t="s">
        <v>431</v>
      </c>
      <c r="D13756" t="s">
        <v>812</v>
      </c>
      <c r="J13756">
        <v>2</v>
      </c>
    </row>
    <row r="13757" spans="1:10" x14ac:dyDescent="0.25">
      <c r="A13757" t="s">
        <v>145</v>
      </c>
      <c r="B13757" s="1" t="str">
        <f>HYPERLINK("http://akouos.com","akouos.com")</f>
        <v>akouos.com</v>
      </c>
      <c r="C13757" t="s">
        <v>433</v>
      </c>
      <c r="F13757">
        <v>3.1197362745929799E-8</v>
      </c>
      <c r="G13757">
        <v>1652602</v>
      </c>
      <c r="H13757">
        <v>13584185</v>
      </c>
      <c r="I13757">
        <v>9679810</v>
      </c>
      <c r="J13757">
        <v>3</v>
      </c>
    </row>
    <row r="13758" spans="1:10" x14ac:dyDescent="0.25">
      <c r="A13758" t="s">
        <v>145</v>
      </c>
      <c r="B13758" s="1" t="str">
        <f>HYPERLINK("http://avidrp.com","avidrp.com")</f>
        <v>avidrp.com</v>
      </c>
      <c r="C13758" t="s">
        <v>433</v>
      </c>
      <c r="F13758">
        <v>4.1628011122615299E-8</v>
      </c>
      <c r="G13758">
        <v>1191110</v>
      </c>
      <c r="H13758">
        <v>13507035</v>
      </c>
      <c r="I13758">
        <v>9961500</v>
      </c>
      <c r="J13758">
        <v>3</v>
      </c>
    </row>
    <row r="13759" spans="1:10" x14ac:dyDescent="0.25">
      <c r="A13759" t="s">
        <v>145</v>
      </c>
      <c r="B13759" s="1" t="str">
        <f>HYPERLINK("http://colucid.com","colucid.com")</f>
        <v>colucid.com</v>
      </c>
      <c r="C13759" t="s">
        <v>433</v>
      </c>
      <c r="F13759">
        <v>1.01873645311271E-8</v>
      </c>
      <c r="G13759">
        <v>6559527</v>
      </c>
      <c r="H13759">
        <v>13804785</v>
      </c>
      <c r="I13759">
        <v>6242464</v>
      </c>
      <c r="J13759">
        <v>4</v>
      </c>
    </row>
    <row r="13760" spans="1:10" x14ac:dyDescent="0.25">
      <c r="A13760" t="s">
        <v>145</v>
      </c>
      <c r="B13760" s="1" t="str">
        <f>HYPERLINK("http://connectedcarecloud.com","connectedcarecloud.com")</f>
        <v>connectedcarecloud.com</v>
      </c>
      <c r="C13760" t="s">
        <v>433</v>
      </c>
      <c r="J13760">
        <v>2</v>
      </c>
    </row>
    <row r="13761" spans="1:10" x14ac:dyDescent="0.25">
      <c r="A13761" t="s">
        <v>145</v>
      </c>
      <c r="B13761" s="1" t="str">
        <f>HYPERLINK("http://dermira.com","dermira.com")</f>
        <v>dermira.com</v>
      </c>
      <c r="C13761" t="s">
        <v>433</v>
      </c>
      <c r="F13761">
        <v>3.0367315389649298E-8</v>
      </c>
      <c r="G13761">
        <v>1695319</v>
      </c>
      <c r="H13761">
        <v>13544783</v>
      </c>
      <c r="I13761">
        <v>9901807</v>
      </c>
      <c r="J13761">
        <v>3</v>
      </c>
    </row>
    <row r="13762" spans="1:10" x14ac:dyDescent="0.25">
      <c r="A13762" t="s">
        <v>145</v>
      </c>
      <c r="B13762" s="1" t="str">
        <f>HYPERLINK("http://disarmtx.com","disarmtx.com")</f>
        <v>disarmtx.com</v>
      </c>
      <c r="C13762" t="s">
        <v>433</v>
      </c>
      <c r="F13762">
        <v>1.39176140755129E-8</v>
      </c>
      <c r="G13762">
        <v>4234275</v>
      </c>
      <c r="H13762">
        <v>13353987</v>
      </c>
      <c r="I13762">
        <v>10603685</v>
      </c>
      <c r="J13762">
        <v>3</v>
      </c>
    </row>
    <row r="13763" spans="1:10" x14ac:dyDescent="0.25">
      <c r="A13763" t="s">
        <v>145</v>
      </c>
      <c r="B13763" s="1" t="str">
        <f>HYPERLINK("http://herosjourneyart.com","herosjourneyart.com")</f>
        <v>herosjourneyart.com</v>
      </c>
      <c r="C13763" t="s">
        <v>433</v>
      </c>
      <c r="F13763">
        <v>4.7401382742025702E-9</v>
      </c>
      <c r="G13763">
        <v>38794834</v>
      </c>
      <c r="H13763">
        <v>10261377</v>
      </c>
      <c r="I13763">
        <v>58600156</v>
      </c>
      <c r="J13763">
        <v>2</v>
      </c>
    </row>
    <row r="13764" spans="1:10" x14ac:dyDescent="0.25">
      <c r="A13764" t="s">
        <v>145</v>
      </c>
      <c r="B13764" s="1" t="str">
        <f>HYPERLINK("http://imclone.com","imclone.com")</f>
        <v>imclone.com</v>
      </c>
      <c r="C13764" t="s">
        <v>433</v>
      </c>
      <c r="F13764">
        <v>1.8869755487877098E-8</v>
      </c>
      <c r="G13764">
        <v>2859029</v>
      </c>
      <c r="H13764">
        <v>14152167</v>
      </c>
      <c r="I13764">
        <v>1870576</v>
      </c>
      <c r="J13764">
        <v>3</v>
      </c>
    </row>
    <row r="13765" spans="1:10" x14ac:dyDescent="0.25">
      <c r="A13765" t="s">
        <v>145</v>
      </c>
      <c r="B13765" s="1" t="str">
        <f>HYPERLINK("http://lilly.com","lilly.com")</f>
        <v>lilly.com</v>
      </c>
      <c r="C13765" t="s">
        <v>433</v>
      </c>
      <c r="E13765">
        <v>4855</v>
      </c>
      <c r="F13765">
        <v>3.6284155372374202E-6</v>
      </c>
      <c r="G13765">
        <v>11378</v>
      </c>
      <c r="H13765">
        <v>17543798</v>
      </c>
      <c r="I13765">
        <v>11521</v>
      </c>
      <c r="J13765">
        <v>1</v>
      </c>
    </row>
    <row r="13766" spans="1:10" x14ac:dyDescent="0.25">
      <c r="A13766" t="s">
        <v>145</v>
      </c>
      <c r="B13766" s="1" t="str">
        <f>HYPERLINK("http://lillyar.com","lillyar.com")</f>
        <v>lillyar.com</v>
      </c>
      <c r="C13766" t="s">
        <v>433</v>
      </c>
      <c r="J13766">
        <v>2</v>
      </c>
    </row>
    <row r="13767" spans="1:10" x14ac:dyDescent="0.25">
      <c r="A13767" t="s">
        <v>145</v>
      </c>
      <c r="B13767" s="1" t="str">
        <f>HYPERLINK("http://lillyasiaventures.com","lillyasiaventures.com")</f>
        <v>lillyasiaventures.com</v>
      </c>
      <c r="C13767" t="s">
        <v>433</v>
      </c>
      <c r="F13767">
        <v>1.7958194588775401E-8</v>
      </c>
      <c r="G13767">
        <v>3041306</v>
      </c>
      <c r="H13767">
        <v>13201565</v>
      </c>
      <c r="I13767">
        <v>11545481</v>
      </c>
      <c r="J13767">
        <v>4</v>
      </c>
    </row>
    <row r="13768" spans="1:10" x14ac:dyDescent="0.25">
      <c r="A13768" t="s">
        <v>145</v>
      </c>
      <c r="B13768" s="1" t="str">
        <f>HYPERLINK("http://lillycc.com","lillycc.com")</f>
        <v>lillycc.com</v>
      </c>
      <c r="C13768" t="s">
        <v>433</v>
      </c>
      <c r="J13768">
        <v>2</v>
      </c>
    </row>
    <row r="13769" spans="1:10" x14ac:dyDescent="0.25">
      <c r="A13769" t="s">
        <v>145</v>
      </c>
      <c r="B13769" s="1" t="str">
        <f>HYPERLINK("http://lillychina.com","lillychina.com")</f>
        <v>lillychina.com</v>
      </c>
      <c r="C13769" t="s">
        <v>433</v>
      </c>
      <c r="F13769">
        <v>3.2040034115556998E-8</v>
      </c>
      <c r="G13769">
        <v>1613364</v>
      </c>
      <c r="H13769">
        <v>14076983</v>
      </c>
      <c r="I13769">
        <v>2875144</v>
      </c>
      <c r="J13769">
        <v>3</v>
      </c>
    </row>
    <row r="13770" spans="1:10" x14ac:dyDescent="0.25">
      <c r="A13770" t="s">
        <v>145</v>
      </c>
      <c r="B13770" s="1" t="str">
        <f>HYPERLINK("http://lillygrantoffice.com","lillygrantoffice.com")</f>
        <v>lillygrantoffice.com</v>
      </c>
      <c r="C13770" t="s">
        <v>433</v>
      </c>
      <c r="F13770">
        <v>3.2334524616086799E-8</v>
      </c>
      <c r="G13770">
        <v>1597975</v>
      </c>
      <c r="H13770">
        <v>13857319</v>
      </c>
      <c r="I13770">
        <v>6032979</v>
      </c>
      <c r="J13770">
        <v>3</v>
      </c>
    </row>
    <row r="13771" spans="1:10" x14ac:dyDescent="0.25">
      <c r="A13771" t="s">
        <v>145</v>
      </c>
      <c r="B13771" s="1" t="str">
        <f>HYPERLINK("http://lillytrialguide.com","lillytrialguide.com")</f>
        <v>lillytrialguide.com</v>
      </c>
      <c r="C13771" t="s">
        <v>433</v>
      </c>
      <c r="F13771">
        <v>1.4932970447622099E-7</v>
      </c>
      <c r="G13771">
        <v>260207</v>
      </c>
      <c r="H13771">
        <v>14070592</v>
      </c>
      <c r="I13771">
        <v>3717219</v>
      </c>
      <c r="J13771">
        <v>2</v>
      </c>
    </row>
    <row r="13772" spans="1:10" x14ac:dyDescent="0.25">
      <c r="A13772" t="s">
        <v>145</v>
      </c>
      <c r="B13772" s="1" t="str">
        <f>HYPERLINK("http://lillytrials.com","lillytrials.com")</f>
        <v>lillytrials.com</v>
      </c>
      <c r="C13772" t="s">
        <v>433</v>
      </c>
      <c r="F13772">
        <v>4.3300354304306603E-8</v>
      </c>
      <c r="G13772">
        <v>1106907</v>
      </c>
      <c r="H13772">
        <v>14127639</v>
      </c>
      <c r="I13772">
        <v>2081010</v>
      </c>
      <c r="J13772">
        <v>2</v>
      </c>
    </row>
    <row r="13773" spans="1:10" x14ac:dyDescent="0.25">
      <c r="A13773" t="s">
        <v>145</v>
      </c>
      <c r="B13773" s="1" t="str">
        <f>HYPERLINK("http://loxooncology.com","loxooncology.com")</f>
        <v>loxooncology.com</v>
      </c>
      <c r="C13773" t="s">
        <v>433</v>
      </c>
      <c r="E13773">
        <v>541540</v>
      </c>
      <c r="F13773">
        <v>6.7322124199778E-8</v>
      </c>
      <c r="G13773">
        <v>634961</v>
      </c>
      <c r="H13773">
        <v>13977651</v>
      </c>
      <c r="I13773">
        <v>4057480</v>
      </c>
      <c r="J13773">
        <v>3</v>
      </c>
    </row>
    <row r="13774" spans="1:10" x14ac:dyDescent="0.25">
      <c r="A13774" t="s">
        <v>145</v>
      </c>
      <c r="B13774" s="1" t="str">
        <f>HYPERLINK("http://protomer.com","protomer.com")</f>
        <v>protomer.com</v>
      </c>
      <c r="C13774" t="s">
        <v>433</v>
      </c>
      <c r="F13774">
        <v>9.4486361406275405E-9</v>
      </c>
      <c r="G13774">
        <v>7384565</v>
      </c>
      <c r="H13774">
        <v>13798247</v>
      </c>
      <c r="I13774">
        <v>6292402</v>
      </c>
      <c r="J13774">
        <v>3</v>
      </c>
    </row>
    <row r="13775" spans="1:10" x14ac:dyDescent="0.25">
      <c r="A13775" t="s">
        <v>145</v>
      </c>
      <c r="B13775" s="1" t="str">
        <f>HYPERLINK("http://lilly.cz","lilly.cz")</f>
        <v>lilly.cz</v>
      </c>
      <c r="C13775" t="s">
        <v>435</v>
      </c>
      <c r="D13775" t="s">
        <v>814</v>
      </c>
      <c r="F13775">
        <v>4.0151895204970999E-8</v>
      </c>
      <c r="G13775">
        <v>1288099</v>
      </c>
      <c r="H13775">
        <v>14071808</v>
      </c>
      <c r="I13775">
        <v>3312332</v>
      </c>
      <c r="J13775">
        <v>5</v>
      </c>
    </row>
    <row r="13776" spans="1:10" x14ac:dyDescent="0.25">
      <c r="A13776" t="s">
        <v>145</v>
      </c>
      <c r="B13776" s="1" t="str">
        <f>HYPERLINK("http://lilly-pharma.de","lilly-pharma.de")</f>
        <v>lilly-pharma.de</v>
      </c>
      <c r="C13776" t="s">
        <v>436</v>
      </c>
      <c r="D13776" t="s">
        <v>815</v>
      </c>
      <c r="E13776">
        <v>908125</v>
      </c>
      <c r="F13776">
        <v>1.8860819477662101E-7</v>
      </c>
      <c r="G13776">
        <v>204299</v>
      </c>
      <c r="H13776">
        <v>14096994</v>
      </c>
      <c r="I13776">
        <v>2722577</v>
      </c>
      <c r="J13776">
        <v>3</v>
      </c>
    </row>
    <row r="13777" spans="1:10" x14ac:dyDescent="0.25">
      <c r="A13777" t="s">
        <v>145</v>
      </c>
      <c r="B13777" s="1" t="str">
        <f>HYPERLINK("http://eli-lilly.dk","eli-lilly.dk")</f>
        <v>eli-lilly.dk</v>
      </c>
      <c r="C13777" t="s">
        <v>437</v>
      </c>
      <c r="D13777" t="s">
        <v>816</v>
      </c>
      <c r="F13777">
        <v>7.1369585072103503E-9</v>
      </c>
      <c r="G13777">
        <v>11911951</v>
      </c>
      <c r="H13777">
        <v>12118799</v>
      </c>
      <c r="I13777">
        <v>25436437</v>
      </c>
      <c r="J13777">
        <v>5</v>
      </c>
    </row>
    <row r="13778" spans="1:10" x14ac:dyDescent="0.25">
      <c r="A13778" t="s">
        <v>145</v>
      </c>
      <c r="B13778" s="1" t="str">
        <f>HYPERLINK("http://ensayosclinicoslilly.es","ensayosclinicoslilly.es")</f>
        <v>ensayosclinicoslilly.es</v>
      </c>
      <c r="C13778" t="s">
        <v>443</v>
      </c>
      <c r="D13778" t="s">
        <v>822</v>
      </c>
      <c r="F13778">
        <v>4.44380395335525E-9</v>
      </c>
      <c r="G13778">
        <v>84691872</v>
      </c>
      <c r="H13778">
        <v>0</v>
      </c>
      <c r="I13778">
        <v>85791547</v>
      </c>
      <c r="J13778">
        <v>2</v>
      </c>
    </row>
    <row r="13779" spans="1:10" x14ac:dyDescent="0.25">
      <c r="A13779" t="s">
        <v>145</v>
      </c>
      <c r="B13779" s="1" t="str">
        <f>HYPERLINK("http://abasria.fi","abasria.fi")</f>
        <v>abasria.fi</v>
      </c>
      <c r="C13779" t="s">
        <v>445</v>
      </c>
      <c r="D13779" t="s">
        <v>823</v>
      </c>
      <c r="J13779">
        <v>2</v>
      </c>
    </row>
    <row r="13780" spans="1:10" x14ac:dyDescent="0.25">
      <c r="A13780" t="s">
        <v>145</v>
      </c>
      <c r="B13780" s="1" t="str">
        <f>HYPERLINK("http://adcirca.fi","adcirca.fi")</f>
        <v>adcirca.fi</v>
      </c>
      <c r="C13780" t="s">
        <v>445</v>
      </c>
      <c r="D13780" t="s">
        <v>823</v>
      </c>
      <c r="J13780">
        <v>2</v>
      </c>
    </row>
    <row r="13781" spans="1:10" x14ac:dyDescent="0.25">
      <c r="A13781" t="s">
        <v>145</v>
      </c>
      <c r="B13781" s="1" t="str">
        <f>HYPERLINK("http://atomoksetiini.fi","atomoksetiini.fi")</f>
        <v>atomoksetiini.fi</v>
      </c>
      <c r="C13781" t="s">
        <v>445</v>
      </c>
      <c r="D13781" t="s">
        <v>823</v>
      </c>
      <c r="J13781">
        <v>4</v>
      </c>
    </row>
    <row r="13782" spans="1:10" x14ac:dyDescent="0.25">
      <c r="A13782" t="s">
        <v>145</v>
      </c>
      <c r="B13782" s="1" t="str">
        <f>HYPERLINK("http://atopica.fi","atopica.fi")</f>
        <v>atopica.fi</v>
      </c>
      <c r="C13782" t="s">
        <v>445</v>
      </c>
      <c r="D13782" t="s">
        <v>823</v>
      </c>
      <c r="J13782">
        <v>2</v>
      </c>
    </row>
    <row r="13783" spans="1:10" x14ac:dyDescent="0.25">
      <c r="A13783" t="s">
        <v>145</v>
      </c>
      <c r="B13783" s="1" t="str">
        <f>HYPERLINK("http://basaglar.fi","basaglar.fi")</f>
        <v>basaglar.fi</v>
      </c>
      <c r="C13783" t="s">
        <v>445</v>
      </c>
      <c r="D13783" t="s">
        <v>823</v>
      </c>
      <c r="J13783">
        <v>2</v>
      </c>
    </row>
    <row r="13784" spans="1:10" x14ac:dyDescent="0.25">
      <c r="A13784" t="s">
        <v>145</v>
      </c>
      <c r="B13784" s="1" t="str">
        <f>HYPERLINK("http://bimiere.fi","bimiere.fi")</f>
        <v>bimiere.fi</v>
      </c>
      <c r="C13784" t="s">
        <v>445</v>
      </c>
      <c r="D13784" t="s">
        <v>823</v>
      </c>
      <c r="J13784">
        <v>2</v>
      </c>
    </row>
    <row r="13785" spans="1:10" x14ac:dyDescent="0.25">
      <c r="A13785" t="s">
        <v>145</v>
      </c>
      <c r="B13785" s="1" t="str">
        <f>HYPERLINK("http://bioglitatsoni.fi","bioglitatsoni.fi")</f>
        <v>bioglitatsoni.fi</v>
      </c>
      <c r="C13785" t="s">
        <v>445</v>
      </c>
      <c r="D13785" t="s">
        <v>823</v>
      </c>
      <c r="J13785">
        <v>2</v>
      </c>
    </row>
    <row r="13786" spans="1:10" x14ac:dyDescent="0.25">
      <c r="A13786" t="s">
        <v>145</v>
      </c>
      <c r="B13786" s="1" t="str">
        <f>HYPERLINK("http://cialis.fi","cialis.fi")</f>
        <v>cialis.fi</v>
      </c>
      <c r="C13786" t="s">
        <v>445</v>
      </c>
      <c r="D13786" t="s">
        <v>823</v>
      </c>
      <c r="J13786">
        <v>2</v>
      </c>
    </row>
    <row r="13787" spans="1:10" x14ac:dyDescent="0.25">
      <c r="A13787" t="s">
        <v>145</v>
      </c>
      <c r="B13787" s="1" t="str">
        <f>HYPERLINK("http://cymbalta.fi","cymbalta.fi")</f>
        <v>cymbalta.fi</v>
      </c>
      <c r="C13787" t="s">
        <v>445</v>
      </c>
      <c r="D13787" t="s">
        <v>823</v>
      </c>
      <c r="J13787">
        <v>2</v>
      </c>
    </row>
    <row r="13788" spans="1:10" x14ac:dyDescent="0.25">
      <c r="A13788" t="s">
        <v>145</v>
      </c>
      <c r="B13788" s="1" t="str">
        <f>HYPERLINK("http://diabeteshoitopolku.fi","diabeteshoitopolku.fi")</f>
        <v>diabeteshoitopolku.fi</v>
      </c>
      <c r="C13788" t="s">
        <v>445</v>
      </c>
      <c r="D13788" t="s">
        <v>823</v>
      </c>
      <c r="J13788">
        <v>2</v>
      </c>
    </row>
    <row r="13789" spans="1:10" x14ac:dyDescent="0.25">
      <c r="A13789" t="s">
        <v>145</v>
      </c>
      <c r="B13789" s="1" t="str">
        <f>HYPERLINK("http://diabeteskompassi.fi","diabeteskompassi.fi")</f>
        <v>diabeteskompassi.fi</v>
      </c>
      <c r="C13789" t="s">
        <v>445</v>
      </c>
      <c r="D13789" t="s">
        <v>823</v>
      </c>
      <c r="J13789">
        <v>2</v>
      </c>
    </row>
    <row r="13790" spans="1:10" x14ac:dyDescent="0.25">
      <c r="A13790" t="s">
        <v>145</v>
      </c>
      <c r="B13790" s="1" t="str">
        <f>HYPERLINK("http://dulaglutide.fi","dulaglutide.fi")</f>
        <v>dulaglutide.fi</v>
      </c>
      <c r="C13790" t="s">
        <v>445</v>
      </c>
      <c r="D13790" t="s">
        <v>823</v>
      </c>
      <c r="J13790">
        <v>2</v>
      </c>
    </row>
    <row r="13791" spans="1:10" x14ac:dyDescent="0.25">
      <c r="A13791" t="s">
        <v>145</v>
      </c>
      <c r="B13791" s="1" t="str">
        <f>HYPERLINK("http://duloksetiini.fi","duloksetiini.fi")</f>
        <v>duloksetiini.fi</v>
      </c>
      <c r="C13791" t="s">
        <v>445</v>
      </c>
      <c r="D13791" t="s">
        <v>823</v>
      </c>
      <c r="J13791">
        <v>2</v>
      </c>
    </row>
    <row r="13792" spans="1:10" x14ac:dyDescent="0.25">
      <c r="A13792" t="s">
        <v>145</v>
      </c>
      <c r="B13792" s="1" t="str">
        <f>HYPERLINK("http://ebglyss.fi","ebglyss.fi")</f>
        <v>ebglyss.fi</v>
      </c>
      <c r="C13792" t="s">
        <v>445</v>
      </c>
      <c r="D13792" t="s">
        <v>823</v>
      </c>
      <c r="J13792">
        <v>2</v>
      </c>
    </row>
    <row r="13793" spans="1:10" x14ac:dyDescent="0.25">
      <c r="A13793" t="s">
        <v>145</v>
      </c>
      <c r="B13793" s="1" t="str">
        <f>HYPERLINK("http://efient.fi","efient.fi")</f>
        <v>efient.fi</v>
      </c>
      <c r="C13793" t="s">
        <v>445</v>
      </c>
      <c r="D13793" t="s">
        <v>823</v>
      </c>
      <c r="J13793">
        <v>2</v>
      </c>
    </row>
    <row r="13794" spans="1:10" x14ac:dyDescent="0.25">
      <c r="A13794" t="s">
        <v>145</v>
      </c>
      <c r="B13794" s="1" t="str">
        <f>HYPERLINK("http://eksenatidi.fi","eksenatidi.fi")</f>
        <v>eksenatidi.fi</v>
      </c>
      <c r="C13794" t="s">
        <v>445</v>
      </c>
      <c r="D13794" t="s">
        <v>823</v>
      </c>
      <c r="J13794">
        <v>2</v>
      </c>
    </row>
    <row r="13795" spans="1:10" x14ac:dyDescent="0.25">
      <c r="A13795" t="s">
        <v>145</v>
      </c>
      <c r="B13795" s="1" t="str">
        <f>HYPERLINK("http://elanco.fi","elanco.fi")</f>
        <v>elanco.fi</v>
      </c>
      <c r="C13795" t="s">
        <v>445</v>
      </c>
      <c r="D13795" t="s">
        <v>823</v>
      </c>
      <c r="F13795">
        <v>4.55822950773146E-9</v>
      </c>
      <c r="G13795">
        <v>51349146</v>
      </c>
      <c r="H13795">
        <v>9459357</v>
      </c>
      <c r="I13795">
        <v>66365611</v>
      </c>
      <c r="J13795">
        <v>2</v>
      </c>
    </row>
    <row r="13796" spans="1:10" x14ac:dyDescent="0.25">
      <c r="A13796" t="s">
        <v>145</v>
      </c>
      <c r="B13796" s="1" t="str">
        <f>HYPERLINK("http://elililly.fi","elililly.fi")</f>
        <v>elililly.fi</v>
      </c>
      <c r="C13796" t="s">
        <v>445</v>
      </c>
      <c r="D13796" t="s">
        <v>823</v>
      </c>
      <c r="J13796">
        <v>2</v>
      </c>
    </row>
    <row r="13797" spans="1:10" x14ac:dyDescent="0.25">
      <c r="A13797" t="s">
        <v>145</v>
      </c>
      <c r="B13797" s="1" t="str">
        <f>HYPERLINK("http://forsteo.fi","forsteo.fi")</f>
        <v>forsteo.fi</v>
      </c>
      <c r="C13797" t="s">
        <v>445</v>
      </c>
      <c r="D13797" t="s">
        <v>823</v>
      </c>
      <c r="J13797">
        <v>2</v>
      </c>
    </row>
    <row r="13798" spans="1:10" x14ac:dyDescent="0.25">
      <c r="A13798" t="s">
        <v>145</v>
      </c>
      <c r="B13798" s="1" t="str">
        <f>HYPERLINK("http://galliprant.fi","galliprant.fi")</f>
        <v>galliprant.fi</v>
      </c>
      <c r="C13798" t="s">
        <v>445</v>
      </c>
      <c r="D13798" t="s">
        <v>823</v>
      </c>
      <c r="J13798">
        <v>2</v>
      </c>
    </row>
    <row r="13799" spans="1:10" x14ac:dyDescent="0.25">
      <c r="A13799" t="s">
        <v>145</v>
      </c>
      <c r="B13799" s="1" t="str">
        <f>HYPERLINK("http://huiputhallintaan.fi","huiputhallintaan.fi")</f>
        <v>huiputhallintaan.fi</v>
      </c>
      <c r="C13799" t="s">
        <v>445</v>
      </c>
      <c r="D13799" t="s">
        <v>823</v>
      </c>
      <c r="J13799">
        <v>2</v>
      </c>
    </row>
    <row r="13800" spans="1:10" x14ac:dyDescent="0.25">
      <c r="A13800" t="s">
        <v>145</v>
      </c>
      <c r="B13800" s="1" t="str">
        <f>HYPERLINK("http://insuliini.fi","insuliini.fi")</f>
        <v>insuliini.fi</v>
      </c>
      <c r="C13800" t="s">
        <v>445</v>
      </c>
      <c r="D13800" t="s">
        <v>823</v>
      </c>
      <c r="J13800">
        <v>2</v>
      </c>
    </row>
    <row r="13801" spans="1:10" x14ac:dyDescent="0.25">
      <c r="A13801" t="s">
        <v>145</v>
      </c>
      <c r="B13801" s="1" t="str">
        <f>HYPERLINK("http://ixekizumab.fi","ixekizumab.fi")</f>
        <v>ixekizumab.fi</v>
      </c>
      <c r="C13801" t="s">
        <v>445</v>
      </c>
      <c r="D13801" t="s">
        <v>823</v>
      </c>
      <c r="J13801">
        <v>2</v>
      </c>
    </row>
    <row r="13802" spans="1:10" x14ac:dyDescent="0.25">
      <c r="A13802" t="s">
        <v>145</v>
      </c>
      <c r="B13802" s="1" t="str">
        <f>HYPERLINK("http://kisunla.fi","kisunla.fi")</f>
        <v>kisunla.fi</v>
      </c>
      <c r="C13802" t="s">
        <v>445</v>
      </c>
      <c r="D13802" t="s">
        <v>823</v>
      </c>
      <c r="J13802">
        <v>2</v>
      </c>
    </row>
    <row r="13803" spans="1:10" x14ac:dyDescent="0.25">
      <c r="A13803" t="s">
        <v>145</v>
      </c>
      <c r="B13803" s="1" t="str">
        <f>HYPERLINK("http://lasmiditan.fi","lasmiditan.fi")</f>
        <v>lasmiditan.fi</v>
      </c>
      <c r="C13803" t="s">
        <v>445</v>
      </c>
      <c r="D13803" t="s">
        <v>823</v>
      </c>
      <c r="J13803">
        <v>2</v>
      </c>
    </row>
    <row r="13804" spans="1:10" x14ac:dyDescent="0.25">
      <c r="A13804" t="s">
        <v>145</v>
      </c>
      <c r="B13804" s="1" t="str">
        <f>HYPERLINK("http://learnwithlilly.fi","learnwithlilly.fi")</f>
        <v>learnwithlilly.fi</v>
      </c>
      <c r="C13804" t="s">
        <v>445</v>
      </c>
      <c r="D13804" t="s">
        <v>823</v>
      </c>
      <c r="J13804">
        <v>2</v>
      </c>
    </row>
    <row r="13805" spans="1:10" x14ac:dyDescent="0.25">
      <c r="A13805" t="s">
        <v>145</v>
      </c>
      <c r="B13805" s="1" t="str">
        <f>HYPERLINK("http://lilly.fi","lilly.fi")</f>
        <v>lilly.fi</v>
      </c>
      <c r="C13805" t="s">
        <v>445</v>
      </c>
      <c r="D13805" t="s">
        <v>823</v>
      </c>
      <c r="F13805">
        <v>6.4791444436524296E-9</v>
      </c>
      <c r="G13805">
        <v>14166421</v>
      </c>
      <c r="H13805">
        <v>13763751</v>
      </c>
      <c r="I13805">
        <v>7688107</v>
      </c>
      <c r="J13805">
        <v>2</v>
      </c>
    </row>
    <row r="13806" spans="1:10" x14ac:dyDescent="0.25">
      <c r="A13806" t="s">
        <v>145</v>
      </c>
      <c r="B13806" s="1" t="str">
        <f>HYPERLINK("http://lilly-plus.fi","lilly-plus.fi")</f>
        <v>lilly-plus.fi</v>
      </c>
      <c r="C13806" t="s">
        <v>445</v>
      </c>
      <c r="D13806" t="s">
        <v>823</v>
      </c>
      <c r="J13806">
        <v>2</v>
      </c>
    </row>
    <row r="13807" spans="1:10" x14ac:dyDescent="0.25">
      <c r="A13807" t="s">
        <v>145</v>
      </c>
      <c r="B13807" s="1" t="str">
        <f>HYPERLINK("http://lillymedical.fi","lillymedical.fi")</f>
        <v>lillymedical.fi</v>
      </c>
      <c r="C13807" t="s">
        <v>445</v>
      </c>
      <c r="D13807" t="s">
        <v>823</v>
      </c>
      <c r="J13807">
        <v>2</v>
      </c>
    </row>
    <row r="13808" spans="1:10" x14ac:dyDescent="0.25">
      <c r="A13808" t="s">
        <v>145</v>
      </c>
      <c r="B13808" s="1" t="str">
        <f>HYPERLINK("http://lillynewsletter.fi","lillynewsletter.fi")</f>
        <v>lillynewsletter.fi</v>
      </c>
      <c r="C13808" t="s">
        <v>445</v>
      </c>
      <c r="D13808" t="s">
        <v>823</v>
      </c>
      <c r="J13808">
        <v>2</v>
      </c>
    </row>
    <row r="13809" spans="1:10" x14ac:dyDescent="0.25">
      <c r="A13809" t="s">
        <v>145</v>
      </c>
      <c r="B13809" s="1" t="str">
        <f>HYPERLINK("http://lillynord.fi","lillynord.fi")</f>
        <v>lillynord.fi</v>
      </c>
      <c r="C13809" t="s">
        <v>445</v>
      </c>
      <c r="D13809" t="s">
        <v>823</v>
      </c>
      <c r="J13809">
        <v>2</v>
      </c>
    </row>
    <row r="13810" spans="1:10" x14ac:dyDescent="0.25">
      <c r="A13810" t="s">
        <v>145</v>
      </c>
      <c r="B13810" s="1" t="str">
        <f>HYPERLINK("http://lillypassport.fi","lillypassport.fi")</f>
        <v>lillypassport.fi</v>
      </c>
      <c r="C13810" t="s">
        <v>445</v>
      </c>
      <c r="D13810" t="s">
        <v>823</v>
      </c>
      <c r="J13810">
        <v>2</v>
      </c>
    </row>
    <row r="13811" spans="1:10" x14ac:dyDescent="0.25">
      <c r="A13811" t="s">
        <v>145</v>
      </c>
      <c r="B13811" s="1" t="str">
        <f>HYPERLINK("http://lillyplay.fi","lillyplay.fi")</f>
        <v>lillyplay.fi</v>
      </c>
      <c r="C13811" t="s">
        <v>445</v>
      </c>
      <c r="D13811" t="s">
        <v>823</v>
      </c>
      <c r="J13811">
        <v>2</v>
      </c>
    </row>
    <row r="13812" spans="1:10" x14ac:dyDescent="0.25">
      <c r="A13812" t="s">
        <v>145</v>
      </c>
      <c r="B13812" s="1" t="str">
        <f>HYPERLINK("http://lillyplus.fi","lillyplus.fi")</f>
        <v>lillyplus.fi</v>
      </c>
      <c r="C13812" t="s">
        <v>445</v>
      </c>
      <c r="D13812" t="s">
        <v>823</v>
      </c>
      <c r="J13812">
        <v>2</v>
      </c>
    </row>
    <row r="13813" spans="1:10" x14ac:dyDescent="0.25">
      <c r="A13813" t="s">
        <v>145</v>
      </c>
      <c r="B13813" s="1" t="str">
        <f>HYPERLINK("http://lillywebinaari.fi","lillywebinaari.fi")</f>
        <v>lillywebinaari.fi</v>
      </c>
      <c r="C13813" t="s">
        <v>445</v>
      </c>
      <c r="D13813" t="s">
        <v>823</v>
      </c>
      <c r="J13813">
        <v>2</v>
      </c>
    </row>
    <row r="13814" spans="1:10" x14ac:dyDescent="0.25">
      <c r="A13814" t="s">
        <v>145</v>
      </c>
      <c r="B13814" s="1" t="str">
        <f>HYPERLINK("http://mielekaspaiva.fi","mielekaspaiva.fi")</f>
        <v>mielekaspaiva.fi</v>
      </c>
      <c r="C13814" t="s">
        <v>445</v>
      </c>
      <c r="D13814" t="s">
        <v>823</v>
      </c>
      <c r="J13814">
        <v>2</v>
      </c>
    </row>
    <row r="13815" spans="1:10" x14ac:dyDescent="0.25">
      <c r="A13815" t="s">
        <v>145</v>
      </c>
      <c r="B13815" s="1" t="str">
        <f>HYPERLINK("http://mielijakeho.fi","mielijakeho.fi")</f>
        <v>mielijakeho.fi</v>
      </c>
      <c r="C13815" t="s">
        <v>445</v>
      </c>
      <c r="D13815" t="s">
        <v>823</v>
      </c>
      <c r="J13815">
        <v>2</v>
      </c>
    </row>
    <row r="13816" spans="1:10" x14ac:dyDescent="0.25">
      <c r="A13816" t="s">
        <v>145</v>
      </c>
      <c r="B13816" s="1" t="str">
        <f>HYPERLINK("http://mirikizumab.fi","mirikizumab.fi")</f>
        <v>mirikizumab.fi</v>
      </c>
      <c r="C13816" t="s">
        <v>445</v>
      </c>
      <c r="D13816" t="s">
        <v>823</v>
      </c>
      <c r="J13816">
        <v>2</v>
      </c>
    </row>
    <row r="13817" spans="1:10" x14ac:dyDescent="0.25">
      <c r="A13817" t="s">
        <v>145</v>
      </c>
      <c r="B13817" s="1" t="str">
        <f>HYPERLINK("http://mounjaro.fi","mounjaro.fi")</f>
        <v>mounjaro.fi</v>
      </c>
      <c r="C13817" t="s">
        <v>445</v>
      </c>
      <c r="D13817" t="s">
        <v>823</v>
      </c>
      <c r="J13817">
        <v>2</v>
      </c>
    </row>
    <row r="13818" spans="1:10" x14ac:dyDescent="0.25">
      <c r="A13818" t="s">
        <v>145</v>
      </c>
      <c r="B13818" s="1" t="str">
        <f>HYPERLINK("http://olantsapiini.fi","olantsapiini.fi")</f>
        <v>olantsapiini.fi</v>
      </c>
      <c r="C13818" t="s">
        <v>445</v>
      </c>
      <c r="D13818" t="s">
        <v>823</v>
      </c>
      <c r="J13818">
        <v>2</v>
      </c>
    </row>
    <row r="13819" spans="1:10" x14ac:dyDescent="0.25">
      <c r="A13819" t="s">
        <v>145</v>
      </c>
      <c r="B13819" s="1" t="str">
        <f>HYPERLINK("http://olumiant.fi","olumiant.fi")</f>
        <v>olumiant.fi</v>
      </c>
      <c r="C13819" t="s">
        <v>445</v>
      </c>
      <c r="D13819" t="s">
        <v>823</v>
      </c>
      <c r="J13819">
        <v>4</v>
      </c>
    </row>
    <row r="13820" spans="1:10" x14ac:dyDescent="0.25">
      <c r="A13820" t="s">
        <v>145</v>
      </c>
      <c r="B13820" s="1" t="str">
        <f>HYPERLINK("http://omvoh.fi","omvoh.fi")</f>
        <v>omvoh.fi</v>
      </c>
      <c r="C13820" t="s">
        <v>445</v>
      </c>
      <c r="D13820" t="s">
        <v>823</v>
      </c>
      <c r="J13820">
        <v>2</v>
      </c>
    </row>
    <row r="13821" spans="1:10" x14ac:dyDescent="0.25">
      <c r="A13821" t="s">
        <v>145</v>
      </c>
      <c r="B13821" s="1" t="str">
        <f>HYPERLINK("http://pontevia.fi","pontevia.fi")</f>
        <v>pontevia.fi</v>
      </c>
      <c r="C13821" t="s">
        <v>445</v>
      </c>
      <c r="D13821" t="s">
        <v>823</v>
      </c>
      <c r="J13821">
        <v>2</v>
      </c>
    </row>
    <row r="13822" spans="1:10" x14ac:dyDescent="0.25">
      <c r="A13822" t="s">
        <v>145</v>
      </c>
      <c r="B13822" s="1" t="str">
        <f>HYPERLINK("http://rayvow.fi","rayvow.fi")</f>
        <v>rayvow.fi</v>
      </c>
      <c r="C13822" t="s">
        <v>445</v>
      </c>
      <c r="D13822" t="s">
        <v>823</v>
      </c>
      <c r="J13822">
        <v>2</v>
      </c>
    </row>
    <row r="13823" spans="1:10" x14ac:dyDescent="0.25">
      <c r="A13823" t="s">
        <v>145</v>
      </c>
      <c r="B13823" s="1" t="str">
        <f>HYPERLINK("http://retevmo.fi","retevmo.fi")</f>
        <v>retevmo.fi</v>
      </c>
      <c r="C13823" t="s">
        <v>445</v>
      </c>
      <c r="D13823" t="s">
        <v>823</v>
      </c>
      <c r="J13823">
        <v>2</v>
      </c>
    </row>
    <row r="13824" spans="1:10" x14ac:dyDescent="0.25">
      <c r="A13824" t="s">
        <v>145</v>
      </c>
      <c r="B13824" s="1" t="str">
        <f>HYPERLINK("http://retselvu.fi","retselvu.fi")</f>
        <v>retselvu.fi</v>
      </c>
      <c r="C13824" t="s">
        <v>445</v>
      </c>
      <c r="D13824" t="s">
        <v>823</v>
      </c>
      <c r="J13824">
        <v>2</v>
      </c>
    </row>
    <row r="13825" spans="1:10" x14ac:dyDescent="0.25">
      <c r="A13825" t="s">
        <v>145</v>
      </c>
      <c r="B13825" s="1" t="str">
        <f>HYPERLINK("http://retsevmo.fi","retsevmo.fi")</f>
        <v>retsevmo.fi</v>
      </c>
      <c r="C13825" t="s">
        <v>445</v>
      </c>
      <c r="D13825" t="s">
        <v>823</v>
      </c>
      <c r="J13825">
        <v>2</v>
      </c>
    </row>
    <row r="13826" spans="1:10" x14ac:dyDescent="0.25">
      <c r="A13826" t="s">
        <v>145</v>
      </c>
      <c r="B13826" s="1" t="str">
        <f>HYPERLINK("http://reyvow.fi","reyvow.fi")</f>
        <v>reyvow.fi</v>
      </c>
      <c r="C13826" t="s">
        <v>445</v>
      </c>
      <c r="D13826" t="s">
        <v>823</v>
      </c>
      <c r="J13826">
        <v>2</v>
      </c>
    </row>
    <row r="13827" spans="1:10" x14ac:dyDescent="0.25">
      <c r="A13827" t="s">
        <v>145</v>
      </c>
      <c r="B13827" s="1" t="str">
        <f>HYPERLINK("http://reyvowe.fi","reyvowe.fi")</f>
        <v>reyvowe.fi</v>
      </c>
      <c r="C13827" t="s">
        <v>445</v>
      </c>
      <c r="D13827" t="s">
        <v>823</v>
      </c>
      <c r="J13827">
        <v>2</v>
      </c>
    </row>
    <row r="13828" spans="1:10" x14ac:dyDescent="0.25">
      <c r="A13828" t="s">
        <v>145</v>
      </c>
      <c r="B13828" s="1" t="str">
        <f>HYPERLINK("http://somatropiini.fi","somatropiini.fi")</f>
        <v>somatropiini.fi</v>
      </c>
      <c r="C13828" t="s">
        <v>445</v>
      </c>
      <c r="D13828" t="s">
        <v>823</v>
      </c>
      <c r="J13828">
        <v>2</v>
      </c>
    </row>
    <row r="13829" spans="1:10" x14ac:dyDescent="0.25">
      <c r="A13829" t="s">
        <v>145</v>
      </c>
      <c r="B13829" s="1" t="str">
        <f>HYPERLINK("http://tadalafiili.fi","tadalafiili.fi")</f>
        <v>tadalafiili.fi</v>
      </c>
      <c r="C13829" t="s">
        <v>445</v>
      </c>
      <c r="D13829" t="s">
        <v>823</v>
      </c>
      <c r="J13829">
        <v>2</v>
      </c>
    </row>
    <row r="13830" spans="1:10" x14ac:dyDescent="0.25">
      <c r="A13830" t="s">
        <v>145</v>
      </c>
      <c r="B13830" s="1" t="str">
        <f>HYPERLINK("http://taltz.fi","taltz.fi")</f>
        <v>taltz.fi</v>
      </c>
      <c r="C13830" t="s">
        <v>445</v>
      </c>
      <c r="D13830" t="s">
        <v>823</v>
      </c>
      <c r="J13830">
        <v>2</v>
      </c>
    </row>
    <row r="13831" spans="1:10" x14ac:dyDescent="0.25">
      <c r="A13831" t="s">
        <v>145</v>
      </c>
      <c r="B13831" s="1" t="str">
        <f>HYPERLINK("http://taltzpistosvideo.fi","taltzpistosvideo.fi")</f>
        <v>taltzpistosvideo.fi</v>
      </c>
      <c r="C13831" t="s">
        <v>445</v>
      </c>
      <c r="D13831" t="s">
        <v>823</v>
      </c>
      <c r="J13831">
        <v>2</v>
      </c>
    </row>
    <row r="13832" spans="1:10" x14ac:dyDescent="0.25">
      <c r="A13832" t="s">
        <v>145</v>
      </c>
      <c r="B13832" s="1" t="str">
        <f>HYPERLINK("http://teriparatidi.fi","teriparatidi.fi")</f>
        <v>teriparatidi.fi</v>
      </c>
      <c r="C13832" t="s">
        <v>445</v>
      </c>
      <c r="D13832" t="s">
        <v>823</v>
      </c>
      <c r="J13832">
        <v>2</v>
      </c>
    </row>
    <row r="13833" spans="1:10" x14ac:dyDescent="0.25">
      <c r="A13833" t="s">
        <v>145</v>
      </c>
      <c r="B13833" s="1" t="str">
        <f>HYPERLINK("http://trulicity.fi","trulicity.fi")</f>
        <v>trulicity.fi</v>
      </c>
      <c r="C13833" t="s">
        <v>445</v>
      </c>
      <c r="D13833" t="s">
        <v>823</v>
      </c>
      <c r="J13833">
        <v>2</v>
      </c>
    </row>
    <row r="13834" spans="1:10" x14ac:dyDescent="0.25">
      <c r="A13834" t="s">
        <v>145</v>
      </c>
      <c r="B13834" s="1" t="str">
        <f>HYPERLINK("http://uuttaluuta.fi","uuttaluuta.fi")</f>
        <v>uuttaluuta.fi</v>
      </c>
      <c r="C13834" t="s">
        <v>445</v>
      </c>
      <c r="D13834" t="s">
        <v>823</v>
      </c>
      <c r="J13834">
        <v>4</v>
      </c>
    </row>
    <row r="13835" spans="1:10" x14ac:dyDescent="0.25">
      <c r="A13835" t="s">
        <v>145</v>
      </c>
      <c r="B13835" s="1" t="str">
        <f>HYPERLINK("http://vital90days.fi","vital90days.fi")</f>
        <v>vital90days.fi</v>
      </c>
      <c r="C13835" t="s">
        <v>445</v>
      </c>
      <c r="D13835" t="s">
        <v>823</v>
      </c>
      <c r="J13835">
        <v>4</v>
      </c>
    </row>
    <row r="13836" spans="1:10" x14ac:dyDescent="0.25">
      <c r="A13836" t="s">
        <v>145</v>
      </c>
      <c r="B13836" s="1" t="str">
        <f>HYPERLINK("http://yentreve.fi","yentreve.fi")</f>
        <v>yentreve.fi</v>
      </c>
      <c r="C13836" t="s">
        <v>445</v>
      </c>
      <c r="D13836" t="s">
        <v>823</v>
      </c>
      <c r="J13836">
        <v>2</v>
      </c>
    </row>
    <row r="13837" spans="1:10" x14ac:dyDescent="0.25">
      <c r="A13837" t="s">
        <v>145</v>
      </c>
      <c r="B13837" s="1" t="str">
        <f>HYPERLINK("http://lilly.fr","lilly.fr")</f>
        <v>lilly.fr</v>
      </c>
      <c r="C13837" t="s">
        <v>446</v>
      </c>
      <c r="D13837" t="s">
        <v>824</v>
      </c>
      <c r="F13837">
        <v>9.2756448857411706E-8</v>
      </c>
      <c r="G13837">
        <v>438529</v>
      </c>
      <c r="H13837">
        <v>14085718</v>
      </c>
      <c r="I13837">
        <v>2775715</v>
      </c>
      <c r="J13837">
        <v>2</v>
      </c>
    </row>
    <row r="13838" spans="1:10" x14ac:dyDescent="0.25">
      <c r="A13838" t="s">
        <v>145</v>
      </c>
      <c r="B13838" s="1" t="str">
        <f>HYPERLINK("http://lillyindia.co.in","lillyindia.co.in")</f>
        <v>lillyindia.co.in</v>
      </c>
      <c r="C13838" t="s">
        <v>457</v>
      </c>
      <c r="D13838" t="s">
        <v>834</v>
      </c>
      <c r="F13838">
        <v>1.9086073824757301E-8</v>
      </c>
      <c r="G13838">
        <v>2820277</v>
      </c>
      <c r="H13838">
        <v>14078515</v>
      </c>
      <c r="I13838">
        <v>2845610</v>
      </c>
      <c r="J13838">
        <v>3</v>
      </c>
    </row>
    <row r="13839" spans="1:10" x14ac:dyDescent="0.25">
      <c r="A13839" t="s">
        <v>145</v>
      </c>
      <c r="B13839" s="1" t="str">
        <f>HYPERLINK("http://lilly.it","lilly.it")</f>
        <v>lilly.it</v>
      </c>
      <c r="C13839" t="s">
        <v>459</v>
      </c>
      <c r="D13839" t="s">
        <v>835</v>
      </c>
      <c r="F13839">
        <v>5.2186007294634098E-8</v>
      </c>
      <c r="G13839">
        <v>874577</v>
      </c>
      <c r="H13839">
        <v>12852481</v>
      </c>
      <c r="I13839">
        <v>14250977</v>
      </c>
      <c r="J13839">
        <v>3</v>
      </c>
    </row>
    <row r="13840" spans="1:10" x14ac:dyDescent="0.25">
      <c r="A13840" t="s">
        <v>145</v>
      </c>
      <c r="B13840" s="1" t="str">
        <f>HYPERLINK("http://lilly.co.jp","lilly.co.jp")</f>
        <v>lilly.co.jp</v>
      </c>
      <c r="C13840" t="s">
        <v>461</v>
      </c>
      <c r="D13840" t="s">
        <v>837</v>
      </c>
      <c r="E13840">
        <v>898846</v>
      </c>
      <c r="F13840">
        <v>1.5263701474955001E-7</v>
      </c>
      <c r="G13840">
        <v>254451</v>
      </c>
      <c r="H13840">
        <v>14170180</v>
      </c>
      <c r="I13840">
        <v>1805105</v>
      </c>
      <c r="J13840">
        <v>3</v>
      </c>
    </row>
    <row r="13841" spans="1:10" x14ac:dyDescent="0.25">
      <c r="A13841" t="s">
        <v>145</v>
      </c>
      <c r="B13841" s="1" t="str">
        <f>HYPERLINK("http://lilly.no","lilly.no")</f>
        <v>lilly.no</v>
      </c>
      <c r="C13841" t="s">
        <v>478</v>
      </c>
      <c r="D13841" t="s">
        <v>853</v>
      </c>
      <c r="F13841">
        <v>1.15089187641363E-8</v>
      </c>
      <c r="G13841">
        <v>5497840</v>
      </c>
      <c r="H13841">
        <v>12165753</v>
      </c>
      <c r="I13841">
        <v>24179213</v>
      </c>
      <c r="J13841">
        <v>3</v>
      </c>
    </row>
    <row r="13842" spans="1:10" x14ac:dyDescent="0.25">
      <c r="A13842" t="s">
        <v>145</v>
      </c>
      <c r="B13842" s="1" t="str">
        <f>HYPERLINK("http://lilly.co.nz","lilly.co.nz")</f>
        <v>lilly.co.nz</v>
      </c>
      <c r="C13842" t="s">
        <v>479</v>
      </c>
      <c r="D13842" t="s">
        <v>854</v>
      </c>
      <c r="F13842">
        <v>5.1222148604682098E-9</v>
      </c>
      <c r="G13842">
        <v>26614384</v>
      </c>
      <c r="H13842">
        <v>11022985</v>
      </c>
      <c r="I13842">
        <v>33207292</v>
      </c>
      <c r="J13842">
        <v>3</v>
      </c>
    </row>
    <row r="13843" spans="1:10" x14ac:dyDescent="0.25">
      <c r="A13843" t="s">
        <v>145</v>
      </c>
      <c r="B13843" s="1" t="str">
        <f>HYPERLINK("http://lilly.pl","lilly.pl")</f>
        <v>lilly.pl</v>
      </c>
      <c r="C13843" t="s">
        <v>486</v>
      </c>
      <c r="D13843" t="s">
        <v>860</v>
      </c>
      <c r="F13843">
        <v>1.25251945159202E-8</v>
      </c>
      <c r="G13843">
        <v>4872137</v>
      </c>
      <c r="H13843">
        <v>12250405</v>
      </c>
      <c r="I13843">
        <v>22007055</v>
      </c>
      <c r="J13843">
        <v>2</v>
      </c>
    </row>
    <row r="13844" spans="1:10" x14ac:dyDescent="0.25">
      <c r="A13844" t="s">
        <v>145</v>
      </c>
      <c r="B13844" s="1" t="str">
        <f>HYPERLINK("http://lilly.pt","lilly.pt")</f>
        <v>lilly.pt</v>
      </c>
      <c r="C13844" t="s">
        <v>488</v>
      </c>
      <c r="D13844" t="s">
        <v>862</v>
      </c>
      <c r="F13844">
        <v>3.6340946140815697E-8</v>
      </c>
      <c r="G13844">
        <v>1435833</v>
      </c>
      <c r="H13844">
        <v>12418347</v>
      </c>
      <c r="I13844">
        <v>18488337</v>
      </c>
      <c r="J13844">
        <v>2</v>
      </c>
    </row>
    <row r="13845" spans="1:10" x14ac:dyDescent="0.25">
      <c r="A13845" t="s">
        <v>145</v>
      </c>
      <c r="B13845" s="1" t="str">
        <f>HYPERLINK("http://eli-lilly.ro","eli-lilly.ro")</f>
        <v>eli-lilly.ro</v>
      </c>
      <c r="C13845" t="s">
        <v>491</v>
      </c>
      <c r="D13845" t="s">
        <v>865</v>
      </c>
      <c r="F13845">
        <v>1.01374160245033E-8</v>
      </c>
      <c r="G13845">
        <v>6609262</v>
      </c>
      <c r="H13845">
        <v>13933063</v>
      </c>
      <c r="I13845">
        <v>5110097</v>
      </c>
      <c r="J13845">
        <v>3</v>
      </c>
    </row>
    <row r="13846" spans="1:10" x14ac:dyDescent="0.25">
      <c r="A13846" t="s">
        <v>145</v>
      </c>
      <c r="B13846" s="1" t="str">
        <f>HYPERLINK("http://lilly.ru","lilly.ru")</f>
        <v>lilly.ru</v>
      </c>
      <c r="C13846" t="s">
        <v>493</v>
      </c>
      <c r="D13846" t="s">
        <v>867</v>
      </c>
      <c r="F13846">
        <v>2.7246404180885502E-8</v>
      </c>
      <c r="G13846">
        <v>1886972</v>
      </c>
      <c r="H13846">
        <v>12694619</v>
      </c>
      <c r="I13846">
        <v>15388158</v>
      </c>
      <c r="J13846">
        <v>3</v>
      </c>
    </row>
    <row r="13847" spans="1:10" x14ac:dyDescent="0.25">
      <c r="A13847" t="s">
        <v>145</v>
      </c>
      <c r="B13847" s="1" t="str">
        <f>HYPERLINK("http://lilly.se","lilly.se")</f>
        <v>lilly.se</v>
      </c>
      <c r="C13847" t="s">
        <v>495</v>
      </c>
      <c r="D13847" t="s">
        <v>869</v>
      </c>
      <c r="F13847">
        <v>1.22110244538382E-8</v>
      </c>
      <c r="G13847">
        <v>5044167</v>
      </c>
      <c r="H13847">
        <v>12866230</v>
      </c>
      <c r="I13847">
        <v>14148270</v>
      </c>
      <c r="J13847">
        <v>3</v>
      </c>
    </row>
    <row r="13848" spans="1:10" x14ac:dyDescent="0.25">
      <c r="A13848" t="s">
        <v>145</v>
      </c>
      <c r="B13848" s="1" t="str">
        <f>HYPERLINK("http://lilly.com.sg","lilly.com.sg")</f>
        <v>lilly.com.sg</v>
      </c>
      <c r="C13848" t="s">
        <v>496</v>
      </c>
      <c r="D13848" t="s">
        <v>870</v>
      </c>
      <c r="F13848">
        <v>6.7654653749046298E-9</v>
      </c>
      <c r="G13848">
        <v>13076851</v>
      </c>
      <c r="H13848">
        <v>13480910</v>
      </c>
      <c r="I13848">
        <v>10008439</v>
      </c>
      <c r="J13848">
        <v>3</v>
      </c>
    </row>
    <row r="13849" spans="1:10" x14ac:dyDescent="0.25">
      <c r="A13849" t="s">
        <v>145</v>
      </c>
      <c r="B13849" s="1" t="str">
        <f>HYPERLINK("http://lillynus.com.sg","lillynus.com.sg")</f>
        <v>lillynus.com.sg</v>
      </c>
      <c r="C13849" t="s">
        <v>496</v>
      </c>
      <c r="D13849" t="s">
        <v>870</v>
      </c>
      <c r="J13849">
        <v>5</v>
      </c>
    </row>
    <row r="13850" spans="1:10" x14ac:dyDescent="0.25">
      <c r="A13850" t="s">
        <v>145</v>
      </c>
      <c r="B13850" s="1" t="str">
        <f>HYPERLINK("http://elililly.si","elililly.si")</f>
        <v>elililly.si</v>
      </c>
      <c r="C13850" t="s">
        <v>497</v>
      </c>
      <c r="D13850" t="s">
        <v>871</v>
      </c>
      <c r="F13850">
        <v>4.7944242816198303E-9</v>
      </c>
      <c r="G13850">
        <v>36307551</v>
      </c>
      <c r="H13850">
        <v>10664233</v>
      </c>
      <c r="I13850">
        <v>43190478</v>
      </c>
      <c r="J13850">
        <v>3</v>
      </c>
    </row>
    <row r="13851" spans="1:10" x14ac:dyDescent="0.25">
      <c r="A13851" t="s">
        <v>145</v>
      </c>
      <c r="B13851" s="1" t="str">
        <f>HYPERLINK("http://lilly.co.uk","lilly.co.uk")</f>
        <v>lilly.co.uk</v>
      </c>
      <c r="C13851" t="s">
        <v>506</v>
      </c>
      <c r="D13851" t="s">
        <v>880</v>
      </c>
      <c r="F13851">
        <v>4.5344862078007197E-8</v>
      </c>
      <c r="G13851">
        <v>1039097</v>
      </c>
      <c r="H13851">
        <v>14180036</v>
      </c>
      <c r="I13851">
        <v>1781430</v>
      </c>
      <c r="J13851">
        <v>2</v>
      </c>
    </row>
    <row r="13852" spans="1:10" x14ac:dyDescent="0.25">
      <c r="A13852" t="s">
        <v>146</v>
      </c>
      <c r="B13852" s="1" t="str">
        <f>HYPERLINK("http://emersonprocess.be","emersonprocess.be")</f>
        <v>emersonprocess.be</v>
      </c>
      <c r="C13852" t="s">
        <v>421</v>
      </c>
      <c r="D13852" t="s">
        <v>803</v>
      </c>
      <c r="F13852">
        <v>4.5302046954982198E-9</v>
      </c>
      <c r="G13852">
        <v>55032642</v>
      </c>
      <c r="H13852">
        <v>10764640</v>
      </c>
      <c r="I13852">
        <v>39449200</v>
      </c>
      <c r="J13852">
        <v>4</v>
      </c>
    </row>
    <row r="13853" spans="1:10" x14ac:dyDescent="0.25">
      <c r="A13853" t="s">
        <v>146</v>
      </c>
      <c r="B13853" s="1" t="str">
        <f>HYPERLINK("http://emersonprocess.com.br","emersonprocess.com.br")</f>
        <v>emersonprocess.com.br</v>
      </c>
      <c r="C13853" t="s">
        <v>425</v>
      </c>
      <c r="D13853" t="s">
        <v>806</v>
      </c>
      <c r="F13853">
        <v>4.4448360081728903E-9</v>
      </c>
      <c r="G13853">
        <v>76010467</v>
      </c>
      <c r="H13853">
        <v>10723365</v>
      </c>
      <c r="I13853">
        <v>41507798</v>
      </c>
      <c r="J13853">
        <v>4</v>
      </c>
    </row>
    <row r="13854" spans="1:10" x14ac:dyDescent="0.25">
      <c r="A13854" t="s">
        <v>146</v>
      </c>
      <c r="B13854" s="1" t="str">
        <f>HYPERLINK("http://westlock.com.br","westlock.com.br")</f>
        <v>westlock.com.br</v>
      </c>
      <c r="C13854" t="s">
        <v>425</v>
      </c>
      <c r="D13854" t="s">
        <v>806</v>
      </c>
      <c r="J13854">
        <v>3</v>
      </c>
    </row>
    <row r="13855" spans="1:10" x14ac:dyDescent="0.25">
      <c r="A13855" t="s">
        <v>146</v>
      </c>
      <c r="B13855" s="1" t="str">
        <f>HYPERLINK("http://emersoncanada.ca","emersoncanada.ca")</f>
        <v>emersoncanada.ca</v>
      </c>
      <c r="C13855" t="s">
        <v>428</v>
      </c>
      <c r="D13855" t="s">
        <v>809</v>
      </c>
      <c r="F13855">
        <v>7.7920334417023092E-9</v>
      </c>
      <c r="G13855">
        <v>10341249</v>
      </c>
      <c r="H13855">
        <v>12107623</v>
      </c>
      <c r="I13855">
        <v>25793659</v>
      </c>
      <c r="J13855">
        <v>4</v>
      </c>
    </row>
    <row r="13856" spans="1:10" x14ac:dyDescent="0.25">
      <c r="A13856" t="s">
        <v>146</v>
      </c>
      <c r="B13856" s="1" t="str">
        <f>HYPERLINK("http://aspentech.cn","aspentech.cn")</f>
        <v>aspentech.cn</v>
      </c>
      <c r="C13856" t="s">
        <v>431</v>
      </c>
      <c r="D13856" t="s">
        <v>812</v>
      </c>
      <c r="F13856">
        <v>1.8660182920786599E-8</v>
      </c>
      <c r="G13856">
        <v>2896607</v>
      </c>
      <c r="H13856">
        <v>14035957</v>
      </c>
      <c r="I13856">
        <v>3914926</v>
      </c>
      <c r="J13856">
        <v>4</v>
      </c>
    </row>
    <row r="13857" spans="1:10" x14ac:dyDescent="0.25">
      <c r="A13857" t="s">
        <v>146</v>
      </c>
      <c r="B13857" s="1" t="str">
        <f>HYPERLINK("http://emersonprocess.com.cn","emersonprocess.com.cn")</f>
        <v>emersonprocess.com.cn</v>
      </c>
      <c r="C13857" t="s">
        <v>431</v>
      </c>
      <c r="D13857" t="s">
        <v>812</v>
      </c>
      <c r="J13857">
        <v>9</v>
      </c>
    </row>
    <row r="13858" spans="1:10" x14ac:dyDescent="0.25">
      <c r="A13858" t="s">
        <v>146</v>
      </c>
      <c r="B13858" s="1" t="str">
        <f>HYPERLINK("http://klauke.com.cn","klauke.com.cn")</f>
        <v>klauke.com.cn</v>
      </c>
      <c r="C13858" t="s">
        <v>431</v>
      </c>
      <c r="D13858" t="s">
        <v>812</v>
      </c>
      <c r="F13858">
        <v>6.8111154310727197E-9</v>
      </c>
      <c r="G13858">
        <v>12923160</v>
      </c>
      <c r="H13858">
        <v>10134481</v>
      </c>
      <c r="I13858">
        <v>59548965</v>
      </c>
      <c r="J13858">
        <v>7</v>
      </c>
    </row>
    <row r="13859" spans="1:10" x14ac:dyDescent="0.25">
      <c r="A13859" t="s">
        <v>146</v>
      </c>
      <c r="B13859" s="1" t="str">
        <f>HYPERLINK("http://emerson.cn","emerson.cn")</f>
        <v>emerson.cn</v>
      </c>
      <c r="C13859" t="s">
        <v>431</v>
      </c>
      <c r="D13859" t="s">
        <v>812</v>
      </c>
      <c r="E13859">
        <v>573463</v>
      </c>
      <c r="F13859">
        <v>6.2351576875466002E-8</v>
      </c>
      <c r="G13859">
        <v>704116</v>
      </c>
      <c r="H13859">
        <v>13159619</v>
      </c>
      <c r="I13859">
        <v>11789099</v>
      </c>
      <c r="J13859">
        <v>2</v>
      </c>
    </row>
    <row r="13860" spans="1:10" x14ac:dyDescent="0.25">
      <c r="A13860" t="s">
        <v>146</v>
      </c>
      <c r="B13860" s="1" t="str">
        <f>HYPERLINK("http://ridgid.cn","ridgid.cn")</f>
        <v>ridgid.cn</v>
      </c>
      <c r="C13860" t="s">
        <v>431</v>
      </c>
      <c r="D13860" t="s">
        <v>812</v>
      </c>
      <c r="F13860">
        <v>8.7176063775474604E-9</v>
      </c>
      <c r="G13860">
        <v>8447099</v>
      </c>
      <c r="H13860">
        <v>12047773</v>
      </c>
      <c r="I13860">
        <v>27312643</v>
      </c>
      <c r="J13860">
        <v>4</v>
      </c>
    </row>
    <row r="13861" spans="1:10" x14ac:dyDescent="0.25">
      <c r="A13861" t="s">
        <v>146</v>
      </c>
      <c r="B13861" s="1" t="str">
        <f>HYPERLINK("http://emerson.co","emerson.co")</f>
        <v>emerson.co</v>
      </c>
      <c r="C13861" t="s">
        <v>432</v>
      </c>
      <c r="J13861">
        <v>3</v>
      </c>
    </row>
    <row r="13862" spans="1:10" x14ac:dyDescent="0.25">
      <c r="A13862" t="s">
        <v>146</v>
      </c>
      <c r="B13862" s="1" t="str">
        <f>HYPERLINK("http://verdant.co","verdant.co")</f>
        <v>verdant.co</v>
      </c>
      <c r="C13862" t="s">
        <v>432</v>
      </c>
      <c r="F13862">
        <v>3.9712708223779599E-8</v>
      </c>
      <c r="G13862">
        <v>1300695</v>
      </c>
      <c r="H13862">
        <v>12766900</v>
      </c>
      <c r="I13862">
        <v>14866809</v>
      </c>
      <c r="J13862">
        <v>5</v>
      </c>
    </row>
    <row r="13863" spans="1:10" x14ac:dyDescent="0.25">
      <c r="A13863" t="s">
        <v>146</v>
      </c>
      <c r="B13863" s="1" t="str">
        <f>HYPERLINK("http://ae-valves.com","ae-valves.com")</f>
        <v>ae-valves.com</v>
      </c>
      <c r="C13863" t="s">
        <v>433</v>
      </c>
      <c r="F13863">
        <v>6.4084438833997799E-9</v>
      </c>
      <c r="G13863">
        <v>14477974</v>
      </c>
      <c r="H13863">
        <v>13763981</v>
      </c>
      <c r="I13863">
        <v>7449694</v>
      </c>
      <c r="J13863">
        <v>3</v>
      </c>
    </row>
    <row r="13864" spans="1:10" x14ac:dyDescent="0.25">
      <c r="A13864" t="s">
        <v>146</v>
      </c>
      <c r="B13864" s="1" t="str">
        <f>HYPERLINK("http://appletongrouponline.com","appletongrouponline.com")</f>
        <v>appletongrouponline.com</v>
      </c>
      <c r="C13864" t="s">
        <v>433</v>
      </c>
      <c r="F13864">
        <v>5.8620299958680503E-9</v>
      </c>
      <c r="G13864">
        <v>17623806</v>
      </c>
      <c r="H13864">
        <v>12356878</v>
      </c>
      <c r="I13864">
        <v>19645836</v>
      </c>
      <c r="J13864">
        <v>3</v>
      </c>
    </row>
    <row r="13865" spans="1:10" x14ac:dyDescent="0.25">
      <c r="A13865" t="s">
        <v>146</v>
      </c>
      <c r="B13865" s="1" t="str">
        <f>HYPERLINK("http://aspentech.com","aspentech.com")</f>
        <v>aspentech.com</v>
      </c>
      <c r="C13865" t="s">
        <v>433</v>
      </c>
      <c r="E13865">
        <v>50147</v>
      </c>
      <c r="F13865">
        <v>4.52736069380923E-7</v>
      </c>
      <c r="G13865">
        <v>83498</v>
      </c>
      <c r="H13865">
        <v>15572407</v>
      </c>
      <c r="I13865">
        <v>373148</v>
      </c>
      <c r="J13865">
        <v>3</v>
      </c>
    </row>
    <row r="13866" spans="1:10" x14ac:dyDescent="0.25">
      <c r="A13866" t="s">
        <v>146</v>
      </c>
      <c r="B13866" s="1" t="str">
        <f>HYPERLINK("http://aventics.com","aventics.com")</f>
        <v>aventics.com</v>
      </c>
      <c r="C13866" t="s">
        <v>433</v>
      </c>
      <c r="E13866">
        <v>644842</v>
      </c>
      <c r="F13866">
        <v>1.2868671871577201E-7</v>
      </c>
      <c r="G13866">
        <v>304578</v>
      </c>
      <c r="H13866">
        <v>14271557</v>
      </c>
      <c r="I13866">
        <v>1396560</v>
      </c>
      <c r="J13866">
        <v>5</v>
      </c>
    </row>
    <row r="13867" spans="1:10" x14ac:dyDescent="0.25">
      <c r="A13867" t="s">
        <v>146</v>
      </c>
      <c r="B13867" s="1" t="str">
        <f>HYPERLINK("http://branson-china.com","branson-china.com")</f>
        <v>branson-china.com</v>
      </c>
      <c r="C13867" t="s">
        <v>433</v>
      </c>
      <c r="F13867">
        <v>4.4974966656149399E-9</v>
      </c>
      <c r="G13867">
        <v>59317146</v>
      </c>
      <c r="H13867">
        <v>9888740</v>
      </c>
      <c r="I13867">
        <v>61790813</v>
      </c>
      <c r="J13867">
        <v>9</v>
      </c>
    </row>
    <row r="13868" spans="1:10" x14ac:dyDescent="0.25">
      <c r="A13868" t="s">
        <v>146</v>
      </c>
      <c r="B13868" s="1" t="str">
        <f>HYPERLINK("http://camo.com","camo.com")</f>
        <v>camo.com</v>
      </c>
      <c r="C13868" t="s">
        <v>433</v>
      </c>
      <c r="F13868">
        <v>5.20275431166706E-8</v>
      </c>
      <c r="G13868">
        <v>877678</v>
      </c>
      <c r="H13868">
        <v>14735512</v>
      </c>
      <c r="I13868">
        <v>569684</v>
      </c>
      <c r="J13868">
        <v>3</v>
      </c>
    </row>
    <row r="13869" spans="1:10" x14ac:dyDescent="0.25">
      <c r="A13869" t="s">
        <v>146</v>
      </c>
      <c r="B13869" s="1" t="str">
        <f>HYPERLINK("http://electronics1.com","electronics1.com")</f>
        <v>electronics1.com</v>
      </c>
      <c r="C13869" t="s">
        <v>433</v>
      </c>
      <c r="F13869">
        <v>4.6961438764690102E-9</v>
      </c>
      <c r="G13869">
        <v>41446026</v>
      </c>
      <c r="H13869">
        <v>11442943</v>
      </c>
      <c r="I13869">
        <v>30130276</v>
      </c>
      <c r="J13869">
        <v>7</v>
      </c>
    </row>
    <row r="13870" spans="1:10" x14ac:dyDescent="0.25">
      <c r="A13870" t="s">
        <v>146</v>
      </c>
      <c r="B13870" s="1" t="str">
        <f>HYPERLINK("http://emerso.com","emerso.com")</f>
        <v>emerso.com</v>
      </c>
      <c r="C13870" t="s">
        <v>433</v>
      </c>
      <c r="J13870">
        <v>3</v>
      </c>
    </row>
    <row r="13871" spans="1:10" x14ac:dyDescent="0.25">
      <c r="A13871" t="s">
        <v>146</v>
      </c>
      <c r="B13871" s="1" t="str">
        <f>HYPERLINK("http://emerson.com","emerson.com")</f>
        <v>emerson.com</v>
      </c>
      <c r="C13871" t="s">
        <v>433</v>
      </c>
      <c r="E13871">
        <v>13285</v>
      </c>
      <c r="F13871">
        <v>2.14056118999918E-6</v>
      </c>
      <c r="G13871">
        <v>17116</v>
      </c>
      <c r="H13871">
        <v>17546992</v>
      </c>
      <c r="I13871">
        <v>11395</v>
      </c>
      <c r="J13871">
        <v>1</v>
      </c>
    </row>
    <row r="13872" spans="1:10" x14ac:dyDescent="0.25">
      <c r="A13872" t="s">
        <v>146</v>
      </c>
      <c r="B13872" s="1" t="str">
        <f>HYPERLINK("http://emersonautomationexperts.com","emersonautomationexperts.com")</f>
        <v>emersonautomationexperts.com</v>
      </c>
      <c r="C13872" t="s">
        <v>433</v>
      </c>
      <c r="E13872">
        <v>983073</v>
      </c>
      <c r="F13872">
        <v>1.4914623667733099E-7</v>
      </c>
      <c r="G13872">
        <v>260540</v>
      </c>
      <c r="H13872">
        <v>14280397</v>
      </c>
      <c r="I13872">
        <v>1380290</v>
      </c>
      <c r="J13872">
        <v>4</v>
      </c>
    </row>
    <row r="13873" spans="1:10" x14ac:dyDescent="0.25">
      <c r="A13873" t="s">
        <v>146</v>
      </c>
      <c r="B13873" s="1" t="str">
        <f>HYPERLINK("http://emersonclimate.com","emersonclimate.com")</f>
        <v>emersonclimate.com</v>
      </c>
      <c r="C13873" t="s">
        <v>433</v>
      </c>
      <c r="E13873">
        <v>391272</v>
      </c>
      <c r="F13873">
        <v>1.6735373940332301E-7</v>
      </c>
      <c r="G13873">
        <v>231878</v>
      </c>
      <c r="H13873">
        <v>17054206</v>
      </c>
      <c r="I13873">
        <v>75464</v>
      </c>
      <c r="J13873">
        <v>4</v>
      </c>
    </row>
    <row r="13874" spans="1:10" x14ac:dyDescent="0.25">
      <c r="A13874" t="s">
        <v>146</v>
      </c>
      <c r="B13874" s="1" t="str">
        <f>HYPERLINK("http://emersonindustrial.com","emersonindustrial.com")</f>
        <v>emersonindustrial.com</v>
      </c>
      <c r="C13874" t="s">
        <v>433</v>
      </c>
      <c r="E13874">
        <v>574203</v>
      </c>
      <c r="F13874">
        <v>9.2291611198096001E-8</v>
      </c>
      <c r="G13874">
        <v>441043</v>
      </c>
      <c r="H13874">
        <v>14885932</v>
      </c>
      <c r="I13874">
        <v>469540</v>
      </c>
      <c r="J13874">
        <v>4</v>
      </c>
    </row>
    <row r="13875" spans="1:10" x14ac:dyDescent="0.25">
      <c r="A13875" t="s">
        <v>146</v>
      </c>
      <c r="B13875" s="1" t="str">
        <f>HYPERLINK("http://emersonprocess.com","emersonprocess.com")</f>
        <v>emersonprocess.com</v>
      </c>
      <c r="C13875" t="s">
        <v>433</v>
      </c>
      <c r="E13875">
        <v>64013</v>
      </c>
      <c r="F13875">
        <v>5.0064835226616399E-7</v>
      </c>
      <c r="G13875">
        <v>76355</v>
      </c>
      <c r="H13875">
        <v>14982085</v>
      </c>
      <c r="I13875">
        <v>430387</v>
      </c>
      <c r="J13875">
        <v>2</v>
      </c>
    </row>
    <row r="13876" spans="1:10" x14ac:dyDescent="0.25">
      <c r="A13876" t="s">
        <v>146</v>
      </c>
      <c r="B13876" s="1" t="str">
        <f>HYPERLINK("http://enardo.com","enardo.com")</f>
        <v>enardo.com</v>
      </c>
      <c r="C13876" t="s">
        <v>433</v>
      </c>
      <c r="F13876">
        <v>9.37997946644727E-9</v>
      </c>
      <c r="G13876">
        <v>7470906</v>
      </c>
      <c r="H13876">
        <v>13769202</v>
      </c>
      <c r="I13876">
        <v>6805103</v>
      </c>
      <c r="J13876">
        <v>4</v>
      </c>
    </row>
    <row r="13877" spans="1:10" x14ac:dyDescent="0.25">
      <c r="A13877" t="s">
        <v>146</v>
      </c>
      <c r="B13877" s="1" t="str">
        <f>HYPERLINK("http://fidelis-group.com","fidelis-group.com")</f>
        <v>fidelis-group.com</v>
      </c>
      <c r="C13877" t="s">
        <v>433</v>
      </c>
      <c r="F13877">
        <v>4.4487261716091003E-9</v>
      </c>
      <c r="G13877">
        <v>72682403</v>
      </c>
      <c r="H13877">
        <v>10775106</v>
      </c>
      <c r="I13877">
        <v>39072147</v>
      </c>
      <c r="J13877">
        <v>5</v>
      </c>
    </row>
    <row r="13878" spans="1:10" x14ac:dyDescent="0.25">
      <c r="A13878" t="s">
        <v>146</v>
      </c>
      <c r="B13878" s="1" t="str">
        <f>HYPERLINK("http://greenlee.com","greenlee.com")</f>
        <v>greenlee.com</v>
      </c>
      <c r="C13878" t="s">
        <v>433</v>
      </c>
      <c r="E13878">
        <v>311964</v>
      </c>
      <c r="F13878">
        <v>1.30239490562789E-7</v>
      </c>
      <c r="G13878">
        <v>300509</v>
      </c>
      <c r="H13878">
        <v>14308671</v>
      </c>
      <c r="I13878">
        <v>1345757</v>
      </c>
      <c r="J13878">
        <v>3</v>
      </c>
    </row>
    <row r="13879" spans="1:10" x14ac:dyDescent="0.25">
      <c r="A13879" t="s">
        <v>146</v>
      </c>
      <c r="B13879" s="1" t="str">
        <f>HYPERLINK("http://groveley.com","groveley.com")</f>
        <v>groveley.com</v>
      </c>
      <c r="C13879" t="s">
        <v>433</v>
      </c>
      <c r="J13879">
        <v>3</v>
      </c>
    </row>
    <row r="13880" spans="1:10" x14ac:dyDescent="0.25">
      <c r="A13880" t="s">
        <v>146</v>
      </c>
      <c r="B13880" s="1" t="str">
        <f>HYPERLINK("http://hvmcorp.com","hvmcorp.com")</f>
        <v>hvmcorp.com</v>
      </c>
      <c r="C13880" t="s">
        <v>433</v>
      </c>
      <c r="F13880">
        <v>7.6005458532592402E-9</v>
      </c>
      <c r="G13880">
        <v>10793333</v>
      </c>
      <c r="H13880">
        <v>13063236</v>
      </c>
      <c r="I13880">
        <v>12308259</v>
      </c>
      <c r="J13880">
        <v>4</v>
      </c>
    </row>
    <row r="13881" spans="1:10" x14ac:dyDescent="0.25">
      <c r="A13881" t="s">
        <v>146</v>
      </c>
      <c r="B13881" s="1" t="str">
        <f>HYPERLINK("http://inmation.com","inmation.com")</f>
        <v>inmation.com</v>
      </c>
      <c r="C13881" t="s">
        <v>433</v>
      </c>
      <c r="F13881">
        <v>2.6145617786374101E-8</v>
      </c>
      <c r="G13881">
        <v>1970263</v>
      </c>
      <c r="H13881">
        <v>13794469</v>
      </c>
      <c r="I13881">
        <v>6315441</v>
      </c>
      <c r="J13881">
        <v>3</v>
      </c>
    </row>
    <row r="13882" spans="1:10" x14ac:dyDescent="0.25">
      <c r="A13882" t="s">
        <v>146</v>
      </c>
      <c r="B13882" s="1" t="str">
        <f>HYPERLINK("http://isemagtech.com","isemagtech.com")</f>
        <v>isemagtech.com</v>
      </c>
      <c r="C13882" t="s">
        <v>433</v>
      </c>
      <c r="F13882">
        <v>4.6196669360710402E-9</v>
      </c>
      <c r="G13882">
        <v>46153916</v>
      </c>
      <c r="H13882">
        <v>13763634</v>
      </c>
      <c r="I13882">
        <v>8356521</v>
      </c>
      <c r="J13882">
        <v>4</v>
      </c>
    </row>
    <row r="13883" spans="1:10" x14ac:dyDescent="0.25">
      <c r="A13883" t="s">
        <v>146</v>
      </c>
      <c r="B13883" s="1" t="str">
        <f>HYPERLINK("http://klauke.com","klauke.com")</f>
        <v>klauke.com</v>
      </c>
      <c r="C13883" t="s">
        <v>433</v>
      </c>
      <c r="E13883">
        <v>704834</v>
      </c>
      <c r="F13883">
        <v>6.6785325465981597E-8</v>
      </c>
      <c r="G13883">
        <v>640996</v>
      </c>
      <c r="H13883">
        <v>13378585</v>
      </c>
      <c r="I13883">
        <v>10432574</v>
      </c>
      <c r="J13883">
        <v>6</v>
      </c>
    </row>
    <row r="13884" spans="1:10" x14ac:dyDescent="0.25">
      <c r="A13884" t="s">
        <v>146</v>
      </c>
      <c r="B13884" s="1" t="str">
        <f>HYPERLINK("http://mita-teknik.com","mita-teknik.com")</f>
        <v>mita-teknik.com</v>
      </c>
      <c r="C13884" t="s">
        <v>433</v>
      </c>
      <c r="F13884">
        <v>1.3484412687243801E-8</v>
      </c>
      <c r="G13884">
        <v>4410413</v>
      </c>
      <c r="H13884">
        <v>13764536</v>
      </c>
      <c r="I13884">
        <v>7242571</v>
      </c>
      <c r="J13884">
        <v>4</v>
      </c>
    </row>
    <row r="13885" spans="1:10" x14ac:dyDescent="0.25">
      <c r="A13885" t="s">
        <v>146</v>
      </c>
      <c r="B13885" s="1" t="str">
        <f>HYPERLINK("http://mtell.com","mtell.com")</f>
        <v>mtell.com</v>
      </c>
      <c r="C13885" t="s">
        <v>433</v>
      </c>
      <c r="F13885">
        <v>1.05622455122034E-8</v>
      </c>
      <c r="G13885">
        <v>6216016</v>
      </c>
      <c r="H13885">
        <v>13327838</v>
      </c>
      <c r="I13885">
        <v>10726474</v>
      </c>
      <c r="J13885">
        <v>5</v>
      </c>
    </row>
    <row r="13886" spans="1:10" x14ac:dyDescent="0.25">
      <c r="A13886" t="s">
        <v>146</v>
      </c>
      <c r="B13886" s="1" t="str">
        <f>HYPERLINK("http://myrefcon.com","myrefcon.com")</f>
        <v>myrefcon.com</v>
      </c>
      <c r="C13886" t="s">
        <v>433</v>
      </c>
      <c r="F13886">
        <v>4.4450378938711698E-9</v>
      </c>
      <c r="G13886">
        <v>75736372</v>
      </c>
      <c r="H13886">
        <v>7605655.5</v>
      </c>
      <c r="I13886">
        <v>76220797</v>
      </c>
      <c r="J13886">
        <v>7</v>
      </c>
    </row>
    <row r="13887" spans="1:10" x14ac:dyDescent="0.25">
      <c r="A13887" t="s">
        <v>146</v>
      </c>
      <c r="B13887" s="1" t="str">
        <f>HYPERLINK("http://osii.com","osii.com")</f>
        <v>osii.com</v>
      </c>
      <c r="C13887" t="s">
        <v>433</v>
      </c>
      <c r="E13887">
        <v>356977</v>
      </c>
      <c r="F13887">
        <v>3.74905632792068E-8</v>
      </c>
      <c r="G13887">
        <v>1380491</v>
      </c>
      <c r="H13887">
        <v>14648094</v>
      </c>
      <c r="I13887">
        <v>631076</v>
      </c>
      <c r="J13887">
        <v>3</v>
      </c>
    </row>
    <row r="13888" spans="1:10" x14ac:dyDescent="0.25">
      <c r="A13888" t="s">
        <v>146</v>
      </c>
      <c r="B13888" s="1" t="str">
        <f>HYPERLINK("http://pdgm.com","pdgm.com")</f>
        <v>pdgm.com</v>
      </c>
      <c r="C13888" t="s">
        <v>433</v>
      </c>
      <c r="E13888">
        <v>809004</v>
      </c>
      <c r="F13888">
        <v>9.40630968983553E-8</v>
      </c>
      <c r="G13888">
        <v>431604</v>
      </c>
      <c r="H13888">
        <v>14486870</v>
      </c>
      <c r="I13888">
        <v>957596</v>
      </c>
      <c r="J13888">
        <v>5</v>
      </c>
    </row>
    <row r="13889" spans="1:10" x14ac:dyDescent="0.25">
      <c r="A13889" t="s">
        <v>146</v>
      </c>
      <c r="B13889" s="1" t="str">
        <f>HYPERLINK("http://permasense.com","permasense.com")</f>
        <v>permasense.com</v>
      </c>
      <c r="C13889" t="s">
        <v>433</v>
      </c>
      <c r="F13889">
        <v>1.2350990253361399E-8</v>
      </c>
      <c r="G13889">
        <v>4965947</v>
      </c>
      <c r="H13889">
        <v>13290486</v>
      </c>
      <c r="I13889">
        <v>10875319</v>
      </c>
      <c r="J13889">
        <v>7</v>
      </c>
    </row>
    <row r="13890" spans="1:10" x14ac:dyDescent="0.25">
      <c r="A13890" t="s">
        <v>146</v>
      </c>
      <c r="B13890" s="1" t="str">
        <f>HYPERLINK("http://progea.com","progea.com")</f>
        <v>progea.com</v>
      </c>
      <c r="C13890" t="s">
        <v>433</v>
      </c>
      <c r="F13890">
        <v>4.3257203587599001E-8</v>
      </c>
      <c r="G13890">
        <v>1108637</v>
      </c>
      <c r="H13890">
        <v>14238392</v>
      </c>
      <c r="I13890">
        <v>1527680</v>
      </c>
      <c r="J13890">
        <v>3</v>
      </c>
    </row>
    <row r="13891" spans="1:10" x14ac:dyDescent="0.25">
      <c r="A13891" t="s">
        <v>146</v>
      </c>
      <c r="B13891" s="1" t="str">
        <f>HYPERLINK("http://ridgid.com","ridgid.com")</f>
        <v>ridgid.com</v>
      </c>
      <c r="C13891" t="s">
        <v>433</v>
      </c>
      <c r="E13891">
        <v>78379</v>
      </c>
      <c r="F13891">
        <v>2.9857515024926602E-7</v>
      </c>
      <c r="G13891">
        <v>124551</v>
      </c>
      <c r="H13891">
        <v>17082800</v>
      </c>
      <c r="I13891">
        <v>67663</v>
      </c>
      <c r="J13891">
        <v>4</v>
      </c>
    </row>
    <row r="13892" spans="1:10" x14ac:dyDescent="0.25">
      <c r="A13892" t="s">
        <v>146</v>
      </c>
      <c r="B13892" s="1" t="str">
        <f>HYPERLINK("http://ridgidapps.com","ridgidapps.com")</f>
        <v>ridgidapps.com</v>
      </c>
      <c r="C13892" t="s">
        <v>433</v>
      </c>
      <c r="E13892">
        <v>788992</v>
      </c>
      <c r="F13892">
        <v>2.5472295278065699E-8</v>
      </c>
      <c r="G13892">
        <v>2025011</v>
      </c>
      <c r="H13892">
        <v>12286881</v>
      </c>
      <c r="I13892">
        <v>21176362</v>
      </c>
      <c r="J13892">
        <v>2</v>
      </c>
    </row>
    <row r="13893" spans="1:10" x14ac:dyDescent="0.25">
      <c r="A13893" t="s">
        <v>146</v>
      </c>
      <c r="B13893" s="1" t="str">
        <f>HYPERLINK("http://rosemount.com","rosemount.com")</f>
        <v>rosemount.com</v>
      </c>
      <c r="C13893" t="s">
        <v>433</v>
      </c>
      <c r="F13893">
        <v>2.6149687717024999E-8</v>
      </c>
      <c r="G13893">
        <v>1969945</v>
      </c>
      <c r="H13893">
        <v>13786924</v>
      </c>
      <c r="I13893">
        <v>6379938</v>
      </c>
      <c r="J13893">
        <v>4</v>
      </c>
    </row>
    <row r="13894" spans="1:10" x14ac:dyDescent="0.25">
      <c r="A13894" t="s">
        <v>146</v>
      </c>
      <c r="B13894" s="1" t="str">
        <f>HYPERLINK("http://rosemount-tankradar.com","rosemount-tankradar.com")</f>
        <v>rosemount-tankradar.com</v>
      </c>
      <c r="C13894" t="s">
        <v>433</v>
      </c>
      <c r="F13894">
        <v>5.7718864001549199E-9</v>
      </c>
      <c r="G13894">
        <v>18311306</v>
      </c>
      <c r="H13894">
        <v>14119732</v>
      </c>
      <c r="I13894">
        <v>2516961</v>
      </c>
      <c r="J13894">
        <v>4</v>
      </c>
    </row>
    <row r="13895" spans="1:10" x14ac:dyDescent="0.25">
      <c r="A13895" t="s">
        <v>146</v>
      </c>
      <c r="B13895" s="1" t="str">
        <f>HYPERLINK("http://roxar.com","roxar.com")</f>
        <v>roxar.com</v>
      </c>
      <c r="C13895" t="s">
        <v>433</v>
      </c>
      <c r="E13895">
        <v>286242</v>
      </c>
      <c r="F13895">
        <v>1.24261721886671E-8</v>
      </c>
      <c r="G13895">
        <v>4925283</v>
      </c>
      <c r="H13895">
        <v>14236079</v>
      </c>
      <c r="I13895">
        <v>1612613</v>
      </c>
      <c r="J13895">
        <v>4</v>
      </c>
    </row>
    <row r="13896" spans="1:10" x14ac:dyDescent="0.25">
      <c r="A13896" t="s">
        <v>146</v>
      </c>
      <c r="B13896" s="1" t="str">
        <f>HYPERLINK("http://roxarsoftware.com","roxarsoftware.com")</f>
        <v>roxarsoftware.com</v>
      </c>
      <c r="C13896" t="s">
        <v>433</v>
      </c>
      <c r="F13896">
        <v>4.4496408307268396E-9</v>
      </c>
      <c r="G13896">
        <v>72134396</v>
      </c>
      <c r="H13896">
        <v>10662609</v>
      </c>
      <c r="I13896">
        <v>43315542</v>
      </c>
      <c r="J13896">
        <v>5</v>
      </c>
    </row>
    <row r="13897" spans="1:10" x14ac:dyDescent="0.25">
      <c r="A13897" t="s">
        <v>146</v>
      </c>
      <c r="B13897" s="1" t="str">
        <f>HYPERLINK("http://safetysystemsuk.com","safetysystemsuk.com")</f>
        <v>safetysystemsuk.com</v>
      </c>
      <c r="C13897" t="s">
        <v>433</v>
      </c>
      <c r="F13897">
        <v>8.5429625348822499E-9</v>
      </c>
      <c r="G13897">
        <v>8763603</v>
      </c>
      <c r="H13897">
        <v>12855844</v>
      </c>
      <c r="I13897">
        <v>14229044</v>
      </c>
      <c r="J13897">
        <v>6</v>
      </c>
    </row>
    <row r="13898" spans="1:10" x14ac:dyDescent="0.25">
      <c r="A13898" t="s">
        <v>146</v>
      </c>
      <c r="B13898" s="1" t="str">
        <f>HYPERLINK("http://tescom-europe.com","tescom-europe.com")</f>
        <v>tescom-europe.com</v>
      </c>
      <c r="C13898" t="s">
        <v>433</v>
      </c>
      <c r="F13898">
        <v>5.0146739310538797E-9</v>
      </c>
      <c r="G13898">
        <v>29025443</v>
      </c>
      <c r="H13898">
        <v>10531018</v>
      </c>
      <c r="I13898">
        <v>48182892</v>
      </c>
      <c r="J13898">
        <v>5</v>
      </c>
    </row>
    <row r="13899" spans="1:10" x14ac:dyDescent="0.25">
      <c r="A13899" t="s">
        <v>146</v>
      </c>
      <c r="B13899" s="1" t="str">
        <f>HYPERLINK("http://vilter.com","vilter.com")</f>
        <v>vilter.com</v>
      </c>
      <c r="C13899" t="s">
        <v>433</v>
      </c>
      <c r="F13899">
        <v>4.4162994949314202E-8</v>
      </c>
      <c r="G13899">
        <v>1076157</v>
      </c>
      <c r="H13899">
        <v>16751205</v>
      </c>
      <c r="I13899">
        <v>275587</v>
      </c>
      <c r="J13899">
        <v>4</v>
      </c>
    </row>
    <row r="13900" spans="1:10" x14ac:dyDescent="0.25">
      <c r="A13900" t="s">
        <v>146</v>
      </c>
      <c r="B13900" s="1" t="str">
        <f>HYPERLINK("http://ascojoucomatic.cz","ascojoucomatic.cz")</f>
        <v>ascojoucomatic.cz</v>
      </c>
      <c r="C13900" t="s">
        <v>435</v>
      </c>
      <c r="D13900" t="s">
        <v>814</v>
      </c>
      <c r="J13900">
        <v>3</v>
      </c>
    </row>
    <row r="13901" spans="1:10" x14ac:dyDescent="0.25">
      <c r="A13901" t="s">
        <v>146</v>
      </c>
      <c r="B13901" s="1" t="str">
        <f>HYPERLINK("http://ascojoucomatic.de","ascojoucomatic.de")</f>
        <v>ascojoucomatic.de</v>
      </c>
      <c r="C13901" t="s">
        <v>436</v>
      </c>
      <c r="D13901" t="s">
        <v>815</v>
      </c>
      <c r="F13901">
        <v>4.7173056457629402E-9</v>
      </c>
      <c r="G13901">
        <v>40349280</v>
      </c>
      <c r="H13901">
        <v>10990814</v>
      </c>
      <c r="I13901">
        <v>33733549</v>
      </c>
      <c r="J13901">
        <v>9</v>
      </c>
    </row>
    <row r="13902" spans="1:10" x14ac:dyDescent="0.25">
      <c r="A13902" t="s">
        <v>146</v>
      </c>
      <c r="B13902" s="1" t="str">
        <f>HYPERLINK("http://branson.de","branson.de")</f>
        <v>branson.de</v>
      </c>
      <c r="C13902" t="s">
        <v>436</v>
      </c>
      <c r="D13902" t="s">
        <v>815</v>
      </c>
      <c r="F13902">
        <v>4.4849606845477401E-9</v>
      </c>
      <c r="G13902">
        <v>61404649</v>
      </c>
      <c r="H13902">
        <v>10652626</v>
      </c>
      <c r="I13902">
        <v>43573682</v>
      </c>
      <c r="J13902">
        <v>5</v>
      </c>
    </row>
    <row r="13903" spans="1:10" x14ac:dyDescent="0.25">
      <c r="A13903" t="s">
        <v>146</v>
      </c>
      <c r="B13903" s="1" t="str">
        <f>HYPERLINK("http://emersonprocess.de","emersonprocess.de")</f>
        <v>emersonprocess.de</v>
      </c>
      <c r="C13903" t="s">
        <v>436</v>
      </c>
      <c r="D13903" t="s">
        <v>815</v>
      </c>
      <c r="F13903">
        <v>7.5427671062924294E-9</v>
      </c>
      <c r="G13903">
        <v>10920564</v>
      </c>
      <c r="H13903">
        <v>12485994</v>
      </c>
      <c r="I13903">
        <v>17533988</v>
      </c>
      <c r="J13903">
        <v>3</v>
      </c>
    </row>
    <row r="13904" spans="1:10" x14ac:dyDescent="0.25">
      <c r="A13904" t="s">
        <v>146</v>
      </c>
      <c r="B13904" s="1" t="str">
        <f>HYPERLINK("http://mecafrance.de","mecafrance.de")</f>
        <v>mecafrance.de</v>
      </c>
      <c r="C13904" t="s">
        <v>436</v>
      </c>
      <c r="D13904" t="s">
        <v>815</v>
      </c>
      <c r="F13904">
        <v>4.8106836517419904E-9</v>
      </c>
      <c r="G13904">
        <v>35674838</v>
      </c>
      <c r="H13904">
        <v>10530536</v>
      </c>
      <c r="I13904">
        <v>48252136</v>
      </c>
      <c r="J13904">
        <v>5</v>
      </c>
    </row>
    <row r="13905" spans="1:10" x14ac:dyDescent="0.25">
      <c r="A13905" t="s">
        <v>146</v>
      </c>
      <c r="B13905" s="1" t="str">
        <f>HYPERLINK("http://progea.de","progea.de")</f>
        <v>progea.de</v>
      </c>
      <c r="C13905" t="s">
        <v>436</v>
      </c>
      <c r="D13905" t="s">
        <v>815</v>
      </c>
      <c r="F13905">
        <v>4.8966987295949298E-9</v>
      </c>
      <c r="G13905">
        <v>32562805</v>
      </c>
      <c r="H13905">
        <v>10956741</v>
      </c>
      <c r="I13905">
        <v>34431178</v>
      </c>
      <c r="J13905">
        <v>4</v>
      </c>
    </row>
    <row r="13906" spans="1:10" x14ac:dyDescent="0.25">
      <c r="A13906" t="s">
        <v>146</v>
      </c>
      <c r="B13906" s="1" t="str">
        <f>HYPERLINK("http://ridgid.de","ridgid.de")</f>
        <v>ridgid.de</v>
      </c>
      <c r="C13906" t="s">
        <v>436</v>
      </c>
      <c r="D13906" t="s">
        <v>815</v>
      </c>
      <c r="F13906">
        <v>5.47596897819413E-9</v>
      </c>
      <c r="G13906">
        <v>21177329</v>
      </c>
      <c r="H13906">
        <v>11003645</v>
      </c>
      <c r="I13906">
        <v>33513886</v>
      </c>
      <c r="J13906">
        <v>6</v>
      </c>
    </row>
    <row r="13907" spans="1:10" x14ac:dyDescent="0.25">
      <c r="A13907" t="s">
        <v>146</v>
      </c>
      <c r="B13907" s="1" t="str">
        <f>HYPERLINK("http://sabo-armaturen.de","sabo-armaturen.de")</f>
        <v>sabo-armaturen.de</v>
      </c>
      <c r="C13907" t="s">
        <v>436</v>
      </c>
      <c r="D13907" t="s">
        <v>815</v>
      </c>
      <c r="F13907">
        <v>4.5807518311401498E-9</v>
      </c>
      <c r="G13907">
        <v>49228650</v>
      </c>
      <c r="H13907">
        <v>8689608</v>
      </c>
      <c r="I13907">
        <v>70027852</v>
      </c>
      <c r="J13907">
        <v>5</v>
      </c>
    </row>
    <row r="13908" spans="1:10" x14ac:dyDescent="0.25">
      <c r="A13908" t="s">
        <v>146</v>
      </c>
      <c r="B13908" s="1" t="str">
        <f>HYPERLINK("http://emersonprocess.es","emersonprocess.es")</f>
        <v>emersonprocess.es</v>
      </c>
      <c r="C13908" t="s">
        <v>443</v>
      </c>
      <c r="D13908" t="s">
        <v>822</v>
      </c>
      <c r="F13908">
        <v>5.4946786148848701E-9</v>
      </c>
      <c r="G13908">
        <v>20960873</v>
      </c>
      <c r="H13908">
        <v>12537172</v>
      </c>
      <c r="I13908">
        <v>16969294</v>
      </c>
      <c r="J13908">
        <v>6</v>
      </c>
    </row>
    <row r="13909" spans="1:10" x14ac:dyDescent="0.25">
      <c r="A13909" t="s">
        <v>146</v>
      </c>
      <c r="B13909" s="1" t="str">
        <f>HYPERLINK("http://asconumatics.eu","asconumatics.eu")</f>
        <v>asconumatics.eu</v>
      </c>
      <c r="C13909" t="s">
        <v>444</v>
      </c>
      <c r="F13909">
        <v>3.3966648200621E-8</v>
      </c>
      <c r="G13909">
        <v>1524214</v>
      </c>
      <c r="H13909">
        <v>14471577</v>
      </c>
      <c r="I13909">
        <v>1041557</v>
      </c>
      <c r="J13909">
        <v>3</v>
      </c>
    </row>
    <row r="13910" spans="1:10" x14ac:dyDescent="0.25">
      <c r="A13910" t="s">
        <v>146</v>
      </c>
      <c r="B13910" s="1" t="str">
        <f>HYPERLINK("http://bransoneurope.eu","bransoneurope.eu")</f>
        <v>bransoneurope.eu</v>
      </c>
      <c r="C13910" t="s">
        <v>444</v>
      </c>
      <c r="F13910">
        <v>5.3841238410966103E-9</v>
      </c>
      <c r="G13910">
        <v>22366309</v>
      </c>
      <c r="H13910">
        <v>10949242</v>
      </c>
      <c r="I13910">
        <v>34601663</v>
      </c>
      <c r="J13910">
        <v>4</v>
      </c>
    </row>
    <row r="13911" spans="1:10" x14ac:dyDescent="0.25">
      <c r="A13911" t="s">
        <v>146</v>
      </c>
      <c r="B13911" s="1" t="str">
        <f>HYPERLINK("http://emr-automation.eu","emr-automation.eu")</f>
        <v>emr-automation.eu</v>
      </c>
      <c r="C13911" t="s">
        <v>444</v>
      </c>
      <c r="F13911">
        <v>4.44527202259839E-9</v>
      </c>
      <c r="G13911">
        <v>75450565</v>
      </c>
      <c r="H13911">
        <v>10455748</v>
      </c>
      <c r="I13911">
        <v>51969253</v>
      </c>
      <c r="J13911">
        <v>5</v>
      </c>
    </row>
    <row r="13912" spans="1:10" x14ac:dyDescent="0.25">
      <c r="A13912" t="s">
        <v>146</v>
      </c>
      <c r="B13912" s="1" t="str">
        <f>HYPERLINK("http://ridgid.eu","ridgid.eu")</f>
        <v>ridgid.eu</v>
      </c>
      <c r="C13912" t="s">
        <v>444</v>
      </c>
      <c r="E13912">
        <v>650640</v>
      </c>
      <c r="F13912">
        <v>6.0929163532017104E-8</v>
      </c>
      <c r="G13912">
        <v>723232</v>
      </c>
      <c r="H13912">
        <v>12501525</v>
      </c>
      <c r="I13912">
        <v>17345272</v>
      </c>
      <c r="J13912">
        <v>3</v>
      </c>
    </row>
    <row r="13913" spans="1:10" x14ac:dyDescent="0.25">
      <c r="A13913" t="s">
        <v>146</v>
      </c>
      <c r="B13913" s="1" t="str">
        <f>HYPERLINK("http://aventics.fi","aventics.fi")</f>
        <v>aventics.fi</v>
      </c>
      <c r="C13913" t="s">
        <v>445</v>
      </c>
      <c r="D13913" t="s">
        <v>823</v>
      </c>
      <c r="F13913">
        <v>4.9801810159956998E-9</v>
      </c>
      <c r="G13913">
        <v>29992503</v>
      </c>
      <c r="H13913">
        <v>12406892</v>
      </c>
      <c r="I13913">
        <v>18658306</v>
      </c>
      <c r="J13913">
        <v>5</v>
      </c>
    </row>
    <row r="13914" spans="1:10" x14ac:dyDescent="0.25">
      <c r="A13914" t="s">
        <v>146</v>
      </c>
      <c r="B13914" s="1" t="str">
        <f>HYPERLINK("http://emerson.fi","emerson.fi")</f>
        <v>emerson.fi</v>
      </c>
      <c r="C13914" t="s">
        <v>445</v>
      </c>
      <c r="D13914" t="s">
        <v>823</v>
      </c>
      <c r="J13914">
        <v>5</v>
      </c>
    </row>
    <row r="13915" spans="1:10" x14ac:dyDescent="0.25">
      <c r="A13915" t="s">
        <v>146</v>
      </c>
      <c r="B13915" s="1" t="str">
        <f>HYPERLINK("http://emersonprocess.fi","emersonprocess.fi")</f>
        <v>emersonprocess.fi</v>
      </c>
      <c r="C13915" t="s">
        <v>445</v>
      </c>
      <c r="D13915" t="s">
        <v>823</v>
      </c>
      <c r="F13915">
        <v>4.5035730068441004E-9</v>
      </c>
      <c r="G13915">
        <v>58418628</v>
      </c>
      <c r="H13915">
        <v>10348860</v>
      </c>
      <c r="I13915">
        <v>56509328</v>
      </c>
      <c r="J13915">
        <v>5</v>
      </c>
    </row>
    <row r="13916" spans="1:10" x14ac:dyDescent="0.25">
      <c r="A13916" t="s">
        <v>146</v>
      </c>
      <c r="B13916" s="1" t="str">
        <f>HYPERLINK("http://pneumatics-shop.fi","pneumatics-shop.fi")</f>
        <v>pneumatics-shop.fi</v>
      </c>
      <c r="C13916" t="s">
        <v>445</v>
      </c>
      <c r="D13916" t="s">
        <v>823</v>
      </c>
      <c r="F13916">
        <v>4.4990980602866098E-9</v>
      </c>
      <c r="G13916">
        <v>59075030</v>
      </c>
      <c r="H13916">
        <v>10732021</v>
      </c>
      <c r="I13916">
        <v>40831313</v>
      </c>
      <c r="J13916">
        <v>5</v>
      </c>
    </row>
    <row r="13917" spans="1:10" x14ac:dyDescent="0.25">
      <c r="A13917" t="s">
        <v>146</v>
      </c>
      <c r="B13917" s="1" t="str">
        <f>HYPERLINK("http://pneumaticsshop.fi","pneumaticsshop.fi")</f>
        <v>pneumaticsshop.fi</v>
      </c>
      <c r="C13917" t="s">
        <v>445</v>
      </c>
      <c r="D13917" t="s">
        <v>823</v>
      </c>
      <c r="J13917">
        <v>5</v>
      </c>
    </row>
    <row r="13918" spans="1:10" x14ac:dyDescent="0.25">
      <c r="A13918" t="s">
        <v>146</v>
      </c>
      <c r="B13918" s="1" t="str">
        <f>HYPERLINK("http://emersonprocess.fr","emersonprocess.fr")</f>
        <v>emersonprocess.fr</v>
      </c>
      <c r="C13918" t="s">
        <v>446</v>
      </c>
      <c r="D13918" t="s">
        <v>824</v>
      </c>
      <c r="F13918">
        <v>5.8576155599366603E-9</v>
      </c>
      <c r="G13918">
        <v>17655346</v>
      </c>
      <c r="H13918">
        <v>10948204</v>
      </c>
      <c r="I13918">
        <v>34627927</v>
      </c>
      <c r="J13918">
        <v>4</v>
      </c>
    </row>
    <row r="13919" spans="1:10" x14ac:dyDescent="0.25">
      <c r="A13919" t="s">
        <v>146</v>
      </c>
      <c r="B13919" s="1" t="str">
        <f>HYPERLINK("http://hte.ie","hte.ie")</f>
        <v>hte.ie</v>
      </c>
      <c r="C13919" t="s">
        <v>455</v>
      </c>
      <c r="D13919" t="s">
        <v>832</v>
      </c>
      <c r="F13919">
        <v>4.7559904766340601E-9</v>
      </c>
      <c r="G13919">
        <v>38061005</v>
      </c>
      <c r="H13919">
        <v>10924522</v>
      </c>
      <c r="I13919">
        <v>35181120</v>
      </c>
      <c r="J13919">
        <v>3</v>
      </c>
    </row>
    <row r="13920" spans="1:10" x14ac:dyDescent="0.25">
      <c r="A13920" t="s">
        <v>146</v>
      </c>
      <c r="B13920" s="1" t="str">
        <f>HYPERLINK("http://branson-ultraschall.info","branson-ultraschall.info")</f>
        <v>branson-ultraschall.info</v>
      </c>
      <c r="C13920" t="s">
        <v>458</v>
      </c>
      <c r="J13920">
        <v>6</v>
      </c>
    </row>
    <row r="13921" spans="1:10" x14ac:dyDescent="0.25">
      <c r="A13921" t="s">
        <v>146</v>
      </c>
      <c r="B13921" s="1" t="str">
        <f>HYPERLINK("http://verdant.info","verdant.info")</f>
        <v>verdant.info</v>
      </c>
      <c r="C13921" t="s">
        <v>458</v>
      </c>
      <c r="F13921">
        <v>5.6422888542845404E-9</v>
      </c>
      <c r="G13921">
        <v>19463815</v>
      </c>
      <c r="H13921">
        <v>12172471</v>
      </c>
      <c r="I13921">
        <v>24005569</v>
      </c>
      <c r="J13921">
        <v>3</v>
      </c>
    </row>
    <row r="13922" spans="1:10" x14ac:dyDescent="0.25">
      <c r="A13922" t="s">
        <v>146</v>
      </c>
      <c r="B13922" s="1" t="str">
        <f>HYPERLINK("http://ridgid.it","ridgid.it")</f>
        <v>ridgid.it</v>
      </c>
      <c r="C13922" t="s">
        <v>459</v>
      </c>
      <c r="D13922" t="s">
        <v>835</v>
      </c>
      <c r="F13922">
        <v>4.58674672246363E-9</v>
      </c>
      <c r="G13922">
        <v>48690146</v>
      </c>
      <c r="H13922">
        <v>9283795</v>
      </c>
      <c r="I13922">
        <v>68579581</v>
      </c>
      <c r="J13922">
        <v>5</v>
      </c>
    </row>
    <row r="13923" spans="1:10" x14ac:dyDescent="0.25">
      <c r="A13923" t="s">
        <v>146</v>
      </c>
      <c r="B13923" s="1" t="str">
        <f>HYPERLINK("http://ascojp.co.jp","ascojp.co.jp")</f>
        <v>ascojp.co.jp</v>
      </c>
      <c r="C13923" t="s">
        <v>461</v>
      </c>
      <c r="D13923" t="s">
        <v>837</v>
      </c>
      <c r="F13923">
        <v>7.3465371470939301E-9</v>
      </c>
      <c r="G13923">
        <v>11368825</v>
      </c>
      <c r="H13923">
        <v>14078363</v>
      </c>
      <c r="I13923">
        <v>2848119</v>
      </c>
      <c r="J13923">
        <v>6</v>
      </c>
    </row>
    <row r="13924" spans="1:10" x14ac:dyDescent="0.25">
      <c r="A13924" t="s">
        <v>146</v>
      </c>
      <c r="B13924" s="1" t="str">
        <f>HYPERLINK("http://emerson.co.jp","emerson.co.jp")</f>
        <v>emerson.co.jp</v>
      </c>
      <c r="C13924" t="s">
        <v>461</v>
      </c>
      <c r="D13924" t="s">
        <v>837</v>
      </c>
      <c r="F13924">
        <v>2.9314195990930501E-8</v>
      </c>
      <c r="G13924">
        <v>1757550</v>
      </c>
      <c r="H13924">
        <v>14237356</v>
      </c>
      <c r="I13924">
        <v>1553310</v>
      </c>
      <c r="J13924">
        <v>2</v>
      </c>
    </row>
    <row r="13925" spans="1:10" x14ac:dyDescent="0.25">
      <c r="A13925" t="s">
        <v>146</v>
      </c>
      <c r="B13925" s="1" t="str">
        <f>HYPERLINK("http://branson.co.kr","branson.co.kr")</f>
        <v>branson.co.kr</v>
      </c>
      <c r="C13925" t="s">
        <v>463</v>
      </c>
      <c r="D13925" t="s">
        <v>839</v>
      </c>
      <c r="F13925">
        <v>4.5901781233257899E-9</v>
      </c>
      <c r="G13925">
        <v>48391388</v>
      </c>
      <c r="H13925">
        <v>12154144</v>
      </c>
      <c r="I13925">
        <v>24517860</v>
      </c>
      <c r="J13925">
        <v>6</v>
      </c>
    </row>
    <row r="13926" spans="1:10" x14ac:dyDescent="0.25">
      <c r="A13926" t="s">
        <v>146</v>
      </c>
      <c r="B13926" s="1" t="str">
        <f>HYPERLINK("http://ridgid.co.kr","ridgid.co.kr")</f>
        <v>ridgid.co.kr</v>
      </c>
      <c r="C13926" t="s">
        <v>463</v>
      </c>
      <c r="D13926" t="s">
        <v>839</v>
      </c>
      <c r="F13926">
        <v>7.3542906742827803E-9</v>
      </c>
      <c r="G13926">
        <v>11351067</v>
      </c>
      <c r="H13926">
        <v>12039073</v>
      </c>
      <c r="I13926">
        <v>27483070</v>
      </c>
      <c r="J13926">
        <v>4</v>
      </c>
    </row>
    <row r="13927" spans="1:10" x14ac:dyDescent="0.25">
      <c r="A13927" t="s">
        <v>146</v>
      </c>
      <c r="B13927" s="1" t="str">
        <f>HYPERLINK("http://emerson.kr","emerson.kr")</f>
        <v>emerson.kr</v>
      </c>
      <c r="C13927" t="s">
        <v>463</v>
      </c>
      <c r="D13927" t="s">
        <v>839</v>
      </c>
      <c r="F13927">
        <v>3.5425826385232603E-8</v>
      </c>
      <c r="G13927">
        <v>1468886</v>
      </c>
      <c r="H13927">
        <v>12963873</v>
      </c>
      <c r="I13927">
        <v>13137064</v>
      </c>
      <c r="J13927">
        <v>2</v>
      </c>
    </row>
    <row r="13928" spans="1:10" x14ac:dyDescent="0.25">
      <c r="A13928" t="s">
        <v>146</v>
      </c>
      <c r="B13928" s="1" t="str">
        <f>HYPERLINK("http://emerson.com.mx","emerson.com.mx")</f>
        <v>emerson.com.mx</v>
      </c>
      <c r="C13928" t="s">
        <v>471</v>
      </c>
      <c r="D13928" t="s">
        <v>847</v>
      </c>
      <c r="J13928">
        <v>3</v>
      </c>
    </row>
    <row r="13929" spans="1:10" x14ac:dyDescent="0.25">
      <c r="A13929" t="s">
        <v>146</v>
      </c>
      <c r="B13929" s="1" t="str">
        <f>HYPERLINK("http://bransoneurope.net","bransoneurope.net")</f>
        <v>bransoneurope.net</v>
      </c>
      <c r="C13929" t="s">
        <v>474</v>
      </c>
      <c r="F13929">
        <v>4.5763986633903803E-9</v>
      </c>
      <c r="G13929">
        <v>49609238</v>
      </c>
      <c r="H13929">
        <v>10834755</v>
      </c>
      <c r="I13929">
        <v>37288978</v>
      </c>
      <c r="J13929">
        <v>6</v>
      </c>
    </row>
    <row r="13930" spans="1:10" x14ac:dyDescent="0.25">
      <c r="A13930" t="s">
        <v>146</v>
      </c>
      <c r="B13930" s="1" t="str">
        <f>HYPERLINK("http://copes.org","copes.org")</f>
        <v>copes.org</v>
      </c>
      <c r="C13930" t="s">
        <v>481</v>
      </c>
      <c r="F13930">
        <v>9.4937174276647906E-9</v>
      </c>
      <c r="G13930">
        <v>7329916</v>
      </c>
      <c r="H13930">
        <v>12743599</v>
      </c>
      <c r="I13930">
        <v>15099035</v>
      </c>
      <c r="J13930">
        <v>4</v>
      </c>
    </row>
    <row r="13931" spans="1:10" x14ac:dyDescent="0.25">
      <c r="A13931" t="s">
        <v>146</v>
      </c>
      <c r="B13931" s="1" t="str">
        <f>HYPERLINK("http://vamsac.com.pe","vamsac.com.pe")</f>
        <v>vamsac.com.pe</v>
      </c>
      <c r="C13931" t="s">
        <v>483</v>
      </c>
      <c r="D13931" t="s">
        <v>857</v>
      </c>
      <c r="F13931">
        <v>4.5251072578386897E-9</v>
      </c>
      <c r="G13931">
        <v>55598202</v>
      </c>
      <c r="H13931">
        <v>9634102</v>
      </c>
      <c r="I13931">
        <v>64044515</v>
      </c>
      <c r="J13931">
        <v>7</v>
      </c>
    </row>
    <row r="13932" spans="1:10" x14ac:dyDescent="0.25">
      <c r="A13932" t="s">
        <v>146</v>
      </c>
      <c r="B13932" s="1" t="str">
        <f>HYPERLINK("http://emerson.ru","emerson.ru")</f>
        <v>emerson.ru</v>
      </c>
      <c r="C13932" t="s">
        <v>493</v>
      </c>
      <c r="D13932" t="s">
        <v>867</v>
      </c>
      <c r="F13932">
        <v>4.6009610551566297E-8</v>
      </c>
      <c r="G13932">
        <v>1020327</v>
      </c>
      <c r="H13932">
        <v>13855380</v>
      </c>
      <c r="I13932">
        <v>6045584</v>
      </c>
      <c r="J13932">
        <v>2</v>
      </c>
    </row>
    <row r="13933" spans="1:10" x14ac:dyDescent="0.25">
      <c r="A13933" t="s">
        <v>146</v>
      </c>
      <c r="B13933" s="1" t="str">
        <f>HYPERLINK("http://metran.ru","metran.ru")</f>
        <v>metran.ru</v>
      </c>
      <c r="C13933" t="s">
        <v>493</v>
      </c>
      <c r="D13933" t="s">
        <v>867</v>
      </c>
      <c r="F13933">
        <v>1.9602094621421099E-8</v>
      </c>
      <c r="G13933">
        <v>2727756</v>
      </c>
      <c r="H13933">
        <v>13187946</v>
      </c>
      <c r="I13933">
        <v>11610265</v>
      </c>
      <c r="J13933">
        <v>6</v>
      </c>
    </row>
    <row r="13934" spans="1:10" x14ac:dyDescent="0.25">
      <c r="A13934" t="s">
        <v>146</v>
      </c>
      <c r="B13934" s="1" t="str">
        <f>HYPERLINK("http://emersonprocess.se","emersonprocess.se")</f>
        <v>emersonprocess.se</v>
      </c>
      <c r="C13934" t="s">
        <v>495</v>
      </c>
      <c r="D13934" t="s">
        <v>869</v>
      </c>
      <c r="J13934">
        <v>6</v>
      </c>
    </row>
    <row r="13935" spans="1:10" x14ac:dyDescent="0.25">
      <c r="A13935" t="s">
        <v>146</v>
      </c>
      <c r="B13935" s="1" t="str">
        <f>HYPERLINK("http://emersonprocess.sk","emersonprocess.sk")</f>
        <v>emersonprocess.sk</v>
      </c>
      <c r="C13935" t="s">
        <v>498</v>
      </c>
      <c r="D13935" t="s">
        <v>872</v>
      </c>
      <c r="F13935">
        <v>4.87668264297019E-9</v>
      </c>
      <c r="G13935">
        <v>33187547</v>
      </c>
      <c r="H13935">
        <v>10596915</v>
      </c>
      <c r="I13935">
        <v>45080921</v>
      </c>
      <c r="J13935">
        <v>7</v>
      </c>
    </row>
    <row r="13936" spans="1:10" x14ac:dyDescent="0.25">
      <c r="A13936" t="s">
        <v>146</v>
      </c>
      <c r="B13936" s="1" t="str">
        <f>HYPERLINK("http://emersonprocess.co.uk","emersonprocess.co.uk")</f>
        <v>emersonprocess.co.uk</v>
      </c>
      <c r="C13936" t="s">
        <v>506</v>
      </c>
      <c r="D13936" t="s">
        <v>880</v>
      </c>
      <c r="F13936">
        <v>5.7334110964283097E-9</v>
      </c>
      <c r="G13936">
        <v>18635647</v>
      </c>
      <c r="H13936">
        <v>13772356</v>
      </c>
      <c r="I13936">
        <v>6663601</v>
      </c>
      <c r="J13936">
        <v>3</v>
      </c>
    </row>
    <row r="13937" spans="1:10" x14ac:dyDescent="0.25">
      <c r="A13937" t="s">
        <v>146</v>
      </c>
      <c r="B13937" s="1" t="str">
        <f>HYPERLINK("http://tycoflowcontrol.co.uk","tycoflowcontrol.co.uk")</f>
        <v>tycoflowcontrol.co.uk</v>
      </c>
      <c r="C13937" t="s">
        <v>506</v>
      </c>
      <c r="D13937" t="s">
        <v>880</v>
      </c>
      <c r="J13937">
        <v>3</v>
      </c>
    </row>
    <row r="13938" spans="1:10" x14ac:dyDescent="0.25">
      <c r="A13938" t="s">
        <v>146</v>
      </c>
      <c r="B13938" s="1" t="str">
        <f>HYPERLINK("http://progea.us","progea.us")</f>
        <v>progea.us</v>
      </c>
      <c r="C13938" t="s">
        <v>522</v>
      </c>
      <c r="D13938" t="s">
        <v>891</v>
      </c>
      <c r="F13938">
        <v>8.1554961874383097E-9</v>
      </c>
      <c r="G13938">
        <v>9646875</v>
      </c>
      <c r="H13938">
        <v>12254312</v>
      </c>
      <c r="I13938">
        <v>21913087</v>
      </c>
      <c r="J13938">
        <v>4</v>
      </c>
    </row>
    <row r="13939" spans="1:10" x14ac:dyDescent="0.25">
      <c r="A13939" t="s">
        <v>147</v>
      </c>
      <c r="B13939" s="1" t="str">
        <f>HYPERLINK("http://comtrust.ae","comtrust.ae")</f>
        <v>comtrust.ae</v>
      </c>
      <c r="C13939" t="s">
        <v>417</v>
      </c>
      <c r="D13939" t="s">
        <v>799</v>
      </c>
      <c r="E13939">
        <v>188146</v>
      </c>
      <c r="F13939">
        <v>6.2960872782834404E-9</v>
      </c>
      <c r="G13939">
        <v>15051099</v>
      </c>
      <c r="H13939">
        <v>10820614</v>
      </c>
      <c r="I13939">
        <v>37612615</v>
      </c>
      <c r="J13939">
        <v>3</v>
      </c>
    </row>
    <row r="13940" spans="1:10" x14ac:dyDescent="0.25">
      <c r="A13940" t="s">
        <v>147</v>
      </c>
      <c r="B13940" s="1" t="str">
        <f>HYPERLINK("http://etisalat.ae","etisalat.ae")</f>
        <v>etisalat.ae</v>
      </c>
      <c r="C13940" t="s">
        <v>417</v>
      </c>
      <c r="D13940" t="s">
        <v>799</v>
      </c>
      <c r="E13940">
        <v>24564</v>
      </c>
      <c r="F13940">
        <v>1.4852023931658801E-6</v>
      </c>
      <c r="G13940">
        <v>26397</v>
      </c>
      <c r="H13940">
        <v>17393436</v>
      </c>
      <c r="I13940">
        <v>19662</v>
      </c>
      <c r="J13940">
        <v>1</v>
      </c>
    </row>
    <row r="13941" spans="1:10" x14ac:dyDescent="0.25">
      <c r="A13941" t="s">
        <v>147</v>
      </c>
      <c r="B13941" s="1" t="str">
        <f>HYPERLINK("http://etisalatservices.ae","etisalatservices.ae")</f>
        <v>etisalatservices.ae</v>
      </c>
      <c r="C13941" t="s">
        <v>417</v>
      </c>
      <c r="D13941" t="s">
        <v>799</v>
      </c>
      <c r="F13941">
        <v>5.6169389113119301E-9</v>
      </c>
      <c r="G13941">
        <v>19696850</v>
      </c>
      <c r="H13941">
        <v>14071791</v>
      </c>
      <c r="I13941">
        <v>3413078</v>
      </c>
      <c r="J13941">
        <v>3</v>
      </c>
    </row>
    <row r="13942" spans="1:10" x14ac:dyDescent="0.25">
      <c r="A13942" t="s">
        <v>147</v>
      </c>
      <c r="B13942" s="1" t="str">
        <f>HYPERLINK("http://etisalatssi.ae","etisalatssi.ae")</f>
        <v>etisalatssi.ae</v>
      </c>
      <c r="C13942" t="s">
        <v>417</v>
      </c>
      <c r="D13942" t="s">
        <v>799</v>
      </c>
      <c r="J13942">
        <v>3</v>
      </c>
    </row>
    <row r="13943" spans="1:10" x14ac:dyDescent="0.25">
      <c r="A13943" t="s">
        <v>147</v>
      </c>
      <c r="B13943" s="1" t="str">
        <f>HYPERLINK("http://switchtv.ae","switchtv.ae")</f>
        <v>switchtv.ae</v>
      </c>
      <c r="C13943" t="s">
        <v>417</v>
      </c>
      <c r="D13943" t="s">
        <v>799</v>
      </c>
      <c r="F13943">
        <v>4.4438147154626696E-9</v>
      </c>
      <c r="G13943">
        <v>79457903</v>
      </c>
      <c r="H13943">
        <v>10347198</v>
      </c>
      <c r="I13943">
        <v>56706302</v>
      </c>
      <c r="J13943">
        <v>3</v>
      </c>
    </row>
    <row r="13944" spans="1:10" x14ac:dyDescent="0.25">
      <c r="A13944" t="s">
        <v>147</v>
      </c>
      <c r="B13944" s="1" t="str">
        <f>HYPERLINK("http://onatel.bf","onatel.bf")</f>
        <v>onatel.bf</v>
      </c>
      <c r="C13944" t="s">
        <v>621</v>
      </c>
      <c r="D13944" t="s">
        <v>945</v>
      </c>
      <c r="E13944">
        <v>177029</v>
      </c>
      <c r="F13944">
        <v>5.3482343582262203E-8</v>
      </c>
      <c r="G13944">
        <v>850701</v>
      </c>
      <c r="H13944">
        <v>14121656</v>
      </c>
      <c r="I13944">
        <v>2244036</v>
      </c>
      <c r="J13944">
        <v>5</v>
      </c>
    </row>
    <row r="13945" spans="1:10" x14ac:dyDescent="0.25">
      <c r="A13945" t="s">
        <v>147</v>
      </c>
      <c r="B13945" s="1" t="str">
        <f>HYPERLINK("http://docteurchliyah.com","docteurchliyah.com")</f>
        <v>docteurchliyah.com</v>
      </c>
      <c r="C13945" t="s">
        <v>433</v>
      </c>
      <c r="J13945">
        <v>7</v>
      </c>
    </row>
    <row r="13946" spans="1:10" x14ac:dyDescent="0.25">
      <c r="A13946" t="s">
        <v>147</v>
      </c>
      <c r="B13946" s="1" t="str">
        <f>HYPERLINK("http://etisalat.com","etisalat.com")</f>
        <v>etisalat.com</v>
      </c>
      <c r="C13946" t="s">
        <v>433</v>
      </c>
      <c r="E13946">
        <v>757537</v>
      </c>
      <c r="F13946">
        <v>1.2998887880489999E-7</v>
      </c>
      <c r="G13946">
        <v>301098</v>
      </c>
      <c r="H13946">
        <v>14755824</v>
      </c>
      <c r="I13946">
        <v>561861</v>
      </c>
      <c r="J13946">
        <v>2</v>
      </c>
    </row>
    <row r="13947" spans="1:10" x14ac:dyDescent="0.25">
      <c r="A13947" t="s">
        <v>147</v>
      </c>
      <c r="B13947" s="1" t="str">
        <f>HYPERLINK("http://hotelpalmplaza.com","hotelpalmplaza.com")</f>
        <v>hotelpalmplaza.com</v>
      </c>
      <c r="C13947" t="s">
        <v>433</v>
      </c>
      <c r="F13947">
        <v>1.1863973475017901E-8</v>
      </c>
      <c r="G13947">
        <v>5261906</v>
      </c>
      <c r="H13947">
        <v>12787574</v>
      </c>
      <c r="I13947">
        <v>14701234</v>
      </c>
      <c r="J13947">
        <v>7</v>
      </c>
    </row>
    <row r="13948" spans="1:10" x14ac:dyDescent="0.25">
      <c r="A13948" t="s">
        <v>147</v>
      </c>
      <c r="B13948" s="1" t="str">
        <f>HYPERLINK("http://lprabat.com","lprabat.com")</f>
        <v>lprabat.com</v>
      </c>
      <c r="C13948" t="s">
        <v>433</v>
      </c>
      <c r="J13948">
        <v>7</v>
      </c>
    </row>
    <row r="13949" spans="1:10" x14ac:dyDescent="0.25">
      <c r="A13949" t="s">
        <v>147</v>
      </c>
      <c r="B13949" s="1" t="str">
        <f>HYPERLINK("http://palmappartclubmarrakech.com","palmappartclubmarrakech.com")</f>
        <v>palmappartclubmarrakech.com</v>
      </c>
      <c r="C13949" t="s">
        <v>433</v>
      </c>
      <c r="F13949">
        <v>4.8502610040192301E-9</v>
      </c>
      <c r="G13949">
        <v>34133087</v>
      </c>
      <c r="H13949">
        <v>12495646</v>
      </c>
      <c r="I13949">
        <v>17418268</v>
      </c>
      <c r="J13949">
        <v>9</v>
      </c>
    </row>
    <row r="13950" spans="1:10" x14ac:dyDescent="0.25">
      <c r="A13950" t="s">
        <v>147</v>
      </c>
      <c r="B13950" s="1" t="str">
        <f>HYPERLINK("http://riadlauriersblancsmarrakech.com","riadlauriersblancsmarrakech.com")</f>
        <v>riadlauriersblancsmarrakech.com</v>
      </c>
      <c r="C13950" t="s">
        <v>433</v>
      </c>
      <c r="F13950">
        <v>4.47084830443785E-9</v>
      </c>
      <c r="G13950">
        <v>64360685</v>
      </c>
      <c r="H13950">
        <v>10534497</v>
      </c>
      <c r="I13950">
        <v>47753064</v>
      </c>
      <c r="J13950">
        <v>7</v>
      </c>
    </row>
    <row r="13951" spans="1:10" x14ac:dyDescent="0.25">
      <c r="A13951" t="s">
        <v>147</v>
      </c>
      <c r="B13951" s="1" t="str">
        <f>HYPERLINK("http://ufone.com","ufone.com")</f>
        <v>ufone.com</v>
      </c>
      <c r="C13951" t="s">
        <v>433</v>
      </c>
      <c r="E13951">
        <v>159594</v>
      </c>
      <c r="F13951">
        <v>1.3874203588222E-7</v>
      </c>
      <c r="G13951">
        <v>280811</v>
      </c>
      <c r="H13951">
        <v>17023974</v>
      </c>
      <c r="I13951">
        <v>88768</v>
      </c>
      <c r="J13951">
        <v>4</v>
      </c>
    </row>
    <row r="13952" spans="1:10" x14ac:dyDescent="0.25">
      <c r="A13952" t="s">
        <v>147</v>
      </c>
      <c r="B13952" s="1" t="str">
        <f>HYPERLINK("http://etisalat.com.eg","etisalat.com.eg")</f>
        <v>etisalat.com.eg</v>
      </c>
      <c r="C13952" t="s">
        <v>442</v>
      </c>
      <c r="D13952" t="s">
        <v>821</v>
      </c>
      <c r="E13952">
        <v>33978</v>
      </c>
      <c r="F13952">
        <v>5.86868912042555E-8</v>
      </c>
      <c r="G13952">
        <v>756348</v>
      </c>
      <c r="H13952">
        <v>14268928</v>
      </c>
      <c r="I13952">
        <v>1402769</v>
      </c>
      <c r="J13952">
        <v>3</v>
      </c>
    </row>
    <row r="13953" spans="1:10" x14ac:dyDescent="0.25">
      <c r="A13953" t="s">
        <v>147</v>
      </c>
      <c r="B13953" s="1" t="str">
        <f>HYPERLINK("http://gabontelecom.ga","gabontelecom.ga")</f>
        <v>gabontelecom.ga</v>
      </c>
      <c r="C13953" t="s">
        <v>544</v>
      </c>
      <c r="D13953" t="s">
        <v>902</v>
      </c>
      <c r="F13953">
        <v>8.4945224868473908E-9</v>
      </c>
      <c r="G13953">
        <v>8855881</v>
      </c>
      <c r="H13953">
        <v>12751719</v>
      </c>
      <c r="I13953">
        <v>15015727</v>
      </c>
      <c r="J13953">
        <v>5</v>
      </c>
    </row>
    <row r="13954" spans="1:10" x14ac:dyDescent="0.25">
      <c r="A13954" t="s">
        <v>147</v>
      </c>
      <c r="B13954" s="1" t="str">
        <f>HYPERLINK("http://etisalat.lk","etisalat.lk")</f>
        <v>etisalat.lk</v>
      </c>
      <c r="C13954" t="s">
        <v>466</v>
      </c>
      <c r="D13954" t="s">
        <v>842</v>
      </c>
      <c r="F13954">
        <v>1.40030297659315E-8</v>
      </c>
      <c r="G13954">
        <v>4201446</v>
      </c>
      <c r="H13954">
        <v>14490364</v>
      </c>
      <c r="I13954">
        <v>912575</v>
      </c>
      <c r="J13954">
        <v>4</v>
      </c>
    </row>
    <row r="13955" spans="1:10" x14ac:dyDescent="0.25">
      <c r="A13955" t="s">
        <v>147</v>
      </c>
      <c r="B13955" s="1" t="str">
        <f>HYPERLINK("http://anig.ma","anig.ma")</f>
        <v>anig.ma</v>
      </c>
      <c r="C13955" t="s">
        <v>469</v>
      </c>
      <c r="D13955" t="s">
        <v>845</v>
      </c>
      <c r="J13955">
        <v>7</v>
      </c>
    </row>
    <row r="13956" spans="1:10" x14ac:dyDescent="0.25">
      <c r="A13956" t="s">
        <v>147</v>
      </c>
      <c r="B13956" s="1" t="str">
        <f>HYPERLINK("http://casanet.ma","casanet.ma")</f>
        <v>casanet.ma</v>
      </c>
      <c r="C13956" t="s">
        <v>469</v>
      </c>
      <c r="D13956" t="s">
        <v>845</v>
      </c>
      <c r="E13956">
        <v>115427</v>
      </c>
      <c r="F13956">
        <v>1.0776782723085199E-8</v>
      </c>
      <c r="G13956">
        <v>6039189</v>
      </c>
      <c r="H13956">
        <v>13000712</v>
      </c>
      <c r="I13956">
        <v>12792690</v>
      </c>
      <c r="J13956">
        <v>5</v>
      </c>
    </row>
    <row r="13957" spans="1:10" x14ac:dyDescent="0.25">
      <c r="A13957" t="s">
        <v>147</v>
      </c>
      <c r="B13957" s="1" t="str">
        <f>HYPERLINK("http://hotelmouniafes.ma","hotelmouniafes.ma")</f>
        <v>hotelmouniafes.ma</v>
      </c>
      <c r="C13957" t="s">
        <v>469</v>
      </c>
      <c r="D13957" t="s">
        <v>845</v>
      </c>
      <c r="F13957">
        <v>4.9757995615549199E-9</v>
      </c>
      <c r="G13957">
        <v>30100697</v>
      </c>
      <c r="H13957">
        <v>10956613</v>
      </c>
      <c r="I13957">
        <v>34434073</v>
      </c>
      <c r="J13957">
        <v>7</v>
      </c>
    </row>
    <row r="13958" spans="1:10" x14ac:dyDescent="0.25">
      <c r="A13958" t="s">
        <v>147</v>
      </c>
      <c r="B13958" s="1" t="str">
        <f>HYPERLINK("http://iam.ma","iam.ma")</f>
        <v>iam.ma</v>
      </c>
      <c r="C13958" t="s">
        <v>469</v>
      </c>
      <c r="D13958" t="s">
        <v>845</v>
      </c>
      <c r="E13958">
        <v>116201</v>
      </c>
      <c r="F13958">
        <v>1.8944037682836301E-7</v>
      </c>
      <c r="G13958">
        <v>203402</v>
      </c>
      <c r="H13958">
        <v>17194456</v>
      </c>
      <c r="I13958">
        <v>42801</v>
      </c>
      <c r="J13958">
        <v>4</v>
      </c>
    </row>
    <row r="13959" spans="1:10" x14ac:dyDescent="0.25">
      <c r="A13959" t="s">
        <v>147</v>
      </c>
      <c r="B13959" s="1" t="str">
        <f>HYPERLINK("http://menara.ma","menara.ma")</f>
        <v>menara.ma</v>
      </c>
      <c r="C13959" t="s">
        <v>469</v>
      </c>
      <c r="D13959" t="s">
        <v>845</v>
      </c>
      <c r="E13959">
        <v>17044</v>
      </c>
      <c r="F13959">
        <v>1.38206229103882E-7</v>
      </c>
      <c r="G13959">
        <v>281891</v>
      </c>
      <c r="H13959">
        <v>14907282</v>
      </c>
      <c r="I13959">
        <v>459965</v>
      </c>
      <c r="J13959">
        <v>5</v>
      </c>
    </row>
    <row r="13960" spans="1:10" x14ac:dyDescent="0.25">
      <c r="A13960" t="s">
        <v>147</v>
      </c>
      <c r="B13960" s="1" t="str">
        <f>HYPERLINK("http://moroccanhousehotels.ma","moroccanhousehotels.ma")</f>
        <v>moroccanhousehotels.ma</v>
      </c>
      <c r="C13960" t="s">
        <v>469</v>
      </c>
      <c r="D13960" t="s">
        <v>845</v>
      </c>
      <c r="J13960">
        <v>7</v>
      </c>
    </row>
    <row r="13961" spans="1:10" x14ac:dyDescent="0.25">
      <c r="A13961" t="s">
        <v>147</v>
      </c>
      <c r="B13961" s="1" t="str">
        <f>HYPERLINK("http://moov-africa.ml","moov-africa.ml")</f>
        <v>moov-africa.ml</v>
      </c>
      <c r="C13961" t="s">
        <v>596</v>
      </c>
      <c r="D13961" t="s">
        <v>931</v>
      </c>
      <c r="E13961">
        <v>732801</v>
      </c>
      <c r="F13961">
        <v>7.2365976503381602E-9</v>
      </c>
      <c r="G13961">
        <v>11640350</v>
      </c>
      <c r="H13961">
        <v>11131844</v>
      </c>
      <c r="I13961">
        <v>31927115</v>
      </c>
      <c r="J13961">
        <v>5</v>
      </c>
    </row>
    <row r="13962" spans="1:10" x14ac:dyDescent="0.25">
      <c r="A13962" t="s">
        <v>147</v>
      </c>
      <c r="B13962" s="1" t="str">
        <f>HYPERLINK("http://sotelma.ml","sotelma.ml")</f>
        <v>sotelma.ml</v>
      </c>
      <c r="C13962" t="s">
        <v>596</v>
      </c>
      <c r="D13962" t="s">
        <v>931</v>
      </c>
      <c r="E13962">
        <v>390911</v>
      </c>
      <c r="F13962">
        <v>1.2439094555242099E-8</v>
      </c>
      <c r="G13962">
        <v>4918176</v>
      </c>
      <c r="H13962">
        <v>14084841</v>
      </c>
      <c r="I13962">
        <v>2784147</v>
      </c>
      <c r="J13962">
        <v>5</v>
      </c>
    </row>
    <row r="13963" spans="1:10" x14ac:dyDescent="0.25">
      <c r="A13963" t="s">
        <v>147</v>
      </c>
      <c r="B13963" s="1" t="str">
        <f>HYPERLINK("http://mauritel.mr","mauritel.mr")</f>
        <v>mauritel.mr</v>
      </c>
      <c r="C13963" t="s">
        <v>757</v>
      </c>
      <c r="D13963" t="s">
        <v>1014</v>
      </c>
      <c r="E13963">
        <v>273501</v>
      </c>
      <c r="F13963">
        <v>2.1966106517862799E-8</v>
      </c>
      <c r="G13963">
        <v>2390219</v>
      </c>
      <c r="H13963">
        <v>14237466</v>
      </c>
      <c r="I13963">
        <v>1549246</v>
      </c>
      <c r="J13963">
        <v>5</v>
      </c>
    </row>
    <row r="13964" spans="1:10" x14ac:dyDescent="0.25">
      <c r="A13964" t="s">
        <v>147</v>
      </c>
      <c r="B13964" s="1" t="str">
        <f>HYPERLINK("http://hotel-balima.net","hotel-balima.net")</f>
        <v>hotel-balima.net</v>
      </c>
      <c r="C13964" t="s">
        <v>474</v>
      </c>
      <c r="F13964">
        <v>4.5904750981954403E-9</v>
      </c>
      <c r="G13964">
        <v>48367926</v>
      </c>
      <c r="H13964">
        <v>10760794</v>
      </c>
      <c r="I13964">
        <v>39576653</v>
      </c>
      <c r="J13964">
        <v>7</v>
      </c>
    </row>
    <row r="13965" spans="1:10" x14ac:dyDescent="0.25">
      <c r="A13965" t="s">
        <v>147</v>
      </c>
      <c r="B13965" s="1" t="str">
        <f>HYPERLINK("http://ptcl.com.pk","ptcl.com.pk")</f>
        <v>ptcl.com.pk</v>
      </c>
      <c r="C13965" t="s">
        <v>485</v>
      </c>
      <c r="D13965" t="s">
        <v>859</v>
      </c>
      <c r="E13965">
        <v>143115</v>
      </c>
      <c r="F13965">
        <v>1.3652801304618099E-7</v>
      </c>
      <c r="G13965">
        <v>285563</v>
      </c>
      <c r="H13965">
        <v>14852215</v>
      </c>
      <c r="I13965">
        <v>489519</v>
      </c>
      <c r="J13965">
        <v>3</v>
      </c>
    </row>
    <row r="13966" spans="1:10" x14ac:dyDescent="0.25">
      <c r="A13966" t="s">
        <v>147</v>
      </c>
      <c r="B13966" s="1" t="str">
        <f>HYPERLINK("http://ptcl.net.pk","ptcl.net.pk")</f>
        <v>ptcl.net.pk</v>
      </c>
      <c r="C13966" t="s">
        <v>485</v>
      </c>
      <c r="D13966" t="s">
        <v>859</v>
      </c>
      <c r="E13966">
        <v>57753</v>
      </c>
      <c r="F13966">
        <v>4.7398382769982702E-8</v>
      </c>
      <c r="G13966">
        <v>982972</v>
      </c>
      <c r="H13966">
        <v>13768795</v>
      </c>
      <c r="I13966">
        <v>6856812</v>
      </c>
      <c r="J13966">
        <v>4</v>
      </c>
    </row>
    <row r="13967" spans="1:10" x14ac:dyDescent="0.25">
      <c r="A13967" t="s">
        <v>148</v>
      </c>
      <c r="B13967" s="1" t="str">
        <f>HYPERLINK("http://excavac.ca","excavac.ca")</f>
        <v>excavac.ca</v>
      </c>
      <c r="C13967" t="s">
        <v>428</v>
      </c>
      <c r="D13967" t="s">
        <v>809</v>
      </c>
      <c r="F13967">
        <v>4.4439140362128198E-9</v>
      </c>
      <c r="G13967">
        <v>77894423</v>
      </c>
      <c r="H13967">
        <v>10059403</v>
      </c>
      <c r="I13967">
        <v>60261289</v>
      </c>
      <c r="J13967">
        <v>6</v>
      </c>
    </row>
    <row r="13968" spans="1:10" x14ac:dyDescent="0.25">
      <c r="A13968" t="s">
        <v>148</v>
      </c>
      <c r="B13968" s="1" t="str">
        <f>HYPERLINK("http://ontarioexcavac.ca","ontarioexcavac.ca")</f>
        <v>ontarioexcavac.ca</v>
      </c>
      <c r="C13968" t="s">
        <v>428</v>
      </c>
      <c r="D13968" t="s">
        <v>809</v>
      </c>
      <c r="F13968">
        <v>5.9604350491673499E-9</v>
      </c>
      <c r="G13968">
        <v>16942955</v>
      </c>
      <c r="H13968">
        <v>10506782</v>
      </c>
      <c r="I13968">
        <v>50393583</v>
      </c>
      <c r="J13968">
        <v>3</v>
      </c>
    </row>
    <row r="13969" spans="1:10" x14ac:dyDescent="0.25">
      <c r="A13969" t="s">
        <v>148</v>
      </c>
      <c r="B13969" s="1" t="str">
        <f>HYPERLINK("http://enbridge.com","enbridge.com")</f>
        <v>enbridge.com</v>
      </c>
      <c r="C13969" t="s">
        <v>433</v>
      </c>
      <c r="E13969">
        <v>42301</v>
      </c>
      <c r="F13969">
        <v>8.5392133464112303E-7</v>
      </c>
      <c r="G13969">
        <v>46656</v>
      </c>
      <c r="H13969">
        <v>14889140</v>
      </c>
      <c r="I13969">
        <v>467886</v>
      </c>
      <c r="J13969">
        <v>1</v>
      </c>
    </row>
    <row r="13970" spans="1:10" x14ac:dyDescent="0.25">
      <c r="A13970" t="s">
        <v>148</v>
      </c>
      <c r="B13970" s="1" t="str">
        <f>HYPERLINK("http://enbridgeenergy.com","enbridgeenergy.com")</f>
        <v>enbridgeenergy.com</v>
      </c>
      <c r="C13970" t="s">
        <v>433</v>
      </c>
      <c r="F13970">
        <v>4.5770572494200499E-9</v>
      </c>
      <c r="G13970">
        <v>49550562</v>
      </c>
      <c r="H13970">
        <v>10724934</v>
      </c>
      <c r="I13970">
        <v>41357113</v>
      </c>
      <c r="J13970">
        <v>5</v>
      </c>
    </row>
    <row r="13971" spans="1:10" x14ac:dyDescent="0.25">
      <c r="A13971" t="s">
        <v>148</v>
      </c>
      <c r="B13971" s="1" t="str">
        <f>HYPERLINK("http://enbridgegas.com","enbridgegas.com")</f>
        <v>enbridgegas.com</v>
      </c>
      <c r="C13971" t="s">
        <v>433</v>
      </c>
      <c r="E13971">
        <v>78357</v>
      </c>
      <c r="F13971">
        <v>4.3966397824516001E-7</v>
      </c>
      <c r="G13971">
        <v>85725</v>
      </c>
      <c r="H13971">
        <v>16997550</v>
      </c>
      <c r="I13971">
        <v>94202</v>
      </c>
      <c r="J13971">
        <v>3</v>
      </c>
    </row>
    <row r="13972" spans="1:10" x14ac:dyDescent="0.25">
      <c r="A13972" t="s">
        <v>148</v>
      </c>
      <c r="B13972" s="1" t="str">
        <f>HYPERLINK("http://enbridgeincomefund.com","enbridgeincomefund.com")</f>
        <v>enbridgeincomefund.com</v>
      </c>
      <c r="C13972" t="s">
        <v>433</v>
      </c>
      <c r="F13972">
        <v>6.5404889180066297E-9</v>
      </c>
      <c r="G13972">
        <v>13911134</v>
      </c>
      <c r="H13972">
        <v>13773516</v>
      </c>
      <c r="I13972">
        <v>6629661</v>
      </c>
      <c r="J13972">
        <v>3</v>
      </c>
    </row>
    <row r="13973" spans="1:10" x14ac:dyDescent="0.25">
      <c r="A13973" t="s">
        <v>148</v>
      </c>
      <c r="B13973" s="1" t="str">
        <f>HYPERLINK("http://enbridgepartners.com","enbridgepartners.com")</f>
        <v>enbridgepartners.com</v>
      </c>
      <c r="C13973" t="s">
        <v>433</v>
      </c>
      <c r="F13973">
        <v>2.97487905180934E-8</v>
      </c>
      <c r="G13973">
        <v>1729958</v>
      </c>
      <c r="H13973">
        <v>13902771</v>
      </c>
      <c r="I13973">
        <v>5948517</v>
      </c>
      <c r="J13973">
        <v>3</v>
      </c>
    </row>
    <row r="13974" spans="1:10" x14ac:dyDescent="0.25">
      <c r="A13974" t="s">
        <v>148</v>
      </c>
      <c r="B13974" s="1" t="str">
        <f>HYPERLINK("http://grayoakpipeline.com","grayoakpipeline.com")</f>
        <v>grayoakpipeline.com</v>
      </c>
      <c r="C13974" t="s">
        <v>433</v>
      </c>
      <c r="F13974">
        <v>5.2924522826156403E-9</v>
      </c>
      <c r="G13974">
        <v>23607097</v>
      </c>
      <c r="H13974">
        <v>10861248</v>
      </c>
      <c r="I13974">
        <v>36651679</v>
      </c>
      <c r="J13974">
        <v>3</v>
      </c>
    </row>
    <row r="13975" spans="1:10" x14ac:dyDescent="0.25">
      <c r="A13975" t="s">
        <v>148</v>
      </c>
      <c r="B13975" s="1" t="str">
        <f>HYPERLINK("http://gulfstreamgas.com","gulfstreamgas.com")</f>
        <v>gulfstreamgas.com</v>
      </c>
      <c r="C13975" t="s">
        <v>433</v>
      </c>
      <c r="F13975">
        <v>8.3336966090138397E-9</v>
      </c>
      <c r="G13975">
        <v>9181211</v>
      </c>
      <c r="H13975">
        <v>12344740</v>
      </c>
      <c r="I13975">
        <v>19856529</v>
      </c>
      <c r="J13975">
        <v>3</v>
      </c>
    </row>
    <row r="13976" spans="1:10" x14ac:dyDescent="0.25">
      <c r="A13976" t="s">
        <v>148</v>
      </c>
      <c r="B13976" s="1" t="str">
        <f>HYPERLINK("http://maplepower.com","maplepower.com")</f>
        <v>maplepower.com</v>
      </c>
      <c r="C13976" t="s">
        <v>433</v>
      </c>
      <c r="F13976">
        <v>7.2997733050466799E-9</v>
      </c>
      <c r="G13976">
        <v>11480434</v>
      </c>
      <c r="H13976">
        <v>11246450</v>
      </c>
      <c r="I13976">
        <v>30923042</v>
      </c>
      <c r="J13976">
        <v>4</v>
      </c>
    </row>
    <row r="13977" spans="1:10" x14ac:dyDescent="0.25">
      <c r="A13977" t="s">
        <v>148</v>
      </c>
      <c r="B13977" s="1" t="str">
        <f>HYPERLINK("http://midcoastpartners.com","midcoastpartners.com")</f>
        <v>midcoastpartners.com</v>
      </c>
      <c r="C13977" t="s">
        <v>433</v>
      </c>
      <c r="F13977">
        <v>5.6270157020542598E-9</v>
      </c>
      <c r="G13977">
        <v>19605316</v>
      </c>
      <c r="H13977">
        <v>10967437</v>
      </c>
      <c r="I13977">
        <v>34195205</v>
      </c>
      <c r="J13977">
        <v>3</v>
      </c>
    </row>
    <row r="13978" spans="1:10" x14ac:dyDescent="0.25">
      <c r="A13978" t="s">
        <v>148</v>
      </c>
      <c r="B13978" s="1" t="str">
        <f>HYPERLINK("http://mnpp.com","mnpp.com")</f>
        <v>mnpp.com</v>
      </c>
      <c r="C13978" t="s">
        <v>433</v>
      </c>
      <c r="F13978">
        <v>2.9074507706269401E-8</v>
      </c>
      <c r="G13978">
        <v>1770978</v>
      </c>
      <c r="H13978">
        <v>13386301</v>
      </c>
      <c r="I13978">
        <v>10407963</v>
      </c>
      <c r="J13978">
        <v>3</v>
      </c>
    </row>
    <row r="13979" spans="1:10" x14ac:dyDescent="0.25">
      <c r="A13979" t="s">
        <v>148</v>
      </c>
      <c r="B13979" s="1" t="str">
        <f>HYPERLINK("http://naturalgasnb.com","naturalgasnb.com")</f>
        <v>naturalgasnb.com</v>
      </c>
      <c r="C13979" t="s">
        <v>433</v>
      </c>
      <c r="F13979">
        <v>2.5787048172372498E-8</v>
      </c>
      <c r="G13979">
        <v>1998924</v>
      </c>
      <c r="H13979">
        <v>13262122</v>
      </c>
      <c r="I13979">
        <v>11033680</v>
      </c>
      <c r="J13979">
        <v>4</v>
      </c>
    </row>
    <row r="13980" spans="1:10" x14ac:dyDescent="0.25">
      <c r="A13980" t="s">
        <v>148</v>
      </c>
      <c r="B13980" s="1" t="str">
        <f>HYPERLINK("http://nexusgastransmission.com","nexusgastransmission.com")</f>
        <v>nexusgastransmission.com</v>
      </c>
      <c r="C13980" t="s">
        <v>433</v>
      </c>
      <c r="F13980">
        <v>3.6012995327313398E-8</v>
      </c>
      <c r="G13980">
        <v>1447056</v>
      </c>
      <c r="H13980">
        <v>13780870</v>
      </c>
      <c r="I13980">
        <v>6465985</v>
      </c>
      <c r="J13980">
        <v>3</v>
      </c>
    </row>
    <row r="13981" spans="1:10" x14ac:dyDescent="0.25">
      <c r="A13981" t="s">
        <v>148</v>
      </c>
      <c r="B13981" s="1" t="str">
        <f>HYPERLINK("http://sabaltrailtransmission.com","sabaltrailtransmission.com")</f>
        <v>sabaltrailtransmission.com</v>
      </c>
      <c r="C13981" t="s">
        <v>433</v>
      </c>
      <c r="F13981">
        <v>3.1056561696621601E-8</v>
      </c>
      <c r="G13981">
        <v>1659558</v>
      </c>
      <c r="H13981">
        <v>13828190</v>
      </c>
      <c r="I13981">
        <v>6116292</v>
      </c>
      <c r="J13981">
        <v>3</v>
      </c>
    </row>
    <row r="13982" spans="1:10" x14ac:dyDescent="0.25">
      <c r="A13982" t="s">
        <v>148</v>
      </c>
      <c r="B13982" s="1" t="str">
        <f>HYPERLINK("http://spectraenergy.com","spectraenergy.com")</f>
        <v>spectraenergy.com</v>
      </c>
      <c r="C13982" t="s">
        <v>433</v>
      </c>
      <c r="E13982">
        <v>97377</v>
      </c>
      <c r="F13982">
        <v>9.6866389698892401E-8</v>
      </c>
      <c r="G13982">
        <v>417193</v>
      </c>
      <c r="H13982">
        <v>14577268</v>
      </c>
      <c r="I13982">
        <v>718338</v>
      </c>
      <c r="J13982">
        <v>3</v>
      </c>
    </row>
    <row r="13983" spans="1:10" x14ac:dyDescent="0.25">
      <c r="A13983" t="s">
        <v>148</v>
      </c>
      <c r="B13983" s="1" t="str">
        <f>HYPERLINK("http://spectraenergypartners.com","spectraenergypartners.com")</f>
        <v>spectraenergypartners.com</v>
      </c>
      <c r="C13983" t="s">
        <v>433</v>
      </c>
      <c r="F13983">
        <v>4.0304994111891597E-8</v>
      </c>
      <c r="G13983">
        <v>1283971</v>
      </c>
      <c r="H13983">
        <v>13828807</v>
      </c>
      <c r="I13983">
        <v>6114628</v>
      </c>
      <c r="J13983">
        <v>3</v>
      </c>
    </row>
    <row r="13984" spans="1:10" x14ac:dyDescent="0.25">
      <c r="A13984" t="s">
        <v>148</v>
      </c>
      <c r="B13984" s="1" t="str">
        <f>HYPERLINK("http://tidal-energy.com","tidal-energy.com")</f>
        <v>tidal-energy.com</v>
      </c>
      <c r="C13984" t="s">
        <v>433</v>
      </c>
      <c r="F13984">
        <v>7.51318923033424E-9</v>
      </c>
      <c r="G13984">
        <v>10983717</v>
      </c>
      <c r="H13984">
        <v>12339414</v>
      </c>
      <c r="I13984">
        <v>20020229</v>
      </c>
      <c r="J13984">
        <v>3</v>
      </c>
    </row>
    <row r="13985" spans="1:10" x14ac:dyDescent="0.25">
      <c r="A13985" t="s">
        <v>148</v>
      </c>
      <c r="B13985" s="1" t="str">
        <f>HYPERLINK("http://triglobalenergy.com","triglobalenergy.com")</f>
        <v>triglobalenergy.com</v>
      </c>
      <c r="C13985" t="s">
        <v>433</v>
      </c>
      <c r="F13985">
        <v>2.81876558305017E-8</v>
      </c>
      <c r="G13985">
        <v>1825650</v>
      </c>
      <c r="H13985">
        <v>13725444</v>
      </c>
      <c r="I13985">
        <v>9464666</v>
      </c>
      <c r="J13985">
        <v>3</v>
      </c>
    </row>
    <row r="13986" spans="1:10" x14ac:dyDescent="0.25">
      <c r="A13986" t="s">
        <v>148</v>
      </c>
      <c r="B13986" s="1" t="str">
        <f>HYPERLINK("http://uniongas.com","uniongas.com")</f>
        <v>uniongas.com</v>
      </c>
      <c r="C13986" t="s">
        <v>433</v>
      </c>
      <c r="E13986">
        <v>376681</v>
      </c>
      <c r="F13986">
        <v>1.1527387110880499E-7</v>
      </c>
      <c r="G13986">
        <v>345218</v>
      </c>
      <c r="H13986">
        <v>14523697</v>
      </c>
      <c r="I13986">
        <v>798579</v>
      </c>
      <c r="J13986">
        <v>5</v>
      </c>
    </row>
    <row r="13987" spans="1:10" x14ac:dyDescent="0.25">
      <c r="A13987" t="s">
        <v>148</v>
      </c>
      <c r="B13987" s="1" t="str">
        <f>HYPERLINK("http://wei-pipeline.com","wei-pipeline.com")</f>
        <v>wei-pipeline.com</v>
      </c>
      <c r="C13987" t="s">
        <v>433</v>
      </c>
      <c r="F13987">
        <v>1.9712085852821301E-8</v>
      </c>
      <c r="G13987">
        <v>2707218</v>
      </c>
      <c r="H13987">
        <v>13184610</v>
      </c>
      <c r="I13987">
        <v>11671884</v>
      </c>
      <c r="J13987">
        <v>3</v>
      </c>
    </row>
    <row r="13988" spans="1:10" x14ac:dyDescent="0.25">
      <c r="A13988" t="s">
        <v>148</v>
      </c>
      <c r="B13988" s="1" t="str">
        <f>HYPERLINK("http://parc-eolien-en-mer-de-fecamp.fr","parc-eolien-en-mer-de-fecamp.fr")</f>
        <v>parc-eolien-en-mer-de-fecamp.fr</v>
      </c>
      <c r="C13988" t="s">
        <v>446</v>
      </c>
      <c r="D13988" t="s">
        <v>824</v>
      </c>
      <c r="F13988">
        <v>3.6714717094902101E-8</v>
      </c>
      <c r="G13988">
        <v>1423402</v>
      </c>
      <c r="H13988">
        <v>14082401</v>
      </c>
      <c r="I13988">
        <v>2800835</v>
      </c>
      <c r="J13988">
        <v>5</v>
      </c>
    </row>
    <row r="13989" spans="1:10" x14ac:dyDescent="0.25">
      <c r="A13989" t="s">
        <v>149</v>
      </c>
      <c r="B13989" s="1" t="str">
        <f>HYPERLINK("http://enel.com.ar","enel.com.ar")</f>
        <v>enel.com.ar</v>
      </c>
      <c r="C13989" t="s">
        <v>418</v>
      </c>
      <c r="D13989" t="s">
        <v>800</v>
      </c>
      <c r="F13989">
        <v>2.2937261813280199E-8</v>
      </c>
      <c r="G13989">
        <v>2278764</v>
      </c>
      <c r="H13989">
        <v>13995474</v>
      </c>
      <c r="I13989">
        <v>4021817</v>
      </c>
      <c r="J13989">
        <v>2</v>
      </c>
    </row>
    <row r="13990" spans="1:10" x14ac:dyDescent="0.25">
      <c r="A13990" t="s">
        <v>149</v>
      </c>
      <c r="B13990" s="1" t="str">
        <f>HYPERLINK("http://yacylec.com.ar","yacylec.com.ar")</f>
        <v>yacylec.com.ar</v>
      </c>
      <c r="C13990" t="s">
        <v>418</v>
      </c>
      <c r="D13990" t="s">
        <v>800</v>
      </c>
      <c r="F13990">
        <v>5.1946319725440396E-9</v>
      </c>
      <c r="G13990">
        <v>25258460</v>
      </c>
      <c r="H13990">
        <v>11009447</v>
      </c>
      <c r="I13990">
        <v>33415034</v>
      </c>
      <c r="J13990">
        <v>4</v>
      </c>
    </row>
    <row r="13991" spans="1:10" x14ac:dyDescent="0.25">
      <c r="A13991" t="s">
        <v>149</v>
      </c>
      <c r="B13991" s="1" t="str">
        <f>HYPERLINK("http://enel.com.br","enel.com.br")</f>
        <v>enel.com.br</v>
      </c>
      <c r="C13991" t="s">
        <v>425</v>
      </c>
      <c r="D13991" t="s">
        <v>806</v>
      </c>
      <c r="E13991">
        <v>65947</v>
      </c>
      <c r="F13991">
        <v>3.7446971986600397E-8</v>
      </c>
      <c r="G13991">
        <v>1382268</v>
      </c>
      <c r="H13991">
        <v>14528539</v>
      </c>
      <c r="I13991">
        <v>789882</v>
      </c>
      <c r="J13991">
        <v>2</v>
      </c>
    </row>
    <row r="13992" spans="1:10" x14ac:dyDescent="0.25">
      <c r="A13992" t="s">
        <v>149</v>
      </c>
      <c r="B13992" s="1" t="str">
        <f>HYPERLINK("http://eneldistribuicaosp.com.br","eneldistribuicaosp.com.br")</f>
        <v>eneldistribuicaosp.com.br</v>
      </c>
      <c r="C13992" t="s">
        <v>425</v>
      </c>
      <c r="D13992" t="s">
        <v>806</v>
      </c>
      <c r="E13992">
        <v>164502</v>
      </c>
      <c r="F13992">
        <v>1.71578501627574E-8</v>
      </c>
      <c r="G13992">
        <v>3248068</v>
      </c>
      <c r="H13992">
        <v>14546564</v>
      </c>
      <c r="I13992">
        <v>766851</v>
      </c>
      <c r="J13992">
        <v>4</v>
      </c>
    </row>
    <row r="13993" spans="1:10" x14ac:dyDescent="0.25">
      <c r="A13993" t="s">
        <v>149</v>
      </c>
      <c r="B13993" s="1" t="str">
        <f>HYPERLINK("http://enelx.com.br","enelx.com.br")</f>
        <v>enelx.com.br</v>
      </c>
      <c r="C13993" t="s">
        <v>425</v>
      </c>
      <c r="D13993" t="s">
        <v>806</v>
      </c>
      <c r="F13993">
        <v>4.5694466240543803E-9</v>
      </c>
      <c r="G13993">
        <v>50244168</v>
      </c>
      <c r="H13993">
        <v>12039333</v>
      </c>
      <c r="I13993">
        <v>27478549</v>
      </c>
      <c r="J13993">
        <v>4</v>
      </c>
    </row>
    <row r="13994" spans="1:10" x14ac:dyDescent="0.25">
      <c r="A13994" t="s">
        <v>149</v>
      </c>
      <c r="B13994" s="1" t="str">
        <f>HYPERLINK("http://enel.cl","enel.cl")</f>
        <v>enel.cl</v>
      </c>
      <c r="C13994" t="s">
        <v>430</v>
      </c>
      <c r="D13994" t="s">
        <v>811</v>
      </c>
      <c r="E13994">
        <v>174709</v>
      </c>
      <c r="F13994">
        <v>1.6417009426258801E-7</v>
      </c>
      <c r="G13994">
        <v>236424</v>
      </c>
      <c r="H13994">
        <v>16989254</v>
      </c>
      <c r="I13994">
        <v>96138</v>
      </c>
      <c r="J13994">
        <v>2</v>
      </c>
    </row>
    <row r="13995" spans="1:10" x14ac:dyDescent="0.25">
      <c r="A13995" t="s">
        <v>149</v>
      </c>
      <c r="B13995" s="1" t="str">
        <f>HYPERLINK("http://enelchile.cl","enelchile.cl")</f>
        <v>enelchile.cl</v>
      </c>
      <c r="C13995" t="s">
        <v>430</v>
      </c>
      <c r="D13995" t="s">
        <v>811</v>
      </c>
      <c r="F13995">
        <v>1.4222119007535E-8</v>
      </c>
      <c r="G13995">
        <v>4121071</v>
      </c>
      <c r="H13995">
        <v>13371894</v>
      </c>
      <c r="I13995">
        <v>10461246</v>
      </c>
      <c r="J13995">
        <v>5</v>
      </c>
    </row>
    <row r="13996" spans="1:10" x14ac:dyDescent="0.25">
      <c r="A13996" t="s">
        <v>149</v>
      </c>
      <c r="B13996" s="1" t="str">
        <f>HYPERLINK("http://enelgeneracion.cl","enelgeneracion.cl")</f>
        <v>enelgeneracion.cl</v>
      </c>
      <c r="C13996" t="s">
        <v>430</v>
      </c>
      <c r="D13996" t="s">
        <v>811</v>
      </c>
      <c r="F13996">
        <v>9.6941085588085798E-9</v>
      </c>
      <c r="G13996">
        <v>7087297</v>
      </c>
      <c r="H13996">
        <v>13560121</v>
      </c>
      <c r="I13996">
        <v>9852255</v>
      </c>
      <c r="J13996">
        <v>4</v>
      </c>
    </row>
    <row r="13997" spans="1:10" x14ac:dyDescent="0.25">
      <c r="A13997" t="s">
        <v>149</v>
      </c>
      <c r="B13997" s="1" t="str">
        <f>HYPERLINK("http://enersischile.cl","enersischile.cl")</f>
        <v>enersischile.cl</v>
      </c>
      <c r="C13997" t="s">
        <v>430</v>
      </c>
      <c r="D13997" t="s">
        <v>811</v>
      </c>
      <c r="F13997">
        <v>4.5431213854496601E-9</v>
      </c>
      <c r="G13997">
        <v>52937029</v>
      </c>
      <c r="H13997">
        <v>12094438</v>
      </c>
      <c r="I13997">
        <v>26109064</v>
      </c>
      <c r="J13997">
        <v>5</v>
      </c>
    </row>
    <row r="13998" spans="1:10" x14ac:dyDescent="0.25">
      <c r="A13998" t="s">
        <v>149</v>
      </c>
      <c r="B13998" s="1" t="str">
        <f>HYPERLINK("http://gnlchile.cl","gnlchile.cl")</f>
        <v>gnlchile.cl</v>
      </c>
      <c r="C13998" t="s">
        <v>430</v>
      </c>
      <c r="D13998" t="s">
        <v>811</v>
      </c>
      <c r="F13998">
        <v>4.9144280692920002E-9</v>
      </c>
      <c r="G13998">
        <v>32053005</v>
      </c>
      <c r="H13998">
        <v>10255409</v>
      </c>
      <c r="I13998">
        <v>58634434</v>
      </c>
      <c r="J13998">
        <v>5</v>
      </c>
    </row>
    <row r="13999" spans="1:10" x14ac:dyDescent="0.25">
      <c r="A13999" t="s">
        <v>149</v>
      </c>
      <c r="B13999" s="1" t="str">
        <f>HYPERLINK("http://derivex.com.co","derivex.com.co")</f>
        <v>derivex.com.co</v>
      </c>
      <c r="C13999" t="s">
        <v>432</v>
      </c>
      <c r="F13999">
        <v>5.7622538431425003E-9</v>
      </c>
      <c r="G13999">
        <v>18394859</v>
      </c>
      <c r="H13999">
        <v>13115111</v>
      </c>
      <c r="I13999">
        <v>12015569</v>
      </c>
      <c r="J13999">
        <v>5</v>
      </c>
    </row>
    <row r="14000" spans="1:10" x14ac:dyDescent="0.25">
      <c r="A14000" t="s">
        <v>149</v>
      </c>
      <c r="B14000" s="1" t="str">
        <f>HYPERLINK("http://enel.com.co","enel.com.co")</f>
        <v>enel.com.co</v>
      </c>
      <c r="C14000" t="s">
        <v>432</v>
      </c>
      <c r="E14000">
        <v>161423</v>
      </c>
      <c r="F14000">
        <v>9.7841631992802402E-8</v>
      </c>
      <c r="G14000">
        <v>412486</v>
      </c>
      <c r="H14000">
        <v>16977138</v>
      </c>
      <c r="I14000">
        <v>99542</v>
      </c>
      <c r="J14000">
        <v>2</v>
      </c>
    </row>
    <row r="14001" spans="1:10" x14ac:dyDescent="0.25">
      <c r="A14001" t="s">
        <v>149</v>
      </c>
      <c r="B14001" s="1" t="str">
        <f>HYPERLINK("http://e-distributie.com","e-distributie.com")</f>
        <v>e-distributie.com</v>
      </c>
      <c r="C14001" t="s">
        <v>433</v>
      </c>
      <c r="F14001">
        <v>4.1377446503582498E-8</v>
      </c>
      <c r="G14001">
        <v>1210312</v>
      </c>
      <c r="H14001">
        <v>12816800</v>
      </c>
      <c r="I14001">
        <v>14529357</v>
      </c>
      <c r="J14001">
        <v>3</v>
      </c>
    </row>
    <row r="14002" spans="1:10" x14ac:dyDescent="0.25">
      <c r="A14002" t="s">
        <v>149</v>
      </c>
      <c r="B14002" s="1" t="str">
        <f>HYPERLINK("http://elcogas.com","elcogas.com")</f>
        <v>elcogas.com</v>
      </c>
      <c r="C14002" t="s">
        <v>433</v>
      </c>
      <c r="J14002">
        <v>6</v>
      </c>
    </row>
    <row r="14003" spans="1:10" x14ac:dyDescent="0.25">
      <c r="A14003" t="s">
        <v>149</v>
      </c>
      <c r="B14003" s="1" t="str">
        <f>HYPERLINK("http://electricadeceuta.com","electricadeceuta.com")</f>
        <v>electricadeceuta.com</v>
      </c>
      <c r="C14003" t="s">
        <v>433</v>
      </c>
      <c r="F14003">
        <v>7.9588669232111207E-9</v>
      </c>
      <c r="G14003">
        <v>9997030</v>
      </c>
      <c r="H14003">
        <v>13933876</v>
      </c>
      <c r="I14003">
        <v>4659402</v>
      </c>
      <c r="J14003">
        <v>4</v>
      </c>
    </row>
    <row r="14004" spans="1:10" x14ac:dyDescent="0.25">
      <c r="A14004" t="s">
        <v>149</v>
      </c>
      <c r="B14004" s="1" t="str">
        <f>HYPERLINK("http://electricadelebro.com","electricadelebro.com")</f>
        <v>electricadelebro.com</v>
      </c>
      <c r="C14004" t="s">
        <v>433</v>
      </c>
      <c r="F14004">
        <v>4.6164325929027998E-9</v>
      </c>
      <c r="G14004">
        <v>46383773</v>
      </c>
      <c r="H14004">
        <v>9617599</v>
      </c>
      <c r="I14004">
        <v>64216452</v>
      </c>
      <c r="J14004">
        <v>8</v>
      </c>
    </row>
    <row r="14005" spans="1:10" x14ac:dyDescent="0.25">
      <c r="A14005" t="s">
        <v>149</v>
      </c>
      <c r="B14005" s="1" t="str">
        <f>HYPERLINK("http://endesa.com","endesa.com")</f>
        <v>endesa.com</v>
      </c>
      <c r="C14005" t="s">
        <v>433</v>
      </c>
      <c r="E14005">
        <v>68511</v>
      </c>
      <c r="F14005">
        <v>4.7866128233790105E-7</v>
      </c>
      <c r="G14005">
        <v>79403</v>
      </c>
      <c r="H14005">
        <v>14902507</v>
      </c>
      <c r="I14005">
        <v>461887</v>
      </c>
      <c r="J14005">
        <v>4</v>
      </c>
    </row>
    <row r="14006" spans="1:10" x14ac:dyDescent="0.25">
      <c r="A14006" t="s">
        <v>149</v>
      </c>
      <c r="B14006" s="1" t="str">
        <f>HYPERLINK("http://endesaclientes.com","endesaclientes.com")</f>
        <v>endesaclientes.com</v>
      </c>
      <c r="C14006" t="s">
        <v>433</v>
      </c>
      <c r="E14006">
        <v>84896</v>
      </c>
      <c r="F14006">
        <v>2.2371318502693699E-7</v>
      </c>
      <c r="G14006">
        <v>168447</v>
      </c>
      <c r="H14006">
        <v>16955048</v>
      </c>
      <c r="I14006">
        <v>106868</v>
      </c>
      <c r="J14006">
        <v>3</v>
      </c>
    </row>
    <row r="14007" spans="1:10" x14ac:dyDescent="0.25">
      <c r="A14007" t="s">
        <v>149</v>
      </c>
      <c r="B14007" s="1" t="str">
        <f>HYPERLINK("http://endesaxstore.com","endesaxstore.com")</f>
        <v>endesaxstore.com</v>
      </c>
      <c r="C14007" t="s">
        <v>433</v>
      </c>
      <c r="F14007">
        <v>1.2561597685320401E-8</v>
      </c>
      <c r="G14007">
        <v>4853294</v>
      </c>
      <c r="H14007">
        <v>12358990</v>
      </c>
      <c r="I14007">
        <v>19606281</v>
      </c>
      <c r="J14007">
        <v>5</v>
      </c>
    </row>
    <row r="14008" spans="1:10" x14ac:dyDescent="0.25">
      <c r="A14008" t="s">
        <v>149</v>
      </c>
      <c r="B14008" s="1" t="str">
        <f>HYPERLINK("http://enel.com","enel.com")</f>
        <v>enel.com</v>
      </c>
      <c r="C14008" t="s">
        <v>433</v>
      </c>
      <c r="E14008">
        <v>34049</v>
      </c>
      <c r="F14008">
        <v>9.2897035859608902E-7</v>
      </c>
      <c r="G14008">
        <v>41431</v>
      </c>
      <c r="H14008">
        <v>17371884</v>
      </c>
      <c r="I14008">
        <v>21302</v>
      </c>
      <c r="J14008">
        <v>1</v>
      </c>
    </row>
    <row r="14009" spans="1:10" x14ac:dyDescent="0.25">
      <c r="A14009" t="s">
        <v>149</v>
      </c>
      <c r="B14009" s="1" t="str">
        <f>HYPERLINK("http://enelamericas.com","enelamericas.com")</f>
        <v>enelamericas.com</v>
      </c>
      <c r="C14009" t="s">
        <v>433</v>
      </c>
      <c r="F14009">
        <v>2.5307430780226801E-8</v>
      </c>
      <c r="G14009">
        <v>2038968</v>
      </c>
      <c r="H14009">
        <v>14099816</v>
      </c>
      <c r="I14009">
        <v>2709213</v>
      </c>
      <c r="J14009">
        <v>3</v>
      </c>
    </row>
    <row r="14010" spans="1:10" x14ac:dyDescent="0.25">
      <c r="A14010" t="s">
        <v>149</v>
      </c>
      <c r="B14010" s="1" t="str">
        <f>HYPERLINK("http://enelgreenpower.com","enelgreenpower.com")</f>
        <v>enelgreenpower.com</v>
      </c>
      <c r="C14010" t="s">
        <v>433</v>
      </c>
      <c r="E14010">
        <v>139958</v>
      </c>
      <c r="F14010">
        <v>5.3233422105469198E-7</v>
      </c>
      <c r="G14010">
        <v>72391</v>
      </c>
      <c r="H14010">
        <v>15525703</v>
      </c>
      <c r="I14010">
        <v>375996</v>
      </c>
      <c r="J14010">
        <v>3</v>
      </c>
    </row>
    <row r="14011" spans="1:10" x14ac:dyDescent="0.25">
      <c r="A14011" t="s">
        <v>149</v>
      </c>
      <c r="B14011" s="1" t="str">
        <f>HYPERLINK("http://enelnorthamerica.com","enelnorthamerica.com")</f>
        <v>enelnorthamerica.com</v>
      </c>
      <c r="C14011" t="s">
        <v>433</v>
      </c>
      <c r="F14011">
        <v>7.4344520141740906E-8</v>
      </c>
      <c r="G14011">
        <v>566094</v>
      </c>
      <c r="H14011">
        <v>13808426</v>
      </c>
      <c r="I14011">
        <v>6222022</v>
      </c>
      <c r="J14011">
        <v>3</v>
      </c>
    </row>
    <row r="14012" spans="1:10" x14ac:dyDescent="0.25">
      <c r="A14012" t="s">
        <v>149</v>
      </c>
      <c r="B14012" s="1" t="str">
        <f>HYPERLINK("http://enelx.com","enelx.com")</f>
        <v>enelx.com</v>
      </c>
      <c r="C14012" t="s">
        <v>433</v>
      </c>
      <c r="E14012">
        <v>77601</v>
      </c>
      <c r="F14012">
        <v>9.4948843315628599E-7</v>
      </c>
      <c r="G14012">
        <v>40338</v>
      </c>
      <c r="H14012">
        <v>17311960</v>
      </c>
      <c r="I14012">
        <v>26605</v>
      </c>
      <c r="J14012">
        <v>3</v>
      </c>
    </row>
    <row r="14013" spans="1:10" x14ac:dyDescent="0.25">
      <c r="A14013" t="s">
        <v>149</v>
      </c>
      <c r="B14013" s="1" t="str">
        <f>HYPERLINK("http://enelxstore.com","enelxstore.com")</f>
        <v>enelxstore.com</v>
      </c>
      <c r="C14013" t="s">
        <v>433</v>
      </c>
      <c r="F14013">
        <v>4.6795711389853103E-8</v>
      </c>
      <c r="G14013">
        <v>998159</v>
      </c>
      <c r="H14013">
        <v>13705903</v>
      </c>
      <c r="I14013">
        <v>9510456</v>
      </c>
      <c r="J14013">
        <v>5</v>
      </c>
    </row>
    <row r="14014" spans="1:10" x14ac:dyDescent="0.25">
      <c r="A14014" t="s">
        <v>149</v>
      </c>
      <c r="B14014" s="1" t="str">
        <f>HYPERLINK("http://enelxway.com","enelxway.com")</f>
        <v>enelxway.com</v>
      </c>
      <c r="C14014" t="s">
        <v>433</v>
      </c>
      <c r="F14014">
        <v>9.9800420025057705E-8</v>
      </c>
      <c r="G14014">
        <v>403344</v>
      </c>
      <c r="H14014">
        <v>16751233</v>
      </c>
      <c r="I14014">
        <v>266616</v>
      </c>
      <c r="J14014">
        <v>5</v>
      </c>
    </row>
    <row r="14015" spans="1:10" x14ac:dyDescent="0.25">
      <c r="A14015" t="s">
        <v>149</v>
      </c>
      <c r="B14015" s="1" t="str">
        <f>HYPERLINK("http://enernoc.com","enernoc.com")</f>
        <v>enernoc.com</v>
      </c>
      <c r="C14015" t="s">
        <v>433</v>
      </c>
      <c r="E14015">
        <v>287125</v>
      </c>
      <c r="F14015">
        <v>1.6732325659575199E-7</v>
      </c>
      <c r="G14015">
        <v>231919</v>
      </c>
      <c r="H14015">
        <v>14415503</v>
      </c>
      <c r="I14015">
        <v>1111956</v>
      </c>
      <c r="J14015">
        <v>4</v>
      </c>
    </row>
    <row r="14016" spans="1:10" x14ac:dyDescent="0.25">
      <c r="A14016" t="s">
        <v>149</v>
      </c>
      <c r="B14016" s="1" t="str">
        <f>HYPERLINK("http://fgh-ma.com","fgh-ma.com")</f>
        <v>fgh-ma.com</v>
      </c>
      <c r="C14016" t="s">
        <v>433</v>
      </c>
      <c r="F14016">
        <v>4.4654554317884998E-9</v>
      </c>
      <c r="G14016">
        <v>66114072</v>
      </c>
      <c r="H14016">
        <v>10662771</v>
      </c>
      <c r="I14016">
        <v>43295034</v>
      </c>
      <c r="J14016">
        <v>5</v>
      </c>
    </row>
    <row r="14017" spans="1:10" x14ac:dyDescent="0.25">
      <c r="A14017" t="s">
        <v>149</v>
      </c>
      <c r="B14017" s="1" t="str">
        <f>HYPERLINK("http://globalcoal.com","globalcoal.com")</f>
        <v>globalcoal.com</v>
      </c>
      <c r="C14017" t="s">
        <v>433</v>
      </c>
      <c r="F14017">
        <v>2.4462891731233201E-8</v>
      </c>
      <c r="G14017">
        <v>2117988</v>
      </c>
      <c r="H14017">
        <v>13775816</v>
      </c>
      <c r="I14017">
        <v>6569515</v>
      </c>
      <c r="J14017">
        <v>4</v>
      </c>
    </row>
    <row r="14018" spans="1:10" x14ac:dyDescent="0.25">
      <c r="A14018" t="s">
        <v>149</v>
      </c>
      <c r="B14018" s="1" t="str">
        <f>HYPERLINK("http://gnlchile.com","gnlchile.com")</f>
        <v>gnlchile.com</v>
      </c>
      <c r="C14018" t="s">
        <v>433</v>
      </c>
      <c r="F14018">
        <v>5.8127178071318998E-9</v>
      </c>
      <c r="G14018">
        <v>17992085</v>
      </c>
      <c r="H14018">
        <v>10865410</v>
      </c>
      <c r="I14018">
        <v>36584064</v>
      </c>
      <c r="J14018">
        <v>6</v>
      </c>
    </row>
    <row r="14019" spans="1:10" x14ac:dyDescent="0.25">
      <c r="A14019" t="s">
        <v>149</v>
      </c>
      <c r="B14019" s="1" t="str">
        <f>HYPERLINK("http://grupoedegel.com","grupoedegel.com")</f>
        <v>grupoedegel.com</v>
      </c>
      <c r="C14019" t="s">
        <v>433</v>
      </c>
      <c r="J14019">
        <v>6</v>
      </c>
    </row>
    <row r="14020" spans="1:10" x14ac:dyDescent="0.25">
      <c r="A14020" t="s">
        <v>149</v>
      </c>
      <c r="B14020" s="1" t="str">
        <f>HYPERLINK("http://grupoviloria.com","grupoviloria.com")</f>
        <v>grupoviloria.com</v>
      </c>
      <c r="C14020" t="s">
        <v>433</v>
      </c>
      <c r="F14020">
        <v>5.4204879653301498E-9</v>
      </c>
      <c r="G14020">
        <v>21855780</v>
      </c>
      <c r="H14020">
        <v>12385595</v>
      </c>
      <c r="I14020">
        <v>19114743</v>
      </c>
      <c r="J14020">
        <v>4</v>
      </c>
    </row>
    <row r="14021" spans="1:10" x14ac:dyDescent="0.25">
      <c r="A14021" t="s">
        <v>149</v>
      </c>
      <c r="B14021" s="1" t="str">
        <f>HYPERLINK("http://hubject.com","hubject.com")</f>
        <v>hubject.com</v>
      </c>
      <c r="C14021" t="s">
        <v>433</v>
      </c>
      <c r="E14021">
        <v>714543</v>
      </c>
      <c r="F14021">
        <v>1.73437025724292E-7</v>
      </c>
      <c r="G14021">
        <v>223600</v>
      </c>
      <c r="H14021">
        <v>14492514</v>
      </c>
      <c r="I14021">
        <v>894402</v>
      </c>
      <c r="J14021">
        <v>4</v>
      </c>
    </row>
    <row r="14022" spans="1:10" x14ac:dyDescent="0.25">
      <c r="A14022" t="s">
        <v>149</v>
      </c>
      <c r="B14022" s="1" t="str">
        <f>HYPERLINK("http://medidasambientales.com","medidasambientales.com")</f>
        <v>medidasambientales.com</v>
      </c>
      <c r="C14022" t="s">
        <v>433</v>
      </c>
      <c r="F14022">
        <v>1.2237490186878401E-8</v>
      </c>
      <c r="G14022">
        <v>5029315</v>
      </c>
      <c r="H14022">
        <v>12573461</v>
      </c>
      <c r="I14022">
        <v>16595259</v>
      </c>
      <c r="J14022">
        <v>7</v>
      </c>
    </row>
    <row r="14023" spans="1:10" x14ac:dyDescent="0.25">
      <c r="A14023" t="s">
        <v>149</v>
      </c>
      <c r="B14023" s="1" t="str">
        <f>HYPERLINK("http://meetviva.com","meetviva.com")</f>
        <v>meetviva.com</v>
      </c>
      <c r="C14023" t="s">
        <v>433</v>
      </c>
      <c r="F14023">
        <v>4.8689678711069797E-8</v>
      </c>
      <c r="G14023">
        <v>952202</v>
      </c>
      <c r="H14023">
        <v>16751210</v>
      </c>
      <c r="I14023">
        <v>270873</v>
      </c>
      <c r="J14023">
        <v>4</v>
      </c>
    </row>
    <row r="14024" spans="1:10" x14ac:dyDescent="0.25">
      <c r="A14024" t="s">
        <v>149</v>
      </c>
      <c r="B14024" s="1" t="str">
        <f>HYPERLINK("http://paytipper.com","paytipper.com")</f>
        <v>paytipper.com</v>
      </c>
      <c r="C14024" t="s">
        <v>433</v>
      </c>
      <c r="F14024">
        <v>1.9034848233972602E-8</v>
      </c>
      <c r="G14024">
        <v>2830134</v>
      </c>
      <c r="H14024">
        <v>14022134</v>
      </c>
      <c r="I14024">
        <v>3980417</v>
      </c>
      <c r="J14024">
        <v>5</v>
      </c>
    </row>
    <row r="14025" spans="1:10" x14ac:dyDescent="0.25">
      <c r="A14025" t="s">
        <v>149</v>
      </c>
      <c r="B14025" s="1" t="str">
        <f>HYPERLINK("http://suministrodeluzyfuerza.com","suministrodeluzyfuerza.com")</f>
        <v>suministrodeluzyfuerza.com</v>
      </c>
      <c r="C14025" t="s">
        <v>433</v>
      </c>
      <c r="F14025">
        <v>4.5824766205888197E-9</v>
      </c>
      <c r="G14025">
        <v>49083124</v>
      </c>
      <c r="H14025">
        <v>10346189</v>
      </c>
      <c r="I14025">
        <v>56872331</v>
      </c>
      <c r="J14025">
        <v>9</v>
      </c>
    </row>
    <row r="14026" spans="1:10" x14ac:dyDescent="0.25">
      <c r="A14026" t="s">
        <v>149</v>
      </c>
      <c r="B14026" s="1" t="str">
        <f>HYPERLINK("http://tae.com","tae.com")</f>
        <v>tae.com</v>
      </c>
      <c r="C14026" t="s">
        <v>433</v>
      </c>
      <c r="E14026">
        <v>347717</v>
      </c>
      <c r="F14026">
        <v>9.8461620595135801E-8</v>
      </c>
      <c r="G14026">
        <v>409575</v>
      </c>
      <c r="H14026">
        <v>14461617</v>
      </c>
      <c r="I14026">
        <v>1046525</v>
      </c>
      <c r="J14026">
        <v>5</v>
      </c>
    </row>
    <row r="14027" spans="1:10" x14ac:dyDescent="0.25">
      <c r="A14027" t="s">
        <v>149</v>
      </c>
      <c r="B14027" s="1" t="str">
        <f>HYPERLINK("http://tejoenergia.com","tejoenergia.com")</f>
        <v>tejoenergia.com</v>
      </c>
      <c r="C14027" t="s">
        <v>433</v>
      </c>
      <c r="F14027">
        <v>1.68564746588196E-8</v>
      </c>
      <c r="G14027">
        <v>3319692</v>
      </c>
      <c r="H14027">
        <v>14285130</v>
      </c>
      <c r="I14027">
        <v>1372543</v>
      </c>
      <c r="J14027">
        <v>6</v>
      </c>
    </row>
    <row r="14028" spans="1:10" x14ac:dyDescent="0.25">
      <c r="A14028" t="s">
        <v>149</v>
      </c>
      <c r="B14028" s="1" t="str">
        <f>HYPERLINK("http://tradewindenergy.com","tradewindenergy.com")</f>
        <v>tradewindenergy.com</v>
      </c>
      <c r="C14028" t="s">
        <v>433</v>
      </c>
      <c r="F14028">
        <v>2.21075652474967E-8</v>
      </c>
      <c r="G14028">
        <v>2373615</v>
      </c>
      <c r="H14028">
        <v>14268878</v>
      </c>
      <c r="I14028">
        <v>1402839</v>
      </c>
      <c r="J14028">
        <v>7</v>
      </c>
    </row>
    <row r="14029" spans="1:10" x14ac:dyDescent="0.25">
      <c r="A14029" t="s">
        <v>149</v>
      </c>
      <c r="B14029" s="1" t="str">
        <f>HYPERLINK("http://trialphaenergy.com","trialphaenergy.com")</f>
        <v>trialphaenergy.com</v>
      </c>
      <c r="C14029" t="s">
        <v>433</v>
      </c>
      <c r="E14029">
        <v>311183</v>
      </c>
      <c r="F14029">
        <v>2.4237840693195701E-8</v>
      </c>
      <c r="G14029">
        <v>2139843</v>
      </c>
      <c r="H14029">
        <v>14038799</v>
      </c>
      <c r="I14029">
        <v>3910347</v>
      </c>
      <c r="J14029">
        <v>8</v>
      </c>
    </row>
    <row r="14030" spans="1:10" x14ac:dyDescent="0.25">
      <c r="A14030" t="s">
        <v>149</v>
      </c>
      <c r="B14030" s="1" t="str">
        <f>HYPERLINK("http://endesa.de","endesa.de")</f>
        <v>endesa.de</v>
      </c>
      <c r="C14030" t="s">
        <v>436</v>
      </c>
      <c r="D14030" t="s">
        <v>815</v>
      </c>
      <c r="F14030">
        <v>1.8618851355737501E-8</v>
      </c>
      <c r="G14030">
        <v>2903904</v>
      </c>
      <c r="H14030">
        <v>12127251</v>
      </c>
      <c r="I14030">
        <v>25221474</v>
      </c>
      <c r="J14030">
        <v>5</v>
      </c>
    </row>
    <row r="14031" spans="1:10" x14ac:dyDescent="0.25">
      <c r="A14031" t="s">
        <v>149</v>
      </c>
      <c r="B14031" s="1" t="str">
        <f>HYPERLINK("http://erdwaerme-oberland.de","erdwaerme-oberland.de")</f>
        <v>erdwaerme-oberland.de</v>
      </c>
      <c r="C14031" t="s">
        <v>436</v>
      </c>
      <c r="D14031" t="s">
        <v>815</v>
      </c>
      <c r="F14031">
        <v>5.1636418265102799E-9</v>
      </c>
      <c r="G14031">
        <v>25834645</v>
      </c>
      <c r="H14031">
        <v>10761717</v>
      </c>
      <c r="I14031">
        <v>39546398</v>
      </c>
      <c r="J14031">
        <v>4</v>
      </c>
    </row>
    <row r="14032" spans="1:10" x14ac:dyDescent="0.25">
      <c r="A14032" t="s">
        <v>149</v>
      </c>
      <c r="B14032" s="1" t="str">
        <f>HYPERLINK("http://iph.de","iph.de")</f>
        <v>iph.de</v>
      </c>
      <c r="C14032" t="s">
        <v>436</v>
      </c>
      <c r="D14032" t="s">
        <v>815</v>
      </c>
      <c r="F14032">
        <v>6.5510670328894399E-9</v>
      </c>
      <c r="G14032">
        <v>13869262</v>
      </c>
      <c r="H14032">
        <v>10348319</v>
      </c>
      <c r="I14032">
        <v>56566348</v>
      </c>
      <c r="J14032">
        <v>6</v>
      </c>
    </row>
    <row r="14033" spans="1:10" x14ac:dyDescent="0.25">
      <c r="A14033" t="s">
        <v>149</v>
      </c>
      <c r="B14033" s="1" t="str">
        <f>HYPERLINK("http://anav.es","anav.es")</f>
        <v>anav.es</v>
      </c>
      <c r="C14033" t="s">
        <v>443</v>
      </c>
      <c r="D14033" t="s">
        <v>822</v>
      </c>
      <c r="F14033">
        <v>2.63184987021452E-8</v>
      </c>
      <c r="G14033">
        <v>1956573</v>
      </c>
      <c r="H14033">
        <v>14685292</v>
      </c>
      <c r="I14033">
        <v>605417</v>
      </c>
      <c r="J14033">
        <v>5</v>
      </c>
    </row>
    <row r="14034" spans="1:10" x14ac:dyDescent="0.25">
      <c r="A14034" t="s">
        <v>149</v>
      </c>
      <c r="B14034" s="1" t="str">
        <f>HYPERLINK("http://cnat.es","cnat.es")</f>
        <v>cnat.es</v>
      </c>
      <c r="C14034" t="s">
        <v>443</v>
      </c>
      <c r="D14034" t="s">
        <v>822</v>
      </c>
      <c r="E14034">
        <v>596333</v>
      </c>
      <c r="F14034">
        <v>1.94759843885407E-8</v>
      </c>
      <c r="G14034">
        <v>2748236</v>
      </c>
      <c r="H14034">
        <v>14249411</v>
      </c>
      <c r="I14034">
        <v>1449772</v>
      </c>
      <c r="J14034">
        <v>6</v>
      </c>
    </row>
    <row r="14035" spans="1:10" x14ac:dyDescent="0.25">
      <c r="A14035" t="s">
        <v>149</v>
      </c>
      <c r="B14035" s="1" t="str">
        <f>HYPERLINK("http://electricadeceuta.es","electricadeceuta.es")</f>
        <v>electricadeceuta.es</v>
      </c>
      <c r="C14035" t="s">
        <v>443</v>
      </c>
      <c r="D14035" t="s">
        <v>822</v>
      </c>
      <c r="F14035">
        <v>5.1358913574951197E-9</v>
      </c>
      <c r="G14035">
        <v>26342821</v>
      </c>
      <c r="H14035">
        <v>10798785</v>
      </c>
      <c r="I14035">
        <v>38197594</v>
      </c>
      <c r="J14035">
        <v>5</v>
      </c>
    </row>
    <row r="14036" spans="1:10" x14ac:dyDescent="0.25">
      <c r="A14036" t="s">
        <v>149</v>
      </c>
      <c r="B14036" s="1" t="str">
        <f>HYPERLINK("http://endesa.es","endesa.es")</f>
        <v>endesa.es</v>
      </c>
      <c r="C14036" t="s">
        <v>443</v>
      </c>
      <c r="D14036" t="s">
        <v>822</v>
      </c>
      <c r="E14036">
        <v>129906</v>
      </c>
      <c r="F14036">
        <v>1.1494656535281999E-7</v>
      </c>
      <c r="G14036">
        <v>346310</v>
      </c>
      <c r="H14036">
        <v>14766115</v>
      </c>
      <c r="I14036">
        <v>558978</v>
      </c>
      <c r="J14036">
        <v>3</v>
      </c>
    </row>
    <row r="14037" spans="1:10" x14ac:dyDescent="0.25">
      <c r="A14037" t="s">
        <v>149</v>
      </c>
      <c r="B14037" s="1" t="str">
        <f>HYPERLINK("http://goronadelviento.es","goronadelviento.es")</f>
        <v>goronadelviento.es</v>
      </c>
      <c r="C14037" t="s">
        <v>443</v>
      </c>
      <c r="D14037" t="s">
        <v>822</v>
      </c>
      <c r="F14037">
        <v>4.1106146940637497E-8</v>
      </c>
      <c r="G14037">
        <v>1262742</v>
      </c>
      <c r="H14037">
        <v>14697336</v>
      </c>
      <c r="I14037">
        <v>598756</v>
      </c>
      <c r="J14037">
        <v>7</v>
      </c>
    </row>
    <row r="14038" spans="1:10" x14ac:dyDescent="0.25">
      <c r="A14038" t="s">
        <v>149</v>
      </c>
      <c r="B14038" s="1" t="str">
        <f>HYPERLINK("http://tecnatom.es","tecnatom.es")</f>
        <v>tecnatom.es</v>
      </c>
      <c r="C14038" t="s">
        <v>443</v>
      </c>
      <c r="D14038" t="s">
        <v>822</v>
      </c>
      <c r="F14038">
        <v>5.4848998728983801E-8</v>
      </c>
      <c r="G14038">
        <v>820575</v>
      </c>
      <c r="H14038">
        <v>14117253</v>
      </c>
      <c r="I14038">
        <v>2660447</v>
      </c>
      <c r="J14038">
        <v>8</v>
      </c>
    </row>
    <row r="14039" spans="1:10" x14ac:dyDescent="0.25">
      <c r="A14039" t="s">
        <v>149</v>
      </c>
      <c r="B14039" s="1" t="str">
        <f>HYPERLINK("http://evaplus.eu","evaplus.eu")</f>
        <v>evaplus.eu</v>
      </c>
      <c r="C14039" t="s">
        <v>444</v>
      </c>
      <c r="F14039">
        <v>5.631885452975E-9</v>
      </c>
      <c r="G14039">
        <v>19558189</v>
      </c>
      <c r="H14039">
        <v>14119766</v>
      </c>
      <c r="I14039">
        <v>2457458</v>
      </c>
      <c r="J14039">
        <v>4</v>
      </c>
    </row>
    <row r="14040" spans="1:10" x14ac:dyDescent="0.25">
      <c r="A14040" t="s">
        <v>149</v>
      </c>
      <c r="B14040" s="1" t="str">
        <f>HYPERLINK("http://endesa.fr","endesa.fr")</f>
        <v>endesa.fr</v>
      </c>
      <c r="C14040" t="s">
        <v>446</v>
      </c>
      <c r="D14040" t="s">
        <v>824</v>
      </c>
      <c r="F14040">
        <v>3.8470932237687198E-8</v>
      </c>
      <c r="G14040">
        <v>1341081</v>
      </c>
      <c r="H14040">
        <v>14072920</v>
      </c>
      <c r="I14040">
        <v>3033031</v>
      </c>
      <c r="J14040">
        <v>4</v>
      </c>
    </row>
    <row r="14041" spans="1:10" x14ac:dyDescent="0.25">
      <c r="A14041" t="s">
        <v>149</v>
      </c>
      <c r="B14041" s="1" t="str">
        <f>HYPERLINK("http://tecnatom.fr","tecnatom.fr")</f>
        <v>tecnatom.fr</v>
      </c>
      <c r="C14041" t="s">
        <v>446</v>
      </c>
      <c r="D14041" t="s">
        <v>824</v>
      </c>
      <c r="F14041">
        <v>5.0824566782817696E-9</v>
      </c>
      <c r="G14041">
        <v>27454421</v>
      </c>
      <c r="H14041">
        <v>10531702</v>
      </c>
      <c r="I14041">
        <v>48103672</v>
      </c>
      <c r="J14041">
        <v>9</v>
      </c>
    </row>
    <row r="14042" spans="1:10" x14ac:dyDescent="0.25">
      <c r="A14042" t="s">
        <v>149</v>
      </c>
      <c r="B14042" s="1" t="str">
        <f>HYPERLINK("http://enelint.global","enelint.global")</f>
        <v>enelint.global</v>
      </c>
      <c r="C14042" t="s">
        <v>517</v>
      </c>
      <c r="E14042">
        <v>219295</v>
      </c>
      <c r="F14042">
        <v>6.2538176293564802E-9</v>
      </c>
      <c r="G14042">
        <v>15255805</v>
      </c>
      <c r="H14042">
        <v>12208712</v>
      </c>
      <c r="I14042">
        <v>23058438</v>
      </c>
      <c r="J14042">
        <v>3</v>
      </c>
    </row>
    <row r="14043" spans="1:10" x14ac:dyDescent="0.25">
      <c r="A14043" t="s">
        <v>149</v>
      </c>
      <c r="B14043" s="1" t="str">
        <f>HYPERLINK("http://activationenergy.ie","activationenergy.ie")</f>
        <v>activationenergy.ie</v>
      </c>
      <c r="C14043" t="s">
        <v>455</v>
      </c>
      <c r="D14043" t="s">
        <v>832</v>
      </c>
      <c r="F14043">
        <v>6.73012284934762E-9</v>
      </c>
      <c r="G14043">
        <v>13196730</v>
      </c>
      <c r="H14043">
        <v>12970592</v>
      </c>
      <c r="I14043">
        <v>13044018</v>
      </c>
      <c r="J14043">
        <v>7</v>
      </c>
    </row>
    <row r="14044" spans="1:10" x14ac:dyDescent="0.25">
      <c r="A14044" t="s">
        <v>149</v>
      </c>
      <c r="B14044" s="1" t="str">
        <f>HYPERLINK("http://cesi.it","cesi.it")</f>
        <v>cesi.it</v>
      </c>
      <c r="C14044" t="s">
        <v>459</v>
      </c>
      <c r="D14044" t="s">
        <v>835</v>
      </c>
      <c r="E14044">
        <v>351494</v>
      </c>
      <c r="F14044">
        <v>1.1480475328305099E-7</v>
      </c>
      <c r="G14044">
        <v>346774</v>
      </c>
      <c r="H14044">
        <v>14453402</v>
      </c>
      <c r="I14044">
        <v>1051157</v>
      </c>
      <c r="J14044">
        <v>3</v>
      </c>
    </row>
    <row r="14045" spans="1:10" x14ac:dyDescent="0.25">
      <c r="A14045" t="s">
        <v>149</v>
      </c>
      <c r="B14045" s="1" t="str">
        <f>HYPERLINK("http://citypostepayment.it","citypostepayment.it")</f>
        <v>citypostepayment.it</v>
      </c>
      <c r="C14045" t="s">
        <v>459</v>
      </c>
      <c r="D14045" t="s">
        <v>835</v>
      </c>
      <c r="F14045">
        <v>2.16861822578871E-8</v>
      </c>
      <c r="G14045">
        <v>2425510</v>
      </c>
      <c r="H14045">
        <v>13941905</v>
      </c>
      <c r="I14045">
        <v>4339870</v>
      </c>
      <c r="J14045">
        <v>5</v>
      </c>
    </row>
    <row r="14046" spans="1:10" x14ac:dyDescent="0.25">
      <c r="A14046" t="s">
        <v>149</v>
      </c>
      <c r="B14046" s="1" t="str">
        <f>HYPERLINK("http://e-distribuzione.it","e-distribuzione.it")</f>
        <v>e-distribuzione.it</v>
      </c>
      <c r="C14046" t="s">
        <v>459</v>
      </c>
      <c r="D14046" t="s">
        <v>835</v>
      </c>
      <c r="E14046">
        <v>205096</v>
      </c>
      <c r="F14046">
        <v>1.36684270558138E-7</v>
      </c>
      <c r="G14046">
        <v>285194</v>
      </c>
      <c r="H14046">
        <v>14742851</v>
      </c>
      <c r="I14046">
        <v>566507</v>
      </c>
      <c r="J14046">
        <v>4</v>
      </c>
    </row>
    <row r="14047" spans="1:10" x14ac:dyDescent="0.25">
      <c r="A14047" t="s">
        <v>149</v>
      </c>
      <c r="B14047" s="1" t="str">
        <f>HYPERLINK("http://enel.it","enel.it")</f>
        <v>enel.it</v>
      </c>
      <c r="C14047" t="s">
        <v>459</v>
      </c>
      <c r="D14047" t="s">
        <v>835</v>
      </c>
      <c r="E14047">
        <v>29684</v>
      </c>
      <c r="F14047">
        <v>5.6268129589481296E-7</v>
      </c>
      <c r="G14047">
        <v>68190</v>
      </c>
      <c r="H14047">
        <v>17138610</v>
      </c>
      <c r="I14047">
        <v>54705</v>
      </c>
      <c r="J14047">
        <v>2</v>
      </c>
    </row>
    <row r="14048" spans="1:10" x14ac:dyDescent="0.25">
      <c r="A14048" t="s">
        <v>149</v>
      </c>
      <c r="B14048" s="1" t="str">
        <f>HYPERLINK("http://enelx.it","enelx.it")</f>
        <v>enelx.it</v>
      </c>
      <c r="C14048" t="s">
        <v>459</v>
      </c>
      <c r="D14048" t="s">
        <v>835</v>
      </c>
      <c r="F14048">
        <v>6.2026691486249402E-9</v>
      </c>
      <c r="G14048">
        <v>15521546</v>
      </c>
      <c r="H14048">
        <v>12494460</v>
      </c>
      <c r="I14048">
        <v>17432505</v>
      </c>
      <c r="J14048">
        <v>4</v>
      </c>
    </row>
    <row r="14049" spans="1:10" x14ac:dyDescent="0.25">
      <c r="A14049" t="s">
        <v>149</v>
      </c>
      <c r="B14049" s="1" t="str">
        <f>HYPERLINK("http://fosterwheeler.it","fosterwheeler.it")</f>
        <v>fosterwheeler.it</v>
      </c>
      <c r="C14049" t="s">
        <v>459</v>
      </c>
      <c r="D14049" t="s">
        <v>835</v>
      </c>
      <c r="F14049">
        <v>6.25254890248413E-9</v>
      </c>
      <c r="G14049">
        <v>15261855</v>
      </c>
      <c r="H14049">
        <v>13764898</v>
      </c>
      <c r="I14049">
        <v>7174212</v>
      </c>
      <c r="J14049">
        <v>4</v>
      </c>
    </row>
    <row r="14050" spans="1:10" x14ac:dyDescent="0.25">
      <c r="A14050" t="s">
        <v>149</v>
      </c>
      <c r="B14050" s="1" t="str">
        <f>HYPERLINK("http://mooney.it","mooney.it")</f>
        <v>mooney.it</v>
      </c>
      <c r="C14050" t="s">
        <v>459</v>
      </c>
      <c r="D14050" t="s">
        <v>835</v>
      </c>
      <c r="E14050">
        <v>389564</v>
      </c>
      <c r="F14050">
        <v>4.8343818340806195E-7</v>
      </c>
      <c r="G14050">
        <v>78709</v>
      </c>
      <c r="H14050">
        <v>16823638</v>
      </c>
      <c r="I14050">
        <v>184580</v>
      </c>
      <c r="J14050">
        <v>6</v>
      </c>
    </row>
    <row r="14051" spans="1:10" x14ac:dyDescent="0.25">
      <c r="A14051" t="s">
        <v>149</v>
      </c>
      <c r="B14051" s="1" t="str">
        <f>HYPERLINK("http://mooneygroup.it","mooneygroup.it")</f>
        <v>mooneygroup.it</v>
      </c>
      <c r="C14051" t="s">
        <v>459</v>
      </c>
      <c r="D14051" t="s">
        <v>835</v>
      </c>
      <c r="F14051">
        <v>1.50907673703339E-8</v>
      </c>
      <c r="G14051">
        <v>3810599</v>
      </c>
      <c r="H14051">
        <v>13539753</v>
      </c>
      <c r="I14051">
        <v>9906902</v>
      </c>
      <c r="J14051">
        <v>4</v>
      </c>
    </row>
    <row r="14052" spans="1:10" x14ac:dyDescent="0.25">
      <c r="A14052" t="s">
        <v>149</v>
      </c>
      <c r="B14052" s="1" t="str">
        <f>HYPERLINK("http://powercrop.it","powercrop.it")</f>
        <v>powercrop.it</v>
      </c>
      <c r="C14052" t="s">
        <v>459</v>
      </c>
      <c r="D14052" t="s">
        <v>835</v>
      </c>
      <c r="F14052">
        <v>6.0973323980234999E-9</v>
      </c>
      <c r="G14052">
        <v>16107934</v>
      </c>
      <c r="H14052">
        <v>10752445</v>
      </c>
      <c r="I14052">
        <v>39989680</v>
      </c>
      <c r="J14052">
        <v>5</v>
      </c>
    </row>
    <row r="14053" spans="1:10" x14ac:dyDescent="0.25">
      <c r="A14053" t="s">
        <v>149</v>
      </c>
      <c r="B14053" s="1" t="str">
        <f>HYPERLINK("http://servizioelettriconazionale.it","servizioelettriconazionale.it")</f>
        <v>servizioelettriconazionale.it</v>
      </c>
      <c r="C14053" t="s">
        <v>459</v>
      </c>
      <c r="D14053" t="s">
        <v>835</v>
      </c>
      <c r="E14053">
        <v>95917</v>
      </c>
      <c r="F14053">
        <v>2.6498299745821599E-8</v>
      </c>
      <c r="G14053">
        <v>1943017</v>
      </c>
      <c r="H14053">
        <v>13951746</v>
      </c>
      <c r="I14053">
        <v>4161976</v>
      </c>
      <c r="J14053">
        <v>4</v>
      </c>
    </row>
    <row r="14054" spans="1:10" x14ac:dyDescent="0.25">
      <c r="A14054" t="s">
        <v>149</v>
      </c>
      <c r="B14054" s="1" t="str">
        <f>HYPERLINK("http://arpat.toscana.it","arpat.toscana.it")</f>
        <v>arpat.toscana.it</v>
      </c>
      <c r="C14054" t="s">
        <v>459</v>
      </c>
      <c r="D14054" t="s">
        <v>835</v>
      </c>
      <c r="F14054">
        <v>1.96259260008726E-7</v>
      </c>
      <c r="G14054">
        <v>196505</v>
      </c>
      <c r="H14054">
        <v>14738478</v>
      </c>
      <c r="I14054">
        <v>568424</v>
      </c>
      <c r="J14054">
        <v>5</v>
      </c>
    </row>
    <row r="14055" spans="1:10" x14ac:dyDescent="0.25">
      <c r="A14055" t="s">
        <v>149</v>
      </c>
      <c r="B14055" s="1" t="str">
        <f>HYPERLINK("http://korealines.co.kr","korealines.co.kr")</f>
        <v>korealines.co.kr</v>
      </c>
      <c r="C14055" t="s">
        <v>463</v>
      </c>
      <c r="D14055" t="s">
        <v>839</v>
      </c>
      <c r="F14055">
        <v>2.57268285338262E-8</v>
      </c>
      <c r="G14055">
        <v>2003926</v>
      </c>
      <c r="H14055">
        <v>13394568</v>
      </c>
      <c r="I14055">
        <v>10380701</v>
      </c>
      <c r="J14055">
        <v>4</v>
      </c>
    </row>
    <row r="14056" spans="1:10" x14ac:dyDescent="0.25">
      <c r="A14056" t="s">
        <v>149</v>
      </c>
      <c r="B14056" s="1" t="str">
        <f>HYPERLINK("http://eet.ma","eet.ma")</f>
        <v>eet.ma</v>
      </c>
      <c r="C14056" t="s">
        <v>469</v>
      </c>
      <c r="D14056" t="s">
        <v>845</v>
      </c>
      <c r="F14056">
        <v>4.76926254500411E-9</v>
      </c>
      <c r="G14056">
        <v>37406999</v>
      </c>
      <c r="H14056">
        <v>12214498</v>
      </c>
      <c r="I14056">
        <v>22917159</v>
      </c>
      <c r="J14056">
        <v>6</v>
      </c>
    </row>
    <row r="14057" spans="1:10" x14ac:dyDescent="0.25">
      <c r="A14057" t="s">
        <v>149</v>
      </c>
      <c r="B14057" s="1" t="str">
        <f>HYPERLINK("http://enelgreen.com.mx","enelgreen.com.mx")</f>
        <v>enelgreen.com.mx</v>
      </c>
      <c r="C14057" t="s">
        <v>471</v>
      </c>
      <c r="D14057" t="s">
        <v>847</v>
      </c>
      <c r="J14057">
        <v>3</v>
      </c>
    </row>
    <row r="14058" spans="1:10" x14ac:dyDescent="0.25">
      <c r="A14058" t="s">
        <v>149</v>
      </c>
      <c r="B14058" s="1" t="str">
        <f>HYPERLINK("http://enel.mx","enel.mx")</f>
        <v>enel.mx</v>
      </c>
      <c r="C14058" t="s">
        <v>471</v>
      </c>
      <c r="D14058" t="s">
        <v>847</v>
      </c>
      <c r="F14058">
        <v>6.7661398318108003E-9</v>
      </c>
      <c r="G14058">
        <v>13074635</v>
      </c>
      <c r="H14058">
        <v>12304861</v>
      </c>
      <c r="I14058">
        <v>20738223</v>
      </c>
      <c r="J14058">
        <v>2</v>
      </c>
    </row>
    <row r="14059" spans="1:10" x14ac:dyDescent="0.25">
      <c r="A14059" t="s">
        <v>149</v>
      </c>
      <c r="B14059" s="1" t="str">
        <f>HYPERLINK("http://elini.net","elini.net")</f>
        <v>elini.net</v>
      </c>
      <c r="C14059" t="s">
        <v>474</v>
      </c>
      <c r="E14059">
        <v>902279</v>
      </c>
      <c r="F14059">
        <v>1.0522176924946599E-8</v>
      </c>
      <c r="G14059">
        <v>6250533</v>
      </c>
      <c r="H14059">
        <v>12530523</v>
      </c>
      <c r="I14059">
        <v>17030027</v>
      </c>
      <c r="J14059">
        <v>7</v>
      </c>
    </row>
    <row r="14060" spans="1:10" x14ac:dyDescent="0.25">
      <c r="A14060" t="s">
        <v>149</v>
      </c>
      <c r="B14060" s="1" t="str">
        <f>HYPERLINK("http://endesa.nl","endesa.nl")</f>
        <v>endesa.nl</v>
      </c>
      <c r="C14060" t="s">
        <v>477</v>
      </c>
      <c r="D14060" t="s">
        <v>852</v>
      </c>
      <c r="F14060">
        <v>1.8428888488615101E-8</v>
      </c>
      <c r="G14060">
        <v>2940096</v>
      </c>
      <c r="H14060">
        <v>11973259</v>
      </c>
      <c r="I14060">
        <v>28660754</v>
      </c>
      <c r="J14060">
        <v>6</v>
      </c>
    </row>
    <row r="14061" spans="1:10" x14ac:dyDescent="0.25">
      <c r="A14061" t="s">
        <v>149</v>
      </c>
      <c r="B14061" s="1" t="str">
        <f>HYPERLINK("http://nuclenor.org","nuclenor.org")</f>
        <v>nuclenor.org</v>
      </c>
      <c r="C14061" t="s">
        <v>481</v>
      </c>
      <c r="F14061">
        <v>2.66062783883013E-8</v>
      </c>
      <c r="G14061">
        <v>1934790</v>
      </c>
      <c r="H14061">
        <v>14510500</v>
      </c>
      <c r="I14061">
        <v>823652</v>
      </c>
      <c r="J14061">
        <v>6</v>
      </c>
    </row>
    <row r="14062" spans="1:10" x14ac:dyDescent="0.25">
      <c r="A14062" t="s">
        <v>149</v>
      </c>
      <c r="B14062" s="1" t="str">
        <f>HYPERLINK("http://fortuna.com.pa","fortuna.com.pa")</f>
        <v>fortuna.com.pa</v>
      </c>
      <c r="C14062" t="s">
        <v>482</v>
      </c>
      <c r="D14062" t="s">
        <v>856</v>
      </c>
      <c r="F14062">
        <v>4.6026525153074702E-9</v>
      </c>
      <c r="G14062">
        <v>47402621</v>
      </c>
      <c r="H14062">
        <v>12909779</v>
      </c>
      <c r="I14062">
        <v>13584685</v>
      </c>
      <c r="J14062">
        <v>6</v>
      </c>
    </row>
    <row r="14063" spans="1:10" x14ac:dyDescent="0.25">
      <c r="A14063" t="s">
        <v>149</v>
      </c>
      <c r="B14063" s="1" t="str">
        <f>HYPERLINK("http://enel.pe","enel.pe")</f>
        <v>enel.pe</v>
      </c>
      <c r="C14063" t="s">
        <v>483</v>
      </c>
      <c r="D14063" t="s">
        <v>857</v>
      </c>
      <c r="E14063">
        <v>395428</v>
      </c>
      <c r="F14063">
        <v>9.1645958687429896E-8</v>
      </c>
      <c r="G14063">
        <v>444593</v>
      </c>
      <c r="H14063">
        <v>16886030</v>
      </c>
      <c r="I14063">
        <v>136757</v>
      </c>
      <c r="J14063">
        <v>2</v>
      </c>
    </row>
    <row r="14064" spans="1:10" x14ac:dyDescent="0.25">
      <c r="A14064" t="s">
        <v>149</v>
      </c>
      <c r="B14064" s="1" t="str">
        <f>HYPERLINK("http://endesa.pt","endesa.pt")</f>
        <v>endesa.pt</v>
      </c>
      <c r="C14064" t="s">
        <v>488</v>
      </c>
      <c r="D14064" t="s">
        <v>862</v>
      </c>
      <c r="E14064">
        <v>753830</v>
      </c>
      <c r="F14064">
        <v>4.8500155917601198E-8</v>
      </c>
      <c r="G14064">
        <v>956525</v>
      </c>
      <c r="H14064">
        <v>13804553</v>
      </c>
      <c r="I14064">
        <v>6244852</v>
      </c>
      <c r="J14064">
        <v>5</v>
      </c>
    </row>
    <row r="14065" spans="1:10" x14ac:dyDescent="0.25">
      <c r="A14065" t="s">
        <v>149</v>
      </c>
      <c r="B14065" s="1" t="str">
        <f>HYPERLINK("http://enel.ro","enel.ro")</f>
        <v>enel.ro</v>
      </c>
      <c r="C14065" t="s">
        <v>491</v>
      </c>
      <c r="D14065" t="s">
        <v>865</v>
      </c>
      <c r="E14065">
        <v>99372</v>
      </c>
      <c r="F14065">
        <v>8.32054970088165E-8</v>
      </c>
      <c r="G14065">
        <v>500111</v>
      </c>
      <c r="H14065">
        <v>14988394</v>
      </c>
      <c r="I14065">
        <v>428715</v>
      </c>
      <c r="J14065">
        <v>2</v>
      </c>
    </row>
    <row r="14066" spans="1:10" x14ac:dyDescent="0.25">
      <c r="A14066" t="s">
        <v>149</v>
      </c>
      <c r="B14066" s="1" t="str">
        <f>HYPERLINK("http://enelx.ro","enelx.ro")</f>
        <v>enelx.ro</v>
      </c>
      <c r="C14066" t="s">
        <v>491</v>
      </c>
      <c r="D14066" t="s">
        <v>865</v>
      </c>
      <c r="F14066">
        <v>5.3235862144333999E-9</v>
      </c>
      <c r="G14066">
        <v>23155488</v>
      </c>
      <c r="H14066">
        <v>12288732</v>
      </c>
      <c r="I14066">
        <v>21140546</v>
      </c>
      <c r="J14066">
        <v>4</v>
      </c>
    </row>
    <row r="14067" spans="1:10" x14ac:dyDescent="0.25">
      <c r="A14067" t="s">
        <v>149</v>
      </c>
      <c r="B14067" s="1" t="str">
        <f>HYPERLINK("http://enelrussia.ru","enelrussia.ru")</f>
        <v>enelrussia.ru</v>
      </c>
      <c r="C14067" t="s">
        <v>493</v>
      </c>
      <c r="D14067" t="s">
        <v>867</v>
      </c>
      <c r="E14067">
        <v>372001</v>
      </c>
      <c r="F14067">
        <v>4.1458035064429403E-8</v>
      </c>
      <c r="G14067">
        <v>1203657</v>
      </c>
      <c r="H14067">
        <v>14080709</v>
      </c>
      <c r="I14067">
        <v>2817389</v>
      </c>
      <c r="J14067">
        <v>4</v>
      </c>
    </row>
    <row r="14068" spans="1:10" x14ac:dyDescent="0.25">
      <c r="A14068" t="s">
        <v>149</v>
      </c>
      <c r="B14068" s="1" t="str">
        <f>HYPERLINK("http://energetickesluzby.sk","energetickesluzby.sk")</f>
        <v>energetickesluzby.sk</v>
      </c>
      <c r="C14068" t="s">
        <v>498</v>
      </c>
      <c r="D14068" t="s">
        <v>872</v>
      </c>
      <c r="F14068">
        <v>1.1193693427354999E-8</v>
      </c>
      <c r="G14068">
        <v>5717514</v>
      </c>
      <c r="H14068">
        <v>14072657</v>
      </c>
      <c r="I14068">
        <v>3061024</v>
      </c>
      <c r="J14068">
        <v>9</v>
      </c>
    </row>
    <row r="14069" spans="1:10" x14ac:dyDescent="0.25">
      <c r="A14069" t="s">
        <v>149</v>
      </c>
      <c r="B14069" s="1" t="str">
        <f>HYPERLINK("http://energotel.sk","energotel.sk")</f>
        <v>energotel.sk</v>
      </c>
      <c r="C14069" t="s">
        <v>498</v>
      </c>
      <c r="D14069" t="s">
        <v>872</v>
      </c>
      <c r="E14069">
        <v>96549</v>
      </c>
      <c r="F14069">
        <v>3.7438039828438301E-8</v>
      </c>
      <c r="G14069">
        <v>1382623</v>
      </c>
      <c r="H14069">
        <v>13088241</v>
      </c>
      <c r="I14069">
        <v>12151999</v>
      </c>
      <c r="J14069">
        <v>7</v>
      </c>
    </row>
    <row r="14070" spans="1:10" x14ac:dyDescent="0.25">
      <c r="A14070" t="s">
        <v>149</v>
      </c>
      <c r="B14070" s="1" t="str">
        <f>HYPERLINK("http://reaktortest.sk","reaktortest.sk")</f>
        <v>reaktortest.sk</v>
      </c>
      <c r="C14070" t="s">
        <v>498</v>
      </c>
      <c r="D14070" t="s">
        <v>872</v>
      </c>
      <c r="F14070">
        <v>6.87139731750461E-9</v>
      </c>
      <c r="G14070">
        <v>12724592</v>
      </c>
      <c r="H14070">
        <v>12190579</v>
      </c>
      <c r="I14070">
        <v>23573272</v>
      </c>
      <c r="J14070">
        <v>7</v>
      </c>
    </row>
    <row r="14071" spans="1:10" x14ac:dyDescent="0.25">
      <c r="A14071" t="s">
        <v>149</v>
      </c>
      <c r="B14071" s="1" t="str">
        <f>HYPERLINK("http://seas.sk","seas.sk")</f>
        <v>seas.sk</v>
      </c>
      <c r="C14071" t="s">
        <v>498</v>
      </c>
      <c r="D14071" t="s">
        <v>872</v>
      </c>
      <c r="E14071">
        <v>797414</v>
      </c>
      <c r="F14071">
        <v>1.44956208160954E-7</v>
      </c>
      <c r="G14071">
        <v>268540</v>
      </c>
      <c r="H14071">
        <v>14737864</v>
      </c>
      <c r="I14071">
        <v>568670</v>
      </c>
      <c r="J14071">
        <v>6</v>
      </c>
    </row>
    <row r="14072" spans="1:10" x14ac:dyDescent="0.25">
      <c r="A14072" t="s">
        <v>149</v>
      </c>
      <c r="B14072" s="1" t="str">
        <f>HYPERLINK("http://entech.co.uk","entech.co.uk")</f>
        <v>entech.co.uk</v>
      </c>
      <c r="C14072" t="s">
        <v>506</v>
      </c>
      <c r="D14072" t="s">
        <v>880</v>
      </c>
      <c r="F14072">
        <v>4.7538315145622599E-9</v>
      </c>
      <c r="G14072">
        <v>38152970</v>
      </c>
      <c r="H14072">
        <v>11275342</v>
      </c>
      <c r="I14072">
        <v>30734992</v>
      </c>
      <c r="J14072">
        <v>7</v>
      </c>
    </row>
    <row r="14073" spans="1:10" x14ac:dyDescent="0.25">
      <c r="A14073" t="s">
        <v>1614</v>
      </c>
      <c r="B14073" s="1" t="str">
        <f>HYPERLINK("http://ocil.bm","ocil.bm")</f>
        <v>ocil.bm</v>
      </c>
      <c r="C14073" t="s">
        <v>568</v>
      </c>
      <c r="D14073" t="s">
        <v>915</v>
      </c>
      <c r="F14073">
        <v>1.59252098956043E-8</v>
      </c>
      <c r="G14073">
        <v>3565985</v>
      </c>
      <c r="H14073">
        <v>12331911</v>
      </c>
      <c r="I14073">
        <v>20171084</v>
      </c>
      <c r="J14073">
        <v>3</v>
      </c>
    </row>
    <row r="14074" spans="1:10" x14ac:dyDescent="0.25">
      <c r="A14074" t="s">
        <v>1614</v>
      </c>
      <c r="B14074" s="1" t="str">
        <f>HYPERLINK("http://alohagas.com","alohagas.com")</f>
        <v>alohagas.com</v>
      </c>
      <c r="C14074" t="s">
        <v>433</v>
      </c>
      <c r="F14074">
        <v>2.2222872246302301E-8</v>
      </c>
      <c r="G14074">
        <v>2359854</v>
      </c>
      <c r="H14074">
        <v>14075696</v>
      </c>
      <c r="I14074">
        <v>2902769</v>
      </c>
      <c r="J14074">
        <v>3</v>
      </c>
    </row>
    <row r="14075" spans="1:10" x14ac:dyDescent="0.25">
      <c r="A14075" t="s">
        <v>1614</v>
      </c>
      <c r="B14075" s="1" t="str">
        <f>HYPERLINK("http://coalhandlingsolutions.com","coalhandlingsolutions.com")</f>
        <v>coalhandlingsolutions.com</v>
      </c>
      <c r="C14075" t="s">
        <v>433</v>
      </c>
      <c r="J14075">
        <v>3</v>
      </c>
    </row>
    <row r="14076" spans="1:10" x14ac:dyDescent="0.25">
      <c r="A14076" t="s">
        <v>1614</v>
      </c>
      <c r="B14076" s="1" t="str">
        <f>HYPERLINK("http://dandyminimarts.com","dandyminimarts.com")</f>
        <v>dandyminimarts.com</v>
      </c>
      <c r="C14076" t="s">
        <v>433</v>
      </c>
      <c r="F14076">
        <v>5.20719082332015E-9</v>
      </c>
      <c r="G14076">
        <v>24973938</v>
      </c>
      <c r="H14076">
        <v>12163106</v>
      </c>
      <c r="I14076">
        <v>24281912</v>
      </c>
      <c r="J14076">
        <v>6</v>
      </c>
    </row>
    <row r="14077" spans="1:10" x14ac:dyDescent="0.25">
      <c r="A14077" t="s">
        <v>1614</v>
      </c>
      <c r="B14077" s="1" t="str">
        <f>HYPERLINK("http://enablemidstream.com","enablemidstream.com")</f>
        <v>enablemidstream.com</v>
      </c>
      <c r="C14077" t="s">
        <v>433</v>
      </c>
      <c r="E14077">
        <v>921201</v>
      </c>
      <c r="F14077">
        <v>2.2807581093139601E-8</v>
      </c>
      <c r="G14077">
        <v>2293051</v>
      </c>
      <c r="H14077">
        <v>13917927</v>
      </c>
      <c r="I14077">
        <v>5936615</v>
      </c>
      <c r="J14077">
        <v>3</v>
      </c>
    </row>
    <row r="14078" spans="1:10" x14ac:dyDescent="0.25">
      <c r="A14078" t="s">
        <v>1614</v>
      </c>
      <c r="B14078" s="1" t="str">
        <f>HYPERLINK("http://endureenergy.com","endureenergy.com")</f>
        <v>endureenergy.com</v>
      </c>
      <c r="C14078" t="s">
        <v>433</v>
      </c>
      <c r="F14078">
        <v>4.5067158822861901E-9</v>
      </c>
      <c r="G14078">
        <v>57970700</v>
      </c>
      <c r="H14078">
        <v>10366073</v>
      </c>
      <c r="I14078">
        <v>54994999</v>
      </c>
      <c r="J14078">
        <v>3</v>
      </c>
    </row>
    <row r="14079" spans="1:10" x14ac:dyDescent="0.25">
      <c r="A14079" t="s">
        <v>1614</v>
      </c>
      <c r="B14079" s="1" t="str">
        <f>HYPERLINK("http://energytransfer.com","energytransfer.com")</f>
        <v>energytransfer.com</v>
      </c>
      <c r="C14079" t="s">
        <v>433</v>
      </c>
      <c r="E14079">
        <v>139391</v>
      </c>
      <c r="F14079">
        <v>3.4679800259244699E-7</v>
      </c>
      <c r="G14079">
        <v>107722</v>
      </c>
      <c r="H14079">
        <v>14767260</v>
      </c>
      <c r="I14079">
        <v>558620</v>
      </c>
      <c r="J14079">
        <v>1</v>
      </c>
    </row>
    <row r="14080" spans="1:10" x14ac:dyDescent="0.25">
      <c r="A14080" t="s">
        <v>1614</v>
      </c>
      <c r="B14080" s="1" t="str">
        <f>HYPERLINK("http://expl.com","expl.com")</f>
        <v>expl.com</v>
      </c>
      <c r="C14080" t="s">
        <v>433</v>
      </c>
      <c r="F14080">
        <v>1.46093094182428E-8</v>
      </c>
      <c r="G14080">
        <v>3973653</v>
      </c>
      <c r="H14080">
        <v>13782064</v>
      </c>
      <c r="I14080">
        <v>6449292</v>
      </c>
      <c r="J14080">
        <v>3</v>
      </c>
    </row>
    <row r="14081" spans="1:10" x14ac:dyDescent="0.25">
      <c r="A14081" t="s">
        <v>1614</v>
      </c>
      <c r="B14081" s="1" t="str">
        <f>HYPERLINK("http://gosunoco.com","gosunoco.com")</f>
        <v>gosunoco.com</v>
      </c>
      <c r="C14081" t="s">
        <v>433</v>
      </c>
      <c r="F14081">
        <v>1.97484549718787E-8</v>
      </c>
      <c r="G14081">
        <v>2701354</v>
      </c>
      <c r="H14081">
        <v>14486174</v>
      </c>
      <c r="I14081">
        <v>972353</v>
      </c>
      <c r="J14081">
        <v>6</v>
      </c>
    </row>
    <row r="14082" spans="1:10" x14ac:dyDescent="0.25">
      <c r="A14082" t="s">
        <v>1614</v>
      </c>
      <c r="B14082" s="1" t="str">
        <f>HYPERLINK("http://greenbeltsunoco.com","greenbeltsunoco.com")</f>
        <v>greenbeltsunoco.com</v>
      </c>
      <c r="C14082" t="s">
        <v>433</v>
      </c>
      <c r="J14082">
        <v>6</v>
      </c>
    </row>
    <row r="14083" spans="1:10" x14ac:dyDescent="0.25">
      <c r="A14083" t="s">
        <v>1614</v>
      </c>
      <c r="B14083" s="1" t="str">
        <f>HYPERLINK("http://kernautosalesandservice.com","kernautosalesandservice.com")</f>
        <v>kernautosalesandservice.com</v>
      </c>
      <c r="C14083" t="s">
        <v>433</v>
      </c>
      <c r="J14083">
        <v>6</v>
      </c>
    </row>
    <row r="14084" spans="1:10" x14ac:dyDescent="0.25">
      <c r="A14084" t="s">
        <v>1614</v>
      </c>
      <c r="B14084" s="1" t="str">
        <f>HYPERLINK("http://maurepaspipelinellc.com","maurepaspipelinellc.com")</f>
        <v>maurepaspipelinellc.com</v>
      </c>
      <c r="C14084" t="s">
        <v>433</v>
      </c>
      <c r="F14084">
        <v>5.0960783418374702E-9</v>
      </c>
      <c r="G14084">
        <v>27161035</v>
      </c>
      <c r="H14084">
        <v>10145895</v>
      </c>
      <c r="I14084">
        <v>59475124</v>
      </c>
      <c r="J14084">
        <v>3</v>
      </c>
    </row>
    <row r="14085" spans="1:10" x14ac:dyDescent="0.25">
      <c r="A14085" t="s">
        <v>1614</v>
      </c>
      <c r="B14085" s="1" t="str">
        <f>HYPERLINK("http://myaplus.com","myaplus.com")</f>
        <v>myaplus.com</v>
      </c>
      <c r="C14085" t="s">
        <v>433</v>
      </c>
      <c r="F14085">
        <v>9.2578027337693003E-9</v>
      </c>
      <c r="G14085">
        <v>7628218</v>
      </c>
      <c r="H14085">
        <v>11509010</v>
      </c>
      <c r="I14085">
        <v>30017580</v>
      </c>
      <c r="J14085">
        <v>6</v>
      </c>
    </row>
    <row r="14086" spans="1:10" x14ac:dyDescent="0.25">
      <c r="A14086" t="s">
        <v>1614</v>
      </c>
      <c r="B14086" s="1" t="str">
        <f>HYPERLINK("http://nerfinc.com","nerfinc.com")</f>
        <v>nerfinc.com</v>
      </c>
      <c r="C14086" t="s">
        <v>433</v>
      </c>
      <c r="F14086">
        <v>6.3270378593460596E-9</v>
      </c>
      <c r="G14086">
        <v>14904434</v>
      </c>
      <c r="H14086">
        <v>10942288</v>
      </c>
      <c r="I14086">
        <v>34770830</v>
      </c>
      <c r="J14086">
        <v>6</v>
      </c>
    </row>
    <row r="14087" spans="1:10" x14ac:dyDescent="0.25">
      <c r="A14087" t="s">
        <v>1614</v>
      </c>
      <c r="B14087" s="1" t="str">
        <f>HYPERLINK("http://regencygasservices.com","regencygasservices.com")</f>
        <v>regencygasservices.com</v>
      </c>
      <c r="C14087" t="s">
        <v>433</v>
      </c>
      <c r="F14087">
        <v>6.5952505410822503E-9</v>
      </c>
      <c r="G14087">
        <v>13695200</v>
      </c>
      <c r="H14087">
        <v>12375765</v>
      </c>
      <c r="I14087">
        <v>19305510</v>
      </c>
      <c r="J14087">
        <v>3</v>
      </c>
    </row>
    <row r="14088" spans="1:10" x14ac:dyDescent="0.25">
      <c r="A14088" t="s">
        <v>1614</v>
      </c>
      <c r="B14088" s="1" t="str">
        <f>HYPERLINK("http://sec-ep.com","sec-ep.com")</f>
        <v>sec-ep.com</v>
      </c>
      <c r="C14088" t="s">
        <v>433</v>
      </c>
      <c r="F14088">
        <v>5.0092995308898398E-9</v>
      </c>
      <c r="G14088">
        <v>29180718</v>
      </c>
      <c r="H14088">
        <v>10690011</v>
      </c>
      <c r="I14088">
        <v>42495725</v>
      </c>
      <c r="J14088">
        <v>3</v>
      </c>
    </row>
    <row r="14089" spans="1:10" x14ac:dyDescent="0.25">
      <c r="A14089" t="s">
        <v>1614</v>
      </c>
      <c r="B14089" s="1" t="str">
        <f>HYPERLINK("http://semgroupcorp.com","semgroupcorp.com")</f>
        <v>semgroupcorp.com</v>
      </c>
      <c r="C14089" t="s">
        <v>433</v>
      </c>
      <c r="F14089">
        <v>8.7489226197546492E-9</v>
      </c>
      <c r="G14089">
        <v>8394298</v>
      </c>
      <c r="H14089">
        <v>13298429</v>
      </c>
      <c r="I14089">
        <v>10837939</v>
      </c>
      <c r="J14089">
        <v>7</v>
      </c>
    </row>
    <row r="14090" spans="1:10" x14ac:dyDescent="0.25">
      <c r="A14090" t="s">
        <v>1614</v>
      </c>
      <c r="B14090" s="1" t="str">
        <f>HYPERLINK("http://semgrouplp.com","semgrouplp.com")</f>
        <v>semgrouplp.com</v>
      </c>
      <c r="C14090" t="s">
        <v>433</v>
      </c>
      <c r="F14090">
        <v>4.6064924020162799E-9</v>
      </c>
      <c r="G14090">
        <v>47117776</v>
      </c>
      <c r="H14090">
        <v>13763635</v>
      </c>
      <c r="I14090">
        <v>8197508</v>
      </c>
      <c r="J14090">
        <v>4</v>
      </c>
    </row>
    <row r="14091" spans="1:10" x14ac:dyDescent="0.25">
      <c r="A14091" t="s">
        <v>1614</v>
      </c>
      <c r="B14091" s="1" t="str">
        <f>HYPERLINK("http://semmaterials.com","semmaterials.com")</f>
        <v>semmaterials.com</v>
      </c>
      <c r="C14091" t="s">
        <v>433</v>
      </c>
      <c r="F14091">
        <v>5.7241884275213298E-9</v>
      </c>
      <c r="G14091">
        <v>18713516</v>
      </c>
      <c r="H14091">
        <v>12524520</v>
      </c>
      <c r="I14091">
        <v>17106895</v>
      </c>
      <c r="J14091">
        <v>3</v>
      </c>
    </row>
    <row r="14092" spans="1:10" x14ac:dyDescent="0.25">
      <c r="A14092" t="s">
        <v>1614</v>
      </c>
      <c r="B14092" s="1" t="str">
        <f>HYPERLINK("http://sunoco.com","sunoco.com")</f>
        <v>sunoco.com</v>
      </c>
      <c r="C14092" t="s">
        <v>433</v>
      </c>
      <c r="E14092">
        <v>182194</v>
      </c>
      <c r="F14092">
        <v>2.77927072776698E-7</v>
      </c>
      <c r="G14092">
        <v>133816</v>
      </c>
      <c r="H14092">
        <v>14915050</v>
      </c>
      <c r="I14092">
        <v>454744</v>
      </c>
      <c r="J14092">
        <v>3</v>
      </c>
    </row>
    <row r="14093" spans="1:10" x14ac:dyDescent="0.25">
      <c r="A14093" t="s">
        <v>1614</v>
      </c>
      <c r="B14093" s="1" t="str">
        <f>HYPERLINK("http://sunocolp.com","sunocolp.com")</f>
        <v>sunocolp.com</v>
      </c>
      <c r="C14093" t="s">
        <v>433</v>
      </c>
      <c r="E14093">
        <v>526992</v>
      </c>
      <c r="F14093">
        <v>4.1199776291264097E-8</v>
      </c>
      <c r="G14093">
        <v>1260308</v>
      </c>
      <c r="H14093">
        <v>13928064</v>
      </c>
      <c r="I14093">
        <v>5930292</v>
      </c>
      <c r="J14093">
        <v>3</v>
      </c>
    </row>
    <row r="14094" spans="1:10" x14ac:dyDescent="0.25">
      <c r="A14094" t="s">
        <v>1614</v>
      </c>
      <c r="B14094" s="1" t="str">
        <f>HYPERLINK("http://tcfs.com","tcfs.com")</f>
        <v>tcfs.com</v>
      </c>
      <c r="C14094" t="s">
        <v>433</v>
      </c>
      <c r="F14094">
        <v>4.6849077113052104E-9</v>
      </c>
      <c r="G14094">
        <v>42059381</v>
      </c>
      <c r="H14094">
        <v>12325940</v>
      </c>
      <c r="I14094">
        <v>20309719</v>
      </c>
      <c r="J14094">
        <v>3</v>
      </c>
    </row>
    <row r="14095" spans="1:10" x14ac:dyDescent="0.25">
      <c r="A14095" t="s">
        <v>1614</v>
      </c>
      <c r="B14095" s="1" t="str">
        <f>HYPERLINK("http://westshorepipeline.com","westshorepipeline.com")</f>
        <v>westshorepipeline.com</v>
      </c>
      <c r="C14095" t="s">
        <v>433</v>
      </c>
      <c r="F14095">
        <v>5.2503687663413897E-9</v>
      </c>
      <c r="G14095">
        <v>24251797</v>
      </c>
      <c r="H14095">
        <v>12482141</v>
      </c>
      <c r="I14095">
        <v>17579083</v>
      </c>
      <c r="J14095">
        <v>3</v>
      </c>
    </row>
    <row r="14096" spans="1:10" x14ac:dyDescent="0.25">
      <c r="A14096" t="s">
        <v>1614</v>
      </c>
      <c r="B14096" s="1" t="str">
        <f>HYPERLINK("http://wolverinepipeline.com","wolverinepipeline.com")</f>
        <v>wolverinepipeline.com</v>
      </c>
      <c r="C14096" t="s">
        <v>433</v>
      </c>
      <c r="F14096">
        <v>6.8004310145361199E-9</v>
      </c>
      <c r="G14096">
        <v>12959423</v>
      </c>
      <c r="H14096">
        <v>12389766</v>
      </c>
      <c r="I14096">
        <v>19056491</v>
      </c>
      <c r="J14096">
        <v>3</v>
      </c>
    </row>
    <row r="14097" spans="1:10" x14ac:dyDescent="0.25">
      <c r="A14097" t="s">
        <v>1615</v>
      </c>
      <c r="B14097" s="1" t="str">
        <f>HYPERLINK("http://engie.com.au","engie.com.au")</f>
        <v>engie.com.au</v>
      </c>
      <c r="C14097" t="s">
        <v>420</v>
      </c>
      <c r="D14097" t="s">
        <v>802</v>
      </c>
      <c r="F14097">
        <v>4.7461148173327503E-8</v>
      </c>
      <c r="G14097">
        <v>981479</v>
      </c>
      <c r="H14097">
        <v>13970202</v>
      </c>
      <c r="I14097">
        <v>4076354</v>
      </c>
      <c r="J14097">
        <v>2</v>
      </c>
    </row>
    <row r="14098" spans="1:10" x14ac:dyDescent="0.25">
      <c r="A14098" t="s">
        <v>1615</v>
      </c>
      <c r="B14098" s="1" t="str">
        <f>HYPERLINK("http://dataunit.be","dataunit.be")</f>
        <v>dataunit.be</v>
      </c>
      <c r="C14098" t="s">
        <v>421</v>
      </c>
      <c r="D14098" t="s">
        <v>803</v>
      </c>
      <c r="F14098">
        <v>4.5651752420035097E-9</v>
      </c>
      <c r="G14098">
        <v>50664056</v>
      </c>
      <c r="H14098">
        <v>12209875</v>
      </c>
      <c r="I14098">
        <v>23031472</v>
      </c>
      <c r="J14098">
        <v>4</v>
      </c>
    </row>
    <row r="14099" spans="1:10" x14ac:dyDescent="0.25">
      <c r="A14099" t="s">
        <v>1615</v>
      </c>
      <c r="B14099" s="1" t="str">
        <f>HYPERLINK("http://electrabel.be","electrabel.be")</f>
        <v>electrabel.be</v>
      </c>
      <c r="C14099" t="s">
        <v>421</v>
      </c>
      <c r="D14099" t="s">
        <v>803</v>
      </c>
      <c r="E14099">
        <v>763634</v>
      </c>
      <c r="F14099">
        <v>2.7410372723966701E-8</v>
      </c>
      <c r="G14099">
        <v>1875464</v>
      </c>
      <c r="H14099">
        <v>14494151</v>
      </c>
      <c r="I14099">
        <v>883350</v>
      </c>
      <c r="J14099">
        <v>4</v>
      </c>
    </row>
    <row r="14100" spans="1:10" x14ac:dyDescent="0.25">
      <c r="A14100" t="s">
        <v>1615</v>
      </c>
      <c r="B14100" s="1" t="str">
        <f>HYPERLINK("http://engie.be","engie.be")</f>
        <v>engie.be</v>
      </c>
      <c r="C14100" t="s">
        <v>421</v>
      </c>
      <c r="D14100" t="s">
        <v>803</v>
      </c>
      <c r="E14100">
        <v>77927</v>
      </c>
      <c r="F14100">
        <v>2.0064890154551201E-7</v>
      </c>
      <c r="G14100">
        <v>189806</v>
      </c>
      <c r="H14100">
        <v>14610761</v>
      </c>
      <c r="I14100">
        <v>676939</v>
      </c>
      <c r="J14100">
        <v>2</v>
      </c>
    </row>
    <row r="14101" spans="1:10" x14ac:dyDescent="0.25">
      <c r="A14101" t="s">
        <v>1615</v>
      </c>
      <c r="B14101" s="1" t="str">
        <f>HYPERLINK("http://engie-electrabel.be","engie-electrabel.be")</f>
        <v>engie-electrabel.be</v>
      </c>
      <c r="C14101" t="s">
        <v>421</v>
      </c>
      <c r="D14101" t="s">
        <v>803</v>
      </c>
      <c r="E14101">
        <v>829053</v>
      </c>
      <c r="F14101">
        <v>6.6769852828877194E-8</v>
      </c>
      <c r="G14101">
        <v>641162</v>
      </c>
      <c r="H14101">
        <v>14499200</v>
      </c>
      <c r="I14101">
        <v>858232</v>
      </c>
      <c r="J14101">
        <v>4</v>
      </c>
    </row>
    <row r="14102" spans="1:10" x14ac:dyDescent="0.25">
      <c r="A14102" t="s">
        <v>1615</v>
      </c>
      <c r="B14102" s="1" t="str">
        <f>HYPERLINK("http://isbventilation.be","isbventilation.be")</f>
        <v>isbventilation.be</v>
      </c>
      <c r="C14102" t="s">
        <v>421</v>
      </c>
      <c r="D14102" t="s">
        <v>803</v>
      </c>
      <c r="J14102">
        <v>4</v>
      </c>
    </row>
    <row r="14103" spans="1:10" x14ac:dyDescent="0.25">
      <c r="A14103" t="s">
        <v>1615</v>
      </c>
      <c r="B14103" s="1" t="str">
        <f>HYPERLINK("http://n-allo.be","n-allo.be")</f>
        <v>n-allo.be</v>
      </c>
      <c r="C14103" t="s">
        <v>421</v>
      </c>
      <c r="D14103" t="s">
        <v>803</v>
      </c>
      <c r="F14103">
        <v>1.03595258250075E-8</v>
      </c>
      <c r="G14103">
        <v>6396071</v>
      </c>
      <c r="H14103">
        <v>12560922</v>
      </c>
      <c r="I14103">
        <v>16704847</v>
      </c>
      <c r="J14103">
        <v>4</v>
      </c>
    </row>
    <row r="14104" spans="1:10" x14ac:dyDescent="0.25">
      <c r="A14104" t="s">
        <v>1615</v>
      </c>
      <c r="B14104" s="1" t="str">
        <f>HYPERLINK("http://synatom.be","synatom.be")</f>
        <v>synatom.be</v>
      </c>
      <c r="C14104" t="s">
        <v>421</v>
      </c>
      <c r="D14104" t="s">
        <v>803</v>
      </c>
      <c r="F14104">
        <v>1.44836583198426E-8</v>
      </c>
      <c r="G14104">
        <v>4028155</v>
      </c>
      <c r="H14104">
        <v>12492105</v>
      </c>
      <c r="I14104">
        <v>17469707</v>
      </c>
      <c r="J14104">
        <v>3</v>
      </c>
    </row>
    <row r="14105" spans="1:10" x14ac:dyDescent="0.25">
      <c r="A14105" t="s">
        <v>1615</v>
      </c>
      <c r="B14105" s="1" t="str">
        <f>HYPERLINK("http://tractebel-engie.be","tractebel-engie.be")</f>
        <v>tractebel-engie.be</v>
      </c>
      <c r="C14105" t="s">
        <v>421</v>
      </c>
      <c r="D14105" t="s">
        <v>803</v>
      </c>
      <c r="F14105">
        <v>7.8179441045749096E-8</v>
      </c>
      <c r="G14105">
        <v>534960</v>
      </c>
      <c r="H14105">
        <v>12806359</v>
      </c>
      <c r="I14105">
        <v>14606844</v>
      </c>
      <c r="J14105">
        <v>3</v>
      </c>
    </row>
    <row r="14106" spans="1:10" x14ac:dyDescent="0.25">
      <c r="A14106" t="s">
        <v>1615</v>
      </c>
      <c r="B14106" s="1" t="str">
        <f>HYPERLINK("http://transnubel.be","transnubel.be")</f>
        <v>transnubel.be</v>
      </c>
      <c r="C14106" t="s">
        <v>421</v>
      </c>
      <c r="D14106" t="s">
        <v>803</v>
      </c>
      <c r="F14106">
        <v>1.9383251409587999E-8</v>
      </c>
      <c r="G14106">
        <v>2765695</v>
      </c>
      <c r="H14106">
        <v>13718964</v>
      </c>
      <c r="I14106">
        <v>9479634</v>
      </c>
      <c r="J14106">
        <v>4</v>
      </c>
    </row>
    <row r="14107" spans="1:10" x14ac:dyDescent="0.25">
      <c r="A14107" t="s">
        <v>1615</v>
      </c>
      <c r="B14107" s="1" t="str">
        <f>HYPERLINK("http://engie.com.br","engie.com.br")</f>
        <v>engie.com.br</v>
      </c>
      <c r="C14107" t="s">
        <v>425</v>
      </c>
      <c r="D14107" t="s">
        <v>806</v>
      </c>
      <c r="E14107">
        <v>767827</v>
      </c>
      <c r="F14107">
        <v>3.3123010615967899E-8</v>
      </c>
      <c r="G14107">
        <v>1559843</v>
      </c>
      <c r="H14107">
        <v>14492598</v>
      </c>
      <c r="I14107">
        <v>893722</v>
      </c>
      <c r="J14107">
        <v>2</v>
      </c>
    </row>
    <row r="14108" spans="1:10" x14ac:dyDescent="0.25">
      <c r="A14108" t="s">
        <v>1615</v>
      </c>
      <c r="B14108" s="1" t="str">
        <f>HYPERLINK("http://tractebel-engie.com.br","tractebel-engie.com.br")</f>
        <v>tractebel-engie.com.br</v>
      </c>
      <c r="C14108" t="s">
        <v>425</v>
      </c>
      <c r="D14108" t="s">
        <v>806</v>
      </c>
      <c r="F14108">
        <v>1.0335862966103401E-8</v>
      </c>
      <c r="G14108">
        <v>6417490</v>
      </c>
      <c r="H14108">
        <v>12294690</v>
      </c>
      <c r="I14108">
        <v>20971366</v>
      </c>
      <c r="J14108">
        <v>3</v>
      </c>
    </row>
    <row r="14109" spans="1:10" x14ac:dyDescent="0.25">
      <c r="A14109" t="s">
        <v>1615</v>
      </c>
      <c r="B14109" s="1" t="str">
        <f>HYPERLINK("http://caliqua.ch","caliqua.ch")</f>
        <v>caliqua.ch</v>
      </c>
      <c r="C14109" t="s">
        <v>429</v>
      </c>
      <c r="D14109" t="s">
        <v>810</v>
      </c>
      <c r="F14109">
        <v>7.5249143888237696E-9</v>
      </c>
      <c r="G14109">
        <v>10958605</v>
      </c>
      <c r="H14109">
        <v>12197890</v>
      </c>
      <c r="I14109">
        <v>23375673</v>
      </c>
      <c r="J14109">
        <v>4</v>
      </c>
    </row>
    <row r="14110" spans="1:10" x14ac:dyDescent="0.25">
      <c r="A14110" t="s">
        <v>1615</v>
      </c>
      <c r="B14110" s="1" t="str">
        <f>HYPERLINK("http://engie.ch","engie.ch")</f>
        <v>engie.ch</v>
      </c>
      <c r="C14110" t="s">
        <v>429</v>
      </c>
      <c r="D14110" t="s">
        <v>810</v>
      </c>
      <c r="F14110">
        <v>2.4555097112928899E-8</v>
      </c>
      <c r="G14110">
        <v>2109527</v>
      </c>
      <c r="H14110">
        <v>12414511</v>
      </c>
      <c r="I14110">
        <v>18545233</v>
      </c>
      <c r="J14110">
        <v>4</v>
      </c>
    </row>
    <row r="14111" spans="1:10" x14ac:dyDescent="0.25">
      <c r="A14111" t="s">
        <v>1615</v>
      </c>
      <c r="B14111" s="1" t="str">
        <f>HYPERLINK("http://engie.cl","engie.cl")</f>
        <v>engie.cl</v>
      </c>
      <c r="C14111" t="s">
        <v>430</v>
      </c>
      <c r="D14111" t="s">
        <v>811</v>
      </c>
      <c r="F14111">
        <v>2.5146999445808399E-8</v>
      </c>
      <c r="G14111">
        <v>2053544</v>
      </c>
      <c r="H14111">
        <v>12788514</v>
      </c>
      <c r="I14111">
        <v>14695999</v>
      </c>
      <c r="J14111">
        <v>7</v>
      </c>
    </row>
    <row r="14112" spans="1:10" x14ac:dyDescent="0.25">
      <c r="A14112" t="s">
        <v>1615</v>
      </c>
      <c r="B14112" s="1" t="str">
        <f>HYPERLINK("http://engie-energia.cl","engie-energia.cl")</f>
        <v>engie-energia.cl</v>
      </c>
      <c r="C14112" t="s">
        <v>430</v>
      </c>
      <c r="D14112" t="s">
        <v>811</v>
      </c>
      <c r="F14112">
        <v>7.4553567528837601E-9</v>
      </c>
      <c r="G14112">
        <v>11113458</v>
      </c>
      <c r="H14112">
        <v>12492342</v>
      </c>
      <c r="I14112">
        <v>17459718</v>
      </c>
      <c r="J14112">
        <v>4</v>
      </c>
    </row>
    <row r="14113" spans="1:10" x14ac:dyDescent="0.25">
      <c r="A14113" t="s">
        <v>1615</v>
      </c>
      <c r="B14113" s="1" t="str">
        <f>HYPERLINK("http://tractebel-engie.cl","tractebel-engie.cl")</f>
        <v>tractebel-engie.cl</v>
      </c>
      <c r="C14113" t="s">
        <v>430</v>
      </c>
      <c r="D14113" t="s">
        <v>811</v>
      </c>
      <c r="F14113">
        <v>9.5064563703265804E-9</v>
      </c>
      <c r="G14113">
        <v>7314835</v>
      </c>
      <c r="H14113">
        <v>10834426</v>
      </c>
      <c r="I14113">
        <v>37296199</v>
      </c>
      <c r="J14113">
        <v>3</v>
      </c>
    </row>
    <row r="14114" spans="1:10" x14ac:dyDescent="0.25">
      <c r="A14114" t="s">
        <v>1615</v>
      </c>
      <c r="B14114" s="1" t="str">
        <f>HYPERLINK("http://engie.cn","engie.cn")</f>
        <v>engie.cn</v>
      </c>
      <c r="C14114" t="s">
        <v>431</v>
      </c>
      <c r="D14114" t="s">
        <v>812</v>
      </c>
      <c r="F14114">
        <v>9.5218539537676701E-9</v>
      </c>
      <c r="G14114">
        <v>7296482</v>
      </c>
      <c r="H14114">
        <v>14084727</v>
      </c>
      <c r="I14114">
        <v>2785515</v>
      </c>
      <c r="J14114">
        <v>2</v>
      </c>
    </row>
    <row r="14115" spans="1:10" x14ac:dyDescent="0.25">
      <c r="A14115" t="s">
        <v>1615</v>
      </c>
      <c r="B14115" s="1" t="str">
        <f>HYPERLINK("http://gdfsuezna.co","gdfsuezna.co")</f>
        <v>gdfsuezna.co</v>
      </c>
      <c r="C14115" t="s">
        <v>432</v>
      </c>
      <c r="J14115">
        <v>7</v>
      </c>
    </row>
    <row r="14116" spans="1:10" x14ac:dyDescent="0.25">
      <c r="A14116" t="s">
        <v>1615</v>
      </c>
      <c r="B14116" s="1" t="str">
        <f>HYPERLINK("http://axiref.com","axiref.com")</f>
        <v>axiref.com</v>
      </c>
      <c r="C14116" t="s">
        <v>433</v>
      </c>
      <c r="F14116">
        <v>7.4507293948939694E-9</v>
      </c>
      <c r="G14116">
        <v>11125551</v>
      </c>
      <c r="H14116">
        <v>12102872</v>
      </c>
      <c r="I14116">
        <v>25900007</v>
      </c>
      <c r="J14116">
        <v>4</v>
      </c>
    </row>
    <row r="14117" spans="1:10" x14ac:dyDescent="0.25">
      <c r="A14117" t="s">
        <v>1615</v>
      </c>
      <c r="B14117" s="1" t="str">
        <f>HYPERLINK("http://certinergia.com","certinergia.com")</f>
        <v>certinergia.com</v>
      </c>
      <c r="C14117" t="s">
        <v>433</v>
      </c>
      <c r="F14117">
        <v>4.7139281197772899E-9</v>
      </c>
      <c r="G14117">
        <v>40518639</v>
      </c>
      <c r="H14117">
        <v>10737053</v>
      </c>
      <c r="I14117">
        <v>40576840</v>
      </c>
      <c r="J14117">
        <v>4</v>
      </c>
    </row>
    <row r="14118" spans="1:10" x14ac:dyDescent="0.25">
      <c r="A14118" t="s">
        <v>1615</v>
      </c>
      <c r="B14118" s="1" t="str">
        <f>HYPERLINK("http://cofelyfabricom-gdfsuez.com","cofelyfabricom-gdfsuez.com")</f>
        <v>cofelyfabricom-gdfsuez.com</v>
      </c>
      <c r="C14118" t="s">
        <v>433</v>
      </c>
      <c r="F14118">
        <v>6.6024030036179403E-9</v>
      </c>
      <c r="G14118">
        <v>13667871</v>
      </c>
      <c r="H14118">
        <v>12184182</v>
      </c>
      <c r="I14118">
        <v>23713914</v>
      </c>
      <c r="J14118">
        <v>4</v>
      </c>
    </row>
    <row r="14119" spans="1:10" x14ac:dyDescent="0.25">
      <c r="A14119" t="s">
        <v>1615</v>
      </c>
      <c r="B14119" s="1" t="str">
        <f>HYPERLINK("http://compagnieduvent.com","compagnieduvent.com")</f>
        <v>compagnieduvent.com</v>
      </c>
      <c r="C14119" t="s">
        <v>433</v>
      </c>
      <c r="F14119">
        <v>1.1886555038484601E-8</v>
      </c>
      <c r="G14119">
        <v>5247406</v>
      </c>
      <c r="H14119">
        <v>13209620</v>
      </c>
      <c r="I14119">
        <v>11506071</v>
      </c>
      <c r="J14119">
        <v>4</v>
      </c>
    </row>
    <row r="14120" spans="1:10" x14ac:dyDescent="0.25">
      <c r="A14120" t="s">
        <v>1615</v>
      </c>
      <c r="B14120" s="1" t="str">
        <f>HYPERLINK("http://ecova.com","ecova.com")</f>
        <v>ecova.com</v>
      </c>
      <c r="C14120" t="s">
        <v>433</v>
      </c>
      <c r="E14120">
        <v>807239</v>
      </c>
      <c r="F14120">
        <v>5.3665824989738903E-8</v>
      </c>
      <c r="G14120">
        <v>847305</v>
      </c>
      <c r="H14120">
        <v>13832354</v>
      </c>
      <c r="I14120">
        <v>6102426</v>
      </c>
      <c r="J14120">
        <v>4</v>
      </c>
    </row>
    <row r="14121" spans="1:10" x14ac:dyDescent="0.25">
      <c r="A14121" t="s">
        <v>1615</v>
      </c>
      <c r="B14121" s="1" t="str">
        <f>HYPERLINK("http://electrabel.com","electrabel.com")</f>
        <v>electrabel.com</v>
      </c>
      <c r="C14121" t="s">
        <v>433</v>
      </c>
      <c r="F14121">
        <v>2.9607628907981299E-8</v>
      </c>
      <c r="G14121">
        <v>1741189</v>
      </c>
      <c r="H14121">
        <v>15005816</v>
      </c>
      <c r="I14121">
        <v>424380</v>
      </c>
      <c r="J14121">
        <v>5</v>
      </c>
    </row>
    <row r="14122" spans="1:10" x14ac:dyDescent="0.25">
      <c r="A14122" t="s">
        <v>1615</v>
      </c>
      <c r="B14122" s="1" t="str">
        <f>HYPERLINK("http://elengy.com","elengy.com")</f>
        <v>elengy.com</v>
      </c>
      <c r="C14122" t="s">
        <v>433</v>
      </c>
      <c r="F14122">
        <v>4.7257277155246002E-8</v>
      </c>
      <c r="G14122">
        <v>986523</v>
      </c>
      <c r="H14122">
        <v>14397717</v>
      </c>
      <c r="I14122">
        <v>1157543</v>
      </c>
      <c r="J14122">
        <v>3</v>
      </c>
    </row>
    <row r="14123" spans="1:10" x14ac:dyDescent="0.25">
      <c r="A14123" t="s">
        <v>1615</v>
      </c>
      <c r="B14123" s="1" t="str">
        <f>HYPERLINK("http://energie-saarlorlux.com","energie-saarlorlux.com")</f>
        <v>energie-saarlorlux.com</v>
      </c>
      <c r="C14123" t="s">
        <v>433</v>
      </c>
      <c r="E14123">
        <v>950228</v>
      </c>
      <c r="F14123">
        <v>4.7362120810736503E-8</v>
      </c>
      <c r="G14123">
        <v>983885</v>
      </c>
      <c r="H14123">
        <v>13943855</v>
      </c>
      <c r="I14123">
        <v>4308666</v>
      </c>
      <c r="J14123">
        <v>5</v>
      </c>
    </row>
    <row r="14124" spans="1:10" x14ac:dyDescent="0.25">
      <c r="A14124" t="s">
        <v>1615</v>
      </c>
      <c r="B14124" s="1" t="str">
        <f>HYPERLINK("http://engie.com","engie.com")</f>
        <v>engie.com</v>
      </c>
      <c r="C14124" t="s">
        <v>433</v>
      </c>
      <c r="E14124">
        <v>28059</v>
      </c>
      <c r="F14124">
        <v>1.44873965513135E-6</v>
      </c>
      <c r="G14124">
        <v>27037</v>
      </c>
      <c r="H14124">
        <v>17671274</v>
      </c>
      <c r="I14124">
        <v>7911</v>
      </c>
      <c r="J14124">
        <v>1</v>
      </c>
    </row>
    <row r="14125" spans="1:10" x14ac:dyDescent="0.25">
      <c r="A14125" t="s">
        <v>1615</v>
      </c>
      <c r="B14125" s="1" t="str">
        <f>HYPERLINK("http://engie-fabricom.com","engie-fabricom.com")</f>
        <v>engie-fabricom.com</v>
      </c>
      <c r="C14125" t="s">
        <v>433</v>
      </c>
      <c r="F14125">
        <v>2.7077112141988501E-8</v>
      </c>
      <c r="G14125">
        <v>1899357</v>
      </c>
      <c r="H14125">
        <v>12853530</v>
      </c>
      <c r="I14125">
        <v>14242857</v>
      </c>
      <c r="J14125">
        <v>4</v>
      </c>
    </row>
    <row r="14126" spans="1:10" x14ac:dyDescent="0.25">
      <c r="A14126" t="s">
        <v>1615</v>
      </c>
      <c r="B14126" s="1" t="str">
        <f>HYPERLINK("http://engie-globalenergy.com","engie-globalenergy.com")</f>
        <v>engie-globalenergy.com</v>
      </c>
      <c r="C14126" t="s">
        <v>433</v>
      </c>
      <c r="F14126">
        <v>4.5274000065499303E-9</v>
      </c>
      <c r="G14126">
        <v>55341877</v>
      </c>
      <c r="H14126">
        <v>11000472</v>
      </c>
      <c r="I14126">
        <v>33578456</v>
      </c>
      <c r="J14126">
        <v>4</v>
      </c>
    </row>
    <row r="14127" spans="1:10" x14ac:dyDescent="0.25">
      <c r="A14127" t="s">
        <v>1615</v>
      </c>
      <c r="B14127" s="1" t="str">
        <f>HYPERLINK("http://engie-globalmarkets.com","engie-globalmarkets.com")</f>
        <v>engie-globalmarkets.com</v>
      </c>
      <c r="C14127" t="s">
        <v>433</v>
      </c>
      <c r="F14127">
        <v>1.34005653664126E-8</v>
      </c>
      <c r="G14127">
        <v>4447572</v>
      </c>
      <c r="H14127">
        <v>12390586</v>
      </c>
      <c r="I14127">
        <v>19023092</v>
      </c>
      <c r="J14127">
        <v>2</v>
      </c>
    </row>
    <row r="14128" spans="1:10" x14ac:dyDescent="0.25">
      <c r="A14128" t="s">
        <v>1615</v>
      </c>
      <c r="B14128" s="1" t="str">
        <f>HYPERLINK("http://engie-na.com","engie-na.com")</f>
        <v>engie-na.com</v>
      </c>
      <c r="C14128" t="s">
        <v>433</v>
      </c>
      <c r="E14128">
        <v>759849</v>
      </c>
      <c r="F14128">
        <v>1.44489620337594E-7</v>
      </c>
      <c r="G14128">
        <v>269449</v>
      </c>
      <c r="H14128">
        <v>14501255</v>
      </c>
      <c r="I14128">
        <v>850321</v>
      </c>
      <c r="J14128">
        <v>4</v>
      </c>
    </row>
    <row r="14129" spans="1:10" x14ac:dyDescent="0.25">
      <c r="A14129" t="s">
        <v>1615</v>
      </c>
      <c r="B14129" s="1" t="str">
        <f>HYPERLINK("http://engie-sea.com","engie-sea.com")</f>
        <v>engie-sea.com</v>
      </c>
      <c r="C14129" t="s">
        <v>433</v>
      </c>
      <c r="F14129">
        <v>1.9634311369289499E-8</v>
      </c>
      <c r="G14129">
        <v>2721937</v>
      </c>
      <c r="H14129">
        <v>12714673</v>
      </c>
      <c r="I14129">
        <v>15277767</v>
      </c>
      <c r="J14129">
        <v>5</v>
      </c>
    </row>
    <row r="14130" spans="1:10" x14ac:dyDescent="0.25">
      <c r="A14130" t="s">
        <v>1615</v>
      </c>
      <c r="B14130" s="1" t="str">
        <f>HYPERLINK("http://engie-solutions.com","engie-solutions.com")</f>
        <v>engie-solutions.com</v>
      </c>
      <c r="C14130" t="s">
        <v>433</v>
      </c>
      <c r="F14130">
        <v>1.4291108623508099E-7</v>
      </c>
      <c r="G14130">
        <v>272415</v>
      </c>
      <c r="H14130">
        <v>14086795</v>
      </c>
      <c r="I14130">
        <v>2767530</v>
      </c>
      <c r="J14130">
        <v>4</v>
      </c>
    </row>
    <row r="14131" spans="1:10" x14ac:dyDescent="0.25">
      <c r="A14131" t="s">
        <v>1615</v>
      </c>
      <c r="B14131" s="1" t="str">
        <f>HYPERLINK("http://engiemexico.com","engiemexico.com")</f>
        <v>engiemexico.com</v>
      </c>
      <c r="C14131" t="s">
        <v>433</v>
      </c>
      <c r="F14131">
        <v>1.38233308316772E-8</v>
      </c>
      <c r="G14131">
        <v>4271313</v>
      </c>
      <c r="H14131">
        <v>12438491</v>
      </c>
      <c r="I14131">
        <v>18162955</v>
      </c>
      <c r="J14131">
        <v>3</v>
      </c>
    </row>
    <row r="14132" spans="1:10" x14ac:dyDescent="0.25">
      <c r="A14132" t="s">
        <v>1615</v>
      </c>
      <c r="B14132" s="1" t="str">
        <f>HYPERLINK("http://engieresources.com","engieresources.com")</f>
        <v>engieresources.com</v>
      </c>
      <c r="C14132" t="s">
        <v>433</v>
      </c>
      <c r="F14132">
        <v>4.3418754041383701E-8</v>
      </c>
      <c r="G14132">
        <v>1102441</v>
      </c>
      <c r="H14132">
        <v>13802642</v>
      </c>
      <c r="I14132">
        <v>6268116</v>
      </c>
      <c r="J14132">
        <v>4</v>
      </c>
    </row>
    <row r="14133" spans="1:10" x14ac:dyDescent="0.25">
      <c r="A14133" t="s">
        <v>1615</v>
      </c>
      <c r="B14133" s="1" t="str">
        <f>HYPERLINK("http://expergas.com","expergas.com")</f>
        <v>expergas.com</v>
      </c>
      <c r="C14133" t="s">
        <v>433</v>
      </c>
      <c r="J14133">
        <v>5</v>
      </c>
    </row>
    <row r="14134" spans="1:10" x14ac:dyDescent="0.25">
      <c r="A14134" t="s">
        <v>1615</v>
      </c>
      <c r="B14134" s="1" t="str">
        <f>HYPERLINK("http://fosmax-lng.com","fosmax-lng.com")</f>
        <v>fosmax-lng.com</v>
      </c>
      <c r="C14134" t="s">
        <v>433</v>
      </c>
      <c r="F14134">
        <v>7.5976647816237297E-9</v>
      </c>
      <c r="G14134">
        <v>10799684</v>
      </c>
      <c r="H14134">
        <v>11084775</v>
      </c>
      <c r="I14134">
        <v>32439533</v>
      </c>
      <c r="J14134">
        <v>3</v>
      </c>
    </row>
    <row r="14135" spans="1:10" x14ac:dyDescent="0.25">
      <c r="A14135" t="s">
        <v>1615</v>
      </c>
      <c r="B14135" s="1" t="str">
        <f>HYPERLINK("http://gaselys.com","gaselys.com")</f>
        <v>gaselys.com</v>
      </c>
      <c r="C14135" t="s">
        <v>433</v>
      </c>
      <c r="F14135">
        <v>7.8545136363057796E-9</v>
      </c>
      <c r="G14135">
        <v>10203852</v>
      </c>
      <c r="H14135">
        <v>11957323</v>
      </c>
      <c r="I14135">
        <v>29014446</v>
      </c>
      <c r="J14135">
        <v>8</v>
      </c>
    </row>
    <row r="14136" spans="1:10" x14ac:dyDescent="0.25">
      <c r="A14136" t="s">
        <v>1615</v>
      </c>
      <c r="B14136" s="1" t="str">
        <f>HYPERLINK("http://gdfsuez-trading.com","gdfsuez-trading.com")</f>
        <v>gdfsuez-trading.com</v>
      </c>
      <c r="C14136" t="s">
        <v>433</v>
      </c>
      <c r="F14136">
        <v>5.4044097312510397E-9</v>
      </c>
      <c r="G14136">
        <v>22057384</v>
      </c>
      <c r="H14136">
        <v>12319659</v>
      </c>
      <c r="I14136">
        <v>20425279</v>
      </c>
      <c r="J14136">
        <v>4</v>
      </c>
    </row>
    <row r="14137" spans="1:10" x14ac:dyDescent="0.25">
      <c r="A14137" t="s">
        <v>1615</v>
      </c>
      <c r="B14137" s="1" t="str">
        <f>HYPERLINK("http://gdfsuezenergyresources.com","gdfsuezenergyresources.com")</f>
        <v>gdfsuezenergyresources.com</v>
      </c>
      <c r="C14137" t="s">
        <v>433</v>
      </c>
      <c r="F14137">
        <v>1.03278337117248E-8</v>
      </c>
      <c r="G14137">
        <v>6425110</v>
      </c>
      <c r="H14137">
        <v>13766211</v>
      </c>
      <c r="I14137">
        <v>7024763</v>
      </c>
      <c r="J14137">
        <v>7</v>
      </c>
    </row>
    <row r="14138" spans="1:10" x14ac:dyDescent="0.25">
      <c r="A14138" t="s">
        <v>1615</v>
      </c>
      <c r="B14138" s="1" t="str">
        <f>HYPERLINK("http://gdfsuezna.com","gdfsuezna.com")</f>
        <v>gdfsuezna.com</v>
      </c>
      <c r="C14138" t="s">
        <v>433</v>
      </c>
      <c r="F14138">
        <v>1.4361702585748299E-8</v>
      </c>
      <c r="G14138">
        <v>4070336</v>
      </c>
      <c r="H14138">
        <v>13873312</v>
      </c>
      <c r="I14138">
        <v>5994417</v>
      </c>
      <c r="J14138">
        <v>3</v>
      </c>
    </row>
    <row r="14139" spans="1:10" x14ac:dyDescent="0.25">
      <c r="A14139" t="s">
        <v>1615</v>
      </c>
      <c r="B14139" s="1" t="str">
        <f>HYPERLINK("http://gnvert-gdfsuez.com","gnvert-gdfsuez.com")</f>
        <v>gnvert-gdfsuez.com</v>
      </c>
      <c r="C14139" t="s">
        <v>433</v>
      </c>
      <c r="F14139">
        <v>9.9130523321625302E-9</v>
      </c>
      <c r="G14139">
        <v>6845950</v>
      </c>
      <c r="H14139">
        <v>12642898</v>
      </c>
      <c r="I14139">
        <v>15848440</v>
      </c>
      <c r="J14139">
        <v>4</v>
      </c>
    </row>
    <row r="14140" spans="1:10" x14ac:dyDescent="0.25">
      <c r="A14140" t="s">
        <v>1615</v>
      </c>
      <c r="B14140" s="1" t="str">
        <f>HYPERLINK("http://grtgaz.com","grtgaz.com")</f>
        <v>grtgaz.com</v>
      </c>
      <c r="C14140" t="s">
        <v>433</v>
      </c>
      <c r="E14140">
        <v>572992</v>
      </c>
      <c r="F14140">
        <v>2.3971224720154399E-7</v>
      </c>
      <c r="G14140">
        <v>156094</v>
      </c>
      <c r="H14140">
        <v>14546211</v>
      </c>
      <c r="I14140">
        <v>767753</v>
      </c>
      <c r="J14140">
        <v>4</v>
      </c>
    </row>
    <row r="14141" spans="1:10" x14ac:dyDescent="0.25">
      <c r="A14141" t="s">
        <v>1615</v>
      </c>
      <c r="B14141" s="1" t="str">
        <f>HYPERLINK("http://ineo.com","ineo.com")</f>
        <v>ineo.com</v>
      </c>
      <c r="C14141" t="s">
        <v>433</v>
      </c>
      <c r="F14141">
        <v>5.56043274067095E-9</v>
      </c>
      <c r="G14141">
        <v>20270013</v>
      </c>
      <c r="H14141">
        <v>12222550</v>
      </c>
      <c r="I14141">
        <v>22729028</v>
      </c>
      <c r="J14141">
        <v>4</v>
      </c>
    </row>
    <row r="14142" spans="1:10" x14ac:dyDescent="0.25">
      <c r="A14142" t="s">
        <v>1615</v>
      </c>
      <c r="B14142" s="1" t="str">
        <f>HYPERLINK("http://infradm.com","infradm.com")</f>
        <v>infradm.com</v>
      </c>
      <c r="C14142" t="s">
        <v>433</v>
      </c>
      <c r="J14142">
        <v>5</v>
      </c>
    </row>
    <row r="14143" spans="1:10" x14ac:dyDescent="0.25">
      <c r="A14143" t="s">
        <v>1615</v>
      </c>
      <c r="B14143" s="1" t="str">
        <f>HYPERLINK("http://infragaz.com","infragaz.com")</f>
        <v>infragaz.com</v>
      </c>
      <c r="C14143" t="s">
        <v>433</v>
      </c>
      <c r="J14143">
        <v>5</v>
      </c>
    </row>
    <row r="14144" spans="1:10" x14ac:dyDescent="0.25">
      <c r="A14144" t="s">
        <v>1615</v>
      </c>
      <c r="B14144" s="1" t="str">
        <f>HYPERLINK("http://ipplc.com","ipplc.com")</f>
        <v>ipplc.com</v>
      </c>
      <c r="C14144" t="s">
        <v>433</v>
      </c>
      <c r="F14144">
        <v>5.9457497106677103E-9</v>
      </c>
      <c r="G14144">
        <v>17049553</v>
      </c>
      <c r="H14144">
        <v>14236999</v>
      </c>
      <c r="I14144">
        <v>1562948</v>
      </c>
      <c r="J14144">
        <v>4</v>
      </c>
    </row>
    <row r="14145" spans="1:10" x14ac:dyDescent="0.25">
      <c r="A14145" t="s">
        <v>1615</v>
      </c>
      <c r="B14145" s="1" t="str">
        <f>HYPERLINK("http://lahmeyer.com","lahmeyer.com")</f>
        <v>lahmeyer.com</v>
      </c>
      <c r="C14145" t="s">
        <v>433</v>
      </c>
      <c r="F14145">
        <v>1.50801028200151E-8</v>
      </c>
      <c r="G14145">
        <v>3814119</v>
      </c>
      <c r="H14145">
        <v>12217843</v>
      </c>
      <c r="I14145">
        <v>22836381</v>
      </c>
      <c r="J14145">
        <v>5</v>
      </c>
    </row>
    <row r="14146" spans="1:10" x14ac:dyDescent="0.25">
      <c r="A14146" t="s">
        <v>1615</v>
      </c>
      <c r="B14146" s="1" t="str">
        <f>HYPERLINK("http://morayeast.com","morayeast.com")</f>
        <v>morayeast.com</v>
      </c>
      <c r="C14146" t="s">
        <v>433</v>
      </c>
      <c r="F14146">
        <v>1.5953891689696898E-8</v>
      </c>
      <c r="G14146">
        <v>3558337</v>
      </c>
      <c r="H14146">
        <v>14490640</v>
      </c>
      <c r="I14146">
        <v>909934</v>
      </c>
      <c r="J14146">
        <v>5</v>
      </c>
    </row>
    <row r="14147" spans="1:10" x14ac:dyDescent="0.25">
      <c r="A14147" t="s">
        <v>1615</v>
      </c>
      <c r="B14147" s="1" t="str">
        <f>HYPERLINK("http://morayoffshore.com","morayoffshore.com")</f>
        <v>morayoffshore.com</v>
      </c>
      <c r="C14147" t="s">
        <v>433</v>
      </c>
      <c r="F14147">
        <v>1.07728754224891E-8</v>
      </c>
      <c r="G14147">
        <v>6042208</v>
      </c>
      <c r="H14147">
        <v>13449419</v>
      </c>
      <c r="I14147">
        <v>10210605</v>
      </c>
      <c r="J14147">
        <v>8</v>
      </c>
    </row>
    <row r="14148" spans="1:10" x14ac:dyDescent="0.25">
      <c r="A14148" t="s">
        <v>1615</v>
      </c>
      <c r="B14148" s="1" t="str">
        <f>HYPERLINK("http://moraywest.com","moraywest.com")</f>
        <v>moraywest.com</v>
      </c>
      <c r="C14148" t="s">
        <v>433</v>
      </c>
      <c r="F14148">
        <v>1.31377518789443E-8</v>
      </c>
      <c r="G14148">
        <v>4566639</v>
      </c>
      <c r="H14148">
        <v>14073854</v>
      </c>
      <c r="I14148">
        <v>2968183</v>
      </c>
      <c r="J14148">
        <v>5</v>
      </c>
    </row>
    <row r="14149" spans="1:10" x14ac:dyDescent="0.25">
      <c r="A14149" t="s">
        <v>1615</v>
      </c>
      <c r="B14149" s="1" t="str">
        <f>HYPERLINK("http://myengie.com","myengie.com")</f>
        <v>myengie.com</v>
      </c>
      <c r="C14149" t="s">
        <v>433</v>
      </c>
      <c r="E14149">
        <v>349810</v>
      </c>
      <c r="F14149">
        <v>1.1397911457053299E-8</v>
      </c>
      <c r="G14149">
        <v>5575740</v>
      </c>
      <c r="H14149">
        <v>12375897</v>
      </c>
      <c r="I14149">
        <v>19303519</v>
      </c>
      <c r="J14149">
        <v>2</v>
      </c>
    </row>
    <row r="14150" spans="1:10" x14ac:dyDescent="0.25">
      <c r="A14150" t="s">
        <v>1615</v>
      </c>
      <c r="B14150" s="1" t="str">
        <f>HYPERLINK("http://oceanwinds.com","oceanwinds.com")</f>
        <v>oceanwinds.com</v>
      </c>
      <c r="C14150" t="s">
        <v>433</v>
      </c>
      <c r="F14150">
        <v>7.1760635341454005E-8</v>
      </c>
      <c r="G14150">
        <v>588706</v>
      </c>
      <c r="H14150">
        <v>13548583</v>
      </c>
      <c r="I14150">
        <v>9898584</v>
      </c>
      <c r="J14150">
        <v>4</v>
      </c>
    </row>
    <row r="14151" spans="1:10" x14ac:dyDescent="0.25">
      <c r="A14151" t="s">
        <v>1615</v>
      </c>
      <c r="B14151" s="1" t="str">
        <f>HYPERLINK("http://rugeleypower.com","rugeleypower.com")</f>
        <v>rugeleypower.com</v>
      </c>
      <c r="C14151" t="s">
        <v>433</v>
      </c>
      <c r="F14151">
        <v>7.99727002513276E-9</v>
      </c>
      <c r="G14151">
        <v>9925619</v>
      </c>
      <c r="H14151">
        <v>14079105</v>
      </c>
      <c r="I14151">
        <v>2836879</v>
      </c>
      <c r="J14151">
        <v>8</v>
      </c>
    </row>
    <row r="14152" spans="1:10" x14ac:dyDescent="0.25">
      <c r="A14152" t="s">
        <v>1615</v>
      </c>
      <c r="B14152" s="1" t="str">
        <f>HYPERLINK("http://solairedirect.com","solairedirect.com")</f>
        <v>solairedirect.com</v>
      </c>
      <c r="C14152" t="s">
        <v>433</v>
      </c>
      <c r="F14152">
        <v>1.4187661666841999E-8</v>
      </c>
      <c r="G14152">
        <v>4133449</v>
      </c>
      <c r="H14152">
        <v>13597359</v>
      </c>
      <c r="I14152">
        <v>9654729</v>
      </c>
      <c r="J14152">
        <v>4</v>
      </c>
    </row>
    <row r="14153" spans="1:10" x14ac:dyDescent="0.25">
      <c r="A14153" t="s">
        <v>1615</v>
      </c>
      <c r="B14153" s="1" t="str">
        <f>HYPERLINK("http://storengy.com","storengy.com")</f>
        <v>storengy.com</v>
      </c>
      <c r="C14153" t="s">
        <v>433</v>
      </c>
      <c r="F14153">
        <v>1.03832506278019E-7</v>
      </c>
      <c r="G14153">
        <v>386305</v>
      </c>
      <c r="H14153">
        <v>14399514</v>
      </c>
      <c r="I14153">
        <v>1155287</v>
      </c>
      <c r="J14153">
        <v>2</v>
      </c>
    </row>
    <row r="14154" spans="1:10" x14ac:dyDescent="0.25">
      <c r="A14154" t="s">
        <v>1615</v>
      </c>
      <c r="B14154" s="1" t="str">
        <f>HYPERLINK("http://synatom.com","synatom.com")</f>
        <v>synatom.com</v>
      </c>
      <c r="C14154" t="s">
        <v>433</v>
      </c>
      <c r="F14154">
        <v>4.8814763538045201E-9</v>
      </c>
      <c r="G14154">
        <v>33030944</v>
      </c>
      <c r="H14154">
        <v>12245054</v>
      </c>
      <c r="I14154">
        <v>22117914</v>
      </c>
      <c r="J14154">
        <v>4</v>
      </c>
    </row>
    <row r="14155" spans="1:10" x14ac:dyDescent="0.25">
      <c r="A14155" t="s">
        <v>1615</v>
      </c>
      <c r="B14155" s="1" t="str">
        <f>HYPERLINK("http://tirrenopower.com","tirrenopower.com")</f>
        <v>tirrenopower.com</v>
      </c>
      <c r="C14155" t="s">
        <v>433</v>
      </c>
      <c r="F14155">
        <v>1.9447401671681402E-8</v>
      </c>
      <c r="G14155">
        <v>2755419</v>
      </c>
      <c r="H14155">
        <v>14252146</v>
      </c>
      <c r="I14155">
        <v>1442134</v>
      </c>
      <c r="J14155">
        <v>4</v>
      </c>
    </row>
    <row r="14156" spans="1:10" x14ac:dyDescent="0.25">
      <c r="A14156" t="s">
        <v>1615</v>
      </c>
      <c r="B14156" s="1" t="str">
        <f>HYPERLINK("http://tractebel-engie.com","tractebel-engie.com")</f>
        <v>tractebel-engie.com</v>
      </c>
      <c r="C14156" t="s">
        <v>433</v>
      </c>
      <c r="E14156">
        <v>742572</v>
      </c>
      <c r="F14156">
        <v>9.3364126204709197E-8</v>
      </c>
      <c r="G14156">
        <v>435409</v>
      </c>
      <c r="H14156">
        <v>14579797</v>
      </c>
      <c r="I14156">
        <v>711761</v>
      </c>
      <c r="J14156">
        <v>2</v>
      </c>
    </row>
    <row r="14157" spans="1:10" x14ac:dyDescent="0.25">
      <c r="A14157" t="s">
        <v>1615</v>
      </c>
      <c r="B14157" s="1" t="str">
        <f>HYPERLINK("http://cheming.cz","cheming.cz")</f>
        <v>cheming.cz</v>
      </c>
      <c r="C14157" t="s">
        <v>435</v>
      </c>
      <c r="D14157" t="s">
        <v>814</v>
      </c>
      <c r="F14157">
        <v>4.7461218914657401E-9</v>
      </c>
      <c r="G14157">
        <v>38509783</v>
      </c>
      <c r="H14157">
        <v>13933061</v>
      </c>
      <c r="I14157">
        <v>5461369</v>
      </c>
      <c r="J14157">
        <v>4</v>
      </c>
    </row>
    <row r="14158" spans="1:10" x14ac:dyDescent="0.25">
      <c r="A14158" t="s">
        <v>1615</v>
      </c>
      <c r="B14158" s="1" t="str">
        <f>HYPERLINK("http://engie.cz","engie.cz")</f>
        <v>engie.cz</v>
      </c>
      <c r="C14158" t="s">
        <v>435</v>
      </c>
      <c r="D14158" t="s">
        <v>814</v>
      </c>
      <c r="F14158">
        <v>8.9450026147888801E-9</v>
      </c>
      <c r="G14158">
        <v>8074821</v>
      </c>
      <c r="H14158">
        <v>12224384</v>
      </c>
      <c r="I14158">
        <v>22672315</v>
      </c>
      <c r="J14158">
        <v>5</v>
      </c>
    </row>
    <row r="14159" spans="1:10" x14ac:dyDescent="0.25">
      <c r="A14159" t="s">
        <v>1615</v>
      </c>
      <c r="B14159" s="1" t="str">
        <f>HYPERLINK("http://cofely.de","cofely.de")</f>
        <v>cofely.de</v>
      </c>
      <c r="C14159" t="s">
        <v>436</v>
      </c>
      <c r="D14159" t="s">
        <v>815</v>
      </c>
      <c r="F14159">
        <v>1.14554671225025E-8</v>
      </c>
      <c r="G14159">
        <v>5535219</v>
      </c>
      <c r="H14159">
        <v>13175152</v>
      </c>
      <c r="I14159">
        <v>11705424</v>
      </c>
      <c r="J14159">
        <v>4</v>
      </c>
    </row>
    <row r="14160" spans="1:10" x14ac:dyDescent="0.25">
      <c r="A14160" t="s">
        <v>1615</v>
      </c>
      <c r="B14160" s="1" t="str">
        <f>HYPERLINK("http://energie-saarlorlux.de","energie-saarlorlux.de")</f>
        <v>energie-saarlorlux.de</v>
      </c>
      <c r="C14160" t="s">
        <v>436</v>
      </c>
      <c r="D14160" t="s">
        <v>815</v>
      </c>
      <c r="F14160">
        <v>4.7398172084223499E-9</v>
      </c>
      <c r="G14160">
        <v>38810339</v>
      </c>
      <c r="H14160">
        <v>10436400</v>
      </c>
      <c r="I14160">
        <v>52672608</v>
      </c>
      <c r="J14160">
        <v>6</v>
      </c>
    </row>
    <row r="14161" spans="1:10" x14ac:dyDescent="0.25">
      <c r="A14161" t="s">
        <v>1615</v>
      </c>
      <c r="B14161" s="1" t="str">
        <f>HYPERLINK("http://energieversorgung-gera.de","energieversorgung-gera.de")</f>
        <v>energieversorgung-gera.de</v>
      </c>
      <c r="C14161" t="s">
        <v>436</v>
      </c>
      <c r="D14161" t="s">
        <v>815</v>
      </c>
      <c r="F14161">
        <v>1.4763959277564701E-8</v>
      </c>
      <c r="G14161">
        <v>3919322</v>
      </c>
      <c r="H14161">
        <v>12437152</v>
      </c>
      <c r="I14161">
        <v>18185504</v>
      </c>
      <c r="J14161">
        <v>4</v>
      </c>
    </row>
    <row r="14162" spans="1:10" x14ac:dyDescent="0.25">
      <c r="A14162" t="s">
        <v>1615</v>
      </c>
      <c r="B14162" s="1" t="str">
        <f>HYPERLINK("http://engie-deutschland.de","engie-deutschland.de")</f>
        <v>engie-deutschland.de</v>
      </c>
      <c r="C14162" t="s">
        <v>436</v>
      </c>
      <c r="D14162" t="s">
        <v>815</v>
      </c>
      <c r="E14162">
        <v>527403</v>
      </c>
      <c r="F14162">
        <v>1.21205879819518E-7</v>
      </c>
      <c r="G14162">
        <v>325868</v>
      </c>
      <c r="H14162">
        <v>14428706</v>
      </c>
      <c r="I14162">
        <v>1076468</v>
      </c>
      <c r="J14162">
        <v>3</v>
      </c>
    </row>
    <row r="14163" spans="1:10" x14ac:dyDescent="0.25">
      <c r="A14163" t="s">
        <v>1615</v>
      </c>
      <c r="B14163" s="1" t="str">
        <f>HYPERLINK("http://engie-refrigeration.de","engie-refrigeration.de")</f>
        <v>engie-refrigeration.de</v>
      </c>
      <c r="C14163" t="s">
        <v>436</v>
      </c>
      <c r="D14163" t="s">
        <v>815</v>
      </c>
      <c r="F14163">
        <v>2.0769514235352701E-8</v>
      </c>
      <c r="G14163">
        <v>2547158</v>
      </c>
      <c r="H14163">
        <v>13158123</v>
      </c>
      <c r="I14163">
        <v>11794000</v>
      </c>
      <c r="J14163">
        <v>4</v>
      </c>
    </row>
    <row r="14164" spans="1:10" x14ac:dyDescent="0.25">
      <c r="A14164" t="s">
        <v>1615</v>
      </c>
      <c r="B14164" s="1" t="str">
        <f>HYPERLINK("http://gdfsuez-energysales.de","gdfsuez-energysales.de")</f>
        <v>gdfsuez-energysales.de</v>
      </c>
      <c r="C14164" t="s">
        <v>436</v>
      </c>
      <c r="D14164" t="s">
        <v>815</v>
      </c>
      <c r="F14164">
        <v>4.4504858855338704E-9</v>
      </c>
      <c r="G14164">
        <v>71664340</v>
      </c>
      <c r="H14164">
        <v>10538354</v>
      </c>
      <c r="I14164">
        <v>47380212</v>
      </c>
      <c r="J14164">
        <v>4</v>
      </c>
    </row>
    <row r="14165" spans="1:10" x14ac:dyDescent="0.25">
      <c r="A14165" t="s">
        <v>1615</v>
      </c>
      <c r="B14165" s="1" t="str">
        <f>HYPERLINK("http://gdfsuezep.de","gdfsuezep.de")</f>
        <v>gdfsuezep.de</v>
      </c>
      <c r="C14165" t="s">
        <v>436</v>
      </c>
      <c r="D14165" t="s">
        <v>815</v>
      </c>
      <c r="F14165">
        <v>8.5042845147768795E-9</v>
      </c>
      <c r="G14165">
        <v>8837486</v>
      </c>
      <c r="H14165">
        <v>13933537</v>
      </c>
      <c r="I14165">
        <v>4717624</v>
      </c>
      <c r="J14165">
        <v>4</v>
      </c>
    </row>
    <row r="14166" spans="1:10" x14ac:dyDescent="0.25">
      <c r="A14166" t="s">
        <v>1615</v>
      </c>
      <c r="B14166" s="1" t="str">
        <f>HYPERLINK("http://grtgaz-deutschland.de","grtgaz-deutschland.de")</f>
        <v>grtgaz-deutschland.de</v>
      </c>
      <c r="C14166" t="s">
        <v>436</v>
      </c>
      <c r="D14166" t="s">
        <v>815</v>
      </c>
      <c r="F14166">
        <v>5.1335690370517699E-8</v>
      </c>
      <c r="G14166">
        <v>891800</v>
      </c>
      <c r="H14166">
        <v>12568443</v>
      </c>
      <c r="I14166">
        <v>16638372</v>
      </c>
      <c r="J14166">
        <v>4</v>
      </c>
    </row>
    <row r="14167" spans="1:10" x14ac:dyDescent="0.25">
      <c r="A14167" t="s">
        <v>1615</v>
      </c>
      <c r="B14167" s="1" t="str">
        <f>HYPERLINK("http://lahmeyer.de","lahmeyer.de")</f>
        <v>lahmeyer.de</v>
      </c>
      <c r="C14167" t="s">
        <v>436</v>
      </c>
      <c r="D14167" t="s">
        <v>815</v>
      </c>
      <c r="F14167">
        <v>5.1250576472746198E-8</v>
      </c>
      <c r="G14167">
        <v>893652</v>
      </c>
      <c r="H14167">
        <v>14816019</v>
      </c>
      <c r="I14167">
        <v>523662</v>
      </c>
      <c r="J14167">
        <v>4</v>
      </c>
    </row>
    <row r="14168" spans="1:10" x14ac:dyDescent="0.25">
      <c r="A14168" t="s">
        <v>1615</v>
      </c>
      <c r="B14168" s="1" t="str">
        <f>HYPERLINK("http://lahmeyer-rhein-main.de","lahmeyer-rhein-main.de")</f>
        <v>lahmeyer-rhein-main.de</v>
      </c>
      <c r="C14168" t="s">
        <v>436</v>
      </c>
      <c r="D14168" t="s">
        <v>815</v>
      </c>
      <c r="F14168">
        <v>5.3730310691010201E-9</v>
      </c>
      <c r="G14168">
        <v>22503821</v>
      </c>
      <c r="H14168">
        <v>10534712</v>
      </c>
      <c r="I14168">
        <v>47735165</v>
      </c>
      <c r="J14168">
        <v>4</v>
      </c>
    </row>
    <row r="14169" spans="1:10" x14ac:dyDescent="0.25">
      <c r="A14169" t="s">
        <v>1615</v>
      </c>
      <c r="B14169" s="1" t="str">
        <f>HYPERLINK("http://storengy.de","storengy.de")</f>
        <v>storengy.de</v>
      </c>
      <c r="C14169" t="s">
        <v>436</v>
      </c>
      <c r="D14169" t="s">
        <v>815</v>
      </c>
      <c r="F14169">
        <v>1.6889906806172099E-8</v>
      </c>
      <c r="G14169">
        <v>3310466</v>
      </c>
      <c r="H14169">
        <v>12353007</v>
      </c>
      <c r="I14169">
        <v>19718581</v>
      </c>
      <c r="J14169">
        <v>3</v>
      </c>
    </row>
    <row r="14170" spans="1:10" x14ac:dyDescent="0.25">
      <c r="A14170" t="s">
        <v>1615</v>
      </c>
      <c r="B14170" s="1" t="str">
        <f>HYPERLINK("http://tractebel-engie.de","tractebel-engie.de")</f>
        <v>tractebel-engie.de</v>
      </c>
      <c r="C14170" t="s">
        <v>436</v>
      </c>
      <c r="D14170" t="s">
        <v>815</v>
      </c>
      <c r="F14170">
        <v>3.1254098930564803E-8</v>
      </c>
      <c r="G14170">
        <v>1649787</v>
      </c>
      <c r="H14170">
        <v>14076980</v>
      </c>
      <c r="I14170">
        <v>2875202</v>
      </c>
      <c r="J14170">
        <v>3</v>
      </c>
    </row>
    <row r="14171" spans="1:10" x14ac:dyDescent="0.25">
      <c r="A14171" t="s">
        <v>1615</v>
      </c>
      <c r="B14171" s="1" t="str">
        <f>HYPERLINK("http://engie.design","engie.design")</f>
        <v>engie.design</v>
      </c>
      <c r="C14171" t="s">
        <v>582</v>
      </c>
      <c r="F14171">
        <v>2.4956590970242302E-8</v>
      </c>
      <c r="G14171">
        <v>2071067</v>
      </c>
      <c r="H14171">
        <v>13662479</v>
      </c>
      <c r="I14171">
        <v>9570132</v>
      </c>
      <c r="J14171">
        <v>2</v>
      </c>
    </row>
    <row r="14172" spans="1:10" x14ac:dyDescent="0.25">
      <c r="A14172" t="s">
        <v>1615</v>
      </c>
      <c r="B14172" s="1" t="str">
        <f>HYPERLINK("http://engie.digital","engie.digital")</f>
        <v>engie.digital</v>
      </c>
      <c r="C14172" t="s">
        <v>543</v>
      </c>
      <c r="F14172">
        <v>6.5090750109663599E-9</v>
      </c>
      <c r="G14172">
        <v>14040787</v>
      </c>
      <c r="H14172">
        <v>10996707</v>
      </c>
      <c r="I14172">
        <v>33637069</v>
      </c>
      <c r="J14172">
        <v>8</v>
      </c>
    </row>
    <row r="14173" spans="1:10" x14ac:dyDescent="0.25">
      <c r="A14173" t="s">
        <v>1615</v>
      </c>
      <c r="B14173" s="1" t="str">
        <f>HYPERLINK("http://atlante.energy","atlante.energy")</f>
        <v>atlante.energy</v>
      </c>
      <c r="C14173" t="s">
        <v>725</v>
      </c>
      <c r="F14173">
        <v>1.20638996843045E-8</v>
      </c>
      <c r="G14173">
        <v>5135242</v>
      </c>
      <c r="H14173">
        <v>12913162</v>
      </c>
      <c r="I14173">
        <v>13530872</v>
      </c>
      <c r="J14173">
        <v>7</v>
      </c>
    </row>
    <row r="14174" spans="1:10" x14ac:dyDescent="0.25">
      <c r="A14174" t="s">
        <v>1615</v>
      </c>
      <c r="B14174" s="1" t="str">
        <f>HYPERLINK("http://nhoa.energy","nhoa.energy")</f>
        <v>nhoa.energy</v>
      </c>
      <c r="C14174" t="s">
        <v>725</v>
      </c>
      <c r="F14174">
        <v>6.64429364918667E-8</v>
      </c>
      <c r="G14174">
        <v>644889</v>
      </c>
      <c r="H14174">
        <v>13665030</v>
      </c>
      <c r="I14174">
        <v>9563085</v>
      </c>
      <c r="J14174">
        <v>4</v>
      </c>
    </row>
    <row r="14175" spans="1:10" x14ac:dyDescent="0.25">
      <c r="A14175" t="s">
        <v>1615</v>
      </c>
      <c r="B14175" s="1" t="str">
        <f>HYPERLINK("http://engie.es","engie.es")</f>
        <v>engie.es</v>
      </c>
      <c r="C14175" t="s">
        <v>443</v>
      </c>
      <c r="D14175" t="s">
        <v>822</v>
      </c>
      <c r="F14175">
        <v>3.9369017778339001E-8</v>
      </c>
      <c r="G14175">
        <v>1310881</v>
      </c>
      <c r="H14175">
        <v>13843287</v>
      </c>
      <c r="I14175">
        <v>6066053</v>
      </c>
      <c r="J14175">
        <v>2</v>
      </c>
    </row>
    <row r="14176" spans="1:10" x14ac:dyDescent="0.25">
      <c r="A14176" t="s">
        <v>1615</v>
      </c>
      <c r="B14176" s="1" t="str">
        <f>HYPERLINK("http://engie.fi","engie.fi")</f>
        <v>engie.fi</v>
      </c>
      <c r="C14176" t="s">
        <v>445</v>
      </c>
      <c r="D14176" t="s">
        <v>823</v>
      </c>
      <c r="J14176">
        <v>2</v>
      </c>
    </row>
    <row r="14177" spans="1:10" x14ac:dyDescent="0.25">
      <c r="A14177" t="s">
        <v>1615</v>
      </c>
      <c r="B14177" s="1" t="str">
        <f>HYPERLINK("http://cpcu.fr","cpcu.fr")</f>
        <v>cpcu.fr</v>
      </c>
      <c r="C14177" t="s">
        <v>446</v>
      </c>
      <c r="D14177" t="s">
        <v>824</v>
      </c>
      <c r="F14177">
        <v>2.7101844897269399E-8</v>
      </c>
      <c r="G14177">
        <v>1897585</v>
      </c>
      <c r="H14177">
        <v>14490050</v>
      </c>
      <c r="I14177">
        <v>915665</v>
      </c>
      <c r="J14177">
        <v>3</v>
      </c>
    </row>
    <row r="14178" spans="1:10" x14ac:dyDescent="0.25">
      <c r="A14178" t="s">
        <v>1615</v>
      </c>
      <c r="B14178" s="1" t="str">
        <f>HYPERLINK("http://crigen.fr","crigen.fr")</f>
        <v>crigen.fr</v>
      </c>
      <c r="C14178" t="s">
        <v>446</v>
      </c>
      <c r="D14178" t="s">
        <v>824</v>
      </c>
      <c r="J14178">
        <v>2</v>
      </c>
    </row>
    <row r="14179" spans="1:10" x14ac:dyDescent="0.25">
      <c r="A14179" t="s">
        <v>1615</v>
      </c>
      <c r="B14179" s="1" t="str">
        <f>HYPERLINK("http://engie.fr","engie.fr")</f>
        <v>engie.fr</v>
      </c>
      <c r="C14179" t="s">
        <v>446</v>
      </c>
      <c r="D14179" t="s">
        <v>824</v>
      </c>
      <c r="E14179">
        <v>47974</v>
      </c>
      <c r="F14179">
        <v>6.7610257483435804E-7</v>
      </c>
      <c r="G14179">
        <v>57022</v>
      </c>
      <c r="H14179">
        <v>17156718</v>
      </c>
      <c r="I14179">
        <v>50769</v>
      </c>
      <c r="J14179">
        <v>2</v>
      </c>
    </row>
    <row r="14180" spans="1:10" x14ac:dyDescent="0.25">
      <c r="A14180" t="s">
        <v>1615</v>
      </c>
      <c r="B14180" s="1" t="str">
        <f>HYPERLINK("http://engie-axima.fr","engie-axima.fr")</f>
        <v>engie-axima.fr</v>
      </c>
      <c r="C14180" t="s">
        <v>446</v>
      </c>
      <c r="D14180" t="s">
        <v>824</v>
      </c>
      <c r="F14180">
        <v>3.14297995051928E-8</v>
      </c>
      <c r="G14180">
        <v>1641250</v>
      </c>
      <c r="H14180">
        <v>13871068</v>
      </c>
      <c r="I14180">
        <v>5997925</v>
      </c>
      <c r="J14180">
        <v>3</v>
      </c>
    </row>
    <row r="14181" spans="1:10" x14ac:dyDescent="0.25">
      <c r="A14181" t="s">
        <v>1615</v>
      </c>
      <c r="B14181" s="1" t="str">
        <f>HYPERLINK("http://engie-cofely.fr","engie-cofely.fr")</f>
        <v>engie-cofely.fr</v>
      </c>
      <c r="C14181" t="s">
        <v>446</v>
      </c>
      <c r="D14181" t="s">
        <v>824</v>
      </c>
      <c r="F14181">
        <v>6.5597742212208706E-8</v>
      </c>
      <c r="G14181">
        <v>655221</v>
      </c>
      <c r="H14181">
        <v>14516518</v>
      </c>
      <c r="I14181">
        <v>811398</v>
      </c>
      <c r="J14181">
        <v>5</v>
      </c>
    </row>
    <row r="14182" spans="1:10" x14ac:dyDescent="0.25">
      <c r="A14182" t="s">
        <v>1615</v>
      </c>
      <c r="B14182" s="1" t="str">
        <f>HYPERLINK("http://engie-homeservices.fr","engie-homeservices.fr")</f>
        <v>engie-homeservices.fr</v>
      </c>
      <c r="C14182" t="s">
        <v>446</v>
      </c>
      <c r="D14182" t="s">
        <v>824</v>
      </c>
      <c r="E14182">
        <v>612067</v>
      </c>
      <c r="F14182">
        <v>1.11345415489803E-7</v>
      </c>
      <c r="G14182">
        <v>359002</v>
      </c>
      <c r="H14182">
        <v>13734138</v>
      </c>
      <c r="I14182">
        <v>9455084</v>
      </c>
      <c r="J14182">
        <v>4</v>
      </c>
    </row>
    <row r="14183" spans="1:10" x14ac:dyDescent="0.25">
      <c r="A14183" t="s">
        <v>1615</v>
      </c>
      <c r="B14183" s="1" t="str">
        <f>HYPERLINK("http://engie-ineo.fr","engie-ineo.fr")</f>
        <v>engie-ineo.fr</v>
      </c>
      <c r="C14183" t="s">
        <v>446</v>
      </c>
      <c r="D14183" t="s">
        <v>824</v>
      </c>
      <c r="F14183">
        <v>5.1058448156249002E-8</v>
      </c>
      <c r="G14183">
        <v>897677</v>
      </c>
      <c r="H14183">
        <v>14222826</v>
      </c>
      <c r="I14183">
        <v>1683149</v>
      </c>
      <c r="J14183">
        <v>4</v>
      </c>
    </row>
    <row r="14184" spans="1:10" x14ac:dyDescent="0.25">
      <c r="A14184" t="s">
        <v>1615</v>
      </c>
      <c r="B14184" s="1" t="str">
        <f>HYPERLINK("http://engie-solutions.fr","engie-solutions.fr")</f>
        <v>engie-solutions.fr</v>
      </c>
      <c r="C14184" t="s">
        <v>446</v>
      </c>
      <c r="D14184" t="s">
        <v>824</v>
      </c>
      <c r="F14184">
        <v>6.3625048020908998E-9</v>
      </c>
      <c r="G14184">
        <v>14701258</v>
      </c>
      <c r="H14184">
        <v>12215286</v>
      </c>
      <c r="I14184">
        <v>22897212</v>
      </c>
      <c r="J14184">
        <v>5</v>
      </c>
    </row>
    <row r="14185" spans="1:10" x14ac:dyDescent="0.25">
      <c r="A14185" t="s">
        <v>1615</v>
      </c>
      <c r="B14185" s="1" t="str">
        <f>HYPERLINK("http://ensemble-grdfidf.fr","ensemble-grdfidf.fr")</f>
        <v>ensemble-grdfidf.fr</v>
      </c>
      <c r="C14185" t="s">
        <v>446</v>
      </c>
      <c r="D14185" t="s">
        <v>824</v>
      </c>
      <c r="F14185">
        <v>6.4535858033355402E-9</v>
      </c>
      <c r="G14185">
        <v>14278431</v>
      </c>
      <c r="H14185">
        <v>12087285</v>
      </c>
      <c r="I14185">
        <v>26352491</v>
      </c>
      <c r="J14185">
        <v>6</v>
      </c>
    </row>
    <row r="14186" spans="1:10" x14ac:dyDescent="0.25">
      <c r="A14186" t="s">
        <v>1615</v>
      </c>
      <c r="B14186" s="1" t="str">
        <f>HYPERLINK("http://eoliennes-mer.fr","eoliennes-mer.fr")</f>
        <v>eoliennes-mer.fr</v>
      </c>
      <c r="C14186" t="s">
        <v>446</v>
      </c>
      <c r="D14186" t="s">
        <v>824</v>
      </c>
      <c r="F14186">
        <v>4.3325541602858498E-8</v>
      </c>
      <c r="G14186">
        <v>1105890</v>
      </c>
      <c r="H14186">
        <v>14090332</v>
      </c>
      <c r="I14186">
        <v>2749850</v>
      </c>
      <c r="J14186">
        <v>5</v>
      </c>
    </row>
    <row r="14187" spans="1:10" x14ac:dyDescent="0.25">
      <c r="A14187" t="s">
        <v>1615</v>
      </c>
      <c r="B14187" s="1" t="str">
        <f>HYPERLINK("http://grdf.fr","grdf.fr")</f>
        <v>grdf.fr</v>
      </c>
      <c r="C14187" t="s">
        <v>446</v>
      </c>
      <c r="D14187" t="s">
        <v>824</v>
      </c>
      <c r="E14187">
        <v>115643</v>
      </c>
      <c r="F14187">
        <v>7.4657619445074405E-7</v>
      </c>
      <c r="G14187">
        <v>52174</v>
      </c>
      <c r="H14187">
        <v>14984493</v>
      </c>
      <c r="I14187">
        <v>429718</v>
      </c>
      <c r="J14187">
        <v>3</v>
      </c>
    </row>
    <row r="14188" spans="1:10" x14ac:dyDescent="0.25">
      <c r="A14188" t="s">
        <v>1615</v>
      </c>
      <c r="B14188" s="1" t="str">
        <f>HYPERLINK("http://lescircuitsdelenergie.fr","lescircuitsdelenergie.fr")</f>
        <v>lescircuitsdelenergie.fr</v>
      </c>
      <c r="C14188" t="s">
        <v>446</v>
      </c>
      <c r="D14188" t="s">
        <v>824</v>
      </c>
      <c r="F14188">
        <v>1.71473469516153E-8</v>
      </c>
      <c r="G14188">
        <v>3250410</v>
      </c>
      <c r="H14188">
        <v>14080071</v>
      </c>
      <c r="I14188">
        <v>2824306</v>
      </c>
      <c r="J14188">
        <v>5</v>
      </c>
    </row>
    <row r="14189" spans="1:10" x14ac:dyDescent="0.25">
      <c r="A14189" t="s">
        <v>1615</v>
      </c>
      <c r="B14189" s="1" t="str">
        <f>HYPERLINK("http://mesdepanneurs.fr","mesdepanneurs.fr")</f>
        <v>mesdepanneurs.fr</v>
      </c>
      <c r="C14189" t="s">
        <v>446</v>
      </c>
      <c r="D14189" t="s">
        <v>824</v>
      </c>
      <c r="E14189">
        <v>338578</v>
      </c>
      <c r="F14189">
        <v>8.23202590903059E-8</v>
      </c>
      <c r="G14189">
        <v>506807</v>
      </c>
      <c r="H14189">
        <v>14518926</v>
      </c>
      <c r="I14189">
        <v>807400</v>
      </c>
      <c r="J14189">
        <v>4</v>
      </c>
    </row>
    <row r="14190" spans="1:10" x14ac:dyDescent="0.25">
      <c r="A14190" t="s">
        <v>1615</v>
      </c>
      <c r="B14190" s="1" t="str">
        <f>HYPERLINK("http://monclimespace.fr","monclimespace.fr")</f>
        <v>monclimespace.fr</v>
      </c>
      <c r="C14190" t="s">
        <v>446</v>
      </c>
      <c r="D14190" t="s">
        <v>824</v>
      </c>
      <c r="J14190">
        <v>2</v>
      </c>
    </row>
    <row r="14191" spans="1:10" x14ac:dyDescent="0.25">
      <c r="A14191" t="s">
        <v>1615</v>
      </c>
      <c r="B14191" s="1" t="str">
        <f>HYPERLINK("http://myengie.fr","myengie.fr")</f>
        <v>myengie.fr</v>
      </c>
      <c r="C14191" t="s">
        <v>446</v>
      </c>
      <c r="D14191" t="s">
        <v>824</v>
      </c>
      <c r="F14191">
        <v>1.1980704724340101E-8</v>
      </c>
      <c r="G14191">
        <v>5188472</v>
      </c>
      <c r="H14191">
        <v>12801390</v>
      </c>
      <c r="I14191">
        <v>14632267</v>
      </c>
      <c r="J14191">
        <v>2</v>
      </c>
    </row>
    <row r="14192" spans="1:10" x14ac:dyDescent="0.25">
      <c r="A14192" t="s">
        <v>1615</v>
      </c>
      <c r="B14192" s="1" t="str">
        <f>HYPERLINK("http://savelys.fr","savelys.fr")</f>
        <v>savelys.fr</v>
      </c>
      <c r="C14192" t="s">
        <v>446</v>
      </c>
      <c r="D14192" t="s">
        <v>824</v>
      </c>
      <c r="F14192">
        <v>6.15485486427875E-9</v>
      </c>
      <c r="G14192">
        <v>15775416</v>
      </c>
      <c r="H14192">
        <v>11000560</v>
      </c>
      <c r="I14192">
        <v>33577258</v>
      </c>
      <c r="J14192">
        <v>7</v>
      </c>
    </row>
    <row r="14193" spans="1:10" x14ac:dyDescent="0.25">
      <c r="A14193" t="s">
        <v>1615</v>
      </c>
      <c r="B14193" s="1" t="str">
        <f>HYPERLINK("http://shem.fr","shem.fr")</f>
        <v>shem.fr</v>
      </c>
      <c r="C14193" t="s">
        <v>446</v>
      </c>
      <c r="D14193" t="s">
        <v>824</v>
      </c>
      <c r="F14193">
        <v>3.75313646422559E-8</v>
      </c>
      <c r="G14193">
        <v>1378895</v>
      </c>
      <c r="H14193">
        <v>14331195</v>
      </c>
      <c r="I14193">
        <v>1322596</v>
      </c>
      <c r="J14193">
        <v>4</v>
      </c>
    </row>
    <row r="14194" spans="1:10" x14ac:dyDescent="0.25">
      <c r="A14194" t="s">
        <v>1615</v>
      </c>
      <c r="B14194" s="1" t="str">
        <f>HYPERLINK("http://storengy.fr","storengy.fr")</f>
        <v>storengy.fr</v>
      </c>
      <c r="C14194" t="s">
        <v>446</v>
      </c>
      <c r="D14194" t="s">
        <v>824</v>
      </c>
      <c r="F14194">
        <v>1.79197180494512E-8</v>
      </c>
      <c r="G14194">
        <v>3049368</v>
      </c>
      <c r="H14194">
        <v>11222445</v>
      </c>
      <c r="I14194">
        <v>31074673</v>
      </c>
      <c r="J14194">
        <v>3</v>
      </c>
    </row>
    <row r="14195" spans="1:10" x14ac:dyDescent="0.25">
      <c r="A14195" t="s">
        <v>1615</v>
      </c>
      <c r="B14195" s="1" t="str">
        <f>HYPERLINK("http://cnr.tm.fr","cnr.tm.fr")</f>
        <v>cnr.tm.fr</v>
      </c>
      <c r="C14195" t="s">
        <v>446</v>
      </c>
      <c r="D14195" t="s">
        <v>824</v>
      </c>
      <c r="F14195">
        <v>1.9315487628922301E-7</v>
      </c>
      <c r="G14195">
        <v>199558</v>
      </c>
      <c r="H14195">
        <v>14679879</v>
      </c>
      <c r="I14195">
        <v>608985</v>
      </c>
      <c r="J14195">
        <v>3</v>
      </c>
    </row>
    <row r="14196" spans="1:10" x14ac:dyDescent="0.25">
      <c r="A14196" t="s">
        <v>1615</v>
      </c>
      <c r="B14196" s="1" t="str">
        <f>HYPERLINK("http://tractebel-engie.fr","tractebel-engie.fr")</f>
        <v>tractebel-engie.fr</v>
      </c>
      <c r="C14196" t="s">
        <v>446</v>
      </c>
      <c r="D14196" t="s">
        <v>824</v>
      </c>
      <c r="F14196">
        <v>3.82973978324586E-8</v>
      </c>
      <c r="G14196">
        <v>1351773</v>
      </c>
      <c r="H14196">
        <v>14442456</v>
      </c>
      <c r="I14196">
        <v>1060749</v>
      </c>
      <c r="J14196">
        <v>3</v>
      </c>
    </row>
    <row r="14197" spans="1:10" x14ac:dyDescent="0.25">
      <c r="A14197" t="s">
        <v>1615</v>
      </c>
      <c r="B14197" s="1" t="str">
        <f>HYPERLINK("http://gdfsuez-energia.hu","gdfsuez-energia.hu")</f>
        <v>gdfsuez-energia.hu</v>
      </c>
      <c r="C14197" t="s">
        <v>453</v>
      </c>
      <c r="D14197" t="s">
        <v>830</v>
      </c>
      <c r="F14197">
        <v>1.31867348438061E-8</v>
      </c>
      <c r="G14197">
        <v>4544122</v>
      </c>
      <c r="H14197">
        <v>12371758</v>
      </c>
      <c r="I14197">
        <v>19377271</v>
      </c>
      <c r="J14197">
        <v>4</v>
      </c>
    </row>
    <row r="14198" spans="1:10" x14ac:dyDescent="0.25">
      <c r="A14198" t="s">
        <v>1615</v>
      </c>
      <c r="B14198" s="1" t="str">
        <f>HYPERLINK("http://engie.it","engie.it")</f>
        <v>engie.it</v>
      </c>
      <c r="C14198" t="s">
        <v>459</v>
      </c>
      <c r="D14198" t="s">
        <v>835</v>
      </c>
      <c r="E14198">
        <v>278449</v>
      </c>
      <c r="F14198">
        <v>1.3033708942959501E-7</v>
      </c>
      <c r="G14198">
        <v>300272</v>
      </c>
      <c r="H14198">
        <v>14424370</v>
      </c>
      <c r="I14198">
        <v>1081670</v>
      </c>
      <c r="J14198">
        <v>2</v>
      </c>
    </row>
    <row r="14199" spans="1:10" x14ac:dyDescent="0.25">
      <c r="A14199" t="s">
        <v>1615</v>
      </c>
      <c r="B14199" s="1" t="str">
        <f>HYPERLINK("http://gdfsuez.it","gdfsuez.it")</f>
        <v>gdfsuez.it</v>
      </c>
      <c r="C14199" t="s">
        <v>459</v>
      </c>
      <c r="D14199" t="s">
        <v>835</v>
      </c>
      <c r="F14199">
        <v>8.5062888260468203E-9</v>
      </c>
      <c r="G14199">
        <v>8833805</v>
      </c>
      <c r="H14199">
        <v>14072940</v>
      </c>
      <c r="I14199">
        <v>3031219</v>
      </c>
      <c r="J14199">
        <v>4</v>
      </c>
    </row>
    <row r="14200" spans="1:10" x14ac:dyDescent="0.25">
      <c r="A14200" t="s">
        <v>1615</v>
      </c>
      <c r="B14200" s="1" t="str">
        <f>HYPERLINK("http://ootahiro.co.jp","ootahiro.co.jp")</f>
        <v>ootahiro.co.jp</v>
      </c>
      <c r="C14200" t="s">
        <v>461</v>
      </c>
      <c r="D14200" t="s">
        <v>837</v>
      </c>
      <c r="F14200">
        <v>5.4271986229082699E-9</v>
      </c>
      <c r="G14200">
        <v>21775657</v>
      </c>
      <c r="H14200">
        <v>13364617</v>
      </c>
      <c r="I14200">
        <v>10490875</v>
      </c>
      <c r="J14200">
        <v>7</v>
      </c>
    </row>
    <row r="14201" spans="1:10" x14ac:dyDescent="0.25">
      <c r="A14201" t="s">
        <v>1615</v>
      </c>
      <c r="B14201" s="1" t="str">
        <f>HYPERLINK("http://smeg.mc","smeg.mc")</f>
        <v>smeg.mc</v>
      </c>
      <c r="C14201" t="s">
        <v>613</v>
      </c>
      <c r="D14201" t="s">
        <v>939</v>
      </c>
      <c r="F14201">
        <v>2.4861179732314601E-8</v>
      </c>
      <c r="G14201">
        <v>2079848</v>
      </c>
      <c r="H14201">
        <v>13138450</v>
      </c>
      <c r="I14201">
        <v>11891569</v>
      </c>
      <c r="J14201">
        <v>4</v>
      </c>
    </row>
    <row r="14202" spans="1:10" x14ac:dyDescent="0.25">
      <c r="A14202" t="s">
        <v>1615</v>
      </c>
      <c r="B14202" s="1" t="str">
        <f>HYPERLINK("http://maxigasnatural.com.mx","maxigasnatural.com.mx")</f>
        <v>maxigasnatural.com.mx</v>
      </c>
      <c r="C14202" t="s">
        <v>471</v>
      </c>
      <c r="D14202" t="s">
        <v>847</v>
      </c>
      <c r="F14202">
        <v>4.6817726652737797E-9</v>
      </c>
      <c r="G14202">
        <v>42230538</v>
      </c>
      <c r="H14202">
        <v>12358154</v>
      </c>
      <c r="I14202">
        <v>19621809</v>
      </c>
      <c r="J14202">
        <v>5</v>
      </c>
    </row>
    <row r="14203" spans="1:10" x14ac:dyDescent="0.25">
      <c r="A14203" t="s">
        <v>1615</v>
      </c>
      <c r="B14203" s="1" t="str">
        <f>HYPERLINK("http://engiemaxigas.mx","engiemaxigas.mx")</f>
        <v>engiemaxigas.mx</v>
      </c>
      <c r="C14203" t="s">
        <v>471</v>
      </c>
      <c r="D14203" t="s">
        <v>847</v>
      </c>
      <c r="J14203">
        <v>5</v>
      </c>
    </row>
    <row r="14204" spans="1:10" x14ac:dyDescent="0.25">
      <c r="A14204" t="s">
        <v>1615</v>
      </c>
      <c r="B14204" s="1" t="str">
        <f>HYPERLINK("http://mayakan.mx","mayakan.mx")</f>
        <v>mayakan.mx</v>
      </c>
      <c r="C14204" t="s">
        <v>471</v>
      </c>
      <c r="D14204" t="s">
        <v>847</v>
      </c>
      <c r="J14204">
        <v>5</v>
      </c>
    </row>
    <row r="14205" spans="1:10" x14ac:dyDescent="0.25">
      <c r="A14205" t="s">
        <v>1615</v>
      </c>
      <c r="B14205" s="1" t="str">
        <f>HYPERLINK("http://eec-engie.nc","eec-engie.nc")</f>
        <v>eec-engie.nc</v>
      </c>
      <c r="C14205" t="s">
        <v>724</v>
      </c>
      <c r="D14205" t="s">
        <v>1008</v>
      </c>
      <c r="F14205">
        <v>2.27676603047845E-8</v>
      </c>
      <c r="G14205">
        <v>2299376</v>
      </c>
      <c r="H14205">
        <v>12334501</v>
      </c>
      <c r="I14205">
        <v>20117637</v>
      </c>
      <c r="J14205">
        <v>4</v>
      </c>
    </row>
    <row r="14206" spans="1:10" x14ac:dyDescent="0.25">
      <c r="A14206" t="s">
        <v>1615</v>
      </c>
      <c r="B14206" s="1" t="str">
        <f>HYPERLINK("http://cloudgaz.net","cloudgaz.net")</f>
        <v>cloudgaz.net</v>
      </c>
      <c r="C14206" t="s">
        <v>474</v>
      </c>
      <c r="J14206">
        <v>5</v>
      </c>
    </row>
    <row r="14207" spans="1:10" x14ac:dyDescent="0.25">
      <c r="A14207" t="s">
        <v>1615</v>
      </c>
      <c r="B14207" s="1" t="str">
        <f>HYPERLINK("http://gdfsuez.net","gdfsuez.net")</f>
        <v>gdfsuez.net</v>
      </c>
      <c r="C14207" t="s">
        <v>474</v>
      </c>
      <c r="E14207">
        <v>990569</v>
      </c>
      <c r="F14207">
        <v>4.93674728763199E-9</v>
      </c>
      <c r="G14207">
        <v>31183907</v>
      </c>
      <c r="H14207">
        <v>10423521</v>
      </c>
      <c r="I14207">
        <v>53913078</v>
      </c>
      <c r="J14207">
        <v>2</v>
      </c>
    </row>
    <row r="14208" spans="1:10" x14ac:dyDescent="0.25">
      <c r="A14208" t="s">
        <v>1615</v>
      </c>
      <c r="B14208" s="1" t="str">
        <f>HYPERLINK("http://grtgaz.net","grtgaz.net")</f>
        <v>grtgaz.net</v>
      </c>
      <c r="C14208" t="s">
        <v>474</v>
      </c>
      <c r="F14208">
        <v>4.4474818414552199E-9</v>
      </c>
      <c r="G14208">
        <v>73495581</v>
      </c>
      <c r="H14208">
        <v>12163600</v>
      </c>
      <c r="I14208">
        <v>24269458</v>
      </c>
      <c r="J14208">
        <v>5</v>
      </c>
    </row>
    <row r="14209" spans="1:10" x14ac:dyDescent="0.25">
      <c r="A14209" t="s">
        <v>1615</v>
      </c>
      <c r="B14209" s="1" t="str">
        <f>HYPERLINK("http://yamada-body.net","yamada-body.net")</f>
        <v>yamada-body.net</v>
      </c>
      <c r="C14209" t="s">
        <v>474</v>
      </c>
      <c r="F14209">
        <v>4.7199079718786301E-9</v>
      </c>
      <c r="G14209">
        <v>40225000</v>
      </c>
      <c r="H14209">
        <v>10512390</v>
      </c>
      <c r="I14209">
        <v>49411995</v>
      </c>
      <c r="J14209">
        <v>7</v>
      </c>
    </row>
    <row r="14210" spans="1:10" x14ac:dyDescent="0.25">
      <c r="A14210" t="s">
        <v>1615</v>
      </c>
      <c r="B14210" s="1" t="str">
        <f>HYPERLINK("http://centraleburgum.nl","centraleburgum.nl")</f>
        <v>centraleburgum.nl</v>
      </c>
      <c r="C14210" t="s">
        <v>477</v>
      </c>
      <c r="D14210" t="s">
        <v>852</v>
      </c>
      <c r="J14210">
        <v>3</v>
      </c>
    </row>
    <row r="14211" spans="1:10" x14ac:dyDescent="0.25">
      <c r="A14211" t="s">
        <v>1615</v>
      </c>
      <c r="B14211" s="1" t="str">
        <f>HYPERLINK("http://engie.nl","engie.nl")</f>
        <v>engie.nl</v>
      </c>
      <c r="C14211" t="s">
        <v>477</v>
      </c>
      <c r="D14211" t="s">
        <v>852</v>
      </c>
      <c r="E14211">
        <v>241723</v>
      </c>
      <c r="F14211">
        <v>1.9223068409203901E-7</v>
      </c>
      <c r="G14211">
        <v>200504</v>
      </c>
      <c r="H14211">
        <v>12900665</v>
      </c>
      <c r="I14211">
        <v>13876177</v>
      </c>
      <c r="J14211">
        <v>2</v>
      </c>
    </row>
    <row r="14212" spans="1:10" x14ac:dyDescent="0.25">
      <c r="A14212" t="s">
        <v>1615</v>
      </c>
      <c r="B14212" s="1" t="str">
        <f>HYPERLINK("http://engie-fabricom.nl","engie-fabricom.nl")</f>
        <v>engie-fabricom.nl</v>
      </c>
      <c r="C14212" t="s">
        <v>477</v>
      </c>
      <c r="D14212" t="s">
        <v>852</v>
      </c>
      <c r="F14212">
        <v>1.16262178894808E-8</v>
      </c>
      <c r="G14212">
        <v>5415420</v>
      </c>
      <c r="H14212">
        <v>11995857</v>
      </c>
      <c r="I14212">
        <v>28294854</v>
      </c>
      <c r="J14212">
        <v>6</v>
      </c>
    </row>
    <row r="14213" spans="1:10" x14ac:dyDescent="0.25">
      <c r="A14213" t="s">
        <v>1615</v>
      </c>
      <c r="B14213" s="1" t="str">
        <f>HYPERLINK("http://engie-services.nl","engie-services.nl")</f>
        <v>engie-services.nl</v>
      </c>
      <c r="C14213" t="s">
        <v>477</v>
      </c>
      <c r="D14213" t="s">
        <v>852</v>
      </c>
      <c r="F14213">
        <v>7.1717596338446398E-8</v>
      </c>
      <c r="G14213">
        <v>589108</v>
      </c>
      <c r="H14213">
        <v>14288595</v>
      </c>
      <c r="I14213">
        <v>1368261</v>
      </c>
      <c r="J14213">
        <v>3</v>
      </c>
    </row>
    <row r="14214" spans="1:10" x14ac:dyDescent="0.25">
      <c r="A14214" t="s">
        <v>1615</v>
      </c>
      <c r="B14214" s="1" t="str">
        <f>HYPERLINK("http://engie-zakelijk.nl","engie-zakelijk.nl")</f>
        <v>engie-zakelijk.nl</v>
      </c>
      <c r="C14214" t="s">
        <v>477</v>
      </c>
      <c r="D14214" t="s">
        <v>852</v>
      </c>
      <c r="F14214">
        <v>8.4836308239323301E-9</v>
      </c>
      <c r="G14214">
        <v>8876729</v>
      </c>
      <c r="H14214">
        <v>12283418</v>
      </c>
      <c r="I14214">
        <v>21242471</v>
      </c>
      <c r="J14214">
        <v>3</v>
      </c>
    </row>
    <row r="14215" spans="1:10" x14ac:dyDescent="0.25">
      <c r="A14215" t="s">
        <v>1615</v>
      </c>
      <c r="B14215" s="1" t="str">
        <f>HYPERLINK("http://fabricom-gdfsuez.nl","fabricom-gdfsuez.nl")</f>
        <v>fabricom-gdfsuez.nl</v>
      </c>
      <c r="C14215" t="s">
        <v>477</v>
      </c>
      <c r="D14215" t="s">
        <v>852</v>
      </c>
      <c r="F14215">
        <v>4.6263390619955004E-9</v>
      </c>
      <c r="G14215">
        <v>45684499</v>
      </c>
      <c r="H14215">
        <v>11264916</v>
      </c>
      <c r="I14215">
        <v>30801031</v>
      </c>
      <c r="J14215">
        <v>4</v>
      </c>
    </row>
    <row r="14216" spans="1:10" x14ac:dyDescent="0.25">
      <c r="A14216" t="s">
        <v>1615</v>
      </c>
      <c r="B14216" s="1" t="str">
        <f>HYPERLINK("http://gdfsuezep.nl","gdfsuezep.nl")</f>
        <v>gdfsuezep.nl</v>
      </c>
      <c r="C14216" t="s">
        <v>477</v>
      </c>
      <c r="D14216" t="s">
        <v>852</v>
      </c>
      <c r="F14216">
        <v>6.5840657669006597E-9</v>
      </c>
      <c r="G14216">
        <v>13738086</v>
      </c>
      <c r="H14216">
        <v>13227809</v>
      </c>
      <c r="I14216">
        <v>11293954</v>
      </c>
      <c r="J14216">
        <v>4</v>
      </c>
    </row>
    <row r="14217" spans="1:10" x14ac:dyDescent="0.25">
      <c r="A14217" t="s">
        <v>1615</v>
      </c>
      <c r="B14217" s="1" t="str">
        <f>HYPERLINK("http://tractebel-engie.pe","tractebel-engie.pe")</f>
        <v>tractebel-engie.pe</v>
      </c>
      <c r="C14217" t="s">
        <v>483</v>
      </c>
      <c r="D14217" t="s">
        <v>857</v>
      </c>
      <c r="F14217">
        <v>9.2532284659839694E-9</v>
      </c>
      <c r="G14217">
        <v>7634198</v>
      </c>
      <c r="H14217">
        <v>10829883</v>
      </c>
      <c r="I14217">
        <v>37396780</v>
      </c>
      <c r="J14217">
        <v>3</v>
      </c>
    </row>
    <row r="14218" spans="1:10" x14ac:dyDescent="0.25">
      <c r="A14218" t="s">
        <v>1615</v>
      </c>
      <c r="B14218" s="1" t="str">
        <f>HYPERLINK("http://engie-zlotow.pl","engie-zlotow.pl")</f>
        <v>engie-zlotow.pl</v>
      </c>
      <c r="C14218" t="s">
        <v>486</v>
      </c>
      <c r="D14218" t="s">
        <v>860</v>
      </c>
      <c r="F14218">
        <v>7.3326003303993402E-9</v>
      </c>
      <c r="G14218">
        <v>11401399</v>
      </c>
      <c r="H14218">
        <v>10978509</v>
      </c>
      <c r="I14218">
        <v>33964527</v>
      </c>
      <c r="J14218">
        <v>4</v>
      </c>
    </row>
    <row r="14219" spans="1:10" x14ac:dyDescent="0.25">
      <c r="A14219" t="s">
        <v>1615</v>
      </c>
      <c r="B14219" s="1" t="str">
        <f>HYPERLINK("http://engie.ro","engie.ro")</f>
        <v>engie.ro</v>
      </c>
      <c r="C14219" t="s">
        <v>491</v>
      </c>
      <c r="D14219" t="s">
        <v>865</v>
      </c>
      <c r="E14219">
        <v>123417</v>
      </c>
      <c r="F14219">
        <v>7.6019724616123606E-8</v>
      </c>
      <c r="G14219">
        <v>552536</v>
      </c>
      <c r="H14219">
        <v>14424479</v>
      </c>
      <c r="I14219">
        <v>1081516</v>
      </c>
      <c r="J14219">
        <v>2</v>
      </c>
    </row>
    <row r="14220" spans="1:10" x14ac:dyDescent="0.25">
      <c r="A14220" t="s">
        <v>1615</v>
      </c>
      <c r="B14220" s="1" t="str">
        <f>HYPERLINK("http://cofely-gdfsuez.co.uk","cofely-gdfsuez.co.uk")</f>
        <v>cofely-gdfsuez.co.uk</v>
      </c>
      <c r="C14220" t="s">
        <v>506</v>
      </c>
      <c r="D14220" t="s">
        <v>880</v>
      </c>
      <c r="F14220">
        <v>7.9296169432360399E-9</v>
      </c>
      <c r="G14220">
        <v>10054308</v>
      </c>
      <c r="H14220">
        <v>13799212</v>
      </c>
      <c r="I14220">
        <v>6286929</v>
      </c>
      <c r="J14220">
        <v>5</v>
      </c>
    </row>
    <row r="14221" spans="1:10" x14ac:dyDescent="0.25">
      <c r="A14221" t="s">
        <v>1615</v>
      </c>
      <c r="B14221" s="1" t="str">
        <f>HYPERLINK("http://engie.co.uk","engie.co.uk")</f>
        <v>engie.co.uk</v>
      </c>
      <c r="C14221" t="s">
        <v>506</v>
      </c>
      <c r="D14221" t="s">
        <v>880</v>
      </c>
      <c r="E14221">
        <v>462445</v>
      </c>
      <c r="F14221">
        <v>1.2609622063555399E-7</v>
      </c>
      <c r="G14221">
        <v>312796</v>
      </c>
      <c r="H14221">
        <v>13839407</v>
      </c>
      <c r="I14221">
        <v>6075883</v>
      </c>
      <c r="J14221">
        <v>2</v>
      </c>
    </row>
    <row r="14222" spans="1:10" x14ac:dyDescent="0.25">
      <c r="A14222" t="s">
        <v>1615</v>
      </c>
      <c r="B14222" s="1" t="str">
        <f>HYPERLINK("http://fhc.co.uk","fhc.co.uk")</f>
        <v>fhc.co.uk</v>
      </c>
      <c r="C14222" t="s">
        <v>506</v>
      </c>
      <c r="D14222" t="s">
        <v>880</v>
      </c>
      <c r="F14222">
        <v>1.9361749168510301E-8</v>
      </c>
      <c r="G14222">
        <v>2769140</v>
      </c>
      <c r="H14222">
        <v>14491223</v>
      </c>
      <c r="I14222">
        <v>904873</v>
      </c>
      <c r="J14222">
        <v>4</v>
      </c>
    </row>
    <row r="14223" spans="1:10" x14ac:dyDescent="0.25">
      <c r="A14223" t="s">
        <v>1615</v>
      </c>
      <c r="B14223" s="1" t="str">
        <f>HYPERLINK("http://gdfsuez-energy.co.uk","gdfsuez-energy.co.uk")</f>
        <v>gdfsuez-energy.co.uk</v>
      </c>
      <c r="C14223" t="s">
        <v>506</v>
      </c>
      <c r="D14223" t="s">
        <v>880</v>
      </c>
      <c r="F14223">
        <v>6.9240160531481599E-9</v>
      </c>
      <c r="G14223">
        <v>12545404</v>
      </c>
      <c r="H14223">
        <v>14236557</v>
      </c>
      <c r="I14223">
        <v>1580791</v>
      </c>
      <c r="J14223">
        <v>3</v>
      </c>
    </row>
    <row r="14224" spans="1:10" x14ac:dyDescent="0.25">
      <c r="A14224" t="s">
        <v>1615</v>
      </c>
      <c r="B14224" s="1" t="str">
        <f>HYPERLINK("http://storengy.co.uk","storengy.co.uk")</f>
        <v>storengy.co.uk</v>
      </c>
      <c r="C14224" t="s">
        <v>506</v>
      </c>
      <c r="D14224" t="s">
        <v>880</v>
      </c>
      <c r="F14224">
        <v>1.2630089623642499E-8</v>
      </c>
      <c r="G14224">
        <v>4815629</v>
      </c>
      <c r="H14224">
        <v>14123323</v>
      </c>
      <c r="I14224">
        <v>2178856</v>
      </c>
      <c r="J14224">
        <v>3</v>
      </c>
    </row>
    <row r="14225" spans="1:10" x14ac:dyDescent="0.25">
      <c r="A14225" t="s">
        <v>150</v>
      </c>
      <c r="B14225" s="1" t="str">
        <f>HYPERLINK("http://agip.at","agip.at")</f>
        <v>agip.at</v>
      </c>
      <c r="C14225" t="s">
        <v>419</v>
      </c>
      <c r="D14225" t="s">
        <v>801</v>
      </c>
      <c r="F14225">
        <v>1.2416309866717499E-8</v>
      </c>
      <c r="G14225">
        <v>4930598</v>
      </c>
      <c r="H14225">
        <v>12202775</v>
      </c>
      <c r="I14225">
        <v>23249103</v>
      </c>
      <c r="J14225">
        <v>3</v>
      </c>
    </row>
    <row r="14226" spans="1:10" x14ac:dyDescent="0.25">
      <c r="A14226" t="s">
        <v>150</v>
      </c>
      <c r="B14226" s="1" t="str">
        <f>HYPERLINK("http://auto-abc.at","auto-abc.at")</f>
        <v>auto-abc.at</v>
      </c>
      <c r="C14226" t="s">
        <v>419</v>
      </c>
      <c r="D14226" t="s">
        <v>801</v>
      </c>
      <c r="F14226">
        <v>5.2554800459703E-9</v>
      </c>
      <c r="G14226">
        <v>24174083</v>
      </c>
      <c r="H14226">
        <v>10683129</v>
      </c>
      <c r="I14226">
        <v>42693703</v>
      </c>
      <c r="J14226">
        <v>3</v>
      </c>
    </row>
    <row r="14227" spans="1:10" x14ac:dyDescent="0.25">
      <c r="A14227" t="s">
        <v>150</v>
      </c>
      <c r="B14227" s="1" t="str">
        <f>HYPERLINK("http://auto-resch.at","auto-resch.at")</f>
        <v>auto-resch.at</v>
      </c>
      <c r="C14227" t="s">
        <v>419</v>
      </c>
      <c r="D14227" t="s">
        <v>801</v>
      </c>
      <c r="F14227">
        <v>7.7471751733904395E-9</v>
      </c>
      <c r="G14227">
        <v>10472748</v>
      </c>
      <c r="H14227">
        <v>12112368</v>
      </c>
      <c r="I14227">
        <v>25665896</v>
      </c>
      <c r="J14227">
        <v>3</v>
      </c>
    </row>
    <row r="14228" spans="1:10" x14ac:dyDescent="0.25">
      <c r="A14228" t="s">
        <v>150</v>
      </c>
      <c r="B14228" s="1" t="str">
        <f>HYPERLINK("http://bierbauer.at","bierbauer.at")</f>
        <v>bierbauer.at</v>
      </c>
      <c r="C14228" t="s">
        <v>419</v>
      </c>
      <c r="D14228" t="s">
        <v>801</v>
      </c>
      <c r="F14228">
        <v>7.1532995718327804E-9</v>
      </c>
      <c r="G14228">
        <v>11868159</v>
      </c>
      <c r="H14228">
        <v>12161532</v>
      </c>
      <c r="I14228">
        <v>24324231</v>
      </c>
      <c r="J14228">
        <v>3</v>
      </c>
    </row>
    <row r="14229" spans="1:10" x14ac:dyDescent="0.25">
      <c r="A14229" t="s">
        <v>150</v>
      </c>
      <c r="B14229" s="1" t="str">
        <f>HYPERLINK("http://derfrick.at","derfrick.at")</f>
        <v>derfrick.at</v>
      </c>
      <c r="C14229" t="s">
        <v>419</v>
      </c>
      <c r="D14229" t="s">
        <v>801</v>
      </c>
      <c r="J14229">
        <v>3</v>
      </c>
    </row>
    <row r="14230" spans="1:10" x14ac:dyDescent="0.25">
      <c r="A14230" t="s">
        <v>150</v>
      </c>
      <c r="B14230" s="1" t="str">
        <f>HYPERLINK("http://eniaustria.at","eniaustria.at")</f>
        <v>eniaustria.at</v>
      </c>
      <c r="C14230" t="s">
        <v>419</v>
      </c>
      <c r="D14230" t="s">
        <v>801</v>
      </c>
      <c r="F14230">
        <v>1.33719088623129E-8</v>
      </c>
      <c r="G14230">
        <v>4461597</v>
      </c>
      <c r="H14230">
        <v>12291088</v>
      </c>
      <c r="I14230">
        <v>21088354</v>
      </c>
      <c r="J14230">
        <v>3</v>
      </c>
    </row>
    <row r="14231" spans="1:10" x14ac:dyDescent="0.25">
      <c r="A14231" t="s">
        <v>150</v>
      </c>
      <c r="B14231" s="1" t="str">
        <f>HYPERLINK("http://enistation.at","enistation.at")</f>
        <v>enistation.at</v>
      </c>
      <c r="C14231" t="s">
        <v>419</v>
      </c>
      <c r="D14231" t="s">
        <v>801</v>
      </c>
      <c r="F14231">
        <v>2.2188668314616499E-8</v>
      </c>
      <c r="G14231">
        <v>2363827</v>
      </c>
      <c r="H14231">
        <v>14076171</v>
      </c>
      <c r="I14231">
        <v>2892879</v>
      </c>
      <c r="J14231">
        <v>3</v>
      </c>
    </row>
    <row r="14232" spans="1:10" x14ac:dyDescent="0.25">
      <c r="A14232" t="s">
        <v>150</v>
      </c>
      <c r="B14232" s="1" t="str">
        <f>HYPERLINK("http://pirker-altach.at","pirker-altach.at")</f>
        <v>pirker-altach.at</v>
      </c>
      <c r="C14232" t="s">
        <v>419</v>
      </c>
      <c r="D14232" t="s">
        <v>801</v>
      </c>
      <c r="J14232">
        <v>3</v>
      </c>
    </row>
    <row r="14233" spans="1:10" x14ac:dyDescent="0.25">
      <c r="A14233" t="s">
        <v>150</v>
      </c>
      <c r="B14233" s="1" t="str">
        <f>HYPERLINK("http://enistation.ch","enistation.ch")</f>
        <v>enistation.ch</v>
      </c>
      <c r="C14233" t="s">
        <v>429</v>
      </c>
      <c r="D14233" t="s">
        <v>810</v>
      </c>
      <c r="F14233">
        <v>1.9602909206774001E-8</v>
      </c>
      <c r="G14233">
        <v>2727618</v>
      </c>
      <c r="H14233">
        <v>14082905</v>
      </c>
      <c r="I14233">
        <v>2797032</v>
      </c>
      <c r="J14233">
        <v>4</v>
      </c>
    </row>
    <row r="14234" spans="1:10" x14ac:dyDescent="0.25">
      <c r="A14234" t="s">
        <v>150</v>
      </c>
      <c r="B14234" s="1" t="str">
        <f>HYPERLINK("http://4energia.com","4energia.com")</f>
        <v>4energia.com</v>
      </c>
      <c r="C14234" t="s">
        <v>433</v>
      </c>
      <c r="F14234">
        <v>5.4342968932828802E-9</v>
      </c>
      <c r="G14234">
        <v>21688085</v>
      </c>
      <c r="H14234">
        <v>9640398</v>
      </c>
      <c r="I14234">
        <v>63982625</v>
      </c>
      <c r="J14234">
        <v>4</v>
      </c>
    </row>
    <row r="14235" spans="1:10" x14ac:dyDescent="0.25">
      <c r="A14235" t="s">
        <v>150</v>
      </c>
      <c r="B14235" s="1" t="str">
        <f>HYPERLINK("http://autohauspirker.com","autohauspirker.com")</f>
        <v>autohauspirker.com</v>
      </c>
      <c r="C14235" t="s">
        <v>433</v>
      </c>
      <c r="F14235">
        <v>7.2108097340934498E-9</v>
      </c>
      <c r="G14235">
        <v>11712079</v>
      </c>
      <c r="H14235">
        <v>10916446</v>
      </c>
      <c r="I14235">
        <v>35485891</v>
      </c>
      <c r="J14235">
        <v>3</v>
      </c>
    </row>
    <row r="14236" spans="1:10" x14ac:dyDescent="0.25">
      <c r="A14236" t="s">
        <v>150</v>
      </c>
      <c r="B14236" s="1" t="str">
        <f>HYPERLINK("http://bepower.com","bepower.com")</f>
        <v>bepower.com</v>
      </c>
      <c r="C14236" t="s">
        <v>433</v>
      </c>
      <c r="F14236">
        <v>1.4771323763986101E-8</v>
      </c>
      <c r="G14236">
        <v>3916899</v>
      </c>
      <c r="H14236">
        <v>12559112</v>
      </c>
      <c r="I14236">
        <v>16727691</v>
      </c>
      <c r="J14236">
        <v>4</v>
      </c>
    </row>
    <row r="14237" spans="1:10" x14ac:dyDescent="0.25">
      <c r="A14237" t="s">
        <v>150</v>
      </c>
      <c r="B14237" s="1" t="str">
        <f>HYPERLINK("http://eni.com","eni.com")</f>
        <v>eni.com</v>
      </c>
      <c r="C14237" t="s">
        <v>433</v>
      </c>
      <c r="E14237">
        <v>20455</v>
      </c>
      <c r="F14237">
        <v>1.8204101640740499E-6</v>
      </c>
      <c r="G14237">
        <v>20848</v>
      </c>
      <c r="H14237">
        <v>17358016</v>
      </c>
      <c r="I14237">
        <v>22388</v>
      </c>
      <c r="J14237">
        <v>1</v>
      </c>
    </row>
    <row r="14238" spans="1:10" x14ac:dyDescent="0.25">
      <c r="A14238" t="s">
        <v>150</v>
      </c>
      <c r="B14238" s="1" t="str">
        <f>HYPERLINK("http://eni-irl.com","eni-irl.com")</f>
        <v>eni-irl.com</v>
      </c>
      <c r="C14238" t="s">
        <v>433</v>
      </c>
      <c r="F14238">
        <v>4.6076799648052198E-9</v>
      </c>
      <c r="G14238">
        <v>47034856</v>
      </c>
      <c r="H14238">
        <v>11002133</v>
      </c>
      <c r="I14238">
        <v>33550825</v>
      </c>
      <c r="J14238">
        <v>3</v>
      </c>
    </row>
    <row r="14239" spans="1:10" x14ac:dyDescent="0.25">
      <c r="A14239" t="s">
        <v>150</v>
      </c>
      <c r="B14239" s="1" t="str">
        <f>HYPERLINK("http://enigaseluce.com","enigaseluce.com")</f>
        <v>enigaseluce.com</v>
      </c>
      <c r="C14239" t="s">
        <v>433</v>
      </c>
      <c r="E14239">
        <v>673473</v>
      </c>
      <c r="F14239">
        <v>7.1313684031368599E-8</v>
      </c>
      <c r="G14239">
        <v>592747</v>
      </c>
      <c r="H14239">
        <v>14117836</v>
      </c>
      <c r="I14239">
        <v>2659510</v>
      </c>
      <c r="J14239">
        <v>3</v>
      </c>
    </row>
    <row r="14240" spans="1:10" x14ac:dyDescent="0.25">
      <c r="A14240" t="s">
        <v>150</v>
      </c>
      <c r="B14240" s="1" t="str">
        <f>HYPERLINK("http://enimarketing.com","enimarketing.com")</f>
        <v>enimarketing.com</v>
      </c>
      <c r="C14240" t="s">
        <v>433</v>
      </c>
      <c r="F14240">
        <v>5.3189554201351E-9</v>
      </c>
      <c r="G14240">
        <v>23222187</v>
      </c>
      <c r="H14240">
        <v>10552845</v>
      </c>
      <c r="I14240">
        <v>46604310</v>
      </c>
      <c r="J14240">
        <v>6</v>
      </c>
    </row>
    <row r="14241" spans="1:10" x14ac:dyDescent="0.25">
      <c r="A14241" t="s">
        <v>150</v>
      </c>
      <c r="B14241" s="1" t="str">
        <f>HYPERLINK("http://eniplenitude.com","eniplenitude.com")</f>
        <v>eniplenitude.com</v>
      </c>
      <c r="C14241" t="s">
        <v>433</v>
      </c>
      <c r="E14241">
        <v>68021</v>
      </c>
      <c r="F14241">
        <v>9.1555872522219504E-8</v>
      </c>
      <c r="G14241">
        <v>445082</v>
      </c>
      <c r="H14241">
        <v>14315518</v>
      </c>
      <c r="I14241">
        <v>1336017</v>
      </c>
      <c r="J14241">
        <v>3</v>
      </c>
    </row>
    <row r="14242" spans="1:10" x14ac:dyDescent="0.25">
      <c r="A14242" t="s">
        <v>150</v>
      </c>
      <c r="B14242" s="1" t="str">
        <f>HYPERLINK("http://enistation.com","enistation.com")</f>
        <v>enistation.com</v>
      </c>
      <c r="C14242" t="s">
        <v>433</v>
      </c>
      <c r="F14242">
        <v>8.3049167010900998E-8</v>
      </c>
      <c r="G14242">
        <v>502213</v>
      </c>
      <c r="H14242">
        <v>16974736</v>
      </c>
      <c r="I14242">
        <v>100548</v>
      </c>
      <c r="J14242">
        <v>3</v>
      </c>
    </row>
    <row r="14243" spans="1:10" x14ac:dyDescent="0.25">
      <c r="A14243" t="s">
        <v>150</v>
      </c>
      <c r="B14243" s="1" t="str">
        <f>HYPERLINK("http://evolvere.com","evolvere.com")</f>
        <v>evolvere.com</v>
      </c>
      <c r="C14243" t="s">
        <v>433</v>
      </c>
      <c r="F14243">
        <v>2.5366297218671699E-8</v>
      </c>
      <c r="G14243">
        <v>2034026</v>
      </c>
      <c r="H14243">
        <v>12706908</v>
      </c>
      <c r="I14243">
        <v>15318799</v>
      </c>
      <c r="J14243">
        <v>4</v>
      </c>
    </row>
    <row r="14244" spans="1:10" x14ac:dyDescent="0.25">
      <c r="A14244" t="s">
        <v>150</v>
      </c>
      <c r="B14244" s="1" t="str">
        <f>HYPERLINK("http://highgatemedical.com","highgatemedical.com")</f>
        <v>highgatemedical.com</v>
      </c>
      <c r="C14244" t="s">
        <v>433</v>
      </c>
      <c r="F14244">
        <v>7.3070744774560199E-9</v>
      </c>
      <c r="G14244">
        <v>11462505</v>
      </c>
      <c r="H14244">
        <v>12783866</v>
      </c>
      <c r="I14244">
        <v>14723356</v>
      </c>
      <c r="J14244">
        <v>8</v>
      </c>
    </row>
    <row r="14245" spans="1:10" x14ac:dyDescent="0.25">
      <c r="A14245" t="s">
        <v>150</v>
      </c>
      <c r="B14245" s="1" t="str">
        <f>HYPERLINK("http://sous-traitance-cosmetiques.com","sous-traitance-cosmetiques.com")</f>
        <v>sous-traitance-cosmetiques.com</v>
      </c>
      <c r="C14245" t="s">
        <v>433</v>
      </c>
      <c r="F14245">
        <v>6.6832114711762602E-9</v>
      </c>
      <c r="G14245">
        <v>13362617</v>
      </c>
      <c r="H14245">
        <v>10998427</v>
      </c>
      <c r="I14245">
        <v>33609744</v>
      </c>
      <c r="J14245">
        <v>7</v>
      </c>
    </row>
    <row r="14246" spans="1:10" x14ac:dyDescent="0.25">
      <c r="A14246" t="s">
        <v>150</v>
      </c>
      <c r="B14246" s="1" t="str">
        <f>HYPERLINK("http://temalube.com","temalube.com")</f>
        <v>temalube.com</v>
      </c>
      <c r="C14246" t="s">
        <v>433</v>
      </c>
      <c r="F14246">
        <v>4.6966179559766004E-9</v>
      </c>
      <c r="G14246">
        <v>41418728</v>
      </c>
      <c r="H14246">
        <v>8699693</v>
      </c>
      <c r="I14246">
        <v>69944727</v>
      </c>
      <c r="J14246">
        <v>4</v>
      </c>
    </row>
    <row r="14247" spans="1:10" x14ac:dyDescent="0.25">
      <c r="A14247" t="s">
        <v>150</v>
      </c>
      <c r="B14247" s="1" t="str">
        <f>HYPERLINK("http://ufgcomercializadora.com","ufgcomercializadora.com")</f>
        <v>ufgcomercializadora.com</v>
      </c>
      <c r="C14247" t="s">
        <v>433</v>
      </c>
      <c r="F14247">
        <v>4.4558857365481898E-9</v>
      </c>
      <c r="G14247">
        <v>69156843</v>
      </c>
      <c r="H14247">
        <v>10430588</v>
      </c>
      <c r="I14247">
        <v>53726772</v>
      </c>
      <c r="J14247">
        <v>3</v>
      </c>
    </row>
    <row r="14248" spans="1:10" x14ac:dyDescent="0.25">
      <c r="A14248" t="s">
        <v>150</v>
      </c>
      <c r="B14248" s="1" t="str">
        <f>HYPERLINK("http://vargronn.com","vargronn.com")</f>
        <v>vargronn.com</v>
      </c>
      <c r="C14248" t="s">
        <v>433</v>
      </c>
      <c r="J14248">
        <v>4</v>
      </c>
    </row>
    <row r="14249" spans="1:10" x14ac:dyDescent="0.25">
      <c r="A14249" t="s">
        <v>150</v>
      </c>
      <c r="B14249" s="1" t="str">
        <f>HYPERLINK("http://tankstelle-weikmann.de","tankstelle-weikmann.de")</f>
        <v>tankstelle-weikmann.de</v>
      </c>
      <c r="C14249" t="s">
        <v>436</v>
      </c>
      <c r="D14249" t="s">
        <v>815</v>
      </c>
      <c r="F14249">
        <v>8.8319265799193708E-9</v>
      </c>
      <c r="G14249">
        <v>8253106</v>
      </c>
      <c r="H14249">
        <v>10551299</v>
      </c>
      <c r="I14249">
        <v>46660321</v>
      </c>
      <c r="J14249">
        <v>3</v>
      </c>
    </row>
    <row r="14250" spans="1:10" x14ac:dyDescent="0.25">
      <c r="A14250" t="s">
        <v>150</v>
      </c>
      <c r="B14250" s="1" t="str">
        <f>HYPERLINK("http://serenergia.eu","serenergia.eu")</f>
        <v>serenergia.eu</v>
      </c>
      <c r="C14250" t="s">
        <v>444</v>
      </c>
      <c r="F14250">
        <v>4.9675817070678804E-9</v>
      </c>
      <c r="G14250">
        <v>30307448</v>
      </c>
      <c r="H14250">
        <v>12320832</v>
      </c>
      <c r="I14250">
        <v>20399826</v>
      </c>
      <c r="J14250">
        <v>8</v>
      </c>
    </row>
    <row r="14251" spans="1:10" x14ac:dyDescent="0.25">
      <c r="A14251" t="s">
        <v>150</v>
      </c>
      <c r="B14251" s="1" t="str">
        <f>HYPERLINK("http://altergaz.fr","altergaz.fr")</f>
        <v>altergaz.fr</v>
      </c>
      <c r="C14251" t="s">
        <v>446</v>
      </c>
      <c r="D14251" t="s">
        <v>824</v>
      </c>
      <c r="F14251">
        <v>5.0900803673778003E-9</v>
      </c>
      <c r="G14251">
        <v>27285872</v>
      </c>
      <c r="H14251">
        <v>12422176</v>
      </c>
      <c r="I14251">
        <v>18412342</v>
      </c>
      <c r="J14251">
        <v>3</v>
      </c>
    </row>
    <row r="14252" spans="1:10" x14ac:dyDescent="0.25">
      <c r="A14252" t="s">
        <v>150</v>
      </c>
      <c r="B14252" s="1" t="str">
        <f>HYPERLINK("http://enistation.fr","enistation.fr")</f>
        <v>enistation.fr</v>
      </c>
      <c r="C14252" t="s">
        <v>446</v>
      </c>
      <c r="D14252" t="s">
        <v>824</v>
      </c>
      <c r="F14252">
        <v>1.9746290606987099E-8</v>
      </c>
      <c r="G14252">
        <v>2701717</v>
      </c>
      <c r="H14252">
        <v>12299597</v>
      </c>
      <c r="I14252">
        <v>20843070</v>
      </c>
      <c r="J14252">
        <v>4</v>
      </c>
    </row>
    <row r="14253" spans="1:10" x14ac:dyDescent="0.25">
      <c r="A14253" t="s">
        <v>150</v>
      </c>
      <c r="B14253" s="1" t="str">
        <f>HYPERLINK("http://evolvere.io","evolvere.io")</f>
        <v>evolvere.io</v>
      </c>
      <c r="C14253" t="s">
        <v>518</v>
      </c>
      <c r="F14253">
        <v>1.32605551434771E-8</v>
      </c>
      <c r="G14253">
        <v>4510868</v>
      </c>
      <c r="H14253">
        <v>13391825</v>
      </c>
      <c r="I14253">
        <v>10387347</v>
      </c>
      <c r="J14253">
        <v>5</v>
      </c>
    </row>
    <row r="14254" spans="1:10" x14ac:dyDescent="0.25">
      <c r="A14254" t="s">
        <v>150</v>
      </c>
      <c r="B14254" s="1" t="str">
        <f>HYPERLINK("http://agenziaitalia.it","agenziaitalia.it")</f>
        <v>agenziaitalia.it</v>
      </c>
      <c r="C14254" t="s">
        <v>459</v>
      </c>
      <c r="D14254" t="s">
        <v>835</v>
      </c>
      <c r="F14254">
        <v>1.55212494097063E-8</v>
      </c>
      <c r="G14254">
        <v>3678550</v>
      </c>
      <c r="H14254">
        <v>14125139</v>
      </c>
      <c r="I14254">
        <v>2127746</v>
      </c>
      <c r="J14254">
        <v>3</v>
      </c>
    </row>
    <row r="14255" spans="1:10" x14ac:dyDescent="0.25">
      <c r="A14255" t="s">
        <v>150</v>
      </c>
      <c r="B14255" s="1" t="str">
        <f>HYPERLINK("http://agi.it","agi.it")</f>
        <v>agi.it</v>
      </c>
      <c r="C14255" t="s">
        <v>459</v>
      </c>
      <c r="D14255" t="s">
        <v>835</v>
      </c>
      <c r="E14255">
        <v>27033</v>
      </c>
      <c r="F14255">
        <v>1.5009734125425001E-6</v>
      </c>
      <c r="G14255">
        <v>26117</v>
      </c>
      <c r="H14255">
        <v>17578074</v>
      </c>
      <c r="I14255">
        <v>10372</v>
      </c>
      <c r="J14255">
        <v>3</v>
      </c>
    </row>
    <row r="14256" spans="1:10" x14ac:dyDescent="0.25">
      <c r="A14256" t="s">
        <v>150</v>
      </c>
      <c r="B14256" s="1" t="str">
        <f>HYPERLINK("http://alerion.it","alerion.it")</f>
        <v>alerion.it</v>
      </c>
      <c r="C14256" t="s">
        <v>459</v>
      </c>
      <c r="D14256" t="s">
        <v>835</v>
      </c>
      <c r="F14256">
        <v>1.35966392439101E-8</v>
      </c>
      <c r="G14256">
        <v>4363224</v>
      </c>
      <c r="H14256">
        <v>14145351</v>
      </c>
      <c r="I14256">
        <v>1900774</v>
      </c>
      <c r="J14256">
        <v>8</v>
      </c>
    </row>
    <row r="14257" spans="1:10" x14ac:dyDescent="0.25">
      <c r="A14257" t="s">
        <v>150</v>
      </c>
      <c r="B14257" s="1" t="str">
        <f>HYPERLINK("http://eni.it","eni.it")</f>
        <v>eni.it</v>
      </c>
      <c r="C14257" t="s">
        <v>459</v>
      </c>
      <c r="D14257" t="s">
        <v>835</v>
      </c>
      <c r="E14257">
        <v>109465</v>
      </c>
      <c r="F14257">
        <v>9.8476814275540403E-8</v>
      </c>
      <c r="G14257">
        <v>409507</v>
      </c>
      <c r="H14257">
        <v>15056018</v>
      </c>
      <c r="I14257">
        <v>413523</v>
      </c>
      <c r="J14257">
        <v>2</v>
      </c>
    </row>
    <row r="14258" spans="1:10" x14ac:dyDescent="0.25">
      <c r="A14258" t="s">
        <v>150</v>
      </c>
      <c r="B14258" s="1" t="str">
        <f>HYPERLINK("http://enipower.it","enipower.it")</f>
        <v>enipower.it</v>
      </c>
      <c r="C14258" t="s">
        <v>459</v>
      </c>
      <c r="D14258" t="s">
        <v>835</v>
      </c>
      <c r="F14258">
        <v>4.8080738062609403E-9</v>
      </c>
      <c r="G14258">
        <v>35771682</v>
      </c>
      <c r="H14258">
        <v>10739729</v>
      </c>
      <c r="I14258">
        <v>40444152</v>
      </c>
      <c r="J14258">
        <v>3</v>
      </c>
    </row>
    <row r="14259" spans="1:10" x14ac:dyDescent="0.25">
      <c r="A14259" t="s">
        <v>150</v>
      </c>
      <c r="B14259" s="1" t="str">
        <f>HYPERLINK("http://enirewind.it","enirewind.it")</f>
        <v>enirewind.it</v>
      </c>
      <c r="C14259" t="s">
        <v>459</v>
      </c>
      <c r="D14259" t="s">
        <v>835</v>
      </c>
      <c r="F14259">
        <v>4.9163486943717898E-9</v>
      </c>
      <c r="G14259">
        <v>31913760</v>
      </c>
      <c r="H14259">
        <v>14071789</v>
      </c>
      <c r="I14259">
        <v>3654618</v>
      </c>
      <c r="J14259">
        <v>3</v>
      </c>
    </row>
    <row r="14260" spans="1:10" x14ac:dyDescent="0.25">
      <c r="A14260" t="s">
        <v>150</v>
      </c>
      <c r="B14260" s="1" t="str">
        <f>HYPERLINK("http://finproject.it","finproject.it")</f>
        <v>finproject.it</v>
      </c>
      <c r="C14260" t="s">
        <v>459</v>
      </c>
      <c r="D14260" t="s">
        <v>835</v>
      </c>
      <c r="J14260">
        <v>4</v>
      </c>
    </row>
    <row r="14261" spans="1:10" x14ac:dyDescent="0.25">
      <c r="A14261" t="s">
        <v>150</v>
      </c>
      <c r="B14261" s="1" t="str">
        <f>HYPERLINK("http://fraliry.it","fraliry.it")</f>
        <v>fraliry.it</v>
      </c>
      <c r="C14261" t="s">
        <v>459</v>
      </c>
      <c r="D14261" t="s">
        <v>835</v>
      </c>
      <c r="J14261">
        <v>3</v>
      </c>
    </row>
    <row r="14262" spans="1:10" x14ac:dyDescent="0.25">
      <c r="A14262" t="s">
        <v>150</v>
      </c>
      <c r="B14262" s="1" t="str">
        <f>HYPERLINK("http://fri-el.it","fri-el.it")</f>
        <v>fri-el.it</v>
      </c>
      <c r="C14262" t="s">
        <v>459</v>
      </c>
      <c r="D14262" t="s">
        <v>835</v>
      </c>
      <c r="F14262">
        <v>1.12815057959804E-8</v>
      </c>
      <c r="G14262">
        <v>5655433</v>
      </c>
      <c r="H14262">
        <v>12516015</v>
      </c>
      <c r="I14262">
        <v>17185977</v>
      </c>
      <c r="J14262">
        <v>7</v>
      </c>
    </row>
    <row r="14263" spans="1:10" x14ac:dyDescent="0.25">
      <c r="A14263" t="s">
        <v>150</v>
      </c>
      <c r="B14263" s="1" t="str">
        <f>HYPERLINK("http://frigoristoshop.it","frigoristoshop.it")</f>
        <v>frigoristoshop.it</v>
      </c>
      <c r="C14263" t="s">
        <v>459</v>
      </c>
      <c r="D14263" t="s">
        <v>835</v>
      </c>
      <c r="J14263">
        <v>3</v>
      </c>
    </row>
    <row r="14264" spans="1:10" x14ac:dyDescent="0.25">
      <c r="A14264" t="s">
        <v>150</v>
      </c>
      <c r="B14264" s="1" t="str">
        <f>HYPERLINK("http://pltenergia.it","pltenergia.it")</f>
        <v>pltenergia.it</v>
      </c>
      <c r="C14264" t="s">
        <v>459</v>
      </c>
      <c r="D14264" t="s">
        <v>835</v>
      </c>
      <c r="F14264">
        <v>3.4047187468904599E-8</v>
      </c>
      <c r="G14264">
        <v>1521201</v>
      </c>
      <c r="H14264">
        <v>13536667</v>
      </c>
      <c r="I14264">
        <v>9911888</v>
      </c>
      <c r="J14264">
        <v>5</v>
      </c>
    </row>
    <row r="14265" spans="1:10" x14ac:dyDescent="0.25">
      <c r="A14265" t="s">
        <v>150</v>
      </c>
      <c r="B14265" s="1" t="str">
        <f>HYPERLINK("http://polimerieuropa.it","polimerieuropa.it")</f>
        <v>polimerieuropa.it</v>
      </c>
      <c r="C14265" t="s">
        <v>459</v>
      </c>
      <c r="D14265" t="s">
        <v>835</v>
      </c>
      <c r="F14265">
        <v>4.4504566726758704E-9</v>
      </c>
      <c r="G14265">
        <v>71678587</v>
      </c>
      <c r="H14265">
        <v>9974416</v>
      </c>
      <c r="I14265">
        <v>61023734</v>
      </c>
      <c r="J14265">
        <v>3</v>
      </c>
    </row>
    <row r="14266" spans="1:10" x14ac:dyDescent="0.25">
      <c r="A14266" t="s">
        <v>150</v>
      </c>
      <c r="B14266" s="1" t="str">
        <f>HYPERLINK("http://varenergi.no","varenergi.no")</f>
        <v>varenergi.no</v>
      </c>
      <c r="C14266" t="s">
        <v>478</v>
      </c>
      <c r="D14266" t="s">
        <v>853</v>
      </c>
      <c r="F14266">
        <v>1.01151754496144E-7</v>
      </c>
      <c r="G14266">
        <v>397491</v>
      </c>
      <c r="H14266">
        <v>13460911</v>
      </c>
      <c r="I14266">
        <v>10164953</v>
      </c>
      <c r="J14266">
        <v>3</v>
      </c>
    </row>
    <row r="14267" spans="1:10" x14ac:dyDescent="0.25">
      <c r="A14267" t="s">
        <v>150</v>
      </c>
      <c r="B14267" s="1" t="str">
        <f>HYPERLINK("http://adriaplin.si","adriaplin.si")</f>
        <v>adriaplin.si</v>
      </c>
      <c r="C14267" t="s">
        <v>497</v>
      </c>
      <c r="D14267" t="s">
        <v>871</v>
      </c>
      <c r="F14267">
        <v>1.8681074176424801E-8</v>
      </c>
      <c r="G14267">
        <v>2892682</v>
      </c>
      <c r="H14267">
        <v>12331235</v>
      </c>
      <c r="I14267">
        <v>20183571</v>
      </c>
      <c r="J14267">
        <v>4</v>
      </c>
    </row>
    <row r="14268" spans="1:10" x14ac:dyDescent="0.25">
      <c r="A14268" t="s">
        <v>150</v>
      </c>
      <c r="B14268" s="1" t="str">
        <f>HYPERLINK("http://burren.co.uk","burren.co.uk")</f>
        <v>burren.co.uk</v>
      </c>
      <c r="C14268" t="s">
        <v>506</v>
      </c>
      <c r="D14268" t="s">
        <v>880</v>
      </c>
      <c r="F14268">
        <v>4.5331886641576699E-9</v>
      </c>
      <c r="G14268">
        <v>54714902</v>
      </c>
      <c r="H14268">
        <v>11100645</v>
      </c>
      <c r="I14268">
        <v>32262955</v>
      </c>
      <c r="J14268">
        <v>6</v>
      </c>
    </row>
    <row r="14269" spans="1:10" x14ac:dyDescent="0.25">
      <c r="A14269" t="s">
        <v>150</v>
      </c>
      <c r="B14269" s="1" t="str">
        <f>HYPERLINK("http://eniukgas.co.uk","eniukgas.co.uk")</f>
        <v>eniukgas.co.uk</v>
      </c>
      <c r="C14269" t="s">
        <v>506</v>
      </c>
      <c r="D14269" t="s">
        <v>880</v>
      </c>
      <c r="F14269">
        <v>4.4469849890267703E-9</v>
      </c>
      <c r="G14269">
        <v>73860019</v>
      </c>
      <c r="H14269">
        <v>9632147</v>
      </c>
      <c r="I14269">
        <v>64063464</v>
      </c>
      <c r="J14269">
        <v>4</v>
      </c>
    </row>
    <row r="14270" spans="1:10" x14ac:dyDescent="0.25">
      <c r="A14270" t="s">
        <v>1616</v>
      </c>
      <c r="B14270" s="1" t="str">
        <f>HYPERLINK("http://enphase.com","enphase.com")</f>
        <v>enphase.com</v>
      </c>
      <c r="C14270" t="s">
        <v>433</v>
      </c>
      <c r="E14270">
        <v>69579</v>
      </c>
      <c r="F14270">
        <v>6.3052006282171299E-7</v>
      </c>
      <c r="G14270">
        <v>60847</v>
      </c>
      <c r="H14270">
        <v>17205570</v>
      </c>
      <c r="I14270">
        <v>40785</v>
      </c>
      <c r="J14270">
        <v>1</v>
      </c>
    </row>
    <row r="14271" spans="1:10" x14ac:dyDescent="0.25">
      <c r="A14271" t="s">
        <v>1616</v>
      </c>
      <c r="B14271" s="1" t="str">
        <f>HYPERLINK("http://enphaseenergy.com","enphaseenergy.com")</f>
        <v>enphaseenergy.com</v>
      </c>
      <c r="C14271" t="s">
        <v>433</v>
      </c>
      <c r="E14271">
        <v>36430</v>
      </c>
      <c r="F14271">
        <v>2.6679446546143001E-7</v>
      </c>
      <c r="G14271">
        <v>139691</v>
      </c>
      <c r="H14271">
        <v>17042938</v>
      </c>
      <c r="I14271">
        <v>78495</v>
      </c>
      <c r="J14271">
        <v>2</v>
      </c>
    </row>
    <row r="14272" spans="1:10" x14ac:dyDescent="0.25">
      <c r="A14272" t="s">
        <v>1616</v>
      </c>
      <c r="B14272" s="1" t="str">
        <f>HYPERLINK("http://greencom-networks.com","greencom-networks.com")</f>
        <v>greencom-networks.com</v>
      </c>
      <c r="C14272" t="s">
        <v>433</v>
      </c>
      <c r="F14272">
        <v>3.0782428040251199E-8</v>
      </c>
      <c r="G14272">
        <v>1673405</v>
      </c>
      <c r="H14272">
        <v>12840107</v>
      </c>
      <c r="I14272">
        <v>14353500</v>
      </c>
      <c r="J14272">
        <v>3</v>
      </c>
    </row>
    <row r="14273" spans="1:10" x14ac:dyDescent="0.25">
      <c r="A14273" t="s">
        <v>1616</v>
      </c>
      <c r="B14273" s="1" t="str">
        <f>HYPERLINK("http://enphase.fi","enphase.fi")</f>
        <v>enphase.fi</v>
      </c>
      <c r="C14273" t="s">
        <v>445</v>
      </c>
      <c r="D14273" t="s">
        <v>823</v>
      </c>
      <c r="J14273">
        <v>4</v>
      </c>
    </row>
    <row r="14274" spans="1:10" x14ac:dyDescent="0.25">
      <c r="A14274" t="s">
        <v>1616</v>
      </c>
      <c r="B14274" s="1" t="str">
        <f>HYPERLINK("http://ubinode.fr","ubinode.fr")</f>
        <v>ubinode.fr</v>
      </c>
      <c r="C14274" t="s">
        <v>446</v>
      </c>
      <c r="D14274" t="s">
        <v>824</v>
      </c>
      <c r="F14274">
        <v>4.5291134991929796E-9</v>
      </c>
      <c r="G14274">
        <v>55156390</v>
      </c>
      <c r="H14274">
        <v>10514941</v>
      </c>
      <c r="I14274">
        <v>49251766</v>
      </c>
      <c r="J14274">
        <v>6</v>
      </c>
    </row>
    <row r="14275" spans="1:10" x14ac:dyDescent="0.25">
      <c r="A14275" t="s">
        <v>1616</v>
      </c>
      <c r="B14275" s="1" t="str">
        <f>HYPERLINK("http://enphase.com.pl","enphase.com.pl")</f>
        <v>enphase.com.pl</v>
      </c>
      <c r="C14275" t="s">
        <v>486</v>
      </c>
      <c r="D14275" t="s">
        <v>860</v>
      </c>
      <c r="F14275">
        <v>5.3659125439124E-9</v>
      </c>
      <c r="G14275">
        <v>22592716</v>
      </c>
      <c r="H14275">
        <v>7947424</v>
      </c>
      <c r="I14275">
        <v>75327002</v>
      </c>
      <c r="J14275">
        <v>2</v>
      </c>
    </row>
    <row r="14276" spans="1:10" x14ac:dyDescent="0.25">
      <c r="A14276" t="s">
        <v>151</v>
      </c>
      <c r="B14276" s="1" t="str">
        <f>HYPERLINK("http://dixiepipeline.com","dixiepipeline.com")</f>
        <v>dixiepipeline.com</v>
      </c>
      <c r="C14276" t="s">
        <v>433</v>
      </c>
      <c r="F14276">
        <v>4.9214516765348703E-9</v>
      </c>
      <c r="G14276">
        <v>31642325</v>
      </c>
      <c r="H14276">
        <v>12484243</v>
      </c>
      <c r="I14276">
        <v>17558309</v>
      </c>
      <c r="J14276">
        <v>3</v>
      </c>
    </row>
    <row r="14277" spans="1:10" x14ac:dyDescent="0.25">
      <c r="A14277" t="s">
        <v>151</v>
      </c>
      <c r="B14277" s="1" t="str">
        <f>HYPERLINK("http://enterpriseproducts.com","enterpriseproducts.com")</f>
        <v>enterpriseproducts.com</v>
      </c>
      <c r="C14277" t="s">
        <v>433</v>
      </c>
      <c r="E14277">
        <v>338807</v>
      </c>
      <c r="F14277">
        <v>1.98758263265744E-7</v>
      </c>
      <c r="G14277">
        <v>192580</v>
      </c>
      <c r="H14277">
        <v>14322298</v>
      </c>
      <c r="I14277">
        <v>1330198</v>
      </c>
      <c r="J14277">
        <v>1</v>
      </c>
    </row>
    <row r="14278" spans="1:10" x14ac:dyDescent="0.25">
      <c r="A14278" t="s">
        <v>151</v>
      </c>
      <c r="B14278" s="1" t="str">
        <f>HYPERLINK("http://eprod.com","eprod.com")</f>
        <v>eprod.com</v>
      </c>
      <c r="C14278" t="s">
        <v>433</v>
      </c>
      <c r="E14278">
        <v>70513</v>
      </c>
      <c r="F14278">
        <v>8.2574227162783998E-9</v>
      </c>
      <c r="G14278">
        <v>9359086</v>
      </c>
      <c r="H14278">
        <v>14077852</v>
      </c>
      <c r="I14278">
        <v>2857569</v>
      </c>
      <c r="J14278">
        <v>3</v>
      </c>
    </row>
    <row r="14279" spans="1:10" x14ac:dyDescent="0.25">
      <c r="A14279" t="s">
        <v>151</v>
      </c>
      <c r="B14279" s="1" t="str">
        <f>HYPERLINK("http://navitas-midstream.com","navitas-midstream.com")</f>
        <v>navitas-midstream.com</v>
      </c>
      <c r="C14279" t="s">
        <v>433</v>
      </c>
      <c r="F14279">
        <v>1.31361819992098E-8</v>
      </c>
      <c r="G14279">
        <v>4567344</v>
      </c>
      <c r="H14279">
        <v>13618810</v>
      </c>
      <c r="I14279">
        <v>9627286</v>
      </c>
      <c r="J14279">
        <v>3</v>
      </c>
    </row>
    <row r="14280" spans="1:10" x14ac:dyDescent="0.25">
      <c r="A14280" t="s">
        <v>151</v>
      </c>
      <c r="B14280" s="1" t="str">
        <f>HYPERLINK("http://transport4.com","transport4.com")</f>
        <v>transport4.com</v>
      </c>
      <c r="C14280" t="s">
        <v>433</v>
      </c>
      <c r="E14280">
        <v>538012</v>
      </c>
      <c r="F14280">
        <v>7.7758920579082494E-9</v>
      </c>
      <c r="G14280">
        <v>10378015</v>
      </c>
      <c r="H14280">
        <v>12228984</v>
      </c>
      <c r="I14280">
        <v>22532170</v>
      </c>
      <c r="J14280">
        <v>4</v>
      </c>
    </row>
    <row r="14281" spans="1:10" x14ac:dyDescent="0.25">
      <c r="A14281" t="s">
        <v>152</v>
      </c>
      <c r="B14281" s="1" t="str">
        <f>HYPERLINK("http://metronode.com.au","metronode.com.au")</f>
        <v>metronode.com.au</v>
      </c>
      <c r="C14281" t="s">
        <v>420</v>
      </c>
      <c r="D14281" t="s">
        <v>802</v>
      </c>
      <c r="F14281">
        <v>6.2598727099827203E-9</v>
      </c>
      <c r="G14281">
        <v>15226250</v>
      </c>
      <c r="H14281">
        <v>12706234</v>
      </c>
      <c r="I14281">
        <v>15322174</v>
      </c>
      <c r="J14281">
        <v>3</v>
      </c>
    </row>
    <row r="14282" spans="1:10" x14ac:dyDescent="0.25">
      <c r="A14282" t="s">
        <v>152</v>
      </c>
      <c r="B14282" s="1" t="str">
        <f>HYPERLINK("http://alog.com.br","alog.com.br")</f>
        <v>alog.com.br</v>
      </c>
      <c r="C14282" t="s">
        <v>425</v>
      </c>
      <c r="D14282" t="s">
        <v>806</v>
      </c>
      <c r="E14282">
        <v>154720</v>
      </c>
      <c r="F14282">
        <v>2.1518094906203299E-8</v>
      </c>
      <c r="G14282">
        <v>2446876</v>
      </c>
      <c r="H14282">
        <v>12766763</v>
      </c>
      <c r="I14282">
        <v>14868989</v>
      </c>
      <c r="J14282">
        <v>3</v>
      </c>
    </row>
    <row r="14283" spans="1:10" x14ac:dyDescent="0.25">
      <c r="A14283" t="s">
        <v>152</v>
      </c>
      <c r="B14283" s="1" t="str">
        <f>HYPERLINK("http://equinix.com.br","equinix.com.br")</f>
        <v>equinix.com.br</v>
      </c>
      <c r="C14283" t="s">
        <v>425</v>
      </c>
      <c r="D14283" t="s">
        <v>806</v>
      </c>
      <c r="F14283">
        <v>1.1483001024725E-7</v>
      </c>
      <c r="G14283">
        <v>346700</v>
      </c>
      <c r="H14283">
        <v>14088721</v>
      </c>
      <c r="I14283">
        <v>2757129</v>
      </c>
      <c r="J14283">
        <v>6</v>
      </c>
    </row>
    <row r="14284" spans="1:10" x14ac:dyDescent="0.25">
      <c r="A14284" t="s">
        <v>152</v>
      </c>
      <c r="B14284" s="1" t="str">
        <f>HYPERLINK("http://equinix.com","equinix.com")</f>
        <v>equinix.com</v>
      </c>
      <c r="C14284" t="s">
        <v>433</v>
      </c>
      <c r="E14284">
        <v>24553</v>
      </c>
      <c r="F14284">
        <v>4.3238737459509403E-6</v>
      </c>
      <c r="G14284">
        <v>8222</v>
      </c>
      <c r="H14284">
        <v>17785852</v>
      </c>
      <c r="I14284">
        <v>5803</v>
      </c>
      <c r="J14284">
        <v>1</v>
      </c>
    </row>
    <row r="14285" spans="1:10" x14ac:dyDescent="0.25">
      <c r="A14285" t="s">
        <v>152</v>
      </c>
      <c r="B14285" s="1" t="str">
        <f>HYPERLINK("http://itconic.com","itconic.com")</f>
        <v>itconic.com</v>
      </c>
      <c r="C14285" t="s">
        <v>433</v>
      </c>
      <c r="F14285">
        <v>1.2040851107568E-8</v>
      </c>
      <c r="G14285">
        <v>5149823</v>
      </c>
      <c r="H14285">
        <v>13004478</v>
      </c>
      <c r="I14285">
        <v>12774786</v>
      </c>
      <c r="J14285">
        <v>4</v>
      </c>
    </row>
    <row r="14286" spans="1:10" x14ac:dyDescent="0.25">
      <c r="A14286" t="s">
        <v>152</v>
      </c>
      <c r="B14286" s="1" t="str">
        <f>HYPERLINK("http://nimbo.com","nimbo.com")</f>
        <v>nimbo.com</v>
      </c>
      <c r="C14286" t="s">
        <v>433</v>
      </c>
      <c r="F14286">
        <v>4.5983398986590701E-8</v>
      </c>
      <c r="G14286">
        <v>1021007</v>
      </c>
      <c r="H14286">
        <v>14300558</v>
      </c>
      <c r="I14286">
        <v>1356091</v>
      </c>
      <c r="J14286">
        <v>4</v>
      </c>
    </row>
    <row r="14287" spans="1:10" x14ac:dyDescent="0.25">
      <c r="A14287" t="s">
        <v>152</v>
      </c>
      <c r="B14287" s="1" t="str">
        <f>HYPERLINK("http://switchanddata.com","switchanddata.com")</f>
        <v>switchanddata.com</v>
      </c>
      <c r="C14287" t="s">
        <v>433</v>
      </c>
      <c r="F14287">
        <v>1.33313470603452E-8</v>
      </c>
      <c r="G14287">
        <v>4479794</v>
      </c>
      <c r="H14287">
        <v>13792275</v>
      </c>
      <c r="I14287">
        <v>6330919</v>
      </c>
      <c r="J14287">
        <v>3</v>
      </c>
    </row>
    <row r="14288" spans="1:10" x14ac:dyDescent="0.25">
      <c r="A14288" t="s">
        <v>152</v>
      </c>
      <c r="B14288" s="1" t="str">
        <f>HYPERLINK("http://telecitygroup.com","telecitygroup.com")</f>
        <v>telecitygroup.com</v>
      </c>
      <c r="C14288" t="s">
        <v>433</v>
      </c>
      <c r="F14288">
        <v>5.6650578430258499E-8</v>
      </c>
      <c r="G14288">
        <v>789049</v>
      </c>
      <c r="H14288">
        <v>13920353</v>
      </c>
      <c r="I14288">
        <v>5934909</v>
      </c>
      <c r="J14288">
        <v>4</v>
      </c>
    </row>
    <row r="14289" spans="1:10" x14ac:dyDescent="0.25">
      <c r="A14289" t="s">
        <v>152</v>
      </c>
      <c r="B14289" s="1" t="str">
        <f>HYPERLINK("http://equinix.de","equinix.de")</f>
        <v>equinix.de</v>
      </c>
      <c r="C14289" t="s">
        <v>436</v>
      </c>
      <c r="D14289" t="s">
        <v>815</v>
      </c>
      <c r="F14289">
        <v>2.2083677142602199E-7</v>
      </c>
      <c r="G14289">
        <v>170689</v>
      </c>
      <c r="H14289">
        <v>14403991</v>
      </c>
      <c r="I14289">
        <v>1150611</v>
      </c>
      <c r="J14289">
        <v>3</v>
      </c>
    </row>
    <row r="14290" spans="1:10" x14ac:dyDescent="0.25">
      <c r="A14290" t="s">
        <v>152</v>
      </c>
      <c r="B14290" s="1" t="str">
        <f>HYPERLINK("http://7melons.fi","7melons.fi")</f>
        <v>7melons.fi</v>
      </c>
      <c r="C14290" t="s">
        <v>445</v>
      </c>
      <c r="D14290" t="s">
        <v>823</v>
      </c>
      <c r="J14290">
        <v>7</v>
      </c>
    </row>
    <row r="14291" spans="1:10" x14ac:dyDescent="0.25">
      <c r="A14291" t="s">
        <v>152</v>
      </c>
      <c r="B14291" s="1" t="str">
        <f>HYPERLINK("http://academica.fi","academica.fi")</f>
        <v>academica.fi</v>
      </c>
      <c r="C14291" t="s">
        <v>445</v>
      </c>
      <c r="D14291" t="s">
        <v>823</v>
      </c>
      <c r="E14291">
        <v>315940</v>
      </c>
      <c r="F14291">
        <v>1.37916263127948E-8</v>
      </c>
      <c r="G14291">
        <v>4284952</v>
      </c>
      <c r="H14291">
        <v>13948428</v>
      </c>
      <c r="I14291">
        <v>4195193</v>
      </c>
      <c r="J14291">
        <v>3</v>
      </c>
    </row>
    <row r="14292" spans="1:10" x14ac:dyDescent="0.25">
      <c r="A14292" t="s">
        <v>152</v>
      </c>
      <c r="B14292" s="1" t="str">
        <f>HYPERLINK("http://arcmont.fi","arcmont.fi")</f>
        <v>arcmont.fi</v>
      </c>
      <c r="C14292" t="s">
        <v>445</v>
      </c>
      <c r="D14292" t="s">
        <v>823</v>
      </c>
      <c r="J14292">
        <v>5</v>
      </c>
    </row>
    <row r="14293" spans="1:10" x14ac:dyDescent="0.25">
      <c r="A14293" t="s">
        <v>152</v>
      </c>
      <c r="B14293" s="1" t="str">
        <f>HYPERLINK("http://bidvest.fi","bidvest.fi")</f>
        <v>bidvest.fi</v>
      </c>
      <c r="C14293" t="s">
        <v>445</v>
      </c>
      <c r="D14293" t="s">
        <v>823</v>
      </c>
      <c r="J14293">
        <v>7</v>
      </c>
    </row>
    <row r="14294" spans="1:10" x14ac:dyDescent="0.25">
      <c r="A14294" t="s">
        <v>152</v>
      </c>
      <c r="B14294" s="1" t="str">
        <f>HYPERLINK("http://biotronik.fi","biotronik.fi")</f>
        <v>biotronik.fi</v>
      </c>
      <c r="C14294" t="s">
        <v>445</v>
      </c>
      <c r="D14294" t="s">
        <v>823</v>
      </c>
      <c r="J14294">
        <v>2</v>
      </c>
    </row>
    <row r="14295" spans="1:10" x14ac:dyDescent="0.25">
      <c r="A14295" t="s">
        <v>152</v>
      </c>
      <c r="B14295" s="1" t="str">
        <f>HYPERLINK("http://casino-online.fi","casino-online.fi")</f>
        <v>casino-online.fi</v>
      </c>
      <c r="C14295" t="s">
        <v>445</v>
      </c>
      <c r="D14295" t="s">
        <v>823</v>
      </c>
      <c r="F14295">
        <v>1.2040298279711101E-8</v>
      </c>
      <c r="G14295">
        <v>5150154</v>
      </c>
      <c r="H14295">
        <v>10881504</v>
      </c>
      <c r="I14295">
        <v>36309874</v>
      </c>
      <c r="J14295">
        <v>7</v>
      </c>
    </row>
    <row r="14296" spans="1:10" x14ac:dyDescent="0.25">
      <c r="A14296" t="s">
        <v>152</v>
      </c>
      <c r="B14296" s="1" t="str">
        <f>HYPERLINK("http://cubicle.fi","cubicle.fi")</f>
        <v>cubicle.fi</v>
      </c>
      <c r="C14296" t="s">
        <v>445</v>
      </c>
      <c r="D14296" t="s">
        <v>823</v>
      </c>
      <c r="F14296">
        <v>6.3618445671268699E-9</v>
      </c>
      <c r="G14296">
        <v>14704489</v>
      </c>
      <c r="H14296">
        <v>13763668</v>
      </c>
      <c r="I14296">
        <v>7841480</v>
      </c>
      <c r="J14296">
        <v>4</v>
      </c>
    </row>
    <row r="14297" spans="1:10" x14ac:dyDescent="0.25">
      <c r="A14297" t="s">
        <v>152</v>
      </c>
      <c r="B14297" s="1" t="str">
        <f>HYPERLINK("http://desertdollar.fi","desertdollar.fi")</f>
        <v>desertdollar.fi</v>
      </c>
      <c r="C14297" t="s">
        <v>445</v>
      </c>
      <c r="D14297" t="s">
        <v>823</v>
      </c>
      <c r="J14297">
        <v>7</v>
      </c>
    </row>
    <row r="14298" spans="1:10" x14ac:dyDescent="0.25">
      <c r="A14298" t="s">
        <v>152</v>
      </c>
      <c r="B14298" s="1" t="str">
        <f>HYPERLINK("http://eqms.fi","eqms.fi")</f>
        <v>eqms.fi</v>
      </c>
      <c r="C14298" t="s">
        <v>445</v>
      </c>
      <c r="D14298" t="s">
        <v>823</v>
      </c>
      <c r="J14298">
        <v>2</v>
      </c>
    </row>
    <row r="14299" spans="1:10" x14ac:dyDescent="0.25">
      <c r="A14299" t="s">
        <v>152</v>
      </c>
      <c r="B14299" s="1" t="str">
        <f>HYPERLINK("http://equinix.fi","equinix.fi")</f>
        <v>equinix.fi</v>
      </c>
      <c r="C14299" t="s">
        <v>445</v>
      </c>
      <c r="D14299" t="s">
        <v>823</v>
      </c>
      <c r="F14299">
        <v>3.6451769166250198E-8</v>
      </c>
      <c r="G14299">
        <v>1432150</v>
      </c>
      <c r="H14299">
        <v>13114679</v>
      </c>
      <c r="I14299">
        <v>12018561</v>
      </c>
      <c r="J14299">
        <v>3</v>
      </c>
    </row>
    <row r="14300" spans="1:10" x14ac:dyDescent="0.25">
      <c r="A14300" t="s">
        <v>152</v>
      </c>
      <c r="B14300" s="1" t="str">
        <f>HYPERLINK("http://fbtkarhut.fi","fbtkarhut.fi")</f>
        <v>fbtkarhut.fi</v>
      </c>
      <c r="C14300" t="s">
        <v>445</v>
      </c>
      <c r="D14300" t="s">
        <v>823</v>
      </c>
      <c r="F14300">
        <v>7.9011736953742603E-9</v>
      </c>
      <c r="G14300">
        <v>10109255</v>
      </c>
      <c r="H14300">
        <v>14077325</v>
      </c>
      <c r="I14300">
        <v>2868837</v>
      </c>
      <c r="J14300">
        <v>4</v>
      </c>
    </row>
    <row r="14301" spans="1:10" x14ac:dyDescent="0.25">
      <c r="A14301" t="s">
        <v>152</v>
      </c>
      <c r="B14301" s="1" t="str">
        <f>HYPERLINK("http://fortunelounge.fi","fortunelounge.fi")</f>
        <v>fortunelounge.fi</v>
      </c>
      <c r="C14301" t="s">
        <v>445</v>
      </c>
      <c r="D14301" t="s">
        <v>823</v>
      </c>
      <c r="J14301">
        <v>7</v>
      </c>
    </row>
    <row r="14302" spans="1:10" x14ac:dyDescent="0.25">
      <c r="A14302" t="s">
        <v>152</v>
      </c>
      <c r="B14302" s="1" t="str">
        <f>HYPERLINK("http://inteliquent.fi","inteliquent.fi")</f>
        <v>inteliquent.fi</v>
      </c>
      <c r="C14302" t="s">
        <v>445</v>
      </c>
      <c r="D14302" t="s">
        <v>823</v>
      </c>
      <c r="J14302">
        <v>7</v>
      </c>
    </row>
    <row r="14303" spans="1:10" x14ac:dyDescent="0.25">
      <c r="A14303" t="s">
        <v>152</v>
      </c>
      <c r="B14303" s="1" t="str">
        <f>HYPERLINK("http://platinumplay.fi","platinumplay.fi")</f>
        <v>platinumplay.fi</v>
      </c>
      <c r="C14303" t="s">
        <v>445</v>
      </c>
      <c r="D14303" t="s">
        <v>823</v>
      </c>
      <c r="J14303">
        <v>7</v>
      </c>
    </row>
    <row r="14304" spans="1:10" x14ac:dyDescent="0.25">
      <c r="A14304" t="s">
        <v>152</v>
      </c>
      <c r="B14304" s="1" t="str">
        <f>HYPERLINK("http://recoverycloud.fi","recoverycloud.fi")</f>
        <v>recoverycloud.fi</v>
      </c>
      <c r="C14304" t="s">
        <v>445</v>
      </c>
      <c r="D14304" t="s">
        <v>823</v>
      </c>
      <c r="J14304">
        <v>2</v>
      </c>
    </row>
    <row r="14305" spans="1:10" x14ac:dyDescent="0.25">
      <c r="A14305" t="s">
        <v>152</v>
      </c>
      <c r="B14305" s="1" t="str">
        <f>HYPERLINK("http://remote.fi","remote.fi")</f>
        <v>remote.fi</v>
      </c>
      <c r="C14305" t="s">
        <v>445</v>
      </c>
      <c r="D14305" t="s">
        <v>823</v>
      </c>
      <c r="J14305">
        <v>4</v>
      </c>
    </row>
    <row r="14306" spans="1:10" x14ac:dyDescent="0.25">
      <c r="A14306" t="s">
        <v>152</v>
      </c>
      <c r="B14306" s="1" t="str">
        <f>HYPERLINK("http://royalvegas.fi","royalvegas.fi")</f>
        <v>royalvegas.fi</v>
      </c>
      <c r="C14306" t="s">
        <v>445</v>
      </c>
      <c r="D14306" t="s">
        <v>823</v>
      </c>
      <c r="J14306">
        <v>7</v>
      </c>
    </row>
    <row r="14307" spans="1:10" x14ac:dyDescent="0.25">
      <c r="A14307" t="s">
        <v>152</v>
      </c>
      <c r="B14307" s="1" t="str">
        <f>HYPERLINK("http://stanbic.fi","stanbic.fi")</f>
        <v>stanbic.fi</v>
      </c>
      <c r="C14307" t="s">
        <v>445</v>
      </c>
      <c r="D14307" t="s">
        <v>823</v>
      </c>
      <c r="J14307">
        <v>5</v>
      </c>
    </row>
    <row r="14308" spans="1:10" x14ac:dyDescent="0.25">
      <c r="A14308" t="s">
        <v>152</v>
      </c>
      <c r="B14308" s="1" t="str">
        <f>HYPERLINK("http://telecitygroup.fi","telecitygroup.fi")</f>
        <v>telecitygroup.fi</v>
      </c>
      <c r="C14308" t="s">
        <v>445</v>
      </c>
      <c r="D14308" t="s">
        <v>823</v>
      </c>
      <c r="F14308">
        <v>4.75958670879963E-9</v>
      </c>
      <c r="G14308">
        <v>37843756</v>
      </c>
      <c r="H14308">
        <v>12545466</v>
      </c>
      <c r="I14308">
        <v>16868251</v>
      </c>
      <c r="J14308">
        <v>3</v>
      </c>
    </row>
    <row r="14309" spans="1:10" x14ac:dyDescent="0.25">
      <c r="A14309" t="s">
        <v>152</v>
      </c>
      <c r="B14309" s="1" t="str">
        <f>HYPERLINK("http://vcloud.fi","vcloud.fi")</f>
        <v>vcloud.fi</v>
      </c>
      <c r="C14309" t="s">
        <v>445</v>
      </c>
      <c r="D14309" t="s">
        <v>823</v>
      </c>
      <c r="E14309">
        <v>150411</v>
      </c>
      <c r="F14309">
        <v>4.4438425958010404E-9</v>
      </c>
      <c r="G14309">
        <v>78712329</v>
      </c>
      <c r="H14309">
        <v>10535755</v>
      </c>
      <c r="I14309">
        <v>47614998</v>
      </c>
      <c r="J14309">
        <v>2</v>
      </c>
    </row>
    <row r="14310" spans="1:10" x14ac:dyDescent="0.25">
      <c r="A14310" t="s">
        <v>152</v>
      </c>
      <c r="B14310" s="1" t="str">
        <f>HYPERLINK("http://vegaspalms.fi","vegaspalms.fi")</f>
        <v>vegaspalms.fi</v>
      </c>
      <c r="C14310" t="s">
        <v>445</v>
      </c>
      <c r="D14310" t="s">
        <v>823</v>
      </c>
      <c r="J14310">
        <v>7</v>
      </c>
    </row>
    <row r="14311" spans="1:10" x14ac:dyDescent="0.25">
      <c r="A14311" t="s">
        <v>152</v>
      </c>
      <c r="B14311" s="1" t="str">
        <f>HYPERLINK("http://equinix.hk","equinix.hk")</f>
        <v>equinix.hk</v>
      </c>
      <c r="C14311" t="s">
        <v>450</v>
      </c>
      <c r="D14311" t="s">
        <v>827</v>
      </c>
      <c r="F14311">
        <v>2.5798606150877001E-8</v>
      </c>
      <c r="G14311">
        <v>1997974</v>
      </c>
      <c r="H14311">
        <v>13265649</v>
      </c>
      <c r="I14311">
        <v>11009286</v>
      </c>
      <c r="J14311">
        <v>2</v>
      </c>
    </row>
    <row r="14312" spans="1:10" x14ac:dyDescent="0.25">
      <c r="A14312" t="s">
        <v>152</v>
      </c>
      <c r="B14312" s="1" t="str">
        <f>HYPERLINK("http://telecity.ie","telecity.ie")</f>
        <v>telecity.ie</v>
      </c>
      <c r="C14312" t="s">
        <v>455</v>
      </c>
      <c r="D14312" t="s">
        <v>832</v>
      </c>
      <c r="F14312">
        <v>6.15083562662003E-9</v>
      </c>
      <c r="G14312">
        <v>15797320</v>
      </c>
      <c r="H14312">
        <v>13427702</v>
      </c>
      <c r="I14312">
        <v>10289375</v>
      </c>
      <c r="J14312">
        <v>3</v>
      </c>
    </row>
    <row r="14313" spans="1:10" x14ac:dyDescent="0.25">
      <c r="A14313" t="s">
        <v>152</v>
      </c>
      <c r="B14313" s="1" t="str">
        <f>HYPERLINK("http://equinix.co.jp","equinix.co.jp")</f>
        <v>equinix.co.jp</v>
      </c>
      <c r="C14313" t="s">
        <v>461</v>
      </c>
      <c r="D14313" t="s">
        <v>837</v>
      </c>
      <c r="F14313">
        <v>4.3559809453690603E-8</v>
      </c>
      <c r="G14313">
        <v>1097180</v>
      </c>
      <c r="H14313">
        <v>14127127</v>
      </c>
      <c r="I14313">
        <v>2088449</v>
      </c>
      <c r="J14313">
        <v>2</v>
      </c>
    </row>
    <row r="14314" spans="1:10" x14ac:dyDescent="0.25">
      <c r="A14314" t="s">
        <v>152</v>
      </c>
      <c r="B14314" s="1" t="str">
        <f>HYPERLINK("http://equinix.nl","equinix.nl")</f>
        <v>equinix.nl</v>
      </c>
      <c r="C14314" t="s">
        <v>477</v>
      </c>
      <c r="D14314" t="s">
        <v>852</v>
      </c>
      <c r="F14314">
        <v>1.7073013700096899E-7</v>
      </c>
      <c r="G14314">
        <v>227225</v>
      </c>
      <c r="H14314">
        <v>13731991</v>
      </c>
      <c r="I14314">
        <v>9456728</v>
      </c>
      <c r="J14314">
        <v>3</v>
      </c>
    </row>
    <row r="14315" spans="1:10" x14ac:dyDescent="0.25">
      <c r="A14315" t="s">
        <v>152</v>
      </c>
      <c r="B14315" s="1" t="str">
        <f>HYPERLINK("http://equinix.se","equinix.se")</f>
        <v>equinix.se</v>
      </c>
      <c r="C14315" t="s">
        <v>495</v>
      </c>
      <c r="D14315" t="s">
        <v>869</v>
      </c>
      <c r="F14315">
        <v>5.4315694773405399E-8</v>
      </c>
      <c r="G14315">
        <v>831675</v>
      </c>
      <c r="H14315">
        <v>13831362</v>
      </c>
      <c r="I14315">
        <v>6106166</v>
      </c>
      <c r="J14315">
        <v>3</v>
      </c>
    </row>
    <row r="14316" spans="1:10" x14ac:dyDescent="0.25">
      <c r="A14316" t="s">
        <v>152</v>
      </c>
      <c r="B14316" s="1" t="str">
        <f>HYPERLINK("http://equinix.sg","equinix.sg")</f>
        <v>equinix.sg</v>
      </c>
      <c r="C14316" t="s">
        <v>496</v>
      </c>
      <c r="D14316" t="s">
        <v>870</v>
      </c>
      <c r="F14316">
        <v>5.8065222607413602E-8</v>
      </c>
      <c r="G14316">
        <v>766615</v>
      </c>
      <c r="H14316">
        <v>13309560</v>
      </c>
      <c r="I14316">
        <v>10779133</v>
      </c>
      <c r="J14316">
        <v>2</v>
      </c>
    </row>
    <row r="14317" spans="1:10" x14ac:dyDescent="0.25">
      <c r="A14317" t="s">
        <v>152</v>
      </c>
      <c r="B14317" s="1" t="str">
        <f>HYPERLINK("http://equinix.co.uk","equinix.co.uk")</f>
        <v>equinix.co.uk</v>
      </c>
      <c r="C14317" t="s">
        <v>506</v>
      </c>
      <c r="D14317" t="s">
        <v>880</v>
      </c>
      <c r="E14317">
        <v>599634</v>
      </c>
      <c r="F14317">
        <v>1.68442371133182E-7</v>
      </c>
      <c r="G14317">
        <v>230328</v>
      </c>
      <c r="H14317">
        <v>13912130</v>
      </c>
      <c r="I14317">
        <v>5940862</v>
      </c>
      <c r="J14317">
        <v>4</v>
      </c>
    </row>
    <row r="14318" spans="1:10" x14ac:dyDescent="0.25">
      <c r="A14318" t="s">
        <v>153</v>
      </c>
      <c r="B14318" s="1" t="str">
        <f>HYPERLINK("http://equinor.ar","equinor.ar")</f>
        <v>equinor.ar</v>
      </c>
      <c r="C14318" t="s">
        <v>418</v>
      </c>
      <c r="D14318" t="s">
        <v>800</v>
      </c>
      <c r="F14318">
        <v>1.17836223350241E-8</v>
      </c>
      <c r="G14318">
        <v>5312322</v>
      </c>
      <c r="H14318">
        <v>13951599</v>
      </c>
      <c r="I14318">
        <v>4163625</v>
      </c>
      <c r="J14318">
        <v>2</v>
      </c>
    </row>
    <row r="14319" spans="1:10" x14ac:dyDescent="0.25">
      <c r="A14319" t="s">
        <v>153</v>
      </c>
      <c r="B14319" s="1" t="str">
        <f>HYPERLINK("http://equinor.com.br","equinor.com.br")</f>
        <v>equinor.com.br</v>
      </c>
      <c r="C14319" t="s">
        <v>425</v>
      </c>
      <c r="D14319" t="s">
        <v>806</v>
      </c>
      <c r="F14319">
        <v>1.2584521431736101E-8</v>
      </c>
      <c r="G14319">
        <v>4838671</v>
      </c>
      <c r="H14319">
        <v>12888576</v>
      </c>
      <c r="I14319">
        <v>13946451</v>
      </c>
      <c r="J14319">
        <v>2</v>
      </c>
    </row>
    <row r="14320" spans="1:10" x14ac:dyDescent="0.25">
      <c r="A14320" t="s">
        <v>153</v>
      </c>
      <c r="B14320" s="1" t="str">
        <f>HYPERLINK("http://danskecommodities.com","danskecommodities.com")</f>
        <v>danskecommodities.com</v>
      </c>
      <c r="C14320" t="s">
        <v>433</v>
      </c>
      <c r="F14320">
        <v>3.9271040840407099E-8</v>
      </c>
      <c r="G14320">
        <v>1313803</v>
      </c>
      <c r="H14320">
        <v>14127994</v>
      </c>
      <c r="I14320">
        <v>2071036</v>
      </c>
      <c r="J14320">
        <v>4</v>
      </c>
    </row>
    <row r="14321" spans="1:10" x14ac:dyDescent="0.25">
      <c r="A14321" t="s">
        <v>153</v>
      </c>
      <c r="B14321" s="1" t="str">
        <f>HYPERLINK("http://doggerbank.com","doggerbank.com")</f>
        <v>doggerbank.com</v>
      </c>
      <c r="C14321" t="s">
        <v>433</v>
      </c>
      <c r="F14321">
        <v>9.9835057177892895E-8</v>
      </c>
      <c r="G14321">
        <v>403182</v>
      </c>
      <c r="H14321">
        <v>17035644</v>
      </c>
      <c r="I14321">
        <v>81335</v>
      </c>
      <c r="J14321">
        <v>8</v>
      </c>
    </row>
    <row r="14322" spans="1:10" x14ac:dyDescent="0.25">
      <c r="A14322" t="s">
        <v>153</v>
      </c>
      <c r="B14322" s="1" t="str">
        <f>HYPERLINK("http://equinor.com","equinor.com")</f>
        <v>equinor.com</v>
      </c>
      <c r="C14322" t="s">
        <v>433</v>
      </c>
      <c r="E14322">
        <v>46537</v>
      </c>
      <c r="F14322">
        <v>1.15608644202674E-6</v>
      </c>
      <c r="G14322">
        <v>33558</v>
      </c>
      <c r="H14322">
        <v>17462392</v>
      </c>
      <c r="I14322">
        <v>15478</v>
      </c>
      <c r="J14322">
        <v>1</v>
      </c>
    </row>
    <row r="14323" spans="1:10" x14ac:dyDescent="0.25">
      <c r="A14323" t="s">
        <v>153</v>
      </c>
      <c r="B14323" s="1" t="str">
        <f>HYPERLINK("http://statoil.com","statoil.com")</f>
        <v>statoil.com</v>
      </c>
      <c r="C14323" t="s">
        <v>433</v>
      </c>
      <c r="E14323">
        <v>67155</v>
      </c>
      <c r="F14323">
        <v>4.9160696066256E-7</v>
      </c>
      <c r="G14323">
        <v>77586</v>
      </c>
      <c r="H14323">
        <v>15405164</v>
      </c>
      <c r="I14323">
        <v>379972</v>
      </c>
      <c r="J14323">
        <v>2</v>
      </c>
    </row>
    <row r="14324" spans="1:10" x14ac:dyDescent="0.25">
      <c r="A14324" t="s">
        <v>153</v>
      </c>
      <c r="B14324" s="1" t="str">
        <f>HYPERLINK("http://danskecommodities.de","danskecommodities.de")</f>
        <v>danskecommodities.de</v>
      </c>
      <c r="C14324" t="s">
        <v>436</v>
      </c>
      <c r="D14324" t="s">
        <v>815</v>
      </c>
      <c r="F14324">
        <v>4.8074995967208402E-9</v>
      </c>
      <c r="G14324">
        <v>35792922</v>
      </c>
      <c r="H14324">
        <v>10761967</v>
      </c>
      <c r="I14324">
        <v>39539676</v>
      </c>
      <c r="J14324">
        <v>4</v>
      </c>
    </row>
    <row r="14325" spans="1:10" x14ac:dyDescent="0.25">
      <c r="A14325" t="s">
        <v>153</v>
      </c>
      <c r="B14325" s="1" t="str">
        <f>HYPERLINK("http://equinor.de","equinor.de")</f>
        <v>equinor.de</v>
      </c>
      <c r="C14325" t="s">
        <v>436</v>
      </c>
      <c r="D14325" t="s">
        <v>815</v>
      </c>
      <c r="F14325">
        <v>1.9634997779066301E-8</v>
      </c>
      <c r="G14325">
        <v>2721814</v>
      </c>
      <c r="H14325">
        <v>12614893</v>
      </c>
      <c r="I14325">
        <v>16143281</v>
      </c>
      <c r="J14325">
        <v>2</v>
      </c>
    </row>
    <row r="14326" spans="1:10" x14ac:dyDescent="0.25">
      <c r="A14326" t="s">
        <v>153</v>
      </c>
      <c r="B14326" s="1" t="str">
        <f>HYPERLINK("http://statoil.dk","statoil.dk")</f>
        <v>statoil.dk</v>
      </c>
      <c r="C14326" t="s">
        <v>437</v>
      </c>
      <c r="D14326" t="s">
        <v>816</v>
      </c>
      <c r="F14326">
        <v>1.10214833179746E-8</v>
      </c>
      <c r="G14326">
        <v>5843613</v>
      </c>
      <c r="H14326">
        <v>14489129</v>
      </c>
      <c r="I14326">
        <v>925616</v>
      </c>
      <c r="J14326">
        <v>3</v>
      </c>
    </row>
    <row r="14327" spans="1:10" x14ac:dyDescent="0.25">
      <c r="A14327" t="s">
        <v>153</v>
      </c>
      <c r="B14327" s="1" t="str">
        <f>HYPERLINK("http://equinor.fi","equinor.fi")</f>
        <v>equinor.fi</v>
      </c>
      <c r="C14327" t="s">
        <v>445</v>
      </c>
      <c r="D14327" t="s">
        <v>823</v>
      </c>
      <c r="J14327">
        <v>2</v>
      </c>
    </row>
    <row r="14328" spans="1:10" x14ac:dyDescent="0.25">
      <c r="A14328" t="s">
        <v>153</v>
      </c>
      <c r="B14328" s="1" t="str">
        <f>HYPERLINK("http://h2be.fi","h2be.fi")</f>
        <v>h2be.fi</v>
      </c>
      <c r="C14328" t="s">
        <v>445</v>
      </c>
      <c r="D14328" t="s">
        <v>823</v>
      </c>
      <c r="J14328">
        <v>2</v>
      </c>
    </row>
    <row r="14329" spans="1:10" x14ac:dyDescent="0.25">
      <c r="A14329" t="s">
        <v>153</v>
      </c>
      <c r="B14329" s="1" t="str">
        <f>HYPERLINK("http://statoil.fi","statoil.fi")</f>
        <v>statoil.fi</v>
      </c>
      <c r="C14329" t="s">
        <v>445</v>
      </c>
      <c r="D14329" t="s">
        <v>823</v>
      </c>
      <c r="J14329">
        <v>2</v>
      </c>
    </row>
    <row r="14330" spans="1:10" x14ac:dyDescent="0.25">
      <c r="A14330" t="s">
        <v>153</v>
      </c>
      <c r="B14330" s="1" t="str">
        <f>HYPERLINK("http://danskecommodities.it","danskecommodities.it")</f>
        <v>danskecommodities.it</v>
      </c>
      <c r="C14330" t="s">
        <v>459</v>
      </c>
      <c r="D14330" t="s">
        <v>835</v>
      </c>
      <c r="F14330">
        <v>4.86192407507733E-9</v>
      </c>
      <c r="G14330">
        <v>33752452</v>
      </c>
      <c r="H14330">
        <v>10538687</v>
      </c>
      <c r="I14330">
        <v>47357780</v>
      </c>
      <c r="J14330">
        <v>5</v>
      </c>
    </row>
    <row r="14331" spans="1:10" x14ac:dyDescent="0.25">
      <c r="A14331" t="s">
        <v>153</v>
      </c>
      <c r="B14331" s="1" t="str">
        <f>HYPERLINK("http://equinor.jp","equinor.jp")</f>
        <v>equinor.jp</v>
      </c>
      <c r="C14331" t="s">
        <v>461</v>
      </c>
      <c r="D14331" t="s">
        <v>837</v>
      </c>
      <c r="F14331">
        <v>8.4769643874147603E-9</v>
      </c>
      <c r="G14331">
        <v>8889354</v>
      </c>
      <c r="H14331">
        <v>12248644</v>
      </c>
      <c r="I14331">
        <v>22041010</v>
      </c>
      <c r="J14331">
        <v>2</v>
      </c>
    </row>
    <row r="14332" spans="1:10" x14ac:dyDescent="0.25">
      <c r="A14332" t="s">
        <v>153</v>
      </c>
      <c r="B14332" s="1" t="str">
        <f>HYPERLINK("http://equinor.co.kr","equinor.co.kr")</f>
        <v>equinor.co.kr</v>
      </c>
      <c r="C14332" t="s">
        <v>463</v>
      </c>
      <c r="D14332" t="s">
        <v>839</v>
      </c>
      <c r="F14332">
        <v>7.58333582467386E-9</v>
      </c>
      <c r="G14332">
        <v>10830062</v>
      </c>
      <c r="H14332">
        <v>12232502</v>
      </c>
      <c r="I14332">
        <v>22436502</v>
      </c>
      <c r="J14332">
        <v>2</v>
      </c>
    </row>
    <row r="14333" spans="1:10" x14ac:dyDescent="0.25">
      <c r="A14333" t="s">
        <v>153</v>
      </c>
      <c r="B14333" s="1" t="str">
        <f>HYPERLINK("http://equinorfondene.no","equinorfondene.no")</f>
        <v>equinorfondene.no</v>
      </c>
      <c r="C14333" t="s">
        <v>478</v>
      </c>
      <c r="D14333" t="s">
        <v>853</v>
      </c>
      <c r="F14333">
        <v>8.9492029344756304E-9</v>
      </c>
      <c r="G14333">
        <v>8068391</v>
      </c>
      <c r="H14333">
        <v>12232520</v>
      </c>
      <c r="I14333">
        <v>22436190</v>
      </c>
      <c r="J14333">
        <v>4</v>
      </c>
    </row>
    <row r="14334" spans="1:10" x14ac:dyDescent="0.25">
      <c r="A14334" t="s">
        <v>153</v>
      </c>
      <c r="B14334" s="1" t="str">
        <f>HYPERLINK("http://naturkraft.no","naturkraft.no")</f>
        <v>naturkraft.no</v>
      </c>
      <c r="C14334" t="s">
        <v>478</v>
      </c>
      <c r="D14334" t="s">
        <v>853</v>
      </c>
      <c r="F14334">
        <v>5.0866169864493901E-9</v>
      </c>
      <c r="G14334">
        <v>27365645</v>
      </c>
      <c r="H14334">
        <v>14071791</v>
      </c>
      <c r="I14334">
        <v>3456374</v>
      </c>
      <c r="J14334">
        <v>3</v>
      </c>
    </row>
    <row r="14335" spans="1:10" x14ac:dyDescent="0.25">
      <c r="A14335" t="s">
        <v>153</v>
      </c>
      <c r="B14335" s="1" t="str">
        <f>HYPERLINK("http://equinor.pl","equinor.pl")</f>
        <v>equinor.pl</v>
      </c>
      <c r="C14335" t="s">
        <v>486</v>
      </c>
      <c r="D14335" t="s">
        <v>860</v>
      </c>
      <c r="F14335">
        <v>9.0012311106737499E-9</v>
      </c>
      <c r="G14335">
        <v>7989990</v>
      </c>
      <c r="H14335">
        <v>12238238</v>
      </c>
      <c r="I14335">
        <v>22303160</v>
      </c>
      <c r="J14335">
        <v>2</v>
      </c>
    </row>
    <row r="14336" spans="1:10" x14ac:dyDescent="0.25">
      <c r="A14336" t="s">
        <v>153</v>
      </c>
      <c r="B14336" s="1" t="str">
        <f>HYPERLINK("http://danskecommodities.com.tr","danskecommodities.com.tr")</f>
        <v>danskecommodities.com.tr</v>
      </c>
      <c r="C14336" t="s">
        <v>502</v>
      </c>
      <c r="D14336" t="s">
        <v>876</v>
      </c>
      <c r="J14336">
        <v>4</v>
      </c>
    </row>
    <row r="14337" spans="1:10" x14ac:dyDescent="0.25">
      <c r="A14337" t="s">
        <v>153</v>
      </c>
      <c r="B14337" s="1" t="str">
        <f>HYPERLINK("http://dudgeonoffshorewindfarmconsultation.co.uk","dudgeonoffshorewindfarmconsultation.co.uk")</f>
        <v>dudgeonoffshorewindfarmconsultation.co.uk</v>
      </c>
      <c r="C14337" t="s">
        <v>506</v>
      </c>
      <c r="D14337" t="s">
        <v>880</v>
      </c>
      <c r="J14337">
        <v>9</v>
      </c>
    </row>
    <row r="14338" spans="1:10" x14ac:dyDescent="0.25">
      <c r="A14338" t="s">
        <v>153</v>
      </c>
      <c r="B14338" s="1" t="str">
        <f>HYPERLINK("http://equinor.co.uk","equinor.co.uk")</f>
        <v>equinor.co.uk</v>
      </c>
      <c r="C14338" t="s">
        <v>506</v>
      </c>
      <c r="D14338" t="s">
        <v>880</v>
      </c>
      <c r="F14338">
        <v>1.33749762516889E-8</v>
      </c>
      <c r="G14338">
        <v>4459051</v>
      </c>
      <c r="H14338">
        <v>13181486</v>
      </c>
      <c r="I14338">
        <v>11680145</v>
      </c>
      <c r="J14338">
        <v>2</v>
      </c>
    </row>
    <row r="14339" spans="1:10" x14ac:dyDescent="0.25">
      <c r="A14339" t="s">
        <v>153</v>
      </c>
      <c r="B14339" s="1" t="str">
        <f>HYPERLINK("http://noriker.co.uk","noriker.co.uk")</f>
        <v>noriker.co.uk</v>
      </c>
      <c r="C14339" t="s">
        <v>506</v>
      </c>
      <c r="D14339" t="s">
        <v>880</v>
      </c>
      <c r="F14339">
        <v>1.52577097371805E-8</v>
      </c>
      <c r="G14339">
        <v>3758521</v>
      </c>
      <c r="H14339">
        <v>12933787</v>
      </c>
      <c r="I14339">
        <v>13349867</v>
      </c>
      <c r="J14339">
        <v>7</v>
      </c>
    </row>
    <row r="14340" spans="1:10" x14ac:dyDescent="0.25">
      <c r="A14340" t="s">
        <v>153</v>
      </c>
      <c r="B14340" s="1" t="str">
        <f>HYPERLINK("http://sheringhamshoal.co.uk","sheringhamshoal.co.uk")</f>
        <v>sheringhamshoal.co.uk</v>
      </c>
      <c r="C14340" t="s">
        <v>506</v>
      </c>
      <c r="D14340" t="s">
        <v>880</v>
      </c>
      <c r="F14340">
        <v>1.06818532194665E-8</v>
      </c>
      <c r="G14340">
        <v>6115359</v>
      </c>
      <c r="H14340">
        <v>14073801</v>
      </c>
      <c r="I14340">
        <v>2971216</v>
      </c>
      <c r="J14340">
        <v>3</v>
      </c>
    </row>
    <row r="14341" spans="1:10" x14ac:dyDescent="0.25">
      <c r="A14341" t="s">
        <v>154</v>
      </c>
      <c r="B14341" s="1" t="str">
        <f>HYPERLINK("http://essilor.ae","essilor.ae")</f>
        <v>essilor.ae</v>
      </c>
      <c r="C14341" t="s">
        <v>417</v>
      </c>
      <c r="D14341" t="s">
        <v>799</v>
      </c>
      <c r="F14341">
        <v>8.7204884919352701E-9</v>
      </c>
      <c r="G14341">
        <v>8442330</v>
      </c>
      <c r="H14341">
        <v>10723759</v>
      </c>
      <c r="I14341">
        <v>41463321</v>
      </c>
      <c r="J14341">
        <v>4</v>
      </c>
    </row>
    <row r="14342" spans="1:10" x14ac:dyDescent="0.25">
      <c r="A14342" t="s">
        <v>154</v>
      </c>
      <c r="B14342" s="1" t="str">
        <f>HYPERLINK("http://essilor.at","essilor.at")</f>
        <v>essilor.at</v>
      </c>
      <c r="C14342" t="s">
        <v>419</v>
      </c>
      <c r="D14342" t="s">
        <v>801</v>
      </c>
      <c r="F14342">
        <v>1.92556347626535E-8</v>
      </c>
      <c r="G14342">
        <v>2789355</v>
      </c>
      <c r="H14342">
        <v>12210970</v>
      </c>
      <c r="I14342">
        <v>23005662</v>
      </c>
      <c r="J14342">
        <v>3</v>
      </c>
    </row>
    <row r="14343" spans="1:10" x14ac:dyDescent="0.25">
      <c r="A14343" t="s">
        <v>154</v>
      </c>
      <c r="B14343" s="1" t="str">
        <f>HYPERLINK("http://pearl.at","pearl.at")</f>
        <v>pearl.at</v>
      </c>
      <c r="C14343" t="s">
        <v>419</v>
      </c>
      <c r="D14343" t="s">
        <v>801</v>
      </c>
      <c r="E14343">
        <v>634353</v>
      </c>
      <c r="F14343">
        <v>2.3899967346237802E-8</v>
      </c>
      <c r="G14343">
        <v>2172857</v>
      </c>
      <c r="H14343">
        <v>13024536</v>
      </c>
      <c r="I14343">
        <v>12695446</v>
      </c>
      <c r="J14343">
        <v>8</v>
      </c>
    </row>
    <row r="14344" spans="1:10" x14ac:dyDescent="0.25">
      <c r="A14344" t="s">
        <v>154</v>
      </c>
      <c r="B14344" s="1" t="str">
        <f>HYPERLINK("http://pearle.at","pearle.at")</f>
        <v>pearle.at</v>
      </c>
      <c r="C14344" t="s">
        <v>419</v>
      </c>
      <c r="D14344" t="s">
        <v>801</v>
      </c>
      <c r="F14344">
        <v>2.6514873754626701E-8</v>
      </c>
      <c r="G14344">
        <v>1941798</v>
      </c>
      <c r="H14344">
        <v>12659237</v>
      </c>
      <c r="I14344">
        <v>15726462</v>
      </c>
      <c r="J14344">
        <v>3</v>
      </c>
    </row>
    <row r="14345" spans="1:10" x14ac:dyDescent="0.25">
      <c r="A14345" t="s">
        <v>154</v>
      </c>
      <c r="B14345" s="1" t="str">
        <f>HYPERLINK("http://clearly.com.au","clearly.com.au")</f>
        <v>clearly.com.au</v>
      </c>
      <c r="C14345" t="s">
        <v>420</v>
      </c>
      <c r="D14345" t="s">
        <v>802</v>
      </c>
      <c r="E14345">
        <v>504435</v>
      </c>
      <c r="F14345">
        <v>1.00484621188305E-8</v>
      </c>
      <c r="G14345">
        <v>6707080</v>
      </c>
      <c r="H14345">
        <v>13938726</v>
      </c>
      <c r="I14345">
        <v>4416080</v>
      </c>
      <c r="J14345">
        <v>6</v>
      </c>
    </row>
    <row r="14346" spans="1:10" x14ac:dyDescent="0.25">
      <c r="A14346" t="s">
        <v>154</v>
      </c>
      <c r="B14346" s="1" t="str">
        <f>HYPERLINK("http://essilor.com.au","essilor.com.au")</f>
        <v>essilor.com.au</v>
      </c>
      <c r="C14346" t="s">
        <v>420</v>
      </c>
      <c r="D14346" t="s">
        <v>802</v>
      </c>
      <c r="F14346">
        <v>1.3266851670854499E-8</v>
      </c>
      <c r="G14346">
        <v>4508068</v>
      </c>
      <c r="H14346">
        <v>14237089</v>
      </c>
      <c r="I14346">
        <v>1560199</v>
      </c>
      <c r="J14346">
        <v>4</v>
      </c>
    </row>
    <row r="14347" spans="1:10" x14ac:dyDescent="0.25">
      <c r="A14347" t="s">
        <v>154</v>
      </c>
      <c r="B14347" s="1" t="str">
        <f>HYPERLINK("http://opsm.com.au","opsm.com.au")</f>
        <v>opsm.com.au</v>
      </c>
      <c r="C14347" t="s">
        <v>420</v>
      </c>
      <c r="D14347" t="s">
        <v>802</v>
      </c>
      <c r="E14347">
        <v>352315</v>
      </c>
      <c r="F14347">
        <v>4.1037187745255098E-8</v>
      </c>
      <c r="G14347">
        <v>1264496</v>
      </c>
      <c r="H14347">
        <v>14391012</v>
      </c>
      <c r="I14347">
        <v>1167239</v>
      </c>
      <c r="J14347">
        <v>6</v>
      </c>
    </row>
    <row r="14348" spans="1:10" x14ac:dyDescent="0.25">
      <c r="A14348" t="s">
        <v>154</v>
      </c>
      <c r="B14348" s="1" t="str">
        <f>HYPERLINK("http://visionservices.com.au","visionservices.com.au")</f>
        <v>visionservices.com.au</v>
      </c>
      <c r="C14348" t="s">
        <v>420</v>
      </c>
      <c r="D14348" t="s">
        <v>802</v>
      </c>
      <c r="F14348">
        <v>4.94266847910032E-9</v>
      </c>
      <c r="G14348">
        <v>31011001</v>
      </c>
      <c r="H14348">
        <v>12505089</v>
      </c>
      <c r="I14348">
        <v>17294918</v>
      </c>
      <c r="J14348">
        <v>3</v>
      </c>
    </row>
    <row r="14349" spans="1:10" x14ac:dyDescent="0.25">
      <c r="A14349" t="s">
        <v>154</v>
      </c>
      <c r="B14349" s="1" t="str">
        <f>HYPERLINK("http://deceunynck.be","deceunynck.be")</f>
        <v>deceunynck.be</v>
      </c>
      <c r="C14349" t="s">
        <v>421</v>
      </c>
      <c r="D14349" t="s">
        <v>803</v>
      </c>
      <c r="F14349">
        <v>1.5971069780208301E-8</v>
      </c>
      <c r="G14349">
        <v>3553814</v>
      </c>
      <c r="H14349">
        <v>12438695</v>
      </c>
      <c r="I14349">
        <v>18160389</v>
      </c>
      <c r="J14349">
        <v>4</v>
      </c>
    </row>
    <row r="14350" spans="1:10" x14ac:dyDescent="0.25">
      <c r="A14350" t="s">
        <v>154</v>
      </c>
      <c r="B14350" s="1" t="str">
        <f>HYPERLINK("http://essilor.be","essilor.be")</f>
        <v>essilor.be</v>
      </c>
      <c r="C14350" t="s">
        <v>421</v>
      </c>
      <c r="D14350" t="s">
        <v>803</v>
      </c>
      <c r="F14350">
        <v>3.4131805614306798E-8</v>
      </c>
      <c r="G14350">
        <v>1517921</v>
      </c>
      <c r="H14350">
        <v>12221501</v>
      </c>
      <c r="I14350">
        <v>22757369</v>
      </c>
      <c r="J14350">
        <v>3</v>
      </c>
    </row>
    <row r="14351" spans="1:10" x14ac:dyDescent="0.25">
      <c r="A14351" t="s">
        <v>154</v>
      </c>
      <c r="B14351" s="1" t="str">
        <f>HYPERLINK("http://grandoptical.be","grandoptical.be")</f>
        <v>grandoptical.be</v>
      </c>
      <c r="C14351" t="s">
        <v>421</v>
      </c>
      <c r="D14351" t="s">
        <v>803</v>
      </c>
      <c r="F14351">
        <v>1.2014007158482E-8</v>
      </c>
      <c r="G14351">
        <v>5166525</v>
      </c>
      <c r="H14351">
        <v>12369068</v>
      </c>
      <c r="I14351">
        <v>19424886</v>
      </c>
      <c r="J14351">
        <v>6</v>
      </c>
    </row>
    <row r="14352" spans="1:10" x14ac:dyDescent="0.25">
      <c r="A14352" t="s">
        <v>154</v>
      </c>
      <c r="B14352" s="1" t="str">
        <f>HYPERLINK("http://pearl.be","pearl.be")</f>
        <v>pearl.be</v>
      </c>
      <c r="C14352" t="s">
        <v>421</v>
      </c>
      <c r="D14352" t="s">
        <v>803</v>
      </c>
      <c r="F14352">
        <v>9.7223289362528E-9</v>
      </c>
      <c r="G14352">
        <v>7055347</v>
      </c>
      <c r="H14352">
        <v>11703815</v>
      </c>
      <c r="I14352">
        <v>29850569</v>
      </c>
      <c r="J14352">
        <v>6</v>
      </c>
    </row>
    <row r="14353" spans="1:10" x14ac:dyDescent="0.25">
      <c r="A14353" t="s">
        <v>154</v>
      </c>
      <c r="B14353" s="1" t="str">
        <f>HYPERLINK("http://pearle.be","pearle.be")</f>
        <v>pearle.be</v>
      </c>
      <c r="C14353" t="s">
        <v>421</v>
      </c>
      <c r="D14353" t="s">
        <v>803</v>
      </c>
      <c r="E14353">
        <v>760823</v>
      </c>
      <c r="F14353">
        <v>2.46253183241189E-8</v>
      </c>
      <c r="G14353">
        <v>2103195</v>
      </c>
      <c r="H14353">
        <v>13958972</v>
      </c>
      <c r="I14353">
        <v>4120224</v>
      </c>
      <c r="J14353">
        <v>4</v>
      </c>
    </row>
    <row r="14354" spans="1:10" x14ac:dyDescent="0.25">
      <c r="A14354" t="s">
        <v>154</v>
      </c>
      <c r="B14354" s="1" t="str">
        <f>HYPERLINK("http://pearleopticiens.be","pearleopticiens.be")</f>
        <v>pearleopticiens.be</v>
      </c>
      <c r="C14354" t="s">
        <v>421</v>
      </c>
      <c r="D14354" t="s">
        <v>803</v>
      </c>
      <c r="J14354">
        <v>6</v>
      </c>
    </row>
    <row r="14355" spans="1:10" x14ac:dyDescent="0.25">
      <c r="A14355" t="s">
        <v>154</v>
      </c>
      <c r="B14355" s="1" t="str">
        <f>HYPERLINK("http://visiondirect.be","visiondirect.be")</f>
        <v>visiondirect.be</v>
      </c>
      <c r="C14355" t="s">
        <v>421</v>
      </c>
      <c r="D14355" t="s">
        <v>803</v>
      </c>
      <c r="F14355">
        <v>1.6838008346806001E-8</v>
      </c>
      <c r="G14355">
        <v>3324123</v>
      </c>
      <c r="H14355">
        <v>12679355</v>
      </c>
      <c r="I14355">
        <v>15507232</v>
      </c>
      <c r="J14355">
        <v>5</v>
      </c>
    </row>
    <row r="14356" spans="1:10" x14ac:dyDescent="0.25">
      <c r="A14356" t="s">
        <v>154</v>
      </c>
      <c r="B14356" s="1" t="str">
        <f>HYPERLINK("http://essilor.bg","essilor.bg")</f>
        <v>essilor.bg</v>
      </c>
      <c r="C14356" t="s">
        <v>422</v>
      </c>
      <c r="D14356" t="s">
        <v>804</v>
      </c>
      <c r="F14356">
        <v>1.7222236871757699E-8</v>
      </c>
      <c r="G14356">
        <v>3219079</v>
      </c>
      <c r="H14356">
        <v>12095861</v>
      </c>
      <c r="I14356">
        <v>26079842</v>
      </c>
      <c r="J14356">
        <v>3</v>
      </c>
    </row>
    <row r="14357" spans="1:10" x14ac:dyDescent="0.25">
      <c r="A14357" t="s">
        <v>154</v>
      </c>
      <c r="B14357" s="1" t="str">
        <f>HYPERLINK("http://essilor.com.br","essilor.com.br")</f>
        <v>essilor.com.br</v>
      </c>
      <c r="C14357" t="s">
        <v>425</v>
      </c>
      <c r="D14357" t="s">
        <v>806</v>
      </c>
      <c r="F14357">
        <v>8.7416981098694305E-9</v>
      </c>
      <c r="G14357">
        <v>8406787</v>
      </c>
      <c r="H14357">
        <v>12205745</v>
      </c>
      <c r="I14357">
        <v>23172974</v>
      </c>
      <c r="J14357">
        <v>3</v>
      </c>
    </row>
    <row r="14358" spans="1:10" x14ac:dyDescent="0.25">
      <c r="A14358" t="s">
        <v>154</v>
      </c>
      <c r="B14358" s="1" t="str">
        <f>HYPERLINK("http://fototica.com.br","fototica.com.br")</f>
        <v>fototica.com.br</v>
      </c>
      <c r="C14358" t="s">
        <v>425</v>
      </c>
      <c r="D14358" t="s">
        <v>806</v>
      </c>
      <c r="F14358">
        <v>5.0086539322165202E-9</v>
      </c>
      <c r="G14358">
        <v>29196714</v>
      </c>
      <c r="H14358">
        <v>14071794</v>
      </c>
      <c r="I14358">
        <v>3344180</v>
      </c>
      <c r="J14358">
        <v>5</v>
      </c>
    </row>
    <row r="14359" spans="1:10" x14ac:dyDescent="0.25">
      <c r="A14359" t="s">
        <v>154</v>
      </c>
      <c r="B14359" s="1" t="str">
        <f>HYPERLINK("http://oakley.com.br","oakley.com.br")</f>
        <v>oakley.com.br</v>
      </c>
      <c r="C14359" t="s">
        <v>425</v>
      </c>
      <c r="D14359" t="s">
        <v>806</v>
      </c>
      <c r="F14359">
        <v>2.1152857168084399E-8</v>
      </c>
      <c r="G14359">
        <v>2493771</v>
      </c>
      <c r="H14359">
        <v>14240279</v>
      </c>
      <c r="I14359">
        <v>1502639</v>
      </c>
      <c r="J14359">
        <v>4</v>
      </c>
    </row>
    <row r="14360" spans="1:10" x14ac:dyDescent="0.25">
      <c r="A14360" t="s">
        <v>154</v>
      </c>
      <c r="B14360" s="1" t="str">
        <f>HYPERLINK("http://oticagrandvision.com.br","oticagrandvision.com.br")</f>
        <v>oticagrandvision.com.br</v>
      </c>
      <c r="C14360" t="s">
        <v>425</v>
      </c>
      <c r="D14360" t="s">
        <v>806</v>
      </c>
      <c r="F14360">
        <v>5.8761691258890096E-9</v>
      </c>
      <c r="G14360">
        <v>17524093</v>
      </c>
      <c r="H14360">
        <v>12111328</v>
      </c>
      <c r="I14360">
        <v>25692388</v>
      </c>
      <c r="J14360">
        <v>5</v>
      </c>
    </row>
    <row r="14361" spans="1:10" x14ac:dyDescent="0.25">
      <c r="A14361" t="s">
        <v>154</v>
      </c>
      <c r="B14361" s="1" t="str">
        <f>HYPERLINK("http://oticascarol.com.br","oticascarol.com.br")</f>
        <v>oticascarol.com.br</v>
      </c>
      <c r="C14361" t="s">
        <v>425</v>
      </c>
      <c r="D14361" t="s">
        <v>806</v>
      </c>
      <c r="E14361">
        <v>866162</v>
      </c>
      <c r="F14361">
        <v>9.8304122423711408E-9</v>
      </c>
      <c r="G14361">
        <v>6936675</v>
      </c>
      <c r="H14361">
        <v>14244274</v>
      </c>
      <c r="I14361">
        <v>1472612</v>
      </c>
      <c r="J14361">
        <v>5</v>
      </c>
    </row>
    <row r="14362" spans="1:10" x14ac:dyDescent="0.25">
      <c r="A14362" t="s">
        <v>154</v>
      </c>
      <c r="B14362" s="1" t="str">
        <f>HYPERLINK("http://shamir.com.br","shamir.com.br")</f>
        <v>shamir.com.br</v>
      </c>
      <c r="C14362" t="s">
        <v>425</v>
      </c>
      <c r="D14362" t="s">
        <v>806</v>
      </c>
      <c r="F14362">
        <v>6.8047002238923799E-9</v>
      </c>
      <c r="G14362">
        <v>12943943</v>
      </c>
      <c r="H14362">
        <v>10394852</v>
      </c>
      <c r="I14362">
        <v>54321510</v>
      </c>
      <c r="J14362">
        <v>5</v>
      </c>
    </row>
    <row r="14363" spans="1:10" x14ac:dyDescent="0.25">
      <c r="A14363" t="s">
        <v>154</v>
      </c>
      <c r="B14363" s="1" t="str">
        <f>HYPERLINK("http://sunglasshut.com.br","sunglasshut.com.br")</f>
        <v>sunglasshut.com.br</v>
      </c>
      <c r="C14363" t="s">
        <v>425</v>
      </c>
      <c r="D14363" t="s">
        <v>806</v>
      </c>
      <c r="F14363">
        <v>1.7734823656391202E-8</v>
      </c>
      <c r="G14363">
        <v>3088842</v>
      </c>
      <c r="H14363">
        <v>13211183</v>
      </c>
      <c r="I14363">
        <v>11403965</v>
      </c>
      <c r="J14363">
        <v>3</v>
      </c>
    </row>
    <row r="14364" spans="1:10" x14ac:dyDescent="0.25">
      <c r="A14364" t="s">
        <v>154</v>
      </c>
      <c r="B14364" s="1" t="str">
        <f>HYPERLINK("http://clearly.ca","clearly.ca")</f>
        <v>clearly.ca</v>
      </c>
      <c r="C14364" t="s">
        <v>428</v>
      </c>
      <c r="D14364" t="s">
        <v>809</v>
      </c>
      <c r="E14364">
        <v>137351</v>
      </c>
      <c r="F14364">
        <v>2.0468805260100099E-7</v>
      </c>
      <c r="G14364">
        <v>185593</v>
      </c>
      <c r="H14364">
        <v>14842959</v>
      </c>
      <c r="I14364">
        <v>495659</v>
      </c>
      <c r="J14364">
        <v>5</v>
      </c>
    </row>
    <row r="14365" spans="1:10" x14ac:dyDescent="0.25">
      <c r="A14365" t="s">
        <v>154</v>
      </c>
      <c r="B14365" s="1" t="str">
        <f>HYPERLINK("http://eyebuydirect.ca","eyebuydirect.ca")</f>
        <v>eyebuydirect.ca</v>
      </c>
      <c r="C14365" t="s">
        <v>428</v>
      </c>
      <c r="D14365" t="s">
        <v>809</v>
      </c>
      <c r="E14365">
        <v>266193</v>
      </c>
      <c r="F14365">
        <v>1.7870103816214001E-8</v>
      </c>
      <c r="G14365">
        <v>3059807</v>
      </c>
      <c r="H14365">
        <v>10991867</v>
      </c>
      <c r="I14365">
        <v>33717014</v>
      </c>
      <c r="J14365">
        <v>6</v>
      </c>
    </row>
    <row r="14366" spans="1:10" x14ac:dyDescent="0.25">
      <c r="A14366" t="s">
        <v>154</v>
      </c>
      <c r="B14366" s="1" t="str">
        <f>HYPERLINK("http://lenscrafters.ca","lenscrafters.ca")</f>
        <v>lenscrafters.ca</v>
      </c>
      <c r="C14366" t="s">
        <v>428</v>
      </c>
      <c r="D14366" t="s">
        <v>809</v>
      </c>
      <c r="E14366">
        <v>554616</v>
      </c>
      <c r="F14366">
        <v>2.83540979730609E-8</v>
      </c>
      <c r="G14366">
        <v>1815042</v>
      </c>
      <c r="H14366">
        <v>14154619</v>
      </c>
      <c r="I14366">
        <v>1862217</v>
      </c>
      <c r="J14366">
        <v>6</v>
      </c>
    </row>
    <row r="14367" spans="1:10" x14ac:dyDescent="0.25">
      <c r="A14367" t="s">
        <v>154</v>
      </c>
      <c r="B14367" s="1" t="str">
        <f>HYPERLINK("http://pearlevision.ca","pearlevision.ca")</f>
        <v>pearlevision.ca</v>
      </c>
      <c r="C14367" t="s">
        <v>428</v>
      </c>
      <c r="D14367" t="s">
        <v>809</v>
      </c>
      <c r="F14367">
        <v>1.86650102159096E-8</v>
      </c>
      <c r="G14367">
        <v>2895722</v>
      </c>
      <c r="H14367">
        <v>13066413</v>
      </c>
      <c r="I14367">
        <v>12284241</v>
      </c>
      <c r="J14367">
        <v>6</v>
      </c>
    </row>
    <row r="14368" spans="1:10" x14ac:dyDescent="0.25">
      <c r="A14368" t="s">
        <v>154</v>
      </c>
      <c r="B14368" s="1" t="str">
        <f>HYPERLINK("http://visionexpress.ca","visionexpress.ca")</f>
        <v>visionexpress.ca</v>
      </c>
      <c r="C14368" t="s">
        <v>428</v>
      </c>
      <c r="D14368" t="s">
        <v>809</v>
      </c>
      <c r="F14368">
        <v>8.44390242193386E-9</v>
      </c>
      <c r="G14368">
        <v>8954707</v>
      </c>
      <c r="H14368">
        <v>12773888</v>
      </c>
      <c r="I14368">
        <v>14812233</v>
      </c>
      <c r="J14368">
        <v>6</v>
      </c>
    </row>
    <row r="14369" spans="1:10" x14ac:dyDescent="0.25">
      <c r="A14369" t="s">
        <v>154</v>
      </c>
      <c r="B14369" s="1" t="str">
        <f>HYPERLINK("http://essilor.ch","essilor.ch")</f>
        <v>essilor.ch</v>
      </c>
      <c r="C14369" t="s">
        <v>429</v>
      </c>
      <c r="D14369" t="s">
        <v>810</v>
      </c>
      <c r="F14369">
        <v>3.1778503091069402E-8</v>
      </c>
      <c r="G14369">
        <v>1624970</v>
      </c>
      <c r="H14369">
        <v>12465274</v>
      </c>
      <c r="I14369">
        <v>17815027</v>
      </c>
      <c r="J14369">
        <v>3</v>
      </c>
    </row>
    <row r="14370" spans="1:10" x14ac:dyDescent="0.25">
      <c r="A14370" t="s">
        <v>154</v>
      </c>
      <c r="B14370" s="1" t="str">
        <f>HYPERLINK("http://pearl.ch","pearl.ch")</f>
        <v>pearl.ch</v>
      </c>
      <c r="C14370" t="s">
        <v>429</v>
      </c>
      <c r="D14370" t="s">
        <v>810</v>
      </c>
      <c r="E14370">
        <v>278001</v>
      </c>
      <c r="F14370">
        <v>7.0058582727521705E-8</v>
      </c>
      <c r="G14370">
        <v>604767</v>
      </c>
      <c r="H14370">
        <v>14254012</v>
      </c>
      <c r="I14370">
        <v>1437442</v>
      </c>
      <c r="J14370">
        <v>7</v>
      </c>
    </row>
    <row r="14371" spans="1:10" x14ac:dyDescent="0.25">
      <c r="A14371" t="s">
        <v>154</v>
      </c>
      <c r="B14371" s="1" t="str">
        <f>HYPERLINK("http://reize.ch","reize.ch")</f>
        <v>reize.ch</v>
      </c>
      <c r="C14371" t="s">
        <v>429</v>
      </c>
      <c r="D14371" t="s">
        <v>810</v>
      </c>
      <c r="F14371">
        <v>1.2083816939336401E-8</v>
      </c>
      <c r="G14371">
        <v>5123015</v>
      </c>
      <c r="H14371">
        <v>10730906</v>
      </c>
      <c r="I14371">
        <v>40888423</v>
      </c>
      <c r="J14371">
        <v>4</v>
      </c>
    </row>
    <row r="14372" spans="1:10" x14ac:dyDescent="0.25">
      <c r="A14372" t="s">
        <v>154</v>
      </c>
      <c r="B14372" s="1" t="str">
        <f>HYPERLINK("http://visilab.ch","visilab.ch")</f>
        <v>visilab.ch</v>
      </c>
      <c r="C14372" t="s">
        <v>429</v>
      </c>
      <c r="D14372" t="s">
        <v>810</v>
      </c>
      <c r="F14372">
        <v>4.2144389331219897E-8</v>
      </c>
      <c r="G14372">
        <v>1158647</v>
      </c>
      <c r="H14372">
        <v>13115970</v>
      </c>
      <c r="I14372">
        <v>12010209</v>
      </c>
      <c r="J14372">
        <v>3</v>
      </c>
    </row>
    <row r="14373" spans="1:10" x14ac:dyDescent="0.25">
      <c r="A14373" t="s">
        <v>154</v>
      </c>
      <c r="B14373" s="1" t="str">
        <f>HYPERLINK("http://essilor.ci","essilor.ci")</f>
        <v>essilor.ci</v>
      </c>
      <c r="C14373" t="s">
        <v>539</v>
      </c>
      <c r="D14373" t="s">
        <v>899</v>
      </c>
      <c r="F14373">
        <v>8.2156307532188901E-9</v>
      </c>
      <c r="G14373">
        <v>9544919</v>
      </c>
      <c r="H14373">
        <v>10533272</v>
      </c>
      <c r="I14373">
        <v>47889976</v>
      </c>
      <c r="J14373">
        <v>4</v>
      </c>
    </row>
    <row r="14374" spans="1:10" x14ac:dyDescent="0.25">
      <c r="A14374" t="s">
        <v>154</v>
      </c>
      <c r="B14374" s="1" t="str">
        <f>HYPERLINK("http://essilor.cm","essilor.cm")</f>
        <v>essilor.cm</v>
      </c>
      <c r="C14374" t="s">
        <v>541</v>
      </c>
      <c r="D14374" t="s">
        <v>900</v>
      </c>
      <c r="F14374">
        <v>8.2638761257029507E-9</v>
      </c>
      <c r="G14374">
        <v>9343180</v>
      </c>
      <c r="H14374">
        <v>10543790</v>
      </c>
      <c r="I14374">
        <v>47012104</v>
      </c>
      <c r="J14374">
        <v>5</v>
      </c>
    </row>
    <row r="14375" spans="1:10" x14ac:dyDescent="0.25">
      <c r="A14375" t="s">
        <v>154</v>
      </c>
      <c r="B14375" s="1" t="str">
        <f>HYPERLINK("http://oakley.com.cn","oakley.com.cn")</f>
        <v>oakley.com.cn</v>
      </c>
      <c r="C14375" t="s">
        <v>431</v>
      </c>
      <c r="D14375" t="s">
        <v>812</v>
      </c>
      <c r="F14375">
        <v>1.8579670066611901E-8</v>
      </c>
      <c r="G14375">
        <v>2910997</v>
      </c>
      <c r="H14375">
        <v>12232452</v>
      </c>
      <c r="I14375">
        <v>22437357</v>
      </c>
      <c r="J14375">
        <v>4</v>
      </c>
    </row>
    <row r="14376" spans="1:10" x14ac:dyDescent="0.25">
      <c r="A14376" t="s">
        <v>154</v>
      </c>
      <c r="B14376" s="1" t="str">
        <f>HYPERLINK("http://ray-ban.com.cn","ray-ban.com.cn")</f>
        <v>ray-ban.com.cn</v>
      </c>
      <c r="C14376" t="s">
        <v>431</v>
      </c>
      <c r="D14376" t="s">
        <v>812</v>
      </c>
      <c r="F14376">
        <v>5.1871376451326401E-8</v>
      </c>
      <c r="G14376">
        <v>880719</v>
      </c>
      <c r="H14376">
        <v>12473177</v>
      </c>
      <c r="I14376">
        <v>17664353</v>
      </c>
      <c r="J14376">
        <v>6</v>
      </c>
    </row>
    <row r="14377" spans="1:10" x14ac:dyDescent="0.25">
      <c r="A14377" t="s">
        <v>154</v>
      </c>
      <c r="B14377" s="1" t="str">
        <f>HYPERLINK("http://essilor.com.co","essilor.com.co")</f>
        <v>essilor.com.co</v>
      </c>
      <c r="C14377" t="s">
        <v>432</v>
      </c>
      <c r="F14377">
        <v>6.7142267994082103E-9</v>
      </c>
      <c r="G14377">
        <v>13253431</v>
      </c>
      <c r="H14377">
        <v>10856152</v>
      </c>
      <c r="I14377">
        <v>36739333</v>
      </c>
      <c r="J14377">
        <v>3</v>
      </c>
    </row>
    <row r="14378" spans="1:10" x14ac:dyDescent="0.25">
      <c r="A14378" t="s">
        <v>154</v>
      </c>
      <c r="B14378" s="1" t="str">
        <f>HYPERLINK("http://lafam.com.co","lafam.com.co")</f>
        <v>lafam.com.co</v>
      </c>
      <c r="C14378" t="s">
        <v>432</v>
      </c>
      <c r="F14378">
        <v>7.5996786875544907E-9</v>
      </c>
      <c r="G14378">
        <v>10795093</v>
      </c>
      <c r="H14378">
        <v>12068772</v>
      </c>
      <c r="I14378">
        <v>26815999</v>
      </c>
      <c r="J14378">
        <v>3</v>
      </c>
    </row>
    <row r="14379" spans="1:10" x14ac:dyDescent="0.25">
      <c r="A14379" t="s">
        <v>154</v>
      </c>
      <c r="B14379" s="1" t="str">
        <f>HYPERLINK("http://apollo-optik.com","apollo-optik.com")</f>
        <v>apollo-optik.com</v>
      </c>
      <c r="C14379" t="s">
        <v>433</v>
      </c>
      <c r="F14379">
        <v>6.3755095820125799E-9</v>
      </c>
      <c r="G14379">
        <v>14638725</v>
      </c>
      <c r="H14379">
        <v>12355546</v>
      </c>
      <c r="I14379">
        <v>19670502</v>
      </c>
      <c r="J14379">
        <v>6</v>
      </c>
    </row>
    <row r="14380" spans="1:10" x14ac:dyDescent="0.25">
      <c r="A14380" t="s">
        <v>154</v>
      </c>
      <c r="B14380" s="1" t="str">
        <f>HYPERLINK("http://bnl-eurolens.com","bnl-eurolens.com")</f>
        <v>bnl-eurolens.com</v>
      </c>
      <c r="C14380" t="s">
        <v>433</v>
      </c>
      <c r="F14380">
        <v>4.4694041404669998E-9</v>
      </c>
      <c r="G14380">
        <v>64713141</v>
      </c>
      <c r="H14380">
        <v>10508651</v>
      </c>
      <c r="I14380">
        <v>50178052</v>
      </c>
      <c r="J14380">
        <v>4</v>
      </c>
    </row>
    <row r="14381" spans="1:10" x14ac:dyDescent="0.25">
      <c r="A14381" t="s">
        <v>154</v>
      </c>
      <c r="B14381" s="1" t="str">
        <f>HYPERLINK("http://bradzipprich.com","bradzipprich.com")</f>
        <v>bradzipprich.com</v>
      </c>
      <c r="C14381" t="s">
        <v>433</v>
      </c>
      <c r="F14381">
        <v>7.0887970139812702E-9</v>
      </c>
      <c r="G14381">
        <v>12046911</v>
      </c>
      <c r="H14381">
        <v>13360899</v>
      </c>
      <c r="I14381">
        <v>10539547</v>
      </c>
      <c r="J14381">
        <v>7</v>
      </c>
    </row>
    <row r="14382" spans="1:10" x14ac:dyDescent="0.25">
      <c r="A14382" t="s">
        <v>154</v>
      </c>
      <c r="B14382" s="1" t="str">
        <f>HYPERLINK("http://calboli.com","calboli.com")</f>
        <v>calboli.com</v>
      </c>
      <c r="C14382" t="s">
        <v>433</v>
      </c>
      <c r="F14382">
        <v>5.0396392929130697E-9</v>
      </c>
      <c r="G14382">
        <v>28450237</v>
      </c>
      <c r="H14382">
        <v>10187262</v>
      </c>
      <c r="I14382">
        <v>59134882</v>
      </c>
      <c r="J14382">
        <v>6</v>
      </c>
    </row>
    <row r="14383" spans="1:10" x14ac:dyDescent="0.25">
      <c r="A14383" t="s">
        <v>154</v>
      </c>
      <c r="B14383" s="1" t="str">
        <f>HYPERLINK("http://charlietemple.com","charlietemple.com")</f>
        <v>charlietemple.com</v>
      </c>
      <c r="C14383" t="s">
        <v>433</v>
      </c>
      <c r="E14383">
        <v>910180</v>
      </c>
      <c r="F14383">
        <v>9.93361569026345E-8</v>
      </c>
      <c r="G14383">
        <v>405434</v>
      </c>
      <c r="H14383">
        <v>12673904</v>
      </c>
      <c r="I14383">
        <v>15567915</v>
      </c>
      <c r="J14383">
        <v>3</v>
      </c>
    </row>
    <row r="14384" spans="1:10" x14ac:dyDescent="0.25">
      <c r="A14384" t="s">
        <v>154</v>
      </c>
      <c r="B14384" s="1" t="str">
        <f>HYPERLINK("http://ciolab.com","ciolab.com")</f>
        <v>ciolab.com</v>
      </c>
      <c r="C14384" t="s">
        <v>433</v>
      </c>
      <c r="J14384">
        <v>6</v>
      </c>
    </row>
    <row r="14385" spans="1:10" x14ac:dyDescent="0.25">
      <c r="A14385" t="s">
        <v>154</v>
      </c>
      <c r="B14385" s="1" t="str">
        <f>HYPERLINK("http://classicoptical.com","classicoptical.com")</f>
        <v>classicoptical.com</v>
      </c>
      <c r="C14385" t="s">
        <v>433</v>
      </c>
      <c r="F14385">
        <v>9.2506421838221601E-9</v>
      </c>
      <c r="G14385">
        <v>7637659</v>
      </c>
      <c r="H14385">
        <v>12380010</v>
      </c>
      <c r="I14385">
        <v>19210913</v>
      </c>
      <c r="J14385">
        <v>3</v>
      </c>
    </row>
    <row r="14386" spans="1:10" x14ac:dyDescent="0.25">
      <c r="A14386" t="s">
        <v>154</v>
      </c>
      <c r="B14386" s="1" t="str">
        <f>HYPERLINK("http://crossbowsoptical.com","crossbowsoptical.com")</f>
        <v>crossbowsoptical.com</v>
      </c>
      <c r="C14386" t="s">
        <v>433</v>
      </c>
      <c r="F14386">
        <v>5.5218410624662897E-9</v>
      </c>
      <c r="G14386">
        <v>20668620</v>
      </c>
      <c r="H14386">
        <v>10872909</v>
      </c>
      <c r="I14386">
        <v>36452012</v>
      </c>
      <c r="J14386">
        <v>6</v>
      </c>
    </row>
    <row r="14387" spans="1:10" x14ac:dyDescent="0.25">
      <c r="A14387" t="s">
        <v>154</v>
      </c>
      <c r="B14387" s="1" t="str">
        <f>HYPERLINK("http://dacvision.com","dacvision.com")</f>
        <v>dacvision.com</v>
      </c>
      <c r="C14387" t="s">
        <v>433</v>
      </c>
      <c r="F14387">
        <v>6.5770142923254798E-9</v>
      </c>
      <c r="G14387">
        <v>13765177</v>
      </c>
      <c r="H14387">
        <v>12276653</v>
      </c>
      <c r="I14387">
        <v>21378237</v>
      </c>
      <c r="J14387">
        <v>4</v>
      </c>
    </row>
    <row r="14388" spans="1:10" x14ac:dyDescent="0.25">
      <c r="A14388" t="s">
        <v>154</v>
      </c>
      <c r="B14388" s="1" t="str">
        <f>HYPERLINK("http://dekalash.com","dekalash.com")</f>
        <v>dekalash.com</v>
      </c>
      <c r="C14388" t="s">
        <v>433</v>
      </c>
      <c r="E14388">
        <v>621730</v>
      </c>
      <c r="F14388">
        <v>3.0576888494418598E-8</v>
      </c>
      <c r="G14388">
        <v>1684269</v>
      </c>
      <c r="H14388">
        <v>13544409</v>
      </c>
      <c r="I14388">
        <v>9902138</v>
      </c>
      <c r="J14388">
        <v>6</v>
      </c>
    </row>
    <row r="14389" spans="1:10" x14ac:dyDescent="0.25">
      <c r="A14389" t="s">
        <v>154</v>
      </c>
      <c r="B14389" s="1" t="str">
        <f>HYPERLINK("http://ecplocator.com","ecplocator.com")</f>
        <v>ecplocator.com</v>
      </c>
      <c r="C14389" t="s">
        <v>433</v>
      </c>
      <c r="J14389">
        <v>4</v>
      </c>
    </row>
    <row r="14390" spans="1:10" x14ac:dyDescent="0.25">
      <c r="A14390" t="s">
        <v>154</v>
      </c>
      <c r="B14390" s="1" t="str">
        <f>HYPERLINK("http://escn-studio.com","escn-studio.com")</f>
        <v>escn-studio.com</v>
      </c>
      <c r="C14390" t="s">
        <v>433</v>
      </c>
      <c r="F14390">
        <v>4.44380395335525E-9</v>
      </c>
      <c r="G14390">
        <v>81560234</v>
      </c>
      <c r="H14390">
        <v>0</v>
      </c>
      <c r="I14390">
        <v>81969111</v>
      </c>
      <c r="J14390">
        <v>7</v>
      </c>
    </row>
    <row r="14391" spans="1:10" x14ac:dyDescent="0.25">
      <c r="A14391" t="s">
        <v>154</v>
      </c>
      <c r="B14391" s="1" t="str">
        <f>HYPERLINK("http://essilor.com","essilor.com")</f>
        <v>essilor.com</v>
      </c>
      <c r="C14391" t="s">
        <v>433</v>
      </c>
      <c r="E14391">
        <v>53206</v>
      </c>
      <c r="F14391">
        <v>3.0474393354663699E-7</v>
      </c>
      <c r="G14391">
        <v>121986</v>
      </c>
      <c r="H14391">
        <v>14747108</v>
      </c>
      <c r="I14391">
        <v>564818</v>
      </c>
      <c r="J14391">
        <v>2</v>
      </c>
    </row>
    <row r="14392" spans="1:10" x14ac:dyDescent="0.25">
      <c r="A14392" t="s">
        <v>154</v>
      </c>
      <c r="B14392" s="1" t="str">
        <f>HYPERLINK("http://essilorchina.com","essilorchina.com")</f>
        <v>essilorchina.com</v>
      </c>
      <c r="C14392" t="s">
        <v>433</v>
      </c>
      <c r="F14392">
        <v>4.09280429566711E-8</v>
      </c>
      <c r="G14392">
        <v>1267328</v>
      </c>
      <c r="H14392">
        <v>12955653</v>
      </c>
      <c r="I14392">
        <v>13186309</v>
      </c>
      <c r="J14392">
        <v>3</v>
      </c>
    </row>
    <row r="14393" spans="1:10" x14ac:dyDescent="0.25">
      <c r="A14393" t="s">
        <v>154</v>
      </c>
      <c r="B14393" s="1" t="str">
        <f>HYPERLINK("http://essilorindia.com","essilorindia.com")</f>
        <v>essilorindia.com</v>
      </c>
      <c r="C14393" t="s">
        <v>433</v>
      </c>
      <c r="F14393">
        <v>1.6452861780501699E-8</v>
      </c>
      <c r="G14393">
        <v>3425632</v>
      </c>
      <c r="H14393">
        <v>13037766</v>
      </c>
      <c r="I14393">
        <v>12632092</v>
      </c>
      <c r="J14393">
        <v>4</v>
      </c>
    </row>
    <row r="14394" spans="1:10" x14ac:dyDescent="0.25">
      <c r="A14394" t="s">
        <v>154</v>
      </c>
      <c r="B14394" s="1" t="str">
        <f>HYPERLINK("http://essilorla.com","essilorla.com")</f>
        <v>essilorla.com</v>
      </c>
      <c r="C14394" t="s">
        <v>433</v>
      </c>
      <c r="F14394">
        <v>4.7175899868948002E-9</v>
      </c>
      <c r="G14394">
        <v>40334339</v>
      </c>
      <c r="H14394">
        <v>10491924</v>
      </c>
      <c r="I14394">
        <v>50595455</v>
      </c>
      <c r="J14394">
        <v>3</v>
      </c>
    </row>
    <row r="14395" spans="1:10" x14ac:dyDescent="0.25">
      <c r="A14395" t="s">
        <v>154</v>
      </c>
      <c r="B14395" s="1" t="str">
        <f>HYPERLINK("http://essilorluxottica.com","essilorluxottica.com")</f>
        <v>essilorluxottica.com</v>
      </c>
      <c r="C14395" t="s">
        <v>433</v>
      </c>
      <c r="E14395">
        <v>107273</v>
      </c>
      <c r="F14395">
        <v>1.2199254963930101E-6</v>
      </c>
      <c r="G14395">
        <v>31863</v>
      </c>
      <c r="H14395">
        <v>14792582</v>
      </c>
      <c r="I14395">
        <v>550351</v>
      </c>
      <c r="J14395">
        <v>1</v>
      </c>
    </row>
    <row r="14396" spans="1:10" x14ac:dyDescent="0.25">
      <c r="A14396" t="s">
        <v>154</v>
      </c>
      <c r="B14396" s="1" t="str">
        <f>HYPERLINK("http://essilorusa.com","essilorusa.com")</f>
        <v>essilorusa.com</v>
      </c>
      <c r="C14396" t="s">
        <v>433</v>
      </c>
      <c r="E14396">
        <v>117889</v>
      </c>
      <c r="F14396">
        <v>3.2329401110568099E-7</v>
      </c>
      <c r="G14396">
        <v>115154</v>
      </c>
      <c r="H14396">
        <v>14597265</v>
      </c>
      <c r="I14396">
        <v>688758</v>
      </c>
      <c r="J14396">
        <v>3</v>
      </c>
    </row>
    <row r="14397" spans="1:10" x14ac:dyDescent="0.25">
      <c r="A14397" t="s">
        <v>154</v>
      </c>
      <c r="B14397" s="1" t="str">
        <f>HYPERLINK("http://euopsysweb.com","euopsysweb.com")</f>
        <v>euopsysweb.com</v>
      </c>
      <c r="C14397" t="s">
        <v>433</v>
      </c>
      <c r="E14397">
        <v>284108</v>
      </c>
      <c r="F14397">
        <v>8.2912457878554105E-9</v>
      </c>
      <c r="G14397">
        <v>9279978</v>
      </c>
      <c r="H14397">
        <v>10860546</v>
      </c>
      <c r="I14397">
        <v>36661429</v>
      </c>
      <c r="J14397">
        <v>4</v>
      </c>
    </row>
    <row r="14398" spans="1:10" x14ac:dyDescent="0.25">
      <c r="A14398" t="s">
        <v>154</v>
      </c>
      <c r="B14398" s="1" t="str">
        <f>HYPERLINK("http://eyebuydirect.com","eyebuydirect.com")</f>
        <v>eyebuydirect.com</v>
      </c>
      <c r="C14398" t="s">
        <v>433</v>
      </c>
      <c r="E14398">
        <v>31710</v>
      </c>
      <c r="F14398">
        <v>5.8289670748818403E-7</v>
      </c>
      <c r="G14398">
        <v>65557</v>
      </c>
      <c r="H14398">
        <v>14997220</v>
      </c>
      <c r="I14398">
        <v>426512</v>
      </c>
      <c r="J14398">
        <v>5</v>
      </c>
    </row>
    <row r="14399" spans="1:10" x14ac:dyDescent="0.25">
      <c r="A14399" t="s">
        <v>154</v>
      </c>
      <c r="B14399" s="1" t="str">
        <f>HYPERLINK("http://eyezenusa.com","eyezenusa.com")</f>
        <v>eyezenusa.com</v>
      </c>
      <c r="C14399" t="s">
        <v>433</v>
      </c>
      <c r="F14399">
        <v>1.12531160926788E-8</v>
      </c>
      <c r="G14399">
        <v>5675556</v>
      </c>
      <c r="H14399">
        <v>11011863</v>
      </c>
      <c r="I14399">
        <v>33378488</v>
      </c>
      <c r="J14399">
        <v>7</v>
      </c>
    </row>
    <row r="14400" spans="1:10" x14ac:dyDescent="0.25">
      <c r="A14400" t="s">
        <v>154</v>
      </c>
      <c r="B14400" s="1" t="str">
        <f>HYPERLINK("http://fabrislane.com","fabrislane.com")</f>
        <v>fabrislane.com</v>
      </c>
      <c r="C14400" t="s">
        <v>433</v>
      </c>
      <c r="F14400">
        <v>4.6963575466692797E-9</v>
      </c>
      <c r="G14400">
        <v>41433585</v>
      </c>
      <c r="H14400">
        <v>11284256</v>
      </c>
      <c r="I14400">
        <v>30687896</v>
      </c>
      <c r="J14400">
        <v>4</v>
      </c>
    </row>
    <row r="14401" spans="1:10" x14ac:dyDescent="0.25">
      <c r="A14401" t="s">
        <v>154</v>
      </c>
      <c r="B14401" s="1" t="str">
        <f>HYPERLINK("http://fgxi.com","fgxi.com")</f>
        <v>fgxi.com</v>
      </c>
      <c r="C14401" t="s">
        <v>433</v>
      </c>
      <c r="E14401">
        <v>957444</v>
      </c>
      <c r="F14401">
        <v>3.8294397274619698E-8</v>
      </c>
      <c r="G14401">
        <v>1351870</v>
      </c>
      <c r="H14401">
        <v>13440355</v>
      </c>
      <c r="I14401">
        <v>10260432</v>
      </c>
      <c r="J14401">
        <v>3</v>
      </c>
    </row>
    <row r="14402" spans="1:10" x14ac:dyDescent="0.25">
      <c r="A14402" t="s">
        <v>154</v>
      </c>
      <c r="B14402" s="1" t="str">
        <f>HYPERLINK("http://fostergrant.com","fostergrant.com")</f>
        <v>fostergrant.com</v>
      </c>
      <c r="C14402" t="s">
        <v>433</v>
      </c>
      <c r="E14402">
        <v>177064</v>
      </c>
      <c r="F14402">
        <v>1.4016076557408201E-7</v>
      </c>
      <c r="G14402">
        <v>277909</v>
      </c>
      <c r="H14402">
        <v>14708629</v>
      </c>
      <c r="I14402">
        <v>585030</v>
      </c>
      <c r="J14402">
        <v>4</v>
      </c>
    </row>
    <row r="14403" spans="1:10" x14ac:dyDescent="0.25">
      <c r="A14403" t="s">
        <v>154</v>
      </c>
      <c r="B14403" s="1" t="str">
        <f>HYPERLINK("http://framesdirect.com","framesdirect.com")</f>
        <v>framesdirect.com</v>
      </c>
      <c r="C14403" t="s">
        <v>433</v>
      </c>
      <c r="E14403">
        <v>46943</v>
      </c>
      <c r="F14403">
        <v>3.8100791269990801E-6</v>
      </c>
      <c r="G14403">
        <v>10970</v>
      </c>
      <c r="H14403">
        <v>15103117</v>
      </c>
      <c r="I14403">
        <v>406064</v>
      </c>
      <c r="J14403">
        <v>5</v>
      </c>
    </row>
    <row r="14404" spans="1:10" x14ac:dyDescent="0.25">
      <c r="A14404" t="s">
        <v>154</v>
      </c>
      <c r="B14404" s="1" t="str">
        <f>HYPERLINK("http://grandoptical.com","grandoptical.com")</f>
        <v>grandoptical.com</v>
      </c>
      <c r="C14404" t="s">
        <v>433</v>
      </c>
      <c r="E14404">
        <v>643155</v>
      </c>
      <c r="F14404">
        <v>4.1184498040913802E-8</v>
      </c>
      <c r="G14404">
        <v>1260716</v>
      </c>
      <c r="H14404">
        <v>14129887</v>
      </c>
      <c r="I14404">
        <v>2039260</v>
      </c>
      <c r="J14404">
        <v>5</v>
      </c>
    </row>
    <row r="14405" spans="1:10" x14ac:dyDescent="0.25">
      <c r="A14405" t="s">
        <v>154</v>
      </c>
      <c r="B14405" s="1" t="str">
        <f>HYPERLINK("http://grandvision.com","grandvision.com")</f>
        <v>grandvision.com</v>
      </c>
      <c r="C14405" t="s">
        <v>433</v>
      </c>
      <c r="F14405">
        <v>9.5967991520622498E-8</v>
      </c>
      <c r="G14405">
        <v>421749</v>
      </c>
      <c r="H14405">
        <v>13469847</v>
      </c>
      <c r="I14405">
        <v>10038536</v>
      </c>
      <c r="J14405">
        <v>3</v>
      </c>
    </row>
    <row r="14406" spans="1:10" x14ac:dyDescent="0.25">
      <c r="A14406" t="s">
        <v>154</v>
      </c>
      <c r="B14406" s="1" t="str">
        <f>HYPERLINK("http://icoatcompany.com","icoatcompany.com")</f>
        <v>icoatcompany.com</v>
      </c>
      <c r="C14406" t="s">
        <v>433</v>
      </c>
      <c r="F14406">
        <v>8.5001422736268904E-9</v>
      </c>
      <c r="G14406">
        <v>8845553</v>
      </c>
      <c r="H14406">
        <v>12348773</v>
      </c>
      <c r="I14406">
        <v>19784715</v>
      </c>
      <c r="J14406">
        <v>3</v>
      </c>
    </row>
    <row r="14407" spans="1:10" x14ac:dyDescent="0.25">
      <c r="A14407" t="s">
        <v>154</v>
      </c>
      <c r="B14407" s="1" t="str">
        <f>HYPERLINK("http://integratedlens.com","integratedlens.com")</f>
        <v>integratedlens.com</v>
      </c>
      <c r="C14407" t="s">
        <v>433</v>
      </c>
      <c r="J14407">
        <v>4</v>
      </c>
    </row>
    <row r="14408" spans="1:10" x14ac:dyDescent="0.25">
      <c r="A14408" t="s">
        <v>154</v>
      </c>
      <c r="B14408" s="1" t="str">
        <f>HYPERLINK("http://lenscrafters.com","lenscrafters.com")</f>
        <v>lenscrafters.com</v>
      </c>
      <c r="C14408" t="s">
        <v>433</v>
      </c>
      <c r="E14408">
        <v>46842</v>
      </c>
      <c r="F14408">
        <v>5.6027468694797898E-7</v>
      </c>
      <c r="G14408">
        <v>69270</v>
      </c>
      <c r="H14408">
        <v>15268096</v>
      </c>
      <c r="I14408">
        <v>388658</v>
      </c>
      <c r="J14408">
        <v>5</v>
      </c>
    </row>
    <row r="14409" spans="1:10" x14ac:dyDescent="0.25">
      <c r="A14409" t="s">
        <v>154</v>
      </c>
      <c r="B14409" s="1" t="str">
        <f>HYPERLINK("http://lenson.com","lenson.com")</f>
        <v>lenson.com</v>
      </c>
      <c r="C14409" t="s">
        <v>433</v>
      </c>
      <c r="E14409">
        <v>980519</v>
      </c>
      <c r="F14409">
        <v>3.0422834945710102E-8</v>
      </c>
      <c r="G14409">
        <v>1692309</v>
      </c>
      <c r="H14409">
        <v>14127864</v>
      </c>
      <c r="I14409">
        <v>2078075</v>
      </c>
      <c r="J14409">
        <v>4</v>
      </c>
    </row>
    <row r="14410" spans="1:10" x14ac:dyDescent="0.25">
      <c r="A14410" t="s">
        <v>154</v>
      </c>
      <c r="B14410" s="1" t="str">
        <f>HYPERLINK("http://lionsaves.com","lionsaves.com")</f>
        <v>lionsaves.com</v>
      </c>
      <c r="C14410" t="s">
        <v>433</v>
      </c>
      <c r="F14410">
        <v>5.0098471345427496E-9</v>
      </c>
      <c r="G14410">
        <v>29144527</v>
      </c>
      <c r="H14410">
        <v>13090053</v>
      </c>
      <c r="I14410">
        <v>12145379</v>
      </c>
      <c r="J14410">
        <v>7</v>
      </c>
    </row>
    <row r="14411" spans="1:10" x14ac:dyDescent="0.25">
      <c r="A14411" t="s">
        <v>154</v>
      </c>
      <c r="B14411" s="1" t="str">
        <f>HYPERLINK("http://luxottica.com","luxottica.com")</f>
        <v>luxottica.com</v>
      </c>
      <c r="C14411" t="s">
        <v>433</v>
      </c>
      <c r="E14411">
        <v>39266</v>
      </c>
      <c r="F14411">
        <v>6.1888741271273904E-7</v>
      </c>
      <c r="G14411">
        <v>61870</v>
      </c>
      <c r="H14411">
        <v>15419463</v>
      </c>
      <c r="I14411">
        <v>379381</v>
      </c>
      <c r="J14411">
        <v>2</v>
      </c>
    </row>
    <row r="14412" spans="1:10" x14ac:dyDescent="0.25">
      <c r="A14412" t="s">
        <v>154</v>
      </c>
      <c r="B14412" s="1" t="str">
        <f>HYPERLINK("http://luxotticaretail.com","luxotticaretail.com")</f>
        <v>luxotticaretail.com</v>
      </c>
      <c r="C14412" t="s">
        <v>433</v>
      </c>
      <c r="E14412">
        <v>384519</v>
      </c>
      <c r="F14412">
        <v>2.02031823092279E-8</v>
      </c>
      <c r="G14412">
        <v>2628610</v>
      </c>
      <c r="H14412">
        <v>12909922</v>
      </c>
      <c r="I14412">
        <v>13568306</v>
      </c>
      <c r="J14412">
        <v>4</v>
      </c>
    </row>
    <row r="14413" spans="1:10" x14ac:dyDescent="0.25">
      <c r="A14413" t="s">
        <v>154</v>
      </c>
      <c r="B14413" s="1" t="str">
        <f>HYPERLINK("http://masvision.com","masvision.com")</f>
        <v>masvision.com</v>
      </c>
      <c r="C14413" t="s">
        <v>433</v>
      </c>
      <c r="F14413">
        <v>4.5963111883544403E-9</v>
      </c>
      <c r="G14413">
        <v>47893672</v>
      </c>
      <c r="H14413">
        <v>10722765</v>
      </c>
      <c r="I14413">
        <v>41573629</v>
      </c>
      <c r="J14413">
        <v>4</v>
      </c>
    </row>
    <row r="14414" spans="1:10" x14ac:dyDescent="0.25">
      <c r="A14414" t="s">
        <v>154</v>
      </c>
      <c r="B14414" s="1" t="str">
        <f>HYPERLINK("http://mikli.com","mikli.com")</f>
        <v>mikli.com</v>
      </c>
      <c r="C14414" t="s">
        <v>433</v>
      </c>
      <c r="F14414">
        <v>1.30959762008767E-8</v>
      </c>
      <c r="G14414">
        <v>4585876</v>
      </c>
      <c r="H14414">
        <v>13810620</v>
      </c>
      <c r="I14414">
        <v>6210965</v>
      </c>
      <c r="J14414">
        <v>5</v>
      </c>
    </row>
    <row r="14415" spans="1:10" x14ac:dyDescent="0.25">
      <c r="A14415" t="s">
        <v>154</v>
      </c>
      <c r="B14415" s="1" t="str">
        <f>HYPERLINK("http://myoptique.com","myoptique.com")</f>
        <v>myoptique.com</v>
      </c>
      <c r="C14415" t="s">
        <v>433</v>
      </c>
      <c r="F14415">
        <v>7.7860656259394597E-9</v>
      </c>
      <c r="G14415">
        <v>10354659</v>
      </c>
      <c r="H14415">
        <v>13787461</v>
      </c>
      <c r="I14415">
        <v>6373992</v>
      </c>
      <c r="J14415">
        <v>4</v>
      </c>
    </row>
    <row r="14416" spans="1:10" x14ac:dyDescent="0.25">
      <c r="A14416" t="s">
        <v>154</v>
      </c>
      <c r="B14416" s="1" t="str">
        <f>HYPERLINK("http://oakley.com","oakley.com")</f>
        <v>oakley.com</v>
      </c>
      <c r="C14416" t="s">
        <v>433</v>
      </c>
      <c r="E14416">
        <v>14113</v>
      </c>
      <c r="F14416">
        <v>1.6738802373776401E-6</v>
      </c>
      <c r="G14416">
        <v>23713</v>
      </c>
      <c r="H14416">
        <v>17458844</v>
      </c>
      <c r="I14416">
        <v>15674</v>
      </c>
      <c r="J14416">
        <v>3</v>
      </c>
    </row>
    <row r="14417" spans="1:10" x14ac:dyDescent="0.25">
      <c r="A14417" t="s">
        <v>154</v>
      </c>
      <c r="B14417" s="1" t="str">
        <f>HYPERLINK("http://oliverpeoples.com","oliverpeoples.com")</f>
        <v>oliverpeoples.com</v>
      </c>
      <c r="C14417" t="s">
        <v>433</v>
      </c>
      <c r="E14417">
        <v>136491</v>
      </c>
      <c r="F14417">
        <v>3.9277165676126601E-7</v>
      </c>
      <c r="G14417">
        <v>95481</v>
      </c>
      <c r="H14417">
        <v>17097832</v>
      </c>
      <c r="I14417">
        <v>64321</v>
      </c>
      <c r="J14417">
        <v>5</v>
      </c>
    </row>
    <row r="14418" spans="1:10" x14ac:dyDescent="0.25">
      <c r="A14418" t="s">
        <v>154</v>
      </c>
      <c r="B14418" s="1" t="str">
        <f>HYPERLINK("http://opakoptik.com","opakoptik.com")</f>
        <v>opakoptik.com</v>
      </c>
      <c r="C14418" t="s">
        <v>433</v>
      </c>
      <c r="F14418">
        <v>4.5411678530635301E-9</v>
      </c>
      <c r="G14418">
        <v>53203014</v>
      </c>
      <c r="H14418">
        <v>12320826</v>
      </c>
      <c r="I14418">
        <v>20400440</v>
      </c>
      <c r="J14418">
        <v>4</v>
      </c>
    </row>
    <row r="14419" spans="1:10" x14ac:dyDescent="0.25">
      <c r="A14419" t="s">
        <v>154</v>
      </c>
      <c r="B14419" s="1" t="str">
        <f>HYPERLINK("http://opsm.com","opsm.com")</f>
        <v>opsm.com</v>
      </c>
      <c r="C14419" t="s">
        <v>433</v>
      </c>
      <c r="F14419">
        <v>4.9356514079339997E-9</v>
      </c>
      <c r="G14419">
        <v>31216249</v>
      </c>
      <c r="H14419">
        <v>12710316</v>
      </c>
      <c r="I14419">
        <v>15299384</v>
      </c>
      <c r="J14419">
        <v>7</v>
      </c>
    </row>
    <row r="14420" spans="1:10" x14ac:dyDescent="0.25">
      <c r="A14420" t="s">
        <v>154</v>
      </c>
      <c r="B14420" s="1" t="str">
        <f>HYPERLINK("http://osme-co.com","osme-co.com")</f>
        <v>osme-co.com</v>
      </c>
      <c r="C14420" t="s">
        <v>433</v>
      </c>
      <c r="F14420">
        <v>4.5547543135345603E-9</v>
      </c>
      <c r="G14420">
        <v>51690723</v>
      </c>
      <c r="H14420">
        <v>9841123</v>
      </c>
      <c r="I14420">
        <v>62244493</v>
      </c>
      <c r="J14420">
        <v>4</v>
      </c>
    </row>
    <row r="14421" spans="1:10" x14ac:dyDescent="0.25">
      <c r="A14421" t="s">
        <v>154</v>
      </c>
      <c r="B14421" s="1" t="str">
        <f>HYPERLINK("http://ownapearlevision.com","ownapearlevision.com")</f>
        <v>ownapearlevision.com</v>
      </c>
      <c r="C14421" t="s">
        <v>433</v>
      </c>
      <c r="F14421">
        <v>2.2574619640622499E-8</v>
      </c>
      <c r="G14421">
        <v>2320221</v>
      </c>
      <c r="H14421">
        <v>12796129</v>
      </c>
      <c r="I14421">
        <v>14655539</v>
      </c>
      <c r="J14421">
        <v>6</v>
      </c>
    </row>
    <row r="14422" spans="1:10" x14ac:dyDescent="0.25">
      <c r="A14422" t="s">
        <v>154</v>
      </c>
      <c r="B14422" s="1" t="str">
        <f>HYPERLINK("http://pearlevision.com","pearlevision.com")</f>
        <v>pearlevision.com</v>
      </c>
      <c r="C14422" t="s">
        <v>433</v>
      </c>
      <c r="E14422">
        <v>121392</v>
      </c>
      <c r="F14422">
        <v>3.3091919726286402E-7</v>
      </c>
      <c r="G14422">
        <v>112598</v>
      </c>
      <c r="H14422">
        <v>14460538</v>
      </c>
      <c r="I14422">
        <v>1047114</v>
      </c>
      <c r="J14422">
        <v>5</v>
      </c>
    </row>
    <row r="14423" spans="1:10" x14ac:dyDescent="0.25">
      <c r="A14423" t="s">
        <v>154</v>
      </c>
      <c r="B14423" s="1" t="str">
        <f>HYPERLINK("http://pearlevisionmaplegrove.com","pearlevisionmaplegrove.com")</f>
        <v>pearlevisionmaplegrove.com</v>
      </c>
      <c r="C14423" t="s">
        <v>433</v>
      </c>
      <c r="F14423">
        <v>5.0362178348832399E-9</v>
      </c>
      <c r="G14423">
        <v>28527493</v>
      </c>
      <c r="H14423">
        <v>10794832</v>
      </c>
      <c r="I14423">
        <v>38325305</v>
      </c>
      <c r="J14423">
        <v>6</v>
      </c>
    </row>
    <row r="14424" spans="1:10" x14ac:dyDescent="0.25">
      <c r="A14424" t="s">
        <v>154</v>
      </c>
      <c r="B14424" s="1" t="str">
        <f>HYPERLINK("http://persol.com","persol.com")</f>
        <v>persol.com</v>
      </c>
      <c r="C14424" t="s">
        <v>433</v>
      </c>
      <c r="E14424">
        <v>142787</v>
      </c>
      <c r="F14424">
        <v>3.1828143417480502E-7</v>
      </c>
      <c r="G14424">
        <v>116880</v>
      </c>
      <c r="H14424">
        <v>14296455</v>
      </c>
      <c r="I14424">
        <v>1359896</v>
      </c>
      <c r="J14424">
        <v>5</v>
      </c>
    </row>
    <row r="14425" spans="1:10" x14ac:dyDescent="0.25">
      <c r="A14425" t="s">
        <v>154</v>
      </c>
      <c r="B14425" s="1" t="str">
        <f>HYPERLINK("http://polycore.com","polycore.com")</f>
        <v>polycore.com</v>
      </c>
      <c r="C14425" t="s">
        <v>433</v>
      </c>
      <c r="F14425">
        <v>5.0290731912513301E-9</v>
      </c>
      <c r="G14425">
        <v>28690227</v>
      </c>
      <c r="H14425">
        <v>12224321</v>
      </c>
      <c r="I14425">
        <v>22673481</v>
      </c>
      <c r="J14425">
        <v>4</v>
      </c>
    </row>
    <row r="14426" spans="1:10" x14ac:dyDescent="0.25">
      <c r="A14426" t="s">
        <v>154</v>
      </c>
      <c r="B14426" s="1" t="str">
        <f>HYPERLINK("http://premierop.com","premierop.com")</f>
        <v>premierop.com</v>
      </c>
      <c r="C14426" t="s">
        <v>433</v>
      </c>
      <c r="F14426">
        <v>9.2555727574610705E-9</v>
      </c>
      <c r="G14426">
        <v>7631172</v>
      </c>
      <c r="H14426">
        <v>12827013</v>
      </c>
      <c r="I14426">
        <v>14452009</v>
      </c>
      <c r="J14426">
        <v>3</v>
      </c>
    </row>
    <row r="14427" spans="1:10" x14ac:dyDescent="0.25">
      <c r="A14427" t="s">
        <v>154</v>
      </c>
      <c r="B14427" s="1" t="str">
        <f>HYPERLINK("http://ray-ban.com","ray-ban.com")</f>
        <v>ray-ban.com</v>
      </c>
      <c r="C14427" t="s">
        <v>433</v>
      </c>
      <c r="E14427">
        <v>14080</v>
      </c>
      <c r="F14427">
        <v>4.6963366872202498E-6</v>
      </c>
      <c r="G14427">
        <v>7487</v>
      </c>
      <c r="H14427">
        <v>15863516</v>
      </c>
      <c r="I14427">
        <v>367452</v>
      </c>
      <c r="J14427">
        <v>5</v>
      </c>
    </row>
    <row r="14428" spans="1:10" x14ac:dyDescent="0.25">
      <c r="A14428" t="s">
        <v>154</v>
      </c>
      <c r="B14428" s="1" t="str">
        <f>HYPERLINK("http://satisloh.com","satisloh.com")</f>
        <v>satisloh.com</v>
      </c>
      <c r="C14428" t="s">
        <v>433</v>
      </c>
      <c r="F14428">
        <v>4.8025518001969803E-8</v>
      </c>
      <c r="G14428">
        <v>968004</v>
      </c>
      <c r="H14428">
        <v>14085416</v>
      </c>
      <c r="I14428">
        <v>2778047</v>
      </c>
      <c r="J14428">
        <v>3</v>
      </c>
    </row>
    <row r="14429" spans="1:10" x14ac:dyDescent="0.25">
      <c r="A14429" t="s">
        <v>154</v>
      </c>
      <c r="B14429" s="1" t="str">
        <f>HYPERLINK("http://servioptica.com","servioptica.com")</f>
        <v>servioptica.com</v>
      </c>
      <c r="C14429" t="s">
        <v>433</v>
      </c>
      <c r="F14429">
        <v>4.6086381714839499E-9</v>
      </c>
      <c r="G14429">
        <v>46947006</v>
      </c>
      <c r="H14429">
        <v>9949957</v>
      </c>
      <c r="I14429">
        <v>61215989</v>
      </c>
      <c r="J14429">
        <v>3</v>
      </c>
    </row>
    <row r="14430" spans="1:10" x14ac:dyDescent="0.25">
      <c r="A14430" t="s">
        <v>154</v>
      </c>
      <c r="B14430" s="1" t="str">
        <f>HYPERLINK("http://shamir.com","shamir.com")</f>
        <v>shamir.com</v>
      </c>
      <c r="C14430" t="s">
        <v>433</v>
      </c>
      <c r="F14430">
        <v>8.4246941646244698E-8</v>
      </c>
      <c r="G14430">
        <v>490803</v>
      </c>
      <c r="H14430">
        <v>13483613</v>
      </c>
      <c r="I14430">
        <v>9999728</v>
      </c>
      <c r="J14430">
        <v>4</v>
      </c>
    </row>
    <row r="14431" spans="1:10" x14ac:dyDescent="0.25">
      <c r="A14431" t="s">
        <v>154</v>
      </c>
      <c r="B14431" s="1" t="str">
        <f>HYPERLINK("http://shamirinsight.com","shamirinsight.com")</f>
        <v>shamirinsight.com</v>
      </c>
      <c r="C14431" t="s">
        <v>433</v>
      </c>
      <c r="J14431">
        <v>3</v>
      </c>
    </row>
    <row r="14432" spans="1:10" x14ac:dyDescent="0.25">
      <c r="A14432" t="s">
        <v>154</v>
      </c>
      <c r="B14432" s="1" t="str">
        <f>HYPERLINK("http://solaris-sunglass.com","solaris-sunglass.com")</f>
        <v>solaris-sunglass.com</v>
      </c>
      <c r="C14432" t="s">
        <v>433</v>
      </c>
      <c r="F14432">
        <v>9.43991305196711E-9</v>
      </c>
      <c r="G14432">
        <v>7395091</v>
      </c>
      <c r="H14432">
        <v>14133783</v>
      </c>
      <c r="I14432">
        <v>1985431</v>
      </c>
      <c r="J14432">
        <v>3</v>
      </c>
    </row>
    <row r="14433" spans="1:10" x14ac:dyDescent="0.25">
      <c r="A14433" t="s">
        <v>154</v>
      </c>
      <c r="B14433" s="1" t="str">
        <f>HYPERLINK("http://solarismexico.com","solarismexico.com")</f>
        <v>solarismexico.com</v>
      </c>
      <c r="C14433" t="s">
        <v>433</v>
      </c>
      <c r="F14433">
        <v>1.31430256544767E-8</v>
      </c>
      <c r="G14433">
        <v>4564260</v>
      </c>
      <c r="H14433">
        <v>13768168</v>
      </c>
      <c r="I14433">
        <v>6892422</v>
      </c>
      <c r="J14433">
        <v>4</v>
      </c>
    </row>
    <row r="14434" spans="1:10" x14ac:dyDescent="0.25">
      <c r="A14434" t="s">
        <v>154</v>
      </c>
      <c r="B14434" s="1" t="str">
        <f>HYPERLINK("http://stcroixcollections.com","stcroixcollections.com")</f>
        <v>stcroixcollections.com</v>
      </c>
      <c r="C14434" t="s">
        <v>433</v>
      </c>
      <c r="F14434">
        <v>2.20827869070693E-8</v>
      </c>
      <c r="G14434">
        <v>2376496</v>
      </c>
      <c r="H14434">
        <v>12966266</v>
      </c>
      <c r="I14434">
        <v>13083595</v>
      </c>
      <c r="J14434">
        <v>7</v>
      </c>
    </row>
    <row r="14435" spans="1:10" x14ac:dyDescent="0.25">
      <c r="A14435" t="s">
        <v>154</v>
      </c>
      <c r="B14435" s="1" t="str">
        <f>HYPERLINK("http://stcroixshop.com","stcroixshop.com")</f>
        <v>stcroixshop.com</v>
      </c>
      <c r="C14435" t="s">
        <v>433</v>
      </c>
      <c r="F14435">
        <v>1.33789167365473E-8</v>
      </c>
      <c r="G14435">
        <v>4457404</v>
      </c>
      <c r="H14435">
        <v>13526539</v>
      </c>
      <c r="I14435">
        <v>9931366</v>
      </c>
      <c r="J14435">
        <v>5</v>
      </c>
    </row>
    <row r="14436" spans="1:10" x14ac:dyDescent="0.25">
      <c r="A14436" t="s">
        <v>154</v>
      </c>
      <c r="B14436" s="1" t="str">
        <f>HYPERLINK("http://stereooptical.com","stereooptical.com")</f>
        <v>stereooptical.com</v>
      </c>
      <c r="C14436" t="s">
        <v>433</v>
      </c>
      <c r="F14436">
        <v>1.8484008521045E-8</v>
      </c>
      <c r="G14436">
        <v>2928576</v>
      </c>
      <c r="H14436">
        <v>13843027</v>
      </c>
      <c r="I14436">
        <v>6066560</v>
      </c>
      <c r="J14436">
        <v>6</v>
      </c>
    </row>
    <row r="14437" spans="1:10" x14ac:dyDescent="0.25">
      <c r="A14437" t="s">
        <v>154</v>
      </c>
      <c r="B14437" s="1" t="str">
        <f>HYPERLINK("http://sumwear.com","sumwear.com")</f>
        <v>sumwear.com</v>
      </c>
      <c r="C14437" t="s">
        <v>433</v>
      </c>
      <c r="F14437">
        <v>5.0951527424646801E-9</v>
      </c>
      <c r="G14437">
        <v>27180256</v>
      </c>
      <c r="H14437">
        <v>11046094</v>
      </c>
      <c r="I14437">
        <v>32845639</v>
      </c>
      <c r="J14437">
        <v>7</v>
      </c>
    </row>
    <row r="14438" spans="1:10" x14ac:dyDescent="0.25">
      <c r="A14438" t="s">
        <v>154</v>
      </c>
      <c r="B14438" s="1" t="str">
        <f>HYPERLINK("http://sunglasshut.com","sunglasshut.com")</f>
        <v>sunglasshut.com</v>
      </c>
      <c r="C14438" t="s">
        <v>433</v>
      </c>
      <c r="E14438">
        <v>31574</v>
      </c>
      <c r="F14438">
        <v>5.8975187340515498E-7</v>
      </c>
      <c r="G14438">
        <v>64855</v>
      </c>
      <c r="H14438">
        <v>15238095</v>
      </c>
      <c r="I14438">
        <v>391506</v>
      </c>
      <c r="J14438">
        <v>2</v>
      </c>
    </row>
    <row r="14439" spans="1:10" x14ac:dyDescent="0.25">
      <c r="A14439" t="s">
        <v>154</v>
      </c>
      <c r="B14439" s="1" t="str">
        <f>HYPERLINK("http://toraoptik.com","toraoptik.com")</f>
        <v>toraoptik.com</v>
      </c>
      <c r="C14439" t="s">
        <v>433</v>
      </c>
      <c r="J14439">
        <v>4</v>
      </c>
    </row>
    <row r="14440" spans="1:10" x14ac:dyDescent="0.25">
      <c r="A14440" t="s">
        <v>154</v>
      </c>
      <c r="B14440" s="1" t="str">
        <f>HYPERLINK("http://transitions.com","transitions.com")</f>
        <v>transitions.com</v>
      </c>
      <c r="C14440" t="s">
        <v>433</v>
      </c>
      <c r="E14440">
        <v>154651</v>
      </c>
      <c r="F14440">
        <v>3.5493480893877798E-7</v>
      </c>
      <c r="G14440">
        <v>105315</v>
      </c>
      <c r="H14440">
        <v>14693975</v>
      </c>
      <c r="I14440">
        <v>600422</v>
      </c>
      <c r="J14440">
        <v>3</v>
      </c>
    </row>
    <row r="14441" spans="1:10" x14ac:dyDescent="0.25">
      <c r="A14441" t="s">
        <v>154</v>
      </c>
      <c r="B14441" s="1" t="str">
        <f>HYPERLINK("http://transitios.com","transitios.com")</f>
        <v>transitios.com</v>
      </c>
      <c r="C14441" t="s">
        <v>433</v>
      </c>
      <c r="J14441">
        <v>5</v>
      </c>
    </row>
    <row r="14442" spans="1:10" x14ac:dyDescent="0.25">
      <c r="A14442" t="s">
        <v>154</v>
      </c>
      <c r="B14442" s="1" t="str">
        <f>HYPERLINK("http://variluxusa.com","variluxusa.com")</f>
        <v>variluxusa.com</v>
      </c>
      <c r="C14442" t="s">
        <v>433</v>
      </c>
      <c r="F14442">
        <v>4.5272720225908003E-8</v>
      </c>
      <c r="G14442">
        <v>1041271</v>
      </c>
      <c r="H14442">
        <v>14120317</v>
      </c>
      <c r="I14442">
        <v>2363617</v>
      </c>
      <c r="J14442">
        <v>7</v>
      </c>
    </row>
    <row r="14443" spans="1:10" x14ac:dyDescent="0.25">
      <c r="A14443" t="s">
        <v>154</v>
      </c>
      <c r="B14443" s="1" t="str">
        <f>HYPERLINK("http://vision.com","vision.com")</f>
        <v>vision.com</v>
      </c>
      <c r="C14443" t="s">
        <v>433</v>
      </c>
      <c r="F14443">
        <v>3.3158056599237299E-8</v>
      </c>
      <c r="G14443">
        <v>1558220</v>
      </c>
      <c r="H14443">
        <v>13876111</v>
      </c>
      <c r="I14443">
        <v>5989629</v>
      </c>
      <c r="J14443">
        <v>4</v>
      </c>
    </row>
    <row r="14444" spans="1:10" x14ac:dyDescent="0.25">
      <c r="A14444" t="s">
        <v>154</v>
      </c>
      <c r="B14444" s="1" t="str">
        <f>HYPERLINK("http://visionexpress.com","visionexpress.com")</f>
        <v>visionexpress.com</v>
      </c>
      <c r="C14444" t="s">
        <v>433</v>
      </c>
      <c r="E14444">
        <v>134438</v>
      </c>
      <c r="F14444">
        <v>2.25394243154112E-7</v>
      </c>
      <c r="G14444">
        <v>167177</v>
      </c>
      <c r="H14444">
        <v>14771601</v>
      </c>
      <c r="I14444">
        <v>557274</v>
      </c>
      <c r="J14444">
        <v>3</v>
      </c>
    </row>
    <row r="14445" spans="1:10" x14ac:dyDescent="0.25">
      <c r="A14445" t="s">
        <v>154</v>
      </c>
      <c r="B14445" s="1" t="str">
        <f>HYPERLINK("http://visionexpress-bg.com","visionexpress-bg.com")</f>
        <v>visionexpress-bg.com</v>
      </c>
      <c r="C14445" t="s">
        <v>433</v>
      </c>
      <c r="F14445">
        <v>1.3101032081889501E-8</v>
      </c>
      <c r="G14445">
        <v>4583542</v>
      </c>
      <c r="H14445">
        <v>12252457</v>
      </c>
      <c r="I14445">
        <v>21953252</v>
      </c>
      <c r="J14445">
        <v>6</v>
      </c>
    </row>
    <row r="14446" spans="1:10" x14ac:dyDescent="0.25">
      <c r="A14446" t="s">
        <v>154</v>
      </c>
      <c r="B14446" s="1" t="str">
        <f>HYPERLINK("http://visionstarllc.com","visionstarllc.com")</f>
        <v>visionstarllc.com</v>
      </c>
      <c r="C14446" t="s">
        <v>433</v>
      </c>
      <c r="F14446">
        <v>5.3525260855526904E-9</v>
      </c>
      <c r="G14446">
        <v>22771399</v>
      </c>
      <c r="H14446">
        <v>10200871</v>
      </c>
      <c r="I14446">
        <v>59029250</v>
      </c>
      <c r="J14446">
        <v>4</v>
      </c>
    </row>
    <row r="14447" spans="1:10" x14ac:dyDescent="0.25">
      <c r="A14447" t="s">
        <v>154</v>
      </c>
      <c r="B14447" s="1" t="str">
        <f>HYPERLINK("http://walman.com","walman.com")</f>
        <v>walman.com</v>
      </c>
      <c r="C14447" t="s">
        <v>433</v>
      </c>
      <c r="F14447">
        <v>1.8827707810914299E-8</v>
      </c>
      <c r="G14447">
        <v>2866461</v>
      </c>
      <c r="H14447">
        <v>13201092</v>
      </c>
      <c r="I14447">
        <v>11547329</v>
      </c>
      <c r="J14447">
        <v>3</v>
      </c>
    </row>
    <row r="14448" spans="1:10" x14ac:dyDescent="0.25">
      <c r="A14448" t="s">
        <v>154</v>
      </c>
      <c r="B14448" s="1" t="str">
        <f>HYPERLINK("http://walmanoptical.com","walmanoptical.com")</f>
        <v>walmanoptical.com</v>
      </c>
      <c r="C14448" t="s">
        <v>433</v>
      </c>
      <c r="F14448">
        <v>1.7007014069525499E-8</v>
      </c>
      <c r="G14448">
        <v>3281671</v>
      </c>
      <c r="H14448">
        <v>12544532</v>
      </c>
      <c r="I14448">
        <v>16891248</v>
      </c>
      <c r="J14448">
        <v>6</v>
      </c>
    </row>
    <row r="14449" spans="1:10" x14ac:dyDescent="0.25">
      <c r="A14449" t="s">
        <v>154</v>
      </c>
      <c r="B14449" s="1" t="str">
        <f>HYPERLINK("http://willbesun.com","willbesun.com")</f>
        <v>willbesun.com</v>
      </c>
      <c r="C14449" t="s">
        <v>433</v>
      </c>
      <c r="F14449">
        <v>4.44380395335525E-9</v>
      </c>
      <c r="G14449">
        <v>83996138</v>
      </c>
      <c r="H14449">
        <v>0</v>
      </c>
      <c r="I14449">
        <v>84942148</v>
      </c>
      <c r="J14449">
        <v>6</v>
      </c>
    </row>
    <row r="14450" spans="1:10" x14ac:dyDescent="0.25">
      <c r="A14450" t="s">
        <v>154</v>
      </c>
      <c r="B14450" s="1" t="str">
        <f>HYPERLINK("http://essilor.cz","essilor.cz")</f>
        <v>essilor.cz</v>
      </c>
      <c r="C14450" t="s">
        <v>435</v>
      </c>
      <c r="D14450" t="s">
        <v>814</v>
      </c>
      <c r="F14450">
        <v>5.3966245330357299E-8</v>
      </c>
      <c r="G14450">
        <v>839826</v>
      </c>
      <c r="H14450">
        <v>13936951</v>
      </c>
      <c r="I14450">
        <v>4479889</v>
      </c>
      <c r="J14450">
        <v>3</v>
      </c>
    </row>
    <row r="14451" spans="1:10" x14ac:dyDescent="0.25">
      <c r="A14451" t="s">
        <v>154</v>
      </c>
      <c r="B14451" s="1" t="str">
        <f>HYPERLINK("http://grandoptical.cz","grandoptical.cz")</f>
        <v>grandoptical.cz</v>
      </c>
      <c r="C14451" t="s">
        <v>435</v>
      </c>
      <c r="D14451" t="s">
        <v>814</v>
      </c>
      <c r="F14451">
        <v>8.4829604933029402E-8</v>
      </c>
      <c r="G14451">
        <v>486590</v>
      </c>
      <c r="H14451">
        <v>13374977</v>
      </c>
      <c r="I14451">
        <v>10447105</v>
      </c>
      <c r="J14451">
        <v>4</v>
      </c>
    </row>
    <row r="14452" spans="1:10" x14ac:dyDescent="0.25">
      <c r="A14452" t="s">
        <v>154</v>
      </c>
      <c r="B14452" s="1" t="str">
        <f>HYPERLINK("http://4care.de","4care.de")</f>
        <v>4care.de</v>
      </c>
      <c r="C14452" t="s">
        <v>436</v>
      </c>
      <c r="D14452" t="s">
        <v>815</v>
      </c>
      <c r="F14452">
        <v>2.2137160466410999E-8</v>
      </c>
      <c r="G14452">
        <v>2370182</v>
      </c>
      <c r="H14452">
        <v>12422670</v>
      </c>
      <c r="I14452">
        <v>18405636</v>
      </c>
      <c r="J14452">
        <v>4</v>
      </c>
    </row>
    <row r="14453" spans="1:10" x14ac:dyDescent="0.25">
      <c r="A14453" t="s">
        <v>154</v>
      </c>
      <c r="B14453" s="1" t="str">
        <f>HYPERLINK("http://akustik-weyrauch.de","akustik-weyrauch.de")</f>
        <v>akustik-weyrauch.de</v>
      </c>
      <c r="C14453" t="s">
        <v>436</v>
      </c>
      <c r="D14453" t="s">
        <v>815</v>
      </c>
      <c r="F14453">
        <v>4.9241947857737599E-9</v>
      </c>
      <c r="G14453">
        <v>31554441</v>
      </c>
      <c r="H14453">
        <v>12664462</v>
      </c>
      <c r="I14453">
        <v>15672986</v>
      </c>
      <c r="J14453">
        <v>7</v>
      </c>
    </row>
    <row r="14454" spans="1:10" x14ac:dyDescent="0.25">
      <c r="A14454" t="s">
        <v>154</v>
      </c>
      <c r="B14454" s="1" t="str">
        <f>HYPERLINK("http://apollo.de","apollo.de")</f>
        <v>apollo.de</v>
      </c>
      <c r="C14454" t="s">
        <v>436</v>
      </c>
      <c r="D14454" t="s">
        <v>815</v>
      </c>
      <c r="E14454">
        <v>205726</v>
      </c>
      <c r="F14454">
        <v>1.5799825670116801E-7</v>
      </c>
      <c r="G14454">
        <v>245743</v>
      </c>
      <c r="H14454">
        <v>14499077</v>
      </c>
      <c r="I14454">
        <v>858768</v>
      </c>
      <c r="J14454">
        <v>4</v>
      </c>
    </row>
    <row r="14455" spans="1:10" x14ac:dyDescent="0.25">
      <c r="A14455" t="s">
        <v>154</v>
      </c>
      <c r="B14455" s="1" t="str">
        <f>HYPERLINK("http://apollo-optik.de","apollo-optik.de")</f>
        <v>apollo-optik.de</v>
      </c>
      <c r="C14455" t="s">
        <v>436</v>
      </c>
      <c r="D14455" t="s">
        <v>815</v>
      </c>
      <c r="F14455">
        <v>6.0357421277805498E-9</v>
      </c>
      <c r="G14455">
        <v>16466177</v>
      </c>
      <c r="H14455">
        <v>12916206</v>
      </c>
      <c r="I14455">
        <v>13514090</v>
      </c>
      <c r="J14455">
        <v>7</v>
      </c>
    </row>
    <row r="14456" spans="1:10" x14ac:dyDescent="0.25">
      <c r="A14456" t="s">
        <v>154</v>
      </c>
      <c r="B14456" s="1" t="str">
        <f>HYPERLINK("http://brillenglas.de","brillenglas.de")</f>
        <v>brillenglas.de</v>
      </c>
      <c r="C14456" t="s">
        <v>436</v>
      </c>
      <c r="D14456" t="s">
        <v>815</v>
      </c>
      <c r="F14456">
        <v>1.82209477285688E-8</v>
      </c>
      <c r="G14456">
        <v>2982811</v>
      </c>
      <c r="H14456">
        <v>12388979</v>
      </c>
      <c r="I14456">
        <v>19067464</v>
      </c>
      <c r="J14456">
        <v>3</v>
      </c>
    </row>
    <row r="14457" spans="1:10" x14ac:dyDescent="0.25">
      <c r="A14457" t="s">
        <v>154</v>
      </c>
      <c r="B14457" s="1" t="str">
        <f>HYPERLINK("http://charlietemple.de","charlietemple.de")</f>
        <v>charlietemple.de</v>
      </c>
      <c r="C14457" t="s">
        <v>436</v>
      </c>
      <c r="D14457" t="s">
        <v>815</v>
      </c>
      <c r="F14457">
        <v>4.4865588809249098E-9</v>
      </c>
      <c r="G14457">
        <v>61110314</v>
      </c>
      <c r="H14457">
        <v>12027770</v>
      </c>
      <c r="I14457">
        <v>27709727</v>
      </c>
      <c r="J14457">
        <v>4</v>
      </c>
    </row>
    <row r="14458" spans="1:10" x14ac:dyDescent="0.25">
      <c r="A14458" t="s">
        <v>154</v>
      </c>
      <c r="B14458" s="1" t="str">
        <f>HYPERLINK("http://essilor.de","essilor.de")</f>
        <v>essilor.de</v>
      </c>
      <c r="C14458" t="s">
        <v>436</v>
      </c>
      <c r="D14458" t="s">
        <v>815</v>
      </c>
      <c r="F14458">
        <v>9.7135699676071202E-8</v>
      </c>
      <c r="G14458">
        <v>415914</v>
      </c>
      <c r="H14458">
        <v>13943260</v>
      </c>
      <c r="I14458">
        <v>4317021</v>
      </c>
      <c r="J14458">
        <v>3</v>
      </c>
    </row>
    <row r="14459" spans="1:10" x14ac:dyDescent="0.25">
      <c r="A14459" t="s">
        <v>154</v>
      </c>
      <c r="B14459" s="1" t="str">
        <f>HYPERLINK("http://lensbest.de","lensbest.de")</f>
        <v>lensbest.de</v>
      </c>
      <c r="C14459" t="s">
        <v>436</v>
      </c>
      <c r="D14459" t="s">
        <v>815</v>
      </c>
      <c r="E14459">
        <v>310797</v>
      </c>
      <c r="F14459">
        <v>1.0221170394665301E-7</v>
      </c>
      <c r="G14459">
        <v>392950</v>
      </c>
      <c r="H14459">
        <v>14163453</v>
      </c>
      <c r="I14459">
        <v>1829638</v>
      </c>
      <c r="J14459">
        <v>8</v>
      </c>
    </row>
    <row r="14460" spans="1:10" x14ac:dyDescent="0.25">
      <c r="A14460" t="s">
        <v>154</v>
      </c>
      <c r="B14460" s="1" t="str">
        <f>HYPERLINK("http://lenstore.de","lenstore.de")</f>
        <v>lenstore.de</v>
      </c>
      <c r="C14460" t="s">
        <v>436</v>
      </c>
      <c r="D14460" t="s">
        <v>815</v>
      </c>
      <c r="F14460">
        <v>3.8598399949529199E-8</v>
      </c>
      <c r="G14460">
        <v>1336005</v>
      </c>
      <c r="H14460">
        <v>13637303</v>
      </c>
      <c r="I14460">
        <v>9613457</v>
      </c>
      <c r="J14460">
        <v>7</v>
      </c>
    </row>
    <row r="14461" spans="1:10" x14ac:dyDescent="0.25">
      <c r="A14461" t="s">
        <v>154</v>
      </c>
      <c r="B14461" s="1" t="str">
        <f>HYPERLINK("http://pearl.de","pearl.de")</f>
        <v>pearl.de</v>
      </c>
      <c r="C14461" t="s">
        <v>436</v>
      </c>
      <c r="D14461" t="s">
        <v>815</v>
      </c>
      <c r="E14461">
        <v>40251</v>
      </c>
      <c r="F14461">
        <v>3.56843017328108E-7</v>
      </c>
      <c r="G14461">
        <v>104752</v>
      </c>
      <c r="H14461">
        <v>17142464</v>
      </c>
      <c r="I14461">
        <v>53742</v>
      </c>
      <c r="J14461">
        <v>8</v>
      </c>
    </row>
    <row r="14462" spans="1:10" x14ac:dyDescent="0.25">
      <c r="A14462" t="s">
        <v>154</v>
      </c>
      <c r="B14462" s="1" t="str">
        <f>HYPERLINK("http://robin-look.de","robin-look.de")</f>
        <v>robin-look.de</v>
      </c>
      <c r="C14462" t="s">
        <v>436</v>
      </c>
      <c r="D14462" t="s">
        <v>815</v>
      </c>
      <c r="F14462">
        <v>4.6730056315710901E-9</v>
      </c>
      <c r="G14462">
        <v>42760664</v>
      </c>
      <c r="H14462">
        <v>9508081</v>
      </c>
      <c r="I14462">
        <v>65614533</v>
      </c>
      <c r="J14462">
        <v>5</v>
      </c>
    </row>
    <row r="14463" spans="1:10" x14ac:dyDescent="0.25">
      <c r="A14463" t="s">
        <v>154</v>
      </c>
      <c r="B14463" s="1" t="str">
        <f>HYPERLINK("http://robinlook.de","robinlook.de")</f>
        <v>robinlook.de</v>
      </c>
      <c r="C14463" t="s">
        <v>436</v>
      </c>
      <c r="D14463" t="s">
        <v>815</v>
      </c>
      <c r="F14463">
        <v>1.5685432119506499E-8</v>
      </c>
      <c r="G14463">
        <v>3631499</v>
      </c>
      <c r="H14463">
        <v>12447340</v>
      </c>
      <c r="I14463">
        <v>18059788</v>
      </c>
      <c r="J14463">
        <v>3</v>
      </c>
    </row>
    <row r="14464" spans="1:10" x14ac:dyDescent="0.25">
      <c r="A14464" t="s">
        <v>154</v>
      </c>
      <c r="B14464" s="1" t="str">
        <f>HYPERLINK("http://bbgr.dk","bbgr.dk")</f>
        <v>bbgr.dk</v>
      </c>
      <c r="C14464" t="s">
        <v>437</v>
      </c>
      <c r="D14464" t="s">
        <v>816</v>
      </c>
      <c r="F14464">
        <v>5.7647086475227996E-9</v>
      </c>
      <c r="G14464">
        <v>18369320</v>
      </c>
      <c r="H14464">
        <v>2.0009769999999998</v>
      </c>
      <c r="I14464">
        <v>77952724</v>
      </c>
      <c r="J14464">
        <v>6</v>
      </c>
    </row>
    <row r="14465" spans="1:10" x14ac:dyDescent="0.25">
      <c r="A14465" t="s">
        <v>154</v>
      </c>
      <c r="B14465" s="1" t="str">
        <f>HYPERLINK("http://essilor.dk","essilor.dk")</f>
        <v>essilor.dk</v>
      </c>
      <c r="C14465" t="s">
        <v>437</v>
      </c>
      <c r="D14465" t="s">
        <v>816</v>
      </c>
      <c r="F14465">
        <v>1.6861954487710901E-8</v>
      </c>
      <c r="G14465">
        <v>3318431</v>
      </c>
      <c r="H14465">
        <v>12160065</v>
      </c>
      <c r="I14465">
        <v>24362204</v>
      </c>
      <c r="J14465">
        <v>3</v>
      </c>
    </row>
    <row r="14466" spans="1:10" x14ac:dyDescent="0.25">
      <c r="A14466" t="s">
        <v>154</v>
      </c>
      <c r="B14466" s="1" t="str">
        <f>HYPERLINK("http://lensway.dk","lensway.dk")</f>
        <v>lensway.dk</v>
      </c>
      <c r="C14466" t="s">
        <v>437</v>
      </c>
      <c r="D14466" t="s">
        <v>816</v>
      </c>
      <c r="F14466">
        <v>1.2092775639043999E-8</v>
      </c>
      <c r="G14466">
        <v>5117765</v>
      </c>
      <c r="H14466">
        <v>12149885</v>
      </c>
      <c r="I14466">
        <v>24628482</v>
      </c>
      <c r="J14466">
        <v>6</v>
      </c>
    </row>
    <row r="14467" spans="1:10" x14ac:dyDescent="0.25">
      <c r="A14467" t="s">
        <v>154</v>
      </c>
      <c r="B14467" s="1" t="str">
        <f>HYPERLINK("http://synoptik.dk","synoptik.dk")</f>
        <v>synoptik.dk</v>
      </c>
      <c r="C14467" t="s">
        <v>437</v>
      </c>
      <c r="D14467" t="s">
        <v>816</v>
      </c>
      <c r="E14467">
        <v>741597</v>
      </c>
      <c r="F14467">
        <v>3.1546250105467802E-8</v>
      </c>
      <c r="G14467">
        <v>1635688</v>
      </c>
      <c r="H14467">
        <v>12413674</v>
      </c>
      <c r="I14467">
        <v>18555604</v>
      </c>
      <c r="J14467">
        <v>4</v>
      </c>
    </row>
    <row r="14468" spans="1:10" x14ac:dyDescent="0.25">
      <c r="A14468" t="s">
        <v>154</v>
      </c>
      <c r="B14468" s="1" t="str">
        <f>HYPERLINK("http://instru.ee","instru.ee")</f>
        <v>instru.ee</v>
      </c>
      <c r="C14468" t="s">
        <v>441</v>
      </c>
      <c r="D14468" t="s">
        <v>820</v>
      </c>
      <c r="F14468">
        <v>1.74938164687868E-8</v>
      </c>
      <c r="G14468">
        <v>3147604</v>
      </c>
      <c r="H14468">
        <v>12488788</v>
      </c>
      <c r="I14468">
        <v>17503447</v>
      </c>
      <c r="J14468">
        <v>6</v>
      </c>
    </row>
    <row r="14469" spans="1:10" x14ac:dyDescent="0.25">
      <c r="A14469" t="s">
        <v>154</v>
      </c>
      <c r="B14469" s="1" t="str">
        <f>HYPERLINK("http://instrumentarium.ee","instrumentarium.ee")</f>
        <v>instrumentarium.ee</v>
      </c>
      <c r="C14469" t="s">
        <v>441</v>
      </c>
      <c r="D14469" t="s">
        <v>820</v>
      </c>
      <c r="F14469">
        <v>4.9528495077434302E-9</v>
      </c>
      <c r="G14469">
        <v>30703966</v>
      </c>
      <c r="H14469">
        <v>10598248</v>
      </c>
      <c r="I14469">
        <v>44999571</v>
      </c>
      <c r="J14469">
        <v>8</v>
      </c>
    </row>
    <row r="14470" spans="1:10" x14ac:dyDescent="0.25">
      <c r="A14470" t="s">
        <v>154</v>
      </c>
      <c r="B14470" s="1" t="str">
        <f>HYPERLINK("http://essilor.es","essilor.es")</f>
        <v>essilor.es</v>
      </c>
      <c r="C14470" t="s">
        <v>443</v>
      </c>
      <c r="D14470" t="s">
        <v>822</v>
      </c>
      <c r="F14470">
        <v>5.8482647357642601E-8</v>
      </c>
      <c r="G14470">
        <v>759529</v>
      </c>
      <c r="H14470">
        <v>14132072</v>
      </c>
      <c r="I14470">
        <v>2003714</v>
      </c>
      <c r="J14470">
        <v>3</v>
      </c>
    </row>
    <row r="14471" spans="1:10" x14ac:dyDescent="0.25">
      <c r="A14471" t="s">
        <v>154</v>
      </c>
      <c r="B14471" s="1" t="str">
        <f>HYPERLINK("http://lenstore.es","lenstore.es")</f>
        <v>lenstore.es</v>
      </c>
      <c r="C14471" t="s">
        <v>443</v>
      </c>
      <c r="D14471" t="s">
        <v>822</v>
      </c>
      <c r="F14471">
        <v>1.5736199518347801E-8</v>
      </c>
      <c r="G14471">
        <v>3617210</v>
      </c>
      <c r="H14471">
        <v>12945066</v>
      </c>
      <c r="I14471">
        <v>13244766</v>
      </c>
      <c r="J14471">
        <v>7</v>
      </c>
    </row>
    <row r="14472" spans="1:10" x14ac:dyDescent="0.25">
      <c r="A14472" t="s">
        <v>154</v>
      </c>
      <c r="B14472" s="1" t="str">
        <f>HYPERLINK("http://shamir.es","shamir.es")</f>
        <v>shamir.es</v>
      </c>
      <c r="C14472" t="s">
        <v>443</v>
      </c>
      <c r="D14472" t="s">
        <v>822</v>
      </c>
      <c r="F14472">
        <v>8.7095880592978394E-9</v>
      </c>
      <c r="G14472">
        <v>8460681</v>
      </c>
      <c r="H14472">
        <v>10809234</v>
      </c>
      <c r="I14472">
        <v>37891904</v>
      </c>
      <c r="J14472">
        <v>5</v>
      </c>
    </row>
    <row r="14473" spans="1:10" x14ac:dyDescent="0.25">
      <c r="A14473" t="s">
        <v>154</v>
      </c>
      <c r="B14473" s="1" t="str">
        <f>HYPERLINK("http://visiondirect.es","visiondirect.es")</f>
        <v>visiondirect.es</v>
      </c>
      <c r="C14473" t="s">
        <v>443</v>
      </c>
      <c r="D14473" t="s">
        <v>822</v>
      </c>
      <c r="E14473">
        <v>758003</v>
      </c>
      <c r="F14473">
        <v>4.6077780323911097E-8</v>
      </c>
      <c r="G14473">
        <v>1017915</v>
      </c>
      <c r="H14473">
        <v>13106983</v>
      </c>
      <c r="I14473">
        <v>12054596</v>
      </c>
      <c r="J14473">
        <v>5</v>
      </c>
    </row>
    <row r="14474" spans="1:10" x14ac:dyDescent="0.25">
      <c r="A14474" t="s">
        <v>154</v>
      </c>
      <c r="B14474" s="1" t="str">
        <f>HYPERLINK("http://2paria.fi","2paria.fi")</f>
        <v>2paria.fi</v>
      </c>
      <c r="C14474" t="s">
        <v>445</v>
      </c>
      <c r="D14474" t="s">
        <v>823</v>
      </c>
      <c r="J14474">
        <v>5</v>
      </c>
    </row>
    <row r="14475" spans="1:10" x14ac:dyDescent="0.25">
      <c r="A14475" t="s">
        <v>154</v>
      </c>
      <c r="B14475" s="1" t="str">
        <f>HYPERLINK("http://bbgr.fi","bbgr.fi")</f>
        <v>bbgr.fi</v>
      </c>
      <c r="C14475" t="s">
        <v>445</v>
      </c>
      <c r="D14475" t="s">
        <v>823</v>
      </c>
      <c r="F14475">
        <v>5.7647085876626603E-9</v>
      </c>
      <c r="G14475">
        <v>18369338</v>
      </c>
      <c r="H14475">
        <v>2.0009769999999998</v>
      </c>
      <c r="I14475">
        <v>77954667</v>
      </c>
      <c r="J14475">
        <v>5</v>
      </c>
    </row>
    <row r="14476" spans="1:10" x14ac:dyDescent="0.25">
      <c r="A14476" t="s">
        <v>154</v>
      </c>
      <c r="B14476" s="1" t="str">
        <f>HYPERLINK("http://crizal.fi","crizal.fi")</f>
        <v>crizal.fi</v>
      </c>
      <c r="C14476" t="s">
        <v>445</v>
      </c>
      <c r="D14476" t="s">
        <v>823</v>
      </c>
      <c r="J14476">
        <v>5</v>
      </c>
    </row>
    <row r="14477" spans="1:10" x14ac:dyDescent="0.25">
      <c r="A14477" t="s">
        <v>154</v>
      </c>
      <c r="B14477" s="1" t="str">
        <f>HYPERLINK("http://e-spf.fi","e-spf.fi")</f>
        <v>e-spf.fi</v>
      </c>
      <c r="C14477" t="s">
        <v>445</v>
      </c>
      <c r="D14477" t="s">
        <v>823</v>
      </c>
      <c r="J14477">
        <v>5</v>
      </c>
    </row>
    <row r="14478" spans="1:10" x14ac:dyDescent="0.25">
      <c r="A14478" t="s">
        <v>154</v>
      </c>
      <c r="B14478" s="1" t="str">
        <f>HYPERLINK("http://edullisetsilmalasit.fi","edullisetsilmalasit.fi")</f>
        <v>edullisetsilmalasit.fi</v>
      </c>
      <c r="C14478" t="s">
        <v>445</v>
      </c>
      <c r="D14478" t="s">
        <v>823</v>
      </c>
      <c r="J14478">
        <v>5</v>
      </c>
    </row>
    <row r="14479" spans="1:10" x14ac:dyDescent="0.25">
      <c r="A14479" t="s">
        <v>154</v>
      </c>
      <c r="B14479" s="1" t="str">
        <f>HYPERLINK("http://espf.fi","espf.fi")</f>
        <v>espf.fi</v>
      </c>
      <c r="C14479" t="s">
        <v>445</v>
      </c>
      <c r="D14479" t="s">
        <v>823</v>
      </c>
      <c r="J14479">
        <v>5</v>
      </c>
    </row>
    <row r="14480" spans="1:10" x14ac:dyDescent="0.25">
      <c r="A14480" t="s">
        <v>154</v>
      </c>
      <c r="B14480" s="1" t="str">
        <f>HYPERLINK("http://essilor.fi","essilor.fi")</f>
        <v>essilor.fi</v>
      </c>
      <c r="C14480" t="s">
        <v>445</v>
      </c>
      <c r="D14480" t="s">
        <v>823</v>
      </c>
      <c r="F14480">
        <v>2.0463687070078801E-8</v>
      </c>
      <c r="G14480">
        <v>2589766</v>
      </c>
      <c r="H14480">
        <v>10997630</v>
      </c>
      <c r="I14480">
        <v>33621907</v>
      </c>
      <c r="J14480">
        <v>2</v>
      </c>
    </row>
    <row r="14481" spans="1:10" x14ac:dyDescent="0.25">
      <c r="A14481" t="s">
        <v>154</v>
      </c>
      <c r="B14481" s="1" t="str">
        <f>HYPERLINK("http://essilor-luxottica.fi","essilor-luxottica.fi")</f>
        <v>essilor-luxottica.fi</v>
      </c>
      <c r="C14481" t="s">
        <v>445</v>
      </c>
      <c r="D14481" t="s">
        <v>823</v>
      </c>
      <c r="J14481">
        <v>5</v>
      </c>
    </row>
    <row r="14482" spans="1:10" x14ac:dyDescent="0.25">
      <c r="A14482" t="s">
        <v>154</v>
      </c>
      <c r="B14482" s="1" t="str">
        <f>HYPERLINK("http://essilorluxottica.fi","essilorluxottica.fi")</f>
        <v>essilorluxottica.fi</v>
      </c>
      <c r="C14482" t="s">
        <v>445</v>
      </c>
      <c r="D14482" t="s">
        <v>823</v>
      </c>
      <c r="J14482">
        <v>5</v>
      </c>
    </row>
    <row r="14483" spans="1:10" x14ac:dyDescent="0.25">
      <c r="A14483" t="s">
        <v>154</v>
      </c>
      <c r="B14483" s="1" t="str">
        <f>HYPERLINK("http://essilorpro.fi","essilorpro.fi")</f>
        <v>essilorpro.fi</v>
      </c>
      <c r="C14483" t="s">
        <v>445</v>
      </c>
      <c r="D14483" t="s">
        <v>823</v>
      </c>
      <c r="J14483">
        <v>5</v>
      </c>
    </row>
    <row r="14484" spans="1:10" x14ac:dyDescent="0.25">
      <c r="A14484" t="s">
        <v>154</v>
      </c>
      <c r="B14484" s="1" t="str">
        <f>HYPERLINK("http://essishop.fi","essishop.fi")</f>
        <v>essishop.fi</v>
      </c>
      <c r="C14484" t="s">
        <v>445</v>
      </c>
      <c r="D14484" t="s">
        <v>823</v>
      </c>
      <c r="J14484">
        <v>5</v>
      </c>
    </row>
    <row r="14485" spans="1:10" x14ac:dyDescent="0.25">
      <c r="A14485" t="s">
        <v>154</v>
      </c>
      <c r="B14485" s="1" t="str">
        <f>HYPERLINK("http://everclear.fi","everclear.fi")</f>
        <v>everclear.fi</v>
      </c>
      <c r="C14485" t="s">
        <v>445</v>
      </c>
      <c r="D14485" t="s">
        <v>823</v>
      </c>
      <c r="J14485">
        <v>5</v>
      </c>
    </row>
    <row r="14486" spans="1:10" x14ac:dyDescent="0.25">
      <c r="A14486" t="s">
        <v>154</v>
      </c>
      <c r="B14486" s="1" t="str">
        <f>HYPERLINK("http://eyecareplan.fi","eyecareplan.fi")</f>
        <v>eyecareplan.fi</v>
      </c>
      <c r="C14486" t="s">
        <v>445</v>
      </c>
      <c r="D14486" t="s">
        <v>823</v>
      </c>
      <c r="J14486">
        <v>5</v>
      </c>
    </row>
    <row r="14487" spans="1:10" x14ac:dyDescent="0.25">
      <c r="A14487" t="s">
        <v>154</v>
      </c>
      <c r="B14487" s="1" t="str">
        <f>HYPERLINK("http://eyecareplans.fi","eyecareplans.fi")</f>
        <v>eyecareplans.fi</v>
      </c>
      <c r="C14487" t="s">
        <v>445</v>
      </c>
      <c r="D14487" t="s">
        <v>823</v>
      </c>
      <c r="J14487">
        <v>5</v>
      </c>
    </row>
    <row r="14488" spans="1:10" x14ac:dyDescent="0.25">
      <c r="A14488" t="s">
        <v>154</v>
      </c>
      <c r="B14488" s="1" t="str">
        <f>HYPERLINK("http://eyepassion.fi","eyepassion.fi")</f>
        <v>eyepassion.fi</v>
      </c>
      <c r="C14488" t="s">
        <v>445</v>
      </c>
      <c r="D14488" t="s">
        <v>823</v>
      </c>
      <c r="J14488">
        <v>5</v>
      </c>
    </row>
    <row r="14489" spans="1:10" x14ac:dyDescent="0.25">
      <c r="A14489" t="s">
        <v>154</v>
      </c>
      <c r="B14489" s="1" t="str">
        <f>HYPERLINK("http://eyezen.fi","eyezen.fi")</f>
        <v>eyezen.fi</v>
      </c>
      <c r="C14489" t="s">
        <v>445</v>
      </c>
      <c r="D14489" t="s">
        <v>823</v>
      </c>
      <c r="J14489">
        <v>5</v>
      </c>
    </row>
    <row r="14490" spans="1:10" x14ac:dyDescent="0.25">
      <c r="A14490" t="s">
        <v>154</v>
      </c>
      <c r="B14490" s="1" t="str">
        <f>HYPERLINK("http://favoptik.fi","favoptik.fi")</f>
        <v>favoptik.fi</v>
      </c>
      <c r="C14490" t="s">
        <v>445</v>
      </c>
      <c r="D14490" t="s">
        <v>823</v>
      </c>
      <c r="J14490">
        <v>5</v>
      </c>
    </row>
    <row r="14491" spans="1:10" x14ac:dyDescent="0.25">
      <c r="A14491" t="s">
        <v>154</v>
      </c>
      <c r="B14491" s="1" t="str">
        <f>HYPERLINK("http://friendsway.fi","friendsway.fi")</f>
        <v>friendsway.fi</v>
      </c>
      <c r="C14491" t="s">
        <v>445</v>
      </c>
      <c r="D14491" t="s">
        <v>823</v>
      </c>
      <c r="J14491">
        <v>5</v>
      </c>
    </row>
    <row r="14492" spans="1:10" x14ac:dyDescent="0.25">
      <c r="A14492" t="s">
        <v>154</v>
      </c>
      <c r="B14492" s="1" t="str">
        <f>HYPERLINK("http://halvatsilmalasit.fi","halvatsilmalasit.fi")</f>
        <v>halvatsilmalasit.fi</v>
      </c>
      <c r="C14492" t="s">
        <v>445</v>
      </c>
      <c r="D14492" t="s">
        <v>823</v>
      </c>
      <c r="J14492">
        <v>5</v>
      </c>
    </row>
    <row r="14493" spans="1:10" x14ac:dyDescent="0.25">
      <c r="A14493" t="s">
        <v>154</v>
      </c>
      <c r="B14493" s="1" t="str">
        <f>HYPERLINK("http://icareplan.fi","icareplan.fi")</f>
        <v>icareplan.fi</v>
      </c>
      <c r="C14493" t="s">
        <v>445</v>
      </c>
      <c r="D14493" t="s">
        <v>823</v>
      </c>
      <c r="J14493">
        <v>5</v>
      </c>
    </row>
    <row r="14494" spans="1:10" x14ac:dyDescent="0.25">
      <c r="A14494" t="s">
        <v>154</v>
      </c>
      <c r="B14494" s="1" t="str">
        <f>HYPERLINK("http://icareplans.fi","icareplans.fi")</f>
        <v>icareplans.fi</v>
      </c>
      <c r="C14494" t="s">
        <v>445</v>
      </c>
      <c r="D14494" t="s">
        <v>823</v>
      </c>
      <c r="J14494">
        <v>5</v>
      </c>
    </row>
    <row r="14495" spans="1:10" x14ac:dyDescent="0.25">
      <c r="A14495" t="s">
        <v>154</v>
      </c>
      <c r="B14495" s="1" t="str">
        <f>HYPERLINK("http://iloveeyewear.fi","iloveeyewear.fi")</f>
        <v>iloveeyewear.fi</v>
      </c>
      <c r="C14495" t="s">
        <v>445</v>
      </c>
      <c r="D14495" t="s">
        <v>823</v>
      </c>
      <c r="J14495">
        <v>5</v>
      </c>
    </row>
    <row r="14496" spans="1:10" x14ac:dyDescent="0.25">
      <c r="A14496" t="s">
        <v>154</v>
      </c>
      <c r="B14496" s="1" t="str">
        <f>HYPERLINK("http://instru.fi","instru.fi")</f>
        <v>instru.fi</v>
      </c>
      <c r="C14496" t="s">
        <v>445</v>
      </c>
      <c r="D14496" t="s">
        <v>823</v>
      </c>
      <c r="F14496">
        <v>3.6582969308108801E-8</v>
      </c>
      <c r="G14496">
        <v>1427729</v>
      </c>
      <c r="H14496">
        <v>13767934</v>
      </c>
      <c r="I14496">
        <v>6905061</v>
      </c>
      <c r="J14496">
        <v>5</v>
      </c>
    </row>
    <row r="14497" spans="1:10" x14ac:dyDescent="0.25">
      <c r="A14497" t="s">
        <v>154</v>
      </c>
      <c r="B14497" s="1" t="str">
        <f>HYPERLINK("http://instrumentarium.fi","instrumentarium.fi")</f>
        <v>instrumentarium.fi</v>
      </c>
      <c r="C14497" t="s">
        <v>445</v>
      </c>
      <c r="D14497" t="s">
        <v>823</v>
      </c>
      <c r="F14497">
        <v>5.0338037746360501E-9</v>
      </c>
      <c r="G14497">
        <v>28583047</v>
      </c>
      <c r="H14497">
        <v>10704917</v>
      </c>
      <c r="I14497">
        <v>42239834</v>
      </c>
      <c r="J14497">
        <v>5</v>
      </c>
    </row>
    <row r="14498" spans="1:10" x14ac:dyDescent="0.25">
      <c r="A14498" t="s">
        <v>154</v>
      </c>
      <c r="B14498" s="1" t="str">
        <f>HYPERLINK("http://instruoptiikka.fi","instruoptiikka.fi")</f>
        <v>instruoptiikka.fi</v>
      </c>
      <c r="C14498" t="s">
        <v>445</v>
      </c>
      <c r="D14498" t="s">
        <v>823</v>
      </c>
      <c r="F14498">
        <v>1.05695495169275E-8</v>
      </c>
      <c r="G14498">
        <v>6209728</v>
      </c>
      <c r="H14498">
        <v>12245082</v>
      </c>
      <c r="I14498">
        <v>22117429</v>
      </c>
      <c r="J14498">
        <v>4</v>
      </c>
    </row>
    <row r="14499" spans="1:10" x14ac:dyDescent="0.25">
      <c r="A14499" t="s">
        <v>154</v>
      </c>
      <c r="B14499" s="1" t="str">
        <f>HYPERLINK("http://keops.fi","keops.fi")</f>
        <v>keops.fi</v>
      </c>
      <c r="C14499" t="s">
        <v>445</v>
      </c>
      <c r="D14499" t="s">
        <v>823</v>
      </c>
      <c r="F14499">
        <v>9.36340102452297E-9</v>
      </c>
      <c r="G14499">
        <v>7491064</v>
      </c>
      <c r="H14499">
        <v>11130599</v>
      </c>
      <c r="I14499">
        <v>31940531</v>
      </c>
      <c r="J14499">
        <v>5</v>
      </c>
    </row>
    <row r="14500" spans="1:10" x14ac:dyDescent="0.25">
      <c r="A14500" t="s">
        <v>154</v>
      </c>
      <c r="B14500" s="1" t="str">
        <f>HYPERLINK("http://lenslogistics.fi","lenslogistics.fi")</f>
        <v>lenslogistics.fi</v>
      </c>
      <c r="C14500" t="s">
        <v>445</v>
      </c>
      <c r="D14500" t="s">
        <v>823</v>
      </c>
      <c r="J14500">
        <v>5</v>
      </c>
    </row>
    <row r="14501" spans="1:10" x14ac:dyDescent="0.25">
      <c r="A14501" t="s">
        <v>154</v>
      </c>
      <c r="B14501" s="1" t="str">
        <f>HYPERLINK("http://lenspost.fi","lenspost.fi")</f>
        <v>lenspost.fi</v>
      </c>
      <c r="C14501" t="s">
        <v>445</v>
      </c>
      <c r="D14501" t="s">
        <v>823</v>
      </c>
      <c r="J14501">
        <v>5</v>
      </c>
    </row>
    <row r="14502" spans="1:10" x14ac:dyDescent="0.25">
      <c r="A14502" t="s">
        <v>154</v>
      </c>
      <c r="B14502" s="1" t="str">
        <f>HYPERLINK("http://lensway.fi","lensway.fi")</f>
        <v>lensway.fi</v>
      </c>
      <c r="C14502" t="s">
        <v>445</v>
      </c>
      <c r="D14502" t="s">
        <v>823</v>
      </c>
      <c r="F14502">
        <v>1.0467861693377799E-8</v>
      </c>
      <c r="G14502">
        <v>6297485</v>
      </c>
      <c r="H14502">
        <v>14237511</v>
      </c>
      <c r="I14502">
        <v>1548175</v>
      </c>
      <c r="J14502">
        <v>5</v>
      </c>
    </row>
    <row r="14503" spans="1:10" x14ac:dyDescent="0.25">
      <c r="A14503" t="s">
        <v>154</v>
      </c>
      <c r="B14503" s="1" t="str">
        <f>HYPERLINK("http://lenswaygroup.fi","lenswaygroup.fi")</f>
        <v>lenswaygroup.fi</v>
      </c>
      <c r="C14503" t="s">
        <v>445</v>
      </c>
      <c r="D14503" t="s">
        <v>823</v>
      </c>
      <c r="J14503">
        <v>5</v>
      </c>
    </row>
    <row r="14504" spans="1:10" x14ac:dyDescent="0.25">
      <c r="A14504" t="s">
        <v>154</v>
      </c>
      <c r="B14504" s="1" t="str">
        <f>HYPERLINK("http://linssiblogi.fi","linssiblogi.fi")</f>
        <v>linssiblogi.fi</v>
      </c>
      <c r="C14504" t="s">
        <v>445</v>
      </c>
      <c r="D14504" t="s">
        <v>823</v>
      </c>
      <c r="J14504">
        <v>5</v>
      </c>
    </row>
    <row r="14505" spans="1:10" x14ac:dyDescent="0.25">
      <c r="A14505" t="s">
        <v>154</v>
      </c>
      <c r="B14505" s="1" t="str">
        <f>HYPERLINK("http://lowpriceoptics.fi","lowpriceoptics.fi")</f>
        <v>lowpriceoptics.fi</v>
      </c>
      <c r="C14505" t="s">
        <v>445</v>
      </c>
      <c r="D14505" t="s">
        <v>823</v>
      </c>
      <c r="J14505">
        <v>5</v>
      </c>
    </row>
    <row r="14506" spans="1:10" x14ac:dyDescent="0.25">
      <c r="A14506" t="s">
        <v>154</v>
      </c>
      <c r="B14506" s="1" t="str">
        <f>HYPERLINK("http://meyestore.fi","meyestore.fi")</f>
        <v>meyestore.fi</v>
      </c>
      <c r="C14506" t="s">
        <v>445</v>
      </c>
      <c r="D14506" t="s">
        <v>823</v>
      </c>
      <c r="J14506">
        <v>2</v>
      </c>
    </row>
    <row r="14507" spans="1:10" x14ac:dyDescent="0.25">
      <c r="A14507" t="s">
        <v>154</v>
      </c>
      <c r="B14507" s="1" t="str">
        <f>HYPERLINK("http://myonlineoptical.fi","myonlineoptical.fi")</f>
        <v>myonlineoptical.fi</v>
      </c>
      <c r="C14507" t="s">
        <v>445</v>
      </c>
      <c r="D14507" t="s">
        <v>823</v>
      </c>
      <c r="J14507">
        <v>5</v>
      </c>
    </row>
    <row r="14508" spans="1:10" x14ac:dyDescent="0.25">
      <c r="A14508" t="s">
        <v>154</v>
      </c>
      <c r="B14508" s="1" t="str">
        <f>HYPERLINK("http://nissen.fi","nissen.fi")</f>
        <v>nissen.fi</v>
      </c>
      <c r="C14508" t="s">
        <v>445</v>
      </c>
      <c r="D14508" t="s">
        <v>823</v>
      </c>
      <c r="F14508">
        <v>1.2862237436958599E-8</v>
      </c>
      <c r="G14508">
        <v>4698192</v>
      </c>
      <c r="H14508">
        <v>13763874</v>
      </c>
      <c r="I14508">
        <v>7529175</v>
      </c>
      <c r="J14508">
        <v>5</v>
      </c>
    </row>
    <row r="14509" spans="1:10" x14ac:dyDescent="0.25">
      <c r="A14509" t="s">
        <v>154</v>
      </c>
      <c r="B14509" s="1" t="str">
        <f>HYPERLINK("http://nordiclenses.fi","nordiclenses.fi")</f>
        <v>nordiclenses.fi</v>
      </c>
      <c r="C14509" t="s">
        <v>445</v>
      </c>
      <c r="D14509" t="s">
        <v>823</v>
      </c>
      <c r="J14509">
        <v>5</v>
      </c>
    </row>
    <row r="14510" spans="1:10" x14ac:dyDescent="0.25">
      <c r="A14510" t="s">
        <v>154</v>
      </c>
      <c r="B14510" s="1" t="str">
        <f>HYPERLINK("http://opsysweb.fi","opsysweb.fi")</f>
        <v>opsysweb.fi</v>
      </c>
      <c r="C14510" t="s">
        <v>445</v>
      </c>
      <c r="D14510" t="s">
        <v>823</v>
      </c>
      <c r="F14510">
        <v>5.14380428185714E-9</v>
      </c>
      <c r="G14510">
        <v>26194865</v>
      </c>
      <c r="H14510">
        <v>2.0010992999999999</v>
      </c>
      <c r="I14510">
        <v>77875290</v>
      </c>
      <c r="J14510">
        <v>5</v>
      </c>
    </row>
    <row r="14511" spans="1:10" x14ac:dyDescent="0.25">
      <c r="A14511" t="s">
        <v>154</v>
      </c>
      <c r="B14511" s="1" t="str">
        <f>HYPERLINK("http://optifog.fi","optifog.fi")</f>
        <v>optifog.fi</v>
      </c>
      <c r="C14511" t="s">
        <v>445</v>
      </c>
      <c r="D14511" t="s">
        <v>823</v>
      </c>
      <c r="F14511">
        <v>4.5287989374933997E-9</v>
      </c>
      <c r="G14511">
        <v>55187556</v>
      </c>
      <c r="H14511">
        <v>10593390</v>
      </c>
      <c r="I14511">
        <v>45518695</v>
      </c>
      <c r="J14511">
        <v>5</v>
      </c>
    </row>
    <row r="14512" spans="1:10" x14ac:dyDescent="0.25">
      <c r="A14512" t="s">
        <v>154</v>
      </c>
      <c r="B14512" s="1" t="str">
        <f>HYPERLINK("http://piilolinssitverkossa.fi","piilolinssitverkossa.fi")</f>
        <v>piilolinssitverkossa.fi</v>
      </c>
      <c r="C14512" t="s">
        <v>445</v>
      </c>
      <c r="D14512" t="s">
        <v>823</v>
      </c>
      <c r="J14512">
        <v>5</v>
      </c>
    </row>
    <row r="14513" spans="1:10" x14ac:dyDescent="0.25">
      <c r="A14513" t="s">
        <v>154</v>
      </c>
      <c r="B14513" s="1" t="str">
        <f>HYPERLINK("http://ray-ban.fi","ray-ban.fi")</f>
        <v>ray-ban.fi</v>
      </c>
      <c r="C14513" t="s">
        <v>445</v>
      </c>
      <c r="D14513" t="s">
        <v>823</v>
      </c>
      <c r="J14513">
        <v>4</v>
      </c>
    </row>
    <row r="14514" spans="1:10" x14ac:dyDescent="0.25">
      <c r="A14514" t="s">
        <v>154</v>
      </c>
      <c r="B14514" s="1" t="str">
        <f>HYPERLINK("http://rayban.fi","rayban.fi")</f>
        <v>rayban.fi</v>
      </c>
      <c r="C14514" t="s">
        <v>445</v>
      </c>
      <c r="D14514" t="s">
        <v>823</v>
      </c>
      <c r="J14514">
        <v>4</v>
      </c>
    </row>
    <row r="14515" spans="1:10" x14ac:dyDescent="0.25">
      <c r="A14515" t="s">
        <v>154</v>
      </c>
      <c r="B14515" s="1" t="str">
        <f>HYPERLINK("http://silmalasitnetista.fi","silmalasitnetista.fi")</f>
        <v>silmalasitnetista.fi</v>
      </c>
      <c r="C14515" t="s">
        <v>445</v>
      </c>
      <c r="D14515" t="s">
        <v>823</v>
      </c>
      <c r="J14515">
        <v>5</v>
      </c>
    </row>
    <row r="14516" spans="1:10" x14ac:dyDescent="0.25">
      <c r="A14516" t="s">
        <v>154</v>
      </c>
      <c r="B14516" s="1" t="str">
        <f>HYPERLINK("http://sunway.fi","sunway.fi")</f>
        <v>sunway.fi</v>
      </c>
      <c r="C14516" t="s">
        <v>445</v>
      </c>
      <c r="D14516" t="s">
        <v>823</v>
      </c>
      <c r="J14516">
        <v>5</v>
      </c>
    </row>
    <row r="14517" spans="1:10" x14ac:dyDescent="0.25">
      <c r="A14517" t="s">
        <v>154</v>
      </c>
      <c r="B14517" s="1" t="str">
        <f>HYPERLINK("http://transitions.fi","transitions.fi")</f>
        <v>transitions.fi</v>
      </c>
      <c r="C14517" t="s">
        <v>445</v>
      </c>
      <c r="D14517" t="s">
        <v>823</v>
      </c>
      <c r="J14517">
        <v>5</v>
      </c>
    </row>
    <row r="14518" spans="1:10" x14ac:dyDescent="0.25">
      <c r="A14518" t="s">
        <v>154</v>
      </c>
      <c r="B14518" s="1" t="str">
        <f>HYPERLINK("http://uneyeted.fi","uneyeted.fi")</f>
        <v>uneyeted.fi</v>
      </c>
      <c r="C14518" t="s">
        <v>445</v>
      </c>
      <c r="D14518" t="s">
        <v>823</v>
      </c>
      <c r="J14518">
        <v>5</v>
      </c>
    </row>
    <row r="14519" spans="1:10" x14ac:dyDescent="0.25">
      <c r="A14519" t="s">
        <v>154</v>
      </c>
      <c r="B14519" s="1" t="str">
        <f>HYPERLINK("http://varillisetlinssit.fi","varillisetlinssit.fi")</f>
        <v>varillisetlinssit.fi</v>
      </c>
      <c r="C14519" t="s">
        <v>445</v>
      </c>
      <c r="D14519" t="s">
        <v>823</v>
      </c>
      <c r="J14519">
        <v>5</v>
      </c>
    </row>
    <row r="14520" spans="1:10" x14ac:dyDescent="0.25">
      <c r="A14520" t="s">
        <v>154</v>
      </c>
      <c r="B14520" s="1" t="str">
        <f>HYPERLINK("http://varilux.fi","varilux.fi")</f>
        <v>varilux.fi</v>
      </c>
      <c r="C14520" t="s">
        <v>445</v>
      </c>
      <c r="D14520" t="s">
        <v>823</v>
      </c>
      <c r="J14520">
        <v>5</v>
      </c>
    </row>
    <row r="14521" spans="1:10" x14ac:dyDescent="0.25">
      <c r="A14521" t="s">
        <v>154</v>
      </c>
      <c r="B14521" s="1" t="str">
        <f>HYPERLINK("http://variluxsseries.fi","variluxsseries.fi")</f>
        <v>variluxsseries.fi</v>
      </c>
      <c r="C14521" t="s">
        <v>445</v>
      </c>
      <c r="D14521" t="s">
        <v>823</v>
      </c>
      <c r="J14521">
        <v>5</v>
      </c>
    </row>
    <row r="14522" spans="1:10" x14ac:dyDescent="0.25">
      <c r="A14522" t="s">
        <v>154</v>
      </c>
      <c r="B14522" s="1" t="str">
        <f>HYPERLINK("http://xperio.fi","xperio.fi")</f>
        <v>xperio.fi</v>
      </c>
      <c r="C14522" t="s">
        <v>445</v>
      </c>
      <c r="D14522" t="s">
        <v>823</v>
      </c>
      <c r="J14522">
        <v>5</v>
      </c>
    </row>
    <row r="14523" spans="1:10" x14ac:dyDescent="0.25">
      <c r="A14523" t="s">
        <v>154</v>
      </c>
      <c r="B14523" s="1" t="str">
        <f>HYPERLINK("http://yourlenses.fi","yourlenses.fi")</f>
        <v>yourlenses.fi</v>
      </c>
      <c r="C14523" t="s">
        <v>445</v>
      </c>
      <c r="D14523" t="s">
        <v>823</v>
      </c>
      <c r="J14523">
        <v>5</v>
      </c>
    </row>
    <row r="14524" spans="1:10" x14ac:dyDescent="0.25">
      <c r="A14524" t="s">
        <v>154</v>
      </c>
      <c r="B14524" s="1" t="str">
        <f>HYPERLINK("http://essilor.fr","essilor.fr")</f>
        <v>essilor.fr</v>
      </c>
      <c r="C14524" t="s">
        <v>446</v>
      </c>
      <c r="D14524" t="s">
        <v>824</v>
      </c>
      <c r="E14524">
        <v>595663</v>
      </c>
      <c r="F14524">
        <v>1.31385775446982E-7</v>
      </c>
      <c r="G14524">
        <v>297610</v>
      </c>
      <c r="H14524">
        <v>14399494</v>
      </c>
      <c r="I14524">
        <v>1155312</v>
      </c>
      <c r="J14524">
        <v>3</v>
      </c>
    </row>
    <row r="14525" spans="1:10" x14ac:dyDescent="0.25">
      <c r="A14525" t="s">
        <v>154</v>
      </c>
      <c r="B14525" s="1" t="str">
        <f>HYPERLINK("http://essilorpro.fr","essilorpro.fr")</f>
        <v>essilorpro.fr</v>
      </c>
      <c r="C14525" t="s">
        <v>446</v>
      </c>
      <c r="D14525" t="s">
        <v>824</v>
      </c>
      <c r="F14525">
        <v>5.2801544239957101E-9</v>
      </c>
      <c r="G14525">
        <v>23787920</v>
      </c>
      <c r="H14525">
        <v>10679899</v>
      </c>
      <c r="I14525">
        <v>42751998</v>
      </c>
      <c r="J14525">
        <v>4</v>
      </c>
    </row>
    <row r="14526" spans="1:10" x14ac:dyDescent="0.25">
      <c r="A14526" t="s">
        <v>154</v>
      </c>
      <c r="B14526" s="1" t="str">
        <f>HYPERLINK("http://eyebuydirect.fr","eyebuydirect.fr")</f>
        <v>eyebuydirect.fr</v>
      </c>
      <c r="C14526" t="s">
        <v>446</v>
      </c>
      <c r="D14526" t="s">
        <v>824</v>
      </c>
      <c r="E14526">
        <v>555894</v>
      </c>
      <c r="F14526">
        <v>1.19589988864446E-8</v>
      </c>
      <c r="G14526">
        <v>5201744</v>
      </c>
      <c r="H14526">
        <v>11118287</v>
      </c>
      <c r="I14526">
        <v>32065603</v>
      </c>
      <c r="J14526">
        <v>6</v>
      </c>
    </row>
    <row r="14527" spans="1:10" x14ac:dyDescent="0.25">
      <c r="A14527" t="s">
        <v>154</v>
      </c>
      <c r="B14527" s="1" t="str">
        <f>HYPERLINK("http://grandoptical.fr","grandoptical.fr")</f>
        <v>grandoptical.fr</v>
      </c>
      <c r="C14527" t="s">
        <v>446</v>
      </c>
      <c r="D14527" t="s">
        <v>824</v>
      </c>
      <c r="F14527">
        <v>6.0267374093021702E-9</v>
      </c>
      <c r="G14527">
        <v>16518878</v>
      </c>
      <c r="H14527">
        <v>12359432</v>
      </c>
      <c r="I14527">
        <v>19595900</v>
      </c>
      <c r="J14527">
        <v>6</v>
      </c>
    </row>
    <row r="14528" spans="1:10" x14ac:dyDescent="0.25">
      <c r="A14528" t="s">
        <v>154</v>
      </c>
      <c r="B14528" s="1" t="str">
        <f>HYPERLINK("http://lenstore.fr","lenstore.fr")</f>
        <v>lenstore.fr</v>
      </c>
      <c r="C14528" t="s">
        <v>446</v>
      </c>
      <c r="D14528" t="s">
        <v>824</v>
      </c>
      <c r="F14528">
        <v>9.4503693042717895E-9</v>
      </c>
      <c r="G14528">
        <v>7382277</v>
      </c>
      <c r="H14528">
        <v>13576701</v>
      </c>
      <c r="I14528">
        <v>9699313</v>
      </c>
      <c r="J14528">
        <v>7</v>
      </c>
    </row>
    <row r="14529" spans="1:10" x14ac:dyDescent="0.25">
      <c r="A14529" t="s">
        <v>154</v>
      </c>
      <c r="B14529" s="1" t="str">
        <f>HYPERLINK("http://pearl.fr","pearl.fr")</f>
        <v>pearl.fr</v>
      </c>
      <c r="C14529" t="s">
        <v>446</v>
      </c>
      <c r="D14529" t="s">
        <v>824</v>
      </c>
      <c r="E14529">
        <v>152632</v>
      </c>
      <c r="F14529">
        <v>8.1446392730440403E-8</v>
      </c>
      <c r="G14529">
        <v>512476</v>
      </c>
      <c r="H14529">
        <v>14498817</v>
      </c>
      <c r="I14529">
        <v>859847</v>
      </c>
      <c r="J14529">
        <v>7</v>
      </c>
    </row>
    <row r="14530" spans="1:10" x14ac:dyDescent="0.25">
      <c r="A14530" t="s">
        <v>154</v>
      </c>
      <c r="B14530" s="1" t="str">
        <f>HYPERLINK("http://shamir.fr","shamir.fr")</f>
        <v>shamir.fr</v>
      </c>
      <c r="C14530" t="s">
        <v>446</v>
      </c>
      <c r="D14530" t="s">
        <v>824</v>
      </c>
      <c r="F14530">
        <v>1.15490593521131E-8</v>
      </c>
      <c r="G14530">
        <v>5469570</v>
      </c>
      <c r="H14530">
        <v>10982044</v>
      </c>
      <c r="I14530">
        <v>33896719</v>
      </c>
      <c r="J14530">
        <v>5</v>
      </c>
    </row>
    <row r="14531" spans="1:10" x14ac:dyDescent="0.25">
      <c r="A14531" t="s">
        <v>154</v>
      </c>
      <c r="B14531" s="1" t="str">
        <f>HYPERLINK("http://solaris.fr","solaris.fr")</f>
        <v>solaris.fr</v>
      </c>
      <c r="C14531" t="s">
        <v>446</v>
      </c>
      <c r="D14531" t="s">
        <v>824</v>
      </c>
      <c r="F14531">
        <v>1.0022829945098699E-8</v>
      </c>
      <c r="G14531">
        <v>6733124</v>
      </c>
      <c r="H14531">
        <v>12559376</v>
      </c>
      <c r="I14531">
        <v>16720391</v>
      </c>
      <c r="J14531">
        <v>5</v>
      </c>
    </row>
    <row r="14532" spans="1:10" x14ac:dyDescent="0.25">
      <c r="A14532" t="s">
        <v>154</v>
      </c>
      <c r="B14532" s="1" t="str">
        <f>HYPERLINK("http://techblog.fr","techblog.fr")</f>
        <v>techblog.fr</v>
      </c>
      <c r="C14532" t="s">
        <v>446</v>
      </c>
      <c r="D14532" t="s">
        <v>824</v>
      </c>
      <c r="F14532">
        <v>1.10601100464381E-8</v>
      </c>
      <c r="G14532">
        <v>5814828</v>
      </c>
      <c r="H14532">
        <v>13934194</v>
      </c>
      <c r="I14532">
        <v>4619219</v>
      </c>
      <c r="J14532">
        <v>8</v>
      </c>
    </row>
    <row r="14533" spans="1:10" x14ac:dyDescent="0.25">
      <c r="A14533" t="s">
        <v>154</v>
      </c>
      <c r="B14533" s="1" t="str">
        <f>HYPERLINK("http://visiondirect.fr","visiondirect.fr")</f>
        <v>visiondirect.fr</v>
      </c>
      <c r="C14533" t="s">
        <v>446</v>
      </c>
      <c r="D14533" t="s">
        <v>824</v>
      </c>
      <c r="F14533">
        <v>2.80439477205235E-8</v>
      </c>
      <c r="G14533">
        <v>1834580</v>
      </c>
      <c r="H14533">
        <v>13212061</v>
      </c>
      <c r="I14533">
        <v>11398072</v>
      </c>
      <c r="J14533">
        <v>5</v>
      </c>
    </row>
    <row r="14534" spans="1:10" x14ac:dyDescent="0.25">
      <c r="A14534" t="s">
        <v>154</v>
      </c>
      <c r="B14534" s="1" t="str">
        <f>HYPERLINK("http://grandoptical.gr","grandoptical.gr")</f>
        <v>grandoptical.gr</v>
      </c>
      <c r="C14534" t="s">
        <v>447</v>
      </c>
      <c r="D14534" t="s">
        <v>825</v>
      </c>
      <c r="F14534">
        <v>6.8117395485060702E-9</v>
      </c>
      <c r="G14534">
        <v>12921156</v>
      </c>
      <c r="H14534">
        <v>12186000</v>
      </c>
      <c r="I14534">
        <v>23674184</v>
      </c>
      <c r="J14534">
        <v>3</v>
      </c>
    </row>
    <row r="14535" spans="1:10" x14ac:dyDescent="0.25">
      <c r="A14535" t="s">
        <v>154</v>
      </c>
      <c r="B14535" s="1" t="str">
        <f>HYPERLINK("http://lenstore.help","lenstore.help")</f>
        <v>lenstore.help</v>
      </c>
      <c r="C14535" t="s">
        <v>586</v>
      </c>
      <c r="F14535">
        <v>5.6925337084664197E-9</v>
      </c>
      <c r="G14535">
        <v>19024062</v>
      </c>
      <c r="H14535">
        <v>10452585</v>
      </c>
      <c r="I14535">
        <v>52065481</v>
      </c>
      <c r="J14535">
        <v>7</v>
      </c>
    </row>
    <row r="14536" spans="1:10" x14ac:dyDescent="0.25">
      <c r="A14536" t="s">
        <v>154</v>
      </c>
      <c r="B14536" s="1" t="str">
        <f>HYPERLINK("http://essilor.hr","essilor.hr")</f>
        <v>essilor.hr</v>
      </c>
      <c r="C14536" t="s">
        <v>452</v>
      </c>
      <c r="D14536" t="s">
        <v>829</v>
      </c>
      <c r="F14536">
        <v>2.09393720911221E-8</v>
      </c>
      <c r="G14536">
        <v>2524142</v>
      </c>
      <c r="H14536">
        <v>12421500</v>
      </c>
      <c r="I14536">
        <v>18424804</v>
      </c>
      <c r="J14536">
        <v>3</v>
      </c>
    </row>
    <row r="14537" spans="1:10" x14ac:dyDescent="0.25">
      <c r="A14537" t="s">
        <v>154</v>
      </c>
      <c r="B14537" s="1" t="str">
        <f>HYPERLINK("http://essilor.hu","essilor.hu")</f>
        <v>essilor.hu</v>
      </c>
      <c r="C14537" t="s">
        <v>453</v>
      </c>
      <c r="D14537" t="s">
        <v>830</v>
      </c>
      <c r="F14537">
        <v>5.1735705279090397E-8</v>
      </c>
      <c r="G14537">
        <v>883467</v>
      </c>
      <c r="H14537">
        <v>12291631</v>
      </c>
      <c r="I14537">
        <v>21069884</v>
      </c>
      <c r="J14537">
        <v>3</v>
      </c>
    </row>
    <row r="14538" spans="1:10" x14ac:dyDescent="0.25">
      <c r="A14538" t="s">
        <v>154</v>
      </c>
      <c r="B14538" s="1" t="str">
        <f>HYPERLINK("http://ofotert.hu","ofotert.hu")</f>
        <v>ofotert.hu</v>
      </c>
      <c r="C14538" t="s">
        <v>453</v>
      </c>
      <c r="D14538" t="s">
        <v>830</v>
      </c>
      <c r="F14538">
        <v>1.29623766646602E-8</v>
      </c>
      <c r="G14538">
        <v>4649935</v>
      </c>
      <c r="H14538">
        <v>14062257</v>
      </c>
      <c r="I14538">
        <v>3759230</v>
      </c>
      <c r="J14538">
        <v>3</v>
      </c>
    </row>
    <row r="14539" spans="1:10" x14ac:dyDescent="0.25">
      <c r="A14539" t="s">
        <v>154</v>
      </c>
      <c r="B14539" s="1" t="str">
        <f>HYPERLINK("http://vision-szuperoptika.hu","vision-szuperoptika.hu")</f>
        <v>vision-szuperoptika.hu</v>
      </c>
      <c r="C14539" t="s">
        <v>453</v>
      </c>
      <c r="D14539" t="s">
        <v>830</v>
      </c>
      <c r="F14539">
        <v>5.0298036595303603E-9</v>
      </c>
      <c r="G14539">
        <v>28673461</v>
      </c>
      <c r="H14539">
        <v>12204583</v>
      </c>
      <c r="I14539">
        <v>23199997</v>
      </c>
      <c r="J14539">
        <v>6</v>
      </c>
    </row>
    <row r="14540" spans="1:10" x14ac:dyDescent="0.25">
      <c r="A14540" t="s">
        <v>154</v>
      </c>
      <c r="B14540" s="1" t="str">
        <f>HYPERLINK("http://visionexpress.hu","visionexpress.hu")</f>
        <v>visionexpress.hu</v>
      </c>
      <c r="C14540" t="s">
        <v>453</v>
      </c>
      <c r="D14540" t="s">
        <v>830</v>
      </c>
      <c r="F14540">
        <v>9.4065060759703908E-9</v>
      </c>
      <c r="G14540">
        <v>7436540</v>
      </c>
      <c r="H14540">
        <v>11284561</v>
      </c>
      <c r="I14540">
        <v>30685405</v>
      </c>
      <c r="J14540">
        <v>6</v>
      </c>
    </row>
    <row r="14541" spans="1:10" x14ac:dyDescent="0.25">
      <c r="A14541" t="s">
        <v>154</v>
      </c>
      <c r="B14541" s="1" t="str">
        <f>HYPERLINK("http://essilor.co.id","essilor.co.id")</f>
        <v>essilor.co.id</v>
      </c>
      <c r="C14541" t="s">
        <v>454</v>
      </c>
      <c r="D14541" t="s">
        <v>831</v>
      </c>
      <c r="F14541">
        <v>1.33275109705226E-8</v>
      </c>
      <c r="G14541">
        <v>4481436</v>
      </c>
      <c r="H14541">
        <v>12467536</v>
      </c>
      <c r="I14541">
        <v>17787102</v>
      </c>
      <c r="J14541">
        <v>4</v>
      </c>
    </row>
    <row r="14542" spans="1:10" x14ac:dyDescent="0.25">
      <c r="A14542" t="s">
        <v>154</v>
      </c>
      <c r="B14542" s="1" t="str">
        <f>HYPERLINK("http://essilor.ie","essilor.ie")</f>
        <v>essilor.ie</v>
      </c>
      <c r="C14542" t="s">
        <v>455</v>
      </c>
      <c r="D14542" t="s">
        <v>832</v>
      </c>
      <c r="F14542">
        <v>8.9390335428773907E-9</v>
      </c>
      <c r="G14542">
        <v>8084093</v>
      </c>
      <c r="H14542">
        <v>10795219</v>
      </c>
      <c r="I14542">
        <v>38305621</v>
      </c>
      <c r="J14542">
        <v>3</v>
      </c>
    </row>
    <row r="14543" spans="1:10" x14ac:dyDescent="0.25">
      <c r="A14543" t="s">
        <v>154</v>
      </c>
      <c r="B14543" s="1" t="str">
        <f>HYPERLINK("http://visiondirect.ie","visiondirect.ie")</f>
        <v>visiondirect.ie</v>
      </c>
      <c r="C14543" t="s">
        <v>455</v>
      </c>
      <c r="D14543" t="s">
        <v>832</v>
      </c>
      <c r="F14543">
        <v>8.0578032323970401E-9</v>
      </c>
      <c r="G14543">
        <v>9816095</v>
      </c>
      <c r="H14543">
        <v>12159273</v>
      </c>
      <c r="I14543">
        <v>24385199</v>
      </c>
      <c r="J14543">
        <v>5</v>
      </c>
    </row>
    <row r="14544" spans="1:10" x14ac:dyDescent="0.25">
      <c r="A14544" t="s">
        <v>154</v>
      </c>
      <c r="B14544" s="1" t="str">
        <f>HYPERLINK("http://visionexpress.ie","visionexpress.ie")</f>
        <v>visionexpress.ie</v>
      </c>
      <c r="C14544" t="s">
        <v>455</v>
      </c>
      <c r="D14544" t="s">
        <v>832</v>
      </c>
      <c r="E14544">
        <v>495091</v>
      </c>
      <c r="F14544">
        <v>9.3571742699922597E-9</v>
      </c>
      <c r="G14544">
        <v>7498891</v>
      </c>
      <c r="H14544">
        <v>12462343</v>
      </c>
      <c r="I14544">
        <v>17844938</v>
      </c>
      <c r="J14544">
        <v>4</v>
      </c>
    </row>
    <row r="14545" spans="1:10" x14ac:dyDescent="0.25">
      <c r="A14545" t="s">
        <v>154</v>
      </c>
      <c r="B14545" s="1" t="str">
        <f>HYPERLINK("http://shamir.co.il","shamir.co.il")</f>
        <v>shamir.co.il</v>
      </c>
      <c r="C14545" t="s">
        <v>456</v>
      </c>
      <c r="D14545" t="s">
        <v>833</v>
      </c>
      <c r="F14545">
        <v>9.2392275588495304E-9</v>
      </c>
      <c r="G14545">
        <v>7657797</v>
      </c>
      <c r="H14545">
        <v>12480964</v>
      </c>
      <c r="I14545">
        <v>17589933</v>
      </c>
      <c r="J14545">
        <v>3</v>
      </c>
    </row>
    <row r="14546" spans="1:10" x14ac:dyDescent="0.25">
      <c r="A14546" t="s">
        <v>154</v>
      </c>
      <c r="B14546" s="1" t="str">
        <f>HYPERLINK("http://sunglasshut.in","sunglasshut.in")</f>
        <v>sunglasshut.in</v>
      </c>
      <c r="C14546" t="s">
        <v>457</v>
      </c>
      <c r="D14546" t="s">
        <v>834</v>
      </c>
      <c r="F14546">
        <v>9.9531605272722405E-9</v>
      </c>
      <c r="G14546">
        <v>6802976</v>
      </c>
      <c r="H14546">
        <v>11101730</v>
      </c>
      <c r="I14546">
        <v>32245444</v>
      </c>
      <c r="J14546">
        <v>3</v>
      </c>
    </row>
    <row r="14547" spans="1:10" x14ac:dyDescent="0.25">
      <c r="A14547" t="s">
        <v>154</v>
      </c>
      <c r="B14547" s="1" t="str">
        <f>HYPERLINK("http://visionexpress.in","visionexpress.in")</f>
        <v>visionexpress.in</v>
      </c>
      <c r="C14547" t="s">
        <v>457</v>
      </c>
      <c r="D14547" t="s">
        <v>834</v>
      </c>
      <c r="F14547">
        <v>2.6102119228917301E-8</v>
      </c>
      <c r="G14547">
        <v>1973623</v>
      </c>
      <c r="H14547">
        <v>14120497</v>
      </c>
      <c r="I14547">
        <v>2347444</v>
      </c>
      <c r="J14547">
        <v>6</v>
      </c>
    </row>
    <row r="14548" spans="1:10" x14ac:dyDescent="0.25">
      <c r="A14548" t="s">
        <v>154</v>
      </c>
      <c r="B14548" s="1" t="str">
        <f>HYPERLINK("http://essilorpro.io","essilorpro.io")</f>
        <v>essilorpro.io</v>
      </c>
      <c r="C14548" t="s">
        <v>518</v>
      </c>
      <c r="F14548">
        <v>5.9923268300683304E-9</v>
      </c>
      <c r="G14548">
        <v>16732439</v>
      </c>
      <c r="H14548">
        <v>10560054</v>
      </c>
      <c r="I14548">
        <v>46370486</v>
      </c>
      <c r="J14548">
        <v>4</v>
      </c>
    </row>
    <row r="14549" spans="1:10" x14ac:dyDescent="0.25">
      <c r="A14549" t="s">
        <v>154</v>
      </c>
      <c r="B14549" s="1" t="str">
        <f>HYPERLINK("http://grandvision.io","grandvision.io")</f>
        <v>grandvision.io</v>
      </c>
      <c r="C14549" t="s">
        <v>518</v>
      </c>
      <c r="E14549">
        <v>591958</v>
      </c>
      <c r="F14549">
        <v>2.8598655107499101E-8</v>
      </c>
      <c r="G14549">
        <v>1799400</v>
      </c>
      <c r="H14549">
        <v>13769192</v>
      </c>
      <c r="I14549">
        <v>6805727</v>
      </c>
      <c r="J14549">
        <v>4</v>
      </c>
    </row>
    <row r="14550" spans="1:10" x14ac:dyDescent="0.25">
      <c r="A14550" t="s">
        <v>154</v>
      </c>
      <c r="B14550" s="1" t="str">
        <f>HYPERLINK("http://barberinieyewear.it","barberinieyewear.it")</f>
        <v>barberinieyewear.it</v>
      </c>
      <c r="C14550" t="s">
        <v>459</v>
      </c>
      <c r="D14550" t="s">
        <v>835</v>
      </c>
      <c r="F14550">
        <v>9.2437080215649901E-9</v>
      </c>
      <c r="G14550">
        <v>7646881</v>
      </c>
      <c r="H14550">
        <v>13935549</v>
      </c>
      <c r="I14550">
        <v>4527927</v>
      </c>
      <c r="J14550">
        <v>3</v>
      </c>
    </row>
    <row r="14551" spans="1:10" x14ac:dyDescent="0.25">
      <c r="A14551" t="s">
        <v>154</v>
      </c>
      <c r="B14551" s="1" t="str">
        <f>HYPERLINK("http://grandvision.it","grandvision.it")</f>
        <v>grandvision.it</v>
      </c>
      <c r="C14551" t="s">
        <v>459</v>
      </c>
      <c r="D14551" t="s">
        <v>835</v>
      </c>
      <c r="E14551">
        <v>409501</v>
      </c>
      <c r="F14551">
        <v>6.1910121087987803E-8</v>
      </c>
      <c r="G14551">
        <v>710319</v>
      </c>
      <c r="H14551">
        <v>12855420</v>
      </c>
      <c r="I14551">
        <v>14231104</v>
      </c>
      <c r="J14551">
        <v>5</v>
      </c>
    </row>
    <row r="14552" spans="1:10" x14ac:dyDescent="0.25">
      <c r="A14552" t="s">
        <v>154</v>
      </c>
      <c r="B14552" s="1" t="str">
        <f>HYPERLINK("http://lenstore.it","lenstore.it")</f>
        <v>lenstore.it</v>
      </c>
      <c r="C14552" t="s">
        <v>459</v>
      </c>
      <c r="D14552" t="s">
        <v>835</v>
      </c>
      <c r="F14552">
        <v>2.0407039286441298E-8</v>
      </c>
      <c r="G14552">
        <v>2598715</v>
      </c>
      <c r="H14552">
        <v>13076273</v>
      </c>
      <c r="I14552">
        <v>12207670</v>
      </c>
      <c r="J14552">
        <v>7</v>
      </c>
    </row>
    <row r="14553" spans="1:10" x14ac:dyDescent="0.25">
      <c r="A14553" t="s">
        <v>154</v>
      </c>
      <c r="B14553" s="1" t="str">
        <f>HYPERLINK("http://ltllenses.it","ltllenses.it")</f>
        <v>ltllenses.it</v>
      </c>
      <c r="C14553" t="s">
        <v>459</v>
      </c>
      <c r="D14553" t="s">
        <v>835</v>
      </c>
      <c r="F14553">
        <v>7.4334016130649903E-9</v>
      </c>
      <c r="G14553">
        <v>11164874</v>
      </c>
      <c r="H14553">
        <v>10421381</v>
      </c>
      <c r="I14553">
        <v>53932443</v>
      </c>
      <c r="J14553">
        <v>3</v>
      </c>
    </row>
    <row r="14554" spans="1:10" x14ac:dyDescent="0.25">
      <c r="A14554" t="s">
        <v>154</v>
      </c>
      <c r="B14554" s="1" t="str">
        <f>HYPERLINK("http://salmoiraghievigano.it","salmoiraghievigano.it")</f>
        <v>salmoiraghievigano.it</v>
      </c>
      <c r="C14554" t="s">
        <v>459</v>
      </c>
      <c r="D14554" t="s">
        <v>835</v>
      </c>
      <c r="E14554">
        <v>981093</v>
      </c>
      <c r="F14554">
        <v>5.3797415639424998E-8</v>
      </c>
      <c r="G14554">
        <v>844931</v>
      </c>
      <c r="H14554">
        <v>14494247</v>
      </c>
      <c r="I14554">
        <v>882776</v>
      </c>
      <c r="J14554">
        <v>3</v>
      </c>
    </row>
    <row r="14555" spans="1:10" x14ac:dyDescent="0.25">
      <c r="A14555" t="s">
        <v>154</v>
      </c>
      <c r="B14555" s="1" t="str">
        <f>HYPERLINK("http://visiondirect.it","visiondirect.it")</f>
        <v>visiondirect.it</v>
      </c>
      <c r="C14555" t="s">
        <v>459</v>
      </c>
      <c r="D14555" t="s">
        <v>835</v>
      </c>
      <c r="F14555">
        <v>1.8252171503389499E-8</v>
      </c>
      <c r="G14555">
        <v>2976791</v>
      </c>
      <c r="H14555">
        <v>13949784</v>
      </c>
      <c r="I14555">
        <v>4180714</v>
      </c>
      <c r="J14555">
        <v>5</v>
      </c>
    </row>
    <row r="14556" spans="1:10" x14ac:dyDescent="0.25">
      <c r="A14556" t="s">
        <v>154</v>
      </c>
      <c r="B14556" s="1" t="str">
        <f>HYPERLINK("http://visiotest.it","visiotest.it")</f>
        <v>visiotest.it</v>
      </c>
      <c r="C14556" t="s">
        <v>459</v>
      </c>
      <c r="D14556" t="s">
        <v>835</v>
      </c>
      <c r="F14556">
        <v>4.44380395335525E-9</v>
      </c>
      <c r="G14556">
        <v>85241207</v>
      </c>
      <c r="H14556">
        <v>0</v>
      </c>
      <c r="I14556">
        <v>86449332</v>
      </c>
      <c r="J14556">
        <v>3</v>
      </c>
    </row>
    <row r="14557" spans="1:10" x14ac:dyDescent="0.25">
      <c r="A14557" t="s">
        <v>154</v>
      </c>
      <c r="B14557" s="1" t="str">
        <f>HYPERLINK("http://fukuimegane.co.jp","fukuimegane.co.jp")</f>
        <v>fukuimegane.co.jp</v>
      </c>
      <c r="C14557" t="s">
        <v>461</v>
      </c>
      <c r="D14557" t="s">
        <v>837</v>
      </c>
      <c r="F14557">
        <v>5.3637044065677398E-9</v>
      </c>
      <c r="G14557">
        <v>22623303</v>
      </c>
      <c r="H14557">
        <v>10860787</v>
      </c>
      <c r="I14557">
        <v>36658443</v>
      </c>
      <c r="J14557">
        <v>3</v>
      </c>
    </row>
    <row r="14558" spans="1:10" x14ac:dyDescent="0.25">
      <c r="A14558" t="s">
        <v>154</v>
      </c>
      <c r="B14558" s="1" t="str">
        <f>HYPERLINK("http://nikon-essilor.co.jp","nikon-essilor.co.jp")</f>
        <v>nikon-essilor.co.jp</v>
      </c>
      <c r="C14558" t="s">
        <v>461</v>
      </c>
      <c r="D14558" t="s">
        <v>837</v>
      </c>
      <c r="F14558">
        <v>4.2444953751196002E-8</v>
      </c>
      <c r="G14558">
        <v>1142721</v>
      </c>
      <c r="H14558">
        <v>14440258</v>
      </c>
      <c r="I14558">
        <v>1063895</v>
      </c>
      <c r="J14558">
        <v>3</v>
      </c>
    </row>
    <row r="14559" spans="1:10" x14ac:dyDescent="0.25">
      <c r="A14559" t="s">
        <v>154</v>
      </c>
      <c r="B14559" s="1" t="str">
        <f>HYPERLINK("http://essilor.co.ke","essilor.co.ke")</f>
        <v>essilor.co.ke</v>
      </c>
      <c r="C14559" t="s">
        <v>462</v>
      </c>
      <c r="D14559" t="s">
        <v>838</v>
      </c>
      <c r="F14559">
        <v>8.5026784762355297E-9</v>
      </c>
      <c r="G14559">
        <v>8840405</v>
      </c>
      <c r="H14559">
        <v>10549725</v>
      </c>
      <c r="I14559">
        <v>46717437</v>
      </c>
      <c r="J14559">
        <v>4</v>
      </c>
    </row>
    <row r="14560" spans="1:10" x14ac:dyDescent="0.25">
      <c r="A14560" t="s">
        <v>154</v>
      </c>
      <c r="B14560" s="1" t="str">
        <f>HYPERLINK("http://chemiglas.co.kr","chemiglas.co.kr")</f>
        <v>chemiglas.co.kr</v>
      </c>
      <c r="C14560" t="s">
        <v>463</v>
      </c>
      <c r="D14560" t="s">
        <v>839</v>
      </c>
      <c r="F14560">
        <v>4.4447368460936701E-9</v>
      </c>
      <c r="G14560">
        <v>76232923</v>
      </c>
      <c r="H14560">
        <v>10345785</v>
      </c>
      <c r="I14560">
        <v>56922298</v>
      </c>
      <c r="J14560">
        <v>3</v>
      </c>
    </row>
    <row r="14561" spans="1:10" x14ac:dyDescent="0.25">
      <c r="A14561" t="s">
        <v>154</v>
      </c>
      <c r="B14561" s="1" t="str">
        <f>HYPERLINK("http://essilor.co.kr","essilor.co.kr")</f>
        <v>essilor.co.kr</v>
      </c>
      <c r="C14561" t="s">
        <v>463</v>
      </c>
      <c r="D14561" t="s">
        <v>839</v>
      </c>
      <c r="F14561">
        <v>1.35335930768418E-8</v>
      </c>
      <c r="G14561">
        <v>4389847</v>
      </c>
      <c r="H14561">
        <v>11011479</v>
      </c>
      <c r="I14561">
        <v>33383669</v>
      </c>
      <c r="J14561">
        <v>5</v>
      </c>
    </row>
    <row r="14562" spans="1:10" x14ac:dyDescent="0.25">
      <c r="A14562" t="s">
        <v>154</v>
      </c>
      <c r="B14562" s="1" t="str">
        <f>HYPERLINK("http://visionexpress.lt","visionexpress.lt")</f>
        <v>visionexpress.lt</v>
      </c>
      <c r="C14562" t="s">
        <v>467</v>
      </c>
      <c r="D14562" t="s">
        <v>843</v>
      </c>
      <c r="F14562">
        <v>1.16062977062151E-8</v>
      </c>
      <c r="G14562">
        <v>5428896</v>
      </c>
      <c r="H14562">
        <v>14073726</v>
      </c>
      <c r="I14562">
        <v>2975592</v>
      </c>
      <c r="J14562">
        <v>6</v>
      </c>
    </row>
    <row r="14563" spans="1:10" x14ac:dyDescent="0.25">
      <c r="A14563" t="s">
        <v>154</v>
      </c>
      <c r="B14563" s="1" t="str">
        <f>HYPERLINK("http://essilor.ma","essilor.ma")</f>
        <v>essilor.ma</v>
      </c>
      <c r="C14563" t="s">
        <v>469</v>
      </c>
      <c r="D14563" t="s">
        <v>845</v>
      </c>
      <c r="F14563">
        <v>8.3910631753190092E-9</v>
      </c>
      <c r="G14563">
        <v>9061156</v>
      </c>
      <c r="H14563">
        <v>10556510</v>
      </c>
      <c r="I14563">
        <v>46468713</v>
      </c>
      <c r="J14563">
        <v>4</v>
      </c>
    </row>
    <row r="14564" spans="1:10" x14ac:dyDescent="0.25">
      <c r="A14564" t="s">
        <v>154</v>
      </c>
      <c r="B14564" s="1" t="str">
        <f>HYPERLINK("http://siolab.com.mw","siolab.com.mw")</f>
        <v>siolab.com.mw</v>
      </c>
      <c r="C14564" t="s">
        <v>655</v>
      </c>
      <c r="D14564" t="s">
        <v>974</v>
      </c>
      <c r="J14564">
        <v>6</v>
      </c>
    </row>
    <row r="14565" spans="1:10" x14ac:dyDescent="0.25">
      <c r="A14565" t="s">
        <v>154</v>
      </c>
      <c r="B14565" s="1" t="str">
        <f>HYPERLINK("http://ciolab.com.mx","ciolab.com.mx")</f>
        <v>ciolab.com.mx</v>
      </c>
      <c r="C14565" t="s">
        <v>471</v>
      </c>
      <c r="D14565" t="s">
        <v>847</v>
      </c>
      <c r="F14565">
        <v>4.6767663106770697E-9</v>
      </c>
      <c r="G14565">
        <v>42551336</v>
      </c>
      <c r="H14565">
        <v>10344052</v>
      </c>
      <c r="I14565">
        <v>57360804</v>
      </c>
      <c r="J14565">
        <v>6</v>
      </c>
    </row>
    <row r="14566" spans="1:10" x14ac:dyDescent="0.25">
      <c r="A14566" t="s">
        <v>154</v>
      </c>
      <c r="B14566" s="1" t="str">
        <f>HYPERLINK("http://cristalesyplastico.com.mx","cristalesyplastico.com.mx")</f>
        <v>cristalesyplastico.com.mx</v>
      </c>
      <c r="C14566" t="s">
        <v>471</v>
      </c>
      <c r="D14566" t="s">
        <v>847</v>
      </c>
      <c r="J14566">
        <v>5</v>
      </c>
    </row>
    <row r="14567" spans="1:10" x14ac:dyDescent="0.25">
      <c r="A14567" t="s">
        <v>154</v>
      </c>
      <c r="B14567" s="1" t="str">
        <f>HYPERLINK("http://cristalyplastico.com.mx","cristalyplastico.com.mx")</f>
        <v>cristalyplastico.com.mx</v>
      </c>
      <c r="C14567" t="s">
        <v>471</v>
      </c>
      <c r="D14567" t="s">
        <v>847</v>
      </c>
      <c r="J14567">
        <v>5</v>
      </c>
    </row>
    <row r="14568" spans="1:10" x14ac:dyDescent="0.25">
      <c r="A14568" t="s">
        <v>154</v>
      </c>
      <c r="B14568" s="1" t="str">
        <f>HYPERLINK("http://essilor.com.mx","essilor.com.mx")</f>
        <v>essilor.com.mx</v>
      </c>
      <c r="C14568" t="s">
        <v>471</v>
      </c>
      <c r="D14568" t="s">
        <v>847</v>
      </c>
      <c r="F14568">
        <v>5.7912434907556597E-9</v>
      </c>
      <c r="G14568">
        <v>18154618</v>
      </c>
      <c r="H14568">
        <v>11244176</v>
      </c>
      <c r="I14568">
        <v>30938358</v>
      </c>
      <c r="J14568">
        <v>4</v>
      </c>
    </row>
    <row r="14569" spans="1:10" x14ac:dyDescent="0.25">
      <c r="A14569" t="s">
        <v>154</v>
      </c>
      <c r="B14569" s="1" t="str">
        <f>HYPERLINK("http://essilorusa.com.mx","essilorusa.com.mx")</f>
        <v>essilorusa.com.mx</v>
      </c>
      <c r="C14569" t="s">
        <v>471</v>
      </c>
      <c r="D14569" t="s">
        <v>847</v>
      </c>
      <c r="J14569">
        <v>5</v>
      </c>
    </row>
    <row r="14570" spans="1:10" x14ac:dyDescent="0.25">
      <c r="A14570" t="s">
        <v>154</v>
      </c>
      <c r="B14570" s="1" t="str">
        <f>HYPERLINK("http://fgx.com.mx","fgx.com.mx")</f>
        <v>fgx.com.mx</v>
      </c>
      <c r="C14570" t="s">
        <v>471</v>
      </c>
      <c r="D14570" t="s">
        <v>847</v>
      </c>
      <c r="J14570">
        <v>5</v>
      </c>
    </row>
    <row r="14571" spans="1:10" x14ac:dyDescent="0.25">
      <c r="A14571" t="s">
        <v>154</v>
      </c>
      <c r="B14571" s="1" t="str">
        <f>HYPERLINK("http://lux.com.mx","lux.com.mx")</f>
        <v>lux.com.mx</v>
      </c>
      <c r="C14571" t="s">
        <v>471</v>
      </c>
      <c r="D14571" t="s">
        <v>847</v>
      </c>
      <c r="F14571">
        <v>4.4997150313183202E-9</v>
      </c>
      <c r="G14571">
        <v>58984342</v>
      </c>
      <c r="H14571">
        <v>9237620</v>
      </c>
      <c r="I14571">
        <v>68737530</v>
      </c>
      <c r="J14571">
        <v>4</v>
      </c>
    </row>
    <row r="14572" spans="1:10" x14ac:dyDescent="0.25">
      <c r="A14572" t="s">
        <v>154</v>
      </c>
      <c r="B14572" s="1" t="str">
        <f>HYPERLINK("http://masivision.com.mx","masivision.com.mx")</f>
        <v>masivision.com.mx</v>
      </c>
      <c r="C14572" t="s">
        <v>471</v>
      </c>
      <c r="D14572" t="s">
        <v>847</v>
      </c>
      <c r="J14572">
        <v>4</v>
      </c>
    </row>
    <row r="14573" spans="1:10" x14ac:dyDescent="0.25">
      <c r="A14573" t="s">
        <v>154</v>
      </c>
      <c r="B14573" s="1" t="str">
        <f>HYPERLINK("http://masvisio.com.mx","masvisio.com.mx")</f>
        <v>masvisio.com.mx</v>
      </c>
      <c r="C14573" t="s">
        <v>471</v>
      </c>
      <c r="D14573" t="s">
        <v>847</v>
      </c>
      <c r="J14573">
        <v>4</v>
      </c>
    </row>
    <row r="14574" spans="1:10" x14ac:dyDescent="0.25">
      <c r="A14574" t="s">
        <v>154</v>
      </c>
      <c r="B14574" s="1" t="str">
        <f>HYPERLINK("http://masvision.com.mx","masvision.com.mx")</f>
        <v>masvision.com.mx</v>
      </c>
      <c r="C14574" t="s">
        <v>471</v>
      </c>
      <c r="D14574" t="s">
        <v>847</v>
      </c>
      <c r="J14574">
        <v>4</v>
      </c>
    </row>
    <row r="14575" spans="1:10" x14ac:dyDescent="0.25">
      <c r="A14575" t="s">
        <v>154</v>
      </c>
      <c r="B14575" s="1" t="str">
        <f>HYPERLINK("http://opticamasvision.com.mx","opticamasvision.com.mx")</f>
        <v>opticamasvision.com.mx</v>
      </c>
      <c r="C14575" t="s">
        <v>471</v>
      </c>
      <c r="D14575" t="s">
        <v>847</v>
      </c>
      <c r="J14575">
        <v>4</v>
      </c>
    </row>
    <row r="14576" spans="1:10" x14ac:dyDescent="0.25">
      <c r="A14576" t="s">
        <v>154</v>
      </c>
      <c r="B14576" s="1" t="str">
        <f>HYPERLINK("http://opticasmasvision.com.mx","opticasmasvision.com.mx")</f>
        <v>opticasmasvision.com.mx</v>
      </c>
      <c r="C14576" t="s">
        <v>471</v>
      </c>
      <c r="D14576" t="s">
        <v>847</v>
      </c>
      <c r="J14576">
        <v>4</v>
      </c>
    </row>
    <row r="14577" spans="1:10" x14ac:dyDescent="0.25">
      <c r="A14577" t="s">
        <v>154</v>
      </c>
      <c r="B14577" s="1" t="str">
        <f>HYPERLINK("http://opticasvision.com.mx","opticasvision.com.mx")</f>
        <v>opticasvision.com.mx</v>
      </c>
      <c r="C14577" t="s">
        <v>471</v>
      </c>
      <c r="D14577" t="s">
        <v>847</v>
      </c>
      <c r="J14577">
        <v>4</v>
      </c>
    </row>
    <row r="14578" spans="1:10" x14ac:dyDescent="0.25">
      <c r="A14578" t="s">
        <v>154</v>
      </c>
      <c r="B14578" s="1" t="str">
        <f>HYPERLINK("http://shamir.com.mx","shamir.com.mx")</f>
        <v>shamir.com.mx</v>
      </c>
      <c r="C14578" t="s">
        <v>471</v>
      </c>
      <c r="D14578" t="s">
        <v>847</v>
      </c>
      <c r="F14578">
        <v>6.2717359264082804E-9</v>
      </c>
      <c r="G14578">
        <v>15166930</v>
      </c>
      <c r="H14578">
        <v>10193303</v>
      </c>
      <c r="I14578">
        <v>59083249</v>
      </c>
      <c r="J14578">
        <v>5</v>
      </c>
    </row>
    <row r="14579" spans="1:10" x14ac:dyDescent="0.25">
      <c r="A14579" t="s">
        <v>154</v>
      </c>
      <c r="B14579" s="1" t="str">
        <f>HYPERLINK("http://siolab.com.mx","siolab.com.mx")</f>
        <v>siolab.com.mx</v>
      </c>
      <c r="C14579" t="s">
        <v>471</v>
      </c>
      <c r="D14579" t="s">
        <v>847</v>
      </c>
      <c r="J14579">
        <v>6</v>
      </c>
    </row>
    <row r="14580" spans="1:10" x14ac:dyDescent="0.25">
      <c r="A14580" t="s">
        <v>154</v>
      </c>
      <c r="B14580" s="1" t="str">
        <f>HYPERLINK("http://solarismexico.com.mx","solarismexico.com.mx")</f>
        <v>solarismexico.com.mx</v>
      </c>
      <c r="C14580" t="s">
        <v>471</v>
      </c>
      <c r="D14580" t="s">
        <v>847</v>
      </c>
      <c r="J14580">
        <v>4</v>
      </c>
    </row>
    <row r="14581" spans="1:10" x14ac:dyDescent="0.25">
      <c r="A14581" t="s">
        <v>154</v>
      </c>
      <c r="B14581" s="1" t="str">
        <f>HYPERLINK("http://sunglashut.com.mx","sunglashut.com.mx")</f>
        <v>sunglashut.com.mx</v>
      </c>
      <c r="C14581" t="s">
        <v>471</v>
      </c>
      <c r="D14581" t="s">
        <v>847</v>
      </c>
      <c r="J14581">
        <v>2</v>
      </c>
    </row>
    <row r="14582" spans="1:10" x14ac:dyDescent="0.25">
      <c r="A14582" t="s">
        <v>154</v>
      </c>
      <c r="B14582" s="1" t="str">
        <f>HYPERLINK("http://sunglasshut.com.mx","sunglasshut.com.mx")</f>
        <v>sunglasshut.com.mx</v>
      </c>
      <c r="C14582" t="s">
        <v>471</v>
      </c>
      <c r="D14582" t="s">
        <v>847</v>
      </c>
      <c r="F14582">
        <v>4.7954723456316303E-9</v>
      </c>
      <c r="G14582">
        <v>36264016</v>
      </c>
      <c r="H14582">
        <v>10365618</v>
      </c>
      <c r="I14582">
        <v>55010861</v>
      </c>
      <c r="J14582">
        <v>2</v>
      </c>
    </row>
    <row r="14583" spans="1:10" x14ac:dyDescent="0.25">
      <c r="A14583" t="s">
        <v>154</v>
      </c>
      <c r="B14583" s="1" t="str">
        <f>HYPERLINK("http://ggv.mx","ggv.mx")</f>
        <v>ggv.mx</v>
      </c>
      <c r="C14583" t="s">
        <v>471</v>
      </c>
      <c r="D14583" t="s">
        <v>847</v>
      </c>
      <c r="F14583">
        <v>5.13961091387112E-9</v>
      </c>
      <c r="G14583">
        <v>26273152</v>
      </c>
      <c r="H14583">
        <v>10543152</v>
      </c>
      <c r="I14583">
        <v>47040368</v>
      </c>
      <c r="J14583">
        <v>4</v>
      </c>
    </row>
    <row r="14584" spans="1:10" x14ac:dyDescent="0.25">
      <c r="A14584" t="s">
        <v>154</v>
      </c>
      <c r="B14584" s="1" t="str">
        <f>HYPERLINK("http://lux.mx","lux.mx")</f>
        <v>lux.mx</v>
      </c>
      <c r="C14584" t="s">
        <v>471</v>
      </c>
      <c r="D14584" t="s">
        <v>847</v>
      </c>
      <c r="E14584">
        <v>718021</v>
      </c>
      <c r="F14584">
        <v>1.20472784765041E-8</v>
      </c>
      <c r="G14584">
        <v>5146032</v>
      </c>
      <c r="H14584">
        <v>13768690</v>
      </c>
      <c r="I14584">
        <v>6861339</v>
      </c>
      <c r="J14584">
        <v>3</v>
      </c>
    </row>
    <row r="14585" spans="1:10" x14ac:dyDescent="0.25">
      <c r="A14585" t="s">
        <v>154</v>
      </c>
      <c r="B14585" s="1" t="str">
        <f>HYPERLINK("http://masvison.mx","masvison.mx")</f>
        <v>masvison.mx</v>
      </c>
      <c r="C14585" t="s">
        <v>471</v>
      </c>
      <c r="D14585" t="s">
        <v>847</v>
      </c>
      <c r="J14585">
        <v>4</v>
      </c>
    </row>
    <row r="14586" spans="1:10" x14ac:dyDescent="0.25">
      <c r="A14586" t="s">
        <v>154</v>
      </c>
      <c r="B14586" s="1" t="str">
        <f>HYPERLINK("http://masvista.mx","masvista.mx")</f>
        <v>masvista.mx</v>
      </c>
      <c r="C14586" t="s">
        <v>471</v>
      </c>
      <c r="D14586" t="s">
        <v>847</v>
      </c>
      <c r="J14586">
        <v>4</v>
      </c>
    </row>
    <row r="14587" spans="1:10" x14ac:dyDescent="0.25">
      <c r="A14587" t="s">
        <v>154</v>
      </c>
      <c r="B14587" s="1" t="str">
        <f>HYPERLINK("http://opticaamasvision.mx","opticaamasvision.mx")</f>
        <v>opticaamasvision.mx</v>
      </c>
      <c r="C14587" t="s">
        <v>471</v>
      </c>
      <c r="D14587" t="s">
        <v>847</v>
      </c>
      <c r="J14587">
        <v>4</v>
      </c>
    </row>
    <row r="14588" spans="1:10" x14ac:dyDescent="0.25">
      <c r="A14588" t="s">
        <v>154</v>
      </c>
      <c r="B14588" s="1" t="str">
        <f>HYPERLINK("http://shamir.mx","shamir.mx")</f>
        <v>shamir.mx</v>
      </c>
      <c r="C14588" t="s">
        <v>471</v>
      </c>
      <c r="D14588" t="s">
        <v>847</v>
      </c>
      <c r="F14588">
        <v>4.8471097650327898E-9</v>
      </c>
      <c r="G14588">
        <v>34238070</v>
      </c>
      <c r="H14588">
        <v>8573515</v>
      </c>
      <c r="I14588">
        <v>71049662</v>
      </c>
      <c r="J14588">
        <v>6</v>
      </c>
    </row>
    <row r="14589" spans="1:10" x14ac:dyDescent="0.25">
      <c r="A14589" t="s">
        <v>154</v>
      </c>
      <c r="B14589" s="1" t="str">
        <f>HYPERLINK("http://essilor.com.my","essilor.com.my")</f>
        <v>essilor.com.my</v>
      </c>
      <c r="C14589" t="s">
        <v>472</v>
      </c>
      <c r="D14589" t="s">
        <v>848</v>
      </c>
      <c r="F14589">
        <v>1.31118478627395E-8</v>
      </c>
      <c r="G14589">
        <v>4578593</v>
      </c>
      <c r="H14589">
        <v>13765671</v>
      </c>
      <c r="I14589">
        <v>7078017</v>
      </c>
      <c r="J14589">
        <v>4</v>
      </c>
    </row>
    <row r="14590" spans="1:10" x14ac:dyDescent="0.25">
      <c r="A14590" t="s">
        <v>154</v>
      </c>
      <c r="B14590" s="1" t="str">
        <f>HYPERLINK("http://essilortmp.azurewebsites.net","essilortmp.azurewebsites.net")</f>
        <v>essilortmp.azurewebsites.net</v>
      </c>
      <c r="C14590" t="s">
        <v>474</v>
      </c>
      <c r="J14590">
        <v>3</v>
      </c>
    </row>
    <row r="14591" spans="1:10" x14ac:dyDescent="0.25">
      <c r="A14591" t="s">
        <v>154</v>
      </c>
      <c r="B14591" s="1" t="str">
        <f>HYPERLINK("http://essilor.net","essilor.net")</f>
        <v>essilor.net</v>
      </c>
      <c r="C14591" t="s">
        <v>474</v>
      </c>
      <c r="E14591">
        <v>377402</v>
      </c>
      <c r="F14591">
        <v>4.44380996400719E-9</v>
      </c>
      <c r="G14591">
        <v>79640794</v>
      </c>
      <c r="H14591">
        <v>10351910</v>
      </c>
      <c r="I14591">
        <v>56146803</v>
      </c>
      <c r="J14591">
        <v>4</v>
      </c>
    </row>
    <row r="14592" spans="1:10" x14ac:dyDescent="0.25">
      <c r="A14592" t="s">
        <v>154</v>
      </c>
      <c r="B14592" s="1" t="str">
        <f>HYPERLINK("http://essilor.ng","essilor.ng")</f>
        <v>essilor.ng</v>
      </c>
      <c r="C14592" t="s">
        <v>475</v>
      </c>
      <c r="D14592" t="s">
        <v>850</v>
      </c>
      <c r="F14592">
        <v>8.5136896875751E-9</v>
      </c>
      <c r="G14592">
        <v>8819913</v>
      </c>
      <c r="H14592">
        <v>11033002</v>
      </c>
      <c r="I14592">
        <v>33053742</v>
      </c>
      <c r="J14592">
        <v>4</v>
      </c>
    </row>
    <row r="14593" spans="1:10" x14ac:dyDescent="0.25">
      <c r="A14593" t="s">
        <v>154</v>
      </c>
      <c r="B14593" s="1" t="str">
        <f>HYPERLINK("http://essilor.nl","essilor.nl")</f>
        <v>essilor.nl</v>
      </c>
      <c r="C14593" t="s">
        <v>477</v>
      </c>
      <c r="D14593" t="s">
        <v>852</v>
      </c>
      <c r="F14593">
        <v>2.87476442947955E-8</v>
      </c>
      <c r="G14593">
        <v>1790270</v>
      </c>
      <c r="H14593">
        <v>11635701</v>
      </c>
      <c r="I14593">
        <v>29895373</v>
      </c>
      <c r="J14593">
        <v>3</v>
      </c>
    </row>
    <row r="14594" spans="1:10" x14ac:dyDescent="0.25">
      <c r="A14594" t="s">
        <v>154</v>
      </c>
      <c r="B14594" s="1" t="str">
        <f>HYPERLINK("http://hollandopticalcompany.nl","hollandopticalcompany.nl")</f>
        <v>hollandopticalcompany.nl</v>
      </c>
      <c r="C14594" t="s">
        <v>477</v>
      </c>
      <c r="D14594" t="s">
        <v>852</v>
      </c>
      <c r="J14594">
        <v>4</v>
      </c>
    </row>
    <row r="14595" spans="1:10" x14ac:dyDescent="0.25">
      <c r="A14595" t="s">
        <v>154</v>
      </c>
      <c r="B14595" s="1" t="str">
        <f>HYPERLINK("http://lensway.nl","lensway.nl")</f>
        <v>lensway.nl</v>
      </c>
      <c r="C14595" t="s">
        <v>477</v>
      </c>
      <c r="D14595" t="s">
        <v>852</v>
      </c>
      <c r="F14595">
        <v>1.2283346068147699E-8</v>
      </c>
      <c r="G14595">
        <v>5003456</v>
      </c>
      <c r="H14595">
        <v>12434392</v>
      </c>
      <c r="I14595">
        <v>18223604</v>
      </c>
      <c r="J14595">
        <v>4</v>
      </c>
    </row>
    <row r="14596" spans="1:10" x14ac:dyDescent="0.25">
      <c r="A14596" t="s">
        <v>154</v>
      </c>
      <c r="B14596" s="1" t="str">
        <f>HYPERLINK("http://pearle.nl","pearle.nl")</f>
        <v>pearle.nl</v>
      </c>
      <c r="C14596" t="s">
        <v>477</v>
      </c>
      <c r="D14596" t="s">
        <v>852</v>
      </c>
      <c r="E14596">
        <v>208239</v>
      </c>
      <c r="F14596">
        <v>9.8760178919169995E-8</v>
      </c>
      <c r="G14596">
        <v>408024</v>
      </c>
      <c r="H14596">
        <v>14643983</v>
      </c>
      <c r="I14596">
        <v>634156</v>
      </c>
      <c r="J14596">
        <v>3</v>
      </c>
    </row>
    <row r="14597" spans="1:10" x14ac:dyDescent="0.25">
      <c r="A14597" t="s">
        <v>154</v>
      </c>
      <c r="B14597" s="1" t="str">
        <f>HYPERLINK("http://pearle-wageningen.nl","pearle-wageningen.nl")</f>
        <v>pearle-wageningen.nl</v>
      </c>
      <c r="C14597" t="s">
        <v>477</v>
      </c>
      <c r="D14597" t="s">
        <v>852</v>
      </c>
      <c r="F14597">
        <v>4.6031041627532697E-9</v>
      </c>
      <c r="G14597">
        <v>47368909</v>
      </c>
      <c r="H14597">
        <v>10887319</v>
      </c>
      <c r="I14597">
        <v>36175583</v>
      </c>
      <c r="J14597">
        <v>6</v>
      </c>
    </row>
    <row r="14598" spans="1:10" x14ac:dyDescent="0.25">
      <c r="A14598" t="s">
        <v>154</v>
      </c>
      <c r="B14598" s="1" t="str">
        <f>HYPERLINK("http://pearleburgum.nl","pearleburgum.nl")</f>
        <v>pearleburgum.nl</v>
      </c>
      <c r="C14598" t="s">
        <v>477</v>
      </c>
      <c r="D14598" t="s">
        <v>852</v>
      </c>
      <c r="F14598">
        <v>4.53518709125468E-9</v>
      </c>
      <c r="G14598">
        <v>54400175</v>
      </c>
      <c r="H14598">
        <v>13763633</v>
      </c>
      <c r="I14598">
        <v>9257361</v>
      </c>
      <c r="J14598">
        <v>6</v>
      </c>
    </row>
    <row r="14599" spans="1:10" x14ac:dyDescent="0.25">
      <c r="A14599" t="s">
        <v>154</v>
      </c>
      <c r="B14599" s="1" t="str">
        <f>HYPERLINK("http://pearlestudio.nl","pearlestudio.nl")</f>
        <v>pearlestudio.nl</v>
      </c>
      <c r="C14599" t="s">
        <v>477</v>
      </c>
      <c r="D14599" t="s">
        <v>852</v>
      </c>
      <c r="F14599">
        <v>1.45040089447647E-8</v>
      </c>
      <c r="G14599">
        <v>4012404</v>
      </c>
      <c r="H14599">
        <v>12336065</v>
      </c>
      <c r="I14599">
        <v>20084743</v>
      </c>
      <c r="J14599">
        <v>5</v>
      </c>
    </row>
    <row r="14600" spans="1:10" x14ac:dyDescent="0.25">
      <c r="A14600" t="s">
        <v>154</v>
      </c>
      <c r="B14600" s="1" t="str">
        <f>HYPERLINK("http://shamir.nl","shamir.nl")</f>
        <v>shamir.nl</v>
      </c>
      <c r="C14600" t="s">
        <v>477</v>
      </c>
      <c r="D14600" t="s">
        <v>852</v>
      </c>
      <c r="F14600">
        <v>7.8527536970934198E-9</v>
      </c>
      <c r="G14600">
        <v>10207746</v>
      </c>
      <c r="H14600">
        <v>10605670</v>
      </c>
      <c r="I14600">
        <v>44691582</v>
      </c>
      <c r="J14600">
        <v>5</v>
      </c>
    </row>
    <row r="14601" spans="1:10" x14ac:dyDescent="0.25">
      <c r="A14601" t="s">
        <v>154</v>
      </c>
      <c r="B14601" s="1" t="str">
        <f>HYPERLINK("http://visiondirect.nl","visiondirect.nl")</f>
        <v>visiondirect.nl</v>
      </c>
      <c r="C14601" t="s">
        <v>477</v>
      </c>
      <c r="D14601" t="s">
        <v>852</v>
      </c>
      <c r="E14601">
        <v>740977</v>
      </c>
      <c r="F14601">
        <v>4.9750083662174302E-8</v>
      </c>
      <c r="G14601">
        <v>927444</v>
      </c>
      <c r="H14601">
        <v>13140936</v>
      </c>
      <c r="I14601">
        <v>11875951</v>
      </c>
      <c r="J14601">
        <v>4</v>
      </c>
    </row>
    <row r="14602" spans="1:10" x14ac:dyDescent="0.25">
      <c r="A14602" t="s">
        <v>154</v>
      </c>
      <c r="B14602" s="1" t="str">
        <f>HYPERLINK("http://bbgr.no","bbgr.no")</f>
        <v>bbgr.no</v>
      </c>
      <c r="C14602" t="s">
        <v>478</v>
      </c>
      <c r="D14602" t="s">
        <v>853</v>
      </c>
      <c r="F14602">
        <v>5.8438046176277696E-9</v>
      </c>
      <c r="G14602">
        <v>17753821</v>
      </c>
      <c r="H14602">
        <v>2.0009769999999998</v>
      </c>
      <c r="I14602">
        <v>77969779</v>
      </c>
      <c r="J14602">
        <v>6</v>
      </c>
    </row>
    <row r="14603" spans="1:10" x14ac:dyDescent="0.25">
      <c r="A14603" t="s">
        <v>154</v>
      </c>
      <c r="B14603" s="1" t="str">
        <f>HYPERLINK("http://brilleland.no","brilleland.no")</f>
        <v>brilleland.no</v>
      </c>
      <c r="C14603" t="s">
        <v>478</v>
      </c>
      <c r="D14603" t="s">
        <v>853</v>
      </c>
      <c r="F14603">
        <v>2.9822728704782698E-8</v>
      </c>
      <c r="G14603">
        <v>1725781</v>
      </c>
      <c r="H14603">
        <v>13775398</v>
      </c>
      <c r="I14603">
        <v>6582749</v>
      </c>
      <c r="J14603">
        <v>3</v>
      </c>
    </row>
    <row r="14604" spans="1:10" x14ac:dyDescent="0.25">
      <c r="A14604" t="s">
        <v>154</v>
      </c>
      <c r="B14604" s="1" t="str">
        <f>HYPERLINK("http://essilor.no","essilor.no")</f>
        <v>essilor.no</v>
      </c>
      <c r="C14604" t="s">
        <v>478</v>
      </c>
      <c r="D14604" t="s">
        <v>853</v>
      </c>
      <c r="F14604">
        <v>1.8685452328002401E-8</v>
      </c>
      <c r="G14604">
        <v>2891924</v>
      </c>
      <c r="H14604">
        <v>12213788</v>
      </c>
      <c r="I14604">
        <v>22931535</v>
      </c>
      <c r="J14604">
        <v>3</v>
      </c>
    </row>
    <row r="14605" spans="1:10" x14ac:dyDescent="0.25">
      <c r="A14605" t="s">
        <v>154</v>
      </c>
      <c r="B14605" s="1" t="str">
        <f>HYPERLINK("http://interoptik.no","interoptik.no")</f>
        <v>interoptik.no</v>
      </c>
      <c r="C14605" t="s">
        <v>478</v>
      </c>
      <c r="D14605" t="s">
        <v>853</v>
      </c>
      <c r="F14605">
        <v>3.6579350472704E-8</v>
      </c>
      <c r="G14605">
        <v>1427858</v>
      </c>
      <c r="H14605">
        <v>14378059</v>
      </c>
      <c r="I14605">
        <v>1206338</v>
      </c>
      <c r="J14605">
        <v>3</v>
      </c>
    </row>
    <row r="14606" spans="1:10" x14ac:dyDescent="0.25">
      <c r="A14606" t="s">
        <v>154</v>
      </c>
      <c r="B14606" s="1" t="str">
        <f>HYPERLINK("http://lensway.no","lensway.no")</f>
        <v>lensway.no</v>
      </c>
      <c r="C14606" t="s">
        <v>478</v>
      </c>
      <c r="D14606" t="s">
        <v>853</v>
      </c>
      <c r="F14606">
        <v>8.8769063971057999E-9</v>
      </c>
      <c r="G14606">
        <v>8181331</v>
      </c>
      <c r="H14606">
        <v>13764280</v>
      </c>
      <c r="I14606">
        <v>7310160</v>
      </c>
      <c r="J14606">
        <v>6</v>
      </c>
    </row>
    <row r="14607" spans="1:10" x14ac:dyDescent="0.25">
      <c r="A14607" t="s">
        <v>154</v>
      </c>
      <c r="B14607" s="1" t="str">
        <f>HYPERLINK("http://synoptik.no","synoptik.no")</f>
        <v>synoptik.no</v>
      </c>
      <c r="C14607" t="s">
        <v>478</v>
      </c>
      <c r="D14607" t="s">
        <v>853</v>
      </c>
      <c r="F14607">
        <v>4.4792401347817796E-9</v>
      </c>
      <c r="G14607">
        <v>62522736</v>
      </c>
      <c r="H14607">
        <v>12076818</v>
      </c>
      <c r="I14607">
        <v>26646768</v>
      </c>
      <c r="J14607">
        <v>4</v>
      </c>
    </row>
    <row r="14608" spans="1:10" x14ac:dyDescent="0.25">
      <c r="A14608" t="s">
        <v>154</v>
      </c>
      <c r="B14608" s="1" t="str">
        <f>HYPERLINK("http://clearly.co.nz","clearly.co.nz")</f>
        <v>clearly.co.nz</v>
      </c>
      <c r="C14608" t="s">
        <v>479</v>
      </c>
      <c r="D14608" t="s">
        <v>854</v>
      </c>
      <c r="F14608">
        <v>7.8351859854453204E-9</v>
      </c>
      <c r="G14608">
        <v>10244939</v>
      </c>
      <c r="H14608">
        <v>12600066</v>
      </c>
      <c r="I14608">
        <v>16325531</v>
      </c>
      <c r="J14608">
        <v>6</v>
      </c>
    </row>
    <row r="14609" spans="1:10" x14ac:dyDescent="0.25">
      <c r="A14609" t="s">
        <v>154</v>
      </c>
      <c r="B14609" s="1" t="str">
        <f>HYPERLINK("http://essilor.co.nz","essilor.co.nz")</f>
        <v>essilor.co.nz</v>
      </c>
      <c r="C14609" t="s">
        <v>479</v>
      </c>
      <c r="D14609" t="s">
        <v>854</v>
      </c>
      <c r="F14609">
        <v>8.9403567267389794E-9</v>
      </c>
      <c r="G14609">
        <v>8082187</v>
      </c>
      <c r="H14609">
        <v>12209748</v>
      </c>
      <c r="I14609">
        <v>23034924</v>
      </c>
      <c r="J14609">
        <v>4</v>
      </c>
    </row>
    <row r="14610" spans="1:10" x14ac:dyDescent="0.25">
      <c r="A14610" t="s">
        <v>154</v>
      </c>
      <c r="B14610" s="1" t="str">
        <f>HYPERLINK("http://opsm.co.nz","opsm.co.nz")</f>
        <v>opsm.co.nz</v>
      </c>
      <c r="C14610" t="s">
        <v>479</v>
      </c>
      <c r="D14610" t="s">
        <v>854</v>
      </c>
      <c r="F14610">
        <v>7.3249247057550498E-9</v>
      </c>
      <c r="G14610">
        <v>11419591</v>
      </c>
      <c r="H14610">
        <v>13014634</v>
      </c>
      <c r="I14610">
        <v>12733399</v>
      </c>
      <c r="J14610">
        <v>7</v>
      </c>
    </row>
    <row r="14611" spans="1:10" x14ac:dyDescent="0.25">
      <c r="A14611" t="s">
        <v>154</v>
      </c>
      <c r="B14611" s="1" t="str">
        <f>HYPERLINK("http://shamir.co.nz","shamir.co.nz")</f>
        <v>shamir.co.nz</v>
      </c>
      <c r="C14611" t="s">
        <v>479</v>
      </c>
      <c r="D14611" t="s">
        <v>854</v>
      </c>
      <c r="F14611">
        <v>6.8315655585459901E-9</v>
      </c>
      <c r="G14611">
        <v>12857224</v>
      </c>
      <c r="H14611">
        <v>10394778</v>
      </c>
      <c r="I14611">
        <v>54322413</v>
      </c>
      <c r="J14611">
        <v>5</v>
      </c>
    </row>
    <row r="14612" spans="1:10" x14ac:dyDescent="0.25">
      <c r="A14612" t="s">
        <v>154</v>
      </c>
      <c r="B14612" s="1" t="str">
        <f>HYPERLINK("http://sunglasshut.co.nz","sunglasshut.co.nz")</f>
        <v>sunglasshut.co.nz</v>
      </c>
      <c r="C14612" t="s">
        <v>479</v>
      </c>
      <c r="D14612" t="s">
        <v>854</v>
      </c>
      <c r="F14612">
        <v>1.00263540929076E-8</v>
      </c>
      <c r="G14612">
        <v>6729620</v>
      </c>
      <c r="H14612">
        <v>11222704</v>
      </c>
      <c r="I14612">
        <v>31072912</v>
      </c>
      <c r="J14612">
        <v>3</v>
      </c>
    </row>
    <row r="14613" spans="1:10" x14ac:dyDescent="0.25">
      <c r="A14613" t="s">
        <v>154</v>
      </c>
      <c r="B14613" s="1" t="str">
        <f>HYPERLINK("http://essilor.com.ph","essilor.com.ph")</f>
        <v>essilor.com.ph</v>
      </c>
      <c r="C14613" t="s">
        <v>484</v>
      </c>
      <c r="D14613" t="s">
        <v>858</v>
      </c>
      <c r="F14613">
        <v>1.13774060325342E-8</v>
      </c>
      <c r="G14613">
        <v>5589482</v>
      </c>
      <c r="H14613">
        <v>14119755</v>
      </c>
      <c r="I14613">
        <v>2460618</v>
      </c>
      <c r="J14613">
        <v>4</v>
      </c>
    </row>
    <row r="14614" spans="1:10" x14ac:dyDescent="0.25">
      <c r="A14614" t="s">
        <v>154</v>
      </c>
      <c r="B14614" s="1" t="str">
        <f>HYPERLINK("http://jzo.com.pl","jzo.com.pl")</f>
        <v>jzo.com.pl</v>
      </c>
      <c r="C14614" t="s">
        <v>486</v>
      </c>
      <c r="D14614" t="s">
        <v>860</v>
      </c>
      <c r="F14614">
        <v>3.8018422577372503E-8</v>
      </c>
      <c r="G14614">
        <v>1361236</v>
      </c>
      <c r="H14614">
        <v>14238378</v>
      </c>
      <c r="I14614">
        <v>1527956</v>
      </c>
      <c r="J14614">
        <v>4</v>
      </c>
    </row>
    <row r="14615" spans="1:10" x14ac:dyDescent="0.25">
      <c r="A14615" t="s">
        <v>154</v>
      </c>
      <c r="B14615" s="1" t="str">
        <f>HYPERLINK("http://essilor.pl","essilor.pl")</f>
        <v>essilor.pl</v>
      </c>
      <c r="C14615" t="s">
        <v>486</v>
      </c>
      <c r="D14615" t="s">
        <v>860</v>
      </c>
      <c r="F14615">
        <v>5.4188435865972298E-8</v>
      </c>
      <c r="G14615">
        <v>834342</v>
      </c>
      <c r="H14615">
        <v>14238090</v>
      </c>
      <c r="I14615">
        <v>1533647</v>
      </c>
      <c r="J14615">
        <v>3</v>
      </c>
    </row>
    <row r="14616" spans="1:10" x14ac:dyDescent="0.25">
      <c r="A14616" t="s">
        <v>154</v>
      </c>
      <c r="B14616" s="1" t="str">
        <f>HYPERLINK("http://shamir.pl","shamir.pl")</f>
        <v>shamir.pl</v>
      </c>
      <c r="C14616" t="s">
        <v>486</v>
      </c>
      <c r="D14616" t="s">
        <v>860</v>
      </c>
      <c r="F14616">
        <v>9.6607022581576004E-9</v>
      </c>
      <c r="G14616">
        <v>7127811</v>
      </c>
      <c r="H14616">
        <v>10816300</v>
      </c>
      <c r="I14616">
        <v>37710091</v>
      </c>
      <c r="J14616">
        <v>5</v>
      </c>
    </row>
    <row r="14617" spans="1:10" x14ac:dyDescent="0.25">
      <c r="A14617" t="s">
        <v>154</v>
      </c>
      <c r="B14617" s="1" t="str">
        <f>HYPERLINK("http://visionexpress.pl","visionexpress.pl")</f>
        <v>visionexpress.pl</v>
      </c>
      <c r="C14617" t="s">
        <v>486</v>
      </c>
      <c r="D14617" t="s">
        <v>860</v>
      </c>
      <c r="E14617">
        <v>575007</v>
      </c>
      <c r="F14617">
        <v>6.3480145239404605E-8</v>
      </c>
      <c r="G14617">
        <v>684488</v>
      </c>
      <c r="H14617">
        <v>13774009</v>
      </c>
      <c r="I14617">
        <v>6616809</v>
      </c>
      <c r="J14617">
        <v>3</v>
      </c>
    </row>
    <row r="14618" spans="1:10" x14ac:dyDescent="0.25">
      <c r="A14618" t="s">
        <v>154</v>
      </c>
      <c r="B14618" s="1" t="str">
        <f>HYPERLINK("http://essilor.pt","essilor.pt")</f>
        <v>essilor.pt</v>
      </c>
      <c r="C14618" t="s">
        <v>488</v>
      </c>
      <c r="D14618" t="s">
        <v>862</v>
      </c>
      <c r="F14618">
        <v>3.2251908807880001E-8</v>
      </c>
      <c r="G14618">
        <v>1603345</v>
      </c>
      <c r="H14618">
        <v>12893759</v>
      </c>
      <c r="I14618">
        <v>13914830</v>
      </c>
      <c r="J14618">
        <v>3</v>
      </c>
    </row>
    <row r="14619" spans="1:10" x14ac:dyDescent="0.25">
      <c r="A14619" t="s">
        <v>154</v>
      </c>
      <c r="B14619" s="1" t="str">
        <f>HYPERLINK("http://grandoptical.pt","grandoptical.pt")</f>
        <v>grandoptical.pt</v>
      </c>
      <c r="C14619" t="s">
        <v>488</v>
      </c>
      <c r="D14619" t="s">
        <v>862</v>
      </c>
      <c r="F14619">
        <v>1.25404113576237E-8</v>
      </c>
      <c r="G14619">
        <v>4864351</v>
      </c>
      <c r="H14619">
        <v>12425686</v>
      </c>
      <c r="I14619">
        <v>18366625</v>
      </c>
      <c r="J14619">
        <v>5</v>
      </c>
    </row>
    <row r="14620" spans="1:10" x14ac:dyDescent="0.25">
      <c r="A14620" t="s">
        <v>154</v>
      </c>
      <c r="B14620" s="1" t="str">
        <f>HYPERLINK("http://shamir.pt","shamir.pt")</f>
        <v>shamir.pt</v>
      </c>
      <c r="C14620" t="s">
        <v>488</v>
      </c>
      <c r="D14620" t="s">
        <v>862</v>
      </c>
      <c r="F14620">
        <v>8.1803781532208495E-9</v>
      </c>
      <c r="G14620">
        <v>9604320</v>
      </c>
      <c r="H14620">
        <v>12332321</v>
      </c>
      <c r="I14620">
        <v>20162828</v>
      </c>
      <c r="J14620">
        <v>5</v>
      </c>
    </row>
    <row r="14621" spans="1:10" x14ac:dyDescent="0.25">
      <c r="A14621" t="s">
        <v>154</v>
      </c>
      <c r="B14621" s="1" t="str">
        <f>HYPERLINK("http://essilor.qa","essilor.qa")</f>
        <v>essilor.qa</v>
      </c>
      <c r="C14621" t="s">
        <v>490</v>
      </c>
      <c r="D14621" t="s">
        <v>864</v>
      </c>
      <c r="F14621">
        <v>8.2238770440718805E-9</v>
      </c>
      <c r="G14621">
        <v>9455315</v>
      </c>
      <c r="H14621">
        <v>10695914</v>
      </c>
      <c r="I14621">
        <v>42389135</v>
      </c>
      <c r="J14621">
        <v>5</v>
      </c>
    </row>
    <row r="14622" spans="1:10" x14ac:dyDescent="0.25">
      <c r="A14622" t="s">
        <v>154</v>
      </c>
      <c r="B14622" s="1" t="str">
        <f>HYPERLINK("http://essilor.ro","essilor.ro")</f>
        <v>essilor.ro</v>
      </c>
      <c r="C14622" t="s">
        <v>491</v>
      </c>
      <c r="D14622" t="s">
        <v>865</v>
      </c>
      <c r="F14622">
        <v>2.1823892568720999E-8</v>
      </c>
      <c r="G14622">
        <v>2407107</v>
      </c>
      <c r="H14622">
        <v>12310159</v>
      </c>
      <c r="I14622">
        <v>20616102</v>
      </c>
      <c r="J14622">
        <v>3</v>
      </c>
    </row>
    <row r="14623" spans="1:10" x14ac:dyDescent="0.25">
      <c r="A14623" t="s">
        <v>154</v>
      </c>
      <c r="B14623" s="1" t="str">
        <f>HYPERLINK("http://essilor.rs","essilor.rs")</f>
        <v>essilor.rs</v>
      </c>
      <c r="C14623" t="s">
        <v>492</v>
      </c>
      <c r="D14623" t="s">
        <v>866</v>
      </c>
      <c r="F14623">
        <v>1.7486477652496301E-8</v>
      </c>
      <c r="G14623">
        <v>3149338</v>
      </c>
      <c r="H14623">
        <v>12176962</v>
      </c>
      <c r="I14623">
        <v>23884847</v>
      </c>
      <c r="J14623">
        <v>3</v>
      </c>
    </row>
    <row r="14624" spans="1:10" x14ac:dyDescent="0.25">
      <c r="A14624" t="s">
        <v>154</v>
      </c>
      <c r="B14624" s="1" t="str">
        <f>HYPERLINK("http://shamir.ru","shamir.ru")</f>
        <v>shamir.ru</v>
      </c>
      <c r="C14624" t="s">
        <v>493</v>
      </c>
      <c r="D14624" t="s">
        <v>867</v>
      </c>
      <c r="F14624">
        <v>1.0336009771762801E-8</v>
      </c>
      <c r="G14624">
        <v>6417344</v>
      </c>
      <c r="H14624">
        <v>10667213</v>
      </c>
      <c r="I14624">
        <v>43059916</v>
      </c>
      <c r="J14624">
        <v>5</v>
      </c>
    </row>
    <row r="14625" spans="1:10" x14ac:dyDescent="0.25">
      <c r="A14625" t="s">
        <v>154</v>
      </c>
      <c r="B14625" s="1" t="str">
        <f>HYPERLINK("http://essilor.sa","essilor.sa")</f>
        <v>essilor.sa</v>
      </c>
      <c r="C14625" t="s">
        <v>494</v>
      </c>
      <c r="D14625" t="s">
        <v>868</v>
      </c>
      <c r="F14625">
        <v>8.8716345069192708E-9</v>
      </c>
      <c r="G14625">
        <v>8189499</v>
      </c>
      <c r="H14625">
        <v>10533521</v>
      </c>
      <c r="I14625">
        <v>47863336</v>
      </c>
      <c r="J14625">
        <v>4</v>
      </c>
    </row>
    <row r="14626" spans="1:10" x14ac:dyDescent="0.25">
      <c r="A14626" t="s">
        <v>154</v>
      </c>
      <c r="B14626" s="1" t="str">
        <f>HYPERLINK("http://bbgr.se","bbgr.se")</f>
        <v>bbgr.se</v>
      </c>
      <c r="C14626" t="s">
        <v>495</v>
      </c>
      <c r="D14626" t="s">
        <v>869</v>
      </c>
      <c r="F14626">
        <v>8.5504801764144003E-9</v>
      </c>
      <c r="G14626">
        <v>8748834</v>
      </c>
      <c r="H14626">
        <v>9529530</v>
      </c>
      <c r="I14626">
        <v>65294594</v>
      </c>
      <c r="J14626">
        <v>6</v>
      </c>
    </row>
    <row r="14627" spans="1:10" x14ac:dyDescent="0.25">
      <c r="A14627" t="s">
        <v>154</v>
      </c>
      <c r="B14627" s="1" t="str">
        <f>HYPERLINK("http://essilor.se","essilor.se")</f>
        <v>essilor.se</v>
      </c>
      <c r="C14627" t="s">
        <v>495</v>
      </c>
      <c r="D14627" t="s">
        <v>869</v>
      </c>
      <c r="F14627">
        <v>2.8750786225976299E-8</v>
      </c>
      <c r="G14627">
        <v>1790071</v>
      </c>
      <c r="H14627">
        <v>11024670</v>
      </c>
      <c r="I14627">
        <v>33186502</v>
      </c>
      <c r="J14627">
        <v>3</v>
      </c>
    </row>
    <row r="14628" spans="1:10" x14ac:dyDescent="0.25">
      <c r="A14628" t="s">
        <v>154</v>
      </c>
      <c r="B14628" s="1" t="str">
        <f>HYPERLINK("http://lensway.se","lensway.se")</f>
        <v>lensway.se</v>
      </c>
      <c r="C14628" t="s">
        <v>495</v>
      </c>
      <c r="D14628" t="s">
        <v>869</v>
      </c>
      <c r="E14628">
        <v>950822</v>
      </c>
      <c r="F14628">
        <v>4.0984343035942697E-8</v>
      </c>
      <c r="G14628">
        <v>1265833</v>
      </c>
      <c r="H14628">
        <v>14123420</v>
      </c>
      <c r="I14628">
        <v>2175106</v>
      </c>
      <c r="J14628">
        <v>5</v>
      </c>
    </row>
    <row r="14629" spans="1:10" x14ac:dyDescent="0.25">
      <c r="A14629" t="s">
        <v>154</v>
      </c>
      <c r="B14629" s="1" t="str">
        <f>HYPERLINK("http://synoptik.se","synoptik.se")</f>
        <v>synoptik.se</v>
      </c>
      <c r="C14629" t="s">
        <v>495</v>
      </c>
      <c r="D14629" t="s">
        <v>869</v>
      </c>
      <c r="E14629">
        <v>571755</v>
      </c>
      <c r="F14629">
        <v>6.2523556552612794E-8</v>
      </c>
      <c r="G14629">
        <v>701845</v>
      </c>
      <c r="H14629">
        <v>14151879</v>
      </c>
      <c r="I14629">
        <v>1871611</v>
      </c>
      <c r="J14629">
        <v>3</v>
      </c>
    </row>
    <row r="14630" spans="1:10" x14ac:dyDescent="0.25">
      <c r="A14630" t="s">
        <v>154</v>
      </c>
      <c r="B14630" s="1" t="str">
        <f>HYPERLINK("http://essilor.com.sg","essilor.com.sg")</f>
        <v>essilor.com.sg</v>
      </c>
      <c r="C14630" t="s">
        <v>496</v>
      </c>
      <c r="D14630" t="s">
        <v>870</v>
      </c>
      <c r="F14630">
        <v>1.47738933222495E-8</v>
      </c>
      <c r="G14630">
        <v>3916068</v>
      </c>
      <c r="H14630">
        <v>12443162</v>
      </c>
      <c r="I14630">
        <v>18105797</v>
      </c>
      <c r="J14630">
        <v>4</v>
      </c>
    </row>
    <row r="14631" spans="1:10" x14ac:dyDescent="0.25">
      <c r="A14631" t="s">
        <v>154</v>
      </c>
      <c r="B14631" s="1" t="str">
        <f>HYPERLINK("http://essilor.si","essilor.si")</f>
        <v>essilor.si</v>
      </c>
      <c r="C14631" t="s">
        <v>497</v>
      </c>
      <c r="D14631" t="s">
        <v>871</v>
      </c>
      <c r="F14631">
        <v>1.60202417822029E-8</v>
      </c>
      <c r="G14631">
        <v>3540898</v>
      </c>
      <c r="H14631">
        <v>11088828</v>
      </c>
      <c r="I14631">
        <v>32395074</v>
      </c>
      <c r="J14631">
        <v>3</v>
      </c>
    </row>
    <row r="14632" spans="1:10" x14ac:dyDescent="0.25">
      <c r="A14632" t="s">
        <v>154</v>
      </c>
      <c r="B14632" s="1" t="str">
        <f>HYPERLINK("http://essilor.sk","essilor.sk")</f>
        <v>essilor.sk</v>
      </c>
      <c r="C14632" t="s">
        <v>498</v>
      </c>
      <c r="D14632" t="s">
        <v>872</v>
      </c>
      <c r="F14632">
        <v>4.3370787162496303E-8</v>
      </c>
      <c r="G14632">
        <v>1104213</v>
      </c>
      <c r="H14632">
        <v>12225553</v>
      </c>
      <c r="I14632">
        <v>22640530</v>
      </c>
      <c r="J14632">
        <v>3</v>
      </c>
    </row>
    <row r="14633" spans="1:10" x14ac:dyDescent="0.25">
      <c r="A14633" t="s">
        <v>154</v>
      </c>
      <c r="B14633" s="1" t="str">
        <f>HYPERLINK("http://grandoptical.sk","grandoptical.sk")</f>
        <v>grandoptical.sk</v>
      </c>
      <c r="C14633" t="s">
        <v>498</v>
      </c>
      <c r="D14633" t="s">
        <v>872</v>
      </c>
      <c r="F14633">
        <v>8.30923336876233E-9</v>
      </c>
      <c r="G14633">
        <v>9236276</v>
      </c>
      <c r="H14633">
        <v>13341624</v>
      </c>
      <c r="I14633">
        <v>10666969</v>
      </c>
      <c r="J14633">
        <v>3</v>
      </c>
    </row>
    <row r="14634" spans="1:10" x14ac:dyDescent="0.25">
      <c r="A14634" t="s">
        <v>154</v>
      </c>
      <c r="B14634" s="1" t="str">
        <f>HYPERLINK("http://essilor.sn","essilor.sn")</f>
        <v>essilor.sn</v>
      </c>
      <c r="C14634" t="s">
        <v>551</v>
      </c>
      <c r="D14634" t="s">
        <v>907</v>
      </c>
      <c r="F14634">
        <v>1.4789035575371399E-8</v>
      </c>
      <c r="G14634">
        <v>3910902</v>
      </c>
      <c r="H14634">
        <v>10533272</v>
      </c>
      <c r="I14634">
        <v>47890050</v>
      </c>
      <c r="J14634">
        <v>5</v>
      </c>
    </row>
    <row r="14635" spans="1:10" x14ac:dyDescent="0.25">
      <c r="A14635" t="s">
        <v>154</v>
      </c>
      <c r="B14635" s="1" t="str">
        <f>HYPERLINK("http://essilor.co.th","essilor.co.th")</f>
        <v>essilor.co.th</v>
      </c>
      <c r="C14635" t="s">
        <v>500</v>
      </c>
      <c r="D14635" t="s">
        <v>874</v>
      </c>
      <c r="F14635">
        <v>1.5689908255208999E-8</v>
      </c>
      <c r="G14635">
        <v>3630329</v>
      </c>
      <c r="H14635">
        <v>12398774</v>
      </c>
      <c r="I14635">
        <v>18872022</v>
      </c>
      <c r="J14635">
        <v>3</v>
      </c>
    </row>
    <row r="14636" spans="1:10" x14ac:dyDescent="0.25">
      <c r="A14636" t="s">
        <v>154</v>
      </c>
      <c r="B14636" s="1" t="str">
        <f>HYPERLINK("http://essilor.tn","essilor.tn")</f>
        <v>essilor.tn</v>
      </c>
      <c r="C14636" t="s">
        <v>501</v>
      </c>
      <c r="D14636" t="s">
        <v>875</v>
      </c>
      <c r="F14636">
        <v>8.6765549615345292E-9</v>
      </c>
      <c r="G14636">
        <v>8518696</v>
      </c>
      <c r="H14636">
        <v>10535780</v>
      </c>
      <c r="I14636">
        <v>47568189</v>
      </c>
      <c r="J14636">
        <v>4</v>
      </c>
    </row>
    <row r="14637" spans="1:10" x14ac:dyDescent="0.25">
      <c r="A14637" t="s">
        <v>154</v>
      </c>
      <c r="B14637" s="1" t="str">
        <f>HYPERLINK("http://atasunoptik.com.tr","atasunoptik.com.tr")</f>
        <v>atasunoptik.com.tr</v>
      </c>
      <c r="C14637" t="s">
        <v>502</v>
      </c>
      <c r="D14637" t="s">
        <v>876</v>
      </c>
      <c r="E14637">
        <v>411585</v>
      </c>
      <c r="F14637">
        <v>3.3982725640186597E-8</v>
      </c>
      <c r="G14637">
        <v>1523639</v>
      </c>
      <c r="H14637">
        <v>14954200</v>
      </c>
      <c r="I14637">
        <v>439147</v>
      </c>
      <c r="J14637">
        <v>6</v>
      </c>
    </row>
    <row r="14638" spans="1:10" x14ac:dyDescent="0.25">
      <c r="A14638" t="s">
        <v>154</v>
      </c>
      <c r="B14638" s="1" t="str">
        <f>HYPERLINK("http://pearl.tv","pearl.tv")</f>
        <v>pearl.tv</v>
      </c>
      <c r="C14638" t="s">
        <v>535</v>
      </c>
      <c r="D14638" t="s">
        <v>897</v>
      </c>
      <c r="F14638">
        <v>1.1076298174637299E-8</v>
      </c>
      <c r="G14638">
        <v>5802891</v>
      </c>
      <c r="H14638">
        <v>12330324</v>
      </c>
      <c r="I14638">
        <v>20206890</v>
      </c>
      <c r="J14638">
        <v>9</v>
      </c>
    </row>
    <row r="14639" spans="1:10" x14ac:dyDescent="0.25">
      <c r="A14639" t="s">
        <v>154</v>
      </c>
      <c r="B14639" s="1" t="str">
        <f>HYPERLINK("http://essilor.co.uk","essilor.co.uk")</f>
        <v>essilor.co.uk</v>
      </c>
      <c r="C14639" t="s">
        <v>506</v>
      </c>
      <c r="D14639" t="s">
        <v>880</v>
      </c>
      <c r="F14639">
        <v>5.6140072207350702E-8</v>
      </c>
      <c r="G14639">
        <v>797457</v>
      </c>
      <c r="H14639">
        <v>14208937</v>
      </c>
      <c r="I14639">
        <v>1705984</v>
      </c>
      <c r="J14639">
        <v>3</v>
      </c>
    </row>
    <row r="14640" spans="1:10" x14ac:dyDescent="0.25">
      <c r="A14640" t="s">
        <v>154</v>
      </c>
      <c r="B14640" s="1" t="str">
        <f>HYPERLINK("http://fostergrant.co.uk","fostergrant.co.uk")</f>
        <v>fostergrant.co.uk</v>
      </c>
      <c r="C14640" t="s">
        <v>506</v>
      </c>
      <c r="D14640" t="s">
        <v>880</v>
      </c>
      <c r="F14640">
        <v>3.1784156123428197E-8</v>
      </c>
      <c r="G14640">
        <v>1624721</v>
      </c>
      <c r="H14640">
        <v>13918206</v>
      </c>
      <c r="I14640">
        <v>5936407</v>
      </c>
      <c r="J14640">
        <v>5</v>
      </c>
    </row>
    <row r="14641" spans="1:10" x14ac:dyDescent="0.25">
      <c r="A14641" t="s">
        <v>154</v>
      </c>
      <c r="B14641" s="1" t="str">
        <f>HYPERLINK("http://getlenses.co.uk","getlenses.co.uk")</f>
        <v>getlenses.co.uk</v>
      </c>
      <c r="C14641" t="s">
        <v>506</v>
      </c>
      <c r="D14641" t="s">
        <v>880</v>
      </c>
      <c r="F14641">
        <v>6.9426474258918002E-9</v>
      </c>
      <c r="G14641">
        <v>12487073</v>
      </c>
      <c r="H14641">
        <v>14123093</v>
      </c>
      <c r="I14641">
        <v>2188140</v>
      </c>
      <c r="J14641">
        <v>4</v>
      </c>
    </row>
    <row r="14642" spans="1:10" x14ac:dyDescent="0.25">
      <c r="A14642" t="s">
        <v>154</v>
      </c>
      <c r="B14642" s="1" t="str">
        <f>HYPERLINK("http://lenstec.co.uk","lenstec.co.uk")</f>
        <v>lenstec.co.uk</v>
      </c>
      <c r="C14642" t="s">
        <v>506</v>
      </c>
      <c r="D14642" t="s">
        <v>880</v>
      </c>
      <c r="J14642">
        <v>5</v>
      </c>
    </row>
    <row r="14643" spans="1:10" x14ac:dyDescent="0.25">
      <c r="A14643" t="s">
        <v>154</v>
      </c>
      <c r="B14643" s="1" t="str">
        <f>HYPERLINK("http://lenstecopticalgroup.co.uk","lenstecopticalgroup.co.uk")</f>
        <v>lenstecopticalgroup.co.uk</v>
      </c>
      <c r="C14643" t="s">
        <v>506</v>
      </c>
      <c r="D14643" t="s">
        <v>880</v>
      </c>
      <c r="F14643">
        <v>4.6125396208215101E-9</v>
      </c>
      <c r="G14643">
        <v>46665979</v>
      </c>
      <c r="H14643">
        <v>10784795</v>
      </c>
      <c r="I14643">
        <v>38711403</v>
      </c>
      <c r="J14643">
        <v>8</v>
      </c>
    </row>
    <row r="14644" spans="1:10" x14ac:dyDescent="0.25">
      <c r="A14644" t="s">
        <v>154</v>
      </c>
      <c r="B14644" s="1" t="str">
        <f>HYPERLINK("http://lenstore.co.uk","lenstore.co.uk")</f>
        <v>lenstore.co.uk</v>
      </c>
      <c r="C14644" t="s">
        <v>506</v>
      </c>
      <c r="D14644" t="s">
        <v>880</v>
      </c>
      <c r="E14644">
        <v>193130</v>
      </c>
      <c r="F14644">
        <v>1.2338636117341401E-7</v>
      </c>
      <c r="G14644">
        <v>319836</v>
      </c>
      <c r="H14644">
        <v>14665821</v>
      </c>
      <c r="I14644">
        <v>617218</v>
      </c>
      <c r="J14644">
        <v>6</v>
      </c>
    </row>
    <row r="14645" spans="1:10" x14ac:dyDescent="0.25">
      <c r="A14645" t="s">
        <v>154</v>
      </c>
      <c r="B14645" s="1" t="str">
        <f>HYPERLINK("http://visiondirect.co.uk","visiondirect.co.uk")</f>
        <v>visiondirect.co.uk</v>
      </c>
      <c r="C14645" t="s">
        <v>506</v>
      </c>
      <c r="D14645" t="s">
        <v>880</v>
      </c>
      <c r="E14645">
        <v>141906</v>
      </c>
      <c r="F14645">
        <v>5.8466673800608903E-7</v>
      </c>
      <c r="G14645">
        <v>65370</v>
      </c>
      <c r="H14645">
        <v>15320882</v>
      </c>
      <c r="I14645">
        <v>384582</v>
      </c>
      <c r="J14645">
        <v>5</v>
      </c>
    </row>
    <row r="14646" spans="1:10" x14ac:dyDescent="0.25">
      <c r="A14646" t="s">
        <v>154</v>
      </c>
      <c r="B14646" s="1" t="str">
        <f>HYPERLINK("http://ekey.us","ekey.us")</f>
        <v>ekey.us</v>
      </c>
      <c r="C14646" t="s">
        <v>522</v>
      </c>
      <c r="D14646" t="s">
        <v>891</v>
      </c>
      <c r="F14646">
        <v>4.4916905440103401E-9</v>
      </c>
      <c r="G14646">
        <v>60242298</v>
      </c>
      <c r="H14646">
        <v>12305642</v>
      </c>
      <c r="I14646">
        <v>20723975</v>
      </c>
      <c r="J14646">
        <v>7</v>
      </c>
    </row>
    <row r="14647" spans="1:10" x14ac:dyDescent="0.25">
      <c r="A14647" t="s">
        <v>154</v>
      </c>
      <c r="B14647" s="1" t="str">
        <f>HYPERLINK("http://grandvision.com.uy","grandvision.com.uy")</f>
        <v>grandvision.com.uy</v>
      </c>
      <c r="C14647" t="s">
        <v>507</v>
      </c>
      <c r="D14647" t="s">
        <v>881</v>
      </c>
      <c r="F14647">
        <v>5.9277618359727899E-9</v>
      </c>
      <c r="G14647">
        <v>17166709</v>
      </c>
      <c r="H14647">
        <v>11988911</v>
      </c>
      <c r="I14647">
        <v>28393671</v>
      </c>
      <c r="J14647">
        <v>4</v>
      </c>
    </row>
    <row r="14648" spans="1:10" x14ac:dyDescent="0.25">
      <c r="A14648" t="s">
        <v>154</v>
      </c>
      <c r="B14648" s="1" t="str">
        <f>HYPERLINK("http://cristalyplastico.vision","cristalyplastico.vision")</f>
        <v>cristalyplastico.vision</v>
      </c>
      <c r="C14648" t="s">
        <v>759</v>
      </c>
      <c r="J14648">
        <v>8</v>
      </c>
    </row>
    <row r="14649" spans="1:10" x14ac:dyDescent="0.25">
      <c r="A14649" t="s">
        <v>154</v>
      </c>
      <c r="B14649" s="1" t="str">
        <f>HYPERLINK("http://essilor.vn","essilor.vn")</f>
        <v>essilor.vn</v>
      </c>
      <c r="C14649" t="s">
        <v>509</v>
      </c>
      <c r="D14649" t="s">
        <v>883</v>
      </c>
      <c r="F14649">
        <v>2.6612597843383501E-8</v>
      </c>
      <c r="G14649">
        <v>1934309</v>
      </c>
      <c r="H14649">
        <v>12919005</v>
      </c>
      <c r="I14649">
        <v>13447700</v>
      </c>
      <c r="J14649">
        <v>4</v>
      </c>
    </row>
    <row r="14650" spans="1:10" x14ac:dyDescent="0.25">
      <c r="A14650" t="s">
        <v>154</v>
      </c>
      <c r="B14650" s="1" t="str">
        <f>HYPERLINK("http://essilor.co.za","essilor.co.za")</f>
        <v>essilor.co.za</v>
      </c>
      <c r="C14650" t="s">
        <v>510</v>
      </c>
      <c r="D14650" t="s">
        <v>884</v>
      </c>
      <c r="F14650">
        <v>1.02172667750244E-8</v>
      </c>
      <c r="G14650">
        <v>6530271</v>
      </c>
      <c r="H14650">
        <v>14071993</v>
      </c>
      <c r="I14650">
        <v>3192112</v>
      </c>
      <c r="J14650">
        <v>4</v>
      </c>
    </row>
    <row r="14651" spans="1:10" x14ac:dyDescent="0.25">
      <c r="A14651" t="s">
        <v>155</v>
      </c>
      <c r="B14651" s="1" t="str">
        <f>HYPERLINK("http://maccosmetics.ae","maccosmetics.ae")</f>
        <v>maccosmetics.ae</v>
      </c>
      <c r="C14651" t="s">
        <v>417</v>
      </c>
      <c r="D14651" t="s">
        <v>799</v>
      </c>
      <c r="F14651">
        <v>4.6862178679490502E-8</v>
      </c>
      <c r="G14651">
        <v>996456</v>
      </c>
      <c r="H14651">
        <v>14071116</v>
      </c>
      <c r="I14651">
        <v>3715964</v>
      </c>
      <c r="J14651">
        <v>5</v>
      </c>
    </row>
    <row r="14652" spans="1:10" x14ac:dyDescent="0.25">
      <c r="A14652" t="s">
        <v>155</v>
      </c>
      <c r="B14652" s="1" t="str">
        <f>HYPERLINK("http://bobbibrown.com.ar","bobbibrown.com.ar")</f>
        <v>bobbibrown.com.ar</v>
      </c>
      <c r="C14652" t="s">
        <v>418</v>
      </c>
      <c r="D14652" t="s">
        <v>800</v>
      </c>
      <c r="F14652">
        <v>1.7241350805440001E-8</v>
      </c>
      <c r="G14652">
        <v>3214365</v>
      </c>
      <c r="H14652">
        <v>13764778</v>
      </c>
      <c r="I14652">
        <v>7192996</v>
      </c>
      <c r="J14652">
        <v>5</v>
      </c>
    </row>
    <row r="14653" spans="1:10" x14ac:dyDescent="0.25">
      <c r="A14653" t="s">
        <v>155</v>
      </c>
      <c r="B14653" s="1" t="str">
        <f>HYPERLINK("http://clinique.com.ar","clinique.com.ar")</f>
        <v>clinique.com.ar</v>
      </c>
      <c r="C14653" t="s">
        <v>418</v>
      </c>
      <c r="D14653" t="s">
        <v>800</v>
      </c>
      <c r="F14653">
        <v>1.31703982812657E-8</v>
      </c>
      <c r="G14653">
        <v>4551626</v>
      </c>
      <c r="H14653">
        <v>12233253</v>
      </c>
      <c r="I14653">
        <v>22419079</v>
      </c>
      <c r="J14653">
        <v>5</v>
      </c>
    </row>
    <row r="14654" spans="1:10" x14ac:dyDescent="0.25">
      <c r="A14654" t="s">
        <v>155</v>
      </c>
      <c r="B14654" s="1" t="str">
        <f>HYPERLINK("http://esteelauder.com.ar","esteelauder.com.ar")</f>
        <v>esteelauder.com.ar</v>
      </c>
      <c r="C14654" t="s">
        <v>418</v>
      </c>
      <c r="D14654" t="s">
        <v>800</v>
      </c>
      <c r="F14654">
        <v>2.46941343516409E-8</v>
      </c>
      <c r="G14654">
        <v>2094876</v>
      </c>
      <c r="H14654">
        <v>12915916</v>
      </c>
      <c r="I14654">
        <v>13515379</v>
      </c>
      <c r="J14654">
        <v>4</v>
      </c>
    </row>
    <row r="14655" spans="1:10" x14ac:dyDescent="0.25">
      <c r="A14655" t="s">
        <v>155</v>
      </c>
      <c r="B14655" s="1" t="str">
        <f>HYPERLINK("http://maccosmetics.com.ar","maccosmetics.com.ar")</f>
        <v>maccosmetics.com.ar</v>
      </c>
      <c r="C14655" t="s">
        <v>418</v>
      </c>
      <c r="D14655" t="s">
        <v>800</v>
      </c>
      <c r="F14655">
        <v>3.3672050323701398E-8</v>
      </c>
      <c r="G14655">
        <v>1536106</v>
      </c>
      <c r="H14655">
        <v>13767774</v>
      </c>
      <c r="I14655">
        <v>6914129</v>
      </c>
      <c r="J14655">
        <v>5</v>
      </c>
    </row>
    <row r="14656" spans="1:10" x14ac:dyDescent="0.25">
      <c r="A14656" t="s">
        <v>155</v>
      </c>
      <c r="B14656" s="1" t="str">
        <f>HYPERLINK("http://bobbibrown.at","bobbibrown.at")</f>
        <v>bobbibrown.at</v>
      </c>
      <c r="C14656" t="s">
        <v>419</v>
      </c>
      <c r="D14656" t="s">
        <v>801</v>
      </c>
      <c r="F14656">
        <v>2.3379502269301901E-8</v>
      </c>
      <c r="G14656">
        <v>2230559</v>
      </c>
      <c r="H14656">
        <v>13766831</v>
      </c>
      <c r="I14656">
        <v>6972613</v>
      </c>
      <c r="J14656">
        <v>5</v>
      </c>
    </row>
    <row r="14657" spans="1:10" x14ac:dyDescent="0.25">
      <c r="A14657" t="s">
        <v>155</v>
      </c>
      <c r="B14657" s="1" t="str">
        <f>HYPERLINK("http://clinique.at","clinique.at")</f>
        <v>clinique.at</v>
      </c>
      <c r="C14657" t="s">
        <v>419</v>
      </c>
      <c r="D14657" t="s">
        <v>801</v>
      </c>
      <c r="F14657">
        <v>3.7364644994246198E-8</v>
      </c>
      <c r="G14657">
        <v>1385574</v>
      </c>
      <c r="H14657">
        <v>13810834</v>
      </c>
      <c r="I14657">
        <v>6210106</v>
      </c>
      <c r="J14657">
        <v>5</v>
      </c>
    </row>
    <row r="14658" spans="1:10" x14ac:dyDescent="0.25">
      <c r="A14658" t="s">
        <v>155</v>
      </c>
      <c r="B14658" s="1" t="str">
        <f>HYPERLINK("http://esteelauder.at","esteelauder.at")</f>
        <v>esteelauder.at</v>
      </c>
      <c r="C14658" t="s">
        <v>419</v>
      </c>
      <c r="D14658" t="s">
        <v>801</v>
      </c>
      <c r="F14658">
        <v>2.7625714610131299E-8</v>
      </c>
      <c r="G14658">
        <v>1861126</v>
      </c>
      <c r="H14658">
        <v>14124800</v>
      </c>
      <c r="I14658">
        <v>2135760</v>
      </c>
      <c r="J14658">
        <v>4</v>
      </c>
    </row>
    <row r="14659" spans="1:10" x14ac:dyDescent="0.25">
      <c r="A14659" t="s">
        <v>155</v>
      </c>
      <c r="B14659" s="1" t="str">
        <f>HYPERLINK("http://maccosmetics.at","maccosmetics.at")</f>
        <v>maccosmetics.at</v>
      </c>
      <c r="C14659" t="s">
        <v>419</v>
      </c>
      <c r="D14659" t="s">
        <v>801</v>
      </c>
      <c r="F14659">
        <v>4.4273818640600501E-8</v>
      </c>
      <c r="G14659">
        <v>1072432</v>
      </c>
      <c r="H14659">
        <v>14131212</v>
      </c>
      <c r="I14659">
        <v>2018168</v>
      </c>
      <c r="J14659">
        <v>5</v>
      </c>
    </row>
    <row r="14660" spans="1:10" x14ac:dyDescent="0.25">
      <c r="A14660" t="s">
        <v>155</v>
      </c>
      <c r="B14660" s="1" t="str">
        <f>HYPERLINK("http://aveda.com.au","aveda.com.au")</f>
        <v>aveda.com.au</v>
      </c>
      <c r="C14660" t="s">
        <v>420</v>
      </c>
      <c r="D14660" t="s">
        <v>802</v>
      </c>
      <c r="E14660">
        <v>837156</v>
      </c>
      <c r="F14660">
        <v>3.3438702790289598E-8</v>
      </c>
      <c r="G14660">
        <v>1545866</v>
      </c>
      <c r="H14660">
        <v>14550100</v>
      </c>
      <c r="I14660">
        <v>760285</v>
      </c>
      <c r="J14660">
        <v>5</v>
      </c>
    </row>
    <row r="14661" spans="1:10" x14ac:dyDescent="0.25">
      <c r="A14661" t="s">
        <v>155</v>
      </c>
      <c r="B14661" s="1" t="str">
        <f>HYPERLINK("http://bobbibrown.com.au","bobbibrown.com.au")</f>
        <v>bobbibrown.com.au</v>
      </c>
      <c r="C14661" t="s">
        <v>420</v>
      </c>
      <c r="D14661" t="s">
        <v>802</v>
      </c>
      <c r="F14661">
        <v>2.66880168680384E-8</v>
      </c>
      <c r="G14661">
        <v>1928539</v>
      </c>
      <c r="H14661">
        <v>14491004</v>
      </c>
      <c r="I14661">
        <v>906753</v>
      </c>
      <c r="J14661">
        <v>5</v>
      </c>
    </row>
    <row r="14662" spans="1:10" x14ac:dyDescent="0.25">
      <c r="A14662" t="s">
        <v>155</v>
      </c>
      <c r="B14662" s="1" t="str">
        <f>HYPERLINK("http://clinique.com.au","clinique.com.au")</f>
        <v>clinique.com.au</v>
      </c>
      <c r="C14662" t="s">
        <v>420</v>
      </c>
      <c r="D14662" t="s">
        <v>802</v>
      </c>
      <c r="E14662">
        <v>783444</v>
      </c>
      <c r="F14662">
        <v>3.3023888464048703E-8</v>
      </c>
      <c r="G14662">
        <v>1564385</v>
      </c>
      <c r="H14662">
        <v>14511769</v>
      </c>
      <c r="I14662">
        <v>820649</v>
      </c>
      <c r="J14662">
        <v>5</v>
      </c>
    </row>
    <row r="14663" spans="1:10" x14ac:dyDescent="0.25">
      <c r="A14663" t="s">
        <v>155</v>
      </c>
      <c r="B14663" s="1" t="str">
        <f>HYPERLINK("http://esteelauder.com.au","esteelauder.com.au")</f>
        <v>esteelauder.com.au</v>
      </c>
      <c r="C14663" t="s">
        <v>420</v>
      </c>
      <c r="D14663" t="s">
        <v>802</v>
      </c>
      <c r="E14663">
        <v>674932</v>
      </c>
      <c r="F14663">
        <v>4.98976764143015E-8</v>
      </c>
      <c r="G14663">
        <v>923761</v>
      </c>
      <c r="H14663">
        <v>14510911</v>
      </c>
      <c r="I14663">
        <v>822632</v>
      </c>
      <c r="J14663">
        <v>4</v>
      </c>
    </row>
    <row r="14664" spans="1:10" x14ac:dyDescent="0.25">
      <c r="A14664" t="s">
        <v>155</v>
      </c>
      <c r="B14664" s="1" t="str">
        <f>HYPERLINK("http://jomalone.com.au","jomalone.com.au")</f>
        <v>jomalone.com.au</v>
      </c>
      <c r="C14664" t="s">
        <v>420</v>
      </c>
      <c r="D14664" t="s">
        <v>802</v>
      </c>
      <c r="F14664">
        <v>3.4201009723834602E-8</v>
      </c>
      <c r="G14664">
        <v>1515231</v>
      </c>
      <c r="H14664">
        <v>14189160</v>
      </c>
      <c r="I14664">
        <v>1762959</v>
      </c>
      <c r="J14664">
        <v>5</v>
      </c>
    </row>
    <row r="14665" spans="1:10" x14ac:dyDescent="0.25">
      <c r="A14665" t="s">
        <v>155</v>
      </c>
      <c r="B14665" s="1" t="str">
        <f>HYPERLINK("http://lelabofragrances.com.au","lelabofragrances.com.au")</f>
        <v>lelabofragrances.com.au</v>
      </c>
      <c r="C14665" t="s">
        <v>420</v>
      </c>
      <c r="D14665" t="s">
        <v>802</v>
      </c>
      <c r="F14665">
        <v>2.7551073843944499E-8</v>
      </c>
      <c r="G14665">
        <v>1866009</v>
      </c>
      <c r="H14665">
        <v>13587304</v>
      </c>
      <c r="I14665">
        <v>9674094</v>
      </c>
      <c r="J14665">
        <v>5</v>
      </c>
    </row>
    <row r="14666" spans="1:10" x14ac:dyDescent="0.25">
      <c r="A14666" t="s">
        <v>155</v>
      </c>
      <c r="B14666" s="1" t="str">
        <f>HYPERLINK("http://maccosmetics.com.au","maccosmetics.com.au")</f>
        <v>maccosmetics.com.au</v>
      </c>
      <c r="C14666" t="s">
        <v>420</v>
      </c>
      <c r="D14666" t="s">
        <v>802</v>
      </c>
      <c r="E14666">
        <v>473366</v>
      </c>
      <c r="F14666">
        <v>8.3887229606805998E-8</v>
      </c>
      <c r="G14666">
        <v>493671</v>
      </c>
      <c r="H14666">
        <v>14565635</v>
      </c>
      <c r="I14666">
        <v>740426</v>
      </c>
      <c r="J14666">
        <v>5</v>
      </c>
    </row>
    <row r="14667" spans="1:10" x14ac:dyDescent="0.25">
      <c r="A14667" t="s">
        <v>155</v>
      </c>
      <c r="B14667" s="1" t="str">
        <f>HYPERLINK("http://aveda.be","aveda.be")</f>
        <v>aveda.be</v>
      </c>
      <c r="C14667" t="s">
        <v>421</v>
      </c>
      <c r="D14667" t="s">
        <v>803</v>
      </c>
      <c r="F14667">
        <v>1.01765686346802E-8</v>
      </c>
      <c r="G14667">
        <v>6569941</v>
      </c>
      <c r="H14667">
        <v>14123607</v>
      </c>
      <c r="I14667">
        <v>2169260</v>
      </c>
      <c r="J14667">
        <v>6</v>
      </c>
    </row>
    <row r="14668" spans="1:10" x14ac:dyDescent="0.25">
      <c r="A14668" t="s">
        <v>155</v>
      </c>
      <c r="B14668" s="1" t="str">
        <f>HYPERLINK("http://bobbibrown.be","bobbibrown.be")</f>
        <v>bobbibrown.be</v>
      </c>
      <c r="C14668" t="s">
        <v>421</v>
      </c>
      <c r="D14668" t="s">
        <v>803</v>
      </c>
      <c r="F14668">
        <v>2.0075384532094999E-8</v>
      </c>
      <c r="G14668">
        <v>2647868</v>
      </c>
      <c r="H14668">
        <v>12338080</v>
      </c>
      <c r="I14668">
        <v>20050686</v>
      </c>
      <c r="J14668">
        <v>5</v>
      </c>
    </row>
    <row r="14669" spans="1:10" x14ac:dyDescent="0.25">
      <c r="A14669" t="s">
        <v>155</v>
      </c>
      <c r="B14669" s="1" t="str">
        <f>HYPERLINK("http://clinique.be","clinique.be")</f>
        <v>clinique.be</v>
      </c>
      <c r="C14669" t="s">
        <v>421</v>
      </c>
      <c r="D14669" t="s">
        <v>803</v>
      </c>
      <c r="F14669">
        <v>2.2555641647819799E-8</v>
      </c>
      <c r="G14669">
        <v>2322413</v>
      </c>
      <c r="H14669">
        <v>12741079</v>
      </c>
      <c r="I14669">
        <v>15124982</v>
      </c>
      <c r="J14669">
        <v>5</v>
      </c>
    </row>
    <row r="14670" spans="1:10" x14ac:dyDescent="0.25">
      <c r="A14670" t="s">
        <v>155</v>
      </c>
      <c r="B14670" s="1" t="str">
        <f>HYPERLINK("http://esteelauder.be","esteelauder.be")</f>
        <v>esteelauder.be</v>
      </c>
      <c r="C14670" t="s">
        <v>421</v>
      </c>
      <c r="D14670" t="s">
        <v>803</v>
      </c>
      <c r="F14670">
        <v>3.2100863699860599E-8</v>
      </c>
      <c r="G14670">
        <v>1610773</v>
      </c>
      <c r="H14670">
        <v>14128481</v>
      </c>
      <c r="I14670">
        <v>2060479</v>
      </c>
      <c r="J14670">
        <v>4</v>
      </c>
    </row>
    <row r="14671" spans="1:10" x14ac:dyDescent="0.25">
      <c r="A14671" t="s">
        <v>155</v>
      </c>
      <c r="B14671" s="1" t="str">
        <f>HYPERLINK("http://maccosmetics.be","maccosmetics.be")</f>
        <v>maccosmetics.be</v>
      </c>
      <c r="C14671" t="s">
        <v>421</v>
      </c>
      <c r="D14671" t="s">
        <v>803</v>
      </c>
      <c r="F14671">
        <v>4.8877638742021197E-8</v>
      </c>
      <c r="G14671">
        <v>947923</v>
      </c>
      <c r="H14671">
        <v>14133234</v>
      </c>
      <c r="I14671">
        <v>1990808</v>
      </c>
      <c r="J14671">
        <v>5</v>
      </c>
    </row>
    <row r="14672" spans="1:10" x14ac:dyDescent="0.25">
      <c r="A14672" t="s">
        <v>155</v>
      </c>
      <c r="B14672" s="1" t="str">
        <f>HYPERLINK("http://maccosmetics.bo","maccosmetics.bo")</f>
        <v>maccosmetics.bo</v>
      </c>
      <c r="C14672" t="s">
        <v>424</v>
      </c>
      <c r="D14672" t="s">
        <v>805</v>
      </c>
      <c r="F14672">
        <v>3.3059632088733499E-8</v>
      </c>
      <c r="G14672">
        <v>1562802</v>
      </c>
      <c r="H14672">
        <v>12278667</v>
      </c>
      <c r="I14672">
        <v>21334649</v>
      </c>
      <c r="J14672">
        <v>5</v>
      </c>
    </row>
    <row r="14673" spans="1:10" x14ac:dyDescent="0.25">
      <c r="A14673" t="s">
        <v>155</v>
      </c>
      <c r="B14673" s="1" t="str">
        <f>HYPERLINK("http://aveda.com.br","aveda.com.br")</f>
        <v>aveda.com.br</v>
      </c>
      <c r="C14673" t="s">
        <v>425</v>
      </c>
      <c r="D14673" t="s">
        <v>806</v>
      </c>
      <c r="F14673">
        <v>1.41550429159217E-8</v>
      </c>
      <c r="G14673">
        <v>4145565</v>
      </c>
      <c r="H14673">
        <v>13339190</v>
      </c>
      <c r="I14673">
        <v>10674274</v>
      </c>
      <c r="J14673">
        <v>5</v>
      </c>
    </row>
    <row r="14674" spans="1:10" x14ac:dyDescent="0.25">
      <c r="A14674" t="s">
        <v>155</v>
      </c>
      <c r="B14674" s="1" t="str">
        <f>HYPERLINK("http://clinique.com.br","clinique.com.br")</f>
        <v>clinique.com.br</v>
      </c>
      <c r="C14674" t="s">
        <v>425</v>
      </c>
      <c r="D14674" t="s">
        <v>806</v>
      </c>
      <c r="F14674">
        <v>1.7841187903135001E-8</v>
      </c>
      <c r="G14674">
        <v>3065913</v>
      </c>
      <c r="H14674">
        <v>14127915</v>
      </c>
      <c r="I14674">
        <v>2077369</v>
      </c>
      <c r="J14674">
        <v>5</v>
      </c>
    </row>
    <row r="14675" spans="1:10" x14ac:dyDescent="0.25">
      <c r="A14675" t="s">
        <v>155</v>
      </c>
      <c r="B14675" s="1" t="str">
        <f>HYPERLINK("http://esteelauder.com.br","esteelauder.com.br")</f>
        <v>esteelauder.com.br</v>
      </c>
      <c r="C14675" t="s">
        <v>425</v>
      </c>
      <c r="D14675" t="s">
        <v>806</v>
      </c>
      <c r="F14675">
        <v>2.40334302398729E-8</v>
      </c>
      <c r="G14675">
        <v>2159707</v>
      </c>
      <c r="H14675">
        <v>12278576</v>
      </c>
      <c r="I14675">
        <v>21336108</v>
      </c>
      <c r="J14675">
        <v>4</v>
      </c>
    </row>
    <row r="14676" spans="1:10" x14ac:dyDescent="0.25">
      <c r="A14676" t="s">
        <v>155</v>
      </c>
      <c r="B14676" s="1" t="str">
        <f>HYPERLINK("http://jomalone.com.br","jomalone.com.br")</f>
        <v>jomalone.com.br</v>
      </c>
      <c r="C14676" t="s">
        <v>425</v>
      </c>
      <c r="D14676" t="s">
        <v>806</v>
      </c>
      <c r="F14676">
        <v>2.1347503692041499E-8</v>
      </c>
      <c r="G14676">
        <v>2468278</v>
      </c>
      <c r="H14676">
        <v>14123210</v>
      </c>
      <c r="I14676">
        <v>2183998</v>
      </c>
      <c r="J14676">
        <v>5</v>
      </c>
    </row>
    <row r="14677" spans="1:10" x14ac:dyDescent="0.25">
      <c r="A14677" t="s">
        <v>155</v>
      </c>
      <c r="B14677" s="1" t="str">
        <f>HYPERLINK("http://maccosmetics.com.br","maccosmetics.com.br")</f>
        <v>maccosmetics.com.br</v>
      </c>
      <c r="C14677" t="s">
        <v>425</v>
      </c>
      <c r="D14677" t="s">
        <v>806</v>
      </c>
      <c r="E14677">
        <v>773934</v>
      </c>
      <c r="F14677">
        <v>7.3590532633254004E-8</v>
      </c>
      <c r="G14677">
        <v>572567</v>
      </c>
      <c r="H14677">
        <v>14444790</v>
      </c>
      <c r="I14677">
        <v>1058180</v>
      </c>
      <c r="J14677">
        <v>5</v>
      </c>
    </row>
    <row r="14678" spans="1:10" x14ac:dyDescent="0.25">
      <c r="A14678" t="s">
        <v>155</v>
      </c>
      <c r="B14678" s="1" t="str">
        <f>HYPERLINK("http://aveda.ca","aveda.ca")</f>
        <v>aveda.ca</v>
      </c>
      <c r="C14678" t="s">
        <v>428</v>
      </c>
      <c r="D14678" t="s">
        <v>809</v>
      </c>
      <c r="E14678">
        <v>591097</v>
      </c>
      <c r="F14678">
        <v>7.5660000059016297E-8</v>
      </c>
      <c r="G14678">
        <v>555582</v>
      </c>
      <c r="H14678">
        <v>14132118</v>
      </c>
      <c r="I14678">
        <v>2003118</v>
      </c>
      <c r="J14678">
        <v>5</v>
      </c>
    </row>
    <row r="14679" spans="1:10" x14ac:dyDescent="0.25">
      <c r="A14679" t="s">
        <v>155</v>
      </c>
      <c r="B14679" s="1" t="str">
        <f>HYPERLINK("http://bobbibrowncosmetics.ca","bobbibrowncosmetics.ca")</f>
        <v>bobbibrowncosmetics.ca</v>
      </c>
      <c r="C14679" t="s">
        <v>428</v>
      </c>
      <c r="D14679" t="s">
        <v>809</v>
      </c>
      <c r="F14679">
        <v>2.7719088444235101E-8</v>
      </c>
      <c r="G14679">
        <v>1854969</v>
      </c>
      <c r="H14679">
        <v>13887830</v>
      </c>
      <c r="I14679">
        <v>5966412</v>
      </c>
      <c r="J14679">
        <v>5</v>
      </c>
    </row>
    <row r="14680" spans="1:10" x14ac:dyDescent="0.25">
      <c r="A14680" t="s">
        <v>155</v>
      </c>
      <c r="B14680" s="1" t="str">
        <f>HYPERLINK("http://bumbleandbumble.ca","bumbleandbumble.ca")</f>
        <v>bumbleandbumble.ca</v>
      </c>
      <c r="C14680" t="s">
        <v>428</v>
      </c>
      <c r="D14680" t="s">
        <v>809</v>
      </c>
      <c r="F14680">
        <v>1.8330999170041401E-8</v>
      </c>
      <c r="G14680">
        <v>2961426</v>
      </c>
      <c r="H14680">
        <v>11654866</v>
      </c>
      <c r="I14680">
        <v>29880076</v>
      </c>
      <c r="J14680">
        <v>5</v>
      </c>
    </row>
    <row r="14681" spans="1:10" x14ac:dyDescent="0.25">
      <c r="A14681" t="s">
        <v>155</v>
      </c>
      <c r="B14681" s="1" t="str">
        <f>HYPERLINK("http://clinique.ca","clinique.ca")</f>
        <v>clinique.ca</v>
      </c>
      <c r="C14681" t="s">
        <v>428</v>
      </c>
      <c r="D14681" t="s">
        <v>809</v>
      </c>
      <c r="E14681">
        <v>635230</v>
      </c>
      <c r="F14681">
        <v>3.5242629755419198E-8</v>
      </c>
      <c r="G14681">
        <v>1475480</v>
      </c>
      <c r="H14681">
        <v>14207290</v>
      </c>
      <c r="I14681">
        <v>1708982</v>
      </c>
      <c r="J14681">
        <v>5</v>
      </c>
    </row>
    <row r="14682" spans="1:10" x14ac:dyDescent="0.25">
      <c r="A14682" t="s">
        <v>155</v>
      </c>
      <c r="B14682" s="1" t="str">
        <f>HYPERLINK("http://esteelauder.ca","esteelauder.ca")</f>
        <v>esteelauder.ca</v>
      </c>
      <c r="C14682" t="s">
        <v>428</v>
      </c>
      <c r="D14682" t="s">
        <v>809</v>
      </c>
      <c r="E14682">
        <v>749816</v>
      </c>
      <c r="F14682">
        <v>6.1025862848547398E-8</v>
      </c>
      <c r="G14682">
        <v>721969</v>
      </c>
      <c r="H14682">
        <v>14345158</v>
      </c>
      <c r="I14682">
        <v>1312781</v>
      </c>
      <c r="J14682">
        <v>4</v>
      </c>
    </row>
    <row r="14683" spans="1:10" x14ac:dyDescent="0.25">
      <c r="A14683" t="s">
        <v>155</v>
      </c>
      <c r="B14683" s="1" t="str">
        <f>HYPERLINK("http://jomalone.ca","jomalone.ca")</f>
        <v>jomalone.ca</v>
      </c>
      <c r="C14683" t="s">
        <v>428</v>
      </c>
      <c r="D14683" t="s">
        <v>809</v>
      </c>
      <c r="E14683">
        <v>966003</v>
      </c>
      <c r="F14683">
        <v>3.2748867088545798E-8</v>
      </c>
      <c r="G14683">
        <v>1577430</v>
      </c>
      <c r="H14683">
        <v>12549258</v>
      </c>
      <c r="I14683">
        <v>16830653</v>
      </c>
      <c r="J14683">
        <v>5</v>
      </c>
    </row>
    <row r="14684" spans="1:10" x14ac:dyDescent="0.25">
      <c r="A14684" t="s">
        <v>155</v>
      </c>
      <c r="B14684" s="1" t="str">
        <f>HYPERLINK("http://lelabofragrances.ca","lelabofragrances.ca")</f>
        <v>lelabofragrances.ca</v>
      </c>
      <c r="C14684" t="s">
        <v>428</v>
      </c>
      <c r="D14684" t="s">
        <v>809</v>
      </c>
      <c r="F14684">
        <v>2.5642324471362999E-8</v>
      </c>
      <c r="G14684">
        <v>2010870</v>
      </c>
      <c r="H14684">
        <v>13780319</v>
      </c>
      <c r="I14684">
        <v>6473864</v>
      </c>
      <c r="J14684">
        <v>5</v>
      </c>
    </row>
    <row r="14685" spans="1:10" x14ac:dyDescent="0.25">
      <c r="A14685" t="s">
        <v>155</v>
      </c>
      <c r="B14685" s="1" t="str">
        <f>HYPERLINK("http://maccosmetics.ca","maccosmetics.ca")</f>
        <v>maccosmetics.ca</v>
      </c>
      <c r="C14685" t="s">
        <v>428</v>
      </c>
      <c r="D14685" t="s">
        <v>809</v>
      </c>
      <c r="E14685">
        <v>328710</v>
      </c>
      <c r="F14685">
        <v>1.3959175658636699E-7</v>
      </c>
      <c r="G14685">
        <v>279097</v>
      </c>
      <c r="H14685">
        <v>14325194</v>
      </c>
      <c r="I14685">
        <v>1327452</v>
      </c>
      <c r="J14685">
        <v>5</v>
      </c>
    </row>
    <row r="14686" spans="1:10" x14ac:dyDescent="0.25">
      <c r="A14686" t="s">
        <v>155</v>
      </c>
      <c r="B14686" s="1" t="str">
        <f>HYPERLINK("http://origins.ca","origins.ca")</f>
        <v>origins.ca</v>
      </c>
      <c r="C14686" t="s">
        <v>428</v>
      </c>
      <c r="D14686" t="s">
        <v>809</v>
      </c>
      <c r="F14686">
        <v>3.3464763912515003E-8</v>
      </c>
      <c r="G14686">
        <v>1544768</v>
      </c>
      <c r="H14686">
        <v>14379481</v>
      </c>
      <c r="I14686">
        <v>1198865</v>
      </c>
      <c r="J14686">
        <v>5</v>
      </c>
    </row>
    <row r="14687" spans="1:10" x14ac:dyDescent="0.25">
      <c r="A14687" t="s">
        <v>155</v>
      </c>
      <c r="B14687" s="1" t="str">
        <f>HYPERLINK("http://aveda.ch","aveda.ch")</f>
        <v>aveda.ch</v>
      </c>
      <c r="C14687" t="s">
        <v>429</v>
      </c>
      <c r="D14687" t="s">
        <v>810</v>
      </c>
      <c r="F14687">
        <v>8.2044027996697394E-9</v>
      </c>
      <c r="G14687">
        <v>9563918</v>
      </c>
      <c r="H14687">
        <v>12291411</v>
      </c>
      <c r="I14687">
        <v>21075306</v>
      </c>
      <c r="J14687">
        <v>6</v>
      </c>
    </row>
    <row r="14688" spans="1:10" x14ac:dyDescent="0.25">
      <c r="A14688" t="s">
        <v>155</v>
      </c>
      <c r="B14688" s="1" t="str">
        <f>HYPERLINK("http://bobbibrown.ch","bobbibrown.ch")</f>
        <v>bobbibrown.ch</v>
      </c>
      <c r="C14688" t="s">
        <v>429</v>
      </c>
      <c r="D14688" t="s">
        <v>810</v>
      </c>
      <c r="F14688">
        <v>2.26881012197817E-8</v>
      </c>
      <c r="G14688">
        <v>2308039</v>
      </c>
      <c r="H14688">
        <v>13310569</v>
      </c>
      <c r="I14688">
        <v>10775849</v>
      </c>
      <c r="J14688">
        <v>5</v>
      </c>
    </row>
    <row r="14689" spans="1:10" x14ac:dyDescent="0.25">
      <c r="A14689" t="s">
        <v>155</v>
      </c>
      <c r="B14689" s="1" t="str">
        <f>HYPERLINK("http://esteelauder.ch","esteelauder.ch")</f>
        <v>esteelauder.ch</v>
      </c>
      <c r="C14689" t="s">
        <v>429</v>
      </c>
      <c r="D14689" t="s">
        <v>810</v>
      </c>
      <c r="F14689">
        <v>3.2256337955816799E-8</v>
      </c>
      <c r="G14689">
        <v>1603134</v>
      </c>
      <c r="H14689">
        <v>13307898</v>
      </c>
      <c r="I14689">
        <v>10787324</v>
      </c>
      <c r="J14689">
        <v>4</v>
      </c>
    </row>
    <row r="14690" spans="1:10" x14ac:dyDescent="0.25">
      <c r="A14690" t="s">
        <v>155</v>
      </c>
      <c r="B14690" s="1" t="str">
        <f>HYPERLINK("http://maccosmetics.ch","maccosmetics.ch")</f>
        <v>maccosmetics.ch</v>
      </c>
      <c r="C14690" t="s">
        <v>429</v>
      </c>
      <c r="D14690" t="s">
        <v>810</v>
      </c>
      <c r="F14690">
        <v>4.5014344236127301E-8</v>
      </c>
      <c r="G14690">
        <v>1049056</v>
      </c>
      <c r="H14690">
        <v>13808107</v>
      </c>
      <c r="I14690">
        <v>6223370</v>
      </c>
      <c r="J14690">
        <v>5</v>
      </c>
    </row>
    <row r="14691" spans="1:10" x14ac:dyDescent="0.25">
      <c r="A14691" t="s">
        <v>155</v>
      </c>
      <c r="B14691" s="1" t="str">
        <f>HYPERLINK("http://bobbibrown.cl","bobbibrown.cl")</f>
        <v>bobbibrown.cl</v>
      </c>
      <c r="C14691" t="s">
        <v>430</v>
      </c>
      <c r="D14691" t="s">
        <v>811</v>
      </c>
      <c r="F14691">
        <v>1.7805877755242301E-8</v>
      </c>
      <c r="G14691">
        <v>3073605</v>
      </c>
      <c r="H14691">
        <v>12838932</v>
      </c>
      <c r="I14691">
        <v>14358780</v>
      </c>
      <c r="J14691">
        <v>5</v>
      </c>
    </row>
    <row r="14692" spans="1:10" x14ac:dyDescent="0.25">
      <c r="A14692" t="s">
        <v>155</v>
      </c>
      <c r="B14692" s="1" t="str">
        <f>HYPERLINK("http://clinique.cl","clinique.cl")</f>
        <v>clinique.cl</v>
      </c>
      <c r="C14692" t="s">
        <v>430</v>
      </c>
      <c r="D14692" t="s">
        <v>811</v>
      </c>
      <c r="F14692">
        <v>1.44100444983904E-8</v>
      </c>
      <c r="G14692">
        <v>4053681</v>
      </c>
      <c r="H14692">
        <v>12322089</v>
      </c>
      <c r="I14692">
        <v>20373855</v>
      </c>
      <c r="J14692">
        <v>5</v>
      </c>
    </row>
    <row r="14693" spans="1:10" x14ac:dyDescent="0.25">
      <c r="A14693" t="s">
        <v>155</v>
      </c>
      <c r="B14693" s="1" t="str">
        <f>HYPERLINK("http://esteelauder.cl","esteelauder.cl")</f>
        <v>esteelauder.cl</v>
      </c>
      <c r="C14693" t="s">
        <v>430</v>
      </c>
      <c r="D14693" t="s">
        <v>811</v>
      </c>
      <c r="F14693">
        <v>2.40592973097243E-8</v>
      </c>
      <c r="G14693">
        <v>2157221</v>
      </c>
      <c r="H14693">
        <v>12283782</v>
      </c>
      <c r="I14693">
        <v>21235154</v>
      </c>
      <c r="J14693">
        <v>4</v>
      </c>
    </row>
    <row r="14694" spans="1:10" x14ac:dyDescent="0.25">
      <c r="A14694" t="s">
        <v>155</v>
      </c>
      <c r="B14694" s="1" t="str">
        <f>HYPERLINK("http://jomalone.cl","jomalone.cl")</f>
        <v>jomalone.cl</v>
      </c>
      <c r="C14694" t="s">
        <v>430</v>
      </c>
      <c r="D14694" t="s">
        <v>811</v>
      </c>
      <c r="F14694">
        <v>5.0756016863487702E-9</v>
      </c>
      <c r="G14694">
        <v>27609607</v>
      </c>
      <c r="H14694">
        <v>10343848</v>
      </c>
      <c r="I14694">
        <v>57617805</v>
      </c>
      <c r="J14694">
        <v>6</v>
      </c>
    </row>
    <row r="14695" spans="1:10" x14ac:dyDescent="0.25">
      <c r="A14695" t="s">
        <v>155</v>
      </c>
      <c r="B14695" s="1" t="str">
        <f>HYPERLINK("http://maccosmetics.cl","maccosmetics.cl")</f>
        <v>maccosmetics.cl</v>
      </c>
      <c r="C14695" t="s">
        <v>430</v>
      </c>
      <c r="D14695" t="s">
        <v>811</v>
      </c>
      <c r="F14695">
        <v>3.6243318503655099E-8</v>
      </c>
      <c r="G14695">
        <v>1439028</v>
      </c>
      <c r="H14695">
        <v>12911583</v>
      </c>
      <c r="I14695">
        <v>13543741</v>
      </c>
      <c r="J14695">
        <v>5</v>
      </c>
    </row>
    <row r="14696" spans="1:10" x14ac:dyDescent="0.25">
      <c r="A14696" t="s">
        <v>155</v>
      </c>
      <c r="B14696" s="1" t="str">
        <f>HYPERLINK("http://bobbibrown.com.cn","bobbibrown.com.cn")</f>
        <v>bobbibrown.com.cn</v>
      </c>
      <c r="C14696" t="s">
        <v>431</v>
      </c>
      <c r="D14696" t="s">
        <v>812</v>
      </c>
      <c r="F14696">
        <v>2.0053812107831902E-8</v>
      </c>
      <c r="G14696">
        <v>2651043</v>
      </c>
      <c r="H14696">
        <v>12650476</v>
      </c>
      <c r="I14696">
        <v>15794867</v>
      </c>
      <c r="J14696">
        <v>4</v>
      </c>
    </row>
    <row r="14697" spans="1:10" x14ac:dyDescent="0.25">
      <c r="A14697" t="s">
        <v>155</v>
      </c>
      <c r="B14697" s="1" t="str">
        <f>HYPERLINK("http://clinique.com.cn","clinique.com.cn")</f>
        <v>clinique.com.cn</v>
      </c>
      <c r="C14697" t="s">
        <v>431</v>
      </c>
      <c r="D14697" t="s">
        <v>812</v>
      </c>
      <c r="E14697">
        <v>736865</v>
      </c>
      <c r="F14697">
        <v>3.1285635733873203E-8</v>
      </c>
      <c r="G14697">
        <v>1648200</v>
      </c>
      <c r="H14697">
        <v>12720305</v>
      </c>
      <c r="I14697">
        <v>15251281</v>
      </c>
      <c r="J14697">
        <v>5</v>
      </c>
    </row>
    <row r="14698" spans="1:10" x14ac:dyDescent="0.25">
      <c r="A14698" t="s">
        <v>155</v>
      </c>
      <c r="B14698" s="1" t="str">
        <f>HYPERLINK("http://esteelauder.com.cn","esteelauder.com.cn")</f>
        <v>esteelauder.com.cn</v>
      </c>
      <c r="C14698" t="s">
        <v>431</v>
      </c>
      <c r="D14698" t="s">
        <v>812</v>
      </c>
      <c r="E14698">
        <v>503503</v>
      </c>
      <c r="F14698">
        <v>5.5522919243862199E-8</v>
      </c>
      <c r="G14698">
        <v>808203</v>
      </c>
      <c r="H14698">
        <v>13080038</v>
      </c>
      <c r="I14698">
        <v>12189061</v>
      </c>
      <c r="J14698">
        <v>4</v>
      </c>
    </row>
    <row r="14699" spans="1:10" x14ac:dyDescent="0.25">
      <c r="A14699" t="s">
        <v>155</v>
      </c>
      <c r="B14699" s="1" t="str">
        <f>HYPERLINK("http://jomalone.com.cn","jomalone.com.cn")</f>
        <v>jomalone.com.cn</v>
      </c>
      <c r="C14699" t="s">
        <v>431</v>
      </c>
      <c r="D14699" t="s">
        <v>812</v>
      </c>
      <c r="F14699">
        <v>2.04219313954801E-8</v>
      </c>
      <c r="G14699">
        <v>2595821</v>
      </c>
      <c r="H14699">
        <v>12817700</v>
      </c>
      <c r="I14699">
        <v>14525347</v>
      </c>
      <c r="J14699">
        <v>5</v>
      </c>
    </row>
    <row r="14700" spans="1:10" x14ac:dyDescent="0.25">
      <c r="A14700" t="s">
        <v>155</v>
      </c>
      <c r="B14700" s="1" t="str">
        <f>HYPERLINK("http://maccosmetics.com.cn","maccosmetics.com.cn")</f>
        <v>maccosmetics.com.cn</v>
      </c>
      <c r="C14700" t="s">
        <v>431</v>
      </c>
      <c r="D14700" t="s">
        <v>812</v>
      </c>
      <c r="F14700">
        <v>4.8933420773376101E-8</v>
      </c>
      <c r="G14700">
        <v>946767</v>
      </c>
      <c r="H14700">
        <v>12647535</v>
      </c>
      <c r="I14700">
        <v>15816897</v>
      </c>
      <c r="J14700">
        <v>5</v>
      </c>
    </row>
    <row r="14701" spans="1:10" x14ac:dyDescent="0.25">
      <c r="A14701" t="s">
        <v>155</v>
      </c>
      <c r="B14701" s="1" t="str">
        <f>HYPERLINK("http://origins.com.cn","origins.com.cn")</f>
        <v>origins.com.cn</v>
      </c>
      <c r="C14701" t="s">
        <v>431</v>
      </c>
      <c r="D14701" t="s">
        <v>812</v>
      </c>
      <c r="F14701">
        <v>1.3970363792124899E-7</v>
      </c>
      <c r="G14701">
        <v>278872</v>
      </c>
      <c r="H14701">
        <v>13504530</v>
      </c>
      <c r="I14701">
        <v>9964572</v>
      </c>
      <c r="J14701">
        <v>5</v>
      </c>
    </row>
    <row r="14702" spans="1:10" x14ac:dyDescent="0.25">
      <c r="A14702" t="s">
        <v>155</v>
      </c>
      <c r="B14702" s="1" t="str">
        <f>HYPERLINK("http://elcapp.cn","elcapp.cn")</f>
        <v>elcapp.cn</v>
      </c>
      <c r="C14702" t="s">
        <v>431</v>
      </c>
      <c r="D14702" t="s">
        <v>812</v>
      </c>
      <c r="F14702">
        <v>4.44380395335525E-9</v>
      </c>
      <c r="G14702">
        <v>80282552</v>
      </c>
      <c r="H14702">
        <v>0</v>
      </c>
      <c r="I14702">
        <v>80368648</v>
      </c>
      <c r="J14702">
        <v>4</v>
      </c>
    </row>
    <row r="14703" spans="1:10" x14ac:dyDescent="0.25">
      <c r="A14703" t="s">
        <v>155</v>
      </c>
      <c r="B14703" s="1" t="str">
        <f>HYPERLINK("http://clinique.com.co","clinique.com.co")</f>
        <v>clinique.com.co</v>
      </c>
      <c r="C14703" t="s">
        <v>432</v>
      </c>
      <c r="F14703">
        <v>1.3465837028623001E-8</v>
      </c>
      <c r="G14703">
        <v>4418409</v>
      </c>
      <c r="H14703">
        <v>12229272</v>
      </c>
      <c r="I14703">
        <v>22522538</v>
      </c>
      <c r="J14703">
        <v>5</v>
      </c>
    </row>
    <row r="14704" spans="1:10" x14ac:dyDescent="0.25">
      <c r="A14704" t="s">
        <v>155</v>
      </c>
      <c r="B14704" s="1" t="str">
        <f>HYPERLINK("http://esteelauder.com.co","esteelauder.com.co")</f>
        <v>esteelauder.com.co</v>
      </c>
      <c r="C14704" t="s">
        <v>432</v>
      </c>
      <c r="F14704">
        <v>2.36969392419942E-8</v>
      </c>
      <c r="G14704">
        <v>2193832</v>
      </c>
      <c r="H14704">
        <v>12278137</v>
      </c>
      <c r="I14704">
        <v>21345413</v>
      </c>
      <c r="J14704">
        <v>4</v>
      </c>
    </row>
    <row r="14705" spans="1:10" x14ac:dyDescent="0.25">
      <c r="A14705" t="s">
        <v>155</v>
      </c>
      <c r="B14705" s="1" t="str">
        <f>HYPERLINK("http://maccosmetics.com.co","maccosmetics.com.co")</f>
        <v>maccosmetics.com.co</v>
      </c>
      <c r="C14705" t="s">
        <v>432</v>
      </c>
      <c r="F14705">
        <v>3.39077836587023E-8</v>
      </c>
      <c r="G14705">
        <v>1526587</v>
      </c>
      <c r="H14705">
        <v>12287127</v>
      </c>
      <c r="I14705">
        <v>21172608</v>
      </c>
      <c r="J14705">
        <v>5</v>
      </c>
    </row>
    <row r="14706" spans="1:10" x14ac:dyDescent="0.25">
      <c r="A14706" t="s">
        <v>155</v>
      </c>
      <c r="B14706" s="1" t="str">
        <f>HYPERLINK("http://ateliersalon.com","ateliersalon.com")</f>
        <v>ateliersalon.com</v>
      </c>
      <c r="C14706" t="s">
        <v>433</v>
      </c>
      <c r="F14706">
        <v>1.14632685919496E-8</v>
      </c>
      <c r="G14706">
        <v>5529986</v>
      </c>
      <c r="H14706">
        <v>13046731</v>
      </c>
      <c r="I14706">
        <v>12602079</v>
      </c>
      <c r="J14706">
        <v>5</v>
      </c>
    </row>
    <row r="14707" spans="1:10" x14ac:dyDescent="0.25">
      <c r="A14707" t="s">
        <v>155</v>
      </c>
      <c r="B14707" s="1" t="str">
        <f>HYPERLINK("http://avalonbend.com","avalonbend.com")</f>
        <v>avalonbend.com</v>
      </c>
      <c r="C14707" t="s">
        <v>433</v>
      </c>
      <c r="F14707">
        <v>1.59780488637376E-8</v>
      </c>
      <c r="G14707">
        <v>3551953</v>
      </c>
      <c r="H14707">
        <v>12663171</v>
      </c>
      <c r="I14707">
        <v>15692092</v>
      </c>
      <c r="J14707">
        <v>5</v>
      </c>
    </row>
    <row r="14708" spans="1:10" x14ac:dyDescent="0.25">
      <c r="A14708" t="s">
        <v>155</v>
      </c>
      <c r="B14708" s="1" t="str">
        <f>HYPERLINK("http://aveda.com","aveda.com")</f>
        <v>aveda.com</v>
      </c>
      <c r="C14708" t="s">
        <v>433</v>
      </c>
      <c r="E14708">
        <v>32377</v>
      </c>
      <c r="F14708">
        <v>9.9004163025456694E-7</v>
      </c>
      <c r="G14708">
        <v>38634</v>
      </c>
      <c r="H14708">
        <v>15177944</v>
      </c>
      <c r="I14708">
        <v>397493</v>
      </c>
      <c r="J14708">
        <v>4</v>
      </c>
    </row>
    <row r="14709" spans="1:10" x14ac:dyDescent="0.25">
      <c r="A14709" t="s">
        <v>155</v>
      </c>
      <c r="B14709" s="1" t="str">
        <f>HYPERLINK("http://avedapdx.com","avedapdx.com")</f>
        <v>avedapdx.com</v>
      </c>
      <c r="C14709" t="s">
        <v>433</v>
      </c>
      <c r="F14709">
        <v>8.9371802254563795E-9</v>
      </c>
      <c r="G14709">
        <v>8087765</v>
      </c>
      <c r="H14709">
        <v>13778397</v>
      </c>
      <c r="I14709">
        <v>6521312</v>
      </c>
      <c r="J14709">
        <v>5</v>
      </c>
    </row>
    <row r="14710" spans="1:10" x14ac:dyDescent="0.25">
      <c r="A14710" t="s">
        <v>155</v>
      </c>
      <c r="B14710" s="1" t="str">
        <f>HYPERLINK("http://bobbibrowncosmetics.com","bobbibrowncosmetics.com")</f>
        <v>bobbibrowncosmetics.com</v>
      </c>
      <c r="C14710" t="s">
        <v>433</v>
      </c>
      <c r="E14710">
        <v>51137</v>
      </c>
      <c r="F14710">
        <v>4.1642018166033099E-7</v>
      </c>
      <c r="G14710">
        <v>90402</v>
      </c>
      <c r="H14710">
        <v>14973252</v>
      </c>
      <c r="I14710">
        <v>433027</v>
      </c>
      <c r="J14710">
        <v>4</v>
      </c>
    </row>
    <row r="14711" spans="1:10" x14ac:dyDescent="0.25">
      <c r="A14711" t="s">
        <v>155</v>
      </c>
      <c r="B14711" s="1" t="str">
        <f>HYPERLINK("http://bumbleandbumble.com","bumbleandbumble.com")</f>
        <v>bumbleandbumble.com</v>
      </c>
      <c r="C14711" t="s">
        <v>433</v>
      </c>
      <c r="E14711">
        <v>99685</v>
      </c>
      <c r="F14711">
        <v>3.68594196950781E-7</v>
      </c>
      <c r="G14711">
        <v>101557</v>
      </c>
      <c r="H14711">
        <v>15079987</v>
      </c>
      <c r="I14711">
        <v>409570</v>
      </c>
      <c r="J14711">
        <v>4</v>
      </c>
    </row>
    <row r="14712" spans="1:10" x14ac:dyDescent="0.25">
      <c r="A14712" t="s">
        <v>155</v>
      </c>
      <c r="B14712" s="1" t="str">
        <f>HYPERLINK("http://clinique.com","clinique.com")</f>
        <v>clinique.com</v>
      </c>
      <c r="C14712" t="s">
        <v>433</v>
      </c>
      <c r="E14712">
        <v>35538</v>
      </c>
      <c r="F14712">
        <v>5.7959776919744897E-7</v>
      </c>
      <c r="G14712">
        <v>65908</v>
      </c>
      <c r="H14712">
        <v>17359132</v>
      </c>
      <c r="I14712">
        <v>22294</v>
      </c>
      <c r="J14712">
        <v>4</v>
      </c>
    </row>
    <row r="14713" spans="1:10" x14ac:dyDescent="0.25">
      <c r="A14713" t="s">
        <v>155</v>
      </c>
      <c r="B14713" s="1" t="str">
        <f>HYPERLINK("http://cosmeticscompanystore.com","cosmeticscompanystore.com")</f>
        <v>cosmeticscompanystore.com</v>
      </c>
      <c r="C14713" t="s">
        <v>433</v>
      </c>
      <c r="F14713">
        <v>9.7861993435277507E-9</v>
      </c>
      <c r="G14713">
        <v>6983820</v>
      </c>
      <c r="H14713">
        <v>13551943</v>
      </c>
      <c r="I14713">
        <v>9888309</v>
      </c>
      <c r="J14713">
        <v>5</v>
      </c>
    </row>
    <row r="14714" spans="1:10" x14ac:dyDescent="0.25">
      <c r="A14714" t="s">
        <v>155</v>
      </c>
      <c r="B14714" s="1" t="str">
        <f>HYPERLINK("http://deciem.com","deciem.com")</f>
        <v>deciem.com</v>
      </c>
      <c r="C14714" t="s">
        <v>433</v>
      </c>
      <c r="E14714">
        <v>94494</v>
      </c>
      <c r="F14714">
        <v>4.4265052384479599E-7</v>
      </c>
      <c r="G14714">
        <v>85205</v>
      </c>
      <c r="H14714">
        <v>15326808</v>
      </c>
      <c r="I14714">
        <v>384222</v>
      </c>
      <c r="J14714">
        <v>3</v>
      </c>
    </row>
    <row r="14715" spans="1:10" x14ac:dyDescent="0.25">
      <c r="A14715" t="s">
        <v>155</v>
      </c>
      <c r="B14715" s="1" t="str">
        <f>HYPERLINK("http://drjart.com","drjart.com")</f>
        <v>drjart.com</v>
      </c>
      <c r="C14715" t="s">
        <v>433</v>
      </c>
      <c r="E14715">
        <v>383321</v>
      </c>
      <c r="F14715">
        <v>1.2030226465204601E-7</v>
      </c>
      <c r="G14715">
        <v>328507</v>
      </c>
      <c r="H14715">
        <v>14710364</v>
      </c>
      <c r="I14715">
        <v>583799</v>
      </c>
      <c r="J14715">
        <v>4</v>
      </c>
    </row>
    <row r="14716" spans="1:10" x14ac:dyDescent="0.25">
      <c r="A14716" t="s">
        <v>155</v>
      </c>
      <c r="B14716" s="1" t="str">
        <f>HYPERLINK("http://elcompanies.com","elcompanies.com")</f>
        <v>elcompanies.com</v>
      </c>
      <c r="C14716" t="s">
        <v>433</v>
      </c>
      <c r="E14716">
        <v>19827</v>
      </c>
      <c r="F14716">
        <v>9.8682430778154205E-7</v>
      </c>
      <c r="G14716">
        <v>38753</v>
      </c>
      <c r="H14716">
        <v>17401582</v>
      </c>
      <c r="I14716">
        <v>19072</v>
      </c>
      <c r="J14716">
        <v>1</v>
      </c>
    </row>
    <row r="14717" spans="1:10" x14ac:dyDescent="0.25">
      <c r="A14717" t="s">
        <v>155</v>
      </c>
      <c r="B14717" s="1" t="str">
        <f>HYPERLINK("http://escapesalonaveda.com","escapesalonaveda.com")</f>
        <v>escapesalonaveda.com</v>
      </c>
      <c r="C14717" t="s">
        <v>433</v>
      </c>
      <c r="F14717">
        <v>6.7902541495269601E-9</v>
      </c>
      <c r="G14717">
        <v>12993449</v>
      </c>
      <c r="H14717">
        <v>11084206</v>
      </c>
      <c r="I14717">
        <v>32444271</v>
      </c>
      <c r="J14717">
        <v>5</v>
      </c>
    </row>
    <row r="14718" spans="1:10" x14ac:dyDescent="0.25">
      <c r="A14718" t="s">
        <v>155</v>
      </c>
      <c r="B14718" s="1" t="str">
        <f>HYPERLINK("http://estee.com","estee.com")</f>
        <v>estee.com</v>
      </c>
      <c r="C14718" t="s">
        <v>433</v>
      </c>
      <c r="E14718">
        <v>117015</v>
      </c>
      <c r="F14718">
        <v>9.7806297962651202E-9</v>
      </c>
      <c r="G14718">
        <v>6989685</v>
      </c>
      <c r="H14718">
        <v>12461781</v>
      </c>
      <c r="I14718">
        <v>17856419</v>
      </c>
      <c r="J14718">
        <v>2</v>
      </c>
    </row>
    <row r="14719" spans="1:10" x14ac:dyDescent="0.25">
      <c r="A14719" t="s">
        <v>155</v>
      </c>
      <c r="B14719" s="1" t="str">
        <f>HYPERLINK("http://esteelauder.com","esteelauder.com")</f>
        <v>esteelauder.com</v>
      </c>
      <c r="C14719" t="s">
        <v>433</v>
      </c>
      <c r="E14719">
        <v>35734</v>
      </c>
      <c r="F14719">
        <v>7.5698398399193799E-7</v>
      </c>
      <c r="G14719">
        <v>51528</v>
      </c>
      <c r="H14719">
        <v>17454126</v>
      </c>
      <c r="I14719">
        <v>15934</v>
      </c>
      <c r="J14719">
        <v>4</v>
      </c>
    </row>
    <row r="14720" spans="1:10" x14ac:dyDescent="0.25">
      <c r="A14720" t="s">
        <v>155</v>
      </c>
      <c r="B14720" s="1" t="str">
        <f>HYPERLINK("http://jconsalon.com","jconsalon.com")</f>
        <v>jconsalon.com</v>
      </c>
      <c r="C14720" t="s">
        <v>433</v>
      </c>
      <c r="F14720">
        <v>7.3315781818310203E-9</v>
      </c>
      <c r="G14720">
        <v>11403854</v>
      </c>
      <c r="H14720">
        <v>12862879</v>
      </c>
      <c r="I14720">
        <v>14180031</v>
      </c>
      <c r="J14720">
        <v>5</v>
      </c>
    </row>
    <row r="14721" spans="1:10" x14ac:dyDescent="0.25">
      <c r="A14721" t="s">
        <v>155</v>
      </c>
      <c r="B14721" s="1" t="str">
        <f>HYPERLINK("http://joinaveda.com","joinaveda.com")</f>
        <v>joinaveda.com</v>
      </c>
      <c r="C14721" t="s">
        <v>433</v>
      </c>
      <c r="F14721">
        <v>8.3255156291638199E-9</v>
      </c>
      <c r="G14721">
        <v>9199601</v>
      </c>
      <c r="H14721">
        <v>11304762</v>
      </c>
      <c r="I14721">
        <v>30586623</v>
      </c>
      <c r="J14721">
        <v>5</v>
      </c>
    </row>
    <row r="14722" spans="1:10" x14ac:dyDescent="0.25">
      <c r="A14722" t="s">
        <v>155</v>
      </c>
      <c r="B14722" s="1" t="str">
        <f>HYPERLINK("http://jomalone.com","jomalone.com")</f>
        <v>jomalone.com</v>
      </c>
      <c r="C14722" t="s">
        <v>433</v>
      </c>
      <c r="E14722">
        <v>102488</v>
      </c>
      <c r="F14722">
        <v>3.4001569975556198E-7</v>
      </c>
      <c r="G14722">
        <v>109765</v>
      </c>
      <c r="H14722">
        <v>15085398</v>
      </c>
      <c r="I14722">
        <v>408766</v>
      </c>
      <c r="J14722">
        <v>4</v>
      </c>
    </row>
    <row r="14723" spans="1:10" x14ac:dyDescent="0.25">
      <c r="A14723" t="s">
        <v>155</v>
      </c>
      <c r="B14723" s="1" t="str">
        <f>HYPERLINK("http://lelabofragrances.com","lelabofragrances.com")</f>
        <v>lelabofragrances.com</v>
      </c>
      <c r="C14723" t="s">
        <v>433</v>
      </c>
      <c r="E14723">
        <v>97709</v>
      </c>
      <c r="F14723">
        <v>5.0267544259978597E-7</v>
      </c>
      <c r="G14723">
        <v>76089</v>
      </c>
      <c r="H14723">
        <v>14919656</v>
      </c>
      <c r="I14723">
        <v>452274</v>
      </c>
      <c r="J14723">
        <v>4</v>
      </c>
    </row>
    <row r="14724" spans="1:10" x14ac:dyDescent="0.25">
      <c r="A14724" t="s">
        <v>155</v>
      </c>
      <c r="B14724" s="1" t="str">
        <f>HYPERLINK("http://maccosmetics.com","maccosmetics.com")</f>
        <v>maccosmetics.com</v>
      </c>
      <c r="C14724" t="s">
        <v>433</v>
      </c>
      <c r="E14724">
        <v>19369</v>
      </c>
      <c r="F14724">
        <v>1.44295634791108E-6</v>
      </c>
      <c r="G14724">
        <v>27158</v>
      </c>
      <c r="H14724">
        <v>17512712</v>
      </c>
      <c r="I14724">
        <v>13095</v>
      </c>
      <c r="J14724">
        <v>4</v>
      </c>
    </row>
    <row r="14725" spans="1:10" x14ac:dyDescent="0.25">
      <c r="A14725" t="s">
        <v>155</v>
      </c>
      <c r="B14725" s="1" t="str">
        <f>HYPERLINK("http://origins.com","origins.com")</f>
        <v>origins.com</v>
      </c>
      <c r="C14725" t="s">
        <v>433</v>
      </c>
      <c r="E14725">
        <v>75932</v>
      </c>
      <c r="F14725">
        <v>2.7750336792407798E-7</v>
      </c>
      <c r="G14725">
        <v>134043</v>
      </c>
      <c r="H14725">
        <v>14872817</v>
      </c>
      <c r="I14725">
        <v>477108</v>
      </c>
      <c r="J14725">
        <v>4</v>
      </c>
    </row>
    <row r="14726" spans="1:10" x14ac:dyDescent="0.25">
      <c r="A14726" t="s">
        <v>155</v>
      </c>
      <c r="B14726" s="1" t="str">
        <f>HYPERLINK("http://scottj.com","scottj.com")</f>
        <v>scottj.com</v>
      </c>
      <c r="C14726" t="s">
        <v>433</v>
      </c>
      <c r="F14726">
        <v>2.67750843730517E-8</v>
      </c>
      <c r="G14726">
        <v>1921368</v>
      </c>
      <c r="H14726">
        <v>12795966</v>
      </c>
      <c r="I14726">
        <v>14656323</v>
      </c>
      <c r="J14726">
        <v>5</v>
      </c>
    </row>
    <row r="14727" spans="1:10" x14ac:dyDescent="0.25">
      <c r="A14727" t="s">
        <v>155</v>
      </c>
      <c r="B14727" s="1" t="str">
        <f>HYPERLINK("http://stephenandburns.com","stephenandburns.com")</f>
        <v>stephenandburns.com</v>
      </c>
      <c r="C14727" t="s">
        <v>433</v>
      </c>
      <c r="F14727">
        <v>8.7815233367944601E-9</v>
      </c>
      <c r="G14727">
        <v>8340646</v>
      </c>
      <c r="H14727">
        <v>13770858</v>
      </c>
      <c r="I14727">
        <v>6713714</v>
      </c>
      <c r="J14727">
        <v>5</v>
      </c>
    </row>
    <row r="14728" spans="1:10" x14ac:dyDescent="0.25">
      <c r="A14728" t="s">
        <v>155</v>
      </c>
      <c r="B14728" s="1" t="str">
        <f>HYPERLINK("http://maccosmetics.cr","maccosmetics.cr")</f>
        <v>maccosmetics.cr</v>
      </c>
      <c r="C14728" t="s">
        <v>434</v>
      </c>
      <c r="D14728" t="s">
        <v>813</v>
      </c>
      <c r="F14728">
        <v>3.3101616191022603E-8</v>
      </c>
      <c r="G14728">
        <v>1560836</v>
      </c>
      <c r="H14728">
        <v>12278669</v>
      </c>
      <c r="I14728">
        <v>21334629</v>
      </c>
      <c r="J14728">
        <v>5</v>
      </c>
    </row>
    <row r="14729" spans="1:10" x14ac:dyDescent="0.25">
      <c r="A14729" t="s">
        <v>155</v>
      </c>
      <c r="B14729" s="1" t="str">
        <f>HYPERLINK("http://clinique.cz","clinique.cz")</f>
        <v>clinique.cz</v>
      </c>
      <c r="C14729" t="s">
        <v>435</v>
      </c>
      <c r="D14729" t="s">
        <v>814</v>
      </c>
      <c r="F14729">
        <v>1.5120730126152601E-8</v>
      </c>
      <c r="G14729">
        <v>3801083</v>
      </c>
      <c r="H14729">
        <v>13771078</v>
      </c>
      <c r="I14729">
        <v>6705754</v>
      </c>
      <c r="J14729">
        <v>5</v>
      </c>
    </row>
    <row r="14730" spans="1:10" x14ac:dyDescent="0.25">
      <c r="A14730" t="s">
        <v>155</v>
      </c>
      <c r="B14730" s="1" t="str">
        <f>HYPERLINK("http://esteelauder.cz","esteelauder.cz")</f>
        <v>esteelauder.cz</v>
      </c>
      <c r="C14730" t="s">
        <v>435</v>
      </c>
      <c r="D14730" t="s">
        <v>814</v>
      </c>
      <c r="F14730">
        <v>2.5674336669389399E-8</v>
      </c>
      <c r="G14730">
        <v>2008247</v>
      </c>
      <c r="H14730">
        <v>13768703</v>
      </c>
      <c r="I14730">
        <v>6860828</v>
      </c>
      <c r="J14730">
        <v>4</v>
      </c>
    </row>
    <row r="14731" spans="1:10" x14ac:dyDescent="0.25">
      <c r="A14731" t="s">
        <v>155</v>
      </c>
      <c r="B14731" s="1" t="str">
        <f>HYPERLINK("http://maccosmetics.cz","maccosmetics.cz")</f>
        <v>maccosmetics.cz</v>
      </c>
      <c r="C14731" t="s">
        <v>435</v>
      </c>
      <c r="D14731" t="s">
        <v>814</v>
      </c>
      <c r="F14731">
        <v>3.5658318872240498E-8</v>
      </c>
      <c r="G14731">
        <v>1460685</v>
      </c>
      <c r="H14731">
        <v>12353924</v>
      </c>
      <c r="I14731">
        <v>19699516</v>
      </c>
      <c r="J14731">
        <v>5</v>
      </c>
    </row>
    <row r="14732" spans="1:10" x14ac:dyDescent="0.25">
      <c r="A14732" t="s">
        <v>155</v>
      </c>
      <c r="B14732" s="1" t="str">
        <f>HYPERLINK("http://aveda.de","aveda.de")</f>
        <v>aveda.de</v>
      </c>
      <c r="C14732" t="s">
        <v>436</v>
      </c>
      <c r="D14732" t="s">
        <v>815</v>
      </c>
      <c r="F14732">
        <v>9.5550836158178301E-8</v>
      </c>
      <c r="G14732">
        <v>423839</v>
      </c>
      <c r="H14732">
        <v>13786953</v>
      </c>
      <c r="I14732">
        <v>6379600</v>
      </c>
      <c r="J14732">
        <v>5</v>
      </c>
    </row>
    <row r="14733" spans="1:10" x14ac:dyDescent="0.25">
      <c r="A14733" t="s">
        <v>155</v>
      </c>
      <c r="B14733" s="1" t="str">
        <f>HYPERLINK("http://bobbibrown.de","bobbibrown.de")</f>
        <v>bobbibrown.de</v>
      </c>
      <c r="C14733" t="s">
        <v>436</v>
      </c>
      <c r="D14733" t="s">
        <v>815</v>
      </c>
      <c r="F14733">
        <v>2.8190914441019301E-8</v>
      </c>
      <c r="G14733">
        <v>1825450</v>
      </c>
      <c r="H14733">
        <v>14130923</v>
      </c>
      <c r="I14733">
        <v>2021879</v>
      </c>
      <c r="J14733">
        <v>5</v>
      </c>
    </row>
    <row r="14734" spans="1:10" x14ac:dyDescent="0.25">
      <c r="A14734" t="s">
        <v>155</v>
      </c>
      <c r="B14734" s="1" t="str">
        <f>HYPERLINK("http://clinique.de","clinique.de")</f>
        <v>clinique.de</v>
      </c>
      <c r="C14734" t="s">
        <v>436</v>
      </c>
      <c r="D14734" t="s">
        <v>815</v>
      </c>
      <c r="F14734">
        <v>3.4033017744891997E-8</v>
      </c>
      <c r="G14734">
        <v>1521749</v>
      </c>
      <c r="H14734">
        <v>14135436</v>
      </c>
      <c r="I14734">
        <v>1970083</v>
      </c>
      <c r="J14734">
        <v>5</v>
      </c>
    </row>
    <row r="14735" spans="1:10" x14ac:dyDescent="0.25">
      <c r="A14735" t="s">
        <v>155</v>
      </c>
      <c r="B14735" s="1" t="str">
        <f>HYPERLINK("http://esteelauder.de","esteelauder.de")</f>
        <v>esteelauder.de</v>
      </c>
      <c r="C14735" t="s">
        <v>436</v>
      </c>
      <c r="D14735" t="s">
        <v>815</v>
      </c>
      <c r="E14735">
        <v>996668</v>
      </c>
      <c r="F14735">
        <v>4.2039450326472201E-8</v>
      </c>
      <c r="G14735">
        <v>1164222</v>
      </c>
      <c r="H14735">
        <v>14141225</v>
      </c>
      <c r="I14735">
        <v>1928178</v>
      </c>
      <c r="J14735">
        <v>4</v>
      </c>
    </row>
    <row r="14736" spans="1:10" x14ac:dyDescent="0.25">
      <c r="A14736" t="s">
        <v>155</v>
      </c>
      <c r="B14736" s="1" t="str">
        <f>HYPERLINK("http://maccosmetics.de","maccosmetics.de")</f>
        <v>maccosmetics.de</v>
      </c>
      <c r="C14736" t="s">
        <v>436</v>
      </c>
      <c r="D14736" t="s">
        <v>815</v>
      </c>
      <c r="E14736">
        <v>773784</v>
      </c>
      <c r="F14736">
        <v>7.53321152900425E-8</v>
      </c>
      <c r="G14736">
        <v>558143</v>
      </c>
      <c r="H14736">
        <v>14148440</v>
      </c>
      <c r="I14736">
        <v>1885598</v>
      </c>
      <c r="J14736">
        <v>5</v>
      </c>
    </row>
    <row r="14737" spans="1:10" x14ac:dyDescent="0.25">
      <c r="A14737" t="s">
        <v>155</v>
      </c>
      <c r="B14737" s="1" t="str">
        <f>HYPERLINK("http://origins.de","origins.de")</f>
        <v>origins.de</v>
      </c>
      <c r="C14737" t="s">
        <v>436</v>
      </c>
      <c r="D14737" t="s">
        <v>815</v>
      </c>
      <c r="F14737">
        <v>2.7681984904146199E-8</v>
      </c>
      <c r="G14737">
        <v>1857426</v>
      </c>
      <c r="H14737">
        <v>13768929</v>
      </c>
      <c r="I14737">
        <v>6850010</v>
      </c>
      <c r="J14737">
        <v>5</v>
      </c>
    </row>
    <row r="14738" spans="1:10" x14ac:dyDescent="0.25">
      <c r="A14738" t="s">
        <v>155</v>
      </c>
      <c r="B14738" s="1" t="str">
        <f>HYPERLINK("http://aveda.dk","aveda.dk")</f>
        <v>aveda.dk</v>
      </c>
      <c r="C14738" t="s">
        <v>437</v>
      </c>
      <c r="D14738" t="s">
        <v>816</v>
      </c>
      <c r="F14738">
        <v>1.0581275788764E-8</v>
      </c>
      <c r="G14738">
        <v>6199783</v>
      </c>
      <c r="H14738">
        <v>12204875</v>
      </c>
      <c r="I14738">
        <v>23193991</v>
      </c>
      <c r="J14738">
        <v>5</v>
      </c>
    </row>
    <row r="14739" spans="1:10" x14ac:dyDescent="0.25">
      <c r="A14739" t="s">
        <v>155</v>
      </c>
      <c r="B14739" s="1" t="str">
        <f>HYPERLINK("http://clinique.dk","clinique.dk")</f>
        <v>clinique.dk</v>
      </c>
      <c r="C14739" t="s">
        <v>437</v>
      </c>
      <c r="D14739" t="s">
        <v>816</v>
      </c>
      <c r="F14739">
        <v>1.64392549695344E-8</v>
      </c>
      <c r="G14739">
        <v>3429141</v>
      </c>
      <c r="H14739">
        <v>13769471</v>
      </c>
      <c r="I14739">
        <v>6785969</v>
      </c>
      <c r="J14739">
        <v>5</v>
      </c>
    </row>
    <row r="14740" spans="1:10" x14ac:dyDescent="0.25">
      <c r="A14740" t="s">
        <v>155</v>
      </c>
      <c r="B14740" s="1" t="str">
        <f>HYPERLINK("http://esteelauder.dk","esteelauder.dk")</f>
        <v>esteelauder.dk</v>
      </c>
      <c r="C14740" t="s">
        <v>437</v>
      </c>
      <c r="D14740" t="s">
        <v>816</v>
      </c>
      <c r="F14740">
        <v>2.7148927687848501E-8</v>
      </c>
      <c r="G14740">
        <v>1894223</v>
      </c>
      <c r="H14740">
        <v>12342488</v>
      </c>
      <c r="I14740">
        <v>19905525</v>
      </c>
      <c r="J14740">
        <v>4</v>
      </c>
    </row>
    <row r="14741" spans="1:10" x14ac:dyDescent="0.25">
      <c r="A14741" t="s">
        <v>155</v>
      </c>
      <c r="B14741" s="1" t="str">
        <f>HYPERLINK("http://jomalone.dk","jomalone.dk")</f>
        <v>jomalone.dk</v>
      </c>
      <c r="C14741" t="s">
        <v>437</v>
      </c>
      <c r="D14741" t="s">
        <v>816</v>
      </c>
      <c r="F14741">
        <v>5.0780573561083898E-9</v>
      </c>
      <c r="G14741">
        <v>27553422</v>
      </c>
      <c r="H14741">
        <v>10343848</v>
      </c>
      <c r="I14741">
        <v>57618306</v>
      </c>
      <c r="J14741">
        <v>6</v>
      </c>
    </row>
    <row r="14742" spans="1:10" x14ac:dyDescent="0.25">
      <c r="A14742" t="s">
        <v>155</v>
      </c>
      <c r="B14742" s="1" t="str">
        <f>HYPERLINK("http://origins.dk","origins.dk")</f>
        <v>origins.dk</v>
      </c>
      <c r="C14742" t="s">
        <v>437</v>
      </c>
      <c r="D14742" t="s">
        <v>816</v>
      </c>
      <c r="F14742">
        <v>1.61503275574803E-8</v>
      </c>
      <c r="G14742">
        <v>3507887</v>
      </c>
      <c r="H14742">
        <v>12218351</v>
      </c>
      <c r="I14742">
        <v>22824890</v>
      </c>
      <c r="J14742">
        <v>6</v>
      </c>
    </row>
    <row r="14743" spans="1:10" x14ac:dyDescent="0.25">
      <c r="A14743" t="s">
        <v>155</v>
      </c>
      <c r="B14743" s="1" t="str">
        <f>HYPERLINK("http://maccosmetics.ec","maccosmetics.ec")</f>
        <v>maccosmetics.ec</v>
      </c>
      <c r="C14743" t="s">
        <v>440</v>
      </c>
      <c r="D14743" t="s">
        <v>819</v>
      </c>
      <c r="F14743">
        <v>3.3054880127206702E-8</v>
      </c>
      <c r="G14743">
        <v>1563038</v>
      </c>
      <c r="H14743">
        <v>12278667</v>
      </c>
      <c r="I14743">
        <v>21334664</v>
      </c>
      <c r="J14743">
        <v>5</v>
      </c>
    </row>
    <row r="14744" spans="1:10" x14ac:dyDescent="0.25">
      <c r="A14744" t="s">
        <v>155</v>
      </c>
      <c r="B14744" s="1" t="str">
        <f>HYPERLINK("http://aveda.edu","aveda.edu")</f>
        <v>aveda.edu</v>
      </c>
      <c r="C14744" t="s">
        <v>760</v>
      </c>
      <c r="E14744">
        <v>838499</v>
      </c>
      <c r="F14744">
        <v>4.7805364858002799E-8</v>
      </c>
      <c r="G14744">
        <v>973351</v>
      </c>
      <c r="H14744">
        <v>14077418</v>
      </c>
      <c r="I14744">
        <v>2866033</v>
      </c>
      <c r="J14744">
        <v>5</v>
      </c>
    </row>
    <row r="14745" spans="1:10" x14ac:dyDescent="0.25">
      <c r="A14745" t="s">
        <v>155</v>
      </c>
      <c r="B14745" s="1" t="str">
        <f>HYPERLINK("http://avedainstitutemd.edu","avedainstitutemd.edu")</f>
        <v>avedainstitutemd.edu</v>
      </c>
      <c r="C14745" t="s">
        <v>760</v>
      </c>
      <c r="F14745">
        <v>1.06233737664013E-8</v>
      </c>
      <c r="G14745">
        <v>6163848</v>
      </c>
      <c r="H14745">
        <v>12449009</v>
      </c>
      <c r="I14745">
        <v>18032285</v>
      </c>
      <c r="J14745">
        <v>5</v>
      </c>
    </row>
    <row r="14746" spans="1:10" x14ac:dyDescent="0.25">
      <c r="A14746" t="s">
        <v>155</v>
      </c>
      <c r="B14746" s="1" t="str">
        <f>HYPERLINK("http://jeanmadeline.edu","jeanmadeline.edu")</f>
        <v>jeanmadeline.edu</v>
      </c>
      <c r="C14746" t="s">
        <v>760</v>
      </c>
      <c r="F14746">
        <v>8.2115316740782199E-9</v>
      </c>
      <c r="G14746">
        <v>9551659</v>
      </c>
      <c r="H14746">
        <v>13287583</v>
      </c>
      <c r="I14746">
        <v>10887273</v>
      </c>
      <c r="J14746">
        <v>5</v>
      </c>
    </row>
    <row r="14747" spans="1:10" x14ac:dyDescent="0.25">
      <c r="A14747" t="s">
        <v>155</v>
      </c>
      <c r="B14747" s="1" t="str">
        <f>HYPERLINK("http://aveda.es","aveda.es")</f>
        <v>aveda.es</v>
      </c>
      <c r="C14747" t="s">
        <v>443</v>
      </c>
      <c r="D14747" t="s">
        <v>822</v>
      </c>
      <c r="F14747">
        <v>1.34078328169104E-8</v>
      </c>
      <c r="G14747">
        <v>4444446</v>
      </c>
      <c r="H14747">
        <v>13776502</v>
      </c>
      <c r="I14747">
        <v>6553868</v>
      </c>
      <c r="J14747">
        <v>6</v>
      </c>
    </row>
    <row r="14748" spans="1:10" x14ac:dyDescent="0.25">
      <c r="A14748" t="s">
        <v>155</v>
      </c>
      <c r="B14748" s="1" t="str">
        <f>HYPERLINK("http://bobbibrown.es","bobbibrown.es")</f>
        <v>bobbibrown.es</v>
      </c>
      <c r="C14748" t="s">
        <v>443</v>
      </c>
      <c r="D14748" t="s">
        <v>822</v>
      </c>
      <c r="F14748">
        <v>2.7581569083610702E-8</v>
      </c>
      <c r="G14748">
        <v>1864032</v>
      </c>
      <c r="H14748">
        <v>13791095</v>
      </c>
      <c r="I14748">
        <v>6340853</v>
      </c>
      <c r="J14748">
        <v>5</v>
      </c>
    </row>
    <row r="14749" spans="1:10" x14ac:dyDescent="0.25">
      <c r="A14749" t="s">
        <v>155</v>
      </c>
      <c r="B14749" s="1" t="str">
        <f>HYPERLINK("http://clinique.es","clinique.es")</f>
        <v>clinique.es</v>
      </c>
      <c r="C14749" t="s">
        <v>443</v>
      </c>
      <c r="D14749" t="s">
        <v>822</v>
      </c>
      <c r="E14749">
        <v>958079</v>
      </c>
      <c r="F14749">
        <v>4.6784009208691802E-8</v>
      </c>
      <c r="G14749">
        <v>998440</v>
      </c>
      <c r="H14749">
        <v>14149492</v>
      </c>
      <c r="I14749">
        <v>1881105</v>
      </c>
      <c r="J14749">
        <v>5</v>
      </c>
    </row>
    <row r="14750" spans="1:10" x14ac:dyDescent="0.25">
      <c r="A14750" t="s">
        <v>155</v>
      </c>
      <c r="B14750" s="1" t="str">
        <f>HYPERLINK("http://esteelauder.es","esteelauder.es")</f>
        <v>esteelauder.es</v>
      </c>
      <c r="C14750" t="s">
        <v>443</v>
      </c>
      <c r="D14750" t="s">
        <v>822</v>
      </c>
      <c r="F14750">
        <v>5.2407386286386503E-8</v>
      </c>
      <c r="G14750">
        <v>870345</v>
      </c>
      <c r="H14750">
        <v>14611134</v>
      </c>
      <c r="I14750">
        <v>676581</v>
      </c>
      <c r="J14750">
        <v>4</v>
      </c>
    </row>
    <row r="14751" spans="1:10" x14ac:dyDescent="0.25">
      <c r="A14751" t="s">
        <v>155</v>
      </c>
      <c r="B14751" s="1" t="str">
        <f>HYPERLINK("http://maccosmetics.es","maccosmetics.es")</f>
        <v>maccosmetics.es</v>
      </c>
      <c r="C14751" t="s">
        <v>443</v>
      </c>
      <c r="D14751" t="s">
        <v>822</v>
      </c>
      <c r="E14751">
        <v>622596</v>
      </c>
      <c r="F14751">
        <v>7.4912217673765498E-8</v>
      </c>
      <c r="G14751">
        <v>561538</v>
      </c>
      <c r="H14751">
        <v>14199133</v>
      </c>
      <c r="I14751">
        <v>1726991</v>
      </c>
      <c r="J14751">
        <v>5</v>
      </c>
    </row>
    <row r="14752" spans="1:10" x14ac:dyDescent="0.25">
      <c r="A14752" t="s">
        <v>155</v>
      </c>
      <c r="B14752" s="1" t="str">
        <f>HYPERLINK("http://aveda.eu","aveda.eu")</f>
        <v>aveda.eu</v>
      </c>
      <c r="C14752" t="s">
        <v>444</v>
      </c>
      <c r="E14752">
        <v>577004</v>
      </c>
      <c r="F14752">
        <v>8.6724750042617295E-8</v>
      </c>
      <c r="G14752">
        <v>473741</v>
      </c>
      <c r="H14752">
        <v>13834180</v>
      </c>
      <c r="I14752">
        <v>6097016</v>
      </c>
      <c r="J14752">
        <v>5</v>
      </c>
    </row>
    <row r="14753" spans="1:10" x14ac:dyDescent="0.25">
      <c r="A14753" t="s">
        <v>155</v>
      </c>
      <c r="B14753" s="1" t="str">
        <f>HYPERLINK("http://jomalone.eu","jomalone.eu")</f>
        <v>jomalone.eu</v>
      </c>
      <c r="C14753" t="s">
        <v>444</v>
      </c>
      <c r="E14753">
        <v>590022</v>
      </c>
      <c r="F14753">
        <v>5.3230234845755902E-8</v>
      </c>
      <c r="G14753">
        <v>855269</v>
      </c>
      <c r="H14753">
        <v>14179371</v>
      </c>
      <c r="I14753">
        <v>1783132</v>
      </c>
      <c r="J14753">
        <v>5</v>
      </c>
    </row>
    <row r="14754" spans="1:10" x14ac:dyDescent="0.25">
      <c r="A14754" t="s">
        <v>155</v>
      </c>
      <c r="B14754" s="1" t="str">
        <f>HYPERLINK("http://origins.eu","origins.eu")</f>
        <v>origins.eu</v>
      </c>
      <c r="C14754" t="s">
        <v>444</v>
      </c>
      <c r="F14754">
        <v>5.7123534156114299E-8</v>
      </c>
      <c r="G14754">
        <v>781351</v>
      </c>
      <c r="H14754">
        <v>13814452</v>
      </c>
      <c r="I14754">
        <v>6174358</v>
      </c>
      <c r="J14754">
        <v>5</v>
      </c>
    </row>
    <row r="14755" spans="1:10" x14ac:dyDescent="0.25">
      <c r="A14755" t="s">
        <v>155</v>
      </c>
      <c r="B14755" s="1" t="str">
        <f>HYPERLINK("http://abnomaly.fi","abnomaly.fi")</f>
        <v>abnomaly.fi</v>
      </c>
      <c r="C14755" t="s">
        <v>445</v>
      </c>
      <c r="D14755" t="s">
        <v>823</v>
      </c>
      <c r="J14755">
        <v>4</v>
      </c>
    </row>
    <row r="14756" spans="1:10" x14ac:dyDescent="0.25">
      <c r="A14756" t="s">
        <v>155</v>
      </c>
      <c r="B14756" s="1" t="str">
        <f>HYPERLINK("http://aveda.fi","aveda.fi")</f>
        <v>aveda.fi</v>
      </c>
      <c r="C14756" t="s">
        <v>445</v>
      </c>
      <c r="D14756" t="s">
        <v>823</v>
      </c>
      <c r="J14756">
        <v>7</v>
      </c>
    </row>
    <row r="14757" spans="1:10" x14ac:dyDescent="0.25">
      <c r="A14757" t="s">
        <v>155</v>
      </c>
      <c r="B14757" s="1" t="str">
        <f>HYPERLINK("http://bykilian.fi","bykilian.fi")</f>
        <v>bykilian.fi</v>
      </c>
      <c r="C14757" t="s">
        <v>445</v>
      </c>
      <c r="D14757" t="s">
        <v>823</v>
      </c>
      <c r="J14757">
        <v>5</v>
      </c>
    </row>
    <row r="14758" spans="1:10" x14ac:dyDescent="0.25">
      <c r="A14758" t="s">
        <v>155</v>
      </c>
      <c r="B14758" s="1" t="str">
        <f>HYPERLINK("http://clinique.fi","clinique.fi")</f>
        <v>clinique.fi</v>
      </c>
      <c r="C14758" t="s">
        <v>445</v>
      </c>
      <c r="D14758" t="s">
        <v>823</v>
      </c>
      <c r="F14758">
        <v>1.3328678531165599E-8</v>
      </c>
      <c r="G14758">
        <v>4480951</v>
      </c>
      <c r="H14758">
        <v>13769241</v>
      </c>
      <c r="I14758">
        <v>6802419</v>
      </c>
      <c r="J14758">
        <v>5</v>
      </c>
    </row>
    <row r="14759" spans="1:10" x14ac:dyDescent="0.25">
      <c r="A14759" t="s">
        <v>155</v>
      </c>
      <c r="B14759" s="1" t="str">
        <f>HYPERLINK("http://hifhair.fi","hifhair.fi")</f>
        <v>hifhair.fi</v>
      </c>
      <c r="C14759" t="s">
        <v>445</v>
      </c>
      <c r="D14759" t="s">
        <v>823</v>
      </c>
      <c r="J14759">
        <v>4</v>
      </c>
    </row>
    <row r="14760" spans="1:10" x14ac:dyDescent="0.25">
      <c r="A14760" t="s">
        <v>155</v>
      </c>
      <c r="B14760" s="1" t="str">
        <f>HYPERLINK("http://hippooh.fi","hippooh.fi")</f>
        <v>hippooh.fi</v>
      </c>
      <c r="C14760" t="s">
        <v>445</v>
      </c>
      <c r="D14760" t="s">
        <v>823</v>
      </c>
      <c r="J14760">
        <v>4</v>
      </c>
    </row>
    <row r="14761" spans="1:10" x14ac:dyDescent="0.25">
      <c r="A14761" t="s">
        <v>155</v>
      </c>
      <c r="B14761" s="1" t="str">
        <f>HYPERLINK("http://labseries.fi","labseries.fi")</f>
        <v>labseries.fi</v>
      </c>
      <c r="C14761" t="s">
        <v>445</v>
      </c>
      <c r="D14761" t="s">
        <v>823</v>
      </c>
      <c r="J14761">
        <v>4</v>
      </c>
    </row>
    <row r="14762" spans="1:10" x14ac:dyDescent="0.25">
      <c r="A14762" t="s">
        <v>155</v>
      </c>
      <c r="B14762" s="1" t="str">
        <f>HYPERLINK("http://loopha.fi","loopha.fi")</f>
        <v>loopha.fi</v>
      </c>
      <c r="C14762" t="s">
        <v>445</v>
      </c>
      <c r="D14762" t="s">
        <v>823</v>
      </c>
      <c r="J14762">
        <v>4</v>
      </c>
    </row>
    <row r="14763" spans="1:10" x14ac:dyDescent="0.25">
      <c r="A14763" t="s">
        <v>155</v>
      </c>
      <c r="B14763" s="1" t="str">
        <f>HYPERLINK("http://maccosmetics.fi","maccosmetics.fi")</f>
        <v>maccosmetics.fi</v>
      </c>
      <c r="C14763" t="s">
        <v>445</v>
      </c>
      <c r="D14763" t="s">
        <v>823</v>
      </c>
      <c r="J14763">
        <v>5</v>
      </c>
    </row>
    <row r="14764" spans="1:10" x14ac:dyDescent="0.25">
      <c r="A14764" t="s">
        <v>155</v>
      </c>
      <c r="B14764" s="1" t="str">
        <f>HYPERLINK("http://aveda.fr","aveda.fr")</f>
        <v>aveda.fr</v>
      </c>
      <c r="C14764" t="s">
        <v>446</v>
      </c>
      <c r="D14764" t="s">
        <v>824</v>
      </c>
      <c r="F14764">
        <v>1.05931184513812E-8</v>
      </c>
      <c r="G14764">
        <v>6189967</v>
      </c>
      <c r="H14764">
        <v>13771584</v>
      </c>
      <c r="I14764">
        <v>6688320</v>
      </c>
      <c r="J14764">
        <v>6</v>
      </c>
    </row>
    <row r="14765" spans="1:10" x14ac:dyDescent="0.25">
      <c r="A14765" t="s">
        <v>155</v>
      </c>
      <c r="B14765" s="1" t="str">
        <f>HYPERLINK("http://bobbibrowncosmetics.fr","bobbibrowncosmetics.fr")</f>
        <v>bobbibrowncosmetics.fr</v>
      </c>
      <c r="C14765" t="s">
        <v>446</v>
      </c>
      <c r="D14765" t="s">
        <v>824</v>
      </c>
      <c r="F14765">
        <v>3.5222560168504098E-8</v>
      </c>
      <c r="G14765">
        <v>1476202</v>
      </c>
      <c r="H14765">
        <v>14216308</v>
      </c>
      <c r="I14765">
        <v>1692246</v>
      </c>
      <c r="J14765">
        <v>4</v>
      </c>
    </row>
    <row r="14766" spans="1:10" x14ac:dyDescent="0.25">
      <c r="A14766" t="s">
        <v>155</v>
      </c>
      <c r="B14766" s="1" t="str">
        <f>HYPERLINK("http://clinique.fr","clinique.fr")</f>
        <v>clinique.fr</v>
      </c>
      <c r="C14766" t="s">
        <v>446</v>
      </c>
      <c r="D14766" t="s">
        <v>824</v>
      </c>
      <c r="F14766">
        <v>1.6552070057322499E-8</v>
      </c>
      <c r="G14766">
        <v>3401023</v>
      </c>
      <c r="H14766">
        <v>13886469</v>
      </c>
      <c r="I14766">
        <v>5968997</v>
      </c>
      <c r="J14766">
        <v>5</v>
      </c>
    </row>
    <row r="14767" spans="1:10" x14ac:dyDescent="0.25">
      <c r="A14767" t="s">
        <v>155</v>
      </c>
      <c r="B14767" s="1" t="str">
        <f>HYPERLINK("http://esteelauder.fr","esteelauder.fr")</f>
        <v>esteelauder.fr</v>
      </c>
      <c r="C14767" t="s">
        <v>446</v>
      </c>
      <c r="D14767" t="s">
        <v>824</v>
      </c>
      <c r="F14767">
        <v>5.3354773069243799E-8</v>
      </c>
      <c r="G14767">
        <v>853058</v>
      </c>
      <c r="H14767">
        <v>14282763</v>
      </c>
      <c r="I14767">
        <v>1376068</v>
      </c>
      <c r="J14767">
        <v>4</v>
      </c>
    </row>
    <row r="14768" spans="1:10" x14ac:dyDescent="0.25">
      <c r="A14768" t="s">
        <v>155</v>
      </c>
      <c r="B14768" s="1" t="str">
        <f>HYPERLINK("http://jomalone.fr","jomalone.fr")</f>
        <v>jomalone.fr</v>
      </c>
      <c r="C14768" t="s">
        <v>446</v>
      </c>
      <c r="D14768" t="s">
        <v>824</v>
      </c>
      <c r="F14768">
        <v>2.8180004925191999E-8</v>
      </c>
      <c r="G14768">
        <v>1826161</v>
      </c>
      <c r="H14768">
        <v>14136945</v>
      </c>
      <c r="I14768">
        <v>1957730</v>
      </c>
      <c r="J14768">
        <v>4</v>
      </c>
    </row>
    <row r="14769" spans="1:10" x14ac:dyDescent="0.25">
      <c r="A14769" t="s">
        <v>155</v>
      </c>
      <c r="B14769" s="1" t="str">
        <f>HYPERLINK("http://maccosmetics.fr","maccosmetics.fr")</f>
        <v>maccosmetics.fr</v>
      </c>
      <c r="C14769" t="s">
        <v>446</v>
      </c>
      <c r="D14769" t="s">
        <v>824</v>
      </c>
      <c r="E14769">
        <v>640409</v>
      </c>
      <c r="F14769">
        <v>1.17591026373952E-7</v>
      </c>
      <c r="G14769">
        <v>337864</v>
      </c>
      <c r="H14769">
        <v>15088734</v>
      </c>
      <c r="I14769">
        <v>408219</v>
      </c>
      <c r="J14769">
        <v>5</v>
      </c>
    </row>
    <row r="14770" spans="1:10" x14ac:dyDescent="0.25">
      <c r="A14770" t="s">
        <v>155</v>
      </c>
      <c r="B14770" s="1" t="str">
        <f>HYPERLINK("http://aveda.gr","aveda.gr")</f>
        <v>aveda.gr</v>
      </c>
      <c r="C14770" t="s">
        <v>447</v>
      </c>
      <c r="D14770" t="s">
        <v>825</v>
      </c>
      <c r="F14770">
        <v>1.34431212723881E-8</v>
      </c>
      <c r="G14770">
        <v>4429464</v>
      </c>
      <c r="H14770">
        <v>12488144</v>
      </c>
      <c r="I14770">
        <v>17509140</v>
      </c>
      <c r="J14770">
        <v>5</v>
      </c>
    </row>
    <row r="14771" spans="1:10" x14ac:dyDescent="0.25">
      <c r="A14771" t="s">
        <v>155</v>
      </c>
      <c r="B14771" s="1" t="str">
        <f>HYPERLINK("http://bobbibrown.gr","bobbibrown.gr")</f>
        <v>bobbibrown.gr</v>
      </c>
      <c r="C14771" t="s">
        <v>447</v>
      </c>
      <c r="D14771" t="s">
        <v>825</v>
      </c>
      <c r="F14771">
        <v>1.9219240282311699E-8</v>
      </c>
      <c r="G14771">
        <v>2795496</v>
      </c>
      <c r="H14771">
        <v>12362678</v>
      </c>
      <c r="I14771">
        <v>19535139</v>
      </c>
      <c r="J14771">
        <v>5</v>
      </c>
    </row>
    <row r="14772" spans="1:10" x14ac:dyDescent="0.25">
      <c r="A14772" t="s">
        <v>155</v>
      </c>
      <c r="B14772" s="1" t="str">
        <f>HYPERLINK("http://clinique.gr","clinique.gr")</f>
        <v>clinique.gr</v>
      </c>
      <c r="C14772" t="s">
        <v>447</v>
      </c>
      <c r="D14772" t="s">
        <v>825</v>
      </c>
      <c r="F14772">
        <v>1.5578839320844601E-8</v>
      </c>
      <c r="G14772">
        <v>3661110</v>
      </c>
      <c r="H14772">
        <v>14126404</v>
      </c>
      <c r="I14772">
        <v>2100703</v>
      </c>
      <c r="J14772">
        <v>5</v>
      </c>
    </row>
    <row r="14773" spans="1:10" x14ac:dyDescent="0.25">
      <c r="A14773" t="s">
        <v>155</v>
      </c>
      <c r="B14773" s="1" t="str">
        <f>HYPERLINK("http://esteelauder.gr","esteelauder.gr")</f>
        <v>esteelauder.gr</v>
      </c>
      <c r="C14773" t="s">
        <v>447</v>
      </c>
      <c r="D14773" t="s">
        <v>825</v>
      </c>
      <c r="F14773">
        <v>3.0541191464906798E-8</v>
      </c>
      <c r="G14773">
        <v>1686137</v>
      </c>
      <c r="H14773">
        <v>13770106</v>
      </c>
      <c r="I14773">
        <v>6744592</v>
      </c>
      <c r="J14773">
        <v>4</v>
      </c>
    </row>
    <row r="14774" spans="1:10" x14ac:dyDescent="0.25">
      <c r="A14774" t="s">
        <v>155</v>
      </c>
      <c r="B14774" s="1" t="str">
        <f>HYPERLINK("http://jomalone.gr","jomalone.gr")</f>
        <v>jomalone.gr</v>
      </c>
      <c r="C14774" t="s">
        <v>447</v>
      </c>
      <c r="D14774" t="s">
        <v>825</v>
      </c>
      <c r="F14774">
        <v>5.1373791516758903E-9</v>
      </c>
      <c r="G14774">
        <v>26315523</v>
      </c>
      <c r="H14774">
        <v>10528689</v>
      </c>
      <c r="I14774">
        <v>48660054</v>
      </c>
      <c r="J14774">
        <v>6</v>
      </c>
    </row>
    <row r="14775" spans="1:10" x14ac:dyDescent="0.25">
      <c r="A14775" t="s">
        <v>155</v>
      </c>
      <c r="B14775" s="1" t="str">
        <f>HYPERLINK("http://maccosmetics.gr","maccosmetics.gr")</f>
        <v>maccosmetics.gr</v>
      </c>
      <c r="C14775" t="s">
        <v>447</v>
      </c>
      <c r="D14775" t="s">
        <v>825</v>
      </c>
      <c r="F14775">
        <v>5.2993835843712302E-8</v>
      </c>
      <c r="G14775">
        <v>859427</v>
      </c>
      <c r="H14775">
        <v>14282766</v>
      </c>
      <c r="I14775">
        <v>1376061</v>
      </c>
      <c r="J14775">
        <v>5</v>
      </c>
    </row>
    <row r="14776" spans="1:10" x14ac:dyDescent="0.25">
      <c r="A14776" t="s">
        <v>155</v>
      </c>
      <c r="B14776" s="1" t="str">
        <f>HYPERLINK("http://esteelauder.com.gt","esteelauder.com.gt")</f>
        <v>esteelauder.com.gt</v>
      </c>
      <c r="C14776" t="s">
        <v>448</v>
      </c>
      <c r="D14776" t="s">
        <v>826</v>
      </c>
      <c r="F14776">
        <v>2.33533094275152E-8</v>
      </c>
      <c r="G14776">
        <v>2233357</v>
      </c>
      <c r="H14776">
        <v>12278136</v>
      </c>
      <c r="I14776">
        <v>21345451</v>
      </c>
      <c r="J14776">
        <v>4</v>
      </c>
    </row>
    <row r="14777" spans="1:10" x14ac:dyDescent="0.25">
      <c r="A14777" t="s">
        <v>155</v>
      </c>
      <c r="B14777" s="1" t="str">
        <f>HYPERLINK("http://maccosmetics.com.gt","maccosmetics.com.gt")</f>
        <v>maccosmetics.com.gt</v>
      </c>
      <c r="C14777" t="s">
        <v>448</v>
      </c>
      <c r="D14777" t="s">
        <v>826</v>
      </c>
      <c r="F14777">
        <v>3.3153605426291297E-8</v>
      </c>
      <c r="G14777">
        <v>1558412</v>
      </c>
      <c r="H14777">
        <v>12278667</v>
      </c>
      <c r="I14777">
        <v>21334665</v>
      </c>
      <c r="J14777">
        <v>5</v>
      </c>
    </row>
    <row r="14778" spans="1:10" x14ac:dyDescent="0.25">
      <c r="A14778" t="s">
        <v>155</v>
      </c>
      <c r="B14778" s="1" t="str">
        <f>HYPERLINK("http://aveda.com.hk","aveda.com.hk")</f>
        <v>aveda.com.hk</v>
      </c>
      <c r="C14778" t="s">
        <v>450</v>
      </c>
      <c r="D14778" t="s">
        <v>827</v>
      </c>
      <c r="F14778">
        <v>1.27627916765646E-8</v>
      </c>
      <c r="G14778">
        <v>4748062</v>
      </c>
      <c r="H14778">
        <v>13784595</v>
      </c>
      <c r="I14778">
        <v>6411141</v>
      </c>
      <c r="J14778">
        <v>5</v>
      </c>
    </row>
    <row r="14779" spans="1:10" x14ac:dyDescent="0.25">
      <c r="A14779" t="s">
        <v>155</v>
      </c>
      <c r="B14779" s="1" t="str">
        <f>HYPERLINK("http://bobbibrown.com.hk","bobbibrown.com.hk")</f>
        <v>bobbibrown.com.hk</v>
      </c>
      <c r="C14779" t="s">
        <v>450</v>
      </c>
      <c r="D14779" t="s">
        <v>827</v>
      </c>
      <c r="F14779">
        <v>2.1191065981904099E-8</v>
      </c>
      <c r="G14779">
        <v>2488845</v>
      </c>
      <c r="H14779">
        <v>13770895</v>
      </c>
      <c r="I14779">
        <v>6712240</v>
      </c>
      <c r="J14779">
        <v>5</v>
      </c>
    </row>
    <row r="14780" spans="1:10" x14ac:dyDescent="0.25">
      <c r="A14780" t="s">
        <v>155</v>
      </c>
      <c r="B14780" s="1" t="str">
        <f>HYPERLINK("http://clinique.com.hk","clinique.com.hk")</f>
        <v>clinique.com.hk</v>
      </c>
      <c r="C14780" t="s">
        <v>450</v>
      </c>
      <c r="D14780" t="s">
        <v>827</v>
      </c>
      <c r="F14780">
        <v>2.1465322580584001E-8</v>
      </c>
      <c r="G14780">
        <v>2453365</v>
      </c>
      <c r="H14780">
        <v>13774781</v>
      </c>
      <c r="I14780">
        <v>6596681</v>
      </c>
      <c r="J14780">
        <v>5</v>
      </c>
    </row>
    <row r="14781" spans="1:10" x14ac:dyDescent="0.25">
      <c r="A14781" t="s">
        <v>155</v>
      </c>
      <c r="B14781" s="1" t="str">
        <f>HYPERLINK("http://esteelauder.com.hk","esteelauder.com.hk")</f>
        <v>esteelauder.com.hk</v>
      </c>
      <c r="C14781" t="s">
        <v>450</v>
      </c>
      <c r="D14781" t="s">
        <v>827</v>
      </c>
      <c r="F14781">
        <v>4.1662095120621098E-8</v>
      </c>
      <c r="G14781">
        <v>1188783</v>
      </c>
      <c r="H14781">
        <v>13774587</v>
      </c>
      <c r="I14781">
        <v>6601968</v>
      </c>
      <c r="J14781">
        <v>4</v>
      </c>
    </row>
    <row r="14782" spans="1:10" x14ac:dyDescent="0.25">
      <c r="A14782" t="s">
        <v>155</v>
      </c>
      <c r="B14782" s="1" t="str">
        <f>HYPERLINK("http://jomalone.com.hk","jomalone.com.hk")</f>
        <v>jomalone.com.hk</v>
      </c>
      <c r="C14782" t="s">
        <v>450</v>
      </c>
      <c r="D14782" t="s">
        <v>827</v>
      </c>
      <c r="F14782">
        <v>3.4648774969683903E-8</v>
      </c>
      <c r="G14782">
        <v>1497673</v>
      </c>
      <c r="H14782">
        <v>13654393</v>
      </c>
      <c r="I14782">
        <v>9604225</v>
      </c>
      <c r="J14782">
        <v>5</v>
      </c>
    </row>
    <row r="14783" spans="1:10" x14ac:dyDescent="0.25">
      <c r="A14783" t="s">
        <v>155</v>
      </c>
      <c r="B14783" s="1" t="str">
        <f>HYPERLINK("http://maccosmetics.com.hk","maccosmetics.com.hk")</f>
        <v>maccosmetics.com.hk</v>
      </c>
      <c r="C14783" t="s">
        <v>450</v>
      </c>
      <c r="D14783" t="s">
        <v>827</v>
      </c>
      <c r="F14783">
        <v>4.3065886795124902E-8</v>
      </c>
      <c r="G14783">
        <v>1115964</v>
      </c>
      <c r="H14783">
        <v>13780633</v>
      </c>
      <c r="I14783">
        <v>6469065</v>
      </c>
      <c r="J14783">
        <v>5</v>
      </c>
    </row>
    <row r="14784" spans="1:10" x14ac:dyDescent="0.25">
      <c r="A14784" t="s">
        <v>155</v>
      </c>
      <c r="B14784" s="1" t="str">
        <f>HYPERLINK("http://origins.hk","origins.hk")</f>
        <v>origins.hk</v>
      </c>
      <c r="C14784" t="s">
        <v>450</v>
      </c>
      <c r="D14784" t="s">
        <v>827</v>
      </c>
      <c r="F14784">
        <v>2.78634432666809E-8</v>
      </c>
      <c r="G14784">
        <v>1845887</v>
      </c>
      <c r="H14784">
        <v>14122260</v>
      </c>
      <c r="I14784">
        <v>2219856</v>
      </c>
      <c r="J14784">
        <v>5</v>
      </c>
    </row>
    <row r="14785" spans="1:10" x14ac:dyDescent="0.25">
      <c r="A14785" t="s">
        <v>155</v>
      </c>
      <c r="B14785" s="1" t="str">
        <f>HYPERLINK("http://clinique.hu","clinique.hu")</f>
        <v>clinique.hu</v>
      </c>
      <c r="C14785" t="s">
        <v>453</v>
      </c>
      <c r="D14785" t="s">
        <v>830</v>
      </c>
      <c r="F14785">
        <v>1.41013835933696E-8</v>
      </c>
      <c r="G14785">
        <v>4165186</v>
      </c>
      <c r="H14785">
        <v>12253327</v>
      </c>
      <c r="I14785">
        <v>21933035</v>
      </c>
      <c r="J14785">
        <v>5</v>
      </c>
    </row>
    <row r="14786" spans="1:10" x14ac:dyDescent="0.25">
      <c r="A14786" t="s">
        <v>155</v>
      </c>
      <c r="B14786" s="1" t="str">
        <f>HYPERLINK("http://esteelauder.hu","esteelauder.hu")</f>
        <v>esteelauder.hu</v>
      </c>
      <c r="C14786" t="s">
        <v>453</v>
      </c>
      <c r="D14786" t="s">
        <v>830</v>
      </c>
      <c r="F14786">
        <v>2.5194637954352401E-8</v>
      </c>
      <c r="G14786">
        <v>2049457</v>
      </c>
      <c r="H14786">
        <v>13766542</v>
      </c>
      <c r="I14786">
        <v>6997321</v>
      </c>
      <c r="J14786">
        <v>4</v>
      </c>
    </row>
    <row r="14787" spans="1:10" x14ac:dyDescent="0.25">
      <c r="A14787" t="s">
        <v>155</v>
      </c>
      <c r="B14787" s="1" t="str">
        <f>HYPERLINK("http://maccosmetics.hu","maccosmetics.hu")</f>
        <v>maccosmetics.hu</v>
      </c>
      <c r="C14787" t="s">
        <v>453</v>
      </c>
      <c r="D14787" t="s">
        <v>830</v>
      </c>
      <c r="F14787">
        <v>3.6926224137806101E-8</v>
      </c>
      <c r="G14787">
        <v>1416526</v>
      </c>
      <c r="H14787">
        <v>13770564</v>
      </c>
      <c r="I14787">
        <v>6724329</v>
      </c>
      <c r="J14787">
        <v>5</v>
      </c>
    </row>
    <row r="14788" spans="1:10" x14ac:dyDescent="0.25">
      <c r="A14788" t="s">
        <v>155</v>
      </c>
      <c r="B14788" s="1" t="str">
        <f>HYPERLINK("http://esteelauder.co.id","esteelauder.co.id")</f>
        <v>esteelauder.co.id</v>
      </c>
      <c r="C14788" t="s">
        <v>454</v>
      </c>
      <c r="D14788" t="s">
        <v>831</v>
      </c>
      <c r="F14788">
        <v>2.3420565814647399E-8</v>
      </c>
      <c r="G14788">
        <v>2223326</v>
      </c>
      <c r="H14788">
        <v>12278159</v>
      </c>
      <c r="I14788">
        <v>21345055</v>
      </c>
      <c r="J14788">
        <v>4</v>
      </c>
    </row>
    <row r="14789" spans="1:10" x14ac:dyDescent="0.25">
      <c r="A14789" t="s">
        <v>155</v>
      </c>
      <c r="B14789" s="1" t="str">
        <f>HYPERLINK("http://maccosmetics.co.id","maccosmetics.co.id")</f>
        <v>maccosmetics.co.id</v>
      </c>
      <c r="C14789" t="s">
        <v>454</v>
      </c>
      <c r="D14789" t="s">
        <v>831</v>
      </c>
      <c r="F14789">
        <v>3.3424572333626001E-8</v>
      </c>
      <c r="G14789">
        <v>1546510</v>
      </c>
      <c r="H14789">
        <v>12278668</v>
      </c>
      <c r="I14789">
        <v>21334646</v>
      </c>
      <c r="J14789">
        <v>5</v>
      </c>
    </row>
    <row r="14790" spans="1:10" x14ac:dyDescent="0.25">
      <c r="A14790" t="s">
        <v>155</v>
      </c>
      <c r="B14790" s="1" t="str">
        <f>HYPERLINK("http://bobbibrown.co.il","bobbibrown.co.il")</f>
        <v>bobbibrown.co.il</v>
      </c>
      <c r="C14790" t="s">
        <v>456</v>
      </c>
      <c r="D14790" t="s">
        <v>833</v>
      </c>
      <c r="F14790">
        <v>1.89477101027203E-8</v>
      </c>
      <c r="G14790">
        <v>2844874</v>
      </c>
      <c r="H14790">
        <v>13765007</v>
      </c>
      <c r="I14790">
        <v>7158847</v>
      </c>
      <c r="J14790">
        <v>5</v>
      </c>
    </row>
    <row r="14791" spans="1:10" x14ac:dyDescent="0.25">
      <c r="A14791" t="s">
        <v>155</v>
      </c>
      <c r="B14791" s="1" t="str">
        <f>HYPERLINK("http://clinique.co.il","clinique.co.il")</f>
        <v>clinique.co.il</v>
      </c>
      <c r="C14791" t="s">
        <v>456</v>
      </c>
      <c r="D14791" t="s">
        <v>833</v>
      </c>
      <c r="F14791">
        <v>1.55485855939249E-8</v>
      </c>
      <c r="G14791">
        <v>3670638</v>
      </c>
      <c r="H14791">
        <v>13769484</v>
      </c>
      <c r="I14791">
        <v>6785191</v>
      </c>
      <c r="J14791">
        <v>5</v>
      </c>
    </row>
    <row r="14792" spans="1:10" x14ac:dyDescent="0.25">
      <c r="A14792" t="s">
        <v>155</v>
      </c>
      <c r="B14792" s="1" t="str">
        <f>HYPERLINK("http://esteelauder.co.il","esteelauder.co.il")</f>
        <v>esteelauder.co.il</v>
      </c>
      <c r="C14792" t="s">
        <v>456</v>
      </c>
      <c r="D14792" t="s">
        <v>833</v>
      </c>
      <c r="F14792">
        <v>3.0444856093158E-8</v>
      </c>
      <c r="G14792">
        <v>1691121</v>
      </c>
      <c r="H14792">
        <v>14126612</v>
      </c>
      <c r="I14792">
        <v>2097092</v>
      </c>
      <c r="J14792">
        <v>4</v>
      </c>
    </row>
    <row r="14793" spans="1:10" x14ac:dyDescent="0.25">
      <c r="A14793" t="s">
        <v>155</v>
      </c>
      <c r="B14793" s="1" t="str">
        <f>HYPERLINK("http://jomalone.co.il","jomalone.co.il")</f>
        <v>jomalone.co.il</v>
      </c>
      <c r="C14793" t="s">
        <v>456</v>
      </c>
      <c r="D14793" t="s">
        <v>833</v>
      </c>
      <c r="F14793">
        <v>1.9986078248216599E-8</v>
      </c>
      <c r="G14793">
        <v>2661376</v>
      </c>
      <c r="H14793">
        <v>11256565</v>
      </c>
      <c r="I14793">
        <v>30852925</v>
      </c>
      <c r="J14793">
        <v>5</v>
      </c>
    </row>
    <row r="14794" spans="1:10" x14ac:dyDescent="0.25">
      <c r="A14794" t="s">
        <v>155</v>
      </c>
      <c r="B14794" s="1" t="str">
        <f>HYPERLINK("http://maccosmetics.co.il","maccosmetics.co.il")</f>
        <v>maccosmetics.co.il</v>
      </c>
      <c r="C14794" t="s">
        <v>456</v>
      </c>
      <c r="D14794" t="s">
        <v>833</v>
      </c>
      <c r="F14794">
        <v>3.7878547512126697E-8</v>
      </c>
      <c r="G14794">
        <v>1366230</v>
      </c>
      <c r="H14794">
        <v>13767971</v>
      </c>
      <c r="I14794">
        <v>6902895</v>
      </c>
      <c r="J14794">
        <v>5</v>
      </c>
    </row>
    <row r="14795" spans="1:10" x14ac:dyDescent="0.25">
      <c r="A14795" t="s">
        <v>155</v>
      </c>
      <c r="B14795" s="1" t="str">
        <f>HYPERLINK("http://bobbibrown.in","bobbibrown.in")</f>
        <v>bobbibrown.in</v>
      </c>
      <c r="C14795" t="s">
        <v>457</v>
      </c>
      <c r="D14795" t="s">
        <v>834</v>
      </c>
      <c r="F14795">
        <v>2.0329360092266699E-8</v>
      </c>
      <c r="G14795">
        <v>2609719</v>
      </c>
      <c r="H14795">
        <v>13563533</v>
      </c>
      <c r="I14795">
        <v>9842231</v>
      </c>
      <c r="J14795">
        <v>5</v>
      </c>
    </row>
    <row r="14796" spans="1:10" x14ac:dyDescent="0.25">
      <c r="A14796" t="s">
        <v>155</v>
      </c>
      <c r="B14796" s="1" t="str">
        <f>HYPERLINK("http://clinique.in","clinique.in")</f>
        <v>clinique.in</v>
      </c>
      <c r="C14796" t="s">
        <v>457</v>
      </c>
      <c r="D14796" t="s">
        <v>834</v>
      </c>
      <c r="F14796">
        <v>2.01925975901524E-8</v>
      </c>
      <c r="G14796">
        <v>2630130</v>
      </c>
      <c r="H14796">
        <v>13940990</v>
      </c>
      <c r="I14796">
        <v>4356837</v>
      </c>
      <c r="J14796">
        <v>5</v>
      </c>
    </row>
    <row r="14797" spans="1:10" x14ac:dyDescent="0.25">
      <c r="A14797" t="s">
        <v>155</v>
      </c>
      <c r="B14797" s="1" t="str">
        <f>HYPERLINK("http://esteelauder.in","esteelauder.in")</f>
        <v>esteelauder.in</v>
      </c>
      <c r="C14797" t="s">
        <v>457</v>
      </c>
      <c r="D14797" t="s">
        <v>834</v>
      </c>
      <c r="F14797">
        <v>2.72149615166633E-8</v>
      </c>
      <c r="G14797">
        <v>1889206</v>
      </c>
      <c r="H14797">
        <v>12688037</v>
      </c>
      <c r="I14797">
        <v>15433361</v>
      </c>
      <c r="J14797">
        <v>4</v>
      </c>
    </row>
    <row r="14798" spans="1:10" x14ac:dyDescent="0.25">
      <c r="A14798" t="s">
        <v>155</v>
      </c>
      <c r="B14798" s="1" t="str">
        <f>HYPERLINK("http://jomalone.in","jomalone.in")</f>
        <v>jomalone.in</v>
      </c>
      <c r="C14798" t="s">
        <v>457</v>
      </c>
      <c r="D14798" t="s">
        <v>834</v>
      </c>
      <c r="F14798">
        <v>5.0984058132090304E-9</v>
      </c>
      <c r="G14798">
        <v>27110292</v>
      </c>
      <c r="H14798">
        <v>10576707</v>
      </c>
      <c r="I14798">
        <v>45899724</v>
      </c>
      <c r="J14798">
        <v>6</v>
      </c>
    </row>
    <row r="14799" spans="1:10" x14ac:dyDescent="0.25">
      <c r="A14799" t="s">
        <v>155</v>
      </c>
      <c r="B14799" s="1" t="str">
        <f>HYPERLINK("http://maccosmetics.in","maccosmetics.in")</f>
        <v>maccosmetics.in</v>
      </c>
      <c r="C14799" t="s">
        <v>457</v>
      </c>
      <c r="D14799" t="s">
        <v>834</v>
      </c>
      <c r="E14799">
        <v>764132</v>
      </c>
      <c r="F14799">
        <v>4.2255097805087199E-8</v>
      </c>
      <c r="G14799">
        <v>1152160</v>
      </c>
      <c r="H14799">
        <v>13769370</v>
      </c>
      <c r="I14799">
        <v>6794932</v>
      </c>
      <c r="J14799">
        <v>5</v>
      </c>
    </row>
    <row r="14800" spans="1:10" x14ac:dyDescent="0.25">
      <c r="A14800" t="s">
        <v>155</v>
      </c>
      <c r="B14800" s="1" t="str">
        <f>HYPERLINK("http://aveda.it","aveda.it")</f>
        <v>aveda.it</v>
      </c>
      <c r="C14800" t="s">
        <v>459</v>
      </c>
      <c r="D14800" t="s">
        <v>835</v>
      </c>
      <c r="F14800">
        <v>2.2456582824730801E-8</v>
      </c>
      <c r="G14800">
        <v>2333420</v>
      </c>
      <c r="H14800">
        <v>14132296</v>
      </c>
      <c r="I14800">
        <v>2000971</v>
      </c>
      <c r="J14800">
        <v>5</v>
      </c>
    </row>
    <row r="14801" spans="1:10" x14ac:dyDescent="0.25">
      <c r="A14801" t="s">
        <v>155</v>
      </c>
      <c r="B14801" s="1" t="str">
        <f>HYPERLINK("http://bobbibrown.it","bobbibrown.it")</f>
        <v>bobbibrown.it</v>
      </c>
      <c r="C14801" t="s">
        <v>459</v>
      </c>
      <c r="D14801" t="s">
        <v>835</v>
      </c>
      <c r="F14801">
        <v>1.8439807076550801E-8</v>
      </c>
      <c r="G14801">
        <v>2937915</v>
      </c>
      <c r="H14801">
        <v>13005486</v>
      </c>
      <c r="I14801">
        <v>12770372</v>
      </c>
      <c r="J14801">
        <v>5</v>
      </c>
    </row>
    <row r="14802" spans="1:10" x14ac:dyDescent="0.25">
      <c r="A14802" t="s">
        <v>155</v>
      </c>
      <c r="B14802" s="1" t="str">
        <f>HYPERLINK("http://esteelauder.it","esteelauder.it")</f>
        <v>esteelauder.it</v>
      </c>
      <c r="C14802" t="s">
        <v>459</v>
      </c>
      <c r="D14802" t="s">
        <v>835</v>
      </c>
      <c r="F14802">
        <v>3.73241567115592E-8</v>
      </c>
      <c r="G14802">
        <v>1387166</v>
      </c>
      <c r="H14802">
        <v>14139017</v>
      </c>
      <c r="I14802">
        <v>1943242</v>
      </c>
      <c r="J14802">
        <v>4</v>
      </c>
    </row>
    <row r="14803" spans="1:10" x14ac:dyDescent="0.25">
      <c r="A14803" t="s">
        <v>155</v>
      </c>
      <c r="B14803" s="1" t="str">
        <f>HYPERLINK("http://maccosmetics.it","maccosmetics.it")</f>
        <v>maccosmetics.it</v>
      </c>
      <c r="C14803" t="s">
        <v>459</v>
      </c>
      <c r="D14803" t="s">
        <v>835</v>
      </c>
      <c r="E14803">
        <v>807002</v>
      </c>
      <c r="F14803">
        <v>5.9339863359844497E-8</v>
      </c>
      <c r="G14803">
        <v>746341</v>
      </c>
      <c r="H14803">
        <v>14135881</v>
      </c>
      <c r="I14803">
        <v>1966314</v>
      </c>
      <c r="J14803">
        <v>5</v>
      </c>
    </row>
    <row r="14804" spans="1:10" x14ac:dyDescent="0.25">
      <c r="A14804" t="s">
        <v>155</v>
      </c>
      <c r="B14804" s="1" t="str">
        <f>HYPERLINK("http://aveda.jp","aveda.jp")</f>
        <v>aveda.jp</v>
      </c>
      <c r="C14804" t="s">
        <v>461</v>
      </c>
      <c r="D14804" t="s">
        <v>837</v>
      </c>
      <c r="F14804">
        <v>8.7785563576584703E-8</v>
      </c>
      <c r="G14804">
        <v>467089</v>
      </c>
      <c r="H14804">
        <v>14105862</v>
      </c>
      <c r="I14804">
        <v>2689887</v>
      </c>
      <c r="J14804">
        <v>5</v>
      </c>
    </row>
    <row r="14805" spans="1:10" x14ac:dyDescent="0.25">
      <c r="A14805" t="s">
        <v>155</v>
      </c>
      <c r="B14805" s="1" t="str">
        <f>HYPERLINK("http://bobbibrown.jp","bobbibrown.jp")</f>
        <v>bobbibrown.jp</v>
      </c>
      <c r="C14805" t="s">
        <v>461</v>
      </c>
      <c r="D14805" t="s">
        <v>837</v>
      </c>
      <c r="F14805">
        <v>4.2408767260076802E-8</v>
      </c>
      <c r="G14805">
        <v>1144444</v>
      </c>
      <c r="H14805">
        <v>13372179</v>
      </c>
      <c r="I14805">
        <v>10460337</v>
      </c>
      <c r="J14805">
        <v>5</v>
      </c>
    </row>
    <row r="14806" spans="1:10" x14ac:dyDescent="0.25">
      <c r="A14806" t="s">
        <v>155</v>
      </c>
      <c r="B14806" s="1" t="str">
        <f>HYPERLINK("http://clinique.jp","clinique.jp")</f>
        <v>clinique.jp</v>
      </c>
      <c r="C14806" t="s">
        <v>461</v>
      </c>
      <c r="D14806" t="s">
        <v>837</v>
      </c>
      <c r="E14806">
        <v>873206</v>
      </c>
      <c r="F14806">
        <v>6.1396778111127698E-8</v>
      </c>
      <c r="G14806">
        <v>716930</v>
      </c>
      <c r="H14806">
        <v>13851816</v>
      </c>
      <c r="I14806">
        <v>6050695</v>
      </c>
      <c r="J14806">
        <v>5</v>
      </c>
    </row>
    <row r="14807" spans="1:10" x14ac:dyDescent="0.25">
      <c r="A14807" t="s">
        <v>155</v>
      </c>
      <c r="B14807" s="1" t="str">
        <f>HYPERLINK("http://bobbibrown.co.jp","bobbibrown.co.jp")</f>
        <v>bobbibrown.co.jp</v>
      </c>
      <c r="C14807" t="s">
        <v>461</v>
      </c>
      <c r="D14807" t="s">
        <v>837</v>
      </c>
      <c r="F14807">
        <v>1.7330708224226E-8</v>
      </c>
      <c r="G14807">
        <v>3191640</v>
      </c>
      <c r="H14807">
        <v>13787422</v>
      </c>
      <c r="I14807">
        <v>6374359</v>
      </c>
      <c r="J14807">
        <v>6</v>
      </c>
    </row>
    <row r="14808" spans="1:10" x14ac:dyDescent="0.25">
      <c r="A14808" t="s">
        <v>155</v>
      </c>
      <c r="B14808" s="1" t="str">
        <f>HYPERLINK("http://clinique.co.jp","clinique.co.jp")</f>
        <v>clinique.co.jp</v>
      </c>
      <c r="C14808" t="s">
        <v>461</v>
      </c>
      <c r="D14808" t="s">
        <v>837</v>
      </c>
      <c r="F14808">
        <v>1.8068570059645999E-8</v>
      </c>
      <c r="G14808">
        <v>3016563</v>
      </c>
      <c r="H14808">
        <v>14265904</v>
      </c>
      <c r="I14808">
        <v>1407995</v>
      </c>
      <c r="J14808">
        <v>6</v>
      </c>
    </row>
    <row r="14809" spans="1:10" x14ac:dyDescent="0.25">
      <c r="A14809" t="s">
        <v>155</v>
      </c>
      <c r="B14809" s="1" t="str">
        <f>HYPERLINK("http://maccosmetics.co.jp","maccosmetics.co.jp")</f>
        <v>maccosmetics.co.jp</v>
      </c>
      <c r="C14809" t="s">
        <v>461</v>
      </c>
      <c r="D14809" t="s">
        <v>837</v>
      </c>
      <c r="F14809">
        <v>8.8489613730950701E-9</v>
      </c>
      <c r="G14809">
        <v>8226126</v>
      </c>
      <c r="H14809">
        <v>13259706</v>
      </c>
      <c r="I14809">
        <v>11042488</v>
      </c>
      <c r="J14809">
        <v>6</v>
      </c>
    </row>
    <row r="14810" spans="1:10" x14ac:dyDescent="0.25">
      <c r="A14810" t="s">
        <v>155</v>
      </c>
      <c r="B14810" s="1" t="str">
        <f>HYPERLINK("http://esteelauder.jp","esteelauder.jp")</f>
        <v>esteelauder.jp</v>
      </c>
      <c r="C14810" t="s">
        <v>461</v>
      </c>
      <c r="D14810" t="s">
        <v>837</v>
      </c>
      <c r="E14810">
        <v>776968</v>
      </c>
      <c r="F14810">
        <v>7.7187438924004104E-8</v>
      </c>
      <c r="G14810">
        <v>542588</v>
      </c>
      <c r="H14810">
        <v>13514750</v>
      </c>
      <c r="I14810">
        <v>9944871</v>
      </c>
      <c r="J14810">
        <v>4</v>
      </c>
    </row>
    <row r="14811" spans="1:10" x14ac:dyDescent="0.25">
      <c r="A14811" t="s">
        <v>155</v>
      </c>
      <c r="B14811" s="1" t="str">
        <f>HYPERLINK("http://jomalone.jp","jomalone.jp")</f>
        <v>jomalone.jp</v>
      </c>
      <c r="C14811" t="s">
        <v>461</v>
      </c>
      <c r="D14811" t="s">
        <v>837</v>
      </c>
      <c r="F14811">
        <v>8.1245230215966294E-8</v>
      </c>
      <c r="G14811">
        <v>513783</v>
      </c>
      <c r="H14811">
        <v>13916319</v>
      </c>
      <c r="I14811">
        <v>5937690</v>
      </c>
      <c r="J14811">
        <v>5</v>
      </c>
    </row>
    <row r="14812" spans="1:10" x14ac:dyDescent="0.25">
      <c r="A14812" t="s">
        <v>155</v>
      </c>
      <c r="B14812" s="1" t="str">
        <f>HYPERLINK("http://maccosmetics.jp","maccosmetics.jp")</f>
        <v>maccosmetics.jp</v>
      </c>
      <c r="C14812" t="s">
        <v>461</v>
      </c>
      <c r="D14812" t="s">
        <v>837</v>
      </c>
      <c r="E14812">
        <v>821820</v>
      </c>
      <c r="F14812">
        <v>1.00521106424106E-7</v>
      </c>
      <c r="G14812">
        <v>400076</v>
      </c>
      <c r="H14812">
        <v>14148967</v>
      </c>
      <c r="I14812">
        <v>1883351</v>
      </c>
      <c r="J14812">
        <v>5</v>
      </c>
    </row>
    <row r="14813" spans="1:10" x14ac:dyDescent="0.25">
      <c r="A14813" t="s">
        <v>155</v>
      </c>
      <c r="B14813" s="1" t="str">
        <f>HYPERLINK("http://bobbibrown.co.kr","bobbibrown.co.kr")</f>
        <v>bobbibrown.co.kr</v>
      </c>
      <c r="C14813" t="s">
        <v>463</v>
      </c>
      <c r="D14813" t="s">
        <v>839</v>
      </c>
      <c r="F14813">
        <v>2.11917781082895E-8</v>
      </c>
      <c r="G14813">
        <v>2488747</v>
      </c>
      <c r="H14813">
        <v>13025436</v>
      </c>
      <c r="I14813">
        <v>12692719</v>
      </c>
      <c r="J14813">
        <v>5</v>
      </c>
    </row>
    <row r="14814" spans="1:10" x14ac:dyDescent="0.25">
      <c r="A14814" t="s">
        <v>155</v>
      </c>
      <c r="B14814" s="1" t="str">
        <f>HYPERLINK("http://drjart.co.kr","drjart.co.kr")</f>
        <v>drjart.co.kr</v>
      </c>
      <c r="C14814" t="s">
        <v>463</v>
      </c>
      <c r="D14814" t="s">
        <v>839</v>
      </c>
      <c r="F14814">
        <v>9.5317386377707906E-9</v>
      </c>
      <c r="G14814">
        <v>7284983</v>
      </c>
      <c r="H14814">
        <v>13763678</v>
      </c>
      <c r="I14814">
        <v>7829947</v>
      </c>
      <c r="J14814">
        <v>5</v>
      </c>
    </row>
    <row r="14815" spans="1:10" x14ac:dyDescent="0.25">
      <c r="A14815" t="s">
        <v>155</v>
      </c>
      <c r="B14815" s="1" t="str">
        <f>HYPERLINK("http://esteelauder.co.kr","esteelauder.co.kr")</f>
        <v>esteelauder.co.kr</v>
      </c>
      <c r="C14815" t="s">
        <v>463</v>
      </c>
      <c r="D14815" t="s">
        <v>839</v>
      </c>
      <c r="F14815">
        <v>2.8313341338636E-8</v>
      </c>
      <c r="G14815">
        <v>1817501</v>
      </c>
      <c r="H14815">
        <v>13031842</v>
      </c>
      <c r="I14815">
        <v>12663623</v>
      </c>
      <c r="J14815">
        <v>4</v>
      </c>
    </row>
    <row r="14816" spans="1:10" x14ac:dyDescent="0.25">
      <c r="A14816" t="s">
        <v>155</v>
      </c>
      <c r="B14816" s="1" t="str">
        <f>HYPERLINK("http://jomalone.co.kr","jomalone.co.kr")</f>
        <v>jomalone.co.kr</v>
      </c>
      <c r="C14816" t="s">
        <v>463</v>
      </c>
      <c r="D14816" t="s">
        <v>839</v>
      </c>
      <c r="F14816">
        <v>2.62082693555051E-8</v>
      </c>
      <c r="G14816">
        <v>1965384</v>
      </c>
      <c r="H14816">
        <v>13026821</v>
      </c>
      <c r="I14816">
        <v>12685040</v>
      </c>
      <c r="J14816">
        <v>5</v>
      </c>
    </row>
    <row r="14817" spans="1:10" x14ac:dyDescent="0.25">
      <c r="A14817" t="s">
        <v>155</v>
      </c>
      <c r="B14817" s="1" t="str">
        <f>HYPERLINK("http://maccosmetics.co.kr","maccosmetics.co.kr")</f>
        <v>maccosmetics.co.kr</v>
      </c>
      <c r="C14817" t="s">
        <v>463</v>
      </c>
      <c r="D14817" t="s">
        <v>839</v>
      </c>
      <c r="F14817">
        <v>3.9027065765095202E-8</v>
      </c>
      <c r="G14817">
        <v>1321476</v>
      </c>
      <c r="H14817">
        <v>13798395</v>
      </c>
      <c r="I14817">
        <v>6291473</v>
      </c>
      <c r="J14817">
        <v>5</v>
      </c>
    </row>
    <row r="14818" spans="1:10" x14ac:dyDescent="0.25">
      <c r="A14818" t="s">
        <v>155</v>
      </c>
      <c r="B14818" s="1" t="str">
        <f>HYPERLINK("http://origins.co.kr","origins.co.kr")</f>
        <v>origins.co.kr</v>
      </c>
      <c r="C14818" t="s">
        <v>463</v>
      </c>
      <c r="D14818" t="s">
        <v>839</v>
      </c>
      <c r="F14818">
        <v>2.0463965113167499E-8</v>
      </c>
      <c r="G14818">
        <v>2589729</v>
      </c>
      <c r="H14818">
        <v>12415420</v>
      </c>
      <c r="I14818">
        <v>18534998</v>
      </c>
      <c r="J14818">
        <v>5</v>
      </c>
    </row>
    <row r="14819" spans="1:10" x14ac:dyDescent="0.25">
      <c r="A14819" t="s">
        <v>155</v>
      </c>
      <c r="B14819" s="1" t="str">
        <f>HYPERLINK("http://aveda.me","aveda.me")</f>
        <v>aveda.me</v>
      </c>
      <c r="C14819" t="s">
        <v>470</v>
      </c>
      <c r="D14819" t="s">
        <v>846</v>
      </c>
      <c r="F14819">
        <v>8.7618908699976406E-9</v>
      </c>
      <c r="G14819">
        <v>8372593</v>
      </c>
      <c r="H14819">
        <v>12145550</v>
      </c>
      <c r="I14819">
        <v>24734397</v>
      </c>
      <c r="J14819">
        <v>5</v>
      </c>
    </row>
    <row r="14820" spans="1:10" x14ac:dyDescent="0.25">
      <c r="A14820" t="s">
        <v>155</v>
      </c>
      <c r="B14820" s="1" t="str">
        <f>HYPERLINK("http://aveda.com.mx","aveda.com.mx")</f>
        <v>aveda.com.mx</v>
      </c>
      <c r="C14820" t="s">
        <v>471</v>
      </c>
      <c r="D14820" t="s">
        <v>847</v>
      </c>
      <c r="F14820">
        <v>1.03560083733317E-8</v>
      </c>
      <c r="G14820">
        <v>6399189</v>
      </c>
      <c r="H14820">
        <v>12236137</v>
      </c>
      <c r="I14820">
        <v>22349020</v>
      </c>
      <c r="J14820">
        <v>5</v>
      </c>
    </row>
    <row r="14821" spans="1:10" x14ac:dyDescent="0.25">
      <c r="A14821" t="s">
        <v>155</v>
      </c>
      <c r="B14821" s="1" t="str">
        <f>HYPERLINK("http://bobbibrown.com.mx","bobbibrown.com.mx")</f>
        <v>bobbibrown.com.mx</v>
      </c>
      <c r="C14821" t="s">
        <v>471</v>
      </c>
      <c r="D14821" t="s">
        <v>847</v>
      </c>
      <c r="F14821">
        <v>1.9354637004692599E-8</v>
      </c>
      <c r="G14821">
        <v>2770328</v>
      </c>
      <c r="H14821">
        <v>12066965</v>
      </c>
      <c r="I14821">
        <v>26852458</v>
      </c>
      <c r="J14821">
        <v>5</v>
      </c>
    </row>
    <row r="14822" spans="1:10" x14ac:dyDescent="0.25">
      <c r="A14822" t="s">
        <v>155</v>
      </c>
      <c r="B14822" s="1" t="str">
        <f>HYPERLINK("http://clinique.com.mx","clinique.com.mx")</f>
        <v>clinique.com.mx</v>
      </c>
      <c r="C14822" t="s">
        <v>471</v>
      </c>
      <c r="D14822" t="s">
        <v>847</v>
      </c>
      <c r="F14822">
        <v>1.65951124144637E-8</v>
      </c>
      <c r="G14822">
        <v>3390526</v>
      </c>
      <c r="H14822">
        <v>12357201</v>
      </c>
      <c r="I14822">
        <v>19640437</v>
      </c>
      <c r="J14822">
        <v>5</v>
      </c>
    </row>
    <row r="14823" spans="1:10" x14ac:dyDescent="0.25">
      <c r="A14823" t="s">
        <v>155</v>
      </c>
      <c r="B14823" s="1" t="str">
        <f>HYPERLINK("http://esteelauder.com.mx","esteelauder.com.mx")</f>
        <v>esteelauder.com.mx</v>
      </c>
      <c r="C14823" t="s">
        <v>471</v>
      </c>
      <c r="D14823" t="s">
        <v>847</v>
      </c>
      <c r="F14823">
        <v>2.9117721340621601E-8</v>
      </c>
      <c r="G14823">
        <v>1768588</v>
      </c>
      <c r="H14823">
        <v>12513810</v>
      </c>
      <c r="I14823">
        <v>17208661</v>
      </c>
      <c r="J14823">
        <v>4</v>
      </c>
    </row>
    <row r="14824" spans="1:10" x14ac:dyDescent="0.25">
      <c r="A14824" t="s">
        <v>155</v>
      </c>
      <c r="B14824" s="1" t="str">
        <f>HYPERLINK("http://jomalone.com.mx","jomalone.com.mx")</f>
        <v>jomalone.com.mx</v>
      </c>
      <c r="C14824" t="s">
        <v>471</v>
      </c>
      <c r="D14824" t="s">
        <v>847</v>
      </c>
      <c r="F14824">
        <v>2.14922539231775E-8</v>
      </c>
      <c r="G14824">
        <v>2450073</v>
      </c>
      <c r="H14824">
        <v>13559630</v>
      </c>
      <c r="I14824">
        <v>9855047</v>
      </c>
      <c r="J14824">
        <v>5</v>
      </c>
    </row>
    <row r="14825" spans="1:10" x14ac:dyDescent="0.25">
      <c r="A14825" t="s">
        <v>155</v>
      </c>
      <c r="B14825" s="1" t="str">
        <f>HYPERLINK("http://maccosmetics.com.mx","maccosmetics.com.mx")</f>
        <v>maccosmetics.com.mx</v>
      </c>
      <c r="C14825" t="s">
        <v>471</v>
      </c>
      <c r="D14825" t="s">
        <v>847</v>
      </c>
      <c r="F14825">
        <v>4.4679397058744802E-8</v>
      </c>
      <c r="G14825">
        <v>1059449</v>
      </c>
      <c r="H14825">
        <v>13080609</v>
      </c>
      <c r="I14825">
        <v>12186102</v>
      </c>
      <c r="J14825">
        <v>5</v>
      </c>
    </row>
    <row r="14826" spans="1:10" x14ac:dyDescent="0.25">
      <c r="A14826" t="s">
        <v>155</v>
      </c>
      <c r="B14826" s="1" t="str">
        <f>HYPERLINK("http://origins.com.mx","origins.com.mx")</f>
        <v>origins.com.mx</v>
      </c>
      <c r="C14826" t="s">
        <v>471</v>
      </c>
      <c r="D14826" t="s">
        <v>847</v>
      </c>
      <c r="F14826">
        <v>2.14551015650576E-8</v>
      </c>
      <c r="G14826">
        <v>2454619</v>
      </c>
      <c r="H14826">
        <v>11436895</v>
      </c>
      <c r="I14826">
        <v>30140317</v>
      </c>
      <c r="J14826">
        <v>5</v>
      </c>
    </row>
    <row r="14827" spans="1:10" x14ac:dyDescent="0.25">
      <c r="A14827" t="s">
        <v>155</v>
      </c>
      <c r="B14827" s="1" t="str">
        <f>HYPERLINK("http://bobbibrown.com.my","bobbibrown.com.my")</f>
        <v>bobbibrown.com.my</v>
      </c>
      <c r="C14827" t="s">
        <v>472</v>
      </c>
      <c r="D14827" t="s">
        <v>848</v>
      </c>
      <c r="F14827">
        <v>1.8075645467879399E-8</v>
      </c>
      <c r="G14827">
        <v>3014970</v>
      </c>
      <c r="H14827">
        <v>13768613</v>
      </c>
      <c r="I14827">
        <v>6865253</v>
      </c>
      <c r="J14827">
        <v>5</v>
      </c>
    </row>
    <row r="14828" spans="1:10" x14ac:dyDescent="0.25">
      <c r="A14828" t="s">
        <v>155</v>
      </c>
      <c r="B14828" s="1" t="str">
        <f>HYPERLINK("http://clinique.com.my","clinique.com.my")</f>
        <v>clinique.com.my</v>
      </c>
      <c r="C14828" t="s">
        <v>472</v>
      </c>
      <c r="D14828" t="s">
        <v>848</v>
      </c>
      <c r="F14828">
        <v>1.6497612698798299E-8</v>
      </c>
      <c r="G14828">
        <v>3414139</v>
      </c>
      <c r="H14828">
        <v>14202200</v>
      </c>
      <c r="I14828">
        <v>1718835</v>
      </c>
      <c r="J14828">
        <v>5</v>
      </c>
    </row>
    <row r="14829" spans="1:10" x14ac:dyDescent="0.25">
      <c r="A14829" t="s">
        <v>155</v>
      </c>
      <c r="B14829" s="1" t="str">
        <f>HYPERLINK("http://esteelauder.com.my","esteelauder.com.my")</f>
        <v>esteelauder.com.my</v>
      </c>
      <c r="C14829" t="s">
        <v>472</v>
      </c>
      <c r="D14829" t="s">
        <v>848</v>
      </c>
      <c r="F14829">
        <v>4.54406822668001E-8</v>
      </c>
      <c r="G14829">
        <v>1036284</v>
      </c>
      <c r="H14829">
        <v>13775980</v>
      </c>
      <c r="I14829">
        <v>6565399</v>
      </c>
      <c r="J14829">
        <v>4</v>
      </c>
    </row>
    <row r="14830" spans="1:10" x14ac:dyDescent="0.25">
      <c r="A14830" t="s">
        <v>155</v>
      </c>
      <c r="B14830" s="1" t="str">
        <f>HYPERLINK("http://jomalone.com.my","jomalone.com.my")</f>
        <v>jomalone.com.my</v>
      </c>
      <c r="C14830" t="s">
        <v>472</v>
      </c>
      <c r="D14830" t="s">
        <v>848</v>
      </c>
      <c r="F14830">
        <v>2.6305782521476999E-8</v>
      </c>
      <c r="G14830">
        <v>1957550</v>
      </c>
      <c r="H14830">
        <v>12498321</v>
      </c>
      <c r="I14830">
        <v>17377875</v>
      </c>
      <c r="J14830">
        <v>5</v>
      </c>
    </row>
    <row r="14831" spans="1:10" x14ac:dyDescent="0.25">
      <c r="A14831" t="s">
        <v>155</v>
      </c>
      <c r="B14831" s="1" t="str">
        <f>HYPERLINK("http://maccosmetics.com.my","maccosmetics.com.my")</f>
        <v>maccosmetics.com.my</v>
      </c>
      <c r="C14831" t="s">
        <v>472</v>
      </c>
      <c r="D14831" t="s">
        <v>848</v>
      </c>
      <c r="F14831">
        <v>3.5527937729334002E-8</v>
      </c>
      <c r="G14831">
        <v>1465279</v>
      </c>
      <c r="H14831">
        <v>13776270</v>
      </c>
      <c r="I14831">
        <v>6558594</v>
      </c>
      <c r="J14831">
        <v>5</v>
      </c>
    </row>
    <row r="14832" spans="1:10" x14ac:dyDescent="0.25">
      <c r="A14832" t="s">
        <v>155</v>
      </c>
      <c r="B14832" s="1" t="str">
        <f>HYPERLINK("http://origins.my","origins.my")</f>
        <v>origins.my</v>
      </c>
      <c r="C14832" t="s">
        <v>472</v>
      </c>
      <c r="D14832" t="s">
        <v>848</v>
      </c>
      <c r="F14832">
        <v>2.0349456631086601E-8</v>
      </c>
      <c r="G14832">
        <v>2606955</v>
      </c>
      <c r="H14832">
        <v>13767610</v>
      </c>
      <c r="I14832">
        <v>6922743</v>
      </c>
      <c r="J14832">
        <v>5</v>
      </c>
    </row>
    <row r="14833" spans="1:10" x14ac:dyDescent="0.25">
      <c r="A14833" t="s">
        <v>155</v>
      </c>
      <c r="B14833" s="1" t="str">
        <f>HYPERLINK("http://maccosmetics.ni","maccosmetics.ni")</f>
        <v>maccosmetics.ni</v>
      </c>
      <c r="C14833" t="s">
        <v>476</v>
      </c>
      <c r="D14833" t="s">
        <v>851</v>
      </c>
      <c r="F14833">
        <v>3.3059627891740997E-8</v>
      </c>
      <c r="G14833">
        <v>1562803</v>
      </c>
      <c r="H14833">
        <v>12278667</v>
      </c>
      <c r="I14833">
        <v>21334666</v>
      </c>
      <c r="J14833">
        <v>5</v>
      </c>
    </row>
    <row r="14834" spans="1:10" x14ac:dyDescent="0.25">
      <c r="A14834" t="s">
        <v>155</v>
      </c>
      <c r="B14834" s="1" t="str">
        <f>HYPERLINK("http://aveda.nl","aveda.nl")</f>
        <v>aveda.nl</v>
      </c>
      <c r="C14834" t="s">
        <v>477</v>
      </c>
      <c r="D14834" t="s">
        <v>852</v>
      </c>
      <c r="F14834">
        <v>1.06568620677114E-8</v>
      </c>
      <c r="G14834">
        <v>6135747</v>
      </c>
      <c r="H14834">
        <v>12710692</v>
      </c>
      <c r="I14834">
        <v>15297396</v>
      </c>
      <c r="J14834">
        <v>6</v>
      </c>
    </row>
    <row r="14835" spans="1:10" x14ac:dyDescent="0.25">
      <c r="A14835" t="s">
        <v>155</v>
      </c>
      <c r="B14835" s="1" t="str">
        <f>HYPERLINK("http://bobbibrown.nl","bobbibrown.nl")</f>
        <v>bobbibrown.nl</v>
      </c>
      <c r="C14835" t="s">
        <v>477</v>
      </c>
      <c r="D14835" t="s">
        <v>852</v>
      </c>
      <c r="F14835">
        <v>2.5515512273321599E-8</v>
      </c>
      <c r="G14835">
        <v>2021413</v>
      </c>
      <c r="H14835">
        <v>12362664</v>
      </c>
      <c r="I14835">
        <v>19535324</v>
      </c>
      <c r="J14835">
        <v>5</v>
      </c>
    </row>
    <row r="14836" spans="1:10" x14ac:dyDescent="0.25">
      <c r="A14836" t="s">
        <v>155</v>
      </c>
      <c r="B14836" s="1" t="str">
        <f>HYPERLINK("http://clinique.nl","clinique.nl")</f>
        <v>clinique.nl</v>
      </c>
      <c r="C14836" t="s">
        <v>477</v>
      </c>
      <c r="D14836" t="s">
        <v>852</v>
      </c>
      <c r="F14836">
        <v>1.8895184805413501E-8</v>
      </c>
      <c r="G14836">
        <v>2854350</v>
      </c>
      <c r="H14836">
        <v>13770745</v>
      </c>
      <c r="I14836">
        <v>6717794</v>
      </c>
      <c r="J14836">
        <v>5</v>
      </c>
    </row>
    <row r="14837" spans="1:10" x14ac:dyDescent="0.25">
      <c r="A14837" t="s">
        <v>155</v>
      </c>
      <c r="B14837" s="1" t="str">
        <f>HYPERLINK("http://esteelauder.nl","esteelauder.nl")</f>
        <v>esteelauder.nl</v>
      </c>
      <c r="C14837" t="s">
        <v>477</v>
      </c>
      <c r="D14837" t="s">
        <v>852</v>
      </c>
      <c r="F14837">
        <v>2.8744254473245501E-8</v>
      </c>
      <c r="G14837">
        <v>1790525</v>
      </c>
      <c r="H14837">
        <v>14128316</v>
      </c>
      <c r="I14837">
        <v>2064027</v>
      </c>
      <c r="J14837">
        <v>4</v>
      </c>
    </row>
    <row r="14838" spans="1:10" x14ac:dyDescent="0.25">
      <c r="A14838" t="s">
        <v>155</v>
      </c>
      <c r="B14838" s="1" t="str">
        <f>HYPERLINK("http://maccosmetics.nl","maccosmetics.nl")</f>
        <v>maccosmetics.nl</v>
      </c>
      <c r="C14838" t="s">
        <v>477</v>
      </c>
      <c r="D14838" t="s">
        <v>852</v>
      </c>
      <c r="F14838">
        <v>5.3187239565855899E-8</v>
      </c>
      <c r="G14838">
        <v>856004</v>
      </c>
      <c r="H14838">
        <v>14134657</v>
      </c>
      <c r="I14838">
        <v>1976746</v>
      </c>
      <c r="J14838">
        <v>5</v>
      </c>
    </row>
    <row r="14839" spans="1:10" x14ac:dyDescent="0.25">
      <c r="A14839" t="s">
        <v>155</v>
      </c>
      <c r="B14839" s="1" t="str">
        <f>HYPERLINK("http://aveda.no","aveda.no")</f>
        <v>aveda.no</v>
      </c>
      <c r="C14839" t="s">
        <v>478</v>
      </c>
      <c r="D14839" t="s">
        <v>853</v>
      </c>
      <c r="F14839">
        <v>1.03231840511957E-8</v>
      </c>
      <c r="G14839">
        <v>6429374</v>
      </c>
      <c r="H14839">
        <v>12274980</v>
      </c>
      <c r="I14839">
        <v>21415328</v>
      </c>
      <c r="J14839">
        <v>5</v>
      </c>
    </row>
    <row r="14840" spans="1:10" x14ac:dyDescent="0.25">
      <c r="A14840" t="s">
        <v>155</v>
      </c>
      <c r="B14840" s="1" t="str">
        <f>HYPERLINK("http://clinique.no","clinique.no")</f>
        <v>clinique.no</v>
      </c>
      <c r="C14840" t="s">
        <v>478</v>
      </c>
      <c r="D14840" t="s">
        <v>853</v>
      </c>
      <c r="F14840">
        <v>1.32407716667089E-8</v>
      </c>
      <c r="G14840">
        <v>4519963</v>
      </c>
      <c r="H14840">
        <v>12232915</v>
      </c>
      <c r="I14840">
        <v>22425680</v>
      </c>
      <c r="J14840">
        <v>5</v>
      </c>
    </row>
    <row r="14841" spans="1:10" x14ac:dyDescent="0.25">
      <c r="A14841" t="s">
        <v>155</v>
      </c>
      <c r="B14841" s="1" t="str">
        <f>HYPERLINK("http://esteelauder.no","esteelauder.no")</f>
        <v>esteelauder.no</v>
      </c>
      <c r="C14841" t="s">
        <v>478</v>
      </c>
      <c r="D14841" t="s">
        <v>853</v>
      </c>
      <c r="F14841">
        <v>2.3758931609370199E-8</v>
      </c>
      <c r="G14841">
        <v>2187375</v>
      </c>
      <c r="H14841">
        <v>12372967</v>
      </c>
      <c r="I14841">
        <v>19357023</v>
      </c>
      <c r="J14841">
        <v>4</v>
      </c>
    </row>
    <row r="14842" spans="1:10" x14ac:dyDescent="0.25">
      <c r="A14842" t="s">
        <v>155</v>
      </c>
      <c r="B14842" s="1" t="str">
        <f>HYPERLINK("http://clinique.co.nz","clinique.co.nz")</f>
        <v>clinique.co.nz</v>
      </c>
      <c r="C14842" t="s">
        <v>479</v>
      </c>
      <c r="D14842" t="s">
        <v>854</v>
      </c>
      <c r="F14842">
        <v>1.5898306682355501E-8</v>
      </c>
      <c r="G14842">
        <v>3573086</v>
      </c>
      <c r="H14842">
        <v>12309963</v>
      </c>
      <c r="I14842">
        <v>20620010</v>
      </c>
      <c r="J14842">
        <v>5</v>
      </c>
    </row>
    <row r="14843" spans="1:10" x14ac:dyDescent="0.25">
      <c r="A14843" t="s">
        <v>155</v>
      </c>
      <c r="B14843" s="1" t="str">
        <f>HYPERLINK("http://esteelauder.co.nz","esteelauder.co.nz")</f>
        <v>esteelauder.co.nz</v>
      </c>
      <c r="C14843" t="s">
        <v>479</v>
      </c>
      <c r="D14843" t="s">
        <v>854</v>
      </c>
      <c r="F14843">
        <v>2.5011962416724798E-8</v>
      </c>
      <c r="G14843">
        <v>2065939</v>
      </c>
      <c r="H14843">
        <v>12541171</v>
      </c>
      <c r="I14843">
        <v>16934966</v>
      </c>
      <c r="J14843">
        <v>4</v>
      </c>
    </row>
    <row r="14844" spans="1:10" x14ac:dyDescent="0.25">
      <c r="A14844" t="s">
        <v>155</v>
      </c>
      <c r="B14844" s="1" t="str">
        <f>HYPERLINK("http://jomalone.co.nz","jomalone.co.nz")</f>
        <v>jomalone.co.nz</v>
      </c>
      <c r="C14844" t="s">
        <v>479</v>
      </c>
      <c r="D14844" t="s">
        <v>854</v>
      </c>
      <c r="F14844">
        <v>2.03903084716068E-8</v>
      </c>
      <c r="G14844">
        <v>2601044</v>
      </c>
      <c r="H14844">
        <v>11429747</v>
      </c>
      <c r="I14844">
        <v>30154770</v>
      </c>
      <c r="J14844">
        <v>5</v>
      </c>
    </row>
    <row r="14845" spans="1:10" x14ac:dyDescent="0.25">
      <c r="A14845" t="s">
        <v>155</v>
      </c>
      <c r="B14845" s="1" t="str">
        <f>HYPERLINK("http://maccosmetics.co.nz","maccosmetics.co.nz")</f>
        <v>maccosmetics.co.nz</v>
      </c>
      <c r="C14845" t="s">
        <v>479</v>
      </c>
      <c r="D14845" t="s">
        <v>854</v>
      </c>
      <c r="F14845">
        <v>3.6605665368143203E-8</v>
      </c>
      <c r="G14845">
        <v>1426961</v>
      </c>
      <c r="H14845">
        <v>12359849</v>
      </c>
      <c r="I14845">
        <v>19589422</v>
      </c>
      <c r="J14845">
        <v>5</v>
      </c>
    </row>
    <row r="14846" spans="1:10" x14ac:dyDescent="0.25">
      <c r="A14846" t="s">
        <v>155</v>
      </c>
      <c r="B14846" s="1" t="str">
        <f>HYPERLINK("http://clinique.com.pa","clinique.com.pa")</f>
        <v>clinique.com.pa</v>
      </c>
      <c r="C14846" t="s">
        <v>482</v>
      </c>
      <c r="D14846" t="s">
        <v>856</v>
      </c>
      <c r="F14846">
        <v>1.3289156711533499E-8</v>
      </c>
      <c r="G14846">
        <v>4498178</v>
      </c>
      <c r="H14846">
        <v>12233038</v>
      </c>
      <c r="I14846">
        <v>22423332</v>
      </c>
      <c r="J14846">
        <v>5</v>
      </c>
    </row>
    <row r="14847" spans="1:10" x14ac:dyDescent="0.25">
      <c r="A14847" t="s">
        <v>155</v>
      </c>
      <c r="B14847" s="1" t="str">
        <f>HYPERLINK("http://esteelauder.com.pa","esteelauder.com.pa")</f>
        <v>esteelauder.com.pa</v>
      </c>
      <c r="C14847" t="s">
        <v>482</v>
      </c>
      <c r="D14847" t="s">
        <v>856</v>
      </c>
      <c r="F14847">
        <v>2.33533086961642E-8</v>
      </c>
      <c r="G14847">
        <v>2233358</v>
      </c>
      <c r="H14847">
        <v>12278136</v>
      </c>
      <c r="I14847">
        <v>21345458</v>
      </c>
      <c r="J14847">
        <v>4</v>
      </c>
    </row>
    <row r="14848" spans="1:10" x14ac:dyDescent="0.25">
      <c r="A14848" t="s">
        <v>155</v>
      </c>
      <c r="B14848" s="1" t="str">
        <f>HYPERLINK("http://maccosmetics.com.pa","maccosmetics.com.pa")</f>
        <v>maccosmetics.com.pa</v>
      </c>
      <c r="C14848" t="s">
        <v>482</v>
      </c>
      <c r="D14848" t="s">
        <v>856</v>
      </c>
      <c r="F14848">
        <v>3.32458103932857E-8</v>
      </c>
      <c r="G14848">
        <v>1554302</v>
      </c>
      <c r="H14848">
        <v>12278669</v>
      </c>
      <c r="I14848">
        <v>21334632</v>
      </c>
      <c r="J14848">
        <v>5</v>
      </c>
    </row>
    <row r="14849" spans="1:10" x14ac:dyDescent="0.25">
      <c r="A14849" t="s">
        <v>155</v>
      </c>
      <c r="B14849" s="1" t="str">
        <f>HYPERLINK("http://clinique.com.pe","clinique.com.pe")</f>
        <v>clinique.com.pe</v>
      </c>
      <c r="C14849" t="s">
        <v>483</v>
      </c>
      <c r="D14849" t="s">
        <v>857</v>
      </c>
      <c r="F14849">
        <v>1.31297812260945E-8</v>
      </c>
      <c r="G14849">
        <v>4570217</v>
      </c>
      <c r="H14849">
        <v>12229278</v>
      </c>
      <c r="I14849">
        <v>22522325</v>
      </c>
      <c r="J14849">
        <v>5</v>
      </c>
    </row>
    <row r="14850" spans="1:10" x14ac:dyDescent="0.25">
      <c r="A14850" t="s">
        <v>155</v>
      </c>
      <c r="B14850" s="1" t="str">
        <f>HYPERLINK("http://esteelauder.com.pe","esteelauder.com.pe")</f>
        <v>esteelauder.com.pe</v>
      </c>
      <c r="C14850" t="s">
        <v>483</v>
      </c>
      <c r="D14850" t="s">
        <v>857</v>
      </c>
      <c r="F14850">
        <v>2.3699600943411101E-8</v>
      </c>
      <c r="G14850">
        <v>2193552</v>
      </c>
      <c r="H14850">
        <v>12385401</v>
      </c>
      <c r="I14850">
        <v>19117424</v>
      </c>
      <c r="J14850">
        <v>4</v>
      </c>
    </row>
    <row r="14851" spans="1:10" x14ac:dyDescent="0.25">
      <c r="A14851" t="s">
        <v>155</v>
      </c>
      <c r="B14851" s="1" t="str">
        <f>HYPERLINK("http://maccosmetics.com.pe","maccosmetics.com.pe")</f>
        <v>maccosmetics.com.pe</v>
      </c>
      <c r="C14851" t="s">
        <v>483</v>
      </c>
      <c r="D14851" t="s">
        <v>857</v>
      </c>
      <c r="F14851">
        <v>3.3467950798264499E-8</v>
      </c>
      <c r="G14851">
        <v>1544635</v>
      </c>
      <c r="H14851">
        <v>12450183</v>
      </c>
      <c r="I14851">
        <v>17994834</v>
      </c>
      <c r="J14851">
        <v>5</v>
      </c>
    </row>
    <row r="14852" spans="1:10" x14ac:dyDescent="0.25">
      <c r="A14852" t="s">
        <v>155</v>
      </c>
      <c r="B14852" s="1" t="str">
        <f>HYPERLINK("http://bobbibrown.com.ph","bobbibrown.com.ph")</f>
        <v>bobbibrown.com.ph</v>
      </c>
      <c r="C14852" t="s">
        <v>484</v>
      </c>
      <c r="D14852" t="s">
        <v>858</v>
      </c>
      <c r="F14852">
        <v>1.77882965231719E-8</v>
      </c>
      <c r="G14852">
        <v>3077278</v>
      </c>
      <c r="H14852">
        <v>12401250</v>
      </c>
      <c r="I14852">
        <v>18761360</v>
      </c>
      <c r="J14852">
        <v>5</v>
      </c>
    </row>
    <row r="14853" spans="1:10" x14ac:dyDescent="0.25">
      <c r="A14853" t="s">
        <v>155</v>
      </c>
      <c r="B14853" s="1" t="str">
        <f>HYPERLINK("http://clinique.com.ph","clinique.com.ph")</f>
        <v>clinique.com.ph</v>
      </c>
      <c r="C14853" t="s">
        <v>484</v>
      </c>
      <c r="D14853" t="s">
        <v>858</v>
      </c>
      <c r="F14853">
        <v>1.3532257656065701E-8</v>
      </c>
      <c r="G14853">
        <v>4390397</v>
      </c>
      <c r="H14853">
        <v>12277492</v>
      </c>
      <c r="I14853">
        <v>21359636</v>
      </c>
      <c r="J14853">
        <v>5</v>
      </c>
    </row>
    <row r="14854" spans="1:10" x14ac:dyDescent="0.25">
      <c r="A14854" t="s">
        <v>155</v>
      </c>
      <c r="B14854" s="1" t="str">
        <f>HYPERLINK("http://esteelauder.com.ph","esteelauder.com.ph")</f>
        <v>esteelauder.com.ph</v>
      </c>
      <c r="C14854" t="s">
        <v>484</v>
      </c>
      <c r="D14854" t="s">
        <v>858</v>
      </c>
      <c r="F14854">
        <v>2.4293204058938898E-8</v>
      </c>
      <c r="G14854">
        <v>2134443</v>
      </c>
      <c r="H14854">
        <v>12420230</v>
      </c>
      <c r="I14854">
        <v>18450530</v>
      </c>
      <c r="J14854">
        <v>4</v>
      </c>
    </row>
    <row r="14855" spans="1:10" x14ac:dyDescent="0.25">
      <c r="A14855" t="s">
        <v>155</v>
      </c>
      <c r="B14855" s="1" t="str">
        <f>HYPERLINK("http://jomalone.com.ph","jomalone.com.ph")</f>
        <v>jomalone.com.ph</v>
      </c>
      <c r="C14855" t="s">
        <v>484</v>
      </c>
      <c r="D14855" t="s">
        <v>858</v>
      </c>
      <c r="F14855">
        <v>2.03136074080024E-8</v>
      </c>
      <c r="G14855">
        <v>2612173</v>
      </c>
      <c r="H14855">
        <v>13763907</v>
      </c>
      <c r="I14855">
        <v>7503442</v>
      </c>
      <c r="J14855">
        <v>5</v>
      </c>
    </row>
    <row r="14856" spans="1:10" x14ac:dyDescent="0.25">
      <c r="A14856" t="s">
        <v>155</v>
      </c>
      <c r="B14856" s="1" t="str">
        <f>HYPERLINK("http://maccosmetics.com.ph","maccosmetics.com.ph")</f>
        <v>maccosmetics.com.ph</v>
      </c>
      <c r="C14856" t="s">
        <v>484</v>
      </c>
      <c r="D14856" t="s">
        <v>858</v>
      </c>
      <c r="F14856">
        <v>3.45749658531836E-8</v>
      </c>
      <c r="G14856">
        <v>1500582</v>
      </c>
      <c r="H14856">
        <v>12470258</v>
      </c>
      <c r="I14856">
        <v>17745660</v>
      </c>
      <c r="J14856">
        <v>5</v>
      </c>
    </row>
    <row r="14857" spans="1:10" x14ac:dyDescent="0.25">
      <c r="A14857" t="s">
        <v>155</v>
      </c>
      <c r="B14857" s="1" t="str">
        <f>HYPERLINK("http://origins.com.ph","origins.com.ph")</f>
        <v>origins.com.ph</v>
      </c>
      <c r="C14857" t="s">
        <v>484</v>
      </c>
      <c r="D14857" t="s">
        <v>858</v>
      </c>
      <c r="F14857">
        <v>1.99997503133557E-8</v>
      </c>
      <c r="G14857">
        <v>2659294</v>
      </c>
      <c r="H14857">
        <v>11283849</v>
      </c>
      <c r="I14857">
        <v>30689567</v>
      </c>
      <c r="J14857">
        <v>5</v>
      </c>
    </row>
    <row r="14858" spans="1:10" x14ac:dyDescent="0.25">
      <c r="A14858" t="s">
        <v>155</v>
      </c>
      <c r="B14858" s="1" t="str">
        <f>HYPERLINK("http://clinique.com.pl","clinique.com.pl")</f>
        <v>clinique.com.pl</v>
      </c>
      <c r="C14858" t="s">
        <v>486</v>
      </c>
      <c r="D14858" t="s">
        <v>860</v>
      </c>
      <c r="F14858">
        <v>2.53678371982335E-8</v>
      </c>
      <c r="G14858">
        <v>2033890</v>
      </c>
      <c r="H14858">
        <v>13773695</v>
      </c>
      <c r="I14858">
        <v>6624564</v>
      </c>
      <c r="J14858">
        <v>5</v>
      </c>
    </row>
    <row r="14859" spans="1:10" x14ac:dyDescent="0.25">
      <c r="A14859" t="s">
        <v>155</v>
      </c>
      <c r="B14859" s="1" t="str">
        <f>HYPERLINK("http://esteelauder.pl","esteelauder.pl")</f>
        <v>esteelauder.pl</v>
      </c>
      <c r="C14859" t="s">
        <v>486</v>
      </c>
      <c r="D14859" t="s">
        <v>860</v>
      </c>
      <c r="F14859">
        <v>3.4152541953109898E-8</v>
      </c>
      <c r="G14859">
        <v>1517095</v>
      </c>
      <c r="H14859">
        <v>13782205</v>
      </c>
      <c r="I14859">
        <v>6447337</v>
      </c>
      <c r="J14859">
        <v>4</v>
      </c>
    </row>
    <row r="14860" spans="1:10" x14ac:dyDescent="0.25">
      <c r="A14860" t="s">
        <v>155</v>
      </c>
      <c r="B14860" s="1" t="str">
        <f>HYPERLINK("http://maccosmetics.pl","maccosmetics.pl")</f>
        <v>maccosmetics.pl</v>
      </c>
      <c r="C14860" t="s">
        <v>486</v>
      </c>
      <c r="D14860" t="s">
        <v>860</v>
      </c>
      <c r="F14860">
        <v>4.3109027596339998E-8</v>
      </c>
      <c r="G14860">
        <v>1114349</v>
      </c>
      <c r="H14860">
        <v>14124957</v>
      </c>
      <c r="I14860">
        <v>2132225</v>
      </c>
      <c r="J14860">
        <v>5</v>
      </c>
    </row>
    <row r="14861" spans="1:10" x14ac:dyDescent="0.25">
      <c r="A14861" t="s">
        <v>155</v>
      </c>
      <c r="B14861" s="1" t="str">
        <f>HYPERLINK("http://clinique.pt","clinique.pt")</f>
        <v>clinique.pt</v>
      </c>
      <c r="C14861" t="s">
        <v>488</v>
      </c>
      <c r="D14861" t="s">
        <v>862</v>
      </c>
      <c r="F14861">
        <v>1.3761074677983799E-8</v>
      </c>
      <c r="G14861">
        <v>4296721</v>
      </c>
      <c r="H14861">
        <v>13771870</v>
      </c>
      <c r="I14861">
        <v>6678381</v>
      </c>
      <c r="J14861">
        <v>5</v>
      </c>
    </row>
    <row r="14862" spans="1:10" x14ac:dyDescent="0.25">
      <c r="A14862" t="s">
        <v>155</v>
      </c>
      <c r="B14862" s="1" t="str">
        <f>HYPERLINK("http://esteelauder.pt","esteelauder.pt")</f>
        <v>esteelauder.pt</v>
      </c>
      <c r="C14862" t="s">
        <v>488</v>
      </c>
      <c r="D14862" t="s">
        <v>862</v>
      </c>
      <c r="F14862">
        <v>2.4913157656276101E-8</v>
      </c>
      <c r="G14862">
        <v>2075310</v>
      </c>
      <c r="H14862">
        <v>13771761</v>
      </c>
      <c r="I14862">
        <v>6683045</v>
      </c>
      <c r="J14862">
        <v>4</v>
      </c>
    </row>
    <row r="14863" spans="1:10" x14ac:dyDescent="0.25">
      <c r="A14863" t="s">
        <v>155</v>
      </c>
      <c r="B14863" s="1" t="str">
        <f>HYPERLINK("http://maccosmetics.com.py","maccosmetics.com.py")</f>
        <v>maccosmetics.com.py</v>
      </c>
      <c r="C14863" t="s">
        <v>489</v>
      </c>
      <c r="D14863" t="s">
        <v>863</v>
      </c>
      <c r="F14863">
        <v>3.3059627249772397E-8</v>
      </c>
      <c r="G14863">
        <v>1562804</v>
      </c>
      <c r="H14863">
        <v>12278667</v>
      </c>
      <c r="I14863">
        <v>21334667</v>
      </c>
      <c r="J14863">
        <v>5</v>
      </c>
    </row>
    <row r="14864" spans="1:10" x14ac:dyDescent="0.25">
      <c r="A14864" t="s">
        <v>155</v>
      </c>
      <c r="B14864" s="1" t="str">
        <f>HYPERLINK("http://clinique.ro","clinique.ro")</f>
        <v>clinique.ro</v>
      </c>
      <c r="C14864" t="s">
        <v>491</v>
      </c>
      <c r="D14864" t="s">
        <v>865</v>
      </c>
      <c r="F14864">
        <v>1.3714588625237301E-8</v>
      </c>
      <c r="G14864">
        <v>4315370</v>
      </c>
      <c r="H14864">
        <v>13939271</v>
      </c>
      <c r="I14864">
        <v>4398592</v>
      </c>
      <c r="J14864">
        <v>5</v>
      </c>
    </row>
    <row r="14865" spans="1:10" x14ac:dyDescent="0.25">
      <c r="A14865" t="s">
        <v>155</v>
      </c>
      <c r="B14865" s="1" t="str">
        <f>HYPERLINK("http://esteelauder.ro","esteelauder.ro")</f>
        <v>esteelauder.ro</v>
      </c>
      <c r="C14865" t="s">
        <v>491</v>
      </c>
      <c r="D14865" t="s">
        <v>865</v>
      </c>
      <c r="F14865">
        <v>2.4201703538587499E-8</v>
      </c>
      <c r="G14865">
        <v>2143393</v>
      </c>
      <c r="H14865">
        <v>13935923</v>
      </c>
      <c r="I14865">
        <v>4511162</v>
      </c>
      <c r="J14865">
        <v>4</v>
      </c>
    </row>
    <row r="14866" spans="1:10" x14ac:dyDescent="0.25">
      <c r="A14866" t="s">
        <v>155</v>
      </c>
      <c r="B14866" s="1" t="str">
        <f>HYPERLINK("http://maccosmetics.ro","maccosmetics.ro")</f>
        <v>maccosmetics.ro</v>
      </c>
      <c r="C14866" t="s">
        <v>491</v>
      </c>
      <c r="D14866" t="s">
        <v>865</v>
      </c>
      <c r="F14866">
        <v>3.8026826360797698E-8</v>
      </c>
      <c r="G14866">
        <v>1360971</v>
      </c>
      <c r="H14866">
        <v>14475037</v>
      </c>
      <c r="I14866">
        <v>1033605</v>
      </c>
      <c r="J14866">
        <v>5</v>
      </c>
    </row>
    <row r="14867" spans="1:10" x14ac:dyDescent="0.25">
      <c r="A14867" t="s">
        <v>155</v>
      </c>
      <c r="B14867" s="1" t="str">
        <f>HYPERLINK("http://aveda.ru","aveda.ru")</f>
        <v>aveda.ru</v>
      </c>
      <c r="C14867" t="s">
        <v>493</v>
      </c>
      <c r="D14867" t="s">
        <v>867</v>
      </c>
      <c r="F14867">
        <v>1.27073320623167E-8</v>
      </c>
      <c r="G14867">
        <v>4775968</v>
      </c>
      <c r="H14867">
        <v>12347436</v>
      </c>
      <c r="I14867">
        <v>19807266</v>
      </c>
      <c r="J14867">
        <v>5</v>
      </c>
    </row>
    <row r="14868" spans="1:10" x14ac:dyDescent="0.25">
      <c r="A14868" t="s">
        <v>155</v>
      </c>
      <c r="B14868" s="1" t="str">
        <f>HYPERLINK("http://bobbibrown.ru","bobbibrown.ru")</f>
        <v>bobbibrown.ru</v>
      </c>
      <c r="C14868" t="s">
        <v>493</v>
      </c>
      <c r="D14868" t="s">
        <v>867</v>
      </c>
      <c r="F14868">
        <v>3.1082723985064499E-8</v>
      </c>
      <c r="G14868">
        <v>1658317</v>
      </c>
      <c r="H14868">
        <v>13103201</v>
      </c>
      <c r="I14868">
        <v>12084023</v>
      </c>
      <c r="J14868">
        <v>5</v>
      </c>
    </row>
    <row r="14869" spans="1:10" x14ac:dyDescent="0.25">
      <c r="A14869" t="s">
        <v>155</v>
      </c>
      <c r="B14869" s="1" t="str">
        <f>HYPERLINK("http://clinique.ru","clinique.ru")</f>
        <v>clinique.ru</v>
      </c>
      <c r="C14869" t="s">
        <v>493</v>
      </c>
      <c r="D14869" t="s">
        <v>867</v>
      </c>
      <c r="F14869">
        <v>3.2665623845025597E-8</v>
      </c>
      <c r="G14869">
        <v>1581855</v>
      </c>
      <c r="H14869">
        <v>14251306</v>
      </c>
      <c r="I14869">
        <v>1444504</v>
      </c>
      <c r="J14869">
        <v>5</v>
      </c>
    </row>
    <row r="14870" spans="1:10" x14ac:dyDescent="0.25">
      <c r="A14870" t="s">
        <v>155</v>
      </c>
      <c r="B14870" s="1" t="str">
        <f>HYPERLINK("http://esteelauder.ru","esteelauder.ru")</f>
        <v>esteelauder.ru</v>
      </c>
      <c r="C14870" t="s">
        <v>493</v>
      </c>
      <c r="D14870" t="s">
        <v>867</v>
      </c>
      <c r="F14870">
        <v>9.7894606142567706E-8</v>
      </c>
      <c r="G14870">
        <v>412242</v>
      </c>
      <c r="H14870">
        <v>14091893</v>
      </c>
      <c r="I14870">
        <v>2741806</v>
      </c>
      <c r="J14870">
        <v>4</v>
      </c>
    </row>
    <row r="14871" spans="1:10" x14ac:dyDescent="0.25">
      <c r="A14871" t="s">
        <v>155</v>
      </c>
      <c r="B14871" s="1" t="str">
        <f>HYPERLINK("http://jomalone.ru","jomalone.ru")</f>
        <v>jomalone.ru</v>
      </c>
      <c r="C14871" t="s">
        <v>493</v>
      </c>
      <c r="D14871" t="s">
        <v>867</v>
      </c>
      <c r="F14871">
        <v>8.6961951673161504E-8</v>
      </c>
      <c r="G14871">
        <v>472237</v>
      </c>
      <c r="H14871">
        <v>13792292</v>
      </c>
      <c r="I14871">
        <v>6330786</v>
      </c>
      <c r="J14871">
        <v>5</v>
      </c>
    </row>
    <row r="14872" spans="1:10" x14ac:dyDescent="0.25">
      <c r="A14872" t="s">
        <v>155</v>
      </c>
      <c r="B14872" s="1" t="str">
        <f>HYPERLINK("http://origins.ru","origins.ru")</f>
        <v>origins.ru</v>
      </c>
      <c r="C14872" t="s">
        <v>493</v>
      </c>
      <c r="D14872" t="s">
        <v>867</v>
      </c>
      <c r="F14872">
        <v>2.4092122456211198E-8</v>
      </c>
      <c r="G14872">
        <v>2153986</v>
      </c>
      <c r="H14872">
        <v>13072802</v>
      </c>
      <c r="I14872">
        <v>12229743</v>
      </c>
      <c r="J14872">
        <v>5</v>
      </c>
    </row>
    <row r="14873" spans="1:10" x14ac:dyDescent="0.25">
      <c r="A14873" t="s">
        <v>155</v>
      </c>
      <c r="B14873" s="1" t="str">
        <f>HYPERLINK("http://aveda.se","aveda.se")</f>
        <v>aveda.se</v>
      </c>
      <c r="C14873" t="s">
        <v>495</v>
      </c>
      <c r="D14873" t="s">
        <v>869</v>
      </c>
      <c r="F14873">
        <v>9.9991832048615303E-9</v>
      </c>
      <c r="G14873">
        <v>6756637</v>
      </c>
      <c r="H14873">
        <v>12206315</v>
      </c>
      <c r="I14873">
        <v>23123042</v>
      </c>
      <c r="J14873">
        <v>5</v>
      </c>
    </row>
    <row r="14874" spans="1:10" x14ac:dyDescent="0.25">
      <c r="A14874" t="s">
        <v>155</v>
      </c>
      <c r="B14874" s="1" t="str">
        <f>HYPERLINK("http://clinique.se","clinique.se")</f>
        <v>clinique.se</v>
      </c>
      <c r="C14874" t="s">
        <v>495</v>
      </c>
      <c r="D14874" t="s">
        <v>869</v>
      </c>
      <c r="F14874">
        <v>1.6951596957285501E-8</v>
      </c>
      <c r="G14874">
        <v>3295026</v>
      </c>
      <c r="H14874">
        <v>14130251</v>
      </c>
      <c r="I14874">
        <v>2034338</v>
      </c>
      <c r="J14874">
        <v>5</v>
      </c>
    </row>
    <row r="14875" spans="1:10" x14ac:dyDescent="0.25">
      <c r="A14875" t="s">
        <v>155</v>
      </c>
      <c r="B14875" s="1" t="str">
        <f>HYPERLINK("http://esteelauder.se","esteelauder.se")</f>
        <v>esteelauder.se</v>
      </c>
      <c r="C14875" t="s">
        <v>495</v>
      </c>
      <c r="D14875" t="s">
        <v>869</v>
      </c>
      <c r="F14875">
        <v>2.3782916582706299E-8</v>
      </c>
      <c r="G14875">
        <v>2184893</v>
      </c>
      <c r="H14875">
        <v>12284956</v>
      </c>
      <c r="I14875">
        <v>21211988</v>
      </c>
      <c r="J14875">
        <v>4</v>
      </c>
    </row>
    <row r="14876" spans="1:10" x14ac:dyDescent="0.25">
      <c r="A14876" t="s">
        <v>155</v>
      </c>
      <c r="B14876" s="1" t="str">
        <f>HYPERLINK("http://bobbibrown.com.sg","bobbibrown.com.sg")</f>
        <v>bobbibrown.com.sg</v>
      </c>
      <c r="C14876" t="s">
        <v>496</v>
      </c>
      <c r="D14876" t="s">
        <v>870</v>
      </c>
      <c r="F14876">
        <v>1.76043076703486E-8</v>
      </c>
      <c r="G14876">
        <v>3117976</v>
      </c>
      <c r="H14876">
        <v>12306899</v>
      </c>
      <c r="I14876">
        <v>20698460</v>
      </c>
      <c r="J14876">
        <v>5</v>
      </c>
    </row>
    <row r="14877" spans="1:10" x14ac:dyDescent="0.25">
      <c r="A14877" t="s">
        <v>155</v>
      </c>
      <c r="B14877" s="1" t="str">
        <f>HYPERLINK("http://clinique.com.sg","clinique.com.sg")</f>
        <v>clinique.com.sg</v>
      </c>
      <c r="C14877" t="s">
        <v>496</v>
      </c>
      <c r="D14877" t="s">
        <v>870</v>
      </c>
      <c r="F14877">
        <v>1.42392381585968E-8</v>
      </c>
      <c r="G14877">
        <v>4115003</v>
      </c>
      <c r="H14877">
        <v>12648447</v>
      </c>
      <c r="I14877">
        <v>15811662</v>
      </c>
      <c r="J14877">
        <v>5</v>
      </c>
    </row>
    <row r="14878" spans="1:10" x14ac:dyDescent="0.25">
      <c r="A14878" t="s">
        <v>155</v>
      </c>
      <c r="B14878" s="1" t="str">
        <f>HYPERLINK("http://esteelauder.com.sg","esteelauder.com.sg")</f>
        <v>esteelauder.com.sg</v>
      </c>
      <c r="C14878" t="s">
        <v>496</v>
      </c>
      <c r="D14878" t="s">
        <v>870</v>
      </c>
      <c r="F14878">
        <v>3.2506632945823303E-8</v>
      </c>
      <c r="G14878">
        <v>1589503</v>
      </c>
      <c r="H14878">
        <v>12994711</v>
      </c>
      <c r="I14878">
        <v>12826213</v>
      </c>
      <c r="J14878">
        <v>4</v>
      </c>
    </row>
    <row r="14879" spans="1:10" x14ac:dyDescent="0.25">
      <c r="A14879" t="s">
        <v>155</v>
      </c>
      <c r="B14879" s="1" t="str">
        <f>HYPERLINK("http://jomalone.com.sg","jomalone.com.sg")</f>
        <v>jomalone.com.sg</v>
      </c>
      <c r="C14879" t="s">
        <v>496</v>
      </c>
      <c r="D14879" t="s">
        <v>870</v>
      </c>
      <c r="F14879">
        <v>2.77432534635644E-8</v>
      </c>
      <c r="G14879">
        <v>1853505</v>
      </c>
      <c r="H14879">
        <v>14029348</v>
      </c>
      <c r="I14879">
        <v>3969048</v>
      </c>
      <c r="J14879">
        <v>5</v>
      </c>
    </row>
    <row r="14880" spans="1:10" x14ac:dyDescent="0.25">
      <c r="A14880" t="s">
        <v>155</v>
      </c>
      <c r="B14880" s="1" t="str">
        <f>HYPERLINK("http://maccosmetics.com.sg","maccosmetics.com.sg")</f>
        <v>maccosmetics.com.sg</v>
      </c>
      <c r="C14880" t="s">
        <v>496</v>
      </c>
      <c r="D14880" t="s">
        <v>870</v>
      </c>
      <c r="F14880">
        <v>3.59192949574031E-8</v>
      </c>
      <c r="G14880">
        <v>1450412</v>
      </c>
      <c r="H14880">
        <v>13770148</v>
      </c>
      <c r="I14880">
        <v>6742746</v>
      </c>
      <c r="J14880">
        <v>5</v>
      </c>
    </row>
    <row r="14881" spans="1:10" x14ac:dyDescent="0.25">
      <c r="A14881" t="s">
        <v>155</v>
      </c>
      <c r="B14881" s="1" t="str">
        <f>HYPERLINK("http://origins.com.sg","origins.com.sg")</f>
        <v>origins.com.sg</v>
      </c>
      <c r="C14881" t="s">
        <v>496</v>
      </c>
      <c r="D14881" t="s">
        <v>870</v>
      </c>
      <c r="F14881">
        <v>2.1144722309992799E-8</v>
      </c>
      <c r="G14881">
        <v>2494861</v>
      </c>
      <c r="H14881">
        <v>13039746</v>
      </c>
      <c r="I14881">
        <v>12625756</v>
      </c>
      <c r="J14881">
        <v>5</v>
      </c>
    </row>
    <row r="14882" spans="1:10" x14ac:dyDescent="0.25">
      <c r="A14882" t="s">
        <v>155</v>
      </c>
      <c r="B14882" s="1" t="str">
        <f>HYPERLINK("http://esteelauder.com.sv","esteelauder.com.sv")</f>
        <v>esteelauder.com.sv</v>
      </c>
      <c r="C14882" t="s">
        <v>499</v>
      </c>
      <c r="D14882" t="s">
        <v>873</v>
      </c>
      <c r="F14882">
        <v>2.3353308200566499E-8</v>
      </c>
      <c r="G14882">
        <v>2233359</v>
      </c>
      <c r="H14882">
        <v>12278136</v>
      </c>
      <c r="I14882">
        <v>21345459</v>
      </c>
      <c r="J14882">
        <v>4</v>
      </c>
    </row>
    <row r="14883" spans="1:10" x14ac:dyDescent="0.25">
      <c r="A14883" t="s">
        <v>155</v>
      </c>
      <c r="B14883" s="1" t="str">
        <f>HYPERLINK("http://maccosmetics.com.sv","maccosmetics.com.sv")</f>
        <v>maccosmetics.com.sv</v>
      </c>
      <c r="C14883" t="s">
        <v>499</v>
      </c>
      <c r="D14883" t="s">
        <v>873</v>
      </c>
      <c r="F14883">
        <v>3.31106825977144E-8</v>
      </c>
      <c r="G14883">
        <v>1560418</v>
      </c>
      <c r="H14883">
        <v>12278668</v>
      </c>
      <c r="I14883">
        <v>21334648</v>
      </c>
      <c r="J14883">
        <v>5</v>
      </c>
    </row>
    <row r="14884" spans="1:10" x14ac:dyDescent="0.25">
      <c r="A14884" t="s">
        <v>155</v>
      </c>
      <c r="B14884" s="1" t="str">
        <f>HYPERLINK("http://aveda.co.th","aveda.co.th")</f>
        <v>aveda.co.th</v>
      </c>
      <c r="C14884" t="s">
        <v>500</v>
      </c>
      <c r="D14884" t="s">
        <v>874</v>
      </c>
      <c r="F14884">
        <v>1.0820459957562E-8</v>
      </c>
      <c r="G14884">
        <v>6004645</v>
      </c>
      <c r="H14884">
        <v>12598076</v>
      </c>
      <c r="I14884">
        <v>16343320</v>
      </c>
      <c r="J14884">
        <v>5</v>
      </c>
    </row>
    <row r="14885" spans="1:10" x14ac:dyDescent="0.25">
      <c r="A14885" t="s">
        <v>155</v>
      </c>
      <c r="B14885" s="1" t="str">
        <f>HYPERLINK("http://bobbibrown.co.th","bobbibrown.co.th")</f>
        <v>bobbibrown.co.th</v>
      </c>
      <c r="C14885" t="s">
        <v>500</v>
      </c>
      <c r="D14885" t="s">
        <v>874</v>
      </c>
      <c r="F14885">
        <v>1.93182819989597E-8</v>
      </c>
      <c r="G14885">
        <v>2779174</v>
      </c>
      <c r="H14885">
        <v>12619778</v>
      </c>
      <c r="I14885">
        <v>16094021</v>
      </c>
      <c r="J14885">
        <v>5</v>
      </c>
    </row>
    <row r="14886" spans="1:10" x14ac:dyDescent="0.25">
      <c r="A14886" t="s">
        <v>155</v>
      </c>
      <c r="B14886" s="1" t="str">
        <f>HYPERLINK("http://clinique.co.th","clinique.co.th")</f>
        <v>clinique.co.th</v>
      </c>
      <c r="C14886" t="s">
        <v>500</v>
      </c>
      <c r="D14886" t="s">
        <v>874</v>
      </c>
      <c r="F14886">
        <v>2.2643293729245701E-8</v>
      </c>
      <c r="G14886">
        <v>2312826</v>
      </c>
      <c r="H14886">
        <v>12739814</v>
      </c>
      <c r="I14886">
        <v>15136961</v>
      </c>
      <c r="J14886">
        <v>5</v>
      </c>
    </row>
    <row r="14887" spans="1:10" x14ac:dyDescent="0.25">
      <c r="A14887" t="s">
        <v>155</v>
      </c>
      <c r="B14887" s="1" t="str">
        <f>HYPERLINK("http://esteelauder.co.th","esteelauder.co.th")</f>
        <v>esteelauder.co.th</v>
      </c>
      <c r="C14887" t="s">
        <v>500</v>
      </c>
      <c r="D14887" t="s">
        <v>874</v>
      </c>
      <c r="F14887">
        <v>3.5443955278841901E-8</v>
      </c>
      <c r="G14887">
        <v>1468213</v>
      </c>
      <c r="H14887">
        <v>13165957</v>
      </c>
      <c r="I14887">
        <v>11740318</v>
      </c>
      <c r="J14887">
        <v>4</v>
      </c>
    </row>
    <row r="14888" spans="1:10" x14ac:dyDescent="0.25">
      <c r="A14888" t="s">
        <v>155</v>
      </c>
      <c r="B14888" s="1" t="str">
        <f>HYPERLINK("http://jomalone.co.th","jomalone.co.th")</f>
        <v>jomalone.co.th</v>
      </c>
      <c r="C14888" t="s">
        <v>500</v>
      </c>
      <c r="D14888" t="s">
        <v>874</v>
      </c>
      <c r="F14888">
        <v>2.13033015713764E-8</v>
      </c>
      <c r="G14888">
        <v>2473763</v>
      </c>
      <c r="H14888">
        <v>12575469</v>
      </c>
      <c r="I14888">
        <v>16560735</v>
      </c>
      <c r="J14888">
        <v>5</v>
      </c>
    </row>
    <row r="14889" spans="1:10" x14ac:dyDescent="0.25">
      <c r="A14889" t="s">
        <v>155</v>
      </c>
      <c r="B14889" s="1" t="str">
        <f>HYPERLINK("http://maccosmetics.co.th","maccosmetics.co.th")</f>
        <v>maccosmetics.co.th</v>
      </c>
      <c r="C14889" t="s">
        <v>500</v>
      </c>
      <c r="D14889" t="s">
        <v>874</v>
      </c>
      <c r="F14889">
        <v>3.7440312826848102E-8</v>
      </c>
      <c r="G14889">
        <v>1382539</v>
      </c>
      <c r="H14889">
        <v>13772707</v>
      </c>
      <c r="I14889">
        <v>6651241</v>
      </c>
      <c r="J14889">
        <v>5</v>
      </c>
    </row>
    <row r="14890" spans="1:10" x14ac:dyDescent="0.25">
      <c r="A14890" t="s">
        <v>155</v>
      </c>
      <c r="B14890" s="1" t="str">
        <f>HYPERLINK("http://origins.co.th","origins.co.th")</f>
        <v>origins.co.th</v>
      </c>
      <c r="C14890" t="s">
        <v>500</v>
      </c>
      <c r="D14890" t="s">
        <v>874</v>
      </c>
      <c r="F14890">
        <v>2.27746091994763E-8</v>
      </c>
      <c r="G14890">
        <v>2298635</v>
      </c>
      <c r="H14890">
        <v>12709695</v>
      </c>
      <c r="I14890">
        <v>15303266</v>
      </c>
      <c r="J14890">
        <v>5</v>
      </c>
    </row>
    <row r="14891" spans="1:10" x14ac:dyDescent="0.25">
      <c r="A14891" t="s">
        <v>155</v>
      </c>
      <c r="B14891" s="1" t="str">
        <f>HYPERLINK("http://aveda.com.tr","aveda.com.tr")</f>
        <v>aveda.com.tr</v>
      </c>
      <c r="C14891" t="s">
        <v>502</v>
      </c>
      <c r="D14891" t="s">
        <v>876</v>
      </c>
      <c r="F14891">
        <v>1.3809654451755099E-8</v>
      </c>
      <c r="G14891">
        <v>4277444</v>
      </c>
      <c r="H14891">
        <v>12404922</v>
      </c>
      <c r="I14891">
        <v>18689982</v>
      </c>
      <c r="J14891">
        <v>5</v>
      </c>
    </row>
    <row r="14892" spans="1:10" x14ac:dyDescent="0.25">
      <c r="A14892" t="s">
        <v>155</v>
      </c>
      <c r="B14892" s="1" t="str">
        <f>HYPERLINK("http://bobbibrown.com.tr","bobbibrown.com.tr")</f>
        <v>bobbibrown.com.tr</v>
      </c>
      <c r="C14892" t="s">
        <v>502</v>
      </c>
      <c r="D14892" t="s">
        <v>876</v>
      </c>
      <c r="F14892">
        <v>2.3536604293882499E-8</v>
      </c>
      <c r="G14892">
        <v>2210717</v>
      </c>
      <c r="H14892">
        <v>13765236</v>
      </c>
      <c r="I14892">
        <v>7126281</v>
      </c>
      <c r="J14892">
        <v>5</v>
      </c>
    </row>
    <row r="14893" spans="1:10" x14ac:dyDescent="0.25">
      <c r="A14893" t="s">
        <v>155</v>
      </c>
      <c r="B14893" s="1" t="str">
        <f>HYPERLINK("http://clinique.com.tr","clinique.com.tr")</f>
        <v>clinique.com.tr</v>
      </c>
      <c r="C14893" t="s">
        <v>502</v>
      </c>
      <c r="D14893" t="s">
        <v>876</v>
      </c>
      <c r="F14893">
        <v>4.9490275144065998E-8</v>
      </c>
      <c r="G14893">
        <v>934875</v>
      </c>
      <c r="H14893">
        <v>13769494</v>
      </c>
      <c r="I14893">
        <v>6784672</v>
      </c>
      <c r="J14893">
        <v>5</v>
      </c>
    </row>
    <row r="14894" spans="1:10" x14ac:dyDescent="0.25">
      <c r="A14894" t="s">
        <v>155</v>
      </c>
      <c r="B14894" s="1" t="str">
        <f>HYPERLINK("http://esteelauder.com.tr","esteelauder.com.tr")</f>
        <v>esteelauder.com.tr</v>
      </c>
      <c r="C14894" t="s">
        <v>502</v>
      </c>
      <c r="D14894" t="s">
        <v>876</v>
      </c>
      <c r="F14894">
        <v>4.7672576257220801E-8</v>
      </c>
      <c r="G14894">
        <v>976548</v>
      </c>
      <c r="H14894">
        <v>14337143</v>
      </c>
      <c r="I14894">
        <v>1318537</v>
      </c>
      <c r="J14894">
        <v>3</v>
      </c>
    </row>
    <row r="14895" spans="1:10" x14ac:dyDescent="0.25">
      <c r="A14895" t="s">
        <v>155</v>
      </c>
      <c r="B14895" s="1" t="str">
        <f>HYPERLINK("http://jomalone.com.tr","jomalone.com.tr")</f>
        <v>jomalone.com.tr</v>
      </c>
      <c r="C14895" t="s">
        <v>502</v>
      </c>
      <c r="D14895" t="s">
        <v>876</v>
      </c>
      <c r="F14895">
        <v>2.2978765815486298E-8</v>
      </c>
      <c r="G14895">
        <v>2274168</v>
      </c>
      <c r="H14895">
        <v>12383359</v>
      </c>
      <c r="I14895">
        <v>19148591</v>
      </c>
      <c r="J14895">
        <v>5</v>
      </c>
    </row>
    <row r="14896" spans="1:10" x14ac:dyDescent="0.25">
      <c r="A14896" t="s">
        <v>155</v>
      </c>
      <c r="B14896" s="1" t="str">
        <f>HYPERLINK("http://maccosmetics.com.tr","maccosmetics.com.tr")</f>
        <v>maccosmetics.com.tr</v>
      </c>
      <c r="C14896" t="s">
        <v>502</v>
      </c>
      <c r="D14896" t="s">
        <v>876</v>
      </c>
      <c r="F14896">
        <v>7.4315649892500299E-8</v>
      </c>
      <c r="G14896">
        <v>566347</v>
      </c>
      <c r="H14896">
        <v>13768262</v>
      </c>
      <c r="I14896">
        <v>6885558</v>
      </c>
      <c r="J14896">
        <v>5</v>
      </c>
    </row>
    <row r="14897" spans="1:10" x14ac:dyDescent="0.25">
      <c r="A14897" t="s">
        <v>155</v>
      </c>
      <c r="B14897" s="1" t="str">
        <f>HYPERLINK("http://origins.com.tr","origins.com.tr")</f>
        <v>origins.com.tr</v>
      </c>
      <c r="C14897" t="s">
        <v>502</v>
      </c>
      <c r="D14897" t="s">
        <v>876</v>
      </c>
      <c r="F14897">
        <v>2.36947112424296E-8</v>
      </c>
      <c r="G14897">
        <v>2194041</v>
      </c>
      <c r="H14897">
        <v>12441181</v>
      </c>
      <c r="I14897">
        <v>18130255</v>
      </c>
      <c r="J14897">
        <v>5</v>
      </c>
    </row>
    <row r="14898" spans="1:10" x14ac:dyDescent="0.25">
      <c r="A14898" t="s">
        <v>155</v>
      </c>
      <c r="B14898" s="1" t="str">
        <f>HYPERLINK("http://bobbibrown.com.tw","bobbibrown.com.tw")</f>
        <v>bobbibrown.com.tw</v>
      </c>
      <c r="C14898" t="s">
        <v>504</v>
      </c>
      <c r="D14898" t="s">
        <v>878</v>
      </c>
      <c r="F14898">
        <v>2.2928601371417699E-8</v>
      </c>
      <c r="G14898">
        <v>2279675</v>
      </c>
      <c r="H14898">
        <v>12632486</v>
      </c>
      <c r="I14898">
        <v>15962947</v>
      </c>
      <c r="J14898">
        <v>5</v>
      </c>
    </row>
    <row r="14899" spans="1:10" x14ac:dyDescent="0.25">
      <c r="A14899" t="s">
        <v>155</v>
      </c>
      <c r="B14899" s="1" t="str">
        <f>HYPERLINK("http://clinique.com.tw","clinique.com.tw")</f>
        <v>clinique.com.tw</v>
      </c>
      <c r="C14899" t="s">
        <v>504</v>
      </c>
      <c r="D14899" t="s">
        <v>878</v>
      </c>
      <c r="F14899">
        <v>2.5414405920216999E-8</v>
      </c>
      <c r="G14899">
        <v>2029936</v>
      </c>
      <c r="H14899">
        <v>14098255</v>
      </c>
      <c r="I14899">
        <v>2718236</v>
      </c>
      <c r="J14899">
        <v>5</v>
      </c>
    </row>
    <row r="14900" spans="1:10" x14ac:dyDescent="0.25">
      <c r="A14900" t="s">
        <v>155</v>
      </c>
      <c r="B14900" s="1" t="str">
        <f>HYPERLINK("http://esteelauder.com.tw","esteelauder.com.tw")</f>
        <v>esteelauder.com.tw</v>
      </c>
      <c r="C14900" t="s">
        <v>504</v>
      </c>
      <c r="D14900" t="s">
        <v>878</v>
      </c>
      <c r="F14900">
        <v>4.3635459151493402E-8</v>
      </c>
      <c r="G14900">
        <v>1094467</v>
      </c>
      <c r="H14900">
        <v>13618254</v>
      </c>
      <c r="I14900">
        <v>9627779</v>
      </c>
      <c r="J14900">
        <v>4</v>
      </c>
    </row>
    <row r="14901" spans="1:10" x14ac:dyDescent="0.25">
      <c r="A14901" t="s">
        <v>155</v>
      </c>
      <c r="B14901" s="1" t="str">
        <f>HYPERLINK("http://jomalone.com.tw","jomalone.com.tw")</f>
        <v>jomalone.com.tw</v>
      </c>
      <c r="C14901" t="s">
        <v>504</v>
      </c>
      <c r="D14901" t="s">
        <v>878</v>
      </c>
      <c r="F14901">
        <v>3.1012553248423998E-8</v>
      </c>
      <c r="G14901">
        <v>1661724</v>
      </c>
      <c r="H14901">
        <v>13656128</v>
      </c>
      <c r="I14901">
        <v>9603318</v>
      </c>
      <c r="J14901">
        <v>5</v>
      </c>
    </row>
    <row r="14902" spans="1:10" x14ac:dyDescent="0.25">
      <c r="A14902" t="s">
        <v>155</v>
      </c>
      <c r="B14902" s="1" t="str">
        <f>HYPERLINK("http://maccosmetics.com.tw","maccosmetics.com.tw")</f>
        <v>maccosmetics.com.tw</v>
      </c>
      <c r="C14902" t="s">
        <v>504</v>
      </c>
      <c r="D14902" t="s">
        <v>878</v>
      </c>
      <c r="F14902">
        <v>4.9001662161347702E-8</v>
      </c>
      <c r="G14902">
        <v>945255</v>
      </c>
      <c r="H14902">
        <v>13655291</v>
      </c>
      <c r="I14902">
        <v>9603771</v>
      </c>
      <c r="J14902">
        <v>5</v>
      </c>
    </row>
    <row r="14903" spans="1:10" x14ac:dyDescent="0.25">
      <c r="A14903" t="s">
        <v>155</v>
      </c>
      <c r="B14903" s="1" t="str">
        <f>HYPERLINK("http://origins.com.tw","origins.com.tw")</f>
        <v>origins.com.tw</v>
      </c>
      <c r="C14903" t="s">
        <v>504</v>
      </c>
      <c r="D14903" t="s">
        <v>878</v>
      </c>
      <c r="F14903">
        <v>2.75086422302897E-8</v>
      </c>
      <c r="G14903">
        <v>1868904</v>
      </c>
      <c r="H14903">
        <v>12718023</v>
      </c>
      <c r="I14903">
        <v>15261277</v>
      </c>
      <c r="J14903">
        <v>5</v>
      </c>
    </row>
    <row r="14904" spans="1:10" x14ac:dyDescent="0.25">
      <c r="A14904" t="s">
        <v>155</v>
      </c>
      <c r="B14904" s="1" t="str">
        <f>HYPERLINK("http://aveda.co.uk","aveda.co.uk")</f>
        <v>aveda.co.uk</v>
      </c>
      <c r="C14904" t="s">
        <v>506</v>
      </c>
      <c r="D14904" t="s">
        <v>880</v>
      </c>
      <c r="E14904">
        <v>330662</v>
      </c>
      <c r="F14904">
        <v>8.5661945771113095E-8</v>
      </c>
      <c r="G14904">
        <v>480858</v>
      </c>
      <c r="H14904">
        <v>14657655</v>
      </c>
      <c r="I14904">
        <v>622014</v>
      </c>
      <c r="J14904">
        <v>5</v>
      </c>
    </row>
    <row r="14905" spans="1:10" x14ac:dyDescent="0.25">
      <c r="A14905" t="s">
        <v>155</v>
      </c>
      <c r="B14905" s="1" t="str">
        <f>HYPERLINK("http://bobbibrown.co.uk","bobbibrown.co.uk")</f>
        <v>bobbibrown.co.uk</v>
      </c>
      <c r="C14905" t="s">
        <v>506</v>
      </c>
      <c r="D14905" t="s">
        <v>880</v>
      </c>
      <c r="E14905">
        <v>159107</v>
      </c>
      <c r="F14905">
        <v>1.3102748673594499E-7</v>
      </c>
      <c r="G14905">
        <v>298539</v>
      </c>
      <c r="H14905">
        <v>15021287</v>
      </c>
      <c r="I14905">
        <v>420699</v>
      </c>
      <c r="J14905">
        <v>5</v>
      </c>
    </row>
    <row r="14906" spans="1:10" x14ac:dyDescent="0.25">
      <c r="A14906" t="s">
        <v>155</v>
      </c>
      <c r="B14906" s="1" t="str">
        <f>HYPERLINK("http://bumbleandbumble.co.uk","bumbleandbumble.co.uk")</f>
        <v>bumbleandbumble.co.uk</v>
      </c>
      <c r="C14906" t="s">
        <v>506</v>
      </c>
      <c r="D14906" t="s">
        <v>880</v>
      </c>
      <c r="E14906">
        <v>903767</v>
      </c>
      <c r="F14906">
        <v>4.2942223891605697E-8</v>
      </c>
      <c r="G14906">
        <v>1121013</v>
      </c>
      <c r="H14906">
        <v>14163928</v>
      </c>
      <c r="I14906">
        <v>1828407</v>
      </c>
      <c r="J14906">
        <v>5</v>
      </c>
    </row>
    <row r="14907" spans="1:10" x14ac:dyDescent="0.25">
      <c r="A14907" t="s">
        <v>155</v>
      </c>
      <c r="B14907" s="1" t="str">
        <f>HYPERLINK("http://clinique.co.uk","clinique.co.uk")</f>
        <v>clinique.co.uk</v>
      </c>
      <c r="C14907" t="s">
        <v>506</v>
      </c>
      <c r="D14907" t="s">
        <v>880</v>
      </c>
      <c r="E14907">
        <v>181871</v>
      </c>
      <c r="F14907">
        <v>1.06129662964055E-7</v>
      </c>
      <c r="G14907">
        <v>377297</v>
      </c>
      <c r="H14907">
        <v>14729493</v>
      </c>
      <c r="I14907">
        <v>572838</v>
      </c>
      <c r="J14907">
        <v>5</v>
      </c>
    </row>
    <row r="14908" spans="1:10" x14ac:dyDescent="0.25">
      <c r="A14908" t="s">
        <v>155</v>
      </c>
      <c r="B14908" s="1" t="str">
        <f>HYPERLINK("http://drjart.co.uk","drjart.co.uk")</f>
        <v>drjart.co.uk</v>
      </c>
      <c r="C14908" t="s">
        <v>506</v>
      </c>
      <c r="D14908" t="s">
        <v>880</v>
      </c>
      <c r="F14908">
        <v>3.5186148976616497E-8</v>
      </c>
      <c r="G14908">
        <v>1477513</v>
      </c>
      <c r="H14908">
        <v>13715541</v>
      </c>
      <c r="I14908">
        <v>9501713</v>
      </c>
      <c r="J14908">
        <v>5</v>
      </c>
    </row>
    <row r="14909" spans="1:10" x14ac:dyDescent="0.25">
      <c r="A14909" t="s">
        <v>155</v>
      </c>
      <c r="B14909" s="1" t="str">
        <f>HYPERLINK("http://elcompanies.co.uk","elcompanies.co.uk")</f>
        <v>elcompanies.co.uk</v>
      </c>
      <c r="C14909" t="s">
        <v>506</v>
      </c>
      <c r="D14909" t="s">
        <v>880</v>
      </c>
      <c r="F14909">
        <v>2.16450633627597E-8</v>
      </c>
      <c r="G14909">
        <v>2430846</v>
      </c>
      <c r="H14909">
        <v>13625653</v>
      </c>
      <c r="I14909">
        <v>9621465</v>
      </c>
      <c r="J14909">
        <v>6</v>
      </c>
    </row>
    <row r="14910" spans="1:10" x14ac:dyDescent="0.25">
      <c r="A14910" t="s">
        <v>155</v>
      </c>
      <c r="B14910" s="1" t="str">
        <f>HYPERLINK("http://estee-lauder.co.uk","estee-lauder.co.uk")</f>
        <v>estee-lauder.co.uk</v>
      </c>
      <c r="C14910" t="s">
        <v>506</v>
      </c>
      <c r="D14910" t="s">
        <v>880</v>
      </c>
      <c r="F14910">
        <v>5.9907371715733198E-9</v>
      </c>
      <c r="G14910">
        <v>16743154</v>
      </c>
      <c r="H14910">
        <v>12559763</v>
      </c>
      <c r="I14910">
        <v>16716786</v>
      </c>
      <c r="J14910">
        <v>7</v>
      </c>
    </row>
    <row r="14911" spans="1:10" x14ac:dyDescent="0.25">
      <c r="A14911" t="s">
        <v>155</v>
      </c>
      <c r="B14911" s="1" t="str">
        <f>HYPERLINK("http://esteelauder.co.uk","esteelauder.co.uk")</f>
        <v>esteelauder.co.uk</v>
      </c>
      <c r="C14911" t="s">
        <v>506</v>
      </c>
      <c r="D14911" t="s">
        <v>880</v>
      </c>
      <c r="E14911">
        <v>217978</v>
      </c>
      <c r="F14911">
        <v>1.3647956556290501E-7</v>
      </c>
      <c r="G14911">
        <v>285656</v>
      </c>
      <c r="H14911">
        <v>14832168</v>
      </c>
      <c r="I14911">
        <v>504325</v>
      </c>
      <c r="J14911">
        <v>4</v>
      </c>
    </row>
    <row r="14912" spans="1:10" x14ac:dyDescent="0.25">
      <c r="A14912" t="s">
        <v>155</v>
      </c>
      <c r="B14912" s="1" t="str">
        <f>HYPERLINK("http://jomalone.co.uk","jomalone.co.uk")</f>
        <v>jomalone.co.uk</v>
      </c>
      <c r="C14912" t="s">
        <v>506</v>
      </c>
      <c r="D14912" t="s">
        <v>880</v>
      </c>
      <c r="E14912">
        <v>136393</v>
      </c>
      <c r="F14912">
        <v>1.6763740775665599E-7</v>
      </c>
      <c r="G14912">
        <v>231459</v>
      </c>
      <c r="H14912">
        <v>14832245</v>
      </c>
      <c r="I14912">
        <v>504254</v>
      </c>
      <c r="J14912">
        <v>5</v>
      </c>
    </row>
    <row r="14913" spans="1:10" x14ac:dyDescent="0.25">
      <c r="A14913" t="s">
        <v>155</v>
      </c>
      <c r="B14913" s="1" t="str">
        <f>HYPERLINK("http://maccosmetics.co.uk","maccosmetics.co.uk")</f>
        <v>maccosmetics.co.uk</v>
      </c>
      <c r="C14913" t="s">
        <v>506</v>
      </c>
      <c r="D14913" t="s">
        <v>880</v>
      </c>
      <c r="E14913">
        <v>118173</v>
      </c>
      <c r="F14913">
        <v>3.9599540741749302E-7</v>
      </c>
      <c r="G14913">
        <v>94779</v>
      </c>
      <c r="H14913">
        <v>14799980</v>
      </c>
      <c r="I14913">
        <v>548329</v>
      </c>
      <c r="J14913">
        <v>4</v>
      </c>
    </row>
    <row r="14914" spans="1:10" x14ac:dyDescent="0.25">
      <c r="A14914" t="s">
        <v>155</v>
      </c>
      <c r="B14914" s="1" t="str">
        <f>HYPERLINK("http://origins.co.uk","origins.co.uk")</f>
        <v>origins.co.uk</v>
      </c>
      <c r="C14914" t="s">
        <v>506</v>
      </c>
      <c r="D14914" t="s">
        <v>880</v>
      </c>
      <c r="E14914">
        <v>472910</v>
      </c>
      <c r="F14914">
        <v>8.2455004664344306E-8</v>
      </c>
      <c r="G14914">
        <v>505982</v>
      </c>
      <c r="H14914">
        <v>14289572</v>
      </c>
      <c r="I14914">
        <v>1367167</v>
      </c>
      <c r="J14914">
        <v>5</v>
      </c>
    </row>
    <row r="14915" spans="1:10" x14ac:dyDescent="0.25">
      <c r="A14915" t="s">
        <v>155</v>
      </c>
      <c r="B14915" s="1" t="str">
        <f>HYPERLINK("http://maccosmetics.uy","maccosmetics.uy")</f>
        <v>maccosmetics.uy</v>
      </c>
      <c r="C14915" t="s">
        <v>507</v>
      </c>
      <c r="D14915" t="s">
        <v>881</v>
      </c>
      <c r="F14915">
        <v>3.3061012432478702E-8</v>
      </c>
      <c r="G14915">
        <v>1562742</v>
      </c>
      <c r="H14915">
        <v>12353886</v>
      </c>
      <c r="I14915">
        <v>19700193</v>
      </c>
      <c r="J14915">
        <v>5</v>
      </c>
    </row>
    <row r="14916" spans="1:10" x14ac:dyDescent="0.25">
      <c r="A14916" t="s">
        <v>155</v>
      </c>
      <c r="B14916" s="1" t="str">
        <f>HYPERLINK("http://clinique.com.ve","clinique.com.ve")</f>
        <v>clinique.com.ve</v>
      </c>
      <c r="C14916" t="s">
        <v>508</v>
      </c>
      <c r="D14916" t="s">
        <v>882</v>
      </c>
      <c r="F14916">
        <v>1.3102875881890901E-8</v>
      </c>
      <c r="G14916">
        <v>4582676</v>
      </c>
      <c r="H14916">
        <v>12229270</v>
      </c>
      <c r="I14916">
        <v>22522642</v>
      </c>
      <c r="J14916">
        <v>5</v>
      </c>
    </row>
    <row r="14917" spans="1:10" x14ac:dyDescent="0.25">
      <c r="A14917" t="s">
        <v>155</v>
      </c>
      <c r="B14917" s="1" t="str">
        <f>HYPERLINK("http://esteelauder.com.ve","esteelauder.com.ve")</f>
        <v>esteelauder.com.ve</v>
      </c>
      <c r="C14917" t="s">
        <v>508</v>
      </c>
      <c r="D14917" t="s">
        <v>882</v>
      </c>
      <c r="F14917">
        <v>2.3621256696807699E-8</v>
      </c>
      <c r="G14917">
        <v>2201660</v>
      </c>
      <c r="H14917">
        <v>12278137</v>
      </c>
      <c r="I14917">
        <v>21345440</v>
      </c>
      <c r="J14917">
        <v>4</v>
      </c>
    </row>
    <row r="14918" spans="1:10" x14ac:dyDescent="0.25">
      <c r="A14918" t="s">
        <v>155</v>
      </c>
      <c r="B14918" s="1" t="str">
        <f>HYPERLINK("http://maccosmetics.com.ve","maccosmetics.com.ve")</f>
        <v>maccosmetics.com.ve</v>
      </c>
      <c r="C14918" t="s">
        <v>508</v>
      </c>
      <c r="D14918" t="s">
        <v>882</v>
      </c>
      <c r="F14918">
        <v>3.3219341056657201E-8</v>
      </c>
      <c r="G14918">
        <v>1555490</v>
      </c>
      <c r="H14918">
        <v>12295653</v>
      </c>
      <c r="I14918">
        <v>20952696</v>
      </c>
      <c r="J14918">
        <v>5</v>
      </c>
    </row>
    <row r="14919" spans="1:10" x14ac:dyDescent="0.25">
      <c r="A14919" t="s">
        <v>155</v>
      </c>
      <c r="B14919" s="1" t="str">
        <f>HYPERLINK("http://clinique.vn","clinique.vn")</f>
        <v>clinique.vn</v>
      </c>
      <c r="C14919" t="s">
        <v>509</v>
      </c>
      <c r="D14919" t="s">
        <v>883</v>
      </c>
      <c r="F14919">
        <v>1.36657857791649E-8</v>
      </c>
      <c r="G14919">
        <v>4334902</v>
      </c>
      <c r="H14919">
        <v>12787616</v>
      </c>
      <c r="I14919">
        <v>14700980</v>
      </c>
      <c r="J14919">
        <v>5</v>
      </c>
    </row>
    <row r="14920" spans="1:10" x14ac:dyDescent="0.25">
      <c r="A14920" t="s">
        <v>155</v>
      </c>
      <c r="B14920" s="1" t="str">
        <f>HYPERLINK("http://esteelauder.com.vn","esteelauder.com.vn")</f>
        <v>esteelauder.com.vn</v>
      </c>
      <c r="C14920" t="s">
        <v>509</v>
      </c>
      <c r="D14920" t="s">
        <v>883</v>
      </c>
      <c r="F14920">
        <v>2.6909111824623601E-8</v>
      </c>
      <c r="G14920">
        <v>1911543</v>
      </c>
      <c r="H14920">
        <v>12888268</v>
      </c>
      <c r="I14920">
        <v>13948227</v>
      </c>
      <c r="J14920">
        <v>4</v>
      </c>
    </row>
    <row r="14921" spans="1:10" x14ac:dyDescent="0.25">
      <c r="A14921" t="s">
        <v>155</v>
      </c>
      <c r="B14921" s="1" t="str">
        <f>HYPERLINK("http://maccosmetics.com.vn","maccosmetics.com.vn")</f>
        <v>maccosmetics.com.vn</v>
      </c>
      <c r="C14921" t="s">
        <v>509</v>
      </c>
      <c r="D14921" t="s">
        <v>883</v>
      </c>
      <c r="F14921">
        <v>3.7567783406996601E-8</v>
      </c>
      <c r="G14921">
        <v>1377504</v>
      </c>
      <c r="H14921">
        <v>12876746</v>
      </c>
      <c r="I14921">
        <v>14021344</v>
      </c>
      <c r="J14921">
        <v>5</v>
      </c>
    </row>
    <row r="14922" spans="1:10" x14ac:dyDescent="0.25">
      <c r="A14922" t="s">
        <v>155</v>
      </c>
      <c r="B14922" s="1" t="str">
        <f>HYPERLINK("http://bobbibrown.co.za","bobbibrown.co.za")</f>
        <v>bobbibrown.co.za</v>
      </c>
      <c r="C14922" t="s">
        <v>510</v>
      </c>
      <c r="D14922" t="s">
        <v>884</v>
      </c>
      <c r="F14922">
        <v>1.8032568998067499E-8</v>
      </c>
      <c r="G14922">
        <v>3023868</v>
      </c>
      <c r="H14922">
        <v>12183928</v>
      </c>
      <c r="I14922">
        <v>23719041</v>
      </c>
      <c r="J14922">
        <v>5</v>
      </c>
    </row>
    <row r="14923" spans="1:10" x14ac:dyDescent="0.25">
      <c r="A14923" t="s">
        <v>155</v>
      </c>
      <c r="B14923" s="1" t="str">
        <f>HYPERLINK("http://clinique.co.za","clinique.co.za")</f>
        <v>clinique.co.za</v>
      </c>
      <c r="C14923" t="s">
        <v>510</v>
      </c>
      <c r="D14923" t="s">
        <v>884</v>
      </c>
      <c r="F14923">
        <v>1.5253289179144501E-8</v>
      </c>
      <c r="G14923">
        <v>3759816</v>
      </c>
      <c r="H14923">
        <v>12464692</v>
      </c>
      <c r="I14923">
        <v>17820711</v>
      </c>
      <c r="J14923">
        <v>5</v>
      </c>
    </row>
    <row r="14924" spans="1:10" x14ac:dyDescent="0.25">
      <c r="A14924" t="s">
        <v>155</v>
      </c>
      <c r="B14924" s="1" t="str">
        <f>HYPERLINK("http://esteelauder.co.za","esteelauder.co.za")</f>
        <v>esteelauder.co.za</v>
      </c>
      <c r="C14924" t="s">
        <v>510</v>
      </c>
      <c r="D14924" t="s">
        <v>884</v>
      </c>
      <c r="F14924">
        <v>2.5879275180358399E-8</v>
      </c>
      <c r="G14924">
        <v>1991388</v>
      </c>
      <c r="H14924">
        <v>14129424</v>
      </c>
      <c r="I14924">
        <v>2046029</v>
      </c>
      <c r="J14924">
        <v>4</v>
      </c>
    </row>
    <row r="14925" spans="1:10" x14ac:dyDescent="0.25">
      <c r="A14925" t="s">
        <v>155</v>
      </c>
      <c r="B14925" s="1" t="str">
        <f>HYPERLINK("http://jomalone.co.za","jomalone.co.za")</f>
        <v>jomalone.co.za</v>
      </c>
      <c r="C14925" t="s">
        <v>510</v>
      </c>
      <c r="D14925" t="s">
        <v>884</v>
      </c>
      <c r="F14925">
        <v>2.1134757962488801E-8</v>
      </c>
      <c r="G14925">
        <v>2496295</v>
      </c>
      <c r="H14925">
        <v>13936353</v>
      </c>
      <c r="I14925">
        <v>4497724</v>
      </c>
      <c r="J14925">
        <v>5</v>
      </c>
    </row>
    <row r="14926" spans="1:10" x14ac:dyDescent="0.25">
      <c r="A14926" t="s">
        <v>155</v>
      </c>
      <c r="B14926" s="1" t="str">
        <f>HYPERLINK("http://maccosmetics.co.za","maccosmetics.co.za")</f>
        <v>maccosmetics.co.za</v>
      </c>
      <c r="C14926" t="s">
        <v>510</v>
      </c>
      <c r="D14926" t="s">
        <v>884</v>
      </c>
      <c r="F14926">
        <v>3.8731765555840001E-8</v>
      </c>
      <c r="G14926">
        <v>1331104</v>
      </c>
      <c r="H14926">
        <v>14131562</v>
      </c>
      <c r="I14926">
        <v>2013974</v>
      </c>
      <c r="J14926">
        <v>5</v>
      </c>
    </row>
    <row r="14927" spans="1:10" x14ac:dyDescent="0.25">
      <c r="A14927" t="s">
        <v>156</v>
      </c>
      <c r="B14927" s="1" t="str">
        <f>HYPERLINK("http://atlanticcityelectric.com","atlanticcityelectric.com")</f>
        <v>atlanticcityelectric.com</v>
      </c>
      <c r="C14927" t="s">
        <v>433</v>
      </c>
      <c r="E14927">
        <v>343379</v>
      </c>
      <c r="F14927">
        <v>1.8988742464734399E-7</v>
      </c>
      <c r="G14927">
        <v>202920</v>
      </c>
      <c r="H14927">
        <v>17083030</v>
      </c>
      <c r="I14927">
        <v>67593</v>
      </c>
      <c r="J14927">
        <v>3</v>
      </c>
    </row>
    <row r="14928" spans="1:10" x14ac:dyDescent="0.25">
      <c r="A14928" t="s">
        <v>156</v>
      </c>
      <c r="B14928" s="1" t="str">
        <f>HYPERLINK("http://bge.com","bge.com")</f>
        <v>bge.com</v>
      </c>
      <c r="C14928" t="s">
        <v>433</v>
      </c>
      <c r="E14928">
        <v>113697</v>
      </c>
      <c r="F14928">
        <v>3.8346863749318997E-7</v>
      </c>
      <c r="G14928">
        <v>97604</v>
      </c>
      <c r="H14928">
        <v>14511594</v>
      </c>
      <c r="I14928">
        <v>821052</v>
      </c>
      <c r="J14928">
        <v>2</v>
      </c>
    </row>
    <row r="14929" spans="1:10" x14ac:dyDescent="0.25">
      <c r="A14929" t="s">
        <v>156</v>
      </c>
      <c r="B14929" s="1" t="str">
        <f>HYPERLINK("http://bgenow.com","bgenow.com")</f>
        <v>bgenow.com</v>
      </c>
      <c r="C14929" t="s">
        <v>433</v>
      </c>
      <c r="F14929">
        <v>1.37953902582408E-8</v>
      </c>
      <c r="G14929">
        <v>4283441</v>
      </c>
      <c r="H14929">
        <v>13424540</v>
      </c>
      <c r="I14929">
        <v>10296138</v>
      </c>
      <c r="J14929">
        <v>5</v>
      </c>
    </row>
    <row r="14930" spans="1:10" x14ac:dyDescent="0.25">
      <c r="A14930" t="s">
        <v>156</v>
      </c>
      <c r="B14930" s="1" t="str">
        <f>HYPERLINK("http://comed.com","comed.com")</f>
        <v>comed.com</v>
      </c>
      <c r="C14930" t="s">
        <v>433</v>
      </c>
      <c r="E14930">
        <v>56421</v>
      </c>
      <c r="F14930">
        <v>1.57658602866243E-6</v>
      </c>
      <c r="G14930">
        <v>24914</v>
      </c>
      <c r="H14930">
        <v>15543310</v>
      </c>
      <c r="I14930">
        <v>373928</v>
      </c>
      <c r="J14930">
        <v>3</v>
      </c>
    </row>
    <row r="14931" spans="1:10" x14ac:dyDescent="0.25">
      <c r="A14931" t="s">
        <v>156</v>
      </c>
      <c r="B14931" s="1" t="str">
        <f>HYPERLINK("http://delmarva.com","delmarva.com")</f>
        <v>delmarva.com</v>
      </c>
      <c r="C14931" t="s">
        <v>433</v>
      </c>
      <c r="E14931">
        <v>279078</v>
      </c>
      <c r="F14931">
        <v>2.4721082961476502E-7</v>
      </c>
      <c r="G14931">
        <v>151344</v>
      </c>
      <c r="H14931">
        <v>17154244</v>
      </c>
      <c r="I14931">
        <v>51321</v>
      </c>
      <c r="J14931">
        <v>3</v>
      </c>
    </row>
    <row r="14932" spans="1:10" x14ac:dyDescent="0.25">
      <c r="A14932" t="s">
        <v>156</v>
      </c>
      <c r="B14932" s="1" t="str">
        <f>HYPERLINK("http://exeloncorp.com","exeloncorp.com")</f>
        <v>exeloncorp.com</v>
      </c>
      <c r="C14932" t="s">
        <v>433</v>
      </c>
      <c r="E14932">
        <v>27639</v>
      </c>
      <c r="F14932">
        <v>7.5926071147036605E-7</v>
      </c>
      <c r="G14932">
        <v>51415</v>
      </c>
      <c r="H14932">
        <v>17228896</v>
      </c>
      <c r="I14932">
        <v>37075</v>
      </c>
      <c r="J14932">
        <v>1</v>
      </c>
    </row>
    <row r="14933" spans="1:10" x14ac:dyDescent="0.25">
      <c r="A14933" t="s">
        <v>156</v>
      </c>
      <c r="B14933" s="1" t="str">
        <f>HYPERLINK("http://millenniumaccountservices.com","millenniumaccountservices.com")</f>
        <v>millenniumaccountservices.com</v>
      </c>
      <c r="C14933" t="s">
        <v>433</v>
      </c>
      <c r="F14933">
        <v>4.9330621791103901E-9</v>
      </c>
      <c r="G14933">
        <v>31291593</v>
      </c>
      <c r="H14933">
        <v>10853823</v>
      </c>
      <c r="I14933">
        <v>36779427</v>
      </c>
      <c r="J14933">
        <v>3</v>
      </c>
    </row>
    <row r="14934" spans="1:10" x14ac:dyDescent="0.25">
      <c r="A14934" t="s">
        <v>156</v>
      </c>
      <c r="B14934" s="1" t="str">
        <f>HYPERLINK("http://peco.com","peco.com")</f>
        <v>peco.com</v>
      </c>
      <c r="C14934" t="s">
        <v>433</v>
      </c>
      <c r="E14934">
        <v>98756</v>
      </c>
      <c r="F14934">
        <v>4.5696377709444102E-7</v>
      </c>
      <c r="G14934">
        <v>82760</v>
      </c>
      <c r="H14934">
        <v>17207702</v>
      </c>
      <c r="I14934">
        <v>40413</v>
      </c>
      <c r="J14934">
        <v>2</v>
      </c>
    </row>
    <row r="14935" spans="1:10" x14ac:dyDescent="0.25">
      <c r="A14935" t="s">
        <v>156</v>
      </c>
      <c r="B14935" s="1" t="str">
        <f>HYPERLINK("http://pepco.com","pepco.com")</f>
        <v>pepco.com</v>
      </c>
      <c r="C14935" t="s">
        <v>433</v>
      </c>
      <c r="E14935">
        <v>133009</v>
      </c>
      <c r="F14935">
        <v>3.9954258808726298E-7</v>
      </c>
      <c r="G14935">
        <v>93922</v>
      </c>
      <c r="H14935">
        <v>17186504</v>
      </c>
      <c r="I14935">
        <v>44287</v>
      </c>
      <c r="J14935">
        <v>3</v>
      </c>
    </row>
    <row r="14936" spans="1:10" x14ac:dyDescent="0.25">
      <c r="A14936" t="s">
        <v>156</v>
      </c>
      <c r="B14936" s="1" t="str">
        <f>HYPERLINK("http://pepcoholdings.com","pepcoholdings.com")</f>
        <v>pepcoholdings.com</v>
      </c>
      <c r="C14936" t="s">
        <v>433</v>
      </c>
      <c r="F14936">
        <v>7.1447065488601905E-8</v>
      </c>
      <c r="G14936">
        <v>591502</v>
      </c>
      <c r="H14936">
        <v>14242538</v>
      </c>
      <c r="I14936">
        <v>1483396</v>
      </c>
      <c r="J14936">
        <v>6</v>
      </c>
    </row>
    <row r="14937" spans="1:10" x14ac:dyDescent="0.25">
      <c r="A14937" t="s">
        <v>157</v>
      </c>
      <c r="B14937" s="1" t="str">
        <f>HYPERLINK("http://exxonmobil.asia","exxonmobil.asia")</f>
        <v>exxonmobil.asia</v>
      </c>
      <c r="C14937" t="s">
        <v>525</v>
      </c>
      <c r="F14937">
        <v>1.2627447601882499E-8</v>
      </c>
      <c r="G14937">
        <v>4816955</v>
      </c>
      <c r="H14937">
        <v>12334285</v>
      </c>
      <c r="I14937">
        <v>20120751</v>
      </c>
      <c r="J14937">
        <v>2</v>
      </c>
    </row>
    <row r="14938" spans="1:10" x14ac:dyDescent="0.25">
      <c r="A14938" t="s">
        <v>157</v>
      </c>
      <c r="B14938" s="1" t="str">
        <f>HYPERLINK("http://apsleymotors.com.au","apsleymotors.com.au")</f>
        <v>apsleymotors.com.au</v>
      </c>
      <c r="C14938" t="s">
        <v>420</v>
      </c>
      <c r="D14938" t="s">
        <v>802</v>
      </c>
      <c r="J14938">
        <v>5</v>
      </c>
    </row>
    <row r="14939" spans="1:10" x14ac:dyDescent="0.25">
      <c r="A14939" t="s">
        <v>157</v>
      </c>
      <c r="B14939" s="1" t="str">
        <f>HYPERLINK("http://exxonmobil.com.au","exxonmobil.com.au")</f>
        <v>exxonmobil.com.au</v>
      </c>
      <c r="C14939" t="s">
        <v>420</v>
      </c>
      <c r="D14939" t="s">
        <v>802</v>
      </c>
      <c r="F14939">
        <v>3.9145170513256701E-8</v>
      </c>
      <c r="G14939">
        <v>1317783</v>
      </c>
      <c r="H14939">
        <v>14584851</v>
      </c>
      <c r="I14939">
        <v>702475</v>
      </c>
      <c r="J14939">
        <v>2</v>
      </c>
    </row>
    <row r="14940" spans="1:10" x14ac:dyDescent="0.25">
      <c r="A14940" t="s">
        <v>157</v>
      </c>
      <c r="B14940" s="1" t="str">
        <f>HYPERLINK("http://mobil.com.au","mobil.com.au")</f>
        <v>mobil.com.au</v>
      </c>
      <c r="C14940" t="s">
        <v>420</v>
      </c>
      <c r="D14940" t="s">
        <v>802</v>
      </c>
      <c r="F14940">
        <v>4.11307131079893E-8</v>
      </c>
      <c r="G14940">
        <v>1262135</v>
      </c>
      <c r="H14940">
        <v>14418539</v>
      </c>
      <c r="I14940">
        <v>1094339</v>
      </c>
      <c r="J14940">
        <v>3</v>
      </c>
    </row>
    <row r="14941" spans="1:10" x14ac:dyDescent="0.25">
      <c r="A14941" t="s">
        <v>157</v>
      </c>
      <c r="B14941" s="1" t="str">
        <f>HYPERLINK("http://xconvenience.com.au","xconvenience.com.au")</f>
        <v>xconvenience.com.au</v>
      </c>
      <c r="C14941" t="s">
        <v>420</v>
      </c>
      <c r="D14941" t="s">
        <v>802</v>
      </c>
      <c r="F14941">
        <v>4.8090644140903096E-9</v>
      </c>
      <c r="G14941">
        <v>35733429</v>
      </c>
      <c r="H14941">
        <v>10896997</v>
      </c>
      <c r="I14941">
        <v>35906923</v>
      </c>
      <c r="J14941">
        <v>5</v>
      </c>
    </row>
    <row r="14942" spans="1:10" x14ac:dyDescent="0.25">
      <c r="A14942" t="s">
        <v>157</v>
      </c>
      <c r="B14942" s="1" t="str">
        <f>HYPERLINK("http://carbu.be","carbu.be")</f>
        <v>carbu.be</v>
      </c>
      <c r="C14942" t="s">
        <v>421</v>
      </c>
      <c r="D14942" t="s">
        <v>803</v>
      </c>
      <c r="F14942">
        <v>9.4029855531555892E-9</v>
      </c>
      <c r="G14942">
        <v>7440765</v>
      </c>
      <c r="H14942">
        <v>13767149</v>
      </c>
      <c r="I14942">
        <v>6951768</v>
      </c>
      <c r="J14942">
        <v>8</v>
      </c>
    </row>
    <row r="14943" spans="1:10" x14ac:dyDescent="0.25">
      <c r="A14943" t="s">
        <v>157</v>
      </c>
      <c r="B14943" s="1" t="str">
        <f>HYPERLINK("http://esso.be","esso.be")</f>
        <v>esso.be</v>
      </c>
      <c r="C14943" t="s">
        <v>421</v>
      </c>
      <c r="D14943" t="s">
        <v>803</v>
      </c>
      <c r="F14943">
        <v>3.3955587879092602E-8</v>
      </c>
      <c r="G14943">
        <v>1524658</v>
      </c>
      <c r="H14943">
        <v>13337356</v>
      </c>
      <c r="I14943">
        <v>10679532</v>
      </c>
      <c r="J14943">
        <v>4</v>
      </c>
    </row>
    <row r="14944" spans="1:10" x14ac:dyDescent="0.25">
      <c r="A14944" t="s">
        <v>157</v>
      </c>
      <c r="B14944" s="1" t="str">
        <f>HYPERLINK("http://essofuelfinder.be","essofuelfinder.be")</f>
        <v>essofuelfinder.be</v>
      </c>
      <c r="C14944" t="s">
        <v>421</v>
      </c>
      <c r="D14944" t="s">
        <v>803</v>
      </c>
      <c r="F14944">
        <v>8.8411338474805005E-9</v>
      </c>
      <c r="G14944">
        <v>8238628</v>
      </c>
      <c r="H14944">
        <v>12179986</v>
      </c>
      <c r="I14944">
        <v>23817132</v>
      </c>
      <c r="J14944">
        <v>7</v>
      </c>
    </row>
    <row r="14945" spans="1:10" x14ac:dyDescent="0.25">
      <c r="A14945" t="s">
        <v>157</v>
      </c>
      <c r="B14945" s="1" t="str">
        <f>HYPERLINK("http://exxonmobil.be","exxonmobil.be")</f>
        <v>exxonmobil.be</v>
      </c>
      <c r="C14945" t="s">
        <v>421</v>
      </c>
      <c r="D14945" t="s">
        <v>803</v>
      </c>
      <c r="F14945">
        <v>4.3629211186137003E-8</v>
      </c>
      <c r="G14945">
        <v>1094682</v>
      </c>
      <c r="H14945">
        <v>13359627</v>
      </c>
      <c r="I14945">
        <v>10589517</v>
      </c>
      <c r="J14945">
        <v>2</v>
      </c>
    </row>
    <row r="14946" spans="1:10" x14ac:dyDescent="0.25">
      <c r="A14946" t="s">
        <v>157</v>
      </c>
      <c r="B14946" s="1" t="str">
        <f>HYPERLINK("http://maes-oil.be","maes-oil.be")</f>
        <v>maes-oil.be</v>
      </c>
      <c r="C14946" t="s">
        <v>421</v>
      </c>
      <c r="D14946" t="s">
        <v>803</v>
      </c>
      <c r="F14946">
        <v>6.9370315303275895E-8</v>
      </c>
      <c r="G14946">
        <v>612187</v>
      </c>
      <c r="H14946">
        <v>16813272</v>
      </c>
      <c r="I14946">
        <v>191859</v>
      </c>
      <c r="J14946">
        <v>7</v>
      </c>
    </row>
    <row r="14947" spans="1:10" x14ac:dyDescent="0.25">
      <c r="A14947" t="s">
        <v>157</v>
      </c>
      <c r="B14947" s="1" t="str">
        <f>HYPERLINK("http://esso.ca","esso.ca")</f>
        <v>esso.ca</v>
      </c>
      <c r="C14947" t="s">
        <v>428</v>
      </c>
      <c r="D14947" t="s">
        <v>809</v>
      </c>
      <c r="E14947">
        <v>421154</v>
      </c>
      <c r="F14947">
        <v>1.2476272336915799E-7</v>
      </c>
      <c r="G14947">
        <v>316302</v>
      </c>
      <c r="H14947">
        <v>14446426</v>
      </c>
      <c r="I14947">
        <v>1056649</v>
      </c>
      <c r="J14947">
        <v>4</v>
      </c>
    </row>
    <row r="14948" spans="1:10" x14ac:dyDescent="0.25">
      <c r="A14948" t="s">
        <v>157</v>
      </c>
      <c r="B14948" s="1" t="str">
        <f>HYPERLINK("http://imperialoil.ca","imperialoil.ca")</f>
        <v>imperialoil.ca</v>
      </c>
      <c r="C14948" t="s">
        <v>428</v>
      </c>
      <c r="D14948" t="s">
        <v>809</v>
      </c>
      <c r="E14948">
        <v>313929</v>
      </c>
      <c r="F14948">
        <v>2.4790189629282198E-7</v>
      </c>
      <c r="G14948">
        <v>150931</v>
      </c>
      <c r="H14948">
        <v>14939082</v>
      </c>
      <c r="I14948">
        <v>444303</v>
      </c>
      <c r="J14948">
        <v>3</v>
      </c>
    </row>
    <row r="14949" spans="1:10" x14ac:dyDescent="0.25">
      <c r="A14949" t="s">
        <v>157</v>
      </c>
      <c r="B14949" s="1" t="str">
        <f>HYPERLINK("http://mobil.ca","mobil.ca")</f>
        <v>mobil.ca</v>
      </c>
      <c r="C14949" t="s">
        <v>428</v>
      </c>
      <c r="D14949" t="s">
        <v>809</v>
      </c>
      <c r="F14949">
        <v>4.0343387012376098E-8</v>
      </c>
      <c r="G14949">
        <v>1282888</v>
      </c>
      <c r="H14949">
        <v>13289318</v>
      </c>
      <c r="I14949">
        <v>10878885</v>
      </c>
      <c r="J14949">
        <v>4</v>
      </c>
    </row>
    <row r="14950" spans="1:10" x14ac:dyDescent="0.25">
      <c r="A14950" t="s">
        <v>157</v>
      </c>
      <c r="B14950" s="1" t="str">
        <f>HYPERLINK("http://xom.cloud","xom.cloud")</f>
        <v>xom.cloud</v>
      </c>
      <c r="C14950" t="s">
        <v>516</v>
      </c>
      <c r="E14950">
        <v>515105</v>
      </c>
      <c r="F14950">
        <v>4.44380927664477E-9</v>
      </c>
      <c r="G14950">
        <v>79770515</v>
      </c>
      <c r="H14950">
        <v>10352960</v>
      </c>
      <c r="I14950">
        <v>55916693</v>
      </c>
      <c r="J14950">
        <v>3</v>
      </c>
    </row>
    <row r="14951" spans="1:10" x14ac:dyDescent="0.25">
      <c r="A14951" t="s">
        <v>157</v>
      </c>
      <c r="B14951" s="1" t="str">
        <f>HYPERLINK("http://mobil.com.cn","mobil.com.cn")</f>
        <v>mobil.com.cn</v>
      </c>
      <c r="C14951" t="s">
        <v>431</v>
      </c>
      <c r="D14951" t="s">
        <v>812</v>
      </c>
      <c r="E14951">
        <v>446179</v>
      </c>
      <c r="F14951">
        <v>9.1230104537971798E-8</v>
      </c>
      <c r="G14951">
        <v>446833</v>
      </c>
      <c r="H14951">
        <v>12477092</v>
      </c>
      <c r="I14951">
        <v>17625443</v>
      </c>
      <c r="J14951">
        <v>3</v>
      </c>
    </row>
    <row r="14952" spans="1:10" x14ac:dyDescent="0.25">
      <c r="A14952" t="s">
        <v>157</v>
      </c>
      <c r="B14952" s="1" t="str">
        <f>HYPERLINK("http://exxonmobil.co","exxonmobil.co")</f>
        <v>exxonmobil.co</v>
      </c>
      <c r="C14952" t="s">
        <v>432</v>
      </c>
      <c r="F14952">
        <v>3.8656411604994898E-8</v>
      </c>
      <c r="G14952">
        <v>1333840</v>
      </c>
      <c r="H14952">
        <v>13525314</v>
      </c>
      <c r="I14952">
        <v>9932652</v>
      </c>
      <c r="J14952">
        <v>2</v>
      </c>
    </row>
    <row r="14953" spans="1:10" x14ac:dyDescent="0.25">
      <c r="A14953" t="s">
        <v>157</v>
      </c>
      <c r="B14953" s="1" t="str">
        <f>HYPERLINK("http://mobil.co","mobil.co")</f>
        <v>mobil.co</v>
      </c>
      <c r="C14953" t="s">
        <v>432</v>
      </c>
      <c r="F14953">
        <v>6.40895430900634E-9</v>
      </c>
      <c r="G14953">
        <v>14475729</v>
      </c>
      <c r="H14953">
        <v>10980499</v>
      </c>
      <c r="I14953">
        <v>33925967</v>
      </c>
      <c r="J14953">
        <v>5</v>
      </c>
    </row>
    <row r="14954" spans="1:10" x14ac:dyDescent="0.25">
      <c r="A14954" t="s">
        <v>157</v>
      </c>
      <c r="B14954" s="1" t="str">
        <f>HYPERLINK("http://adriaticlng.com","adriaticlng.com")</f>
        <v>adriaticlng.com</v>
      </c>
      <c r="C14954" t="s">
        <v>433</v>
      </c>
      <c r="F14954">
        <v>1.01316829561108E-8</v>
      </c>
      <c r="G14954">
        <v>6615062</v>
      </c>
      <c r="H14954">
        <v>14074526</v>
      </c>
      <c r="I14954">
        <v>2940000</v>
      </c>
      <c r="J14954">
        <v>3</v>
      </c>
    </row>
    <row r="14955" spans="1:10" x14ac:dyDescent="0.25">
      <c r="A14955" t="s">
        <v>157</v>
      </c>
      <c r="B14955" s="1" t="str">
        <f>HYPERLINK("http://aeraenergy.com","aeraenergy.com")</f>
        <v>aeraenergy.com</v>
      </c>
      <c r="C14955" t="s">
        <v>433</v>
      </c>
      <c r="E14955">
        <v>723781</v>
      </c>
      <c r="F14955">
        <v>4.8111587360433998E-8</v>
      </c>
      <c r="G14955">
        <v>965959</v>
      </c>
      <c r="H14955">
        <v>14229477</v>
      </c>
      <c r="I14955">
        <v>1675345</v>
      </c>
      <c r="J14955">
        <v>3</v>
      </c>
    </row>
    <row r="14956" spans="1:10" x14ac:dyDescent="0.25">
      <c r="A14956" t="s">
        <v>157</v>
      </c>
      <c r="B14956" s="1" t="str">
        <f>HYPERLINK("http://capitolhillexxon.com","capitolhillexxon.com")</f>
        <v>capitolhillexxon.com</v>
      </c>
      <c r="C14956" t="s">
        <v>433</v>
      </c>
      <c r="F14956">
        <v>4.5935628325349599E-9</v>
      </c>
      <c r="G14956">
        <v>48125585</v>
      </c>
      <c r="H14956">
        <v>13765224</v>
      </c>
      <c r="I14956">
        <v>7127437</v>
      </c>
      <c r="J14956">
        <v>5</v>
      </c>
    </row>
    <row r="14957" spans="1:10" x14ac:dyDescent="0.25">
      <c r="A14957" t="s">
        <v>157</v>
      </c>
      <c r="B14957" s="1" t="str">
        <f>HYPERLINK("http://carbu.com","carbu.com")</f>
        <v>carbu.com</v>
      </c>
      <c r="C14957" t="s">
        <v>433</v>
      </c>
      <c r="E14957">
        <v>279599</v>
      </c>
      <c r="F14957">
        <v>9.7935821029951002E-8</v>
      </c>
      <c r="G14957">
        <v>412032</v>
      </c>
      <c r="H14957">
        <v>14277131</v>
      </c>
      <c r="I14957">
        <v>1388261</v>
      </c>
      <c r="J14957">
        <v>7</v>
      </c>
    </row>
    <row r="14958" spans="1:10" x14ac:dyDescent="0.25">
      <c r="A14958" t="s">
        <v>157</v>
      </c>
      <c r="B14958" s="1" t="str">
        <f>HYPERLINK("http://commoncentsstores.com","commoncentsstores.com")</f>
        <v>commoncentsstores.com</v>
      </c>
      <c r="C14958" t="s">
        <v>433</v>
      </c>
      <c r="F14958">
        <v>8.7475353216881007E-9</v>
      </c>
      <c r="G14958">
        <v>8397139</v>
      </c>
      <c r="H14958">
        <v>12947959</v>
      </c>
      <c r="I14958">
        <v>13225949</v>
      </c>
      <c r="J14958">
        <v>5</v>
      </c>
    </row>
    <row r="14959" spans="1:10" x14ac:dyDescent="0.25">
      <c r="A14959" t="s">
        <v>157</v>
      </c>
      <c r="B14959" s="1" t="str">
        <f>HYPERLINK("http://emcmisonline.com","emcmisonline.com")</f>
        <v>emcmisonline.com</v>
      </c>
      <c r="C14959" t="s">
        <v>433</v>
      </c>
      <c r="J14959">
        <v>3</v>
      </c>
    </row>
    <row r="14960" spans="1:10" x14ac:dyDescent="0.25">
      <c r="A14960" t="s">
        <v>157</v>
      </c>
      <c r="B14960" s="1" t="str">
        <f>HYPERLINK("http://esso.com","esso.com")</f>
        <v>esso.com</v>
      </c>
      <c r="C14960" t="s">
        <v>433</v>
      </c>
      <c r="E14960">
        <v>544552</v>
      </c>
      <c r="F14960">
        <v>1.3185853105776101E-7</v>
      </c>
      <c r="G14960">
        <v>296433</v>
      </c>
      <c r="H14960">
        <v>14841316</v>
      </c>
      <c r="I14960">
        <v>496808</v>
      </c>
      <c r="J14960">
        <v>3</v>
      </c>
    </row>
    <row r="14961" spans="1:10" x14ac:dyDescent="0.25">
      <c r="A14961" t="s">
        <v>157</v>
      </c>
      <c r="B14961" s="1" t="str">
        <f>HYPERLINK("http://euromarketva.com","euromarketva.com")</f>
        <v>euromarketva.com</v>
      </c>
      <c r="C14961" t="s">
        <v>433</v>
      </c>
      <c r="F14961">
        <v>4.4635674750532499E-9</v>
      </c>
      <c r="G14961">
        <v>66666903</v>
      </c>
      <c r="H14961">
        <v>12034936</v>
      </c>
      <c r="I14961">
        <v>27556327</v>
      </c>
      <c r="J14961">
        <v>5</v>
      </c>
    </row>
    <row r="14962" spans="1:10" x14ac:dyDescent="0.25">
      <c r="A14962" t="s">
        <v>157</v>
      </c>
      <c r="B14962" s="1" t="str">
        <f>HYPERLINK("http://exxon.com","exxon.com")</f>
        <v>exxon.com</v>
      </c>
      <c r="C14962" t="s">
        <v>433</v>
      </c>
      <c r="E14962">
        <v>84220</v>
      </c>
      <c r="F14962">
        <v>5.4465881233231796E-7</v>
      </c>
      <c r="G14962">
        <v>70943</v>
      </c>
      <c r="H14962">
        <v>17305426</v>
      </c>
      <c r="I14962">
        <v>27272</v>
      </c>
      <c r="J14962">
        <v>4</v>
      </c>
    </row>
    <row r="14963" spans="1:10" x14ac:dyDescent="0.25">
      <c r="A14963" t="s">
        <v>157</v>
      </c>
      <c r="B14963" s="1" t="str">
        <f>HYPERLINK("http://exxonmobil.com","exxonmobil.com")</f>
        <v>exxonmobil.com</v>
      </c>
      <c r="C14963" t="s">
        <v>433</v>
      </c>
      <c r="E14963">
        <v>8674</v>
      </c>
      <c r="F14963">
        <v>2.6819029036320701E-6</v>
      </c>
      <c r="G14963">
        <v>14190</v>
      </c>
      <c r="H14963">
        <v>17569830</v>
      </c>
      <c r="I14963">
        <v>10626</v>
      </c>
      <c r="J14963">
        <v>1</v>
      </c>
    </row>
    <row r="14964" spans="1:10" x14ac:dyDescent="0.25">
      <c r="A14964" t="s">
        <v>157</v>
      </c>
      <c r="B14964" s="1" t="str">
        <f>HYPERLINK("http://exxonmobilpipeline.com","exxonmobilpipeline.com")</f>
        <v>exxonmobilpipeline.com</v>
      </c>
      <c r="C14964" t="s">
        <v>433</v>
      </c>
      <c r="F14964">
        <v>1.64654769887524E-8</v>
      </c>
      <c r="G14964">
        <v>3422453</v>
      </c>
      <c r="H14964">
        <v>13805842</v>
      </c>
      <c r="I14964">
        <v>6234768</v>
      </c>
      <c r="J14964">
        <v>3</v>
      </c>
    </row>
    <row r="14965" spans="1:10" x14ac:dyDescent="0.25">
      <c r="A14965" t="s">
        <v>157</v>
      </c>
      <c r="B14965" s="1" t="str">
        <f>HYPERLINK("http://exxonmobilstations.com","exxonmobilstations.com")</f>
        <v>exxonmobilstations.com</v>
      </c>
      <c r="C14965" t="s">
        <v>433</v>
      </c>
      <c r="F14965">
        <v>1.8710878071738399E-8</v>
      </c>
      <c r="G14965">
        <v>2887396</v>
      </c>
      <c r="H14965">
        <v>13602197</v>
      </c>
      <c r="I14965">
        <v>9647493</v>
      </c>
      <c r="J14965">
        <v>5</v>
      </c>
    </row>
    <row r="14966" spans="1:10" x14ac:dyDescent="0.25">
      <c r="A14966" t="s">
        <v>157</v>
      </c>
      <c r="B14966" s="1" t="str">
        <f>HYPERLINK("http://exxonstations.com","exxonstations.com")</f>
        <v>exxonstations.com</v>
      </c>
      <c r="C14966" t="s">
        <v>433</v>
      </c>
      <c r="F14966">
        <v>6.3306782299775198E-9</v>
      </c>
      <c r="G14966">
        <v>14885106</v>
      </c>
      <c r="H14966">
        <v>13768631</v>
      </c>
      <c r="I14966">
        <v>6864392</v>
      </c>
      <c r="J14966">
        <v>5</v>
      </c>
    </row>
    <row r="14967" spans="1:10" x14ac:dyDescent="0.25">
      <c r="A14967" t="s">
        <v>157</v>
      </c>
      <c r="B14967" s="1" t="str">
        <f>HYPERLINK("http://fjrep.com","fjrep.com")</f>
        <v>fjrep.com</v>
      </c>
      <c r="C14967" t="s">
        <v>433</v>
      </c>
      <c r="F14967">
        <v>1.03681224456825E-8</v>
      </c>
      <c r="G14967">
        <v>6387917</v>
      </c>
      <c r="H14967">
        <v>12840701</v>
      </c>
      <c r="I14967">
        <v>14343829</v>
      </c>
      <c r="J14967">
        <v>3</v>
      </c>
    </row>
    <row r="14968" spans="1:10" x14ac:dyDescent="0.25">
      <c r="A14968" t="s">
        <v>157</v>
      </c>
      <c r="B14968" s="1" t="str">
        <f>HYPERLINK("http://forbestravelguide.com","forbestravelguide.com")</f>
        <v>forbestravelguide.com</v>
      </c>
      <c r="C14968" t="s">
        <v>433</v>
      </c>
      <c r="E14968">
        <v>51631</v>
      </c>
      <c r="F14968">
        <v>7.3729913855456503E-7</v>
      </c>
      <c r="G14968">
        <v>52833</v>
      </c>
      <c r="H14968">
        <v>15246305</v>
      </c>
      <c r="I14968">
        <v>390708</v>
      </c>
      <c r="J14968">
        <v>3</v>
      </c>
    </row>
    <row r="14969" spans="1:10" x14ac:dyDescent="0.25">
      <c r="A14969" t="s">
        <v>157</v>
      </c>
      <c r="B14969" s="1" t="str">
        <f>HYPERLINK("http://goldenpasslng.com","goldenpasslng.com")</f>
        <v>goldenpasslng.com</v>
      </c>
      <c r="C14969" t="s">
        <v>433</v>
      </c>
      <c r="F14969">
        <v>7.7181250632966203E-8</v>
      </c>
      <c r="G14969">
        <v>542639</v>
      </c>
      <c r="H14969">
        <v>13726285</v>
      </c>
      <c r="I14969">
        <v>9462250</v>
      </c>
      <c r="J14969">
        <v>3</v>
      </c>
    </row>
    <row r="14970" spans="1:10" x14ac:dyDescent="0.25">
      <c r="A14970" t="s">
        <v>157</v>
      </c>
      <c r="B14970" s="1" t="str">
        <f>HYPERLINK("http://goldenpasspipeline.com","goldenpasspipeline.com")</f>
        <v>goldenpasspipeline.com</v>
      </c>
      <c r="C14970" t="s">
        <v>433</v>
      </c>
      <c r="F14970">
        <v>6.6161020728726099E-9</v>
      </c>
      <c r="G14970">
        <v>13615350</v>
      </c>
      <c r="H14970">
        <v>10805997</v>
      </c>
      <c r="I14970">
        <v>37985851</v>
      </c>
      <c r="J14970">
        <v>3</v>
      </c>
    </row>
    <row r="14971" spans="1:10" x14ac:dyDescent="0.25">
      <c r="A14971" t="s">
        <v>157</v>
      </c>
      <c r="B14971" s="1" t="str">
        <f>HYPERLINK("http://gulfcoastgv.com","gulfcoastgv.com")</f>
        <v>gulfcoastgv.com</v>
      </c>
      <c r="C14971" t="s">
        <v>433</v>
      </c>
      <c r="F14971">
        <v>3.6981564541422798E-8</v>
      </c>
      <c r="G14971">
        <v>1403376</v>
      </c>
      <c r="H14971">
        <v>13984034</v>
      </c>
      <c r="I14971">
        <v>4043347</v>
      </c>
      <c r="J14971">
        <v>3</v>
      </c>
    </row>
    <row r="14972" spans="1:10" x14ac:dyDescent="0.25">
      <c r="A14972" t="s">
        <v>157</v>
      </c>
      <c r="B14972" s="1" t="str">
        <f>HYPERLINK("http://marinewellcontainment.com","marinewellcontainment.com")</f>
        <v>marinewellcontainment.com</v>
      </c>
      <c r="C14972" t="s">
        <v>433</v>
      </c>
      <c r="F14972">
        <v>2.3042870254615899E-8</v>
      </c>
      <c r="G14972">
        <v>2265929</v>
      </c>
      <c r="H14972">
        <v>14187212</v>
      </c>
      <c r="I14972">
        <v>1766718</v>
      </c>
      <c r="J14972">
        <v>3</v>
      </c>
    </row>
    <row r="14973" spans="1:10" x14ac:dyDescent="0.25">
      <c r="A14973" t="s">
        <v>157</v>
      </c>
      <c r="B14973" s="1" t="str">
        <f>HYPERLINK("http://mobil.com","mobil.com")</f>
        <v>mobil.com</v>
      </c>
      <c r="C14973" t="s">
        <v>433</v>
      </c>
      <c r="E14973">
        <v>41052</v>
      </c>
      <c r="F14973">
        <v>7.8721420092241899E-7</v>
      </c>
      <c r="G14973">
        <v>49877</v>
      </c>
      <c r="H14973">
        <v>14948030</v>
      </c>
      <c r="I14973">
        <v>441136</v>
      </c>
      <c r="J14973">
        <v>3</v>
      </c>
    </row>
    <row r="14974" spans="1:10" x14ac:dyDescent="0.25">
      <c r="A14974" t="s">
        <v>157</v>
      </c>
      <c r="B14974" s="1" t="str">
        <f>HYPERLINK("http://mobil1nj.com","mobil1nj.com")</f>
        <v>mobil1nj.com</v>
      </c>
      <c r="C14974" t="s">
        <v>433</v>
      </c>
      <c r="F14974">
        <v>4.5645261665471999E-9</v>
      </c>
      <c r="G14974">
        <v>50726000</v>
      </c>
      <c r="H14974">
        <v>10536646</v>
      </c>
      <c r="I14974">
        <v>47490246</v>
      </c>
      <c r="J14974">
        <v>8</v>
      </c>
    </row>
    <row r="14975" spans="1:10" x14ac:dyDescent="0.25">
      <c r="A14975" t="s">
        <v>157</v>
      </c>
      <c r="B14975" s="1" t="str">
        <f>HYPERLINK("http://mobilfuelspr.com","mobilfuelspr.com")</f>
        <v>mobilfuelspr.com</v>
      </c>
      <c r="C14975" t="s">
        <v>433</v>
      </c>
      <c r="J14975">
        <v>5</v>
      </c>
    </row>
    <row r="14976" spans="1:10" x14ac:dyDescent="0.25">
      <c r="A14976" t="s">
        <v>157</v>
      </c>
      <c r="B14976" s="1" t="str">
        <f>HYPERLINK("http://mobiloil.com","mobiloil.com")</f>
        <v>mobiloil.com</v>
      </c>
      <c r="C14976" t="s">
        <v>433</v>
      </c>
      <c r="E14976">
        <v>272011</v>
      </c>
      <c r="F14976">
        <v>1.8510023973836101E-7</v>
      </c>
      <c r="G14976">
        <v>208250</v>
      </c>
      <c r="H14976">
        <v>14868852</v>
      </c>
      <c r="I14976">
        <v>479735</v>
      </c>
      <c r="J14976">
        <v>8</v>
      </c>
    </row>
    <row r="14977" spans="1:10" x14ac:dyDescent="0.25">
      <c r="A14977" t="s">
        <v>157</v>
      </c>
      <c r="B14977" s="1" t="str">
        <f>HYPERLINK("http://mobilstations.com","mobilstations.com")</f>
        <v>mobilstations.com</v>
      </c>
      <c r="C14977" t="s">
        <v>433</v>
      </c>
      <c r="F14977">
        <v>8.5335585192306907E-9</v>
      </c>
      <c r="G14977">
        <v>8780768</v>
      </c>
      <c r="H14977">
        <v>13083569</v>
      </c>
      <c r="I14977">
        <v>12170430</v>
      </c>
      <c r="J14977">
        <v>5</v>
      </c>
    </row>
    <row r="14978" spans="1:10" x14ac:dyDescent="0.25">
      <c r="A14978" t="s">
        <v>157</v>
      </c>
      <c r="B14978" s="1" t="str">
        <f>HYPERLINK("http://nyexxonmobil.com","nyexxonmobil.com")</f>
        <v>nyexxonmobil.com</v>
      </c>
      <c r="C14978" t="s">
        <v>433</v>
      </c>
      <c r="J14978">
        <v>5</v>
      </c>
    </row>
    <row r="14979" spans="1:10" x14ac:dyDescent="0.25">
      <c r="A14979" t="s">
        <v>157</v>
      </c>
      <c r="B14979" s="1" t="str">
        <f>HYPERLINK("http://ontherun.com","ontherun.com")</f>
        <v>ontherun.com</v>
      </c>
      <c r="C14979" t="s">
        <v>433</v>
      </c>
      <c r="F14979">
        <v>1.29462872020361E-8</v>
      </c>
      <c r="G14979">
        <v>4657555</v>
      </c>
      <c r="H14979">
        <v>13437823</v>
      </c>
      <c r="I14979">
        <v>10266193</v>
      </c>
      <c r="J14979">
        <v>4</v>
      </c>
    </row>
    <row r="14980" spans="1:10" x14ac:dyDescent="0.25">
      <c r="A14980" t="s">
        <v>157</v>
      </c>
      <c r="B14980" s="1" t="str">
        <f>HYPERLINK("http://ontherunstl.com","ontherunstl.com")</f>
        <v>ontherunstl.com</v>
      </c>
      <c r="C14980" t="s">
        <v>433</v>
      </c>
      <c r="F14980">
        <v>8.4108444257093095E-9</v>
      </c>
      <c r="G14980">
        <v>9020731</v>
      </c>
      <c r="H14980">
        <v>14124177</v>
      </c>
      <c r="I14980">
        <v>2152018</v>
      </c>
      <c r="J14980">
        <v>5</v>
      </c>
    </row>
    <row r="14981" spans="1:10" x14ac:dyDescent="0.25">
      <c r="A14981" t="s">
        <v>157</v>
      </c>
      <c r="B14981" s="1" t="str">
        <f>HYPERLINK("http://petersonautoservices.com","petersonautoservices.com")</f>
        <v>petersonautoservices.com</v>
      </c>
      <c r="C14981" t="s">
        <v>433</v>
      </c>
      <c r="F14981">
        <v>4.8550823539373202E-9</v>
      </c>
      <c r="G14981">
        <v>33971822</v>
      </c>
      <c r="H14981">
        <v>12081466</v>
      </c>
      <c r="I14981">
        <v>26535603</v>
      </c>
      <c r="J14981">
        <v>5</v>
      </c>
    </row>
    <row r="14982" spans="1:10" x14ac:dyDescent="0.25">
      <c r="A14982" t="s">
        <v>157</v>
      </c>
      <c r="B14982" s="1" t="str">
        <f>HYPERLINK("http://xomsvcs.com","xomsvcs.com")</f>
        <v>xomsvcs.com</v>
      </c>
      <c r="C14982" t="s">
        <v>433</v>
      </c>
      <c r="J14982">
        <v>3</v>
      </c>
    </row>
    <row r="14983" spans="1:10" x14ac:dyDescent="0.25">
      <c r="A14983" t="s">
        <v>157</v>
      </c>
      <c r="B14983" s="1" t="str">
        <f>HYPERLINK("http://xtoenergy.com","xtoenergy.com")</f>
        <v>xtoenergy.com</v>
      </c>
      <c r="C14983" t="s">
        <v>433</v>
      </c>
      <c r="E14983">
        <v>385032</v>
      </c>
      <c r="F14983">
        <v>1.50781044065589E-7</v>
      </c>
      <c r="G14983">
        <v>257634</v>
      </c>
      <c r="H14983">
        <v>13949691</v>
      </c>
      <c r="I14983">
        <v>4181460</v>
      </c>
      <c r="J14983">
        <v>3</v>
      </c>
    </row>
    <row r="14984" spans="1:10" x14ac:dyDescent="0.25">
      <c r="A14984" t="s">
        <v>157</v>
      </c>
      <c r="B14984" s="1" t="str">
        <f>HYPERLINK("http://beb.de","beb.de")</f>
        <v>beb.de</v>
      </c>
      <c r="C14984" t="s">
        <v>436</v>
      </c>
      <c r="D14984" t="s">
        <v>815</v>
      </c>
      <c r="F14984">
        <v>1.9880934494329801E-8</v>
      </c>
      <c r="G14984">
        <v>2677740</v>
      </c>
      <c r="H14984">
        <v>14079972</v>
      </c>
      <c r="I14984">
        <v>2825452</v>
      </c>
      <c r="J14984">
        <v>3</v>
      </c>
    </row>
    <row r="14985" spans="1:10" x14ac:dyDescent="0.25">
      <c r="A14985" t="s">
        <v>157</v>
      </c>
      <c r="B14985" s="1" t="str">
        <f>HYPERLINK("http://esso.de","esso.de")</f>
        <v>esso.de</v>
      </c>
      <c r="C14985" t="s">
        <v>436</v>
      </c>
      <c r="D14985" t="s">
        <v>815</v>
      </c>
      <c r="F14985">
        <v>1.2341803644230501E-7</v>
      </c>
      <c r="G14985">
        <v>319739</v>
      </c>
      <c r="H14985">
        <v>13785364</v>
      </c>
      <c r="I14985">
        <v>6402307</v>
      </c>
      <c r="J14985">
        <v>3</v>
      </c>
    </row>
    <row r="14986" spans="1:10" x14ac:dyDescent="0.25">
      <c r="A14986" t="s">
        <v>157</v>
      </c>
      <c r="B14986" s="1" t="str">
        <f>HYPERLINK("http://exxonmobil.de","exxonmobil.de")</f>
        <v>exxonmobil.de</v>
      </c>
      <c r="C14986" t="s">
        <v>436</v>
      </c>
      <c r="D14986" t="s">
        <v>815</v>
      </c>
      <c r="F14986">
        <v>6.9521523854029806E-8</v>
      </c>
      <c r="G14986">
        <v>610602</v>
      </c>
      <c r="H14986">
        <v>14400429</v>
      </c>
      <c r="I14986">
        <v>1154286</v>
      </c>
      <c r="J14986">
        <v>2</v>
      </c>
    </row>
    <row r="14987" spans="1:10" x14ac:dyDescent="0.25">
      <c r="A14987" t="s">
        <v>157</v>
      </c>
      <c r="B14987" s="1" t="str">
        <f>HYPERLINK("http://mobil.eg","mobil.eg")</f>
        <v>mobil.eg</v>
      </c>
      <c r="C14987" t="s">
        <v>442</v>
      </c>
      <c r="D14987" t="s">
        <v>821</v>
      </c>
      <c r="F14987">
        <v>2.9830487014387301E-8</v>
      </c>
      <c r="G14987">
        <v>1725336</v>
      </c>
      <c r="H14987">
        <v>12375626</v>
      </c>
      <c r="I14987">
        <v>19308133</v>
      </c>
      <c r="J14987">
        <v>4</v>
      </c>
    </row>
    <row r="14988" spans="1:10" x14ac:dyDescent="0.25">
      <c r="A14988" t="s">
        <v>157</v>
      </c>
      <c r="B14988" s="1" t="str">
        <f>HYPERLINK("http://exxonmobil.eu","exxonmobil.eu")</f>
        <v>exxonmobil.eu</v>
      </c>
      <c r="C14988" t="s">
        <v>444</v>
      </c>
      <c r="F14988">
        <v>1.1299708105203E-7</v>
      </c>
      <c r="G14988">
        <v>353289</v>
      </c>
      <c r="H14988">
        <v>14107918</v>
      </c>
      <c r="I14988">
        <v>2681589</v>
      </c>
      <c r="J14988">
        <v>2</v>
      </c>
    </row>
    <row r="14989" spans="1:10" x14ac:dyDescent="0.25">
      <c r="A14989" t="s">
        <v>157</v>
      </c>
      <c r="B14989" s="1" t="str">
        <f>HYPERLINK("http://energyliveshere.fi","energyliveshere.fi")</f>
        <v>energyliveshere.fi</v>
      </c>
      <c r="C14989" t="s">
        <v>445</v>
      </c>
      <c r="D14989" t="s">
        <v>823</v>
      </c>
      <c r="J14989">
        <v>6</v>
      </c>
    </row>
    <row r="14990" spans="1:10" x14ac:dyDescent="0.25">
      <c r="A14990" t="s">
        <v>157</v>
      </c>
      <c r="B14990" s="1" t="str">
        <f>HYPERLINK("http://exxon.fi","exxon.fi")</f>
        <v>exxon.fi</v>
      </c>
      <c r="C14990" t="s">
        <v>445</v>
      </c>
      <c r="D14990" t="s">
        <v>823</v>
      </c>
      <c r="J14990">
        <v>6</v>
      </c>
    </row>
    <row r="14991" spans="1:10" x14ac:dyDescent="0.25">
      <c r="A14991" t="s">
        <v>157</v>
      </c>
      <c r="B14991" s="1" t="str">
        <f>HYPERLINK("http://exxonmobil.fi","exxonmobil.fi")</f>
        <v>exxonmobil.fi</v>
      </c>
      <c r="C14991" t="s">
        <v>445</v>
      </c>
      <c r="D14991" t="s">
        <v>823</v>
      </c>
      <c r="F14991">
        <v>6.0620061623317197E-9</v>
      </c>
      <c r="G14991">
        <v>16313601</v>
      </c>
      <c r="H14991">
        <v>14071868</v>
      </c>
      <c r="I14991">
        <v>3265716</v>
      </c>
      <c r="J14991">
        <v>6</v>
      </c>
    </row>
    <row r="14992" spans="1:10" x14ac:dyDescent="0.25">
      <c r="A14992" t="s">
        <v>157</v>
      </c>
      <c r="B14992" s="1" t="str">
        <f>HYPERLINK("http://exxonmobilchemical.fi","exxonmobilchemical.fi")</f>
        <v>exxonmobilchemical.fi</v>
      </c>
      <c r="C14992" t="s">
        <v>445</v>
      </c>
      <c r="D14992" t="s">
        <v>823</v>
      </c>
      <c r="J14992">
        <v>6</v>
      </c>
    </row>
    <row r="14993" spans="1:10" x14ac:dyDescent="0.25">
      <c r="A14993" t="s">
        <v>157</v>
      </c>
      <c r="B14993" s="1" t="str">
        <f>HYPERLINK("http://mobil.fi","mobil.fi")</f>
        <v>mobil.fi</v>
      </c>
      <c r="C14993" t="s">
        <v>445</v>
      </c>
      <c r="D14993" t="s">
        <v>823</v>
      </c>
      <c r="F14993">
        <v>3.80861497577987E-8</v>
      </c>
      <c r="G14993">
        <v>1358966</v>
      </c>
      <c r="H14993">
        <v>14072788</v>
      </c>
      <c r="I14993">
        <v>3044965</v>
      </c>
      <c r="J14993">
        <v>4</v>
      </c>
    </row>
    <row r="14994" spans="1:10" x14ac:dyDescent="0.25">
      <c r="A14994" t="s">
        <v>157</v>
      </c>
      <c r="B14994" s="1" t="str">
        <f>HYPERLINK("http://mobil1.fi","mobil1.fi")</f>
        <v>mobil1.fi</v>
      </c>
      <c r="C14994" t="s">
        <v>445</v>
      </c>
      <c r="D14994" t="s">
        <v>823</v>
      </c>
      <c r="F14994">
        <v>6.3231398962126399E-9</v>
      </c>
      <c r="G14994">
        <v>14922811</v>
      </c>
      <c r="H14994">
        <v>14071969</v>
      </c>
      <c r="I14994">
        <v>3208033</v>
      </c>
      <c r="J14994">
        <v>6</v>
      </c>
    </row>
    <row r="14995" spans="1:10" x14ac:dyDescent="0.25">
      <c r="A14995" t="s">
        <v>157</v>
      </c>
      <c r="B14995" s="1" t="str">
        <f>HYPERLINK("http://mobil1center.fi","mobil1center.fi")</f>
        <v>mobil1center.fi</v>
      </c>
      <c r="C14995" t="s">
        <v>445</v>
      </c>
      <c r="D14995" t="s">
        <v>823</v>
      </c>
      <c r="J14995">
        <v>6</v>
      </c>
    </row>
    <row r="14996" spans="1:10" x14ac:dyDescent="0.25">
      <c r="A14996" t="s">
        <v>157</v>
      </c>
      <c r="B14996" s="1" t="str">
        <f>HYPERLINK("http://mobil1centre.fi","mobil1centre.fi")</f>
        <v>mobil1centre.fi</v>
      </c>
      <c r="C14996" t="s">
        <v>445</v>
      </c>
      <c r="D14996" t="s">
        <v>823</v>
      </c>
      <c r="J14996">
        <v>6</v>
      </c>
    </row>
    <row r="14997" spans="1:10" x14ac:dyDescent="0.25">
      <c r="A14997" t="s">
        <v>157</v>
      </c>
      <c r="B14997" s="1" t="str">
        <f>HYPERLINK("http://mobildelvac.fi","mobildelvac.fi")</f>
        <v>mobildelvac.fi</v>
      </c>
      <c r="C14997" t="s">
        <v>445</v>
      </c>
      <c r="D14997" t="s">
        <v>823</v>
      </c>
      <c r="J14997">
        <v>6</v>
      </c>
    </row>
    <row r="14998" spans="1:10" x14ac:dyDescent="0.25">
      <c r="A14998" t="s">
        <v>157</v>
      </c>
      <c r="B14998" s="1" t="str">
        <f>HYPERLINK("http://mobildelvac1.fi","mobildelvac1.fi")</f>
        <v>mobildelvac1.fi</v>
      </c>
      <c r="C14998" t="s">
        <v>445</v>
      </c>
      <c r="D14998" t="s">
        <v>823</v>
      </c>
      <c r="J14998">
        <v>6</v>
      </c>
    </row>
    <row r="14999" spans="1:10" x14ac:dyDescent="0.25">
      <c r="A14999" t="s">
        <v>157</v>
      </c>
      <c r="B14999" s="1" t="str">
        <f>HYPERLINK("http://mobiloil.fi","mobiloil.fi")</f>
        <v>mobiloil.fi</v>
      </c>
      <c r="C14999" t="s">
        <v>445</v>
      </c>
      <c r="D14999" t="s">
        <v>823</v>
      </c>
      <c r="J14999">
        <v>2</v>
      </c>
    </row>
    <row r="15000" spans="1:10" x14ac:dyDescent="0.25">
      <c r="A15000" t="s">
        <v>157</v>
      </c>
      <c r="B15000" s="1" t="str">
        <f>HYPERLINK("http://esso.fr","esso.fr")</f>
        <v>esso.fr</v>
      </c>
      <c r="C15000" t="s">
        <v>446</v>
      </c>
      <c r="D15000" t="s">
        <v>824</v>
      </c>
      <c r="F15000">
        <v>4.5592358942884397E-8</v>
      </c>
      <c r="G15000">
        <v>1031917</v>
      </c>
      <c r="H15000">
        <v>14293747</v>
      </c>
      <c r="I15000">
        <v>1362657</v>
      </c>
      <c r="J15000">
        <v>3</v>
      </c>
    </row>
    <row r="15001" spans="1:10" x14ac:dyDescent="0.25">
      <c r="A15001" t="s">
        <v>157</v>
      </c>
      <c r="B15001" s="1" t="str">
        <f>HYPERLINK("http://essofuelfinder.fr","essofuelfinder.fr")</f>
        <v>essofuelfinder.fr</v>
      </c>
      <c r="C15001" t="s">
        <v>446</v>
      </c>
      <c r="D15001" t="s">
        <v>824</v>
      </c>
      <c r="F15001">
        <v>5.6167822102247903E-9</v>
      </c>
      <c r="G15001">
        <v>19698200</v>
      </c>
      <c r="H15001">
        <v>11139627</v>
      </c>
      <c r="I15001">
        <v>31840986</v>
      </c>
      <c r="J15001">
        <v>7</v>
      </c>
    </row>
    <row r="15002" spans="1:10" x14ac:dyDescent="0.25">
      <c r="A15002" t="s">
        <v>157</v>
      </c>
      <c r="B15002" s="1" t="str">
        <f>HYPERLINK("http://mobil.fr","mobil.fr")</f>
        <v>mobil.fr</v>
      </c>
      <c r="C15002" t="s">
        <v>446</v>
      </c>
      <c r="D15002" t="s">
        <v>824</v>
      </c>
      <c r="F15002">
        <v>4.0596371038925198E-8</v>
      </c>
      <c r="G15002">
        <v>1275994</v>
      </c>
      <c r="H15002">
        <v>12384695</v>
      </c>
      <c r="I15002">
        <v>19127497</v>
      </c>
      <c r="J15002">
        <v>4</v>
      </c>
    </row>
    <row r="15003" spans="1:10" x14ac:dyDescent="0.25">
      <c r="A15003" t="s">
        <v>157</v>
      </c>
      <c r="B15003" s="1" t="str">
        <f>HYPERLINK("http://worex.fr","worex.fr")</f>
        <v>worex.fr</v>
      </c>
      <c r="C15003" t="s">
        <v>446</v>
      </c>
      <c r="D15003" t="s">
        <v>824</v>
      </c>
      <c r="F15003">
        <v>5.5365352719616504E-9</v>
      </c>
      <c r="G15003">
        <v>20516395</v>
      </c>
      <c r="H15003">
        <v>11104407</v>
      </c>
      <c r="I15003">
        <v>32217657</v>
      </c>
      <c r="J15003">
        <v>2</v>
      </c>
    </row>
    <row r="15004" spans="1:10" x14ac:dyDescent="0.25">
      <c r="A15004" t="s">
        <v>157</v>
      </c>
      <c r="B15004" s="1" t="str">
        <f>HYPERLINK("http://esso.com.hk","esso.com.hk")</f>
        <v>esso.com.hk</v>
      </c>
      <c r="C15004" t="s">
        <v>450</v>
      </c>
      <c r="D15004" t="s">
        <v>827</v>
      </c>
      <c r="F15004">
        <v>1.4008053230355101E-8</v>
      </c>
      <c r="G15004">
        <v>4199530</v>
      </c>
      <c r="H15004">
        <v>12294583</v>
      </c>
      <c r="I15004">
        <v>20973601</v>
      </c>
      <c r="J15004">
        <v>4</v>
      </c>
    </row>
    <row r="15005" spans="1:10" x14ac:dyDescent="0.25">
      <c r="A15005" t="s">
        <v>157</v>
      </c>
      <c r="B15005" s="1" t="str">
        <f>HYPERLINK("http://exxonmobil.com.hk","exxonmobil.com.hk")</f>
        <v>exxonmobil.com.hk</v>
      </c>
      <c r="C15005" t="s">
        <v>450</v>
      </c>
      <c r="D15005" t="s">
        <v>827</v>
      </c>
      <c r="F15005">
        <v>1.0082949432346801E-8</v>
      </c>
      <c r="G15005">
        <v>6667133</v>
      </c>
      <c r="H15005">
        <v>12919747</v>
      </c>
      <c r="I15005">
        <v>13438576</v>
      </c>
      <c r="J15005">
        <v>2</v>
      </c>
    </row>
    <row r="15006" spans="1:10" x14ac:dyDescent="0.25">
      <c r="A15006" t="s">
        <v>157</v>
      </c>
      <c r="B15006" s="1" t="str">
        <f>HYPERLINK("http://exxonmobil.co.id","exxonmobil.co.id")</f>
        <v>exxonmobil.co.id</v>
      </c>
      <c r="C15006" t="s">
        <v>454</v>
      </c>
      <c r="D15006" t="s">
        <v>831</v>
      </c>
      <c r="F15006">
        <v>4.09928503136188E-8</v>
      </c>
      <c r="G15006">
        <v>1265615</v>
      </c>
      <c r="H15006">
        <v>14077725</v>
      </c>
      <c r="I15006">
        <v>2859881</v>
      </c>
      <c r="J15006">
        <v>2</v>
      </c>
    </row>
    <row r="15007" spans="1:10" x14ac:dyDescent="0.25">
      <c r="A15007" t="s">
        <v>157</v>
      </c>
      <c r="B15007" s="1" t="str">
        <f>HYPERLINK("http://mobil.co.id","mobil.co.id")</f>
        <v>mobil.co.id</v>
      </c>
      <c r="C15007" t="s">
        <v>454</v>
      </c>
      <c r="D15007" t="s">
        <v>831</v>
      </c>
      <c r="F15007">
        <v>4.3760258217650501E-8</v>
      </c>
      <c r="G15007">
        <v>1089860</v>
      </c>
      <c r="H15007">
        <v>14037336</v>
      </c>
      <c r="I15007">
        <v>3912484</v>
      </c>
      <c r="J15007">
        <v>4</v>
      </c>
    </row>
    <row r="15008" spans="1:10" x14ac:dyDescent="0.25">
      <c r="A15008" t="s">
        <v>157</v>
      </c>
      <c r="B15008" s="1" t="str">
        <f>HYPERLINK("http://mobil.co.in","mobil.co.in")</f>
        <v>mobil.co.in</v>
      </c>
      <c r="C15008" t="s">
        <v>457</v>
      </c>
      <c r="D15008" t="s">
        <v>834</v>
      </c>
      <c r="F15008">
        <v>5.0402416216795903E-8</v>
      </c>
      <c r="G15008">
        <v>911914</v>
      </c>
      <c r="H15008">
        <v>12472587</v>
      </c>
      <c r="I15008">
        <v>17671285</v>
      </c>
      <c r="J15008">
        <v>4</v>
      </c>
    </row>
    <row r="15009" spans="1:10" x14ac:dyDescent="0.25">
      <c r="A15009" t="s">
        <v>157</v>
      </c>
      <c r="B15009" s="1" t="str">
        <f>HYPERLINK("http://adriaticlng.it","adriaticlng.it")</f>
        <v>adriaticlng.it</v>
      </c>
      <c r="C15009" t="s">
        <v>459</v>
      </c>
      <c r="D15009" t="s">
        <v>835</v>
      </c>
      <c r="F15009">
        <v>2.9713517024893099E-8</v>
      </c>
      <c r="G15009">
        <v>1732611</v>
      </c>
      <c r="H15009">
        <v>14247199</v>
      </c>
      <c r="I15009">
        <v>1458355</v>
      </c>
      <c r="J15009">
        <v>4</v>
      </c>
    </row>
    <row r="15010" spans="1:10" x14ac:dyDescent="0.25">
      <c r="A15010" t="s">
        <v>157</v>
      </c>
      <c r="B15010" s="1" t="str">
        <f>HYPERLINK("http://esso.it","esso.it")</f>
        <v>esso.it</v>
      </c>
      <c r="C15010" t="s">
        <v>459</v>
      </c>
      <c r="D15010" t="s">
        <v>835</v>
      </c>
      <c r="F15010">
        <v>3.4521168459334197E-8</v>
      </c>
      <c r="G15010">
        <v>1502746</v>
      </c>
      <c r="H15010">
        <v>14487968</v>
      </c>
      <c r="I15010">
        <v>939739</v>
      </c>
      <c r="J15010">
        <v>3</v>
      </c>
    </row>
    <row r="15011" spans="1:10" x14ac:dyDescent="0.25">
      <c r="A15011" t="s">
        <v>157</v>
      </c>
      <c r="B15011" s="1" t="str">
        <f>HYPERLINK("http://exxonmobil.it","exxonmobil.it")</f>
        <v>exxonmobil.it</v>
      </c>
      <c r="C15011" t="s">
        <v>459</v>
      </c>
      <c r="D15011" t="s">
        <v>835</v>
      </c>
      <c r="F15011">
        <v>2.1576723657160999E-8</v>
      </c>
      <c r="G15011">
        <v>2439439</v>
      </c>
      <c r="H15011">
        <v>14490380</v>
      </c>
      <c r="I15011">
        <v>912417</v>
      </c>
      <c r="J15011">
        <v>2</v>
      </c>
    </row>
    <row r="15012" spans="1:10" x14ac:dyDescent="0.25">
      <c r="A15012" t="s">
        <v>157</v>
      </c>
      <c r="B15012" s="1" t="str">
        <f>HYPERLINK("http://mobil.it","mobil.it")</f>
        <v>mobil.it</v>
      </c>
      <c r="C15012" t="s">
        <v>459</v>
      </c>
      <c r="D15012" t="s">
        <v>835</v>
      </c>
      <c r="F15012">
        <v>8.4086958394694097E-8</v>
      </c>
      <c r="G15012">
        <v>492019</v>
      </c>
      <c r="H15012">
        <v>14077521</v>
      </c>
      <c r="I15012">
        <v>2863748</v>
      </c>
      <c r="J15012">
        <v>4</v>
      </c>
    </row>
    <row r="15013" spans="1:10" x14ac:dyDescent="0.25">
      <c r="A15013" t="s">
        <v>157</v>
      </c>
      <c r="B15013" s="1" t="str">
        <f>HYPERLINK("http://mobil.jp","mobil.jp")</f>
        <v>mobil.jp</v>
      </c>
      <c r="C15013" t="s">
        <v>461</v>
      </c>
      <c r="D15013" t="s">
        <v>837</v>
      </c>
      <c r="F15013">
        <v>5.4298916166051196E-9</v>
      </c>
      <c r="G15013">
        <v>21741646</v>
      </c>
      <c r="H15013">
        <v>14074083</v>
      </c>
      <c r="I15013">
        <v>2957366</v>
      </c>
      <c r="J15013">
        <v>4</v>
      </c>
    </row>
    <row r="15014" spans="1:10" x14ac:dyDescent="0.25">
      <c r="A15014" t="s">
        <v>157</v>
      </c>
      <c r="B15014" s="1" t="str">
        <f>HYPERLINK("http://mobil.co.kr","mobil.co.kr")</f>
        <v>mobil.co.kr</v>
      </c>
      <c r="C15014" t="s">
        <v>463</v>
      </c>
      <c r="D15014" t="s">
        <v>839</v>
      </c>
      <c r="F15014">
        <v>2.27691930904574E-8</v>
      </c>
      <c r="G15014">
        <v>2299213</v>
      </c>
      <c r="H15014">
        <v>12718031</v>
      </c>
      <c r="I15014">
        <v>15261237</v>
      </c>
      <c r="J15014">
        <v>4</v>
      </c>
    </row>
    <row r="15015" spans="1:10" x14ac:dyDescent="0.25">
      <c r="A15015" t="s">
        <v>157</v>
      </c>
      <c r="B15015" s="1" t="str">
        <f>HYPERLINK("http://mobil.mp","mobil.mp")</f>
        <v>mobil.mp</v>
      </c>
      <c r="C15015" t="s">
        <v>688</v>
      </c>
      <c r="D15015" t="s">
        <v>1005</v>
      </c>
      <c r="F15015">
        <v>1.3133637751656399E-8</v>
      </c>
      <c r="G15015">
        <v>4568552</v>
      </c>
      <c r="H15015">
        <v>12290659</v>
      </c>
      <c r="I15015">
        <v>21099022</v>
      </c>
      <c r="J15015">
        <v>4</v>
      </c>
    </row>
    <row r="15016" spans="1:10" x14ac:dyDescent="0.25">
      <c r="A15016" t="s">
        <v>157</v>
      </c>
      <c r="B15016" s="1" t="str">
        <f>HYPERLINK("http://mobil.com.mx","mobil.com.mx")</f>
        <v>mobil.com.mx</v>
      </c>
      <c r="C15016" t="s">
        <v>471</v>
      </c>
      <c r="D15016" t="s">
        <v>847</v>
      </c>
      <c r="F15016">
        <v>3.6026126173310599E-8</v>
      </c>
      <c r="G15016">
        <v>1446588</v>
      </c>
      <c r="H15016">
        <v>13765676</v>
      </c>
      <c r="I15016">
        <v>7076246</v>
      </c>
      <c r="J15016">
        <v>4</v>
      </c>
    </row>
    <row r="15017" spans="1:10" x14ac:dyDescent="0.25">
      <c r="A15017" t="s">
        <v>157</v>
      </c>
      <c r="B15017" s="1" t="str">
        <f>HYPERLINK("http://exxonmobil.co.mz","exxonmobil.co.mz")</f>
        <v>exxonmobil.co.mz</v>
      </c>
      <c r="C15017" t="s">
        <v>616</v>
      </c>
      <c r="D15017" t="s">
        <v>941</v>
      </c>
      <c r="F15017">
        <v>1.55824983437461E-8</v>
      </c>
      <c r="G15017">
        <v>3660068</v>
      </c>
      <c r="H15017">
        <v>13943883</v>
      </c>
      <c r="I15017">
        <v>4308373</v>
      </c>
      <c r="J15017">
        <v>2</v>
      </c>
    </row>
    <row r="15018" spans="1:10" x14ac:dyDescent="0.25">
      <c r="A15018" t="s">
        <v>157</v>
      </c>
      <c r="B15018" s="1" t="str">
        <f>HYPERLINK("http://autobedrijfvanwees.nl","autobedrijfvanwees.nl")</f>
        <v>autobedrijfvanwees.nl</v>
      </c>
      <c r="C15018" t="s">
        <v>477</v>
      </c>
      <c r="D15018" t="s">
        <v>852</v>
      </c>
      <c r="F15018">
        <v>4.6922278618048498E-9</v>
      </c>
      <c r="G15018">
        <v>41676212</v>
      </c>
      <c r="H15018">
        <v>11045764</v>
      </c>
      <c r="I15018">
        <v>32851764</v>
      </c>
      <c r="J15018">
        <v>5</v>
      </c>
    </row>
    <row r="15019" spans="1:10" x14ac:dyDescent="0.25">
      <c r="A15019" t="s">
        <v>157</v>
      </c>
      <c r="B15019" s="1" t="str">
        <f>HYPERLINK("http://esso.nl","esso.nl")</f>
        <v>esso.nl</v>
      </c>
      <c r="C15019" t="s">
        <v>477</v>
      </c>
      <c r="D15019" t="s">
        <v>852</v>
      </c>
      <c r="F15019">
        <v>2.9902165254996498E-8</v>
      </c>
      <c r="G15019">
        <v>1720971</v>
      </c>
      <c r="H15019">
        <v>12408310</v>
      </c>
      <c r="I15019">
        <v>18631216</v>
      </c>
      <c r="J15019">
        <v>7</v>
      </c>
    </row>
    <row r="15020" spans="1:10" x14ac:dyDescent="0.25">
      <c r="A15020" t="s">
        <v>157</v>
      </c>
      <c r="B15020" s="1" t="str">
        <f>HYPERLINK("http://essofuelfinder.nl","essofuelfinder.nl")</f>
        <v>essofuelfinder.nl</v>
      </c>
      <c r="C15020" t="s">
        <v>477</v>
      </c>
      <c r="D15020" t="s">
        <v>852</v>
      </c>
      <c r="F15020">
        <v>6.8517493956016402E-9</v>
      </c>
      <c r="G15020">
        <v>12789851</v>
      </c>
      <c r="H15020">
        <v>11235309</v>
      </c>
      <c r="I15020">
        <v>30993788</v>
      </c>
      <c r="J15020">
        <v>7</v>
      </c>
    </row>
    <row r="15021" spans="1:10" x14ac:dyDescent="0.25">
      <c r="A15021" t="s">
        <v>157</v>
      </c>
      <c r="B15021" s="1" t="str">
        <f>HYPERLINK("http://firezone.nl","firezone.nl")</f>
        <v>firezone.nl</v>
      </c>
      <c r="C15021" t="s">
        <v>477</v>
      </c>
      <c r="D15021" t="s">
        <v>852</v>
      </c>
      <c r="F15021">
        <v>1.14518336212803E-8</v>
      </c>
      <c r="G15021">
        <v>5537841</v>
      </c>
      <c r="H15021">
        <v>12831575</v>
      </c>
      <c r="I15021">
        <v>14409025</v>
      </c>
      <c r="J15021">
        <v>7</v>
      </c>
    </row>
    <row r="15022" spans="1:10" x14ac:dyDescent="0.25">
      <c r="A15022" t="s">
        <v>157</v>
      </c>
      <c r="B15022" s="1" t="str">
        <f>HYPERLINK("http://gasterra.nl","gasterra.nl")</f>
        <v>gasterra.nl</v>
      </c>
      <c r="C15022" t="s">
        <v>477</v>
      </c>
      <c r="D15022" t="s">
        <v>852</v>
      </c>
      <c r="E15022">
        <v>845372</v>
      </c>
      <c r="F15022">
        <v>3.94098730403732E-6</v>
      </c>
      <c r="G15022">
        <v>9767</v>
      </c>
      <c r="H15022">
        <v>17186294</v>
      </c>
      <c r="I15022">
        <v>44334</v>
      </c>
      <c r="J15022">
        <v>3</v>
      </c>
    </row>
    <row r="15023" spans="1:10" x14ac:dyDescent="0.25">
      <c r="A15023" t="s">
        <v>157</v>
      </c>
      <c r="B15023" s="1" t="str">
        <f>HYPERLINK("http://nam.nl","nam.nl")</f>
        <v>nam.nl</v>
      </c>
      <c r="C15023" t="s">
        <v>477</v>
      </c>
      <c r="D15023" t="s">
        <v>852</v>
      </c>
      <c r="E15023">
        <v>647479</v>
      </c>
      <c r="F15023">
        <v>1.3967806754321101E-7</v>
      </c>
      <c r="G15023">
        <v>278937</v>
      </c>
      <c r="H15023">
        <v>14848801</v>
      </c>
      <c r="I15023">
        <v>491857</v>
      </c>
      <c r="J15023">
        <v>3</v>
      </c>
    </row>
    <row r="15024" spans="1:10" x14ac:dyDescent="0.25">
      <c r="A15024" t="s">
        <v>157</v>
      </c>
      <c r="B15024" s="1" t="str">
        <f>HYPERLINK("http://esso.no","esso.no")</f>
        <v>esso.no</v>
      </c>
      <c r="C15024" t="s">
        <v>478</v>
      </c>
      <c r="D15024" t="s">
        <v>853</v>
      </c>
      <c r="F15024">
        <v>3.6418072264262499E-8</v>
      </c>
      <c r="G15024">
        <v>1433288</v>
      </c>
      <c r="H15024">
        <v>14073560</v>
      </c>
      <c r="I15024">
        <v>2985540</v>
      </c>
      <c r="J15024">
        <v>4</v>
      </c>
    </row>
    <row r="15025" spans="1:10" x14ac:dyDescent="0.25">
      <c r="A15025" t="s">
        <v>157</v>
      </c>
      <c r="B15025" s="1" t="str">
        <f>HYPERLINK("http://exxonmobil.no","exxonmobil.no")</f>
        <v>exxonmobil.no</v>
      </c>
      <c r="C15025" t="s">
        <v>478</v>
      </c>
      <c r="D15025" t="s">
        <v>853</v>
      </c>
      <c r="F15025">
        <v>3.37627987865359E-8</v>
      </c>
      <c r="G15025">
        <v>1532396</v>
      </c>
      <c r="H15025">
        <v>14129392</v>
      </c>
      <c r="I15025">
        <v>2046547</v>
      </c>
      <c r="J15025">
        <v>2</v>
      </c>
    </row>
    <row r="15026" spans="1:10" x14ac:dyDescent="0.25">
      <c r="A15026" t="s">
        <v>157</v>
      </c>
      <c r="B15026" s="1" t="str">
        <f>HYPERLINK("http://mobil.no","mobil.no")</f>
        <v>mobil.no</v>
      </c>
      <c r="C15026" t="s">
        <v>478</v>
      </c>
      <c r="D15026" t="s">
        <v>853</v>
      </c>
      <c r="F15026">
        <v>3.9531288277745297E-8</v>
      </c>
      <c r="G15026">
        <v>1305954</v>
      </c>
      <c r="H15026">
        <v>12396169</v>
      </c>
      <c r="I15026">
        <v>18916207</v>
      </c>
      <c r="J15026">
        <v>4</v>
      </c>
    </row>
    <row r="15027" spans="1:10" x14ac:dyDescent="0.25">
      <c r="A15027" t="s">
        <v>157</v>
      </c>
      <c r="B15027" s="1" t="str">
        <f>HYPERLINK("http://mobil.co.nz","mobil.co.nz")</f>
        <v>mobil.co.nz</v>
      </c>
      <c r="C15027" t="s">
        <v>479</v>
      </c>
      <c r="D15027" t="s">
        <v>854</v>
      </c>
      <c r="F15027">
        <v>2.5165132668713801E-8</v>
      </c>
      <c r="G15027">
        <v>2051969</v>
      </c>
      <c r="H15027">
        <v>14701206</v>
      </c>
      <c r="I15027">
        <v>591511</v>
      </c>
      <c r="J15027">
        <v>3</v>
      </c>
    </row>
    <row r="15028" spans="1:10" x14ac:dyDescent="0.25">
      <c r="A15028" t="s">
        <v>157</v>
      </c>
      <c r="B15028" s="1" t="str">
        <f>HYPERLINK("http://mobilcard.co.nz","mobilcard.co.nz")</f>
        <v>mobilcard.co.nz</v>
      </c>
      <c r="C15028" t="s">
        <v>479</v>
      </c>
      <c r="D15028" t="s">
        <v>854</v>
      </c>
      <c r="F15028">
        <v>8.1689469739350193E-9</v>
      </c>
      <c r="G15028">
        <v>9624236</v>
      </c>
      <c r="H15028">
        <v>12286457</v>
      </c>
      <c r="I15028">
        <v>21183523</v>
      </c>
      <c r="J15028">
        <v>3</v>
      </c>
    </row>
    <row r="15029" spans="1:10" x14ac:dyDescent="0.25">
      <c r="A15029" t="s">
        <v>157</v>
      </c>
      <c r="B15029" s="1" t="str">
        <f>HYPERLINK("http://mobil.pl","mobil.pl")</f>
        <v>mobil.pl</v>
      </c>
      <c r="C15029" t="s">
        <v>486</v>
      </c>
      <c r="D15029" t="s">
        <v>860</v>
      </c>
      <c r="F15029">
        <v>4.6907332197895601E-8</v>
      </c>
      <c r="G15029">
        <v>995334</v>
      </c>
      <c r="H15029">
        <v>12493431</v>
      </c>
      <c r="I15029">
        <v>17443612</v>
      </c>
      <c r="J15029">
        <v>4</v>
      </c>
    </row>
    <row r="15030" spans="1:10" x14ac:dyDescent="0.25">
      <c r="A15030" t="s">
        <v>157</v>
      </c>
      <c r="B15030" s="1" t="str">
        <f>HYPERLINK("http://exxonmobil.com.qa","exxonmobil.com.qa")</f>
        <v>exxonmobil.com.qa</v>
      </c>
      <c r="C15030" t="s">
        <v>490</v>
      </c>
      <c r="D15030" t="s">
        <v>864</v>
      </c>
      <c r="F15030">
        <v>3.7116846686864997E-8</v>
      </c>
      <c r="G15030">
        <v>1396060</v>
      </c>
      <c r="H15030">
        <v>13053614</v>
      </c>
      <c r="I15030">
        <v>12572322</v>
      </c>
      <c r="J15030">
        <v>2</v>
      </c>
    </row>
    <row r="15031" spans="1:10" x14ac:dyDescent="0.25">
      <c r="A15031" t="s">
        <v>157</v>
      </c>
      <c r="B15031" s="1" t="str">
        <f>HYPERLINK("http://exxonmobil.ru","exxonmobil.ru")</f>
        <v>exxonmobil.ru</v>
      </c>
      <c r="C15031" t="s">
        <v>493</v>
      </c>
      <c r="D15031" t="s">
        <v>867</v>
      </c>
      <c r="F15031">
        <v>2.95740486161007E-8</v>
      </c>
      <c r="G15031">
        <v>1743036</v>
      </c>
      <c r="H15031">
        <v>14379737</v>
      </c>
      <c r="I15031">
        <v>1197723</v>
      </c>
      <c r="J15031">
        <v>2</v>
      </c>
    </row>
    <row r="15032" spans="1:10" x14ac:dyDescent="0.25">
      <c r="A15032" t="s">
        <v>157</v>
      </c>
      <c r="B15032" s="1" t="str">
        <f>HYPERLINK("http://mobil.ru","mobil.ru")</f>
        <v>mobil.ru</v>
      </c>
      <c r="C15032" t="s">
        <v>493</v>
      </c>
      <c r="D15032" t="s">
        <v>867</v>
      </c>
      <c r="E15032">
        <v>889570</v>
      </c>
      <c r="F15032">
        <v>6.1363124684443006E-8</v>
      </c>
      <c r="G15032">
        <v>717403</v>
      </c>
      <c r="H15032">
        <v>13224330</v>
      </c>
      <c r="I15032">
        <v>11312028</v>
      </c>
      <c r="J15032">
        <v>4</v>
      </c>
    </row>
    <row r="15033" spans="1:10" x14ac:dyDescent="0.25">
      <c r="A15033" t="s">
        <v>157</v>
      </c>
      <c r="B15033" s="1" t="str">
        <f>HYPERLINK("http://samref.com.sa","samref.com.sa")</f>
        <v>samref.com.sa</v>
      </c>
      <c r="C15033" t="s">
        <v>494</v>
      </c>
      <c r="D15033" t="s">
        <v>868</v>
      </c>
      <c r="F15033">
        <v>1.08665617518922E-8</v>
      </c>
      <c r="G15033">
        <v>5968157</v>
      </c>
      <c r="H15033">
        <v>13765444</v>
      </c>
      <c r="I15033">
        <v>7103097</v>
      </c>
      <c r="J15033">
        <v>3</v>
      </c>
    </row>
    <row r="15034" spans="1:10" x14ac:dyDescent="0.25">
      <c r="A15034" t="s">
        <v>157</v>
      </c>
      <c r="B15034" s="1" t="str">
        <f>HYPERLINK("http://exxonmobil.com.sg","exxonmobil.com.sg")</f>
        <v>exxonmobil.com.sg</v>
      </c>
      <c r="C15034" t="s">
        <v>496</v>
      </c>
      <c r="D15034" t="s">
        <v>870</v>
      </c>
      <c r="F15034">
        <v>4.0657554507422197E-8</v>
      </c>
      <c r="G15034">
        <v>1274356</v>
      </c>
      <c r="H15034">
        <v>13962339</v>
      </c>
      <c r="I15034">
        <v>4102501</v>
      </c>
      <c r="J15034">
        <v>2</v>
      </c>
    </row>
    <row r="15035" spans="1:10" x14ac:dyDescent="0.25">
      <c r="A15035" t="s">
        <v>157</v>
      </c>
      <c r="B15035" s="1" t="str">
        <f>HYPERLINK("http://esso.co.th","esso.co.th")</f>
        <v>esso.co.th</v>
      </c>
      <c r="C15035" t="s">
        <v>500</v>
      </c>
      <c r="D15035" t="s">
        <v>874</v>
      </c>
      <c r="F15035">
        <v>3.39903091343838E-8</v>
      </c>
      <c r="G15035">
        <v>1523353</v>
      </c>
      <c r="H15035">
        <v>14255678</v>
      </c>
      <c r="I15035">
        <v>1432426</v>
      </c>
      <c r="J15035">
        <v>4</v>
      </c>
    </row>
    <row r="15036" spans="1:10" x14ac:dyDescent="0.25">
      <c r="A15036" t="s">
        <v>157</v>
      </c>
      <c r="B15036" s="1" t="str">
        <f>HYPERLINK("http://mobil.co.th","mobil.co.th")</f>
        <v>mobil.co.th</v>
      </c>
      <c r="C15036" t="s">
        <v>500</v>
      </c>
      <c r="D15036" t="s">
        <v>874</v>
      </c>
      <c r="F15036">
        <v>2.65421461870821E-8</v>
      </c>
      <c r="G15036">
        <v>1939618</v>
      </c>
      <c r="H15036">
        <v>12535653</v>
      </c>
      <c r="I15036">
        <v>16981121</v>
      </c>
      <c r="J15036">
        <v>4</v>
      </c>
    </row>
    <row r="15037" spans="1:10" x14ac:dyDescent="0.25">
      <c r="A15037" t="s">
        <v>157</v>
      </c>
      <c r="B15037" s="1" t="str">
        <f>HYPERLINK("http://mobil.com.tw","mobil.com.tw")</f>
        <v>mobil.com.tw</v>
      </c>
      <c r="C15037" t="s">
        <v>504</v>
      </c>
      <c r="D15037" t="s">
        <v>878</v>
      </c>
      <c r="F15037">
        <v>2.6296683488738899E-8</v>
      </c>
      <c r="G15037">
        <v>1958237</v>
      </c>
      <c r="H15037">
        <v>12350162</v>
      </c>
      <c r="I15037">
        <v>19764233</v>
      </c>
      <c r="J15037">
        <v>4</v>
      </c>
    </row>
    <row r="15038" spans="1:10" x14ac:dyDescent="0.25">
      <c r="A15038" t="s">
        <v>157</v>
      </c>
      <c r="B15038" s="1" t="str">
        <f>HYPERLINK("http://esso.co.uk","esso.co.uk")</f>
        <v>esso.co.uk</v>
      </c>
      <c r="C15038" t="s">
        <v>506</v>
      </c>
      <c r="D15038" t="s">
        <v>880</v>
      </c>
      <c r="F15038">
        <v>4.49883788668246E-8</v>
      </c>
      <c r="G15038">
        <v>1049957</v>
      </c>
      <c r="H15038">
        <v>13781227</v>
      </c>
      <c r="I15038">
        <v>6460939</v>
      </c>
      <c r="J15038">
        <v>4</v>
      </c>
    </row>
    <row r="15039" spans="1:10" x14ac:dyDescent="0.25">
      <c r="A15039" t="s">
        <v>157</v>
      </c>
      <c r="B15039" s="1" t="str">
        <f>HYPERLINK("http://exxonmobil.co.uk","exxonmobil.co.uk")</f>
        <v>exxonmobil.co.uk</v>
      </c>
      <c r="C15039" t="s">
        <v>506</v>
      </c>
      <c r="D15039" t="s">
        <v>880</v>
      </c>
      <c r="F15039">
        <v>9.7471996512365902E-8</v>
      </c>
      <c r="G15039">
        <v>414383</v>
      </c>
      <c r="H15039">
        <v>17046822</v>
      </c>
      <c r="I15039">
        <v>77397</v>
      </c>
      <c r="J15039">
        <v>2</v>
      </c>
    </row>
    <row r="15040" spans="1:10" x14ac:dyDescent="0.25">
      <c r="A15040" t="s">
        <v>157</v>
      </c>
      <c r="B15040" s="1" t="str">
        <f>HYPERLINK("http://mobil.co.uk","mobil.co.uk")</f>
        <v>mobil.co.uk</v>
      </c>
      <c r="C15040" t="s">
        <v>506</v>
      </c>
      <c r="D15040" t="s">
        <v>880</v>
      </c>
      <c r="E15040">
        <v>769174</v>
      </c>
      <c r="F15040">
        <v>4.6530525269776803E-8</v>
      </c>
      <c r="G15040">
        <v>1005019</v>
      </c>
      <c r="H15040">
        <v>12458260</v>
      </c>
      <c r="I15040">
        <v>17898764</v>
      </c>
      <c r="J15040">
        <v>4</v>
      </c>
    </row>
    <row r="15041" spans="1:10" x14ac:dyDescent="0.25">
      <c r="A15041" t="s">
        <v>157</v>
      </c>
      <c r="B15041" s="1" t="str">
        <f>HYPERLINK("http://mobil.us","mobil.us")</f>
        <v>mobil.us</v>
      </c>
      <c r="C15041" t="s">
        <v>522</v>
      </c>
      <c r="D15041" t="s">
        <v>891</v>
      </c>
      <c r="F15041">
        <v>1.08549560707714E-8</v>
      </c>
      <c r="G15041">
        <v>5976931</v>
      </c>
      <c r="H15041">
        <v>12493897</v>
      </c>
      <c r="I15041">
        <v>17437876</v>
      </c>
      <c r="J15041">
        <v>6</v>
      </c>
    </row>
    <row r="15042" spans="1:10" x14ac:dyDescent="0.25">
      <c r="A15042" t="s">
        <v>158</v>
      </c>
      <c r="B15042" s="1" t="str">
        <f>HYPERLINK("http://uniqlo.com.au","uniqlo.com.au")</f>
        <v>uniqlo.com.au</v>
      </c>
      <c r="C15042" t="s">
        <v>420</v>
      </c>
      <c r="D15042" t="s">
        <v>802</v>
      </c>
      <c r="F15042">
        <v>5.0443230742307001E-9</v>
      </c>
      <c r="G15042">
        <v>28347033</v>
      </c>
      <c r="H15042">
        <v>11154168</v>
      </c>
      <c r="I15042">
        <v>31683515</v>
      </c>
      <c r="J15042">
        <v>4</v>
      </c>
    </row>
    <row r="15043" spans="1:10" x14ac:dyDescent="0.25">
      <c r="A15043" t="s">
        <v>158</v>
      </c>
      <c r="B15043" s="1" t="str">
        <f>HYPERLINK("http://uniqlorennes.bzh","uniqlorennes.bzh")</f>
        <v>uniqlorennes.bzh</v>
      </c>
      <c r="C15043" t="s">
        <v>746</v>
      </c>
      <c r="F15043">
        <v>4.8385965232208002E-9</v>
      </c>
      <c r="G15043">
        <v>34527000</v>
      </c>
      <c r="H15043">
        <v>12026677</v>
      </c>
      <c r="I15043">
        <v>27740425</v>
      </c>
      <c r="J15043">
        <v>4</v>
      </c>
    </row>
    <row r="15044" spans="1:10" x14ac:dyDescent="0.25">
      <c r="A15044" t="s">
        <v>158</v>
      </c>
      <c r="B15044" s="1" t="str">
        <f>HYPERLINK("http://fastretailing.cn","fastretailing.cn")</f>
        <v>fastretailing.cn</v>
      </c>
      <c r="C15044" t="s">
        <v>431</v>
      </c>
      <c r="D15044" t="s">
        <v>812</v>
      </c>
      <c r="F15044">
        <v>4.4448699264177799E-9</v>
      </c>
      <c r="G15044">
        <v>75967914</v>
      </c>
      <c r="H15044">
        <v>8233001.5</v>
      </c>
      <c r="I15044">
        <v>74753594</v>
      </c>
      <c r="J15044">
        <v>2</v>
      </c>
    </row>
    <row r="15045" spans="1:10" x14ac:dyDescent="0.25">
      <c r="A15045" t="s">
        <v>158</v>
      </c>
      <c r="B15045" s="1" t="str">
        <f>HYPERLINK("http://uniqlo.cn","uniqlo.cn")</f>
        <v>uniqlo.cn</v>
      </c>
      <c r="C15045" t="s">
        <v>431</v>
      </c>
      <c r="D15045" t="s">
        <v>812</v>
      </c>
      <c r="E15045">
        <v>109721</v>
      </c>
      <c r="F15045">
        <v>1.8593775377211501E-7</v>
      </c>
      <c r="G15045">
        <v>207269</v>
      </c>
      <c r="H15045">
        <v>13160954</v>
      </c>
      <c r="I15045">
        <v>11785042</v>
      </c>
      <c r="J15045">
        <v>3</v>
      </c>
    </row>
    <row r="15046" spans="1:10" x14ac:dyDescent="0.25">
      <c r="A15046" t="s">
        <v>158</v>
      </c>
      <c r="B15046" s="1" t="str">
        <f>HYPERLINK("http://comptoirdescotonniers.com","comptoirdescotonniers.com")</f>
        <v>comptoirdescotonniers.com</v>
      </c>
      <c r="C15046" t="s">
        <v>433</v>
      </c>
      <c r="E15046">
        <v>317271</v>
      </c>
      <c r="F15046">
        <v>1.6490782481766201E-7</v>
      </c>
      <c r="G15046">
        <v>235424</v>
      </c>
      <c r="H15046">
        <v>17094390</v>
      </c>
      <c r="I15046">
        <v>64957</v>
      </c>
      <c r="J15046">
        <v>3</v>
      </c>
    </row>
    <row r="15047" spans="1:10" x14ac:dyDescent="0.25">
      <c r="A15047" t="s">
        <v>158</v>
      </c>
      <c r="B15047" s="1" t="str">
        <f>HYPERLINK("http://fastretailing.com","fastretailing.com")</f>
        <v>fastretailing.com</v>
      </c>
      <c r="C15047" t="s">
        <v>433</v>
      </c>
      <c r="E15047">
        <v>51739</v>
      </c>
      <c r="F15047">
        <v>5.0970983542326899E-7</v>
      </c>
      <c r="G15047">
        <v>75165</v>
      </c>
      <c r="H15047">
        <v>17235870</v>
      </c>
      <c r="I15047">
        <v>36015</v>
      </c>
      <c r="J15047">
        <v>1</v>
      </c>
    </row>
    <row r="15048" spans="1:10" x14ac:dyDescent="0.25">
      <c r="A15048" t="s">
        <v>158</v>
      </c>
      <c r="B15048" s="1" t="str">
        <f>HYPERLINK("http://gu-global.com","gu-global.com")</f>
        <v>gu-global.com</v>
      </c>
      <c r="C15048" t="s">
        <v>433</v>
      </c>
      <c r="E15048">
        <v>41501</v>
      </c>
      <c r="F15048">
        <v>5.6482037880250198E-7</v>
      </c>
      <c r="G15048">
        <v>67819</v>
      </c>
      <c r="H15048">
        <v>17092746</v>
      </c>
      <c r="I15048">
        <v>65333</v>
      </c>
      <c r="J15048">
        <v>3</v>
      </c>
    </row>
    <row r="15049" spans="1:10" x14ac:dyDescent="0.25">
      <c r="A15049" t="s">
        <v>158</v>
      </c>
      <c r="B15049" s="1" t="str">
        <f>HYPERLINK("http://gu-japan.com","gu-japan.com")</f>
        <v>gu-japan.com</v>
      </c>
      <c r="C15049" t="s">
        <v>433</v>
      </c>
      <c r="E15049">
        <v>283119</v>
      </c>
      <c r="F15049">
        <v>1.72676766617555E-7</v>
      </c>
      <c r="G15049">
        <v>224639</v>
      </c>
      <c r="H15049">
        <v>15040524</v>
      </c>
      <c r="I15049">
        <v>416459</v>
      </c>
      <c r="J15049">
        <v>4</v>
      </c>
    </row>
    <row r="15050" spans="1:10" x14ac:dyDescent="0.25">
      <c r="A15050" t="s">
        <v>158</v>
      </c>
      <c r="B15050" s="1" t="str">
        <f>HYPERLINK("http://princessetamtam.com","princessetamtam.com")</f>
        <v>princessetamtam.com</v>
      </c>
      <c r="C15050" t="s">
        <v>433</v>
      </c>
      <c r="E15050">
        <v>340205</v>
      </c>
      <c r="F15050">
        <v>1.13616699279502E-7</v>
      </c>
      <c r="G15050">
        <v>350810</v>
      </c>
      <c r="H15050">
        <v>16934066</v>
      </c>
      <c r="I15050">
        <v>116542</v>
      </c>
      <c r="J15050">
        <v>3</v>
      </c>
    </row>
    <row r="15051" spans="1:10" x14ac:dyDescent="0.25">
      <c r="A15051" t="s">
        <v>158</v>
      </c>
      <c r="B15051" s="1" t="str">
        <f>HYPERLINK("http://uniqlo.com","uniqlo.com")</f>
        <v>uniqlo.com</v>
      </c>
      <c r="C15051" t="s">
        <v>433</v>
      </c>
      <c r="E15051">
        <v>2406</v>
      </c>
      <c r="F15051">
        <v>4.47861189274529E-6</v>
      </c>
      <c r="G15051">
        <v>7868</v>
      </c>
      <c r="H15051">
        <v>17782698</v>
      </c>
      <c r="I15051">
        <v>5842</v>
      </c>
      <c r="J15051">
        <v>3</v>
      </c>
    </row>
    <row r="15052" spans="1:10" x14ac:dyDescent="0.25">
      <c r="A15052" t="s">
        <v>158</v>
      </c>
      <c r="B15052" s="1" t="str">
        <f>HYPERLINK("http://uniqlo-usa.com","uniqlo-usa.com")</f>
        <v>uniqlo-usa.com</v>
      </c>
      <c r="C15052" t="s">
        <v>433</v>
      </c>
      <c r="F15052">
        <v>4.8514773423643998E-9</v>
      </c>
      <c r="G15052">
        <v>34092054</v>
      </c>
      <c r="H15052">
        <v>13933436</v>
      </c>
      <c r="I15052">
        <v>4743783</v>
      </c>
      <c r="J15052">
        <v>3</v>
      </c>
    </row>
    <row r="15053" spans="1:10" x14ac:dyDescent="0.25">
      <c r="A15053" t="s">
        <v>158</v>
      </c>
      <c r="B15053" s="1" t="str">
        <f>HYPERLINK("http://comptoirdescotonniers.de","comptoirdescotonniers.de")</f>
        <v>comptoirdescotonniers.de</v>
      </c>
      <c r="C15053" t="s">
        <v>436</v>
      </c>
      <c r="D15053" t="s">
        <v>815</v>
      </c>
      <c r="F15053">
        <v>2.2047307019168499E-8</v>
      </c>
      <c r="G15053">
        <v>2380588</v>
      </c>
      <c r="H15053">
        <v>14371423</v>
      </c>
      <c r="I15053">
        <v>1287084</v>
      </c>
      <c r="J15053">
        <v>4</v>
      </c>
    </row>
    <row r="15054" spans="1:10" x14ac:dyDescent="0.25">
      <c r="A15054" t="s">
        <v>158</v>
      </c>
      <c r="B15054" s="1" t="str">
        <f>HYPERLINK("http://princessetamtam.de","princessetamtam.de")</f>
        <v>princessetamtam.de</v>
      </c>
      <c r="C15054" t="s">
        <v>436</v>
      </c>
      <c r="D15054" t="s">
        <v>815</v>
      </c>
      <c r="F15054">
        <v>8.1667471939861406E-9</v>
      </c>
      <c r="G15054">
        <v>9627972</v>
      </c>
      <c r="H15054">
        <v>12656725</v>
      </c>
      <c r="I15054">
        <v>15759058</v>
      </c>
      <c r="J15054">
        <v>4</v>
      </c>
    </row>
    <row r="15055" spans="1:10" x14ac:dyDescent="0.25">
      <c r="A15055" t="s">
        <v>158</v>
      </c>
      <c r="B15055" s="1" t="str">
        <f>HYPERLINK("http://comptoirdescotonniers.es","comptoirdescotonniers.es")</f>
        <v>comptoirdescotonniers.es</v>
      </c>
      <c r="C15055" t="s">
        <v>443</v>
      </c>
      <c r="D15055" t="s">
        <v>822</v>
      </c>
      <c r="F15055">
        <v>1.04686190695609E-8</v>
      </c>
      <c r="G15055">
        <v>6296852</v>
      </c>
      <c r="H15055">
        <v>14129182</v>
      </c>
      <c r="I15055">
        <v>2050199</v>
      </c>
      <c r="J15055">
        <v>4</v>
      </c>
    </row>
    <row r="15056" spans="1:10" x14ac:dyDescent="0.25">
      <c r="A15056" t="s">
        <v>158</v>
      </c>
      <c r="B15056" s="1" t="str">
        <f>HYPERLINK("http://comptoirdescotonniers.eu","comptoirdescotonniers.eu")</f>
        <v>comptoirdescotonniers.eu</v>
      </c>
      <c r="C15056" t="s">
        <v>444</v>
      </c>
      <c r="F15056">
        <v>2.3005658825637201E-8</v>
      </c>
      <c r="G15056">
        <v>2271197</v>
      </c>
      <c r="H15056">
        <v>14137590</v>
      </c>
      <c r="I15056">
        <v>1953279</v>
      </c>
      <c r="J15056">
        <v>4</v>
      </c>
    </row>
    <row r="15057" spans="1:10" x14ac:dyDescent="0.25">
      <c r="A15057" t="s">
        <v>158</v>
      </c>
      <c r="B15057" s="1" t="str">
        <f>HYPERLINK("http://fast-retailing.fi","fast-retailing.fi")</f>
        <v>fast-retailing.fi</v>
      </c>
      <c r="C15057" t="s">
        <v>445</v>
      </c>
      <c r="D15057" t="s">
        <v>823</v>
      </c>
      <c r="J15057">
        <v>2</v>
      </c>
    </row>
    <row r="15058" spans="1:10" x14ac:dyDescent="0.25">
      <c r="A15058" t="s">
        <v>158</v>
      </c>
      <c r="B15058" s="1" t="str">
        <f>HYPERLINK("http://fastretailing.fi","fastretailing.fi")</f>
        <v>fastretailing.fi</v>
      </c>
      <c r="C15058" t="s">
        <v>445</v>
      </c>
      <c r="D15058" t="s">
        <v>823</v>
      </c>
      <c r="J15058">
        <v>2</v>
      </c>
    </row>
    <row r="15059" spans="1:10" x14ac:dyDescent="0.25">
      <c r="A15059" t="s">
        <v>158</v>
      </c>
      <c r="B15059" s="1" t="str">
        <f>HYPERLINK("http://uniqlo.fi","uniqlo.fi")</f>
        <v>uniqlo.fi</v>
      </c>
      <c r="C15059" t="s">
        <v>445</v>
      </c>
      <c r="D15059" t="s">
        <v>823</v>
      </c>
      <c r="J15059">
        <v>2</v>
      </c>
    </row>
    <row r="15060" spans="1:10" x14ac:dyDescent="0.25">
      <c r="A15060" t="s">
        <v>158</v>
      </c>
      <c r="B15060" s="1" t="str">
        <f>HYPERLINK("http://comptoirdescotonniers.fr","comptoirdescotonniers.fr")</f>
        <v>comptoirdescotonniers.fr</v>
      </c>
      <c r="C15060" t="s">
        <v>446</v>
      </c>
      <c r="D15060" t="s">
        <v>824</v>
      </c>
      <c r="F15060">
        <v>4.5840286136923504E-9</v>
      </c>
      <c r="G15060">
        <v>48947957</v>
      </c>
      <c r="H15060">
        <v>10359473</v>
      </c>
      <c r="I15060">
        <v>55253048</v>
      </c>
      <c r="J15060">
        <v>4</v>
      </c>
    </row>
    <row r="15061" spans="1:10" x14ac:dyDescent="0.25">
      <c r="A15061" t="s">
        <v>158</v>
      </c>
      <c r="B15061" s="1" t="str">
        <f>HYPERLINK("http://uniqlo.fr","uniqlo.fr")</f>
        <v>uniqlo.fr</v>
      </c>
      <c r="C15061" t="s">
        <v>446</v>
      </c>
      <c r="D15061" t="s">
        <v>824</v>
      </c>
      <c r="F15061">
        <v>4.6452657985101798E-9</v>
      </c>
      <c r="G15061">
        <v>44435465</v>
      </c>
      <c r="H15061">
        <v>11006444</v>
      </c>
      <c r="I15061">
        <v>33461978</v>
      </c>
      <c r="J15061">
        <v>4</v>
      </c>
    </row>
    <row r="15062" spans="1:10" x14ac:dyDescent="0.25">
      <c r="A15062" t="s">
        <v>158</v>
      </c>
      <c r="B15062" s="1" t="str">
        <f>HYPERLINK("http://uniqlo.com.hk","uniqlo.com.hk")</f>
        <v>uniqlo.com.hk</v>
      </c>
      <c r="C15062" t="s">
        <v>450</v>
      </c>
      <c r="D15062" t="s">
        <v>827</v>
      </c>
      <c r="E15062">
        <v>192858</v>
      </c>
      <c r="F15062">
        <v>3.6249244793734598E-8</v>
      </c>
      <c r="G15062">
        <v>1438828</v>
      </c>
      <c r="H15062">
        <v>13909130</v>
      </c>
      <c r="I15062">
        <v>5943148</v>
      </c>
      <c r="J15062">
        <v>4</v>
      </c>
    </row>
    <row r="15063" spans="1:10" x14ac:dyDescent="0.25">
      <c r="A15063" t="s">
        <v>158</v>
      </c>
      <c r="B15063" s="1" t="str">
        <f>HYPERLINK("http://uniqlo.jp","uniqlo.jp")</f>
        <v>uniqlo.jp</v>
      </c>
      <c r="C15063" t="s">
        <v>461</v>
      </c>
      <c r="D15063" t="s">
        <v>837</v>
      </c>
      <c r="E15063">
        <v>753125</v>
      </c>
      <c r="F15063">
        <v>1.18561359210675E-7</v>
      </c>
      <c r="G15063">
        <v>333983</v>
      </c>
      <c r="H15063">
        <v>14738734</v>
      </c>
      <c r="I15063">
        <v>568305</v>
      </c>
      <c r="J15063">
        <v>4</v>
      </c>
    </row>
    <row r="15064" spans="1:10" x14ac:dyDescent="0.25">
      <c r="A15064" t="s">
        <v>158</v>
      </c>
      <c r="B15064" s="1" t="str">
        <f>HYPERLINK("http://uniqlo.kr","uniqlo.kr")</f>
        <v>uniqlo.kr</v>
      </c>
      <c r="C15064" t="s">
        <v>463</v>
      </c>
      <c r="D15064" t="s">
        <v>839</v>
      </c>
      <c r="F15064">
        <v>3.2793670436366E-8</v>
      </c>
      <c r="G15064">
        <v>1575384</v>
      </c>
      <c r="H15064">
        <v>13942275</v>
      </c>
      <c r="I15064">
        <v>4333352</v>
      </c>
      <c r="J15064">
        <v>4</v>
      </c>
    </row>
    <row r="15065" spans="1:10" x14ac:dyDescent="0.25">
      <c r="A15065" t="s">
        <v>158</v>
      </c>
      <c r="B15065" s="1" t="str">
        <f>HYPERLINK("http://comptoirdescotonniers.co.uk","comptoirdescotonniers.co.uk")</f>
        <v>comptoirdescotonniers.co.uk</v>
      </c>
      <c r="C15065" t="s">
        <v>506</v>
      </c>
      <c r="D15065" t="s">
        <v>880</v>
      </c>
      <c r="F15065">
        <v>1.35520722312867E-8</v>
      </c>
      <c r="G15065">
        <v>4381965</v>
      </c>
      <c r="H15065">
        <v>14133203</v>
      </c>
      <c r="I15065">
        <v>1991161</v>
      </c>
      <c r="J15065">
        <v>5</v>
      </c>
    </row>
    <row r="15066" spans="1:10" x14ac:dyDescent="0.25">
      <c r="A15066" t="s">
        <v>158</v>
      </c>
      <c r="B15066" s="1" t="str">
        <f>HYPERLINK("http://princessetamtam.co.uk","princessetamtam.co.uk")</f>
        <v>princessetamtam.co.uk</v>
      </c>
      <c r="C15066" t="s">
        <v>506</v>
      </c>
      <c r="D15066" t="s">
        <v>880</v>
      </c>
      <c r="F15066">
        <v>7.9054293151060897E-9</v>
      </c>
      <c r="G15066">
        <v>10100965</v>
      </c>
      <c r="H15066">
        <v>13774175</v>
      </c>
      <c r="I15066">
        <v>6612836</v>
      </c>
      <c r="J15066">
        <v>4</v>
      </c>
    </row>
    <row r="15067" spans="1:10" x14ac:dyDescent="0.25">
      <c r="A15067" t="s">
        <v>158</v>
      </c>
      <c r="B15067" s="1" t="str">
        <f>HYPERLINK("http://uniqlo.co.uk","uniqlo.co.uk")</f>
        <v>uniqlo.co.uk</v>
      </c>
      <c r="C15067" t="s">
        <v>506</v>
      </c>
      <c r="D15067" t="s">
        <v>880</v>
      </c>
      <c r="F15067">
        <v>1.2721846543937201E-8</v>
      </c>
      <c r="G15067">
        <v>4768492</v>
      </c>
      <c r="H15067">
        <v>14166487</v>
      </c>
      <c r="I15067">
        <v>1818249</v>
      </c>
      <c r="J15067">
        <v>3</v>
      </c>
    </row>
    <row r="15068" spans="1:10" x14ac:dyDescent="0.25">
      <c r="A15068" t="s">
        <v>159</v>
      </c>
      <c r="B15068" s="1" t="str">
        <f>HYPERLINK("http://tnt.com.au","tnt.com.au")</f>
        <v>tnt.com.au</v>
      </c>
      <c r="C15068" t="s">
        <v>420</v>
      </c>
      <c r="D15068" t="s">
        <v>802</v>
      </c>
      <c r="F15068">
        <v>2.06121436628382E-8</v>
      </c>
      <c r="G15068">
        <v>2568894</v>
      </c>
      <c r="H15068">
        <v>12884700</v>
      </c>
      <c r="I15068">
        <v>13970089</v>
      </c>
      <c r="J15068">
        <v>4</v>
      </c>
    </row>
    <row r="15069" spans="1:10" x14ac:dyDescent="0.25">
      <c r="A15069" t="s">
        <v>159</v>
      </c>
      <c r="B15069" s="1" t="str">
        <f>HYPERLINK("http://informazione.com.br","informazione.com.br")</f>
        <v>informazione.com.br</v>
      </c>
      <c r="C15069" t="s">
        <v>425</v>
      </c>
      <c r="D15069" t="s">
        <v>806</v>
      </c>
      <c r="F15069">
        <v>6.4222552435151702E-9</v>
      </c>
      <c r="G15069">
        <v>14415993</v>
      </c>
      <c r="H15069">
        <v>14486027</v>
      </c>
      <c r="I15069">
        <v>975431</v>
      </c>
      <c r="J15069">
        <v>3</v>
      </c>
    </row>
    <row r="15070" spans="1:10" x14ac:dyDescent="0.25">
      <c r="A15070" t="s">
        <v>159</v>
      </c>
      <c r="B15070" s="1" t="str">
        <f>HYPERLINK("http://tntbrasil.com.br","tntbrasil.com.br")</f>
        <v>tntbrasil.com.br</v>
      </c>
      <c r="C15070" t="s">
        <v>425</v>
      </c>
      <c r="D15070" t="s">
        <v>806</v>
      </c>
      <c r="E15070">
        <v>328663</v>
      </c>
      <c r="F15070">
        <v>2.24815945808531E-8</v>
      </c>
      <c r="G15070">
        <v>2330543</v>
      </c>
      <c r="H15070">
        <v>13353126</v>
      </c>
      <c r="I15070">
        <v>10606003</v>
      </c>
      <c r="J15070">
        <v>2</v>
      </c>
    </row>
    <row r="15071" spans="1:10" x14ac:dyDescent="0.25">
      <c r="A15071" t="s">
        <v>159</v>
      </c>
      <c r="B15071" s="1" t="str">
        <f>HYPERLINK("http://mum.by","mum.by")</f>
        <v>mum.by</v>
      </c>
      <c r="C15071" t="s">
        <v>427</v>
      </c>
      <c r="D15071" t="s">
        <v>808</v>
      </c>
      <c r="E15071">
        <v>879092</v>
      </c>
      <c r="F15071">
        <v>2.28099232032861E-8</v>
      </c>
      <c r="G15071">
        <v>2292749</v>
      </c>
      <c r="H15071">
        <v>12419780</v>
      </c>
      <c r="I15071">
        <v>18462603</v>
      </c>
      <c r="J15071">
        <v>3</v>
      </c>
    </row>
    <row r="15072" spans="1:10" x14ac:dyDescent="0.25">
      <c r="A15072" t="s">
        <v>159</v>
      </c>
      <c r="B15072" s="1" t="str">
        <f>HYPERLINK("http://fedex.ca","fedex.ca")</f>
        <v>fedex.ca</v>
      </c>
      <c r="C15072" t="s">
        <v>428</v>
      </c>
      <c r="D15072" t="s">
        <v>809</v>
      </c>
      <c r="F15072">
        <v>4.8496212637154198E-8</v>
      </c>
      <c r="G15072">
        <v>956613</v>
      </c>
      <c r="H15072">
        <v>13183450</v>
      </c>
      <c r="I15072">
        <v>11674870</v>
      </c>
      <c r="J15072">
        <v>2</v>
      </c>
    </row>
    <row r="15073" spans="1:10" x14ac:dyDescent="0.25">
      <c r="A15073" t="s">
        <v>159</v>
      </c>
      <c r="B15073" s="1" t="str">
        <f>HYPERLINK("http://tnt.careers","tnt.careers")</f>
        <v>tnt.careers</v>
      </c>
      <c r="C15073" t="s">
        <v>756</v>
      </c>
      <c r="J15073">
        <v>6</v>
      </c>
    </row>
    <row r="15074" spans="1:10" x14ac:dyDescent="0.25">
      <c r="A15074" t="s">
        <v>159</v>
      </c>
      <c r="B15074" s="1" t="str">
        <f>HYPERLINK("http://fedex.com.cn","fedex.com.cn")</f>
        <v>fedex.com.cn</v>
      </c>
      <c r="C15074" t="s">
        <v>431</v>
      </c>
      <c r="D15074" t="s">
        <v>812</v>
      </c>
      <c r="E15074">
        <v>986548</v>
      </c>
      <c r="F15074">
        <v>1.02682379354723E-8</v>
      </c>
      <c r="G15074">
        <v>6481028</v>
      </c>
      <c r="H15074">
        <v>12923738</v>
      </c>
      <c r="I15074">
        <v>13404773</v>
      </c>
      <c r="J15074">
        <v>2</v>
      </c>
    </row>
    <row r="15075" spans="1:10" x14ac:dyDescent="0.25">
      <c r="A15075" t="s">
        <v>159</v>
      </c>
      <c r="B15075" s="1" t="str">
        <f>HYPERLINK("http://azeriexpress.com","azeriexpress.com")</f>
        <v>azeriexpress.com</v>
      </c>
      <c r="C15075" t="s">
        <v>433</v>
      </c>
      <c r="F15075">
        <v>1.0486863512886501E-8</v>
      </c>
      <c r="G15075">
        <v>6280930</v>
      </c>
      <c r="H15075">
        <v>12813970</v>
      </c>
      <c r="I15075">
        <v>14543082</v>
      </c>
      <c r="J15075">
        <v>3</v>
      </c>
    </row>
    <row r="15076" spans="1:10" x14ac:dyDescent="0.25">
      <c r="A15076" t="s">
        <v>159</v>
      </c>
      <c r="B15076" s="1" t="str">
        <f>HYPERLINK("http://fedex.com","fedex.com")</f>
        <v>fedex.com</v>
      </c>
      <c r="C15076" t="s">
        <v>433</v>
      </c>
      <c r="E15076">
        <v>463</v>
      </c>
      <c r="F15076">
        <v>1.7460665544656101E-5</v>
      </c>
      <c r="G15076">
        <v>1912</v>
      </c>
      <c r="H15076">
        <v>18632862</v>
      </c>
      <c r="I15076">
        <v>1194</v>
      </c>
      <c r="J15076">
        <v>1</v>
      </c>
    </row>
    <row r="15077" spans="1:10" x14ac:dyDescent="0.25">
      <c r="A15077" t="s">
        <v>159</v>
      </c>
      <c r="B15077" s="1" t="str">
        <f>HYPERLINK("http://fedexkinkos.com","fedexkinkos.com")</f>
        <v>fedexkinkos.com</v>
      </c>
      <c r="C15077" t="s">
        <v>433</v>
      </c>
      <c r="F15077">
        <v>2.9630625161814701E-8</v>
      </c>
      <c r="G15077">
        <v>1737548</v>
      </c>
      <c r="H15077">
        <v>13871969</v>
      </c>
      <c r="I15077">
        <v>5996534</v>
      </c>
      <c r="J15077">
        <v>3</v>
      </c>
    </row>
    <row r="15078" spans="1:10" x14ac:dyDescent="0.25">
      <c r="A15078" t="s">
        <v>159</v>
      </c>
      <c r="B15078" s="1" t="str">
        <f>HYPERLINK("http://genco.com","genco.com")</f>
        <v>genco.com</v>
      </c>
      <c r="C15078" t="s">
        <v>433</v>
      </c>
      <c r="E15078">
        <v>138715</v>
      </c>
      <c r="F15078">
        <v>8.0429594242685603E-8</v>
      </c>
      <c r="G15078">
        <v>519252</v>
      </c>
      <c r="H15078">
        <v>16754328</v>
      </c>
      <c r="I15078">
        <v>243434</v>
      </c>
      <c r="J15078">
        <v>2</v>
      </c>
    </row>
    <row r="15079" spans="1:10" x14ac:dyDescent="0.25">
      <c r="A15079" t="s">
        <v>159</v>
      </c>
      <c r="B15079" s="1" t="str">
        <f>HYPERLINK("http://multipack.com","multipack.com")</f>
        <v>multipack.com</v>
      </c>
      <c r="C15079" t="s">
        <v>433</v>
      </c>
      <c r="F15079">
        <v>4.60808967358644E-9</v>
      </c>
      <c r="G15079">
        <v>46988473</v>
      </c>
      <c r="H15079">
        <v>8430268</v>
      </c>
      <c r="I15079">
        <v>72729653</v>
      </c>
      <c r="J15079">
        <v>3</v>
      </c>
    </row>
    <row r="15080" spans="1:10" x14ac:dyDescent="0.25">
      <c r="A15080" t="s">
        <v>159</v>
      </c>
      <c r="B15080" s="1" t="str">
        <f>HYPERLINK("http://p2pmailing.com","p2pmailing.com")</f>
        <v>p2pmailing.com</v>
      </c>
      <c r="C15080" t="s">
        <v>433</v>
      </c>
      <c r="F15080">
        <v>7.71931875710469E-9</v>
      </c>
      <c r="G15080">
        <v>10530797</v>
      </c>
      <c r="H15080">
        <v>10658614</v>
      </c>
      <c r="I15080">
        <v>43458051</v>
      </c>
      <c r="J15080">
        <v>10</v>
      </c>
    </row>
    <row r="15081" spans="1:10" x14ac:dyDescent="0.25">
      <c r="A15081" t="s">
        <v>159</v>
      </c>
      <c r="B15081" s="1" t="str">
        <f>HYPERLINK("http://packnshipjennersville.com","packnshipjennersville.com")</f>
        <v>packnshipjennersville.com</v>
      </c>
      <c r="C15081" t="s">
        <v>433</v>
      </c>
      <c r="F15081">
        <v>6.9117688922785602E-9</v>
      </c>
      <c r="G15081">
        <v>12584401</v>
      </c>
      <c r="H15081">
        <v>12766887</v>
      </c>
      <c r="I15081">
        <v>14867247</v>
      </c>
      <c r="J15081">
        <v>3</v>
      </c>
    </row>
    <row r="15082" spans="1:10" x14ac:dyDescent="0.25">
      <c r="A15082" t="s">
        <v>159</v>
      </c>
      <c r="B15082" s="1" t="str">
        <f>HYPERLINK("http://tnt.com","tnt.com")</f>
        <v>tnt.com</v>
      </c>
      <c r="C15082" t="s">
        <v>433</v>
      </c>
      <c r="E15082">
        <v>11529</v>
      </c>
      <c r="F15082">
        <v>2.8685966677713999E-6</v>
      </c>
      <c r="G15082">
        <v>13443</v>
      </c>
      <c r="H15082">
        <v>15530266</v>
      </c>
      <c r="I15082">
        <v>375864</v>
      </c>
      <c r="J15082">
        <v>3</v>
      </c>
    </row>
    <row r="15083" spans="1:10" x14ac:dyDescent="0.25">
      <c r="A15083" t="s">
        <v>159</v>
      </c>
      <c r="B15083" s="1" t="str">
        <f>HYPERLINK("http://worldtariff.com","worldtariff.com")</f>
        <v>worldtariff.com</v>
      </c>
      <c r="C15083" t="s">
        <v>433</v>
      </c>
      <c r="F15083">
        <v>9.6350440352241206E-9</v>
      </c>
      <c r="G15083">
        <v>7157315</v>
      </c>
      <c r="H15083">
        <v>13141590</v>
      </c>
      <c r="I15083">
        <v>11872338</v>
      </c>
      <c r="J15083">
        <v>3</v>
      </c>
    </row>
    <row r="15084" spans="1:10" x14ac:dyDescent="0.25">
      <c r="A15084" t="s">
        <v>159</v>
      </c>
      <c r="B15084" s="1" t="str">
        <f>HYPERLINK("http://tnt.cz","tnt.cz")</f>
        <v>tnt.cz</v>
      </c>
      <c r="C15084" t="s">
        <v>435</v>
      </c>
      <c r="D15084" t="s">
        <v>814</v>
      </c>
      <c r="F15084">
        <v>6.7403752064556599E-9</v>
      </c>
      <c r="G15084">
        <v>13161609</v>
      </c>
      <c r="H15084">
        <v>12240425</v>
      </c>
      <c r="I15084">
        <v>22245446</v>
      </c>
      <c r="J15084">
        <v>4</v>
      </c>
    </row>
    <row r="15085" spans="1:10" x14ac:dyDescent="0.25">
      <c r="A15085" t="s">
        <v>159</v>
      </c>
      <c r="B15085" s="1" t="str">
        <f>HYPERLINK("http://fedex.de","fedex.de")</f>
        <v>fedex.de</v>
      </c>
      <c r="C15085" t="s">
        <v>436</v>
      </c>
      <c r="D15085" t="s">
        <v>815</v>
      </c>
      <c r="F15085">
        <v>2.35374365783882E-8</v>
      </c>
      <c r="G15085">
        <v>2210624</v>
      </c>
      <c r="H15085">
        <v>13106068</v>
      </c>
      <c r="I15085">
        <v>12065710</v>
      </c>
      <c r="J15085">
        <v>2</v>
      </c>
    </row>
    <row r="15086" spans="1:10" x14ac:dyDescent="0.25">
      <c r="A15086" t="s">
        <v>159</v>
      </c>
      <c r="B15086" s="1" t="str">
        <f>HYPERLINK("http://tnt.de","tnt.de")</f>
        <v>tnt.de</v>
      </c>
      <c r="C15086" t="s">
        <v>436</v>
      </c>
      <c r="D15086" t="s">
        <v>815</v>
      </c>
      <c r="E15086">
        <v>702424</v>
      </c>
      <c r="F15086">
        <v>4.05181167040568E-8</v>
      </c>
      <c r="G15086">
        <v>1278103</v>
      </c>
      <c r="H15086">
        <v>12658404</v>
      </c>
      <c r="I15086">
        <v>15749481</v>
      </c>
      <c r="J15086">
        <v>3</v>
      </c>
    </row>
    <row r="15087" spans="1:10" x14ac:dyDescent="0.25">
      <c r="A15087" t="s">
        <v>159</v>
      </c>
      <c r="B15087" s="1" t="str">
        <f>HYPERLINK("http://tnt.es","tnt.es")</f>
        <v>tnt.es</v>
      </c>
      <c r="C15087" t="s">
        <v>443</v>
      </c>
      <c r="D15087" t="s">
        <v>822</v>
      </c>
      <c r="F15087">
        <v>1.9836749974440901E-8</v>
      </c>
      <c r="G15087">
        <v>2687326</v>
      </c>
      <c r="H15087">
        <v>11300705</v>
      </c>
      <c r="I15087">
        <v>30605511</v>
      </c>
      <c r="J15087">
        <v>4</v>
      </c>
    </row>
    <row r="15088" spans="1:10" x14ac:dyDescent="0.25">
      <c r="A15088" t="s">
        <v>159</v>
      </c>
      <c r="B15088" s="1" t="str">
        <f>HYPERLINK("http://tnt.fi","tnt.fi")</f>
        <v>tnt.fi</v>
      </c>
      <c r="C15088" t="s">
        <v>445</v>
      </c>
      <c r="D15088" t="s">
        <v>823</v>
      </c>
      <c r="F15088">
        <v>5.4027580359881298E-9</v>
      </c>
      <c r="G15088">
        <v>22079096</v>
      </c>
      <c r="H15088">
        <v>14071791</v>
      </c>
      <c r="I15088">
        <v>3443599</v>
      </c>
      <c r="J15088">
        <v>3</v>
      </c>
    </row>
    <row r="15089" spans="1:10" x14ac:dyDescent="0.25">
      <c r="A15089" t="s">
        <v>159</v>
      </c>
      <c r="B15089" s="1" t="str">
        <f>HYPERLINK("http://tnt.fr","tnt.fr")</f>
        <v>tnt.fr</v>
      </c>
      <c r="C15089" t="s">
        <v>446</v>
      </c>
      <c r="D15089" t="s">
        <v>824</v>
      </c>
      <c r="E15089">
        <v>242291</v>
      </c>
      <c r="F15089">
        <v>1.6620992404045701E-7</v>
      </c>
      <c r="G15089">
        <v>233475</v>
      </c>
      <c r="H15089">
        <v>14274989</v>
      </c>
      <c r="I15089">
        <v>1391733</v>
      </c>
      <c r="J15089">
        <v>4</v>
      </c>
    </row>
    <row r="15090" spans="1:10" x14ac:dyDescent="0.25">
      <c r="A15090" t="s">
        <v>159</v>
      </c>
      <c r="B15090" s="1" t="str">
        <f>HYPERLINK("http://rpx.co.id","rpx.co.id")</f>
        <v>rpx.co.id</v>
      </c>
      <c r="C15090" t="s">
        <v>454</v>
      </c>
      <c r="D15090" t="s">
        <v>831</v>
      </c>
      <c r="F15090">
        <v>1.7666550060869099E-8</v>
      </c>
      <c r="G15090">
        <v>3104010</v>
      </c>
      <c r="H15090">
        <v>12612076</v>
      </c>
      <c r="I15090">
        <v>16225356</v>
      </c>
      <c r="J15090">
        <v>3</v>
      </c>
    </row>
    <row r="15091" spans="1:10" x14ac:dyDescent="0.25">
      <c r="A15091" t="s">
        <v>159</v>
      </c>
      <c r="B15091" s="1" t="str">
        <f>HYPERLINK("http://fedex.io","fedex.io")</f>
        <v>fedex.io</v>
      </c>
      <c r="C15091" t="s">
        <v>518</v>
      </c>
      <c r="J15091">
        <v>2</v>
      </c>
    </row>
    <row r="15092" spans="1:10" x14ac:dyDescent="0.25">
      <c r="A15092" t="s">
        <v>159</v>
      </c>
      <c r="B15092" s="1" t="str">
        <f>HYPERLINK("http://tnt.it","tnt.it")</f>
        <v>tnt.it</v>
      </c>
      <c r="C15092" t="s">
        <v>459</v>
      </c>
      <c r="D15092" t="s">
        <v>835</v>
      </c>
      <c r="E15092">
        <v>129072</v>
      </c>
      <c r="F15092">
        <v>6.5732300173900696E-7</v>
      </c>
      <c r="G15092">
        <v>58590</v>
      </c>
      <c r="H15092">
        <v>14205188</v>
      </c>
      <c r="I15092">
        <v>1712792</v>
      </c>
      <c r="J15092">
        <v>4</v>
      </c>
    </row>
    <row r="15093" spans="1:10" x14ac:dyDescent="0.25">
      <c r="A15093" t="s">
        <v>159</v>
      </c>
      <c r="B15093" s="1" t="str">
        <f>HYPERLINK("http://tntitaly.it","tntitaly.it")</f>
        <v>tntitaly.it</v>
      </c>
      <c r="C15093" t="s">
        <v>459</v>
      </c>
      <c r="D15093" t="s">
        <v>835</v>
      </c>
      <c r="F15093">
        <v>6.3528053843583702E-9</v>
      </c>
      <c r="G15093">
        <v>14748497</v>
      </c>
      <c r="H15093">
        <v>10861623</v>
      </c>
      <c r="I15093">
        <v>36644924</v>
      </c>
      <c r="J15093">
        <v>3</v>
      </c>
    </row>
    <row r="15094" spans="1:10" x14ac:dyDescent="0.25">
      <c r="A15094" t="s">
        <v>159</v>
      </c>
      <c r="B15094" s="1" t="str">
        <f>HYPERLINK("http://fedex.co.jp","fedex.co.jp")</f>
        <v>fedex.co.jp</v>
      </c>
      <c r="C15094" t="s">
        <v>461</v>
      </c>
      <c r="D15094" t="s">
        <v>837</v>
      </c>
      <c r="F15094">
        <v>3.9265583403545301E-8</v>
      </c>
      <c r="G15094">
        <v>1313959</v>
      </c>
      <c r="H15094">
        <v>14080105</v>
      </c>
      <c r="I15094">
        <v>2823857</v>
      </c>
      <c r="J15094">
        <v>2</v>
      </c>
    </row>
    <row r="15095" spans="1:10" x14ac:dyDescent="0.25">
      <c r="A15095" t="s">
        <v>159</v>
      </c>
      <c r="B15095" s="1" t="str">
        <f>HYPERLINK("http://tnt.lt","tnt.lt")</f>
        <v>tnt.lt</v>
      </c>
      <c r="C15095" t="s">
        <v>467</v>
      </c>
      <c r="D15095" t="s">
        <v>843</v>
      </c>
      <c r="F15095">
        <v>4.77381823026762E-9</v>
      </c>
      <c r="G15095">
        <v>37214184</v>
      </c>
      <c r="H15095">
        <v>11094244</v>
      </c>
      <c r="I15095">
        <v>32340643</v>
      </c>
      <c r="J15095">
        <v>4</v>
      </c>
    </row>
    <row r="15096" spans="1:10" x14ac:dyDescent="0.25">
      <c r="A15096" t="s">
        <v>159</v>
      </c>
      <c r="B15096" s="1" t="str">
        <f>HYPERLINK("http://fedex.com.mx","fedex.com.mx")</f>
        <v>fedex.com.mx</v>
      </c>
      <c r="C15096" t="s">
        <v>471</v>
      </c>
      <c r="D15096" t="s">
        <v>847</v>
      </c>
      <c r="F15096">
        <v>6.8755391777733304E-9</v>
      </c>
      <c r="G15096">
        <v>12710694</v>
      </c>
      <c r="H15096">
        <v>10558744</v>
      </c>
      <c r="I15096">
        <v>46405345</v>
      </c>
      <c r="J15096">
        <v>3</v>
      </c>
    </row>
    <row r="15097" spans="1:10" x14ac:dyDescent="0.25">
      <c r="A15097" t="s">
        <v>159</v>
      </c>
      <c r="B15097" s="1" t="str">
        <f>HYPERLINK("http://muiltipack.com.mx","muiltipack.com.mx")</f>
        <v>muiltipack.com.mx</v>
      </c>
      <c r="C15097" t="s">
        <v>471</v>
      </c>
      <c r="D15097" t="s">
        <v>847</v>
      </c>
      <c r="J15097">
        <v>3</v>
      </c>
    </row>
    <row r="15098" spans="1:10" x14ac:dyDescent="0.25">
      <c r="A15098" t="s">
        <v>159</v>
      </c>
      <c r="B15098" s="1" t="str">
        <f>HYPERLINK("http://multipack.com.mx","multipack.com.mx")</f>
        <v>multipack.com.mx</v>
      </c>
      <c r="C15098" t="s">
        <v>471</v>
      </c>
      <c r="D15098" t="s">
        <v>847</v>
      </c>
      <c r="F15098">
        <v>6.7287024797380799E-9</v>
      </c>
      <c r="G15098">
        <v>13201566</v>
      </c>
      <c r="H15098">
        <v>12360399</v>
      </c>
      <c r="I15098">
        <v>19577946</v>
      </c>
      <c r="J15098">
        <v>3</v>
      </c>
    </row>
    <row r="15099" spans="1:10" x14ac:dyDescent="0.25">
      <c r="A15099" t="s">
        <v>159</v>
      </c>
      <c r="B15099" s="1" t="str">
        <f>HYPERLINK("http://wwwjfedex.com.mx","wwwjfedex.com.mx")</f>
        <v>wwwjfedex.com.mx</v>
      </c>
      <c r="C15099" t="s">
        <v>471</v>
      </c>
      <c r="D15099" t="s">
        <v>847</v>
      </c>
      <c r="J15099">
        <v>3</v>
      </c>
    </row>
    <row r="15100" spans="1:10" x14ac:dyDescent="0.25">
      <c r="A15100" t="s">
        <v>159</v>
      </c>
      <c r="B15100" s="1" t="str">
        <f>HYPERLINK("http://yamafox.com.mx","yamafox.com.mx")</f>
        <v>yamafox.com.mx</v>
      </c>
      <c r="C15100" t="s">
        <v>471</v>
      </c>
      <c r="D15100" t="s">
        <v>847</v>
      </c>
      <c r="J15100">
        <v>3</v>
      </c>
    </row>
    <row r="15101" spans="1:10" x14ac:dyDescent="0.25">
      <c r="A15101" t="s">
        <v>159</v>
      </c>
      <c r="B15101" s="1" t="str">
        <f>HYPERLINK("http://rsvexpress.mx","rsvexpress.mx")</f>
        <v>rsvexpress.mx</v>
      </c>
      <c r="C15101" t="s">
        <v>471</v>
      </c>
      <c r="D15101" t="s">
        <v>847</v>
      </c>
      <c r="J15101">
        <v>3</v>
      </c>
    </row>
    <row r="15102" spans="1:10" x14ac:dyDescent="0.25">
      <c r="A15102" t="s">
        <v>159</v>
      </c>
      <c r="B15102" s="1" t="str">
        <f>HYPERLINK("http://rsvexpresse.mx","rsvexpresse.mx")</f>
        <v>rsvexpresse.mx</v>
      </c>
      <c r="C15102" t="s">
        <v>471</v>
      </c>
      <c r="D15102" t="s">
        <v>847</v>
      </c>
      <c r="J15102">
        <v>3</v>
      </c>
    </row>
    <row r="15103" spans="1:10" x14ac:dyDescent="0.25">
      <c r="A15103" t="s">
        <v>159</v>
      </c>
      <c r="B15103" s="1" t="str">
        <f>HYPERLINK("http://tnt.no","tnt.no")</f>
        <v>tnt.no</v>
      </c>
      <c r="C15103" t="s">
        <v>478</v>
      </c>
      <c r="D15103" t="s">
        <v>853</v>
      </c>
      <c r="F15103">
        <v>5.4086808393690597E-9</v>
      </c>
      <c r="G15103">
        <v>22001950</v>
      </c>
      <c r="H15103">
        <v>10721256</v>
      </c>
      <c r="I15103">
        <v>41770623</v>
      </c>
      <c r="J15103">
        <v>4</v>
      </c>
    </row>
    <row r="15104" spans="1:10" x14ac:dyDescent="0.25">
      <c r="A15104" t="s">
        <v>159</v>
      </c>
      <c r="B15104" s="1" t="str">
        <f>HYPERLINK("http://opek.com.pl","opek.com.pl")</f>
        <v>opek.com.pl</v>
      </c>
      <c r="C15104" t="s">
        <v>486</v>
      </c>
      <c r="D15104" t="s">
        <v>860</v>
      </c>
      <c r="F15104">
        <v>6.5547521497243596E-9</v>
      </c>
      <c r="G15104">
        <v>13854009</v>
      </c>
      <c r="H15104">
        <v>11232316</v>
      </c>
      <c r="I15104">
        <v>31012428</v>
      </c>
      <c r="J15104">
        <v>4</v>
      </c>
    </row>
    <row r="15105" spans="1:10" x14ac:dyDescent="0.25">
      <c r="A15105" t="s">
        <v>159</v>
      </c>
      <c r="B15105" s="1" t="str">
        <f>HYPERLINK("http://tnt.ru","tnt.ru")</f>
        <v>tnt.ru</v>
      </c>
      <c r="C15105" t="s">
        <v>493</v>
      </c>
      <c r="D15105" t="s">
        <v>867</v>
      </c>
      <c r="F15105">
        <v>3.1452006328773302E-8</v>
      </c>
      <c r="G15105">
        <v>1640218</v>
      </c>
      <c r="H15105">
        <v>12446119</v>
      </c>
      <c r="I15105">
        <v>18074734</v>
      </c>
      <c r="J15105">
        <v>4</v>
      </c>
    </row>
    <row r="15106" spans="1:10" x14ac:dyDescent="0.25">
      <c r="A15106" t="s">
        <v>159</v>
      </c>
      <c r="B15106" s="1" t="str">
        <f>HYPERLINK("http://tnt.se","tnt.se")</f>
        <v>tnt.se</v>
      </c>
      <c r="C15106" t="s">
        <v>495</v>
      </c>
      <c r="D15106" t="s">
        <v>869</v>
      </c>
      <c r="F15106">
        <v>5.1595734142435597E-9</v>
      </c>
      <c r="G15106">
        <v>25909192</v>
      </c>
      <c r="H15106">
        <v>10544094</v>
      </c>
      <c r="I15106">
        <v>46998137</v>
      </c>
      <c r="J15106">
        <v>3</v>
      </c>
    </row>
    <row r="15107" spans="1:10" x14ac:dyDescent="0.25">
      <c r="A15107" t="s">
        <v>159</v>
      </c>
      <c r="B15107" s="1" t="str">
        <f>HYPERLINK("http://tnt.com.tr","tnt.com.tr")</f>
        <v>tnt.com.tr</v>
      </c>
      <c r="C15107" t="s">
        <v>502</v>
      </c>
      <c r="D15107" t="s">
        <v>876</v>
      </c>
      <c r="F15107">
        <v>2.0216249731805299E-8</v>
      </c>
      <c r="G15107">
        <v>2626759</v>
      </c>
      <c r="H15107">
        <v>11262126</v>
      </c>
      <c r="I15107">
        <v>30816705</v>
      </c>
      <c r="J15107">
        <v>4</v>
      </c>
    </row>
    <row r="15108" spans="1:10" x14ac:dyDescent="0.25">
      <c r="A15108" t="s">
        <v>159</v>
      </c>
      <c r="B15108" s="1" t="str">
        <f>HYPERLINK("http://elin.kiev.ua","elin.kiev.ua")</f>
        <v>elin.kiev.ua</v>
      </c>
      <c r="C15108" t="s">
        <v>505</v>
      </c>
      <c r="D15108" t="s">
        <v>879</v>
      </c>
      <c r="F15108">
        <v>5.0283758118823199E-9</v>
      </c>
      <c r="G15108">
        <v>28706631</v>
      </c>
      <c r="H15108">
        <v>2.0009769999999998</v>
      </c>
      <c r="I15108">
        <v>77978984</v>
      </c>
      <c r="J15108">
        <v>3</v>
      </c>
    </row>
    <row r="15109" spans="1:10" x14ac:dyDescent="0.25">
      <c r="A15109" t="s">
        <v>159</v>
      </c>
      <c r="B15109" s="1" t="str">
        <f>HYPERLINK("http://p2pmailing.co.uk","p2pmailing.co.uk")</f>
        <v>p2pmailing.co.uk</v>
      </c>
      <c r="C15109" t="s">
        <v>506</v>
      </c>
      <c r="D15109" t="s">
        <v>880</v>
      </c>
      <c r="F15109">
        <v>4.21654752821814E-8</v>
      </c>
      <c r="G15109">
        <v>1157480</v>
      </c>
      <c r="H15109">
        <v>12841827</v>
      </c>
      <c r="I15109">
        <v>14336680</v>
      </c>
      <c r="J15109">
        <v>7</v>
      </c>
    </row>
    <row r="15110" spans="1:10" x14ac:dyDescent="0.25">
      <c r="A15110" t="s">
        <v>159</v>
      </c>
      <c r="B15110" s="1" t="str">
        <f>HYPERLINK("http://tnt.co.uk","tnt.co.uk")</f>
        <v>tnt.co.uk</v>
      </c>
      <c r="C15110" t="s">
        <v>506</v>
      </c>
      <c r="D15110" t="s">
        <v>880</v>
      </c>
      <c r="E15110">
        <v>665374</v>
      </c>
      <c r="F15110">
        <v>5.3612092593312698E-8</v>
      </c>
      <c r="G15110">
        <v>848251</v>
      </c>
      <c r="H15110">
        <v>13751770</v>
      </c>
      <c r="I15110">
        <v>9419242</v>
      </c>
      <c r="J15110">
        <v>4</v>
      </c>
    </row>
    <row r="15111" spans="1:10" x14ac:dyDescent="0.25">
      <c r="A15111" t="s">
        <v>160</v>
      </c>
      <c r="B15111" s="1" t="str">
        <f>HYPERLINK("http://ferrari.com","ferrari.com")</f>
        <v>ferrari.com</v>
      </c>
      <c r="C15111" t="s">
        <v>433</v>
      </c>
      <c r="E15111">
        <v>9127</v>
      </c>
      <c r="F15111">
        <v>2.7241388174793402E-6</v>
      </c>
      <c r="G15111">
        <v>14003</v>
      </c>
      <c r="H15111">
        <v>16348192</v>
      </c>
      <c r="I15111">
        <v>365168</v>
      </c>
      <c r="J15111">
        <v>1</v>
      </c>
    </row>
    <row r="15112" spans="1:10" x14ac:dyDescent="0.25">
      <c r="A15112" t="s">
        <v>160</v>
      </c>
      <c r="B15112" s="1" t="str">
        <f>HYPERLINK("http://ferraridealers.com","ferraridealers.com")</f>
        <v>ferraridealers.com</v>
      </c>
      <c r="C15112" t="s">
        <v>433</v>
      </c>
      <c r="E15112">
        <v>146917</v>
      </c>
      <c r="F15112">
        <v>2.5844220946187801E-7</v>
      </c>
      <c r="G15112">
        <v>144738</v>
      </c>
      <c r="H15112">
        <v>14139670</v>
      </c>
      <c r="I15112">
        <v>1939154</v>
      </c>
      <c r="J15112">
        <v>4</v>
      </c>
    </row>
    <row r="15113" spans="1:10" x14ac:dyDescent="0.25">
      <c r="A15113" t="s">
        <v>160</v>
      </c>
      <c r="B15113" s="1" t="str">
        <f>HYPERLINK("http://ferrariusa.com","ferrariusa.com")</f>
        <v>ferrariusa.com</v>
      </c>
      <c r="C15113" t="s">
        <v>433</v>
      </c>
      <c r="F15113">
        <v>1.71182474318238E-8</v>
      </c>
      <c r="G15113">
        <v>3256760</v>
      </c>
      <c r="H15113">
        <v>14168498</v>
      </c>
      <c r="I15113">
        <v>1810946</v>
      </c>
      <c r="J15113">
        <v>4</v>
      </c>
    </row>
    <row r="15114" spans="1:10" x14ac:dyDescent="0.25">
      <c r="A15114" t="s">
        <v>160</v>
      </c>
      <c r="B15114" s="1" t="str">
        <f>HYPERLINK("http://ferrariwarszawa.com","ferrariwarszawa.com")</f>
        <v>ferrariwarszawa.com</v>
      </c>
      <c r="C15114" t="s">
        <v>433</v>
      </c>
      <c r="F15114">
        <v>1.07182308165049E-8</v>
      </c>
      <c r="G15114">
        <v>6085105</v>
      </c>
      <c r="H15114">
        <v>10632268</v>
      </c>
      <c r="I15114">
        <v>43931255</v>
      </c>
      <c r="J15114">
        <v>6</v>
      </c>
    </row>
    <row r="15115" spans="1:10" x14ac:dyDescent="0.25">
      <c r="A15115" t="s">
        <v>160</v>
      </c>
      <c r="B15115" s="1" t="str">
        <f>HYPERLINK("http://ferrari-racingdays.de","ferrari-racingdays.de")</f>
        <v>ferrari-racingdays.de</v>
      </c>
      <c r="C15115" t="s">
        <v>436</v>
      </c>
      <c r="D15115" t="s">
        <v>815</v>
      </c>
      <c r="F15115">
        <v>5.7648163992690197E-9</v>
      </c>
      <c r="G15115">
        <v>18368495</v>
      </c>
      <c r="H15115">
        <v>10729091</v>
      </c>
      <c r="I15115">
        <v>41003549</v>
      </c>
      <c r="J15115">
        <v>4</v>
      </c>
    </row>
    <row r="15116" spans="1:10" x14ac:dyDescent="0.25">
      <c r="A15116" t="s">
        <v>160</v>
      </c>
      <c r="B15116" s="1" t="str">
        <f>HYPERLINK("http://lueg-sportivo.de","lueg-sportivo.de")</f>
        <v>lueg-sportivo.de</v>
      </c>
      <c r="C15116" t="s">
        <v>436</v>
      </c>
      <c r="D15116" t="s">
        <v>815</v>
      </c>
      <c r="F15116">
        <v>4.8885376944995002E-9</v>
      </c>
      <c r="G15116">
        <v>32811549</v>
      </c>
      <c r="H15116">
        <v>8690745</v>
      </c>
      <c r="I15116">
        <v>70019249</v>
      </c>
      <c r="J15116">
        <v>7</v>
      </c>
    </row>
    <row r="15117" spans="1:10" x14ac:dyDescent="0.25">
      <c r="A15117" t="s">
        <v>160</v>
      </c>
      <c r="B15117" s="1" t="str">
        <f>HYPERLINK("http://ferrari.fi","ferrari.fi")</f>
        <v>ferrari.fi</v>
      </c>
      <c r="C15117" t="s">
        <v>445</v>
      </c>
      <c r="D15117" t="s">
        <v>823</v>
      </c>
      <c r="J15117">
        <v>2</v>
      </c>
    </row>
    <row r="15118" spans="1:10" x14ac:dyDescent="0.25">
      <c r="A15118" t="s">
        <v>160</v>
      </c>
      <c r="B15118" s="1" t="str">
        <f>HYPERLINK("http://ferrari.it","ferrari.it")</f>
        <v>ferrari.it</v>
      </c>
      <c r="C15118" t="s">
        <v>459</v>
      </c>
      <c r="D15118" t="s">
        <v>835</v>
      </c>
      <c r="E15118">
        <v>163114</v>
      </c>
      <c r="F15118">
        <v>7.2025691182428493E-8</v>
      </c>
      <c r="G15118">
        <v>586285</v>
      </c>
      <c r="H15118">
        <v>14526944</v>
      </c>
      <c r="I15118">
        <v>793438</v>
      </c>
      <c r="J15118">
        <v>2</v>
      </c>
    </row>
    <row r="15119" spans="1:10" x14ac:dyDescent="0.25">
      <c r="A15119" t="s">
        <v>160</v>
      </c>
      <c r="B15119" s="1" t="str">
        <f>HYPERLINK("http://ferrari.org.nz","ferrari.org.nz")</f>
        <v>ferrari.org.nz</v>
      </c>
      <c r="C15119" t="s">
        <v>479</v>
      </c>
      <c r="D15119" t="s">
        <v>854</v>
      </c>
      <c r="F15119">
        <v>5.1184149463428499E-9</v>
      </c>
      <c r="G15119">
        <v>26688941</v>
      </c>
      <c r="H15119">
        <v>14071969</v>
      </c>
      <c r="I15119">
        <v>3208152</v>
      </c>
      <c r="J15119">
        <v>2</v>
      </c>
    </row>
    <row r="15120" spans="1:10" x14ac:dyDescent="0.25">
      <c r="A15120" t="s">
        <v>161</v>
      </c>
      <c r="B15120" s="1" t="str">
        <f>HYPERLINK("http://payrix.com.au","payrix.com.au")</f>
        <v>payrix.com.au</v>
      </c>
      <c r="C15120" t="s">
        <v>420</v>
      </c>
      <c r="D15120" t="s">
        <v>802</v>
      </c>
      <c r="E15120">
        <v>802289</v>
      </c>
      <c r="F15120">
        <v>5.4411770085238597E-8</v>
      </c>
      <c r="G15120">
        <v>829697</v>
      </c>
      <c r="H15120">
        <v>14131515</v>
      </c>
      <c r="I15120">
        <v>2014481</v>
      </c>
      <c r="J15120">
        <v>4</v>
      </c>
    </row>
    <row r="15121" spans="1:10" x14ac:dyDescent="0.25">
      <c r="A15121" t="s">
        <v>161</v>
      </c>
      <c r="B15121" s="1" t="str">
        <f>HYPERLINK("http://fnis.com.br","fnis.com.br")</f>
        <v>fnis.com.br</v>
      </c>
      <c r="C15121" t="s">
        <v>425</v>
      </c>
      <c r="D15121" t="s">
        <v>806</v>
      </c>
      <c r="F15121">
        <v>6.8400495011474497E-9</v>
      </c>
      <c r="G15121">
        <v>12827868</v>
      </c>
      <c r="H15121">
        <v>13943744</v>
      </c>
      <c r="I15121">
        <v>4309917</v>
      </c>
      <c r="J15121">
        <v>3</v>
      </c>
    </row>
    <row r="15122" spans="1:10" x14ac:dyDescent="0.25">
      <c r="A15122" t="s">
        <v>161</v>
      </c>
      <c r="B15122" s="1" t="str">
        <f>HYPERLINK("http://gestaoconsignados.com.br","gestaoconsignados.com.br")</f>
        <v>gestaoconsignados.com.br</v>
      </c>
      <c r="C15122" t="s">
        <v>425</v>
      </c>
      <c r="D15122" t="s">
        <v>806</v>
      </c>
      <c r="J15122">
        <v>4</v>
      </c>
    </row>
    <row r="15123" spans="1:10" x14ac:dyDescent="0.25">
      <c r="A15123" t="s">
        <v>161</v>
      </c>
      <c r="B15123" s="1" t="str">
        <f>HYPERLINK("http://yespay.com.br","yespay.com.br")</f>
        <v>yespay.com.br</v>
      </c>
      <c r="C15123" t="s">
        <v>425</v>
      </c>
      <c r="D15123" t="s">
        <v>806</v>
      </c>
      <c r="J15123">
        <v>6</v>
      </c>
    </row>
    <row r="15124" spans="1:10" x14ac:dyDescent="0.25">
      <c r="A15124" t="s">
        <v>161</v>
      </c>
      <c r="B15124" s="1" t="str">
        <f>HYPERLINK("http://clear2pay.com","clear2pay.com")</f>
        <v>clear2pay.com</v>
      </c>
      <c r="C15124" t="s">
        <v>433</v>
      </c>
      <c r="E15124">
        <v>365540</v>
      </c>
      <c r="F15124">
        <v>1.8888386969652601E-8</v>
      </c>
      <c r="G15124">
        <v>2855522</v>
      </c>
      <c r="H15124">
        <v>13445265</v>
      </c>
      <c r="I15124">
        <v>10220151</v>
      </c>
      <c r="J15124">
        <v>4</v>
      </c>
    </row>
    <row r="15125" spans="1:10" x14ac:dyDescent="0.25">
      <c r="A15125" t="s">
        <v>161</v>
      </c>
      <c r="B15125" s="1" t="str">
        <f>HYPERLINK("http://consumerdebit.com","consumerdebit.com")</f>
        <v>consumerdebit.com</v>
      </c>
      <c r="C15125" t="s">
        <v>433</v>
      </c>
      <c r="E15125">
        <v>374005</v>
      </c>
      <c r="F15125">
        <v>7.8814537916888597E-8</v>
      </c>
      <c r="G15125">
        <v>530320</v>
      </c>
      <c r="H15125">
        <v>14077067</v>
      </c>
      <c r="I15125">
        <v>2873434</v>
      </c>
      <c r="J15125">
        <v>3</v>
      </c>
    </row>
    <row r="15126" spans="1:10" x14ac:dyDescent="0.25">
      <c r="A15126" t="s">
        <v>161</v>
      </c>
      <c r="B15126" s="1" t="str">
        <f>HYPERLINK("http://efunds.com","efunds.com")</f>
        <v>efunds.com</v>
      </c>
      <c r="C15126" t="s">
        <v>433</v>
      </c>
      <c r="E15126">
        <v>13492</v>
      </c>
      <c r="F15126">
        <v>3.8405478936923802E-8</v>
      </c>
      <c r="G15126">
        <v>1344114</v>
      </c>
      <c r="H15126">
        <v>12870412</v>
      </c>
      <c r="I15126">
        <v>14066520</v>
      </c>
      <c r="J15126">
        <v>3</v>
      </c>
    </row>
    <row r="15127" spans="1:10" x14ac:dyDescent="0.25">
      <c r="A15127" t="s">
        <v>161</v>
      </c>
      <c r="B15127" s="1" t="str">
        <f>HYPERLINK("http://envoyadmin.com","envoyadmin.com")</f>
        <v>envoyadmin.com</v>
      </c>
      <c r="C15127" t="s">
        <v>433</v>
      </c>
      <c r="J15127">
        <v>4</v>
      </c>
    </row>
    <row r="15128" spans="1:10" x14ac:dyDescent="0.25">
      <c r="A15128" t="s">
        <v>161</v>
      </c>
      <c r="B15128" s="1" t="str">
        <f>HYPERLINK("http://envoyservices.com","envoyservices.com")</f>
        <v>envoyservices.com</v>
      </c>
      <c r="C15128" t="s">
        <v>433</v>
      </c>
      <c r="F15128">
        <v>4.4812612396099798E-9</v>
      </c>
      <c r="G15128">
        <v>62093682</v>
      </c>
      <c r="H15128">
        <v>10830149</v>
      </c>
      <c r="I15128">
        <v>37391361</v>
      </c>
      <c r="J15128">
        <v>3</v>
      </c>
    </row>
    <row r="15129" spans="1:10" x14ac:dyDescent="0.25">
      <c r="A15129" t="s">
        <v>161</v>
      </c>
      <c r="B15129" s="1" t="str">
        <f>HYPERLINK("http://envoytransfers.com","envoytransfers.com")</f>
        <v>envoytransfers.com</v>
      </c>
      <c r="C15129" t="s">
        <v>433</v>
      </c>
      <c r="E15129">
        <v>215196</v>
      </c>
      <c r="F15129">
        <v>4.4448248504603399E-9</v>
      </c>
      <c r="G15129">
        <v>76022634</v>
      </c>
      <c r="H15129">
        <v>10366657</v>
      </c>
      <c r="I15129">
        <v>54972439</v>
      </c>
      <c r="J15129">
        <v>4</v>
      </c>
    </row>
    <row r="15130" spans="1:10" x14ac:dyDescent="0.25">
      <c r="A15130" t="s">
        <v>161</v>
      </c>
      <c r="B15130" s="1" t="str">
        <f>HYPERLINK("http://envoytx.com","envoytx.com")</f>
        <v>envoytx.com</v>
      </c>
      <c r="C15130" t="s">
        <v>433</v>
      </c>
      <c r="J15130">
        <v>4</v>
      </c>
    </row>
    <row r="15131" spans="1:10" x14ac:dyDescent="0.25">
      <c r="A15131" t="s">
        <v>161</v>
      </c>
      <c r="B15131" s="1" t="str">
        <f>HYPERLINK("http://fisglobal.com","fisglobal.com")</f>
        <v>fisglobal.com</v>
      </c>
      <c r="C15131" t="s">
        <v>433</v>
      </c>
      <c r="E15131">
        <v>1779</v>
      </c>
      <c r="F15131">
        <v>4.74217278320485E-6</v>
      </c>
      <c r="G15131">
        <v>7392</v>
      </c>
      <c r="H15131">
        <v>17484038</v>
      </c>
      <c r="I15131">
        <v>14421</v>
      </c>
      <c r="J15131">
        <v>1</v>
      </c>
    </row>
    <row r="15132" spans="1:10" x14ac:dyDescent="0.25">
      <c r="A15132" t="s">
        <v>161</v>
      </c>
      <c r="B15132" s="1" t="str">
        <f>HYPERLINK("http://gltrade.com","gltrade.com")</f>
        <v>gltrade.com</v>
      </c>
      <c r="C15132" t="s">
        <v>433</v>
      </c>
      <c r="F15132">
        <v>7.03384559673944E-9</v>
      </c>
      <c r="G15132">
        <v>12212751</v>
      </c>
      <c r="H15132">
        <v>13766421</v>
      </c>
      <c r="I15132">
        <v>7006507</v>
      </c>
      <c r="J15132">
        <v>5</v>
      </c>
    </row>
    <row r="15133" spans="1:10" x14ac:dyDescent="0.25">
      <c r="A15133" t="s">
        <v>161</v>
      </c>
      <c r="B15133" s="1" t="str">
        <f>HYPERLINK("http://link2gov.com","link2gov.com")</f>
        <v>link2gov.com</v>
      </c>
      <c r="C15133" t="s">
        <v>433</v>
      </c>
      <c r="E15133">
        <v>108498</v>
      </c>
      <c r="F15133">
        <v>1.09704375079268E-7</v>
      </c>
      <c r="G15133">
        <v>364651</v>
      </c>
      <c r="H15133">
        <v>13366327</v>
      </c>
      <c r="I15133">
        <v>10482518</v>
      </c>
      <c r="J15133">
        <v>3</v>
      </c>
    </row>
    <row r="15134" spans="1:10" x14ac:dyDescent="0.25">
      <c r="A15134" t="s">
        <v>161</v>
      </c>
      <c r="B15134" s="1" t="str">
        <f>HYPERLINK("http://litle.com","litle.com")</f>
        <v>litle.com</v>
      </c>
      <c r="C15134" t="s">
        <v>433</v>
      </c>
      <c r="F15134">
        <v>1.24387097900809E-7</v>
      </c>
      <c r="G15134">
        <v>317247</v>
      </c>
      <c r="H15134">
        <v>13988560</v>
      </c>
      <c r="I15134">
        <v>4035305</v>
      </c>
      <c r="J15134">
        <v>3</v>
      </c>
    </row>
    <row r="15135" spans="1:10" x14ac:dyDescent="0.25">
      <c r="A15135" t="s">
        <v>161</v>
      </c>
      <c r="B15135" s="1" t="str">
        <f>HYPERLINK("http://loyaltyretailrewards.com","loyaltyretailrewards.com")</f>
        <v>loyaltyretailrewards.com</v>
      </c>
      <c r="C15135" t="s">
        <v>433</v>
      </c>
      <c r="E15135">
        <v>706986</v>
      </c>
      <c r="F15135">
        <v>8.3675928448707996E-9</v>
      </c>
      <c r="G15135">
        <v>9109721</v>
      </c>
      <c r="H15135">
        <v>13565682</v>
      </c>
      <c r="I15135">
        <v>9786506</v>
      </c>
      <c r="J15135">
        <v>2</v>
      </c>
    </row>
    <row r="15136" spans="1:10" x14ac:dyDescent="0.25">
      <c r="A15136" t="s">
        <v>161</v>
      </c>
      <c r="B15136" s="1" t="str">
        <f>HYPERLINK("http://metavante.com","metavante.com")</f>
        <v>metavante.com</v>
      </c>
      <c r="C15136" t="s">
        <v>433</v>
      </c>
      <c r="E15136">
        <v>17561</v>
      </c>
      <c r="F15136">
        <v>9.1131913926354499E-8</v>
      </c>
      <c r="G15136">
        <v>447333</v>
      </c>
      <c r="H15136">
        <v>16766197</v>
      </c>
      <c r="I15136">
        <v>224963</v>
      </c>
      <c r="J15136">
        <v>3</v>
      </c>
    </row>
    <row r="15137" spans="1:10" x14ac:dyDescent="0.25">
      <c r="A15137" t="s">
        <v>161</v>
      </c>
      <c r="B15137" s="1" t="str">
        <f>HYPERLINK("http://pay1040.com","pay1040.com")</f>
        <v>pay1040.com</v>
      </c>
      <c r="C15137" t="s">
        <v>433</v>
      </c>
      <c r="E15137">
        <v>44396</v>
      </c>
      <c r="F15137">
        <v>3.7720258395400502E-7</v>
      </c>
      <c r="G15137">
        <v>99234</v>
      </c>
      <c r="H15137">
        <v>13789666</v>
      </c>
      <c r="I15137">
        <v>6353524</v>
      </c>
      <c r="J15137">
        <v>2</v>
      </c>
    </row>
    <row r="15138" spans="1:10" x14ac:dyDescent="0.25">
      <c r="A15138" t="s">
        <v>161</v>
      </c>
      <c r="B15138" s="1" t="str">
        <f>HYPERLINK("http://paymetric.com","paymetric.com")</f>
        <v>paymetric.com</v>
      </c>
      <c r="C15138" t="s">
        <v>433</v>
      </c>
      <c r="E15138">
        <v>116990</v>
      </c>
      <c r="F15138">
        <v>7.1123757294708306E-8</v>
      </c>
      <c r="G15138">
        <v>594528</v>
      </c>
      <c r="H15138">
        <v>13851527</v>
      </c>
      <c r="I15138">
        <v>6051148</v>
      </c>
      <c r="J15138">
        <v>3</v>
      </c>
    </row>
    <row r="15139" spans="1:10" x14ac:dyDescent="0.25">
      <c r="A15139" t="s">
        <v>161</v>
      </c>
      <c r="B15139" s="1" t="str">
        <f>HYPERLINK("http://payrix.com","payrix.com")</f>
        <v>payrix.com</v>
      </c>
      <c r="C15139" t="s">
        <v>433</v>
      </c>
      <c r="E15139">
        <v>167461</v>
      </c>
      <c r="F15139">
        <v>1.6041410271583299E-7</v>
      </c>
      <c r="G15139">
        <v>241976</v>
      </c>
      <c r="H15139">
        <v>16938402</v>
      </c>
      <c r="I15139">
        <v>115025</v>
      </c>
      <c r="J15139">
        <v>3</v>
      </c>
    </row>
    <row r="15140" spans="1:10" x14ac:dyDescent="0.25">
      <c r="A15140" t="s">
        <v>161</v>
      </c>
      <c r="B15140" s="1" t="str">
        <f>HYPERLINK("http://platformsecurities.com","platformsecurities.com")</f>
        <v>platformsecurities.com</v>
      </c>
      <c r="C15140" t="s">
        <v>433</v>
      </c>
      <c r="E15140">
        <v>997870</v>
      </c>
      <c r="F15140">
        <v>1.79717115373926E-8</v>
      </c>
      <c r="G15140">
        <v>3038535</v>
      </c>
      <c r="H15140">
        <v>12844279</v>
      </c>
      <c r="I15140">
        <v>14323278</v>
      </c>
      <c r="J15140">
        <v>3</v>
      </c>
    </row>
    <row r="15141" spans="1:10" x14ac:dyDescent="0.25">
      <c r="A15141" t="s">
        <v>161</v>
      </c>
      <c r="B15141" s="1" t="str">
        <f>HYPERLINK("http://reliance-trust.com","reliance-trust.com")</f>
        <v>reliance-trust.com</v>
      </c>
      <c r="C15141" t="s">
        <v>433</v>
      </c>
      <c r="F15141">
        <v>9.0981877853782593E-9</v>
      </c>
      <c r="G15141">
        <v>7849437</v>
      </c>
      <c r="H15141">
        <v>13478696</v>
      </c>
      <c r="I15141">
        <v>10013554</v>
      </c>
      <c r="J15141">
        <v>3</v>
      </c>
    </row>
    <row r="15142" spans="1:10" x14ac:dyDescent="0.25">
      <c r="A15142" t="s">
        <v>161</v>
      </c>
      <c r="B15142" s="1" t="str">
        <f>HYPERLINK("http://sungard.com","sungard.com")</f>
        <v>sungard.com</v>
      </c>
      <c r="C15142" t="s">
        <v>433</v>
      </c>
      <c r="E15142">
        <v>122284</v>
      </c>
      <c r="F15142">
        <v>1.79605848624479E-6</v>
      </c>
      <c r="G15142">
        <v>21747</v>
      </c>
      <c r="H15142">
        <v>17499512</v>
      </c>
      <c r="I15142">
        <v>13713</v>
      </c>
      <c r="J15142">
        <v>3</v>
      </c>
    </row>
    <row r="15143" spans="1:10" x14ac:dyDescent="0.25">
      <c r="A15143" t="s">
        <v>161</v>
      </c>
      <c r="B15143" s="1" t="str">
        <f>HYPERLINK("http://sungardworkflowsolutions.com","sungardworkflowsolutions.com")</f>
        <v>sungardworkflowsolutions.com</v>
      </c>
      <c r="C15143" t="s">
        <v>433</v>
      </c>
      <c r="J15143">
        <v>5</v>
      </c>
    </row>
    <row r="15144" spans="1:10" x14ac:dyDescent="0.25">
      <c r="A15144" t="s">
        <v>161</v>
      </c>
      <c r="B15144" s="1" t="str">
        <f>HYPERLINK("http://vantiv.com","vantiv.com")</f>
        <v>vantiv.com</v>
      </c>
      <c r="C15144" t="s">
        <v>433</v>
      </c>
      <c r="E15144">
        <v>23796</v>
      </c>
      <c r="F15144">
        <v>6.31809446805351E-6</v>
      </c>
      <c r="G15144">
        <v>5401</v>
      </c>
      <c r="H15144">
        <v>17306128</v>
      </c>
      <c r="I15144">
        <v>27193</v>
      </c>
      <c r="J15144">
        <v>4</v>
      </c>
    </row>
    <row r="15145" spans="1:10" x14ac:dyDescent="0.25">
      <c r="A15145" t="s">
        <v>161</v>
      </c>
      <c r="B15145" s="1" t="str">
        <f>HYPERLINK("http://worldpay.com","worldpay.com")</f>
        <v>worldpay.com</v>
      </c>
      <c r="C15145" t="s">
        <v>433</v>
      </c>
      <c r="E15145">
        <v>3204</v>
      </c>
      <c r="F15145">
        <v>4.2968446870797E-6</v>
      </c>
      <c r="G15145">
        <v>8284</v>
      </c>
      <c r="H15145">
        <v>17450592</v>
      </c>
      <c r="I15145">
        <v>16122</v>
      </c>
      <c r="J15145">
        <v>3</v>
      </c>
    </row>
    <row r="15146" spans="1:10" x14ac:dyDescent="0.25">
      <c r="A15146" t="s">
        <v>161</v>
      </c>
      <c r="B15146" s="1" t="str">
        <f>HYPERLINK("http://worldpayzinc.com","worldpayzinc.com")</f>
        <v>worldpayzinc.com</v>
      </c>
      <c r="C15146" t="s">
        <v>433</v>
      </c>
      <c r="F15146">
        <v>1.8923206012149701E-8</v>
      </c>
      <c r="G15146">
        <v>2849374</v>
      </c>
      <c r="H15146">
        <v>14158851</v>
      </c>
      <c r="I15146">
        <v>1843417</v>
      </c>
      <c r="J15146">
        <v>4</v>
      </c>
    </row>
    <row r="15147" spans="1:10" x14ac:dyDescent="0.25">
      <c r="A15147" t="s">
        <v>161</v>
      </c>
      <c r="B15147" s="1" t="str">
        <f>HYPERLINK("http://yes-pay.com","yes-pay.com")</f>
        <v>yes-pay.com</v>
      </c>
      <c r="C15147" t="s">
        <v>433</v>
      </c>
      <c r="F15147">
        <v>1.0999128023782501E-8</v>
      </c>
      <c r="G15147">
        <v>5860908</v>
      </c>
      <c r="H15147">
        <v>13032587</v>
      </c>
      <c r="I15147">
        <v>12661253</v>
      </c>
      <c r="J15147">
        <v>3</v>
      </c>
    </row>
    <row r="15148" spans="1:10" x14ac:dyDescent="0.25">
      <c r="A15148" t="s">
        <v>161</v>
      </c>
      <c r="B15148" s="1" t="str">
        <f>HYPERLINK("http://fis-germany.de","fis-germany.de")</f>
        <v>fis-germany.de</v>
      </c>
      <c r="C15148" t="s">
        <v>436</v>
      </c>
      <c r="D15148" t="s">
        <v>815</v>
      </c>
      <c r="F15148">
        <v>5.6897789163443302E-9</v>
      </c>
      <c r="G15148">
        <v>19047437</v>
      </c>
      <c r="H15148">
        <v>11463188</v>
      </c>
      <c r="I15148">
        <v>30095510</v>
      </c>
      <c r="J15148">
        <v>3</v>
      </c>
    </row>
    <row r="15149" spans="1:10" x14ac:dyDescent="0.25">
      <c r="A15149" t="s">
        <v>161</v>
      </c>
      <c r="B15149" s="1" t="str">
        <f>HYPERLINK("http://kordoba.de","kordoba.de")</f>
        <v>kordoba.de</v>
      </c>
      <c r="C15149" t="s">
        <v>436</v>
      </c>
      <c r="D15149" t="s">
        <v>815</v>
      </c>
      <c r="F15149">
        <v>4.9208358821210499E-9</v>
      </c>
      <c r="G15149">
        <v>31662157</v>
      </c>
      <c r="H15149">
        <v>11607732</v>
      </c>
      <c r="I15149">
        <v>29919151</v>
      </c>
      <c r="J15149">
        <v>3</v>
      </c>
    </row>
    <row r="15150" spans="1:10" x14ac:dyDescent="0.25">
      <c r="A15150" t="s">
        <v>161</v>
      </c>
      <c r="B15150" s="1" t="str">
        <f>HYPERLINK("http://paymetric.info","paymetric.info")</f>
        <v>paymetric.info</v>
      </c>
      <c r="C15150" t="s">
        <v>458</v>
      </c>
      <c r="F15150">
        <v>1.2628286424412501E-7</v>
      </c>
      <c r="G15150">
        <v>312319</v>
      </c>
      <c r="H15150">
        <v>16763064</v>
      </c>
      <c r="I15150">
        <v>226778</v>
      </c>
      <c r="J15150">
        <v>4</v>
      </c>
    </row>
    <row r="15151" spans="1:10" x14ac:dyDescent="0.25">
      <c r="A15151" t="s">
        <v>161</v>
      </c>
      <c r="B15151" s="1" t="str">
        <f>HYPERLINK("http://cardsave.net","cardsave.net")</f>
        <v>cardsave.net</v>
      </c>
      <c r="C15151" t="s">
        <v>474</v>
      </c>
      <c r="F15151">
        <v>4.97837437699683E-8</v>
      </c>
      <c r="G15151">
        <v>926590</v>
      </c>
      <c r="H15151">
        <v>13951347</v>
      </c>
      <c r="I15151">
        <v>4165773</v>
      </c>
      <c r="J15151">
        <v>5</v>
      </c>
    </row>
    <row r="15152" spans="1:10" x14ac:dyDescent="0.25">
      <c r="A15152" t="s">
        <v>161</v>
      </c>
      <c r="B15152" s="1" t="str">
        <f>HYPERLINK("http://npc.net","npc.net")</f>
        <v>npc.net</v>
      </c>
      <c r="C15152" t="s">
        <v>474</v>
      </c>
      <c r="F15152">
        <v>1.08804322374795E-8</v>
      </c>
      <c r="G15152">
        <v>5957604</v>
      </c>
      <c r="H15152">
        <v>13355513</v>
      </c>
      <c r="I15152">
        <v>10599819</v>
      </c>
      <c r="J15152">
        <v>3</v>
      </c>
    </row>
    <row r="15153" spans="1:10" x14ac:dyDescent="0.25">
      <c r="A15153" t="s">
        <v>161</v>
      </c>
      <c r="B15153" s="1" t="str">
        <f>HYPERLINK("http://affn.org","affn.org")</f>
        <v>affn.org</v>
      </c>
      <c r="C15153" t="s">
        <v>481</v>
      </c>
      <c r="E15153">
        <v>946689</v>
      </c>
      <c r="F15153">
        <v>2.1354366247908701E-8</v>
      </c>
      <c r="G15153">
        <v>2467381</v>
      </c>
      <c r="H15153">
        <v>12992752</v>
      </c>
      <c r="I15153">
        <v>12836022</v>
      </c>
      <c r="J15153">
        <v>3</v>
      </c>
    </row>
    <row r="15154" spans="1:10" x14ac:dyDescent="0.25">
      <c r="A15154" t="s">
        <v>161</v>
      </c>
      <c r="B15154" s="1" t="str">
        <f>HYPERLINK("http://generalpayment.co.uk","generalpayment.co.uk")</f>
        <v>generalpayment.co.uk</v>
      </c>
      <c r="C15154" t="s">
        <v>506</v>
      </c>
      <c r="D15154" t="s">
        <v>880</v>
      </c>
      <c r="J15154">
        <v>3</v>
      </c>
    </row>
    <row r="15155" spans="1:10" x14ac:dyDescent="0.25">
      <c r="A15155" t="s">
        <v>161</v>
      </c>
      <c r="B15155" s="1" t="str">
        <f>HYPERLINK("http://rbsworldpay.us","rbsworldpay.us")</f>
        <v>rbsworldpay.us</v>
      </c>
      <c r="C15155" t="s">
        <v>522</v>
      </c>
      <c r="D15155" t="s">
        <v>891</v>
      </c>
      <c r="F15155">
        <v>1.1974773921676799E-8</v>
      </c>
      <c r="G15155">
        <v>5192034</v>
      </c>
      <c r="H15155">
        <v>13367973</v>
      </c>
      <c r="I15155">
        <v>10475387</v>
      </c>
      <c r="J15155">
        <v>6</v>
      </c>
    </row>
    <row r="15156" spans="1:10" x14ac:dyDescent="0.25">
      <c r="A15156" t="s">
        <v>161</v>
      </c>
      <c r="B15156" s="1" t="str">
        <f>HYPERLINK("http://worldpay.us","worldpay.us")</f>
        <v>worldpay.us</v>
      </c>
      <c r="C15156" t="s">
        <v>522</v>
      </c>
      <c r="D15156" t="s">
        <v>891</v>
      </c>
      <c r="E15156">
        <v>24989</v>
      </c>
      <c r="F15156">
        <v>8.5211867453730804E-8</v>
      </c>
      <c r="G15156">
        <v>484006</v>
      </c>
      <c r="H15156">
        <v>14083245</v>
      </c>
      <c r="I15156">
        <v>2794702</v>
      </c>
      <c r="J15156">
        <v>3</v>
      </c>
    </row>
    <row r="15157" spans="1:10" x14ac:dyDescent="0.25">
      <c r="A15157" t="s">
        <v>162</v>
      </c>
      <c r="B15157" s="1" t="str">
        <f>HYPERLINK("http://adnl.ae","adnl.ae")</f>
        <v>adnl.ae</v>
      </c>
      <c r="C15157" t="s">
        <v>417</v>
      </c>
      <c r="D15157" t="s">
        <v>799</v>
      </c>
      <c r="J15157">
        <v>3</v>
      </c>
    </row>
    <row r="15158" spans="1:10" x14ac:dyDescent="0.25">
      <c r="A15158" t="s">
        <v>162</v>
      </c>
      <c r="B15158" s="1" t="str">
        <f>HYPERLINK("http://bankfab.ae","bankfab.ae")</f>
        <v>bankfab.ae</v>
      </c>
      <c r="C15158" t="s">
        <v>417</v>
      </c>
      <c r="D15158" t="s">
        <v>799</v>
      </c>
      <c r="F15158">
        <v>3.2692367973175397E-8</v>
      </c>
      <c r="G15158">
        <v>1580618</v>
      </c>
      <c r="H15158">
        <v>14036063</v>
      </c>
      <c r="I15158">
        <v>3914688</v>
      </c>
      <c r="J15158">
        <v>4</v>
      </c>
    </row>
    <row r="15159" spans="1:10" x14ac:dyDescent="0.25">
      <c r="A15159" t="s">
        <v>162</v>
      </c>
      <c r="B15159" s="1" t="str">
        <f>HYPERLINK("http://horizongulf.ae","horizongulf.ae")</f>
        <v>horizongulf.ae</v>
      </c>
      <c r="C15159" t="s">
        <v>417</v>
      </c>
      <c r="D15159" t="s">
        <v>799</v>
      </c>
      <c r="F15159">
        <v>5.30117952368566E-9</v>
      </c>
      <c r="G15159">
        <v>23479358</v>
      </c>
      <c r="H15159">
        <v>12155889</v>
      </c>
      <c r="I15159">
        <v>24473217</v>
      </c>
      <c r="J15159">
        <v>6</v>
      </c>
    </row>
    <row r="15160" spans="1:10" x14ac:dyDescent="0.25">
      <c r="A15160" t="s">
        <v>162</v>
      </c>
      <c r="B15160" s="1" t="str">
        <f>HYPERLINK("http://bankfab.com","bankfab.com")</f>
        <v>bankfab.com</v>
      </c>
      <c r="C15160" t="s">
        <v>433</v>
      </c>
      <c r="E15160">
        <v>63501</v>
      </c>
      <c r="F15160">
        <v>2.8016375519854702E-7</v>
      </c>
      <c r="G15160">
        <v>132743</v>
      </c>
      <c r="H15160">
        <v>14496427</v>
      </c>
      <c r="I15160">
        <v>870915</v>
      </c>
      <c r="J15160">
        <v>1</v>
      </c>
    </row>
    <row r="15161" spans="1:10" x14ac:dyDescent="0.25">
      <c r="A15161" t="s">
        <v>162</v>
      </c>
      <c r="B15161" s="1" t="str">
        <f>HYPERLINK("http://nbad.com","nbad.com")</f>
        <v>nbad.com</v>
      </c>
      <c r="C15161" t="s">
        <v>433</v>
      </c>
      <c r="E15161">
        <v>685990</v>
      </c>
      <c r="F15161">
        <v>1.06481843734918E-7</v>
      </c>
      <c r="G15161">
        <v>376037</v>
      </c>
      <c r="H15161">
        <v>14294126</v>
      </c>
      <c r="I15161">
        <v>1362289</v>
      </c>
      <c r="J15161">
        <v>3</v>
      </c>
    </row>
    <row r="15162" spans="1:10" x14ac:dyDescent="0.25">
      <c r="A15162" t="s">
        <v>163</v>
      </c>
      <c r="B15162" s="1" t="str">
        <f>HYPERLINK("http://firstdata.com.ar","firstdata.com.ar")</f>
        <v>firstdata.com.ar</v>
      </c>
      <c r="C15162" t="s">
        <v>418</v>
      </c>
      <c r="D15162" t="s">
        <v>800</v>
      </c>
      <c r="E15162">
        <v>778993</v>
      </c>
      <c r="F15162">
        <v>3.0229007550832101E-8</v>
      </c>
      <c r="G15162">
        <v>1702514</v>
      </c>
      <c r="H15162">
        <v>12673115</v>
      </c>
      <c r="I15162">
        <v>15574846</v>
      </c>
      <c r="J15162">
        <v>3</v>
      </c>
    </row>
    <row r="15163" spans="1:10" x14ac:dyDescent="0.25">
      <c r="A15163" t="s">
        <v>163</v>
      </c>
      <c r="B15163" s="1" t="str">
        <f>HYPERLINK("http://fiserv.com.ar","fiserv.com.ar")</f>
        <v>fiserv.com.ar</v>
      </c>
      <c r="C15163" t="s">
        <v>418</v>
      </c>
      <c r="D15163" t="s">
        <v>800</v>
      </c>
      <c r="F15163">
        <v>2.4642016401233199E-8</v>
      </c>
      <c r="G15163">
        <v>2101573</v>
      </c>
      <c r="H15163">
        <v>12341752</v>
      </c>
      <c r="I15163">
        <v>19918625</v>
      </c>
      <c r="J15163">
        <v>2</v>
      </c>
    </row>
    <row r="15164" spans="1:10" x14ac:dyDescent="0.25">
      <c r="A15164" t="s">
        <v>163</v>
      </c>
      <c r="B15164" s="1" t="str">
        <f>HYPERLINK("http://cashforless.at","cashforless.at")</f>
        <v>cashforless.at</v>
      </c>
      <c r="C15164" t="s">
        <v>419</v>
      </c>
      <c r="D15164" t="s">
        <v>801</v>
      </c>
      <c r="F15164">
        <v>5.4102938139057402E-9</v>
      </c>
      <c r="G15164">
        <v>21981594</v>
      </c>
      <c r="H15164">
        <v>10738499</v>
      </c>
      <c r="I15164">
        <v>40501921</v>
      </c>
      <c r="J15164">
        <v>4</v>
      </c>
    </row>
    <row r="15165" spans="1:10" x14ac:dyDescent="0.25">
      <c r="A15165" t="s">
        <v>163</v>
      </c>
      <c r="B15165" s="1" t="str">
        <f>HYPERLINK("http://firstdata.at","firstdata.at")</f>
        <v>firstdata.at</v>
      </c>
      <c r="C15165" t="s">
        <v>419</v>
      </c>
      <c r="D15165" t="s">
        <v>801</v>
      </c>
      <c r="F15165">
        <v>1.40309492453556E-8</v>
      </c>
      <c r="G15165">
        <v>4191083</v>
      </c>
      <c r="H15165">
        <v>14084187</v>
      </c>
      <c r="I15165">
        <v>2788899</v>
      </c>
      <c r="J15165">
        <v>3</v>
      </c>
    </row>
    <row r="15166" spans="1:10" x14ac:dyDescent="0.25">
      <c r="A15166" t="s">
        <v>163</v>
      </c>
      <c r="B15166" s="1" t="str">
        <f>HYPERLINK("http://cashcard.com.au","cashcard.com.au")</f>
        <v>cashcard.com.au</v>
      </c>
      <c r="C15166" t="s">
        <v>420</v>
      </c>
      <c r="D15166" t="s">
        <v>802</v>
      </c>
      <c r="F15166">
        <v>4.7918658062604398E-9</v>
      </c>
      <c r="G15166">
        <v>36411794</v>
      </c>
      <c r="H15166">
        <v>10474113</v>
      </c>
      <c r="I15166">
        <v>51176168</v>
      </c>
      <c r="J15166">
        <v>3</v>
      </c>
    </row>
    <row r="15167" spans="1:10" x14ac:dyDescent="0.25">
      <c r="A15167" t="s">
        <v>163</v>
      </c>
      <c r="B15167" s="1" t="str">
        <f>HYPERLINK("http://firstdata.com.au","firstdata.com.au")</f>
        <v>firstdata.com.au</v>
      </c>
      <c r="C15167" t="s">
        <v>420</v>
      </c>
      <c r="D15167" t="s">
        <v>802</v>
      </c>
      <c r="F15167">
        <v>4.4438422061954597E-9</v>
      </c>
      <c r="G15167">
        <v>78741746</v>
      </c>
      <c r="H15167">
        <v>10464196</v>
      </c>
      <c r="I15167">
        <v>51576061</v>
      </c>
      <c r="J15167">
        <v>3</v>
      </c>
    </row>
    <row r="15168" spans="1:10" x14ac:dyDescent="0.25">
      <c r="A15168" t="s">
        <v>163</v>
      </c>
      <c r="B15168" s="1" t="str">
        <f>HYPERLINK("http://bluepay.ca","bluepay.ca")</f>
        <v>bluepay.ca</v>
      </c>
      <c r="C15168" t="s">
        <v>428</v>
      </c>
      <c r="D15168" t="s">
        <v>809</v>
      </c>
      <c r="F15168">
        <v>2.5502219022036501E-8</v>
      </c>
      <c r="G15168">
        <v>2022540</v>
      </c>
      <c r="H15168">
        <v>10835436</v>
      </c>
      <c r="I15168">
        <v>37274950</v>
      </c>
      <c r="J15168">
        <v>4</v>
      </c>
    </row>
    <row r="15169" spans="1:10" x14ac:dyDescent="0.25">
      <c r="A15169" t="s">
        <v>163</v>
      </c>
      <c r="B15169" s="1" t="str">
        <f>HYPERLINK("http://1dc.com","1dc.com")</f>
        <v>1dc.com</v>
      </c>
      <c r="C15169" t="s">
        <v>433</v>
      </c>
      <c r="E15169">
        <v>92284</v>
      </c>
      <c r="F15169">
        <v>7.91311182110332E-9</v>
      </c>
      <c r="G15169">
        <v>10086142</v>
      </c>
      <c r="H15169">
        <v>12729037</v>
      </c>
      <c r="I15169">
        <v>15202104</v>
      </c>
      <c r="J15169">
        <v>4</v>
      </c>
    </row>
    <row r="15170" spans="1:10" x14ac:dyDescent="0.25">
      <c r="A15170" t="s">
        <v>163</v>
      </c>
      <c r="B15170" s="1" t="str">
        <f>HYPERLINK("http://billmatrix.com","billmatrix.com")</f>
        <v>billmatrix.com</v>
      </c>
      <c r="C15170" t="s">
        <v>433</v>
      </c>
      <c r="E15170">
        <v>39575</v>
      </c>
      <c r="F15170">
        <v>1.58251640272695E-7</v>
      </c>
      <c r="G15170">
        <v>245320</v>
      </c>
      <c r="H15170">
        <v>13095415</v>
      </c>
      <c r="I15170">
        <v>12124094</v>
      </c>
      <c r="J15170">
        <v>3</v>
      </c>
    </row>
    <row r="15171" spans="1:10" x14ac:dyDescent="0.25">
      <c r="A15171" t="s">
        <v>163</v>
      </c>
      <c r="B15171" s="1" t="str">
        <f>HYPERLINK("http://bluepay.com","bluepay.com")</f>
        <v>bluepay.com</v>
      </c>
      <c r="C15171" t="s">
        <v>433</v>
      </c>
      <c r="E15171">
        <v>90915</v>
      </c>
      <c r="F15171">
        <v>1.1079259818878899E-6</v>
      </c>
      <c r="G15171">
        <v>34726</v>
      </c>
      <c r="H15171">
        <v>14405611</v>
      </c>
      <c r="I15171">
        <v>1149181</v>
      </c>
      <c r="J15171">
        <v>3</v>
      </c>
    </row>
    <row r="15172" spans="1:10" x14ac:dyDescent="0.25">
      <c r="A15172" t="s">
        <v>163</v>
      </c>
      <c r="B15172" s="1" t="str">
        <f>HYPERLINK("http://businesstrack.com","businesstrack.com")</f>
        <v>businesstrack.com</v>
      </c>
      <c r="C15172" t="s">
        <v>433</v>
      </c>
      <c r="E15172">
        <v>103419</v>
      </c>
      <c r="F15172">
        <v>9.3197556713318502E-8</v>
      </c>
      <c r="G15172">
        <v>436268</v>
      </c>
      <c r="H15172">
        <v>13109371</v>
      </c>
      <c r="I15172">
        <v>12040654</v>
      </c>
      <c r="J15172">
        <v>4</v>
      </c>
    </row>
    <row r="15173" spans="1:10" x14ac:dyDescent="0.25">
      <c r="A15173" t="s">
        <v>163</v>
      </c>
      <c r="B15173" s="1" t="str">
        <f>HYPERLINK("http://cardconnect.com","cardconnect.com")</f>
        <v>cardconnect.com</v>
      </c>
      <c r="C15173" t="s">
        <v>433</v>
      </c>
      <c r="E15173">
        <v>21829</v>
      </c>
      <c r="F15173">
        <v>7.9488612232560503E-7</v>
      </c>
      <c r="G15173">
        <v>49484</v>
      </c>
      <c r="H15173">
        <v>17270612</v>
      </c>
      <c r="I15173">
        <v>31278</v>
      </c>
      <c r="J15173">
        <v>3</v>
      </c>
    </row>
    <row r="15174" spans="1:10" x14ac:dyDescent="0.25">
      <c r="A15174" t="s">
        <v>163</v>
      </c>
      <c r="B15174" s="1" t="str">
        <f>HYPERLINK("http://cashedge.com","cashedge.com")</f>
        <v>cashedge.com</v>
      </c>
      <c r="C15174" t="s">
        <v>433</v>
      </c>
      <c r="E15174">
        <v>76542</v>
      </c>
      <c r="F15174">
        <v>1.7308207790183899E-8</v>
      </c>
      <c r="G15174">
        <v>3197220</v>
      </c>
      <c r="H15174">
        <v>13546918</v>
      </c>
      <c r="I15174">
        <v>9899943</v>
      </c>
      <c r="J15174">
        <v>3</v>
      </c>
    </row>
    <row r="15175" spans="1:10" x14ac:dyDescent="0.25">
      <c r="A15175" t="s">
        <v>163</v>
      </c>
      <c r="B15175" s="1" t="str">
        <f>HYPERLINK("http://charlotteusers.com","charlotteusers.com")</f>
        <v>charlotteusers.com</v>
      </c>
      <c r="C15175" t="s">
        <v>433</v>
      </c>
      <c r="J15175">
        <v>3</v>
      </c>
    </row>
    <row r="15176" spans="1:10" x14ac:dyDescent="0.25">
      <c r="A15176" t="s">
        <v>163</v>
      </c>
      <c r="B15176" s="1" t="str">
        <f>HYPERLINK("http://checkfree.com","checkfree.com")</f>
        <v>checkfree.com</v>
      </c>
      <c r="C15176" t="s">
        <v>433</v>
      </c>
      <c r="E15176">
        <v>70056</v>
      </c>
      <c r="F15176">
        <v>8.1824668453769201E-8</v>
      </c>
      <c r="G15176">
        <v>510021</v>
      </c>
      <c r="H15176">
        <v>14510779</v>
      </c>
      <c r="I15176">
        <v>822975</v>
      </c>
      <c r="J15176">
        <v>3</v>
      </c>
    </row>
    <row r="15177" spans="1:10" x14ac:dyDescent="0.25">
      <c r="A15177" t="s">
        <v>163</v>
      </c>
      <c r="B15177" s="1" t="str">
        <f>HYPERLINK("http://clover.com","clover.com")</f>
        <v>clover.com</v>
      </c>
      <c r="C15177" t="s">
        <v>433</v>
      </c>
      <c r="E15177">
        <v>705</v>
      </c>
      <c r="F15177">
        <v>4.5870787015672099E-6</v>
      </c>
      <c r="G15177">
        <v>7671</v>
      </c>
      <c r="H15177">
        <v>17738376</v>
      </c>
      <c r="I15177">
        <v>6576</v>
      </c>
      <c r="J15177">
        <v>3</v>
      </c>
    </row>
    <row r="15178" spans="1:10" x14ac:dyDescent="0.25">
      <c r="A15178" t="s">
        <v>163</v>
      </c>
      <c r="B15178" s="1" t="str">
        <f>HYPERLINK("http://commencis.com","commencis.com")</f>
        <v>commencis.com</v>
      </c>
      <c r="C15178" t="s">
        <v>433</v>
      </c>
      <c r="E15178">
        <v>107714</v>
      </c>
      <c r="F15178">
        <v>5.9546853580610698E-8</v>
      </c>
      <c r="G15178">
        <v>742229</v>
      </c>
      <c r="H15178">
        <v>16944634</v>
      </c>
      <c r="I15178">
        <v>110354</v>
      </c>
      <c r="J15178">
        <v>7</v>
      </c>
    </row>
    <row r="15179" spans="1:10" x14ac:dyDescent="0.25">
      <c r="A15179" t="s">
        <v>163</v>
      </c>
      <c r="B15179" s="1" t="str">
        <f>HYPERLINK("http://dbworldfoods.com","dbworldfoods.com")</f>
        <v>dbworldfoods.com</v>
      </c>
      <c r="C15179" t="s">
        <v>433</v>
      </c>
      <c r="F15179">
        <v>4.7410661091832E-9</v>
      </c>
      <c r="G15179">
        <v>38747968</v>
      </c>
      <c r="H15179">
        <v>10360363</v>
      </c>
      <c r="I15179">
        <v>55221693</v>
      </c>
      <c r="J15179">
        <v>5</v>
      </c>
    </row>
    <row r="15180" spans="1:10" x14ac:dyDescent="0.25">
      <c r="A15180" t="s">
        <v>163</v>
      </c>
      <c r="B15180" s="1" t="str">
        <f>HYPERLINK("http://dnacrmasp.com","dnacrmasp.com")</f>
        <v>dnacrmasp.com</v>
      </c>
      <c r="C15180" t="s">
        <v>433</v>
      </c>
      <c r="F15180">
        <v>5.24505889400276E-9</v>
      </c>
      <c r="G15180">
        <v>24333309</v>
      </c>
      <c r="H15180">
        <v>13184933</v>
      </c>
      <c r="I15180">
        <v>11643740</v>
      </c>
      <c r="J15180">
        <v>3</v>
      </c>
    </row>
    <row r="15181" spans="1:10" x14ac:dyDescent="0.25">
      <c r="A15181" t="s">
        <v>163</v>
      </c>
      <c r="B15181" s="1" t="str">
        <f>HYPERLINK("http://dovetailsystems.com","dovetailsystems.com")</f>
        <v>dovetailsystems.com</v>
      </c>
      <c r="C15181" t="s">
        <v>433</v>
      </c>
      <c r="F15181">
        <v>1.32728586177122E-8</v>
      </c>
      <c r="G15181">
        <v>4505422</v>
      </c>
      <c r="H15181">
        <v>13770707</v>
      </c>
      <c r="I15181">
        <v>6718992</v>
      </c>
      <c r="J15181">
        <v>4</v>
      </c>
    </row>
    <row r="15182" spans="1:10" x14ac:dyDescent="0.25">
      <c r="A15182" t="s">
        <v>163</v>
      </c>
      <c r="B15182" s="1" t="str">
        <f>HYPERLINK("http://fdclientcenter.com","fdclientcenter.com")</f>
        <v>fdclientcenter.com</v>
      </c>
      <c r="C15182" t="s">
        <v>433</v>
      </c>
      <c r="J15182">
        <v>4</v>
      </c>
    </row>
    <row r="15183" spans="1:10" x14ac:dyDescent="0.25">
      <c r="A15183" t="s">
        <v>163</v>
      </c>
      <c r="B15183" s="1" t="str">
        <f>HYPERLINK("http://fdcsoa.com","fdcsoa.com")</f>
        <v>fdcsoa.com</v>
      </c>
      <c r="C15183" t="s">
        <v>433</v>
      </c>
      <c r="F15183">
        <v>4.44380927664477E-9</v>
      </c>
      <c r="G15183">
        <v>79786473</v>
      </c>
      <c r="H15183">
        <v>10352960</v>
      </c>
      <c r="I15183">
        <v>55934870</v>
      </c>
      <c r="J15183">
        <v>4</v>
      </c>
    </row>
    <row r="15184" spans="1:10" x14ac:dyDescent="0.25">
      <c r="A15184" t="s">
        <v>163</v>
      </c>
      <c r="B15184" s="1" t="str">
        <f>HYPERLINK("http://fdedloans.com","fdedloans.com")</f>
        <v>fdedloans.com</v>
      </c>
      <c r="C15184" t="s">
        <v>433</v>
      </c>
      <c r="E15184">
        <v>69203</v>
      </c>
      <c r="J15184">
        <v>4</v>
      </c>
    </row>
    <row r="15185" spans="1:10" x14ac:dyDescent="0.25">
      <c r="A15185" t="s">
        <v>163</v>
      </c>
      <c r="B15185" s="1" t="str">
        <f>HYPERLINK("http://firstdata.com","firstdata.com")</f>
        <v>firstdata.com</v>
      </c>
      <c r="C15185" t="s">
        <v>433</v>
      </c>
      <c r="E15185">
        <v>8192</v>
      </c>
      <c r="F15185">
        <v>2.9820293662312298E-6</v>
      </c>
      <c r="G15185">
        <v>13037</v>
      </c>
      <c r="H15185">
        <v>17702822</v>
      </c>
      <c r="I15185">
        <v>7254</v>
      </c>
      <c r="J15185">
        <v>2</v>
      </c>
    </row>
    <row r="15186" spans="1:10" x14ac:dyDescent="0.25">
      <c r="A15186" t="s">
        <v>163</v>
      </c>
      <c r="B15186" s="1" t="str">
        <f>HYPERLINK("http://firstdataclients.com","firstdataclients.com")</f>
        <v>firstdataclients.com</v>
      </c>
      <c r="C15186" t="s">
        <v>433</v>
      </c>
      <c r="E15186">
        <v>179506</v>
      </c>
      <c r="F15186">
        <v>3.2898890911419297E-8</v>
      </c>
      <c r="G15186">
        <v>1570484</v>
      </c>
      <c r="H15186">
        <v>12121868</v>
      </c>
      <c r="I15186">
        <v>25358745</v>
      </c>
      <c r="J15186">
        <v>4</v>
      </c>
    </row>
    <row r="15187" spans="1:10" x14ac:dyDescent="0.25">
      <c r="A15187" t="s">
        <v>163</v>
      </c>
      <c r="B15187" s="1" t="str">
        <f>HYPERLINK("http://firstdatacorp.com","firstdatacorp.com")</f>
        <v>firstdatacorp.com</v>
      </c>
      <c r="C15187" t="s">
        <v>433</v>
      </c>
      <c r="E15187">
        <v>49325</v>
      </c>
      <c r="F15187">
        <v>2.2511349316103102E-8</v>
      </c>
      <c r="G15187">
        <v>2327194</v>
      </c>
      <c r="H15187">
        <v>13891490</v>
      </c>
      <c r="I15187">
        <v>5961044</v>
      </c>
      <c r="J15187">
        <v>5</v>
      </c>
    </row>
    <row r="15188" spans="1:10" x14ac:dyDescent="0.25">
      <c r="A15188" t="s">
        <v>163</v>
      </c>
      <c r="B15188" s="1" t="str">
        <f>HYPERLINK("http://firstdatams.com","firstdatams.com")</f>
        <v>firstdatams.com</v>
      </c>
      <c r="C15188" t="s">
        <v>433</v>
      </c>
      <c r="F15188">
        <v>2.3369127463046399E-8</v>
      </c>
      <c r="G15188">
        <v>2231641</v>
      </c>
      <c r="H15188">
        <v>13191816</v>
      </c>
      <c r="I15188">
        <v>11597506</v>
      </c>
      <c r="J15188">
        <v>3</v>
      </c>
    </row>
    <row r="15189" spans="1:10" x14ac:dyDescent="0.25">
      <c r="A15189" t="s">
        <v>163</v>
      </c>
      <c r="B15189" s="1" t="str">
        <f>HYPERLINK("http://fiserv.com","fiserv.com")</f>
        <v>fiserv.com</v>
      </c>
      <c r="C15189" t="s">
        <v>433</v>
      </c>
      <c r="E15189">
        <v>22900</v>
      </c>
      <c r="F15189">
        <v>2.1058894117907102E-6</v>
      </c>
      <c r="G15189">
        <v>17364</v>
      </c>
      <c r="H15189">
        <v>17408334</v>
      </c>
      <c r="I15189">
        <v>18631</v>
      </c>
      <c r="J15189">
        <v>1</v>
      </c>
    </row>
    <row r="15190" spans="1:10" x14ac:dyDescent="0.25">
      <c r="A15190" t="s">
        <v>163</v>
      </c>
      <c r="B15190" s="1" t="str">
        <f>HYPERLINK("http://fiservapps.com","fiservapps.com")</f>
        <v>fiservapps.com</v>
      </c>
      <c r="C15190" t="s">
        <v>433</v>
      </c>
      <c r="E15190">
        <v>17539</v>
      </c>
      <c r="F15190">
        <v>2.99483756921055E-7</v>
      </c>
      <c r="G15190">
        <v>124182</v>
      </c>
      <c r="H15190">
        <v>13376848</v>
      </c>
      <c r="I15190">
        <v>10440262</v>
      </c>
      <c r="J15190">
        <v>3</v>
      </c>
    </row>
    <row r="15191" spans="1:10" x14ac:dyDescent="0.25">
      <c r="A15191" t="s">
        <v>163</v>
      </c>
      <c r="B15191" s="1" t="str">
        <f>HYPERLINK("http://fiservkorea.com","fiservkorea.com")</f>
        <v>fiservkorea.com</v>
      </c>
      <c r="C15191" t="s">
        <v>433</v>
      </c>
      <c r="E15191">
        <v>897121</v>
      </c>
      <c r="F15191">
        <v>1.79607128660608E-8</v>
      </c>
      <c r="G15191">
        <v>3040780</v>
      </c>
      <c r="H15191">
        <v>13110288</v>
      </c>
      <c r="I15191">
        <v>12036009</v>
      </c>
      <c r="J15191">
        <v>4</v>
      </c>
    </row>
    <row r="15192" spans="1:10" x14ac:dyDescent="0.25">
      <c r="A15192" t="s">
        <v>163</v>
      </c>
      <c r="B15192" s="1" t="str">
        <f>HYPERLINK("http://fundsxpress.com","fundsxpress.com")</f>
        <v>fundsxpress.com</v>
      </c>
      <c r="C15192" t="s">
        <v>433</v>
      </c>
      <c r="E15192">
        <v>28065</v>
      </c>
      <c r="F15192">
        <v>4.62107752727894E-7</v>
      </c>
      <c r="G15192">
        <v>81881</v>
      </c>
      <c r="H15192">
        <v>13494244</v>
      </c>
      <c r="I15192">
        <v>9981460</v>
      </c>
      <c r="J15192">
        <v>5</v>
      </c>
    </row>
    <row r="15193" spans="1:10" x14ac:dyDescent="0.25">
      <c r="A15193" t="s">
        <v>163</v>
      </c>
      <c r="B15193" s="1" t="str">
        <f>HYPERLINK("http://getbento.com","getbento.com")</f>
        <v>getbento.com</v>
      </c>
      <c r="C15193" t="s">
        <v>433</v>
      </c>
      <c r="E15193">
        <v>23021</v>
      </c>
      <c r="F15193">
        <v>1.2147516928713301E-5</v>
      </c>
      <c r="G15193">
        <v>2851</v>
      </c>
      <c r="H15193">
        <v>17250642</v>
      </c>
      <c r="I15193">
        <v>33880</v>
      </c>
      <c r="J15193">
        <v>3</v>
      </c>
    </row>
    <row r="15194" spans="1:10" x14ac:dyDescent="0.25">
      <c r="A15194" t="s">
        <v>163</v>
      </c>
      <c r="B15194" s="1" t="str">
        <f>HYPERLINK("http://gosmartpay.com","gosmartpay.com")</f>
        <v>gosmartpay.com</v>
      </c>
      <c r="C15194" t="s">
        <v>433</v>
      </c>
      <c r="F15194">
        <v>1.3714934001669601E-8</v>
      </c>
      <c r="G15194">
        <v>4315238</v>
      </c>
      <c r="H15194">
        <v>13200482</v>
      </c>
      <c r="I15194">
        <v>11549646</v>
      </c>
      <c r="J15194">
        <v>7</v>
      </c>
    </row>
    <row r="15195" spans="1:10" x14ac:dyDescent="0.25">
      <c r="A15195" t="s">
        <v>163</v>
      </c>
      <c r="B15195" s="1" t="str">
        <f>HYPERLINK("http://govone.com","govone.com")</f>
        <v>govone.com</v>
      </c>
      <c r="C15195" t="s">
        <v>433</v>
      </c>
      <c r="E15195">
        <v>293116</v>
      </c>
      <c r="F15195">
        <v>5.6094136686082297E-8</v>
      </c>
      <c r="G15195">
        <v>798279</v>
      </c>
      <c r="H15195">
        <v>13651325</v>
      </c>
      <c r="I15195">
        <v>9605533</v>
      </c>
      <c r="J15195">
        <v>4</v>
      </c>
    </row>
    <row r="15196" spans="1:10" x14ac:dyDescent="0.25">
      <c r="A15196" t="s">
        <v>163</v>
      </c>
      <c r="B15196" s="1" t="str">
        <f>HYPERLINK("http://monitise.com","monitise.com")</f>
        <v>monitise.com</v>
      </c>
      <c r="C15196" t="s">
        <v>433</v>
      </c>
      <c r="F15196">
        <v>7.9300033253108601E-8</v>
      </c>
      <c r="G15196">
        <v>526949</v>
      </c>
      <c r="H15196">
        <v>14057732</v>
      </c>
      <c r="I15196">
        <v>3888733</v>
      </c>
      <c r="J15196">
        <v>4</v>
      </c>
    </row>
    <row r="15197" spans="1:10" x14ac:dyDescent="0.25">
      <c r="A15197" t="s">
        <v>163</v>
      </c>
      <c r="B15197" s="1" t="str">
        <f>HYPERLINK("http://nextable.com","nextable.com")</f>
        <v>nextable.com</v>
      </c>
      <c r="C15197" t="s">
        <v>433</v>
      </c>
      <c r="F15197">
        <v>1.05504011058537E-8</v>
      </c>
      <c r="G15197">
        <v>6226150</v>
      </c>
      <c r="H15197">
        <v>13233212</v>
      </c>
      <c r="I15197">
        <v>11256295</v>
      </c>
      <c r="J15197">
        <v>3</v>
      </c>
    </row>
    <row r="15198" spans="1:10" x14ac:dyDescent="0.25">
      <c r="A15198" t="s">
        <v>163</v>
      </c>
      <c r="B15198" s="1" t="str">
        <f>HYPERLINK("http://olbanking.com","olbanking.com")</f>
        <v>olbanking.com</v>
      </c>
      <c r="C15198" t="s">
        <v>433</v>
      </c>
      <c r="E15198">
        <v>118204</v>
      </c>
      <c r="F15198">
        <v>1.04252552756506E-7</v>
      </c>
      <c r="G15198">
        <v>384562</v>
      </c>
      <c r="H15198">
        <v>16813276</v>
      </c>
      <c r="I15198">
        <v>191818</v>
      </c>
      <c r="J15198">
        <v>3</v>
      </c>
    </row>
    <row r="15199" spans="1:10" x14ac:dyDescent="0.25">
      <c r="A15199" t="s">
        <v>163</v>
      </c>
      <c r="B15199" s="1" t="str">
        <f>HYPERLINK("http://ondotsystems.com","ondotsystems.com")</f>
        <v>ondotsystems.com</v>
      </c>
      <c r="C15199" t="s">
        <v>433</v>
      </c>
      <c r="E15199">
        <v>363730</v>
      </c>
      <c r="F15199">
        <v>5.1468546306557003E-8</v>
      </c>
      <c r="G15199">
        <v>888950</v>
      </c>
      <c r="H15199">
        <v>13648470</v>
      </c>
      <c r="I15199">
        <v>9606892</v>
      </c>
      <c r="J15199">
        <v>3</v>
      </c>
    </row>
    <row r="15200" spans="1:10" x14ac:dyDescent="0.25">
      <c r="A15200" t="s">
        <v>163</v>
      </c>
      <c r="B15200" s="1" t="str">
        <f>HYPERLINK("http://opensolutions.com","opensolutions.com")</f>
        <v>opensolutions.com</v>
      </c>
      <c r="C15200" t="s">
        <v>433</v>
      </c>
      <c r="F15200">
        <v>2.0338403344483101E-8</v>
      </c>
      <c r="G15200">
        <v>2608428</v>
      </c>
      <c r="H15200">
        <v>13791444</v>
      </c>
      <c r="I15200">
        <v>6337140</v>
      </c>
      <c r="J15200">
        <v>5</v>
      </c>
    </row>
    <row r="15201" spans="1:10" x14ac:dyDescent="0.25">
      <c r="A15201" t="s">
        <v>163</v>
      </c>
      <c r="B15201" s="1" t="str">
        <f>HYPERLINK("http://opensolutionsasp.com","opensolutionsasp.com")</f>
        <v>opensolutionsasp.com</v>
      </c>
      <c r="C15201" t="s">
        <v>433</v>
      </c>
      <c r="E15201">
        <v>84729</v>
      </c>
      <c r="F15201">
        <v>1.5074931851454901E-8</v>
      </c>
      <c r="G15201">
        <v>3815811</v>
      </c>
      <c r="H15201">
        <v>10353651</v>
      </c>
      <c r="I15201">
        <v>55855884</v>
      </c>
      <c r="J15201">
        <v>3</v>
      </c>
    </row>
    <row r="15202" spans="1:10" x14ac:dyDescent="0.25">
      <c r="A15202" t="s">
        <v>163</v>
      </c>
      <c r="B15202" s="1" t="str">
        <f>HYPERLINK("http://paysys.com","paysys.com")</f>
        <v>paysys.com</v>
      </c>
      <c r="C15202" t="s">
        <v>433</v>
      </c>
      <c r="F15202">
        <v>4.6284837606500501E-9</v>
      </c>
      <c r="G15202">
        <v>45540923</v>
      </c>
      <c r="H15202">
        <v>12658397</v>
      </c>
      <c r="I15202">
        <v>15749529</v>
      </c>
      <c r="J15202">
        <v>3</v>
      </c>
    </row>
    <row r="15203" spans="1:10" x14ac:dyDescent="0.25">
      <c r="A15203" t="s">
        <v>163</v>
      </c>
      <c r="B15203" s="1" t="str">
        <f>HYPERLINK("http://radius8.com","radius8.com")</f>
        <v>radius8.com</v>
      </c>
      <c r="C15203" t="s">
        <v>433</v>
      </c>
      <c r="E15203">
        <v>150439</v>
      </c>
      <c r="F15203">
        <v>7.8783921687944494E-8</v>
      </c>
      <c r="G15203">
        <v>530527</v>
      </c>
      <c r="H15203">
        <v>13616819</v>
      </c>
      <c r="I15203">
        <v>9629197</v>
      </c>
      <c r="J15203">
        <v>3</v>
      </c>
    </row>
    <row r="15204" spans="1:10" x14ac:dyDescent="0.25">
      <c r="A15204" t="s">
        <v>163</v>
      </c>
      <c r="B15204" s="1" t="str">
        <f>HYPERLINK("http://star.com","star.com")</f>
        <v>star.com</v>
      </c>
      <c r="C15204" t="s">
        <v>433</v>
      </c>
      <c r="E15204">
        <v>582437</v>
      </c>
      <c r="F15204">
        <v>6.5832859982680399E-8</v>
      </c>
      <c r="G15204">
        <v>652317</v>
      </c>
      <c r="H15204">
        <v>14860307</v>
      </c>
      <c r="I15204">
        <v>484656</v>
      </c>
      <c r="J15204">
        <v>5</v>
      </c>
    </row>
    <row r="15205" spans="1:10" x14ac:dyDescent="0.25">
      <c r="A15205" t="s">
        <v>163</v>
      </c>
      <c r="B15205" s="1" t="str">
        <f>HYPERLINK("http://telecheck.com","telecheck.com")</f>
        <v>telecheck.com</v>
      </c>
      <c r="C15205" t="s">
        <v>433</v>
      </c>
      <c r="E15205">
        <v>815657</v>
      </c>
      <c r="F15205">
        <v>1.6051165774504899E-7</v>
      </c>
      <c r="G15205">
        <v>241823</v>
      </c>
      <c r="H15205">
        <v>13887965</v>
      </c>
      <c r="I15205">
        <v>5966157</v>
      </c>
      <c r="J15205">
        <v>3</v>
      </c>
    </row>
    <row r="15206" spans="1:10" x14ac:dyDescent="0.25">
      <c r="A15206" t="s">
        <v>163</v>
      </c>
      <c r="B15206" s="1" t="str">
        <f>HYPERLINK("http://virtualmerchantservices.com","virtualmerchantservices.com")</f>
        <v>virtualmerchantservices.com</v>
      </c>
      <c r="C15206" t="s">
        <v>433</v>
      </c>
      <c r="F15206">
        <v>8.4123672110931098E-9</v>
      </c>
      <c r="G15206">
        <v>9017677</v>
      </c>
      <c r="H15206">
        <v>13025917</v>
      </c>
      <c r="I15206">
        <v>12691092</v>
      </c>
      <c r="J15206">
        <v>6</v>
      </c>
    </row>
    <row r="15207" spans="1:10" x14ac:dyDescent="0.25">
      <c r="A15207" t="s">
        <v>163</v>
      </c>
      <c r="B15207" s="1" t="str">
        <f>HYPERLINK("http://cashforless.de","cashforless.de")</f>
        <v>cashforless.de</v>
      </c>
      <c r="C15207" t="s">
        <v>436</v>
      </c>
      <c r="D15207" t="s">
        <v>815</v>
      </c>
      <c r="F15207">
        <v>1.41302681345623E-8</v>
      </c>
      <c r="G15207">
        <v>4154591</v>
      </c>
      <c r="H15207">
        <v>14075109</v>
      </c>
      <c r="I15207">
        <v>2918193</v>
      </c>
      <c r="J15207">
        <v>3</v>
      </c>
    </row>
    <row r="15208" spans="1:10" x14ac:dyDescent="0.25">
      <c r="A15208" t="s">
        <v>163</v>
      </c>
      <c r="B15208" s="1" t="str">
        <f>HYPERLINK("http://firstdata.de","firstdata.de")</f>
        <v>firstdata.de</v>
      </c>
      <c r="C15208" t="s">
        <v>436</v>
      </c>
      <c r="D15208" t="s">
        <v>815</v>
      </c>
      <c r="F15208">
        <v>4.7252628588699903E-8</v>
      </c>
      <c r="G15208">
        <v>986653</v>
      </c>
      <c r="H15208">
        <v>12483090</v>
      </c>
      <c r="I15208">
        <v>17569539</v>
      </c>
      <c r="J15208">
        <v>4</v>
      </c>
    </row>
    <row r="15209" spans="1:10" x14ac:dyDescent="0.25">
      <c r="A15209" t="s">
        <v>163</v>
      </c>
      <c r="B15209" s="1" t="str">
        <f>HYPERLINK("http://gzs.de","gzs.de")</f>
        <v>gzs.de</v>
      </c>
      <c r="C15209" t="s">
        <v>436</v>
      </c>
      <c r="D15209" t="s">
        <v>815</v>
      </c>
      <c r="F15209">
        <v>5.1357442035498199E-9</v>
      </c>
      <c r="G15209">
        <v>26345514</v>
      </c>
      <c r="H15209">
        <v>12219983</v>
      </c>
      <c r="I15209">
        <v>22787641</v>
      </c>
      <c r="J15209">
        <v>4</v>
      </c>
    </row>
    <row r="15210" spans="1:10" x14ac:dyDescent="0.25">
      <c r="A15210" t="s">
        <v>163</v>
      </c>
      <c r="B15210" s="1" t="str">
        <f>HYPERLINK("http://fiserv.dev","fiserv.dev")</f>
        <v>fiserv.dev</v>
      </c>
      <c r="C15210" t="s">
        <v>527</v>
      </c>
      <c r="F15210">
        <v>3.9051701753710899E-8</v>
      </c>
      <c r="G15210">
        <v>1320719</v>
      </c>
      <c r="H15210">
        <v>12622283</v>
      </c>
      <c r="I15210">
        <v>16074510</v>
      </c>
      <c r="J15210">
        <v>2</v>
      </c>
    </row>
    <row r="15211" spans="1:10" x14ac:dyDescent="0.25">
      <c r="A15211" t="s">
        <v>163</v>
      </c>
      <c r="B15211" s="1" t="str">
        <f>HYPERLINK("http://firstdataclients.eu","firstdataclients.eu")</f>
        <v>firstdataclients.eu</v>
      </c>
      <c r="C15211" t="s">
        <v>444</v>
      </c>
      <c r="F15211">
        <v>4.44380927664388E-9</v>
      </c>
      <c r="G15211">
        <v>79824636</v>
      </c>
      <c r="H15211">
        <v>10352960</v>
      </c>
      <c r="I15211">
        <v>55970872</v>
      </c>
      <c r="J15211">
        <v>4</v>
      </c>
    </row>
    <row r="15212" spans="1:10" x14ac:dyDescent="0.25">
      <c r="A15212" t="s">
        <v>163</v>
      </c>
      <c r="B15212" s="1" t="str">
        <f>HYPERLINK("http://cloverpos.fi","cloverpos.fi")</f>
        <v>cloverpos.fi</v>
      </c>
      <c r="C15212" t="s">
        <v>445</v>
      </c>
      <c r="D15212" t="s">
        <v>823</v>
      </c>
      <c r="J15212">
        <v>4</v>
      </c>
    </row>
    <row r="15213" spans="1:10" x14ac:dyDescent="0.25">
      <c r="A15213" t="s">
        <v>163</v>
      </c>
      <c r="B15213" s="1" t="str">
        <f>HYPERLINK("http://firstdata.fi","firstdata.fi")</f>
        <v>firstdata.fi</v>
      </c>
      <c r="C15213" t="s">
        <v>445</v>
      </c>
      <c r="D15213" t="s">
        <v>823</v>
      </c>
      <c r="J15213">
        <v>4</v>
      </c>
    </row>
    <row r="15214" spans="1:10" x14ac:dyDescent="0.25">
      <c r="A15214" t="s">
        <v>163</v>
      </c>
      <c r="B15214" s="1" t="str">
        <f>HYPERLINK("http://firstdatams.fi","firstdatams.fi")</f>
        <v>firstdatams.fi</v>
      </c>
      <c r="C15214" t="s">
        <v>445</v>
      </c>
      <c r="D15214" t="s">
        <v>823</v>
      </c>
      <c r="J15214">
        <v>4</v>
      </c>
    </row>
    <row r="15215" spans="1:10" x14ac:dyDescent="0.25">
      <c r="A15215" t="s">
        <v>163</v>
      </c>
      <c r="B15215" s="1" t="str">
        <f>HYPERLINK("http://firstdatasnap.fi","firstdatasnap.fi")</f>
        <v>firstdatasnap.fi</v>
      </c>
      <c r="C15215" t="s">
        <v>445</v>
      </c>
      <c r="D15215" t="s">
        <v>823</v>
      </c>
      <c r="J15215">
        <v>4</v>
      </c>
    </row>
    <row r="15216" spans="1:10" x14ac:dyDescent="0.25">
      <c r="A15216" t="s">
        <v>163</v>
      </c>
      <c r="B15216" s="1" t="str">
        <f>HYPERLINK("http://fiserv.fi","fiserv.fi")</f>
        <v>fiserv.fi</v>
      </c>
      <c r="C15216" t="s">
        <v>445</v>
      </c>
      <c r="D15216" t="s">
        <v>823</v>
      </c>
      <c r="J15216">
        <v>3</v>
      </c>
    </row>
    <row r="15217" spans="1:10" x14ac:dyDescent="0.25">
      <c r="A15217" t="s">
        <v>163</v>
      </c>
      <c r="B15217" s="1" t="str">
        <f>HYPERLINK("http://payeezy.fi","payeezy.fi")</f>
        <v>payeezy.fi</v>
      </c>
      <c r="C15217" t="s">
        <v>445</v>
      </c>
      <c r="D15217" t="s">
        <v>823</v>
      </c>
      <c r="J15217">
        <v>4</v>
      </c>
    </row>
    <row r="15218" spans="1:10" x14ac:dyDescent="0.25">
      <c r="A15218" t="s">
        <v>163</v>
      </c>
      <c r="B15218" s="1" t="str">
        <f>HYPERLINK("http://perka.fi","perka.fi")</f>
        <v>perka.fi</v>
      </c>
      <c r="C15218" t="s">
        <v>445</v>
      </c>
      <c r="D15218" t="s">
        <v>823</v>
      </c>
      <c r="J15218">
        <v>4</v>
      </c>
    </row>
    <row r="15219" spans="1:10" x14ac:dyDescent="0.25">
      <c r="A15219" t="s">
        <v>163</v>
      </c>
      <c r="B15219" s="1" t="str">
        <f>HYPERLINK("http://fiserv.host","fiserv.host")</f>
        <v>fiserv.host</v>
      </c>
      <c r="C15219" t="s">
        <v>701</v>
      </c>
      <c r="J15219">
        <v>2</v>
      </c>
    </row>
    <row r="15220" spans="1:10" x14ac:dyDescent="0.25">
      <c r="A15220" t="s">
        <v>163</v>
      </c>
      <c r="B15220" s="1" t="str">
        <f>HYPERLINK("http://omnipay.ie","omnipay.ie")</f>
        <v>omnipay.ie</v>
      </c>
      <c r="C15220" t="s">
        <v>455</v>
      </c>
      <c r="D15220" t="s">
        <v>832</v>
      </c>
      <c r="F15220">
        <v>4.4520489534789602E-9</v>
      </c>
      <c r="G15220">
        <v>70829207</v>
      </c>
      <c r="H15220">
        <v>10913881</v>
      </c>
      <c r="I15220">
        <v>35537624</v>
      </c>
      <c r="J15220">
        <v>3</v>
      </c>
    </row>
    <row r="15221" spans="1:10" x14ac:dyDescent="0.25">
      <c r="A15221" t="s">
        <v>163</v>
      </c>
      <c r="B15221" s="1" t="str">
        <f>HYPERLINK("http://firstdataclients.in","firstdataclients.in")</f>
        <v>firstdataclients.in</v>
      </c>
      <c r="C15221" t="s">
        <v>457</v>
      </c>
      <c r="D15221" t="s">
        <v>834</v>
      </c>
      <c r="J15221">
        <v>4</v>
      </c>
    </row>
    <row r="15222" spans="1:10" x14ac:dyDescent="0.25">
      <c r="A15222" t="s">
        <v>163</v>
      </c>
      <c r="B15222" s="1" t="str">
        <f>HYPERLINK("http://fiserv.com.mx","fiserv.com.mx")</f>
        <v>fiserv.com.mx</v>
      </c>
      <c r="C15222" t="s">
        <v>471</v>
      </c>
      <c r="D15222" t="s">
        <v>847</v>
      </c>
      <c r="F15222">
        <v>6.7117235042755902E-9</v>
      </c>
      <c r="G15222">
        <v>13262170</v>
      </c>
      <c r="H15222">
        <v>12206285</v>
      </c>
      <c r="I15222">
        <v>23124267</v>
      </c>
      <c r="J15222">
        <v>2</v>
      </c>
    </row>
    <row r="15223" spans="1:10" x14ac:dyDescent="0.25">
      <c r="A15223" t="s">
        <v>163</v>
      </c>
      <c r="B15223" s="1" t="str">
        <f>HYPERLINK("http://wpos.com.mx","wpos.com.mx")</f>
        <v>wpos.com.mx</v>
      </c>
      <c r="C15223" t="s">
        <v>471</v>
      </c>
      <c r="D15223" t="s">
        <v>847</v>
      </c>
      <c r="J15223">
        <v>4</v>
      </c>
    </row>
    <row r="15224" spans="1:10" x14ac:dyDescent="0.25">
      <c r="A15224" t="s">
        <v>163</v>
      </c>
      <c r="B15224" s="1" t="str">
        <f>HYPERLINK("http://fiservcloudtest.net","fiservcloudtest.net")</f>
        <v>fiservcloudtest.net</v>
      </c>
      <c r="C15224" t="s">
        <v>474</v>
      </c>
      <c r="J15224">
        <v>4</v>
      </c>
    </row>
    <row r="15225" spans="1:10" x14ac:dyDescent="0.25">
      <c r="A15225" t="s">
        <v>163</v>
      </c>
      <c r="B15225" s="1" t="str">
        <f>HYPERLINK("http://onefiserv.net","onefiserv.net")</f>
        <v>onefiserv.net</v>
      </c>
      <c r="C15225" t="s">
        <v>474</v>
      </c>
      <c r="E15225">
        <v>984924</v>
      </c>
      <c r="F15225">
        <v>4.44381528729582E-9</v>
      </c>
      <c r="G15225">
        <v>79422164</v>
      </c>
      <c r="H15225">
        <v>10358497</v>
      </c>
      <c r="I15225">
        <v>55408946</v>
      </c>
      <c r="J15225">
        <v>3</v>
      </c>
    </row>
    <row r="15226" spans="1:10" x14ac:dyDescent="0.25">
      <c r="A15226" t="s">
        <v>163</v>
      </c>
      <c r="B15226" s="1" t="str">
        <f>HYPERLINK("http://fiserv.co.nz","fiserv.co.nz")</f>
        <v>fiserv.co.nz</v>
      </c>
      <c r="C15226" t="s">
        <v>479</v>
      </c>
      <c r="D15226" t="s">
        <v>854</v>
      </c>
      <c r="J15226">
        <v>4</v>
      </c>
    </row>
    <row r="15227" spans="1:10" x14ac:dyDescent="0.25">
      <c r="A15227" t="s">
        <v>163</v>
      </c>
      <c r="B15227" s="1" t="str">
        <f>HYPERLINK("http://polcard.com.pl","polcard.com.pl")</f>
        <v>polcard.com.pl</v>
      </c>
      <c r="C15227" t="s">
        <v>486</v>
      </c>
      <c r="D15227" t="s">
        <v>860</v>
      </c>
      <c r="E15227">
        <v>493954</v>
      </c>
      <c r="F15227">
        <v>2.45923139486188E-8</v>
      </c>
      <c r="G15227">
        <v>2106094</v>
      </c>
      <c r="H15227">
        <v>12235093</v>
      </c>
      <c r="I15227">
        <v>22378023</v>
      </c>
      <c r="J15227">
        <v>4</v>
      </c>
    </row>
    <row r="15228" spans="1:10" x14ac:dyDescent="0.25">
      <c r="A15228" t="s">
        <v>163</v>
      </c>
      <c r="B15228" s="1" t="str">
        <f>HYPERLINK("http://fdrl.co.uk","fdrl.co.uk")</f>
        <v>fdrl.co.uk</v>
      </c>
      <c r="C15228" t="s">
        <v>506</v>
      </c>
      <c r="D15228" t="s">
        <v>880</v>
      </c>
      <c r="J15228">
        <v>4</v>
      </c>
    </row>
    <row r="15229" spans="1:10" x14ac:dyDescent="0.25">
      <c r="A15229" t="s">
        <v>163</v>
      </c>
      <c r="B15229" s="1" t="str">
        <f>HYPERLINK("http://monilink.co.uk","monilink.co.uk")</f>
        <v>monilink.co.uk</v>
      </c>
      <c r="C15229" t="s">
        <v>506</v>
      </c>
      <c r="D15229" t="s">
        <v>880</v>
      </c>
      <c r="F15229">
        <v>5.09022663707164E-9</v>
      </c>
      <c r="G15229">
        <v>27282655</v>
      </c>
      <c r="H15229">
        <v>13072737</v>
      </c>
      <c r="I15229">
        <v>12230012</v>
      </c>
      <c r="J15229">
        <v>4</v>
      </c>
    </row>
    <row r="15230" spans="1:10" x14ac:dyDescent="0.25">
      <c r="A15230" t="s">
        <v>163</v>
      </c>
      <c r="B15230" s="1" t="str">
        <f>HYPERLINK("http://technologi.co.uk","technologi.co.uk")</f>
        <v>technologi.co.uk</v>
      </c>
      <c r="C15230" t="s">
        <v>506</v>
      </c>
      <c r="D15230" t="s">
        <v>880</v>
      </c>
      <c r="F15230">
        <v>1.3701183701914201E-8</v>
      </c>
      <c r="G15230">
        <v>4320635</v>
      </c>
      <c r="H15230">
        <v>12387671</v>
      </c>
      <c r="I15230">
        <v>19088161</v>
      </c>
      <c r="J15230">
        <v>3</v>
      </c>
    </row>
    <row r="15231" spans="1:10" x14ac:dyDescent="0.25">
      <c r="A15231" t="s">
        <v>164</v>
      </c>
      <c r="B15231" s="1" t="str">
        <f>HYPERLINK("http://ford.com.al","ford.com.al")</f>
        <v>ford.com.al</v>
      </c>
      <c r="C15231" t="s">
        <v>588</v>
      </c>
      <c r="D15231" t="s">
        <v>924</v>
      </c>
      <c r="F15231">
        <v>1.0997696504483399E-8</v>
      </c>
      <c r="G15231">
        <v>5862013</v>
      </c>
      <c r="H15231">
        <v>12559499</v>
      </c>
      <c r="I15231">
        <v>16718768</v>
      </c>
      <c r="J15231">
        <v>2</v>
      </c>
    </row>
    <row r="15232" spans="1:10" x14ac:dyDescent="0.25">
      <c r="A15232" t="s">
        <v>164</v>
      </c>
      <c r="B15232" s="1" t="str">
        <f>HYPERLINK("http://arauco.com.ar","arauco.com.ar")</f>
        <v>arauco.com.ar</v>
      </c>
      <c r="C15232" t="s">
        <v>418</v>
      </c>
      <c r="D15232" t="s">
        <v>800</v>
      </c>
      <c r="F15232">
        <v>4.4514071835591099E-9</v>
      </c>
      <c r="G15232">
        <v>71168071</v>
      </c>
      <c r="H15232">
        <v>10684270</v>
      </c>
      <c r="I15232">
        <v>42654029</v>
      </c>
      <c r="J15232">
        <v>3</v>
      </c>
    </row>
    <row r="15233" spans="1:10" x14ac:dyDescent="0.25">
      <c r="A15233" t="s">
        <v>164</v>
      </c>
      <c r="B15233" s="1" t="str">
        <f>HYPERLINK("http://escobarford.com.ar","escobarford.com.ar")</f>
        <v>escobarford.com.ar</v>
      </c>
      <c r="C15233" t="s">
        <v>418</v>
      </c>
      <c r="D15233" t="s">
        <v>800</v>
      </c>
      <c r="F15233">
        <v>5.1604663511466296E-9</v>
      </c>
      <c r="G15233">
        <v>25893395</v>
      </c>
      <c r="H15233">
        <v>10796240</v>
      </c>
      <c r="I15233">
        <v>38270753</v>
      </c>
      <c r="J15233">
        <v>3</v>
      </c>
    </row>
    <row r="15234" spans="1:10" x14ac:dyDescent="0.25">
      <c r="A15234" t="s">
        <v>164</v>
      </c>
      <c r="B15234" s="1" t="str">
        <f>HYPERLINK("http://ford.com.ar","ford.com.ar")</f>
        <v>ford.com.ar</v>
      </c>
      <c r="C15234" t="s">
        <v>418</v>
      </c>
      <c r="D15234" t="s">
        <v>800</v>
      </c>
      <c r="E15234">
        <v>539526</v>
      </c>
      <c r="F15234">
        <v>1.0832540991513999E-7</v>
      </c>
      <c r="G15234">
        <v>369439</v>
      </c>
      <c r="H15234">
        <v>14831535</v>
      </c>
      <c r="I15234">
        <v>504945</v>
      </c>
      <c r="J15234">
        <v>2</v>
      </c>
    </row>
    <row r="15235" spans="1:10" x14ac:dyDescent="0.25">
      <c r="A15235" t="s">
        <v>164</v>
      </c>
      <c r="B15235" s="1" t="str">
        <f>HYPERLINK("http://gruporobayna.com.ar","gruporobayna.com.ar")</f>
        <v>gruporobayna.com.ar</v>
      </c>
      <c r="C15235" t="s">
        <v>418</v>
      </c>
      <c r="D15235" t="s">
        <v>800</v>
      </c>
      <c r="F15235">
        <v>8.6477289442975703E-9</v>
      </c>
      <c r="G15235">
        <v>8570590</v>
      </c>
      <c r="H15235">
        <v>13564051</v>
      </c>
      <c r="I15235">
        <v>9840459</v>
      </c>
      <c r="J15235">
        <v>3</v>
      </c>
    </row>
    <row r="15236" spans="1:10" x14ac:dyDescent="0.25">
      <c r="A15236" t="s">
        <v>164</v>
      </c>
      <c r="B15236" s="1" t="str">
        <f>HYPERLINK("http://karamsa.com.ar","karamsa.com.ar")</f>
        <v>karamsa.com.ar</v>
      </c>
      <c r="C15236" t="s">
        <v>418</v>
      </c>
      <c r="D15236" t="s">
        <v>800</v>
      </c>
      <c r="F15236">
        <v>6.2935286871036697E-9</v>
      </c>
      <c r="G15236">
        <v>15063079</v>
      </c>
      <c r="H15236">
        <v>11009937</v>
      </c>
      <c r="I15236">
        <v>33408392</v>
      </c>
      <c r="J15236">
        <v>3</v>
      </c>
    </row>
    <row r="15237" spans="1:10" x14ac:dyDescent="0.25">
      <c r="A15237" t="s">
        <v>164</v>
      </c>
      <c r="B15237" s="1" t="str">
        <f>HYPERLINK("http://sapac.com.ar","sapac.com.ar")</f>
        <v>sapac.com.ar</v>
      </c>
      <c r="C15237" t="s">
        <v>418</v>
      </c>
      <c r="D15237" t="s">
        <v>800</v>
      </c>
      <c r="F15237">
        <v>8.5923498726269698E-9</v>
      </c>
      <c r="G15237">
        <v>8670232</v>
      </c>
      <c r="H15237">
        <v>10461378</v>
      </c>
      <c r="I15237">
        <v>51767804</v>
      </c>
      <c r="J15237">
        <v>3</v>
      </c>
    </row>
    <row r="15238" spans="1:10" x14ac:dyDescent="0.25">
      <c r="A15238" t="s">
        <v>164</v>
      </c>
      <c r="B15238" s="1" t="str">
        <f>HYPERLINK("http://sauma.com.ar","sauma.com.ar")</f>
        <v>sauma.com.ar</v>
      </c>
      <c r="C15238" t="s">
        <v>418</v>
      </c>
      <c r="D15238" t="s">
        <v>800</v>
      </c>
      <c r="F15238">
        <v>4.7057240525839698E-9</v>
      </c>
      <c r="G15238">
        <v>40949310</v>
      </c>
      <c r="H15238">
        <v>10735218</v>
      </c>
      <c r="I15238">
        <v>40653488</v>
      </c>
      <c r="J15238">
        <v>3</v>
      </c>
    </row>
    <row r="15239" spans="1:10" x14ac:dyDescent="0.25">
      <c r="A15239" t="s">
        <v>164</v>
      </c>
      <c r="B15239" s="1" t="str">
        <f>HYPERLINK("http://simone.com.ar","simone.com.ar")</f>
        <v>simone.com.ar</v>
      </c>
      <c r="C15239" t="s">
        <v>418</v>
      </c>
      <c r="D15239" t="s">
        <v>800</v>
      </c>
      <c r="F15239">
        <v>6.5107912189459797E-9</v>
      </c>
      <c r="G15239">
        <v>14033937</v>
      </c>
      <c r="H15239">
        <v>10821751</v>
      </c>
      <c r="I15239">
        <v>37588053</v>
      </c>
      <c r="J15239">
        <v>3</v>
      </c>
    </row>
    <row r="15240" spans="1:10" x14ac:dyDescent="0.25">
      <c r="A15240" t="s">
        <v>164</v>
      </c>
      <c r="B15240" s="1" t="str">
        <f>HYPERLINK("http://vielautomotores.com.ar","vielautomotores.com.ar")</f>
        <v>vielautomotores.com.ar</v>
      </c>
      <c r="C15240" t="s">
        <v>418</v>
      </c>
      <c r="D15240" t="s">
        <v>800</v>
      </c>
      <c r="F15240">
        <v>5.3403371017839598E-9</v>
      </c>
      <c r="G15240">
        <v>22929911</v>
      </c>
      <c r="H15240">
        <v>9643263</v>
      </c>
      <c r="I15240">
        <v>63952752</v>
      </c>
      <c r="J15240">
        <v>3</v>
      </c>
    </row>
    <row r="15241" spans="1:10" x14ac:dyDescent="0.25">
      <c r="A15241" t="s">
        <v>164</v>
      </c>
      <c r="B15241" s="1" t="str">
        <f>HYPERLINK("http://autohaus-ruhland.at","autohaus-ruhland.at")</f>
        <v>autohaus-ruhland.at</v>
      </c>
      <c r="C15241" t="s">
        <v>419</v>
      </c>
      <c r="D15241" t="s">
        <v>801</v>
      </c>
      <c r="F15241">
        <v>5.88906788352622E-9</v>
      </c>
      <c r="G15241">
        <v>17434427</v>
      </c>
      <c r="H15241">
        <v>12370748</v>
      </c>
      <c r="I15241">
        <v>19395456</v>
      </c>
      <c r="J15241">
        <v>3</v>
      </c>
    </row>
    <row r="15242" spans="1:10" x14ac:dyDescent="0.25">
      <c r="A15242" t="s">
        <v>164</v>
      </c>
      <c r="B15242" s="1" t="str">
        <f>HYPERLINK("http://buchner.co.at","buchner.co.at")</f>
        <v>buchner.co.at</v>
      </c>
      <c r="C15242" t="s">
        <v>419</v>
      </c>
      <c r="D15242" t="s">
        <v>801</v>
      </c>
      <c r="F15242">
        <v>6.6807878675512603E-9</v>
      </c>
      <c r="G15242">
        <v>13372492</v>
      </c>
      <c r="H15242">
        <v>12409328</v>
      </c>
      <c r="I15242">
        <v>18616528</v>
      </c>
      <c r="J15242">
        <v>3</v>
      </c>
    </row>
    <row r="15243" spans="1:10" x14ac:dyDescent="0.25">
      <c r="A15243" t="s">
        <v>164</v>
      </c>
      <c r="B15243" s="1" t="str">
        <f>HYPERLINK("http://derreisinger.at","derreisinger.at")</f>
        <v>derreisinger.at</v>
      </c>
      <c r="C15243" t="s">
        <v>419</v>
      </c>
      <c r="D15243" t="s">
        <v>801</v>
      </c>
      <c r="F15243">
        <v>1.1627267501361699E-8</v>
      </c>
      <c r="G15243">
        <v>5414684</v>
      </c>
      <c r="H15243">
        <v>12971815</v>
      </c>
      <c r="I15243">
        <v>13035394</v>
      </c>
      <c r="J15243">
        <v>3</v>
      </c>
    </row>
    <row r="15244" spans="1:10" x14ac:dyDescent="0.25">
      <c r="A15244" t="s">
        <v>164</v>
      </c>
      <c r="B15244" s="1" t="str">
        <f>HYPERLINK("http://eigenthaler.at","eigenthaler.at")</f>
        <v>eigenthaler.at</v>
      </c>
      <c r="C15244" t="s">
        <v>419</v>
      </c>
      <c r="D15244" t="s">
        <v>801</v>
      </c>
      <c r="F15244">
        <v>6.4265531550948503E-9</v>
      </c>
      <c r="G15244">
        <v>14397260</v>
      </c>
      <c r="H15244">
        <v>12371378</v>
      </c>
      <c r="I15244">
        <v>19383976</v>
      </c>
      <c r="J15244">
        <v>3</v>
      </c>
    </row>
    <row r="15245" spans="1:10" x14ac:dyDescent="0.25">
      <c r="A15245" t="s">
        <v>164</v>
      </c>
      <c r="B15245" s="1" t="str">
        <f>HYPERLINK("http://ford.at","ford.at")</f>
        <v>ford.at</v>
      </c>
      <c r="C15245" t="s">
        <v>419</v>
      </c>
      <c r="D15245" t="s">
        <v>801</v>
      </c>
      <c r="E15245">
        <v>524226</v>
      </c>
      <c r="F15245">
        <v>1.5738975405839301E-7</v>
      </c>
      <c r="G15245">
        <v>246736</v>
      </c>
      <c r="H15245">
        <v>14085909</v>
      </c>
      <c r="I15245">
        <v>2774423</v>
      </c>
      <c r="J15245">
        <v>2</v>
      </c>
    </row>
    <row r="15246" spans="1:10" x14ac:dyDescent="0.25">
      <c r="A15246" t="s">
        <v>164</v>
      </c>
      <c r="B15246" s="1" t="str">
        <f>HYPERLINK("http://ford-aumayr.at","ford-aumayr.at")</f>
        <v>ford-aumayr.at</v>
      </c>
      <c r="C15246" t="s">
        <v>419</v>
      </c>
      <c r="D15246" t="s">
        <v>801</v>
      </c>
      <c r="F15246">
        <v>7.8076028533889899E-9</v>
      </c>
      <c r="G15246">
        <v>10303641</v>
      </c>
      <c r="H15246">
        <v>12397086</v>
      </c>
      <c r="I15246">
        <v>18894543</v>
      </c>
      <c r="J15246">
        <v>3</v>
      </c>
    </row>
    <row r="15247" spans="1:10" x14ac:dyDescent="0.25">
      <c r="A15247" t="s">
        <v>164</v>
      </c>
      <c r="B15247" s="1" t="str">
        <f>HYPERLINK("http://ford-bussecker-zwettl.at","ford-bussecker-zwettl.at")</f>
        <v>ford-bussecker-zwettl.at</v>
      </c>
      <c r="C15247" t="s">
        <v>419</v>
      </c>
      <c r="D15247" t="s">
        <v>801</v>
      </c>
      <c r="F15247">
        <v>4.44380395335525E-9</v>
      </c>
      <c r="G15247">
        <v>79965510</v>
      </c>
      <c r="H15247">
        <v>0</v>
      </c>
      <c r="I15247">
        <v>79973611</v>
      </c>
      <c r="J15247">
        <v>3</v>
      </c>
    </row>
    <row r="15248" spans="1:10" x14ac:dyDescent="0.25">
      <c r="A15248" t="s">
        <v>164</v>
      </c>
      <c r="B15248" s="1" t="str">
        <f>HYPERLINK("http://ford-danner.at","ford-danner.at")</f>
        <v>ford-danner.at</v>
      </c>
      <c r="C15248" t="s">
        <v>419</v>
      </c>
      <c r="D15248" t="s">
        <v>801</v>
      </c>
      <c r="F15248">
        <v>7.1979416618214397E-9</v>
      </c>
      <c r="G15248">
        <v>11746361</v>
      </c>
      <c r="H15248">
        <v>11305687</v>
      </c>
      <c r="I15248">
        <v>30583106</v>
      </c>
      <c r="J15248">
        <v>3</v>
      </c>
    </row>
    <row r="15249" spans="1:10" x14ac:dyDescent="0.25">
      <c r="A15249" t="s">
        <v>164</v>
      </c>
      <c r="B15249" s="1" t="str">
        <f>HYPERLINK("http://ford-miglbauer-aschach.at","ford-miglbauer-aschach.at")</f>
        <v>ford-miglbauer-aschach.at</v>
      </c>
      <c r="C15249" t="s">
        <v>419</v>
      </c>
      <c r="D15249" t="s">
        <v>801</v>
      </c>
      <c r="F15249">
        <v>8.5750482311948498E-9</v>
      </c>
      <c r="G15249">
        <v>8701895</v>
      </c>
      <c r="H15249">
        <v>9704460</v>
      </c>
      <c r="I15249">
        <v>63325009</v>
      </c>
      <c r="J15249">
        <v>3</v>
      </c>
    </row>
    <row r="15250" spans="1:10" x14ac:dyDescent="0.25">
      <c r="A15250" t="s">
        <v>164</v>
      </c>
      <c r="B15250" s="1" t="str">
        <f>HYPERLINK("http://ford-ornig.at","ford-ornig.at")</f>
        <v>ford-ornig.at</v>
      </c>
      <c r="C15250" t="s">
        <v>419</v>
      </c>
      <c r="D15250" t="s">
        <v>801</v>
      </c>
      <c r="F15250">
        <v>4.8531811607399703E-9</v>
      </c>
      <c r="G15250">
        <v>34038956</v>
      </c>
      <c r="H15250">
        <v>11162461</v>
      </c>
      <c r="I15250">
        <v>31605536</v>
      </c>
      <c r="J15250">
        <v>3</v>
      </c>
    </row>
    <row r="15251" spans="1:10" x14ac:dyDescent="0.25">
      <c r="A15251" t="s">
        <v>164</v>
      </c>
      <c r="B15251" s="1" t="str">
        <f>HYPERLINK("http://ford-psotka.at","ford-psotka.at")</f>
        <v>ford-psotka.at</v>
      </c>
      <c r="C15251" t="s">
        <v>419</v>
      </c>
      <c r="D15251" t="s">
        <v>801</v>
      </c>
      <c r="F15251">
        <v>5.8442609506887798E-9</v>
      </c>
      <c r="G15251">
        <v>17750443</v>
      </c>
      <c r="H15251">
        <v>12368645</v>
      </c>
      <c r="I15251">
        <v>19432292</v>
      </c>
      <c r="J15251">
        <v>3</v>
      </c>
    </row>
    <row r="15252" spans="1:10" x14ac:dyDescent="0.25">
      <c r="A15252" t="s">
        <v>164</v>
      </c>
      <c r="B15252" s="1" t="str">
        <f>HYPERLINK("http://ford-ragg.at","ford-ragg.at")</f>
        <v>ford-ragg.at</v>
      </c>
      <c r="C15252" t="s">
        <v>419</v>
      </c>
      <c r="D15252" t="s">
        <v>801</v>
      </c>
      <c r="F15252">
        <v>4.7138214686347797E-9</v>
      </c>
      <c r="G15252">
        <v>40524231</v>
      </c>
      <c r="H15252">
        <v>10786731</v>
      </c>
      <c r="I15252">
        <v>38626320</v>
      </c>
      <c r="J15252">
        <v>3</v>
      </c>
    </row>
    <row r="15253" spans="1:10" x14ac:dyDescent="0.25">
      <c r="A15253" t="s">
        <v>164</v>
      </c>
      <c r="B15253" s="1" t="str">
        <f>HYPERLINK("http://ford-schoerg.at","ford-schoerg.at")</f>
        <v>ford-schoerg.at</v>
      </c>
      <c r="C15253" t="s">
        <v>419</v>
      </c>
      <c r="D15253" t="s">
        <v>801</v>
      </c>
      <c r="F15253">
        <v>4.9951596255551104E-9</v>
      </c>
      <c r="G15253">
        <v>29531243</v>
      </c>
      <c r="H15253">
        <v>11941778</v>
      </c>
      <c r="I15253">
        <v>29187969</v>
      </c>
      <c r="J15253">
        <v>5</v>
      </c>
    </row>
    <row r="15254" spans="1:10" x14ac:dyDescent="0.25">
      <c r="A15254" t="s">
        <v>164</v>
      </c>
      <c r="B15254" s="1" t="str">
        <f>HYPERLINK("http://fordpartner.at","fordpartner.at")</f>
        <v>fordpartner.at</v>
      </c>
      <c r="C15254" t="s">
        <v>419</v>
      </c>
      <c r="D15254" t="s">
        <v>801</v>
      </c>
      <c r="F15254">
        <v>8.5770628256832494E-8</v>
      </c>
      <c r="G15254">
        <v>480077</v>
      </c>
      <c r="H15254">
        <v>13003440</v>
      </c>
      <c r="I15254">
        <v>12780110</v>
      </c>
      <c r="J15254">
        <v>3</v>
      </c>
    </row>
    <row r="15255" spans="1:10" x14ac:dyDescent="0.25">
      <c r="A15255" t="s">
        <v>164</v>
      </c>
      <c r="B15255" s="1" t="str">
        <f>HYPERLINK("http://fordsauberer.at","fordsauberer.at")</f>
        <v>fordsauberer.at</v>
      </c>
      <c r="C15255" t="s">
        <v>419</v>
      </c>
      <c r="D15255" t="s">
        <v>801</v>
      </c>
      <c r="F15255">
        <v>4.6861999585472604E-9</v>
      </c>
      <c r="G15255">
        <v>41987926</v>
      </c>
      <c r="H15255">
        <v>12163118</v>
      </c>
      <c r="I15255">
        <v>24281654</v>
      </c>
      <c r="J15255">
        <v>3</v>
      </c>
    </row>
    <row r="15256" spans="1:10" x14ac:dyDescent="0.25">
      <c r="A15256" t="s">
        <v>164</v>
      </c>
      <c r="B15256" s="1" t="str">
        <f>HYPERLINK("http://jagersberger-automobil.at","jagersberger-automobil.at")</f>
        <v>jagersberger-automobil.at</v>
      </c>
      <c r="C15256" t="s">
        <v>419</v>
      </c>
      <c r="D15256" t="s">
        <v>801</v>
      </c>
      <c r="F15256">
        <v>6.1382861787425397E-9</v>
      </c>
      <c r="G15256">
        <v>15870926</v>
      </c>
      <c r="H15256">
        <v>10876926</v>
      </c>
      <c r="I15256">
        <v>36377907</v>
      </c>
      <c r="J15256">
        <v>3</v>
      </c>
    </row>
    <row r="15257" spans="1:10" x14ac:dyDescent="0.25">
      <c r="A15257" t="s">
        <v>164</v>
      </c>
      <c r="B15257" s="1" t="str">
        <f>HYPERLINK("http://mvcmotors.at","mvcmotors.at")</f>
        <v>mvcmotors.at</v>
      </c>
      <c r="C15257" t="s">
        <v>419</v>
      </c>
      <c r="D15257" t="s">
        <v>801</v>
      </c>
      <c r="F15257">
        <v>1.5067464941757999E-8</v>
      </c>
      <c r="G15257">
        <v>3818006</v>
      </c>
      <c r="H15257">
        <v>12743777</v>
      </c>
      <c r="I15257">
        <v>15097292</v>
      </c>
      <c r="J15257">
        <v>3</v>
      </c>
    </row>
    <row r="15258" spans="1:10" x14ac:dyDescent="0.25">
      <c r="A15258" t="s">
        <v>164</v>
      </c>
      <c r="B15258" s="1" t="str">
        <f>HYPERLINK("http://essendonford.com.au","essendonford.com.au")</f>
        <v>essendonford.com.au</v>
      </c>
      <c r="C15258" t="s">
        <v>420</v>
      </c>
      <c r="D15258" t="s">
        <v>802</v>
      </c>
      <c r="J15258">
        <v>3</v>
      </c>
    </row>
    <row r="15259" spans="1:10" x14ac:dyDescent="0.25">
      <c r="A15259" t="s">
        <v>164</v>
      </c>
      <c r="B15259" s="1" t="str">
        <f>HYPERLINK("http://ford.com.au","ford.com.au")</f>
        <v>ford.com.au</v>
      </c>
      <c r="C15259" t="s">
        <v>420</v>
      </c>
      <c r="D15259" t="s">
        <v>802</v>
      </c>
      <c r="E15259">
        <v>153685</v>
      </c>
      <c r="F15259">
        <v>1.3623212825151001E-7</v>
      </c>
      <c r="G15259">
        <v>286239</v>
      </c>
      <c r="H15259">
        <v>14868899</v>
      </c>
      <c r="I15259">
        <v>479708</v>
      </c>
      <c r="J15259">
        <v>2</v>
      </c>
    </row>
    <row r="15260" spans="1:10" x14ac:dyDescent="0.25">
      <c r="A15260" t="s">
        <v>164</v>
      </c>
      <c r="B15260" s="1" t="str">
        <f>HYPERLINK("http://fordfiestasydney.com.au","fordfiestasydney.com.au")</f>
        <v>fordfiestasydney.com.au</v>
      </c>
      <c r="C15260" t="s">
        <v>420</v>
      </c>
      <c r="D15260" t="s">
        <v>802</v>
      </c>
      <c r="J15260">
        <v>7</v>
      </c>
    </row>
    <row r="15261" spans="1:10" x14ac:dyDescent="0.25">
      <c r="A15261" t="s">
        <v>164</v>
      </c>
      <c r="B15261" s="1" t="str">
        <f>HYPERLINK("http://fordterritorysydney.com.au","fordterritorysydney.com.au")</f>
        <v>fordterritorysydney.com.au</v>
      </c>
      <c r="C15261" t="s">
        <v>420</v>
      </c>
      <c r="D15261" t="s">
        <v>802</v>
      </c>
      <c r="F15261">
        <v>4.4841976426179201E-9</v>
      </c>
      <c r="G15261">
        <v>61541869</v>
      </c>
      <c r="H15261">
        <v>12226107</v>
      </c>
      <c r="I15261">
        <v>22623397</v>
      </c>
      <c r="J15261">
        <v>7</v>
      </c>
    </row>
    <row r="15262" spans="1:10" x14ac:dyDescent="0.25">
      <c r="A15262" t="s">
        <v>164</v>
      </c>
      <c r="B15262" s="1" t="str">
        <f>HYPERLINK("http://moretonbayford.com.au","moretonbayford.com.au")</f>
        <v>moretonbayford.com.au</v>
      </c>
      <c r="C15262" t="s">
        <v>420</v>
      </c>
      <c r="D15262" t="s">
        <v>802</v>
      </c>
      <c r="J15262">
        <v>3</v>
      </c>
    </row>
    <row r="15263" spans="1:10" x14ac:dyDescent="0.25">
      <c r="A15263" t="s">
        <v>164</v>
      </c>
      <c r="B15263" s="1" t="str">
        <f>HYPERLINK("http://qford.com.au","qford.com.au")</f>
        <v>qford.com.au</v>
      </c>
      <c r="C15263" t="s">
        <v>420</v>
      </c>
      <c r="D15263" t="s">
        <v>802</v>
      </c>
      <c r="F15263">
        <v>4.6465499347472104E-9</v>
      </c>
      <c r="G15263">
        <v>44359345</v>
      </c>
      <c r="H15263">
        <v>12165095</v>
      </c>
      <c r="I15263">
        <v>24196749</v>
      </c>
      <c r="J15263">
        <v>3</v>
      </c>
    </row>
    <row r="15264" spans="1:10" x14ac:dyDescent="0.25">
      <c r="A15264" t="s">
        <v>164</v>
      </c>
      <c r="B15264" s="1" t="str">
        <f>HYPERLINK("http://rexgorellford.com.au","rexgorellford.com.au")</f>
        <v>rexgorellford.com.au</v>
      </c>
      <c r="C15264" t="s">
        <v>420</v>
      </c>
      <c r="D15264" t="s">
        <v>802</v>
      </c>
      <c r="F15264">
        <v>4.5664340868230604E-9</v>
      </c>
      <c r="G15264">
        <v>50532922</v>
      </c>
      <c r="H15264">
        <v>10474248</v>
      </c>
      <c r="I15264">
        <v>51159973</v>
      </c>
      <c r="J15264">
        <v>3</v>
      </c>
    </row>
    <row r="15265" spans="1:10" x14ac:dyDescent="0.25">
      <c r="A15265" t="s">
        <v>164</v>
      </c>
      <c r="B15265" s="1" t="str">
        <f>HYPERLINK("http://thomsonford.com.au","thomsonford.com.au")</f>
        <v>thomsonford.com.au</v>
      </c>
      <c r="C15265" t="s">
        <v>420</v>
      </c>
      <c r="D15265" t="s">
        <v>802</v>
      </c>
      <c r="F15265">
        <v>4.4912232859668904E-9</v>
      </c>
      <c r="G15265">
        <v>60324153</v>
      </c>
      <c r="H15265">
        <v>12230791</v>
      </c>
      <c r="I15265">
        <v>22484208</v>
      </c>
      <c r="J15265">
        <v>3</v>
      </c>
    </row>
    <row r="15266" spans="1:10" x14ac:dyDescent="0.25">
      <c r="A15266" t="s">
        <v>164</v>
      </c>
      <c r="B15266" s="1" t="str">
        <f>HYPERLINK("http://ford.ba","ford.ba")</f>
        <v>ford.ba</v>
      </c>
      <c r="C15266" t="s">
        <v>526</v>
      </c>
      <c r="D15266" t="s">
        <v>893</v>
      </c>
      <c r="F15266">
        <v>1.21224556498759E-8</v>
      </c>
      <c r="G15266">
        <v>5095985</v>
      </c>
      <c r="H15266">
        <v>12560260</v>
      </c>
      <c r="I15266">
        <v>16712881</v>
      </c>
      <c r="J15266">
        <v>2</v>
      </c>
    </row>
    <row r="15267" spans="1:10" x14ac:dyDescent="0.25">
      <c r="A15267" t="s">
        <v>164</v>
      </c>
      <c r="B15267" s="1" t="str">
        <f>HYPERLINK("http://beckersmotors.be","beckersmotors.be")</f>
        <v>beckersmotors.be</v>
      </c>
      <c r="C15267" t="s">
        <v>421</v>
      </c>
      <c r="D15267" t="s">
        <v>803</v>
      </c>
      <c r="F15267">
        <v>4.9778788693434501E-9</v>
      </c>
      <c r="G15267">
        <v>30050734</v>
      </c>
      <c r="H15267">
        <v>10618280</v>
      </c>
      <c r="I15267">
        <v>44333255</v>
      </c>
      <c r="J15267">
        <v>3</v>
      </c>
    </row>
    <row r="15268" spans="1:10" x14ac:dyDescent="0.25">
      <c r="A15268" t="s">
        <v>164</v>
      </c>
      <c r="B15268" s="1" t="str">
        <f>HYPERLINK("http://claeskensnv.be","claeskensnv.be")</f>
        <v>claeskensnv.be</v>
      </c>
      <c r="C15268" t="s">
        <v>421</v>
      </c>
      <c r="D15268" t="s">
        <v>803</v>
      </c>
      <c r="F15268">
        <v>4.8218379401330097E-9</v>
      </c>
      <c r="G15268">
        <v>35154136</v>
      </c>
      <c r="H15268">
        <v>10483431</v>
      </c>
      <c r="I15268">
        <v>50892056</v>
      </c>
      <c r="J15268">
        <v>3</v>
      </c>
    </row>
    <row r="15269" spans="1:10" x14ac:dyDescent="0.25">
      <c r="A15269" t="s">
        <v>164</v>
      </c>
      <c r="B15269" s="1" t="str">
        <f>HYPERLINK("http://feyaerts.be","feyaerts.be")</f>
        <v>feyaerts.be</v>
      </c>
      <c r="C15269" t="s">
        <v>421</v>
      </c>
      <c r="D15269" t="s">
        <v>803</v>
      </c>
      <c r="F15269">
        <v>1.26896149914454E-8</v>
      </c>
      <c r="G15269">
        <v>4784865</v>
      </c>
      <c r="H15269">
        <v>10889769</v>
      </c>
      <c r="I15269">
        <v>36097085</v>
      </c>
      <c r="J15269">
        <v>3</v>
      </c>
    </row>
    <row r="15270" spans="1:10" x14ac:dyDescent="0.25">
      <c r="A15270" t="s">
        <v>164</v>
      </c>
      <c r="B15270" s="1" t="str">
        <f>HYPERLINK("http://ford.be","ford.be")</f>
        <v>ford.be</v>
      </c>
      <c r="C15270" t="s">
        <v>421</v>
      </c>
      <c r="D15270" t="s">
        <v>803</v>
      </c>
      <c r="E15270">
        <v>419480</v>
      </c>
      <c r="F15270">
        <v>1.11652670453915E-7</v>
      </c>
      <c r="G15270">
        <v>357894</v>
      </c>
      <c r="H15270">
        <v>14289025</v>
      </c>
      <c r="I15270">
        <v>1367767</v>
      </c>
      <c r="J15270">
        <v>2</v>
      </c>
    </row>
    <row r="15271" spans="1:10" x14ac:dyDescent="0.25">
      <c r="A15271" t="s">
        <v>164</v>
      </c>
      <c r="B15271" s="1" t="str">
        <f>HYPERLINK("http://ford-claeskensnv.be","ford-claeskensnv.be")</f>
        <v>ford-claeskensnv.be</v>
      </c>
      <c r="C15271" t="s">
        <v>421</v>
      </c>
      <c r="D15271" t="s">
        <v>803</v>
      </c>
      <c r="F15271">
        <v>4.9021659764468797E-9</v>
      </c>
      <c r="G15271">
        <v>32403579</v>
      </c>
      <c r="H15271">
        <v>8380135</v>
      </c>
      <c r="I15271">
        <v>73509334</v>
      </c>
      <c r="J15271">
        <v>3</v>
      </c>
    </row>
    <row r="15272" spans="1:10" x14ac:dyDescent="0.25">
      <c r="A15272" t="s">
        <v>164</v>
      </c>
      <c r="B15272" s="1" t="str">
        <f>HYPERLINK("http://garage-dejonghe.be","garage-dejonghe.be")</f>
        <v>garage-dejonghe.be</v>
      </c>
      <c r="C15272" t="s">
        <v>421</v>
      </c>
      <c r="D15272" t="s">
        <v>803</v>
      </c>
      <c r="F15272">
        <v>4.4438309335019297E-9</v>
      </c>
      <c r="G15272">
        <v>79026246</v>
      </c>
      <c r="H15272">
        <v>10478902</v>
      </c>
      <c r="I15272">
        <v>51060069</v>
      </c>
      <c r="J15272">
        <v>3</v>
      </c>
    </row>
    <row r="15273" spans="1:10" x14ac:dyDescent="0.25">
      <c r="A15273" t="s">
        <v>164</v>
      </c>
      <c r="B15273" s="1" t="str">
        <f>HYPERLINK("http://garage-ideal.be","garage-ideal.be")</f>
        <v>garage-ideal.be</v>
      </c>
      <c r="C15273" t="s">
        <v>421</v>
      </c>
      <c r="D15273" t="s">
        <v>803</v>
      </c>
      <c r="F15273">
        <v>4.4807550062170103E-9</v>
      </c>
      <c r="G15273">
        <v>62187269</v>
      </c>
      <c r="H15273">
        <v>8674222</v>
      </c>
      <c r="I15273">
        <v>70154000</v>
      </c>
      <c r="J15273">
        <v>3</v>
      </c>
    </row>
    <row r="15274" spans="1:10" x14ac:dyDescent="0.25">
      <c r="A15274" t="s">
        <v>164</v>
      </c>
      <c r="B15274" s="1" t="str">
        <f>HYPERLINK("http://garagedeckx.be","garagedeckx.be")</f>
        <v>garagedeckx.be</v>
      </c>
      <c r="C15274" t="s">
        <v>421</v>
      </c>
      <c r="D15274" t="s">
        <v>803</v>
      </c>
      <c r="F15274">
        <v>5.1498760575626501E-9</v>
      </c>
      <c r="G15274">
        <v>26083332</v>
      </c>
      <c r="H15274">
        <v>10508993</v>
      </c>
      <c r="I15274">
        <v>49935361</v>
      </c>
      <c r="J15274">
        <v>3</v>
      </c>
    </row>
    <row r="15275" spans="1:10" x14ac:dyDescent="0.25">
      <c r="A15275" t="s">
        <v>164</v>
      </c>
      <c r="B15275" s="1" t="str">
        <f>HYPERLINK("http://garagekennes.be","garagekennes.be")</f>
        <v>garagekennes.be</v>
      </c>
      <c r="C15275" t="s">
        <v>421</v>
      </c>
      <c r="D15275" t="s">
        <v>803</v>
      </c>
      <c r="J15275">
        <v>3</v>
      </c>
    </row>
    <row r="15276" spans="1:10" x14ac:dyDescent="0.25">
      <c r="A15276" t="s">
        <v>164</v>
      </c>
      <c r="B15276" s="1" t="str">
        <f>HYPERLINK("http://garagelemmens.be","garagelemmens.be")</f>
        <v>garagelemmens.be</v>
      </c>
      <c r="C15276" t="s">
        <v>421</v>
      </c>
      <c r="D15276" t="s">
        <v>803</v>
      </c>
      <c r="F15276">
        <v>4.4476889176740898E-9</v>
      </c>
      <c r="G15276">
        <v>73342918</v>
      </c>
      <c r="H15276">
        <v>10478905</v>
      </c>
      <c r="I15276">
        <v>51056279</v>
      </c>
      <c r="J15276">
        <v>3</v>
      </c>
    </row>
    <row r="15277" spans="1:10" x14ac:dyDescent="0.25">
      <c r="A15277" t="s">
        <v>164</v>
      </c>
      <c r="B15277" s="1" t="str">
        <f>HYPERLINK("http://garagelijnen.be","garagelijnen.be")</f>
        <v>garagelijnen.be</v>
      </c>
      <c r="C15277" t="s">
        <v>421</v>
      </c>
      <c r="D15277" t="s">
        <v>803</v>
      </c>
      <c r="F15277">
        <v>4.9811862877018698E-9</v>
      </c>
      <c r="G15277">
        <v>29966289</v>
      </c>
      <c r="H15277">
        <v>10480129</v>
      </c>
      <c r="I15277">
        <v>51037665</v>
      </c>
      <c r="J15277">
        <v>3</v>
      </c>
    </row>
    <row r="15278" spans="1:10" x14ac:dyDescent="0.25">
      <c r="A15278" t="s">
        <v>164</v>
      </c>
      <c r="B15278" s="1" t="str">
        <f>HYPERLINK("http://garagemortier.be","garagemortier.be")</f>
        <v>garagemortier.be</v>
      </c>
      <c r="C15278" t="s">
        <v>421</v>
      </c>
      <c r="D15278" t="s">
        <v>803</v>
      </c>
      <c r="F15278">
        <v>4.7966567908864099E-9</v>
      </c>
      <c r="G15278">
        <v>36218525</v>
      </c>
      <c r="H15278">
        <v>10478906</v>
      </c>
      <c r="I15278">
        <v>51055957</v>
      </c>
      <c r="J15278">
        <v>3</v>
      </c>
    </row>
    <row r="15279" spans="1:10" x14ac:dyDescent="0.25">
      <c r="A15279" t="s">
        <v>164</v>
      </c>
      <c r="B15279" s="1" t="str">
        <f>HYPERLINK("http://geudens.be","geudens.be")</f>
        <v>geudens.be</v>
      </c>
      <c r="C15279" t="s">
        <v>421</v>
      </c>
      <c r="D15279" t="s">
        <v>803</v>
      </c>
      <c r="F15279">
        <v>4.5557039484477504E-9</v>
      </c>
      <c r="G15279">
        <v>51585279</v>
      </c>
      <c r="H15279">
        <v>10479010</v>
      </c>
      <c r="I15279">
        <v>51051805</v>
      </c>
      <c r="J15279">
        <v>3</v>
      </c>
    </row>
    <row r="15280" spans="1:10" x14ac:dyDescent="0.25">
      <c r="A15280" t="s">
        <v>164</v>
      </c>
      <c r="B15280" s="1" t="str">
        <f>HYPERLINK("http://gonthier.be","gonthier.be")</f>
        <v>gonthier.be</v>
      </c>
      <c r="C15280" t="s">
        <v>421</v>
      </c>
      <c r="D15280" t="s">
        <v>803</v>
      </c>
      <c r="F15280">
        <v>4.7714292940335699E-9</v>
      </c>
      <c r="G15280">
        <v>37316816</v>
      </c>
      <c r="H15280">
        <v>10483040</v>
      </c>
      <c r="I15280">
        <v>50898885</v>
      </c>
      <c r="J15280">
        <v>3</v>
      </c>
    </row>
    <row r="15281" spans="1:10" x14ac:dyDescent="0.25">
      <c r="A15281" t="s">
        <v>164</v>
      </c>
      <c r="B15281" s="1" t="str">
        <f>HYPERLINK("http://steveny-ford.be","steveny-ford.be")</f>
        <v>steveny-ford.be</v>
      </c>
      <c r="C15281" t="s">
        <v>421</v>
      </c>
      <c r="D15281" t="s">
        <v>803</v>
      </c>
      <c r="F15281">
        <v>4.9540449366397496E-9</v>
      </c>
      <c r="G15281">
        <v>30671582</v>
      </c>
      <c r="H15281">
        <v>9789805</v>
      </c>
      <c r="I15281">
        <v>62673745</v>
      </c>
      <c r="J15281">
        <v>3</v>
      </c>
    </row>
    <row r="15282" spans="1:10" x14ac:dyDescent="0.25">
      <c r="A15282" t="s">
        <v>164</v>
      </c>
      <c r="B15282" s="1" t="str">
        <f>HYPERLINK("http://vhhuurwagens.be","vhhuurwagens.be")</f>
        <v>vhhuurwagens.be</v>
      </c>
      <c r="C15282" t="s">
        <v>421</v>
      </c>
      <c r="D15282" t="s">
        <v>803</v>
      </c>
      <c r="F15282">
        <v>7.0091287671056597E-9</v>
      </c>
      <c r="G15282">
        <v>12285119</v>
      </c>
      <c r="H15282">
        <v>12210215</v>
      </c>
      <c r="I15282">
        <v>23022226</v>
      </c>
      <c r="J15282">
        <v>5</v>
      </c>
    </row>
    <row r="15283" spans="1:10" x14ac:dyDescent="0.25">
      <c r="A15283" t="s">
        <v>164</v>
      </c>
      <c r="B15283" s="1" t="str">
        <f>HYPERLINK("http://ford.bg","ford.bg")</f>
        <v>ford.bg</v>
      </c>
      <c r="C15283" t="s">
        <v>422</v>
      </c>
      <c r="D15283" t="s">
        <v>804</v>
      </c>
      <c r="F15283">
        <v>3.0118110088566699E-8</v>
      </c>
      <c r="G15283">
        <v>1708530</v>
      </c>
      <c r="H15283">
        <v>14376509</v>
      </c>
      <c r="I15283">
        <v>1216632</v>
      </c>
      <c r="J15283">
        <v>2</v>
      </c>
    </row>
    <row r="15284" spans="1:10" x14ac:dyDescent="0.25">
      <c r="A15284" t="s">
        <v>164</v>
      </c>
      <c r="B15284" s="1" t="str">
        <f>HYPERLINK("http://antaresveiculos.com.br","antaresveiculos.com.br")</f>
        <v>antaresveiculos.com.br</v>
      </c>
      <c r="C15284" t="s">
        <v>425</v>
      </c>
      <c r="D15284" t="s">
        <v>806</v>
      </c>
      <c r="J15284">
        <v>3</v>
      </c>
    </row>
    <row r="15285" spans="1:10" x14ac:dyDescent="0.25">
      <c r="A15285" t="s">
        <v>164</v>
      </c>
      <c r="B15285" s="1" t="str">
        <f>HYPERLINK("http://baltico.com.br","baltico.com.br")</f>
        <v>baltico.com.br</v>
      </c>
      <c r="C15285" t="s">
        <v>425</v>
      </c>
      <c r="D15285" t="s">
        <v>806</v>
      </c>
      <c r="F15285">
        <v>4.4684599708662903E-9</v>
      </c>
      <c r="G15285">
        <v>64972502</v>
      </c>
      <c r="H15285">
        <v>10594899</v>
      </c>
      <c r="I15285">
        <v>45247665</v>
      </c>
      <c r="J15285">
        <v>3</v>
      </c>
    </row>
    <row r="15286" spans="1:10" x14ac:dyDescent="0.25">
      <c r="A15286" t="s">
        <v>164</v>
      </c>
      <c r="B15286" s="1" t="str">
        <f>HYPERLINK("http://ford.com.br","ford.com.br")</f>
        <v>ford.com.br</v>
      </c>
      <c r="C15286" t="s">
        <v>425</v>
      </c>
      <c r="D15286" t="s">
        <v>806</v>
      </c>
      <c r="E15286">
        <v>318417</v>
      </c>
      <c r="F15286">
        <v>5.8640419799651101E-8</v>
      </c>
      <c r="G15286">
        <v>757089</v>
      </c>
      <c r="H15286">
        <v>14553437</v>
      </c>
      <c r="I15286">
        <v>755320</v>
      </c>
      <c r="J15286">
        <v>2</v>
      </c>
    </row>
    <row r="15287" spans="1:10" x14ac:dyDescent="0.25">
      <c r="A15287" t="s">
        <v>164</v>
      </c>
      <c r="B15287" s="1" t="str">
        <f>HYPERLINK("http://redesuperautoford.com.br","redesuperautoford.com.br")</f>
        <v>redesuperautoford.com.br</v>
      </c>
      <c r="C15287" t="s">
        <v>425</v>
      </c>
      <c r="D15287" t="s">
        <v>806</v>
      </c>
      <c r="J15287">
        <v>3</v>
      </c>
    </row>
    <row r="15288" spans="1:10" x14ac:dyDescent="0.25">
      <c r="A15288" t="s">
        <v>164</v>
      </c>
      <c r="B15288" s="1" t="str">
        <f>HYPERLINK("http://simaoford.com.br","simaoford.com.br")</f>
        <v>simaoford.com.br</v>
      </c>
      <c r="C15288" t="s">
        <v>425</v>
      </c>
      <c r="D15288" t="s">
        <v>806</v>
      </c>
      <c r="F15288">
        <v>4.5789977368266104E-9</v>
      </c>
      <c r="G15288">
        <v>49373929</v>
      </c>
      <c r="H15288">
        <v>10629724</v>
      </c>
      <c r="I15288">
        <v>43998976</v>
      </c>
      <c r="J15288">
        <v>3</v>
      </c>
    </row>
    <row r="15289" spans="1:10" x14ac:dyDescent="0.25">
      <c r="A15289" t="s">
        <v>164</v>
      </c>
      <c r="B15289" s="1" t="str">
        <f>HYPERLINK("http://troller.com.br","troller.com.br")</f>
        <v>troller.com.br</v>
      </c>
      <c r="C15289" t="s">
        <v>425</v>
      </c>
      <c r="D15289" t="s">
        <v>806</v>
      </c>
      <c r="F15289">
        <v>9.4660223211588407E-9</v>
      </c>
      <c r="G15289">
        <v>7363660</v>
      </c>
      <c r="H15289">
        <v>14488776</v>
      </c>
      <c r="I15289">
        <v>929487</v>
      </c>
      <c r="J15289">
        <v>2</v>
      </c>
    </row>
    <row r="15290" spans="1:10" x14ac:dyDescent="0.25">
      <c r="A15290" t="s">
        <v>164</v>
      </c>
      <c r="B15290" s="1" t="str">
        <f>HYPERLINK("http://zevel.com.br","zevel.com.br")</f>
        <v>zevel.com.br</v>
      </c>
      <c r="C15290" t="s">
        <v>425</v>
      </c>
      <c r="D15290" t="s">
        <v>806</v>
      </c>
      <c r="F15290">
        <v>4.4586400789724202E-9</v>
      </c>
      <c r="G15290">
        <v>68191600</v>
      </c>
      <c r="H15290">
        <v>10461388</v>
      </c>
      <c r="I15290">
        <v>51763516</v>
      </c>
      <c r="J15290">
        <v>3</v>
      </c>
    </row>
    <row r="15291" spans="1:10" x14ac:dyDescent="0.25">
      <c r="A15291" t="s">
        <v>164</v>
      </c>
      <c r="B15291" s="1" t="str">
        <f>HYPERLINK("http://dennyandrewsfordsales.ca","dennyandrewsfordsales.ca")</f>
        <v>dennyandrewsfordsales.ca</v>
      </c>
      <c r="C15291" t="s">
        <v>428</v>
      </c>
      <c r="D15291" t="s">
        <v>809</v>
      </c>
      <c r="F15291">
        <v>9.4181565534188895E-9</v>
      </c>
      <c r="G15291">
        <v>7421729</v>
      </c>
      <c r="H15291">
        <v>12618218</v>
      </c>
      <c r="I15291">
        <v>16105002</v>
      </c>
      <c r="J15291">
        <v>3</v>
      </c>
    </row>
    <row r="15292" spans="1:10" x14ac:dyDescent="0.25">
      <c r="A15292" t="s">
        <v>164</v>
      </c>
      <c r="B15292" s="1" t="str">
        <f>HYPERLINK("http://desjardinsford.ca","desjardinsford.ca")</f>
        <v>desjardinsford.ca</v>
      </c>
      <c r="C15292" t="s">
        <v>428</v>
      </c>
      <c r="D15292" t="s">
        <v>809</v>
      </c>
      <c r="F15292">
        <v>1.01051392681947E-8</v>
      </c>
      <c r="G15292">
        <v>6642955</v>
      </c>
      <c r="H15292">
        <v>12560443</v>
      </c>
      <c r="I15292">
        <v>16708941</v>
      </c>
      <c r="J15292">
        <v>4</v>
      </c>
    </row>
    <row r="15293" spans="1:10" x14ac:dyDescent="0.25">
      <c r="A15293" t="s">
        <v>164</v>
      </c>
      <c r="B15293" s="1" t="str">
        <f>HYPERLINK("http://ford.ca","ford.ca")</f>
        <v>ford.ca</v>
      </c>
      <c r="C15293" t="s">
        <v>428</v>
      </c>
      <c r="D15293" t="s">
        <v>809</v>
      </c>
      <c r="E15293">
        <v>70610</v>
      </c>
      <c r="F15293">
        <v>6.9518195697234502E-7</v>
      </c>
      <c r="G15293">
        <v>55570</v>
      </c>
      <c r="H15293">
        <v>15280941</v>
      </c>
      <c r="I15293">
        <v>387616</v>
      </c>
      <c r="J15293">
        <v>2</v>
      </c>
    </row>
    <row r="15294" spans="1:10" x14ac:dyDescent="0.25">
      <c r="A15294" t="s">
        <v>164</v>
      </c>
      <c r="B15294" s="1" t="str">
        <f>HYPERLINK("http://fordcharging.ca","fordcharging.ca")</f>
        <v>fordcharging.ca</v>
      </c>
      <c r="C15294" t="s">
        <v>428</v>
      </c>
      <c r="D15294" t="s">
        <v>809</v>
      </c>
      <c r="F15294">
        <v>9.1214076501103404E-9</v>
      </c>
      <c r="G15294">
        <v>7817452</v>
      </c>
      <c r="H15294">
        <v>11129034</v>
      </c>
      <c r="I15294">
        <v>31957347</v>
      </c>
      <c r="J15294">
        <v>3</v>
      </c>
    </row>
    <row r="15295" spans="1:10" x14ac:dyDescent="0.25">
      <c r="A15295" t="s">
        <v>164</v>
      </c>
      <c r="B15295" s="1" t="str">
        <f>HYPERLINK("http://fpracademyca.ca","fpracademyca.ca")</f>
        <v>fpracademyca.ca</v>
      </c>
      <c r="C15295" t="s">
        <v>428</v>
      </c>
      <c r="D15295" t="s">
        <v>809</v>
      </c>
      <c r="J15295">
        <v>2</v>
      </c>
    </row>
    <row r="15296" spans="1:10" x14ac:dyDescent="0.25">
      <c r="A15296" t="s">
        <v>164</v>
      </c>
      <c r="B15296" s="1" t="str">
        <f>HYPERLINK("http://griffithsford.ca","griffithsford.ca")</f>
        <v>griffithsford.ca</v>
      </c>
      <c r="C15296" t="s">
        <v>428</v>
      </c>
      <c r="D15296" t="s">
        <v>809</v>
      </c>
      <c r="F15296">
        <v>9.2027789891273797E-9</v>
      </c>
      <c r="G15296">
        <v>7706479</v>
      </c>
      <c r="H15296">
        <v>12560779</v>
      </c>
      <c r="I15296">
        <v>16706231</v>
      </c>
      <c r="J15296">
        <v>3</v>
      </c>
    </row>
    <row r="15297" spans="1:10" x14ac:dyDescent="0.25">
      <c r="A15297" t="s">
        <v>164</v>
      </c>
      <c r="B15297" s="1" t="str">
        <f>HYPERLINK("http://guaysgarage.ca","guaysgarage.ca")</f>
        <v>guaysgarage.ca</v>
      </c>
      <c r="C15297" t="s">
        <v>428</v>
      </c>
      <c r="D15297" t="s">
        <v>809</v>
      </c>
      <c r="F15297">
        <v>1.03057795662811E-8</v>
      </c>
      <c r="G15297">
        <v>6445565</v>
      </c>
      <c r="H15297">
        <v>12559701</v>
      </c>
      <c r="I15297">
        <v>16717264</v>
      </c>
      <c r="J15297">
        <v>3</v>
      </c>
    </row>
    <row r="15298" spans="1:10" x14ac:dyDescent="0.25">
      <c r="A15298" t="s">
        <v>164</v>
      </c>
      <c r="B15298" s="1" t="str">
        <f>HYPERLINK("http://laracademyca.ca","laracademyca.ca")</f>
        <v>laracademyca.ca</v>
      </c>
      <c r="C15298" t="s">
        <v>428</v>
      </c>
      <c r="D15298" t="s">
        <v>809</v>
      </c>
      <c r="J15298">
        <v>2</v>
      </c>
    </row>
    <row r="15299" spans="1:10" x14ac:dyDescent="0.25">
      <c r="A15299" t="s">
        <v>164</v>
      </c>
      <c r="B15299" s="1" t="str">
        <f>HYPERLINK("http://lecoursmotorsales.ca","lecoursmotorsales.ca")</f>
        <v>lecoursmotorsales.ca</v>
      </c>
      <c r="C15299" t="s">
        <v>428</v>
      </c>
      <c r="D15299" t="s">
        <v>809</v>
      </c>
      <c r="F15299">
        <v>1.07667585639026E-8</v>
      </c>
      <c r="G15299">
        <v>6047013</v>
      </c>
      <c r="H15299">
        <v>13942031</v>
      </c>
      <c r="I15299">
        <v>4337394</v>
      </c>
      <c r="J15299">
        <v>3</v>
      </c>
    </row>
    <row r="15300" spans="1:10" x14ac:dyDescent="0.25">
      <c r="A15300" t="s">
        <v>164</v>
      </c>
      <c r="B15300" s="1" t="str">
        <f>HYPERLINK("http://lincolncanada.ca","lincolncanada.ca")</f>
        <v>lincolncanada.ca</v>
      </c>
      <c r="C15300" t="s">
        <v>428</v>
      </c>
      <c r="D15300" t="s">
        <v>809</v>
      </c>
      <c r="F15300">
        <v>6.1490618274824596E-9</v>
      </c>
      <c r="G15300">
        <v>15808558</v>
      </c>
      <c r="H15300">
        <v>12026164</v>
      </c>
      <c r="I15300">
        <v>27750365</v>
      </c>
      <c r="J15300">
        <v>3</v>
      </c>
    </row>
    <row r="15301" spans="1:10" x14ac:dyDescent="0.25">
      <c r="A15301" t="s">
        <v>164</v>
      </c>
      <c r="B15301" s="1" t="str">
        <f>HYPERLINK("http://northernlightsford.ca","northernlightsford.ca")</f>
        <v>northernlightsford.ca</v>
      </c>
      <c r="C15301" t="s">
        <v>428</v>
      </c>
      <c r="D15301" t="s">
        <v>809</v>
      </c>
      <c r="F15301">
        <v>4.4970243996018002E-9</v>
      </c>
      <c r="G15301">
        <v>59389251</v>
      </c>
      <c r="H15301">
        <v>9624368</v>
      </c>
      <c r="I15301">
        <v>64145449</v>
      </c>
      <c r="J15301">
        <v>3</v>
      </c>
    </row>
    <row r="15302" spans="1:10" x14ac:dyDescent="0.25">
      <c r="A15302" t="s">
        <v>164</v>
      </c>
      <c r="B15302" s="1" t="str">
        <f>HYPERLINK("http://patriciafordsales.ca","patriciafordsales.ca")</f>
        <v>patriciafordsales.ca</v>
      </c>
      <c r="C15302" t="s">
        <v>428</v>
      </c>
      <c r="D15302" t="s">
        <v>809</v>
      </c>
      <c r="F15302">
        <v>8.6226293769158192E-9</v>
      </c>
      <c r="G15302">
        <v>8615632</v>
      </c>
      <c r="H15302">
        <v>12559422</v>
      </c>
      <c r="I15302">
        <v>16719599</v>
      </c>
      <c r="J15302">
        <v>3</v>
      </c>
    </row>
    <row r="15303" spans="1:10" x14ac:dyDescent="0.25">
      <c r="A15303" t="s">
        <v>164</v>
      </c>
      <c r="B15303" s="1" t="str">
        <f>HYPERLINK("http://suburbanlincoln.ca","suburbanlincoln.ca")</f>
        <v>suburbanlincoln.ca</v>
      </c>
      <c r="C15303" t="s">
        <v>428</v>
      </c>
      <c r="D15303" t="s">
        <v>809</v>
      </c>
      <c r="F15303">
        <v>5.2319667553634096E-9</v>
      </c>
      <c r="G15303">
        <v>24542830</v>
      </c>
      <c r="H15303">
        <v>12134716</v>
      </c>
      <c r="I15303">
        <v>25006000</v>
      </c>
      <c r="J15303">
        <v>4</v>
      </c>
    </row>
    <row r="15304" spans="1:10" x14ac:dyDescent="0.25">
      <c r="A15304" t="s">
        <v>164</v>
      </c>
      <c r="B15304" s="1" t="str">
        <f>HYPERLINK("http://taylorford.ca","taylorford.ca")</f>
        <v>taylorford.ca</v>
      </c>
      <c r="C15304" t="s">
        <v>428</v>
      </c>
      <c r="D15304" t="s">
        <v>809</v>
      </c>
      <c r="F15304">
        <v>1.8947331190389201E-8</v>
      </c>
      <c r="G15304">
        <v>2844944</v>
      </c>
      <c r="H15304">
        <v>12617588</v>
      </c>
      <c r="I15304">
        <v>16109932</v>
      </c>
      <c r="J15304">
        <v>3</v>
      </c>
    </row>
    <row r="15305" spans="1:10" x14ac:dyDescent="0.25">
      <c r="A15305" t="s">
        <v>164</v>
      </c>
      <c r="B15305" s="1" t="str">
        <f>HYPERLINK("http://timberlandford.ca","timberlandford.ca")</f>
        <v>timberlandford.ca</v>
      </c>
      <c r="C15305" t="s">
        <v>428</v>
      </c>
      <c r="D15305" t="s">
        <v>809</v>
      </c>
      <c r="F15305">
        <v>8.9987539136217896E-9</v>
      </c>
      <c r="G15305">
        <v>7993595</v>
      </c>
      <c r="H15305">
        <v>12564052</v>
      </c>
      <c r="I15305">
        <v>16677611</v>
      </c>
      <c r="J15305">
        <v>3</v>
      </c>
    </row>
    <row r="15306" spans="1:10" x14ac:dyDescent="0.25">
      <c r="A15306" t="s">
        <v>164</v>
      </c>
      <c r="B15306" s="1" t="str">
        <f>HYPERLINK("http://ford.ch","ford.ch")</f>
        <v>ford.ch</v>
      </c>
      <c r="C15306" t="s">
        <v>429</v>
      </c>
      <c r="D15306" t="s">
        <v>810</v>
      </c>
      <c r="E15306">
        <v>570041</v>
      </c>
      <c r="F15306">
        <v>1.60333014123105E-7</v>
      </c>
      <c r="G15306">
        <v>242092</v>
      </c>
      <c r="H15306">
        <v>14143487</v>
      </c>
      <c r="I15306">
        <v>1912806</v>
      </c>
      <c r="J15306">
        <v>2</v>
      </c>
    </row>
    <row r="15307" spans="1:10" x14ac:dyDescent="0.25">
      <c r="A15307" t="s">
        <v>164</v>
      </c>
      <c r="B15307" s="1" t="str">
        <f>HYPERLINK("http://garage-luegisland.ch","garage-luegisland.ch")</f>
        <v>garage-luegisland.ch</v>
      </c>
      <c r="C15307" t="s">
        <v>429</v>
      </c>
      <c r="D15307" t="s">
        <v>810</v>
      </c>
      <c r="J15307">
        <v>3</v>
      </c>
    </row>
    <row r="15308" spans="1:10" x14ac:dyDescent="0.25">
      <c r="A15308" t="s">
        <v>164</v>
      </c>
      <c r="B15308" s="1" t="str">
        <f>HYPERLINK("http://garagefelber.ch","garagefelber.ch")</f>
        <v>garagefelber.ch</v>
      </c>
      <c r="C15308" t="s">
        <v>429</v>
      </c>
      <c r="D15308" t="s">
        <v>810</v>
      </c>
      <c r="F15308">
        <v>4.6817202026320601E-9</v>
      </c>
      <c r="G15308">
        <v>42233523</v>
      </c>
      <c r="H15308">
        <v>11962740</v>
      </c>
      <c r="I15308">
        <v>28834909</v>
      </c>
      <c r="J15308">
        <v>3</v>
      </c>
    </row>
    <row r="15309" spans="1:10" x14ac:dyDescent="0.25">
      <c r="A15309" t="s">
        <v>164</v>
      </c>
      <c r="B15309" s="1" t="str">
        <f>HYPERLINK("http://vallatautomobiles.ch","vallatautomobiles.ch")</f>
        <v>vallatautomobiles.ch</v>
      </c>
      <c r="C15309" t="s">
        <v>429</v>
      </c>
      <c r="D15309" t="s">
        <v>810</v>
      </c>
      <c r="F15309">
        <v>5.14644712889085E-9</v>
      </c>
      <c r="G15309">
        <v>26148633</v>
      </c>
      <c r="H15309">
        <v>10537094</v>
      </c>
      <c r="I15309">
        <v>47458000</v>
      </c>
      <c r="J15309">
        <v>3</v>
      </c>
    </row>
    <row r="15310" spans="1:10" x14ac:dyDescent="0.25">
      <c r="A15310" t="s">
        <v>164</v>
      </c>
      <c r="B15310" s="1" t="str">
        <f>HYPERLINK("http://www-rivo-garage.ch","www-rivo-garage.ch")</f>
        <v>www-rivo-garage.ch</v>
      </c>
      <c r="C15310" t="s">
        <v>429</v>
      </c>
      <c r="D15310" t="s">
        <v>810</v>
      </c>
      <c r="J15310">
        <v>3</v>
      </c>
    </row>
    <row r="15311" spans="1:10" x14ac:dyDescent="0.25">
      <c r="A15311" t="s">
        <v>164</v>
      </c>
      <c r="B15311" s="1" t="str">
        <f>HYPERLINK("http://ford.cl","ford.cl")</f>
        <v>ford.cl</v>
      </c>
      <c r="C15311" t="s">
        <v>430</v>
      </c>
      <c r="D15311" t="s">
        <v>811</v>
      </c>
      <c r="F15311">
        <v>2.00840120216953E-8</v>
      </c>
      <c r="G15311">
        <v>2646602</v>
      </c>
      <c r="H15311">
        <v>14146923</v>
      </c>
      <c r="I15311">
        <v>1892657</v>
      </c>
      <c r="J15311">
        <v>2</v>
      </c>
    </row>
    <row r="15312" spans="1:10" x14ac:dyDescent="0.25">
      <c r="A15312" t="s">
        <v>164</v>
      </c>
      <c r="B15312" s="1" t="str">
        <f>HYPERLINK("http://dealerconnection.com.cn","dealerconnection.com.cn")</f>
        <v>dealerconnection.com.cn</v>
      </c>
      <c r="C15312" t="s">
        <v>431</v>
      </c>
      <c r="D15312" t="s">
        <v>812</v>
      </c>
      <c r="E15312">
        <v>81531</v>
      </c>
      <c r="F15312">
        <v>9.4938937275842298E-9</v>
      </c>
      <c r="G15312">
        <v>7329728</v>
      </c>
      <c r="H15312">
        <v>10825218</v>
      </c>
      <c r="I15312">
        <v>37500805</v>
      </c>
      <c r="J15312">
        <v>2</v>
      </c>
    </row>
    <row r="15313" spans="1:10" x14ac:dyDescent="0.25">
      <c r="A15313" t="s">
        <v>164</v>
      </c>
      <c r="B15313" s="1" t="str">
        <f>HYPERLINK("http://ford.com.cn","ford.com.cn")</f>
        <v>ford.com.cn</v>
      </c>
      <c r="C15313" t="s">
        <v>431</v>
      </c>
      <c r="D15313" t="s">
        <v>812</v>
      </c>
      <c r="E15313">
        <v>106954</v>
      </c>
      <c r="F15313">
        <v>2.3380279209849199E-7</v>
      </c>
      <c r="G15313">
        <v>160366</v>
      </c>
      <c r="H15313">
        <v>14508789</v>
      </c>
      <c r="I15313">
        <v>827612</v>
      </c>
      <c r="J15313">
        <v>2</v>
      </c>
    </row>
    <row r="15314" spans="1:10" x14ac:dyDescent="0.25">
      <c r="A15314" t="s">
        <v>164</v>
      </c>
      <c r="B15314" s="1" t="str">
        <f>HYPERLINK("http://lincoln.com.cn","lincoln.com.cn")</f>
        <v>lincoln.com.cn</v>
      </c>
      <c r="C15314" t="s">
        <v>431</v>
      </c>
      <c r="D15314" t="s">
        <v>812</v>
      </c>
      <c r="E15314">
        <v>212974</v>
      </c>
      <c r="F15314">
        <v>5.77547453934578E-8</v>
      </c>
      <c r="G15314">
        <v>771372</v>
      </c>
      <c r="H15314">
        <v>14190828</v>
      </c>
      <c r="I15314">
        <v>1752337</v>
      </c>
      <c r="J15314">
        <v>2</v>
      </c>
    </row>
    <row r="15315" spans="1:10" x14ac:dyDescent="0.25">
      <c r="A15315" t="s">
        <v>164</v>
      </c>
      <c r="B15315" s="1" t="str">
        <f>HYPERLINK("http://ford.com.co","ford.com.co")</f>
        <v>ford.com.co</v>
      </c>
      <c r="C15315" t="s">
        <v>432</v>
      </c>
      <c r="F15315">
        <v>1.7186388379928701E-8</v>
      </c>
      <c r="G15315">
        <v>3229367</v>
      </c>
      <c r="H15315">
        <v>12607984</v>
      </c>
      <c r="I15315">
        <v>16252249</v>
      </c>
      <c r="J15315">
        <v>2</v>
      </c>
    </row>
    <row r="15316" spans="1:10" x14ac:dyDescent="0.25">
      <c r="A15316" t="s">
        <v>164</v>
      </c>
      <c r="B15316" s="1" t="str">
        <f>HYPERLINK("http://advantagefordfremont.com","advantagefordfremont.com")</f>
        <v>advantagefordfremont.com</v>
      </c>
      <c r="C15316" t="s">
        <v>433</v>
      </c>
      <c r="F15316">
        <v>5.4062414324655104E-9</v>
      </c>
      <c r="G15316">
        <v>22033449</v>
      </c>
      <c r="H15316">
        <v>12404003</v>
      </c>
      <c r="I15316">
        <v>18706843</v>
      </c>
      <c r="J15316">
        <v>3</v>
      </c>
    </row>
    <row r="15317" spans="1:10" x14ac:dyDescent="0.25">
      <c r="A15317" t="s">
        <v>164</v>
      </c>
      <c r="B15317" s="1" t="str">
        <f>HYPERLINK("http://andersonfordlincoln.com","andersonfordlincoln.com")</f>
        <v>andersonfordlincoln.com</v>
      </c>
      <c r="C15317" t="s">
        <v>433</v>
      </c>
      <c r="F15317">
        <v>4.4478433663516204E-9</v>
      </c>
      <c r="G15317">
        <v>73239328</v>
      </c>
      <c r="H15317">
        <v>11871401</v>
      </c>
      <c r="I15317">
        <v>29661919</v>
      </c>
      <c r="J15317">
        <v>3</v>
      </c>
    </row>
    <row r="15318" spans="1:10" x14ac:dyDescent="0.25">
      <c r="A15318" t="s">
        <v>164</v>
      </c>
      <c r="B15318" s="1" t="str">
        <f>HYPERLINK("http://andersonsrockriver.com","andersonsrockriver.com")</f>
        <v>andersonsrockriver.com</v>
      </c>
      <c r="C15318" t="s">
        <v>433</v>
      </c>
      <c r="F15318">
        <v>5.2343611864923003E-9</v>
      </c>
      <c r="G15318">
        <v>24503455</v>
      </c>
      <c r="H15318">
        <v>10537710</v>
      </c>
      <c r="I15318">
        <v>47418343</v>
      </c>
      <c r="J15318">
        <v>3</v>
      </c>
    </row>
    <row r="15319" spans="1:10" x14ac:dyDescent="0.25">
      <c r="A15319" t="s">
        <v>164</v>
      </c>
      <c r="B15319" s="1" t="str">
        <f>HYPERLINK("http://applefordva.com","applefordva.com")</f>
        <v>applefordva.com</v>
      </c>
      <c r="C15319" t="s">
        <v>433</v>
      </c>
      <c r="F15319">
        <v>5.99494768650767E-9</v>
      </c>
      <c r="G15319">
        <v>16716011</v>
      </c>
      <c r="H15319">
        <v>12901519</v>
      </c>
      <c r="I15319">
        <v>13853548</v>
      </c>
      <c r="J15319">
        <v>3</v>
      </c>
    </row>
    <row r="15320" spans="1:10" x14ac:dyDescent="0.25">
      <c r="A15320" t="s">
        <v>164</v>
      </c>
      <c r="B15320" s="1" t="str">
        <f>HYPERLINK("http://archiauto.com","archiauto.com")</f>
        <v>archiauto.com</v>
      </c>
      <c r="C15320" t="s">
        <v>433</v>
      </c>
      <c r="F15320">
        <v>7.04319087578791E-9</v>
      </c>
      <c r="G15320">
        <v>12184633</v>
      </c>
      <c r="H15320">
        <v>12267461</v>
      </c>
      <c r="I15320">
        <v>21585399</v>
      </c>
      <c r="J15320">
        <v>3</v>
      </c>
    </row>
    <row r="15321" spans="1:10" x14ac:dyDescent="0.25">
      <c r="A15321" t="s">
        <v>164</v>
      </c>
      <c r="B15321" s="1" t="str">
        <f>HYPERLINK("http://atomiummotors.com","atomiummotors.com")</f>
        <v>atomiummotors.com</v>
      </c>
      <c r="C15321" t="s">
        <v>433</v>
      </c>
      <c r="F15321">
        <v>5.1372613515382E-9</v>
      </c>
      <c r="G15321">
        <v>26317745</v>
      </c>
      <c r="H15321">
        <v>9544383</v>
      </c>
      <c r="I15321">
        <v>65061951</v>
      </c>
      <c r="J15321">
        <v>3</v>
      </c>
    </row>
    <row r="15322" spans="1:10" x14ac:dyDescent="0.25">
      <c r="A15322" t="s">
        <v>164</v>
      </c>
      <c r="B15322" s="1" t="str">
        <f>HYPERLINK("http://auffenbergfordnorth.com","auffenbergfordnorth.com")</f>
        <v>auffenbergfordnorth.com</v>
      </c>
      <c r="C15322" t="s">
        <v>433</v>
      </c>
      <c r="F15322">
        <v>5.8876237959392202E-9</v>
      </c>
      <c r="G15322">
        <v>17443983</v>
      </c>
      <c r="H15322">
        <v>12296183</v>
      </c>
      <c r="I15322">
        <v>20940225</v>
      </c>
      <c r="J15322">
        <v>3</v>
      </c>
    </row>
    <row r="15323" spans="1:10" x14ac:dyDescent="0.25">
      <c r="A15323" t="s">
        <v>164</v>
      </c>
      <c r="B15323" s="1" t="str">
        <f>HYPERLINK("http://autochristian.com","autochristian.com")</f>
        <v>autochristian.com</v>
      </c>
      <c r="C15323" t="s">
        <v>433</v>
      </c>
      <c r="F15323">
        <v>4.5742342279316397E-9</v>
      </c>
      <c r="G15323">
        <v>49796721</v>
      </c>
      <c r="H15323">
        <v>10764410</v>
      </c>
      <c r="I15323">
        <v>39456184</v>
      </c>
      <c r="J15323">
        <v>3</v>
      </c>
    </row>
    <row r="15324" spans="1:10" x14ac:dyDescent="0.25">
      <c r="A15324" t="s">
        <v>164</v>
      </c>
      <c r="B15324" s="1" t="str">
        <f>HYPERLINK("http://autocollectiondequebec.com","autocollectiondequebec.com")</f>
        <v>autocollectiondequebec.com</v>
      </c>
      <c r="C15324" t="s">
        <v>433</v>
      </c>
      <c r="F15324">
        <v>1.1332585569368499E-8</v>
      </c>
      <c r="G15324">
        <v>5620159</v>
      </c>
      <c r="H15324">
        <v>12804848</v>
      </c>
      <c r="I15324">
        <v>14617608</v>
      </c>
      <c r="J15324">
        <v>4</v>
      </c>
    </row>
    <row r="15325" spans="1:10" x14ac:dyDescent="0.25">
      <c r="A15325" t="s">
        <v>164</v>
      </c>
      <c r="B15325" s="1" t="str">
        <f>HYPERLINK("http://autonationfordwhitebearlake.com","autonationfordwhitebearlake.com")</f>
        <v>autonationfordwhitebearlake.com</v>
      </c>
      <c r="C15325" t="s">
        <v>433</v>
      </c>
      <c r="F15325">
        <v>1.2646608674491001E-8</v>
      </c>
      <c r="G15325">
        <v>4806662</v>
      </c>
      <c r="H15325">
        <v>12856028</v>
      </c>
      <c r="I15325">
        <v>14228081</v>
      </c>
      <c r="J15325">
        <v>3</v>
      </c>
    </row>
    <row r="15326" spans="1:10" x14ac:dyDescent="0.25">
      <c r="A15326" t="s">
        <v>164</v>
      </c>
      <c r="B15326" s="1" t="str">
        <f>HYPERLINK("http://autonautica.com","autonautica.com")</f>
        <v>autonautica.com</v>
      </c>
      <c r="C15326" t="s">
        <v>433</v>
      </c>
      <c r="F15326">
        <v>7.0524021087810599E-9</v>
      </c>
      <c r="G15326">
        <v>12148863</v>
      </c>
      <c r="H15326">
        <v>12322402</v>
      </c>
      <c r="I15326">
        <v>20368087</v>
      </c>
      <c r="J15326">
        <v>3</v>
      </c>
    </row>
    <row r="15327" spans="1:10" x14ac:dyDescent="0.25">
      <c r="A15327" t="s">
        <v>164</v>
      </c>
      <c r="B15327" s="1" t="str">
        <f>HYPERLINK("http://autosvegaford.com","autosvegaford.com")</f>
        <v>autosvegaford.com</v>
      </c>
      <c r="C15327" t="s">
        <v>433</v>
      </c>
      <c r="F15327">
        <v>4.5733819538986197E-9</v>
      </c>
      <c r="G15327">
        <v>49880298</v>
      </c>
      <c r="H15327">
        <v>10628501</v>
      </c>
      <c r="I15327">
        <v>44033034</v>
      </c>
      <c r="J15327">
        <v>3</v>
      </c>
    </row>
    <row r="15328" spans="1:10" x14ac:dyDescent="0.25">
      <c r="A15328" t="s">
        <v>164</v>
      </c>
      <c r="B15328" s="1" t="str">
        <f>HYPERLINK("http://autotelser.com","autotelser.com")</f>
        <v>autotelser.com</v>
      </c>
      <c r="C15328" t="s">
        <v>433</v>
      </c>
      <c r="F15328">
        <v>5.2288530067750298E-9</v>
      </c>
      <c r="G15328">
        <v>24594644</v>
      </c>
      <c r="H15328">
        <v>10533757</v>
      </c>
      <c r="I15328">
        <v>47838603</v>
      </c>
      <c r="J15328">
        <v>3</v>
      </c>
    </row>
    <row r="15329" spans="1:10" x14ac:dyDescent="0.25">
      <c r="A15329" t="s">
        <v>164</v>
      </c>
      <c r="B15329" s="1" t="str">
        <f>HYPERLINK("http://autovilleneuve.com","autovilleneuve.com")</f>
        <v>autovilleneuve.com</v>
      </c>
      <c r="C15329" t="s">
        <v>433</v>
      </c>
      <c r="F15329">
        <v>8.63011707302627E-9</v>
      </c>
      <c r="G15329">
        <v>8602147</v>
      </c>
      <c r="H15329">
        <v>12560219</v>
      </c>
      <c r="I15329">
        <v>16713189</v>
      </c>
      <c r="J15329">
        <v>3</v>
      </c>
    </row>
    <row r="15330" spans="1:10" x14ac:dyDescent="0.25">
      <c r="A15330" t="s">
        <v>164</v>
      </c>
      <c r="B15330" s="1" t="str">
        <f>HYPERLINK("http://avoncityford.com","avoncityford.com")</f>
        <v>avoncityford.com</v>
      </c>
      <c r="C15330" t="s">
        <v>433</v>
      </c>
      <c r="F15330">
        <v>4.4782436745966204E-9</v>
      </c>
      <c r="G15330">
        <v>62723116</v>
      </c>
      <c r="H15330">
        <v>10631405</v>
      </c>
      <c r="I15330">
        <v>43949753</v>
      </c>
      <c r="J15330">
        <v>3</v>
      </c>
    </row>
    <row r="15331" spans="1:10" x14ac:dyDescent="0.25">
      <c r="A15331" t="s">
        <v>164</v>
      </c>
      <c r="B15331" s="1" t="str">
        <f>HYPERLINK("http://bahnhof-garage.com","bahnhof-garage.com")</f>
        <v>bahnhof-garage.com</v>
      </c>
      <c r="C15331" t="s">
        <v>433</v>
      </c>
      <c r="F15331">
        <v>5.0731661501467296E-9</v>
      </c>
      <c r="G15331">
        <v>27725200</v>
      </c>
      <c r="H15331">
        <v>9906535</v>
      </c>
      <c r="I15331">
        <v>61577277</v>
      </c>
      <c r="J15331">
        <v>3</v>
      </c>
    </row>
    <row r="15332" spans="1:10" x14ac:dyDescent="0.25">
      <c r="A15332" t="s">
        <v>164</v>
      </c>
      <c r="B15332" s="1" t="str">
        <f>HYPERLINK("http://bandonmotors.com","bandonmotors.com")</f>
        <v>bandonmotors.com</v>
      </c>
      <c r="C15332" t="s">
        <v>433</v>
      </c>
      <c r="F15332">
        <v>1.5212832280319001E-8</v>
      </c>
      <c r="G15332">
        <v>3771966</v>
      </c>
      <c r="H15332">
        <v>12264936</v>
      </c>
      <c r="I15332">
        <v>21638667</v>
      </c>
      <c r="J15332">
        <v>3</v>
      </c>
    </row>
    <row r="15333" spans="1:10" x14ac:dyDescent="0.25">
      <c r="A15333" t="s">
        <v>164</v>
      </c>
      <c r="B15333" s="1" t="str">
        <f>HYPERLINK("http://barrieford.com","barrieford.com")</f>
        <v>barrieford.com</v>
      </c>
      <c r="C15333" t="s">
        <v>433</v>
      </c>
      <c r="F15333">
        <v>1.3625564484565899E-8</v>
      </c>
      <c r="G15333">
        <v>4351323</v>
      </c>
      <c r="H15333">
        <v>12622917</v>
      </c>
      <c r="I15333">
        <v>16057088</v>
      </c>
      <c r="J15333">
        <v>3</v>
      </c>
    </row>
    <row r="15334" spans="1:10" x14ac:dyDescent="0.25">
      <c r="A15334" t="s">
        <v>164</v>
      </c>
      <c r="B15334" s="1" t="str">
        <f>HYPERLINK("http://bedfordford.com","bedfordford.com")</f>
        <v>bedfordford.com</v>
      </c>
      <c r="C15334" t="s">
        <v>433</v>
      </c>
      <c r="F15334">
        <v>5.3232508512930401E-9</v>
      </c>
      <c r="G15334">
        <v>23160865</v>
      </c>
      <c r="H15334">
        <v>11908679</v>
      </c>
      <c r="I15334">
        <v>29466277</v>
      </c>
      <c r="J15334">
        <v>3</v>
      </c>
    </row>
    <row r="15335" spans="1:10" x14ac:dyDescent="0.25">
      <c r="A15335" t="s">
        <v>164</v>
      </c>
      <c r="B15335" s="1" t="str">
        <f>HYPERLINK("http://bedfordlincoln.com","bedfordlincoln.com")</f>
        <v>bedfordlincoln.com</v>
      </c>
      <c r="C15335" t="s">
        <v>433</v>
      </c>
      <c r="F15335">
        <v>4.44380395335525E-9</v>
      </c>
      <c r="G15335">
        <v>80829804</v>
      </c>
      <c r="H15335">
        <v>0</v>
      </c>
      <c r="I15335">
        <v>81074864</v>
      </c>
      <c r="J15335">
        <v>4</v>
      </c>
    </row>
    <row r="15336" spans="1:10" x14ac:dyDescent="0.25">
      <c r="A15336" t="s">
        <v>164</v>
      </c>
      <c r="B15336" s="1" t="str">
        <f>HYPERLINK("http://benningtonford.com","benningtonford.com")</f>
        <v>benningtonford.com</v>
      </c>
      <c r="C15336" t="s">
        <v>433</v>
      </c>
      <c r="F15336">
        <v>4.4884272831761298E-9</v>
      </c>
      <c r="G15336">
        <v>60773982</v>
      </c>
      <c r="H15336">
        <v>10899168</v>
      </c>
      <c r="I15336">
        <v>35855671</v>
      </c>
      <c r="J15336">
        <v>3</v>
      </c>
    </row>
    <row r="15337" spans="1:10" x14ac:dyDescent="0.25">
      <c r="A15337" t="s">
        <v>164</v>
      </c>
      <c r="B15337" s="1" t="str">
        <f>HYPERLINK("http://berglundford.com","berglundford.com")</f>
        <v>berglundford.com</v>
      </c>
      <c r="C15337" t="s">
        <v>433</v>
      </c>
      <c r="F15337">
        <v>4.7492654421725597E-9</v>
      </c>
      <c r="G15337">
        <v>38358882</v>
      </c>
      <c r="H15337">
        <v>12381989</v>
      </c>
      <c r="I15337">
        <v>19171895</v>
      </c>
      <c r="J15337">
        <v>4</v>
      </c>
    </row>
    <row r="15338" spans="1:10" x14ac:dyDescent="0.25">
      <c r="A15338" t="s">
        <v>164</v>
      </c>
      <c r="B15338" s="1" t="str">
        <f>HYPERLINK("http://billutterford.com","billutterford.com")</f>
        <v>billutterford.com</v>
      </c>
      <c r="C15338" t="s">
        <v>433</v>
      </c>
      <c r="F15338">
        <v>5.3714362354939402E-9</v>
      </c>
      <c r="G15338">
        <v>22523299</v>
      </c>
      <c r="H15338">
        <v>12156882</v>
      </c>
      <c r="I15338">
        <v>24447293</v>
      </c>
      <c r="J15338">
        <v>3</v>
      </c>
    </row>
    <row r="15339" spans="1:10" x14ac:dyDescent="0.25">
      <c r="A15339" t="s">
        <v>164</v>
      </c>
      <c r="B15339" s="1" t="str">
        <f>HYPERLINK("http://bonnellford.com","bonnellford.com")</f>
        <v>bonnellford.com</v>
      </c>
      <c r="C15339" t="s">
        <v>433</v>
      </c>
      <c r="F15339">
        <v>1.27455974336585E-8</v>
      </c>
      <c r="G15339">
        <v>4756681</v>
      </c>
      <c r="H15339">
        <v>12806812</v>
      </c>
      <c r="I15339">
        <v>14604698</v>
      </c>
      <c r="J15339">
        <v>3</v>
      </c>
    </row>
    <row r="15340" spans="1:10" x14ac:dyDescent="0.25">
      <c r="A15340" t="s">
        <v>164</v>
      </c>
      <c r="B15340" s="1" t="str">
        <f>HYPERLINK("http://bosakford.com","bosakford.com")</f>
        <v>bosakford.com</v>
      </c>
      <c r="C15340" t="s">
        <v>433</v>
      </c>
      <c r="F15340">
        <v>5.8774656684735998E-9</v>
      </c>
      <c r="G15340">
        <v>17515008</v>
      </c>
      <c r="H15340">
        <v>12869568</v>
      </c>
      <c r="I15340">
        <v>14079128</v>
      </c>
      <c r="J15340">
        <v>3</v>
      </c>
    </row>
    <row r="15341" spans="1:10" x14ac:dyDescent="0.25">
      <c r="A15341" t="s">
        <v>164</v>
      </c>
      <c r="B15341" s="1" t="str">
        <f>HYPERLINK("http://boundaryford.com","boundaryford.com")</f>
        <v>boundaryford.com</v>
      </c>
      <c r="C15341" t="s">
        <v>433</v>
      </c>
      <c r="F15341">
        <v>1.22459364490873E-8</v>
      </c>
      <c r="G15341">
        <v>5024647</v>
      </c>
      <c r="H15341">
        <v>12703665</v>
      </c>
      <c r="I15341">
        <v>15335614</v>
      </c>
      <c r="J15341">
        <v>3</v>
      </c>
    </row>
    <row r="15342" spans="1:10" x14ac:dyDescent="0.25">
      <c r="A15342" t="s">
        <v>164</v>
      </c>
      <c r="B15342" s="1" t="str">
        <f>HYPERLINK("http://boyerfordlincoln.com","boyerfordlincoln.com")</f>
        <v>boyerfordlincoln.com</v>
      </c>
      <c r="C15342" t="s">
        <v>433</v>
      </c>
      <c r="F15342">
        <v>8.9865090503044301E-9</v>
      </c>
      <c r="G15342">
        <v>8012486</v>
      </c>
      <c r="H15342">
        <v>12559422</v>
      </c>
      <c r="I15342">
        <v>16719603</v>
      </c>
      <c r="J15342">
        <v>3</v>
      </c>
    </row>
    <row r="15343" spans="1:10" x14ac:dyDescent="0.25">
      <c r="A15343" t="s">
        <v>164</v>
      </c>
      <c r="B15343" s="1" t="str">
        <f>HYPERLINK("http://briantoliverfordofquitman.com","briantoliverfordofquitman.com")</f>
        <v>briantoliverfordofquitman.com</v>
      </c>
      <c r="C15343" t="s">
        <v>433</v>
      </c>
      <c r="F15343">
        <v>5.14038161095968E-9</v>
      </c>
      <c r="G15343">
        <v>26258659</v>
      </c>
      <c r="H15343">
        <v>12275847</v>
      </c>
      <c r="I15343">
        <v>21396069</v>
      </c>
      <c r="J15343">
        <v>3</v>
      </c>
    </row>
    <row r="15344" spans="1:10" x14ac:dyDescent="0.25">
      <c r="A15344" t="s">
        <v>164</v>
      </c>
      <c r="B15344" s="1" t="str">
        <f>HYPERLINK("http://browneandday.com","browneandday.com")</f>
        <v>browneandday.com</v>
      </c>
      <c r="C15344" t="s">
        <v>433</v>
      </c>
      <c r="F15344">
        <v>4.44380395335525E-9</v>
      </c>
      <c r="G15344">
        <v>80960316</v>
      </c>
      <c r="H15344">
        <v>0</v>
      </c>
      <c r="I15344">
        <v>81234355</v>
      </c>
      <c r="J15344">
        <v>3</v>
      </c>
    </row>
    <row r="15345" spans="1:10" x14ac:dyDescent="0.25">
      <c r="A15345" t="s">
        <v>164</v>
      </c>
      <c r="B15345" s="1" t="str">
        <f>HYPERLINK("http://brydenford.com","brydenford.com")</f>
        <v>brydenford.com</v>
      </c>
      <c r="C15345" t="s">
        <v>433</v>
      </c>
      <c r="F15345">
        <v>5.0621663510232698E-9</v>
      </c>
      <c r="G15345">
        <v>27956454</v>
      </c>
      <c r="H15345">
        <v>11912902</v>
      </c>
      <c r="I15345">
        <v>29413445</v>
      </c>
      <c r="J15345">
        <v>3</v>
      </c>
    </row>
    <row r="15346" spans="1:10" x14ac:dyDescent="0.25">
      <c r="A15346" t="s">
        <v>164</v>
      </c>
      <c r="B15346" s="1" t="str">
        <f>HYPERLINK("http://bussford.com","bussford.com")</f>
        <v>bussford.com</v>
      </c>
      <c r="C15346" t="s">
        <v>433</v>
      </c>
      <c r="F15346">
        <v>6.9132763031713402E-9</v>
      </c>
      <c r="G15346">
        <v>12579455</v>
      </c>
      <c r="H15346">
        <v>12874914</v>
      </c>
      <c r="I15346">
        <v>14036097</v>
      </c>
      <c r="J15346">
        <v>3</v>
      </c>
    </row>
    <row r="15347" spans="1:10" x14ac:dyDescent="0.25">
      <c r="A15347" t="s">
        <v>164</v>
      </c>
      <c r="B15347" s="1" t="str">
        <f>HYPERLINK("http://butmanford.com","butmanford.com")</f>
        <v>butmanford.com</v>
      </c>
      <c r="C15347" t="s">
        <v>433</v>
      </c>
      <c r="F15347">
        <v>8.3617704839880402E-9</v>
      </c>
      <c r="G15347">
        <v>9121903</v>
      </c>
      <c r="H15347">
        <v>13484682</v>
      </c>
      <c r="I15347">
        <v>9997737</v>
      </c>
      <c r="J15347">
        <v>3</v>
      </c>
    </row>
    <row r="15348" spans="1:10" x14ac:dyDescent="0.25">
      <c r="A15348" t="s">
        <v>164</v>
      </c>
      <c r="B15348" s="1" t="str">
        <f>HYPERLINK("http://capitolford.com","capitolford.com")</f>
        <v>capitolford.com</v>
      </c>
      <c r="C15348" t="s">
        <v>433</v>
      </c>
      <c r="F15348">
        <v>1.4602703554998101E-8</v>
      </c>
      <c r="G15348">
        <v>3976004</v>
      </c>
      <c r="H15348">
        <v>13765580</v>
      </c>
      <c r="I15348">
        <v>7087892</v>
      </c>
      <c r="J15348">
        <v>3</v>
      </c>
    </row>
    <row r="15349" spans="1:10" x14ac:dyDescent="0.25">
      <c r="A15349" t="s">
        <v>164</v>
      </c>
      <c r="B15349" s="1" t="str">
        <f>HYPERLINK("http://carletonford.com","carletonford.com")</f>
        <v>carletonford.com</v>
      </c>
      <c r="C15349" t="s">
        <v>433</v>
      </c>
      <c r="F15349">
        <v>8.5954424183640703E-9</v>
      </c>
      <c r="G15349">
        <v>8664556</v>
      </c>
      <c r="H15349">
        <v>12559419</v>
      </c>
      <c r="I15349">
        <v>16719687</v>
      </c>
      <c r="J15349">
        <v>3</v>
      </c>
    </row>
    <row r="15350" spans="1:10" x14ac:dyDescent="0.25">
      <c r="A15350" t="s">
        <v>164</v>
      </c>
      <c r="B15350" s="1" t="str">
        <f>HYPERLINK("http://cavanaghs.com","cavanaghs.com")</f>
        <v>cavanaghs.com</v>
      </c>
      <c r="C15350" t="s">
        <v>433</v>
      </c>
      <c r="F15350">
        <v>2.0324016343852501E-8</v>
      </c>
      <c r="G15350">
        <v>2610500</v>
      </c>
      <c r="H15350">
        <v>12261681</v>
      </c>
      <c r="I15350">
        <v>21725489</v>
      </c>
      <c r="J15350">
        <v>3</v>
      </c>
    </row>
    <row r="15351" spans="1:10" x14ac:dyDescent="0.25">
      <c r="A15351" t="s">
        <v>164</v>
      </c>
      <c r="B15351" s="1" t="str">
        <f>HYPERLINK("http://chapmanfordllc.com","chapmanfordllc.com")</f>
        <v>chapmanfordllc.com</v>
      </c>
      <c r="C15351" t="s">
        <v>433</v>
      </c>
      <c r="F15351">
        <v>5.56308079178619E-9</v>
      </c>
      <c r="G15351">
        <v>20244598</v>
      </c>
      <c r="H15351">
        <v>12346528</v>
      </c>
      <c r="I15351">
        <v>19825691</v>
      </c>
      <c r="J15351">
        <v>3</v>
      </c>
    </row>
    <row r="15352" spans="1:10" x14ac:dyDescent="0.25">
      <c r="A15352" t="s">
        <v>164</v>
      </c>
      <c r="B15352" s="1" t="str">
        <f>HYPERLINK("http://chartrandford.com","chartrandford.com")</f>
        <v>chartrandford.com</v>
      </c>
      <c r="C15352" t="s">
        <v>433</v>
      </c>
      <c r="F15352">
        <v>1.21287453343974E-8</v>
      </c>
      <c r="G15352">
        <v>5092370</v>
      </c>
      <c r="H15352">
        <v>12745197</v>
      </c>
      <c r="I15352">
        <v>15089967</v>
      </c>
      <c r="J15352">
        <v>3</v>
      </c>
    </row>
    <row r="15353" spans="1:10" x14ac:dyDescent="0.25">
      <c r="A15353" t="s">
        <v>164</v>
      </c>
      <c r="B15353" s="1" t="str">
        <f>HYPERLINK("http://coastalfordburnaby.com","coastalfordburnaby.com")</f>
        <v>coastalfordburnaby.com</v>
      </c>
      <c r="C15353" t="s">
        <v>433</v>
      </c>
      <c r="F15353">
        <v>1.15072099098713E-8</v>
      </c>
      <c r="G15353">
        <v>5499021</v>
      </c>
      <c r="H15353">
        <v>12560161</v>
      </c>
      <c r="I15353">
        <v>16713638</v>
      </c>
      <c r="J15353">
        <v>3</v>
      </c>
    </row>
    <row r="15354" spans="1:10" x14ac:dyDescent="0.25">
      <c r="A15354" t="s">
        <v>164</v>
      </c>
      <c r="B15354" s="1" t="str">
        <f>HYPERLINK("http://codemkrs.com","codemkrs.com")</f>
        <v>codemkrs.com</v>
      </c>
      <c r="C15354" t="s">
        <v>433</v>
      </c>
      <c r="F15354">
        <v>1.14545331628338E-8</v>
      </c>
      <c r="G15354">
        <v>5535892</v>
      </c>
      <c r="H15354">
        <v>13718836</v>
      </c>
      <c r="I15354">
        <v>9480207</v>
      </c>
      <c r="J15354">
        <v>4</v>
      </c>
    </row>
    <row r="15355" spans="1:10" x14ac:dyDescent="0.25">
      <c r="A15355" t="s">
        <v>164</v>
      </c>
      <c r="B15355" s="1" t="str">
        <f>HYPERLINK("http://connectruckglobal.com","connectruckglobal.com")</f>
        <v>connectruckglobal.com</v>
      </c>
      <c r="C15355" t="s">
        <v>433</v>
      </c>
      <c r="F15355">
        <v>5.4482727297183804E-9</v>
      </c>
      <c r="G15355">
        <v>21518879</v>
      </c>
      <c r="H15355">
        <v>11012020</v>
      </c>
      <c r="I15355">
        <v>33376421</v>
      </c>
      <c r="J15355">
        <v>4</v>
      </c>
    </row>
    <row r="15356" spans="1:10" x14ac:dyDescent="0.25">
      <c r="A15356" t="s">
        <v>164</v>
      </c>
      <c r="B15356" s="1" t="str">
        <f>HYPERLINK("http://courtesyfordokemos.com","courtesyfordokemos.com")</f>
        <v>courtesyfordokemos.com</v>
      </c>
      <c r="C15356" t="s">
        <v>433</v>
      </c>
      <c r="J15356">
        <v>3</v>
      </c>
    </row>
    <row r="15357" spans="1:10" x14ac:dyDescent="0.25">
      <c r="A15357" t="s">
        <v>164</v>
      </c>
      <c r="B15357" s="1" t="str">
        <f>HYPERLINK("http://courtoise-auto.com","courtoise-auto.com")</f>
        <v>courtoise-auto.com</v>
      </c>
      <c r="C15357" t="s">
        <v>433</v>
      </c>
      <c r="F15357">
        <v>5.3164314319102801E-9</v>
      </c>
      <c r="G15357">
        <v>23260117</v>
      </c>
      <c r="H15357">
        <v>10138310</v>
      </c>
      <c r="I15357">
        <v>59525674</v>
      </c>
      <c r="J15357">
        <v>3</v>
      </c>
    </row>
    <row r="15358" spans="1:10" x14ac:dyDescent="0.25">
      <c r="A15358" t="s">
        <v>164</v>
      </c>
      <c r="B15358" s="1" t="str">
        <f>HYPERLINK("http://covertlincoln.com","covertlincoln.com")</f>
        <v>covertlincoln.com</v>
      </c>
      <c r="C15358" t="s">
        <v>433</v>
      </c>
      <c r="F15358">
        <v>5.0832561030159002E-9</v>
      </c>
      <c r="G15358">
        <v>27437878</v>
      </c>
      <c r="H15358">
        <v>12163449</v>
      </c>
      <c r="I15358">
        <v>24274821</v>
      </c>
      <c r="J15358">
        <v>3</v>
      </c>
    </row>
    <row r="15359" spans="1:10" x14ac:dyDescent="0.25">
      <c r="A15359" t="s">
        <v>164</v>
      </c>
      <c r="B15359" s="1" t="str">
        <f>HYPERLINK("http://covesaford.com","covesaford.com")</f>
        <v>covesaford.com</v>
      </c>
      <c r="C15359" t="s">
        <v>433</v>
      </c>
      <c r="F15359">
        <v>8.4685189907698904E-9</v>
      </c>
      <c r="G15359">
        <v>8905952</v>
      </c>
      <c r="H15359">
        <v>10721758</v>
      </c>
      <c r="I15359">
        <v>41688762</v>
      </c>
      <c r="J15359">
        <v>3</v>
      </c>
    </row>
    <row r="15360" spans="1:10" x14ac:dyDescent="0.25">
      <c r="A15360" t="s">
        <v>164</v>
      </c>
      <c r="B15360" s="1" t="str">
        <f>HYPERLINK("http://crestonautomotive.com","crestonautomotive.com")</f>
        <v>crestonautomotive.com</v>
      </c>
      <c r="C15360" t="s">
        <v>433</v>
      </c>
      <c r="F15360">
        <v>5.0525994820251696E-9</v>
      </c>
      <c r="G15360">
        <v>28162385</v>
      </c>
      <c r="H15360">
        <v>11943452</v>
      </c>
      <c r="I15360">
        <v>29179613</v>
      </c>
      <c r="J15360">
        <v>3</v>
      </c>
    </row>
    <row r="15361" spans="1:10" x14ac:dyDescent="0.25">
      <c r="A15361" t="s">
        <v>164</v>
      </c>
      <c r="B15361" s="1" t="str">
        <f>HYPERLINK("http://crouseford.com","crouseford.com")</f>
        <v>crouseford.com</v>
      </c>
      <c r="C15361" t="s">
        <v>433</v>
      </c>
      <c r="F15361">
        <v>2.41214527863847E-8</v>
      </c>
      <c r="G15361">
        <v>2151083</v>
      </c>
      <c r="H15361">
        <v>12345834</v>
      </c>
      <c r="I15361">
        <v>19836107</v>
      </c>
      <c r="J15361">
        <v>3</v>
      </c>
    </row>
    <row r="15362" spans="1:10" x14ac:dyDescent="0.25">
      <c r="A15362" t="s">
        <v>164</v>
      </c>
      <c r="B15362" s="1" t="str">
        <f>HYPERLINK("http://dalecarterford.com","dalecarterford.com")</f>
        <v>dalecarterford.com</v>
      </c>
      <c r="C15362" t="s">
        <v>433</v>
      </c>
      <c r="J15362">
        <v>3</v>
      </c>
    </row>
    <row r="15363" spans="1:10" x14ac:dyDescent="0.25">
      <c r="A15363" t="s">
        <v>164</v>
      </c>
      <c r="B15363" s="1" t="str">
        <f>HYPERLINK("http://danbrennerford.com","danbrennerford.com")</f>
        <v>danbrennerford.com</v>
      </c>
      <c r="C15363" t="s">
        <v>433</v>
      </c>
      <c r="F15363">
        <v>4.4583006114415903E-9</v>
      </c>
      <c r="G15363">
        <v>68298933</v>
      </c>
      <c r="H15363">
        <v>11878582</v>
      </c>
      <c r="I15363">
        <v>29594905</v>
      </c>
      <c r="J15363">
        <v>3</v>
      </c>
    </row>
    <row r="15364" spans="1:10" x14ac:dyDescent="0.25">
      <c r="A15364" t="s">
        <v>164</v>
      </c>
      <c r="B15364" s="1" t="str">
        <f>HYPERLINK("http://dentonford.com","dentonford.com")</f>
        <v>dentonford.com</v>
      </c>
      <c r="C15364" t="s">
        <v>433</v>
      </c>
      <c r="F15364">
        <v>5.2217358533619703E-9</v>
      </c>
      <c r="G15364">
        <v>24715471</v>
      </c>
      <c r="H15364">
        <v>12367946</v>
      </c>
      <c r="I15364">
        <v>19449372</v>
      </c>
      <c r="J15364">
        <v>3</v>
      </c>
    </row>
    <row r="15365" spans="1:10" x14ac:dyDescent="0.25">
      <c r="A15365" t="s">
        <v>164</v>
      </c>
      <c r="B15365" s="1" t="str">
        <f>HYPERLINK("http://desjardinsfordstefoy.com","desjardinsfordstefoy.com")</f>
        <v>desjardinsfordstefoy.com</v>
      </c>
      <c r="C15365" t="s">
        <v>433</v>
      </c>
      <c r="F15365">
        <v>9.0629160702598307E-9</v>
      </c>
      <c r="G15365">
        <v>7899652</v>
      </c>
      <c r="H15365">
        <v>12679792</v>
      </c>
      <c r="I15365">
        <v>15504135</v>
      </c>
      <c r="J15365">
        <v>4</v>
      </c>
    </row>
    <row r="15366" spans="1:10" x14ac:dyDescent="0.25">
      <c r="A15366" t="s">
        <v>164</v>
      </c>
      <c r="B15366" s="1" t="str">
        <f>HYPERLINK("http://discoveryfordsales.com","discoveryfordsales.com")</f>
        <v>discoveryfordsales.com</v>
      </c>
      <c r="C15366" t="s">
        <v>433</v>
      </c>
      <c r="F15366">
        <v>9.1242311190758292E-9</v>
      </c>
      <c r="G15366">
        <v>7813620</v>
      </c>
      <c r="H15366">
        <v>12560599</v>
      </c>
      <c r="I15366">
        <v>16707681</v>
      </c>
      <c r="J15366">
        <v>3</v>
      </c>
    </row>
    <row r="15367" spans="1:10" x14ac:dyDescent="0.25">
      <c r="A15367" t="s">
        <v>164</v>
      </c>
      <c r="B15367" s="1" t="str">
        <f>HYPERLINK("http://dixieford.com","dixieford.com")</f>
        <v>dixieford.com</v>
      </c>
      <c r="C15367" t="s">
        <v>433</v>
      </c>
      <c r="F15367">
        <v>9.7573400775191006E-9</v>
      </c>
      <c r="G15367">
        <v>7015661</v>
      </c>
      <c r="H15367">
        <v>12566773</v>
      </c>
      <c r="I15367">
        <v>16653534</v>
      </c>
      <c r="J15367">
        <v>3</v>
      </c>
    </row>
    <row r="15368" spans="1:10" x14ac:dyDescent="0.25">
      <c r="A15368" t="s">
        <v>164</v>
      </c>
      <c r="B15368" s="1" t="str">
        <f>HYPERLINK("http://dooleymotors.com","dooleymotors.com")</f>
        <v>dooleymotors.com</v>
      </c>
      <c r="C15368" t="s">
        <v>433</v>
      </c>
      <c r="F15368">
        <v>1.3810921760716099E-8</v>
      </c>
      <c r="G15368">
        <v>4276972</v>
      </c>
      <c r="H15368">
        <v>12332341</v>
      </c>
      <c r="I15368">
        <v>20162599</v>
      </c>
      <c r="J15368">
        <v>3</v>
      </c>
    </row>
    <row r="15369" spans="1:10" x14ac:dyDescent="0.25">
      <c r="A15369" t="s">
        <v>164</v>
      </c>
      <c r="B15369" s="1" t="str">
        <f>HYPERLINK("http://easomotor.com","easomotor.com")</f>
        <v>easomotor.com</v>
      </c>
      <c r="C15369" t="s">
        <v>433</v>
      </c>
      <c r="F15369">
        <v>7.0533180528296103E-9</v>
      </c>
      <c r="G15369">
        <v>12146384</v>
      </c>
      <c r="H15369">
        <v>12438967</v>
      </c>
      <c r="I15369">
        <v>18156104</v>
      </c>
      <c r="J15369">
        <v>3</v>
      </c>
    </row>
    <row r="15370" spans="1:10" x14ac:dyDescent="0.25">
      <c r="A15370" t="s">
        <v>164</v>
      </c>
      <c r="B15370" s="1" t="str">
        <f>HYPERLINK("http://eurotelonline.com","eurotelonline.com")</f>
        <v>eurotelonline.com</v>
      </c>
      <c r="C15370" t="s">
        <v>433</v>
      </c>
      <c r="J15370">
        <v>3</v>
      </c>
    </row>
    <row r="15371" spans="1:10" x14ac:dyDescent="0.25">
      <c r="A15371" t="s">
        <v>164</v>
      </c>
      <c r="B15371" s="1" t="str">
        <f>HYPERLINK("http://ewaldsvenusford.com","ewaldsvenusford.com")</f>
        <v>ewaldsvenusford.com</v>
      </c>
      <c r="C15371" t="s">
        <v>433</v>
      </c>
      <c r="F15371">
        <v>4.9620160507637997E-9</v>
      </c>
      <c r="G15371">
        <v>30456831</v>
      </c>
      <c r="H15371">
        <v>10742558</v>
      </c>
      <c r="I15371">
        <v>40326801</v>
      </c>
      <c r="J15371">
        <v>3</v>
      </c>
    </row>
    <row r="15372" spans="1:10" x14ac:dyDescent="0.25">
      <c r="A15372" t="s">
        <v>164</v>
      </c>
      <c r="B15372" s="1" t="str">
        <f>HYPERLINK("http://fairoaksford.com","fairoaksford.com")</f>
        <v>fairoaksford.com</v>
      </c>
      <c r="C15372" t="s">
        <v>433</v>
      </c>
      <c r="F15372">
        <v>1.43150222617243E-8</v>
      </c>
      <c r="G15372">
        <v>4088095</v>
      </c>
      <c r="H15372">
        <v>12574758</v>
      </c>
      <c r="I15372">
        <v>16567885</v>
      </c>
      <c r="J15372">
        <v>3</v>
      </c>
    </row>
    <row r="15373" spans="1:10" x14ac:dyDescent="0.25">
      <c r="A15373" t="s">
        <v>164</v>
      </c>
      <c r="B15373" s="1" t="str">
        <f>HYPERLINK("http://fairoakslincoln.com","fairoakslincoln.com")</f>
        <v>fairoakslincoln.com</v>
      </c>
      <c r="C15373" t="s">
        <v>433</v>
      </c>
      <c r="F15373">
        <v>5.0784069584880302E-9</v>
      </c>
      <c r="G15373">
        <v>27546037</v>
      </c>
      <c r="H15373">
        <v>10591027</v>
      </c>
      <c r="I15373">
        <v>45615421</v>
      </c>
      <c r="J15373">
        <v>4</v>
      </c>
    </row>
    <row r="15374" spans="1:10" x14ac:dyDescent="0.25">
      <c r="A15374" t="s">
        <v>164</v>
      </c>
      <c r="B15374" s="1" t="str">
        <f>HYPERLINK("http://fairviewfordinc.com","fairviewfordinc.com")</f>
        <v>fairviewfordinc.com</v>
      </c>
      <c r="C15374" t="s">
        <v>433</v>
      </c>
      <c r="F15374">
        <v>8.6508100288018795E-9</v>
      </c>
      <c r="G15374">
        <v>8565241</v>
      </c>
      <c r="H15374">
        <v>11920563</v>
      </c>
      <c r="I15374">
        <v>29374014</v>
      </c>
      <c r="J15374">
        <v>3</v>
      </c>
    </row>
    <row r="15375" spans="1:10" x14ac:dyDescent="0.25">
      <c r="A15375" t="s">
        <v>164</v>
      </c>
      <c r="B15375" s="1" t="str">
        <f>HYPERLINK("http://fairwayfordfreeport.com","fairwayfordfreeport.com")</f>
        <v>fairwayfordfreeport.com</v>
      </c>
      <c r="C15375" t="s">
        <v>433</v>
      </c>
      <c r="F15375">
        <v>4.7952373665070298E-9</v>
      </c>
      <c r="G15375">
        <v>36274994</v>
      </c>
      <c r="H15375">
        <v>10870259</v>
      </c>
      <c r="I15375">
        <v>36500274</v>
      </c>
      <c r="J15375">
        <v>3</v>
      </c>
    </row>
    <row r="15376" spans="1:10" x14ac:dyDescent="0.25">
      <c r="A15376" t="s">
        <v>164</v>
      </c>
      <c r="B15376" s="1" t="str">
        <f>HYPERLINK("http://faithsford.com","faithsford.com")</f>
        <v>faithsford.com</v>
      </c>
      <c r="C15376" t="s">
        <v>433</v>
      </c>
      <c r="F15376">
        <v>8.4173488756885006E-9</v>
      </c>
      <c r="G15376">
        <v>9007646</v>
      </c>
      <c r="H15376">
        <v>12068687</v>
      </c>
      <c r="I15376">
        <v>26817415</v>
      </c>
      <c r="J15376">
        <v>3</v>
      </c>
    </row>
    <row r="15377" spans="1:10" x14ac:dyDescent="0.25">
      <c r="A15377" t="s">
        <v>164</v>
      </c>
      <c r="B15377" s="1" t="str">
        <f>HYPERLINK("http://fcebank.com","fcebank.com")</f>
        <v>fcebank.com</v>
      </c>
      <c r="C15377" t="s">
        <v>433</v>
      </c>
      <c r="F15377">
        <v>8.5616627832082196E-9</v>
      </c>
      <c r="G15377">
        <v>8726403</v>
      </c>
      <c r="H15377">
        <v>14072412</v>
      </c>
      <c r="I15377">
        <v>3096882</v>
      </c>
      <c r="J15377">
        <v>3</v>
      </c>
    </row>
    <row r="15378" spans="1:10" x14ac:dyDescent="0.25">
      <c r="A15378" t="s">
        <v>164</v>
      </c>
      <c r="B15378" s="1" t="str">
        <f>HYPERLINK("http://fcford.com","fcford.com")</f>
        <v>fcford.com</v>
      </c>
      <c r="C15378" t="s">
        <v>433</v>
      </c>
      <c r="F15378">
        <v>5.2312028801571803E-9</v>
      </c>
      <c r="G15378">
        <v>24554984</v>
      </c>
      <c r="H15378">
        <v>11871405</v>
      </c>
      <c r="I15378">
        <v>29661245</v>
      </c>
      <c r="J15378">
        <v>3</v>
      </c>
    </row>
    <row r="15379" spans="1:10" x14ac:dyDescent="0.25">
      <c r="A15379" t="s">
        <v>164</v>
      </c>
      <c r="B15379" s="1" t="str">
        <f>HYPERLINK("http://fdaftoolbox.com","fdaftoolbox.com")</f>
        <v>fdaftoolbox.com</v>
      </c>
      <c r="C15379" t="s">
        <v>433</v>
      </c>
      <c r="F15379">
        <v>4.4438097996722898E-9</v>
      </c>
      <c r="G15379">
        <v>79672875</v>
      </c>
      <c r="H15379">
        <v>9692421</v>
      </c>
      <c r="I15379">
        <v>63498985</v>
      </c>
      <c r="J15379">
        <v>2</v>
      </c>
    </row>
    <row r="15380" spans="1:10" x14ac:dyDescent="0.25">
      <c r="A15380" t="s">
        <v>164</v>
      </c>
      <c r="B15380" s="1" t="str">
        <f>HYPERLINK("http://fedukeford.com","fedukeford.com")</f>
        <v>fedukeford.com</v>
      </c>
      <c r="C15380" t="s">
        <v>433</v>
      </c>
      <c r="F15380">
        <v>5.9109634754728002E-9</v>
      </c>
      <c r="G15380">
        <v>17284263</v>
      </c>
      <c r="H15380">
        <v>12336029</v>
      </c>
      <c r="I15380">
        <v>20085295</v>
      </c>
      <c r="J15380">
        <v>3</v>
      </c>
    </row>
    <row r="15381" spans="1:10" x14ac:dyDescent="0.25">
      <c r="A15381" t="s">
        <v>164</v>
      </c>
      <c r="B15381" s="1" t="str">
        <f>HYPERLINK("http://feldmanforddetroit.com","feldmanforddetroit.com")</f>
        <v>feldmanforddetroit.com</v>
      </c>
      <c r="C15381" t="s">
        <v>433</v>
      </c>
      <c r="F15381">
        <v>6.12535468631397E-9</v>
      </c>
      <c r="G15381">
        <v>15950510</v>
      </c>
      <c r="H15381">
        <v>12434789</v>
      </c>
      <c r="I15381">
        <v>18216976</v>
      </c>
      <c r="J15381">
        <v>3</v>
      </c>
    </row>
    <row r="15382" spans="1:10" x14ac:dyDescent="0.25">
      <c r="A15382" t="s">
        <v>164</v>
      </c>
      <c r="B15382" s="1" t="str">
        <f>HYPERLINK("http://findlaylincolnofhenderson.com","findlaylincolnofhenderson.com")</f>
        <v>findlaylincolnofhenderson.com</v>
      </c>
      <c r="C15382" t="s">
        <v>433</v>
      </c>
      <c r="F15382">
        <v>1.4266099008749799E-8</v>
      </c>
      <c r="G15382">
        <v>4105330</v>
      </c>
      <c r="H15382">
        <v>12013831</v>
      </c>
      <c r="I15382">
        <v>27985202</v>
      </c>
      <c r="J15382">
        <v>4</v>
      </c>
    </row>
    <row r="15383" spans="1:10" x14ac:dyDescent="0.25">
      <c r="A15383" t="s">
        <v>164</v>
      </c>
      <c r="B15383" s="1" t="str">
        <f>HYPERLINK("http://fivestarflm.com","fivestarflm.com")</f>
        <v>fivestarflm.com</v>
      </c>
      <c r="C15383" t="s">
        <v>433</v>
      </c>
      <c r="F15383">
        <v>4.4571624209654298E-9</v>
      </c>
      <c r="G15383">
        <v>68687163</v>
      </c>
      <c r="H15383">
        <v>10938359</v>
      </c>
      <c r="I15383">
        <v>34871660</v>
      </c>
      <c r="J15383">
        <v>3</v>
      </c>
    </row>
    <row r="15384" spans="1:10" x14ac:dyDescent="0.25">
      <c r="A15384" t="s">
        <v>164</v>
      </c>
      <c r="B15384" s="1" t="str">
        <f>HYPERLINK("http://fivestarforddallas.com","fivestarforddallas.com")</f>
        <v>fivestarforddallas.com</v>
      </c>
      <c r="C15384" t="s">
        <v>433</v>
      </c>
      <c r="F15384">
        <v>1.01307512408541E-8</v>
      </c>
      <c r="G15384">
        <v>6616047</v>
      </c>
      <c r="H15384">
        <v>12417556</v>
      </c>
      <c r="I15384">
        <v>18501003</v>
      </c>
      <c r="J15384">
        <v>3</v>
      </c>
    </row>
    <row r="15385" spans="1:10" x14ac:dyDescent="0.25">
      <c r="A15385" t="s">
        <v>164</v>
      </c>
      <c r="B15385" s="1" t="str">
        <f>HYPERLINK("http://ford.com","ford.com")</f>
        <v>ford.com</v>
      </c>
      <c r="C15385" t="s">
        <v>433</v>
      </c>
      <c r="E15385">
        <v>1088</v>
      </c>
      <c r="F15385">
        <v>1.0203259871827799E-5</v>
      </c>
      <c r="G15385">
        <v>3303</v>
      </c>
      <c r="H15385">
        <v>18111292</v>
      </c>
      <c r="I15385">
        <v>3080</v>
      </c>
      <c r="J15385">
        <v>1</v>
      </c>
    </row>
    <row r="15386" spans="1:10" x14ac:dyDescent="0.25">
      <c r="A15386" t="s">
        <v>164</v>
      </c>
      <c r="B15386" s="1" t="str">
        <f>HYPERLINK("http://ford-dinan.com","ford-dinan.com")</f>
        <v>ford-dinan.com</v>
      </c>
      <c r="C15386" t="s">
        <v>433</v>
      </c>
      <c r="F15386">
        <v>4.5424874667428297E-9</v>
      </c>
      <c r="G15386">
        <v>53003284</v>
      </c>
      <c r="H15386">
        <v>10121401</v>
      </c>
      <c r="I15386">
        <v>59661618</v>
      </c>
      <c r="J15386">
        <v>3</v>
      </c>
    </row>
    <row r="15387" spans="1:10" x14ac:dyDescent="0.25">
      <c r="A15387" t="s">
        <v>164</v>
      </c>
      <c r="B15387" s="1" t="str">
        <f>HYPERLINK("http://ford-kar-istanbul.com","ford-kar-istanbul.com")</f>
        <v>ford-kar-istanbul.com</v>
      </c>
      <c r="C15387" t="s">
        <v>433</v>
      </c>
      <c r="F15387">
        <v>4.8979554895103698E-9</v>
      </c>
      <c r="G15387">
        <v>32525016</v>
      </c>
      <c r="H15387">
        <v>8302185</v>
      </c>
      <c r="I15387">
        <v>74322432</v>
      </c>
      <c r="J15387">
        <v>3</v>
      </c>
    </row>
    <row r="15388" spans="1:10" x14ac:dyDescent="0.25">
      <c r="A15388" t="s">
        <v>164</v>
      </c>
      <c r="B15388" s="1" t="str">
        <f>HYPERLINK("http://ford-kelesler-istanbul.com","ford-kelesler-istanbul.com")</f>
        <v>ford-kelesler-istanbul.com</v>
      </c>
      <c r="C15388" t="s">
        <v>433</v>
      </c>
      <c r="F15388">
        <v>4.44380395335525E-9</v>
      </c>
      <c r="G15388">
        <v>81675334</v>
      </c>
      <c r="H15388">
        <v>0</v>
      </c>
      <c r="I15388">
        <v>82108944</v>
      </c>
      <c r="J15388">
        <v>3</v>
      </c>
    </row>
    <row r="15389" spans="1:10" x14ac:dyDescent="0.25">
      <c r="A15389" t="s">
        <v>164</v>
      </c>
      <c r="B15389" s="1" t="str">
        <f>HYPERLINK("http://ford-kindig.com","ford-kindig.com")</f>
        <v>ford-kindig.com</v>
      </c>
      <c r="C15389" t="s">
        <v>433</v>
      </c>
      <c r="F15389">
        <v>4.6517317900855602E-9</v>
      </c>
      <c r="G15389">
        <v>44044373</v>
      </c>
      <c r="H15389">
        <v>12037579</v>
      </c>
      <c r="I15389">
        <v>27509949</v>
      </c>
      <c r="J15389">
        <v>3</v>
      </c>
    </row>
    <row r="15390" spans="1:10" x14ac:dyDescent="0.25">
      <c r="A15390" t="s">
        <v>164</v>
      </c>
      <c r="B15390" s="1" t="str">
        <f>HYPERLINK("http://ford-nantes.com","ford-nantes.com")</f>
        <v>ford-nantes.com</v>
      </c>
      <c r="C15390" t="s">
        <v>433</v>
      </c>
      <c r="F15390">
        <v>5.2129738859572203E-9</v>
      </c>
      <c r="G15390">
        <v>24869882</v>
      </c>
      <c r="H15390">
        <v>10365935</v>
      </c>
      <c r="I15390">
        <v>55000879</v>
      </c>
      <c r="J15390">
        <v>3</v>
      </c>
    </row>
    <row r="15391" spans="1:10" x14ac:dyDescent="0.25">
      <c r="A15391" t="s">
        <v>164</v>
      </c>
      <c r="B15391" s="1" t="str">
        <f>HYPERLINK("http://ford-reze.com","ford-reze.com")</f>
        <v>ford-reze.com</v>
      </c>
      <c r="C15391" t="s">
        <v>433</v>
      </c>
      <c r="F15391">
        <v>4.5424874667428297E-9</v>
      </c>
      <c r="G15391">
        <v>53003285</v>
      </c>
      <c r="H15391">
        <v>10121401</v>
      </c>
      <c r="I15391">
        <v>59661620</v>
      </c>
      <c r="J15391">
        <v>3</v>
      </c>
    </row>
    <row r="15392" spans="1:10" x14ac:dyDescent="0.25">
      <c r="A15392" t="s">
        <v>164</v>
      </c>
      <c r="B15392" s="1" t="str">
        <f>HYPERLINK("http://ford-sagmeister.com","ford-sagmeister.com")</f>
        <v>ford-sagmeister.com</v>
      </c>
      <c r="C15392" t="s">
        <v>433</v>
      </c>
      <c r="F15392">
        <v>6.7858784483402502E-9</v>
      </c>
      <c r="G15392">
        <v>13007862</v>
      </c>
      <c r="H15392">
        <v>10763016</v>
      </c>
      <c r="I15392">
        <v>39501575</v>
      </c>
      <c r="J15392">
        <v>3</v>
      </c>
    </row>
    <row r="15393" spans="1:10" x14ac:dyDescent="0.25">
      <c r="A15393" t="s">
        <v>164</v>
      </c>
      <c r="B15393" s="1" t="str">
        <f>HYPERLINK("http://ford-st-gregoire.com","ford-st-gregoire.com")</f>
        <v>ford-st-gregoire.com</v>
      </c>
      <c r="C15393" t="s">
        <v>433</v>
      </c>
      <c r="F15393">
        <v>4.5424874667428297E-9</v>
      </c>
      <c r="G15393">
        <v>53003286</v>
      </c>
      <c r="H15393">
        <v>10121401</v>
      </c>
      <c r="I15393">
        <v>59661621</v>
      </c>
      <c r="J15393">
        <v>3</v>
      </c>
    </row>
    <row r="15394" spans="1:10" x14ac:dyDescent="0.25">
      <c r="A15394" t="s">
        <v>164</v>
      </c>
      <c r="B15394" s="1" t="str">
        <f>HYPERLINK("http://ford-st-malo.com","ford-st-malo.com")</f>
        <v>ford-st-malo.com</v>
      </c>
      <c r="C15394" t="s">
        <v>433</v>
      </c>
      <c r="F15394">
        <v>4.5463454505151101E-9</v>
      </c>
      <c r="G15394">
        <v>52582057</v>
      </c>
      <c r="H15394">
        <v>10122409</v>
      </c>
      <c r="I15394">
        <v>59649475</v>
      </c>
      <c r="J15394">
        <v>3</v>
      </c>
    </row>
    <row r="15395" spans="1:10" x14ac:dyDescent="0.25">
      <c r="A15395" t="s">
        <v>164</v>
      </c>
      <c r="B15395" s="1" t="str">
        <f>HYPERLINK("http://fordaccess.com","fordaccess.com")</f>
        <v>fordaccess.com</v>
      </c>
      <c r="C15395" t="s">
        <v>433</v>
      </c>
      <c r="F15395">
        <v>7.2554888909727898E-8</v>
      </c>
      <c r="G15395">
        <v>581589</v>
      </c>
      <c r="H15395">
        <v>11173803</v>
      </c>
      <c r="I15395">
        <v>31492909</v>
      </c>
      <c r="J15395">
        <v>2</v>
      </c>
    </row>
    <row r="15396" spans="1:10" x14ac:dyDescent="0.25">
      <c r="A15396" t="s">
        <v>164</v>
      </c>
      <c r="B15396" s="1" t="str">
        <f>HYPERLINK("http://fordautoclave.com","fordautoclave.com")</f>
        <v>fordautoclave.com</v>
      </c>
      <c r="C15396" t="s">
        <v>433</v>
      </c>
      <c r="F15396">
        <v>4.6449795170659996E-9</v>
      </c>
      <c r="G15396">
        <v>44452380</v>
      </c>
      <c r="H15396">
        <v>8846741</v>
      </c>
      <c r="I15396">
        <v>69185637</v>
      </c>
      <c r="J15396">
        <v>3</v>
      </c>
    </row>
    <row r="15397" spans="1:10" x14ac:dyDescent="0.25">
      <c r="A15397" t="s">
        <v>164</v>
      </c>
      <c r="B15397" s="1" t="str">
        <f>HYPERLINK("http://fordbetterideas.com","fordbetterideas.com")</f>
        <v>fordbetterideas.com</v>
      </c>
      <c r="C15397" t="s">
        <v>433</v>
      </c>
      <c r="F15397">
        <v>5.6053916988883796E-9</v>
      </c>
      <c r="G15397">
        <v>19806242</v>
      </c>
      <c r="H15397">
        <v>12722622</v>
      </c>
      <c r="I15397">
        <v>15240395</v>
      </c>
      <c r="J15397">
        <v>3</v>
      </c>
    </row>
    <row r="15398" spans="1:10" x14ac:dyDescent="0.25">
      <c r="A15398" t="s">
        <v>164</v>
      </c>
      <c r="B15398" s="1" t="str">
        <f>HYPERLINK("http://fordegea.com","fordegea.com")</f>
        <v>fordegea.com</v>
      </c>
      <c r="C15398" t="s">
        <v>433</v>
      </c>
      <c r="F15398">
        <v>4.44380395335525E-9</v>
      </c>
      <c r="G15398">
        <v>81675429</v>
      </c>
      <c r="H15398">
        <v>0</v>
      </c>
      <c r="I15398">
        <v>82109053</v>
      </c>
      <c r="J15398">
        <v>3</v>
      </c>
    </row>
    <row r="15399" spans="1:10" x14ac:dyDescent="0.25">
      <c r="A15399" t="s">
        <v>164</v>
      </c>
      <c r="B15399" s="1" t="str">
        <f>HYPERLINK("http://fordgabriel.com","fordgabriel.com")</f>
        <v>fordgabriel.com</v>
      </c>
      <c r="C15399" t="s">
        <v>433</v>
      </c>
      <c r="F15399">
        <v>9.3074252929068404E-9</v>
      </c>
      <c r="G15399">
        <v>7562778</v>
      </c>
      <c r="H15399">
        <v>12563513</v>
      </c>
      <c r="I15399">
        <v>16681643</v>
      </c>
      <c r="J15399">
        <v>3</v>
      </c>
    </row>
    <row r="15400" spans="1:10" x14ac:dyDescent="0.25">
      <c r="A15400" t="s">
        <v>164</v>
      </c>
      <c r="B15400" s="1" t="str">
        <f>HYPERLINK("http://fordlincolngabriel.com","fordlincolngabriel.com")</f>
        <v>fordlincolngabriel.com</v>
      </c>
      <c r="C15400" t="s">
        <v>433</v>
      </c>
      <c r="F15400">
        <v>4.4438366345853602E-9</v>
      </c>
      <c r="G15400">
        <v>78869241</v>
      </c>
      <c r="H15400">
        <v>10405199</v>
      </c>
      <c r="I15400">
        <v>54142165</v>
      </c>
      <c r="J15400">
        <v>5</v>
      </c>
    </row>
    <row r="15401" spans="1:10" x14ac:dyDescent="0.25">
      <c r="A15401" t="s">
        <v>164</v>
      </c>
      <c r="B15401" s="1" t="str">
        <f>HYPERLINK("http://fordlindic.com","fordlindic.com")</f>
        <v>fordlindic.com</v>
      </c>
      <c r="C15401" t="s">
        <v>433</v>
      </c>
      <c r="J15401">
        <v>3</v>
      </c>
    </row>
    <row r="15402" spans="1:10" x14ac:dyDescent="0.25">
      <c r="A15402" t="s">
        <v>164</v>
      </c>
      <c r="B15402" s="1" t="str">
        <f>HYPERLINK("http://fordnashville.com","fordnashville.com")</f>
        <v>fordnashville.com</v>
      </c>
      <c r="C15402" t="s">
        <v>433</v>
      </c>
      <c r="F15402">
        <v>6.2978908438043299E-9</v>
      </c>
      <c r="G15402">
        <v>15042580</v>
      </c>
      <c r="H15402">
        <v>12383280</v>
      </c>
      <c r="I15402">
        <v>19150000</v>
      </c>
      <c r="J15402">
        <v>3</v>
      </c>
    </row>
    <row r="15403" spans="1:10" x14ac:dyDescent="0.25">
      <c r="A15403" t="s">
        <v>164</v>
      </c>
      <c r="B15403" s="1" t="str">
        <f>HYPERLINK("http://fordofkirkland.com","fordofkirkland.com")</f>
        <v>fordofkirkland.com</v>
      </c>
      <c r="C15403" t="s">
        <v>433</v>
      </c>
      <c r="F15403">
        <v>5.3929055579494203E-9</v>
      </c>
      <c r="G15403">
        <v>22208637</v>
      </c>
      <c r="H15403">
        <v>11068493</v>
      </c>
      <c r="I15403">
        <v>32596328</v>
      </c>
      <c r="J15403">
        <v>3</v>
      </c>
    </row>
    <row r="15404" spans="1:10" x14ac:dyDescent="0.25">
      <c r="A15404" t="s">
        <v>164</v>
      </c>
      <c r="B15404" s="1" t="str">
        <f>HYPERLINK("http://fordoflondonderry.com","fordoflondonderry.com")</f>
        <v>fordoflondonderry.com</v>
      </c>
      <c r="C15404" t="s">
        <v>433</v>
      </c>
      <c r="F15404">
        <v>5.7072205404017298E-9</v>
      </c>
      <c r="G15404">
        <v>18863566</v>
      </c>
      <c r="H15404">
        <v>12900499</v>
      </c>
      <c r="I15404">
        <v>13877215</v>
      </c>
      <c r="J15404">
        <v>3</v>
      </c>
    </row>
    <row r="15405" spans="1:10" x14ac:dyDescent="0.25">
      <c r="A15405" t="s">
        <v>164</v>
      </c>
      <c r="B15405" s="1" t="str">
        <f>HYPERLINK("http://fordpro.com","fordpro.com")</f>
        <v>fordpro.com</v>
      </c>
      <c r="C15405" t="s">
        <v>433</v>
      </c>
      <c r="E15405">
        <v>322293</v>
      </c>
      <c r="F15405">
        <v>4.24904582043383E-8</v>
      </c>
      <c r="G15405">
        <v>1140562</v>
      </c>
      <c r="H15405">
        <v>13219850</v>
      </c>
      <c r="I15405">
        <v>11337293</v>
      </c>
      <c r="J15405">
        <v>5</v>
      </c>
    </row>
    <row r="15406" spans="1:10" x14ac:dyDescent="0.25">
      <c r="A15406" t="s">
        <v>164</v>
      </c>
      <c r="B15406" s="1" t="str">
        <f>HYPERLINK("http://fordretail.com","fordretail.com")</f>
        <v>fordretail.com</v>
      </c>
      <c r="C15406" t="s">
        <v>433</v>
      </c>
      <c r="F15406">
        <v>5.0467608438304497E-9</v>
      </c>
      <c r="G15406">
        <v>28295405</v>
      </c>
      <c r="H15406">
        <v>10617059</v>
      </c>
      <c r="I15406">
        <v>44370431</v>
      </c>
      <c r="J15406">
        <v>5</v>
      </c>
    </row>
    <row r="15407" spans="1:10" x14ac:dyDescent="0.25">
      <c r="A15407" t="s">
        <v>164</v>
      </c>
      <c r="B15407" s="1" t="str">
        <f>HYPERLINK("http://fraticelligirottipierella.com","fraticelligirottipierella.com")</f>
        <v>fraticelligirottipierella.com</v>
      </c>
      <c r="C15407" t="s">
        <v>433</v>
      </c>
      <c r="J15407">
        <v>3</v>
      </c>
    </row>
    <row r="15408" spans="1:10" x14ac:dyDescent="0.25">
      <c r="A15408" t="s">
        <v>164</v>
      </c>
      <c r="B15408" s="1" t="str">
        <f>HYPERLINK("http://fredbeansfordboyertown.com","fredbeansfordboyertown.com")</f>
        <v>fredbeansfordboyertown.com</v>
      </c>
      <c r="C15408" t="s">
        <v>433</v>
      </c>
      <c r="F15408">
        <v>4.5925521254263397E-9</v>
      </c>
      <c r="G15408">
        <v>48200900</v>
      </c>
      <c r="H15408">
        <v>10815955</v>
      </c>
      <c r="I15408">
        <v>37717526</v>
      </c>
      <c r="J15408">
        <v>3</v>
      </c>
    </row>
    <row r="15409" spans="1:10" x14ac:dyDescent="0.25">
      <c r="A15409" t="s">
        <v>164</v>
      </c>
      <c r="B15409" s="1" t="str">
        <f>HYPERLINK("http://gallingerford.com","gallingerford.com")</f>
        <v>gallingerford.com</v>
      </c>
      <c r="C15409" t="s">
        <v>433</v>
      </c>
      <c r="F15409">
        <v>4.5132352209918101E-9</v>
      </c>
      <c r="G15409">
        <v>57078574</v>
      </c>
      <c r="H15409">
        <v>9550602</v>
      </c>
      <c r="I15409">
        <v>64980532</v>
      </c>
      <c r="J15409">
        <v>3</v>
      </c>
    </row>
    <row r="15410" spans="1:10" x14ac:dyDescent="0.25">
      <c r="A15410" t="s">
        <v>164</v>
      </c>
      <c r="B15410" s="1" t="str">
        <f>HYPERLINK("http://galpinford.com","galpinford.com")</f>
        <v>galpinford.com</v>
      </c>
      <c r="C15410" t="s">
        <v>433</v>
      </c>
      <c r="F15410">
        <v>2.2408124130943E-8</v>
      </c>
      <c r="G15410">
        <v>2338818</v>
      </c>
      <c r="H15410">
        <v>13955627</v>
      </c>
      <c r="I15410">
        <v>4137324</v>
      </c>
      <c r="J15410">
        <v>3</v>
      </c>
    </row>
    <row r="15411" spans="1:10" x14ac:dyDescent="0.25">
      <c r="A15411" t="s">
        <v>164</v>
      </c>
      <c r="B15411" s="1" t="str">
        <f>HYPERLINK("http://galpinlincoln.com","galpinlincoln.com")</f>
        <v>galpinlincoln.com</v>
      </c>
      <c r="C15411" t="s">
        <v>433</v>
      </c>
      <c r="F15411">
        <v>1.08496882070371E-8</v>
      </c>
      <c r="G15411">
        <v>5980977</v>
      </c>
      <c r="H15411">
        <v>12478695</v>
      </c>
      <c r="I15411">
        <v>17610914</v>
      </c>
      <c r="J15411">
        <v>4</v>
      </c>
    </row>
    <row r="15412" spans="1:10" x14ac:dyDescent="0.25">
      <c r="A15412" t="s">
        <v>164</v>
      </c>
      <c r="B15412" s="1" t="str">
        <f>HYPERLINK("http://garagedeslauzieres-fordteyran.com","garagedeslauzieres-fordteyran.com")</f>
        <v>garagedeslauzieres-fordteyran.com</v>
      </c>
      <c r="C15412" t="s">
        <v>433</v>
      </c>
      <c r="F15412">
        <v>4.4476619371275403E-9</v>
      </c>
      <c r="G15412">
        <v>73361120</v>
      </c>
      <c r="H15412">
        <v>9511676</v>
      </c>
      <c r="I15412">
        <v>65552005</v>
      </c>
      <c r="J15412">
        <v>3</v>
      </c>
    </row>
    <row r="15413" spans="1:10" x14ac:dyDescent="0.25">
      <c r="A15413" t="s">
        <v>164</v>
      </c>
      <c r="B15413" s="1" t="str">
        <f>HYPERLINK("http://genemesserfordamarillo.com","genemesserfordamarillo.com")</f>
        <v>genemesserfordamarillo.com</v>
      </c>
      <c r="C15413" t="s">
        <v>433</v>
      </c>
      <c r="F15413">
        <v>4.7239451747061202E-9</v>
      </c>
      <c r="G15413">
        <v>39813485</v>
      </c>
      <c r="H15413">
        <v>13933060</v>
      </c>
      <c r="I15413">
        <v>5668840</v>
      </c>
      <c r="J15413">
        <v>3</v>
      </c>
    </row>
    <row r="15414" spans="1:10" x14ac:dyDescent="0.25">
      <c r="A15414" t="s">
        <v>164</v>
      </c>
      <c r="B15414" s="1" t="str">
        <f>HYPERLINK("http://georgecolemanford.com","georgecolemanford.com")</f>
        <v>georgecolemanford.com</v>
      </c>
      <c r="C15414" t="s">
        <v>433</v>
      </c>
      <c r="F15414">
        <v>5.7194979022432697E-9</v>
      </c>
      <c r="G15414">
        <v>18754184</v>
      </c>
      <c r="H15414">
        <v>12651379</v>
      </c>
      <c r="I15414">
        <v>15789204</v>
      </c>
      <c r="J15414">
        <v>3</v>
      </c>
    </row>
    <row r="15415" spans="1:10" x14ac:dyDescent="0.25">
      <c r="A15415" t="s">
        <v>164</v>
      </c>
      <c r="B15415" s="1" t="str">
        <f>HYPERLINK("http://golfmillford.com","golfmillford.com")</f>
        <v>golfmillford.com</v>
      </c>
      <c r="C15415" t="s">
        <v>433</v>
      </c>
      <c r="F15415">
        <v>1.19040421783548E-8</v>
      </c>
      <c r="G15415">
        <v>5235039</v>
      </c>
      <c r="H15415">
        <v>12988889</v>
      </c>
      <c r="I15415">
        <v>12868781</v>
      </c>
      <c r="J15415">
        <v>3</v>
      </c>
    </row>
    <row r="15416" spans="1:10" x14ac:dyDescent="0.25">
      <c r="A15416" t="s">
        <v>164</v>
      </c>
      <c r="B15416" s="1" t="str">
        <f>HYPERLINK("http://gornoford.com","gornoford.com")</f>
        <v>gornoford.com</v>
      </c>
      <c r="C15416" t="s">
        <v>433</v>
      </c>
      <c r="F15416">
        <v>1.21593025404546E-8</v>
      </c>
      <c r="G15416">
        <v>5074166</v>
      </c>
      <c r="H15416">
        <v>13767173</v>
      </c>
      <c r="I15416">
        <v>6949914</v>
      </c>
      <c r="J15416">
        <v>3</v>
      </c>
    </row>
    <row r="15417" spans="1:10" x14ac:dyDescent="0.25">
      <c r="A15417" t="s">
        <v>164</v>
      </c>
      <c r="B15417" s="1" t="str">
        <f>HYPERLINK("http://groupe-palau.com","groupe-palau.com")</f>
        <v>groupe-palau.com</v>
      </c>
      <c r="C15417" t="s">
        <v>433</v>
      </c>
      <c r="J15417">
        <v>3</v>
      </c>
    </row>
    <row r="15418" spans="1:10" x14ac:dyDescent="0.25">
      <c r="A15418" t="s">
        <v>164</v>
      </c>
      <c r="B15418" s="1" t="str">
        <f>HYPERLINK("http://gstonemotor.com","gstonemotor.com")</f>
        <v>gstonemotor.com</v>
      </c>
      <c r="C15418" t="s">
        <v>433</v>
      </c>
      <c r="J15418">
        <v>3</v>
      </c>
    </row>
    <row r="15419" spans="1:10" x14ac:dyDescent="0.25">
      <c r="A15419" t="s">
        <v>164</v>
      </c>
      <c r="B15419" s="1" t="str">
        <f>HYPERLINK("http://hatheway.com","hatheway.com")</f>
        <v>hatheway.com</v>
      </c>
      <c r="C15419" t="s">
        <v>433</v>
      </c>
      <c r="F15419">
        <v>1.00215893889274E-8</v>
      </c>
      <c r="G15419">
        <v>6734368</v>
      </c>
      <c r="H15419">
        <v>12563002</v>
      </c>
      <c r="I15419">
        <v>16685869</v>
      </c>
      <c r="J15419">
        <v>3</v>
      </c>
    </row>
    <row r="15420" spans="1:10" x14ac:dyDescent="0.25">
      <c r="A15420" t="s">
        <v>164</v>
      </c>
      <c r="B15420" s="1" t="str">
        <f>HYPERLINK("http://henrydayford.com","henrydayford.com")</f>
        <v>henrydayford.com</v>
      </c>
      <c r="C15420" t="s">
        <v>433</v>
      </c>
      <c r="F15420">
        <v>5.9104704446803997E-9</v>
      </c>
      <c r="G15420">
        <v>17287661</v>
      </c>
      <c r="H15420">
        <v>13785603</v>
      </c>
      <c r="I15420">
        <v>6399781</v>
      </c>
      <c r="J15420">
        <v>3</v>
      </c>
    </row>
    <row r="15421" spans="1:10" x14ac:dyDescent="0.25">
      <c r="A15421" t="s">
        <v>164</v>
      </c>
      <c r="B15421" s="1" t="str">
        <f>HYPERLINK("http://hertrichfordeaston.com","hertrichfordeaston.com")</f>
        <v>hertrichfordeaston.com</v>
      </c>
      <c r="C15421" t="s">
        <v>433</v>
      </c>
      <c r="F15421">
        <v>9.6032260230248893E-9</v>
      </c>
      <c r="G15421">
        <v>7196397</v>
      </c>
      <c r="H15421">
        <v>11989986</v>
      </c>
      <c r="I15421">
        <v>28382942</v>
      </c>
      <c r="J15421">
        <v>3</v>
      </c>
    </row>
    <row r="15422" spans="1:10" x14ac:dyDescent="0.25">
      <c r="A15422" t="s">
        <v>164</v>
      </c>
      <c r="B15422" s="1" t="str">
        <f>HYPERLINK("http://highlandford.com","highlandford.com")</f>
        <v>highlandford.com</v>
      </c>
      <c r="C15422" t="s">
        <v>433</v>
      </c>
      <c r="F15422">
        <v>9.9082370886246697E-9</v>
      </c>
      <c r="G15422">
        <v>6851032</v>
      </c>
      <c r="H15422">
        <v>12752105</v>
      </c>
      <c r="I15422">
        <v>15011494</v>
      </c>
      <c r="J15422">
        <v>3</v>
      </c>
    </row>
    <row r="15423" spans="1:10" x14ac:dyDescent="0.25">
      <c r="A15423" t="s">
        <v>164</v>
      </c>
      <c r="B15423" s="1" t="str">
        <f>HYPERLINK("http://hightford.com","hightford.com")</f>
        <v>hightford.com</v>
      </c>
      <c r="C15423" t="s">
        <v>433</v>
      </c>
      <c r="F15423">
        <v>5.0628192297047604E-9</v>
      </c>
      <c r="G15423">
        <v>27943323</v>
      </c>
      <c r="H15423">
        <v>11936969</v>
      </c>
      <c r="I15423">
        <v>29229961</v>
      </c>
      <c r="J15423">
        <v>3</v>
      </c>
    </row>
    <row r="15424" spans="1:10" x14ac:dyDescent="0.25">
      <c r="A15424" t="s">
        <v>164</v>
      </c>
      <c r="B15424" s="1" t="str">
        <f>HYPERLINK("http://holmestuttle.com","holmestuttle.com")</f>
        <v>holmestuttle.com</v>
      </c>
      <c r="C15424" t="s">
        <v>433</v>
      </c>
      <c r="F15424">
        <v>1.15668595370072E-8</v>
      </c>
      <c r="G15424">
        <v>5456092</v>
      </c>
      <c r="H15424">
        <v>13089883</v>
      </c>
      <c r="I15424">
        <v>12146071</v>
      </c>
      <c r="J15424">
        <v>3</v>
      </c>
    </row>
    <row r="15425" spans="1:10" x14ac:dyDescent="0.25">
      <c r="A15425" t="s">
        <v>164</v>
      </c>
      <c r="B15425" s="1" t="str">
        <f>HYPERLINK("http://honolulu.com","honolulu.com")</f>
        <v>honolulu.com</v>
      </c>
      <c r="C15425" t="s">
        <v>433</v>
      </c>
      <c r="F15425">
        <v>6.0050325073637002E-9</v>
      </c>
      <c r="G15425">
        <v>16652595</v>
      </c>
      <c r="H15425">
        <v>13013459</v>
      </c>
      <c r="I15425">
        <v>12738595</v>
      </c>
      <c r="J15425">
        <v>6</v>
      </c>
    </row>
    <row r="15426" spans="1:10" x14ac:dyDescent="0.25">
      <c r="A15426" t="s">
        <v>164</v>
      </c>
      <c r="B15426" s="1" t="str">
        <f>HYPERLINK("http://honoluluford.com","honoluluford.com")</f>
        <v>honoluluford.com</v>
      </c>
      <c r="C15426" t="s">
        <v>433</v>
      </c>
      <c r="F15426">
        <v>6.1846668429741803E-9</v>
      </c>
      <c r="G15426">
        <v>15615881</v>
      </c>
      <c r="H15426">
        <v>12564479</v>
      </c>
      <c r="I15426">
        <v>16674820</v>
      </c>
      <c r="J15426">
        <v>3</v>
      </c>
    </row>
    <row r="15427" spans="1:10" x14ac:dyDescent="0.25">
      <c r="A15427" t="s">
        <v>164</v>
      </c>
      <c r="B15427" s="1" t="str">
        <f>HYPERLINK("http://horizonford.com","horizonford.com")</f>
        <v>horizonford.com</v>
      </c>
      <c r="C15427" t="s">
        <v>433</v>
      </c>
      <c r="J15427">
        <v>3</v>
      </c>
    </row>
    <row r="15428" spans="1:10" x14ac:dyDescent="0.25">
      <c r="A15428" t="s">
        <v>164</v>
      </c>
      <c r="B15428" s="1" t="str">
        <f>HYPERLINK("http://italeaf.com","italeaf.com")</f>
        <v>italeaf.com</v>
      </c>
      <c r="C15428" t="s">
        <v>433</v>
      </c>
      <c r="F15428">
        <v>1.7086046840602299E-8</v>
      </c>
      <c r="G15428">
        <v>3263789</v>
      </c>
      <c r="H15428">
        <v>13455172</v>
      </c>
      <c r="I15428">
        <v>10187505</v>
      </c>
      <c r="J15428">
        <v>4</v>
      </c>
    </row>
    <row r="15429" spans="1:10" x14ac:dyDescent="0.25">
      <c r="A15429" t="s">
        <v>164</v>
      </c>
      <c r="B15429" s="1" t="str">
        <f>HYPERLINK("http://jacobsonford.com","jacobsonford.com")</f>
        <v>jacobsonford.com</v>
      </c>
      <c r="C15429" t="s">
        <v>433</v>
      </c>
      <c r="F15429">
        <v>9.4511614209291997E-9</v>
      </c>
      <c r="G15429">
        <v>7381324</v>
      </c>
      <c r="H15429">
        <v>12560022</v>
      </c>
      <c r="I15429">
        <v>16714689</v>
      </c>
      <c r="J15429">
        <v>3</v>
      </c>
    </row>
    <row r="15430" spans="1:10" x14ac:dyDescent="0.25">
      <c r="A15430" t="s">
        <v>164</v>
      </c>
      <c r="B15430" s="1" t="str">
        <f>HYPERLINK("http://jclewisfordpooler.com","jclewisfordpooler.com")</f>
        <v>jclewisfordpooler.com</v>
      </c>
      <c r="C15430" t="s">
        <v>433</v>
      </c>
      <c r="F15430">
        <v>5.0577564768365298E-9</v>
      </c>
      <c r="G15430">
        <v>28052943</v>
      </c>
      <c r="H15430">
        <v>9483091</v>
      </c>
      <c r="I15430">
        <v>65977007</v>
      </c>
      <c r="J15430">
        <v>3</v>
      </c>
    </row>
    <row r="15431" spans="1:10" x14ac:dyDescent="0.25">
      <c r="A15431" t="s">
        <v>164</v>
      </c>
      <c r="B15431" s="1" t="str">
        <f>HYPERLINK("http://jeffsmithford.com","jeffsmithford.com")</f>
        <v>jeffsmithford.com</v>
      </c>
      <c r="C15431" t="s">
        <v>433</v>
      </c>
      <c r="F15431">
        <v>6.0046267224907703E-9</v>
      </c>
      <c r="G15431">
        <v>16655043</v>
      </c>
      <c r="H15431">
        <v>12851464</v>
      </c>
      <c r="I15431">
        <v>14260114</v>
      </c>
      <c r="J15431">
        <v>3</v>
      </c>
    </row>
    <row r="15432" spans="1:10" x14ac:dyDescent="0.25">
      <c r="A15432" t="s">
        <v>164</v>
      </c>
      <c r="B15432" s="1" t="str">
        <f>HYPERLINK("http://jenkinsford.com","jenkinsford.com")</f>
        <v>jenkinsford.com</v>
      </c>
      <c r="C15432" t="s">
        <v>433</v>
      </c>
      <c r="F15432">
        <v>5.6797094806637096E-9</v>
      </c>
      <c r="G15432">
        <v>19132463</v>
      </c>
      <c r="H15432">
        <v>12402613</v>
      </c>
      <c r="I15432">
        <v>18739142</v>
      </c>
      <c r="J15432">
        <v>3</v>
      </c>
    </row>
    <row r="15433" spans="1:10" x14ac:dyDescent="0.25">
      <c r="A15433" t="s">
        <v>164</v>
      </c>
      <c r="B15433" s="1" t="str">
        <f>HYPERLINK("http://jgeorgeford.com","jgeorgeford.com")</f>
        <v>jgeorgeford.com</v>
      </c>
      <c r="C15433" t="s">
        <v>433</v>
      </c>
      <c r="F15433">
        <v>4.5862019460156302E-9</v>
      </c>
      <c r="G15433">
        <v>48735385</v>
      </c>
      <c r="H15433">
        <v>9694906</v>
      </c>
      <c r="I15433">
        <v>63417164</v>
      </c>
      <c r="J15433">
        <v>3</v>
      </c>
    </row>
    <row r="15434" spans="1:10" x14ac:dyDescent="0.25">
      <c r="A15434" t="s">
        <v>164</v>
      </c>
      <c r="B15434" s="1" t="str">
        <f>HYPERLINK("http://kandsford.com","kandsford.com")</f>
        <v>kandsford.com</v>
      </c>
      <c r="C15434" t="s">
        <v>433</v>
      </c>
      <c r="F15434">
        <v>5.1318885685165299E-9</v>
      </c>
      <c r="G15434">
        <v>26420287</v>
      </c>
      <c r="H15434">
        <v>12090626</v>
      </c>
      <c r="I15434">
        <v>26233275</v>
      </c>
      <c r="J15434">
        <v>3</v>
      </c>
    </row>
    <row r="15435" spans="1:10" x14ac:dyDescent="0.25">
      <c r="A15435" t="s">
        <v>164</v>
      </c>
      <c r="B15435" s="1" t="str">
        <f>HYPERLINK("http://keithhawthorneford.com","keithhawthorneford.com")</f>
        <v>keithhawthorneford.com</v>
      </c>
      <c r="C15435" t="s">
        <v>433</v>
      </c>
      <c r="F15435">
        <v>4.51768846232204E-9</v>
      </c>
      <c r="G15435">
        <v>56510243</v>
      </c>
      <c r="H15435">
        <v>10669844</v>
      </c>
      <c r="I15435">
        <v>42977798</v>
      </c>
      <c r="J15435">
        <v>6</v>
      </c>
    </row>
    <row r="15436" spans="1:10" x14ac:dyDescent="0.25">
      <c r="A15436" t="s">
        <v>164</v>
      </c>
      <c r="B15436" s="1" t="str">
        <f>HYPERLINK("http://keithhawthornefordofbelmont.com","keithhawthornefordofbelmont.com")</f>
        <v>keithhawthornefordofbelmont.com</v>
      </c>
      <c r="C15436" t="s">
        <v>433</v>
      </c>
      <c r="F15436">
        <v>6.1814709311589801E-9</v>
      </c>
      <c r="G15436">
        <v>15632038</v>
      </c>
      <c r="H15436">
        <v>12363774</v>
      </c>
      <c r="I15436">
        <v>19519639</v>
      </c>
      <c r="J15436">
        <v>3</v>
      </c>
    </row>
    <row r="15437" spans="1:10" x14ac:dyDescent="0.25">
      <c r="A15437" t="s">
        <v>164</v>
      </c>
      <c r="B15437" s="1" t="str">
        <f>HYPERLINK("http://kengarfffordfortcollins.com","kengarfffordfortcollins.com")</f>
        <v>kengarfffordfortcollins.com</v>
      </c>
      <c r="C15437" t="s">
        <v>433</v>
      </c>
      <c r="F15437">
        <v>1.43890183909994E-8</v>
      </c>
      <c r="G15437">
        <v>4060899</v>
      </c>
      <c r="H15437">
        <v>12404859</v>
      </c>
      <c r="I15437">
        <v>18691226</v>
      </c>
      <c r="J15437">
        <v>3</v>
      </c>
    </row>
    <row r="15438" spans="1:10" x14ac:dyDescent="0.25">
      <c r="A15438" t="s">
        <v>164</v>
      </c>
      <c r="B15438" s="1" t="str">
        <f>HYPERLINK("http://kengrodyfordinlandempire.com","kengrodyfordinlandempire.com")</f>
        <v>kengrodyfordinlandempire.com</v>
      </c>
      <c r="C15438" t="s">
        <v>433</v>
      </c>
      <c r="F15438">
        <v>1.27021351541943E-8</v>
      </c>
      <c r="G15438">
        <v>4778588</v>
      </c>
      <c r="H15438">
        <v>11984267</v>
      </c>
      <c r="I15438">
        <v>28447439</v>
      </c>
      <c r="J15438">
        <v>3</v>
      </c>
    </row>
    <row r="15439" spans="1:10" x14ac:dyDescent="0.25">
      <c r="A15439" t="s">
        <v>164</v>
      </c>
      <c r="B15439" s="1" t="str">
        <f>HYPERLINK("http://kingsquicklane.com","kingsquicklane.com")</f>
        <v>kingsquicklane.com</v>
      </c>
      <c r="C15439" t="s">
        <v>433</v>
      </c>
      <c r="F15439">
        <v>4.5034399869628298E-9</v>
      </c>
      <c r="G15439">
        <v>58437252</v>
      </c>
      <c r="H15439">
        <v>10703830</v>
      </c>
      <c r="I15439">
        <v>42254703</v>
      </c>
      <c r="J15439">
        <v>5</v>
      </c>
    </row>
    <row r="15440" spans="1:10" x14ac:dyDescent="0.25">
      <c r="A15440" t="s">
        <v>164</v>
      </c>
      <c r="B15440" s="1" t="str">
        <f>HYPERLINK("http://koonswoodbridgeford.com","koonswoodbridgeford.com")</f>
        <v>koonswoodbridgeford.com</v>
      </c>
      <c r="C15440" t="s">
        <v>433</v>
      </c>
      <c r="F15440">
        <v>5.4756538290213102E-9</v>
      </c>
      <c r="G15440">
        <v>21180575</v>
      </c>
      <c r="H15440">
        <v>12405039</v>
      </c>
      <c r="I15440">
        <v>18688472</v>
      </c>
      <c r="J15440">
        <v>3</v>
      </c>
    </row>
    <row r="15441" spans="1:10" x14ac:dyDescent="0.25">
      <c r="A15441" t="s">
        <v>164</v>
      </c>
      <c r="B15441" s="1" t="str">
        <f>HYPERLINK("http://landersfordmemphis.com","landersfordmemphis.com")</f>
        <v>landersfordmemphis.com</v>
      </c>
      <c r="C15441" t="s">
        <v>433</v>
      </c>
      <c r="F15441">
        <v>7.71387791820779E-9</v>
      </c>
      <c r="G15441">
        <v>10542470</v>
      </c>
      <c r="H15441">
        <v>12205675</v>
      </c>
      <c r="I15441">
        <v>23174168</v>
      </c>
      <c r="J15441">
        <v>3</v>
      </c>
    </row>
    <row r="15442" spans="1:10" x14ac:dyDescent="0.25">
      <c r="A15442" t="s">
        <v>164</v>
      </c>
      <c r="B15442" s="1" t="str">
        <f>HYPERLINK("http://laperadeford.com","laperadeford.com")</f>
        <v>laperadeford.com</v>
      </c>
      <c r="C15442" t="s">
        <v>433</v>
      </c>
      <c r="F15442">
        <v>1.43898448136868E-8</v>
      </c>
      <c r="G15442">
        <v>4060579</v>
      </c>
      <c r="H15442">
        <v>12560770</v>
      </c>
      <c r="I15442">
        <v>16706305</v>
      </c>
      <c r="J15442">
        <v>3</v>
      </c>
    </row>
    <row r="15443" spans="1:10" x14ac:dyDescent="0.25">
      <c r="A15443" t="s">
        <v>164</v>
      </c>
      <c r="B15443" s="1" t="str">
        <f>HYPERLINK("http://laracademyus.com","laracademyus.com")</f>
        <v>laracademyus.com</v>
      </c>
      <c r="C15443" t="s">
        <v>433</v>
      </c>
      <c r="J15443">
        <v>2</v>
      </c>
    </row>
    <row r="15444" spans="1:10" x14ac:dyDescent="0.25">
      <c r="A15444" t="s">
        <v>164</v>
      </c>
      <c r="B15444" s="1" t="str">
        <f>HYPERLINK("http://lebanonfordnh.com","lebanonfordnh.com")</f>
        <v>lebanonfordnh.com</v>
      </c>
      <c r="C15444" t="s">
        <v>433</v>
      </c>
      <c r="F15444">
        <v>5.4662378146698997E-9</v>
      </c>
      <c r="G15444">
        <v>21287481</v>
      </c>
      <c r="H15444">
        <v>12624988</v>
      </c>
      <c r="I15444">
        <v>16036698</v>
      </c>
      <c r="J15444">
        <v>3</v>
      </c>
    </row>
    <row r="15445" spans="1:10" x14ac:dyDescent="0.25">
      <c r="A15445" t="s">
        <v>164</v>
      </c>
      <c r="B15445" s="1" t="str">
        <f>HYPERLINK("http://lehightonford.com","lehightonford.com")</f>
        <v>lehightonford.com</v>
      </c>
      <c r="C15445" t="s">
        <v>433</v>
      </c>
      <c r="F15445">
        <v>5.9079898971861102E-9</v>
      </c>
      <c r="G15445">
        <v>17304448</v>
      </c>
      <c r="H15445">
        <v>12355863</v>
      </c>
      <c r="I15445">
        <v>19666155</v>
      </c>
      <c r="J15445">
        <v>3</v>
      </c>
    </row>
    <row r="15446" spans="1:10" x14ac:dyDescent="0.25">
      <c r="A15446" t="s">
        <v>164</v>
      </c>
      <c r="B15446" s="1" t="str">
        <f>HYPERLINK("http://leveilleford.com","leveilleford.com")</f>
        <v>leveilleford.com</v>
      </c>
      <c r="C15446" t="s">
        <v>433</v>
      </c>
      <c r="F15446">
        <v>9.4130252317557493E-9</v>
      </c>
      <c r="G15446">
        <v>7428239</v>
      </c>
      <c r="H15446">
        <v>12562859</v>
      </c>
      <c r="I15446">
        <v>16686839</v>
      </c>
      <c r="J15446">
        <v>3</v>
      </c>
    </row>
    <row r="15447" spans="1:10" x14ac:dyDescent="0.25">
      <c r="A15447" t="s">
        <v>164</v>
      </c>
      <c r="B15447" s="1" t="str">
        <f>HYPERLINK("http://lhmlakewoodford.com","lhmlakewoodford.com")</f>
        <v>lhmlakewoodford.com</v>
      </c>
      <c r="C15447" t="s">
        <v>433</v>
      </c>
      <c r="F15447">
        <v>1.43408859208576E-8</v>
      </c>
      <c r="G15447">
        <v>4077608</v>
      </c>
      <c r="H15447">
        <v>12881078</v>
      </c>
      <c r="I15447">
        <v>13994790</v>
      </c>
      <c r="J15447">
        <v>3</v>
      </c>
    </row>
    <row r="15448" spans="1:10" x14ac:dyDescent="0.25">
      <c r="A15448" t="s">
        <v>164</v>
      </c>
      <c r="B15448" s="1" t="str">
        <f>HYPERLINK("http://lincoln.com","lincoln.com")</f>
        <v>lincoln.com</v>
      </c>
      <c r="C15448" t="s">
        <v>433</v>
      </c>
      <c r="E15448">
        <v>38450</v>
      </c>
      <c r="F15448">
        <v>9.1766948581303905E-7</v>
      </c>
      <c r="G15448">
        <v>42158</v>
      </c>
      <c r="H15448">
        <v>15577096</v>
      </c>
      <c r="I15448">
        <v>373060</v>
      </c>
      <c r="J15448">
        <v>2</v>
      </c>
    </row>
    <row r="15449" spans="1:10" x14ac:dyDescent="0.25">
      <c r="A15449" t="s">
        <v>164</v>
      </c>
      <c r="B15449" s="1" t="str">
        <f>HYPERLINK("http://lincolnarmssuites.com","lincolnarmssuites.com")</f>
        <v>lincolnarmssuites.com</v>
      </c>
      <c r="C15449" t="s">
        <v>433</v>
      </c>
      <c r="F15449">
        <v>5.6321594347031697E-9</v>
      </c>
      <c r="G15449">
        <v>19555734</v>
      </c>
      <c r="H15449">
        <v>11410913</v>
      </c>
      <c r="I15449">
        <v>30194977</v>
      </c>
      <c r="J15449">
        <v>4</v>
      </c>
    </row>
    <row r="15450" spans="1:10" x14ac:dyDescent="0.25">
      <c r="A15450" t="s">
        <v>164</v>
      </c>
      <c r="B15450" s="1" t="str">
        <f>HYPERLINK("http://lincolnautomallny.com","lincolnautomallny.com")</f>
        <v>lincolnautomallny.com</v>
      </c>
      <c r="C15450" t="s">
        <v>433</v>
      </c>
      <c r="J15450">
        <v>4</v>
      </c>
    </row>
    <row r="15451" spans="1:10" x14ac:dyDescent="0.25">
      <c r="A15451" t="s">
        <v>164</v>
      </c>
      <c r="B15451" s="1" t="str">
        <f>HYPERLINK("http://lincolncanada.com","lincolncanada.com")</f>
        <v>lincolncanada.com</v>
      </c>
      <c r="C15451" t="s">
        <v>433</v>
      </c>
      <c r="E15451">
        <v>396225</v>
      </c>
      <c r="F15451">
        <v>8.81823542593898E-8</v>
      </c>
      <c r="G15451">
        <v>464675</v>
      </c>
      <c r="H15451">
        <v>14140499</v>
      </c>
      <c r="I15451">
        <v>1933294</v>
      </c>
      <c r="J15451">
        <v>2</v>
      </c>
    </row>
    <row r="15452" spans="1:10" x14ac:dyDescent="0.25">
      <c r="A15452" t="s">
        <v>164</v>
      </c>
      <c r="B15452" s="1" t="str">
        <f>HYPERLINK("http://lincolnexperiencecenter.com","lincolnexperiencecenter.com")</f>
        <v>lincolnexperiencecenter.com</v>
      </c>
      <c r="C15452" t="s">
        <v>433</v>
      </c>
      <c r="F15452">
        <v>2.13471896337349E-8</v>
      </c>
      <c r="G15452">
        <v>2468315</v>
      </c>
      <c r="H15452">
        <v>13102177</v>
      </c>
      <c r="I15452">
        <v>12088019</v>
      </c>
      <c r="J15452">
        <v>4</v>
      </c>
    </row>
    <row r="15453" spans="1:10" x14ac:dyDescent="0.25">
      <c r="A15453" t="s">
        <v>164</v>
      </c>
      <c r="B15453" s="1" t="str">
        <f>HYPERLINK("http://lincolngabriel.com","lincolngabriel.com")</f>
        <v>lincolngabriel.com</v>
      </c>
      <c r="C15453" t="s">
        <v>433</v>
      </c>
      <c r="F15453">
        <v>9.1924330254081508E-9</v>
      </c>
      <c r="G15453">
        <v>7720093</v>
      </c>
      <c r="H15453">
        <v>10800552</v>
      </c>
      <c r="I15453">
        <v>38144702</v>
      </c>
      <c r="J15453">
        <v>4</v>
      </c>
    </row>
    <row r="15454" spans="1:10" x14ac:dyDescent="0.25">
      <c r="A15454" t="s">
        <v>164</v>
      </c>
      <c r="B15454" s="1" t="str">
        <f>HYPERLINK("http://lincolnofcutlerbay.com","lincolnofcutlerbay.com")</f>
        <v>lincolnofcutlerbay.com</v>
      </c>
      <c r="C15454" t="s">
        <v>433</v>
      </c>
      <c r="F15454">
        <v>6.4894767935032399E-9</v>
      </c>
      <c r="G15454">
        <v>14122145</v>
      </c>
      <c r="H15454">
        <v>12405469</v>
      </c>
      <c r="I15454">
        <v>18679409</v>
      </c>
      <c r="J15454">
        <v>4</v>
      </c>
    </row>
    <row r="15455" spans="1:10" x14ac:dyDescent="0.25">
      <c r="A15455" t="s">
        <v>164</v>
      </c>
      <c r="B15455" s="1" t="str">
        <f>HYPERLINK("http://lincolnofmansfield.com","lincolnofmansfield.com")</f>
        <v>lincolnofmansfield.com</v>
      </c>
      <c r="C15455" t="s">
        <v>433</v>
      </c>
      <c r="F15455">
        <v>5.04810958167206E-9</v>
      </c>
      <c r="G15455">
        <v>28264825</v>
      </c>
      <c r="H15455">
        <v>12402595</v>
      </c>
      <c r="I15455">
        <v>18739647</v>
      </c>
      <c r="J15455">
        <v>4</v>
      </c>
    </row>
    <row r="15456" spans="1:10" x14ac:dyDescent="0.25">
      <c r="A15456" t="s">
        <v>164</v>
      </c>
      <c r="B15456" s="1" t="str">
        <f>HYPERLINK("http://lithiafordidahofalls.com","lithiafordidahofalls.com")</f>
        <v>lithiafordidahofalls.com</v>
      </c>
      <c r="C15456" t="s">
        <v>433</v>
      </c>
      <c r="F15456">
        <v>2.7147595601538701E-8</v>
      </c>
      <c r="G15456">
        <v>1894322</v>
      </c>
      <c r="H15456">
        <v>12387939</v>
      </c>
      <c r="I15456">
        <v>19083672</v>
      </c>
      <c r="J15456">
        <v>3</v>
      </c>
    </row>
    <row r="15457" spans="1:10" x14ac:dyDescent="0.25">
      <c r="A15457" t="s">
        <v>164</v>
      </c>
      <c r="B15457" s="1" t="str">
        <f>HYPERLINK("http://livermoreford.com","livermoreford.com")</f>
        <v>livermoreford.com</v>
      </c>
      <c r="C15457" t="s">
        <v>433</v>
      </c>
      <c r="F15457">
        <v>4.9413352673512602E-9</v>
      </c>
      <c r="G15457">
        <v>31048569</v>
      </c>
      <c r="H15457">
        <v>10773985</v>
      </c>
      <c r="I15457">
        <v>39105402</v>
      </c>
      <c r="J15457">
        <v>4</v>
      </c>
    </row>
    <row r="15458" spans="1:10" x14ac:dyDescent="0.25">
      <c r="A15458" t="s">
        <v>164</v>
      </c>
      <c r="B15458" s="1" t="str">
        <f>HYPERLINK("http://longhornford.com","longhornford.com")</f>
        <v>longhornford.com</v>
      </c>
      <c r="C15458" t="s">
        <v>433</v>
      </c>
      <c r="F15458">
        <v>4.5874961897663896E-9</v>
      </c>
      <c r="G15458">
        <v>48628749</v>
      </c>
      <c r="H15458">
        <v>10438359</v>
      </c>
      <c r="I15458">
        <v>52526060</v>
      </c>
      <c r="J15458">
        <v>3</v>
      </c>
    </row>
    <row r="15459" spans="1:10" x14ac:dyDescent="0.25">
      <c r="A15459" t="s">
        <v>164</v>
      </c>
      <c r="B15459" s="1" t="str">
        <f>HYPERLINK("http://longlewisfordselma.com","longlewisfordselma.com")</f>
        <v>longlewisfordselma.com</v>
      </c>
      <c r="C15459" t="s">
        <v>433</v>
      </c>
      <c r="F15459">
        <v>1.7423825216880799E-8</v>
      </c>
      <c r="G15459">
        <v>3167484</v>
      </c>
      <c r="H15459">
        <v>12923636</v>
      </c>
      <c r="I15459">
        <v>13405341</v>
      </c>
      <c r="J15459">
        <v>3</v>
      </c>
    </row>
    <row r="15460" spans="1:10" x14ac:dyDescent="0.25">
      <c r="A15460" t="s">
        <v>164</v>
      </c>
      <c r="B15460" s="1" t="str">
        <f>HYPERLINK("http://lynnlaytonford.com","lynnlaytonford.com")</f>
        <v>lynnlaytonford.com</v>
      </c>
      <c r="C15460" t="s">
        <v>433</v>
      </c>
      <c r="F15460">
        <v>7.6123062059715696E-9</v>
      </c>
      <c r="G15460">
        <v>10769085</v>
      </c>
      <c r="H15460">
        <v>12513375</v>
      </c>
      <c r="I15460">
        <v>17214297</v>
      </c>
      <c r="J15460">
        <v>3</v>
      </c>
    </row>
    <row r="15461" spans="1:10" x14ac:dyDescent="0.25">
      <c r="A15461" t="s">
        <v>164</v>
      </c>
      <c r="B15461" s="1" t="str">
        <f>HYPERLINK("http://maceford.com","maceford.com")</f>
        <v>maceford.com</v>
      </c>
      <c r="C15461" t="s">
        <v>433</v>
      </c>
      <c r="F15461">
        <v>4.9190704499393298E-9</v>
      </c>
      <c r="G15461">
        <v>31720016</v>
      </c>
      <c r="H15461">
        <v>11967966</v>
      </c>
      <c r="I15461">
        <v>28751052</v>
      </c>
      <c r="J15461">
        <v>3</v>
      </c>
    </row>
    <row r="15462" spans="1:10" x14ac:dyDescent="0.25">
      <c r="A15462" t="s">
        <v>164</v>
      </c>
      <c r="B15462" s="1" t="str">
        <f>HYPERLINK("http://machaikfl.com","machaikfl.com")</f>
        <v>machaikfl.com</v>
      </c>
      <c r="C15462" t="s">
        <v>433</v>
      </c>
      <c r="F15462">
        <v>6.5607612019204098E-9</v>
      </c>
      <c r="G15462">
        <v>13830723</v>
      </c>
      <c r="H15462">
        <v>12134024</v>
      </c>
      <c r="I15462">
        <v>25026725</v>
      </c>
      <c r="J15462">
        <v>3</v>
      </c>
    </row>
    <row r="15463" spans="1:10" x14ac:dyDescent="0.25">
      <c r="A15463" t="s">
        <v>164</v>
      </c>
      <c r="B15463" s="1" t="str">
        <f>HYPERLINK("http://mackenziemotors.com","mackenziemotors.com")</f>
        <v>mackenziemotors.com</v>
      </c>
      <c r="C15463" t="s">
        <v>433</v>
      </c>
      <c r="F15463">
        <v>4.5430275792947497E-9</v>
      </c>
      <c r="G15463">
        <v>52946648</v>
      </c>
      <c r="H15463">
        <v>10954343</v>
      </c>
      <c r="I15463">
        <v>34484908</v>
      </c>
      <c r="J15463">
        <v>3</v>
      </c>
    </row>
    <row r="15464" spans="1:10" x14ac:dyDescent="0.25">
      <c r="A15464" t="s">
        <v>164</v>
      </c>
      <c r="B15464" s="1" t="str">
        <f>HYPERLINK("http://magnusonford.com","magnusonford.com")</f>
        <v>magnusonford.com</v>
      </c>
      <c r="C15464" t="s">
        <v>433</v>
      </c>
      <c r="F15464">
        <v>8.7980762416719397E-9</v>
      </c>
      <c r="G15464">
        <v>8313901</v>
      </c>
      <c r="H15464">
        <v>12559460</v>
      </c>
      <c r="I15464">
        <v>16719180</v>
      </c>
      <c r="J15464">
        <v>3</v>
      </c>
    </row>
    <row r="15465" spans="1:10" x14ac:dyDescent="0.25">
      <c r="A15465" t="s">
        <v>164</v>
      </c>
      <c r="B15465" s="1" t="str">
        <f>HYPERLINK("http://mainlandford.com","mainlandford.com")</f>
        <v>mainlandford.com</v>
      </c>
      <c r="C15465" t="s">
        <v>433</v>
      </c>
      <c r="F15465">
        <v>1.18511920306378E-8</v>
      </c>
      <c r="G15465">
        <v>5269925</v>
      </c>
      <c r="H15465">
        <v>13569809</v>
      </c>
      <c r="I15465">
        <v>9727978</v>
      </c>
      <c r="J15465">
        <v>3</v>
      </c>
    </row>
    <row r="15466" spans="1:10" x14ac:dyDescent="0.25">
      <c r="A15466" t="s">
        <v>164</v>
      </c>
      <c r="B15466" s="1" t="str">
        <f>HYPERLINK("http://mccaffertyford.com","mccaffertyford.com")</f>
        <v>mccaffertyford.com</v>
      </c>
      <c r="C15466" t="s">
        <v>433</v>
      </c>
      <c r="F15466">
        <v>4.9276956577241697E-9</v>
      </c>
      <c r="G15466">
        <v>31448161</v>
      </c>
      <c r="H15466">
        <v>12579107</v>
      </c>
      <c r="I15466">
        <v>16522421</v>
      </c>
      <c r="J15466">
        <v>3</v>
      </c>
    </row>
    <row r="15467" spans="1:10" x14ac:dyDescent="0.25">
      <c r="A15467" t="s">
        <v>164</v>
      </c>
      <c r="B15467" s="1" t="str">
        <f>HYPERLINK("http://mccandlessfordmeadville.com","mccandlessfordmeadville.com")</f>
        <v>mccandlessfordmeadville.com</v>
      </c>
      <c r="C15467" t="s">
        <v>433</v>
      </c>
      <c r="F15467">
        <v>5.2778323189187196E-9</v>
      </c>
      <c r="G15467">
        <v>23821936</v>
      </c>
      <c r="H15467">
        <v>12413356</v>
      </c>
      <c r="I15467">
        <v>18559457</v>
      </c>
      <c r="J15467">
        <v>3</v>
      </c>
    </row>
    <row r="15468" spans="1:10" x14ac:dyDescent="0.25">
      <c r="A15468" t="s">
        <v>164</v>
      </c>
      <c r="B15468" s="1" t="str">
        <f>HYPERLINK("http://metinler.com","metinler.com")</f>
        <v>metinler.com</v>
      </c>
      <c r="C15468" t="s">
        <v>433</v>
      </c>
      <c r="J15468">
        <v>3</v>
      </c>
    </row>
    <row r="15469" spans="1:10" x14ac:dyDescent="0.25">
      <c r="A15469" t="s">
        <v>164</v>
      </c>
      <c r="B15469" s="1" t="str">
        <f>HYPERLINK("http://metromusclecars.com","metromusclecars.com")</f>
        <v>metromusclecars.com</v>
      </c>
      <c r="C15469" t="s">
        <v>433</v>
      </c>
      <c r="F15469">
        <v>4.6645168986061202E-9</v>
      </c>
      <c r="G15469">
        <v>43258159</v>
      </c>
      <c r="H15469">
        <v>12205455</v>
      </c>
      <c r="I15469">
        <v>23180099</v>
      </c>
      <c r="J15469">
        <v>3</v>
      </c>
    </row>
    <row r="15470" spans="1:10" x14ac:dyDescent="0.25">
      <c r="A15470" t="s">
        <v>164</v>
      </c>
      <c r="B15470" s="1" t="str">
        <f>HYPERLINK("http://mikemurphyforddarien.com","mikemurphyforddarien.com")</f>
        <v>mikemurphyforddarien.com</v>
      </c>
      <c r="C15470" t="s">
        <v>433</v>
      </c>
      <c r="J15470">
        <v>3</v>
      </c>
    </row>
    <row r="15471" spans="1:10" x14ac:dyDescent="0.25">
      <c r="A15471" t="s">
        <v>164</v>
      </c>
      <c r="B15471" s="1" t="str">
        <f>HYPERLINK("http://mintegui.com","mintegui.com")</f>
        <v>mintegui.com</v>
      </c>
      <c r="C15471" t="s">
        <v>433</v>
      </c>
      <c r="F15471">
        <v>9.0371715913224504E-9</v>
      </c>
      <c r="G15471">
        <v>7937177</v>
      </c>
      <c r="H15471">
        <v>14134115</v>
      </c>
      <c r="I15471">
        <v>1982121</v>
      </c>
      <c r="J15471">
        <v>3</v>
      </c>
    </row>
    <row r="15472" spans="1:10" x14ac:dyDescent="0.25">
      <c r="A15472" t="s">
        <v>164</v>
      </c>
      <c r="B15472" s="1" t="str">
        <f>HYPERLINK("http://montgomerylincoln.com","montgomerylincoln.com")</f>
        <v>montgomerylincoln.com</v>
      </c>
      <c r="C15472" t="s">
        <v>433</v>
      </c>
      <c r="F15472">
        <v>4.8167421820138203E-9</v>
      </c>
      <c r="G15472">
        <v>35389304</v>
      </c>
      <c r="H15472">
        <v>9905746</v>
      </c>
      <c r="I15472">
        <v>61584885</v>
      </c>
      <c r="J15472">
        <v>4</v>
      </c>
    </row>
    <row r="15473" spans="1:10" x14ac:dyDescent="0.25">
      <c r="A15473" t="s">
        <v>164</v>
      </c>
      <c r="B15473" s="1" t="str">
        <f>HYPERLINK("http://monzacar.com","monzacar.com")</f>
        <v>monzacar.com</v>
      </c>
      <c r="C15473" t="s">
        <v>433</v>
      </c>
      <c r="F15473">
        <v>4.53518709125468E-9</v>
      </c>
      <c r="G15473">
        <v>54205379</v>
      </c>
      <c r="H15473">
        <v>13763633</v>
      </c>
      <c r="I15473">
        <v>8899423</v>
      </c>
      <c r="J15473">
        <v>3</v>
      </c>
    </row>
    <row r="15474" spans="1:10" x14ac:dyDescent="0.25">
      <c r="A15474" t="s">
        <v>164</v>
      </c>
      <c r="B15474" s="1" t="str">
        <f>HYPERLINK("http://morriesmtkaford.com","morriesmtkaford.com")</f>
        <v>morriesmtkaford.com</v>
      </c>
      <c r="C15474" t="s">
        <v>433</v>
      </c>
      <c r="F15474">
        <v>4.6198990552458101E-9</v>
      </c>
      <c r="G15474">
        <v>46138837</v>
      </c>
      <c r="H15474">
        <v>10025952</v>
      </c>
      <c r="I15474">
        <v>60639268</v>
      </c>
      <c r="J15474">
        <v>3</v>
      </c>
    </row>
    <row r="15475" spans="1:10" x14ac:dyDescent="0.25">
      <c r="A15475" t="s">
        <v>164</v>
      </c>
      <c r="B15475" s="1" t="str">
        <f>HYPERLINK("http://morrissmithfordoflarned.com","morrissmithfordoflarned.com")</f>
        <v>morrissmithfordoflarned.com</v>
      </c>
      <c r="C15475" t="s">
        <v>433</v>
      </c>
      <c r="F15475">
        <v>5.4684652585307103E-9</v>
      </c>
      <c r="G15475">
        <v>21262107</v>
      </c>
      <c r="H15475">
        <v>12374959</v>
      </c>
      <c r="I15475">
        <v>19318015</v>
      </c>
      <c r="J15475">
        <v>3</v>
      </c>
    </row>
    <row r="15476" spans="1:10" x14ac:dyDescent="0.25">
      <c r="A15476" t="s">
        <v>164</v>
      </c>
      <c r="B15476" s="1" t="str">
        <f>HYPERLINK("http://mullinaxfordverobeach.com","mullinaxfordverobeach.com")</f>
        <v>mullinaxfordverobeach.com</v>
      </c>
      <c r="C15476" t="s">
        <v>433</v>
      </c>
      <c r="F15476">
        <v>5.37919532742851E-9</v>
      </c>
      <c r="G15476">
        <v>22429384</v>
      </c>
      <c r="H15476">
        <v>10791238</v>
      </c>
      <c r="I15476">
        <v>38452299</v>
      </c>
      <c r="J15476">
        <v>3</v>
      </c>
    </row>
    <row r="15477" spans="1:10" x14ac:dyDescent="0.25">
      <c r="A15477" t="s">
        <v>164</v>
      </c>
      <c r="B15477" s="1" t="str">
        <f>HYPERLINK("http://nalleyford.com","nalleyford.com")</f>
        <v>nalleyford.com</v>
      </c>
      <c r="C15477" t="s">
        <v>433</v>
      </c>
      <c r="F15477">
        <v>4.8500072345307897E-9</v>
      </c>
      <c r="G15477">
        <v>34141418</v>
      </c>
      <c r="H15477">
        <v>12369320</v>
      </c>
      <c r="I15477">
        <v>19421638</v>
      </c>
      <c r="J15477">
        <v>3</v>
      </c>
    </row>
    <row r="15478" spans="1:10" x14ac:dyDescent="0.25">
      <c r="A15478" t="s">
        <v>164</v>
      </c>
      <c r="B15478" s="1" t="str">
        <f>HYPERLINK("http://northbros.com","northbros.com")</f>
        <v>northbros.com</v>
      </c>
      <c r="C15478" t="s">
        <v>433</v>
      </c>
      <c r="F15478">
        <v>4.8619788120707901E-9</v>
      </c>
      <c r="G15478">
        <v>33750605</v>
      </c>
      <c r="H15478">
        <v>12392184</v>
      </c>
      <c r="I15478">
        <v>18994463</v>
      </c>
      <c r="J15478">
        <v>3</v>
      </c>
    </row>
    <row r="15479" spans="1:10" x14ac:dyDescent="0.25">
      <c r="A15479" t="s">
        <v>164</v>
      </c>
      <c r="B15479" s="1" t="str">
        <f>HYPERLINK("http://northernlightsford.com","northernlightsford.com")</f>
        <v>northernlightsford.com</v>
      </c>
      <c r="C15479" t="s">
        <v>433</v>
      </c>
      <c r="F15479">
        <v>9.8615824882491104E-9</v>
      </c>
      <c r="G15479">
        <v>6900826</v>
      </c>
      <c r="H15479">
        <v>12560790</v>
      </c>
      <c r="I15479">
        <v>16705872</v>
      </c>
      <c r="J15479">
        <v>3</v>
      </c>
    </row>
    <row r="15480" spans="1:10" x14ac:dyDescent="0.25">
      <c r="A15480" t="s">
        <v>164</v>
      </c>
      <c r="B15480" s="1" t="str">
        <f>HYPERLINK("http://orourkemotorsonline.com","orourkemotorsonline.com")</f>
        <v>orourkemotorsonline.com</v>
      </c>
      <c r="C15480" t="s">
        <v>433</v>
      </c>
      <c r="F15480">
        <v>4.4676564081827696E-9</v>
      </c>
      <c r="G15480">
        <v>65240726</v>
      </c>
      <c r="H15480">
        <v>10933799</v>
      </c>
      <c r="I15480">
        <v>34990710</v>
      </c>
      <c r="J15480">
        <v>3</v>
      </c>
    </row>
    <row r="15481" spans="1:10" x14ac:dyDescent="0.25">
      <c r="A15481" t="s">
        <v>164</v>
      </c>
      <c r="B15481" s="1" t="str">
        <f>HYPERLINK("http://pamplonacar.com","pamplonacar.com")</f>
        <v>pamplonacar.com</v>
      </c>
      <c r="C15481" t="s">
        <v>433</v>
      </c>
      <c r="F15481">
        <v>5.2049568269687304E-9</v>
      </c>
      <c r="G15481">
        <v>25015389</v>
      </c>
      <c r="H15481">
        <v>12153033</v>
      </c>
      <c r="I15481">
        <v>24551772</v>
      </c>
      <c r="J15481">
        <v>3</v>
      </c>
    </row>
    <row r="15482" spans="1:10" x14ac:dyDescent="0.25">
      <c r="A15482" t="s">
        <v>164</v>
      </c>
      <c r="B15482" s="1" t="str">
        <f>HYPERLINK("http://parot-automotive.com","parot-automotive.com")</f>
        <v>parot-automotive.com</v>
      </c>
      <c r="C15482" t="s">
        <v>433</v>
      </c>
      <c r="F15482">
        <v>6.8198907297386798E-9</v>
      </c>
      <c r="G15482">
        <v>12894469</v>
      </c>
      <c r="H15482">
        <v>12234417</v>
      </c>
      <c r="I15482">
        <v>22391687</v>
      </c>
      <c r="J15482">
        <v>3</v>
      </c>
    </row>
    <row r="15483" spans="1:10" x14ac:dyDescent="0.25">
      <c r="A15483" t="s">
        <v>164</v>
      </c>
      <c r="B15483" s="1" t="str">
        <f>HYPERLINK("http://peachstatefordcedartown.com","peachstatefordcedartown.com")</f>
        <v>peachstatefordcedartown.com</v>
      </c>
      <c r="C15483" t="s">
        <v>433</v>
      </c>
      <c r="F15483">
        <v>6.7755383880466304E-9</v>
      </c>
      <c r="G15483">
        <v>13042475</v>
      </c>
      <c r="H15483">
        <v>12544197</v>
      </c>
      <c r="I15483">
        <v>16893562</v>
      </c>
      <c r="J15483">
        <v>3</v>
      </c>
    </row>
    <row r="15484" spans="1:10" x14ac:dyDescent="0.25">
      <c r="A15484" t="s">
        <v>164</v>
      </c>
      <c r="B15484" s="1" t="str">
        <f>HYPERLINK("http://pellcityford.com","pellcityford.com")</f>
        <v>pellcityford.com</v>
      </c>
      <c r="C15484" t="s">
        <v>433</v>
      </c>
      <c r="F15484">
        <v>9.2229815225567405E-9</v>
      </c>
      <c r="G15484">
        <v>7679197</v>
      </c>
      <c r="H15484">
        <v>12373282</v>
      </c>
      <c r="I15484">
        <v>19350822</v>
      </c>
      <c r="J15484">
        <v>3</v>
      </c>
    </row>
    <row r="15485" spans="1:10" x14ac:dyDescent="0.25">
      <c r="A15485" t="s">
        <v>164</v>
      </c>
      <c r="B15485" s="1" t="str">
        <f>HYPERLINK("http://peninsulaford.com","peninsulaford.com")</f>
        <v>peninsulaford.com</v>
      </c>
      <c r="C15485" t="s">
        <v>433</v>
      </c>
      <c r="F15485">
        <v>1.02398942520394E-8</v>
      </c>
      <c r="G15485">
        <v>6508207</v>
      </c>
      <c r="H15485">
        <v>12563542</v>
      </c>
      <c r="I15485">
        <v>16681452</v>
      </c>
      <c r="J15485">
        <v>3</v>
      </c>
    </row>
    <row r="15486" spans="1:10" x14ac:dyDescent="0.25">
      <c r="A15486" t="s">
        <v>164</v>
      </c>
      <c r="B15486" s="1" t="str">
        <f>HYPERLINK("http://perosinomaxxi.com","perosinomaxxi.com")</f>
        <v>perosinomaxxi.com</v>
      </c>
      <c r="C15486" t="s">
        <v>433</v>
      </c>
      <c r="J15486">
        <v>3</v>
      </c>
    </row>
    <row r="15487" spans="1:10" x14ac:dyDescent="0.25">
      <c r="A15487" t="s">
        <v>164</v>
      </c>
      <c r="B15487" s="1" t="str">
        <f>HYPERLINK("http://pikefordofdumas.com","pikefordofdumas.com")</f>
        <v>pikefordofdumas.com</v>
      </c>
      <c r="C15487" t="s">
        <v>433</v>
      </c>
      <c r="F15487">
        <v>4.5702040101967301E-9</v>
      </c>
      <c r="G15487">
        <v>50166667</v>
      </c>
      <c r="H15487">
        <v>10599858</v>
      </c>
      <c r="I15487">
        <v>44908681</v>
      </c>
      <c r="J15487">
        <v>3</v>
      </c>
    </row>
    <row r="15488" spans="1:10" x14ac:dyDescent="0.25">
      <c r="A15488" t="s">
        <v>164</v>
      </c>
      <c r="B15488" s="1" t="str">
        <f>HYPERLINK("http://plazaford.com","plazaford.com")</f>
        <v>plazaford.com</v>
      </c>
      <c r="C15488" t="s">
        <v>433</v>
      </c>
      <c r="F15488">
        <v>6.5887549307530597E-9</v>
      </c>
      <c r="G15488">
        <v>13719700</v>
      </c>
      <c r="H15488">
        <v>12452902</v>
      </c>
      <c r="I15488">
        <v>17961946</v>
      </c>
      <c r="J15488">
        <v>3</v>
      </c>
    </row>
    <row r="15489" spans="1:10" x14ac:dyDescent="0.25">
      <c r="A15489" t="s">
        <v>164</v>
      </c>
      <c r="B15489" s="1" t="str">
        <f>HYPERLINK("http://plymouthford.com","plymouthford.com")</f>
        <v>plymouthford.com</v>
      </c>
      <c r="C15489" t="s">
        <v>433</v>
      </c>
      <c r="F15489">
        <v>4.46949211782949E-9</v>
      </c>
      <c r="G15489">
        <v>64692484</v>
      </c>
      <c r="H15489">
        <v>12191522</v>
      </c>
      <c r="I15489">
        <v>23546959</v>
      </c>
      <c r="J15489">
        <v>3</v>
      </c>
    </row>
    <row r="15490" spans="1:10" x14ac:dyDescent="0.25">
      <c r="A15490" t="s">
        <v>164</v>
      </c>
      <c r="B15490" s="1" t="str">
        <f>HYPERLINK("http://powerfordnm.com","powerfordnm.com")</f>
        <v>powerfordnm.com</v>
      </c>
      <c r="C15490" t="s">
        <v>433</v>
      </c>
      <c r="F15490">
        <v>1.13239785093805E-8</v>
      </c>
      <c r="G15490">
        <v>5626042</v>
      </c>
      <c r="H15490">
        <v>13949402</v>
      </c>
      <c r="I15490">
        <v>4183871</v>
      </c>
      <c r="J15490">
        <v>3</v>
      </c>
    </row>
    <row r="15491" spans="1:10" x14ac:dyDescent="0.25">
      <c r="A15491" t="s">
        <v>164</v>
      </c>
      <c r="B15491" s="1" t="str">
        <f>HYPERLINK("http://precisionford.com","precisionford.com")</f>
        <v>precisionford.com</v>
      </c>
      <c r="C15491" t="s">
        <v>433</v>
      </c>
      <c r="J15491">
        <v>3</v>
      </c>
    </row>
    <row r="15492" spans="1:10" x14ac:dyDescent="0.25">
      <c r="A15492" t="s">
        <v>164</v>
      </c>
      <c r="B15492" s="1" t="str">
        <f>HYPERLINK("http://princefrederickford.com","princefrederickford.com")</f>
        <v>princefrederickford.com</v>
      </c>
      <c r="C15492" t="s">
        <v>433</v>
      </c>
      <c r="F15492">
        <v>6.9071028972864596E-9</v>
      </c>
      <c r="G15492">
        <v>12599242</v>
      </c>
      <c r="H15492">
        <v>12807611</v>
      </c>
      <c r="I15492">
        <v>14600500</v>
      </c>
      <c r="J15492">
        <v>3</v>
      </c>
    </row>
    <row r="15493" spans="1:10" x14ac:dyDescent="0.25">
      <c r="A15493" t="s">
        <v>164</v>
      </c>
      <c r="B15493" s="1" t="str">
        <f>HYPERLINK("http://priorityford.com","priorityford.com")</f>
        <v>priorityford.com</v>
      </c>
      <c r="C15493" t="s">
        <v>433</v>
      </c>
      <c r="F15493">
        <v>6.6623149384685297E-9</v>
      </c>
      <c r="G15493">
        <v>13440324</v>
      </c>
      <c r="H15493">
        <v>12306747</v>
      </c>
      <c r="I15493">
        <v>20701030</v>
      </c>
      <c r="J15493">
        <v>3</v>
      </c>
    </row>
    <row r="15494" spans="1:10" x14ac:dyDescent="0.25">
      <c r="A15494" t="s">
        <v>164</v>
      </c>
      <c r="B15494" s="1" t="str">
        <f>HYPERLINK("http://qafordaccess.com","qafordaccess.com")</f>
        <v>qafordaccess.com</v>
      </c>
      <c r="C15494" t="s">
        <v>433</v>
      </c>
      <c r="J15494">
        <v>2</v>
      </c>
    </row>
    <row r="15495" spans="1:10" x14ac:dyDescent="0.25">
      <c r="A15495" t="s">
        <v>164</v>
      </c>
      <c r="B15495" s="1" t="str">
        <f>HYPERLINK("http://quicklane.com","quicklane.com")</f>
        <v>quicklane.com</v>
      </c>
      <c r="C15495" t="s">
        <v>433</v>
      </c>
      <c r="E15495">
        <v>453269</v>
      </c>
      <c r="F15495">
        <v>1.2716076724422899E-7</v>
      </c>
      <c r="G15495">
        <v>310114</v>
      </c>
      <c r="H15495">
        <v>13335686</v>
      </c>
      <c r="I15495">
        <v>10685875</v>
      </c>
      <c r="J15495">
        <v>3</v>
      </c>
    </row>
    <row r="15496" spans="1:10" x14ac:dyDescent="0.25">
      <c r="A15496" t="s">
        <v>164</v>
      </c>
      <c r="B15496" s="1" t="str">
        <f>HYPERLINK("http://quirkford.com","quirkford.com")</f>
        <v>quirkford.com</v>
      </c>
      <c r="C15496" t="s">
        <v>433</v>
      </c>
      <c r="F15496">
        <v>5.5006224850300397E-9</v>
      </c>
      <c r="G15496">
        <v>20893449</v>
      </c>
      <c r="H15496">
        <v>12661450</v>
      </c>
      <c r="I15496">
        <v>15713166</v>
      </c>
      <c r="J15496">
        <v>3</v>
      </c>
    </row>
    <row r="15497" spans="1:10" x14ac:dyDescent="0.25">
      <c r="A15497" t="s">
        <v>164</v>
      </c>
      <c r="B15497" s="1" t="str">
        <f>HYPERLINK("http://raglanford.com","raglanford.com")</f>
        <v>raglanford.com</v>
      </c>
      <c r="C15497" t="s">
        <v>433</v>
      </c>
      <c r="F15497">
        <v>4.44380395335525E-9</v>
      </c>
      <c r="G15497">
        <v>83135801</v>
      </c>
      <c r="H15497">
        <v>0</v>
      </c>
      <c r="I15497">
        <v>83896053</v>
      </c>
      <c r="J15497">
        <v>3</v>
      </c>
    </row>
    <row r="15498" spans="1:10" x14ac:dyDescent="0.25">
      <c r="A15498" t="s">
        <v>164</v>
      </c>
      <c r="B15498" s="1" t="str">
        <f>HYPERLINK("http://randymarionford.com","randymarionford.com")</f>
        <v>randymarionford.com</v>
      </c>
      <c r="C15498" t="s">
        <v>433</v>
      </c>
      <c r="F15498">
        <v>6.7386338992435697E-9</v>
      </c>
      <c r="G15498">
        <v>13167523</v>
      </c>
      <c r="H15498">
        <v>12375232</v>
      </c>
      <c r="I15498">
        <v>19313900</v>
      </c>
      <c r="J15498">
        <v>3</v>
      </c>
    </row>
    <row r="15499" spans="1:10" x14ac:dyDescent="0.25">
      <c r="A15499" t="s">
        <v>164</v>
      </c>
      <c r="B15499" s="1" t="str">
        <f>HYPERLINK("http://raypriceford.com","raypriceford.com")</f>
        <v>raypriceford.com</v>
      </c>
      <c r="C15499" t="s">
        <v>433</v>
      </c>
      <c r="F15499">
        <v>5.88831939474541E-9</v>
      </c>
      <c r="G15499">
        <v>17439446</v>
      </c>
      <c r="H15499">
        <v>13764568</v>
      </c>
      <c r="I15499">
        <v>7235129</v>
      </c>
      <c r="J15499">
        <v>3</v>
      </c>
    </row>
    <row r="15500" spans="1:10" x14ac:dyDescent="0.25">
      <c r="A15500" t="s">
        <v>164</v>
      </c>
      <c r="B15500" s="1" t="str">
        <f>HYPERLINK("http://rhinebeckfordinc.com","rhinebeckfordinc.com")</f>
        <v>rhinebeckfordinc.com</v>
      </c>
      <c r="C15500" t="s">
        <v>433</v>
      </c>
      <c r="F15500">
        <v>4.5051972070590002E-9</v>
      </c>
      <c r="G15500">
        <v>58187006</v>
      </c>
      <c r="H15500">
        <v>12119948</v>
      </c>
      <c r="I15500">
        <v>25407318</v>
      </c>
      <c r="J15500">
        <v>3</v>
      </c>
    </row>
    <row r="15501" spans="1:10" x14ac:dyDescent="0.25">
      <c r="A15501" t="s">
        <v>164</v>
      </c>
      <c r="B15501" s="1" t="str">
        <f>HYPERLINK("http://ridgewoodford.com","ridgewoodford.com")</f>
        <v>ridgewoodford.com</v>
      </c>
      <c r="C15501" t="s">
        <v>433</v>
      </c>
      <c r="F15501">
        <v>9.4363995241030497E-9</v>
      </c>
      <c r="G15501">
        <v>7399547</v>
      </c>
      <c r="H15501">
        <v>12560381</v>
      </c>
      <c r="I15501">
        <v>16709553</v>
      </c>
      <c r="J15501">
        <v>3</v>
      </c>
    </row>
    <row r="15502" spans="1:10" x14ac:dyDescent="0.25">
      <c r="A15502" t="s">
        <v>164</v>
      </c>
      <c r="B15502" s="1" t="str">
        <f>HYPERLINK("http://romadridcar.com","romadridcar.com")</f>
        <v>romadridcar.com</v>
      </c>
      <c r="C15502" t="s">
        <v>433</v>
      </c>
      <c r="F15502">
        <v>6.16434637317347E-9</v>
      </c>
      <c r="G15502">
        <v>15723630</v>
      </c>
      <c r="H15502">
        <v>10147347</v>
      </c>
      <c r="I15502">
        <v>59462251</v>
      </c>
      <c r="J15502">
        <v>3</v>
      </c>
    </row>
    <row r="15503" spans="1:10" x14ac:dyDescent="0.25">
      <c r="A15503" t="s">
        <v>164</v>
      </c>
      <c r="B15503" s="1" t="str">
        <f>HYPERLINK("http://romeofordofkingston.com","romeofordofkingston.com")</f>
        <v>romeofordofkingston.com</v>
      </c>
      <c r="C15503" t="s">
        <v>433</v>
      </c>
      <c r="F15503">
        <v>5.2287973274234998E-9</v>
      </c>
      <c r="G15503">
        <v>24595507</v>
      </c>
      <c r="H15503">
        <v>12195223</v>
      </c>
      <c r="I15503">
        <v>23449735</v>
      </c>
      <c r="J15503">
        <v>3</v>
      </c>
    </row>
    <row r="15504" spans="1:10" x14ac:dyDescent="0.25">
      <c r="A15504" t="s">
        <v>164</v>
      </c>
      <c r="B15504" s="1" t="str">
        <f>HYPERLINK("http://saford.com","saford.com")</f>
        <v>saford.com</v>
      </c>
      <c r="C15504" t="s">
        <v>433</v>
      </c>
      <c r="F15504">
        <v>1.27100631835022E-8</v>
      </c>
      <c r="G15504">
        <v>4774573</v>
      </c>
      <c r="H15504">
        <v>13499759</v>
      </c>
      <c r="I15504">
        <v>9971750</v>
      </c>
      <c r="J15504">
        <v>3</v>
      </c>
    </row>
    <row r="15505" spans="1:10" x14ac:dyDescent="0.25">
      <c r="A15505" t="s">
        <v>164</v>
      </c>
      <c r="B15505" s="1" t="str">
        <f>HYPERLINK("http://schickerfordunion.com","schickerfordunion.com")</f>
        <v>schickerfordunion.com</v>
      </c>
      <c r="C15505" t="s">
        <v>433</v>
      </c>
      <c r="F15505">
        <v>5.61282377898641E-9</v>
      </c>
      <c r="G15505">
        <v>19734786</v>
      </c>
      <c r="H15505">
        <v>12594458</v>
      </c>
      <c r="I15505">
        <v>16378629</v>
      </c>
      <c r="J15505">
        <v>3</v>
      </c>
    </row>
    <row r="15506" spans="1:10" x14ac:dyDescent="0.25">
      <c r="A15506" t="s">
        <v>164</v>
      </c>
      <c r="B15506" s="1" t="str">
        <f>HYPERLINK("http://senchuk.com","senchuk.com")</f>
        <v>senchuk.com</v>
      </c>
      <c r="C15506" t="s">
        <v>433</v>
      </c>
      <c r="F15506">
        <v>9.73388627627778E-9</v>
      </c>
      <c r="G15506">
        <v>7042066</v>
      </c>
      <c r="H15506">
        <v>12750078</v>
      </c>
      <c r="I15506">
        <v>15050086</v>
      </c>
      <c r="J15506">
        <v>3</v>
      </c>
    </row>
    <row r="15507" spans="1:10" x14ac:dyDescent="0.25">
      <c r="A15507" t="s">
        <v>164</v>
      </c>
      <c r="B15507" s="1" t="str">
        <f>HYPERLINK("http://sheehyfordmarlowheights.com","sheehyfordmarlowheights.com")</f>
        <v>sheehyfordmarlowheights.com</v>
      </c>
      <c r="C15507" t="s">
        <v>433</v>
      </c>
      <c r="F15507">
        <v>4.4438366345837299E-9</v>
      </c>
      <c r="G15507">
        <v>78881492</v>
      </c>
      <c r="H15507">
        <v>10405199</v>
      </c>
      <c r="I15507">
        <v>54154688</v>
      </c>
      <c r="J15507">
        <v>3</v>
      </c>
    </row>
    <row r="15508" spans="1:10" x14ac:dyDescent="0.25">
      <c r="A15508" t="s">
        <v>164</v>
      </c>
      <c r="B15508" s="1" t="str">
        <f>HYPERLINK("http://shepardbrosford.com","shepardbrosford.com")</f>
        <v>shepardbrosford.com</v>
      </c>
      <c r="C15508" t="s">
        <v>433</v>
      </c>
      <c r="F15508">
        <v>1.32084769751597E-8</v>
      </c>
      <c r="G15508">
        <v>4534227</v>
      </c>
      <c r="H15508">
        <v>12419410</v>
      </c>
      <c r="I15508">
        <v>18468149</v>
      </c>
      <c r="J15508">
        <v>3</v>
      </c>
    </row>
    <row r="15509" spans="1:10" x14ac:dyDescent="0.25">
      <c r="A15509" t="s">
        <v>164</v>
      </c>
      <c r="B15509" s="1" t="str">
        <f>HYPERLINK("http://simonneauautomobiles.com","simonneauautomobiles.com")</f>
        <v>simonneauautomobiles.com</v>
      </c>
      <c r="C15509" t="s">
        <v>433</v>
      </c>
      <c r="F15509">
        <v>4.5257502120100802E-9</v>
      </c>
      <c r="G15509">
        <v>55529397</v>
      </c>
      <c r="H15509">
        <v>8685016</v>
      </c>
      <c r="I15509">
        <v>70066360</v>
      </c>
      <c r="J15509">
        <v>3</v>
      </c>
    </row>
    <row r="15510" spans="1:10" x14ac:dyDescent="0.25">
      <c r="A15510" t="s">
        <v>164</v>
      </c>
      <c r="B15510" s="1" t="str">
        <f>HYPERLINK("http://smithfordoflowell.com","smithfordoflowell.com")</f>
        <v>smithfordoflowell.com</v>
      </c>
      <c r="C15510" t="s">
        <v>433</v>
      </c>
      <c r="F15510">
        <v>5.6270625405225101E-9</v>
      </c>
      <c r="G15510">
        <v>19604927</v>
      </c>
      <c r="H15510">
        <v>12104948</v>
      </c>
      <c r="I15510">
        <v>25850106</v>
      </c>
      <c r="J15510">
        <v>3</v>
      </c>
    </row>
    <row r="15511" spans="1:10" x14ac:dyDescent="0.25">
      <c r="A15511" t="s">
        <v>164</v>
      </c>
      <c r="B15511" s="1" t="str">
        <f>HYPERLINK("http://smithsfallsford.com","smithsfallsford.com")</f>
        <v>smithsfallsford.com</v>
      </c>
      <c r="C15511" t="s">
        <v>433</v>
      </c>
      <c r="F15511">
        <v>4.7079910149702596E-9</v>
      </c>
      <c r="G15511">
        <v>40840102</v>
      </c>
      <c r="H15511">
        <v>10763627</v>
      </c>
      <c r="I15511">
        <v>39480055</v>
      </c>
      <c r="J15511">
        <v>3</v>
      </c>
    </row>
    <row r="15512" spans="1:10" x14ac:dyDescent="0.25">
      <c r="A15512" t="s">
        <v>164</v>
      </c>
      <c r="B15512" s="1" t="str">
        <f>HYPERLINK("http://smithsofdrogheda.com","smithsofdrogheda.com")</f>
        <v>smithsofdrogheda.com</v>
      </c>
      <c r="C15512" t="s">
        <v>433</v>
      </c>
      <c r="F15512">
        <v>1.45544183443787E-8</v>
      </c>
      <c r="G15512">
        <v>3993458</v>
      </c>
      <c r="H15512">
        <v>13073341</v>
      </c>
      <c r="I15512">
        <v>12226107</v>
      </c>
      <c r="J15512">
        <v>3</v>
      </c>
    </row>
    <row r="15513" spans="1:10" x14ac:dyDescent="0.25">
      <c r="A15513" t="s">
        <v>164</v>
      </c>
      <c r="B15513" s="1" t="str">
        <f>HYPERLINK("http://southbayfordca.com","southbayfordca.com")</f>
        <v>southbayfordca.com</v>
      </c>
      <c r="C15513" t="s">
        <v>433</v>
      </c>
      <c r="F15513">
        <v>4.6835063982082802E-9</v>
      </c>
      <c r="G15513">
        <v>42135026</v>
      </c>
      <c r="H15513">
        <v>10488475</v>
      </c>
      <c r="I15513">
        <v>50675416</v>
      </c>
      <c r="J15513">
        <v>3</v>
      </c>
    </row>
    <row r="15514" spans="1:10" x14ac:dyDescent="0.25">
      <c r="A15514" t="s">
        <v>164</v>
      </c>
      <c r="B15514" s="1" t="str">
        <f>HYPERLINK("http://st-onge-ford.com","st-onge-ford.com")</f>
        <v>st-onge-ford.com</v>
      </c>
      <c r="C15514" t="s">
        <v>433</v>
      </c>
      <c r="F15514">
        <v>9.4294405713523194E-9</v>
      </c>
      <c r="G15514">
        <v>7408036</v>
      </c>
      <c r="H15514">
        <v>12560219</v>
      </c>
      <c r="I15514">
        <v>16713193</v>
      </c>
      <c r="J15514">
        <v>3</v>
      </c>
    </row>
    <row r="15515" spans="1:10" x14ac:dyDescent="0.25">
      <c r="A15515" t="s">
        <v>164</v>
      </c>
      <c r="B15515" s="1" t="str">
        <f>HYPERLINK("http://stanleyfordeastland.com","stanleyfordeastland.com")</f>
        <v>stanleyfordeastland.com</v>
      </c>
      <c r="C15515" t="s">
        <v>433</v>
      </c>
      <c r="F15515">
        <v>4.6936582755613202E-9</v>
      </c>
      <c r="G15515">
        <v>41605577</v>
      </c>
      <c r="H15515">
        <v>10964812</v>
      </c>
      <c r="I15515">
        <v>34248466</v>
      </c>
      <c r="J15515">
        <v>3</v>
      </c>
    </row>
    <row r="15516" spans="1:10" x14ac:dyDescent="0.25">
      <c r="A15516" t="s">
        <v>164</v>
      </c>
      <c r="B15516" s="1" t="str">
        <f>HYPERLINK("http://stevemarshallfordcampbellriver.com","stevemarshallfordcampbellriver.com")</f>
        <v>stevemarshallfordcampbellriver.com</v>
      </c>
      <c r="C15516" t="s">
        <v>433</v>
      </c>
      <c r="F15516">
        <v>9.4501633228034796E-9</v>
      </c>
      <c r="G15516">
        <v>7382594</v>
      </c>
      <c r="H15516">
        <v>12559426</v>
      </c>
      <c r="I15516">
        <v>16719542</v>
      </c>
      <c r="J15516">
        <v>3</v>
      </c>
    </row>
    <row r="15517" spans="1:10" x14ac:dyDescent="0.25">
      <c r="A15517" t="s">
        <v>164</v>
      </c>
      <c r="B15517" s="1" t="str">
        <f>HYPERLINK("http://stuckeyfordbellefonte.com","stuckeyfordbellefonte.com")</f>
        <v>stuckeyfordbellefonte.com</v>
      </c>
      <c r="C15517" t="s">
        <v>433</v>
      </c>
      <c r="F15517">
        <v>9.2244815847296504E-9</v>
      </c>
      <c r="G15517">
        <v>7677338</v>
      </c>
      <c r="H15517">
        <v>10978718</v>
      </c>
      <c r="I15517">
        <v>33959450</v>
      </c>
      <c r="J15517">
        <v>3</v>
      </c>
    </row>
    <row r="15518" spans="1:10" x14ac:dyDescent="0.25">
      <c r="A15518" t="s">
        <v>164</v>
      </c>
      <c r="B15518" s="1" t="str">
        <f>HYPERLINK("http://stumpfford.com","stumpfford.com")</f>
        <v>stumpfford.com</v>
      </c>
      <c r="C15518" t="s">
        <v>433</v>
      </c>
      <c r="F15518">
        <v>6.20759739518407E-9</v>
      </c>
      <c r="G15518">
        <v>15496365</v>
      </c>
      <c r="H15518">
        <v>12403649</v>
      </c>
      <c r="I15518">
        <v>18712779</v>
      </c>
      <c r="J15518">
        <v>3</v>
      </c>
    </row>
    <row r="15519" spans="1:10" x14ac:dyDescent="0.25">
      <c r="A15519" t="s">
        <v>164</v>
      </c>
      <c r="B15519" s="1" t="str">
        <f>HYPERLINK("http://suburbanfordofsterlingheights.com","suburbanfordofsterlingheights.com")</f>
        <v>suburbanfordofsterlingheights.com</v>
      </c>
      <c r="C15519" t="s">
        <v>433</v>
      </c>
      <c r="F15519">
        <v>1.08418143247096E-8</v>
      </c>
      <c r="G15519">
        <v>5987085</v>
      </c>
      <c r="H15519">
        <v>12380870</v>
      </c>
      <c r="I15519">
        <v>19193562</v>
      </c>
      <c r="J15519">
        <v>3</v>
      </c>
    </row>
    <row r="15520" spans="1:10" x14ac:dyDescent="0.25">
      <c r="A15520" t="s">
        <v>164</v>
      </c>
      <c r="B15520" s="1" t="str">
        <f>HYPERLINK("http://suburbanfordofwaterford.com","suburbanfordofwaterford.com")</f>
        <v>suburbanfordofwaterford.com</v>
      </c>
      <c r="C15520" t="s">
        <v>433</v>
      </c>
      <c r="F15520">
        <v>1.46259300926405E-8</v>
      </c>
      <c r="G15520">
        <v>3967081</v>
      </c>
      <c r="H15520">
        <v>12624274</v>
      </c>
      <c r="I15520">
        <v>16043473</v>
      </c>
      <c r="J15520">
        <v>3</v>
      </c>
    </row>
    <row r="15521" spans="1:10" x14ac:dyDescent="0.25">
      <c r="A15521" t="s">
        <v>164</v>
      </c>
      <c r="B15521" s="1" t="str">
        <f>HYPERLINK("http://sunnyvaleford.com","sunnyvaleford.com")</f>
        <v>sunnyvaleford.com</v>
      </c>
      <c r="C15521" t="s">
        <v>433</v>
      </c>
      <c r="F15521">
        <v>8.4375517537539105E-9</v>
      </c>
      <c r="G15521">
        <v>8967052</v>
      </c>
      <c r="H15521">
        <v>12135457</v>
      </c>
      <c r="I15521">
        <v>24987556</v>
      </c>
      <c r="J15521">
        <v>3</v>
      </c>
    </row>
    <row r="15522" spans="1:10" x14ac:dyDescent="0.25">
      <c r="A15522" t="s">
        <v>164</v>
      </c>
      <c r="B15522" s="1" t="str">
        <f>HYPERLINK("http://sunsetcountryford.com","sunsetcountryford.com")</f>
        <v>sunsetcountryford.com</v>
      </c>
      <c r="C15522" t="s">
        <v>433</v>
      </c>
      <c r="F15522">
        <v>9.7503001681827403E-9</v>
      </c>
      <c r="G15522">
        <v>7023635</v>
      </c>
      <c r="H15522">
        <v>12560225</v>
      </c>
      <c r="I15522">
        <v>16713139</v>
      </c>
      <c r="J15522">
        <v>3</v>
      </c>
    </row>
    <row r="15523" spans="1:10" x14ac:dyDescent="0.25">
      <c r="A15523" t="s">
        <v>164</v>
      </c>
      <c r="B15523" s="1" t="str">
        <f>HYPERLINK("http://thecarolinaford.com","thecarolinaford.com")</f>
        <v>thecarolinaford.com</v>
      </c>
      <c r="C15523" t="s">
        <v>433</v>
      </c>
      <c r="F15523">
        <v>4.6264770012359197E-9</v>
      </c>
      <c r="G15523">
        <v>45674908</v>
      </c>
      <c r="H15523">
        <v>11995519</v>
      </c>
      <c r="I15523">
        <v>28297066</v>
      </c>
      <c r="J15523">
        <v>3</v>
      </c>
    </row>
    <row r="15524" spans="1:10" x14ac:dyDescent="0.25">
      <c r="A15524" t="s">
        <v>164</v>
      </c>
      <c r="B15524" s="1" t="str">
        <f>HYPERLINK("http://thinkfullerfordautos.com","thinkfullerfordautos.com")</f>
        <v>thinkfullerfordautos.com</v>
      </c>
      <c r="C15524" t="s">
        <v>433</v>
      </c>
      <c r="J15524">
        <v>3</v>
      </c>
    </row>
    <row r="15525" spans="1:10" x14ac:dyDescent="0.25">
      <c r="A15525" t="s">
        <v>164</v>
      </c>
      <c r="B15525" s="1" t="str">
        <f>HYPERLINK("http://thomasvilleford.com","thomasvilleford.com")</f>
        <v>thomasvilleford.com</v>
      </c>
      <c r="C15525" t="s">
        <v>433</v>
      </c>
      <c r="F15525">
        <v>5.9336470388913999E-9</v>
      </c>
      <c r="G15525">
        <v>17127806</v>
      </c>
      <c r="H15525">
        <v>12212507</v>
      </c>
      <c r="I15525">
        <v>22965783</v>
      </c>
      <c r="J15525">
        <v>3</v>
      </c>
    </row>
    <row r="15526" spans="1:10" x14ac:dyDescent="0.25">
      <c r="A15526" t="s">
        <v>164</v>
      </c>
      <c r="B15526" s="1" t="str">
        <f>HYPERLINK("http://toliverfordmineola.com","toliverfordmineola.com")</f>
        <v>toliverfordmineola.com</v>
      </c>
      <c r="C15526" t="s">
        <v>433</v>
      </c>
      <c r="F15526">
        <v>5.23670195010623E-9</v>
      </c>
      <c r="G15526">
        <v>24466822</v>
      </c>
      <c r="H15526">
        <v>12275846</v>
      </c>
      <c r="I15526">
        <v>21396109</v>
      </c>
      <c r="J15526">
        <v>6</v>
      </c>
    </row>
    <row r="15527" spans="1:10" x14ac:dyDescent="0.25">
      <c r="A15527" t="s">
        <v>164</v>
      </c>
      <c r="B15527" s="1" t="str">
        <f>HYPERLINK("http://trfordlincoln.com","trfordlincoln.com")</f>
        <v>trfordlincoln.com</v>
      </c>
      <c r="C15527" t="s">
        <v>433</v>
      </c>
      <c r="F15527">
        <v>1.03116733102803E-8</v>
      </c>
      <c r="G15527">
        <v>6440035</v>
      </c>
      <c r="H15527">
        <v>12559710</v>
      </c>
      <c r="I15527">
        <v>16717196</v>
      </c>
      <c r="J15527">
        <v>3</v>
      </c>
    </row>
    <row r="15528" spans="1:10" x14ac:dyDescent="0.25">
      <c r="A15528" t="s">
        <v>164</v>
      </c>
      <c r="B15528" s="1" t="str">
        <f>HYPERLINK("http://vachonford.com","vachonford.com")</f>
        <v>vachonford.com</v>
      </c>
      <c r="C15528" t="s">
        <v>433</v>
      </c>
      <c r="F15528">
        <v>5.4593594061520101E-9</v>
      </c>
      <c r="G15528">
        <v>21368075</v>
      </c>
      <c r="H15528">
        <v>12420621</v>
      </c>
      <c r="I15528">
        <v>18444360</v>
      </c>
      <c r="J15528">
        <v>3</v>
      </c>
    </row>
    <row r="15529" spans="1:10" x14ac:dyDescent="0.25">
      <c r="A15529" t="s">
        <v>164</v>
      </c>
      <c r="B15529" s="1" t="str">
        <f>HYPERLINK("http://vicbaileyford.com","vicbaileyford.com")</f>
        <v>vicbaileyford.com</v>
      </c>
      <c r="C15529" t="s">
        <v>433</v>
      </c>
      <c r="F15529">
        <v>9.2158670445047607E-9</v>
      </c>
      <c r="G15529">
        <v>7688648</v>
      </c>
      <c r="H15529">
        <v>12598140</v>
      </c>
      <c r="I15529">
        <v>16342973</v>
      </c>
      <c r="J15529">
        <v>3</v>
      </c>
    </row>
    <row r="15530" spans="1:10" x14ac:dyDescent="0.25">
      <c r="A15530" t="s">
        <v>164</v>
      </c>
      <c r="B15530" s="1" t="str">
        <f>HYPERLINK("http://villaford.com","villaford.com")</f>
        <v>villaford.com</v>
      </c>
      <c r="C15530" t="s">
        <v>433</v>
      </c>
      <c r="F15530">
        <v>2.2328202982949599E-8</v>
      </c>
      <c r="G15530">
        <v>2347650</v>
      </c>
      <c r="H15530">
        <v>13362443</v>
      </c>
      <c r="I15530">
        <v>10503279</v>
      </c>
      <c r="J15530">
        <v>3</v>
      </c>
    </row>
    <row r="15531" spans="1:10" x14ac:dyDescent="0.25">
      <c r="A15531" t="s">
        <v>164</v>
      </c>
      <c r="B15531" s="1" t="str">
        <f>HYPERLINK("http://westpointvaford.com","westpointvaford.com")</f>
        <v>westpointvaford.com</v>
      </c>
      <c r="C15531" t="s">
        <v>433</v>
      </c>
      <c r="F15531">
        <v>5.30184965594166E-9</v>
      </c>
      <c r="G15531">
        <v>23464631</v>
      </c>
      <c r="H15531">
        <v>12162703</v>
      </c>
      <c r="I15531">
        <v>24290075</v>
      </c>
      <c r="J15531">
        <v>3</v>
      </c>
    </row>
    <row r="15532" spans="1:10" x14ac:dyDescent="0.25">
      <c r="A15532" t="s">
        <v>164</v>
      </c>
      <c r="B15532" s="1" t="str">
        <f>HYPERLINK("http://windyford.com","windyford.com")</f>
        <v>windyford.com</v>
      </c>
      <c r="C15532" t="s">
        <v>433</v>
      </c>
      <c r="F15532">
        <v>4.4536373968835399E-9</v>
      </c>
      <c r="G15532">
        <v>70083361</v>
      </c>
      <c r="H15532">
        <v>11962159</v>
      </c>
      <c r="I15532">
        <v>28917833</v>
      </c>
      <c r="J15532">
        <v>3</v>
      </c>
    </row>
    <row r="15533" spans="1:10" x14ac:dyDescent="0.25">
      <c r="A15533" t="s">
        <v>164</v>
      </c>
      <c r="B15533" s="1" t="str">
        <f>HYPERLINK("http://zenderford.com","zenderford.com")</f>
        <v>zenderford.com</v>
      </c>
      <c r="C15533" t="s">
        <v>433</v>
      </c>
      <c r="F15533">
        <v>1.03654045897457E-8</v>
      </c>
      <c r="G15533">
        <v>6390553</v>
      </c>
      <c r="H15533">
        <v>12564426</v>
      </c>
      <c r="I15533">
        <v>16675166</v>
      </c>
      <c r="J15533">
        <v>3</v>
      </c>
    </row>
    <row r="15534" spans="1:10" x14ac:dyDescent="0.25">
      <c r="A15534" t="s">
        <v>164</v>
      </c>
      <c r="B15534" s="1" t="str">
        <f>HYPERLINK("http://ford.cz","ford.cz")</f>
        <v>ford.cz</v>
      </c>
      <c r="C15534" t="s">
        <v>435</v>
      </c>
      <c r="D15534" t="s">
        <v>814</v>
      </c>
      <c r="E15534">
        <v>730634</v>
      </c>
      <c r="F15534">
        <v>1.5113910735797E-7</v>
      </c>
      <c r="G15534">
        <v>257032</v>
      </c>
      <c r="H15534">
        <v>14090619</v>
      </c>
      <c r="I15534">
        <v>2748735</v>
      </c>
      <c r="J15534">
        <v>2</v>
      </c>
    </row>
    <row r="15535" spans="1:10" x14ac:dyDescent="0.25">
      <c r="A15535" t="s">
        <v>164</v>
      </c>
      <c r="B15535" s="1" t="str">
        <f>HYPERLINK("http://ford-autoin.cz","ford-autoin.cz")</f>
        <v>ford-autoin.cz</v>
      </c>
      <c r="C15535" t="s">
        <v>435</v>
      </c>
      <c r="D15535" t="s">
        <v>814</v>
      </c>
      <c r="F15535">
        <v>6.1737467332007897E-9</v>
      </c>
      <c r="G15535">
        <v>15672768</v>
      </c>
      <c r="H15535">
        <v>12252369</v>
      </c>
      <c r="I15535">
        <v>21955399</v>
      </c>
      <c r="J15535">
        <v>3</v>
      </c>
    </row>
    <row r="15536" spans="1:10" x14ac:dyDescent="0.25">
      <c r="A15536" t="s">
        <v>164</v>
      </c>
      <c r="B15536" s="1" t="str">
        <f>HYPERLINK("http://fordbenesov.cz","fordbenesov.cz")</f>
        <v>fordbenesov.cz</v>
      </c>
      <c r="C15536" t="s">
        <v>435</v>
      </c>
      <c r="D15536" t="s">
        <v>814</v>
      </c>
      <c r="F15536">
        <v>4.5204179488428804E-9</v>
      </c>
      <c r="G15536">
        <v>56174523</v>
      </c>
      <c r="H15536">
        <v>10131769</v>
      </c>
      <c r="I15536">
        <v>59570112</v>
      </c>
      <c r="J15536">
        <v>3</v>
      </c>
    </row>
    <row r="15537" spans="1:10" x14ac:dyDescent="0.25">
      <c r="A15537" t="s">
        <v>164</v>
      </c>
      <c r="B15537" s="1" t="str">
        <f>HYPERLINK("http://novakpisek.cz","novakpisek.cz")</f>
        <v>novakpisek.cz</v>
      </c>
      <c r="C15537" t="s">
        <v>435</v>
      </c>
      <c r="D15537" t="s">
        <v>814</v>
      </c>
      <c r="F15537">
        <v>4.4449907704996E-9</v>
      </c>
      <c r="G15537">
        <v>75803532</v>
      </c>
      <c r="H15537">
        <v>9470341</v>
      </c>
      <c r="I15537">
        <v>66197571</v>
      </c>
      <c r="J15537">
        <v>3</v>
      </c>
    </row>
    <row r="15538" spans="1:10" x14ac:dyDescent="0.25">
      <c r="A15538" t="s">
        <v>164</v>
      </c>
      <c r="B15538" s="1" t="str">
        <f>HYPERLINK("http://abali-bathauer.de","abali-bathauer.de")</f>
        <v>abali-bathauer.de</v>
      </c>
      <c r="C15538" t="s">
        <v>436</v>
      </c>
      <c r="D15538" t="s">
        <v>815</v>
      </c>
      <c r="J15538">
        <v>3</v>
      </c>
    </row>
    <row r="15539" spans="1:10" x14ac:dyDescent="0.25">
      <c r="A15539" t="s">
        <v>164</v>
      </c>
      <c r="B15539" s="1" t="str">
        <f>HYPERLINK("http://auto-bormann-online.de","auto-bormann-online.de")</f>
        <v>auto-bormann-online.de</v>
      </c>
      <c r="C15539" t="s">
        <v>436</v>
      </c>
      <c r="D15539" t="s">
        <v>815</v>
      </c>
      <c r="F15539">
        <v>4.4650264638849503E-9</v>
      </c>
      <c r="G15539">
        <v>66256111</v>
      </c>
      <c r="H15539">
        <v>9318290</v>
      </c>
      <c r="I15539">
        <v>68327388</v>
      </c>
      <c r="J15539">
        <v>3</v>
      </c>
    </row>
    <row r="15540" spans="1:10" x14ac:dyDescent="0.25">
      <c r="A15540" t="s">
        <v>164</v>
      </c>
      <c r="B15540" s="1" t="str">
        <f>HYPERLINK("http://auto-dienst-nz.de","auto-dienst-nz.de")</f>
        <v>auto-dienst-nz.de</v>
      </c>
      <c r="C15540" t="s">
        <v>436</v>
      </c>
      <c r="D15540" t="s">
        <v>815</v>
      </c>
      <c r="J15540">
        <v>3</v>
      </c>
    </row>
    <row r="15541" spans="1:10" x14ac:dyDescent="0.25">
      <c r="A15541" t="s">
        <v>164</v>
      </c>
      <c r="B15541" s="1" t="str">
        <f>HYPERLINK("http://auto-hermann.de","auto-hermann.de")</f>
        <v>auto-hermann.de</v>
      </c>
      <c r="C15541" t="s">
        <v>436</v>
      </c>
      <c r="D15541" t="s">
        <v>815</v>
      </c>
      <c r="F15541">
        <v>8.5091660461105797E-9</v>
      </c>
      <c r="G15541">
        <v>8828428</v>
      </c>
      <c r="H15541">
        <v>12019524</v>
      </c>
      <c r="I15541">
        <v>27877114</v>
      </c>
      <c r="J15541">
        <v>3</v>
      </c>
    </row>
    <row r="15542" spans="1:10" x14ac:dyDescent="0.25">
      <c r="A15542" t="s">
        <v>164</v>
      </c>
      <c r="B15542" s="1" t="str">
        <f>HYPERLINK("http://auto-stiehl.de","auto-stiehl.de")</f>
        <v>auto-stiehl.de</v>
      </c>
      <c r="C15542" t="s">
        <v>436</v>
      </c>
      <c r="D15542" t="s">
        <v>815</v>
      </c>
      <c r="F15542">
        <v>4.61813076678444E-9</v>
      </c>
      <c r="G15542">
        <v>46266727</v>
      </c>
      <c r="H15542">
        <v>12039706</v>
      </c>
      <c r="I15542">
        <v>27466495</v>
      </c>
      <c r="J15542">
        <v>3</v>
      </c>
    </row>
    <row r="15543" spans="1:10" x14ac:dyDescent="0.25">
      <c r="A15543" t="s">
        <v>164</v>
      </c>
      <c r="B15543" s="1" t="str">
        <f>HYPERLINK("http://autoauers.de","autoauers.de")</f>
        <v>autoauers.de</v>
      </c>
      <c r="C15543" t="s">
        <v>436</v>
      </c>
      <c r="D15543" t="s">
        <v>815</v>
      </c>
      <c r="F15543">
        <v>5.6490159633477701E-9</v>
      </c>
      <c r="G15543">
        <v>19400983</v>
      </c>
      <c r="H15543">
        <v>12148979</v>
      </c>
      <c r="I15543">
        <v>24648286</v>
      </c>
      <c r="J15543">
        <v>3</v>
      </c>
    </row>
    <row r="15544" spans="1:10" x14ac:dyDescent="0.25">
      <c r="A15544" t="s">
        <v>164</v>
      </c>
      <c r="B15544" s="1" t="str">
        <f>HYPERLINK("http://autobeck.de","autobeck.de")</f>
        <v>autobeck.de</v>
      </c>
      <c r="C15544" t="s">
        <v>436</v>
      </c>
      <c r="D15544" t="s">
        <v>815</v>
      </c>
      <c r="F15544">
        <v>5.0397412096481703E-9</v>
      </c>
      <c r="G15544">
        <v>28448108</v>
      </c>
      <c r="H15544">
        <v>12050496</v>
      </c>
      <c r="I15544">
        <v>27220114</v>
      </c>
      <c r="J15544">
        <v>3</v>
      </c>
    </row>
    <row r="15545" spans="1:10" x14ac:dyDescent="0.25">
      <c r="A15545" t="s">
        <v>164</v>
      </c>
      <c r="B15545" s="1" t="str">
        <f>HYPERLINK("http://autocentrum-thiel.de","autocentrum-thiel.de")</f>
        <v>autocentrum-thiel.de</v>
      </c>
      <c r="C15545" t="s">
        <v>436</v>
      </c>
      <c r="D15545" t="s">
        <v>815</v>
      </c>
      <c r="F15545">
        <v>5.4970768385028E-9</v>
      </c>
      <c r="G15545">
        <v>20934883</v>
      </c>
      <c r="H15545">
        <v>13466453</v>
      </c>
      <c r="I15545">
        <v>10055424</v>
      </c>
      <c r="J15545">
        <v>3</v>
      </c>
    </row>
    <row r="15546" spans="1:10" x14ac:dyDescent="0.25">
      <c r="A15546" t="s">
        <v>164</v>
      </c>
      <c r="B15546" s="1" t="str">
        <f>HYPERLINK("http://autohaus-ansel.de","autohaus-ansel.de")</f>
        <v>autohaus-ansel.de</v>
      </c>
      <c r="C15546" t="s">
        <v>436</v>
      </c>
      <c r="D15546" t="s">
        <v>815</v>
      </c>
      <c r="F15546">
        <v>5.0461106663318299E-9</v>
      </c>
      <c r="G15546">
        <v>28309463</v>
      </c>
      <c r="H15546">
        <v>12739747</v>
      </c>
      <c r="I15546">
        <v>15139837</v>
      </c>
      <c r="J15546">
        <v>3</v>
      </c>
    </row>
    <row r="15547" spans="1:10" x14ac:dyDescent="0.25">
      <c r="A15547" t="s">
        <v>164</v>
      </c>
      <c r="B15547" s="1" t="str">
        <f>HYPERLINK("http://autohaus-betz.de","autohaus-betz.de")</f>
        <v>autohaus-betz.de</v>
      </c>
      <c r="C15547" t="s">
        <v>436</v>
      </c>
      <c r="D15547" t="s">
        <v>815</v>
      </c>
      <c r="F15547">
        <v>4.8961996599495596E-9</v>
      </c>
      <c r="G15547">
        <v>32578081</v>
      </c>
      <c r="H15547">
        <v>12088418</v>
      </c>
      <c r="I15547">
        <v>26307233</v>
      </c>
      <c r="J15547">
        <v>3</v>
      </c>
    </row>
    <row r="15548" spans="1:10" x14ac:dyDescent="0.25">
      <c r="A15548" t="s">
        <v>164</v>
      </c>
      <c r="B15548" s="1" t="str">
        <f>HYPERLINK("http://autohaus-buesching.de","autohaus-buesching.de")</f>
        <v>autohaus-buesching.de</v>
      </c>
      <c r="C15548" t="s">
        <v>436</v>
      </c>
      <c r="D15548" t="s">
        <v>815</v>
      </c>
      <c r="F15548">
        <v>5.28742676426726E-9</v>
      </c>
      <c r="G15548">
        <v>23682004</v>
      </c>
      <c r="H15548">
        <v>13013301</v>
      </c>
      <c r="I15548">
        <v>12739803</v>
      </c>
      <c r="J15548">
        <v>3</v>
      </c>
    </row>
    <row r="15549" spans="1:10" x14ac:dyDescent="0.25">
      <c r="A15549" t="s">
        <v>164</v>
      </c>
      <c r="B15549" s="1" t="str">
        <f>HYPERLINK("http://autohaus-ford-meyer.de","autohaus-ford-meyer.de")</f>
        <v>autohaus-ford-meyer.de</v>
      </c>
      <c r="C15549" t="s">
        <v>436</v>
      </c>
      <c r="D15549" t="s">
        <v>815</v>
      </c>
      <c r="F15549">
        <v>4.6532953294075597E-9</v>
      </c>
      <c r="G15549">
        <v>43945187</v>
      </c>
      <c r="H15549">
        <v>12292739</v>
      </c>
      <c r="I15549">
        <v>21015153</v>
      </c>
      <c r="J15549">
        <v>3</v>
      </c>
    </row>
    <row r="15550" spans="1:10" x14ac:dyDescent="0.25">
      <c r="A15550" t="s">
        <v>164</v>
      </c>
      <c r="B15550" s="1" t="str">
        <f>HYPERLINK("http://autohaus-gegner.de","autohaus-gegner.de")</f>
        <v>autohaus-gegner.de</v>
      </c>
      <c r="C15550" t="s">
        <v>436</v>
      </c>
      <c r="D15550" t="s">
        <v>815</v>
      </c>
      <c r="F15550">
        <v>1.136695194993E-8</v>
      </c>
      <c r="G15550">
        <v>5596675</v>
      </c>
      <c r="H15550">
        <v>12023276</v>
      </c>
      <c r="I15550">
        <v>27810416</v>
      </c>
      <c r="J15550">
        <v>3</v>
      </c>
    </row>
    <row r="15551" spans="1:10" x14ac:dyDescent="0.25">
      <c r="A15551" t="s">
        <v>164</v>
      </c>
      <c r="B15551" s="1" t="str">
        <f>HYPERLINK("http://autohaus-graalmann.de","autohaus-graalmann.de")</f>
        <v>autohaus-graalmann.de</v>
      </c>
      <c r="C15551" t="s">
        <v>436</v>
      </c>
      <c r="D15551" t="s">
        <v>815</v>
      </c>
      <c r="F15551">
        <v>4.6083120336116297E-9</v>
      </c>
      <c r="G15551">
        <v>46971612</v>
      </c>
      <c r="H15551">
        <v>12088419</v>
      </c>
      <c r="I15551">
        <v>26305430</v>
      </c>
      <c r="J15551">
        <v>3</v>
      </c>
    </row>
    <row r="15552" spans="1:10" x14ac:dyDescent="0.25">
      <c r="A15552" t="s">
        <v>164</v>
      </c>
      <c r="B15552" s="1" t="str">
        <f>HYPERLINK("http://autohaus-hermanns.de","autohaus-hermanns.de")</f>
        <v>autohaus-hermanns.de</v>
      </c>
      <c r="C15552" t="s">
        <v>436</v>
      </c>
      <c r="D15552" t="s">
        <v>815</v>
      </c>
      <c r="F15552">
        <v>4.6100767981441501E-9</v>
      </c>
      <c r="G15552">
        <v>46838622</v>
      </c>
      <c r="H15552">
        <v>8548237</v>
      </c>
      <c r="I15552">
        <v>71420606</v>
      </c>
      <c r="J15552">
        <v>3</v>
      </c>
    </row>
    <row r="15553" spans="1:10" x14ac:dyDescent="0.25">
      <c r="A15553" t="s">
        <v>164</v>
      </c>
      <c r="B15553" s="1" t="str">
        <f>HYPERLINK("http://autohaus-janssen.de","autohaus-janssen.de")</f>
        <v>autohaus-janssen.de</v>
      </c>
      <c r="C15553" t="s">
        <v>436</v>
      </c>
      <c r="D15553" t="s">
        <v>815</v>
      </c>
      <c r="F15553">
        <v>5.2146824378231201E-9</v>
      </c>
      <c r="G15553">
        <v>24840017</v>
      </c>
      <c r="H15553">
        <v>12125059</v>
      </c>
      <c r="I15553">
        <v>25278404</v>
      </c>
      <c r="J15553">
        <v>3</v>
      </c>
    </row>
    <row r="15554" spans="1:10" x14ac:dyDescent="0.25">
      <c r="A15554" t="s">
        <v>164</v>
      </c>
      <c r="B15554" s="1" t="str">
        <f>HYPERLINK("http://autohaus-kessenich.de","autohaus-kessenich.de")</f>
        <v>autohaus-kessenich.de</v>
      </c>
      <c r="C15554" t="s">
        <v>436</v>
      </c>
      <c r="D15554" t="s">
        <v>815</v>
      </c>
      <c r="F15554">
        <v>4.45575158949594E-9</v>
      </c>
      <c r="G15554">
        <v>69210538</v>
      </c>
      <c r="H15554">
        <v>10850473</v>
      </c>
      <c r="I15554">
        <v>36848082</v>
      </c>
      <c r="J15554">
        <v>3</v>
      </c>
    </row>
    <row r="15555" spans="1:10" x14ac:dyDescent="0.25">
      <c r="A15555" t="s">
        <v>164</v>
      </c>
      <c r="B15555" s="1" t="str">
        <f>HYPERLINK("http://autohaus-kirmse.de","autohaus-kirmse.de")</f>
        <v>autohaus-kirmse.de</v>
      </c>
      <c r="C15555" t="s">
        <v>436</v>
      </c>
      <c r="D15555" t="s">
        <v>815</v>
      </c>
      <c r="F15555">
        <v>6.3034250592561702E-9</v>
      </c>
      <c r="G15555">
        <v>15015178</v>
      </c>
      <c r="H15555">
        <v>8527377</v>
      </c>
      <c r="I15555">
        <v>71779056</v>
      </c>
      <c r="J15555">
        <v>3</v>
      </c>
    </row>
    <row r="15556" spans="1:10" x14ac:dyDescent="0.25">
      <c r="A15556" t="s">
        <v>164</v>
      </c>
      <c r="B15556" s="1" t="str">
        <f>HYPERLINK("http://autohaus-ortgies.de","autohaus-ortgies.de")</f>
        <v>autohaus-ortgies.de</v>
      </c>
      <c r="C15556" t="s">
        <v>436</v>
      </c>
      <c r="D15556" t="s">
        <v>815</v>
      </c>
      <c r="F15556">
        <v>4.4568597686747502E-9</v>
      </c>
      <c r="G15556">
        <v>68790697</v>
      </c>
      <c r="H15556">
        <v>10509479</v>
      </c>
      <c r="I15556">
        <v>49782433</v>
      </c>
      <c r="J15556">
        <v>3</v>
      </c>
    </row>
    <row r="15557" spans="1:10" x14ac:dyDescent="0.25">
      <c r="A15557" t="s">
        <v>164</v>
      </c>
      <c r="B15557" s="1" t="str">
        <f>HYPERLINK("http://autohaus-seiz.de","autohaus-seiz.de")</f>
        <v>autohaus-seiz.de</v>
      </c>
      <c r="C15557" t="s">
        <v>436</v>
      </c>
      <c r="D15557" t="s">
        <v>815</v>
      </c>
      <c r="J15557">
        <v>3</v>
      </c>
    </row>
    <row r="15558" spans="1:10" x14ac:dyDescent="0.25">
      <c r="A15558" t="s">
        <v>164</v>
      </c>
      <c r="B15558" s="1" t="str">
        <f>HYPERLINK("http://autohaus-stietz.de","autohaus-stietz.de")</f>
        <v>autohaus-stietz.de</v>
      </c>
      <c r="C15558" t="s">
        <v>436</v>
      </c>
      <c r="D15558" t="s">
        <v>815</v>
      </c>
      <c r="F15558">
        <v>7.0602119643517298E-9</v>
      </c>
      <c r="G15558">
        <v>12126425</v>
      </c>
      <c r="H15558">
        <v>12216559</v>
      </c>
      <c r="I15558">
        <v>22869613</v>
      </c>
      <c r="J15558">
        <v>3</v>
      </c>
    </row>
    <row r="15559" spans="1:10" x14ac:dyDescent="0.25">
      <c r="A15559" t="s">
        <v>164</v>
      </c>
      <c r="B15559" s="1" t="str">
        <f>HYPERLINK("http://autohausbusch.de","autohausbusch.de")</f>
        <v>autohausbusch.de</v>
      </c>
      <c r="C15559" t="s">
        <v>436</v>
      </c>
      <c r="D15559" t="s">
        <v>815</v>
      </c>
      <c r="F15559">
        <v>6.3489446021865701E-9</v>
      </c>
      <c r="G15559">
        <v>14767197</v>
      </c>
      <c r="H15559">
        <v>10831835</v>
      </c>
      <c r="I15559">
        <v>37352512</v>
      </c>
      <c r="J15559">
        <v>3</v>
      </c>
    </row>
    <row r="15560" spans="1:10" x14ac:dyDescent="0.25">
      <c r="A15560" t="s">
        <v>164</v>
      </c>
      <c r="B15560" s="1" t="str">
        <f>HYPERLINK("http://automobile-dallgow.de","automobile-dallgow.de")</f>
        <v>automobile-dallgow.de</v>
      </c>
      <c r="C15560" t="s">
        <v>436</v>
      </c>
      <c r="D15560" t="s">
        <v>815</v>
      </c>
      <c r="F15560">
        <v>4.4900581308758501E-9</v>
      </c>
      <c r="G15560">
        <v>60512177</v>
      </c>
      <c r="H15560">
        <v>9487474</v>
      </c>
      <c r="I15560">
        <v>65904622</v>
      </c>
      <c r="J15560">
        <v>3</v>
      </c>
    </row>
    <row r="15561" spans="1:10" x14ac:dyDescent="0.25">
      <c r="A15561" t="s">
        <v>164</v>
      </c>
      <c r="B15561" s="1" t="str">
        <f>HYPERLINK("http://autoservice-berthold.de","autoservice-berthold.de")</f>
        <v>autoservice-berthold.de</v>
      </c>
      <c r="C15561" t="s">
        <v>436</v>
      </c>
      <c r="D15561" t="s">
        <v>815</v>
      </c>
      <c r="F15561">
        <v>5.1017637152787901E-9</v>
      </c>
      <c r="G15561">
        <v>27040269</v>
      </c>
      <c r="H15561">
        <v>10975438</v>
      </c>
      <c r="I15561">
        <v>34024551</v>
      </c>
      <c r="J15561">
        <v>3</v>
      </c>
    </row>
    <row r="15562" spans="1:10" x14ac:dyDescent="0.25">
      <c r="A15562" t="s">
        <v>164</v>
      </c>
      <c r="B15562" s="1" t="str">
        <f>HYPERLINK("http://blatter-besigheim.de","blatter-besigheim.de")</f>
        <v>blatter-besigheim.de</v>
      </c>
      <c r="C15562" t="s">
        <v>436</v>
      </c>
      <c r="D15562" t="s">
        <v>815</v>
      </c>
      <c r="F15562">
        <v>4.8771443655805003E-9</v>
      </c>
      <c r="G15562">
        <v>33173262</v>
      </c>
      <c r="H15562">
        <v>9942068</v>
      </c>
      <c r="I15562">
        <v>61290963</v>
      </c>
      <c r="J15562">
        <v>3</v>
      </c>
    </row>
    <row r="15563" spans="1:10" x14ac:dyDescent="0.25">
      <c r="A15563" t="s">
        <v>164</v>
      </c>
      <c r="B15563" s="1" t="str">
        <f>HYPERLINK("http://dinnebier-leipzig.de","dinnebier-leipzig.de")</f>
        <v>dinnebier-leipzig.de</v>
      </c>
      <c r="C15563" t="s">
        <v>436</v>
      </c>
      <c r="D15563" t="s">
        <v>815</v>
      </c>
      <c r="F15563">
        <v>1.68331787779081E-8</v>
      </c>
      <c r="G15563">
        <v>3325228</v>
      </c>
      <c r="H15563">
        <v>12257998</v>
      </c>
      <c r="I15563">
        <v>21825627</v>
      </c>
      <c r="J15563">
        <v>5</v>
      </c>
    </row>
    <row r="15564" spans="1:10" x14ac:dyDescent="0.25">
      <c r="A15564" t="s">
        <v>164</v>
      </c>
      <c r="B15564" s="1" t="str">
        <f>HYPERLINK("http://dinnebiergruppe.de","dinnebiergruppe.de")</f>
        <v>dinnebiergruppe.de</v>
      </c>
      <c r="C15564" t="s">
        <v>436</v>
      </c>
      <c r="D15564" t="s">
        <v>815</v>
      </c>
      <c r="F15564">
        <v>4.23758060195728E-8</v>
      </c>
      <c r="G15564">
        <v>1146146</v>
      </c>
      <c r="H15564">
        <v>12809406</v>
      </c>
      <c r="I15564">
        <v>14591355</v>
      </c>
      <c r="J15564">
        <v>3</v>
      </c>
    </row>
    <row r="15565" spans="1:10" x14ac:dyDescent="0.25">
      <c r="A15565" t="s">
        <v>164</v>
      </c>
      <c r="B15565" s="1" t="str">
        <f>HYPERLINK("http://ebbert.de","ebbert.de")</f>
        <v>ebbert.de</v>
      </c>
      <c r="C15565" t="s">
        <v>436</v>
      </c>
      <c r="D15565" t="s">
        <v>815</v>
      </c>
      <c r="F15565">
        <v>5.5783381564103303E-9</v>
      </c>
      <c r="G15565">
        <v>20071609</v>
      </c>
      <c r="H15565">
        <v>11876330</v>
      </c>
      <c r="I15565">
        <v>29604880</v>
      </c>
      <c r="J15565">
        <v>3</v>
      </c>
    </row>
    <row r="15566" spans="1:10" x14ac:dyDescent="0.25">
      <c r="A15566" t="s">
        <v>164</v>
      </c>
      <c r="B15566" s="1" t="str">
        <f>HYPERLINK("http://ford.de","ford.de")</f>
        <v>ford.de</v>
      </c>
      <c r="C15566" t="s">
        <v>436</v>
      </c>
      <c r="D15566" t="s">
        <v>815</v>
      </c>
      <c r="E15566">
        <v>101899</v>
      </c>
      <c r="F15566">
        <v>1.46620936451508E-6</v>
      </c>
      <c r="G15566">
        <v>26749</v>
      </c>
      <c r="H15566">
        <v>15336288</v>
      </c>
      <c r="I15566">
        <v>383614</v>
      </c>
      <c r="J15566">
        <v>2</v>
      </c>
    </row>
    <row r="15567" spans="1:10" x14ac:dyDescent="0.25">
      <c r="A15567" t="s">
        <v>164</v>
      </c>
      <c r="B15567" s="1" t="str">
        <f>HYPERLINK("http://ford-acn-norden.de","ford-acn-norden.de")</f>
        <v>ford-acn-norden.de</v>
      </c>
      <c r="C15567" t="s">
        <v>436</v>
      </c>
      <c r="D15567" t="s">
        <v>815</v>
      </c>
      <c r="F15567">
        <v>5.0094251120446201E-9</v>
      </c>
      <c r="G15567">
        <v>29177691</v>
      </c>
      <c r="H15567">
        <v>12032615</v>
      </c>
      <c r="I15567">
        <v>27605839</v>
      </c>
      <c r="J15567">
        <v>3</v>
      </c>
    </row>
    <row r="15568" spans="1:10" x14ac:dyDescent="0.25">
      <c r="A15568" t="s">
        <v>164</v>
      </c>
      <c r="B15568" s="1" t="str">
        <f>HYPERLINK("http://ford-aeppelallee.de","ford-aeppelallee.de")</f>
        <v>ford-aeppelallee.de</v>
      </c>
      <c r="C15568" t="s">
        <v>436</v>
      </c>
      <c r="D15568" t="s">
        <v>815</v>
      </c>
      <c r="J15568">
        <v>3</v>
      </c>
    </row>
    <row r="15569" spans="1:10" x14ac:dyDescent="0.25">
      <c r="A15569" t="s">
        <v>164</v>
      </c>
      <c r="B15569" s="1" t="str">
        <f>HYPERLINK("http://ford-ahrens-papenburg.de","ford-ahrens-papenburg.de")</f>
        <v>ford-ahrens-papenburg.de</v>
      </c>
      <c r="C15569" t="s">
        <v>436</v>
      </c>
      <c r="D15569" t="s">
        <v>815</v>
      </c>
      <c r="F15569">
        <v>4.6816895333371501E-9</v>
      </c>
      <c r="G15569">
        <v>42235171</v>
      </c>
      <c r="H15569">
        <v>7616717.5</v>
      </c>
      <c r="I15569">
        <v>76200283</v>
      </c>
      <c r="J15569">
        <v>3</v>
      </c>
    </row>
    <row r="15570" spans="1:10" x14ac:dyDescent="0.25">
      <c r="A15570" t="s">
        <v>164</v>
      </c>
      <c r="B15570" s="1" t="str">
        <f>HYPERLINK("http://ford-am-see-stolzenau.de","ford-am-see-stolzenau.de")</f>
        <v>ford-am-see-stolzenau.de</v>
      </c>
      <c r="C15570" t="s">
        <v>436</v>
      </c>
      <c r="D15570" t="s">
        <v>815</v>
      </c>
      <c r="F15570">
        <v>5.2916059381360997E-9</v>
      </c>
      <c r="G15570">
        <v>23619232</v>
      </c>
      <c r="H15570">
        <v>12752618</v>
      </c>
      <c r="I15570">
        <v>15006911</v>
      </c>
      <c r="J15570">
        <v>3</v>
      </c>
    </row>
    <row r="15571" spans="1:10" x14ac:dyDescent="0.25">
      <c r="A15571" t="s">
        <v>164</v>
      </c>
      <c r="B15571" s="1" t="str">
        <f>HYPERLINK("http://ford-arnold-liebenau.de","ford-arnold-liebenau.de")</f>
        <v>ford-arnold-liebenau.de</v>
      </c>
      <c r="C15571" t="s">
        <v>436</v>
      </c>
      <c r="D15571" t="s">
        <v>815</v>
      </c>
      <c r="F15571">
        <v>4.4457197315952898E-9</v>
      </c>
      <c r="G15571">
        <v>74963379</v>
      </c>
      <c r="H15571">
        <v>10841244</v>
      </c>
      <c r="I15571">
        <v>37122728</v>
      </c>
      <c r="J15571">
        <v>3</v>
      </c>
    </row>
    <row r="15572" spans="1:10" x14ac:dyDescent="0.25">
      <c r="A15572" t="s">
        <v>164</v>
      </c>
      <c r="B15572" s="1" t="str">
        <f>HYPERLINK("http://ford-autoforum-windischleuba-altenburg.de","ford-autoforum-windischleuba-altenburg.de")</f>
        <v>ford-autoforum-windischleuba-altenburg.de</v>
      </c>
      <c r="C15572" t="s">
        <v>436</v>
      </c>
      <c r="D15572" t="s">
        <v>815</v>
      </c>
      <c r="F15572">
        <v>8.3630667923665605E-9</v>
      </c>
      <c r="G15572">
        <v>9119271</v>
      </c>
      <c r="H15572">
        <v>10841246</v>
      </c>
      <c r="I15572">
        <v>37095759</v>
      </c>
      <c r="J15572">
        <v>3</v>
      </c>
    </row>
    <row r="15573" spans="1:10" x14ac:dyDescent="0.25">
      <c r="A15573" t="s">
        <v>164</v>
      </c>
      <c r="B15573" s="1" t="str">
        <f>HYPERLINK("http://ford-autogalerie-alfeld.de","ford-autogalerie-alfeld.de")</f>
        <v>ford-autogalerie-alfeld.de</v>
      </c>
      <c r="C15573" t="s">
        <v>436</v>
      </c>
      <c r="D15573" t="s">
        <v>815</v>
      </c>
      <c r="F15573">
        <v>6.8022240634965499E-9</v>
      </c>
      <c r="G15573">
        <v>12951971</v>
      </c>
      <c r="H15573">
        <v>12049750</v>
      </c>
      <c r="I15573">
        <v>27245601</v>
      </c>
      <c r="J15573">
        <v>3</v>
      </c>
    </row>
    <row r="15574" spans="1:10" x14ac:dyDescent="0.25">
      <c r="A15574" t="s">
        <v>164</v>
      </c>
      <c r="B15574" s="1" t="str">
        <f>HYPERLINK("http://ford-autopartner-rodewisch.de","ford-autopartner-rodewisch.de")</f>
        <v>ford-autopartner-rodewisch.de</v>
      </c>
      <c r="C15574" t="s">
        <v>436</v>
      </c>
      <c r="D15574" t="s">
        <v>815</v>
      </c>
      <c r="F15574">
        <v>8.2210373137072099E-9</v>
      </c>
      <c r="G15574">
        <v>9513487</v>
      </c>
      <c r="H15574">
        <v>1.0003663</v>
      </c>
      <c r="I15574">
        <v>79267015</v>
      </c>
      <c r="J15574">
        <v>3</v>
      </c>
    </row>
    <row r="15575" spans="1:10" x14ac:dyDescent="0.25">
      <c r="A15575" t="s">
        <v>164</v>
      </c>
      <c r="B15575" s="1" t="str">
        <f>HYPERLINK("http://ford-baur-mutlangen.de","ford-baur-mutlangen.de")</f>
        <v>ford-baur-mutlangen.de</v>
      </c>
      <c r="C15575" t="s">
        <v>436</v>
      </c>
      <c r="D15575" t="s">
        <v>815</v>
      </c>
      <c r="F15575">
        <v>4.5658625738182697E-9</v>
      </c>
      <c r="G15575">
        <v>50587511</v>
      </c>
      <c r="H15575">
        <v>8486369</v>
      </c>
      <c r="I15575">
        <v>72167398</v>
      </c>
      <c r="J15575">
        <v>3</v>
      </c>
    </row>
    <row r="15576" spans="1:10" x14ac:dyDescent="0.25">
      <c r="A15576" t="s">
        <v>164</v>
      </c>
      <c r="B15576" s="1" t="str">
        <f>HYPERLINK("http://ford-bergland-wipperfuerth.de","ford-bergland-wipperfuerth.de")</f>
        <v>ford-bergland-wipperfuerth.de</v>
      </c>
      <c r="C15576" t="s">
        <v>436</v>
      </c>
      <c r="D15576" t="s">
        <v>815</v>
      </c>
      <c r="F15576">
        <v>6.07364766154198E-9</v>
      </c>
      <c r="G15576">
        <v>16244786</v>
      </c>
      <c r="H15576">
        <v>11011950</v>
      </c>
      <c r="I15576">
        <v>33377291</v>
      </c>
      <c r="J15576">
        <v>3</v>
      </c>
    </row>
    <row r="15577" spans="1:10" x14ac:dyDescent="0.25">
      <c r="A15577" t="s">
        <v>164</v>
      </c>
      <c r="B15577" s="1" t="str">
        <f>HYPERLINK("http://ford-besico.de","ford-besico.de")</f>
        <v>ford-besico.de</v>
      </c>
      <c r="C15577" t="s">
        <v>436</v>
      </c>
      <c r="D15577" t="s">
        <v>815</v>
      </c>
      <c r="F15577">
        <v>1.0455975470730599E-8</v>
      </c>
      <c r="G15577">
        <v>6307928</v>
      </c>
      <c r="H15577">
        <v>12615895</v>
      </c>
      <c r="I15577">
        <v>16129823</v>
      </c>
      <c r="J15577">
        <v>3</v>
      </c>
    </row>
    <row r="15578" spans="1:10" x14ac:dyDescent="0.25">
      <c r="A15578" t="s">
        <v>164</v>
      </c>
      <c r="B15578" s="1" t="str">
        <f>HYPERLINK("http://ford-bihl-pfullendorf.de","ford-bihl-pfullendorf.de")</f>
        <v>ford-bihl-pfullendorf.de</v>
      </c>
      <c r="C15578" t="s">
        <v>436</v>
      </c>
      <c r="D15578" t="s">
        <v>815</v>
      </c>
      <c r="F15578">
        <v>4.7889855829877497E-9</v>
      </c>
      <c r="G15578">
        <v>36531873</v>
      </c>
      <c r="H15578">
        <v>9278961</v>
      </c>
      <c r="I15578">
        <v>68627721</v>
      </c>
      <c r="J15578">
        <v>3</v>
      </c>
    </row>
    <row r="15579" spans="1:10" x14ac:dyDescent="0.25">
      <c r="A15579" t="s">
        <v>164</v>
      </c>
      <c r="B15579" s="1" t="str">
        <f>HYPERLINK("http://ford-bihl-ueberlingen.de","ford-bihl-ueberlingen.de")</f>
        <v>ford-bihl-ueberlingen.de</v>
      </c>
      <c r="C15579" t="s">
        <v>436</v>
      </c>
      <c r="D15579" t="s">
        <v>815</v>
      </c>
      <c r="F15579">
        <v>5.1087583275073498E-9</v>
      </c>
      <c r="G15579">
        <v>26877095</v>
      </c>
      <c r="H15579">
        <v>11961375</v>
      </c>
      <c r="I15579">
        <v>28926867</v>
      </c>
      <c r="J15579">
        <v>3</v>
      </c>
    </row>
    <row r="15580" spans="1:10" x14ac:dyDescent="0.25">
      <c r="A15580" t="s">
        <v>164</v>
      </c>
      <c r="B15580" s="1" t="str">
        <f>HYPERLINK("http://ford-bolluck-goslar.de","ford-bolluck-goslar.de")</f>
        <v>ford-bolluck-goslar.de</v>
      </c>
      <c r="C15580" t="s">
        <v>436</v>
      </c>
      <c r="D15580" t="s">
        <v>815</v>
      </c>
      <c r="F15580">
        <v>5.0275495335575998E-9</v>
      </c>
      <c r="G15580">
        <v>28725483</v>
      </c>
      <c r="H15580">
        <v>9379730</v>
      </c>
      <c r="I15580">
        <v>67564008</v>
      </c>
      <c r="J15580">
        <v>3</v>
      </c>
    </row>
    <row r="15581" spans="1:10" x14ac:dyDescent="0.25">
      <c r="A15581" t="s">
        <v>164</v>
      </c>
      <c r="B15581" s="1" t="str">
        <f>HYPERLINK("http://ford-brau.de","ford-brau.de")</f>
        <v>ford-brau.de</v>
      </c>
      <c r="C15581" t="s">
        <v>436</v>
      </c>
      <c r="D15581" t="s">
        <v>815</v>
      </c>
      <c r="F15581">
        <v>9.3332545525525297E-9</v>
      </c>
      <c r="G15581">
        <v>7530040</v>
      </c>
      <c r="H15581">
        <v>12255324</v>
      </c>
      <c r="I15581">
        <v>21884130</v>
      </c>
      <c r="J15581">
        <v>3</v>
      </c>
    </row>
    <row r="15582" spans="1:10" x14ac:dyDescent="0.25">
      <c r="A15582" t="s">
        <v>164</v>
      </c>
      <c r="B15582" s="1" t="str">
        <f>HYPERLINK("http://ford-brau-oldenburg.de","ford-brau-oldenburg.de")</f>
        <v>ford-brau-oldenburg.de</v>
      </c>
      <c r="C15582" t="s">
        <v>436</v>
      </c>
      <c r="D15582" t="s">
        <v>815</v>
      </c>
      <c r="F15582">
        <v>1.23770703230249E-8</v>
      </c>
      <c r="G15582">
        <v>4951883</v>
      </c>
      <c r="H15582">
        <v>9457588</v>
      </c>
      <c r="I15582">
        <v>66391262</v>
      </c>
      <c r="J15582">
        <v>3</v>
      </c>
    </row>
    <row r="15583" spans="1:10" x14ac:dyDescent="0.25">
      <c r="A15583" t="s">
        <v>164</v>
      </c>
      <c r="B15583" s="1" t="str">
        <f>HYPERLINK("http://ford-briechle-und-braun-beimerstetten.de","ford-briechle-und-braun-beimerstetten.de")</f>
        <v>ford-briechle-und-braun-beimerstetten.de</v>
      </c>
      <c r="C15583" t="s">
        <v>436</v>
      </c>
      <c r="D15583" t="s">
        <v>815</v>
      </c>
      <c r="J15583">
        <v>3</v>
      </c>
    </row>
    <row r="15584" spans="1:10" x14ac:dyDescent="0.25">
      <c r="A15584" t="s">
        <v>164</v>
      </c>
      <c r="B15584" s="1" t="str">
        <f>HYPERLINK("http://ford-buechler.de","ford-buechler.de")</f>
        <v>ford-buechler.de</v>
      </c>
      <c r="C15584" t="s">
        <v>436</v>
      </c>
      <c r="D15584" t="s">
        <v>815</v>
      </c>
      <c r="F15584">
        <v>4.8728100677834996E-9</v>
      </c>
      <c r="G15584">
        <v>33312218</v>
      </c>
      <c r="H15584">
        <v>12102875</v>
      </c>
      <c r="I15584">
        <v>25899236</v>
      </c>
      <c r="J15584">
        <v>3</v>
      </c>
    </row>
    <row r="15585" spans="1:10" x14ac:dyDescent="0.25">
      <c r="A15585" t="s">
        <v>164</v>
      </c>
      <c r="B15585" s="1" t="str">
        <f>HYPERLINK("http://ford-bunge-boenningstedt.de","ford-bunge-boenningstedt.de")</f>
        <v>ford-bunge-boenningstedt.de</v>
      </c>
      <c r="C15585" t="s">
        <v>436</v>
      </c>
      <c r="D15585" t="s">
        <v>815</v>
      </c>
      <c r="F15585">
        <v>4.4560576167397497E-9</v>
      </c>
      <c r="G15585">
        <v>69090564</v>
      </c>
      <c r="H15585">
        <v>10929388</v>
      </c>
      <c r="I15585">
        <v>35080822</v>
      </c>
      <c r="J15585">
        <v>3</v>
      </c>
    </row>
    <row r="15586" spans="1:10" x14ac:dyDescent="0.25">
      <c r="A15586" t="s">
        <v>164</v>
      </c>
      <c r="B15586" s="1" t="str">
        <f>HYPERLINK("http://ford-buschle-bad-wurzach.de","ford-buschle-bad-wurzach.de")</f>
        <v>ford-buschle-bad-wurzach.de</v>
      </c>
      <c r="C15586" t="s">
        <v>436</v>
      </c>
      <c r="D15586" t="s">
        <v>815</v>
      </c>
      <c r="F15586">
        <v>5.02061622373855E-9</v>
      </c>
      <c r="G15586">
        <v>28886990</v>
      </c>
      <c r="H15586">
        <v>10725848</v>
      </c>
      <c r="I15586">
        <v>41282741</v>
      </c>
      <c r="J15586">
        <v>3</v>
      </c>
    </row>
    <row r="15587" spans="1:10" x14ac:dyDescent="0.25">
      <c r="A15587" t="s">
        <v>164</v>
      </c>
      <c r="B15587" s="1" t="str">
        <f>HYPERLINK("http://ford-buseck-braunfels.de","ford-buseck-braunfels.de")</f>
        <v>ford-buseck-braunfels.de</v>
      </c>
      <c r="C15587" t="s">
        <v>436</v>
      </c>
      <c r="D15587" t="s">
        <v>815</v>
      </c>
      <c r="J15587">
        <v>3</v>
      </c>
    </row>
    <row r="15588" spans="1:10" x14ac:dyDescent="0.25">
      <c r="A15588" t="s">
        <v>164</v>
      </c>
      <c r="B15588" s="1" t="str">
        <f>HYPERLINK("http://ford-creutzner-kerpen.de","ford-creutzner-kerpen.de")</f>
        <v>ford-creutzner-kerpen.de</v>
      </c>
      <c r="C15588" t="s">
        <v>436</v>
      </c>
      <c r="D15588" t="s">
        <v>815</v>
      </c>
      <c r="F15588">
        <v>5.1222037431452096E-9</v>
      </c>
      <c r="G15588">
        <v>26614561</v>
      </c>
      <c r="H15588">
        <v>9790098</v>
      </c>
      <c r="I15588">
        <v>62671969</v>
      </c>
      <c r="J15588">
        <v>3</v>
      </c>
    </row>
    <row r="15589" spans="1:10" x14ac:dyDescent="0.25">
      <c r="A15589" t="s">
        <v>164</v>
      </c>
      <c r="B15589" s="1" t="str">
        <f>HYPERLINK("http://ford-dienstedt.de","ford-dienstedt.de")</f>
        <v>ford-dienstedt.de</v>
      </c>
      <c r="C15589" t="s">
        <v>436</v>
      </c>
      <c r="D15589" t="s">
        <v>815</v>
      </c>
      <c r="F15589">
        <v>9.0167617143235992E-9</v>
      </c>
      <c r="G15589">
        <v>7967062</v>
      </c>
      <c r="H15589">
        <v>10841472</v>
      </c>
      <c r="I15589">
        <v>37078478</v>
      </c>
      <c r="J15589">
        <v>3</v>
      </c>
    </row>
    <row r="15590" spans="1:10" x14ac:dyDescent="0.25">
      <c r="A15590" t="s">
        <v>164</v>
      </c>
      <c r="B15590" s="1" t="str">
        <f>HYPERLINK("http://ford-dinnebier-marzahn.de","ford-dinnebier-marzahn.de")</f>
        <v>ford-dinnebier-marzahn.de</v>
      </c>
      <c r="C15590" t="s">
        <v>436</v>
      </c>
      <c r="D15590" t="s">
        <v>815</v>
      </c>
      <c r="F15590">
        <v>6.7136694632327998E-9</v>
      </c>
      <c r="G15590">
        <v>13255398</v>
      </c>
      <c r="H15590">
        <v>9393474</v>
      </c>
      <c r="I15590">
        <v>67364479</v>
      </c>
      <c r="J15590">
        <v>3</v>
      </c>
    </row>
    <row r="15591" spans="1:10" x14ac:dyDescent="0.25">
      <c r="A15591" t="s">
        <v>164</v>
      </c>
      <c r="B15591" s="1" t="str">
        <f>HYPERLINK("http://ford-doering-schimberg.de","ford-doering-schimberg.de")</f>
        <v>ford-doering-schimberg.de</v>
      </c>
      <c r="C15591" t="s">
        <v>436</v>
      </c>
      <c r="D15591" t="s">
        <v>815</v>
      </c>
      <c r="F15591">
        <v>4.6339228526763898E-9</v>
      </c>
      <c r="G15591">
        <v>45164162</v>
      </c>
      <c r="H15591">
        <v>9393478</v>
      </c>
      <c r="I15591">
        <v>67364423</v>
      </c>
      <c r="J15591">
        <v>3</v>
      </c>
    </row>
    <row r="15592" spans="1:10" x14ac:dyDescent="0.25">
      <c r="A15592" t="s">
        <v>164</v>
      </c>
      <c r="B15592" s="1" t="str">
        <f>HYPERLINK("http://ford-ebber-bocholt.de","ford-ebber-bocholt.de")</f>
        <v>ford-ebber-bocholt.de</v>
      </c>
      <c r="C15592" t="s">
        <v>436</v>
      </c>
      <c r="D15592" t="s">
        <v>815</v>
      </c>
      <c r="F15592">
        <v>4.9174626068165097E-9</v>
      </c>
      <c r="G15592">
        <v>31775468</v>
      </c>
      <c r="H15592">
        <v>7702308.5</v>
      </c>
      <c r="I15592">
        <v>75943259</v>
      </c>
      <c r="J15592">
        <v>3</v>
      </c>
    </row>
    <row r="15593" spans="1:10" x14ac:dyDescent="0.25">
      <c r="A15593" t="s">
        <v>164</v>
      </c>
      <c r="B15593" s="1" t="str">
        <f>HYPERLINK("http://ford-ebbinghaus.de","ford-ebbinghaus.de")</f>
        <v>ford-ebbinghaus.de</v>
      </c>
      <c r="C15593" t="s">
        <v>436</v>
      </c>
      <c r="D15593" t="s">
        <v>815</v>
      </c>
      <c r="F15593">
        <v>1.69002588570259E-8</v>
      </c>
      <c r="G15593">
        <v>3307182</v>
      </c>
      <c r="H15593">
        <v>12229410</v>
      </c>
      <c r="I15593">
        <v>22519524</v>
      </c>
      <c r="J15593">
        <v>3</v>
      </c>
    </row>
    <row r="15594" spans="1:10" x14ac:dyDescent="0.25">
      <c r="A15594" t="s">
        <v>164</v>
      </c>
      <c r="B15594" s="1" t="str">
        <f>HYPERLINK("http://ford-eberhardt-ringofenstrasse.de","ford-eberhardt-ringofenstrasse.de")</f>
        <v>ford-eberhardt-ringofenstrasse.de</v>
      </c>
      <c r="C15594" t="s">
        <v>436</v>
      </c>
      <c r="D15594" t="s">
        <v>815</v>
      </c>
      <c r="F15594">
        <v>4.44380395335525E-9</v>
      </c>
      <c r="G15594">
        <v>84344220</v>
      </c>
      <c r="H15594">
        <v>0</v>
      </c>
      <c r="I15594">
        <v>85378681</v>
      </c>
      <c r="J15594">
        <v>3</v>
      </c>
    </row>
    <row r="15595" spans="1:10" x14ac:dyDescent="0.25">
      <c r="A15595" t="s">
        <v>164</v>
      </c>
      <c r="B15595" s="1" t="str">
        <f>HYPERLINK("http://ford-egler-rosengarten.de","ford-egler-rosengarten.de")</f>
        <v>ford-egler-rosengarten.de</v>
      </c>
      <c r="C15595" t="s">
        <v>436</v>
      </c>
      <c r="D15595" t="s">
        <v>815</v>
      </c>
      <c r="F15595">
        <v>4.44380395335525E-9</v>
      </c>
      <c r="G15595">
        <v>84344224</v>
      </c>
      <c r="H15595">
        <v>0</v>
      </c>
      <c r="I15595">
        <v>85378685</v>
      </c>
      <c r="J15595">
        <v>3</v>
      </c>
    </row>
    <row r="15596" spans="1:10" x14ac:dyDescent="0.25">
      <c r="A15596" t="s">
        <v>164</v>
      </c>
      <c r="B15596" s="1" t="str">
        <f>HYPERLINK("http://ford-eschbach-lauchringen.de","ford-eschbach-lauchringen.de")</f>
        <v>ford-eschbach-lauchringen.de</v>
      </c>
      <c r="C15596" t="s">
        <v>436</v>
      </c>
      <c r="D15596" t="s">
        <v>815</v>
      </c>
      <c r="F15596">
        <v>4.5319651573491897E-9</v>
      </c>
      <c r="G15596">
        <v>54841769</v>
      </c>
      <c r="H15596">
        <v>7098599.5</v>
      </c>
      <c r="I15596">
        <v>76633945</v>
      </c>
      <c r="J15596">
        <v>3</v>
      </c>
    </row>
    <row r="15597" spans="1:10" x14ac:dyDescent="0.25">
      <c r="A15597" t="s">
        <v>164</v>
      </c>
      <c r="B15597" s="1" t="str">
        <f>HYPERLINK("http://ford-esst.de","ford-esst.de")</f>
        <v>ford-esst.de</v>
      </c>
      <c r="C15597" t="s">
        <v>436</v>
      </c>
      <c r="D15597" t="s">
        <v>815</v>
      </c>
      <c r="F15597">
        <v>7.1224466069911999E-9</v>
      </c>
      <c r="G15597">
        <v>11952646</v>
      </c>
      <c r="H15597">
        <v>12222474</v>
      </c>
      <c r="I15597">
        <v>22730530</v>
      </c>
      <c r="J15597">
        <v>3</v>
      </c>
    </row>
    <row r="15598" spans="1:10" x14ac:dyDescent="0.25">
      <c r="A15598" t="s">
        <v>164</v>
      </c>
      <c r="B15598" s="1" t="str">
        <f>HYPERLINK("http://ford-ewald-freising.de","ford-ewald-freising.de")</f>
        <v>ford-ewald-freising.de</v>
      </c>
      <c r="C15598" t="s">
        <v>436</v>
      </c>
      <c r="D15598" t="s">
        <v>815</v>
      </c>
      <c r="F15598">
        <v>6.0200577730017402E-9</v>
      </c>
      <c r="G15598">
        <v>16561674</v>
      </c>
      <c r="H15598">
        <v>9860327</v>
      </c>
      <c r="I15598">
        <v>62060879</v>
      </c>
      <c r="J15598">
        <v>3</v>
      </c>
    </row>
    <row r="15599" spans="1:10" x14ac:dyDescent="0.25">
      <c r="A15599" t="s">
        <v>164</v>
      </c>
      <c r="B15599" s="1" t="str">
        <f>HYPERLINK("http://ford-garymoeres-schleiden.de","ford-garymoeres-schleiden.de")</f>
        <v>ford-garymoeres-schleiden.de</v>
      </c>
      <c r="C15599" t="s">
        <v>436</v>
      </c>
      <c r="D15599" t="s">
        <v>815</v>
      </c>
      <c r="F15599">
        <v>4.67532006148286E-9</v>
      </c>
      <c r="G15599">
        <v>42632401</v>
      </c>
      <c r="H15599">
        <v>9989089</v>
      </c>
      <c r="I15599">
        <v>60908759</v>
      </c>
      <c r="J15599">
        <v>3</v>
      </c>
    </row>
    <row r="15600" spans="1:10" x14ac:dyDescent="0.25">
      <c r="A15600" t="s">
        <v>164</v>
      </c>
      <c r="B15600" s="1" t="str">
        <f>HYPERLINK("http://ford-geissel-dessau.de","ford-geissel-dessau.de")</f>
        <v>ford-geissel-dessau.de</v>
      </c>
      <c r="C15600" t="s">
        <v>436</v>
      </c>
      <c r="D15600" t="s">
        <v>815</v>
      </c>
      <c r="F15600">
        <v>5.0841692643057797E-9</v>
      </c>
      <c r="G15600">
        <v>27418094</v>
      </c>
      <c r="H15600">
        <v>12717574</v>
      </c>
      <c r="I15600">
        <v>15263540</v>
      </c>
      <c r="J15600">
        <v>3</v>
      </c>
    </row>
    <row r="15601" spans="1:10" x14ac:dyDescent="0.25">
      <c r="A15601" t="s">
        <v>164</v>
      </c>
      <c r="B15601" s="1" t="str">
        <f>HYPERLINK("http://ford-gerlach-pleidelsheim.de","ford-gerlach-pleidelsheim.de")</f>
        <v>ford-gerlach-pleidelsheim.de</v>
      </c>
      <c r="C15601" t="s">
        <v>436</v>
      </c>
      <c r="D15601" t="s">
        <v>815</v>
      </c>
      <c r="F15601">
        <v>8.6009681910592696E-9</v>
      </c>
      <c r="G15601">
        <v>8654684</v>
      </c>
      <c r="H15601">
        <v>8461425</v>
      </c>
      <c r="I15601">
        <v>72398521</v>
      </c>
      <c r="J15601">
        <v>3</v>
      </c>
    </row>
    <row r="15602" spans="1:10" x14ac:dyDescent="0.25">
      <c r="A15602" t="s">
        <v>164</v>
      </c>
      <c r="B15602" s="1" t="str">
        <f>HYPERLINK("http://ford-guder-gehrden.de","ford-guder-gehrden.de")</f>
        <v>ford-guder-gehrden.de</v>
      </c>
      <c r="C15602" t="s">
        <v>436</v>
      </c>
      <c r="D15602" t="s">
        <v>815</v>
      </c>
      <c r="F15602">
        <v>9.0572609981427001E-9</v>
      </c>
      <c r="G15602">
        <v>7907599</v>
      </c>
      <c r="H15602">
        <v>12030198</v>
      </c>
      <c r="I15602">
        <v>27656683</v>
      </c>
      <c r="J15602">
        <v>3</v>
      </c>
    </row>
    <row r="15603" spans="1:10" x14ac:dyDescent="0.25">
      <c r="A15603" t="s">
        <v>164</v>
      </c>
      <c r="B15603" s="1" t="str">
        <f>HYPERLINK("http://ford-haeufle-hohenwestedt.de","ford-haeufle-hohenwestedt.de")</f>
        <v>ford-haeufle-hohenwestedt.de</v>
      </c>
      <c r="C15603" t="s">
        <v>436</v>
      </c>
      <c r="D15603" t="s">
        <v>815</v>
      </c>
      <c r="F15603">
        <v>9.9329840398813901E-9</v>
      </c>
      <c r="G15603">
        <v>6824015</v>
      </c>
      <c r="H15603">
        <v>10841665</v>
      </c>
      <c r="I15603">
        <v>37072511</v>
      </c>
      <c r="J15603">
        <v>3</v>
      </c>
    </row>
    <row r="15604" spans="1:10" x14ac:dyDescent="0.25">
      <c r="A15604" t="s">
        <v>164</v>
      </c>
      <c r="B15604" s="1" t="str">
        <f>HYPERLINK("http://ford-hagemeier.de","ford-hagemeier.de")</f>
        <v>ford-hagemeier.de</v>
      </c>
      <c r="C15604" t="s">
        <v>436</v>
      </c>
      <c r="D15604" t="s">
        <v>815</v>
      </c>
      <c r="F15604">
        <v>7.2030596246006898E-9</v>
      </c>
      <c r="G15604">
        <v>11732154</v>
      </c>
      <c r="H15604">
        <v>12838840</v>
      </c>
      <c r="I15604">
        <v>14359222</v>
      </c>
      <c r="J15604">
        <v>3</v>
      </c>
    </row>
    <row r="15605" spans="1:10" x14ac:dyDescent="0.25">
      <c r="A15605" t="s">
        <v>164</v>
      </c>
      <c r="B15605" s="1" t="str">
        <f>HYPERLINK("http://ford-halfpap.de","ford-halfpap.de")</f>
        <v>ford-halfpap.de</v>
      </c>
      <c r="C15605" t="s">
        <v>436</v>
      </c>
      <c r="D15605" t="s">
        <v>815</v>
      </c>
      <c r="J15605">
        <v>3</v>
      </c>
    </row>
    <row r="15606" spans="1:10" x14ac:dyDescent="0.25">
      <c r="A15606" t="s">
        <v>164</v>
      </c>
      <c r="B15606" s="1" t="str">
        <f>HYPERLINK("http://ford-hartmann-dietzenbach.de","ford-hartmann-dietzenbach.de")</f>
        <v>ford-hartmann-dietzenbach.de</v>
      </c>
      <c r="C15606" t="s">
        <v>436</v>
      </c>
      <c r="D15606" t="s">
        <v>815</v>
      </c>
      <c r="F15606">
        <v>8.5644225436142894E-9</v>
      </c>
      <c r="G15606">
        <v>8721469</v>
      </c>
      <c r="H15606">
        <v>2.0009769999999998</v>
      </c>
      <c r="I15606">
        <v>77948616</v>
      </c>
      <c r="J15606">
        <v>3</v>
      </c>
    </row>
    <row r="15607" spans="1:10" x14ac:dyDescent="0.25">
      <c r="A15607" t="s">
        <v>164</v>
      </c>
      <c r="B15607" s="1" t="str">
        <f>HYPERLINK("http://ford-hauenherm-zwickau.de","ford-hauenherm-zwickau.de")</f>
        <v>ford-hauenherm-zwickau.de</v>
      </c>
      <c r="C15607" t="s">
        <v>436</v>
      </c>
      <c r="D15607" t="s">
        <v>815</v>
      </c>
      <c r="J15607">
        <v>3</v>
      </c>
    </row>
    <row r="15608" spans="1:10" x14ac:dyDescent="0.25">
      <c r="A15608" t="s">
        <v>164</v>
      </c>
      <c r="B15608" s="1" t="str">
        <f>HYPERLINK("http://ford-hautmann-essingen.de","ford-hautmann-essingen.de")</f>
        <v>ford-hautmann-essingen.de</v>
      </c>
      <c r="C15608" t="s">
        <v>436</v>
      </c>
      <c r="D15608" t="s">
        <v>815</v>
      </c>
      <c r="F15608">
        <v>8.7668099018082208E-9</v>
      </c>
      <c r="G15608">
        <v>8364616</v>
      </c>
      <c r="H15608">
        <v>8347561</v>
      </c>
      <c r="I15608">
        <v>73953943</v>
      </c>
      <c r="J15608">
        <v>3</v>
      </c>
    </row>
    <row r="15609" spans="1:10" x14ac:dyDescent="0.25">
      <c r="A15609" t="s">
        <v>164</v>
      </c>
      <c r="B15609" s="1" t="str">
        <f>HYPERLINK("http://ford-hellauer-deggendorf.de","ford-hellauer-deggendorf.de")</f>
        <v>ford-hellauer-deggendorf.de</v>
      </c>
      <c r="C15609" t="s">
        <v>436</v>
      </c>
      <c r="D15609" t="s">
        <v>815</v>
      </c>
      <c r="F15609">
        <v>8.3061056250903193E-9</v>
      </c>
      <c r="G15609">
        <v>9243180</v>
      </c>
      <c r="H15609">
        <v>7654126.5</v>
      </c>
      <c r="I15609">
        <v>76096584</v>
      </c>
      <c r="J15609">
        <v>3</v>
      </c>
    </row>
    <row r="15610" spans="1:10" x14ac:dyDescent="0.25">
      <c r="A15610" t="s">
        <v>164</v>
      </c>
      <c r="B15610" s="1" t="str">
        <f>HYPERLINK("http://ford-heller-vacha.de","ford-heller-vacha.de")</f>
        <v>ford-heller-vacha.de</v>
      </c>
      <c r="C15610" t="s">
        <v>436</v>
      </c>
      <c r="D15610" t="s">
        <v>815</v>
      </c>
      <c r="F15610">
        <v>4.6398053291288399E-9</v>
      </c>
      <c r="G15610">
        <v>44793004</v>
      </c>
      <c r="H15610">
        <v>11015920</v>
      </c>
      <c r="I15610">
        <v>33317476</v>
      </c>
      <c r="J15610">
        <v>3</v>
      </c>
    </row>
    <row r="15611" spans="1:10" x14ac:dyDescent="0.25">
      <c r="A15611" t="s">
        <v>164</v>
      </c>
      <c r="B15611" s="1" t="str">
        <f>HYPERLINK("http://ford-hildebrand-und-zagrodnik-leipzig.de","ford-hildebrand-und-zagrodnik-leipzig.de")</f>
        <v>ford-hildebrand-und-zagrodnik-leipzig.de</v>
      </c>
      <c r="C15611" t="s">
        <v>436</v>
      </c>
      <c r="D15611" t="s">
        <v>815</v>
      </c>
      <c r="F15611">
        <v>4.4473868761959904E-9</v>
      </c>
      <c r="G15611">
        <v>73558453</v>
      </c>
      <c r="H15611">
        <v>11961986</v>
      </c>
      <c r="I15611">
        <v>28919580</v>
      </c>
      <c r="J15611">
        <v>3</v>
      </c>
    </row>
    <row r="15612" spans="1:10" x14ac:dyDescent="0.25">
      <c r="A15612" t="s">
        <v>164</v>
      </c>
      <c r="B15612" s="1" t="str">
        <f>HYPERLINK("http://ford-hildenbrandt-ruesselsheim.de","ford-hildenbrandt-ruesselsheim.de")</f>
        <v>ford-hildenbrandt-ruesselsheim.de</v>
      </c>
      <c r="C15612" t="s">
        <v>436</v>
      </c>
      <c r="D15612" t="s">
        <v>815</v>
      </c>
      <c r="F15612">
        <v>8.3278931078655405E-9</v>
      </c>
      <c r="G15612">
        <v>9193900</v>
      </c>
      <c r="H15612">
        <v>12030207</v>
      </c>
      <c r="I15612">
        <v>27655554</v>
      </c>
      <c r="J15612">
        <v>3</v>
      </c>
    </row>
    <row r="15613" spans="1:10" x14ac:dyDescent="0.25">
      <c r="A15613" t="s">
        <v>164</v>
      </c>
      <c r="B15613" s="1" t="str">
        <f>HYPERLINK("http://ford-hoffmann-bz.de","ford-hoffmann-bz.de")</f>
        <v>ford-hoffmann-bz.de</v>
      </c>
      <c r="C15613" t="s">
        <v>436</v>
      </c>
      <c r="D15613" t="s">
        <v>815</v>
      </c>
      <c r="F15613">
        <v>4.44380395335525E-9</v>
      </c>
      <c r="G15613">
        <v>87629693</v>
      </c>
      <c r="H15613">
        <v>0</v>
      </c>
      <c r="I15613">
        <v>85378735</v>
      </c>
      <c r="J15613">
        <v>3</v>
      </c>
    </row>
    <row r="15614" spans="1:10" x14ac:dyDescent="0.25">
      <c r="A15614" t="s">
        <v>164</v>
      </c>
      <c r="B15614" s="1" t="str">
        <f>HYPERLINK("http://ford-hoffmann-dahme.de","ford-hoffmann-dahme.de")</f>
        <v>ford-hoffmann-dahme.de</v>
      </c>
      <c r="C15614" t="s">
        <v>436</v>
      </c>
      <c r="D15614" t="s">
        <v>815</v>
      </c>
      <c r="F15614">
        <v>4.8475492854527799E-9</v>
      </c>
      <c r="G15614">
        <v>34224220</v>
      </c>
      <c r="H15614">
        <v>9692948</v>
      </c>
      <c r="I15614">
        <v>63434093</v>
      </c>
      <c r="J15614">
        <v>3</v>
      </c>
    </row>
    <row r="15615" spans="1:10" x14ac:dyDescent="0.25">
      <c r="A15615" t="s">
        <v>164</v>
      </c>
      <c r="B15615" s="1" t="str">
        <f>HYPERLINK("http://ford-horstmann.de","ford-horstmann.de")</f>
        <v>ford-horstmann.de</v>
      </c>
      <c r="C15615" t="s">
        <v>436</v>
      </c>
      <c r="D15615" t="s">
        <v>815</v>
      </c>
      <c r="F15615">
        <v>4.5112901462773701E-9</v>
      </c>
      <c r="G15615">
        <v>57336293</v>
      </c>
      <c r="H15615">
        <v>7747261.5</v>
      </c>
      <c r="I15615">
        <v>75798149</v>
      </c>
      <c r="J15615">
        <v>3</v>
      </c>
    </row>
    <row r="15616" spans="1:10" x14ac:dyDescent="0.25">
      <c r="A15616" t="s">
        <v>164</v>
      </c>
      <c r="B15616" s="1" t="str">
        <f>HYPERLINK("http://ford-hostenbach.de","ford-hostenbach.de")</f>
        <v>ford-hostenbach.de</v>
      </c>
      <c r="C15616" t="s">
        <v>436</v>
      </c>
      <c r="D15616" t="s">
        <v>815</v>
      </c>
      <c r="F15616">
        <v>4.5548525931196798E-9</v>
      </c>
      <c r="G15616">
        <v>51681002</v>
      </c>
      <c r="H15616">
        <v>11961375</v>
      </c>
      <c r="I15616">
        <v>28926868</v>
      </c>
      <c r="J15616">
        <v>3</v>
      </c>
    </row>
    <row r="15617" spans="1:10" x14ac:dyDescent="0.25">
      <c r="A15617" t="s">
        <v>164</v>
      </c>
      <c r="B15617" s="1" t="str">
        <f>HYPERLINK("http://ford-janssen-sonsbeck.de","ford-janssen-sonsbeck.de")</f>
        <v>ford-janssen-sonsbeck.de</v>
      </c>
      <c r="C15617" t="s">
        <v>436</v>
      </c>
      <c r="D15617" t="s">
        <v>815</v>
      </c>
      <c r="F15617">
        <v>4.9075515748289504E-9</v>
      </c>
      <c r="G15617">
        <v>32248168</v>
      </c>
      <c r="H15617">
        <v>10517859</v>
      </c>
      <c r="I15617">
        <v>49142856</v>
      </c>
      <c r="J15617">
        <v>3</v>
      </c>
    </row>
    <row r="15618" spans="1:10" x14ac:dyDescent="0.25">
      <c r="A15618" t="s">
        <v>164</v>
      </c>
      <c r="B15618" s="1" t="str">
        <f>HYPERLINK("http://ford-jotzo.de","ford-jotzo.de")</f>
        <v>ford-jotzo.de</v>
      </c>
      <c r="C15618" t="s">
        <v>436</v>
      </c>
      <c r="D15618" t="s">
        <v>815</v>
      </c>
      <c r="F15618">
        <v>8.12479800927939E-9</v>
      </c>
      <c r="G15618">
        <v>9698628</v>
      </c>
      <c r="H15618">
        <v>13363817</v>
      </c>
      <c r="I15618">
        <v>10495390</v>
      </c>
      <c r="J15618">
        <v>3</v>
      </c>
    </row>
    <row r="15619" spans="1:10" x14ac:dyDescent="0.25">
      <c r="A15619" t="s">
        <v>164</v>
      </c>
      <c r="B15619" s="1" t="str">
        <f>HYPERLINK("http://ford-kaarst.de","ford-kaarst.de")</f>
        <v>ford-kaarst.de</v>
      </c>
      <c r="C15619" t="s">
        <v>436</v>
      </c>
      <c r="D15619" t="s">
        <v>815</v>
      </c>
      <c r="F15619">
        <v>4.5405791288829696E-9</v>
      </c>
      <c r="G15619">
        <v>53276129</v>
      </c>
      <c r="H15619">
        <v>8907098</v>
      </c>
      <c r="I15619">
        <v>69023129</v>
      </c>
      <c r="J15619">
        <v>3</v>
      </c>
    </row>
    <row r="15620" spans="1:10" x14ac:dyDescent="0.25">
      <c r="A15620" t="s">
        <v>164</v>
      </c>
      <c r="B15620" s="1" t="str">
        <f>HYPERLINK("http://ford-kierdorf.de","ford-kierdorf.de")</f>
        <v>ford-kierdorf.de</v>
      </c>
      <c r="C15620" t="s">
        <v>436</v>
      </c>
      <c r="D15620" t="s">
        <v>815</v>
      </c>
      <c r="J15620">
        <v>3</v>
      </c>
    </row>
    <row r="15621" spans="1:10" x14ac:dyDescent="0.25">
      <c r="A15621" t="s">
        <v>164</v>
      </c>
      <c r="B15621" s="1" t="str">
        <f>HYPERLINK("http://ford-koenneker-hagen.de","ford-koenneker-hagen.de")</f>
        <v>ford-koenneker-hagen.de</v>
      </c>
      <c r="C15621" t="s">
        <v>436</v>
      </c>
      <c r="D15621" t="s">
        <v>815</v>
      </c>
      <c r="F15621">
        <v>5.7028817401392397E-9</v>
      </c>
      <c r="G15621">
        <v>18925250</v>
      </c>
      <c r="H15621">
        <v>1.0003663</v>
      </c>
      <c r="I15621">
        <v>79267035</v>
      </c>
      <c r="J15621">
        <v>3</v>
      </c>
    </row>
    <row r="15622" spans="1:10" x14ac:dyDescent="0.25">
      <c r="A15622" t="s">
        <v>164</v>
      </c>
      <c r="B15622" s="1" t="str">
        <f>HYPERLINK("http://ford-krekow-luederitz.de","ford-krekow-luederitz.de")</f>
        <v>ford-krekow-luederitz.de</v>
      </c>
      <c r="C15622" t="s">
        <v>436</v>
      </c>
      <c r="D15622" t="s">
        <v>815</v>
      </c>
      <c r="F15622">
        <v>4.44380395335525E-9</v>
      </c>
      <c r="G15622">
        <v>84344300</v>
      </c>
      <c r="H15622">
        <v>0</v>
      </c>
      <c r="I15622">
        <v>85378765</v>
      </c>
      <c r="J15622">
        <v>3</v>
      </c>
    </row>
    <row r="15623" spans="1:10" x14ac:dyDescent="0.25">
      <c r="A15623" t="s">
        <v>164</v>
      </c>
      <c r="B15623" s="1" t="str">
        <f>HYPERLINK("http://ford-kropf.de","ford-kropf.de")</f>
        <v>ford-kropf.de</v>
      </c>
      <c r="C15623" t="s">
        <v>436</v>
      </c>
      <c r="D15623" t="s">
        <v>815</v>
      </c>
      <c r="F15623">
        <v>7.0370984155177597E-9</v>
      </c>
      <c r="G15623">
        <v>12201983</v>
      </c>
      <c r="H15623">
        <v>12369539</v>
      </c>
      <c r="I15623">
        <v>19418783</v>
      </c>
      <c r="J15623">
        <v>3</v>
      </c>
    </row>
    <row r="15624" spans="1:10" x14ac:dyDescent="0.25">
      <c r="A15624" t="s">
        <v>164</v>
      </c>
      <c r="B15624" s="1" t="str">
        <f>HYPERLINK("http://ford-kuttendreier-muenchen.de","ford-kuttendreier-muenchen.de")</f>
        <v>ford-kuttendreier-muenchen.de</v>
      </c>
      <c r="C15624" t="s">
        <v>436</v>
      </c>
      <c r="D15624" t="s">
        <v>815</v>
      </c>
      <c r="F15624">
        <v>5.0579882990494703E-9</v>
      </c>
      <c r="G15624">
        <v>28046582</v>
      </c>
      <c r="H15624">
        <v>2.0009769999999998</v>
      </c>
      <c r="I15624">
        <v>77948617</v>
      </c>
      <c r="J15624">
        <v>3</v>
      </c>
    </row>
    <row r="15625" spans="1:10" x14ac:dyDescent="0.25">
      <c r="A15625" t="s">
        <v>164</v>
      </c>
      <c r="B15625" s="1" t="str">
        <f>HYPERLINK("http://ford-lackermann-dinslaken.de","ford-lackermann-dinslaken.de")</f>
        <v>ford-lackermann-dinslaken.de</v>
      </c>
      <c r="C15625" t="s">
        <v>436</v>
      </c>
      <c r="D15625" t="s">
        <v>815</v>
      </c>
      <c r="F15625">
        <v>4.9955616299317502E-9</v>
      </c>
      <c r="G15625">
        <v>29521232</v>
      </c>
      <c r="H15625">
        <v>9357745</v>
      </c>
      <c r="I15625">
        <v>67873293</v>
      </c>
      <c r="J15625">
        <v>3</v>
      </c>
    </row>
    <row r="15626" spans="1:10" x14ac:dyDescent="0.25">
      <c r="A15626" t="s">
        <v>164</v>
      </c>
      <c r="B15626" s="1" t="str">
        <f>HYPERLINK("http://ford-landsberg.de","ford-landsberg.de")</f>
        <v>ford-landsberg.de</v>
      </c>
      <c r="C15626" t="s">
        <v>436</v>
      </c>
      <c r="D15626" t="s">
        <v>815</v>
      </c>
      <c r="F15626">
        <v>4.44380395335525E-9</v>
      </c>
      <c r="G15626">
        <v>84344304</v>
      </c>
      <c r="H15626">
        <v>0</v>
      </c>
      <c r="I15626">
        <v>85378770</v>
      </c>
      <c r="J15626">
        <v>3</v>
      </c>
    </row>
    <row r="15627" spans="1:10" x14ac:dyDescent="0.25">
      <c r="A15627" t="s">
        <v>164</v>
      </c>
      <c r="B15627" s="1" t="str">
        <f>HYPERLINK("http://ford-lemke-bremen.de","ford-lemke-bremen.de")</f>
        <v>ford-lemke-bremen.de</v>
      </c>
      <c r="C15627" t="s">
        <v>436</v>
      </c>
      <c r="D15627" t="s">
        <v>815</v>
      </c>
      <c r="F15627">
        <v>5.5420815010596097E-9</v>
      </c>
      <c r="G15627">
        <v>20456708</v>
      </c>
      <c r="H15627">
        <v>12626307</v>
      </c>
      <c r="I15627">
        <v>16022275</v>
      </c>
      <c r="J15627">
        <v>3</v>
      </c>
    </row>
    <row r="15628" spans="1:10" x14ac:dyDescent="0.25">
      <c r="A15628" t="s">
        <v>164</v>
      </c>
      <c r="B15628" s="1" t="str">
        <f>HYPERLINK("http://ford-loder-kissing.de","ford-loder-kissing.de")</f>
        <v>ford-loder-kissing.de</v>
      </c>
      <c r="C15628" t="s">
        <v>436</v>
      </c>
      <c r="D15628" t="s">
        <v>815</v>
      </c>
      <c r="F15628">
        <v>9.3820268816151196E-9</v>
      </c>
      <c r="G15628">
        <v>7468403</v>
      </c>
      <c r="H15628">
        <v>12015088</v>
      </c>
      <c r="I15628">
        <v>27962871</v>
      </c>
      <c r="J15628">
        <v>3</v>
      </c>
    </row>
    <row r="15629" spans="1:10" x14ac:dyDescent="0.25">
      <c r="A15629" t="s">
        <v>164</v>
      </c>
      <c r="B15629" s="1" t="str">
        <f>HYPERLINK("http://ford-loder-odelzhausen.de","ford-loder-odelzhausen.de")</f>
        <v>ford-loder-odelzhausen.de</v>
      </c>
      <c r="C15629" t="s">
        <v>436</v>
      </c>
      <c r="D15629" t="s">
        <v>815</v>
      </c>
      <c r="F15629">
        <v>6.7967941862559402E-9</v>
      </c>
      <c r="G15629">
        <v>12971683</v>
      </c>
      <c r="H15629">
        <v>10513592</v>
      </c>
      <c r="I15629">
        <v>49335936</v>
      </c>
      <c r="J15629">
        <v>3</v>
      </c>
    </row>
    <row r="15630" spans="1:10" x14ac:dyDescent="0.25">
      <c r="A15630" t="s">
        <v>164</v>
      </c>
      <c r="B15630" s="1" t="str">
        <f>HYPERLINK("http://ford-ludewig-delligsen.de","ford-ludewig-delligsen.de")</f>
        <v>ford-ludewig-delligsen.de</v>
      </c>
      <c r="C15630" t="s">
        <v>436</v>
      </c>
      <c r="D15630" t="s">
        <v>815</v>
      </c>
      <c r="F15630">
        <v>4.6243718321536602E-9</v>
      </c>
      <c r="G15630">
        <v>45817859</v>
      </c>
      <c r="H15630">
        <v>9853692</v>
      </c>
      <c r="I15630">
        <v>62129728</v>
      </c>
      <c r="J15630">
        <v>3</v>
      </c>
    </row>
    <row r="15631" spans="1:10" x14ac:dyDescent="0.25">
      <c r="A15631" t="s">
        <v>164</v>
      </c>
      <c r="B15631" s="1" t="str">
        <f>HYPERLINK("http://ford-lurz-engelskirchen.de","ford-lurz-engelskirchen.de")</f>
        <v>ford-lurz-engelskirchen.de</v>
      </c>
      <c r="C15631" t="s">
        <v>436</v>
      </c>
      <c r="D15631" t="s">
        <v>815</v>
      </c>
      <c r="F15631">
        <v>4.5393922965830801E-9</v>
      </c>
      <c r="G15631">
        <v>53405796</v>
      </c>
      <c r="H15631">
        <v>9638892</v>
      </c>
      <c r="I15631">
        <v>63995234</v>
      </c>
      <c r="J15631">
        <v>3</v>
      </c>
    </row>
    <row r="15632" spans="1:10" x14ac:dyDescent="0.25">
      <c r="A15632" t="s">
        <v>164</v>
      </c>
      <c r="B15632" s="1" t="str">
        <f>HYPERLINK("http://ford-maiwald-buedingen.de","ford-maiwald-buedingen.de")</f>
        <v>ford-maiwald-buedingen.de</v>
      </c>
      <c r="C15632" t="s">
        <v>436</v>
      </c>
      <c r="D15632" t="s">
        <v>815</v>
      </c>
      <c r="F15632">
        <v>4.89975970957799E-9</v>
      </c>
      <c r="G15632">
        <v>32472951</v>
      </c>
      <c r="H15632">
        <v>9985155</v>
      </c>
      <c r="I15632">
        <v>60941397</v>
      </c>
      <c r="J15632">
        <v>3</v>
      </c>
    </row>
    <row r="15633" spans="1:10" x14ac:dyDescent="0.25">
      <c r="A15633" t="s">
        <v>164</v>
      </c>
      <c r="B15633" s="1" t="str">
        <f>HYPERLINK("http://ford-maul-und-hoyer-plauen.de","ford-maul-und-hoyer-plauen.de")</f>
        <v>ford-maul-und-hoyer-plauen.de</v>
      </c>
      <c r="C15633" t="s">
        <v>436</v>
      </c>
      <c r="D15633" t="s">
        <v>815</v>
      </c>
      <c r="F15633">
        <v>4.5187216826881698E-9</v>
      </c>
      <c r="G15633">
        <v>56384368</v>
      </c>
      <c r="H15633">
        <v>12181002</v>
      </c>
      <c r="I15633">
        <v>23795297</v>
      </c>
      <c r="J15633">
        <v>3</v>
      </c>
    </row>
    <row r="15634" spans="1:10" x14ac:dyDescent="0.25">
      <c r="A15634" t="s">
        <v>164</v>
      </c>
      <c r="B15634" s="1" t="str">
        <f>HYPERLINK("http://ford-mitte-guestrow.de","ford-mitte-guestrow.de")</f>
        <v>ford-mitte-guestrow.de</v>
      </c>
      <c r="C15634" t="s">
        <v>436</v>
      </c>
      <c r="D15634" t="s">
        <v>815</v>
      </c>
      <c r="F15634">
        <v>4.8552803834800901E-9</v>
      </c>
      <c r="G15634">
        <v>33965216</v>
      </c>
      <c r="H15634">
        <v>11012603</v>
      </c>
      <c r="I15634">
        <v>33367886</v>
      </c>
      <c r="J15634">
        <v>3</v>
      </c>
    </row>
    <row r="15635" spans="1:10" x14ac:dyDescent="0.25">
      <c r="A15635" t="s">
        <v>164</v>
      </c>
      <c r="B15635" s="1" t="str">
        <f>HYPERLINK("http://ford-muecke-berlin.de","ford-muecke-berlin.de")</f>
        <v>ford-muecke-berlin.de</v>
      </c>
      <c r="C15635" t="s">
        <v>436</v>
      </c>
      <c r="D15635" t="s">
        <v>815</v>
      </c>
      <c r="F15635">
        <v>5.44699791702926E-9</v>
      </c>
      <c r="G15635">
        <v>21533074</v>
      </c>
      <c r="H15635">
        <v>9359634</v>
      </c>
      <c r="I15635">
        <v>67847789</v>
      </c>
      <c r="J15635">
        <v>3</v>
      </c>
    </row>
    <row r="15636" spans="1:10" x14ac:dyDescent="0.25">
      <c r="A15636" t="s">
        <v>164</v>
      </c>
      <c r="B15636" s="1" t="str">
        <f>HYPERLINK("http://ford-muenster.de","ford-muenster.de")</f>
        <v>ford-muenster.de</v>
      </c>
      <c r="C15636" t="s">
        <v>436</v>
      </c>
      <c r="D15636" t="s">
        <v>815</v>
      </c>
      <c r="F15636">
        <v>4.44380395335525E-9</v>
      </c>
      <c r="G15636">
        <v>84344329</v>
      </c>
      <c r="H15636">
        <v>0</v>
      </c>
      <c r="I15636">
        <v>85378799</v>
      </c>
      <c r="J15636">
        <v>3</v>
      </c>
    </row>
    <row r="15637" spans="1:10" x14ac:dyDescent="0.25">
      <c r="A15637" t="s">
        <v>164</v>
      </c>
      <c r="B15637" s="1" t="str">
        <f>HYPERLINK("http://ford-neumann-loeningen.de","ford-neumann-loeningen.de")</f>
        <v>ford-neumann-loeningen.de</v>
      </c>
      <c r="C15637" t="s">
        <v>436</v>
      </c>
      <c r="D15637" t="s">
        <v>815</v>
      </c>
      <c r="F15637">
        <v>4.44380395335525E-9</v>
      </c>
      <c r="G15637">
        <v>84344334</v>
      </c>
      <c r="H15637">
        <v>0</v>
      </c>
      <c r="I15637">
        <v>85378804</v>
      </c>
      <c r="J15637">
        <v>3</v>
      </c>
    </row>
    <row r="15638" spans="1:10" x14ac:dyDescent="0.25">
      <c r="A15638" t="s">
        <v>164</v>
      </c>
      <c r="B15638" s="1" t="str">
        <f>HYPERLINK("http://ford-neumann-meissen.de","ford-neumann-meissen.de")</f>
        <v>ford-neumann-meissen.de</v>
      </c>
      <c r="C15638" t="s">
        <v>436</v>
      </c>
      <c r="D15638" t="s">
        <v>815</v>
      </c>
      <c r="F15638">
        <v>9.5242311128257603E-9</v>
      </c>
      <c r="G15638">
        <v>7293724</v>
      </c>
      <c r="H15638">
        <v>11961382</v>
      </c>
      <c r="I15638">
        <v>28926729</v>
      </c>
      <c r="J15638">
        <v>3</v>
      </c>
    </row>
    <row r="15639" spans="1:10" x14ac:dyDescent="0.25">
      <c r="A15639" t="s">
        <v>164</v>
      </c>
      <c r="B15639" s="1" t="str">
        <f>HYPERLINK("http://ford-niebaum-und-hamacher-herford.de","ford-niebaum-und-hamacher-herford.de")</f>
        <v>ford-niebaum-und-hamacher-herford.de</v>
      </c>
      <c r="C15639" t="s">
        <v>436</v>
      </c>
      <c r="D15639" t="s">
        <v>815</v>
      </c>
      <c r="F15639">
        <v>4.5447845913533201E-9</v>
      </c>
      <c r="G15639">
        <v>52751265</v>
      </c>
      <c r="H15639">
        <v>11961372</v>
      </c>
      <c r="I15639">
        <v>28927056</v>
      </c>
      <c r="J15639">
        <v>3</v>
      </c>
    </row>
    <row r="15640" spans="1:10" x14ac:dyDescent="0.25">
      <c r="A15640" t="s">
        <v>164</v>
      </c>
      <c r="B15640" s="1" t="str">
        <f>HYPERLINK("http://ford-niederzissen-niederzissen.de","ford-niederzissen-niederzissen.de")</f>
        <v>ford-niederzissen-niederzissen.de</v>
      </c>
      <c r="C15640" t="s">
        <v>436</v>
      </c>
      <c r="D15640" t="s">
        <v>815</v>
      </c>
      <c r="F15640">
        <v>4.67443450097433E-9</v>
      </c>
      <c r="G15640">
        <v>42679457</v>
      </c>
      <c r="H15640">
        <v>9463309</v>
      </c>
      <c r="I15640">
        <v>66305708</v>
      </c>
      <c r="J15640">
        <v>3</v>
      </c>
    </row>
    <row r="15641" spans="1:10" x14ac:dyDescent="0.25">
      <c r="A15641" t="s">
        <v>164</v>
      </c>
      <c r="B15641" s="1" t="str">
        <f>HYPERLINK("http://ford-norren-weissenthurm.de","ford-norren-weissenthurm.de")</f>
        <v>ford-norren-weissenthurm.de</v>
      </c>
      <c r="C15641" t="s">
        <v>436</v>
      </c>
      <c r="D15641" t="s">
        <v>815</v>
      </c>
      <c r="F15641">
        <v>8.3099721119532403E-9</v>
      </c>
      <c r="G15641">
        <v>9234692</v>
      </c>
      <c r="H15641">
        <v>7101978.5</v>
      </c>
      <c r="I15641">
        <v>76624455</v>
      </c>
      <c r="J15641">
        <v>3</v>
      </c>
    </row>
    <row r="15642" spans="1:10" x14ac:dyDescent="0.25">
      <c r="A15642" t="s">
        <v>164</v>
      </c>
      <c r="B15642" s="1" t="str">
        <f>HYPERLINK("http://ford-ortmueller-velbert.de","ford-ortmueller-velbert.de")</f>
        <v>ford-ortmueller-velbert.de</v>
      </c>
      <c r="C15642" t="s">
        <v>436</v>
      </c>
      <c r="D15642" t="s">
        <v>815</v>
      </c>
      <c r="F15642">
        <v>4.4438876511333496E-9</v>
      </c>
      <c r="G15642">
        <v>77959690</v>
      </c>
      <c r="H15642">
        <v>11961371</v>
      </c>
      <c r="I15642">
        <v>28927170</v>
      </c>
      <c r="J15642">
        <v>3</v>
      </c>
    </row>
    <row r="15643" spans="1:10" x14ac:dyDescent="0.25">
      <c r="A15643" t="s">
        <v>164</v>
      </c>
      <c r="B15643" s="1" t="str">
        <f>HYPERLINK("http://ford-otto-huenxe.de","ford-otto-huenxe.de")</f>
        <v>ford-otto-huenxe.de</v>
      </c>
      <c r="C15643" t="s">
        <v>436</v>
      </c>
      <c r="D15643" t="s">
        <v>815</v>
      </c>
      <c r="F15643">
        <v>4.44380395335525E-9</v>
      </c>
      <c r="G15643">
        <v>84344341</v>
      </c>
      <c r="H15643">
        <v>0</v>
      </c>
      <c r="I15643">
        <v>85378812</v>
      </c>
      <c r="J15643">
        <v>3</v>
      </c>
    </row>
    <row r="15644" spans="1:10" x14ac:dyDescent="0.25">
      <c r="A15644" t="s">
        <v>164</v>
      </c>
      <c r="B15644" s="1" t="str">
        <f>HYPERLINK("http://ford-panhuis.de","ford-panhuis.de")</f>
        <v>ford-panhuis.de</v>
      </c>
      <c r="C15644" t="s">
        <v>436</v>
      </c>
      <c r="D15644" t="s">
        <v>815</v>
      </c>
      <c r="F15644">
        <v>4.4519121494563099E-9</v>
      </c>
      <c r="G15644">
        <v>70888569</v>
      </c>
      <c r="H15644">
        <v>11961373</v>
      </c>
      <c r="I15644">
        <v>28926987</v>
      </c>
      <c r="J15644">
        <v>3</v>
      </c>
    </row>
    <row r="15645" spans="1:10" x14ac:dyDescent="0.25">
      <c r="A15645" t="s">
        <v>164</v>
      </c>
      <c r="B15645" s="1" t="str">
        <f>HYPERLINK("http://ford-pfuetzenreuter-bleicherode.de","ford-pfuetzenreuter-bleicherode.de")</f>
        <v>ford-pfuetzenreuter-bleicherode.de</v>
      </c>
      <c r="C15645" t="s">
        <v>436</v>
      </c>
      <c r="D15645" t="s">
        <v>815</v>
      </c>
      <c r="F15645">
        <v>4.44380395335525E-9</v>
      </c>
      <c r="G15645">
        <v>84344346</v>
      </c>
      <c r="H15645">
        <v>0</v>
      </c>
      <c r="I15645">
        <v>85378817</v>
      </c>
      <c r="J15645">
        <v>3</v>
      </c>
    </row>
    <row r="15646" spans="1:10" x14ac:dyDescent="0.25">
      <c r="A15646" t="s">
        <v>164</v>
      </c>
      <c r="B15646" s="1" t="str">
        <f>HYPERLINK("http://ford-pietzsch.de","ford-pietzsch.de")</f>
        <v>ford-pietzsch.de</v>
      </c>
      <c r="C15646" t="s">
        <v>436</v>
      </c>
      <c r="D15646" t="s">
        <v>815</v>
      </c>
      <c r="F15646">
        <v>4.44380395335525E-9</v>
      </c>
      <c r="G15646">
        <v>84344347</v>
      </c>
      <c r="H15646">
        <v>0</v>
      </c>
      <c r="I15646">
        <v>85378818</v>
      </c>
      <c r="J15646">
        <v>3</v>
      </c>
    </row>
    <row r="15647" spans="1:10" x14ac:dyDescent="0.25">
      <c r="A15647" t="s">
        <v>164</v>
      </c>
      <c r="B15647" s="1" t="str">
        <f>HYPERLINK("http://ford-pietzsch-niederschoena.de","ford-pietzsch-niederschoena.de")</f>
        <v>ford-pietzsch-niederschoena.de</v>
      </c>
      <c r="C15647" t="s">
        <v>436</v>
      </c>
      <c r="D15647" t="s">
        <v>815</v>
      </c>
      <c r="F15647">
        <v>8.2210373137072099E-9</v>
      </c>
      <c r="G15647">
        <v>9513489</v>
      </c>
      <c r="H15647">
        <v>1.0003663</v>
      </c>
      <c r="I15647">
        <v>79267040</v>
      </c>
      <c r="J15647">
        <v>3</v>
      </c>
    </row>
    <row r="15648" spans="1:10" x14ac:dyDescent="0.25">
      <c r="A15648" t="s">
        <v>164</v>
      </c>
      <c r="B15648" s="1" t="str">
        <f>HYPERLINK("http://ford-pischke-bischofswerda.de","ford-pischke-bischofswerda.de")</f>
        <v>ford-pischke-bischofswerda.de</v>
      </c>
      <c r="C15648" t="s">
        <v>436</v>
      </c>
      <c r="D15648" t="s">
        <v>815</v>
      </c>
      <c r="F15648">
        <v>4.74610226898653E-9</v>
      </c>
      <c r="G15648">
        <v>38510883</v>
      </c>
      <c r="H15648">
        <v>9399606</v>
      </c>
      <c r="I15648">
        <v>67277485</v>
      </c>
      <c r="J15648">
        <v>3</v>
      </c>
    </row>
    <row r="15649" spans="1:10" x14ac:dyDescent="0.25">
      <c r="A15649" t="s">
        <v>164</v>
      </c>
      <c r="B15649" s="1" t="str">
        <f>HYPERLINK("http://ford-pradler-aerzen.de","ford-pradler-aerzen.de")</f>
        <v>ford-pradler-aerzen.de</v>
      </c>
      <c r="C15649" t="s">
        <v>436</v>
      </c>
      <c r="D15649" t="s">
        <v>815</v>
      </c>
      <c r="F15649">
        <v>4.4438876511333496E-9</v>
      </c>
      <c r="G15649">
        <v>77959691</v>
      </c>
      <c r="H15649">
        <v>11961371</v>
      </c>
      <c r="I15649">
        <v>28927173</v>
      </c>
      <c r="J15649">
        <v>3</v>
      </c>
    </row>
    <row r="15650" spans="1:10" x14ac:dyDescent="0.25">
      <c r="A15650" t="s">
        <v>164</v>
      </c>
      <c r="B15650" s="1" t="str">
        <f>HYPERLINK("http://ford-rape-vechta.de","ford-rape-vechta.de")</f>
        <v>ford-rape-vechta.de</v>
      </c>
      <c r="C15650" t="s">
        <v>436</v>
      </c>
      <c r="D15650" t="s">
        <v>815</v>
      </c>
      <c r="F15650">
        <v>4.6859553633945402E-9</v>
      </c>
      <c r="G15650">
        <v>42000465</v>
      </c>
      <c r="H15650">
        <v>10756652</v>
      </c>
      <c r="I15650">
        <v>39760846</v>
      </c>
      <c r="J15650">
        <v>3</v>
      </c>
    </row>
    <row r="15651" spans="1:10" x14ac:dyDescent="0.25">
      <c r="A15651" t="s">
        <v>164</v>
      </c>
      <c r="B15651" s="1" t="str">
        <f>HYPERLINK("http://ford-rathkamp-syke.de","ford-rathkamp-syke.de")</f>
        <v>ford-rathkamp-syke.de</v>
      </c>
      <c r="C15651" t="s">
        <v>436</v>
      </c>
      <c r="D15651" t="s">
        <v>815</v>
      </c>
      <c r="F15651">
        <v>9.2274899277301707E-9</v>
      </c>
      <c r="G15651">
        <v>7673407</v>
      </c>
      <c r="H15651">
        <v>10845282</v>
      </c>
      <c r="I15651">
        <v>36980689</v>
      </c>
      <c r="J15651">
        <v>3</v>
      </c>
    </row>
    <row r="15652" spans="1:10" x14ac:dyDescent="0.25">
      <c r="A15652" t="s">
        <v>164</v>
      </c>
      <c r="B15652" s="1" t="str">
        <f>HYPERLINK("http://ford-reichardt-und-wahle-duesseldorf.de","ford-reichardt-und-wahle-duesseldorf.de")</f>
        <v>ford-reichardt-und-wahle-duesseldorf.de</v>
      </c>
      <c r="C15652" t="s">
        <v>436</v>
      </c>
      <c r="D15652" t="s">
        <v>815</v>
      </c>
      <c r="F15652">
        <v>4.6739710503085798E-9</v>
      </c>
      <c r="G15652">
        <v>42705229</v>
      </c>
      <c r="H15652">
        <v>12739744</v>
      </c>
      <c r="I15652">
        <v>15144530</v>
      </c>
      <c r="J15652">
        <v>3</v>
      </c>
    </row>
    <row r="15653" spans="1:10" x14ac:dyDescent="0.25">
      <c r="A15653" t="s">
        <v>164</v>
      </c>
      <c r="B15653" s="1" t="str">
        <f>HYPERLINK("http://ford-rennig.de","ford-rennig.de")</f>
        <v>ford-rennig.de</v>
      </c>
      <c r="C15653" t="s">
        <v>436</v>
      </c>
      <c r="D15653" t="s">
        <v>815</v>
      </c>
      <c r="F15653">
        <v>4.5923160867830804E-9</v>
      </c>
      <c r="G15653">
        <v>48219575</v>
      </c>
      <c r="H15653">
        <v>8710164</v>
      </c>
      <c r="I15653">
        <v>69870970</v>
      </c>
      <c r="J15653">
        <v>3</v>
      </c>
    </row>
    <row r="15654" spans="1:10" x14ac:dyDescent="0.25">
      <c r="A15654" t="s">
        <v>164</v>
      </c>
      <c r="B15654" s="1" t="str">
        <f>HYPERLINK("http://ford-rest-achern.de","ford-rest-achern.de")</f>
        <v>ford-rest-achern.de</v>
      </c>
      <c r="C15654" t="s">
        <v>436</v>
      </c>
      <c r="D15654" t="s">
        <v>815</v>
      </c>
      <c r="F15654">
        <v>7.8636366440596398E-9</v>
      </c>
      <c r="G15654">
        <v>10185009</v>
      </c>
      <c r="H15654">
        <v>10512955</v>
      </c>
      <c r="I15654">
        <v>49373341</v>
      </c>
      <c r="J15654">
        <v>3</v>
      </c>
    </row>
    <row r="15655" spans="1:10" x14ac:dyDescent="0.25">
      <c r="A15655" t="s">
        <v>164</v>
      </c>
      <c r="B15655" s="1" t="str">
        <f>HYPERLINK("http://ford-reutershan-geisenheim.de","ford-reutershan-geisenheim.de")</f>
        <v>ford-reutershan-geisenheim.de</v>
      </c>
      <c r="C15655" t="s">
        <v>436</v>
      </c>
      <c r="D15655" t="s">
        <v>815</v>
      </c>
      <c r="F15655">
        <v>5.1886764961246502E-9</v>
      </c>
      <c r="G15655">
        <v>25359618</v>
      </c>
      <c r="H15655">
        <v>12738203</v>
      </c>
      <c r="I15655">
        <v>15152678</v>
      </c>
      <c r="J15655">
        <v>3</v>
      </c>
    </row>
    <row r="15656" spans="1:10" x14ac:dyDescent="0.25">
      <c r="A15656" t="s">
        <v>164</v>
      </c>
      <c r="B15656" s="1" t="str">
        <f>HYPERLINK("http://ford-ritz-unterhaching.de","ford-ritz-unterhaching.de")</f>
        <v>ford-ritz-unterhaching.de</v>
      </c>
      <c r="C15656" t="s">
        <v>436</v>
      </c>
      <c r="D15656" t="s">
        <v>815</v>
      </c>
      <c r="F15656">
        <v>5.2903158607023501E-9</v>
      </c>
      <c r="G15656">
        <v>23637942</v>
      </c>
      <c r="H15656">
        <v>12015474</v>
      </c>
      <c r="I15656">
        <v>27956277</v>
      </c>
      <c r="J15656">
        <v>3</v>
      </c>
    </row>
    <row r="15657" spans="1:10" x14ac:dyDescent="0.25">
      <c r="A15657" t="s">
        <v>164</v>
      </c>
      <c r="B15657" s="1" t="str">
        <f>HYPERLINK("http://ford-sachsen.de","ford-sachsen.de")</f>
        <v>ford-sachsen.de</v>
      </c>
      <c r="C15657" t="s">
        <v>436</v>
      </c>
      <c r="D15657" t="s">
        <v>815</v>
      </c>
      <c r="F15657">
        <v>6.8826314321864598E-9</v>
      </c>
      <c r="G15657">
        <v>12688704</v>
      </c>
      <c r="H15657">
        <v>12686351</v>
      </c>
      <c r="I15657">
        <v>15446953</v>
      </c>
      <c r="J15657">
        <v>3</v>
      </c>
    </row>
    <row r="15658" spans="1:10" x14ac:dyDescent="0.25">
      <c r="A15658" t="s">
        <v>164</v>
      </c>
      <c r="B15658" s="1" t="str">
        <f>HYPERLINK("http://ford-schaefer-mechernich.de","ford-schaefer-mechernich.de")</f>
        <v>ford-schaefer-mechernich.de</v>
      </c>
      <c r="C15658" t="s">
        <v>436</v>
      </c>
      <c r="D15658" t="s">
        <v>815</v>
      </c>
      <c r="F15658">
        <v>4.44380395335525E-9</v>
      </c>
      <c r="G15658">
        <v>84344369</v>
      </c>
      <c r="H15658">
        <v>0</v>
      </c>
      <c r="I15658">
        <v>85378841</v>
      </c>
      <c r="J15658">
        <v>3</v>
      </c>
    </row>
    <row r="15659" spans="1:10" x14ac:dyDescent="0.25">
      <c r="A15659" t="s">
        <v>164</v>
      </c>
      <c r="B15659" s="1" t="str">
        <f>HYPERLINK("http://ford-schall-rheinau.de","ford-schall-rheinau.de")</f>
        <v>ford-schall-rheinau.de</v>
      </c>
      <c r="C15659" t="s">
        <v>436</v>
      </c>
      <c r="D15659" t="s">
        <v>815</v>
      </c>
      <c r="F15659">
        <v>4.4553335634408698E-9</v>
      </c>
      <c r="G15659">
        <v>69378267</v>
      </c>
      <c r="H15659">
        <v>8402850</v>
      </c>
      <c r="I15659">
        <v>73227397</v>
      </c>
      <c r="J15659">
        <v>3</v>
      </c>
    </row>
    <row r="15660" spans="1:10" x14ac:dyDescent="0.25">
      <c r="A15660" t="s">
        <v>164</v>
      </c>
      <c r="B15660" s="1" t="str">
        <f>HYPERLINK("http://ford-schulz-neugersdorf.de","ford-schulz-neugersdorf.de")</f>
        <v>ford-schulz-neugersdorf.de</v>
      </c>
      <c r="C15660" t="s">
        <v>436</v>
      </c>
      <c r="D15660" t="s">
        <v>815</v>
      </c>
      <c r="F15660">
        <v>4.8508023098549899E-9</v>
      </c>
      <c r="G15660">
        <v>34114617</v>
      </c>
      <c r="H15660">
        <v>10665552</v>
      </c>
      <c r="I15660">
        <v>43125328</v>
      </c>
      <c r="J15660">
        <v>3</v>
      </c>
    </row>
    <row r="15661" spans="1:10" x14ac:dyDescent="0.25">
      <c r="A15661" t="s">
        <v>164</v>
      </c>
      <c r="B15661" s="1" t="str">
        <f>HYPERLINK("http://ford-sg-neu-ulm.de","ford-sg-neu-ulm.de")</f>
        <v>ford-sg-neu-ulm.de</v>
      </c>
      <c r="C15661" t="s">
        <v>436</v>
      </c>
      <c r="D15661" t="s">
        <v>815</v>
      </c>
      <c r="F15661">
        <v>5.4510104694701503E-9</v>
      </c>
      <c r="G15661">
        <v>21470977</v>
      </c>
      <c r="H15661">
        <v>11152503</v>
      </c>
      <c r="I15661">
        <v>31699757</v>
      </c>
      <c r="J15661">
        <v>3</v>
      </c>
    </row>
    <row r="15662" spans="1:10" x14ac:dyDescent="0.25">
      <c r="A15662" t="s">
        <v>164</v>
      </c>
      <c r="B15662" s="1" t="str">
        <f>HYPERLINK("http://ford-siekmann.de","ford-siekmann.de")</f>
        <v>ford-siekmann.de</v>
      </c>
      <c r="C15662" t="s">
        <v>436</v>
      </c>
      <c r="D15662" t="s">
        <v>815</v>
      </c>
      <c r="F15662">
        <v>4.5299166831540902E-9</v>
      </c>
      <c r="G15662">
        <v>55066222</v>
      </c>
      <c r="H15662">
        <v>9882215</v>
      </c>
      <c r="I15662">
        <v>61877356</v>
      </c>
      <c r="J15662">
        <v>3</v>
      </c>
    </row>
    <row r="15663" spans="1:10" x14ac:dyDescent="0.25">
      <c r="A15663" t="s">
        <v>164</v>
      </c>
      <c r="B15663" s="1" t="str">
        <f>HYPERLINK("http://ford-tannenkrug-neubrandenburg.de","ford-tannenkrug-neubrandenburg.de")</f>
        <v>ford-tannenkrug-neubrandenburg.de</v>
      </c>
      <c r="C15663" t="s">
        <v>436</v>
      </c>
      <c r="D15663" t="s">
        <v>815</v>
      </c>
      <c r="F15663">
        <v>4.4457197315952898E-9</v>
      </c>
      <c r="G15663">
        <v>74963400</v>
      </c>
      <c r="H15663">
        <v>10841244</v>
      </c>
      <c r="I15663">
        <v>37122755</v>
      </c>
      <c r="J15663">
        <v>3</v>
      </c>
    </row>
    <row r="15664" spans="1:10" x14ac:dyDescent="0.25">
      <c r="A15664" t="s">
        <v>164</v>
      </c>
      <c r="B15664" s="1" t="str">
        <f>HYPERLINK("http://ford-tegel-rudersberg.de","ford-tegel-rudersberg.de")</f>
        <v>ford-tegel-rudersberg.de</v>
      </c>
      <c r="C15664" t="s">
        <v>436</v>
      </c>
      <c r="D15664" t="s">
        <v>815</v>
      </c>
      <c r="F15664">
        <v>4.7295363377062799E-9</v>
      </c>
      <c r="G15664">
        <v>39369849</v>
      </c>
      <c r="H15664">
        <v>12088419</v>
      </c>
      <c r="I15664">
        <v>26305777</v>
      </c>
      <c r="J15664">
        <v>3</v>
      </c>
    </row>
    <row r="15665" spans="1:10" x14ac:dyDescent="0.25">
      <c r="A15665" t="s">
        <v>164</v>
      </c>
      <c r="B15665" s="1" t="str">
        <f>HYPERLINK("http://ford-timmer.de","ford-timmer.de")</f>
        <v>ford-timmer.de</v>
      </c>
      <c r="C15665" t="s">
        <v>436</v>
      </c>
      <c r="D15665" t="s">
        <v>815</v>
      </c>
      <c r="F15665">
        <v>4.8786651638770402E-9</v>
      </c>
      <c r="G15665">
        <v>33126022</v>
      </c>
      <c r="H15665">
        <v>10508655</v>
      </c>
      <c r="I15665">
        <v>50154566</v>
      </c>
      <c r="J15665">
        <v>3</v>
      </c>
    </row>
    <row r="15666" spans="1:10" x14ac:dyDescent="0.25">
      <c r="A15666" t="s">
        <v>164</v>
      </c>
      <c r="B15666" s="1" t="str">
        <f>HYPERLINK("http://ford-toenjes-zetel.de","ford-toenjes-zetel.de")</f>
        <v>ford-toenjes-zetel.de</v>
      </c>
      <c r="C15666" t="s">
        <v>436</v>
      </c>
      <c r="D15666" t="s">
        <v>815</v>
      </c>
      <c r="F15666">
        <v>1.08201812233539E-8</v>
      </c>
      <c r="G15666">
        <v>6004870</v>
      </c>
      <c r="H15666">
        <v>10999212</v>
      </c>
      <c r="I15666">
        <v>33598332</v>
      </c>
      <c r="J15666">
        <v>3</v>
      </c>
    </row>
    <row r="15667" spans="1:10" x14ac:dyDescent="0.25">
      <c r="A15667" t="s">
        <v>164</v>
      </c>
      <c r="B15667" s="1" t="str">
        <f>HYPERLINK("http://ford-wagner-moessingen.de","ford-wagner-moessingen.de")</f>
        <v>ford-wagner-moessingen.de</v>
      </c>
      <c r="C15667" t="s">
        <v>436</v>
      </c>
      <c r="D15667" t="s">
        <v>815</v>
      </c>
      <c r="F15667">
        <v>4.6912786946214698E-9</v>
      </c>
      <c r="G15667">
        <v>41723479</v>
      </c>
      <c r="H15667">
        <v>10892912</v>
      </c>
      <c r="I15667">
        <v>36007855</v>
      </c>
      <c r="J15667">
        <v>3</v>
      </c>
    </row>
    <row r="15668" spans="1:10" x14ac:dyDescent="0.25">
      <c r="A15668" t="s">
        <v>164</v>
      </c>
      <c r="B15668" s="1" t="str">
        <f>HYPERLINK("http://ford-weber.de","ford-weber.de")</f>
        <v>ford-weber.de</v>
      </c>
      <c r="C15668" t="s">
        <v>436</v>
      </c>
      <c r="D15668" t="s">
        <v>815</v>
      </c>
      <c r="J15668">
        <v>3</v>
      </c>
    </row>
    <row r="15669" spans="1:10" x14ac:dyDescent="0.25">
      <c r="A15669" t="s">
        <v>164</v>
      </c>
      <c r="B15669" s="1" t="str">
        <f>HYPERLINK("http://ford-weiss-amberg.de","ford-weiss-amberg.de")</f>
        <v>ford-weiss-amberg.de</v>
      </c>
      <c r="C15669" t="s">
        <v>436</v>
      </c>
      <c r="D15669" t="s">
        <v>815</v>
      </c>
      <c r="F15669">
        <v>4.44380395335525E-9</v>
      </c>
      <c r="G15669">
        <v>84344424</v>
      </c>
      <c r="H15669">
        <v>0</v>
      </c>
      <c r="I15669">
        <v>85378898</v>
      </c>
      <c r="J15669">
        <v>3</v>
      </c>
    </row>
    <row r="15670" spans="1:10" x14ac:dyDescent="0.25">
      <c r="A15670" t="s">
        <v>164</v>
      </c>
      <c r="B15670" s="1" t="str">
        <f>HYPERLINK("http://ford-weller-hainerstrasse.de","ford-weller-hainerstrasse.de")</f>
        <v>ford-weller-hainerstrasse.de</v>
      </c>
      <c r="C15670" t="s">
        <v>436</v>
      </c>
      <c r="D15670" t="s">
        <v>815</v>
      </c>
      <c r="F15670">
        <v>8.6709494227463592E-9</v>
      </c>
      <c r="G15670">
        <v>8528263</v>
      </c>
      <c r="H15670">
        <v>10129695</v>
      </c>
      <c r="I15670">
        <v>59589549</v>
      </c>
      <c r="J15670">
        <v>3</v>
      </c>
    </row>
    <row r="15671" spans="1:10" x14ac:dyDescent="0.25">
      <c r="A15671" t="s">
        <v>164</v>
      </c>
      <c r="B15671" s="1" t="str">
        <f>HYPERLINK("http://ford-west-augsburg.de","ford-west-augsburg.de")</f>
        <v>ford-west-augsburg.de</v>
      </c>
      <c r="C15671" t="s">
        <v>436</v>
      </c>
      <c r="D15671" t="s">
        <v>815</v>
      </c>
      <c r="F15671">
        <v>7.0350989394996203E-9</v>
      </c>
      <c r="G15671">
        <v>12207805</v>
      </c>
      <c r="H15671">
        <v>12322400</v>
      </c>
      <c r="I15671">
        <v>20368198</v>
      </c>
      <c r="J15671">
        <v>3</v>
      </c>
    </row>
    <row r="15672" spans="1:10" x14ac:dyDescent="0.25">
      <c r="A15672" t="s">
        <v>164</v>
      </c>
      <c r="B15672" s="1" t="str">
        <f>HYPERLINK("http://ford-wiemer-troisdorf.de","ford-wiemer-troisdorf.de")</f>
        <v>ford-wiemer-troisdorf.de</v>
      </c>
      <c r="C15672" t="s">
        <v>436</v>
      </c>
      <c r="D15672" t="s">
        <v>815</v>
      </c>
      <c r="F15672">
        <v>1.32134556189579E-8</v>
      </c>
      <c r="G15672">
        <v>4532138</v>
      </c>
      <c r="H15672">
        <v>12720231</v>
      </c>
      <c r="I15672">
        <v>15251789</v>
      </c>
      <c r="J15672">
        <v>3</v>
      </c>
    </row>
    <row r="15673" spans="1:10" x14ac:dyDescent="0.25">
      <c r="A15673" t="s">
        <v>164</v>
      </c>
      <c r="B15673" s="1" t="str">
        <f>HYPERLINK("http://ford-winkler-geithain.de","ford-winkler-geithain.de")</f>
        <v>ford-winkler-geithain.de</v>
      </c>
      <c r="C15673" t="s">
        <v>436</v>
      </c>
      <c r="D15673" t="s">
        <v>815</v>
      </c>
      <c r="F15673">
        <v>4.44380395335525E-9</v>
      </c>
      <c r="G15673">
        <v>84344428</v>
      </c>
      <c r="H15673">
        <v>0</v>
      </c>
      <c r="I15673">
        <v>85378902</v>
      </c>
      <c r="J15673">
        <v>3</v>
      </c>
    </row>
    <row r="15674" spans="1:10" x14ac:dyDescent="0.25">
      <c r="A15674" t="s">
        <v>164</v>
      </c>
      <c r="B15674" s="1" t="str">
        <f>HYPERLINK("http://fordbank.de","fordbank.de")</f>
        <v>fordbank.de</v>
      </c>
      <c r="C15674" t="s">
        <v>436</v>
      </c>
      <c r="D15674" t="s">
        <v>815</v>
      </c>
      <c r="F15674">
        <v>7.4865364646029603E-9</v>
      </c>
      <c r="G15674">
        <v>11043343</v>
      </c>
      <c r="H15674">
        <v>12137099</v>
      </c>
      <c r="I15674">
        <v>24944240</v>
      </c>
      <c r="J15674">
        <v>3</v>
      </c>
    </row>
    <row r="15675" spans="1:10" x14ac:dyDescent="0.25">
      <c r="A15675" t="s">
        <v>164</v>
      </c>
      <c r="B15675" s="1" t="str">
        <f>HYPERLINK("http://fordmessmer.de","fordmessmer.de")</f>
        <v>fordmessmer.de</v>
      </c>
      <c r="C15675" t="s">
        <v>436</v>
      </c>
      <c r="D15675" t="s">
        <v>815</v>
      </c>
      <c r="F15675">
        <v>4.4448209299788603E-9</v>
      </c>
      <c r="G15675">
        <v>76032930</v>
      </c>
      <c r="H15675">
        <v>9416675</v>
      </c>
      <c r="I15675">
        <v>67017923</v>
      </c>
      <c r="J15675">
        <v>3</v>
      </c>
    </row>
    <row r="15676" spans="1:10" x14ac:dyDescent="0.25">
      <c r="A15676" t="s">
        <v>164</v>
      </c>
      <c r="B15676" s="1" t="str">
        <f>HYPERLINK("http://fordmoney.de","fordmoney.de")</f>
        <v>fordmoney.de</v>
      </c>
      <c r="C15676" t="s">
        <v>436</v>
      </c>
      <c r="D15676" t="s">
        <v>815</v>
      </c>
      <c r="F15676">
        <v>1.81825426453222E-8</v>
      </c>
      <c r="G15676">
        <v>2993166</v>
      </c>
      <c r="H15676">
        <v>12764245</v>
      </c>
      <c r="I15676">
        <v>14926258</v>
      </c>
      <c r="J15676">
        <v>2</v>
      </c>
    </row>
    <row r="15677" spans="1:10" x14ac:dyDescent="0.25">
      <c r="A15677" t="s">
        <v>164</v>
      </c>
      <c r="B15677" s="1" t="str">
        <f>HYPERLINK("http://fordnehrkorn.de","fordnehrkorn.de")</f>
        <v>fordnehrkorn.de</v>
      </c>
      <c r="C15677" t="s">
        <v>436</v>
      </c>
      <c r="D15677" t="s">
        <v>815</v>
      </c>
      <c r="J15677">
        <v>3</v>
      </c>
    </row>
    <row r="15678" spans="1:10" x14ac:dyDescent="0.25">
      <c r="A15678" t="s">
        <v>164</v>
      </c>
      <c r="B15678" s="1" t="str">
        <f>HYPERLINK("http://fordschmidt.de","fordschmidt.de")</f>
        <v>fordschmidt.de</v>
      </c>
      <c r="C15678" t="s">
        <v>436</v>
      </c>
      <c r="D15678" t="s">
        <v>815</v>
      </c>
      <c r="J15678">
        <v>3</v>
      </c>
    </row>
    <row r="15679" spans="1:10" x14ac:dyDescent="0.25">
      <c r="A15679" t="s">
        <v>164</v>
      </c>
      <c r="B15679" s="1" t="str">
        <f>HYPERLINK("http://fordschwarz.de","fordschwarz.de")</f>
        <v>fordschwarz.de</v>
      </c>
      <c r="C15679" t="s">
        <v>436</v>
      </c>
      <c r="D15679" t="s">
        <v>815</v>
      </c>
      <c r="J15679">
        <v>3</v>
      </c>
    </row>
    <row r="15680" spans="1:10" x14ac:dyDescent="0.25">
      <c r="A15680" t="s">
        <v>164</v>
      </c>
      <c r="B15680" s="1" t="str">
        <f>HYPERLINK("http://fordwiemer.de","fordwiemer.de")</f>
        <v>fordwiemer.de</v>
      </c>
      <c r="C15680" t="s">
        <v>436</v>
      </c>
      <c r="D15680" t="s">
        <v>815</v>
      </c>
      <c r="J15680">
        <v>3</v>
      </c>
    </row>
    <row r="15681" spans="1:10" x14ac:dyDescent="0.25">
      <c r="A15681" t="s">
        <v>164</v>
      </c>
      <c r="B15681" s="1" t="str">
        <f>HYPERLINK("http://gapri.de","gapri.de")</f>
        <v>gapri.de</v>
      </c>
      <c r="C15681" t="s">
        <v>436</v>
      </c>
      <c r="D15681" t="s">
        <v>815</v>
      </c>
      <c r="F15681">
        <v>6.3504394228438004E-9</v>
      </c>
      <c r="G15681">
        <v>14760084</v>
      </c>
      <c r="H15681">
        <v>10958932</v>
      </c>
      <c r="I15681">
        <v>34383864</v>
      </c>
      <c r="J15681">
        <v>3</v>
      </c>
    </row>
    <row r="15682" spans="1:10" x14ac:dyDescent="0.25">
      <c r="A15682" t="s">
        <v>164</v>
      </c>
      <c r="B15682" s="1" t="str">
        <f>HYPERLINK("http://gegner.de","gegner.de")</f>
        <v>gegner.de</v>
      </c>
      <c r="C15682" t="s">
        <v>436</v>
      </c>
      <c r="D15682" t="s">
        <v>815</v>
      </c>
      <c r="F15682">
        <v>7.0337875206960097E-9</v>
      </c>
      <c r="G15682">
        <v>12212902</v>
      </c>
      <c r="H15682">
        <v>12126051</v>
      </c>
      <c r="I15682">
        <v>25253036</v>
      </c>
      <c r="J15682">
        <v>3</v>
      </c>
    </row>
    <row r="15683" spans="1:10" x14ac:dyDescent="0.25">
      <c r="A15683" t="s">
        <v>164</v>
      </c>
      <c r="B15683" s="1" t="str">
        <f>HYPERLINK("http://handweiser.de","handweiser.de")</f>
        <v>handweiser.de</v>
      </c>
      <c r="C15683" t="s">
        <v>436</v>
      </c>
      <c r="D15683" t="s">
        <v>815</v>
      </c>
      <c r="J15683">
        <v>3</v>
      </c>
    </row>
    <row r="15684" spans="1:10" x14ac:dyDescent="0.25">
      <c r="A15684" t="s">
        <v>164</v>
      </c>
      <c r="B15684" s="1" t="str">
        <f>HYPERLINK("http://helm-krais.de","helm-krais.de")</f>
        <v>helm-krais.de</v>
      </c>
      <c r="C15684" t="s">
        <v>436</v>
      </c>
      <c r="D15684" t="s">
        <v>815</v>
      </c>
      <c r="F15684">
        <v>4.4723539729951204E-9</v>
      </c>
      <c r="G15684">
        <v>63992015</v>
      </c>
      <c r="H15684">
        <v>10841310</v>
      </c>
      <c r="I15684">
        <v>37084212</v>
      </c>
      <c r="J15684">
        <v>3</v>
      </c>
    </row>
    <row r="15685" spans="1:10" x14ac:dyDescent="0.25">
      <c r="A15685" t="s">
        <v>164</v>
      </c>
      <c r="B15685" s="1" t="str">
        <f>HYPERLINK("http://hertel-weichert.de","hertel-weichert.de")</f>
        <v>hertel-weichert.de</v>
      </c>
      <c r="C15685" t="s">
        <v>436</v>
      </c>
      <c r="D15685" t="s">
        <v>815</v>
      </c>
      <c r="F15685">
        <v>9.5712030608858899E-9</v>
      </c>
      <c r="G15685">
        <v>7237955</v>
      </c>
      <c r="H15685">
        <v>12424259</v>
      </c>
      <c r="I15685">
        <v>18384936</v>
      </c>
      <c r="J15685">
        <v>3</v>
      </c>
    </row>
    <row r="15686" spans="1:10" x14ac:dyDescent="0.25">
      <c r="A15686" t="s">
        <v>164</v>
      </c>
      <c r="B15686" s="1" t="str">
        <f>HYPERLINK("http://jaeckel-auto.de","jaeckel-auto.de")</f>
        <v>jaeckel-auto.de</v>
      </c>
      <c r="C15686" t="s">
        <v>436</v>
      </c>
      <c r="D15686" t="s">
        <v>815</v>
      </c>
      <c r="F15686">
        <v>4.4922884084105598E-9</v>
      </c>
      <c r="G15686">
        <v>60137946</v>
      </c>
      <c r="H15686">
        <v>6998200.5</v>
      </c>
      <c r="I15686">
        <v>76916295</v>
      </c>
      <c r="J15686">
        <v>3</v>
      </c>
    </row>
    <row r="15687" spans="1:10" x14ac:dyDescent="0.25">
      <c r="A15687" t="s">
        <v>164</v>
      </c>
      <c r="B15687" s="1" t="str">
        <f>HYPERLINK("http://kfz-kuhn.de","kfz-kuhn.de")</f>
        <v>kfz-kuhn.de</v>
      </c>
      <c r="C15687" t="s">
        <v>436</v>
      </c>
      <c r="D15687" t="s">
        <v>815</v>
      </c>
      <c r="F15687">
        <v>4.44380395335525E-9</v>
      </c>
      <c r="G15687">
        <v>87643062</v>
      </c>
      <c r="H15687">
        <v>0</v>
      </c>
      <c r="I15687">
        <v>85462206</v>
      </c>
      <c r="J15687">
        <v>3</v>
      </c>
    </row>
    <row r="15688" spans="1:10" x14ac:dyDescent="0.25">
      <c r="A15688" t="s">
        <v>164</v>
      </c>
      <c r="B15688" s="1" t="str">
        <f>HYPERLINK("http://kolb-mueller.de","kolb-mueller.de")</f>
        <v>kolb-mueller.de</v>
      </c>
      <c r="C15688" t="s">
        <v>436</v>
      </c>
      <c r="D15688" t="s">
        <v>815</v>
      </c>
      <c r="F15688">
        <v>4.5192898833170901E-9</v>
      </c>
      <c r="G15688">
        <v>56315591</v>
      </c>
      <c r="H15688">
        <v>10511255</v>
      </c>
      <c r="I15688">
        <v>49518487</v>
      </c>
      <c r="J15688">
        <v>3</v>
      </c>
    </row>
    <row r="15689" spans="1:10" x14ac:dyDescent="0.25">
      <c r="A15689" t="s">
        <v>164</v>
      </c>
      <c r="B15689" s="1" t="str">
        <f>HYPERLINK("http://max-hantel.de","max-hantel.de")</f>
        <v>max-hantel.de</v>
      </c>
      <c r="C15689" t="s">
        <v>436</v>
      </c>
      <c r="D15689" t="s">
        <v>815</v>
      </c>
      <c r="F15689">
        <v>4.44380395335525E-9</v>
      </c>
      <c r="G15689">
        <v>84451708</v>
      </c>
      <c r="H15689">
        <v>0</v>
      </c>
      <c r="I15689">
        <v>85506604</v>
      </c>
      <c r="J15689">
        <v>3</v>
      </c>
    </row>
    <row r="15690" spans="1:10" x14ac:dyDescent="0.25">
      <c r="A15690" t="s">
        <v>164</v>
      </c>
      <c r="B15690" s="1" t="str">
        <f>HYPERLINK("http://mein-auto-schneider.de","mein-auto-schneider.de")</f>
        <v>mein-auto-schneider.de</v>
      </c>
      <c r="C15690" t="s">
        <v>436</v>
      </c>
      <c r="D15690" t="s">
        <v>815</v>
      </c>
      <c r="F15690">
        <v>8.3367619699441301E-9</v>
      </c>
      <c r="G15690">
        <v>9174552</v>
      </c>
      <c r="H15690">
        <v>12262426</v>
      </c>
      <c r="I15690">
        <v>21697792</v>
      </c>
      <c r="J15690">
        <v>3</v>
      </c>
    </row>
    <row r="15691" spans="1:10" x14ac:dyDescent="0.25">
      <c r="A15691" t="s">
        <v>164</v>
      </c>
      <c r="B15691" s="1" t="str">
        <f>HYPERLINK("http://ochner.de","ochner.de")</f>
        <v>ochner.de</v>
      </c>
      <c r="C15691" t="s">
        <v>436</v>
      </c>
      <c r="D15691" t="s">
        <v>815</v>
      </c>
      <c r="J15691">
        <v>3</v>
      </c>
    </row>
    <row r="15692" spans="1:10" x14ac:dyDescent="0.25">
      <c r="A15692" t="s">
        <v>164</v>
      </c>
      <c r="B15692" s="1" t="str">
        <f>HYPERLINK("http://oswald-heiss.de","oswald-heiss.de")</f>
        <v>oswald-heiss.de</v>
      </c>
      <c r="C15692" t="s">
        <v>436</v>
      </c>
      <c r="D15692" t="s">
        <v>815</v>
      </c>
      <c r="F15692">
        <v>6.0441576093358102E-9</v>
      </c>
      <c r="G15692">
        <v>16416888</v>
      </c>
      <c r="H15692">
        <v>10437227</v>
      </c>
      <c r="I15692">
        <v>52633847</v>
      </c>
      <c r="J15692">
        <v>3</v>
      </c>
    </row>
    <row r="15693" spans="1:10" x14ac:dyDescent="0.25">
      <c r="A15693" t="s">
        <v>164</v>
      </c>
      <c r="B15693" s="1" t="str">
        <f>HYPERLINK("http://winkler-autohaus.de","winkler-autohaus.de")</f>
        <v>winkler-autohaus.de</v>
      </c>
      <c r="C15693" t="s">
        <v>436</v>
      </c>
      <c r="D15693" t="s">
        <v>815</v>
      </c>
      <c r="J15693">
        <v>3</v>
      </c>
    </row>
    <row r="15694" spans="1:10" x14ac:dyDescent="0.25">
      <c r="A15694" t="s">
        <v>164</v>
      </c>
      <c r="B15694" s="1" t="str">
        <f>HYPERLINK("http://ford.dk","ford.dk")</f>
        <v>ford.dk</v>
      </c>
      <c r="C15694" t="s">
        <v>437</v>
      </c>
      <c r="D15694" t="s">
        <v>816</v>
      </c>
      <c r="E15694">
        <v>613817</v>
      </c>
      <c r="F15694">
        <v>9.9753379650435798E-8</v>
      </c>
      <c r="G15694">
        <v>403542</v>
      </c>
      <c r="H15694">
        <v>14248443</v>
      </c>
      <c r="I15694">
        <v>1453130</v>
      </c>
      <c r="J15694">
        <v>2</v>
      </c>
    </row>
    <row r="15695" spans="1:10" x14ac:dyDescent="0.25">
      <c r="A15695" t="s">
        <v>164</v>
      </c>
      <c r="B15695" s="1" t="str">
        <f>HYPERLINK("http://hosbond.dk","hosbond.dk")</f>
        <v>hosbond.dk</v>
      </c>
      <c r="C15695" t="s">
        <v>437</v>
      </c>
      <c r="D15695" t="s">
        <v>816</v>
      </c>
      <c r="F15695">
        <v>1.6912994696925701E-8</v>
      </c>
      <c r="G15695">
        <v>3303981</v>
      </c>
      <c r="H15695">
        <v>13678478</v>
      </c>
      <c r="I15695">
        <v>9537082</v>
      </c>
      <c r="J15695">
        <v>3</v>
      </c>
    </row>
    <row r="15696" spans="1:10" x14ac:dyDescent="0.25">
      <c r="A15696" t="s">
        <v>164</v>
      </c>
      <c r="B15696" s="1" t="str">
        <f>HYPERLINK("http://ford.es","ford.es")</f>
        <v>ford.es</v>
      </c>
      <c r="C15696" t="s">
        <v>443</v>
      </c>
      <c r="D15696" t="s">
        <v>822</v>
      </c>
      <c r="E15696">
        <v>224513</v>
      </c>
      <c r="F15696">
        <v>3.3075218934414898E-7</v>
      </c>
      <c r="G15696">
        <v>112655</v>
      </c>
      <c r="H15696">
        <v>15349207</v>
      </c>
      <c r="I15696">
        <v>382868</v>
      </c>
      <c r="J15696">
        <v>2</v>
      </c>
    </row>
    <row r="15697" spans="1:10" x14ac:dyDescent="0.25">
      <c r="A15697" t="s">
        <v>164</v>
      </c>
      <c r="B15697" s="1" t="str">
        <f>HYPERLINK("http://serramotor.es","serramotor.es")</f>
        <v>serramotor.es</v>
      </c>
      <c r="C15697" t="s">
        <v>443</v>
      </c>
      <c r="D15697" t="s">
        <v>822</v>
      </c>
      <c r="F15697">
        <v>4.5269840420267197E-9</v>
      </c>
      <c r="G15697">
        <v>55385913</v>
      </c>
      <c r="H15697">
        <v>10630315</v>
      </c>
      <c r="I15697">
        <v>43979272</v>
      </c>
      <c r="J15697">
        <v>3</v>
      </c>
    </row>
    <row r="15698" spans="1:10" x14ac:dyDescent="0.25">
      <c r="A15698" t="s">
        <v>164</v>
      </c>
      <c r="B15698" s="1" t="str">
        <f>HYPERLINK("http://talleresmartinez.es","talleresmartinez.es")</f>
        <v>talleresmartinez.es</v>
      </c>
      <c r="C15698" t="s">
        <v>443</v>
      </c>
      <c r="D15698" t="s">
        <v>822</v>
      </c>
      <c r="F15698">
        <v>5.4655678801517999E-9</v>
      </c>
      <c r="G15698">
        <v>21294961</v>
      </c>
      <c r="H15698">
        <v>13764329</v>
      </c>
      <c r="I15698">
        <v>7294700</v>
      </c>
      <c r="J15698">
        <v>3</v>
      </c>
    </row>
    <row r="15699" spans="1:10" x14ac:dyDescent="0.25">
      <c r="A15699" t="s">
        <v>164</v>
      </c>
      <c r="B15699" s="1" t="str">
        <f>HYPERLINK("http://ford.eu","ford.eu")</f>
        <v>ford.eu</v>
      </c>
      <c r="C15699" t="s">
        <v>444</v>
      </c>
      <c r="E15699">
        <v>330495</v>
      </c>
      <c r="F15699">
        <v>1.2222984138832999E-7</v>
      </c>
      <c r="G15699">
        <v>322968</v>
      </c>
      <c r="H15699">
        <v>14572421</v>
      </c>
      <c r="I15699">
        <v>733448</v>
      </c>
      <c r="J15699">
        <v>3</v>
      </c>
    </row>
    <row r="15700" spans="1:10" x14ac:dyDescent="0.25">
      <c r="A15700" t="s">
        <v>164</v>
      </c>
      <c r="B15700" s="1" t="str">
        <f>HYPERLINK("http://piske.eu","piske.eu")</f>
        <v>piske.eu</v>
      </c>
      <c r="C15700" t="s">
        <v>444</v>
      </c>
      <c r="F15700">
        <v>4.5742228743554497E-9</v>
      </c>
      <c r="G15700">
        <v>49797620</v>
      </c>
      <c r="H15700">
        <v>10463955</v>
      </c>
      <c r="I15700">
        <v>51589794</v>
      </c>
      <c r="J15700">
        <v>3</v>
      </c>
    </row>
    <row r="15701" spans="1:10" x14ac:dyDescent="0.25">
      <c r="A15701" t="s">
        <v>164</v>
      </c>
      <c r="B15701" s="1" t="str">
        <f>HYPERLINK("http://b-max.fi","b-max.fi")</f>
        <v>b-max.fi</v>
      </c>
      <c r="C15701" t="s">
        <v>445</v>
      </c>
      <c r="D15701" t="s">
        <v>823</v>
      </c>
      <c r="J15701">
        <v>4</v>
      </c>
    </row>
    <row r="15702" spans="1:10" x14ac:dyDescent="0.25">
      <c r="A15702" t="s">
        <v>164</v>
      </c>
      <c r="B15702" s="1" t="str">
        <f>HYPERLINK("http://bev-ford.fi","bev-ford.fi")</f>
        <v>bev-ford.fi</v>
      </c>
      <c r="C15702" t="s">
        <v>445</v>
      </c>
      <c r="D15702" t="s">
        <v>823</v>
      </c>
      <c r="J15702">
        <v>2</v>
      </c>
    </row>
    <row r="15703" spans="1:10" x14ac:dyDescent="0.25">
      <c r="A15703" t="s">
        <v>164</v>
      </c>
      <c r="B15703" s="1" t="str">
        <f>HYPERLINK("http://bevford.fi","bevford.fi")</f>
        <v>bevford.fi</v>
      </c>
      <c r="C15703" t="s">
        <v>445</v>
      </c>
      <c r="D15703" t="s">
        <v>823</v>
      </c>
      <c r="J15703">
        <v>2</v>
      </c>
    </row>
    <row r="15704" spans="1:10" x14ac:dyDescent="0.25">
      <c r="A15704" t="s">
        <v>164</v>
      </c>
      <c r="B15704" s="1" t="str">
        <f>HYPERLINK("http://blueoval.fi","blueoval.fi")</f>
        <v>blueoval.fi</v>
      </c>
      <c r="C15704" t="s">
        <v>445</v>
      </c>
      <c r="D15704" t="s">
        <v>823</v>
      </c>
      <c r="J15704">
        <v>2</v>
      </c>
    </row>
    <row r="15705" spans="1:10" x14ac:dyDescent="0.25">
      <c r="A15705" t="s">
        <v>164</v>
      </c>
      <c r="B15705" s="1" t="str">
        <f>HYPERLINK("http://blueovalbatterypark.fi","blueovalbatterypark.fi")</f>
        <v>blueovalbatterypark.fi</v>
      </c>
      <c r="C15705" t="s">
        <v>445</v>
      </c>
      <c r="D15705" t="s">
        <v>823</v>
      </c>
      <c r="J15705">
        <v>2</v>
      </c>
    </row>
    <row r="15706" spans="1:10" x14ac:dyDescent="0.25">
      <c r="A15706" t="s">
        <v>164</v>
      </c>
      <c r="B15706" s="1" t="str">
        <f>HYPERLINK("http://blueovalcharge.fi","blueovalcharge.fi")</f>
        <v>blueovalcharge.fi</v>
      </c>
      <c r="C15706" t="s">
        <v>445</v>
      </c>
      <c r="D15706" t="s">
        <v>823</v>
      </c>
      <c r="J15706">
        <v>2</v>
      </c>
    </row>
    <row r="15707" spans="1:10" x14ac:dyDescent="0.25">
      <c r="A15707" t="s">
        <v>164</v>
      </c>
      <c r="B15707" s="1" t="str">
        <f>HYPERLINK("http://blueovalcity.fi","blueovalcity.fi")</f>
        <v>blueovalcity.fi</v>
      </c>
      <c r="C15707" t="s">
        <v>445</v>
      </c>
      <c r="D15707" t="s">
        <v>823</v>
      </c>
      <c r="J15707">
        <v>2</v>
      </c>
    </row>
    <row r="15708" spans="1:10" x14ac:dyDescent="0.25">
      <c r="A15708" t="s">
        <v>164</v>
      </c>
      <c r="B15708" s="1" t="str">
        <f>HYPERLINK("http://blueovalintelligence.fi","blueovalintelligence.fi")</f>
        <v>blueovalintelligence.fi</v>
      </c>
      <c r="C15708" t="s">
        <v>445</v>
      </c>
      <c r="D15708" t="s">
        <v>823</v>
      </c>
      <c r="J15708">
        <v>2</v>
      </c>
    </row>
    <row r="15709" spans="1:10" x14ac:dyDescent="0.25">
      <c r="A15709" t="s">
        <v>164</v>
      </c>
      <c r="B15709" s="1" t="str">
        <f>HYPERLINK("http://blueovalintelligent.fi","blueovalintelligent.fi")</f>
        <v>blueovalintelligent.fi</v>
      </c>
      <c r="C15709" t="s">
        <v>445</v>
      </c>
      <c r="D15709" t="s">
        <v>823</v>
      </c>
      <c r="J15709">
        <v>2</v>
      </c>
    </row>
    <row r="15710" spans="1:10" x14ac:dyDescent="0.25">
      <c r="A15710" t="s">
        <v>164</v>
      </c>
      <c r="B15710" s="1" t="str">
        <f>HYPERLINK("http://blueovalsk.fi","blueovalsk.fi")</f>
        <v>blueovalsk.fi</v>
      </c>
      <c r="C15710" t="s">
        <v>445</v>
      </c>
      <c r="D15710" t="s">
        <v>823</v>
      </c>
      <c r="J15710">
        <v>2</v>
      </c>
    </row>
    <row r="15711" spans="1:10" x14ac:dyDescent="0.25">
      <c r="A15711" t="s">
        <v>164</v>
      </c>
      <c r="B15711" s="1" t="str">
        <f>HYPERLINK("http://blueovalskbatterypark.fi","blueovalskbatterypark.fi")</f>
        <v>blueovalskbatterypark.fi</v>
      </c>
      <c r="C15711" t="s">
        <v>445</v>
      </c>
      <c r="D15711" t="s">
        <v>823</v>
      </c>
      <c r="J15711">
        <v>2</v>
      </c>
    </row>
    <row r="15712" spans="1:10" x14ac:dyDescent="0.25">
      <c r="A15712" t="s">
        <v>164</v>
      </c>
      <c r="B15712" s="1" t="str">
        <f>HYPERLINK("http://builtfordproud.fi","builtfordproud.fi")</f>
        <v>builtfordproud.fi</v>
      </c>
      <c r="C15712" t="s">
        <v>445</v>
      </c>
      <c r="D15712" t="s">
        <v>823</v>
      </c>
      <c r="J15712">
        <v>2</v>
      </c>
    </row>
    <row r="15713" spans="1:10" x14ac:dyDescent="0.25">
      <c r="A15713" t="s">
        <v>164</v>
      </c>
      <c r="B15713" s="1" t="str">
        <f>HYPERLINK("http://businesspartner.fi","businesspartner.fi")</f>
        <v>businesspartner.fi</v>
      </c>
      <c r="C15713" t="s">
        <v>445</v>
      </c>
      <c r="D15713" t="s">
        <v>823</v>
      </c>
      <c r="J15713">
        <v>4</v>
      </c>
    </row>
    <row r="15714" spans="1:10" x14ac:dyDescent="0.25">
      <c r="A15714" t="s">
        <v>164</v>
      </c>
      <c r="B15714" s="1" t="str">
        <f>HYPERLINK("http://electricfordvehicle.fi","electricfordvehicle.fi")</f>
        <v>electricfordvehicle.fi</v>
      </c>
      <c r="C15714" t="s">
        <v>445</v>
      </c>
      <c r="D15714" t="s">
        <v>823</v>
      </c>
      <c r="J15714">
        <v>2</v>
      </c>
    </row>
    <row r="15715" spans="1:10" x14ac:dyDescent="0.25">
      <c r="A15715" t="s">
        <v>164</v>
      </c>
      <c r="B15715" s="1" t="str">
        <f>HYPERLINK("http://ev-ford.fi","ev-ford.fi")</f>
        <v>ev-ford.fi</v>
      </c>
      <c r="C15715" t="s">
        <v>445</v>
      </c>
      <c r="D15715" t="s">
        <v>823</v>
      </c>
      <c r="J15715">
        <v>2</v>
      </c>
    </row>
    <row r="15716" spans="1:10" x14ac:dyDescent="0.25">
      <c r="A15716" t="s">
        <v>164</v>
      </c>
      <c r="B15716" s="1" t="str">
        <f>HYPERLINK("http://evford.fi","evford.fi")</f>
        <v>evford.fi</v>
      </c>
      <c r="C15716" t="s">
        <v>445</v>
      </c>
      <c r="D15716" t="s">
        <v>823</v>
      </c>
      <c r="J15716">
        <v>2</v>
      </c>
    </row>
    <row r="15717" spans="1:10" x14ac:dyDescent="0.25">
      <c r="A15717" t="s">
        <v>164</v>
      </c>
      <c r="B15717" s="1" t="str">
        <f>HYPERLINK("http://focusst.fi","focusst.fi")</f>
        <v>focusst.fi</v>
      </c>
      <c r="C15717" t="s">
        <v>445</v>
      </c>
      <c r="D15717" t="s">
        <v>823</v>
      </c>
      <c r="J15717">
        <v>4</v>
      </c>
    </row>
    <row r="15718" spans="1:10" x14ac:dyDescent="0.25">
      <c r="A15718" t="s">
        <v>164</v>
      </c>
      <c r="B15718" s="1" t="str">
        <f>HYPERLINK("http://ford.fi","ford.fi")</f>
        <v>ford.fi</v>
      </c>
      <c r="C15718" t="s">
        <v>445</v>
      </c>
      <c r="D15718" t="s">
        <v>823</v>
      </c>
      <c r="F15718">
        <v>8.6766108820835799E-8</v>
      </c>
      <c r="G15718">
        <v>473500</v>
      </c>
      <c r="H15718">
        <v>14245890</v>
      </c>
      <c r="I15718">
        <v>1463998</v>
      </c>
      <c r="J15718">
        <v>2</v>
      </c>
    </row>
    <row r="15719" spans="1:10" x14ac:dyDescent="0.25">
      <c r="A15719" t="s">
        <v>164</v>
      </c>
      <c r="B15719" s="1" t="str">
        <f>HYPERLINK("http://ford-bev.fi","ford-bev.fi")</f>
        <v>ford-bev.fi</v>
      </c>
      <c r="C15719" t="s">
        <v>445</v>
      </c>
      <c r="D15719" t="s">
        <v>823</v>
      </c>
      <c r="J15719">
        <v>2</v>
      </c>
    </row>
    <row r="15720" spans="1:10" x14ac:dyDescent="0.25">
      <c r="A15720" t="s">
        <v>164</v>
      </c>
      <c r="B15720" s="1" t="str">
        <f>HYPERLINK("http://ford-blue.fi","ford-blue.fi")</f>
        <v>ford-blue.fi</v>
      </c>
      <c r="C15720" t="s">
        <v>445</v>
      </c>
      <c r="D15720" t="s">
        <v>823</v>
      </c>
      <c r="J15720">
        <v>2</v>
      </c>
    </row>
    <row r="15721" spans="1:10" x14ac:dyDescent="0.25">
      <c r="A15721" t="s">
        <v>164</v>
      </c>
      <c r="B15721" s="1" t="str">
        <f>HYPERLINK("http://ford-ev.fi","ford-ev.fi")</f>
        <v>ford-ev.fi</v>
      </c>
      <c r="C15721" t="s">
        <v>445</v>
      </c>
      <c r="D15721" t="s">
        <v>823</v>
      </c>
      <c r="J15721">
        <v>2</v>
      </c>
    </row>
    <row r="15722" spans="1:10" x14ac:dyDescent="0.25">
      <c r="A15722" t="s">
        <v>164</v>
      </c>
      <c r="B15722" s="1" t="str">
        <f>HYPERLINK("http://ford-lisaevarusteet.fi","ford-lisaevarusteet.fi")</f>
        <v>ford-lisaevarusteet.fi</v>
      </c>
      <c r="C15722" t="s">
        <v>445</v>
      </c>
      <c r="D15722" t="s">
        <v>823</v>
      </c>
      <c r="F15722">
        <v>1.0283634083167701E-8</v>
      </c>
      <c r="G15722">
        <v>6466379</v>
      </c>
      <c r="H15722">
        <v>10694394</v>
      </c>
      <c r="I15722">
        <v>42417588</v>
      </c>
      <c r="J15722">
        <v>4</v>
      </c>
    </row>
    <row r="15723" spans="1:10" x14ac:dyDescent="0.25">
      <c r="A15723" t="s">
        <v>164</v>
      </c>
      <c r="B15723" s="1" t="str">
        <f>HYPERLINK("http://fordb-max.fi","fordb-max.fi")</f>
        <v>fordb-max.fi</v>
      </c>
      <c r="C15723" t="s">
        <v>445</v>
      </c>
      <c r="D15723" t="s">
        <v>823</v>
      </c>
      <c r="J15723">
        <v>4</v>
      </c>
    </row>
    <row r="15724" spans="1:10" x14ac:dyDescent="0.25">
      <c r="A15724" t="s">
        <v>164</v>
      </c>
      <c r="B15724" s="1" t="str">
        <f>HYPERLINK("http://fordbatteryelectricvehicle.fi","fordbatteryelectricvehicle.fi")</f>
        <v>fordbatteryelectricvehicle.fi</v>
      </c>
      <c r="C15724" t="s">
        <v>445</v>
      </c>
      <c r="D15724" t="s">
        <v>823</v>
      </c>
      <c r="J15724">
        <v>2</v>
      </c>
    </row>
    <row r="15725" spans="1:10" x14ac:dyDescent="0.25">
      <c r="A15725" t="s">
        <v>164</v>
      </c>
      <c r="B15725" s="1" t="str">
        <f>HYPERLINK("http://fordbev.fi","fordbev.fi")</f>
        <v>fordbev.fi</v>
      </c>
      <c r="C15725" t="s">
        <v>445</v>
      </c>
      <c r="D15725" t="s">
        <v>823</v>
      </c>
      <c r="J15725">
        <v>2</v>
      </c>
    </row>
    <row r="15726" spans="1:10" x14ac:dyDescent="0.25">
      <c r="A15726" t="s">
        <v>164</v>
      </c>
      <c r="B15726" s="1" t="str">
        <f>HYPERLINK("http://fordblue.fi","fordblue.fi")</f>
        <v>fordblue.fi</v>
      </c>
      <c r="C15726" t="s">
        <v>445</v>
      </c>
      <c r="D15726" t="s">
        <v>823</v>
      </c>
      <c r="J15726">
        <v>2</v>
      </c>
    </row>
    <row r="15727" spans="1:10" x14ac:dyDescent="0.25">
      <c r="A15727" t="s">
        <v>164</v>
      </c>
      <c r="B15727" s="1" t="str">
        <f>HYPERLINK("http://fordblueoval.fi","fordblueoval.fi")</f>
        <v>fordblueoval.fi</v>
      </c>
      <c r="C15727" t="s">
        <v>445</v>
      </c>
      <c r="D15727" t="s">
        <v>823</v>
      </c>
      <c r="J15727">
        <v>2</v>
      </c>
    </row>
    <row r="15728" spans="1:10" x14ac:dyDescent="0.25">
      <c r="A15728" t="s">
        <v>164</v>
      </c>
      <c r="B15728" s="1" t="str">
        <f>HYPERLINK("http://fordcredit.fi","fordcredit.fi")</f>
        <v>fordcredit.fi</v>
      </c>
      <c r="C15728" t="s">
        <v>445</v>
      </c>
      <c r="D15728" t="s">
        <v>823</v>
      </c>
      <c r="J15728">
        <v>2</v>
      </c>
    </row>
    <row r="15729" spans="1:10" x14ac:dyDescent="0.25">
      <c r="A15729" t="s">
        <v>164</v>
      </c>
      <c r="B15729" s="1" t="str">
        <f>HYPERLINK("http://forddrive.fi","forddrive.fi")</f>
        <v>forddrive.fi</v>
      </c>
      <c r="C15729" t="s">
        <v>445</v>
      </c>
      <c r="D15729" t="s">
        <v>823</v>
      </c>
      <c r="J15729">
        <v>2</v>
      </c>
    </row>
    <row r="15730" spans="1:10" x14ac:dyDescent="0.25">
      <c r="A15730" t="s">
        <v>164</v>
      </c>
      <c r="B15730" s="1" t="str">
        <f>HYPERLINK("http://fordecoboost.fi","fordecoboost.fi")</f>
        <v>fordecoboost.fi</v>
      </c>
      <c r="C15730" t="s">
        <v>445</v>
      </c>
      <c r="D15730" t="s">
        <v>823</v>
      </c>
      <c r="J15730">
        <v>4</v>
      </c>
    </row>
    <row r="15731" spans="1:10" x14ac:dyDescent="0.25">
      <c r="A15731" t="s">
        <v>164</v>
      </c>
      <c r="B15731" s="1" t="str">
        <f>HYPERLINK("http://fordecosport.fi","fordecosport.fi")</f>
        <v>fordecosport.fi</v>
      </c>
      <c r="C15731" t="s">
        <v>445</v>
      </c>
      <c r="D15731" t="s">
        <v>823</v>
      </c>
      <c r="J15731">
        <v>4</v>
      </c>
    </row>
    <row r="15732" spans="1:10" x14ac:dyDescent="0.25">
      <c r="A15732" t="s">
        <v>164</v>
      </c>
      <c r="B15732" s="1" t="str">
        <f>HYPERLINK("http://fordedge.fi","fordedge.fi")</f>
        <v>fordedge.fi</v>
      </c>
      <c r="C15732" t="s">
        <v>445</v>
      </c>
      <c r="D15732" t="s">
        <v>823</v>
      </c>
      <c r="J15732">
        <v>4</v>
      </c>
    </row>
    <row r="15733" spans="1:10" x14ac:dyDescent="0.25">
      <c r="A15733" t="s">
        <v>164</v>
      </c>
      <c r="B15733" s="1" t="str">
        <f>HYPERLINK("http://fordelectriccar.fi","fordelectriccar.fi")</f>
        <v>fordelectriccar.fi</v>
      </c>
      <c r="C15733" t="s">
        <v>445</v>
      </c>
      <c r="D15733" t="s">
        <v>823</v>
      </c>
      <c r="J15733">
        <v>2</v>
      </c>
    </row>
    <row r="15734" spans="1:10" x14ac:dyDescent="0.25">
      <c r="A15734" t="s">
        <v>164</v>
      </c>
      <c r="B15734" s="1" t="str">
        <f>HYPERLINK("http://fordelectriccars.fi","fordelectriccars.fi")</f>
        <v>fordelectriccars.fi</v>
      </c>
      <c r="C15734" t="s">
        <v>445</v>
      </c>
      <c r="D15734" t="s">
        <v>823</v>
      </c>
      <c r="J15734">
        <v>2</v>
      </c>
    </row>
    <row r="15735" spans="1:10" x14ac:dyDescent="0.25">
      <c r="A15735" t="s">
        <v>164</v>
      </c>
      <c r="B15735" s="1" t="str">
        <f>HYPERLINK("http://fordelectricvehicle.fi","fordelectricvehicle.fi")</f>
        <v>fordelectricvehicle.fi</v>
      </c>
      <c r="C15735" t="s">
        <v>445</v>
      </c>
      <c r="D15735" t="s">
        <v>823</v>
      </c>
      <c r="J15735">
        <v>2</v>
      </c>
    </row>
    <row r="15736" spans="1:10" x14ac:dyDescent="0.25">
      <c r="A15736" t="s">
        <v>164</v>
      </c>
      <c r="B15736" s="1" t="str">
        <f>HYPERLINK("http://fordev.fi","fordev.fi")</f>
        <v>fordev.fi</v>
      </c>
      <c r="C15736" t="s">
        <v>445</v>
      </c>
      <c r="D15736" t="s">
        <v>823</v>
      </c>
      <c r="J15736">
        <v>2</v>
      </c>
    </row>
    <row r="15737" spans="1:10" x14ac:dyDescent="0.25">
      <c r="A15737" t="s">
        <v>164</v>
      </c>
      <c r="B15737" s="1" t="str">
        <f>HYPERLINK("http://fordevos.fi","fordevos.fi")</f>
        <v>fordevos.fi</v>
      </c>
      <c r="C15737" t="s">
        <v>445</v>
      </c>
      <c r="D15737" t="s">
        <v>823</v>
      </c>
      <c r="J15737">
        <v>4</v>
      </c>
    </row>
    <row r="15738" spans="1:10" x14ac:dyDescent="0.25">
      <c r="A15738" t="s">
        <v>164</v>
      </c>
      <c r="B15738" s="1" t="str">
        <f>HYPERLINK("http://fordfiesta.fi","fordfiesta.fi")</f>
        <v>fordfiesta.fi</v>
      </c>
      <c r="C15738" t="s">
        <v>445</v>
      </c>
      <c r="D15738" t="s">
        <v>823</v>
      </c>
      <c r="J15738">
        <v>4</v>
      </c>
    </row>
    <row r="15739" spans="1:10" x14ac:dyDescent="0.25">
      <c r="A15739" t="s">
        <v>164</v>
      </c>
      <c r="B15739" s="1" t="str">
        <f>HYPERLINK("http://fordfleetmanagement.fi","fordfleetmanagement.fi")</f>
        <v>fordfleetmanagement.fi</v>
      </c>
      <c r="C15739" t="s">
        <v>445</v>
      </c>
      <c r="D15739" t="s">
        <v>823</v>
      </c>
      <c r="J15739">
        <v>2</v>
      </c>
    </row>
    <row r="15740" spans="1:10" x14ac:dyDescent="0.25">
      <c r="A15740" t="s">
        <v>164</v>
      </c>
      <c r="B15740" s="1" t="str">
        <f>HYPERLINK("http://fordfocus.fi","fordfocus.fi")</f>
        <v>fordfocus.fi</v>
      </c>
      <c r="C15740" t="s">
        <v>445</v>
      </c>
      <c r="D15740" t="s">
        <v>823</v>
      </c>
      <c r="J15740">
        <v>4</v>
      </c>
    </row>
    <row r="15741" spans="1:10" x14ac:dyDescent="0.25">
      <c r="A15741" t="s">
        <v>164</v>
      </c>
      <c r="B15741" s="1" t="str">
        <f>HYPERLINK("http://fordfocusst.fi","fordfocusst.fi")</f>
        <v>fordfocusst.fi</v>
      </c>
      <c r="C15741" t="s">
        <v>445</v>
      </c>
      <c r="D15741" t="s">
        <v>823</v>
      </c>
      <c r="J15741">
        <v>4</v>
      </c>
    </row>
    <row r="15742" spans="1:10" x14ac:dyDescent="0.25">
      <c r="A15742" t="s">
        <v>164</v>
      </c>
      <c r="B15742" s="1" t="str">
        <f>HYPERLINK("http://fordgofurther.fi","fordgofurther.fi")</f>
        <v>fordgofurther.fi</v>
      </c>
      <c r="C15742" t="s">
        <v>445</v>
      </c>
      <c r="D15742" t="s">
        <v>823</v>
      </c>
      <c r="J15742">
        <v>4</v>
      </c>
    </row>
    <row r="15743" spans="1:10" x14ac:dyDescent="0.25">
      <c r="A15743" t="s">
        <v>164</v>
      </c>
      <c r="B15743" s="1" t="str">
        <f>HYPERLINK("http://fordinsure.fi","fordinsure.fi")</f>
        <v>fordinsure.fi</v>
      </c>
      <c r="C15743" t="s">
        <v>445</v>
      </c>
      <c r="D15743" t="s">
        <v>823</v>
      </c>
      <c r="J15743">
        <v>4</v>
      </c>
    </row>
    <row r="15744" spans="1:10" x14ac:dyDescent="0.25">
      <c r="A15744" t="s">
        <v>164</v>
      </c>
      <c r="B15744" s="1" t="str">
        <f>HYPERLINK("http://fordionboost.fi","fordionboost.fi")</f>
        <v>fordionboost.fi</v>
      </c>
      <c r="C15744" t="s">
        <v>445</v>
      </c>
      <c r="D15744" t="s">
        <v>823</v>
      </c>
      <c r="J15744">
        <v>2</v>
      </c>
    </row>
    <row r="15745" spans="1:10" x14ac:dyDescent="0.25">
      <c r="A15745" t="s">
        <v>164</v>
      </c>
      <c r="B15745" s="1" t="str">
        <f>HYPERLINK("http://fordka.fi","fordka.fi")</f>
        <v>fordka.fi</v>
      </c>
      <c r="C15745" t="s">
        <v>445</v>
      </c>
      <c r="D15745" t="s">
        <v>823</v>
      </c>
      <c r="J15745">
        <v>4</v>
      </c>
    </row>
    <row r="15746" spans="1:10" x14ac:dyDescent="0.25">
      <c r="A15746" t="s">
        <v>164</v>
      </c>
      <c r="B15746" s="1" t="str">
        <f>HYPERLINK("http://fordkuga.fi","fordkuga.fi")</f>
        <v>fordkuga.fi</v>
      </c>
      <c r="C15746" t="s">
        <v>445</v>
      </c>
      <c r="D15746" t="s">
        <v>823</v>
      </c>
      <c r="J15746">
        <v>4</v>
      </c>
    </row>
    <row r="15747" spans="1:10" x14ac:dyDescent="0.25">
      <c r="A15747" t="s">
        <v>164</v>
      </c>
      <c r="B15747" s="1" t="str">
        <f>HYPERLINK("http://fordlifestylecollection.fi","fordlifestylecollection.fi")</f>
        <v>fordlifestylecollection.fi</v>
      </c>
      <c r="C15747" t="s">
        <v>445</v>
      </c>
      <c r="D15747" t="s">
        <v>823</v>
      </c>
      <c r="J15747">
        <v>4</v>
      </c>
    </row>
    <row r="15748" spans="1:10" x14ac:dyDescent="0.25">
      <c r="A15748" t="s">
        <v>164</v>
      </c>
      <c r="B15748" s="1" t="str">
        <f>HYPERLINK("http://fordmodel-e.fi","fordmodel-e.fi")</f>
        <v>fordmodel-e.fi</v>
      </c>
      <c r="C15748" t="s">
        <v>445</v>
      </c>
      <c r="D15748" t="s">
        <v>823</v>
      </c>
      <c r="J15748">
        <v>2</v>
      </c>
    </row>
    <row r="15749" spans="1:10" x14ac:dyDescent="0.25">
      <c r="A15749" t="s">
        <v>164</v>
      </c>
      <c r="B15749" s="1" t="str">
        <f>HYPERLINK("http://fordmodele.fi","fordmodele.fi")</f>
        <v>fordmodele.fi</v>
      </c>
      <c r="C15749" t="s">
        <v>445</v>
      </c>
      <c r="D15749" t="s">
        <v>823</v>
      </c>
      <c r="J15749">
        <v>2</v>
      </c>
    </row>
    <row r="15750" spans="1:10" x14ac:dyDescent="0.25">
      <c r="A15750" t="s">
        <v>164</v>
      </c>
      <c r="B15750" s="1" t="str">
        <f>HYPERLINK("http://fordonline.fi","fordonline.fi")</f>
        <v>fordonline.fi</v>
      </c>
      <c r="C15750" t="s">
        <v>445</v>
      </c>
      <c r="D15750" t="s">
        <v>823</v>
      </c>
      <c r="J15750">
        <v>4</v>
      </c>
    </row>
    <row r="15751" spans="1:10" x14ac:dyDescent="0.25">
      <c r="A15751" t="s">
        <v>164</v>
      </c>
      <c r="B15751" s="1" t="str">
        <f>HYPERLINK("http://fordpass.fi","fordpass.fi")</f>
        <v>fordpass.fi</v>
      </c>
      <c r="C15751" t="s">
        <v>445</v>
      </c>
      <c r="D15751" t="s">
        <v>823</v>
      </c>
      <c r="J15751">
        <v>4</v>
      </c>
    </row>
    <row r="15752" spans="1:10" x14ac:dyDescent="0.25">
      <c r="A15752" t="s">
        <v>164</v>
      </c>
      <c r="B15752" s="1" t="str">
        <f>HYPERLINK("http://fordperformanceparts.fi","fordperformanceparts.fi")</f>
        <v>fordperformanceparts.fi</v>
      </c>
      <c r="C15752" t="s">
        <v>445</v>
      </c>
      <c r="D15752" t="s">
        <v>823</v>
      </c>
      <c r="J15752">
        <v>4</v>
      </c>
    </row>
    <row r="15753" spans="1:10" x14ac:dyDescent="0.25">
      <c r="A15753" t="s">
        <v>164</v>
      </c>
      <c r="B15753" s="1" t="str">
        <f>HYPERLINK("http://fordpro.fi","fordpro.fi")</f>
        <v>fordpro.fi</v>
      </c>
      <c r="C15753" t="s">
        <v>445</v>
      </c>
      <c r="D15753" t="s">
        <v>823</v>
      </c>
      <c r="J15753">
        <v>2</v>
      </c>
    </row>
    <row r="15754" spans="1:10" x14ac:dyDescent="0.25">
      <c r="A15754" t="s">
        <v>164</v>
      </c>
      <c r="B15754" s="1" t="str">
        <f>HYPERLINK("http://fordprotect.fi","fordprotect.fi")</f>
        <v>fordprotect.fi</v>
      </c>
      <c r="C15754" t="s">
        <v>445</v>
      </c>
      <c r="D15754" t="s">
        <v>823</v>
      </c>
      <c r="J15754">
        <v>4</v>
      </c>
    </row>
    <row r="15755" spans="1:10" x14ac:dyDescent="0.25">
      <c r="A15755" t="s">
        <v>164</v>
      </c>
      <c r="B15755" s="1" t="str">
        <f>HYPERLINK("http://fordsmax.fi","fordsmax.fi")</f>
        <v>fordsmax.fi</v>
      </c>
      <c r="C15755" t="s">
        <v>445</v>
      </c>
      <c r="D15755" t="s">
        <v>823</v>
      </c>
      <c r="J15755">
        <v>4</v>
      </c>
    </row>
    <row r="15756" spans="1:10" x14ac:dyDescent="0.25">
      <c r="A15756" t="s">
        <v>164</v>
      </c>
      <c r="B15756" s="1" t="str">
        <f>HYPERLINK("http://fordtarvikkeet.fi","fordtarvikkeet.fi")</f>
        <v>fordtarvikkeet.fi</v>
      </c>
      <c r="C15756" t="s">
        <v>445</v>
      </c>
      <c r="D15756" t="s">
        <v>823</v>
      </c>
      <c r="J15756">
        <v>4</v>
      </c>
    </row>
    <row r="15757" spans="1:10" x14ac:dyDescent="0.25">
      <c r="A15757" t="s">
        <v>164</v>
      </c>
      <c r="B15757" s="1" t="str">
        <f>HYPERLINK("http://fordvakuutus.fi","fordvakuutus.fi")</f>
        <v>fordvakuutus.fi</v>
      </c>
      <c r="C15757" t="s">
        <v>445</v>
      </c>
      <c r="D15757" t="s">
        <v>823</v>
      </c>
      <c r="J15757">
        <v>4</v>
      </c>
    </row>
    <row r="15758" spans="1:10" x14ac:dyDescent="0.25">
      <c r="A15758" t="s">
        <v>164</v>
      </c>
      <c r="B15758" s="1" t="str">
        <f>HYPERLINK("http://fordvarusteet.fi","fordvarusteet.fi")</f>
        <v>fordvarusteet.fi</v>
      </c>
      <c r="C15758" t="s">
        <v>445</v>
      </c>
      <c r="D15758" t="s">
        <v>823</v>
      </c>
      <c r="F15758">
        <v>8.6042875135472807E-9</v>
      </c>
      <c r="G15758">
        <v>8648836</v>
      </c>
      <c r="H15758">
        <v>10693796</v>
      </c>
      <c r="I15758">
        <v>42432690</v>
      </c>
      <c r="J15758">
        <v>4</v>
      </c>
    </row>
    <row r="15759" spans="1:10" x14ac:dyDescent="0.25">
      <c r="A15759" t="s">
        <v>164</v>
      </c>
      <c r="B15759" s="1" t="str">
        <f>HYPERLINK("http://fordvignale.fi","fordvignale.fi")</f>
        <v>fordvignale.fi</v>
      </c>
      <c r="C15759" t="s">
        <v>445</v>
      </c>
      <c r="D15759" t="s">
        <v>823</v>
      </c>
      <c r="J15759">
        <v>4</v>
      </c>
    </row>
    <row r="15760" spans="1:10" x14ac:dyDescent="0.25">
      <c r="A15760" t="s">
        <v>164</v>
      </c>
      <c r="B15760" s="1" t="str">
        <f>HYPERLINK("http://forso.fi","forso.fi")</f>
        <v>forso.fi</v>
      </c>
      <c r="C15760" t="s">
        <v>445</v>
      </c>
      <c r="D15760" t="s">
        <v>823</v>
      </c>
      <c r="F15760">
        <v>4.4543129178640897E-9</v>
      </c>
      <c r="G15760">
        <v>69791555</v>
      </c>
      <c r="H15760">
        <v>10720900</v>
      </c>
      <c r="I15760">
        <v>41826663</v>
      </c>
      <c r="J15760">
        <v>4</v>
      </c>
    </row>
    <row r="15761" spans="1:10" x14ac:dyDescent="0.25">
      <c r="A15761" t="s">
        <v>164</v>
      </c>
      <c r="B15761" s="1" t="str">
        <f>HYPERLINK("http://ionboost.fi","ionboost.fi")</f>
        <v>ionboost.fi</v>
      </c>
      <c r="C15761" t="s">
        <v>445</v>
      </c>
      <c r="D15761" t="s">
        <v>823</v>
      </c>
      <c r="J15761">
        <v>2</v>
      </c>
    </row>
    <row r="15762" spans="1:10" x14ac:dyDescent="0.25">
      <c r="A15762" t="s">
        <v>164</v>
      </c>
      <c r="B15762" s="1" t="str">
        <f>HYPERLINK("http://ionboostdrive.fi","ionboostdrive.fi")</f>
        <v>ionboostdrive.fi</v>
      </c>
      <c r="C15762" t="s">
        <v>445</v>
      </c>
      <c r="D15762" t="s">
        <v>823</v>
      </c>
      <c r="J15762">
        <v>2</v>
      </c>
    </row>
    <row r="15763" spans="1:10" x14ac:dyDescent="0.25">
      <c r="A15763" t="s">
        <v>164</v>
      </c>
      <c r="B15763" s="1" t="str">
        <f>HYPERLINK("http://ionboostplus.fi","ionboostplus.fi")</f>
        <v>ionboostplus.fi</v>
      </c>
      <c r="C15763" t="s">
        <v>445</v>
      </c>
      <c r="D15763" t="s">
        <v>823</v>
      </c>
      <c r="J15763">
        <v>2</v>
      </c>
    </row>
    <row r="15764" spans="1:10" x14ac:dyDescent="0.25">
      <c r="A15764" t="s">
        <v>164</v>
      </c>
      <c r="B15764" s="1" t="str">
        <f>HYPERLINK("http://ionboostpro.fi","ionboostpro.fi")</f>
        <v>ionboostpro.fi</v>
      </c>
      <c r="C15764" t="s">
        <v>445</v>
      </c>
      <c r="D15764" t="s">
        <v>823</v>
      </c>
      <c r="J15764">
        <v>2</v>
      </c>
    </row>
    <row r="15765" spans="1:10" x14ac:dyDescent="0.25">
      <c r="A15765" t="s">
        <v>164</v>
      </c>
      <c r="B15765" s="1" t="str">
        <f>HYPERLINK("http://kuga.fi","kuga.fi")</f>
        <v>kuga.fi</v>
      </c>
      <c r="C15765" t="s">
        <v>445</v>
      </c>
      <c r="D15765" t="s">
        <v>823</v>
      </c>
      <c r="J15765">
        <v>4</v>
      </c>
    </row>
    <row r="15766" spans="1:10" x14ac:dyDescent="0.25">
      <c r="A15766" t="s">
        <v>164</v>
      </c>
      <c r="B15766" s="1" t="str">
        <f>HYPERLINK("http://lincolnblueoval.fi","lincolnblueoval.fi")</f>
        <v>lincolnblueoval.fi</v>
      </c>
      <c r="C15766" t="s">
        <v>445</v>
      </c>
      <c r="D15766" t="s">
        <v>823</v>
      </c>
      <c r="J15766">
        <v>2</v>
      </c>
    </row>
    <row r="15767" spans="1:10" x14ac:dyDescent="0.25">
      <c r="A15767" t="s">
        <v>164</v>
      </c>
      <c r="B15767" s="1" t="str">
        <f>HYPERLINK("http://lincolnchargingnetwork.fi","lincolnchargingnetwork.fi")</f>
        <v>lincolnchargingnetwork.fi</v>
      </c>
      <c r="C15767" t="s">
        <v>445</v>
      </c>
      <c r="D15767" t="s">
        <v>823</v>
      </c>
      <c r="J15767">
        <v>2</v>
      </c>
    </row>
    <row r="15768" spans="1:10" x14ac:dyDescent="0.25">
      <c r="A15768" t="s">
        <v>164</v>
      </c>
      <c r="B15768" s="1" t="str">
        <f>HYPERLINK("http://lincolnintelligence.fi","lincolnintelligence.fi")</f>
        <v>lincolnintelligence.fi</v>
      </c>
      <c r="C15768" t="s">
        <v>445</v>
      </c>
      <c r="D15768" t="s">
        <v>823</v>
      </c>
      <c r="J15768">
        <v>2</v>
      </c>
    </row>
    <row r="15769" spans="1:10" x14ac:dyDescent="0.25">
      <c r="A15769" t="s">
        <v>164</v>
      </c>
      <c r="B15769" s="1" t="str">
        <f>HYPERLINK("http://lincolnintelligencesystem.fi","lincolnintelligencesystem.fi")</f>
        <v>lincolnintelligencesystem.fi</v>
      </c>
      <c r="C15769" t="s">
        <v>445</v>
      </c>
      <c r="D15769" t="s">
        <v>823</v>
      </c>
      <c r="J15769">
        <v>2</v>
      </c>
    </row>
    <row r="15770" spans="1:10" x14ac:dyDescent="0.25">
      <c r="A15770" t="s">
        <v>164</v>
      </c>
      <c r="B15770" s="1" t="str">
        <f>HYPERLINK("http://lincolnionboost.fi","lincolnionboost.fi")</f>
        <v>lincolnionboost.fi</v>
      </c>
      <c r="C15770" t="s">
        <v>445</v>
      </c>
      <c r="D15770" t="s">
        <v>823</v>
      </c>
      <c r="J15770">
        <v>2</v>
      </c>
    </row>
    <row r="15771" spans="1:10" x14ac:dyDescent="0.25">
      <c r="A15771" t="s">
        <v>164</v>
      </c>
      <c r="B15771" s="1" t="str">
        <f>HYPERLINK("http://myfordmobile.fi","myfordmobile.fi")</f>
        <v>myfordmobile.fi</v>
      </c>
      <c r="C15771" t="s">
        <v>445</v>
      </c>
      <c r="D15771" t="s">
        <v>823</v>
      </c>
      <c r="J15771">
        <v>4</v>
      </c>
    </row>
    <row r="15772" spans="1:10" x14ac:dyDescent="0.25">
      <c r="A15772" t="s">
        <v>164</v>
      </c>
      <c r="B15772" s="1" t="str">
        <f>HYPERLINK("http://myfordpass.fi","myfordpass.fi")</f>
        <v>myfordpass.fi</v>
      </c>
      <c r="C15772" t="s">
        <v>445</v>
      </c>
      <c r="D15772" t="s">
        <v>823</v>
      </c>
      <c r="J15772">
        <v>4</v>
      </c>
    </row>
    <row r="15773" spans="1:10" x14ac:dyDescent="0.25">
      <c r="A15773" t="s">
        <v>164</v>
      </c>
      <c r="B15773" s="1" t="str">
        <f>HYPERLINK("http://newfocusst.fi","newfocusst.fi")</f>
        <v>newfocusst.fi</v>
      </c>
      <c r="C15773" t="s">
        <v>445</v>
      </c>
      <c r="D15773" t="s">
        <v>823</v>
      </c>
      <c r="J15773">
        <v>4</v>
      </c>
    </row>
    <row r="15774" spans="1:10" x14ac:dyDescent="0.25">
      <c r="A15774" t="s">
        <v>164</v>
      </c>
      <c r="B15774" s="1" t="str">
        <f>HYPERLINK("http://parts-promotion-toolbox.fi","parts-promotion-toolbox.fi")</f>
        <v>parts-promotion-toolbox.fi</v>
      </c>
      <c r="C15774" t="s">
        <v>445</v>
      </c>
      <c r="D15774" t="s">
        <v>823</v>
      </c>
      <c r="J15774">
        <v>4</v>
      </c>
    </row>
    <row r="15775" spans="1:10" x14ac:dyDescent="0.25">
      <c r="A15775" t="s">
        <v>164</v>
      </c>
      <c r="B15775" s="1" t="str">
        <f>HYPERLINK("http://quicklane.fi","quicklane.fi")</f>
        <v>quicklane.fi</v>
      </c>
      <c r="C15775" t="s">
        <v>445</v>
      </c>
      <c r="D15775" t="s">
        <v>823</v>
      </c>
      <c r="J15775">
        <v>4</v>
      </c>
    </row>
    <row r="15776" spans="1:10" x14ac:dyDescent="0.25">
      <c r="A15776" t="s">
        <v>164</v>
      </c>
      <c r="B15776" s="1" t="str">
        <f>HYPERLINK("http://uusic-max.fi","uusic-max.fi")</f>
        <v>uusic-max.fi</v>
      </c>
      <c r="C15776" t="s">
        <v>445</v>
      </c>
      <c r="D15776" t="s">
        <v>823</v>
      </c>
      <c r="J15776">
        <v>4</v>
      </c>
    </row>
    <row r="15777" spans="1:10" x14ac:dyDescent="0.25">
      <c r="A15777" t="s">
        <v>164</v>
      </c>
      <c r="B15777" s="1" t="str">
        <f>HYPERLINK("http://uusicmax.fi","uusicmax.fi")</f>
        <v>uusicmax.fi</v>
      </c>
      <c r="C15777" t="s">
        <v>445</v>
      </c>
      <c r="D15777" t="s">
        <v>823</v>
      </c>
      <c r="J15777">
        <v>4</v>
      </c>
    </row>
    <row r="15778" spans="1:10" x14ac:dyDescent="0.25">
      <c r="A15778" t="s">
        <v>164</v>
      </c>
      <c r="B15778" s="1" t="str">
        <f>HYPERLINK("http://uusifiesta.fi","uusifiesta.fi")</f>
        <v>uusifiesta.fi</v>
      </c>
      <c r="C15778" t="s">
        <v>445</v>
      </c>
      <c r="D15778" t="s">
        <v>823</v>
      </c>
      <c r="J15778">
        <v>4</v>
      </c>
    </row>
    <row r="15779" spans="1:10" x14ac:dyDescent="0.25">
      <c r="A15779" t="s">
        <v>164</v>
      </c>
      <c r="B15779" s="1" t="str">
        <f>HYPERLINK("http://uusika.fi","uusika.fi")</f>
        <v>uusika.fi</v>
      </c>
      <c r="C15779" t="s">
        <v>445</v>
      </c>
      <c r="D15779" t="s">
        <v>823</v>
      </c>
      <c r="J15779">
        <v>4</v>
      </c>
    </row>
    <row r="15780" spans="1:10" x14ac:dyDescent="0.25">
      <c r="A15780" t="s">
        <v>164</v>
      </c>
      <c r="B15780" s="1" t="str">
        <f>HYPERLINK("http://uusimondeo.fi","uusimondeo.fi")</f>
        <v>uusimondeo.fi</v>
      </c>
      <c r="C15780" t="s">
        <v>445</v>
      </c>
      <c r="D15780" t="s">
        <v>823</v>
      </c>
      <c r="J15780">
        <v>4</v>
      </c>
    </row>
    <row r="15781" spans="1:10" x14ac:dyDescent="0.25">
      <c r="A15781" t="s">
        <v>164</v>
      </c>
      <c r="B15781" s="1" t="str">
        <f>HYPERLINK("http://uusiranger.fi","uusiranger.fi")</f>
        <v>uusiranger.fi</v>
      </c>
      <c r="C15781" t="s">
        <v>445</v>
      </c>
      <c r="D15781" t="s">
        <v>823</v>
      </c>
      <c r="J15781">
        <v>4</v>
      </c>
    </row>
    <row r="15782" spans="1:10" x14ac:dyDescent="0.25">
      <c r="A15782" t="s">
        <v>164</v>
      </c>
      <c r="B15782" s="1" t="str">
        <f>HYPERLINK("http://vignale.fi","vignale.fi")</f>
        <v>vignale.fi</v>
      </c>
      <c r="C15782" t="s">
        <v>445</v>
      </c>
      <c r="D15782" t="s">
        <v>823</v>
      </c>
      <c r="J15782">
        <v>4</v>
      </c>
    </row>
    <row r="15783" spans="1:10" x14ac:dyDescent="0.25">
      <c r="A15783" t="s">
        <v>164</v>
      </c>
      <c r="B15783" s="1" t="str">
        <f>HYPERLINK("http://zeroemissionsford.fi","zeroemissionsford.fi")</f>
        <v>zeroemissionsford.fi</v>
      </c>
      <c r="C15783" t="s">
        <v>445</v>
      </c>
      <c r="D15783" t="s">
        <v>823</v>
      </c>
      <c r="J15783">
        <v>2</v>
      </c>
    </row>
    <row r="15784" spans="1:10" x14ac:dyDescent="0.25">
      <c r="A15784" t="s">
        <v>164</v>
      </c>
      <c r="B15784" s="1" t="str">
        <f>HYPERLINK("http://etsbouttier.fr","etsbouttier.fr")</f>
        <v>etsbouttier.fr</v>
      </c>
      <c r="C15784" t="s">
        <v>446</v>
      </c>
      <c r="D15784" t="s">
        <v>824</v>
      </c>
      <c r="J15784">
        <v>3</v>
      </c>
    </row>
    <row r="15785" spans="1:10" x14ac:dyDescent="0.25">
      <c r="A15785" t="s">
        <v>164</v>
      </c>
      <c r="B15785" s="1" t="str">
        <f>HYPERLINK("http://ford.fr","ford.fr")</f>
        <v>ford.fr</v>
      </c>
      <c r="C15785" t="s">
        <v>446</v>
      </c>
      <c r="D15785" t="s">
        <v>824</v>
      </c>
      <c r="E15785">
        <v>305899</v>
      </c>
      <c r="F15785">
        <v>2.2351557875924601E-7</v>
      </c>
      <c r="G15785">
        <v>168600</v>
      </c>
      <c r="H15785">
        <v>14295010</v>
      </c>
      <c r="I15785">
        <v>1361350</v>
      </c>
      <c r="J15785">
        <v>2</v>
      </c>
    </row>
    <row r="15786" spans="1:10" x14ac:dyDescent="0.25">
      <c r="A15786" t="s">
        <v>164</v>
      </c>
      <c r="B15786" s="1" t="str">
        <f>HYPERLINK("http://ford-bagneux.fr","ford-bagneux.fr")</f>
        <v>ford-bagneux.fr</v>
      </c>
      <c r="C15786" t="s">
        <v>446</v>
      </c>
      <c r="D15786" t="s">
        <v>824</v>
      </c>
      <c r="F15786">
        <v>4.4477005795733299E-9</v>
      </c>
      <c r="G15786">
        <v>73334252</v>
      </c>
      <c r="H15786">
        <v>10535962</v>
      </c>
      <c r="I15786">
        <v>47551161</v>
      </c>
      <c r="J15786">
        <v>3</v>
      </c>
    </row>
    <row r="15787" spans="1:10" x14ac:dyDescent="0.25">
      <c r="A15787" t="s">
        <v>164</v>
      </c>
      <c r="B15787" s="1" t="str">
        <f>HYPERLINK("http://ford-bayeux-heudier.fr","ford-bayeux-heudier.fr")</f>
        <v>ford-bayeux-heudier.fr</v>
      </c>
      <c r="C15787" t="s">
        <v>446</v>
      </c>
      <c r="D15787" t="s">
        <v>824</v>
      </c>
      <c r="F15787">
        <v>4.4476619371275403E-9</v>
      </c>
      <c r="G15787">
        <v>73361132</v>
      </c>
      <c r="H15787">
        <v>9511676</v>
      </c>
      <c r="I15787">
        <v>65552029</v>
      </c>
      <c r="J15787">
        <v>3</v>
      </c>
    </row>
    <row r="15788" spans="1:10" x14ac:dyDescent="0.25">
      <c r="A15788" t="s">
        <v>164</v>
      </c>
      <c r="B15788" s="1" t="str">
        <f>HYPERLINK("http://ford-douai.fr","ford-douai.fr")</f>
        <v>ford-douai.fr</v>
      </c>
      <c r="C15788" t="s">
        <v>446</v>
      </c>
      <c r="D15788" t="s">
        <v>824</v>
      </c>
      <c r="F15788">
        <v>4.4476619371275296E-9</v>
      </c>
      <c r="G15788">
        <v>73361245</v>
      </c>
      <c r="H15788">
        <v>9511676</v>
      </c>
      <c r="I15788">
        <v>65552033</v>
      </c>
      <c r="J15788">
        <v>3</v>
      </c>
    </row>
    <row r="15789" spans="1:10" x14ac:dyDescent="0.25">
      <c r="A15789" t="s">
        <v>164</v>
      </c>
      <c r="B15789" s="1" t="str">
        <f>HYPERLINK("http://ford-saintmaurdesfosses.fr","ford-saintmaurdesfosses.fr")</f>
        <v>ford-saintmaurdesfosses.fr</v>
      </c>
      <c r="C15789" t="s">
        <v>446</v>
      </c>
      <c r="D15789" t="s">
        <v>824</v>
      </c>
      <c r="F15789">
        <v>4.4476619371275296E-9</v>
      </c>
      <c r="G15789">
        <v>73361250</v>
      </c>
      <c r="H15789">
        <v>9511676</v>
      </c>
      <c r="I15789">
        <v>65552039</v>
      </c>
      <c r="J15789">
        <v>3</v>
      </c>
    </row>
    <row r="15790" spans="1:10" x14ac:dyDescent="0.25">
      <c r="A15790" t="s">
        <v>164</v>
      </c>
      <c r="B15790" s="1" t="str">
        <f>HYPERLINK("http://ford-vitrysurseine.fr","ford-vitrysurseine.fr")</f>
        <v>ford-vitrysurseine.fr</v>
      </c>
      <c r="C15790" t="s">
        <v>446</v>
      </c>
      <c r="D15790" t="s">
        <v>824</v>
      </c>
      <c r="F15790">
        <v>4.5626917248277998E-9</v>
      </c>
      <c r="G15790">
        <v>50897146</v>
      </c>
      <c r="H15790">
        <v>10642697</v>
      </c>
      <c r="I15790">
        <v>43713615</v>
      </c>
      <c r="J15790">
        <v>3</v>
      </c>
    </row>
    <row r="15791" spans="1:10" x14ac:dyDescent="0.25">
      <c r="A15791" t="s">
        <v>164</v>
      </c>
      <c r="B15791" s="1" t="str">
        <f>HYPERLINK("http://fordalliance.fr","fordalliance.fr")</f>
        <v>fordalliance.fr</v>
      </c>
      <c r="C15791" t="s">
        <v>446</v>
      </c>
      <c r="D15791" t="s">
        <v>824</v>
      </c>
      <c r="F15791">
        <v>4.7091924088334604E-9</v>
      </c>
      <c r="G15791">
        <v>40781364</v>
      </c>
      <c r="H15791">
        <v>10433236</v>
      </c>
      <c r="I15791">
        <v>52987480</v>
      </c>
      <c r="J15791">
        <v>3</v>
      </c>
    </row>
    <row r="15792" spans="1:10" x14ac:dyDescent="0.25">
      <c r="A15792" t="s">
        <v>164</v>
      </c>
      <c r="B15792" s="1" t="str">
        <f>HYPERLINK("http://fordallianceautomobiles.fr","fordallianceautomobiles.fr")</f>
        <v>fordallianceautomobiles.fr</v>
      </c>
      <c r="C15792" t="s">
        <v>446</v>
      </c>
      <c r="D15792" t="s">
        <v>824</v>
      </c>
      <c r="F15792">
        <v>8.6657600663011094E-9</v>
      </c>
      <c r="G15792">
        <v>8539731</v>
      </c>
      <c r="H15792">
        <v>10677471</v>
      </c>
      <c r="I15792">
        <v>42804935</v>
      </c>
      <c r="J15792">
        <v>3</v>
      </c>
    </row>
    <row r="15793" spans="1:10" x14ac:dyDescent="0.25">
      <c r="A15793" t="s">
        <v>164</v>
      </c>
      <c r="B15793" s="1" t="str">
        <f>HYPERLINK("http://fordbaumelesdames.fr","fordbaumelesdames.fr")</f>
        <v>fordbaumelesdames.fr</v>
      </c>
      <c r="C15793" t="s">
        <v>446</v>
      </c>
      <c r="D15793" t="s">
        <v>824</v>
      </c>
      <c r="F15793">
        <v>4.5389383837760397E-9</v>
      </c>
      <c r="G15793">
        <v>53455485</v>
      </c>
      <c r="H15793">
        <v>8637796</v>
      </c>
      <c r="I15793">
        <v>70474870</v>
      </c>
      <c r="J15793">
        <v>3</v>
      </c>
    </row>
    <row r="15794" spans="1:10" x14ac:dyDescent="0.25">
      <c r="A15794" t="s">
        <v>164</v>
      </c>
      <c r="B15794" s="1" t="str">
        <f>HYPERLINK("http://fordgrenard.fr","fordgrenard.fr")</f>
        <v>fordgrenard.fr</v>
      </c>
      <c r="C15794" t="s">
        <v>446</v>
      </c>
      <c r="D15794" t="s">
        <v>824</v>
      </c>
      <c r="F15794">
        <v>4.62807709436734E-9</v>
      </c>
      <c r="G15794">
        <v>45565791</v>
      </c>
      <c r="H15794">
        <v>10513261</v>
      </c>
      <c r="I15794">
        <v>49354909</v>
      </c>
      <c r="J15794">
        <v>3</v>
      </c>
    </row>
    <row r="15795" spans="1:10" x14ac:dyDescent="0.25">
      <c r="A15795" t="s">
        <v>164</v>
      </c>
      <c r="B15795" s="1" t="str">
        <f>HYPERLINK("http://fordgroupedelesalle.fr","fordgroupedelesalle.fr")</f>
        <v>fordgroupedelesalle.fr</v>
      </c>
      <c r="C15795" t="s">
        <v>446</v>
      </c>
      <c r="D15795" t="s">
        <v>824</v>
      </c>
      <c r="F15795">
        <v>4.52333399373569E-9</v>
      </c>
      <c r="G15795">
        <v>55809030</v>
      </c>
      <c r="H15795">
        <v>10462294</v>
      </c>
      <c r="I15795">
        <v>51671395</v>
      </c>
      <c r="J15795">
        <v>3</v>
      </c>
    </row>
    <row r="15796" spans="1:10" x14ac:dyDescent="0.25">
      <c r="A15796" t="s">
        <v>164</v>
      </c>
      <c r="B15796" s="1" t="str">
        <f>HYPERLINK("http://fordgroupedmd.fr","fordgroupedmd.fr")</f>
        <v>fordgroupedmd.fr</v>
      </c>
      <c r="C15796" t="s">
        <v>446</v>
      </c>
      <c r="D15796" t="s">
        <v>824</v>
      </c>
      <c r="F15796">
        <v>4.9828629582420599E-9</v>
      </c>
      <c r="G15796">
        <v>29925147</v>
      </c>
      <c r="H15796">
        <v>10811034</v>
      </c>
      <c r="I15796">
        <v>37844323</v>
      </c>
      <c r="J15796">
        <v>3</v>
      </c>
    </row>
    <row r="15797" spans="1:10" x14ac:dyDescent="0.25">
      <c r="A15797" t="s">
        <v>164</v>
      </c>
      <c r="B15797" s="1" t="str">
        <f>HYPERLINK("http://fordlafleche.fr","fordlafleche.fr")</f>
        <v>fordlafleche.fr</v>
      </c>
      <c r="C15797" t="s">
        <v>446</v>
      </c>
      <c r="D15797" t="s">
        <v>824</v>
      </c>
      <c r="F15797">
        <v>5.2624431252826903E-9</v>
      </c>
      <c r="G15797">
        <v>24067763</v>
      </c>
      <c r="H15797">
        <v>10462574</v>
      </c>
      <c r="I15797">
        <v>51646620</v>
      </c>
      <c r="J15797">
        <v>3</v>
      </c>
    </row>
    <row r="15798" spans="1:10" x14ac:dyDescent="0.25">
      <c r="A15798" t="s">
        <v>164</v>
      </c>
      <c r="B15798" s="1" t="str">
        <f>HYPERLINK("http://fordloisin.fr","fordloisin.fr")</f>
        <v>fordloisin.fr</v>
      </c>
      <c r="C15798" t="s">
        <v>446</v>
      </c>
      <c r="D15798" t="s">
        <v>824</v>
      </c>
      <c r="J15798">
        <v>3</v>
      </c>
    </row>
    <row r="15799" spans="1:10" x14ac:dyDescent="0.25">
      <c r="A15799" t="s">
        <v>164</v>
      </c>
      <c r="B15799" s="1" t="str">
        <f>HYPERLINK("http://fordmalbet.fr","fordmalbet.fr")</f>
        <v>fordmalbet.fr</v>
      </c>
      <c r="C15799" t="s">
        <v>446</v>
      </c>
      <c r="D15799" t="s">
        <v>824</v>
      </c>
      <c r="F15799">
        <v>4.4476899491569896E-9</v>
      </c>
      <c r="G15799">
        <v>73342561</v>
      </c>
      <c r="H15799">
        <v>10462296</v>
      </c>
      <c r="I15799">
        <v>51666197</v>
      </c>
      <c r="J15799">
        <v>3</v>
      </c>
    </row>
    <row r="15800" spans="1:10" x14ac:dyDescent="0.25">
      <c r="A15800" t="s">
        <v>164</v>
      </c>
      <c r="B15800" s="1" t="str">
        <f>HYPERLINK("http://fordorange.fr","fordorange.fr")</f>
        <v>fordorange.fr</v>
      </c>
      <c r="C15800" t="s">
        <v>446</v>
      </c>
      <c r="D15800" t="s">
        <v>824</v>
      </c>
      <c r="J15800">
        <v>3</v>
      </c>
    </row>
    <row r="15801" spans="1:10" x14ac:dyDescent="0.25">
      <c r="A15801" t="s">
        <v>164</v>
      </c>
      <c r="B15801" s="1" t="str">
        <f>HYPERLINK("http://fordpacy.fr","fordpacy.fr")</f>
        <v>fordpacy.fr</v>
      </c>
      <c r="C15801" t="s">
        <v>446</v>
      </c>
      <c r="D15801" t="s">
        <v>824</v>
      </c>
      <c r="F15801">
        <v>4.4476619371275403E-9</v>
      </c>
      <c r="G15801">
        <v>73361188</v>
      </c>
      <c r="H15801">
        <v>9511676</v>
      </c>
      <c r="I15801">
        <v>65552099</v>
      </c>
      <c r="J15801">
        <v>3</v>
      </c>
    </row>
    <row r="15802" spans="1:10" x14ac:dyDescent="0.25">
      <c r="A15802" t="s">
        <v>164</v>
      </c>
      <c r="B15802" s="1" t="str">
        <f>HYPERLINK("http://fordstgirons.fr","fordstgirons.fr")</f>
        <v>fordstgirons.fr</v>
      </c>
      <c r="C15802" t="s">
        <v>446</v>
      </c>
      <c r="D15802" t="s">
        <v>824</v>
      </c>
      <c r="F15802">
        <v>4.4476619371275403E-9</v>
      </c>
      <c r="G15802">
        <v>73361211</v>
      </c>
      <c r="H15802">
        <v>9511676</v>
      </c>
      <c r="I15802">
        <v>65552124</v>
      </c>
      <c r="J15802">
        <v>3</v>
      </c>
    </row>
    <row r="15803" spans="1:10" x14ac:dyDescent="0.25">
      <c r="A15803" t="s">
        <v>164</v>
      </c>
      <c r="B15803" s="1" t="str">
        <f>HYPERLINK("http://garage-gautier.fr","garage-gautier.fr")</f>
        <v>garage-gautier.fr</v>
      </c>
      <c r="C15803" t="s">
        <v>446</v>
      </c>
      <c r="D15803" t="s">
        <v>824</v>
      </c>
      <c r="F15803">
        <v>4.4476619371275403E-9</v>
      </c>
      <c r="G15803">
        <v>73361219</v>
      </c>
      <c r="H15803">
        <v>9511676</v>
      </c>
      <c r="I15803">
        <v>65552138</v>
      </c>
      <c r="J15803">
        <v>3</v>
      </c>
    </row>
    <row r="15804" spans="1:10" x14ac:dyDescent="0.25">
      <c r="A15804" t="s">
        <v>164</v>
      </c>
      <c r="B15804" s="1" t="str">
        <f>HYPERLINK("http://groupesaintchristophe.fr","groupesaintchristophe.fr")</f>
        <v>groupesaintchristophe.fr</v>
      </c>
      <c r="C15804" t="s">
        <v>446</v>
      </c>
      <c r="D15804" t="s">
        <v>824</v>
      </c>
      <c r="F15804">
        <v>7.2779171552635198E-9</v>
      </c>
      <c r="G15804">
        <v>11534149</v>
      </c>
      <c r="H15804">
        <v>11073973</v>
      </c>
      <c r="I15804">
        <v>32537086</v>
      </c>
      <c r="J15804">
        <v>3</v>
      </c>
    </row>
    <row r="15805" spans="1:10" x14ac:dyDescent="0.25">
      <c r="A15805" t="s">
        <v>164</v>
      </c>
      <c r="B15805" s="1" t="str">
        <f>HYPERLINK("http://jmautomobiles.fr","jmautomobiles.fr")</f>
        <v>jmautomobiles.fr</v>
      </c>
      <c r="C15805" t="s">
        <v>446</v>
      </c>
      <c r="D15805" t="s">
        <v>824</v>
      </c>
      <c r="F15805">
        <v>4.9658989944545304E-9</v>
      </c>
      <c r="G15805">
        <v>30351469</v>
      </c>
      <c r="H15805">
        <v>10471402</v>
      </c>
      <c r="I15805">
        <v>51252392</v>
      </c>
      <c r="J15805">
        <v>3</v>
      </c>
    </row>
    <row r="15806" spans="1:10" x14ac:dyDescent="0.25">
      <c r="A15806" t="s">
        <v>164</v>
      </c>
      <c r="B15806" s="1" t="str">
        <f>HYPERLINK("http://ford.gr","ford.gr")</f>
        <v>ford.gr</v>
      </c>
      <c r="C15806" t="s">
        <v>447</v>
      </c>
      <c r="D15806" t="s">
        <v>825</v>
      </c>
      <c r="E15806">
        <v>865436</v>
      </c>
      <c r="F15806">
        <v>1.02086309334465E-7</v>
      </c>
      <c r="G15806">
        <v>393519</v>
      </c>
      <c r="H15806">
        <v>14372235</v>
      </c>
      <c r="I15806">
        <v>1284881</v>
      </c>
      <c r="J15806">
        <v>2</v>
      </c>
    </row>
    <row r="15807" spans="1:10" x14ac:dyDescent="0.25">
      <c r="A15807" t="s">
        <v>164</v>
      </c>
      <c r="B15807" s="1" t="str">
        <f>HYPERLINK("http://ford.hr","ford.hr")</f>
        <v>ford.hr</v>
      </c>
      <c r="C15807" t="s">
        <v>452</v>
      </c>
      <c r="D15807" t="s">
        <v>829</v>
      </c>
      <c r="F15807">
        <v>2.37918251390496E-8</v>
      </c>
      <c r="G15807">
        <v>2184001</v>
      </c>
      <c r="H15807">
        <v>12817221</v>
      </c>
      <c r="I15807">
        <v>14527466</v>
      </c>
      <c r="J15807">
        <v>2</v>
      </c>
    </row>
    <row r="15808" spans="1:10" x14ac:dyDescent="0.25">
      <c r="A15808" t="s">
        <v>164</v>
      </c>
      <c r="B15808" s="1" t="str">
        <f>HYPERLINK("http://ford-krainc.hr","ford-krainc.hr")</f>
        <v>ford-krainc.hr</v>
      </c>
      <c r="C15808" t="s">
        <v>452</v>
      </c>
      <c r="D15808" t="s">
        <v>829</v>
      </c>
      <c r="F15808">
        <v>6.5530284111379298E-9</v>
      </c>
      <c r="G15808">
        <v>13861584</v>
      </c>
      <c r="H15808">
        <v>12251841</v>
      </c>
      <c r="I15808">
        <v>21966685</v>
      </c>
      <c r="J15808">
        <v>3</v>
      </c>
    </row>
    <row r="15809" spans="1:10" x14ac:dyDescent="0.25">
      <c r="A15809" t="s">
        <v>164</v>
      </c>
      <c r="B15809" s="1" t="str">
        <f>HYPERLINK("http://autohaztapolca.hu","autohaztapolca.hu")</f>
        <v>autohaztapolca.hu</v>
      </c>
      <c r="C15809" t="s">
        <v>453</v>
      </c>
      <c r="D15809" t="s">
        <v>830</v>
      </c>
      <c r="F15809">
        <v>4.6335662947807404E-9</v>
      </c>
      <c r="G15809">
        <v>45192535</v>
      </c>
      <c r="H15809">
        <v>10606493</v>
      </c>
      <c r="I15809">
        <v>44668678</v>
      </c>
      <c r="J15809">
        <v>3</v>
      </c>
    </row>
    <row r="15810" spans="1:10" x14ac:dyDescent="0.25">
      <c r="A15810" t="s">
        <v>164</v>
      </c>
      <c r="B15810" s="1" t="str">
        <f>HYPERLINK("http://ford.hu","ford.hu")</f>
        <v>ford.hu</v>
      </c>
      <c r="C15810" t="s">
        <v>453</v>
      </c>
      <c r="D15810" t="s">
        <v>830</v>
      </c>
      <c r="F15810">
        <v>9.1137242802587906E-8</v>
      </c>
      <c r="G15810">
        <v>447309</v>
      </c>
      <c r="H15810">
        <v>14736573</v>
      </c>
      <c r="I15810">
        <v>569220</v>
      </c>
      <c r="J15810">
        <v>2</v>
      </c>
    </row>
    <row r="15811" spans="1:10" x14ac:dyDescent="0.25">
      <c r="A15811" t="s">
        <v>164</v>
      </c>
      <c r="B15811" s="1" t="str">
        <f>HYPERLINK("http://fordhovany.hu","fordhovany.hu")</f>
        <v>fordhovany.hu</v>
      </c>
      <c r="C15811" t="s">
        <v>453</v>
      </c>
      <c r="D15811" t="s">
        <v>830</v>
      </c>
      <c r="F15811">
        <v>7.0246309997224899E-9</v>
      </c>
      <c r="G15811">
        <v>12240136</v>
      </c>
      <c r="H15811">
        <v>10946102</v>
      </c>
      <c r="I15811">
        <v>34673399</v>
      </c>
      <c r="J15811">
        <v>3</v>
      </c>
    </row>
    <row r="15812" spans="1:10" x14ac:dyDescent="0.25">
      <c r="A15812" t="s">
        <v>164</v>
      </c>
      <c r="B15812" s="1" t="str">
        <f>HYPERLINK("http://fordpetranyi.hu","fordpetranyi.hu")</f>
        <v>fordpetranyi.hu</v>
      </c>
      <c r="C15812" t="s">
        <v>453</v>
      </c>
      <c r="D15812" t="s">
        <v>830</v>
      </c>
      <c r="F15812">
        <v>1.5976609438884599E-8</v>
      </c>
      <c r="G15812">
        <v>3552321</v>
      </c>
      <c r="H15812">
        <v>13763733</v>
      </c>
      <c r="I15812">
        <v>7719171</v>
      </c>
      <c r="J15812">
        <v>3</v>
      </c>
    </row>
    <row r="15813" spans="1:10" x14ac:dyDescent="0.25">
      <c r="A15813" t="s">
        <v>164</v>
      </c>
      <c r="B15813" s="1" t="str">
        <f>HYPERLINK("http://abernethys.ie","abernethys.ie")</f>
        <v>abernethys.ie</v>
      </c>
      <c r="C15813" t="s">
        <v>455</v>
      </c>
      <c r="D15813" t="s">
        <v>832</v>
      </c>
      <c r="F15813">
        <v>5.63132206270709E-9</v>
      </c>
      <c r="G15813">
        <v>19563597</v>
      </c>
      <c r="H15813">
        <v>12098361</v>
      </c>
      <c r="I15813">
        <v>26010849</v>
      </c>
      <c r="J15813">
        <v>3</v>
      </c>
    </row>
    <row r="15814" spans="1:10" x14ac:dyDescent="0.25">
      <c r="A15814" t="s">
        <v>164</v>
      </c>
      <c r="B15814" s="1" t="str">
        <f>HYPERLINK("http://ashleyford.ie","ashleyford.ie")</f>
        <v>ashleyford.ie</v>
      </c>
      <c r="C15814" t="s">
        <v>455</v>
      </c>
      <c r="D15814" t="s">
        <v>832</v>
      </c>
      <c r="F15814">
        <v>5.0635274585149201E-9</v>
      </c>
      <c r="G15814">
        <v>27928245</v>
      </c>
      <c r="H15814">
        <v>11172605</v>
      </c>
      <c r="I15814">
        <v>31505914</v>
      </c>
      <c r="J15814">
        <v>3</v>
      </c>
    </row>
    <row r="15815" spans="1:10" x14ac:dyDescent="0.25">
      <c r="A15815" t="s">
        <v>164</v>
      </c>
      <c r="B15815" s="1" t="str">
        <f>HYPERLINK("http://bolandford.ie","bolandford.ie")</f>
        <v>bolandford.ie</v>
      </c>
      <c r="C15815" t="s">
        <v>455</v>
      </c>
      <c r="D15815" t="s">
        <v>832</v>
      </c>
      <c r="F15815">
        <v>1.3466762978065899E-8</v>
      </c>
      <c r="G15815">
        <v>4417967</v>
      </c>
      <c r="H15815">
        <v>11190548</v>
      </c>
      <c r="I15815">
        <v>31348158</v>
      </c>
      <c r="J15815">
        <v>3</v>
      </c>
    </row>
    <row r="15816" spans="1:10" x14ac:dyDescent="0.25">
      <c r="A15816" t="s">
        <v>164</v>
      </c>
      <c r="B15816" s="1" t="str">
        <f>HYPERLINK("http://corkcityford.ie","corkcityford.ie")</f>
        <v>corkcityford.ie</v>
      </c>
      <c r="C15816" t="s">
        <v>455</v>
      </c>
      <c r="D15816" t="s">
        <v>832</v>
      </c>
      <c r="F15816">
        <v>1.2928726588791E-8</v>
      </c>
      <c r="G15816">
        <v>4665814</v>
      </c>
      <c r="H15816">
        <v>10994934</v>
      </c>
      <c r="I15816">
        <v>33663675</v>
      </c>
      <c r="J15816">
        <v>3</v>
      </c>
    </row>
    <row r="15817" spans="1:10" x14ac:dyDescent="0.25">
      <c r="A15817" t="s">
        <v>164</v>
      </c>
      <c r="B15817" s="1" t="str">
        <f>HYPERLINK("http://finglasfordcentre.ie","finglasfordcentre.ie")</f>
        <v>finglasfordcentre.ie</v>
      </c>
      <c r="C15817" t="s">
        <v>455</v>
      </c>
      <c r="D15817" t="s">
        <v>832</v>
      </c>
      <c r="F15817">
        <v>5.1329698809233902E-9</v>
      </c>
      <c r="G15817">
        <v>26399553</v>
      </c>
      <c r="H15817">
        <v>13933359</v>
      </c>
      <c r="I15817">
        <v>4768600</v>
      </c>
      <c r="J15817">
        <v>3</v>
      </c>
    </row>
    <row r="15818" spans="1:10" x14ac:dyDescent="0.25">
      <c r="A15818" t="s">
        <v>164</v>
      </c>
      <c r="B15818" s="1" t="str">
        <f>HYPERLINK("http://ford.ie","ford.ie")</f>
        <v>ford.ie</v>
      </c>
      <c r="C15818" t="s">
        <v>455</v>
      </c>
      <c r="D15818" t="s">
        <v>832</v>
      </c>
      <c r="E15818">
        <v>360869</v>
      </c>
      <c r="F15818">
        <v>1.0946373692641701E-6</v>
      </c>
      <c r="G15818">
        <v>35137</v>
      </c>
      <c r="H15818">
        <v>14628519</v>
      </c>
      <c r="I15818">
        <v>647532</v>
      </c>
      <c r="J15818">
        <v>2</v>
      </c>
    </row>
    <row r="15819" spans="1:10" x14ac:dyDescent="0.25">
      <c r="A15819" t="s">
        <v>164</v>
      </c>
      <c r="B15819" s="1" t="str">
        <f>HYPERLINK("http://kellehersofmacroom.ie","kellehersofmacroom.ie")</f>
        <v>kellehersofmacroom.ie</v>
      </c>
      <c r="C15819" t="s">
        <v>455</v>
      </c>
      <c r="D15819" t="s">
        <v>832</v>
      </c>
      <c r="F15819">
        <v>4.7200716182523696E-9</v>
      </c>
      <c r="G15819">
        <v>40217242</v>
      </c>
      <c r="H15819">
        <v>10663665</v>
      </c>
      <c r="I15819">
        <v>43223688</v>
      </c>
      <c r="J15819">
        <v>3</v>
      </c>
    </row>
    <row r="15820" spans="1:10" x14ac:dyDescent="0.25">
      <c r="A15820" t="s">
        <v>164</v>
      </c>
      <c r="B15820" s="1" t="str">
        <f>HYPERLINK("http://ablondi.it","ablondi.it")</f>
        <v>ablondi.it</v>
      </c>
      <c r="C15820" t="s">
        <v>459</v>
      </c>
      <c r="D15820" t="s">
        <v>835</v>
      </c>
      <c r="J15820">
        <v>3</v>
      </c>
    </row>
    <row r="15821" spans="1:10" x14ac:dyDescent="0.25">
      <c r="A15821" t="s">
        <v>164</v>
      </c>
      <c r="B15821" s="1" t="str">
        <f>HYPERLINK("http://autosas.it","autosas.it")</f>
        <v>autosas.it</v>
      </c>
      <c r="C15821" t="s">
        <v>459</v>
      </c>
      <c r="D15821" t="s">
        <v>835</v>
      </c>
      <c r="F15821">
        <v>6.6445010549945404E-9</v>
      </c>
      <c r="G15821">
        <v>13505503</v>
      </c>
      <c r="H15821">
        <v>12448343</v>
      </c>
      <c r="I15821">
        <v>18040535</v>
      </c>
      <c r="J15821">
        <v>3</v>
      </c>
    </row>
    <row r="15822" spans="1:10" x14ac:dyDescent="0.25">
      <c r="A15822" t="s">
        <v>164</v>
      </c>
      <c r="B15822" s="1" t="str">
        <f>HYPERLINK("http://ford.it","ford.it")</f>
        <v>ford.it</v>
      </c>
      <c r="C15822" t="s">
        <v>459</v>
      </c>
      <c r="D15822" t="s">
        <v>835</v>
      </c>
      <c r="E15822">
        <v>218620</v>
      </c>
      <c r="F15822">
        <v>2.14911118739783E-7</v>
      </c>
      <c r="G15822">
        <v>175595</v>
      </c>
      <c r="H15822">
        <v>15094508</v>
      </c>
      <c r="I15822">
        <v>407303</v>
      </c>
      <c r="J15822">
        <v>2</v>
      </c>
    </row>
    <row r="15823" spans="1:10" x14ac:dyDescent="0.25">
      <c r="A15823" t="s">
        <v>164</v>
      </c>
      <c r="B15823" s="1" t="str">
        <f>HYPERLINK("http://fordauto2000.it","fordauto2000.it")</f>
        <v>fordauto2000.it</v>
      </c>
      <c r="C15823" t="s">
        <v>459</v>
      </c>
      <c r="D15823" t="s">
        <v>835</v>
      </c>
      <c r="F15823">
        <v>4.44380395335525E-9</v>
      </c>
      <c r="G15823">
        <v>87792223</v>
      </c>
      <c r="H15823">
        <v>0</v>
      </c>
      <c r="I15823">
        <v>86368918</v>
      </c>
      <c r="J15823">
        <v>3</v>
      </c>
    </row>
    <row r="15824" spans="1:10" x14ac:dyDescent="0.25">
      <c r="A15824" t="s">
        <v>164</v>
      </c>
      <c r="B15824" s="1" t="str">
        <f>HYPERLINK("http://fordautomarca.it","fordautomarca.it")</f>
        <v>fordautomarca.it</v>
      </c>
      <c r="C15824" t="s">
        <v>459</v>
      </c>
      <c r="D15824" t="s">
        <v>835</v>
      </c>
      <c r="F15824">
        <v>6.02853334470758E-9</v>
      </c>
      <c r="G15824">
        <v>16508296</v>
      </c>
      <c r="H15824">
        <v>12145921</v>
      </c>
      <c r="I15824">
        <v>24725533</v>
      </c>
      <c r="J15824">
        <v>3</v>
      </c>
    </row>
    <row r="15825" spans="1:10" x14ac:dyDescent="0.25">
      <c r="A15825" t="s">
        <v>164</v>
      </c>
      <c r="B15825" s="1" t="str">
        <f>HYPERLINK("http://forddanniballe.it","forddanniballe.it")</f>
        <v>forddanniballe.it</v>
      </c>
      <c r="C15825" t="s">
        <v>459</v>
      </c>
      <c r="D15825" t="s">
        <v>835</v>
      </c>
      <c r="J15825">
        <v>3</v>
      </c>
    </row>
    <row r="15826" spans="1:10" x14ac:dyDescent="0.25">
      <c r="A15826" t="s">
        <v>164</v>
      </c>
      <c r="B15826" s="1" t="str">
        <f>HYPERLINK("http://fordnuovasacar.it","fordnuovasacar.it")</f>
        <v>fordnuovasacar.it</v>
      </c>
      <c r="C15826" t="s">
        <v>459</v>
      </c>
      <c r="D15826" t="s">
        <v>835</v>
      </c>
      <c r="F15826">
        <v>6.7192545316049397E-9</v>
      </c>
      <c r="G15826">
        <v>13236009</v>
      </c>
      <c r="H15826">
        <v>12136218</v>
      </c>
      <c r="I15826">
        <v>24972322</v>
      </c>
      <c r="J15826">
        <v>3</v>
      </c>
    </row>
    <row r="15827" spans="1:10" x14ac:dyDescent="0.25">
      <c r="A15827" t="s">
        <v>164</v>
      </c>
      <c r="B15827" s="1" t="str">
        <f>HYPERLINK("http://fordstracciari.it","fordstracciari.it")</f>
        <v>fordstracciari.it</v>
      </c>
      <c r="C15827" t="s">
        <v>459</v>
      </c>
      <c r="D15827" t="s">
        <v>835</v>
      </c>
      <c r="F15827">
        <v>1.02190705059741E-8</v>
      </c>
      <c r="G15827">
        <v>6528391</v>
      </c>
      <c r="H15827">
        <v>12120254</v>
      </c>
      <c r="I15827">
        <v>25400005</v>
      </c>
      <c r="J15827">
        <v>3</v>
      </c>
    </row>
    <row r="15828" spans="1:10" x14ac:dyDescent="0.25">
      <c r="A15828" t="s">
        <v>164</v>
      </c>
      <c r="B15828" s="1" t="str">
        <f>HYPERLINK("http://gbsnet.it","gbsnet.it")</f>
        <v>gbsnet.it</v>
      </c>
      <c r="C15828" t="s">
        <v>459</v>
      </c>
      <c r="D15828" t="s">
        <v>835</v>
      </c>
      <c r="F15828">
        <v>4.4465753868441096E-9</v>
      </c>
      <c r="G15828">
        <v>74188518</v>
      </c>
      <c r="H15828">
        <v>10358943</v>
      </c>
      <c r="I15828">
        <v>55278832</v>
      </c>
      <c r="J15828">
        <v>3</v>
      </c>
    </row>
    <row r="15829" spans="1:10" x14ac:dyDescent="0.25">
      <c r="A15829" t="s">
        <v>164</v>
      </c>
      <c r="B15829" s="1" t="str">
        <f>HYPERLINK("http://grupponuovasacar.it","grupponuovasacar.it")</f>
        <v>grupponuovasacar.it</v>
      </c>
      <c r="C15829" t="s">
        <v>459</v>
      </c>
      <c r="D15829" t="s">
        <v>835</v>
      </c>
      <c r="F15829">
        <v>5.7904794388745E-9</v>
      </c>
      <c r="G15829">
        <v>18160868</v>
      </c>
      <c r="H15829">
        <v>12062567</v>
      </c>
      <c r="I15829">
        <v>26949018</v>
      </c>
      <c r="J15829">
        <v>3</v>
      </c>
    </row>
    <row r="15830" spans="1:10" x14ac:dyDescent="0.25">
      <c r="A15830" t="s">
        <v>164</v>
      </c>
      <c r="B15830" s="1" t="str">
        <f>HYPERLINK("http://hokkai-jidosha.co.jp","hokkai-jidosha.co.jp")</f>
        <v>hokkai-jidosha.co.jp</v>
      </c>
      <c r="C15830" t="s">
        <v>461</v>
      </c>
      <c r="D15830" t="s">
        <v>837</v>
      </c>
      <c r="F15830">
        <v>5.6841979457826098E-9</v>
      </c>
      <c r="G15830">
        <v>19094078</v>
      </c>
      <c r="H15830">
        <v>10534629</v>
      </c>
      <c r="I15830">
        <v>47740923</v>
      </c>
      <c r="J15830">
        <v>3</v>
      </c>
    </row>
    <row r="15831" spans="1:10" x14ac:dyDescent="0.25">
      <c r="A15831" t="s">
        <v>164</v>
      </c>
      <c r="B15831" s="1" t="str">
        <f>HYPERLINK("http://ford.com.kh","ford.com.kh")</f>
        <v>ford.com.kh</v>
      </c>
      <c r="C15831" t="s">
        <v>512</v>
      </c>
      <c r="D15831" t="s">
        <v>886</v>
      </c>
      <c r="F15831">
        <v>9.04660012656336E-9</v>
      </c>
      <c r="G15831">
        <v>7922699</v>
      </c>
      <c r="H15831">
        <v>12559496</v>
      </c>
      <c r="I15831">
        <v>16718797</v>
      </c>
      <c r="J15831">
        <v>2</v>
      </c>
    </row>
    <row r="15832" spans="1:10" x14ac:dyDescent="0.25">
      <c r="A15832" t="s">
        <v>164</v>
      </c>
      <c r="B15832" s="1" t="str">
        <f>HYPERLINK("http://ford.co.kr","ford.co.kr")</f>
        <v>ford.co.kr</v>
      </c>
      <c r="C15832" t="s">
        <v>463</v>
      </c>
      <c r="D15832" t="s">
        <v>839</v>
      </c>
      <c r="E15832">
        <v>486146</v>
      </c>
      <c r="F15832">
        <v>3.6214423120429498E-8</v>
      </c>
      <c r="G15832">
        <v>1440043</v>
      </c>
      <c r="H15832">
        <v>14418375</v>
      </c>
      <c r="I15832">
        <v>1094810</v>
      </c>
      <c r="J15832">
        <v>2</v>
      </c>
    </row>
    <row r="15833" spans="1:10" x14ac:dyDescent="0.25">
      <c r="A15833" t="s">
        <v>164</v>
      </c>
      <c r="B15833" s="1" t="str">
        <f>HYPERLINK("http://ford.lt","ford.lt")</f>
        <v>ford.lt</v>
      </c>
      <c r="C15833" t="s">
        <v>467</v>
      </c>
      <c r="D15833" t="s">
        <v>843</v>
      </c>
      <c r="F15833">
        <v>1.6819776057499401E-8</v>
      </c>
      <c r="G15833">
        <v>3328622</v>
      </c>
      <c r="H15833">
        <v>14074751</v>
      </c>
      <c r="I15833">
        <v>2930687</v>
      </c>
      <c r="J15833">
        <v>2</v>
      </c>
    </row>
    <row r="15834" spans="1:10" x14ac:dyDescent="0.25">
      <c r="A15834" t="s">
        <v>164</v>
      </c>
      <c r="B15834" s="1" t="str">
        <f>HYPERLINK("http://ford.lu","ford.lu")</f>
        <v>ford.lu</v>
      </c>
      <c r="C15834" t="s">
        <v>547</v>
      </c>
      <c r="D15834" t="s">
        <v>904</v>
      </c>
      <c r="F15834">
        <v>5.0753331297723003E-8</v>
      </c>
      <c r="G15834">
        <v>904101</v>
      </c>
      <c r="H15834">
        <v>14077107</v>
      </c>
      <c r="I15834">
        <v>2872775</v>
      </c>
      <c r="J15834">
        <v>2</v>
      </c>
    </row>
    <row r="15835" spans="1:10" x14ac:dyDescent="0.25">
      <c r="A15835" t="s">
        <v>164</v>
      </c>
      <c r="B15835" s="1" t="str">
        <f>HYPERLINK("http://ford.lv","ford.lv")</f>
        <v>ford.lv</v>
      </c>
      <c r="C15835" t="s">
        <v>468</v>
      </c>
      <c r="D15835" t="s">
        <v>844</v>
      </c>
      <c r="F15835">
        <v>1.66403255567981E-8</v>
      </c>
      <c r="G15835">
        <v>3379205</v>
      </c>
      <c r="H15835">
        <v>13936621</v>
      </c>
      <c r="I15835">
        <v>4489068</v>
      </c>
      <c r="J15835">
        <v>2</v>
      </c>
    </row>
    <row r="15836" spans="1:10" x14ac:dyDescent="0.25">
      <c r="A15836" t="s">
        <v>164</v>
      </c>
      <c r="B15836" s="1" t="str">
        <f>HYPERLINK("http://ford.ma","ford.ma")</f>
        <v>ford.ma</v>
      </c>
      <c r="C15836" t="s">
        <v>469</v>
      </c>
      <c r="D15836" t="s">
        <v>845</v>
      </c>
      <c r="F15836">
        <v>1.9004390710527699E-8</v>
      </c>
      <c r="G15836">
        <v>2835265</v>
      </c>
      <c r="H15836">
        <v>12561971</v>
      </c>
      <c r="I15836">
        <v>16693502</v>
      </c>
      <c r="J15836">
        <v>2</v>
      </c>
    </row>
    <row r="15837" spans="1:10" x14ac:dyDescent="0.25">
      <c r="A15837" t="s">
        <v>164</v>
      </c>
      <c r="B15837" s="1" t="str">
        <f>HYPERLINK("http://ford.com.mt","ford.com.mt")</f>
        <v>ford.com.mt</v>
      </c>
      <c r="C15837" t="s">
        <v>597</v>
      </c>
      <c r="D15837" t="s">
        <v>932</v>
      </c>
      <c r="F15837">
        <v>1.1554553768403701E-8</v>
      </c>
      <c r="G15837">
        <v>5465416</v>
      </c>
      <c r="H15837">
        <v>12560471</v>
      </c>
      <c r="I15837">
        <v>16708694</v>
      </c>
      <c r="J15837">
        <v>2</v>
      </c>
    </row>
    <row r="15838" spans="1:10" x14ac:dyDescent="0.25">
      <c r="A15838" t="s">
        <v>164</v>
      </c>
      <c r="B15838" s="1" t="str">
        <f>HYPERLINK("http://quicklane.com.mx","quicklane.com.mx")</f>
        <v>quicklane.com.mx</v>
      </c>
      <c r="C15838" t="s">
        <v>471</v>
      </c>
      <c r="D15838" t="s">
        <v>847</v>
      </c>
      <c r="J15838">
        <v>4</v>
      </c>
    </row>
    <row r="15839" spans="1:10" x14ac:dyDescent="0.25">
      <c r="A15839" t="s">
        <v>164</v>
      </c>
      <c r="B15839" s="1" t="str">
        <f>HYPERLINK("http://ford.mx","ford.mx")</f>
        <v>ford.mx</v>
      </c>
      <c r="C15839" t="s">
        <v>471</v>
      </c>
      <c r="D15839" t="s">
        <v>847</v>
      </c>
      <c r="E15839">
        <v>260237</v>
      </c>
      <c r="F15839">
        <v>5.47786630972996E-8</v>
      </c>
      <c r="G15839">
        <v>822021</v>
      </c>
      <c r="H15839">
        <v>14524989</v>
      </c>
      <c r="I15839">
        <v>796481</v>
      </c>
      <c r="J15839">
        <v>2</v>
      </c>
    </row>
    <row r="15840" spans="1:10" x14ac:dyDescent="0.25">
      <c r="A15840" t="s">
        <v>164</v>
      </c>
      <c r="B15840" s="1" t="str">
        <f>HYPERLINK("http://ford.nc","ford.nc")</f>
        <v>ford.nc</v>
      </c>
      <c r="C15840" t="s">
        <v>724</v>
      </c>
      <c r="D15840" t="s">
        <v>1008</v>
      </c>
      <c r="F15840">
        <v>9.8802742792315094E-9</v>
      </c>
      <c r="G15840">
        <v>6880579</v>
      </c>
      <c r="H15840">
        <v>12559434</v>
      </c>
      <c r="I15840">
        <v>16719429</v>
      </c>
      <c r="J15840">
        <v>3</v>
      </c>
    </row>
    <row r="15841" spans="1:10" x14ac:dyDescent="0.25">
      <c r="A15841" t="s">
        <v>164</v>
      </c>
      <c r="B15841" s="1" t="str">
        <f>HYPERLINK("http://alphornford.net","alphornford.net")</f>
        <v>alphornford.net</v>
      </c>
      <c r="C15841" t="s">
        <v>474</v>
      </c>
      <c r="F15841">
        <v>8.0089291982850905E-9</v>
      </c>
      <c r="G15841">
        <v>9904467</v>
      </c>
      <c r="H15841">
        <v>12130456</v>
      </c>
      <c r="I15841">
        <v>25127070</v>
      </c>
      <c r="J15841">
        <v>3</v>
      </c>
    </row>
    <row r="15842" spans="1:10" x14ac:dyDescent="0.25">
      <c r="A15842" t="s">
        <v>164</v>
      </c>
      <c r="B15842" s="1" t="str">
        <f>HYPERLINK("http://berglundford.net","berglundford.net")</f>
        <v>berglundford.net</v>
      </c>
      <c r="C15842" t="s">
        <v>474</v>
      </c>
      <c r="F15842">
        <v>4.72699482552224E-9</v>
      </c>
      <c r="G15842">
        <v>39492819</v>
      </c>
      <c r="H15842">
        <v>12044628</v>
      </c>
      <c r="I15842">
        <v>27370381</v>
      </c>
      <c r="J15842">
        <v>3</v>
      </c>
    </row>
    <row r="15843" spans="1:10" x14ac:dyDescent="0.25">
      <c r="A15843" t="s">
        <v>164</v>
      </c>
      <c r="B15843" s="1" t="str">
        <f>HYPERLINK("http://chieflandford.net","chieflandford.net")</f>
        <v>chieflandford.net</v>
      </c>
      <c r="C15843" t="s">
        <v>474</v>
      </c>
      <c r="F15843">
        <v>5.7242942700784702E-9</v>
      </c>
      <c r="G15843">
        <v>18712633</v>
      </c>
      <c r="H15843">
        <v>12360178</v>
      </c>
      <c r="I15843">
        <v>19581527</v>
      </c>
      <c r="J15843">
        <v>3</v>
      </c>
    </row>
    <row r="15844" spans="1:10" x14ac:dyDescent="0.25">
      <c r="A15844" t="s">
        <v>164</v>
      </c>
      <c r="B15844" s="1" t="str">
        <f>HYPERLINK("http://feyerfordplymouth.net","feyerfordplymouth.net")</f>
        <v>feyerfordplymouth.net</v>
      </c>
      <c r="C15844" t="s">
        <v>474</v>
      </c>
      <c r="F15844">
        <v>4.9801978016537896E-9</v>
      </c>
      <c r="G15844">
        <v>29991982</v>
      </c>
      <c r="H15844">
        <v>9853988</v>
      </c>
      <c r="I15844">
        <v>62127646</v>
      </c>
      <c r="J15844">
        <v>3</v>
      </c>
    </row>
    <row r="15845" spans="1:10" x14ac:dyDescent="0.25">
      <c r="A15845" t="s">
        <v>164</v>
      </c>
      <c r="B15845" s="1" t="str">
        <f>HYPERLINK("http://hinderford.net","hinderford.net")</f>
        <v>hinderford.net</v>
      </c>
      <c r="C15845" t="s">
        <v>474</v>
      </c>
      <c r="F15845">
        <v>4.4781031367347198E-9</v>
      </c>
      <c r="G15845">
        <v>62751362</v>
      </c>
      <c r="H15845">
        <v>10553490</v>
      </c>
      <c r="I15845">
        <v>46580733</v>
      </c>
      <c r="J15845">
        <v>3</v>
      </c>
    </row>
    <row r="15846" spans="1:10" x14ac:dyDescent="0.25">
      <c r="A15846" t="s">
        <v>164</v>
      </c>
      <c r="B15846" s="1" t="str">
        <f>HYPERLINK("http://lesstumpfford.net","lesstumpfford.net")</f>
        <v>lesstumpfford.net</v>
      </c>
      <c r="C15846" t="s">
        <v>474</v>
      </c>
      <c r="F15846">
        <v>1.22932766108911E-8</v>
      </c>
      <c r="G15846">
        <v>4997919</v>
      </c>
      <c r="H15846">
        <v>12802746</v>
      </c>
      <c r="I15846">
        <v>14626466</v>
      </c>
      <c r="J15846">
        <v>6</v>
      </c>
    </row>
    <row r="15847" spans="1:10" x14ac:dyDescent="0.25">
      <c r="A15847" t="s">
        <v>164</v>
      </c>
      <c r="B15847" s="1" t="str">
        <f>HYPERLINK("http://livermoreford.net","livermoreford.net")</f>
        <v>livermoreford.net</v>
      </c>
      <c r="C15847" t="s">
        <v>474</v>
      </c>
      <c r="F15847">
        <v>6.99965372348158E-9</v>
      </c>
      <c r="G15847">
        <v>12313083</v>
      </c>
      <c r="H15847">
        <v>12398983</v>
      </c>
      <c r="I15847">
        <v>18863559</v>
      </c>
      <c r="J15847">
        <v>3</v>
      </c>
    </row>
    <row r="15848" spans="1:10" x14ac:dyDescent="0.25">
      <c r="A15848" t="s">
        <v>164</v>
      </c>
      <c r="B15848" s="1" t="str">
        <f>HYPERLINK("http://milopetersonford.net","milopetersonford.net")</f>
        <v>milopetersonford.net</v>
      </c>
      <c r="C15848" t="s">
        <v>474</v>
      </c>
      <c r="F15848">
        <v>4.4917731290609496E-9</v>
      </c>
      <c r="G15848">
        <v>60225817</v>
      </c>
      <c r="H15848">
        <v>11881953</v>
      </c>
      <c r="I15848">
        <v>29582804</v>
      </c>
      <c r="J15848">
        <v>3</v>
      </c>
    </row>
    <row r="15849" spans="1:10" x14ac:dyDescent="0.25">
      <c r="A15849" t="s">
        <v>164</v>
      </c>
      <c r="B15849" s="1" t="str">
        <f>HYPERLINK("http://monacofordofniantic.net","monacofordofniantic.net")</f>
        <v>monacofordofniantic.net</v>
      </c>
      <c r="C15849" t="s">
        <v>474</v>
      </c>
      <c r="J15849">
        <v>3</v>
      </c>
    </row>
    <row r="15850" spans="1:10" x14ac:dyDescent="0.25">
      <c r="A15850" t="s">
        <v>164</v>
      </c>
      <c r="B15850" s="1" t="str">
        <f>HYPERLINK("http://roberthorneford.net","roberthorneford.net")</f>
        <v>roberthorneford.net</v>
      </c>
      <c r="C15850" t="s">
        <v>474</v>
      </c>
      <c r="F15850">
        <v>4.9900426183335697E-9</v>
      </c>
      <c r="G15850">
        <v>29669718</v>
      </c>
      <c r="H15850">
        <v>10447864</v>
      </c>
      <c r="I15850">
        <v>52150734</v>
      </c>
      <c r="J15850">
        <v>3</v>
      </c>
    </row>
    <row r="15851" spans="1:10" x14ac:dyDescent="0.25">
      <c r="A15851" t="s">
        <v>164</v>
      </c>
      <c r="B15851" s="1" t="str">
        <f>HYPERLINK("http://statecollegeford.net","statecollegeford.net")</f>
        <v>statecollegeford.net</v>
      </c>
      <c r="C15851" t="s">
        <v>474</v>
      </c>
      <c r="F15851">
        <v>4.7043842688291102E-9</v>
      </c>
      <c r="G15851">
        <v>41015652</v>
      </c>
      <c r="H15851">
        <v>10649769</v>
      </c>
      <c r="I15851">
        <v>43609638</v>
      </c>
      <c r="J15851">
        <v>3</v>
      </c>
    </row>
    <row r="15852" spans="1:10" x14ac:dyDescent="0.25">
      <c r="A15852" t="s">
        <v>164</v>
      </c>
      <c r="B15852" s="1" t="str">
        <f>HYPERLINK("http://sunshineford.net","sunshineford.net")</f>
        <v>sunshineford.net</v>
      </c>
      <c r="C15852" t="s">
        <v>474</v>
      </c>
      <c r="F15852">
        <v>6.7053436151227499E-9</v>
      </c>
      <c r="G15852">
        <v>13284455</v>
      </c>
      <c r="H15852">
        <v>12511798</v>
      </c>
      <c r="I15852">
        <v>17228872</v>
      </c>
      <c r="J15852">
        <v>3</v>
      </c>
    </row>
    <row r="15853" spans="1:10" x14ac:dyDescent="0.25">
      <c r="A15853" t="s">
        <v>164</v>
      </c>
      <c r="B15853" s="1" t="str">
        <f>HYPERLINK("http://superiorfordnwa.net","superiorfordnwa.net")</f>
        <v>superiorfordnwa.net</v>
      </c>
      <c r="C15853" t="s">
        <v>474</v>
      </c>
      <c r="J15853">
        <v>3</v>
      </c>
    </row>
    <row r="15854" spans="1:10" x14ac:dyDescent="0.25">
      <c r="A15854" t="s">
        <v>164</v>
      </c>
      <c r="B15854" s="1" t="str">
        <f>HYPERLINK("http://ardeaauto.nl","ardeaauto.nl")</f>
        <v>ardeaauto.nl</v>
      </c>
      <c r="C15854" t="s">
        <v>477</v>
      </c>
      <c r="D15854" t="s">
        <v>852</v>
      </c>
      <c r="F15854">
        <v>8.4702637399667802E-9</v>
      </c>
      <c r="G15854">
        <v>8902412</v>
      </c>
      <c r="H15854">
        <v>12631675</v>
      </c>
      <c r="I15854">
        <v>15970550</v>
      </c>
      <c r="J15854">
        <v>3</v>
      </c>
    </row>
    <row r="15855" spans="1:10" x14ac:dyDescent="0.25">
      <c r="A15855" t="s">
        <v>164</v>
      </c>
      <c r="B15855" s="1" t="str">
        <f>HYPERLINK("http://autohordijk.nl","autohordijk.nl")</f>
        <v>autohordijk.nl</v>
      </c>
      <c r="C15855" t="s">
        <v>477</v>
      </c>
      <c r="D15855" t="s">
        <v>852</v>
      </c>
      <c r="F15855">
        <v>4.5501437606230899E-9</v>
      </c>
      <c r="G15855">
        <v>52173874</v>
      </c>
      <c r="H15855">
        <v>11051226</v>
      </c>
      <c r="I15855">
        <v>32783522</v>
      </c>
      <c r="J15855">
        <v>3</v>
      </c>
    </row>
    <row r="15856" spans="1:10" x14ac:dyDescent="0.25">
      <c r="A15856" t="s">
        <v>164</v>
      </c>
      <c r="B15856" s="1" t="str">
        <f>HYPERLINK("http://crum.nl","crum.nl")</f>
        <v>crum.nl</v>
      </c>
      <c r="C15856" t="s">
        <v>477</v>
      </c>
      <c r="D15856" t="s">
        <v>852</v>
      </c>
      <c r="F15856">
        <v>6.0593818255797299E-9</v>
      </c>
      <c r="G15856">
        <v>16328968</v>
      </c>
      <c r="H15856">
        <v>12280243</v>
      </c>
      <c r="I15856">
        <v>21301131</v>
      </c>
      <c r="J15856">
        <v>3</v>
      </c>
    </row>
    <row r="15857" spans="1:10" x14ac:dyDescent="0.25">
      <c r="A15857" t="s">
        <v>164</v>
      </c>
      <c r="B15857" s="1" t="str">
        <f>HYPERLINK("http://ford.nl","ford.nl")</f>
        <v>ford.nl</v>
      </c>
      <c r="C15857" t="s">
        <v>477</v>
      </c>
      <c r="D15857" t="s">
        <v>852</v>
      </c>
      <c r="E15857">
        <v>383121</v>
      </c>
      <c r="F15857">
        <v>1.3331133926601401E-7</v>
      </c>
      <c r="G15857">
        <v>292992</v>
      </c>
      <c r="H15857">
        <v>14292490</v>
      </c>
      <c r="I15857">
        <v>1364069</v>
      </c>
      <c r="J15857">
        <v>2</v>
      </c>
    </row>
    <row r="15858" spans="1:10" x14ac:dyDescent="0.25">
      <c r="A15858" t="s">
        <v>164</v>
      </c>
      <c r="B15858" s="1" t="str">
        <f>HYPERLINK("http://ford-albers.nl","ford-albers.nl")</f>
        <v>ford-albers.nl</v>
      </c>
      <c r="C15858" t="s">
        <v>477</v>
      </c>
      <c r="D15858" t="s">
        <v>852</v>
      </c>
      <c r="F15858">
        <v>4.8535640680946503E-9</v>
      </c>
      <c r="G15858">
        <v>34025319</v>
      </c>
      <c r="H15858">
        <v>10957541</v>
      </c>
      <c r="I15858">
        <v>34414460</v>
      </c>
      <c r="J15858">
        <v>3</v>
      </c>
    </row>
    <row r="15859" spans="1:10" x14ac:dyDescent="0.25">
      <c r="A15859" t="s">
        <v>164</v>
      </c>
      <c r="B15859" s="1" t="str">
        <f>HYPERLINK("http://ford-boerhof.nl","ford-boerhof.nl")</f>
        <v>ford-boerhof.nl</v>
      </c>
      <c r="C15859" t="s">
        <v>477</v>
      </c>
      <c r="D15859" t="s">
        <v>852</v>
      </c>
      <c r="F15859">
        <v>4.5420357412020401E-9</v>
      </c>
      <c r="G15859">
        <v>53106872</v>
      </c>
      <c r="H15859">
        <v>10938556</v>
      </c>
      <c r="I15859">
        <v>34866545</v>
      </c>
      <c r="J15859">
        <v>3</v>
      </c>
    </row>
    <row r="15860" spans="1:10" x14ac:dyDescent="0.25">
      <c r="A15860" t="s">
        <v>164</v>
      </c>
      <c r="B15860" s="1" t="str">
        <f>HYPERLINK("http://ford-vandrimmelen.nl","ford-vandrimmelen.nl")</f>
        <v>ford-vandrimmelen.nl</v>
      </c>
      <c r="C15860" t="s">
        <v>477</v>
      </c>
      <c r="D15860" t="s">
        <v>852</v>
      </c>
      <c r="F15860">
        <v>4.9700892309833803E-9</v>
      </c>
      <c r="G15860">
        <v>30245385</v>
      </c>
      <c r="H15860">
        <v>10791240</v>
      </c>
      <c r="I15860">
        <v>38452265</v>
      </c>
      <c r="J15860">
        <v>3</v>
      </c>
    </row>
    <row r="15861" spans="1:10" x14ac:dyDescent="0.25">
      <c r="A15861" t="s">
        <v>164</v>
      </c>
      <c r="B15861" s="1" t="str">
        <f>HYPERLINK("http://ford-vanputten.nl","ford-vanputten.nl")</f>
        <v>ford-vanputten.nl</v>
      </c>
      <c r="C15861" t="s">
        <v>477</v>
      </c>
      <c r="D15861" t="s">
        <v>852</v>
      </c>
      <c r="F15861">
        <v>4.8803817544391803E-9</v>
      </c>
      <c r="G15861">
        <v>33064962</v>
      </c>
      <c r="H15861">
        <v>11059452</v>
      </c>
      <c r="I15861">
        <v>32689465</v>
      </c>
      <c r="J15861">
        <v>3</v>
      </c>
    </row>
    <row r="15862" spans="1:10" x14ac:dyDescent="0.25">
      <c r="A15862" t="s">
        <v>164</v>
      </c>
      <c r="B15862" s="1" t="str">
        <f>HYPERLINK("http://ford-wensink.nl","ford-wensink.nl")</f>
        <v>ford-wensink.nl</v>
      </c>
      <c r="C15862" t="s">
        <v>477</v>
      </c>
      <c r="D15862" t="s">
        <v>852</v>
      </c>
      <c r="F15862">
        <v>4.7695256130460999E-9</v>
      </c>
      <c r="G15862">
        <v>37396331</v>
      </c>
      <c r="H15862">
        <v>9568904</v>
      </c>
      <c r="I15862">
        <v>64742388</v>
      </c>
      <c r="J15862">
        <v>3</v>
      </c>
    </row>
    <row r="15863" spans="1:10" x14ac:dyDescent="0.25">
      <c r="A15863" t="s">
        <v>164</v>
      </c>
      <c r="B15863" s="1" t="str">
        <f>HYPERLINK("http://fordtwente.nl","fordtwente.nl")</f>
        <v>fordtwente.nl</v>
      </c>
      <c r="C15863" t="s">
        <v>477</v>
      </c>
      <c r="D15863" t="s">
        <v>852</v>
      </c>
      <c r="F15863">
        <v>5.2016047081765602E-9</v>
      </c>
      <c r="G15863">
        <v>25083609</v>
      </c>
      <c r="H15863">
        <v>10899827</v>
      </c>
      <c r="I15863">
        <v>35840027</v>
      </c>
      <c r="J15863">
        <v>3</v>
      </c>
    </row>
    <row r="15864" spans="1:10" x14ac:dyDescent="0.25">
      <c r="A15864" t="s">
        <v>164</v>
      </c>
      <c r="B15864" s="1" t="str">
        <f>HYPERLINK("http://fordwensink.nl","fordwensink.nl")</f>
        <v>fordwensink.nl</v>
      </c>
      <c r="C15864" t="s">
        <v>477</v>
      </c>
      <c r="D15864" t="s">
        <v>852</v>
      </c>
      <c r="F15864">
        <v>8.99801188509395E-9</v>
      </c>
      <c r="G15864">
        <v>7994638</v>
      </c>
      <c r="H15864">
        <v>12047902</v>
      </c>
      <c r="I15864">
        <v>27311173</v>
      </c>
      <c r="J15864">
        <v>3</v>
      </c>
    </row>
    <row r="15865" spans="1:10" x14ac:dyDescent="0.25">
      <c r="A15865" t="s">
        <v>164</v>
      </c>
      <c r="B15865" s="1" t="str">
        <f>HYPERLINK("http://lindeboom-heino.nl","lindeboom-heino.nl")</f>
        <v>lindeboom-heino.nl</v>
      </c>
      <c r="C15865" t="s">
        <v>477</v>
      </c>
      <c r="D15865" t="s">
        <v>852</v>
      </c>
      <c r="F15865">
        <v>5.5604562136447004E-9</v>
      </c>
      <c r="G15865">
        <v>20269800</v>
      </c>
      <c r="H15865">
        <v>12167024</v>
      </c>
      <c r="I15865">
        <v>24144873</v>
      </c>
      <c r="J15865">
        <v>3</v>
      </c>
    </row>
    <row r="15866" spans="1:10" x14ac:dyDescent="0.25">
      <c r="A15866" t="s">
        <v>164</v>
      </c>
      <c r="B15866" s="1" t="str">
        <f>HYPERLINK("http://misker.nl","misker.nl")</f>
        <v>misker.nl</v>
      </c>
      <c r="C15866" t="s">
        <v>477</v>
      </c>
      <c r="D15866" t="s">
        <v>852</v>
      </c>
      <c r="F15866">
        <v>1.0429845893323801E-8</v>
      </c>
      <c r="G15866">
        <v>6331759</v>
      </c>
      <c r="H15866">
        <v>13242739</v>
      </c>
      <c r="I15866">
        <v>11203617</v>
      </c>
      <c r="J15866">
        <v>3</v>
      </c>
    </row>
    <row r="15867" spans="1:10" x14ac:dyDescent="0.25">
      <c r="A15867" t="s">
        <v>164</v>
      </c>
      <c r="B15867" s="1" t="str">
        <f>HYPERLINK("http://roeleveld.nl","roeleveld.nl")</f>
        <v>roeleveld.nl</v>
      </c>
      <c r="C15867" t="s">
        <v>477</v>
      </c>
      <c r="D15867" t="s">
        <v>852</v>
      </c>
      <c r="F15867">
        <v>9.3594290945803796E-9</v>
      </c>
      <c r="G15867">
        <v>7496071</v>
      </c>
      <c r="H15867">
        <v>12369377</v>
      </c>
      <c r="I15867">
        <v>19420924</v>
      </c>
      <c r="J15867">
        <v>3</v>
      </c>
    </row>
    <row r="15868" spans="1:10" x14ac:dyDescent="0.25">
      <c r="A15868" t="s">
        <v>164</v>
      </c>
      <c r="B15868" s="1" t="str">
        <f>HYPERLINK("http://schurer-kamphuis.nl","schurer-kamphuis.nl")</f>
        <v>schurer-kamphuis.nl</v>
      </c>
      <c r="C15868" t="s">
        <v>477</v>
      </c>
      <c r="D15868" t="s">
        <v>852</v>
      </c>
      <c r="F15868">
        <v>9.2819675398044203E-9</v>
      </c>
      <c r="G15868">
        <v>7596055</v>
      </c>
      <c r="H15868">
        <v>12166414</v>
      </c>
      <c r="I15868">
        <v>24164062</v>
      </c>
      <c r="J15868">
        <v>3</v>
      </c>
    </row>
    <row r="15869" spans="1:10" x14ac:dyDescent="0.25">
      <c r="A15869" t="s">
        <v>164</v>
      </c>
      <c r="B15869" s="1" t="str">
        <f>HYPERLINK("http://van-mosselford.nl","van-mosselford.nl")</f>
        <v>van-mosselford.nl</v>
      </c>
      <c r="C15869" t="s">
        <v>477</v>
      </c>
      <c r="D15869" t="s">
        <v>852</v>
      </c>
      <c r="F15869">
        <v>4.5863876302775997E-9</v>
      </c>
      <c r="G15869">
        <v>48719451</v>
      </c>
      <c r="H15869">
        <v>10669228</v>
      </c>
      <c r="I15869">
        <v>42999161</v>
      </c>
      <c r="J15869">
        <v>3</v>
      </c>
    </row>
    <row r="15870" spans="1:10" x14ac:dyDescent="0.25">
      <c r="A15870" t="s">
        <v>164</v>
      </c>
      <c r="B15870" s="1" t="str">
        <f>HYPERLINK("http://andalsnes-bilverksted.no","andalsnes-bilverksted.no")</f>
        <v>andalsnes-bilverksted.no</v>
      </c>
      <c r="C15870" t="s">
        <v>478</v>
      </c>
      <c r="D15870" t="s">
        <v>853</v>
      </c>
      <c r="F15870">
        <v>5.2395166644928196E-9</v>
      </c>
      <c r="G15870">
        <v>24421324</v>
      </c>
      <c r="H15870">
        <v>12335331</v>
      </c>
      <c r="I15870">
        <v>20097124</v>
      </c>
      <c r="J15870">
        <v>3</v>
      </c>
    </row>
    <row r="15871" spans="1:10" x14ac:dyDescent="0.25">
      <c r="A15871" t="s">
        <v>164</v>
      </c>
      <c r="B15871" s="1" t="str">
        <f>HYPERLINK("http://ford.no","ford.no")</f>
        <v>ford.no</v>
      </c>
      <c r="C15871" t="s">
        <v>478</v>
      </c>
      <c r="D15871" t="s">
        <v>853</v>
      </c>
      <c r="F15871">
        <v>7.2221626946990898E-8</v>
      </c>
      <c r="G15871">
        <v>584468</v>
      </c>
      <c r="H15871">
        <v>14132330</v>
      </c>
      <c r="I15871">
        <v>2000627</v>
      </c>
      <c r="J15871">
        <v>2</v>
      </c>
    </row>
    <row r="15872" spans="1:10" x14ac:dyDescent="0.25">
      <c r="A15872" t="s">
        <v>164</v>
      </c>
      <c r="B15872" s="1" t="str">
        <f>HYPERLINK("http://hovrud.no","hovrud.no")</f>
        <v>hovrud.no</v>
      </c>
      <c r="C15872" t="s">
        <v>478</v>
      </c>
      <c r="D15872" t="s">
        <v>853</v>
      </c>
      <c r="F15872">
        <v>4.5554060662980303E-9</v>
      </c>
      <c r="G15872">
        <v>51615388</v>
      </c>
      <c r="H15872">
        <v>12076821</v>
      </c>
      <c r="I15872">
        <v>26641358</v>
      </c>
      <c r="J15872">
        <v>3</v>
      </c>
    </row>
    <row r="15873" spans="1:10" x14ac:dyDescent="0.25">
      <c r="A15873" t="s">
        <v>164</v>
      </c>
      <c r="B15873" s="1" t="str">
        <f>HYPERLINK("http://sunnhordlandbil.no","sunnhordlandbil.no")</f>
        <v>sunnhordlandbil.no</v>
      </c>
      <c r="C15873" t="s">
        <v>478</v>
      </c>
      <c r="D15873" t="s">
        <v>853</v>
      </c>
      <c r="F15873">
        <v>4.4792401396184197E-9</v>
      </c>
      <c r="G15873">
        <v>62519551</v>
      </c>
      <c r="H15873">
        <v>12076818</v>
      </c>
      <c r="I15873">
        <v>26646748</v>
      </c>
      <c r="J15873">
        <v>3</v>
      </c>
    </row>
    <row r="15874" spans="1:10" x14ac:dyDescent="0.25">
      <c r="A15874" t="s">
        <v>164</v>
      </c>
      <c r="B15874" s="1" t="str">
        <f>HYPERLINK("http://acford.co.nz","acford.co.nz")</f>
        <v>acford.co.nz</v>
      </c>
      <c r="C15874" t="s">
        <v>479</v>
      </c>
      <c r="D15874" t="s">
        <v>854</v>
      </c>
      <c r="J15874">
        <v>3</v>
      </c>
    </row>
    <row r="15875" spans="1:10" x14ac:dyDescent="0.25">
      <c r="A15875" t="s">
        <v>164</v>
      </c>
      <c r="B15875" s="1" t="str">
        <f>HYPERLINK("http://avoncityford.co.nz","avoncityford.co.nz")</f>
        <v>avoncityford.co.nz</v>
      </c>
      <c r="C15875" t="s">
        <v>479</v>
      </c>
      <c r="D15875" t="s">
        <v>854</v>
      </c>
      <c r="F15875">
        <v>5.7848248757555999E-9</v>
      </c>
      <c r="G15875">
        <v>18207021</v>
      </c>
      <c r="H15875">
        <v>12276271</v>
      </c>
      <c r="I15875">
        <v>21385563</v>
      </c>
      <c r="J15875">
        <v>4</v>
      </c>
    </row>
    <row r="15876" spans="1:10" x14ac:dyDescent="0.25">
      <c r="A15876" t="s">
        <v>164</v>
      </c>
      <c r="B15876" s="1" t="str">
        <f>HYPERLINK("http://ford.co.nz","ford.co.nz")</f>
        <v>ford.co.nz</v>
      </c>
      <c r="C15876" t="s">
        <v>479</v>
      </c>
      <c r="D15876" t="s">
        <v>854</v>
      </c>
      <c r="E15876">
        <v>962361</v>
      </c>
      <c r="F15876">
        <v>5.3691412236809302E-8</v>
      </c>
      <c r="G15876">
        <v>846877</v>
      </c>
      <c r="H15876">
        <v>14489841</v>
      </c>
      <c r="I15876">
        <v>917960</v>
      </c>
      <c r="J15876">
        <v>2</v>
      </c>
    </row>
    <row r="15877" spans="1:10" x14ac:dyDescent="0.25">
      <c r="A15877" t="s">
        <v>164</v>
      </c>
      <c r="B15877" s="1" t="str">
        <f>HYPERLINK("http://greyford.co.nz","greyford.co.nz")</f>
        <v>greyford.co.nz</v>
      </c>
      <c r="C15877" t="s">
        <v>479</v>
      </c>
      <c r="D15877" t="s">
        <v>854</v>
      </c>
      <c r="F15877">
        <v>4.7700016961948199E-9</v>
      </c>
      <c r="G15877">
        <v>37376912</v>
      </c>
      <c r="H15877">
        <v>10488832</v>
      </c>
      <c r="I15877">
        <v>50662981</v>
      </c>
      <c r="J15877">
        <v>3</v>
      </c>
    </row>
    <row r="15878" spans="1:10" x14ac:dyDescent="0.25">
      <c r="A15878" t="s">
        <v>164</v>
      </c>
      <c r="B15878" s="1" t="str">
        <f>HYPERLINK("http://kbford.co.nz","kbford.co.nz")</f>
        <v>kbford.co.nz</v>
      </c>
      <c r="C15878" t="s">
        <v>479</v>
      </c>
      <c r="D15878" t="s">
        <v>854</v>
      </c>
      <c r="F15878">
        <v>5.1992856801460598E-9</v>
      </c>
      <c r="G15878">
        <v>25131786</v>
      </c>
      <c r="H15878">
        <v>10483620</v>
      </c>
      <c r="I15878">
        <v>50887283</v>
      </c>
      <c r="J15878">
        <v>3</v>
      </c>
    </row>
    <row r="15879" spans="1:10" x14ac:dyDescent="0.25">
      <c r="A15879" t="s">
        <v>164</v>
      </c>
      <c r="B15879" s="1" t="str">
        <f>HYPERLINK("http://ford.pe","ford.pe")</f>
        <v>ford.pe</v>
      </c>
      <c r="C15879" t="s">
        <v>483</v>
      </c>
      <c r="D15879" t="s">
        <v>857</v>
      </c>
      <c r="F15879">
        <v>2.0750229236851E-8</v>
      </c>
      <c r="G15879">
        <v>2549847</v>
      </c>
      <c r="H15879">
        <v>14240439</v>
      </c>
      <c r="I15879">
        <v>1501125</v>
      </c>
      <c r="J15879">
        <v>2</v>
      </c>
    </row>
    <row r="15880" spans="1:10" x14ac:dyDescent="0.25">
      <c r="A15880" t="s">
        <v>164</v>
      </c>
      <c r="B15880" s="1" t="str">
        <f>HYPERLINK("http://ford.com.ph","ford.com.ph")</f>
        <v>ford.com.ph</v>
      </c>
      <c r="C15880" t="s">
        <v>484</v>
      </c>
      <c r="D15880" t="s">
        <v>858</v>
      </c>
      <c r="E15880">
        <v>328647</v>
      </c>
      <c r="F15880">
        <v>2.9109671389548201E-8</v>
      </c>
      <c r="G15880">
        <v>1769035</v>
      </c>
      <c r="H15880">
        <v>14545271</v>
      </c>
      <c r="I15880">
        <v>769464</v>
      </c>
      <c r="J15880">
        <v>2</v>
      </c>
    </row>
    <row r="15881" spans="1:10" x14ac:dyDescent="0.25">
      <c r="A15881" t="s">
        <v>164</v>
      </c>
      <c r="B15881" s="1" t="str">
        <f>HYPERLINK("http://autoboss.pl","autoboss.pl")</f>
        <v>autoboss.pl</v>
      </c>
      <c r="C15881" t="s">
        <v>486</v>
      </c>
      <c r="D15881" t="s">
        <v>860</v>
      </c>
      <c r="F15881">
        <v>5.1255548846484198E-9</v>
      </c>
      <c r="G15881">
        <v>26539131</v>
      </c>
      <c r="H15881">
        <v>9624238</v>
      </c>
      <c r="I15881">
        <v>64146890</v>
      </c>
      <c r="J15881">
        <v>4</v>
      </c>
    </row>
    <row r="15882" spans="1:10" x14ac:dyDescent="0.25">
      <c r="A15882" t="s">
        <v>164</v>
      </c>
      <c r="B15882" s="1" t="str">
        <f>HYPERLINK("http://autoskar.pl","autoskar.pl")</f>
        <v>autoskar.pl</v>
      </c>
      <c r="C15882" t="s">
        <v>486</v>
      </c>
      <c r="D15882" t="s">
        <v>860</v>
      </c>
      <c r="F15882">
        <v>4.9653850644899201E-9</v>
      </c>
      <c r="G15882">
        <v>30366388</v>
      </c>
      <c r="H15882">
        <v>12218892</v>
      </c>
      <c r="I15882">
        <v>22812787</v>
      </c>
      <c r="J15882">
        <v>3</v>
      </c>
    </row>
    <row r="15883" spans="1:10" x14ac:dyDescent="0.25">
      <c r="A15883" t="s">
        <v>164</v>
      </c>
      <c r="B15883" s="1" t="str">
        <f>HYPERLINK("http://autoboss.com.pl","autoboss.com.pl")</f>
        <v>autoboss.com.pl</v>
      </c>
      <c r="C15883" t="s">
        <v>486</v>
      </c>
      <c r="D15883" t="s">
        <v>860</v>
      </c>
      <c r="F15883">
        <v>1.00577198721608E-8</v>
      </c>
      <c r="G15883">
        <v>6697749</v>
      </c>
      <c r="H15883">
        <v>14374551</v>
      </c>
      <c r="I15883">
        <v>1237944</v>
      </c>
      <c r="J15883">
        <v>3</v>
      </c>
    </row>
    <row r="15884" spans="1:10" x14ac:dyDescent="0.25">
      <c r="A15884" t="s">
        <v>164</v>
      </c>
      <c r="B15884" s="1" t="str">
        <f>HYPERLINK("http://autostyl.com.pl","autostyl.com.pl")</f>
        <v>autostyl.com.pl</v>
      </c>
      <c r="C15884" t="s">
        <v>486</v>
      </c>
      <c r="D15884" t="s">
        <v>860</v>
      </c>
      <c r="F15884">
        <v>5.0106980731630199E-9</v>
      </c>
      <c r="G15884">
        <v>29123424</v>
      </c>
      <c r="H15884">
        <v>10726421</v>
      </c>
      <c r="I15884">
        <v>41241402</v>
      </c>
      <c r="J15884">
        <v>3</v>
      </c>
    </row>
    <row r="15885" spans="1:10" x14ac:dyDescent="0.25">
      <c r="A15885" t="s">
        <v>164</v>
      </c>
      <c r="B15885" s="1" t="str">
        <f>HYPERLINK("http://ford-lodz.com.pl","ford-lodz.com.pl")</f>
        <v>ford-lodz.com.pl</v>
      </c>
      <c r="C15885" t="s">
        <v>486</v>
      </c>
      <c r="D15885" t="s">
        <v>860</v>
      </c>
      <c r="F15885">
        <v>6.22116609254376E-9</v>
      </c>
      <c r="G15885">
        <v>15419627</v>
      </c>
      <c r="H15885">
        <v>12581013</v>
      </c>
      <c r="I15885">
        <v>16497557</v>
      </c>
      <c r="J15885">
        <v>3</v>
      </c>
    </row>
    <row r="15886" spans="1:10" x14ac:dyDescent="0.25">
      <c r="A15886" t="s">
        <v>164</v>
      </c>
      <c r="B15886" s="1" t="str">
        <f>HYPERLINK("http://ford.pl","ford.pl")</f>
        <v>ford.pl</v>
      </c>
      <c r="C15886" t="s">
        <v>486</v>
      </c>
      <c r="D15886" t="s">
        <v>860</v>
      </c>
      <c r="E15886">
        <v>507156</v>
      </c>
      <c r="F15886">
        <v>9.12040824448892E-8</v>
      </c>
      <c r="G15886">
        <v>446988</v>
      </c>
      <c r="H15886">
        <v>14082453</v>
      </c>
      <c r="I15886">
        <v>2800395</v>
      </c>
      <c r="J15886">
        <v>2</v>
      </c>
    </row>
    <row r="15887" spans="1:10" x14ac:dyDescent="0.25">
      <c r="A15887" t="s">
        <v>164</v>
      </c>
      <c r="B15887" s="1" t="str">
        <f>HYPERLINK("http://ford-lublin.pl","ford-lublin.pl")</f>
        <v>ford-lublin.pl</v>
      </c>
      <c r="C15887" t="s">
        <v>486</v>
      </c>
      <c r="D15887" t="s">
        <v>860</v>
      </c>
      <c r="F15887">
        <v>5.0809580140356304E-9</v>
      </c>
      <c r="G15887">
        <v>27487406</v>
      </c>
      <c r="H15887">
        <v>10913124</v>
      </c>
      <c r="I15887">
        <v>35554896</v>
      </c>
      <c r="J15887">
        <v>3</v>
      </c>
    </row>
    <row r="15888" spans="1:10" x14ac:dyDescent="0.25">
      <c r="A15888" t="s">
        <v>164</v>
      </c>
      <c r="B15888" s="1" t="str">
        <f>HYPERLINK("http://ford-mirai.pl","ford-mirai.pl")</f>
        <v>ford-mirai.pl</v>
      </c>
      <c r="C15888" t="s">
        <v>486</v>
      </c>
      <c r="D15888" t="s">
        <v>860</v>
      </c>
      <c r="F15888">
        <v>5.0081119901465404E-9</v>
      </c>
      <c r="G15888">
        <v>29209151</v>
      </c>
      <c r="H15888">
        <v>10467742</v>
      </c>
      <c r="I15888">
        <v>51361046</v>
      </c>
      <c r="J15888">
        <v>3</v>
      </c>
    </row>
    <row r="15889" spans="1:10" x14ac:dyDescent="0.25">
      <c r="A15889" t="s">
        <v>164</v>
      </c>
      <c r="B15889" s="1" t="str">
        <f>HYPERLINK("http://pol-motors.pl","pol-motors.pl")</f>
        <v>pol-motors.pl</v>
      </c>
      <c r="C15889" t="s">
        <v>486</v>
      </c>
      <c r="D15889" t="s">
        <v>860</v>
      </c>
      <c r="F15889">
        <v>4.9195507760261199E-9</v>
      </c>
      <c r="G15889">
        <v>31704614</v>
      </c>
      <c r="H15889">
        <v>10721582</v>
      </c>
      <c r="I15889">
        <v>41712534</v>
      </c>
      <c r="J15889">
        <v>3</v>
      </c>
    </row>
    <row r="15890" spans="1:10" x14ac:dyDescent="0.25">
      <c r="A15890" t="s">
        <v>164</v>
      </c>
      <c r="B15890" s="1" t="str">
        <f>HYPERLINK("http://ford.com.pr","ford.com.pr")</f>
        <v>ford.com.pr</v>
      </c>
      <c r="C15890" t="s">
        <v>487</v>
      </c>
      <c r="D15890" t="s">
        <v>861</v>
      </c>
      <c r="E15890">
        <v>542010</v>
      </c>
      <c r="F15890">
        <v>1.1339120784097499E-8</v>
      </c>
      <c r="G15890">
        <v>5615654</v>
      </c>
      <c r="H15890">
        <v>14074764</v>
      </c>
      <c r="I15890">
        <v>2930251</v>
      </c>
      <c r="J15890">
        <v>2</v>
      </c>
    </row>
    <row r="15891" spans="1:10" x14ac:dyDescent="0.25">
      <c r="A15891" t="s">
        <v>164</v>
      </c>
      <c r="B15891" s="1" t="str">
        <f>HYPERLINK("http://ford.pt","ford.pt")</f>
        <v>ford.pt</v>
      </c>
      <c r="C15891" t="s">
        <v>488</v>
      </c>
      <c r="D15891" t="s">
        <v>862</v>
      </c>
      <c r="E15891">
        <v>865280</v>
      </c>
      <c r="F15891">
        <v>6.1973828608894698E-8</v>
      </c>
      <c r="G15891">
        <v>709494</v>
      </c>
      <c r="H15891">
        <v>14242654</v>
      </c>
      <c r="I15891">
        <v>1482574</v>
      </c>
      <c r="J15891">
        <v>2</v>
      </c>
    </row>
    <row r="15892" spans="1:10" x14ac:dyDescent="0.25">
      <c r="A15892" t="s">
        <v>164</v>
      </c>
      <c r="B15892" s="1" t="str">
        <f>HYPERLINK("http://lizdrive.pt","lizdrive.pt")</f>
        <v>lizdrive.pt</v>
      </c>
      <c r="C15892" t="s">
        <v>488</v>
      </c>
      <c r="D15892" t="s">
        <v>862</v>
      </c>
      <c r="F15892">
        <v>5.5263852047472901E-9</v>
      </c>
      <c r="G15892">
        <v>20620969</v>
      </c>
      <c r="H15892">
        <v>11246158</v>
      </c>
      <c r="I15892">
        <v>30925307</v>
      </c>
      <c r="J15892">
        <v>3</v>
      </c>
    </row>
    <row r="15893" spans="1:10" x14ac:dyDescent="0.25">
      <c r="A15893" t="s">
        <v>164</v>
      </c>
      <c r="B15893" s="1" t="str">
        <f>HYPERLINK("http://expresslinetm.ro","expresslinetm.ro")</f>
        <v>expresslinetm.ro</v>
      </c>
      <c r="C15893" t="s">
        <v>491</v>
      </c>
      <c r="D15893" t="s">
        <v>865</v>
      </c>
      <c r="F15893">
        <v>4.6044570224253002E-9</v>
      </c>
      <c r="G15893">
        <v>47268561</v>
      </c>
      <c r="H15893">
        <v>8379889</v>
      </c>
      <c r="I15893">
        <v>73512066</v>
      </c>
      <c r="J15893">
        <v>3</v>
      </c>
    </row>
    <row r="15894" spans="1:10" x14ac:dyDescent="0.25">
      <c r="A15894" t="s">
        <v>164</v>
      </c>
      <c r="B15894" s="1" t="str">
        <f>HYPERLINK("http://ford.ro","ford.ro")</f>
        <v>ford.ro</v>
      </c>
      <c r="C15894" t="s">
        <v>491</v>
      </c>
      <c r="D15894" t="s">
        <v>865</v>
      </c>
      <c r="E15894">
        <v>696826</v>
      </c>
      <c r="F15894">
        <v>8.35596027401101E-8</v>
      </c>
      <c r="G15894">
        <v>496546</v>
      </c>
      <c r="H15894">
        <v>14382317</v>
      </c>
      <c r="I15894">
        <v>1189022</v>
      </c>
      <c r="J15894">
        <v>2</v>
      </c>
    </row>
    <row r="15895" spans="1:10" x14ac:dyDescent="0.25">
      <c r="A15895" t="s">
        <v>164</v>
      </c>
      <c r="B15895" s="1" t="str">
        <f>HYPERLINK("http://fordroadhill.ro","fordroadhill.ro")</f>
        <v>fordroadhill.ro</v>
      </c>
      <c r="C15895" t="s">
        <v>491</v>
      </c>
      <c r="D15895" t="s">
        <v>865</v>
      </c>
      <c r="F15895">
        <v>7.2642861678753796E-9</v>
      </c>
      <c r="G15895">
        <v>11568360</v>
      </c>
      <c r="H15895">
        <v>14119747</v>
      </c>
      <c r="I15895">
        <v>2463908</v>
      </c>
      <c r="J15895">
        <v>3</v>
      </c>
    </row>
    <row r="15896" spans="1:10" x14ac:dyDescent="0.25">
      <c r="A15896" t="s">
        <v>164</v>
      </c>
      <c r="B15896" s="1" t="str">
        <f>HYPERLINK("http://ford.rs","ford.rs")</f>
        <v>ford.rs</v>
      </c>
      <c r="C15896" t="s">
        <v>492</v>
      </c>
      <c r="D15896" t="s">
        <v>866</v>
      </c>
      <c r="F15896">
        <v>1.8303729294858901E-8</v>
      </c>
      <c r="G15896">
        <v>2966707</v>
      </c>
      <c r="H15896">
        <v>12602864</v>
      </c>
      <c r="I15896">
        <v>16300045</v>
      </c>
      <c r="J15896">
        <v>2</v>
      </c>
    </row>
    <row r="15897" spans="1:10" x14ac:dyDescent="0.25">
      <c r="A15897" t="s">
        <v>164</v>
      </c>
      <c r="B15897" s="1" t="str">
        <f>HYPERLINK("http://alarm-motors.ru","alarm-motors.ru")</f>
        <v>alarm-motors.ru</v>
      </c>
      <c r="C15897" t="s">
        <v>493</v>
      </c>
      <c r="D15897" t="s">
        <v>867</v>
      </c>
      <c r="E15897">
        <v>632592</v>
      </c>
      <c r="F15897">
        <v>6.1012351089027405E-8</v>
      </c>
      <c r="G15897">
        <v>722152</v>
      </c>
      <c r="H15897">
        <v>16752523</v>
      </c>
      <c r="I15897">
        <v>252694</v>
      </c>
      <c r="J15897">
        <v>3</v>
      </c>
    </row>
    <row r="15898" spans="1:10" x14ac:dyDescent="0.25">
      <c r="A15898" t="s">
        <v>164</v>
      </c>
      <c r="B15898" s="1" t="str">
        <f>HYPERLINK("http://avtoremont-perm.ru","avtoremont-perm.ru")</f>
        <v>avtoremont-perm.ru</v>
      </c>
      <c r="C15898" t="s">
        <v>493</v>
      </c>
      <c r="D15898" t="s">
        <v>867</v>
      </c>
      <c r="F15898">
        <v>6.1778446041578598E-9</v>
      </c>
      <c r="G15898">
        <v>15651265</v>
      </c>
      <c r="H15898">
        <v>12966221</v>
      </c>
      <c r="I15898">
        <v>13088834</v>
      </c>
      <c r="J15898">
        <v>3</v>
      </c>
    </row>
    <row r="15899" spans="1:10" x14ac:dyDescent="0.25">
      <c r="A15899" t="s">
        <v>164</v>
      </c>
      <c r="B15899" s="1" t="str">
        <f>HYPERLINK("http://favorit-motors.ru","favorit-motors.ru")</f>
        <v>favorit-motors.ru</v>
      </c>
      <c r="C15899" t="s">
        <v>493</v>
      </c>
      <c r="D15899" t="s">
        <v>867</v>
      </c>
      <c r="E15899">
        <v>248017</v>
      </c>
      <c r="F15899">
        <v>1.67058204742104E-7</v>
      </c>
      <c r="G15899">
        <v>232303</v>
      </c>
      <c r="H15899">
        <v>13586947</v>
      </c>
      <c r="I15899">
        <v>9674789</v>
      </c>
      <c r="J15899">
        <v>3</v>
      </c>
    </row>
    <row r="15900" spans="1:10" x14ac:dyDescent="0.25">
      <c r="A15900" t="s">
        <v>164</v>
      </c>
      <c r="B15900" s="1" t="str">
        <f>HYPERLINK("http://ford.ru","ford.ru")</f>
        <v>ford.ru</v>
      </c>
      <c r="C15900" t="s">
        <v>493</v>
      </c>
      <c r="D15900" t="s">
        <v>867</v>
      </c>
      <c r="E15900">
        <v>502965</v>
      </c>
      <c r="F15900">
        <v>1.0930653364392901E-7</v>
      </c>
      <c r="G15900">
        <v>366022</v>
      </c>
      <c r="H15900">
        <v>14092633</v>
      </c>
      <c r="I15900">
        <v>2738794</v>
      </c>
      <c r="J15900">
        <v>2</v>
      </c>
    </row>
    <row r="15901" spans="1:10" x14ac:dyDescent="0.25">
      <c r="A15901" t="s">
        <v>164</v>
      </c>
      <c r="B15901" s="1" t="str">
        <f>HYPERLINK("http://ford-alekseevsky.ru","ford-alekseevsky.ru")</f>
        <v>ford-alekseevsky.ru</v>
      </c>
      <c r="C15901" t="s">
        <v>493</v>
      </c>
      <c r="D15901" t="s">
        <v>867</v>
      </c>
      <c r="F15901">
        <v>4.5363063401733103E-9</v>
      </c>
      <c r="G15901">
        <v>53774489</v>
      </c>
      <c r="H15901">
        <v>10000387</v>
      </c>
      <c r="I15901">
        <v>60817625</v>
      </c>
      <c r="J15901">
        <v>3</v>
      </c>
    </row>
    <row r="15902" spans="1:10" x14ac:dyDescent="0.25">
      <c r="A15902" t="s">
        <v>164</v>
      </c>
      <c r="B15902" s="1" t="str">
        <f>HYPERLINK("http://sochiford.ru","sochiford.ru")</f>
        <v>sochiford.ru</v>
      </c>
      <c r="C15902" t="s">
        <v>493</v>
      </c>
      <c r="D15902" t="s">
        <v>867</v>
      </c>
      <c r="J15902">
        <v>3</v>
      </c>
    </row>
    <row r="15903" spans="1:10" x14ac:dyDescent="0.25">
      <c r="A15903" t="s">
        <v>164</v>
      </c>
      <c r="B15903" s="1" t="str">
        <f>HYPERLINK("http://ford.se","ford.se")</f>
        <v>ford.se</v>
      </c>
      <c r="C15903" t="s">
        <v>495</v>
      </c>
      <c r="D15903" t="s">
        <v>869</v>
      </c>
      <c r="F15903">
        <v>5.35575607301793E-8</v>
      </c>
      <c r="G15903">
        <v>849256</v>
      </c>
      <c r="H15903">
        <v>14246028</v>
      </c>
      <c r="I15903">
        <v>1463354</v>
      </c>
      <c r="J15903">
        <v>2</v>
      </c>
    </row>
    <row r="15904" spans="1:10" x14ac:dyDescent="0.25">
      <c r="A15904" t="s">
        <v>164</v>
      </c>
      <c r="B15904" s="1" t="str">
        <f>HYPERLINK("http://ford.si","ford.si")</f>
        <v>ford.si</v>
      </c>
      <c r="C15904" t="s">
        <v>497</v>
      </c>
      <c r="D15904" t="s">
        <v>871</v>
      </c>
      <c r="F15904">
        <v>2.4661107798448301E-8</v>
      </c>
      <c r="G15904">
        <v>2098127</v>
      </c>
      <c r="H15904">
        <v>14077102</v>
      </c>
      <c r="I15904">
        <v>2872876</v>
      </c>
      <c r="J15904">
        <v>2</v>
      </c>
    </row>
    <row r="15905" spans="1:10" x14ac:dyDescent="0.25">
      <c r="A15905" t="s">
        <v>164</v>
      </c>
      <c r="B15905" s="1" t="str">
        <f>HYPERLINK("http://ford.sk","ford.sk")</f>
        <v>ford.sk</v>
      </c>
      <c r="C15905" t="s">
        <v>498</v>
      </c>
      <c r="D15905" t="s">
        <v>872</v>
      </c>
      <c r="F15905">
        <v>3.5697047409896102E-8</v>
      </c>
      <c r="G15905">
        <v>1459356</v>
      </c>
      <c r="H15905">
        <v>14084953</v>
      </c>
      <c r="I15905">
        <v>2783266</v>
      </c>
      <c r="J15905">
        <v>2</v>
      </c>
    </row>
    <row r="15906" spans="1:10" x14ac:dyDescent="0.25">
      <c r="A15906" t="s">
        <v>164</v>
      </c>
      <c r="B15906" s="1" t="str">
        <f>HYPERLINK("http://szilcarba.sk","szilcarba.sk")</f>
        <v>szilcarba.sk</v>
      </c>
      <c r="C15906" t="s">
        <v>498</v>
      </c>
      <c r="D15906" t="s">
        <v>872</v>
      </c>
      <c r="J15906">
        <v>3</v>
      </c>
    </row>
    <row r="15907" spans="1:10" x14ac:dyDescent="0.25">
      <c r="A15907" t="s">
        <v>164</v>
      </c>
      <c r="B15907" s="1" t="str">
        <f>HYPERLINK("http://roeleveld.store","roeleveld.store")</f>
        <v>roeleveld.store</v>
      </c>
      <c r="C15907" t="s">
        <v>559</v>
      </c>
      <c r="F15907">
        <v>4.44380395335525E-9</v>
      </c>
      <c r="G15907">
        <v>88051276</v>
      </c>
      <c r="H15907">
        <v>0</v>
      </c>
      <c r="I15907">
        <v>87860583</v>
      </c>
      <c r="J15907">
        <v>4</v>
      </c>
    </row>
    <row r="15908" spans="1:10" x14ac:dyDescent="0.25">
      <c r="A15908" t="s">
        <v>164</v>
      </c>
      <c r="B15908" s="1" t="str">
        <f>HYPERLINK("http://ford.co.th","ford.co.th")</f>
        <v>ford.co.th</v>
      </c>
      <c r="C15908" t="s">
        <v>500</v>
      </c>
      <c r="D15908" t="s">
        <v>874</v>
      </c>
      <c r="E15908">
        <v>519029</v>
      </c>
      <c r="F15908">
        <v>2.7440711046120201E-7</v>
      </c>
      <c r="G15908">
        <v>135576</v>
      </c>
      <c r="H15908">
        <v>14799023</v>
      </c>
      <c r="I15908">
        <v>548602</v>
      </c>
      <c r="J15908">
        <v>2</v>
      </c>
    </row>
    <row r="15909" spans="1:10" x14ac:dyDescent="0.25">
      <c r="A15909" t="s">
        <v>164</v>
      </c>
      <c r="B15909" s="1" t="str">
        <f>HYPERLINK("http://ford.com.tn","ford.com.tn")</f>
        <v>ford.com.tn</v>
      </c>
      <c r="C15909" t="s">
        <v>501</v>
      </c>
      <c r="D15909" t="s">
        <v>875</v>
      </c>
      <c r="F15909">
        <v>9.7513135395955607E-9</v>
      </c>
      <c r="G15909">
        <v>7022499</v>
      </c>
      <c r="H15909">
        <v>12570546</v>
      </c>
      <c r="I15909">
        <v>16622194</v>
      </c>
      <c r="J15909">
        <v>2</v>
      </c>
    </row>
    <row r="15910" spans="1:10" x14ac:dyDescent="0.25">
      <c r="A15910" t="s">
        <v>164</v>
      </c>
      <c r="B15910" s="1" t="str">
        <f>HYPERLINK("http://ford.to","ford.to")</f>
        <v>ford.to</v>
      </c>
      <c r="C15910" t="s">
        <v>578</v>
      </c>
      <c r="D15910" t="s">
        <v>921</v>
      </c>
      <c r="F15910">
        <v>1.4295416950903401E-7</v>
      </c>
      <c r="G15910">
        <v>272333</v>
      </c>
      <c r="H15910">
        <v>14319330</v>
      </c>
      <c r="I15910">
        <v>1332575</v>
      </c>
      <c r="J15910">
        <v>2</v>
      </c>
    </row>
    <row r="15911" spans="1:10" x14ac:dyDescent="0.25">
      <c r="A15911" t="s">
        <v>164</v>
      </c>
      <c r="B15911" s="1" t="str">
        <f>HYPERLINK("http://ford.com.tr","ford.com.tr")</f>
        <v>ford.com.tr</v>
      </c>
      <c r="C15911" t="s">
        <v>502</v>
      </c>
      <c r="D15911" t="s">
        <v>876</v>
      </c>
      <c r="E15911">
        <v>64867</v>
      </c>
      <c r="F15911">
        <v>8.2490964306295805E-8</v>
      </c>
      <c r="G15911">
        <v>505763</v>
      </c>
      <c r="H15911">
        <v>14258267</v>
      </c>
      <c r="I15911">
        <v>1425391</v>
      </c>
      <c r="J15911">
        <v>2</v>
      </c>
    </row>
    <row r="15912" spans="1:10" x14ac:dyDescent="0.25">
      <c r="A15912" t="s">
        <v>164</v>
      </c>
      <c r="B15912" s="1" t="str">
        <f>HYPERLINK("http://fordotosan.com.tr","fordotosan.com.tr")</f>
        <v>fordotosan.com.tr</v>
      </c>
      <c r="C15912" t="s">
        <v>502</v>
      </c>
      <c r="D15912" t="s">
        <v>876</v>
      </c>
      <c r="E15912">
        <v>621077</v>
      </c>
      <c r="F15912">
        <v>7.3797319628344302E-8</v>
      </c>
      <c r="G15912">
        <v>570740</v>
      </c>
      <c r="H15912">
        <v>14926076</v>
      </c>
      <c r="I15912">
        <v>449350</v>
      </c>
      <c r="J15912">
        <v>4</v>
      </c>
    </row>
    <row r="15913" spans="1:10" x14ac:dyDescent="0.25">
      <c r="A15913" t="s">
        <v>164</v>
      </c>
      <c r="B15913" s="1" t="str">
        <f>HYPERLINK("http://fordtrucks.com.tr","fordtrucks.com.tr")</f>
        <v>fordtrucks.com.tr</v>
      </c>
      <c r="C15913" t="s">
        <v>502</v>
      </c>
      <c r="D15913" t="s">
        <v>876</v>
      </c>
      <c r="F15913">
        <v>2.5273136132399E-8</v>
      </c>
      <c r="G15913">
        <v>2041909</v>
      </c>
      <c r="H15913">
        <v>14112099</v>
      </c>
      <c r="I15913">
        <v>2670500</v>
      </c>
      <c r="J15913">
        <v>4</v>
      </c>
    </row>
    <row r="15914" spans="1:10" x14ac:dyDescent="0.25">
      <c r="A15914" t="s">
        <v>164</v>
      </c>
      <c r="B15914" s="1" t="str">
        <f>HYPERLINK("http://ford.com.tw","ford.com.tw")</f>
        <v>ford.com.tw</v>
      </c>
      <c r="C15914" t="s">
        <v>504</v>
      </c>
      <c r="D15914" t="s">
        <v>878</v>
      </c>
      <c r="E15914">
        <v>333896</v>
      </c>
      <c r="F15914">
        <v>2.04150325712073E-8</v>
      </c>
      <c r="G15914">
        <v>2596843</v>
      </c>
      <c r="H15914">
        <v>14311477</v>
      </c>
      <c r="I15914">
        <v>1340613</v>
      </c>
      <c r="J15914">
        <v>2</v>
      </c>
    </row>
    <row r="15915" spans="1:10" x14ac:dyDescent="0.25">
      <c r="A15915" t="s">
        <v>164</v>
      </c>
      <c r="B15915" s="1" t="str">
        <f>HYPERLINK("http://ford.cn.ua","ford.cn.ua")</f>
        <v>ford.cn.ua</v>
      </c>
      <c r="C15915" t="s">
        <v>505</v>
      </c>
      <c r="D15915" t="s">
        <v>879</v>
      </c>
      <c r="F15915">
        <v>5.2842255978274799E-9</v>
      </c>
      <c r="G15915">
        <v>23728468</v>
      </c>
      <c r="H15915">
        <v>12250477</v>
      </c>
      <c r="I15915">
        <v>22005877</v>
      </c>
      <c r="J15915">
        <v>3</v>
      </c>
    </row>
    <row r="15916" spans="1:10" x14ac:dyDescent="0.25">
      <c r="A15916" t="s">
        <v>164</v>
      </c>
      <c r="B15916" s="1" t="str">
        <f>HYPERLINK("http://ford.dn.ua","ford.dn.ua")</f>
        <v>ford.dn.ua</v>
      </c>
      <c r="C15916" t="s">
        <v>505</v>
      </c>
      <c r="D15916" t="s">
        <v>879</v>
      </c>
      <c r="F15916">
        <v>4.6428861380734203E-9</v>
      </c>
      <c r="G15916">
        <v>44585022</v>
      </c>
      <c r="H15916">
        <v>11007769</v>
      </c>
      <c r="I15916">
        <v>33440717</v>
      </c>
      <c r="J15916">
        <v>3</v>
      </c>
    </row>
    <row r="15917" spans="1:10" x14ac:dyDescent="0.25">
      <c r="A15917" t="s">
        <v>164</v>
      </c>
      <c r="B15917" s="1" t="str">
        <f>HYPERLINK("http://ford.dp.ua","ford.dp.ua")</f>
        <v>ford.dp.ua</v>
      </c>
      <c r="C15917" t="s">
        <v>505</v>
      </c>
      <c r="D15917" t="s">
        <v>879</v>
      </c>
      <c r="F15917">
        <v>5.3337815368905702E-9</v>
      </c>
      <c r="G15917">
        <v>23016696</v>
      </c>
      <c r="H15917">
        <v>11206068</v>
      </c>
      <c r="I15917">
        <v>31194230</v>
      </c>
      <c r="J15917">
        <v>3</v>
      </c>
    </row>
    <row r="15918" spans="1:10" x14ac:dyDescent="0.25">
      <c r="A15918" t="s">
        <v>164</v>
      </c>
      <c r="B15918" s="1" t="str">
        <f>HYPERLINK("http://ford.ua","ford.ua")</f>
        <v>ford.ua</v>
      </c>
      <c r="C15918" t="s">
        <v>505</v>
      </c>
      <c r="D15918" t="s">
        <v>879</v>
      </c>
      <c r="F15918">
        <v>2.5127163546136702E-8</v>
      </c>
      <c r="G15918">
        <v>2055687</v>
      </c>
      <c r="H15918">
        <v>14080988</v>
      </c>
      <c r="I15918">
        <v>2814575</v>
      </c>
      <c r="J15918">
        <v>2</v>
      </c>
    </row>
    <row r="15919" spans="1:10" x14ac:dyDescent="0.25">
      <c r="A15919" t="s">
        <v>164</v>
      </c>
      <c r="B15919" s="1" t="str">
        <f>HYPERLINK("http://ford.if.ua","ford.if.ua")</f>
        <v>ford.if.ua</v>
      </c>
      <c r="C15919" t="s">
        <v>505</v>
      </c>
      <c r="D15919" t="s">
        <v>879</v>
      </c>
      <c r="F15919">
        <v>5.2201318692039298E-9</v>
      </c>
      <c r="G15919">
        <v>24744055</v>
      </c>
      <c r="H15919">
        <v>11008101</v>
      </c>
      <c r="I15919">
        <v>33435694</v>
      </c>
      <c r="J15919">
        <v>3</v>
      </c>
    </row>
    <row r="15920" spans="1:10" x14ac:dyDescent="0.25">
      <c r="A15920" t="s">
        <v>164</v>
      </c>
      <c r="B15920" s="1" t="str">
        <f>HYPERLINK("http://ford.kr.ua","ford.kr.ua")</f>
        <v>ford.kr.ua</v>
      </c>
      <c r="C15920" t="s">
        <v>505</v>
      </c>
      <c r="D15920" t="s">
        <v>879</v>
      </c>
      <c r="F15920">
        <v>5.6303441114611998E-9</v>
      </c>
      <c r="G15920">
        <v>19572320</v>
      </c>
      <c r="H15920">
        <v>12156556</v>
      </c>
      <c r="I15920">
        <v>24454303</v>
      </c>
      <c r="J15920">
        <v>3</v>
      </c>
    </row>
    <row r="15921" spans="1:10" x14ac:dyDescent="0.25">
      <c r="A15921" t="s">
        <v>164</v>
      </c>
      <c r="B15921" s="1" t="str">
        <f>HYPERLINK("http://ford.lviv.ua","ford.lviv.ua")</f>
        <v>ford.lviv.ua</v>
      </c>
      <c r="C15921" t="s">
        <v>505</v>
      </c>
      <c r="D15921" t="s">
        <v>879</v>
      </c>
      <c r="F15921">
        <v>5.2206068554847597E-9</v>
      </c>
      <c r="G15921">
        <v>24736015</v>
      </c>
      <c r="H15921">
        <v>11037388</v>
      </c>
      <c r="I15921">
        <v>32963249</v>
      </c>
      <c r="J15921">
        <v>3</v>
      </c>
    </row>
    <row r="15922" spans="1:10" x14ac:dyDescent="0.25">
      <c r="A15922" t="s">
        <v>164</v>
      </c>
      <c r="B15922" s="1" t="str">
        <f>HYPERLINK("http://ford.pl.ua","ford.pl.ua")</f>
        <v>ford.pl.ua</v>
      </c>
      <c r="C15922" t="s">
        <v>505</v>
      </c>
      <c r="D15922" t="s">
        <v>879</v>
      </c>
      <c r="F15922">
        <v>5.4665535993074797E-9</v>
      </c>
      <c r="G15922">
        <v>21283808</v>
      </c>
      <c r="H15922">
        <v>12169748</v>
      </c>
      <c r="I15922">
        <v>24073780</v>
      </c>
      <c r="J15922">
        <v>3</v>
      </c>
    </row>
    <row r="15923" spans="1:10" x14ac:dyDescent="0.25">
      <c r="A15923" t="s">
        <v>164</v>
      </c>
      <c r="B15923" s="1" t="str">
        <f>HYPERLINK("http://ford.rv.ua","ford.rv.ua")</f>
        <v>ford.rv.ua</v>
      </c>
      <c r="C15923" t="s">
        <v>505</v>
      </c>
      <c r="D15923" t="s">
        <v>879</v>
      </c>
      <c r="F15923">
        <v>5.2201318692039298E-9</v>
      </c>
      <c r="G15923">
        <v>24744056</v>
      </c>
      <c r="H15923">
        <v>11008101</v>
      </c>
      <c r="I15923">
        <v>33435695</v>
      </c>
      <c r="J15923">
        <v>3</v>
      </c>
    </row>
    <row r="15924" spans="1:10" x14ac:dyDescent="0.25">
      <c r="A15924" t="s">
        <v>164</v>
      </c>
      <c r="B15924" s="1" t="str">
        <f>HYPERLINK("http://ford.te.ua","ford.te.ua")</f>
        <v>ford.te.ua</v>
      </c>
      <c r="C15924" t="s">
        <v>505</v>
      </c>
      <c r="D15924" t="s">
        <v>879</v>
      </c>
      <c r="F15924">
        <v>5.0323798233281099E-9</v>
      </c>
      <c r="G15924">
        <v>28614530</v>
      </c>
      <c r="H15924">
        <v>10606877</v>
      </c>
      <c r="I15924">
        <v>44657538</v>
      </c>
      <c r="J15924">
        <v>3</v>
      </c>
    </row>
    <row r="15925" spans="1:10" x14ac:dyDescent="0.25">
      <c r="A15925" t="s">
        <v>164</v>
      </c>
      <c r="B15925" s="1" t="str">
        <f>HYPERLINK("http://ford.vn.ua","ford.vn.ua")</f>
        <v>ford.vn.ua</v>
      </c>
      <c r="C15925" t="s">
        <v>505</v>
      </c>
      <c r="D15925" t="s">
        <v>879</v>
      </c>
      <c r="F15925">
        <v>5.9644505143925698E-9</v>
      </c>
      <c r="G15925">
        <v>16916739</v>
      </c>
      <c r="H15925">
        <v>12171675</v>
      </c>
      <c r="I15925">
        <v>24026791</v>
      </c>
      <c r="J15925">
        <v>3</v>
      </c>
    </row>
    <row r="15926" spans="1:10" x14ac:dyDescent="0.25">
      <c r="A15926" t="s">
        <v>164</v>
      </c>
      <c r="B15926" s="1" t="str">
        <f>HYPERLINK("http://ford.zhitomir.ua","ford.zhitomir.ua")</f>
        <v>ford.zhitomir.ua</v>
      </c>
      <c r="C15926" t="s">
        <v>505</v>
      </c>
      <c r="D15926" t="s">
        <v>879</v>
      </c>
      <c r="J15926">
        <v>3</v>
      </c>
    </row>
    <row r="15927" spans="1:10" x14ac:dyDescent="0.25">
      <c r="A15927" t="s">
        <v>164</v>
      </c>
      <c r="B15927" s="1" t="str">
        <f>HYPERLINK("http://ford.zt.ua","ford.zt.ua")</f>
        <v>ford.zt.ua</v>
      </c>
      <c r="C15927" t="s">
        <v>505</v>
      </c>
      <c r="D15927" t="s">
        <v>879</v>
      </c>
      <c r="F15927">
        <v>5.3745219301924902E-9</v>
      </c>
      <c r="G15927">
        <v>22485757</v>
      </c>
      <c r="H15927">
        <v>11038717</v>
      </c>
      <c r="I15927">
        <v>32942206</v>
      </c>
      <c r="J15927">
        <v>3</v>
      </c>
    </row>
    <row r="15928" spans="1:10" x14ac:dyDescent="0.25">
      <c r="A15928" t="s">
        <v>164</v>
      </c>
      <c r="B15928" s="1" t="str">
        <f>HYPERLINK("http://beyre.co.uk","beyre.co.uk")</f>
        <v>beyre.co.uk</v>
      </c>
      <c r="C15928" t="s">
        <v>506</v>
      </c>
      <c r="D15928" t="s">
        <v>880</v>
      </c>
      <c r="F15928">
        <v>4.4438191607064702E-9</v>
      </c>
      <c r="G15928">
        <v>79242335</v>
      </c>
      <c r="H15928">
        <v>10441150</v>
      </c>
      <c r="I15928">
        <v>52396060</v>
      </c>
      <c r="J15928">
        <v>3</v>
      </c>
    </row>
    <row r="15929" spans="1:10" x14ac:dyDescent="0.25">
      <c r="A15929" t="s">
        <v>164</v>
      </c>
      <c r="B15929" s="1" t="str">
        <f>HYPERLINK("http://cliffdickenson.co.uk","cliffdickenson.co.uk")</f>
        <v>cliffdickenson.co.uk</v>
      </c>
      <c r="C15929" t="s">
        <v>506</v>
      </c>
      <c r="D15929" t="s">
        <v>880</v>
      </c>
      <c r="F15929">
        <v>4.8705360535591601E-9</v>
      </c>
      <c r="G15929">
        <v>33385148</v>
      </c>
      <c r="H15929">
        <v>10445682</v>
      </c>
      <c r="I15929">
        <v>52202359</v>
      </c>
      <c r="J15929">
        <v>3</v>
      </c>
    </row>
    <row r="15930" spans="1:10" x14ac:dyDescent="0.25">
      <c r="A15930" t="s">
        <v>164</v>
      </c>
      <c r="B15930" s="1" t="str">
        <f>HYPERLINK("http://desmondmotors.co.uk","desmondmotors.co.uk")</f>
        <v>desmondmotors.co.uk</v>
      </c>
      <c r="C15930" t="s">
        <v>506</v>
      </c>
      <c r="D15930" t="s">
        <v>880</v>
      </c>
      <c r="F15930">
        <v>5.8617204306350203E-9</v>
      </c>
      <c r="G15930">
        <v>17625978</v>
      </c>
      <c r="H15930">
        <v>11169792</v>
      </c>
      <c r="I15930">
        <v>31540056</v>
      </c>
      <c r="J15930">
        <v>3</v>
      </c>
    </row>
    <row r="15931" spans="1:10" x14ac:dyDescent="0.25">
      <c r="A15931" t="s">
        <v>164</v>
      </c>
      <c r="B15931" s="1" t="str">
        <f>HYPERLINK("http://ford.co.uk","ford.co.uk")</f>
        <v>ford.co.uk</v>
      </c>
      <c r="C15931" t="s">
        <v>506</v>
      </c>
      <c r="D15931" t="s">
        <v>880</v>
      </c>
      <c r="E15931">
        <v>44923</v>
      </c>
      <c r="F15931">
        <v>6.3085121103828495E-7</v>
      </c>
      <c r="G15931">
        <v>60806</v>
      </c>
      <c r="H15931">
        <v>17498992</v>
      </c>
      <c r="I15931">
        <v>13736</v>
      </c>
      <c r="J15931">
        <v>2</v>
      </c>
    </row>
    <row r="15932" spans="1:10" x14ac:dyDescent="0.25">
      <c r="A15932" t="s">
        <v>164</v>
      </c>
      <c r="B15932" s="1" t="str">
        <f>HYPERLINK("http://johnstonesgarage.co.uk","johnstonesgarage.co.uk")</f>
        <v>johnstonesgarage.co.uk</v>
      </c>
      <c r="C15932" t="s">
        <v>506</v>
      </c>
      <c r="D15932" t="s">
        <v>880</v>
      </c>
      <c r="F15932">
        <v>4.4990617632803501E-9</v>
      </c>
      <c r="G15932">
        <v>59080387</v>
      </c>
      <c r="H15932">
        <v>10663083</v>
      </c>
      <c r="I15932">
        <v>43265389</v>
      </c>
      <c r="J15932">
        <v>3</v>
      </c>
    </row>
    <row r="15933" spans="1:10" x14ac:dyDescent="0.25">
      <c r="A15933" t="s">
        <v>164</v>
      </c>
      <c r="B15933" s="1" t="str">
        <f>HYPERLINK("http://pentremotors.co.uk","pentremotors.co.uk")</f>
        <v>pentremotors.co.uk</v>
      </c>
      <c r="C15933" t="s">
        <v>506</v>
      </c>
      <c r="D15933" t="s">
        <v>880</v>
      </c>
      <c r="F15933">
        <v>4.5599065361349499E-9</v>
      </c>
      <c r="G15933">
        <v>51178367</v>
      </c>
      <c r="H15933">
        <v>11268683</v>
      </c>
      <c r="I15933">
        <v>30773323</v>
      </c>
      <c r="J15933">
        <v>3</v>
      </c>
    </row>
    <row r="15934" spans="1:10" x14ac:dyDescent="0.25">
      <c r="A15934" t="s">
        <v>164</v>
      </c>
      <c r="B15934" s="1" t="str">
        <f>HYPERLINK("http://platts.co.uk","platts.co.uk")</f>
        <v>platts.co.uk</v>
      </c>
      <c r="C15934" t="s">
        <v>506</v>
      </c>
      <c r="D15934" t="s">
        <v>880</v>
      </c>
      <c r="F15934">
        <v>4.4889758682796396E-9</v>
      </c>
      <c r="G15934">
        <v>60681607</v>
      </c>
      <c r="H15934">
        <v>10696867</v>
      </c>
      <c r="I15934">
        <v>42371039</v>
      </c>
      <c r="J15934">
        <v>3</v>
      </c>
    </row>
    <row r="15935" spans="1:10" x14ac:dyDescent="0.25">
      <c r="A15935" t="s">
        <v>164</v>
      </c>
      <c r="B15935" s="1" t="str">
        <f>HYPERLINK("http://regentservices.co.uk","regentservices.co.uk")</f>
        <v>regentservices.co.uk</v>
      </c>
      <c r="C15935" t="s">
        <v>506</v>
      </c>
      <c r="D15935" t="s">
        <v>880</v>
      </c>
      <c r="J15935">
        <v>3</v>
      </c>
    </row>
    <row r="15936" spans="1:10" x14ac:dyDescent="0.25">
      <c r="A15936" t="s">
        <v>164</v>
      </c>
      <c r="B15936" s="1" t="str">
        <f>HYPERLINK("http://trustford.co.uk","trustford.co.uk")</f>
        <v>trustford.co.uk</v>
      </c>
      <c r="C15936" t="s">
        <v>506</v>
      </c>
      <c r="D15936" t="s">
        <v>880</v>
      </c>
      <c r="E15936">
        <v>687100</v>
      </c>
      <c r="F15936">
        <v>2.6264618963715701E-8</v>
      </c>
      <c r="G15936">
        <v>1960673</v>
      </c>
      <c r="H15936">
        <v>13313829</v>
      </c>
      <c r="I15936">
        <v>10765946</v>
      </c>
      <c r="J15936">
        <v>3</v>
      </c>
    </row>
    <row r="15937" spans="1:10" x14ac:dyDescent="0.25">
      <c r="A15937" t="s">
        <v>164</v>
      </c>
      <c r="B15937" s="1" t="str">
        <f>HYPERLINK("http://americanford.us","americanford.us")</f>
        <v>americanford.us</v>
      </c>
      <c r="C15937" t="s">
        <v>522</v>
      </c>
      <c r="D15937" t="s">
        <v>891</v>
      </c>
      <c r="F15937">
        <v>5.5920656992934297E-9</v>
      </c>
      <c r="G15937">
        <v>19933425</v>
      </c>
      <c r="H15937">
        <v>12395347</v>
      </c>
      <c r="I15937">
        <v>18931243</v>
      </c>
      <c r="J15937">
        <v>3</v>
      </c>
    </row>
    <row r="15938" spans="1:10" x14ac:dyDescent="0.25">
      <c r="A15938" t="s">
        <v>164</v>
      </c>
      <c r="B15938" s="1" t="str">
        <f>HYPERLINK("http://altautos.com.ve","altautos.com.ve")</f>
        <v>altautos.com.ve</v>
      </c>
      <c r="C15938" t="s">
        <v>508</v>
      </c>
      <c r="D15938" t="s">
        <v>882</v>
      </c>
      <c r="F15938">
        <v>4.4528822022574097E-9</v>
      </c>
      <c r="G15938">
        <v>70394835</v>
      </c>
      <c r="H15938">
        <v>10359925</v>
      </c>
      <c r="I15938">
        <v>55238908</v>
      </c>
      <c r="J15938">
        <v>3</v>
      </c>
    </row>
    <row r="15939" spans="1:10" x14ac:dyDescent="0.25">
      <c r="A15939" t="s">
        <v>164</v>
      </c>
      <c r="B15939" s="1" t="str">
        <f>HYPERLINK("http://ford.com.ve","ford.com.ve")</f>
        <v>ford.com.ve</v>
      </c>
      <c r="C15939" t="s">
        <v>508</v>
      </c>
      <c r="D15939" t="s">
        <v>882</v>
      </c>
      <c r="F15939">
        <v>1.1572365491792501E-8</v>
      </c>
      <c r="G15939">
        <v>5452402</v>
      </c>
      <c r="H15939">
        <v>14239959</v>
      </c>
      <c r="I15939">
        <v>1505976</v>
      </c>
      <c r="J15939">
        <v>2</v>
      </c>
    </row>
    <row r="15940" spans="1:10" x14ac:dyDescent="0.25">
      <c r="A15940" t="s">
        <v>164</v>
      </c>
      <c r="B15940" s="1" t="str">
        <f>HYPERLINK("http://lumosaford.com.ve","lumosaford.com.ve")</f>
        <v>lumosaford.com.ve</v>
      </c>
      <c r="C15940" t="s">
        <v>508</v>
      </c>
      <c r="D15940" t="s">
        <v>882</v>
      </c>
      <c r="J15940">
        <v>3</v>
      </c>
    </row>
    <row r="15941" spans="1:10" x14ac:dyDescent="0.25">
      <c r="A15941" t="s">
        <v>164</v>
      </c>
      <c r="B15941" s="1" t="str">
        <f>HYPERLINK("http://ford.com.vn","ford.com.vn")</f>
        <v>ford.com.vn</v>
      </c>
      <c r="C15941" t="s">
        <v>509</v>
      </c>
      <c r="D15941" t="s">
        <v>883</v>
      </c>
      <c r="E15941">
        <v>470872</v>
      </c>
      <c r="F15941">
        <v>1.31280670426422E-7</v>
      </c>
      <c r="G15941">
        <v>297900</v>
      </c>
      <c r="H15941">
        <v>14242699</v>
      </c>
      <c r="I15941">
        <v>1482273</v>
      </c>
      <c r="J15941">
        <v>2</v>
      </c>
    </row>
    <row r="15942" spans="1:10" x14ac:dyDescent="0.25">
      <c r="A15942" t="s">
        <v>164</v>
      </c>
      <c r="B15942" s="1" t="str">
        <f>HYPERLINK("http://ford.co.za","ford.co.za")</f>
        <v>ford.co.za</v>
      </c>
      <c r="C15942" t="s">
        <v>510</v>
      </c>
      <c r="D15942" t="s">
        <v>884</v>
      </c>
      <c r="E15942">
        <v>384791</v>
      </c>
      <c r="F15942">
        <v>8.3809439232559404E-8</v>
      </c>
      <c r="G15942">
        <v>494308</v>
      </c>
      <c r="H15942">
        <v>14725491</v>
      </c>
      <c r="I15942">
        <v>575634</v>
      </c>
      <c r="J15942">
        <v>2</v>
      </c>
    </row>
    <row r="15943" spans="1:10" x14ac:dyDescent="0.25">
      <c r="A15943" t="s">
        <v>165</v>
      </c>
      <c r="B15943" s="1" t="str">
        <f>HYPERLINK("http://fmgl.com.au","fmgl.com.au")</f>
        <v>fmgl.com.au</v>
      </c>
      <c r="C15943" t="s">
        <v>420</v>
      </c>
      <c r="D15943" t="s">
        <v>802</v>
      </c>
      <c r="E15943">
        <v>212986</v>
      </c>
      <c r="F15943">
        <v>2.3322206433798699E-7</v>
      </c>
      <c r="G15943">
        <v>160832</v>
      </c>
      <c r="H15943">
        <v>14685192</v>
      </c>
      <c r="I15943">
        <v>605477</v>
      </c>
      <c r="J15943">
        <v>1</v>
      </c>
    </row>
    <row r="15944" spans="1:10" x14ac:dyDescent="0.25">
      <c r="A15944" t="s">
        <v>165</v>
      </c>
      <c r="B15944" s="1" t="str">
        <f>HYPERLINK("http://wae.com","wae.com")</f>
        <v>wae.com</v>
      </c>
      <c r="C15944" t="s">
        <v>433</v>
      </c>
      <c r="E15944">
        <v>961344</v>
      </c>
      <c r="F15944">
        <v>4.7679858804477703E-8</v>
      </c>
      <c r="G15944">
        <v>976370</v>
      </c>
      <c r="H15944">
        <v>14194510</v>
      </c>
      <c r="I15944">
        <v>1739835</v>
      </c>
      <c r="J15944">
        <v>4</v>
      </c>
    </row>
    <row r="15945" spans="1:10" x14ac:dyDescent="0.25">
      <c r="A15945" t="s">
        <v>166</v>
      </c>
      <c r="B15945" s="1" t="str">
        <f>HYPERLINK("http://fortinet.ca","fortinet.ca")</f>
        <v>fortinet.ca</v>
      </c>
      <c r="C15945" t="s">
        <v>428</v>
      </c>
      <c r="D15945" t="s">
        <v>809</v>
      </c>
      <c r="F15945">
        <v>7.9643917844047108E-9</v>
      </c>
      <c r="G15945">
        <v>9986830</v>
      </c>
      <c r="H15945">
        <v>12578616</v>
      </c>
      <c r="I15945">
        <v>16526854</v>
      </c>
      <c r="J15945">
        <v>2</v>
      </c>
    </row>
    <row r="15946" spans="1:10" x14ac:dyDescent="0.25">
      <c r="A15946" t="s">
        <v>166</v>
      </c>
      <c r="B15946" s="1" t="str">
        <f>HYPERLINK("http://fortinet.com.cn","fortinet.com.cn")</f>
        <v>fortinet.com.cn</v>
      </c>
      <c r="C15946" t="s">
        <v>431</v>
      </c>
      <c r="D15946" t="s">
        <v>812</v>
      </c>
      <c r="F15946">
        <v>1.9740368805130401E-8</v>
      </c>
      <c r="G15946">
        <v>2702709</v>
      </c>
      <c r="H15946">
        <v>12877942</v>
      </c>
      <c r="I15946">
        <v>14014033</v>
      </c>
      <c r="J15946">
        <v>2</v>
      </c>
    </row>
    <row r="15947" spans="1:10" x14ac:dyDescent="0.25">
      <c r="A15947" t="s">
        <v>166</v>
      </c>
      <c r="B15947" s="1" t="str">
        <f>HYPERLINK("http://923128.com","923128.com")</f>
        <v>923128.com</v>
      </c>
      <c r="C15947" t="s">
        <v>433</v>
      </c>
      <c r="F15947">
        <v>4.6097357609587499E-9</v>
      </c>
      <c r="G15947">
        <v>46863564</v>
      </c>
      <c r="H15947">
        <v>9449205</v>
      </c>
      <c r="I15947">
        <v>66531165</v>
      </c>
      <c r="J15947">
        <v>3</v>
      </c>
    </row>
    <row r="15948" spans="1:10" x14ac:dyDescent="0.25">
      <c r="A15948" t="s">
        <v>166</v>
      </c>
      <c r="B15948" s="1" t="str">
        <f>HYPERLINK("http://carquejaalmonds.com","carquejaalmonds.com")</f>
        <v>carquejaalmonds.com</v>
      </c>
      <c r="C15948" t="s">
        <v>433</v>
      </c>
      <c r="F15948">
        <v>3.1721196230707998E-8</v>
      </c>
      <c r="G15948">
        <v>1627595</v>
      </c>
      <c r="H15948">
        <v>11623277</v>
      </c>
      <c r="I15948">
        <v>29903574</v>
      </c>
      <c r="J15948">
        <v>4</v>
      </c>
    </row>
    <row r="15949" spans="1:10" x14ac:dyDescent="0.25">
      <c r="A15949" t="s">
        <v>166</v>
      </c>
      <c r="B15949" s="1" t="str">
        <f>HYPERLINK("http://coyotepoint.com","coyotepoint.com")</f>
        <v>coyotepoint.com</v>
      </c>
      <c r="C15949" t="s">
        <v>433</v>
      </c>
      <c r="F15949">
        <v>3.0836864134483801E-8</v>
      </c>
      <c r="G15949">
        <v>1670476</v>
      </c>
      <c r="H15949">
        <v>14248613</v>
      </c>
      <c r="I15949">
        <v>1452433</v>
      </c>
      <c r="J15949">
        <v>4</v>
      </c>
    </row>
    <row r="15950" spans="1:10" x14ac:dyDescent="0.25">
      <c r="A15950" t="s">
        <v>166</v>
      </c>
      <c r="B15950" s="1" t="str">
        <f>HYPERLINK("http://ensilo.com","ensilo.com")</f>
        <v>ensilo.com</v>
      </c>
      <c r="C15950" t="s">
        <v>433</v>
      </c>
      <c r="E15950">
        <v>22369</v>
      </c>
      <c r="F15950">
        <v>1.4375068847866399E-7</v>
      </c>
      <c r="G15950">
        <v>270826</v>
      </c>
      <c r="H15950">
        <v>14610084</v>
      </c>
      <c r="I15950">
        <v>677672</v>
      </c>
      <c r="J15950">
        <v>3</v>
      </c>
    </row>
    <row r="15951" spans="1:10" x14ac:dyDescent="0.25">
      <c r="A15951" t="s">
        <v>166</v>
      </c>
      <c r="B15951" s="1" t="str">
        <f>HYPERLINK("http://erwin.com","erwin.com")</f>
        <v>erwin.com</v>
      </c>
      <c r="C15951" t="s">
        <v>433</v>
      </c>
      <c r="E15951">
        <v>295713</v>
      </c>
      <c r="F15951">
        <v>2.6977362799880001E-7</v>
      </c>
      <c r="G15951">
        <v>138063</v>
      </c>
      <c r="H15951">
        <v>17211284</v>
      </c>
      <c r="I15951">
        <v>39826</v>
      </c>
      <c r="J15951">
        <v>7</v>
      </c>
    </row>
    <row r="15952" spans="1:10" x14ac:dyDescent="0.25">
      <c r="A15952" t="s">
        <v>166</v>
      </c>
      <c r="B15952" s="1" t="str">
        <f>HYPERLINK("http://fortiapcloud.com","fortiapcloud.com")</f>
        <v>fortiapcloud.com</v>
      </c>
      <c r="C15952" t="s">
        <v>433</v>
      </c>
      <c r="F15952">
        <v>5.7847733820133198E-9</v>
      </c>
      <c r="G15952">
        <v>18207420</v>
      </c>
      <c r="H15952">
        <v>11928301</v>
      </c>
      <c r="I15952">
        <v>29336891</v>
      </c>
      <c r="J15952">
        <v>2</v>
      </c>
    </row>
    <row r="15953" spans="1:10" x14ac:dyDescent="0.25">
      <c r="A15953" t="s">
        <v>166</v>
      </c>
      <c r="B15953" s="1" t="str">
        <f>HYPERLINK("http://forticloud.com","forticloud.com")</f>
        <v>forticloud.com</v>
      </c>
      <c r="C15953" t="s">
        <v>433</v>
      </c>
      <c r="E15953">
        <v>4865</v>
      </c>
      <c r="F15953">
        <v>4.73343084995886E-8</v>
      </c>
      <c r="G15953">
        <v>984569</v>
      </c>
      <c r="H15953">
        <v>12832743</v>
      </c>
      <c r="I15953">
        <v>14399667</v>
      </c>
      <c r="J15953">
        <v>2</v>
      </c>
    </row>
    <row r="15954" spans="1:10" x14ac:dyDescent="0.25">
      <c r="A15954" t="s">
        <v>166</v>
      </c>
      <c r="B15954" s="1" t="str">
        <f>HYPERLINK("http://fortiguard.com","fortiguard.com")</f>
        <v>fortiguard.com</v>
      </c>
      <c r="C15954" t="s">
        <v>433</v>
      </c>
      <c r="E15954">
        <v>25951</v>
      </c>
      <c r="F15954">
        <v>1.28235882850266E-6</v>
      </c>
      <c r="G15954">
        <v>30304</v>
      </c>
      <c r="H15954">
        <v>15946837</v>
      </c>
      <c r="I15954">
        <v>366814</v>
      </c>
      <c r="J15954">
        <v>2</v>
      </c>
    </row>
    <row r="15955" spans="1:10" x14ac:dyDescent="0.25">
      <c r="A15955" t="s">
        <v>166</v>
      </c>
      <c r="B15955" s="1" t="str">
        <f>HYPERLINK("http://fortinet.com","fortinet.com")</f>
        <v>fortinet.com</v>
      </c>
      <c r="C15955" t="s">
        <v>433</v>
      </c>
      <c r="E15955">
        <v>3612</v>
      </c>
      <c r="F15955">
        <v>6.8600106816850502E-6</v>
      </c>
      <c r="G15955">
        <v>4899</v>
      </c>
      <c r="H15955">
        <v>18131962</v>
      </c>
      <c r="I15955">
        <v>2992</v>
      </c>
      <c r="J15955">
        <v>1</v>
      </c>
    </row>
    <row r="15956" spans="1:10" x14ac:dyDescent="0.25">
      <c r="A15956" t="s">
        <v>166</v>
      </c>
      <c r="B15956" s="1" t="str">
        <f>HYPERLINK("http://fortinet-us.com","fortinet-us.com")</f>
        <v>fortinet-us.com</v>
      </c>
      <c r="C15956" t="s">
        <v>433</v>
      </c>
      <c r="E15956">
        <v>151615</v>
      </c>
      <c r="F15956">
        <v>6.3679361904727503E-9</v>
      </c>
      <c r="G15956">
        <v>14675687</v>
      </c>
      <c r="H15956">
        <v>12576312</v>
      </c>
      <c r="I15956">
        <v>16552576</v>
      </c>
      <c r="J15956">
        <v>2</v>
      </c>
    </row>
    <row r="15957" spans="1:10" x14ac:dyDescent="0.25">
      <c r="A15957" t="s">
        <v>166</v>
      </c>
      <c r="B15957" s="1" t="str">
        <f>HYPERLINK("http://fortivoice.com","fortivoice.com")</f>
        <v>fortivoice.com</v>
      </c>
      <c r="C15957" t="s">
        <v>433</v>
      </c>
      <c r="F15957">
        <v>7.9640206581554501E-9</v>
      </c>
      <c r="G15957">
        <v>9987488</v>
      </c>
      <c r="H15957">
        <v>12152900</v>
      </c>
      <c r="I15957">
        <v>24555034</v>
      </c>
      <c r="J15957">
        <v>2</v>
      </c>
    </row>
    <row r="15958" spans="1:10" x14ac:dyDescent="0.25">
      <c r="A15958" t="s">
        <v>166</v>
      </c>
      <c r="B15958" s="1" t="str">
        <f>HYPERLINK("http://freenbawinner.com","freenbawinner.com")</f>
        <v>freenbawinner.com</v>
      </c>
      <c r="C15958" t="s">
        <v>433</v>
      </c>
      <c r="F15958">
        <v>4.4652158497200398E-9</v>
      </c>
      <c r="G15958">
        <v>66204868</v>
      </c>
      <c r="H15958">
        <v>7141250.5</v>
      </c>
      <c r="I15958">
        <v>76534255</v>
      </c>
      <c r="J15958">
        <v>3</v>
      </c>
    </row>
    <row r="15959" spans="1:10" x14ac:dyDescent="0.25">
      <c r="A15959" t="s">
        <v>166</v>
      </c>
      <c r="B15959" s="1" t="str">
        <f>HYPERLINK("http://hichenghl.com","hichenghl.com")</f>
        <v>hichenghl.com</v>
      </c>
      <c r="C15959" t="s">
        <v>433</v>
      </c>
      <c r="F15959">
        <v>4.44380395335525E-9</v>
      </c>
      <c r="G15959">
        <v>81937311</v>
      </c>
      <c r="H15959">
        <v>0</v>
      </c>
      <c r="I15959">
        <v>82431861</v>
      </c>
      <c r="J15959">
        <v>6</v>
      </c>
    </row>
    <row r="15960" spans="1:10" x14ac:dyDescent="0.25">
      <c r="A15960" t="s">
        <v>166</v>
      </c>
      <c r="B15960" s="1" t="str">
        <f>HYPERLINK("http://intruguard.com","intruguard.com")</f>
        <v>intruguard.com</v>
      </c>
      <c r="C15960" t="s">
        <v>433</v>
      </c>
      <c r="F15960">
        <v>5.8377580731929902E-9</v>
      </c>
      <c r="G15960">
        <v>17801233</v>
      </c>
      <c r="H15960">
        <v>12579862</v>
      </c>
      <c r="I15960">
        <v>16515141</v>
      </c>
      <c r="J15960">
        <v>4</v>
      </c>
    </row>
    <row r="15961" spans="1:10" x14ac:dyDescent="0.25">
      <c r="A15961" t="s">
        <v>166</v>
      </c>
      <c r="B15961" s="1" t="str">
        <f>HYPERLINK("http://myfortinet.com","myfortinet.com")</f>
        <v>myfortinet.com</v>
      </c>
      <c r="C15961" t="s">
        <v>433</v>
      </c>
      <c r="E15961">
        <v>439012</v>
      </c>
      <c r="F15961">
        <v>7.6925011250198507E-9</v>
      </c>
      <c r="G15961">
        <v>10598669</v>
      </c>
      <c r="H15961">
        <v>12576714</v>
      </c>
      <c r="I15961">
        <v>16549612</v>
      </c>
      <c r="J15961">
        <v>2</v>
      </c>
    </row>
    <row r="15962" spans="1:10" x14ac:dyDescent="0.25">
      <c r="A15962" t="s">
        <v>166</v>
      </c>
      <c r="B15962" s="1" t="str">
        <f>HYPERLINK("http://panopta.com","panopta.com")</f>
        <v>panopta.com</v>
      </c>
      <c r="C15962" t="s">
        <v>433</v>
      </c>
      <c r="E15962">
        <v>240459</v>
      </c>
      <c r="F15962">
        <v>1.46850026807925E-7</v>
      </c>
      <c r="G15962">
        <v>265131</v>
      </c>
      <c r="H15962">
        <v>14589161</v>
      </c>
      <c r="I15962">
        <v>697218</v>
      </c>
      <c r="J15962">
        <v>3</v>
      </c>
    </row>
    <row r="15963" spans="1:10" x14ac:dyDescent="0.25">
      <c r="A15963" t="s">
        <v>166</v>
      </c>
      <c r="B15963" s="1" t="str">
        <f>HYPERLINK("http://shieldx.com","shieldx.com")</f>
        <v>shieldx.com</v>
      </c>
      <c r="C15963" t="s">
        <v>433</v>
      </c>
      <c r="F15963">
        <v>5.7105547495124897E-8</v>
      </c>
      <c r="G15963">
        <v>781635</v>
      </c>
      <c r="H15963">
        <v>13814080</v>
      </c>
      <c r="I15963">
        <v>6176642</v>
      </c>
      <c r="J15963">
        <v>2</v>
      </c>
    </row>
    <row r="15964" spans="1:10" x14ac:dyDescent="0.25">
      <c r="A15964" t="s">
        <v>166</v>
      </c>
      <c r="B15964" s="1" t="str">
        <f>HYPERLINK("http://talkswitch.com","talkswitch.com")</f>
        <v>talkswitch.com</v>
      </c>
      <c r="C15964" t="s">
        <v>433</v>
      </c>
      <c r="E15964">
        <v>707530</v>
      </c>
      <c r="F15964">
        <v>1.6731789850662599E-8</v>
      </c>
      <c r="G15964">
        <v>3350853</v>
      </c>
      <c r="H15964">
        <v>13983716</v>
      </c>
      <c r="I15964">
        <v>4043850</v>
      </c>
      <c r="J15964">
        <v>4</v>
      </c>
    </row>
    <row r="15965" spans="1:10" x14ac:dyDescent="0.25">
      <c r="A15965" t="s">
        <v>166</v>
      </c>
      <c r="B15965" s="1" t="str">
        <f>HYPERLINK("http://yuanjiandlkj.com","yuanjiandlkj.com")</f>
        <v>yuanjiandlkj.com</v>
      </c>
      <c r="C15965" t="s">
        <v>433</v>
      </c>
      <c r="F15965">
        <v>4.4984578237450602E-9</v>
      </c>
      <c r="G15965">
        <v>59171442</v>
      </c>
      <c r="H15965">
        <v>10593980</v>
      </c>
      <c r="I15965">
        <v>45383666</v>
      </c>
      <c r="J15965">
        <v>6</v>
      </c>
    </row>
    <row r="15966" spans="1:10" x14ac:dyDescent="0.25">
      <c r="A15966" t="s">
        <v>166</v>
      </c>
      <c r="B15966" s="1" t="str">
        <f>HYPERLINK("http://fortinet.de","fortinet.de")</f>
        <v>fortinet.de</v>
      </c>
      <c r="C15966" t="s">
        <v>436</v>
      </c>
      <c r="D15966" t="s">
        <v>815</v>
      </c>
      <c r="F15966">
        <v>1.4146647221938201E-8</v>
      </c>
      <c r="G15966">
        <v>4148551</v>
      </c>
      <c r="H15966">
        <v>13081604</v>
      </c>
      <c r="I15966">
        <v>12181167</v>
      </c>
      <c r="J15966">
        <v>2</v>
      </c>
    </row>
    <row r="15967" spans="1:10" x14ac:dyDescent="0.25">
      <c r="A15967" t="s">
        <v>166</v>
      </c>
      <c r="B15967" s="1" t="str">
        <f>HYPERLINK("http://fortinet.fi","fortinet.fi")</f>
        <v>fortinet.fi</v>
      </c>
      <c r="C15967" t="s">
        <v>445</v>
      </c>
      <c r="D15967" t="s">
        <v>823</v>
      </c>
      <c r="J15967">
        <v>2</v>
      </c>
    </row>
    <row r="15968" spans="1:10" x14ac:dyDescent="0.25">
      <c r="A15968" t="s">
        <v>166</v>
      </c>
      <c r="B15968" s="1" t="str">
        <f>HYPERLINK("http://fortinet.fr","fortinet.fr")</f>
        <v>fortinet.fr</v>
      </c>
      <c r="C15968" t="s">
        <v>446</v>
      </c>
      <c r="D15968" t="s">
        <v>824</v>
      </c>
      <c r="F15968">
        <v>1.46427986720641E-8</v>
      </c>
      <c r="G15968">
        <v>3961056</v>
      </c>
      <c r="H15968">
        <v>13771341</v>
      </c>
      <c r="I15968">
        <v>6697132</v>
      </c>
      <c r="J15968">
        <v>2</v>
      </c>
    </row>
    <row r="15969" spans="1:10" x14ac:dyDescent="0.25">
      <c r="A15969" t="s">
        <v>166</v>
      </c>
      <c r="B15969" s="1" t="str">
        <f>HYPERLINK("http://fortinet.co.jp","fortinet.co.jp")</f>
        <v>fortinet.co.jp</v>
      </c>
      <c r="C15969" t="s">
        <v>461</v>
      </c>
      <c r="D15969" t="s">
        <v>837</v>
      </c>
      <c r="F15969">
        <v>3.2177808568516401E-8</v>
      </c>
      <c r="G15969">
        <v>1607461</v>
      </c>
      <c r="H15969">
        <v>14097298</v>
      </c>
      <c r="I15969">
        <v>2721479</v>
      </c>
      <c r="J15969">
        <v>2</v>
      </c>
    </row>
    <row r="15970" spans="1:10" x14ac:dyDescent="0.25">
      <c r="A15970" t="s">
        <v>166</v>
      </c>
      <c r="B15970" s="1" t="str">
        <f>HYPERLINK("http://fortiguard.net","fortiguard.net")</f>
        <v>fortiguard.net</v>
      </c>
      <c r="C15970" t="s">
        <v>474</v>
      </c>
      <c r="E15970">
        <v>65445</v>
      </c>
      <c r="F15970">
        <v>4.44380996400719E-9</v>
      </c>
      <c r="G15970">
        <v>79640968</v>
      </c>
      <c r="H15970">
        <v>10351910</v>
      </c>
      <c r="I15970">
        <v>56146988</v>
      </c>
      <c r="J15970">
        <v>2</v>
      </c>
    </row>
    <row r="15971" spans="1:10" x14ac:dyDescent="0.25">
      <c r="A15971" t="s">
        <v>166</v>
      </c>
      <c r="B15971" s="1" t="str">
        <f>HYPERLINK("http://fortinet.net","fortinet.net")</f>
        <v>fortinet.net</v>
      </c>
      <c r="C15971" t="s">
        <v>474</v>
      </c>
      <c r="E15971">
        <v>757</v>
      </c>
      <c r="F15971">
        <v>8.9380705148254694E-8</v>
      </c>
      <c r="G15971">
        <v>457077</v>
      </c>
      <c r="H15971">
        <v>13902228</v>
      </c>
      <c r="I15971">
        <v>5949067</v>
      </c>
      <c r="J15971">
        <v>2</v>
      </c>
    </row>
    <row r="15972" spans="1:10" x14ac:dyDescent="0.25">
      <c r="A15972" t="s">
        <v>166</v>
      </c>
      <c r="B15972" s="1" t="str">
        <f>HYPERLINK("http://fortinet.com.tw","fortinet.com.tw")</f>
        <v>fortinet.com.tw</v>
      </c>
      <c r="C15972" t="s">
        <v>504</v>
      </c>
      <c r="D15972" t="s">
        <v>878</v>
      </c>
      <c r="F15972">
        <v>9.4540022808635493E-9</v>
      </c>
      <c r="G15972">
        <v>7377876</v>
      </c>
      <c r="H15972">
        <v>13765510</v>
      </c>
      <c r="I15972">
        <v>7096726</v>
      </c>
      <c r="J15972">
        <v>2</v>
      </c>
    </row>
    <row r="15973" spans="1:10" x14ac:dyDescent="0.25">
      <c r="A15973" t="s">
        <v>167</v>
      </c>
      <c r="B15973" s="1" t="str">
        <f>HYPERLINK("http://haitian-food.com","haitian-food.com")</f>
        <v>haitian-food.com</v>
      </c>
      <c r="C15973" t="s">
        <v>433</v>
      </c>
      <c r="F15973">
        <v>2.35024550904769E-8</v>
      </c>
      <c r="G15973">
        <v>2214484</v>
      </c>
      <c r="H15973">
        <v>13381743</v>
      </c>
      <c r="I15973">
        <v>10421711</v>
      </c>
      <c r="J15973">
        <v>1</v>
      </c>
    </row>
    <row r="15974" spans="1:10" x14ac:dyDescent="0.25">
      <c r="A15974" t="s">
        <v>168</v>
      </c>
      <c r="B15974" s="1" t="str">
        <f>HYPERLINK("http://climaxmolybdenum.com","climaxmolybdenum.com")</f>
        <v>climaxmolybdenum.com</v>
      </c>
      <c r="C15974" t="s">
        <v>433</v>
      </c>
      <c r="F15974">
        <v>3.6992813937523498E-8</v>
      </c>
      <c r="G15974">
        <v>1402703</v>
      </c>
      <c r="H15974">
        <v>14261884</v>
      </c>
      <c r="I15974">
        <v>1416118</v>
      </c>
      <c r="J15974">
        <v>3</v>
      </c>
    </row>
    <row r="15975" spans="1:10" x14ac:dyDescent="0.25">
      <c r="A15975" t="s">
        <v>168</v>
      </c>
      <c r="B15975" s="1" t="str">
        <f>HYPERLINK("http://fcx.com","fcx.com")</f>
        <v>fcx.com</v>
      </c>
      <c r="C15975" t="s">
        <v>433</v>
      </c>
      <c r="E15975">
        <v>165024</v>
      </c>
      <c r="F15975">
        <v>2.8165154291197498E-7</v>
      </c>
      <c r="G15975">
        <v>132026</v>
      </c>
      <c r="H15975">
        <v>15068812</v>
      </c>
      <c r="I15975">
        <v>411323</v>
      </c>
      <c r="J15975">
        <v>1</v>
      </c>
    </row>
    <row r="15976" spans="1:10" x14ac:dyDescent="0.25">
      <c r="A15976" t="s">
        <v>168</v>
      </c>
      <c r="B15976" s="1" t="str">
        <f>HYPERLINK("http://fmi.com","fmi.com")</f>
        <v>fmi.com</v>
      </c>
      <c r="C15976" t="s">
        <v>433</v>
      </c>
      <c r="E15976">
        <v>97874</v>
      </c>
      <c r="F15976">
        <v>1.41065403742533E-8</v>
      </c>
      <c r="G15976">
        <v>4163278</v>
      </c>
      <c r="H15976">
        <v>13936100</v>
      </c>
      <c r="I15976">
        <v>4505456</v>
      </c>
      <c r="J15976">
        <v>4</v>
      </c>
    </row>
    <row r="15977" spans="1:10" x14ac:dyDescent="0.25">
      <c r="A15977" t="s">
        <v>168</v>
      </c>
      <c r="B15977" s="1" t="str">
        <f>HYPERLINK("http://atlantic-copper.es","atlantic-copper.es")</f>
        <v>atlantic-copper.es</v>
      </c>
      <c r="C15977" t="s">
        <v>443</v>
      </c>
      <c r="D15977" t="s">
        <v>822</v>
      </c>
      <c r="F15977">
        <v>2.2234112691794901E-8</v>
      </c>
      <c r="G15977">
        <v>2358548</v>
      </c>
      <c r="H15977">
        <v>14081207</v>
      </c>
      <c r="I15977">
        <v>2812507</v>
      </c>
      <c r="J15977">
        <v>3</v>
      </c>
    </row>
    <row r="15978" spans="1:10" x14ac:dyDescent="0.25">
      <c r="A15978" t="s">
        <v>168</v>
      </c>
      <c r="B15978" s="1" t="str">
        <f>HYPERLINK("http://ptfi.co.id","ptfi.co.id")</f>
        <v>ptfi.co.id</v>
      </c>
      <c r="C15978" t="s">
        <v>454</v>
      </c>
      <c r="D15978" t="s">
        <v>831</v>
      </c>
      <c r="F15978">
        <v>3.84484009360301E-8</v>
      </c>
      <c r="G15978">
        <v>1342050</v>
      </c>
      <c r="H15978">
        <v>14820420</v>
      </c>
      <c r="I15978">
        <v>517344</v>
      </c>
      <c r="J15978">
        <v>3</v>
      </c>
    </row>
    <row r="15979" spans="1:10" x14ac:dyDescent="0.25">
      <c r="A15979" t="s">
        <v>168</v>
      </c>
      <c r="B15979" s="1" t="str">
        <f>HYPERLINK("http://cerroverde.pe","cerroverde.pe")</f>
        <v>cerroverde.pe</v>
      </c>
      <c r="C15979" t="s">
        <v>483</v>
      </c>
      <c r="D15979" t="s">
        <v>857</v>
      </c>
      <c r="F15979">
        <v>2.17043987581029E-8</v>
      </c>
      <c r="G15979">
        <v>2423293</v>
      </c>
      <c r="H15979">
        <v>12428352</v>
      </c>
      <c r="I15979">
        <v>18326937</v>
      </c>
      <c r="J15979">
        <v>3</v>
      </c>
    </row>
    <row r="15980" spans="1:10" x14ac:dyDescent="0.25">
      <c r="A15980" t="s">
        <v>1617</v>
      </c>
      <c r="B15980" s="1" t="str">
        <f>HYPERLINK("http://gskpro.com.ar","gskpro.com.ar")</f>
        <v>gskpro.com.ar</v>
      </c>
      <c r="C15980" t="s">
        <v>418</v>
      </c>
      <c r="D15980" t="s">
        <v>800</v>
      </c>
      <c r="F15980">
        <v>6.3373090748389401E-9</v>
      </c>
      <c r="G15980">
        <v>14825549</v>
      </c>
      <c r="H15980">
        <v>10866453</v>
      </c>
      <c r="I15980">
        <v>36567115</v>
      </c>
      <c r="J15980">
        <v>4</v>
      </c>
    </row>
    <row r="15981" spans="1:10" x14ac:dyDescent="0.25">
      <c r="A15981" t="s">
        <v>1617</v>
      </c>
      <c r="B15981" s="1" t="str">
        <f>HYPERLINK("http://gsk.com.au","gsk.com.au")</f>
        <v>gsk.com.au</v>
      </c>
      <c r="C15981" t="s">
        <v>420</v>
      </c>
      <c r="D15981" t="s">
        <v>802</v>
      </c>
      <c r="F15981">
        <v>2.6709578144920399E-8</v>
      </c>
      <c r="G15981">
        <v>1926915</v>
      </c>
      <c r="H15981">
        <v>14496381</v>
      </c>
      <c r="I15981">
        <v>871119</v>
      </c>
      <c r="J15981">
        <v>2</v>
      </c>
    </row>
    <row r="15982" spans="1:10" x14ac:dyDescent="0.25">
      <c r="A15982" t="s">
        <v>1617</v>
      </c>
      <c r="B15982" s="1" t="str">
        <f>HYPERLINK("http://viivhealthcare.com.au","viivhealthcare.com.au")</f>
        <v>viivhealthcare.com.au</v>
      </c>
      <c r="C15982" t="s">
        <v>420</v>
      </c>
      <c r="D15982" t="s">
        <v>802</v>
      </c>
      <c r="F15982">
        <v>6.32524674252086E-9</v>
      </c>
      <c r="G15982">
        <v>14912525</v>
      </c>
      <c r="H15982">
        <v>12626469</v>
      </c>
      <c r="I15982">
        <v>16020295</v>
      </c>
      <c r="J15982">
        <v>4</v>
      </c>
    </row>
    <row r="15983" spans="1:10" x14ac:dyDescent="0.25">
      <c r="A15983" t="s">
        <v>1617</v>
      </c>
      <c r="B15983" s="1" t="str">
        <f>HYPERLINK("http://gsk.be","gsk.be")</f>
        <v>gsk.be</v>
      </c>
      <c r="C15983" t="s">
        <v>421</v>
      </c>
      <c r="D15983" t="s">
        <v>803</v>
      </c>
      <c r="F15983">
        <v>1.40642822102563E-8</v>
      </c>
      <c r="G15983">
        <v>4178806</v>
      </c>
      <c r="H15983">
        <v>12581374</v>
      </c>
      <c r="I15983">
        <v>16493526</v>
      </c>
      <c r="J15983">
        <v>2</v>
      </c>
    </row>
    <row r="15984" spans="1:10" x14ac:dyDescent="0.25">
      <c r="A15984" t="s">
        <v>1617</v>
      </c>
      <c r="B15984" s="1" t="str">
        <f>HYPERLINK("http://galvani.bio","galvani.bio")</f>
        <v>galvani.bio</v>
      </c>
      <c r="C15984" t="s">
        <v>728</v>
      </c>
      <c r="F15984">
        <v>3.6649041503919299E-8</v>
      </c>
      <c r="G15984">
        <v>1425521</v>
      </c>
      <c r="H15984">
        <v>14540169</v>
      </c>
      <c r="I15984">
        <v>775650</v>
      </c>
      <c r="J15984">
        <v>3</v>
      </c>
    </row>
    <row r="15985" spans="1:10" x14ac:dyDescent="0.25">
      <c r="A15985" t="s">
        <v>1617</v>
      </c>
      <c r="B15985" s="1" t="str">
        <f>HYPERLINK("http://gsk.com.br","gsk.com.br")</f>
        <v>gsk.com.br</v>
      </c>
      <c r="C15985" t="s">
        <v>425</v>
      </c>
      <c r="D15985" t="s">
        <v>806</v>
      </c>
      <c r="F15985">
        <v>1.26684484392392E-8</v>
      </c>
      <c r="G15985">
        <v>4795417</v>
      </c>
      <c r="H15985">
        <v>14237370</v>
      </c>
      <c r="I15985">
        <v>1552919</v>
      </c>
      <c r="J15985">
        <v>2</v>
      </c>
    </row>
    <row r="15986" spans="1:10" x14ac:dyDescent="0.25">
      <c r="A15986" t="s">
        <v>1617</v>
      </c>
      <c r="B15986" s="1" t="str">
        <f>HYPERLINK("http://stiefel.com.br","stiefel.com.br")</f>
        <v>stiefel.com.br</v>
      </c>
      <c r="C15986" t="s">
        <v>425</v>
      </c>
      <c r="D15986" t="s">
        <v>806</v>
      </c>
      <c r="F15986">
        <v>5.2555625480582799E-9</v>
      </c>
      <c r="G15986">
        <v>24172905</v>
      </c>
      <c r="H15986">
        <v>13933065</v>
      </c>
      <c r="I15986">
        <v>4995125</v>
      </c>
      <c r="J15986">
        <v>3</v>
      </c>
    </row>
    <row r="15987" spans="1:10" x14ac:dyDescent="0.25">
      <c r="A15987" t="s">
        <v>1617</v>
      </c>
      <c r="B15987" s="1" t="str">
        <f>HYPERLINK("http://gsk.ca","gsk.ca")</f>
        <v>gsk.ca</v>
      </c>
      <c r="C15987" t="s">
        <v>428</v>
      </c>
      <c r="D15987" t="s">
        <v>809</v>
      </c>
      <c r="F15987">
        <v>4.7882785710003703E-8</v>
      </c>
      <c r="G15987">
        <v>971583</v>
      </c>
      <c r="H15987">
        <v>14557876</v>
      </c>
      <c r="I15987">
        <v>749330</v>
      </c>
      <c r="J15987">
        <v>2</v>
      </c>
    </row>
    <row r="15988" spans="1:10" x14ac:dyDescent="0.25">
      <c r="A15988" t="s">
        <v>1617</v>
      </c>
      <c r="B15988" s="1" t="str">
        <f>HYPERLINK("http://viivhealthcare.ca","viivhealthcare.ca")</f>
        <v>viivhealthcare.ca</v>
      </c>
      <c r="C15988" t="s">
        <v>428</v>
      </c>
      <c r="D15988" t="s">
        <v>809</v>
      </c>
      <c r="F15988">
        <v>1.12901345105878E-8</v>
      </c>
      <c r="G15988">
        <v>5649347</v>
      </c>
      <c r="H15988">
        <v>14075200</v>
      </c>
      <c r="I15988">
        <v>2915571</v>
      </c>
      <c r="J15988">
        <v>4</v>
      </c>
    </row>
    <row r="15989" spans="1:10" x14ac:dyDescent="0.25">
      <c r="A15989" t="s">
        <v>1617</v>
      </c>
      <c r="B15989" s="1" t="str">
        <f>HYPERLINK("http://glaxosmithkline.ch","glaxosmithkline.ch")</f>
        <v>glaxosmithkline.ch</v>
      </c>
      <c r="C15989" t="s">
        <v>429</v>
      </c>
      <c r="D15989" t="s">
        <v>810</v>
      </c>
      <c r="F15989">
        <v>2.7514228161151199E-8</v>
      </c>
      <c r="G15989">
        <v>1868531</v>
      </c>
      <c r="H15989">
        <v>14383990</v>
      </c>
      <c r="I15989">
        <v>1184249</v>
      </c>
      <c r="J15989">
        <v>3</v>
      </c>
    </row>
    <row r="15990" spans="1:10" x14ac:dyDescent="0.25">
      <c r="A15990" t="s">
        <v>1617</v>
      </c>
      <c r="B15990" s="1" t="str">
        <f>HYPERLINK("http://actionpotentialvc.com","actionpotentialvc.com")</f>
        <v>actionpotentialvc.com</v>
      </c>
      <c r="C15990" t="s">
        <v>433</v>
      </c>
      <c r="F15990">
        <v>9.4066192564285397E-9</v>
      </c>
      <c r="G15990">
        <v>7436418</v>
      </c>
      <c r="H15990">
        <v>13213334</v>
      </c>
      <c r="I15990">
        <v>11391465</v>
      </c>
      <c r="J15990">
        <v>3</v>
      </c>
    </row>
    <row r="15991" spans="1:10" x14ac:dyDescent="0.25">
      <c r="A15991" t="s">
        <v>1617</v>
      </c>
      <c r="B15991" s="1" t="str">
        <f>HYPERLINK("http://affinivax.com","affinivax.com")</f>
        <v>affinivax.com</v>
      </c>
      <c r="C15991" t="s">
        <v>433</v>
      </c>
      <c r="F15991">
        <v>3.6226440478977297E-8</v>
      </c>
      <c r="G15991">
        <v>1439636</v>
      </c>
      <c r="H15991">
        <v>14084857</v>
      </c>
      <c r="I15991">
        <v>2784009</v>
      </c>
      <c r="J15991">
        <v>3</v>
      </c>
    </row>
    <row r="15992" spans="1:10" x14ac:dyDescent="0.25">
      <c r="A15992" t="s">
        <v>1617</v>
      </c>
      <c r="B15992" s="1" t="str">
        <f>HYPERLINK("http://amoun.com","amoun.com")</f>
        <v>amoun.com</v>
      </c>
      <c r="C15992" t="s">
        <v>433</v>
      </c>
      <c r="F15992">
        <v>1.36773638437541E-8</v>
      </c>
      <c r="G15992">
        <v>4330211</v>
      </c>
      <c r="H15992">
        <v>14082395</v>
      </c>
      <c r="I15992">
        <v>2800877</v>
      </c>
      <c r="J15992">
        <v>3</v>
      </c>
    </row>
    <row r="15993" spans="1:10" x14ac:dyDescent="0.25">
      <c r="A15993" t="s">
        <v>1617</v>
      </c>
      <c r="B15993" s="1" t="str">
        <f>HYPERLINK("http://aquafresh.com","aquafresh.com")</f>
        <v>aquafresh.com</v>
      </c>
      <c r="C15993" t="s">
        <v>433</v>
      </c>
      <c r="E15993">
        <v>637384</v>
      </c>
      <c r="F15993">
        <v>5.4966066821957601E-8</v>
      </c>
      <c r="G15993">
        <v>818268</v>
      </c>
      <c r="H15993">
        <v>14250181</v>
      </c>
      <c r="I15993">
        <v>1447507</v>
      </c>
      <c r="J15993">
        <v>3</v>
      </c>
    </row>
    <row r="15994" spans="1:10" x14ac:dyDescent="0.25">
      <c r="A15994" t="s">
        <v>1617</v>
      </c>
      <c r="B15994" s="1" t="str">
        <f>HYPERLINK("http://axontherapies.com","axontherapies.com")</f>
        <v>axontherapies.com</v>
      </c>
      <c r="C15994" t="s">
        <v>433</v>
      </c>
      <c r="F15994">
        <v>6.7530178804343E-9</v>
      </c>
      <c r="G15994">
        <v>13118913</v>
      </c>
      <c r="H15994">
        <v>13161426</v>
      </c>
      <c r="I15994">
        <v>11778605</v>
      </c>
      <c r="J15994">
        <v>3</v>
      </c>
    </row>
    <row r="15995" spans="1:10" x14ac:dyDescent="0.25">
      <c r="A15995" t="s">
        <v>1617</v>
      </c>
      <c r="B15995" s="1" t="str">
        <f>HYPERLINK("http://coulterpharm.com","coulterpharm.com")</f>
        <v>coulterpharm.com</v>
      </c>
      <c r="C15995" t="s">
        <v>433</v>
      </c>
      <c r="F15995">
        <v>4.5453319133971903E-9</v>
      </c>
      <c r="G15995">
        <v>52695024</v>
      </c>
      <c r="H15995">
        <v>10552916</v>
      </c>
      <c r="I15995">
        <v>46602077</v>
      </c>
      <c r="J15995">
        <v>3</v>
      </c>
    </row>
    <row r="15996" spans="1:10" x14ac:dyDescent="0.25">
      <c r="A15996" t="s">
        <v>1617</v>
      </c>
      <c r="B15996" s="1" t="str">
        <f>HYPERLINK("http://glycovaxyn.com","glycovaxyn.com")</f>
        <v>glycovaxyn.com</v>
      </c>
      <c r="C15996" t="s">
        <v>433</v>
      </c>
      <c r="F15996">
        <v>7.2493001531246597E-9</v>
      </c>
      <c r="G15996">
        <v>11607524</v>
      </c>
      <c r="H15996">
        <v>12665999</v>
      </c>
      <c r="I15996">
        <v>15655553</v>
      </c>
      <c r="J15996">
        <v>3</v>
      </c>
    </row>
    <row r="15997" spans="1:10" x14ac:dyDescent="0.25">
      <c r="A15997" t="s">
        <v>1617</v>
      </c>
      <c r="B15997" s="1" t="str">
        <f>HYPERLINK("http://gsk.com","gsk.com")</f>
        <v>gsk.com</v>
      </c>
      <c r="C15997" t="s">
        <v>433</v>
      </c>
      <c r="E15997">
        <v>6453</v>
      </c>
      <c r="F15997">
        <v>5.0022731583842902E-6</v>
      </c>
      <c r="G15997">
        <v>6947</v>
      </c>
      <c r="H15997">
        <v>17631216</v>
      </c>
      <c r="I15997">
        <v>8837</v>
      </c>
      <c r="J15997">
        <v>1</v>
      </c>
    </row>
    <row r="15998" spans="1:10" x14ac:dyDescent="0.25">
      <c r="A15998" t="s">
        <v>1617</v>
      </c>
      <c r="B15998" s="1" t="str">
        <f>HYPERLINK("http://gsk-china.com","gsk-china.com")</f>
        <v>gsk-china.com</v>
      </c>
      <c r="C15998" t="s">
        <v>433</v>
      </c>
      <c r="F15998">
        <v>1.33110877596411E-7</v>
      </c>
      <c r="G15998">
        <v>293519</v>
      </c>
      <c r="H15998">
        <v>14344697</v>
      </c>
      <c r="I15998">
        <v>1313112</v>
      </c>
      <c r="J15998">
        <v>3</v>
      </c>
    </row>
    <row r="15999" spans="1:10" x14ac:dyDescent="0.25">
      <c r="A15999" t="s">
        <v>1617</v>
      </c>
      <c r="B15999" s="1" t="str">
        <f>HYPERLINK("http://gskpro.com","gskpro.com")</f>
        <v>gskpro.com</v>
      </c>
      <c r="C15999" t="s">
        <v>433</v>
      </c>
      <c r="E15999">
        <v>89926</v>
      </c>
      <c r="F15999">
        <v>6.1037681333530802E-7</v>
      </c>
      <c r="G15999">
        <v>62668</v>
      </c>
      <c r="H15999">
        <v>14766218</v>
      </c>
      <c r="I15999">
        <v>558954</v>
      </c>
      <c r="J15999">
        <v>3</v>
      </c>
    </row>
    <row r="16000" spans="1:10" x14ac:dyDescent="0.25">
      <c r="A16000" t="s">
        <v>1617</v>
      </c>
      <c r="B16000" s="1" t="str">
        <f>HYPERLINK("http://hgsi.com","hgsi.com")</f>
        <v>hgsi.com</v>
      </c>
      <c r="C16000" t="s">
        <v>433</v>
      </c>
      <c r="E16000">
        <v>805800</v>
      </c>
      <c r="F16000">
        <v>4.2381369883814198E-8</v>
      </c>
      <c r="G16000">
        <v>1145861</v>
      </c>
      <c r="H16000">
        <v>14538973</v>
      </c>
      <c r="I16000">
        <v>776886</v>
      </c>
      <c r="J16000">
        <v>4</v>
      </c>
    </row>
    <row r="16001" spans="1:10" x14ac:dyDescent="0.25">
      <c r="A16001" t="s">
        <v>1617</v>
      </c>
      <c r="B16001" s="1" t="str">
        <f>HYPERLINK("http://phazyme.com","phazyme.com")</f>
        <v>phazyme.com</v>
      </c>
      <c r="C16001" t="s">
        <v>433</v>
      </c>
      <c r="F16001">
        <v>1.32833015337653E-8</v>
      </c>
      <c r="G16001">
        <v>4500828</v>
      </c>
      <c r="H16001">
        <v>13433254</v>
      </c>
      <c r="I16001">
        <v>10275367</v>
      </c>
      <c r="J16001">
        <v>3</v>
      </c>
    </row>
    <row r="16002" spans="1:10" x14ac:dyDescent="0.25">
      <c r="A16002" t="s">
        <v>1617</v>
      </c>
      <c r="B16002" s="1" t="str">
        <f>HYPERLINK("http://stiefel.com","stiefel.com")</f>
        <v>stiefel.com</v>
      </c>
      <c r="C16002" t="s">
        <v>433</v>
      </c>
      <c r="F16002">
        <v>3.1285899427744899E-8</v>
      </c>
      <c r="G16002">
        <v>1648183</v>
      </c>
      <c r="H16002">
        <v>14227985</v>
      </c>
      <c r="I16002">
        <v>1676989</v>
      </c>
      <c r="J16002">
        <v>3</v>
      </c>
    </row>
    <row r="16003" spans="1:10" x14ac:dyDescent="0.25">
      <c r="A16003" t="s">
        <v>1617</v>
      </c>
      <c r="B16003" s="1" t="str">
        <f>HYPERLINK("http://temperopharma.com","temperopharma.com")</f>
        <v>temperopharma.com</v>
      </c>
      <c r="C16003" t="s">
        <v>433</v>
      </c>
      <c r="F16003">
        <v>4.5787551810149598E-9</v>
      </c>
      <c r="G16003">
        <v>49394073</v>
      </c>
      <c r="H16003">
        <v>11358710</v>
      </c>
      <c r="I16003">
        <v>30364416</v>
      </c>
      <c r="J16003">
        <v>4</v>
      </c>
    </row>
    <row r="16004" spans="1:10" x14ac:dyDescent="0.25">
      <c r="A16004" t="s">
        <v>1617</v>
      </c>
      <c r="B16004" s="1" t="str">
        <f>HYPERLINK("http://tesarobio.com","tesarobio.com")</f>
        <v>tesarobio.com</v>
      </c>
      <c r="C16004" t="s">
        <v>433</v>
      </c>
      <c r="F16004">
        <v>6.3658456404425304E-8</v>
      </c>
      <c r="G16004">
        <v>681928</v>
      </c>
      <c r="H16004">
        <v>14605725</v>
      </c>
      <c r="I16004">
        <v>681797</v>
      </c>
      <c r="J16004">
        <v>3</v>
      </c>
    </row>
    <row r="16005" spans="1:10" x14ac:dyDescent="0.25">
      <c r="A16005" t="s">
        <v>1617</v>
      </c>
      <c r="B16005" s="1" t="str">
        <f>HYPERLINK("http://viivhealthcare.com","viivhealthcare.com")</f>
        <v>viivhealthcare.com</v>
      </c>
      <c r="C16005" t="s">
        <v>433</v>
      </c>
      <c r="E16005">
        <v>210252</v>
      </c>
      <c r="F16005">
        <v>4.7259628454773402E-7</v>
      </c>
      <c r="G16005">
        <v>80305</v>
      </c>
      <c r="H16005">
        <v>14715012</v>
      </c>
      <c r="I16005">
        <v>580974</v>
      </c>
      <c r="J16005">
        <v>3</v>
      </c>
    </row>
    <row r="16006" spans="1:10" x14ac:dyDescent="0.25">
      <c r="A16006" t="s">
        <v>1617</v>
      </c>
      <c r="B16006" s="1" t="str">
        <f>HYPERLINK("http://bio-pro.de","bio-pro.de")</f>
        <v>bio-pro.de</v>
      </c>
      <c r="C16006" t="s">
        <v>436</v>
      </c>
      <c r="D16006" t="s">
        <v>815</v>
      </c>
      <c r="E16006">
        <v>867363</v>
      </c>
      <c r="F16006">
        <v>9.1007357811019806E-8</v>
      </c>
      <c r="G16006">
        <v>448024</v>
      </c>
      <c r="H16006">
        <v>14533654</v>
      </c>
      <c r="I16006">
        <v>782858</v>
      </c>
      <c r="J16006">
        <v>3</v>
      </c>
    </row>
    <row r="16007" spans="1:10" x14ac:dyDescent="0.25">
      <c r="A16007" t="s">
        <v>1617</v>
      </c>
      <c r="B16007" s="1" t="str">
        <f>HYPERLINK("http://glaxosmithkline.de","glaxosmithkline.de")</f>
        <v>glaxosmithkline.de</v>
      </c>
      <c r="C16007" t="s">
        <v>436</v>
      </c>
      <c r="D16007" t="s">
        <v>815</v>
      </c>
      <c r="F16007">
        <v>3.8184057088804398E-8</v>
      </c>
      <c r="G16007">
        <v>1355553</v>
      </c>
      <c r="H16007">
        <v>14388314</v>
      </c>
      <c r="I16007">
        <v>1173497</v>
      </c>
      <c r="J16007">
        <v>3</v>
      </c>
    </row>
    <row r="16008" spans="1:10" x14ac:dyDescent="0.25">
      <c r="A16008" t="s">
        <v>1617</v>
      </c>
      <c r="B16008" s="1" t="str">
        <f>HYPERLINK("http://gskpro.de","gskpro.de")</f>
        <v>gskpro.de</v>
      </c>
      <c r="C16008" t="s">
        <v>436</v>
      </c>
      <c r="D16008" t="s">
        <v>815</v>
      </c>
      <c r="F16008">
        <v>1.05088667463403E-8</v>
      </c>
      <c r="G16008">
        <v>6261755</v>
      </c>
      <c r="H16008">
        <v>12394776</v>
      </c>
      <c r="I16008">
        <v>18941346</v>
      </c>
      <c r="J16008">
        <v>4</v>
      </c>
    </row>
    <row r="16009" spans="1:10" x14ac:dyDescent="0.25">
      <c r="A16009" t="s">
        <v>1617</v>
      </c>
      <c r="B16009" s="1" t="str">
        <f>HYPERLINK("http://glaxosmithkline.dk","glaxosmithkline.dk")</f>
        <v>glaxosmithkline.dk</v>
      </c>
      <c r="C16009" t="s">
        <v>437</v>
      </c>
      <c r="D16009" t="s">
        <v>816</v>
      </c>
      <c r="F16009">
        <v>6.7431561657259299E-9</v>
      </c>
      <c r="G16009">
        <v>13152202</v>
      </c>
      <c r="H16009">
        <v>14072516</v>
      </c>
      <c r="I16009">
        <v>3079327</v>
      </c>
      <c r="J16009">
        <v>3</v>
      </c>
    </row>
    <row r="16010" spans="1:10" x14ac:dyDescent="0.25">
      <c r="A16010" t="s">
        <v>1617</v>
      </c>
      <c r="B16010" s="1" t="str">
        <f>HYPERLINK("http://gsk.es","gsk.es")</f>
        <v>gsk.es</v>
      </c>
      <c r="C16010" t="s">
        <v>443</v>
      </c>
      <c r="D16010" t="s">
        <v>822</v>
      </c>
      <c r="F16010">
        <v>4.5091093942191603E-8</v>
      </c>
      <c r="G16010">
        <v>1046742</v>
      </c>
      <c r="H16010">
        <v>14456060</v>
      </c>
      <c r="I16010">
        <v>1049523</v>
      </c>
      <c r="J16010">
        <v>2</v>
      </c>
    </row>
    <row r="16011" spans="1:10" x14ac:dyDescent="0.25">
      <c r="A16011" t="s">
        <v>1617</v>
      </c>
      <c r="B16011" s="1" t="str">
        <f>HYPERLINK("http://24tuntia.fi","24tuntia.fi")</f>
        <v>24tuntia.fi</v>
      </c>
      <c r="C16011" t="s">
        <v>445</v>
      </c>
      <c r="D16011" t="s">
        <v>823</v>
      </c>
      <c r="J16011">
        <v>2</v>
      </c>
    </row>
    <row r="16012" spans="1:10" x14ac:dyDescent="0.25">
      <c r="A16012" t="s">
        <v>1617</v>
      </c>
      <c r="B16012" s="1" t="str">
        <f>HYPERLINK("http://ahdistus.fi","ahdistus.fi")</f>
        <v>ahdistus.fi</v>
      </c>
      <c r="C16012" t="s">
        <v>445</v>
      </c>
      <c r="D16012" t="s">
        <v>823</v>
      </c>
      <c r="J16012">
        <v>2</v>
      </c>
    </row>
    <row r="16013" spans="1:10" x14ac:dyDescent="0.25">
      <c r="A16013" t="s">
        <v>1617</v>
      </c>
      <c r="B16013" s="1" t="str">
        <f>HYPERLINK("http://astmatesti.fi","astmatesti.fi")</f>
        <v>astmatesti.fi</v>
      </c>
      <c r="C16013" t="s">
        <v>445</v>
      </c>
      <c r="D16013" t="s">
        <v>823</v>
      </c>
      <c r="F16013">
        <v>6.5839206354311697E-9</v>
      </c>
      <c r="G16013">
        <v>13738628</v>
      </c>
      <c r="H16013">
        <v>13765342</v>
      </c>
      <c r="I16013">
        <v>7113512</v>
      </c>
      <c r="J16013">
        <v>2</v>
      </c>
    </row>
    <row r="16014" spans="1:10" x14ac:dyDescent="0.25">
      <c r="A16014" t="s">
        <v>1617</v>
      </c>
      <c r="B16014" s="1" t="str">
        <f>HYPERLINK("http://bipolaarihairio.fi","bipolaarihairio.fi")</f>
        <v>bipolaarihairio.fi</v>
      </c>
      <c r="C16014" t="s">
        <v>445</v>
      </c>
      <c r="D16014" t="s">
        <v>823</v>
      </c>
      <c r="J16014">
        <v>2</v>
      </c>
    </row>
    <row r="16015" spans="1:10" x14ac:dyDescent="0.25">
      <c r="A16015" t="s">
        <v>1617</v>
      </c>
      <c r="B16015" s="1" t="str">
        <f>HYPERLINK("http://bipolaarihiri.fi","bipolaarihiri.fi")</f>
        <v>bipolaarihiri.fi</v>
      </c>
      <c r="C16015" t="s">
        <v>445</v>
      </c>
      <c r="D16015" t="s">
        <v>823</v>
      </c>
      <c r="J16015">
        <v>2</v>
      </c>
    </row>
    <row r="16016" spans="1:10" x14ac:dyDescent="0.25">
      <c r="A16016" t="s">
        <v>1617</v>
      </c>
      <c r="B16016" s="1" t="str">
        <f>HYPERLINK("http://copd.fi","copd.fi")</f>
        <v>copd.fi</v>
      </c>
      <c r="C16016" t="s">
        <v>445</v>
      </c>
      <c r="D16016" t="s">
        <v>823</v>
      </c>
      <c r="J16016">
        <v>2</v>
      </c>
    </row>
    <row r="16017" spans="1:10" x14ac:dyDescent="0.25">
      <c r="A16017" t="s">
        <v>1617</v>
      </c>
      <c r="B16017" s="1" t="str">
        <f>HYPERLINK("http://depressio.fi","depressio.fi")</f>
        <v>depressio.fi</v>
      </c>
      <c r="C16017" t="s">
        <v>445</v>
      </c>
      <c r="D16017" t="s">
        <v>823</v>
      </c>
      <c r="J16017">
        <v>2</v>
      </c>
    </row>
    <row r="16018" spans="1:10" x14ac:dyDescent="0.25">
      <c r="A16018" t="s">
        <v>1617</v>
      </c>
      <c r="B16018" s="1" t="str">
        <f>HYPERLINK("http://diskus.fi","diskus.fi")</f>
        <v>diskus.fi</v>
      </c>
      <c r="C16018" t="s">
        <v>445</v>
      </c>
      <c r="D16018" t="s">
        <v>823</v>
      </c>
      <c r="J16018">
        <v>2</v>
      </c>
    </row>
    <row r="16019" spans="1:10" x14ac:dyDescent="0.25">
      <c r="A16019" t="s">
        <v>1617</v>
      </c>
      <c r="B16019" s="1" t="str">
        <f>HYPERLINK("http://eeturauhanen.fi","eeturauhanen.fi")</f>
        <v>eeturauhanen.fi</v>
      </c>
      <c r="C16019" t="s">
        <v>445</v>
      </c>
      <c r="D16019" t="s">
        <v>823</v>
      </c>
      <c r="F16019">
        <v>4.5325241470668197E-9</v>
      </c>
      <c r="G16019">
        <v>54783967</v>
      </c>
      <c r="H16019">
        <v>10887595</v>
      </c>
      <c r="I16019">
        <v>36164364</v>
      </c>
      <c r="J16019">
        <v>4</v>
      </c>
    </row>
    <row r="16020" spans="1:10" x14ac:dyDescent="0.25">
      <c r="A16020" t="s">
        <v>1617</v>
      </c>
      <c r="B16020" s="1" t="str">
        <f>HYPERLINK("http://flixonase.fi","flixonase.fi")</f>
        <v>flixonase.fi</v>
      </c>
      <c r="C16020" t="s">
        <v>445</v>
      </c>
      <c r="D16020" t="s">
        <v>823</v>
      </c>
      <c r="J16020">
        <v>2</v>
      </c>
    </row>
    <row r="16021" spans="1:10" x14ac:dyDescent="0.25">
      <c r="A16021" t="s">
        <v>1617</v>
      </c>
      <c r="B16021" s="1" t="str">
        <f>HYPERLINK("http://glaxosmithkline.fi","glaxosmithkline.fi")</f>
        <v>glaxosmithkline.fi</v>
      </c>
      <c r="C16021" t="s">
        <v>445</v>
      </c>
      <c r="D16021" t="s">
        <v>823</v>
      </c>
      <c r="F16021">
        <v>6.2756668024737199E-9</v>
      </c>
      <c r="G16021">
        <v>15148192</v>
      </c>
      <c r="H16021">
        <v>14236943</v>
      </c>
      <c r="I16021">
        <v>1564678</v>
      </c>
      <c r="J16021">
        <v>2</v>
      </c>
    </row>
    <row r="16022" spans="1:10" x14ac:dyDescent="0.25">
      <c r="A16022" t="s">
        <v>1617</v>
      </c>
      <c r="B16022" s="1" t="str">
        <f>HYPERLINK("http://glaxowellcome.fi","glaxowellcome.fi")</f>
        <v>glaxowellcome.fi</v>
      </c>
      <c r="C16022" t="s">
        <v>445</v>
      </c>
      <c r="D16022" t="s">
        <v>823</v>
      </c>
      <c r="J16022">
        <v>2</v>
      </c>
    </row>
    <row r="16023" spans="1:10" x14ac:dyDescent="0.25">
      <c r="A16023" t="s">
        <v>1617</v>
      </c>
      <c r="B16023" s="1" t="str">
        <f>HYPERLINK("http://gsk.fi","gsk.fi")</f>
        <v>gsk.fi</v>
      </c>
      <c r="C16023" t="s">
        <v>445</v>
      </c>
      <c r="D16023" t="s">
        <v>823</v>
      </c>
      <c r="F16023">
        <v>1.31857163545837E-8</v>
      </c>
      <c r="G16023">
        <v>4544591</v>
      </c>
      <c r="H16023">
        <v>12321262</v>
      </c>
      <c r="I16023">
        <v>20391046</v>
      </c>
      <c r="J16023">
        <v>2</v>
      </c>
    </row>
    <row r="16024" spans="1:10" x14ac:dyDescent="0.25">
      <c r="A16024" t="s">
        <v>1617</v>
      </c>
      <c r="B16024" s="1" t="str">
        <f>HYPERLINK("http://gsk-bootcamp.fi","gsk-bootcamp.fi")</f>
        <v>gsk-bootcamp.fi</v>
      </c>
      <c r="C16024" t="s">
        <v>445</v>
      </c>
      <c r="D16024" t="s">
        <v>823</v>
      </c>
      <c r="J16024">
        <v>2</v>
      </c>
    </row>
    <row r="16025" spans="1:10" x14ac:dyDescent="0.25">
      <c r="A16025" t="s">
        <v>1617</v>
      </c>
      <c r="B16025" s="1" t="str">
        <f>HYPERLINK("http://gsk-itsehoito.fi","gsk-itsehoito.fi")</f>
        <v>gsk-itsehoito.fi</v>
      </c>
      <c r="C16025" t="s">
        <v>445</v>
      </c>
      <c r="D16025" t="s">
        <v>823</v>
      </c>
      <c r="J16025">
        <v>2</v>
      </c>
    </row>
    <row r="16026" spans="1:10" x14ac:dyDescent="0.25">
      <c r="A16026" t="s">
        <v>1617</v>
      </c>
      <c r="B16026" s="1" t="str">
        <f>HYPERLINK("http://gsk-kouluttaa.fi","gsk-kouluttaa.fi")</f>
        <v>gsk-kouluttaa.fi</v>
      </c>
      <c r="C16026" t="s">
        <v>445</v>
      </c>
      <c r="D16026" t="s">
        <v>823</v>
      </c>
      <c r="J16026">
        <v>2</v>
      </c>
    </row>
    <row r="16027" spans="1:10" x14ac:dyDescent="0.25">
      <c r="A16027" t="s">
        <v>1617</v>
      </c>
      <c r="B16027" s="1" t="str">
        <f>HYPERLINK("http://gskcustomeracademy.fi","gskcustomeracademy.fi")</f>
        <v>gskcustomeracademy.fi</v>
      </c>
      <c r="C16027" t="s">
        <v>445</v>
      </c>
      <c r="D16027" t="s">
        <v>823</v>
      </c>
      <c r="J16027">
        <v>2</v>
      </c>
    </row>
    <row r="16028" spans="1:10" x14ac:dyDescent="0.25">
      <c r="A16028" t="s">
        <v>1617</v>
      </c>
      <c r="B16028" s="1" t="str">
        <f>HYPERLINK("http://gskdental.fi","gskdental.fi")</f>
        <v>gskdental.fi</v>
      </c>
      <c r="C16028" t="s">
        <v>445</v>
      </c>
      <c r="D16028" t="s">
        <v>823</v>
      </c>
      <c r="J16028">
        <v>2</v>
      </c>
    </row>
    <row r="16029" spans="1:10" x14ac:dyDescent="0.25">
      <c r="A16029" t="s">
        <v>1617</v>
      </c>
      <c r="B16029" s="1" t="str">
        <f>HYPERLINK("http://gskitsehoito.fi","gskitsehoito.fi")</f>
        <v>gskitsehoito.fi</v>
      </c>
      <c r="C16029" t="s">
        <v>445</v>
      </c>
      <c r="D16029" t="s">
        <v>823</v>
      </c>
      <c r="J16029">
        <v>2</v>
      </c>
    </row>
    <row r="16030" spans="1:10" x14ac:dyDescent="0.25">
      <c r="A16030" t="s">
        <v>1617</v>
      </c>
      <c r="B16030" s="1" t="str">
        <f>HYPERLINK("http://gskoncology.fi","gskoncology.fi")</f>
        <v>gskoncology.fi</v>
      </c>
      <c r="C16030" t="s">
        <v>445</v>
      </c>
      <c r="D16030" t="s">
        <v>823</v>
      </c>
      <c r="J16030">
        <v>2</v>
      </c>
    </row>
    <row r="16031" spans="1:10" x14ac:dyDescent="0.25">
      <c r="A16031" t="s">
        <v>1617</v>
      </c>
      <c r="B16031" s="1" t="str">
        <f>HYPERLINK("http://gskoriginals.fi","gskoriginals.fi")</f>
        <v>gskoriginals.fi</v>
      </c>
      <c r="C16031" t="s">
        <v>445</v>
      </c>
      <c r="D16031" t="s">
        <v>823</v>
      </c>
      <c r="J16031">
        <v>2</v>
      </c>
    </row>
    <row r="16032" spans="1:10" x14ac:dyDescent="0.25">
      <c r="A16032" t="s">
        <v>1617</v>
      </c>
      <c r="B16032" s="1" t="str">
        <f>HYPERLINK("http://gskpro.fi","gskpro.fi")</f>
        <v>gskpro.fi</v>
      </c>
      <c r="C16032" t="s">
        <v>445</v>
      </c>
      <c r="D16032" t="s">
        <v>823</v>
      </c>
      <c r="J16032">
        <v>2</v>
      </c>
    </row>
    <row r="16033" spans="1:10" x14ac:dyDescent="0.25">
      <c r="A16033" t="s">
        <v>1617</v>
      </c>
      <c r="B16033" s="1" t="str">
        <f>HYPERLINK("http://hammaseroosio.fi","hammaseroosio.fi")</f>
        <v>hammaseroosio.fi</v>
      </c>
      <c r="C16033" t="s">
        <v>445</v>
      </c>
      <c r="D16033" t="s">
        <v>823</v>
      </c>
      <c r="J16033">
        <v>2</v>
      </c>
    </row>
    <row r="16034" spans="1:10" x14ac:dyDescent="0.25">
      <c r="A16034" t="s">
        <v>1617</v>
      </c>
      <c r="B16034" s="1" t="str">
        <f>HYPERLINK("http://havrix.fi","havrix.fi")</f>
        <v>havrix.fi</v>
      </c>
      <c r="C16034" t="s">
        <v>445</v>
      </c>
      <c r="D16034" t="s">
        <v>823</v>
      </c>
      <c r="J16034">
        <v>2</v>
      </c>
    </row>
    <row r="16035" spans="1:10" x14ac:dyDescent="0.25">
      <c r="A16035" t="s">
        <v>1617</v>
      </c>
      <c r="B16035" s="1" t="str">
        <f>HYPERLINK("http://healthchallenge.fi","healthchallenge.fi")</f>
        <v>healthchallenge.fi</v>
      </c>
      <c r="C16035" t="s">
        <v>445</v>
      </c>
      <c r="D16035" t="s">
        <v>823</v>
      </c>
      <c r="F16035">
        <v>5.6961375363791297E-9</v>
      </c>
      <c r="G16035">
        <v>18994347</v>
      </c>
      <c r="H16035">
        <v>12093940</v>
      </c>
      <c r="I16035">
        <v>26121765</v>
      </c>
      <c r="J16035">
        <v>2</v>
      </c>
    </row>
    <row r="16036" spans="1:10" x14ac:dyDescent="0.25">
      <c r="A16036" t="s">
        <v>1617</v>
      </c>
      <c r="B16036" s="1" t="str">
        <f>HYPERLINK("http://heinanuha.fi","heinanuha.fi")</f>
        <v>heinanuha.fi</v>
      </c>
      <c r="C16036" t="s">
        <v>445</v>
      </c>
      <c r="D16036" t="s">
        <v>823</v>
      </c>
      <c r="J16036">
        <v>2</v>
      </c>
    </row>
    <row r="16037" spans="1:10" x14ac:dyDescent="0.25">
      <c r="A16037" t="s">
        <v>1617</v>
      </c>
      <c r="B16037" s="1" t="str">
        <f>HYPERLINK("http://helppoakuinhengittaminen.fi","helppoakuinhengittaminen.fi")</f>
        <v>helppoakuinhengittaminen.fi</v>
      </c>
      <c r="C16037" t="s">
        <v>445</v>
      </c>
      <c r="D16037" t="s">
        <v>823</v>
      </c>
      <c r="J16037">
        <v>2</v>
      </c>
    </row>
    <row r="16038" spans="1:10" x14ac:dyDescent="0.25">
      <c r="A16038" t="s">
        <v>1617</v>
      </c>
      <c r="B16038" s="1" t="str">
        <f>HYPERLINK("http://helppoakuinhengittminen.fi","helppoakuinhengittminen.fi")</f>
        <v>helppoakuinhengittminen.fi</v>
      </c>
      <c r="C16038" t="s">
        <v>445</v>
      </c>
      <c r="D16038" t="s">
        <v>823</v>
      </c>
      <c r="J16038">
        <v>2</v>
      </c>
    </row>
    <row r="16039" spans="1:10" x14ac:dyDescent="0.25">
      <c r="A16039" t="s">
        <v>1617</v>
      </c>
      <c r="B16039" s="1" t="str">
        <f>HYPERLINK("http://hengitys.fi","hengitys.fi")</f>
        <v>hengitys.fi</v>
      </c>
      <c r="C16039" t="s">
        <v>445</v>
      </c>
      <c r="D16039" t="s">
        <v>823</v>
      </c>
      <c r="F16039">
        <v>2.1089104628274001E-8</v>
      </c>
      <c r="G16039">
        <v>2504159</v>
      </c>
      <c r="H16039">
        <v>12412213</v>
      </c>
      <c r="I16039">
        <v>18574332</v>
      </c>
      <c r="J16039">
        <v>2</v>
      </c>
    </row>
    <row r="16040" spans="1:10" x14ac:dyDescent="0.25">
      <c r="A16040" t="s">
        <v>1617</v>
      </c>
      <c r="B16040" s="1" t="str">
        <f>HYPERLINK("http://hepatiittia.fi","hepatiittia.fi")</f>
        <v>hepatiittia.fi</v>
      </c>
      <c r="C16040" t="s">
        <v>445</v>
      </c>
      <c r="D16040" t="s">
        <v>823</v>
      </c>
      <c r="J16040">
        <v>2</v>
      </c>
    </row>
    <row r="16041" spans="1:10" x14ac:dyDescent="0.25">
      <c r="A16041" t="s">
        <v>1617</v>
      </c>
      <c r="B16041" s="1" t="str">
        <f>HYPERLINK("http://hepatiittib.fi","hepatiittib.fi")</f>
        <v>hepatiittib.fi</v>
      </c>
      <c r="C16041" t="s">
        <v>445</v>
      </c>
      <c r="D16041" t="s">
        <v>823</v>
      </c>
      <c r="J16041">
        <v>2</v>
      </c>
    </row>
    <row r="16042" spans="1:10" x14ac:dyDescent="0.25">
      <c r="A16042" t="s">
        <v>1617</v>
      </c>
      <c r="B16042" s="1" t="str">
        <f>HYPERLINK("http://hoitopolut.fi","hoitopolut.fi")</f>
        <v>hoitopolut.fi</v>
      </c>
      <c r="C16042" t="s">
        <v>445</v>
      </c>
      <c r="D16042" t="s">
        <v>823</v>
      </c>
      <c r="F16042">
        <v>6.0781956646985299E-9</v>
      </c>
      <c r="G16042">
        <v>16217479</v>
      </c>
      <c r="H16042">
        <v>12165322</v>
      </c>
      <c r="I16042">
        <v>24190830</v>
      </c>
      <c r="J16042">
        <v>2</v>
      </c>
    </row>
    <row r="16043" spans="1:10" x14ac:dyDescent="0.25">
      <c r="A16043" t="s">
        <v>1617</v>
      </c>
      <c r="B16043" s="1" t="str">
        <f>HYPERLINK("http://humanpapillomavirus.fi","humanpapillomavirus.fi")</f>
        <v>humanpapillomavirus.fi</v>
      </c>
      <c r="C16043" t="s">
        <v>445</v>
      </c>
      <c r="D16043" t="s">
        <v>823</v>
      </c>
      <c r="J16043">
        <v>2</v>
      </c>
    </row>
    <row r="16044" spans="1:10" x14ac:dyDescent="0.25">
      <c r="A16044" t="s">
        <v>1617</v>
      </c>
      <c r="B16044" s="1" t="str">
        <f>HYPERLINK("http://ilmoittautuminen.fi","ilmoittautuminen.fi")</f>
        <v>ilmoittautuminen.fi</v>
      </c>
      <c r="C16044" t="s">
        <v>445</v>
      </c>
      <c r="D16044" t="s">
        <v>823</v>
      </c>
      <c r="F16044">
        <v>4.7010350869174998E-9</v>
      </c>
      <c r="G16044">
        <v>41180504</v>
      </c>
      <c r="H16044">
        <v>9805093</v>
      </c>
      <c r="I16044">
        <v>62561446</v>
      </c>
      <c r="J16044">
        <v>2</v>
      </c>
    </row>
    <row r="16045" spans="1:10" x14ac:dyDescent="0.25">
      <c r="A16045" t="s">
        <v>1617</v>
      </c>
      <c r="B16045" s="1" t="str">
        <f>HYPERLINK("http://imigran.fi","imigran.fi")</f>
        <v>imigran.fi</v>
      </c>
      <c r="C16045" t="s">
        <v>445</v>
      </c>
      <c r="D16045" t="s">
        <v>823</v>
      </c>
      <c r="J16045">
        <v>2</v>
      </c>
    </row>
    <row r="16046" spans="1:10" x14ac:dyDescent="0.25">
      <c r="A16046" t="s">
        <v>1617</v>
      </c>
      <c r="B16046" s="1" t="str">
        <f>HYPERLINK("http://influenssarokotettu.fi","influenssarokotettu.fi")</f>
        <v>influenssarokotettu.fi</v>
      </c>
      <c r="C16046" t="s">
        <v>445</v>
      </c>
      <c r="D16046" t="s">
        <v>823</v>
      </c>
      <c r="J16046">
        <v>2</v>
      </c>
    </row>
    <row r="16047" spans="1:10" x14ac:dyDescent="0.25">
      <c r="A16047" t="s">
        <v>1617</v>
      </c>
      <c r="B16047" s="1" t="str">
        <f>HYPERLINK("http://itsehoitoneuvonta.fi","itsehoitoneuvonta.fi")</f>
        <v>itsehoitoneuvonta.fi</v>
      </c>
      <c r="C16047" t="s">
        <v>445</v>
      </c>
      <c r="D16047" t="s">
        <v>823</v>
      </c>
      <c r="J16047">
        <v>2</v>
      </c>
    </row>
    <row r="16048" spans="1:10" x14ac:dyDescent="0.25">
      <c r="A16048" t="s">
        <v>1617</v>
      </c>
      <c r="B16048" s="1" t="str">
        <f>HYPERLINK("http://kaksisuuntainenmielialahirio.fi","kaksisuuntainenmielialahirio.fi")</f>
        <v>kaksisuuntainenmielialahirio.fi</v>
      </c>
      <c r="C16048" t="s">
        <v>445</v>
      </c>
      <c r="D16048" t="s">
        <v>823</v>
      </c>
      <c r="J16048">
        <v>2</v>
      </c>
    </row>
    <row r="16049" spans="1:10" x14ac:dyDescent="0.25">
      <c r="A16049" t="s">
        <v>1617</v>
      </c>
      <c r="B16049" s="1" t="str">
        <f>HYPERLINK("http://kerranpaivassa.fi","kerranpaivassa.fi")</f>
        <v>kerranpaivassa.fi</v>
      </c>
      <c r="C16049" t="s">
        <v>445</v>
      </c>
      <c r="D16049" t="s">
        <v>823</v>
      </c>
      <c r="J16049">
        <v>2</v>
      </c>
    </row>
    <row r="16050" spans="1:10" x14ac:dyDescent="0.25">
      <c r="A16050" t="s">
        <v>1617</v>
      </c>
      <c r="B16050" s="1" t="str">
        <f>HYPERLINK("http://kerranpivss.fi","kerranpivss.fi")</f>
        <v>kerranpivss.fi</v>
      </c>
      <c r="C16050" t="s">
        <v>445</v>
      </c>
      <c r="D16050" t="s">
        <v>823</v>
      </c>
      <c r="J16050">
        <v>2</v>
      </c>
    </row>
    <row r="16051" spans="1:10" x14ac:dyDescent="0.25">
      <c r="A16051" t="s">
        <v>1617</v>
      </c>
      <c r="B16051" s="1" t="str">
        <f>HYPERLINK("http://keuhkoahtauma.fi","keuhkoahtauma.fi")</f>
        <v>keuhkoahtauma.fi</v>
      </c>
      <c r="C16051" t="s">
        <v>445</v>
      </c>
      <c r="D16051" t="s">
        <v>823</v>
      </c>
      <c r="J16051">
        <v>2</v>
      </c>
    </row>
    <row r="16052" spans="1:10" x14ac:dyDescent="0.25">
      <c r="A16052" t="s">
        <v>1617</v>
      </c>
      <c r="B16052" s="1" t="str">
        <f>HYPERLINK("http://kohdunkaulansyopa.fi","kohdunkaulansyopa.fi")</f>
        <v>kohdunkaulansyopa.fi</v>
      </c>
      <c r="C16052" t="s">
        <v>445</v>
      </c>
      <c r="D16052" t="s">
        <v>823</v>
      </c>
      <c r="J16052">
        <v>2</v>
      </c>
    </row>
    <row r="16053" spans="1:10" x14ac:dyDescent="0.25">
      <c r="A16053" t="s">
        <v>1617</v>
      </c>
      <c r="B16053" s="1" t="str">
        <f>HYPERLINK("http://kohdunkaulansyp.fi","kohdunkaulansyp.fi")</f>
        <v>kohdunkaulansyp.fi</v>
      </c>
      <c r="C16053" t="s">
        <v>445</v>
      </c>
      <c r="D16053" t="s">
        <v>823</v>
      </c>
      <c r="J16053">
        <v>2</v>
      </c>
    </row>
    <row r="16054" spans="1:10" x14ac:dyDescent="0.25">
      <c r="A16054" t="s">
        <v>1617</v>
      </c>
      <c r="B16054" s="1" t="str">
        <f>HYPERLINK("http://lastenripulisairaudet.fi","lastenripulisairaudet.fi")</f>
        <v>lastenripulisairaudet.fi</v>
      </c>
      <c r="C16054" t="s">
        <v>445</v>
      </c>
      <c r="D16054" t="s">
        <v>823</v>
      </c>
      <c r="J16054">
        <v>2</v>
      </c>
    </row>
    <row r="16055" spans="1:10" x14ac:dyDescent="0.25">
      <c r="A16055" t="s">
        <v>1617</v>
      </c>
      <c r="B16055" s="1" t="str">
        <f>HYPERLINK("http://longacting.fi","longacting.fi")</f>
        <v>longacting.fi</v>
      </c>
      <c r="C16055" t="s">
        <v>445</v>
      </c>
      <c r="D16055" t="s">
        <v>823</v>
      </c>
      <c r="J16055">
        <v>2</v>
      </c>
    </row>
    <row r="16056" spans="1:10" x14ac:dyDescent="0.25">
      <c r="A16056" t="s">
        <v>1617</v>
      </c>
      <c r="B16056" s="1" t="str">
        <f>HYPERLINK("http://matkailijanrokotteet.fi","matkailijanrokotteet.fi")</f>
        <v>matkailijanrokotteet.fi</v>
      </c>
      <c r="C16056" t="s">
        <v>445</v>
      </c>
      <c r="D16056" t="s">
        <v>823</v>
      </c>
      <c r="J16056">
        <v>2</v>
      </c>
    </row>
    <row r="16057" spans="1:10" x14ac:dyDescent="0.25">
      <c r="A16057" t="s">
        <v>1617</v>
      </c>
      <c r="B16057" s="1" t="str">
        <f>HYPERLINK("http://matkarokotteet.fi","matkarokotteet.fi")</f>
        <v>matkarokotteet.fi</v>
      </c>
      <c r="C16057" t="s">
        <v>445</v>
      </c>
      <c r="D16057" t="s">
        <v>823</v>
      </c>
      <c r="J16057">
        <v>2</v>
      </c>
    </row>
    <row r="16058" spans="1:10" x14ac:dyDescent="0.25">
      <c r="A16058" t="s">
        <v>1617</v>
      </c>
      <c r="B16058" s="1" t="str">
        <f>HYPERLINK("http://minun-kivuttomampi-elama.fi","minun-kivuttomampi-elama.fi")</f>
        <v>minun-kivuttomampi-elama.fi</v>
      </c>
      <c r="C16058" t="s">
        <v>445</v>
      </c>
      <c r="D16058" t="s">
        <v>823</v>
      </c>
      <c r="J16058">
        <v>2</v>
      </c>
    </row>
    <row r="16059" spans="1:10" x14ac:dyDescent="0.25">
      <c r="A16059" t="s">
        <v>1617</v>
      </c>
      <c r="B16059" s="1" t="str">
        <f>HYPERLINK("http://mypharmassist.fi","mypharmassist.fi")</f>
        <v>mypharmassist.fi</v>
      </c>
      <c r="C16059" t="s">
        <v>445</v>
      </c>
      <c r="D16059" t="s">
        <v>823</v>
      </c>
      <c r="J16059">
        <v>2</v>
      </c>
    </row>
    <row r="16060" spans="1:10" x14ac:dyDescent="0.25">
      <c r="A16060" t="s">
        <v>1617</v>
      </c>
      <c r="B16060" s="1" t="str">
        <f>HYPERLINK("http://nucala.fi","nucala.fi")</f>
        <v>nucala.fi</v>
      </c>
      <c r="C16060" t="s">
        <v>445</v>
      </c>
      <c r="D16060" t="s">
        <v>823</v>
      </c>
      <c r="J16060">
        <v>2</v>
      </c>
    </row>
    <row r="16061" spans="1:10" x14ac:dyDescent="0.25">
      <c r="A16061" t="s">
        <v>1617</v>
      </c>
      <c r="B16061" s="1" t="str">
        <f>HYPERLINK("http://paniikkihiri.fi","paniikkihiri.fi")</f>
        <v>paniikkihiri.fi</v>
      </c>
      <c r="C16061" t="s">
        <v>445</v>
      </c>
      <c r="D16061" t="s">
        <v>823</v>
      </c>
      <c r="J16061">
        <v>2</v>
      </c>
    </row>
    <row r="16062" spans="1:10" x14ac:dyDescent="0.25">
      <c r="A16062" t="s">
        <v>1617</v>
      </c>
      <c r="B16062" s="1" t="str">
        <f>HYPERLINK("http://papillomavirus.fi","papillomavirus.fi")</f>
        <v>papillomavirus.fi</v>
      </c>
      <c r="C16062" t="s">
        <v>445</v>
      </c>
      <c r="D16062" t="s">
        <v>823</v>
      </c>
      <c r="J16062">
        <v>2</v>
      </c>
    </row>
    <row r="16063" spans="1:10" x14ac:dyDescent="0.25">
      <c r="A16063" t="s">
        <v>1617</v>
      </c>
      <c r="B16063" s="1" t="str">
        <f>HYPERLINK("http://pef.fi","pef.fi")</f>
        <v>pef.fi</v>
      </c>
      <c r="C16063" t="s">
        <v>445</v>
      </c>
      <c r="D16063" t="s">
        <v>823</v>
      </c>
      <c r="F16063">
        <v>7.8054425873417393E-9</v>
      </c>
      <c r="G16063">
        <v>10308356</v>
      </c>
      <c r="H16063">
        <v>12433714</v>
      </c>
      <c r="I16063">
        <v>18234419</v>
      </c>
      <c r="J16063">
        <v>2</v>
      </c>
    </row>
    <row r="16064" spans="1:10" x14ac:dyDescent="0.25">
      <c r="A16064" t="s">
        <v>1617</v>
      </c>
      <c r="B16064" s="1" t="str">
        <f>HYPERLINK("http://pharmassist.fi","pharmassist.fi")</f>
        <v>pharmassist.fi</v>
      </c>
      <c r="C16064" t="s">
        <v>445</v>
      </c>
      <c r="D16064" t="s">
        <v>823</v>
      </c>
      <c r="J16064">
        <v>2</v>
      </c>
    </row>
    <row r="16065" spans="1:10" x14ac:dyDescent="0.25">
      <c r="A16065" t="s">
        <v>1617</v>
      </c>
      <c r="B16065" s="1" t="str">
        <f>HYPERLINK("http://physiogel.fi","physiogel.fi")</f>
        <v>physiogel.fi</v>
      </c>
      <c r="C16065" t="s">
        <v>445</v>
      </c>
      <c r="D16065" t="s">
        <v>823</v>
      </c>
      <c r="F16065">
        <v>4.4640509920041901E-9</v>
      </c>
      <c r="G16065">
        <v>66522099</v>
      </c>
      <c r="H16065">
        <v>10756366</v>
      </c>
      <c r="I16065">
        <v>39771617</v>
      </c>
      <c r="J16065">
        <v>2</v>
      </c>
    </row>
    <row r="16066" spans="1:10" x14ac:dyDescent="0.25">
      <c r="A16066" t="s">
        <v>1617</v>
      </c>
      <c r="B16066" s="1" t="str">
        <f>HYPERLINK("http://pnsrky.fi","pnsrky.fi")</f>
        <v>pnsrky.fi</v>
      </c>
      <c r="C16066" t="s">
        <v>445</v>
      </c>
      <c r="D16066" t="s">
        <v>823</v>
      </c>
      <c r="J16066">
        <v>2</v>
      </c>
    </row>
    <row r="16067" spans="1:10" x14ac:dyDescent="0.25">
      <c r="A16067" t="s">
        <v>1617</v>
      </c>
      <c r="B16067" s="1" t="str">
        <f>HYPERLINK("http://punkkitaudit.fi","punkkitaudit.fi")</f>
        <v>punkkitaudit.fi</v>
      </c>
      <c r="C16067" t="s">
        <v>445</v>
      </c>
      <c r="D16067" t="s">
        <v>823</v>
      </c>
      <c r="J16067">
        <v>2</v>
      </c>
    </row>
    <row r="16068" spans="1:10" x14ac:dyDescent="0.25">
      <c r="A16068" t="s">
        <v>1617</v>
      </c>
      <c r="B16068" s="1" t="str">
        <f>HYPERLINK("http://rokote.fi","rokote.fi")</f>
        <v>rokote.fi</v>
      </c>
      <c r="C16068" t="s">
        <v>445</v>
      </c>
      <c r="D16068" t="s">
        <v>823</v>
      </c>
      <c r="F16068">
        <v>4.7022292880567798E-8</v>
      </c>
      <c r="G16068">
        <v>992485</v>
      </c>
      <c r="H16068">
        <v>14490654</v>
      </c>
      <c r="I16068">
        <v>909816</v>
      </c>
      <c r="J16068">
        <v>2</v>
      </c>
    </row>
    <row r="16069" spans="1:10" x14ac:dyDescent="0.25">
      <c r="A16069" t="s">
        <v>1617</v>
      </c>
      <c r="B16069" s="1" t="str">
        <f>HYPERLINK("http://rokoteinfo.fi","rokoteinfo.fi")</f>
        <v>rokoteinfo.fi</v>
      </c>
      <c r="C16069" t="s">
        <v>445</v>
      </c>
      <c r="D16069" t="s">
        <v>823</v>
      </c>
      <c r="F16069">
        <v>4.9253613854497198E-9</v>
      </c>
      <c r="G16069">
        <v>31519054</v>
      </c>
      <c r="H16069">
        <v>8527781</v>
      </c>
      <c r="I16069">
        <v>71766233</v>
      </c>
      <c r="J16069">
        <v>2</v>
      </c>
    </row>
    <row r="16070" spans="1:10" x14ac:dyDescent="0.25">
      <c r="A16070" t="s">
        <v>1617</v>
      </c>
      <c r="B16070" s="1" t="str">
        <f>HYPERLINK("http://rotavirus.fi","rotavirus.fi")</f>
        <v>rotavirus.fi</v>
      </c>
      <c r="C16070" t="s">
        <v>445</v>
      </c>
      <c r="D16070" t="s">
        <v>823</v>
      </c>
      <c r="J16070">
        <v>2</v>
      </c>
    </row>
    <row r="16071" spans="1:10" x14ac:dyDescent="0.25">
      <c r="A16071" t="s">
        <v>1617</v>
      </c>
      <c r="B16071" s="1" t="str">
        <f>HYPERLINK("http://sensodynerapid.fi","sensodynerapid.fi")</f>
        <v>sensodynerapid.fi</v>
      </c>
      <c r="C16071" t="s">
        <v>445</v>
      </c>
      <c r="D16071" t="s">
        <v>823</v>
      </c>
      <c r="J16071">
        <v>2</v>
      </c>
    </row>
    <row r="16072" spans="1:10" x14ac:dyDescent="0.25">
      <c r="A16072" t="s">
        <v>1617</v>
      </c>
      <c r="B16072" s="1" t="str">
        <f>HYPERLINK("http://shingrix.fi","shingrix.fi")</f>
        <v>shingrix.fi</v>
      </c>
      <c r="C16072" t="s">
        <v>445</v>
      </c>
      <c r="D16072" t="s">
        <v>823</v>
      </c>
      <c r="J16072">
        <v>4</v>
      </c>
    </row>
    <row r="16073" spans="1:10" x14ac:dyDescent="0.25">
      <c r="A16073" t="s">
        <v>1617</v>
      </c>
      <c r="B16073" s="1" t="str">
        <f>HYPERLINK("http://stmatesti.fi","stmatesti.fi")</f>
        <v>stmatesti.fi</v>
      </c>
      <c r="C16073" t="s">
        <v>445</v>
      </c>
      <c r="D16073" t="s">
        <v>823</v>
      </c>
      <c r="J16073">
        <v>2</v>
      </c>
    </row>
    <row r="16074" spans="1:10" x14ac:dyDescent="0.25">
      <c r="A16074" t="s">
        <v>1617</v>
      </c>
      <c r="B16074" s="1" t="str">
        <f>HYPERLINK("http://stop-kutina.fi","stop-kutina.fi")</f>
        <v>stop-kutina.fi</v>
      </c>
      <c r="C16074" t="s">
        <v>445</v>
      </c>
      <c r="D16074" t="s">
        <v>823</v>
      </c>
      <c r="J16074">
        <v>2</v>
      </c>
    </row>
    <row r="16075" spans="1:10" x14ac:dyDescent="0.25">
      <c r="A16075" t="s">
        <v>1617</v>
      </c>
      <c r="B16075" s="1" t="str">
        <f>HYPERLINK("http://stop-kutinalle.fi","stop-kutinalle.fi")</f>
        <v>stop-kutinalle.fi</v>
      </c>
      <c r="C16075" t="s">
        <v>445</v>
      </c>
      <c r="D16075" t="s">
        <v>823</v>
      </c>
      <c r="J16075">
        <v>4</v>
      </c>
    </row>
    <row r="16076" spans="1:10" x14ac:dyDescent="0.25">
      <c r="A16076" t="s">
        <v>1617</v>
      </c>
      <c r="B16076" s="1" t="str">
        <f>HYPERLINK("http://stopkutina.fi","stopkutina.fi")</f>
        <v>stopkutina.fi</v>
      </c>
      <c r="C16076" t="s">
        <v>445</v>
      </c>
      <c r="D16076" t="s">
        <v>823</v>
      </c>
      <c r="J16076">
        <v>2</v>
      </c>
    </row>
    <row r="16077" spans="1:10" x14ac:dyDescent="0.25">
      <c r="A16077" t="s">
        <v>1617</v>
      </c>
      <c r="B16077" s="1" t="str">
        <f>HYPERLINK("http://stopkutinalle.fi","stopkutinalle.fi")</f>
        <v>stopkutinalle.fi</v>
      </c>
      <c r="C16077" t="s">
        <v>445</v>
      </c>
      <c r="D16077" t="s">
        <v>823</v>
      </c>
      <c r="J16077">
        <v>2</v>
      </c>
    </row>
    <row r="16078" spans="1:10" x14ac:dyDescent="0.25">
      <c r="A16078" t="s">
        <v>1617</v>
      </c>
      <c r="B16078" s="1" t="str">
        <f>HYPERLINK("http://syoparokote.fi","syoparokote.fi")</f>
        <v>syoparokote.fi</v>
      </c>
      <c r="C16078" t="s">
        <v>445</v>
      </c>
      <c r="D16078" t="s">
        <v>823</v>
      </c>
      <c r="J16078">
        <v>2</v>
      </c>
    </row>
    <row r="16079" spans="1:10" x14ac:dyDescent="0.25">
      <c r="A16079" t="s">
        <v>1617</v>
      </c>
      <c r="B16079" s="1" t="str">
        <f>HYPERLINK("http://syprokote.fi","syprokote.fi")</f>
        <v>syprokote.fi</v>
      </c>
      <c r="C16079" t="s">
        <v>445</v>
      </c>
      <c r="D16079" t="s">
        <v>823</v>
      </c>
      <c r="J16079">
        <v>2</v>
      </c>
    </row>
    <row r="16080" spans="1:10" x14ac:dyDescent="0.25">
      <c r="A16080" t="s">
        <v>1617</v>
      </c>
      <c r="B16080" s="1" t="str">
        <f>HYPERLINK("http://syyl.fi","syyl.fi")</f>
        <v>syyl.fi</v>
      </c>
      <c r="C16080" t="s">
        <v>445</v>
      </c>
      <c r="D16080" t="s">
        <v>823</v>
      </c>
      <c r="J16080">
        <v>2</v>
      </c>
    </row>
    <row r="16081" spans="1:10" x14ac:dyDescent="0.25">
      <c r="A16081" t="s">
        <v>1617</v>
      </c>
      <c r="B16081" s="1" t="str">
        <f>HYPERLINK("http://tivicay.fi","tivicay.fi")</f>
        <v>tivicay.fi</v>
      </c>
      <c r="C16081" t="s">
        <v>445</v>
      </c>
      <c r="D16081" t="s">
        <v>823</v>
      </c>
      <c r="J16081">
        <v>2</v>
      </c>
    </row>
    <row r="16082" spans="1:10" x14ac:dyDescent="0.25">
      <c r="A16082" t="s">
        <v>1617</v>
      </c>
      <c r="B16082" s="1" t="str">
        <f>HYPERLINK("http://toctino.fi","toctino.fi")</f>
        <v>toctino.fi</v>
      </c>
      <c r="C16082" t="s">
        <v>445</v>
      </c>
      <c r="D16082" t="s">
        <v>823</v>
      </c>
      <c r="J16082">
        <v>2</v>
      </c>
    </row>
    <row r="16083" spans="1:10" x14ac:dyDescent="0.25">
      <c r="A16083" t="s">
        <v>1617</v>
      </c>
      <c r="B16083" s="1" t="str">
        <f>HYPERLINK("http://treatmentpathways.fi","treatmentpathways.fi")</f>
        <v>treatmentpathways.fi</v>
      </c>
      <c r="C16083" t="s">
        <v>445</v>
      </c>
      <c r="D16083" t="s">
        <v>823</v>
      </c>
      <c r="J16083">
        <v>2</v>
      </c>
    </row>
    <row r="16084" spans="1:10" x14ac:dyDescent="0.25">
      <c r="A16084" t="s">
        <v>1617</v>
      </c>
      <c r="B16084" s="1" t="str">
        <f>HYPERLINK("http://tupakkaysk.fi","tupakkaysk.fi")</f>
        <v>tupakkaysk.fi</v>
      </c>
      <c r="C16084" t="s">
        <v>445</v>
      </c>
      <c r="D16084" t="s">
        <v>823</v>
      </c>
      <c r="J16084">
        <v>2</v>
      </c>
    </row>
    <row r="16085" spans="1:10" x14ac:dyDescent="0.25">
      <c r="A16085" t="s">
        <v>1617</v>
      </c>
      <c r="B16085" s="1" t="str">
        <f>HYPERLINK("http://twinrix.fi","twinrix.fi")</f>
        <v>twinrix.fi</v>
      </c>
      <c r="C16085" t="s">
        <v>445</v>
      </c>
      <c r="D16085" t="s">
        <v>823</v>
      </c>
      <c r="J16085">
        <v>2</v>
      </c>
    </row>
    <row r="16086" spans="1:10" x14ac:dyDescent="0.25">
      <c r="A16086" t="s">
        <v>1617</v>
      </c>
      <c r="B16086" s="1" t="str">
        <f>HYPERLINK("http://unitytool.fi","unitytool.fi")</f>
        <v>unitytool.fi</v>
      </c>
      <c r="C16086" t="s">
        <v>445</v>
      </c>
      <c r="D16086" t="s">
        <v>823</v>
      </c>
      <c r="J16086">
        <v>2</v>
      </c>
    </row>
    <row r="16087" spans="1:10" x14ac:dyDescent="0.25">
      <c r="A16087" t="s">
        <v>1617</v>
      </c>
      <c r="B16087" s="1" t="str">
        <f>HYPERLINK("http://vaccine.fi","vaccine.fi")</f>
        <v>vaccine.fi</v>
      </c>
      <c r="C16087" t="s">
        <v>445</v>
      </c>
      <c r="D16087" t="s">
        <v>823</v>
      </c>
      <c r="J16087">
        <v>2</v>
      </c>
    </row>
    <row r="16088" spans="1:10" x14ac:dyDescent="0.25">
      <c r="A16088" t="s">
        <v>1617</v>
      </c>
      <c r="B16088" s="1" t="str">
        <f>HYPERLINK("http://varilrix.fi","varilrix.fi")</f>
        <v>varilrix.fi</v>
      </c>
      <c r="C16088" t="s">
        <v>445</v>
      </c>
      <c r="D16088" t="s">
        <v>823</v>
      </c>
      <c r="J16088">
        <v>2</v>
      </c>
    </row>
    <row r="16089" spans="1:10" x14ac:dyDescent="0.25">
      <c r="A16089" t="s">
        <v>1617</v>
      </c>
      <c r="B16089" s="1" t="str">
        <f>HYPERLINK("http://verkkokirjautuminen.fi","verkkokirjautuminen.fi")</f>
        <v>verkkokirjautuminen.fi</v>
      </c>
      <c r="C16089" t="s">
        <v>445</v>
      </c>
      <c r="D16089" t="s">
        <v>823</v>
      </c>
      <c r="J16089">
        <v>2</v>
      </c>
    </row>
    <row r="16090" spans="1:10" x14ac:dyDescent="0.25">
      <c r="A16090" t="s">
        <v>1617</v>
      </c>
      <c r="B16090" s="1" t="str">
        <f>HYPERLINK("http://vesirokko.fi","vesirokko.fi")</f>
        <v>vesirokko.fi</v>
      </c>
      <c r="C16090" t="s">
        <v>445</v>
      </c>
      <c r="D16090" t="s">
        <v>823</v>
      </c>
      <c r="J16090">
        <v>2</v>
      </c>
    </row>
    <row r="16091" spans="1:10" x14ac:dyDescent="0.25">
      <c r="A16091" t="s">
        <v>1617</v>
      </c>
      <c r="B16091" s="1" t="str">
        <f>HYPERLINK("http://visvasyyl.fi","visvasyyl.fi")</f>
        <v>visvasyyl.fi</v>
      </c>
      <c r="C16091" t="s">
        <v>445</v>
      </c>
      <c r="D16091" t="s">
        <v>823</v>
      </c>
      <c r="J16091">
        <v>2</v>
      </c>
    </row>
    <row r="16092" spans="1:10" x14ac:dyDescent="0.25">
      <c r="A16092" t="s">
        <v>1617</v>
      </c>
      <c r="B16092" s="1" t="str">
        <f>HYPERLINK("http://voihoitaa.fi","voihoitaa.fi")</f>
        <v>voihoitaa.fi</v>
      </c>
      <c r="C16092" t="s">
        <v>445</v>
      </c>
      <c r="D16092" t="s">
        <v>823</v>
      </c>
      <c r="J16092">
        <v>2</v>
      </c>
    </row>
    <row r="16093" spans="1:10" x14ac:dyDescent="0.25">
      <c r="A16093" t="s">
        <v>1617</v>
      </c>
      <c r="B16093" s="1" t="str">
        <f>HYPERLINK("http://zantac.fi","zantac.fi")</f>
        <v>zantac.fi</v>
      </c>
      <c r="C16093" t="s">
        <v>445</v>
      </c>
      <c r="D16093" t="s">
        <v>823</v>
      </c>
      <c r="J16093">
        <v>2</v>
      </c>
    </row>
    <row r="16094" spans="1:10" x14ac:dyDescent="0.25">
      <c r="A16094" t="s">
        <v>1617</v>
      </c>
      <c r="B16094" s="1" t="str">
        <f>HYPERLINK("http://zoviduo.fi","zoviduo.fi")</f>
        <v>zoviduo.fi</v>
      </c>
      <c r="C16094" t="s">
        <v>445</v>
      </c>
      <c r="D16094" t="s">
        <v>823</v>
      </c>
      <c r="F16094">
        <v>4.4438335000452598E-9</v>
      </c>
      <c r="G16094">
        <v>78968100</v>
      </c>
      <c r="H16094">
        <v>10480218</v>
      </c>
      <c r="I16094">
        <v>51033013</v>
      </c>
      <c r="J16094">
        <v>2</v>
      </c>
    </row>
    <row r="16095" spans="1:10" x14ac:dyDescent="0.25">
      <c r="A16095" t="s">
        <v>1617</v>
      </c>
      <c r="B16095" s="1" t="str">
        <f>HYPERLINK("http://zovirax.fi","zovirax.fi")</f>
        <v>zovirax.fi</v>
      </c>
      <c r="C16095" t="s">
        <v>445</v>
      </c>
      <c r="D16095" t="s">
        <v>823</v>
      </c>
      <c r="F16095">
        <v>4.44380395335525E-9</v>
      </c>
      <c r="G16095">
        <v>84787432</v>
      </c>
      <c r="H16095">
        <v>0</v>
      </c>
      <c r="I16095">
        <v>85903576</v>
      </c>
      <c r="J16095">
        <v>2</v>
      </c>
    </row>
    <row r="16096" spans="1:10" x14ac:dyDescent="0.25">
      <c r="A16096" t="s">
        <v>1617</v>
      </c>
      <c r="B16096" s="1" t="str">
        <f>HYPERLINK("http://gsk.fr","gsk.fr")</f>
        <v>gsk.fr</v>
      </c>
      <c r="C16096" t="s">
        <v>446</v>
      </c>
      <c r="D16096" t="s">
        <v>824</v>
      </c>
      <c r="F16096">
        <v>2.3194946546338901E-8</v>
      </c>
      <c r="G16096">
        <v>2249935</v>
      </c>
      <c r="H16096">
        <v>14498550</v>
      </c>
      <c r="I16096">
        <v>861046</v>
      </c>
      <c r="J16096">
        <v>3</v>
      </c>
    </row>
    <row r="16097" spans="1:10" x14ac:dyDescent="0.25">
      <c r="A16097" t="s">
        <v>1617</v>
      </c>
      <c r="B16097" s="1" t="str">
        <f>HYPERLINK("http://gskpro.fr","gskpro.fr")</f>
        <v>gskpro.fr</v>
      </c>
      <c r="C16097" t="s">
        <v>446</v>
      </c>
      <c r="D16097" t="s">
        <v>824</v>
      </c>
      <c r="F16097">
        <v>6.3878209782572597E-9</v>
      </c>
      <c r="G16097">
        <v>14579091</v>
      </c>
      <c r="H16097">
        <v>10905673</v>
      </c>
      <c r="I16097">
        <v>35715045</v>
      </c>
      <c r="J16097">
        <v>4</v>
      </c>
    </row>
    <row r="16098" spans="1:10" x14ac:dyDescent="0.25">
      <c r="A16098" t="s">
        <v>1617</v>
      </c>
      <c r="B16098" s="1" t="str">
        <f>HYPERLINK("http://otrimer.gr","otrimer.gr")</f>
        <v>otrimer.gr</v>
      </c>
      <c r="C16098" t="s">
        <v>447</v>
      </c>
      <c r="D16098" t="s">
        <v>825</v>
      </c>
      <c r="F16098">
        <v>5.8335968509317197E-9</v>
      </c>
      <c r="G16098">
        <v>17831432</v>
      </c>
      <c r="H16098">
        <v>12268546</v>
      </c>
      <c r="I16098">
        <v>21554426</v>
      </c>
      <c r="J16098">
        <v>3</v>
      </c>
    </row>
    <row r="16099" spans="1:10" x14ac:dyDescent="0.25">
      <c r="A16099" t="s">
        <v>1617</v>
      </c>
      <c r="B16099" s="1" t="str">
        <f>HYPERLINK("http://gsk-ch.in","gsk-ch.in")</f>
        <v>gsk-ch.in</v>
      </c>
      <c r="C16099" t="s">
        <v>457</v>
      </c>
      <c r="D16099" t="s">
        <v>834</v>
      </c>
      <c r="F16099">
        <v>1.4774366844044701E-8</v>
      </c>
      <c r="G16099">
        <v>3915901</v>
      </c>
      <c r="H16099">
        <v>14074090</v>
      </c>
      <c r="I16099">
        <v>2957067</v>
      </c>
      <c r="J16099">
        <v>4</v>
      </c>
    </row>
    <row r="16100" spans="1:10" x14ac:dyDescent="0.25">
      <c r="A16100" t="s">
        <v>1617</v>
      </c>
      <c r="B16100" s="1" t="str">
        <f>HYPERLINK("http://aquafresh.it","aquafresh.it")</f>
        <v>aquafresh.it</v>
      </c>
      <c r="C16100" t="s">
        <v>459</v>
      </c>
      <c r="D16100" t="s">
        <v>835</v>
      </c>
      <c r="F16100">
        <v>1.04528239597667E-8</v>
      </c>
      <c r="G16100">
        <v>6310775</v>
      </c>
      <c r="H16100">
        <v>11042310</v>
      </c>
      <c r="I16100">
        <v>32895240</v>
      </c>
      <c r="J16100">
        <v>4</v>
      </c>
    </row>
    <row r="16101" spans="1:10" x14ac:dyDescent="0.25">
      <c r="A16101" t="s">
        <v>1617</v>
      </c>
      <c r="B16101" s="1" t="str">
        <f>HYPERLINK("http://gsk.it","gsk.it")</f>
        <v>gsk.it</v>
      </c>
      <c r="C16101" t="s">
        <v>459</v>
      </c>
      <c r="D16101" t="s">
        <v>835</v>
      </c>
      <c r="F16101">
        <v>4.3875420983816601E-8</v>
      </c>
      <c r="G16101">
        <v>1085831</v>
      </c>
      <c r="H16101">
        <v>14126377</v>
      </c>
      <c r="I16101">
        <v>2101170</v>
      </c>
      <c r="J16101">
        <v>2</v>
      </c>
    </row>
    <row r="16102" spans="1:10" x14ac:dyDescent="0.25">
      <c r="A16102" t="s">
        <v>1617</v>
      </c>
      <c r="B16102" s="1" t="str">
        <f>HYPERLINK("http://aquafresh.jp","aquafresh.jp")</f>
        <v>aquafresh.jp</v>
      </c>
      <c r="C16102" t="s">
        <v>461</v>
      </c>
      <c r="D16102" t="s">
        <v>837</v>
      </c>
      <c r="F16102">
        <v>2.02192635766894E-8</v>
      </c>
      <c r="G16102">
        <v>2626330</v>
      </c>
      <c r="H16102">
        <v>12899347</v>
      </c>
      <c r="I16102">
        <v>13883577</v>
      </c>
      <c r="J16102">
        <v>4</v>
      </c>
    </row>
    <row r="16103" spans="1:10" x14ac:dyDescent="0.25">
      <c r="A16103" t="s">
        <v>1617</v>
      </c>
      <c r="B16103" s="1" t="str">
        <f>HYPERLINK("http://gsk-korea.co.kr","gsk-korea.co.kr")</f>
        <v>gsk-korea.co.kr</v>
      </c>
      <c r="C16103" t="s">
        <v>463</v>
      </c>
      <c r="D16103" t="s">
        <v>839</v>
      </c>
      <c r="F16103">
        <v>1.28308157330952E-8</v>
      </c>
      <c r="G16103">
        <v>4713517</v>
      </c>
      <c r="H16103">
        <v>14073508</v>
      </c>
      <c r="I16103">
        <v>2990690</v>
      </c>
      <c r="J16103">
        <v>3</v>
      </c>
    </row>
    <row r="16104" spans="1:10" x14ac:dyDescent="0.25">
      <c r="A16104" t="s">
        <v>1617</v>
      </c>
      <c r="B16104" s="1" t="str">
        <f>HYPERLINK("http://gskpro.com.kz","gskpro.com.kz")</f>
        <v>gskpro.com.kz</v>
      </c>
      <c r="C16104" t="s">
        <v>465</v>
      </c>
      <c r="D16104" t="s">
        <v>841</v>
      </c>
      <c r="F16104">
        <v>6.33730866625675E-9</v>
      </c>
      <c r="G16104">
        <v>14825556</v>
      </c>
      <c r="H16104">
        <v>10866453</v>
      </c>
      <c r="I16104">
        <v>36567138</v>
      </c>
      <c r="J16104">
        <v>4</v>
      </c>
    </row>
    <row r="16105" spans="1:10" x14ac:dyDescent="0.25">
      <c r="A16105" t="s">
        <v>1617</v>
      </c>
      <c r="B16105" s="1" t="str">
        <f>HYPERLINK("http://gsk.com.mx","gsk.com.mx")</f>
        <v>gsk.com.mx</v>
      </c>
      <c r="C16105" t="s">
        <v>471</v>
      </c>
      <c r="D16105" t="s">
        <v>847</v>
      </c>
      <c r="F16105">
        <v>5.6571750260811199E-9</v>
      </c>
      <c r="G16105">
        <v>19329279</v>
      </c>
      <c r="H16105">
        <v>12442475</v>
      </c>
      <c r="I16105">
        <v>18116898</v>
      </c>
      <c r="J16105">
        <v>3</v>
      </c>
    </row>
    <row r="16106" spans="1:10" x14ac:dyDescent="0.25">
      <c r="A16106" t="s">
        <v>1617</v>
      </c>
      <c r="B16106" s="1" t="str">
        <f>HYPERLINK("http://gsk.com.my","gsk.com.my")</f>
        <v>gsk.com.my</v>
      </c>
      <c r="C16106" t="s">
        <v>472</v>
      </c>
      <c r="D16106" t="s">
        <v>848</v>
      </c>
      <c r="F16106">
        <v>5.9427104461465297E-9</v>
      </c>
      <c r="G16106">
        <v>17068755</v>
      </c>
      <c r="H16106">
        <v>14486881</v>
      </c>
      <c r="I16106">
        <v>957229</v>
      </c>
      <c r="J16106">
        <v>3</v>
      </c>
    </row>
    <row r="16107" spans="1:10" x14ac:dyDescent="0.25">
      <c r="A16107" t="s">
        <v>1617</v>
      </c>
      <c r="B16107" s="1" t="str">
        <f>HYPERLINK("http://gsk.com.ng","gsk.com.ng")</f>
        <v>gsk.com.ng</v>
      </c>
      <c r="C16107" t="s">
        <v>475</v>
      </c>
      <c r="D16107" t="s">
        <v>850</v>
      </c>
      <c r="F16107">
        <v>5.7119832925903896E-9</v>
      </c>
      <c r="G16107">
        <v>18820673</v>
      </c>
      <c r="H16107">
        <v>13763668</v>
      </c>
      <c r="I16107">
        <v>7841803</v>
      </c>
      <c r="J16107">
        <v>2</v>
      </c>
    </row>
    <row r="16108" spans="1:10" x14ac:dyDescent="0.25">
      <c r="A16108" t="s">
        <v>1617</v>
      </c>
      <c r="B16108" s="1" t="str">
        <f>HYPERLINK("http://gskpro.ng","gskpro.ng")</f>
        <v>gskpro.ng</v>
      </c>
      <c r="C16108" t="s">
        <v>475</v>
      </c>
      <c r="D16108" t="s">
        <v>850</v>
      </c>
      <c r="F16108">
        <v>6.33730866625675E-9</v>
      </c>
      <c r="G16108">
        <v>14825557</v>
      </c>
      <c r="H16108">
        <v>10866453</v>
      </c>
      <c r="I16108">
        <v>36567139</v>
      </c>
      <c r="J16108">
        <v>4</v>
      </c>
    </row>
    <row r="16109" spans="1:10" x14ac:dyDescent="0.25">
      <c r="A16109" t="s">
        <v>1617</v>
      </c>
      <c r="B16109" s="1" t="str">
        <f>HYPERLINK("http://aquafresh.nl","aquafresh.nl")</f>
        <v>aquafresh.nl</v>
      </c>
      <c r="C16109" t="s">
        <v>477</v>
      </c>
      <c r="D16109" t="s">
        <v>852</v>
      </c>
      <c r="F16109">
        <v>8.9683788757781098E-9</v>
      </c>
      <c r="G16109">
        <v>8039107</v>
      </c>
      <c r="H16109">
        <v>12458165</v>
      </c>
      <c r="I16109">
        <v>17899645</v>
      </c>
      <c r="J16109">
        <v>4</v>
      </c>
    </row>
    <row r="16110" spans="1:10" x14ac:dyDescent="0.25">
      <c r="A16110" t="s">
        <v>1617</v>
      </c>
      <c r="B16110" s="1" t="str">
        <f>HYPERLINK("http://gsk.nl","gsk.nl")</f>
        <v>gsk.nl</v>
      </c>
      <c r="C16110" t="s">
        <v>477</v>
      </c>
      <c r="D16110" t="s">
        <v>852</v>
      </c>
      <c r="F16110">
        <v>2.9646657508168001E-8</v>
      </c>
      <c r="G16110">
        <v>1736544</v>
      </c>
      <c r="H16110">
        <v>14023530</v>
      </c>
      <c r="I16110">
        <v>3978068</v>
      </c>
      <c r="J16110">
        <v>2</v>
      </c>
    </row>
    <row r="16111" spans="1:10" x14ac:dyDescent="0.25">
      <c r="A16111" t="s">
        <v>1617</v>
      </c>
      <c r="B16111" s="1" t="str">
        <f>HYPERLINK("http://gsk.no","gsk.no")</f>
        <v>gsk.no</v>
      </c>
      <c r="C16111" t="s">
        <v>478</v>
      </c>
      <c r="D16111" t="s">
        <v>853</v>
      </c>
      <c r="F16111">
        <v>1.3013683196693101E-8</v>
      </c>
      <c r="G16111">
        <v>4625185</v>
      </c>
      <c r="H16111">
        <v>14238477</v>
      </c>
      <c r="I16111">
        <v>1526167</v>
      </c>
      <c r="J16111">
        <v>2</v>
      </c>
    </row>
    <row r="16112" spans="1:10" x14ac:dyDescent="0.25">
      <c r="A16112" t="s">
        <v>1617</v>
      </c>
      <c r="B16112" s="1" t="str">
        <f>HYPERLINK("http://gsk.com.pl","gsk.com.pl")</f>
        <v>gsk.com.pl</v>
      </c>
      <c r="C16112" t="s">
        <v>486</v>
      </c>
      <c r="D16112" t="s">
        <v>860</v>
      </c>
      <c r="F16112">
        <v>4.2014025761380399E-8</v>
      </c>
      <c r="G16112">
        <v>1165617</v>
      </c>
      <c r="H16112">
        <v>14280879</v>
      </c>
      <c r="I16112">
        <v>1379295</v>
      </c>
      <c r="J16112">
        <v>3</v>
      </c>
    </row>
    <row r="16113" spans="1:10" x14ac:dyDescent="0.25">
      <c r="A16113" t="s">
        <v>1617</v>
      </c>
      <c r="B16113" s="1" t="str">
        <f>HYPERLINK("http://glaxosmithkline.se","glaxosmithkline.se")</f>
        <v>glaxosmithkline.se</v>
      </c>
      <c r="C16113" t="s">
        <v>495</v>
      </c>
      <c r="D16113" t="s">
        <v>869</v>
      </c>
      <c r="F16113">
        <v>1.1965032985555999E-8</v>
      </c>
      <c r="G16113">
        <v>5198149</v>
      </c>
      <c r="H16113">
        <v>14120077</v>
      </c>
      <c r="I16113">
        <v>2390740</v>
      </c>
      <c r="J16113">
        <v>3</v>
      </c>
    </row>
    <row r="16114" spans="1:10" x14ac:dyDescent="0.25">
      <c r="A16114" t="s">
        <v>1617</v>
      </c>
      <c r="B16114" s="1" t="str">
        <f>HYPERLINK("http://gsk.to","gsk.to")</f>
        <v>gsk.to</v>
      </c>
      <c r="C16114" t="s">
        <v>578</v>
      </c>
      <c r="D16114" t="s">
        <v>921</v>
      </c>
      <c r="F16114">
        <v>9.1241717544358905E-9</v>
      </c>
      <c r="G16114">
        <v>7813693</v>
      </c>
      <c r="H16114">
        <v>12514212</v>
      </c>
      <c r="I16114">
        <v>17205351</v>
      </c>
      <c r="J16114">
        <v>2</v>
      </c>
    </row>
    <row r="16115" spans="1:10" x14ac:dyDescent="0.25">
      <c r="A16115" t="s">
        <v>1617</v>
      </c>
      <c r="B16115" s="1" t="str">
        <f>HYPERLINK("http://gsk.com.tr","gsk.com.tr")</f>
        <v>gsk.com.tr</v>
      </c>
      <c r="C16115" t="s">
        <v>502</v>
      </c>
      <c r="D16115" t="s">
        <v>876</v>
      </c>
      <c r="F16115">
        <v>5.4965340349564102E-9</v>
      </c>
      <c r="G16115">
        <v>20940551</v>
      </c>
      <c r="H16115">
        <v>13933123</v>
      </c>
      <c r="I16115">
        <v>4922397</v>
      </c>
      <c r="J16115">
        <v>3</v>
      </c>
    </row>
    <row r="16116" spans="1:10" x14ac:dyDescent="0.25">
      <c r="A16116" t="s">
        <v>1617</v>
      </c>
      <c r="B16116" s="1" t="str">
        <f>HYPERLINK("http://gsk.co.uk","gsk.co.uk")</f>
        <v>gsk.co.uk</v>
      </c>
      <c r="C16116" t="s">
        <v>506</v>
      </c>
      <c r="D16116" t="s">
        <v>880</v>
      </c>
      <c r="F16116">
        <v>4.0815555678091101E-8</v>
      </c>
      <c r="G16116">
        <v>1270267</v>
      </c>
      <c r="H16116">
        <v>14511937</v>
      </c>
      <c r="I16116">
        <v>820294</v>
      </c>
      <c r="J16116">
        <v>2</v>
      </c>
    </row>
    <row r="16117" spans="1:10" x14ac:dyDescent="0.25">
      <c r="A16117" t="s">
        <v>1617</v>
      </c>
      <c r="B16117" s="1" t="str">
        <f>HYPERLINK("http://vaccines.co.uk","vaccines.co.uk")</f>
        <v>vaccines.co.uk</v>
      </c>
      <c r="C16117" t="s">
        <v>506</v>
      </c>
      <c r="D16117" t="s">
        <v>880</v>
      </c>
      <c r="F16117">
        <v>6.8512503548034097E-9</v>
      </c>
      <c r="G16117">
        <v>12791462</v>
      </c>
      <c r="H16117">
        <v>12294368</v>
      </c>
      <c r="I16117">
        <v>20979800</v>
      </c>
      <c r="J16117">
        <v>2</v>
      </c>
    </row>
    <row r="16118" spans="1:10" x14ac:dyDescent="0.25">
      <c r="A16118" t="s">
        <v>1617</v>
      </c>
      <c r="B16118" s="1" t="str">
        <f>HYPERLINK("http://gskpro.com.uy","gskpro.com.uy")</f>
        <v>gskpro.com.uy</v>
      </c>
      <c r="C16118" t="s">
        <v>507</v>
      </c>
      <c r="D16118" t="s">
        <v>881</v>
      </c>
      <c r="F16118">
        <v>6.33730866625675E-9</v>
      </c>
      <c r="G16118">
        <v>14825558</v>
      </c>
      <c r="H16118">
        <v>10866453</v>
      </c>
      <c r="I16118">
        <v>36567143</v>
      </c>
      <c r="J16118">
        <v>4</v>
      </c>
    </row>
    <row r="16119" spans="1:10" x14ac:dyDescent="0.25">
      <c r="A16119" t="s">
        <v>169</v>
      </c>
      <c r="B16119" s="1" t="str">
        <f>HYPERLINK("http://gazprom-neft.aero","gazprom-neft.aero")</f>
        <v>gazprom-neft.aero</v>
      </c>
      <c r="C16119" t="s">
        <v>601</v>
      </c>
      <c r="F16119">
        <v>1.7797346687685398E-8</v>
      </c>
      <c r="G16119">
        <v>3075390</v>
      </c>
      <c r="H16119">
        <v>13326644</v>
      </c>
      <c r="I16119">
        <v>10729421</v>
      </c>
      <c r="J16119">
        <v>5</v>
      </c>
    </row>
    <row r="16120" spans="1:10" x14ac:dyDescent="0.25">
      <c r="A16120" t="s">
        <v>169</v>
      </c>
      <c r="B16120" s="1" t="str">
        <f>HYPERLINK("http://centrex.at","centrex.at")</f>
        <v>centrex.at</v>
      </c>
      <c r="C16120" t="s">
        <v>419</v>
      </c>
      <c r="D16120" t="s">
        <v>801</v>
      </c>
      <c r="F16120">
        <v>1.1307246986514599E-8</v>
      </c>
      <c r="G16120">
        <v>5637362</v>
      </c>
      <c r="H16120">
        <v>14381969</v>
      </c>
      <c r="I16120">
        <v>1189954</v>
      </c>
      <c r="J16120">
        <v>6</v>
      </c>
    </row>
    <row r="16121" spans="1:10" x14ac:dyDescent="0.25">
      <c r="A16121" t="s">
        <v>169</v>
      </c>
      <c r="B16121" s="1" t="str">
        <f>HYPERLINK("http://gazprom-petrol.ba","gazprom-petrol.ba")</f>
        <v>gazprom-petrol.ba</v>
      </c>
      <c r="C16121" t="s">
        <v>526</v>
      </c>
      <c r="D16121" t="s">
        <v>893</v>
      </c>
      <c r="F16121">
        <v>2.2625074560179399E-8</v>
      </c>
      <c r="G16121">
        <v>2314808</v>
      </c>
      <c r="H16121">
        <v>14031109</v>
      </c>
      <c r="I16121">
        <v>3928557</v>
      </c>
      <c r="J16121">
        <v>4</v>
      </c>
    </row>
    <row r="16122" spans="1:10" x14ac:dyDescent="0.25">
      <c r="A16122" t="s">
        <v>169</v>
      </c>
      <c r="B16122" s="1" t="str">
        <f>HYPERLINK("http://gazprom-petrol.bg","gazprom-petrol.bg")</f>
        <v>gazprom-petrol.bg</v>
      </c>
      <c r="C16122" t="s">
        <v>422</v>
      </c>
      <c r="D16122" t="s">
        <v>804</v>
      </c>
      <c r="F16122">
        <v>2.48723374780461E-8</v>
      </c>
      <c r="G16122">
        <v>2078845</v>
      </c>
      <c r="H16122">
        <v>14030365</v>
      </c>
      <c r="I16122">
        <v>3935592</v>
      </c>
      <c r="J16122">
        <v>4</v>
      </c>
    </row>
    <row r="16123" spans="1:10" x14ac:dyDescent="0.25">
      <c r="A16123" t="s">
        <v>169</v>
      </c>
      <c r="B16123" s="1" t="str">
        <f>HYPERLINK("http://alesya-btg.by","alesya-btg.by")</f>
        <v>alesya-btg.by</v>
      </c>
      <c r="C16123" t="s">
        <v>427</v>
      </c>
      <c r="D16123" t="s">
        <v>808</v>
      </c>
      <c r="F16123">
        <v>5.9171124818820104E-9</v>
      </c>
      <c r="G16123">
        <v>17240667</v>
      </c>
      <c r="H16123">
        <v>11333504</v>
      </c>
      <c r="I16123">
        <v>30448550</v>
      </c>
      <c r="J16123">
        <v>6</v>
      </c>
    </row>
    <row r="16124" spans="1:10" x14ac:dyDescent="0.25">
      <c r="A16124" t="s">
        <v>169</v>
      </c>
      <c r="B16124" s="1" t="str">
        <f>HYPERLINK("http://btg.by","btg.by")</f>
        <v>btg.by</v>
      </c>
      <c r="C16124" t="s">
        <v>427</v>
      </c>
      <c r="D16124" t="s">
        <v>808</v>
      </c>
      <c r="F16124">
        <v>1.88843109893583E-8</v>
      </c>
      <c r="G16124">
        <v>2856247</v>
      </c>
      <c r="H16124">
        <v>14074052</v>
      </c>
      <c r="I16124">
        <v>2958613</v>
      </c>
      <c r="J16124">
        <v>4</v>
      </c>
    </row>
    <row r="16125" spans="1:10" x14ac:dyDescent="0.25">
      <c r="A16125" t="s">
        <v>169</v>
      </c>
      <c r="B16125" s="1" t="str">
        <f>HYPERLINK("http://gazprom-neft.by","gazprom-neft.by")</f>
        <v>gazprom-neft.by</v>
      </c>
      <c r="C16125" t="s">
        <v>427</v>
      </c>
      <c r="D16125" t="s">
        <v>808</v>
      </c>
      <c r="F16125">
        <v>6.5325772048273902E-9</v>
      </c>
      <c r="G16125">
        <v>13943581</v>
      </c>
      <c r="H16125">
        <v>11451939</v>
      </c>
      <c r="I16125">
        <v>30113415</v>
      </c>
      <c r="J16125">
        <v>5</v>
      </c>
    </row>
    <row r="16126" spans="1:10" x14ac:dyDescent="0.25">
      <c r="A16126" t="s">
        <v>169</v>
      </c>
      <c r="B16126" s="1" t="str">
        <f>HYPERLINK("http://gpnbonus.by","gpnbonus.by")</f>
        <v>gpnbonus.by</v>
      </c>
      <c r="C16126" t="s">
        <v>427</v>
      </c>
      <c r="D16126" t="s">
        <v>808</v>
      </c>
      <c r="F16126">
        <v>9.6606196639409596E-9</v>
      </c>
      <c r="G16126">
        <v>7127895</v>
      </c>
      <c r="H16126">
        <v>12287460</v>
      </c>
      <c r="I16126">
        <v>21166507</v>
      </c>
      <c r="J16126">
        <v>5</v>
      </c>
    </row>
    <row r="16127" spans="1:10" x14ac:dyDescent="0.25">
      <c r="A16127" t="s">
        <v>169</v>
      </c>
      <c r="B16127" s="1" t="str">
        <f>HYPERLINK("http://gtb.by","gtb.by")</f>
        <v>gtb.by</v>
      </c>
      <c r="C16127" t="s">
        <v>427</v>
      </c>
      <c r="D16127" t="s">
        <v>808</v>
      </c>
      <c r="F16127">
        <v>6.6089211635543696E-9</v>
      </c>
      <c r="G16127">
        <v>13643289</v>
      </c>
      <c r="H16127">
        <v>14072011</v>
      </c>
      <c r="I16127">
        <v>3187432</v>
      </c>
      <c r="J16127">
        <v>4</v>
      </c>
    </row>
    <row r="16128" spans="1:10" x14ac:dyDescent="0.25">
      <c r="A16128" t="s">
        <v>169</v>
      </c>
      <c r="B16128" s="1" t="str">
        <f>HYPERLINK("http://gazprombank.ch","gazprombank.ch")</f>
        <v>gazprombank.ch</v>
      </c>
      <c r="C16128" t="s">
        <v>429</v>
      </c>
      <c r="D16128" t="s">
        <v>810</v>
      </c>
      <c r="F16128">
        <v>1.43080706347086E-8</v>
      </c>
      <c r="G16128">
        <v>4090465</v>
      </c>
      <c r="H16128">
        <v>13947887</v>
      </c>
      <c r="I16128">
        <v>4202689</v>
      </c>
      <c r="J16128">
        <v>5</v>
      </c>
    </row>
    <row r="16129" spans="1:10" x14ac:dyDescent="0.25">
      <c r="A16129" t="s">
        <v>169</v>
      </c>
      <c r="B16129" s="1" t="str">
        <f>HYPERLINK("http://rosukrenergo.ch","rosukrenergo.ch")</f>
        <v>rosukrenergo.ch</v>
      </c>
      <c r="C16129" t="s">
        <v>429</v>
      </c>
      <c r="D16129" t="s">
        <v>810</v>
      </c>
      <c r="F16129">
        <v>5.2699621632808303E-9</v>
      </c>
      <c r="G16129">
        <v>23953703</v>
      </c>
      <c r="H16129">
        <v>13934915</v>
      </c>
      <c r="I16129">
        <v>4562860</v>
      </c>
      <c r="J16129">
        <v>4</v>
      </c>
    </row>
    <row r="16130" spans="1:10" x14ac:dyDescent="0.25">
      <c r="A16130" t="s">
        <v>169</v>
      </c>
      <c r="B16130" s="1" t="str">
        <f>HYPERLINK("http://1-2-3production.com","1-2-3production.com")</f>
        <v>1-2-3production.com</v>
      </c>
      <c r="C16130" t="s">
        <v>433</v>
      </c>
      <c r="F16130">
        <v>1.01876780935019E-7</v>
      </c>
      <c r="G16130">
        <v>394397</v>
      </c>
      <c r="H16130">
        <v>14102201</v>
      </c>
      <c r="I16130">
        <v>2699407</v>
      </c>
      <c r="J16130">
        <v>5</v>
      </c>
    </row>
    <row r="16131" spans="1:10" x14ac:dyDescent="0.25">
      <c r="A16131" t="s">
        <v>169</v>
      </c>
      <c r="B16131" s="1" t="str">
        <f>HYPERLINK("http://centrex.com","centrex.com")</f>
        <v>centrex.com</v>
      </c>
      <c r="C16131" t="s">
        <v>433</v>
      </c>
      <c r="F16131">
        <v>7.8384295331332207E-9</v>
      </c>
      <c r="G16131">
        <v>10238279</v>
      </c>
      <c r="H16131">
        <v>13390055</v>
      </c>
      <c r="I16131">
        <v>10391849</v>
      </c>
      <c r="J16131">
        <v>4</v>
      </c>
    </row>
    <row r="16132" spans="1:10" x14ac:dyDescent="0.25">
      <c r="A16132" t="s">
        <v>169</v>
      </c>
      <c r="B16132" s="1" t="str">
        <f>HYPERLINK("http://centrexitalia.com","centrexitalia.com")</f>
        <v>centrexitalia.com</v>
      </c>
      <c r="C16132" t="s">
        <v>433</v>
      </c>
      <c r="F16132">
        <v>1.4661794351623601E-8</v>
      </c>
      <c r="G16132">
        <v>3954186</v>
      </c>
      <c r="H16132">
        <v>13020011</v>
      </c>
      <c r="I16132">
        <v>12713145</v>
      </c>
      <c r="J16132">
        <v>7</v>
      </c>
    </row>
    <row r="16133" spans="1:10" x14ac:dyDescent="0.25">
      <c r="A16133" t="s">
        <v>169</v>
      </c>
      <c r="B16133" s="1" t="str">
        <f>HYPERLINK("http://gazprom.com","gazprom.com")</f>
        <v>gazprom.com</v>
      </c>
      <c r="C16133" t="s">
        <v>433</v>
      </c>
      <c r="E16133">
        <v>84873</v>
      </c>
      <c r="F16133">
        <v>6.7819147624410899E-7</v>
      </c>
      <c r="G16133">
        <v>56872</v>
      </c>
      <c r="H16133">
        <v>15310333</v>
      </c>
      <c r="I16133">
        <v>385295</v>
      </c>
      <c r="J16133">
        <v>2</v>
      </c>
    </row>
    <row r="16134" spans="1:10" x14ac:dyDescent="0.25">
      <c r="A16134" t="s">
        <v>169</v>
      </c>
      <c r="B16134" s="1" t="str">
        <f>HYPERLINK("http://gazprom-international.com","gazprom-international.com")</f>
        <v>gazprom-international.com</v>
      </c>
      <c r="C16134" t="s">
        <v>433</v>
      </c>
      <c r="E16134">
        <v>420728</v>
      </c>
      <c r="F16134">
        <v>2.3698350531389101E-8</v>
      </c>
      <c r="G16134">
        <v>2193678</v>
      </c>
      <c r="H16134">
        <v>14419464</v>
      </c>
      <c r="I16134">
        <v>1091759</v>
      </c>
      <c r="J16134">
        <v>4</v>
      </c>
    </row>
    <row r="16135" spans="1:10" x14ac:dyDescent="0.25">
      <c r="A16135" t="s">
        <v>169</v>
      </c>
      <c r="B16135" s="1" t="str">
        <f>HYPERLINK("http://gazprom-media.com","gazprom-media.com")</f>
        <v>gazprom-media.com</v>
      </c>
      <c r="C16135" t="s">
        <v>433</v>
      </c>
      <c r="E16135">
        <v>100003</v>
      </c>
      <c r="F16135">
        <v>1.66160902936061E-7</v>
      </c>
      <c r="G16135">
        <v>233556</v>
      </c>
      <c r="H16135">
        <v>14484149</v>
      </c>
      <c r="I16135">
        <v>1021615</v>
      </c>
      <c r="J16135">
        <v>4</v>
      </c>
    </row>
    <row r="16136" spans="1:10" x14ac:dyDescent="0.25">
      <c r="A16136" t="s">
        <v>169</v>
      </c>
      <c r="B16136" s="1" t="str">
        <f>HYPERLINK("http://gazprom-neft.com","gazprom-neft.com")</f>
        <v>gazprom-neft.com</v>
      </c>
      <c r="C16136" t="s">
        <v>433</v>
      </c>
      <c r="E16136">
        <v>344238</v>
      </c>
      <c r="F16136">
        <v>1.4175374118046E-7</v>
      </c>
      <c r="G16136">
        <v>274680</v>
      </c>
      <c r="H16136">
        <v>14633093</v>
      </c>
      <c r="I16136">
        <v>643021</v>
      </c>
      <c r="J16136">
        <v>4</v>
      </c>
    </row>
    <row r="16137" spans="1:10" x14ac:dyDescent="0.25">
      <c r="A16137" t="s">
        <v>169</v>
      </c>
      <c r="B16137" s="1" t="str">
        <f>HYPERLINK("http://gazpromexport.com","gazpromexport.com")</f>
        <v>gazpromexport.com</v>
      </c>
      <c r="C16137" t="s">
        <v>433</v>
      </c>
      <c r="F16137">
        <v>1.96495301598432E-8</v>
      </c>
      <c r="G16137">
        <v>2719227</v>
      </c>
      <c r="H16137">
        <v>14082253</v>
      </c>
      <c r="I16137">
        <v>2802028</v>
      </c>
      <c r="J16137">
        <v>5</v>
      </c>
    </row>
    <row r="16138" spans="1:10" x14ac:dyDescent="0.25">
      <c r="A16138" t="s">
        <v>169</v>
      </c>
      <c r="B16138" s="1" t="str">
        <f>HYPERLINK("http://nord-stream.com","nord-stream.com")</f>
        <v>nord-stream.com</v>
      </c>
      <c r="C16138" t="s">
        <v>433</v>
      </c>
      <c r="E16138">
        <v>213517</v>
      </c>
      <c r="F16138">
        <v>3.35308588150023E-7</v>
      </c>
      <c r="G16138">
        <v>111192</v>
      </c>
      <c r="H16138">
        <v>17197902</v>
      </c>
      <c r="I16138">
        <v>42162</v>
      </c>
      <c r="J16138">
        <v>4</v>
      </c>
    </row>
    <row r="16139" spans="1:10" x14ac:dyDescent="0.25">
      <c r="A16139" t="s">
        <v>169</v>
      </c>
      <c r="B16139" s="1" t="str">
        <f>HYPERLINK("http://nord-stream2.com","nord-stream2.com")</f>
        <v>nord-stream2.com</v>
      </c>
      <c r="C16139" t="s">
        <v>433</v>
      </c>
      <c r="E16139">
        <v>324694</v>
      </c>
      <c r="F16139">
        <v>2.70304146332027E-7</v>
      </c>
      <c r="G16139">
        <v>137777</v>
      </c>
      <c r="H16139">
        <v>14664040</v>
      </c>
      <c r="I16139">
        <v>618187</v>
      </c>
      <c r="J16139">
        <v>4</v>
      </c>
    </row>
    <row r="16140" spans="1:10" x14ac:dyDescent="0.25">
      <c r="A16140" t="s">
        <v>169</v>
      </c>
      <c r="B16140" s="1" t="str">
        <f>HYPERLINK("http://opti-24.com","opti-24.com")</f>
        <v>opti-24.com</v>
      </c>
      <c r="C16140" t="s">
        <v>433</v>
      </c>
      <c r="E16140">
        <v>189945</v>
      </c>
      <c r="F16140">
        <v>4.2240465689690998E-8</v>
      </c>
      <c r="G16140">
        <v>1153335</v>
      </c>
      <c r="H16140">
        <v>14042467</v>
      </c>
      <c r="I16140">
        <v>3906107</v>
      </c>
      <c r="J16140">
        <v>5</v>
      </c>
    </row>
    <row r="16141" spans="1:10" x14ac:dyDescent="0.25">
      <c r="A16141" t="s">
        <v>169</v>
      </c>
      <c r="B16141" s="1" t="str">
        <f>HYPERLINK("http://moraviags.cz","moraviags.cz")</f>
        <v>moraviags.cz</v>
      </c>
      <c r="C16141" t="s">
        <v>435</v>
      </c>
      <c r="D16141" t="s">
        <v>814</v>
      </c>
      <c r="F16141">
        <v>5.8159583401159301E-9</v>
      </c>
      <c r="G16141">
        <v>17967405</v>
      </c>
      <c r="H16141">
        <v>12300838</v>
      </c>
      <c r="I16141">
        <v>20815540</v>
      </c>
      <c r="J16141">
        <v>5</v>
      </c>
    </row>
    <row r="16142" spans="1:10" x14ac:dyDescent="0.25">
      <c r="A16142" t="s">
        <v>169</v>
      </c>
      <c r="B16142" s="1" t="str">
        <f>HYPERLINK("http://skoda-js.cz","skoda-js.cz")</f>
        <v>skoda-js.cz</v>
      </c>
      <c r="C16142" t="s">
        <v>435</v>
      </c>
      <c r="D16142" t="s">
        <v>814</v>
      </c>
      <c r="F16142">
        <v>2.8496603562182401E-8</v>
      </c>
      <c r="G16142">
        <v>1806264</v>
      </c>
      <c r="H16142">
        <v>14076908</v>
      </c>
      <c r="I16142">
        <v>2877495</v>
      </c>
      <c r="J16142">
        <v>6</v>
      </c>
    </row>
    <row r="16143" spans="1:10" x14ac:dyDescent="0.25">
      <c r="A16143" t="s">
        <v>169</v>
      </c>
      <c r="B16143" s="1" t="str">
        <f>HYPERLINK("http://g4e.de","g4e.de")</f>
        <v>g4e.de</v>
      </c>
      <c r="C16143" t="s">
        <v>436</v>
      </c>
      <c r="D16143" t="s">
        <v>815</v>
      </c>
      <c r="F16143">
        <v>6.3581542570598799E-9</v>
      </c>
      <c r="G16143">
        <v>14721847</v>
      </c>
      <c r="H16143">
        <v>13066621</v>
      </c>
      <c r="I16143">
        <v>12278951</v>
      </c>
      <c r="J16143">
        <v>5</v>
      </c>
    </row>
    <row r="16144" spans="1:10" x14ac:dyDescent="0.25">
      <c r="A16144" t="s">
        <v>169</v>
      </c>
      <c r="B16144" s="1" t="str">
        <f>HYPERLINK("http://gazprom.de","gazprom.de")</f>
        <v>gazprom.de</v>
      </c>
      <c r="C16144" t="s">
        <v>436</v>
      </c>
      <c r="D16144" t="s">
        <v>815</v>
      </c>
      <c r="F16144">
        <v>2.4076705829031799E-8</v>
      </c>
      <c r="G16144">
        <v>2155489</v>
      </c>
      <c r="H16144">
        <v>14382175</v>
      </c>
      <c r="I16144">
        <v>1189429</v>
      </c>
      <c r="J16144">
        <v>2</v>
      </c>
    </row>
    <row r="16145" spans="1:10" x14ac:dyDescent="0.25">
      <c r="A16145" t="s">
        <v>169</v>
      </c>
      <c r="B16145" s="1" t="str">
        <f>HYPERLINK("http://nis.eu","nis.eu")</f>
        <v>nis.eu</v>
      </c>
      <c r="C16145" t="s">
        <v>444</v>
      </c>
      <c r="E16145">
        <v>509517</v>
      </c>
      <c r="F16145">
        <v>1.56282435835532E-7</v>
      </c>
      <c r="G16145">
        <v>248507</v>
      </c>
      <c r="H16145">
        <v>17115908</v>
      </c>
      <c r="I16145">
        <v>60999</v>
      </c>
      <c r="J16145">
        <v>4</v>
      </c>
    </row>
    <row r="16146" spans="1:10" x14ac:dyDescent="0.25">
      <c r="A16146" t="s">
        <v>169</v>
      </c>
      <c r="B16146" s="1" t="str">
        <f>HYPERLINK("http://prometheusgas.gr","prometheusgas.gr")</f>
        <v>prometheusgas.gr</v>
      </c>
      <c r="C16146" t="s">
        <v>447</v>
      </c>
      <c r="D16146" t="s">
        <v>825</v>
      </c>
      <c r="F16146">
        <v>8.1722548028214606E-9</v>
      </c>
      <c r="G16146">
        <v>9618154</v>
      </c>
      <c r="H16146">
        <v>13763695</v>
      </c>
      <c r="I16146">
        <v>7783237</v>
      </c>
      <c r="J16146">
        <v>4</v>
      </c>
    </row>
    <row r="16147" spans="1:10" x14ac:dyDescent="0.25">
      <c r="A16147" t="s">
        <v>169</v>
      </c>
      <c r="B16147" s="1" t="str">
        <f>HYPERLINK("http://gpbfs.hk","gpbfs.hk")</f>
        <v>gpbfs.hk</v>
      </c>
      <c r="C16147" t="s">
        <v>450</v>
      </c>
      <c r="D16147" t="s">
        <v>827</v>
      </c>
      <c r="J16147">
        <v>10</v>
      </c>
    </row>
    <row r="16148" spans="1:10" x14ac:dyDescent="0.25">
      <c r="A16148" t="s">
        <v>169</v>
      </c>
      <c r="B16148" s="1" t="str">
        <f>HYPERLINK("http://nord-stream.info","nord-stream.info")</f>
        <v>nord-stream.info</v>
      </c>
      <c r="C16148" t="s">
        <v>458</v>
      </c>
      <c r="F16148">
        <v>5.2187686743829801E-8</v>
      </c>
      <c r="G16148">
        <v>874543</v>
      </c>
      <c r="H16148">
        <v>14328420</v>
      </c>
      <c r="I16148">
        <v>1325078</v>
      </c>
      <c r="J16148">
        <v>5</v>
      </c>
    </row>
    <row r="16149" spans="1:10" x14ac:dyDescent="0.25">
      <c r="A16149" t="s">
        <v>169</v>
      </c>
      <c r="B16149" s="1" t="str">
        <f>HYPERLINK("http://gazprom-neft.kg","gazprom-neft.kg")</f>
        <v>gazprom-neft.kg</v>
      </c>
      <c r="C16149" t="s">
        <v>649</v>
      </c>
      <c r="D16149" t="s">
        <v>968</v>
      </c>
      <c r="F16149">
        <v>6.4276291174890596E-9</v>
      </c>
      <c r="G16149">
        <v>14391826</v>
      </c>
      <c r="H16149">
        <v>12394189</v>
      </c>
      <c r="I16149">
        <v>18949787</v>
      </c>
      <c r="J16149">
        <v>5</v>
      </c>
    </row>
    <row r="16150" spans="1:10" x14ac:dyDescent="0.25">
      <c r="A16150" t="s">
        <v>169</v>
      </c>
      <c r="B16150" s="1" t="str">
        <f>HYPERLINK("http://gazprom-neft.kz","gazprom-neft.kz")</f>
        <v>gazprom-neft.kz</v>
      </c>
      <c r="C16150" t="s">
        <v>465</v>
      </c>
      <c r="D16150" t="s">
        <v>841</v>
      </c>
      <c r="F16150">
        <v>6.8548648240922002E-9</v>
      </c>
      <c r="G16150">
        <v>12780032</v>
      </c>
      <c r="H16150">
        <v>11171444</v>
      </c>
      <c r="I16150">
        <v>31515789</v>
      </c>
      <c r="J16150">
        <v>5</v>
      </c>
    </row>
    <row r="16151" spans="1:10" x14ac:dyDescent="0.25">
      <c r="A16151" t="s">
        <v>169</v>
      </c>
      <c r="B16151" s="1" t="str">
        <f>HYPERLINK("http://gazprombank.lu","gazprombank.lu")</f>
        <v>gazprombank.lu</v>
      </c>
      <c r="C16151" t="s">
        <v>547</v>
      </c>
      <c r="D16151" t="s">
        <v>904</v>
      </c>
      <c r="F16151">
        <v>1.0147054904762999E-8</v>
      </c>
      <c r="G16151">
        <v>6599568</v>
      </c>
      <c r="H16151">
        <v>13108189</v>
      </c>
      <c r="I16151">
        <v>12047822</v>
      </c>
      <c r="J16151">
        <v>5</v>
      </c>
    </row>
    <row r="16152" spans="1:10" x14ac:dyDescent="0.25">
      <c r="A16152" t="s">
        <v>169</v>
      </c>
      <c r="B16152" s="1" t="str">
        <f>HYPERLINK("http://lg.lv","lg.lv")</f>
        <v>lg.lv</v>
      </c>
      <c r="C16152" t="s">
        <v>468</v>
      </c>
      <c r="D16152" t="s">
        <v>844</v>
      </c>
      <c r="E16152">
        <v>249188</v>
      </c>
      <c r="F16152">
        <v>6.1244377127918605E-8</v>
      </c>
      <c r="G16152">
        <v>719026</v>
      </c>
      <c r="H16152">
        <v>14498407</v>
      </c>
      <c r="I16152">
        <v>861653</v>
      </c>
      <c r="J16152">
        <v>4</v>
      </c>
    </row>
    <row r="16153" spans="1:10" x14ac:dyDescent="0.25">
      <c r="A16153" t="s">
        <v>169</v>
      </c>
      <c r="B16153" s="1" t="str">
        <f>HYPERLINK("http://gazprom-coop.nl","gazprom-coop.nl")</f>
        <v>gazprom-coop.nl</v>
      </c>
      <c r="C16153" t="s">
        <v>477</v>
      </c>
      <c r="D16153" t="s">
        <v>852</v>
      </c>
      <c r="J16153">
        <v>4</v>
      </c>
    </row>
    <row r="16154" spans="1:10" x14ac:dyDescent="0.25">
      <c r="A16154" t="s">
        <v>169</v>
      </c>
      <c r="B16154" s="1" t="str">
        <f>HYPERLINK("http://premier.one","premier.one")</f>
        <v>premier.one</v>
      </c>
      <c r="C16154" t="s">
        <v>704</v>
      </c>
      <c r="E16154">
        <v>7542</v>
      </c>
      <c r="F16154">
        <v>4.9269928117523004E-7</v>
      </c>
      <c r="G16154">
        <v>77432</v>
      </c>
      <c r="H16154">
        <v>14818873</v>
      </c>
      <c r="I16154">
        <v>519430</v>
      </c>
      <c r="J16154">
        <v>5</v>
      </c>
    </row>
    <row r="16155" spans="1:10" x14ac:dyDescent="0.25">
      <c r="A16155" t="s">
        <v>169</v>
      </c>
      <c r="B16155" s="1" t="str">
        <f>HYPERLINK("http://gazprom-petrol.ro","gazprom-petrol.ro")</f>
        <v>gazprom-petrol.ro</v>
      </c>
      <c r="C16155" t="s">
        <v>491</v>
      </c>
      <c r="D16155" t="s">
        <v>865</v>
      </c>
      <c r="F16155">
        <v>7.7143455804659708E-9</v>
      </c>
      <c r="G16155">
        <v>10541543</v>
      </c>
      <c r="H16155">
        <v>11198834</v>
      </c>
      <c r="I16155">
        <v>31282623</v>
      </c>
      <c r="J16155">
        <v>5</v>
      </c>
    </row>
    <row r="16156" spans="1:10" x14ac:dyDescent="0.25">
      <c r="A16156" t="s">
        <v>169</v>
      </c>
      <c r="B16156" s="1" t="str">
        <f>HYPERLINK("http://gazprom-petrol.rs","gazprom-petrol.rs")</f>
        <v>gazprom-petrol.rs</v>
      </c>
      <c r="C16156" t="s">
        <v>492</v>
      </c>
      <c r="D16156" t="s">
        <v>866</v>
      </c>
      <c r="F16156">
        <v>1.56081454548283E-8</v>
      </c>
      <c r="G16156">
        <v>3652872</v>
      </c>
      <c r="H16156">
        <v>13764930</v>
      </c>
      <c r="I16156">
        <v>7169769</v>
      </c>
      <c r="J16156">
        <v>4</v>
      </c>
    </row>
    <row r="16157" spans="1:10" x14ac:dyDescent="0.25">
      <c r="A16157" t="s">
        <v>169</v>
      </c>
      <c r="B16157" s="1" t="str">
        <f>HYPERLINK("http://nis.rs","nis.rs")</f>
        <v>nis.rs</v>
      </c>
      <c r="C16157" t="s">
        <v>492</v>
      </c>
      <c r="D16157" t="s">
        <v>866</v>
      </c>
      <c r="E16157">
        <v>234276</v>
      </c>
      <c r="F16157">
        <v>2.17153875123332E-7</v>
      </c>
      <c r="G16157">
        <v>173651</v>
      </c>
      <c r="H16157">
        <v>14606793</v>
      </c>
      <c r="I16157">
        <v>681044</v>
      </c>
      <c r="J16157">
        <v>5</v>
      </c>
    </row>
    <row r="16158" spans="1:10" x14ac:dyDescent="0.25">
      <c r="A16158" t="s">
        <v>169</v>
      </c>
      <c r="B16158" s="1" t="str">
        <f>HYPERLINK("http://nisgazprom.rs","nisgazprom.rs")</f>
        <v>nisgazprom.rs</v>
      </c>
      <c r="C16158" t="s">
        <v>492</v>
      </c>
      <c r="D16158" t="s">
        <v>866</v>
      </c>
      <c r="F16158">
        <v>1.4700779097623699E-7</v>
      </c>
      <c r="G16158">
        <v>264846</v>
      </c>
      <c r="H16158">
        <v>16925920</v>
      </c>
      <c r="I16158">
        <v>121901</v>
      </c>
      <c r="J16158">
        <v>4</v>
      </c>
    </row>
    <row r="16159" spans="1:10" x14ac:dyDescent="0.25">
      <c r="A16159" t="s">
        <v>169</v>
      </c>
      <c r="B16159" s="1" t="str">
        <f>HYPERLINK("http://nispetrol.rs","nispetrol.rs")</f>
        <v>nispetrol.rs</v>
      </c>
      <c r="C16159" t="s">
        <v>492</v>
      </c>
      <c r="D16159" t="s">
        <v>866</v>
      </c>
      <c r="F16159">
        <v>1.9168977313707599E-8</v>
      </c>
      <c r="G16159">
        <v>2803911</v>
      </c>
      <c r="H16159">
        <v>13772302</v>
      </c>
      <c r="I16159">
        <v>6665183</v>
      </c>
      <c r="J16159">
        <v>6</v>
      </c>
    </row>
    <row r="16160" spans="1:10" x14ac:dyDescent="0.25">
      <c r="A16160" t="s">
        <v>169</v>
      </c>
      <c r="B16160" s="1" t="str">
        <f>HYPERLINK("http://yugorosgaz.rs","yugorosgaz.rs")</f>
        <v>yugorosgaz.rs</v>
      </c>
      <c r="C16160" t="s">
        <v>492</v>
      </c>
      <c r="D16160" t="s">
        <v>866</v>
      </c>
      <c r="F16160">
        <v>8.3591990836976908E-9</v>
      </c>
      <c r="G16160">
        <v>9127205</v>
      </c>
      <c r="H16160">
        <v>12696731</v>
      </c>
      <c r="I16160">
        <v>15377710</v>
      </c>
      <c r="J16160">
        <v>4</v>
      </c>
    </row>
    <row r="16161" spans="1:10" x14ac:dyDescent="0.25">
      <c r="A16161" t="s">
        <v>169</v>
      </c>
      <c r="B16161" s="1" t="str">
        <f>HYPERLINK("http://azs-opti.ru","azs-opti.ru")</f>
        <v>azs-opti.ru</v>
      </c>
      <c r="C16161" t="s">
        <v>493</v>
      </c>
      <c r="D16161" t="s">
        <v>867</v>
      </c>
      <c r="F16161">
        <v>1.9053615076635001E-8</v>
      </c>
      <c r="G16161">
        <v>2826033</v>
      </c>
      <c r="H16161">
        <v>14030262</v>
      </c>
      <c r="I16161">
        <v>3937116</v>
      </c>
      <c r="J16161">
        <v>5</v>
      </c>
    </row>
    <row r="16162" spans="1:10" x14ac:dyDescent="0.25">
      <c r="A16162" t="s">
        <v>169</v>
      </c>
      <c r="B16162" s="1" t="str">
        <f>HYPERLINK("http://azsgazprom.ru","azsgazprom.ru")</f>
        <v>azsgazprom.ru</v>
      </c>
      <c r="C16162" t="s">
        <v>493</v>
      </c>
      <c r="D16162" t="s">
        <v>867</v>
      </c>
      <c r="E16162">
        <v>516700</v>
      </c>
      <c r="F16162">
        <v>2.3187954222134299E-8</v>
      </c>
      <c r="G16162">
        <v>2250662</v>
      </c>
      <c r="H16162">
        <v>13024521</v>
      </c>
      <c r="I16162">
        <v>12695505</v>
      </c>
      <c r="J16162">
        <v>4</v>
      </c>
    </row>
    <row r="16163" spans="1:10" x14ac:dyDescent="0.25">
      <c r="A16163" t="s">
        <v>169</v>
      </c>
      <c r="B16163" s="1" t="str">
        <f>HYPERLINK("http://comedyclub.ru","comedyclub.ru")</f>
        <v>comedyclub.ru</v>
      </c>
      <c r="C16163" t="s">
        <v>493</v>
      </c>
      <c r="D16163" t="s">
        <v>867</v>
      </c>
      <c r="E16163">
        <v>552253</v>
      </c>
      <c r="F16163">
        <v>3.1255038680506703E-8</v>
      </c>
      <c r="G16163">
        <v>1649746</v>
      </c>
      <c r="H16163">
        <v>14107427</v>
      </c>
      <c r="I16163">
        <v>2683190</v>
      </c>
      <c r="J16163">
        <v>5</v>
      </c>
    </row>
    <row r="16164" spans="1:10" x14ac:dyDescent="0.25">
      <c r="A16164" t="s">
        <v>169</v>
      </c>
      <c r="B16164" s="1" t="str">
        <f>HYPERLINK("http://creditural.ru","creditural.ru")</f>
        <v>creditural.ru</v>
      </c>
      <c r="C16164" t="s">
        <v>493</v>
      </c>
      <c r="D16164" t="s">
        <v>867</v>
      </c>
      <c r="E16164">
        <v>32032</v>
      </c>
      <c r="F16164">
        <v>1.6543669222937699E-7</v>
      </c>
      <c r="G16164">
        <v>234624</v>
      </c>
      <c r="H16164">
        <v>16761071</v>
      </c>
      <c r="I16164">
        <v>228450</v>
      </c>
      <c r="J16164">
        <v>9</v>
      </c>
    </row>
    <row r="16165" spans="1:10" x14ac:dyDescent="0.25">
      <c r="A16165" t="s">
        <v>169</v>
      </c>
      <c r="B16165" s="1" t="str">
        <f>HYPERLINK("http://gazprom.ru","gazprom.ru")</f>
        <v>gazprom.ru</v>
      </c>
      <c r="C16165" t="s">
        <v>493</v>
      </c>
      <c r="D16165" t="s">
        <v>867</v>
      </c>
      <c r="E16165">
        <v>13909</v>
      </c>
      <c r="F16165">
        <v>2.0938879537560601E-6</v>
      </c>
      <c r="G16165">
        <v>17484</v>
      </c>
      <c r="H16165">
        <v>15692401</v>
      </c>
      <c r="I16165">
        <v>369865</v>
      </c>
      <c r="J16165">
        <v>1</v>
      </c>
    </row>
    <row r="16166" spans="1:10" x14ac:dyDescent="0.25">
      <c r="A16166" t="s">
        <v>169</v>
      </c>
      <c r="B16166" s="1" t="str">
        <f>HYPERLINK("http://gazprom-agnks.ru","gazprom-agnks.ru")</f>
        <v>gazprom-agnks.ru</v>
      </c>
      <c r="C16166" t="s">
        <v>493</v>
      </c>
      <c r="D16166" t="s">
        <v>867</v>
      </c>
      <c r="F16166">
        <v>5.1462840483110599E-8</v>
      </c>
      <c r="G16166">
        <v>889072</v>
      </c>
      <c r="H16166">
        <v>14075303</v>
      </c>
      <c r="I16166">
        <v>2912837</v>
      </c>
      <c r="J16166">
        <v>5</v>
      </c>
    </row>
    <row r="16167" spans="1:10" x14ac:dyDescent="0.25">
      <c r="A16167" t="s">
        <v>169</v>
      </c>
      <c r="B16167" s="1" t="str">
        <f>HYPERLINK("http://gazprom-international.ru","gazprom-international.ru")</f>
        <v>gazprom-international.ru</v>
      </c>
      <c r="C16167" t="s">
        <v>493</v>
      </c>
      <c r="D16167" t="s">
        <v>867</v>
      </c>
      <c r="J16167">
        <v>5</v>
      </c>
    </row>
    <row r="16168" spans="1:10" x14ac:dyDescent="0.25">
      <c r="A16168" t="s">
        <v>169</v>
      </c>
      <c r="B16168" s="1" t="str">
        <f>HYPERLINK("http://gazprom-neft.ru","gazprom-neft.ru")</f>
        <v>gazprom-neft.ru</v>
      </c>
      <c r="C16168" t="s">
        <v>493</v>
      </c>
      <c r="D16168" t="s">
        <v>867</v>
      </c>
      <c r="E16168">
        <v>16901</v>
      </c>
      <c r="F16168">
        <v>6.7241331058628202E-7</v>
      </c>
      <c r="G16168">
        <v>57292</v>
      </c>
      <c r="H16168">
        <v>17132186</v>
      </c>
      <c r="I16168">
        <v>56235</v>
      </c>
      <c r="J16168">
        <v>4</v>
      </c>
    </row>
    <row r="16169" spans="1:10" x14ac:dyDescent="0.25">
      <c r="A16169" t="s">
        <v>169</v>
      </c>
      <c r="B16169" s="1" t="str">
        <f>HYPERLINK("http://gazprombank.ru","gazprombank.ru")</f>
        <v>gazprombank.ru</v>
      </c>
      <c r="C16169" t="s">
        <v>493</v>
      </c>
      <c r="D16169" t="s">
        <v>867</v>
      </c>
      <c r="E16169">
        <v>3191</v>
      </c>
      <c r="F16169">
        <v>1.3084867448703101E-6</v>
      </c>
      <c r="G16169">
        <v>29665</v>
      </c>
      <c r="H16169">
        <v>15024695</v>
      </c>
      <c r="I16169">
        <v>419850</v>
      </c>
      <c r="J16169">
        <v>4</v>
      </c>
    </row>
    <row r="16170" spans="1:10" x14ac:dyDescent="0.25">
      <c r="A16170" t="s">
        <v>169</v>
      </c>
      <c r="B16170" s="1" t="str">
        <f>HYPERLINK("http://gazpromexport.ru","gazpromexport.ru")</f>
        <v>gazpromexport.ru</v>
      </c>
      <c r="C16170" t="s">
        <v>493</v>
      </c>
      <c r="D16170" t="s">
        <v>867</v>
      </c>
      <c r="E16170">
        <v>447642</v>
      </c>
      <c r="F16170">
        <v>1.25958639374249E-7</v>
      </c>
      <c r="G16170">
        <v>313125</v>
      </c>
      <c r="H16170">
        <v>14546979</v>
      </c>
      <c r="I16170">
        <v>765928</v>
      </c>
      <c r="J16170">
        <v>4</v>
      </c>
    </row>
    <row r="16171" spans="1:10" x14ac:dyDescent="0.25">
      <c r="A16171" t="s">
        <v>169</v>
      </c>
      <c r="B16171" s="1" t="str">
        <f>HYPERLINK("http://gazprominvestholding.ru","gazprominvestholding.ru")</f>
        <v>gazprominvestholding.ru</v>
      </c>
      <c r="C16171" t="s">
        <v>493</v>
      </c>
      <c r="D16171" t="s">
        <v>867</v>
      </c>
      <c r="F16171">
        <v>2.2651938381811E-8</v>
      </c>
      <c r="G16171">
        <v>2311908</v>
      </c>
      <c r="H16171">
        <v>13401342</v>
      </c>
      <c r="I16171">
        <v>10365481</v>
      </c>
      <c r="J16171">
        <v>4</v>
      </c>
    </row>
    <row r="16172" spans="1:10" x14ac:dyDescent="0.25">
      <c r="A16172" t="s">
        <v>169</v>
      </c>
      <c r="B16172" s="1" t="str">
        <f>HYPERLINK("http://gazprominvestproject.ru","gazprominvestproject.ru")</f>
        <v>gazprominvestproject.ru</v>
      </c>
      <c r="C16172" t="s">
        <v>493</v>
      </c>
      <c r="D16172" t="s">
        <v>867</v>
      </c>
      <c r="F16172">
        <v>4.4651561528977501E-9</v>
      </c>
      <c r="G16172">
        <v>66222195</v>
      </c>
      <c r="H16172">
        <v>9646370</v>
      </c>
      <c r="I16172">
        <v>63927588</v>
      </c>
      <c r="J16172">
        <v>5</v>
      </c>
    </row>
    <row r="16173" spans="1:10" x14ac:dyDescent="0.25">
      <c r="A16173" t="s">
        <v>169</v>
      </c>
      <c r="B16173" s="1" t="str">
        <f>HYPERLINK("http://gazpromrg.ru","gazpromrg.ru")</f>
        <v>gazpromrg.ru</v>
      </c>
      <c r="C16173" t="s">
        <v>493</v>
      </c>
      <c r="D16173" t="s">
        <v>867</v>
      </c>
      <c r="F16173">
        <v>1.1708574614829801E-8</v>
      </c>
      <c r="G16173">
        <v>5360933</v>
      </c>
      <c r="H16173">
        <v>14071800</v>
      </c>
      <c r="I16173">
        <v>3320270</v>
      </c>
      <c r="J16173">
        <v>3</v>
      </c>
    </row>
    <row r="16174" spans="1:10" x14ac:dyDescent="0.25">
      <c r="A16174" t="s">
        <v>169</v>
      </c>
      <c r="B16174" s="1" t="str">
        <f>HYPERLINK("http://gpb.ru","gpb.ru")</f>
        <v>gpb.ru</v>
      </c>
      <c r="C16174" t="s">
        <v>493</v>
      </c>
      <c r="D16174" t="s">
        <v>867</v>
      </c>
      <c r="E16174">
        <v>36953</v>
      </c>
      <c r="F16174">
        <v>2.4705310507737002E-7</v>
      </c>
      <c r="G16174">
        <v>151434</v>
      </c>
      <c r="H16174">
        <v>14092597</v>
      </c>
      <c r="I16174">
        <v>2738919</v>
      </c>
      <c r="J16174">
        <v>6</v>
      </c>
    </row>
    <row r="16175" spans="1:10" x14ac:dyDescent="0.25">
      <c r="A16175" t="s">
        <v>169</v>
      </c>
      <c r="B16175" s="1" t="str">
        <f>HYPERLINK("http://gpb-am.ru","gpb-am.ru")</f>
        <v>gpb-am.ru</v>
      </c>
      <c r="C16175" t="s">
        <v>493</v>
      </c>
      <c r="D16175" t="s">
        <v>867</v>
      </c>
      <c r="F16175">
        <v>1.86244419336998E-8</v>
      </c>
      <c r="G16175">
        <v>2902889</v>
      </c>
      <c r="H16175">
        <v>12607091</v>
      </c>
      <c r="I16175">
        <v>16257535</v>
      </c>
      <c r="J16175">
        <v>9</v>
      </c>
    </row>
    <row r="16176" spans="1:10" x14ac:dyDescent="0.25">
      <c r="A16176" t="s">
        <v>169</v>
      </c>
      <c r="B16176" s="1" t="str">
        <f>HYPERLINK("http://gpbl.ru","gpbl.ru")</f>
        <v>gpbl.ru</v>
      </c>
      <c r="C16176" t="s">
        <v>493</v>
      </c>
      <c r="D16176" t="s">
        <v>867</v>
      </c>
      <c r="E16176">
        <v>212407</v>
      </c>
      <c r="F16176">
        <v>3.6273388877765898E-8</v>
      </c>
      <c r="G16176">
        <v>1438060</v>
      </c>
      <c r="H16176">
        <v>13770961</v>
      </c>
      <c r="I16176">
        <v>6709907</v>
      </c>
      <c r="J16176">
        <v>5</v>
      </c>
    </row>
    <row r="16177" spans="1:10" x14ac:dyDescent="0.25">
      <c r="A16177" t="s">
        <v>169</v>
      </c>
      <c r="B16177" s="1" t="str">
        <f>HYPERLINK("http://gpnbonus.ru","gpnbonus.ru")</f>
        <v>gpnbonus.ru</v>
      </c>
      <c r="C16177" t="s">
        <v>493</v>
      </c>
      <c r="D16177" t="s">
        <v>867</v>
      </c>
      <c r="E16177">
        <v>235926</v>
      </c>
      <c r="F16177">
        <v>1.9392617600099801E-7</v>
      </c>
      <c r="G16177">
        <v>198816</v>
      </c>
      <c r="H16177">
        <v>14633981</v>
      </c>
      <c r="I16177">
        <v>642276</v>
      </c>
      <c r="J16177">
        <v>5</v>
      </c>
    </row>
    <row r="16178" spans="1:10" x14ac:dyDescent="0.25">
      <c r="A16178" t="s">
        <v>169</v>
      </c>
      <c r="B16178" s="1" t="str">
        <f>HYPERLINK("http://gsa-services.ru","gsa-services.ru")</f>
        <v>gsa-services.ru</v>
      </c>
      <c r="C16178" t="s">
        <v>493</v>
      </c>
      <c r="D16178" t="s">
        <v>867</v>
      </c>
      <c r="F16178">
        <v>7.3108958885178397E-9</v>
      </c>
      <c r="G16178">
        <v>11453188</v>
      </c>
      <c r="H16178">
        <v>10924202</v>
      </c>
      <c r="I16178">
        <v>35188504</v>
      </c>
      <c r="J16178">
        <v>4</v>
      </c>
    </row>
    <row r="16179" spans="1:10" x14ac:dyDescent="0.25">
      <c r="A16179" t="s">
        <v>169</v>
      </c>
      <c r="B16179" s="1" t="str">
        <f>HYPERLINK("http://moek.ru","moek.ru")</f>
        <v>moek.ru</v>
      </c>
      <c r="C16179" t="s">
        <v>493</v>
      </c>
      <c r="D16179" t="s">
        <v>867</v>
      </c>
      <c r="E16179">
        <v>275397</v>
      </c>
      <c r="F16179">
        <v>2.5985370138691001E-7</v>
      </c>
      <c r="G16179">
        <v>143937</v>
      </c>
      <c r="H16179">
        <v>14289939</v>
      </c>
      <c r="I16179">
        <v>1366732</v>
      </c>
      <c r="J16179">
        <v>4</v>
      </c>
    </row>
    <row r="16180" spans="1:10" x14ac:dyDescent="0.25">
      <c r="A16180" t="s">
        <v>169</v>
      </c>
      <c r="B16180" s="1" t="str">
        <f>HYPERLINK("http://mosenergo.ru","mosenergo.ru")</f>
        <v>mosenergo.ru</v>
      </c>
      <c r="C16180" t="s">
        <v>493</v>
      </c>
      <c r="D16180" t="s">
        <v>867</v>
      </c>
      <c r="E16180">
        <v>242972</v>
      </c>
      <c r="F16180">
        <v>5.3885686585671901E-8</v>
      </c>
      <c r="G16180">
        <v>843318</v>
      </c>
      <c r="H16180">
        <v>14267952</v>
      </c>
      <c r="I16180">
        <v>1404472</v>
      </c>
      <c r="J16180">
        <v>4</v>
      </c>
    </row>
    <row r="16181" spans="1:10" x14ac:dyDescent="0.25">
      <c r="A16181" t="s">
        <v>169</v>
      </c>
      <c r="B16181" s="1" t="str">
        <f>HYPERLINK("http://northgas.ru","northgas.ru")</f>
        <v>northgas.ru</v>
      </c>
      <c r="C16181" t="s">
        <v>493</v>
      </c>
      <c r="D16181" t="s">
        <v>867</v>
      </c>
      <c r="F16181">
        <v>8.2548105181644901E-9</v>
      </c>
      <c r="G16181">
        <v>9365536</v>
      </c>
      <c r="H16181">
        <v>12965990</v>
      </c>
      <c r="I16181">
        <v>13123453</v>
      </c>
      <c r="J16181">
        <v>4</v>
      </c>
    </row>
    <row r="16182" spans="1:10" x14ac:dyDescent="0.25">
      <c r="A16182" t="s">
        <v>169</v>
      </c>
      <c r="B16182" s="1" t="str">
        <f>HYPERLINK("http://ntv.ru","ntv.ru")</f>
        <v>ntv.ru</v>
      </c>
      <c r="C16182" t="s">
        <v>493</v>
      </c>
      <c r="D16182" t="s">
        <v>867</v>
      </c>
      <c r="E16182">
        <v>8307</v>
      </c>
      <c r="F16182">
        <v>4.3240057192980799E-6</v>
      </c>
      <c r="G16182">
        <v>8221</v>
      </c>
      <c r="H16182">
        <v>17557674</v>
      </c>
      <c r="I16182">
        <v>11027</v>
      </c>
      <c r="J16182">
        <v>5</v>
      </c>
    </row>
    <row r="16183" spans="1:10" x14ac:dyDescent="0.25">
      <c r="A16183" t="s">
        <v>169</v>
      </c>
      <c r="B16183" s="1" t="str">
        <f>HYPERLINK("http://ogk2.ru","ogk2.ru")</f>
        <v>ogk2.ru</v>
      </c>
      <c r="C16183" t="s">
        <v>493</v>
      </c>
      <c r="D16183" t="s">
        <v>867</v>
      </c>
      <c r="E16183">
        <v>418512</v>
      </c>
      <c r="F16183">
        <v>6.1633301679919805E-8</v>
      </c>
      <c r="G16183">
        <v>713914</v>
      </c>
      <c r="H16183">
        <v>14086017</v>
      </c>
      <c r="I16183">
        <v>2773721</v>
      </c>
      <c r="J16183">
        <v>4</v>
      </c>
    </row>
    <row r="16184" spans="1:10" x14ac:dyDescent="0.25">
      <c r="A16184" t="s">
        <v>169</v>
      </c>
      <c r="B16184" s="1" t="str">
        <f>HYPERLINK("http://omz.ru","omz.ru")</f>
        <v>omz.ru</v>
      </c>
      <c r="C16184" t="s">
        <v>493</v>
      </c>
      <c r="D16184" t="s">
        <v>867</v>
      </c>
      <c r="E16184">
        <v>601310</v>
      </c>
      <c r="F16184">
        <v>3.71929595734632E-8</v>
      </c>
      <c r="G16184">
        <v>1392752</v>
      </c>
      <c r="H16184">
        <v>14083575</v>
      </c>
      <c r="I16184">
        <v>2792658</v>
      </c>
      <c r="J16184">
        <v>5</v>
      </c>
    </row>
    <row r="16185" spans="1:10" x14ac:dyDescent="0.25">
      <c r="A16185" t="s">
        <v>169</v>
      </c>
      <c r="B16185" s="1" t="str">
        <f>HYPERLINK("http://orenburgregiongaz.ru","orenburgregiongaz.ru")</f>
        <v>orenburgregiongaz.ru</v>
      </c>
      <c r="C16185" t="s">
        <v>493</v>
      </c>
      <c r="D16185" t="s">
        <v>867</v>
      </c>
      <c r="F16185">
        <v>2.11731364839866E-8</v>
      </c>
      <c r="G16185">
        <v>2491128</v>
      </c>
      <c r="H16185">
        <v>12996211</v>
      </c>
      <c r="I16185">
        <v>12817655</v>
      </c>
      <c r="J16185">
        <v>5</v>
      </c>
    </row>
    <row r="16186" spans="1:10" x14ac:dyDescent="0.25">
      <c r="A16186" t="s">
        <v>169</v>
      </c>
      <c r="B16186" s="1" t="str">
        <f>HYPERLINK("http://ozrto.ru","ozrto.ru")</f>
        <v>ozrto.ru</v>
      </c>
      <c r="C16186" t="s">
        <v>493</v>
      </c>
      <c r="D16186" t="s">
        <v>867</v>
      </c>
      <c r="F16186">
        <v>1.16606925898768E-8</v>
      </c>
      <c r="G16186">
        <v>5391829</v>
      </c>
      <c r="H16186">
        <v>12006510</v>
      </c>
      <c r="I16186">
        <v>28151736</v>
      </c>
      <c r="J16186">
        <v>4</v>
      </c>
    </row>
    <row r="16187" spans="1:10" x14ac:dyDescent="0.25">
      <c r="A16187" t="s">
        <v>169</v>
      </c>
      <c r="B16187" s="1" t="str">
        <f>HYPERLINK("http://profmedia.ru","profmedia.ru")</f>
        <v>profmedia.ru</v>
      </c>
      <c r="C16187" t="s">
        <v>493</v>
      </c>
      <c r="D16187" t="s">
        <v>867</v>
      </c>
      <c r="F16187">
        <v>1.5855889666142799E-8</v>
      </c>
      <c r="G16187">
        <v>3584230</v>
      </c>
      <c r="H16187">
        <v>14242387</v>
      </c>
      <c r="I16187">
        <v>1484590</v>
      </c>
      <c r="J16187">
        <v>5</v>
      </c>
    </row>
    <row r="16188" spans="1:10" x14ac:dyDescent="0.25">
      <c r="A16188" t="s">
        <v>169</v>
      </c>
      <c r="B16188" s="1" t="str">
        <f>HYPERLINK("http://red-media.ru","red-media.ru")</f>
        <v>red-media.ru</v>
      </c>
      <c r="C16188" t="s">
        <v>493</v>
      </c>
      <c r="D16188" t="s">
        <v>867</v>
      </c>
      <c r="E16188">
        <v>427281</v>
      </c>
      <c r="F16188">
        <v>5.4444952328972999E-8</v>
      </c>
      <c r="G16188">
        <v>828978</v>
      </c>
      <c r="H16188">
        <v>14200442</v>
      </c>
      <c r="I16188">
        <v>1723347</v>
      </c>
      <c r="J16188">
        <v>5</v>
      </c>
    </row>
    <row r="16189" spans="1:10" x14ac:dyDescent="0.25">
      <c r="A16189" t="s">
        <v>169</v>
      </c>
      <c r="B16189" s="1" t="str">
        <f>HYPERLINK("http://slavneft.ru","slavneft.ru")</f>
        <v>slavneft.ru</v>
      </c>
      <c r="C16189" t="s">
        <v>493</v>
      </c>
      <c r="D16189" t="s">
        <v>867</v>
      </c>
      <c r="E16189">
        <v>143675</v>
      </c>
      <c r="F16189">
        <v>7.6960129711398104E-8</v>
      </c>
      <c r="G16189">
        <v>544370</v>
      </c>
      <c r="H16189">
        <v>14095207</v>
      </c>
      <c r="I16189">
        <v>2729837</v>
      </c>
      <c r="J16189">
        <v>5</v>
      </c>
    </row>
    <row r="16190" spans="1:10" x14ac:dyDescent="0.25">
      <c r="A16190" t="s">
        <v>169</v>
      </c>
      <c r="B16190" s="1" t="str">
        <f>HYPERLINK("http://tgc1.ru","tgc1.ru")</f>
        <v>tgc1.ru</v>
      </c>
      <c r="C16190" t="s">
        <v>493</v>
      </c>
      <c r="D16190" t="s">
        <v>867</v>
      </c>
      <c r="E16190">
        <v>57507</v>
      </c>
      <c r="F16190">
        <v>8.4099097479626502E-8</v>
      </c>
      <c r="G16190">
        <v>491932</v>
      </c>
      <c r="H16190">
        <v>14256793</v>
      </c>
      <c r="I16190">
        <v>1429548</v>
      </c>
      <c r="J16190">
        <v>4</v>
      </c>
    </row>
    <row r="16191" spans="1:10" x14ac:dyDescent="0.25">
      <c r="A16191" t="s">
        <v>169</v>
      </c>
      <c r="B16191" s="1" t="str">
        <f>HYPERLINK("http://vrpp.ru","vrpp.ru")</f>
        <v>vrpp.ru</v>
      </c>
      <c r="C16191" t="s">
        <v>493</v>
      </c>
      <c r="D16191" t="s">
        <v>867</v>
      </c>
      <c r="F16191">
        <v>1.8938551792848201E-8</v>
      </c>
      <c r="G16191">
        <v>2846432</v>
      </c>
      <c r="H16191">
        <v>12478278</v>
      </c>
      <c r="I16191">
        <v>17614653</v>
      </c>
      <c r="J16191">
        <v>4</v>
      </c>
    </row>
    <row r="16192" spans="1:10" x14ac:dyDescent="0.25">
      <c r="A16192" t="s">
        <v>169</v>
      </c>
      <c r="B16192" s="1" t="str">
        <f>HYPERLINK("http://vunipigaz.ru","vunipigaz.ru")</f>
        <v>vunipigaz.ru</v>
      </c>
      <c r="C16192" t="s">
        <v>493</v>
      </c>
      <c r="D16192" t="s">
        <v>867</v>
      </c>
      <c r="F16192">
        <v>7.3736383426002896E-9</v>
      </c>
      <c r="G16192">
        <v>11305622</v>
      </c>
      <c r="H16192">
        <v>12300760</v>
      </c>
      <c r="I16192">
        <v>20816646</v>
      </c>
      <c r="J16192">
        <v>4</v>
      </c>
    </row>
    <row r="16193" spans="1:10" x14ac:dyDescent="0.25">
      <c r="A16193" t="s">
        <v>169</v>
      </c>
      <c r="B16193" s="1" t="str">
        <f>HYPERLINK("http://zifergauz.ru","zifergauz.ru")</f>
        <v>zifergauz.ru</v>
      </c>
      <c r="C16193" t="s">
        <v>493</v>
      </c>
      <c r="D16193" t="s">
        <v>867</v>
      </c>
      <c r="F16193">
        <v>4.7367509368361002E-9</v>
      </c>
      <c r="G16193">
        <v>38963701</v>
      </c>
      <c r="H16193">
        <v>10922153</v>
      </c>
      <c r="I16193">
        <v>35231405</v>
      </c>
      <c r="J16193">
        <v>6</v>
      </c>
    </row>
    <row r="16194" spans="1:10" x14ac:dyDescent="0.25">
      <c r="A16194" t="s">
        <v>169</v>
      </c>
      <c r="B16194" s="1" t="str">
        <f>HYPERLINK("http://gazprom-neft.tj","gazprom-neft.tj")</f>
        <v>gazprom-neft.tj</v>
      </c>
      <c r="C16194" t="s">
        <v>673</v>
      </c>
      <c r="D16194" t="s">
        <v>991</v>
      </c>
      <c r="F16194">
        <v>5.3016375654369599E-9</v>
      </c>
      <c r="G16194">
        <v>23467574</v>
      </c>
      <c r="H16194">
        <v>11244986</v>
      </c>
      <c r="I16194">
        <v>30933167</v>
      </c>
      <c r="J16194">
        <v>5</v>
      </c>
    </row>
    <row r="16195" spans="1:10" x14ac:dyDescent="0.25">
      <c r="A16195" t="s">
        <v>170</v>
      </c>
      <c r="B16195" s="1" t="str">
        <f>HYPERLINK("http://glf.aero","glf.aero")</f>
        <v>glf.aero</v>
      </c>
      <c r="C16195" t="s">
        <v>601</v>
      </c>
      <c r="F16195">
        <v>4.5227283182584598E-9</v>
      </c>
      <c r="G16195">
        <v>55873733</v>
      </c>
      <c r="H16195">
        <v>10944533</v>
      </c>
      <c r="I16195">
        <v>34713717</v>
      </c>
      <c r="J16195">
        <v>5</v>
      </c>
    </row>
    <row r="16196" spans="1:10" x14ac:dyDescent="0.25">
      <c r="A16196" t="s">
        <v>170</v>
      </c>
      <c r="B16196" s="1" t="str">
        <f>HYPERLINK("http://gulfstream.aero","gulfstream.aero")</f>
        <v>gulfstream.aero</v>
      </c>
      <c r="C16196" t="s">
        <v>601</v>
      </c>
      <c r="F16196">
        <v>2.1304053862311301E-8</v>
      </c>
      <c r="G16196">
        <v>2473693</v>
      </c>
      <c r="H16196">
        <v>13934919</v>
      </c>
      <c r="I16196">
        <v>4562601</v>
      </c>
      <c r="J16196">
        <v>4</v>
      </c>
    </row>
    <row r="16197" spans="1:10" x14ac:dyDescent="0.25">
      <c r="A16197" t="s">
        <v>170</v>
      </c>
      <c r="B16197" s="1" t="str">
        <f>HYPERLINK("http://hawkerpacific.com.au","hawkerpacific.com.au")</f>
        <v>hawkerpacific.com.au</v>
      </c>
      <c r="C16197" t="s">
        <v>420</v>
      </c>
      <c r="D16197" t="s">
        <v>802</v>
      </c>
      <c r="F16197">
        <v>6.8936908767224397E-9</v>
      </c>
      <c r="G16197">
        <v>12654248</v>
      </c>
      <c r="H16197">
        <v>13767695</v>
      </c>
      <c r="I16197">
        <v>6918220</v>
      </c>
      <c r="J16197">
        <v>6</v>
      </c>
    </row>
    <row r="16198" spans="1:10" x14ac:dyDescent="0.25">
      <c r="A16198" t="s">
        <v>170</v>
      </c>
      <c r="B16198" s="1" t="str">
        <f>HYPERLINK("http://mediaware.com.au","mediaware.com.au")</f>
        <v>mediaware.com.au</v>
      </c>
      <c r="C16198" t="s">
        <v>420</v>
      </c>
      <c r="D16198" t="s">
        <v>802</v>
      </c>
      <c r="F16198">
        <v>7.3631065688633902E-9</v>
      </c>
      <c r="G16198">
        <v>11330374</v>
      </c>
      <c r="H16198">
        <v>12698607</v>
      </c>
      <c r="I16198">
        <v>15367100</v>
      </c>
      <c r="J16198">
        <v>3</v>
      </c>
    </row>
    <row r="16199" spans="1:10" x14ac:dyDescent="0.25">
      <c r="A16199" t="s">
        <v>170</v>
      </c>
      <c r="B16199" s="1" t="str">
        <f>HYPERLINK("http://gd-ms.ca","gd-ms.ca")</f>
        <v>gd-ms.ca</v>
      </c>
      <c r="C16199" t="s">
        <v>428</v>
      </c>
      <c r="D16199" t="s">
        <v>809</v>
      </c>
      <c r="F16199">
        <v>1.37450795840491E-8</v>
      </c>
      <c r="G16199">
        <v>4303140</v>
      </c>
      <c r="H16199">
        <v>13267272</v>
      </c>
      <c r="I16199">
        <v>11003097</v>
      </c>
      <c r="J16199">
        <v>7</v>
      </c>
    </row>
    <row r="16200" spans="1:10" x14ac:dyDescent="0.25">
      <c r="A16200" t="s">
        <v>170</v>
      </c>
      <c r="B16200" s="1" t="str">
        <f>HYPERLINK("http://gdmissionsystems.ca","gdmissionsystems.ca")</f>
        <v>gdmissionsystems.ca</v>
      </c>
      <c r="C16200" t="s">
        <v>428</v>
      </c>
      <c r="D16200" t="s">
        <v>809</v>
      </c>
      <c r="F16200">
        <v>4.2947784666457903E-8</v>
      </c>
      <c r="G16200">
        <v>1120814</v>
      </c>
      <c r="H16200">
        <v>13776728</v>
      </c>
      <c r="I16200">
        <v>6549445</v>
      </c>
      <c r="J16200">
        <v>4</v>
      </c>
    </row>
    <row r="16201" spans="1:10" x14ac:dyDescent="0.25">
      <c r="A16201" t="s">
        <v>170</v>
      </c>
      <c r="B16201" s="1" t="str">
        <f>HYPERLINK("http://jetaviation.ch","jetaviation.ch")</f>
        <v>jetaviation.ch</v>
      </c>
      <c r="C16201" t="s">
        <v>429</v>
      </c>
      <c r="D16201" t="s">
        <v>810</v>
      </c>
      <c r="F16201">
        <v>5.5503612781816301E-9</v>
      </c>
      <c r="G16201">
        <v>20374075</v>
      </c>
      <c r="H16201">
        <v>12221000</v>
      </c>
      <c r="I16201">
        <v>22767143</v>
      </c>
      <c r="J16201">
        <v>3</v>
      </c>
    </row>
    <row r="16202" spans="1:10" x14ac:dyDescent="0.25">
      <c r="A16202" t="s">
        <v>170</v>
      </c>
      <c r="B16202" s="1" t="str">
        <f>HYPERLINK("http://anteon.com","anteon.com")</f>
        <v>anteon.com</v>
      </c>
      <c r="C16202" t="s">
        <v>433</v>
      </c>
      <c r="F16202">
        <v>1.21304974513288E-8</v>
      </c>
      <c r="G16202">
        <v>5091345</v>
      </c>
      <c r="H16202">
        <v>13877287</v>
      </c>
      <c r="I16202">
        <v>5987907</v>
      </c>
      <c r="J16202">
        <v>7</v>
      </c>
    </row>
    <row r="16203" spans="1:10" x14ac:dyDescent="0.25">
      <c r="A16203" t="s">
        <v>170</v>
      </c>
      <c r="B16203" s="1" t="str">
        <f>HYPERLINK("http://aphysci.com","aphysci.com")</f>
        <v>aphysci.com</v>
      </c>
      <c r="C16203" t="s">
        <v>433</v>
      </c>
      <c r="F16203">
        <v>8.1909013092409792E-9</v>
      </c>
      <c r="G16203">
        <v>9587298</v>
      </c>
      <c r="H16203">
        <v>13165660</v>
      </c>
      <c r="I16203">
        <v>11741413</v>
      </c>
      <c r="J16203">
        <v>3</v>
      </c>
    </row>
    <row r="16204" spans="1:10" x14ac:dyDescent="0.25">
      <c r="A16204" t="s">
        <v>170</v>
      </c>
      <c r="B16204" s="1" t="str">
        <f>HYPERLINK("http://arma-global.com","arma-global.com")</f>
        <v>arma-global.com</v>
      </c>
      <c r="C16204" t="s">
        <v>433</v>
      </c>
      <c r="F16204">
        <v>8.5224720058134006E-9</v>
      </c>
      <c r="G16204">
        <v>8801286</v>
      </c>
      <c r="H16204">
        <v>12327644</v>
      </c>
      <c r="I16204">
        <v>20253569</v>
      </c>
      <c r="J16204">
        <v>3</v>
      </c>
    </row>
    <row r="16205" spans="1:10" x14ac:dyDescent="0.25">
      <c r="A16205" t="s">
        <v>170</v>
      </c>
      <c r="B16205" s="1" t="str">
        <f>HYPERLINK("http://bcssi.com","bcssi.com")</f>
        <v>bcssi.com</v>
      </c>
      <c r="C16205" t="s">
        <v>433</v>
      </c>
      <c r="F16205">
        <v>5.0645357998276398E-9</v>
      </c>
      <c r="G16205">
        <v>27907592</v>
      </c>
      <c r="H16205">
        <v>12193198</v>
      </c>
      <c r="I16205">
        <v>23506165</v>
      </c>
      <c r="J16205">
        <v>7</v>
      </c>
    </row>
    <row r="16206" spans="1:10" x14ac:dyDescent="0.25">
      <c r="A16206" t="s">
        <v>170</v>
      </c>
      <c r="B16206" s="1" t="str">
        <f>HYPERLINK("http://congoleum.com","congoleum.com")</f>
        <v>congoleum.com</v>
      </c>
      <c r="C16206" t="s">
        <v>433</v>
      </c>
      <c r="E16206">
        <v>568578</v>
      </c>
      <c r="F16206">
        <v>1.0828373263828401E-7</v>
      </c>
      <c r="G16206">
        <v>369589</v>
      </c>
      <c r="H16206">
        <v>13945088</v>
      </c>
      <c r="I16206">
        <v>4287030</v>
      </c>
      <c r="J16206">
        <v>3</v>
      </c>
    </row>
    <row r="16207" spans="1:10" x14ac:dyDescent="0.25">
      <c r="A16207" t="s">
        <v>170</v>
      </c>
      <c r="B16207" s="1" t="str">
        <f>HYPERLINK("http://creative.com","creative.com")</f>
        <v>creative.com</v>
      </c>
      <c r="C16207" t="s">
        <v>433</v>
      </c>
      <c r="E16207">
        <v>11168</v>
      </c>
      <c r="F16207">
        <v>1.5820822013923799E-6</v>
      </c>
      <c r="G16207">
        <v>24837</v>
      </c>
      <c r="H16207">
        <v>17456004</v>
      </c>
      <c r="I16207">
        <v>15831</v>
      </c>
      <c r="J16207">
        <v>3</v>
      </c>
    </row>
    <row r="16208" spans="1:10" x14ac:dyDescent="0.25">
      <c r="A16208" t="s">
        <v>170</v>
      </c>
      <c r="B16208" s="1" t="str">
        <f>HYPERLINK("http://creativefoamdemexico.com","creativefoamdemexico.com")</f>
        <v>creativefoamdemexico.com</v>
      </c>
      <c r="C16208" t="s">
        <v>433</v>
      </c>
      <c r="J16208">
        <v>5</v>
      </c>
    </row>
    <row r="16209" spans="1:10" x14ac:dyDescent="0.25">
      <c r="A16209" t="s">
        <v>170</v>
      </c>
      <c r="B16209" s="1" t="str">
        <f>HYPERLINK("http://csra.com","csra.com")</f>
        <v>csra.com</v>
      </c>
      <c r="C16209" t="s">
        <v>433</v>
      </c>
      <c r="E16209">
        <v>694133</v>
      </c>
      <c r="F16209">
        <v>1.0940537412804999E-7</v>
      </c>
      <c r="G16209">
        <v>365695</v>
      </c>
      <c r="H16209">
        <v>14421432</v>
      </c>
      <c r="I16209">
        <v>1087451</v>
      </c>
      <c r="J16209">
        <v>3</v>
      </c>
    </row>
    <row r="16210" spans="1:10" x14ac:dyDescent="0.25">
      <c r="A16210" t="s">
        <v>170</v>
      </c>
      <c r="B16210" s="1" t="str">
        <f>HYPERLINK("http://ebveec.com","ebveec.com")</f>
        <v>ebveec.com</v>
      </c>
      <c r="C16210" t="s">
        <v>433</v>
      </c>
      <c r="F16210">
        <v>4.4447983960907598E-9</v>
      </c>
      <c r="G16210">
        <v>76061283</v>
      </c>
      <c r="H16210">
        <v>9623312</v>
      </c>
      <c r="I16210">
        <v>64156093</v>
      </c>
      <c r="J16210">
        <v>3</v>
      </c>
    </row>
    <row r="16211" spans="1:10" x14ac:dyDescent="0.25">
      <c r="A16211" t="s">
        <v>170</v>
      </c>
      <c r="B16211" s="1" t="str">
        <f>HYPERLINK("http://fortresstech.com","fortresstech.com")</f>
        <v>fortresstech.com</v>
      </c>
      <c r="C16211" t="s">
        <v>433</v>
      </c>
      <c r="F16211">
        <v>1.1765414618771001E-8</v>
      </c>
      <c r="G16211">
        <v>5323709</v>
      </c>
      <c r="H16211">
        <v>13380517</v>
      </c>
      <c r="I16211">
        <v>10425460</v>
      </c>
      <c r="J16211">
        <v>5</v>
      </c>
    </row>
    <row r="16212" spans="1:10" x14ac:dyDescent="0.25">
      <c r="A16212" t="s">
        <v>170</v>
      </c>
      <c r="B16212" s="1" t="str">
        <f>HYPERLINK("http://gd.com","gd.com")</f>
        <v>gd.com</v>
      </c>
      <c r="C16212" t="s">
        <v>433</v>
      </c>
      <c r="E16212">
        <v>76063</v>
      </c>
      <c r="F16212">
        <v>6.2059916893496798E-7</v>
      </c>
      <c r="G16212">
        <v>61738</v>
      </c>
      <c r="H16212">
        <v>15302173</v>
      </c>
      <c r="I16212">
        <v>385903</v>
      </c>
      <c r="J16212">
        <v>1</v>
      </c>
    </row>
    <row r="16213" spans="1:10" x14ac:dyDescent="0.25">
      <c r="A16213" t="s">
        <v>170</v>
      </c>
      <c r="B16213" s="1" t="str">
        <f>HYPERLINK("http://gd-ots.com","gd-ots.com")</f>
        <v>gd-ots.com</v>
      </c>
      <c r="C16213" t="s">
        <v>433</v>
      </c>
      <c r="E16213">
        <v>429063</v>
      </c>
      <c r="F16213">
        <v>8.3042166844168894E-8</v>
      </c>
      <c r="G16213">
        <v>502262</v>
      </c>
      <c r="H16213">
        <v>14895848</v>
      </c>
      <c r="I16213">
        <v>464674</v>
      </c>
      <c r="J16213">
        <v>3</v>
      </c>
    </row>
    <row r="16214" spans="1:10" x14ac:dyDescent="0.25">
      <c r="A16214" t="s">
        <v>170</v>
      </c>
      <c r="B16214" s="1" t="str">
        <f>HYPERLINK("http://gd-otscanada.com","gd-otscanada.com")</f>
        <v>gd-otscanada.com</v>
      </c>
      <c r="C16214" t="s">
        <v>433</v>
      </c>
      <c r="F16214">
        <v>1.22729675567831E-8</v>
      </c>
      <c r="G16214">
        <v>5009286</v>
      </c>
      <c r="H16214">
        <v>14247855</v>
      </c>
      <c r="I16214">
        <v>1455854</v>
      </c>
      <c r="J16214">
        <v>4</v>
      </c>
    </row>
    <row r="16215" spans="1:10" x14ac:dyDescent="0.25">
      <c r="A16215" t="s">
        <v>170</v>
      </c>
      <c r="B16215" s="1" t="str">
        <f>HYPERLINK("http://gdamsea.com","gdamsea.com")</f>
        <v>gdamsea.com</v>
      </c>
      <c r="C16215" t="s">
        <v>433</v>
      </c>
      <c r="F16215">
        <v>5.0480024602167699E-9</v>
      </c>
      <c r="G16215">
        <v>28266956</v>
      </c>
      <c r="H16215">
        <v>13763953</v>
      </c>
      <c r="I16215">
        <v>7471278</v>
      </c>
      <c r="J16215">
        <v>3</v>
      </c>
    </row>
    <row r="16216" spans="1:10" x14ac:dyDescent="0.25">
      <c r="A16216" t="s">
        <v>170</v>
      </c>
      <c r="B16216" s="1" t="str">
        <f>HYPERLINK("http://gdbiw.com","gdbiw.com")</f>
        <v>gdbiw.com</v>
      </c>
      <c r="C16216" t="s">
        <v>433</v>
      </c>
      <c r="E16216">
        <v>136129</v>
      </c>
      <c r="F16216">
        <v>7.2747958658442005E-8</v>
      </c>
      <c r="G16216">
        <v>579889</v>
      </c>
      <c r="H16216">
        <v>14859726</v>
      </c>
      <c r="I16216">
        <v>484989</v>
      </c>
      <c r="J16216">
        <v>3</v>
      </c>
    </row>
    <row r="16217" spans="1:10" x14ac:dyDescent="0.25">
      <c r="A16217" t="s">
        <v>170</v>
      </c>
      <c r="B16217" s="1" t="str">
        <f>HYPERLINK("http://gdcanada.com","gdcanada.com")</f>
        <v>gdcanada.com</v>
      </c>
      <c r="C16217" t="s">
        <v>433</v>
      </c>
      <c r="F16217">
        <v>2.1753448315321299E-8</v>
      </c>
      <c r="G16217">
        <v>2416932</v>
      </c>
      <c r="H16217">
        <v>14517050</v>
      </c>
      <c r="I16217">
        <v>810531</v>
      </c>
      <c r="J16217">
        <v>3</v>
      </c>
    </row>
    <row r="16218" spans="1:10" x14ac:dyDescent="0.25">
      <c r="A16218" t="s">
        <v>170</v>
      </c>
      <c r="B16218" s="1" t="str">
        <f>HYPERLINK("http://gdeb.com","gdeb.com")</f>
        <v>gdeb.com</v>
      </c>
      <c r="C16218" t="s">
        <v>433</v>
      </c>
      <c r="E16218">
        <v>62299</v>
      </c>
      <c r="F16218">
        <v>1.2923529669571299E-7</v>
      </c>
      <c r="G16218">
        <v>303162</v>
      </c>
      <c r="H16218">
        <v>14946791</v>
      </c>
      <c r="I16218">
        <v>441550</v>
      </c>
      <c r="J16218">
        <v>3</v>
      </c>
    </row>
    <row r="16219" spans="1:10" x14ac:dyDescent="0.25">
      <c r="A16219" t="s">
        <v>170</v>
      </c>
      <c r="B16219" s="1" t="str">
        <f>HYPERLINK("http://gdels.com","gdels.com")</f>
        <v>gdels.com</v>
      </c>
      <c r="C16219" t="s">
        <v>433</v>
      </c>
      <c r="E16219">
        <v>964224</v>
      </c>
      <c r="F16219">
        <v>7.7103001979337101E-8</v>
      </c>
      <c r="G16219">
        <v>543241</v>
      </c>
      <c r="H16219">
        <v>14831083</v>
      </c>
      <c r="I16219">
        <v>505340</v>
      </c>
      <c r="J16219">
        <v>2</v>
      </c>
    </row>
    <row r="16220" spans="1:10" x14ac:dyDescent="0.25">
      <c r="A16220" t="s">
        <v>170</v>
      </c>
      <c r="B16220" s="1" t="str">
        <f>HYPERLINK("http://gdhealth.com","gdhealth.com")</f>
        <v>gdhealth.com</v>
      </c>
      <c r="C16220" t="s">
        <v>433</v>
      </c>
      <c r="F16220">
        <v>9.4879702864799802E-9</v>
      </c>
      <c r="G16220">
        <v>7336938</v>
      </c>
      <c r="H16220">
        <v>12859088</v>
      </c>
      <c r="I16220">
        <v>14205671</v>
      </c>
      <c r="J16220">
        <v>7</v>
      </c>
    </row>
    <row r="16221" spans="1:10" x14ac:dyDescent="0.25">
      <c r="A16221" t="s">
        <v>170</v>
      </c>
      <c r="B16221" s="1" t="str">
        <f>HYPERLINK("http://gdit.com","gdit.com")</f>
        <v>gdit.com</v>
      </c>
      <c r="C16221" t="s">
        <v>433</v>
      </c>
      <c r="E16221">
        <v>17905</v>
      </c>
      <c r="F16221">
        <v>5.85689914228861E-7</v>
      </c>
      <c r="G16221">
        <v>65264</v>
      </c>
      <c r="H16221">
        <v>17088138</v>
      </c>
      <c r="I16221">
        <v>66364</v>
      </c>
      <c r="J16221">
        <v>3</v>
      </c>
    </row>
    <row r="16222" spans="1:10" x14ac:dyDescent="0.25">
      <c r="A16222" t="s">
        <v>170</v>
      </c>
      <c r="B16222" s="1" t="str">
        <f>HYPERLINK("http://gditspx.com","gditspx.com")</f>
        <v>gditspx.com</v>
      </c>
      <c r="C16222" t="s">
        <v>433</v>
      </c>
      <c r="F16222">
        <v>4.4438479190968097E-9</v>
      </c>
      <c r="G16222">
        <v>78571356</v>
      </c>
      <c r="H16222">
        <v>10542119</v>
      </c>
      <c r="I16222">
        <v>47110195</v>
      </c>
      <c r="J16222">
        <v>4</v>
      </c>
    </row>
    <row r="16223" spans="1:10" x14ac:dyDescent="0.25">
      <c r="A16223" t="s">
        <v>170</v>
      </c>
      <c r="B16223" s="1" t="str">
        <f>HYPERLINK("http://gdls.com","gdls.com")</f>
        <v>gdls.com</v>
      </c>
      <c r="C16223" t="s">
        <v>433</v>
      </c>
      <c r="E16223">
        <v>81648</v>
      </c>
      <c r="F16223">
        <v>7.3908834399744398E-8</v>
      </c>
      <c r="G16223">
        <v>569741</v>
      </c>
      <c r="H16223">
        <v>14660822</v>
      </c>
      <c r="I16223">
        <v>620018</v>
      </c>
      <c r="J16223">
        <v>3</v>
      </c>
    </row>
    <row r="16224" spans="1:10" x14ac:dyDescent="0.25">
      <c r="A16224" t="s">
        <v>170</v>
      </c>
      <c r="B16224" s="1" t="str">
        <f>HYPERLINK("http://gdlscanada.com","gdlscanada.com")</f>
        <v>gdlscanada.com</v>
      </c>
      <c r="C16224" t="s">
        <v>433</v>
      </c>
      <c r="F16224">
        <v>2.4147669511714E-8</v>
      </c>
      <c r="G16224">
        <v>2148563</v>
      </c>
      <c r="H16224">
        <v>14289549</v>
      </c>
      <c r="I16224">
        <v>1367184</v>
      </c>
      <c r="J16224">
        <v>5</v>
      </c>
    </row>
    <row r="16225" spans="1:10" x14ac:dyDescent="0.25">
      <c r="A16225" t="s">
        <v>170</v>
      </c>
      <c r="B16225" s="1" t="str">
        <f>HYPERLINK("http://gdmissionsystems.com","gdmissionsystems.com")</f>
        <v>gdmissionsystems.com</v>
      </c>
      <c r="C16225" t="s">
        <v>433</v>
      </c>
      <c r="E16225">
        <v>286934</v>
      </c>
      <c r="F16225">
        <v>3.6395978189355802E-7</v>
      </c>
      <c r="G16225">
        <v>102761</v>
      </c>
      <c r="H16225">
        <v>15143399</v>
      </c>
      <c r="I16225">
        <v>400874</v>
      </c>
      <c r="J16225">
        <v>3</v>
      </c>
    </row>
    <row r="16226" spans="1:10" x14ac:dyDescent="0.25">
      <c r="A16226" t="s">
        <v>170</v>
      </c>
      <c r="B16226" s="1" t="str">
        <f>HYPERLINK("http://gdots.com","gdots.com")</f>
        <v>gdots.com</v>
      </c>
      <c r="C16226" t="s">
        <v>433</v>
      </c>
      <c r="J16226">
        <v>5</v>
      </c>
    </row>
    <row r="16227" spans="1:10" x14ac:dyDescent="0.25">
      <c r="A16227" t="s">
        <v>170</v>
      </c>
      <c r="B16227" s="1" t="str">
        <f>HYPERLINK("http://gdrs.com","gdrs.com")</f>
        <v>gdrs.com</v>
      </c>
      <c r="C16227" t="s">
        <v>433</v>
      </c>
      <c r="F16227">
        <v>1.79445076474844E-8</v>
      </c>
      <c r="G16227">
        <v>3044073</v>
      </c>
      <c r="H16227">
        <v>14600404</v>
      </c>
      <c r="I16227">
        <v>685974</v>
      </c>
      <c r="J16227">
        <v>3</v>
      </c>
    </row>
    <row r="16228" spans="1:10" x14ac:dyDescent="0.25">
      <c r="A16228" t="s">
        <v>170</v>
      </c>
      <c r="B16228" s="1" t="str">
        <f>HYPERLINK("http://generaldynamics.com","generaldynamics.com")</f>
        <v>generaldynamics.com</v>
      </c>
      <c r="C16228" t="s">
        <v>433</v>
      </c>
      <c r="E16228">
        <v>298022</v>
      </c>
      <c r="F16228">
        <v>2.4038514899600198E-7</v>
      </c>
      <c r="G16228">
        <v>155643</v>
      </c>
      <c r="H16228">
        <v>14985583</v>
      </c>
      <c r="I16228">
        <v>429440</v>
      </c>
      <c r="J16228">
        <v>4</v>
      </c>
    </row>
    <row r="16229" spans="1:10" x14ac:dyDescent="0.25">
      <c r="A16229" t="s">
        <v>170</v>
      </c>
      <c r="B16229" s="1" t="str">
        <f>HYPERLINK("http://gpssource.com","gpssource.com")</f>
        <v>gpssource.com</v>
      </c>
      <c r="C16229" t="s">
        <v>433</v>
      </c>
      <c r="F16229">
        <v>2.5748133568783199E-8</v>
      </c>
      <c r="G16229">
        <v>2002108</v>
      </c>
      <c r="H16229">
        <v>12805069</v>
      </c>
      <c r="I16229">
        <v>14616788</v>
      </c>
      <c r="J16229">
        <v>3</v>
      </c>
    </row>
    <row r="16230" spans="1:10" x14ac:dyDescent="0.25">
      <c r="A16230" t="s">
        <v>170</v>
      </c>
      <c r="B16230" s="1" t="str">
        <f>HYPERLINK("http://gulfstream.com","gulfstream.com")</f>
        <v>gulfstream.com</v>
      </c>
      <c r="C16230" t="s">
        <v>433</v>
      </c>
      <c r="E16230">
        <v>75552</v>
      </c>
      <c r="F16230">
        <v>3.55383758164407E-7</v>
      </c>
      <c r="G16230">
        <v>105169</v>
      </c>
      <c r="H16230">
        <v>15055656</v>
      </c>
      <c r="I16230">
        <v>413583</v>
      </c>
      <c r="J16230">
        <v>3</v>
      </c>
    </row>
    <row r="16231" spans="1:10" x14ac:dyDescent="0.25">
      <c r="A16231" t="s">
        <v>170</v>
      </c>
      <c r="B16231" s="1" t="str">
        <f>HYPERLINK("http://hawkerpacific.com","hawkerpacific.com")</f>
        <v>hawkerpacific.com</v>
      </c>
      <c r="C16231" t="s">
        <v>433</v>
      </c>
      <c r="F16231">
        <v>1.66154106072543E-8</v>
      </c>
      <c r="G16231">
        <v>3385699</v>
      </c>
      <c r="H16231">
        <v>13825691</v>
      </c>
      <c r="I16231">
        <v>6124389</v>
      </c>
      <c r="J16231">
        <v>3</v>
      </c>
    </row>
    <row r="16232" spans="1:10" x14ac:dyDescent="0.25">
      <c r="A16232" t="s">
        <v>170</v>
      </c>
      <c r="B16232" s="1" t="str">
        <f>HYPERLINK("http://janteq.com","janteq.com")</f>
        <v>janteq.com</v>
      </c>
      <c r="C16232" t="s">
        <v>433</v>
      </c>
      <c r="F16232">
        <v>6.5921829892109203E-9</v>
      </c>
      <c r="G16232">
        <v>13706794</v>
      </c>
      <c r="H16232">
        <v>11061925</v>
      </c>
      <c r="I16232">
        <v>32663171</v>
      </c>
      <c r="J16232">
        <v>3</v>
      </c>
    </row>
    <row r="16233" spans="1:10" x14ac:dyDescent="0.25">
      <c r="A16233" t="s">
        <v>170</v>
      </c>
      <c r="B16233" s="1" t="str">
        <f>HYPERLINK("http://jetaviation.com","jetaviation.com")</f>
        <v>jetaviation.com</v>
      </c>
      <c r="C16233" t="s">
        <v>433</v>
      </c>
      <c r="E16233">
        <v>240417</v>
      </c>
      <c r="F16233">
        <v>1.6795241381966E-7</v>
      </c>
      <c r="G16233">
        <v>231031</v>
      </c>
      <c r="H16233">
        <v>14613435</v>
      </c>
      <c r="I16233">
        <v>674697</v>
      </c>
      <c r="J16233">
        <v>3</v>
      </c>
    </row>
    <row r="16234" spans="1:10" x14ac:dyDescent="0.25">
      <c r="A16234" t="s">
        <v>170</v>
      </c>
      <c r="B16234" s="1" t="str">
        <f>HYPERLINK("http://midcoastaviation.com","midcoastaviation.com")</f>
        <v>midcoastaviation.com</v>
      </c>
      <c r="C16234" t="s">
        <v>433</v>
      </c>
      <c r="F16234">
        <v>4.9395254510691103E-9</v>
      </c>
      <c r="G16234">
        <v>31104760</v>
      </c>
      <c r="H16234">
        <v>12228150</v>
      </c>
      <c r="I16234">
        <v>22552414</v>
      </c>
      <c r="J16234">
        <v>3</v>
      </c>
    </row>
    <row r="16235" spans="1:10" x14ac:dyDescent="0.25">
      <c r="A16235" t="s">
        <v>170</v>
      </c>
      <c r="B16235" s="1" t="str">
        <f>HYPERLINK("http://nassco.com","nassco.com")</f>
        <v>nassco.com</v>
      </c>
      <c r="C16235" t="s">
        <v>433</v>
      </c>
      <c r="E16235">
        <v>562874</v>
      </c>
      <c r="F16235">
        <v>7.96382239151092E-8</v>
      </c>
      <c r="G16235">
        <v>524588</v>
      </c>
      <c r="H16235">
        <v>14556819</v>
      </c>
      <c r="I16235">
        <v>750644</v>
      </c>
      <c r="J16235">
        <v>3</v>
      </c>
    </row>
    <row r="16236" spans="1:10" x14ac:dyDescent="0.25">
      <c r="A16236" t="s">
        <v>170</v>
      </c>
      <c r="B16236" s="1" t="str">
        <f>HYPERLINK("http://nassconorfolk.com","nassconorfolk.com")</f>
        <v>nassconorfolk.com</v>
      </c>
      <c r="C16236" t="s">
        <v>433</v>
      </c>
      <c r="F16236">
        <v>9.86977964220644E-9</v>
      </c>
      <c r="G16236">
        <v>6891956</v>
      </c>
      <c r="H16236">
        <v>14071992</v>
      </c>
      <c r="I16236">
        <v>3192285</v>
      </c>
      <c r="J16236">
        <v>5</v>
      </c>
    </row>
    <row r="16237" spans="1:10" x14ac:dyDescent="0.25">
      <c r="A16237" t="s">
        <v>170</v>
      </c>
      <c r="B16237" s="1" t="str">
        <f>HYPERLINK("http://ok-labs.com","ok-labs.com")</f>
        <v>ok-labs.com</v>
      </c>
      <c r="C16237" t="s">
        <v>433</v>
      </c>
      <c r="F16237">
        <v>7.3264678790440702E-8</v>
      </c>
      <c r="G16237">
        <v>575387</v>
      </c>
      <c r="H16237">
        <v>17029770</v>
      </c>
      <c r="I16237">
        <v>83959</v>
      </c>
      <c r="J16237">
        <v>5</v>
      </c>
    </row>
    <row r="16238" spans="1:10" x14ac:dyDescent="0.25">
      <c r="A16238" t="s">
        <v>170</v>
      </c>
      <c r="B16238" s="1" t="str">
        <f>HYPERLINK("http://praxiseng.com","praxiseng.com")</f>
        <v>praxiseng.com</v>
      </c>
      <c r="C16238" t="s">
        <v>433</v>
      </c>
      <c r="F16238">
        <v>2.8379030394015999E-8</v>
      </c>
      <c r="G16238">
        <v>1813396</v>
      </c>
      <c r="H16238">
        <v>13390717</v>
      </c>
      <c r="I16238">
        <v>10390177</v>
      </c>
      <c r="J16238">
        <v>5</v>
      </c>
    </row>
    <row r="16239" spans="1:10" x14ac:dyDescent="0.25">
      <c r="A16239" t="s">
        <v>170</v>
      </c>
      <c r="B16239" s="1" t="str">
        <f>HYPERLINK("http://rgnext.com","rgnext.com")</f>
        <v>rgnext.com</v>
      </c>
      <c r="C16239" t="s">
        <v>433</v>
      </c>
      <c r="F16239">
        <v>1.5504693324003E-8</v>
      </c>
      <c r="G16239">
        <v>3683343</v>
      </c>
      <c r="H16239">
        <v>12554103</v>
      </c>
      <c r="I16239">
        <v>16783074</v>
      </c>
      <c r="J16239">
        <v>3</v>
      </c>
    </row>
    <row r="16240" spans="1:10" x14ac:dyDescent="0.25">
      <c r="A16240" t="s">
        <v>170</v>
      </c>
      <c r="B16240" s="1" t="str">
        <f>HYPERLINK("http://simunition.com","simunition.com")</f>
        <v>simunition.com</v>
      </c>
      <c r="C16240" t="s">
        <v>433</v>
      </c>
      <c r="F16240">
        <v>4.4908649839937001E-8</v>
      </c>
      <c r="G16240">
        <v>1052356</v>
      </c>
      <c r="H16240">
        <v>14162060</v>
      </c>
      <c r="I16240">
        <v>1833725</v>
      </c>
      <c r="J16240">
        <v>5</v>
      </c>
    </row>
    <row r="16241" spans="1:10" x14ac:dyDescent="0.25">
      <c r="A16241" t="s">
        <v>170</v>
      </c>
      <c r="B16241" s="1" t="str">
        <f>HYPERLINK("http://steyr-ssf.com","steyr-ssf.com")</f>
        <v>steyr-ssf.com</v>
      </c>
      <c r="C16241" t="s">
        <v>433</v>
      </c>
      <c r="F16241">
        <v>5.1017711339235502E-9</v>
      </c>
      <c r="G16241">
        <v>27040118</v>
      </c>
      <c r="H16241">
        <v>14236153</v>
      </c>
      <c r="I16241">
        <v>1605850</v>
      </c>
      <c r="J16241">
        <v>3</v>
      </c>
    </row>
    <row r="16242" spans="1:10" x14ac:dyDescent="0.25">
      <c r="A16242" t="s">
        <v>170</v>
      </c>
      <c r="B16242" s="1" t="str">
        <f>HYPERLINK("http://generaldynamics.uk.com","generaldynamics.uk.com")</f>
        <v>generaldynamics.uk.com</v>
      </c>
      <c r="C16242" t="s">
        <v>433</v>
      </c>
      <c r="J16242">
        <v>3</v>
      </c>
    </row>
    <row r="16243" spans="1:10" x14ac:dyDescent="0.25">
      <c r="A16243" t="s">
        <v>170</v>
      </c>
      <c r="B16243" s="1" t="str">
        <f>HYPERLINK("http://usvisa-info.com","usvisa-info.com")</f>
        <v>usvisa-info.com</v>
      </c>
      <c r="C16243" t="s">
        <v>433</v>
      </c>
      <c r="E16243">
        <v>15922</v>
      </c>
      <c r="F16243">
        <v>2.3344563427272799E-7</v>
      </c>
      <c r="G16243">
        <v>160651</v>
      </c>
      <c r="H16243">
        <v>14621284</v>
      </c>
      <c r="I16243">
        <v>657156</v>
      </c>
      <c r="J16243">
        <v>4</v>
      </c>
    </row>
    <row r="16244" spans="1:10" x14ac:dyDescent="0.25">
      <c r="A16244" t="s">
        <v>170</v>
      </c>
      <c r="B16244" s="1" t="str">
        <f>HYPERLINK("http://gdsbs.de","gdsbs.de")</f>
        <v>gdsbs.de</v>
      </c>
      <c r="C16244" t="s">
        <v>436</v>
      </c>
      <c r="D16244" t="s">
        <v>815</v>
      </c>
      <c r="F16244">
        <v>5.48870392187993E-9</v>
      </c>
      <c r="G16244">
        <v>21028371</v>
      </c>
      <c r="H16244">
        <v>14071792</v>
      </c>
      <c r="I16244">
        <v>3393006</v>
      </c>
      <c r="J16244">
        <v>4</v>
      </c>
    </row>
    <row r="16245" spans="1:10" x14ac:dyDescent="0.25">
      <c r="A16245" t="s">
        <v>170</v>
      </c>
      <c r="B16245" s="1" t="str">
        <f>HYPERLINK("http://avionlogistics.com.hk","avionlogistics.com.hk")</f>
        <v>avionlogistics.com.hk</v>
      </c>
      <c r="C16245" t="s">
        <v>450</v>
      </c>
      <c r="D16245" t="s">
        <v>827</v>
      </c>
      <c r="F16245">
        <v>6.2924862287109399E-9</v>
      </c>
      <c r="G16245">
        <v>15067962</v>
      </c>
      <c r="H16245">
        <v>10890810</v>
      </c>
      <c r="I16245">
        <v>36068193</v>
      </c>
      <c r="J16245">
        <v>3</v>
      </c>
    </row>
    <row r="16246" spans="1:10" x14ac:dyDescent="0.25">
      <c r="A16246" t="s">
        <v>170</v>
      </c>
      <c r="B16246" s="1" t="str">
        <f>HYPERLINK("http://pageuropa.it","pageuropa.it")</f>
        <v>pageuropa.it</v>
      </c>
      <c r="C16246" t="s">
        <v>459</v>
      </c>
      <c r="D16246" t="s">
        <v>835</v>
      </c>
      <c r="F16246">
        <v>5.3553273775400297E-9</v>
      </c>
      <c r="G16246">
        <v>22730543</v>
      </c>
      <c r="H16246">
        <v>10574107</v>
      </c>
      <c r="I16246">
        <v>45968895</v>
      </c>
      <c r="J16246">
        <v>4</v>
      </c>
    </row>
    <row r="16247" spans="1:10" x14ac:dyDescent="0.25">
      <c r="A16247" t="s">
        <v>170</v>
      </c>
      <c r="B16247" s="1" t="str">
        <f>HYPERLINK("http://imt-mex.com.mx","imt-mex.com.mx")</f>
        <v>imt-mex.com.mx</v>
      </c>
      <c r="C16247" t="s">
        <v>471</v>
      </c>
      <c r="D16247" t="s">
        <v>847</v>
      </c>
      <c r="F16247">
        <v>4.5745478746197904E-9</v>
      </c>
      <c r="G16247">
        <v>49769722</v>
      </c>
      <c r="H16247">
        <v>12339303</v>
      </c>
      <c r="I16247">
        <v>20023052</v>
      </c>
      <c r="J16247">
        <v>4</v>
      </c>
    </row>
    <row r="16248" spans="1:10" x14ac:dyDescent="0.25">
      <c r="A16248" t="s">
        <v>171</v>
      </c>
      <c r="B16248" s="1" t="str">
        <f>HYPERLINK("http://gehealthcare.ae","gehealthcare.ae")</f>
        <v>gehealthcare.ae</v>
      </c>
      <c r="C16248" t="s">
        <v>417</v>
      </c>
      <c r="D16248" t="s">
        <v>799</v>
      </c>
      <c r="F16248">
        <v>4.5517102921784699E-8</v>
      </c>
      <c r="G16248">
        <v>1034075</v>
      </c>
      <c r="H16248">
        <v>13776956</v>
      </c>
      <c r="I16248">
        <v>6545343</v>
      </c>
      <c r="J16248">
        <v>4</v>
      </c>
    </row>
    <row r="16249" spans="1:10" x14ac:dyDescent="0.25">
      <c r="A16249" t="s">
        <v>171</v>
      </c>
      <c r="B16249" s="1" t="str">
        <f>HYPERLINK("http://gehealthcare.africa","gehealthcare.africa")</f>
        <v>gehealthcare.africa</v>
      </c>
      <c r="C16249" t="s">
        <v>523</v>
      </c>
      <c r="F16249">
        <v>9.1764988291761995E-9</v>
      </c>
      <c r="G16249">
        <v>7741498</v>
      </c>
      <c r="H16249">
        <v>12309334</v>
      </c>
      <c r="I16249">
        <v>20630433</v>
      </c>
      <c r="J16249">
        <v>4</v>
      </c>
    </row>
    <row r="16250" spans="1:10" x14ac:dyDescent="0.25">
      <c r="A16250" t="s">
        <v>171</v>
      </c>
      <c r="B16250" s="1" t="str">
        <f>HYPERLINK("http://ge.com.au","ge.com.au")</f>
        <v>ge.com.au</v>
      </c>
      <c r="C16250" t="s">
        <v>420</v>
      </c>
      <c r="D16250" t="s">
        <v>802</v>
      </c>
      <c r="F16250">
        <v>5.3014834043724602E-9</v>
      </c>
      <c r="G16250">
        <v>23474807</v>
      </c>
      <c r="H16250">
        <v>12476943</v>
      </c>
      <c r="I16250">
        <v>17627056</v>
      </c>
      <c r="J16250">
        <v>2</v>
      </c>
    </row>
    <row r="16251" spans="1:10" x14ac:dyDescent="0.25">
      <c r="A16251" t="s">
        <v>171</v>
      </c>
      <c r="B16251" s="1" t="str">
        <f>HYPERLINK("http://gehealthcare.com.au","gehealthcare.com.au")</f>
        <v>gehealthcare.com.au</v>
      </c>
      <c r="C16251" t="s">
        <v>420</v>
      </c>
      <c r="D16251" t="s">
        <v>802</v>
      </c>
      <c r="F16251">
        <v>4.0933902905449299E-8</v>
      </c>
      <c r="G16251">
        <v>1267188</v>
      </c>
      <c r="H16251">
        <v>13524220</v>
      </c>
      <c r="I16251">
        <v>9933763</v>
      </c>
      <c r="J16251">
        <v>4</v>
      </c>
    </row>
    <row r="16252" spans="1:10" x14ac:dyDescent="0.25">
      <c r="A16252" t="s">
        <v>171</v>
      </c>
      <c r="B16252" s="1" t="str">
        <f>HYPERLINK("http://gereports.com.au","gereports.com.au")</f>
        <v>gereports.com.au</v>
      </c>
      <c r="C16252" t="s">
        <v>420</v>
      </c>
      <c r="D16252" t="s">
        <v>802</v>
      </c>
      <c r="F16252">
        <v>1.00751748532604E-8</v>
      </c>
      <c r="G16252">
        <v>6676225</v>
      </c>
      <c r="H16252">
        <v>13789558</v>
      </c>
      <c r="I16252">
        <v>6354370</v>
      </c>
      <c r="J16252">
        <v>4</v>
      </c>
    </row>
    <row r="16253" spans="1:10" x14ac:dyDescent="0.25">
      <c r="A16253" t="s">
        <v>171</v>
      </c>
      <c r="B16253" s="1" t="str">
        <f>HYPERLINK("http://gehealthcare.com.br","gehealthcare.com.br")</f>
        <v>gehealthcare.com.br</v>
      </c>
      <c r="C16253" t="s">
        <v>425</v>
      </c>
      <c r="D16253" t="s">
        <v>806</v>
      </c>
      <c r="F16253">
        <v>1.6476990074713301E-8</v>
      </c>
      <c r="G16253">
        <v>3419538</v>
      </c>
      <c r="H16253">
        <v>12685309</v>
      </c>
      <c r="I16253">
        <v>15455096</v>
      </c>
      <c r="J16253">
        <v>4</v>
      </c>
    </row>
    <row r="16254" spans="1:10" x14ac:dyDescent="0.25">
      <c r="A16254" t="s">
        <v>171</v>
      </c>
      <c r="B16254" s="1" t="str">
        <f>HYPERLINK("http://gehealthcare.ca","gehealthcare.ca")</f>
        <v>gehealthcare.ca</v>
      </c>
      <c r="C16254" t="s">
        <v>428</v>
      </c>
      <c r="D16254" t="s">
        <v>809</v>
      </c>
      <c r="F16254">
        <v>3.3266070527458597E-8</v>
      </c>
      <c r="G16254">
        <v>1553369</v>
      </c>
      <c r="H16254">
        <v>13956931</v>
      </c>
      <c r="I16254">
        <v>4129732</v>
      </c>
      <c r="J16254">
        <v>4</v>
      </c>
    </row>
    <row r="16255" spans="1:10" x14ac:dyDescent="0.25">
      <c r="A16255" t="s">
        <v>171</v>
      </c>
      <c r="B16255" s="1" t="str">
        <f>HYPERLINK("http://schwab-vt.ch","schwab-vt.ch")</f>
        <v>schwab-vt.ch</v>
      </c>
      <c r="C16255" t="s">
        <v>429</v>
      </c>
      <c r="D16255" t="s">
        <v>810</v>
      </c>
      <c r="F16255">
        <v>4.44380395335525E-9</v>
      </c>
      <c r="G16255">
        <v>80203220</v>
      </c>
      <c r="H16255">
        <v>0</v>
      </c>
      <c r="I16255">
        <v>80257442</v>
      </c>
      <c r="J16255">
        <v>8</v>
      </c>
    </row>
    <row r="16256" spans="1:10" x14ac:dyDescent="0.25">
      <c r="A16256" t="s">
        <v>171</v>
      </c>
      <c r="B16256" s="1" t="str">
        <f>HYPERLINK("http://urs-dolder.ch","urs-dolder.ch")</f>
        <v>urs-dolder.ch</v>
      </c>
      <c r="C16256" t="s">
        <v>429</v>
      </c>
      <c r="D16256" t="s">
        <v>810</v>
      </c>
      <c r="F16256">
        <v>4.56448592356665E-9</v>
      </c>
      <c r="G16256">
        <v>50729557</v>
      </c>
      <c r="H16256">
        <v>10509225</v>
      </c>
      <c r="I16256">
        <v>49849568</v>
      </c>
      <c r="J16256">
        <v>8</v>
      </c>
    </row>
    <row r="16257" spans="1:10" x14ac:dyDescent="0.25">
      <c r="A16257" t="s">
        <v>171</v>
      </c>
      <c r="B16257" s="1" t="str">
        <f>HYPERLINK("http://ge.com.cn","ge.com.cn")</f>
        <v>ge.com.cn</v>
      </c>
      <c r="C16257" t="s">
        <v>431</v>
      </c>
      <c r="D16257" t="s">
        <v>812</v>
      </c>
      <c r="F16257">
        <v>2.4121189711684E-8</v>
      </c>
      <c r="G16257">
        <v>2151105</v>
      </c>
      <c r="H16257">
        <v>13571299</v>
      </c>
      <c r="I16257">
        <v>9719954</v>
      </c>
      <c r="J16257">
        <v>2</v>
      </c>
    </row>
    <row r="16258" spans="1:10" x14ac:dyDescent="0.25">
      <c r="A16258" t="s">
        <v>171</v>
      </c>
      <c r="B16258" s="1" t="str">
        <f>HYPERLINK("http://gehealthcare.cn","gehealthcare.cn")</f>
        <v>gehealthcare.cn</v>
      </c>
      <c r="C16258" t="s">
        <v>431</v>
      </c>
      <c r="D16258" t="s">
        <v>812</v>
      </c>
      <c r="F16258">
        <v>4.4587061845829297E-8</v>
      </c>
      <c r="G16258">
        <v>1062321</v>
      </c>
      <c r="H16258">
        <v>14080646</v>
      </c>
      <c r="I16258">
        <v>2817962</v>
      </c>
      <c r="J16258">
        <v>4</v>
      </c>
    </row>
    <row r="16259" spans="1:10" x14ac:dyDescent="0.25">
      <c r="A16259" t="s">
        <v>171</v>
      </c>
      <c r="B16259" s="1" t="str">
        <f>HYPERLINK("http://10east.com","10east.com")</f>
        <v>10east.com</v>
      </c>
      <c r="C16259" t="s">
        <v>433</v>
      </c>
      <c r="F16259">
        <v>3.3678960106040201E-8</v>
      </c>
      <c r="G16259">
        <v>1535829</v>
      </c>
      <c r="H16259">
        <v>13429235</v>
      </c>
      <c r="I16259">
        <v>10283242</v>
      </c>
      <c r="J16259">
        <v>7</v>
      </c>
    </row>
    <row r="16260" spans="1:10" x14ac:dyDescent="0.25">
      <c r="A16260" t="s">
        <v>171</v>
      </c>
      <c r="B16260" s="1" t="str">
        <f>HYPERLINK("http://absholdings.com","absholdings.com")</f>
        <v>absholdings.com</v>
      </c>
      <c r="C16260" t="s">
        <v>433</v>
      </c>
      <c r="F16260">
        <v>6.1259274204182302E-9</v>
      </c>
      <c r="G16260">
        <v>15947097</v>
      </c>
      <c r="H16260">
        <v>12986610</v>
      </c>
      <c r="I16260">
        <v>12889418</v>
      </c>
      <c r="J16260">
        <v>4</v>
      </c>
    </row>
    <row r="16261" spans="1:10" x14ac:dyDescent="0.25">
      <c r="A16261" t="s">
        <v>171</v>
      </c>
      <c r="B16261" s="1" t="str">
        <f>HYPERLINK("http://advancedpowders.com","advancedpowders.com")</f>
        <v>advancedpowders.com</v>
      </c>
      <c r="C16261" t="s">
        <v>433</v>
      </c>
      <c r="F16261">
        <v>1.9788408790811499E-8</v>
      </c>
      <c r="G16261">
        <v>2695048</v>
      </c>
      <c r="H16261">
        <v>13771615</v>
      </c>
      <c r="I16261">
        <v>6687295</v>
      </c>
      <c r="J16261">
        <v>3</v>
      </c>
    </row>
    <row r="16262" spans="1:10" x14ac:dyDescent="0.25">
      <c r="A16262" t="s">
        <v>171</v>
      </c>
      <c r="B16262" s="1" t="str">
        <f>HYPERLINK("http://amersham.com","amersham.com")</f>
        <v>amersham.com</v>
      </c>
      <c r="C16262" t="s">
        <v>433</v>
      </c>
      <c r="F16262">
        <v>1.1922813647674199E-8</v>
      </c>
      <c r="G16262">
        <v>5223465</v>
      </c>
      <c r="H16262">
        <v>13314339</v>
      </c>
      <c r="I16262">
        <v>10764311</v>
      </c>
      <c r="J16262">
        <v>4</v>
      </c>
    </row>
    <row r="16263" spans="1:10" x14ac:dyDescent="0.25">
      <c r="A16263" t="s">
        <v>171</v>
      </c>
      <c r="B16263" s="1" t="str">
        <f>HYPERLINK("http://amershambiosciences.com","amershambiosciences.com")</f>
        <v>amershambiosciences.com</v>
      </c>
      <c r="C16263" t="s">
        <v>433</v>
      </c>
      <c r="F16263">
        <v>2.76090243512857E-8</v>
      </c>
      <c r="G16263">
        <v>1862251</v>
      </c>
      <c r="H16263">
        <v>13519557</v>
      </c>
      <c r="I16263">
        <v>9939016</v>
      </c>
      <c r="J16263">
        <v>5</v>
      </c>
    </row>
    <row r="16264" spans="1:10" x14ac:dyDescent="0.25">
      <c r="A16264" t="s">
        <v>171</v>
      </c>
      <c r="B16264" s="1" t="str">
        <f>HYPERLINK("http://arcam.com","arcam.com")</f>
        <v>arcam.com</v>
      </c>
      <c r="C16264" t="s">
        <v>433</v>
      </c>
      <c r="F16264">
        <v>3.7531082793499201E-8</v>
      </c>
      <c r="G16264">
        <v>1378905</v>
      </c>
      <c r="H16264">
        <v>14287192</v>
      </c>
      <c r="I16264">
        <v>1369942</v>
      </c>
      <c r="J16264">
        <v>3</v>
      </c>
    </row>
    <row r="16265" spans="1:10" x14ac:dyDescent="0.25">
      <c r="A16265" t="s">
        <v>171</v>
      </c>
      <c r="B16265" s="1" t="str">
        <f>HYPERLINK("http://avioaero.com","avioaero.com")</f>
        <v>avioaero.com</v>
      </c>
      <c r="C16265" t="s">
        <v>433</v>
      </c>
      <c r="F16265">
        <v>9.5449227408979297E-8</v>
      </c>
      <c r="G16265">
        <v>424335</v>
      </c>
      <c r="H16265">
        <v>14459289</v>
      </c>
      <c r="I16265">
        <v>1047737</v>
      </c>
      <c r="J16265">
        <v>3</v>
      </c>
    </row>
    <row r="16266" spans="1:10" x14ac:dyDescent="0.25">
      <c r="A16266" t="s">
        <v>171</v>
      </c>
      <c r="B16266" s="1" t="str">
        <f>HYPERLINK("http://bladedynamics.com","bladedynamics.com")</f>
        <v>bladedynamics.com</v>
      </c>
      <c r="C16266" t="s">
        <v>433</v>
      </c>
      <c r="F16266">
        <v>9.3775282963254105E-9</v>
      </c>
      <c r="G16266">
        <v>7473842</v>
      </c>
      <c r="H16266">
        <v>13821926</v>
      </c>
      <c r="I16266">
        <v>6138903</v>
      </c>
      <c r="J16266">
        <v>4</v>
      </c>
    </row>
    <row r="16267" spans="1:10" x14ac:dyDescent="0.25">
      <c r="A16267" t="s">
        <v>171</v>
      </c>
      <c r="B16267" s="1" t="str">
        <f>HYPERLINK("http://cfmaeroengines.com","cfmaeroengines.com")</f>
        <v>cfmaeroengines.com</v>
      </c>
      <c r="C16267" t="s">
        <v>433</v>
      </c>
      <c r="E16267">
        <v>504579</v>
      </c>
      <c r="F16267">
        <v>1.19976854720703E-7</v>
      </c>
      <c r="G16267">
        <v>329496</v>
      </c>
      <c r="H16267">
        <v>15136162</v>
      </c>
      <c r="I16267">
        <v>401660</v>
      </c>
      <c r="J16267">
        <v>4</v>
      </c>
    </row>
    <row r="16268" spans="1:10" x14ac:dyDescent="0.25">
      <c r="A16268" t="s">
        <v>171</v>
      </c>
      <c r="B16268" s="1" t="str">
        <f>HYPERLINK("http://converteam.com","converteam.com")</f>
        <v>converteam.com</v>
      </c>
      <c r="C16268" t="s">
        <v>433</v>
      </c>
      <c r="F16268">
        <v>1.83951740245615E-8</v>
      </c>
      <c r="G16268">
        <v>2948307</v>
      </c>
      <c r="H16268">
        <v>14689302</v>
      </c>
      <c r="I16268">
        <v>602981</v>
      </c>
      <c r="J16268">
        <v>3</v>
      </c>
    </row>
    <row r="16269" spans="1:10" x14ac:dyDescent="0.25">
      <c r="A16269" t="s">
        <v>171</v>
      </c>
      <c r="B16269" s="1" t="str">
        <f>HYPERLINK("http://dowty.com","dowty.com")</f>
        <v>dowty.com</v>
      </c>
      <c r="C16269" t="s">
        <v>433</v>
      </c>
      <c r="F16269">
        <v>2.5504448843781501E-8</v>
      </c>
      <c r="G16269">
        <v>2022366</v>
      </c>
      <c r="H16269">
        <v>13118612</v>
      </c>
      <c r="I16269">
        <v>11998528</v>
      </c>
      <c r="J16269">
        <v>3</v>
      </c>
    </row>
    <row r="16270" spans="1:10" x14ac:dyDescent="0.25">
      <c r="A16270" t="s">
        <v>171</v>
      </c>
      <c r="B16270" s="1" t="str">
        <f>HYPERLINK("http://dresser.com","dresser.com")</f>
        <v>dresser.com</v>
      </c>
      <c r="C16270" t="s">
        <v>433</v>
      </c>
      <c r="E16270">
        <v>771813</v>
      </c>
      <c r="F16270">
        <v>1.5479342497432101E-8</v>
      </c>
      <c r="G16270">
        <v>3690522</v>
      </c>
      <c r="H16270">
        <v>14501518</v>
      </c>
      <c r="I16270">
        <v>849341</v>
      </c>
      <c r="J16270">
        <v>6</v>
      </c>
    </row>
    <row r="16271" spans="1:10" x14ac:dyDescent="0.25">
      <c r="A16271" t="s">
        <v>171</v>
      </c>
      <c r="B16271" s="1" t="str">
        <f>HYPERLINK("http://electricinsurance.com","electricinsurance.com")</f>
        <v>electricinsurance.com</v>
      </c>
      <c r="C16271" t="s">
        <v>433</v>
      </c>
      <c r="E16271">
        <v>445223</v>
      </c>
      <c r="F16271">
        <v>4.8811743844237601E-8</v>
      </c>
      <c r="G16271">
        <v>949472</v>
      </c>
      <c r="H16271">
        <v>13764873</v>
      </c>
      <c r="I16271">
        <v>7177475</v>
      </c>
      <c r="J16271">
        <v>3</v>
      </c>
    </row>
    <row r="16272" spans="1:10" x14ac:dyDescent="0.25">
      <c r="A16272" t="s">
        <v>171</v>
      </c>
      <c r="B16272" s="1" t="str">
        <f>HYPERLINK("http://enginealliance.com","enginealliance.com")</f>
        <v>enginealliance.com</v>
      </c>
      <c r="C16272" t="s">
        <v>433</v>
      </c>
      <c r="F16272">
        <v>3.3128972585550101E-8</v>
      </c>
      <c r="G16272">
        <v>1559596</v>
      </c>
      <c r="H16272">
        <v>14238808</v>
      </c>
      <c r="I16272">
        <v>1520745</v>
      </c>
      <c r="J16272">
        <v>4</v>
      </c>
    </row>
    <row r="16273" spans="1:10" x14ac:dyDescent="0.25">
      <c r="A16273" t="s">
        <v>171</v>
      </c>
      <c r="B16273" s="1" t="str">
        <f>HYPERLINK("http://erp-spain.com","erp-spain.com")</f>
        <v>erp-spain.com</v>
      </c>
      <c r="C16273" t="s">
        <v>433</v>
      </c>
      <c r="F16273">
        <v>1.61392715026739E-8</v>
      </c>
      <c r="G16273">
        <v>3510674</v>
      </c>
      <c r="H16273">
        <v>14487009</v>
      </c>
      <c r="I16273">
        <v>954695</v>
      </c>
      <c r="J16273">
        <v>6</v>
      </c>
    </row>
    <row r="16274" spans="1:10" x14ac:dyDescent="0.25">
      <c r="A16274" t="s">
        <v>171</v>
      </c>
      <c r="B16274" s="1" t="str">
        <f>HYPERLINK("http://eventfabrics.com","eventfabrics.com")</f>
        <v>eventfabrics.com</v>
      </c>
      <c r="C16274" t="s">
        <v>433</v>
      </c>
      <c r="F16274">
        <v>3.0153048316328697E-8</v>
      </c>
      <c r="G16274">
        <v>1706586</v>
      </c>
      <c r="H16274">
        <v>14160238</v>
      </c>
      <c r="I16274">
        <v>1839037</v>
      </c>
      <c r="J16274">
        <v>3</v>
      </c>
    </row>
    <row r="16275" spans="1:10" x14ac:dyDescent="0.25">
      <c r="A16275" t="s">
        <v>171</v>
      </c>
      <c r="B16275" s="1" t="str">
        <f>HYPERLINK("http://expressyard.com","expressyard.com")</f>
        <v>expressyard.com</v>
      </c>
      <c r="C16275" t="s">
        <v>433</v>
      </c>
      <c r="F16275">
        <v>4.4441981201447201E-9</v>
      </c>
      <c r="G16275">
        <v>77283542</v>
      </c>
      <c r="H16275">
        <v>12014879</v>
      </c>
      <c r="I16275">
        <v>27966418</v>
      </c>
      <c r="J16275">
        <v>7</v>
      </c>
    </row>
    <row r="16276" spans="1:10" x14ac:dyDescent="0.25">
      <c r="A16276" t="s">
        <v>171</v>
      </c>
      <c r="B16276" s="1" t="str">
        <f>HYPERLINK("http://faiveleytransport.com","faiveleytransport.com")</f>
        <v>faiveleytransport.com</v>
      </c>
      <c r="C16276" t="s">
        <v>433</v>
      </c>
      <c r="F16276">
        <v>3.9107387895947202E-8</v>
      </c>
      <c r="G16276">
        <v>1318969</v>
      </c>
      <c r="H16276">
        <v>14283626</v>
      </c>
      <c r="I16276">
        <v>1374658</v>
      </c>
      <c r="J16276">
        <v>6</v>
      </c>
    </row>
    <row r="16277" spans="1:10" x14ac:dyDescent="0.25">
      <c r="A16277" t="s">
        <v>171</v>
      </c>
      <c r="B16277" s="1" t="str">
        <f>HYPERLINK("http://ge.com","ge.com")</f>
        <v>ge.com</v>
      </c>
      <c r="C16277" t="s">
        <v>433</v>
      </c>
      <c r="E16277">
        <v>3034</v>
      </c>
      <c r="F16277">
        <v>7.6257951299256303E-6</v>
      </c>
      <c r="G16277">
        <v>4407</v>
      </c>
      <c r="H16277">
        <v>17911308</v>
      </c>
      <c r="I16277">
        <v>4359</v>
      </c>
      <c r="J16277">
        <v>1</v>
      </c>
    </row>
    <row r="16278" spans="1:10" x14ac:dyDescent="0.25">
      <c r="A16278" t="s">
        <v>171</v>
      </c>
      <c r="B16278" s="1" t="str">
        <f>HYPERLINK("http://ge-alstom.com","ge-alstom.com")</f>
        <v>ge-alstom.com</v>
      </c>
      <c r="C16278" t="s">
        <v>433</v>
      </c>
      <c r="F16278">
        <v>1.0071645692537E-8</v>
      </c>
      <c r="G16278">
        <v>6680386</v>
      </c>
      <c r="H16278">
        <v>13772301</v>
      </c>
      <c r="I16278">
        <v>6665189</v>
      </c>
      <c r="J16278">
        <v>3</v>
      </c>
    </row>
    <row r="16279" spans="1:10" x14ac:dyDescent="0.25">
      <c r="A16279" t="s">
        <v>171</v>
      </c>
      <c r="B16279" s="1" t="str">
        <f>HYPERLINK("http://ge-ip.com","ge-ip.com")</f>
        <v>ge-ip.com</v>
      </c>
      <c r="C16279" t="s">
        <v>433</v>
      </c>
      <c r="E16279">
        <v>354165</v>
      </c>
      <c r="F16279">
        <v>1.08963183093565E-7</v>
      </c>
      <c r="G16279">
        <v>367160</v>
      </c>
      <c r="H16279">
        <v>14560067</v>
      </c>
      <c r="I16279">
        <v>746505</v>
      </c>
      <c r="J16279">
        <v>4</v>
      </c>
    </row>
    <row r="16280" spans="1:10" x14ac:dyDescent="0.25">
      <c r="A16280" t="s">
        <v>171</v>
      </c>
      <c r="B16280" s="1" t="str">
        <f>HYPERLINK("http://geadditive.com","geadditive.com")</f>
        <v>geadditive.com</v>
      </c>
      <c r="C16280" t="s">
        <v>433</v>
      </c>
      <c r="F16280">
        <v>2.4282985504178E-8</v>
      </c>
      <c r="G16280">
        <v>2135394</v>
      </c>
      <c r="H16280">
        <v>13482138</v>
      </c>
      <c r="I16280">
        <v>10002887</v>
      </c>
      <c r="J16280">
        <v>3</v>
      </c>
    </row>
    <row r="16281" spans="1:10" x14ac:dyDescent="0.25">
      <c r="A16281" t="s">
        <v>171</v>
      </c>
      <c r="B16281" s="1" t="str">
        <f>HYPERLINK("http://geae.com","geae.com")</f>
        <v>geae.com</v>
      </c>
      <c r="C16281" t="s">
        <v>433</v>
      </c>
      <c r="E16281">
        <v>993103</v>
      </c>
      <c r="F16281">
        <v>6.1929725639303194E-8</v>
      </c>
      <c r="G16281">
        <v>710072</v>
      </c>
      <c r="H16281">
        <v>15022712</v>
      </c>
      <c r="I16281">
        <v>420336</v>
      </c>
      <c r="J16281">
        <v>4</v>
      </c>
    </row>
    <row r="16282" spans="1:10" x14ac:dyDescent="0.25">
      <c r="A16282" t="s">
        <v>171</v>
      </c>
      <c r="B16282" s="1" t="str">
        <f>HYPERLINK("http://geaviation.com","geaviation.com")</f>
        <v>geaviation.com</v>
      </c>
      <c r="C16282" t="s">
        <v>433</v>
      </c>
      <c r="E16282">
        <v>98278</v>
      </c>
      <c r="F16282">
        <v>4.7399874368927399E-7</v>
      </c>
      <c r="G16282">
        <v>80123</v>
      </c>
      <c r="H16282">
        <v>15307417</v>
      </c>
      <c r="I16282">
        <v>385510</v>
      </c>
      <c r="J16282">
        <v>3</v>
      </c>
    </row>
    <row r="16283" spans="1:10" x14ac:dyDescent="0.25">
      <c r="A16283" t="s">
        <v>171</v>
      </c>
      <c r="B16283" s="1" t="str">
        <f>HYPERLINK("http://geaviationsystems.com","geaviationsystems.com")</f>
        <v>geaviationsystems.com</v>
      </c>
      <c r="C16283" t="s">
        <v>433</v>
      </c>
      <c r="F16283">
        <v>1.30226208404575E-8</v>
      </c>
      <c r="G16283">
        <v>4621053</v>
      </c>
      <c r="H16283">
        <v>14703245</v>
      </c>
      <c r="I16283">
        <v>589499</v>
      </c>
      <c r="J16283">
        <v>3</v>
      </c>
    </row>
    <row r="16284" spans="1:10" x14ac:dyDescent="0.25">
      <c r="A16284" t="s">
        <v>171</v>
      </c>
      <c r="B16284" s="1" t="str">
        <f>HYPERLINK("http://gecapital.com","gecapital.com")</f>
        <v>gecapital.com</v>
      </c>
      <c r="C16284" t="s">
        <v>433</v>
      </c>
      <c r="E16284">
        <v>303059</v>
      </c>
      <c r="F16284">
        <v>1.73702792085835E-7</v>
      </c>
      <c r="G16284">
        <v>223277</v>
      </c>
      <c r="H16284">
        <v>14595078</v>
      </c>
      <c r="I16284">
        <v>690818</v>
      </c>
      <c r="J16284">
        <v>3</v>
      </c>
    </row>
    <row r="16285" spans="1:10" x14ac:dyDescent="0.25">
      <c r="A16285" t="s">
        <v>171</v>
      </c>
      <c r="B16285" s="1" t="str">
        <f>HYPERLINK("http://gecapitalindustrialfinance.com","gecapitalindustrialfinance.com")</f>
        <v>gecapitalindustrialfinance.com</v>
      </c>
      <c r="C16285" t="s">
        <v>433</v>
      </c>
      <c r="F16285">
        <v>8.1548150020132102E-9</v>
      </c>
      <c r="G16285">
        <v>9647992</v>
      </c>
      <c r="H16285">
        <v>10778253</v>
      </c>
      <c r="I16285">
        <v>38983617</v>
      </c>
      <c r="J16285">
        <v>3</v>
      </c>
    </row>
    <row r="16286" spans="1:10" x14ac:dyDescent="0.25">
      <c r="A16286" t="s">
        <v>171</v>
      </c>
      <c r="B16286" s="1" t="str">
        <f>HYPERLINK("http://gecommercialfinance.com","gecommercialfinance.com")</f>
        <v>gecommercialfinance.com</v>
      </c>
      <c r="C16286" t="s">
        <v>433</v>
      </c>
      <c r="F16286">
        <v>5.9963490543543002E-9</v>
      </c>
      <c r="G16286">
        <v>16707147</v>
      </c>
      <c r="H16286">
        <v>12911786</v>
      </c>
      <c r="I16286">
        <v>13539661</v>
      </c>
      <c r="J16286">
        <v>6</v>
      </c>
    </row>
    <row r="16287" spans="1:10" x14ac:dyDescent="0.25">
      <c r="A16287" t="s">
        <v>171</v>
      </c>
      <c r="B16287" s="1" t="str">
        <f>HYPERLINK("http://gedigitalenergy.com","gedigitalenergy.com")</f>
        <v>gedigitalenergy.com</v>
      </c>
      <c r="C16287" t="s">
        <v>433</v>
      </c>
      <c r="F16287">
        <v>1.01915511548375E-7</v>
      </c>
      <c r="G16287">
        <v>394255</v>
      </c>
      <c r="H16287">
        <v>14841711</v>
      </c>
      <c r="I16287">
        <v>496536</v>
      </c>
      <c r="J16287">
        <v>7</v>
      </c>
    </row>
    <row r="16288" spans="1:10" x14ac:dyDescent="0.25">
      <c r="A16288" t="s">
        <v>171</v>
      </c>
      <c r="B16288" s="1" t="str">
        <f>HYPERLINK("http://geenergyconsulting.com","geenergyconsulting.com")</f>
        <v>geenergyconsulting.com</v>
      </c>
      <c r="C16288" t="s">
        <v>433</v>
      </c>
      <c r="F16288">
        <v>5.29147834928733E-8</v>
      </c>
      <c r="G16288">
        <v>860887</v>
      </c>
      <c r="H16288">
        <v>13293421</v>
      </c>
      <c r="I16288">
        <v>10861275</v>
      </c>
      <c r="J16288">
        <v>4</v>
      </c>
    </row>
    <row r="16289" spans="1:10" x14ac:dyDescent="0.25">
      <c r="A16289" t="s">
        <v>171</v>
      </c>
      <c r="B16289" s="1" t="str">
        <f>HYPERLINK("http://geequity.com","geequity.com")</f>
        <v>geequity.com</v>
      </c>
      <c r="C16289" t="s">
        <v>433</v>
      </c>
      <c r="F16289">
        <v>4.88859811729557E-9</v>
      </c>
      <c r="G16289">
        <v>32809830</v>
      </c>
      <c r="H16289">
        <v>12356289</v>
      </c>
      <c r="I16289">
        <v>19658202</v>
      </c>
      <c r="J16289">
        <v>8</v>
      </c>
    </row>
    <row r="16290" spans="1:10" x14ac:dyDescent="0.25">
      <c r="A16290" t="s">
        <v>171</v>
      </c>
      <c r="B16290" s="1" t="str">
        <f>HYPERLINK("http://geglobalresearch.com","geglobalresearch.com")</f>
        <v>geglobalresearch.com</v>
      </c>
      <c r="C16290" t="s">
        <v>433</v>
      </c>
      <c r="E16290">
        <v>476190</v>
      </c>
      <c r="F16290">
        <v>2.04840034921703E-7</v>
      </c>
      <c r="G16290">
        <v>185458</v>
      </c>
      <c r="H16290">
        <v>17178896</v>
      </c>
      <c r="I16290">
        <v>45792</v>
      </c>
      <c r="J16290">
        <v>3</v>
      </c>
    </row>
    <row r="16291" spans="1:10" x14ac:dyDescent="0.25">
      <c r="A16291" t="s">
        <v>171</v>
      </c>
      <c r="B16291" s="1" t="str">
        <f>HYPERLINK("http://gegridsolutions.com","gegridsolutions.com")</f>
        <v>gegridsolutions.com</v>
      </c>
      <c r="C16291" t="s">
        <v>433</v>
      </c>
      <c r="E16291">
        <v>198912</v>
      </c>
      <c r="F16291">
        <v>3.2647344569505601E-7</v>
      </c>
      <c r="G16291">
        <v>114082</v>
      </c>
      <c r="H16291">
        <v>14722126</v>
      </c>
      <c r="I16291">
        <v>577130</v>
      </c>
      <c r="J16291">
        <v>3</v>
      </c>
    </row>
    <row r="16292" spans="1:10" x14ac:dyDescent="0.25">
      <c r="A16292" t="s">
        <v>171</v>
      </c>
      <c r="B16292" s="1" t="str">
        <f>HYPERLINK("http://gehealthcare.com","gehealthcare.com")</f>
        <v>gehealthcare.com</v>
      </c>
      <c r="C16292" t="s">
        <v>433</v>
      </c>
      <c r="E16292">
        <v>24480</v>
      </c>
      <c r="F16292">
        <v>1.63859058939754E-6</v>
      </c>
      <c r="G16292">
        <v>24105</v>
      </c>
      <c r="H16292">
        <v>16016735</v>
      </c>
      <c r="I16292">
        <v>366313</v>
      </c>
      <c r="J16292">
        <v>3</v>
      </c>
    </row>
    <row r="16293" spans="1:10" x14ac:dyDescent="0.25">
      <c r="A16293" t="s">
        <v>171</v>
      </c>
      <c r="B16293" s="1" t="str">
        <f>HYPERLINK("http://gehonda.com","gehonda.com")</f>
        <v>gehonda.com</v>
      </c>
      <c r="C16293" t="s">
        <v>433</v>
      </c>
      <c r="F16293">
        <v>9.6142176661292096E-9</v>
      </c>
      <c r="G16293">
        <v>7182640</v>
      </c>
      <c r="H16293">
        <v>14091263</v>
      </c>
      <c r="I16293">
        <v>2744632</v>
      </c>
      <c r="J16293">
        <v>4</v>
      </c>
    </row>
    <row r="16294" spans="1:10" x14ac:dyDescent="0.25">
      <c r="A16294" t="s">
        <v>171</v>
      </c>
      <c r="B16294" s="1" t="str">
        <f>HYPERLINK("http://gelifesciences.com","gelifesciences.com")</f>
        <v>gelifesciences.com</v>
      </c>
      <c r="C16294" t="s">
        <v>433</v>
      </c>
      <c r="E16294">
        <v>331612</v>
      </c>
      <c r="F16294">
        <v>2.3968852116957502E-7</v>
      </c>
      <c r="G16294">
        <v>156112</v>
      </c>
      <c r="H16294">
        <v>14967238</v>
      </c>
      <c r="I16294">
        <v>434968</v>
      </c>
      <c r="J16294">
        <v>4</v>
      </c>
    </row>
    <row r="16295" spans="1:10" x14ac:dyDescent="0.25">
      <c r="A16295" t="s">
        <v>171</v>
      </c>
      <c r="B16295" s="1" t="str">
        <f>HYPERLINK("http://gelighting.com","gelighting.com")</f>
        <v>gelighting.com</v>
      </c>
      <c r="C16295" t="s">
        <v>433</v>
      </c>
      <c r="E16295">
        <v>47399</v>
      </c>
      <c r="F16295">
        <v>6.2450410212008404E-7</v>
      </c>
      <c r="G16295">
        <v>61372</v>
      </c>
      <c r="H16295">
        <v>17195224</v>
      </c>
      <c r="I16295">
        <v>42661</v>
      </c>
      <c r="J16295">
        <v>3</v>
      </c>
    </row>
    <row r="16296" spans="1:10" x14ac:dyDescent="0.25">
      <c r="A16296" t="s">
        <v>171</v>
      </c>
      <c r="B16296" s="1" t="str">
        <f>HYPERLINK("http://gemoney.com","gemoney.com")</f>
        <v>gemoney.com</v>
      </c>
      <c r="C16296" t="s">
        <v>433</v>
      </c>
      <c r="F16296">
        <v>1.45719350616227E-8</v>
      </c>
      <c r="G16296">
        <v>3986965</v>
      </c>
      <c r="H16296">
        <v>14244714</v>
      </c>
      <c r="I16296">
        <v>1470244</v>
      </c>
      <c r="J16296">
        <v>3</v>
      </c>
    </row>
    <row r="16297" spans="1:10" x14ac:dyDescent="0.25">
      <c r="A16297" t="s">
        <v>171</v>
      </c>
      <c r="B16297" s="1" t="str">
        <f>HYPERLINK("http://geoilandgas.com","geoilandgas.com")</f>
        <v>geoilandgas.com</v>
      </c>
      <c r="C16297" t="s">
        <v>433</v>
      </c>
      <c r="F16297">
        <v>1.4698164173693601E-7</v>
      </c>
      <c r="G16297">
        <v>264889</v>
      </c>
      <c r="H16297">
        <v>16969606</v>
      </c>
      <c r="I16297">
        <v>102964</v>
      </c>
      <c r="J16297">
        <v>3</v>
      </c>
    </row>
    <row r="16298" spans="1:10" x14ac:dyDescent="0.25">
      <c r="A16298" t="s">
        <v>171</v>
      </c>
      <c r="B16298" s="1" t="str">
        <f>HYPERLINK("http://gepower.com","gepower.com")</f>
        <v>gepower.com</v>
      </c>
      <c r="C16298" t="s">
        <v>433</v>
      </c>
      <c r="E16298">
        <v>107266</v>
      </c>
      <c r="F16298">
        <v>4.3595187749799202E-7</v>
      </c>
      <c r="G16298">
        <v>86447</v>
      </c>
      <c r="H16298">
        <v>17309990</v>
      </c>
      <c r="I16298">
        <v>26818</v>
      </c>
      <c r="J16298">
        <v>3</v>
      </c>
    </row>
    <row r="16299" spans="1:10" x14ac:dyDescent="0.25">
      <c r="A16299" t="s">
        <v>171</v>
      </c>
      <c r="B16299" s="1" t="str">
        <f>HYPERLINK("http://gepowercontrols.com","gepowercontrols.com")</f>
        <v>gepowercontrols.com</v>
      </c>
      <c r="C16299" t="s">
        <v>433</v>
      </c>
      <c r="F16299">
        <v>1.7438927896062501E-8</v>
      </c>
      <c r="G16299">
        <v>3162548</v>
      </c>
      <c r="H16299">
        <v>14074091</v>
      </c>
      <c r="I16299">
        <v>2957003</v>
      </c>
      <c r="J16299">
        <v>4</v>
      </c>
    </row>
    <row r="16300" spans="1:10" x14ac:dyDescent="0.25">
      <c r="A16300" t="s">
        <v>171</v>
      </c>
      <c r="B16300" s="1" t="str">
        <f>HYPERLINK("http://gereports.com","gereports.com")</f>
        <v>gereports.com</v>
      </c>
      <c r="C16300" t="s">
        <v>433</v>
      </c>
      <c r="E16300">
        <v>181266</v>
      </c>
      <c r="F16300">
        <v>5.4564312578137303E-7</v>
      </c>
      <c r="G16300">
        <v>70840</v>
      </c>
      <c r="H16300">
        <v>15305214</v>
      </c>
      <c r="I16300">
        <v>385683</v>
      </c>
      <c r="J16300">
        <v>4</v>
      </c>
    </row>
    <row r="16301" spans="1:10" x14ac:dyDescent="0.25">
      <c r="A16301" t="s">
        <v>171</v>
      </c>
      <c r="B16301" s="1" t="str">
        <f>HYPERLINK("http://gesoftware.com","gesoftware.com")</f>
        <v>gesoftware.com</v>
      </c>
      <c r="C16301" t="s">
        <v>433</v>
      </c>
      <c r="F16301">
        <v>6.4417674902974904E-8</v>
      </c>
      <c r="G16301">
        <v>671846</v>
      </c>
      <c r="H16301">
        <v>14287456</v>
      </c>
      <c r="I16301">
        <v>1369628</v>
      </c>
      <c r="J16301">
        <v>3</v>
      </c>
    </row>
    <row r="16302" spans="1:10" x14ac:dyDescent="0.25">
      <c r="A16302" t="s">
        <v>171</v>
      </c>
      <c r="B16302" s="1" t="str">
        <f>HYPERLINK("http://getransport.com","getransport.com")</f>
        <v>getransport.com</v>
      </c>
      <c r="C16302" t="s">
        <v>433</v>
      </c>
      <c r="F16302">
        <v>4.5941602796215696E-9</v>
      </c>
      <c r="G16302">
        <v>48077890</v>
      </c>
      <c r="H16302">
        <v>10664479</v>
      </c>
      <c r="I16302">
        <v>43178648</v>
      </c>
      <c r="J16302">
        <v>6</v>
      </c>
    </row>
    <row r="16303" spans="1:10" x14ac:dyDescent="0.25">
      <c r="A16303" t="s">
        <v>171</v>
      </c>
      <c r="B16303" s="1" t="str">
        <f>HYPERLINK("http://getransportation.com","getransportation.com")</f>
        <v>getransportation.com</v>
      </c>
      <c r="C16303" t="s">
        <v>433</v>
      </c>
      <c r="E16303">
        <v>520696</v>
      </c>
      <c r="F16303">
        <v>3.3462318812754398E-7</v>
      </c>
      <c r="G16303">
        <v>111404</v>
      </c>
      <c r="H16303">
        <v>17133088</v>
      </c>
      <c r="I16303">
        <v>55995</v>
      </c>
      <c r="J16303">
        <v>3</v>
      </c>
    </row>
    <row r="16304" spans="1:10" x14ac:dyDescent="0.25">
      <c r="A16304" t="s">
        <v>171</v>
      </c>
      <c r="B16304" s="1" t="str">
        <f>HYPERLINK("http://geventures.com","geventures.com")</f>
        <v>geventures.com</v>
      </c>
      <c r="C16304" t="s">
        <v>433</v>
      </c>
      <c r="F16304">
        <v>1.4560676585230399E-7</v>
      </c>
      <c r="G16304">
        <v>267356</v>
      </c>
      <c r="H16304">
        <v>14075667</v>
      </c>
      <c r="I16304">
        <v>2903486</v>
      </c>
      <c r="J16304">
        <v>4</v>
      </c>
    </row>
    <row r="16305" spans="1:10" x14ac:dyDescent="0.25">
      <c r="A16305" t="s">
        <v>171</v>
      </c>
      <c r="B16305" s="1" t="str">
        <f>HYPERLINK("http://houseofbreakers.com","houseofbreakers.com")</f>
        <v>houseofbreakers.com</v>
      </c>
      <c r="C16305" t="s">
        <v>433</v>
      </c>
      <c r="F16305">
        <v>4.44380395335525E-9</v>
      </c>
      <c r="G16305">
        <v>81988321</v>
      </c>
      <c r="H16305">
        <v>0</v>
      </c>
      <c r="I16305">
        <v>82495214</v>
      </c>
      <c r="J16305">
        <v>7</v>
      </c>
    </row>
    <row r="16306" spans="1:10" x14ac:dyDescent="0.25">
      <c r="A16306" t="s">
        <v>171</v>
      </c>
      <c r="B16306" s="1" t="str">
        <f>HYPERLINK("http://idx.com","idx.com")</f>
        <v>idx.com</v>
      </c>
      <c r="C16306" t="s">
        <v>433</v>
      </c>
      <c r="F16306">
        <v>9.8665327178477997E-9</v>
      </c>
      <c r="G16306">
        <v>6895498</v>
      </c>
      <c r="H16306">
        <v>13438575</v>
      </c>
      <c r="I16306">
        <v>10264968</v>
      </c>
      <c r="J16306">
        <v>4</v>
      </c>
    </row>
    <row r="16307" spans="1:10" x14ac:dyDescent="0.25">
      <c r="A16307" t="s">
        <v>171</v>
      </c>
      <c r="B16307" s="1" t="str">
        <f>HYPERLINK("http://jenbacher.com","jenbacher.com")</f>
        <v>jenbacher.com</v>
      </c>
      <c r="C16307" t="s">
        <v>433</v>
      </c>
      <c r="F16307">
        <v>9.9877342030870193E-9</v>
      </c>
      <c r="G16307">
        <v>6768009</v>
      </c>
      <c r="H16307">
        <v>12440755</v>
      </c>
      <c r="I16307">
        <v>18135760</v>
      </c>
      <c r="J16307">
        <v>3</v>
      </c>
    </row>
    <row r="16308" spans="1:10" x14ac:dyDescent="0.25">
      <c r="A16308" t="s">
        <v>171</v>
      </c>
      <c r="B16308" s="1" t="str">
        <f>HYPERLINK("http://jtsusa.com","jtsusa.com")</f>
        <v>jtsusa.com</v>
      </c>
      <c r="C16308" t="s">
        <v>433</v>
      </c>
      <c r="F16308">
        <v>1.7703445771591199E-8</v>
      </c>
      <c r="G16308">
        <v>3096020</v>
      </c>
      <c r="H16308">
        <v>13806136</v>
      </c>
      <c r="I16308">
        <v>6233094</v>
      </c>
      <c r="J16308">
        <v>4</v>
      </c>
    </row>
    <row r="16309" spans="1:10" x14ac:dyDescent="0.25">
      <c r="A16309" t="s">
        <v>171</v>
      </c>
      <c r="B16309" s="1" t="str">
        <f>HYPERLINK("http://lmwindpower.com","lmwindpower.com")</f>
        <v>lmwindpower.com</v>
      </c>
      <c r="C16309" t="s">
        <v>433</v>
      </c>
      <c r="E16309">
        <v>231816</v>
      </c>
      <c r="F16309">
        <v>1.01500745136043E-7</v>
      </c>
      <c r="G16309">
        <v>396045</v>
      </c>
      <c r="H16309">
        <v>14261293</v>
      </c>
      <c r="I16309">
        <v>1417493</v>
      </c>
      <c r="J16309">
        <v>4</v>
      </c>
    </row>
    <row r="16310" spans="1:10" x14ac:dyDescent="0.25">
      <c r="A16310" t="s">
        <v>171</v>
      </c>
      <c r="B16310" s="1" t="str">
        <f>HYPERLINK("http://malicayasociaos.com","malicayasociaos.com")</f>
        <v>malicayasociaos.com</v>
      </c>
      <c r="C16310" t="s">
        <v>433</v>
      </c>
      <c r="J16310">
        <v>5</v>
      </c>
    </row>
    <row r="16311" spans="1:10" x14ac:dyDescent="0.25">
      <c r="A16311" t="s">
        <v>171</v>
      </c>
      <c r="B16311" s="1" t="str">
        <f>HYPERLINK("http://melett.com","melett.com")</f>
        <v>melett.com</v>
      </c>
      <c r="C16311" t="s">
        <v>433</v>
      </c>
      <c r="F16311">
        <v>1.7648200268987099E-8</v>
      </c>
      <c r="G16311">
        <v>3108289</v>
      </c>
      <c r="H16311">
        <v>12790528</v>
      </c>
      <c r="I16311">
        <v>14685792</v>
      </c>
      <c r="J16311">
        <v>6</v>
      </c>
    </row>
    <row r="16312" spans="1:10" x14ac:dyDescent="0.25">
      <c r="A16312" t="s">
        <v>171</v>
      </c>
      <c r="B16312" s="1" t="str">
        <f>HYPERLINK("http://midwestelectric.com","midwestelectric.com")</f>
        <v>midwestelectric.com</v>
      </c>
      <c r="C16312" t="s">
        <v>433</v>
      </c>
      <c r="F16312">
        <v>1.72785143518511E-8</v>
      </c>
      <c r="G16312">
        <v>3204348</v>
      </c>
      <c r="H16312">
        <v>13565918</v>
      </c>
      <c r="I16312">
        <v>9766740</v>
      </c>
      <c r="J16312">
        <v>3</v>
      </c>
    </row>
    <row r="16313" spans="1:10" x14ac:dyDescent="0.25">
      <c r="A16313" t="s">
        <v>171</v>
      </c>
      <c r="B16313" s="1" t="str">
        <f>HYPERLINK("http://napier-turbochargers.com","napier-turbochargers.com")</f>
        <v>napier-turbochargers.com</v>
      </c>
      <c r="C16313" t="s">
        <v>433</v>
      </c>
      <c r="F16313">
        <v>1.0786782714576001E-8</v>
      </c>
      <c r="G16313">
        <v>6031168</v>
      </c>
      <c r="H16313">
        <v>14071801</v>
      </c>
      <c r="I16313">
        <v>3317939</v>
      </c>
      <c r="J16313">
        <v>8</v>
      </c>
    </row>
    <row r="16314" spans="1:10" x14ac:dyDescent="0.25">
      <c r="A16314" t="s">
        <v>171</v>
      </c>
      <c r="B16314" s="1" t="str">
        <f>HYPERLINK("http://nurego.com","nurego.com")</f>
        <v>nurego.com</v>
      </c>
      <c r="C16314" t="s">
        <v>433</v>
      </c>
      <c r="F16314">
        <v>6.2932860846460297E-9</v>
      </c>
      <c r="G16314">
        <v>15064199</v>
      </c>
      <c r="H16314">
        <v>13220766</v>
      </c>
      <c r="I16314">
        <v>11333380</v>
      </c>
      <c r="J16314">
        <v>4</v>
      </c>
    </row>
    <row r="16315" spans="1:10" x14ac:dyDescent="0.25">
      <c r="A16315" t="s">
        <v>171</v>
      </c>
      <c r="B16315" s="1" t="str">
        <f>HYPERLINK("http://prolecge.com","prolecge.com")</f>
        <v>prolecge.com</v>
      </c>
      <c r="C16315" t="s">
        <v>433</v>
      </c>
      <c r="F16315">
        <v>1.51109597507746E-8</v>
      </c>
      <c r="G16315">
        <v>3804232</v>
      </c>
      <c r="H16315">
        <v>13119712</v>
      </c>
      <c r="I16315">
        <v>11994428</v>
      </c>
      <c r="J16315">
        <v>3</v>
      </c>
    </row>
    <row r="16316" spans="1:10" x14ac:dyDescent="0.25">
      <c r="A16316" t="s">
        <v>171</v>
      </c>
      <c r="B16316" s="1" t="str">
        <f>HYPERLINK("http://rapiscan-mpi.com","rapiscan-mpi.com")</f>
        <v>rapiscan-mpi.com</v>
      </c>
      <c r="C16316" t="s">
        <v>433</v>
      </c>
      <c r="F16316">
        <v>4.6042531906258201E-9</v>
      </c>
      <c r="G16316">
        <v>47285060</v>
      </c>
      <c r="H16316">
        <v>10158652</v>
      </c>
      <c r="I16316">
        <v>59393802</v>
      </c>
      <c r="J16316">
        <v>4</v>
      </c>
    </row>
    <row r="16317" spans="1:10" x14ac:dyDescent="0.25">
      <c r="A16317" t="s">
        <v>171</v>
      </c>
      <c r="B16317" s="1" t="str">
        <f>HYPERLINK("http://rmiondemand.com","rmiondemand.com")</f>
        <v>rmiondemand.com</v>
      </c>
      <c r="C16317" t="s">
        <v>433</v>
      </c>
      <c r="F16317">
        <v>6.2829154132755203E-9</v>
      </c>
      <c r="G16317">
        <v>15113580</v>
      </c>
      <c r="H16317">
        <v>12427099</v>
      </c>
      <c r="I16317">
        <v>18345327</v>
      </c>
      <c r="J16317">
        <v>7</v>
      </c>
    </row>
    <row r="16318" spans="1:10" x14ac:dyDescent="0.25">
      <c r="A16318" t="s">
        <v>171</v>
      </c>
      <c r="B16318" s="1" t="str">
        <f>HYPERLINK("http://shipxpress.com","shipxpress.com")</f>
        <v>shipxpress.com</v>
      </c>
      <c r="C16318" t="s">
        <v>433</v>
      </c>
      <c r="F16318">
        <v>6.0777823426131903E-9</v>
      </c>
      <c r="G16318">
        <v>16219884</v>
      </c>
      <c r="H16318">
        <v>12582208</v>
      </c>
      <c r="I16318">
        <v>16486524</v>
      </c>
      <c r="J16318">
        <v>7</v>
      </c>
    </row>
    <row r="16319" spans="1:10" x14ac:dyDescent="0.25">
      <c r="A16319" t="s">
        <v>171</v>
      </c>
      <c r="B16319" s="1" t="str">
        <f>HYPERLINK("http://unisonindustries.com","unisonindustries.com")</f>
        <v>unisonindustries.com</v>
      </c>
      <c r="C16319" t="s">
        <v>433</v>
      </c>
      <c r="F16319">
        <v>2.1225153179412999E-8</v>
      </c>
      <c r="G16319">
        <v>2484526</v>
      </c>
      <c r="H16319">
        <v>14401275</v>
      </c>
      <c r="I16319">
        <v>1153336</v>
      </c>
      <c r="J16319">
        <v>3</v>
      </c>
    </row>
    <row r="16320" spans="1:10" x14ac:dyDescent="0.25">
      <c r="A16320" t="s">
        <v>171</v>
      </c>
      <c r="B16320" s="1" t="str">
        <f>HYPERLINK("http://unitracrail.com","unitracrail.com")</f>
        <v>unitracrail.com</v>
      </c>
      <c r="C16320" t="s">
        <v>433</v>
      </c>
      <c r="F16320">
        <v>4.5824330675851104E-9</v>
      </c>
      <c r="G16320">
        <v>49086430</v>
      </c>
      <c r="H16320">
        <v>10610965</v>
      </c>
      <c r="I16320">
        <v>44548841</v>
      </c>
      <c r="J16320">
        <v>6</v>
      </c>
    </row>
    <row r="16321" spans="1:10" x14ac:dyDescent="0.25">
      <c r="A16321" t="s">
        <v>171</v>
      </c>
      <c r="B16321" s="1" t="str">
        <f>HYPERLINK("http://wabtec.com","wabtec.com")</f>
        <v>wabtec.com</v>
      </c>
      <c r="C16321" t="s">
        <v>433</v>
      </c>
      <c r="E16321">
        <v>73520</v>
      </c>
      <c r="F16321">
        <v>1.7686297192433599E-7</v>
      </c>
      <c r="G16321">
        <v>218774</v>
      </c>
      <c r="H16321">
        <v>14858230</v>
      </c>
      <c r="I16321">
        <v>485813</v>
      </c>
      <c r="J16321">
        <v>3</v>
      </c>
    </row>
    <row r="16322" spans="1:10" x14ac:dyDescent="0.25">
      <c r="A16322" t="s">
        <v>171</v>
      </c>
      <c r="B16322" s="1" t="str">
        <f>HYPERLINK("http://wabteccorp.com","wabteccorp.com")</f>
        <v>wabteccorp.com</v>
      </c>
      <c r="C16322" t="s">
        <v>433</v>
      </c>
      <c r="E16322">
        <v>134730</v>
      </c>
      <c r="F16322">
        <v>3.9934214329976498E-7</v>
      </c>
      <c r="G16322">
        <v>93971</v>
      </c>
      <c r="H16322">
        <v>14246689</v>
      </c>
      <c r="I16322">
        <v>1460472</v>
      </c>
      <c r="J16322">
        <v>4</v>
      </c>
    </row>
    <row r="16323" spans="1:10" x14ac:dyDescent="0.25">
      <c r="A16323" t="s">
        <v>171</v>
      </c>
      <c r="B16323" s="1" t="str">
        <f>HYPERLINK("http://walterengines.com","walterengines.com")</f>
        <v>walterengines.com</v>
      </c>
      <c r="C16323" t="s">
        <v>433</v>
      </c>
      <c r="F16323">
        <v>5.83967472769239E-9</v>
      </c>
      <c r="G16323">
        <v>17785936</v>
      </c>
      <c r="H16323">
        <v>14071793</v>
      </c>
      <c r="I16323">
        <v>3364168</v>
      </c>
      <c r="J16323">
        <v>4</v>
      </c>
    </row>
    <row r="16324" spans="1:10" x14ac:dyDescent="0.25">
      <c r="A16324" t="s">
        <v>171</v>
      </c>
      <c r="B16324" s="1" t="str">
        <f>HYPERLINK("http://whatman.com","whatman.com")</f>
        <v>whatman.com</v>
      </c>
      <c r="C16324" t="s">
        <v>433</v>
      </c>
      <c r="F16324">
        <v>4.2281253089015597E-8</v>
      </c>
      <c r="G16324">
        <v>1150829</v>
      </c>
      <c r="H16324">
        <v>14507028</v>
      </c>
      <c r="I16324">
        <v>831797</v>
      </c>
      <c r="J16324">
        <v>5</v>
      </c>
    </row>
    <row r="16325" spans="1:10" x14ac:dyDescent="0.25">
      <c r="A16325" t="s">
        <v>171</v>
      </c>
      <c r="B16325" s="1" t="str">
        <f>HYPERLINK("http://zenithoilfield.com","zenithoilfield.com")</f>
        <v>zenithoilfield.com</v>
      </c>
      <c r="C16325" t="s">
        <v>433</v>
      </c>
      <c r="J16325">
        <v>4</v>
      </c>
    </row>
    <row r="16326" spans="1:10" x14ac:dyDescent="0.25">
      <c r="A16326" t="s">
        <v>171</v>
      </c>
      <c r="B16326" s="1" t="str">
        <f>HYPERLINK("http://faiveleytransport-lekov.cz","faiveleytransport-lekov.cz")</f>
        <v>faiveleytransport-lekov.cz</v>
      </c>
      <c r="C16326" t="s">
        <v>435</v>
      </c>
      <c r="D16326" t="s">
        <v>814</v>
      </c>
      <c r="J16326">
        <v>6</v>
      </c>
    </row>
    <row r="16327" spans="1:10" x14ac:dyDescent="0.25">
      <c r="A16327" t="s">
        <v>171</v>
      </c>
      <c r="B16327" s="1" t="str">
        <f>HYPERLINK("http://geaviation.cz","geaviation.cz")</f>
        <v>geaviation.cz</v>
      </c>
      <c r="C16327" t="s">
        <v>435</v>
      </c>
      <c r="D16327" t="s">
        <v>814</v>
      </c>
      <c r="F16327">
        <v>1.0823107089420001E-8</v>
      </c>
      <c r="G16327">
        <v>6002584</v>
      </c>
      <c r="H16327">
        <v>14077876</v>
      </c>
      <c r="I16327">
        <v>2857164</v>
      </c>
      <c r="J16327">
        <v>3</v>
      </c>
    </row>
    <row r="16328" spans="1:10" x14ac:dyDescent="0.25">
      <c r="A16328" t="s">
        <v>171</v>
      </c>
      <c r="B16328" s="1" t="str">
        <f>HYPERLINK("http://concept-laser.de","concept-laser.de")</f>
        <v>concept-laser.de</v>
      </c>
      <c r="C16328" t="s">
        <v>436</v>
      </c>
      <c r="D16328" t="s">
        <v>815</v>
      </c>
      <c r="F16328">
        <v>4.0801471332821199E-8</v>
      </c>
      <c r="G16328">
        <v>1270627</v>
      </c>
      <c r="H16328">
        <v>14201528</v>
      </c>
      <c r="I16328">
        <v>1720415</v>
      </c>
      <c r="J16328">
        <v>3</v>
      </c>
    </row>
    <row r="16329" spans="1:10" x14ac:dyDescent="0.25">
      <c r="A16329" t="s">
        <v>171</v>
      </c>
      <c r="B16329" s="1" t="str">
        <f>HYPERLINK("http://gehealthcare.de","gehealthcare.de")</f>
        <v>gehealthcare.de</v>
      </c>
      <c r="C16329" t="s">
        <v>436</v>
      </c>
      <c r="D16329" t="s">
        <v>815</v>
      </c>
      <c r="F16329">
        <v>1.0637522958632599E-7</v>
      </c>
      <c r="G16329">
        <v>376409</v>
      </c>
      <c r="H16329">
        <v>16873848</v>
      </c>
      <c r="I16329">
        <v>143398</v>
      </c>
      <c r="J16329">
        <v>3</v>
      </c>
    </row>
    <row r="16330" spans="1:10" x14ac:dyDescent="0.25">
      <c r="A16330" t="s">
        <v>171</v>
      </c>
      <c r="B16330" s="1" t="str">
        <f>HYPERLINK("http://melett.de","melett.de")</f>
        <v>melett.de</v>
      </c>
      <c r="C16330" t="s">
        <v>436</v>
      </c>
      <c r="D16330" t="s">
        <v>815</v>
      </c>
      <c r="F16330">
        <v>5.3256099235459399E-9</v>
      </c>
      <c r="G16330">
        <v>23127592</v>
      </c>
      <c r="H16330">
        <v>12040172</v>
      </c>
      <c r="I16330">
        <v>27456931</v>
      </c>
      <c r="J16330">
        <v>7</v>
      </c>
    </row>
    <row r="16331" spans="1:10" x14ac:dyDescent="0.25">
      <c r="A16331" t="s">
        <v>171</v>
      </c>
      <c r="B16331" s="1" t="str">
        <f>HYPERLINK("http://nowe.de","nowe.de")</f>
        <v>nowe.de</v>
      </c>
      <c r="C16331" t="s">
        <v>436</v>
      </c>
      <c r="D16331" t="s">
        <v>815</v>
      </c>
      <c r="F16331">
        <v>4.5060266259545199E-9</v>
      </c>
      <c r="G16331">
        <v>58063882</v>
      </c>
      <c r="H16331">
        <v>12071661</v>
      </c>
      <c r="I16331">
        <v>26756996</v>
      </c>
      <c r="J16331">
        <v>5</v>
      </c>
    </row>
    <row r="16332" spans="1:10" x14ac:dyDescent="0.25">
      <c r="A16332" t="s">
        <v>171</v>
      </c>
      <c r="B16332" s="1" t="str">
        <f>HYPERLINK("http://gehealthcare.dk","gehealthcare.dk")</f>
        <v>gehealthcare.dk</v>
      </c>
      <c r="C16332" t="s">
        <v>437</v>
      </c>
      <c r="D16332" t="s">
        <v>816</v>
      </c>
      <c r="F16332">
        <v>8.9276918738874003E-9</v>
      </c>
      <c r="G16332">
        <v>8101897</v>
      </c>
      <c r="H16332">
        <v>11509656</v>
      </c>
      <c r="I16332">
        <v>30016930</v>
      </c>
      <c r="J16332">
        <v>4</v>
      </c>
    </row>
    <row r="16333" spans="1:10" x14ac:dyDescent="0.25">
      <c r="A16333" t="s">
        <v>171</v>
      </c>
      <c r="B16333" s="1" t="str">
        <f>HYPERLINK("http://semvac.dk","semvac.dk")</f>
        <v>semvac.dk</v>
      </c>
      <c r="C16333" t="s">
        <v>437</v>
      </c>
      <c r="D16333" t="s">
        <v>816</v>
      </c>
      <c r="F16333">
        <v>5.3555676389766202E-9</v>
      </c>
      <c r="G16333">
        <v>22727077</v>
      </c>
      <c r="H16333">
        <v>9886316</v>
      </c>
      <c r="I16333">
        <v>61819876</v>
      </c>
      <c r="J16333">
        <v>6</v>
      </c>
    </row>
    <row r="16334" spans="1:10" x14ac:dyDescent="0.25">
      <c r="A16334" t="s">
        <v>171</v>
      </c>
      <c r="B16334" s="1" t="str">
        <f>HYPERLINK("http://gehealthcare.es","gehealthcare.es")</f>
        <v>gehealthcare.es</v>
      </c>
      <c r="C16334" t="s">
        <v>443</v>
      </c>
      <c r="D16334" t="s">
        <v>822</v>
      </c>
      <c r="F16334">
        <v>2.6897354564288101E-8</v>
      </c>
      <c r="G16334">
        <v>1912422</v>
      </c>
      <c r="H16334">
        <v>13169780</v>
      </c>
      <c r="I16334">
        <v>11725012</v>
      </c>
      <c r="J16334">
        <v>4</v>
      </c>
    </row>
    <row r="16335" spans="1:10" x14ac:dyDescent="0.25">
      <c r="A16335" t="s">
        <v>171</v>
      </c>
      <c r="B16335" s="1" t="str">
        <f>HYPERLINK("http://melett.es","melett.es")</f>
        <v>melett.es</v>
      </c>
      <c r="C16335" t="s">
        <v>443</v>
      </c>
      <c r="D16335" t="s">
        <v>822</v>
      </c>
      <c r="F16335">
        <v>6.5952825451376797E-9</v>
      </c>
      <c r="G16335">
        <v>13695056</v>
      </c>
      <c r="H16335">
        <v>10603719</v>
      </c>
      <c r="I16335">
        <v>44757843</v>
      </c>
      <c r="J16335">
        <v>7</v>
      </c>
    </row>
    <row r="16336" spans="1:10" x14ac:dyDescent="0.25">
      <c r="A16336" t="s">
        <v>171</v>
      </c>
      <c r="B16336" s="1" t="str">
        <f>HYPERLINK("http://abadstory.fi","abadstory.fi")</f>
        <v>abadstory.fi</v>
      </c>
      <c r="C16336" t="s">
        <v>445</v>
      </c>
      <c r="D16336" t="s">
        <v>823</v>
      </c>
      <c r="F16336">
        <v>4.6081355222551604E-9</v>
      </c>
      <c r="G16336">
        <v>46984747</v>
      </c>
      <c r="H16336">
        <v>10344814</v>
      </c>
      <c r="I16336">
        <v>57098457</v>
      </c>
      <c r="J16336">
        <v>2</v>
      </c>
    </row>
    <row r="16337" spans="1:10" x14ac:dyDescent="0.25">
      <c r="A16337" t="s">
        <v>171</v>
      </c>
      <c r="B16337" s="1" t="str">
        <f>HYPERLINK("http://alstom.fi","alstom.fi")</f>
        <v>alstom.fi</v>
      </c>
      <c r="C16337" t="s">
        <v>445</v>
      </c>
      <c r="D16337" t="s">
        <v>823</v>
      </c>
      <c r="F16337">
        <v>4.9163486943717898E-9</v>
      </c>
      <c r="G16337">
        <v>31904216</v>
      </c>
      <c r="H16337">
        <v>14071789</v>
      </c>
      <c r="I16337">
        <v>3634862</v>
      </c>
      <c r="J16337">
        <v>5</v>
      </c>
    </row>
    <row r="16338" spans="1:10" x14ac:dyDescent="0.25">
      <c r="A16338" t="s">
        <v>171</v>
      </c>
      <c r="B16338" s="1" t="str">
        <f>HYPERLINK("http://areva-td.fi","areva-td.fi")</f>
        <v>areva-td.fi</v>
      </c>
      <c r="C16338" t="s">
        <v>445</v>
      </c>
      <c r="D16338" t="s">
        <v>823</v>
      </c>
      <c r="J16338">
        <v>5</v>
      </c>
    </row>
    <row r="16339" spans="1:10" x14ac:dyDescent="0.25">
      <c r="A16339" t="s">
        <v>171</v>
      </c>
      <c r="B16339" s="1" t="str">
        <f>HYPERLINK("http://datquant.fi","datquant.fi")</f>
        <v>datquant.fi</v>
      </c>
      <c r="C16339" t="s">
        <v>445</v>
      </c>
      <c r="D16339" t="s">
        <v>823</v>
      </c>
      <c r="J16339">
        <v>2</v>
      </c>
    </row>
    <row r="16340" spans="1:10" x14ac:dyDescent="0.25">
      <c r="A16340" t="s">
        <v>171</v>
      </c>
      <c r="B16340" s="1" t="str">
        <f>HYPERLINK("http://datscan.fi","datscan.fi")</f>
        <v>datscan.fi</v>
      </c>
      <c r="C16340" t="s">
        <v>445</v>
      </c>
      <c r="D16340" t="s">
        <v>823</v>
      </c>
      <c r="J16340">
        <v>2</v>
      </c>
    </row>
    <row r="16341" spans="1:10" x14ac:dyDescent="0.25">
      <c r="A16341" t="s">
        <v>171</v>
      </c>
      <c r="B16341" s="1" t="str">
        <f>HYPERLINK("http://gehealthcare.fi","gehealthcare.fi")</f>
        <v>gehealthcare.fi</v>
      </c>
      <c r="C16341" t="s">
        <v>445</v>
      </c>
      <c r="D16341" t="s">
        <v>823</v>
      </c>
      <c r="F16341">
        <v>1.47422481737535E-8</v>
      </c>
      <c r="G16341">
        <v>3926588</v>
      </c>
      <c r="H16341">
        <v>12405887</v>
      </c>
      <c r="I16341">
        <v>18673097</v>
      </c>
      <c r="J16341">
        <v>3</v>
      </c>
    </row>
    <row r="16342" spans="1:10" x14ac:dyDescent="0.25">
      <c r="A16342" t="s">
        <v>171</v>
      </c>
      <c r="B16342" s="1" t="str">
        <f>HYPERLINK("http://gemedical.fi","gemedical.fi")</f>
        <v>gemedical.fi</v>
      </c>
      <c r="C16342" t="s">
        <v>445</v>
      </c>
      <c r="D16342" t="s">
        <v>823</v>
      </c>
      <c r="F16342">
        <v>4.5071478918375003E-9</v>
      </c>
      <c r="G16342">
        <v>57905878</v>
      </c>
      <c r="H16342">
        <v>9841044</v>
      </c>
      <c r="I16342">
        <v>62245024</v>
      </c>
      <c r="J16342">
        <v>7</v>
      </c>
    </row>
    <row r="16343" spans="1:10" x14ac:dyDescent="0.25">
      <c r="A16343" t="s">
        <v>171</v>
      </c>
      <c r="B16343" s="1" t="str">
        <f>HYPERLINK("http://ncwatch.fi","ncwatch.fi")</f>
        <v>ncwatch.fi</v>
      </c>
      <c r="C16343" t="s">
        <v>445</v>
      </c>
      <c r="D16343" t="s">
        <v>823</v>
      </c>
      <c r="J16343">
        <v>5</v>
      </c>
    </row>
    <row r="16344" spans="1:10" x14ac:dyDescent="0.25">
      <c r="A16344" t="s">
        <v>171</v>
      </c>
      <c r="B16344" s="1" t="str">
        <f>HYPERLINK("http://nokian-capacitors.fi","nokian-capacitors.fi")</f>
        <v>nokian-capacitors.fi</v>
      </c>
      <c r="C16344" t="s">
        <v>445</v>
      </c>
      <c r="D16344" t="s">
        <v>823</v>
      </c>
      <c r="J16344">
        <v>2</v>
      </c>
    </row>
    <row r="16345" spans="1:10" x14ac:dyDescent="0.25">
      <c r="A16345" t="s">
        <v>171</v>
      </c>
      <c r="B16345" s="1" t="str">
        <f>HYPERLINK("http://nokiancapacitors.fi","nokiancapacitors.fi")</f>
        <v>nokiancapacitors.fi</v>
      </c>
      <c r="C16345" t="s">
        <v>445</v>
      </c>
      <c r="D16345" t="s">
        <v>823</v>
      </c>
      <c r="F16345">
        <v>6.5518079238490196E-9</v>
      </c>
      <c r="G16345">
        <v>13866454</v>
      </c>
      <c r="H16345">
        <v>8295271</v>
      </c>
      <c r="I16345">
        <v>74528885</v>
      </c>
      <c r="J16345">
        <v>2</v>
      </c>
    </row>
    <row r="16346" spans="1:10" x14ac:dyDescent="0.25">
      <c r="A16346" t="s">
        <v>171</v>
      </c>
      <c r="B16346" s="1" t="str">
        <f>HYPERLINK("http://siliconvallila.fi","siliconvallila.fi")</f>
        <v>siliconvallila.fi</v>
      </c>
      <c r="C16346" t="s">
        <v>445</v>
      </c>
      <c r="D16346" t="s">
        <v>823</v>
      </c>
      <c r="J16346">
        <v>2</v>
      </c>
    </row>
    <row r="16347" spans="1:10" x14ac:dyDescent="0.25">
      <c r="A16347" t="s">
        <v>171</v>
      </c>
      <c r="B16347" s="1" t="str">
        <f>HYPERLINK("http://gehealthcare.fr","gehealthcare.fr")</f>
        <v>gehealthcare.fr</v>
      </c>
      <c r="C16347" t="s">
        <v>446</v>
      </c>
      <c r="D16347" t="s">
        <v>824</v>
      </c>
      <c r="F16347">
        <v>5.6485878884054198E-8</v>
      </c>
      <c r="G16347">
        <v>791717</v>
      </c>
      <c r="H16347">
        <v>14135749</v>
      </c>
      <c r="I16347">
        <v>1967361</v>
      </c>
      <c r="J16347">
        <v>4</v>
      </c>
    </row>
    <row r="16348" spans="1:10" x14ac:dyDescent="0.25">
      <c r="A16348" t="s">
        <v>171</v>
      </c>
      <c r="B16348" s="1" t="str">
        <f>HYPERLINK("http://melett.fr","melett.fr")</f>
        <v>melett.fr</v>
      </c>
      <c r="C16348" t="s">
        <v>446</v>
      </c>
      <c r="D16348" t="s">
        <v>824</v>
      </c>
      <c r="F16348">
        <v>5.1519568233175596E-9</v>
      </c>
      <c r="G16348">
        <v>26044846</v>
      </c>
      <c r="H16348">
        <v>9877209</v>
      </c>
      <c r="I16348">
        <v>61914761</v>
      </c>
      <c r="J16348">
        <v>7</v>
      </c>
    </row>
    <row r="16349" spans="1:10" x14ac:dyDescent="0.25">
      <c r="A16349" t="s">
        <v>171</v>
      </c>
      <c r="B16349" s="1" t="str">
        <f>HYPERLINK("http://gehealthcare.gr","gehealthcare.gr")</f>
        <v>gehealthcare.gr</v>
      </c>
      <c r="C16349" t="s">
        <v>447</v>
      </c>
      <c r="D16349" t="s">
        <v>825</v>
      </c>
      <c r="F16349">
        <v>1.11146609819687E-8</v>
      </c>
      <c r="G16349">
        <v>5774711</v>
      </c>
      <c r="H16349">
        <v>12348476</v>
      </c>
      <c r="I16349">
        <v>19789482</v>
      </c>
      <c r="J16349">
        <v>4</v>
      </c>
    </row>
    <row r="16350" spans="1:10" x14ac:dyDescent="0.25">
      <c r="A16350" t="s">
        <v>171</v>
      </c>
      <c r="B16350" s="1" t="str">
        <f>HYPERLINK("http://melett.gr","melett.gr")</f>
        <v>melett.gr</v>
      </c>
      <c r="C16350" t="s">
        <v>447</v>
      </c>
      <c r="D16350" t="s">
        <v>825</v>
      </c>
      <c r="F16350">
        <v>5.0390293158691903E-9</v>
      </c>
      <c r="G16350">
        <v>28463404</v>
      </c>
      <c r="H16350">
        <v>9789834</v>
      </c>
      <c r="I16350">
        <v>62673608</v>
      </c>
      <c r="J16350">
        <v>7</v>
      </c>
    </row>
    <row r="16351" spans="1:10" x14ac:dyDescent="0.25">
      <c r="A16351" t="s">
        <v>171</v>
      </c>
      <c r="B16351" s="1" t="str">
        <f>HYPERLINK("http://gehealthcare.hu","gehealthcare.hu")</f>
        <v>gehealthcare.hu</v>
      </c>
      <c r="C16351" t="s">
        <v>453</v>
      </c>
      <c r="D16351" t="s">
        <v>830</v>
      </c>
      <c r="F16351">
        <v>9.1685442606423407E-9</v>
      </c>
      <c r="G16351">
        <v>7752340</v>
      </c>
      <c r="H16351">
        <v>11569263</v>
      </c>
      <c r="I16351">
        <v>29954317</v>
      </c>
      <c r="J16351">
        <v>4</v>
      </c>
    </row>
    <row r="16352" spans="1:10" x14ac:dyDescent="0.25">
      <c r="A16352" t="s">
        <v>171</v>
      </c>
      <c r="B16352" s="1" t="str">
        <f>HYPERLINK("http://gehealthcare.in","gehealthcare.in")</f>
        <v>gehealthcare.in</v>
      </c>
      <c r="C16352" t="s">
        <v>457</v>
      </c>
      <c r="D16352" t="s">
        <v>834</v>
      </c>
      <c r="E16352">
        <v>787817</v>
      </c>
      <c r="F16352">
        <v>4.9108752069968303E-8</v>
      </c>
      <c r="G16352">
        <v>942959</v>
      </c>
      <c r="H16352">
        <v>14527048</v>
      </c>
      <c r="I16352">
        <v>793288</v>
      </c>
      <c r="J16352">
        <v>4</v>
      </c>
    </row>
    <row r="16353" spans="1:10" x14ac:dyDescent="0.25">
      <c r="A16353" t="s">
        <v>171</v>
      </c>
      <c r="B16353" s="1" t="str">
        <f>HYPERLINK("http://prolecge.in","prolecge.in")</f>
        <v>prolecge.in</v>
      </c>
      <c r="C16353" t="s">
        <v>457</v>
      </c>
      <c r="D16353" t="s">
        <v>834</v>
      </c>
      <c r="F16353">
        <v>1.41741398387557E-8</v>
      </c>
      <c r="G16353">
        <v>4138368</v>
      </c>
      <c r="H16353">
        <v>13302525</v>
      </c>
      <c r="I16353">
        <v>10815069</v>
      </c>
      <c r="J16353">
        <v>4</v>
      </c>
    </row>
    <row r="16354" spans="1:10" x14ac:dyDescent="0.25">
      <c r="A16354" t="s">
        <v>171</v>
      </c>
      <c r="B16354" s="1" t="str">
        <f>HYPERLINK("http://predix.io","predix.io")</f>
        <v>predix.io</v>
      </c>
      <c r="C16354" t="s">
        <v>518</v>
      </c>
      <c r="E16354">
        <v>141424</v>
      </c>
      <c r="F16354">
        <v>1.2431049313968499E-7</v>
      </c>
      <c r="G16354">
        <v>317440</v>
      </c>
      <c r="H16354">
        <v>14447287</v>
      </c>
      <c r="I16354">
        <v>1055840</v>
      </c>
      <c r="J16354">
        <v>4</v>
      </c>
    </row>
    <row r="16355" spans="1:10" x14ac:dyDescent="0.25">
      <c r="A16355" t="s">
        <v>171</v>
      </c>
      <c r="B16355" s="1" t="str">
        <f>HYPERLINK("http://gehealthcare.it","gehealthcare.it")</f>
        <v>gehealthcare.it</v>
      </c>
      <c r="C16355" t="s">
        <v>459</v>
      </c>
      <c r="D16355" t="s">
        <v>835</v>
      </c>
      <c r="F16355">
        <v>3.29190531029686E-8</v>
      </c>
      <c r="G16355">
        <v>1569580</v>
      </c>
      <c r="H16355">
        <v>14076463</v>
      </c>
      <c r="I16355">
        <v>2886826</v>
      </c>
      <c r="J16355">
        <v>4</v>
      </c>
    </row>
    <row r="16356" spans="1:10" x14ac:dyDescent="0.25">
      <c r="A16356" t="s">
        <v>171</v>
      </c>
      <c r="B16356" s="1" t="str">
        <f>HYPERLINK("http://melett.it","melett.it")</f>
        <v>melett.it</v>
      </c>
      <c r="C16356" t="s">
        <v>459</v>
      </c>
      <c r="D16356" t="s">
        <v>835</v>
      </c>
      <c r="F16356">
        <v>6.4071958858942299E-9</v>
      </c>
      <c r="G16356">
        <v>14483805</v>
      </c>
      <c r="H16356">
        <v>10864635</v>
      </c>
      <c r="I16356">
        <v>36597952</v>
      </c>
      <c r="J16356">
        <v>7</v>
      </c>
    </row>
    <row r="16357" spans="1:10" x14ac:dyDescent="0.25">
      <c r="A16357" t="s">
        <v>171</v>
      </c>
      <c r="B16357" s="1" t="str">
        <f>HYPERLINK("http://gehealthcare.co.jp","gehealthcare.co.jp")</f>
        <v>gehealthcare.co.jp</v>
      </c>
      <c r="C16357" t="s">
        <v>461</v>
      </c>
      <c r="D16357" t="s">
        <v>837</v>
      </c>
      <c r="F16357">
        <v>6.8381585877253494E-8</v>
      </c>
      <c r="G16357">
        <v>623784</v>
      </c>
      <c r="H16357">
        <v>14313255</v>
      </c>
      <c r="I16357">
        <v>1338319</v>
      </c>
      <c r="J16357">
        <v>3</v>
      </c>
    </row>
    <row r="16358" spans="1:10" x14ac:dyDescent="0.25">
      <c r="A16358" t="s">
        <v>171</v>
      </c>
      <c r="B16358" s="1" t="str">
        <f>HYPERLINK("http://nmp.co.jp","nmp.co.jp")</f>
        <v>nmp.co.jp</v>
      </c>
      <c r="C16358" t="s">
        <v>461</v>
      </c>
      <c r="D16358" t="s">
        <v>837</v>
      </c>
      <c r="F16358">
        <v>3.6082419194925597E-8</v>
      </c>
      <c r="G16358">
        <v>1444627</v>
      </c>
      <c r="H16358">
        <v>14125325</v>
      </c>
      <c r="I16358">
        <v>2122772</v>
      </c>
      <c r="J16358">
        <v>3</v>
      </c>
    </row>
    <row r="16359" spans="1:10" x14ac:dyDescent="0.25">
      <c r="A16359" t="s">
        <v>171</v>
      </c>
      <c r="B16359" s="1" t="str">
        <f>HYPERLINK("http://gehealthcare.co.kr","gehealthcare.co.kr")</f>
        <v>gehealthcare.co.kr</v>
      </c>
      <c r="C16359" t="s">
        <v>463</v>
      </c>
      <c r="D16359" t="s">
        <v>839</v>
      </c>
      <c r="F16359">
        <v>2.0753097597639E-8</v>
      </c>
      <c r="G16359">
        <v>2549437</v>
      </c>
      <c r="H16359">
        <v>12530596</v>
      </c>
      <c r="I16359">
        <v>17028911</v>
      </c>
      <c r="J16359">
        <v>4</v>
      </c>
    </row>
    <row r="16360" spans="1:10" x14ac:dyDescent="0.25">
      <c r="A16360" t="s">
        <v>171</v>
      </c>
      <c r="B16360" s="1" t="str">
        <f>HYPERLINK("http://aolkz.kz","aolkz.kz")</f>
        <v>aolkz.kz</v>
      </c>
      <c r="C16360" t="s">
        <v>465</v>
      </c>
      <c r="D16360" t="s">
        <v>841</v>
      </c>
      <c r="F16360">
        <v>7.2844657383748298E-9</v>
      </c>
      <c r="G16360">
        <v>11518254</v>
      </c>
      <c r="H16360">
        <v>14085329</v>
      </c>
      <c r="I16360">
        <v>2779054</v>
      </c>
      <c r="J16360">
        <v>4</v>
      </c>
    </row>
    <row r="16361" spans="1:10" x14ac:dyDescent="0.25">
      <c r="A16361" t="s">
        <v>171</v>
      </c>
      <c r="B16361" s="1" t="str">
        <f>HYPERLINK("http://prolecge.com.mx","prolecge.com.mx")</f>
        <v>prolecge.com.mx</v>
      </c>
      <c r="C16361" t="s">
        <v>471</v>
      </c>
      <c r="D16361" t="s">
        <v>847</v>
      </c>
      <c r="J16361">
        <v>3</v>
      </c>
    </row>
    <row r="16362" spans="1:10" x14ac:dyDescent="0.25">
      <c r="A16362" t="s">
        <v>171</v>
      </c>
      <c r="B16362" s="1" t="str">
        <f>HYPERLINK("http://it-latino.net","it-latino.net")</f>
        <v>it-latino.net</v>
      </c>
      <c r="C16362" t="s">
        <v>474</v>
      </c>
      <c r="F16362">
        <v>1.2812800564468101E-8</v>
      </c>
      <c r="G16362">
        <v>4722273</v>
      </c>
      <c r="H16362">
        <v>13781398</v>
      </c>
      <c r="I16362">
        <v>6458979</v>
      </c>
      <c r="J16362">
        <v>8</v>
      </c>
    </row>
    <row r="16363" spans="1:10" x14ac:dyDescent="0.25">
      <c r="A16363" t="s">
        <v>171</v>
      </c>
      <c r="B16363" s="1" t="str">
        <f>HYPERLINK("http://it-spain.net","it-spain.net")</f>
        <v>it-spain.net</v>
      </c>
      <c r="C16363" t="s">
        <v>474</v>
      </c>
      <c r="F16363">
        <v>4.8797690644232502E-9</v>
      </c>
      <c r="G16363">
        <v>33091534</v>
      </c>
      <c r="H16363">
        <v>10787744</v>
      </c>
      <c r="I16363">
        <v>38586425</v>
      </c>
      <c r="J16363">
        <v>9</v>
      </c>
    </row>
    <row r="16364" spans="1:10" x14ac:dyDescent="0.25">
      <c r="A16364" t="s">
        <v>171</v>
      </c>
      <c r="B16364" s="1" t="str">
        <f>HYPERLINK("http://gehealthcare.nl","gehealthcare.nl")</f>
        <v>gehealthcare.nl</v>
      </c>
      <c r="C16364" t="s">
        <v>477</v>
      </c>
      <c r="D16364" t="s">
        <v>852</v>
      </c>
      <c r="F16364">
        <v>1.39227147642895E-8</v>
      </c>
      <c r="G16364">
        <v>4232318</v>
      </c>
      <c r="H16364">
        <v>12503350</v>
      </c>
      <c r="I16364">
        <v>17311065</v>
      </c>
      <c r="J16364">
        <v>4</v>
      </c>
    </row>
    <row r="16365" spans="1:10" x14ac:dyDescent="0.25">
      <c r="A16365" t="s">
        <v>171</v>
      </c>
      <c r="B16365" s="1" t="str">
        <f>HYPERLINK("http://gehealthcare.no","gehealthcare.no")</f>
        <v>gehealthcare.no</v>
      </c>
      <c r="C16365" t="s">
        <v>478</v>
      </c>
      <c r="D16365" t="s">
        <v>853</v>
      </c>
      <c r="F16365">
        <v>1.6396012238362801E-8</v>
      </c>
      <c r="G16365">
        <v>3447120</v>
      </c>
      <c r="H16365">
        <v>12567735</v>
      </c>
      <c r="I16365">
        <v>16644893</v>
      </c>
      <c r="J16365">
        <v>4</v>
      </c>
    </row>
    <row r="16366" spans="1:10" x14ac:dyDescent="0.25">
      <c r="A16366" t="s">
        <v>171</v>
      </c>
      <c r="B16366" s="1" t="str">
        <f>HYPERLINK("http://gehealthcare.pl","gehealthcare.pl")</f>
        <v>gehealthcare.pl</v>
      </c>
      <c r="C16366" t="s">
        <v>486</v>
      </c>
      <c r="D16366" t="s">
        <v>860</v>
      </c>
      <c r="F16366">
        <v>2.5398163916876501E-8</v>
      </c>
      <c r="G16366">
        <v>2031324</v>
      </c>
      <c r="H16366">
        <v>12571868</v>
      </c>
      <c r="I16366">
        <v>16608136</v>
      </c>
      <c r="J16366">
        <v>4</v>
      </c>
    </row>
    <row r="16367" spans="1:10" x14ac:dyDescent="0.25">
      <c r="A16367" t="s">
        <v>171</v>
      </c>
      <c r="B16367" s="1" t="str">
        <f>HYPERLINK("http://melett.pl","melett.pl")</f>
        <v>melett.pl</v>
      </c>
      <c r="C16367" t="s">
        <v>486</v>
      </c>
      <c r="D16367" t="s">
        <v>860</v>
      </c>
      <c r="F16367">
        <v>5.6663606460202E-9</v>
      </c>
      <c r="G16367">
        <v>19248193</v>
      </c>
      <c r="H16367">
        <v>12115048</v>
      </c>
      <c r="I16367">
        <v>25606188</v>
      </c>
      <c r="J16367">
        <v>7</v>
      </c>
    </row>
    <row r="16368" spans="1:10" x14ac:dyDescent="0.25">
      <c r="A16368" t="s">
        <v>171</v>
      </c>
      <c r="B16368" s="1" t="str">
        <f>HYPERLINK("http://melett.pt","melett.pt")</f>
        <v>melett.pt</v>
      </c>
      <c r="C16368" t="s">
        <v>488</v>
      </c>
      <c r="D16368" t="s">
        <v>862</v>
      </c>
      <c r="F16368">
        <v>5.1242807292126198E-9</v>
      </c>
      <c r="G16368">
        <v>26563568</v>
      </c>
      <c r="H16368">
        <v>9792828</v>
      </c>
      <c r="I16368">
        <v>62656355</v>
      </c>
      <c r="J16368">
        <v>7</v>
      </c>
    </row>
    <row r="16369" spans="1:10" x14ac:dyDescent="0.25">
      <c r="A16369" t="s">
        <v>171</v>
      </c>
      <c r="B16369" s="1" t="str">
        <f>HYPERLINK("http://gehealthcare.rs","gehealthcare.rs")</f>
        <v>gehealthcare.rs</v>
      </c>
      <c r="C16369" t="s">
        <v>492</v>
      </c>
      <c r="D16369" t="s">
        <v>866</v>
      </c>
      <c r="F16369">
        <v>7.9084855478525304E-9</v>
      </c>
      <c r="G16369">
        <v>10094951</v>
      </c>
      <c r="H16369">
        <v>11504305</v>
      </c>
      <c r="I16369">
        <v>30023775</v>
      </c>
      <c r="J16369">
        <v>4</v>
      </c>
    </row>
    <row r="16370" spans="1:10" x14ac:dyDescent="0.25">
      <c r="A16370" t="s">
        <v>171</v>
      </c>
      <c r="B16370" s="1" t="str">
        <f>HYPERLINK("http://ge.ru","ge.ru")</f>
        <v>ge.ru</v>
      </c>
      <c r="C16370" t="s">
        <v>493</v>
      </c>
      <c r="D16370" t="s">
        <v>867</v>
      </c>
      <c r="F16370">
        <v>9.8676323627222501E-9</v>
      </c>
      <c r="G16370">
        <v>6894342</v>
      </c>
      <c r="H16370">
        <v>12601179</v>
      </c>
      <c r="I16370">
        <v>16314955</v>
      </c>
      <c r="J16370">
        <v>2</v>
      </c>
    </row>
    <row r="16371" spans="1:10" x14ac:dyDescent="0.25">
      <c r="A16371" t="s">
        <v>171</v>
      </c>
      <c r="B16371" s="1" t="str">
        <f>HYPERLINK("http://gehealthcare.ru","gehealthcare.ru")</f>
        <v>gehealthcare.ru</v>
      </c>
      <c r="C16371" t="s">
        <v>493</v>
      </c>
      <c r="D16371" t="s">
        <v>867</v>
      </c>
      <c r="F16371">
        <v>3.84507190011738E-8</v>
      </c>
      <c r="G16371">
        <v>1341946</v>
      </c>
      <c r="H16371">
        <v>13258402</v>
      </c>
      <c r="I16371">
        <v>11047198</v>
      </c>
      <c r="J16371">
        <v>4</v>
      </c>
    </row>
    <row r="16372" spans="1:10" x14ac:dyDescent="0.25">
      <c r="A16372" t="s">
        <v>171</v>
      </c>
      <c r="B16372" s="1" t="str">
        <f>HYPERLINK("http://melett.ru","melett.ru")</f>
        <v>melett.ru</v>
      </c>
      <c r="C16372" t="s">
        <v>493</v>
      </c>
      <c r="D16372" t="s">
        <v>867</v>
      </c>
      <c r="F16372">
        <v>6.7454630731635401E-9</v>
      </c>
      <c r="G16372">
        <v>13144428</v>
      </c>
      <c r="H16372">
        <v>10462008</v>
      </c>
      <c r="I16372">
        <v>51685842</v>
      </c>
      <c r="J16372">
        <v>7</v>
      </c>
    </row>
    <row r="16373" spans="1:10" x14ac:dyDescent="0.25">
      <c r="A16373" t="s">
        <v>171</v>
      </c>
      <c r="B16373" s="1" t="str">
        <f>HYPERLINK("http://gehealthcare.sa","gehealthcare.sa")</f>
        <v>gehealthcare.sa</v>
      </c>
      <c r="C16373" t="s">
        <v>494</v>
      </c>
      <c r="D16373" t="s">
        <v>868</v>
      </c>
      <c r="F16373">
        <v>9.1148170612861595E-9</v>
      </c>
      <c r="G16373">
        <v>7826569</v>
      </c>
      <c r="H16373">
        <v>12322703</v>
      </c>
      <c r="I16373">
        <v>20363599</v>
      </c>
      <c r="J16373">
        <v>4</v>
      </c>
    </row>
    <row r="16374" spans="1:10" x14ac:dyDescent="0.25">
      <c r="A16374" t="s">
        <v>171</v>
      </c>
      <c r="B16374" s="1" t="str">
        <f>HYPERLINK("http://arcam.se","arcam.se")</f>
        <v>arcam.se</v>
      </c>
      <c r="C16374" t="s">
        <v>495</v>
      </c>
      <c r="D16374" t="s">
        <v>869</v>
      </c>
      <c r="F16374">
        <v>6.0466248857088898E-9</v>
      </c>
      <c r="G16374">
        <v>16401989</v>
      </c>
      <c r="H16374">
        <v>12847972</v>
      </c>
      <c r="I16374">
        <v>14302179</v>
      </c>
      <c r="J16374">
        <v>6</v>
      </c>
    </row>
    <row r="16375" spans="1:10" x14ac:dyDescent="0.25">
      <c r="A16375" t="s">
        <v>171</v>
      </c>
      <c r="B16375" s="1" t="str">
        <f>HYPERLINK("http://gehealthcare.se","gehealthcare.se")</f>
        <v>gehealthcare.se</v>
      </c>
      <c r="C16375" t="s">
        <v>495</v>
      </c>
      <c r="D16375" t="s">
        <v>869</v>
      </c>
      <c r="F16375">
        <v>2.2529878239366099E-8</v>
      </c>
      <c r="G16375">
        <v>2325200</v>
      </c>
      <c r="H16375">
        <v>13767157</v>
      </c>
      <c r="I16375">
        <v>6950938</v>
      </c>
      <c r="J16375">
        <v>4</v>
      </c>
    </row>
    <row r="16376" spans="1:10" x14ac:dyDescent="0.25">
      <c r="A16376" t="s">
        <v>171</v>
      </c>
      <c r="B16376" s="1" t="str">
        <f>HYPERLINK("http://gehealthcare.com.sg","gehealthcare.com.sg")</f>
        <v>gehealthcare.com.sg</v>
      </c>
      <c r="C16376" t="s">
        <v>496</v>
      </c>
      <c r="D16376" t="s">
        <v>870</v>
      </c>
      <c r="F16376">
        <v>2.0028819049263101E-8</v>
      </c>
      <c r="G16376">
        <v>2654817</v>
      </c>
      <c r="H16376">
        <v>13364508</v>
      </c>
      <c r="I16376">
        <v>10491440</v>
      </c>
      <c r="J16376">
        <v>4</v>
      </c>
    </row>
    <row r="16377" spans="1:10" x14ac:dyDescent="0.25">
      <c r="A16377" t="s">
        <v>171</v>
      </c>
      <c r="B16377" s="1" t="str">
        <f>HYPERLINK("http://gehealthcare.sg","gehealthcare.sg")</f>
        <v>gehealthcare.sg</v>
      </c>
      <c r="C16377" t="s">
        <v>496</v>
      </c>
      <c r="D16377" t="s">
        <v>870</v>
      </c>
      <c r="F16377">
        <v>7.9088193040851607E-9</v>
      </c>
      <c r="G16377">
        <v>10094312</v>
      </c>
      <c r="H16377">
        <v>11505298</v>
      </c>
      <c r="I16377">
        <v>30021752</v>
      </c>
      <c r="J16377">
        <v>4</v>
      </c>
    </row>
    <row r="16378" spans="1:10" x14ac:dyDescent="0.25">
      <c r="A16378" t="s">
        <v>171</v>
      </c>
      <c r="B16378" s="1" t="str">
        <f>HYPERLINK("http://gehealthcare.com.tr","gehealthcare.com.tr")</f>
        <v>gehealthcare.com.tr</v>
      </c>
      <c r="C16378" t="s">
        <v>502</v>
      </c>
      <c r="D16378" t="s">
        <v>876</v>
      </c>
      <c r="F16378">
        <v>1.1648523651285401E-8</v>
      </c>
      <c r="G16378">
        <v>5400156</v>
      </c>
      <c r="H16378">
        <v>12481779</v>
      </c>
      <c r="I16378">
        <v>17582550</v>
      </c>
      <c r="J16378">
        <v>4</v>
      </c>
    </row>
    <row r="16379" spans="1:10" x14ac:dyDescent="0.25">
      <c r="A16379" t="s">
        <v>171</v>
      </c>
      <c r="B16379" s="1" t="str">
        <f>HYPERLINK("http://melett.com.tr","melett.com.tr")</f>
        <v>melett.com.tr</v>
      </c>
      <c r="C16379" t="s">
        <v>502</v>
      </c>
      <c r="D16379" t="s">
        <v>876</v>
      </c>
      <c r="F16379">
        <v>5.1141727057747604E-9</v>
      </c>
      <c r="G16379">
        <v>26771364</v>
      </c>
      <c r="H16379">
        <v>9789835</v>
      </c>
      <c r="I16379">
        <v>62673605</v>
      </c>
      <c r="J16379">
        <v>7</v>
      </c>
    </row>
    <row r="16380" spans="1:10" x14ac:dyDescent="0.25">
      <c r="A16380" t="s">
        <v>171</v>
      </c>
      <c r="B16380" s="1" t="str">
        <f>HYPERLINK("http://alstom.com.tw","alstom.com.tw")</f>
        <v>alstom.com.tw</v>
      </c>
      <c r="C16380" t="s">
        <v>504</v>
      </c>
      <c r="D16380" t="s">
        <v>878</v>
      </c>
      <c r="J16380">
        <v>4</v>
      </c>
    </row>
    <row r="16381" spans="1:10" x14ac:dyDescent="0.25">
      <c r="A16381" t="s">
        <v>171</v>
      </c>
      <c r="B16381" s="1" t="str">
        <f>HYPERLINK("http://finnamore.co.uk","finnamore.co.uk")</f>
        <v>finnamore.co.uk</v>
      </c>
      <c r="C16381" t="s">
        <v>506</v>
      </c>
      <c r="D16381" t="s">
        <v>880</v>
      </c>
      <c r="F16381">
        <v>4.5028248790898604E-9</v>
      </c>
      <c r="G16381">
        <v>58521539</v>
      </c>
      <c r="H16381">
        <v>12115579</v>
      </c>
      <c r="I16381">
        <v>25592526</v>
      </c>
      <c r="J16381">
        <v>4</v>
      </c>
    </row>
    <row r="16382" spans="1:10" x14ac:dyDescent="0.25">
      <c r="A16382" t="s">
        <v>171</v>
      </c>
      <c r="B16382" s="1" t="str">
        <f>HYPERLINK("http://gehealthcare.co.uk","gehealthcare.co.uk")</f>
        <v>gehealthcare.co.uk</v>
      </c>
      <c r="C16382" t="s">
        <v>506</v>
      </c>
      <c r="D16382" t="s">
        <v>880</v>
      </c>
      <c r="E16382">
        <v>631220</v>
      </c>
      <c r="F16382">
        <v>1.04062772020231E-7</v>
      </c>
      <c r="G16382">
        <v>385345</v>
      </c>
      <c r="H16382">
        <v>13941610</v>
      </c>
      <c r="I16382">
        <v>4344418</v>
      </c>
      <c r="J16382">
        <v>4</v>
      </c>
    </row>
    <row r="16383" spans="1:10" x14ac:dyDescent="0.25">
      <c r="A16383" t="s">
        <v>171</v>
      </c>
      <c r="B16383" s="1" t="str">
        <f>HYPERLINK("http://kelman.co.uk","kelman.co.uk")</f>
        <v>kelman.co.uk</v>
      </c>
      <c r="C16383" t="s">
        <v>506</v>
      </c>
      <c r="D16383" t="s">
        <v>880</v>
      </c>
      <c r="F16383">
        <v>4.4923121893963602E-9</v>
      </c>
      <c r="G16383">
        <v>60132867</v>
      </c>
      <c r="H16383">
        <v>10604130</v>
      </c>
      <c r="I16383">
        <v>44745780</v>
      </c>
      <c r="J16383">
        <v>4</v>
      </c>
    </row>
    <row r="16384" spans="1:10" x14ac:dyDescent="0.25">
      <c r="A16384" t="s">
        <v>171</v>
      </c>
      <c r="B16384" s="1" t="str">
        <f>HYPERLINK("http://tidalgeneration.co.uk","tidalgeneration.co.uk")</f>
        <v>tidalgeneration.co.uk</v>
      </c>
      <c r="C16384" t="s">
        <v>506</v>
      </c>
      <c r="D16384" t="s">
        <v>880</v>
      </c>
      <c r="F16384">
        <v>5.1042170825925104E-9</v>
      </c>
      <c r="G16384">
        <v>26967115</v>
      </c>
      <c r="H16384">
        <v>12629561</v>
      </c>
      <c r="I16384">
        <v>15993591</v>
      </c>
      <c r="J16384">
        <v>7</v>
      </c>
    </row>
    <row r="16385" spans="1:10" x14ac:dyDescent="0.25">
      <c r="A16385" t="s">
        <v>171</v>
      </c>
      <c r="B16385" s="1" t="str">
        <f>HYPERLINK("http://ge.uk","ge.uk")</f>
        <v>ge.uk</v>
      </c>
      <c r="C16385" t="s">
        <v>506</v>
      </c>
      <c r="D16385" t="s">
        <v>880</v>
      </c>
      <c r="F16385">
        <v>1.8605644274042601E-8</v>
      </c>
      <c r="G16385">
        <v>2906249</v>
      </c>
      <c r="H16385">
        <v>12550073</v>
      </c>
      <c r="I16385">
        <v>16823783</v>
      </c>
      <c r="J16385">
        <v>3</v>
      </c>
    </row>
    <row r="16386" spans="1:10" x14ac:dyDescent="0.25">
      <c r="A16386" t="s">
        <v>171</v>
      </c>
      <c r="B16386" s="1" t="str">
        <f>HYPERLINK("http://jenbacher.us","jenbacher.us")</f>
        <v>jenbacher.us</v>
      </c>
      <c r="C16386" t="s">
        <v>522</v>
      </c>
      <c r="D16386" t="s">
        <v>891</v>
      </c>
      <c r="F16386">
        <v>7.19027346888819E-9</v>
      </c>
      <c r="G16386">
        <v>11769811</v>
      </c>
      <c r="H16386">
        <v>10839426</v>
      </c>
      <c r="I16386">
        <v>37191868</v>
      </c>
      <c r="J16386">
        <v>4</v>
      </c>
    </row>
    <row r="16387" spans="1:10" x14ac:dyDescent="0.25">
      <c r="A16387" t="s">
        <v>171</v>
      </c>
      <c r="B16387" s="1" t="str">
        <f>HYPERLINK("http://gehealthcare.vn","gehealthcare.vn")</f>
        <v>gehealthcare.vn</v>
      </c>
      <c r="C16387" t="s">
        <v>509</v>
      </c>
      <c r="D16387" t="s">
        <v>883</v>
      </c>
      <c r="F16387">
        <v>7.9084855478525304E-9</v>
      </c>
      <c r="G16387">
        <v>10094952</v>
      </c>
      <c r="H16387">
        <v>11504305</v>
      </c>
      <c r="I16387">
        <v>30023776</v>
      </c>
      <c r="J16387">
        <v>4</v>
      </c>
    </row>
    <row r="16388" spans="1:10" x14ac:dyDescent="0.25">
      <c r="A16388" t="s">
        <v>172</v>
      </c>
      <c r="B16388" s="1" t="str">
        <f>HYPERLINK("http://haagen-dazs.at","haagen-dazs.at")</f>
        <v>haagen-dazs.at</v>
      </c>
      <c r="C16388" t="s">
        <v>419</v>
      </c>
      <c r="D16388" t="s">
        <v>801</v>
      </c>
      <c r="F16388">
        <v>1.31949140993517E-8</v>
      </c>
      <c r="G16388">
        <v>4540456</v>
      </c>
      <c r="H16388">
        <v>12335302</v>
      </c>
      <c r="I16388">
        <v>20098394</v>
      </c>
      <c r="J16388">
        <v>3</v>
      </c>
    </row>
    <row r="16389" spans="1:10" x14ac:dyDescent="0.25">
      <c r="A16389" t="s">
        <v>172</v>
      </c>
      <c r="B16389" s="1" t="str">
        <f>HYPERLINK("http://generalmills.com.au","generalmills.com.au")</f>
        <v>generalmills.com.au</v>
      </c>
      <c r="C16389" t="s">
        <v>420</v>
      </c>
      <c r="D16389" t="s">
        <v>802</v>
      </c>
      <c r="F16389">
        <v>2.0519014081001199E-8</v>
      </c>
      <c r="G16389">
        <v>2582047</v>
      </c>
      <c r="H16389">
        <v>13939919</v>
      </c>
      <c r="I16389">
        <v>4381087</v>
      </c>
      <c r="J16389">
        <v>2</v>
      </c>
    </row>
    <row r="16390" spans="1:10" x14ac:dyDescent="0.25">
      <c r="A16390" t="s">
        <v>172</v>
      </c>
      <c r="B16390" s="1" t="str">
        <f>HYPERLINK("http://haagen-dazs.com.au","haagen-dazs.com.au")</f>
        <v>haagen-dazs.com.au</v>
      </c>
      <c r="C16390" t="s">
        <v>420</v>
      </c>
      <c r="D16390" t="s">
        <v>802</v>
      </c>
      <c r="F16390">
        <v>1.34457683630146E-8</v>
      </c>
      <c r="G16390">
        <v>4428411</v>
      </c>
      <c r="H16390">
        <v>12660897</v>
      </c>
      <c r="I16390">
        <v>15716344</v>
      </c>
      <c r="J16390">
        <v>3</v>
      </c>
    </row>
    <row r="16391" spans="1:10" x14ac:dyDescent="0.25">
      <c r="A16391" t="s">
        <v>172</v>
      </c>
      <c r="B16391" s="1" t="str">
        <f>HYPERLINK("http://naturevalley.com.au","naturevalley.com.au")</f>
        <v>naturevalley.com.au</v>
      </c>
      <c r="C16391" t="s">
        <v>420</v>
      </c>
      <c r="D16391" t="s">
        <v>802</v>
      </c>
      <c r="F16391">
        <v>1.8857790738780802E-8</v>
      </c>
      <c r="G16391">
        <v>2861076</v>
      </c>
      <c r="H16391">
        <v>12228458</v>
      </c>
      <c r="I16391">
        <v>22546522</v>
      </c>
      <c r="J16391">
        <v>4</v>
      </c>
    </row>
    <row r="16392" spans="1:10" x14ac:dyDescent="0.25">
      <c r="A16392" t="s">
        <v>172</v>
      </c>
      <c r="B16392" s="1" t="str">
        <f>HYPERLINK("http://generalmills.be","generalmills.be")</f>
        <v>generalmills.be</v>
      </c>
      <c r="C16392" t="s">
        <v>421</v>
      </c>
      <c r="D16392" t="s">
        <v>803</v>
      </c>
      <c r="F16392">
        <v>1.33455583409189E-8</v>
      </c>
      <c r="G16392">
        <v>4473601</v>
      </c>
      <c r="H16392">
        <v>12233604</v>
      </c>
      <c r="I16392">
        <v>22411874</v>
      </c>
      <c r="J16392">
        <v>2</v>
      </c>
    </row>
    <row r="16393" spans="1:10" x14ac:dyDescent="0.25">
      <c r="A16393" t="s">
        <v>172</v>
      </c>
      <c r="B16393" s="1" t="str">
        <f>HYPERLINK("http://haagen-dazs.be","haagen-dazs.be")</f>
        <v>haagen-dazs.be</v>
      </c>
      <c r="C16393" t="s">
        <v>421</v>
      </c>
      <c r="D16393" t="s">
        <v>803</v>
      </c>
      <c r="F16393">
        <v>1.4566507438720899E-8</v>
      </c>
      <c r="G16393">
        <v>3988994</v>
      </c>
      <c r="H16393">
        <v>13764913</v>
      </c>
      <c r="I16393">
        <v>7171960</v>
      </c>
      <c r="J16393">
        <v>3</v>
      </c>
    </row>
    <row r="16394" spans="1:10" x14ac:dyDescent="0.25">
      <c r="A16394" t="s">
        <v>172</v>
      </c>
      <c r="B16394" s="1" t="str">
        <f>HYPERLINK("http://naturevalley.be","naturevalley.be")</f>
        <v>naturevalley.be</v>
      </c>
      <c r="C16394" t="s">
        <v>421</v>
      </c>
      <c r="D16394" t="s">
        <v>803</v>
      </c>
      <c r="F16394">
        <v>1.7650355078480799E-8</v>
      </c>
      <c r="G16394">
        <v>3107777</v>
      </c>
      <c r="H16394">
        <v>12148187</v>
      </c>
      <c r="I16394">
        <v>24673282</v>
      </c>
      <c r="J16394">
        <v>4</v>
      </c>
    </row>
    <row r="16395" spans="1:10" x14ac:dyDescent="0.25">
      <c r="A16395" t="s">
        <v>172</v>
      </c>
      <c r="B16395" s="1" t="str">
        <f>HYPERLINK("http://naturevalley.bg","naturevalley.bg")</f>
        <v>naturevalley.bg</v>
      </c>
      <c r="C16395" t="s">
        <v>422</v>
      </c>
      <c r="D16395" t="s">
        <v>804</v>
      </c>
      <c r="F16395">
        <v>1.76276001597154E-8</v>
      </c>
      <c r="G16395">
        <v>3112826</v>
      </c>
      <c r="H16395">
        <v>12143493</v>
      </c>
      <c r="I16395">
        <v>24792468</v>
      </c>
      <c r="J16395">
        <v>4</v>
      </c>
    </row>
    <row r="16396" spans="1:10" x14ac:dyDescent="0.25">
      <c r="A16396" t="s">
        <v>172</v>
      </c>
      <c r="B16396" s="1" t="str">
        <f>HYPERLINK("http://generalmills.com.br","generalmills.com.br")</f>
        <v>generalmills.com.br</v>
      </c>
      <c r="C16396" t="s">
        <v>425</v>
      </c>
      <c r="D16396" t="s">
        <v>806</v>
      </c>
      <c r="F16396">
        <v>1.38227211325653E-8</v>
      </c>
      <c r="G16396">
        <v>4271552</v>
      </c>
      <c r="H16396">
        <v>12334042</v>
      </c>
      <c r="I16396">
        <v>20125526</v>
      </c>
      <c r="J16396">
        <v>2</v>
      </c>
    </row>
    <row r="16397" spans="1:10" x14ac:dyDescent="0.25">
      <c r="A16397" t="s">
        <v>172</v>
      </c>
      <c r="B16397" s="1" t="str">
        <f>HYPERLINK("http://haagen-dazs.com.br","haagen-dazs.com.br")</f>
        <v>haagen-dazs.com.br</v>
      </c>
      <c r="C16397" t="s">
        <v>425</v>
      </c>
      <c r="D16397" t="s">
        <v>806</v>
      </c>
      <c r="F16397">
        <v>1.2464170731665E-8</v>
      </c>
      <c r="G16397">
        <v>4904673</v>
      </c>
      <c r="H16397">
        <v>13764763</v>
      </c>
      <c r="I16397">
        <v>7195761</v>
      </c>
      <c r="J16397">
        <v>3</v>
      </c>
    </row>
    <row r="16398" spans="1:10" x14ac:dyDescent="0.25">
      <c r="A16398" t="s">
        <v>172</v>
      </c>
      <c r="B16398" s="1" t="str">
        <f>HYPERLINK("http://yoki.com.br","yoki.com.br")</f>
        <v>yoki.com.br</v>
      </c>
      <c r="C16398" t="s">
        <v>425</v>
      </c>
      <c r="D16398" t="s">
        <v>806</v>
      </c>
      <c r="E16398">
        <v>425897</v>
      </c>
      <c r="F16398">
        <v>1.7308417641908599E-8</v>
      </c>
      <c r="G16398">
        <v>3197177</v>
      </c>
      <c r="H16398">
        <v>14143615</v>
      </c>
      <c r="I16398">
        <v>1911804</v>
      </c>
      <c r="J16398">
        <v>3</v>
      </c>
    </row>
    <row r="16399" spans="1:10" x14ac:dyDescent="0.25">
      <c r="A16399" t="s">
        <v>172</v>
      </c>
      <c r="B16399" s="1" t="str">
        <f>HYPERLINK("http://generalmills.ca","generalmills.ca")</f>
        <v>generalmills.ca</v>
      </c>
      <c r="C16399" t="s">
        <v>428</v>
      </c>
      <c r="D16399" t="s">
        <v>809</v>
      </c>
      <c r="F16399">
        <v>1.68857346818974E-7</v>
      </c>
      <c r="G16399">
        <v>229713</v>
      </c>
      <c r="H16399">
        <v>14281336</v>
      </c>
      <c r="I16399">
        <v>1378459</v>
      </c>
      <c r="J16399">
        <v>2</v>
      </c>
    </row>
    <row r="16400" spans="1:10" x14ac:dyDescent="0.25">
      <c r="A16400" t="s">
        <v>172</v>
      </c>
      <c r="B16400" s="1" t="str">
        <f>HYPERLINK("http://naturevalley.ca","naturevalley.ca")</f>
        <v>naturevalley.ca</v>
      </c>
      <c r="C16400" t="s">
        <v>428</v>
      </c>
      <c r="D16400" t="s">
        <v>809</v>
      </c>
      <c r="F16400">
        <v>2.09671835137635E-8</v>
      </c>
      <c r="G16400">
        <v>2520160</v>
      </c>
      <c r="H16400">
        <v>12678970</v>
      </c>
      <c r="I16400">
        <v>15510143</v>
      </c>
      <c r="J16400">
        <v>4</v>
      </c>
    </row>
    <row r="16401" spans="1:10" x14ac:dyDescent="0.25">
      <c r="A16401" t="s">
        <v>172</v>
      </c>
      <c r="B16401" s="1" t="str">
        <f>HYPERLINK("http://yoplait.ca","yoplait.ca")</f>
        <v>yoplait.ca</v>
      </c>
      <c r="C16401" t="s">
        <v>428</v>
      </c>
      <c r="D16401" t="s">
        <v>809</v>
      </c>
      <c r="F16401">
        <v>1.8146054062797001E-6</v>
      </c>
      <c r="G16401">
        <v>20998</v>
      </c>
      <c r="H16401">
        <v>15686354</v>
      </c>
      <c r="I16401">
        <v>370060</v>
      </c>
      <c r="J16401">
        <v>4</v>
      </c>
    </row>
    <row r="16402" spans="1:10" x14ac:dyDescent="0.25">
      <c r="A16402" t="s">
        <v>172</v>
      </c>
      <c r="B16402" s="1" t="str">
        <f>HYPERLINK("http://haagen-dazs.ch","haagen-dazs.ch")</f>
        <v>haagen-dazs.ch</v>
      </c>
      <c r="C16402" t="s">
        <v>429</v>
      </c>
      <c r="D16402" t="s">
        <v>810</v>
      </c>
      <c r="F16402">
        <v>1.31412821827019E-8</v>
      </c>
      <c r="G16402">
        <v>4565061</v>
      </c>
      <c r="H16402">
        <v>12131233</v>
      </c>
      <c r="I16402">
        <v>25103526</v>
      </c>
      <c r="J16402">
        <v>3</v>
      </c>
    </row>
    <row r="16403" spans="1:10" x14ac:dyDescent="0.25">
      <c r="A16403" t="s">
        <v>172</v>
      </c>
      <c r="B16403" s="1" t="str">
        <f>HYPERLINK("http://naturevalley.ch","naturevalley.ch")</f>
        <v>naturevalley.ch</v>
      </c>
      <c r="C16403" t="s">
        <v>429</v>
      </c>
      <c r="D16403" t="s">
        <v>810</v>
      </c>
      <c r="F16403">
        <v>1.9295373204809901E-8</v>
      </c>
      <c r="G16403">
        <v>2782830</v>
      </c>
      <c r="H16403">
        <v>12187926</v>
      </c>
      <c r="I16403">
        <v>23634451</v>
      </c>
      <c r="J16403">
        <v>4</v>
      </c>
    </row>
    <row r="16404" spans="1:10" x14ac:dyDescent="0.25">
      <c r="A16404" t="s">
        <v>172</v>
      </c>
      <c r="B16404" s="1" t="str">
        <f>HYPERLINK("http://yoplait.ch","yoplait.ch")</f>
        <v>yoplait.ch</v>
      </c>
      <c r="C16404" t="s">
        <v>429</v>
      </c>
      <c r="D16404" t="s">
        <v>810</v>
      </c>
      <c r="F16404">
        <v>4.9639880749529704E-9</v>
      </c>
      <c r="G16404">
        <v>30402591</v>
      </c>
      <c r="H16404">
        <v>13059899</v>
      </c>
      <c r="I16404">
        <v>12367575</v>
      </c>
      <c r="J16404">
        <v>4</v>
      </c>
    </row>
    <row r="16405" spans="1:10" x14ac:dyDescent="0.25">
      <c r="A16405" t="s">
        <v>172</v>
      </c>
      <c r="B16405" s="1" t="str">
        <f>HYPERLINK("http://generalmills.cn","generalmills.cn")</f>
        <v>generalmills.cn</v>
      </c>
      <c r="C16405" t="s">
        <v>431</v>
      </c>
      <c r="D16405" t="s">
        <v>812</v>
      </c>
      <c r="F16405">
        <v>1.3473015920579399E-8</v>
      </c>
      <c r="G16405">
        <v>4415253</v>
      </c>
      <c r="H16405">
        <v>12233605</v>
      </c>
      <c r="I16405">
        <v>22411858</v>
      </c>
      <c r="J16405">
        <v>2</v>
      </c>
    </row>
    <row r="16406" spans="1:10" x14ac:dyDescent="0.25">
      <c r="A16406" t="s">
        <v>172</v>
      </c>
      <c r="B16406" s="1" t="str">
        <f>HYPERLINK("http://annies.com","annies.com")</f>
        <v>annies.com</v>
      </c>
      <c r="C16406" t="s">
        <v>433</v>
      </c>
      <c r="E16406">
        <v>139969</v>
      </c>
      <c r="F16406">
        <v>3.30205828093909E-7</v>
      </c>
      <c r="G16406">
        <v>112848</v>
      </c>
      <c r="H16406">
        <v>15363147</v>
      </c>
      <c r="I16406">
        <v>382071</v>
      </c>
      <c r="J16406">
        <v>3</v>
      </c>
    </row>
    <row r="16407" spans="1:10" x14ac:dyDescent="0.25">
      <c r="A16407" t="s">
        <v>172</v>
      </c>
      <c r="B16407" s="1" t="str">
        <f>HYPERLINK("http://anniescafebar.com","anniescafebar.com")</f>
        <v>anniescafebar.com</v>
      </c>
      <c r="C16407" t="s">
        <v>433</v>
      </c>
      <c r="F16407">
        <v>8.1356176898563302E-9</v>
      </c>
      <c r="G16407">
        <v>9680519</v>
      </c>
      <c r="H16407">
        <v>13785754</v>
      </c>
      <c r="I16407">
        <v>6398166</v>
      </c>
      <c r="J16407">
        <v>6</v>
      </c>
    </row>
    <row r="16408" spans="1:10" x14ac:dyDescent="0.25">
      <c r="A16408" t="s">
        <v>172</v>
      </c>
      <c r="B16408" s="1" t="str">
        <f>HYPERLINK("http://generalmills.com","generalmills.com")</f>
        <v>generalmills.com</v>
      </c>
      <c r="C16408" t="s">
        <v>433</v>
      </c>
      <c r="E16408">
        <v>24633</v>
      </c>
      <c r="F16408">
        <v>3.0303473833733201E-6</v>
      </c>
      <c r="G16408">
        <v>12901</v>
      </c>
      <c r="H16408">
        <v>17466598</v>
      </c>
      <c r="I16408">
        <v>15258</v>
      </c>
      <c r="J16408">
        <v>1</v>
      </c>
    </row>
    <row r="16409" spans="1:10" x14ac:dyDescent="0.25">
      <c r="A16409" t="s">
        <v>172</v>
      </c>
      <c r="B16409" s="1" t="str">
        <f>HYPERLINK("http://genmills.com","genmills.com")</f>
        <v>genmills.com</v>
      </c>
      <c r="C16409" t="s">
        <v>433</v>
      </c>
      <c r="E16409">
        <v>36934</v>
      </c>
      <c r="F16409">
        <v>3.2575459350792597E-8</v>
      </c>
      <c r="G16409">
        <v>1586163</v>
      </c>
      <c r="H16409">
        <v>14124985</v>
      </c>
      <c r="I16409">
        <v>2131649</v>
      </c>
      <c r="J16409">
        <v>2</v>
      </c>
    </row>
    <row r="16410" spans="1:10" x14ac:dyDescent="0.25">
      <c r="A16410" t="s">
        <v>172</v>
      </c>
      <c r="B16410" s="1" t="str">
        <f>HYPERLINK("http://haagendazs.com","haagendazs.com")</f>
        <v>haagendazs.com</v>
      </c>
      <c r="C16410" t="s">
        <v>433</v>
      </c>
      <c r="E16410">
        <v>721079</v>
      </c>
      <c r="F16410">
        <v>5.5512727605898401E-8</v>
      </c>
      <c r="G16410">
        <v>808375</v>
      </c>
      <c r="H16410">
        <v>14963648</v>
      </c>
      <c r="I16410">
        <v>436104</v>
      </c>
      <c r="J16410">
        <v>3</v>
      </c>
    </row>
    <row r="16411" spans="1:10" x14ac:dyDescent="0.25">
      <c r="A16411" t="s">
        <v>172</v>
      </c>
      <c r="B16411" s="1" t="str">
        <f>HYPERLINK("http://naturevalley.com","naturevalley.com")</f>
        <v>naturevalley.com</v>
      </c>
      <c r="C16411" t="s">
        <v>433</v>
      </c>
      <c r="E16411">
        <v>312928</v>
      </c>
      <c r="F16411">
        <v>2.07468306018349E-7</v>
      </c>
      <c r="G16411">
        <v>182872</v>
      </c>
      <c r="H16411">
        <v>14797704</v>
      </c>
      <c r="I16411">
        <v>548928</v>
      </c>
      <c r="J16411">
        <v>3</v>
      </c>
    </row>
    <row r="16412" spans="1:10" x14ac:dyDescent="0.25">
      <c r="A16412" t="s">
        <v>172</v>
      </c>
      <c r="B16412" s="1" t="str">
        <f>HYPERLINK("http://yoplait.com","yoplait.com")</f>
        <v>yoplait.com</v>
      </c>
      <c r="C16412" t="s">
        <v>433</v>
      </c>
      <c r="E16412">
        <v>326567</v>
      </c>
      <c r="F16412">
        <v>2.9046862870280598E-7</v>
      </c>
      <c r="G16412">
        <v>128109</v>
      </c>
      <c r="H16412">
        <v>14613162</v>
      </c>
      <c r="I16412">
        <v>674912</v>
      </c>
      <c r="J16412">
        <v>3</v>
      </c>
    </row>
    <row r="16413" spans="1:10" x14ac:dyDescent="0.25">
      <c r="A16413" t="s">
        <v>172</v>
      </c>
      <c r="B16413" s="1" t="str">
        <f>HYPERLINK("http://generalmills.de","generalmills.de")</f>
        <v>generalmills.de</v>
      </c>
      <c r="C16413" t="s">
        <v>436</v>
      </c>
      <c r="D16413" t="s">
        <v>815</v>
      </c>
      <c r="F16413">
        <v>2.0869394639019602E-8</v>
      </c>
      <c r="G16413">
        <v>2533416</v>
      </c>
      <c r="H16413">
        <v>14072074</v>
      </c>
      <c r="I16413">
        <v>3172937</v>
      </c>
      <c r="J16413">
        <v>2</v>
      </c>
    </row>
    <row r="16414" spans="1:10" x14ac:dyDescent="0.25">
      <c r="A16414" t="s">
        <v>172</v>
      </c>
      <c r="B16414" s="1" t="str">
        <f>HYPERLINK("http://haagen-dasz.de","haagen-dasz.de")</f>
        <v>haagen-dasz.de</v>
      </c>
      <c r="C16414" t="s">
        <v>436</v>
      </c>
      <c r="D16414" t="s">
        <v>815</v>
      </c>
      <c r="J16414">
        <v>4</v>
      </c>
    </row>
    <row r="16415" spans="1:10" x14ac:dyDescent="0.25">
      <c r="A16415" t="s">
        <v>172</v>
      </c>
      <c r="B16415" s="1" t="str">
        <f>HYPERLINK("http://haagen-dazs.de","haagen-dazs.de")</f>
        <v>haagen-dazs.de</v>
      </c>
      <c r="C16415" t="s">
        <v>436</v>
      </c>
      <c r="D16415" t="s">
        <v>815</v>
      </c>
      <c r="F16415">
        <v>3.5583795988955502E-8</v>
      </c>
      <c r="G16415">
        <v>1463349</v>
      </c>
      <c r="H16415">
        <v>14486727</v>
      </c>
      <c r="I16415">
        <v>960641</v>
      </c>
      <c r="J16415">
        <v>3</v>
      </c>
    </row>
    <row r="16416" spans="1:10" x14ac:dyDescent="0.25">
      <c r="A16416" t="s">
        <v>172</v>
      </c>
      <c r="B16416" s="1" t="str">
        <f>HYPERLINK("http://nestle-cerealien.de","nestle-cerealien.de")</f>
        <v>nestle-cerealien.de</v>
      </c>
      <c r="C16416" t="s">
        <v>436</v>
      </c>
      <c r="D16416" t="s">
        <v>815</v>
      </c>
      <c r="F16416">
        <v>6.5918901885527196E-9</v>
      </c>
      <c r="G16416">
        <v>13707867</v>
      </c>
      <c r="H16416">
        <v>12133926</v>
      </c>
      <c r="I16416">
        <v>25028854</v>
      </c>
      <c r="J16416">
        <v>3</v>
      </c>
    </row>
    <row r="16417" spans="1:10" x14ac:dyDescent="0.25">
      <c r="A16417" t="s">
        <v>172</v>
      </c>
      <c r="B16417" s="1" t="str">
        <f>HYPERLINK("http://naturevalley.com.do","naturevalley.com.do")</f>
        <v>naturevalley.com.do</v>
      </c>
      <c r="C16417" t="s">
        <v>438</v>
      </c>
      <c r="D16417" t="s">
        <v>817</v>
      </c>
      <c r="F16417">
        <v>1.7697533344387302E-8</v>
      </c>
      <c r="G16417">
        <v>3097253</v>
      </c>
      <c r="H16417">
        <v>12143493</v>
      </c>
      <c r="I16417">
        <v>24792480</v>
      </c>
      <c r="J16417">
        <v>4</v>
      </c>
    </row>
    <row r="16418" spans="1:10" x14ac:dyDescent="0.25">
      <c r="A16418" t="s">
        <v>172</v>
      </c>
      <c r="B16418" s="1" t="str">
        <f>HYPERLINK("http://generalmills.es","generalmills.es")</f>
        <v>generalmills.es</v>
      </c>
      <c r="C16418" t="s">
        <v>443</v>
      </c>
      <c r="D16418" t="s">
        <v>822</v>
      </c>
      <c r="F16418">
        <v>1.7061161075916798E-8</v>
      </c>
      <c r="G16418">
        <v>3269349</v>
      </c>
      <c r="H16418">
        <v>12458528</v>
      </c>
      <c r="I16418">
        <v>17896385</v>
      </c>
      <c r="J16418">
        <v>2</v>
      </c>
    </row>
    <row r="16419" spans="1:10" x14ac:dyDescent="0.25">
      <c r="A16419" t="s">
        <v>172</v>
      </c>
      <c r="B16419" s="1" t="str">
        <f>HYPERLINK("http://haagen-dazs.es","haagen-dazs.es")</f>
        <v>haagen-dazs.es</v>
      </c>
      <c r="C16419" t="s">
        <v>443</v>
      </c>
      <c r="D16419" t="s">
        <v>822</v>
      </c>
      <c r="F16419">
        <v>2.1622051889830101E-8</v>
      </c>
      <c r="G16419">
        <v>2433920</v>
      </c>
      <c r="H16419">
        <v>14132488</v>
      </c>
      <c r="I16419">
        <v>1998935</v>
      </c>
      <c r="J16419">
        <v>3</v>
      </c>
    </row>
    <row r="16420" spans="1:10" x14ac:dyDescent="0.25">
      <c r="A16420" t="s">
        <v>172</v>
      </c>
      <c r="B16420" s="1" t="str">
        <f>HYPERLINK("http://naturevalley.es","naturevalley.es")</f>
        <v>naturevalley.es</v>
      </c>
      <c r="C16420" t="s">
        <v>443</v>
      </c>
      <c r="D16420" t="s">
        <v>822</v>
      </c>
      <c r="F16420">
        <v>1.90131639290233E-8</v>
      </c>
      <c r="G16420">
        <v>2833717</v>
      </c>
      <c r="H16420">
        <v>13767824</v>
      </c>
      <c r="I16420">
        <v>6911746</v>
      </c>
      <c r="J16420">
        <v>4</v>
      </c>
    </row>
    <row r="16421" spans="1:10" x14ac:dyDescent="0.25">
      <c r="A16421" t="s">
        <v>172</v>
      </c>
      <c r="B16421" s="1" t="str">
        <f>HYPERLINK("http://generalmills.fi","generalmills.fi")</f>
        <v>generalmills.fi</v>
      </c>
      <c r="C16421" t="s">
        <v>445</v>
      </c>
      <c r="D16421" t="s">
        <v>823</v>
      </c>
      <c r="F16421">
        <v>1.20787214169885E-8</v>
      </c>
      <c r="G16421">
        <v>5126088</v>
      </c>
      <c r="H16421">
        <v>12233599</v>
      </c>
      <c r="I16421">
        <v>22411961</v>
      </c>
      <c r="J16421">
        <v>2</v>
      </c>
    </row>
    <row r="16422" spans="1:10" x14ac:dyDescent="0.25">
      <c r="A16422" t="s">
        <v>172</v>
      </c>
      <c r="B16422" s="1" t="str">
        <f>HYPERLINK("http://haagen-dazs.fi","haagen-dazs.fi")</f>
        <v>haagen-dazs.fi</v>
      </c>
      <c r="C16422" t="s">
        <v>445</v>
      </c>
      <c r="D16422" t="s">
        <v>823</v>
      </c>
      <c r="F16422">
        <v>9.0936213161047899E-9</v>
      </c>
      <c r="G16422">
        <v>7855664</v>
      </c>
      <c r="H16422">
        <v>12067179</v>
      </c>
      <c r="I16422">
        <v>26848343</v>
      </c>
      <c r="J16422">
        <v>2</v>
      </c>
    </row>
    <row r="16423" spans="1:10" x14ac:dyDescent="0.25">
      <c r="A16423" t="s">
        <v>172</v>
      </c>
      <c r="B16423" s="1" t="str">
        <f>HYPERLINK("http://haagen-dazssecretsensations.fi","haagen-dazssecretsensations.fi")</f>
        <v>haagen-dazssecretsensations.fi</v>
      </c>
      <c r="C16423" t="s">
        <v>445</v>
      </c>
      <c r="D16423" t="s">
        <v>823</v>
      </c>
      <c r="J16423">
        <v>2</v>
      </c>
    </row>
    <row r="16424" spans="1:10" x14ac:dyDescent="0.25">
      <c r="A16424" t="s">
        <v>172</v>
      </c>
      <c r="B16424" s="1" t="str">
        <f>HYPERLINK("http://haagendazs.fi","haagendazs.fi")</f>
        <v>haagendazs.fi</v>
      </c>
      <c r="C16424" t="s">
        <v>445</v>
      </c>
      <c r="D16424" t="s">
        <v>823</v>
      </c>
      <c r="J16424">
        <v>2</v>
      </c>
    </row>
    <row r="16425" spans="1:10" x14ac:dyDescent="0.25">
      <c r="A16425" t="s">
        <v>172</v>
      </c>
      <c r="B16425" s="1" t="str">
        <f>HYPERLINK("http://naturevalley.fi","naturevalley.fi")</f>
        <v>naturevalley.fi</v>
      </c>
      <c r="C16425" t="s">
        <v>445</v>
      </c>
      <c r="D16425" t="s">
        <v>823</v>
      </c>
      <c r="J16425">
        <v>2</v>
      </c>
    </row>
    <row r="16426" spans="1:10" x14ac:dyDescent="0.25">
      <c r="A16426" t="s">
        <v>172</v>
      </c>
      <c r="B16426" s="1" t="str">
        <f>HYPERLINK("http://oldelpaso.fi","oldelpaso.fi")</f>
        <v>oldelpaso.fi</v>
      </c>
      <c r="C16426" t="s">
        <v>445</v>
      </c>
      <c r="D16426" t="s">
        <v>823</v>
      </c>
      <c r="F16426">
        <v>7.1363940360919796E-9</v>
      </c>
      <c r="G16426">
        <v>11913693</v>
      </c>
      <c r="H16426">
        <v>13764562</v>
      </c>
      <c r="I16426">
        <v>7236354</v>
      </c>
      <c r="J16426">
        <v>2</v>
      </c>
    </row>
    <row r="16427" spans="1:10" x14ac:dyDescent="0.25">
      <c r="A16427" t="s">
        <v>172</v>
      </c>
      <c r="B16427" s="1" t="str">
        <f>HYPERLINK("http://generalmills.fr","generalmills.fr")</f>
        <v>generalmills.fr</v>
      </c>
      <c r="C16427" t="s">
        <v>446</v>
      </c>
      <c r="D16427" t="s">
        <v>824</v>
      </c>
      <c r="F16427">
        <v>2.32368911626817E-8</v>
      </c>
      <c r="G16427">
        <v>2245702</v>
      </c>
      <c r="H16427">
        <v>14080322</v>
      </c>
      <c r="I16427">
        <v>2821253</v>
      </c>
      <c r="J16427">
        <v>2</v>
      </c>
    </row>
    <row r="16428" spans="1:10" x14ac:dyDescent="0.25">
      <c r="A16428" t="s">
        <v>172</v>
      </c>
      <c r="B16428" s="1" t="str">
        <f>HYPERLINK("http://haagen-dazs.fr","haagen-dazs.fr")</f>
        <v>haagen-dazs.fr</v>
      </c>
      <c r="C16428" t="s">
        <v>446</v>
      </c>
      <c r="D16428" t="s">
        <v>824</v>
      </c>
      <c r="F16428">
        <v>4.0712740672752701E-8</v>
      </c>
      <c r="G16428">
        <v>1272940</v>
      </c>
      <c r="H16428">
        <v>14378748</v>
      </c>
      <c r="I16428">
        <v>1202521</v>
      </c>
      <c r="J16428">
        <v>3</v>
      </c>
    </row>
    <row r="16429" spans="1:10" x14ac:dyDescent="0.25">
      <c r="A16429" t="s">
        <v>172</v>
      </c>
      <c r="B16429" s="1" t="str">
        <f>HYPERLINK("http://naturevalley.fr","naturevalley.fr")</f>
        <v>naturevalley.fr</v>
      </c>
      <c r="C16429" t="s">
        <v>446</v>
      </c>
      <c r="D16429" t="s">
        <v>824</v>
      </c>
      <c r="F16429">
        <v>1.87680990222086E-8</v>
      </c>
      <c r="G16429">
        <v>2877259</v>
      </c>
      <c r="H16429">
        <v>12210928</v>
      </c>
      <c r="I16429">
        <v>23006573</v>
      </c>
      <c r="J16429">
        <v>4</v>
      </c>
    </row>
    <row r="16430" spans="1:10" x14ac:dyDescent="0.25">
      <c r="A16430" t="s">
        <v>172</v>
      </c>
      <c r="B16430" s="1" t="str">
        <f>HYPERLINK("http://yoplait.fr","yoplait.fr")</f>
        <v>yoplait.fr</v>
      </c>
      <c r="C16430" t="s">
        <v>446</v>
      </c>
      <c r="D16430" t="s">
        <v>824</v>
      </c>
      <c r="F16430">
        <v>4.6549064630577697E-8</v>
      </c>
      <c r="G16430">
        <v>1004540</v>
      </c>
      <c r="H16430">
        <v>14493605</v>
      </c>
      <c r="I16430">
        <v>886850</v>
      </c>
      <c r="J16430">
        <v>3</v>
      </c>
    </row>
    <row r="16431" spans="1:10" x14ac:dyDescent="0.25">
      <c r="A16431" t="s">
        <v>172</v>
      </c>
      <c r="B16431" s="1" t="str">
        <f>HYPERLINK("http://haagen-dazs.global","haagen-dazs.global")</f>
        <v>haagen-dazs.global</v>
      </c>
      <c r="C16431" t="s">
        <v>517</v>
      </c>
      <c r="F16431">
        <v>6.1200006977301798E-9</v>
      </c>
      <c r="G16431">
        <v>15979678</v>
      </c>
      <c r="H16431">
        <v>11099552</v>
      </c>
      <c r="I16431">
        <v>32275953</v>
      </c>
      <c r="J16431">
        <v>4</v>
      </c>
    </row>
    <row r="16432" spans="1:10" x14ac:dyDescent="0.25">
      <c r="A16432" t="s">
        <v>172</v>
      </c>
      <c r="B16432" s="1" t="str">
        <f>HYPERLINK("http://haagen-dazs.gr","haagen-dazs.gr")</f>
        <v>haagen-dazs.gr</v>
      </c>
      <c r="C16432" t="s">
        <v>447</v>
      </c>
      <c r="D16432" t="s">
        <v>825</v>
      </c>
      <c r="F16432">
        <v>1.25327708627891E-8</v>
      </c>
      <c r="G16432">
        <v>4868313</v>
      </c>
      <c r="H16432">
        <v>12131814</v>
      </c>
      <c r="I16432">
        <v>25089812</v>
      </c>
      <c r="J16432">
        <v>3</v>
      </c>
    </row>
    <row r="16433" spans="1:10" x14ac:dyDescent="0.25">
      <c r="A16433" t="s">
        <v>172</v>
      </c>
      <c r="B16433" s="1" t="str">
        <f>HYPERLINK("http://naturevalley.gr","naturevalley.gr")</f>
        <v>naturevalley.gr</v>
      </c>
      <c r="C16433" t="s">
        <v>447</v>
      </c>
      <c r="D16433" t="s">
        <v>825</v>
      </c>
      <c r="F16433">
        <v>1.93404851645665E-8</v>
      </c>
      <c r="G16433">
        <v>2775640</v>
      </c>
      <c r="H16433">
        <v>12217078</v>
      </c>
      <c r="I16433">
        <v>22854683</v>
      </c>
      <c r="J16433">
        <v>4</v>
      </c>
    </row>
    <row r="16434" spans="1:10" x14ac:dyDescent="0.25">
      <c r="A16434" t="s">
        <v>172</v>
      </c>
      <c r="B16434" s="1" t="str">
        <f>HYPERLINK("http://generalmills.hk","generalmills.hk")</f>
        <v>generalmills.hk</v>
      </c>
      <c r="C16434" t="s">
        <v>450</v>
      </c>
      <c r="D16434" t="s">
        <v>827</v>
      </c>
      <c r="F16434">
        <v>1.3669043411556499E-8</v>
      </c>
      <c r="G16434">
        <v>4333524</v>
      </c>
      <c r="H16434">
        <v>12242384</v>
      </c>
      <c r="I16434">
        <v>22185502</v>
      </c>
      <c r="J16434">
        <v>2</v>
      </c>
    </row>
    <row r="16435" spans="1:10" x14ac:dyDescent="0.25">
      <c r="A16435" t="s">
        <v>172</v>
      </c>
      <c r="B16435" s="1" t="str">
        <f>HYPERLINK("http://naturevalley.hu","naturevalley.hu")</f>
        <v>naturevalley.hu</v>
      </c>
      <c r="C16435" t="s">
        <v>453</v>
      </c>
      <c r="D16435" t="s">
        <v>830</v>
      </c>
      <c r="F16435">
        <v>1.7828478350558399E-8</v>
      </c>
      <c r="G16435">
        <v>3068731</v>
      </c>
      <c r="H16435">
        <v>12233028</v>
      </c>
      <c r="I16435">
        <v>22423502</v>
      </c>
      <c r="J16435">
        <v>4</v>
      </c>
    </row>
    <row r="16436" spans="1:10" x14ac:dyDescent="0.25">
      <c r="A16436" t="s">
        <v>172</v>
      </c>
      <c r="B16436" s="1" t="str">
        <f>HYPERLINK("http://haagen-dazs.ie","haagen-dazs.ie")</f>
        <v>haagen-dazs.ie</v>
      </c>
      <c r="C16436" t="s">
        <v>455</v>
      </c>
      <c r="D16436" t="s">
        <v>832</v>
      </c>
      <c r="F16436">
        <v>1.26388684927329E-8</v>
      </c>
      <c r="G16436">
        <v>4811042</v>
      </c>
      <c r="H16436">
        <v>12188586</v>
      </c>
      <c r="I16436">
        <v>23615375</v>
      </c>
      <c r="J16436">
        <v>3</v>
      </c>
    </row>
    <row r="16437" spans="1:10" x14ac:dyDescent="0.25">
      <c r="A16437" t="s">
        <v>172</v>
      </c>
      <c r="B16437" s="1" t="str">
        <f>HYPERLINK("http://naturevalley.ie","naturevalley.ie")</f>
        <v>naturevalley.ie</v>
      </c>
      <c r="C16437" t="s">
        <v>455</v>
      </c>
      <c r="D16437" t="s">
        <v>832</v>
      </c>
      <c r="F16437">
        <v>1.79592917711165E-8</v>
      </c>
      <c r="G16437">
        <v>3041044</v>
      </c>
      <c r="H16437">
        <v>12166700</v>
      </c>
      <c r="I16437">
        <v>24154451</v>
      </c>
      <c r="J16437">
        <v>4</v>
      </c>
    </row>
    <row r="16438" spans="1:10" x14ac:dyDescent="0.25">
      <c r="A16438" t="s">
        <v>172</v>
      </c>
      <c r="B16438" s="1" t="str">
        <f>HYPERLINK("http://oldelpaso.ie","oldelpaso.ie")</f>
        <v>oldelpaso.ie</v>
      </c>
      <c r="C16438" t="s">
        <v>455</v>
      </c>
      <c r="D16438" t="s">
        <v>832</v>
      </c>
      <c r="F16438">
        <v>6.4479222856470202E-9</v>
      </c>
      <c r="G16438">
        <v>14303271</v>
      </c>
      <c r="H16438">
        <v>10967461</v>
      </c>
      <c r="I16438">
        <v>34194848</v>
      </c>
      <c r="J16438">
        <v>3</v>
      </c>
    </row>
    <row r="16439" spans="1:10" x14ac:dyDescent="0.25">
      <c r="A16439" t="s">
        <v>172</v>
      </c>
      <c r="B16439" s="1" t="str">
        <f>HYPERLINK("http://yoplait.ie","yoplait.ie")</f>
        <v>yoplait.ie</v>
      </c>
      <c r="C16439" t="s">
        <v>455</v>
      </c>
      <c r="D16439" t="s">
        <v>832</v>
      </c>
      <c r="F16439">
        <v>4.91016128342963E-9</v>
      </c>
      <c r="G16439">
        <v>32173932</v>
      </c>
      <c r="H16439">
        <v>12252956</v>
      </c>
      <c r="I16439">
        <v>21942445</v>
      </c>
      <c r="J16439">
        <v>4</v>
      </c>
    </row>
    <row r="16440" spans="1:10" x14ac:dyDescent="0.25">
      <c r="A16440" t="s">
        <v>172</v>
      </c>
      <c r="B16440" s="1" t="str">
        <f>HYPERLINK("http://generalmills.co.il","generalmills.co.il")</f>
        <v>generalmills.co.il</v>
      </c>
      <c r="C16440" t="s">
        <v>456</v>
      </c>
      <c r="D16440" t="s">
        <v>833</v>
      </c>
      <c r="F16440">
        <v>1.7496241717617699E-8</v>
      </c>
      <c r="G16440">
        <v>3147046</v>
      </c>
      <c r="H16440">
        <v>12233606</v>
      </c>
      <c r="I16440">
        <v>22411848</v>
      </c>
      <c r="J16440">
        <v>2</v>
      </c>
    </row>
    <row r="16441" spans="1:10" x14ac:dyDescent="0.25">
      <c r="A16441" t="s">
        <v>172</v>
      </c>
      <c r="B16441" s="1" t="str">
        <f>HYPERLINK("http://generalmills.co.in","generalmills.co.in")</f>
        <v>generalmills.co.in</v>
      </c>
      <c r="C16441" t="s">
        <v>457</v>
      </c>
      <c r="D16441" t="s">
        <v>834</v>
      </c>
      <c r="F16441">
        <v>1.7057639279817E-8</v>
      </c>
      <c r="G16441">
        <v>3270143</v>
      </c>
      <c r="H16441">
        <v>14075096</v>
      </c>
      <c r="I16441">
        <v>2918544</v>
      </c>
      <c r="J16441">
        <v>2</v>
      </c>
    </row>
    <row r="16442" spans="1:10" x14ac:dyDescent="0.25">
      <c r="A16442" t="s">
        <v>172</v>
      </c>
      <c r="B16442" s="1" t="str">
        <f>HYPERLINK("http://generalmills.is","generalmills.is")</f>
        <v>generalmills.is</v>
      </c>
      <c r="C16442" t="s">
        <v>594</v>
      </c>
      <c r="D16442" t="s">
        <v>929</v>
      </c>
      <c r="F16442">
        <v>1.2291867170201E-8</v>
      </c>
      <c r="G16442">
        <v>4998700</v>
      </c>
      <c r="H16442">
        <v>12233600</v>
      </c>
      <c r="I16442">
        <v>22411943</v>
      </c>
      <c r="J16442">
        <v>2</v>
      </c>
    </row>
    <row r="16443" spans="1:10" x14ac:dyDescent="0.25">
      <c r="A16443" t="s">
        <v>172</v>
      </c>
      <c r="B16443" s="1" t="str">
        <f>HYPERLINK("http://generalmills.co.it","generalmills.co.it")</f>
        <v>generalmills.co.it</v>
      </c>
      <c r="C16443" t="s">
        <v>459</v>
      </c>
      <c r="D16443" t="s">
        <v>835</v>
      </c>
      <c r="F16443">
        <v>1.34730141714174E-8</v>
      </c>
      <c r="G16443">
        <v>4415258</v>
      </c>
      <c r="H16443">
        <v>12233604</v>
      </c>
      <c r="I16443">
        <v>22411887</v>
      </c>
      <c r="J16443">
        <v>2</v>
      </c>
    </row>
    <row r="16444" spans="1:10" x14ac:dyDescent="0.25">
      <c r="A16444" t="s">
        <v>172</v>
      </c>
      <c r="B16444" s="1" t="str">
        <f>HYPERLINK("http://haagen-dazs.it","haagen-dazs.it")</f>
        <v>haagen-dazs.it</v>
      </c>
      <c r="C16444" t="s">
        <v>459</v>
      </c>
      <c r="D16444" t="s">
        <v>835</v>
      </c>
      <c r="F16444">
        <v>1.1519692554620899E-8</v>
      </c>
      <c r="G16444">
        <v>5490012</v>
      </c>
      <c r="H16444">
        <v>12180865</v>
      </c>
      <c r="I16444">
        <v>23797573</v>
      </c>
      <c r="J16444">
        <v>3</v>
      </c>
    </row>
    <row r="16445" spans="1:10" x14ac:dyDescent="0.25">
      <c r="A16445" t="s">
        <v>172</v>
      </c>
      <c r="B16445" s="1" t="str">
        <f>HYPERLINK("http://generalmills.jp","generalmills.jp")</f>
        <v>generalmills.jp</v>
      </c>
      <c r="C16445" t="s">
        <v>461</v>
      </c>
      <c r="D16445" t="s">
        <v>837</v>
      </c>
      <c r="F16445">
        <v>1.34149576820141E-8</v>
      </c>
      <c r="G16445">
        <v>4441364</v>
      </c>
      <c r="H16445">
        <v>12795066</v>
      </c>
      <c r="I16445">
        <v>14661020</v>
      </c>
      <c r="J16445">
        <v>2</v>
      </c>
    </row>
    <row r="16446" spans="1:10" x14ac:dyDescent="0.25">
      <c r="A16446" t="s">
        <v>172</v>
      </c>
      <c r="B16446" s="1" t="str">
        <f>HYPERLINK("http://naturevalley.com.mx","naturevalley.com.mx")</f>
        <v>naturevalley.com.mx</v>
      </c>
      <c r="C16446" t="s">
        <v>471</v>
      </c>
      <c r="D16446" t="s">
        <v>847</v>
      </c>
      <c r="F16446">
        <v>1.82642340642212E-8</v>
      </c>
      <c r="G16446">
        <v>2974368</v>
      </c>
      <c r="H16446">
        <v>12301352</v>
      </c>
      <c r="I16446">
        <v>20802776</v>
      </c>
      <c r="J16446">
        <v>4</v>
      </c>
    </row>
    <row r="16447" spans="1:10" x14ac:dyDescent="0.25">
      <c r="A16447" t="s">
        <v>172</v>
      </c>
      <c r="B16447" s="1" t="str">
        <f>HYPERLINK("http://generalmills.com.my","generalmills.com.my")</f>
        <v>generalmills.com.my</v>
      </c>
      <c r="C16447" t="s">
        <v>472</v>
      </c>
      <c r="D16447" t="s">
        <v>848</v>
      </c>
      <c r="F16447">
        <v>1.3432524844338E-8</v>
      </c>
      <c r="G16447">
        <v>4433861</v>
      </c>
      <c r="H16447">
        <v>12247133</v>
      </c>
      <c r="I16447">
        <v>22070172</v>
      </c>
      <c r="J16447">
        <v>2</v>
      </c>
    </row>
    <row r="16448" spans="1:10" x14ac:dyDescent="0.25">
      <c r="A16448" t="s">
        <v>172</v>
      </c>
      <c r="B16448" s="1" t="str">
        <f>HYPERLINK("http://genmills.net","genmills.net")</f>
        <v>genmills.net</v>
      </c>
      <c r="C16448" t="s">
        <v>474</v>
      </c>
      <c r="J16448">
        <v>4</v>
      </c>
    </row>
    <row r="16449" spans="1:10" x14ac:dyDescent="0.25">
      <c r="A16449" t="s">
        <v>172</v>
      </c>
      <c r="B16449" s="1" t="str">
        <f>HYPERLINK("http://haagen-dazs.nl","haagen-dazs.nl")</f>
        <v>haagen-dazs.nl</v>
      </c>
      <c r="C16449" t="s">
        <v>477</v>
      </c>
      <c r="D16449" t="s">
        <v>852</v>
      </c>
      <c r="F16449">
        <v>9.1952676879663997E-9</v>
      </c>
      <c r="G16449">
        <v>7716381</v>
      </c>
      <c r="H16449">
        <v>12141418</v>
      </c>
      <c r="I16449">
        <v>24848625</v>
      </c>
      <c r="J16449">
        <v>3</v>
      </c>
    </row>
    <row r="16450" spans="1:10" x14ac:dyDescent="0.25">
      <c r="A16450" t="s">
        <v>172</v>
      </c>
      <c r="B16450" s="1" t="str">
        <f>HYPERLINK("http://generalmills.no","generalmills.no")</f>
        <v>generalmills.no</v>
      </c>
      <c r="C16450" t="s">
        <v>478</v>
      </c>
      <c r="D16450" t="s">
        <v>853</v>
      </c>
      <c r="F16450">
        <v>1.2315379179678401E-8</v>
      </c>
      <c r="G16450">
        <v>4985914</v>
      </c>
      <c r="H16450">
        <v>12233600</v>
      </c>
      <c r="I16450">
        <v>22411944</v>
      </c>
      <c r="J16450">
        <v>2</v>
      </c>
    </row>
    <row r="16451" spans="1:10" x14ac:dyDescent="0.25">
      <c r="A16451" t="s">
        <v>172</v>
      </c>
      <c r="B16451" s="1" t="str">
        <f>HYPERLINK("http://haagen-dazs.no","haagen-dazs.no")</f>
        <v>haagen-dazs.no</v>
      </c>
      <c r="C16451" t="s">
        <v>478</v>
      </c>
      <c r="D16451" t="s">
        <v>853</v>
      </c>
      <c r="F16451">
        <v>1.19648980611936E-8</v>
      </c>
      <c r="G16451">
        <v>5198241</v>
      </c>
      <c r="H16451">
        <v>12067183</v>
      </c>
      <c r="I16451">
        <v>26848281</v>
      </c>
      <c r="J16451">
        <v>3</v>
      </c>
    </row>
    <row r="16452" spans="1:10" x14ac:dyDescent="0.25">
      <c r="A16452" t="s">
        <v>172</v>
      </c>
      <c r="B16452" s="1" t="str">
        <f>HYPERLINK("http://naturevalley.no","naturevalley.no")</f>
        <v>naturevalley.no</v>
      </c>
      <c r="C16452" t="s">
        <v>478</v>
      </c>
      <c r="D16452" t="s">
        <v>853</v>
      </c>
      <c r="F16452">
        <v>1.7697532764389501E-8</v>
      </c>
      <c r="G16452">
        <v>3097254</v>
      </c>
      <c r="H16452">
        <v>12143493</v>
      </c>
      <c r="I16452">
        <v>24792484</v>
      </c>
      <c r="J16452">
        <v>4</v>
      </c>
    </row>
    <row r="16453" spans="1:10" x14ac:dyDescent="0.25">
      <c r="A16453" t="s">
        <v>172</v>
      </c>
      <c r="B16453" s="1" t="str">
        <f>HYPERLINK("http://naturevalley.co.nz","naturevalley.co.nz")</f>
        <v>naturevalley.co.nz</v>
      </c>
      <c r="C16453" t="s">
        <v>479</v>
      </c>
      <c r="D16453" t="s">
        <v>854</v>
      </c>
      <c r="F16453">
        <v>1.8055732172674999E-8</v>
      </c>
      <c r="G16453">
        <v>3019118</v>
      </c>
      <c r="H16453">
        <v>12165769</v>
      </c>
      <c r="I16453">
        <v>24178882</v>
      </c>
      <c r="J16453">
        <v>4</v>
      </c>
    </row>
    <row r="16454" spans="1:10" x14ac:dyDescent="0.25">
      <c r="A16454" t="s">
        <v>172</v>
      </c>
      <c r="B16454" s="1" t="str">
        <f>HYPERLINK("http://naturevalley.com.pa","naturevalley.com.pa")</f>
        <v>naturevalley.com.pa</v>
      </c>
      <c r="C16454" t="s">
        <v>482</v>
      </c>
      <c r="D16454" t="s">
        <v>856</v>
      </c>
      <c r="F16454">
        <v>1.77135042993616E-8</v>
      </c>
      <c r="G16454">
        <v>3093872</v>
      </c>
      <c r="H16454">
        <v>12143493</v>
      </c>
      <c r="I16454">
        <v>24792488</v>
      </c>
      <c r="J16454">
        <v>4</v>
      </c>
    </row>
    <row r="16455" spans="1:10" x14ac:dyDescent="0.25">
      <c r="A16455" t="s">
        <v>172</v>
      </c>
      <c r="B16455" s="1" t="str">
        <f>HYPERLINK("http://naturevalley.com.pe","naturevalley.com.pe")</f>
        <v>naturevalley.com.pe</v>
      </c>
      <c r="C16455" t="s">
        <v>483</v>
      </c>
      <c r="D16455" t="s">
        <v>857</v>
      </c>
      <c r="F16455">
        <v>1.76889744159495E-8</v>
      </c>
      <c r="G16455">
        <v>3099155</v>
      </c>
      <c r="H16455">
        <v>12143493</v>
      </c>
      <c r="I16455">
        <v>24792489</v>
      </c>
      <c r="J16455">
        <v>4</v>
      </c>
    </row>
    <row r="16456" spans="1:10" x14ac:dyDescent="0.25">
      <c r="A16456" t="s">
        <v>172</v>
      </c>
      <c r="B16456" s="1" t="str">
        <f>HYPERLINK("http://naturevalley.pl","naturevalley.pl")</f>
        <v>naturevalley.pl</v>
      </c>
      <c r="C16456" t="s">
        <v>486</v>
      </c>
      <c r="D16456" t="s">
        <v>860</v>
      </c>
      <c r="F16456">
        <v>1.7627629829721299E-8</v>
      </c>
      <c r="G16456">
        <v>3112820</v>
      </c>
      <c r="H16456">
        <v>12165569</v>
      </c>
      <c r="I16456">
        <v>24183231</v>
      </c>
      <c r="J16456">
        <v>4</v>
      </c>
    </row>
    <row r="16457" spans="1:10" x14ac:dyDescent="0.25">
      <c r="A16457" t="s">
        <v>172</v>
      </c>
      <c r="B16457" s="1" t="str">
        <f>HYPERLINK("http://generalmills.com.pr","generalmills.com.pr")</f>
        <v>generalmills.com.pr</v>
      </c>
      <c r="C16457" t="s">
        <v>487</v>
      </c>
      <c r="D16457" t="s">
        <v>861</v>
      </c>
      <c r="F16457">
        <v>1.3260348105077199E-8</v>
      </c>
      <c r="G16457">
        <v>4510958</v>
      </c>
      <c r="H16457">
        <v>12233604</v>
      </c>
      <c r="I16457">
        <v>22411891</v>
      </c>
      <c r="J16457">
        <v>2</v>
      </c>
    </row>
    <row r="16458" spans="1:10" x14ac:dyDescent="0.25">
      <c r="A16458" t="s">
        <v>172</v>
      </c>
      <c r="B16458" s="1" t="str">
        <f>HYPERLINK("http://naturevalley.com.pr","naturevalley.com.pr")</f>
        <v>naturevalley.com.pr</v>
      </c>
      <c r="C16458" t="s">
        <v>487</v>
      </c>
      <c r="D16458" t="s">
        <v>861</v>
      </c>
      <c r="F16458">
        <v>1.7765302506001499E-8</v>
      </c>
      <c r="G16458">
        <v>3082247</v>
      </c>
      <c r="H16458">
        <v>12143493</v>
      </c>
      <c r="I16458">
        <v>24792490</v>
      </c>
      <c r="J16458">
        <v>4</v>
      </c>
    </row>
    <row r="16459" spans="1:10" x14ac:dyDescent="0.25">
      <c r="A16459" t="s">
        <v>172</v>
      </c>
      <c r="B16459" s="1" t="str">
        <f>HYPERLINK("http://haagen-dazs.pt","haagen-dazs.pt")</f>
        <v>haagen-dazs.pt</v>
      </c>
      <c r="C16459" t="s">
        <v>488</v>
      </c>
      <c r="D16459" t="s">
        <v>862</v>
      </c>
      <c r="F16459">
        <v>1.3371959945868499E-8</v>
      </c>
      <c r="G16459">
        <v>4461582</v>
      </c>
      <c r="H16459">
        <v>12694140</v>
      </c>
      <c r="I16459">
        <v>15391943</v>
      </c>
      <c r="J16459">
        <v>3</v>
      </c>
    </row>
    <row r="16460" spans="1:10" x14ac:dyDescent="0.25">
      <c r="A16460" t="s">
        <v>172</v>
      </c>
      <c r="B16460" s="1" t="str">
        <f>HYPERLINK("http://naturevalley.ro","naturevalley.ro")</f>
        <v>naturevalley.ro</v>
      </c>
      <c r="C16460" t="s">
        <v>491</v>
      </c>
      <c r="D16460" t="s">
        <v>865</v>
      </c>
      <c r="F16460">
        <v>1.7643156729230799E-8</v>
      </c>
      <c r="G16460">
        <v>3109456</v>
      </c>
      <c r="H16460">
        <v>12143503</v>
      </c>
      <c r="I16460">
        <v>24792319</v>
      </c>
      <c r="J16460">
        <v>4</v>
      </c>
    </row>
    <row r="16461" spans="1:10" x14ac:dyDescent="0.25">
      <c r="A16461" t="s">
        <v>172</v>
      </c>
      <c r="B16461" s="1" t="str">
        <f>HYPERLINK("http://generalmills.sa","generalmills.sa")</f>
        <v>generalmills.sa</v>
      </c>
      <c r="C16461" t="s">
        <v>494</v>
      </c>
      <c r="D16461" t="s">
        <v>868</v>
      </c>
      <c r="F16461">
        <v>4.6594164047158701E-9</v>
      </c>
      <c r="G16461">
        <v>43547035</v>
      </c>
      <c r="H16461">
        <v>9452521</v>
      </c>
      <c r="I16461">
        <v>66477418</v>
      </c>
      <c r="J16461">
        <v>3</v>
      </c>
    </row>
    <row r="16462" spans="1:10" x14ac:dyDescent="0.25">
      <c r="A16462" t="s">
        <v>172</v>
      </c>
      <c r="B16462" s="1" t="str">
        <f>HYPERLINK("http://generalmills.se","generalmills.se")</f>
        <v>generalmills.se</v>
      </c>
      <c r="C16462" t="s">
        <v>495</v>
      </c>
      <c r="D16462" t="s">
        <v>869</v>
      </c>
      <c r="F16462">
        <v>1.40403948743143E-8</v>
      </c>
      <c r="G16462">
        <v>4187601</v>
      </c>
      <c r="H16462">
        <v>12233645</v>
      </c>
      <c r="I16462">
        <v>22411266</v>
      </c>
      <c r="J16462">
        <v>2</v>
      </c>
    </row>
    <row r="16463" spans="1:10" x14ac:dyDescent="0.25">
      <c r="A16463" t="s">
        <v>172</v>
      </c>
      <c r="B16463" s="1" t="str">
        <f>HYPERLINK("http://haagen-dazs.se","haagen-dazs.se")</f>
        <v>haagen-dazs.se</v>
      </c>
      <c r="C16463" t="s">
        <v>495</v>
      </c>
      <c r="D16463" t="s">
        <v>869</v>
      </c>
      <c r="F16463">
        <v>1.1269209010689799E-8</v>
      </c>
      <c r="G16463">
        <v>5663860</v>
      </c>
      <c r="H16463">
        <v>13764059</v>
      </c>
      <c r="I16463">
        <v>7402850</v>
      </c>
      <c r="J16463">
        <v>3</v>
      </c>
    </row>
    <row r="16464" spans="1:10" x14ac:dyDescent="0.25">
      <c r="A16464" t="s">
        <v>172</v>
      </c>
      <c r="B16464" s="1" t="str">
        <f>HYPERLINK("http://naturevalley.se","naturevalley.se")</f>
        <v>naturevalley.se</v>
      </c>
      <c r="C16464" t="s">
        <v>495</v>
      </c>
      <c r="D16464" t="s">
        <v>869</v>
      </c>
      <c r="F16464">
        <v>1.8303702429812301E-8</v>
      </c>
      <c r="G16464">
        <v>2966710</v>
      </c>
      <c r="H16464">
        <v>12425975</v>
      </c>
      <c r="I16464">
        <v>18363495</v>
      </c>
      <c r="J16464">
        <v>4</v>
      </c>
    </row>
    <row r="16465" spans="1:10" x14ac:dyDescent="0.25">
      <c r="A16465" t="s">
        <v>172</v>
      </c>
      <c r="B16465" s="1" t="str">
        <f>HYPERLINK("http://generalmills.com.sg","generalmills.com.sg")</f>
        <v>generalmills.com.sg</v>
      </c>
      <c r="C16465" t="s">
        <v>496</v>
      </c>
      <c r="D16465" t="s">
        <v>870</v>
      </c>
      <c r="F16465">
        <v>1.3350988856248801E-8</v>
      </c>
      <c r="G16465">
        <v>4471134</v>
      </c>
      <c r="H16465">
        <v>12233604</v>
      </c>
      <c r="I16465">
        <v>22411893</v>
      </c>
      <c r="J16465">
        <v>2</v>
      </c>
    </row>
    <row r="16466" spans="1:10" x14ac:dyDescent="0.25">
      <c r="A16466" t="s">
        <v>172</v>
      </c>
      <c r="B16466" s="1" t="str">
        <f>HYPERLINK("http://generalmills.com.tr","generalmills.com.tr")</f>
        <v>generalmills.com.tr</v>
      </c>
      <c r="C16466" t="s">
        <v>502</v>
      </c>
      <c r="D16466" t="s">
        <v>876</v>
      </c>
      <c r="F16466">
        <v>1.34730140232145E-8</v>
      </c>
      <c r="G16466">
        <v>4415260</v>
      </c>
      <c r="H16466">
        <v>12233604</v>
      </c>
      <c r="I16466">
        <v>22411894</v>
      </c>
      <c r="J16466">
        <v>2</v>
      </c>
    </row>
    <row r="16467" spans="1:10" x14ac:dyDescent="0.25">
      <c r="A16467" t="s">
        <v>172</v>
      </c>
      <c r="B16467" s="1" t="str">
        <f>HYPERLINK("http://naturevalley.com.tt","naturevalley.com.tt")</f>
        <v>naturevalley.com.tt</v>
      </c>
      <c r="C16467" t="s">
        <v>503</v>
      </c>
      <c r="D16467" t="s">
        <v>877</v>
      </c>
      <c r="F16467">
        <v>1.7728052810524201E-8</v>
      </c>
      <c r="G16467">
        <v>3090445</v>
      </c>
      <c r="H16467">
        <v>12313027</v>
      </c>
      <c r="I16467">
        <v>20556407</v>
      </c>
      <c r="J16467">
        <v>4</v>
      </c>
    </row>
    <row r="16468" spans="1:10" x14ac:dyDescent="0.25">
      <c r="A16468" t="s">
        <v>172</v>
      </c>
      <c r="B16468" s="1" t="str">
        <f>HYPERLINK("http://generalmills.com.tw","generalmills.com.tw")</f>
        <v>generalmills.com.tw</v>
      </c>
      <c r="C16468" t="s">
        <v>504</v>
      </c>
      <c r="D16468" t="s">
        <v>878</v>
      </c>
      <c r="F16468">
        <v>1.5461120949023199E-8</v>
      </c>
      <c r="G16468">
        <v>3695730</v>
      </c>
      <c r="H16468">
        <v>14111678</v>
      </c>
      <c r="I16468">
        <v>2671769</v>
      </c>
      <c r="J16468">
        <v>2</v>
      </c>
    </row>
    <row r="16469" spans="1:10" x14ac:dyDescent="0.25">
      <c r="A16469" t="s">
        <v>172</v>
      </c>
      <c r="B16469" s="1" t="str">
        <f>HYPERLINK("http://haagen-dazs.com.tw","haagen-dazs.com.tw")</f>
        <v>haagen-dazs.com.tw</v>
      </c>
      <c r="C16469" t="s">
        <v>504</v>
      </c>
      <c r="D16469" t="s">
        <v>878</v>
      </c>
      <c r="F16469">
        <v>1.7681405453978099E-8</v>
      </c>
      <c r="G16469">
        <v>3100714</v>
      </c>
      <c r="H16469">
        <v>14150091</v>
      </c>
      <c r="I16469">
        <v>1878755</v>
      </c>
      <c r="J16469">
        <v>4</v>
      </c>
    </row>
    <row r="16470" spans="1:10" x14ac:dyDescent="0.25">
      <c r="A16470" t="s">
        <v>172</v>
      </c>
      <c r="B16470" s="1" t="str">
        <f>HYPERLINK("http://generalmills.co.uk","generalmills.co.uk")</f>
        <v>generalmills.co.uk</v>
      </c>
      <c r="C16470" t="s">
        <v>506</v>
      </c>
      <c r="D16470" t="s">
        <v>880</v>
      </c>
      <c r="F16470">
        <v>2.54345509763636E-8</v>
      </c>
      <c r="G16470">
        <v>2028173</v>
      </c>
      <c r="H16470">
        <v>14074906</v>
      </c>
      <c r="I16470">
        <v>2925451</v>
      </c>
      <c r="J16470">
        <v>2</v>
      </c>
    </row>
    <row r="16471" spans="1:10" x14ac:dyDescent="0.25">
      <c r="A16471" t="s">
        <v>172</v>
      </c>
      <c r="B16471" s="1" t="str">
        <f>HYPERLINK("http://haagen-dazs.co.uk","haagen-dazs.co.uk")</f>
        <v>haagen-dazs.co.uk</v>
      </c>
      <c r="C16471" t="s">
        <v>506</v>
      </c>
      <c r="D16471" t="s">
        <v>880</v>
      </c>
      <c r="F16471">
        <v>5.0754587835933802E-8</v>
      </c>
      <c r="G16471">
        <v>904078</v>
      </c>
      <c r="H16471">
        <v>14149066</v>
      </c>
      <c r="I16471">
        <v>1882933</v>
      </c>
      <c r="J16471">
        <v>3</v>
      </c>
    </row>
    <row r="16472" spans="1:10" x14ac:dyDescent="0.25">
      <c r="A16472" t="s">
        <v>172</v>
      </c>
      <c r="B16472" s="1" t="str">
        <f>HYPERLINK("http://jusrol.co.uk","jusrol.co.uk")</f>
        <v>jusrol.co.uk</v>
      </c>
      <c r="C16472" t="s">
        <v>506</v>
      </c>
      <c r="D16472" t="s">
        <v>880</v>
      </c>
      <c r="E16472">
        <v>731181</v>
      </c>
      <c r="F16472">
        <v>3.9393182759790101E-8</v>
      </c>
      <c r="G16472">
        <v>1310149</v>
      </c>
      <c r="H16472">
        <v>14673304</v>
      </c>
      <c r="I16472">
        <v>612737</v>
      </c>
      <c r="J16472">
        <v>3</v>
      </c>
    </row>
    <row r="16473" spans="1:10" x14ac:dyDescent="0.25">
      <c r="A16473" t="s">
        <v>172</v>
      </c>
      <c r="B16473" s="1" t="str">
        <f>HYPERLINK("http://naturevalley.co.uk","naturevalley.co.uk")</f>
        <v>naturevalley.co.uk</v>
      </c>
      <c r="C16473" t="s">
        <v>506</v>
      </c>
      <c r="D16473" t="s">
        <v>880</v>
      </c>
      <c r="F16473">
        <v>2.0921805084884101E-8</v>
      </c>
      <c r="G16473">
        <v>2526439</v>
      </c>
      <c r="H16473">
        <v>13770555</v>
      </c>
      <c r="I16473">
        <v>6724693</v>
      </c>
      <c r="J16473">
        <v>4</v>
      </c>
    </row>
    <row r="16474" spans="1:10" x14ac:dyDescent="0.25">
      <c r="A16474" t="s">
        <v>172</v>
      </c>
      <c r="B16474" s="1" t="str">
        <f>HYPERLINK("http://yoplait.co.uk","yoplait.co.uk")</f>
        <v>yoplait.co.uk</v>
      </c>
      <c r="C16474" t="s">
        <v>506</v>
      </c>
      <c r="D16474" t="s">
        <v>880</v>
      </c>
      <c r="F16474">
        <v>6.0547285205820004E-9</v>
      </c>
      <c r="G16474">
        <v>16355126</v>
      </c>
      <c r="H16474">
        <v>14240144</v>
      </c>
      <c r="I16474">
        <v>1504046</v>
      </c>
      <c r="J16474">
        <v>4</v>
      </c>
    </row>
    <row r="16475" spans="1:10" x14ac:dyDescent="0.25">
      <c r="A16475" t="s">
        <v>172</v>
      </c>
      <c r="B16475" s="1" t="str">
        <f>HYPERLINK("http://haagendazs.us","haagendazs.us")</f>
        <v>haagendazs.us</v>
      </c>
      <c r="C16475" t="s">
        <v>522</v>
      </c>
      <c r="D16475" t="s">
        <v>891</v>
      </c>
      <c r="E16475">
        <v>232717</v>
      </c>
      <c r="F16475">
        <v>2.2534666675411401E-7</v>
      </c>
      <c r="G16475">
        <v>167219</v>
      </c>
      <c r="H16475">
        <v>17151540</v>
      </c>
      <c r="I16475">
        <v>51921</v>
      </c>
      <c r="J16475">
        <v>4</v>
      </c>
    </row>
    <row r="16476" spans="1:10" x14ac:dyDescent="0.25">
      <c r="A16476" t="s">
        <v>172</v>
      </c>
      <c r="B16476" s="1" t="str">
        <f>HYPERLINK("http://generalmills.co.za","generalmills.co.za")</f>
        <v>generalmills.co.za</v>
      </c>
      <c r="C16476" t="s">
        <v>510</v>
      </c>
      <c r="D16476" t="s">
        <v>884</v>
      </c>
      <c r="F16476">
        <v>1.34730140232145E-8</v>
      </c>
      <c r="G16476">
        <v>4415262</v>
      </c>
      <c r="H16476">
        <v>12233604</v>
      </c>
      <c r="I16476">
        <v>22411896</v>
      </c>
      <c r="J16476">
        <v>2</v>
      </c>
    </row>
    <row r="16477" spans="1:10" x14ac:dyDescent="0.25">
      <c r="A16477" t="s">
        <v>173</v>
      </c>
      <c r="B16477" s="1" t="str">
        <f>HYPERLINK("http://betaacassuso.com.ar","betaacassuso.com.ar")</f>
        <v>betaacassuso.com.ar</v>
      </c>
      <c r="C16477" t="s">
        <v>418</v>
      </c>
      <c r="D16477" t="s">
        <v>800</v>
      </c>
      <c r="F16477">
        <v>5.3743142108406303E-9</v>
      </c>
      <c r="G16477">
        <v>22488210</v>
      </c>
      <c r="H16477">
        <v>8381427</v>
      </c>
      <c r="I16477">
        <v>73489735</v>
      </c>
      <c r="J16477">
        <v>4</v>
      </c>
    </row>
    <row r="16478" spans="1:10" x14ac:dyDescent="0.25">
      <c r="A16478" t="s">
        <v>173</v>
      </c>
      <c r="B16478" s="1" t="str">
        <f>HYPERLINK("http://betasanfernando.com.ar","betasanfernando.com.ar")</f>
        <v>betasanfernando.com.ar</v>
      </c>
      <c r="C16478" t="s">
        <v>418</v>
      </c>
      <c r="D16478" t="s">
        <v>800</v>
      </c>
      <c r="F16478">
        <v>5.1652447332979501E-9</v>
      </c>
      <c r="G16478">
        <v>25806925</v>
      </c>
      <c r="H16478">
        <v>8381426.5</v>
      </c>
      <c r="I16478">
        <v>73489764</v>
      </c>
      <c r="J16478">
        <v>4</v>
      </c>
    </row>
    <row r="16479" spans="1:10" x14ac:dyDescent="0.25">
      <c r="A16479" t="s">
        <v>173</v>
      </c>
      <c r="B16479" s="1" t="str">
        <f>HYPERLINK("http://chevrolet.com.ar","chevrolet.com.ar")</f>
        <v>chevrolet.com.ar</v>
      </c>
      <c r="C16479" t="s">
        <v>418</v>
      </c>
      <c r="D16479" t="s">
        <v>800</v>
      </c>
      <c r="E16479">
        <v>734230</v>
      </c>
      <c r="F16479">
        <v>1.3616163609587201E-7</v>
      </c>
      <c r="G16479">
        <v>286411</v>
      </c>
      <c r="H16479">
        <v>14288074</v>
      </c>
      <c r="I16479">
        <v>1368858</v>
      </c>
      <c r="J16479">
        <v>3</v>
      </c>
    </row>
    <row r="16480" spans="1:10" x14ac:dyDescent="0.25">
      <c r="A16480" t="s">
        <v>173</v>
      </c>
      <c r="B16480" s="1" t="str">
        <f>HYPERLINK("http://chevroletluma.com.ar","chevroletluma.com.ar")</f>
        <v>chevroletluma.com.ar</v>
      </c>
      <c r="C16480" t="s">
        <v>418</v>
      </c>
      <c r="D16480" t="s">
        <v>800</v>
      </c>
      <c r="F16480">
        <v>4.4438422530987502E-9</v>
      </c>
      <c r="G16480">
        <v>78733893</v>
      </c>
      <c r="H16480">
        <v>10483721</v>
      </c>
      <c r="I16480">
        <v>50865980</v>
      </c>
      <c r="J16480">
        <v>4</v>
      </c>
    </row>
    <row r="16481" spans="1:10" x14ac:dyDescent="0.25">
      <c r="A16481" t="s">
        <v>173</v>
      </c>
      <c r="B16481" s="1" t="str">
        <f>HYPERLINK("http://chevroletsahiora.com.ar","chevroletsahiora.com.ar")</f>
        <v>chevroletsahiora.com.ar</v>
      </c>
      <c r="C16481" t="s">
        <v>418</v>
      </c>
      <c r="D16481" t="s">
        <v>800</v>
      </c>
      <c r="F16481">
        <v>4.44380395335525E-9</v>
      </c>
      <c r="G16481">
        <v>79931358</v>
      </c>
      <c r="H16481">
        <v>0</v>
      </c>
      <c r="I16481">
        <v>79934280</v>
      </c>
      <c r="J16481">
        <v>4</v>
      </c>
    </row>
    <row r="16482" spans="1:10" x14ac:dyDescent="0.25">
      <c r="A16482" t="s">
        <v>173</v>
      </c>
      <c r="B16482" s="1" t="str">
        <f>HYPERLINK("http://chevromax.com.ar","chevromax.com.ar")</f>
        <v>chevromax.com.ar</v>
      </c>
      <c r="C16482" t="s">
        <v>418</v>
      </c>
      <c r="D16482" t="s">
        <v>800</v>
      </c>
      <c r="F16482">
        <v>4.5990536996170502E-9</v>
      </c>
      <c r="G16482">
        <v>47684796</v>
      </c>
      <c r="H16482">
        <v>10528012</v>
      </c>
      <c r="I16482">
        <v>48870448</v>
      </c>
      <c r="J16482">
        <v>4</v>
      </c>
    </row>
    <row r="16483" spans="1:10" x14ac:dyDescent="0.25">
      <c r="A16483" t="s">
        <v>173</v>
      </c>
      <c r="B16483" s="1" t="str">
        <f>HYPERLINK("http://opel-wien.at","opel-wien.at")</f>
        <v>opel-wien.at</v>
      </c>
      <c r="C16483" t="s">
        <v>419</v>
      </c>
      <c r="D16483" t="s">
        <v>801</v>
      </c>
      <c r="F16483">
        <v>7.9854861940973892E-9</v>
      </c>
      <c r="G16483">
        <v>9947439</v>
      </c>
      <c r="H16483">
        <v>14072804</v>
      </c>
      <c r="I16483">
        <v>3043400</v>
      </c>
      <c r="J16483">
        <v>3</v>
      </c>
    </row>
    <row r="16484" spans="1:10" x14ac:dyDescent="0.25">
      <c r="A16484" t="s">
        <v>173</v>
      </c>
      <c r="B16484" s="1" t="str">
        <f>HYPERLINK("http://holden.com.au","holden.com.au")</f>
        <v>holden.com.au</v>
      </c>
      <c r="C16484" t="s">
        <v>420</v>
      </c>
      <c r="D16484" t="s">
        <v>802</v>
      </c>
      <c r="E16484">
        <v>195896</v>
      </c>
      <c r="F16484">
        <v>2.4564580253541E-7</v>
      </c>
      <c r="G16484">
        <v>152300</v>
      </c>
      <c r="H16484">
        <v>14615137</v>
      </c>
      <c r="I16484">
        <v>667724</v>
      </c>
      <c r="J16484">
        <v>3</v>
      </c>
    </row>
    <row r="16485" spans="1:10" x14ac:dyDescent="0.25">
      <c r="A16485" t="s">
        <v>173</v>
      </c>
      <c r="B16485" s="1" t="str">
        <f>HYPERLINK("http://automecchevroletcastelinho.com.br","automecchevroletcastelinho.com.br")</f>
        <v>automecchevroletcastelinho.com.br</v>
      </c>
      <c r="C16485" t="s">
        <v>425</v>
      </c>
      <c r="D16485" t="s">
        <v>806</v>
      </c>
      <c r="J16485">
        <v>4</v>
      </c>
    </row>
    <row r="16486" spans="1:10" x14ac:dyDescent="0.25">
      <c r="A16486" t="s">
        <v>173</v>
      </c>
      <c r="B16486" s="1" t="str">
        <f>HYPERLINK("http://autonuneschevrolet.com.br","autonuneschevrolet.com.br")</f>
        <v>autonuneschevrolet.com.br</v>
      </c>
      <c r="C16486" t="s">
        <v>425</v>
      </c>
      <c r="D16486" t="s">
        <v>806</v>
      </c>
      <c r="F16486">
        <v>4.4438381947638604E-9</v>
      </c>
      <c r="G16486">
        <v>78832726</v>
      </c>
      <c r="H16486">
        <v>10445464</v>
      </c>
      <c r="I16486">
        <v>52211372</v>
      </c>
      <c r="J16486">
        <v>4</v>
      </c>
    </row>
    <row r="16487" spans="1:10" x14ac:dyDescent="0.25">
      <c r="A16487" t="s">
        <v>173</v>
      </c>
      <c r="B16487" s="1" t="str">
        <f>HYPERLINK("http://autoshowchevroletsbsul.com.br","autoshowchevroletsbsul.com.br")</f>
        <v>autoshowchevroletsbsul.com.br</v>
      </c>
      <c r="C16487" t="s">
        <v>425</v>
      </c>
      <c r="D16487" t="s">
        <v>806</v>
      </c>
      <c r="J16487">
        <v>4</v>
      </c>
    </row>
    <row r="16488" spans="1:10" x14ac:dyDescent="0.25">
      <c r="A16488" t="s">
        <v>173</v>
      </c>
      <c r="B16488" s="1" t="str">
        <f>HYPERLINK("http://chevroletsf.com.br","chevroletsf.com.br")</f>
        <v>chevroletsf.com.br</v>
      </c>
      <c r="C16488" t="s">
        <v>425</v>
      </c>
      <c r="D16488" t="s">
        <v>806</v>
      </c>
      <c r="F16488">
        <v>1.31632955483158E-8</v>
      </c>
      <c r="G16488">
        <v>4554782</v>
      </c>
      <c r="H16488">
        <v>12307922</v>
      </c>
      <c r="I16488">
        <v>20678471</v>
      </c>
      <c r="J16488">
        <v>3</v>
      </c>
    </row>
    <row r="16489" spans="1:10" x14ac:dyDescent="0.25">
      <c r="A16489" t="s">
        <v>173</v>
      </c>
      <c r="B16489" s="1" t="str">
        <f>HYPERLINK("http://contornochevroletjardins.com.br","contornochevroletjardins.com.br")</f>
        <v>contornochevroletjardins.com.br</v>
      </c>
      <c r="C16489" t="s">
        <v>425</v>
      </c>
      <c r="D16489" t="s">
        <v>806</v>
      </c>
      <c r="J16489">
        <v>4</v>
      </c>
    </row>
    <row r="16490" spans="1:10" x14ac:dyDescent="0.25">
      <c r="A16490" t="s">
        <v>173</v>
      </c>
      <c r="B16490" s="1" t="str">
        <f>HYPERLINK("http://dgsul.com.br","dgsul.com.br")</f>
        <v>dgsul.com.br</v>
      </c>
      <c r="C16490" t="s">
        <v>425</v>
      </c>
      <c r="D16490" t="s">
        <v>806</v>
      </c>
      <c r="J16490">
        <v>4</v>
      </c>
    </row>
    <row r="16491" spans="1:10" x14ac:dyDescent="0.25">
      <c r="A16491" t="s">
        <v>173</v>
      </c>
      <c r="B16491" s="1" t="str">
        <f>HYPERLINK("http://javepchevrolet.com.br","javepchevrolet.com.br")</f>
        <v>javepchevrolet.com.br</v>
      </c>
      <c r="C16491" t="s">
        <v>425</v>
      </c>
      <c r="D16491" t="s">
        <v>806</v>
      </c>
      <c r="F16491">
        <v>4.5924385229772103E-9</v>
      </c>
      <c r="G16491">
        <v>48209724</v>
      </c>
      <c r="H16491">
        <v>13763634</v>
      </c>
      <c r="I16491">
        <v>8279758</v>
      </c>
      <c r="J16491">
        <v>4</v>
      </c>
    </row>
    <row r="16492" spans="1:10" x14ac:dyDescent="0.25">
      <c r="A16492" t="s">
        <v>173</v>
      </c>
      <c r="B16492" s="1" t="str">
        <f>HYPERLINK("http://kolinachevrolettubarao.com.br","kolinachevrolettubarao.com.br")</f>
        <v>kolinachevrolettubarao.com.br</v>
      </c>
      <c r="C16492" t="s">
        <v>425</v>
      </c>
      <c r="D16492" t="s">
        <v>806</v>
      </c>
      <c r="J16492">
        <v>4</v>
      </c>
    </row>
    <row r="16493" spans="1:10" x14ac:dyDescent="0.25">
      <c r="A16493" t="s">
        <v>173</v>
      </c>
      <c r="B16493" s="1" t="str">
        <f>HYPERLINK("http://perkalchevroletpontapora.com.br","perkalchevroletpontapora.com.br")</f>
        <v>perkalchevroletpontapora.com.br</v>
      </c>
      <c r="C16493" t="s">
        <v>425</v>
      </c>
      <c r="D16493" t="s">
        <v>806</v>
      </c>
      <c r="J16493">
        <v>4</v>
      </c>
    </row>
    <row r="16494" spans="1:10" x14ac:dyDescent="0.25">
      <c r="A16494" t="s">
        <v>173</v>
      </c>
      <c r="B16494" s="1" t="str">
        <f>HYPERLINK("http://ritmospchevrolet.com.br","ritmospchevrolet.com.br")</f>
        <v>ritmospchevrolet.com.br</v>
      </c>
      <c r="C16494" t="s">
        <v>425</v>
      </c>
      <c r="D16494" t="s">
        <v>806</v>
      </c>
      <c r="J16494">
        <v>4</v>
      </c>
    </row>
    <row r="16495" spans="1:10" x14ac:dyDescent="0.25">
      <c r="A16495" t="s">
        <v>173</v>
      </c>
      <c r="B16495" s="1" t="str">
        <f>HYPERLINK("http://sabenautochevrolet.com.br","sabenautochevrolet.com.br")</f>
        <v>sabenautochevrolet.com.br</v>
      </c>
      <c r="C16495" t="s">
        <v>425</v>
      </c>
      <c r="D16495" t="s">
        <v>806</v>
      </c>
      <c r="J16495">
        <v>4</v>
      </c>
    </row>
    <row r="16496" spans="1:10" x14ac:dyDescent="0.25">
      <c r="A16496" t="s">
        <v>173</v>
      </c>
      <c r="B16496" s="1" t="str">
        <f>HYPERLINK("http://santaclarachevroletbr470.com.br","santaclarachevroletbr470.com.br")</f>
        <v>santaclarachevroletbr470.com.br</v>
      </c>
      <c r="C16496" t="s">
        <v>425</v>
      </c>
      <c r="D16496" t="s">
        <v>806</v>
      </c>
      <c r="J16496">
        <v>4</v>
      </c>
    </row>
    <row r="16497" spans="1:10" x14ac:dyDescent="0.25">
      <c r="A16497" t="s">
        <v>173</v>
      </c>
      <c r="B16497" s="1" t="str">
        <f>HYPERLINK("http://silcarchevroletsobral.com.br","silcarchevroletsobral.com.br")</f>
        <v>silcarchevroletsobral.com.br</v>
      </c>
      <c r="C16497" t="s">
        <v>425</v>
      </c>
      <c r="D16497" t="s">
        <v>806</v>
      </c>
      <c r="J16497">
        <v>4</v>
      </c>
    </row>
    <row r="16498" spans="1:10" x14ac:dyDescent="0.25">
      <c r="A16498" t="s">
        <v>173</v>
      </c>
      <c r="B16498" s="1" t="str">
        <f>HYPERLINK("http://unidaschevrolet.com.br","unidaschevrolet.com.br")</f>
        <v>unidaschevrolet.com.br</v>
      </c>
      <c r="C16498" t="s">
        <v>425</v>
      </c>
      <c r="D16498" t="s">
        <v>806</v>
      </c>
      <c r="J16498">
        <v>4</v>
      </c>
    </row>
    <row r="16499" spans="1:10" x14ac:dyDescent="0.25">
      <c r="A16499" t="s">
        <v>173</v>
      </c>
      <c r="B16499" s="1" t="str">
        <f>HYPERLINK("http://velmaxchevroletvrezende.com.br","velmaxchevroletvrezende.com.br")</f>
        <v>velmaxchevroletvrezende.com.br</v>
      </c>
      <c r="C16499" t="s">
        <v>425</v>
      </c>
      <c r="D16499" t="s">
        <v>806</v>
      </c>
      <c r="J16499">
        <v>4</v>
      </c>
    </row>
    <row r="16500" spans="1:10" x14ac:dyDescent="0.25">
      <c r="A16500" t="s">
        <v>173</v>
      </c>
      <c r="B16500" s="1" t="str">
        <f>HYPERLINK("http://cadillaccanada.ca","cadillaccanada.ca")</f>
        <v>cadillaccanada.ca</v>
      </c>
      <c r="C16500" t="s">
        <v>428</v>
      </c>
      <c r="D16500" t="s">
        <v>809</v>
      </c>
      <c r="E16500">
        <v>831939</v>
      </c>
      <c r="F16500">
        <v>8.3081684707639496E-8</v>
      </c>
      <c r="G16500">
        <v>502013</v>
      </c>
      <c r="H16500">
        <v>13785539</v>
      </c>
      <c r="I16500">
        <v>6400499</v>
      </c>
      <c r="J16500">
        <v>4</v>
      </c>
    </row>
    <row r="16501" spans="1:10" x14ac:dyDescent="0.25">
      <c r="A16501" t="s">
        <v>173</v>
      </c>
      <c r="B16501" s="1" t="str">
        <f>HYPERLINK("http://chevrolet.ca","chevrolet.ca")</f>
        <v>chevrolet.ca</v>
      </c>
      <c r="C16501" t="s">
        <v>428</v>
      </c>
      <c r="D16501" t="s">
        <v>809</v>
      </c>
      <c r="E16501">
        <v>198766</v>
      </c>
      <c r="F16501">
        <v>1.97045748461145E-7</v>
      </c>
      <c r="G16501">
        <v>195694</v>
      </c>
      <c r="H16501">
        <v>14980038</v>
      </c>
      <c r="I16501">
        <v>430955</v>
      </c>
      <c r="J16501">
        <v>4</v>
      </c>
    </row>
    <row r="16502" spans="1:10" x14ac:dyDescent="0.25">
      <c r="A16502" t="s">
        <v>173</v>
      </c>
      <c r="B16502" s="1" t="str">
        <f>HYPERLINK("http://currychevrolet.ca","currychevrolet.ca")</f>
        <v>currychevrolet.ca</v>
      </c>
      <c r="C16502" t="s">
        <v>428</v>
      </c>
      <c r="D16502" t="s">
        <v>809</v>
      </c>
      <c r="F16502">
        <v>5.4633696770575396E-9</v>
      </c>
      <c r="G16502">
        <v>21320328</v>
      </c>
      <c r="H16502">
        <v>10596353</v>
      </c>
      <c r="I16502">
        <v>45115997</v>
      </c>
      <c r="J16502">
        <v>4</v>
      </c>
    </row>
    <row r="16503" spans="1:10" x14ac:dyDescent="0.25">
      <c r="A16503" t="s">
        <v>173</v>
      </c>
      <c r="B16503" s="1" t="str">
        <f>HYPERLINK("http://drummondmotors.ca","drummondmotors.ca")</f>
        <v>drummondmotors.ca</v>
      </c>
      <c r="C16503" t="s">
        <v>428</v>
      </c>
      <c r="D16503" t="s">
        <v>809</v>
      </c>
      <c r="F16503">
        <v>4.87173086768643E-9</v>
      </c>
      <c r="G16503">
        <v>33347698</v>
      </c>
      <c r="H16503">
        <v>10141256</v>
      </c>
      <c r="I16503">
        <v>59503876</v>
      </c>
      <c r="J16503">
        <v>4</v>
      </c>
    </row>
    <row r="16504" spans="1:10" x14ac:dyDescent="0.25">
      <c r="A16504" t="s">
        <v>173</v>
      </c>
      <c r="B16504" s="1" t="str">
        <f>HYPERLINK("http://eastsidegm.ca","eastsidegm.ca")</f>
        <v>eastsidegm.ca</v>
      </c>
      <c r="C16504" t="s">
        <v>428</v>
      </c>
      <c r="D16504" t="s">
        <v>809</v>
      </c>
      <c r="F16504">
        <v>5.5816705501182198E-9</v>
      </c>
      <c r="G16504">
        <v>20038603</v>
      </c>
      <c r="H16504">
        <v>11398226</v>
      </c>
      <c r="I16504">
        <v>30230382</v>
      </c>
      <c r="J16504">
        <v>4</v>
      </c>
    </row>
    <row r="16505" spans="1:10" x14ac:dyDescent="0.25">
      <c r="A16505" t="s">
        <v>173</v>
      </c>
      <c r="B16505" s="1" t="str">
        <f>HYPERLINK("http://famousforfairness.ca","famousforfairness.ca")</f>
        <v>famousforfairness.ca</v>
      </c>
      <c r="C16505" t="s">
        <v>428</v>
      </c>
      <c r="D16505" t="s">
        <v>809</v>
      </c>
      <c r="F16505">
        <v>5.3986730283529597E-9</v>
      </c>
      <c r="G16505">
        <v>22131165</v>
      </c>
      <c r="H16505">
        <v>12225262</v>
      </c>
      <c r="I16505">
        <v>22647163</v>
      </c>
      <c r="J16505">
        <v>4</v>
      </c>
    </row>
    <row r="16506" spans="1:10" x14ac:dyDescent="0.25">
      <c r="A16506" t="s">
        <v>173</v>
      </c>
      <c r="B16506" s="1" t="str">
        <f>HYPERLINK("http://gm.ca","gm.ca")</f>
        <v>gm.ca</v>
      </c>
      <c r="C16506" t="s">
        <v>428</v>
      </c>
      <c r="D16506" t="s">
        <v>809</v>
      </c>
      <c r="E16506">
        <v>181419</v>
      </c>
      <c r="F16506">
        <v>5.2806485091443596E-7</v>
      </c>
      <c r="G16506">
        <v>72905</v>
      </c>
      <c r="H16506">
        <v>15045420</v>
      </c>
      <c r="I16506">
        <v>415534</v>
      </c>
      <c r="J16506">
        <v>2</v>
      </c>
    </row>
    <row r="16507" spans="1:10" x14ac:dyDescent="0.25">
      <c r="A16507" t="s">
        <v>173</v>
      </c>
      <c r="B16507" s="1" t="str">
        <f>HYPERLINK("http://gmcamiassembly.ca","gmcamiassembly.ca")</f>
        <v>gmcamiassembly.ca</v>
      </c>
      <c r="C16507" t="s">
        <v>428</v>
      </c>
      <c r="D16507" t="s">
        <v>809</v>
      </c>
      <c r="F16507">
        <v>5.0252811246517902E-9</v>
      </c>
      <c r="G16507">
        <v>28778952</v>
      </c>
      <c r="H16507">
        <v>14071790</v>
      </c>
      <c r="I16507">
        <v>3474623</v>
      </c>
      <c r="J16507">
        <v>3</v>
      </c>
    </row>
    <row r="16508" spans="1:10" x14ac:dyDescent="0.25">
      <c r="A16508" t="s">
        <v>173</v>
      </c>
      <c r="B16508" s="1" t="str">
        <f>HYPERLINK("http://gmdelasalle.ca","gmdelasalle.ca")</f>
        <v>gmdelasalle.ca</v>
      </c>
      <c r="C16508" t="s">
        <v>428</v>
      </c>
      <c r="D16508" t="s">
        <v>809</v>
      </c>
      <c r="F16508">
        <v>5.7794885115346203E-9</v>
      </c>
      <c r="G16508">
        <v>18248394</v>
      </c>
      <c r="H16508">
        <v>12229793</v>
      </c>
      <c r="I16508">
        <v>22507144</v>
      </c>
      <c r="J16508">
        <v>4</v>
      </c>
    </row>
    <row r="16509" spans="1:10" x14ac:dyDescent="0.25">
      <c r="A16509" t="s">
        <v>173</v>
      </c>
      <c r="B16509" s="1" t="str">
        <f>HYPERLINK("http://gmfinancial.ca","gmfinancial.ca")</f>
        <v>gmfinancial.ca</v>
      </c>
      <c r="C16509" t="s">
        <v>428</v>
      </c>
      <c r="D16509" t="s">
        <v>809</v>
      </c>
      <c r="F16509">
        <v>3.2915722413951002E-8</v>
      </c>
      <c r="G16509">
        <v>1569732</v>
      </c>
      <c r="H16509">
        <v>13567578</v>
      </c>
      <c r="I16509">
        <v>9742876</v>
      </c>
      <c r="J16509">
        <v>3</v>
      </c>
    </row>
    <row r="16510" spans="1:10" x14ac:dyDescent="0.25">
      <c r="A16510" t="s">
        <v>173</v>
      </c>
      <c r="B16510" s="1" t="str">
        <f>HYPERLINK("http://myerskanatagm.ca","myerskanatagm.ca")</f>
        <v>myerskanatagm.ca</v>
      </c>
      <c r="C16510" t="s">
        <v>428</v>
      </c>
      <c r="D16510" t="s">
        <v>809</v>
      </c>
      <c r="F16510">
        <v>6.2278355868590896E-9</v>
      </c>
      <c r="G16510">
        <v>15385856</v>
      </c>
      <c r="H16510">
        <v>12626610</v>
      </c>
      <c r="I16510">
        <v>16019139</v>
      </c>
      <c r="J16510">
        <v>4</v>
      </c>
    </row>
    <row r="16511" spans="1:10" x14ac:dyDescent="0.25">
      <c r="A16511" t="s">
        <v>173</v>
      </c>
      <c r="B16511" s="1" t="str">
        <f>HYPERLINK("http://onstar.ca","onstar.ca")</f>
        <v>onstar.ca</v>
      </c>
      <c r="C16511" t="s">
        <v>428</v>
      </c>
      <c r="D16511" t="s">
        <v>809</v>
      </c>
      <c r="E16511">
        <v>151661</v>
      </c>
      <c r="F16511">
        <v>2.9118834707399901E-8</v>
      </c>
      <c r="G16511">
        <v>1768534</v>
      </c>
      <c r="H16511">
        <v>12493011</v>
      </c>
      <c r="I16511">
        <v>17447735</v>
      </c>
      <c r="J16511">
        <v>4</v>
      </c>
    </row>
    <row r="16512" spans="1:10" x14ac:dyDescent="0.25">
      <c r="A16512" t="s">
        <v>173</v>
      </c>
      <c r="B16512" s="1" t="str">
        <f>HYPERLINK("http://spadonimotors.ca","spadonimotors.ca")</f>
        <v>spadonimotors.ca</v>
      </c>
      <c r="C16512" t="s">
        <v>428</v>
      </c>
      <c r="D16512" t="s">
        <v>809</v>
      </c>
      <c r="F16512">
        <v>5.4370428876855899E-9</v>
      </c>
      <c r="G16512">
        <v>21654439</v>
      </c>
      <c r="H16512">
        <v>10417300</v>
      </c>
      <c r="I16512">
        <v>53970750</v>
      </c>
      <c r="J16512">
        <v>4</v>
      </c>
    </row>
    <row r="16513" spans="1:10" x14ac:dyDescent="0.25">
      <c r="A16513" t="s">
        <v>173</v>
      </c>
      <c r="B16513" s="1" t="str">
        <f>HYPERLINK("http://ulmerchev.ca","ulmerchev.ca")</f>
        <v>ulmerchev.ca</v>
      </c>
      <c r="C16513" t="s">
        <v>428</v>
      </c>
      <c r="D16513" t="s">
        <v>809</v>
      </c>
      <c r="F16513">
        <v>4.44386561378318E-9</v>
      </c>
      <c r="G16513">
        <v>78226366</v>
      </c>
      <c r="H16513">
        <v>10489209</v>
      </c>
      <c r="I16513">
        <v>50652384</v>
      </c>
      <c r="J16513">
        <v>4</v>
      </c>
    </row>
    <row r="16514" spans="1:10" x14ac:dyDescent="0.25">
      <c r="A16514" t="s">
        <v>173</v>
      </c>
      <c r="B16514" s="1" t="str">
        <f>HYPERLINK("http://cadillac.ch","cadillac.ch")</f>
        <v>cadillac.ch</v>
      </c>
      <c r="C16514" t="s">
        <v>429</v>
      </c>
      <c r="D16514" t="s">
        <v>810</v>
      </c>
      <c r="F16514">
        <v>2.9062615125236501E-8</v>
      </c>
      <c r="G16514">
        <v>1771677</v>
      </c>
      <c r="H16514">
        <v>12256994</v>
      </c>
      <c r="I16514">
        <v>21847386</v>
      </c>
      <c r="J16514">
        <v>4</v>
      </c>
    </row>
    <row r="16515" spans="1:10" x14ac:dyDescent="0.25">
      <c r="A16515" t="s">
        <v>173</v>
      </c>
      <c r="B16515" s="1" t="str">
        <f>HYPERLINK("http://chevrolet.ch","chevrolet.ch")</f>
        <v>chevrolet.ch</v>
      </c>
      <c r="C16515" t="s">
        <v>429</v>
      </c>
      <c r="D16515" t="s">
        <v>810</v>
      </c>
      <c r="F16515">
        <v>3.5739583964501002E-8</v>
      </c>
      <c r="G16515">
        <v>1457837</v>
      </c>
      <c r="H16515">
        <v>14073733</v>
      </c>
      <c r="I16515">
        <v>2975057</v>
      </c>
      <c r="J16515">
        <v>4</v>
      </c>
    </row>
    <row r="16516" spans="1:10" x14ac:dyDescent="0.25">
      <c r="A16516" t="s">
        <v>173</v>
      </c>
      <c r="B16516" s="1" t="str">
        <f>HYPERLINK("http://garage-du-tennis.ch","garage-du-tennis.ch")</f>
        <v>garage-du-tennis.ch</v>
      </c>
      <c r="C16516" t="s">
        <v>429</v>
      </c>
      <c r="D16516" t="s">
        <v>810</v>
      </c>
      <c r="F16516">
        <v>4.6942023808093202E-9</v>
      </c>
      <c r="G16516">
        <v>41579722</v>
      </c>
      <c r="H16516">
        <v>11909606</v>
      </c>
      <c r="I16516">
        <v>29448785</v>
      </c>
      <c r="J16516">
        <v>4</v>
      </c>
    </row>
    <row r="16517" spans="1:10" x14ac:dyDescent="0.25">
      <c r="A16517" t="s">
        <v>173</v>
      </c>
      <c r="B16517" s="1" t="str">
        <f>HYPERLINK("http://chevrolet.cl","chevrolet.cl")</f>
        <v>chevrolet.cl</v>
      </c>
      <c r="C16517" t="s">
        <v>430</v>
      </c>
      <c r="D16517" t="s">
        <v>811</v>
      </c>
      <c r="E16517">
        <v>784036</v>
      </c>
      <c r="F16517">
        <v>4.62505896995704E-8</v>
      </c>
      <c r="G16517">
        <v>1012550</v>
      </c>
      <c r="H16517">
        <v>14238428</v>
      </c>
      <c r="I16517">
        <v>1527038</v>
      </c>
      <c r="J16517">
        <v>3</v>
      </c>
    </row>
    <row r="16518" spans="1:10" x14ac:dyDescent="0.25">
      <c r="A16518" t="s">
        <v>173</v>
      </c>
      <c r="B16518" s="1" t="str">
        <f>HYPERLINK("http://gmac.cl","gmac.cl")</f>
        <v>gmac.cl</v>
      </c>
      <c r="C16518" t="s">
        <v>430</v>
      </c>
      <c r="D16518" t="s">
        <v>811</v>
      </c>
      <c r="F16518">
        <v>4.4438560060647497E-9</v>
      </c>
      <c r="G16518">
        <v>78323947</v>
      </c>
      <c r="H16518">
        <v>10466174</v>
      </c>
      <c r="I16518">
        <v>51428340</v>
      </c>
      <c r="J16518">
        <v>3</v>
      </c>
    </row>
    <row r="16519" spans="1:10" x14ac:dyDescent="0.25">
      <c r="A16519" t="s">
        <v>173</v>
      </c>
      <c r="B16519" s="1" t="str">
        <f>HYPERLINK("http://ebuick.com.cn","ebuick.com.cn")</f>
        <v>ebuick.com.cn</v>
      </c>
      <c r="C16519" t="s">
        <v>431</v>
      </c>
      <c r="D16519" t="s">
        <v>812</v>
      </c>
      <c r="F16519">
        <v>3.3149992980357303E-8</v>
      </c>
      <c r="G16519">
        <v>1558593</v>
      </c>
      <c r="H16519">
        <v>12739949</v>
      </c>
      <c r="I16519">
        <v>15136218</v>
      </c>
      <c r="J16519">
        <v>8</v>
      </c>
    </row>
    <row r="16520" spans="1:10" x14ac:dyDescent="0.25">
      <c r="A16520" t="s">
        <v>173</v>
      </c>
      <c r="B16520" s="1" t="str">
        <f>HYPERLINK("http://gm.com.cn","gm.com.cn")</f>
        <v>gm.com.cn</v>
      </c>
      <c r="C16520" t="s">
        <v>431</v>
      </c>
      <c r="D16520" t="s">
        <v>812</v>
      </c>
      <c r="F16520">
        <v>8.0866915778025201E-8</v>
      </c>
      <c r="G16520">
        <v>516309</v>
      </c>
      <c r="H16520">
        <v>13181390</v>
      </c>
      <c r="I16520">
        <v>11680453</v>
      </c>
      <c r="J16520">
        <v>3</v>
      </c>
    </row>
    <row r="16521" spans="1:10" x14ac:dyDescent="0.25">
      <c r="A16521" t="s">
        <v>173</v>
      </c>
      <c r="B16521" s="1" t="str">
        <f>HYPERLINK("http://sgmw.com.cn","sgmw.com.cn")</f>
        <v>sgmw.com.cn</v>
      </c>
      <c r="C16521" t="s">
        <v>431</v>
      </c>
      <c r="D16521" t="s">
        <v>812</v>
      </c>
      <c r="E16521">
        <v>140862</v>
      </c>
      <c r="F16521">
        <v>3.2415502934297903E-7</v>
      </c>
      <c r="G16521">
        <v>114854</v>
      </c>
      <c r="H16521">
        <v>14618216</v>
      </c>
      <c r="I16521">
        <v>661995</v>
      </c>
      <c r="J16521">
        <v>3</v>
      </c>
    </row>
    <row r="16522" spans="1:10" x14ac:dyDescent="0.25">
      <c r="A16522" t="s">
        <v>173</v>
      </c>
      <c r="B16522" s="1" t="str">
        <f>HYPERLINK("http://sgmwcloud.com.cn","sgmwcloud.com.cn")</f>
        <v>sgmwcloud.com.cn</v>
      </c>
      <c r="C16522" t="s">
        <v>431</v>
      </c>
      <c r="D16522" t="s">
        <v>812</v>
      </c>
      <c r="J16522">
        <v>4</v>
      </c>
    </row>
    <row r="16523" spans="1:10" x14ac:dyDescent="0.25">
      <c r="A16523" t="s">
        <v>173</v>
      </c>
      <c r="B16523" s="1" t="str">
        <f>HYPERLINK("http://chevrolet.com.co","chevrolet.com.co")</f>
        <v>chevrolet.com.co</v>
      </c>
      <c r="C16523" t="s">
        <v>432</v>
      </c>
      <c r="E16523">
        <v>786806</v>
      </c>
      <c r="F16523">
        <v>5.7159966624508398E-8</v>
      </c>
      <c r="G16523">
        <v>780756</v>
      </c>
      <c r="H16523">
        <v>14377967</v>
      </c>
      <c r="I16523">
        <v>1206851</v>
      </c>
      <c r="J16523">
        <v>3</v>
      </c>
    </row>
    <row r="16524" spans="1:10" x14ac:dyDescent="0.25">
      <c r="A16524" t="s">
        <v>173</v>
      </c>
      <c r="B16524" s="1" t="str">
        <f>HYPERLINK("http://chevyplan.com.co","chevyplan.com.co")</f>
        <v>chevyplan.com.co</v>
      </c>
      <c r="C16524" t="s">
        <v>432</v>
      </c>
      <c r="F16524">
        <v>8.0191777541665999E-9</v>
      </c>
      <c r="G16524">
        <v>9885760</v>
      </c>
      <c r="H16524">
        <v>11340884</v>
      </c>
      <c r="I16524">
        <v>30420823</v>
      </c>
      <c r="J16524">
        <v>3</v>
      </c>
    </row>
    <row r="16525" spans="1:10" x14ac:dyDescent="0.25">
      <c r="A16525" t="s">
        <v>173</v>
      </c>
      <c r="B16525" s="1" t="str">
        <f>HYPERLINK("http://continautos.co","continautos.co")</f>
        <v>continautos.co</v>
      </c>
      <c r="C16525" t="s">
        <v>432</v>
      </c>
      <c r="F16525">
        <v>1.0370734121834999E-8</v>
      </c>
      <c r="G16525">
        <v>6385497</v>
      </c>
      <c r="H16525">
        <v>11060831</v>
      </c>
      <c r="I16525">
        <v>32673832</v>
      </c>
      <c r="J16525">
        <v>4</v>
      </c>
    </row>
    <row r="16526" spans="1:10" x14ac:dyDescent="0.25">
      <c r="A16526" t="s">
        <v>173</v>
      </c>
      <c r="B16526" s="1" t="str">
        <f>HYPERLINK("http://aberdeenchevroletmd.com","aberdeenchevroletmd.com")</f>
        <v>aberdeenchevroletmd.com</v>
      </c>
      <c r="C16526" t="s">
        <v>433</v>
      </c>
      <c r="F16526">
        <v>4.4781232649543097E-9</v>
      </c>
      <c r="G16526">
        <v>62747886</v>
      </c>
      <c r="H16526">
        <v>10576709</v>
      </c>
      <c r="I16526">
        <v>45899684</v>
      </c>
      <c r="J16526">
        <v>4</v>
      </c>
    </row>
    <row r="16527" spans="1:10" x14ac:dyDescent="0.25">
      <c r="A16527" t="s">
        <v>173</v>
      </c>
      <c r="B16527" s="1" t="str">
        <f>HYPERLINK("http://adirondackchevrolet.com","adirondackchevrolet.com")</f>
        <v>adirondackchevrolet.com</v>
      </c>
      <c r="C16527" t="s">
        <v>433</v>
      </c>
      <c r="F16527">
        <v>5.0627041368973602E-9</v>
      </c>
      <c r="G16527">
        <v>27945583</v>
      </c>
      <c r="H16527">
        <v>11873873</v>
      </c>
      <c r="I16527">
        <v>29631962</v>
      </c>
      <c r="J16527">
        <v>4</v>
      </c>
    </row>
    <row r="16528" spans="1:10" x14ac:dyDescent="0.25">
      <c r="A16528" t="s">
        <v>173</v>
      </c>
      <c r="B16528" s="1" t="str">
        <f>HYPERLINK("http://alanbrownechevy.com","alanbrownechevy.com")</f>
        <v>alanbrownechevy.com</v>
      </c>
      <c r="C16528" t="s">
        <v>433</v>
      </c>
      <c r="F16528">
        <v>5.1749065376080999E-9</v>
      </c>
      <c r="G16528">
        <v>25638481</v>
      </c>
      <c r="H16528">
        <v>11965786</v>
      </c>
      <c r="I16528">
        <v>28787629</v>
      </c>
      <c r="J16528">
        <v>4</v>
      </c>
    </row>
    <row r="16529" spans="1:10" x14ac:dyDescent="0.25">
      <c r="A16529" t="s">
        <v>173</v>
      </c>
      <c r="B16529" s="1" t="str">
        <f>HYPERLINK("http://anchoragechevrolet.com","anchoragechevrolet.com")</f>
        <v>anchoragechevrolet.com</v>
      </c>
      <c r="C16529" t="s">
        <v>433</v>
      </c>
      <c r="F16529">
        <v>6.6820790416703602E-9</v>
      </c>
      <c r="G16529">
        <v>13367836</v>
      </c>
      <c r="H16529">
        <v>12270544</v>
      </c>
      <c r="I16529">
        <v>21513529</v>
      </c>
      <c r="J16529">
        <v>4</v>
      </c>
    </row>
    <row r="16530" spans="1:10" x14ac:dyDescent="0.25">
      <c r="A16530" t="s">
        <v>173</v>
      </c>
      <c r="B16530" s="1" t="str">
        <f>HYPERLINK("http://applechevy.com","applechevy.com")</f>
        <v>applechevy.com</v>
      </c>
      <c r="C16530" t="s">
        <v>433</v>
      </c>
      <c r="F16530">
        <v>8.5699657519192607E-9</v>
      </c>
      <c r="G16530">
        <v>8710999</v>
      </c>
      <c r="H16530">
        <v>12395505</v>
      </c>
      <c r="I16530">
        <v>18928530</v>
      </c>
      <c r="J16530">
        <v>4</v>
      </c>
    </row>
    <row r="16531" spans="1:10" x14ac:dyDescent="0.25">
      <c r="A16531" t="s">
        <v>173</v>
      </c>
      <c r="B16531" s="1" t="str">
        <f>HYPERLINK("http://augerautomobile.com","augerautomobile.com")</f>
        <v>augerautomobile.com</v>
      </c>
      <c r="C16531" t="s">
        <v>433</v>
      </c>
      <c r="F16531">
        <v>6.2437529948537299E-9</v>
      </c>
      <c r="G16531">
        <v>15306252</v>
      </c>
      <c r="H16531">
        <v>12197298</v>
      </c>
      <c r="I16531">
        <v>23391605</v>
      </c>
      <c r="J16531">
        <v>4</v>
      </c>
    </row>
    <row r="16532" spans="1:10" x14ac:dyDescent="0.25">
      <c r="A16532" t="s">
        <v>173</v>
      </c>
      <c r="B16532" s="1" t="str">
        <f>HYPERLINK("http://autonationbuickgmchenderson.com","autonationbuickgmchenderson.com")</f>
        <v>autonationbuickgmchenderson.com</v>
      </c>
      <c r="C16532" t="s">
        <v>433</v>
      </c>
      <c r="F16532">
        <v>4.6863323194062401E-9</v>
      </c>
      <c r="G16532">
        <v>41981213</v>
      </c>
      <c r="H16532">
        <v>12124296</v>
      </c>
      <c r="I16532">
        <v>25298278</v>
      </c>
      <c r="J16532">
        <v>8</v>
      </c>
    </row>
    <row r="16533" spans="1:10" x14ac:dyDescent="0.25">
      <c r="A16533" t="s">
        <v>173</v>
      </c>
      <c r="B16533" s="1" t="str">
        <f>HYPERLINK("http://bayridgechevy.com","bayridgechevy.com")</f>
        <v>bayridgechevy.com</v>
      </c>
      <c r="C16533" t="s">
        <v>433</v>
      </c>
      <c r="F16533">
        <v>5.8820439498589402E-9</v>
      </c>
      <c r="G16533">
        <v>17482603</v>
      </c>
      <c r="H16533">
        <v>12191524</v>
      </c>
      <c r="I16533">
        <v>23546920</v>
      </c>
      <c r="J16533">
        <v>4</v>
      </c>
    </row>
    <row r="16534" spans="1:10" x14ac:dyDescent="0.25">
      <c r="A16534" t="s">
        <v>173</v>
      </c>
      <c r="B16534" s="1" t="str">
        <f>HYPERLINK("http://baysidechevy.com","baysidechevy.com")</f>
        <v>baysidechevy.com</v>
      </c>
      <c r="C16534" t="s">
        <v>433</v>
      </c>
      <c r="F16534">
        <v>5.6745365070755804E-9</v>
      </c>
      <c r="G16534">
        <v>19177898</v>
      </c>
      <c r="H16534">
        <v>10477708</v>
      </c>
      <c r="I16534">
        <v>51100363</v>
      </c>
      <c r="J16534">
        <v>4</v>
      </c>
    </row>
    <row r="16535" spans="1:10" x14ac:dyDescent="0.25">
      <c r="A16535" t="s">
        <v>173</v>
      </c>
      <c r="B16535" s="1" t="str">
        <f>HYPERLINK("http://bellinghamchevy.com","bellinghamchevy.com")</f>
        <v>bellinghamchevy.com</v>
      </c>
      <c r="C16535" t="s">
        <v>433</v>
      </c>
      <c r="F16535">
        <v>5.3566307880405303E-9</v>
      </c>
      <c r="G16535">
        <v>22713913</v>
      </c>
      <c r="H16535">
        <v>12360190</v>
      </c>
      <c r="I16535">
        <v>19581230</v>
      </c>
      <c r="J16535">
        <v>4</v>
      </c>
    </row>
    <row r="16536" spans="1:10" x14ac:dyDescent="0.25">
      <c r="A16536" t="s">
        <v>173</v>
      </c>
      <c r="B16536" s="1" t="str">
        <f>HYPERLINK("http://bigbendchevroletbuick.com","bigbendchevroletbuick.com")</f>
        <v>bigbendchevroletbuick.com</v>
      </c>
      <c r="C16536" t="s">
        <v>433</v>
      </c>
      <c r="F16536">
        <v>8.7181364702430803E-9</v>
      </c>
      <c r="G16536">
        <v>8446260</v>
      </c>
      <c r="H16536">
        <v>12140967</v>
      </c>
      <c r="I16536">
        <v>24858450</v>
      </c>
      <c r="J16536">
        <v>4</v>
      </c>
    </row>
    <row r="16537" spans="1:10" x14ac:dyDescent="0.25">
      <c r="A16537" t="s">
        <v>173</v>
      </c>
      <c r="B16537" s="1" t="str">
        <f>HYPERLINK("http://bigmchevy.com","bigmchevy.com")</f>
        <v>bigmchevy.com</v>
      </c>
      <c r="C16537" t="s">
        <v>433</v>
      </c>
      <c r="F16537">
        <v>5.8529730016820801E-9</v>
      </c>
      <c r="G16537">
        <v>17688821</v>
      </c>
      <c r="H16537">
        <v>12304020</v>
      </c>
      <c r="I16537">
        <v>20752553</v>
      </c>
      <c r="J16537">
        <v>4</v>
      </c>
    </row>
    <row r="16538" spans="1:10" x14ac:dyDescent="0.25">
      <c r="A16538" t="s">
        <v>173</v>
      </c>
      <c r="B16538" s="1" t="str">
        <f>HYPERLINK("http://billspencerchevrolet.com","billspencerchevrolet.com")</f>
        <v>billspencerchevrolet.com</v>
      </c>
      <c r="C16538" t="s">
        <v>433</v>
      </c>
      <c r="F16538">
        <v>6.6249243298977704E-9</v>
      </c>
      <c r="G16538">
        <v>13579127</v>
      </c>
      <c r="H16538">
        <v>10974797</v>
      </c>
      <c r="I16538">
        <v>34038501</v>
      </c>
      <c r="J16538">
        <v>4</v>
      </c>
    </row>
    <row r="16539" spans="1:10" x14ac:dyDescent="0.25">
      <c r="A16539" t="s">
        <v>173</v>
      </c>
      <c r="B16539" s="1" t="str">
        <f>HYPERLINK("http://blakefulenwiderchevybuickgmc.com","blakefulenwiderchevybuickgmc.com")</f>
        <v>blakefulenwiderchevybuickgmc.com</v>
      </c>
      <c r="C16539" t="s">
        <v>433</v>
      </c>
      <c r="F16539">
        <v>5.2203463828828796E-9</v>
      </c>
      <c r="G16539">
        <v>24740185</v>
      </c>
      <c r="H16539">
        <v>12196851</v>
      </c>
      <c r="I16539">
        <v>23401179</v>
      </c>
      <c r="J16539">
        <v>4</v>
      </c>
    </row>
    <row r="16540" spans="1:10" x14ac:dyDescent="0.25">
      <c r="A16540" t="s">
        <v>173</v>
      </c>
      <c r="B16540" s="1" t="str">
        <f>HYPERLINK("http://bomninchevroletmanassas.com","bomninchevroletmanassas.com")</f>
        <v>bomninchevroletmanassas.com</v>
      </c>
      <c r="C16540" t="s">
        <v>433</v>
      </c>
      <c r="F16540">
        <v>5.7267622045448397E-9</v>
      </c>
      <c r="G16540">
        <v>18691902</v>
      </c>
      <c r="H16540">
        <v>12386946</v>
      </c>
      <c r="I16540">
        <v>19096796</v>
      </c>
      <c r="J16540">
        <v>4</v>
      </c>
    </row>
    <row r="16541" spans="1:10" x14ac:dyDescent="0.25">
      <c r="A16541" t="s">
        <v>173</v>
      </c>
      <c r="B16541" s="1" t="str">
        <f>HYPERLINK("http://bomninchevroletwestkendall.com","bomninchevroletwestkendall.com")</f>
        <v>bomninchevroletwestkendall.com</v>
      </c>
      <c r="C16541" t="s">
        <v>433</v>
      </c>
      <c r="F16541">
        <v>1.05991760223187E-8</v>
      </c>
      <c r="G16541">
        <v>6184885</v>
      </c>
      <c r="H16541">
        <v>12991020</v>
      </c>
      <c r="I16541">
        <v>12850785</v>
      </c>
      <c r="J16541">
        <v>4</v>
      </c>
    </row>
    <row r="16542" spans="1:10" x14ac:dyDescent="0.25">
      <c r="A16542" t="s">
        <v>173</v>
      </c>
      <c r="B16542" s="1" t="str">
        <f>HYPERLINK("http://bouchercadillac.com","bouchercadillac.com")</f>
        <v>bouchercadillac.com</v>
      </c>
      <c r="C16542" t="s">
        <v>433</v>
      </c>
      <c r="F16542">
        <v>5.3437825738567201E-9</v>
      </c>
      <c r="G16542">
        <v>22883903</v>
      </c>
      <c r="H16542">
        <v>12342289</v>
      </c>
      <c r="I16542">
        <v>19909624</v>
      </c>
      <c r="J16542">
        <v>4</v>
      </c>
    </row>
    <row r="16543" spans="1:10" x14ac:dyDescent="0.25">
      <c r="A16543" t="s">
        <v>173</v>
      </c>
      <c r="B16543" s="1" t="str">
        <f>HYPERLINK("http://boulevardchevrolet.com","boulevardchevrolet.com")</f>
        <v>boulevardchevrolet.com</v>
      </c>
      <c r="C16543" t="s">
        <v>433</v>
      </c>
      <c r="J16543">
        <v>4</v>
      </c>
    </row>
    <row r="16544" spans="1:10" x14ac:dyDescent="0.25">
      <c r="A16544" t="s">
        <v>173</v>
      </c>
      <c r="B16544" s="1" t="str">
        <f>HYPERLINK("http://bowmanchevy.com","bowmanchevy.com")</f>
        <v>bowmanchevy.com</v>
      </c>
      <c r="C16544" t="s">
        <v>433</v>
      </c>
      <c r="F16544">
        <v>1.19826078346179E-8</v>
      </c>
      <c r="G16544">
        <v>5187369</v>
      </c>
      <c r="H16544">
        <v>12407034</v>
      </c>
      <c r="I16544">
        <v>18655876</v>
      </c>
      <c r="J16544">
        <v>4</v>
      </c>
    </row>
    <row r="16545" spans="1:10" x14ac:dyDescent="0.25">
      <c r="A16545" t="s">
        <v>173</v>
      </c>
      <c r="B16545" s="1" t="str">
        <f>HYPERLINK("http://boyernapanee.com","boyernapanee.com")</f>
        <v>boyernapanee.com</v>
      </c>
      <c r="C16545" t="s">
        <v>433</v>
      </c>
      <c r="F16545">
        <v>4.9242801093686202E-9</v>
      </c>
      <c r="G16545">
        <v>31551574</v>
      </c>
      <c r="H16545">
        <v>11940464</v>
      </c>
      <c r="I16545">
        <v>29203344</v>
      </c>
      <c r="J16545">
        <v>4</v>
      </c>
    </row>
    <row r="16546" spans="1:10" x14ac:dyDescent="0.25">
      <c r="A16546" t="s">
        <v>173</v>
      </c>
      <c r="B16546" s="1" t="str">
        <f>HYPERLINK("http://britainchevy.com","britainchevy.com")</f>
        <v>britainchevy.com</v>
      </c>
      <c r="C16546" t="s">
        <v>433</v>
      </c>
      <c r="F16546">
        <v>1.60632622360559E-8</v>
      </c>
      <c r="G16546">
        <v>3529987</v>
      </c>
      <c r="H16546">
        <v>14081748</v>
      </c>
      <c r="I16546">
        <v>2806760</v>
      </c>
      <c r="J16546">
        <v>4</v>
      </c>
    </row>
    <row r="16547" spans="1:10" x14ac:dyDescent="0.25">
      <c r="A16547" t="s">
        <v>173</v>
      </c>
      <c r="B16547" s="1" t="str">
        <f>HYPERLINK("http://brodheadgm.com","brodheadgm.com")</f>
        <v>brodheadgm.com</v>
      </c>
      <c r="C16547" t="s">
        <v>433</v>
      </c>
      <c r="F16547">
        <v>4.8573667709651502E-9</v>
      </c>
      <c r="G16547">
        <v>33897481</v>
      </c>
      <c r="H16547">
        <v>11942002</v>
      </c>
      <c r="I16547">
        <v>29186389</v>
      </c>
      <c r="J16547">
        <v>4</v>
      </c>
    </row>
    <row r="16548" spans="1:10" x14ac:dyDescent="0.25">
      <c r="A16548" t="s">
        <v>173</v>
      </c>
      <c r="B16548" s="1" t="str">
        <f>HYPERLINK("http://browndodgechryslerjeep.com","browndodgechryslerjeep.com")</f>
        <v>browndodgechryslerjeep.com</v>
      </c>
      <c r="C16548" t="s">
        <v>433</v>
      </c>
      <c r="F16548">
        <v>9.6940080574932694E-9</v>
      </c>
      <c r="G16548">
        <v>7087383</v>
      </c>
      <c r="H16548">
        <v>12362386</v>
      </c>
      <c r="I16548">
        <v>19541590</v>
      </c>
      <c r="J16548">
        <v>4</v>
      </c>
    </row>
    <row r="16549" spans="1:10" x14ac:dyDescent="0.25">
      <c r="A16549" t="s">
        <v>173</v>
      </c>
      <c r="B16549" s="1" t="str">
        <f>HYPERLINK("http://burnschevycadillac.com","burnschevycadillac.com")</f>
        <v>burnschevycadillac.com</v>
      </c>
      <c r="C16549" t="s">
        <v>433</v>
      </c>
      <c r="F16549">
        <v>2.14441504011354E-8</v>
      </c>
      <c r="G16549">
        <v>2455942</v>
      </c>
      <c r="H16549">
        <v>13341095</v>
      </c>
      <c r="I16549">
        <v>10668579</v>
      </c>
      <c r="J16549">
        <v>4</v>
      </c>
    </row>
    <row r="16550" spans="1:10" x14ac:dyDescent="0.25">
      <c r="A16550" t="s">
        <v>173</v>
      </c>
      <c r="B16550" s="1" t="str">
        <f>HYPERLINK("http://cadillac.com","cadillac.com")</f>
        <v>cadillac.com</v>
      </c>
      <c r="C16550" t="s">
        <v>433</v>
      </c>
      <c r="E16550">
        <v>22729</v>
      </c>
      <c r="F16550">
        <v>1.79809599191019E-6</v>
      </c>
      <c r="G16550">
        <v>21616</v>
      </c>
      <c r="H16550">
        <v>17458392</v>
      </c>
      <c r="I16550">
        <v>15700</v>
      </c>
      <c r="J16550">
        <v>3</v>
      </c>
    </row>
    <row r="16551" spans="1:10" x14ac:dyDescent="0.25">
      <c r="A16551" t="s">
        <v>173</v>
      </c>
      <c r="B16551" s="1" t="str">
        <f>HYPERLINK("http://cadillaceurope.com","cadillaceurope.com")</f>
        <v>cadillaceurope.com</v>
      </c>
      <c r="C16551" t="s">
        <v>433</v>
      </c>
      <c r="E16551">
        <v>711605</v>
      </c>
      <c r="F16551">
        <v>9.1414493831664198E-8</v>
      </c>
      <c r="G16551">
        <v>445864</v>
      </c>
      <c r="H16551">
        <v>14257099</v>
      </c>
      <c r="I16551">
        <v>1428824</v>
      </c>
      <c r="J16551">
        <v>3</v>
      </c>
    </row>
    <row r="16552" spans="1:10" x14ac:dyDescent="0.25">
      <c r="A16552" t="s">
        <v>173</v>
      </c>
      <c r="B16552" s="1" t="str">
        <f>HYPERLINK("http://cadillaclasvegaswest.com","cadillaclasvegaswest.com")</f>
        <v>cadillaclasvegaswest.com</v>
      </c>
      <c r="C16552" t="s">
        <v>433</v>
      </c>
      <c r="F16552">
        <v>9.2726279509161797E-9</v>
      </c>
      <c r="G16552">
        <v>7608321</v>
      </c>
      <c r="H16552">
        <v>10699419</v>
      </c>
      <c r="I16552">
        <v>42324940</v>
      </c>
      <c r="J16552">
        <v>4</v>
      </c>
    </row>
    <row r="16553" spans="1:10" x14ac:dyDescent="0.25">
      <c r="A16553" t="s">
        <v>173</v>
      </c>
      <c r="B16553" s="1" t="str">
        <f>HYPERLINK("http://cadillaclaval.com","cadillaclaval.com")</f>
        <v>cadillaclaval.com</v>
      </c>
      <c r="C16553" t="s">
        <v>433</v>
      </c>
      <c r="F16553">
        <v>5.0237038550363999E-9</v>
      </c>
      <c r="G16553">
        <v>28813995</v>
      </c>
      <c r="H16553">
        <v>12143012</v>
      </c>
      <c r="I16553">
        <v>24803869</v>
      </c>
      <c r="J16553">
        <v>4</v>
      </c>
    </row>
    <row r="16554" spans="1:10" x14ac:dyDescent="0.25">
      <c r="A16554" t="s">
        <v>173</v>
      </c>
      <c r="B16554" s="1" t="str">
        <f>HYPERLINK("http://cadillacofsouthcharlotte.com","cadillacofsouthcharlotte.com")</f>
        <v>cadillacofsouthcharlotte.com</v>
      </c>
      <c r="C16554" t="s">
        <v>433</v>
      </c>
      <c r="F16554">
        <v>1.39266854851682E-8</v>
      </c>
      <c r="G16554">
        <v>4230783</v>
      </c>
      <c r="H16554">
        <v>12196778</v>
      </c>
      <c r="I16554">
        <v>23402734</v>
      </c>
      <c r="J16554">
        <v>4</v>
      </c>
    </row>
    <row r="16555" spans="1:10" x14ac:dyDescent="0.25">
      <c r="A16555" t="s">
        <v>173</v>
      </c>
      <c r="B16555" s="1" t="str">
        <f>HYPERLINK("http://capitolchevysj.com","capitolchevysj.com")</f>
        <v>capitolchevysj.com</v>
      </c>
      <c r="C16555" t="s">
        <v>433</v>
      </c>
      <c r="F16555">
        <v>8.0465745255527896E-9</v>
      </c>
      <c r="G16555">
        <v>9836370</v>
      </c>
      <c r="H16555">
        <v>13774499</v>
      </c>
      <c r="I16555">
        <v>6604048</v>
      </c>
      <c r="J16555">
        <v>4</v>
      </c>
    </row>
    <row r="16556" spans="1:10" x14ac:dyDescent="0.25">
      <c r="A16556" t="s">
        <v>173</v>
      </c>
      <c r="B16556" s="1" t="str">
        <f>HYPERLINK("http://cappellinocadillac.com","cappellinocadillac.com")</f>
        <v>cappellinocadillac.com</v>
      </c>
      <c r="C16556" t="s">
        <v>433</v>
      </c>
      <c r="F16556">
        <v>5.8694704475004204E-9</v>
      </c>
      <c r="G16556">
        <v>17571716</v>
      </c>
      <c r="H16556">
        <v>11878585</v>
      </c>
      <c r="I16556">
        <v>29594827</v>
      </c>
      <c r="J16556">
        <v>4</v>
      </c>
    </row>
    <row r="16557" spans="1:10" x14ac:dyDescent="0.25">
      <c r="A16557" t="s">
        <v>173</v>
      </c>
      <c r="B16557" s="1" t="str">
        <f>HYPERLINK("http://cargillchev.com","cargillchev.com")</f>
        <v>cargillchev.com</v>
      </c>
      <c r="C16557" t="s">
        <v>433</v>
      </c>
      <c r="F16557">
        <v>1.01098609001099E-8</v>
      </c>
      <c r="G16557">
        <v>6637734</v>
      </c>
      <c r="H16557">
        <v>12526479</v>
      </c>
      <c r="I16557">
        <v>17083908</v>
      </c>
      <c r="J16557">
        <v>4</v>
      </c>
    </row>
    <row r="16558" spans="1:10" x14ac:dyDescent="0.25">
      <c r="A16558" t="s">
        <v>173</v>
      </c>
      <c r="B16558" s="1" t="str">
        <f>HYPERLINK("http://carlenchevrolet.com","carlenchevrolet.com")</f>
        <v>carlenchevrolet.com</v>
      </c>
      <c r="C16558" t="s">
        <v>433</v>
      </c>
      <c r="F16558">
        <v>4.6750582722538601E-9</v>
      </c>
      <c r="G16558">
        <v>42645811</v>
      </c>
      <c r="H16558">
        <v>11885047</v>
      </c>
      <c r="I16558">
        <v>29574287</v>
      </c>
      <c r="J16558">
        <v>4</v>
      </c>
    </row>
    <row r="16559" spans="1:10" x14ac:dyDescent="0.25">
      <c r="A16559" t="s">
        <v>173</v>
      </c>
      <c r="B16559" s="1" t="str">
        <f>HYPERLINK("http://champion-chev.com","champion-chev.com")</f>
        <v>champion-chev.com</v>
      </c>
      <c r="C16559" t="s">
        <v>433</v>
      </c>
      <c r="F16559">
        <v>9.67082963697829E-9</v>
      </c>
      <c r="G16559">
        <v>7115053</v>
      </c>
      <c r="H16559">
        <v>12617989</v>
      </c>
      <c r="I16559">
        <v>16106674</v>
      </c>
      <c r="J16559">
        <v>4</v>
      </c>
    </row>
    <row r="16560" spans="1:10" x14ac:dyDescent="0.25">
      <c r="A16560" t="s">
        <v>173</v>
      </c>
      <c r="B16560" s="1" t="str">
        <f>HYPERLINK("http://cheapchevrolet.com","cheapchevrolet.com")</f>
        <v>cheapchevrolet.com</v>
      </c>
      <c r="C16560" t="s">
        <v>433</v>
      </c>
      <c r="F16560">
        <v>6.3213739208735604E-9</v>
      </c>
      <c r="G16560">
        <v>14930785</v>
      </c>
      <c r="H16560">
        <v>12460723</v>
      </c>
      <c r="I16560">
        <v>17868195</v>
      </c>
      <c r="J16560">
        <v>4</v>
      </c>
    </row>
    <row r="16561" spans="1:10" x14ac:dyDescent="0.25">
      <c r="A16561" t="s">
        <v>173</v>
      </c>
      <c r="B16561" s="1" t="str">
        <f>HYPERLINK("http://checkvachonchevy.com","checkvachonchevy.com")</f>
        <v>checkvachonchevy.com</v>
      </c>
      <c r="C16561" t="s">
        <v>433</v>
      </c>
      <c r="F16561">
        <v>5.4333322166907501E-9</v>
      </c>
      <c r="G16561">
        <v>21699315</v>
      </c>
      <c r="H16561">
        <v>12308398</v>
      </c>
      <c r="I16561">
        <v>20670138</v>
      </c>
      <c r="J16561">
        <v>4</v>
      </c>
    </row>
    <row r="16562" spans="1:10" x14ac:dyDescent="0.25">
      <c r="A16562" t="s">
        <v>173</v>
      </c>
      <c r="B16562" s="1" t="str">
        <f>HYPERLINK("http://checkvachongmc.com","checkvachongmc.com")</f>
        <v>checkvachongmc.com</v>
      </c>
      <c r="C16562" t="s">
        <v>433</v>
      </c>
      <c r="F16562">
        <v>5.5245326188935502E-9</v>
      </c>
      <c r="G16562">
        <v>20639599</v>
      </c>
      <c r="H16562">
        <v>12308439</v>
      </c>
      <c r="I16562">
        <v>20668938</v>
      </c>
      <c r="J16562">
        <v>4</v>
      </c>
    </row>
    <row r="16563" spans="1:10" x14ac:dyDescent="0.25">
      <c r="A16563" t="s">
        <v>173</v>
      </c>
      <c r="B16563" s="1" t="str">
        <f>HYPERLINK("http://chevrolet.com","chevrolet.com")</f>
        <v>chevrolet.com</v>
      </c>
      <c r="C16563" t="s">
        <v>433</v>
      </c>
      <c r="E16563">
        <v>7709</v>
      </c>
      <c r="F16563">
        <v>4.8332119647243499E-6</v>
      </c>
      <c r="G16563">
        <v>7243</v>
      </c>
      <c r="H16563">
        <v>17981146</v>
      </c>
      <c r="I16563">
        <v>3807</v>
      </c>
      <c r="J16563">
        <v>3</v>
      </c>
    </row>
    <row r="16564" spans="1:10" x14ac:dyDescent="0.25">
      <c r="A16564" t="s">
        <v>173</v>
      </c>
      <c r="B16564" s="1" t="str">
        <f>HYPERLINK("http://chevroletofbucyrus.com","chevroletofbucyrus.com")</f>
        <v>chevroletofbucyrus.com</v>
      </c>
      <c r="C16564" t="s">
        <v>433</v>
      </c>
      <c r="F16564">
        <v>4.7330455261361898E-9</v>
      </c>
      <c r="G16564">
        <v>39193343</v>
      </c>
      <c r="H16564">
        <v>12402593</v>
      </c>
      <c r="I16564">
        <v>18739912</v>
      </c>
      <c r="J16564">
        <v>4</v>
      </c>
    </row>
    <row r="16565" spans="1:10" x14ac:dyDescent="0.25">
      <c r="A16565" t="s">
        <v>173</v>
      </c>
      <c r="B16565" s="1" t="str">
        <f>HYPERLINK("http://chevroletofnaperville.com","chevroletofnaperville.com")</f>
        <v>chevroletofnaperville.com</v>
      </c>
      <c r="C16565" t="s">
        <v>433</v>
      </c>
      <c r="F16565">
        <v>1.18178637667609E-8</v>
      </c>
      <c r="G16565">
        <v>5290966</v>
      </c>
      <c r="H16565">
        <v>14126593</v>
      </c>
      <c r="I16565">
        <v>2097501</v>
      </c>
      <c r="J16565">
        <v>4</v>
      </c>
    </row>
    <row r="16566" spans="1:10" x14ac:dyDescent="0.25">
      <c r="A16566" t="s">
        <v>173</v>
      </c>
      <c r="B16566" s="1" t="str">
        <f>HYPERLINK("http://chevyman.com","chevyman.com")</f>
        <v>chevyman.com</v>
      </c>
      <c r="C16566" t="s">
        <v>433</v>
      </c>
      <c r="F16566">
        <v>2.1763460170110701E-8</v>
      </c>
      <c r="G16566">
        <v>2415688</v>
      </c>
      <c r="H16566">
        <v>13002816</v>
      </c>
      <c r="I16566">
        <v>12783113</v>
      </c>
      <c r="J16566">
        <v>4</v>
      </c>
    </row>
    <row r="16567" spans="1:10" x14ac:dyDescent="0.25">
      <c r="A16567" t="s">
        <v>173</v>
      </c>
      <c r="B16567" s="1" t="str">
        <f>HYPERLINK("http://chevyofmyrtlebeach.com","chevyofmyrtlebeach.com")</f>
        <v>chevyofmyrtlebeach.com</v>
      </c>
      <c r="C16567" t="s">
        <v>433</v>
      </c>
      <c r="J16567">
        <v>4</v>
      </c>
    </row>
    <row r="16568" spans="1:10" x14ac:dyDescent="0.25">
      <c r="A16568" t="s">
        <v>173</v>
      </c>
      <c r="B16568" s="1" t="str">
        <f>HYPERLINK("http://cioccacadillacofatlanticcity.com","cioccacadillacofatlanticcity.com")</f>
        <v>cioccacadillacofatlanticcity.com</v>
      </c>
      <c r="C16568" t="s">
        <v>433</v>
      </c>
      <c r="F16568">
        <v>5.7065813409021804E-9</v>
      </c>
      <c r="G16568">
        <v>18869505</v>
      </c>
      <c r="H16568">
        <v>12419398</v>
      </c>
      <c r="I16568">
        <v>18468278</v>
      </c>
      <c r="J16568">
        <v>4</v>
      </c>
    </row>
    <row r="16569" spans="1:10" x14ac:dyDescent="0.25">
      <c r="A16569" t="s">
        <v>173</v>
      </c>
      <c r="B16569" s="1" t="str">
        <f>HYPERLINK("http://colonialcadillacwoburn.com","colonialcadillacwoburn.com")</f>
        <v>colonialcadillacwoburn.com</v>
      </c>
      <c r="C16569" t="s">
        <v>433</v>
      </c>
      <c r="F16569">
        <v>4.92545821406873E-9</v>
      </c>
      <c r="G16569">
        <v>31516203</v>
      </c>
      <c r="H16569">
        <v>12230430</v>
      </c>
      <c r="I16569">
        <v>22493156</v>
      </c>
      <c r="J16569">
        <v>4</v>
      </c>
    </row>
    <row r="16570" spans="1:10" x14ac:dyDescent="0.25">
      <c r="A16570" t="s">
        <v>173</v>
      </c>
      <c r="B16570" s="1" t="str">
        <f>HYPERLINK("http://columbiachev.com","columbiachev.com")</f>
        <v>columbiachev.com</v>
      </c>
      <c r="C16570" t="s">
        <v>433</v>
      </c>
      <c r="F16570">
        <v>5.4391723398948798E-9</v>
      </c>
      <c r="G16570">
        <v>21627727</v>
      </c>
      <c r="H16570">
        <v>12409952</v>
      </c>
      <c r="I16570">
        <v>18609235</v>
      </c>
      <c r="J16570">
        <v>4</v>
      </c>
    </row>
    <row r="16571" spans="1:10" x14ac:dyDescent="0.25">
      <c r="A16571" t="s">
        <v>173</v>
      </c>
      <c r="B16571" s="1" t="str">
        <f>HYPERLINK("http://concordchevrolet.com","concordchevrolet.com")</f>
        <v>concordchevrolet.com</v>
      </c>
      <c r="C16571" t="s">
        <v>433</v>
      </c>
      <c r="F16571">
        <v>9.3482921652768795E-9</v>
      </c>
      <c r="G16571">
        <v>7510136</v>
      </c>
      <c r="H16571">
        <v>12370524</v>
      </c>
      <c r="I16571">
        <v>19405957</v>
      </c>
      <c r="J16571">
        <v>4</v>
      </c>
    </row>
    <row r="16572" spans="1:10" x14ac:dyDescent="0.25">
      <c r="A16572" t="s">
        <v>173</v>
      </c>
      <c r="B16572" s="1" t="str">
        <f>HYPERLINK("http://covertbeecavecadillac.com","covertbeecavecadillac.com")</f>
        <v>covertbeecavecadillac.com</v>
      </c>
      <c r="C16572" t="s">
        <v>433</v>
      </c>
      <c r="F16572">
        <v>5.0870998533410601E-9</v>
      </c>
      <c r="G16572">
        <v>27355337</v>
      </c>
      <c r="H16572">
        <v>12360185</v>
      </c>
      <c r="I16572">
        <v>19581346</v>
      </c>
      <c r="J16572">
        <v>4</v>
      </c>
    </row>
    <row r="16573" spans="1:10" x14ac:dyDescent="0.25">
      <c r="A16573" t="s">
        <v>173</v>
      </c>
      <c r="B16573" s="1" t="str">
        <f>HYPERLINK("http://covertbuickgmcbeecave.com","covertbuickgmcbeecave.com")</f>
        <v>covertbuickgmcbeecave.com</v>
      </c>
      <c r="C16573" t="s">
        <v>433</v>
      </c>
      <c r="J16573">
        <v>8</v>
      </c>
    </row>
    <row r="16574" spans="1:10" x14ac:dyDescent="0.25">
      <c r="A16574" t="s">
        <v>173</v>
      </c>
      <c r="B16574" s="1" t="str">
        <f>HYPERLINK("http://craigsmithchevroletbuick.com","craigsmithchevroletbuick.com")</f>
        <v>craigsmithchevroletbuick.com</v>
      </c>
      <c r="C16574" t="s">
        <v>433</v>
      </c>
      <c r="F16574">
        <v>5.6006166844921902E-9</v>
      </c>
      <c r="G16574">
        <v>19851533</v>
      </c>
      <c r="H16574">
        <v>12413783</v>
      </c>
      <c r="I16574">
        <v>18554391</v>
      </c>
      <c r="J16574">
        <v>4</v>
      </c>
    </row>
    <row r="16575" spans="1:10" x14ac:dyDescent="0.25">
      <c r="A16575" t="s">
        <v>173</v>
      </c>
      <c r="B16575" s="1" t="str">
        <f>HYPERLINK("http://crewschevrolet.com","crewschevrolet.com")</f>
        <v>crewschevrolet.com</v>
      </c>
      <c r="C16575" t="s">
        <v>433</v>
      </c>
      <c r="F16575">
        <v>1.5392301161609998E-8</v>
      </c>
      <c r="G16575">
        <v>3717949</v>
      </c>
      <c r="H16575">
        <v>13241886</v>
      </c>
      <c r="I16575">
        <v>11207995</v>
      </c>
      <c r="J16575">
        <v>4</v>
      </c>
    </row>
    <row r="16576" spans="1:10" x14ac:dyDescent="0.25">
      <c r="A16576" t="s">
        <v>173</v>
      </c>
      <c r="B16576" s="1" t="str">
        <f>HYPERLINK("http://croftchevrolet.com","croftchevrolet.com")</f>
        <v>croftchevrolet.com</v>
      </c>
      <c r="C16576" t="s">
        <v>433</v>
      </c>
      <c r="F16576">
        <v>4.7059262025238998E-9</v>
      </c>
      <c r="G16576">
        <v>40936248</v>
      </c>
      <c r="H16576">
        <v>12018707</v>
      </c>
      <c r="I16576">
        <v>27890653</v>
      </c>
      <c r="J16576">
        <v>4</v>
      </c>
    </row>
    <row r="16577" spans="1:10" x14ac:dyDescent="0.25">
      <c r="A16577" t="s">
        <v>173</v>
      </c>
      <c r="B16577" s="1" t="str">
        <f>HYPERLINK("http://curtisgarberchevrolet.com","curtisgarberchevrolet.com")</f>
        <v>curtisgarberchevrolet.com</v>
      </c>
      <c r="C16577" t="s">
        <v>433</v>
      </c>
      <c r="F16577">
        <v>4.9898859536979601E-9</v>
      </c>
      <c r="G16577">
        <v>29673631</v>
      </c>
      <c r="H16577">
        <v>10616371</v>
      </c>
      <c r="I16577">
        <v>44392700</v>
      </c>
      <c r="J16577">
        <v>7</v>
      </c>
    </row>
    <row r="16578" spans="1:10" x14ac:dyDescent="0.25">
      <c r="A16578" t="s">
        <v>173</v>
      </c>
      <c r="B16578" s="1" t="str">
        <f>HYPERLINK("http://daleearnhardtjrchevy.com","daleearnhardtjrchevy.com")</f>
        <v>daleearnhardtjrchevy.com</v>
      </c>
      <c r="C16578" t="s">
        <v>433</v>
      </c>
      <c r="F16578">
        <v>9.2823971439038493E-9</v>
      </c>
      <c r="G16578">
        <v>7595504</v>
      </c>
      <c r="H16578">
        <v>12923513</v>
      </c>
      <c r="I16578">
        <v>13406102</v>
      </c>
      <c r="J16578">
        <v>4</v>
      </c>
    </row>
    <row r="16579" spans="1:10" x14ac:dyDescent="0.25">
      <c r="A16579" t="s">
        <v>173</v>
      </c>
      <c r="B16579" s="1" t="str">
        <f>HYPERLINK("http://dallascadillac.com","dallascadillac.com")</f>
        <v>dallascadillac.com</v>
      </c>
      <c r="C16579" t="s">
        <v>433</v>
      </c>
      <c r="F16579">
        <v>4.4815429643788003E-9</v>
      </c>
      <c r="G16579">
        <v>62040073</v>
      </c>
      <c r="H16579">
        <v>10486460</v>
      </c>
      <c r="I16579">
        <v>50805370</v>
      </c>
      <c r="J16579">
        <v>4</v>
      </c>
    </row>
    <row r="16580" spans="1:10" x14ac:dyDescent="0.25">
      <c r="A16580" t="s">
        <v>173</v>
      </c>
      <c r="B16580" s="1" t="str">
        <f>HYPERLINK("http://diamondchevroletofsanbernardino.com","diamondchevroletofsanbernardino.com")</f>
        <v>diamondchevroletofsanbernardino.com</v>
      </c>
      <c r="C16580" t="s">
        <v>433</v>
      </c>
      <c r="F16580">
        <v>5.9340540102880202E-9</v>
      </c>
      <c r="G16580">
        <v>17125312</v>
      </c>
      <c r="H16580">
        <v>12361116</v>
      </c>
      <c r="I16580">
        <v>19563949</v>
      </c>
      <c r="J16580">
        <v>4</v>
      </c>
    </row>
    <row r="16581" spans="1:10" x14ac:dyDescent="0.25">
      <c r="A16581" t="s">
        <v>173</v>
      </c>
      <c r="B16581" s="1" t="str">
        <f>HYPERLINK("http://donhewlett.com","donhewlett.com")</f>
        <v>donhewlett.com</v>
      </c>
      <c r="C16581" t="s">
        <v>433</v>
      </c>
      <c r="F16581">
        <v>8.6844832113455799E-9</v>
      </c>
      <c r="G16581">
        <v>8504303</v>
      </c>
      <c r="H16581">
        <v>12935175</v>
      </c>
      <c r="I16581">
        <v>13343107</v>
      </c>
      <c r="J16581">
        <v>4</v>
      </c>
    </row>
    <row r="16582" spans="1:10" x14ac:dyDescent="0.25">
      <c r="A16582" t="s">
        <v>173</v>
      </c>
      <c r="B16582" s="1" t="str">
        <f>HYPERLINK("http://donwood.com","donwood.com")</f>
        <v>donwood.com</v>
      </c>
      <c r="C16582" t="s">
        <v>433</v>
      </c>
      <c r="F16582">
        <v>6.2188105418887498E-9</v>
      </c>
      <c r="G16582">
        <v>15436619</v>
      </c>
      <c r="H16582">
        <v>12402650</v>
      </c>
      <c r="I16582">
        <v>18738200</v>
      </c>
      <c r="J16582">
        <v>4</v>
      </c>
    </row>
    <row r="16583" spans="1:10" x14ac:dyDescent="0.25">
      <c r="A16583" t="s">
        <v>173</v>
      </c>
      <c r="B16583" s="1" t="str">
        <f>HYPERLINK("http://draperchevrolet.com","draperchevrolet.com")</f>
        <v>draperchevrolet.com</v>
      </c>
      <c r="C16583" t="s">
        <v>433</v>
      </c>
      <c r="J16583">
        <v>4</v>
      </c>
    </row>
    <row r="16584" spans="1:10" x14ac:dyDescent="0.25">
      <c r="A16584" t="s">
        <v>173</v>
      </c>
      <c r="B16584" s="1" t="str">
        <f>HYPERLINK("http://drivefarrowmotors.com","drivefarrowmotors.com")</f>
        <v>drivefarrowmotors.com</v>
      </c>
      <c r="C16584" t="s">
        <v>433</v>
      </c>
      <c r="J16584">
        <v>4</v>
      </c>
    </row>
    <row r="16585" spans="1:10" x14ac:dyDescent="0.25">
      <c r="A16585" t="s">
        <v>173</v>
      </c>
      <c r="B16585" s="1" t="str">
        <f>HYPERLINK("http://drivestateline.com","drivestateline.com")</f>
        <v>drivestateline.com</v>
      </c>
      <c r="C16585" t="s">
        <v>433</v>
      </c>
      <c r="F16585">
        <v>4.46864418636418E-9</v>
      </c>
      <c r="G16585">
        <v>64909811</v>
      </c>
      <c r="H16585">
        <v>12292692</v>
      </c>
      <c r="I16585">
        <v>21036519</v>
      </c>
      <c r="J16585">
        <v>4</v>
      </c>
    </row>
    <row r="16586" spans="1:10" x14ac:dyDescent="0.25">
      <c r="A16586" t="s">
        <v>173</v>
      </c>
      <c r="B16586" s="1" t="str">
        <f>HYPERLINK("http://dyerchevyftpierce.com","dyerchevyftpierce.com")</f>
        <v>dyerchevyftpierce.com</v>
      </c>
      <c r="C16586" t="s">
        <v>433</v>
      </c>
      <c r="F16586">
        <v>8.1106700832663708E-9</v>
      </c>
      <c r="G16586">
        <v>9723292</v>
      </c>
      <c r="H16586">
        <v>12907216</v>
      </c>
      <c r="I16586">
        <v>13813470</v>
      </c>
      <c r="J16586">
        <v>4</v>
      </c>
    </row>
    <row r="16587" spans="1:10" x14ac:dyDescent="0.25">
      <c r="A16587" t="s">
        <v>173</v>
      </c>
      <c r="B16587" s="1" t="str">
        <f>HYPERLINK("http://elkinschevrolet.com","elkinschevrolet.com")</f>
        <v>elkinschevrolet.com</v>
      </c>
      <c r="C16587" t="s">
        <v>433</v>
      </c>
      <c r="F16587">
        <v>1.04994140188224E-8</v>
      </c>
      <c r="G16587">
        <v>6270047</v>
      </c>
      <c r="H16587">
        <v>12757597</v>
      </c>
      <c r="I16587">
        <v>14975561</v>
      </c>
      <c r="J16587">
        <v>4</v>
      </c>
    </row>
    <row r="16588" spans="1:10" x14ac:dyDescent="0.25">
      <c r="A16588" t="s">
        <v>173</v>
      </c>
      <c r="B16588" s="1" t="str">
        <f>HYPERLINK("http://faireychevrolet.com","faireychevrolet.com")</f>
        <v>faireychevrolet.com</v>
      </c>
      <c r="C16588" t="s">
        <v>433</v>
      </c>
      <c r="F16588">
        <v>5.3885720722889503E-9</v>
      </c>
      <c r="G16588">
        <v>22269795</v>
      </c>
      <c r="H16588">
        <v>12360170</v>
      </c>
      <c r="I16588">
        <v>19581739</v>
      </c>
      <c r="J16588">
        <v>4</v>
      </c>
    </row>
    <row r="16589" spans="1:10" x14ac:dyDescent="0.25">
      <c r="A16589" t="s">
        <v>173</v>
      </c>
      <c r="B16589" s="1" t="str">
        <f>HYPERLINK("http://feldmanchevyofnovi.com","feldmanchevyofnovi.com")</f>
        <v>feldmanchevyofnovi.com</v>
      </c>
      <c r="C16589" t="s">
        <v>433</v>
      </c>
      <c r="F16589">
        <v>1.71469710769738E-8</v>
      </c>
      <c r="G16589">
        <v>3250486</v>
      </c>
      <c r="H16589">
        <v>12623534</v>
      </c>
      <c r="I16589">
        <v>16052251</v>
      </c>
      <c r="J16589">
        <v>4</v>
      </c>
    </row>
    <row r="16590" spans="1:10" x14ac:dyDescent="0.25">
      <c r="A16590" t="s">
        <v>173</v>
      </c>
      <c r="B16590" s="1" t="str">
        <f>HYPERLINK("http://findlaycadillac.com","findlaycadillac.com")</f>
        <v>findlaycadillac.com</v>
      </c>
      <c r="C16590" t="s">
        <v>433</v>
      </c>
      <c r="F16590">
        <v>7.2254807243531199E-9</v>
      </c>
      <c r="G16590">
        <v>11669219</v>
      </c>
      <c r="H16590">
        <v>12628044</v>
      </c>
      <c r="I16590">
        <v>16005653</v>
      </c>
      <c r="J16590">
        <v>4</v>
      </c>
    </row>
    <row r="16591" spans="1:10" x14ac:dyDescent="0.25">
      <c r="A16591" t="s">
        <v>173</v>
      </c>
      <c r="B16591" s="1" t="str">
        <f>HYPERLINK("http://fivestardealerships.com","fivestardealerships.com")</f>
        <v>fivestardealerships.com</v>
      </c>
      <c r="C16591" t="s">
        <v>433</v>
      </c>
      <c r="F16591">
        <v>6.0333006855946803E-9</v>
      </c>
      <c r="G16591">
        <v>16480761</v>
      </c>
      <c r="H16591">
        <v>12361082</v>
      </c>
      <c r="I16591">
        <v>19564375</v>
      </c>
      <c r="J16591">
        <v>4</v>
      </c>
    </row>
    <row r="16592" spans="1:10" x14ac:dyDescent="0.25">
      <c r="A16592" t="s">
        <v>173</v>
      </c>
      <c r="B16592" s="1" t="str">
        <f>HYPERLINK("http://forbesgm.com","forbesgm.com")</f>
        <v>forbesgm.com</v>
      </c>
      <c r="C16592" t="s">
        <v>433</v>
      </c>
      <c r="F16592">
        <v>5.4805869524575704E-9</v>
      </c>
      <c r="G16592">
        <v>21120898</v>
      </c>
      <c r="H16592">
        <v>10197402</v>
      </c>
      <c r="I16592">
        <v>59050002</v>
      </c>
      <c r="J16592">
        <v>4</v>
      </c>
    </row>
    <row r="16593" spans="1:10" x14ac:dyDescent="0.25">
      <c r="A16593" t="s">
        <v>173</v>
      </c>
      <c r="B16593" s="1" t="str">
        <f>HYPERLINK("http://fortfrancesgm.com","fortfrancesgm.com")</f>
        <v>fortfrancesgm.com</v>
      </c>
      <c r="C16593" t="s">
        <v>433</v>
      </c>
      <c r="F16593">
        <v>5.3943485822102497E-9</v>
      </c>
      <c r="G16593">
        <v>22187680</v>
      </c>
      <c r="H16593">
        <v>11871414</v>
      </c>
      <c r="I16593">
        <v>29660887</v>
      </c>
      <c r="J16593">
        <v>4</v>
      </c>
    </row>
    <row r="16594" spans="1:10" x14ac:dyDescent="0.25">
      <c r="A16594" t="s">
        <v>173</v>
      </c>
      <c r="B16594" s="1" t="str">
        <f>HYPERLINK("http://frederickchevroletpa.com","frederickchevroletpa.com")</f>
        <v>frederickchevroletpa.com</v>
      </c>
      <c r="C16594" t="s">
        <v>433</v>
      </c>
      <c r="J16594">
        <v>4</v>
      </c>
    </row>
    <row r="16595" spans="1:10" x14ac:dyDescent="0.25">
      <c r="A16595" t="s">
        <v>173</v>
      </c>
      <c r="B16595" s="1" t="str">
        <f>HYPERLINK("http://galleschevy.com","galleschevy.com")</f>
        <v>galleschevy.com</v>
      </c>
      <c r="C16595" t="s">
        <v>433</v>
      </c>
      <c r="F16595">
        <v>1.22223259452491E-8</v>
      </c>
      <c r="G16595">
        <v>5037760</v>
      </c>
      <c r="H16595">
        <v>13998323</v>
      </c>
      <c r="I16595">
        <v>4016648</v>
      </c>
      <c r="J16595">
        <v>4</v>
      </c>
    </row>
    <row r="16596" spans="1:10" x14ac:dyDescent="0.25">
      <c r="A16596" t="s">
        <v>173</v>
      </c>
      <c r="B16596" s="1" t="str">
        <f>HYPERLINK("http://genthe.com","genthe.com")</f>
        <v>genthe.com</v>
      </c>
      <c r="C16596" t="s">
        <v>433</v>
      </c>
      <c r="F16596">
        <v>8.7958408650488203E-9</v>
      </c>
      <c r="G16596">
        <v>8317548</v>
      </c>
      <c r="H16596">
        <v>13238071</v>
      </c>
      <c r="I16596">
        <v>11233134</v>
      </c>
      <c r="J16596">
        <v>4</v>
      </c>
    </row>
    <row r="16597" spans="1:10" x14ac:dyDescent="0.25">
      <c r="A16597" t="s">
        <v>173</v>
      </c>
      <c r="B16597" s="1" t="str">
        <f>HYPERLINK("http://georgianchevrolet.com","georgianchevrolet.com")</f>
        <v>georgianchevrolet.com</v>
      </c>
      <c r="C16597" t="s">
        <v>433</v>
      </c>
      <c r="F16597">
        <v>7.2925196020530303E-9</v>
      </c>
      <c r="G16597">
        <v>11498955</v>
      </c>
      <c r="H16597">
        <v>12255275</v>
      </c>
      <c r="I16597">
        <v>21885170</v>
      </c>
      <c r="J16597">
        <v>4</v>
      </c>
    </row>
    <row r="16598" spans="1:10" x14ac:dyDescent="0.25">
      <c r="A16598" t="s">
        <v>173</v>
      </c>
      <c r="B16598" s="1" t="str">
        <f>HYPERLINK("http://getcruise.com","getcruise.com")</f>
        <v>getcruise.com</v>
      </c>
      <c r="C16598" t="s">
        <v>433</v>
      </c>
      <c r="E16598">
        <v>114220</v>
      </c>
      <c r="F16598">
        <v>6.6230557068593996E-7</v>
      </c>
      <c r="G16598">
        <v>58138</v>
      </c>
      <c r="H16598">
        <v>17259302</v>
      </c>
      <c r="I16598">
        <v>32745</v>
      </c>
      <c r="J16598">
        <v>3</v>
      </c>
    </row>
    <row r="16599" spans="1:10" x14ac:dyDescent="0.25">
      <c r="A16599" t="s">
        <v>173</v>
      </c>
      <c r="B16599" s="1" t="str">
        <f>HYPERLINK("http://ginnchevy.com","ginnchevy.com")</f>
        <v>ginnchevy.com</v>
      </c>
      <c r="C16599" t="s">
        <v>433</v>
      </c>
      <c r="F16599">
        <v>7.6075249590301398E-9</v>
      </c>
      <c r="G16599">
        <v>10778873</v>
      </c>
      <c r="H16599">
        <v>12487174</v>
      </c>
      <c r="I16599">
        <v>17521625</v>
      </c>
      <c r="J16599">
        <v>4</v>
      </c>
    </row>
    <row r="16600" spans="1:10" x14ac:dyDescent="0.25">
      <c r="A16600" t="s">
        <v>173</v>
      </c>
      <c r="B16600" s="1" t="str">
        <f>HYPERLINK("http://gm.com","gm.com")</f>
        <v>gm.com</v>
      </c>
      <c r="C16600" t="s">
        <v>433</v>
      </c>
      <c r="E16600">
        <v>4247</v>
      </c>
      <c r="F16600">
        <v>6.5124573003430903E-6</v>
      </c>
      <c r="G16600">
        <v>5224</v>
      </c>
      <c r="H16600">
        <v>17825640</v>
      </c>
      <c r="I16600">
        <v>5266</v>
      </c>
      <c r="J16600">
        <v>1</v>
      </c>
    </row>
    <row r="16601" spans="1:10" x14ac:dyDescent="0.25">
      <c r="A16601" t="s">
        <v>173</v>
      </c>
      <c r="B16601" s="1" t="str">
        <f>HYPERLINK("http://gmc.com","gmc.com")</f>
        <v>gmc.com</v>
      </c>
      <c r="C16601" t="s">
        <v>433</v>
      </c>
      <c r="E16601">
        <v>18810</v>
      </c>
      <c r="F16601">
        <v>1.47818291058085E-6</v>
      </c>
      <c r="G16601">
        <v>26536</v>
      </c>
      <c r="H16601">
        <v>17444540</v>
      </c>
      <c r="I16601">
        <v>16448</v>
      </c>
      <c r="J16601">
        <v>3</v>
      </c>
    </row>
    <row r="16602" spans="1:10" x14ac:dyDescent="0.25">
      <c r="A16602" t="s">
        <v>173</v>
      </c>
      <c r="B16602" s="1" t="str">
        <f>HYPERLINK("http://gmdefensellc.com","gmdefensellc.com")</f>
        <v>gmdefensellc.com</v>
      </c>
      <c r="C16602" t="s">
        <v>433</v>
      </c>
      <c r="F16602">
        <v>8.3247057251714699E-8</v>
      </c>
      <c r="G16602">
        <v>499643</v>
      </c>
      <c r="H16602">
        <v>13934771</v>
      </c>
      <c r="I16602">
        <v>4575827</v>
      </c>
      <c r="J16602">
        <v>3</v>
      </c>
    </row>
    <row r="16603" spans="1:10" x14ac:dyDescent="0.25">
      <c r="A16603" t="s">
        <v>173</v>
      </c>
      <c r="B16603" s="1" t="str">
        <f>HYPERLINK("http://gmegypt.com","gmegypt.com")</f>
        <v>gmegypt.com</v>
      </c>
      <c r="C16603" t="s">
        <v>433</v>
      </c>
      <c r="F16603">
        <v>5.8611304345558503E-9</v>
      </c>
      <c r="G16603">
        <v>17630170</v>
      </c>
      <c r="H16603">
        <v>14071793</v>
      </c>
      <c r="I16603">
        <v>3360690</v>
      </c>
      <c r="J16603">
        <v>3</v>
      </c>
    </row>
    <row r="16604" spans="1:10" x14ac:dyDescent="0.25">
      <c r="A16604" t="s">
        <v>173</v>
      </c>
      <c r="B16604" s="1" t="str">
        <f>HYPERLINK("http://gmfinancial.com","gmfinancial.com")</f>
        <v>gmfinancial.com</v>
      </c>
      <c r="C16604" t="s">
        <v>433</v>
      </c>
      <c r="E16604">
        <v>29850</v>
      </c>
      <c r="F16604">
        <v>4.6510321314326198E-7</v>
      </c>
      <c r="G16604">
        <v>81435</v>
      </c>
      <c r="H16604">
        <v>14343075</v>
      </c>
      <c r="I16604">
        <v>1314191</v>
      </c>
      <c r="J16604">
        <v>3</v>
      </c>
    </row>
    <row r="16605" spans="1:10" x14ac:dyDescent="0.25">
      <c r="A16605" t="s">
        <v>173</v>
      </c>
      <c r="B16605" s="1" t="str">
        <f>HYPERLINK("http://gmfleet.com","gmfleet.com")</f>
        <v>gmfleet.com</v>
      </c>
      <c r="C16605" t="s">
        <v>433</v>
      </c>
      <c r="E16605">
        <v>224154</v>
      </c>
      <c r="F16605">
        <v>4.85813234459512E-7</v>
      </c>
      <c r="G16605">
        <v>78397</v>
      </c>
      <c r="H16605">
        <v>14475265</v>
      </c>
      <c r="I16605">
        <v>1033245</v>
      </c>
      <c r="J16605">
        <v>4</v>
      </c>
    </row>
    <row r="16606" spans="1:10" x14ac:dyDescent="0.25">
      <c r="A16606" t="s">
        <v>173</v>
      </c>
      <c r="B16606" s="1" t="str">
        <f>HYPERLINK("http://gmparts.com","gmparts.com")</f>
        <v>gmparts.com</v>
      </c>
      <c r="C16606" t="s">
        <v>433</v>
      </c>
      <c r="E16606">
        <v>189881</v>
      </c>
      <c r="F16606">
        <v>1.4856082083395001E-7</v>
      </c>
      <c r="G16606">
        <v>261636</v>
      </c>
      <c r="H16606">
        <v>12872552</v>
      </c>
      <c r="I16606">
        <v>14051163</v>
      </c>
      <c r="J16606">
        <v>3</v>
      </c>
    </row>
    <row r="16607" spans="1:10" x14ac:dyDescent="0.25">
      <c r="A16607" t="s">
        <v>173</v>
      </c>
      <c r="B16607" s="1" t="str">
        <f>HYPERLINK("http://gmspecialtyvehicles.com","gmspecialtyvehicles.com")</f>
        <v>gmspecialtyvehicles.com</v>
      </c>
      <c r="C16607" t="s">
        <v>433</v>
      </c>
      <c r="F16607">
        <v>4.4449363446278601E-8</v>
      </c>
      <c r="G16607">
        <v>1066704</v>
      </c>
      <c r="H16607">
        <v>12438501</v>
      </c>
      <c r="I16607">
        <v>18162701</v>
      </c>
      <c r="J16607">
        <v>3</v>
      </c>
    </row>
    <row r="16608" spans="1:10" x14ac:dyDescent="0.25">
      <c r="A16608" t="s">
        <v>173</v>
      </c>
      <c r="B16608" s="1" t="str">
        <f>HYPERLINK("http://gobrightdrop.com","gobrightdrop.com")</f>
        <v>gobrightdrop.com</v>
      </c>
      <c r="C16608" t="s">
        <v>433</v>
      </c>
      <c r="E16608">
        <v>619498</v>
      </c>
      <c r="F16608">
        <v>1.8448739997645701E-7</v>
      </c>
      <c r="G16608">
        <v>208990</v>
      </c>
      <c r="H16608">
        <v>14088833</v>
      </c>
      <c r="I16608">
        <v>2756608</v>
      </c>
      <c r="J16608">
        <v>3</v>
      </c>
    </row>
    <row r="16609" spans="1:10" x14ac:dyDescent="0.25">
      <c r="A16609" t="s">
        <v>173</v>
      </c>
      <c r="B16609" s="1" t="str">
        <f>HYPERLINK("http://gopatriotchevrolet.com","gopatriotchevrolet.com")</f>
        <v>gopatriotchevrolet.com</v>
      </c>
      <c r="C16609" t="s">
        <v>433</v>
      </c>
      <c r="F16609">
        <v>4.5991418887121396E-9</v>
      </c>
      <c r="G16609">
        <v>47678242</v>
      </c>
      <c r="H16609">
        <v>11958352</v>
      </c>
      <c r="I16609">
        <v>28993959</v>
      </c>
      <c r="J16609">
        <v>4</v>
      </c>
    </row>
    <row r="16610" spans="1:10" x14ac:dyDescent="0.25">
      <c r="A16610" t="s">
        <v>173</v>
      </c>
      <c r="B16610" s="1" t="str">
        <f>HYPERLINK("http://graffokemos.com","graffokemos.com")</f>
        <v>graffokemos.com</v>
      </c>
      <c r="C16610" t="s">
        <v>433</v>
      </c>
      <c r="F16610">
        <v>1.3446212406803301E-8</v>
      </c>
      <c r="G16610">
        <v>4428225</v>
      </c>
      <c r="H16610">
        <v>14060729</v>
      </c>
      <c r="I16610">
        <v>3804473</v>
      </c>
      <c r="J16610">
        <v>4</v>
      </c>
    </row>
    <row r="16611" spans="1:10" x14ac:dyDescent="0.25">
      <c r="A16611" t="s">
        <v>173</v>
      </c>
      <c r="B16611" s="1" t="str">
        <f>HYPERLINK("http://gunnchevrolet.com","gunnchevrolet.com")</f>
        <v>gunnchevrolet.com</v>
      </c>
      <c r="C16611" t="s">
        <v>433</v>
      </c>
      <c r="F16611">
        <v>6.2352921479964699E-9</v>
      </c>
      <c r="G16611">
        <v>15348718</v>
      </c>
      <c r="H16611">
        <v>12111421</v>
      </c>
      <c r="I16611">
        <v>25686749</v>
      </c>
      <c r="J16611">
        <v>4</v>
      </c>
    </row>
    <row r="16612" spans="1:10" x14ac:dyDescent="0.25">
      <c r="A16612" t="s">
        <v>173</v>
      </c>
      <c r="B16612" s="1" t="str">
        <f>HYPERLINK("http://harvestchevy.com","harvestchevy.com")</f>
        <v>harvestchevy.com</v>
      </c>
      <c r="C16612" t="s">
        <v>433</v>
      </c>
      <c r="F16612">
        <v>5.3620496340154101E-9</v>
      </c>
      <c r="G16612">
        <v>22643779</v>
      </c>
      <c r="H16612">
        <v>12513536</v>
      </c>
      <c r="I16612">
        <v>17211206</v>
      </c>
      <c r="J16612">
        <v>4</v>
      </c>
    </row>
    <row r="16613" spans="1:10" x14ac:dyDescent="0.25">
      <c r="A16613" t="s">
        <v>173</v>
      </c>
      <c r="B16613" s="1" t="str">
        <f>HYPERLINK("http://hendersonchevy.com","hendersonchevy.com")</f>
        <v>hendersonchevy.com</v>
      </c>
      <c r="C16613" t="s">
        <v>433</v>
      </c>
      <c r="F16613">
        <v>5.5758473966411801E-9</v>
      </c>
      <c r="G16613">
        <v>20099736</v>
      </c>
      <c r="H16613">
        <v>12188492</v>
      </c>
      <c r="I16613">
        <v>23617562</v>
      </c>
      <c r="J16613">
        <v>4</v>
      </c>
    </row>
    <row r="16614" spans="1:10" x14ac:dyDescent="0.25">
      <c r="A16614" t="s">
        <v>173</v>
      </c>
      <c r="B16614" s="1" t="str">
        <f>HYPERLINK("http://hertrichchevrolet.com","hertrichchevrolet.com")</f>
        <v>hertrichchevrolet.com</v>
      </c>
      <c r="C16614" t="s">
        <v>433</v>
      </c>
      <c r="F16614">
        <v>4.7836711241660702E-9</v>
      </c>
      <c r="G16614">
        <v>36805171</v>
      </c>
      <c r="H16614">
        <v>11930670</v>
      </c>
      <c r="I16614">
        <v>29312430</v>
      </c>
      <c r="J16614">
        <v>4</v>
      </c>
    </row>
    <row r="16615" spans="1:10" x14ac:dyDescent="0.25">
      <c r="A16615" t="s">
        <v>173</v>
      </c>
      <c r="B16615" s="1" t="str">
        <f>HYPERLINK("http://hirlingerchevrolet.com","hirlingerchevrolet.com")</f>
        <v>hirlingerchevrolet.com</v>
      </c>
      <c r="C16615" t="s">
        <v>433</v>
      </c>
      <c r="F16615">
        <v>8.6904585022829996E-9</v>
      </c>
      <c r="G16615">
        <v>8494163</v>
      </c>
      <c r="H16615">
        <v>12471179</v>
      </c>
      <c r="I16615">
        <v>17736219</v>
      </c>
      <c r="J16615">
        <v>4</v>
      </c>
    </row>
    <row r="16616" spans="1:10" x14ac:dyDescent="0.25">
      <c r="A16616" t="s">
        <v>173</v>
      </c>
      <c r="B16616" s="1" t="str">
        <f>HYPERLINK("http://hondruchevyetown.com","hondruchevyetown.com")</f>
        <v>hondruchevyetown.com</v>
      </c>
      <c r="C16616" t="s">
        <v>433</v>
      </c>
      <c r="F16616">
        <v>5.1212561609441204E-9</v>
      </c>
      <c r="G16616">
        <v>26632406</v>
      </c>
      <c r="H16616">
        <v>12332971</v>
      </c>
      <c r="I16616">
        <v>20149447</v>
      </c>
      <c r="J16616">
        <v>4</v>
      </c>
    </row>
    <row r="16617" spans="1:10" x14ac:dyDescent="0.25">
      <c r="A16617" t="s">
        <v>173</v>
      </c>
      <c r="B16617" s="1" t="str">
        <f>HYPERLINK("http://jakesweeneychevrolet.com","jakesweeneychevrolet.com")</f>
        <v>jakesweeneychevrolet.com</v>
      </c>
      <c r="C16617" t="s">
        <v>433</v>
      </c>
      <c r="F16617">
        <v>3.8395688984284897E-8</v>
      </c>
      <c r="G16617">
        <v>1344644</v>
      </c>
      <c r="H16617">
        <v>12462038</v>
      </c>
      <c r="I16617">
        <v>17847734</v>
      </c>
      <c r="J16617">
        <v>4</v>
      </c>
    </row>
    <row r="16618" spans="1:10" x14ac:dyDescent="0.25">
      <c r="A16618" t="s">
        <v>173</v>
      </c>
      <c r="B16618" s="1" t="str">
        <f>HYPERLINK("http://jameswoodcadillac.com","jameswoodcadillac.com")</f>
        <v>jameswoodcadillac.com</v>
      </c>
      <c r="C16618" t="s">
        <v>433</v>
      </c>
      <c r="F16618">
        <v>4.4970495745343198E-9</v>
      </c>
      <c r="G16618">
        <v>59385587</v>
      </c>
      <c r="H16618">
        <v>11966518</v>
      </c>
      <c r="I16618">
        <v>28770921</v>
      </c>
      <c r="J16618">
        <v>4</v>
      </c>
    </row>
    <row r="16619" spans="1:10" x14ac:dyDescent="0.25">
      <c r="A16619" t="s">
        <v>173</v>
      </c>
      <c r="B16619" s="1" t="str">
        <f>HYPERLINK("http://jeffwylereastgatechevrolet.com","jeffwylereastgatechevrolet.com")</f>
        <v>jeffwylereastgatechevrolet.com</v>
      </c>
      <c r="C16619" t="s">
        <v>433</v>
      </c>
      <c r="F16619">
        <v>5.8751673153390603E-9</v>
      </c>
      <c r="G16619">
        <v>17531053</v>
      </c>
      <c r="H16619">
        <v>12458939</v>
      </c>
      <c r="I16619">
        <v>17891899</v>
      </c>
      <c r="J16619">
        <v>4</v>
      </c>
    </row>
    <row r="16620" spans="1:10" x14ac:dyDescent="0.25">
      <c r="A16620" t="s">
        <v>173</v>
      </c>
      <c r="B16620" s="1" t="str">
        <f>HYPERLINK("http://jimtrenaryunion.com","jimtrenaryunion.com")</f>
        <v>jimtrenaryunion.com</v>
      </c>
      <c r="C16620" t="s">
        <v>433</v>
      </c>
      <c r="F16620">
        <v>7.07132529058355E-9</v>
      </c>
      <c r="G16620">
        <v>12095341</v>
      </c>
      <c r="H16620">
        <v>12370129</v>
      </c>
      <c r="I16620">
        <v>19411492</v>
      </c>
      <c r="J16620">
        <v>4</v>
      </c>
    </row>
    <row r="16621" spans="1:10" x14ac:dyDescent="0.25">
      <c r="A16621" t="s">
        <v>173</v>
      </c>
      <c r="B16621" s="1" t="str">
        <f>HYPERLINK("http://judkuhnchevrolet.com","judkuhnchevrolet.com")</f>
        <v>judkuhnchevrolet.com</v>
      </c>
      <c r="C16621" t="s">
        <v>433</v>
      </c>
      <c r="F16621">
        <v>8.7100475678597006E-9</v>
      </c>
      <c r="G16621">
        <v>8459883</v>
      </c>
      <c r="H16621">
        <v>12949084</v>
      </c>
      <c r="I16621">
        <v>13216798</v>
      </c>
      <c r="J16621">
        <v>4</v>
      </c>
    </row>
    <row r="16622" spans="1:10" x14ac:dyDescent="0.25">
      <c r="A16622" t="s">
        <v>173</v>
      </c>
      <c r="B16622" s="1" t="str">
        <f>HYPERLINK("http://karlchevrolet.com","karlchevrolet.com")</f>
        <v>karlchevrolet.com</v>
      </c>
      <c r="C16622" t="s">
        <v>433</v>
      </c>
      <c r="F16622">
        <v>1.3404844586349E-8</v>
      </c>
      <c r="G16622">
        <v>4445730</v>
      </c>
      <c r="H16622">
        <v>13064328</v>
      </c>
      <c r="I16622">
        <v>12298619</v>
      </c>
      <c r="J16622">
        <v>4</v>
      </c>
    </row>
    <row r="16623" spans="1:10" x14ac:dyDescent="0.25">
      <c r="A16623" t="s">
        <v>173</v>
      </c>
      <c r="B16623" s="1" t="str">
        <f>HYPERLINK("http://kendallcadillacofeugene.com","kendallcadillacofeugene.com")</f>
        <v>kendallcadillacofeugene.com</v>
      </c>
      <c r="C16623" t="s">
        <v>433</v>
      </c>
      <c r="F16623">
        <v>4.9979360477125799E-9</v>
      </c>
      <c r="G16623">
        <v>29461956</v>
      </c>
      <c r="H16623">
        <v>12513535</v>
      </c>
      <c r="I16623">
        <v>17211245</v>
      </c>
      <c r="J16623">
        <v>4</v>
      </c>
    </row>
    <row r="16624" spans="1:10" x14ac:dyDescent="0.25">
      <c r="A16624" t="s">
        <v>173</v>
      </c>
      <c r="B16624" s="1" t="str">
        <f>HYPERLINK("http://knappchevrolet.com","knappchevrolet.com")</f>
        <v>knappchevrolet.com</v>
      </c>
      <c r="C16624" t="s">
        <v>433</v>
      </c>
      <c r="F16624">
        <v>9.73853380517227E-9</v>
      </c>
      <c r="G16624">
        <v>7036730</v>
      </c>
      <c r="H16624">
        <v>12331461</v>
      </c>
      <c r="I16624">
        <v>20178511</v>
      </c>
      <c r="J16624">
        <v>4</v>
      </c>
    </row>
    <row r="16625" spans="1:10" x14ac:dyDescent="0.25">
      <c r="A16625" t="s">
        <v>173</v>
      </c>
      <c r="B16625" s="1" t="str">
        <f>HYPERLINK("http://knappchevy.com","knappchevy.com")</f>
        <v>knappchevy.com</v>
      </c>
      <c r="C16625" t="s">
        <v>433</v>
      </c>
      <c r="F16625">
        <v>4.5001021843695903E-9</v>
      </c>
      <c r="G16625">
        <v>58932494</v>
      </c>
      <c r="H16625">
        <v>10325997</v>
      </c>
      <c r="I16625">
        <v>58362385</v>
      </c>
      <c r="J16625">
        <v>7</v>
      </c>
    </row>
    <row r="16626" spans="1:10" x14ac:dyDescent="0.25">
      <c r="A16626" t="s">
        <v>173</v>
      </c>
      <c r="B16626" s="1" t="str">
        <f>HYPERLINK("http://koolchevy.com","koolchevy.com")</f>
        <v>koolchevy.com</v>
      </c>
      <c r="C16626" t="s">
        <v>433</v>
      </c>
      <c r="F16626">
        <v>1.0775999543161599E-8</v>
      </c>
      <c r="G16626">
        <v>6039776</v>
      </c>
      <c r="H16626">
        <v>12367941</v>
      </c>
      <c r="I16626">
        <v>19449464</v>
      </c>
      <c r="J16626">
        <v>4</v>
      </c>
    </row>
    <row r="16627" spans="1:10" x14ac:dyDescent="0.25">
      <c r="A16627" t="s">
        <v>173</v>
      </c>
      <c r="B16627" s="1" t="str">
        <f>HYPERLINK("http://kunesbelvideregmc.com","kunesbelvideregmc.com")</f>
        <v>kunesbelvideregmc.com</v>
      </c>
      <c r="C16627" t="s">
        <v>433</v>
      </c>
      <c r="F16627">
        <v>4.4640270864321698E-9</v>
      </c>
      <c r="G16627">
        <v>66528170</v>
      </c>
      <c r="H16627">
        <v>10776181</v>
      </c>
      <c r="I16627">
        <v>39041123</v>
      </c>
      <c r="J16627">
        <v>4</v>
      </c>
    </row>
    <row r="16628" spans="1:10" x14ac:dyDescent="0.25">
      <c r="A16628" t="s">
        <v>173</v>
      </c>
      <c r="B16628" s="1" t="str">
        <f>HYPERLINK("http://labadiegm.com","labadiegm.com")</f>
        <v>labadiegm.com</v>
      </c>
      <c r="C16628" t="s">
        <v>433</v>
      </c>
      <c r="F16628">
        <v>9.3881544640974107E-9</v>
      </c>
      <c r="G16628">
        <v>7460820</v>
      </c>
      <c r="H16628">
        <v>12588649</v>
      </c>
      <c r="I16628">
        <v>16425333</v>
      </c>
      <c r="J16628">
        <v>8</v>
      </c>
    </row>
    <row r="16629" spans="1:10" x14ac:dyDescent="0.25">
      <c r="A16629" t="s">
        <v>173</v>
      </c>
      <c r="B16629" s="1" t="str">
        <f>HYPERLINK("http://lakechevymke.com","lakechevymke.com")</f>
        <v>lakechevymke.com</v>
      </c>
      <c r="C16629" t="s">
        <v>433</v>
      </c>
      <c r="F16629">
        <v>1.03153723047809E-8</v>
      </c>
      <c r="G16629">
        <v>6436642</v>
      </c>
      <c r="H16629">
        <v>12364920</v>
      </c>
      <c r="I16629">
        <v>19499184</v>
      </c>
      <c r="J16629">
        <v>4</v>
      </c>
    </row>
    <row r="16630" spans="1:10" x14ac:dyDescent="0.25">
      <c r="A16630" t="s">
        <v>173</v>
      </c>
      <c r="B16630" s="1" t="str">
        <f>HYPERLINK("http://lancastermotor.com","lancastermotor.com")</f>
        <v>lancastermotor.com</v>
      </c>
      <c r="C16630" t="s">
        <v>433</v>
      </c>
      <c r="F16630">
        <v>4.5161322989032401E-9</v>
      </c>
      <c r="G16630">
        <v>56709765</v>
      </c>
      <c r="H16630">
        <v>12775362</v>
      </c>
      <c r="I16630">
        <v>14798212</v>
      </c>
      <c r="J16630">
        <v>4</v>
      </c>
    </row>
    <row r="16631" spans="1:10" x14ac:dyDescent="0.25">
      <c r="A16631" t="s">
        <v>173</v>
      </c>
      <c r="B16631" s="1" t="str">
        <f>HYPERLINK("http://lehmers.com","lehmers.com")</f>
        <v>lehmers.com</v>
      </c>
      <c r="C16631" t="s">
        <v>433</v>
      </c>
      <c r="F16631">
        <v>1.17654504971552E-8</v>
      </c>
      <c r="G16631">
        <v>5323691</v>
      </c>
      <c r="H16631">
        <v>12862726</v>
      </c>
      <c r="I16631">
        <v>14182960</v>
      </c>
      <c r="J16631">
        <v>8</v>
      </c>
    </row>
    <row r="16632" spans="1:10" x14ac:dyDescent="0.25">
      <c r="A16632" t="s">
        <v>173</v>
      </c>
      <c r="B16632" s="1" t="str">
        <f>HYPERLINK("http://lesstanfordchevrolet.com","lesstanfordchevrolet.com")</f>
        <v>lesstanfordchevrolet.com</v>
      </c>
      <c r="C16632" t="s">
        <v>433</v>
      </c>
      <c r="F16632">
        <v>5.79839914924386E-9</v>
      </c>
      <c r="G16632">
        <v>18098416</v>
      </c>
      <c r="H16632">
        <v>12303898</v>
      </c>
      <c r="I16632">
        <v>20755221</v>
      </c>
      <c r="J16632">
        <v>4</v>
      </c>
    </row>
    <row r="16633" spans="1:10" x14ac:dyDescent="0.25">
      <c r="A16633" t="s">
        <v>173</v>
      </c>
      <c r="B16633" s="1" t="str">
        <f>HYPERLINK("http://lovechevy.com","lovechevy.com")</f>
        <v>lovechevy.com</v>
      </c>
      <c r="C16633" t="s">
        <v>433</v>
      </c>
      <c r="F16633">
        <v>1.4505172478076999E-8</v>
      </c>
      <c r="G16633">
        <v>4011862</v>
      </c>
      <c r="H16633">
        <v>12903223</v>
      </c>
      <c r="I16633">
        <v>13839609</v>
      </c>
      <c r="J16633">
        <v>4</v>
      </c>
    </row>
    <row r="16634" spans="1:10" x14ac:dyDescent="0.25">
      <c r="A16634" t="s">
        <v>173</v>
      </c>
      <c r="B16634" s="1" t="str">
        <f>HYPERLINK("http://lucianicadillac.com","lucianicadillac.com")</f>
        <v>lucianicadillac.com</v>
      </c>
      <c r="C16634" t="s">
        <v>433</v>
      </c>
      <c r="F16634">
        <v>4.4638924739644496E-9</v>
      </c>
      <c r="G16634">
        <v>66576061</v>
      </c>
      <c r="H16634">
        <v>10668575</v>
      </c>
      <c r="I16634">
        <v>43016284</v>
      </c>
      <c r="J16634">
        <v>4</v>
      </c>
    </row>
    <row r="16635" spans="1:10" x14ac:dyDescent="0.25">
      <c r="A16635" t="s">
        <v>173</v>
      </c>
      <c r="B16635" s="1" t="str">
        <f>HYPERLINK("http://madisoncadillac.com","madisoncadillac.com")</f>
        <v>madisoncadillac.com</v>
      </c>
      <c r="C16635" t="s">
        <v>433</v>
      </c>
      <c r="F16635">
        <v>6.5553295973210497E-9</v>
      </c>
      <c r="G16635">
        <v>13851702</v>
      </c>
      <c r="H16635">
        <v>12892104</v>
      </c>
      <c r="I16635">
        <v>13923113</v>
      </c>
      <c r="J16635">
        <v>4</v>
      </c>
    </row>
    <row r="16636" spans="1:10" x14ac:dyDescent="0.25">
      <c r="A16636" t="s">
        <v>173</v>
      </c>
      <c r="B16636" s="1" t="str">
        <f>HYPERLINK("http://markvillecadillac.com","markvillecadillac.com")</f>
        <v>markvillecadillac.com</v>
      </c>
      <c r="C16636" t="s">
        <v>433</v>
      </c>
      <c r="F16636">
        <v>6.0306207258447696E-9</v>
      </c>
      <c r="G16636">
        <v>16496157</v>
      </c>
      <c r="H16636">
        <v>10395421</v>
      </c>
      <c r="I16636">
        <v>54313814</v>
      </c>
      <c r="J16636">
        <v>4</v>
      </c>
    </row>
    <row r="16637" spans="1:10" x14ac:dyDescent="0.25">
      <c r="A16637" t="s">
        <v>173</v>
      </c>
      <c r="B16637" s="1" t="str">
        <f>HYPERLINK("http://markvillechevrolet.com","markvillechevrolet.com")</f>
        <v>markvillechevrolet.com</v>
      </c>
      <c r="C16637" t="s">
        <v>433</v>
      </c>
      <c r="F16637">
        <v>5.9682920957211698E-9</v>
      </c>
      <c r="G16637">
        <v>16892500</v>
      </c>
      <c r="H16637">
        <v>11485631</v>
      </c>
      <c r="I16637">
        <v>30056604</v>
      </c>
      <c r="J16637">
        <v>4</v>
      </c>
    </row>
    <row r="16638" spans="1:10" x14ac:dyDescent="0.25">
      <c r="A16638" t="s">
        <v>173</v>
      </c>
      <c r="B16638" s="1" t="str">
        <f>HYPERLINK("http://masterchevrolet.com","masterchevrolet.com")</f>
        <v>masterchevrolet.com</v>
      </c>
      <c r="C16638" t="s">
        <v>433</v>
      </c>
      <c r="F16638">
        <v>8.4717503239203605E-9</v>
      </c>
      <c r="G16638">
        <v>8899594</v>
      </c>
      <c r="H16638">
        <v>11992848</v>
      </c>
      <c r="I16638">
        <v>28335275</v>
      </c>
      <c r="J16638">
        <v>4</v>
      </c>
    </row>
    <row r="16639" spans="1:10" x14ac:dyDescent="0.25">
      <c r="A16639" t="s">
        <v>173</v>
      </c>
      <c r="B16639" s="1" t="str">
        <f>HYPERLINK("http://maven.com","maven.com")</f>
        <v>maven.com</v>
      </c>
      <c r="C16639" t="s">
        <v>433</v>
      </c>
      <c r="E16639">
        <v>225306</v>
      </c>
      <c r="F16639">
        <v>4.8372960801351204E-7</v>
      </c>
      <c r="G16639">
        <v>78680</v>
      </c>
      <c r="H16639">
        <v>17101706</v>
      </c>
      <c r="I16639">
        <v>63560</v>
      </c>
      <c r="J16639">
        <v>3</v>
      </c>
    </row>
    <row r="16640" spans="1:10" x14ac:dyDescent="0.25">
      <c r="A16640" t="s">
        <v>173</v>
      </c>
      <c r="B16640" s="1" t="str">
        <f>HYPERLINK("http://mavendrive.com","mavendrive.com")</f>
        <v>mavendrive.com</v>
      </c>
      <c r="C16640" t="s">
        <v>433</v>
      </c>
      <c r="F16640">
        <v>4.6464181556087102E-8</v>
      </c>
      <c r="G16640">
        <v>1006759</v>
      </c>
      <c r="H16640">
        <v>14543536</v>
      </c>
      <c r="I16640">
        <v>771745</v>
      </c>
      <c r="J16640">
        <v>7</v>
      </c>
    </row>
    <row r="16641" spans="1:10" x14ac:dyDescent="0.25">
      <c r="A16641" t="s">
        <v>173</v>
      </c>
      <c r="B16641" s="1" t="str">
        <f>HYPERLINK("http://mcloughlinchevy.com","mcloughlinchevy.com")</f>
        <v>mcloughlinchevy.com</v>
      </c>
      <c r="C16641" t="s">
        <v>433</v>
      </c>
      <c r="F16641">
        <v>6.0103306884933098E-9</v>
      </c>
      <c r="G16641">
        <v>16620160</v>
      </c>
      <c r="H16641">
        <v>13778570</v>
      </c>
      <c r="I16641">
        <v>6518809</v>
      </c>
      <c r="J16641">
        <v>4</v>
      </c>
    </row>
    <row r="16642" spans="1:10" x14ac:dyDescent="0.25">
      <c r="A16642" t="s">
        <v>173</v>
      </c>
      <c r="B16642" s="1" t="str">
        <f>HYPERLINK("http://mechevy.com","mechevy.com")</f>
        <v>mechevy.com</v>
      </c>
      <c r="C16642" t="s">
        <v>433</v>
      </c>
      <c r="F16642">
        <v>4.4478433663516096E-9</v>
      </c>
      <c r="G16642">
        <v>73239886</v>
      </c>
      <c r="H16642">
        <v>11871401</v>
      </c>
      <c r="I16642">
        <v>29662453</v>
      </c>
      <c r="J16642">
        <v>4</v>
      </c>
    </row>
    <row r="16643" spans="1:10" x14ac:dyDescent="0.25">
      <c r="A16643" t="s">
        <v>173</v>
      </c>
      <c r="B16643" s="1" t="str">
        <f>HYPERLINK("http://metrocar-ecuador.com","metrocar-ecuador.com")</f>
        <v>metrocar-ecuador.com</v>
      </c>
      <c r="C16643" t="s">
        <v>433</v>
      </c>
      <c r="F16643">
        <v>5.8655085837924496E-9</v>
      </c>
      <c r="G16643">
        <v>17599843</v>
      </c>
      <c r="H16643">
        <v>11337004</v>
      </c>
      <c r="I16643">
        <v>30433615</v>
      </c>
      <c r="J16643">
        <v>4</v>
      </c>
    </row>
    <row r="16644" spans="1:10" x14ac:dyDescent="0.25">
      <c r="A16644" t="s">
        <v>173</v>
      </c>
      <c r="B16644" s="1" t="str">
        <f>HYPERLINK("http://michaelbateschevy.com","michaelbateschevy.com")</f>
        <v>michaelbateschevy.com</v>
      </c>
      <c r="C16644" t="s">
        <v>433</v>
      </c>
      <c r="F16644">
        <v>5.1791783776531204E-9</v>
      </c>
      <c r="G16644">
        <v>25566188</v>
      </c>
      <c r="H16644">
        <v>12369308</v>
      </c>
      <c r="I16644">
        <v>19421795</v>
      </c>
      <c r="J16644">
        <v>4</v>
      </c>
    </row>
    <row r="16645" spans="1:10" x14ac:dyDescent="0.25">
      <c r="A16645" t="s">
        <v>173</v>
      </c>
      <c r="B16645" s="1" t="str">
        <f>HYPERLINK("http://missionmotors.com","missionmotors.com")</f>
        <v>missionmotors.com</v>
      </c>
      <c r="C16645" t="s">
        <v>433</v>
      </c>
      <c r="F16645">
        <v>4.9885724577338097E-9</v>
      </c>
      <c r="G16645">
        <v>29710420</v>
      </c>
      <c r="H16645">
        <v>12364416</v>
      </c>
      <c r="I16645">
        <v>19508932</v>
      </c>
      <c r="J16645">
        <v>4</v>
      </c>
    </row>
    <row r="16646" spans="1:10" x14ac:dyDescent="0.25">
      <c r="A16646" t="s">
        <v>173</v>
      </c>
      <c r="B16646" s="1" t="str">
        <f>HYPERLINK("http://mollechevrolet.com","mollechevrolet.com")</f>
        <v>mollechevrolet.com</v>
      </c>
      <c r="C16646" t="s">
        <v>433</v>
      </c>
      <c r="F16646">
        <v>5.3425672443948799E-9</v>
      </c>
      <c r="G16646">
        <v>22899670</v>
      </c>
      <c r="H16646">
        <v>12207043</v>
      </c>
      <c r="I16646">
        <v>23107840</v>
      </c>
      <c r="J16646">
        <v>4</v>
      </c>
    </row>
    <row r="16647" spans="1:10" x14ac:dyDescent="0.25">
      <c r="A16647" t="s">
        <v>173</v>
      </c>
      <c r="B16647" s="1" t="str">
        <f>HYPERLINK("http://mrchevrolet.com","mrchevrolet.com")</f>
        <v>mrchevrolet.com</v>
      </c>
      <c r="C16647" t="s">
        <v>433</v>
      </c>
      <c r="F16647">
        <v>5.3807148643338601E-9</v>
      </c>
      <c r="G16647">
        <v>22409108</v>
      </c>
      <c r="H16647">
        <v>12230073</v>
      </c>
      <c r="I16647">
        <v>22500513</v>
      </c>
      <c r="J16647">
        <v>4</v>
      </c>
    </row>
    <row r="16648" spans="1:10" x14ac:dyDescent="0.25">
      <c r="A16648" t="s">
        <v>173</v>
      </c>
      <c r="B16648" s="1" t="str">
        <f>HYPERLINK("http://mschev.com","mschev.com")</f>
        <v>mschev.com</v>
      </c>
      <c r="C16648" t="s">
        <v>433</v>
      </c>
      <c r="F16648">
        <v>1.34595509692521E-8</v>
      </c>
      <c r="G16648">
        <v>4422466</v>
      </c>
      <c r="H16648">
        <v>13038451</v>
      </c>
      <c r="I16648">
        <v>12630029</v>
      </c>
      <c r="J16648">
        <v>4</v>
      </c>
    </row>
    <row r="16649" spans="1:10" x14ac:dyDescent="0.25">
      <c r="A16649" t="s">
        <v>173</v>
      </c>
      <c r="B16649" s="1" t="str">
        <f>HYPERLINK("http://mybarrett.com","mybarrett.com")</f>
        <v>mybarrett.com</v>
      </c>
      <c r="C16649" t="s">
        <v>433</v>
      </c>
      <c r="F16649">
        <v>4.44380395335525E-9</v>
      </c>
      <c r="G16649">
        <v>82730597</v>
      </c>
      <c r="H16649">
        <v>0</v>
      </c>
      <c r="I16649">
        <v>83401980</v>
      </c>
      <c r="J16649">
        <v>4</v>
      </c>
    </row>
    <row r="16650" spans="1:10" x14ac:dyDescent="0.25">
      <c r="A16650" t="s">
        <v>173</v>
      </c>
      <c r="B16650" s="1" t="str">
        <f>HYPERLINK("http://mycertifiedservice.com","mycertifiedservice.com")</f>
        <v>mycertifiedservice.com</v>
      </c>
      <c r="C16650" t="s">
        <v>433</v>
      </c>
      <c r="E16650">
        <v>90673</v>
      </c>
      <c r="F16650">
        <v>6.9161436463561997E-7</v>
      </c>
      <c r="G16650">
        <v>55850</v>
      </c>
      <c r="H16650">
        <v>13806868</v>
      </c>
      <c r="I16650">
        <v>6229193</v>
      </c>
      <c r="J16650">
        <v>3</v>
      </c>
    </row>
    <row r="16651" spans="1:10" x14ac:dyDescent="0.25">
      <c r="A16651" t="s">
        <v>173</v>
      </c>
      <c r="B16651" s="1" t="str">
        <f>HYPERLINK("http://myhh-chevy.com","myhh-chevy.com")</f>
        <v>myhh-chevy.com</v>
      </c>
      <c r="C16651" t="s">
        <v>433</v>
      </c>
      <c r="F16651">
        <v>4.4726835986734403E-9</v>
      </c>
      <c r="G16651">
        <v>63920789</v>
      </c>
      <c r="H16651">
        <v>12745516</v>
      </c>
      <c r="I16651">
        <v>15088038</v>
      </c>
      <c r="J16651">
        <v>4</v>
      </c>
    </row>
    <row r="16652" spans="1:10" x14ac:dyDescent="0.25">
      <c r="A16652" t="s">
        <v>173</v>
      </c>
      <c r="B16652" s="1" t="str">
        <f>HYPERLINK("http://napervillecadillac.com","napervillecadillac.com")</f>
        <v>napervillecadillac.com</v>
      </c>
      <c r="C16652" t="s">
        <v>433</v>
      </c>
      <c r="F16652">
        <v>7.3129037631195798E-9</v>
      </c>
      <c r="G16652">
        <v>11448240</v>
      </c>
      <c r="H16652">
        <v>12561494</v>
      </c>
      <c r="I16652">
        <v>16697028</v>
      </c>
      <c r="J16652">
        <v>4</v>
      </c>
    </row>
    <row r="16653" spans="1:10" x14ac:dyDescent="0.25">
      <c r="A16653" t="s">
        <v>173</v>
      </c>
      <c r="B16653" s="1" t="str">
        <f>HYPERLINK("http://napletoncadillacoaklawn.com","napletoncadillacoaklawn.com")</f>
        <v>napletoncadillacoaklawn.com</v>
      </c>
      <c r="C16653" t="s">
        <v>433</v>
      </c>
      <c r="F16653">
        <v>5.0512348352906496E-9</v>
      </c>
      <c r="G16653">
        <v>28192932</v>
      </c>
      <c r="H16653">
        <v>12360178</v>
      </c>
      <c r="I16653">
        <v>19581519</v>
      </c>
      <c r="J16653">
        <v>4</v>
      </c>
    </row>
    <row r="16654" spans="1:10" x14ac:dyDescent="0.25">
      <c r="A16654" t="s">
        <v>173</v>
      </c>
      <c r="B16654" s="1" t="str">
        <f>HYPERLINK("http://onstar.com","onstar.com")</f>
        <v>onstar.com</v>
      </c>
      <c r="C16654" t="s">
        <v>433</v>
      </c>
      <c r="E16654">
        <v>54425</v>
      </c>
      <c r="F16654">
        <v>1.2868247741674E-6</v>
      </c>
      <c r="G16654">
        <v>30186</v>
      </c>
      <c r="H16654">
        <v>17451336</v>
      </c>
      <c r="I16654">
        <v>16093</v>
      </c>
      <c r="J16654">
        <v>3</v>
      </c>
    </row>
    <row r="16655" spans="1:10" x14ac:dyDescent="0.25">
      <c r="A16655" t="s">
        <v>173</v>
      </c>
      <c r="B16655" s="1" t="str">
        <f>HYPERLINK("http://palmettochevy.com","palmettochevy.com")</f>
        <v>palmettochevy.com</v>
      </c>
      <c r="C16655" t="s">
        <v>433</v>
      </c>
      <c r="F16655">
        <v>4.8682801879929499E-9</v>
      </c>
      <c r="G16655">
        <v>33475292</v>
      </c>
      <c r="H16655">
        <v>12053891</v>
      </c>
      <c r="I16655">
        <v>27140578</v>
      </c>
      <c r="J16655">
        <v>4</v>
      </c>
    </row>
    <row r="16656" spans="1:10" x14ac:dyDescent="0.25">
      <c r="A16656" t="s">
        <v>173</v>
      </c>
      <c r="B16656" s="1" t="str">
        <f>HYPERLINK("http://parkschevroletspartanburg.com","parkschevroletspartanburg.com")</f>
        <v>parkschevroletspartanburg.com</v>
      </c>
      <c r="C16656" t="s">
        <v>433</v>
      </c>
      <c r="F16656">
        <v>8.0765674056725593E-9</v>
      </c>
      <c r="G16656">
        <v>9783187</v>
      </c>
      <c r="H16656">
        <v>12486908</v>
      </c>
      <c r="I16656">
        <v>17523760</v>
      </c>
      <c r="J16656">
        <v>4</v>
      </c>
    </row>
    <row r="16657" spans="1:10" x14ac:dyDescent="0.25">
      <c r="A16657" t="s">
        <v>173</v>
      </c>
      <c r="B16657" s="1" t="str">
        <f>HYPERLINK("http://patcurtischevrolet.com","patcurtischevrolet.com")</f>
        <v>patcurtischevrolet.com</v>
      </c>
      <c r="C16657" t="s">
        <v>433</v>
      </c>
      <c r="F16657">
        <v>1.36231438435624E-8</v>
      </c>
      <c r="G16657">
        <v>4352374</v>
      </c>
      <c r="H16657">
        <v>12361200</v>
      </c>
      <c r="I16657">
        <v>19562980</v>
      </c>
      <c r="J16657">
        <v>4</v>
      </c>
    </row>
    <row r="16658" spans="1:10" x14ac:dyDescent="0.25">
      <c r="A16658" t="s">
        <v>173</v>
      </c>
      <c r="B16658" s="1" t="str">
        <f>HYPERLINK("http://patrickcadillac.com","patrickcadillac.com")</f>
        <v>patrickcadillac.com</v>
      </c>
      <c r="C16658" t="s">
        <v>433</v>
      </c>
      <c r="F16658">
        <v>5.5733151328165297E-9</v>
      </c>
      <c r="G16658">
        <v>20146810</v>
      </c>
      <c r="H16658">
        <v>12277504</v>
      </c>
      <c r="I16658">
        <v>21359430</v>
      </c>
      <c r="J16658">
        <v>4</v>
      </c>
    </row>
    <row r="16659" spans="1:10" x14ac:dyDescent="0.25">
      <c r="A16659" t="s">
        <v>173</v>
      </c>
      <c r="B16659" s="1" t="str">
        <f>HYPERLINK("http://pendarvischevy.com","pendarvischevy.com")</f>
        <v>pendarvischevy.com</v>
      </c>
      <c r="C16659" t="s">
        <v>433</v>
      </c>
      <c r="F16659">
        <v>4.7420790629565898E-9</v>
      </c>
      <c r="G16659">
        <v>38700293</v>
      </c>
      <c r="H16659">
        <v>12189056</v>
      </c>
      <c r="I16659">
        <v>23604205</v>
      </c>
      <c r="J16659">
        <v>4</v>
      </c>
    </row>
    <row r="16660" spans="1:10" x14ac:dyDescent="0.25">
      <c r="A16660" t="s">
        <v>173</v>
      </c>
      <c r="B16660" s="1" t="str">
        <f>HYPERLINK("http://perrysburgautomall.com","perrysburgautomall.com")</f>
        <v>perrysburgautomall.com</v>
      </c>
      <c r="C16660" t="s">
        <v>433</v>
      </c>
      <c r="F16660">
        <v>1.02510369890615E-8</v>
      </c>
      <c r="G16660">
        <v>6497736</v>
      </c>
      <c r="H16660">
        <v>12653795</v>
      </c>
      <c r="I16660">
        <v>15775390</v>
      </c>
      <c r="J16660">
        <v>4</v>
      </c>
    </row>
    <row r="16661" spans="1:10" x14ac:dyDescent="0.25">
      <c r="A16661" t="s">
        <v>173</v>
      </c>
      <c r="B16661" s="1" t="str">
        <f>HYPERLINK("http://petersenchevy.com","petersenchevy.com")</f>
        <v>petersenchevy.com</v>
      </c>
      <c r="C16661" t="s">
        <v>433</v>
      </c>
      <c r="F16661">
        <v>5.0206121403437503E-9</v>
      </c>
      <c r="G16661">
        <v>28887078</v>
      </c>
      <c r="H16661">
        <v>10707352</v>
      </c>
      <c r="I16661">
        <v>42199151</v>
      </c>
      <c r="J16661">
        <v>4</v>
      </c>
    </row>
    <row r="16662" spans="1:10" x14ac:dyDescent="0.25">
      <c r="A16662" t="s">
        <v>173</v>
      </c>
      <c r="B16662" s="1" t="str">
        <f>HYPERLINK("http://premierechevy.com","premierechevy.com")</f>
        <v>premierechevy.com</v>
      </c>
      <c r="C16662" t="s">
        <v>433</v>
      </c>
      <c r="F16662">
        <v>5.52874333912194E-9</v>
      </c>
      <c r="G16662">
        <v>20596985</v>
      </c>
      <c r="H16662">
        <v>13774927</v>
      </c>
      <c r="I16662">
        <v>6593153</v>
      </c>
      <c r="J16662">
        <v>4</v>
      </c>
    </row>
    <row r="16663" spans="1:10" x14ac:dyDescent="0.25">
      <c r="A16663" t="s">
        <v>173</v>
      </c>
      <c r="B16663" s="1" t="str">
        <f>HYPERLINK("http://prestigecadillac.com","prestigecadillac.com")</f>
        <v>prestigecadillac.com</v>
      </c>
      <c r="C16663" t="s">
        <v>433</v>
      </c>
      <c r="F16663">
        <v>6.8296636959607903E-9</v>
      </c>
      <c r="G16663">
        <v>12863314</v>
      </c>
      <c r="H16663">
        <v>12377583</v>
      </c>
      <c r="I16663">
        <v>19266999</v>
      </c>
      <c r="J16663">
        <v>4</v>
      </c>
    </row>
    <row r="16664" spans="1:10" x14ac:dyDescent="0.25">
      <c r="A16664" t="s">
        <v>173</v>
      </c>
      <c r="B16664" s="1" t="str">
        <f>HYPERLINK("http://putnamchevy.com","putnamchevy.com")</f>
        <v>putnamchevy.com</v>
      </c>
      <c r="C16664" t="s">
        <v>433</v>
      </c>
      <c r="F16664">
        <v>2.0046032947402302E-8</v>
      </c>
      <c r="G16664">
        <v>2652220</v>
      </c>
      <c r="H16664">
        <v>12819292</v>
      </c>
      <c r="I16664">
        <v>14515342</v>
      </c>
      <c r="J16664">
        <v>4</v>
      </c>
    </row>
    <row r="16665" spans="1:10" x14ac:dyDescent="0.25">
      <c r="A16665" t="s">
        <v>173</v>
      </c>
      <c r="B16665" s="1" t="str">
        <f>HYPERLINK("http://qualitychevy.com","qualitychevy.com")</f>
        <v>qualitychevy.com</v>
      </c>
      <c r="C16665" t="s">
        <v>433</v>
      </c>
      <c r="E16665">
        <v>962855</v>
      </c>
      <c r="F16665">
        <v>1.37089611729551E-8</v>
      </c>
      <c r="G16665">
        <v>4317561</v>
      </c>
      <c r="H16665">
        <v>12996324</v>
      </c>
      <c r="I16665">
        <v>12816657</v>
      </c>
      <c r="J16665">
        <v>4</v>
      </c>
    </row>
    <row r="16666" spans="1:10" x14ac:dyDescent="0.25">
      <c r="A16666" t="s">
        <v>173</v>
      </c>
      <c r="B16666" s="1" t="str">
        <f>HYPERLINK("http://quirkchevy.com","quirkchevy.com")</f>
        <v>quirkchevy.com</v>
      </c>
      <c r="C16666" t="s">
        <v>433</v>
      </c>
      <c r="F16666">
        <v>6.7308212370797897E-9</v>
      </c>
      <c r="G16666">
        <v>13194469</v>
      </c>
      <c r="H16666">
        <v>13160579</v>
      </c>
      <c r="I16666">
        <v>11786140</v>
      </c>
      <c r="J16666">
        <v>4</v>
      </c>
    </row>
    <row r="16667" spans="1:10" x14ac:dyDescent="0.25">
      <c r="A16667" t="s">
        <v>173</v>
      </c>
      <c r="B16667" s="1" t="str">
        <f>HYPERLINK("http://randycurnowchevrolet.com","randycurnowchevrolet.com")</f>
        <v>randycurnowchevrolet.com</v>
      </c>
      <c r="C16667" t="s">
        <v>433</v>
      </c>
      <c r="F16667">
        <v>5.3419402104947299E-9</v>
      </c>
      <c r="G16667">
        <v>22908085</v>
      </c>
      <c r="H16667">
        <v>10263189</v>
      </c>
      <c r="I16667">
        <v>58592466</v>
      </c>
      <c r="J16667">
        <v>4</v>
      </c>
    </row>
    <row r="16668" spans="1:10" x14ac:dyDescent="0.25">
      <c r="A16668" t="s">
        <v>173</v>
      </c>
      <c r="B16668" s="1" t="str">
        <f>HYPERLINK("http://raymillergm.com","raymillergm.com")</f>
        <v>raymillergm.com</v>
      </c>
      <c r="C16668" t="s">
        <v>433</v>
      </c>
      <c r="F16668">
        <v>5.05751583970403E-9</v>
      </c>
      <c r="G16668">
        <v>28057762</v>
      </c>
      <c r="H16668">
        <v>12486481</v>
      </c>
      <c r="I16668">
        <v>17528782</v>
      </c>
      <c r="J16668">
        <v>4</v>
      </c>
    </row>
    <row r="16669" spans="1:10" x14ac:dyDescent="0.25">
      <c r="A16669" t="s">
        <v>173</v>
      </c>
      <c r="B16669" s="1" t="str">
        <f>HYPERLINK("http://reedlallier.com","reedlallier.com")</f>
        <v>reedlallier.com</v>
      </c>
      <c r="C16669" t="s">
        <v>433</v>
      </c>
      <c r="F16669">
        <v>4.6686236466424998E-9</v>
      </c>
      <c r="G16669">
        <v>42999932</v>
      </c>
      <c r="H16669">
        <v>12208919</v>
      </c>
      <c r="I16669">
        <v>23053749</v>
      </c>
      <c r="J16669">
        <v>4</v>
      </c>
    </row>
    <row r="16670" spans="1:10" x14ac:dyDescent="0.25">
      <c r="A16670" t="s">
        <v>173</v>
      </c>
      <c r="B16670" s="1" t="str">
        <f>HYPERLINK("http://regesterchevrolet.com","regesterchevrolet.com")</f>
        <v>regesterchevrolet.com</v>
      </c>
      <c r="C16670" t="s">
        <v>433</v>
      </c>
      <c r="F16670">
        <v>5.3029082739365697E-9</v>
      </c>
      <c r="G16670">
        <v>23449948</v>
      </c>
      <c r="H16670">
        <v>12636438</v>
      </c>
      <c r="I16670">
        <v>15903355</v>
      </c>
      <c r="J16670">
        <v>4</v>
      </c>
    </row>
    <row r="16671" spans="1:10" x14ac:dyDescent="0.25">
      <c r="A16671" t="s">
        <v>173</v>
      </c>
      <c r="B16671" s="1" t="str">
        <f>HYPERLINK("http://rennkirbychevroletbuick.com","rennkirbychevroletbuick.com")</f>
        <v>rennkirbychevroletbuick.com</v>
      </c>
      <c r="C16671" t="s">
        <v>433</v>
      </c>
      <c r="F16671">
        <v>9.0121751586704595E-9</v>
      </c>
      <c r="G16671">
        <v>7973643</v>
      </c>
      <c r="H16671">
        <v>12581501</v>
      </c>
      <c r="I16671">
        <v>16492679</v>
      </c>
      <c r="J16671">
        <v>4</v>
      </c>
    </row>
    <row r="16672" spans="1:10" x14ac:dyDescent="0.25">
      <c r="A16672" t="s">
        <v>173</v>
      </c>
      <c r="B16672" s="1" t="str">
        <f>HYPERLINK("http://rickball.com","rickball.com")</f>
        <v>rickball.com</v>
      </c>
      <c r="C16672" t="s">
        <v>433</v>
      </c>
      <c r="F16672">
        <v>4.50219164890064E-9</v>
      </c>
      <c r="G16672">
        <v>58614247</v>
      </c>
      <c r="H16672">
        <v>10584426</v>
      </c>
      <c r="I16672">
        <v>45732531</v>
      </c>
      <c r="J16672">
        <v>7</v>
      </c>
    </row>
    <row r="16673" spans="1:10" x14ac:dyDescent="0.25">
      <c r="A16673" t="s">
        <v>173</v>
      </c>
      <c r="B16673" s="1" t="str">
        <f>HYPERLINK("http://rickballautomall.com","rickballautomall.com")</f>
        <v>rickballautomall.com</v>
      </c>
      <c r="C16673" t="s">
        <v>433</v>
      </c>
      <c r="F16673">
        <v>4.4548653057429298E-9</v>
      </c>
      <c r="G16673">
        <v>69570737</v>
      </c>
      <c r="H16673">
        <v>12075227</v>
      </c>
      <c r="I16673">
        <v>26682152</v>
      </c>
      <c r="J16673">
        <v>4</v>
      </c>
    </row>
    <row r="16674" spans="1:10" x14ac:dyDescent="0.25">
      <c r="A16674" t="s">
        <v>173</v>
      </c>
      <c r="B16674" s="1" t="str">
        <f>HYPERLINK("http://riversideofprescott.com","riversideofprescott.com")</f>
        <v>riversideofprescott.com</v>
      </c>
      <c r="C16674" t="s">
        <v>433</v>
      </c>
      <c r="F16674">
        <v>6.3036659136304103E-9</v>
      </c>
      <c r="G16674">
        <v>15014057</v>
      </c>
      <c r="H16674">
        <v>12060245</v>
      </c>
      <c r="I16674">
        <v>27009940</v>
      </c>
      <c r="J16674">
        <v>8</v>
      </c>
    </row>
    <row r="16675" spans="1:10" x14ac:dyDescent="0.25">
      <c r="A16675" t="s">
        <v>173</v>
      </c>
      <c r="B16675" s="1" t="str">
        <f>HYPERLINK("http://rizzacadillac.com","rizzacadillac.com")</f>
        <v>rizzacadillac.com</v>
      </c>
      <c r="C16675" t="s">
        <v>433</v>
      </c>
      <c r="F16675">
        <v>5.0441428491760599E-9</v>
      </c>
      <c r="G16675">
        <v>28350976</v>
      </c>
      <c r="H16675">
        <v>10542273</v>
      </c>
      <c r="I16675">
        <v>47085125</v>
      </c>
      <c r="J16675">
        <v>4</v>
      </c>
    </row>
    <row r="16676" spans="1:10" x14ac:dyDescent="0.25">
      <c r="A16676" t="s">
        <v>173</v>
      </c>
      <c r="B16676" s="1" t="str">
        <f>HYPERLINK("http://rockvillechevrolet.com","rockvillechevrolet.com")</f>
        <v>rockvillechevrolet.com</v>
      </c>
      <c r="C16676" t="s">
        <v>433</v>
      </c>
      <c r="F16676">
        <v>5.9752790567199402E-9</v>
      </c>
      <c r="G16676">
        <v>16848364</v>
      </c>
      <c r="H16676">
        <v>12272862</v>
      </c>
      <c r="I16676">
        <v>21461051</v>
      </c>
      <c r="J16676">
        <v>4</v>
      </c>
    </row>
    <row r="16677" spans="1:10" x14ac:dyDescent="0.25">
      <c r="A16677" t="s">
        <v>173</v>
      </c>
      <c r="B16677" s="1" t="str">
        <f>HYPERLINK("http://rushchevrolet.com","rushchevrolet.com")</f>
        <v>rushchevrolet.com</v>
      </c>
      <c r="C16677" t="s">
        <v>433</v>
      </c>
      <c r="F16677">
        <v>6.2818669669162697E-9</v>
      </c>
      <c r="G16677">
        <v>15118603</v>
      </c>
      <c r="H16677">
        <v>13933064</v>
      </c>
      <c r="I16677">
        <v>5031822</v>
      </c>
      <c r="J16677">
        <v>4</v>
      </c>
    </row>
    <row r="16678" spans="1:10" x14ac:dyDescent="0.25">
      <c r="A16678" t="s">
        <v>173</v>
      </c>
      <c r="B16678" s="1" t="str">
        <f>HYPERLINK("http://ryanchevy.com","ryanchevy.com")</f>
        <v>ryanchevy.com</v>
      </c>
      <c r="C16678" t="s">
        <v>433</v>
      </c>
      <c r="F16678">
        <v>6.5021552526896E-9</v>
      </c>
      <c r="G16678">
        <v>14069147</v>
      </c>
      <c r="H16678">
        <v>10941400</v>
      </c>
      <c r="I16678">
        <v>34792591</v>
      </c>
      <c r="J16678">
        <v>4</v>
      </c>
    </row>
    <row r="16679" spans="1:10" x14ac:dyDescent="0.25">
      <c r="A16679" t="s">
        <v>173</v>
      </c>
      <c r="B16679" s="1" t="str">
        <f>HYPERLINK("http://saic-gm.com","saic-gm.com")</f>
        <v>saic-gm.com</v>
      </c>
      <c r="C16679" t="s">
        <v>433</v>
      </c>
      <c r="E16679">
        <v>338629</v>
      </c>
      <c r="F16679">
        <v>8.9095526009242195E-8</v>
      </c>
      <c r="G16679">
        <v>458792</v>
      </c>
      <c r="H16679">
        <v>14138584</v>
      </c>
      <c r="I16679">
        <v>1946265</v>
      </c>
      <c r="J16679">
        <v>3</v>
      </c>
    </row>
    <row r="16680" spans="1:10" x14ac:dyDescent="0.25">
      <c r="A16680" t="s">
        <v>173</v>
      </c>
      <c r="B16680" s="1" t="str">
        <f>HYPERLINK("http://saicgmac.com","saicgmac.com")</f>
        <v>saicgmac.com</v>
      </c>
      <c r="C16680" t="s">
        <v>433</v>
      </c>
      <c r="F16680">
        <v>5.2839893347761398E-8</v>
      </c>
      <c r="G16680">
        <v>862232</v>
      </c>
      <c r="H16680">
        <v>10848629</v>
      </c>
      <c r="I16680">
        <v>36888807</v>
      </c>
      <c r="J16680">
        <v>3</v>
      </c>
    </row>
    <row r="16681" spans="1:10" x14ac:dyDescent="0.25">
      <c r="A16681" t="s">
        <v>173</v>
      </c>
      <c r="B16681" s="1" t="str">
        <f>HYPERLINK("http://saturn.com","saturn.com")</f>
        <v>saturn.com</v>
      </c>
      <c r="C16681" t="s">
        <v>433</v>
      </c>
      <c r="E16681">
        <v>370927</v>
      </c>
      <c r="F16681">
        <v>6.8275374600037506E-8</v>
      </c>
      <c r="G16681">
        <v>624857</v>
      </c>
      <c r="H16681">
        <v>14551099</v>
      </c>
      <c r="I16681">
        <v>758712</v>
      </c>
      <c r="J16681">
        <v>4</v>
      </c>
    </row>
    <row r="16682" spans="1:10" x14ac:dyDescent="0.25">
      <c r="A16682" t="s">
        <v>173</v>
      </c>
      <c r="B16682" s="1" t="str">
        <f>HYPERLINK("http://saturnofconcord.com","saturnofconcord.com")</f>
        <v>saturnofconcord.com</v>
      </c>
      <c r="C16682" t="s">
        <v>433</v>
      </c>
      <c r="J16682">
        <v>7</v>
      </c>
    </row>
    <row r="16683" spans="1:10" x14ac:dyDescent="0.25">
      <c r="A16683" t="s">
        <v>173</v>
      </c>
      <c r="B16683" s="1" t="str">
        <f>HYPERLINK("http://seawaygm.com","seawaygm.com")</f>
        <v>seawaygm.com</v>
      </c>
      <c r="C16683" t="s">
        <v>433</v>
      </c>
      <c r="F16683">
        <v>4.6740509095806903E-9</v>
      </c>
      <c r="G16683">
        <v>42700666</v>
      </c>
      <c r="H16683">
        <v>12074776</v>
      </c>
      <c r="I16683">
        <v>26691323</v>
      </c>
      <c r="J16683">
        <v>4</v>
      </c>
    </row>
    <row r="16684" spans="1:10" x14ac:dyDescent="0.25">
      <c r="A16684" t="s">
        <v>173</v>
      </c>
      <c r="B16684" s="1" t="str">
        <f>HYPERLINK("http://sept-ilesgm.com","sept-ilesgm.com")</f>
        <v>sept-ilesgm.com</v>
      </c>
      <c r="C16684" t="s">
        <v>433</v>
      </c>
      <c r="F16684">
        <v>5.0868121557407203E-9</v>
      </c>
      <c r="G16684">
        <v>27361652</v>
      </c>
      <c r="H16684">
        <v>10668586</v>
      </c>
      <c r="I16684">
        <v>43015981</v>
      </c>
      <c r="J16684">
        <v>4</v>
      </c>
    </row>
    <row r="16685" spans="1:10" x14ac:dyDescent="0.25">
      <c r="A16685" t="s">
        <v>173</v>
      </c>
      <c r="B16685" s="1" t="str">
        <f>HYPERLINK("http://servicemotorchevrolet.com","servicemotorchevrolet.com")</f>
        <v>servicemotorchevrolet.com</v>
      </c>
      <c r="C16685" t="s">
        <v>433</v>
      </c>
      <c r="F16685">
        <v>4.4585231676224202E-9</v>
      </c>
      <c r="G16685">
        <v>68225430</v>
      </c>
      <c r="H16685">
        <v>11921881</v>
      </c>
      <c r="I16685">
        <v>29366574</v>
      </c>
      <c r="J16685">
        <v>4</v>
      </c>
    </row>
    <row r="16686" spans="1:10" x14ac:dyDescent="0.25">
      <c r="A16686" t="s">
        <v>173</v>
      </c>
      <c r="B16686" s="1" t="str">
        <f>HYPERLINK("http://shaganappi.com","shaganappi.com")</f>
        <v>shaganappi.com</v>
      </c>
      <c r="C16686" t="s">
        <v>433</v>
      </c>
      <c r="F16686">
        <v>5.79166148420317E-9</v>
      </c>
      <c r="G16686">
        <v>18151196</v>
      </c>
      <c r="H16686">
        <v>12670079</v>
      </c>
      <c r="I16686">
        <v>15624065</v>
      </c>
      <c r="J16686">
        <v>4</v>
      </c>
    </row>
    <row r="16687" spans="1:10" x14ac:dyDescent="0.25">
      <c r="A16687" t="s">
        <v>173</v>
      </c>
      <c r="B16687" s="1" t="str">
        <f>HYPERLINK("http://siddillonwahoo.com","siddillonwahoo.com")</f>
        <v>siddillonwahoo.com</v>
      </c>
      <c r="C16687" t="s">
        <v>433</v>
      </c>
      <c r="F16687">
        <v>5.1602918802139704E-9</v>
      </c>
      <c r="G16687">
        <v>25896462</v>
      </c>
      <c r="H16687">
        <v>12360174</v>
      </c>
      <c r="I16687">
        <v>19581635</v>
      </c>
      <c r="J16687">
        <v>4</v>
      </c>
    </row>
    <row r="16688" spans="1:10" x14ac:dyDescent="0.25">
      <c r="A16688" t="s">
        <v>173</v>
      </c>
      <c r="B16688" s="1" t="str">
        <f>HYPERLINK("http://stevinsonchevrolet.com","stevinsonchevrolet.com")</f>
        <v>stevinsonchevrolet.com</v>
      </c>
      <c r="C16688" t="s">
        <v>433</v>
      </c>
      <c r="F16688">
        <v>6.3437656628838403E-9</v>
      </c>
      <c r="G16688">
        <v>14792387</v>
      </c>
      <c r="H16688">
        <v>12266790</v>
      </c>
      <c r="I16688">
        <v>21599127</v>
      </c>
      <c r="J16688">
        <v>4</v>
      </c>
    </row>
    <row r="16689" spans="1:10" x14ac:dyDescent="0.25">
      <c r="A16689" t="s">
        <v>173</v>
      </c>
      <c r="B16689" s="1" t="str">
        <f>HYPERLINK("http://suburbanchevrolet.com","suburbanchevrolet.com")</f>
        <v>suburbanchevrolet.com</v>
      </c>
      <c r="C16689" t="s">
        <v>433</v>
      </c>
      <c r="F16689">
        <v>1.1166404382295099E-8</v>
      </c>
      <c r="G16689">
        <v>5737280</v>
      </c>
      <c r="H16689">
        <v>12466265</v>
      </c>
      <c r="I16689">
        <v>17803879</v>
      </c>
      <c r="J16689">
        <v>4</v>
      </c>
    </row>
    <row r="16690" spans="1:10" x14ac:dyDescent="0.25">
      <c r="A16690" t="s">
        <v>173</v>
      </c>
      <c r="B16690" s="1" t="str">
        <f>HYPERLINK("http://suttonchevrolet.com","suttonchevrolet.com")</f>
        <v>suttonchevrolet.com</v>
      </c>
      <c r="C16690" t="s">
        <v>433</v>
      </c>
      <c r="F16690">
        <v>4.4478858401801803E-9</v>
      </c>
      <c r="G16690">
        <v>73219897</v>
      </c>
      <c r="H16690">
        <v>11911139</v>
      </c>
      <c r="I16690">
        <v>29431141</v>
      </c>
      <c r="J16690">
        <v>4</v>
      </c>
    </row>
    <row r="16691" spans="1:10" x14ac:dyDescent="0.25">
      <c r="A16691" t="s">
        <v>173</v>
      </c>
      <c r="B16691" s="1" t="str">
        <f>HYPERLINK("http://terryvillechevy.com","terryvillechevy.com")</f>
        <v>terryvillechevy.com</v>
      </c>
      <c r="C16691" t="s">
        <v>433</v>
      </c>
      <c r="F16691">
        <v>6.11873133374352E-9</v>
      </c>
      <c r="G16691">
        <v>15986723</v>
      </c>
      <c r="H16691">
        <v>12566792</v>
      </c>
      <c r="I16691">
        <v>16653400</v>
      </c>
      <c r="J16691">
        <v>4</v>
      </c>
    </row>
    <row r="16692" spans="1:10" x14ac:dyDescent="0.25">
      <c r="A16692" t="s">
        <v>173</v>
      </c>
      <c r="B16692" s="1" t="str">
        <f>HYPERLINK("http://tonkinchevrolet.com","tonkinchevrolet.com")</f>
        <v>tonkinchevrolet.com</v>
      </c>
      <c r="C16692" t="s">
        <v>433</v>
      </c>
      <c r="F16692">
        <v>1.0018747108922001E-8</v>
      </c>
      <c r="G16692">
        <v>6737184</v>
      </c>
      <c r="H16692">
        <v>12570531</v>
      </c>
      <c r="I16692">
        <v>16622336</v>
      </c>
      <c r="J16692">
        <v>4</v>
      </c>
    </row>
    <row r="16693" spans="1:10" x14ac:dyDescent="0.25">
      <c r="A16693" t="s">
        <v>173</v>
      </c>
      <c r="B16693" s="1" t="str">
        <f>HYPERLINK("http://troisriviereschevrolet.com","troisriviereschevrolet.com")</f>
        <v>troisriviereschevrolet.com</v>
      </c>
      <c r="C16693" t="s">
        <v>433</v>
      </c>
      <c r="F16693">
        <v>6.3780968388055997E-9</v>
      </c>
      <c r="G16693">
        <v>14626363</v>
      </c>
      <c r="H16693">
        <v>11202821</v>
      </c>
      <c r="I16693">
        <v>31226364</v>
      </c>
      <c r="J16693">
        <v>4</v>
      </c>
    </row>
    <row r="16694" spans="1:10" x14ac:dyDescent="0.25">
      <c r="A16694" t="s">
        <v>173</v>
      </c>
      <c r="B16694" s="1" t="str">
        <f>HYPERLINK("http://twinfallschevrolet.com","twinfallschevrolet.com")</f>
        <v>twinfallschevrolet.com</v>
      </c>
      <c r="C16694" t="s">
        <v>433</v>
      </c>
      <c r="F16694">
        <v>4.5928378526395099E-9</v>
      </c>
      <c r="G16694">
        <v>48179428</v>
      </c>
      <c r="H16694">
        <v>12019106</v>
      </c>
      <c r="I16694">
        <v>27883670</v>
      </c>
      <c r="J16694">
        <v>4</v>
      </c>
    </row>
    <row r="16695" spans="1:10" x14ac:dyDescent="0.25">
      <c r="A16695" t="s">
        <v>173</v>
      </c>
      <c r="B16695" s="1" t="str">
        <f>HYPERLINK("http://tyrrelldoylechevrolet.com","tyrrelldoylechevrolet.com")</f>
        <v>tyrrelldoylechevrolet.com</v>
      </c>
      <c r="C16695" t="s">
        <v>433</v>
      </c>
      <c r="F16695">
        <v>4.4579357287253898E-9</v>
      </c>
      <c r="G16695">
        <v>68415823</v>
      </c>
      <c r="H16695">
        <v>10407066</v>
      </c>
      <c r="I16695">
        <v>54099673</v>
      </c>
      <c r="J16695">
        <v>4</v>
      </c>
    </row>
    <row r="16696" spans="1:10" x14ac:dyDescent="0.25">
      <c r="A16696" t="s">
        <v>173</v>
      </c>
      <c r="B16696" s="1" t="str">
        <f>HYPERLINK("http://ulmercadillac.com","ulmercadillac.com")</f>
        <v>ulmercadillac.com</v>
      </c>
      <c r="C16696" t="s">
        <v>433</v>
      </c>
      <c r="F16696">
        <v>4.44380395335525E-9</v>
      </c>
      <c r="G16696">
        <v>83843126</v>
      </c>
      <c r="H16696">
        <v>0</v>
      </c>
      <c r="I16696">
        <v>84755779</v>
      </c>
      <c r="J16696">
        <v>4</v>
      </c>
    </row>
    <row r="16697" spans="1:10" x14ac:dyDescent="0.25">
      <c r="A16697" t="s">
        <v>173</v>
      </c>
      <c r="B16697" s="1" t="str">
        <f>HYPERLINK("http://ulmerchev.com","ulmerchev.com")</f>
        <v>ulmerchev.com</v>
      </c>
      <c r="C16697" t="s">
        <v>433</v>
      </c>
      <c r="F16697">
        <v>8.7604000174644203E-9</v>
      </c>
      <c r="G16697">
        <v>8375142</v>
      </c>
      <c r="H16697">
        <v>12047272</v>
      </c>
      <c r="I16697">
        <v>27321837</v>
      </c>
      <c r="J16697">
        <v>4</v>
      </c>
    </row>
    <row r="16698" spans="1:10" x14ac:dyDescent="0.25">
      <c r="A16698" t="s">
        <v>173</v>
      </c>
      <c r="B16698" s="1" t="str">
        <f>HYPERLINK("http://ultiumcell.com","ultiumcell.com")</f>
        <v>ultiumcell.com</v>
      </c>
      <c r="C16698" t="s">
        <v>433</v>
      </c>
      <c r="F16698">
        <v>7.5438055034586901E-8</v>
      </c>
      <c r="G16698">
        <v>557288</v>
      </c>
      <c r="H16698">
        <v>13606561</v>
      </c>
      <c r="I16698">
        <v>9640858</v>
      </c>
      <c r="J16698">
        <v>3</v>
      </c>
    </row>
    <row r="16699" spans="1:10" x14ac:dyDescent="0.25">
      <c r="A16699" t="s">
        <v>173</v>
      </c>
      <c r="B16699" s="1" t="str">
        <f>HYPERLINK("http://vyletelbuickgmc.com","vyletelbuickgmc.com")</f>
        <v>vyletelbuickgmc.com</v>
      </c>
      <c r="C16699" t="s">
        <v>433</v>
      </c>
      <c r="F16699">
        <v>5.8531220929655597E-9</v>
      </c>
      <c r="G16699">
        <v>17687785</v>
      </c>
      <c r="H16699">
        <v>12387535</v>
      </c>
      <c r="I16699">
        <v>19089672</v>
      </c>
      <c r="J16699">
        <v>8</v>
      </c>
    </row>
    <row r="16700" spans="1:10" x14ac:dyDescent="0.25">
      <c r="A16700" t="s">
        <v>173</v>
      </c>
      <c r="B16700" s="1" t="str">
        <f>HYPERLINK("http://wallacechev.com","wallacechev.com")</f>
        <v>wallacechev.com</v>
      </c>
      <c r="C16700" t="s">
        <v>433</v>
      </c>
      <c r="F16700">
        <v>1.02073123738577E-8</v>
      </c>
      <c r="G16700">
        <v>6539815</v>
      </c>
      <c r="H16700">
        <v>12525585</v>
      </c>
      <c r="I16700">
        <v>17090727</v>
      </c>
      <c r="J16700">
        <v>4</v>
      </c>
    </row>
    <row r="16701" spans="1:10" x14ac:dyDescent="0.25">
      <c r="A16701" t="s">
        <v>173</v>
      </c>
      <c r="B16701" s="1" t="str">
        <f>HYPERLINK("http://watsonchevrolet.com","watsonchevrolet.com")</f>
        <v>watsonchevrolet.com</v>
      </c>
      <c r="C16701" t="s">
        <v>433</v>
      </c>
      <c r="F16701">
        <v>6.0301770424971603E-9</v>
      </c>
      <c r="G16701">
        <v>16498695</v>
      </c>
      <c r="H16701">
        <v>12670753</v>
      </c>
      <c r="I16701">
        <v>15620443</v>
      </c>
      <c r="J16701">
        <v>4</v>
      </c>
    </row>
    <row r="16702" spans="1:10" x14ac:dyDescent="0.25">
      <c r="A16702" t="s">
        <v>173</v>
      </c>
      <c r="B16702" s="1" t="str">
        <f>HYPERLINK("http://westgatechev.com","westgatechev.com")</f>
        <v>westgatechev.com</v>
      </c>
      <c r="C16702" t="s">
        <v>433</v>
      </c>
      <c r="F16702">
        <v>6.2461540178902404E-9</v>
      </c>
      <c r="G16702">
        <v>15294215</v>
      </c>
      <c r="H16702">
        <v>12050713</v>
      </c>
      <c r="I16702">
        <v>27216449</v>
      </c>
      <c r="J16702">
        <v>4</v>
      </c>
    </row>
    <row r="16703" spans="1:10" x14ac:dyDescent="0.25">
      <c r="A16703" t="s">
        <v>173</v>
      </c>
      <c r="B16703" s="1" t="str">
        <f>HYPERLINK("http://westridgegmc.com","westridgegmc.com")</f>
        <v>westridgegmc.com</v>
      </c>
      <c r="C16703" t="s">
        <v>433</v>
      </c>
      <c r="F16703">
        <v>5.5294989518446604E-9</v>
      </c>
      <c r="G16703">
        <v>20589408</v>
      </c>
      <c r="H16703">
        <v>12195495</v>
      </c>
      <c r="I16703">
        <v>23438917</v>
      </c>
      <c r="J16703">
        <v>4</v>
      </c>
    </row>
    <row r="16704" spans="1:10" x14ac:dyDescent="0.25">
      <c r="A16704" t="s">
        <v>173</v>
      </c>
      <c r="B16704" s="1" t="str">
        <f>HYPERLINK("http://whiteriverchevrolet.com","whiteriverchevrolet.com")</f>
        <v>whiteriverchevrolet.com</v>
      </c>
      <c r="C16704" t="s">
        <v>433</v>
      </c>
      <c r="F16704">
        <v>5.5122287044708302E-9</v>
      </c>
      <c r="G16704">
        <v>20769423</v>
      </c>
      <c r="H16704">
        <v>12074558</v>
      </c>
      <c r="I16704">
        <v>26695113</v>
      </c>
      <c r="J16704">
        <v>4</v>
      </c>
    </row>
    <row r="16705" spans="1:10" x14ac:dyDescent="0.25">
      <c r="A16705" t="s">
        <v>173</v>
      </c>
      <c r="B16705" s="1" t="str">
        <f>HYPERLINK("http://whitmorechevy.com","whitmorechevy.com")</f>
        <v>whitmorechevy.com</v>
      </c>
      <c r="C16705" t="s">
        <v>433</v>
      </c>
      <c r="F16705">
        <v>5.4877040481139298E-9</v>
      </c>
      <c r="G16705">
        <v>21040060</v>
      </c>
      <c r="H16705">
        <v>12173865</v>
      </c>
      <c r="I16705">
        <v>23963266</v>
      </c>
      <c r="J16705">
        <v>4</v>
      </c>
    </row>
    <row r="16706" spans="1:10" x14ac:dyDescent="0.25">
      <c r="A16706" t="s">
        <v>173</v>
      </c>
      <c r="B16706" s="1" t="str">
        <f>HYPERLINK("http://wilsonchevy.com","wilsonchevy.com")</f>
        <v>wilsonchevy.com</v>
      </c>
      <c r="C16706" t="s">
        <v>433</v>
      </c>
      <c r="F16706">
        <v>4.80689792489186E-9</v>
      </c>
      <c r="G16706">
        <v>35817049</v>
      </c>
      <c r="H16706">
        <v>12329596</v>
      </c>
      <c r="I16706">
        <v>20217528</v>
      </c>
      <c r="J16706">
        <v>4</v>
      </c>
    </row>
    <row r="16707" spans="1:10" x14ac:dyDescent="0.25">
      <c r="A16707" t="s">
        <v>173</v>
      </c>
      <c r="B16707" s="1" t="str">
        <f>HYPERLINK("http://winchevrolet.com","winchevrolet.com")</f>
        <v>winchevrolet.com</v>
      </c>
      <c r="C16707" t="s">
        <v>433</v>
      </c>
      <c r="F16707">
        <v>6.1780689054521803E-9</v>
      </c>
      <c r="G16707">
        <v>15650074</v>
      </c>
      <c r="H16707">
        <v>12396619</v>
      </c>
      <c r="I16707">
        <v>18901474</v>
      </c>
      <c r="J16707">
        <v>4</v>
      </c>
    </row>
    <row r="16708" spans="1:10" x14ac:dyDescent="0.25">
      <c r="A16708" t="s">
        <v>173</v>
      </c>
      <c r="B16708" s="1" t="str">
        <f>HYPERLINK("http://wolfecadillaccalgary.com","wolfecadillaccalgary.com")</f>
        <v>wolfecadillaccalgary.com</v>
      </c>
      <c r="C16708" t="s">
        <v>433</v>
      </c>
      <c r="F16708">
        <v>5.7017555921105798E-9</v>
      </c>
      <c r="G16708">
        <v>18946054</v>
      </c>
      <c r="H16708">
        <v>10110955</v>
      </c>
      <c r="I16708">
        <v>59799040</v>
      </c>
      <c r="J16708">
        <v>4</v>
      </c>
    </row>
    <row r="16709" spans="1:10" x14ac:dyDescent="0.25">
      <c r="A16709" t="s">
        <v>173</v>
      </c>
      <c r="B16709" s="1" t="str">
        <f>HYPERLINK("http://wolfecadillacedmonton.com","wolfecadillacedmonton.com")</f>
        <v>wolfecadillacedmonton.com</v>
      </c>
      <c r="C16709" t="s">
        <v>433</v>
      </c>
      <c r="F16709">
        <v>1.4273536660968701E-8</v>
      </c>
      <c r="G16709">
        <v>4102605</v>
      </c>
      <c r="H16709">
        <v>13464817</v>
      </c>
      <c r="I16709">
        <v>10072474</v>
      </c>
      <c r="J16709">
        <v>4</v>
      </c>
    </row>
    <row r="16710" spans="1:10" x14ac:dyDescent="0.25">
      <c r="A16710" t="s">
        <v>173</v>
      </c>
      <c r="B16710" s="1" t="str">
        <f>HYPERLINK("http://woodruffchevrolet.com","woodruffchevrolet.com")</f>
        <v>woodruffchevrolet.com</v>
      </c>
      <c r="C16710" t="s">
        <v>433</v>
      </c>
      <c r="F16710">
        <v>4.6420696798482104E-9</v>
      </c>
      <c r="G16710">
        <v>44656556</v>
      </c>
      <c r="H16710">
        <v>11964822</v>
      </c>
      <c r="I16710">
        <v>28807419</v>
      </c>
      <c r="J16710">
        <v>4</v>
      </c>
    </row>
    <row r="16711" spans="1:10" x14ac:dyDescent="0.25">
      <c r="A16711" t="s">
        <v>173</v>
      </c>
      <c r="B16711" s="1" t="str">
        <f>HYPERLINK("http://wreinc.com","wreinc.com")</f>
        <v>wreinc.com</v>
      </c>
      <c r="C16711" t="s">
        <v>433</v>
      </c>
      <c r="F16711">
        <v>4.4702181726584098E-9</v>
      </c>
      <c r="G16711">
        <v>64514502</v>
      </c>
      <c r="H16711">
        <v>1.0003663</v>
      </c>
      <c r="I16711">
        <v>79190564</v>
      </c>
      <c r="J16711">
        <v>3</v>
      </c>
    </row>
    <row r="16712" spans="1:10" x14ac:dyDescent="0.25">
      <c r="A16712" t="s">
        <v>173</v>
      </c>
      <c r="B16712" s="1" t="str">
        <f>HYPERLINK("http://yeschevrolet.com","yeschevrolet.com")</f>
        <v>yeschevrolet.com</v>
      </c>
      <c r="C16712" t="s">
        <v>433</v>
      </c>
      <c r="F16712">
        <v>4.86570775206197E-9</v>
      </c>
      <c r="G16712">
        <v>33569369</v>
      </c>
      <c r="H16712">
        <v>12402627</v>
      </c>
      <c r="I16712">
        <v>18738906</v>
      </c>
      <c r="J16712">
        <v>4</v>
      </c>
    </row>
    <row r="16713" spans="1:10" x14ac:dyDescent="0.25">
      <c r="A16713" t="s">
        <v>173</v>
      </c>
      <c r="B16713" s="1" t="str">
        <f>HYPERLINK("http://astyx.de","astyx.de")</f>
        <v>astyx.de</v>
      </c>
      <c r="C16713" t="s">
        <v>436</v>
      </c>
      <c r="D16713" t="s">
        <v>815</v>
      </c>
      <c r="F16713">
        <v>4.44380395335525E-9</v>
      </c>
      <c r="G16713">
        <v>84247829</v>
      </c>
      <c r="H16713">
        <v>0</v>
      </c>
      <c r="I16713">
        <v>85263717</v>
      </c>
      <c r="J16713">
        <v>3</v>
      </c>
    </row>
    <row r="16714" spans="1:10" x14ac:dyDescent="0.25">
      <c r="A16714" t="s">
        <v>173</v>
      </c>
      <c r="B16714" s="1" t="str">
        <f>HYPERLINK("http://autohaus-lieck.de","autohaus-lieck.de")</f>
        <v>autohaus-lieck.de</v>
      </c>
      <c r="C16714" t="s">
        <v>436</v>
      </c>
      <c r="D16714" t="s">
        <v>815</v>
      </c>
      <c r="F16714">
        <v>4.50502372180256E-9</v>
      </c>
      <c r="G16714">
        <v>58208755</v>
      </c>
      <c r="H16714">
        <v>10841249</v>
      </c>
      <c r="I16714">
        <v>37089281</v>
      </c>
      <c r="J16714">
        <v>4</v>
      </c>
    </row>
    <row r="16715" spans="1:10" x14ac:dyDescent="0.25">
      <c r="A16715" t="s">
        <v>173</v>
      </c>
      <c r="B16715" s="1" t="str">
        <f>HYPERLINK("http://cadillac.de","cadillac.de")</f>
        <v>cadillac.de</v>
      </c>
      <c r="C16715" t="s">
        <v>436</v>
      </c>
      <c r="D16715" t="s">
        <v>815</v>
      </c>
      <c r="F16715">
        <v>6.3008460600088504E-8</v>
      </c>
      <c r="G16715">
        <v>692189</v>
      </c>
      <c r="H16715">
        <v>14073695</v>
      </c>
      <c r="I16715">
        <v>2977803</v>
      </c>
      <c r="J16715">
        <v>3</v>
      </c>
    </row>
    <row r="16716" spans="1:10" x14ac:dyDescent="0.25">
      <c r="A16716" t="s">
        <v>173</v>
      </c>
      <c r="B16716" s="1" t="str">
        <f>HYPERLINK("http://chevrolet.de","chevrolet.de")</f>
        <v>chevrolet.de</v>
      </c>
      <c r="C16716" t="s">
        <v>436</v>
      </c>
      <c r="D16716" t="s">
        <v>815</v>
      </c>
      <c r="F16716">
        <v>6.4008686321611396E-8</v>
      </c>
      <c r="G16716">
        <v>677159</v>
      </c>
      <c r="H16716">
        <v>14503145</v>
      </c>
      <c r="I16716">
        <v>843740</v>
      </c>
      <c r="J16716">
        <v>3</v>
      </c>
    </row>
    <row r="16717" spans="1:10" x14ac:dyDescent="0.25">
      <c r="A16717" t="s">
        <v>173</v>
      </c>
      <c r="B16717" s="1" t="str">
        <f>HYPERLINK("http://chevrolet-voigt.de","chevrolet-voigt.de")</f>
        <v>chevrolet-voigt.de</v>
      </c>
      <c r="C16717" t="s">
        <v>436</v>
      </c>
      <c r="D16717" t="s">
        <v>815</v>
      </c>
      <c r="F16717">
        <v>4.44380395335525E-9</v>
      </c>
      <c r="G16717">
        <v>84284757</v>
      </c>
      <c r="H16717">
        <v>0</v>
      </c>
      <c r="I16717">
        <v>85307590</v>
      </c>
      <c r="J16717">
        <v>4</v>
      </c>
    </row>
    <row r="16718" spans="1:10" x14ac:dyDescent="0.25">
      <c r="A16718" t="s">
        <v>173</v>
      </c>
      <c r="B16718" s="1" t="str">
        <f>HYPERLINK("http://chevrolet.com.do","chevrolet.com.do")</f>
        <v>chevrolet.com.do</v>
      </c>
      <c r="C16718" t="s">
        <v>438</v>
      </c>
      <c r="D16718" t="s">
        <v>817</v>
      </c>
      <c r="F16718">
        <v>2.19628092665747E-8</v>
      </c>
      <c r="G16718">
        <v>2390629</v>
      </c>
      <c r="H16718">
        <v>12505448</v>
      </c>
      <c r="I16718">
        <v>17290130</v>
      </c>
      <c r="J16718">
        <v>4</v>
      </c>
    </row>
    <row r="16719" spans="1:10" x14ac:dyDescent="0.25">
      <c r="A16719" t="s">
        <v>173</v>
      </c>
      <c r="B16719" s="1" t="str">
        <f>HYPERLINK("http://chevrolet.com.ec","chevrolet.com.ec")</f>
        <v>chevrolet.com.ec</v>
      </c>
      <c r="C16719" t="s">
        <v>440</v>
      </c>
      <c r="D16719" t="s">
        <v>819</v>
      </c>
      <c r="F16719">
        <v>6.4051998142743795E-8</v>
      </c>
      <c r="G16719">
        <v>676587</v>
      </c>
      <c r="H16719">
        <v>14073121</v>
      </c>
      <c r="I16719">
        <v>3015716</v>
      </c>
      <c r="J16719">
        <v>4</v>
      </c>
    </row>
    <row r="16720" spans="1:10" x14ac:dyDescent="0.25">
      <c r="A16720" t="s">
        <v>173</v>
      </c>
      <c r="B16720" s="1" t="str">
        <f>HYPERLINK("http://chevrolet.fi","chevrolet.fi")</f>
        <v>chevrolet.fi</v>
      </c>
      <c r="C16720" t="s">
        <v>445</v>
      </c>
      <c r="D16720" t="s">
        <v>823</v>
      </c>
      <c r="F16720">
        <v>6.1979548774646297E-9</v>
      </c>
      <c r="G16720">
        <v>15547179</v>
      </c>
      <c r="H16720">
        <v>13763644</v>
      </c>
      <c r="I16720">
        <v>7910969</v>
      </c>
      <c r="J16720">
        <v>4</v>
      </c>
    </row>
    <row r="16721" spans="1:10" x14ac:dyDescent="0.25">
      <c r="A16721" t="s">
        <v>173</v>
      </c>
      <c r="B16721" s="1" t="str">
        <f>HYPERLINK("http://chevy.fi","chevy.fi")</f>
        <v>chevy.fi</v>
      </c>
      <c r="C16721" t="s">
        <v>445</v>
      </c>
      <c r="D16721" t="s">
        <v>823</v>
      </c>
      <c r="J16721">
        <v>4</v>
      </c>
    </row>
    <row r="16722" spans="1:10" x14ac:dyDescent="0.25">
      <c r="A16722" t="s">
        <v>173</v>
      </c>
      <c r="B16722" s="1" t="str">
        <f>HYPERLINK("http://corvette.fi","corvette.fi")</f>
        <v>corvette.fi</v>
      </c>
      <c r="C16722" t="s">
        <v>445</v>
      </c>
      <c r="D16722" t="s">
        <v>823</v>
      </c>
      <c r="J16722">
        <v>4</v>
      </c>
    </row>
    <row r="16723" spans="1:10" x14ac:dyDescent="0.25">
      <c r="A16723" t="s">
        <v>173</v>
      </c>
      <c r="B16723" s="1" t="str">
        <f>HYPERLINK("http://mychevrolet.fi","mychevrolet.fi")</f>
        <v>mychevrolet.fi</v>
      </c>
      <c r="C16723" t="s">
        <v>445</v>
      </c>
      <c r="D16723" t="s">
        <v>823</v>
      </c>
      <c r="J16723">
        <v>4</v>
      </c>
    </row>
    <row r="16724" spans="1:10" x14ac:dyDescent="0.25">
      <c r="A16724" t="s">
        <v>173</v>
      </c>
      <c r="B16724" s="1" t="str">
        <f>HYPERLINK("http://myonstar.fi","myonstar.fi")</f>
        <v>myonstar.fi</v>
      </c>
      <c r="C16724" t="s">
        <v>445</v>
      </c>
      <c r="D16724" t="s">
        <v>823</v>
      </c>
      <c r="J16724">
        <v>4</v>
      </c>
    </row>
    <row r="16725" spans="1:10" x14ac:dyDescent="0.25">
      <c r="A16725" t="s">
        <v>173</v>
      </c>
      <c r="B16725" s="1" t="str">
        <f>HYPERLINK("http://onstar.fi","onstar.fi")</f>
        <v>onstar.fi</v>
      </c>
      <c r="C16725" t="s">
        <v>445</v>
      </c>
      <c r="D16725" t="s">
        <v>823</v>
      </c>
      <c r="J16725">
        <v>4</v>
      </c>
    </row>
    <row r="16726" spans="1:10" x14ac:dyDescent="0.25">
      <c r="A16726" t="s">
        <v>173</v>
      </c>
      <c r="B16726" s="1" t="str">
        <f>HYPERLINK("http://onstarrenewal.fi","onstarrenewal.fi")</f>
        <v>onstarrenewal.fi</v>
      </c>
      <c r="C16726" t="s">
        <v>445</v>
      </c>
      <c r="D16726" t="s">
        <v>823</v>
      </c>
      <c r="J16726">
        <v>4</v>
      </c>
    </row>
    <row r="16727" spans="1:10" x14ac:dyDescent="0.25">
      <c r="A16727" t="s">
        <v>173</v>
      </c>
      <c r="B16727" s="1" t="str">
        <f>HYPERLINK("http://onstarrenewals.fi","onstarrenewals.fi")</f>
        <v>onstarrenewals.fi</v>
      </c>
      <c r="C16727" t="s">
        <v>445</v>
      </c>
      <c r="D16727" t="s">
        <v>823</v>
      </c>
      <c r="J16727">
        <v>4</v>
      </c>
    </row>
    <row r="16728" spans="1:10" x14ac:dyDescent="0.25">
      <c r="A16728" t="s">
        <v>173</v>
      </c>
      <c r="B16728" s="1" t="str">
        <f>HYPERLINK("http://cadillac.fr","cadillac.fr")</f>
        <v>cadillac.fr</v>
      </c>
      <c r="C16728" t="s">
        <v>446</v>
      </c>
      <c r="D16728" t="s">
        <v>824</v>
      </c>
      <c r="F16728">
        <v>2.5497762837460298E-8</v>
      </c>
      <c r="G16728">
        <v>2022894</v>
      </c>
      <c r="H16728">
        <v>12307321</v>
      </c>
      <c r="I16728">
        <v>20690645</v>
      </c>
      <c r="J16728">
        <v>4</v>
      </c>
    </row>
    <row r="16729" spans="1:10" x14ac:dyDescent="0.25">
      <c r="A16729" t="s">
        <v>173</v>
      </c>
      <c r="B16729" s="1" t="str">
        <f>HYPERLINK("http://chevrolet.fr","chevrolet.fr")</f>
        <v>chevrolet.fr</v>
      </c>
      <c r="C16729" t="s">
        <v>446</v>
      </c>
      <c r="D16729" t="s">
        <v>824</v>
      </c>
      <c r="F16729">
        <v>4.0932978937587598E-8</v>
      </c>
      <c r="G16729">
        <v>1267211</v>
      </c>
      <c r="H16729">
        <v>14314129</v>
      </c>
      <c r="I16729">
        <v>1337375</v>
      </c>
      <c r="J16729">
        <v>4</v>
      </c>
    </row>
    <row r="16730" spans="1:10" x14ac:dyDescent="0.25">
      <c r="A16730" t="s">
        <v>173</v>
      </c>
      <c r="B16730" s="1" t="str">
        <f>HYPERLINK("http://chevrolettatabanya.hu","chevrolettatabanya.hu")</f>
        <v>chevrolettatabanya.hu</v>
      </c>
      <c r="C16730" t="s">
        <v>453</v>
      </c>
      <c r="D16730" t="s">
        <v>830</v>
      </c>
      <c r="F16730">
        <v>4.4457075417438499E-9</v>
      </c>
      <c r="G16730">
        <v>75015568</v>
      </c>
      <c r="H16730">
        <v>10483624</v>
      </c>
      <c r="I16730">
        <v>50875261</v>
      </c>
      <c r="J16730">
        <v>4</v>
      </c>
    </row>
    <row r="16731" spans="1:10" x14ac:dyDescent="0.25">
      <c r="A16731" t="s">
        <v>173</v>
      </c>
      <c r="B16731" s="1" t="str">
        <f>HYPERLINK("http://chevrolet.co.id","chevrolet.co.id")</f>
        <v>chevrolet.co.id</v>
      </c>
      <c r="C16731" t="s">
        <v>454</v>
      </c>
      <c r="D16731" t="s">
        <v>831</v>
      </c>
      <c r="F16731">
        <v>2.3786115061587301E-8</v>
      </c>
      <c r="G16731">
        <v>2184556</v>
      </c>
      <c r="H16731">
        <v>14375735</v>
      </c>
      <c r="I16731">
        <v>1223002</v>
      </c>
      <c r="J16731">
        <v>4</v>
      </c>
    </row>
    <row r="16732" spans="1:10" x14ac:dyDescent="0.25">
      <c r="A16732" t="s">
        <v>173</v>
      </c>
      <c r="B16732" s="1" t="str">
        <f>HYPERLINK("http://chevrolet.co.in","chevrolet.co.in")</f>
        <v>chevrolet.co.in</v>
      </c>
      <c r="C16732" t="s">
        <v>457</v>
      </c>
      <c r="D16732" t="s">
        <v>834</v>
      </c>
      <c r="F16732">
        <v>4.30811731407081E-8</v>
      </c>
      <c r="G16732">
        <v>1115414</v>
      </c>
      <c r="H16732">
        <v>14516959</v>
      </c>
      <c r="I16732">
        <v>810677</v>
      </c>
      <c r="J16732">
        <v>4</v>
      </c>
    </row>
    <row r="16733" spans="1:10" x14ac:dyDescent="0.25">
      <c r="A16733" t="s">
        <v>173</v>
      </c>
      <c r="B16733" s="1" t="str">
        <f>HYPERLINK("http://cadillac.it","cadillac.it")</f>
        <v>cadillac.it</v>
      </c>
      <c r="C16733" t="s">
        <v>459</v>
      </c>
      <c r="D16733" t="s">
        <v>835</v>
      </c>
      <c r="F16733">
        <v>2.3197543851650601E-8</v>
      </c>
      <c r="G16733">
        <v>2249654</v>
      </c>
      <c r="H16733">
        <v>12304360</v>
      </c>
      <c r="I16733">
        <v>20745808</v>
      </c>
      <c r="J16733">
        <v>4</v>
      </c>
    </row>
    <row r="16734" spans="1:10" x14ac:dyDescent="0.25">
      <c r="A16734" t="s">
        <v>173</v>
      </c>
      <c r="B16734" s="1" t="str">
        <f>HYPERLINK("http://chevrolet.it","chevrolet.it")</f>
        <v>chevrolet.it</v>
      </c>
      <c r="C16734" t="s">
        <v>459</v>
      </c>
      <c r="D16734" t="s">
        <v>835</v>
      </c>
      <c r="F16734">
        <v>2.85120102832669E-8</v>
      </c>
      <c r="G16734">
        <v>1805330</v>
      </c>
      <c r="H16734">
        <v>14376246</v>
      </c>
      <c r="I16734">
        <v>1218939</v>
      </c>
      <c r="J16734">
        <v>4</v>
      </c>
    </row>
    <row r="16735" spans="1:10" x14ac:dyDescent="0.25">
      <c r="A16735" t="s">
        <v>173</v>
      </c>
      <c r="B16735" s="1" t="str">
        <f>HYPERLINK("http://gmjapan.co.jp","gmjapan.co.jp")</f>
        <v>gmjapan.co.jp</v>
      </c>
      <c r="C16735" t="s">
        <v>461</v>
      </c>
      <c r="D16735" t="s">
        <v>837</v>
      </c>
      <c r="F16735">
        <v>7.4191941305406495E-8</v>
      </c>
      <c r="G16735">
        <v>567351</v>
      </c>
      <c r="H16735">
        <v>14466637</v>
      </c>
      <c r="I16735">
        <v>1044168</v>
      </c>
      <c r="J16735">
        <v>3</v>
      </c>
    </row>
    <row r="16736" spans="1:10" x14ac:dyDescent="0.25">
      <c r="A16736" t="s">
        <v>173</v>
      </c>
      <c r="B16736" s="1" t="str">
        <f>HYPERLINK("http://cadillac.co.kr","cadillac.co.kr")</f>
        <v>cadillac.co.kr</v>
      </c>
      <c r="C16736" t="s">
        <v>463</v>
      </c>
      <c r="D16736" t="s">
        <v>839</v>
      </c>
      <c r="F16736">
        <v>5.4576316697136001E-8</v>
      </c>
      <c r="G16736">
        <v>826350</v>
      </c>
      <c r="H16736">
        <v>13035299</v>
      </c>
      <c r="I16736">
        <v>12648187</v>
      </c>
      <c r="J16736">
        <v>4</v>
      </c>
    </row>
    <row r="16737" spans="1:10" x14ac:dyDescent="0.25">
      <c r="A16737" t="s">
        <v>173</v>
      </c>
      <c r="B16737" s="1" t="str">
        <f>HYPERLINK("http://chevrolet.co.kr","chevrolet.co.kr")</f>
        <v>chevrolet.co.kr</v>
      </c>
      <c r="C16737" t="s">
        <v>463</v>
      </c>
      <c r="D16737" t="s">
        <v>839</v>
      </c>
      <c r="E16737">
        <v>457951</v>
      </c>
      <c r="F16737">
        <v>8.6302423755383201E-8</v>
      </c>
      <c r="G16737">
        <v>476560</v>
      </c>
      <c r="H16737">
        <v>14095111</v>
      </c>
      <c r="I16737">
        <v>2730138</v>
      </c>
      <c r="J16737">
        <v>4</v>
      </c>
    </row>
    <row r="16738" spans="1:10" x14ac:dyDescent="0.25">
      <c r="A16738" t="s">
        <v>173</v>
      </c>
      <c r="B16738" s="1" t="str">
        <f>HYPERLINK("http://gm-korea.co.kr","gm-korea.co.kr")</f>
        <v>gm-korea.co.kr</v>
      </c>
      <c r="C16738" t="s">
        <v>463</v>
      </c>
      <c r="D16738" t="s">
        <v>839</v>
      </c>
      <c r="F16738">
        <v>9.6785508154056598E-8</v>
      </c>
      <c r="G16738">
        <v>417586</v>
      </c>
      <c r="H16738">
        <v>14508645</v>
      </c>
      <c r="I16738">
        <v>827922</v>
      </c>
      <c r="J16738">
        <v>3</v>
      </c>
    </row>
    <row r="16739" spans="1:10" x14ac:dyDescent="0.25">
      <c r="A16739" t="s">
        <v>173</v>
      </c>
      <c r="B16739" s="1" t="str">
        <f>HYPERLINK("http://cadillac.lu","cadillac.lu")</f>
        <v>cadillac.lu</v>
      </c>
      <c r="C16739" t="s">
        <v>547</v>
      </c>
      <c r="D16739" t="s">
        <v>904</v>
      </c>
      <c r="F16739">
        <v>2.27972400835615E-8</v>
      </c>
      <c r="G16739">
        <v>2294266</v>
      </c>
      <c r="H16739">
        <v>12329359</v>
      </c>
      <c r="I16739">
        <v>20220694</v>
      </c>
      <c r="J16739">
        <v>4</v>
      </c>
    </row>
    <row r="16740" spans="1:10" x14ac:dyDescent="0.25">
      <c r="A16740" t="s">
        <v>173</v>
      </c>
      <c r="B16740" s="1" t="str">
        <f>HYPERLINK("http://chevrolet.lu","chevrolet.lu")</f>
        <v>chevrolet.lu</v>
      </c>
      <c r="C16740" t="s">
        <v>547</v>
      </c>
      <c r="D16740" t="s">
        <v>904</v>
      </c>
      <c r="F16740">
        <v>2.1861272634446501E-8</v>
      </c>
      <c r="G16740">
        <v>2402575</v>
      </c>
      <c r="H16740">
        <v>12557990</v>
      </c>
      <c r="I16740">
        <v>16738426</v>
      </c>
      <c r="J16740">
        <v>4</v>
      </c>
    </row>
    <row r="16741" spans="1:10" x14ac:dyDescent="0.25">
      <c r="A16741" t="s">
        <v>173</v>
      </c>
      <c r="B16741" s="1" t="str">
        <f>HYPERLINK("http://cadillac.com.mx","cadillac.com.mx")</f>
        <v>cadillac.com.mx</v>
      </c>
      <c r="C16741" t="s">
        <v>471</v>
      </c>
      <c r="D16741" t="s">
        <v>847</v>
      </c>
      <c r="F16741">
        <v>2.64080149140922E-8</v>
      </c>
      <c r="G16741">
        <v>1949705</v>
      </c>
      <c r="H16741">
        <v>13235476</v>
      </c>
      <c r="I16741">
        <v>11246353</v>
      </c>
      <c r="J16741">
        <v>4</v>
      </c>
    </row>
    <row r="16742" spans="1:10" x14ac:dyDescent="0.25">
      <c r="A16742" t="s">
        <v>173</v>
      </c>
      <c r="B16742" s="1" t="str">
        <f>HYPERLINK("http://chevrolet.com.mx","chevrolet.com.mx")</f>
        <v>chevrolet.com.mx</v>
      </c>
      <c r="C16742" t="s">
        <v>471</v>
      </c>
      <c r="D16742" t="s">
        <v>847</v>
      </c>
      <c r="E16742">
        <v>220723</v>
      </c>
      <c r="F16742">
        <v>4.99629532836119E-8</v>
      </c>
      <c r="G16742">
        <v>922223</v>
      </c>
      <c r="H16742">
        <v>14592224</v>
      </c>
      <c r="I16742">
        <v>693755</v>
      </c>
      <c r="J16742">
        <v>4</v>
      </c>
    </row>
    <row r="16743" spans="1:10" x14ac:dyDescent="0.25">
      <c r="A16743" t="s">
        <v>173</v>
      </c>
      <c r="B16743" s="1" t="str">
        <f>HYPERLINK("http://chevrolethuasteca.com.mx","chevrolethuasteca.com.mx")</f>
        <v>chevrolethuasteca.com.mx</v>
      </c>
      <c r="C16743" t="s">
        <v>471</v>
      </c>
      <c r="D16743" t="s">
        <v>847</v>
      </c>
      <c r="F16743">
        <v>4.4438136526760601E-9</v>
      </c>
      <c r="G16743">
        <v>79511166</v>
      </c>
      <c r="H16743">
        <v>10434388</v>
      </c>
      <c r="I16743">
        <v>52850598</v>
      </c>
      <c r="J16743">
        <v>4</v>
      </c>
    </row>
    <row r="16744" spans="1:10" x14ac:dyDescent="0.25">
      <c r="A16744" t="s">
        <v>173</v>
      </c>
      <c r="B16744" s="1" t="str">
        <f>HYPERLINK("http://chevroletyucatan.com.mx","chevroletyucatan.com.mx")</f>
        <v>chevroletyucatan.com.mx</v>
      </c>
      <c r="C16744" t="s">
        <v>471</v>
      </c>
      <c r="D16744" t="s">
        <v>847</v>
      </c>
      <c r="F16744">
        <v>4.4438136526760601E-9</v>
      </c>
      <c r="G16744">
        <v>79511212</v>
      </c>
      <c r="H16744">
        <v>10434388</v>
      </c>
      <c r="I16744">
        <v>52850644</v>
      </c>
      <c r="J16744">
        <v>4</v>
      </c>
    </row>
    <row r="16745" spans="1:10" x14ac:dyDescent="0.25">
      <c r="A16745" t="s">
        <v>173</v>
      </c>
      <c r="B16745" s="1" t="str">
        <f>HYPERLINK("http://gm.com.mx","gm.com.mx")</f>
        <v>gm.com.mx</v>
      </c>
      <c r="C16745" t="s">
        <v>471</v>
      </c>
      <c r="D16745" t="s">
        <v>847</v>
      </c>
      <c r="E16745">
        <v>918746</v>
      </c>
      <c r="F16745">
        <v>1.0286997883310299E-7</v>
      </c>
      <c r="G16745">
        <v>390183</v>
      </c>
      <c r="H16745">
        <v>14313533</v>
      </c>
      <c r="I16745">
        <v>1337990</v>
      </c>
      <c r="J16745">
        <v>2</v>
      </c>
    </row>
    <row r="16746" spans="1:10" x14ac:dyDescent="0.25">
      <c r="A16746" t="s">
        <v>173</v>
      </c>
      <c r="B16746" s="1" t="str">
        <f>HYPERLINK("http://gmfinancial.com.mx","gmfinancial.com.mx")</f>
        <v>gmfinancial.com.mx</v>
      </c>
      <c r="C16746" t="s">
        <v>471</v>
      </c>
      <c r="D16746" t="s">
        <v>847</v>
      </c>
      <c r="F16746">
        <v>1.47194810673014E-8</v>
      </c>
      <c r="G16746">
        <v>3934248</v>
      </c>
      <c r="H16746">
        <v>12191313</v>
      </c>
      <c r="I16746">
        <v>23553285</v>
      </c>
      <c r="J16746">
        <v>3</v>
      </c>
    </row>
    <row r="16747" spans="1:10" x14ac:dyDescent="0.25">
      <c r="A16747" t="s">
        <v>173</v>
      </c>
      <c r="B16747" s="1" t="str">
        <f>HYPERLINK("http://onstar.com.mx","onstar.com.mx")</f>
        <v>onstar.com.mx</v>
      </c>
      <c r="C16747" t="s">
        <v>471</v>
      </c>
      <c r="D16747" t="s">
        <v>847</v>
      </c>
      <c r="F16747">
        <v>1.86402370677921E-8</v>
      </c>
      <c r="G16747">
        <v>2900092</v>
      </c>
      <c r="H16747">
        <v>13180513</v>
      </c>
      <c r="I16747">
        <v>11683219</v>
      </c>
      <c r="J16747">
        <v>3</v>
      </c>
    </row>
    <row r="16748" spans="1:10" x14ac:dyDescent="0.25">
      <c r="A16748" t="s">
        <v>173</v>
      </c>
      <c r="B16748" s="1" t="str">
        <f>HYPERLINK("http://gmfinancial.mx","gmfinancial.mx")</f>
        <v>gmfinancial.mx</v>
      </c>
      <c r="C16748" t="s">
        <v>471</v>
      </c>
      <c r="D16748" t="s">
        <v>847</v>
      </c>
      <c r="F16748">
        <v>5.6882630965327299E-9</v>
      </c>
      <c r="G16748">
        <v>19060077</v>
      </c>
      <c r="H16748">
        <v>12922190</v>
      </c>
      <c r="I16748">
        <v>13416065</v>
      </c>
      <c r="J16748">
        <v>4</v>
      </c>
    </row>
    <row r="16749" spans="1:10" x14ac:dyDescent="0.25">
      <c r="A16749" t="s">
        <v>173</v>
      </c>
      <c r="B16749" s="1" t="str">
        <f>HYPERLINK("http://chevrolet.nc","chevrolet.nc")</f>
        <v>chevrolet.nc</v>
      </c>
      <c r="C16749" t="s">
        <v>724</v>
      </c>
      <c r="D16749" t="s">
        <v>1008</v>
      </c>
      <c r="F16749">
        <v>5.1478062571563203E-9</v>
      </c>
      <c r="G16749">
        <v>26124262</v>
      </c>
      <c r="H16749">
        <v>10692678</v>
      </c>
      <c r="I16749">
        <v>42451947</v>
      </c>
      <c r="J16749">
        <v>4</v>
      </c>
    </row>
    <row r="16750" spans="1:10" x14ac:dyDescent="0.25">
      <c r="A16750" t="s">
        <v>173</v>
      </c>
      <c r="B16750" s="1" t="str">
        <f>HYPERLINK("http://fivestarflorence.net","fivestarflorence.net")</f>
        <v>fivestarflorence.net</v>
      </c>
      <c r="C16750" t="s">
        <v>474</v>
      </c>
      <c r="F16750">
        <v>6.1745865114907203E-9</v>
      </c>
      <c r="G16750">
        <v>15668373</v>
      </c>
      <c r="H16750">
        <v>12902364</v>
      </c>
      <c r="I16750">
        <v>13847663</v>
      </c>
      <c r="J16750">
        <v>4</v>
      </c>
    </row>
    <row r="16751" spans="1:10" x14ac:dyDescent="0.25">
      <c r="A16751" t="s">
        <v>173</v>
      </c>
      <c r="B16751" s="1" t="str">
        <f>HYPERLINK("http://marchantchevy.net","marchantchevy.net")</f>
        <v>marchantchevy.net</v>
      </c>
      <c r="C16751" t="s">
        <v>474</v>
      </c>
      <c r="F16751">
        <v>4.8691647855399002E-9</v>
      </c>
      <c r="G16751">
        <v>33433845</v>
      </c>
      <c r="H16751">
        <v>11372273</v>
      </c>
      <c r="I16751">
        <v>30320203</v>
      </c>
      <c r="J16751">
        <v>4</v>
      </c>
    </row>
    <row r="16752" spans="1:10" x14ac:dyDescent="0.25">
      <c r="A16752" t="s">
        <v>173</v>
      </c>
      <c r="B16752" s="1" t="str">
        <f>HYPERLINK("http://cadillac.nl","cadillac.nl")</f>
        <v>cadillac.nl</v>
      </c>
      <c r="C16752" t="s">
        <v>477</v>
      </c>
      <c r="D16752" t="s">
        <v>852</v>
      </c>
      <c r="F16752">
        <v>2.45911378680174E-8</v>
      </c>
      <c r="G16752">
        <v>2106207</v>
      </c>
      <c r="H16752">
        <v>12339685</v>
      </c>
      <c r="I16752">
        <v>20016589</v>
      </c>
      <c r="J16752">
        <v>4</v>
      </c>
    </row>
    <row r="16753" spans="1:10" x14ac:dyDescent="0.25">
      <c r="A16753" t="s">
        <v>173</v>
      </c>
      <c r="B16753" s="1" t="str">
        <f>HYPERLINK("http://chevrolet.nl","chevrolet.nl")</f>
        <v>chevrolet.nl</v>
      </c>
      <c r="C16753" t="s">
        <v>477</v>
      </c>
      <c r="D16753" t="s">
        <v>852</v>
      </c>
      <c r="F16753">
        <v>2.87111186854993E-8</v>
      </c>
      <c r="G16753">
        <v>1792488</v>
      </c>
      <c r="H16753">
        <v>14416441</v>
      </c>
      <c r="I16753">
        <v>1103328</v>
      </c>
      <c r="J16753">
        <v>4</v>
      </c>
    </row>
    <row r="16754" spans="1:10" x14ac:dyDescent="0.25">
      <c r="A16754" t="s">
        <v>173</v>
      </c>
      <c r="B16754" s="1" t="str">
        <f>HYPERLINK("http://garagehorjus.nl","garagehorjus.nl")</f>
        <v>garagehorjus.nl</v>
      </c>
      <c r="C16754" t="s">
        <v>477</v>
      </c>
      <c r="D16754" t="s">
        <v>852</v>
      </c>
      <c r="F16754">
        <v>5.88772264476412E-9</v>
      </c>
      <c r="G16754">
        <v>17443292</v>
      </c>
      <c r="H16754">
        <v>12244043</v>
      </c>
      <c r="I16754">
        <v>22149055</v>
      </c>
      <c r="J16754">
        <v>4</v>
      </c>
    </row>
    <row r="16755" spans="1:10" x14ac:dyDescent="0.25">
      <c r="A16755" t="s">
        <v>173</v>
      </c>
      <c r="B16755" s="1" t="str">
        <f>HYPERLINK("http://holden.co.nz","holden.co.nz")</f>
        <v>holden.co.nz</v>
      </c>
      <c r="C16755" t="s">
        <v>479</v>
      </c>
      <c r="D16755" t="s">
        <v>854</v>
      </c>
      <c r="F16755">
        <v>4.5888132649177601E-8</v>
      </c>
      <c r="G16755">
        <v>1023587</v>
      </c>
      <c r="H16755">
        <v>14384704</v>
      </c>
      <c r="I16755">
        <v>1181857</v>
      </c>
      <c r="J16755">
        <v>4</v>
      </c>
    </row>
    <row r="16756" spans="1:10" x14ac:dyDescent="0.25">
      <c r="A16756" t="s">
        <v>173</v>
      </c>
      <c r="B16756" s="1" t="str">
        <f>HYPERLINK("http://kefeng.org","kefeng.org")</f>
        <v>kefeng.org</v>
      </c>
      <c r="C16756" t="s">
        <v>481</v>
      </c>
      <c r="F16756">
        <v>4.9820608316439001E-9</v>
      </c>
      <c r="G16756">
        <v>29944363</v>
      </c>
      <c r="H16756">
        <v>8661992</v>
      </c>
      <c r="I16756">
        <v>70262286</v>
      </c>
      <c r="J16756">
        <v>4</v>
      </c>
    </row>
    <row r="16757" spans="1:10" x14ac:dyDescent="0.25">
      <c r="A16757" t="s">
        <v>173</v>
      </c>
      <c r="B16757" s="1" t="str">
        <f>HYPERLINK("http://chevrolet.com.pe","chevrolet.com.pe")</f>
        <v>chevrolet.com.pe</v>
      </c>
      <c r="C16757" t="s">
        <v>483</v>
      </c>
      <c r="D16757" t="s">
        <v>857</v>
      </c>
      <c r="F16757">
        <v>2.5707490858729599E-8</v>
      </c>
      <c r="G16757">
        <v>2005485</v>
      </c>
      <c r="H16757">
        <v>12625907</v>
      </c>
      <c r="I16757">
        <v>16030239</v>
      </c>
      <c r="J16757">
        <v>4</v>
      </c>
    </row>
    <row r="16758" spans="1:10" x14ac:dyDescent="0.25">
      <c r="A16758" t="s">
        <v>173</v>
      </c>
      <c r="B16758" s="1" t="str">
        <f>HYPERLINK("http://chevrolet.com.ph","chevrolet.com.ph")</f>
        <v>chevrolet.com.ph</v>
      </c>
      <c r="C16758" t="s">
        <v>484</v>
      </c>
      <c r="D16758" t="s">
        <v>858</v>
      </c>
      <c r="F16758">
        <v>5.86514680561836E-8</v>
      </c>
      <c r="G16758">
        <v>756894</v>
      </c>
      <c r="H16758">
        <v>14121583</v>
      </c>
      <c r="I16758">
        <v>2247275</v>
      </c>
      <c r="J16758">
        <v>4</v>
      </c>
    </row>
    <row r="16759" spans="1:10" x14ac:dyDescent="0.25">
      <c r="A16759" t="s">
        <v>173</v>
      </c>
      <c r="B16759" s="1" t="str">
        <f>HYPERLINK("http://chevy.com.ph","chevy.com.ph")</f>
        <v>chevy.com.ph</v>
      </c>
      <c r="C16759" t="s">
        <v>484</v>
      </c>
      <c r="D16759" t="s">
        <v>858</v>
      </c>
      <c r="F16759">
        <v>4.5099377260048899E-8</v>
      </c>
      <c r="G16759">
        <v>1046500</v>
      </c>
      <c r="H16759">
        <v>14416573</v>
      </c>
      <c r="I16759">
        <v>1102272</v>
      </c>
      <c r="J16759">
        <v>4</v>
      </c>
    </row>
    <row r="16760" spans="1:10" x14ac:dyDescent="0.25">
      <c r="A16760" t="s">
        <v>173</v>
      </c>
      <c r="B16760" s="1" t="str">
        <f>HYPERLINK("http://cadillac.ru","cadillac.ru")</f>
        <v>cadillac.ru</v>
      </c>
      <c r="C16760" t="s">
        <v>493</v>
      </c>
      <c r="D16760" t="s">
        <v>867</v>
      </c>
      <c r="F16760">
        <v>1.0581132285116001E-7</v>
      </c>
      <c r="G16760">
        <v>378508</v>
      </c>
      <c r="H16760">
        <v>14116970</v>
      </c>
      <c r="I16760">
        <v>2660889</v>
      </c>
      <c r="J16760">
        <v>4</v>
      </c>
    </row>
    <row r="16761" spans="1:10" x14ac:dyDescent="0.25">
      <c r="A16761" t="s">
        <v>173</v>
      </c>
      <c r="B16761" s="1" t="str">
        <f>HYPERLINK("http://chevrolet.ru","chevrolet.ru")</f>
        <v>chevrolet.ru</v>
      </c>
      <c r="C16761" t="s">
        <v>493</v>
      </c>
      <c r="D16761" t="s">
        <v>867</v>
      </c>
      <c r="E16761">
        <v>839150</v>
      </c>
      <c r="F16761">
        <v>6.8878904307459394E-8</v>
      </c>
      <c r="G16761">
        <v>617265</v>
      </c>
      <c r="H16761">
        <v>14168705</v>
      </c>
      <c r="I16761">
        <v>1810009</v>
      </c>
      <c r="J16761">
        <v>4</v>
      </c>
    </row>
    <row r="16762" spans="1:10" x14ac:dyDescent="0.25">
      <c r="A16762" t="s">
        <v>173</v>
      </c>
      <c r="B16762" s="1" t="str">
        <f>HYPERLINK("http://chevrolet.se","chevrolet.se")</f>
        <v>chevrolet.se</v>
      </c>
      <c r="C16762" t="s">
        <v>495</v>
      </c>
      <c r="D16762" t="s">
        <v>869</v>
      </c>
      <c r="F16762">
        <v>2.5654745051472199E-8</v>
      </c>
      <c r="G16762">
        <v>2009798</v>
      </c>
      <c r="H16762">
        <v>14072692</v>
      </c>
      <c r="I16762">
        <v>3056531</v>
      </c>
      <c r="J16762">
        <v>4</v>
      </c>
    </row>
    <row r="16763" spans="1:10" x14ac:dyDescent="0.25">
      <c r="A16763" t="s">
        <v>173</v>
      </c>
      <c r="B16763" s="1" t="str">
        <f>HYPERLINK("http://chevrolet.com.sv","chevrolet.com.sv")</f>
        <v>chevrolet.com.sv</v>
      </c>
      <c r="C16763" t="s">
        <v>499</v>
      </c>
      <c r="D16763" t="s">
        <v>873</v>
      </c>
      <c r="F16763">
        <v>2.0902101780863901E-8</v>
      </c>
      <c r="G16763">
        <v>2529087</v>
      </c>
      <c r="H16763">
        <v>12502451</v>
      </c>
      <c r="I16763">
        <v>17337367</v>
      </c>
      <c r="J16763">
        <v>4</v>
      </c>
    </row>
    <row r="16764" spans="1:10" x14ac:dyDescent="0.25">
      <c r="A16764" t="s">
        <v>173</v>
      </c>
      <c r="B16764" s="1" t="str">
        <f>HYPERLINK("http://chevrolet.co.th","chevrolet.co.th")</f>
        <v>chevrolet.co.th</v>
      </c>
      <c r="C16764" t="s">
        <v>500</v>
      </c>
      <c r="D16764" t="s">
        <v>874</v>
      </c>
      <c r="F16764">
        <v>3.01998871286443E-8</v>
      </c>
      <c r="G16764">
        <v>1704042</v>
      </c>
      <c r="H16764">
        <v>14240014</v>
      </c>
      <c r="I16764">
        <v>1505396</v>
      </c>
      <c r="J16764">
        <v>4</v>
      </c>
    </row>
    <row r="16765" spans="1:10" x14ac:dyDescent="0.25">
      <c r="A16765" t="s">
        <v>173</v>
      </c>
      <c r="B16765" s="1" t="str">
        <f>HYPERLINK("http://cadillac.co.uk","cadillac.co.uk")</f>
        <v>cadillac.co.uk</v>
      </c>
      <c r="C16765" t="s">
        <v>506</v>
      </c>
      <c r="D16765" t="s">
        <v>880</v>
      </c>
      <c r="F16765">
        <v>2.5133407893563499E-8</v>
      </c>
      <c r="G16765">
        <v>2055126</v>
      </c>
      <c r="H16765">
        <v>14072456</v>
      </c>
      <c r="I16765">
        <v>3090130</v>
      </c>
      <c r="J16765">
        <v>4</v>
      </c>
    </row>
    <row r="16766" spans="1:10" x14ac:dyDescent="0.25">
      <c r="A16766" t="s">
        <v>173</v>
      </c>
      <c r="B16766" s="1" t="str">
        <f>HYPERLINK("http://chevrolet.co.uk","chevrolet.co.uk")</f>
        <v>chevrolet.co.uk</v>
      </c>
      <c r="C16766" t="s">
        <v>506</v>
      </c>
      <c r="D16766" t="s">
        <v>880</v>
      </c>
      <c r="F16766">
        <v>3.4643294786310097E-8</v>
      </c>
      <c r="G16766">
        <v>1497894</v>
      </c>
      <c r="H16766">
        <v>14495214</v>
      </c>
      <c r="I16766">
        <v>877203</v>
      </c>
      <c r="J16766">
        <v>4</v>
      </c>
    </row>
    <row r="16767" spans="1:10" x14ac:dyDescent="0.25">
      <c r="A16767" t="s">
        <v>173</v>
      </c>
      <c r="B16767" s="1" t="str">
        <f>HYPERLINK("http://philiphollandcarsales.co.uk","philiphollandcarsales.co.uk")</f>
        <v>philiphollandcarsales.co.uk</v>
      </c>
      <c r="C16767" t="s">
        <v>506</v>
      </c>
      <c r="D16767" t="s">
        <v>880</v>
      </c>
      <c r="J16767">
        <v>4</v>
      </c>
    </row>
    <row r="16768" spans="1:10" x14ac:dyDescent="0.25">
      <c r="A16768" t="s">
        <v>173</v>
      </c>
      <c r="B16768" s="1" t="str">
        <f>HYPERLINK("http://chevrolet.com.ve","chevrolet.com.ve")</f>
        <v>chevrolet.com.ve</v>
      </c>
      <c r="C16768" t="s">
        <v>508</v>
      </c>
      <c r="D16768" t="s">
        <v>882</v>
      </c>
      <c r="F16768">
        <v>2.11049112257631E-8</v>
      </c>
      <c r="G16768">
        <v>2502072</v>
      </c>
      <c r="H16768">
        <v>12720761</v>
      </c>
      <c r="I16768">
        <v>15249146</v>
      </c>
      <c r="J16768">
        <v>4</v>
      </c>
    </row>
    <row r="16769" spans="1:10" x14ac:dyDescent="0.25">
      <c r="A16769" t="s">
        <v>173</v>
      </c>
      <c r="B16769" s="1" t="str">
        <f>HYPERLINK("http://gmvietnam.com.vn","gmvietnam.com.vn")</f>
        <v>gmvietnam.com.vn</v>
      </c>
      <c r="C16769" t="s">
        <v>509</v>
      </c>
      <c r="D16769" t="s">
        <v>883</v>
      </c>
      <c r="F16769">
        <v>4.9164093918427003E-9</v>
      </c>
      <c r="G16769">
        <v>31820449</v>
      </c>
      <c r="H16769">
        <v>14071790</v>
      </c>
      <c r="I16769">
        <v>3546973</v>
      </c>
      <c r="J16769">
        <v>3</v>
      </c>
    </row>
    <row r="16770" spans="1:10" x14ac:dyDescent="0.25">
      <c r="A16770" t="s">
        <v>174</v>
      </c>
      <c r="B16770" s="1" t="str">
        <f>HYPERLINK("http://gilead.com.au","gilead.com.au")</f>
        <v>gilead.com.au</v>
      </c>
      <c r="C16770" t="s">
        <v>420</v>
      </c>
      <c r="D16770" t="s">
        <v>802</v>
      </c>
      <c r="F16770">
        <v>1.4144013825959399E-8</v>
      </c>
      <c r="G16770">
        <v>4149502</v>
      </c>
      <c r="H16770">
        <v>12255245</v>
      </c>
      <c r="I16770">
        <v>21885784</v>
      </c>
      <c r="J16770">
        <v>2</v>
      </c>
    </row>
    <row r="16771" spans="1:10" x14ac:dyDescent="0.25">
      <c r="A16771" t="s">
        <v>174</v>
      </c>
      <c r="B16771" s="1" t="str">
        <f>HYPERLINK("http://gileadfellowship.com.au","gileadfellowship.com.au")</f>
        <v>gileadfellowship.com.au</v>
      </c>
      <c r="C16771" t="s">
        <v>420</v>
      </c>
      <c r="D16771" t="s">
        <v>802</v>
      </c>
      <c r="F16771">
        <v>6.24036722197562E-9</v>
      </c>
      <c r="G16771">
        <v>15323176</v>
      </c>
      <c r="H16771">
        <v>12760569</v>
      </c>
      <c r="I16771">
        <v>14948792</v>
      </c>
      <c r="J16771">
        <v>2</v>
      </c>
    </row>
    <row r="16772" spans="1:10" x14ac:dyDescent="0.25">
      <c r="A16772" t="s">
        <v>174</v>
      </c>
      <c r="B16772" s="1" t="str">
        <f>HYPERLINK("http://gilead.be","gilead.be")</f>
        <v>gilead.be</v>
      </c>
      <c r="C16772" t="s">
        <v>421</v>
      </c>
      <c r="D16772" t="s">
        <v>803</v>
      </c>
      <c r="F16772">
        <v>1.3196495938342201E-8</v>
      </c>
      <c r="G16772">
        <v>4539769</v>
      </c>
      <c r="H16772">
        <v>12251946</v>
      </c>
      <c r="I16772">
        <v>21964885</v>
      </c>
      <c r="J16772">
        <v>2</v>
      </c>
    </row>
    <row r="16773" spans="1:10" x14ac:dyDescent="0.25">
      <c r="A16773" t="s">
        <v>174</v>
      </c>
      <c r="B16773" s="1" t="str">
        <f>HYPERLINK("http://gilead.ca","gilead.ca")</f>
        <v>gilead.ca</v>
      </c>
      <c r="C16773" t="s">
        <v>428</v>
      </c>
      <c r="D16773" t="s">
        <v>809</v>
      </c>
      <c r="F16773">
        <v>2.65800135219614E-8</v>
      </c>
      <c r="G16773">
        <v>1936786</v>
      </c>
      <c r="H16773">
        <v>13365482</v>
      </c>
      <c r="I16773">
        <v>10486587</v>
      </c>
      <c r="J16773">
        <v>2</v>
      </c>
    </row>
    <row r="16774" spans="1:10" x14ac:dyDescent="0.25">
      <c r="A16774" t="s">
        <v>174</v>
      </c>
      <c r="B16774" s="1" t="str">
        <f>HYPERLINK("http://gileadchina.cn","gileadchina.cn")</f>
        <v>gileadchina.cn</v>
      </c>
      <c r="C16774" t="s">
        <v>431</v>
      </c>
      <c r="D16774" t="s">
        <v>812</v>
      </c>
      <c r="F16774">
        <v>1.7594512734014098E-8</v>
      </c>
      <c r="G16774">
        <v>3120200</v>
      </c>
      <c r="H16774">
        <v>12362516</v>
      </c>
      <c r="I16774">
        <v>19537315</v>
      </c>
      <c r="J16774">
        <v>3</v>
      </c>
    </row>
    <row r="16775" spans="1:10" x14ac:dyDescent="0.25">
      <c r="A16775" t="s">
        <v>174</v>
      </c>
      <c r="B16775" s="1" t="str">
        <f>HYPERLINK("http://aoemportal.com","aoemportal.com")</f>
        <v>aoemportal.com</v>
      </c>
      <c r="C16775" t="s">
        <v>433</v>
      </c>
      <c r="J16775">
        <v>2</v>
      </c>
    </row>
    <row r="16776" spans="1:10" x14ac:dyDescent="0.25">
      <c r="A16776" t="s">
        <v>174</v>
      </c>
      <c r="B16776" s="1" t="str">
        <f>HYPERLINK("http://fortyseveninc.com","fortyseveninc.com")</f>
        <v>fortyseveninc.com</v>
      </c>
      <c r="C16776" t="s">
        <v>433</v>
      </c>
      <c r="F16776">
        <v>2.5540384275036501E-8</v>
      </c>
      <c r="G16776">
        <v>2019304</v>
      </c>
      <c r="H16776">
        <v>13590740</v>
      </c>
      <c r="I16776">
        <v>9667230</v>
      </c>
      <c r="J16776">
        <v>3</v>
      </c>
    </row>
    <row r="16777" spans="1:10" x14ac:dyDescent="0.25">
      <c r="A16777" t="s">
        <v>174</v>
      </c>
      <c r="B16777" s="1" t="str">
        <f>HYPERLINK("http://gilead.com","gilead.com")</f>
        <v>gilead.com</v>
      </c>
      <c r="C16777" t="s">
        <v>433</v>
      </c>
      <c r="E16777">
        <v>12459</v>
      </c>
      <c r="F16777">
        <v>2.3477803593550502E-6</v>
      </c>
      <c r="G16777">
        <v>15782</v>
      </c>
      <c r="H16777">
        <v>17502790</v>
      </c>
      <c r="I16777">
        <v>13567</v>
      </c>
      <c r="J16777">
        <v>1</v>
      </c>
    </row>
    <row r="16778" spans="1:10" x14ac:dyDescent="0.25">
      <c r="A16778" t="s">
        <v>174</v>
      </c>
      <c r="B16778" s="1" t="str">
        <f>HYPERLINK("http://gileadsupportpath.com","gileadsupportpath.com")</f>
        <v>gileadsupportpath.com</v>
      </c>
      <c r="C16778" t="s">
        <v>433</v>
      </c>
      <c r="J16778">
        <v>2</v>
      </c>
    </row>
    <row r="16779" spans="1:10" x14ac:dyDescent="0.25">
      <c r="A16779" t="s">
        <v>174</v>
      </c>
      <c r="B16779" s="1" t="str">
        <f>HYPERLINK("http://immunomedics.com","immunomedics.com")</f>
        <v>immunomedics.com</v>
      </c>
      <c r="C16779" t="s">
        <v>433</v>
      </c>
      <c r="E16779">
        <v>114359</v>
      </c>
      <c r="F16779">
        <v>4.0801145602947102E-8</v>
      </c>
      <c r="G16779">
        <v>1270637</v>
      </c>
      <c r="H16779">
        <v>14262391</v>
      </c>
      <c r="I16779">
        <v>1415040</v>
      </c>
      <c r="J16779">
        <v>3</v>
      </c>
    </row>
    <row r="16780" spans="1:10" x14ac:dyDescent="0.25">
      <c r="A16780" t="s">
        <v>174</v>
      </c>
      <c r="B16780" s="1" t="str">
        <f>HYPERLINK("http://kitepharma.com","kitepharma.com")</f>
        <v>kitepharma.com</v>
      </c>
      <c r="C16780" t="s">
        <v>433</v>
      </c>
      <c r="E16780">
        <v>243335</v>
      </c>
      <c r="F16780">
        <v>1.8281051297062801E-7</v>
      </c>
      <c r="G16780">
        <v>210935</v>
      </c>
      <c r="H16780">
        <v>14436292</v>
      </c>
      <c r="I16780">
        <v>1068306</v>
      </c>
      <c r="J16780">
        <v>3</v>
      </c>
    </row>
    <row r="16781" spans="1:10" x14ac:dyDescent="0.25">
      <c r="A16781" t="s">
        <v>174</v>
      </c>
      <c r="B16781" s="1" t="str">
        <f>HYPERLINK("http://mailmigrationgilead.com","mailmigrationgilead.com")</f>
        <v>mailmigrationgilead.com</v>
      </c>
      <c r="C16781" t="s">
        <v>433</v>
      </c>
      <c r="J16781">
        <v>2</v>
      </c>
    </row>
    <row r="16782" spans="1:10" x14ac:dyDescent="0.25">
      <c r="A16782" t="s">
        <v>174</v>
      </c>
      <c r="B16782" s="1" t="str">
        <f>HYPERLINK("http://pahinformation.com","pahinformation.com")</f>
        <v>pahinformation.com</v>
      </c>
      <c r="C16782" t="s">
        <v>433</v>
      </c>
      <c r="J16782">
        <v>2</v>
      </c>
    </row>
    <row r="16783" spans="1:10" x14ac:dyDescent="0.25">
      <c r="A16783" t="s">
        <v>174</v>
      </c>
      <c r="B16783" s="1" t="str">
        <f>HYPERLINK("http://immunomedics.de","immunomedics.de")</f>
        <v>immunomedics.de</v>
      </c>
      <c r="C16783" t="s">
        <v>436</v>
      </c>
      <c r="D16783" t="s">
        <v>815</v>
      </c>
      <c r="J16783">
        <v>3</v>
      </c>
    </row>
    <row r="16784" spans="1:10" x14ac:dyDescent="0.25">
      <c r="A16784" t="s">
        <v>174</v>
      </c>
      <c r="B16784" s="1" t="str">
        <f>HYPERLINK("http://gilead.es","gilead.es")</f>
        <v>gilead.es</v>
      </c>
      <c r="C16784" t="s">
        <v>443</v>
      </c>
      <c r="D16784" t="s">
        <v>822</v>
      </c>
      <c r="F16784">
        <v>2.6250845024517E-8</v>
      </c>
      <c r="G16784">
        <v>1961763</v>
      </c>
      <c r="H16784">
        <v>12682603</v>
      </c>
      <c r="I16784">
        <v>15475155</v>
      </c>
      <c r="J16784">
        <v>2</v>
      </c>
    </row>
    <row r="16785" spans="1:10" x14ac:dyDescent="0.25">
      <c r="A16785" t="s">
        <v>174</v>
      </c>
      <c r="B16785" s="1" t="str">
        <f>HYPERLINK("http://gilead-pro.fi","gilead-pro.fi")</f>
        <v>gilead-pro.fi</v>
      </c>
      <c r="C16785" t="s">
        <v>445</v>
      </c>
      <c r="D16785" t="s">
        <v>823</v>
      </c>
      <c r="J16785">
        <v>2</v>
      </c>
    </row>
    <row r="16786" spans="1:10" x14ac:dyDescent="0.25">
      <c r="A16786" t="s">
        <v>174</v>
      </c>
      <c r="B16786" s="1" t="str">
        <f>HYPERLINK("http://gilead-sciences.fi","gilead-sciences.fi")</f>
        <v>gilead-sciences.fi</v>
      </c>
      <c r="C16786" t="s">
        <v>445</v>
      </c>
      <c r="D16786" t="s">
        <v>823</v>
      </c>
      <c r="J16786">
        <v>2</v>
      </c>
    </row>
    <row r="16787" spans="1:10" x14ac:dyDescent="0.25">
      <c r="A16787" t="s">
        <v>174</v>
      </c>
      <c r="B16787" s="1" t="str">
        <f>HYPERLINK("http://gileadcovid19.fi","gileadcovid19.fi")</f>
        <v>gileadcovid19.fi</v>
      </c>
      <c r="C16787" t="s">
        <v>445</v>
      </c>
      <c r="D16787" t="s">
        <v>823</v>
      </c>
      <c r="J16787">
        <v>2</v>
      </c>
    </row>
    <row r="16788" spans="1:10" x14ac:dyDescent="0.25">
      <c r="A16788" t="s">
        <v>174</v>
      </c>
      <c r="B16788" s="1" t="str">
        <f>HYPERLINK("http://gileadpro.fi","gileadpro.fi")</f>
        <v>gileadpro.fi</v>
      </c>
      <c r="C16788" t="s">
        <v>445</v>
      </c>
      <c r="D16788" t="s">
        <v>823</v>
      </c>
      <c r="J16788">
        <v>2</v>
      </c>
    </row>
    <row r="16789" spans="1:10" x14ac:dyDescent="0.25">
      <c r="A16789" t="s">
        <v>174</v>
      </c>
      <c r="B16789" s="1" t="str">
        <f>HYPERLINK("http://gileadscience.fi","gileadscience.fi")</f>
        <v>gileadscience.fi</v>
      </c>
      <c r="C16789" t="s">
        <v>445</v>
      </c>
      <c r="D16789" t="s">
        <v>823</v>
      </c>
      <c r="J16789">
        <v>2</v>
      </c>
    </row>
    <row r="16790" spans="1:10" x14ac:dyDescent="0.25">
      <c r="A16790" t="s">
        <v>174</v>
      </c>
      <c r="B16790" s="1" t="str">
        <f>HYPERLINK("http://gileadsciences.fi","gileadsciences.fi")</f>
        <v>gileadsciences.fi</v>
      </c>
      <c r="C16790" t="s">
        <v>445</v>
      </c>
      <c r="D16790" t="s">
        <v>823</v>
      </c>
      <c r="J16790">
        <v>2</v>
      </c>
    </row>
    <row r="16791" spans="1:10" x14ac:dyDescent="0.25">
      <c r="A16791" t="s">
        <v>174</v>
      </c>
      <c r="B16791" s="1" t="str">
        <f>HYPERLINK("http://ifihub.fi","ifihub.fi")</f>
        <v>ifihub.fi</v>
      </c>
      <c r="C16791" t="s">
        <v>445</v>
      </c>
      <c r="D16791" t="s">
        <v>823</v>
      </c>
      <c r="J16791">
        <v>2</v>
      </c>
    </row>
    <row r="16792" spans="1:10" x14ac:dyDescent="0.25">
      <c r="A16792" t="s">
        <v>174</v>
      </c>
      <c r="B16792" s="1" t="str">
        <f>HYPERLINK("http://jyseleca.fi","jyseleca.fi")</f>
        <v>jyseleca.fi</v>
      </c>
      <c r="C16792" t="s">
        <v>445</v>
      </c>
      <c r="D16792" t="s">
        <v>823</v>
      </c>
      <c r="J16792">
        <v>2</v>
      </c>
    </row>
    <row r="16793" spans="1:10" x14ac:dyDescent="0.25">
      <c r="A16793" t="s">
        <v>174</v>
      </c>
      <c r="B16793" s="1" t="str">
        <f>HYPERLINK("http://kitecar-t.fi","kitecar-t.fi")</f>
        <v>kitecar-t.fi</v>
      </c>
      <c r="C16793" t="s">
        <v>445</v>
      </c>
      <c r="D16793" t="s">
        <v>823</v>
      </c>
      <c r="J16793">
        <v>2</v>
      </c>
    </row>
    <row r="16794" spans="1:10" x14ac:dyDescent="0.25">
      <c r="A16794" t="s">
        <v>174</v>
      </c>
      <c r="B16794" s="1" t="str">
        <f>HYPERLINK("http://kitekonnect.fi","kitekonnect.fi")</f>
        <v>kitekonnect.fi</v>
      </c>
      <c r="C16794" t="s">
        <v>445</v>
      </c>
      <c r="D16794" t="s">
        <v>823</v>
      </c>
      <c r="J16794">
        <v>3</v>
      </c>
    </row>
    <row r="16795" spans="1:10" x14ac:dyDescent="0.25">
      <c r="A16795" t="s">
        <v>174</v>
      </c>
      <c r="B16795" s="1" t="str">
        <f>HYPERLINK("http://mycar-t.fi","mycar-t.fi")</f>
        <v>mycar-t.fi</v>
      </c>
      <c r="C16795" t="s">
        <v>445</v>
      </c>
      <c r="D16795" t="s">
        <v>823</v>
      </c>
      <c r="J16795">
        <v>2</v>
      </c>
    </row>
    <row r="16796" spans="1:10" x14ac:dyDescent="0.25">
      <c r="A16796" t="s">
        <v>174</v>
      </c>
      <c r="B16796" s="1" t="str">
        <f>HYPERLINK("http://tafconnect.fi","tafconnect.fi")</f>
        <v>tafconnect.fi</v>
      </c>
      <c r="C16796" t="s">
        <v>445</v>
      </c>
      <c r="D16796" t="s">
        <v>823</v>
      </c>
      <c r="J16796">
        <v>2</v>
      </c>
    </row>
    <row r="16797" spans="1:10" x14ac:dyDescent="0.25">
      <c r="A16797" t="s">
        <v>174</v>
      </c>
      <c r="B16797" s="1" t="str">
        <f>HYPERLINK("http://tybost.fi","tybost.fi")</f>
        <v>tybost.fi</v>
      </c>
      <c r="C16797" t="s">
        <v>445</v>
      </c>
      <c r="D16797" t="s">
        <v>823</v>
      </c>
      <c r="J16797">
        <v>2</v>
      </c>
    </row>
    <row r="16798" spans="1:10" x14ac:dyDescent="0.25">
      <c r="A16798" t="s">
        <v>174</v>
      </c>
      <c r="B16798" s="1" t="str">
        <f>HYPERLINK("http://yescarta.fi","yescarta.fi")</f>
        <v>yescarta.fi</v>
      </c>
      <c r="C16798" t="s">
        <v>445</v>
      </c>
      <c r="D16798" t="s">
        <v>823</v>
      </c>
      <c r="J16798">
        <v>2</v>
      </c>
    </row>
    <row r="16799" spans="1:10" x14ac:dyDescent="0.25">
      <c r="A16799" t="s">
        <v>174</v>
      </c>
      <c r="B16799" s="1" t="str">
        <f>HYPERLINK("http://gilead.fr","gilead.fr")</f>
        <v>gilead.fr</v>
      </c>
      <c r="C16799" t="s">
        <v>446</v>
      </c>
      <c r="D16799" t="s">
        <v>824</v>
      </c>
      <c r="F16799">
        <v>2.2965619985012801E-8</v>
      </c>
      <c r="G16799">
        <v>2275550</v>
      </c>
      <c r="H16799">
        <v>12492328</v>
      </c>
      <c r="I16799">
        <v>17459896</v>
      </c>
      <c r="J16799">
        <v>2</v>
      </c>
    </row>
    <row r="16800" spans="1:10" x14ac:dyDescent="0.25">
      <c r="A16800" t="s">
        <v>174</v>
      </c>
      <c r="B16800" s="1" t="str">
        <f>HYPERLINK("http://gilead.com.hk","gilead.com.hk")</f>
        <v>gilead.com.hk</v>
      </c>
      <c r="C16800" t="s">
        <v>450</v>
      </c>
      <c r="D16800" t="s">
        <v>827</v>
      </c>
      <c r="F16800">
        <v>1.3196493889547301E-8</v>
      </c>
      <c r="G16800">
        <v>4539770</v>
      </c>
      <c r="H16800">
        <v>12251946</v>
      </c>
      <c r="I16800">
        <v>21964897</v>
      </c>
      <c r="J16800">
        <v>2</v>
      </c>
    </row>
    <row r="16801" spans="1:10" x14ac:dyDescent="0.25">
      <c r="A16801" t="s">
        <v>174</v>
      </c>
      <c r="B16801" s="1" t="str">
        <f>HYPERLINK("http://gilead.it","gilead.it")</f>
        <v>gilead.it</v>
      </c>
      <c r="C16801" t="s">
        <v>459</v>
      </c>
      <c r="D16801" t="s">
        <v>835</v>
      </c>
      <c r="F16801">
        <v>2.42622680719797E-8</v>
      </c>
      <c r="G16801">
        <v>2137360</v>
      </c>
      <c r="H16801">
        <v>12627123</v>
      </c>
      <c r="I16801">
        <v>16012766</v>
      </c>
      <c r="J16801">
        <v>2</v>
      </c>
    </row>
    <row r="16802" spans="1:10" x14ac:dyDescent="0.25">
      <c r="A16802" t="s">
        <v>174</v>
      </c>
      <c r="B16802" s="1" t="str">
        <f>HYPERLINK("http://gilead.co.jp","gilead.co.jp")</f>
        <v>gilead.co.jp</v>
      </c>
      <c r="C16802" t="s">
        <v>461</v>
      </c>
      <c r="D16802" t="s">
        <v>837</v>
      </c>
      <c r="F16802">
        <v>4.5865231038523401E-8</v>
      </c>
      <c r="G16802">
        <v>1024203</v>
      </c>
      <c r="H16802">
        <v>14092631</v>
      </c>
      <c r="I16802">
        <v>2738798</v>
      </c>
      <c r="J16802">
        <v>2</v>
      </c>
    </row>
    <row r="16803" spans="1:10" x14ac:dyDescent="0.25">
      <c r="A16803" t="s">
        <v>174</v>
      </c>
      <c r="B16803" s="1" t="str">
        <f>HYPERLINK("http://epclusa.jp","epclusa.jp")</f>
        <v>epclusa.jp</v>
      </c>
      <c r="C16803" t="s">
        <v>461</v>
      </c>
      <c r="D16803" t="s">
        <v>837</v>
      </c>
      <c r="F16803">
        <v>5.4719358212151399E-9</v>
      </c>
      <c r="G16803">
        <v>21223597</v>
      </c>
      <c r="H16803">
        <v>10512046</v>
      </c>
      <c r="I16803">
        <v>49438706</v>
      </c>
      <c r="J16803">
        <v>2</v>
      </c>
    </row>
    <row r="16804" spans="1:10" x14ac:dyDescent="0.25">
      <c r="A16804" t="s">
        <v>174</v>
      </c>
      <c r="B16804" s="1" t="str">
        <f>HYPERLINK("http://gilead.co.kr","gilead.co.kr")</f>
        <v>gilead.co.kr</v>
      </c>
      <c r="C16804" t="s">
        <v>463</v>
      </c>
      <c r="D16804" t="s">
        <v>839</v>
      </c>
      <c r="F16804">
        <v>1.65395135333701E-8</v>
      </c>
      <c r="G16804">
        <v>3403992</v>
      </c>
      <c r="H16804">
        <v>14071941</v>
      </c>
      <c r="I16804">
        <v>3219443</v>
      </c>
      <c r="J16804">
        <v>2</v>
      </c>
    </row>
    <row r="16805" spans="1:10" x14ac:dyDescent="0.25">
      <c r="A16805" t="s">
        <v>174</v>
      </c>
      <c r="B16805" s="1" t="str">
        <f>HYPERLINK("http://gilead.co.uk","gilead.co.uk")</f>
        <v>gilead.co.uk</v>
      </c>
      <c r="C16805" t="s">
        <v>506</v>
      </c>
      <c r="D16805" t="s">
        <v>880</v>
      </c>
      <c r="F16805">
        <v>2.1778030201789901E-8</v>
      </c>
      <c r="G16805">
        <v>2413767</v>
      </c>
      <c r="H16805">
        <v>13228324</v>
      </c>
      <c r="I16805">
        <v>11292027</v>
      </c>
      <c r="J16805">
        <v>2</v>
      </c>
    </row>
    <row r="16806" spans="1:10" x14ac:dyDescent="0.25">
      <c r="A16806" t="s">
        <v>175</v>
      </c>
      <c r="B16806" s="1" t="str">
        <f>HYPERLINK("http://glencore.com.au","glencore.com.au")</f>
        <v>glencore.com.au</v>
      </c>
      <c r="C16806" t="s">
        <v>420</v>
      </c>
      <c r="D16806" t="s">
        <v>802</v>
      </c>
      <c r="F16806">
        <v>6.4961251567836097E-8</v>
      </c>
      <c r="G16806">
        <v>663507</v>
      </c>
      <c r="H16806">
        <v>14090646</v>
      </c>
      <c r="I16806">
        <v>2748575</v>
      </c>
      <c r="J16806">
        <v>2</v>
      </c>
    </row>
    <row r="16807" spans="1:10" x14ac:dyDescent="0.25">
      <c r="A16807" t="s">
        <v>175</v>
      </c>
      <c r="B16807" s="1" t="str">
        <f>HYPERLINK("http://minara.com.au","minara.com.au")</f>
        <v>minara.com.au</v>
      </c>
      <c r="C16807" t="s">
        <v>420</v>
      </c>
      <c r="D16807" t="s">
        <v>802</v>
      </c>
      <c r="F16807">
        <v>1.7307716951686899E-8</v>
      </c>
      <c r="G16807">
        <v>3197339</v>
      </c>
      <c r="H16807">
        <v>12664509</v>
      </c>
      <c r="I16807">
        <v>15669510</v>
      </c>
      <c r="J16807">
        <v>4</v>
      </c>
    </row>
    <row r="16808" spans="1:10" x14ac:dyDescent="0.25">
      <c r="A16808" t="s">
        <v>175</v>
      </c>
      <c r="B16808" s="1" t="str">
        <f>HYPERLINK("http://viterra.com.au","viterra.com.au")</f>
        <v>viterra.com.au</v>
      </c>
      <c r="C16808" t="s">
        <v>420</v>
      </c>
      <c r="D16808" t="s">
        <v>802</v>
      </c>
      <c r="F16808">
        <v>2.8857994780435998E-8</v>
      </c>
      <c r="G16808">
        <v>1783648</v>
      </c>
      <c r="H16808">
        <v>14074387</v>
      </c>
      <c r="I16808">
        <v>2944989</v>
      </c>
      <c r="J16808">
        <v>7</v>
      </c>
    </row>
    <row r="16809" spans="1:10" x14ac:dyDescent="0.25">
      <c r="A16809" t="s">
        <v>175</v>
      </c>
      <c r="B16809" s="1" t="str">
        <f>HYPERLINK("http://ale.com.br","ale.com.br")</f>
        <v>ale.com.br</v>
      </c>
      <c r="C16809" t="s">
        <v>425</v>
      </c>
      <c r="D16809" t="s">
        <v>806</v>
      </c>
      <c r="F16809">
        <v>1.5506683557731699E-8</v>
      </c>
      <c r="G16809">
        <v>3682795</v>
      </c>
      <c r="H16809">
        <v>14237437</v>
      </c>
      <c r="I16809">
        <v>1549946</v>
      </c>
      <c r="J16809">
        <v>3</v>
      </c>
    </row>
    <row r="16810" spans="1:10" x14ac:dyDescent="0.25">
      <c r="A16810" t="s">
        <v>175</v>
      </c>
      <c r="B16810" s="1" t="str">
        <f>HYPERLINK("http://glencore.com.br","glencore.com.br")</f>
        <v>glencore.com.br</v>
      </c>
      <c r="C16810" t="s">
        <v>425</v>
      </c>
      <c r="D16810" t="s">
        <v>806</v>
      </c>
      <c r="F16810">
        <v>9.4560713246401603E-9</v>
      </c>
      <c r="G16810">
        <v>7375389</v>
      </c>
      <c r="H16810">
        <v>10734836</v>
      </c>
      <c r="I16810">
        <v>40668925</v>
      </c>
      <c r="J16810">
        <v>6</v>
      </c>
    </row>
    <row r="16811" spans="1:10" x14ac:dyDescent="0.25">
      <c r="A16811" t="s">
        <v>175</v>
      </c>
      <c r="B16811" s="1" t="str">
        <f>HYPERLINK("http://viterra.com.br","viterra.com.br")</f>
        <v>viterra.com.br</v>
      </c>
      <c r="C16811" t="s">
        <v>425</v>
      </c>
      <c r="D16811" t="s">
        <v>806</v>
      </c>
      <c r="F16811">
        <v>1.5503328867260301E-8</v>
      </c>
      <c r="G16811">
        <v>3683744</v>
      </c>
      <c r="H16811">
        <v>10618534</v>
      </c>
      <c r="I16811">
        <v>44325484</v>
      </c>
      <c r="J16811">
        <v>7</v>
      </c>
    </row>
    <row r="16812" spans="1:10" x14ac:dyDescent="0.25">
      <c r="A16812" t="s">
        <v>175</v>
      </c>
      <c r="B16812" s="1" t="str">
        <f>HYPERLINK("http://glencore.ca","glencore.ca")</f>
        <v>glencore.ca</v>
      </c>
      <c r="C16812" t="s">
        <v>428</v>
      </c>
      <c r="D16812" t="s">
        <v>809</v>
      </c>
      <c r="E16812">
        <v>919344</v>
      </c>
      <c r="F16812">
        <v>1.42576232630071E-7</v>
      </c>
      <c r="G16812">
        <v>273029</v>
      </c>
      <c r="H16812">
        <v>14125033</v>
      </c>
      <c r="I16812">
        <v>2130668</v>
      </c>
      <c r="J16812">
        <v>2</v>
      </c>
    </row>
    <row r="16813" spans="1:10" x14ac:dyDescent="0.25">
      <c r="A16813" t="s">
        <v>175</v>
      </c>
      <c r="B16813" s="1" t="str">
        <f>HYPERLINK("http://viterra.ca","viterra.ca")</f>
        <v>viterra.ca</v>
      </c>
      <c r="C16813" t="s">
        <v>428</v>
      </c>
      <c r="D16813" t="s">
        <v>809</v>
      </c>
      <c r="F16813">
        <v>6.1897574607129598E-8</v>
      </c>
      <c r="G16813">
        <v>710490</v>
      </c>
      <c r="H16813">
        <v>13825808</v>
      </c>
      <c r="I16813">
        <v>6123895</v>
      </c>
      <c r="J16813">
        <v>7</v>
      </c>
    </row>
    <row r="16814" spans="1:10" x14ac:dyDescent="0.25">
      <c r="A16814" t="s">
        <v>175</v>
      </c>
      <c r="B16814" s="1" t="str">
        <f>HYPERLINK("http://glencore.ch","glencore.ch")</f>
        <v>glencore.ch</v>
      </c>
      <c r="C16814" t="s">
        <v>429</v>
      </c>
      <c r="D16814" t="s">
        <v>810</v>
      </c>
      <c r="F16814">
        <v>2.9344211426603901E-8</v>
      </c>
      <c r="G16814">
        <v>1755886</v>
      </c>
      <c r="H16814">
        <v>14077339</v>
      </c>
      <c r="I16814">
        <v>2868540</v>
      </c>
      <c r="J16814">
        <v>2</v>
      </c>
    </row>
    <row r="16815" spans="1:10" x14ac:dyDescent="0.25">
      <c r="A16815" t="s">
        <v>175</v>
      </c>
      <c r="B16815" s="1" t="str">
        <f>HYPERLINK("http://glencore.cn","glencore.cn")</f>
        <v>glencore.cn</v>
      </c>
      <c r="C16815" t="s">
        <v>431</v>
      </c>
      <c r="D16815" t="s">
        <v>812</v>
      </c>
      <c r="J16815">
        <v>5</v>
      </c>
    </row>
    <row r="16816" spans="1:10" x14ac:dyDescent="0.25">
      <c r="A16816" t="s">
        <v>175</v>
      </c>
      <c r="B16816" s="1" t="str">
        <f>HYPERLINK("http://prodeco.com.co","prodeco.com.co")</f>
        <v>prodeco.com.co</v>
      </c>
      <c r="C16816" t="s">
        <v>432</v>
      </c>
      <c r="F16816">
        <v>6.1705889712775098E-9</v>
      </c>
      <c r="G16816">
        <v>15689718</v>
      </c>
      <c r="H16816">
        <v>11455070</v>
      </c>
      <c r="I16816">
        <v>30108064</v>
      </c>
      <c r="J16816">
        <v>3</v>
      </c>
    </row>
    <row r="16817" spans="1:10" x14ac:dyDescent="0.25">
      <c r="A16817" t="s">
        <v>175</v>
      </c>
      <c r="B16817" s="1" t="str">
        <f>HYPERLINK("http://glencore.com","glencore.com")</f>
        <v>glencore.com</v>
      </c>
      <c r="C16817" t="s">
        <v>433</v>
      </c>
      <c r="E16817">
        <v>73909</v>
      </c>
      <c r="F16817">
        <v>5.6603294029991003E-7</v>
      </c>
      <c r="G16817">
        <v>67617</v>
      </c>
      <c r="H16817">
        <v>15209257</v>
      </c>
      <c r="I16817">
        <v>394691</v>
      </c>
      <c r="J16817">
        <v>1</v>
      </c>
    </row>
    <row r="16818" spans="1:10" x14ac:dyDescent="0.25">
      <c r="A16818" t="s">
        <v>175</v>
      </c>
      <c r="B16818" s="1" t="str">
        <f>HYPERLINK("http://katangamining.com","katangamining.com")</f>
        <v>katangamining.com</v>
      </c>
      <c r="C16818" t="s">
        <v>433</v>
      </c>
      <c r="F16818">
        <v>5.5720886604359301E-8</v>
      </c>
      <c r="G16818">
        <v>804714</v>
      </c>
      <c r="H16818">
        <v>14495312</v>
      </c>
      <c r="I16818">
        <v>876658</v>
      </c>
      <c r="J16818">
        <v>4</v>
      </c>
    </row>
    <row r="16819" spans="1:10" x14ac:dyDescent="0.25">
      <c r="A16819" t="s">
        <v>175</v>
      </c>
      <c r="B16819" s="1" t="str">
        <f>HYPERLINK("http://kazzinc.com","kazzinc.com")</f>
        <v>kazzinc.com</v>
      </c>
      <c r="C16819" t="s">
        <v>433</v>
      </c>
      <c r="E16819">
        <v>173064</v>
      </c>
      <c r="F16819">
        <v>3.6087110311139897E-8</v>
      </c>
      <c r="G16819">
        <v>1444473</v>
      </c>
      <c r="H16819">
        <v>14091716</v>
      </c>
      <c r="I16819">
        <v>2742682</v>
      </c>
      <c r="J16819">
        <v>3</v>
      </c>
    </row>
    <row r="16820" spans="1:10" x14ac:dyDescent="0.25">
      <c r="A16820" t="s">
        <v>175</v>
      </c>
      <c r="B16820" s="1" t="str">
        <f>HYPERLINK("http://norandarecycling.com","norandarecycling.com")</f>
        <v>norandarecycling.com</v>
      </c>
      <c r="C16820" t="s">
        <v>433</v>
      </c>
      <c r="F16820">
        <v>5.8775491314433999E-9</v>
      </c>
      <c r="G16820">
        <v>17514408</v>
      </c>
      <c r="H16820">
        <v>13335336</v>
      </c>
      <c r="I16820">
        <v>10687531</v>
      </c>
      <c r="J16820">
        <v>3</v>
      </c>
    </row>
    <row r="16821" spans="1:10" x14ac:dyDescent="0.25">
      <c r="A16821" t="s">
        <v>175</v>
      </c>
      <c r="B16821" s="1" t="str">
        <f>HYPERLINK("http://oceanconnectmarine.com","oceanconnectmarine.com")</f>
        <v>oceanconnectmarine.com</v>
      </c>
      <c r="C16821" t="s">
        <v>433</v>
      </c>
      <c r="F16821">
        <v>4.4501667663008698E-9</v>
      </c>
      <c r="G16821">
        <v>71830558</v>
      </c>
      <c r="H16821">
        <v>10894535</v>
      </c>
      <c r="I16821">
        <v>35963380</v>
      </c>
      <c r="J16821">
        <v>5</v>
      </c>
    </row>
    <row r="16822" spans="1:10" x14ac:dyDescent="0.25">
      <c r="A16822" t="s">
        <v>175</v>
      </c>
      <c r="B16822" s="1" t="str">
        <f>HYPERLINK("http://polymetmining.com","polymetmining.com")</f>
        <v>polymetmining.com</v>
      </c>
      <c r="C16822" t="s">
        <v>433</v>
      </c>
      <c r="F16822">
        <v>3.52329737615431E-8</v>
      </c>
      <c r="G16822">
        <v>1475817</v>
      </c>
      <c r="H16822">
        <v>14321794</v>
      </c>
      <c r="I16822">
        <v>1330570</v>
      </c>
      <c r="J16822">
        <v>3</v>
      </c>
    </row>
    <row r="16823" spans="1:10" x14ac:dyDescent="0.25">
      <c r="A16823" t="s">
        <v>175</v>
      </c>
      <c r="B16823" s="1" t="str">
        <f>HYPERLINK("http://viterra.com","viterra.com")</f>
        <v>viterra.com</v>
      </c>
      <c r="C16823" t="s">
        <v>433</v>
      </c>
      <c r="E16823">
        <v>185861</v>
      </c>
      <c r="F16823">
        <v>1.20150524073069E-7</v>
      </c>
      <c r="G16823">
        <v>328984</v>
      </c>
      <c r="H16823">
        <v>13383132</v>
      </c>
      <c r="I16823">
        <v>10417398</v>
      </c>
      <c r="J16823">
        <v>7</v>
      </c>
    </row>
    <row r="16824" spans="1:10" x14ac:dyDescent="0.25">
      <c r="A16824" t="s">
        <v>175</v>
      </c>
      <c r="B16824" s="1" t="str">
        <f>HYPERLINK("http://viterra.cz","viterra.cz")</f>
        <v>viterra.cz</v>
      </c>
      <c r="C16824" t="s">
        <v>435</v>
      </c>
      <c r="D16824" t="s">
        <v>814</v>
      </c>
      <c r="F16824">
        <v>1.30072891261089E-8</v>
      </c>
      <c r="G16824">
        <v>4628278</v>
      </c>
      <c r="H16824">
        <v>12170294</v>
      </c>
      <c r="I16824">
        <v>24062253</v>
      </c>
      <c r="J16824">
        <v>6</v>
      </c>
    </row>
    <row r="16825" spans="1:10" x14ac:dyDescent="0.25">
      <c r="A16825" t="s">
        <v>175</v>
      </c>
      <c r="B16825" s="1" t="str">
        <f>HYPERLINK("http://azsa.es","azsa.es")</f>
        <v>azsa.es</v>
      </c>
      <c r="C16825" t="s">
        <v>443</v>
      </c>
      <c r="D16825" t="s">
        <v>822</v>
      </c>
      <c r="F16825">
        <v>2.4609551246229201E-8</v>
      </c>
      <c r="G16825">
        <v>2104566</v>
      </c>
      <c r="H16825">
        <v>14075737</v>
      </c>
      <c r="I16825">
        <v>2901894</v>
      </c>
      <c r="J16825">
        <v>3</v>
      </c>
    </row>
    <row r="16826" spans="1:10" x14ac:dyDescent="0.25">
      <c r="A16826" t="s">
        <v>175</v>
      </c>
      <c r="B16826" s="1" t="str">
        <f>HYPERLINK("http://viterra.hu","viterra.hu")</f>
        <v>viterra.hu</v>
      </c>
      <c r="C16826" t="s">
        <v>453</v>
      </c>
      <c r="D16826" t="s">
        <v>830</v>
      </c>
      <c r="F16826">
        <v>2.26844840744571E-8</v>
      </c>
      <c r="G16826">
        <v>2308436</v>
      </c>
      <c r="H16826">
        <v>14071800</v>
      </c>
      <c r="I16826">
        <v>3319740</v>
      </c>
      <c r="J16826">
        <v>7</v>
      </c>
    </row>
    <row r="16827" spans="1:10" x14ac:dyDescent="0.25">
      <c r="A16827" t="s">
        <v>175</v>
      </c>
      <c r="B16827" s="1" t="str">
        <f>HYPERLINK("http://portovesme.it","portovesme.it")</f>
        <v>portovesme.it</v>
      </c>
      <c r="C16827" t="s">
        <v>459</v>
      </c>
      <c r="D16827" t="s">
        <v>835</v>
      </c>
      <c r="F16827">
        <v>1.6995460321158301E-8</v>
      </c>
      <c r="G16827">
        <v>3284318</v>
      </c>
      <c r="H16827">
        <v>12304482</v>
      </c>
      <c r="I16827">
        <v>20743744</v>
      </c>
      <c r="J16827">
        <v>3</v>
      </c>
    </row>
    <row r="16828" spans="1:10" x14ac:dyDescent="0.25">
      <c r="A16828" t="s">
        <v>175</v>
      </c>
      <c r="B16828" s="1" t="str">
        <f>HYPERLINK("http://koniambonickel.nc","koniambonickel.nc")</f>
        <v>koniambonickel.nc</v>
      </c>
      <c r="C16828" t="s">
        <v>724</v>
      </c>
      <c r="D16828" t="s">
        <v>1008</v>
      </c>
      <c r="F16828">
        <v>2.7702964568990999E-8</v>
      </c>
      <c r="G16828">
        <v>1856042</v>
      </c>
      <c r="H16828">
        <v>14377904</v>
      </c>
      <c r="I16828">
        <v>1207198</v>
      </c>
      <c r="J16828">
        <v>3</v>
      </c>
    </row>
    <row r="16829" spans="1:10" x14ac:dyDescent="0.25">
      <c r="A16829" t="s">
        <v>175</v>
      </c>
      <c r="B16829" s="1" t="str">
        <f>HYPERLINK("http://glencore.net","glencore.net")</f>
        <v>glencore.net</v>
      </c>
      <c r="C16829" t="s">
        <v>474</v>
      </c>
      <c r="E16829">
        <v>153549</v>
      </c>
      <c r="F16829">
        <v>1.38670340473611E-8</v>
      </c>
      <c r="G16829">
        <v>4253953</v>
      </c>
      <c r="H16829">
        <v>12300428</v>
      </c>
      <c r="I16829">
        <v>20824246</v>
      </c>
      <c r="J16829">
        <v>3</v>
      </c>
    </row>
    <row r="16830" spans="1:10" x14ac:dyDescent="0.25">
      <c r="A16830" t="s">
        <v>175</v>
      </c>
      <c r="B16830" s="1" t="str">
        <f>HYPERLINK("http://nikkelverk.no","nikkelverk.no")</f>
        <v>nikkelverk.no</v>
      </c>
      <c r="C16830" t="s">
        <v>478</v>
      </c>
      <c r="D16830" t="s">
        <v>853</v>
      </c>
      <c r="F16830">
        <v>2.45885284343015E-8</v>
      </c>
      <c r="G16830">
        <v>2106437</v>
      </c>
      <c r="H16830">
        <v>14074350</v>
      </c>
      <c r="I16830">
        <v>2946281</v>
      </c>
      <c r="J16830">
        <v>3</v>
      </c>
    </row>
    <row r="16831" spans="1:10" x14ac:dyDescent="0.25">
      <c r="A16831" t="s">
        <v>175</v>
      </c>
      <c r="B16831" s="1" t="str">
        <f>HYPERLINK("http://grainman.co.uk","grainman.co.uk")</f>
        <v>grainman.co.uk</v>
      </c>
      <c r="C16831" t="s">
        <v>506</v>
      </c>
      <c r="D16831" t="s">
        <v>880</v>
      </c>
      <c r="J16831">
        <v>9</v>
      </c>
    </row>
    <row r="16832" spans="1:10" x14ac:dyDescent="0.25">
      <c r="A16832" t="s">
        <v>175</v>
      </c>
      <c r="B16832" s="1" t="str">
        <f>HYPERLINK("http://viterra.co.uk","viterra.co.uk")</f>
        <v>viterra.co.uk</v>
      </c>
      <c r="C16832" t="s">
        <v>506</v>
      </c>
      <c r="D16832" t="s">
        <v>880</v>
      </c>
      <c r="F16832">
        <v>1.25217270905423E-8</v>
      </c>
      <c r="G16832">
        <v>4873932</v>
      </c>
      <c r="H16832">
        <v>10618257</v>
      </c>
      <c r="I16832">
        <v>44333944</v>
      </c>
      <c r="J16832">
        <v>7</v>
      </c>
    </row>
    <row r="16833" spans="1:10" x14ac:dyDescent="0.25">
      <c r="A16833" t="s">
        <v>175</v>
      </c>
      <c r="B16833" s="1" t="str">
        <f>HYPERLINK("http://astronenergy.co.za","astronenergy.co.za")</f>
        <v>astronenergy.co.za</v>
      </c>
      <c r="C16833" t="s">
        <v>510</v>
      </c>
      <c r="D16833" t="s">
        <v>884</v>
      </c>
      <c r="F16833">
        <v>2.0650062269062302E-8</v>
      </c>
      <c r="G16833">
        <v>2563720</v>
      </c>
      <c r="H16833">
        <v>12972320</v>
      </c>
      <c r="I16833">
        <v>13033185</v>
      </c>
      <c r="J16833">
        <v>3</v>
      </c>
    </row>
    <row r="16834" spans="1:10" x14ac:dyDescent="0.25">
      <c r="A16834" t="s">
        <v>176</v>
      </c>
      <c r="B16834" s="1" t="str">
        <f>HYPERLINK("http://gs.com.au","gs.com.au")</f>
        <v>gs.com.au</v>
      </c>
      <c r="C16834" t="s">
        <v>420</v>
      </c>
      <c r="D16834" t="s">
        <v>802</v>
      </c>
      <c r="F16834">
        <v>6.7134634016033597E-9</v>
      </c>
      <c r="G16834">
        <v>13256133</v>
      </c>
      <c r="H16834">
        <v>13764180</v>
      </c>
      <c r="I16834">
        <v>7347510</v>
      </c>
      <c r="J16834">
        <v>4</v>
      </c>
    </row>
    <row r="16835" spans="1:10" x14ac:dyDescent="0.25">
      <c r="A16835" t="s">
        <v>176</v>
      </c>
      <c r="B16835" s="1" t="str">
        <f>HYPERLINK("http://altis.ch","altis.ch")</f>
        <v>altis.ch</v>
      </c>
      <c r="C16835" t="s">
        <v>429</v>
      </c>
      <c r="D16835" t="s">
        <v>810</v>
      </c>
      <c r="F16835">
        <v>5.7357066270272803E-9</v>
      </c>
      <c r="G16835">
        <v>18616199</v>
      </c>
      <c r="H16835">
        <v>13763637</v>
      </c>
      <c r="I16835">
        <v>8008832</v>
      </c>
      <c r="J16835">
        <v>5</v>
      </c>
    </row>
    <row r="16836" spans="1:10" x14ac:dyDescent="0.25">
      <c r="A16836" t="s">
        <v>176</v>
      </c>
      <c r="B16836" s="1" t="str">
        <f>HYPERLINK("http://goldman-sachs.ch","goldman-sachs.ch")</f>
        <v>goldman-sachs.ch</v>
      </c>
      <c r="C16836" t="s">
        <v>429</v>
      </c>
      <c r="D16836" t="s">
        <v>810</v>
      </c>
      <c r="F16836">
        <v>5.5891473000972196E-9</v>
      </c>
      <c r="G16836">
        <v>19963712</v>
      </c>
      <c r="H16836">
        <v>14071968</v>
      </c>
      <c r="I16836">
        <v>3208318</v>
      </c>
      <c r="J16836">
        <v>4</v>
      </c>
    </row>
    <row r="16837" spans="1:10" x14ac:dyDescent="0.25">
      <c r="A16837" t="s">
        <v>176</v>
      </c>
      <c r="B16837" s="1" t="str">
        <f>HYPERLINK("http://ghsl.cn","ghsl.cn")</f>
        <v>ghsl.cn</v>
      </c>
      <c r="C16837" t="s">
        <v>431</v>
      </c>
      <c r="D16837" t="s">
        <v>812</v>
      </c>
      <c r="E16837">
        <v>505659</v>
      </c>
      <c r="F16837">
        <v>5.4689130019576403E-8</v>
      </c>
      <c r="G16837">
        <v>824128</v>
      </c>
      <c r="H16837">
        <v>13940851</v>
      </c>
      <c r="I16837">
        <v>4360172</v>
      </c>
      <c r="J16837">
        <v>4</v>
      </c>
    </row>
    <row r="16838" spans="1:10" x14ac:dyDescent="0.25">
      <c r="A16838" t="s">
        <v>176</v>
      </c>
      <c r="B16838" s="1" t="str">
        <f>HYPERLINK("http://gsgh.cn","gsgh.cn")</f>
        <v>gsgh.cn</v>
      </c>
      <c r="C16838" t="s">
        <v>431</v>
      </c>
      <c r="D16838" t="s">
        <v>812</v>
      </c>
      <c r="E16838">
        <v>502380</v>
      </c>
      <c r="F16838">
        <v>3.0593631398051097E-8</v>
      </c>
      <c r="G16838">
        <v>1683429</v>
      </c>
      <c r="H16838">
        <v>12485675</v>
      </c>
      <c r="I16838">
        <v>17540644</v>
      </c>
      <c r="J16838">
        <v>4</v>
      </c>
    </row>
    <row r="16839" spans="1:10" x14ac:dyDescent="0.25">
      <c r="A16839" t="s">
        <v>176</v>
      </c>
      <c r="B16839" s="1" t="str">
        <f>HYPERLINK("http://gs.co","gs.co")</f>
        <v>gs.co</v>
      </c>
      <c r="C16839" t="s">
        <v>432</v>
      </c>
      <c r="F16839">
        <v>4.44380395335525E-9</v>
      </c>
      <c r="G16839">
        <v>80364222</v>
      </c>
      <c r="H16839">
        <v>0</v>
      </c>
      <c r="I16839">
        <v>80495347</v>
      </c>
      <c r="J16839">
        <v>4</v>
      </c>
    </row>
    <row r="16840" spans="1:10" x14ac:dyDescent="0.25">
      <c r="A16840" t="s">
        <v>176</v>
      </c>
      <c r="B16840" s="1" t="str">
        <f>HYPERLINK("http://altisim.com","altisim.com")</f>
        <v>altisim.com</v>
      </c>
      <c r="C16840" t="s">
        <v>433</v>
      </c>
      <c r="F16840">
        <v>5.2646525142454799E-9</v>
      </c>
      <c r="G16840">
        <v>24032580</v>
      </c>
      <c r="H16840">
        <v>10503515</v>
      </c>
      <c r="I16840">
        <v>50427759</v>
      </c>
      <c r="J16840">
        <v>8</v>
      </c>
    </row>
    <row r="16841" spans="1:10" x14ac:dyDescent="0.25">
      <c r="A16841" t="s">
        <v>176</v>
      </c>
      <c r="B16841" s="1" t="str">
        <f>HYPERLINK("http://aptitudeinvest.com","aptitudeinvest.com")</f>
        <v>aptitudeinvest.com</v>
      </c>
      <c r="C16841" t="s">
        <v>433</v>
      </c>
      <c r="F16841">
        <v>4.5497500251840704E-9</v>
      </c>
      <c r="G16841">
        <v>52217082</v>
      </c>
      <c r="H16841">
        <v>10838314</v>
      </c>
      <c r="I16841">
        <v>37210705</v>
      </c>
      <c r="J16841">
        <v>4</v>
      </c>
    </row>
    <row r="16842" spans="1:10" x14ac:dyDescent="0.25">
      <c r="A16842" t="s">
        <v>176</v>
      </c>
      <c r="B16842" s="1" t="str">
        <f>HYPERLINK("http://autocam.com","autocam.com")</f>
        <v>autocam.com</v>
      </c>
      <c r="C16842" t="s">
        <v>433</v>
      </c>
      <c r="F16842">
        <v>9.6619312993025498E-9</v>
      </c>
      <c r="G16842">
        <v>7126424</v>
      </c>
      <c r="H16842">
        <v>13814774</v>
      </c>
      <c r="I16842">
        <v>6172756</v>
      </c>
      <c r="J16842">
        <v>4</v>
      </c>
    </row>
    <row r="16843" spans="1:10" x14ac:dyDescent="0.25">
      <c r="A16843" t="s">
        <v>176</v>
      </c>
      <c r="B16843" s="1" t="str">
        <f>HYPERLINK("http://bedrockcapital.com","bedrockcapital.com")</f>
        <v>bedrockcapital.com</v>
      </c>
      <c r="C16843" t="s">
        <v>433</v>
      </c>
      <c r="F16843">
        <v>1.2453798124749301E-8</v>
      </c>
      <c r="G16843">
        <v>4910266</v>
      </c>
      <c r="H16843">
        <v>13793467</v>
      </c>
      <c r="I16843">
        <v>6322064</v>
      </c>
      <c r="J16843">
        <v>9</v>
      </c>
    </row>
    <row r="16844" spans="1:10" x14ac:dyDescent="0.25">
      <c r="A16844" t="s">
        <v>176</v>
      </c>
      <c r="B16844" s="1" t="str">
        <f>HYPERLINK("http://caldic.com","caldic.com")</f>
        <v>caldic.com</v>
      </c>
      <c r="C16844" t="s">
        <v>433</v>
      </c>
      <c r="E16844">
        <v>565912</v>
      </c>
      <c r="F16844">
        <v>1.02315036526197E-7</v>
      </c>
      <c r="G16844">
        <v>392503</v>
      </c>
      <c r="H16844">
        <v>14004458</v>
      </c>
      <c r="I16844">
        <v>4007760</v>
      </c>
      <c r="J16844">
        <v>5</v>
      </c>
    </row>
    <row r="16845" spans="1:10" x14ac:dyDescent="0.25">
      <c r="A16845" t="s">
        <v>176</v>
      </c>
      <c r="B16845" s="1" t="str">
        <f>HYPERLINK("http://fatface.com","fatface.com")</f>
        <v>fatface.com</v>
      </c>
      <c r="C16845" t="s">
        <v>433</v>
      </c>
      <c r="E16845">
        <v>78148</v>
      </c>
      <c r="F16845">
        <v>2.33644217992284E-7</v>
      </c>
      <c r="G16845">
        <v>160494</v>
      </c>
      <c r="H16845">
        <v>14769434</v>
      </c>
      <c r="I16845">
        <v>557934</v>
      </c>
      <c r="J16845">
        <v>6</v>
      </c>
    </row>
    <row r="16846" spans="1:10" x14ac:dyDescent="0.25">
      <c r="A16846" t="s">
        <v>176</v>
      </c>
      <c r="B16846" s="1" t="str">
        <f>HYPERLINK("http://foliofinancial.com","foliofinancial.com")</f>
        <v>foliofinancial.com</v>
      </c>
      <c r="C16846" t="s">
        <v>433</v>
      </c>
      <c r="F16846">
        <v>5.2288873138459402E-9</v>
      </c>
      <c r="G16846">
        <v>24594065</v>
      </c>
      <c r="H16846">
        <v>12285493</v>
      </c>
      <c r="I16846">
        <v>21201269</v>
      </c>
      <c r="J16846">
        <v>5</v>
      </c>
    </row>
    <row r="16847" spans="1:10" x14ac:dyDescent="0.25">
      <c r="A16847" t="s">
        <v>176</v>
      </c>
      <c r="B16847" s="1" t="str">
        <f>HYPERLINK("http://foodindtech.com","foodindtech.com")</f>
        <v>foodindtech.com</v>
      </c>
      <c r="C16847" t="s">
        <v>433</v>
      </c>
      <c r="F16847">
        <v>4.44380395335525E-9</v>
      </c>
      <c r="G16847">
        <v>87028465</v>
      </c>
      <c r="H16847">
        <v>0</v>
      </c>
      <c r="I16847">
        <v>82106228</v>
      </c>
      <c r="J16847">
        <v>11</v>
      </c>
    </row>
    <row r="16848" spans="1:10" x14ac:dyDescent="0.25">
      <c r="A16848" t="s">
        <v>176</v>
      </c>
      <c r="B16848" s="1" t="str">
        <f>HYPERLINK("http://goldmansachs.com","goldmansachs.com")</f>
        <v>goldmansachs.com</v>
      </c>
      <c r="C16848" t="s">
        <v>433</v>
      </c>
      <c r="E16848">
        <v>5601</v>
      </c>
      <c r="F16848">
        <v>7.9905740578974903E-6</v>
      </c>
      <c r="G16848">
        <v>4202</v>
      </c>
      <c r="H16848">
        <v>18270346</v>
      </c>
      <c r="I16848">
        <v>2467</v>
      </c>
      <c r="J16848">
        <v>1</v>
      </c>
    </row>
    <row r="16849" spans="1:10" x14ac:dyDescent="0.25">
      <c r="A16849" t="s">
        <v>176</v>
      </c>
      <c r="B16849" s="1" t="str">
        <f>HYPERLINK("http://goldmansachsbdc.com","goldmansachsbdc.com")</f>
        <v>goldmansachsbdc.com</v>
      </c>
      <c r="C16849" t="s">
        <v>433</v>
      </c>
      <c r="F16849">
        <v>1.34040821427371E-8</v>
      </c>
      <c r="G16849">
        <v>4446067</v>
      </c>
      <c r="H16849">
        <v>13664924</v>
      </c>
      <c r="I16849">
        <v>9563225</v>
      </c>
      <c r="J16849">
        <v>4</v>
      </c>
    </row>
    <row r="16850" spans="1:10" x14ac:dyDescent="0.25">
      <c r="A16850" t="s">
        <v>176</v>
      </c>
      <c r="B16850" s="1" t="str">
        <f>HYPERLINK("http://goodhostspaces.com","goodhostspaces.com")</f>
        <v>goodhostspaces.com</v>
      </c>
      <c r="C16850" t="s">
        <v>433</v>
      </c>
      <c r="F16850">
        <v>6.4008876953971298E-9</v>
      </c>
      <c r="G16850">
        <v>14512325</v>
      </c>
      <c r="H16850">
        <v>12230748</v>
      </c>
      <c r="I16850">
        <v>22485030</v>
      </c>
      <c r="J16850">
        <v>4</v>
      </c>
    </row>
    <row r="16851" spans="1:10" x14ac:dyDescent="0.25">
      <c r="A16851" t="s">
        <v>176</v>
      </c>
      <c r="B16851" s="1" t="str">
        <f>HYPERLINK("http://greensky.com","greensky.com")</f>
        <v>greensky.com</v>
      </c>
      <c r="C16851" t="s">
        <v>433</v>
      </c>
      <c r="E16851">
        <v>53692</v>
      </c>
      <c r="F16851">
        <v>9.2905112100188503E-7</v>
      </c>
      <c r="G16851">
        <v>41428</v>
      </c>
      <c r="H16851">
        <v>17000154</v>
      </c>
      <c r="I16851">
        <v>93711</v>
      </c>
      <c r="J16851">
        <v>6</v>
      </c>
    </row>
    <row r="16852" spans="1:10" x14ac:dyDescent="0.25">
      <c r="A16852" t="s">
        <v>176</v>
      </c>
      <c r="B16852" s="1" t="str">
        <f>HYPERLINK("http://gs.com","gs.com")</f>
        <v>gs.com</v>
      </c>
      <c r="C16852" t="s">
        <v>433</v>
      </c>
      <c r="E16852">
        <v>3600</v>
      </c>
      <c r="F16852">
        <v>6.9273969008381998E-7</v>
      </c>
      <c r="G16852">
        <v>55743</v>
      </c>
      <c r="H16852">
        <v>17327116</v>
      </c>
      <c r="I16852">
        <v>25152</v>
      </c>
      <c r="J16852">
        <v>2</v>
      </c>
    </row>
    <row r="16853" spans="1:10" x14ac:dyDescent="0.25">
      <c r="A16853" t="s">
        <v>176</v>
      </c>
      <c r="B16853" s="1" t="str">
        <f>HYPERLINK("http://gsam.com","gsam.com")</f>
        <v>gsam.com</v>
      </c>
      <c r="C16853" t="s">
        <v>433</v>
      </c>
      <c r="E16853">
        <v>6600</v>
      </c>
      <c r="F16853">
        <v>5.1470208052397802E-7</v>
      </c>
      <c r="G16853">
        <v>74543</v>
      </c>
      <c r="H16853">
        <v>14268515</v>
      </c>
      <c r="I16853">
        <v>1403587</v>
      </c>
      <c r="J16853">
        <v>4</v>
      </c>
    </row>
    <row r="16854" spans="1:10" x14ac:dyDescent="0.25">
      <c r="A16854" t="s">
        <v>176</v>
      </c>
      <c r="B16854" s="1" t="str">
        <f>HYPERLINK("http://gsrjl.com","gsrjl.com")</f>
        <v>gsrjl.com</v>
      </c>
      <c r="C16854" t="s">
        <v>433</v>
      </c>
      <c r="F16854">
        <v>4.4602584284259496E-9</v>
      </c>
      <c r="G16854">
        <v>67675586</v>
      </c>
      <c r="H16854">
        <v>11055373</v>
      </c>
      <c r="I16854">
        <v>32737877</v>
      </c>
      <c r="J16854">
        <v>4</v>
      </c>
    </row>
    <row r="16855" spans="1:10" x14ac:dyDescent="0.25">
      <c r="A16855" t="s">
        <v>176</v>
      </c>
      <c r="B16855" s="1" t="str">
        <f>HYPERLINK("http://hajzkj.com","hajzkj.com")</f>
        <v>hajzkj.com</v>
      </c>
      <c r="C16855" t="s">
        <v>433</v>
      </c>
      <c r="F16855">
        <v>4.44380395335525E-9</v>
      </c>
      <c r="G16855">
        <v>81873203</v>
      </c>
      <c r="H16855">
        <v>0</v>
      </c>
      <c r="I16855">
        <v>82352290</v>
      </c>
      <c r="J16855">
        <v>3</v>
      </c>
    </row>
    <row r="16856" spans="1:10" x14ac:dyDescent="0.25">
      <c r="A16856" t="s">
        <v>176</v>
      </c>
      <c r="B16856" s="1" t="str">
        <f>HYPERLINK("http://nnip.com","nnip.com")</f>
        <v>nnip.com</v>
      </c>
      <c r="C16856" t="s">
        <v>433</v>
      </c>
      <c r="E16856">
        <v>376899</v>
      </c>
      <c r="F16856">
        <v>1.4752333749239999E-7</v>
      </c>
      <c r="G16856">
        <v>263919</v>
      </c>
      <c r="H16856">
        <v>14460494</v>
      </c>
      <c r="I16856">
        <v>1047134</v>
      </c>
      <c r="J16856">
        <v>3</v>
      </c>
    </row>
    <row r="16857" spans="1:10" x14ac:dyDescent="0.25">
      <c r="A16857" t="s">
        <v>176</v>
      </c>
      <c r="B16857" s="1" t="str">
        <f>HYPERLINK("http://riverstoneliving.com","riverstoneliving.com")</f>
        <v>riverstoneliving.com</v>
      </c>
      <c r="C16857" t="s">
        <v>433</v>
      </c>
      <c r="F16857">
        <v>8.4356929543777602E-8</v>
      </c>
      <c r="G16857">
        <v>489976</v>
      </c>
      <c r="H16857">
        <v>13612405</v>
      </c>
      <c r="I16857">
        <v>9633726</v>
      </c>
      <c r="J16857">
        <v>6</v>
      </c>
    </row>
    <row r="16858" spans="1:10" x14ac:dyDescent="0.25">
      <c r="A16858" t="s">
        <v>176</v>
      </c>
      <c r="B16858" s="1" t="str">
        <f>HYPERLINK("http://unitedcp.com","unitedcp.com")</f>
        <v>unitedcp.com</v>
      </c>
      <c r="C16858" t="s">
        <v>433</v>
      </c>
      <c r="E16858">
        <v>5897</v>
      </c>
      <c r="F16858">
        <v>7.3312038580402798E-8</v>
      </c>
      <c r="G16858">
        <v>574963</v>
      </c>
      <c r="H16858">
        <v>13747950</v>
      </c>
      <c r="I16858">
        <v>9422001</v>
      </c>
      <c r="J16858">
        <v>5</v>
      </c>
    </row>
    <row r="16859" spans="1:10" x14ac:dyDescent="0.25">
      <c r="A16859" t="s">
        <v>176</v>
      </c>
      <c r="B16859" s="1" t="str">
        <f>HYPERLINK("http://delmora-bank.de","delmora-bank.de")</f>
        <v>delmora-bank.de</v>
      </c>
      <c r="C16859" t="s">
        <v>436</v>
      </c>
      <c r="D16859" t="s">
        <v>815</v>
      </c>
      <c r="J16859">
        <v>4</v>
      </c>
    </row>
    <row r="16860" spans="1:10" x14ac:dyDescent="0.25">
      <c r="A16860" t="s">
        <v>176</v>
      </c>
      <c r="B16860" s="1" t="str">
        <f>HYPERLINK("http://caldic.dk","caldic.dk")</f>
        <v>caldic.dk</v>
      </c>
      <c r="C16860" t="s">
        <v>437</v>
      </c>
      <c r="D16860" t="s">
        <v>816</v>
      </c>
      <c r="F16860">
        <v>7.2395883757355304E-9</v>
      </c>
      <c r="G16860">
        <v>11632496</v>
      </c>
      <c r="H16860">
        <v>10854376</v>
      </c>
      <c r="I16860">
        <v>36768420</v>
      </c>
      <c r="J16860">
        <v>6</v>
      </c>
    </row>
    <row r="16861" spans="1:10" x14ac:dyDescent="0.25">
      <c r="A16861" t="s">
        <v>176</v>
      </c>
      <c r="B16861" s="1" t="str">
        <f>HYPERLINK("http://r2group.eu","r2group.eu")</f>
        <v>r2group.eu</v>
      </c>
      <c r="C16861" t="s">
        <v>444</v>
      </c>
      <c r="J16861">
        <v>4</v>
      </c>
    </row>
    <row r="16862" spans="1:10" x14ac:dyDescent="0.25">
      <c r="A16862" t="s">
        <v>176</v>
      </c>
      <c r="B16862" s="1" t="str">
        <f>HYPERLINK("http://caldic.fi","caldic.fi")</f>
        <v>caldic.fi</v>
      </c>
      <c r="C16862" t="s">
        <v>445</v>
      </c>
      <c r="D16862" t="s">
        <v>823</v>
      </c>
      <c r="F16862">
        <v>4.6356834164169503E-9</v>
      </c>
      <c r="G16862">
        <v>45050755</v>
      </c>
      <c r="H16862">
        <v>9778084</v>
      </c>
      <c r="I16862">
        <v>62748060</v>
      </c>
      <c r="J16862">
        <v>6</v>
      </c>
    </row>
    <row r="16863" spans="1:10" x14ac:dyDescent="0.25">
      <c r="A16863" t="s">
        <v>176</v>
      </c>
      <c r="B16863" s="1" t="str">
        <f>HYPERLINK("http://caldicbrew.fi","caldicbrew.fi")</f>
        <v>caldicbrew.fi</v>
      </c>
      <c r="C16863" t="s">
        <v>445</v>
      </c>
      <c r="D16863" t="s">
        <v>823</v>
      </c>
      <c r="J16863">
        <v>6</v>
      </c>
    </row>
    <row r="16864" spans="1:10" x14ac:dyDescent="0.25">
      <c r="A16864" t="s">
        <v>176</v>
      </c>
      <c r="B16864" s="1" t="str">
        <f>HYPERLINK("http://caldicfoodretail.fi","caldicfoodretail.fi")</f>
        <v>caldicfoodretail.fi</v>
      </c>
      <c r="C16864" t="s">
        <v>445</v>
      </c>
      <c r="D16864" t="s">
        <v>823</v>
      </c>
      <c r="J16864">
        <v>6</v>
      </c>
    </row>
    <row r="16865" spans="1:10" x14ac:dyDescent="0.25">
      <c r="A16865" t="s">
        <v>176</v>
      </c>
      <c r="B16865" s="1" t="str">
        <f>HYPERLINK("http://caldicfoodserviceretail.fi","caldicfoodserviceretail.fi")</f>
        <v>caldicfoodserviceretail.fi</v>
      </c>
      <c r="C16865" t="s">
        <v>445</v>
      </c>
      <c r="D16865" t="s">
        <v>823</v>
      </c>
      <c r="J16865">
        <v>6</v>
      </c>
    </row>
    <row r="16866" spans="1:10" x14ac:dyDescent="0.25">
      <c r="A16866" t="s">
        <v>176</v>
      </c>
      <c r="B16866" s="1" t="str">
        <f>HYPERLINK("http://gsmarkets.fi","gsmarkets.fi")</f>
        <v>gsmarkets.fi</v>
      </c>
      <c r="C16866" t="s">
        <v>445</v>
      </c>
      <c r="D16866" t="s">
        <v>823</v>
      </c>
      <c r="J16866">
        <v>4</v>
      </c>
    </row>
    <row r="16867" spans="1:10" x14ac:dyDescent="0.25">
      <c r="A16867" t="s">
        <v>176</v>
      </c>
      <c r="B16867" s="1" t="str">
        <f>HYPERLINK("http://fatherandsons.fr","fatherandsons.fr")</f>
        <v>fatherandsons.fr</v>
      </c>
      <c r="C16867" t="s">
        <v>446</v>
      </c>
      <c r="D16867" t="s">
        <v>824</v>
      </c>
      <c r="F16867">
        <v>3.6045797672967699E-8</v>
      </c>
      <c r="G16867">
        <v>1445888</v>
      </c>
      <c r="H16867">
        <v>14094957</v>
      </c>
      <c r="I16867">
        <v>2730625</v>
      </c>
      <c r="J16867">
        <v>9</v>
      </c>
    </row>
    <row r="16868" spans="1:10" x14ac:dyDescent="0.25">
      <c r="A16868" t="s">
        <v>176</v>
      </c>
      <c r="B16868" s="1" t="str">
        <f>HYPERLINK("http://login.gs","login.gs")</f>
        <v>login.gs</v>
      </c>
      <c r="C16868" t="s">
        <v>762</v>
      </c>
      <c r="D16868" t="s">
        <v>1016</v>
      </c>
      <c r="E16868">
        <v>106295</v>
      </c>
      <c r="F16868">
        <v>4.4448736832876699E-9</v>
      </c>
      <c r="G16868">
        <v>75965921</v>
      </c>
      <c r="H16868">
        <v>10553221</v>
      </c>
      <c r="I16868">
        <v>46589086</v>
      </c>
      <c r="J16868">
        <v>4</v>
      </c>
    </row>
    <row r="16869" spans="1:10" x14ac:dyDescent="0.25">
      <c r="A16869" t="s">
        <v>176</v>
      </c>
      <c r="B16869" s="1" t="str">
        <f>HYPERLINK("http://tophat.io","tophat.io")</f>
        <v>tophat.io</v>
      </c>
      <c r="C16869" t="s">
        <v>518</v>
      </c>
      <c r="F16869">
        <v>9.47663375251598E-9</v>
      </c>
      <c r="G16869">
        <v>7350815</v>
      </c>
      <c r="H16869">
        <v>13584631</v>
      </c>
      <c r="I16869">
        <v>9678962</v>
      </c>
      <c r="J16869">
        <v>7</v>
      </c>
    </row>
    <row r="16870" spans="1:10" x14ac:dyDescent="0.25">
      <c r="A16870" t="s">
        <v>176</v>
      </c>
      <c r="B16870" s="1" t="str">
        <f>HYPERLINK("http://gsam.co.jp","gsam.co.jp")</f>
        <v>gsam.co.jp</v>
      </c>
      <c r="C16870" t="s">
        <v>461</v>
      </c>
      <c r="D16870" t="s">
        <v>837</v>
      </c>
      <c r="F16870">
        <v>9.1208410333762696E-9</v>
      </c>
      <c r="G16870">
        <v>7818264</v>
      </c>
      <c r="H16870">
        <v>10895925</v>
      </c>
      <c r="I16870">
        <v>35931564</v>
      </c>
      <c r="J16870">
        <v>5</v>
      </c>
    </row>
    <row r="16871" spans="1:10" x14ac:dyDescent="0.25">
      <c r="A16871" t="s">
        <v>176</v>
      </c>
      <c r="B16871" s="1" t="str">
        <f>HYPERLINK("http://caldic.my","caldic.my")</f>
        <v>caldic.my</v>
      </c>
      <c r="C16871" t="s">
        <v>472</v>
      </c>
      <c r="D16871" t="s">
        <v>848</v>
      </c>
      <c r="F16871">
        <v>6.7409755373294404E-9</v>
      </c>
      <c r="G16871">
        <v>13159542</v>
      </c>
      <c r="H16871">
        <v>10686846</v>
      </c>
      <c r="I16871">
        <v>42571635</v>
      </c>
      <c r="J16871">
        <v>6</v>
      </c>
    </row>
    <row r="16872" spans="1:10" x14ac:dyDescent="0.25">
      <c r="A16872" t="s">
        <v>176</v>
      </c>
      <c r="B16872" s="1" t="str">
        <f>HYPERLINK("http://caldic.nl","caldic.nl")</f>
        <v>caldic.nl</v>
      </c>
      <c r="C16872" t="s">
        <v>477</v>
      </c>
      <c r="D16872" t="s">
        <v>852</v>
      </c>
      <c r="F16872">
        <v>6.6837074114007399E-9</v>
      </c>
      <c r="G16872">
        <v>13360853</v>
      </c>
      <c r="H16872">
        <v>10740484</v>
      </c>
      <c r="I16872">
        <v>40411428</v>
      </c>
      <c r="J16872">
        <v>6</v>
      </c>
    </row>
    <row r="16873" spans="1:10" x14ac:dyDescent="0.25">
      <c r="A16873" t="s">
        <v>176</v>
      </c>
      <c r="B16873" s="1" t="str">
        <f>HYPERLINK("http://vennhypotheken.nl","vennhypotheken.nl")</f>
        <v>vennhypotheken.nl</v>
      </c>
      <c r="C16873" t="s">
        <v>477</v>
      </c>
      <c r="D16873" t="s">
        <v>852</v>
      </c>
      <c r="F16873">
        <v>2.3076049968623299E-8</v>
      </c>
      <c r="G16873">
        <v>2262545</v>
      </c>
      <c r="H16873">
        <v>14085032</v>
      </c>
      <c r="I16873">
        <v>2782688</v>
      </c>
      <c r="J16873">
        <v>4</v>
      </c>
    </row>
    <row r="16874" spans="1:10" x14ac:dyDescent="0.25">
      <c r="A16874" t="s">
        <v>176</v>
      </c>
      <c r="B16874" s="1" t="str">
        <f>HYPERLINK("http://caldic.no","caldic.no")</f>
        <v>caldic.no</v>
      </c>
      <c r="C16874" t="s">
        <v>478</v>
      </c>
      <c r="D16874" t="s">
        <v>853</v>
      </c>
      <c r="J16874">
        <v>6</v>
      </c>
    </row>
    <row r="16875" spans="1:10" x14ac:dyDescent="0.25">
      <c r="A16875" t="s">
        <v>176</v>
      </c>
      <c r="B16875" s="1" t="str">
        <f>HYPERLINK("http://caldic.co.th","caldic.co.th")</f>
        <v>caldic.co.th</v>
      </c>
      <c r="C16875" t="s">
        <v>500</v>
      </c>
      <c r="D16875" t="s">
        <v>874</v>
      </c>
      <c r="F16875">
        <v>6.3759615524231103E-9</v>
      </c>
      <c r="G16875">
        <v>14636630</v>
      </c>
      <c r="H16875">
        <v>10468445</v>
      </c>
      <c r="I16875">
        <v>51346457</v>
      </c>
      <c r="J16875">
        <v>6</v>
      </c>
    </row>
    <row r="16876" spans="1:10" x14ac:dyDescent="0.25">
      <c r="A16876" t="s">
        <v>176</v>
      </c>
      <c r="B16876" s="1" t="str">
        <f>HYPERLINK("http://fit-ltd.co.uk","fit-ltd.co.uk")</f>
        <v>fit-ltd.co.uk</v>
      </c>
      <c r="C16876" t="s">
        <v>506</v>
      </c>
      <c r="D16876" t="s">
        <v>880</v>
      </c>
      <c r="J16876">
        <v>14</v>
      </c>
    </row>
    <row r="16877" spans="1:10" x14ac:dyDescent="0.25">
      <c r="A16877" t="s">
        <v>176</v>
      </c>
      <c r="B16877" s="1" t="str">
        <f>HYPERLINK("http://nufcor.co.uk","nufcor.co.uk")</f>
        <v>nufcor.co.uk</v>
      </c>
      <c r="C16877" t="s">
        <v>506</v>
      </c>
      <c r="D16877" t="s">
        <v>880</v>
      </c>
      <c r="F16877">
        <v>5.0215112422858004E-9</v>
      </c>
      <c r="G16877">
        <v>28864979</v>
      </c>
      <c r="H16877">
        <v>13764094</v>
      </c>
      <c r="I16877">
        <v>7385705</v>
      </c>
      <c r="J16877">
        <v>4</v>
      </c>
    </row>
    <row r="16878" spans="1:10" x14ac:dyDescent="0.25">
      <c r="A16878" t="s">
        <v>176</v>
      </c>
      <c r="B16878" s="1" t="str">
        <f>HYPERLINK("http://caldic.vn","caldic.vn")</f>
        <v>caldic.vn</v>
      </c>
      <c r="C16878" t="s">
        <v>509</v>
      </c>
      <c r="D16878" t="s">
        <v>883</v>
      </c>
      <c r="F16878">
        <v>6.0110074882250301E-9</v>
      </c>
      <c r="G16878">
        <v>16616287</v>
      </c>
      <c r="H16878">
        <v>10468444</v>
      </c>
      <c r="I16878">
        <v>51346476</v>
      </c>
      <c r="J16878">
        <v>6</v>
      </c>
    </row>
    <row r="16879" spans="1:10" x14ac:dyDescent="0.25">
      <c r="A16879" t="s">
        <v>1618</v>
      </c>
      <c r="B16879" s="1" t="str">
        <f>HYPERLINK("http://sensodyne.com.ar","sensodyne.com.ar")</f>
        <v>sensodyne.com.ar</v>
      </c>
      <c r="C16879" t="s">
        <v>418</v>
      </c>
      <c r="D16879" t="s">
        <v>800</v>
      </c>
      <c r="F16879">
        <v>1.41716026479167E-8</v>
      </c>
      <c r="G16879">
        <v>4139238</v>
      </c>
      <c r="H16879">
        <v>12262343</v>
      </c>
      <c r="I16879">
        <v>21701112</v>
      </c>
      <c r="J16879">
        <v>3</v>
      </c>
    </row>
    <row r="16880" spans="1:10" x14ac:dyDescent="0.25">
      <c r="A16880" t="s">
        <v>1618</v>
      </c>
      <c r="B16880" s="1" t="str">
        <f>HYPERLINK("http://sensodyne.at","sensodyne.at")</f>
        <v>sensodyne.at</v>
      </c>
      <c r="C16880" t="s">
        <v>419</v>
      </c>
      <c r="D16880" t="s">
        <v>801</v>
      </c>
      <c r="F16880">
        <v>1.34967555142933E-8</v>
      </c>
      <c r="G16880">
        <v>4405052</v>
      </c>
      <c r="H16880">
        <v>11044400</v>
      </c>
      <c r="I16880">
        <v>32867690</v>
      </c>
      <c r="J16880">
        <v>4</v>
      </c>
    </row>
    <row r="16881" spans="1:10" x14ac:dyDescent="0.25">
      <c r="A16881" t="s">
        <v>1618</v>
      </c>
      <c r="B16881" s="1" t="str">
        <f>HYPERLINK("http://panadol.com.au","panadol.com.au")</f>
        <v>panadol.com.au</v>
      </c>
      <c r="C16881" t="s">
        <v>420</v>
      </c>
      <c r="D16881" t="s">
        <v>802</v>
      </c>
      <c r="F16881">
        <v>1.6900491636737401E-8</v>
      </c>
      <c r="G16881">
        <v>3307130</v>
      </c>
      <c r="H16881">
        <v>13797978</v>
      </c>
      <c r="I16881">
        <v>6294082</v>
      </c>
      <c r="J16881">
        <v>4</v>
      </c>
    </row>
    <row r="16882" spans="1:10" x14ac:dyDescent="0.25">
      <c r="A16882" t="s">
        <v>1618</v>
      </c>
      <c r="B16882" s="1" t="str">
        <f>HYPERLINK("http://sensodyne.com.au","sensodyne.com.au")</f>
        <v>sensodyne.com.au</v>
      </c>
      <c r="C16882" t="s">
        <v>420</v>
      </c>
      <c r="D16882" t="s">
        <v>802</v>
      </c>
      <c r="F16882">
        <v>1.42479126354638E-8</v>
      </c>
      <c r="G16882">
        <v>4111883</v>
      </c>
      <c r="H16882">
        <v>13772649</v>
      </c>
      <c r="I16882">
        <v>6652877</v>
      </c>
      <c r="J16882">
        <v>4</v>
      </c>
    </row>
    <row r="16883" spans="1:10" x14ac:dyDescent="0.25">
      <c r="A16883" t="s">
        <v>1618</v>
      </c>
      <c r="B16883" s="1" t="str">
        <f>HYPERLINK("http://sensodyne.com.bd","sensodyne.com.bd")</f>
        <v>sensodyne.com.bd</v>
      </c>
      <c r="C16883" t="s">
        <v>603</v>
      </c>
      <c r="D16883" t="s">
        <v>934</v>
      </c>
      <c r="F16883">
        <v>6.6599926178970004E-9</v>
      </c>
      <c r="G16883">
        <v>13448563</v>
      </c>
      <c r="H16883">
        <v>11009761</v>
      </c>
      <c r="I16883">
        <v>33410559</v>
      </c>
      <c r="J16883">
        <v>4</v>
      </c>
    </row>
    <row r="16884" spans="1:10" x14ac:dyDescent="0.25">
      <c r="A16884" t="s">
        <v>1618</v>
      </c>
      <c r="B16884" s="1" t="str">
        <f>HYPERLINK("http://sensodyne.be","sensodyne.be")</f>
        <v>sensodyne.be</v>
      </c>
      <c r="C16884" t="s">
        <v>421</v>
      </c>
      <c r="D16884" t="s">
        <v>803</v>
      </c>
      <c r="F16884">
        <v>2.53118657156316E-8</v>
      </c>
      <c r="G16884">
        <v>2038596</v>
      </c>
      <c r="H16884">
        <v>11328774</v>
      </c>
      <c r="I16884">
        <v>30469206</v>
      </c>
      <c r="J16884">
        <v>3</v>
      </c>
    </row>
    <row r="16885" spans="1:10" x14ac:dyDescent="0.25">
      <c r="A16885" t="s">
        <v>1618</v>
      </c>
      <c r="B16885" s="1" t="str">
        <f>HYPERLINK("http://panadol.bg","panadol.bg")</f>
        <v>panadol.bg</v>
      </c>
      <c r="C16885" t="s">
        <v>422</v>
      </c>
      <c r="D16885" t="s">
        <v>804</v>
      </c>
      <c r="F16885">
        <v>5.73647946210733E-9</v>
      </c>
      <c r="G16885">
        <v>18609876</v>
      </c>
      <c r="H16885">
        <v>10727858</v>
      </c>
      <c r="I16885">
        <v>41086305</v>
      </c>
      <c r="J16885">
        <v>4</v>
      </c>
    </row>
    <row r="16886" spans="1:10" x14ac:dyDescent="0.25">
      <c r="A16886" t="s">
        <v>1618</v>
      </c>
      <c r="B16886" s="1" t="str">
        <f>HYPERLINK("http://sensodyne.bg","sensodyne.bg")</f>
        <v>sensodyne.bg</v>
      </c>
      <c r="C16886" t="s">
        <v>422</v>
      </c>
      <c r="D16886" t="s">
        <v>804</v>
      </c>
      <c r="F16886">
        <v>8.3647837241954892E-9</v>
      </c>
      <c r="G16886">
        <v>9115751</v>
      </c>
      <c r="H16886">
        <v>11012475</v>
      </c>
      <c r="I16886">
        <v>33369480</v>
      </c>
      <c r="J16886">
        <v>3</v>
      </c>
    </row>
    <row r="16887" spans="1:10" x14ac:dyDescent="0.25">
      <c r="A16887" t="s">
        <v>1618</v>
      </c>
      <c r="B16887" s="1" t="str">
        <f>HYPERLINK("http://sensodyne.com.br","sensodyne.com.br")</f>
        <v>sensodyne.com.br</v>
      </c>
      <c r="C16887" t="s">
        <v>425</v>
      </c>
      <c r="D16887" t="s">
        <v>806</v>
      </c>
      <c r="F16887">
        <v>1.7168432243131799E-8</v>
      </c>
      <c r="G16887">
        <v>3245674</v>
      </c>
      <c r="H16887">
        <v>13226800</v>
      </c>
      <c r="I16887">
        <v>11298547</v>
      </c>
      <c r="J16887">
        <v>3</v>
      </c>
    </row>
    <row r="16888" spans="1:10" x14ac:dyDescent="0.25">
      <c r="A16888" t="s">
        <v>1618</v>
      </c>
      <c r="B16888" s="1" t="str">
        <f>HYPERLINK("http://sensodyne.ca","sensodyne.ca")</f>
        <v>sensodyne.ca</v>
      </c>
      <c r="C16888" t="s">
        <v>428</v>
      </c>
      <c r="D16888" t="s">
        <v>809</v>
      </c>
      <c r="F16888">
        <v>1.6423907036985901E-8</v>
      </c>
      <c r="G16888">
        <v>3433134</v>
      </c>
      <c r="H16888">
        <v>11249998</v>
      </c>
      <c r="I16888">
        <v>30898042</v>
      </c>
      <c r="J16888">
        <v>4</v>
      </c>
    </row>
    <row r="16889" spans="1:10" x14ac:dyDescent="0.25">
      <c r="A16889" t="s">
        <v>1618</v>
      </c>
      <c r="B16889" s="1" t="str">
        <f>HYPERLINK("http://sensodyne.ch","sensodyne.ch")</f>
        <v>sensodyne.ch</v>
      </c>
      <c r="C16889" t="s">
        <v>429</v>
      </c>
      <c r="D16889" t="s">
        <v>810</v>
      </c>
      <c r="F16889">
        <v>1.31494825324115E-8</v>
      </c>
      <c r="G16889">
        <v>4561293</v>
      </c>
      <c r="H16889">
        <v>11041640</v>
      </c>
      <c r="I16889">
        <v>32904896</v>
      </c>
      <c r="J16889">
        <v>3</v>
      </c>
    </row>
    <row r="16890" spans="1:10" x14ac:dyDescent="0.25">
      <c r="A16890" t="s">
        <v>1618</v>
      </c>
      <c r="B16890" s="1" t="str">
        <f>HYPERLINK("http://sensodyne.cl","sensodyne.cl")</f>
        <v>sensodyne.cl</v>
      </c>
      <c r="C16890" t="s">
        <v>430</v>
      </c>
      <c r="D16890" t="s">
        <v>811</v>
      </c>
      <c r="F16890">
        <v>1.24711269653995E-8</v>
      </c>
      <c r="G16890">
        <v>4900750</v>
      </c>
      <c r="H16890">
        <v>11172630</v>
      </c>
      <c r="I16890">
        <v>31505779</v>
      </c>
      <c r="J16890">
        <v>3</v>
      </c>
    </row>
    <row r="16891" spans="1:10" x14ac:dyDescent="0.25">
      <c r="A16891" t="s">
        <v>1618</v>
      </c>
      <c r="B16891" s="1" t="str">
        <f>HYPERLINK("http://haleon.com.cn","haleon.com.cn")</f>
        <v>haleon.com.cn</v>
      </c>
      <c r="C16891" t="s">
        <v>431</v>
      </c>
      <c r="D16891" t="s">
        <v>812</v>
      </c>
      <c r="F16891">
        <v>8.3990308645461203E-9</v>
      </c>
      <c r="G16891">
        <v>9044942</v>
      </c>
      <c r="H16891">
        <v>10832033</v>
      </c>
      <c r="I16891">
        <v>37348007</v>
      </c>
      <c r="J16891">
        <v>4</v>
      </c>
    </row>
    <row r="16892" spans="1:10" x14ac:dyDescent="0.25">
      <c r="A16892" t="s">
        <v>1618</v>
      </c>
      <c r="B16892" s="1" t="str">
        <f>HYPERLINK("http://tskf.com.cn","tskf.com.cn")</f>
        <v>tskf.com.cn</v>
      </c>
      <c r="C16892" t="s">
        <v>431</v>
      </c>
      <c r="D16892" t="s">
        <v>812</v>
      </c>
      <c r="F16892">
        <v>8.7682077313737393E-9</v>
      </c>
      <c r="G16892">
        <v>8362382</v>
      </c>
      <c r="H16892">
        <v>14079893</v>
      </c>
      <c r="I16892">
        <v>2826424</v>
      </c>
      <c r="J16892">
        <v>3</v>
      </c>
    </row>
    <row r="16893" spans="1:10" x14ac:dyDescent="0.25">
      <c r="A16893" t="s">
        <v>1618</v>
      </c>
      <c r="B16893" s="1" t="str">
        <f>HYPERLINK("http://sensodyne.com.co","sensodyne.com.co")</f>
        <v>sensodyne.com.co</v>
      </c>
      <c r="C16893" t="s">
        <v>432</v>
      </c>
      <c r="F16893">
        <v>1.0780156522489701E-8</v>
      </c>
      <c r="G16893">
        <v>6036491</v>
      </c>
      <c r="H16893">
        <v>10982201</v>
      </c>
      <c r="I16893">
        <v>33893011</v>
      </c>
      <c r="J16893">
        <v>4</v>
      </c>
    </row>
    <row r="16894" spans="1:10" x14ac:dyDescent="0.25">
      <c r="A16894" t="s">
        <v>1618</v>
      </c>
      <c r="B16894" s="1" t="str">
        <f>HYPERLINK("http://ferrosan.com","ferrosan.com")</f>
        <v>ferrosan.com</v>
      </c>
      <c r="C16894" t="s">
        <v>433</v>
      </c>
      <c r="F16894">
        <v>6.4273267032228398E-9</v>
      </c>
      <c r="G16894">
        <v>14393198</v>
      </c>
      <c r="H16894">
        <v>13331934</v>
      </c>
      <c r="I16894">
        <v>10715438</v>
      </c>
      <c r="J16894">
        <v>5</v>
      </c>
    </row>
    <row r="16895" spans="1:10" x14ac:dyDescent="0.25">
      <c r="A16895" t="s">
        <v>1618</v>
      </c>
      <c r="B16895" s="1" t="str">
        <f>HYPERLINK("http://gsk-india.com","gsk-india.com")</f>
        <v>gsk-india.com</v>
      </c>
      <c r="C16895" t="s">
        <v>433</v>
      </c>
      <c r="F16895">
        <v>2.3418271946768501E-8</v>
      </c>
      <c r="G16895">
        <v>2223607</v>
      </c>
      <c r="H16895">
        <v>13520312</v>
      </c>
      <c r="I16895">
        <v>9938159</v>
      </c>
      <c r="J16895">
        <v>3</v>
      </c>
    </row>
    <row r="16896" spans="1:10" x14ac:dyDescent="0.25">
      <c r="A16896" t="s">
        <v>1618</v>
      </c>
      <c r="B16896" s="1" t="str">
        <f>HYPERLINK("http://haleon.com","haleon.com")</f>
        <v>haleon.com</v>
      </c>
      <c r="C16896" t="s">
        <v>433</v>
      </c>
      <c r="E16896">
        <v>231379</v>
      </c>
      <c r="F16896">
        <v>3.95522619017532E-7</v>
      </c>
      <c r="G16896">
        <v>94868</v>
      </c>
      <c r="H16896">
        <v>14692660</v>
      </c>
      <c r="I16896">
        <v>601105</v>
      </c>
      <c r="J16896">
        <v>3</v>
      </c>
    </row>
    <row r="16897" spans="1:10" x14ac:dyDescent="0.25">
      <c r="A16897" t="s">
        <v>1618</v>
      </c>
      <c r="B16897" s="1" t="str">
        <f>HYPERLINK("http://panadol.com","panadol.com")</f>
        <v>panadol.com</v>
      </c>
      <c r="C16897" t="s">
        <v>433</v>
      </c>
      <c r="E16897">
        <v>402431</v>
      </c>
      <c r="F16897">
        <v>1.38270942892077E-7</v>
      </c>
      <c r="G16897">
        <v>281754</v>
      </c>
      <c r="H16897">
        <v>14252673</v>
      </c>
      <c r="I16897">
        <v>1440823</v>
      </c>
      <c r="J16897">
        <v>3</v>
      </c>
    </row>
    <row r="16898" spans="1:10" x14ac:dyDescent="0.25">
      <c r="A16898" t="s">
        <v>1618</v>
      </c>
      <c r="B16898" s="1" t="str">
        <f>HYPERLINK("http://physiogel.com","physiogel.com")</f>
        <v>physiogel.com</v>
      </c>
      <c r="C16898" t="s">
        <v>433</v>
      </c>
      <c r="F16898">
        <v>1.7791320645901701E-8</v>
      </c>
      <c r="G16898">
        <v>3076655</v>
      </c>
      <c r="H16898">
        <v>14133444</v>
      </c>
      <c r="I16898">
        <v>1988683</v>
      </c>
      <c r="J16898">
        <v>6</v>
      </c>
    </row>
    <row r="16899" spans="1:10" x14ac:dyDescent="0.25">
      <c r="A16899" t="s">
        <v>1618</v>
      </c>
      <c r="B16899" s="1" t="str">
        <f>HYPERLINK("http://sensodyne.com","sensodyne.com")</f>
        <v>sensodyne.com</v>
      </c>
      <c r="C16899" t="s">
        <v>433</v>
      </c>
      <c r="E16899">
        <v>248789</v>
      </c>
      <c r="F16899">
        <v>1.9193648841901799E-7</v>
      </c>
      <c r="G16899">
        <v>200821</v>
      </c>
      <c r="H16899">
        <v>14890569</v>
      </c>
      <c r="I16899">
        <v>467205</v>
      </c>
      <c r="J16899">
        <v>3</v>
      </c>
    </row>
    <row r="16900" spans="1:10" x14ac:dyDescent="0.25">
      <c r="A16900" t="s">
        <v>1618</v>
      </c>
      <c r="B16900" s="1" t="str">
        <f>HYPERLINK("http://treerly.com","treerly.com")</f>
        <v>treerly.com</v>
      </c>
      <c r="C16900" t="s">
        <v>433</v>
      </c>
      <c r="F16900">
        <v>4.4490169956382802E-9</v>
      </c>
      <c r="G16900">
        <v>72489697</v>
      </c>
      <c r="H16900">
        <v>7777543</v>
      </c>
      <c r="I16900">
        <v>75686856</v>
      </c>
      <c r="J16900">
        <v>3</v>
      </c>
    </row>
    <row r="16901" spans="1:10" x14ac:dyDescent="0.25">
      <c r="A16901" t="s">
        <v>1618</v>
      </c>
      <c r="B16901" s="1" t="str">
        <f>HYPERLINK("http://sensodyne.cz","sensodyne.cz")</f>
        <v>sensodyne.cz</v>
      </c>
      <c r="C16901" t="s">
        <v>435</v>
      </c>
      <c r="D16901" t="s">
        <v>814</v>
      </c>
      <c r="F16901">
        <v>9.4929058706564005E-9</v>
      </c>
      <c r="G16901">
        <v>7330814</v>
      </c>
      <c r="H16901">
        <v>11326915</v>
      </c>
      <c r="I16901">
        <v>30475318</v>
      </c>
      <c r="J16901">
        <v>3</v>
      </c>
    </row>
    <row r="16902" spans="1:10" x14ac:dyDescent="0.25">
      <c r="A16902" t="s">
        <v>1618</v>
      </c>
      <c r="B16902" s="1" t="str">
        <f>HYPERLINK("http://kuhs.de","kuhs.de")</f>
        <v>kuhs.de</v>
      </c>
      <c r="C16902" t="s">
        <v>436</v>
      </c>
      <c r="D16902" t="s">
        <v>815</v>
      </c>
      <c r="J16902">
        <v>3</v>
      </c>
    </row>
    <row r="16903" spans="1:10" x14ac:dyDescent="0.25">
      <c r="A16903" t="s">
        <v>1618</v>
      </c>
      <c r="B16903" s="1" t="str">
        <f>HYPERLINK("http://sensodyne.de","sensodyne.de")</f>
        <v>sensodyne.de</v>
      </c>
      <c r="C16903" t="s">
        <v>436</v>
      </c>
      <c r="D16903" t="s">
        <v>815</v>
      </c>
      <c r="F16903">
        <v>2.4382055924289801E-8</v>
      </c>
      <c r="G16903">
        <v>2125816</v>
      </c>
      <c r="H16903">
        <v>13770689</v>
      </c>
      <c r="I16903">
        <v>6719615</v>
      </c>
      <c r="J16903">
        <v>4</v>
      </c>
    </row>
    <row r="16904" spans="1:10" x14ac:dyDescent="0.25">
      <c r="A16904" t="s">
        <v>1618</v>
      </c>
      <c r="B16904" s="1" t="str">
        <f>HYPERLINK("http://idoform.dk","idoform.dk")</f>
        <v>idoform.dk</v>
      </c>
      <c r="C16904" t="s">
        <v>437</v>
      </c>
      <c r="D16904" t="s">
        <v>816</v>
      </c>
      <c r="F16904">
        <v>5.51377549011791E-9</v>
      </c>
      <c r="G16904">
        <v>20752558</v>
      </c>
      <c r="H16904">
        <v>10343676</v>
      </c>
      <c r="I16904">
        <v>58148046</v>
      </c>
      <c r="J16904">
        <v>3</v>
      </c>
    </row>
    <row r="16905" spans="1:10" x14ac:dyDescent="0.25">
      <c r="A16905" t="s">
        <v>1618</v>
      </c>
      <c r="B16905" s="1" t="str">
        <f>HYPERLINK("http://multi-tabs.dk","multi-tabs.dk")</f>
        <v>multi-tabs.dk</v>
      </c>
      <c r="C16905" t="s">
        <v>437</v>
      </c>
      <c r="D16905" t="s">
        <v>816</v>
      </c>
      <c r="F16905">
        <v>6.3691085257790098E-9</v>
      </c>
      <c r="G16905">
        <v>14670091</v>
      </c>
      <c r="H16905">
        <v>12154754</v>
      </c>
      <c r="I16905">
        <v>24500237</v>
      </c>
      <c r="J16905">
        <v>3</v>
      </c>
    </row>
    <row r="16906" spans="1:10" x14ac:dyDescent="0.25">
      <c r="A16906" t="s">
        <v>1618</v>
      </c>
      <c r="B16906" s="1" t="str">
        <f>HYPERLINK("http://sensodyne.dk","sensodyne.dk")</f>
        <v>sensodyne.dk</v>
      </c>
      <c r="C16906" t="s">
        <v>437</v>
      </c>
      <c r="D16906" t="s">
        <v>816</v>
      </c>
      <c r="F16906">
        <v>1.1901641555717499E-8</v>
      </c>
      <c r="G16906">
        <v>5238268</v>
      </c>
      <c r="H16906">
        <v>10982845</v>
      </c>
      <c r="I16906">
        <v>33881816</v>
      </c>
      <c r="J16906">
        <v>3</v>
      </c>
    </row>
    <row r="16907" spans="1:10" x14ac:dyDescent="0.25">
      <c r="A16907" t="s">
        <v>1618</v>
      </c>
      <c r="B16907" s="1" t="str">
        <f>HYPERLINK("http://sensodyne.eg","sensodyne.eg")</f>
        <v>sensodyne.eg</v>
      </c>
      <c r="C16907" t="s">
        <v>442</v>
      </c>
      <c r="D16907" t="s">
        <v>821</v>
      </c>
      <c r="F16907">
        <v>7.5009461152783798E-9</v>
      </c>
      <c r="G16907">
        <v>11011621</v>
      </c>
      <c r="H16907">
        <v>12105776</v>
      </c>
      <c r="I16907">
        <v>25829713</v>
      </c>
      <c r="J16907">
        <v>4</v>
      </c>
    </row>
    <row r="16908" spans="1:10" x14ac:dyDescent="0.25">
      <c r="A16908" t="s">
        <v>1618</v>
      </c>
      <c r="B16908" s="1" t="str">
        <f>HYPERLINK("http://sensodyne.es","sensodyne.es")</f>
        <v>sensodyne.es</v>
      </c>
      <c r="C16908" t="s">
        <v>443</v>
      </c>
      <c r="D16908" t="s">
        <v>822</v>
      </c>
      <c r="F16908">
        <v>1.5975618236276999E-8</v>
      </c>
      <c r="G16908">
        <v>3552597</v>
      </c>
      <c r="H16908">
        <v>12851713</v>
      </c>
      <c r="I16908">
        <v>14257615</v>
      </c>
      <c r="J16908">
        <v>3</v>
      </c>
    </row>
    <row r="16909" spans="1:10" x14ac:dyDescent="0.25">
      <c r="A16909" t="s">
        <v>1618</v>
      </c>
      <c r="B16909" s="1" t="str">
        <f>HYPERLINK("http://alliplan.fi","alliplan.fi")</f>
        <v>alliplan.fi</v>
      </c>
      <c r="C16909" t="s">
        <v>445</v>
      </c>
      <c r="D16909" t="s">
        <v>823</v>
      </c>
      <c r="F16909">
        <v>4.5351870912546899E-9</v>
      </c>
      <c r="G16909">
        <v>54086320</v>
      </c>
      <c r="H16909">
        <v>13763633</v>
      </c>
      <c r="I16909">
        <v>9125675</v>
      </c>
      <c r="J16909">
        <v>2</v>
      </c>
    </row>
    <row r="16910" spans="1:10" x14ac:dyDescent="0.25">
      <c r="A16910" t="s">
        <v>1618</v>
      </c>
      <c r="B16910" s="1" t="str">
        <f>HYPERLINK("http://aquafresh.fi","aquafresh.fi")</f>
        <v>aquafresh.fi</v>
      </c>
      <c r="C16910" t="s">
        <v>445</v>
      </c>
      <c r="D16910" t="s">
        <v>823</v>
      </c>
      <c r="F16910">
        <v>4.5351870912546899E-9</v>
      </c>
      <c r="G16910">
        <v>54086328</v>
      </c>
      <c r="H16910">
        <v>13763633</v>
      </c>
      <c r="I16910">
        <v>9125784</v>
      </c>
      <c r="J16910">
        <v>2</v>
      </c>
    </row>
    <row r="16911" spans="1:10" x14ac:dyDescent="0.25">
      <c r="A16911" t="s">
        <v>1618</v>
      </c>
      <c r="B16911" s="1" t="str">
        <f>HYPERLINK("http://argi-tabs.fi","argi-tabs.fi")</f>
        <v>argi-tabs.fi</v>
      </c>
      <c r="C16911" t="s">
        <v>445</v>
      </c>
      <c r="D16911" t="s">
        <v>823</v>
      </c>
      <c r="J16911">
        <v>2</v>
      </c>
    </row>
    <row r="16912" spans="1:10" x14ac:dyDescent="0.25">
      <c r="A16912" t="s">
        <v>1618</v>
      </c>
      <c r="B16912" s="1" t="str">
        <f>HYPERLINK("http://bevi-tabs.fi","bevi-tabs.fi")</f>
        <v>bevi-tabs.fi</v>
      </c>
      <c r="C16912" t="s">
        <v>445</v>
      </c>
      <c r="D16912" t="s">
        <v>823</v>
      </c>
      <c r="J16912">
        <v>2</v>
      </c>
    </row>
    <row r="16913" spans="1:10" x14ac:dyDescent="0.25">
      <c r="A16913" t="s">
        <v>1618</v>
      </c>
      <c r="B16913" s="1" t="str">
        <f>HYPERLINK("http://c-tabs.fi","c-tabs.fi")</f>
        <v>c-tabs.fi</v>
      </c>
      <c r="C16913" t="s">
        <v>445</v>
      </c>
      <c r="D16913" t="s">
        <v>823</v>
      </c>
      <c r="J16913">
        <v>2</v>
      </c>
    </row>
    <row r="16914" spans="1:10" x14ac:dyDescent="0.25">
      <c r="A16914" t="s">
        <v>1618</v>
      </c>
      <c r="B16914" s="1" t="str">
        <f>HYPERLINK("http://centrumvitamiinit.fi","centrumvitamiinit.fi")</f>
        <v>centrumvitamiinit.fi</v>
      </c>
      <c r="C16914" t="s">
        <v>445</v>
      </c>
      <c r="D16914" t="s">
        <v>823</v>
      </c>
      <c r="J16914">
        <v>4</v>
      </c>
    </row>
    <row r="16915" spans="1:10" x14ac:dyDescent="0.25">
      <c r="A16915" t="s">
        <v>1618</v>
      </c>
      <c r="B16915" s="1" t="str">
        <f>HYPERLINK("http://cevitabs.fi","cevitabs.fi")</f>
        <v>cevitabs.fi</v>
      </c>
      <c r="C16915" t="s">
        <v>445</v>
      </c>
      <c r="D16915" t="s">
        <v>823</v>
      </c>
      <c r="J16915">
        <v>2</v>
      </c>
    </row>
    <row r="16916" spans="1:10" x14ac:dyDescent="0.25">
      <c r="A16916" t="s">
        <v>1618</v>
      </c>
      <c r="B16916" s="1" t="str">
        <f>HYPERLINK("http://corega.fi","corega.fi")</f>
        <v>corega.fi</v>
      </c>
      <c r="C16916" t="s">
        <v>445</v>
      </c>
      <c r="D16916" t="s">
        <v>823</v>
      </c>
      <c r="F16916">
        <v>4.1392242771222998E-8</v>
      </c>
      <c r="G16916">
        <v>1209038</v>
      </c>
      <c r="H16916">
        <v>16751196</v>
      </c>
      <c r="I16916">
        <v>335906</v>
      </c>
      <c r="J16916">
        <v>2</v>
      </c>
    </row>
    <row r="16917" spans="1:10" x14ac:dyDescent="0.25">
      <c r="A16917" t="s">
        <v>1618</v>
      </c>
      <c r="B16917" s="1" t="str">
        <f>HYPERLINK("http://corsodyl.fi","corsodyl.fi")</f>
        <v>corsodyl.fi</v>
      </c>
      <c r="C16917" t="s">
        <v>445</v>
      </c>
      <c r="D16917" t="s">
        <v>823</v>
      </c>
      <c r="J16917">
        <v>2</v>
      </c>
    </row>
    <row r="16918" spans="1:10" x14ac:dyDescent="0.25">
      <c r="A16918" t="s">
        <v>1618</v>
      </c>
      <c r="B16918" s="1" t="str">
        <f>HYPERLINK("http://haleon.fi","haleon.fi")</f>
        <v>haleon.fi</v>
      </c>
      <c r="C16918" t="s">
        <v>445</v>
      </c>
      <c r="D16918" t="s">
        <v>823</v>
      </c>
      <c r="J16918">
        <v>5</v>
      </c>
    </row>
    <row r="16919" spans="1:10" x14ac:dyDescent="0.25">
      <c r="A16919" t="s">
        <v>1618</v>
      </c>
      <c r="B16919" s="1" t="str">
        <f>HYPERLINK("http://haleonakatemia.fi","haleonakatemia.fi")</f>
        <v>haleonakatemia.fi</v>
      </c>
      <c r="C16919" t="s">
        <v>445</v>
      </c>
      <c r="D16919" t="s">
        <v>823</v>
      </c>
      <c r="F16919">
        <v>4.5619290818440898E-9</v>
      </c>
      <c r="G16919">
        <v>50978453</v>
      </c>
      <c r="H16919">
        <v>10596404</v>
      </c>
      <c r="I16919">
        <v>45111839</v>
      </c>
      <c r="J16919">
        <v>5</v>
      </c>
    </row>
    <row r="16920" spans="1:10" x14ac:dyDescent="0.25">
      <c r="A16920" t="s">
        <v>1618</v>
      </c>
      <c r="B16920" s="1" t="str">
        <f>HYPERLINK("http://haleonhealthpartner.fi","haleonhealthpartner.fi")</f>
        <v>haleonhealthpartner.fi</v>
      </c>
      <c r="C16920" t="s">
        <v>445</v>
      </c>
      <c r="D16920" t="s">
        <v>823</v>
      </c>
      <c r="J16920">
        <v>5</v>
      </c>
    </row>
    <row r="16921" spans="1:10" x14ac:dyDescent="0.25">
      <c r="A16921" t="s">
        <v>1618</v>
      </c>
      <c r="B16921" s="1" t="str">
        <f>HYPERLINK("http://herkkasuu.fi","herkkasuu.fi")</f>
        <v>herkkasuu.fi</v>
      </c>
      <c r="C16921" t="s">
        <v>445</v>
      </c>
      <c r="D16921" t="s">
        <v>823</v>
      </c>
      <c r="J16921">
        <v>2</v>
      </c>
    </row>
    <row r="16922" spans="1:10" x14ac:dyDescent="0.25">
      <c r="A16922" t="s">
        <v>1618</v>
      </c>
      <c r="B16922" s="1" t="str">
        <f>HYPERLINK("http://idoform.fi","idoform.fi")</f>
        <v>idoform.fi</v>
      </c>
      <c r="C16922" t="s">
        <v>445</v>
      </c>
      <c r="D16922" t="s">
        <v>823</v>
      </c>
      <c r="F16922">
        <v>6.0469263595973697E-9</v>
      </c>
      <c r="G16922">
        <v>16400139</v>
      </c>
      <c r="H16922">
        <v>10345595</v>
      </c>
      <c r="I16922">
        <v>56946792</v>
      </c>
      <c r="J16922">
        <v>2</v>
      </c>
    </row>
    <row r="16923" spans="1:10" x14ac:dyDescent="0.25">
      <c r="A16923" t="s">
        <v>1618</v>
      </c>
      <c r="B16923" s="1" t="str">
        <f>HYPERLINK("http://imedeen.fi","imedeen.fi")</f>
        <v>imedeen.fi</v>
      </c>
      <c r="C16923" t="s">
        <v>445</v>
      </c>
      <c r="D16923" t="s">
        <v>823</v>
      </c>
      <c r="F16923">
        <v>4.4493891599295801E-9</v>
      </c>
      <c r="G16923">
        <v>72267584</v>
      </c>
      <c r="H16923">
        <v>10533426</v>
      </c>
      <c r="I16923">
        <v>47872398</v>
      </c>
      <c r="J16923">
        <v>2</v>
      </c>
    </row>
    <row r="16924" spans="1:10" x14ac:dyDescent="0.25">
      <c r="A16924" t="s">
        <v>1618</v>
      </c>
      <c r="B16924" s="1" t="str">
        <f>HYPERLINK("http://imedeenshop.fi","imedeenshop.fi")</f>
        <v>imedeenshop.fi</v>
      </c>
      <c r="C16924" t="s">
        <v>445</v>
      </c>
      <c r="D16924" t="s">
        <v>823</v>
      </c>
      <c r="J16924">
        <v>2</v>
      </c>
    </row>
    <row r="16925" spans="1:10" x14ac:dyDescent="0.25">
      <c r="A16925" t="s">
        <v>1618</v>
      </c>
      <c r="B16925" s="1" t="str">
        <f>HYPERLINK("http://iso-active.fi","iso-active.fi")</f>
        <v>iso-active.fi</v>
      </c>
      <c r="C16925" t="s">
        <v>445</v>
      </c>
      <c r="D16925" t="s">
        <v>823</v>
      </c>
      <c r="J16925">
        <v>2</v>
      </c>
    </row>
    <row r="16926" spans="1:10" x14ac:dyDescent="0.25">
      <c r="A16926" t="s">
        <v>1618</v>
      </c>
      <c r="B16926" s="1" t="str">
        <f>HYPERLINK("http://isoactive.fi","isoactive.fi")</f>
        <v>isoactive.fi</v>
      </c>
      <c r="C16926" t="s">
        <v>445</v>
      </c>
      <c r="D16926" t="s">
        <v>823</v>
      </c>
      <c r="J16926">
        <v>2</v>
      </c>
    </row>
    <row r="16927" spans="1:10" x14ac:dyDescent="0.25">
      <c r="A16927" t="s">
        <v>1618</v>
      </c>
      <c r="B16927" s="1" t="str">
        <f>HYPERLINK("http://melbrosia.fi","melbrosia.fi")</f>
        <v>melbrosia.fi</v>
      </c>
      <c r="C16927" t="s">
        <v>445</v>
      </c>
      <c r="D16927" t="s">
        <v>823</v>
      </c>
      <c r="J16927">
        <v>2</v>
      </c>
    </row>
    <row r="16928" spans="1:10" x14ac:dyDescent="0.25">
      <c r="A16928" t="s">
        <v>1618</v>
      </c>
      <c r="B16928" s="1" t="str">
        <f>HYPERLINK("http://multi-kalkki.fi","multi-kalkki.fi")</f>
        <v>multi-kalkki.fi</v>
      </c>
      <c r="C16928" t="s">
        <v>445</v>
      </c>
      <c r="D16928" t="s">
        <v>823</v>
      </c>
      <c r="J16928">
        <v>2</v>
      </c>
    </row>
    <row r="16929" spans="1:10" x14ac:dyDescent="0.25">
      <c r="A16929" t="s">
        <v>1618</v>
      </c>
      <c r="B16929" s="1" t="str">
        <f>HYPERLINK("http://multi-tabs.fi","multi-tabs.fi")</f>
        <v>multi-tabs.fi</v>
      </c>
      <c r="C16929" t="s">
        <v>445</v>
      </c>
      <c r="D16929" t="s">
        <v>823</v>
      </c>
      <c r="F16929">
        <v>7.6764693644769894E-9</v>
      </c>
      <c r="G16929">
        <v>10630622</v>
      </c>
      <c r="H16929">
        <v>10822371</v>
      </c>
      <c r="I16929">
        <v>37572226</v>
      </c>
      <c r="J16929">
        <v>2</v>
      </c>
    </row>
    <row r="16930" spans="1:10" x14ac:dyDescent="0.25">
      <c r="A16930" t="s">
        <v>1618</v>
      </c>
      <c r="B16930" s="1" t="str">
        <f>HYPERLINK("http://multitabs.fi","multitabs.fi")</f>
        <v>multitabs.fi</v>
      </c>
      <c r="C16930" t="s">
        <v>445</v>
      </c>
      <c r="D16930" t="s">
        <v>823</v>
      </c>
      <c r="F16930">
        <v>8.2400928998158393E-9</v>
      </c>
      <c r="G16930">
        <v>9404257</v>
      </c>
      <c r="H16930">
        <v>13775945</v>
      </c>
      <c r="I16930">
        <v>6566286</v>
      </c>
      <c r="J16930">
        <v>2</v>
      </c>
    </row>
    <row r="16931" spans="1:10" x14ac:dyDescent="0.25">
      <c r="A16931" t="s">
        <v>1618</v>
      </c>
      <c r="B16931" s="1" t="str">
        <f>HYPERLINK("http://nicotinell.fi","nicotinell.fi")</f>
        <v>nicotinell.fi</v>
      </c>
      <c r="C16931" t="s">
        <v>445</v>
      </c>
      <c r="D16931" t="s">
        <v>823</v>
      </c>
      <c r="F16931">
        <v>6.2691072956227497E-9</v>
      </c>
      <c r="G16931">
        <v>15180577</v>
      </c>
      <c r="H16931">
        <v>12483272</v>
      </c>
      <c r="I16931">
        <v>17568091</v>
      </c>
      <c r="J16931">
        <v>2</v>
      </c>
    </row>
    <row r="16932" spans="1:10" x14ac:dyDescent="0.25">
      <c r="A16932" t="s">
        <v>1618</v>
      </c>
      <c r="B16932" s="1" t="str">
        <f>HYPERLINK("http://nicotinellvalinta.fi","nicotinellvalinta.fi")</f>
        <v>nicotinellvalinta.fi</v>
      </c>
      <c r="C16932" t="s">
        <v>445</v>
      </c>
      <c r="D16932" t="s">
        <v>823</v>
      </c>
      <c r="J16932">
        <v>5</v>
      </c>
    </row>
    <row r="16933" spans="1:10" x14ac:dyDescent="0.25">
      <c r="A16933" t="s">
        <v>1618</v>
      </c>
      <c r="B16933" s="1" t="str">
        <f>HYPERLINK("http://otrivin.fi","otrivin.fi")</f>
        <v>otrivin.fi</v>
      </c>
      <c r="C16933" t="s">
        <v>445</v>
      </c>
      <c r="D16933" t="s">
        <v>823</v>
      </c>
      <c r="F16933">
        <v>4.4537169730187197E-9</v>
      </c>
      <c r="G16933">
        <v>70050543</v>
      </c>
      <c r="H16933">
        <v>10646565</v>
      </c>
      <c r="I16933">
        <v>43657675</v>
      </c>
      <c r="J16933">
        <v>2</v>
      </c>
    </row>
    <row r="16934" spans="1:10" x14ac:dyDescent="0.25">
      <c r="A16934" t="s">
        <v>1618</v>
      </c>
      <c r="B16934" s="1" t="str">
        <f>HYPERLINK("http://panadol.fi","panadol.fi")</f>
        <v>panadol.fi</v>
      </c>
      <c r="C16934" t="s">
        <v>445</v>
      </c>
      <c r="D16934" t="s">
        <v>823</v>
      </c>
      <c r="F16934">
        <v>6.4238393876397803E-9</v>
      </c>
      <c r="G16934">
        <v>14409179</v>
      </c>
      <c r="H16934">
        <v>13764322</v>
      </c>
      <c r="I16934">
        <v>7296845</v>
      </c>
      <c r="J16934">
        <v>2</v>
      </c>
    </row>
    <row r="16935" spans="1:10" x14ac:dyDescent="0.25">
      <c r="A16935" t="s">
        <v>1618</v>
      </c>
      <c r="B16935" s="1" t="str">
        <f>HYPERLINK("http://panadolzapp.fi","panadolzapp.fi")</f>
        <v>panadolzapp.fi</v>
      </c>
      <c r="C16935" t="s">
        <v>445</v>
      </c>
      <c r="D16935" t="s">
        <v>823</v>
      </c>
      <c r="J16935">
        <v>2</v>
      </c>
    </row>
    <row r="16936" spans="1:10" x14ac:dyDescent="0.25">
      <c r="A16936" t="s">
        <v>1618</v>
      </c>
      <c r="B16936" s="1" t="str">
        <f>HYPERLINK("http://pantoloc-control.fi","pantoloc-control.fi")</f>
        <v>pantoloc-control.fi</v>
      </c>
      <c r="C16936" t="s">
        <v>445</v>
      </c>
      <c r="D16936" t="s">
        <v>823</v>
      </c>
      <c r="J16936">
        <v>2</v>
      </c>
    </row>
    <row r="16937" spans="1:10" x14ac:dyDescent="0.25">
      <c r="A16937" t="s">
        <v>1618</v>
      </c>
      <c r="B16937" s="1" t="str">
        <f>HYPERLINK("http://pantoloccontrol.fi","pantoloccontrol.fi")</f>
        <v>pantoloccontrol.fi</v>
      </c>
      <c r="C16937" t="s">
        <v>445</v>
      </c>
      <c r="D16937" t="s">
        <v>823</v>
      </c>
      <c r="F16937">
        <v>4.49614208432424E-9</v>
      </c>
      <c r="G16937">
        <v>59524799</v>
      </c>
      <c r="H16937">
        <v>10595613</v>
      </c>
      <c r="I16937">
        <v>45175346</v>
      </c>
      <c r="J16937">
        <v>2</v>
      </c>
    </row>
    <row r="16938" spans="1:10" x14ac:dyDescent="0.25">
      <c r="A16938" t="s">
        <v>1618</v>
      </c>
      <c r="B16938" s="1" t="str">
        <f>HYPERLINK("http://pro-emalj.fi","pro-emalj.fi")</f>
        <v>pro-emalj.fi</v>
      </c>
      <c r="C16938" t="s">
        <v>445</v>
      </c>
      <c r="D16938" t="s">
        <v>823</v>
      </c>
      <c r="F16938">
        <v>4.7238848347821096E-9</v>
      </c>
      <c r="G16938">
        <v>40018475</v>
      </c>
      <c r="H16938">
        <v>10720994</v>
      </c>
      <c r="I16938">
        <v>41808821</v>
      </c>
      <c r="J16938">
        <v>2</v>
      </c>
    </row>
    <row r="16939" spans="1:10" x14ac:dyDescent="0.25">
      <c r="A16939" t="s">
        <v>1618</v>
      </c>
      <c r="B16939" s="1" t="str">
        <f>HYPERLINK("http://proemalj.fi","proemalj.fi")</f>
        <v>proemalj.fi</v>
      </c>
      <c r="C16939" t="s">
        <v>445</v>
      </c>
      <c r="D16939" t="s">
        <v>823</v>
      </c>
      <c r="J16939">
        <v>2</v>
      </c>
    </row>
    <row r="16940" spans="1:10" x14ac:dyDescent="0.25">
      <c r="A16940" t="s">
        <v>1618</v>
      </c>
      <c r="B16940" s="1" t="str">
        <f>HYPERLINK("http://purewhite.fi","purewhite.fi")</f>
        <v>purewhite.fi</v>
      </c>
      <c r="C16940" t="s">
        <v>445</v>
      </c>
      <c r="D16940" t="s">
        <v>823</v>
      </c>
      <c r="J16940">
        <v>2</v>
      </c>
    </row>
    <row r="16941" spans="1:10" x14ac:dyDescent="0.25">
      <c r="A16941" t="s">
        <v>1618</v>
      </c>
      <c r="B16941" s="1" t="str">
        <f>HYPERLINK("http://sensodyne.fi","sensodyne.fi")</f>
        <v>sensodyne.fi</v>
      </c>
      <c r="C16941" t="s">
        <v>445</v>
      </c>
      <c r="D16941" t="s">
        <v>823</v>
      </c>
      <c r="F16941">
        <v>1.4623103495921E-8</v>
      </c>
      <c r="G16941">
        <v>3968013</v>
      </c>
      <c r="H16941">
        <v>14242231</v>
      </c>
      <c r="I16941">
        <v>1485785</v>
      </c>
      <c r="J16941">
        <v>2</v>
      </c>
    </row>
    <row r="16942" spans="1:10" x14ac:dyDescent="0.25">
      <c r="A16942" t="s">
        <v>1618</v>
      </c>
      <c r="B16942" s="1" t="str">
        <f>HYPERLINK("http://sensodyneproemalj.fi","sensodyneproemalj.fi")</f>
        <v>sensodyneproemalj.fi</v>
      </c>
      <c r="C16942" t="s">
        <v>445</v>
      </c>
      <c r="D16942" t="s">
        <v>823</v>
      </c>
      <c r="J16942">
        <v>2</v>
      </c>
    </row>
    <row r="16943" spans="1:10" x14ac:dyDescent="0.25">
      <c r="A16943" t="s">
        <v>1618</v>
      </c>
      <c r="B16943" s="1" t="str">
        <f>HYPERLINK("http://strix.fi","strix.fi")</f>
        <v>strix.fi</v>
      </c>
      <c r="C16943" t="s">
        <v>445</v>
      </c>
      <c r="D16943" t="s">
        <v>823</v>
      </c>
      <c r="J16943">
        <v>2</v>
      </c>
    </row>
    <row r="16944" spans="1:10" x14ac:dyDescent="0.25">
      <c r="A16944" t="s">
        <v>1618</v>
      </c>
      <c r="B16944" s="1" t="str">
        <f>HYPERLINK("http://vitaminiit.fi","vitaminiit.fi")</f>
        <v>vitaminiit.fi</v>
      </c>
      <c r="C16944" t="s">
        <v>445</v>
      </c>
      <c r="D16944" t="s">
        <v>823</v>
      </c>
      <c r="J16944">
        <v>2</v>
      </c>
    </row>
    <row r="16945" spans="1:10" x14ac:dyDescent="0.25">
      <c r="A16945" t="s">
        <v>1618</v>
      </c>
      <c r="B16945" s="1" t="str">
        <f>HYPERLINK("http://sensodyne.fr","sensodyne.fr")</f>
        <v>sensodyne.fr</v>
      </c>
      <c r="C16945" t="s">
        <v>446</v>
      </c>
      <c r="D16945" t="s">
        <v>824</v>
      </c>
      <c r="F16945">
        <v>1.45269191125258E-8</v>
      </c>
      <c r="G16945">
        <v>4003537</v>
      </c>
      <c r="H16945">
        <v>13933436</v>
      </c>
      <c r="I16945">
        <v>4743855</v>
      </c>
      <c r="J16945">
        <v>3</v>
      </c>
    </row>
    <row r="16946" spans="1:10" x14ac:dyDescent="0.25">
      <c r="A16946" t="s">
        <v>1618</v>
      </c>
      <c r="B16946" s="1" t="str">
        <f>HYPERLINK("http://sensodyne.gr","sensodyne.gr")</f>
        <v>sensodyne.gr</v>
      </c>
      <c r="C16946" t="s">
        <v>447</v>
      </c>
      <c r="D16946" t="s">
        <v>825</v>
      </c>
      <c r="F16946">
        <v>1.34471041578067E-8</v>
      </c>
      <c r="G16946">
        <v>4427830</v>
      </c>
      <c r="H16946">
        <v>13763833</v>
      </c>
      <c r="I16946">
        <v>7576096</v>
      </c>
      <c r="J16946">
        <v>3</v>
      </c>
    </row>
    <row r="16947" spans="1:10" x14ac:dyDescent="0.25">
      <c r="A16947" t="s">
        <v>1618</v>
      </c>
      <c r="B16947" s="1" t="str">
        <f>HYPERLINK("http://sensodyne.com.hk","sensodyne.com.hk")</f>
        <v>sensodyne.com.hk</v>
      </c>
      <c r="C16947" t="s">
        <v>450</v>
      </c>
      <c r="D16947" t="s">
        <v>827</v>
      </c>
      <c r="F16947">
        <v>1.00516310651242E-8</v>
      </c>
      <c r="G16947">
        <v>6703901</v>
      </c>
      <c r="H16947">
        <v>12319856</v>
      </c>
      <c r="I16947">
        <v>20422571</v>
      </c>
      <c r="J16947">
        <v>4</v>
      </c>
    </row>
    <row r="16948" spans="1:10" x14ac:dyDescent="0.25">
      <c r="A16948" t="s">
        <v>1618</v>
      </c>
      <c r="B16948" s="1" t="str">
        <f>HYPERLINK("http://sensodyne.hu","sensodyne.hu")</f>
        <v>sensodyne.hu</v>
      </c>
      <c r="C16948" t="s">
        <v>453</v>
      </c>
      <c r="D16948" t="s">
        <v>830</v>
      </c>
      <c r="F16948">
        <v>9.3555927191980303E-9</v>
      </c>
      <c r="G16948">
        <v>7500980</v>
      </c>
      <c r="H16948">
        <v>14071795</v>
      </c>
      <c r="I16948">
        <v>3339742</v>
      </c>
      <c r="J16948">
        <v>3</v>
      </c>
    </row>
    <row r="16949" spans="1:10" x14ac:dyDescent="0.25">
      <c r="A16949" t="s">
        <v>1618</v>
      </c>
      <c r="B16949" s="1" t="str">
        <f>HYPERLINK("http://panadol.co.id","panadol.co.id")</f>
        <v>panadol.co.id</v>
      </c>
      <c r="C16949" t="s">
        <v>454</v>
      </c>
      <c r="D16949" t="s">
        <v>831</v>
      </c>
      <c r="F16949">
        <v>5.1821195228245904E-9</v>
      </c>
      <c r="G16949">
        <v>25482792</v>
      </c>
      <c r="H16949">
        <v>12331574</v>
      </c>
      <c r="I16949">
        <v>20176673</v>
      </c>
      <c r="J16949">
        <v>4</v>
      </c>
    </row>
    <row r="16950" spans="1:10" x14ac:dyDescent="0.25">
      <c r="A16950" t="s">
        <v>1618</v>
      </c>
      <c r="B16950" s="1" t="str">
        <f>HYPERLINK("http://sensodyne.co.id","sensodyne.co.id")</f>
        <v>sensodyne.co.id</v>
      </c>
      <c r="C16950" t="s">
        <v>454</v>
      </c>
      <c r="D16950" t="s">
        <v>831</v>
      </c>
      <c r="F16950">
        <v>1.73241693006313E-8</v>
      </c>
      <c r="G16950">
        <v>3193257</v>
      </c>
      <c r="H16950">
        <v>11329218</v>
      </c>
      <c r="I16950">
        <v>30467673</v>
      </c>
      <c r="J16950">
        <v>4</v>
      </c>
    </row>
    <row r="16951" spans="1:10" x14ac:dyDescent="0.25">
      <c r="A16951" t="s">
        <v>1618</v>
      </c>
      <c r="B16951" s="1" t="str">
        <f>HYPERLINK("http://sensodyne.ie","sensodyne.ie")</f>
        <v>sensodyne.ie</v>
      </c>
      <c r="C16951" t="s">
        <v>455</v>
      </c>
      <c r="D16951" t="s">
        <v>832</v>
      </c>
      <c r="F16951">
        <v>1.32450448893695E-8</v>
      </c>
      <c r="G16951">
        <v>4517980</v>
      </c>
      <c r="H16951">
        <v>11244460</v>
      </c>
      <c r="I16951">
        <v>30937061</v>
      </c>
      <c r="J16951">
        <v>4</v>
      </c>
    </row>
    <row r="16952" spans="1:10" x14ac:dyDescent="0.25">
      <c r="A16952" t="s">
        <v>1618</v>
      </c>
      <c r="B16952" s="1" t="str">
        <f>HYPERLINK("http://sensodyne.in","sensodyne.in")</f>
        <v>sensodyne.in</v>
      </c>
      <c r="C16952" t="s">
        <v>457</v>
      </c>
      <c r="D16952" t="s">
        <v>834</v>
      </c>
      <c r="F16952">
        <v>1.6286600645182799E-8</v>
      </c>
      <c r="G16952">
        <v>3473992</v>
      </c>
      <c r="H16952">
        <v>13763954</v>
      </c>
      <c r="I16952">
        <v>7471019</v>
      </c>
      <c r="J16952">
        <v>3</v>
      </c>
    </row>
    <row r="16953" spans="1:10" x14ac:dyDescent="0.25">
      <c r="A16953" t="s">
        <v>1618</v>
      </c>
      <c r="B16953" s="1" t="str">
        <f>HYPERLINK("http://sensodyne.it","sensodyne.it")</f>
        <v>sensodyne.it</v>
      </c>
      <c r="C16953" t="s">
        <v>459</v>
      </c>
      <c r="D16953" t="s">
        <v>835</v>
      </c>
      <c r="F16953">
        <v>1.6267644490323699E-8</v>
      </c>
      <c r="G16953">
        <v>3478638</v>
      </c>
      <c r="H16953">
        <v>11120982</v>
      </c>
      <c r="I16953">
        <v>32038362</v>
      </c>
      <c r="J16953">
        <v>3</v>
      </c>
    </row>
    <row r="16954" spans="1:10" x14ac:dyDescent="0.25">
      <c r="A16954" t="s">
        <v>1618</v>
      </c>
      <c r="B16954" s="1" t="str">
        <f>HYPERLINK("http://sensodyne.kz","sensodyne.kz")</f>
        <v>sensodyne.kz</v>
      </c>
      <c r="C16954" t="s">
        <v>465</v>
      </c>
      <c r="D16954" t="s">
        <v>841</v>
      </c>
      <c r="F16954">
        <v>6.4819628988048302E-9</v>
      </c>
      <c r="G16954">
        <v>14153788</v>
      </c>
      <c r="H16954">
        <v>10979844</v>
      </c>
      <c r="I16954">
        <v>33937966</v>
      </c>
      <c r="J16954">
        <v>4</v>
      </c>
    </row>
    <row r="16955" spans="1:10" x14ac:dyDescent="0.25">
      <c r="A16955" t="s">
        <v>1618</v>
      </c>
      <c r="B16955" s="1" t="str">
        <f>HYPERLINK("http://sensodyne.lk","sensodyne.lk")</f>
        <v>sensodyne.lk</v>
      </c>
      <c r="C16955" t="s">
        <v>466</v>
      </c>
      <c r="D16955" t="s">
        <v>842</v>
      </c>
      <c r="F16955">
        <v>6.4887260373619903E-9</v>
      </c>
      <c r="G16955">
        <v>14125279</v>
      </c>
      <c r="H16955">
        <v>11008729</v>
      </c>
      <c r="I16955">
        <v>33426444</v>
      </c>
      <c r="J16955">
        <v>4</v>
      </c>
    </row>
    <row r="16956" spans="1:10" x14ac:dyDescent="0.25">
      <c r="A16956" t="s">
        <v>1618</v>
      </c>
      <c r="B16956" s="1" t="str">
        <f>HYPERLINK("http://sensodyne.com.mt","sensodyne.com.mt")</f>
        <v>sensodyne.com.mt</v>
      </c>
      <c r="C16956" t="s">
        <v>597</v>
      </c>
      <c r="D16956" t="s">
        <v>932</v>
      </c>
      <c r="F16956">
        <v>3.7973954065140498E-8</v>
      </c>
      <c r="G16956">
        <v>1362811</v>
      </c>
      <c r="H16956">
        <v>11649352</v>
      </c>
      <c r="I16956">
        <v>29882585</v>
      </c>
      <c r="J16956">
        <v>4</v>
      </c>
    </row>
    <row r="16957" spans="1:10" x14ac:dyDescent="0.25">
      <c r="A16957" t="s">
        <v>1618</v>
      </c>
      <c r="B16957" s="1" t="str">
        <f>HYPERLINK("http://sensodyne.com.mx","sensodyne.com.mx")</f>
        <v>sensodyne.com.mx</v>
      </c>
      <c r="C16957" t="s">
        <v>471</v>
      </c>
      <c r="D16957" t="s">
        <v>847</v>
      </c>
      <c r="F16957">
        <v>6.9467399953197996E-9</v>
      </c>
      <c r="G16957">
        <v>12473755</v>
      </c>
      <c r="H16957">
        <v>11075399</v>
      </c>
      <c r="I16957">
        <v>32523381</v>
      </c>
      <c r="J16957">
        <v>4</v>
      </c>
    </row>
    <row r="16958" spans="1:10" x14ac:dyDescent="0.25">
      <c r="A16958" t="s">
        <v>1618</v>
      </c>
      <c r="B16958" s="1" t="str">
        <f>HYPERLINK("http://sensodyne.com.my","sensodyne.com.my")</f>
        <v>sensodyne.com.my</v>
      </c>
      <c r="C16958" t="s">
        <v>472</v>
      </c>
      <c r="D16958" t="s">
        <v>848</v>
      </c>
      <c r="F16958">
        <v>1.2415430899216599E-8</v>
      </c>
      <c r="G16958">
        <v>4931081</v>
      </c>
      <c r="H16958">
        <v>13763806</v>
      </c>
      <c r="I16958">
        <v>7611638</v>
      </c>
      <c r="J16958">
        <v>3</v>
      </c>
    </row>
    <row r="16959" spans="1:10" x14ac:dyDescent="0.25">
      <c r="A16959" t="s">
        <v>1618</v>
      </c>
      <c r="B16959" s="1" t="str">
        <f>HYPERLINK("http://sensodyne.nl","sensodyne.nl")</f>
        <v>sensodyne.nl</v>
      </c>
      <c r="C16959" t="s">
        <v>477</v>
      </c>
      <c r="D16959" t="s">
        <v>852</v>
      </c>
      <c r="F16959">
        <v>2.7058165071016598E-8</v>
      </c>
      <c r="G16959">
        <v>1900725</v>
      </c>
      <c r="H16959">
        <v>12501760</v>
      </c>
      <c r="I16959">
        <v>17343355</v>
      </c>
      <c r="J16959">
        <v>3</v>
      </c>
    </row>
    <row r="16960" spans="1:10" x14ac:dyDescent="0.25">
      <c r="A16960" t="s">
        <v>1618</v>
      </c>
      <c r="B16960" s="1" t="str">
        <f>HYPERLINK("http://idoform.no","idoform.no")</f>
        <v>idoform.no</v>
      </c>
      <c r="C16960" t="s">
        <v>478</v>
      </c>
      <c r="D16960" t="s">
        <v>853</v>
      </c>
      <c r="F16960">
        <v>6.0350894840592398E-9</v>
      </c>
      <c r="G16960">
        <v>16470255</v>
      </c>
      <c r="H16960">
        <v>13763634</v>
      </c>
      <c r="I16960">
        <v>8508751</v>
      </c>
      <c r="J16960">
        <v>3</v>
      </c>
    </row>
    <row r="16961" spans="1:10" x14ac:dyDescent="0.25">
      <c r="A16961" t="s">
        <v>1618</v>
      </c>
      <c r="B16961" s="1" t="str">
        <f>HYPERLINK("http://sensodyne.no","sensodyne.no")</f>
        <v>sensodyne.no</v>
      </c>
      <c r="C16961" t="s">
        <v>478</v>
      </c>
      <c r="D16961" t="s">
        <v>853</v>
      </c>
      <c r="F16961">
        <v>1.17507591218194E-8</v>
      </c>
      <c r="G16961">
        <v>5333992</v>
      </c>
      <c r="H16961">
        <v>11168928</v>
      </c>
      <c r="I16961">
        <v>31548213</v>
      </c>
      <c r="J16961">
        <v>3</v>
      </c>
    </row>
    <row r="16962" spans="1:10" x14ac:dyDescent="0.25">
      <c r="A16962" t="s">
        <v>1618</v>
      </c>
      <c r="B16962" s="1" t="str">
        <f>HYPERLINK("http://sensodyne.co.nz","sensodyne.co.nz")</f>
        <v>sensodyne.co.nz</v>
      </c>
      <c r="C16962" t="s">
        <v>479</v>
      </c>
      <c r="D16962" t="s">
        <v>854</v>
      </c>
      <c r="F16962">
        <v>6.4819628988048302E-9</v>
      </c>
      <c r="G16962">
        <v>14153789</v>
      </c>
      <c r="H16962">
        <v>10979844</v>
      </c>
      <c r="I16962">
        <v>33937967</v>
      </c>
      <c r="J16962">
        <v>4</v>
      </c>
    </row>
    <row r="16963" spans="1:10" x14ac:dyDescent="0.25">
      <c r="A16963" t="s">
        <v>1618</v>
      </c>
      <c r="B16963" s="1" t="str">
        <f>HYPERLINK("http://panadol.com.pe","panadol.com.pe")</f>
        <v>panadol.com.pe</v>
      </c>
      <c r="C16963" t="s">
        <v>483</v>
      </c>
      <c r="D16963" t="s">
        <v>857</v>
      </c>
      <c r="F16963">
        <v>5.0884734359058103E-9</v>
      </c>
      <c r="G16963">
        <v>27320537</v>
      </c>
      <c r="H16963">
        <v>10700869</v>
      </c>
      <c r="I16963">
        <v>42300581</v>
      </c>
      <c r="J16963">
        <v>4</v>
      </c>
    </row>
    <row r="16964" spans="1:10" x14ac:dyDescent="0.25">
      <c r="A16964" t="s">
        <v>1618</v>
      </c>
      <c r="B16964" s="1" t="str">
        <f>HYPERLINK("http://sensodyne.com.pe","sensodyne.com.pe")</f>
        <v>sensodyne.com.pe</v>
      </c>
      <c r="C16964" t="s">
        <v>483</v>
      </c>
      <c r="D16964" t="s">
        <v>857</v>
      </c>
      <c r="F16964">
        <v>1.09618992493794E-8</v>
      </c>
      <c r="G16964">
        <v>5894639</v>
      </c>
      <c r="H16964">
        <v>11024904</v>
      </c>
      <c r="I16964">
        <v>33180167</v>
      </c>
      <c r="J16964">
        <v>4</v>
      </c>
    </row>
    <row r="16965" spans="1:10" x14ac:dyDescent="0.25">
      <c r="A16965" t="s">
        <v>1618</v>
      </c>
      <c r="B16965" s="1" t="str">
        <f>HYPERLINK("http://sensodyne.com.ph","sensodyne.com.ph")</f>
        <v>sensodyne.com.ph</v>
      </c>
      <c r="C16965" t="s">
        <v>484</v>
      </c>
      <c r="D16965" t="s">
        <v>858</v>
      </c>
      <c r="F16965">
        <v>1.2259345111451E-8</v>
      </c>
      <c r="G16965">
        <v>5017035</v>
      </c>
      <c r="H16965">
        <v>13763775</v>
      </c>
      <c r="I16965">
        <v>7639243</v>
      </c>
      <c r="J16965">
        <v>4</v>
      </c>
    </row>
    <row r="16966" spans="1:10" x14ac:dyDescent="0.25">
      <c r="A16966" t="s">
        <v>1618</v>
      </c>
      <c r="B16966" s="1" t="str">
        <f>HYPERLINK("http://panadol.com.pk","panadol.com.pk")</f>
        <v>panadol.com.pk</v>
      </c>
      <c r="C16966" t="s">
        <v>485</v>
      </c>
      <c r="D16966" t="s">
        <v>859</v>
      </c>
      <c r="F16966">
        <v>5.0805509413755503E-9</v>
      </c>
      <c r="G16966">
        <v>27496575</v>
      </c>
      <c r="H16966">
        <v>10764252</v>
      </c>
      <c r="I16966">
        <v>39461071</v>
      </c>
      <c r="J16966">
        <v>4</v>
      </c>
    </row>
    <row r="16967" spans="1:10" x14ac:dyDescent="0.25">
      <c r="A16967" t="s">
        <v>1618</v>
      </c>
      <c r="B16967" s="1" t="str">
        <f>HYPERLINK("http://sensodyne.com.pk","sensodyne.com.pk")</f>
        <v>sensodyne.com.pk</v>
      </c>
      <c r="C16967" t="s">
        <v>485</v>
      </c>
      <c r="D16967" t="s">
        <v>859</v>
      </c>
      <c r="F16967">
        <v>1.43999894288099E-8</v>
      </c>
      <c r="G16967">
        <v>4057047</v>
      </c>
      <c r="H16967">
        <v>11089265</v>
      </c>
      <c r="I16967">
        <v>32390207</v>
      </c>
      <c r="J16967">
        <v>3</v>
      </c>
    </row>
    <row r="16968" spans="1:10" x14ac:dyDescent="0.25">
      <c r="A16968" t="s">
        <v>1618</v>
      </c>
      <c r="B16968" s="1" t="str">
        <f>HYPERLINK("http://sensodyne.pl","sensodyne.pl")</f>
        <v>sensodyne.pl</v>
      </c>
      <c r="C16968" t="s">
        <v>486</v>
      </c>
      <c r="D16968" t="s">
        <v>860</v>
      </c>
      <c r="F16968">
        <v>1.6456799504962399E-8</v>
      </c>
      <c r="G16968">
        <v>3424686</v>
      </c>
      <c r="H16968">
        <v>11037451</v>
      </c>
      <c r="I16968">
        <v>32962626</v>
      </c>
      <c r="J16968">
        <v>3</v>
      </c>
    </row>
    <row r="16969" spans="1:10" x14ac:dyDescent="0.25">
      <c r="A16969" t="s">
        <v>1618</v>
      </c>
      <c r="B16969" s="1" t="str">
        <f>HYPERLINK("http://multi-tabs.pro","multi-tabs.pro")</f>
        <v>multi-tabs.pro</v>
      </c>
      <c r="C16969" t="s">
        <v>574</v>
      </c>
      <c r="F16969">
        <v>7.0157638956025802E-9</v>
      </c>
      <c r="G16969">
        <v>12265786</v>
      </c>
      <c r="H16969">
        <v>12098708</v>
      </c>
      <c r="I16969">
        <v>26002743</v>
      </c>
      <c r="J16969">
        <v>3</v>
      </c>
    </row>
    <row r="16970" spans="1:10" x14ac:dyDescent="0.25">
      <c r="A16970" t="s">
        <v>1618</v>
      </c>
      <c r="B16970" s="1" t="str">
        <f>HYPERLINK("http://panadol.pt","panadol.pt")</f>
        <v>panadol.pt</v>
      </c>
      <c r="C16970" t="s">
        <v>488</v>
      </c>
      <c r="D16970" t="s">
        <v>862</v>
      </c>
      <c r="F16970">
        <v>5.6115662693274902E-9</v>
      </c>
      <c r="G16970">
        <v>19746322</v>
      </c>
      <c r="H16970">
        <v>10883524</v>
      </c>
      <c r="I16970">
        <v>36281327</v>
      </c>
      <c r="J16970">
        <v>4</v>
      </c>
    </row>
    <row r="16971" spans="1:10" x14ac:dyDescent="0.25">
      <c r="A16971" t="s">
        <v>1618</v>
      </c>
      <c r="B16971" s="1" t="str">
        <f>HYPERLINK("http://sensodyne.pt","sensodyne.pt")</f>
        <v>sensodyne.pt</v>
      </c>
      <c r="C16971" t="s">
        <v>488</v>
      </c>
      <c r="D16971" t="s">
        <v>862</v>
      </c>
      <c r="F16971">
        <v>1.39413319789253E-8</v>
      </c>
      <c r="G16971">
        <v>4225181</v>
      </c>
      <c r="H16971">
        <v>11390053</v>
      </c>
      <c r="I16971">
        <v>30253233</v>
      </c>
      <c r="J16971">
        <v>3</v>
      </c>
    </row>
    <row r="16972" spans="1:10" x14ac:dyDescent="0.25">
      <c r="A16972" t="s">
        <v>1618</v>
      </c>
      <c r="B16972" s="1" t="str">
        <f>HYPERLINK("http://sensodyne.ro","sensodyne.ro")</f>
        <v>sensodyne.ro</v>
      </c>
      <c r="C16972" t="s">
        <v>491</v>
      </c>
      <c r="D16972" t="s">
        <v>865</v>
      </c>
      <c r="F16972">
        <v>1.5012642919301499E-8</v>
      </c>
      <c r="G16972">
        <v>3835636</v>
      </c>
      <c r="H16972">
        <v>12252973</v>
      </c>
      <c r="I16972">
        <v>21942206</v>
      </c>
      <c r="J16972">
        <v>3</v>
      </c>
    </row>
    <row r="16973" spans="1:10" x14ac:dyDescent="0.25">
      <c r="A16973" t="s">
        <v>1618</v>
      </c>
      <c r="B16973" s="1" t="str">
        <f>HYPERLINK("http://sensodyne.ru","sensodyne.ru")</f>
        <v>sensodyne.ru</v>
      </c>
      <c r="C16973" t="s">
        <v>493</v>
      </c>
      <c r="D16973" t="s">
        <v>867</v>
      </c>
      <c r="F16973">
        <v>5.3384869208954997E-9</v>
      </c>
      <c r="G16973">
        <v>22954685</v>
      </c>
      <c r="H16973">
        <v>10933804</v>
      </c>
      <c r="I16973">
        <v>34990636</v>
      </c>
      <c r="J16973">
        <v>4</v>
      </c>
    </row>
    <row r="16974" spans="1:10" x14ac:dyDescent="0.25">
      <c r="A16974" t="s">
        <v>1618</v>
      </c>
      <c r="B16974" s="1" t="str">
        <f>HYPERLINK("http://sensodyne.se","sensodyne.se")</f>
        <v>sensodyne.se</v>
      </c>
      <c r="C16974" t="s">
        <v>495</v>
      </c>
      <c r="D16974" t="s">
        <v>869</v>
      </c>
      <c r="F16974">
        <v>1.43779041141128E-8</v>
      </c>
      <c r="G16974">
        <v>4064826</v>
      </c>
      <c r="H16974">
        <v>11172236</v>
      </c>
      <c r="I16974">
        <v>31508978</v>
      </c>
      <c r="J16974">
        <v>3</v>
      </c>
    </row>
    <row r="16975" spans="1:10" x14ac:dyDescent="0.25">
      <c r="A16975" t="s">
        <v>1618</v>
      </c>
      <c r="B16975" s="1" t="str">
        <f>HYPERLINK("http://panadol.com.sg","panadol.com.sg")</f>
        <v>panadol.com.sg</v>
      </c>
      <c r="C16975" t="s">
        <v>496</v>
      </c>
      <c r="D16975" t="s">
        <v>870</v>
      </c>
      <c r="F16975">
        <v>7.4230176002581899E-9</v>
      </c>
      <c r="G16975">
        <v>11188456</v>
      </c>
      <c r="H16975">
        <v>12990425</v>
      </c>
      <c r="I16975">
        <v>12857192</v>
      </c>
      <c r="J16975">
        <v>4</v>
      </c>
    </row>
    <row r="16976" spans="1:10" x14ac:dyDescent="0.25">
      <c r="A16976" t="s">
        <v>1618</v>
      </c>
      <c r="B16976" s="1" t="str">
        <f>HYPERLINK("http://sensodyne.com.sg","sensodyne.com.sg")</f>
        <v>sensodyne.com.sg</v>
      </c>
      <c r="C16976" t="s">
        <v>496</v>
      </c>
      <c r="D16976" t="s">
        <v>870</v>
      </c>
      <c r="F16976">
        <v>1.2044639009222599E-8</v>
      </c>
      <c r="G16976">
        <v>5147563</v>
      </c>
      <c r="H16976">
        <v>11058373</v>
      </c>
      <c r="I16976">
        <v>32700643</v>
      </c>
      <c r="J16976">
        <v>3</v>
      </c>
    </row>
    <row r="16977" spans="1:10" x14ac:dyDescent="0.25">
      <c r="A16977" t="s">
        <v>1618</v>
      </c>
      <c r="B16977" s="1" t="str">
        <f>HYPERLINK("http://sensodyne.si","sensodyne.si")</f>
        <v>sensodyne.si</v>
      </c>
      <c r="C16977" t="s">
        <v>497</v>
      </c>
      <c r="D16977" t="s">
        <v>871</v>
      </c>
      <c r="F16977">
        <v>8.0575291417481601E-9</v>
      </c>
      <c r="G16977">
        <v>9816567</v>
      </c>
      <c r="H16977">
        <v>12378779</v>
      </c>
      <c r="I16977">
        <v>19236966</v>
      </c>
      <c r="J16977">
        <v>4</v>
      </c>
    </row>
    <row r="16978" spans="1:10" x14ac:dyDescent="0.25">
      <c r="A16978" t="s">
        <v>1618</v>
      </c>
      <c r="B16978" s="1" t="str">
        <f>HYPERLINK("http://sensodyne.sk","sensodyne.sk")</f>
        <v>sensodyne.sk</v>
      </c>
      <c r="C16978" t="s">
        <v>498</v>
      </c>
      <c r="D16978" t="s">
        <v>872</v>
      </c>
      <c r="F16978">
        <v>8.0090072483990604E-9</v>
      </c>
      <c r="G16978">
        <v>9904333</v>
      </c>
      <c r="H16978">
        <v>10980280</v>
      </c>
      <c r="I16978">
        <v>33930489</v>
      </c>
      <c r="J16978">
        <v>3</v>
      </c>
    </row>
    <row r="16979" spans="1:10" x14ac:dyDescent="0.25">
      <c r="A16979" t="s">
        <v>1618</v>
      </c>
      <c r="B16979" s="1" t="str">
        <f>HYPERLINK("http://sensodyne.co.th","sensodyne.co.th")</f>
        <v>sensodyne.co.th</v>
      </c>
      <c r="C16979" t="s">
        <v>500</v>
      </c>
      <c r="D16979" t="s">
        <v>874</v>
      </c>
      <c r="F16979">
        <v>1.3662989323585801E-8</v>
      </c>
      <c r="G16979">
        <v>4336052</v>
      </c>
      <c r="H16979">
        <v>12396986</v>
      </c>
      <c r="I16979">
        <v>18895667</v>
      </c>
      <c r="J16979">
        <v>3</v>
      </c>
    </row>
    <row r="16980" spans="1:10" x14ac:dyDescent="0.25">
      <c r="A16980" t="s">
        <v>1618</v>
      </c>
      <c r="B16980" s="1" t="str">
        <f>HYPERLINK("http://sensodyne.com.tr","sensodyne.com.tr")</f>
        <v>sensodyne.com.tr</v>
      </c>
      <c r="C16980" t="s">
        <v>502</v>
      </c>
      <c r="D16980" t="s">
        <v>876</v>
      </c>
      <c r="F16980">
        <v>1.3658147705130401E-8</v>
      </c>
      <c r="G16980">
        <v>4338062</v>
      </c>
      <c r="H16980">
        <v>11219901</v>
      </c>
      <c r="I16980">
        <v>31094245</v>
      </c>
      <c r="J16980">
        <v>3</v>
      </c>
    </row>
    <row r="16981" spans="1:10" x14ac:dyDescent="0.25">
      <c r="A16981" t="s">
        <v>1618</v>
      </c>
      <c r="B16981" s="1" t="str">
        <f>HYPERLINK("http://sensodyne.com.tw","sensodyne.com.tw")</f>
        <v>sensodyne.com.tw</v>
      </c>
      <c r="C16981" t="s">
        <v>504</v>
      </c>
      <c r="D16981" t="s">
        <v>878</v>
      </c>
      <c r="F16981">
        <v>1.36600879560889E-8</v>
      </c>
      <c r="G16981">
        <v>4337262</v>
      </c>
      <c r="H16981">
        <v>12192283</v>
      </c>
      <c r="I16981">
        <v>23529178</v>
      </c>
      <c r="J16981">
        <v>3</v>
      </c>
    </row>
    <row r="16982" spans="1:10" x14ac:dyDescent="0.25">
      <c r="A16982" t="s">
        <v>1618</v>
      </c>
      <c r="B16982" s="1" t="str">
        <f>HYPERLINK("http://panadol.co.uk","panadol.co.uk")</f>
        <v>panadol.co.uk</v>
      </c>
      <c r="C16982" t="s">
        <v>506</v>
      </c>
      <c r="D16982" t="s">
        <v>880</v>
      </c>
      <c r="F16982">
        <v>1.0937861546161299E-8</v>
      </c>
      <c r="G16982">
        <v>5912957</v>
      </c>
      <c r="H16982">
        <v>10910035</v>
      </c>
      <c r="I16982">
        <v>35627273</v>
      </c>
      <c r="J16982">
        <v>4</v>
      </c>
    </row>
    <row r="16983" spans="1:10" x14ac:dyDescent="0.25">
      <c r="A16983" t="s">
        <v>1618</v>
      </c>
      <c r="B16983" s="1" t="str">
        <f>HYPERLINK("http://sensodyne.co.uk","sensodyne.co.uk")</f>
        <v>sensodyne.co.uk</v>
      </c>
      <c r="C16983" t="s">
        <v>506</v>
      </c>
      <c r="D16983" t="s">
        <v>880</v>
      </c>
      <c r="F16983">
        <v>2.1045453696999599E-8</v>
      </c>
      <c r="G16983">
        <v>2509940</v>
      </c>
      <c r="H16983">
        <v>13770116</v>
      </c>
      <c r="I16983">
        <v>6744086</v>
      </c>
      <c r="J16983">
        <v>4</v>
      </c>
    </row>
    <row r="16984" spans="1:10" x14ac:dyDescent="0.25">
      <c r="A16984" t="s">
        <v>1618</v>
      </c>
      <c r="B16984" s="1" t="str">
        <f>HYPERLINK("http://panadol.com.vn","panadol.com.vn")</f>
        <v>panadol.com.vn</v>
      </c>
      <c r="C16984" t="s">
        <v>509</v>
      </c>
      <c r="D16984" t="s">
        <v>883</v>
      </c>
      <c r="F16984">
        <v>5.3037949553996298E-9</v>
      </c>
      <c r="G16984">
        <v>23437389</v>
      </c>
      <c r="H16984">
        <v>12761574</v>
      </c>
      <c r="I16984">
        <v>14942300</v>
      </c>
      <c r="J16984">
        <v>4</v>
      </c>
    </row>
    <row r="16985" spans="1:10" x14ac:dyDescent="0.25">
      <c r="A16985" t="s">
        <v>1618</v>
      </c>
      <c r="B16985" s="1" t="str">
        <f>HYPERLINK("http://sensodyne.com.vn","sensodyne.com.vn")</f>
        <v>sensodyne.com.vn</v>
      </c>
      <c r="C16985" t="s">
        <v>509</v>
      </c>
      <c r="D16985" t="s">
        <v>883</v>
      </c>
      <c r="F16985">
        <v>1.6633951196758699E-8</v>
      </c>
      <c r="G16985">
        <v>3380724</v>
      </c>
      <c r="H16985">
        <v>12895126</v>
      </c>
      <c r="I16985">
        <v>13901626</v>
      </c>
      <c r="J16985">
        <v>3</v>
      </c>
    </row>
    <row r="16986" spans="1:10" x14ac:dyDescent="0.25">
      <c r="A16986" t="s">
        <v>1618</v>
      </c>
      <c r="B16986" s="1" t="str">
        <f>HYPERLINK("http://sensodyne.co.za","sensodyne.co.za")</f>
        <v>sensodyne.co.za</v>
      </c>
      <c r="C16986" t="s">
        <v>510</v>
      </c>
      <c r="D16986" t="s">
        <v>884</v>
      </c>
      <c r="F16986">
        <v>1.6041938486286799E-8</v>
      </c>
      <c r="G16986">
        <v>3535420</v>
      </c>
      <c r="H16986">
        <v>11854495</v>
      </c>
      <c r="I16986">
        <v>29806300</v>
      </c>
      <c r="J16986">
        <v>3</v>
      </c>
    </row>
    <row r="16987" spans="1:10" x14ac:dyDescent="0.25">
      <c r="A16987" t="s">
        <v>177</v>
      </c>
      <c r="B16987" s="1" t="str">
        <f>HYPERLINK("http://alabamaoncology.com","alabamaoncology.com")</f>
        <v>alabamaoncology.com</v>
      </c>
      <c r="C16987" t="s">
        <v>433</v>
      </c>
      <c r="F16987">
        <v>9.4371892554627193E-9</v>
      </c>
      <c r="G16987">
        <v>7398515</v>
      </c>
      <c r="H16987">
        <v>12737367</v>
      </c>
      <c r="I16987">
        <v>15156752</v>
      </c>
      <c r="J16987">
        <v>6</v>
      </c>
    </row>
    <row r="16988" spans="1:10" x14ac:dyDescent="0.25">
      <c r="A16988" t="s">
        <v>177</v>
      </c>
      <c r="B16988" s="1" t="str">
        <f>HYPERLINK("http://countrysidesurgerycenter.com","countrysidesurgerycenter.com")</f>
        <v>countrysidesurgerycenter.com</v>
      </c>
      <c r="C16988" t="s">
        <v>433</v>
      </c>
      <c r="F16988">
        <v>6.05171947968603E-9</v>
      </c>
      <c r="G16988">
        <v>16372376</v>
      </c>
      <c r="H16988">
        <v>12157087</v>
      </c>
      <c r="I16988">
        <v>24441814</v>
      </c>
      <c r="J16988">
        <v>3</v>
      </c>
    </row>
    <row r="16989" spans="1:10" x14ac:dyDescent="0.25">
      <c r="A16989" t="s">
        <v>177</v>
      </c>
      <c r="B16989" s="1" t="str">
        <f>HYPERLINK("http://hcahealthcare.com","hcahealthcare.com")</f>
        <v>hcahealthcare.com</v>
      </c>
      <c r="C16989" t="s">
        <v>433</v>
      </c>
      <c r="E16989">
        <v>39213</v>
      </c>
      <c r="F16989">
        <v>1.16906648103748E-6</v>
      </c>
      <c r="G16989">
        <v>33229</v>
      </c>
      <c r="H16989">
        <v>17312560</v>
      </c>
      <c r="I16989">
        <v>26550</v>
      </c>
      <c r="J16989">
        <v>1</v>
      </c>
    </row>
    <row r="16990" spans="1:10" x14ac:dyDescent="0.25">
      <c r="A16990" t="s">
        <v>177</v>
      </c>
      <c r="B16990" s="1" t="str">
        <f>HYPERLINK("http://hcamidamerica.com","hcamidamerica.com")</f>
        <v>hcamidamerica.com</v>
      </c>
      <c r="C16990" t="s">
        <v>433</v>
      </c>
      <c r="F16990">
        <v>7.9163392146537793E-9</v>
      </c>
      <c r="G16990">
        <v>10079885</v>
      </c>
      <c r="H16990">
        <v>12497333</v>
      </c>
      <c r="I16990">
        <v>17388063</v>
      </c>
      <c r="J16990">
        <v>4</v>
      </c>
    </row>
    <row r="16991" spans="1:10" x14ac:dyDescent="0.25">
      <c r="A16991" t="s">
        <v>177</v>
      </c>
      <c r="B16991" s="1" t="str">
        <f>HYPERLINK("http://healthonecares.com","healthonecares.com")</f>
        <v>healthonecares.com</v>
      </c>
      <c r="C16991" t="s">
        <v>433</v>
      </c>
      <c r="E16991">
        <v>274857</v>
      </c>
      <c r="F16991">
        <v>2.9083891383764502E-7</v>
      </c>
      <c r="G16991">
        <v>127962</v>
      </c>
      <c r="H16991">
        <v>13972978</v>
      </c>
      <c r="I16991">
        <v>4068355</v>
      </c>
      <c r="J16991">
        <v>2</v>
      </c>
    </row>
    <row r="16992" spans="1:10" x14ac:dyDescent="0.25">
      <c r="A16992" t="s">
        <v>177</v>
      </c>
      <c r="B16992" s="1" t="str">
        <f>HYPERLINK("http://hss-systems.com","hss-systems.com")</f>
        <v>hss-systems.com</v>
      </c>
      <c r="C16992" t="s">
        <v>433</v>
      </c>
      <c r="F16992">
        <v>5.2610048729488802E-9</v>
      </c>
      <c r="G16992">
        <v>24089144</v>
      </c>
      <c r="H16992">
        <v>10356623</v>
      </c>
      <c r="I16992">
        <v>55614638</v>
      </c>
      <c r="J16992">
        <v>4</v>
      </c>
    </row>
    <row r="16993" spans="1:10" x14ac:dyDescent="0.25">
      <c r="A16993" t="s">
        <v>177</v>
      </c>
      <c r="B16993" s="1" t="str">
        <f>HYPERLINK("http://montgomerycancercenter.com","montgomerycancercenter.com")</f>
        <v>montgomerycancercenter.com</v>
      </c>
      <c r="C16993" t="s">
        <v>433</v>
      </c>
      <c r="F16993">
        <v>1.09517289702408E-8</v>
      </c>
      <c r="G16993">
        <v>5902102</v>
      </c>
      <c r="H16993">
        <v>13772476</v>
      </c>
      <c r="I16993">
        <v>6659354</v>
      </c>
      <c r="J16993">
        <v>3</v>
      </c>
    </row>
    <row r="16994" spans="1:10" x14ac:dyDescent="0.25">
      <c r="A16994" t="s">
        <v>177</v>
      </c>
      <c r="B16994" s="1" t="str">
        <f>HYPERLINK("http://mvhpayson.com","mvhpayson.com")</f>
        <v>mvhpayson.com</v>
      </c>
      <c r="C16994" t="s">
        <v>433</v>
      </c>
      <c r="F16994">
        <v>9.5980568281120897E-9</v>
      </c>
      <c r="G16994">
        <v>7202878</v>
      </c>
      <c r="H16994">
        <v>12455067</v>
      </c>
      <c r="I16994">
        <v>17932842</v>
      </c>
      <c r="J16994">
        <v>3</v>
      </c>
    </row>
    <row r="16995" spans="1:10" x14ac:dyDescent="0.25">
      <c r="A16995" t="s">
        <v>177</v>
      </c>
      <c r="B16995" s="1" t="str">
        <f>HYPERLINK("http://mymdnow.com","mymdnow.com")</f>
        <v>mymdnow.com</v>
      </c>
      <c r="C16995" t="s">
        <v>433</v>
      </c>
      <c r="E16995">
        <v>863716</v>
      </c>
      <c r="F16995">
        <v>4.1927359008692001E-8</v>
      </c>
      <c r="G16995">
        <v>1170500</v>
      </c>
      <c r="H16995">
        <v>14657683</v>
      </c>
      <c r="I16995">
        <v>621991</v>
      </c>
      <c r="J16995">
        <v>3</v>
      </c>
    </row>
    <row r="16996" spans="1:10" x14ac:dyDescent="0.25">
      <c r="A16996" t="s">
        <v>177</v>
      </c>
      <c r="B16996" s="1" t="str">
        <f>HYPERLINK("http://parallon.com","parallon.com")</f>
        <v>parallon.com</v>
      </c>
      <c r="C16996" t="s">
        <v>433</v>
      </c>
      <c r="E16996">
        <v>101517</v>
      </c>
      <c r="F16996">
        <v>1.02135033727552E-7</v>
      </c>
      <c r="G16996">
        <v>393315</v>
      </c>
      <c r="H16996">
        <v>14071576</v>
      </c>
      <c r="I16996">
        <v>3715052</v>
      </c>
      <c r="J16996">
        <v>5</v>
      </c>
    </row>
    <row r="16997" spans="1:10" x14ac:dyDescent="0.25">
      <c r="A16997" t="s">
        <v>177</v>
      </c>
      <c r="B16997" s="1" t="str">
        <f>HYPERLINK("http://parkridgehealth.com","parkridgehealth.com")</f>
        <v>parkridgehealth.com</v>
      </c>
      <c r="C16997" t="s">
        <v>433</v>
      </c>
      <c r="E16997">
        <v>934348</v>
      </c>
      <c r="F16997">
        <v>5.4365910713927797E-8</v>
      </c>
      <c r="G16997">
        <v>830608</v>
      </c>
      <c r="H16997">
        <v>13991974</v>
      </c>
      <c r="I16997">
        <v>4030168</v>
      </c>
      <c r="J16997">
        <v>3</v>
      </c>
    </row>
    <row r="16998" spans="1:10" x14ac:dyDescent="0.25">
      <c r="A16998" t="s">
        <v>177</v>
      </c>
      <c r="B16998" s="1" t="str">
        <f>HYPERLINK("http://ppmsi.com","ppmsi.com")</f>
        <v>ppmsi.com</v>
      </c>
      <c r="C16998" t="s">
        <v>433</v>
      </c>
      <c r="F16998">
        <v>4.9862273441290596E-9</v>
      </c>
      <c r="G16998">
        <v>29776000</v>
      </c>
      <c r="H16998">
        <v>10666166</v>
      </c>
      <c r="I16998">
        <v>43101905</v>
      </c>
      <c r="J16998">
        <v>3</v>
      </c>
    </row>
    <row r="16999" spans="1:10" x14ac:dyDescent="0.25">
      <c r="A16999" t="s">
        <v>177</v>
      </c>
      <c r="B16999" s="1" t="str">
        <f>HYPERLINK("http://royaloaktalk.com","royaloaktalk.com")</f>
        <v>royaloaktalk.com</v>
      </c>
      <c r="C16999" t="s">
        <v>433</v>
      </c>
      <c r="F16999">
        <v>4.5087325690779803E-9</v>
      </c>
      <c r="G16999">
        <v>57668984</v>
      </c>
      <c r="H16999">
        <v>7141436</v>
      </c>
      <c r="I16999">
        <v>76533712</v>
      </c>
      <c r="J16999">
        <v>3</v>
      </c>
    </row>
    <row r="17000" spans="1:10" x14ac:dyDescent="0.25">
      <c r="A17000" t="s">
        <v>177</v>
      </c>
      <c r="B17000" s="1" t="str">
        <f>HYPERLINK("http://theoutsourcegroup.com","theoutsourcegroup.com")</f>
        <v>theoutsourcegroup.com</v>
      </c>
      <c r="C17000" t="s">
        <v>433</v>
      </c>
      <c r="F17000">
        <v>1.0532584592146999E-8</v>
      </c>
      <c r="G17000">
        <v>6241717</v>
      </c>
      <c r="H17000">
        <v>14414924</v>
      </c>
      <c r="I17000">
        <v>1128151</v>
      </c>
      <c r="J17000">
        <v>8</v>
      </c>
    </row>
    <row r="17001" spans="1:10" x14ac:dyDescent="0.25">
      <c r="A17001" t="s">
        <v>177</v>
      </c>
      <c r="B17001" s="1" t="str">
        <f>HYPERLINK("http://theportlandhospital.com","theportlandhospital.com")</f>
        <v>theportlandhospital.com</v>
      </c>
      <c r="C17001" t="s">
        <v>433</v>
      </c>
      <c r="F17001">
        <v>5.2804341750450499E-8</v>
      </c>
      <c r="G17001">
        <v>862874</v>
      </c>
      <c r="H17001">
        <v>16830580</v>
      </c>
      <c r="I17001">
        <v>169016</v>
      </c>
      <c r="J17001">
        <v>5</v>
      </c>
    </row>
    <row r="17002" spans="1:10" x14ac:dyDescent="0.25">
      <c r="A17002" t="s">
        <v>177</v>
      </c>
      <c r="B17002" s="1" t="str">
        <f>HYPERLINK("http://theprincessgracehospital.com","theprincessgracehospital.com")</f>
        <v>theprincessgracehospital.com</v>
      </c>
      <c r="C17002" t="s">
        <v>433</v>
      </c>
      <c r="F17002">
        <v>9.94264771832553E-9</v>
      </c>
      <c r="G17002">
        <v>6814024</v>
      </c>
      <c r="H17002">
        <v>14548328</v>
      </c>
      <c r="I17002">
        <v>763214</v>
      </c>
      <c r="J17002">
        <v>5</v>
      </c>
    </row>
    <row r="17003" spans="1:10" x14ac:dyDescent="0.25">
      <c r="A17003" t="s">
        <v>177</v>
      </c>
      <c r="B17003" s="1" t="str">
        <f>HYPERLINK("http://theprostatecentre.com","theprostatecentre.com")</f>
        <v>theprostatecentre.com</v>
      </c>
      <c r="C17003" t="s">
        <v>433</v>
      </c>
      <c r="F17003">
        <v>7.8047270905324994E-9</v>
      </c>
      <c r="G17003">
        <v>10309881</v>
      </c>
      <c r="H17003">
        <v>13976309</v>
      </c>
      <c r="I17003">
        <v>4060151</v>
      </c>
      <c r="J17003">
        <v>5</v>
      </c>
    </row>
    <row r="17004" spans="1:10" x14ac:dyDescent="0.25">
      <c r="A17004" t="s">
        <v>177</v>
      </c>
      <c r="B17004" s="1" t="str">
        <f>HYPERLINK("http://londonbridgehospital.london","londonbridgehospital.london")</f>
        <v>londonbridgehospital.london</v>
      </c>
      <c r="C17004" t="s">
        <v>702</v>
      </c>
      <c r="F17004">
        <v>4.67804017187689E-9</v>
      </c>
      <c r="G17004">
        <v>42482310</v>
      </c>
      <c r="H17004">
        <v>12332253</v>
      </c>
      <c r="I17004">
        <v>20163871</v>
      </c>
      <c r="J17004">
        <v>5</v>
      </c>
    </row>
    <row r="17005" spans="1:10" x14ac:dyDescent="0.25">
      <c r="A17005" t="s">
        <v>177</v>
      </c>
      <c r="B17005" s="1" t="str">
        <f>HYPERLINK("http://careclassification.org","careclassification.org")</f>
        <v>careclassification.org</v>
      </c>
      <c r="C17005" t="s">
        <v>481</v>
      </c>
      <c r="F17005">
        <v>8.9375511470212304E-9</v>
      </c>
      <c r="G17005">
        <v>8087235</v>
      </c>
      <c r="H17005">
        <v>12361478</v>
      </c>
      <c r="I17005">
        <v>19558904</v>
      </c>
      <c r="J17005">
        <v>3</v>
      </c>
    </row>
    <row r="17006" spans="1:10" x14ac:dyDescent="0.25">
      <c r="A17006" t="s">
        <v>177</v>
      </c>
      <c r="B17006" s="1" t="str">
        <f>HYPERLINK("http://capitalnetworks.co.uk","capitalnetworks.co.uk")</f>
        <v>capitalnetworks.co.uk</v>
      </c>
      <c r="C17006" t="s">
        <v>506</v>
      </c>
      <c r="D17006" t="s">
        <v>880</v>
      </c>
      <c r="F17006">
        <v>1.18319282708694E-8</v>
      </c>
      <c r="G17006">
        <v>5281758</v>
      </c>
      <c r="H17006">
        <v>12764083</v>
      </c>
      <c r="I17006">
        <v>14928909</v>
      </c>
      <c r="J17006">
        <v>3</v>
      </c>
    </row>
    <row r="17007" spans="1:10" x14ac:dyDescent="0.25">
      <c r="A17007" t="s">
        <v>177</v>
      </c>
      <c r="B17007" s="1" t="str">
        <f>HYPERLINK("http://hcahealthcare.co.uk","hcahealthcare.co.uk")</f>
        <v>hcahealthcare.co.uk</v>
      </c>
      <c r="C17007" t="s">
        <v>506</v>
      </c>
      <c r="D17007" t="s">
        <v>880</v>
      </c>
      <c r="E17007">
        <v>124404</v>
      </c>
      <c r="F17007">
        <v>3.3913403956186102E-7</v>
      </c>
      <c r="G17007">
        <v>110018</v>
      </c>
      <c r="H17007">
        <v>16932612</v>
      </c>
      <c r="I17007">
        <v>117200</v>
      </c>
      <c r="J17007">
        <v>2</v>
      </c>
    </row>
    <row r="17008" spans="1:10" x14ac:dyDescent="0.25">
      <c r="A17008" t="s">
        <v>177</v>
      </c>
      <c r="B17008" s="1" t="str">
        <f>HYPERLINK("http://hcahospitals.co.uk","hcahospitals.co.uk")</f>
        <v>hcahospitals.co.uk</v>
      </c>
      <c r="C17008" t="s">
        <v>506</v>
      </c>
      <c r="D17008" t="s">
        <v>880</v>
      </c>
      <c r="F17008">
        <v>8.2995167357946194E-9</v>
      </c>
      <c r="G17008">
        <v>9258181</v>
      </c>
      <c r="H17008">
        <v>14120148</v>
      </c>
      <c r="I17008">
        <v>2382717</v>
      </c>
      <c r="J17008">
        <v>3</v>
      </c>
    </row>
    <row r="17009" spans="1:10" x14ac:dyDescent="0.25">
      <c r="A17009" t="s">
        <v>177</v>
      </c>
      <c r="B17009" s="1" t="str">
        <f>HYPERLINK("http://hcainternationalfoundation.co.uk","hcainternationalfoundation.co.uk")</f>
        <v>hcainternationalfoundation.co.uk</v>
      </c>
      <c r="C17009" t="s">
        <v>506</v>
      </c>
      <c r="D17009" t="s">
        <v>880</v>
      </c>
      <c r="J17009">
        <v>5</v>
      </c>
    </row>
    <row r="17010" spans="1:10" x14ac:dyDescent="0.25">
      <c r="A17010" t="s">
        <v>177</v>
      </c>
      <c r="B17010" s="1" t="str">
        <f>HYPERLINK("http://genmed.org.uk","genmed.org.uk")</f>
        <v>genmed.org.uk</v>
      </c>
      <c r="C17010" t="s">
        <v>506</v>
      </c>
      <c r="D17010" t="s">
        <v>880</v>
      </c>
      <c r="J17010">
        <v>3</v>
      </c>
    </row>
    <row r="17011" spans="1:10" x14ac:dyDescent="0.25">
      <c r="A17011" t="s">
        <v>178</v>
      </c>
      <c r="B17011" s="1" t="str">
        <f>HYPERLINK("http://dryice.ai","dryice.ai")</f>
        <v>dryice.ai</v>
      </c>
      <c r="C17011" t="s">
        <v>524</v>
      </c>
      <c r="D17011" t="s">
        <v>892</v>
      </c>
      <c r="E17011">
        <v>997951</v>
      </c>
      <c r="F17011">
        <v>4.76469467449641E-8</v>
      </c>
      <c r="G17011">
        <v>977135</v>
      </c>
      <c r="H17011">
        <v>13817663</v>
      </c>
      <c r="I17011">
        <v>6156630</v>
      </c>
      <c r="J17011">
        <v>3</v>
      </c>
    </row>
    <row r="17012" spans="1:10" x14ac:dyDescent="0.25">
      <c r="A17012" t="s">
        <v>178</v>
      </c>
      <c r="B17012" s="1" t="str">
        <f>HYPERLINK("http://dws.com.au","dws.com.au")</f>
        <v>dws.com.au</v>
      </c>
      <c r="C17012" t="s">
        <v>420</v>
      </c>
      <c r="D17012" t="s">
        <v>802</v>
      </c>
      <c r="F17012">
        <v>8.0528459656182907E-9</v>
      </c>
      <c r="G17012">
        <v>9825273</v>
      </c>
      <c r="H17012">
        <v>13935274</v>
      </c>
      <c r="I17012">
        <v>4541324</v>
      </c>
      <c r="J17012">
        <v>3</v>
      </c>
    </row>
    <row r="17013" spans="1:10" x14ac:dyDescent="0.25">
      <c r="A17013" t="s">
        <v>178</v>
      </c>
      <c r="B17013" s="1" t="str">
        <f>HYPERLINK("http://phoenix.com.au","phoenix.com.au")</f>
        <v>phoenix.com.au</v>
      </c>
      <c r="C17013" t="s">
        <v>420</v>
      </c>
      <c r="D17013" t="s">
        <v>802</v>
      </c>
      <c r="J17013">
        <v>3</v>
      </c>
    </row>
    <row r="17014" spans="1:10" x14ac:dyDescent="0.25">
      <c r="A17014" t="s">
        <v>178</v>
      </c>
      <c r="B17014" s="1" t="str">
        <f>HYPERLINK("http://projectsassured.com.au","projectsassured.com.au")</f>
        <v>projectsassured.com.au</v>
      </c>
      <c r="C17014" t="s">
        <v>420</v>
      </c>
      <c r="D17014" t="s">
        <v>802</v>
      </c>
      <c r="F17014">
        <v>5.2890730883320901E-9</v>
      </c>
      <c r="G17014">
        <v>23656705</v>
      </c>
      <c r="H17014">
        <v>12356973</v>
      </c>
      <c r="I17014">
        <v>19644745</v>
      </c>
      <c r="J17014">
        <v>3</v>
      </c>
    </row>
    <row r="17015" spans="1:10" x14ac:dyDescent="0.25">
      <c r="A17015" t="s">
        <v>178</v>
      </c>
      <c r="B17015" s="1" t="str">
        <f>HYPERLINK("http://symplicit.com.au","symplicit.com.au")</f>
        <v>symplicit.com.au</v>
      </c>
      <c r="C17015" t="s">
        <v>420</v>
      </c>
      <c r="D17015" t="s">
        <v>802</v>
      </c>
      <c r="F17015">
        <v>8.2088376480923706E-9</v>
      </c>
      <c r="G17015">
        <v>9555951</v>
      </c>
      <c r="H17015">
        <v>12901527</v>
      </c>
      <c r="I17015">
        <v>13853507</v>
      </c>
      <c r="J17015">
        <v>3</v>
      </c>
    </row>
    <row r="17016" spans="1:10" x14ac:dyDescent="0.25">
      <c r="A17016" t="s">
        <v>178</v>
      </c>
      <c r="B17016" s="1" t="str">
        <f>HYPERLINK("http://actian.com","actian.com")</f>
        <v>actian.com</v>
      </c>
      <c r="C17016" t="s">
        <v>433</v>
      </c>
      <c r="E17016">
        <v>113854</v>
      </c>
      <c r="F17016">
        <v>7.7722988496752596E-7</v>
      </c>
      <c r="G17016">
        <v>50393</v>
      </c>
      <c r="H17016">
        <v>17181790</v>
      </c>
      <c r="I17016">
        <v>45177</v>
      </c>
      <c r="J17016">
        <v>4</v>
      </c>
    </row>
    <row r="17017" spans="1:10" x14ac:dyDescent="0.25">
      <c r="A17017" t="s">
        <v>178</v>
      </c>
      <c r="B17017" s="1" t="str">
        <f>HYPERLINK("http://c3ihc.com","c3ihc.com")</f>
        <v>c3ihc.com</v>
      </c>
      <c r="C17017" t="s">
        <v>433</v>
      </c>
      <c r="F17017">
        <v>1.63146583635491E-8</v>
      </c>
      <c r="G17017">
        <v>3467138</v>
      </c>
      <c r="H17017">
        <v>13336651</v>
      </c>
      <c r="I17017">
        <v>10681801</v>
      </c>
      <c r="J17017">
        <v>8</v>
      </c>
    </row>
    <row r="17018" spans="1:10" x14ac:dyDescent="0.25">
      <c r="A17018" t="s">
        <v>178</v>
      </c>
      <c r="B17018" s="1" t="str">
        <f>HYPERLINK("http://c3isolutions.com","c3isolutions.com")</f>
        <v>c3isolutions.com</v>
      </c>
      <c r="C17018" t="s">
        <v>433</v>
      </c>
      <c r="F17018">
        <v>1.61928721141646E-8</v>
      </c>
      <c r="G17018">
        <v>3497211</v>
      </c>
      <c r="H17018">
        <v>13085385</v>
      </c>
      <c r="I17018">
        <v>12162076</v>
      </c>
      <c r="J17018">
        <v>5</v>
      </c>
    </row>
    <row r="17019" spans="1:10" x14ac:dyDescent="0.25">
      <c r="A17019" t="s">
        <v>178</v>
      </c>
      <c r="B17019" s="1" t="str">
        <f>HYPERLINK("http://channelinx.com","channelinx.com")</f>
        <v>channelinx.com</v>
      </c>
      <c r="C17019" t="s">
        <v>433</v>
      </c>
      <c r="J17019">
        <v>7</v>
      </c>
    </row>
    <row r="17020" spans="1:10" x14ac:dyDescent="0.25">
      <c r="A17020" t="s">
        <v>178</v>
      </c>
      <c r="B17020" s="1" t="str">
        <f>HYPERLINK("http://dryicehcl.com","dryicehcl.com")</f>
        <v>dryicehcl.com</v>
      </c>
      <c r="C17020" t="s">
        <v>433</v>
      </c>
      <c r="J17020">
        <v>2</v>
      </c>
    </row>
    <row r="17021" spans="1:10" x14ac:dyDescent="0.25">
      <c r="A17021" t="s">
        <v>178</v>
      </c>
      <c r="B17021" s="1" t="str">
        <f>HYPERLINK("http://hcl.com","hcl.com")</f>
        <v>hcl.com</v>
      </c>
      <c r="C17021" t="s">
        <v>433</v>
      </c>
      <c r="E17021">
        <v>25464</v>
      </c>
      <c r="F17021">
        <v>3.1096115103467501E-7</v>
      </c>
      <c r="G17021">
        <v>119596</v>
      </c>
      <c r="H17021">
        <v>17073058</v>
      </c>
      <c r="I17021">
        <v>70095</v>
      </c>
      <c r="J17021">
        <v>2</v>
      </c>
    </row>
    <row r="17022" spans="1:10" x14ac:dyDescent="0.25">
      <c r="A17022" t="s">
        <v>178</v>
      </c>
      <c r="B17022" s="1" t="str">
        <f>HYPERLINK("http://hcl-axon.com","hcl-axon.com")</f>
        <v>hcl-axon.com</v>
      </c>
      <c r="C17022" t="s">
        <v>433</v>
      </c>
      <c r="F17022">
        <v>1.06992846171321E-8</v>
      </c>
      <c r="G17022">
        <v>6101403</v>
      </c>
      <c r="H17022">
        <v>13811334</v>
      </c>
      <c r="I17022">
        <v>6208206</v>
      </c>
      <c r="J17022">
        <v>3</v>
      </c>
    </row>
    <row r="17023" spans="1:10" x14ac:dyDescent="0.25">
      <c r="A17023" t="s">
        <v>178</v>
      </c>
      <c r="B17023" s="1" t="str">
        <f>HYPERLINK("http://hclcomnet.com","hclcomnet.com")</f>
        <v>hclcomnet.com</v>
      </c>
      <c r="C17023" t="s">
        <v>433</v>
      </c>
      <c r="F17023">
        <v>5.3367702740077804E-9</v>
      </c>
      <c r="G17023">
        <v>22977202</v>
      </c>
      <c r="H17023">
        <v>12476210</v>
      </c>
      <c r="I17023">
        <v>17634700</v>
      </c>
      <c r="J17023">
        <v>4</v>
      </c>
    </row>
    <row r="17024" spans="1:10" x14ac:dyDescent="0.25">
      <c r="A17024" t="s">
        <v>178</v>
      </c>
      <c r="B17024" s="1" t="str">
        <f>HYPERLINK("http://hclinfosystems.com","hclinfosystems.com")</f>
        <v>hclinfosystems.com</v>
      </c>
      <c r="C17024" t="s">
        <v>433</v>
      </c>
      <c r="F17024">
        <v>1.8227870447683301E-8</v>
      </c>
      <c r="G17024">
        <v>2981535</v>
      </c>
      <c r="H17024">
        <v>14144898</v>
      </c>
      <c r="I17024">
        <v>1903327</v>
      </c>
      <c r="J17024">
        <v>3</v>
      </c>
    </row>
    <row r="17025" spans="1:10" x14ac:dyDescent="0.25">
      <c r="A17025" t="s">
        <v>178</v>
      </c>
      <c r="B17025" s="1" t="str">
        <f>HYPERLINK("http://hcllearning.com","hcllearning.com")</f>
        <v>hcllearning.com</v>
      </c>
      <c r="C17025" t="s">
        <v>433</v>
      </c>
      <c r="F17025">
        <v>7.9167662446577498E-9</v>
      </c>
      <c r="G17025">
        <v>10079084</v>
      </c>
      <c r="H17025">
        <v>12381527</v>
      </c>
      <c r="I17025">
        <v>19178438</v>
      </c>
      <c r="J17025">
        <v>11</v>
      </c>
    </row>
    <row r="17026" spans="1:10" x14ac:dyDescent="0.25">
      <c r="A17026" t="s">
        <v>178</v>
      </c>
      <c r="B17026" s="1" t="str">
        <f>HYPERLINK("http://hclmtaas.com","hclmtaas.com")</f>
        <v>hclmtaas.com</v>
      </c>
      <c r="C17026" t="s">
        <v>433</v>
      </c>
      <c r="J17026">
        <v>2</v>
      </c>
    </row>
    <row r="17027" spans="1:10" x14ac:dyDescent="0.25">
      <c r="A17027" t="s">
        <v>178</v>
      </c>
      <c r="B17027" s="1" t="str">
        <f>HYPERLINK("http://hcltech.com","hcltech.com")</f>
        <v>hcltech.com</v>
      </c>
      <c r="C17027" t="s">
        <v>433</v>
      </c>
      <c r="E17027">
        <v>27224</v>
      </c>
      <c r="F17027">
        <v>1.52520154242643E-6</v>
      </c>
      <c r="G17027">
        <v>25760</v>
      </c>
      <c r="H17027">
        <v>17451634</v>
      </c>
      <c r="I17027">
        <v>16074</v>
      </c>
      <c r="J17027">
        <v>1</v>
      </c>
    </row>
    <row r="17028" spans="1:10" x14ac:dyDescent="0.25">
      <c r="A17028" t="s">
        <v>178</v>
      </c>
      <c r="B17028" s="1" t="str">
        <f>HYPERLINK("http://hcltechswnp.com","hcltechswnp.com")</f>
        <v>hcltechswnp.com</v>
      </c>
      <c r="C17028" t="s">
        <v>433</v>
      </c>
      <c r="J17028">
        <v>4</v>
      </c>
    </row>
    <row r="17029" spans="1:10" x14ac:dyDescent="0.25">
      <c r="A17029" t="s">
        <v>178</v>
      </c>
      <c r="B17029" s="1" t="str">
        <f>HYPERLINK("http://hcltss.com","hcltss.com")</f>
        <v>hcltss.com</v>
      </c>
      <c r="C17029" t="s">
        <v>433</v>
      </c>
      <c r="F17029">
        <v>1.7377852419954598E-8</v>
      </c>
      <c r="G17029">
        <v>3180335</v>
      </c>
      <c r="H17029">
        <v>13781390</v>
      </c>
      <c r="I17029">
        <v>6459050</v>
      </c>
      <c r="J17029">
        <v>3</v>
      </c>
    </row>
    <row r="17030" spans="1:10" x14ac:dyDescent="0.25">
      <c r="A17030" t="s">
        <v>178</v>
      </c>
      <c r="B17030" s="1" t="str">
        <f>HYPERLINK("http://helltech.com","helltech.com")</f>
        <v>helltech.com</v>
      </c>
      <c r="C17030" t="s">
        <v>433</v>
      </c>
      <c r="J17030">
        <v>3</v>
      </c>
    </row>
    <row r="17031" spans="1:10" x14ac:dyDescent="0.25">
      <c r="A17031" t="s">
        <v>178</v>
      </c>
      <c r="B17031" s="1" t="str">
        <f>HYPERLINK("http://ingres.com","ingres.com")</f>
        <v>ingres.com</v>
      </c>
      <c r="C17031" t="s">
        <v>433</v>
      </c>
      <c r="E17031">
        <v>782188</v>
      </c>
      <c r="F17031">
        <v>1.7289440176920601E-7</v>
      </c>
      <c r="G17031">
        <v>224365</v>
      </c>
      <c r="H17031">
        <v>17040788</v>
      </c>
      <c r="I17031">
        <v>79226</v>
      </c>
      <c r="J17031">
        <v>3</v>
      </c>
    </row>
    <row r="17032" spans="1:10" x14ac:dyDescent="0.25">
      <c r="A17032" t="s">
        <v>178</v>
      </c>
      <c r="B17032" s="1" t="str">
        <f>HYPERLINK("http://inventorymanagementportal.com","inventorymanagementportal.com")</f>
        <v>inventorymanagementportal.com</v>
      </c>
      <c r="C17032" t="s">
        <v>433</v>
      </c>
      <c r="J17032">
        <v>6</v>
      </c>
    </row>
    <row r="17033" spans="1:10" x14ac:dyDescent="0.25">
      <c r="A17033" t="s">
        <v>178</v>
      </c>
      <c r="B17033" s="1" t="str">
        <f>HYPERLINK("http://paraccel.com","paraccel.com")</f>
        <v>paraccel.com</v>
      </c>
      <c r="C17033" t="s">
        <v>433</v>
      </c>
      <c r="F17033">
        <v>3.2142887594157699E-8</v>
      </c>
      <c r="G17033">
        <v>1608903</v>
      </c>
      <c r="H17033">
        <v>14221085</v>
      </c>
      <c r="I17033">
        <v>1685344</v>
      </c>
      <c r="J17033">
        <v>7</v>
      </c>
    </row>
    <row r="17034" spans="1:10" x14ac:dyDescent="0.25">
      <c r="A17034" t="s">
        <v>178</v>
      </c>
      <c r="B17034" s="1" t="str">
        <f>HYPERLINK("http://pervasive.com","pervasive.com")</f>
        <v>pervasive.com</v>
      </c>
      <c r="C17034" t="s">
        <v>433</v>
      </c>
      <c r="E17034">
        <v>173181</v>
      </c>
      <c r="F17034">
        <v>1.2429630709909199E-7</v>
      </c>
      <c r="G17034">
        <v>317480</v>
      </c>
      <c r="H17034">
        <v>14525490</v>
      </c>
      <c r="I17034">
        <v>795691</v>
      </c>
      <c r="J17034">
        <v>3</v>
      </c>
    </row>
    <row r="17035" spans="1:10" x14ac:dyDescent="0.25">
      <c r="A17035" t="s">
        <v>178</v>
      </c>
      <c r="B17035" s="1" t="str">
        <f>HYPERLINK("http://powerobjects.com","powerobjects.com")</f>
        <v>powerobjects.com</v>
      </c>
      <c r="C17035" t="s">
        <v>433</v>
      </c>
      <c r="E17035">
        <v>420630</v>
      </c>
      <c r="F17035">
        <v>1.14544035957258E-7</v>
      </c>
      <c r="G17035">
        <v>347609</v>
      </c>
      <c r="H17035">
        <v>14580019</v>
      </c>
      <c r="I17035">
        <v>711253</v>
      </c>
      <c r="J17035">
        <v>3</v>
      </c>
    </row>
    <row r="17036" spans="1:10" x14ac:dyDescent="0.25">
      <c r="A17036" t="s">
        <v>178</v>
      </c>
      <c r="B17036" s="1" t="str">
        <f>HYPERLINK("http://powerobjectsweb.com","powerobjectsweb.com")</f>
        <v>powerobjectsweb.com</v>
      </c>
      <c r="C17036" t="s">
        <v>433</v>
      </c>
      <c r="F17036">
        <v>1.1060365040239299E-8</v>
      </c>
      <c r="G17036">
        <v>5814634</v>
      </c>
      <c r="H17036">
        <v>12239444</v>
      </c>
      <c r="I17036">
        <v>22266541</v>
      </c>
      <c r="J17036">
        <v>3</v>
      </c>
    </row>
    <row r="17037" spans="1:10" x14ac:dyDescent="0.25">
      <c r="A17037" t="s">
        <v>178</v>
      </c>
      <c r="B17037" s="1" t="str">
        <f>HYPERLINK("http://questinformatics.com","questinformatics.com")</f>
        <v>questinformatics.com</v>
      </c>
      <c r="C17037" t="s">
        <v>433</v>
      </c>
      <c r="F17037">
        <v>8.6486357243760596E-9</v>
      </c>
      <c r="G17037">
        <v>8569020</v>
      </c>
      <c r="H17037">
        <v>13060840</v>
      </c>
      <c r="I17037">
        <v>12333627</v>
      </c>
      <c r="J17037">
        <v>5</v>
      </c>
    </row>
    <row r="17038" spans="1:10" x14ac:dyDescent="0.25">
      <c r="A17038" t="s">
        <v>178</v>
      </c>
      <c r="B17038" s="1" t="str">
        <f>HYPERLINK("http://sankalpsemi.com","sankalpsemi.com")</f>
        <v>sankalpsemi.com</v>
      </c>
      <c r="C17038" t="s">
        <v>433</v>
      </c>
      <c r="F17038">
        <v>1.5254240914344501E-8</v>
      </c>
      <c r="G17038">
        <v>3759538</v>
      </c>
      <c r="H17038">
        <v>13959005</v>
      </c>
      <c r="I17038">
        <v>4120110</v>
      </c>
      <c r="J17038">
        <v>3</v>
      </c>
    </row>
    <row r="17039" spans="1:10" x14ac:dyDescent="0.25">
      <c r="A17039" t="s">
        <v>178</v>
      </c>
      <c r="B17039" s="1" t="str">
        <f>HYPERLINK("http://starschema.com","starschema.com")</f>
        <v>starschema.com</v>
      </c>
      <c r="C17039" t="s">
        <v>433</v>
      </c>
      <c r="F17039">
        <v>5.8475783954794101E-8</v>
      </c>
      <c r="G17039">
        <v>759633</v>
      </c>
      <c r="H17039">
        <v>13916434</v>
      </c>
      <c r="I17039">
        <v>5937629</v>
      </c>
      <c r="J17039">
        <v>3</v>
      </c>
    </row>
    <row r="17040" spans="1:10" x14ac:dyDescent="0.25">
      <c r="A17040" t="s">
        <v>178</v>
      </c>
      <c r="B17040" s="1" t="str">
        <f>HYPERLINK("http://telerx.com","telerx.com")</f>
        <v>telerx.com</v>
      </c>
      <c r="C17040" t="s">
        <v>433</v>
      </c>
      <c r="F17040">
        <v>1.7290624773450399E-8</v>
      </c>
      <c r="G17040">
        <v>3201459</v>
      </c>
      <c r="H17040">
        <v>13943775</v>
      </c>
      <c r="I17040">
        <v>4309532</v>
      </c>
      <c r="J17040">
        <v>6</v>
      </c>
    </row>
    <row r="17041" spans="1:10" x14ac:dyDescent="0.25">
      <c r="A17041" t="s">
        <v>178</v>
      </c>
      <c r="B17041" s="1" t="str">
        <f>HYPERLINK("http://versant.com","versant.com")</f>
        <v>versant.com</v>
      </c>
      <c r="C17041" t="s">
        <v>433</v>
      </c>
      <c r="E17041">
        <v>739803</v>
      </c>
      <c r="F17041">
        <v>8.0377975771499402E-8</v>
      </c>
      <c r="G17041">
        <v>519611</v>
      </c>
      <c r="H17041">
        <v>16962154</v>
      </c>
      <c r="I17041">
        <v>105066</v>
      </c>
      <c r="J17041">
        <v>3</v>
      </c>
    </row>
    <row r="17042" spans="1:10" x14ac:dyDescent="0.25">
      <c r="A17042" t="s">
        <v>178</v>
      </c>
      <c r="B17042" s="1" t="str">
        <f>HYPERLINK("http://hclinfosystems.in","hclinfosystems.in")</f>
        <v>hclinfosystems.in</v>
      </c>
      <c r="C17042" t="s">
        <v>457</v>
      </c>
      <c r="D17042" t="s">
        <v>834</v>
      </c>
      <c r="F17042">
        <v>3.0963353803394102E-8</v>
      </c>
      <c r="G17042">
        <v>1664127</v>
      </c>
      <c r="H17042">
        <v>13958294</v>
      </c>
      <c r="I17042">
        <v>4123049</v>
      </c>
      <c r="J17042">
        <v>6</v>
      </c>
    </row>
    <row r="17043" spans="1:10" x14ac:dyDescent="0.25">
      <c r="A17043" t="s">
        <v>178</v>
      </c>
      <c r="B17043" s="1" t="str">
        <f>HYPERLINK("http://hclinfotech.in","hclinfotech.in")</f>
        <v>hclinfotech.in</v>
      </c>
      <c r="C17043" t="s">
        <v>457</v>
      </c>
      <c r="D17043" t="s">
        <v>834</v>
      </c>
      <c r="F17043">
        <v>4.45664820910003E-9</v>
      </c>
      <c r="G17043">
        <v>68879467</v>
      </c>
      <c r="H17043">
        <v>11947992</v>
      </c>
      <c r="I17043">
        <v>29155936</v>
      </c>
      <c r="J17043">
        <v>11</v>
      </c>
    </row>
    <row r="17044" spans="1:10" x14ac:dyDescent="0.25">
      <c r="A17044" t="s">
        <v>178</v>
      </c>
      <c r="B17044" s="1" t="str">
        <f>HYPERLINK("http://datawave.io","datawave.io")</f>
        <v>datawave.io</v>
      </c>
      <c r="C17044" t="s">
        <v>518</v>
      </c>
      <c r="F17044">
        <v>4.4445671089835301E-9</v>
      </c>
      <c r="G17044">
        <v>76511352</v>
      </c>
      <c r="H17044">
        <v>8580449</v>
      </c>
      <c r="I17044">
        <v>70974017</v>
      </c>
      <c r="J17044">
        <v>6</v>
      </c>
    </row>
    <row r="17045" spans="1:10" x14ac:dyDescent="0.25">
      <c r="A17045" t="s">
        <v>178</v>
      </c>
      <c r="B17045" s="1" t="str">
        <f>HYPERLINK("http://dataviz.love","dataviz.love")</f>
        <v>dataviz.love</v>
      </c>
      <c r="C17045" t="s">
        <v>793</v>
      </c>
      <c r="F17045">
        <v>1.5238857977220699E-8</v>
      </c>
      <c r="G17045">
        <v>3764099</v>
      </c>
      <c r="H17045">
        <v>13871161</v>
      </c>
      <c r="I17045">
        <v>5997795</v>
      </c>
      <c r="J17045">
        <v>6</v>
      </c>
    </row>
    <row r="17046" spans="1:10" x14ac:dyDescent="0.25">
      <c r="A17046" t="s">
        <v>178</v>
      </c>
      <c r="B17046" s="1" t="str">
        <f>HYPERLINK("http://c3iservice.net","c3iservice.net")</f>
        <v>c3iservice.net</v>
      </c>
      <c r="C17046" t="s">
        <v>474</v>
      </c>
      <c r="J17046">
        <v>6</v>
      </c>
    </row>
    <row r="17047" spans="1:10" x14ac:dyDescent="0.25">
      <c r="A17047" t="s">
        <v>178</v>
      </c>
      <c r="B17047" s="1" t="str">
        <f>HYPERLINK("http://channellinx.net","channellinx.net")</f>
        <v>channellinx.net</v>
      </c>
      <c r="C17047" t="s">
        <v>474</v>
      </c>
      <c r="F17047">
        <v>4.4438136526760601E-9</v>
      </c>
      <c r="G17047">
        <v>79514379</v>
      </c>
      <c r="H17047">
        <v>10434388</v>
      </c>
      <c r="I17047">
        <v>52854205</v>
      </c>
      <c r="J17047">
        <v>8</v>
      </c>
    </row>
    <row r="17048" spans="1:10" x14ac:dyDescent="0.25">
      <c r="A17048" t="s">
        <v>178</v>
      </c>
      <c r="B17048" s="1" t="str">
        <f>HYPERLINK("http://telerx.net","telerx.net")</f>
        <v>telerx.net</v>
      </c>
      <c r="C17048" t="s">
        <v>474</v>
      </c>
      <c r="J17048">
        <v>6</v>
      </c>
    </row>
    <row r="17049" spans="1:10" x14ac:dyDescent="0.25">
      <c r="A17049" t="s">
        <v>179</v>
      </c>
      <c r="B17049" s="1" t="str">
        <f>HYPERLINK("http://hbctxdom.com","hbctxdom.com")</f>
        <v>hbctxdom.com</v>
      </c>
      <c r="C17049" t="s">
        <v>433</v>
      </c>
      <c r="F17049">
        <v>4.4657247393486798E-9</v>
      </c>
      <c r="G17049">
        <v>66044514</v>
      </c>
      <c r="H17049">
        <v>10351944</v>
      </c>
      <c r="I17049">
        <v>56098276</v>
      </c>
      <c r="J17049">
        <v>2</v>
      </c>
    </row>
    <row r="17050" spans="1:10" x14ac:dyDescent="0.25">
      <c r="A17050" t="s">
        <v>179</v>
      </c>
      <c r="B17050" s="1" t="str">
        <f>HYPERLINK("http://hdbfs.com","hdbfs.com")</f>
        <v>hdbfs.com</v>
      </c>
      <c r="C17050" t="s">
        <v>433</v>
      </c>
      <c r="E17050">
        <v>295619</v>
      </c>
      <c r="F17050">
        <v>5.9001635790099099E-8</v>
      </c>
      <c r="G17050">
        <v>751619</v>
      </c>
      <c r="H17050">
        <v>14053063</v>
      </c>
      <c r="I17050">
        <v>3892430</v>
      </c>
      <c r="J17050">
        <v>3</v>
      </c>
    </row>
    <row r="17051" spans="1:10" x14ac:dyDescent="0.25">
      <c r="A17051" t="s">
        <v>179</v>
      </c>
      <c r="B17051" s="1" t="str">
        <f>HYPERLINK("http://hdbfssupport.com","hdbfssupport.com")</f>
        <v>hdbfssupport.com</v>
      </c>
      <c r="C17051" t="s">
        <v>433</v>
      </c>
      <c r="F17051">
        <v>1.49600557996264E-8</v>
      </c>
      <c r="G17051">
        <v>3852849</v>
      </c>
      <c r="H17051">
        <v>11969316</v>
      </c>
      <c r="I17051">
        <v>28733653</v>
      </c>
      <c r="J17051">
        <v>4</v>
      </c>
    </row>
    <row r="17052" spans="1:10" x14ac:dyDescent="0.25">
      <c r="A17052" t="s">
        <v>179</v>
      </c>
      <c r="B17052" s="1" t="str">
        <f>HYPERLINK("http://hdfcbank.com","hdfcbank.com")</f>
        <v>hdfcbank.com</v>
      </c>
      <c r="C17052" t="s">
        <v>433</v>
      </c>
      <c r="E17052">
        <v>915</v>
      </c>
      <c r="F17052">
        <v>1.3938988154948999E-6</v>
      </c>
      <c r="G17052">
        <v>28005</v>
      </c>
      <c r="H17052">
        <v>17393974</v>
      </c>
      <c r="I17052">
        <v>19620</v>
      </c>
      <c r="J17052">
        <v>1</v>
      </c>
    </row>
    <row r="17053" spans="1:10" x14ac:dyDescent="0.25">
      <c r="A17053" t="s">
        <v>179</v>
      </c>
      <c r="B17053" s="1" t="str">
        <f>HYPERLINK("http://hdfcsec.com","hdfcsec.com")</f>
        <v>hdfcsec.com</v>
      </c>
      <c r="C17053" t="s">
        <v>433</v>
      </c>
      <c r="E17053">
        <v>28599</v>
      </c>
      <c r="F17053">
        <v>8.6418430475071304E-8</v>
      </c>
      <c r="G17053">
        <v>475820</v>
      </c>
      <c r="H17053">
        <v>14964207</v>
      </c>
      <c r="I17053">
        <v>435939</v>
      </c>
      <c r="J17053">
        <v>3</v>
      </c>
    </row>
    <row r="17054" spans="1:10" x14ac:dyDescent="0.25">
      <c r="A17054" t="s">
        <v>179</v>
      </c>
      <c r="B17054" s="1" t="str">
        <f>HYPERLINK("http://hdfcbl.in","hdfcbl.in")</f>
        <v>hdfcbl.in</v>
      </c>
      <c r="C17054" t="s">
        <v>457</v>
      </c>
      <c r="D17054" t="s">
        <v>834</v>
      </c>
      <c r="F17054">
        <v>4.4438229046688197E-9</v>
      </c>
      <c r="G17054">
        <v>79137950</v>
      </c>
      <c r="H17054">
        <v>10347557</v>
      </c>
      <c r="I17054">
        <v>56646560</v>
      </c>
      <c r="J17054">
        <v>2</v>
      </c>
    </row>
    <row r="17055" spans="1:10" x14ac:dyDescent="0.25">
      <c r="A17055" t="s">
        <v>179</v>
      </c>
      <c r="B17055" s="1" t="str">
        <f>HYPERLINK("http://payzapp.in","payzapp.in")</f>
        <v>payzapp.in</v>
      </c>
      <c r="C17055" t="s">
        <v>457</v>
      </c>
      <c r="D17055" t="s">
        <v>834</v>
      </c>
      <c r="F17055">
        <v>6.1795233766313801E-9</v>
      </c>
      <c r="G17055">
        <v>15642174</v>
      </c>
      <c r="H17055">
        <v>11157465</v>
      </c>
      <c r="I17055">
        <v>31651993</v>
      </c>
      <c r="J17055">
        <v>2</v>
      </c>
    </row>
    <row r="17056" spans="1:10" x14ac:dyDescent="0.25">
      <c r="A17056" t="s">
        <v>179</v>
      </c>
      <c r="B17056" s="1" t="str">
        <f>HYPERLINK("http://hdfcbl.net","hdfcbl.net")</f>
        <v>hdfcbl.net</v>
      </c>
      <c r="C17056" t="s">
        <v>474</v>
      </c>
      <c r="J17056">
        <v>2</v>
      </c>
    </row>
    <row r="17057" spans="1:10" x14ac:dyDescent="0.25">
      <c r="A17057" t="s">
        <v>180</v>
      </c>
      <c r="B17057" s="1" t="str">
        <f>HYPERLINK("http://hsbc.ae","hsbc.ae")</f>
        <v>hsbc.ae</v>
      </c>
      <c r="C17057" t="s">
        <v>417</v>
      </c>
      <c r="D17057" t="s">
        <v>799</v>
      </c>
      <c r="E17057">
        <v>153129</v>
      </c>
      <c r="F17057">
        <v>1.8591112757662701E-7</v>
      </c>
      <c r="G17057">
        <v>207299</v>
      </c>
      <c r="H17057">
        <v>14855803</v>
      </c>
      <c r="I17057">
        <v>487220</v>
      </c>
      <c r="J17057">
        <v>2</v>
      </c>
    </row>
    <row r="17058" spans="1:10" x14ac:dyDescent="0.25">
      <c r="A17058" t="s">
        <v>180</v>
      </c>
      <c r="B17058" s="1" t="str">
        <f>HYPERLINK("http://hsbc.am","hsbc.am")</f>
        <v>hsbc.am</v>
      </c>
      <c r="C17058" t="s">
        <v>565</v>
      </c>
      <c r="D17058" t="s">
        <v>913</v>
      </c>
      <c r="E17058">
        <v>755319</v>
      </c>
      <c r="F17058">
        <v>5.7528202488535102E-8</v>
      </c>
      <c r="G17058">
        <v>774880</v>
      </c>
      <c r="H17058">
        <v>14090295</v>
      </c>
      <c r="I17058">
        <v>2750022</v>
      </c>
      <c r="J17058">
        <v>2</v>
      </c>
    </row>
    <row r="17059" spans="1:10" x14ac:dyDescent="0.25">
      <c r="A17059" t="s">
        <v>180</v>
      </c>
      <c r="B17059" s="1" t="str">
        <f>HYPERLINK("http://hsbc.com.ar","hsbc.com.ar")</f>
        <v>hsbc.com.ar</v>
      </c>
      <c r="C17059" t="s">
        <v>418</v>
      </c>
      <c r="D17059" t="s">
        <v>800</v>
      </c>
      <c r="E17059">
        <v>94177</v>
      </c>
      <c r="F17059">
        <v>8.1235009922813298E-8</v>
      </c>
      <c r="G17059">
        <v>513841</v>
      </c>
      <c r="H17059">
        <v>13924975</v>
      </c>
      <c r="I17059">
        <v>5932016</v>
      </c>
      <c r="J17059">
        <v>2</v>
      </c>
    </row>
    <row r="17060" spans="1:10" x14ac:dyDescent="0.25">
      <c r="A17060" t="s">
        <v>180</v>
      </c>
      <c r="B17060" s="1" t="str">
        <f>HYPERLINK("http://hsbcadministradora.com.ar","hsbcadministradora.com.ar")</f>
        <v>hsbcadministradora.com.ar</v>
      </c>
      <c r="C17060" t="s">
        <v>418</v>
      </c>
      <c r="D17060" t="s">
        <v>800</v>
      </c>
      <c r="F17060">
        <v>5.28587417816489E-9</v>
      </c>
      <c r="G17060">
        <v>23704030</v>
      </c>
      <c r="H17060">
        <v>10429813</v>
      </c>
      <c r="I17060">
        <v>53850425</v>
      </c>
      <c r="J17060">
        <v>3</v>
      </c>
    </row>
    <row r="17061" spans="1:10" x14ac:dyDescent="0.25">
      <c r="A17061" t="s">
        <v>180</v>
      </c>
      <c r="B17061" s="1" t="str">
        <f>HYPERLINK("http://hsbc.at","hsbc.at")</f>
        <v>hsbc.at</v>
      </c>
      <c r="C17061" t="s">
        <v>419</v>
      </c>
      <c r="D17061" t="s">
        <v>801</v>
      </c>
      <c r="F17061">
        <v>2.63410606957394E-8</v>
      </c>
      <c r="G17061">
        <v>1954793</v>
      </c>
      <c r="H17061">
        <v>12343170</v>
      </c>
      <c r="I17061">
        <v>19889266</v>
      </c>
      <c r="J17061">
        <v>2</v>
      </c>
    </row>
    <row r="17062" spans="1:10" x14ac:dyDescent="0.25">
      <c r="A17062" t="s">
        <v>180</v>
      </c>
      <c r="B17062" s="1" t="str">
        <f>HYPERLINK("http://hsbc.com.au","hsbc.com.au")</f>
        <v>hsbc.com.au</v>
      </c>
      <c r="C17062" t="s">
        <v>420</v>
      </c>
      <c r="D17062" t="s">
        <v>802</v>
      </c>
      <c r="E17062">
        <v>98200</v>
      </c>
      <c r="F17062">
        <v>1.23054964271511E-7</v>
      </c>
      <c r="G17062">
        <v>320724</v>
      </c>
      <c r="H17062">
        <v>13975611</v>
      </c>
      <c r="I17062">
        <v>4061809</v>
      </c>
      <c r="J17062">
        <v>2</v>
      </c>
    </row>
    <row r="17063" spans="1:10" x14ac:dyDescent="0.25">
      <c r="A17063" t="s">
        <v>180</v>
      </c>
      <c r="B17063" s="1" t="str">
        <f>HYPERLINK("http://hsbcpremier.com.au","hsbcpremier.com.au")</f>
        <v>hsbcpremier.com.au</v>
      </c>
      <c r="C17063" t="s">
        <v>420</v>
      </c>
      <c r="D17063" t="s">
        <v>802</v>
      </c>
      <c r="J17063">
        <v>2</v>
      </c>
    </row>
    <row r="17064" spans="1:10" x14ac:dyDescent="0.25">
      <c r="A17064" t="s">
        <v>180</v>
      </c>
      <c r="B17064" s="1" t="str">
        <f>HYPERLINK("http://hsbc.com.bd","hsbc.com.bd")</f>
        <v>hsbc.com.bd</v>
      </c>
      <c r="C17064" t="s">
        <v>603</v>
      </c>
      <c r="D17064" t="s">
        <v>934</v>
      </c>
      <c r="E17064">
        <v>732799</v>
      </c>
      <c r="F17064">
        <v>2.90110421287919E-8</v>
      </c>
      <c r="G17064">
        <v>1774727</v>
      </c>
      <c r="H17064">
        <v>14237956</v>
      </c>
      <c r="I17064">
        <v>1536784</v>
      </c>
      <c r="J17064">
        <v>2</v>
      </c>
    </row>
    <row r="17065" spans="1:10" x14ac:dyDescent="0.25">
      <c r="A17065" t="s">
        <v>180</v>
      </c>
      <c r="B17065" s="1" t="str">
        <f>HYPERLINK("http://hsbc.be","hsbc.be")</f>
        <v>hsbc.be</v>
      </c>
      <c r="C17065" t="s">
        <v>421</v>
      </c>
      <c r="D17065" t="s">
        <v>803</v>
      </c>
      <c r="F17065">
        <v>3.1564699931516998E-8</v>
      </c>
      <c r="G17065">
        <v>1634845</v>
      </c>
      <c r="H17065">
        <v>12368197</v>
      </c>
      <c r="I17065">
        <v>19445833</v>
      </c>
      <c r="J17065">
        <v>2</v>
      </c>
    </row>
    <row r="17066" spans="1:10" x14ac:dyDescent="0.25">
      <c r="A17066" t="s">
        <v>180</v>
      </c>
      <c r="B17066" s="1" t="str">
        <f>HYPERLINK("http://hsbc.com.bh","hsbc.com.bh")</f>
        <v>hsbc.com.bh</v>
      </c>
      <c r="C17066" t="s">
        <v>580</v>
      </c>
      <c r="D17066" t="s">
        <v>922</v>
      </c>
      <c r="E17066">
        <v>815928</v>
      </c>
      <c r="F17066">
        <v>2.58335911077791E-8</v>
      </c>
      <c r="G17066">
        <v>1995148</v>
      </c>
      <c r="H17066">
        <v>12830681</v>
      </c>
      <c r="I17066">
        <v>14415860</v>
      </c>
      <c r="J17066">
        <v>2</v>
      </c>
    </row>
    <row r="17067" spans="1:10" x14ac:dyDescent="0.25">
      <c r="A17067" t="s">
        <v>180</v>
      </c>
      <c r="B17067" s="1" t="str">
        <f>HYPERLINK("http://hsbc.bm","hsbc.bm")</f>
        <v>hsbc.bm</v>
      </c>
      <c r="C17067" t="s">
        <v>568</v>
      </c>
      <c r="D17067" t="s">
        <v>915</v>
      </c>
      <c r="E17067">
        <v>338041</v>
      </c>
      <c r="F17067">
        <v>5.8619112763333102E-8</v>
      </c>
      <c r="G17067">
        <v>757412</v>
      </c>
      <c r="H17067">
        <v>14535945</v>
      </c>
      <c r="I17067">
        <v>780238</v>
      </c>
      <c r="J17067">
        <v>2</v>
      </c>
    </row>
    <row r="17068" spans="1:10" x14ac:dyDescent="0.25">
      <c r="A17068" t="s">
        <v>180</v>
      </c>
      <c r="B17068" s="1" t="str">
        <f>HYPERLINK("http://hsbc.com.br","hsbc.com.br")</f>
        <v>hsbc.com.br</v>
      </c>
      <c r="C17068" t="s">
        <v>425</v>
      </c>
      <c r="D17068" t="s">
        <v>806</v>
      </c>
      <c r="E17068">
        <v>58528</v>
      </c>
      <c r="F17068">
        <v>8.1522912574840597E-8</v>
      </c>
      <c r="G17068">
        <v>511966</v>
      </c>
      <c r="H17068">
        <v>14726662</v>
      </c>
      <c r="I17068">
        <v>575119</v>
      </c>
      <c r="J17068">
        <v>2</v>
      </c>
    </row>
    <row r="17069" spans="1:10" x14ac:dyDescent="0.25">
      <c r="A17069" t="s">
        <v>180</v>
      </c>
      <c r="B17069" s="1" t="str">
        <f>HYPERLINK("http://hsbc.ca","hsbc.ca")</f>
        <v>hsbc.ca</v>
      </c>
      <c r="C17069" t="s">
        <v>428</v>
      </c>
      <c r="D17069" t="s">
        <v>809</v>
      </c>
      <c r="E17069">
        <v>59428</v>
      </c>
      <c r="F17069">
        <v>4.05216194093965E-7</v>
      </c>
      <c r="G17069">
        <v>92692</v>
      </c>
      <c r="H17069">
        <v>17119820</v>
      </c>
      <c r="I17069">
        <v>59803</v>
      </c>
      <c r="J17069">
        <v>2</v>
      </c>
    </row>
    <row r="17070" spans="1:10" x14ac:dyDescent="0.25">
      <c r="A17070" t="s">
        <v>180</v>
      </c>
      <c r="B17070" s="1" t="str">
        <f>HYPERLINK("http://hsbc.ch","hsbc.ch")</f>
        <v>hsbc.ch</v>
      </c>
      <c r="C17070" t="s">
        <v>429</v>
      </c>
      <c r="D17070" t="s">
        <v>810</v>
      </c>
      <c r="F17070">
        <v>3.0830549137263997E-8</v>
      </c>
      <c r="G17070">
        <v>1670783</v>
      </c>
      <c r="H17070">
        <v>13941311</v>
      </c>
      <c r="I17070">
        <v>4349894</v>
      </c>
      <c r="J17070">
        <v>2</v>
      </c>
    </row>
    <row r="17071" spans="1:10" x14ac:dyDescent="0.25">
      <c r="A17071" t="s">
        <v>180</v>
      </c>
      <c r="B17071" s="1" t="str">
        <f>HYPERLINK("http://hsbc.cl","hsbc.cl")</f>
        <v>hsbc.cl</v>
      </c>
      <c r="C17071" t="s">
        <v>430</v>
      </c>
      <c r="D17071" t="s">
        <v>811</v>
      </c>
      <c r="F17071">
        <v>1.3214576839227501E-8</v>
      </c>
      <c r="G17071">
        <v>4531672</v>
      </c>
      <c r="H17071">
        <v>14072655</v>
      </c>
      <c r="I17071">
        <v>3061187</v>
      </c>
      <c r="J17071">
        <v>2</v>
      </c>
    </row>
    <row r="17072" spans="1:10" x14ac:dyDescent="0.25">
      <c r="A17072" t="s">
        <v>180</v>
      </c>
      <c r="B17072" s="1" t="str">
        <f>HYPERLINK("http://hangseng.com.cn","hangseng.com.cn")</f>
        <v>hangseng.com.cn</v>
      </c>
      <c r="C17072" t="s">
        <v>431</v>
      </c>
      <c r="D17072" t="s">
        <v>812</v>
      </c>
      <c r="F17072">
        <v>4.0963248558129299E-8</v>
      </c>
      <c r="G17072">
        <v>1266376</v>
      </c>
      <c r="H17072">
        <v>14170837</v>
      </c>
      <c r="I17072">
        <v>1803205</v>
      </c>
      <c r="J17072">
        <v>3</v>
      </c>
    </row>
    <row r="17073" spans="1:10" x14ac:dyDescent="0.25">
      <c r="A17073" t="s">
        <v>180</v>
      </c>
      <c r="B17073" s="1" t="str">
        <f>HYPERLINK("http://hsbc.com.cn","hsbc.com.cn")</f>
        <v>hsbc.com.cn</v>
      </c>
      <c r="C17073" t="s">
        <v>431</v>
      </c>
      <c r="D17073" t="s">
        <v>812</v>
      </c>
      <c r="E17073">
        <v>79467</v>
      </c>
      <c r="F17073">
        <v>2.8778989149751098E-7</v>
      </c>
      <c r="G17073">
        <v>129191</v>
      </c>
      <c r="H17073">
        <v>15101800</v>
      </c>
      <c r="I17073">
        <v>406229</v>
      </c>
      <c r="J17073">
        <v>2</v>
      </c>
    </row>
    <row r="17074" spans="1:10" x14ac:dyDescent="0.25">
      <c r="A17074" t="s">
        <v>180</v>
      </c>
      <c r="B17074" s="1" t="str">
        <f>HYPERLINK("http://hsbcadvance.com.cn","hsbcadvance.com.cn")</f>
        <v>hsbcadvance.com.cn</v>
      </c>
      <c r="C17074" t="s">
        <v>431</v>
      </c>
      <c r="D17074" t="s">
        <v>812</v>
      </c>
      <c r="J17074">
        <v>2</v>
      </c>
    </row>
    <row r="17075" spans="1:10" x14ac:dyDescent="0.25">
      <c r="A17075" t="s">
        <v>180</v>
      </c>
      <c r="B17075" s="1" t="str">
        <f>HYPERLINK("http://hsbcinsurance.com.cn","hsbcinsurance.com.cn")</f>
        <v>hsbcinsurance.com.cn</v>
      </c>
      <c r="C17075" t="s">
        <v>431</v>
      </c>
      <c r="D17075" t="s">
        <v>812</v>
      </c>
      <c r="F17075">
        <v>7.6573208103214505E-9</v>
      </c>
      <c r="G17075">
        <v>10670438</v>
      </c>
      <c r="H17075">
        <v>12329993</v>
      </c>
      <c r="I17075">
        <v>20212119</v>
      </c>
      <c r="J17075">
        <v>2</v>
      </c>
    </row>
    <row r="17076" spans="1:10" x14ac:dyDescent="0.25">
      <c r="A17076" t="s">
        <v>180</v>
      </c>
      <c r="B17076" s="1" t="str">
        <f>HYPERLINK("http://hsbcqh.com.cn","hsbcqh.com.cn")</f>
        <v>hsbcqh.com.cn</v>
      </c>
      <c r="C17076" t="s">
        <v>431</v>
      </c>
      <c r="D17076" t="s">
        <v>812</v>
      </c>
      <c r="E17076">
        <v>422958</v>
      </c>
      <c r="F17076">
        <v>1.6469292590376998E-8</v>
      </c>
      <c r="G17076">
        <v>3421418</v>
      </c>
      <c r="H17076">
        <v>14074772</v>
      </c>
      <c r="I17076">
        <v>2929973</v>
      </c>
      <c r="J17076">
        <v>2</v>
      </c>
    </row>
    <row r="17077" spans="1:10" x14ac:dyDescent="0.25">
      <c r="A17077" t="s">
        <v>180</v>
      </c>
      <c r="B17077" s="1" t="str">
        <f>HYPERLINK("http://hsbc.cn","hsbc.cn")</f>
        <v>hsbc.cn</v>
      </c>
      <c r="C17077" t="s">
        <v>431</v>
      </c>
      <c r="D17077" t="s">
        <v>812</v>
      </c>
      <c r="F17077">
        <v>4.4517226823022897E-9</v>
      </c>
      <c r="G17077">
        <v>70987097</v>
      </c>
      <c r="H17077">
        <v>1.0003663</v>
      </c>
      <c r="I17077">
        <v>78341252</v>
      </c>
      <c r="J17077">
        <v>2</v>
      </c>
    </row>
    <row r="17078" spans="1:10" x14ac:dyDescent="0.25">
      <c r="A17078" t="s">
        <v>180</v>
      </c>
      <c r="B17078" s="1" t="str">
        <f>HYPERLINK("http://hsbcjt.cn","hsbcjt.cn")</f>
        <v>hsbcjt.cn</v>
      </c>
      <c r="C17078" t="s">
        <v>431</v>
      </c>
      <c r="D17078" t="s">
        <v>812</v>
      </c>
      <c r="E17078">
        <v>571179</v>
      </c>
      <c r="F17078">
        <v>1.3069984690943E-7</v>
      </c>
      <c r="G17078">
        <v>299381</v>
      </c>
      <c r="H17078">
        <v>13582078</v>
      </c>
      <c r="I17078">
        <v>9684704</v>
      </c>
      <c r="J17078">
        <v>4</v>
      </c>
    </row>
    <row r="17079" spans="1:10" x14ac:dyDescent="0.25">
      <c r="A17079" t="s">
        <v>180</v>
      </c>
      <c r="B17079" s="1" t="str">
        <f>HYPERLINK("http://stint.co","stint.co")</f>
        <v>stint.co</v>
      </c>
      <c r="C17079" t="s">
        <v>432</v>
      </c>
      <c r="F17079">
        <v>2.7767519507042101E-8</v>
      </c>
      <c r="G17079">
        <v>1851941</v>
      </c>
      <c r="H17079">
        <v>14118582</v>
      </c>
      <c r="I17079">
        <v>2658394</v>
      </c>
      <c r="J17079">
        <v>5</v>
      </c>
    </row>
    <row r="17080" spans="1:10" x14ac:dyDescent="0.25">
      <c r="A17080" t="s">
        <v>180</v>
      </c>
      <c r="B17080" s="1" t="str">
        <f>HYPERLINK("http://bankofbermuda.com","bankofbermuda.com")</f>
        <v>bankofbermuda.com</v>
      </c>
      <c r="C17080" t="s">
        <v>433</v>
      </c>
      <c r="F17080">
        <v>4.9359488521021403E-9</v>
      </c>
      <c r="G17080">
        <v>31208268</v>
      </c>
      <c r="H17080">
        <v>13767844</v>
      </c>
      <c r="I17080">
        <v>6910468</v>
      </c>
      <c r="J17080">
        <v>3</v>
      </c>
    </row>
    <row r="17081" spans="1:10" x14ac:dyDescent="0.25">
      <c r="A17081" t="s">
        <v>180</v>
      </c>
      <c r="B17081" s="1" t="str">
        <f>HYPERLINK("http://canarahsbclife.com","canarahsbclife.com")</f>
        <v>canarahsbclife.com</v>
      </c>
      <c r="C17081" t="s">
        <v>433</v>
      </c>
      <c r="E17081">
        <v>220982</v>
      </c>
      <c r="F17081">
        <v>1.50330259928378E-7</v>
      </c>
      <c r="G17081">
        <v>258430</v>
      </c>
      <c r="H17081">
        <v>13582259</v>
      </c>
      <c r="I17081">
        <v>9684276</v>
      </c>
      <c r="J17081">
        <v>4</v>
      </c>
    </row>
    <row r="17082" spans="1:10" x14ac:dyDescent="0.25">
      <c r="A17082" t="s">
        <v>180</v>
      </c>
      <c r="B17082" s="1" t="str">
        <f>HYPERLINK("http://commerceinnovated.com","commerceinnovated.com")</f>
        <v>commerceinnovated.com</v>
      </c>
      <c r="C17082" t="s">
        <v>433</v>
      </c>
      <c r="F17082">
        <v>9.4373483085719194E-9</v>
      </c>
      <c r="G17082">
        <v>7398164</v>
      </c>
      <c r="H17082">
        <v>13091961</v>
      </c>
      <c r="I17082">
        <v>12139439</v>
      </c>
      <c r="J17082">
        <v>10</v>
      </c>
    </row>
    <row r="17083" spans="1:10" x14ac:dyDescent="0.25">
      <c r="A17083" t="s">
        <v>180</v>
      </c>
      <c r="B17083" s="1" t="str">
        <f>HYPERLINK("http://firstdirect.com","firstdirect.com")</f>
        <v>firstdirect.com</v>
      </c>
      <c r="C17083" t="s">
        <v>433</v>
      </c>
      <c r="E17083">
        <v>63839</v>
      </c>
      <c r="F17083">
        <v>2.36369732077017E-7</v>
      </c>
      <c r="G17083">
        <v>158469</v>
      </c>
      <c r="H17083">
        <v>17097320</v>
      </c>
      <c r="I17083">
        <v>64406</v>
      </c>
      <c r="J17083">
        <v>2</v>
      </c>
    </row>
    <row r="17084" spans="1:10" x14ac:dyDescent="0.25">
      <c r="A17084" t="s">
        <v>180</v>
      </c>
      <c r="B17084" s="1" t="str">
        <f>HYPERLINK("http://hangseng.com","hangseng.com")</f>
        <v>hangseng.com</v>
      </c>
      <c r="C17084" t="s">
        <v>433</v>
      </c>
      <c r="E17084">
        <v>18758</v>
      </c>
      <c r="F17084">
        <v>5.2093604662818299E-7</v>
      </c>
      <c r="G17084">
        <v>73739</v>
      </c>
      <c r="H17084">
        <v>17202114</v>
      </c>
      <c r="I17084">
        <v>41437</v>
      </c>
      <c r="J17084">
        <v>2</v>
      </c>
    </row>
    <row r="17085" spans="1:10" x14ac:dyDescent="0.25">
      <c r="A17085" t="s">
        <v>180</v>
      </c>
      <c r="B17085" s="1" t="str">
        <f>HYPERLINK("http://hangsengbank.com","hangsengbank.com")</f>
        <v>hangsengbank.com</v>
      </c>
      <c r="C17085" t="s">
        <v>433</v>
      </c>
      <c r="F17085">
        <v>4.6540075766815302E-9</v>
      </c>
      <c r="G17085">
        <v>43877335</v>
      </c>
      <c r="H17085">
        <v>10964187</v>
      </c>
      <c r="I17085">
        <v>34263257</v>
      </c>
      <c r="J17085">
        <v>2</v>
      </c>
    </row>
    <row r="17086" spans="1:10" x14ac:dyDescent="0.25">
      <c r="A17086" t="s">
        <v>180</v>
      </c>
      <c r="B17086" s="1" t="str">
        <f>HYPERLINK("http://hangsenginvestment.com","hangsenginvestment.com")</f>
        <v>hangsenginvestment.com</v>
      </c>
      <c r="C17086" t="s">
        <v>433</v>
      </c>
      <c r="F17086">
        <v>3.9232598314078403E-8</v>
      </c>
      <c r="G17086">
        <v>1314987</v>
      </c>
      <c r="H17086">
        <v>12958301</v>
      </c>
      <c r="I17086">
        <v>13176407</v>
      </c>
      <c r="J17086">
        <v>2</v>
      </c>
    </row>
    <row r="17087" spans="1:10" x14ac:dyDescent="0.25">
      <c r="A17087" t="s">
        <v>180</v>
      </c>
      <c r="B17087" s="1" t="str">
        <f>HYPERLINK("http://hsbc.com","hsbc.com")</f>
        <v>hsbc.com</v>
      </c>
      <c r="C17087" t="s">
        <v>433</v>
      </c>
      <c r="E17087">
        <v>4724</v>
      </c>
      <c r="F17087">
        <v>3.2089620330873299E-6</v>
      </c>
      <c r="G17087">
        <v>12410</v>
      </c>
      <c r="H17087">
        <v>17552360</v>
      </c>
      <c r="I17087">
        <v>11203</v>
      </c>
      <c r="J17087">
        <v>1</v>
      </c>
    </row>
    <row r="17088" spans="1:10" x14ac:dyDescent="0.25">
      <c r="A17088" t="s">
        <v>180</v>
      </c>
      <c r="B17088" s="1" t="str">
        <f>HYPERLINK("http://hsbcadvanceusa.com","hsbcadvanceusa.com")</f>
        <v>hsbcadvanceusa.com</v>
      </c>
      <c r="C17088" t="s">
        <v>433</v>
      </c>
      <c r="J17088">
        <v>2</v>
      </c>
    </row>
    <row r="17089" spans="1:10" x14ac:dyDescent="0.25">
      <c r="A17089" t="s">
        <v>180</v>
      </c>
      <c r="B17089" s="1" t="str">
        <f>HYPERLINK("http://hsbccreditcard.com","hsbccreditcard.com")</f>
        <v>hsbccreditcard.com</v>
      </c>
      <c r="C17089" t="s">
        <v>433</v>
      </c>
      <c r="F17089">
        <v>2.6921157924710299E-8</v>
      </c>
      <c r="G17089">
        <v>1910621</v>
      </c>
      <c r="H17089">
        <v>13372578</v>
      </c>
      <c r="I17089">
        <v>10459010</v>
      </c>
      <c r="J17089">
        <v>2</v>
      </c>
    </row>
    <row r="17090" spans="1:10" x14ac:dyDescent="0.25">
      <c r="A17090" t="s">
        <v>180</v>
      </c>
      <c r="B17090" s="1" t="str">
        <f>HYPERLINK("http://hsbcdirect.com","hsbcdirect.com")</f>
        <v>hsbcdirect.com</v>
      </c>
      <c r="C17090" t="s">
        <v>433</v>
      </c>
      <c r="F17090">
        <v>3.2445046017503703E-8</v>
      </c>
      <c r="G17090">
        <v>1592415</v>
      </c>
      <c r="H17090">
        <v>14287452</v>
      </c>
      <c r="I17090">
        <v>1369635</v>
      </c>
      <c r="J17090">
        <v>2</v>
      </c>
    </row>
    <row r="17091" spans="1:10" x14ac:dyDescent="0.25">
      <c r="A17091" t="s">
        <v>180</v>
      </c>
      <c r="B17091" s="1" t="str">
        <f>HYPERLINK("http://hsbcmortgageservices.com","hsbcmortgageservices.com")</f>
        <v>hsbcmortgageservices.com</v>
      </c>
      <c r="C17091" t="s">
        <v>433</v>
      </c>
      <c r="F17091">
        <v>4.7201494466819998E-9</v>
      </c>
      <c r="G17091">
        <v>40212966</v>
      </c>
      <c r="H17091">
        <v>12384924</v>
      </c>
      <c r="I17091">
        <v>19124492</v>
      </c>
      <c r="J17091">
        <v>4</v>
      </c>
    </row>
    <row r="17092" spans="1:10" x14ac:dyDescent="0.25">
      <c r="A17092" t="s">
        <v>180</v>
      </c>
      <c r="B17092" s="1" t="str">
        <f>HYPERLINK("http://hsbcnet.com","hsbcnet.com")</f>
        <v>hsbcnet.com</v>
      </c>
      <c r="C17092" t="s">
        <v>433</v>
      </c>
      <c r="E17092">
        <v>42283</v>
      </c>
      <c r="F17092">
        <v>2.3505997649107699E-7</v>
      </c>
      <c r="G17092">
        <v>159449</v>
      </c>
      <c r="H17092">
        <v>17137908</v>
      </c>
      <c r="I17092">
        <v>54855</v>
      </c>
      <c r="J17092">
        <v>2</v>
      </c>
    </row>
    <row r="17093" spans="1:10" x14ac:dyDescent="0.25">
      <c r="A17093" t="s">
        <v>180</v>
      </c>
      <c r="B17093" s="1" t="str">
        <f>HYPERLINK("http://hsbcpremierusa.com","hsbcpremierusa.com")</f>
        <v>hsbcpremierusa.com</v>
      </c>
      <c r="C17093" t="s">
        <v>433</v>
      </c>
      <c r="F17093">
        <v>7.8364193932478995E-9</v>
      </c>
      <c r="G17093">
        <v>10242446</v>
      </c>
      <c r="H17093">
        <v>12502660</v>
      </c>
      <c r="I17093">
        <v>17319172</v>
      </c>
      <c r="J17093">
        <v>2</v>
      </c>
    </row>
    <row r="17094" spans="1:10" x14ac:dyDescent="0.25">
      <c r="A17094" t="s">
        <v>180</v>
      </c>
      <c r="B17094" s="1" t="str">
        <f>HYPERLINK("http://hsbcprivatebank.com","hsbcprivatebank.com")</f>
        <v>hsbcprivatebank.com</v>
      </c>
      <c r="C17094" t="s">
        <v>433</v>
      </c>
      <c r="E17094">
        <v>592914</v>
      </c>
      <c r="F17094">
        <v>1.0534869565491399E-7</v>
      </c>
      <c r="G17094">
        <v>380242</v>
      </c>
      <c r="H17094">
        <v>14521506</v>
      </c>
      <c r="I17094">
        <v>802492</v>
      </c>
      <c r="J17094">
        <v>2</v>
      </c>
    </row>
    <row r="17095" spans="1:10" x14ac:dyDescent="0.25">
      <c r="A17095" t="s">
        <v>180</v>
      </c>
      <c r="B17095" s="1" t="str">
        <f>HYPERLINK("http://hsbcsaudi.com","hsbcsaudi.com")</f>
        <v>hsbcsaudi.com</v>
      </c>
      <c r="C17095" t="s">
        <v>433</v>
      </c>
      <c r="E17095">
        <v>887621</v>
      </c>
      <c r="F17095">
        <v>1.12401404263895E-8</v>
      </c>
      <c r="G17095">
        <v>5685195</v>
      </c>
      <c r="H17095">
        <v>12495367</v>
      </c>
      <c r="I17095">
        <v>17424470</v>
      </c>
      <c r="J17095">
        <v>4</v>
      </c>
    </row>
    <row r="17096" spans="1:10" x14ac:dyDescent="0.25">
      <c r="A17096" t="s">
        <v>180</v>
      </c>
      <c r="B17096" s="1" t="str">
        <f>HYPERLINK("http://hsbcservicedelivery.com","hsbcservicedelivery.com")</f>
        <v>hsbcservicedelivery.com</v>
      </c>
      <c r="C17096" t="s">
        <v>433</v>
      </c>
      <c r="F17096">
        <v>4.4638582555444897E-9</v>
      </c>
      <c r="G17096">
        <v>66584680</v>
      </c>
      <c r="H17096">
        <v>10348685</v>
      </c>
      <c r="I17096">
        <v>56528813</v>
      </c>
      <c r="J17096">
        <v>3</v>
      </c>
    </row>
    <row r="17097" spans="1:10" x14ac:dyDescent="0.25">
      <c r="A17097" t="s">
        <v>180</v>
      </c>
      <c r="B17097" s="1" t="str">
        <f>HYPERLINK("http://hsbcusa.com","hsbcusa.com")</f>
        <v>hsbcusa.com</v>
      </c>
      <c r="C17097" t="s">
        <v>433</v>
      </c>
      <c r="F17097">
        <v>1.9977576541102702E-8</v>
      </c>
      <c r="G17097">
        <v>2662666</v>
      </c>
      <c r="H17097">
        <v>14221394</v>
      </c>
      <c r="I17097">
        <v>1684949</v>
      </c>
      <c r="J17097">
        <v>3</v>
      </c>
    </row>
    <row r="17098" spans="1:10" x14ac:dyDescent="0.25">
      <c r="A17098" t="s">
        <v>180</v>
      </c>
      <c r="B17098" s="1" t="str">
        <f>HYPERLINK("http://quantexa.com","quantexa.com")</f>
        <v>quantexa.com</v>
      </c>
      <c r="C17098" t="s">
        <v>433</v>
      </c>
      <c r="E17098">
        <v>783602</v>
      </c>
      <c r="F17098">
        <v>1.9575216046538099E-7</v>
      </c>
      <c r="G17098">
        <v>197016</v>
      </c>
      <c r="H17098">
        <v>16915858</v>
      </c>
      <c r="I17098">
        <v>130063</v>
      </c>
      <c r="J17098">
        <v>4</v>
      </c>
    </row>
    <row r="17099" spans="1:10" x14ac:dyDescent="0.25">
      <c r="A17099" t="s">
        <v>180</v>
      </c>
      <c r="B17099" s="1" t="str">
        <f>HYPERLINK("http://sabb.com","sabb.com")</f>
        <v>sabb.com</v>
      </c>
      <c r="C17099" t="s">
        <v>433</v>
      </c>
      <c r="E17099">
        <v>46515</v>
      </c>
      <c r="F17099">
        <v>1.24709494831907E-7</v>
      </c>
      <c r="G17099">
        <v>316415</v>
      </c>
      <c r="H17099">
        <v>14513894</v>
      </c>
      <c r="I17099">
        <v>816304</v>
      </c>
      <c r="J17099">
        <v>6</v>
      </c>
    </row>
    <row r="17100" spans="1:10" x14ac:dyDescent="0.25">
      <c r="A17100" t="s">
        <v>180</v>
      </c>
      <c r="B17100" s="1" t="str">
        <f>HYPERLINK("http://sabbtakaful.com","sabbtakaful.com")</f>
        <v>sabbtakaful.com</v>
      </c>
      <c r="C17100" t="s">
        <v>433</v>
      </c>
      <c r="F17100">
        <v>8.57419338111635E-9</v>
      </c>
      <c r="G17100">
        <v>8703480</v>
      </c>
      <c r="H17100">
        <v>12306075</v>
      </c>
      <c r="I17100">
        <v>20716418</v>
      </c>
      <c r="J17100">
        <v>6</v>
      </c>
    </row>
    <row r="17101" spans="1:10" x14ac:dyDescent="0.25">
      <c r="A17101" t="s">
        <v>180</v>
      </c>
      <c r="B17101" s="1" t="str">
        <f>HYPERLINK("http://seraitrade.com","seraitrade.com")</f>
        <v>seraitrade.com</v>
      </c>
      <c r="C17101" t="s">
        <v>433</v>
      </c>
      <c r="F17101">
        <v>3.51311068073199E-8</v>
      </c>
      <c r="G17101">
        <v>1479559</v>
      </c>
      <c r="H17101">
        <v>13766309</v>
      </c>
      <c r="I17101">
        <v>7016157</v>
      </c>
      <c r="J17101">
        <v>5</v>
      </c>
    </row>
    <row r="17102" spans="1:10" x14ac:dyDescent="0.25">
      <c r="A17102" t="s">
        <v>180</v>
      </c>
      <c r="B17102" s="1" t="str">
        <f>HYPERLINK("http://silverfixing.com","silverfixing.com")</f>
        <v>silverfixing.com</v>
      </c>
      <c r="C17102" t="s">
        <v>433</v>
      </c>
      <c r="F17102">
        <v>5.3341305979137002E-9</v>
      </c>
      <c r="G17102">
        <v>23011998</v>
      </c>
      <c r="H17102">
        <v>12868066</v>
      </c>
      <c r="I17102">
        <v>14135548</v>
      </c>
      <c r="J17102">
        <v>6</v>
      </c>
    </row>
    <row r="17103" spans="1:10" x14ac:dyDescent="0.25">
      <c r="A17103" t="s">
        <v>180</v>
      </c>
      <c r="B17103" s="1" t="str">
        <f>HYPERLINK("http://spd-svbank.com","spd-svbank.com")</f>
        <v>spd-svbank.com</v>
      </c>
      <c r="C17103" t="s">
        <v>433</v>
      </c>
      <c r="F17103">
        <v>5.9906974753814903E-9</v>
      </c>
      <c r="G17103">
        <v>16743405</v>
      </c>
      <c r="H17103">
        <v>12335208</v>
      </c>
      <c r="I17103">
        <v>20100560</v>
      </c>
      <c r="J17103">
        <v>9</v>
      </c>
    </row>
    <row r="17104" spans="1:10" x14ac:dyDescent="0.25">
      <c r="A17104" t="s">
        <v>180</v>
      </c>
      <c r="B17104" s="1" t="str">
        <f>HYPERLINK("http://svb.com","svb.com")</f>
        <v>svb.com</v>
      </c>
      <c r="C17104" t="s">
        <v>433</v>
      </c>
      <c r="E17104">
        <v>32686</v>
      </c>
      <c r="F17104">
        <v>1.88692192941788E-6</v>
      </c>
      <c r="G17104">
        <v>19716</v>
      </c>
      <c r="H17104">
        <v>17408166</v>
      </c>
      <c r="I17104">
        <v>18644</v>
      </c>
      <c r="J17104">
        <v>7</v>
      </c>
    </row>
    <row r="17105" spans="1:10" x14ac:dyDescent="0.25">
      <c r="A17105" t="s">
        <v>180</v>
      </c>
      <c r="B17105" s="1" t="str">
        <f>HYPERLINK("http://svbconnect.com","svbconnect.com")</f>
        <v>svbconnect.com</v>
      </c>
      <c r="C17105" t="s">
        <v>433</v>
      </c>
      <c r="E17105">
        <v>82876</v>
      </c>
      <c r="F17105">
        <v>8.1002664738818304E-9</v>
      </c>
      <c r="G17105">
        <v>9741069</v>
      </c>
      <c r="H17105">
        <v>12691146</v>
      </c>
      <c r="I17105">
        <v>15412769</v>
      </c>
      <c r="J17105">
        <v>8</v>
      </c>
    </row>
    <row r="17106" spans="1:10" x14ac:dyDescent="0.25">
      <c r="A17106" t="s">
        <v>180</v>
      </c>
      <c r="B17106" s="1" t="str">
        <f>HYPERLINK("http://svbleerink.com","svbleerink.com")</f>
        <v>svbleerink.com</v>
      </c>
      <c r="C17106" t="s">
        <v>433</v>
      </c>
      <c r="F17106">
        <v>4.1258822892395501E-8</v>
      </c>
      <c r="G17106">
        <v>1223836</v>
      </c>
      <c r="H17106">
        <v>13589382</v>
      </c>
      <c r="I17106">
        <v>9669649</v>
      </c>
      <c r="J17106">
        <v>10</v>
      </c>
    </row>
    <row r="17107" spans="1:10" x14ac:dyDescent="0.25">
      <c r="A17107" t="s">
        <v>180</v>
      </c>
      <c r="B17107" s="1" t="str">
        <f>HYPERLINK("http://svbsecurities.com","svbsecurities.com")</f>
        <v>svbsecurities.com</v>
      </c>
      <c r="C17107" t="s">
        <v>433</v>
      </c>
      <c r="E17107">
        <v>739639</v>
      </c>
      <c r="F17107">
        <v>7.2733814347066094E-8</v>
      </c>
      <c r="G17107">
        <v>579994</v>
      </c>
      <c r="H17107">
        <v>14001911</v>
      </c>
      <c r="I17107">
        <v>4010848</v>
      </c>
      <c r="J17107">
        <v>8</v>
      </c>
    </row>
    <row r="17108" spans="1:10" x14ac:dyDescent="0.25">
      <c r="A17108" t="s">
        <v>180</v>
      </c>
      <c r="B17108" s="1" t="str">
        <f>HYPERLINK("http://vaultexuk.com","vaultexuk.com")</f>
        <v>vaultexuk.com</v>
      </c>
      <c r="C17108" t="s">
        <v>433</v>
      </c>
      <c r="F17108">
        <v>1.2379506093430701E-8</v>
      </c>
      <c r="G17108">
        <v>4950577</v>
      </c>
      <c r="H17108">
        <v>12217993</v>
      </c>
      <c r="I17108">
        <v>22831986</v>
      </c>
      <c r="J17108">
        <v>4</v>
      </c>
    </row>
    <row r="17109" spans="1:10" x14ac:dyDescent="0.25">
      <c r="A17109" t="s">
        <v>180</v>
      </c>
      <c r="B17109" s="1" t="str">
        <f>HYPERLINK("http://vv1865.com","vv1865.com")</f>
        <v>vv1865.com</v>
      </c>
      <c r="C17109" t="s">
        <v>433</v>
      </c>
      <c r="E17109">
        <v>58929</v>
      </c>
      <c r="F17109">
        <v>9.1949149545645604E-9</v>
      </c>
      <c r="G17109">
        <v>7716792</v>
      </c>
      <c r="H17109">
        <v>12143459</v>
      </c>
      <c r="I17109">
        <v>24793132</v>
      </c>
      <c r="J17109">
        <v>2</v>
      </c>
    </row>
    <row r="17110" spans="1:10" x14ac:dyDescent="0.25">
      <c r="A17110" t="s">
        <v>180</v>
      </c>
      <c r="B17110" s="1" t="str">
        <f>HYPERLINK("http://wearemp.com","wearemp.com")</f>
        <v>wearemp.com</v>
      </c>
      <c r="C17110" t="s">
        <v>433</v>
      </c>
      <c r="J17110">
        <v>4</v>
      </c>
    </row>
    <row r="17111" spans="1:10" x14ac:dyDescent="0.25">
      <c r="A17111" t="s">
        <v>180</v>
      </c>
      <c r="B17111" s="1" t="str">
        <f>HYPERLINK("http://hsbc.cz","hsbc.cz")</f>
        <v>hsbc.cz</v>
      </c>
      <c r="C17111" t="s">
        <v>435</v>
      </c>
      <c r="D17111" t="s">
        <v>814</v>
      </c>
      <c r="F17111">
        <v>4.4717204156494103E-8</v>
      </c>
      <c r="G17111">
        <v>1058244</v>
      </c>
      <c r="H17111">
        <v>14130704</v>
      </c>
      <c r="I17111">
        <v>2024979</v>
      </c>
      <c r="J17111">
        <v>2</v>
      </c>
    </row>
    <row r="17112" spans="1:10" x14ac:dyDescent="0.25">
      <c r="A17112" t="s">
        <v>180</v>
      </c>
      <c r="B17112" s="1" t="str">
        <f>HYPERLINK("http://elysee-uhren.de","elysee-uhren.de")</f>
        <v>elysee-uhren.de</v>
      </c>
      <c r="C17112" t="s">
        <v>436</v>
      </c>
      <c r="D17112" t="s">
        <v>815</v>
      </c>
      <c r="F17112">
        <v>5.7764964537665497E-9</v>
      </c>
      <c r="G17112">
        <v>18273985</v>
      </c>
      <c r="H17112">
        <v>12782540</v>
      </c>
      <c r="I17112">
        <v>14733722</v>
      </c>
      <c r="J17112">
        <v>5</v>
      </c>
    </row>
    <row r="17113" spans="1:10" x14ac:dyDescent="0.25">
      <c r="A17113" t="s">
        <v>180</v>
      </c>
      <c r="B17113" s="1" t="str">
        <f>HYPERLINK("http://hsbc.de","hsbc.de")</f>
        <v>hsbc.de</v>
      </c>
      <c r="C17113" t="s">
        <v>436</v>
      </c>
      <c r="D17113" t="s">
        <v>815</v>
      </c>
      <c r="E17113">
        <v>245277</v>
      </c>
      <c r="F17113">
        <v>1.04345469736258E-7</v>
      </c>
      <c r="G17113">
        <v>384185</v>
      </c>
      <c r="H17113">
        <v>14327981</v>
      </c>
      <c r="I17113">
        <v>1325392</v>
      </c>
      <c r="J17113">
        <v>2</v>
      </c>
    </row>
    <row r="17114" spans="1:10" x14ac:dyDescent="0.25">
      <c r="A17114" t="s">
        <v>180</v>
      </c>
      <c r="B17114" s="1" t="str">
        <f>HYPERLINK("http://hsbc-report.de","hsbc-report.de")</f>
        <v>hsbc-report.de</v>
      </c>
      <c r="C17114" t="s">
        <v>436</v>
      </c>
      <c r="D17114" t="s">
        <v>815</v>
      </c>
      <c r="F17114">
        <v>4.44380996400719E-9</v>
      </c>
      <c r="G17114">
        <v>79633292</v>
      </c>
      <c r="H17114">
        <v>10351910</v>
      </c>
      <c r="I17114">
        <v>56138574</v>
      </c>
      <c r="J17114">
        <v>4</v>
      </c>
    </row>
    <row r="17115" spans="1:10" x14ac:dyDescent="0.25">
      <c r="A17115" t="s">
        <v>180</v>
      </c>
      <c r="B17115" s="1" t="str">
        <f>HYPERLINK("http://hsbc-transactionservices.de","hsbc-transactionservices.de")</f>
        <v>hsbc-transactionservices.de</v>
      </c>
      <c r="C17115" t="s">
        <v>436</v>
      </c>
      <c r="D17115" t="s">
        <v>815</v>
      </c>
      <c r="F17115">
        <v>9.8266978366653602E-9</v>
      </c>
      <c r="G17115">
        <v>6940590</v>
      </c>
      <c r="H17115">
        <v>11496131</v>
      </c>
      <c r="I17115">
        <v>30037071</v>
      </c>
      <c r="J17115">
        <v>3</v>
      </c>
    </row>
    <row r="17116" spans="1:10" x14ac:dyDescent="0.25">
      <c r="A17116" t="s">
        <v>180</v>
      </c>
      <c r="B17116" s="1" t="str">
        <f>HYPERLINK("http://hsbctrinkaus.de","hsbctrinkaus.de")</f>
        <v>hsbctrinkaus.de</v>
      </c>
      <c r="C17116" t="s">
        <v>436</v>
      </c>
      <c r="D17116" t="s">
        <v>815</v>
      </c>
      <c r="E17116">
        <v>929453</v>
      </c>
      <c r="F17116">
        <v>3.5763361502539201E-8</v>
      </c>
      <c r="G17116">
        <v>1456136</v>
      </c>
      <c r="H17116">
        <v>13565159</v>
      </c>
      <c r="I17116">
        <v>9820359</v>
      </c>
      <c r="J17116">
        <v>3</v>
      </c>
    </row>
    <row r="17117" spans="1:10" x14ac:dyDescent="0.25">
      <c r="A17117" t="s">
        <v>180</v>
      </c>
      <c r="B17117" s="1" t="str">
        <f>HYPERLINK("http://inka-kag.de","inka-kag.de")</f>
        <v>inka-kag.de</v>
      </c>
      <c r="C17117" t="s">
        <v>436</v>
      </c>
      <c r="D17117" t="s">
        <v>815</v>
      </c>
      <c r="E17117">
        <v>387922</v>
      </c>
      <c r="F17117">
        <v>2.69581785461252E-8</v>
      </c>
      <c r="G17117">
        <v>1908026</v>
      </c>
      <c r="H17117">
        <v>14078231</v>
      </c>
      <c r="I17117">
        <v>2850251</v>
      </c>
      <c r="J17117">
        <v>3</v>
      </c>
    </row>
    <row r="17118" spans="1:10" x14ac:dyDescent="0.25">
      <c r="A17118" t="s">
        <v>180</v>
      </c>
      <c r="B17118" s="1" t="str">
        <f>HYPERLINK("http://hsbc.dk","hsbc.dk")</f>
        <v>hsbc.dk</v>
      </c>
      <c r="C17118" t="s">
        <v>437</v>
      </c>
      <c r="D17118" t="s">
        <v>816</v>
      </c>
      <c r="F17118">
        <v>2.5630208747265501E-8</v>
      </c>
      <c r="G17118">
        <v>2011804</v>
      </c>
      <c r="H17118">
        <v>12341224</v>
      </c>
      <c r="I17118">
        <v>19977390</v>
      </c>
      <c r="J17118">
        <v>2</v>
      </c>
    </row>
    <row r="17119" spans="1:10" x14ac:dyDescent="0.25">
      <c r="A17119" t="s">
        <v>180</v>
      </c>
      <c r="B17119" s="1" t="str">
        <f>HYPERLINK("http://hsbc.com.eg","hsbc.com.eg")</f>
        <v>hsbc.com.eg</v>
      </c>
      <c r="C17119" t="s">
        <v>442</v>
      </c>
      <c r="D17119" t="s">
        <v>821</v>
      </c>
      <c r="E17119">
        <v>77111</v>
      </c>
      <c r="F17119">
        <v>3.83967532223473E-8</v>
      </c>
      <c r="G17119">
        <v>1344572</v>
      </c>
      <c r="H17119">
        <v>14167440</v>
      </c>
      <c r="I17119">
        <v>1815488</v>
      </c>
      <c r="J17119">
        <v>2</v>
      </c>
    </row>
    <row r="17120" spans="1:10" x14ac:dyDescent="0.25">
      <c r="A17120" t="s">
        <v>180</v>
      </c>
      <c r="B17120" s="1" t="str">
        <f>HYPERLINK("http://hsbc.es","hsbc.es")</f>
        <v>hsbc.es</v>
      </c>
      <c r="C17120" t="s">
        <v>443</v>
      </c>
      <c r="D17120" t="s">
        <v>822</v>
      </c>
      <c r="F17120">
        <v>3.7003551639582301E-8</v>
      </c>
      <c r="G17120">
        <v>1402082</v>
      </c>
      <c r="H17120">
        <v>14124849</v>
      </c>
      <c r="I17120">
        <v>2134696</v>
      </c>
      <c r="J17120">
        <v>2</v>
      </c>
    </row>
    <row r="17121" spans="1:10" x14ac:dyDescent="0.25">
      <c r="A17121" t="s">
        <v>180</v>
      </c>
      <c r="B17121" s="1" t="str">
        <f>HYPERLINK("http://quantexa.fi","quantexa.fi")</f>
        <v>quantexa.fi</v>
      </c>
      <c r="C17121" t="s">
        <v>445</v>
      </c>
      <c r="D17121" t="s">
        <v>823</v>
      </c>
      <c r="J17121">
        <v>5</v>
      </c>
    </row>
    <row r="17122" spans="1:10" x14ac:dyDescent="0.25">
      <c r="A17122" t="s">
        <v>180</v>
      </c>
      <c r="B17122" s="1" t="str">
        <f>HYPERLINK("http://hsbc.fr","hsbc.fr")</f>
        <v>hsbc.fr</v>
      </c>
      <c r="C17122" t="s">
        <v>446</v>
      </c>
      <c r="D17122" t="s">
        <v>824</v>
      </c>
      <c r="E17122">
        <v>113327</v>
      </c>
      <c r="F17122">
        <v>2.36123650942967E-7</v>
      </c>
      <c r="G17122">
        <v>158647</v>
      </c>
      <c r="H17122">
        <v>14563170</v>
      </c>
      <c r="I17122">
        <v>742959</v>
      </c>
      <c r="J17122">
        <v>2</v>
      </c>
    </row>
    <row r="17123" spans="1:10" x14ac:dyDescent="0.25">
      <c r="A17123" t="s">
        <v>180</v>
      </c>
      <c r="B17123" s="1" t="str">
        <f>HYPERLINK("http://hsbc.gr","hsbc.gr")</f>
        <v>hsbc.gr</v>
      </c>
      <c r="C17123" t="s">
        <v>447</v>
      </c>
      <c r="D17123" t="s">
        <v>825</v>
      </c>
      <c r="E17123">
        <v>936904</v>
      </c>
      <c r="F17123">
        <v>5.2840333123124298E-8</v>
      </c>
      <c r="G17123">
        <v>862221</v>
      </c>
      <c r="H17123">
        <v>14128401</v>
      </c>
      <c r="I17123">
        <v>2062014</v>
      </c>
      <c r="J17123">
        <v>2</v>
      </c>
    </row>
    <row r="17124" spans="1:10" x14ac:dyDescent="0.25">
      <c r="A17124" t="s">
        <v>180</v>
      </c>
      <c r="B17124" s="1" t="str">
        <f>HYPERLINK("http://hangseng.com.hk","hangseng.com.hk")</f>
        <v>hangseng.com.hk</v>
      </c>
      <c r="C17124" t="s">
        <v>450</v>
      </c>
      <c r="D17124" t="s">
        <v>827</v>
      </c>
      <c r="F17124">
        <v>6.8306785192858799E-9</v>
      </c>
      <c r="G17124">
        <v>12860182</v>
      </c>
      <c r="H17124">
        <v>12822543</v>
      </c>
      <c r="I17124">
        <v>14489368</v>
      </c>
      <c r="J17124">
        <v>2</v>
      </c>
    </row>
    <row r="17125" spans="1:10" x14ac:dyDescent="0.25">
      <c r="A17125" t="s">
        <v>180</v>
      </c>
      <c r="B17125" s="1" t="str">
        <f>HYPERLINK("http://hangsengbank.com.hk","hangsengbank.com.hk")</f>
        <v>hangsengbank.com.hk</v>
      </c>
      <c r="C17125" t="s">
        <v>450</v>
      </c>
      <c r="D17125" t="s">
        <v>827</v>
      </c>
      <c r="F17125">
        <v>6.3075586931671698E-9</v>
      </c>
      <c r="G17125">
        <v>14995171</v>
      </c>
      <c r="H17125">
        <v>12826729</v>
      </c>
      <c r="I17125">
        <v>14455359</v>
      </c>
      <c r="J17125">
        <v>2</v>
      </c>
    </row>
    <row r="17126" spans="1:10" x14ac:dyDescent="0.25">
      <c r="A17126" t="s">
        <v>180</v>
      </c>
      <c r="B17126" s="1" t="str">
        <f>HYPERLINK("http://hsbc.com.hk","hsbc.com.hk")</f>
        <v>hsbc.com.hk</v>
      </c>
      <c r="C17126" t="s">
        <v>450</v>
      </c>
      <c r="D17126" t="s">
        <v>827</v>
      </c>
      <c r="E17126">
        <v>6997</v>
      </c>
      <c r="F17126">
        <v>1.0213566149422001E-6</v>
      </c>
      <c r="G17126">
        <v>37493</v>
      </c>
      <c r="H17126">
        <v>15627683</v>
      </c>
      <c r="I17126">
        <v>371314</v>
      </c>
      <c r="J17126">
        <v>2</v>
      </c>
    </row>
    <row r="17127" spans="1:10" x14ac:dyDescent="0.25">
      <c r="A17127" t="s">
        <v>180</v>
      </c>
      <c r="B17127" s="1" t="str">
        <f>HYPERLINK("http://hsbcadvance.com.hk","hsbcadvance.com.hk")</f>
        <v>hsbcadvance.com.hk</v>
      </c>
      <c r="C17127" t="s">
        <v>450</v>
      </c>
      <c r="D17127" t="s">
        <v>827</v>
      </c>
      <c r="J17127">
        <v>2</v>
      </c>
    </row>
    <row r="17128" spans="1:10" x14ac:dyDescent="0.25">
      <c r="A17128" t="s">
        <v>180</v>
      </c>
      <c r="B17128" s="1" t="str">
        <f>HYPERLINK("http://hsbcpremier.com.hk","hsbcpremier.com.hk")</f>
        <v>hsbcpremier.com.hk</v>
      </c>
      <c r="C17128" t="s">
        <v>450</v>
      </c>
      <c r="D17128" t="s">
        <v>827</v>
      </c>
      <c r="J17128">
        <v>2</v>
      </c>
    </row>
    <row r="17129" spans="1:10" x14ac:dyDescent="0.25">
      <c r="A17129" t="s">
        <v>180</v>
      </c>
      <c r="B17129" s="1" t="str">
        <f>HYPERLINK("http://hsi.com.hk","hsi.com.hk")</f>
        <v>hsi.com.hk</v>
      </c>
      <c r="C17129" t="s">
        <v>450</v>
      </c>
      <c r="D17129" t="s">
        <v>827</v>
      </c>
      <c r="E17129">
        <v>238556</v>
      </c>
      <c r="F17129">
        <v>5.0154876440208099E-7</v>
      </c>
      <c r="G17129">
        <v>76224</v>
      </c>
      <c r="H17129">
        <v>14970331</v>
      </c>
      <c r="I17129">
        <v>434060</v>
      </c>
      <c r="J17129">
        <v>3</v>
      </c>
    </row>
    <row r="17130" spans="1:10" x14ac:dyDescent="0.25">
      <c r="A17130" t="s">
        <v>180</v>
      </c>
      <c r="B17130" s="1" t="str">
        <f>HYPERLINK("http://hsbc.hk","hsbc.hk")</f>
        <v>hsbc.hk</v>
      </c>
      <c r="C17130" t="s">
        <v>450</v>
      </c>
      <c r="D17130" t="s">
        <v>827</v>
      </c>
      <c r="F17130">
        <v>4.5358047850811201E-9</v>
      </c>
      <c r="G17130">
        <v>53840969</v>
      </c>
      <c r="H17130">
        <v>12115519</v>
      </c>
      <c r="I17130">
        <v>25593662</v>
      </c>
      <c r="J17130">
        <v>2</v>
      </c>
    </row>
    <row r="17131" spans="1:10" x14ac:dyDescent="0.25">
      <c r="A17131" t="s">
        <v>180</v>
      </c>
      <c r="B17131" s="1" t="str">
        <f>HYPERLINK("http://hsbcadvance.hk","hsbcadvance.hk")</f>
        <v>hsbcadvance.hk</v>
      </c>
      <c r="C17131" t="s">
        <v>450</v>
      </c>
      <c r="D17131" t="s">
        <v>827</v>
      </c>
      <c r="J17131">
        <v>2</v>
      </c>
    </row>
    <row r="17132" spans="1:10" x14ac:dyDescent="0.25">
      <c r="A17132" t="s">
        <v>180</v>
      </c>
      <c r="B17132" s="1" t="str">
        <f>HYPERLINK("http://evolve.hsbc","evolve.hsbc")</f>
        <v>evolve.hsbc</v>
      </c>
      <c r="C17132" t="s">
        <v>764</v>
      </c>
      <c r="F17132">
        <v>7.5682228859145008E-9</v>
      </c>
      <c r="G17132">
        <v>10867568</v>
      </c>
      <c r="H17132">
        <v>12279830</v>
      </c>
      <c r="I17132">
        <v>21308041</v>
      </c>
      <c r="J17132">
        <v>2</v>
      </c>
    </row>
    <row r="17133" spans="1:10" x14ac:dyDescent="0.25">
      <c r="A17133" t="s">
        <v>180</v>
      </c>
      <c r="B17133" s="1" t="str">
        <f>HYPERLINK("http://bankekonomi.co.id","bankekonomi.co.id")</f>
        <v>bankekonomi.co.id</v>
      </c>
      <c r="C17133" t="s">
        <v>454</v>
      </c>
      <c r="D17133" t="s">
        <v>831</v>
      </c>
      <c r="F17133">
        <v>7.2397173517664201E-9</v>
      </c>
      <c r="G17133">
        <v>11632205</v>
      </c>
      <c r="H17133">
        <v>14237836</v>
      </c>
      <c r="I17133">
        <v>1539360</v>
      </c>
      <c r="J17133">
        <v>3</v>
      </c>
    </row>
    <row r="17134" spans="1:10" x14ac:dyDescent="0.25">
      <c r="A17134" t="s">
        <v>180</v>
      </c>
      <c r="B17134" s="1" t="str">
        <f>HYPERLINK("http://hsbc.co.id","hsbc.co.id")</f>
        <v>hsbc.co.id</v>
      </c>
      <c r="C17134" t="s">
        <v>454</v>
      </c>
      <c r="D17134" t="s">
        <v>831</v>
      </c>
      <c r="E17134">
        <v>235402</v>
      </c>
      <c r="F17134">
        <v>1.89350208258413E-7</v>
      </c>
      <c r="G17134">
        <v>203498</v>
      </c>
      <c r="H17134">
        <v>14831930</v>
      </c>
      <c r="I17134">
        <v>504563</v>
      </c>
      <c r="J17134">
        <v>2</v>
      </c>
    </row>
    <row r="17135" spans="1:10" x14ac:dyDescent="0.25">
      <c r="A17135" t="s">
        <v>180</v>
      </c>
      <c r="B17135" s="1" t="str">
        <f>HYPERLINK("http://hsbc.ie","hsbc.ie")</f>
        <v>hsbc.ie</v>
      </c>
      <c r="C17135" t="s">
        <v>455</v>
      </c>
      <c r="D17135" t="s">
        <v>832</v>
      </c>
      <c r="F17135">
        <v>1.7359295344681901E-8</v>
      </c>
      <c r="G17135">
        <v>3184840</v>
      </c>
      <c r="H17135">
        <v>12998133</v>
      </c>
      <c r="I17135">
        <v>12807098</v>
      </c>
      <c r="J17135">
        <v>2</v>
      </c>
    </row>
    <row r="17136" spans="1:10" x14ac:dyDescent="0.25">
      <c r="A17136" t="s">
        <v>180</v>
      </c>
      <c r="B17136" s="1" t="str">
        <f>HYPERLINK("http://hsbc.co.il","hsbc.co.il")</f>
        <v>hsbc.co.il</v>
      </c>
      <c r="C17136" t="s">
        <v>456</v>
      </c>
      <c r="D17136" t="s">
        <v>833</v>
      </c>
      <c r="F17136">
        <v>1.0118005034648099E-8</v>
      </c>
      <c r="G17136">
        <v>6629106</v>
      </c>
      <c r="H17136">
        <v>14386502</v>
      </c>
      <c r="I17136">
        <v>1177177</v>
      </c>
      <c r="J17136">
        <v>2</v>
      </c>
    </row>
    <row r="17137" spans="1:10" x14ac:dyDescent="0.25">
      <c r="A17137" t="s">
        <v>180</v>
      </c>
      <c r="B17137" s="1" t="str">
        <f>HYPERLINK("http://hsbc.co.in","hsbc.co.in")</f>
        <v>hsbc.co.in</v>
      </c>
      <c r="C17137" t="s">
        <v>457</v>
      </c>
      <c r="D17137" t="s">
        <v>834</v>
      </c>
      <c r="E17137">
        <v>47938</v>
      </c>
      <c r="F17137">
        <v>2.4754634921153701E-7</v>
      </c>
      <c r="G17137">
        <v>151129</v>
      </c>
      <c r="H17137">
        <v>14395946</v>
      </c>
      <c r="I17137">
        <v>1159853</v>
      </c>
      <c r="J17137">
        <v>2</v>
      </c>
    </row>
    <row r="17138" spans="1:10" x14ac:dyDescent="0.25">
      <c r="A17138" t="s">
        <v>180</v>
      </c>
      <c r="B17138" s="1" t="str">
        <f>HYPERLINK("http://hsbcadvance.co.in","hsbcadvance.co.in")</f>
        <v>hsbcadvance.co.in</v>
      </c>
      <c r="C17138" t="s">
        <v>457</v>
      </c>
      <c r="D17138" t="s">
        <v>834</v>
      </c>
      <c r="J17138">
        <v>2</v>
      </c>
    </row>
    <row r="17139" spans="1:10" x14ac:dyDescent="0.25">
      <c r="A17139" t="s">
        <v>180</v>
      </c>
      <c r="B17139" s="1" t="str">
        <f>HYPERLINK("http://hsbcadvance.in","hsbcadvance.in")</f>
        <v>hsbcadvance.in</v>
      </c>
      <c r="C17139" t="s">
        <v>457</v>
      </c>
      <c r="D17139" t="s">
        <v>834</v>
      </c>
      <c r="J17139">
        <v>2</v>
      </c>
    </row>
    <row r="17140" spans="1:10" x14ac:dyDescent="0.25">
      <c r="A17140" t="s">
        <v>180</v>
      </c>
      <c r="B17140" s="1" t="str">
        <f>HYPERLINK("http://hsbc.it","hsbc.it")</f>
        <v>hsbc.it</v>
      </c>
      <c r="C17140" t="s">
        <v>459</v>
      </c>
      <c r="D17140" t="s">
        <v>835</v>
      </c>
      <c r="F17140">
        <v>2.9261038049332799E-8</v>
      </c>
      <c r="G17140">
        <v>1760540</v>
      </c>
      <c r="H17140">
        <v>12949853</v>
      </c>
      <c r="I17140">
        <v>13212938</v>
      </c>
      <c r="J17140">
        <v>2</v>
      </c>
    </row>
    <row r="17141" spans="1:10" x14ac:dyDescent="0.25">
      <c r="A17141" t="s">
        <v>180</v>
      </c>
      <c r="B17141" s="1" t="str">
        <f>HYPERLINK("http://hsbc.jo","hsbc.jo")</f>
        <v>hsbc.jo</v>
      </c>
      <c r="C17141" t="s">
        <v>519</v>
      </c>
      <c r="D17141" t="s">
        <v>889</v>
      </c>
      <c r="F17141">
        <v>8.9741533684760301E-9</v>
      </c>
      <c r="G17141">
        <v>8030453</v>
      </c>
      <c r="H17141">
        <v>12292638</v>
      </c>
      <c r="I17141">
        <v>21046576</v>
      </c>
      <c r="J17141">
        <v>3</v>
      </c>
    </row>
    <row r="17142" spans="1:10" x14ac:dyDescent="0.25">
      <c r="A17142" t="s">
        <v>180</v>
      </c>
      <c r="B17142" s="1" t="str">
        <f>HYPERLINK("http://hsbc.co.jp","hsbc.co.jp")</f>
        <v>hsbc.co.jp</v>
      </c>
      <c r="C17142" t="s">
        <v>461</v>
      </c>
      <c r="D17142" t="s">
        <v>837</v>
      </c>
      <c r="F17142">
        <v>5.1697568312974702E-8</v>
      </c>
      <c r="G17142">
        <v>884217</v>
      </c>
      <c r="H17142">
        <v>14533022</v>
      </c>
      <c r="I17142">
        <v>783670</v>
      </c>
      <c r="J17142">
        <v>2</v>
      </c>
    </row>
    <row r="17143" spans="1:10" x14ac:dyDescent="0.25">
      <c r="A17143" t="s">
        <v>180</v>
      </c>
      <c r="B17143" s="1" t="str">
        <f>HYPERLINK("http://hsbc.co.kr","hsbc.co.kr")</f>
        <v>hsbc.co.kr</v>
      </c>
      <c r="C17143" t="s">
        <v>463</v>
      </c>
      <c r="D17143" t="s">
        <v>839</v>
      </c>
      <c r="F17143">
        <v>3.0276422326410798E-8</v>
      </c>
      <c r="G17143">
        <v>1700023</v>
      </c>
      <c r="H17143">
        <v>14079261</v>
      </c>
      <c r="I17143">
        <v>2834977</v>
      </c>
      <c r="J17143">
        <v>2</v>
      </c>
    </row>
    <row r="17144" spans="1:10" x14ac:dyDescent="0.25">
      <c r="A17144" t="s">
        <v>180</v>
      </c>
      <c r="B17144" s="1" t="str">
        <f>HYPERLINK("http://hsbc.com.kw","hsbc.com.kw")</f>
        <v>hsbc.com.kw</v>
      </c>
      <c r="C17144" t="s">
        <v>464</v>
      </c>
      <c r="D17144" t="s">
        <v>840</v>
      </c>
      <c r="F17144">
        <v>2.6586907285242099E-8</v>
      </c>
      <c r="G17144">
        <v>1936267</v>
      </c>
      <c r="H17144">
        <v>12638745</v>
      </c>
      <c r="I17144">
        <v>15885404</v>
      </c>
      <c r="J17144">
        <v>2</v>
      </c>
    </row>
    <row r="17145" spans="1:10" x14ac:dyDescent="0.25">
      <c r="A17145" t="s">
        <v>180</v>
      </c>
      <c r="B17145" s="1" t="str">
        <f>HYPERLINK("http://hsbc.com.lk","hsbc.com.lk")</f>
        <v>hsbc.com.lk</v>
      </c>
      <c r="C17145" t="s">
        <v>466</v>
      </c>
      <c r="D17145" t="s">
        <v>842</v>
      </c>
      <c r="F17145">
        <v>8.6948886345768299E-9</v>
      </c>
      <c r="G17145">
        <v>8486421</v>
      </c>
      <c r="H17145">
        <v>12067129</v>
      </c>
      <c r="I17145">
        <v>26849436</v>
      </c>
      <c r="J17145">
        <v>2</v>
      </c>
    </row>
    <row r="17146" spans="1:10" x14ac:dyDescent="0.25">
      <c r="A17146" t="s">
        <v>180</v>
      </c>
      <c r="B17146" s="1" t="str">
        <f>HYPERLINK("http://hsbcadvance.com.lk","hsbcadvance.com.lk")</f>
        <v>hsbcadvance.com.lk</v>
      </c>
      <c r="C17146" t="s">
        <v>466</v>
      </c>
      <c r="D17146" t="s">
        <v>842</v>
      </c>
      <c r="J17146">
        <v>2</v>
      </c>
    </row>
    <row r="17147" spans="1:10" x14ac:dyDescent="0.25">
      <c r="A17147" t="s">
        <v>180</v>
      </c>
      <c r="B17147" s="1" t="str">
        <f>HYPERLINK("http://hsbc.lk","hsbc.lk")</f>
        <v>hsbc.lk</v>
      </c>
      <c r="C17147" t="s">
        <v>466</v>
      </c>
      <c r="D17147" t="s">
        <v>842</v>
      </c>
      <c r="E17147">
        <v>189265</v>
      </c>
      <c r="F17147">
        <v>3.2871839784308599E-8</v>
      </c>
      <c r="G17147">
        <v>1571674</v>
      </c>
      <c r="H17147">
        <v>13776604</v>
      </c>
      <c r="I17147">
        <v>6551964</v>
      </c>
      <c r="J17147">
        <v>2</v>
      </c>
    </row>
    <row r="17148" spans="1:10" x14ac:dyDescent="0.25">
      <c r="A17148" t="s">
        <v>180</v>
      </c>
      <c r="B17148" s="1" t="str">
        <f>HYPERLINK("http://hsbcadvance.lk","hsbcadvance.lk")</f>
        <v>hsbcadvance.lk</v>
      </c>
      <c r="C17148" t="s">
        <v>466</v>
      </c>
      <c r="D17148" t="s">
        <v>842</v>
      </c>
      <c r="J17148">
        <v>2</v>
      </c>
    </row>
    <row r="17149" spans="1:10" x14ac:dyDescent="0.25">
      <c r="A17149" t="s">
        <v>180</v>
      </c>
      <c r="B17149" s="1" t="str">
        <f>HYPERLINK("http://hsbcpremier.lk","hsbcpremier.lk")</f>
        <v>hsbcpremier.lk</v>
      </c>
      <c r="C17149" t="s">
        <v>466</v>
      </c>
      <c r="D17149" t="s">
        <v>842</v>
      </c>
      <c r="F17149">
        <v>4.4649566661766501E-9</v>
      </c>
      <c r="G17149">
        <v>66274343</v>
      </c>
      <c r="H17149">
        <v>9582413</v>
      </c>
      <c r="I17149">
        <v>64596500</v>
      </c>
      <c r="J17149">
        <v>2</v>
      </c>
    </row>
    <row r="17150" spans="1:10" x14ac:dyDescent="0.25">
      <c r="A17150" t="s">
        <v>180</v>
      </c>
      <c r="B17150" s="1" t="str">
        <f>HYPERLINK("http://hsbc.lu","hsbc.lu")</f>
        <v>hsbc.lu</v>
      </c>
      <c r="C17150" t="s">
        <v>547</v>
      </c>
      <c r="D17150" t="s">
        <v>904</v>
      </c>
      <c r="F17150">
        <v>3.8019915840828902E-8</v>
      </c>
      <c r="G17150">
        <v>1361186</v>
      </c>
      <c r="H17150">
        <v>14074701</v>
      </c>
      <c r="I17150">
        <v>2932501</v>
      </c>
      <c r="J17150">
        <v>2</v>
      </c>
    </row>
    <row r="17151" spans="1:10" x14ac:dyDescent="0.25">
      <c r="A17151" t="s">
        <v>180</v>
      </c>
      <c r="B17151" s="1" t="str">
        <f>HYPERLINK("http://hsbctrinkaus.lu","hsbctrinkaus.lu")</f>
        <v>hsbctrinkaus.lu</v>
      </c>
      <c r="C17151" t="s">
        <v>547</v>
      </c>
      <c r="D17151" t="s">
        <v>904</v>
      </c>
      <c r="F17151">
        <v>4.90496790968936E-9</v>
      </c>
      <c r="G17151">
        <v>32323481</v>
      </c>
      <c r="H17151">
        <v>10801726</v>
      </c>
      <c r="I17151">
        <v>38109487</v>
      </c>
      <c r="J17151">
        <v>3</v>
      </c>
    </row>
    <row r="17152" spans="1:10" x14ac:dyDescent="0.25">
      <c r="A17152" t="s">
        <v>180</v>
      </c>
      <c r="B17152" s="1" t="str">
        <f>HYPERLINK("http://hsbc.com.mo","hsbc.com.mo")</f>
        <v>hsbc.com.mo</v>
      </c>
      <c r="C17152" t="s">
        <v>548</v>
      </c>
      <c r="D17152" t="s">
        <v>905</v>
      </c>
      <c r="F17152">
        <v>2.8633020068189099E-8</v>
      </c>
      <c r="G17152">
        <v>1797165</v>
      </c>
      <c r="H17152">
        <v>14075488</v>
      </c>
      <c r="I17152">
        <v>2907888</v>
      </c>
      <c r="J17152">
        <v>2</v>
      </c>
    </row>
    <row r="17153" spans="1:10" x14ac:dyDescent="0.25">
      <c r="A17153" t="s">
        <v>180</v>
      </c>
      <c r="B17153" s="1" t="str">
        <f>HYPERLINK("http://hsbc.com.mt","hsbc.com.mt")</f>
        <v>hsbc.com.mt</v>
      </c>
      <c r="C17153" t="s">
        <v>597</v>
      </c>
      <c r="D17153" t="s">
        <v>932</v>
      </c>
      <c r="E17153">
        <v>596894</v>
      </c>
      <c r="F17153">
        <v>7.0053019500447197E-8</v>
      </c>
      <c r="G17153">
        <v>604826</v>
      </c>
      <c r="H17153">
        <v>14057756</v>
      </c>
      <c r="I17153">
        <v>3888716</v>
      </c>
      <c r="J17153">
        <v>2</v>
      </c>
    </row>
    <row r="17154" spans="1:10" x14ac:dyDescent="0.25">
      <c r="A17154" t="s">
        <v>180</v>
      </c>
      <c r="B17154" s="1" t="str">
        <f>HYPERLINK("http://hsbc.co.mu","hsbc.co.mu")</f>
        <v>hsbc.co.mu</v>
      </c>
      <c r="C17154" t="s">
        <v>572</v>
      </c>
      <c r="D17154" t="s">
        <v>919</v>
      </c>
      <c r="F17154">
        <v>2.3242302974555701E-8</v>
      </c>
      <c r="G17154">
        <v>2245114</v>
      </c>
      <c r="H17154">
        <v>12973725</v>
      </c>
      <c r="I17154">
        <v>13024242</v>
      </c>
      <c r="J17154">
        <v>2</v>
      </c>
    </row>
    <row r="17155" spans="1:10" x14ac:dyDescent="0.25">
      <c r="A17155" t="s">
        <v>180</v>
      </c>
      <c r="B17155" s="1" t="str">
        <f>HYPERLINK("http://hsbc.com.mx","hsbc.com.mx")</f>
        <v>hsbc.com.mx</v>
      </c>
      <c r="C17155" t="s">
        <v>471</v>
      </c>
      <c r="D17155" t="s">
        <v>847</v>
      </c>
      <c r="E17155">
        <v>31034</v>
      </c>
      <c r="F17155">
        <v>1.8917355109209401E-7</v>
      </c>
      <c r="G17155">
        <v>203691</v>
      </c>
      <c r="H17155">
        <v>15342748</v>
      </c>
      <c r="I17155">
        <v>383249</v>
      </c>
      <c r="J17155">
        <v>2</v>
      </c>
    </row>
    <row r="17156" spans="1:10" x14ac:dyDescent="0.25">
      <c r="A17156" t="s">
        <v>180</v>
      </c>
      <c r="B17156" s="1" t="str">
        <f>HYPERLINK("http://fidoc.gob.mx","fidoc.gob.mx")</f>
        <v>fidoc.gob.mx</v>
      </c>
      <c r="C17156" t="s">
        <v>471</v>
      </c>
      <c r="D17156" t="s">
        <v>847</v>
      </c>
      <c r="F17156">
        <v>4.88554587638602E-9</v>
      </c>
      <c r="G17156">
        <v>32904584</v>
      </c>
      <c r="H17156">
        <v>10917813</v>
      </c>
      <c r="I17156">
        <v>35455853</v>
      </c>
      <c r="J17156">
        <v>4</v>
      </c>
    </row>
    <row r="17157" spans="1:10" x14ac:dyDescent="0.25">
      <c r="A17157" t="s">
        <v>180</v>
      </c>
      <c r="B17157" s="1" t="str">
        <f>HYPERLINK("http://hsbc.mx","hsbc.mx")</f>
        <v>hsbc.mx</v>
      </c>
      <c r="C17157" t="s">
        <v>471</v>
      </c>
      <c r="D17157" t="s">
        <v>847</v>
      </c>
      <c r="F17157">
        <v>4.4444225092955602E-9</v>
      </c>
      <c r="G17157">
        <v>76793002</v>
      </c>
      <c r="H17157">
        <v>10604661</v>
      </c>
      <c r="I17157">
        <v>44721556</v>
      </c>
      <c r="J17157">
        <v>3</v>
      </c>
    </row>
    <row r="17158" spans="1:10" x14ac:dyDescent="0.25">
      <c r="A17158" t="s">
        <v>180</v>
      </c>
      <c r="B17158" s="1" t="str">
        <f>HYPERLINK("http://hsbc.com.my","hsbc.com.my")</f>
        <v>hsbc.com.my</v>
      </c>
      <c r="C17158" t="s">
        <v>472</v>
      </c>
      <c r="D17158" t="s">
        <v>848</v>
      </c>
      <c r="E17158">
        <v>91740</v>
      </c>
      <c r="F17158">
        <v>1.5624973868012999E-7</v>
      </c>
      <c r="G17158">
        <v>248558</v>
      </c>
      <c r="H17158">
        <v>14588776</v>
      </c>
      <c r="I17158">
        <v>697582</v>
      </c>
      <c r="J17158">
        <v>2</v>
      </c>
    </row>
    <row r="17159" spans="1:10" x14ac:dyDescent="0.25">
      <c r="A17159" t="s">
        <v>180</v>
      </c>
      <c r="B17159" s="1" t="str">
        <f>HYPERLINK("http://hsbcadvance.com.my","hsbcadvance.com.my")</f>
        <v>hsbcadvance.com.my</v>
      </c>
      <c r="C17159" t="s">
        <v>472</v>
      </c>
      <c r="D17159" t="s">
        <v>848</v>
      </c>
      <c r="J17159">
        <v>2</v>
      </c>
    </row>
    <row r="17160" spans="1:10" x14ac:dyDescent="0.25">
      <c r="A17160" t="s">
        <v>180</v>
      </c>
      <c r="B17160" s="1" t="str">
        <f>HYPERLINK("http://hsbcamanah.com.my","hsbcamanah.com.my")</f>
        <v>hsbcamanah.com.my</v>
      </c>
      <c r="C17160" t="s">
        <v>472</v>
      </c>
      <c r="D17160" t="s">
        <v>848</v>
      </c>
      <c r="F17160">
        <v>2.87300041634419E-8</v>
      </c>
      <c r="G17160">
        <v>1791394</v>
      </c>
      <c r="H17160">
        <v>13792657</v>
      </c>
      <c r="I17160">
        <v>6328209</v>
      </c>
      <c r="J17160">
        <v>2</v>
      </c>
    </row>
    <row r="17161" spans="1:10" x14ac:dyDescent="0.25">
      <c r="A17161" t="s">
        <v>180</v>
      </c>
      <c r="B17161" s="1" t="str">
        <f>HYPERLINK("http://hsbcpremier.com.my","hsbcpremier.com.my")</f>
        <v>hsbcpremier.com.my</v>
      </c>
      <c r="C17161" t="s">
        <v>472</v>
      </c>
      <c r="D17161" t="s">
        <v>848</v>
      </c>
      <c r="J17161">
        <v>2</v>
      </c>
    </row>
    <row r="17162" spans="1:10" x14ac:dyDescent="0.25">
      <c r="A17162" t="s">
        <v>180</v>
      </c>
      <c r="B17162" s="1" t="str">
        <f>HYPERLINK("http://hsbc.my","hsbc.my")</f>
        <v>hsbc.my</v>
      </c>
      <c r="C17162" t="s">
        <v>472</v>
      </c>
      <c r="D17162" t="s">
        <v>848</v>
      </c>
      <c r="J17162">
        <v>2</v>
      </c>
    </row>
    <row r="17163" spans="1:10" x14ac:dyDescent="0.25">
      <c r="A17163" t="s">
        <v>180</v>
      </c>
      <c r="B17163" s="1" t="str">
        <f>HYPERLINK("http://hsbcadvance.my","hsbcadvance.my")</f>
        <v>hsbcadvance.my</v>
      </c>
      <c r="C17163" t="s">
        <v>472</v>
      </c>
      <c r="D17163" t="s">
        <v>848</v>
      </c>
      <c r="J17163">
        <v>2</v>
      </c>
    </row>
    <row r="17164" spans="1:10" x14ac:dyDescent="0.25">
      <c r="A17164" t="s">
        <v>180</v>
      </c>
      <c r="B17164" s="1" t="str">
        <f>HYPERLINK("http://hsbcamanah.my","hsbcamanah.my")</f>
        <v>hsbcamanah.my</v>
      </c>
      <c r="C17164" t="s">
        <v>472</v>
      </c>
      <c r="D17164" t="s">
        <v>848</v>
      </c>
      <c r="J17164">
        <v>2</v>
      </c>
    </row>
    <row r="17165" spans="1:10" x14ac:dyDescent="0.25">
      <c r="A17165" t="s">
        <v>180</v>
      </c>
      <c r="B17165" s="1" t="str">
        <f>HYPERLINK("http://byodmobile1865.net","byodmobile1865.net")</f>
        <v>byodmobile1865.net</v>
      </c>
      <c r="C17165" t="s">
        <v>474</v>
      </c>
      <c r="J17165">
        <v>2</v>
      </c>
    </row>
    <row r="17166" spans="1:10" x14ac:dyDescent="0.25">
      <c r="A17166" t="s">
        <v>180</v>
      </c>
      <c r="B17166" s="1" t="str">
        <f>HYPERLINK("http://seraitrade.net","seraitrade.net")</f>
        <v>seraitrade.net</v>
      </c>
      <c r="C17166" t="s">
        <v>474</v>
      </c>
      <c r="F17166">
        <v>4.7502812823539701E-9</v>
      </c>
      <c r="G17166">
        <v>38312316</v>
      </c>
      <c r="H17166">
        <v>10717044</v>
      </c>
      <c r="I17166">
        <v>42053971</v>
      </c>
      <c r="J17166">
        <v>6</v>
      </c>
    </row>
    <row r="17167" spans="1:10" x14ac:dyDescent="0.25">
      <c r="A17167" t="s">
        <v>180</v>
      </c>
      <c r="B17167" s="1" t="str">
        <f>HYPERLINK("http://hsbc.nl","hsbc.nl")</f>
        <v>hsbc.nl</v>
      </c>
      <c r="C17167" t="s">
        <v>477</v>
      </c>
      <c r="D17167" t="s">
        <v>852</v>
      </c>
      <c r="F17167">
        <v>2.8507434277462398E-8</v>
      </c>
      <c r="G17167">
        <v>1805593</v>
      </c>
      <c r="H17167">
        <v>12545584</v>
      </c>
      <c r="I17167">
        <v>16864874</v>
      </c>
      <c r="J17167">
        <v>2</v>
      </c>
    </row>
    <row r="17168" spans="1:10" x14ac:dyDescent="0.25">
      <c r="A17168" t="s">
        <v>180</v>
      </c>
      <c r="B17168" s="1" t="str">
        <f>HYPERLINK("http://hsbc.co.nz","hsbc.co.nz")</f>
        <v>hsbc.co.nz</v>
      </c>
      <c r="C17168" t="s">
        <v>479</v>
      </c>
      <c r="D17168" t="s">
        <v>854</v>
      </c>
      <c r="E17168">
        <v>987738</v>
      </c>
      <c r="F17168">
        <v>3.16823402896865E-8</v>
      </c>
      <c r="G17168">
        <v>1629332</v>
      </c>
      <c r="H17168">
        <v>13770983</v>
      </c>
      <c r="I17168">
        <v>6709181</v>
      </c>
      <c r="J17168">
        <v>2</v>
      </c>
    </row>
    <row r="17169" spans="1:10" x14ac:dyDescent="0.25">
      <c r="A17169" t="s">
        <v>180</v>
      </c>
      <c r="B17169" s="1" t="str">
        <f>HYPERLINK("http://hsbc.co.om","hsbc.co.om")</f>
        <v>hsbc.co.om</v>
      </c>
      <c r="C17169" t="s">
        <v>480</v>
      </c>
      <c r="D17169" t="s">
        <v>855</v>
      </c>
      <c r="E17169">
        <v>579792</v>
      </c>
      <c r="F17169">
        <v>4.2660725022383099E-8</v>
      </c>
      <c r="G17169">
        <v>1132968</v>
      </c>
      <c r="H17169">
        <v>14075503</v>
      </c>
      <c r="I17169">
        <v>2907463</v>
      </c>
      <c r="J17169">
        <v>2</v>
      </c>
    </row>
    <row r="17170" spans="1:10" x14ac:dyDescent="0.25">
      <c r="A17170" t="s">
        <v>180</v>
      </c>
      <c r="B17170" s="1" t="str">
        <f>HYPERLINK("http://vaultexuk.org","vaultexuk.org")</f>
        <v>vaultexuk.org</v>
      </c>
      <c r="C17170" t="s">
        <v>481</v>
      </c>
      <c r="J17170">
        <v>5</v>
      </c>
    </row>
    <row r="17171" spans="1:10" x14ac:dyDescent="0.25">
      <c r="A17171" t="s">
        <v>180</v>
      </c>
      <c r="B17171" s="1" t="str">
        <f>HYPERLINK("http://hsbc.com.ph","hsbc.com.ph")</f>
        <v>hsbc.com.ph</v>
      </c>
      <c r="C17171" t="s">
        <v>484</v>
      </c>
      <c r="D17171" t="s">
        <v>858</v>
      </c>
      <c r="E17171">
        <v>290711</v>
      </c>
      <c r="F17171">
        <v>5.7317130410707699E-8</v>
      </c>
      <c r="G17171">
        <v>778224</v>
      </c>
      <c r="H17171">
        <v>14301515</v>
      </c>
      <c r="I17171">
        <v>1355323</v>
      </c>
      <c r="J17171">
        <v>2</v>
      </c>
    </row>
    <row r="17172" spans="1:10" x14ac:dyDescent="0.25">
      <c r="A17172" t="s">
        <v>180</v>
      </c>
      <c r="B17172" s="1" t="str">
        <f>HYPERLINK("http://hsbcadvance.com.ph","hsbcadvance.com.ph")</f>
        <v>hsbcadvance.com.ph</v>
      </c>
      <c r="C17172" t="s">
        <v>484</v>
      </c>
      <c r="D17172" t="s">
        <v>858</v>
      </c>
      <c r="J17172">
        <v>2</v>
      </c>
    </row>
    <row r="17173" spans="1:10" x14ac:dyDescent="0.25">
      <c r="A17173" t="s">
        <v>180</v>
      </c>
      <c r="B17173" s="1" t="str">
        <f>HYPERLINK("http://hsbcpremier.com.ph","hsbcpremier.com.ph")</f>
        <v>hsbcpremier.com.ph</v>
      </c>
      <c r="C17173" t="s">
        <v>484</v>
      </c>
      <c r="D17173" t="s">
        <v>858</v>
      </c>
      <c r="J17173">
        <v>2</v>
      </c>
    </row>
    <row r="17174" spans="1:10" x14ac:dyDescent="0.25">
      <c r="A17174" t="s">
        <v>180</v>
      </c>
      <c r="B17174" s="1" t="str">
        <f>HYPERLINK("http://hsbcadvance.ph","hsbcadvance.ph")</f>
        <v>hsbcadvance.ph</v>
      </c>
      <c r="C17174" t="s">
        <v>484</v>
      </c>
      <c r="D17174" t="s">
        <v>858</v>
      </c>
      <c r="J17174">
        <v>2</v>
      </c>
    </row>
    <row r="17175" spans="1:10" x14ac:dyDescent="0.25">
      <c r="A17175" t="s">
        <v>180</v>
      </c>
      <c r="B17175" s="1" t="str">
        <f>HYPERLINK("http://hsbc.pl","hsbc.pl")</f>
        <v>hsbc.pl</v>
      </c>
      <c r="C17175" t="s">
        <v>486</v>
      </c>
      <c r="D17175" t="s">
        <v>860</v>
      </c>
      <c r="F17175">
        <v>4.3032031687543397E-8</v>
      </c>
      <c r="G17175">
        <v>1117383</v>
      </c>
      <c r="H17175">
        <v>14079131</v>
      </c>
      <c r="I17175">
        <v>2836567</v>
      </c>
      <c r="J17175">
        <v>2</v>
      </c>
    </row>
    <row r="17176" spans="1:10" x14ac:dyDescent="0.25">
      <c r="A17176" t="s">
        <v>180</v>
      </c>
      <c r="B17176" s="1" t="str">
        <f>HYPERLINK("http://hsbc.pt","hsbc.pt")</f>
        <v>hsbc.pt</v>
      </c>
      <c r="C17176" t="s">
        <v>488</v>
      </c>
      <c r="D17176" t="s">
        <v>862</v>
      </c>
      <c r="F17176">
        <v>2.3992144411015101E-8</v>
      </c>
      <c r="G17176">
        <v>2163730</v>
      </c>
      <c r="H17176">
        <v>12340779</v>
      </c>
      <c r="I17176">
        <v>19989990</v>
      </c>
      <c r="J17176">
        <v>2</v>
      </c>
    </row>
    <row r="17177" spans="1:10" x14ac:dyDescent="0.25">
      <c r="A17177" t="s">
        <v>180</v>
      </c>
      <c r="B17177" s="1" t="str">
        <f>HYPERLINK("http://hsbc.com.qa","hsbc.com.qa")</f>
        <v>hsbc.com.qa</v>
      </c>
      <c r="C17177" t="s">
        <v>490</v>
      </c>
      <c r="D17177" t="s">
        <v>864</v>
      </c>
      <c r="E17177">
        <v>741142</v>
      </c>
      <c r="F17177">
        <v>2.72069468565658E-8</v>
      </c>
      <c r="G17177">
        <v>1889862</v>
      </c>
      <c r="H17177">
        <v>14076095</v>
      </c>
      <c r="I17177">
        <v>2894345</v>
      </c>
      <c r="J17177">
        <v>2</v>
      </c>
    </row>
    <row r="17178" spans="1:10" x14ac:dyDescent="0.25">
      <c r="A17178" t="s">
        <v>180</v>
      </c>
      <c r="B17178" s="1" t="str">
        <f>HYPERLINK("http://hsbc.ru","hsbc.ru")</f>
        <v>hsbc.ru</v>
      </c>
      <c r="C17178" t="s">
        <v>493</v>
      </c>
      <c r="D17178" t="s">
        <v>867</v>
      </c>
      <c r="E17178">
        <v>262354</v>
      </c>
      <c r="F17178">
        <v>4.36047289802562E-8</v>
      </c>
      <c r="G17178">
        <v>1095548</v>
      </c>
      <c r="H17178">
        <v>14414029</v>
      </c>
      <c r="I17178">
        <v>1141560</v>
      </c>
      <c r="J17178">
        <v>2</v>
      </c>
    </row>
    <row r="17179" spans="1:10" x14ac:dyDescent="0.25">
      <c r="A17179" t="s">
        <v>180</v>
      </c>
      <c r="B17179" s="1" t="str">
        <f>HYPERLINK("http://hsbc.se","hsbc.se")</f>
        <v>hsbc.se</v>
      </c>
      <c r="C17179" t="s">
        <v>495</v>
      </c>
      <c r="D17179" t="s">
        <v>869</v>
      </c>
      <c r="F17179">
        <v>2.6917081763022802E-8</v>
      </c>
      <c r="G17179">
        <v>1910948</v>
      </c>
      <c r="H17179">
        <v>12356979</v>
      </c>
      <c r="I17179">
        <v>19644689</v>
      </c>
      <c r="J17179">
        <v>2</v>
      </c>
    </row>
    <row r="17180" spans="1:10" x14ac:dyDescent="0.25">
      <c r="A17180" t="s">
        <v>180</v>
      </c>
      <c r="B17180" s="1" t="str">
        <f>HYPERLINK("http://hsbc.com.sg","hsbc.com.sg")</f>
        <v>hsbc.com.sg</v>
      </c>
      <c r="C17180" t="s">
        <v>496</v>
      </c>
      <c r="D17180" t="s">
        <v>870</v>
      </c>
      <c r="E17180">
        <v>20289</v>
      </c>
      <c r="F17180">
        <v>2.7148669334138998E-7</v>
      </c>
      <c r="G17180">
        <v>137112</v>
      </c>
      <c r="H17180">
        <v>14687587</v>
      </c>
      <c r="I17180">
        <v>603959</v>
      </c>
      <c r="J17180">
        <v>2</v>
      </c>
    </row>
    <row r="17181" spans="1:10" x14ac:dyDescent="0.25">
      <c r="A17181" t="s">
        <v>180</v>
      </c>
      <c r="B17181" s="1" t="str">
        <f>HYPERLINK("http://hsbcadvance.com.sg","hsbcadvance.com.sg")</f>
        <v>hsbcadvance.com.sg</v>
      </c>
      <c r="C17181" t="s">
        <v>496</v>
      </c>
      <c r="D17181" t="s">
        <v>870</v>
      </c>
      <c r="J17181">
        <v>2</v>
      </c>
    </row>
    <row r="17182" spans="1:10" x14ac:dyDescent="0.25">
      <c r="A17182" t="s">
        <v>180</v>
      </c>
      <c r="B17182" s="1" t="str">
        <f>HYPERLINK("http://hsbc.co.th","hsbc.co.th")</f>
        <v>hsbc.co.th</v>
      </c>
      <c r="C17182" t="s">
        <v>500</v>
      </c>
      <c r="D17182" t="s">
        <v>874</v>
      </c>
      <c r="F17182">
        <v>4.23377041887983E-8</v>
      </c>
      <c r="G17182">
        <v>1148062</v>
      </c>
      <c r="H17182">
        <v>14081635</v>
      </c>
      <c r="I17182">
        <v>2807894</v>
      </c>
      <c r="J17182">
        <v>2</v>
      </c>
    </row>
    <row r="17183" spans="1:10" x14ac:dyDescent="0.25">
      <c r="A17183" t="s">
        <v>180</v>
      </c>
      <c r="B17183" s="1" t="str">
        <f>HYPERLINK("http://hsbc.com.tr","hsbc.com.tr")</f>
        <v>hsbc.com.tr</v>
      </c>
      <c r="C17183" t="s">
        <v>502</v>
      </c>
      <c r="D17183" t="s">
        <v>876</v>
      </c>
      <c r="E17183">
        <v>109292</v>
      </c>
      <c r="F17183">
        <v>8.6894773827599598E-8</v>
      </c>
      <c r="G17183">
        <v>472672</v>
      </c>
      <c r="H17183">
        <v>14606816</v>
      </c>
      <c r="I17183">
        <v>681030</v>
      </c>
      <c r="J17183">
        <v>2</v>
      </c>
    </row>
    <row r="17184" spans="1:10" x14ac:dyDescent="0.25">
      <c r="A17184" t="s">
        <v>180</v>
      </c>
      <c r="B17184" s="1" t="str">
        <f>HYPERLINK("http://hsbcportfoy.com.tr","hsbcportfoy.com.tr")</f>
        <v>hsbcportfoy.com.tr</v>
      </c>
      <c r="C17184" t="s">
        <v>502</v>
      </c>
      <c r="D17184" t="s">
        <v>876</v>
      </c>
      <c r="F17184">
        <v>2.7543111212195699E-8</v>
      </c>
      <c r="G17184">
        <v>1866481</v>
      </c>
      <c r="H17184">
        <v>12343597</v>
      </c>
      <c r="I17184">
        <v>19881401</v>
      </c>
      <c r="J17184">
        <v>3</v>
      </c>
    </row>
    <row r="17185" spans="1:10" x14ac:dyDescent="0.25">
      <c r="A17185" t="s">
        <v>180</v>
      </c>
      <c r="B17185" s="1" t="str">
        <f>HYPERLINK("http://hsbcyatirim.com.tr","hsbcyatirim.com.tr")</f>
        <v>hsbcyatirim.com.tr</v>
      </c>
      <c r="C17185" t="s">
        <v>502</v>
      </c>
      <c r="D17185" t="s">
        <v>876</v>
      </c>
      <c r="F17185">
        <v>5.3923923093170404E-9</v>
      </c>
      <c r="G17185">
        <v>22215568</v>
      </c>
      <c r="H17185">
        <v>10966197</v>
      </c>
      <c r="I17185">
        <v>34219874</v>
      </c>
      <c r="J17185">
        <v>3</v>
      </c>
    </row>
    <row r="17186" spans="1:10" x14ac:dyDescent="0.25">
      <c r="A17186" t="s">
        <v>180</v>
      </c>
      <c r="B17186" s="1" t="str">
        <f>HYPERLINK("http://hsbc.com.tw","hsbc.com.tw")</f>
        <v>hsbc.com.tw</v>
      </c>
      <c r="C17186" t="s">
        <v>504</v>
      </c>
      <c r="D17186" t="s">
        <v>878</v>
      </c>
      <c r="E17186">
        <v>162533</v>
      </c>
      <c r="F17186">
        <v>9.5543618531821603E-8</v>
      </c>
      <c r="G17186">
        <v>423872</v>
      </c>
      <c r="H17186">
        <v>14426133</v>
      </c>
      <c r="I17186">
        <v>1079340</v>
      </c>
      <c r="J17186">
        <v>2</v>
      </c>
    </row>
    <row r="17187" spans="1:10" x14ac:dyDescent="0.25">
      <c r="A17187" t="s">
        <v>180</v>
      </c>
      <c r="B17187" s="1" t="str">
        <f>HYPERLINK("http://hsbcadvance.com.tw","hsbcadvance.com.tw")</f>
        <v>hsbcadvance.com.tw</v>
      </c>
      <c r="C17187" t="s">
        <v>504</v>
      </c>
      <c r="D17187" t="s">
        <v>878</v>
      </c>
      <c r="J17187">
        <v>2</v>
      </c>
    </row>
    <row r="17188" spans="1:10" x14ac:dyDescent="0.25">
      <c r="A17188" t="s">
        <v>180</v>
      </c>
      <c r="B17188" s="1" t="str">
        <f>HYPERLINK("http://affinityforbusiness.co.uk","affinityforbusiness.co.uk")</f>
        <v>affinityforbusiness.co.uk</v>
      </c>
      <c r="C17188" t="s">
        <v>506</v>
      </c>
      <c r="D17188" t="s">
        <v>880</v>
      </c>
      <c r="F17188">
        <v>6.3598034041341798E-9</v>
      </c>
      <c r="G17188">
        <v>14714053</v>
      </c>
      <c r="H17188">
        <v>12267046</v>
      </c>
      <c r="I17188">
        <v>21593475</v>
      </c>
      <c r="J17188">
        <v>7</v>
      </c>
    </row>
    <row r="17189" spans="1:10" x14ac:dyDescent="0.25">
      <c r="A17189" t="s">
        <v>180</v>
      </c>
      <c r="B17189" s="1" t="str">
        <f>HYPERLINK("http://castlewater.co.uk","castlewater.co.uk")</f>
        <v>castlewater.co.uk</v>
      </c>
      <c r="C17189" t="s">
        <v>506</v>
      </c>
      <c r="D17189" t="s">
        <v>880</v>
      </c>
      <c r="E17189">
        <v>528574</v>
      </c>
      <c r="F17189">
        <v>2.0507638219654299E-8</v>
      </c>
      <c r="G17189">
        <v>2583568</v>
      </c>
      <c r="H17189">
        <v>13232963</v>
      </c>
      <c r="I17189">
        <v>11257378</v>
      </c>
      <c r="J17189">
        <v>5</v>
      </c>
    </row>
    <row r="17190" spans="1:10" x14ac:dyDescent="0.25">
      <c r="A17190" t="s">
        <v>180</v>
      </c>
      <c r="B17190" s="1" t="str">
        <f>HYPERLINK("http://firstdirect.co.uk","firstdirect.co.uk")</f>
        <v>firstdirect.co.uk</v>
      </c>
      <c r="C17190" t="s">
        <v>506</v>
      </c>
      <c r="D17190" t="s">
        <v>880</v>
      </c>
      <c r="F17190">
        <v>8.7513247300628001E-9</v>
      </c>
      <c r="G17190">
        <v>8390423</v>
      </c>
      <c r="H17190">
        <v>13204862</v>
      </c>
      <c r="I17190">
        <v>11532879</v>
      </c>
      <c r="J17190">
        <v>3</v>
      </c>
    </row>
    <row r="17191" spans="1:10" x14ac:dyDescent="0.25">
      <c r="A17191" t="s">
        <v>180</v>
      </c>
      <c r="B17191" s="1" t="str">
        <f>HYPERLINK("http://hfcbank.co.uk","hfcbank.co.uk")</f>
        <v>hfcbank.co.uk</v>
      </c>
      <c r="C17191" t="s">
        <v>506</v>
      </c>
      <c r="D17191" t="s">
        <v>880</v>
      </c>
      <c r="E17191">
        <v>462889</v>
      </c>
      <c r="F17191">
        <v>4.59698916930215E-9</v>
      </c>
      <c r="G17191">
        <v>47841873</v>
      </c>
      <c r="H17191">
        <v>13763636</v>
      </c>
      <c r="I17191">
        <v>8128884</v>
      </c>
      <c r="J17191">
        <v>2</v>
      </c>
    </row>
    <row r="17192" spans="1:10" x14ac:dyDescent="0.25">
      <c r="A17192" t="s">
        <v>180</v>
      </c>
      <c r="B17192" s="1" t="str">
        <f>HYPERLINK("http://hsbc.co.uk","hsbc.co.uk")</f>
        <v>hsbc.co.uk</v>
      </c>
      <c r="C17192" t="s">
        <v>506</v>
      </c>
      <c r="D17192" t="s">
        <v>880</v>
      </c>
      <c r="E17192">
        <v>11315</v>
      </c>
      <c r="F17192">
        <v>9.9582531314532193E-7</v>
      </c>
      <c r="G17192">
        <v>38399</v>
      </c>
      <c r="H17192">
        <v>17260156</v>
      </c>
      <c r="I17192">
        <v>32630</v>
      </c>
      <c r="J17192">
        <v>2</v>
      </c>
    </row>
    <row r="17193" spans="1:10" x14ac:dyDescent="0.25">
      <c r="A17193" t="s">
        <v>180</v>
      </c>
      <c r="B17193" s="1" t="str">
        <f>HYPERLINK("http://hsbcinvestments.co.uk","hsbcinvestments.co.uk")</f>
        <v>hsbcinvestments.co.uk</v>
      </c>
      <c r="C17193" t="s">
        <v>506</v>
      </c>
      <c r="D17193" t="s">
        <v>880</v>
      </c>
      <c r="F17193">
        <v>5.2859937099707398E-9</v>
      </c>
      <c r="G17193">
        <v>23702312</v>
      </c>
      <c r="H17193">
        <v>12069920</v>
      </c>
      <c r="I17193">
        <v>26794532</v>
      </c>
      <c r="J17193">
        <v>3</v>
      </c>
    </row>
    <row r="17194" spans="1:10" x14ac:dyDescent="0.25">
      <c r="A17194" t="s">
        <v>180</v>
      </c>
      <c r="B17194" s="1" t="str">
        <f>HYPERLINK("http://hsbckinetic.co.uk","hsbckinetic.co.uk")</f>
        <v>hsbckinetic.co.uk</v>
      </c>
      <c r="C17194" t="s">
        <v>506</v>
      </c>
      <c r="D17194" t="s">
        <v>880</v>
      </c>
      <c r="F17194">
        <v>4.7983357701399203E-8</v>
      </c>
      <c r="G17194">
        <v>969347</v>
      </c>
      <c r="H17194">
        <v>16751203</v>
      </c>
      <c r="I17194">
        <v>280057</v>
      </c>
      <c r="J17194">
        <v>2</v>
      </c>
    </row>
    <row r="17195" spans="1:10" x14ac:dyDescent="0.25">
      <c r="A17195" t="s">
        <v>180</v>
      </c>
      <c r="B17195" s="1" t="str">
        <f>HYPERLINK("http://hsbcnet.co.uk","hsbcnet.co.uk")</f>
        <v>hsbcnet.co.uk</v>
      </c>
      <c r="C17195" t="s">
        <v>506</v>
      </c>
      <c r="D17195" t="s">
        <v>880</v>
      </c>
      <c r="J17195">
        <v>3</v>
      </c>
    </row>
    <row r="17196" spans="1:10" x14ac:dyDescent="0.25">
      <c r="A17196" t="s">
        <v>180</v>
      </c>
      <c r="B17196" s="1" t="str">
        <f>HYPERLINK("http://hsbc.uk","hsbc.uk")</f>
        <v>hsbc.uk</v>
      </c>
      <c r="C17196" t="s">
        <v>506</v>
      </c>
      <c r="D17196" t="s">
        <v>880</v>
      </c>
      <c r="E17196">
        <v>25610</v>
      </c>
      <c r="F17196">
        <v>1.7867675319437401E-7</v>
      </c>
      <c r="G17196">
        <v>216301</v>
      </c>
      <c r="H17196">
        <v>16786684</v>
      </c>
      <c r="I17196">
        <v>212954</v>
      </c>
      <c r="J17196">
        <v>2</v>
      </c>
    </row>
    <row r="17197" spans="1:10" x14ac:dyDescent="0.25">
      <c r="A17197" t="s">
        <v>180</v>
      </c>
      <c r="B17197" s="1" t="str">
        <f>HYPERLINK("http://hsbc.com.uy","hsbc.com.uy")</f>
        <v>hsbc.com.uy</v>
      </c>
      <c r="C17197" t="s">
        <v>507</v>
      </c>
      <c r="D17197" t="s">
        <v>881</v>
      </c>
      <c r="E17197">
        <v>341653</v>
      </c>
      <c r="F17197">
        <v>2.6084272379120599E-8</v>
      </c>
      <c r="G17197">
        <v>1974946</v>
      </c>
      <c r="H17197">
        <v>12646088</v>
      </c>
      <c r="I17197">
        <v>15825719</v>
      </c>
      <c r="J17197">
        <v>2</v>
      </c>
    </row>
    <row r="17198" spans="1:10" x14ac:dyDescent="0.25">
      <c r="A17198" t="s">
        <v>180</v>
      </c>
      <c r="B17198" s="1" t="str">
        <f>HYPERLINK("http://hsbc.com.vn","hsbc.com.vn")</f>
        <v>hsbc.com.vn</v>
      </c>
      <c r="C17198" t="s">
        <v>509</v>
      </c>
      <c r="D17198" t="s">
        <v>883</v>
      </c>
      <c r="E17198">
        <v>186177</v>
      </c>
      <c r="F17198">
        <v>1.8320259027385901E-7</v>
      </c>
      <c r="G17198">
        <v>210495</v>
      </c>
      <c r="H17198">
        <v>14682760</v>
      </c>
      <c r="I17198">
        <v>607172</v>
      </c>
      <c r="J17198">
        <v>2</v>
      </c>
    </row>
    <row r="17199" spans="1:10" x14ac:dyDescent="0.25">
      <c r="A17199" t="s">
        <v>180</v>
      </c>
      <c r="B17199" s="1" t="str">
        <f>HYPERLINK("http://hsbcpremier.com.vn","hsbcpremier.com.vn")</f>
        <v>hsbcpremier.com.vn</v>
      </c>
      <c r="C17199" t="s">
        <v>509</v>
      </c>
      <c r="D17199" t="s">
        <v>883</v>
      </c>
      <c r="J17199">
        <v>2</v>
      </c>
    </row>
    <row r="17200" spans="1:10" x14ac:dyDescent="0.25">
      <c r="A17200" t="s">
        <v>180</v>
      </c>
      <c r="B17200" s="1" t="str">
        <f>HYPERLINK("http://hsbc.co.za","hsbc.co.za")</f>
        <v>hsbc.co.za</v>
      </c>
      <c r="C17200" t="s">
        <v>510</v>
      </c>
      <c r="D17200" t="s">
        <v>884</v>
      </c>
      <c r="F17200">
        <v>1.7251035479608499E-8</v>
      </c>
      <c r="G17200">
        <v>3211295</v>
      </c>
      <c r="H17200">
        <v>12373371</v>
      </c>
      <c r="I17200">
        <v>19346724</v>
      </c>
      <c r="J17200">
        <v>2</v>
      </c>
    </row>
    <row r="17201" spans="1:10" x14ac:dyDescent="0.25">
      <c r="A17201" t="s">
        <v>1619</v>
      </c>
      <c r="B17201" s="1" t="str">
        <f>HYPERLINK("http://halliburton.com","halliburton.com")</f>
        <v>halliburton.com</v>
      </c>
      <c r="C17201" t="s">
        <v>433</v>
      </c>
      <c r="E17201">
        <v>30462</v>
      </c>
      <c r="F17201">
        <v>8.5885207316750399E-7</v>
      </c>
      <c r="G17201">
        <v>46455</v>
      </c>
      <c r="H17201">
        <v>17373466</v>
      </c>
      <c r="I17201">
        <v>21180</v>
      </c>
      <c r="J17201">
        <v>1</v>
      </c>
    </row>
    <row r="17202" spans="1:10" x14ac:dyDescent="0.25">
      <c r="A17202" t="s">
        <v>1619</v>
      </c>
      <c r="B17202" s="1" t="str">
        <f>HYPERLINK("http://neftex.com","neftex.com")</f>
        <v>neftex.com</v>
      </c>
      <c r="C17202" t="s">
        <v>433</v>
      </c>
      <c r="F17202">
        <v>8.5673744811078501E-9</v>
      </c>
      <c r="G17202">
        <v>8715601</v>
      </c>
      <c r="H17202">
        <v>13253456</v>
      </c>
      <c r="I17202">
        <v>11067114</v>
      </c>
      <c r="J17202">
        <v>7</v>
      </c>
    </row>
    <row r="17203" spans="1:10" x14ac:dyDescent="0.25">
      <c r="A17203" t="s">
        <v>1619</v>
      </c>
      <c r="B17203" s="1" t="str">
        <f>HYPERLINK("http://smartfibres.com","smartfibres.com")</f>
        <v>smartfibres.com</v>
      </c>
      <c r="C17203" t="s">
        <v>433</v>
      </c>
      <c r="F17203">
        <v>1.4611674841931001E-8</v>
      </c>
      <c r="G17203">
        <v>3972892</v>
      </c>
      <c r="H17203">
        <v>13725590</v>
      </c>
      <c r="I17203">
        <v>9464508</v>
      </c>
      <c r="J17203">
        <v>7</v>
      </c>
    </row>
    <row r="17204" spans="1:10" x14ac:dyDescent="0.25">
      <c r="A17204" t="s">
        <v>1619</v>
      </c>
      <c r="B17204" s="1" t="str">
        <f>HYPERLINK("http://ienergycloud.solutions","ienergycloud.solutions")</f>
        <v>ienergycloud.solutions</v>
      </c>
      <c r="C17204" t="s">
        <v>576</v>
      </c>
      <c r="E17204">
        <v>664883</v>
      </c>
      <c r="F17204">
        <v>4.4438539297416203E-9</v>
      </c>
      <c r="G17204">
        <v>78375224</v>
      </c>
      <c r="H17204">
        <v>10546614</v>
      </c>
      <c r="I17204">
        <v>46883165</v>
      </c>
      <c r="J17204">
        <v>2</v>
      </c>
    </row>
    <row r="17205" spans="1:10" x14ac:dyDescent="0.25">
      <c r="A17205" t="s">
        <v>1619</v>
      </c>
      <c r="B17205" s="1" t="str">
        <f>HYPERLINK("http://landmark.solutions","landmark.solutions")</f>
        <v>landmark.solutions</v>
      </c>
      <c r="C17205" t="s">
        <v>576</v>
      </c>
      <c r="E17205">
        <v>785087</v>
      </c>
      <c r="F17205">
        <v>1.10184293684259E-7</v>
      </c>
      <c r="G17205">
        <v>362950</v>
      </c>
      <c r="H17205">
        <v>14216462</v>
      </c>
      <c r="I17205">
        <v>1692000</v>
      </c>
      <c r="J17205">
        <v>4</v>
      </c>
    </row>
    <row r="17206" spans="1:10" x14ac:dyDescent="0.25">
      <c r="A17206" t="s">
        <v>1619</v>
      </c>
      <c r="B17206" s="1" t="str">
        <f>HYPERLINK("http://mwkl.co.uk","mwkl.co.uk")</f>
        <v>mwkl.co.uk</v>
      </c>
      <c r="C17206" t="s">
        <v>506</v>
      </c>
      <c r="D17206" t="s">
        <v>880</v>
      </c>
      <c r="F17206">
        <v>4.4989922282733297E-9</v>
      </c>
      <c r="G17206">
        <v>59089987</v>
      </c>
      <c r="H17206">
        <v>10375403</v>
      </c>
      <c r="I17206">
        <v>54704148</v>
      </c>
      <c r="J17206">
        <v>3</v>
      </c>
    </row>
    <row r="17207" spans="1:10" x14ac:dyDescent="0.25">
      <c r="A17207" t="s">
        <v>181</v>
      </c>
      <c r="B17207" s="1" t="str">
        <f>HYPERLINK("http://hikvision.com.br","hikvision.com.br")</f>
        <v>hikvision.com.br</v>
      </c>
      <c r="C17207" t="s">
        <v>425</v>
      </c>
      <c r="D17207" t="s">
        <v>806</v>
      </c>
      <c r="F17207">
        <v>6.5160930111008996E-9</v>
      </c>
      <c r="G17207">
        <v>14011262</v>
      </c>
      <c r="H17207">
        <v>12178506</v>
      </c>
      <c r="I17207">
        <v>23849810</v>
      </c>
      <c r="J17207">
        <v>2</v>
      </c>
    </row>
    <row r="17208" spans="1:10" x14ac:dyDescent="0.25">
      <c r="A17208" t="s">
        <v>181</v>
      </c>
      <c r="B17208" s="1" t="str">
        <f>HYPERLINK("http://hikvision.ca","hikvision.ca")</f>
        <v>hikvision.ca</v>
      </c>
      <c r="C17208" t="s">
        <v>428</v>
      </c>
      <c r="D17208" t="s">
        <v>809</v>
      </c>
      <c r="F17208">
        <v>1.1885445879638E-8</v>
      </c>
      <c r="G17208">
        <v>5248107</v>
      </c>
      <c r="H17208">
        <v>12452931</v>
      </c>
      <c r="I17208">
        <v>17961607</v>
      </c>
      <c r="J17208">
        <v>2</v>
      </c>
    </row>
    <row r="17209" spans="1:10" x14ac:dyDescent="0.25">
      <c r="A17209" t="s">
        <v>181</v>
      </c>
      <c r="B17209" s="1" t="str">
        <f>HYPERLINK("http://ezviz.com","ezviz.com")</f>
        <v>ezviz.com</v>
      </c>
      <c r="C17209" t="s">
        <v>433</v>
      </c>
      <c r="E17209">
        <v>70781</v>
      </c>
      <c r="F17209">
        <v>1.4114969778508901E-7</v>
      </c>
      <c r="G17209">
        <v>275935</v>
      </c>
      <c r="H17209">
        <v>16922230</v>
      </c>
      <c r="I17209">
        <v>129207</v>
      </c>
      <c r="J17209">
        <v>4</v>
      </c>
    </row>
    <row r="17210" spans="1:10" x14ac:dyDescent="0.25">
      <c r="A17210" t="s">
        <v>181</v>
      </c>
      <c r="B17210" s="1" t="str">
        <f>HYPERLINK("http://ezvizlife.com","ezvizlife.com")</f>
        <v>ezvizlife.com</v>
      </c>
      <c r="C17210" t="s">
        <v>433</v>
      </c>
      <c r="E17210">
        <v>1501</v>
      </c>
      <c r="F17210">
        <v>2.62954168267567E-7</v>
      </c>
      <c r="G17210">
        <v>142234</v>
      </c>
      <c r="H17210">
        <v>16952090</v>
      </c>
      <c r="I17210">
        <v>107704</v>
      </c>
      <c r="J17210">
        <v>7</v>
      </c>
    </row>
    <row r="17211" spans="1:10" x14ac:dyDescent="0.25">
      <c r="A17211" t="s">
        <v>181</v>
      </c>
      <c r="B17211" s="1" t="str">
        <f>HYPERLINK("http://hikrobotics.com","hikrobotics.com")</f>
        <v>hikrobotics.com</v>
      </c>
      <c r="C17211" t="s">
        <v>433</v>
      </c>
      <c r="E17211">
        <v>529576</v>
      </c>
      <c r="F17211">
        <v>5.00551025547583E-8</v>
      </c>
      <c r="G17211">
        <v>920002</v>
      </c>
      <c r="H17211">
        <v>13168532</v>
      </c>
      <c r="I17211">
        <v>11730615</v>
      </c>
      <c r="J17211">
        <v>3</v>
      </c>
    </row>
    <row r="17212" spans="1:10" x14ac:dyDescent="0.25">
      <c r="A17212" t="s">
        <v>181</v>
      </c>
      <c r="B17212" s="1" t="str">
        <f>HYPERLINK("http://hikvision.com","hikvision.com")</f>
        <v>hikvision.com</v>
      </c>
      <c r="C17212" t="s">
        <v>433</v>
      </c>
      <c r="E17212">
        <v>7316</v>
      </c>
      <c r="F17212">
        <v>2.3986874055494198E-6</v>
      </c>
      <c r="G17212">
        <v>15492</v>
      </c>
      <c r="H17212">
        <v>17356470</v>
      </c>
      <c r="I17212">
        <v>22518</v>
      </c>
      <c r="J17212">
        <v>1</v>
      </c>
    </row>
    <row r="17213" spans="1:10" x14ac:dyDescent="0.25">
      <c r="A17213" t="s">
        <v>181</v>
      </c>
      <c r="B17213" s="1" t="str">
        <f>HYPERLINK("http://hikvision-usa.com","hikvision-usa.com")</f>
        <v>hikvision-usa.com</v>
      </c>
      <c r="C17213" t="s">
        <v>433</v>
      </c>
      <c r="F17213">
        <v>4.5495736840300102E-9</v>
      </c>
      <c r="G17213">
        <v>52235077</v>
      </c>
      <c r="H17213">
        <v>11050903</v>
      </c>
      <c r="I17213">
        <v>32787349</v>
      </c>
      <c r="J17213">
        <v>4</v>
      </c>
    </row>
    <row r="17214" spans="1:10" x14ac:dyDescent="0.25">
      <c r="A17214" t="s">
        <v>181</v>
      </c>
      <c r="B17214" s="1" t="str">
        <f>HYPERLINK("http://ys7.com","ys7.com")</f>
        <v>ys7.com</v>
      </c>
      <c r="C17214" t="s">
        <v>433</v>
      </c>
      <c r="E17214">
        <v>760</v>
      </c>
      <c r="F17214">
        <v>2.0452786345661301E-7</v>
      </c>
      <c r="G17214">
        <v>185759</v>
      </c>
      <c r="H17214">
        <v>13857322</v>
      </c>
      <c r="I17214">
        <v>6032953</v>
      </c>
      <c r="J17214">
        <v>3</v>
      </c>
    </row>
    <row r="17215" spans="1:10" x14ac:dyDescent="0.25">
      <c r="A17215" t="s">
        <v>181</v>
      </c>
      <c r="B17215" s="1" t="str">
        <f>HYPERLINK("http://ezvizlife.ee","ezvizlife.ee")</f>
        <v>ezvizlife.ee</v>
      </c>
      <c r="C17215" t="s">
        <v>441</v>
      </c>
      <c r="D17215" t="s">
        <v>820</v>
      </c>
      <c r="F17215">
        <v>2.16144032612803E-8</v>
      </c>
      <c r="G17215">
        <v>2434821</v>
      </c>
      <c r="H17215">
        <v>12177535</v>
      </c>
      <c r="I17215">
        <v>23871400</v>
      </c>
      <c r="J17215">
        <v>8</v>
      </c>
    </row>
    <row r="17216" spans="1:10" x14ac:dyDescent="0.25">
      <c r="A17216" t="s">
        <v>181</v>
      </c>
      <c r="B17216" s="1" t="str">
        <f>HYPERLINK("http://hikvision.ee","hikvision.ee")</f>
        <v>hikvision.ee</v>
      </c>
      <c r="C17216" t="s">
        <v>441</v>
      </c>
      <c r="D17216" t="s">
        <v>820</v>
      </c>
      <c r="F17216">
        <v>7.5414684385567196E-9</v>
      </c>
      <c r="G17216">
        <v>10923329</v>
      </c>
      <c r="H17216">
        <v>12244370</v>
      </c>
      <c r="I17216">
        <v>22139821</v>
      </c>
      <c r="J17216">
        <v>2</v>
      </c>
    </row>
    <row r="17217" spans="1:10" x14ac:dyDescent="0.25">
      <c r="A17217" t="s">
        <v>181</v>
      </c>
      <c r="B17217" s="1" t="str">
        <f>HYPERLINK("http://ezviz.fi","ezviz.fi")</f>
        <v>ezviz.fi</v>
      </c>
      <c r="C17217" t="s">
        <v>445</v>
      </c>
      <c r="D17217" t="s">
        <v>823</v>
      </c>
      <c r="J17217">
        <v>4</v>
      </c>
    </row>
    <row r="17218" spans="1:10" x14ac:dyDescent="0.25">
      <c r="A17218" t="s">
        <v>181</v>
      </c>
      <c r="B17218" s="1" t="str">
        <f>HYPERLINK("http://ezvizlife.fi","ezvizlife.fi")</f>
        <v>ezvizlife.fi</v>
      </c>
      <c r="C17218" t="s">
        <v>445</v>
      </c>
      <c r="D17218" t="s">
        <v>823</v>
      </c>
      <c r="J17218">
        <v>4</v>
      </c>
    </row>
    <row r="17219" spans="1:10" x14ac:dyDescent="0.25">
      <c r="A17219" t="s">
        <v>181</v>
      </c>
      <c r="B17219" s="1" t="str">
        <f>HYPERLINK("http://hikvision.fi","hikvision.fi")</f>
        <v>hikvision.fi</v>
      </c>
      <c r="C17219" t="s">
        <v>445</v>
      </c>
      <c r="D17219" t="s">
        <v>823</v>
      </c>
      <c r="J17219">
        <v>2</v>
      </c>
    </row>
    <row r="17220" spans="1:10" x14ac:dyDescent="0.25">
      <c r="A17220" t="s">
        <v>181</v>
      </c>
      <c r="B17220" s="1" t="str">
        <f>HYPERLINK("http://hikvision.id","hikvision.id")</f>
        <v>hikvision.id</v>
      </c>
      <c r="C17220" t="s">
        <v>454</v>
      </c>
      <c r="D17220" t="s">
        <v>831</v>
      </c>
      <c r="F17220">
        <v>6.6090527463357099E-9</v>
      </c>
      <c r="G17220">
        <v>13642694</v>
      </c>
      <c r="H17220">
        <v>12259209</v>
      </c>
      <c r="I17220">
        <v>21790181</v>
      </c>
      <c r="J17220">
        <v>2</v>
      </c>
    </row>
    <row r="17221" spans="1:10" x14ac:dyDescent="0.25">
      <c r="A17221" t="s">
        <v>181</v>
      </c>
      <c r="B17221" s="1" t="str">
        <f>HYPERLINK("http://hikvision.lt","hikvision.lt")</f>
        <v>hikvision.lt</v>
      </c>
      <c r="C17221" t="s">
        <v>467</v>
      </c>
      <c r="D17221" t="s">
        <v>843</v>
      </c>
      <c r="F17221">
        <v>1.18751245625575E-8</v>
      </c>
      <c r="G17221">
        <v>5254500</v>
      </c>
      <c r="H17221">
        <v>12223069</v>
      </c>
      <c r="I17221">
        <v>22706411</v>
      </c>
      <c r="J17221">
        <v>2</v>
      </c>
    </row>
    <row r="17222" spans="1:10" x14ac:dyDescent="0.25">
      <c r="A17222" t="s">
        <v>181</v>
      </c>
      <c r="B17222" s="1" t="str">
        <f>HYPERLINK("http://hikvision.lv","hikvision.lv")</f>
        <v>hikvision.lv</v>
      </c>
      <c r="C17222" t="s">
        <v>468</v>
      </c>
      <c r="D17222" t="s">
        <v>844</v>
      </c>
      <c r="F17222">
        <v>9.6384436560506194E-9</v>
      </c>
      <c r="G17222">
        <v>7153187</v>
      </c>
      <c r="H17222">
        <v>12860433</v>
      </c>
      <c r="I17222">
        <v>14198175</v>
      </c>
      <c r="J17222">
        <v>2</v>
      </c>
    </row>
    <row r="17223" spans="1:10" x14ac:dyDescent="0.25">
      <c r="A17223" t="s">
        <v>181</v>
      </c>
      <c r="B17223" s="1" t="str">
        <f>HYPERLINK("http://hikvision.ru","hikvision.ru")</f>
        <v>hikvision.ru</v>
      </c>
      <c r="C17223" t="s">
        <v>493</v>
      </c>
      <c r="D17223" t="s">
        <v>867</v>
      </c>
      <c r="E17223">
        <v>161765</v>
      </c>
      <c r="F17223">
        <v>1.3738819897462699E-7</v>
      </c>
      <c r="G17223">
        <v>283688</v>
      </c>
      <c r="H17223">
        <v>13826714</v>
      </c>
      <c r="I17223">
        <v>6120754</v>
      </c>
      <c r="J17223">
        <v>2</v>
      </c>
    </row>
    <row r="17224" spans="1:10" x14ac:dyDescent="0.25">
      <c r="A17224" t="s">
        <v>181</v>
      </c>
      <c r="B17224" s="1" t="str">
        <f>HYPERLINK("http://hikvision.su","hikvision.su")</f>
        <v>hikvision.su</v>
      </c>
      <c r="C17224" t="s">
        <v>670</v>
      </c>
      <c r="F17224">
        <v>1.34237807322349E-8</v>
      </c>
      <c r="G17224">
        <v>4437482</v>
      </c>
      <c r="H17224">
        <v>12630227</v>
      </c>
      <c r="I17224">
        <v>15987030</v>
      </c>
      <c r="J17224">
        <v>3</v>
      </c>
    </row>
    <row r="17225" spans="1:10" x14ac:dyDescent="0.25">
      <c r="A17225" t="s">
        <v>181</v>
      </c>
      <c r="B17225" s="1" t="str">
        <f>HYPERLINK("http://hikvision.co.uk","hikvision.co.uk")</f>
        <v>hikvision.co.uk</v>
      </c>
      <c r="C17225" t="s">
        <v>506</v>
      </c>
      <c r="D17225" t="s">
        <v>880</v>
      </c>
      <c r="F17225">
        <v>1.01151251653525E-8</v>
      </c>
      <c r="G17225">
        <v>6632130</v>
      </c>
      <c r="H17225">
        <v>12301263</v>
      </c>
      <c r="I17225">
        <v>20805956</v>
      </c>
      <c r="J17225">
        <v>2</v>
      </c>
    </row>
    <row r="17226" spans="1:10" x14ac:dyDescent="0.25">
      <c r="A17226" t="s">
        <v>181</v>
      </c>
      <c r="B17226" s="1" t="str">
        <f>HYPERLINK("http://hikvision.vn","hikvision.vn")</f>
        <v>hikvision.vn</v>
      </c>
      <c r="C17226" t="s">
        <v>509</v>
      </c>
      <c r="D17226" t="s">
        <v>883</v>
      </c>
      <c r="F17226">
        <v>3.4055187784533297E-8</v>
      </c>
      <c r="G17226">
        <v>1520872</v>
      </c>
      <c r="H17226">
        <v>13481918</v>
      </c>
      <c r="I17226">
        <v>10003393</v>
      </c>
      <c r="J17226">
        <v>2</v>
      </c>
    </row>
    <row r="17227" spans="1:10" x14ac:dyDescent="0.25">
      <c r="A17227" t="s">
        <v>182</v>
      </c>
      <c r="B17227" s="1" t="str">
        <f>HYPERLINK("http://mecrc.ae","mecrc.ae")</f>
        <v>mecrc.ae</v>
      </c>
      <c r="C17227" t="s">
        <v>417</v>
      </c>
      <c r="D17227" t="s">
        <v>799</v>
      </c>
      <c r="F17227">
        <v>4.8346690493033E-9</v>
      </c>
      <c r="G17227">
        <v>34670446</v>
      </c>
      <c r="H17227">
        <v>10373713</v>
      </c>
      <c r="I17227">
        <v>54744765</v>
      </c>
      <c r="J17227">
        <v>3</v>
      </c>
    </row>
    <row r="17228" spans="1:10" x14ac:dyDescent="0.25">
      <c r="A17228" t="s">
        <v>182</v>
      </c>
      <c r="B17228" s="1" t="str">
        <f>HYPERLINK("http://hapag-lloyd.cn","hapag-lloyd.cn")</f>
        <v>hapag-lloyd.cn</v>
      </c>
      <c r="C17228" t="s">
        <v>431</v>
      </c>
      <c r="D17228" t="s">
        <v>812</v>
      </c>
      <c r="E17228">
        <v>918373</v>
      </c>
      <c r="F17228">
        <v>8.8025145746677495E-9</v>
      </c>
      <c r="G17228">
        <v>8305938</v>
      </c>
      <c r="H17228">
        <v>11365419</v>
      </c>
      <c r="I17228">
        <v>30342037</v>
      </c>
      <c r="J17228">
        <v>2</v>
      </c>
    </row>
    <row r="17229" spans="1:10" x14ac:dyDescent="0.25">
      <c r="A17229" t="s">
        <v>182</v>
      </c>
      <c r="B17229" s="1" t="str">
        <f>HYPERLINK("http://cnpsa.com","cnpsa.com")</f>
        <v>cnpsa.com</v>
      </c>
      <c r="C17229" t="s">
        <v>433</v>
      </c>
      <c r="F17229">
        <v>4.7648777469686601E-9</v>
      </c>
      <c r="G17229">
        <v>37599807</v>
      </c>
      <c r="H17229">
        <v>10994606</v>
      </c>
      <c r="I17229">
        <v>33668842</v>
      </c>
      <c r="J17229">
        <v>3</v>
      </c>
    </row>
    <row r="17230" spans="1:10" x14ac:dyDescent="0.25">
      <c r="A17230" t="s">
        <v>182</v>
      </c>
      <c r="B17230" s="1" t="str">
        <f>HYPERLINK("http://hapag-lloyd.com","hapag-lloyd.com")</f>
        <v>hapag-lloyd.com</v>
      </c>
      <c r="C17230" t="s">
        <v>433</v>
      </c>
      <c r="E17230">
        <v>22279</v>
      </c>
      <c r="F17230">
        <v>6.3997944240089697E-7</v>
      </c>
      <c r="G17230">
        <v>60023</v>
      </c>
      <c r="H17230">
        <v>15244639</v>
      </c>
      <c r="I17230">
        <v>390872</v>
      </c>
      <c r="J17230">
        <v>1</v>
      </c>
    </row>
    <row r="17231" spans="1:10" x14ac:dyDescent="0.25">
      <c r="A17231" t="s">
        <v>182</v>
      </c>
      <c r="B17231" s="1" t="str">
        <f>HYPERLINK("http://hlcl.com","hlcl.com")</f>
        <v>hlcl.com</v>
      </c>
      <c r="C17231" t="s">
        <v>433</v>
      </c>
      <c r="E17231">
        <v>589968</v>
      </c>
      <c r="F17231">
        <v>1.4751383423771501E-8</v>
      </c>
      <c r="G17231">
        <v>3923487</v>
      </c>
      <c r="H17231">
        <v>12631522</v>
      </c>
      <c r="I17231">
        <v>15971583</v>
      </c>
      <c r="J17231">
        <v>3</v>
      </c>
    </row>
    <row r="17232" spans="1:10" x14ac:dyDescent="0.25">
      <c r="A17232" t="s">
        <v>182</v>
      </c>
      <c r="B17232" s="1" t="str">
        <f>HYPERLINK("http://niledutch.com","niledutch.com")</f>
        <v>niledutch.com</v>
      </c>
      <c r="C17232" t="s">
        <v>433</v>
      </c>
      <c r="F17232">
        <v>2.5451244118372999E-8</v>
      </c>
      <c r="G17232">
        <v>2026774</v>
      </c>
      <c r="H17232">
        <v>13767164</v>
      </c>
      <c r="I17232">
        <v>6950459</v>
      </c>
      <c r="J17232">
        <v>4</v>
      </c>
    </row>
    <row r="17233" spans="1:10" x14ac:dyDescent="0.25">
      <c r="A17233" t="s">
        <v>182</v>
      </c>
      <c r="B17233" s="1" t="str">
        <f>HYPERLINK("http://hapag-lloyd.fi","hapag-lloyd.fi")</f>
        <v>hapag-lloyd.fi</v>
      </c>
      <c r="C17233" t="s">
        <v>445</v>
      </c>
      <c r="D17233" t="s">
        <v>823</v>
      </c>
      <c r="J17233">
        <v>4</v>
      </c>
    </row>
    <row r="17234" spans="1:10" x14ac:dyDescent="0.25">
      <c r="A17234" t="s">
        <v>182</v>
      </c>
      <c r="B17234" s="1" t="str">
        <f>HYPERLINK("http://hapaglloyd.fi","hapaglloyd.fi")</f>
        <v>hapaglloyd.fi</v>
      </c>
      <c r="C17234" t="s">
        <v>445</v>
      </c>
      <c r="D17234" t="s">
        <v>823</v>
      </c>
      <c r="J17234">
        <v>4</v>
      </c>
    </row>
    <row r="17235" spans="1:10" x14ac:dyDescent="0.25">
      <c r="A17235" t="s">
        <v>182</v>
      </c>
      <c r="B17235" s="1" t="str">
        <f>HYPERLINK("http://hlcl.fi","hlcl.fi")</f>
        <v>hlcl.fi</v>
      </c>
      <c r="C17235" t="s">
        <v>445</v>
      </c>
      <c r="D17235" t="s">
        <v>823</v>
      </c>
      <c r="J17235">
        <v>4</v>
      </c>
    </row>
    <row r="17236" spans="1:10" x14ac:dyDescent="0.25">
      <c r="A17236" t="s">
        <v>183</v>
      </c>
      <c r="B17236" s="1" t="str">
        <f>HYPERLINK("http://brauunion.at","brauunion.at")</f>
        <v>brauunion.at</v>
      </c>
      <c r="C17236" t="s">
        <v>419</v>
      </c>
      <c r="D17236" t="s">
        <v>801</v>
      </c>
      <c r="E17236">
        <v>858020</v>
      </c>
      <c r="F17236">
        <v>1.7127682282033301E-7</v>
      </c>
      <c r="G17236">
        <v>226476</v>
      </c>
      <c r="H17236">
        <v>15053674</v>
      </c>
      <c r="I17236">
        <v>413905</v>
      </c>
      <c r="J17236">
        <v>3</v>
      </c>
    </row>
    <row r="17237" spans="1:10" x14ac:dyDescent="0.25">
      <c r="A17237" t="s">
        <v>183</v>
      </c>
      <c r="B17237" s="1" t="str">
        <f>HYPERLINK("http://alken-maes.be","alken-maes.be")</f>
        <v>alken-maes.be</v>
      </c>
      <c r="C17237" t="s">
        <v>421</v>
      </c>
      <c r="D17237" t="s">
        <v>803</v>
      </c>
      <c r="F17237">
        <v>4.6364988200162397E-8</v>
      </c>
      <c r="G17237">
        <v>1009345</v>
      </c>
      <c r="H17237">
        <v>14553684</v>
      </c>
      <c r="I17237">
        <v>754976</v>
      </c>
      <c r="J17237">
        <v>3</v>
      </c>
    </row>
    <row r="17238" spans="1:10" x14ac:dyDescent="0.25">
      <c r="A17238" t="s">
        <v>183</v>
      </c>
      <c r="B17238" s="1" t="str">
        <f>HYPERLINK("http://zagorka.bg","zagorka.bg")</f>
        <v>zagorka.bg</v>
      </c>
      <c r="C17238" t="s">
        <v>422</v>
      </c>
      <c r="D17238" t="s">
        <v>804</v>
      </c>
      <c r="F17238">
        <v>2.55288130713131E-8</v>
      </c>
      <c r="G17238">
        <v>2020332</v>
      </c>
      <c r="H17238">
        <v>14373925</v>
      </c>
      <c r="I17238">
        <v>1257139</v>
      </c>
      <c r="J17238">
        <v>3</v>
      </c>
    </row>
    <row r="17239" spans="1:10" x14ac:dyDescent="0.25">
      <c r="A17239" t="s">
        <v>183</v>
      </c>
      <c r="B17239" s="1" t="str">
        <f>HYPERLINK("http://heineken.com.br","heineken.com.br")</f>
        <v>heineken.com.br</v>
      </c>
      <c r="C17239" t="s">
        <v>425</v>
      </c>
      <c r="D17239" t="s">
        <v>806</v>
      </c>
      <c r="F17239">
        <v>5.8138072619395901E-9</v>
      </c>
      <c r="G17239">
        <v>17984283</v>
      </c>
      <c r="H17239">
        <v>13933426</v>
      </c>
      <c r="I17239">
        <v>4746479</v>
      </c>
      <c r="J17239">
        <v>3</v>
      </c>
    </row>
    <row r="17240" spans="1:10" x14ac:dyDescent="0.25">
      <c r="A17240" t="s">
        <v>183</v>
      </c>
      <c r="B17240" s="1" t="str">
        <f>HYPERLINK("http://kaiser.com.br","kaiser.com.br")</f>
        <v>kaiser.com.br</v>
      </c>
      <c r="C17240" t="s">
        <v>425</v>
      </c>
      <c r="D17240" t="s">
        <v>806</v>
      </c>
      <c r="F17240">
        <v>6.0788286515217098E-9</v>
      </c>
      <c r="G17240">
        <v>16214034</v>
      </c>
      <c r="H17240">
        <v>13764662</v>
      </c>
      <c r="I17240">
        <v>7215839</v>
      </c>
      <c r="J17240">
        <v>4</v>
      </c>
    </row>
    <row r="17241" spans="1:10" x14ac:dyDescent="0.25">
      <c r="A17241" t="s">
        <v>183</v>
      </c>
      <c r="B17241" s="1" t="str">
        <f>HYPERLINK("http://bobrov.by","bobrov.by")</f>
        <v>bobrov.by</v>
      </c>
      <c r="C17241" t="s">
        <v>427</v>
      </c>
      <c r="D17241" t="s">
        <v>808</v>
      </c>
      <c r="F17241">
        <v>1.0063788233863899E-8</v>
      </c>
      <c r="G17241">
        <v>6691850</v>
      </c>
      <c r="H17241">
        <v>14099251</v>
      </c>
      <c r="I17241">
        <v>2712165</v>
      </c>
      <c r="J17241">
        <v>3</v>
      </c>
    </row>
    <row r="17242" spans="1:10" x14ac:dyDescent="0.25">
      <c r="A17242" t="s">
        <v>183</v>
      </c>
      <c r="B17242" s="1" t="str">
        <f>HYPERLINK("http://heinekenswitzerland.ch","heinekenswitzerland.ch")</f>
        <v>heinekenswitzerland.ch</v>
      </c>
      <c r="C17242" t="s">
        <v>429</v>
      </c>
      <c r="D17242" t="s">
        <v>810</v>
      </c>
      <c r="F17242">
        <v>5.3830616598863898E-9</v>
      </c>
      <c r="G17242">
        <v>22379797</v>
      </c>
      <c r="H17242">
        <v>10240199</v>
      </c>
      <c r="I17242">
        <v>58806568</v>
      </c>
      <c r="J17242">
        <v>5</v>
      </c>
    </row>
    <row r="17243" spans="1:10" x14ac:dyDescent="0.25">
      <c r="A17243" t="s">
        <v>183</v>
      </c>
      <c r="B17243" s="1" t="str">
        <f>HYPERLINK("http://affligembeer.com","affligembeer.com")</f>
        <v>affligembeer.com</v>
      </c>
      <c r="C17243" t="s">
        <v>433</v>
      </c>
      <c r="F17243">
        <v>5.0744260355365703E-8</v>
      </c>
      <c r="G17243">
        <v>904293</v>
      </c>
      <c r="H17243">
        <v>14489906</v>
      </c>
      <c r="I17243">
        <v>917254</v>
      </c>
      <c r="J17243">
        <v>4</v>
      </c>
    </row>
    <row r="17244" spans="1:10" x14ac:dyDescent="0.25">
      <c r="A17244" t="s">
        <v>183</v>
      </c>
      <c r="B17244" s="1" t="str">
        <f>HYPERLINK("http://archipelagobrewery.com","archipelagobrewery.com")</f>
        <v>archipelagobrewery.com</v>
      </c>
      <c r="C17244" t="s">
        <v>433</v>
      </c>
      <c r="F17244">
        <v>8.0122901324835902E-9</v>
      </c>
      <c r="G17244">
        <v>9898317</v>
      </c>
      <c r="H17244">
        <v>13796324</v>
      </c>
      <c r="I17244">
        <v>6304282</v>
      </c>
      <c r="J17244">
        <v>4</v>
      </c>
    </row>
    <row r="17245" spans="1:10" x14ac:dyDescent="0.25">
      <c r="A17245" t="s">
        <v>183</v>
      </c>
      <c r="B17245" s="1" t="str">
        <f>HYPERLINK("http://bralirwa.com","bralirwa.com")</f>
        <v>bralirwa.com</v>
      </c>
      <c r="C17245" t="s">
        <v>433</v>
      </c>
      <c r="F17245">
        <v>1.6975456251536801E-8</v>
      </c>
      <c r="G17245">
        <v>3289024</v>
      </c>
      <c r="H17245">
        <v>14575556</v>
      </c>
      <c r="I17245">
        <v>727262</v>
      </c>
      <c r="J17245">
        <v>3</v>
      </c>
    </row>
    <row r="17246" spans="1:10" x14ac:dyDescent="0.25">
      <c r="A17246" t="s">
        <v>183</v>
      </c>
      <c r="B17246" s="1" t="str">
        <f>HYPERLINK("http://branahaiti.com","branahaiti.com")</f>
        <v>branahaiti.com</v>
      </c>
      <c r="C17246" t="s">
        <v>433</v>
      </c>
      <c r="F17246">
        <v>5.8028104826182403E-9</v>
      </c>
      <c r="G17246">
        <v>18065557</v>
      </c>
      <c r="H17246">
        <v>12682393</v>
      </c>
      <c r="I17246">
        <v>15476948</v>
      </c>
      <c r="J17246">
        <v>3</v>
      </c>
    </row>
    <row r="17247" spans="1:10" x14ac:dyDescent="0.25">
      <c r="A17247" t="s">
        <v>183</v>
      </c>
      <c r="B17247" s="1" t="str">
        <f>HYPERLINK("http://brauunion.com","brauunion.com")</f>
        <v>brauunion.com</v>
      </c>
      <c r="C17247" t="s">
        <v>433</v>
      </c>
      <c r="F17247">
        <v>7.6256048114959093E-9</v>
      </c>
      <c r="G17247">
        <v>10738696</v>
      </c>
      <c r="H17247">
        <v>12628346</v>
      </c>
      <c r="I17247">
        <v>16003413</v>
      </c>
      <c r="J17247">
        <v>5</v>
      </c>
    </row>
    <row r="17248" spans="1:10" x14ac:dyDescent="0.25">
      <c r="A17248" t="s">
        <v>183</v>
      </c>
      <c r="B17248" s="1" t="str">
        <f>HYPERLINK("http://britons-protection.com","britons-protection.com")</f>
        <v>britons-protection.com</v>
      </c>
      <c r="C17248" t="s">
        <v>433</v>
      </c>
      <c r="F17248">
        <v>5.3419444679012998E-9</v>
      </c>
      <c r="G17248">
        <v>22908039</v>
      </c>
      <c r="H17248">
        <v>13383269</v>
      </c>
      <c r="I17248">
        <v>10416648</v>
      </c>
      <c r="J17248">
        <v>4</v>
      </c>
    </row>
    <row r="17249" spans="1:10" x14ac:dyDescent="0.25">
      <c r="A17249" t="s">
        <v>183</v>
      </c>
      <c r="B17249" s="1" t="str">
        <f>HYPERLINK("http://brixtonbrewery.com","brixtonbrewery.com")</f>
        <v>brixtonbrewery.com</v>
      </c>
      <c r="C17249" t="s">
        <v>433</v>
      </c>
      <c r="F17249">
        <v>1.6890941897711799E-8</v>
      </c>
      <c r="G17249">
        <v>3310187</v>
      </c>
      <c r="H17249">
        <v>14195908</v>
      </c>
      <c r="I17249">
        <v>1735859</v>
      </c>
      <c r="J17249">
        <v>6</v>
      </c>
    </row>
    <row r="17250" spans="1:10" x14ac:dyDescent="0.25">
      <c r="A17250" t="s">
        <v>183</v>
      </c>
      <c r="B17250" s="1" t="str">
        <f>HYPERLINK("http://caledonianbeer.com","caledonianbeer.com")</f>
        <v>caledonianbeer.com</v>
      </c>
      <c r="C17250" t="s">
        <v>433</v>
      </c>
      <c r="F17250">
        <v>1.8323247373085E-8</v>
      </c>
      <c r="G17250">
        <v>2962936</v>
      </c>
      <c r="H17250">
        <v>14139155</v>
      </c>
      <c r="I17250">
        <v>1942346</v>
      </c>
      <c r="J17250">
        <v>3</v>
      </c>
    </row>
    <row r="17251" spans="1:10" x14ac:dyDescent="0.25">
      <c r="A17251" t="s">
        <v>183</v>
      </c>
      <c r="B17251" s="1" t="str">
        <f>HYPERLINK("http://castleinncorfe.com","castleinncorfe.com")</f>
        <v>castleinncorfe.com</v>
      </c>
      <c r="C17251" t="s">
        <v>433</v>
      </c>
      <c r="F17251">
        <v>4.44380395335525E-9</v>
      </c>
      <c r="G17251">
        <v>81047497</v>
      </c>
      <c r="H17251">
        <v>0</v>
      </c>
      <c r="I17251">
        <v>81340842</v>
      </c>
      <c r="J17251">
        <v>4</v>
      </c>
    </row>
    <row r="17252" spans="1:10" x14ac:dyDescent="0.25">
      <c r="A17252" t="s">
        <v>183</v>
      </c>
      <c r="B17252" s="1" t="str">
        <f>HYPERLINK("http://castleviewpub.com","castleviewpub.com")</f>
        <v>castleviewpub.com</v>
      </c>
      <c r="C17252" t="s">
        <v>433</v>
      </c>
      <c r="F17252">
        <v>4.5442809263513698E-9</v>
      </c>
      <c r="G17252">
        <v>52804908</v>
      </c>
      <c r="H17252">
        <v>12085649</v>
      </c>
      <c r="I17252">
        <v>26392396</v>
      </c>
      <c r="J17252">
        <v>4</v>
      </c>
    </row>
    <row r="17253" spans="1:10" x14ac:dyDescent="0.25">
      <c r="A17253" t="s">
        <v>183</v>
      </c>
      <c r="B17253" s="1" t="str">
        <f>HYPERLINK("http://countryhouseinnexmouth.com","countryhouseinnexmouth.com")</f>
        <v>countryhouseinnexmouth.com</v>
      </c>
      <c r="C17253" t="s">
        <v>433</v>
      </c>
      <c r="F17253">
        <v>4.4486389015564302E-9</v>
      </c>
      <c r="G17253">
        <v>72733513</v>
      </c>
      <c r="H17253">
        <v>12297726</v>
      </c>
      <c r="I17253">
        <v>20903008</v>
      </c>
      <c r="J17253">
        <v>4</v>
      </c>
    </row>
    <row r="17254" spans="1:10" x14ac:dyDescent="0.25">
      <c r="A17254" t="s">
        <v>183</v>
      </c>
      <c r="B17254" s="1" t="str">
        <f>HYPERLINK("http://crowninntrelawnyd.com","crowninntrelawnyd.com")</f>
        <v>crowninntrelawnyd.com</v>
      </c>
      <c r="C17254" t="s">
        <v>433</v>
      </c>
      <c r="F17254">
        <v>4.44380395335525E-9</v>
      </c>
      <c r="G17254">
        <v>81253723</v>
      </c>
      <c r="H17254">
        <v>0</v>
      </c>
      <c r="I17254">
        <v>81595510</v>
      </c>
      <c r="J17254">
        <v>4</v>
      </c>
    </row>
    <row r="17255" spans="1:10" x14ac:dyDescent="0.25">
      <c r="A17255" t="s">
        <v>183</v>
      </c>
      <c r="B17255" s="1" t="str">
        <f>HYPERLINK("http://heineken.com","heineken.com")</f>
        <v>heineken.com</v>
      </c>
      <c r="C17255" t="s">
        <v>433</v>
      </c>
      <c r="E17255">
        <v>19692</v>
      </c>
      <c r="F17255">
        <v>1.58092662199762E-6</v>
      </c>
      <c r="G17255">
        <v>24855</v>
      </c>
      <c r="H17255">
        <v>17422854</v>
      </c>
      <c r="I17255">
        <v>17714</v>
      </c>
      <c r="J17255">
        <v>4</v>
      </c>
    </row>
    <row r="17256" spans="1:10" x14ac:dyDescent="0.25">
      <c r="A17256" t="s">
        <v>183</v>
      </c>
      <c r="B17256" s="1" t="str">
        <f>HYPERLINK("http://heinekenasiapacific.com","heinekenasiapacific.com")</f>
        <v>heinekenasiapacific.com</v>
      </c>
      <c r="C17256" t="s">
        <v>433</v>
      </c>
      <c r="F17256">
        <v>5.6081321034224296E-9</v>
      </c>
      <c r="G17256">
        <v>19779931</v>
      </c>
      <c r="H17256">
        <v>12471079</v>
      </c>
      <c r="I17256">
        <v>17737107</v>
      </c>
      <c r="J17256">
        <v>3</v>
      </c>
    </row>
    <row r="17257" spans="1:10" x14ac:dyDescent="0.25">
      <c r="A17257" t="s">
        <v>183</v>
      </c>
      <c r="B17257" s="1" t="str">
        <f>HYPERLINK("http://heinekeninternational.com","heinekeninternational.com")</f>
        <v>heinekeninternational.com</v>
      </c>
      <c r="C17257" t="s">
        <v>433</v>
      </c>
      <c r="E17257">
        <v>959634</v>
      </c>
      <c r="F17257">
        <v>5.4605760924326499E-8</v>
      </c>
      <c r="G17257">
        <v>825748</v>
      </c>
      <c r="H17257">
        <v>14870027</v>
      </c>
      <c r="I17257">
        <v>478980</v>
      </c>
      <c r="J17257">
        <v>2</v>
      </c>
    </row>
    <row r="17258" spans="1:10" x14ac:dyDescent="0.25">
      <c r="A17258" t="s">
        <v>183</v>
      </c>
      <c r="B17258" s="1" t="str">
        <f>HYPERLINK("http://heinekenmexico.com","heinekenmexico.com")</f>
        <v>heinekenmexico.com</v>
      </c>
      <c r="C17258" t="s">
        <v>433</v>
      </c>
      <c r="F17258">
        <v>5.5910770859414997E-8</v>
      </c>
      <c r="G17258">
        <v>801390</v>
      </c>
      <c r="H17258">
        <v>14392753</v>
      </c>
      <c r="I17258">
        <v>1164469</v>
      </c>
      <c r="J17258">
        <v>3</v>
      </c>
    </row>
    <row r="17259" spans="1:10" x14ac:dyDescent="0.25">
      <c r="A17259" t="s">
        <v>183</v>
      </c>
      <c r="B17259" s="1" t="str">
        <f>HYPERLINK("http://heinekenswitzerland.com","heinekenswitzerland.com")</f>
        <v>heinekenswitzerland.com</v>
      </c>
      <c r="C17259" t="s">
        <v>433</v>
      </c>
      <c r="F17259">
        <v>5.1365120757358001E-8</v>
      </c>
      <c r="G17259">
        <v>891153</v>
      </c>
      <c r="H17259">
        <v>13572444</v>
      </c>
      <c r="I17259">
        <v>9714611</v>
      </c>
      <c r="J17259">
        <v>4</v>
      </c>
    </row>
    <row r="17260" spans="1:10" x14ac:dyDescent="0.25">
      <c r="A17260" t="s">
        <v>183</v>
      </c>
      <c r="B17260" s="1" t="str">
        <f>HYPERLINK("http://heinekenusa.com","heinekenusa.com")</f>
        <v>heinekenusa.com</v>
      </c>
      <c r="C17260" t="s">
        <v>433</v>
      </c>
      <c r="E17260">
        <v>873654</v>
      </c>
      <c r="F17260">
        <v>1.38051604233902E-7</v>
      </c>
      <c r="G17260">
        <v>282226</v>
      </c>
      <c r="H17260">
        <v>14532558</v>
      </c>
      <c r="I17260">
        <v>784245</v>
      </c>
      <c r="J17260">
        <v>3</v>
      </c>
    </row>
    <row r="17261" spans="1:10" x14ac:dyDescent="0.25">
      <c r="A17261" t="s">
        <v>183</v>
      </c>
      <c r="B17261" s="1" t="str">
        <f>HYPERLINK("http://karlovacka.com","karlovacka.com")</f>
        <v>karlovacka.com</v>
      </c>
      <c r="C17261" t="s">
        <v>433</v>
      </c>
      <c r="F17261">
        <v>5.8157290045596704E-9</v>
      </c>
      <c r="G17261">
        <v>17969165</v>
      </c>
      <c r="H17261">
        <v>14071797</v>
      </c>
      <c r="I17261">
        <v>3326225</v>
      </c>
      <c r="J17261">
        <v>4</v>
      </c>
    </row>
    <row r="17262" spans="1:10" x14ac:dyDescent="0.25">
      <c r="A17262" t="s">
        <v>183</v>
      </c>
      <c r="B17262" s="1" t="str">
        <f>HYPERLINK("http://kingalfs.com","kingalfs.com")</f>
        <v>kingalfs.com</v>
      </c>
      <c r="C17262" t="s">
        <v>433</v>
      </c>
      <c r="F17262">
        <v>4.68161906497593E-9</v>
      </c>
      <c r="G17262">
        <v>42238825</v>
      </c>
      <c r="H17262">
        <v>10616117</v>
      </c>
      <c r="I17262">
        <v>44399638</v>
      </c>
      <c r="J17262">
        <v>4</v>
      </c>
    </row>
    <row r="17263" spans="1:10" x14ac:dyDescent="0.25">
      <c r="A17263" t="s">
        <v>183</v>
      </c>
      <c r="B17263" s="1" t="str">
        <f>HYPERLINK("http://kingandtinker.com","kingandtinker.com")</f>
        <v>kingandtinker.com</v>
      </c>
      <c r="C17263" t="s">
        <v>433</v>
      </c>
      <c r="F17263">
        <v>4.6387085301196296E-9</v>
      </c>
      <c r="G17263">
        <v>44862902</v>
      </c>
      <c r="H17263">
        <v>11159707</v>
      </c>
      <c r="I17263">
        <v>31631882</v>
      </c>
      <c r="J17263">
        <v>4</v>
      </c>
    </row>
    <row r="17264" spans="1:10" x14ac:dyDescent="0.25">
      <c r="A17264" t="s">
        <v>183</v>
      </c>
      <c r="B17264" s="1" t="str">
        <f>HYPERLINK("http://kingsheadcromer.com","kingsheadcromer.com")</f>
        <v>kingsheadcromer.com</v>
      </c>
      <c r="C17264" t="s">
        <v>433</v>
      </c>
      <c r="F17264">
        <v>4.4932606905075099E-9</v>
      </c>
      <c r="G17264">
        <v>59975901</v>
      </c>
      <c r="H17264">
        <v>12339840</v>
      </c>
      <c r="I17264">
        <v>20005353</v>
      </c>
      <c r="J17264">
        <v>4</v>
      </c>
    </row>
    <row r="17265" spans="1:10" x14ac:dyDescent="0.25">
      <c r="A17265" t="s">
        <v>183</v>
      </c>
      <c r="B17265" s="1" t="str">
        <f>HYPERLINK("http://lagunitas.com","lagunitas.com")</f>
        <v>lagunitas.com</v>
      </c>
      <c r="C17265" t="s">
        <v>433</v>
      </c>
      <c r="E17265">
        <v>80737</v>
      </c>
      <c r="F17265">
        <v>4.8908791674295897E-7</v>
      </c>
      <c r="G17265">
        <v>77965</v>
      </c>
      <c r="H17265">
        <v>14817577</v>
      </c>
      <c r="I17265">
        <v>521339</v>
      </c>
      <c r="J17265">
        <v>3</v>
      </c>
    </row>
    <row r="17266" spans="1:10" x14ac:dyDescent="0.25">
      <c r="A17266" t="s">
        <v>183</v>
      </c>
      <c r="B17266" s="1" t="str">
        <f>HYPERLINK("http://liontavern.com","liontavern.com")</f>
        <v>liontavern.com</v>
      </c>
      <c r="C17266" t="s">
        <v>433</v>
      </c>
      <c r="F17266">
        <v>4.6288463216376099E-9</v>
      </c>
      <c r="G17266">
        <v>45518073</v>
      </c>
      <c r="H17266">
        <v>13763634</v>
      </c>
      <c r="I17266">
        <v>8370728</v>
      </c>
      <c r="J17266">
        <v>4</v>
      </c>
    </row>
    <row r="17267" spans="1:10" x14ac:dyDescent="0.25">
      <c r="A17267" t="s">
        <v>183</v>
      </c>
      <c r="B17267" s="1" t="str">
        <f>HYPERLINK("http://murphys.com","murphys.com")</f>
        <v>murphys.com</v>
      </c>
      <c r="C17267" t="s">
        <v>433</v>
      </c>
      <c r="F17267">
        <v>2.8856661275823299E-8</v>
      </c>
      <c r="G17267">
        <v>1783730</v>
      </c>
      <c r="H17267">
        <v>14518391</v>
      </c>
      <c r="I17267">
        <v>808253</v>
      </c>
      <c r="J17267">
        <v>3</v>
      </c>
    </row>
    <row r="17268" spans="1:10" x14ac:dyDescent="0.25">
      <c r="A17268" t="s">
        <v>183</v>
      </c>
      <c r="B17268" s="1" t="str">
        <f>HYPERLINK("http://nbplc.com","nbplc.com")</f>
        <v>nbplc.com</v>
      </c>
      <c r="C17268" t="s">
        <v>433</v>
      </c>
      <c r="E17268">
        <v>647838</v>
      </c>
      <c r="F17268">
        <v>4.0156135186586402E-8</v>
      </c>
      <c r="G17268">
        <v>1287994</v>
      </c>
      <c r="H17268">
        <v>13771635</v>
      </c>
      <c r="I17268">
        <v>6686724</v>
      </c>
      <c r="J17268">
        <v>3</v>
      </c>
    </row>
    <row r="17269" spans="1:10" x14ac:dyDescent="0.25">
      <c r="A17269" t="s">
        <v>183</v>
      </c>
      <c r="B17269" s="1" t="str">
        <f>HYPERLINK("http://poundffald.com","poundffald.com")</f>
        <v>poundffald.com</v>
      </c>
      <c r="C17269" t="s">
        <v>433</v>
      </c>
      <c r="J17269">
        <v>4</v>
      </c>
    </row>
    <row r="17270" spans="1:10" x14ac:dyDescent="0.25">
      <c r="A17270" t="s">
        <v>183</v>
      </c>
      <c r="B17270" s="1" t="str">
        <f>HYPERLINK("http://punchpubs.com","punchpubs.com")</f>
        <v>punchpubs.com</v>
      </c>
      <c r="C17270" t="s">
        <v>433</v>
      </c>
      <c r="F17270">
        <v>2.09163794101649E-8</v>
      </c>
      <c r="G17270">
        <v>2527143</v>
      </c>
      <c r="H17270">
        <v>13200490</v>
      </c>
      <c r="I17270">
        <v>11549615</v>
      </c>
      <c r="J17270">
        <v>5</v>
      </c>
    </row>
    <row r="17271" spans="1:10" x14ac:dyDescent="0.25">
      <c r="A17271" t="s">
        <v>183</v>
      </c>
      <c r="B17271" s="1" t="str">
        <f>HYPERLINK("http://punchtavern.com","punchtavern.com")</f>
        <v>punchtavern.com</v>
      </c>
      <c r="C17271" t="s">
        <v>433</v>
      </c>
      <c r="F17271">
        <v>1.5067070582965901E-8</v>
      </c>
      <c r="G17271">
        <v>3818116</v>
      </c>
      <c r="H17271">
        <v>12387985</v>
      </c>
      <c r="I17271">
        <v>19082421</v>
      </c>
      <c r="J17271">
        <v>4</v>
      </c>
    </row>
    <row r="17272" spans="1:10" x14ac:dyDescent="0.25">
      <c r="A17272" t="s">
        <v>183</v>
      </c>
      <c r="B17272" s="1" t="str">
        <f>HYPERLINK("http://punchtaverns.com","punchtaverns.com")</f>
        <v>punchtaverns.com</v>
      </c>
      <c r="C17272" t="s">
        <v>433</v>
      </c>
      <c r="F17272">
        <v>1.49209345326037E-8</v>
      </c>
      <c r="G17272">
        <v>3865624</v>
      </c>
      <c r="H17272">
        <v>14503133</v>
      </c>
      <c r="I17272">
        <v>843782</v>
      </c>
      <c r="J17272">
        <v>3</v>
      </c>
    </row>
    <row r="17273" spans="1:10" x14ac:dyDescent="0.25">
      <c r="A17273" t="s">
        <v>183</v>
      </c>
      <c r="B17273" s="1" t="str">
        <f>HYPERLINK("http://punchtavernsplc.com","punchtavernsplc.com")</f>
        <v>punchtavernsplc.com</v>
      </c>
      <c r="C17273" t="s">
        <v>433</v>
      </c>
      <c r="F17273">
        <v>5.8500358508957796E-9</v>
      </c>
      <c r="G17273">
        <v>17709661</v>
      </c>
      <c r="H17273">
        <v>10962723</v>
      </c>
      <c r="I17273">
        <v>34293040</v>
      </c>
      <c r="J17273">
        <v>6</v>
      </c>
    </row>
    <row r="17274" spans="1:10" x14ac:dyDescent="0.25">
      <c r="A17274" t="s">
        <v>183</v>
      </c>
      <c r="B17274" s="1" t="str">
        <f>HYPERLINK("http://redstripebeer.com","redstripebeer.com")</f>
        <v>redstripebeer.com</v>
      </c>
      <c r="C17274" t="s">
        <v>433</v>
      </c>
      <c r="E17274">
        <v>863469</v>
      </c>
      <c r="F17274">
        <v>5.6763589701230403E-8</v>
      </c>
      <c r="G17274">
        <v>787186</v>
      </c>
      <c r="H17274">
        <v>14255747</v>
      </c>
      <c r="I17274">
        <v>1432218</v>
      </c>
      <c r="J17274">
        <v>3</v>
      </c>
    </row>
    <row r="17275" spans="1:10" x14ac:dyDescent="0.25">
      <c r="A17275" t="s">
        <v>183</v>
      </c>
      <c r="B17275" s="1" t="str">
        <f>HYPERLINK("http://slbrewery.com","slbrewery.com")</f>
        <v>slbrewery.com</v>
      </c>
      <c r="C17275" t="s">
        <v>433</v>
      </c>
      <c r="F17275">
        <v>4.4603628790893901E-9</v>
      </c>
      <c r="G17275">
        <v>67641389</v>
      </c>
      <c r="H17275">
        <v>8466864</v>
      </c>
      <c r="I17275">
        <v>72331266</v>
      </c>
      <c r="J17275">
        <v>3</v>
      </c>
    </row>
    <row r="17276" spans="1:10" x14ac:dyDescent="0.25">
      <c r="A17276" t="s">
        <v>183</v>
      </c>
      <c r="B17276" s="1" t="str">
        <f>HYPERLINK("http://storyinns.com","storyinns.com")</f>
        <v>storyinns.com</v>
      </c>
      <c r="C17276" t="s">
        <v>433</v>
      </c>
      <c r="F17276">
        <v>4.4993484249490003E-9</v>
      </c>
      <c r="G17276">
        <v>59044011</v>
      </c>
      <c r="H17276">
        <v>12344118</v>
      </c>
      <c r="I17276">
        <v>19866744</v>
      </c>
      <c r="J17276">
        <v>4</v>
      </c>
    </row>
    <row r="17277" spans="1:10" x14ac:dyDescent="0.25">
      <c r="A17277" t="s">
        <v>183</v>
      </c>
      <c r="B17277" s="1" t="str">
        <f>HYPERLINK("http://the-jockey.com","the-jockey.com")</f>
        <v>the-jockey.com</v>
      </c>
      <c r="C17277" t="s">
        <v>433</v>
      </c>
      <c r="F17277">
        <v>4.4907151353488104E-9</v>
      </c>
      <c r="G17277">
        <v>60409018</v>
      </c>
      <c r="H17277">
        <v>10593871</v>
      </c>
      <c r="I17277">
        <v>45403857</v>
      </c>
      <c r="J17277">
        <v>4</v>
      </c>
    </row>
    <row r="17278" spans="1:10" x14ac:dyDescent="0.25">
      <c r="A17278" t="s">
        <v>183</v>
      </c>
      <c r="B17278" s="1" t="str">
        <f>HYPERLINK("http://theblackhorseeastcote.com","theblackhorseeastcote.com")</f>
        <v>theblackhorseeastcote.com</v>
      </c>
      <c r="C17278" t="s">
        <v>433</v>
      </c>
      <c r="F17278">
        <v>5.5841583608017601E-9</v>
      </c>
      <c r="G17278">
        <v>20014069</v>
      </c>
      <c r="H17278">
        <v>13763635</v>
      </c>
      <c r="I17278">
        <v>8203706</v>
      </c>
      <c r="J17278">
        <v>4</v>
      </c>
    </row>
    <row r="17279" spans="1:10" x14ac:dyDescent="0.25">
      <c r="A17279" t="s">
        <v>183</v>
      </c>
      <c r="B17279" s="1" t="str">
        <f>HYPERLINK("http://thebootstalbans.com","thebootstalbans.com")</f>
        <v>thebootstalbans.com</v>
      </c>
      <c r="C17279" t="s">
        <v>433</v>
      </c>
      <c r="F17279">
        <v>4.7534114196711599E-9</v>
      </c>
      <c r="G17279">
        <v>38170552</v>
      </c>
      <c r="H17279">
        <v>12297736</v>
      </c>
      <c r="I17279">
        <v>20898166</v>
      </c>
      <c r="J17279">
        <v>4</v>
      </c>
    </row>
    <row r="17280" spans="1:10" x14ac:dyDescent="0.25">
      <c r="A17280" t="s">
        <v>183</v>
      </c>
      <c r="B17280" s="1" t="str">
        <f>HYPERLINK("http://thebridgeendinn.com","thebridgeendinn.com")</f>
        <v>thebridgeendinn.com</v>
      </c>
      <c r="C17280" t="s">
        <v>433</v>
      </c>
      <c r="F17280">
        <v>4.66127065930533E-9</v>
      </c>
      <c r="G17280">
        <v>43439599</v>
      </c>
      <c r="H17280">
        <v>12073457</v>
      </c>
      <c r="I17280">
        <v>26717488</v>
      </c>
      <c r="J17280">
        <v>4</v>
      </c>
    </row>
    <row r="17281" spans="1:10" x14ac:dyDescent="0.25">
      <c r="A17281" t="s">
        <v>183</v>
      </c>
      <c r="B17281" s="1" t="str">
        <f>HYPERLINK("http://thedukeonline.com","thedukeonline.com")</f>
        <v>thedukeonline.com</v>
      </c>
      <c r="C17281" t="s">
        <v>433</v>
      </c>
      <c r="F17281">
        <v>4.4523796955136298E-9</v>
      </c>
      <c r="G17281">
        <v>70677838</v>
      </c>
      <c r="H17281">
        <v>12098209</v>
      </c>
      <c r="I17281">
        <v>26015741</v>
      </c>
      <c r="J17281">
        <v>4</v>
      </c>
    </row>
    <row r="17282" spans="1:10" x14ac:dyDescent="0.25">
      <c r="A17282" t="s">
        <v>183</v>
      </c>
      <c r="B17282" s="1" t="str">
        <f>HYPERLINK("http://thegladpub.com","thegladpub.com")</f>
        <v>thegladpub.com</v>
      </c>
      <c r="C17282" t="s">
        <v>433</v>
      </c>
      <c r="F17282">
        <v>5.9182801289058104E-9</v>
      </c>
      <c r="G17282">
        <v>17231882</v>
      </c>
      <c r="H17282">
        <v>14003110</v>
      </c>
      <c r="I17282">
        <v>4009404</v>
      </c>
      <c r="J17282">
        <v>4</v>
      </c>
    </row>
    <row r="17283" spans="1:10" x14ac:dyDescent="0.25">
      <c r="A17283" t="s">
        <v>183</v>
      </c>
      <c r="B17283" s="1" t="str">
        <f>HYPERLINK("http://theheinekencompany.com","theheinekencompany.com")</f>
        <v>theheinekencompany.com</v>
      </c>
      <c r="C17283" t="s">
        <v>433</v>
      </c>
      <c r="E17283">
        <v>96393</v>
      </c>
      <c r="F17283">
        <v>7.8225608113008101E-7</v>
      </c>
      <c r="G17283">
        <v>50133</v>
      </c>
      <c r="H17283">
        <v>14905330</v>
      </c>
      <c r="I17283">
        <v>460762</v>
      </c>
      <c r="J17283">
        <v>1</v>
      </c>
    </row>
    <row r="17284" spans="1:10" x14ac:dyDescent="0.25">
      <c r="A17284" t="s">
        <v>183</v>
      </c>
      <c r="B17284" s="1" t="str">
        <f>HYPERLINK("http://therisingsunmillhill.com","therisingsunmillhill.com")</f>
        <v>therisingsunmillhill.com</v>
      </c>
      <c r="C17284" t="s">
        <v>433</v>
      </c>
      <c r="F17284">
        <v>4.5417493482235996E-9</v>
      </c>
      <c r="G17284">
        <v>53137336</v>
      </c>
      <c r="H17284">
        <v>11144319</v>
      </c>
      <c r="I17284">
        <v>31793971</v>
      </c>
      <c r="J17284">
        <v>4</v>
      </c>
    </row>
    <row r="17285" spans="1:10" x14ac:dyDescent="0.25">
      <c r="A17285" t="s">
        <v>183</v>
      </c>
      <c r="B17285" s="1" t="str">
        <f>HYPERLINK("http://thesuninndedham.com","thesuninndedham.com")</f>
        <v>thesuninndedham.com</v>
      </c>
      <c r="C17285" t="s">
        <v>433</v>
      </c>
      <c r="F17285">
        <v>1.0983938881996999E-8</v>
      </c>
      <c r="G17285">
        <v>5873250</v>
      </c>
      <c r="H17285">
        <v>13922240</v>
      </c>
      <c r="I17285">
        <v>5933648</v>
      </c>
      <c r="J17285">
        <v>6</v>
      </c>
    </row>
    <row r="17286" spans="1:10" x14ac:dyDescent="0.25">
      <c r="A17286" t="s">
        <v>183</v>
      </c>
      <c r="B17286" s="1" t="str">
        <f>HYPERLINK("http://unitedbreweries.com","unitedbreweries.com")</f>
        <v>unitedbreweries.com</v>
      </c>
      <c r="C17286" t="s">
        <v>433</v>
      </c>
      <c r="F17286">
        <v>2.33102781484208E-8</v>
      </c>
      <c r="G17286">
        <v>2237838</v>
      </c>
      <c r="H17286">
        <v>14495762</v>
      </c>
      <c r="I17286">
        <v>874225</v>
      </c>
      <c r="J17286">
        <v>3</v>
      </c>
    </row>
    <row r="17287" spans="1:10" x14ac:dyDescent="0.25">
      <c r="A17287" t="s">
        <v>183</v>
      </c>
      <c r="B17287" s="1" t="str">
        <f>HYPERLINK("http://heinekenceskarepublika.cz","heinekenceskarepublika.cz")</f>
        <v>heinekenceskarepublika.cz</v>
      </c>
      <c r="C17287" t="s">
        <v>435</v>
      </c>
      <c r="D17287" t="s">
        <v>814</v>
      </c>
      <c r="F17287">
        <v>3.4863756042521102E-8</v>
      </c>
      <c r="G17287">
        <v>1489499</v>
      </c>
      <c r="H17287">
        <v>13776969</v>
      </c>
      <c r="I17287">
        <v>6545134</v>
      </c>
      <c r="J17287">
        <v>3</v>
      </c>
    </row>
    <row r="17288" spans="1:10" x14ac:dyDescent="0.25">
      <c r="A17288" t="s">
        <v>183</v>
      </c>
      <c r="B17288" s="1" t="str">
        <f>HYPERLINK("http://cruzcampo.es","cruzcampo.es")</f>
        <v>cruzcampo.es</v>
      </c>
      <c r="C17288" t="s">
        <v>443</v>
      </c>
      <c r="D17288" t="s">
        <v>822</v>
      </c>
      <c r="E17288">
        <v>901819</v>
      </c>
      <c r="F17288">
        <v>8.0472465475738106E-8</v>
      </c>
      <c r="G17288">
        <v>518960</v>
      </c>
      <c r="H17288">
        <v>14587619</v>
      </c>
      <c r="I17288">
        <v>698904</v>
      </c>
      <c r="J17288">
        <v>3</v>
      </c>
    </row>
    <row r="17289" spans="1:10" x14ac:dyDescent="0.25">
      <c r="A17289" t="s">
        <v>183</v>
      </c>
      <c r="B17289" s="1" t="str">
        <f>HYPERLINK("http://heinekenespana.es","heinekenespana.es")</f>
        <v>heinekenespana.es</v>
      </c>
      <c r="C17289" t="s">
        <v>443</v>
      </c>
      <c r="D17289" t="s">
        <v>822</v>
      </c>
      <c r="F17289">
        <v>9.1907212081459706E-8</v>
      </c>
      <c r="G17289">
        <v>443171</v>
      </c>
      <c r="H17289">
        <v>13799369</v>
      </c>
      <c r="I17289">
        <v>6286084</v>
      </c>
      <c r="J17289">
        <v>3</v>
      </c>
    </row>
    <row r="17290" spans="1:10" x14ac:dyDescent="0.25">
      <c r="A17290" t="s">
        <v>183</v>
      </c>
      <c r="B17290" s="1" t="str">
        <f>HYPERLINK("http://birramoretti.fi","birramoretti.fi")</f>
        <v>birramoretti.fi</v>
      </c>
      <c r="C17290" t="s">
        <v>445</v>
      </c>
      <c r="D17290" t="s">
        <v>823</v>
      </c>
      <c r="J17290">
        <v>2</v>
      </c>
    </row>
    <row r="17291" spans="1:10" x14ac:dyDescent="0.25">
      <c r="A17291" t="s">
        <v>183</v>
      </c>
      <c r="B17291" s="1" t="str">
        <f>HYPERLINK("http://lagunitas.fi","lagunitas.fi")</f>
        <v>lagunitas.fi</v>
      </c>
      <c r="C17291" t="s">
        <v>445</v>
      </c>
      <c r="D17291" t="s">
        <v>823</v>
      </c>
      <c r="J17291">
        <v>2</v>
      </c>
    </row>
    <row r="17292" spans="1:10" x14ac:dyDescent="0.25">
      <c r="A17292" t="s">
        <v>183</v>
      </c>
      <c r="B17292" s="1" t="str">
        <f>HYPERLINK("http://france-boissons.fr","france-boissons.fr")</f>
        <v>france-boissons.fr</v>
      </c>
      <c r="C17292" t="s">
        <v>446</v>
      </c>
      <c r="D17292" t="s">
        <v>824</v>
      </c>
      <c r="F17292">
        <v>7.9524400602454897E-8</v>
      </c>
      <c r="G17292">
        <v>525437</v>
      </c>
      <c r="H17292">
        <v>13867803</v>
      </c>
      <c r="I17292">
        <v>6004045</v>
      </c>
      <c r="J17292">
        <v>3</v>
      </c>
    </row>
    <row r="17293" spans="1:10" x14ac:dyDescent="0.25">
      <c r="A17293" t="s">
        <v>183</v>
      </c>
      <c r="B17293" s="1" t="str">
        <f>HYPERLINK("http://heinekenfrance.fr","heinekenfrance.fr")</f>
        <v>heinekenfrance.fr</v>
      </c>
      <c r="C17293" t="s">
        <v>446</v>
      </c>
      <c r="D17293" t="s">
        <v>824</v>
      </c>
      <c r="F17293">
        <v>8.4160650431202698E-8</v>
      </c>
      <c r="G17293">
        <v>491478</v>
      </c>
      <c r="H17293">
        <v>14482247</v>
      </c>
      <c r="I17293">
        <v>1023641</v>
      </c>
      <c r="J17293">
        <v>3</v>
      </c>
    </row>
    <row r="17294" spans="1:10" x14ac:dyDescent="0.25">
      <c r="A17294" t="s">
        <v>183</v>
      </c>
      <c r="B17294" s="1" t="str">
        <f>HYPERLINK("http://athenianbrewery.gr","athenianbrewery.gr")</f>
        <v>athenianbrewery.gr</v>
      </c>
      <c r="C17294" t="s">
        <v>447</v>
      </c>
      <c r="D17294" t="s">
        <v>825</v>
      </c>
      <c r="F17294">
        <v>4.0372260976321703E-8</v>
      </c>
      <c r="G17294">
        <v>1282106</v>
      </c>
      <c r="H17294">
        <v>14300839</v>
      </c>
      <c r="I17294">
        <v>1355853</v>
      </c>
      <c r="J17294">
        <v>3</v>
      </c>
    </row>
    <row r="17295" spans="1:10" x14ac:dyDescent="0.25">
      <c r="A17295" t="s">
        <v>183</v>
      </c>
      <c r="B17295" s="1" t="str">
        <f>HYPERLINK("http://heineken.gr","heineken.gr")</f>
        <v>heineken.gr</v>
      </c>
      <c r="C17295" t="s">
        <v>447</v>
      </c>
      <c r="D17295" t="s">
        <v>825</v>
      </c>
      <c r="F17295">
        <v>1.3713546189753499E-8</v>
      </c>
      <c r="G17295">
        <v>4315791</v>
      </c>
      <c r="H17295">
        <v>13764146</v>
      </c>
      <c r="I17295">
        <v>7362171</v>
      </c>
      <c r="J17295">
        <v>5</v>
      </c>
    </row>
    <row r="17296" spans="1:10" x14ac:dyDescent="0.25">
      <c r="A17296" t="s">
        <v>183</v>
      </c>
      <c r="B17296" s="1" t="str">
        <f>HYPERLINK("http://heineken.hu","heineken.hu")</f>
        <v>heineken.hu</v>
      </c>
      <c r="C17296" t="s">
        <v>453</v>
      </c>
      <c r="D17296" t="s">
        <v>830</v>
      </c>
      <c r="F17296">
        <v>5.4694992837761902E-9</v>
      </c>
      <c r="G17296">
        <v>21250639</v>
      </c>
      <c r="H17296">
        <v>14073093</v>
      </c>
      <c r="I17296">
        <v>3018069</v>
      </c>
      <c r="J17296">
        <v>5</v>
      </c>
    </row>
    <row r="17297" spans="1:10" x14ac:dyDescent="0.25">
      <c r="A17297" t="s">
        <v>183</v>
      </c>
      <c r="B17297" s="1" t="str">
        <f>HYPERLINK("http://multibintang.co.id","multibintang.co.id")</f>
        <v>multibintang.co.id</v>
      </c>
      <c r="C17297" t="s">
        <v>454</v>
      </c>
      <c r="D17297" t="s">
        <v>831</v>
      </c>
      <c r="F17297">
        <v>2.7932229336381101E-8</v>
      </c>
      <c r="G17297">
        <v>1841572</v>
      </c>
      <c r="H17297">
        <v>14354564</v>
      </c>
      <c r="I17297">
        <v>1307180</v>
      </c>
      <c r="J17297">
        <v>5</v>
      </c>
    </row>
    <row r="17298" spans="1:10" x14ac:dyDescent="0.25">
      <c r="A17298" t="s">
        <v>183</v>
      </c>
      <c r="B17298" s="1" t="str">
        <f>HYPERLINK("http://beamish.ie","beamish.ie")</f>
        <v>beamish.ie</v>
      </c>
      <c r="C17298" t="s">
        <v>455</v>
      </c>
      <c r="D17298" t="s">
        <v>832</v>
      </c>
      <c r="F17298">
        <v>1.19869684264599E-8</v>
      </c>
      <c r="G17298">
        <v>5184665</v>
      </c>
      <c r="H17298">
        <v>14561091</v>
      </c>
      <c r="I17298">
        <v>745302</v>
      </c>
      <c r="J17298">
        <v>3</v>
      </c>
    </row>
    <row r="17299" spans="1:10" x14ac:dyDescent="0.25">
      <c r="A17299" t="s">
        <v>183</v>
      </c>
      <c r="B17299" s="1" t="str">
        <f>HYPERLINK("http://birraichnusa.it","birraichnusa.it")</f>
        <v>birraichnusa.it</v>
      </c>
      <c r="C17299" t="s">
        <v>459</v>
      </c>
      <c r="D17299" t="s">
        <v>835</v>
      </c>
      <c r="F17299">
        <v>2.7807085802208201E-8</v>
      </c>
      <c r="G17299">
        <v>1849401</v>
      </c>
      <c r="H17299">
        <v>14606069</v>
      </c>
      <c r="I17299">
        <v>681562</v>
      </c>
      <c r="J17299">
        <v>3</v>
      </c>
    </row>
    <row r="17300" spans="1:10" x14ac:dyDescent="0.25">
      <c r="A17300" t="s">
        <v>183</v>
      </c>
      <c r="B17300" s="1" t="str">
        <f>HYPERLINK("http://heineken.it","heineken.it")</f>
        <v>heineken.it</v>
      </c>
      <c r="C17300" t="s">
        <v>459</v>
      </c>
      <c r="D17300" t="s">
        <v>835</v>
      </c>
      <c r="F17300">
        <v>1.1481636187387901E-8</v>
      </c>
      <c r="G17300">
        <v>5517773</v>
      </c>
      <c r="H17300">
        <v>14489128</v>
      </c>
      <c r="I17300">
        <v>925632</v>
      </c>
      <c r="J17300">
        <v>3</v>
      </c>
    </row>
    <row r="17301" spans="1:10" x14ac:dyDescent="0.25">
      <c r="A17301" t="s">
        <v>183</v>
      </c>
      <c r="B17301" s="1" t="str">
        <f>HYPERLINK("http://partesa.it","partesa.it")</f>
        <v>partesa.it</v>
      </c>
      <c r="C17301" t="s">
        <v>459</v>
      </c>
      <c r="D17301" t="s">
        <v>835</v>
      </c>
      <c r="F17301">
        <v>1.45987992083104E-8</v>
      </c>
      <c r="G17301">
        <v>3977297</v>
      </c>
      <c r="H17301">
        <v>13768736</v>
      </c>
      <c r="I17301">
        <v>6859384</v>
      </c>
      <c r="J17301">
        <v>3</v>
      </c>
    </row>
    <row r="17302" spans="1:10" x14ac:dyDescent="0.25">
      <c r="A17302" t="s">
        <v>183</v>
      </c>
      <c r="B17302" s="1" t="str">
        <f>HYPERLINK("http://gbnc.nc","gbnc.nc")</f>
        <v>gbnc.nc</v>
      </c>
      <c r="C17302" t="s">
        <v>724</v>
      </c>
      <c r="D17302" t="s">
        <v>1008</v>
      </c>
      <c r="F17302">
        <v>1.4422144899307E-8</v>
      </c>
      <c r="G17302">
        <v>4049478</v>
      </c>
      <c r="H17302">
        <v>13939632</v>
      </c>
      <c r="I17302">
        <v>4387810</v>
      </c>
      <c r="J17302">
        <v>4</v>
      </c>
    </row>
    <row r="17303" spans="1:10" x14ac:dyDescent="0.25">
      <c r="A17303" t="s">
        <v>183</v>
      </c>
      <c r="B17303" s="1" t="str">
        <f>HYPERLINK("http://bralima.net","bralima.net")</f>
        <v>bralima.net</v>
      </c>
      <c r="C17303" t="s">
        <v>474</v>
      </c>
      <c r="F17303">
        <v>1.2960832204052899E-8</v>
      </c>
      <c r="G17303">
        <v>4650658</v>
      </c>
      <c r="H17303">
        <v>12391776</v>
      </c>
      <c r="I17303">
        <v>19001252</v>
      </c>
      <c r="J17303">
        <v>3</v>
      </c>
    </row>
    <row r="17304" spans="1:10" x14ac:dyDescent="0.25">
      <c r="A17304" t="s">
        <v>183</v>
      </c>
      <c r="B17304" s="1" t="str">
        <f>HYPERLINK("http://brarudi.net","brarudi.net")</f>
        <v>brarudi.net</v>
      </c>
      <c r="C17304" t="s">
        <v>474</v>
      </c>
      <c r="F17304">
        <v>6.2104936419298399E-9</v>
      </c>
      <c r="G17304">
        <v>15480428</v>
      </c>
      <c r="H17304">
        <v>12375525</v>
      </c>
      <c r="I17304">
        <v>19310106</v>
      </c>
      <c r="J17304">
        <v>3</v>
      </c>
    </row>
    <row r="17305" spans="1:10" x14ac:dyDescent="0.25">
      <c r="A17305" t="s">
        <v>183</v>
      </c>
      <c r="B17305" s="1" t="str">
        <f>HYPERLINK("http://theherne.net","theherne.net")</f>
        <v>theherne.net</v>
      </c>
      <c r="C17305" t="s">
        <v>474</v>
      </c>
      <c r="F17305">
        <v>5.4434413132699403E-9</v>
      </c>
      <c r="G17305">
        <v>21577217</v>
      </c>
      <c r="H17305">
        <v>13778642</v>
      </c>
      <c r="I17305">
        <v>6515404</v>
      </c>
      <c r="J17305">
        <v>4</v>
      </c>
    </row>
    <row r="17306" spans="1:10" x14ac:dyDescent="0.25">
      <c r="A17306" t="s">
        <v>183</v>
      </c>
      <c r="B17306" s="1" t="str">
        <f>HYPERLINK("http://heineken.nl","heineken.nl")</f>
        <v>heineken.nl</v>
      </c>
      <c r="C17306" t="s">
        <v>477</v>
      </c>
      <c r="D17306" t="s">
        <v>852</v>
      </c>
      <c r="E17306">
        <v>445321</v>
      </c>
      <c r="F17306">
        <v>1.0348793770705199E-7</v>
      </c>
      <c r="G17306">
        <v>387685</v>
      </c>
      <c r="H17306">
        <v>14258564</v>
      </c>
      <c r="I17306">
        <v>1424749</v>
      </c>
      <c r="J17306">
        <v>5</v>
      </c>
    </row>
    <row r="17307" spans="1:10" x14ac:dyDescent="0.25">
      <c r="A17307" t="s">
        <v>183</v>
      </c>
      <c r="B17307" s="1" t="str">
        <f>HYPERLINK("http://heinekennederland.nl","heinekennederland.nl")</f>
        <v>heinekennederland.nl</v>
      </c>
      <c r="C17307" t="s">
        <v>477</v>
      </c>
      <c r="D17307" t="s">
        <v>852</v>
      </c>
      <c r="F17307">
        <v>9.9668309835029497E-8</v>
      </c>
      <c r="G17307">
        <v>403951</v>
      </c>
      <c r="H17307">
        <v>14235926</v>
      </c>
      <c r="I17307">
        <v>1667707</v>
      </c>
      <c r="J17307">
        <v>3</v>
      </c>
    </row>
    <row r="17308" spans="1:10" x14ac:dyDescent="0.25">
      <c r="A17308" t="s">
        <v>183</v>
      </c>
      <c r="B17308" s="1" t="str">
        <f>HYPERLINK("http://dbbreweries.co.nz","dbbreweries.co.nz")</f>
        <v>dbbreweries.co.nz</v>
      </c>
      <c r="C17308" t="s">
        <v>479</v>
      </c>
      <c r="D17308" t="s">
        <v>854</v>
      </c>
      <c r="F17308">
        <v>1.0110440266404599E-8</v>
      </c>
      <c r="G17308">
        <v>6637123</v>
      </c>
      <c r="H17308">
        <v>14164677</v>
      </c>
      <c r="I17308">
        <v>1824862</v>
      </c>
      <c r="J17308">
        <v>3</v>
      </c>
    </row>
    <row r="17309" spans="1:10" x14ac:dyDescent="0.25">
      <c r="A17309" t="s">
        <v>183</v>
      </c>
      <c r="B17309" s="1" t="str">
        <f>HYPERLINK("http://grupazywiec.pl","grupazywiec.pl")</f>
        <v>grupazywiec.pl</v>
      </c>
      <c r="C17309" t="s">
        <v>486</v>
      </c>
      <c r="D17309" t="s">
        <v>860</v>
      </c>
      <c r="F17309">
        <v>5.6196724534436598E-8</v>
      </c>
      <c r="G17309">
        <v>796516</v>
      </c>
      <c r="H17309">
        <v>14508868</v>
      </c>
      <c r="I17309">
        <v>827454</v>
      </c>
      <c r="J17309">
        <v>3</v>
      </c>
    </row>
    <row r="17310" spans="1:10" x14ac:dyDescent="0.25">
      <c r="A17310" t="s">
        <v>183</v>
      </c>
      <c r="B17310" s="1" t="str">
        <f>HYPERLINK("http://centralcervejasbebidas.pt","centralcervejasbebidas.pt")</f>
        <v>centralcervejasbebidas.pt</v>
      </c>
      <c r="C17310" t="s">
        <v>488</v>
      </c>
      <c r="D17310" t="s">
        <v>862</v>
      </c>
      <c r="F17310">
        <v>5.95579479809805E-9</v>
      </c>
      <c r="G17310">
        <v>16982776</v>
      </c>
      <c r="H17310">
        <v>14072209</v>
      </c>
      <c r="I17310">
        <v>3135927</v>
      </c>
      <c r="J17310">
        <v>4</v>
      </c>
    </row>
    <row r="17311" spans="1:10" x14ac:dyDescent="0.25">
      <c r="A17311" t="s">
        <v>183</v>
      </c>
      <c r="B17311" s="1" t="str">
        <f>HYPERLINK("http://cerveja-sagres.pt","cerveja-sagres.pt")</f>
        <v>cerveja-sagres.pt</v>
      </c>
      <c r="C17311" t="s">
        <v>488</v>
      </c>
      <c r="D17311" t="s">
        <v>862</v>
      </c>
      <c r="F17311">
        <v>6.8335713422723803E-9</v>
      </c>
      <c r="G17311">
        <v>12850857</v>
      </c>
      <c r="H17311">
        <v>14099031</v>
      </c>
      <c r="I17311">
        <v>2714233</v>
      </c>
      <c r="J17311">
        <v>3</v>
      </c>
    </row>
    <row r="17312" spans="1:10" x14ac:dyDescent="0.25">
      <c r="A17312" t="s">
        <v>183</v>
      </c>
      <c r="B17312" s="1" t="str">
        <f>HYPERLINK("http://laines.pub","laines.pub")</f>
        <v>laines.pub</v>
      </c>
      <c r="C17312" t="s">
        <v>770</v>
      </c>
      <c r="F17312">
        <v>4.4892680998618699E-9</v>
      </c>
      <c r="G17312">
        <v>60637243</v>
      </c>
      <c r="H17312">
        <v>10631716</v>
      </c>
      <c r="I17312">
        <v>43943101</v>
      </c>
      <c r="J17312">
        <v>11</v>
      </c>
    </row>
    <row r="17313" spans="1:10" x14ac:dyDescent="0.25">
      <c r="A17313" t="s">
        <v>183</v>
      </c>
      <c r="B17313" s="1" t="str">
        <f>HYPERLINK("http://thejail.pub","thejail.pub")</f>
        <v>thejail.pub</v>
      </c>
      <c r="C17313" t="s">
        <v>770</v>
      </c>
      <c r="F17313">
        <v>4.9286207342591902E-9</v>
      </c>
      <c r="G17313">
        <v>31420470</v>
      </c>
      <c r="H17313">
        <v>12508200</v>
      </c>
      <c r="I17313">
        <v>17261984</v>
      </c>
      <c r="J17313">
        <v>4</v>
      </c>
    </row>
    <row r="17314" spans="1:10" x14ac:dyDescent="0.25">
      <c r="A17314" t="s">
        <v>183</v>
      </c>
      <c r="B17314" s="1" t="str">
        <f>HYPERLINK("http://heinekenromania.ro","heinekenromania.ro")</f>
        <v>heinekenromania.ro</v>
      </c>
      <c r="C17314" t="s">
        <v>491</v>
      </c>
      <c r="D17314" t="s">
        <v>865</v>
      </c>
      <c r="F17314">
        <v>2.9912402495004498E-8</v>
      </c>
      <c r="G17314">
        <v>1720364</v>
      </c>
      <c r="H17314">
        <v>14122710</v>
      </c>
      <c r="I17314">
        <v>2200501</v>
      </c>
      <c r="J17314">
        <v>4</v>
      </c>
    </row>
    <row r="17315" spans="1:10" x14ac:dyDescent="0.25">
      <c r="A17315" t="s">
        <v>183</v>
      </c>
      <c r="B17315" s="1" t="str">
        <f>HYPERLINK("http://heineken.rs","heineken.rs")</f>
        <v>heineken.rs</v>
      </c>
      <c r="C17315" t="s">
        <v>492</v>
      </c>
      <c r="D17315" t="s">
        <v>866</v>
      </c>
      <c r="F17315">
        <v>1.3158055514203301E-8</v>
      </c>
      <c r="G17315">
        <v>4557190</v>
      </c>
      <c r="H17315">
        <v>12255347</v>
      </c>
      <c r="I17315">
        <v>21883508</v>
      </c>
      <c r="J17315">
        <v>5</v>
      </c>
    </row>
    <row r="17316" spans="1:10" x14ac:dyDescent="0.25">
      <c r="A17316" t="s">
        <v>183</v>
      </c>
      <c r="B17316" s="1" t="str">
        <f>HYPERLINK("http://heinekenrussia.ru","heinekenrussia.ru")</f>
        <v>heinekenrussia.ru</v>
      </c>
      <c r="C17316" t="s">
        <v>493</v>
      </c>
      <c r="D17316" t="s">
        <v>867</v>
      </c>
      <c r="E17316">
        <v>810481</v>
      </c>
      <c r="F17316">
        <v>3.8853514615067802E-8</v>
      </c>
      <c r="G17316">
        <v>1327110</v>
      </c>
      <c r="H17316">
        <v>13777133</v>
      </c>
      <c r="I17316">
        <v>6542451</v>
      </c>
      <c r="J17316">
        <v>3</v>
      </c>
    </row>
    <row r="17317" spans="1:10" x14ac:dyDescent="0.25">
      <c r="A17317" t="s">
        <v>183</v>
      </c>
      <c r="B17317" s="1" t="str">
        <f>HYPERLINK("http://shikhan.ru","shikhan.ru")</f>
        <v>shikhan.ru</v>
      </c>
      <c r="C17317" t="s">
        <v>493</v>
      </c>
      <c r="D17317" t="s">
        <v>867</v>
      </c>
      <c r="F17317">
        <v>4.5686072392684399E-9</v>
      </c>
      <c r="G17317">
        <v>50320948</v>
      </c>
      <c r="H17317">
        <v>8417244</v>
      </c>
      <c r="I17317">
        <v>72949517</v>
      </c>
      <c r="J17317">
        <v>3</v>
      </c>
    </row>
    <row r="17318" spans="1:10" x14ac:dyDescent="0.25">
      <c r="A17318" t="s">
        <v>183</v>
      </c>
      <c r="B17318" s="1" t="str">
        <f>HYPERLINK("http://solbrew.com.sb","solbrew.com.sb")</f>
        <v>solbrew.com.sb</v>
      </c>
      <c r="C17318" t="s">
        <v>663</v>
      </c>
      <c r="D17318" t="s">
        <v>982</v>
      </c>
      <c r="F17318">
        <v>9.7986617182898901E-9</v>
      </c>
      <c r="G17318">
        <v>6970283</v>
      </c>
      <c r="H17318">
        <v>10940443</v>
      </c>
      <c r="I17318">
        <v>34816558</v>
      </c>
      <c r="J17318">
        <v>3</v>
      </c>
    </row>
    <row r="17319" spans="1:10" x14ac:dyDescent="0.25">
      <c r="A17319" t="s">
        <v>183</v>
      </c>
      <c r="B17319" s="1" t="str">
        <f>HYPERLINK("http://apb.com.sg","apb.com.sg")</f>
        <v>apb.com.sg</v>
      </c>
      <c r="C17319" t="s">
        <v>496</v>
      </c>
      <c r="D17319" t="s">
        <v>870</v>
      </c>
      <c r="F17319">
        <v>6.72009456704049E-9</v>
      </c>
      <c r="G17319">
        <v>13233264</v>
      </c>
      <c r="H17319">
        <v>14486363</v>
      </c>
      <c r="I17319">
        <v>967883</v>
      </c>
      <c r="J17319">
        <v>3</v>
      </c>
    </row>
    <row r="17320" spans="1:10" x14ac:dyDescent="0.25">
      <c r="A17320" t="s">
        <v>183</v>
      </c>
      <c r="B17320" s="1" t="str">
        <f>HYPERLINK("http://beavertownbrewery.co.uk","beavertownbrewery.co.uk")</f>
        <v>beavertownbrewery.co.uk</v>
      </c>
      <c r="C17320" t="s">
        <v>506</v>
      </c>
      <c r="D17320" t="s">
        <v>880</v>
      </c>
      <c r="E17320">
        <v>584742</v>
      </c>
      <c r="F17320">
        <v>9.3162240104653602E-8</v>
      </c>
      <c r="G17320">
        <v>436467</v>
      </c>
      <c r="H17320">
        <v>14642639</v>
      </c>
      <c r="I17320">
        <v>635377</v>
      </c>
      <c r="J17320">
        <v>7</v>
      </c>
    </row>
    <row r="17321" spans="1:10" x14ac:dyDescent="0.25">
      <c r="A17321" t="s">
        <v>183</v>
      </c>
      <c r="B17321" s="1" t="str">
        <f>HYPERLINK("http://bellinncawston.co.uk","bellinncawston.co.uk")</f>
        <v>bellinncawston.co.uk</v>
      </c>
      <c r="C17321" t="s">
        <v>506</v>
      </c>
      <c r="D17321" t="s">
        <v>880</v>
      </c>
      <c r="F17321">
        <v>4.53518709125468E-9</v>
      </c>
      <c r="G17321">
        <v>54463819</v>
      </c>
      <c r="H17321">
        <v>13763633</v>
      </c>
      <c r="I17321">
        <v>9367995</v>
      </c>
      <c r="J17321">
        <v>4</v>
      </c>
    </row>
    <row r="17322" spans="1:10" x14ac:dyDescent="0.25">
      <c r="A17322" t="s">
        <v>183</v>
      </c>
      <c r="B17322" s="1" t="str">
        <f>HYPERLINK("http://bulmers.co.uk","bulmers.co.uk")</f>
        <v>bulmers.co.uk</v>
      </c>
      <c r="C17322" t="s">
        <v>506</v>
      </c>
      <c r="D17322" t="s">
        <v>880</v>
      </c>
      <c r="F17322">
        <v>1.7925417310222099E-8</v>
      </c>
      <c r="G17322">
        <v>3048181</v>
      </c>
      <c r="H17322">
        <v>14133100</v>
      </c>
      <c r="I17322">
        <v>1992598</v>
      </c>
      <c r="J17322">
        <v>3</v>
      </c>
    </row>
    <row r="17323" spans="1:10" x14ac:dyDescent="0.25">
      <c r="A17323" t="s">
        <v>183</v>
      </c>
      <c r="B17323" s="1" t="str">
        <f>HYPERLINK("http://caledonian-brewery.co.uk","caledonian-brewery.co.uk")</f>
        <v>caledonian-brewery.co.uk</v>
      </c>
      <c r="C17323" t="s">
        <v>506</v>
      </c>
      <c r="D17323" t="s">
        <v>880</v>
      </c>
      <c r="F17323">
        <v>8.69371037196698E-9</v>
      </c>
      <c r="G17323">
        <v>8488423</v>
      </c>
      <c r="H17323">
        <v>14485322</v>
      </c>
      <c r="I17323">
        <v>998580</v>
      </c>
      <c r="J17323">
        <v>7</v>
      </c>
    </row>
    <row r="17324" spans="1:10" x14ac:dyDescent="0.25">
      <c r="A17324" t="s">
        <v>183</v>
      </c>
      <c r="B17324" s="1" t="str">
        <f>HYPERLINK("http://castletavernrichmond.co.uk","castletavernrichmond.co.uk")</f>
        <v>castletavernrichmond.co.uk</v>
      </c>
      <c r="C17324" t="s">
        <v>506</v>
      </c>
      <c r="D17324" t="s">
        <v>880</v>
      </c>
      <c r="J17324">
        <v>4</v>
      </c>
    </row>
    <row r="17325" spans="1:10" x14ac:dyDescent="0.25">
      <c r="A17325" t="s">
        <v>183</v>
      </c>
      <c r="B17325" s="1" t="str">
        <f>HYPERLINK("http://cornerhousellan.co.uk","cornerhousellan.co.uk")</f>
        <v>cornerhousellan.co.uk</v>
      </c>
      <c r="C17325" t="s">
        <v>506</v>
      </c>
      <c r="D17325" t="s">
        <v>880</v>
      </c>
      <c r="F17325">
        <v>4.7615721445088897E-9</v>
      </c>
      <c r="G17325">
        <v>37748382</v>
      </c>
      <c r="H17325">
        <v>12028571</v>
      </c>
      <c r="I17325">
        <v>27688896</v>
      </c>
      <c r="J17325">
        <v>4</v>
      </c>
    </row>
    <row r="17326" spans="1:10" x14ac:dyDescent="0.25">
      <c r="A17326" t="s">
        <v>183</v>
      </c>
      <c r="B17326" s="1" t="str">
        <f>HYPERLINK("http://craftcleaver.co.uk","craftcleaver.co.uk")</f>
        <v>craftcleaver.co.uk</v>
      </c>
      <c r="C17326" t="s">
        <v>506</v>
      </c>
      <c r="D17326" t="s">
        <v>880</v>
      </c>
      <c r="F17326">
        <v>4.9150146678219903E-9</v>
      </c>
      <c r="G17326">
        <v>32036074</v>
      </c>
      <c r="H17326">
        <v>10916791</v>
      </c>
      <c r="I17326">
        <v>35478744</v>
      </c>
      <c r="J17326">
        <v>4</v>
      </c>
    </row>
    <row r="17327" spans="1:10" x14ac:dyDescent="0.25">
      <c r="A17327" t="s">
        <v>183</v>
      </c>
      <c r="B17327" s="1" t="str">
        <f>HYPERLINK("http://debeninns.co.uk","debeninns.co.uk")</f>
        <v>debeninns.co.uk</v>
      </c>
      <c r="C17327" t="s">
        <v>506</v>
      </c>
      <c r="D17327" t="s">
        <v>880</v>
      </c>
      <c r="F17327">
        <v>1.09600775538053E-8</v>
      </c>
      <c r="G17327">
        <v>5895987</v>
      </c>
      <c r="H17327">
        <v>14577314</v>
      </c>
      <c r="I17327">
        <v>718245</v>
      </c>
      <c r="J17327">
        <v>6</v>
      </c>
    </row>
    <row r="17328" spans="1:10" x14ac:dyDescent="0.25">
      <c r="A17328" t="s">
        <v>183</v>
      </c>
      <c r="B17328" s="1" t="str">
        <f>HYPERLINK("http://diggersrest.co.uk","diggersrest.co.uk")</f>
        <v>diggersrest.co.uk</v>
      </c>
      <c r="C17328" t="s">
        <v>506</v>
      </c>
      <c r="D17328" t="s">
        <v>880</v>
      </c>
      <c r="F17328">
        <v>4.5552086431542504E-9</v>
      </c>
      <c r="G17328">
        <v>51637905</v>
      </c>
      <c r="H17328">
        <v>12226550</v>
      </c>
      <c r="I17328">
        <v>22610710</v>
      </c>
      <c r="J17328">
        <v>4</v>
      </c>
    </row>
    <row r="17329" spans="1:10" x14ac:dyDescent="0.25">
      <c r="A17329" t="s">
        <v>183</v>
      </c>
      <c r="B17329" s="1" t="str">
        <f>HYPERLINK("http://dorset-seafood-restaurant.co.uk","dorset-seafood-restaurant.co.uk")</f>
        <v>dorset-seafood-restaurant.co.uk</v>
      </c>
      <c r="C17329" t="s">
        <v>506</v>
      </c>
      <c r="D17329" t="s">
        <v>880</v>
      </c>
      <c r="J17329">
        <v>4</v>
      </c>
    </row>
    <row r="17330" spans="1:10" x14ac:dyDescent="0.25">
      <c r="A17330" t="s">
        <v>183</v>
      </c>
      <c r="B17330" s="1" t="str">
        <f>HYPERLINK("http://foxandgoosegreywell.co.uk","foxandgoosegreywell.co.uk")</f>
        <v>foxandgoosegreywell.co.uk</v>
      </c>
      <c r="C17330" t="s">
        <v>506</v>
      </c>
      <c r="D17330" t="s">
        <v>880</v>
      </c>
      <c r="J17330">
        <v>4</v>
      </c>
    </row>
    <row r="17331" spans="1:10" x14ac:dyDescent="0.25">
      <c r="A17331" t="s">
        <v>183</v>
      </c>
      <c r="B17331" s="1" t="str">
        <f>HYPERLINK("http://gardeners-brentwood.co.uk","gardeners-brentwood.co.uk")</f>
        <v>gardeners-brentwood.co.uk</v>
      </c>
      <c r="C17331" t="s">
        <v>506</v>
      </c>
      <c r="D17331" t="s">
        <v>880</v>
      </c>
      <c r="F17331">
        <v>5.0157967963384203E-9</v>
      </c>
      <c r="G17331">
        <v>28999404</v>
      </c>
      <c r="H17331">
        <v>13366148</v>
      </c>
      <c r="I17331">
        <v>10483437</v>
      </c>
      <c r="J17331">
        <v>4</v>
      </c>
    </row>
    <row r="17332" spans="1:10" x14ac:dyDescent="0.25">
      <c r="A17332" t="s">
        <v>183</v>
      </c>
      <c r="B17332" s="1" t="str">
        <f>HYPERLINK("http://goldenfleecewells.co.uk","goldenfleecewells.co.uk")</f>
        <v>goldenfleecewells.co.uk</v>
      </c>
      <c r="C17332" t="s">
        <v>506</v>
      </c>
      <c r="D17332" t="s">
        <v>880</v>
      </c>
      <c r="F17332">
        <v>4.9142567087509399E-9</v>
      </c>
      <c r="G17332">
        <v>32057410</v>
      </c>
      <c r="H17332">
        <v>12285964</v>
      </c>
      <c r="I17332">
        <v>21191952</v>
      </c>
      <c r="J17332">
        <v>4</v>
      </c>
    </row>
    <row r="17333" spans="1:10" x14ac:dyDescent="0.25">
      <c r="A17333" t="s">
        <v>183</v>
      </c>
      <c r="B17333" s="1" t="str">
        <f>HYPERLINK("http://greenmanpub.co.uk","greenmanpub.co.uk")</f>
        <v>greenmanpub.co.uk</v>
      </c>
      <c r="C17333" t="s">
        <v>506</v>
      </c>
      <c r="D17333" t="s">
        <v>880</v>
      </c>
      <c r="F17333">
        <v>4.4523796939363403E-9</v>
      </c>
      <c r="G17333">
        <v>70680353</v>
      </c>
      <c r="H17333">
        <v>12098209</v>
      </c>
      <c r="I17333">
        <v>26017641</v>
      </c>
      <c r="J17333">
        <v>4</v>
      </c>
    </row>
    <row r="17334" spans="1:10" x14ac:dyDescent="0.25">
      <c r="A17334" t="s">
        <v>183</v>
      </c>
      <c r="B17334" s="1" t="str">
        <f>HYPERLINK("http://heineken.co.uk","heineken.co.uk")</f>
        <v>heineken.co.uk</v>
      </c>
      <c r="C17334" t="s">
        <v>506</v>
      </c>
      <c r="D17334" t="s">
        <v>880</v>
      </c>
      <c r="E17334">
        <v>402065</v>
      </c>
      <c r="F17334">
        <v>8.95469221456676E-8</v>
      </c>
      <c r="G17334">
        <v>456011</v>
      </c>
      <c r="H17334">
        <v>14363725</v>
      </c>
      <c r="I17334">
        <v>1302909</v>
      </c>
      <c r="J17334">
        <v>3</v>
      </c>
    </row>
    <row r="17335" spans="1:10" x14ac:dyDescent="0.25">
      <c r="A17335" t="s">
        <v>183</v>
      </c>
      <c r="B17335" s="1" t="str">
        <f>HYPERLINK("http://horseandjockeywaddington.co.uk","horseandjockeywaddington.co.uk")</f>
        <v>horseandjockeywaddington.co.uk</v>
      </c>
      <c r="C17335" t="s">
        <v>506</v>
      </c>
      <c r="D17335" t="s">
        <v>880</v>
      </c>
      <c r="J17335">
        <v>4</v>
      </c>
    </row>
    <row r="17336" spans="1:10" x14ac:dyDescent="0.25">
      <c r="A17336" t="s">
        <v>183</v>
      </c>
      <c r="B17336" s="1" t="str">
        <f>HYPERLINK("http://innserveltd.co.uk","innserveltd.co.uk")</f>
        <v>innserveltd.co.uk</v>
      </c>
      <c r="C17336" t="s">
        <v>506</v>
      </c>
      <c r="D17336" t="s">
        <v>880</v>
      </c>
      <c r="F17336">
        <v>1.2141223935907099E-8</v>
      </c>
      <c r="G17336">
        <v>5084721</v>
      </c>
      <c r="H17336">
        <v>13232835</v>
      </c>
      <c r="I17336">
        <v>11258024</v>
      </c>
      <c r="J17336">
        <v>5</v>
      </c>
    </row>
    <row r="17337" spans="1:10" x14ac:dyDescent="0.25">
      <c r="A17337" t="s">
        <v>183</v>
      </c>
      <c r="B17337" s="1" t="str">
        <f>HYPERLINK("http://johnsmiths.co.uk","johnsmiths.co.uk")</f>
        <v>johnsmiths.co.uk</v>
      </c>
      <c r="C17337" t="s">
        <v>506</v>
      </c>
      <c r="D17337" t="s">
        <v>880</v>
      </c>
      <c r="F17337">
        <v>1.6025788442092501E-8</v>
      </c>
      <c r="G17337">
        <v>3539459</v>
      </c>
      <c r="H17337">
        <v>14136257</v>
      </c>
      <c r="I17337">
        <v>1963285</v>
      </c>
      <c r="J17337">
        <v>3</v>
      </c>
    </row>
    <row r="17338" spans="1:10" x14ac:dyDescent="0.25">
      <c r="A17338" t="s">
        <v>183</v>
      </c>
      <c r="B17338" s="1" t="str">
        <f>HYPERLINK("http://kingsheadwoodbridge.co.uk","kingsheadwoodbridge.co.uk")</f>
        <v>kingsheadwoodbridge.co.uk</v>
      </c>
      <c r="C17338" t="s">
        <v>506</v>
      </c>
      <c r="D17338" t="s">
        <v>880</v>
      </c>
      <c r="F17338">
        <v>4.6654969279087599E-9</v>
      </c>
      <c r="G17338">
        <v>43205854</v>
      </c>
      <c r="H17338">
        <v>11098074</v>
      </c>
      <c r="I17338">
        <v>32300130</v>
      </c>
      <c r="J17338">
        <v>6</v>
      </c>
    </row>
    <row r="17339" spans="1:10" x14ac:dyDescent="0.25">
      <c r="A17339" t="s">
        <v>183</v>
      </c>
      <c r="B17339" s="1" t="str">
        <f>HYPERLINK("http://littleangelwhitby.co.uk","littleangelwhitby.co.uk")</f>
        <v>littleangelwhitby.co.uk</v>
      </c>
      <c r="C17339" t="s">
        <v>506</v>
      </c>
      <c r="D17339" t="s">
        <v>880</v>
      </c>
      <c r="F17339">
        <v>5.1999045600678804E-9</v>
      </c>
      <c r="G17339">
        <v>25117116</v>
      </c>
      <c r="H17339">
        <v>13765858</v>
      </c>
      <c r="I17339">
        <v>7058084</v>
      </c>
      <c r="J17339">
        <v>4</v>
      </c>
    </row>
    <row r="17340" spans="1:10" x14ac:dyDescent="0.25">
      <c r="A17340" t="s">
        <v>183</v>
      </c>
      <c r="B17340" s="1" t="str">
        <f>HYPERLINK("http://liverpoolarms.co.uk","liverpoolarms.co.uk")</f>
        <v>liverpoolarms.co.uk</v>
      </c>
      <c r="C17340" t="s">
        <v>506</v>
      </c>
      <c r="D17340" t="s">
        <v>880</v>
      </c>
      <c r="F17340">
        <v>4.6975144875577097E-9</v>
      </c>
      <c r="G17340">
        <v>41372731</v>
      </c>
      <c r="H17340">
        <v>12171453</v>
      </c>
      <c r="I17340">
        <v>24035058</v>
      </c>
      <c r="J17340">
        <v>4</v>
      </c>
    </row>
    <row r="17341" spans="1:10" x14ac:dyDescent="0.25">
      <c r="A17341" t="s">
        <v>183</v>
      </c>
      <c r="B17341" s="1" t="str">
        <f>HYPERLINK("http://oldredliontheatre.co.uk","oldredliontheatre.co.uk")</f>
        <v>oldredliontheatre.co.uk</v>
      </c>
      <c r="C17341" t="s">
        <v>506</v>
      </c>
      <c r="D17341" t="s">
        <v>880</v>
      </c>
      <c r="F17341">
        <v>3.1102062478630601E-8</v>
      </c>
      <c r="G17341">
        <v>1657362</v>
      </c>
      <c r="H17341">
        <v>14533497</v>
      </c>
      <c r="I17341">
        <v>783064</v>
      </c>
      <c r="J17341">
        <v>4</v>
      </c>
    </row>
    <row r="17342" spans="1:10" x14ac:dyDescent="0.25">
      <c r="A17342" t="s">
        <v>183</v>
      </c>
      <c r="B17342" s="1" t="str">
        <f>HYPERLINK("http://ploughipswich.co.uk","ploughipswich.co.uk")</f>
        <v>ploughipswich.co.uk</v>
      </c>
      <c r="C17342" t="s">
        <v>506</v>
      </c>
      <c r="D17342" t="s">
        <v>880</v>
      </c>
      <c r="J17342">
        <v>6</v>
      </c>
    </row>
    <row r="17343" spans="1:10" x14ac:dyDescent="0.25">
      <c r="A17343" t="s">
        <v>183</v>
      </c>
      <c r="B17343" s="1" t="str">
        <f>HYPERLINK("http://ploughprestbury.co.uk","ploughprestbury.co.uk")</f>
        <v>ploughprestbury.co.uk</v>
      </c>
      <c r="C17343" t="s">
        <v>506</v>
      </c>
      <c r="D17343" t="s">
        <v>880</v>
      </c>
      <c r="F17343">
        <v>4.7452221940906599E-9</v>
      </c>
      <c r="G17343">
        <v>38553544</v>
      </c>
      <c r="H17343">
        <v>13933061</v>
      </c>
      <c r="I17343">
        <v>5559904</v>
      </c>
      <c r="J17343">
        <v>4</v>
      </c>
    </row>
    <row r="17344" spans="1:10" x14ac:dyDescent="0.25">
      <c r="A17344" t="s">
        <v>183</v>
      </c>
      <c r="B17344" s="1" t="str">
        <f>HYPERLINK("http://ploughwesthanney.co.uk","ploughwesthanney.co.uk")</f>
        <v>ploughwesthanney.co.uk</v>
      </c>
      <c r="C17344" t="s">
        <v>506</v>
      </c>
      <c r="D17344" t="s">
        <v>880</v>
      </c>
      <c r="J17344">
        <v>4</v>
      </c>
    </row>
    <row r="17345" spans="1:10" x14ac:dyDescent="0.25">
      <c r="A17345" t="s">
        <v>183</v>
      </c>
      <c r="B17345" s="1" t="str">
        <f>HYPERLINK("http://pubindevon.co.uk","pubindevon.co.uk")</f>
        <v>pubindevon.co.uk</v>
      </c>
      <c r="C17345" t="s">
        <v>506</v>
      </c>
      <c r="D17345" t="s">
        <v>880</v>
      </c>
      <c r="F17345">
        <v>4.51277488371128E-9</v>
      </c>
      <c r="G17345">
        <v>57135498</v>
      </c>
      <c r="H17345">
        <v>12203277</v>
      </c>
      <c r="I17345">
        <v>23237270</v>
      </c>
      <c r="J17345">
        <v>4</v>
      </c>
    </row>
    <row r="17346" spans="1:10" x14ac:dyDescent="0.25">
      <c r="A17346" t="s">
        <v>183</v>
      </c>
      <c r="B17346" s="1" t="str">
        <f>HYPERLINK("http://redlioncranford.co.uk","redlioncranford.co.uk")</f>
        <v>redlioncranford.co.uk</v>
      </c>
      <c r="C17346" t="s">
        <v>506</v>
      </c>
      <c r="D17346" t="s">
        <v>880</v>
      </c>
      <c r="F17346">
        <v>4.9804040437147297E-9</v>
      </c>
      <c r="G17346">
        <v>29985403</v>
      </c>
      <c r="H17346">
        <v>12145446</v>
      </c>
      <c r="I17346">
        <v>24736913</v>
      </c>
      <c r="J17346">
        <v>4</v>
      </c>
    </row>
    <row r="17347" spans="1:10" x14ac:dyDescent="0.25">
      <c r="A17347" t="s">
        <v>183</v>
      </c>
      <c r="B17347" s="1" t="str">
        <f>HYPERLINK("http://redlionsa.co.uk","redlionsa.co.uk")</f>
        <v>redlionsa.co.uk</v>
      </c>
      <c r="C17347" t="s">
        <v>506</v>
      </c>
      <c r="D17347" t="s">
        <v>880</v>
      </c>
      <c r="J17347">
        <v>4</v>
      </c>
    </row>
    <row r="17348" spans="1:10" x14ac:dyDescent="0.25">
      <c r="A17348" t="s">
        <v>183</v>
      </c>
      <c r="B17348" s="1" t="str">
        <f>HYPERLINK("http://rockinnporthcawl.co.uk","rockinnporthcawl.co.uk")</f>
        <v>rockinnporthcawl.co.uk</v>
      </c>
      <c r="C17348" t="s">
        <v>506</v>
      </c>
      <c r="D17348" t="s">
        <v>880</v>
      </c>
      <c r="F17348">
        <v>4.46811625113184E-9</v>
      </c>
      <c r="G17348">
        <v>65113222</v>
      </c>
      <c r="H17348">
        <v>12134445</v>
      </c>
      <c r="I17348">
        <v>25015862</v>
      </c>
      <c r="J17348">
        <v>4</v>
      </c>
    </row>
    <row r="17349" spans="1:10" x14ac:dyDescent="0.25">
      <c r="A17349" t="s">
        <v>183</v>
      </c>
      <c r="B17349" s="1" t="str">
        <f>HYPERLINK("http://sandwichpubs.co.uk","sandwichpubs.co.uk")</f>
        <v>sandwichpubs.co.uk</v>
      </c>
      <c r="C17349" t="s">
        <v>506</v>
      </c>
      <c r="D17349" t="s">
        <v>880</v>
      </c>
      <c r="F17349">
        <v>4.59406283081753E-9</v>
      </c>
      <c r="G17349">
        <v>48084991</v>
      </c>
      <c r="H17349">
        <v>12297745</v>
      </c>
      <c r="I17349">
        <v>20896672</v>
      </c>
      <c r="J17349">
        <v>4</v>
      </c>
    </row>
    <row r="17350" spans="1:10" x14ac:dyDescent="0.25">
      <c r="A17350" t="s">
        <v>183</v>
      </c>
      <c r="B17350" s="1" t="str">
        <f>HYPERLINK("http://skirridmountaininn.co.uk","skirridmountaininn.co.uk")</f>
        <v>skirridmountaininn.co.uk</v>
      </c>
      <c r="C17350" t="s">
        <v>506</v>
      </c>
      <c r="D17350" t="s">
        <v>880</v>
      </c>
      <c r="F17350">
        <v>1.0187188699676501E-8</v>
      </c>
      <c r="G17350">
        <v>6559739</v>
      </c>
      <c r="H17350">
        <v>14159389</v>
      </c>
      <c r="I17350">
        <v>1841629</v>
      </c>
      <c r="J17350">
        <v>4</v>
      </c>
    </row>
    <row r="17351" spans="1:10" x14ac:dyDescent="0.25">
      <c r="A17351" t="s">
        <v>183</v>
      </c>
      <c r="B17351" s="1" t="str">
        <f>HYPERLINK("http://starpubs.co.uk","starpubs.co.uk")</f>
        <v>starpubs.co.uk</v>
      </c>
      <c r="C17351" t="s">
        <v>506</v>
      </c>
      <c r="D17351" t="s">
        <v>880</v>
      </c>
      <c r="F17351">
        <v>1.7827954578930801E-8</v>
      </c>
      <c r="G17351">
        <v>3068839</v>
      </c>
      <c r="H17351">
        <v>13883114</v>
      </c>
      <c r="I17351">
        <v>5974973</v>
      </c>
      <c r="J17351">
        <v>6</v>
      </c>
    </row>
    <row r="17352" spans="1:10" x14ac:dyDescent="0.25">
      <c r="A17352" t="s">
        <v>183</v>
      </c>
      <c r="B17352" s="1" t="str">
        <f>HYPERLINK("http://thackeraycardiff.co.uk","thackeraycardiff.co.uk")</f>
        <v>thackeraycardiff.co.uk</v>
      </c>
      <c r="C17352" t="s">
        <v>506</v>
      </c>
      <c r="D17352" t="s">
        <v>880</v>
      </c>
      <c r="F17352">
        <v>4.4611339013464903E-9</v>
      </c>
      <c r="G17352">
        <v>67400034</v>
      </c>
      <c r="H17352">
        <v>10941271</v>
      </c>
      <c r="I17352">
        <v>34796206</v>
      </c>
      <c r="J17352">
        <v>4</v>
      </c>
    </row>
    <row r="17353" spans="1:10" x14ac:dyDescent="0.25">
      <c r="A17353" t="s">
        <v>183</v>
      </c>
      <c r="B17353" s="1" t="str">
        <f>HYPERLINK("http://thebelldanbury.co.uk","thebelldanbury.co.uk")</f>
        <v>thebelldanbury.co.uk</v>
      </c>
      <c r="C17353" t="s">
        <v>506</v>
      </c>
      <c r="D17353" t="s">
        <v>880</v>
      </c>
      <c r="J17353">
        <v>4</v>
      </c>
    </row>
    <row r="17354" spans="1:10" x14ac:dyDescent="0.25">
      <c r="A17354" t="s">
        <v>183</v>
      </c>
      <c r="B17354" s="1" t="str">
        <f>HYPERLINK("http://theblackswannazeing.co.uk","theblackswannazeing.co.uk")</f>
        <v>theblackswannazeing.co.uk</v>
      </c>
      <c r="C17354" t="s">
        <v>506</v>
      </c>
      <c r="D17354" t="s">
        <v>880</v>
      </c>
      <c r="F17354">
        <v>4.4604942022371698E-9</v>
      </c>
      <c r="G17354">
        <v>67599944</v>
      </c>
      <c r="H17354">
        <v>12098848</v>
      </c>
      <c r="I17354">
        <v>25998714</v>
      </c>
      <c r="J17354">
        <v>4</v>
      </c>
    </row>
    <row r="17355" spans="1:10" x14ac:dyDescent="0.25">
      <c r="A17355" t="s">
        <v>183</v>
      </c>
      <c r="B17355" s="1" t="str">
        <f>HYPERLINK("http://thecherrytreepub.co.uk","thecherrytreepub.co.uk")</f>
        <v>thecherrytreepub.co.uk</v>
      </c>
      <c r="C17355" t="s">
        <v>506</v>
      </c>
      <c r="D17355" t="s">
        <v>880</v>
      </c>
      <c r="F17355">
        <v>6.3071129044432596E-9</v>
      </c>
      <c r="G17355">
        <v>14997274</v>
      </c>
      <c r="H17355">
        <v>12419064</v>
      </c>
      <c r="I17355">
        <v>18474225</v>
      </c>
      <c r="J17355">
        <v>6</v>
      </c>
    </row>
    <row r="17356" spans="1:10" x14ac:dyDescent="0.25">
      <c r="A17356" t="s">
        <v>183</v>
      </c>
      <c r="B17356" s="1" t="str">
        <f>HYPERLINK("http://thedawnayarms.co.uk","thedawnayarms.co.uk")</f>
        <v>thedawnayarms.co.uk</v>
      </c>
      <c r="C17356" t="s">
        <v>506</v>
      </c>
      <c r="D17356" t="s">
        <v>880</v>
      </c>
      <c r="F17356">
        <v>4.4523691083673804E-9</v>
      </c>
      <c r="G17356">
        <v>70686226</v>
      </c>
      <c r="H17356">
        <v>1.0003663</v>
      </c>
      <c r="I17356">
        <v>79863600</v>
      </c>
      <c r="J17356">
        <v>4</v>
      </c>
    </row>
    <row r="17357" spans="1:10" x14ac:dyDescent="0.25">
      <c r="A17357" t="s">
        <v>183</v>
      </c>
      <c r="B17357" s="1" t="str">
        <f>HYPERLINK("http://thegladpub.co.uk","thegladpub.co.uk")</f>
        <v>thegladpub.co.uk</v>
      </c>
      <c r="C17357" t="s">
        <v>506</v>
      </c>
      <c r="D17357" t="s">
        <v>880</v>
      </c>
      <c r="F17357">
        <v>6.4983291959947001E-9</v>
      </c>
      <c r="G17357">
        <v>14085081</v>
      </c>
      <c r="H17357">
        <v>12518424</v>
      </c>
      <c r="I17357">
        <v>17165482</v>
      </c>
      <c r="J17357">
        <v>4</v>
      </c>
    </row>
    <row r="17358" spans="1:10" x14ac:dyDescent="0.25">
      <c r="A17358" t="s">
        <v>183</v>
      </c>
      <c r="B17358" s="1" t="str">
        <f>HYPERLINK("http://thegrapesgoosnargh.co.uk","thegrapesgoosnargh.co.uk")</f>
        <v>thegrapesgoosnargh.co.uk</v>
      </c>
      <c r="C17358" t="s">
        <v>506</v>
      </c>
      <c r="D17358" t="s">
        <v>880</v>
      </c>
      <c r="J17358">
        <v>4</v>
      </c>
    </row>
    <row r="17359" spans="1:10" x14ac:dyDescent="0.25">
      <c r="A17359" t="s">
        <v>183</v>
      </c>
      <c r="B17359" s="1" t="str">
        <f>HYPERLINK("http://thehorn.co.uk","thehorn.co.uk")</f>
        <v>thehorn.co.uk</v>
      </c>
      <c r="C17359" t="s">
        <v>506</v>
      </c>
      <c r="D17359" t="s">
        <v>880</v>
      </c>
      <c r="F17359">
        <v>1.47282303871394E-8</v>
      </c>
      <c r="G17359">
        <v>3931311</v>
      </c>
      <c r="H17359">
        <v>14850846</v>
      </c>
      <c r="I17359">
        <v>490460</v>
      </c>
      <c r="J17359">
        <v>4</v>
      </c>
    </row>
    <row r="17360" spans="1:10" x14ac:dyDescent="0.25">
      <c r="A17360" t="s">
        <v>183</v>
      </c>
      <c r="B17360" s="1" t="str">
        <f>HYPERLINK("http://thekingsarmssaffronwalden.co.uk","thekingsarmssaffronwalden.co.uk")</f>
        <v>thekingsarmssaffronwalden.co.uk</v>
      </c>
      <c r="C17360" t="s">
        <v>506</v>
      </c>
      <c r="D17360" t="s">
        <v>880</v>
      </c>
      <c r="F17360">
        <v>4.45244045484658E-9</v>
      </c>
      <c r="G17360">
        <v>70653218</v>
      </c>
      <c r="H17360">
        <v>12145621</v>
      </c>
      <c r="I17360">
        <v>24732718</v>
      </c>
      <c r="J17360">
        <v>4</v>
      </c>
    </row>
    <row r="17361" spans="1:10" x14ac:dyDescent="0.25">
      <c r="A17361" t="s">
        <v>183</v>
      </c>
      <c r="B17361" s="1" t="str">
        <f>HYPERLINK("http://thelivvy.co.uk","thelivvy.co.uk")</f>
        <v>thelivvy.co.uk</v>
      </c>
      <c r="C17361" t="s">
        <v>506</v>
      </c>
      <c r="D17361" t="s">
        <v>880</v>
      </c>
      <c r="F17361">
        <v>4.5646099574354798E-9</v>
      </c>
      <c r="G17361">
        <v>50718509</v>
      </c>
      <c r="H17361">
        <v>10965530</v>
      </c>
      <c r="I17361">
        <v>34232724</v>
      </c>
      <c r="J17361">
        <v>4</v>
      </c>
    </row>
    <row r="17362" spans="1:10" x14ac:dyDescent="0.25">
      <c r="A17362" t="s">
        <v>183</v>
      </c>
      <c r="B17362" s="1" t="str">
        <f>HYPERLINK("http://themarlboroughdedham.co.uk","themarlboroughdedham.co.uk")</f>
        <v>themarlboroughdedham.co.uk</v>
      </c>
      <c r="C17362" t="s">
        <v>506</v>
      </c>
      <c r="D17362" t="s">
        <v>880</v>
      </c>
      <c r="F17362">
        <v>4.6727787355697503E-9</v>
      </c>
      <c r="G17362">
        <v>42772851</v>
      </c>
      <c r="H17362">
        <v>11028610</v>
      </c>
      <c r="I17362">
        <v>33122527</v>
      </c>
      <c r="J17362">
        <v>4</v>
      </c>
    </row>
    <row r="17363" spans="1:10" x14ac:dyDescent="0.25">
      <c r="A17363" t="s">
        <v>183</v>
      </c>
      <c r="B17363" s="1" t="str">
        <f>HYPERLINK("http://thenewinnpub.co.uk","thenewinnpub.co.uk")</f>
        <v>thenewinnpub.co.uk</v>
      </c>
      <c r="C17363" t="s">
        <v>506</v>
      </c>
      <c r="D17363" t="s">
        <v>880</v>
      </c>
      <c r="J17363">
        <v>4</v>
      </c>
    </row>
    <row r="17364" spans="1:10" x14ac:dyDescent="0.25">
      <c r="A17364" t="s">
        <v>183</v>
      </c>
      <c r="B17364" s="1" t="str">
        <f>HYPERLINK("http://thenewinnroydon.co.uk","thenewinnroydon.co.uk")</f>
        <v>thenewinnroydon.co.uk</v>
      </c>
      <c r="C17364" t="s">
        <v>506</v>
      </c>
      <c r="D17364" t="s">
        <v>880</v>
      </c>
      <c r="F17364">
        <v>4.5725883724399204E-9</v>
      </c>
      <c r="G17364">
        <v>49947418</v>
      </c>
      <c r="H17364">
        <v>12128880</v>
      </c>
      <c r="I17364">
        <v>25169778</v>
      </c>
      <c r="J17364">
        <v>4</v>
      </c>
    </row>
    <row r="17365" spans="1:10" x14ac:dyDescent="0.25">
      <c r="A17365" t="s">
        <v>183</v>
      </c>
      <c r="B17365" s="1" t="str">
        <f>HYPERLINK("http://theoldjail.co.uk","theoldjail.co.uk")</f>
        <v>theoldjail.co.uk</v>
      </c>
      <c r="C17365" t="s">
        <v>506</v>
      </c>
      <c r="D17365" t="s">
        <v>880</v>
      </c>
      <c r="F17365">
        <v>4.6471666609720301E-9</v>
      </c>
      <c r="G17365">
        <v>44315346</v>
      </c>
      <c r="H17365">
        <v>12504869</v>
      </c>
      <c r="I17365">
        <v>17297451</v>
      </c>
      <c r="J17365">
        <v>4</v>
      </c>
    </row>
    <row r="17366" spans="1:10" x14ac:dyDescent="0.25">
      <c r="A17366" t="s">
        <v>183</v>
      </c>
      <c r="B17366" s="1" t="str">
        <f>HYPERLINK("http://theoldnewinn.co.uk","theoldnewinn.co.uk")</f>
        <v>theoldnewinn.co.uk</v>
      </c>
      <c r="C17366" t="s">
        <v>506</v>
      </c>
      <c r="D17366" t="s">
        <v>880</v>
      </c>
      <c r="F17366">
        <v>2.10187183077271E-8</v>
      </c>
      <c r="G17366">
        <v>2513338</v>
      </c>
      <c r="H17366">
        <v>14131202</v>
      </c>
      <c r="I17366">
        <v>2018288</v>
      </c>
      <c r="J17366">
        <v>4</v>
      </c>
    </row>
    <row r="17367" spans="1:10" x14ac:dyDescent="0.25">
      <c r="A17367" t="s">
        <v>183</v>
      </c>
      <c r="B17367" s="1" t="str">
        <f>HYPERLINK("http://theorange.co.uk","theorange.co.uk")</f>
        <v>theorange.co.uk</v>
      </c>
      <c r="C17367" t="s">
        <v>506</v>
      </c>
      <c r="D17367" t="s">
        <v>880</v>
      </c>
      <c r="F17367">
        <v>9.2451723534700001E-9</v>
      </c>
      <c r="G17367">
        <v>7644891</v>
      </c>
      <c r="H17367">
        <v>14149576</v>
      </c>
      <c r="I17367">
        <v>1880790</v>
      </c>
      <c r="J17367">
        <v>4</v>
      </c>
    </row>
    <row r="17368" spans="1:10" x14ac:dyDescent="0.25">
      <c r="A17368" t="s">
        <v>183</v>
      </c>
      <c r="B17368" s="1" t="str">
        <f>HYPERLINK("http://therosendale.co.uk","therosendale.co.uk")</f>
        <v>therosendale.co.uk</v>
      </c>
      <c r="C17368" t="s">
        <v>506</v>
      </c>
      <c r="D17368" t="s">
        <v>880</v>
      </c>
      <c r="F17368">
        <v>1.22694026274437E-8</v>
      </c>
      <c r="G17368">
        <v>5011282</v>
      </c>
      <c r="H17368">
        <v>14316340</v>
      </c>
      <c r="I17368">
        <v>1335236</v>
      </c>
      <c r="J17368">
        <v>4</v>
      </c>
    </row>
    <row r="17369" spans="1:10" x14ac:dyDescent="0.25">
      <c r="A17369" t="s">
        <v>183</v>
      </c>
      <c r="B17369" s="1" t="str">
        <f>HYPERLINK("http://theskewbridge.co.uk","theskewbridge.co.uk")</f>
        <v>theskewbridge.co.uk</v>
      </c>
      <c r="C17369" t="s">
        <v>506</v>
      </c>
      <c r="D17369" t="s">
        <v>880</v>
      </c>
      <c r="J17369">
        <v>4</v>
      </c>
    </row>
    <row r="17370" spans="1:10" x14ac:dyDescent="0.25">
      <c r="A17370" t="s">
        <v>183</v>
      </c>
      <c r="B17370" s="1" t="str">
        <f>HYPERLINK("http://thesuninnchipping.co.uk","thesuninnchipping.co.uk")</f>
        <v>thesuninnchipping.co.uk</v>
      </c>
      <c r="C17370" t="s">
        <v>506</v>
      </c>
      <c r="D17370" t="s">
        <v>880</v>
      </c>
      <c r="F17370">
        <v>4.5357369933799699E-9</v>
      </c>
      <c r="G17370">
        <v>53847925</v>
      </c>
      <c r="H17370">
        <v>10463681</v>
      </c>
      <c r="I17370">
        <v>51596529</v>
      </c>
      <c r="J17370">
        <v>4</v>
      </c>
    </row>
    <row r="17371" spans="1:10" x14ac:dyDescent="0.25">
      <c r="A17371" t="s">
        <v>183</v>
      </c>
      <c r="B17371" s="1" t="str">
        <f>HYPERLINK("http://theswanyork.co.uk","theswanyork.co.uk")</f>
        <v>theswanyork.co.uk</v>
      </c>
      <c r="C17371" t="s">
        <v>506</v>
      </c>
      <c r="D17371" t="s">
        <v>880</v>
      </c>
      <c r="F17371">
        <v>5.1501744474851997E-9</v>
      </c>
      <c r="G17371">
        <v>26076978</v>
      </c>
      <c r="H17371">
        <v>11189024</v>
      </c>
      <c r="I17371">
        <v>31360443</v>
      </c>
      <c r="J17371">
        <v>4</v>
      </c>
    </row>
    <row r="17372" spans="1:10" x14ac:dyDescent="0.25">
      <c r="A17372" t="s">
        <v>183</v>
      </c>
      <c r="B17372" s="1" t="str">
        <f>HYPERLINK("http://thewhitelionph.co.uk","thewhitelionph.co.uk")</f>
        <v>thewhitelionph.co.uk</v>
      </c>
      <c r="C17372" t="s">
        <v>506</v>
      </c>
      <c r="D17372" t="s">
        <v>880</v>
      </c>
      <c r="F17372">
        <v>5.1889438004387602E-9</v>
      </c>
      <c r="G17372">
        <v>25354927</v>
      </c>
      <c r="H17372">
        <v>13401113</v>
      </c>
      <c r="I17372">
        <v>10366022</v>
      </c>
      <c r="J17372">
        <v>4</v>
      </c>
    </row>
    <row r="17373" spans="1:10" x14ac:dyDescent="0.25">
      <c r="A17373" t="s">
        <v>183</v>
      </c>
      <c r="B17373" s="1" t="str">
        <f>HYPERLINK("http://tiger-inn-beverley.co.uk","tiger-inn-beverley.co.uk")</f>
        <v>tiger-inn-beverley.co.uk</v>
      </c>
      <c r="C17373" t="s">
        <v>506</v>
      </c>
      <c r="D17373" t="s">
        <v>880</v>
      </c>
      <c r="F17373">
        <v>4.4909232118636103E-9</v>
      </c>
      <c r="G17373">
        <v>60374712</v>
      </c>
      <c r="H17373">
        <v>10430588</v>
      </c>
      <c r="I17373">
        <v>53791799</v>
      </c>
      <c r="J17373">
        <v>4</v>
      </c>
    </row>
    <row r="17374" spans="1:10" x14ac:dyDescent="0.25">
      <c r="A17374" t="s">
        <v>183</v>
      </c>
      <c r="B17374" s="1" t="str">
        <f>HYPERLINK("http://tigerinnnorthnewbald.co.uk","tigerinnnorthnewbald.co.uk")</f>
        <v>tigerinnnorthnewbald.co.uk</v>
      </c>
      <c r="C17374" t="s">
        <v>506</v>
      </c>
      <c r="D17374" t="s">
        <v>880</v>
      </c>
      <c r="J17374">
        <v>4</v>
      </c>
    </row>
    <row r="17375" spans="1:10" x14ac:dyDescent="0.25">
      <c r="A17375" t="s">
        <v>183</v>
      </c>
      <c r="B17375" s="1" t="str">
        <f>HYPERLINK("http://unitedwines.co.uk","unitedwines.co.uk")</f>
        <v>unitedwines.co.uk</v>
      </c>
      <c r="C17375" t="s">
        <v>506</v>
      </c>
      <c r="D17375" t="s">
        <v>880</v>
      </c>
      <c r="F17375">
        <v>8.2725804251266394E-9</v>
      </c>
      <c r="G17375">
        <v>9322273</v>
      </c>
      <c r="H17375">
        <v>12924163</v>
      </c>
      <c r="I17375">
        <v>13400469</v>
      </c>
      <c r="J17375">
        <v>6</v>
      </c>
    </row>
    <row r="17376" spans="1:10" x14ac:dyDescent="0.25">
      <c r="A17376" t="s">
        <v>183</v>
      </c>
      <c r="B17376" s="1" t="str">
        <f>HYPERLINK("http://whiteharttap.co.uk","whiteharttap.co.uk")</f>
        <v>whiteharttap.co.uk</v>
      </c>
      <c r="C17376" t="s">
        <v>506</v>
      </c>
      <c r="D17376" t="s">
        <v>880</v>
      </c>
      <c r="F17376">
        <v>6.2820136983607901E-9</v>
      </c>
      <c r="G17376">
        <v>15117940</v>
      </c>
      <c r="H17376">
        <v>12545529</v>
      </c>
      <c r="I17376">
        <v>16866234</v>
      </c>
      <c r="J17376">
        <v>4</v>
      </c>
    </row>
    <row r="17377" spans="1:10" x14ac:dyDescent="0.25">
      <c r="A17377" t="s">
        <v>183</v>
      </c>
      <c r="B17377" s="1" t="str">
        <f>HYPERLINK("http://whitelionhotel.co.uk","whitelionhotel.co.uk")</f>
        <v>whitelionhotel.co.uk</v>
      </c>
      <c r="C17377" t="s">
        <v>506</v>
      </c>
      <c r="D17377" t="s">
        <v>880</v>
      </c>
      <c r="F17377">
        <v>4.7776845472341299E-9</v>
      </c>
      <c r="G17377">
        <v>37051686</v>
      </c>
      <c r="H17377">
        <v>11375960</v>
      </c>
      <c r="I17377">
        <v>30300663</v>
      </c>
      <c r="J17377">
        <v>4</v>
      </c>
    </row>
    <row r="17378" spans="1:10" x14ac:dyDescent="0.25">
      <c r="A17378" t="s">
        <v>183</v>
      </c>
      <c r="B17378" s="1" t="str">
        <f>HYPERLINK("http://redlioncaythorpe.org.uk","redlioncaythorpe.org.uk")</f>
        <v>redlioncaythorpe.org.uk</v>
      </c>
      <c r="C17378" t="s">
        <v>506</v>
      </c>
      <c r="D17378" t="s">
        <v>880</v>
      </c>
      <c r="F17378">
        <v>4.7655883272033099E-9</v>
      </c>
      <c r="G17378">
        <v>37566970</v>
      </c>
      <c r="H17378">
        <v>12269957</v>
      </c>
      <c r="I17378">
        <v>21524815</v>
      </c>
      <c r="J17378">
        <v>4</v>
      </c>
    </row>
    <row r="17379" spans="1:10" x14ac:dyDescent="0.25">
      <c r="A17379" t="s">
        <v>183</v>
      </c>
      <c r="B17379" s="1" t="str">
        <f>HYPERLINK("http://heineken.us","heineken.us")</f>
        <v>heineken.us</v>
      </c>
      <c r="C17379" t="s">
        <v>522</v>
      </c>
      <c r="D17379" t="s">
        <v>891</v>
      </c>
      <c r="F17379">
        <v>9.6856481561349498E-9</v>
      </c>
      <c r="G17379">
        <v>7097200</v>
      </c>
      <c r="H17379">
        <v>13323223</v>
      </c>
      <c r="I17379">
        <v>10737842</v>
      </c>
      <c r="J17379">
        <v>5</v>
      </c>
    </row>
    <row r="17380" spans="1:10" x14ac:dyDescent="0.25">
      <c r="A17380" t="s">
        <v>183</v>
      </c>
      <c r="B17380" s="1" t="str">
        <f>HYPERLINK("http://heineken-vietnam.com.vn","heineken-vietnam.com.vn")</f>
        <v>heineken-vietnam.com.vn</v>
      </c>
      <c r="C17380" t="s">
        <v>509</v>
      </c>
      <c r="D17380" t="s">
        <v>883</v>
      </c>
      <c r="F17380">
        <v>4.8464774636820101E-8</v>
      </c>
      <c r="G17380">
        <v>957414</v>
      </c>
      <c r="H17380">
        <v>13088103</v>
      </c>
      <c r="I17380">
        <v>12152445</v>
      </c>
      <c r="J17380">
        <v>4</v>
      </c>
    </row>
    <row r="17381" spans="1:10" x14ac:dyDescent="0.25">
      <c r="A17381" t="s">
        <v>184</v>
      </c>
      <c r="B17381" s="1" t="str">
        <f>HYPERLINK("http://hermes.cn","hermes.cn")</f>
        <v>hermes.cn</v>
      </c>
      <c r="C17381" t="s">
        <v>431</v>
      </c>
      <c r="D17381" t="s">
        <v>812</v>
      </c>
      <c r="E17381">
        <v>106759</v>
      </c>
      <c r="F17381">
        <v>1.05820126930184E-7</v>
      </c>
      <c r="G17381">
        <v>378476</v>
      </c>
      <c r="H17381">
        <v>14000655</v>
      </c>
      <c r="I17381">
        <v>4012551</v>
      </c>
      <c r="J17381">
        <v>2</v>
      </c>
    </row>
    <row r="17382" spans="1:10" x14ac:dyDescent="0.25">
      <c r="A17382" t="s">
        <v>184</v>
      </c>
      <c r="B17382" s="1" t="str">
        <f>HYPERLINK("http://hcp-annonay.com","hcp-annonay.com")</f>
        <v>hcp-annonay.com</v>
      </c>
      <c r="C17382" t="s">
        <v>433</v>
      </c>
      <c r="J17382">
        <v>7</v>
      </c>
    </row>
    <row r="17383" spans="1:10" x14ac:dyDescent="0.25">
      <c r="A17383" t="s">
        <v>184</v>
      </c>
      <c r="B17383" s="1" t="str">
        <f>HYPERLINK("http://hermes.com","hermes.com")</f>
        <v>hermes.com</v>
      </c>
      <c r="C17383" t="s">
        <v>433</v>
      </c>
      <c r="E17383">
        <v>7513</v>
      </c>
      <c r="F17383">
        <v>2.31211969775869E-6</v>
      </c>
      <c r="G17383">
        <v>15988</v>
      </c>
      <c r="H17383">
        <v>16180464</v>
      </c>
      <c r="I17383">
        <v>365626</v>
      </c>
      <c r="J17383">
        <v>1</v>
      </c>
    </row>
    <row r="17384" spans="1:10" x14ac:dyDescent="0.25">
      <c r="A17384" t="s">
        <v>184</v>
      </c>
      <c r="B17384" s="1" t="str">
        <f>HYPERLINK("http://hermesemployeur.com","hermesemployeur.com")</f>
        <v>hermesemployeur.com</v>
      </c>
      <c r="C17384" t="s">
        <v>433</v>
      </c>
      <c r="F17384">
        <v>1.0567362199141799E-8</v>
      </c>
      <c r="G17384">
        <v>6211548</v>
      </c>
      <c r="H17384">
        <v>12982152</v>
      </c>
      <c r="I17384">
        <v>12942195</v>
      </c>
      <c r="J17384">
        <v>4</v>
      </c>
    </row>
    <row r="17385" spans="1:10" x14ac:dyDescent="0.25">
      <c r="A17385" t="s">
        <v>184</v>
      </c>
      <c r="B17385" s="1" t="str">
        <f>HYPERLINK("http://puiforcat.com","puiforcat.com")</f>
        <v>puiforcat.com</v>
      </c>
      <c r="C17385" t="s">
        <v>433</v>
      </c>
      <c r="F17385">
        <v>6.1339308202644596E-8</v>
      </c>
      <c r="G17385">
        <v>717759</v>
      </c>
      <c r="H17385">
        <v>14003797</v>
      </c>
      <c r="I17385">
        <v>4008560</v>
      </c>
      <c r="J17385">
        <v>4</v>
      </c>
    </row>
    <row r="17386" spans="1:10" x14ac:dyDescent="0.25">
      <c r="A17386" t="s">
        <v>184</v>
      </c>
      <c r="B17386" s="1" t="str">
        <f>HYPERLINK("http://hermes.fi","hermes.fi")</f>
        <v>hermes.fi</v>
      </c>
      <c r="C17386" t="s">
        <v>445</v>
      </c>
      <c r="D17386" t="s">
        <v>823</v>
      </c>
      <c r="J17386">
        <v>2</v>
      </c>
    </row>
    <row r="17387" spans="1:10" x14ac:dyDescent="0.25">
      <c r="A17387" t="s">
        <v>184</v>
      </c>
      <c r="B17387" s="1" t="str">
        <f>HYPERLINK("http://tannerie-annonay.fr","tannerie-annonay.fr")</f>
        <v>tannerie-annonay.fr</v>
      </c>
      <c r="C17387" t="s">
        <v>446</v>
      </c>
      <c r="D17387" t="s">
        <v>824</v>
      </c>
      <c r="F17387">
        <v>1.50026894963388E-8</v>
      </c>
      <c r="G17387">
        <v>3838849</v>
      </c>
      <c r="H17387">
        <v>13785511</v>
      </c>
      <c r="I17387">
        <v>6400813</v>
      </c>
      <c r="J17387">
        <v>5</v>
      </c>
    </row>
    <row r="17388" spans="1:10" x14ac:dyDescent="0.25">
      <c r="A17388" t="s">
        <v>184</v>
      </c>
      <c r="B17388" s="1" t="str">
        <f>HYPERLINK("http://hservice.me","hservice.me")</f>
        <v>hservice.me</v>
      </c>
      <c r="C17388" t="s">
        <v>470</v>
      </c>
      <c r="D17388" t="s">
        <v>846</v>
      </c>
      <c r="F17388">
        <v>4.5834185782014299E-9</v>
      </c>
      <c r="G17388">
        <v>49008687</v>
      </c>
      <c r="H17388">
        <v>8352744.5</v>
      </c>
      <c r="I17388">
        <v>73792471</v>
      </c>
      <c r="J17388">
        <v>4</v>
      </c>
    </row>
    <row r="17389" spans="1:10" x14ac:dyDescent="0.25">
      <c r="A17389" t="s">
        <v>1620</v>
      </c>
      <c r="B17389" s="1" t="str">
        <f>HYPERLINK("http://hersheys.ca","hersheys.ca")</f>
        <v>hersheys.ca</v>
      </c>
      <c r="C17389" t="s">
        <v>428</v>
      </c>
      <c r="D17389" t="s">
        <v>809</v>
      </c>
      <c r="F17389">
        <v>2.7108376589832602E-8</v>
      </c>
      <c r="G17389">
        <v>1897092</v>
      </c>
      <c r="H17389">
        <v>13767283</v>
      </c>
      <c r="I17389">
        <v>6942866</v>
      </c>
      <c r="J17389">
        <v>3</v>
      </c>
    </row>
    <row r="17390" spans="1:10" x14ac:dyDescent="0.25">
      <c r="A17390" t="s">
        <v>1620</v>
      </c>
      <c r="B17390" s="1" t="str">
        <f>HYPERLINK("http://amplifysnackbrands.com","amplifysnackbrands.com")</f>
        <v>amplifysnackbrands.com</v>
      </c>
      <c r="C17390" t="s">
        <v>433</v>
      </c>
      <c r="F17390">
        <v>4.1583524367491502E-8</v>
      </c>
      <c r="G17390">
        <v>1194175</v>
      </c>
      <c r="H17390">
        <v>13803709</v>
      </c>
      <c r="I17390">
        <v>6261146</v>
      </c>
      <c r="J17390">
        <v>3</v>
      </c>
    </row>
    <row r="17391" spans="1:10" x14ac:dyDescent="0.25">
      <c r="A17391" t="s">
        <v>1620</v>
      </c>
      <c r="B17391" s="1" t="str">
        <f>HYPERLINK("http://barkthins.com","barkthins.com")</f>
        <v>barkthins.com</v>
      </c>
      <c r="C17391" t="s">
        <v>433</v>
      </c>
      <c r="F17391">
        <v>3.65761616064238E-8</v>
      </c>
      <c r="G17391">
        <v>1427968</v>
      </c>
      <c r="H17391">
        <v>14230672</v>
      </c>
      <c r="I17391">
        <v>1674055</v>
      </c>
      <c r="J17391">
        <v>3</v>
      </c>
    </row>
    <row r="17392" spans="1:10" x14ac:dyDescent="0.25">
      <c r="A17392" t="s">
        <v>1620</v>
      </c>
      <c r="B17392" s="1" t="str">
        <f>HYPERLINK("http://cadburyusa.com","cadburyusa.com")</f>
        <v>cadburyusa.com</v>
      </c>
      <c r="C17392" t="s">
        <v>433</v>
      </c>
      <c r="F17392">
        <v>6.5733330635154898E-8</v>
      </c>
      <c r="G17392">
        <v>653554</v>
      </c>
      <c r="H17392">
        <v>14516079</v>
      </c>
      <c r="I17392">
        <v>812130</v>
      </c>
      <c r="J17392">
        <v>4</v>
      </c>
    </row>
    <row r="17393" spans="1:10" x14ac:dyDescent="0.25">
      <c r="A17393" t="s">
        <v>1620</v>
      </c>
      <c r="B17393" s="1" t="str">
        <f>HYPERLINK("http://hersheyindia.com","hersheyindia.com")</f>
        <v>hersheyindia.com</v>
      </c>
      <c r="C17393" t="s">
        <v>433</v>
      </c>
      <c r="F17393">
        <v>5.3845459856565301E-9</v>
      </c>
      <c r="G17393">
        <v>22361292</v>
      </c>
      <c r="H17393">
        <v>11362648</v>
      </c>
      <c r="I17393">
        <v>30350672</v>
      </c>
      <c r="J17393">
        <v>5</v>
      </c>
    </row>
    <row r="17394" spans="1:10" x14ac:dyDescent="0.25">
      <c r="A17394" t="s">
        <v>1620</v>
      </c>
      <c r="B17394" s="1" t="str">
        <f>HYPERLINK("http://hersheyjapan.com","hersheyjapan.com")</f>
        <v>hersheyjapan.com</v>
      </c>
      <c r="C17394" t="s">
        <v>433</v>
      </c>
      <c r="F17394">
        <v>5.9553884770464998E-9</v>
      </c>
      <c r="G17394">
        <v>16985385</v>
      </c>
      <c r="H17394">
        <v>14247442</v>
      </c>
      <c r="I17394">
        <v>1457360</v>
      </c>
      <c r="J17394">
        <v>3</v>
      </c>
    </row>
    <row r="17395" spans="1:10" x14ac:dyDescent="0.25">
      <c r="A17395" t="s">
        <v>1620</v>
      </c>
      <c r="B17395" s="1" t="str">
        <f>HYPERLINK("http://hersheyland.com","hersheyland.com")</f>
        <v>hersheyland.com</v>
      </c>
      <c r="C17395" t="s">
        <v>433</v>
      </c>
      <c r="E17395">
        <v>77190</v>
      </c>
      <c r="F17395">
        <v>2.74568923344408E-7</v>
      </c>
      <c r="G17395">
        <v>135481</v>
      </c>
      <c r="H17395">
        <v>15548117</v>
      </c>
      <c r="I17395">
        <v>373774</v>
      </c>
      <c r="J17395">
        <v>3</v>
      </c>
    </row>
    <row r="17396" spans="1:10" x14ac:dyDescent="0.25">
      <c r="A17396" t="s">
        <v>1620</v>
      </c>
      <c r="B17396" s="1" t="str">
        <f>HYPERLINK("http://hersheys.com","hersheys.com")</f>
        <v>hersheys.com</v>
      </c>
      <c r="C17396" t="s">
        <v>433</v>
      </c>
      <c r="E17396">
        <v>29007</v>
      </c>
      <c r="F17396">
        <v>1.00476916468903E-6</v>
      </c>
      <c r="G17396">
        <v>38092</v>
      </c>
      <c r="H17396">
        <v>17409666</v>
      </c>
      <c r="I17396">
        <v>18531</v>
      </c>
      <c r="J17396">
        <v>2</v>
      </c>
    </row>
    <row r="17397" spans="1:10" x14ac:dyDescent="0.25">
      <c r="A17397" t="s">
        <v>1620</v>
      </c>
      <c r="B17397" s="1" t="str">
        <f>HYPERLINK("http://hersheys-apps.com","hersheys-apps.com")</f>
        <v>hersheys-apps.com</v>
      </c>
      <c r="C17397" t="s">
        <v>433</v>
      </c>
      <c r="J17397">
        <v>2</v>
      </c>
    </row>
    <row r="17398" spans="1:10" x14ac:dyDescent="0.25">
      <c r="A17398" t="s">
        <v>1620</v>
      </c>
      <c r="B17398" s="1" t="str">
        <f>HYPERLINK("http://hersheyschocolateworldlasvegas.com","hersheyschocolateworldlasvegas.com")</f>
        <v>hersheyschocolateworldlasvegas.com</v>
      </c>
      <c r="C17398" t="s">
        <v>433</v>
      </c>
      <c r="F17398">
        <v>4.8544166624327903E-8</v>
      </c>
      <c r="G17398">
        <v>955459</v>
      </c>
      <c r="H17398">
        <v>13861697</v>
      </c>
      <c r="I17398">
        <v>6018865</v>
      </c>
      <c r="J17398">
        <v>3</v>
      </c>
    </row>
    <row r="17399" spans="1:10" x14ac:dyDescent="0.25">
      <c r="A17399" t="s">
        <v>1620</v>
      </c>
      <c r="B17399" s="1" t="str">
        <f>HYPERLINK("http://ohyeahnutrition.com","ohyeahnutrition.com")</f>
        <v>ohyeahnutrition.com</v>
      </c>
      <c r="C17399" t="s">
        <v>433</v>
      </c>
      <c r="F17399">
        <v>1.2007289246949399E-8</v>
      </c>
      <c r="G17399">
        <v>5170555</v>
      </c>
      <c r="H17399">
        <v>13410016</v>
      </c>
      <c r="I17399">
        <v>10340331</v>
      </c>
      <c r="J17399">
        <v>6</v>
      </c>
    </row>
    <row r="17400" spans="1:10" x14ac:dyDescent="0.25">
      <c r="A17400" t="s">
        <v>1620</v>
      </c>
      <c r="B17400" s="1" t="str">
        <f>HYPERLINK("http://one1brands.com","one1brands.com")</f>
        <v>one1brands.com</v>
      </c>
      <c r="C17400" t="s">
        <v>433</v>
      </c>
      <c r="F17400">
        <v>4.2227355759304397E-8</v>
      </c>
      <c r="G17400">
        <v>1154106</v>
      </c>
      <c r="H17400">
        <v>14057706</v>
      </c>
      <c r="I17400">
        <v>3888754</v>
      </c>
      <c r="J17400">
        <v>3</v>
      </c>
    </row>
    <row r="17401" spans="1:10" x14ac:dyDescent="0.25">
      <c r="A17401" t="s">
        <v>1620</v>
      </c>
      <c r="B17401" s="1" t="str">
        <f>HYPERLINK("http://ripplebrands.com","ripplebrands.com")</f>
        <v>ripplebrands.com</v>
      </c>
      <c r="C17401" t="s">
        <v>433</v>
      </c>
      <c r="F17401">
        <v>5.6620948575978303E-9</v>
      </c>
      <c r="G17401">
        <v>19286928</v>
      </c>
      <c r="H17401">
        <v>13774672</v>
      </c>
      <c r="I17401">
        <v>6600094</v>
      </c>
      <c r="J17401">
        <v>6</v>
      </c>
    </row>
    <row r="17402" spans="1:10" x14ac:dyDescent="0.25">
      <c r="A17402" t="s">
        <v>1620</v>
      </c>
      <c r="B17402" s="1" t="str">
        <f>HYPERLINK("http://thehersheycompany.com","thehersheycompany.com")</f>
        <v>thehersheycompany.com</v>
      </c>
      <c r="C17402" t="s">
        <v>433</v>
      </c>
      <c r="E17402">
        <v>60796</v>
      </c>
      <c r="F17402">
        <v>1.5088187072916299E-6</v>
      </c>
      <c r="G17402">
        <v>25997</v>
      </c>
      <c r="H17402">
        <v>15269612</v>
      </c>
      <c r="I17402">
        <v>388540</v>
      </c>
      <c r="J17402">
        <v>1</v>
      </c>
    </row>
    <row r="17403" spans="1:10" x14ac:dyDescent="0.25">
      <c r="A17403" t="s">
        <v>1620</v>
      </c>
      <c r="B17403" s="1" t="str">
        <f>HYPERLINK("http://hersheys.com.mx","hersheys.com.mx")</f>
        <v>hersheys.com.mx</v>
      </c>
      <c r="C17403" t="s">
        <v>471</v>
      </c>
      <c r="D17403" t="s">
        <v>847</v>
      </c>
      <c r="F17403">
        <v>7.7310286645574307E-9</v>
      </c>
      <c r="G17403">
        <v>10505370</v>
      </c>
      <c r="H17403">
        <v>14485307</v>
      </c>
      <c r="I17403">
        <v>1004849</v>
      </c>
      <c r="J17403">
        <v>3</v>
      </c>
    </row>
    <row r="17404" spans="1:10" x14ac:dyDescent="0.25">
      <c r="A17404" t="s">
        <v>1620</v>
      </c>
      <c r="B17404" s="1" t="str">
        <f>HYPERLINK("http://hersheyland.mx","hersheyland.mx")</f>
        <v>hersheyland.mx</v>
      </c>
      <c r="C17404" t="s">
        <v>471</v>
      </c>
      <c r="D17404" t="s">
        <v>847</v>
      </c>
      <c r="F17404">
        <v>9.7412006268452803E-9</v>
      </c>
      <c r="G17404">
        <v>7033760</v>
      </c>
      <c r="H17404">
        <v>12336136</v>
      </c>
      <c r="I17404">
        <v>20083664</v>
      </c>
      <c r="J17404">
        <v>4</v>
      </c>
    </row>
    <row r="17405" spans="1:10" x14ac:dyDescent="0.25">
      <c r="A17405" t="s">
        <v>1621</v>
      </c>
      <c r="B17405" s="1" t="str">
        <f>HYPERLINK("http://hess.com","hess.com")</f>
        <v>hess.com</v>
      </c>
      <c r="C17405" t="s">
        <v>433</v>
      </c>
      <c r="E17405">
        <v>101047</v>
      </c>
      <c r="F17405">
        <v>3.8383559596237198E-7</v>
      </c>
      <c r="G17405">
        <v>97528</v>
      </c>
      <c r="H17405">
        <v>15119109</v>
      </c>
      <c r="I17405">
        <v>403848</v>
      </c>
      <c r="J17405">
        <v>1</v>
      </c>
    </row>
    <row r="17406" spans="1:10" x14ac:dyDescent="0.25">
      <c r="A17406" t="s">
        <v>1621</v>
      </c>
      <c r="B17406" s="1" t="str">
        <f>HYPERLINK("http://hessmidstream.com","hessmidstream.com")</f>
        <v>hessmidstream.com</v>
      </c>
      <c r="C17406" t="s">
        <v>433</v>
      </c>
      <c r="F17406">
        <v>1.4649659487557899E-8</v>
      </c>
      <c r="G17406">
        <v>3958530</v>
      </c>
      <c r="H17406">
        <v>13346101</v>
      </c>
      <c r="I17406">
        <v>10649442</v>
      </c>
      <c r="J17406">
        <v>3</v>
      </c>
    </row>
    <row r="17407" spans="1:10" x14ac:dyDescent="0.25">
      <c r="A17407" t="s">
        <v>1621</v>
      </c>
      <c r="B17407" s="1" t="str">
        <f>HYPERLINK("http://offshorecenter.dk","offshorecenter.dk")</f>
        <v>offshorecenter.dk</v>
      </c>
      <c r="C17407" t="s">
        <v>437</v>
      </c>
      <c r="D17407" t="s">
        <v>816</v>
      </c>
      <c r="F17407">
        <v>9.4674142488948704E-9</v>
      </c>
      <c r="G17407">
        <v>7361904</v>
      </c>
      <c r="H17407">
        <v>14243621</v>
      </c>
      <c r="I17407">
        <v>1476320</v>
      </c>
      <c r="J17407">
        <v>4</v>
      </c>
    </row>
    <row r="17408" spans="1:10" x14ac:dyDescent="0.25">
      <c r="A17408" t="s">
        <v>185</v>
      </c>
      <c r="B17408" s="1" t="str">
        <f>HYPERLINK("http://hgi-wn.at","hgi-wn.at")</f>
        <v>hgi-wn.at</v>
      </c>
      <c r="C17408" t="s">
        <v>419</v>
      </c>
      <c r="D17408" t="s">
        <v>801</v>
      </c>
      <c r="J17408">
        <v>3</v>
      </c>
    </row>
    <row r="17409" spans="1:10" x14ac:dyDescent="0.25">
      <c r="A17409" t="s">
        <v>185</v>
      </c>
      <c r="B17409" s="1" t="str">
        <f>HYPERLINK("http://glassbrasserie.com.au","glassbrasserie.com.au")</f>
        <v>glassbrasserie.com.au</v>
      </c>
      <c r="C17409" t="s">
        <v>420</v>
      </c>
      <c r="D17409" t="s">
        <v>802</v>
      </c>
      <c r="F17409">
        <v>2.44576027223352E-8</v>
      </c>
      <c r="G17409">
        <v>2118503</v>
      </c>
      <c r="H17409">
        <v>14131748</v>
      </c>
      <c r="I17409">
        <v>2011578</v>
      </c>
      <c r="J17409">
        <v>3</v>
      </c>
    </row>
    <row r="17410" spans="1:10" x14ac:dyDescent="0.25">
      <c r="A17410" t="s">
        <v>185</v>
      </c>
      <c r="B17410" s="1" t="str">
        <f>HYPERLINK("http://hiltonsurfersparadise.com.au","hiltonsurfersparadise.com.au")</f>
        <v>hiltonsurfersparadise.com.au</v>
      </c>
      <c r="C17410" t="s">
        <v>420</v>
      </c>
      <c r="D17410" t="s">
        <v>802</v>
      </c>
      <c r="F17410">
        <v>3.1463381214843502E-8</v>
      </c>
      <c r="G17410">
        <v>1639693</v>
      </c>
      <c r="H17410">
        <v>13790004</v>
      </c>
      <c r="I17410">
        <v>6350776</v>
      </c>
      <c r="J17410">
        <v>4</v>
      </c>
    </row>
    <row r="17411" spans="1:10" x14ac:dyDescent="0.25">
      <c r="A17411" t="s">
        <v>185</v>
      </c>
      <c r="B17411" s="1" t="str">
        <f>HYPERLINK("http://hiltonsydney.com.au","hiltonsydney.com.au")</f>
        <v>hiltonsydney.com.au</v>
      </c>
      <c r="C17411" t="s">
        <v>420</v>
      </c>
      <c r="D17411" t="s">
        <v>802</v>
      </c>
      <c r="F17411">
        <v>6.2407383848221199E-8</v>
      </c>
      <c r="G17411">
        <v>703387</v>
      </c>
      <c r="H17411">
        <v>14676625</v>
      </c>
      <c r="I17411">
        <v>610719</v>
      </c>
      <c r="J17411">
        <v>5</v>
      </c>
    </row>
    <row r="17412" spans="1:10" x14ac:dyDescent="0.25">
      <c r="A17412" t="s">
        <v>185</v>
      </c>
      <c r="B17412" s="1" t="str">
        <f>HYPERLINK("http://livingwell.com.au","livingwell.com.au")</f>
        <v>livingwell.com.au</v>
      </c>
      <c r="C17412" t="s">
        <v>420</v>
      </c>
      <c r="D17412" t="s">
        <v>802</v>
      </c>
      <c r="F17412">
        <v>4.7507179126919202E-9</v>
      </c>
      <c r="G17412">
        <v>38292824</v>
      </c>
      <c r="H17412">
        <v>13763811</v>
      </c>
      <c r="I17412">
        <v>7598953</v>
      </c>
      <c r="J17412">
        <v>3</v>
      </c>
    </row>
    <row r="17413" spans="1:10" x14ac:dyDescent="0.25">
      <c r="A17413" t="s">
        <v>185</v>
      </c>
      <c r="B17413" s="1" t="str">
        <f>HYPERLINK("http://solanderdiningandbar.com.au","solanderdiningandbar.com.au")</f>
        <v>solanderdiningandbar.com.au</v>
      </c>
      <c r="C17413" t="s">
        <v>420</v>
      </c>
      <c r="D17413" t="s">
        <v>802</v>
      </c>
      <c r="F17413">
        <v>5.4635398976588902E-9</v>
      </c>
      <c r="G17413">
        <v>21318361</v>
      </c>
      <c r="H17413">
        <v>13052802</v>
      </c>
      <c r="I17413">
        <v>12574697</v>
      </c>
      <c r="J17413">
        <v>3</v>
      </c>
    </row>
    <row r="17414" spans="1:10" x14ac:dyDescent="0.25">
      <c r="A17414" t="s">
        <v>185</v>
      </c>
      <c r="B17414" s="1" t="str">
        <f>HYPERLINK("http://westhotel.com.au","westhotel.com.au")</f>
        <v>westhotel.com.au</v>
      </c>
      <c r="C17414" t="s">
        <v>420</v>
      </c>
      <c r="D17414" t="s">
        <v>802</v>
      </c>
      <c r="F17414">
        <v>6.4768417694585098E-9</v>
      </c>
      <c r="G17414">
        <v>14176093</v>
      </c>
      <c r="H17414">
        <v>12692397</v>
      </c>
      <c r="I17414">
        <v>15402749</v>
      </c>
      <c r="J17414">
        <v>4</v>
      </c>
    </row>
    <row r="17415" spans="1:10" x14ac:dyDescent="0.25">
      <c r="A17415" t="s">
        <v>185</v>
      </c>
      <c r="B17415" s="1" t="str">
        <f>HYPERLINK("http://zetabar.com.au","zetabar.com.au")</f>
        <v>zetabar.com.au</v>
      </c>
      <c r="C17415" t="s">
        <v>420</v>
      </c>
      <c r="D17415" t="s">
        <v>802</v>
      </c>
      <c r="F17415">
        <v>2.2569816119177599E-8</v>
      </c>
      <c r="G17415">
        <v>2320761</v>
      </c>
      <c r="H17415">
        <v>13873361</v>
      </c>
      <c r="I17415">
        <v>5994334</v>
      </c>
      <c r="J17415">
        <v>3</v>
      </c>
    </row>
    <row r="17416" spans="1:10" x14ac:dyDescent="0.25">
      <c r="A17416" t="s">
        <v>185</v>
      </c>
      <c r="B17416" s="1" t="str">
        <f>HYPERLINK("http://windsorhoteis.com.br","windsorhoteis.com.br")</f>
        <v>windsorhoteis.com.br</v>
      </c>
      <c r="C17416" t="s">
        <v>425</v>
      </c>
      <c r="D17416" t="s">
        <v>806</v>
      </c>
      <c r="F17416">
        <v>1.5454305868841199E-8</v>
      </c>
      <c r="G17416">
        <v>3697724</v>
      </c>
      <c r="H17416">
        <v>13795635</v>
      </c>
      <c r="I17416">
        <v>6308470</v>
      </c>
      <c r="J17416">
        <v>4</v>
      </c>
    </row>
    <row r="17417" spans="1:10" x14ac:dyDescent="0.25">
      <c r="A17417" t="s">
        <v>185</v>
      </c>
      <c r="B17417" s="1" t="str">
        <f>HYPERLINK("http://eurohotel.by","eurohotel.by")</f>
        <v>eurohotel.by</v>
      </c>
      <c r="C17417" t="s">
        <v>427</v>
      </c>
      <c r="D17417" t="s">
        <v>808</v>
      </c>
      <c r="J17417">
        <v>3</v>
      </c>
    </row>
    <row r="17418" spans="1:10" x14ac:dyDescent="0.25">
      <c r="A17418" t="s">
        <v>185</v>
      </c>
      <c r="B17418" s="1" t="str">
        <f>HYPERLINK("http://gardenninn.com.cn","gardenninn.com.cn")</f>
        <v>gardenninn.com.cn</v>
      </c>
      <c r="C17418" t="s">
        <v>431</v>
      </c>
      <c r="D17418" t="s">
        <v>812</v>
      </c>
      <c r="F17418">
        <v>2.63454668085265E-8</v>
      </c>
      <c r="G17418">
        <v>1954461</v>
      </c>
      <c r="H17418">
        <v>12613840</v>
      </c>
      <c r="I17418">
        <v>16157405</v>
      </c>
      <c r="J17418">
        <v>3</v>
      </c>
    </row>
    <row r="17419" spans="1:10" x14ac:dyDescent="0.25">
      <c r="A17419" t="s">
        <v>185</v>
      </c>
      <c r="B17419" s="1" t="str">
        <f>HYPERLINK("http://hilton.com.cn","hilton.com.cn")</f>
        <v>hilton.com.cn</v>
      </c>
      <c r="C17419" t="s">
        <v>431</v>
      </c>
      <c r="D17419" t="s">
        <v>812</v>
      </c>
      <c r="E17419">
        <v>198414</v>
      </c>
      <c r="F17419">
        <v>2.4274573190325402E-7</v>
      </c>
      <c r="G17419">
        <v>154110</v>
      </c>
      <c r="H17419">
        <v>14376073</v>
      </c>
      <c r="I17419">
        <v>1220204</v>
      </c>
      <c r="J17419">
        <v>2</v>
      </c>
    </row>
    <row r="17420" spans="1:10" x14ac:dyDescent="0.25">
      <c r="A17420" t="s">
        <v>185</v>
      </c>
      <c r="B17420" s="1" t="str">
        <f>HYPERLINK("http://roccofortehotels.cn","roccofortehotels.cn")</f>
        <v>roccofortehotels.cn</v>
      </c>
      <c r="C17420" t="s">
        <v>431</v>
      </c>
      <c r="D17420" t="s">
        <v>812</v>
      </c>
      <c r="F17420">
        <v>5.5305972666719798E-9</v>
      </c>
      <c r="G17420">
        <v>20578093</v>
      </c>
      <c r="H17420">
        <v>11116955</v>
      </c>
      <c r="I17420">
        <v>32080574</v>
      </c>
      <c r="J17420">
        <v>16</v>
      </c>
    </row>
    <row r="17421" spans="1:10" x14ac:dyDescent="0.25">
      <c r="A17421" t="s">
        <v>185</v>
      </c>
      <c r="B17421" s="1" t="str">
        <f>HYPERLINK("http://staywellgroup.cn","staywellgroup.cn")</f>
        <v>staywellgroup.cn</v>
      </c>
      <c r="C17421" t="s">
        <v>431</v>
      </c>
      <c r="D17421" t="s">
        <v>812</v>
      </c>
      <c r="F17421">
        <v>4.7055871769395504E-9</v>
      </c>
      <c r="G17421">
        <v>40955741</v>
      </c>
      <c r="H17421">
        <v>10095063</v>
      </c>
      <c r="I17421">
        <v>59927752</v>
      </c>
      <c r="J17421">
        <v>8</v>
      </c>
    </row>
    <row r="17422" spans="1:10" x14ac:dyDescent="0.25">
      <c r="A17422" t="s">
        <v>185</v>
      </c>
      <c r="B17422" s="1" t="str">
        <f>HYPERLINK("http://100queensgate.com","100queensgate.com")</f>
        <v>100queensgate.com</v>
      </c>
      <c r="C17422" t="s">
        <v>433</v>
      </c>
      <c r="F17422">
        <v>1.1905004242575799E-8</v>
      </c>
      <c r="G17422">
        <v>5234401</v>
      </c>
      <c r="H17422">
        <v>13567958</v>
      </c>
      <c r="I17422">
        <v>9739870</v>
      </c>
      <c r="J17422">
        <v>3</v>
      </c>
    </row>
    <row r="17423" spans="1:10" x14ac:dyDescent="0.25">
      <c r="A17423" t="s">
        <v>185</v>
      </c>
      <c r="B17423" s="1" t="str">
        <f>HYPERLINK("http://accommodationbutton.com","accommodationbutton.com")</f>
        <v>accommodationbutton.com</v>
      </c>
      <c r="C17423" t="s">
        <v>433</v>
      </c>
      <c r="F17423">
        <v>4.4911295434356297E-9</v>
      </c>
      <c r="G17423">
        <v>60336812</v>
      </c>
      <c r="H17423">
        <v>10547628</v>
      </c>
      <c r="I17423">
        <v>46792232</v>
      </c>
      <c r="J17423">
        <v>6</v>
      </c>
    </row>
    <row r="17424" spans="1:10" x14ac:dyDescent="0.25">
      <c r="A17424" t="s">
        <v>185</v>
      </c>
      <c r="B17424" s="1" t="str">
        <f>HYPERLINK("http://activategetawaygift.com","activategetawaygift.com")</f>
        <v>activategetawaygift.com</v>
      </c>
      <c r="C17424" t="s">
        <v>433</v>
      </c>
      <c r="F17424">
        <v>4.44380395335525E-9</v>
      </c>
      <c r="G17424">
        <v>80520063</v>
      </c>
      <c r="H17424">
        <v>0</v>
      </c>
      <c r="I17424">
        <v>80699044</v>
      </c>
      <c r="J17424">
        <v>10</v>
      </c>
    </row>
    <row r="17425" spans="1:10" x14ac:dyDescent="0.25">
      <c r="A17425" t="s">
        <v>185</v>
      </c>
      <c r="B17425" s="1" t="str">
        <f>HYPERLINK("http://alephrome.com","alephrome.com")</f>
        <v>alephrome.com</v>
      </c>
      <c r="C17425" t="s">
        <v>433</v>
      </c>
      <c r="F17425">
        <v>1.25475408352026E-8</v>
      </c>
      <c r="G17425">
        <v>4860584</v>
      </c>
      <c r="H17425">
        <v>13975672</v>
      </c>
      <c r="I17425">
        <v>4061587</v>
      </c>
      <c r="J17425">
        <v>3</v>
      </c>
    </row>
    <row r="17426" spans="1:10" x14ac:dyDescent="0.25">
      <c r="A17426" t="s">
        <v>185</v>
      </c>
      <c r="B17426" s="1" t="str">
        <f>HYPERLINK("http://alliancehinc.com","alliancehinc.com")</f>
        <v>alliancehinc.com</v>
      </c>
      <c r="C17426" t="s">
        <v>433</v>
      </c>
      <c r="F17426">
        <v>4.6425914341915903E-9</v>
      </c>
      <c r="G17426">
        <v>44626819</v>
      </c>
      <c r="H17426">
        <v>10754001</v>
      </c>
      <c r="I17426">
        <v>39863816</v>
      </c>
      <c r="J17426">
        <v>3</v>
      </c>
    </row>
    <row r="17427" spans="1:10" x14ac:dyDescent="0.25">
      <c r="A17427" t="s">
        <v>185</v>
      </c>
      <c r="B17427" s="1" t="str">
        <f>HYPERLINK("http://angleterrehotel.com","angleterrehotel.com")</f>
        <v>angleterrehotel.com</v>
      </c>
      <c r="C17427" t="s">
        <v>433</v>
      </c>
      <c r="F17427">
        <v>1.1208037671880001E-8</v>
      </c>
      <c r="G17427">
        <v>5707484</v>
      </c>
      <c r="H17427">
        <v>13384864</v>
      </c>
      <c r="I17427">
        <v>10412209</v>
      </c>
      <c r="J17427">
        <v>16</v>
      </c>
    </row>
    <row r="17428" spans="1:10" x14ac:dyDescent="0.25">
      <c r="A17428" t="s">
        <v>185</v>
      </c>
      <c r="B17428" s="1" t="str">
        <f>HYPERLINK("http://bestwesterndullesairport.com","bestwesterndullesairport.com")</f>
        <v>bestwesterndullesairport.com</v>
      </c>
      <c r="C17428" t="s">
        <v>433</v>
      </c>
      <c r="F17428">
        <v>4.4587542547473498E-9</v>
      </c>
      <c r="G17428">
        <v>68153166</v>
      </c>
      <c r="H17428">
        <v>12339838</v>
      </c>
      <c r="I17428">
        <v>20005816</v>
      </c>
      <c r="J17428">
        <v>3</v>
      </c>
    </row>
    <row r="17429" spans="1:10" x14ac:dyDescent="0.25">
      <c r="A17429" t="s">
        <v>185</v>
      </c>
      <c r="B17429" s="1" t="str">
        <f>HYPERLINK("http://bfsaul.com","bfsaul.com")</f>
        <v>bfsaul.com</v>
      </c>
      <c r="C17429" t="s">
        <v>433</v>
      </c>
      <c r="F17429">
        <v>1.5876963610539799E-8</v>
      </c>
      <c r="G17429">
        <v>3578609</v>
      </c>
      <c r="H17429">
        <v>14170401</v>
      </c>
      <c r="I17429">
        <v>1804471</v>
      </c>
      <c r="J17429">
        <v>3</v>
      </c>
    </row>
    <row r="17430" spans="1:10" x14ac:dyDescent="0.25">
      <c r="A17430" t="s">
        <v>185</v>
      </c>
      <c r="B17430" s="1" t="str">
        <f>HYPERLINK("http://bloomingtonhilton.com","bloomingtonhilton.com")</f>
        <v>bloomingtonhilton.com</v>
      </c>
      <c r="C17430" t="s">
        <v>433</v>
      </c>
      <c r="F17430">
        <v>6.8256345453713301E-9</v>
      </c>
      <c r="G17430">
        <v>12875970</v>
      </c>
      <c r="H17430">
        <v>12301393</v>
      </c>
      <c r="I17430">
        <v>20802039</v>
      </c>
      <c r="J17430">
        <v>4</v>
      </c>
    </row>
    <row r="17431" spans="1:10" x14ac:dyDescent="0.25">
      <c r="A17431" t="s">
        <v>185</v>
      </c>
      <c r="B17431" s="1" t="str">
        <f>HYPERLINK("http://brandoncenterhotel.com","brandoncenterhotel.com")</f>
        <v>brandoncenterhotel.com</v>
      </c>
      <c r="C17431" t="s">
        <v>433</v>
      </c>
      <c r="J17431">
        <v>4</v>
      </c>
    </row>
    <row r="17432" spans="1:10" x14ac:dyDescent="0.25">
      <c r="A17432" t="s">
        <v>185</v>
      </c>
      <c r="B17432" s="1" t="str">
        <f>HYPERLINK("http://brownstonehotel.com","brownstonehotel.com")</f>
        <v>brownstonehotel.com</v>
      </c>
      <c r="C17432" t="s">
        <v>433</v>
      </c>
      <c r="F17432">
        <v>9.7191509470005093E-9</v>
      </c>
      <c r="G17432">
        <v>7058911</v>
      </c>
      <c r="H17432">
        <v>13352117</v>
      </c>
      <c r="I17432">
        <v>10609074</v>
      </c>
      <c r="J17432">
        <v>4</v>
      </c>
    </row>
    <row r="17433" spans="1:10" x14ac:dyDescent="0.25">
      <c r="A17433" t="s">
        <v>185</v>
      </c>
      <c r="B17433" s="1" t="str">
        <f>HYPERLINK("http://buckinghamhotel.com","buckinghamhotel.com")</f>
        <v>buckinghamhotel.com</v>
      </c>
      <c r="C17433" t="s">
        <v>433</v>
      </c>
      <c r="F17433">
        <v>5.9882570473313802E-9</v>
      </c>
      <c r="G17433">
        <v>16767548</v>
      </c>
      <c r="H17433">
        <v>13771867</v>
      </c>
      <c r="I17433">
        <v>6678455</v>
      </c>
      <c r="J17433">
        <v>6</v>
      </c>
    </row>
    <row r="17434" spans="1:10" x14ac:dyDescent="0.25">
      <c r="A17434" t="s">
        <v>185</v>
      </c>
      <c r="B17434" s="1" t="str">
        <f>HYPERLINK("http://cadburyhotelbristol.com","cadburyhotelbristol.com")</f>
        <v>cadburyhotelbristol.com</v>
      </c>
      <c r="C17434" t="s">
        <v>433</v>
      </c>
      <c r="J17434">
        <v>6</v>
      </c>
    </row>
    <row r="17435" spans="1:10" x14ac:dyDescent="0.25">
      <c r="A17435" t="s">
        <v>185</v>
      </c>
      <c r="B17435" s="1" t="str">
        <f>HYPERLINK("http://cadburyhouse.com","cadburyhouse.com")</f>
        <v>cadburyhouse.com</v>
      </c>
      <c r="C17435" t="s">
        <v>433</v>
      </c>
      <c r="F17435">
        <v>5.5809808218213299E-9</v>
      </c>
      <c r="G17435">
        <v>20045676</v>
      </c>
      <c r="H17435">
        <v>9377379</v>
      </c>
      <c r="I17435">
        <v>67599895</v>
      </c>
      <c r="J17435">
        <v>3</v>
      </c>
    </row>
    <row r="17436" spans="1:10" x14ac:dyDescent="0.25">
      <c r="A17436" t="s">
        <v>185</v>
      </c>
      <c r="B17436" s="1" t="str">
        <f>HYPERLINK("http://caribehilton.com","caribehilton.com")</f>
        <v>caribehilton.com</v>
      </c>
      <c r="C17436" t="s">
        <v>433</v>
      </c>
      <c r="E17436">
        <v>816105</v>
      </c>
      <c r="F17436">
        <v>8.2775544139447299E-8</v>
      </c>
      <c r="G17436">
        <v>503974</v>
      </c>
      <c r="H17436">
        <v>14597484</v>
      </c>
      <c r="I17436">
        <v>688555</v>
      </c>
      <c r="J17436">
        <v>4</v>
      </c>
    </row>
    <row r="17437" spans="1:10" x14ac:dyDescent="0.25">
      <c r="A17437" t="s">
        <v>185</v>
      </c>
      <c r="B17437" s="1" t="str">
        <f>HYPERLINK("http://casaalberola.com","casaalberola.com")</f>
        <v>casaalberola.com</v>
      </c>
      <c r="C17437" t="s">
        <v>433</v>
      </c>
      <c r="J17437">
        <v>4</v>
      </c>
    </row>
    <row r="17438" spans="1:10" x14ac:dyDescent="0.25">
      <c r="A17438" t="s">
        <v>185</v>
      </c>
      <c r="B17438" s="1" t="str">
        <f>HYPERLINK("http://casaalberolahotel.com","casaalberolahotel.com")</f>
        <v>casaalberolahotel.com</v>
      </c>
      <c r="C17438" t="s">
        <v>433</v>
      </c>
      <c r="F17438">
        <v>6.4782311864392501E-9</v>
      </c>
      <c r="G17438">
        <v>14170323</v>
      </c>
      <c r="H17438">
        <v>12866536</v>
      </c>
      <c r="I17438">
        <v>14145396</v>
      </c>
      <c r="J17438">
        <v>3</v>
      </c>
    </row>
    <row r="17439" spans="1:10" x14ac:dyDescent="0.25">
      <c r="A17439" t="s">
        <v>185</v>
      </c>
      <c r="B17439" s="1" t="str">
        <f>HYPERLINK("http://cbaldwinhotel.com","cbaldwinhotel.com")</f>
        <v>cbaldwinhotel.com</v>
      </c>
      <c r="C17439" t="s">
        <v>433</v>
      </c>
      <c r="F17439">
        <v>1.8350834479006499E-8</v>
      </c>
      <c r="G17439">
        <v>2957655</v>
      </c>
      <c r="H17439">
        <v>13034407</v>
      </c>
      <c r="I17439">
        <v>12651247</v>
      </c>
      <c r="J17439">
        <v>4</v>
      </c>
    </row>
    <row r="17440" spans="1:10" x14ac:dyDescent="0.25">
      <c r="A17440" t="s">
        <v>185</v>
      </c>
      <c r="B17440" s="1" t="str">
        <f>HYPERLINK("http://chekhoffhotel.com","chekhoffhotel.com")</f>
        <v>chekhoffhotel.com</v>
      </c>
      <c r="C17440" t="s">
        <v>433</v>
      </c>
      <c r="F17440">
        <v>6.6994980300392799E-9</v>
      </c>
      <c r="G17440">
        <v>13304758</v>
      </c>
      <c r="H17440">
        <v>12251353</v>
      </c>
      <c r="I17440">
        <v>21987233</v>
      </c>
      <c r="J17440">
        <v>3</v>
      </c>
    </row>
    <row r="17441" spans="1:10" x14ac:dyDescent="0.25">
      <c r="A17441" t="s">
        <v>185</v>
      </c>
      <c r="B17441" s="1" t="str">
        <f>HYPERLINK("http://chialagunaresort.com","chialagunaresort.com")</f>
        <v>chialagunaresort.com</v>
      </c>
      <c r="C17441" t="s">
        <v>433</v>
      </c>
      <c r="F17441">
        <v>5.5114065525822401E-8</v>
      </c>
      <c r="G17441">
        <v>815593</v>
      </c>
      <c r="H17441">
        <v>13838073</v>
      </c>
      <c r="I17441">
        <v>6079915</v>
      </c>
      <c r="J17441">
        <v>3</v>
      </c>
    </row>
    <row r="17442" spans="1:10" x14ac:dyDescent="0.25">
      <c r="A17442" t="s">
        <v>185</v>
      </c>
      <c r="B17442" s="1" t="str">
        <f>HYPERLINK("http://condadoplaza.com","condadoplaza.com")</f>
        <v>condadoplaza.com</v>
      </c>
      <c r="C17442" t="s">
        <v>433</v>
      </c>
      <c r="F17442">
        <v>1.96147658963428E-8</v>
      </c>
      <c r="G17442">
        <v>2725726</v>
      </c>
      <c r="H17442">
        <v>14478604</v>
      </c>
      <c r="I17442">
        <v>1029232</v>
      </c>
      <c r="J17442">
        <v>4</v>
      </c>
    </row>
    <row r="17443" spans="1:10" x14ac:dyDescent="0.25">
      <c r="A17443" t="s">
        <v>185</v>
      </c>
      <c r="B17443" s="1" t="str">
        <f>HYPERLINK("http://conradbali.com","conradbali.com")</f>
        <v>conradbali.com</v>
      </c>
      <c r="C17443" t="s">
        <v>433</v>
      </c>
      <c r="F17443">
        <v>2.92003362544302E-8</v>
      </c>
      <c r="G17443">
        <v>1763940</v>
      </c>
      <c r="H17443">
        <v>13800341</v>
      </c>
      <c r="I17443">
        <v>6280087</v>
      </c>
      <c r="J17443">
        <v>3</v>
      </c>
    </row>
    <row r="17444" spans="1:10" x14ac:dyDescent="0.25">
      <c r="A17444" t="s">
        <v>185</v>
      </c>
      <c r="B17444" s="1" t="str">
        <f>HYPERLINK("http://conradbangkok.com","conradbangkok.com")</f>
        <v>conradbangkok.com</v>
      </c>
      <c r="C17444" t="s">
        <v>433</v>
      </c>
      <c r="F17444">
        <v>8.1732485886667203E-9</v>
      </c>
      <c r="G17444">
        <v>9616528</v>
      </c>
      <c r="H17444">
        <v>12352135</v>
      </c>
      <c r="I17444">
        <v>19733022</v>
      </c>
      <c r="J17444">
        <v>4</v>
      </c>
    </row>
    <row r="17445" spans="1:10" x14ac:dyDescent="0.25">
      <c r="A17445" t="s">
        <v>185</v>
      </c>
      <c r="B17445" s="1" t="str">
        <f>HYPERLINK("http://conradhotels.com","conradhotels.com")</f>
        <v>conradhotels.com</v>
      </c>
      <c r="C17445" t="s">
        <v>433</v>
      </c>
      <c r="E17445">
        <v>631524</v>
      </c>
      <c r="F17445">
        <v>7.1727144001585299E-8</v>
      </c>
      <c r="G17445">
        <v>589016</v>
      </c>
      <c r="H17445">
        <v>14300446</v>
      </c>
      <c r="I17445">
        <v>1356174</v>
      </c>
      <c r="J17445">
        <v>3</v>
      </c>
    </row>
    <row r="17446" spans="1:10" x14ac:dyDescent="0.25">
      <c r="A17446" t="s">
        <v>185</v>
      </c>
      <c r="B17446" s="1" t="str">
        <f>HYPERLINK("http://conradkohsamui.com","conradkohsamui.com")</f>
        <v>conradkohsamui.com</v>
      </c>
      <c r="C17446" t="s">
        <v>433</v>
      </c>
      <c r="F17446">
        <v>1.25716848414049E-8</v>
      </c>
      <c r="G17446">
        <v>4846736</v>
      </c>
      <c r="H17446">
        <v>13040961</v>
      </c>
      <c r="I17446">
        <v>12622043</v>
      </c>
      <c r="J17446">
        <v>4</v>
      </c>
    </row>
    <row r="17447" spans="1:10" x14ac:dyDescent="0.25">
      <c r="A17447" t="s">
        <v>185</v>
      </c>
      <c r="B17447" s="1" t="str">
        <f>HYPERLINK("http://conradmaldives.com","conradmaldives.com")</f>
        <v>conradmaldives.com</v>
      </c>
      <c r="C17447" t="s">
        <v>433</v>
      </c>
      <c r="E17447">
        <v>339824</v>
      </c>
      <c r="F17447">
        <v>1.2973195707607599E-7</v>
      </c>
      <c r="G17447">
        <v>301768</v>
      </c>
      <c r="H17447">
        <v>14722215</v>
      </c>
      <c r="I17447">
        <v>577087</v>
      </c>
      <c r="J17447">
        <v>4</v>
      </c>
    </row>
    <row r="17448" spans="1:10" x14ac:dyDescent="0.25">
      <c r="A17448" t="s">
        <v>185</v>
      </c>
      <c r="B17448" s="1" t="str">
        <f>HYPERLINK("http://conradmeetings.com","conradmeetings.com")</f>
        <v>conradmeetings.com</v>
      </c>
      <c r="C17448" t="s">
        <v>433</v>
      </c>
      <c r="F17448">
        <v>7.12303939471483E-9</v>
      </c>
      <c r="G17448">
        <v>11951010</v>
      </c>
      <c r="H17448">
        <v>14124644</v>
      </c>
      <c r="I17448">
        <v>2139681</v>
      </c>
      <c r="J17448">
        <v>4</v>
      </c>
    </row>
    <row r="17449" spans="1:10" x14ac:dyDescent="0.25">
      <c r="A17449" t="s">
        <v>185</v>
      </c>
      <c r="B17449" s="1" t="str">
        <f>HYPERLINK("http://conradnewyork.com","conradnewyork.com")</f>
        <v>conradnewyork.com</v>
      </c>
      <c r="C17449" t="s">
        <v>433</v>
      </c>
      <c r="E17449">
        <v>670592</v>
      </c>
      <c r="F17449">
        <v>1.21273806962524E-7</v>
      </c>
      <c r="G17449">
        <v>325669</v>
      </c>
      <c r="H17449">
        <v>14482900</v>
      </c>
      <c r="I17449">
        <v>1022941</v>
      </c>
      <c r="J17449">
        <v>4</v>
      </c>
    </row>
    <row r="17450" spans="1:10" x14ac:dyDescent="0.25">
      <c r="A17450" t="s">
        <v>185</v>
      </c>
      <c r="B17450" s="1" t="str">
        <f>HYPERLINK("http://conradsgevents.com","conradsgevents.com")</f>
        <v>conradsgevents.com</v>
      </c>
      <c r="C17450" t="s">
        <v>433</v>
      </c>
      <c r="F17450">
        <v>4.4471886997074103E-9</v>
      </c>
      <c r="G17450">
        <v>73706289</v>
      </c>
      <c r="H17450">
        <v>9596940</v>
      </c>
      <c r="I17450">
        <v>64430298</v>
      </c>
      <c r="J17450">
        <v>5</v>
      </c>
    </row>
    <row r="17451" spans="1:10" x14ac:dyDescent="0.25">
      <c r="A17451" t="s">
        <v>185</v>
      </c>
      <c r="B17451" s="1" t="str">
        <f>HYPERLINK("http://conradsgweddings.com","conradsgweddings.com")</f>
        <v>conradsgweddings.com</v>
      </c>
      <c r="C17451" t="s">
        <v>433</v>
      </c>
      <c r="F17451">
        <v>4.4868188100249898E-9</v>
      </c>
      <c r="G17451">
        <v>61053280</v>
      </c>
      <c r="H17451">
        <v>9636565</v>
      </c>
      <c r="I17451">
        <v>64017236</v>
      </c>
      <c r="J17451">
        <v>5</v>
      </c>
    </row>
    <row r="17452" spans="1:10" x14ac:dyDescent="0.25">
      <c r="A17452" t="s">
        <v>185</v>
      </c>
      <c r="B17452" s="1" t="str">
        <f>HYPERLINK("http://conradstjames.com","conradstjames.com")</f>
        <v>conradstjames.com</v>
      </c>
      <c r="C17452" t="s">
        <v>433</v>
      </c>
      <c r="J17452">
        <v>3</v>
      </c>
    </row>
    <row r="17453" spans="1:10" x14ac:dyDescent="0.25">
      <c r="A17453" t="s">
        <v>185</v>
      </c>
      <c r="B17453" s="1" t="str">
        <f>HYPERLINK("http://courtyardtysonscorner.com","courtyardtysonscorner.com")</f>
        <v>courtyardtysonscorner.com</v>
      </c>
      <c r="C17453" t="s">
        <v>433</v>
      </c>
      <c r="F17453">
        <v>2.9803362783679603E-8</v>
      </c>
      <c r="G17453">
        <v>1726797</v>
      </c>
      <c r="H17453">
        <v>13538822</v>
      </c>
      <c r="I17453">
        <v>9908137</v>
      </c>
      <c r="J17453">
        <v>3</v>
      </c>
    </row>
    <row r="17454" spans="1:10" x14ac:dyDescent="0.25">
      <c r="A17454" t="s">
        <v>185</v>
      </c>
      <c r="B17454" s="1" t="str">
        <f>HYPERLINK("http://cpnationalairport.com","cpnationalairport.com")</f>
        <v>cpnationalairport.com</v>
      </c>
      <c r="C17454" t="s">
        <v>433</v>
      </c>
      <c r="F17454">
        <v>7.90507622213866E-9</v>
      </c>
      <c r="G17454">
        <v>10101623</v>
      </c>
      <c r="H17454">
        <v>12579711</v>
      </c>
      <c r="I17454">
        <v>16516102</v>
      </c>
      <c r="J17454">
        <v>3</v>
      </c>
    </row>
    <row r="17455" spans="1:10" x14ac:dyDescent="0.25">
      <c r="A17455" t="s">
        <v>185</v>
      </c>
      <c r="B17455" s="1" t="str">
        <f>HYPERLINK("http://cptysonscorner.com","cptysonscorner.com")</f>
        <v>cptysonscorner.com</v>
      </c>
      <c r="C17455" t="s">
        <v>433</v>
      </c>
      <c r="F17455">
        <v>5.7569224270713996E-9</v>
      </c>
      <c r="G17455">
        <v>18441700</v>
      </c>
      <c r="H17455">
        <v>12171661</v>
      </c>
      <c r="I17455">
        <v>24027072</v>
      </c>
      <c r="J17455">
        <v>3</v>
      </c>
    </row>
    <row r="17456" spans="1:10" x14ac:dyDescent="0.25">
      <c r="A17456" t="s">
        <v>185</v>
      </c>
      <c r="B17456" s="1" t="str">
        <f>HYPERLINK("http://curiolabagnaia.com","curiolabagnaia.com")</f>
        <v>curiolabagnaia.com</v>
      </c>
      <c r="C17456" t="s">
        <v>433</v>
      </c>
      <c r="F17456">
        <v>6.3349120608211803E-9</v>
      </c>
      <c r="G17456">
        <v>14838212</v>
      </c>
      <c r="H17456">
        <v>12604337</v>
      </c>
      <c r="I17456">
        <v>16282593</v>
      </c>
      <c r="J17456">
        <v>4</v>
      </c>
    </row>
    <row r="17457" spans="1:10" x14ac:dyDescent="0.25">
      <c r="A17457" t="s">
        <v>185</v>
      </c>
      <c r="B17457" s="1" t="str">
        <f>HYPERLINK("http://daytonahilton.com","daytonahilton.com")</f>
        <v>daytonahilton.com</v>
      </c>
      <c r="C17457" t="s">
        <v>433</v>
      </c>
      <c r="F17457">
        <v>2.700085873514E-8</v>
      </c>
      <c r="G17457">
        <v>1904899</v>
      </c>
      <c r="H17457">
        <v>13974193</v>
      </c>
      <c r="I17457">
        <v>4065397</v>
      </c>
      <c r="J17457">
        <v>4</v>
      </c>
    </row>
    <row r="17458" spans="1:10" x14ac:dyDescent="0.25">
      <c r="A17458" t="s">
        <v>185</v>
      </c>
      <c r="B17458" s="1" t="str">
        <f>HYPERLINK("http://desmondgv.com","desmondgv.com")</f>
        <v>desmondgv.com</v>
      </c>
      <c r="C17458" t="s">
        <v>433</v>
      </c>
      <c r="F17458">
        <v>2.1101961619384501E-8</v>
      </c>
      <c r="G17458">
        <v>2502463</v>
      </c>
      <c r="H17458">
        <v>14173692</v>
      </c>
      <c r="I17458">
        <v>1795288</v>
      </c>
      <c r="J17458">
        <v>4</v>
      </c>
    </row>
    <row r="17459" spans="1:10" x14ac:dyDescent="0.25">
      <c r="A17459" t="s">
        <v>185</v>
      </c>
      <c r="B17459" s="1" t="str">
        <f>HYPERLINK("http://diamondresorts.com","diamondresorts.com")</f>
        <v>diamondresorts.com</v>
      </c>
      <c r="C17459" t="s">
        <v>433</v>
      </c>
      <c r="E17459">
        <v>77920</v>
      </c>
      <c r="F17459">
        <v>2.0454730234269301E-7</v>
      </c>
      <c r="G17459">
        <v>185737</v>
      </c>
      <c r="H17459">
        <v>14422585</v>
      </c>
      <c r="I17459">
        <v>1084747</v>
      </c>
      <c r="J17459">
        <v>8</v>
      </c>
    </row>
    <row r="17460" spans="1:10" x14ac:dyDescent="0.25">
      <c r="A17460" t="s">
        <v>185</v>
      </c>
      <c r="B17460" s="1" t="str">
        <f>HYPERLINK("http://diamondresortsandhotels.com","diamondresortsandhotels.com")</f>
        <v>diamondresortsandhotels.com</v>
      </c>
      <c r="C17460" t="s">
        <v>433</v>
      </c>
      <c r="E17460">
        <v>301842</v>
      </c>
      <c r="F17460">
        <v>6.9584320230438204E-8</v>
      </c>
      <c r="G17460">
        <v>609979</v>
      </c>
      <c r="H17460">
        <v>14016947</v>
      </c>
      <c r="I17460">
        <v>3993800</v>
      </c>
      <c r="J17460">
        <v>8</v>
      </c>
    </row>
    <row r="17461" spans="1:10" x14ac:dyDescent="0.25">
      <c r="A17461" t="s">
        <v>185</v>
      </c>
      <c r="B17461" s="1" t="str">
        <f>HYPERLINK("http://discovergreece.com","discovergreece.com")</f>
        <v>discovergreece.com</v>
      </c>
      <c r="C17461" t="s">
        <v>433</v>
      </c>
      <c r="E17461">
        <v>177606</v>
      </c>
      <c r="F17461">
        <v>2.6411328239670099E-7</v>
      </c>
      <c r="G17461">
        <v>141296</v>
      </c>
      <c r="H17461">
        <v>15508887</v>
      </c>
      <c r="I17461">
        <v>376445</v>
      </c>
      <c r="J17461">
        <v>4</v>
      </c>
    </row>
    <row r="17462" spans="1:10" x14ac:dyDescent="0.25">
      <c r="A17462" t="s">
        <v>185</v>
      </c>
      <c r="B17462" s="1" t="str">
        <f>HYPERLINK("http://dokhanluxuryhotels.com","dokhanluxuryhotels.com")</f>
        <v>dokhanluxuryhotels.com</v>
      </c>
      <c r="C17462" t="s">
        <v>433</v>
      </c>
      <c r="J17462">
        <v>3</v>
      </c>
    </row>
    <row r="17463" spans="1:10" x14ac:dyDescent="0.25">
      <c r="A17463" t="s">
        <v>185</v>
      </c>
      <c r="B17463" s="1" t="str">
        <f>HYPERLINK("http://doubletree.com","doubletree.com")</f>
        <v>doubletree.com</v>
      </c>
      <c r="C17463" t="s">
        <v>433</v>
      </c>
      <c r="E17463">
        <v>135400</v>
      </c>
      <c r="F17463">
        <v>4.9709202857772799E-7</v>
      </c>
      <c r="G17463">
        <v>76863</v>
      </c>
      <c r="H17463">
        <v>17154892</v>
      </c>
      <c r="I17463">
        <v>51169</v>
      </c>
      <c r="J17463">
        <v>3</v>
      </c>
    </row>
    <row r="17464" spans="1:10" x14ac:dyDescent="0.25">
      <c r="A17464" t="s">
        <v>185</v>
      </c>
      <c r="B17464" s="1" t="str">
        <f>HYPERLINK("http://doubletree-kosice.com","doubletree-kosice.com")</f>
        <v>doubletree-kosice.com</v>
      </c>
      <c r="C17464" t="s">
        <v>433</v>
      </c>
      <c r="F17464">
        <v>1.21015860443059E-8</v>
      </c>
      <c r="G17464">
        <v>5111231</v>
      </c>
      <c r="H17464">
        <v>14072118</v>
      </c>
      <c r="I17464">
        <v>3159560</v>
      </c>
      <c r="J17464">
        <v>3</v>
      </c>
    </row>
    <row r="17465" spans="1:10" x14ac:dyDescent="0.25">
      <c r="A17465" t="s">
        <v>185</v>
      </c>
      <c r="B17465" s="1" t="str">
        <f>HYPERLINK("http://doubletree-luxembourg.com","doubletree-luxembourg.com")</f>
        <v>doubletree-luxembourg.com</v>
      </c>
      <c r="C17465" t="s">
        <v>433</v>
      </c>
      <c r="J17465">
        <v>3</v>
      </c>
    </row>
    <row r="17466" spans="1:10" x14ac:dyDescent="0.25">
      <c r="A17466" t="s">
        <v>185</v>
      </c>
      <c r="B17466" s="1" t="str">
        <f>HYPERLINK("http://doubletreebristol.com","doubletreebristol.com")</f>
        <v>doubletreebristol.com</v>
      </c>
      <c r="C17466" t="s">
        <v>433</v>
      </c>
      <c r="F17466">
        <v>1.6051192705248901E-8</v>
      </c>
      <c r="G17466">
        <v>3533037</v>
      </c>
      <c r="H17466">
        <v>13222932</v>
      </c>
      <c r="I17466">
        <v>11320292</v>
      </c>
      <c r="J17466">
        <v>4</v>
      </c>
    </row>
    <row r="17467" spans="1:10" x14ac:dyDescent="0.25">
      <c r="A17467" t="s">
        <v>185</v>
      </c>
      <c r="B17467" s="1" t="str">
        <f>HYPERLINK("http://doubletreebristolnorth.com","doubletreebristolnorth.com")</f>
        <v>doubletreebristolnorth.com</v>
      </c>
      <c r="C17467" t="s">
        <v>433</v>
      </c>
      <c r="J17467">
        <v>3</v>
      </c>
    </row>
    <row r="17468" spans="1:10" x14ac:dyDescent="0.25">
      <c r="A17468" t="s">
        <v>185</v>
      </c>
      <c r="B17468" s="1" t="str">
        <f>HYPERLINK("http://doubletreebyhiltoncappadocia.com","doubletreebyhiltoncappadocia.com")</f>
        <v>doubletreebyhiltoncappadocia.com</v>
      </c>
      <c r="C17468" t="s">
        <v>433</v>
      </c>
      <c r="J17468">
        <v>3</v>
      </c>
    </row>
    <row r="17469" spans="1:10" x14ac:dyDescent="0.25">
      <c r="A17469" t="s">
        <v>185</v>
      </c>
      <c r="B17469" s="1" t="str">
        <f>HYPERLINK("http://doubletreecheltenham.com","doubletreecheltenham.com")</f>
        <v>doubletreecheltenham.com</v>
      </c>
      <c r="C17469" t="s">
        <v>433</v>
      </c>
      <c r="F17469">
        <v>6.1241780631610098E-9</v>
      </c>
      <c r="G17469">
        <v>15956820</v>
      </c>
      <c r="H17469">
        <v>13111021</v>
      </c>
      <c r="I17469">
        <v>12032742</v>
      </c>
      <c r="J17469">
        <v>3</v>
      </c>
    </row>
    <row r="17470" spans="1:10" x14ac:dyDescent="0.25">
      <c r="A17470" t="s">
        <v>185</v>
      </c>
      <c r="B17470" s="1" t="str">
        <f>HYPERLINK("http://doubletreechester.com","doubletreechester.com")</f>
        <v>doubletreechester.com</v>
      </c>
      <c r="C17470" t="s">
        <v>433</v>
      </c>
      <c r="J17470">
        <v>3</v>
      </c>
    </row>
    <row r="17471" spans="1:10" x14ac:dyDescent="0.25">
      <c r="A17471" t="s">
        <v>185</v>
      </c>
      <c r="B17471" s="1" t="str">
        <f>HYPERLINK("http://doubletreecoventry.com","doubletreecoventry.com")</f>
        <v>doubletreecoventry.com</v>
      </c>
      <c r="C17471" t="s">
        <v>433</v>
      </c>
      <c r="J17471">
        <v>3</v>
      </c>
    </row>
    <row r="17472" spans="1:10" x14ac:dyDescent="0.25">
      <c r="A17472" t="s">
        <v>185</v>
      </c>
      <c r="B17472" s="1" t="str">
        <f>HYPERLINK("http://doubletreeedinburghairport.com","doubletreeedinburghairport.com")</f>
        <v>doubletreeedinburghairport.com</v>
      </c>
      <c r="C17472" t="s">
        <v>433</v>
      </c>
      <c r="F17472">
        <v>4.4488965695011303E-9</v>
      </c>
      <c r="G17472">
        <v>72568697</v>
      </c>
      <c r="H17472">
        <v>10348290</v>
      </c>
      <c r="I17472">
        <v>56568365</v>
      </c>
      <c r="J17472">
        <v>3</v>
      </c>
    </row>
    <row r="17473" spans="1:10" x14ac:dyDescent="0.25">
      <c r="A17473" t="s">
        <v>185</v>
      </c>
      <c r="B17473" s="1" t="str">
        <f>HYPERLINK("http://doubletreefresno.com","doubletreefresno.com")</f>
        <v>doubletreefresno.com</v>
      </c>
      <c r="C17473" t="s">
        <v>433</v>
      </c>
      <c r="F17473">
        <v>5.4127375765249096E-9</v>
      </c>
      <c r="G17473">
        <v>21952171</v>
      </c>
      <c r="H17473">
        <v>12243895</v>
      </c>
      <c r="I17473">
        <v>22152746</v>
      </c>
      <c r="J17473">
        <v>6</v>
      </c>
    </row>
    <row r="17474" spans="1:10" x14ac:dyDescent="0.25">
      <c r="A17474" t="s">
        <v>185</v>
      </c>
      <c r="B17474" s="1" t="str">
        <f>HYPERLINK("http://doubletreehull.com","doubletreehull.com")</f>
        <v>doubletreehull.com</v>
      </c>
      <c r="C17474" t="s">
        <v>433</v>
      </c>
      <c r="J17474">
        <v>3</v>
      </c>
    </row>
    <row r="17475" spans="1:10" x14ac:dyDescent="0.25">
      <c r="A17475" t="s">
        <v>185</v>
      </c>
      <c r="B17475" s="1" t="str">
        <f>HYPERLINK("http://doubletreekemer.com","doubletreekemer.com")</f>
        <v>doubletreekemer.com</v>
      </c>
      <c r="C17475" t="s">
        <v>433</v>
      </c>
      <c r="J17475">
        <v>3</v>
      </c>
    </row>
    <row r="17476" spans="1:10" x14ac:dyDescent="0.25">
      <c r="A17476" t="s">
        <v>185</v>
      </c>
      <c r="B17476" s="1" t="str">
        <f>HYPERLINK("http://doubletreelatorre.com","doubletreelatorre.com")</f>
        <v>doubletreelatorre.com</v>
      </c>
      <c r="C17476" t="s">
        <v>433</v>
      </c>
      <c r="F17476">
        <v>4.5519679658479398E-9</v>
      </c>
      <c r="G17476">
        <v>51971076</v>
      </c>
      <c r="H17476">
        <v>8565768</v>
      </c>
      <c r="I17476">
        <v>71148305</v>
      </c>
      <c r="J17476">
        <v>3</v>
      </c>
    </row>
    <row r="17477" spans="1:10" x14ac:dyDescent="0.25">
      <c r="A17477" t="s">
        <v>185</v>
      </c>
      <c r="B17477" s="1" t="str">
        <f>HYPERLINK("http://doubletreeliverpool.com","doubletreeliverpool.com")</f>
        <v>doubletreeliverpool.com</v>
      </c>
      <c r="C17477" t="s">
        <v>433</v>
      </c>
      <c r="J17477">
        <v>3</v>
      </c>
    </row>
    <row r="17478" spans="1:10" x14ac:dyDescent="0.25">
      <c r="A17478" t="s">
        <v>185</v>
      </c>
      <c r="B17478" s="1" t="str">
        <f>HYPERLINK("http://doubletreemagmile.com","doubletreemagmile.com")</f>
        <v>doubletreemagmile.com</v>
      </c>
      <c r="C17478" t="s">
        <v>433</v>
      </c>
      <c r="F17478">
        <v>1.4200440402292001E-7</v>
      </c>
      <c r="G17478">
        <v>274130</v>
      </c>
      <c r="H17478">
        <v>13798288</v>
      </c>
      <c r="I17478">
        <v>6292151</v>
      </c>
      <c r="J17478">
        <v>4</v>
      </c>
    </row>
    <row r="17479" spans="1:10" x14ac:dyDescent="0.25">
      <c r="A17479" t="s">
        <v>185</v>
      </c>
      <c r="B17479" s="1" t="str">
        <f>HYPERLINK("http://doubletreenewburynorth.com","doubletreenewburynorth.com")</f>
        <v>doubletreenewburynorth.com</v>
      </c>
      <c r="C17479" t="s">
        <v>433</v>
      </c>
      <c r="J17479">
        <v>3</v>
      </c>
    </row>
    <row r="17480" spans="1:10" x14ac:dyDescent="0.25">
      <c r="A17480" t="s">
        <v>185</v>
      </c>
      <c r="B17480" s="1" t="str">
        <f>HYPERLINK("http://doubletreesouthampton.com","doubletreesouthampton.com")</f>
        <v>doubletreesouthampton.com</v>
      </c>
      <c r="C17480" t="s">
        <v>433</v>
      </c>
      <c r="F17480">
        <v>4.7419006551927803E-9</v>
      </c>
      <c r="G17480">
        <v>38708097</v>
      </c>
      <c r="H17480">
        <v>10616114</v>
      </c>
      <c r="I17480">
        <v>44400099</v>
      </c>
      <c r="J17480">
        <v>3</v>
      </c>
    </row>
    <row r="17481" spans="1:10" x14ac:dyDescent="0.25">
      <c r="A17481" t="s">
        <v>185</v>
      </c>
      <c r="B17481" s="1" t="str">
        <f>HYPERLINK("http://doubletreestrathclyde.com","doubletreestrathclyde.com")</f>
        <v>doubletreestrathclyde.com</v>
      </c>
      <c r="C17481" t="s">
        <v>433</v>
      </c>
      <c r="F17481">
        <v>4.6075229185788198E-9</v>
      </c>
      <c r="G17481">
        <v>47045660</v>
      </c>
      <c r="H17481">
        <v>11087370</v>
      </c>
      <c r="I17481">
        <v>32411548</v>
      </c>
      <c r="J17481">
        <v>3</v>
      </c>
    </row>
    <row r="17482" spans="1:10" x14ac:dyDescent="0.25">
      <c r="A17482" t="s">
        <v>185</v>
      </c>
      <c r="B17482" s="1" t="str">
        <f>HYPERLINK("http://doubletreesyracuse.com","doubletreesyracuse.com")</f>
        <v>doubletreesyracuse.com</v>
      </c>
      <c r="C17482" t="s">
        <v>433</v>
      </c>
      <c r="F17482">
        <v>4.7879219107356202E-9</v>
      </c>
      <c r="G17482">
        <v>36579385</v>
      </c>
      <c r="H17482">
        <v>11272580</v>
      </c>
      <c r="I17482">
        <v>30748351</v>
      </c>
      <c r="J17482">
        <v>4</v>
      </c>
    </row>
    <row r="17483" spans="1:10" x14ac:dyDescent="0.25">
      <c r="A17483" t="s">
        <v>185</v>
      </c>
      <c r="B17483" s="1" t="str">
        <f>HYPERLINK("http://doubletreetuzla.com","doubletreetuzla.com")</f>
        <v>doubletreetuzla.com</v>
      </c>
      <c r="C17483" t="s">
        <v>433</v>
      </c>
      <c r="J17483">
        <v>3</v>
      </c>
    </row>
    <row r="17484" spans="1:10" x14ac:dyDescent="0.25">
      <c r="A17484" t="s">
        <v>185</v>
      </c>
      <c r="B17484" s="1" t="str">
        <f>HYPERLINK("http://dtbhantalyacc.com","dtbhantalyacc.com")</f>
        <v>dtbhantalyacc.com</v>
      </c>
      <c r="C17484" t="s">
        <v>433</v>
      </c>
      <c r="J17484">
        <v>3</v>
      </c>
    </row>
    <row r="17485" spans="1:10" x14ac:dyDescent="0.25">
      <c r="A17485" t="s">
        <v>185</v>
      </c>
      <c r="B17485" s="1" t="str">
        <f>HYPERLINK("http://dtbhgaziantep.com","dtbhgaziantep.com")</f>
        <v>dtbhgaziantep.com</v>
      </c>
      <c r="C17485" t="s">
        <v>433</v>
      </c>
      <c r="J17485">
        <v>3</v>
      </c>
    </row>
    <row r="17486" spans="1:10" x14ac:dyDescent="0.25">
      <c r="A17486" t="s">
        <v>185</v>
      </c>
      <c r="B17486" s="1" t="str">
        <f>HYPERLINK("http://dtbhiltontrabzon.com","dtbhiltontrabzon.com")</f>
        <v>dtbhiltontrabzon.com</v>
      </c>
      <c r="C17486" t="s">
        <v>433</v>
      </c>
      <c r="J17486">
        <v>4</v>
      </c>
    </row>
    <row r="17487" spans="1:10" x14ac:dyDescent="0.25">
      <c r="A17487" t="s">
        <v>185</v>
      </c>
      <c r="B17487" s="1" t="str">
        <f>HYPERLINK("http://dtbhpiyalepasa.com","dtbhpiyalepasa.com")</f>
        <v>dtbhpiyalepasa.com</v>
      </c>
      <c r="C17487" t="s">
        <v>433</v>
      </c>
      <c r="J17487">
        <v>3</v>
      </c>
    </row>
    <row r="17488" spans="1:10" x14ac:dyDescent="0.25">
      <c r="A17488" t="s">
        <v>185</v>
      </c>
      <c r="B17488" s="1" t="str">
        <f>HYPERLINK("http://dtbyhiltonkusadasi.com","dtbyhiltonkusadasi.com")</f>
        <v>dtbyhiltonkusadasi.com</v>
      </c>
      <c r="C17488" t="s">
        <v>433</v>
      </c>
      <c r="F17488">
        <v>4.44380395335525E-9</v>
      </c>
      <c r="G17488">
        <v>81453233</v>
      </c>
      <c r="H17488">
        <v>0</v>
      </c>
      <c r="I17488">
        <v>81839348</v>
      </c>
      <c r="J17488">
        <v>3</v>
      </c>
    </row>
    <row r="17489" spans="1:10" x14ac:dyDescent="0.25">
      <c r="A17489" t="s">
        <v>185</v>
      </c>
      <c r="B17489" s="1" t="str">
        <f>HYPERLINK("http://dtchelsea.com","dtchelsea.com")</f>
        <v>dtchelsea.com</v>
      </c>
      <c r="C17489" t="s">
        <v>433</v>
      </c>
      <c r="J17489">
        <v>3</v>
      </c>
    </row>
    <row r="17490" spans="1:10" x14ac:dyDescent="0.25">
      <c r="A17490" t="s">
        <v>185</v>
      </c>
      <c r="B17490" s="1" t="str">
        <f>HYPERLINK("http://dtglasgowcentral.com","dtglasgowcentral.com")</f>
        <v>dtglasgowcentral.com</v>
      </c>
      <c r="C17490" t="s">
        <v>433</v>
      </c>
      <c r="J17490">
        <v>3</v>
      </c>
    </row>
    <row r="17491" spans="1:10" x14ac:dyDescent="0.25">
      <c r="A17491" t="s">
        <v>185</v>
      </c>
      <c r="B17491" s="1" t="str">
        <f>HYPERLINK("http://dtislington.com","dtislington.com")</f>
        <v>dtislington.com</v>
      </c>
      <c r="C17491" t="s">
        <v>433</v>
      </c>
      <c r="J17491">
        <v>3</v>
      </c>
    </row>
    <row r="17492" spans="1:10" x14ac:dyDescent="0.25">
      <c r="A17492" t="s">
        <v>185</v>
      </c>
      <c r="B17492" s="1" t="str">
        <f>HYPERLINK("http://dtlondonvictoria.com","dtlondonvictoria.com")</f>
        <v>dtlondonvictoria.com</v>
      </c>
      <c r="C17492" t="s">
        <v>433</v>
      </c>
      <c r="J17492">
        <v>3</v>
      </c>
    </row>
    <row r="17493" spans="1:10" x14ac:dyDescent="0.25">
      <c r="A17493" t="s">
        <v>185</v>
      </c>
      <c r="B17493" s="1" t="str">
        <f>HYPERLINK("http://dtlondonwestend.com","dtlondonwestend.com")</f>
        <v>dtlondonwestend.com</v>
      </c>
      <c r="C17493" t="s">
        <v>433</v>
      </c>
      <c r="F17493">
        <v>4.4501326462496196E-9</v>
      </c>
      <c r="G17493">
        <v>71846824</v>
      </c>
      <c r="H17493">
        <v>10366789</v>
      </c>
      <c r="I17493">
        <v>54968732</v>
      </c>
      <c r="J17493">
        <v>3</v>
      </c>
    </row>
    <row r="17494" spans="1:10" x14ac:dyDescent="0.25">
      <c r="A17494" t="s">
        <v>185</v>
      </c>
      <c r="B17494" s="1" t="str">
        <f>HYPERLINK("http://dtmanchesterairport.com","dtmanchesterairport.com")</f>
        <v>dtmanchesterairport.com</v>
      </c>
      <c r="C17494" t="s">
        <v>433</v>
      </c>
      <c r="J17494">
        <v>3</v>
      </c>
    </row>
    <row r="17495" spans="1:10" x14ac:dyDescent="0.25">
      <c r="A17495" t="s">
        <v>185</v>
      </c>
      <c r="B17495" s="1" t="str">
        <f>HYPERLINK("http://dtmilan.com","dtmilan.com")</f>
        <v>dtmilan.com</v>
      </c>
      <c r="C17495" t="s">
        <v>433</v>
      </c>
      <c r="F17495">
        <v>5.2298599273980197E-9</v>
      </c>
      <c r="G17495">
        <v>24577557</v>
      </c>
      <c r="H17495">
        <v>12223520</v>
      </c>
      <c r="I17495">
        <v>22693945</v>
      </c>
      <c r="J17495">
        <v>3</v>
      </c>
    </row>
    <row r="17496" spans="1:10" x14ac:dyDescent="0.25">
      <c r="A17496" t="s">
        <v>185</v>
      </c>
      <c r="B17496" s="1" t="str">
        <f>HYPERLINK("http://dtpudong.com","dtpudong.com")</f>
        <v>dtpudong.com</v>
      </c>
      <c r="C17496" t="s">
        <v>433</v>
      </c>
      <c r="J17496">
        <v>3</v>
      </c>
    </row>
    <row r="17497" spans="1:10" x14ac:dyDescent="0.25">
      <c r="A17497" t="s">
        <v>185</v>
      </c>
      <c r="B17497" s="1" t="str">
        <f>HYPERLINK("http://dtsells.com","dtsells.com")</f>
        <v>dtsells.com</v>
      </c>
      <c r="C17497" t="s">
        <v>433</v>
      </c>
      <c r="J17497">
        <v>3</v>
      </c>
    </row>
    <row r="17498" spans="1:10" x14ac:dyDescent="0.25">
      <c r="A17498" t="s">
        <v>185</v>
      </c>
      <c r="B17498" s="1" t="str">
        <f>HYPERLINK("http://dtstoke.com","dtstoke.com")</f>
        <v>dtstoke.com</v>
      </c>
      <c r="C17498" t="s">
        <v>433</v>
      </c>
      <c r="J17498">
        <v>3</v>
      </c>
    </row>
    <row r="17499" spans="1:10" x14ac:dyDescent="0.25">
      <c r="A17499" t="s">
        <v>185</v>
      </c>
      <c r="B17499" s="1" t="str">
        <f>HYPERLINK("http://dtwoking.com","dtwoking.com")</f>
        <v>dtwoking.com</v>
      </c>
      <c r="C17499" t="s">
        <v>433</v>
      </c>
      <c r="J17499">
        <v>3</v>
      </c>
    </row>
    <row r="17500" spans="1:10" x14ac:dyDescent="0.25">
      <c r="A17500" t="s">
        <v>185</v>
      </c>
      <c r="B17500" s="1" t="str">
        <f>HYPERLINK("http://elliesdallas.com","elliesdallas.com")</f>
        <v>elliesdallas.com</v>
      </c>
      <c r="C17500" t="s">
        <v>433</v>
      </c>
      <c r="F17500">
        <v>3.0804982890577797E-8</v>
      </c>
      <c r="G17500">
        <v>1672056</v>
      </c>
      <c r="H17500">
        <v>14037552</v>
      </c>
      <c r="I17500">
        <v>3912125</v>
      </c>
      <c r="J17500">
        <v>6</v>
      </c>
    </row>
    <row r="17501" spans="1:10" x14ac:dyDescent="0.25">
      <c r="A17501" t="s">
        <v>185</v>
      </c>
      <c r="B17501" s="1" t="str">
        <f>HYPERLINK("http://embassyneworleans.com","embassyneworleans.com")</f>
        <v>embassyneworleans.com</v>
      </c>
      <c r="C17501" t="s">
        <v>433</v>
      </c>
      <c r="F17501">
        <v>8.04436193991346E-9</v>
      </c>
      <c r="G17501">
        <v>9840392</v>
      </c>
      <c r="H17501">
        <v>13356848</v>
      </c>
      <c r="I17501">
        <v>10595887</v>
      </c>
      <c r="J17501">
        <v>4</v>
      </c>
    </row>
    <row r="17502" spans="1:10" x14ac:dyDescent="0.25">
      <c r="A17502" t="s">
        <v>185</v>
      </c>
      <c r="B17502" s="1" t="str">
        <f>HYPERLINK("http://embassysuitesbellevue.com","embassysuitesbellevue.com")</f>
        <v>embassysuitesbellevue.com</v>
      </c>
      <c r="C17502" t="s">
        <v>433</v>
      </c>
      <c r="F17502">
        <v>4.6873017397727102E-9</v>
      </c>
      <c r="G17502">
        <v>41931683</v>
      </c>
      <c r="H17502">
        <v>10970682</v>
      </c>
      <c r="I17502">
        <v>34131853</v>
      </c>
      <c r="J17502">
        <v>4</v>
      </c>
    </row>
    <row r="17503" spans="1:10" x14ac:dyDescent="0.25">
      <c r="A17503" t="s">
        <v>185</v>
      </c>
      <c r="B17503" s="1" t="str">
        <f>HYPERLINK("http://embassysuitesdcmetro.com","embassysuitesdcmetro.com")</f>
        <v>embassysuitesdcmetro.com</v>
      </c>
      <c r="C17503" t="s">
        <v>433</v>
      </c>
      <c r="F17503">
        <v>1.3476509819014099E-8</v>
      </c>
      <c r="G17503">
        <v>4413832</v>
      </c>
      <c r="H17503">
        <v>12949805</v>
      </c>
      <c r="I17503">
        <v>13213186</v>
      </c>
      <c r="J17503">
        <v>4</v>
      </c>
    </row>
    <row r="17504" spans="1:10" x14ac:dyDescent="0.25">
      <c r="A17504" t="s">
        <v>185</v>
      </c>
      <c r="B17504" s="1" t="str">
        <f>HYPERLINK("http://embassysuiteslynnwood.com","embassysuiteslynnwood.com")</f>
        <v>embassysuiteslynnwood.com</v>
      </c>
      <c r="C17504" t="s">
        <v>433</v>
      </c>
      <c r="F17504">
        <v>6.4721116120955403E-9</v>
      </c>
      <c r="G17504">
        <v>14195896</v>
      </c>
      <c r="H17504">
        <v>11221172</v>
      </c>
      <c r="I17504">
        <v>31083668</v>
      </c>
      <c r="J17504">
        <v>4</v>
      </c>
    </row>
    <row r="17505" spans="1:10" x14ac:dyDescent="0.25">
      <c r="A17505" t="s">
        <v>185</v>
      </c>
      <c r="B17505" s="1" t="str">
        <f>HYPERLINK("http://embassysuitesresortorlando.com","embassysuitesresortorlando.com")</f>
        <v>embassysuitesresortorlando.com</v>
      </c>
      <c r="C17505" t="s">
        <v>433</v>
      </c>
      <c r="F17505">
        <v>5.1010597058133398E-9</v>
      </c>
      <c r="G17505">
        <v>27054589</v>
      </c>
      <c r="H17505">
        <v>11922748</v>
      </c>
      <c r="I17505">
        <v>29362725</v>
      </c>
      <c r="J17505">
        <v>4</v>
      </c>
    </row>
    <row r="17506" spans="1:10" x14ac:dyDescent="0.25">
      <c r="A17506" t="s">
        <v>185</v>
      </c>
      <c r="B17506" s="1" t="str">
        <f>HYPERLINK("http://estemecula.com","estemecula.com")</f>
        <v>estemecula.com</v>
      </c>
      <c r="C17506" t="s">
        <v>433</v>
      </c>
      <c r="F17506">
        <v>6.0202086207120903E-9</v>
      </c>
      <c r="G17506">
        <v>16560700</v>
      </c>
      <c r="H17506">
        <v>11305161</v>
      </c>
      <c r="I17506">
        <v>30584930</v>
      </c>
      <c r="J17506">
        <v>4</v>
      </c>
    </row>
    <row r="17507" spans="1:10" x14ac:dyDescent="0.25">
      <c r="A17507" t="s">
        <v>185</v>
      </c>
      <c r="B17507" s="1" t="str">
        <f>HYPERLINK("http://experiencethemajestic.com","experiencethemajestic.com")</f>
        <v>experiencethemajestic.com</v>
      </c>
      <c r="C17507" t="s">
        <v>433</v>
      </c>
      <c r="F17507">
        <v>7.0705041092076402E-9</v>
      </c>
      <c r="G17507">
        <v>12097552</v>
      </c>
      <c r="H17507">
        <v>11242395</v>
      </c>
      <c r="I17507">
        <v>30950193</v>
      </c>
      <c r="J17507">
        <v>4</v>
      </c>
    </row>
    <row r="17508" spans="1:10" x14ac:dyDescent="0.25">
      <c r="A17508" t="s">
        <v>185</v>
      </c>
      <c r="B17508" s="1" t="str">
        <f>HYPERLINK("http://fathomcompanies.com","fathomcompanies.com")</f>
        <v>fathomcompanies.com</v>
      </c>
      <c r="C17508" t="s">
        <v>433</v>
      </c>
      <c r="F17508">
        <v>2.0315255338434501E-8</v>
      </c>
      <c r="G17508">
        <v>2611915</v>
      </c>
      <c r="H17508">
        <v>12625595</v>
      </c>
      <c r="I17508">
        <v>16032153</v>
      </c>
      <c r="J17508">
        <v>4</v>
      </c>
    </row>
    <row r="17509" spans="1:10" x14ac:dyDescent="0.25">
      <c r="A17509" t="s">
        <v>185</v>
      </c>
      <c r="B17509" s="1" t="str">
        <f>HYPERLINK("http://fortlauderdalemarinahotel.com","fortlauderdalemarinahotel.com")</f>
        <v>fortlauderdalemarinahotel.com</v>
      </c>
      <c r="C17509" t="s">
        <v>433</v>
      </c>
      <c r="F17509">
        <v>8.43820019778532E-9</v>
      </c>
      <c r="G17509">
        <v>8965815</v>
      </c>
      <c r="H17509">
        <v>13935505</v>
      </c>
      <c r="I17509">
        <v>4529616</v>
      </c>
      <c r="J17509">
        <v>4</v>
      </c>
    </row>
    <row r="17510" spans="1:10" x14ac:dyDescent="0.25">
      <c r="A17510" t="s">
        <v>185</v>
      </c>
      <c r="B17510" s="1" t="str">
        <f>HYPERLINK("http://grandmill-alwahda.com","grandmill-alwahda.com")</f>
        <v>grandmill-alwahda.com</v>
      </c>
      <c r="C17510" t="s">
        <v>433</v>
      </c>
      <c r="J17510">
        <v>7</v>
      </c>
    </row>
    <row r="17511" spans="1:10" x14ac:dyDescent="0.25">
      <c r="A17511" t="s">
        <v>185</v>
      </c>
      <c r="B17511" s="1" t="str">
        <f>HYPERLINK("http://grandwailea.com","grandwailea.com")</f>
        <v>grandwailea.com</v>
      </c>
      <c r="C17511" t="s">
        <v>433</v>
      </c>
      <c r="E17511">
        <v>262666</v>
      </c>
      <c r="F17511">
        <v>1.8499644791806201E-7</v>
      </c>
      <c r="G17511">
        <v>208382</v>
      </c>
      <c r="H17511">
        <v>14872536</v>
      </c>
      <c r="I17511">
        <v>477283</v>
      </c>
      <c r="J17511">
        <v>4</v>
      </c>
    </row>
    <row r="17512" spans="1:10" x14ac:dyDescent="0.25">
      <c r="A17512" t="s">
        <v>185</v>
      </c>
      <c r="B17512" s="1" t="str">
        <f>HYPERLINK("http://granhotelmontesolibiza.com","granhotelmontesolibiza.com")</f>
        <v>granhotelmontesolibiza.com</v>
      </c>
      <c r="C17512" t="s">
        <v>433</v>
      </c>
      <c r="F17512">
        <v>1.5174678374360599E-8</v>
      </c>
      <c r="G17512">
        <v>3783684</v>
      </c>
      <c r="H17512">
        <v>13065357</v>
      </c>
      <c r="I17512">
        <v>12291021</v>
      </c>
      <c r="J17512">
        <v>4</v>
      </c>
    </row>
    <row r="17513" spans="1:10" x14ac:dyDescent="0.25">
      <c r="A17513" t="s">
        <v>185</v>
      </c>
      <c r="B17513" s="1" t="str">
        <f>HYPERLINK("http://guestreservations.com","guestreservations.com")</f>
        <v>guestreservations.com</v>
      </c>
      <c r="C17513" t="s">
        <v>433</v>
      </c>
      <c r="E17513">
        <v>26195</v>
      </c>
      <c r="F17513">
        <v>7.7431888293242301E-7</v>
      </c>
      <c r="G17513">
        <v>50565</v>
      </c>
      <c r="H17513">
        <v>14885997</v>
      </c>
      <c r="I17513">
        <v>469507</v>
      </c>
      <c r="J17513">
        <v>4</v>
      </c>
    </row>
    <row r="17514" spans="1:10" x14ac:dyDescent="0.25">
      <c r="A17514" t="s">
        <v>185</v>
      </c>
      <c r="B17514" s="1" t="str">
        <f>HYPERLINK("http://hagiasofiamansions.com","hagiasofiamansions.com")</f>
        <v>hagiasofiamansions.com</v>
      </c>
      <c r="C17514" t="s">
        <v>433</v>
      </c>
      <c r="F17514">
        <v>4.65243189959404E-9</v>
      </c>
      <c r="G17514">
        <v>43998248</v>
      </c>
      <c r="H17514">
        <v>10343678</v>
      </c>
      <c r="I17514">
        <v>57988346</v>
      </c>
      <c r="J17514">
        <v>3</v>
      </c>
    </row>
    <row r="17515" spans="1:10" x14ac:dyDescent="0.25">
      <c r="A17515" t="s">
        <v>185</v>
      </c>
      <c r="B17515" s="1" t="str">
        <f>HYPERLINK("http://hallartshotel.com","hallartshotel.com")</f>
        <v>hallartshotel.com</v>
      </c>
      <c r="C17515" t="s">
        <v>433</v>
      </c>
      <c r="F17515">
        <v>3.8798029938835497E-8</v>
      </c>
      <c r="G17515">
        <v>1328969</v>
      </c>
      <c r="H17515">
        <v>13303339</v>
      </c>
      <c r="I17515">
        <v>10811885</v>
      </c>
      <c r="J17515">
        <v>4</v>
      </c>
    </row>
    <row r="17516" spans="1:10" x14ac:dyDescent="0.25">
      <c r="A17516" t="s">
        <v>185</v>
      </c>
      <c r="B17516" s="1" t="str">
        <f>HYPERLINK("http://hampton.com","hampton.com")</f>
        <v>hampton.com</v>
      </c>
      <c r="C17516" t="s">
        <v>433</v>
      </c>
      <c r="E17516">
        <v>884813</v>
      </c>
      <c r="F17516">
        <v>1.2151893679053701E-7</v>
      </c>
      <c r="G17516">
        <v>325004</v>
      </c>
      <c r="H17516">
        <v>14335302</v>
      </c>
      <c r="I17516">
        <v>1319995</v>
      </c>
      <c r="J17516">
        <v>4</v>
      </c>
    </row>
    <row r="17517" spans="1:10" x14ac:dyDescent="0.25">
      <c r="A17517" t="s">
        <v>185</v>
      </c>
      <c r="B17517" s="1" t="str">
        <f>HYPERLINK("http://hampton-tashkent.com","hampton-tashkent.com")</f>
        <v>hampton-tashkent.com</v>
      </c>
      <c r="C17517" t="s">
        <v>433</v>
      </c>
      <c r="J17517">
        <v>3</v>
      </c>
    </row>
    <row r="17518" spans="1:10" x14ac:dyDescent="0.25">
      <c r="A17518" t="s">
        <v>185</v>
      </c>
      <c r="B17518" s="1" t="str">
        <f>HYPERLINK("http://hamptonblackburn.com","hamptonblackburn.com")</f>
        <v>hamptonblackburn.com</v>
      </c>
      <c r="C17518" t="s">
        <v>433</v>
      </c>
      <c r="J17518">
        <v>3</v>
      </c>
    </row>
    <row r="17519" spans="1:10" x14ac:dyDescent="0.25">
      <c r="A17519" t="s">
        <v>185</v>
      </c>
      <c r="B17519" s="1" t="str">
        <f>HYPERLINK("http://hamptonbyhilton.com","hamptonbyhilton.com")</f>
        <v>hamptonbyhilton.com</v>
      </c>
      <c r="C17519" t="s">
        <v>433</v>
      </c>
      <c r="F17519">
        <v>1.08748675619508E-7</v>
      </c>
      <c r="G17519">
        <v>367896</v>
      </c>
      <c r="H17519">
        <v>13977560</v>
      </c>
      <c r="I17519">
        <v>4057657</v>
      </c>
      <c r="J17519">
        <v>4</v>
      </c>
    </row>
    <row r="17520" spans="1:10" x14ac:dyDescent="0.25">
      <c r="A17520" t="s">
        <v>185</v>
      </c>
      <c r="B17520" s="1" t="str">
        <f>HYPERLINK("http://hamptonbyhiltonkalisz.com","hamptonbyhiltonkalisz.com")</f>
        <v>hamptonbyhiltonkalisz.com</v>
      </c>
      <c r="C17520" t="s">
        <v>433</v>
      </c>
      <c r="F17520">
        <v>4.44380395335525E-9</v>
      </c>
      <c r="G17520">
        <v>87075323</v>
      </c>
      <c r="H17520">
        <v>0</v>
      </c>
      <c r="I17520">
        <v>82357756</v>
      </c>
      <c r="J17520">
        <v>3</v>
      </c>
    </row>
    <row r="17521" spans="1:10" x14ac:dyDescent="0.25">
      <c r="A17521" t="s">
        <v>185</v>
      </c>
      <c r="B17521" s="1" t="str">
        <f>HYPERLINK("http://hamptonhotellondon.com","hamptonhotellondon.com")</f>
        <v>hamptonhotellondon.com</v>
      </c>
      <c r="C17521" t="s">
        <v>433</v>
      </c>
      <c r="F17521">
        <v>4.4588244229831197E-9</v>
      </c>
      <c r="G17521">
        <v>68131345</v>
      </c>
      <c r="H17521">
        <v>10937873</v>
      </c>
      <c r="I17521">
        <v>34884258</v>
      </c>
      <c r="J17521">
        <v>4</v>
      </c>
    </row>
    <row r="17522" spans="1:10" x14ac:dyDescent="0.25">
      <c r="A17522" t="s">
        <v>185</v>
      </c>
      <c r="B17522" s="1" t="str">
        <f>HYPERLINK("http://hamptoninn.com","hamptoninn.com")</f>
        <v>hamptoninn.com</v>
      </c>
      <c r="C17522" t="s">
        <v>433</v>
      </c>
      <c r="E17522">
        <v>95396</v>
      </c>
      <c r="F17522">
        <v>8.3399857738254105E-7</v>
      </c>
      <c r="G17522">
        <v>47549</v>
      </c>
      <c r="H17522">
        <v>17049628</v>
      </c>
      <c r="I17522">
        <v>76587</v>
      </c>
      <c r="J17522">
        <v>4</v>
      </c>
    </row>
    <row r="17523" spans="1:10" x14ac:dyDescent="0.25">
      <c r="A17523" t="s">
        <v>185</v>
      </c>
      <c r="B17523" s="1" t="str">
        <f>HYPERLINK("http://hamptoninn-vancouver.com","hamptoninn-vancouver.com")</f>
        <v>hamptoninn-vancouver.com</v>
      </c>
      <c r="C17523" t="s">
        <v>433</v>
      </c>
      <c r="F17523">
        <v>7.5417552432685807E-9</v>
      </c>
      <c r="G17523">
        <v>10922755</v>
      </c>
      <c r="H17523">
        <v>12176266</v>
      </c>
      <c r="I17523">
        <v>23900571</v>
      </c>
      <c r="J17523">
        <v>4</v>
      </c>
    </row>
    <row r="17524" spans="1:10" x14ac:dyDescent="0.25">
      <c r="A17524" t="s">
        <v>185</v>
      </c>
      <c r="B17524" s="1" t="str">
        <f>HYPERLINK("http://hamptoninncolumbia.com","hamptoninncolumbia.com")</f>
        <v>hamptoninncolumbia.com</v>
      </c>
      <c r="C17524" t="s">
        <v>433</v>
      </c>
      <c r="F17524">
        <v>6.0103702363244697E-9</v>
      </c>
      <c r="G17524">
        <v>16619961</v>
      </c>
      <c r="H17524">
        <v>13269058</v>
      </c>
      <c r="I17524">
        <v>10967758</v>
      </c>
      <c r="J17524">
        <v>4</v>
      </c>
    </row>
    <row r="17525" spans="1:10" x14ac:dyDescent="0.25">
      <c r="A17525" t="s">
        <v>185</v>
      </c>
      <c r="B17525" s="1" t="str">
        <f>HYPERLINK("http://hamptoninndenverairport.com","hamptoninndenverairport.com")</f>
        <v>hamptoninndenverairport.com</v>
      </c>
      <c r="C17525" t="s">
        <v>433</v>
      </c>
      <c r="F17525">
        <v>1.0660133645429E-8</v>
      </c>
      <c r="G17525">
        <v>6133033</v>
      </c>
      <c r="H17525">
        <v>13292235</v>
      </c>
      <c r="I17525">
        <v>10870089</v>
      </c>
      <c r="J17525">
        <v>4</v>
      </c>
    </row>
    <row r="17526" spans="1:10" x14ac:dyDescent="0.25">
      <c r="A17526" t="s">
        <v>185</v>
      </c>
      <c r="B17526" s="1" t="str">
        <f>HYPERLINK("http://hamptoninndullescascades.com","hamptoninndullescascades.com")</f>
        <v>hamptoninndullescascades.com</v>
      </c>
      <c r="C17526" t="s">
        <v>433</v>
      </c>
      <c r="F17526">
        <v>2.0251048584278701E-8</v>
      </c>
      <c r="G17526">
        <v>2621615</v>
      </c>
      <c r="H17526">
        <v>12259590</v>
      </c>
      <c r="I17526">
        <v>21782347</v>
      </c>
      <c r="J17526">
        <v>3</v>
      </c>
    </row>
    <row r="17527" spans="1:10" x14ac:dyDescent="0.25">
      <c r="A17527" t="s">
        <v>185</v>
      </c>
      <c r="B17527" s="1" t="str">
        <f>HYPERLINK("http://hamptoninnmontreal.com","hamptoninnmontreal.com")</f>
        <v>hamptoninnmontreal.com</v>
      </c>
      <c r="C17527" t="s">
        <v>433</v>
      </c>
      <c r="F17527">
        <v>5.2272339119989996E-9</v>
      </c>
      <c r="G17527">
        <v>24620669</v>
      </c>
      <c r="H17527">
        <v>8347739</v>
      </c>
      <c r="I17527">
        <v>73908532</v>
      </c>
      <c r="J17527">
        <v>4</v>
      </c>
    </row>
    <row r="17528" spans="1:10" x14ac:dyDescent="0.25">
      <c r="A17528" t="s">
        <v>185</v>
      </c>
      <c r="B17528" s="1" t="str">
        <f>HYPERLINK("http://hamptoninnvirginiabeachoceanfront.com","hamptoninnvirginiabeachoceanfront.com")</f>
        <v>hamptoninnvirginiabeachoceanfront.com</v>
      </c>
      <c r="C17528" t="s">
        <v>433</v>
      </c>
      <c r="F17528">
        <v>4.7613696339315897E-9</v>
      </c>
      <c r="G17528">
        <v>37758211</v>
      </c>
      <c r="H17528">
        <v>12223563</v>
      </c>
      <c r="I17528">
        <v>22693049</v>
      </c>
      <c r="J17528">
        <v>4</v>
      </c>
    </row>
    <row r="17529" spans="1:10" x14ac:dyDescent="0.25">
      <c r="A17529" t="s">
        <v>185</v>
      </c>
      <c r="B17529" s="1" t="str">
        <f>HYPERLINK("http://hamptonkrakowairport.com","hamptonkrakowairport.com")</f>
        <v>hamptonkrakowairport.com</v>
      </c>
      <c r="C17529" t="s">
        <v>433</v>
      </c>
      <c r="J17529">
        <v>3</v>
      </c>
    </row>
    <row r="17530" spans="1:10" x14ac:dyDescent="0.25">
      <c r="A17530" t="s">
        <v>185</v>
      </c>
      <c r="B17530" s="1" t="str">
        <f>HYPERLINK("http://hamptonmexicocity.com","hamptonmexicocity.com")</f>
        <v>hamptonmexicocity.com</v>
      </c>
      <c r="C17530" t="s">
        <v>433</v>
      </c>
      <c r="F17530">
        <v>1.92058560577597E-8</v>
      </c>
      <c r="G17530">
        <v>2797725</v>
      </c>
      <c r="H17530">
        <v>12171187</v>
      </c>
      <c r="I17530">
        <v>24040826</v>
      </c>
      <c r="J17530">
        <v>4</v>
      </c>
    </row>
    <row r="17531" spans="1:10" x14ac:dyDescent="0.25">
      <c r="A17531" t="s">
        <v>185</v>
      </c>
      <c r="B17531" s="1" t="str">
        <f>HYPERLINK("http://hamptonpalmdesert.com","hamptonpalmdesert.com")</f>
        <v>hamptonpalmdesert.com</v>
      </c>
      <c r="C17531" t="s">
        <v>433</v>
      </c>
      <c r="F17531">
        <v>4.4539193065461697E-9</v>
      </c>
      <c r="G17531">
        <v>69966028</v>
      </c>
      <c r="H17531">
        <v>12244825</v>
      </c>
      <c r="I17531">
        <v>22131021</v>
      </c>
      <c r="J17531">
        <v>4</v>
      </c>
    </row>
    <row r="17532" spans="1:10" x14ac:dyDescent="0.25">
      <c r="A17532" t="s">
        <v>185</v>
      </c>
      <c r="B17532" s="1" t="str">
        <f>HYPERLINK("http://hamptonrigaairport.com","hamptonrigaairport.com")</f>
        <v>hamptonrigaairport.com</v>
      </c>
      <c r="C17532" t="s">
        <v>433</v>
      </c>
      <c r="J17532">
        <v>3</v>
      </c>
    </row>
    <row r="17533" spans="1:10" x14ac:dyDescent="0.25">
      <c r="A17533" t="s">
        <v>185</v>
      </c>
      <c r="B17533" s="1" t="str">
        <f>HYPERLINK("http://hamptonsheffield.com","hamptonsheffield.com")</f>
        <v>hamptonsheffield.com</v>
      </c>
      <c r="C17533" t="s">
        <v>433</v>
      </c>
      <c r="J17533">
        <v>3</v>
      </c>
    </row>
    <row r="17534" spans="1:10" x14ac:dyDescent="0.25">
      <c r="A17534" t="s">
        <v>185</v>
      </c>
      <c r="B17534" s="1" t="str">
        <f>HYPERLINK("http://hamptonvadodara.com","hamptonvadodara.com")</f>
        <v>hamptonvadodara.com</v>
      </c>
      <c r="C17534" t="s">
        <v>433</v>
      </c>
      <c r="J17534">
        <v>3</v>
      </c>
    </row>
    <row r="17535" spans="1:10" x14ac:dyDescent="0.25">
      <c r="A17535" t="s">
        <v>185</v>
      </c>
      <c r="B17535" s="1" t="str">
        <f>HYPERLINK("http://hamtoninn.com","hamtoninn.com")</f>
        <v>hamtoninn.com</v>
      </c>
      <c r="C17535" t="s">
        <v>433</v>
      </c>
      <c r="F17535">
        <v>5.67609686798872E-9</v>
      </c>
      <c r="G17535">
        <v>19164425</v>
      </c>
      <c r="H17535">
        <v>10835935</v>
      </c>
      <c r="I17535">
        <v>37264899</v>
      </c>
      <c r="J17535">
        <v>4</v>
      </c>
    </row>
    <row r="17536" spans="1:10" x14ac:dyDescent="0.25">
      <c r="A17536" t="s">
        <v>185</v>
      </c>
      <c r="B17536" s="1" t="str">
        <f>HYPERLINK("http://hartshoreditch.com","hartshoreditch.com")</f>
        <v>hartshoreditch.com</v>
      </c>
      <c r="C17536" t="s">
        <v>433</v>
      </c>
      <c r="F17536">
        <v>2.0853979480453399E-8</v>
      </c>
      <c r="G17536">
        <v>2535488</v>
      </c>
      <c r="H17536">
        <v>14086794</v>
      </c>
      <c r="I17536">
        <v>2767544</v>
      </c>
      <c r="J17536">
        <v>3</v>
      </c>
    </row>
    <row r="17537" spans="1:10" x14ac:dyDescent="0.25">
      <c r="A17537" t="s">
        <v>185</v>
      </c>
      <c r="B17537" s="1" t="str">
        <f>HYPERLINK("http://hayadams.com","hayadams.com")</f>
        <v>hayadams.com</v>
      </c>
      <c r="C17537" t="s">
        <v>433</v>
      </c>
      <c r="E17537">
        <v>519153</v>
      </c>
      <c r="F17537">
        <v>8.1557461039910206E-8</v>
      </c>
      <c r="G17537">
        <v>511737</v>
      </c>
      <c r="H17537">
        <v>14602838</v>
      </c>
      <c r="I17537">
        <v>683925</v>
      </c>
      <c r="J17537">
        <v>6</v>
      </c>
    </row>
    <row r="17538" spans="1:10" x14ac:dyDescent="0.25">
      <c r="A17538" t="s">
        <v>185</v>
      </c>
      <c r="B17538" s="1" t="str">
        <f>HYPERLINK("http://hbhbelfast.com","hbhbelfast.com")</f>
        <v>hbhbelfast.com</v>
      </c>
      <c r="C17538" t="s">
        <v>433</v>
      </c>
      <c r="J17538">
        <v>3</v>
      </c>
    </row>
    <row r="17539" spans="1:10" x14ac:dyDescent="0.25">
      <c r="A17539" t="s">
        <v>185</v>
      </c>
      <c r="B17539" s="1" t="str">
        <f>HYPERLINK("http://hbhblackpool.com","hbhblackpool.com")</f>
        <v>hbhblackpool.com</v>
      </c>
      <c r="C17539" t="s">
        <v>433</v>
      </c>
      <c r="J17539">
        <v>3</v>
      </c>
    </row>
    <row r="17540" spans="1:10" x14ac:dyDescent="0.25">
      <c r="A17540" t="s">
        <v>185</v>
      </c>
      <c r="B17540" s="1" t="str">
        <f>HYPERLINK("http://hbhbolu.com","hbhbolu.com")</f>
        <v>hbhbolu.com</v>
      </c>
      <c r="C17540" t="s">
        <v>433</v>
      </c>
      <c r="J17540">
        <v>3</v>
      </c>
    </row>
    <row r="17541" spans="1:10" x14ac:dyDescent="0.25">
      <c r="A17541" t="s">
        <v>185</v>
      </c>
      <c r="B17541" s="1" t="str">
        <f>HYPERLINK("http://hbhbroadstreet.com","hbhbroadstreet.com")</f>
        <v>hbhbroadstreet.com</v>
      </c>
      <c r="C17541" t="s">
        <v>433</v>
      </c>
      <c r="J17541">
        <v>3</v>
      </c>
    </row>
    <row r="17542" spans="1:10" x14ac:dyDescent="0.25">
      <c r="A17542" t="s">
        <v>185</v>
      </c>
      <c r="B17542" s="1" t="str">
        <f>HYPERLINK("http://hbhcanterbury.com","hbhcanterbury.com")</f>
        <v>hbhcanterbury.com</v>
      </c>
      <c r="C17542" t="s">
        <v>433</v>
      </c>
      <c r="J17542">
        <v>3</v>
      </c>
    </row>
    <row r="17543" spans="1:10" x14ac:dyDescent="0.25">
      <c r="A17543" t="s">
        <v>185</v>
      </c>
      <c r="B17543" s="1" t="str">
        <f>HYPERLINK("http://hbhexeterairport.com","hbhexeterairport.com")</f>
        <v>hbhexeterairport.com</v>
      </c>
      <c r="C17543" t="s">
        <v>433</v>
      </c>
      <c r="J17543">
        <v>3</v>
      </c>
    </row>
    <row r="17544" spans="1:10" x14ac:dyDescent="0.25">
      <c r="A17544" t="s">
        <v>185</v>
      </c>
      <c r="B17544" s="1" t="str">
        <f>HYPERLINK("http://hbhhamiltonpark.com","hbhhamiltonpark.com")</f>
        <v>hbhhamiltonpark.com</v>
      </c>
      <c r="C17544" t="s">
        <v>433</v>
      </c>
      <c r="J17544">
        <v>3</v>
      </c>
    </row>
    <row r="17545" spans="1:10" x14ac:dyDescent="0.25">
      <c r="A17545" t="s">
        <v>185</v>
      </c>
      <c r="B17545" s="1" t="str">
        <f>HYPERLINK("http://hbhistsg.com","hbhistsg.com")</f>
        <v>hbhistsg.com</v>
      </c>
      <c r="C17545" t="s">
        <v>433</v>
      </c>
      <c r="J17545">
        <v>3</v>
      </c>
    </row>
    <row r="17546" spans="1:10" x14ac:dyDescent="0.25">
      <c r="A17546" t="s">
        <v>185</v>
      </c>
      <c r="B17546" s="1" t="str">
        <f>HYPERLINK("http://hbhkahramanmaras.com","hbhkahramanmaras.com")</f>
        <v>hbhkahramanmaras.com</v>
      </c>
      <c r="C17546" t="s">
        <v>433</v>
      </c>
      <c r="J17546">
        <v>3</v>
      </c>
    </row>
    <row r="17547" spans="1:10" x14ac:dyDescent="0.25">
      <c r="A17547" t="s">
        <v>185</v>
      </c>
      <c r="B17547" s="1" t="str">
        <f>HYPERLINK("http://hbhstansted.com","hbhstansted.com")</f>
        <v>hbhstansted.com</v>
      </c>
      <c r="C17547" t="s">
        <v>433</v>
      </c>
      <c r="J17547">
        <v>3</v>
      </c>
    </row>
    <row r="17548" spans="1:10" x14ac:dyDescent="0.25">
      <c r="A17548" t="s">
        <v>185</v>
      </c>
      <c r="B17548" s="1" t="str">
        <f>HYPERLINK("http://hbhstockton.com","hbhstockton.com")</f>
        <v>hbhstockton.com</v>
      </c>
      <c r="C17548" t="s">
        <v>433</v>
      </c>
      <c r="J17548">
        <v>3</v>
      </c>
    </row>
    <row r="17549" spans="1:10" x14ac:dyDescent="0.25">
      <c r="A17549" t="s">
        <v>185</v>
      </c>
      <c r="B17549" s="1" t="str">
        <f>HYPERLINK("http://hgi.com","hgi.com")</f>
        <v>hgi.com</v>
      </c>
      <c r="C17549" t="s">
        <v>433</v>
      </c>
      <c r="E17549">
        <v>260081</v>
      </c>
      <c r="F17549">
        <v>2.5653488440561498E-7</v>
      </c>
      <c r="G17549">
        <v>145836</v>
      </c>
      <c r="H17549">
        <v>14396237</v>
      </c>
      <c r="I17549">
        <v>1159472</v>
      </c>
      <c r="J17549">
        <v>4</v>
      </c>
    </row>
    <row r="17550" spans="1:10" x14ac:dyDescent="0.25">
      <c r="A17550" t="s">
        <v>185</v>
      </c>
      <c r="B17550" s="1" t="str">
        <f>HYPERLINK("http://hgi-manchester.com","hgi-manchester.com")</f>
        <v>hgi-manchester.com</v>
      </c>
      <c r="C17550" t="s">
        <v>433</v>
      </c>
      <c r="F17550">
        <v>5.0423159431214799E-9</v>
      </c>
      <c r="G17550">
        <v>28391303</v>
      </c>
      <c r="H17550">
        <v>11152838</v>
      </c>
      <c r="I17550">
        <v>31695801</v>
      </c>
      <c r="J17550">
        <v>4</v>
      </c>
    </row>
    <row r="17551" spans="1:10" x14ac:dyDescent="0.25">
      <c r="A17551" t="s">
        <v>185</v>
      </c>
      <c r="B17551" s="1" t="str">
        <f>HYPERLINK("http://hgiadiyaman.com","hgiadiyaman.com")</f>
        <v>hgiadiyaman.com</v>
      </c>
      <c r="C17551" t="s">
        <v>433</v>
      </c>
      <c r="J17551">
        <v>3</v>
      </c>
    </row>
    <row r="17552" spans="1:10" x14ac:dyDescent="0.25">
      <c r="A17552" t="s">
        <v>185</v>
      </c>
      <c r="B17552" s="1" t="str">
        <f>HYPERLINK("http://hgidublin.com","hgidublin.com")</f>
        <v>hgidublin.com</v>
      </c>
      <c r="C17552" t="s">
        <v>433</v>
      </c>
      <c r="J17552">
        <v>3</v>
      </c>
    </row>
    <row r="17553" spans="1:10" x14ac:dyDescent="0.25">
      <c r="A17553" t="s">
        <v>185</v>
      </c>
      <c r="B17553" s="1" t="str">
        <f>HYPERLINK("http://hgiheathrowterminal2.com","hgiheathrowterminal2.com")</f>
        <v>hgiheathrowterminal2.com</v>
      </c>
      <c r="C17553" t="s">
        <v>433</v>
      </c>
      <c r="J17553">
        <v>3</v>
      </c>
    </row>
    <row r="17554" spans="1:10" x14ac:dyDescent="0.25">
      <c r="A17554" t="s">
        <v>185</v>
      </c>
      <c r="B17554" s="1" t="str">
        <f>HYPERLINK("http://hgimalpensa.com","hgimalpensa.com")</f>
        <v>hgimalpensa.com</v>
      </c>
      <c r="C17554" t="s">
        <v>433</v>
      </c>
      <c r="J17554">
        <v>3</v>
      </c>
    </row>
    <row r="17555" spans="1:10" x14ac:dyDescent="0.25">
      <c r="A17555" t="s">
        <v>185</v>
      </c>
      <c r="B17555" s="1" t="str">
        <f>HYPERLINK("http://hgiotopeni.com","hgiotopeni.com")</f>
        <v>hgiotopeni.com</v>
      </c>
      <c r="C17555" t="s">
        <v>433</v>
      </c>
      <c r="J17555">
        <v>3</v>
      </c>
    </row>
    <row r="17556" spans="1:10" x14ac:dyDescent="0.25">
      <c r="A17556" t="s">
        <v>185</v>
      </c>
      <c r="B17556" s="1" t="str">
        <f>HYPERLINK("http://hgiriga.com","hgiriga.com")</f>
        <v>hgiriga.com</v>
      </c>
      <c r="C17556" t="s">
        <v>433</v>
      </c>
      <c r="F17556">
        <v>7.2533096344207099E-9</v>
      </c>
      <c r="G17556">
        <v>11597242</v>
      </c>
      <c r="H17556">
        <v>12157128</v>
      </c>
      <c r="I17556">
        <v>24441060</v>
      </c>
      <c r="J17556">
        <v>3</v>
      </c>
    </row>
    <row r="17557" spans="1:10" x14ac:dyDescent="0.25">
      <c r="A17557" t="s">
        <v>185</v>
      </c>
      <c r="B17557" s="1" t="str">
        <f>HYPERLINK("http://hgisunderland.com","hgisunderland.com")</f>
        <v>hgisunderland.com</v>
      </c>
      <c r="C17557" t="s">
        <v>433</v>
      </c>
      <c r="J17557">
        <v>3</v>
      </c>
    </row>
    <row r="17558" spans="1:10" x14ac:dyDescent="0.25">
      <c r="A17558" t="s">
        <v>185</v>
      </c>
      <c r="B17558" s="1" t="str">
        <f>HYPERLINK("http://hgivenice.com","hgivenice.com")</f>
        <v>hgivenice.com</v>
      </c>
      <c r="C17558" t="s">
        <v>433</v>
      </c>
      <c r="J17558">
        <v>3</v>
      </c>
    </row>
    <row r="17559" spans="1:10" x14ac:dyDescent="0.25">
      <c r="A17559" t="s">
        <v>185</v>
      </c>
      <c r="B17559" s="1" t="str">
        <f>HYPERLINK("http://hgiwaikikibeach.com","hgiwaikikibeach.com")</f>
        <v>hgiwaikikibeach.com</v>
      </c>
      <c r="C17559" t="s">
        <v>433</v>
      </c>
      <c r="F17559">
        <v>5.1856131592694099E-9</v>
      </c>
      <c r="G17559">
        <v>25420323</v>
      </c>
      <c r="H17559">
        <v>12604015</v>
      </c>
      <c r="I17559">
        <v>16285653</v>
      </c>
      <c r="J17559">
        <v>4</v>
      </c>
    </row>
    <row r="17560" spans="1:10" x14ac:dyDescent="0.25">
      <c r="A17560" t="s">
        <v>185</v>
      </c>
      <c r="B17560" s="1" t="str">
        <f>HYPERLINK("http://hgv.com","hgv.com")</f>
        <v>hgv.com</v>
      </c>
      <c r="C17560" t="s">
        <v>433</v>
      </c>
      <c r="E17560">
        <v>186453</v>
      </c>
      <c r="F17560">
        <v>5.0090966628887702E-8</v>
      </c>
      <c r="G17560">
        <v>919187</v>
      </c>
      <c r="H17560">
        <v>13576661</v>
      </c>
      <c r="I17560">
        <v>9699433</v>
      </c>
      <c r="J17560">
        <v>6</v>
      </c>
    </row>
    <row r="17561" spans="1:10" x14ac:dyDescent="0.25">
      <c r="A17561" t="s">
        <v>185</v>
      </c>
      <c r="B17561" s="1" t="str">
        <f>HYPERLINK("http://hidullesairport.com","hidullesairport.com")</f>
        <v>hidullesairport.com</v>
      </c>
      <c r="C17561" t="s">
        <v>433</v>
      </c>
      <c r="F17561">
        <v>2.4376162595934899E-8</v>
      </c>
      <c r="G17561">
        <v>2126378</v>
      </c>
      <c r="H17561">
        <v>13311573</v>
      </c>
      <c r="I17561">
        <v>10772638</v>
      </c>
      <c r="J17561">
        <v>3</v>
      </c>
    </row>
    <row r="17562" spans="1:10" x14ac:dyDescent="0.25">
      <c r="A17562" t="s">
        <v>185</v>
      </c>
      <c r="B17562" s="1" t="str">
        <f>HYPERLINK("http://highgate.com","highgate.com")</f>
        <v>highgate.com</v>
      </c>
      <c r="C17562" t="s">
        <v>433</v>
      </c>
      <c r="E17562">
        <v>467606</v>
      </c>
      <c r="F17562">
        <v>9.5073382490923597E-8</v>
      </c>
      <c r="G17562">
        <v>426342</v>
      </c>
      <c r="H17562">
        <v>14233043</v>
      </c>
      <c r="I17562">
        <v>1670952</v>
      </c>
      <c r="J17562">
        <v>8</v>
      </c>
    </row>
    <row r="17563" spans="1:10" x14ac:dyDescent="0.25">
      <c r="A17563" t="s">
        <v>185</v>
      </c>
      <c r="B17563" s="1" t="str">
        <f>HYPERLINK("http://highlinevail.com","highlinevail.com")</f>
        <v>highlinevail.com</v>
      </c>
      <c r="C17563" t="s">
        <v>433</v>
      </c>
      <c r="F17563">
        <v>2.2021629178788099E-8</v>
      </c>
      <c r="G17563">
        <v>2383578</v>
      </c>
      <c r="H17563">
        <v>12612124</v>
      </c>
      <c r="I17563">
        <v>16225127</v>
      </c>
      <c r="J17563">
        <v>3</v>
      </c>
    </row>
    <row r="17564" spans="1:10" x14ac:dyDescent="0.25">
      <c r="A17564" t="s">
        <v>185</v>
      </c>
      <c r="B17564" s="1" t="str">
        <f>HYPERLINK("http://higueronhotel.com","higueronhotel.com")</f>
        <v>higueronhotel.com</v>
      </c>
      <c r="C17564" t="s">
        <v>433</v>
      </c>
      <c r="F17564">
        <v>7.3369792850445297E-9</v>
      </c>
      <c r="G17564">
        <v>11390950</v>
      </c>
      <c r="H17564">
        <v>12601205</v>
      </c>
      <c r="I17564">
        <v>16314774</v>
      </c>
      <c r="J17564">
        <v>3</v>
      </c>
    </row>
    <row r="17565" spans="1:10" x14ac:dyDescent="0.25">
      <c r="A17565" t="s">
        <v>185</v>
      </c>
      <c r="B17565" s="1" t="str">
        <f>HYPERLINK("http://hiherndon.com","hiherndon.com")</f>
        <v>hiherndon.com</v>
      </c>
      <c r="C17565" t="s">
        <v>433</v>
      </c>
      <c r="F17565">
        <v>4.4442727018617098E-9</v>
      </c>
      <c r="G17565">
        <v>77041247</v>
      </c>
      <c r="H17565">
        <v>10422571</v>
      </c>
      <c r="I17565">
        <v>53921668</v>
      </c>
      <c r="J17565">
        <v>3</v>
      </c>
    </row>
    <row r="17566" spans="1:10" x14ac:dyDescent="0.25">
      <c r="A17566" t="s">
        <v>185</v>
      </c>
      <c r="B17566" s="1" t="str">
        <f>HYPERLINK("http://hilton.com","hilton.com")</f>
        <v>hilton.com</v>
      </c>
      <c r="C17566" t="s">
        <v>433</v>
      </c>
      <c r="E17566">
        <v>754</v>
      </c>
      <c r="F17566">
        <v>2.8608030616842999E-5</v>
      </c>
      <c r="G17566">
        <v>1031</v>
      </c>
      <c r="H17566">
        <v>18206798</v>
      </c>
      <c r="I17566">
        <v>2715</v>
      </c>
      <c r="J17566">
        <v>1</v>
      </c>
    </row>
    <row r="17567" spans="1:10" x14ac:dyDescent="0.25">
      <c r="A17567" t="s">
        <v>185</v>
      </c>
      <c r="B17567" s="1" t="str">
        <f>HYPERLINK("http://hilton-amman.com","hilton-amman.com")</f>
        <v>hilton-amman.com</v>
      </c>
      <c r="C17567" t="s">
        <v>433</v>
      </c>
      <c r="J17567">
        <v>3</v>
      </c>
    </row>
    <row r="17568" spans="1:10" x14ac:dyDescent="0.25">
      <c r="A17568" t="s">
        <v>185</v>
      </c>
      <c r="B17568" s="1" t="str">
        <f>HYPERLINK("http://hilton-narita.com","hilton-narita.com")</f>
        <v>hilton-narita.com</v>
      </c>
      <c r="C17568" t="s">
        <v>433</v>
      </c>
      <c r="J17568">
        <v>3</v>
      </c>
    </row>
    <row r="17569" spans="1:10" x14ac:dyDescent="0.25">
      <c r="A17569" t="s">
        <v>185</v>
      </c>
      <c r="B17569" s="1" t="str">
        <f>HYPERLINK("http://hilton-tashkent.com","hilton-tashkent.com")</f>
        <v>hilton-tashkent.com</v>
      </c>
      <c r="C17569" t="s">
        <v>433</v>
      </c>
      <c r="J17569">
        <v>3</v>
      </c>
    </row>
    <row r="17570" spans="1:10" x14ac:dyDescent="0.25">
      <c r="A17570" t="s">
        <v>185</v>
      </c>
      <c r="B17570" s="1" t="str">
        <f>HYPERLINK("http://hiltonageasbowl.com","hiltonageasbowl.com")</f>
        <v>hiltonageasbowl.com</v>
      </c>
      <c r="C17570" t="s">
        <v>433</v>
      </c>
      <c r="J17570">
        <v>3</v>
      </c>
    </row>
    <row r="17571" spans="1:10" x14ac:dyDescent="0.25">
      <c r="A17571" t="s">
        <v>185</v>
      </c>
      <c r="B17571" s="1" t="str">
        <f>HYPERLINK("http://hiltonalhabtoorcity.com","hiltonalhabtoorcity.com")</f>
        <v>hiltonalhabtoorcity.com</v>
      </c>
      <c r="C17571" t="s">
        <v>433</v>
      </c>
      <c r="F17571">
        <v>4.5346572176336399E-9</v>
      </c>
      <c r="G17571">
        <v>54554002</v>
      </c>
      <c r="H17571">
        <v>10558075</v>
      </c>
      <c r="I17571">
        <v>46421681</v>
      </c>
      <c r="J17571">
        <v>3</v>
      </c>
    </row>
    <row r="17572" spans="1:10" x14ac:dyDescent="0.25">
      <c r="A17572" t="s">
        <v>185</v>
      </c>
      <c r="B17572" s="1" t="str">
        <f>HYPERLINK("http://hiltonbarcelona.com","hiltonbarcelona.com")</f>
        <v>hiltonbarcelona.com</v>
      </c>
      <c r="C17572" t="s">
        <v>433</v>
      </c>
      <c r="F17572">
        <v>4.5436353149729497E-9</v>
      </c>
      <c r="G17572">
        <v>52874416</v>
      </c>
      <c r="H17572">
        <v>8643089</v>
      </c>
      <c r="I17572">
        <v>70432179</v>
      </c>
      <c r="J17572">
        <v>3</v>
      </c>
    </row>
    <row r="17573" spans="1:10" x14ac:dyDescent="0.25">
      <c r="A17573" t="s">
        <v>185</v>
      </c>
      <c r="B17573" s="1" t="str">
        <f>HYPERLINK("http://hiltonbonnetcreek.com","hiltonbonnetcreek.com")</f>
        <v>hiltonbonnetcreek.com</v>
      </c>
      <c r="C17573" t="s">
        <v>433</v>
      </c>
      <c r="E17573">
        <v>764182</v>
      </c>
      <c r="F17573">
        <v>1.0457175431500801E-7</v>
      </c>
      <c r="G17573">
        <v>383317</v>
      </c>
      <c r="H17573">
        <v>14276953</v>
      </c>
      <c r="I17573">
        <v>1388586</v>
      </c>
      <c r="J17573">
        <v>3</v>
      </c>
    </row>
    <row r="17574" spans="1:10" x14ac:dyDescent="0.25">
      <c r="A17574" t="s">
        <v>185</v>
      </c>
      <c r="B17574" s="1" t="str">
        <f>HYPERLINK("http://hiltonbuenosaireshotel.com","hiltonbuenosaireshotel.com")</f>
        <v>hiltonbuenosaireshotel.com</v>
      </c>
      <c r="C17574" t="s">
        <v>433</v>
      </c>
      <c r="F17574">
        <v>1.1474181697241899E-8</v>
      </c>
      <c r="G17574">
        <v>5522761</v>
      </c>
      <c r="H17574">
        <v>13764408</v>
      </c>
      <c r="I17574">
        <v>7274870</v>
      </c>
      <c r="J17574">
        <v>3</v>
      </c>
    </row>
    <row r="17575" spans="1:10" x14ac:dyDescent="0.25">
      <c r="A17575" t="s">
        <v>185</v>
      </c>
      <c r="B17575" s="1" t="str">
        <f>HYPERLINK("http://hiltonchristiana.com","hiltonchristiana.com")</f>
        <v>hiltonchristiana.com</v>
      </c>
      <c r="C17575" t="s">
        <v>433</v>
      </c>
      <c r="F17575">
        <v>1.9301023232533099E-8</v>
      </c>
      <c r="G17575">
        <v>2781938</v>
      </c>
      <c r="H17575">
        <v>13953397</v>
      </c>
      <c r="I17575">
        <v>4150740</v>
      </c>
      <c r="J17575">
        <v>4</v>
      </c>
    </row>
    <row r="17576" spans="1:10" x14ac:dyDescent="0.25">
      <c r="A17576" t="s">
        <v>185</v>
      </c>
      <c r="B17576" s="1" t="str">
        <f>HYPERLINK("http://hiltoncolumbia.com","hiltoncolumbia.com")</f>
        <v>hiltoncolumbia.com</v>
      </c>
      <c r="C17576" t="s">
        <v>433</v>
      </c>
      <c r="F17576">
        <v>1.8056359017079399E-8</v>
      </c>
      <c r="G17576">
        <v>3018999</v>
      </c>
      <c r="H17576">
        <v>13711281</v>
      </c>
      <c r="I17576">
        <v>9506743</v>
      </c>
      <c r="J17576">
        <v>4</v>
      </c>
    </row>
    <row r="17577" spans="1:10" x14ac:dyDescent="0.25">
      <c r="A17577" t="s">
        <v>185</v>
      </c>
      <c r="B17577" s="1" t="str">
        <f>HYPERLINK("http://hiltoncolumbus.com","hiltoncolumbus.com")</f>
        <v>hiltoncolumbus.com</v>
      </c>
      <c r="C17577" t="s">
        <v>433</v>
      </c>
      <c r="F17577">
        <v>1.33388981558289E-8</v>
      </c>
      <c r="G17577">
        <v>4476512</v>
      </c>
      <c r="H17577">
        <v>13842032</v>
      </c>
      <c r="I17577">
        <v>6068865</v>
      </c>
      <c r="J17577">
        <v>4</v>
      </c>
    </row>
    <row r="17578" spans="1:10" x14ac:dyDescent="0.25">
      <c r="A17578" t="s">
        <v>185</v>
      </c>
      <c r="B17578" s="1" t="str">
        <f>HYPERLINK("http://hiltoncorlu.com","hiltoncorlu.com")</f>
        <v>hiltoncorlu.com</v>
      </c>
      <c r="C17578" t="s">
        <v>433</v>
      </c>
      <c r="J17578">
        <v>3</v>
      </c>
    </row>
    <row r="17579" spans="1:10" x14ac:dyDescent="0.25">
      <c r="A17579" t="s">
        <v>185</v>
      </c>
      <c r="B17579" s="1" t="str">
        <f>HYPERLINK("http://hiltondalaman.com","hiltondalaman.com")</f>
        <v>hiltondalaman.com</v>
      </c>
      <c r="C17579" t="s">
        <v>433</v>
      </c>
      <c r="F17579">
        <v>6.0172859431988701E-9</v>
      </c>
      <c r="G17579">
        <v>16578592</v>
      </c>
      <c r="H17579">
        <v>11168276</v>
      </c>
      <c r="I17579">
        <v>31554327</v>
      </c>
      <c r="J17579">
        <v>3</v>
      </c>
    </row>
    <row r="17580" spans="1:10" x14ac:dyDescent="0.25">
      <c r="A17580" t="s">
        <v>185</v>
      </c>
      <c r="B17580" s="1" t="str">
        <f>HYPERLINK("http://hiltondcnationalmall.com","hiltondcnationalmall.com")</f>
        <v>hiltondcnationalmall.com</v>
      </c>
      <c r="C17580" t="s">
        <v>433</v>
      </c>
      <c r="F17580">
        <v>1.00965832552853E-8</v>
      </c>
      <c r="G17580">
        <v>6652623</v>
      </c>
      <c r="H17580">
        <v>12537164</v>
      </c>
      <c r="I17580">
        <v>16969349</v>
      </c>
      <c r="J17580">
        <v>4</v>
      </c>
    </row>
    <row r="17581" spans="1:10" x14ac:dyDescent="0.25">
      <c r="A17581" t="s">
        <v>185</v>
      </c>
      <c r="B17581" s="1" t="str">
        <f>HYPERLINK("http://hiltondoubletreekensington.com","hiltondoubletreekensington.com")</f>
        <v>hiltondoubletreekensington.com</v>
      </c>
      <c r="C17581" t="s">
        <v>433</v>
      </c>
      <c r="J17581">
        <v>3</v>
      </c>
    </row>
    <row r="17582" spans="1:10" x14ac:dyDescent="0.25">
      <c r="A17582" t="s">
        <v>185</v>
      </c>
      <c r="B17582" s="1" t="str">
        <f>HYPERLINK("http://hiltondushanbe.com","hiltondushanbe.com")</f>
        <v>hiltondushanbe.com</v>
      </c>
      <c r="C17582" t="s">
        <v>433</v>
      </c>
      <c r="J17582">
        <v>3</v>
      </c>
    </row>
    <row r="17583" spans="1:10" x14ac:dyDescent="0.25">
      <c r="A17583" t="s">
        <v>185</v>
      </c>
      <c r="B17583" s="1" t="str">
        <f>HYPERLINK("http://hiltondusseldorf.com","hiltondusseldorf.com")</f>
        <v>hiltondusseldorf.com</v>
      </c>
      <c r="C17583" t="s">
        <v>433</v>
      </c>
      <c r="J17583">
        <v>3</v>
      </c>
    </row>
    <row r="17584" spans="1:10" x14ac:dyDescent="0.25">
      <c r="A17584" t="s">
        <v>185</v>
      </c>
      <c r="B17584" s="1" t="str">
        <f>HYPERLINK("http://hiltongardendorval.com","hiltongardendorval.com")</f>
        <v>hiltongardendorval.com</v>
      </c>
      <c r="C17584" t="s">
        <v>433</v>
      </c>
      <c r="F17584">
        <v>4.8377424799533596E-9</v>
      </c>
      <c r="G17584">
        <v>34562663</v>
      </c>
      <c r="H17584">
        <v>10743501</v>
      </c>
      <c r="I17584">
        <v>40290650</v>
      </c>
      <c r="J17584">
        <v>4</v>
      </c>
    </row>
    <row r="17585" spans="1:10" x14ac:dyDescent="0.25">
      <c r="A17585" t="s">
        <v>185</v>
      </c>
      <c r="B17585" s="1" t="str">
        <f>HYPERLINK("http://hiltongardeninn.com","hiltongardeninn.com")</f>
        <v>hiltongardeninn.com</v>
      </c>
      <c r="C17585" t="s">
        <v>433</v>
      </c>
      <c r="E17585">
        <v>421528</v>
      </c>
      <c r="F17585">
        <v>1.9403310158283601E-7</v>
      </c>
      <c r="G17585">
        <v>198707</v>
      </c>
      <c r="H17585">
        <v>14173298</v>
      </c>
      <c r="I17585">
        <v>1796396</v>
      </c>
      <c r="J17585">
        <v>4</v>
      </c>
    </row>
    <row r="17586" spans="1:10" x14ac:dyDescent="0.25">
      <c r="A17586" t="s">
        <v>185</v>
      </c>
      <c r="B17586" s="1" t="str">
        <f>HYPERLINK("http://hiltongardeninnankara.com","hiltongardeninnankara.com")</f>
        <v>hiltongardeninnankara.com</v>
      </c>
      <c r="C17586" t="s">
        <v>433</v>
      </c>
      <c r="J17586">
        <v>4</v>
      </c>
    </row>
    <row r="17587" spans="1:10" x14ac:dyDescent="0.25">
      <c r="A17587" t="s">
        <v>185</v>
      </c>
      <c r="B17587" s="1" t="str">
        <f>HYPERLINK("http://hiltongardeninnoakville.com","hiltongardeninnoakville.com")</f>
        <v>hiltongardeninnoakville.com</v>
      </c>
      <c r="C17587" t="s">
        <v>433</v>
      </c>
      <c r="F17587">
        <v>4.44380395335525E-9</v>
      </c>
      <c r="G17587">
        <v>81944191</v>
      </c>
      <c r="H17587">
        <v>0</v>
      </c>
      <c r="I17587">
        <v>82440036</v>
      </c>
      <c r="J17587">
        <v>4</v>
      </c>
    </row>
    <row r="17588" spans="1:10" x14ac:dyDescent="0.25">
      <c r="A17588" t="s">
        <v>185</v>
      </c>
      <c r="B17588" s="1" t="str">
        <f>HYPERLINK("http://hiltongardeninnpensacola.com","hiltongardeninnpensacola.com")</f>
        <v>hiltongardeninnpensacola.com</v>
      </c>
      <c r="C17588" t="s">
        <v>433</v>
      </c>
      <c r="F17588">
        <v>6.2441420437393902E-9</v>
      </c>
      <c r="G17588">
        <v>15304225</v>
      </c>
      <c r="H17588">
        <v>12320553</v>
      </c>
      <c r="I17588">
        <v>20410445</v>
      </c>
      <c r="J17588">
        <v>4</v>
      </c>
    </row>
    <row r="17589" spans="1:10" x14ac:dyDescent="0.25">
      <c r="A17589" t="s">
        <v>185</v>
      </c>
      <c r="B17589" s="1" t="str">
        <f>HYPERLINK("http://hiltongrandvacations.com","hiltongrandvacations.com")</f>
        <v>hiltongrandvacations.com</v>
      </c>
      <c r="C17589" t="s">
        <v>433</v>
      </c>
      <c r="E17589">
        <v>64287</v>
      </c>
      <c r="F17589">
        <v>3.63856217370841E-7</v>
      </c>
      <c r="G17589">
        <v>102786</v>
      </c>
      <c r="H17589">
        <v>14729743</v>
      </c>
      <c r="I17589">
        <v>572692</v>
      </c>
      <c r="J17589">
        <v>10</v>
      </c>
    </row>
    <row r="17590" spans="1:10" x14ac:dyDescent="0.25">
      <c r="A17590" t="s">
        <v>185</v>
      </c>
      <c r="B17590" s="1" t="str">
        <f>HYPERLINK("http://hiltongreenvillesc.com","hiltongreenvillesc.com")</f>
        <v>hiltongreenvillesc.com</v>
      </c>
      <c r="C17590" t="s">
        <v>433</v>
      </c>
      <c r="F17590">
        <v>4.4563423726599597E-9</v>
      </c>
      <c r="G17590">
        <v>68994548</v>
      </c>
      <c r="H17590">
        <v>7740551</v>
      </c>
      <c r="I17590">
        <v>75820320</v>
      </c>
      <c r="J17590">
        <v>3</v>
      </c>
    </row>
    <row r="17591" spans="1:10" x14ac:dyDescent="0.25">
      <c r="A17591" t="s">
        <v>185</v>
      </c>
      <c r="B17591" s="1" t="str">
        <f>HYPERLINK("http://hiltonhawaiianvillage.com","hiltonhawaiianvillage.com")</f>
        <v>hiltonhawaiianvillage.com</v>
      </c>
      <c r="C17591" t="s">
        <v>433</v>
      </c>
      <c r="E17591">
        <v>295913</v>
      </c>
      <c r="F17591">
        <v>1.9759831878959099E-7</v>
      </c>
      <c r="G17591">
        <v>195158</v>
      </c>
      <c r="H17591">
        <v>14826333</v>
      </c>
      <c r="I17591">
        <v>510085</v>
      </c>
      <c r="J17591">
        <v>4</v>
      </c>
    </row>
    <row r="17592" spans="1:10" x14ac:dyDescent="0.25">
      <c r="A17592" t="s">
        <v>185</v>
      </c>
      <c r="B17592" s="1" t="str">
        <f>HYPERLINK("http://hiltonhotels.com","hiltonhotels.com")</f>
        <v>hiltonhotels.com</v>
      </c>
      <c r="C17592" t="s">
        <v>433</v>
      </c>
      <c r="E17592">
        <v>76435</v>
      </c>
      <c r="F17592">
        <v>4.9185714964047697E-7</v>
      </c>
      <c r="G17592">
        <v>77547</v>
      </c>
      <c r="H17592">
        <v>15012881</v>
      </c>
      <c r="I17592">
        <v>422647</v>
      </c>
      <c r="J17592">
        <v>3</v>
      </c>
    </row>
    <row r="17593" spans="1:10" x14ac:dyDescent="0.25">
      <c r="A17593" t="s">
        <v>185</v>
      </c>
      <c r="B17593" s="1" t="str">
        <f>HYPERLINK("http://hiltonistanbulmaslak.com","hiltonistanbulmaslak.com")</f>
        <v>hiltonistanbulmaslak.com</v>
      </c>
      <c r="C17593" t="s">
        <v>433</v>
      </c>
      <c r="J17593">
        <v>3</v>
      </c>
    </row>
    <row r="17594" spans="1:10" x14ac:dyDescent="0.25">
      <c r="A17594" t="s">
        <v>185</v>
      </c>
      <c r="B17594" s="1" t="str">
        <f>HYPERLINK("http://hiltonloscabos.com","hiltonloscabos.com")</f>
        <v>hiltonloscabos.com</v>
      </c>
      <c r="C17594" t="s">
        <v>433</v>
      </c>
      <c r="F17594">
        <v>4.2626380905515499E-8</v>
      </c>
      <c r="G17594">
        <v>1134458</v>
      </c>
      <c r="H17594">
        <v>14022151</v>
      </c>
      <c r="I17594">
        <v>3980384</v>
      </c>
      <c r="J17594">
        <v>3</v>
      </c>
    </row>
    <row r="17595" spans="1:10" x14ac:dyDescent="0.25">
      <c r="A17595" t="s">
        <v>185</v>
      </c>
      <c r="B17595" s="1" t="str">
        <f>HYPERLINK("http://hiltonmelbourne.com","hiltonmelbourne.com")</f>
        <v>hiltonmelbourne.com</v>
      </c>
      <c r="C17595" t="s">
        <v>433</v>
      </c>
      <c r="F17595">
        <v>5.8298043382065804E-9</v>
      </c>
      <c r="G17595">
        <v>17864373</v>
      </c>
      <c r="H17595">
        <v>12268205</v>
      </c>
      <c r="I17595">
        <v>21563626</v>
      </c>
      <c r="J17595">
        <v>5</v>
      </c>
    </row>
    <row r="17596" spans="1:10" x14ac:dyDescent="0.25">
      <c r="A17596" t="s">
        <v>185</v>
      </c>
      <c r="B17596" s="1" t="str">
        <f>HYPERLINK("http://hiltonmilwaukee.com","hiltonmilwaukee.com")</f>
        <v>hiltonmilwaukee.com</v>
      </c>
      <c r="C17596" t="s">
        <v>433</v>
      </c>
      <c r="F17596">
        <v>3.2395629392254498E-8</v>
      </c>
      <c r="G17596">
        <v>1594867</v>
      </c>
      <c r="H17596">
        <v>13244578</v>
      </c>
      <c r="I17596">
        <v>11152070</v>
      </c>
      <c r="J17596">
        <v>4</v>
      </c>
    </row>
    <row r="17597" spans="1:10" x14ac:dyDescent="0.25">
      <c r="A17597" t="s">
        <v>185</v>
      </c>
      <c r="B17597" s="1" t="str">
        <f>HYPERLINK("http://hiltonmonterey.com","hiltonmonterey.com")</f>
        <v>hiltonmonterey.com</v>
      </c>
      <c r="C17597" t="s">
        <v>433</v>
      </c>
      <c r="F17597">
        <v>5.9930335185313903E-9</v>
      </c>
      <c r="G17597">
        <v>16728102</v>
      </c>
      <c r="H17597">
        <v>12894535</v>
      </c>
      <c r="I17597">
        <v>13905215</v>
      </c>
      <c r="J17597">
        <v>4</v>
      </c>
    </row>
    <row r="17598" spans="1:10" x14ac:dyDescent="0.25">
      <c r="A17598" t="s">
        <v>185</v>
      </c>
      <c r="B17598" s="1" t="str">
        <f>HYPERLINK("http://hiltonnagoya.com","hiltonnagoya.com")</f>
        <v>hiltonnagoya.com</v>
      </c>
      <c r="C17598" t="s">
        <v>433</v>
      </c>
      <c r="F17598">
        <v>1.6136318805490499E-8</v>
      </c>
      <c r="G17598">
        <v>3511443</v>
      </c>
      <c r="H17598">
        <v>13500778</v>
      </c>
      <c r="I17598">
        <v>9969315</v>
      </c>
      <c r="J17598">
        <v>3</v>
      </c>
    </row>
    <row r="17599" spans="1:10" x14ac:dyDescent="0.25">
      <c r="A17599" t="s">
        <v>185</v>
      </c>
      <c r="B17599" s="1" t="str">
        <f>HYPERLINK("http://hiltonocala.com","hiltonocala.com")</f>
        <v>hiltonocala.com</v>
      </c>
      <c r="C17599" t="s">
        <v>433</v>
      </c>
      <c r="F17599">
        <v>1.01961851524802E-8</v>
      </c>
      <c r="G17599">
        <v>6550715</v>
      </c>
      <c r="H17599">
        <v>13770641</v>
      </c>
      <c r="I17599">
        <v>6721297</v>
      </c>
      <c r="J17599">
        <v>4</v>
      </c>
    </row>
    <row r="17600" spans="1:10" x14ac:dyDescent="0.25">
      <c r="A17600" t="s">
        <v>185</v>
      </c>
      <c r="B17600" s="1" t="str">
        <f>HYPERLINK("http://hiltonphoenixresortatthepeak.com","hiltonphoenixresortatthepeak.com")</f>
        <v>hiltonphoenixresortatthepeak.com</v>
      </c>
      <c r="C17600" t="s">
        <v>433</v>
      </c>
      <c r="F17600">
        <v>3.3309315489526997E-8</v>
      </c>
      <c r="G17600">
        <v>1551493</v>
      </c>
      <c r="H17600">
        <v>12855479</v>
      </c>
      <c r="I17600">
        <v>14230801</v>
      </c>
      <c r="J17600">
        <v>3</v>
      </c>
    </row>
    <row r="17601" spans="1:10" x14ac:dyDescent="0.25">
      <c r="A17601" t="s">
        <v>185</v>
      </c>
      <c r="B17601" s="1" t="str">
        <f>HYPERLINK("http://hiltonsacramentoardenwest.com","hiltonsacramentoardenwest.com")</f>
        <v>hiltonsacramentoardenwest.com</v>
      </c>
      <c r="C17601" t="s">
        <v>433</v>
      </c>
      <c r="F17601">
        <v>5.0139926328438096E-9</v>
      </c>
      <c r="G17601">
        <v>29042316</v>
      </c>
      <c r="H17601">
        <v>12237448</v>
      </c>
      <c r="I17601">
        <v>22323498</v>
      </c>
      <c r="J17601">
        <v>4</v>
      </c>
    </row>
    <row r="17602" spans="1:10" x14ac:dyDescent="0.25">
      <c r="A17602" t="s">
        <v>185</v>
      </c>
      <c r="B17602" s="1" t="str">
        <f>HYPERLINK("http://hiltonsandiegoairport.com","hiltonsandiegoairport.com")</f>
        <v>hiltonsandiegoairport.com</v>
      </c>
      <c r="C17602" t="s">
        <v>433</v>
      </c>
      <c r="F17602">
        <v>5.5164749893660097E-9</v>
      </c>
      <c r="G17602">
        <v>20724894</v>
      </c>
      <c r="H17602">
        <v>11027883</v>
      </c>
      <c r="I17602">
        <v>33134921</v>
      </c>
      <c r="J17602">
        <v>4</v>
      </c>
    </row>
    <row r="17603" spans="1:10" x14ac:dyDescent="0.25">
      <c r="A17603" t="s">
        <v>185</v>
      </c>
      <c r="B17603" s="1" t="str">
        <f>HYPERLINK("http://hiltonsedonaresort.com","hiltonsedonaresort.com")</f>
        <v>hiltonsedonaresort.com</v>
      </c>
      <c r="C17603" t="s">
        <v>433</v>
      </c>
      <c r="F17603">
        <v>5.5097987532968497E-8</v>
      </c>
      <c r="G17603">
        <v>815903</v>
      </c>
      <c r="H17603">
        <v>14405214</v>
      </c>
      <c r="I17603">
        <v>1149558</v>
      </c>
      <c r="J17603">
        <v>4</v>
      </c>
    </row>
    <row r="17604" spans="1:10" x14ac:dyDescent="0.25">
      <c r="A17604" t="s">
        <v>185</v>
      </c>
      <c r="B17604" s="1" t="str">
        <f>HYPERLINK("http://hiltonseychelleslabriz.com","hiltonseychelleslabriz.com")</f>
        <v>hiltonseychelleslabriz.com</v>
      </c>
      <c r="C17604" t="s">
        <v>433</v>
      </c>
      <c r="F17604">
        <v>1.20636699013397E-8</v>
      </c>
      <c r="G17604">
        <v>5135399</v>
      </c>
      <c r="H17604">
        <v>13940060</v>
      </c>
      <c r="I17604">
        <v>4378244</v>
      </c>
      <c r="J17604">
        <v>4</v>
      </c>
    </row>
    <row r="17605" spans="1:10" x14ac:dyDescent="0.25">
      <c r="A17605" t="s">
        <v>185</v>
      </c>
      <c r="B17605" s="1" t="str">
        <f>HYPERLINK("http://hiltonsingaporeorchard.com","hiltonsingaporeorchard.com")</f>
        <v>hiltonsingaporeorchard.com</v>
      </c>
      <c r="C17605" t="s">
        <v>433</v>
      </c>
      <c r="F17605">
        <v>3.0799871928125102E-8</v>
      </c>
      <c r="G17605">
        <v>1672498</v>
      </c>
      <c r="H17605">
        <v>13641462</v>
      </c>
      <c r="I17605">
        <v>9610723</v>
      </c>
      <c r="J17605">
        <v>3</v>
      </c>
    </row>
    <row r="17606" spans="1:10" x14ac:dyDescent="0.25">
      <c r="A17606" t="s">
        <v>185</v>
      </c>
      <c r="B17606" s="1" t="str">
        <f>HYPERLINK("http://hiltonsingaporerestaurants.com","hiltonsingaporerestaurants.com")</f>
        <v>hiltonsingaporerestaurants.com</v>
      </c>
      <c r="C17606" t="s">
        <v>433</v>
      </c>
      <c r="F17606">
        <v>3.0845299761760402E-8</v>
      </c>
      <c r="G17606">
        <v>1670075</v>
      </c>
      <c r="H17606">
        <v>13241048</v>
      </c>
      <c r="I17606">
        <v>11214433</v>
      </c>
      <c r="J17606">
        <v>3</v>
      </c>
    </row>
    <row r="17607" spans="1:10" x14ac:dyDescent="0.25">
      <c r="A17607" t="s">
        <v>185</v>
      </c>
      <c r="B17607" s="1" t="str">
        <f>HYPERLINK("http://hiltonstrasbourg.com","hiltonstrasbourg.com")</f>
        <v>hiltonstrasbourg.com</v>
      </c>
      <c r="C17607" t="s">
        <v>433</v>
      </c>
      <c r="F17607">
        <v>4.5400179340879199E-9</v>
      </c>
      <c r="G17607">
        <v>53339649</v>
      </c>
      <c r="H17607">
        <v>10553963</v>
      </c>
      <c r="I17607">
        <v>46563591</v>
      </c>
      <c r="J17607">
        <v>3</v>
      </c>
    </row>
    <row r="17608" spans="1:10" x14ac:dyDescent="0.25">
      <c r="A17608" t="s">
        <v>185</v>
      </c>
      <c r="B17608" s="1" t="str">
        <f>HYPERLINK("http://hiltonuniversal.com","hiltonuniversal.com")</f>
        <v>hiltonuniversal.com</v>
      </c>
      <c r="C17608" t="s">
        <v>433</v>
      </c>
      <c r="F17608">
        <v>7.2205791195955899E-9</v>
      </c>
      <c r="G17608">
        <v>11681740</v>
      </c>
      <c r="H17608">
        <v>13933435</v>
      </c>
      <c r="I17608">
        <v>4744208</v>
      </c>
      <c r="J17608">
        <v>5</v>
      </c>
    </row>
    <row r="17609" spans="1:10" x14ac:dyDescent="0.25">
      <c r="A17609" t="s">
        <v>185</v>
      </c>
      <c r="B17609" s="1" t="str">
        <f>HYPERLINK("http://hiltonvarna.com","hiltonvarna.com")</f>
        <v>hiltonvarna.com</v>
      </c>
      <c r="C17609" t="s">
        <v>433</v>
      </c>
      <c r="J17609">
        <v>3</v>
      </c>
    </row>
    <row r="17610" spans="1:10" x14ac:dyDescent="0.25">
      <c r="A17610" t="s">
        <v>185</v>
      </c>
      <c r="B17610" s="1" t="str">
        <f>HYPERLINK("http://hiltonwhistler.com","hiltonwhistler.com")</f>
        <v>hiltonwhistler.com</v>
      </c>
      <c r="C17610" t="s">
        <v>433</v>
      </c>
      <c r="F17610">
        <v>1.37503809059812E-8</v>
      </c>
      <c r="G17610">
        <v>4301056</v>
      </c>
      <c r="H17610">
        <v>14040012</v>
      </c>
      <c r="I17610">
        <v>3908841</v>
      </c>
      <c r="J17610">
        <v>4</v>
      </c>
    </row>
    <row r="17611" spans="1:10" x14ac:dyDescent="0.25">
      <c r="A17611" t="s">
        <v>185</v>
      </c>
      <c r="B17611" s="1" t="str">
        <f>HYPERLINK("http://hiltonzurich.com","hiltonzurich.com")</f>
        <v>hiltonzurich.com</v>
      </c>
      <c r="C17611" t="s">
        <v>433</v>
      </c>
      <c r="F17611">
        <v>5.1232708054656497E-9</v>
      </c>
      <c r="G17611">
        <v>26584718</v>
      </c>
      <c r="H17611">
        <v>9719260</v>
      </c>
      <c r="I17611">
        <v>63187640</v>
      </c>
      <c r="J17611">
        <v>3</v>
      </c>
    </row>
    <row r="17612" spans="1:10" x14ac:dyDescent="0.25">
      <c r="A17612" t="s">
        <v>185</v>
      </c>
      <c r="B17612" s="1" t="str">
        <f>HYPERLINK("http://historicplazahotelsantafe.com","historicplazahotelsantafe.com")</f>
        <v>historicplazahotelsantafe.com</v>
      </c>
      <c r="C17612" t="s">
        <v>433</v>
      </c>
      <c r="F17612">
        <v>6.4291586605660397E-9</v>
      </c>
      <c r="G17612">
        <v>14384885</v>
      </c>
      <c r="H17612">
        <v>13774767</v>
      </c>
      <c r="I17612">
        <v>6596976</v>
      </c>
      <c r="J17612">
        <v>4</v>
      </c>
    </row>
    <row r="17613" spans="1:10" x14ac:dyDescent="0.25">
      <c r="A17613" t="s">
        <v>185</v>
      </c>
      <c r="B17613" s="1" t="str">
        <f>HYPERLINK("http://home2suites.com","home2suites.com")</f>
        <v>home2suites.com</v>
      </c>
      <c r="C17613" t="s">
        <v>433</v>
      </c>
      <c r="F17613">
        <v>6.4031529972495903E-8</v>
      </c>
      <c r="G17613">
        <v>676858</v>
      </c>
      <c r="H17613">
        <v>13570971</v>
      </c>
      <c r="I17613">
        <v>9721583</v>
      </c>
      <c r="J17613">
        <v>4</v>
      </c>
    </row>
    <row r="17614" spans="1:10" x14ac:dyDescent="0.25">
      <c r="A17614" t="s">
        <v>185</v>
      </c>
      <c r="B17614" s="1" t="str">
        <f>HYPERLINK("http://home2suitesbyhilton.com","home2suitesbyhilton.com")</f>
        <v>home2suitesbyhilton.com</v>
      </c>
      <c r="C17614" t="s">
        <v>433</v>
      </c>
      <c r="F17614">
        <v>5.9122415365275601E-8</v>
      </c>
      <c r="G17614">
        <v>749746</v>
      </c>
      <c r="H17614">
        <v>14022496</v>
      </c>
      <c r="I17614">
        <v>3979738</v>
      </c>
      <c r="J17614">
        <v>5</v>
      </c>
    </row>
    <row r="17615" spans="1:10" x14ac:dyDescent="0.25">
      <c r="A17615" t="s">
        <v>185</v>
      </c>
      <c r="B17615" s="1" t="str">
        <f>HYPERLINK("http://homewoodsuites.com","homewoodsuites.com")</f>
        <v>homewoodsuites.com</v>
      </c>
      <c r="C17615" t="s">
        <v>433</v>
      </c>
      <c r="E17615">
        <v>457130</v>
      </c>
      <c r="F17615">
        <v>1.62987370675933E-7</v>
      </c>
      <c r="G17615">
        <v>238139</v>
      </c>
      <c r="H17615">
        <v>13921026</v>
      </c>
      <c r="I17615">
        <v>5934470</v>
      </c>
      <c r="J17615">
        <v>4</v>
      </c>
    </row>
    <row r="17616" spans="1:10" x14ac:dyDescent="0.25">
      <c r="A17616" t="s">
        <v>185</v>
      </c>
      <c r="B17616" s="1" t="str">
        <f>HYPERLINK("http://homewoodsuitesschaumburg.com","homewoodsuitesschaumburg.com")</f>
        <v>homewoodsuitesschaumburg.com</v>
      </c>
      <c r="C17616" t="s">
        <v>433</v>
      </c>
      <c r="F17616">
        <v>4.7592021004219404E-9</v>
      </c>
      <c r="G17616">
        <v>37862452</v>
      </c>
      <c r="H17616">
        <v>9458355</v>
      </c>
      <c r="I17616">
        <v>66380950</v>
      </c>
      <c r="J17616">
        <v>4</v>
      </c>
    </row>
    <row r="17617" spans="1:10" x14ac:dyDescent="0.25">
      <c r="A17617" t="s">
        <v>185</v>
      </c>
      <c r="B17617" s="1" t="str">
        <f>HYPERLINK("http://hotel-alexandra.com","hotel-alexandra.com")</f>
        <v>hotel-alexandra.com</v>
      </c>
      <c r="C17617" t="s">
        <v>433</v>
      </c>
      <c r="F17617">
        <v>1.17405183785841E-8</v>
      </c>
      <c r="G17617">
        <v>5340448</v>
      </c>
      <c r="H17617">
        <v>13146650</v>
      </c>
      <c r="I17617">
        <v>11841898</v>
      </c>
      <c r="J17617">
        <v>3</v>
      </c>
    </row>
    <row r="17618" spans="1:10" x14ac:dyDescent="0.25">
      <c r="A17618" t="s">
        <v>185</v>
      </c>
      <c r="B17618" s="1" t="str">
        <f>HYPERLINK("http://hotelcamilleparis.com","hotelcamilleparis.com")</f>
        <v>hotelcamilleparis.com</v>
      </c>
      <c r="C17618" t="s">
        <v>433</v>
      </c>
      <c r="J17618">
        <v>3</v>
      </c>
    </row>
    <row r="17619" spans="1:10" x14ac:dyDescent="0.25">
      <c r="A17619" t="s">
        <v>185</v>
      </c>
      <c r="B17619" s="1" t="str">
        <f>HYPERLINK("http://hotelcosmopolita.com","hotelcosmopolita.com")</f>
        <v>hotelcosmopolita.com</v>
      </c>
      <c r="C17619" t="s">
        <v>433</v>
      </c>
      <c r="F17619">
        <v>4.4907147446256797E-9</v>
      </c>
      <c r="G17619">
        <v>60409069</v>
      </c>
      <c r="H17619">
        <v>11111841</v>
      </c>
      <c r="I17619">
        <v>32141169</v>
      </c>
      <c r="J17619">
        <v>3</v>
      </c>
    </row>
    <row r="17620" spans="1:10" x14ac:dyDescent="0.25">
      <c r="A17620" t="s">
        <v>185</v>
      </c>
      <c r="B17620" s="1" t="str">
        <f>HYPERLINK("http://hoteldbtolbia.com","hoteldbtolbia.com")</f>
        <v>hoteldbtolbia.com</v>
      </c>
      <c r="C17620" t="s">
        <v>433</v>
      </c>
      <c r="F17620">
        <v>4.5033020993933898E-9</v>
      </c>
      <c r="G17620">
        <v>58457435</v>
      </c>
      <c r="H17620">
        <v>10398070</v>
      </c>
      <c r="I17620">
        <v>54271267</v>
      </c>
      <c r="J17620">
        <v>4</v>
      </c>
    </row>
    <row r="17621" spans="1:10" x14ac:dyDescent="0.25">
      <c r="A17621" t="s">
        <v>185</v>
      </c>
      <c r="B17621" s="1" t="str">
        <f>HYPERLINK("http://hotelresonance.com","hotelresonance.com")</f>
        <v>hotelresonance.com</v>
      </c>
      <c r="C17621" t="s">
        <v>433</v>
      </c>
      <c r="F17621">
        <v>1.2681683164418501E-8</v>
      </c>
      <c r="G17621">
        <v>4788798</v>
      </c>
      <c r="H17621">
        <v>12377443</v>
      </c>
      <c r="I17621">
        <v>19269302</v>
      </c>
      <c r="J17621">
        <v>4</v>
      </c>
    </row>
    <row r="17622" spans="1:10" x14ac:dyDescent="0.25">
      <c r="A17622" t="s">
        <v>185</v>
      </c>
      <c r="B17622" s="1" t="str">
        <f>HYPERLINK("http://hudsonyards-frankfurt.com","hudsonyards-frankfurt.com")</f>
        <v>hudsonyards-frankfurt.com</v>
      </c>
      <c r="C17622" t="s">
        <v>433</v>
      </c>
      <c r="F17622">
        <v>1.9392321173350599E-8</v>
      </c>
      <c r="G17622">
        <v>2764186</v>
      </c>
      <c r="H17622">
        <v>12618492</v>
      </c>
      <c r="I17622">
        <v>16103030</v>
      </c>
      <c r="J17622">
        <v>3</v>
      </c>
    </row>
    <row r="17623" spans="1:10" x14ac:dyDescent="0.25">
      <c r="A17623" t="s">
        <v>185</v>
      </c>
      <c r="B17623" s="1" t="str">
        <f>HYPERLINK("http://huntingtonhotelgroup.com","huntingtonhotelgroup.com")</f>
        <v>huntingtonhotelgroup.com</v>
      </c>
      <c r="C17623" t="s">
        <v>433</v>
      </c>
      <c r="F17623">
        <v>9.3178735041845103E-9</v>
      </c>
      <c r="G17623">
        <v>7549546</v>
      </c>
      <c r="H17623">
        <v>12394763</v>
      </c>
      <c r="I17623">
        <v>18941518</v>
      </c>
      <c r="J17623">
        <v>4</v>
      </c>
    </row>
    <row r="17624" spans="1:10" x14ac:dyDescent="0.25">
      <c r="A17624" t="s">
        <v>185</v>
      </c>
      <c r="B17624" s="1" t="str">
        <f>HYPERLINK("http://invernesshotel.com","invernesshotel.com")</f>
        <v>invernesshotel.com</v>
      </c>
      <c r="C17624" t="s">
        <v>433</v>
      </c>
      <c r="F17624">
        <v>2.26766014705253E-8</v>
      </c>
      <c r="G17624">
        <v>2309325</v>
      </c>
      <c r="H17624">
        <v>14145388</v>
      </c>
      <c r="I17624">
        <v>1900580</v>
      </c>
      <c r="J17624">
        <v>5</v>
      </c>
    </row>
    <row r="17625" spans="1:10" x14ac:dyDescent="0.25">
      <c r="A17625" t="s">
        <v>185</v>
      </c>
      <c r="B17625" s="1" t="str">
        <f>HYPERLINK("http://izmirairportdoubletreebyhilton.com","izmirairportdoubletreebyhilton.com")</f>
        <v>izmirairportdoubletreebyhilton.com</v>
      </c>
      <c r="C17625" t="s">
        <v>433</v>
      </c>
      <c r="J17625">
        <v>3</v>
      </c>
    </row>
    <row r="17626" spans="1:10" x14ac:dyDescent="0.25">
      <c r="A17626" t="s">
        <v>185</v>
      </c>
      <c r="B17626" s="1" t="str">
        <f>HYPERLINK("http://jamesstbarandkitchen.com","jamesstbarandkitchen.com")</f>
        <v>jamesstbarandkitchen.com</v>
      </c>
      <c r="C17626" t="s">
        <v>433</v>
      </c>
      <c r="F17626">
        <v>6.0216329351070901E-9</v>
      </c>
      <c r="G17626">
        <v>16549139</v>
      </c>
      <c r="H17626">
        <v>12324554</v>
      </c>
      <c r="I17626">
        <v>20331730</v>
      </c>
      <c r="J17626">
        <v>3</v>
      </c>
    </row>
    <row r="17627" spans="1:10" x14ac:dyDescent="0.25">
      <c r="A17627" t="s">
        <v>185</v>
      </c>
      <c r="B17627" s="1" t="str">
        <f>HYPERLINK("http://juniperhotel.com","juniperhotel.com")</f>
        <v>juniperhotel.com</v>
      </c>
      <c r="C17627" t="s">
        <v>433</v>
      </c>
      <c r="F17627">
        <v>4.5751434190369603E-9</v>
      </c>
      <c r="G17627">
        <v>49717678</v>
      </c>
      <c r="H17627">
        <v>9748895</v>
      </c>
      <c r="I17627">
        <v>62995719</v>
      </c>
      <c r="J17627">
        <v>4</v>
      </c>
    </row>
    <row r="17628" spans="1:10" x14ac:dyDescent="0.25">
      <c r="A17628" t="s">
        <v>185</v>
      </c>
      <c r="B17628" s="1" t="str">
        <f>HYPERLINK("http://maisonastorparis.com","maisonastorparis.com")</f>
        <v>maisonastorparis.com</v>
      </c>
      <c r="C17628" t="s">
        <v>433</v>
      </c>
      <c r="F17628">
        <v>8.3830635941692801E-9</v>
      </c>
      <c r="G17628">
        <v>9078023</v>
      </c>
      <c r="H17628">
        <v>12349563</v>
      </c>
      <c r="I17628">
        <v>19772684</v>
      </c>
      <c r="J17628">
        <v>5</v>
      </c>
    </row>
    <row r="17629" spans="1:10" x14ac:dyDescent="0.25">
      <c r="A17629" t="s">
        <v>185</v>
      </c>
      <c r="B17629" s="1" t="str">
        <f>HYPERLINK("http://marquettehotel.com","marquettehotel.com")</f>
        <v>marquettehotel.com</v>
      </c>
      <c r="C17629" t="s">
        <v>433</v>
      </c>
      <c r="F17629">
        <v>3.4214295088931097E-8</v>
      </c>
      <c r="G17629">
        <v>1514725</v>
      </c>
      <c r="H17629">
        <v>13305498</v>
      </c>
      <c r="I17629">
        <v>10800548</v>
      </c>
      <c r="J17629">
        <v>4</v>
      </c>
    </row>
    <row r="17630" spans="1:10" x14ac:dyDescent="0.25">
      <c r="A17630" t="s">
        <v>185</v>
      </c>
      <c r="B17630" s="1" t="str">
        <f>HYPERLINK("http://mill-abudhabi.com","mill-abudhabi.com")</f>
        <v>mill-abudhabi.com</v>
      </c>
      <c r="C17630" t="s">
        <v>433</v>
      </c>
      <c r="F17630">
        <v>4.44380395335525E-9</v>
      </c>
      <c r="G17630">
        <v>82642884</v>
      </c>
      <c r="H17630">
        <v>0</v>
      </c>
      <c r="I17630">
        <v>83295502</v>
      </c>
      <c r="J17630">
        <v>7</v>
      </c>
    </row>
    <row r="17631" spans="1:10" x14ac:dyDescent="0.25">
      <c r="A17631" t="s">
        <v>185</v>
      </c>
      <c r="B17631" s="1" t="str">
        <f>HYPERLINK("http://milleniumhotels.com","milleniumhotels.com")</f>
        <v>milleniumhotels.com</v>
      </c>
      <c r="C17631" t="s">
        <v>433</v>
      </c>
      <c r="F17631">
        <v>1.7899498479908301E-8</v>
      </c>
      <c r="G17631">
        <v>3053591</v>
      </c>
      <c r="H17631">
        <v>12585430</v>
      </c>
      <c r="I17631">
        <v>16453256</v>
      </c>
      <c r="J17631">
        <v>5</v>
      </c>
    </row>
    <row r="17632" spans="1:10" x14ac:dyDescent="0.25">
      <c r="A17632" t="s">
        <v>185</v>
      </c>
      <c r="B17632" s="1" t="str">
        <f>HYPERLINK("http://millenniumhotels.com","millenniumhotels.com")</f>
        <v>millenniumhotels.com</v>
      </c>
      <c r="C17632" t="s">
        <v>433</v>
      </c>
      <c r="E17632">
        <v>25008</v>
      </c>
      <c r="F17632">
        <v>1.12025315685717E-6</v>
      </c>
      <c r="G17632">
        <v>34408</v>
      </c>
      <c r="H17632">
        <v>17437640</v>
      </c>
      <c r="I17632">
        <v>16824</v>
      </c>
      <c r="J17632">
        <v>5</v>
      </c>
    </row>
    <row r="17633" spans="1:10" x14ac:dyDescent="0.25">
      <c r="A17633" t="s">
        <v>185</v>
      </c>
      <c r="B17633" s="1" t="str">
        <f>HYPERLINK("http://millshouse.com","millshouse.com")</f>
        <v>millshouse.com</v>
      </c>
      <c r="C17633" t="s">
        <v>433</v>
      </c>
      <c r="F17633">
        <v>5.9358013845149902E-8</v>
      </c>
      <c r="G17633">
        <v>746080</v>
      </c>
      <c r="H17633">
        <v>14172477</v>
      </c>
      <c r="I17633">
        <v>1798756</v>
      </c>
      <c r="J17633">
        <v>3</v>
      </c>
    </row>
    <row r="17634" spans="1:10" x14ac:dyDescent="0.25">
      <c r="A17634" t="s">
        <v>185</v>
      </c>
      <c r="B17634" s="1" t="str">
        <f>HYPERLINK("http://msocialhotelnewyork.com","msocialhotelnewyork.com")</f>
        <v>msocialhotelnewyork.com</v>
      </c>
      <c r="C17634" t="s">
        <v>433</v>
      </c>
      <c r="F17634">
        <v>4.8207018740852097E-9</v>
      </c>
      <c r="G17634">
        <v>35245604</v>
      </c>
      <c r="H17634">
        <v>12555285</v>
      </c>
      <c r="I17634">
        <v>16770123</v>
      </c>
      <c r="J17634">
        <v>7</v>
      </c>
    </row>
    <row r="17635" spans="1:10" x14ac:dyDescent="0.25">
      <c r="A17635" t="s">
        <v>185</v>
      </c>
      <c r="B17635" s="1" t="str">
        <f>HYPERLINK("http://mulberrytaverndoha.com","mulberrytaverndoha.com")</f>
        <v>mulberrytaverndoha.com</v>
      </c>
      <c r="C17635" t="s">
        <v>433</v>
      </c>
      <c r="F17635">
        <v>2.0047264178524001E-8</v>
      </c>
      <c r="G17635">
        <v>2652040</v>
      </c>
      <c r="H17635">
        <v>13018661</v>
      </c>
      <c r="I17635">
        <v>12718568</v>
      </c>
      <c r="J17635">
        <v>3</v>
      </c>
    </row>
    <row r="17636" spans="1:10" x14ac:dyDescent="0.25">
      <c r="A17636" t="s">
        <v>185</v>
      </c>
      <c r="B17636" s="1" t="str">
        <f>HYPERLINK("http://naoshotel.com","naoshotel.com")</f>
        <v>naoshotel.com</v>
      </c>
      <c r="C17636" t="s">
        <v>433</v>
      </c>
      <c r="F17636">
        <v>1.21704297241849E-8</v>
      </c>
      <c r="G17636">
        <v>5067728</v>
      </c>
      <c r="H17636">
        <v>12857648</v>
      </c>
      <c r="I17636">
        <v>14213398</v>
      </c>
      <c r="J17636">
        <v>4</v>
      </c>
    </row>
    <row r="17637" spans="1:10" x14ac:dyDescent="0.25">
      <c r="A17637" t="s">
        <v>185</v>
      </c>
      <c r="B17637" s="1" t="str">
        <f>HYPERLINK("http://niagarafallshilton.com","niagarafallshilton.com")</f>
        <v>niagarafallshilton.com</v>
      </c>
      <c r="C17637" t="s">
        <v>433</v>
      </c>
      <c r="F17637">
        <v>3.3536242022931598E-8</v>
      </c>
      <c r="G17637">
        <v>1541652</v>
      </c>
      <c r="H17637">
        <v>13973628</v>
      </c>
      <c r="I17637">
        <v>4066668</v>
      </c>
      <c r="J17637">
        <v>4</v>
      </c>
    </row>
    <row r="17638" spans="1:10" x14ac:dyDescent="0.25">
      <c r="A17638" t="s">
        <v>185</v>
      </c>
      <c r="B17638" s="1" t="str">
        <f>HYPERLINK("http://npankara.com","npankara.com")</f>
        <v>npankara.com</v>
      </c>
      <c r="C17638" t="s">
        <v>433</v>
      </c>
      <c r="F17638">
        <v>5.0325618914670997E-9</v>
      </c>
      <c r="G17638">
        <v>28610559</v>
      </c>
      <c r="H17638">
        <v>10769645</v>
      </c>
      <c r="I17638">
        <v>39256035</v>
      </c>
      <c r="J17638">
        <v>4</v>
      </c>
    </row>
    <row r="17639" spans="1:10" x14ac:dyDescent="0.25">
      <c r="A17639" t="s">
        <v>185</v>
      </c>
      <c r="B17639" s="1" t="str">
        <f>HYPERLINK("http://parkregiskuta.com","parkregiskuta.com")</f>
        <v>parkregiskuta.com</v>
      </c>
      <c r="C17639" t="s">
        <v>433</v>
      </c>
      <c r="F17639">
        <v>6.2698537614489198E-9</v>
      </c>
      <c r="G17639">
        <v>15176095</v>
      </c>
      <c r="H17639">
        <v>12151614</v>
      </c>
      <c r="I17639">
        <v>24582366</v>
      </c>
      <c r="J17639">
        <v>6</v>
      </c>
    </row>
    <row r="17640" spans="1:10" x14ac:dyDescent="0.25">
      <c r="A17640" t="s">
        <v>185</v>
      </c>
      <c r="B17640" s="1" t="str">
        <f>HYPERLINK("http://parkregissingapore.com","parkregissingapore.com")</f>
        <v>parkregissingapore.com</v>
      </c>
      <c r="C17640" t="s">
        <v>433</v>
      </c>
      <c r="F17640">
        <v>9.2119361006202096E-9</v>
      </c>
      <c r="G17640">
        <v>7693976</v>
      </c>
      <c r="H17640">
        <v>13765958</v>
      </c>
      <c r="I17640">
        <v>7049444</v>
      </c>
      <c r="J17640">
        <v>8</v>
      </c>
    </row>
    <row r="17641" spans="1:10" x14ac:dyDescent="0.25">
      <c r="A17641" t="s">
        <v>185</v>
      </c>
      <c r="B17641" s="1" t="str">
        <f>HYPERLINK("http://pittsburghhamptoninn.com","pittsburghhamptoninn.com")</f>
        <v>pittsburghhamptoninn.com</v>
      </c>
      <c r="C17641" t="s">
        <v>433</v>
      </c>
      <c r="F17641">
        <v>6.5820682921160201E-9</v>
      </c>
      <c r="G17641">
        <v>13745831</v>
      </c>
      <c r="H17641">
        <v>13296341</v>
      </c>
      <c r="I17641">
        <v>10846811</v>
      </c>
      <c r="J17641">
        <v>4</v>
      </c>
    </row>
    <row r="17642" spans="1:10" x14ac:dyDescent="0.25">
      <c r="A17642" t="s">
        <v>185</v>
      </c>
      <c r="B17642" s="1" t="str">
        <f>HYPERLINK("http://placeshilton.com","placeshilton.com")</f>
        <v>placeshilton.com</v>
      </c>
      <c r="C17642" t="s">
        <v>433</v>
      </c>
      <c r="F17642">
        <v>1.95471569235674E-8</v>
      </c>
      <c r="G17642">
        <v>2737040</v>
      </c>
      <c r="H17642">
        <v>13306578</v>
      </c>
      <c r="I17642">
        <v>10795993</v>
      </c>
      <c r="J17642">
        <v>3</v>
      </c>
    </row>
    <row r="17643" spans="1:10" x14ac:dyDescent="0.25">
      <c r="A17643" t="s">
        <v>185</v>
      </c>
      <c r="B17643" s="1" t="str">
        <f>HYPERLINK("http://portlandembassysuites.com","portlandembassysuites.com")</f>
        <v>portlandembassysuites.com</v>
      </c>
      <c r="C17643" t="s">
        <v>433</v>
      </c>
      <c r="F17643">
        <v>5.1550912294164697E-9</v>
      </c>
      <c r="G17643">
        <v>25986117</v>
      </c>
      <c r="H17643">
        <v>10947487</v>
      </c>
      <c r="I17643">
        <v>34643908</v>
      </c>
      <c r="J17643">
        <v>4</v>
      </c>
    </row>
    <row r="17644" spans="1:10" x14ac:dyDescent="0.25">
      <c r="A17644" t="s">
        <v>185</v>
      </c>
      <c r="B17644" s="1" t="str">
        <f>HYPERLINK("http://pullmanplaza.com","pullmanplaza.com")</f>
        <v>pullmanplaza.com</v>
      </c>
      <c r="C17644" t="s">
        <v>433</v>
      </c>
      <c r="F17644">
        <v>5.66694027362791E-9</v>
      </c>
      <c r="G17644">
        <v>19243065</v>
      </c>
      <c r="H17644">
        <v>12357868</v>
      </c>
      <c r="I17644">
        <v>19626689</v>
      </c>
      <c r="J17644">
        <v>4</v>
      </c>
    </row>
    <row r="17645" spans="1:10" x14ac:dyDescent="0.25">
      <c r="A17645" t="s">
        <v>185</v>
      </c>
      <c r="B17645" s="1" t="str">
        <f>HYPERLINK("http://queenofshebaeilat.com","queenofshebaeilat.com")</f>
        <v>queenofshebaeilat.com</v>
      </c>
      <c r="C17645" t="s">
        <v>433</v>
      </c>
      <c r="F17645">
        <v>5.1975496957075704E-9</v>
      </c>
      <c r="G17645">
        <v>25205767</v>
      </c>
      <c r="H17645">
        <v>14071792</v>
      </c>
      <c r="I17645">
        <v>3388709</v>
      </c>
      <c r="J17645">
        <v>4</v>
      </c>
    </row>
    <row r="17646" spans="1:10" x14ac:dyDescent="0.25">
      <c r="A17646" t="s">
        <v>185</v>
      </c>
      <c r="B17646" s="1" t="str">
        <f>HYPERLINK("http://reservadelhigueronresort.com","reservadelhigueronresort.com")</f>
        <v>reservadelhigueronresort.com</v>
      </c>
      <c r="C17646" t="s">
        <v>433</v>
      </c>
      <c r="F17646">
        <v>1.3662204684875801E-8</v>
      </c>
      <c r="G17646">
        <v>4336385</v>
      </c>
      <c r="H17646">
        <v>13366665</v>
      </c>
      <c r="I17646">
        <v>10480774</v>
      </c>
      <c r="J17646">
        <v>3</v>
      </c>
    </row>
    <row r="17647" spans="1:10" x14ac:dyDescent="0.25">
      <c r="A17647" t="s">
        <v>185</v>
      </c>
      <c r="B17647" s="1" t="str">
        <f>HYPERLINK("http://ricoharena.com","ricoharena.com")</f>
        <v>ricoharena.com</v>
      </c>
      <c r="C17647" t="s">
        <v>433</v>
      </c>
      <c r="F17647">
        <v>2.856288698639E-8</v>
      </c>
      <c r="G17647">
        <v>1801565</v>
      </c>
      <c r="H17647">
        <v>14828317</v>
      </c>
      <c r="I17647">
        <v>507985</v>
      </c>
      <c r="J17647">
        <v>3</v>
      </c>
    </row>
    <row r="17648" spans="1:10" x14ac:dyDescent="0.25">
      <c r="A17648" t="s">
        <v>185</v>
      </c>
      <c r="B17648" s="1" t="str">
        <f>HYPERLINK("http://roccofortehotels.com","roccofortehotels.com")</f>
        <v>roccofortehotels.com</v>
      </c>
      <c r="C17648" t="s">
        <v>433</v>
      </c>
      <c r="E17648">
        <v>50861</v>
      </c>
      <c r="F17648">
        <v>5.6387681338314802E-7</v>
      </c>
      <c r="G17648">
        <v>67967</v>
      </c>
      <c r="H17648">
        <v>15236366</v>
      </c>
      <c r="I17648">
        <v>391637</v>
      </c>
      <c r="J17648">
        <v>15</v>
      </c>
    </row>
    <row r="17649" spans="1:10" x14ac:dyDescent="0.25">
      <c r="A17649" t="s">
        <v>185</v>
      </c>
      <c r="B17649" s="1" t="str">
        <f>HYPERLINK("http://rokukyoto.com","rokukyoto.com")</f>
        <v>rokukyoto.com</v>
      </c>
      <c r="C17649" t="s">
        <v>433</v>
      </c>
      <c r="F17649">
        <v>1.99472889579076E-8</v>
      </c>
      <c r="G17649">
        <v>2667317</v>
      </c>
      <c r="H17649">
        <v>13370600</v>
      </c>
      <c r="I17649">
        <v>10466682</v>
      </c>
      <c r="J17649">
        <v>3</v>
      </c>
    </row>
    <row r="17650" spans="1:10" x14ac:dyDescent="0.25">
      <c r="A17650" t="s">
        <v>185</v>
      </c>
      <c r="B17650" s="1" t="str">
        <f>HYPERLINK("http://saiiresorts.com","saiiresorts.com")</f>
        <v>saiiresorts.com</v>
      </c>
      <c r="C17650" t="s">
        <v>433</v>
      </c>
      <c r="E17650">
        <v>511445</v>
      </c>
      <c r="F17650">
        <v>6.9379933993723594E-8</v>
      </c>
      <c r="G17650">
        <v>612087</v>
      </c>
      <c r="H17650">
        <v>13588898</v>
      </c>
      <c r="I17650">
        <v>9670575</v>
      </c>
      <c r="J17650">
        <v>3</v>
      </c>
    </row>
    <row r="17651" spans="1:10" x14ac:dyDescent="0.25">
      <c r="A17651" t="s">
        <v>185</v>
      </c>
      <c r="B17651" s="1" t="str">
        <f>HYPERLINK("http://samuelsonmill.com","samuelsonmill.com")</f>
        <v>samuelsonmill.com</v>
      </c>
      <c r="C17651" t="s">
        <v>433</v>
      </c>
      <c r="F17651">
        <v>5.8382748300810597E-9</v>
      </c>
      <c r="G17651">
        <v>17795989</v>
      </c>
      <c r="H17651">
        <v>12216871</v>
      </c>
      <c r="I17651">
        <v>22863247</v>
      </c>
      <c r="J17651">
        <v>3</v>
      </c>
    </row>
    <row r="17652" spans="1:10" x14ac:dyDescent="0.25">
      <c r="A17652" t="s">
        <v>185</v>
      </c>
      <c r="B17652" s="1" t="str">
        <f>HYPERLINK("http://sani-resort.com","sani-resort.com")</f>
        <v>sani-resort.com</v>
      </c>
      <c r="C17652" t="s">
        <v>433</v>
      </c>
      <c r="E17652">
        <v>438891</v>
      </c>
      <c r="F17652">
        <v>1.1877333052641901E-7</v>
      </c>
      <c r="G17652">
        <v>333284</v>
      </c>
      <c r="H17652">
        <v>14272226</v>
      </c>
      <c r="I17652">
        <v>1395543</v>
      </c>
      <c r="J17652">
        <v>7</v>
      </c>
    </row>
    <row r="17653" spans="1:10" x14ac:dyDescent="0.25">
      <c r="A17653" t="s">
        <v>185</v>
      </c>
      <c r="B17653" s="1" t="str">
        <f>HYPERLINK("http://sanjuandoubletree.com","sanjuandoubletree.com")</f>
        <v>sanjuandoubletree.com</v>
      </c>
      <c r="C17653" t="s">
        <v>433</v>
      </c>
      <c r="F17653">
        <v>8.7519558446837693E-9</v>
      </c>
      <c r="G17653">
        <v>8389410</v>
      </c>
      <c r="H17653">
        <v>13769551</v>
      </c>
      <c r="I17653">
        <v>6781647</v>
      </c>
      <c r="J17653">
        <v>4</v>
      </c>
    </row>
    <row r="17654" spans="1:10" x14ac:dyDescent="0.25">
      <c r="A17654" t="s">
        <v>185</v>
      </c>
      <c r="B17654" s="1" t="str">
        <f>HYPERLINK("http://seelbachhilton.com","seelbachhilton.com")</f>
        <v>seelbachhilton.com</v>
      </c>
      <c r="C17654" t="s">
        <v>433</v>
      </c>
      <c r="F17654">
        <v>5.3413361741736703E-8</v>
      </c>
      <c r="G17654">
        <v>851989</v>
      </c>
      <c r="H17654">
        <v>14273755</v>
      </c>
      <c r="I17654">
        <v>1393363</v>
      </c>
      <c r="J17654">
        <v>4</v>
      </c>
    </row>
    <row r="17655" spans="1:10" x14ac:dyDescent="0.25">
      <c r="A17655" t="s">
        <v>185</v>
      </c>
      <c r="B17655" s="1" t="str">
        <f>HYPERLINK("http://sintario.com","sintario.com")</f>
        <v>sintario.com</v>
      </c>
      <c r="C17655" t="s">
        <v>433</v>
      </c>
      <c r="J17655">
        <v>11</v>
      </c>
    </row>
    <row r="17656" spans="1:10" x14ac:dyDescent="0.25">
      <c r="A17656" t="s">
        <v>185</v>
      </c>
      <c r="B17656" s="1" t="str">
        <f>HYPERLINK("http://soleilvacances.com","soleilvacances.com")</f>
        <v>soleilvacances.com</v>
      </c>
      <c r="C17656" t="s">
        <v>433</v>
      </c>
      <c r="F17656">
        <v>1.41358945641043E-8</v>
      </c>
      <c r="G17656">
        <v>4152475</v>
      </c>
      <c r="H17656">
        <v>12510481</v>
      </c>
      <c r="I17656">
        <v>17240532</v>
      </c>
      <c r="J17656">
        <v>3</v>
      </c>
    </row>
    <row r="17657" spans="1:10" x14ac:dyDescent="0.25">
      <c r="A17657" t="s">
        <v>185</v>
      </c>
      <c r="B17657" s="1" t="str">
        <f>HYPERLINK("http://spasoul.com","spasoul.com")</f>
        <v>spasoul.com</v>
      </c>
      <c r="C17657" t="s">
        <v>433</v>
      </c>
      <c r="F17657">
        <v>6.7203315185312699E-9</v>
      </c>
      <c r="G17657">
        <v>13232455</v>
      </c>
      <c r="H17657">
        <v>11930883</v>
      </c>
      <c r="I17657">
        <v>29310579</v>
      </c>
      <c r="J17657">
        <v>3</v>
      </c>
    </row>
    <row r="17658" spans="1:10" x14ac:dyDescent="0.25">
      <c r="A17658" t="s">
        <v>185</v>
      </c>
      <c r="B17658" s="1" t="str">
        <f>HYPERLINK("http://stayhgi.com","stayhgi.com")</f>
        <v>stayhgi.com</v>
      </c>
      <c r="C17658" t="s">
        <v>433</v>
      </c>
      <c r="F17658">
        <v>7.2917109989509397E-8</v>
      </c>
      <c r="G17658">
        <v>578392</v>
      </c>
      <c r="H17658">
        <v>14025045</v>
      </c>
      <c r="I17658">
        <v>3975920</v>
      </c>
      <c r="J17658">
        <v>4</v>
      </c>
    </row>
    <row r="17659" spans="1:10" x14ac:dyDescent="0.25">
      <c r="A17659" t="s">
        <v>185</v>
      </c>
      <c r="B17659" s="1" t="str">
        <f>HYPERLINK("http://staywellgroup.com","staywellgroup.com")</f>
        <v>staywellgroup.com</v>
      </c>
      <c r="C17659" t="s">
        <v>433</v>
      </c>
      <c r="F17659">
        <v>3.5725705333476097E-8</v>
      </c>
      <c r="G17659">
        <v>1458332</v>
      </c>
      <c r="H17659">
        <v>13316833</v>
      </c>
      <c r="I17659">
        <v>10756309</v>
      </c>
      <c r="J17659">
        <v>7</v>
      </c>
    </row>
    <row r="17660" spans="1:10" x14ac:dyDescent="0.25">
      <c r="A17660" t="s">
        <v>185</v>
      </c>
      <c r="B17660" s="1" t="str">
        <f>HYPERLINK("http://strathallan.com","strathallan.com")</f>
        <v>strathallan.com</v>
      </c>
      <c r="C17660" t="s">
        <v>433</v>
      </c>
      <c r="F17660">
        <v>1.8285131064151E-8</v>
      </c>
      <c r="G17660">
        <v>2970279</v>
      </c>
      <c r="H17660">
        <v>13374338</v>
      </c>
      <c r="I17660">
        <v>10449623</v>
      </c>
      <c r="J17660">
        <v>4</v>
      </c>
    </row>
    <row r="17661" spans="1:10" x14ac:dyDescent="0.25">
      <c r="A17661" t="s">
        <v>185</v>
      </c>
      <c r="B17661" s="1" t="str">
        <f>HYPERLINK("http://thebiltmoremayfair.com","thebiltmoremayfair.com")</f>
        <v>thebiltmoremayfair.com</v>
      </c>
      <c r="C17661" t="s">
        <v>433</v>
      </c>
      <c r="F17661">
        <v>1.9323544751387401E-8</v>
      </c>
      <c r="G17661">
        <v>2778280</v>
      </c>
      <c r="H17661">
        <v>12606451</v>
      </c>
      <c r="I17661">
        <v>16262278</v>
      </c>
      <c r="J17661">
        <v>4</v>
      </c>
    </row>
    <row r="17662" spans="1:10" x14ac:dyDescent="0.25">
      <c r="A17662" t="s">
        <v>185</v>
      </c>
      <c r="B17662" s="1" t="str">
        <f>HYPERLINK("http://thecampbellhouse.com","thecampbellhouse.com")</f>
        <v>thecampbellhouse.com</v>
      </c>
      <c r="C17662" t="s">
        <v>433</v>
      </c>
      <c r="F17662">
        <v>1.11679757087163E-8</v>
      </c>
      <c r="G17662">
        <v>5736076</v>
      </c>
      <c r="H17662">
        <v>13360427</v>
      </c>
      <c r="I17662">
        <v>10586662</v>
      </c>
      <c r="J17662">
        <v>3</v>
      </c>
    </row>
    <row r="17663" spans="1:10" x14ac:dyDescent="0.25">
      <c r="A17663" t="s">
        <v>185</v>
      </c>
      <c r="B17663" s="1" t="str">
        <f>HYPERLINK("http://thecurtis.com","thecurtis.com")</f>
        <v>thecurtis.com</v>
      </c>
      <c r="C17663" t="s">
        <v>433</v>
      </c>
      <c r="F17663">
        <v>7.9166432613879202E-8</v>
      </c>
      <c r="G17663">
        <v>527888</v>
      </c>
      <c r="H17663">
        <v>14290781</v>
      </c>
      <c r="I17663">
        <v>1365849</v>
      </c>
      <c r="J17663">
        <v>3</v>
      </c>
    </row>
    <row r="17664" spans="1:10" x14ac:dyDescent="0.25">
      <c r="A17664" t="s">
        <v>185</v>
      </c>
      <c r="B17664" s="1" t="str">
        <f>HYPERLINK("http://thefellowshouse.com","thefellowshouse.com")</f>
        <v>thefellowshouse.com</v>
      </c>
      <c r="C17664" t="s">
        <v>433</v>
      </c>
      <c r="F17664">
        <v>4.1376797968617399E-8</v>
      </c>
      <c r="G17664">
        <v>1210385</v>
      </c>
      <c r="H17664">
        <v>13160530</v>
      </c>
      <c r="I17664">
        <v>11786270</v>
      </c>
      <c r="J17664">
        <v>3</v>
      </c>
    </row>
    <row r="17665" spans="1:10" x14ac:dyDescent="0.25">
      <c r="A17665" t="s">
        <v>185</v>
      </c>
      <c r="B17665" s="1" t="str">
        <f>HYPERLINK("http://thehiltonorlando.com","thehiltonorlando.com")</f>
        <v>thehiltonorlando.com</v>
      </c>
      <c r="C17665" t="s">
        <v>433</v>
      </c>
      <c r="E17665">
        <v>897404</v>
      </c>
      <c r="F17665">
        <v>5.5414275361377297E-8</v>
      </c>
      <c r="G17665">
        <v>810132</v>
      </c>
      <c r="H17665">
        <v>14021952</v>
      </c>
      <c r="I17665">
        <v>3980779</v>
      </c>
      <c r="J17665">
        <v>4</v>
      </c>
    </row>
    <row r="17666" spans="1:10" x14ac:dyDescent="0.25">
      <c r="A17666" t="s">
        <v>185</v>
      </c>
      <c r="B17666" s="1" t="str">
        <f>HYPERLINK("http://thekitchendoha.com","thekitchendoha.com")</f>
        <v>thekitchendoha.com</v>
      </c>
      <c r="C17666" t="s">
        <v>433</v>
      </c>
      <c r="F17666">
        <v>1.8802339345344498E-8</v>
      </c>
      <c r="G17666">
        <v>2871076</v>
      </c>
      <c r="H17666">
        <v>12605972</v>
      </c>
      <c r="I17666">
        <v>16267401</v>
      </c>
      <c r="J17666">
        <v>3</v>
      </c>
    </row>
    <row r="17667" spans="1:10" x14ac:dyDescent="0.25">
      <c r="A17667" t="s">
        <v>185</v>
      </c>
      <c r="B17667" s="1" t="str">
        <f>HYPERLINK("http://thelowryhotel.com","thelowryhotel.com")</f>
        <v>thelowryhotel.com</v>
      </c>
      <c r="C17667" t="s">
        <v>433</v>
      </c>
      <c r="E17667">
        <v>979404</v>
      </c>
      <c r="F17667">
        <v>3.1759989778579001E-8</v>
      </c>
      <c r="G17667">
        <v>1625808</v>
      </c>
      <c r="H17667">
        <v>14816036</v>
      </c>
      <c r="I17667">
        <v>523631</v>
      </c>
      <c r="J17667">
        <v>12</v>
      </c>
    </row>
    <row r="17668" spans="1:10" x14ac:dyDescent="0.25">
      <c r="A17668" t="s">
        <v>185</v>
      </c>
      <c r="B17668" s="1" t="str">
        <f>HYPERLINK("http://themartinique.com","themartinique.com")</f>
        <v>themartinique.com</v>
      </c>
      <c r="C17668" t="s">
        <v>433</v>
      </c>
      <c r="F17668">
        <v>6.7256360485579603E-9</v>
      </c>
      <c r="G17668">
        <v>13212093</v>
      </c>
      <c r="H17668">
        <v>13935059</v>
      </c>
      <c r="I17668">
        <v>4555160</v>
      </c>
      <c r="J17668">
        <v>4</v>
      </c>
    </row>
    <row r="17669" spans="1:10" x14ac:dyDescent="0.25">
      <c r="A17669" t="s">
        <v>185</v>
      </c>
      <c r="B17669" s="1" t="str">
        <f>HYPERLINK("http://thepennywellhotel.com","thepennywellhotel.com")</f>
        <v>thepennywellhotel.com</v>
      </c>
      <c r="C17669" t="s">
        <v>433</v>
      </c>
      <c r="F17669">
        <v>5.5733538354296602E-9</v>
      </c>
      <c r="G17669">
        <v>20146446</v>
      </c>
      <c r="H17669">
        <v>11317789</v>
      </c>
      <c r="I17669">
        <v>30519697</v>
      </c>
      <c r="J17669">
        <v>4</v>
      </c>
    </row>
    <row r="17670" spans="1:10" x14ac:dyDescent="0.25">
      <c r="A17670" t="s">
        <v>185</v>
      </c>
      <c r="B17670" s="1" t="str">
        <f>HYPERLINK("http://theporterhotel.com","theporterhotel.com")</f>
        <v>theporterhotel.com</v>
      </c>
      <c r="C17670" t="s">
        <v>433</v>
      </c>
      <c r="F17670">
        <v>9.2648238076289204E-9</v>
      </c>
      <c r="G17670">
        <v>7618478</v>
      </c>
      <c r="H17670">
        <v>13203031</v>
      </c>
      <c r="I17670">
        <v>11540332</v>
      </c>
      <c r="J17670">
        <v>4</v>
      </c>
    </row>
    <row r="17671" spans="1:10" x14ac:dyDescent="0.25">
      <c r="A17671" t="s">
        <v>185</v>
      </c>
      <c r="B17671" s="1" t="str">
        <f>HYPERLINK("http://thequinhotel.com","thequinhotel.com")</f>
        <v>thequinhotel.com</v>
      </c>
      <c r="C17671" t="s">
        <v>433</v>
      </c>
      <c r="F17671">
        <v>6.7035278039898104E-8</v>
      </c>
      <c r="G17671">
        <v>638180</v>
      </c>
      <c r="H17671">
        <v>14459257</v>
      </c>
      <c r="I17671">
        <v>1047748</v>
      </c>
      <c r="J17671">
        <v>4</v>
      </c>
    </row>
    <row r="17672" spans="1:10" x14ac:dyDescent="0.25">
      <c r="A17672" t="s">
        <v>185</v>
      </c>
      <c r="B17672" s="1" t="str">
        <f>HYPERLINK("http://therooseveltneworleans.com","therooseveltneworleans.com")</f>
        <v>therooseveltneworleans.com</v>
      </c>
      <c r="C17672" t="s">
        <v>433</v>
      </c>
      <c r="E17672">
        <v>470247</v>
      </c>
      <c r="F17672">
        <v>1.15060606627051E-7</v>
      </c>
      <c r="G17672">
        <v>345938</v>
      </c>
      <c r="H17672">
        <v>14435792</v>
      </c>
      <c r="I17672">
        <v>1068725</v>
      </c>
      <c r="J17672">
        <v>4</v>
      </c>
    </row>
    <row r="17673" spans="1:10" x14ac:dyDescent="0.25">
      <c r="A17673" t="s">
        <v>185</v>
      </c>
      <c r="B17673" s="1" t="str">
        <f>HYPERLINK("http://thestarling.com","thestarling.com")</f>
        <v>thestarling.com</v>
      </c>
      <c r="C17673" t="s">
        <v>433</v>
      </c>
      <c r="F17673">
        <v>2.91031771993452E-8</v>
      </c>
      <c r="G17673">
        <v>1769384</v>
      </c>
      <c r="H17673">
        <v>13582802</v>
      </c>
      <c r="I17673">
        <v>9683053</v>
      </c>
      <c r="J17673">
        <v>3</v>
      </c>
    </row>
    <row r="17674" spans="1:10" x14ac:dyDescent="0.25">
      <c r="A17674" t="s">
        <v>185</v>
      </c>
      <c r="B17674" s="1" t="str">
        <f>HYPERLINK("http://thetrafalgar.com","thetrafalgar.com")</f>
        <v>thetrafalgar.com</v>
      </c>
      <c r="C17674" t="s">
        <v>433</v>
      </c>
      <c r="F17674">
        <v>9.2021420963659003E-9</v>
      </c>
      <c r="G17674">
        <v>7707304</v>
      </c>
      <c r="H17674">
        <v>14140392</v>
      </c>
      <c r="I17674">
        <v>1934031</v>
      </c>
      <c r="J17674">
        <v>3</v>
      </c>
    </row>
    <row r="17675" spans="1:10" x14ac:dyDescent="0.25">
      <c r="A17675" t="s">
        <v>185</v>
      </c>
      <c r="B17675" s="1" t="str">
        <f>HYPERLINK("http://thevirginianhotel.com","thevirginianhotel.com")</f>
        <v>thevirginianhotel.com</v>
      </c>
      <c r="C17675" t="s">
        <v>433</v>
      </c>
      <c r="F17675">
        <v>1.01711846861899E-8</v>
      </c>
      <c r="G17675">
        <v>6575224</v>
      </c>
      <c r="H17675">
        <v>12553248</v>
      </c>
      <c r="I17675">
        <v>16798594</v>
      </c>
      <c r="J17675">
        <v>4</v>
      </c>
    </row>
    <row r="17676" spans="1:10" x14ac:dyDescent="0.25">
      <c r="A17676" t="s">
        <v>185</v>
      </c>
      <c r="B17676" s="1" t="str">
        <f>HYPERLINK("http://towneplacedullesairport.com","towneplacedullesairport.com")</f>
        <v>towneplacedullesairport.com</v>
      </c>
      <c r="C17676" t="s">
        <v>433</v>
      </c>
      <c r="F17676">
        <v>4.8193093872263802E-9</v>
      </c>
      <c r="G17676">
        <v>35296142</v>
      </c>
      <c r="H17676">
        <v>12578587</v>
      </c>
      <c r="I17676">
        <v>16527055</v>
      </c>
      <c r="J17676">
        <v>3</v>
      </c>
    </row>
    <row r="17677" spans="1:10" x14ac:dyDescent="0.25">
      <c r="A17677" t="s">
        <v>185</v>
      </c>
      <c r="B17677" s="1" t="str">
        <f>HYPERLINK("http://troplv.com","troplv.com")</f>
        <v>troplv.com</v>
      </c>
      <c r="C17677" t="s">
        <v>433</v>
      </c>
      <c r="E17677">
        <v>400446</v>
      </c>
      <c r="F17677">
        <v>1.35049570166849E-6</v>
      </c>
      <c r="G17677">
        <v>28800</v>
      </c>
      <c r="H17677">
        <v>14575355</v>
      </c>
      <c r="I17677">
        <v>730720</v>
      </c>
      <c r="J17677">
        <v>5</v>
      </c>
    </row>
    <row r="17678" spans="1:10" x14ac:dyDescent="0.25">
      <c r="A17678" t="s">
        <v>185</v>
      </c>
      <c r="B17678" s="1" t="str">
        <f>HYPERLINK("http://troulisroyalcollection.com","troulisroyalcollection.com")</f>
        <v>troulisroyalcollection.com</v>
      </c>
      <c r="C17678" t="s">
        <v>433</v>
      </c>
      <c r="F17678">
        <v>2.5528791151951301E-8</v>
      </c>
      <c r="G17678">
        <v>2020335</v>
      </c>
      <c r="H17678">
        <v>13679430</v>
      </c>
      <c r="I17678">
        <v>9536327</v>
      </c>
      <c r="J17678">
        <v>3</v>
      </c>
    </row>
    <row r="17679" spans="1:10" x14ac:dyDescent="0.25">
      <c r="A17679" t="s">
        <v>185</v>
      </c>
      <c r="B17679" s="1" t="str">
        <f>HYPERLINK("http://trubyhilton.com","trubyhilton.com")</f>
        <v>trubyhilton.com</v>
      </c>
      <c r="C17679" t="s">
        <v>433</v>
      </c>
      <c r="F17679">
        <v>8.9150408984999499E-8</v>
      </c>
      <c r="G17679">
        <v>458448</v>
      </c>
      <c r="H17679">
        <v>14076911</v>
      </c>
      <c r="I17679">
        <v>2877440</v>
      </c>
      <c r="J17679">
        <v>4</v>
      </c>
    </row>
    <row r="17680" spans="1:10" x14ac:dyDescent="0.25">
      <c r="A17680" t="s">
        <v>185</v>
      </c>
      <c r="B17680" s="1" t="str">
        <f>HYPERLINK("http://viasantshotel.com","viasantshotel.com")</f>
        <v>viasantshotel.com</v>
      </c>
      <c r="C17680" t="s">
        <v>433</v>
      </c>
      <c r="J17680">
        <v>3</v>
      </c>
    </row>
    <row r="17681" spans="1:10" x14ac:dyDescent="0.25">
      <c r="A17681" t="s">
        <v>185</v>
      </c>
      <c r="B17681" s="1" t="str">
        <f>HYPERLINK("http://virginhotelslv.com","virginhotelslv.com")</f>
        <v>virginhotelslv.com</v>
      </c>
      <c r="C17681" t="s">
        <v>433</v>
      </c>
      <c r="E17681">
        <v>512977</v>
      </c>
      <c r="F17681">
        <v>2.1021236551459301E-7</v>
      </c>
      <c r="G17681">
        <v>179858</v>
      </c>
      <c r="H17681">
        <v>13758832</v>
      </c>
      <c r="I17681">
        <v>9415206</v>
      </c>
      <c r="J17681">
        <v>4</v>
      </c>
    </row>
    <row r="17682" spans="1:10" x14ac:dyDescent="0.25">
      <c r="A17682" t="s">
        <v>185</v>
      </c>
      <c r="B17682" s="1" t="str">
        <f>HYPERLINK("http://waldorfastoria.com","waldorfastoria.com")</f>
        <v>waldorfastoria.com</v>
      </c>
      <c r="C17682" t="s">
        <v>433</v>
      </c>
      <c r="E17682">
        <v>582079</v>
      </c>
      <c r="F17682">
        <v>9.1381188151723198E-8</v>
      </c>
      <c r="G17682">
        <v>446061</v>
      </c>
      <c r="H17682">
        <v>14891495</v>
      </c>
      <c r="I17682">
        <v>466696</v>
      </c>
      <c r="J17682">
        <v>3</v>
      </c>
    </row>
    <row r="17683" spans="1:10" x14ac:dyDescent="0.25">
      <c r="A17683" t="s">
        <v>185</v>
      </c>
      <c r="B17683" s="1" t="str">
        <f>HYPERLINK("http://waldorfastorialasvegas.com","waldorfastorialasvegas.com")</f>
        <v>waldorfastorialasvegas.com</v>
      </c>
      <c r="C17683" t="s">
        <v>433</v>
      </c>
      <c r="F17683">
        <v>5.8795555334820199E-8</v>
      </c>
      <c r="G17683">
        <v>754709</v>
      </c>
      <c r="H17683">
        <v>13947390</v>
      </c>
      <c r="I17683">
        <v>4207857</v>
      </c>
      <c r="J17683">
        <v>4</v>
      </c>
    </row>
    <row r="17684" spans="1:10" x14ac:dyDescent="0.25">
      <c r="A17684" t="s">
        <v>185</v>
      </c>
      <c r="B17684" s="1" t="str">
        <f>HYPERLINK("http://waldorfastoriamaldives.com","waldorfastoriamaldives.com")</f>
        <v>waldorfastoriamaldives.com</v>
      </c>
      <c r="C17684" t="s">
        <v>433</v>
      </c>
      <c r="F17684">
        <v>4.4785314022494099E-8</v>
      </c>
      <c r="G17684">
        <v>1056005</v>
      </c>
      <c r="H17684">
        <v>14306545</v>
      </c>
      <c r="I17684">
        <v>1349882</v>
      </c>
      <c r="J17684">
        <v>4</v>
      </c>
    </row>
    <row r="17685" spans="1:10" x14ac:dyDescent="0.25">
      <c r="A17685" t="s">
        <v>185</v>
      </c>
      <c r="B17685" s="1" t="str">
        <f>HYPERLINK("http://waldorfastoriamonarchbeach.com","waldorfastoriamonarchbeach.com")</f>
        <v>waldorfastoriamonarchbeach.com</v>
      </c>
      <c r="C17685" t="s">
        <v>433</v>
      </c>
      <c r="E17685">
        <v>493176</v>
      </c>
      <c r="F17685">
        <v>9.9296013830930598E-8</v>
      </c>
      <c r="G17685">
        <v>405611</v>
      </c>
      <c r="H17685">
        <v>13649430</v>
      </c>
      <c r="I17685">
        <v>9606437</v>
      </c>
      <c r="J17685">
        <v>4</v>
      </c>
    </row>
    <row r="17686" spans="1:10" x14ac:dyDescent="0.25">
      <c r="A17686" t="s">
        <v>185</v>
      </c>
      <c r="B17686" s="1" t="str">
        <f>HYPERLINK("http://waldorfastoriaorlando.com","waldorfastoriaorlando.com")</f>
        <v>waldorfastoriaorlando.com</v>
      </c>
      <c r="C17686" t="s">
        <v>433</v>
      </c>
      <c r="E17686">
        <v>560051</v>
      </c>
      <c r="F17686">
        <v>1.13410120002156E-7</v>
      </c>
      <c r="G17686">
        <v>351673</v>
      </c>
      <c r="H17686">
        <v>14802390</v>
      </c>
      <c r="I17686">
        <v>547730</v>
      </c>
      <c r="J17686">
        <v>4</v>
      </c>
    </row>
    <row r="17687" spans="1:10" x14ac:dyDescent="0.25">
      <c r="A17687" t="s">
        <v>185</v>
      </c>
      <c r="B17687" s="1" t="str">
        <f>HYPERLINK("http://waldorfnewyork.com","waldorfnewyork.com")</f>
        <v>waldorfnewyork.com</v>
      </c>
      <c r="C17687" t="s">
        <v>433</v>
      </c>
      <c r="E17687">
        <v>785310</v>
      </c>
      <c r="F17687">
        <v>6.9489187817055602E-8</v>
      </c>
      <c r="G17687">
        <v>610946</v>
      </c>
      <c r="H17687">
        <v>14873602</v>
      </c>
      <c r="I17687">
        <v>476595</v>
      </c>
      <c r="J17687">
        <v>4</v>
      </c>
    </row>
    <row r="17688" spans="1:10" x14ac:dyDescent="0.25">
      <c r="A17688" t="s">
        <v>185</v>
      </c>
      <c r="B17688" s="1" t="str">
        <f>HYPERLINK("http://wanderlustgreece.com","wanderlustgreece.com")</f>
        <v>wanderlustgreece.com</v>
      </c>
      <c r="C17688" t="s">
        <v>433</v>
      </c>
      <c r="F17688">
        <v>9.09486129524908E-9</v>
      </c>
      <c r="G17688">
        <v>7853923</v>
      </c>
      <c r="H17688">
        <v>14474076</v>
      </c>
      <c r="I17688">
        <v>1037472</v>
      </c>
      <c r="J17688">
        <v>6</v>
      </c>
    </row>
    <row r="17689" spans="1:10" x14ac:dyDescent="0.25">
      <c r="A17689" t="s">
        <v>185</v>
      </c>
      <c r="B17689" s="1" t="str">
        <f>HYPERLINK("http://wilmingtonhilton.com","wilmingtonhilton.com")</f>
        <v>wilmingtonhilton.com</v>
      </c>
      <c r="C17689" t="s">
        <v>433</v>
      </c>
      <c r="F17689">
        <v>1.0748760105016599E-8</v>
      </c>
      <c r="G17689">
        <v>6060984</v>
      </c>
      <c r="H17689">
        <v>12522021</v>
      </c>
      <c r="I17689">
        <v>17128720</v>
      </c>
      <c r="J17689">
        <v>4</v>
      </c>
    </row>
    <row r="17690" spans="1:10" x14ac:dyDescent="0.25">
      <c r="A17690" t="s">
        <v>185</v>
      </c>
      <c r="B17690" s="1" t="str">
        <f>HYPERLINK("http://dt-hannover.de","dt-hannover.de")</f>
        <v>dt-hannover.de</v>
      </c>
      <c r="C17690" t="s">
        <v>436</v>
      </c>
      <c r="D17690" t="s">
        <v>815</v>
      </c>
      <c r="F17690">
        <v>4.44380395335525E-9</v>
      </c>
      <c r="G17690">
        <v>87623912</v>
      </c>
      <c r="H17690">
        <v>0</v>
      </c>
      <c r="I17690">
        <v>85341760</v>
      </c>
      <c r="J17690">
        <v>3</v>
      </c>
    </row>
    <row r="17691" spans="1:10" x14ac:dyDescent="0.25">
      <c r="A17691" t="s">
        <v>185</v>
      </c>
      <c r="B17691" s="1" t="str">
        <f>HYPERLINK("http://hamptonaachen.de","hamptonaachen.de")</f>
        <v>hamptonaachen.de</v>
      </c>
      <c r="C17691" t="s">
        <v>436</v>
      </c>
      <c r="D17691" t="s">
        <v>815</v>
      </c>
      <c r="J17691">
        <v>3</v>
      </c>
    </row>
    <row r="17692" spans="1:10" x14ac:dyDescent="0.25">
      <c r="A17692" t="s">
        <v>185</v>
      </c>
      <c r="B17692" s="1" t="str">
        <f>HYPERLINK("http://hamptonberlin-alex.de","hamptonberlin-alex.de")</f>
        <v>hamptonberlin-alex.de</v>
      </c>
      <c r="C17692" t="s">
        <v>436</v>
      </c>
      <c r="D17692" t="s">
        <v>815</v>
      </c>
      <c r="F17692">
        <v>4.4486296554285101E-9</v>
      </c>
      <c r="G17692">
        <v>72750892</v>
      </c>
      <c r="H17692">
        <v>10508616</v>
      </c>
      <c r="I17692">
        <v>50267414</v>
      </c>
      <c r="J17692">
        <v>3</v>
      </c>
    </row>
    <row r="17693" spans="1:10" x14ac:dyDescent="0.25">
      <c r="A17693" t="s">
        <v>185</v>
      </c>
      <c r="B17693" s="1" t="str">
        <f>HYPERLINK("http://hamptonberlin-eastsidegallery.de","hamptonberlin-eastsidegallery.de")</f>
        <v>hamptonberlin-eastsidegallery.de</v>
      </c>
      <c r="C17693" t="s">
        <v>436</v>
      </c>
      <c r="D17693" t="s">
        <v>815</v>
      </c>
      <c r="J17693">
        <v>3</v>
      </c>
    </row>
    <row r="17694" spans="1:10" x14ac:dyDescent="0.25">
      <c r="A17694" t="s">
        <v>185</v>
      </c>
      <c r="B17694" s="1" t="str">
        <f>HYPERLINK("http://hamptondortmund.de","hamptondortmund.de")</f>
        <v>hamptondortmund.de</v>
      </c>
      <c r="C17694" t="s">
        <v>436</v>
      </c>
      <c r="D17694" t="s">
        <v>815</v>
      </c>
      <c r="J17694">
        <v>3</v>
      </c>
    </row>
    <row r="17695" spans="1:10" x14ac:dyDescent="0.25">
      <c r="A17695" t="s">
        <v>185</v>
      </c>
      <c r="B17695" s="1" t="str">
        <f>HYPERLINK("http://hamptonfrankfurt-airport.de","hamptonfrankfurt-airport.de")</f>
        <v>hamptonfrankfurt-airport.de</v>
      </c>
      <c r="C17695" t="s">
        <v>436</v>
      </c>
      <c r="D17695" t="s">
        <v>815</v>
      </c>
      <c r="J17695">
        <v>3</v>
      </c>
    </row>
    <row r="17696" spans="1:10" x14ac:dyDescent="0.25">
      <c r="A17696" t="s">
        <v>185</v>
      </c>
      <c r="B17696" s="1" t="str">
        <f>HYPERLINK("http://hamptonfrankfurt-east.de","hamptonfrankfurt-east.de")</f>
        <v>hamptonfrankfurt-east.de</v>
      </c>
      <c r="C17696" t="s">
        <v>436</v>
      </c>
      <c r="D17696" t="s">
        <v>815</v>
      </c>
      <c r="J17696">
        <v>3</v>
      </c>
    </row>
    <row r="17697" spans="1:10" x14ac:dyDescent="0.25">
      <c r="A17697" t="s">
        <v>185</v>
      </c>
      <c r="B17697" s="1" t="str">
        <f>HYPERLINK("http://hamptonfreiburg.de","hamptonfreiburg.de")</f>
        <v>hamptonfreiburg.de</v>
      </c>
      <c r="C17697" t="s">
        <v>436</v>
      </c>
      <c r="D17697" t="s">
        <v>815</v>
      </c>
      <c r="J17697">
        <v>3</v>
      </c>
    </row>
    <row r="17698" spans="1:10" x14ac:dyDescent="0.25">
      <c r="A17698" t="s">
        <v>185</v>
      </c>
      <c r="B17698" s="1" t="str">
        <f>HYPERLINK("http://hilton.de","hilton.de")</f>
        <v>hilton.de</v>
      </c>
      <c r="C17698" t="s">
        <v>436</v>
      </c>
      <c r="D17698" t="s">
        <v>815</v>
      </c>
      <c r="E17698">
        <v>775940</v>
      </c>
      <c r="F17698">
        <v>1.06430253458752E-7</v>
      </c>
      <c r="G17698">
        <v>376207</v>
      </c>
      <c r="H17698">
        <v>14875892</v>
      </c>
      <c r="I17698">
        <v>475245</v>
      </c>
      <c r="J17698">
        <v>2</v>
      </c>
    </row>
    <row r="17699" spans="1:10" x14ac:dyDescent="0.25">
      <c r="A17699" t="s">
        <v>185</v>
      </c>
      <c r="B17699" s="1" t="str">
        <f>HYPERLINK("http://hilton-jobs.de","hilton-jobs.de")</f>
        <v>hilton-jobs.de</v>
      </c>
      <c r="C17699" t="s">
        <v>436</v>
      </c>
      <c r="D17699" t="s">
        <v>815</v>
      </c>
      <c r="F17699">
        <v>8.76427744972326E-9</v>
      </c>
      <c r="G17699">
        <v>8368697</v>
      </c>
      <c r="H17699">
        <v>10217273</v>
      </c>
      <c r="I17699">
        <v>58946230</v>
      </c>
      <c r="J17699">
        <v>4</v>
      </c>
    </row>
    <row r="17700" spans="1:10" x14ac:dyDescent="0.25">
      <c r="A17700" t="s">
        <v>185</v>
      </c>
      <c r="B17700" s="1" t="str">
        <f>HYPERLINK("http://hiltonhotels.de","hiltonhotels.de")</f>
        <v>hiltonhotels.de</v>
      </c>
      <c r="C17700" t="s">
        <v>436</v>
      </c>
      <c r="D17700" t="s">
        <v>815</v>
      </c>
      <c r="E17700">
        <v>322379</v>
      </c>
      <c r="F17700">
        <v>3.7448363345480402E-7</v>
      </c>
      <c r="G17700">
        <v>100017</v>
      </c>
      <c r="H17700">
        <v>14598782</v>
      </c>
      <c r="I17700">
        <v>687389</v>
      </c>
      <c r="J17700">
        <v>3</v>
      </c>
    </row>
    <row r="17701" spans="1:10" x14ac:dyDescent="0.25">
      <c r="A17701" t="s">
        <v>185</v>
      </c>
      <c r="B17701" s="1" t="str">
        <f>HYPERLINK("http://maptonmunich-north.de","maptonmunich-north.de")</f>
        <v>maptonmunich-north.de</v>
      </c>
      <c r="C17701" t="s">
        <v>436</v>
      </c>
      <c r="D17701" t="s">
        <v>815</v>
      </c>
      <c r="J17701">
        <v>4</v>
      </c>
    </row>
    <row r="17702" spans="1:10" x14ac:dyDescent="0.25">
      <c r="A17702" t="s">
        <v>185</v>
      </c>
      <c r="B17702" s="1" t="str">
        <f>HYPERLINK("http://mountainhub.de","mountainhub.de")</f>
        <v>mountainhub.de</v>
      </c>
      <c r="C17702" t="s">
        <v>436</v>
      </c>
      <c r="D17702" t="s">
        <v>815</v>
      </c>
      <c r="F17702">
        <v>3.4366530138844498E-8</v>
      </c>
      <c r="G17702">
        <v>1508862</v>
      </c>
      <c r="H17702">
        <v>13221872</v>
      </c>
      <c r="I17702">
        <v>11325480</v>
      </c>
      <c r="J17702">
        <v>3</v>
      </c>
    </row>
    <row r="17703" spans="1:10" x14ac:dyDescent="0.25">
      <c r="A17703" t="s">
        <v>185</v>
      </c>
      <c r="B17703" s="1" t="str">
        <f>HYPERLINK("http://reichshof-hotel-hamburg.de","reichshof-hotel-hamburg.de")</f>
        <v>reichshof-hotel-hamburg.de</v>
      </c>
      <c r="C17703" t="s">
        <v>436</v>
      </c>
      <c r="D17703" t="s">
        <v>815</v>
      </c>
      <c r="F17703">
        <v>3.1531387803726602E-8</v>
      </c>
      <c r="G17703">
        <v>1636418</v>
      </c>
      <c r="H17703">
        <v>13047063</v>
      </c>
      <c r="I17703">
        <v>12600406</v>
      </c>
      <c r="J17703">
        <v>4</v>
      </c>
    </row>
    <row r="17704" spans="1:10" x14ac:dyDescent="0.25">
      <c r="A17704" t="s">
        <v>185</v>
      </c>
      <c r="B17704" s="1" t="str">
        <f>HYPERLINK("http://schweizerhof-hannover.de","schweizerhof-hannover.de")</f>
        <v>schweizerhof-hannover.de</v>
      </c>
      <c r="C17704" t="s">
        <v>436</v>
      </c>
      <c r="D17704" t="s">
        <v>815</v>
      </c>
      <c r="F17704">
        <v>2.4106206986717899E-8</v>
      </c>
      <c r="G17704">
        <v>2152633</v>
      </c>
      <c r="H17704">
        <v>13182121</v>
      </c>
      <c r="I17704">
        <v>11678386</v>
      </c>
      <c r="J17704">
        <v>4</v>
      </c>
    </row>
    <row r="17705" spans="1:10" x14ac:dyDescent="0.25">
      <c r="A17705" t="s">
        <v>185</v>
      </c>
      <c r="B17705" s="1" t="str">
        <f>HYPERLINK("http://waldorfastoriaberlin.de","waldorfastoriaberlin.de")</f>
        <v>waldorfastoriaberlin.de</v>
      </c>
      <c r="C17705" t="s">
        <v>436</v>
      </c>
      <c r="D17705" t="s">
        <v>815</v>
      </c>
      <c r="F17705">
        <v>4.3723007482545398E-8</v>
      </c>
      <c r="G17705">
        <v>1091201</v>
      </c>
      <c r="H17705">
        <v>13084779</v>
      </c>
      <c r="I17705">
        <v>12164558</v>
      </c>
      <c r="J17705">
        <v>4</v>
      </c>
    </row>
    <row r="17706" spans="1:10" x14ac:dyDescent="0.25">
      <c r="A17706" t="s">
        <v>185</v>
      </c>
      <c r="B17706" s="1" t="str">
        <f>HYPERLINK("http://theablebutcher.ee","theablebutcher.ee")</f>
        <v>theablebutcher.ee</v>
      </c>
      <c r="C17706" t="s">
        <v>441</v>
      </c>
      <c r="D17706" t="s">
        <v>820</v>
      </c>
      <c r="F17706">
        <v>1.9421524964269699E-8</v>
      </c>
      <c r="G17706">
        <v>2759568</v>
      </c>
      <c r="H17706">
        <v>12625172</v>
      </c>
      <c r="I17706">
        <v>16035315</v>
      </c>
      <c r="J17706">
        <v>3</v>
      </c>
    </row>
    <row r="17707" spans="1:10" x14ac:dyDescent="0.25">
      <c r="A17707" t="s">
        <v>185</v>
      </c>
      <c r="B17707" s="1" t="str">
        <f>HYPERLINK("http://hiltonworldwide.fi","hiltonworldwide.fi")</f>
        <v>hiltonworldwide.fi</v>
      </c>
      <c r="C17707" t="s">
        <v>445</v>
      </c>
      <c r="D17707" t="s">
        <v>823</v>
      </c>
      <c r="J17707">
        <v>3</v>
      </c>
    </row>
    <row r="17708" spans="1:10" x14ac:dyDescent="0.25">
      <c r="A17708" t="s">
        <v>185</v>
      </c>
      <c r="B17708" s="1" t="str">
        <f>HYPERLINK("http://waldorfastoriaversailles.fr","waldorfastoriaversailles.fr")</f>
        <v>waldorfastoriaversailles.fr</v>
      </c>
      <c r="C17708" t="s">
        <v>446</v>
      </c>
      <c r="D17708" t="s">
        <v>824</v>
      </c>
      <c r="F17708">
        <v>8.1023168984081804E-8</v>
      </c>
      <c r="G17708">
        <v>515251</v>
      </c>
      <c r="H17708">
        <v>13638563</v>
      </c>
      <c r="I17708">
        <v>9612703</v>
      </c>
      <c r="J17708">
        <v>5</v>
      </c>
    </row>
    <row r="17709" spans="1:10" x14ac:dyDescent="0.25">
      <c r="A17709" t="s">
        <v>185</v>
      </c>
      <c r="B17709" s="1" t="str">
        <f>HYPERLINK("http://apolloblue.gr","apolloblue.gr")</f>
        <v>apolloblue.gr</v>
      </c>
      <c r="C17709" t="s">
        <v>447</v>
      </c>
      <c r="D17709" t="s">
        <v>825</v>
      </c>
      <c r="F17709">
        <v>6.2987482146502503E-9</v>
      </c>
      <c r="G17709">
        <v>15038600</v>
      </c>
      <c r="H17709">
        <v>11508069</v>
      </c>
      <c r="I17709">
        <v>30018594</v>
      </c>
      <c r="J17709">
        <v>6</v>
      </c>
    </row>
    <row r="17710" spans="1:10" x14ac:dyDescent="0.25">
      <c r="A17710" t="s">
        <v>185</v>
      </c>
      <c r="B17710" s="1" t="str">
        <f>HYPERLINK("http://hiltonathens.gr","hiltonathens.gr")</f>
        <v>hiltonathens.gr</v>
      </c>
      <c r="C17710" t="s">
        <v>447</v>
      </c>
      <c r="D17710" t="s">
        <v>825</v>
      </c>
      <c r="F17710">
        <v>2.1226967550617799E-8</v>
      </c>
      <c r="G17710">
        <v>2484290</v>
      </c>
      <c r="H17710">
        <v>14138517</v>
      </c>
      <c r="I17710">
        <v>1946731</v>
      </c>
      <c r="J17710">
        <v>4</v>
      </c>
    </row>
    <row r="17711" spans="1:10" x14ac:dyDescent="0.25">
      <c r="A17711" t="s">
        <v>185</v>
      </c>
      <c r="B17711" s="1" t="str">
        <f>HYPERLINK("http://saniresort.gr","saniresort.gr")</f>
        <v>saniresort.gr</v>
      </c>
      <c r="C17711" t="s">
        <v>447</v>
      </c>
      <c r="D17711" t="s">
        <v>825</v>
      </c>
      <c r="F17711">
        <v>1.4643980009634899E-8</v>
      </c>
      <c r="G17711">
        <v>3960629</v>
      </c>
      <c r="H17711">
        <v>14129706</v>
      </c>
      <c r="I17711">
        <v>2041787</v>
      </c>
      <c r="J17711">
        <v>9</v>
      </c>
    </row>
    <row r="17712" spans="1:10" x14ac:dyDescent="0.25">
      <c r="A17712" t="s">
        <v>185</v>
      </c>
      <c r="B17712" s="1" t="str">
        <f>HYPERLINK("http://morrisonhotel.ie","morrisonhotel.ie")</f>
        <v>morrisonhotel.ie</v>
      </c>
      <c r="C17712" t="s">
        <v>455</v>
      </c>
      <c r="D17712" t="s">
        <v>832</v>
      </c>
      <c r="F17712">
        <v>2.69669444004923E-8</v>
      </c>
      <c r="G17712">
        <v>1907346</v>
      </c>
      <c r="H17712">
        <v>14154001</v>
      </c>
      <c r="I17712">
        <v>1864240</v>
      </c>
      <c r="J17712">
        <v>3</v>
      </c>
    </row>
    <row r="17713" spans="1:10" x14ac:dyDescent="0.25">
      <c r="A17713" t="s">
        <v>185</v>
      </c>
      <c r="B17713" s="1" t="str">
        <f>HYPERLINK("http://hiltonhotels.it","hiltonhotels.it")</f>
        <v>hiltonhotels.it</v>
      </c>
      <c r="C17713" t="s">
        <v>459</v>
      </c>
      <c r="D17713" t="s">
        <v>835</v>
      </c>
      <c r="F17713">
        <v>7.8643481970951905E-8</v>
      </c>
      <c r="G17713">
        <v>531523</v>
      </c>
      <c r="H17713">
        <v>14054459</v>
      </c>
      <c r="I17713">
        <v>3891266</v>
      </c>
      <c r="J17713">
        <v>3</v>
      </c>
    </row>
    <row r="17714" spans="1:10" x14ac:dyDescent="0.25">
      <c r="A17714" t="s">
        <v>185</v>
      </c>
      <c r="B17714" s="1" t="str">
        <f>HYPERLINK("http://molinostuckyhilton.it","molinostuckyhilton.it")</f>
        <v>molinostuckyhilton.it</v>
      </c>
      <c r="C17714" t="s">
        <v>459</v>
      </c>
      <c r="D17714" t="s">
        <v>835</v>
      </c>
      <c r="F17714">
        <v>3.10704879730996E-8</v>
      </c>
      <c r="G17714">
        <v>1658898</v>
      </c>
      <c r="H17714">
        <v>14288449</v>
      </c>
      <c r="I17714">
        <v>1368447</v>
      </c>
      <c r="J17714">
        <v>4</v>
      </c>
    </row>
    <row r="17715" spans="1:10" x14ac:dyDescent="0.25">
      <c r="A17715" t="s">
        <v>185</v>
      </c>
      <c r="B17715" s="1" t="str">
        <f>HYPERLINK("http://villatorretta.it","villatorretta.it")</f>
        <v>villatorretta.it</v>
      </c>
      <c r="C17715" t="s">
        <v>459</v>
      </c>
      <c r="D17715" t="s">
        <v>835</v>
      </c>
      <c r="F17715">
        <v>1.36043593379211E-8</v>
      </c>
      <c r="G17715">
        <v>4360021</v>
      </c>
      <c r="H17715">
        <v>13090523</v>
      </c>
      <c r="I17715">
        <v>12143990</v>
      </c>
      <c r="J17715">
        <v>3</v>
      </c>
    </row>
    <row r="17716" spans="1:10" x14ac:dyDescent="0.25">
      <c r="A17716" t="s">
        <v>185</v>
      </c>
      <c r="B17716" s="1" t="str">
        <f>HYPERLINK("http://hilton.co.jp","hilton.co.jp")</f>
        <v>hilton.co.jp</v>
      </c>
      <c r="C17716" t="s">
        <v>461</v>
      </c>
      <c r="D17716" t="s">
        <v>837</v>
      </c>
      <c r="F17716">
        <v>3.6467482453567601E-8</v>
      </c>
      <c r="G17716">
        <v>1431646</v>
      </c>
      <c r="H17716">
        <v>14291602</v>
      </c>
      <c r="I17716">
        <v>1365001</v>
      </c>
      <c r="J17716">
        <v>2</v>
      </c>
    </row>
    <row r="17717" spans="1:10" x14ac:dyDescent="0.25">
      <c r="A17717" t="s">
        <v>185</v>
      </c>
      <c r="B17717" s="1" t="str">
        <f>HYPERLINK("http://hiltonjapan.co.jp","hiltonjapan.co.jp")</f>
        <v>hiltonjapan.co.jp</v>
      </c>
      <c r="C17717" t="s">
        <v>461</v>
      </c>
      <c r="D17717" t="s">
        <v>837</v>
      </c>
      <c r="E17717">
        <v>92237</v>
      </c>
      <c r="F17717">
        <v>4.7701874587536595E-7</v>
      </c>
      <c r="G17717">
        <v>79648</v>
      </c>
      <c r="H17717">
        <v>14182900</v>
      </c>
      <c r="I17717">
        <v>1776151</v>
      </c>
      <c r="J17717">
        <v>3</v>
      </c>
    </row>
    <row r="17718" spans="1:10" x14ac:dyDescent="0.25">
      <c r="A17718" t="s">
        <v>185</v>
      </c>
      <c r="B17718" s="1" t="str">
        <f>HYPERLINK("http://hiltonfukuokaseahawk.jp","hiltonfukuokaseahawk.jp")</f>
        <v>hiltonfukuokaseahawk.jp</v>
      </c>
      <c r="C17718" t="s">
        <v>461</v>
      </c>
      <c r="D17718" t="s">
        <v>837</v>
      </c>
      <c r="F17718">
        <v>4.9084356458832598E-8</v>
      </c>
      <c r="G17718">
        <v>943509</v>
      </c>
      <c r="H17718">
        <v>13443863</v>
      </c>
      <c r="I17718">
        <v>10225311</v>
      </c>
      <c r="J17718">
        <v>3</v>
      </c>
    </row>
    <row r="17719" spans="1:10" x14ac:dyDescent="0.25">
      <c r="A17719" t="s">
        <v>185</v>
      </c>
      <c r="B17719" s="1" t="str">
        <f>HYPERLINK("http://hiltonhawaiianvillage.jp","hiltonhawaiianvillage.jp")</f>
        <v>hiltonhawaiianvillage.jp</v>
      </c>
      <c r="C17719" t="s">
        <v>461</v>
      </c>
      <c r="D17719" t="s">
        <v>837</v>
      </c>
      <c r="E17719">
        <v>851240</v>
      </c>
      <c r="F17719">
        <v>1.5884985258096701E-8</v>
      </c>
      <c r="G17719">
        <v>3576583</v>
      </c>
      <c r="H17719">
        <v>12821890</v>
      </c>
      <c r="I17719">
        <v>14492692</v>
      </c>
      <c r="J17719">
        <v>5</v>
      </c>
    </row>
    <row r="17720" spans="1:10" x14ac:dyDescent="0.25">
      <c r="A17720" t="s">
        <v>185</v>
      </c>
      <c r="B17720" s="1" t="str">
        <f>HYPERLINK("http://hiltonhotels.jp","hiltonhotels.jp")</f>
        <v>hiltonhotels.jp</v>
      </c>
      <c r="C17720" t="s">
        <v>461</v>
      </c>
      <c r="D17720" t="s">
        <v>837</v>
      </c>
      <c r="E17720">
        <v>203546</v>
      </c>
      <c r="F17720">
        <v>1.8165674785582399E-7</v>
      </c>
      <c r="G17720">
        <v>212458</v>
      </c>
      <c r="H17720">
        <v>14309556</v>
      </c>
      <c r="I17720">
        <v>1343854</v>
      </c>
      <c r="J17720">
        <v>3</v>
      </c>
    </row>
    <row r="17721" spans="1:10" x14ac:dyDescent="0.25">
      <c r="A17721" t="s">
        <v>185</v>
      </c>
      <c r="B17721" s="1" t="str">
        <f>HYPERLINK("http://hiltonnarita.jp","hiltonnarita.jp")</f>
        <v>hiltonnarita.jp</v>
      </c>
      <c r="C17721" t="s">
        <v>461</v>
      </c>
      <c r="D17721" t="s">
        <v>837</v>
      </c>
      <c r="F17721">
        <v>2.3386007177055E-8</v>
      </c>
      <c r="G17721">
        <v>2227406</v>
      </c>
      <c r="H17721">
        <v>12967531</v>
      </c>
      <c r="I17721">
        <v>13067234</v>
      </c>
      <c r="J17721">
        <v>3</v>
      </c>
    </row>
    <row r="17722" spans="1:10" x14ac:dyDescent="0.25">
      <c r="A17722" t="s">
        <v>185</v>
      </c>
      <c r="B17722" s="1" t="str">
        <f>HYPERLINK("http://hiltonnisekovillage.jp","hiltonnisekovillage.jp")</f>
        <v>hiltonnisekovillage.jp</v>
      </c>
      <c r="C17722" t="s">
        <v>461</v>
      </c>
      <c r="D17722" t="s">
        <v>837</v>
      </c>
      <c r="F17722">
        <v>5.31191555578119E-8</v>
      </c>
      <c r="G17722">
        <v>857201</v>
      </c>
      <c r="H17722">
        <v>16761186</v>
      </c>
      <c r="I17722">
        <v>228340</v>
      </c>
      <c r="J17722">
        <v>3</v>
      </c>
    </row>
    <row r="17723" spans="1:10" x14ac:dyDescent="0.25">
      <c r="A17723" t="s">
        <v>185</v>
      </c>
      <c r="B17723" s="1" t="str">
        <f>HYPERLINK("http://hiltontokyo.jp","hiltontokyo.jp")</f>
        <v>hiltontokyo.jp</v>
      </c>
      <c r="C17723" t="s">
        <v>461</v>
      </c>
      <c r="D17723" t="s">
        <v>837</v>
      </c>
      <c r="F17723">
        <v>5.0134094561880398E-8</v>
      </c>
      <c r="G17723">
        <v>918174</v>
      </c>
      <c r="H17723">
        <v>13999243</v>
      </c>
      <c r="I17723">
        <v>4014683</v>
      </c>
      <c r="J17723">
        <v>3</v>
      </c>
    </row>
    <row r="17724" spans="1:10" x14ac:dyDescent="0.25">
      <c r="A17724" t="s">
        <v>185</v>
      </c>
      <c r="B17724" s="1" t="str">
        <f>HYPERLINK("http://hiltontokyobay.jp","hiltontokyobay.jp")</f>
        <v>hiltontokyobay.jp</v>
      </c>
      <c r="C17724" t="s">
        <v>461</v>
      </c>
      <c r="D17724" t="s">
        <v>837</v>
      </c>
      <c r="F17724">
        <v>4.3748032362227803E-8</v>
      </c>
      <c r="G17724">
        <v>1090306</v>
      </c>
      <c r="H17724">
        <v>13905633</v>
      </c>
      <c r="I17724">
        <v>5946041</v>
      </c>
      <c r="J17724">
        <v>3</v>
      </c>
    </row>
    <row r="17725" spans="1:10" x14ac:dyDescent="0.25">
      <c r="A17725" t="s">
        <v>185</v>
      </c>
      <c r="B17725" s="1" t="str">
        <f>HYPERLINK("http://tsunohazu-hilton.jp","tsunohazu-hilton.jp")</f>
        <v>tsunohazu-hilton.jp</v>
      </c>
      <c r="C17725" t="s">
        <v>461</v>
      </c>
      <c r="D17725" t="s">
        <v>837</v>
      </c>
      <c r="F17725">
        <v>5.3202392981679E-9</v>
      </c>
      <c r="G17725">
        <v>23204983</v>
      </c>
      <c r="H17725">
        <v>13221005</v>
      </c>
      <c r="I17725">
        <v>11329828</v>
      </c>
      <c r="J17725">
        <v>3</v>
      </c>
    </row>
    <row r="17726" spans="1:10" x14ac:dyDescent="0.25">
      <c r="A17726" t="s">
        <v>185</v>
      </c>
      <c r="B17726" s="1" t="str">
        <f>HYPERLINK("http://doubletreenairobi.co.ke","doubletreenairobi.co.ke")</f>
        <v>doubletreenairobi.co.ke</v>
      </c>
      <c r="C17726" t="s">
        <v>462</v>
      </c>
      <c r="D17726" t="s">
        <v>838</v>
      </c>
      <c r="J17726">
        <v>3</v>
      </c>
    </row>
    <row r="17727" spans="1:10" x14ac:dyDescent="0.25">
      <c r="A17727" t="s">
        <v>185</v>
      </c>
      <c r="B17727" s="1" t="str">
        <f>HYPERLINK("http://hginairobi.co.ke","hginairobi.co.ke")</f>
        <v>hginairobi.co.ke</v>
      </c>
      <c r="C17727" t="s">
        <v>462</v>
      </c>
      <c r="D17727" t="s">
        <v>838</v>
      </c>
      <c r="J17727">
        <v>3</v>
      </c>
    </row>
    <row r="17728" spans="1:10" x14ac:dyDescent="0.25">
      <c r="A17728" t="s">
        <v>185</v>
      </c>
      <c r="B17728" s="1" t="str">
        <f>HYPERLINK("http://hilton.co.kr","hilton.co.kr")</f>
        <v>hilton.co.kr</v>
      </c>
      <c r="C17728" t="s">
        <v>463</v>
      </c>
      <c r="D17728" t="s">
        <v>839</v>
      </c>
      <c r="F17728">
        <v>7.6224783234024698E-8</v>
      </c>
      <c r="G17728">
        <v>550888</v>
      </c>
      <c r="H17728">
        <v>14406872</v>
      </c>
      <c r="I17728">
        <v>1148052</v>
      </c>
      <c r="J17728">
        <v>2</v>
      </c>
    </row>
    <row r="17729" spans="1:10" x14ac:dyDescent="0.25">
      <c r="A17729" t="s">
        <v>185</v>
      </c>
      <c r="B17729" s="1" t="str">
        <f>HYPERLINK("http://hiltongrandvacations.co.kr","hiltongrandvacations.co.kr")</f>
        <v>hiltongrandvacations.co.kr</v>
      </c>
      <c r="C17729" t="s">
        <v>463</v>
      </c>
      <c r="D17729" t="s">
        <v>839</v>
      </c>
      <c r="F17729">
        <v>8.5327458936743706E-9</v>
      </c>
      <c r="G17729">
        <v>8782213</v>
      </c>
      <c r="H17729">
        <v>13763634</v>
      </c>
      <c r="I17729">
        <v>8486504</v>
      </c>
      <c r="J17729">
        <v>11</v>
      </c>
    </row>
    <row r="17730" spans="1:10" x14ac:dyDescent="0.25">
      <c r="A17730" t="s">
        <v>185</v>
      </c>
      <c r="B17730" s="1" t="str">
        <f>HYPERLINK("http://millenniumhotels.com.my","millenniumhotels.com.my")</f>
        <v>millenniumhotels.com.my</v>
      </c>
      <c r="C17730" t="s">
        <v>472</v>
      </c>
      <c r="D17730" t="s">
        <v>848</v>
      </c>
      <c r="F17730">
        <v>4.5351870912546899E-9</v>
      </c>
      <c r="G17730">
        <v>54093777</v>
      </c>
      <c r="H17730">
        <v>13763633</v>
      </c>
      <c r="I17730">
        <v>9204753</v>
      </c>
      <c r="J17730">
        <v>6</v>
      </c>
    </row>
    <row r="17731" spans="1:10" x14ac:dyDescent="0.25">
      <c r="A17731" t="s">
        <v>185</v>
      </c>
      <c r="B17731" s="1" t="str">
        <f>HYPERLINK("http://accommodationportdouglas.net","accommodationportdouglas.net")</f>
        <v>accommodationportdouglas.net</v>
      </c>
      <c r="C17731" t="s">
        <v>474</v>
      </c>
      <c r="F17731">
        <v>4.4438147154613999E-9</v>
      </c>
      <c r="G17731">
        <v>79471701</v>
      </c>
      <c r="H17731">
        <v>10347198</v>
      </c>
      <c r="I17731">
        <v>56728118</v>
      </c>
      <c r="J17731">
        <v>4</v>
      </c>
    </row>
    <row r="17732" spans="1:10" x14ac:dyDescent="0.25">
      <c r="A17732" t="s">
        <v>185</v>
      </c>
      <c r="B17732" s="1" t="str">
        <f>HYPERLINK("http://millenniumhotels.net","millenniumhotels.net")</f>
        <v>millenniumhotels.net</v>
      </c>
      <c r="C17732" t="s">
        <v>474</v>
      </c>
      <c r="F17732">
        <v>4.44380395335525E-9</v>
      </c>
      <c r="G17732">
        <v>85530329</v>
      </c>
      <c r="H17732">
        <v>0</v>
      </c>
      <c r="I17732">
        <v>86809846</v>
      </c>
      <c r="J17732">
        <v>6</v>
      </c>
    </row>
    <row r="17733" spans="1:10" x14ac:dyDescent="0.25">
      <c r="A17733" t="s">
        <v>185</v>
      </c>
      <c r="B17733" s="1" t="str">
        <f>HYPERLINK("http://axiscocktailbar.nl","axiscocktailbar.nl")</f>
        <v>axiscocktailbar.nl</v>
      </c>
      <c r="C17733" t="s">
        <v>477</v>
      </c>
      <c r="D17733" t="s">
        <v>852</v>
      </c>
      <c r="F17733">
        <v>1.8897262871241299E-8</v>
      </c>
      <c r="G17733">
        <v>2853974</v>
      </c>
      <c r="H17733">
        <v>12608869</v>
      </c>
      <c r="I17733">
        <v>16246782</v>
      </c>
      <c r="J17733">
        <v>4</v>
      </c>
    </row>
    <row r="17734" spans="1:10" x14ac:dyDescent="0.25">
      <c r="A17734" t="s">
        <v>185</v>
      </c>
      <c r="B17734" s="1" t="str">
        <f>HYPERLINK("http://hamptonbyhilton-amsterdam.nl","hamptonbyhilton-amsterdam.nl")</f>
        <v>hamptonbyhilton-amsterdam.nl</v>
      </c>
      <c r="C17734" t="s">
        <v>477</v>
      </c>
      <c r="D17734" t="s">
        <v>852</v>
      </c>
      <c r="J17734">
        <v>3</v>
      </c>
    </row>
    <row r="17735" spans="1:10" x14ac:dyDescent="0.25">
      <c r="A17735" t="s">
        <v>185</v>
      </c>
      <c r="B17735" s="1" t="str">
        <f>HYPERLINK("http://doubletreewellington.co.nz","doubletreewellington.co.nz")</f>
        <v>doubletreewellington.co.nz</v>
      </c>
      <c r="C17735" t="s">
        <v>479</v>
      </c>
      <c r="D17735" t="s">
        <v>854</v>
      </c>
      <c r="J17735">
        <v>3</v>
      </c>
    </row>
    <row r="17736" spans="1:10" x14ac:dyDescent="0.25">
      <c r="A17736" t="s">
        <v>185</v>
      </c>
      <c r="B17736" s="1" t="str">
        <f>HYPERLINK("http://millenniumhotels.co.nz","millenniumhotels.co.nz")</f>
        <v>millenniumhotels.co.nz</v>
      </c>
      <c r="C17736" t="s">
        <v>479</v>
      </c>
      <c r="D17736" t="s">
        <v>854</v>
      </c>
      <c r="E17736">
        <v>559220</v>
      </c>
      <c r="F17736">
        <v>1.7151329656626E-8</v>
      </c>
      <c r="G17736">
        <v>3249563</v>
      </c>
      <c r="H17736">
        <v>13787886</v>
      </c>
      <c r="I17736">
        <v>6369356</v>
      </c>
      <c r="J17736">
        <v>7</v>
      </c>
    </row>
    <row r="17737" spans="1:10" x14ac:dyDescent="0.25">
      <c r="A17737" t="s">
        <v>185</v>
      </c>
      <c r="B17737" s="1" t="str">
        <f>HYPERLINK("http://hilton.pf","hilton.pf")</f>
        <v>hilton.pf</v>
      </c>
      <c r="C17737" t="s">
        <v>550</v>
      </c>
      <c r="D17737" t="s">
        <v>906</v>
      </c>
      <c r="J17737">
        <v>3</v>
      </c>
    </row>
    <row r="17738" spans="1:10" x14ac:dyDescent="0.25">
      <c r="A17738" t="s">
        <v>185</v>
      </c>
      <c r="B17738" s="1" t="str">
        <f>HYPERLINK("http://doubletreelodz.pl","doubletreelodz.pl")</f>
        <v>doubletreelodz.pl</v>
      </c>
      <c r="C17738" t="s">
        <v>486</v>
      </c>
      <c r="D17738" t="s">
        <v>860</v>
      </c>
      <c r="F17738">
        <v>2.4884680315610499E-8</v>
      </c>
      <c r="G17738">
        <v>2077805</v>
      </c>
      <c r="H17738">
        <v>13318200</v>
      </c>
      <c r="I17738">
        <v>10752970</v>
      </c>
      <c r="J17738">
        <v>3</v>
      </c>
    </row>
    <row r="17739" spans="1:10" x14ac:dyDescent="0.25">
      <c r="A17739" t="s">
        <v>185</v>
      </c>
      <c r="B17739" s="1" t="str">
        <f>HYPERLINK("http://doubletreewarsaw.pl","doubletreewarsaw.pl")</f>
        <v>doubletreewarsaw.pl</v>
      </c>
      <c r="C17739" t="s">
        <v>486</v>
      </c>
      <c r="D17739" t="s">
        <v>860</v>
      </c>
      <c r="F17739">
        <v>1.695928924628E-8</v>
      </c>
      <c r="G17739">
        <v>3293148</v>
      </c>
      <c r="H17739">
        <v>12469547</v>
      </c>
      <c r="I17739">
        <v>17764510</v>
      </c>
      <c r="J17739">
        <v>3</v>
      </c>
    </row>
    <row r="17740" spans="1:10" x14ac:dyDescent="0.25">
      <c r="A17740" t="s">
        <v>185</v>
      </c>
      <c r="B17740" s="1" t="str">
        <f>HYPERLINK("http://hamptonbialystok.pl","hamptonbialystok.pl")</f>
        <v>hamptonbialystok.pl</v>
      </c>
      <c r="C17740" t="s">
        <v>486</v>
      </c>
      <c r="D17740" t="s">
        <v>860</v>
      </c>
      <c r="J17740">
        <v>5</v>
      </c>
    </row>
    <row r="17741" spans="1:10" x14ac:dyDescent="0.25">
      <c r="A17741" t="s">
        <v>185</v>
      </c>
      <c r="B17741" s="1" t="str">
        <f>HYPERLINK("http://hamptonolsztyn.pl","hamptonolsztyn.pl")</f>
        <v>hamptonolsztyn.pl</v>
      </c>
      <c r="C17741" t="s">
        <v>486</v>
      </c>
      <c r="D17741" t="s">
        <v>860</v>
      </c>
      <c r="J17741">
        <v>3</v>
      </c>
    </row>
    <row r="17742" spans="1:10" x14ac:dyDescent="0.25">
      <c r="A17742" t="s">
        <v>185</v>
      </c>
      <c r="B17742" s="1" t="str">
        <f>HYPERLINK("http://hgi-krakow.pl","hgi-krakow.pl")</f>
        <v>hgi-krakow.pl</v>
      </c>
      <c r="C17742" t="s">
        <v>486</v>
      </c>
      <c r="D17742" t="s">
        <v>860</v>
      </c>
      <c r="F17742">
        <v>4.6549527642227999E-9</v>
      </c>
      <c r="G17742">
        <v>43817844</v>
      </c>
      <c r="H17742">
        <v>10914484</v>
      </c>
      <c r="I17742">
        <v>35525931</v>
      </c>
      <c r="J17742">
        <v>3</v>
      </c>
    </row>
    <row r="17743" spans="1:10" x14ac:dyDescent="0.25">
      <c r="A17743" t="s">
        <v>185</v>
      </c>
      <c r="B17743" s="1" t="str">
        <f>HYPERLINK("http://hiltongdansk.pl","hiltongdansk.pl")</f>
        <v>hiltongdansk.pl</v>
      </c>
      <c r="C17743" t="s">
        <v>486</v>
      </c>
      <c r="D17743" t="s">
        <v>860</v>
      </c>
      <c r="F17743">
        <v>1.22334146467551E-8</v>
      </c>
      <c r="G17743">
        <v>5031563</v>
      </c>
      <c r="H17743">
        <v>13943740</v>
      </c>
      <c r="I17743">
        <v>4309978</v>
      </c>
      <c r="J17743">
        <v>3</v>
      </c>
    </row>
    <row r="17744" spans="1:10" x14ac:dyDescent="0.25">
      <c r="A17744" t="s">
        <v>185</v>
      </c>
      <c r="B17744" s="1" t="str">
        <f>HYPERLINK("http://krkairport.pl","krkairport.pl")</f>
        <v>krkairport.pl</v>
      </c>
      <c r="C17744" t="s">
        <v>486</v>
      </c>
      <c r="D17744" t="s">
        <v>860</v>
      </c>
      <c r="J17744">
        <v>3</v>
      </c>
    </row>
    <row r="17745" spans="1:10" x14ac:dyDescent="0.25">
      <c r="A17745" t="s">
        <v>185</v>
      </c>
      <c r="B17745" s="1" t="str">
        <f>HYPERLINK("http://platanhotel.pl","platanhotel.pl")</f>
        <v>platanhotel.pl</v>
      </c>
      <c r="C17745" t="s">
        <v>486</v>
      </c>
      <c r="D17745" t="s">
        <v>860</v>
      </c>
      <c r="J17745">
        <v>3</v>
      </c>
    </row>
    <row r="17746" spans="1:10" x14ac:dyDescent="0.25">
      <c r="A17746" t="s">
        <v>185</v>
      </c>
      <c r="B17746" s="1" t="str">
        <f>HYPERLINK("http://hgi.rzeszow.pl","hgi.rzeszow.pl")</f>
        <v>hgi.rzeszow.pl</v>
      </c>
      <c r="C17746" t="s">
        <v>486</v>
      </c>
      <c r="D17746" t="s">
        <v>860</v>
      </c>
      <c r="F17746">
        <v>4.7869727864334998E-9</v>
      </c>
      <c r="G17746">
        <v>36672868</v>
      </c>
      <c r="H17746">
        <v>10530562</v>
      </c>
      <c r="I17746">
        <v>48248165</v>
      </c>
      <c r="J17746">
        <v>3</v>
      </c>
    </row>
    <row r="17747" spans="1:10" x14ac:dyDescent="0.25">
      <c r="A17747" t="s">
        <v>185</v>
      </c>
      <c r="B17747" s="1" t="str">
        <f>HYPERLINK("http://boeiragardenhotel.pt","boeiragardenhotel.pt")</f>
        <v>boeiragardenhotel.pt</v>
      </c>
      <c r="C17747" t="s">
        <v>488</v>
      </c>
      <c r="D17747" t="s">
        <v>862</v>
      </c>
      <c r="J17747">
        <v>3</v>
      </c>
    </row>
    <row r="17748" spans="1:10" x14ac:dyDescent="0.25">
      <c r="A17748" t="s">
        <v>185</v>
      </c>
      <c r="B17748" s="1" t="str">
        <f>HYPERLINK("http://emeraldhouse.pt","emeraldhouse.pt")</f>
        <v>emeraldhouse.pt</v>
      </c>
      <c r="C17748" t="s">
        <v>488</v>
      </c>
      <c r="D17748" t="s">
        <v>862</v>
      </c>
      <c r="J17748">
        <v>3</v>
      </c>
    </row>
    <row r="17749" spans="1:10" x14ac:dyDescent="0.25">
      <c r="A17749" t="s">
        <v>185</v>
      </c>
      <c r="B17749" s="1" t="str">
        <f>HYPERLINK("http://angleterrehotel.ru","angleterrehotel.ru")</f>
        <v>angleterrehotel.ru</v>
      </c>
      <c r="C17749" t="s">
        <v>493</v>
      </c>
      <c r="D17749" t="s">
        <v>867</v>
      </c>
      <c r="F17749">
        <v>5.35478647420411E-9</v>
      </c>
      <c r="G17749">
        <v>22737194</v>
      </c>
      <c r="H17749">
        <v>10836121</v>
      </c>
      <c r="I17749">
        <v>37260862</v>
      </c>
      <c r="J17749">
        <v>17</v>
      </c>
    </row>
    <row r="17750" spans="1:10" x14ac:dyDescent="0.25">
      <c r="A17750" t="s">
        <v>185</v>
      </c>
      <c r="B17750" s="1" t="str">
        <f>HYPERLINK("http://dtekb.ru","dtekb.ru")</f>
        <v>dtekb.ru</v>
      </c>
      <c r="C17750" t="s">
        <v>493</v>
      </c>
      <c r="D17750" t="s">
        <v>867</v>
      </c>
      <c r="J17750">
        <v>4</v>
      </c>
    </row>
    <row r="17751" spans="1:10" x14ac:dyDescent="0.25">
      <c r="A17751" t="s">
        <v>185</v>
      </c>
      <c r="B17751" s="1" t="str">
        <f>HYPERLINK("http://dtkazan.ru","dtkazan.ru")</f>
        <v>dtkazan.ru</v>
      </c>
      <c r="C17751" t="s">
        <v>493</v>
      </c>
      <c r="D17751" t="s">
        <v>867</v>
      </c>
      <c r="J17751">
        <v>3</v>
      </c>
    </row>
    <row r="17752" spans="1:10" x14ac:dyDescent="0.25">
      <c r="A17752" t="s">
        <v>185</v>
      </c>
      <c r="B17752" s="1" t="str">
        <f>HYPERLINK("http://dttyumen.ru","dttyumen.ru")</f>
        <v>dttyumen.ru</v>
      </c>
      <c r="C17752" t="s">
        <v>493</v>
      </c>
      <c r="D17752" t="s">
        <v>867</v>
      </c>
      <c r="J17752">
        <v>4</v>
      </c>
    </row>
    <row r="17753" spans="1:10" x14ac:dyDescent="0.25">
      <c r="A17753" t="s">
        <v>185</v>
      </c>
      <c r="B17753" s="1" t="str">
        <f>HYPERLINK("http://gc-osnova.ru","gc-osnova.ru")</f>
        <v>gc-osnova.ru</v>
      </c>
      <c r="C17753" t="s">
        <v>493</v>
      </c>
      <c r="D17753" t="s">
        <v>867</v>
      </c>
      <c r="F17753">
        <v>5.0354647170227402E-9</v>
      </c>
      <c r="G17753">
        <v>28543817</v>
      </c>
      <c r="H17753">
        <v>12831619</v>
      </c>
      <c r="I17753">
        <v>14407137</v>
      </c>
      <c r="J17753">
        <v>4</v>
      </c>
    </row>
    <row r="17754" spans="1:10" x14ac:dyDescent="0.25">
      <c r="A17754" t="s">
        <v>185</v>
      </c>
      <c r="B17754" s="1" t="str">
        <f>HYPERLINK("http://hamptonvlg.ru","hamptonvlg.ru")</f>
        <v>hamptonvlg.ru</v>
      </c>
      <c r="C17754" t="s">
        <v>493</v>
      </c>
      <c r="D17754" t="s">
        <v>867</v>
      </c>
      <c r="J17754">
        <v>3</v>
      </c>
    </row>
    <row r="17755" spans="1:10" x14ac:dyDescent="0.25">
      <c r="A17755" t="s">
        <v>185</v>
      </c>
      <c r="B17755" s="1" t="str">
        <f>HYPERLINK("http://hgikrasnodar.ru","hgikrasnodar.ru")</f>
        <v>hgikrasnodar.ru</v>
      </c>
      <c r="C17755" t="s">
        <v>493</v>
      </c>
      <c r="D17755" t="s">
        <v>867</v>
      </c>
      <c r="F17755">
        <v>4.7261828367819896E-9</v>
      </c>
      <c r="G17755">
        <v>39533538</v>
      </c>
      <c r="H17755">
        <v>10833453</v>
      </c>
      <c r="I17755">
        <v>37317190</v>
      </c>
      <c r="J17755">
        <v>4</v>
      </c>
    </row>
    <row r="17756" spans="1:10" x14ac:dyDescent="0.25">
      <c r="A17756" t="s">
        <v>185</v>
      </c>
      <c r="B17756" s="1" t="str">
        <f>HYPERLINK("http://hginov.ru","hginov.ru")</f>
        <v>hginov.ru</v>
      </c>
      <c r="C17756" t="s">
        <v>493</v>
      </c>
      <c r="D17756" t="s">
        <v>867</v>
      </c>
      <c r="F17756">
        <v>5.7527916623768397E-9</v>
      </c>
      <c r="G17756">
        <v>18474778</v>
      </c>
      <c r="H17756">
        <v>12381492</v>
      </c>
      <c r="I17756">
        <v>19179231</v>
      </c>
      <c r="J17756">
        <v>3</v>
      </c>
    </row>
    <row r="17757" spans="1:10" x14ac:dyDescent="0.25">
      <c r="A17757" t="s">
        <v>185</v>
      </c>
      <c r="B17757" s="1" t="str">
        <f>HYPERLINK("http://hgio.ru","hgio.ru")</f>
        <v>hgio.ru</v>
      </c>
      <c r="C17757" t="s">
        <v>493</v>
      </c>
      <c r="D17757" t="s">
        <v>867</v>
      </c>
      <c r="F17757">
        <v>4.7026605503657902E-9</v>
      </c>
      <c r="G17757">
        <v>41098618</v>
      </c>
      <c r="H17757">
        <v>8474619</v>
      </c>
      <c r="I17757">
        <v>72248776</v>
      </c>
      <c r="J17757">
        <v>4</v>
      </c>
    </row>
    <row r="17758" spans="1:10" x14ac:dyDescent="0.25">
      <c r="A17758" t="s">
        <v>185</v>
      </c>
      <c r="B17758" s="1" t="str">
        <f>HYPERLINK("http://hgiufa.ru","hgiufa.ru")</f>
        <v>hgiufa.ru</v>
      </c>
      <c r="C17758" t="s">
        <v>493</v>
      </c>
      <c r="D17758" t="s">
        <v>867</v>
      </c>
      <c r="F17758">
        <v>4.44380395335525E-9</v>
      </c>
      <c r="G17758">
        <v>86187889</v>
      </c>
      <c r="H17758">
        <v>0</v>
      </c>
      <c r="I17758">
        <v>87601082</v>
      </c>
      <c r="J17758">
        <v>4</v>
      </c>
    </row>
    <row r="17759" spans="1:10" x14ac:dyDescent="0.25">
      <c r="A17759" t="s">
        <v>185</v>
      </c>
      <c r="B17759" s="1" t="str">
        <f>HYPERLINK("http://hgivolgograd.ru","hgivolgograd.ru")</f>
        <v>hgivolgograd.ru</v>
      </c>
      <c r="C17759" t="s">
        <v>493</v>
      </c>
      <c r="D17759" t="s">
        <v>867</v>
      </c>
      <c r="F17759">
        <v>1.1245499205344E-8</v>
      </c>
      <c r="G17759">
        <v>5681332</v>
      </c>
      <c r="H17759">
        <v>12303978</v>
      </c>
      <c r="I17759">
        <v>20753317</v>
      </c>
      <c r="J17759">
        <v>4</v>
      </c>
    </row>
    <row r="17760" spans="1:10" x14ac:dyDescent="0.25">
      <c r="A17760" t="s">
        <v>185</v>
      </c>
      <c r="B17760" s="1" t="str">
        <f>HYPERLINK("http://hilton.ru","hilton.ru")</f>
        <v>hilton.ru</v>
      </c>
      <c r="C17760" t="s">
        <v>493</v>
      </c>
      <c r="D17760" t="s">
        <v>867</v>
      </c>
      <c r="E17760">
        <v>340774</v>
      </c>
      <c r="F17760">
        <v>1.4088520839817001E-7</v>
      </c>
      <c r="G17760">
        <v>276463</v>
      </c>
      <c r="H17760">
        <v>13542046</v>
      </c>
      <c r="I17760">
        <v>9904389</v>
      </c>
      <c r="J17760">
        <v>2</v>
      </c>
    </row>
    <row r="17761" spans="1:10" x14ac:dyDescent="0.25">
      <c r="A17761" t="s">
        <v>185</v>
      </c>
      <c r="B17761" s="1" t="str">
        <f>HYPERLINK("http://hiltonkaluga.ru","hiltonkaluga.ru")</f>
        <v>hiltonkaluga.ru</v>
      </c>
      <c r="C17761" t="s">
        <v>493</v>
      </c>
      <c r="D17761" t="s">
        <v>867</v>
      </c>
      <c r="F17761">
        <v>4.8051719362486303E-9</v>
      </c>
      <c r="G17761">
        <v>35887215</v>
      </c>
      <c r="H17761">
        <v>10773281</v>
      </c>
      <c r="I17761">
        <v>39126354</v>
      </c>
      <c r="J17761">
        <v>4</v>
      </c>
    </row>
    <row r="17762" spans="1:10" x14ac:dyDescent="0.25">
      <c r="A17762" t="s">
        <v>185</v>
      </c>
      <c r="B17762" s="1" t="str">
        <f>HYPERLINK("http://lrp-hotel.ru","lrp-hotel.ru")</f>
        <v>lrp-hotel.ru</v>
      </c>
      <c r="C17762" t="s">
        <v>493</v>
      </c>
      <c r="D17762" t="s">
        <v>867</v>
      </c>
      <c r="J17762">
        <v>4</v>
      </c>
    </row>
    <row r="17763" spans="1:10" x14ac:dyDescent="0.25">
      <c r="A17763" t="s">
        <v>185</v>
      </c>
      <c r="B17763" s="1" t="str">
        <f>HYPERLINK("http://moscow-leningradskaya.ru","moscow-leningradskaya.ru")</f>
        <v>moscow-leningradskaya.ru</v>
      </c>
      <c r="C17763" t="s">
        <v>493</v>
      </c>
      <c r="D17763" t="s">
        <v>867</v>
      </c>
      <c r="J17763">
        <v>3</v>
      </c>
    </row>
    <row r="17764" spans="1:10" x14ac:dyDescent="0.25">
      <c r="A17764" t="s">
        <v>185</v>
      </c>
      <c r="B17764" s="1" t="str">
        <f>HYPERLINK("http://cdl.com.sg","cdl.com.sg")</f>
        <v>cdl.com.sg</v>
      </c>
      <c r="C17764" t="s">
        <v>496</v>
      </c>
      <c r="D17764" t="s">
        <v>870</v>
      </c>
      <c r="E17764">
        <v>648803</v>
      </c>
      <c r="F17764">
        <v>1.21930410675184E-7</v>
      </c>
      <c r="G17764">
        <v>323812</v>
      </c>
      <c r="H17764">
        <v>14665260</v>
      </c>
      <c r="I17764">
        <v>617520</v>
      </c>
      <c r="J17764">
        <v>9</v>
      </c>
    </row>
    <row r="17765" spans="1:10" x14ac:dyDescent="0.25">
      <c r="A17765" t="s">
        <v>185</v>
      </c>
      <c r="B17765" s="1" t="str">
        <f>HYPERLINK("http://thepiccadillygrand.com.sg","thepiccadillygrand.com.sg")</f>
        <v>thepiccadillygrand.com.sg</v>
      </c>
      <c r="C17765" t="s">
        <v>496</v>
      </c>
      <c r="D17765" t="s">
        <v>870</v>
      </c>
      <c r="F17765">
        <v>8.5389804601189293E-9</v>
      </c>
      <c r="G17765">
        <v>8770934</v>
      </c>
      <c r="H17765">
        <v>7791333.5</v>
      </c>
      <c r="I17765">
        <v>75650188</v>
      </c>
      <c r="J17765">
        <v>12</v>
      </c>
    </row>
    <row r="17766" spans="1:10" x14ac:dyDescent="0.25">
      <c r="A17766" t="s">
        <v>185</v>
      </c>
      <c r="B17766" s="1" t="str">
        <f>HYPERLINK("http://doubletree-bratislava.sk","doubletree-bratislava.sk")</f>
        <v>doubletree-bratislava.sk</v>
      </c>
      <c r="C17766" t="s">
        <v>498</v>
      </c>
      <c r="D17766" t="s">
        <v>872</v>
      </c>
      <c r="F17766">
        <v>4.4674791169323996E-9</v>
      </c>
      <c r="G17766">
        <v>65297000</v>
      </c>
      <c r="H17766">
        <v>12055830</v>
      </c>
      <c r="I17766">
        <v>27100923</v>
      </c>
      <c r="J17766">
        <v>3</v>
      </c>
    </row>
    <row r="17767" spans="1:10" x14ac:dyDescent="0.25">
      <c r="A17767" t="s">
        <v>185</v>
      </c>
      <c r="B17767" s="1" t="str">
        <f>HYPERLINK("http://hiltonkosice.sk","hiltonkosice.sk")</f>
        <v>hiltonkosice.sk</v>
      </c>
      <c r="C17767" t="s">
        <v>498</v>
      </c>
      <c r="D17767" t="s">
        <v>872</v>
      </c>
      <c r="F17767">
        <v>4.73047042210153E-9</v>
      </c>
      <c r="G17767">
        <v>39320903</v>
      </c>
      <c r="H17767">
        <v>9367779</v>
      </c>
      <c r="I17767">
        <v>67745305</v>
      </c>
      <c r="J17767">
        <v>3</v>
      </c>
    </row>
    <row r="17768" spans="1:10" x14ac:dyDescent="0.25">
      <c r="A17768" t="s">
        <v>185</v>
      </c>
      <c r="B17768" s="1" t="str">
        <f>HYPERLINK("http://hilton.com.tr","hilton.com.tr")</f>
        <v>hilton.com.tr</v>
      </c>
      <c r="C17768" t="s">
        <v>502</v>
      </c>
      <c r="D17768" t="s">
        <v>876</v>
      </c>
      <c r="E17768">
        <v>136284</v>
      </c>
      <c r="F17768">
        <v>9.7300199087804598E-8</v>
      </c>
      <c r="G17768">
        <v>415171</v>
      </c>
      <c r="H17768">
        <v>14164336</v>
      </c>
      <c r="I17768">
        <v>1827246</v>
      </c>
      <c r="J17768">
        <v>2</v>
      </c>
    </row>
    <row r="17769" spans="1:10" x14ac:dyDescent="0.25">
      <c r="A17769" t="s">
        <v>185</v>
      </c>
      <c r="B17769" s="1" t="str">
        <f>HYPERLINK("http://cadburyhotelbristol.co.uk","cadburyhotelbristol.co.uk")</f>
        <v>cadburyhotelbristol.co.uk</v>
      </c>
      <c r="C17769" t="s">
        <v>506</v>
      </c>
      <c r="D17769" t="s">
        <v>880</v>
      </c>
      <c r="F17769">
        <v>2.3889795029835199E-8</v>
      </c>
      <c r="G17769">
        <v>2173868</v>
      </c>
      <c r="H17769">
        <v>14087213</v>
      </c>
      <c r="I17769">
        <v>2765038</v>
      </c>
      <c r="J17769">
        <v>5</v>
      </c>
    </row>
    <row r="17770" spans="1:10" x14ac:dyDescent="0.25">
      <c r="A17770" t="s">
        <v>185</v>
      </c>
      <c r="B17770" s="1" t="str">
        <f>HYPERLINK("http://doubletree-newcastle.co.uk","doubletree-newcastle.co.uk")</f>
        <v>doubletree-newcastle.co.uk</v>
      </c>
      <c r="C17770" t="s">
        <v>506</v>
      </c>
      <c r="D17770" t="s">
        <v>880</v>
      </c>
      <c r="F17770">
        <v>4.6845378724821199E-9</v>
      </c>
      <c r="G17770">
        <v>42081132</v>
      </c>
      <c r="H17770">
        <v>11200440</v>
      </c>
      <c r="I17770">
        <v>31248011</v>
      </c>
      <c r="J17770">
        <v>3</v>
      </c>
    </row>
    <row r="17771" spans="1:10" x14ac:dyDescent="0.25">
      <c r="A17771" t="s">
        <v>185</v>
      </c>
      <c r="B17771" s="1" t="str">
        <f>HYPERLINK("http://doubletree-queensferry.co.uk","doubletree-queensferry.co.uk")</f>
        <v>doubletree-queensferry.co.uk</v>
      </c>
      <c r="C17771" t="s">
        <v>506</v>
      </c>
      <c r="D17771" t="s">
        <v>880</v>
      </c>
      <c r="F17771">
        <v>7.0924170586606096E-9</v>
      </c>
      <c r="G17771">
        <v>12035877</v>
      </c>
      <c r="H17771">
        <v>11502578</v>
      </c>
      <c r="I17771">
        <v>30027990</v>
      </c>
      <c r="J17771">
        <v>3</v>
      </c>
    </row>
    <row r="17772" spans="1:10" x14ac:dyDescent="0.25">
      <c r="A17772" t="s">
        <v>185</v>
      </c>
      <c r="B17772" s="1" t="str">
        <f>HYPERLINK("http://doubletreelondonealing.co.uk","doubletreelondonealing.co.uk")</f>
        <v>doubletreelondonealing.co.uk</v>
      </c>
      <c r="C17772" t="s">
        <v>506</v>
      </c>
      <c r="D17772" t="s">
        <v>880</v>
      </c>
      <c r="J17772">
        <v>3</v>
      </c>
    </row>
    <row r="17773" spans="1:10" x14ac:dyDescent="0.25">
      <c r="A17773" t="s">
        <v>185</v>
      </c>
      <c r="B17773" s="1" t="str">
        <f>HYPERLINK("http://doubletreelondonhydepark.co.uk","doubletreelondonhydepark.co.uk")</f>
        <v>doubletreelondonhydepark.co.uk</v>
      </c>
      <c r="C17773" t="s">
        <v>506</v>
      </c>
      <c r="D17773" t="s">
        <v>880</v>
      </c>
      <c r="J17773">
        <v>3</v>
      </c>
    </row>
    <row r="17774" spans="1:10" x14ac:dyDescent="0.25">
      <c r="A17774" t="s">
        <v>185</v>
      </c>
      <c r="B17774" s="1" t="str">
        <f>HYPERLINK("http://greyrestaurant.co.uk","greyrestaurant.co.uk")</f>
        <v>greyrestaurant.co.uk</v>
      </c>
      <c r="C17774" t="s">
        <v>506</v>
      </c>
      <c r="D17774" t="s">
        <v>880</v>
      </c>
      <c r="F17774">
        <v>1.9009050009007899E-8</v>
      </c>
      <c r="G17774">
        <v>2834417</v>
      </c>
      <c r="H17774">
        <v>13782810</v>
      </c>
      <c r="I17774">
        <v>6433629</v>
      </c>
      <c r="J17774">
        <v>3</v>
      </c>
    </row>
    <row r="17775" spans="1:10" x14ac:dyDescent="0.25">
      <c r="A17775" t="s">
        <v>185</v>
      </c>
      <c r="B17775" s="1" t="str">
        <f>HYPERLINK("http://hamptonbristol.co.uk","hamptonbristol.co.uk")</f>
        <v>hamptonbristol.co.uk</v>
      </c>
      <c r="C17775" t="s">
        <v>506</v>
      </c>
      <c r="D17775" t="s">
        <v>880</v>
      </c>
      <c r="J17775">
        <v>3</v>
      </c>
    </row>
    <row r="17776" spans="1:10" x14ac:dyDescent="0.25">
      <c r="A17776" t="s">
        <v>185</v>
      </c>
      <c r="B17776" s="1" t="str">
        <f>HYPERLINK("http://hamptonbyhiltonoxford.co.uk","hamptonbyhiltonoxford.co.uk")</f>
        <v>hamptonbyhiltonoxford.co.uk</v>
      </c>
      <c r="C17776" t="s">
        <v>506</v>
      </c>
      <c r="D17776" t="s">
        <v>880</v>
      </c>
      <c r="J17776">
        <v>3</v>
      </c>
    </row>
    <row r="17777" spans="1:10" x14ac:dyDescent="0.25">
      <c r="A17777" t="s">
        <v>185</v>
      </c>
      <c r="B17777" s="1" t="str">
        <f>HYPERLINK("http://hbhaberdeenairport.co.uk","hbhaberdeenairport.co.uk")</f>
        <v>hbhaberdeenairport.co.uk</v>
      </c>
      <c r="C17777" t="s">
        <v>506</v>
      </c>
      <c r="D17777" t="s">
        <v>880</v>
      </c>
      <c r="J17777">
        <v>3</v>
      </c>
    </row>
    <row r="17778" spans="1:10" x14ac:dyDescent="0.25">
      <c r="A17778" t="s">
        <v>185</v>
      </c>
      <c r="B17778" s="1" t="str">
        <f>HYPERLINK("http://hbyhtorquay.co.uk","hbyhtorquay.co.uk")</f>
        <v>hbyhtorquay.co.uk</v>
      </c>
      <c r="C17778" t="s">
        <v>506</v>
      </c>
      <c r="D17778" t="s">
        <v>880</v>
      </c>
      <c r="J17778">
        <v>3</v>
      </c>
    </row>
    <row r="17779" spans="1:10" x14ac:dyDescent="0.25">
      <c r="A17779" t="s">
        <v>185</v>
      </c>
      <c r="B17779" s="1" t="str">
        <f>HYPERLINK("http://hgiabingdonoxford.co.uk","hgiabingdonoxford.co.uk")</f>
        <v>hgiabingdonoxford.co.uk</v>
      </c>
      <c r="C17779" t="s">
        <v>506</v>
      </c>
      <c r="D17779" t="s">
        <v>880</v>
      </c>
      <c r="J17779">
        <v>3</v>
      </c>
    </row>
    <row r="17780" spans="1:10" x14ac:dyDescent="0.25">
      <c r="A17780" t="s">
        <v>185</v>
      </c>
      <c r="B17780" s="1" t="str">
        <f>HYPERLINK("http://hgibirminghamairport.co.uk","hgibirminghamairport.co.uk")</f>
        <v>hgibirminghamairport.co.uk</v>
      </c>
      <c r="C17780" t="s">
        <v>506</v>
      </c>
      <c r="D17780" t="s">
        <v>880</v>
      </c>
      <c r="J17780">
        <v>3</v>
      </c>
    </row>
    <row r="17781" spans="1:10" x14ac:dyDescent="0.25">
      <c r="A17781" t="s">
        <v>185</v>
      </c>
      <c r="B17781" s="1" t="str">
        <f>HYPERLINK("http://hilton.co.uk","hilton.co.uk")</f>
        <v>hilton.co.uk</v>
      </c>
      <c r="C17781" t="s">
        <v>506</v>
      </c>
      <c r="D17781" t="s">
        <v>880</v>
      </c>
      <c r="E17781">
        <v>357673</v>
      </c>
      <c r="F17781">
        <v>6.0341006684067494E-8</v>
      </c>
      <c r="G17781">
        <v>730944</v>
      </c>
      <c r="H17781">
        <v>14620164</v>
      </c>
      <c r="I17781">
        <v>659051</v>
      </c>
      <c r="J17781">
        <v>2</v>
      </c>
    </row>
    <row r="17782" spans="1:10" x14ac:dyDescent="0.25">
      <c r="A17782" t="s">
        <v>185</v>
      </c>
      <c r="B17782" s="1" t="str">
        <f>HYPERLINK("http://hiltonbankside.co.uk","hiltonbankside.co.uk")</f>
        <v>hiltonbankside.co.uk</v>
      </c>
      <c r="C17782" t="s">
        <v>506</v>
      </c>
      <c r="D17782" t="s">
        <v>880</v>
      </c>
      <c r="J17782">
        <v>3</v>
      </c>
    </row>
    <row r="17783" spans="1:10" x14ac:dyDescent="0.25">
      <c r="A17783" t="s">
        <v>185</v>
      </c>
      <c r="B17783" s="1" t="str">
        <f>HYPERLINK("http://hotelwestminster.co.uk","hotelwestminster.co.uk")</f>
        <v>hotelwestminster.co.uk</v>
      </c>
      <c r="C17783" t="s">
        <v>506</v>
      </c>
      <c r="D17783" t="s">
        <v>880</v>
      </c>
      <c r="F17783">
        <v>7.9613023591701794E-9</v>
      </c>
      <c r="G17783">
        <v>9992529</v>
      </c>
      <c r="H17783">
        <v>12889222</v>
      </c>
      <c r="I17783">
        <v>13942484</v>
      </c>
      <c r="J17783">
        <v>3</v>
      </c>
    </row>
    <row r="17784" spans="1:10" x14ac:dyDescent="0.25">
      <c r="A17784" t="s">
        <v>185</v>
      </c>
      <c r="B17784" s="1" t="str">
        <f>HYPERLINK("http://linconplazalondon.co.uk","linconplazalondon.co.uk")</f>
        <v>linconplazalondon.co.uk</v>
      </c>
      <c r="C17784" t="s">
        <v>506</v>
      </c>
      <c r="D17784" t="s">
        <v>880</v>
      </c>
      <c r="J17784">
        <v>3</v>
      </c>
    </row>
    <row r="17785" spans="1:10" x14ac:dyDescent="0.25">
      <c r="A17785" t="s">
        <v>185</v>
      </c>
      <c r="B17785" s="1" t="str">
        <f>HYPERLINK("http://millenniumhotels.co.uk","millenniumhotels.co.uk")</f>
        <v>millenniumhotels.co.uk</v>
      </c>
      <c r="C17785" t="s">
        <v>506</v>
      </c>
      <c r="D17785" t="s">
        <v>880</v>
      </c>
      <c r="E17785">
        <v>635671</v>
      </c>
      <c r="F17785">
        <v>1.02348430907796E-7</v>
      </c>
      <c r="G17785">
        <v>392350</v>
      </c>
      <c r="H17785">
        <v>14666902</v>
      </c>
      <c r="I17785">
        <v>616588</v>
      </c>
      <c r="J17785">
        <v>4</v>
      </c>
    </row>
    <row r="17786" spans="1:10" x14ac:dyDescent="0.25">
      <c r="A17786" t="s">
        <v>185</v>
      </c>
      <c r="B17786" s="1" t="str">
        <f>HYPERLINK("http://mothousereading.co.uk","mothousereading.co.uk")</f>
        <v>mothousereading.co.uk</v>
      </c>
      <c r="C17786" t="s">
        <v>506</v>
      </c>
      <c r="D17786" t="s">
        <v>880</v>
      </c>
      <c r="J17786">
        <v>3</v>
      </c>
    </row>
    <row r="17787" spans="1:10" x14ac:dyDescent="0.25">
      <c r="A17787" t="s">
        <v>185</v>
      </c>
      <c r="B17787" s="1" t="str">
        <f>HYPERLINK("http://nottinghamgatewayhotel.co.uk","nottinghamgatewayhotel.co.uk")</f>
        <v>nottinghamgatewayhotel.co.uk</v>
      </c>
      <c r="C17787" t="s">
        <v>506</v>
      </c>
      <c r="D17787" t="s">
        <v>880</v>
      </c>
      <c r="F17787">
        <v>4.48654444495322E-9</v>
      </c>
      <c r="G17787">
        <v>61114532</v>
      </c>
      <c r="H17787">
        <v>12277922</v>
      </c>
      <c r="I17787">
        <v>21349870</v>
      </c>
      <c r="J17787">
        <v>3</v>
      </c>
    </row>
    <row r="17788" spans="1:10" x14ac:dyDescent="0.25">
      <c r="A17788" t="s">
        <v>185</v>
      </c>
      <c r="B17788" s="1" t="str">
        <f>HYPERLINK("http://savagegarden.co.uk","savagegarden.co.uk")</f>
        <v>savagegarden.co.uk</v>
      </c>
      <c r="C17788" t="s">
        <v>506</v>
      </c>
      <c r="D17788" t="s">
        <v>880</v>
      </c>
      <c r="F17788">
        <v>2.9623897684663899E-8</v>
      </c>
      <c r="G17788">
        <v>1739093</v>
      </c>
      <c r="H17788">
        <v>13297565</v>
      </c>
      <c r="I17788">
        <v>10841090</v>
      </c>
      <c r="J17788">
        <v>3</v>
      </c>
    </row>
    <row r="17789" spans="1:10" x14ac:dyDescent="0.25">
      <c r="A17789" t="s">
        <v>185</v>
      </c>
      <c r="B17789" s="1" t="str">
        <f>HYPERLINK("http://thecairncollection.co.uk","thecairncollection.co.uk")</f>
        <v>thecairncollection.co.uk</v>
      </c>
      <c r="C17789" t="s">
        <v>506</v>
      </c>
      <c r="D17789" t="s">
        <v>880</v>
      </c>
      <c r="F17789">
        <v>3.0001928664990403E-8</v>
      </c>
      <c r="G17789">
        <v>1714887</v>
      </c>
      <c r="H17789">
        <v>14244190</v>
      </c>
      <c r="I17789">
        <v>1473111</v>
      </c>
      <c r="J17789">
        <v>4</v>
      </c>
    </row>
    <row r="17790" spans="1:10" x14ac:dyDescent="0.25">
      <c r="A17790" t="s">
        <v>185</v>
      </c>
      <c r="B17790" s="1" t="str">
        <f>HYPERLINK("http://thelockleeds.co.uk","thelockleeds.co.uk")</f>
        <v>thelockleeds.co.uk</v>
      </c>
      <c r="C17790" t="s">
        <v>506</v>
      </c>
      <c r="D17790" t="s">
        <v>880</v>
      </c>
      <c r="F17790">
        <v>2.0002770003189999E-8</v>
      </c>
      <c r="G17790">
        <v>2658824</v>
      </c>
      <c r="H17790">
        <v>12745472</v>
      </c>
      <c r="I17790">
        <v>15088284</v>
      </c>
      <c r="J17790">
        <v>3</v>
      </c>
    </row>
    <row r="17791" spans="1:10" x14ac:dyDescent="0.25">
      <c r="A17791" t="s">
        <v>186</v>
      </c>
      <c r="B17791" s="1" t="str">
        <f>HYPERLINK("http://hitachi.ae","hitachi.ae")</f>
        <v>hitachi.ae</v>
      </c>
      <c r="C17791" t="s">
        <v>417</v>
      </c>
      <c r="D17791" t="s">
        <v>799</v>
      </c>
      <c r="F17791">
        <v>1.4873997731604199E-8</v>
      </c>
      <c r="G17791">
        <v>3881344</v>
      </c>
      <c r="H17791">
        <v>13766401</v>
      </c>
      <c r="I17791">
        <v>7009051</v>
      </c>
      <c r="J17791">
        <v>2</v>
      </c>
    </row>
    <row r="17792" spans="1:10" x14ac:dyDescent="0.25">
      <c r="A17792" t="s">
        <v>186</v>
      </c>
      <c r="B17792" s="1" t="str">
        <f>HYPERLINK("http://hitachicm.ae","hitachicm.ae")</f>
        <v>hitachicm.ae</v>
      </c>
      <c r="C17792" t="s">
        <v>417</v>
      </c>
      <c r="D17792" t="s">
        <v>799</v>
      </c>
      <c r="F17792">
        <v>1.15230431934212E-8</v>
      </c>
      <c r="G17792">
        <v>5487603</v>
      </c>
      <c r="H17792">
        <v>12195975</v>
      </c>
      <c r="I17792">
        <v>23425288</v>
      </c>
      <c r="J17792">
        <v>4</v>
      </c>
    </row>
    <row r="17793" spans="1:10" x14ac:dyDescent="0.25">
      <c r="A17793" t="s">
        <v>186</v>
      </c>
      <c r="B17793" s="1" t="str">
        <f>HYPERLINK("http://hitachi.asia","hitachi.asia")</f>
        <v>hitachi.asia</v>
      </c>
      <c r="C17793" t="s">
        <v>525</v>
      </c>
      <c r="F17793">
        <v>1.59264495160311E-8</v>
      </c>
      <c r="G17793">
        <v>3565636</v>
      </c>
      <c r="H17793">
        <v>12446166</v>
      </c>
      <c r="I17793">
        <v>18073016</v>
      </c>
      <c r="J17793">
        <v>3</v>
      </c>
    </row>
    <row r="17794" spans="1:10" x14ac:dyDescent="0.25">
      <c r="A17794" t="s">
        <v>186</v>
      </c>
      <c r="B17794" s="1" t="str">
        <f>HYPERLINK("http://hcma.com.au","hcma.com.au")</f>
        <v>hcma.com.au</v>
      </c>
      <c r="C17794" t="s">
        <v>420</v>
      </c>
      <c r="D17794" t="s">
        <v>802</v>
      </c>
      <c r="F17794">
        <v>9.3891903336929904E-9</v>
      </c>
      <c r="G17794">
        <v>7459519</v>
      </c>
      <c r="H17794">
        <v>12267840</v>
      </c>
      <c r="I17794">
        <v>21571919</v>
      </c>
      <c r="J17794">
        <v>7</v>
      </c>
    </row>
    <row r="17795" spans="1:10" x14ac:dyDescent="0.25">
      <c r="A17795" t="s">
        <v>186</v>
      </c>
      <c r="B17795" s="1" t="str">
        <f>HYPERLINK("http://hitachi.com.au","hitachi.com.au")</f>
        <v>hitachi.com.au</v>
      </c>
      <c r="C17795" t="s">
        <v>420</v>
      </c>
      <c r="D17795" t="s">
        <v>802</v>
      </c>
      <c r="F17795">
        <v>2.9563749006611101E-8</v>
      </c>
      <c r="G17795">
        <v>1743574</v>
      </c>
      <c r="H17795">
        <v>13416511</v>
      </c>
      <c r="I17795">
        <v>10312962</v>
      </c>
      <c r="J17795">
        <v>2</v>
      </c>
    </row>
    <row r="17796" spans="1:10" x14ac:dyDescent="0.25">
      <c r="A17796" t="s">
        <v>186</v>
      </c>
      <c r="B17796" s="1" t="str">
        <f>HYPERLINK("http://hitachicm.com.au","hitachicm.com.au")</f>
        <v>hitachicm.com.au</v>
      </c>
      <c r="C17796" t="s">
        <v>420</v>
      </c>
      <c r="D17796" t="s">
        <v>802</v>
      </c>
      <c r="F17796">
        <v>1.1768664959711E-8</v>
      </c>
      <c r="G17796">
        <v>5321731</v>
      </c>
      <c r="H17796">
        <v>14258880</v>
      </c>
      <c r="I17796">
        <v>1423878</v>
      </c>
      <c r="J17796">
        <v>4</v>
      </c>
    </row>
    <row r="17797" spans="1:10" x14ac:dyDescent="0.25">
      <c r="A17797" t="s">
        <v>186</v>
      </c>
      <c r="B17797" s="1" t="str">
        <f>HYPERLINK("http://sullair.com.au","sullair.com.au")</f>
        <v>sullair.com.au</v>
      </c>
      <c r="C17797" t="s">
        <v>420</v>
      </c>
      <c r="D17797" t="s">
        <v>802</v>
      </c>
      <c r="F17797">
        <v>1.0887564094285201E-8</v>
      </c>
      <c r="G17797">
        <v>5951902</v>
      </c>
      <c r="H17797">
        <v>13933497</v>
      </c>
      <c r="I17797">
        <v>4727330</v>
      </c>
      <c r="J17797">
        <v>3</v>
      </c>
    </row>
    <row r="17798" spans="1:10" x14ac:dyDescent="0.25">
      <c r="A17798" t="s">
        <v>186</v>
      </c>
      <c r="B17798" s="1" t="str">
        <f>HYPERLINK("http://hitachi.be","hitachi.be")</f>
        <v>hitachi.be</v>
      </c>
      <c r="C17798" t="s">
        <v>421</v>
      </c>
      <c r="D17798" t="s">
        <v>803</v>
      </c>
      <c r="F17798">
        <v>6.4002613413040504E-9</v>
      </c>
      <c r="G17798">
        <v>14515592</v>
      </c>
      <c r="H17798">
        <v>10533698</v>
      </c>
      <c r="I17798">
        <v>47844363</v>
      </c>
      <c r="J17798">
        <v>3</v>
      </c>
    </row>
    <row r="17799" spans="1:10" x14ac:dyDescent="0.25">
      <c r="A17799" t="s">
        <v>186</v>
      </c>
      <c r="B17799" s="1" t="str">
        <f>HYPERLINK("http://hitachi-solutions.bg","hitachi-solutions.bg")</f>
        <v>hitachi-solutions.bg</v>
      </c>
      <c r="C17799" t="s">
        <v>422</v>
      </c>
      <c r="D17799" t="s">
        <v>804</v>
      </c>
      <c r="F17799">
        <v>5.0293097470834399E-9</v>
      </c>
      <c r="G17799">
        <v>28685038</v>
      </c>
      <c r="H17799">
        <v>10384195</v>
      </c>
      <c r="I17799">
        <v>54488479</v>
      </c>
      <c r="J17799">
        <v>4</v>
      </c>
    </row>
    <row r="17800" spans="1:10" x14ac:dyDescent="0.25">
      <c r="A17800" t="s">
        <v>186</v>
      </c>
      <c r="B17800" s="1" t="str">
        <f>HYPERLINK("http://hitachi-lg.biz","hitachi-lg.biz")</f>
        <v>hitachi-lg.biz</v>
      </c>
      <c r="C17800" t="s">
        <v>423</v>
      </c>
      <c r="F17800">
        <v>1.4705510053555E-8</v>
      </c>
      <c r="G17800">
        <v>3939078</v>
      </c>
      <c r="H17800">
        <v>12134001</v>
      </c>
      <c r="I17800">
        <v>25027236</v>
      </c>
      <c r="J17800">
        <v>4</v>
      </c>
    </row>
    <row r="17801" spans="1:10" x14ac:dyDescent="0.25">
      <c r="A17801" t="s">
        <v>186</v>
      </c>
      <c r="B17801" s="1" t="str">
        <f>HYPERLINK("http://hitachi.com.br","hitachi.com.br")</f>
        <v>hitachi.com.br</v>
      </c>
      <c r="C17801" t="s">
        <v>425</v>
      </c>
      <c r="D17801" t="s">
        <v>806</v>
      </c>
      <c r="F17801">
        <v>1.66960775312334E-8</v>
      </c>
      <c r="G17801">
        <v>3359745</v>
      </c>
      <c r="H17801">
        <v>12376528</v>
      </c>
      <c r="I17801">
        <v>19282315</v>
      </c>
      <c r="J17801">
        <v>3</v>
      </c>
    </row>
    <row r="17802" spans="1:10" x14ac:dyDescent="0.25">
      <c r="A17802" t="s">
        <v>186</v>
      </c>
      <c r="B17802" s="1" t="str">
        <f>HYPERLINK("http://hitachi.ca","hitachi.ca")</f>
        <v>hitachi.ca</v>
      </c>
      <c r="C17802" t="s">
        <v>428</v>
      </c>
      <c r="D17802" t="s">
        <v>809</v>
      </c>
      <c r="F17802">
        <v>3.2072438103848898E-8</v>
      </c>
      <c r="G17802">
        <v>1612013</v>
      </c>
      <c r="H17802">
        <v>14244958</v>
      </c>
      <c r="I17802">
        <v>1469124</v>
      </c>
      <c r="J17802">
        <v>2</v>
      </c>
    </row>
    <row r="17803" spans="1:10" x14ac:dyDescent="0.25">
      <c r="A17803" t="s">
        <v>186</v>
      </c>
      <c r="B17803" s="1" t="str">
        <f>HYPERLINK("http://hitachi.com.cn","hitachi.com.cn")</f>
        <v>hitachi.com.cn</v>
      </c>
      <c r="C17803" t="s">
        <v>431</v>
      </c>
      <c r="D17803" t="s">
        <v>812</v>
      </c>
      <c r="E17803">
        <v>373736</v>
      </c>
      <c r="F17803">
        <v>1.10645672146193E-7</v>
      </c>
      <c r="G17803">
        <v>361401</v>
      </c>
      <c r="H17803">
        <v>13407657</v>
      </c>
      <c r="I17803">
        <v>10346818</v>
      </c>
      <c r="J17803">
        <v>2</v>
      </c>
    </row>
    <row r="17804" spans="1:10" x14ac:dyDescent="0.25">
      <c r="A17804" t="s">
        <v>186</v>
      </c>
      <c r="B17804" s="1" t="str">
        <f>HYPERLINK("http://hitachiastemo.com.cn","hitachiastemo.com.cn")</f>
        <v>hitachiastemo.com.cn</v>
      </c>
      <c r="C17804" t="s">
        <v>431</v>
      </c>
      <c r="D17804" t="s">
        <v>812</v>
      </c>
      <c r="F17804">
        <v>1.10414366869385E-8</v>
      </c>
      <c r="G17804">
        <v>5828638</v>
      </c>
      <c r="H17804">
        <v>10602217</v>
      </c>
      <c r="I17804">
        <v>44817991</v>
      </c>
      <c r="J17804">
        <v>3</v>
      </c>
    </row>
    <row r="17805" spans="1:10" x14ac:dyDescent="0.25">
      <c r="A17805" t="s">
        <v>186</v>
      </c>
      <c r="B17805" s="1" t="str">
        <f>HYPERLINK("http://ansaldo-sts.com","ansaldo-sts.com")</f>
        <v>ansaldo-sts.com</v>
      </c>
      <c r="C17805" t="s">
        <v>433</v>
      </c>
      <c r="E17805">
        <v>403805</v>
      </c>
      <c r="F17805">
        <v>5.1805714572912402E-8</v>
      </c>
      <c r="G17805">
        <v>882094</v>
      </c>
      <c r="H17805">
        <v>14583280</v>
      </c>
      <c r="I17805">
        <v>704886</v>
      </c>
      <c r="J17805">
        <v>6</v>
      </c>
    </row>
    <row r="17806" spans="1:10" x14ac:dyDescent="0.25">
      <c r="A17806" t="s">
        <v>186</v>
      </c>
      <c r="B17806" s="1" t="str">
        <f>HYPERLINK("http://celerantconsulting.com","celerantconsulting.com")</f>
        <v>celerantconsulting.com</v>
      </c>
      <c r="C17806" t="s">
        <v>433</v>
      </c>
      <c r="F17806">
        <v>1.28088480665002E-8</v>
      </c>
      <c r="G17806">
        <v>4724325</v>
      </c>
      <c r="H17806">
        <v>13257107</v>
      </c>
      <c r="I17806">
        <v>11052280</v>
      </c>
      <c r="J17806">
        <v>8</v>
      </c>
    </row>
    <row r="17807" spans="1:10" x14ac:dyDescent="0.25">
      <c r="A17807" t="s">
        <v>186</v>
      </c>
      <c r="B17807" s="1" t="str">
        <f>HYPERLINK("http://chassisbrakes.com","chassisbrakes.com")</f>
        <v>chassisbrakes.com</v>
      </c>
      <c r="C17807" t="s">
        <v>433</v>
      </c>
      <c r="F17807">
        <v>1.4862342153840001E-8</v>
      </c>
      <c r="G17807">
        <v>3885470</v>
      </c>
      <c r="H17807">
        <v>13563561</v>
      </c>
      <c r="I17807">
        <v>9842158</v>
      </c>
      <c r="J17807">
        <v>4</v>
      </c>
    </row>
    <row r="17808" spans="1:10" x14ac:dyDescent="0.25">
      <c r="A17808" t="s">
        <v>186</v>
      </c>
      <c r="B17808" s="1" t="str">
        <f>HYPERLINK("http://hcme.com","hcme.com")</f>
        <v>hcme.com</v>
      </c>
      <c r="C17808" t="s">
        <v>433</v>
      </c>
      <c r="F17808">
        <v>1.9486196750915599E-8</v>
      </c>
      <c r="G17808">
        <v>2746561</v>
      </c>
      <c r="H17808">
        <v>14072445</v>
      </c>
      <c r="I17808">
        <v>3091524</v>
      </c>
      <c r="J17808">
        <v>3</v>
      </c>
    </row>
    <row r="17809" spans="1:10" x14ac:dyDescent="0.25">
      <c r="A17809" t="s">
        <v>186</v>
      </c>
      <c r="B17809" s="1" t="str">
        <f>HYPERLINK("http://hitachastemo.com","hitachastemo.com")</f>
        <v>hitachastemo.com</v>
      </c>
      <c r="C17809" t="s">
        <v>433</v>
      </c>
      <c r="J17809">
        <v>4</v>
      </c>
    </row>
    <row r="17810" spans="1:10" x14ac:dyDescent="0.25">
      <c r="A17810" t="s">
        <v>186</v>
      </c>
      <c r="B17810" s="1" t="str">
        <f>HYPERLINK("http://hitachi.com","hitachi.com")</f>
        <v>hitachi.com</v>
      </c>
      <c r="C17810" t="s">
        <v>433</v>
      </c>
      <c r="E17810">
        <v>21824</v>
      </c>
      <c r="F17810">
        <v>2.27461484382215E-6</v>
      </c>
      <c r="G17810">
        <v>16212</v>
      </c>
      <c r="H17810">
        <v>17491124</v>
      </c>
      <c r="I17810">
        <v>14104</v>
      </c>
      <c r="J17810">
        <v>2</v>
      </c>
    </row>
    <row r="17811" spans="1:10" x14ac:dyDescent="0.25">
      <c r="A17811" t="s">
        <v>186</v>
      </c>
      <c r="B17811" s="1" t="str">
        <f>HYPERLINK("http://hitachi-c-m.com","hitachi-c-m.com")</f>
        <v>hitachi-c-m.com</v>
      </c>
      <c r="C17811" t="s">
        <v>433</v>
      </c>
      <c r="F17811">
        <v>7.02812489838288E-8</v>
      </c>
      <c r="G17811">
        <v>602637</v>
      </c>
      <c r="H17811">
        <v>14157166</v>
      </c>
      <c r="I17811">
        <v>1849907</v>
      </c>
      <c r="J17811">
        <v>6</v>
      </c>
    </row>
    <row r="17812" spans="1:10" x14ac:dyDescent="0.25">
      <c r="A17812" t="s">
        <v>186</v>
      </c>
      <c r="B17812" s="1" t="str">
        <f>HYPERLINK("http://hitachi-gls.com","hitachi-gls.com")</f>
        <v>hitachi-gls.com</v>
      </c>
      <c r="C17812" t="s">
        <v>433</v>
      </c>
      <c r="F17812">
        <v>1.21297022869085E-8</v>
      </c>
      <c r="G17812">
        <v>5091812</v>
      </c>
      <c r="H17812">
        <v>12528124</v>
      </c>
      <c r="I17812">
        <v>17058241</v>
      </c>
      <c r="J17812">
        <v>4</v>
      </c>
    </row>
    <row r="17813" spans="1:10" x14ac:dyDescent="0.25">
      <c r="A17813" t="s">
        <v>186</v>
      </c>
      <c r="B17813" s="1" t="str">
        <f>HYPERLINK("http://hitachi-hiemex.com","hitachi-hiemex.com")</f>
        <v>hitachi-hiemex.com</v>
      </c>
      <c r="C17813" t="s">
        <v>433</v>
      </c>
      <c r="F17813">
        <v>4.9159581233992503E-9</v>
      </c>
      <c r="G17813">
        <v>31987084</v>
      </c>
      <c r="H17813">
        <v>1.0003663</v>
      </c>
      <c r="I17813">
        <v>78725954</v>
      </c>
      <c r="J17813">
        <v>4</v>
      </c>
    </row>
    <row r="17814" spans="1:10" x14ac:dyDescent="0.25">
      <c r="A17814" t="s">
        <v>186</v>
      </c>
      <c r="B17814" s="1" t="str">
        <f>HYPERLINK("http://hitachi-hightech.com","hitachi-hightech.com")</f>
        <v>hitachi-hightech.com</v>
      </c>
      <c r="C17814" t="s">
        <v>433</v>
      </c>
      <c r="E17814">
        <v>119970</v>
      </c>
      <c r="F17814">
        <v>3.8851980801596401E-7</v>
      </c>
      <c r="G17814">
        <v>96429</v>
      </c>
      <c r="H17814">
        <v>17220014</v>
      </c>
      <c r="I17814">
        <v>38441</v>
      </c>
      <c r="J17814">
        <v>3</v>
      </c>
    </row>
    <row r="17815" spans="1:10" x14ac:dyDescent="0.25">
      <c r="A17815" t="s">
        <v>186</v>
      </c>
      <c r="B17815" s="1" t="str">
        <f>HYPERLINK("http://hitachi-hirel.com","hitachi-hirel.com")</f>
        <v>hitachi-hirel.com</v>
      </c>
      <c r="C17815" t="s">
        <v>433</v>
      </c>
      <c r="F17815">
        <v>8.1958324470918197E-9</v>
      </c>
      <c r="G17815">
        <v>9577994</v>
      </c>
      <c r="H17815">
        <v>12440227</v>
      </c>
      <c r="I17815">
        <v>18142088</v>
      </c>
      <c r="J17815">
        <v>4</v>
      </c>
    </row>
    <row r="17816" spans="1:10" x14ac:dyDescent="0.25">
      <c r="A17816" t="s">
        <v>186</v>
      </c>
      <c r="B17816" s="1" t="str">
        <f>HYPERLINK("http://hitachi-hitec.com","hitachi-hitec.com")</f>
        <v>hitachi-hitec.com</v>
      </c>
      <c r="C17816" t="s">
        <v>433</v>
      </c>
      <c r="E17816">
        <v>703402</v>
      </c>
      <c r="F17816">
        <v>5.27546662764758E-8</v>
      </c>
      <c r="G17816">
        <v>863788</v>
      </c>
      <c r="H17816">
        <v>14330542</v>
      </c>
      <c r="I17816">
        <v>1323061</v>
      </c>
      <c r="J17816">
        <v>6</v>
      </c>
    </row>
    <row r="17817" spans="1:10" x14ac:dyDescent="0.25">
      <c r="A17817" t="s">
        <v>186</v>
      </c>
      <c r="B17817" s="1" t="str">
        <f>HYPERLINK("http://hitachi-hta.com","hitachi-hta.com")</f>
        <v>hitachi-hta.com</v>
      </c>
      <c r="C17817" t="s">
        <v>433</v>
      </c>
      <c r="E17817">
        <v>404608</v>
      </c>
      <c r="F17817">
        <v>1.4717745545823E-8</v>
      </c>
      <c r="G17817">
        <v>3934847</v>
      </c>
      <c r="H17817">
        <v>14082626</v>
      </c>
      <c r="I17817">
        <v>2799086</v>
      </c>
      <c r="J17817">
        <v>6</v>
      </c>
    </row>
    <row r="17818" spans="1:10" x14ac:dyDescent="0.25">
      <c r="A17818" t="s">
        <v>186</v>
      </c>
      <c r="B17818" s="1" t="str">
        <f>HYPERLINK("http://hitachi-ie.com","hitachi-ie.com")</f>
        <v>hitachi-ie.com</v>
      </c>
      <c r="C17818" t="s">
        <v>433</v>
      </c>
      <c r="F17818">
        <v>6.1446449478272901E-9</v>
      </c>
      <c r="G17818">
        <v>15834593</v>
      </c>
      <c r="H17818">
        <v>12108757</v>
      </c>
      <c r="I17818">
        <v>25768983</v>
      </c>
      <c r="J17818">
        <v>4</v>
      </c>
    </row>
    <row r="17819" spans="1:10" x14ac:dyDescent="0.25">
      <c r="A17819" t="s">
        <v>186</v>
      </c>
      <c r="B17819" s="1" t="str">
        <f>HYPERLINK("http://hitachi-ip.com","hitachi-ip.com")</f>
        <v>hitachi-ip.com</v>
      </c>
      <c r="C17819" t="s">
        <v>433</v>
      </c>
      <c r="F17819">
        <v>1.2072161185440599E-8</v>
      </c>
      <c r="G17819">
        <v>5130135</v>
      </c>
      <c r="H17819">
        <v>12348673</v>
      </c>
      <c r="I17819">
        <v>19786040</v>
      </c>
      <c r="J17819">
        <v>4</v>
      </c>
    </row>
    <row r="17820" spans="1:10" x14ac:dyDescent="0.25">
      <c r="A17820" t="s">
        <v>186</v>
      </c>
      <c r="B17820" s="1" t="str">
        <f>HYPERLINK("http://hitachi-lg.com","hitachi-lg.com")</f>
        <v>hitachi-lg.com</v>
      </c>
      <c r="C17820" t="s">
        <v>433</v>
      </c>
      <c r="F17820">
        <v>1.7434638577016301E-8</v>
      </c>
      <c r="G17820">
        <v>3163755</v>
      </c>
      <c r="H17820">
        <v>14099931</v>
      </c>
      <c r="I17820">
        <v>2708747</v>
      </c>
      <c r="J17820">
        <v>3</v>
      </c>
    </row>
    <row r="17821" spans="1:10" x14ac:dyDescent="0.25">
      <c r="A17821" t="s">
        <v>186</v>
      </c>
      <c r="B17821" s="1" t="str">
        <f>HYPERLINK("http://hitachi-payments.com","hitachi-payments.com")</f>
        <v>hitachi-payments.com</v>
      </c>
      <c r="C17821" t="s">
        <v>433</v>
      </c>
      <c r="F17821">
        <v>1.9504359891668099E-8</v>
      </c>
      <c r="G17821">
        <v>2743721</v>
      </c>
      <c r="H17821">
        <v>13173352</v>
      </c>
      <c r="I17821">
        <v>11713753</v>
      </c>
      <c r="J17821">
        <v>3</v>
      </c>
    </row>
    <row r="17822" spans="1:10" x14ac:dyDescent="0.25">
      <c r="A17822" t="s">
        <v>186</v>
      </c>
      <c r="B17822" s="1" t="str">
        <f>HYPERLINK("http://hitachi-power.com","hitachi-power.com")</f>
        <v>hitachi-power.com</v>
      </c>
      <c r="C17822" t="s">
        <v>433</v>
      </c>
      <c r="F17822">
        <v>5.1938818893051201E-9</v>
      </c>
      <c r="G17822">
        <v>25271091</v>
      </c>
      <c r="H17822">
        <v>13763637</v>
      </c>
      <c r="I17822">
        <v>8018707</v>
      </c>
      <c r="J17822">
        <v>4</v>
      </c>
    </row>
    <row r="17823" spans="1:10" x14ac:dyDescent="0.25">
      <c r="A17823" t="s">
        <v>186</v>
      </c>
      <c r="B17823" s="1" t="str">
        <f>HYPERLINK("http://hitachi-power-solutions.com","hitachi-power-solutions.com")</f>
        <v>hitachi-power-solutions.com</v>
      </c>
      <c r="C17823" t="s">
        <v>433</v>
      </c>
      <c r="F17823">
        <v>3.3074231943065202E-8</v>
      </c>
      <c r="G17823">
        <v>1562123</v>
      </c>
      <c r="H17823">
        <v>14081593</v>
      </c>
      <c r="I17823">
        <v>2808490</v>
      </c>
      <c r="J17823">
        <v>3</v>
      </c>
    </row>
    <row r="17824" spans="1:10" x14ac:dyDescent="0.25">
      <c r="A17824" t="s">
        <v>186</v>
      </c>
      <c r="B17824" s="1" t="str">
        <f>HYPERLINK("http://hitachi-powergrids.com","hitachi-powergrids.com")</f>
        <v>hitachi-powergrids.com</v>
      </c>
      <c r="C17824" t="s">
        <v>433</v>
      </c>
      <c r="F17824">
        <v>1.7779914822040499E-8</v>
      </c>
      <c r="G17824">
        <v>3079048</v>
      </c>
      <c r="H17824">
        <v>12787429</v>
      </c>
      <c r="I17824">
        <v>14702089</v>
      </c>
      <c r="J17824">
        <v>2</v>
      </c>
    </row>
    <row r="17825" spans="1:10" x14ac:dyDescent="0.25">
      <c r="A17825" t="s">
        <v>186</v>
      </c>
      <c r="B17825" s="1" t="str">
        <f>HYPERLINK("http://hitachi-solutions.com","hitachi-solutions.com")</f>
        <v>hitachi-solutions.com</v>
      </c>
      <c r="C17825" t="s">
        <v>433</v>
      </c>
      <c r="E17825">
        <v>180756</v>
      </c>
      <c r="F17825">
        <v>4.7181961546761998E-7</v>
      </c>
      <c r="G17825">
        <v>80435</v>
      </c>
      <c r="H17825">
        <v>15292292</v>
      </c>
      <c r="I17825">
        <v>386697</v>
      </c>
      <c r="J17825">
        <v>2</v>
      </c>
    </row>
    <row r="17826" spans="1:10" x14ac:dyDescent="0.25">
      <c r="A17826" t="s">
        <v>186</v>
      </c>
      <c r="B17826" s="1" t="str">
        <f>HYPERLINK("http://hitachiabb-powergrids.com","hitachiabb-powergrids.com")</f>
        <v>hitachiabb-powergrids.com</v>
      </c>
      <c r="C17826" t="s">
        <v>433</v>
      </c>
      <c r="E17826">
        <v>499771</v>
      </c>
      <c r="F17826">
        <v>1.8778006527409399E-7</v>
      </c>
      <c r="G17826">
        <v>205209</v>
      </c>
      <c r="H17826">
        <v>14449055</v>
      </c>
      <c r="I17826">
        <v>1054353</v>
      </c>
      <c r="J17826">
        <v>3</v>
      </c>
    </row>
    <row r="17827" spans="1:10" x14ac:dyDescent="0.25">
      <c r="A17827" t="s">
        <v>186</v>
      </c>
      <c r="B17827" s="1" t="str">
        <f>HYPERLINK("http://hitachiastemo.com","hitachiastemo.com")</f>
        <v>hitachiastemo.com</v>
      </c>
      <c r="C17827" t="s">
        <v>433</v>
      </c>
      <c r="E17827">
        <v>443432</v>
      </c>
      <c r="F17827">
        <v>7.7707802554069404E-8</v>
      </c>
      <c r="G17827">
        <v>538512</v>
      </c>
      <c r="H17827">
        <v>14138494</v>
      </c>
      <c r="I17827">
        <v>1946889</v>
      </c>
      <c r="J17827">
        <v>2</v>
      </c>
    </row>
    <row r="17828" spans="1:10" x14ac:dyDescent="0.25">
      <c r="A17828" t="s">
        <v>186</v>
      </c>
      <c r="B17828" s="1" t="str">
        <f>HYPERLINK("http://hitachicm.com","hitachicm.com")</f>
        <v>hitachicm.com</v>
      </c>
      <c r="C17828" t="s">
        <v>433</v>
      </c>
      <c r="E17828">
        <v>479879</v>
      </c>
      <c r="F17828">
        <v>9.9730945622429198E-8</v>
      </c>
      <c r="G17828">
        <v>403636</v>
      </c>
      <c r="H17828">
        <v>14486037</v>
      </c>
      <c r="I17828">
        <v>975114</v>
      </c>
      <c r="J17828">
        <v>3</v>
      </c>
    </row>
    <row r="17829" spans="1:10" x14ac:dyDescent="0.25">
      <c r="A17829" t="s">
        <v>186</v>
      </c>
      <c r="B17829" s="1" t="str">
        <f>HYPERLINK("http://hitachiconstruction.com","hitachiconstruction.com")</f>
        <v>hitachiconstruction.com</v>
      </c>
      <c r="C17829" t="s">
        <v>433</v>
      </c>
      <c r="F17829">
        <v>3.5484002114548397E-8</v>
      </c>
      <c r="G17829">
        <v>1466820</v>
      </c>
      <c r="H17829">
        <v>14078322</v>
      </c>
      <c r="I17829">
        <v>2848775</v>
      </c>
      <c r="J17829">
        <v>7</v>
      </c>
    </row>
    <row r="17830" spans="1:10" x14ac:dyDescent="0.25">
      <c r="A17830" t="s">
        <v>186</v>
      </c>
      <c r="B17830" s="1" t="str">
        <f>HYPERLINK("http://hitachiconsulting.com","hitachiconsulting.com")</f>
        <v>hitachiconsulting.com</v>
      </c>
      <c r="C17830" t="s">
        <v>433</v>
      </c>
      <c r="E17830">
        <v>569164</v>
      </c>
      <c r="F17830">
        <v>1.10312829903946E-7</v>
      </c>
      <c r="G17830">
        <v>362542</v>
      </c>
      <c r="H17830">
        <v>14827458</v>
      </c>
      <c r="I17830">
        <v>508853</v>
      </c>
      <c r="J17830">
        <v>3</v>
      </c>
    </row>
    <row r="17831" spans="1:10" x14ac:dyDescent="0.25">
      <c r="A17831" t="s">
        <v>186</v>
      </c>
      <c r="B17831" s="1" t="str">
        <f>HYPERLINK("http://hitachienergy.com","hitachienergy.com")</f>
        <v>hitachienergy.com</v>
      </c>
      <c r="C17831" t="s">
        <v>433</v>
      </c>
      <c r="E17831">
        <v>71321</v>
      </c>
      <c r="F17831">
        <v>3.0834509897410201E-7</v>
      </c>
      <c r="G17831">
        <v>120595</v>
      </c>
      <c r="H17831">
        <v>14801423</v>
      </c>
      <c r="I17831">
        <v>547975</v>
      </c>
      <c r="J17831">
        <v>2</v>
      </c>
    </row>
    <row r="17832" spans="1:10" x14ac:dyDescent="0.25">
      <c r="A17832" t="s">
        <v>186</v>
      </c>
      <c r="B17832" s="1" t="str">
        <f>HYPERLINK("http://hitachiomd.com","hitachiomd.com")</f>
        <v>hitachiomd.com</v>
      </c>
      <c r="C17832" t="s">
        <v>433</v>
      </c>
      <c r="F17832">
        <v>7.3409390771773497E-9</v>
      </c>
      <c r="G17832">
        <v>11381815</v>
      </c>
      <c r="H17832">
        <v>12875374</v>
      </c>
      <c r="I17832">
        <v>14033241</v>
      </c>
      <c r="J17832">
        <v>5</v>
      </c>
    </row>
    <row r="17833" spans="1:10" x14ac:dyDescent="0.25">
      <c r="A17833" t="s">
        <v>186</v>
      </c>
      <c r="B17833" s="1" t="str">
        <f>HYPERLINK("http://hitachirail.com","hitachirail.com")</f>
        <v>hitachirail.com</v>
      </c>
      <c r="C17833" t="s">
        <v>433</v>
      </c>
      <c r="E17833">
        <v>344743</v>
      </c>
      <c r="F17833">
        <v>1.83817917592306E-7</v>
      </c>
      <c r="G17833">
        <v>209785</v>
      </c>
      <c r="H17833">
        <v>14928792</v>
      </c>
      <c r="I17833">
        <v>448252</v>
      </c>
      <c r="J17833">
        <v>3</v>
      </c>
    </row>
    <row r="17834" spans="1:10" x14ac:dyDescent="0.25">
      <c r="A17834" t="s">
        <v>186</v>
      </c>
      <c r="B17834" s="1" t="str">
        <f>HYPERLINK("http://hitachirail-eu.com","hitachirail-eu.com")</f>
        <v>hitachirail-eu.com</v>
      </c>
      <c r="C17834" t="s">
        <v>433</v>
      </c>
      <c r="F17834">
        <v>2.9418098014101299E-8</v>
      </c>
      <c r="G17834">
        <v>1751788</v>
      </c>
      <c r="H17834">
        <v>14608233</v>
      </c>
      <c r="I17834">
        <v>680045</v>
      </c>
      <c r="J17834">
        <v>3</v>
      </c>
    </row>
    <row r="17835" spans="1:10" x14ac:dyDescent="0.25">
      <c r="A17835" t="s">
        <v>186</v>
      </c>
      <c r="B17835" s="1" t="str">
        <f>HYPERLINK("http://hitachisolutions.com","hitachisolutions.com")</f>
        <v>hitachisolutions.com</v>
      </c>
      <c r="C17835" t="s">
        <v>433</v>
      </c>
      <c r="F17835">
        <v>1.7501465279027699E-8</v>
      </c>
      <c r="G17835">
        <v>3145773</v>
      </c>
      <c r="H17835">
        <v>13804283</v>
      </c>
      <c r="I17835">
        <v>6249932</v>
      </c>
      <c r="J17835">
        <v>5</v>
      </c>
    </row>
    <row r="17836" spans="1:10" x14ac:dyDescent="0.25">
      <c r="A17836" t="s">
        <v>186</v>
      </c>
      <c r="B17836" s="1" t="str">
        <f>HYPERLINK("http://hitachivantara.com","hitachivantara.com")</f>
        <v>hitachivantara.com</v>
      </c>
      <c r="C17836" t="s">
        <v>433</v>
      </c>
      <c r="E17836">
        <v>29281</v>
      </c>
      <c r="F17836">
        <v>1.2426665918151301E-6</v>
      </c>
      <c r="G17836">
        <v>31344</v>
      </c>
      <c r="H17836">
        <v>17435560</v>
      </c>
      <c r="I17836">
        <v>16946</v>
      </c>
      <c r="J17836">
        <v>2</v>
      </c>
    </row>
    <row r="17837" spans="1:10" x14ac:dyDescent="0.25">
      <c r="A17837" t="s">
        <v>186</v>
      </c>
      <c r="B17837" s="1" t="str">
        <f>HYPERLINK("http://hldsgw.com","hldsgw.com")</f>
        <v>hldsgw.com</v>
      </c>
      <c r="C17837" t="s">
        <v>433</v>
      </c>
      <c r="J17837">
        <v>6</v>
      </c>
    </row>
    <row r="17838" spans="1:10" x14ac:dyDescent="0.25">
      <c r="A17838" t="s">
        <v>186</v>
      </c>
      <c r="B17838" s="1" t="str">
        <f>HYPERLINK("http://horizonnuclearpower.com","horizonnuclearpower.com")</f>
        <v>horizonnuclearpower.com</v>
      </c>
      <c r="C17838" t="s">
        <v>433</v>
      </c>
      <c r="F17838">
        <v>4.59579388380873E-8</v>
      </c>
      <c r="G17838">
        <v>1021686</v>
      </c>
      <c r="H17838">
        <v>14591293</v>
      </c>
      <c r="I17838">
        <v>694817</v>
      </c>
      <c r="J17838">
        <v>4</v>
      </c>
    </row>
    <row r="17839" spans="1:10" x14ac:dyDescent="0.25">
      <c r="A17839" t="s">
        <v>186</v>
      </c>
      <c r="B17839" s="1" t="str">
        <f>HYPERLINK("http://indus.com","indus.com")</f>
        <v>indus.com</v>
      </c>
      <c r="C17839" t="s">
        <v>433</v>
      </c>
      <c r="F17839">
        <v>5.2775434578941901E-9</v>
      </c>
      <c r="G17839">
        <v>23826208</v>
      </c>
      <c r="H17839">
        <v>12392551</v>
      </c>
      <c r="I17839">
        <v>18989853</v>
      </c>
      <c r="J17839">
        <v>4</v>
      </c>
    </row>
    <row r="17840" spans="1:10" x14ac:dyDescent="0.25">
      <c r="A17840" t="s">
        <v>186</v>
      </c>
      <c r="B17840" s="1" t="str">
        <f>HYPERLINK("http://jsnavi.com","jsnavi.com")</f>
        <v>jsnavi.com</v>
      </c>
      <c r="C17840" t="s">
        <v>433</v>
      </c>
      <c r="J17840">
        <v>6</v>
      </c>
    </row>
    <row r="17841" spans="1:10" x14ac:dyDescent="0.25">
      <c r="A17841" t="s">
        <v>186</v>
      </c>
      <c r="B17841" s="1" t="str">
        <f>HYPERLINK("http://kawasakiloaders.com","kawasakiloaders.com")</f>
        <v>kawasakiloaders.com</v>
      </c>
      <c r="C17841" t="s">
        <v>433</v>
      </c>
      <c r="F17841">
        <v>6.3122916481564196E-9</v>
      </c>
      <c r="G17841">
        <v>14972510</v>
      </c>
      <c r="H17841">
        <v>12258283</v>
      </c>
      <c r="I17841">
        <v>21810627</v>
      </c>
      <c r="J17841">
        <v>7</v>
      </c>
    </row>
    <row r="17842" spans="1:10" x14ac:dyDescent="0.25">
      <c r="A17842" t="s">
        <v>186</v>
      </c>
      <c r="B17842" s="1" t="str">
        <f>HYPERLINK("http://kepvpp3.com","kepvpp3.com")</f>
        <v>kepvpp3.com</v>
      </c>
      <c r="C17842" t="s">
        <v>433</v>
      </c>
      <c r="J17842">
        <v>2</v>
      </c>
    </row>
    <row r="17843" spans="1:10" x14ac:dyDescent="0.25">
      <c r="A17843" t="s">
        <v>186</v>
      </c>
      <c r="B17843" s="1" t="str">
        <f>HYPERLINK("http://perpetuum.com","perpetuum.com")</f>
        <v>perpetuum.com</v>
      </c>
      <c r="C17843" t="s">
        <v>433</v>
      </c>
      <c r="F17843">
        <v>3.2810718385686901E-8</v>
      </c>
      <c r="G17843">
        <v>1574617</v>
      </c>
      <c r="H17843">
        <v>14280728</v>
      </c>
      <c r="I17843">
        <v>1379624</v>
      </c>
      <c r="J17843">
        <v>6</v>
      </c>
    </row>
    <row r="17844" spans="1:10" x14ac:dyDescent="0.25">
      <c r="A17844" t="s">
        <v>186</v>
      </c>
      <c r="B17844" s="1" t="str">
        <f>HYPERLINK("http://sullair.com","sullair.com")</f>
        <v>sullair.com</v>
      </c>
      <c r="C17844" t="s">
        <v>433</v>
      </c>
      <c r="E17844">
        <v>615077</v>
      </c>
      <c r="F17844">
        <v>9.6718917600071899E-8</v>
      </c>
      <c r="G17844">
        <v>417913</v>
      </c>
      <c r="H17844">
        <v>14123232</v>
      </c>
      <c r="I17844">
        <v>2183452</v>
      </c>
      <c r="J17844">
        <v>2</v>
      </c>
    </row>
    <row r="17845" spans="1:10" x14ac:dyDescent="0.25">
      <c r="A17845" t="s">
        <v>186</v>
      </c>
      <c r="B17845" s="1" t="str">
        <f>HYPERLINK("http://twx-21.com","twx-21.com")</f>
        <v>twx-21.com</v>
      </c>
      <c r="C17845" t="s">
        <v>433</v>
      </c>
      <c r="F17845">
        <v>5.41911317079553E-9</v>
      </c>
      <c r="G17845">
        <v>21872093</v>
      </c>
      <c r="H17845">
        <v>10393392</v>
      </c>
      <c r="I17845">
        <v>54344846</v>
      </c>
      <c r="J17845">
        <v>2</v>
      </c>
    </row>
    <row r="17846" spans="1:10" x14ac:dyDescent="0.25">
      <c r="A17846" t="s">
        <v>186</v>
      </c>
      <c r="B17846" s="1" t="str">
        <f>HYPERLINK("http://webedi-his.com","webedi-his.com")</f>
        <v>webedi-his.com</v>
      </c>
      <c r="C17846" t="s">
        <v>433</v>
      </c>
      <c r="J17846">
        <v>2</v>
      </c>
    </row>
    <row r="17847" spans="1:10" x14ac:dyDescent="0.25">
      <c r="A17847" t="s">
        <v>186</v>
      </c>
      <c r="B17847" s="1" t="str">
        <f>HYPERLINK("http://hitachi-solutions.de","hitachi-solutions.de")</f>
        <v>hitachi-solutions.de</v>
      </c>
      <c r="C17847" t="s">
        <v>436</v>
      </c>
      <c r="D17847" t="s">
        <v>815</v>
      </c>
      <c r="F17847">
        <v>3.3262302962118798E-8</v>
      </c>
      <c r="G17847">
        <v>1553546</v>
      </c>
      <c r="H17847">
        <v>13809219</v>
      </c>
      <c r="I17847">
        <v>6216691</v>
      </c>
      <c r="J17847">
        <v>3</v>
      </c>
    </row>
    <row r="17848" spans="1:10" x14ac:dyDescent="0.25">
      <c r="A17848" t="s">
        <v>186</v>
      </c>
      <c r="B17848" s="1" t="str">
        <f>HYPERLINK("http://hitachi.eu","hitachi.eu")</f>
        <v>hitachi.eu</v>
      </c>
      <c r="C17848" t="s">
        <v>444</v>
      </c>
      <c r="E17848">
        <v>137313</v>
      </c>
      <c r="F17848">
        <v>2.9605090424146501E-7</v>
      </c>
      <c r="G17848">
        <v>125652</v>
      </c>
      <c r="H17848">
        <v>17220174</v>
      </c>
      <c r="I17848">
        <v>38407</v>
      </c>
      <c r="J17848">
        <v>2</v>
      </c>
    </row>
    <row r="17849" spans="1:10" x14ac:dyDescent="0.25">
      <c r="A17849" t="s">
        <v>186</v>
      </c>
      <c r="B17849" s="1" t="str">
        <f>HYPERLINK("http://hitachicm.eu","hitachicm.eu")</f>
        <v>hitachicm.eu</v>
      </c>
      <c r="C17849" t="s">
        <v>444</v>
      </c>
      <c r="E17849">
        <v>675717</v>
      </c>
      <c r="F17849">
        <v>8.9059876073980101E-8</v>
      </c>
      <c r="G17849">
        <v>459015</v>
      </c>
      <c r="H17849">
        <v>13883085</v>
      </c>
      <c r="I17849">
        <v>5975038</v>
      </c>
      <c r="J17849">
        <v>4</v>
      </c>
    </row>
    <row r="17850" spans="1:10" x14ac:dyDescent="0.25">
      <c r="A17850" t="s">
        <v>186</v>
      </c>
      <c r="B17850" s="1" t="str">
        <f>HYPERLINK("http://hitachi.fi","hitachi.fi")</f>
        <v>hitachi.fi</v>
      </c>
      <c r="C17850" t="s">
        <v>445</v>
      </c>
      <c r="D17850" t="s">
        <v>823</v>
      </c>
      <c r="F17850">
        <v>6.74139406051327E-9</v>
      </c>
      <c r="G17850">
        <v>13158147</v>
      </c>
      <c r="H17850">
        <v>10549043</v>
      </c>
      <c r="I17850">
        <v>46738520</v>
      </c>
      <c r="J17850">
        <v>2</v>
      </c>
    </row>
    <row r="17851" spans="1:10" x14ac:dyDescent="0.25">
      <c r="A17851" t="s">
        <v>186</v>
      </c>
      <c r="B17851" s="1" t="str">
        <f>HYPERLINK("http://hitachi-capital.fi","hitachi-capital.fi")</f>
        <v>hitachi-capital.fi</v>
      </c>
      <c r="C17851" t="s">
        <v>445</v>
      </c>
      <c r="D17851" t="s">
        <v>823</v>
      </c>
      <c r="J17851">
        <v>2</v>
      </c>
    </row>
    <row r="17852" spans="1:10" x14ac:dyDescent="0.25">
      <c r="A17852" t="s">
        <v>186</v>
      </c>
      <c r="B17852" s="1" t="str">
        <f>HYPERLINK("http://hitachi-hightech.fi","hitachi-hightech.fi")</f>
        <v>hitachi-hightech.fi</v>
      </c>
      <c r="C17852" t="s">
        <v>445</v>
      </c>
      <c r="D17852" t="s">
        <v>823</v>
      </c>
      <c r="J17852">
        <v>2</v>
      </c>
    </row>
    <row r="17853" spans="1:10" x14ac:dyDescent="0.25">
      <c r="A17853" t="s">
        <v>186</v>
      </c>
      <c r="B17853" s="1" t="str">
        <f>HYPERLINK("http://hitachi-hightechnologies.fi","hitachi-hightechnologies.fi")</f>
        <v>hitachi-hightechnologies.fi</v>
      </c>
      <c r="C17853" t="s">
        <v>445</v>
      </c>
      <c r="D17853" t="s">
        <v>823</v>
      </c>
      <c r="J17853">
        <v>2</v>
      </c>
    </row>
    <row r="17854" spans="1:10" x14ac:dyDescent="0.25">
      <c r="A17854" t="s">
        <v>186</v>
      </c>
      <c r="B17854" s="1" t="str">
        <f>HYPERLINK("http://hitachicapital.fi","hitachicapital.fi")</f>
        <v>hitachicapital.fi</v>
      </c>
      <c r="C17854" t="s">
        <v>445</v>
      </c>
      <c r="D17854" t="s">
        <v>823</v>
      </c>
      <c r="J17854">
        <v>2</v>
      </c>
    </row>
    <row r="17855" spans="1:10" x14ac:dyDescent="0.25">
      <c r="A17855" t="s">
        <v>186</v>
      </c>
      <c r="B17855" s="1" t="str">
        <f>HYPERLINK("http://hitachihightech.fi","hitachihightech.fi")</f>
        <v>hitachihightech.fi</v>
      </c>
      <c r="C17855" t="s">
        <v>445</v>
      </c>
      <c r="D17855" t="s">
        <v>823</v>
      </c>
      <c r="J17855">
        <v>2</v>
      </c>
    </row>
    <row r="17856" spans="1:10" x14ac:dyDescent="0.25">
      <c r="A17856" t="s">
        <v>186</v>
      </c>
      <c r="B17856" s="1" t="str">
        <f>HYPERLINK("http://hitachihightechnologies.fi","hitachihightechnologies.fi")</f>
        <v>hitachihightechnologies.fi</v>
      </c>
      <c r="C17856" t="s">
        <v>445</v>
      </c>
      <c r="D17856" t="s">
        <v>823</v>
      </c>
      <c r="J17856">
        <v>2</v>
      </c>
    </row>
    <row r="17857" spans="1:10" x14ac:dyDescent="0.25">
      <c r="A17857" t="s">
        <v>186</v>
      </c>
      <c r="B17857" s="1" t="str">
        <f>HYPERLINK("http://hitachi-solutions.fr","hitachi-solutions.fr")</f>
        <v>hitachi-solutions.fr</v>
      </c>
      <c r="C17857" t="s">
        <v>446</v>
      </c>
      <c r="D17857" t="s">
        <v>824</v>
      </c>
      <c r="F17857">
        <v>3.3297463283121499E-8</v>
      </c>
      <c r="G17857">
        <v>1552022</v>
      </c>
      <c r="H17857">
        <v>13199415</v>
      </c>
      <c r="I17857">
        <v>11554487</v>
      </c>
      <c r="J17857">
        <v>3</v>
      </c>
    </row>
    <row r="17858" spans="1:10" x14ac:dyDescent="0.25">
      <c r="A17858" t="s">
        <v>186</v>
      </c>
      <c r="B17858" s="1" t="str">
        <f>HYPERLINK("http://hitachi.com.hk","hitachi.com.hk")</f>
        <v>hitachi.com.hk</v>
      </c>
      <c r="C17858" t="s">
        <v>450</v>
      </c>
      <c r="D17858" t="s">
        <v>827</v>
      </c>
      <c r="E17858">
        <v>803601</v>
      </c>
      <c r="F17858">
        <v>2.24107300873298E-8</v>
      </c>
      <c r="G17858">
        <v>2338551</v>
      </c>
      <c r="H17858">
        <v>13560542</v>
      </c>
      <c r="I17858">
        <v>9850221</v>
      </c>
      <c r="J17858">
        <v>2</v>
      </c>
    </row>
    <row r="17859" spans="1:10" x14ac:dyDescent="0.25">
      <c r="A17859" t="s">
        <v>186</v>
      </c>
      <c r="B17859" s="1" t="str">
        <f>HYPERLINK("http://hitachi.co.id","hitachi.co.id")</f>
        <v>hitachi.co.id</v>
      </c>
      <c r="C17859" t="s">
        <v>454</v>
      </c>
      <c r="D17859" t="s">
        <v>831</v>
      </c>
      <c r="F17859">
        <v>1.79455027587916E-8</v>
      </c>
      <c r="G17859">
        <v>3043866</v>
      </c>
      <c r="H17859">
        <v>12615985</v>
      </c>
      <c r="I17859">
        <v>16129161</v>
      </c>
      <c r="J17859">
        <v>2</v>
      </c>
    </row>
    <row r="17860" spans="1:10" x14ac:dyDescent="0.25">
      <c r="A17860" t="s">
        <v>186</v>
      </c>
      <c r="B17860" s="1" t="str">
        <f>HYPERLINK("http://hitachi.co.in","hitachi.co.in")</f>
        <v>hitachi.co.in</v>
      </c>
      <c r="C17860" t="s">
        <v>457</v>
      </c>
      <c r="D17860" t="s">
        <v>834</v>
      </c>
      <c r="E17860">
        <v>346731</v>
      </c>
      <c r="F17860">
        <v>4.6068685722298699E-8</v>
      </c>
      <c r="G17860">
        <v>1018250</v>
      </c>
      <c r="H17860">
        <v>13525772</v>
      </c>
      <c r="I17860">
        <v>9932239</v>
      </c>
      <c r="J17860">
        <v>2</v>
      </c>
    </row>
    <row r="17861" spans="1:10" x14ac:dyDescent="0.25">
      <c r="A17861" t="s">
        <v>186</v>
      </c>
      <c r="B17861" s="1" t="str">
        <f>HYPERLINK("http://tata.in","tata.in")</f>
        <v>tata.in</v>
      </c>
      <c r="C17861" t="s">
        <v>457</v>
      </c>
      <c r="D17861" t="s">
        <v>834</v>
      </c>
      <c r="F17861">
        <v>2.1825098915964399E-8</v>
      </c>
      <c r="G17861">
        <v>2406941</v>
      </c>
      <c r="H17861">
        <v>14425389</v>
      </c>
      <c r="I17861">
        <v>1080314</v>
      </c>
      <c r="J17861">
        <v>6</v>
      </c>
    </row>
    <row r="17862" spans="1:10" x14ac:dyDescent="0.25">
      <c r="A17862" t="s">
        <v>186</v>
      </c>
      <c r="B17862" s="1" t="str">
        <f>HYPERLINK("http://ansaldobreda.it","ansaldobreda.it")</f>
        <v>ansaldobreda.it</v>
      </c>
      <c r="C17862" t="s">
        <v>459</v>
      </c>
      <c r="D17862" t="s">
        <v>835</v>
      </c>
      <c r="F17862">
        <v>1.85159476017475E-8</v>
      </c>
      <c r="G17862">
        <v>2922692</v>
      </c>
      <c r="H17862">
        <v>14687119</v>
      </c>
      <c r="I17862">
        <v>604240</v>
      </c>
      <c r="J17862">
        <v>3</v>
      </c>
    </row>
    <row r="17863" spans="1:10" x14ac:dyDescent="0.25">
      <c r="A17863" t="s">
        <v>186</v>
      </c>
      <c r="B17863" s="1" t="str">
        <f>HYPERLINK("http://anchaku.jp","anchaku.jp")</f>
        <v>anchaku.jp</v>
      </c>
      <c r="C17863" t="s">
        <v>461</v>
      </c>
      <c r="D17863" t="s">
        <v>837</v>
      </c>
      <c r="J17863">
        <v>2</v>
      </c>
    </row>
    <row r="17864" spans="1:10" x14ac:dyDescent="0.25">
      <c r="A17864" t="s">
        <v>186</v>
      </c>
      <c r="B17864" s="1" t="str">
        <f>HYPERLINK("http://hbs.co.jp","hbs.co.jp")</f>
        <v>hbs.co.jp</v>
      </c>
      <c r="C17864" t="s">
        <v>461</v>
      </c>
      <c r="D17864" t="s">
        <v>837</v>
      </c>
      <c r="E17864">
        <v>997725</v>
      </c>
      <c r="F17864">
        <v>3.57626549486326E-8</v>
      </c>
      <c r="G17864">
        <v>1456162</v>
      </c>
      <c r="H17864">
        <v>14127468</v>
      </c>
      <c r="I17864">
        <v>2083416</v>
      </c>
      <c r="J17864">
        <v>5</v>
      </c>
    </row>
    <row r="17865" spans="1:10" x14ac:dyDescent="0.25">
      <c r="A17865" t="s">
        <v>186</v>
      </c>
      <c r="B17865" s="1" t="str">
        <f>HYPERLINK("http://hitachi.co.jp","hitachi.co.jp")</f>
        <v>hitachi.co.jp</v>
      </c>
      <c r="C17865" t="s">
        <v>461</v>
      </c>
      <c r="D17865" t="s">
        <v>837</v>
      </c>
      <c r="E17865">
        <v>20207</v>
      </c>
      <c r="F17865">
        <v>1.63671513497342E-6</v>
      </c>
      <c r="G17865">
        <v>24122</v>
      </c>
      <c r="H17865">
        <v>15716485</v>
      </c>
      <c r="I17865">
        <v>369424</v>
      </c>
      <c r="J17865">
        <v>1</v>
      </c>
    </row>
    <row r="17866" spans="1:10" x14ac:dyDescent="0.25">
      <c r="A17866" t="s">
        <v>186</v>
      </c>
      <c r="B17866" s="1" t="str">
        <f>HYPERLINK("http://hitachi-gls.co.jp","hitachi-gls.co.jp")</f>
        <v>hitachi-gls.co.jp</v>
      </c>
      <c r="C17866" t="s">
        <v>461</v>
      </c>
      <c r="D17866" t="s">
        <v>837</v>
      </c>
      <c r="E17866">
        <v>644632</v>
      </c>
      <c r="F17866">
        <v>6.2321856190620306E-8</v>
      </c>
      <c r="G17866">
        <v>704506</v>
      </c>
      <c r="H17866">
        <v>14124739</v>
      </c>
      <c r="I17866">
        <v>2137411</v>
      </c>
      <c r="J17866">
        <v>3</v>
      </c>
    </row>
    <row r="17867" spans="1:10" x14ac:dyDescent="0.25">
      <c r="A17867" t="s">
        <v>186</v>
      </c>
      <c r="B17867" s="1" t="str">
        <f>HYPERLINK("http://hitachi-hgne.co.jp","hitachi-hgne.co.jp")</f>
        <v>hitachi-hgne.co.jp</v>
      </c>
      <c r="C17867" t="s">
        <v>461</v>
      </c>
      <c r="D17867" t="s">
        <v>837</v>
      </c>
      <c r="E17867">
        <v>876551</v>
      </c>
      <c r="F17867">
        <v>3.0131339672815799E-8</v>
      </c>
      <c r="G17867">
        <v>1707799</v>
      </c>
      <c r="H17867">
        <v>14263187</v>
      </c>
      <c r="I17867">
        <v>1413194</v>
      </c>
      <c r="J17867">
        <v>3</v>
      </c>
    </row>
    <row r="17868" spans="1:10" x14ac:dyDescent="0.25">
      <c r="A17868" t="s">
        <v>186</v>
      </c>
      <c r="B17868" s="1" t="str">
        <f>HYPERLINK("http://hitachi-hoken.co.jp","hitachi-hoken.co.jp")</f>
        <v>hitachi-hoken.co.jp</v>
      </c>
      <c r="C17868" t="s">
        <v>461</v>
      </c>
      <c r="D17868" t="s">
        <v>837</v>
      </c>
      <c r="F17868">
        <v>9.9590776281957796E-9</v>
      </c>
      <c r="G17868">
        <v>6797115</v>
      </c>
      <c r="H17868">
        <v>14072100</v>
      </c>
      <c r="I17868">
        <v>3163079</v>
      </c>
      <c r="J17868">
        <v>3</v>
      </c>
    </row>
    <row r="17869" spans="1:10" x14ac:dyDescent="0.25">
      <c r="A17869" t="s">
        <v>186</v>
      </c>
      <c r="B17869" s="1" t="str">
        <f>HYPERLINK("http://hitachi-hps.co.jp","hitachi-hps.co.jp")</f>
        <v>hitachi-hps.co.jp</v>
      </c>
      <c r="C17869" t="s">
        <v>461</v>
      </c>
      <c r="D17869" t="s">
        <v>837</v>
      </c>
      <c r="F17869">
        <v>1.5688534015156099E-8</v>
      </c>
      <c r="G17869">
        <v>3630684</v>
      </c>
      <c r="H17869">
        <v>13064628</v>
      </c>
      <c r="I17869">
        <v>12296377</v>
      </c>
      <c r="J17869">
        <v>3</v>
      </c>
    </row>
    <row r="17870" spans="1:10" x14ac:dyDescent="0.25">
      <c r="A17870" t="s">
        <v>186</v>
      </c>
      <c r="B17870" s="1" t="str">
        <f>HYPERLINK("http://hitachi-ics.co.jp","hitachi-ics.co.jp")</f>
        <v>hitachi-ics.co.jp</v>
      </c>
      <c r="C17870" t="s">
        <v>461</v>
      </c>
      <c r="D17870" t="s">
        <v>837</v>
      </c>
      <c r="F17870">
        <v>4.6260273739978997E-8</v>
      </c>
      <c r="G17870">
        <v>1012302</v>
      </c>
      <c r="H17870">
        <v>13022144</v>
      </c>
      <c r="I17870">
        <v>12704716</v>
      </c>
      <c r="J17870">
        <v>3</v>
      </c>
    </row>
    <row r="17871" spans="1:10" x14ac:dyDescent="0.25">
      <c r="A17871" t="s">
        <v>186</v>
      </c>
      <c r="B17871" s="1" t="str">
        <f>HYPERLINK("http://hitachi-ies.co.jp","hitachi-ies.co.jp")</f>
        <v>hitachi-ies.co.jp</v>
      </c>
      <c r="C17871" t="s">
        <v>461</v>
      </c>
      <c r="D17871" t="s">
        <v>837</v>
      </c>
      <c r="E17871">
        <v>494108</v>
      </c>
      <c r="F17871">
        <v>1.03414392789169E-7</v>
      </c>
      <c r="G17871">
        <v>387988</v>
      </c>
      <c r="H17871">
        <v>14354377</v>
      </c>
      <c r="I17871">
        <v>1307263</v>
      </c>
      <c r="J17871">
        <v>3</v>
      </c>
    </row>
    <row r="17872" spans="1:10" x14ac:dyDescent="0.25">
      <c r="A17872" t="s">
        <v>186</v>
      </c>
      <c r="B17872" s="1" t="str">
        <f>HYPERLINK("http://hitachi-im.co.jp","hitachi-im.co.jp")</f>
        <v>hitachi-im.co.jp</v>
      </c>
      <c r="C17872" t="s">
        <v>461</v>
      </c>
      <c r="D17872" t="s">
        <v>837</v>
      </c>
      <c r="F17872">
        <v>5.6564751631801797E-9</v>
      </c>
      <c r="G17872">
        <v>19335208</v>
      </c>
      <c r="H17872">
        <v>10861460</v>
      </c>
      <c r="I17872">
        <v>36647541</v>
      </c>
      <c r="J17872">
        <v>4</v>
      </c>
    </row>
    <row r="17873" spans="1:10" x14ac:dyDescent="0.25">
      <c r="A17873" t="s">
        <v>186</v>
      </c>
      <c r="B17873" s="1" t="str">
        <f>HYPERLINK("http://hitachi-ip.co.jp","hitachi-ip.co.jp")</f>
        <v>hitachi-ip.co.jp</v>
      </c>
      <c r="C17873" t="s">
        <v>461</v>
      </c>
      <c r="D17873" t="s">
        <v>837</v>
      </c>
      <c r="F17873">
        <v>1.0046247622061401E-8</v>
      </c>
      <c r="G17873">
        <v>6709307</v>
      </c>
      <c r="H17873">
        <v>12642402</v>
      </c>
      <c r="I17873">
        <v>15851457</v>
      </c>
      <c r="J17873">
        <v>3</v>
      </c>
    </row>
    <row r="17874" spans="1:10" x14ac:dyDescent="0.25">
      <c r="A17874" t="s">
        <v>186</v>
      </c>
      <c r="B17874" s="1" t="str">
        <f>HYPERLINK("http://hitachi-ite.co.jp","hitachi-ite.co.jp")</f>
        <v>hitachi-ite.co.jp</v>
      </c>
      <c r="C17874" t="s">
        <v>461</v>
      </c>
      <c r="D17874" t="s">
        <v>837</v>
      </c>
      <c r="F17874">
        <v>3.46073038567586E-8</v>
      </c>
      <c r="G17874">
        <v>1499307</v>
      </c>
      <c r="H17874">
        <v>14088606</v>
      </c>
      <c r="I17874">
        <v>2757786</v>
      </c>
      <c r="J17874">
        <v>2</v>
      </c>
    </row>
    <row r="17875" spans="1:10" x14ac:dyDescent="0.25">
      <c r="A17875" t="s">
        <v>186</v>
      </c>
      <c r="B17875" s="1" t="str">
        <f>HYPERLINK("http://hitachi-omron-ts.co.jp","hitachi-omron-ts.co.jp")</f>
        <v>hitachi-omron-ts.co.jp</v>
      </c>
      <c r="C17875" t="s">
        <v>461</v>
      </c>
      <c r="D17875" t="s">
        <v>837</v>
      </c>
      <c r="F17875">
        <v>9.3194206843987804E-9</v>
      </c>
      <c r="G17875">
        <v>7547607</v>
      </c>
      <c r="H17875">
        <v>14076444</v>
      </c>
      <c r="I17875">
        <v>2887193</v>
      </c>
      <c r="J17875">
        <v>3</v>
      </c>
    </row>
    <row r="17876" spans="1:10" x14ac:dyDescent="0.25">
      <c r="A17876" t="s">
        <v>186</v>
      </c>
      <c r="B17876" s="1" t="str">
        <f>HYPERLINK("http://hitachi-power-semiconductor-device.co.jp","hitachi-power-semiconductor-device.co.jp")</f>
        <v>hitachi-power-semiconductor-device.co.jp</v>
      </c>
      <c r="C17876" t="s">
        <v>461</v>
      </c>
      <c r="D17876" t="s">
        <v>837</v>
      </c>
      <c r="F17876">
        <v>1.5389926183671899E-8</v>
      </c>
      <c r="G17876">
        <v>3718645</v>
      </c>
      <c r="H17876">
        <v>12432547</v>
      </c>
      <c r="I17876">
        <v>18265056</v>
      </c>
      <c r="J17876">
        <v>3</v>
      </c>
    </row>
    <row r="17877" spans="1:10" x14ac:dyDescent="0.25">
      <c r="A17877" t="s">
        <v>186</v>
      </c>
      <c r="B17877" s="1" t="str">
        <f>HYPERLINK("http://hitachi-solutions.co.jp","hitachi-solutions.co.jp")</f>
        <v>hitachi-solutions.co.jp</v>
      </c>
      <c r="C17877" t="s">
        <v>461</v>
      </c>
      <c r="D17877" t="s">
        <v>837</v>
      </c>
      <c r="E17877">
        <v>247273</v>
      </c>
      <c r="F17877">
        <v>4.2211760193704E-7</v>
      </c>
      <c r="G17877">
        <v>89236</v>
      </c>
      <c r="H17877">
        <v>15082016</v>
      </c>
      <c r="I17877">
        <v>409261</v>
      </c>
      <c r="J17877">
        <v>3</v>
      </c>
    </row>
    <row r="17878" spans="1:10" x14ac:dyDescent="0.25">
      <c r="A17878" t="s">
        <v>186</v>
      </c>
      <c r="B17878" s="1" t="str">
        <f>HYPERLINK("http://hitachi-systems-es.co.jp","hitachi-systems-es.co.jp")</f>
        <v>hitachi-systems-es.co.jp</v>
      </c>
      <c r="C17878" t="s">
        <v>461</v>
      </c>
      <c r="D17878" t="s">
        <v>837</v>
      </c>
      <c r="F17878">
        <v>9.5318107838027099E-9</v>
      </c>
      <c r="G17878">
        <v>7284893</v>
      </c>
      <c r="H17878">
        <v>12553633</v>
      </c>
      <c r="I17878">
        <v>16795479</v>
      </c>
      <c r="J17878">
        <v>4</v>
      </c>
    </row>
    <row r="17879" spans="1:10" x14ac:dyDescent="0.25">
      <c r="A17879" t="s">
        <v>186</v>
      </c>
      <c r="B17879" s="1" t="str">
        <f>HYPERLINK("http://hlds.co.jp","hlds.co.jp")</f>
        <v>hlds.co.jp</v>
      </c>
      <c r="C17879" t="s">
        <v>461</v>
      </c>
      <c r="D17879" t="s">
        <v>837</v>
      </c>
      <c r="F17879">
        <v>1.4474745152709501E-8</v>
      </c>
      <c r="G17879">
        <v>4031215</v>
      </c>
      <c r="H17879">
        <v>13768516</v>
      </c>
      <c r="I17879">
        <v>6869858</v>
      </c>
      <c r="J17879">
        <v>3</v>
      </c>
    </row>
    <row r="17880" spans="1:10" x14ac:dyDescent="0.25">
      <c r="A17880" t="s">
        <v>186</v>
      </c>
      <c r="B17880" s="1" t="str">
        <f>HYPERLINK("http://hgw.jp","hgw.jp")</f>
        <v>hgw.jp</v>
      </c>
      <c r="C17880" t="s">
        <v>461</v>
      </c>
      <c r="D17880" t="s">
        <v>837</v>
      </c>
      <c r="J17880">
        <v>2</v>
      </c>
    </row>
    <row r="17881" spans="1:10" x14ac:dyDescent="0.25">
      <c r="A17881" t="s">
        <v>186</v>
      </c>
      <c r="B17881" s="1" t="str">
        <f>HYPERLINK("http://hitachi-automotive.jp","hitachi-automotive.jp")</f>
        <v>hitachi-automotive.jp</v>
      </c>
      <c r="C17881" t="s">
        <v>461</v>
      </c>
      <c r="D17881" t="s">
        <v>837</v>
      </c>
      <c r="J17881">
        <v>4</v>
      </c>
    </row>
    <row r="17882" spans="1:10" x14ac:dyDescent="0.25">
      <c r="A17882" t="s">
        <v>186</v>
      </c>
      <c r="B17882" s="1" t="str">
        <f>HYPERLINK("http://hitachi.lg.jp","hitachi.lg.jp")</f>
        <v>hitachi.lg.jp</v>
      </c>
      <c r="C17882" t="s">
        <v>461</v>
      </c>
      <c r="D17882" t="s">
        <v>837</v>
      </c>
      <c r="E17882">
        <v>427001</v>
      </c>
      <c r="F17882">
        <v>1.7015032752734E-7</v>
      </c>
      <c r="G17882">
        <v>227981</v>
      </c>
      <c r="H17882">
        <v>14347545</v>
      </c>
      <c r="I17882">
        <v>1311204</v>
      </c>
      <c r="J17882">
        <v>2</v>
      </c>
    </row>
    <row r="17883" spans="1:10" x14ac:dyDescent="0.25">
      <c r="A17883" t="s">
        <v>186</v>
      </c>
      <c r="B17883" s="1" t="str">
        <f>HYPERLINK("http://hitachi.ne.jp","hitachi.ne.jp")</f>
        <v>hitachi.ne.jp</v>
      </c>
      <c r="C17883" t="s">
        <v>461</v>
      </c>
      <c r="D17883" t="s">
        <v>837</v>
      </c>
      <c r="F17883">
        <v>1.9206515032805899E-8</v>
      </c>
      <c r="G17883">
        <v>2797630</v>
      </c>
      <c r="H17883">
        <v>13360182</v>
      </c>
      <c r="I17883">
        <v>10587209</v>
      </c>
      <c r="J17883">
        <v>2</v>
      </c>
    </row>
    <row r="17884" spans="1:10" x14ac:dyDescent="0.25">
      <c r="A17884" t="s">
        <v>186</v>
      </c>
      <c r="B17884" s="1" t="str">
        <f>HYPERLINK("http://rohto-sr.jp","rohto-sr.jp")</f>
        <v>rohto-sr.jp</v>
      </c>
      <c r="C17884" t="s">
        <v>461</v>
      </c>
      <c r="D17884" t="s">
        <v>837</v>
      </c>
      <c r="J17884">
        <v>2</v>
      </c>
    </row>
    <row r="17885" spans="1:10" x14ac:dyDescent="0.25">
      <c r="A17885" t="s">
        <v>186</v>
      </c>
      <c r="B17885" s="1" t="str">
        <f>HYPERLINK("http://sccloud001.jp","sccloud001.jp")</f>
        <v>sccloud001.jp</v>
      </c>
      <c r="C17885" t="s">
        <v>461</v>
      </c>
      <c r="D17885" t="s">
        <v>837</v>
      </c>
      <c r="J17885">
        <v>2</v>
      </c>
    </row>
    <row r="17886" spans="1:10" x14ac:dyDescent="0.25">
      <c r="A17886" t="s">
        <v>186</v>
      </c>
      <c r="B17886" s="1" t="str">
        <f>HYPERLINK("http://sccloud002.jp","sccloud002.jp")</f>
        <v>sccloud002.jp</v>
      </c>
      <c r="C17886" t="s">
        <v>461</v>
      </c>
      <c r="D17886" t="s">
        <v>837</v>
      </c>
      <c r="J17886">
        <v>2</v>
      </c>
    </row>
    <row r="17887" spans="1:10" x14ac:dyDescent="0.25">
      <c r="A17887" t="s">
        <v>186</v>
      </c>
      <c r="B17887" s="1" t="str">
        <f>HYPERLINK("http://sccloud007.jp","sccloud007.jp")</f>
        <v>sccloud007.jp</v>
      </c>
      <c r="C17887" t="s">
        <v>461</v>
      </c>
      <c r="D17887" t="s">
        <v>837</v>
      </c>
      <c r="J17887">
        <v>2</v>
      </c>
    </row>
    <row r="17888" spans="1:10" x14ac:dyDescent="0.25">
      <c r="A17888" t="s">
        <v>186</v>
      </c>
      <c r="B17888" s="1" t="str">
        <f>HYPERLINK("http://hitachi.co.kr","hitachi.co.kr")</f>
        <v>hitachi.co.kr</v>
      </c>
      <c r="C17888" t="s">
        <v>463</v>
      </c>
      <c r="D17888" t="s">
        <v>839</v>
      </c>
      <c r="F17888">
        <v>1.9060744807965901E-8</v>
      </c>
      <c r="G17888">
        <v>2824684</v>
      </c>
      <c r="H17888">
        <v>14071925</v>
      </c>
      <c r="I17888">
        <v>3225400</v>
      </c>
      <c r="J17888">
        <v>2</v>
      </c>
    </row>
    <row r="17889" spans="1:10" x14ac:dyDescent="0.25">
      <c r="A17889" t="s">
        <v>186</v>
      </c>
      <c r="B17889" s="1" t="str">
        <f>HYPERLINK("http://hitachi.com.mm","hitachi.com.mm")</f>
        <v>hitachi.com.mm</v>
      </c>
      <c r="C17889" t="s">
        <v>513</v>
      </c>
      <c r="D17889" t="s">
        <v>887</v>
      </c>
      <c r="F17889">
        <v>8.6652507159072695E-9</v>
      </c>
      <c r="G17889">
        <v>8540626</v>
      </c>
      <c r="H17889">
        <v>12247852</v>
      </c>
      <c r="I17889">
        <v>22055731</v>
      </c>
      <c r="J17889">
        <v>3</v>
      </c>
    </row>
    <row r="17890" spans="1:10" x14ac:dyDescent="0.25">
      <c r="A17890" t="s">
        <v>186</v>
      </c>
      <c r="B17890" s="1" t="str">
        <f>HYPERLINK("http://hitachi.com.mx","hitachi.com.mx")</f>
        <v>hitachi.com.mx</v>
      </c>
      <c r="C17890" t="s">
        <v>471</v>
      </c>
      <c r="D17890" t="s">
        <v>847</v>
      </c>
      <c r="F17890">
        <v>1.69547001731371E-8</v>
      </c>
      <c r="G17890">
        <v>3294205</v>
      </c>
      <c r="H17890">
        <v>12349196</v>
      </c>
      <c r="I17890">
        <v>19778381</v>
      </c>
      <c r="J17890">
        <v>2</v>
      </c>
    </row>
    <row r="17891" spans="1:10" x14ac:dyDescent="0.25">
      <c r="A17891" t="s">
        <v>186</v>
      </c>
      <c r="B17891" s="1" t="str">
        <f>HYPERLINK("http://hitachi.com.my","hitachi.com.my")</f>
        <v>hitachi.com.my</v>
      </c>
      <c r="C17891" t="s">
        <v>472</v>
      </c>
      <c r="D17891" t="s">
        <v>848</v>
      </c>
      <c r="F17891">
        <v>1.5070844722329699E-8</v>
      </c>
      <c r="G17891">
        <v>3817089</v>
      </c>
      <c r="H17891">
        <v>14236402</v>
      </c>
      <c r="I17891">
        <v>1589166</v>
      </c>
      <c r="J17891">
        <v>2</v>
      </c>
    </row>
    <row r="17892" spans="1:10" x14ac:dyDescent="0.25">
      <c r="A17892" t="s">
        <v>186</v>
      </c>
      <c r="B17892" s="1" t="str">
        <f>HYPERLINK("http://hitachicm.com.my","hitachicm.com.my")</f>
        <v>hitachicm.com.my</v>
      </c>
      <c r="C17892" t="s">
        <v>472</v>
      </c>
      <c r="D17892" t="s">
        <v>848</v>
      </c>
      <c r="F17892">
        <v>6.2054164498286301E-9</v>
      </c>
      <c r="G17892">
        <v>15507620</v>
      </c>
      <c r="H17892">
        <v>10896535</v>
      </c>
      <c r="I17892">
        <v>35918427</v>
      </c>
      <c r="J17892">
        <v>4</v>
      </c>
    </row>
    <row r="17893" spans="1:10" x14ac:dyDescent="0.25">
      <c r="A17893" t="s">
        <v>186</v>
      </c>
      <c r="B17893" s="1" t="str">
        <f>HYPERLINK("http://finemax.net","finemax.net")</f>
        <v>finemax.net</v>
      </c>
      <c r="C17893" t="s">
        <v>474</v>
      </c>
      <c r="E17893">
        <v>347627</v>
      </c>
      <c r="F17893">
        <v>2.1541844973469402E-8</v>
      </c>
      <c r="G17893">
        <v>2443822</v>
      </c>
      <c r="H17893">
        <v>12396639</v>
      </c>
      <c r="I17893">
        <v>18901258</v>
      </c>
      <c r="J17893">
        <v>2</v>
      </c>
    </row>
    <row r="17894" spans="1:10" x14ac:dyDescent="0.25">
      <c r="A17894" t="s">
        <v>186</v>
      </c>
      <c r="B17894" s="1" t="str">
        <f>HYPERLINK("http://travelerswan.net","travelerswan.net")</f>
        <v>travelerswan.net</v>
      </c>
      <c r="C17894" t="s">
        <v>474</v>
      </c>
      <c r="J17894">
        <v>6</v>
      </c>
    </row>
    <row r="17895" spans="1:10" x14ac:dyDescent="0.25">
      <c r="A17895" t="s">
        <v>186</v>
      </c>
      <c r="B17895" s="1" t="str">
        <f>HYPERLINK("http://hitachicm.nl","hitachicm.nl")</f>
        <v>hitachicm.nl</v>
      </c>
      <c r="C17895" t="s">
        <v>477</v>
      </c>
      <c r="D17895" t="s">
        <v>852</v>
      </c>
      <c r="F17895">
        <v>1.1431377779986199E-8</v>
      </c>
      <c r="G17895">
        <v>5553294</v>
      </c>
      <c r="H17895">
        <v>12162297</v>
      </c>
      <c r="I17895">
        <v>24299762</v>
      </c>
      <c r="J17895">
        <v>4</v>
      </c>
    </row>
    <row r="17896" spans="1:10" x14ac:dyDescent="0.25">
      <c r="A17896" t="s">
        <v>186</v>
      </c>
      <c r="B17896" s="1" t="str">
        <f>HYPERLINK("http://hitachi.com.ph","hitachi.com.ph")</f>
        <v>hitachi.com.ph</v>
      </c>
      <c r="C17896" t="s">
        <v>484</v>
      </c>
      <c r="D17896" t="s">
        <v>858</v>
      </c>
      <c r="F17896">
        <v>1.4181757701423999E-8</v>
      </c>
      <c r="G17896">
        <v>4135603</v>
      </c>
      <c r="H17896">
        <v>12168029</v>
      </c>
      <c r="I17896">
        <v>24119424</v>
      </c>
      <c r="J17896">
        <v>2</v>
      </c>
    </row>
    <row r="17897" spans="1:10" x14ac:dyDescent="0.25">
      <c r="A17897" t="s">
        <v>186</v>
      </c>
      <c r="B17897" s="1" t="str">
        <f>HYPERLINK("http://hitachi.pl","hitachi.pl")</f>
        <v>hitachi.pl</v>
      </c>
      <c r="C17897" t="s">
        <v>486</v>
      </c>
      <c r="D17897" t="s">
        <v>860</v>
      </c>
      <c r="F17897">
        <v>1.46749381084554E-8</v>
      </c>
      <c r="G17897">
        <v>3949702</v>
      </c>
      <c r="H17897">
        <v>14374112</v>
      </c>
      <c r="I17897">
        <v>1248127</v>
      </c>
      <c r="J17897">
        <v>3</v>
      </c>
    </row>
    <row r="17898" spans="1:10" x14ac:dyDescent="0.25">
      <c r="A17898" t="s">
        <v>186</v>
      </c>
      <c r="B17898" s="1" t="str">
        <f>HYPERLINK("http://hitachi-solutions.pt","hitachi-solutions.pt")</f>
        <v>hitachi-solutions.pt</v>
      </c>
      <c r="C17898" t="s">
        <v>488</v>
      </c>
      <c r="D17898" t="s">
        <v>862</v>
      </c>
      <c r="F17898">
        <v>5.18852430651973E-9</v>
      </c>
      <c r="G17898">
        <v>25362036</v>
      </c>
      <c r="H17898">
        <v>10384195</v>
      </c>
      <c r="I17898">
        <v>54488483</v>
      </c>
      <c r="J17898">
        <v>4</v>
      </c>
    </row>
    <row r="17899" spans="1:10" x14ac:dyDescent="0.25">
      <c r="A17899" t="s">
        <v>186</v>
      </c>
      <c r="B17899" s="1" t="str">
        <f>HYPERLINK("http://hitachi.ru","hitachi.ru")</f>
        <v>hitachi.ru</v>
      </c>
      <c r="C17899" t="s">
        <v>493</v>
      </c>
      <c r="D17899" t="s">
        <v>867</v>
      </c>
      <c r="F17899">
        <v>4.13824702665575E-8</v>
      </c>
      <c r="G17899">
        <v>1209861</v>
      </c>
      <c r="H17899">
        <v>14073648</v>
      </c>
      <c r="I17899">
        <v>2980555</v>
      </c>
      <c r="J17899">
        <v>3</v>
      </c>
    </row>
    <row r="17900" spans="1:10" x14ac:dyDescent="0.25">
      <c r="A17900" t="s">
        <v>186</v>
      </c>
      <c r="B17900" s="1" t="str">
        <f>HYPERLINK("http://hitachicm.ru","hitachicm.ru")</f>
        <v>hitachicm.ru</v>
      </c>
      <c r="C17900" t="s">
        <v>493</v>
      </c>
      <c r="D17900" t="s">
        <v>867</v>
      </c>
      <c r="F17900">
        <v>1.6229349392911299E-8</v>
      </c>
      <c r="G17900">
        <v>3487970</v>
      </c>
      <c r="H17900">
        <v>14072460</v>
      </c>
      <c r="I17900">
        <v>3089385</v>
      </c>
      <c r="J17900">
        <v>4</v>
      </c>
    </row>
    <row r="17901" spans="1:10" x14ac:dyDescent="0.25">
      <c r="A17901" t="s">
        <v>186</v>
      </c>
      <c r="B17901" s="1" t="str">
        <f>HYPERLINK("http://hitachi.com.sg","hitachi.com.sg")</f>
        <v>hitachi.com.sg</v>
      </c>
      <c r="C17901" t="s">
        <v>496</v>
      </c>
      <c r="D17901" t="s">
        <v>870</v>
      </c>
      <c r="E17901">
        <v>243530</v>
      </c>
      <c r="F17901">
        <v>4.6182891364850402E-8</v>
      </c>
      <c r="G17901">
        <v>1014879</v>
      </c>
      <c r="H17901">
        <v>13326906</v>
      </c>
      <c r="I17901">
        <v>10728613</v>
      </c>
      <c r="J17901">
        <v>2</v>
      </c>
    </row>
    <row r="17902" spans="1:10" x14ac:dyDescent="0.25">
      <c r="A17902" t="s">
        <v>186</v>
      </c>
      <c r="B17902" s="1" t="str">
        <f>HYPERLINK("http://hitachicm.com.sg","hitachicm.com.sg")</f>
        <v>hitachicm.com.sg</v>
      </c>
      <c r="C17902" t="s">
        <v>496</v>
      </c>
      <c r="D17902" t="s">
        <v>870</v>
      </c>
      <c r="F17902">
        <v>9.3242060294004598E-9</v>
      </c>
      <c r="G17902">
        <v>7541676</v>
      </c>
      <c r="H17902">
        <v>12636778</v>
      </c>
      <c r="I17902">
        <v>15898853</v>
      </c>
      <c r="J17902">
        <v>4</v>
      </c>
    </row>
    <row r="17903" spans="1:10" x14ac:dyDescent="0.25">
      <c r="A17903" t="s">
        <v>186</v>
      </c>
      <c r="B17903" s="1" t="str">
        <f>HYPERLINK("http://hitachi.co.th","hitachi.co.th")</f>
        <v>hitachi.co.th</v>
      </c>
      <c r="C17903" t="s">
        <v>500</v>
      </c>
      <c r="D17903" t="s">
        <v>874</v>
      </c>
      <c r="F17903">
        <v>1.7921407262198999E-8</v>
      </c>
      <c r="G17903">
        <v>3049043</v>
      </c>
      <c r="H17903">
        <v>12279580</v>
      </c>
      <c r="I17903">
        <v>21316235</v>
      </c>
      <c r="J17903">
        <v>2</v>
      </c>
    </row>
    <row r="17904" spans="1:10" x14ac:dyDescent="0.25">
      <c r="A17904" t="s">
        <v>186</v>
      </c>
      <c r="B17904" s="1" t="str">
        <f>HYPERLINK("http://hitachicm.co.th","hitachicm.co.th")</f>
        <v>hitachicm.co.th</v>
      </c>
      <c r="C17904" t="s">
        <v>500</v>
      </c>
      <c r="D17904" t="s">
        <v>874</v>
      </c>
      <c r="F17904">
        <v>5.4347629355540897E-9</v>
      </c>
      <c r="G17904">
        <v>21682779</v>
      </c>
      <c r="H17904">
        <v>11129322</v>
      </c>
      <c r="I17904">
        <v>31954555</v>
      </c>
      <c r="J17904">
        <v>4</v>
      </c>
    </row>
    <row r="17905" spans="1:10" x14ac:dyDescent="0.25">
      <c r="A17905" t="s">
        <v>186</v>
      </c>
      <c r="B17905" s="1" t="str">
        <f>HYPERLINK("http://hitachi.com.tw","hitachi.com.tw")</f>
        <v>hitachi.com.tw</v>
      </c>
      <c r="C17905" t="s">
        <v>504</v>
      </c>
      <c r="D17905" t="s">
        <v>878</v>
      </c>
      <c r="F17905">
        <v>2.4537903630915601E-8</v>
      </c>
      <c r="G17905">
        <v>2111092</v>
      </c>
      <c r="H17905">
        <v>14077822</v>
      </c>
      <c r="I17905">
        <v>2858109</v>
      </c>
      <c r="J17905">
        <v>2</v>
      </c>
    </row>
    <row r="17906" spans="1:10" x14ac:dyDescent="0.25">
      <c r="A17906" t="s">
        <v>186</v>
      </c>
      <c r="B17906" s="1" t="str">
        <f>HYPERLINK("http://hitachicm.com.tw","hitachicm.com.tw")</f>
        <v>hitachicm.com.tw</v>
      </c>
      <c r="C17906" t="s">
        <v>504</v>
      </c>
      <c r="D17906" t="s">
        <v>878</v>
      </c>
      <c r="F17906">
        <v>4.85732250837507E-9</v>
      </c>
      <c r="G17906">
        <v>33898942</v>
      </c>
      <c r="H17906">
        <v>10720492</v>
      </c>
      <c r="I17906">
        <v>41896388</v>
      </c>
      <c r="J17906">
        <v>4</v>
      </c>
    </row>
    <row r="17907" spans="1:10" x14ac:dyDescent="0.25">
      <c r="A17907" t="s">
        <v>186</v>
      </c>
      <c r="B17907" s="1" t="str">
        <f>HYPERLINK("http://edenbrook.co.uk","edenbrook.co.uk")</f>
        <v>edenbrook.co.uk</v>
      </c>
      <c r="C17907" t="s">
        <v>506</v>
      </c>
      <c r="D17907" t="s">
        <v>880</v>
      </c>
      <c r="F17907">
        <v>4.6566329508958999E-9</v>
      </c>
      <c r="G17907">
        <v>43709404</v>
      </c>
      <c r="H17907">
        <v>12373220</v>
      </c>
      <c r="I17907">
        <v>19351807</v>
      </c>
      <c r="J17907">
        <v>7</v>
      </c>
    </row>
    <row r="17908" spans="1:10" x14ac:dyDescent="0.25">
      <c r="A17908" t="s">
        <v>186</v>
      </c>
      <c r="B17908" s="1" t="str">
        <f>HYPERLINK("http://hitachi.co.uk","hitachi.co.uk")</f>
        <v>hitachi.co.uk</v>
      </c>
      <c r="C17908" t="s">
        <v>506</v>
      </c>
      <c r="D17908" t="s">
        <v>880</v>
      </c>
      <c r="F17908">
        <v>1.8796228897804299E-8</v>
      </c>
      <c r="G17908">
        <v>2872259</v>
      </c>
      <c r="H17908">
        <v>14092699</v>
      </c>
      <c r="I17908">
        <v>2738565</v>
      </c>
      <c r="J17908">
        <v>3</v>
      </c>
    </row>
    <row r="17909" spans="1:10" x14ac:dyDescent="0.25">
      <c r="A17909" t="s">
        <v>186</v>
      </c>
      <c r="B17909" s="1" t="str">
        <f>HYPERLINK("http://hitachi-medical-systems.co.uk","hitachi-medical-systems.co.uk")</f>
        <v>hitachi-medical-systems.co.uk</v>
      </c>
      <c r="C17909" t="s">
        <v>506</v>
      </c>
      <c r="D17909" t="s">
        <v>880</v>
      </c>
      <c r="F17909">
        <v>8.2426991162279798E-9</v>
      </c>
      <c r="G17909">
        <v>9396815</v>
      </c>
      <c r="H17909">
        <v>12423307</v>
      </c>
      <c r="I17909">
        <v>18397519</v>
      </c>
      <c r="J17909">
        <v>5</v>
      </c>
    </row>
    <row r="17910" spans="1:10" x14ac:dyDescent="0.25">
      <c r="A17910" t="s">
        <v>186</v>
      </c>
      <c r="B17910" s="1" t="str">
        <f>HYPERLINK("http://hitachi-solutions.co.uk","hitachi-solutions.co.uk")</f>
        <v>hitachi-solutions.co.uk</v>
      </c>
      <c r="C17910" t="s">
        <v>506</v>
      </c>
      <c r="D17910" t="s">
        <v>880</v>
      </c>
      <c r="F17910">
        <v>1.06849668717078E-7</v>
      </c>
      <c r="G17910">
        <v>374680</v>
      </c>
      <c r="H17910">
        <v>14013412</v>
      </c>
      <c r="I17910">
        <v>3998709</v>
      </c>
      <c r="J17910">
        <v>3</v>
      </c>
    </row>
    <row r="17911" spans="1:10" x14ac:dyDescent="0.25">
      <c r="A17911" t="s">
        <v>186</v>
      </c>
      <c r="B17911" s="1" t="str">
        <f>HYPERLINK("http://hitachicm.co.uk","hitachicm.co.uk")</f>
        <v>hitachicm.co.uk</v>
      </c>
      <c r="C17911" t="s">
        <v>506</v>
      </c>
      <c r="D17911" t="s">
        <v>880</v>
      </c>
      <c r="F17911">
        <v>1.5286529178772E-8</v>
      </c>
      <c r="G17911">
        <v>3749786</v>
      </c>
      <c r="H17911">
        <v>13765088</v>
      </c>
      <c r="I17911">
        <v>7144632</v>
      </c>
      <c r="J17911">
        <v>4</v>
      </c>
    </row>
    <row r="17912" spans="1:10" x14ac:dyDescent="0.25">
      <c r="A17912" t="s">
        <v>186</v>
      </c>
      <c r="B17912" s="1" t="str">
        <f>HYPERLINK("http://theraileng.co.uk","theraileng.co.uk")</f>
        <v>theraileng.co.uk</v>
      </c>
      <c r="C17912" t="s">
        <v>506</v>
      </c>
      <c r="D17912" t="s">
        <v>880</v>
      </c>
      <c r="F17912">
        <v>5.0356358023340101E-9</v>
      </c>
      <c r="G17912">
        <v>28540214</v>
      </c>
      <c r="H17912">
        <v>14072184</v>
      </c>
      <c r="I17912">
        <v>3142692</v>
      </c>
      <c r="J17912">
        <v>6</v>
      </c>
    </row>
    <row r="17913" spans="1:10" x14ac:dyDescent="0.25">
      <c r="A17913" t="s">
        <v>186</v>
      </c>
      <c r="B17913" s="1" t="str">
        <f>HYPERLINK("http://hitachi.us","hitachi.us")</f>
        <v>hitachi.us</v>
      </c>
      <c r="C17913" t="s">
        <v>522</v>
      </c>
      <c r="D17913" t="s">
        <v>891</v>
      </c>
      <c r="E17913">
        <v>245250</v>
      </c>
      <c r="F17913">
        <v>2.1920903229895599E-7</v>
      </c>
      <c r="G17913">
        <v>171976</v>
      </c>
      <c r="H17913">
        <v>14927890</v>
      </c>
      <c r="I17913">
        <v>448610</v>
      </c>
      <c r="J17913">
        <v>2</v>
      </c>
    </row>
    <row r="17914" spans="1:10" x14ac:dyDescent="0.25">
      <c r="A17914" t="s">
        <v>186</v>
      </c>
      <c r="B17914" s="1" t="str">
        <f>HYPERLINK("http://hitachi-america.us","hitachi-america.us")</f>
        <v>hitachi-america.us</v>
      </c>
      <c r="C17914" t="s">
        <v>522</v>
      </c>
      <c r="D17914" t="s">
        <v>891</v>
      </c>
      <c r="F17914">
        <v>4.3565078690867499E-8</v>
      </c>
      <c r="G17914">
        <v>1096982</v>
      </c>
      <c r="H17914">
        <v>13530993</v>
      </c>
      <c r="I17914">
        <v>9917796</v>
      </c>
      <c r="J17914">
        <v>4</v>
      </c>
    </row>
    <row r="17915" spans="1:10" x14ac:dyDescent="0.25">
      <c r="A17915" t="s">
        <v>186</v>
      </c>
      <c r="B17915" s="1" t="str">
        <f>HYPERLINK("http://hitachi-automotive.us","hitachi-automotive.us")</f>
        <v>hitachi-automotive.us</v>
      </c>
      <c r="C17915" t="s">
        <v>522</v>
      </c>
      <c r="D17915" t="s">
        <v>891</v>
      </c>
      <c r="F17915">
        <v>3.1399154614634898E-8</v>
      </c>
      <c r="G17915">
        <v>1642670</v>
      </c>
      <c r="H17915">
        <v>14083450</v>
      </c>
      <c r="I17915">
        <v>2793410</v>
      </c>
      <c r="J17915">
        <v>3</v>
      </c>
    </row>
    <row r="17916" spans="1:10" x14ac:dyDescent="0.25">
      <c r="A17916" t="s">
        <v>186</v>
      </c>
      <c r="B17916" s="1" t="str">
        <f>HYPERLINK("http://hitachicm.us","hitachicm.us")</f>
        <v>hitachicm.us</v>
      </c>
      <c r="C17916" t="s">
        <v>522</v>
      </c>
      <c r="D17916" t="s">
        <v>891</v>
      </c>
      <c r="E17916">
        <v>971083</v>
      </c>
      <c r="F17916">
        <v>5.67757940894733E-8</v>
      </c>
      <c r="G17916">
        <v>786970</v>
      </c>
      <c r="H17916">
        <v>13357979</v>
      </c>
      <c r="I17916">
        <v>10593222</v>
      </c>
      <c r="J17916">
        <v>4</v>
      </c>
    </row>
    <row r="17917" spans="1:10" x14ac:dyDescent="0.25">
      <c r="A17917" t="s">
        <v>186</v>
      </c>
      <c r="B17917" s="1" t="str">
        <f>HYPERLINK("http://hitachi.com.vn","hitachi.com.vn")</f>
        <v>hitachi.com.vn</v>
      </c>
      <c r="C17917" t="s">
        <v>509</v>
      </c>
      <c r="D17917" t="s">
        <v>883</v>
      </c>
      <c r="F17917">
        <v>1.64140360379146E-8</v>
      </c>
      <c r="G17917">
        <v>3435799</v>
      </c>
      <c r="H17917">
        <v>13933441</v>
      </c>
      <c r="I17917">
        <v>4741926</v>
      </c>
      <c r="J17917">
        <v>2</v>
      </c>
    </row>
    <row r="17918" spans="1:10" x14ac:dyDescent="0.25">
      <c r="A17918" t="s">
        <v>186</v>
      </c>
      <c r="B17918" s="1" t="str">
        <f>HYPERLINK("http://hitachi.co.za","hitachi.co.za")</f>
        <v>hitachi.co.za</v>
      </c>
      <c r="C17918" t="s">
        <v>510</v>
      </c>
      <c r="D17918" t="s">
        <v>884</v>
      </c>
      <c r="F17918">
        <v>1.3699847301365101E-8</v>
      </c>
      <c r="G17918">
        <v>4321198</v>
      </c>
      <c r="H17918">
        <v>12284023</v>
      </c>
      <c r="I17918">
        <v>21229647</v>
      </c>
      <c r="J17918">
        <v>3</v>
      </c>
    </row>
    <row r="17919" spans="1:10" x14ac:dyDescent="0.25">
      <c r="A17919" t="s">
        <v>186</v>
      </c>
      <c r="B17919" s="1" t="str">
        <f>HYPERLINK("http://hitachicm.co.za","hitachicm.co.za")</f>
        <v>hitachicm.co.za</v>
      </c>
      <c r="C17919" t="s">
        <v>510</v>
      </c>
      <c r="D17919" t="s">
        <v>884</v>
      </c>
      <c r="F17919">
        <v>5.42888917403382E-9</v>
      </c>
      <c r="G17919">
        <v>21754779</v>
      </c>
      <c r="H17919">
        <v>12325770</v>
      </c>
      <c r="I17919">
        <v>20312234</v>
      </c>
      <c r="J17919">
        <v>4</v>
      </c>
    </row>
    <row r="17920" spans="1:10" x14ac:dyDescent="0.25">
      <c r="A17920" t="s">
        <v>187</v>
      </c>
      <c r="B17920" s="1" t="str">
        <f>HYPERLINK("http://homedepot.ca","homedepot.ca")</f>
        <v>homedepot.ca</v>
      </c>
      <c r="C17920" t="s">
        <v>428</v>
      </c>
      <c r="D17920" t="s">
        <v>809</v>
      </c>
      <c r="E17920">
        <v>9469</v>
      </c>
      <c r="F17920">
        <v>9.901780747938191E-7</v>
      </c>
      <c r="G17920">
        <v>38626</v>
      </c>
      <c r="H17920">
        <v>15481715</v>
      </c>
      <c r="I17920">
        <v>377240</v>
      </c>
      <c r="J17920">
        <v>2</v>
      </c>
    </row>
    <row r="17921" spans="1:10" x14ac:dyDescent="0.25">
      <c r="A17921" t="s">
        <v>187</v>
      </c>
      <c r="B17921" s="1" t="str">
        <f>HYPERLINK("http://compactpowerequipmentrental.com","compactpowerequipmentrental.com")</f>
        <v>compactpowerequipmentrental.com</v>
      </c>
      <c r="C17921" t="s">
        <v>433</v>
      </c>
      <c r="F17921">
        <v>4.5293366221722903E-9</v>
      </c>
      <c r="G17921">
        <v>55133858</v>
      </c>
      <c r="H17921">
        <v>11282112</v>
      </c>
      <c r="I17921">
        <v>30698027</v>
      </c>
      <c r="J17921">
        <v>3</v>
      </c>
    </row>
    <row r="17922" spans="1:10" x14ac:dyDescent="0.25">
      <c r="A17922" t="s">
        <v>187</v>
      </c>
      <c r="B17922" s="1" t="str">
        <f>HYPERLINK("http://hdsupply.com","hdsupply.com")</f>
        <v>hdsupply.com</v>
      </c>
      <c r="C17922" t="s">
        <v>433</v>
      </c>
      <c r="E17922">
        <v>50652</v>
      </c>
      <c r="F17922">
        <v>1.4101501731981E-7</v>
      </c>
      <c r="G17922">
        <v>276220</v>
      </c>
      <c r="H17922">
        <v>13723641</v>
      </c>
      <c r="I17922">
        <v>9467241</v>
      </c>
      <c r="J17922">
        <v>3</v>
      </c>
    </row>
    <row r="17923" spans="1:10" x14ac:dyDescent="0.25">
      <c r="A17923" t="s">
        <v>187</v>
      </c>
      <c r="B17923" s="1" t="str">
        <f>HYPERLINK("http://homedepot.com","homedepot.com")</f>
        <v>homedepot.com</v>
      </c>
      <c r="C17923" t="s">
        <v>433</v>
      </c>
      <c r="E17923">
        <v>661</v>
      </c>
      <c r="F17923">
        <v>1.26351847440304E-5</v>
      </c>
      <c r="G17923">
        <v>2754</v>
      </c>
      <c r="H17923">
        <v>17964020</v>
      </c>
      <c r="I17923">
        <v>3955</v>
      </c>
      <c r="J17923">
        <v>1</v>
      </c>
    </row>
    <row r="17924" spans="1:10" x14ac:dyDescent="0.25">
      <c r="A17924" t="s">
        <v>187</v>
      </c>
      <c r="B17924" s="1" t="str">
        <f>HYPERLINK("http://measurecomp.com","measurecomp.com")</f>
        <v>measurecomp.com</v>
      </c>
      <c r="C17924" t="s">
        <v>433</v>
      </c>
      <c r="F17924">
        <v>6.6380414145898997E-9</v>
      </c>
      <c r="G17924">
        <v>13529338</v>
      </c>
      <c r="H17924">
        <v>12361223</v>
      </c>
      <c r="I17924">
        <v>19562725</v>
      </c>
      <c r="J17924">
        <v>4</v>
      </c>
    </row>
    <row r="17925" spans="1:10" x14ac:dyDescent="0.25">
      <c r="A17925" t="s">
        <v>187</v>
      </c>
      <c r="B17925" s="1" t="str">
        <f>HYPERLINK("http://thehomedepot.com","thehomedepot.com")</f>
        <v>thehomedepot.com</v>
      </c>
      <c r="C17925" t="s">
        <v>433</v>
      </c>
      <c r="F17925">
        <v>8.4429529139578702E-8</v>
      </c>
      <c r="G17925">
        <v>489415</v>
      </c>
      <c r="H17925">
        <v>13801265</v>
      </c>
      <c r="I17925">
        <v>6275075</v>
      </c>
      <c r="J17925">
        <v>3</v>
      </c>
    </row>
    <row r="17926" spans="1:10" x14ac:dyDescent="0.25">
      <c r="A17926" t="s">
        <v>187</v>
      </c>
      <c r="B17926" s="1" t="str">
        <f>HYPERLINK("http://hdsupply.jobs","hdsupply.jobs")</f>
        <v>hdsupply.jobs</v>
      </c>
      <c r="C17926" t="s">
        <v>521</v>
      </c>
      <c r="F17926">
        <v>4.0563212293094502E-8</v>
      </c>
      <c r="G17926">
        <v>1276853</v>
      </c>
      <c r="H17926">
        <v>13772167</v>
      </c>
      <c r="I17926">
        <v>6669145</v>
      </c>
      <c r="J17926">
        <v>4</v>
      </c>
    </row>
    <row r="17927" spans="1:10" x14ac:dyDescent="0.25">
      <c r="A17927" t="s">
        <v>187</v>
      </c>
      <c r="B17927" s="1" t="str">
        <f>HYPERLINK("http://homedepot.com.mx","homedepot.com.mx")</f>
        <v>homedepot.com.mx</v>
      </c>
      <c r="C17927" t="s">
        <v>471</v>
      </c>
      <c r="D17927" t="s">
        <v>847</v>
      </c>
      <c r="E17927">
        <v>23755</v>
      </c>
      <c r="F17927">
        <v>1.6707779089207799E-7</v>
      </c>
      <c r="G17927">
        <v>232265</v>
      </c>
      <c r="H17927">
        <v>15171518</v>
      </c>
      <c r="I17927">
        <v>398058</v>
      </c>
      <c r="J17927">
        <v>2</v>
      </c>
    </row>
    <row r="17928" spans="1:10" x14ac:dyDescent="0.25">
      <c r="A17928" t="s">
        <v>188</v>
      </c>
      <c r="B17928" s="1" t="str">
        <f>HYPERLINK("http://sharp.at","sharp.at")</f>
        <v>sharp.at</v>
      </c>
      <c r="C17928" t="s">
        <v>419</v>
      </c>
      <c r="D17928" t="s">
        <v>801</v>
      </c>
      <c r="F17928">
        <v>5.5452179484379801E-8</v>
      </c>
      <c r="G17928">
        <v>809445</v>
      </c>
      <c r="H17928">
        <v>12793240</v>
      </c>
      <c r="I17928">
        <v>14672172</v>
      </c>
      <c r="J17928">
        <v>8</v>
      </c>
    </row>
    <row r="17929" spans="1:10" x14ac:dyDescent="0.25">
      <c r="A17929" t="s">
        <v>188</v>
      </c>
      <c r="B17929" s="1" t="str">
        <f>HYPERLINK("http://belkin.com.au","belkin.com.au")</f>
        <v>belkin.com.au</v>
      </c>
      <c r="C17929" t="s">
        <v>420</v>
      </c>
      <c r="D17929" t="s">
        <v>802</v>
      </c>
      <c r="F17929">
        <v>9.2580143879047406E-9</v>
      </c>
      <c r="G17929">
        <v>7627944</v>
      </c>
      <c r="H17929">
        <v>13346282</v>
      </c>
      <c r="I17929">
        <v>10648948</v>
      </c>
      <c r="J17929">
        <v>4</v>
      </c>
    </row>
    <row r="17930" spans="1:10" x14ac:dyDescent="0.25">
      <c r="A17930" t="s">
        <v>188</v>
      </c>
      <c r="B17930" s="1" t="str">
        <f>HYPERLINK("http://sharp.be","sharp.be")</f>
        <v>sharp.be</v>
      </c>
      <c r="C17930" t="s">
        <v>421</v>
      </c>
      <c r="D17930" t="s">
        <v>803</v>
      </c>
      <c r="F17930">
        <v>3.20322248507118E-8</v>
      </c>
      <c r="G17930">
        <v>1613693</v>
      </c>
      <c r="H17930">
        <v>12398362</v>
      </c>
      <c r="I17930">
        <v>18878811</v>
      </c>
      <c r="J17930">
        <v>8</v>
      </c>
    </row>
    <row r="17931" spans="1:10" x14ac:dyDescent="0.25">
      <c r="A17931" t="s">
        <v>188</v>
      </c>
      <c r="B17931" s="1" t="str">
        <f>HYPERLINK("http://sharpusa.biz","sharpusa.biz")</f>
        <v>sharpusa.biz</v>
      </c>
      <c r="C17931" t="s">
        <v>423</v>
      </c>
      <c r="F17931">
        <v>6.9639316531185603E-9</v>
      </c>
      <c r="G17931">
        <v>12420081</v>
      </c>
      <c r="H17931">
        <v>11179187</v>
      </c>
      <c r="I17931">
        <v>31441424</v>
      </c>
      <c r="J17931">
        <v>13</v>
      </c>
    </row>
    <row r="17932" spans="1:10" x14ac:dyDescent="0.25">
      <c r="A17932" t="s">
        <v>188</v>
      </c>
      <c r="B17932" s="1" t="str">
        <f>HYPERLINK("http://sharp.careers","sharp.careers")</f>
        <v>sharp.careers</v>
      </c>
      <c r="C17932" t="s">
        <v>756</v>
      </c>
      <c r="F17932">
        <v>5.55743866084625E-9</v>
      </c>
      <c r="G17932">
        <v>20300271</v>
      </c>
      <c r="H17932">
        <v>10742145</v>
      </c>
      <c r="I17932">
        <v>40341750</v>
      </c>
      <c r="J17932">
        <v>9</v>
      </c>
    </row>
    <row r="17933" spans="1:10" x14ac:dyDescent="0.25">
      <c r="A17933" t="s">
        <v>188</v>
      </c>
      <c r="B17933" s="1" t="str">
        <f>HYPERLINK("http://sharp.ch","sharp.ch")</f>
        <v>sharp.ch</v>
      </c>
      <c r="C17933" t="s">
        <v>429</v>
      </c>
      <c r="D17933" t="s">
        <v>810</v>
      </c>
      <c r="F17933">
        <v>4.7467203206692198E-8</v>
      </c>
      <c r="G17933">
        <v>981317</v>
      </c>
      <c r="H17933">
        <v>13771136</v>
      </c>
      <c r="I17933">
        <v>6703781</v>
      </c>
      <c r="J17933">
        <v>8</v>
      </c>
    </row>
    <row r="17934" spans="1:10" x14ac:dyDescent="0.25">
      <c r="A17934" t="s">
        <v>188</v>
      </c>
      <c r="B17934" s="1" t="str">
        <f>HYPERLINK("http://foxconn.com.cn","foxconn.com.cn")</f>
        <v>foxconn.com.cn</v>
      </c>
      <c r="C17934" t="s">
        <v>431</v>
      </c>
      <c r="D17934" t="s">
        <v>812</v>
      </c>
      <c r="E17934">
        <v>328595</v>
      </c>
      <c r="F17934">
        <v>9.1175794202287498E-8</v>
      </c>
      <c r="G17934">
        <v>447120</v>
      </c>
      <c r="H17934">
        <v>14109496</v>
      </c>
      <c r="I17934">
        <v>2677217</v>
      </c>
      <c r="J17934">
        <v>3</v>
      </c>
    </row>
    <row r="17935" spans="1:10" x14ac:dyDescent="0.25">
      <c r="A17935" t="s">
        <v>188</v>
      </c>
      <c r="B17935" s="1" t="str">
        <f>HYPERLINK("http://belkin.com","belkin.com")</f>
        <v>belkin.com</v>
      </c>
      <c r="C17935" t="s">
        <v>433</v>
      </c>
      <c r="E17935">
        <v>7452</v>
      </c>
      <c r="F17935">
        <v>1.9713650953897999E-6</v>
      </c>
      <c r="G17935">
        <v>18578</v>
      </c>
      <c r="H17935">
        <v>17560862</v>
      </c>
      <c r="I17935">
        <v>10909</v>
      </c>
      <c r="J17935">
        <v>3</v>
      </c>
    </row>
    <row r="17936" spans="1:10" x14ac:dyDescent="0.25">
      <c r="A17936" t="s">
        <v>188</v>
      </c>
      <c r="B17936" s="1" t="str">
        <f>HYPERLINK("http://circutech.com","circutech.com")</f>
        <v>circutech.com</v>
      </c>
      <c r="C17936" t="s">
        <v>433</v>
      </c>
      <c r="F17936">
        <v>4.5913041693033198E-9</v>
      </c>
      <c r="G17936">
        <v>48298109</v>
      </c>
      <c r="H17936">
        <v>10789244</v>
      </c>
      <c r="I17936">
        <v>38527032</v>
      </c>
      <c r="J17936">
        <v>3</v>
      </c>
    </row>
    <row r="17937" spans="1:10" x14ac:dyDescent="0.25">
      <c r="A17937" t="s">
        <v>188</v>
      </c>
      <c r="B17937" s="1" t="str">
        <f>HYPERLINK("http://fihmb.com","fihmb.com")</f>
        <v>fihmb.com</v>
      </c>
      <c r="C17937" t="s">
        <v>433</v>
      </c>
      <c r="F17937">
        <v>1.27397098978215E-7</v>
      </c>
      <c r="G17937">
        <v>308435</v>
      </c>
      <c r="H17937">
        <v>16976438</v>
      </c>
      <c r="I17937">
        <v>99809</v>
      </c>
      <c r="J17937">
        <v>3</v>
      </c>
    </row>
    <row r="17938" spans="1:10" x14ac:dyDescent="0.25">
      <c r="A17938" t="s">
        <v>188</v>
      </c>
      <c r="B17938" s="1" t="str">
        <f>HYPERLINK("http://fii-foxconn.com","fii-foxconn.com")</f>
        <v>fii-foxconn.com</v>
      </c>
      <c r="C17938" t="s">
        <v>433</v>
      </c>
      <c r="E17938">
        <v>856776</v>
      </c>
      <c r="F17938">
        <v>4.2684709519432702E-8</v>
      </c>
      <c r="G17938">
        <v>1131917</v>
      </c>
      <c r="H17938">
        <v>13484743</v>
      </c>
      <c r="I17938">
        <v>9997605</v>
      </c>
      <c r="J17938">
        <v>3</v>
      </c>
    </row>
    <row r="17939" spans="1:10" x14ac:dyDescent="0.25">
      <c r="A17939" t="s">
        <v>188</v>
      </c>
      <c r="B17939" s="1" t="str">
        <f>HYPERLINK("http://fit-foxconn.com","fit-foxconn.com")</f>
        <v>fit-foxconn.com</v>
      </c>
      <c r="C17939" t="s">
        <v>433</v>
      </c>
      <c r="E17939">
        <v>864048</v>
      </c>
      <c r="F17939">
        <v>5.8083311166381499E-8</v>
      </c>
      <c r="G17939">
        <v>766331</v>
      </c>
      <c r="H17939">
        <v>14081915</v>
      </c>
      <c r="I17939">
        <v>2805207</v>
      </c>
      <c r="J17939">
        <v>2</v>
      </c>
    </row>
    <row r="17940" spans="1:10" x14ac:dyDescent="0.25">
      <c r="A17940" t="s">
        <v>188</v>
      </c>
      <c r="B17940" s="1" t="str">
        <f>HYPERLINK("http://foxconn.com","foxconn.com")</f>
        <v>foxconn.com</v>
      </c>
      <c r="C17940" t="s">
        <v>433</v>
      </c>
      <c r="E17940">
        <v>28355</v>
      </c>
      <c r="F17940">
        <v>4.4116134649735601E-7</v>
      </c>
      <c r="G17940">
        <v>85451</v>
      </c>
      <c r="H17940">
        <v>15061495</v>
      </c>
      <c r="I17940">
        <v>412557</v>
      </c>
      <c r="J17940">
        <v>2</v>
      </c>
    </row>
    <row r="17941" spans="1:10" x14ac:dyDescent="0.25">
      <c r="A17941" t="s">
        <v>188</v>
      </c>
      <c r="B17941" s="1" t="str">
        <f>HYPERLINK("http://foxnum.com","foxnum.com")</f>
        <v>foxnum.com</v>
      </c>
      <c r="C17941" t="s">
        <v>433</v>
      </c>
      <c r="F17941">
        <v>5.0819271254726303E-9</v>
      </c>
      <c r="G17941">
        <v>27465533</v>
      </c>
      <c r="H17941">
        <v>11999668</v>
      </c>
      <c r="I17941">
        <v>28263349</v>
      </c>
      <c r="J17941">
        <v>3</v>
      </c>
    </row>
    <row r="17942" spans="1:10" x14ac:dyDescent="0.25">
      <c r="A17942" t="s">
        <v>188</v>
      </c>
      <c r="B17942" s="1" t="str">
        <f>HYPERLINK("http://honhai.com","honhai.com")</f>
        <v>honhai.com</v>
      </c>
      <c r="C17942" t="s">
        <v>433</v>
      </c>
      <c r="E17942">
        <v>530979</v>
      </c>
      <c r="F17942">
        <v>1.5065870456871699E-7</v>
      </c>
      <c r="G17942">
        <v>257838</v>
      </c>
      <c r="H17942">
        <v>14845898</v>
      </c>
      <c r="I17942">
        <v>493760</v>
      </c>
      <c r="J17942">
        <v>5</v>
      </c>
    </row>
    <row r="17943" spans="1:10" x14ac:dyDescent="0.25">
      <c r="A17943" t="s">
        <v>188</v>
      </c>
      <c r="B17943" s="1" t="str">
        <f>HYPERLINK("http://jusdaeurope.com","jusdaeurope.com")</f>
        <v>jusdaeurope.com</v>
      </c>
      <c r="C17943" t="s">
        <v>433</v>
      </c>
      <c r="F17943">
        <v>1.4610585596982699E-8</v>
      </c>
      <c r="G17943">
        <v>3973252</v>
      </c>
      <c r="H17943">
        <v>12362578</v>
      </c>
      <c r="I17943">
        <v>19536448</v>
      </c>
      <c r="J17943">
        <v>3</v>
      </c>
    </row>
    <row r="17944" spans="1:10" x14ac:dyDescent="0.25">
      <c r="A17944" t="s">
        <v>188</v>
      </c>
      <c r="B17944" s="1" t="str">
        <f>HYPERLINK("http://likommexico.com","likommexico.com")</f>
        <v>likommexico.com</v>
      </c>
      <c r="C17944" t="s">
        <v>433</v>
      </c>
      <c r="F17944">
        <v>4.5227691251582899E-9</v>
      </c>
      <c r="G17944">
        <v>55869718</v>
      </c>
      <c r="H17944">
        <v>9728453</v>
      </c>
      <c r="I17944">
        <v>63121666</v>
      </c>
      <c r="J17944">
        <v>4</v>
      </c>
    </row>
    <row r="17945" spans="1:10" x14ac:dyDescent="0.25">
      <c r="A17945" t="s">
        <v>188</v>
      </c>
      <c r="B17945" s="1" t="str">
        <f>HYPERLINK("http://linksys.com","linksys.com")</f>
        <v>linksys.com</v>
      </c>
      <c r="C17945" t="s">
        <v>433</v>
      </c>
      <c r="E17945">
        <v>12147</v>
      </c>
      <c r="F17945">
        <v>2.5902107216764998E-6</v>
      </c>
      <c r="G17945">
        <v>14617</v>
      </c>
      <c r="H17945">
        <v>17670080</v>
      </c>
      <c r="I17945">
        <v>7948</v>
      </c>
      <c r="J17945">
        <v>5</v>
      </c>
    </row>
    <row r="17946" spans="1:10" x14ac:dyDescent="0.25">
      <c r="A17946" t="s">
        <v>188</v>
      </c>
      <c r="B17946" s="1" t="str">
        <f>HYPERLINK("http://phyn.com","phyn.com")</f>
        <v>phyn.com</v>
      </c>
      <c r="C17946" t="s">
        <v>433</v>
      </c>
      <c r="E17946">
        <v>558538</v>
      </c>
      <c r="F17946">
        <v>1.2270703860989601E-7</v>
      </c>
      <c r="G17946">
        <v>321676</v>
      </c>
      <c r="H17946">
        <v>14340118</v>
      </c>
      <c r="I17946">
        <v>1316659</v>
      </c>
      <c r="J17946">
        <v>4</v>
      </c>
    </row>
    <row r="17947" spans="1:10" x14ac:dyDescent="0.25">
      <c r="A17947" t="s">
        <v>188</v>
      </c>
      <c r="B17947" s="1" t="str">
        <f>HYPERLINK("http://sharp-inspire-expo.com","sharp-inspire-expo.com")</f>
        <v>sharp-inspire-expo.com</v>
      </c>
      <c r="C17947" t="s">
        <v>433</v>
      </c>
      <c r="F17947">
        <v>4.4607838485020503E-9</v>
      </c>
      <c r="G17947">
        <v>67511165</v>
      </c>
      <c r="H17947">
        <v>10509187</v>
      </c>
      <c r="I17947">
        <v>49861321</v>
      </c>
      <c r="J17947">
        <v>13</v>
      </c>
    </row>
    <row r="17948" spans="1:10" x14ac:dyDescent="0.25">
      <c r="A17948" t="s">
        <v>188</v>
      </c>
      <c r="B17948" s="1" t="str">
        <f>HYPERLINK("http://sharp-sbs.com","sharp-sbs.com")</f>
        <v>sharp-sbs.com</v>
      </c>
      <c r="C17948" t="s">
        <v>433</v>
      </c>
      <c r="F17948">
        <v>6.8071365829842799E-8</v>
      </c>
      <c r="G17948">
        <v>626953</v>
      </c>
      <c r="H17948">
        <v>13393937</v>
      </c>
      <c r="I17948">
        <v>10382184</v>
      </c>
      <c r="J17948">
        <v>12</v>
      </c>
    </row>
    <row r="17949" spans="1:10" x14ac:dyDescent="0.25">
      <c r="A17949" t="s">
        <v>188</v>
      </c>
      <c r="B17949" s="1" t="str">
        <f>HYPERLINK("http://sharpconsumer.com","sharpconsumer.com")</f>
        <v>sharpconsumer.com</v>
      </c>
      <c r="C17949" t="s">
        <v>433</v>
      </c>
      <c r="E17949">
        <v>968662</v>
      </c>
      <c r="F17949">
        <v>1.05115314529827E-7</v>
      </c>
      <c r="G17949">
        <v>381150</v>
      </c>
      <c r="H17949">
        <v>14419861</v>
      </c>
      <c r="I17949">
        <v>1090788</v>
      </c>
      <c r="J17949">
        <v>12</v>
      </c>
    </row>
    <row r="17950" spans="1:10" x14ac:dyDescent="0.25">
      <c r="A17950" t="s">
        <v>188</v>
      </c>
      <c r="B17950" s="1" t="str">
        <f>HYPERLINK("http://sharpsma.com","sharpsma.com")</f>
        <v>sharpsma.com</v>
      </c>
      <c r="C17950" t="s">
        <v>433</v>
      </c>
      <c r="E17950">
        <v>649546</v>
      </c>
      <c r="F17950">
        <v>6.51573120056482E-8</v>
      </c>
      <c r="G17950">
        <v>660903</v>
      </c>
      <c r="H17950">
        <v>14515753</v>
      </c>
      <c r="I17950">
        <v>812688</v>
      </c>
      <c r="J17950">
        <v>15</v>
      </c>
    </row>
    <row r="17951" spans="1:10" x14ac:dyDescent="0.25">
      <c r="A17951" t="s">
        <v>188</v>
      </c>
      <c r="B17951" s="1" t="str">
        <f>HYPERLINK("http://sharpusa.com","sharpusa.com")</f>
        <v>sharpusa.com</v>
      </c>
      <c r="C17951" t="s">
        <v>433</v>
      </c>
      <c r="E17951">
        <v>45082</v>
      </c>
      <c r="F17951">
        <v>1.06438312373857E-6</v>
      </c>
      <c r="G17951">
        <v>36103</v>
      </c>
      <c r="H17951">
        <v>15378542</v>
      </c>
      <c r="I17951">
        <v>381242</v>
      </c>
      <c r="J17951">
        <v>12</v>
      </c>
    </row>
    <row r="17952" spans="1:10" x14ac:dyDescent="0.25">
      <c r="A17952" t="s">
        <v>188</v>
      </c>
      <c r="B17952" s="1" t="str">
        <f>HYPERLINK("http://smarttech.com","smarttech.com")</f>
        <v>smarttech.com</v>
      </c>
      <c r="C17952" t="s">
        <v>433</v>
      </c>
      <c r="E17952">
        <v>22997</v>
      </c>
      <c r="F17952">
        <v>1.01703171579175E-6</v>
      </c>
      <c r="G17952">
        <v>37649</v>
      </c>
      <c r="H17952">
        <v>17410190</v>
      </c>
      <c r="I17952">
        <v>18495</v>
      </c>
      <c r="J17952">
        <v>3</v>
      </c>
    </row>
    <row r="17953" spans="1:10" x14ac:dyDescent="0.25">
      <c r="A17953" t="s">
        <v>188</v>
      </c>
      <c r="B17953" s="1" t="str">
        <f>HYPERLINK("http://wemothat.com","wemothat.com")</f>
        <v>wemothat.com</v>
      </c>
      <c r="C17953" t="s">
        <v>433</v>
      </c>
      <c r="F17953">
        <v>2.7926458984539199E-8</v>
      </c>
      <c r="G17953">
        <v>1841933</v>
      </c>
      <c r="H17953">
        <v>14076532</v>
      </c>
      <c r="I17953">
        <v>2884980</v>
      </c>
      <c r="J17953">
        <v>4</v>
      </c>
    </row>
    <row r="17954" spans="1:10" x14ac:dyDescent="0.25">
      <c r="A17954" t="s">
        <v>188</v>
      </c>
      <c r="B17954" s="1" t="str">
        <f>HYPERLINK("http://foxconn.cz","foxconn.cz")</f>
        <v>foxconn.cz</v>
      </c>
      <c r="C17954" t="s">
        <v>435</v>
      </c>
      <c r="D17954" t="s">
        <v>814</v>
      </c>
      <c r="F17954">
        <v>3.9882639813143399E-8</v>
      </c>
      <c r="G17954">
        <v>1295676</v>
      </c>
      <c r="H17954">
        <v>14097662</v>
      </c>
      <c r="I17954">
        <v>2720250</v>
      </c>
      <c r="J17954">
        <v>3</v>
      </c>
    </row>
    <row r="17955" spans="1:10" x14ac:dyDescent="0.25">
      <c r="A17955" t="s">
        <v>188</v>
      </c>
      <c r="B17955" s="1" t="str">
        <f>HYPERLINK("http://safedx.cz","safedx.cz")</f>
        <v>safedx.cz</v>
      </c>
      <c r="C17955" t="s">
        <v>435</v>
      </c>
      <c r="D17955" t="s">
        <v>814</v>
      </c>
      <c r="F17955">
        <v>4.6522533524076702E-9</v>
      </c>
      <c r="G17955">
        <v>44012649</v>
      </c>
      <c r="H17955">
        <v>10345463</v>
      </c>
      <c r="I17955">
        <v>56968033</v>
      </c>
      <c r="J17955">
        <v>3</v>
      </c>
    </row>
    <row r="17956" spans="1:10" x14ac:dyDescent="0.25">
      <c r="A17956" t="s">
        <v>188</v>
      </c>
      <c r="B17956" s="1" t="str">
        <f>HYPERLINK("http://sharp.cz","sharp.cz")</f>
        <v>sharp.cz</v>
      </c>
      <c r="C17956" t="s">
        <v>435</v>
      </c>
      <c r="D17956" t="s">
        <v>814</v>
      </c>
      <c r="F17956">
        <v>4.0978913561734001E-8</v>
      </c>
      <c r="G17956">
        <v>1265975</v>
      </c>
      <c r="H17956">
        <v>14074050</v>
      </c>
      <c r="I17956">
        <v>2958723</v>
      </c>
      <c r="J17956">
        <v>8</v>
      </c>
    </row>
    <row r="17957" spans="1:10" x14ac:dyDescent="0.25">
      <c r="A17957" t="s">
        <v>188</v>
      </c>
      <c r="B17957" s="1" t="str">
        <f>HYPERLINK("http://sharp.de","sharp.de")</f>
        <v>sharp.de</v>
      </c>
      <c r="C17957" t="s">
        <v>436</v>
      </c>
      <c r="D17957" t="s">
        <v>815</v>
      </c>
      <c r="E17957">
        <v>475037</v>
      </c>
      <c r="F17957">
        <v>1.8958489737107299E-7</v>
      </c>
      <c r="G17957">
        <v>203225</v>
      </c>
      <c r="H17957">
        <v>14285849</v>
      </c>
      <c r="I17957">
        <v>1371582</v>
      </c>
      <c r="J17957">
        <v>7</v>
      </c>
    </row>
    <row r="17958" spans="1:10" x14ac:dyDescent="0.25">
      <c r="A17958" t="s">
        <v>188</v>
      </c>
      <c r="B17958" s="1" t="str">
        <f>HYPERLINK("http://sharpconsumer.de","sharpconsumer.de")</f>
        <v>sharpconsumer.de</v>
      </c>
      <c r="C17958" t="s">
        <v>436</v>
      </c>
      <c r="D17958" t="s">
        <v>815</v>
      </c>
      <c r="F17958">
        <v>2.6590521344309201E-8</v>
      </c>
      <c r="G17958">
        <v>1935968</v>
      </c>
      <c r="H17958">
        <v>12482511</v>
      </c>
      <c r="I17958">
        <v>17576183</v>
      </c>
      <c r="J17958">
        <v>12</v>
      </c>
    </row>
    <row r="17959" spans="1:10" x14ac:dyDescent="0.25">
      <c r="A17959" t="s">
        <v>188</v>
      </c>
      <c r="B17959" s="1" t="str">
        <f>HYPERLINK("http://smarttech.de","smarttech.de")</f>
        <v>smarttech.de</v>
      </c>
      <c r="C17959" t="s">
        <v>436</v>
      </c>
      <c r="D17959" t="s">
        <v>815</v>
      </c>
      <c r="F17959">
        <v>1.6325135590408201E-8</v>
      </c>
      <c r="G17959">
        <v>3464638</v>
      </c>
      <c r="H17959">
        <v>13942088</v>
      </c>
      <c r="I17959">
        <v>4336346</v>
      </c>
      <c r="J17959">
        <v>4</v>
      </c>
    </row>
    <row r="17960" spans="1:10" x14ac:dyDescent="0.25">
      <c r="A17960" t="s">
        <v>188</v>
      </c>
      <c r="B17960" s="1" t="str">
        <f>HYPERLINK("http://sharp.dk","sharp.dk")</f>
        <v>sharp.dk</v>
      </c>
      <c r="C17960" t="s">
        <v>437</v>
      </c>
      <c r="D17960" t="s">
        <v>816</v>
      </c>
      <c r="F17960">
        <v>3.0470480393179203E-8</v>
      </c>
      <c r="G17960">
        <v>1689757</v>
      </c>
      <c r="H17960">
        <v>12670462</v>
      </c>
      <c r="I17960">
        <v>15621908</v>
      </c>
      <c r="J17960">
        <v>8</v>
      </c>
    </row>
    <row r="17961" spans="1:10" x14ac:dyDescent="0.25">
      <c r="A17961" t="s">
        <v>188</v>
      </c>
      <c r="B17961" s="1" t="str">
        <f>HYPERLINK("http://sharp.es","sharp.es")</f>
        <v>sharp.es</v>
      </c>
      <c r="C17961" t="s">
        <v>443</v>
      </c>
      <c r="D17961" t="s">
        <v>822</v>
      </c>
      <c r="F17961">
        <v>5.75860535363269E-8</v>
      </c>
      <c r="G17961">
        <v>774022</v>
      </c>
      <c r="H17961">
        <v>14243580</v>
      </c>
      <c r="I17961">
        <v>1476549</v>
      </c>
      <c r="J17961">
        <v>8</v>
      </c>
    </row>
    <row r="17962" spans="1:10" x14ac:dyDescent="0.25">
      <c r="A17962" t="s">
        <v>188</v>
      </c>
      <c r="B17962" s="1" t="str">
        <f>HYPERLINK("http://sharpconsumer.es","sharpconsumer.es")</f>
        <v>sharpconsumer.es</v>
      </c>
      <c r="C17962" t="s">
        <v>443</v>
      </c>
      <c r="D17962" t="s">
        <v>822</v>
      </c>
      <c r="F17962">
        <v>1.6955636719730602E-8</v>
      </c>
      <c r="G17962">
        <v>3293994</v>
      </c>
      <c r="H17962">
        <v>11386937</v>
      </c>
      <c r="I17962">
        <v>30262739</v>
      </c>
      <c r="J17962">
        <v>12</v>
      </c>
    </row>
    <row r="17963" spans="1:10" x14ac:dyDescent="0.25">
      <c r="A17963" t="s">
        <v>188</v>
      </c>
      <c r="B17963" s="1" t="str">
        <f>HYPERLINK("http://sharp.eu","sharp.eu")</f>
        <v>sharp.eu</v>
      </c>
      <c r="C17963" t="s">
        <v>444</v>
      </c>
      <c r="E17963">
        <v>155606</v>
      </c>
      <c r="F17963">
        <v>2.0995064153007401E-7</v>
      </c>
      <c r="G17963">
        <v>180147</v>
      </c>
      <c r="H17963">
        <v>14290257</v>
      </c>
      <c r="I17963">
        <v>1366408</v>
      </c>
      <c r="J17963">
        <v>8</v>
      </c>
    </row>
    <row r="17964" spans="1:10" x14ac:dyDescent="0.25">
      <c r="A17964" t="s">
        <v>188</v>
      </c>
      <c r="B17964" s="1" t="str">
        <f>HYPERLINK("http://sharpconsumer.eu","sharpconsumer.eu")</f>
        <v>sharpconsumer.eu</v>
      </c>
      <c r="C17964" t="s">
        <v>444</v>
      </c>
      <c r="F17964">
        <v>6.3508801509358004E-8</v>
      </c>
      <c r="G17964">
        <v>684043</v>
      </c>
      <c r="H17964">
        <v>14391666</v>
      </c>
      <c r="I17964">
        <v>1166157</v>
      </c>
      <c r="J17964">
        <v>13</v>
      </c>
    </row>
    <row r="17965" spans="1:10" x14ac:dyDescent="0.25">
      <c r="A17965" t="s">
        <v>188</v>
      </c>
      <c r="B17965" s="1" t="str">
        <f>HYPERLINK("http://aquos-sharp.fi","aquos-sharp.fi")</f>
        <v>aquos-sharp.fi</v>
      </c>
      <c r="C17965" t="s">
        <v>445</v>
      </c>
      <c r="D17965" t="s">
        <v>823</v>
      </c>
      <c r="J17965">
        <v>10</v>
      </c>
    </row>
    <row r="17966" spans="1:10" x14ac:dyDescent="0.25">
      <c r="A17966" t="s">
        <v>188</v>
      </c>
      <c r="B17966" s="1" t="str">
        <f>HYPERLINK("http://belkin.fi","belkin.fi")</f>
        <v>belkin.fi</v>
      </c>
      <c r="C17966" t="s">
        <v>445</v>
      </c>
      <c r="D17966" t="s">
        <v>823</v>
      </c>
      <c r="J17966">
        <v>5</v>
      </c>
    </row>
    <row r="17967" spans="1:10" x14ac:dyDescent="0.25">
      <c r="A17967" t="s">
        <v>188</v>
      </c>
      <c r="B17967" s="1" t="str">
        <f>HYPERLINK("http://houseofsharp.fi","houseofsharp.fi")</f>
        <v>houseofsharp.fi</v>
      </c>
      <c r="C17967" t="s">
        <v>445</v>
      </c>
      <c r="D17967" t="s">
        <v>823</v>
      </c>
      <c r="J17967">
        <v>12</v>
      </c>
    </row>
    <row r="17968" spans="1:10" x14ac:dyDescent="0.25">
      <c r="A17968" t="s">
        <v>188</v>
      </c>
      <c r="B17968" s="1" t="str">
        <f>HYPERLINK("http://linksys.fi","linksys.fi")</f>
        <v>linksys.fi</v>
      </c>
      <c r="C17968" t="s">
        <v>445</v>
      </c>
      <c r="D17968" t="s">
        <v>823</v>
      </c>
      <c r="J17968">
        <v>5</v>
      </c>
    </row>
    <row r="17969" spans="1:10" x14ac:dyDescent="0.25">
      <c r="A17969" t="s">
        <v>188</v>
      </c>
      <c r="B17969" s="1" t="str">
        <f>HYPERLINK("http://mikava.fi","mikava.fi")</f>
        <v>mikava.fi</v>
      </c>
      <c r="C17969" t="s">
        <v>445</v>
      </c>
      <c r="D17969" t="s">
        <v>823</v>
      </c>
      <c r="F17969">
        <v>4.4438603998077799E-9</v>
      </c>
      <c r="G17969">
        <v>78276689</v>
      </c>
      <c r="H17969">
        <v>10484603</v>
      </c>
      <c r="I17969">
        <v>50833935</v>
      </c>
      <c r="J17969">
        <v>12</v>
      </c>
    </row>
    <row r="17970" spans="1:10" x14ac:dyDescent="0.25">
      <c r="A17970" t="s">
        <v>188</v>
      </c>
      <c r="B17970" s="1" t="str">
        <f>HYPERLINK("http://phyn.fi","phyn.fi")</f>
        <v>phyn.fi</v>
      </c>
      <c r="C17970" t="s">
        <v>445</v>
      </c>
      <c r="D17970" t="s">
        <v>823</v>
      </c>
      <c r="F17970">
        <v>4.8371855070100001E-9</v>
      </c>
      <c r="G17970">
        <v>34581712</v>
      </c>
      <c r="H17970">
        <v>12076090</v>
      </c>
      <c r="I17970">
        <v>26662164</v>
      </c>
      <c r="J17970">
        <v>5</v>
      </c>
    </row>
    <row r="17971" spans="1:10" x14ac:dyDescent="0.25">
      <c r="A17971" t="s">
        <v>188</v>
      </c>
      <c r="B17971" s="1" t="str">
        <f>HYPERLINK("http://sharp.fi","sharp.fi")</f>
        <v>sharp.fi</v>
      </c>
      <c r="C17971" t="s">
        <v>445</v>
      </c>
      <c r="D17971" t="s">
        <v>823</v>
      </c>
      <c r="F17971">
        <v>3.6789786087091099E-8</v>
      </c>
      <c r="G17971">
        <v>1420943</v>
      </c>
      <c r="H17971">
        <v>14073592</v>
      </c>
      <c r="I17971">
        <v>2983747</v>
      </c>
      <c r="J17971">
        <v>8</v>
      </c>
    </row>
    <row r="17972" spans="1:10" x14ac:dyDescent="0.25">
      <c r="A17972" t="s">
        <v>188</v>
      </c>
      <c r="B17972" s="1" t="str">
        <f>HYPERLINK("http://sharpbusinessschool.fi","sharpbusinessschool.fi")</f>
        <v>sharpbusinessschool.fi</v>
      </c>
      <c r="C17972" t="s">
        <v>445</v>
      </c>
      <c r="D17972" t="s">
        <v>823</v>
      </c>
      <c r="J17972">
        <v>10</v>
      </c>
    </row>
    <row r="17973" spans="1:10" x14ac:dyDescent="0.25">
      <c r="A17973" t="s">
        <v>188</v>
      </c>
      <c r="B17973" s="1" t="str">
        <f>HYPERLINK("http://sharpbusinesssystems.fi","sharpbusinesssystems.fi")</f>
        <v>sharpbusinesssystems.fi</v>
      </c>
      <c r="C17973" t="s">
        <v>445</v>
      </c>
      <c r="D17973" t="s">
        <v>823</v>
      </c>
      <c r="J17973">
        <v>12</v>
      </c>
    </row>
    <row r="17974" spans="1:10" x14ac:dyDescent="0.25">
      <c r="A17974" t="s">
        <v>188</v>
      </c>
      <c r="B17974" s="1" t="str">
        <f>HYPERLINK("http://sharppartner.fi","sharppartner.fi")</f>
        <v>sharppartner.fi</v>
      </c>
      <c r="C17974" t="s">
        <v>445</v>
      </c>
      <c r="D17974" t="s">
        <v>823</v>
      </c>
      <c r="J17974">
        <v>10</v>
      </c>
    </row>
    <row r="17975" spans="1:10" x14ac:dyDescent="0.25">
      <c r="A17975" t="s">
        <v>188</v>
      </c>
      <c r="B17975" s="1" t="str">
        <f>HYPERLINK("http://shopplaya.fi","shopplaya.fi")</f>
        <v>shopplaya.fi</v>
      </c>
      <c r="C17975" t="s">
        <v>445</v>
      </c>
      <c r="D17975" t="s">
        <v>823</v>
      </c>
      <c r="J17975">
        <v>5</v>
      </c>
    </row>
    <row r="17976" spans="1:10" x14ac:dyDescent="0.25">
      <c r="A17976" t="s">
        <v>188</v>
      </c>
      <c r="B17976" s="1" t="str">
        <f>HYPERLINK("http://wemo.fi","wemo.fi")</f>
        <v>wemo.fi</v>
      </c>
      <c r="C17976" t="s">
        <v>445</v>
      </c>
      <c r="D17976" t="s">
        <v>823</v>
      </c>
      <c r="J17976">
        <v>5</v>
      </c>
    </row>
    <row r="17977" spans="1:10" x14ac:dyDescent="0.25">
      <c r="A17977" t="s">
        <v>188</v>
      </c>
      <c r="B17977" s="1" t="str">
        <f>HYPERLINK("http://sharp.fr","sharp.fr")</f>
        <v>sharp.fr</v>
      </c>
      <c r="C17977" t="s">
        <v>446</v>
      </c>
      <c r="D17977" t="s">
        <v>824</v>
      </c>
      <c r="F17977">
        <v>7.5130029875671195E-8</v>
      </c>
      <c r="G17977">
        <v>559787</v>
      </c>
      <c r="H17977">
        <v>14082007</v>
      </c>
      <c r="I17977">
        <v>2804173</v>
      </c>
      <c r="J17977">
        <v>8</v>
      </c>
    </row>
    <row r="17978" spans="1:10" x14ac:dyDescent="0.25">
      <c r="A17978" t="s">
        <v>188</v>
      </c>
      <c r="B17978" s="1" t="str">
        <f>HYPERLINK("http://sharpconsumer.fr","sharpconsumer.fr")</f>
        <v>sharpconsumer.fr</v>
      </c>
      <c r="C17978" t="s">
        <v>446</v>
      </c>
      <c r="D17978" t="s">
        <v>824</v>
      </c>
      <c r="F17978">
        <v>1.67977696042419E-8</v>
      </c>
      <c r="G17978">
        <v>3333891</v>
      </c>
      <c r="H17978">
        <v>12251107</v>
      </c>
      <c r="I17978">
        <v>21993911</v>
      </c>
      <c r="J17978">
        <v>12</v>
      </c>
    </row>
    <row r="17979" spans="1:10" x14ac:dyDescent="0.25">
      <c r="A17979" t="s">
        <v>188</v>
      </c>
      <c r="B17979" s="1" t="str">
        <f>HYPERLINK("http://foxconn.hu","foxconn.hu")</f>
        <v>foxconn.hu</v>
      </c>
      <c r="C17979" t="s">
        <v>453</v>
      </c>
      <c r="D17979" t="s">
        <v>830</v>
      </c>
      <c r="F17979">
        <v>5.4927062567133596E-9</v>
      </c>
      <c r="G17979">
        <v>20982395</v>
      </c>
      <c r="H17979">
        <v>12119607</v>
      </c>
      <c r="I17979">
        <v>25415317</v>
      </c>
      <c r="J17979">
        <v>3</v>
      </c>
    </row>
    <row r="17980" spans="1:10" x14ac:dyDescent="0.25">
      <c r="A17980" t="s">
        <v>188</v>
      </c>
      <c r="B17980" s="1" t="str">
        <f>HYPERLINK("http://sharp.hu","sharp.hu")</f>
        <v>sharp.hu</v>
      </c>
      <c r="C17980" t="s">
        <v>453</v>
      </c>
      <c r="D17980" t="s">
        <v>830</v>
      </c>
      <c r="F17980">
        <v>4.0086223174508998E-8</v>
      </c>
      <c r="G17980">
        <v>1289934</v>
      </c>
      <c r="H17980">
        <v>12378916</v>
      </c>
      <c r="I17980">
        <v>19234909</v>
      </c>
      <c r="J17980">
        <v>8</v>
      </c>
    </row>
    <row r="17981" spans="1:10" x14ac:dyDescent="0.25">
      <c r="A17981" t="s">
        <v>188</v>
      </c>
      <c r="B17981" s="1" t="str">
        <f>HYPERLINK("http://sharpcorp.in","sharpcorp.in")</f>
        <v>sharpcorp.in</v>
      </c>
      <c r="C17981" t="s">
        <v>457</v>
      </c>
      <c r="D17981" t="s">
        <v>834</v>
      </c>
      <c r="F17981">
        <v>4.4749869997747202E-9</v>
      </c>
      <c r="G17981">
        <v>63416844</v>
      </c>
      <c r="H17981">
        <v>10657842</v>
      </c>
      <c r="I17981">
        <v>43475300</v>
      </c>
      <c r="J17981">
        <v>6</v>
      </c>
    </row>
    <row r="17982" spans="1:10" x14ac:dyDescent="0.25">
      <c r="A17982" t="s">
        <v>188</v>
      </c>
      <c r="B17982" s="1" t="str">
        <f>HYPERLINK("http://sharpproducts.in","sharpproducts.in")</f>
        <v>sharpproducts.in</v>
      </c>
      <c r="C17982" t="s">
        <v>457</v>
      </c>
      <c r="D17982" t="s">
        <v>834</v>
      </c>
      <c r="F17982">
        <v>3.46211286695323E-8</v>
      </c>
      <c r="G17982">
        <v>1498792</v>
      </c>
      <c r="H17982">
        <v>13290194</v>
      </c>
      <c r="I17982">
        <v>10876218</v>
      </c>
      <c r="J17982">
        <v>13</v>
      </c>
    </row>
    <row r="17983" spans="1:10" x14ac:dyDescent="0.25">
      <c r="A17983" t="s">
        <v>188</v>
      </c>
      <c r="B17983" s="1" t="str">
        <f>HYPERLINK("http://sharp.it","sharp.it")</f>
        <v>sharp.it</v>
      </c>
      <c r="C17983" t="s">
        <v>459</v>
      </c>
      <c r="D17983" t="s">
        <v>835</v>
      </c>
      <c r="F17983">
        <v>1.32624233622364E-7</v>
      </c>
      <c r="G17983">
        <v>294620</v>
      </c>
      <c r="H17983">
        <v>13994619</v>
      </c>
      <c r="I17983">
        <v>4023404</v>
      </c>
      <c r="J17983">
        <v>8</v>
      </c>
    </row>
    <row r="17984" spans="1:10" x14ac:dyDescent="0.25">
      <c r="A17984" t="s">
        <v>188</v>
      </c>
      <c r="B17984" s="1" t="str">
        <f>HYPERLINK("http://sharpconsumer.it","sharpconsumer.it")</f>
        <v>sharpconsumer.it</v>
      </c>
      <c r="C17984" t="s">
        <v>459</v>
      </c>
      <c r="D17984" t="s">
        <v>835</v>
      </c>
      <c r="F17984">
        <v>1.9581788370097201E-8</v>
      </c>
      <c r="G17984">
        <v>2730974</v>
      </c>
      <c r="H17984">
        <v>12938837</v>
      </c>
      <c r="I17984">
        <v>13306927</v>
      </c>
      <c r="J17984">
        <v>12</v>
      </c>
    </row>
    <row r="17985" spans="1:10" x14ac:dyDescent="0.25">
      <c r="A17985" t="s">
        <v>188</v>
      </c>
      <c r="B17985" s="1" t="str">
        <f>HYPERLINK("http://aquos.jp","aquos.jp")</f>
        <v>aquos.jp</v>
      </c>
      <c r="C17985" t="s">
        <v>461</v>
      </c>
      <c r="D17985" t="s">
        <v>837</v>
      </c>
      <c r="F17985">
        <v>9.7956201933985794E-9</v>
      </c>
      <c r="G17985">
        <v>6973542</v>
      </c>
      <c r="H17985">
        <v>13355732</v>
      </c>
      <c r="I17985">
        <v>10599302</v>
      </c>
      <c r="J17985">
        <v>13</v>
      </c>
    </row>
    <row r="17986" spans="1:10" x14ac:dyDescent="0.25">
      <c r="A17986" t="s">
        <v>188</v>
      </c>
      <c r="B17986" s="1" t="str">
        <f>HYPERLINK("http://sharp.co.jp","sharp.co.jp")</f>
        <v>sharp.co.jp</v>
      </c>
      <c r="C17986" t="s">
        <v>461</v>
      </c>
      <c r="D17986" t="s">
        <v>837</v>
      </c>
      <c r="E17986">
        <v>17573</v>
      </c>
      <c r="F17986">
        <v>1.3215505272166299E-6</v>
      </c>
      <c r="G17986">
        <v>29382</v>
      </c>
      <c r="H17986">
        <v>17357134</v>
      </c>
      <c r="I17986">
        <v>22466</v>
      </c>
      <c r="J17986">
        <v>12</v>
      </c>
    </row>
    <row r="17987" spans="1:10" x14ac:dyDescent="0.25">
      <c r="A17987" t="s">
        <v>188</v>
      </c>
      <c r="B17987" s="1" t="str">
        <f>HYPERLINK("http://sharp-sor.co.jp","sharp-sor.co.jp")</f>
        <v>sharp-sor.co.jp</v>
      </c>
      <c r="C17987" t="s">
        <v>461</v>
      </c>
      <c r="D17987" t="s">
        <v>837</v>
      </c>
      <c r="F17987">
        <v>1.22499359346406E-8</v>
      </c>
      <c r="G17987">
        <v>5022402</v>
      </c>
      <c r="H17987">
        <v>12646067</v>
      </c>
      <c r="I17987">
        <v>15825830</v>
      </c>
      <c r="J17987">
        <v>13</v>
      </c>
    </row>
    <row r="17988" spans="1:10" x14ac:dyDescent="0.25">
      <c r="A17988" t="s">
        <v>188</v>
      </c>
      <c r="B17988" s="1" t="str">
        <f>HYPERLINK("http://sharp.lt","sharp.lt")</f>
        <v>sharp.lt</v>
      </c>
      <c r="C17988" t="s">
        <v>467</v>
      </c>
      <c r="D17988" t="s">
        <v>843</v>
      </c>
      <c r="F17988">
        <v>3.0277772007094101E-8</v>
      </c>
      <c r="G17988">
        <v>1699953</v>
      </c>
      <c r="H17988">
        <v>12207745</v>
      </c>
      <c r="I17988">
        <v>23082602</v>
      </c>
      <c r="J17988">
        <v>8</v>
      </c>
    </row>
    <row r="17989" spans="1:10" x14ac:dyDescent="0.25">
      <c r="A17989" t="s">
        <v>188</v>
      </c>
      <c r="B17989" s="1" t="str">
        <f>HYPERLINK("http://sharp.lu","sharp.lu")</f>
        <v>sharp.lu</v>
      </c>
      <c r="C17989" t="s">
        <v>547</v>
      </c>
      <c r="D17989" t="s">
        <v>904</v>
      </c>
      <c r="F17989">
        <v>2.68891380644231E-8</v>
      </c>
      <c r="G17989">
        <v>1913002</v>
      </c>
      <c r="H17989">
        <v>12206014</v>
      </c>
      <c r="I17989">
        <v>23130125</v>
      </c>
      <c r="J17989">
        <v>8</v>
      </c>
    </row>
    <row r="17990" spans="1:10" x14ac:dyDescent="0.25">
      <c r="A17990" t="s">
        <v>188</v>
      </c>
      <c r="B17990" s="1" t="str">
        <f>HYPERLINK("http://fih.com.mx","fih.com.mx")</f>
        <v>fih.com.mx</v>
      </c>
      <c r="C17990" t="s">
        <v>471</v>
      </c>
      <c r="D17990" t="s">
        <v>847</v>
      </c>
      <c r="J17990">
        <v>4</v>
      </c>
    </row>
    <row r="17991" spans="1:10" x14ac:dyDescent="0.25">
      <c r="A17991" t="s">
        <v>188</v>
      </c>
      <c r="B17991" s="1" t="str">
        <f>HYPERLINK("http://sharp.com.mx","sharp.com.mx")</f>
        <v>sharp.com.mx</v>
      </c>
      <c r="C17991" t="s">
        <v>471</v>
      </c>
      <c r="D17991" t="s">
        <v>847</v>
      </c>
      <c r="F17991">
        <v>1.3809511679909301E-8</v>
      </c>
      <c r="G17991">
        <v>4277517</v>
      </c>
      <c r="H17991">
        <v>13064891</v>
      </c>
      <c r="I17991">
        <v>12294552</v>
      </c>
      <c r="J17991">
        <v>5</v>
      </c>
    </row>
    <row r="17992" spans="1:10" x14ac:dyDescent="0.25">
      <c r="A17992" t="s">
        <v>188</v>
      </c>
      <c r="B17992" s="1" t="str">
        <f>HYPERLINK("http://sharpusa.net","sharpusa.net")</f>
        <v>sharpusa.net</v>
      </c>
      <c r="C17992" t="s">
        <v>474</v>
      </c>
      <c r="E17992">
        <v>979893</v>
      </c>
      <c r="F17992">
        <v>7.37679279178918E-9</v>
      </c>
      <c r="G17992">
        <v>11298301</v>
      </c>
      <c r="H17992">
        <v>11194430</v>
      </c>
      <c r="I17992">
        <v>31317642</v>
      </c>
      <c r="J17992">
        <v>13</v>
      </c>
    </row>
    <row r="17993" spans="1:10" x14ac:dyDescent="0.25">
      <c r="A17993" t="s">
        <v>188</v>
      </c>
      <c r="B17993" s="1" t="str">
        <f>HYPERLINK("http://sharp.nl","sharp.nl")</f>
        <v>sharp.nl</v>
      </c>
      <c r="C17993" t="s">
        <v>477</v>
      </c>
      <c r="D17993" t="s">
        <v>852</v>
      </c>
      <c r="F17993">
        <v>5.7750674926836998E-8</v>
      </c>
      <c r="G17993">
        <v>771442</v>
      </c>
      <c r="H17993">
        <v>14080449</v>
      </c>
      <c r="I17993">
        <v>2819888</v>
      </c>
      <c r="J17993">
        <v>8</v>
      </c>
    </row>
    <row r="17994" spans="1:10" x14ac:dyDescent="0.25">
      <c r="A17994" t="s">
        <v>188</v>
      </c>
      <c r="B17994" s="1" t="str">
        <f>HYPERLINK("http://sharpconsumer.nl","sharpconsumer.nl")</f>
        <v>sharpconsumer.nl</v>
      </c>
      <c r="C17994" t="s">
        <v>477</v>
      </c>
      <c r="D17994" t="s">
        <v>852</v>
      </c>
      <c r="F17994">
        <v>1.6244954798350099E-8</v>
      </c>
      <c r="G17994">
        <v>3484223</v>
      </c>
      <c r="H17994">
        <v>12195541</v>
      </c>
      <c r="I17994">
        <v>23438148</v>
      </c>
      <c r="J17994">
        <v>12</v>
      </c>
    </row>
    <row r="17995" spans="1:10" x14ac:dyDescent="0.25">
      <c r="A17995" t="s">
        <v>188</v>
      </c>
      <c r="B17995" s="1" t="str">
        <f>HYPERLINK("http://sharp.no","sharp.no")</f>
        <v>sharp.no</v>
      </c>
      <c r="C17995" t="s">
        <v>478</v>
      </c>
      <c r="D17995" t="s">
        <v>853</v>
      </c>
      <c r="F17995">
        <v>3.2498727878409199E-8</v>
      </c>
      <c r="G17995">
        <v>1589842</v>
      </c>
      <c r="H17995">
        <v>12302055</v>
      </c>
      <c r="I17995">
        <v>20788839</v>
      </c>
      <c r="J17995">
        <v>8</v>
      </c>
    </row>
    <row r="17996" spans="1:10" x14ac:dyDescent="0.25">
      <c r="A17996" t="s">
        <v>188</v>
      </c>
      <c r="B17996" s="1" t="str">
        <f>HYPERLINK("http://sharp.pl","sharp.pl")</f>
        <v>sharp.pl</v>
      </c>
      <c r="C17996" t="s">
        <v>486</v>
      </c>
      <c r="D17996" t="s">
        <v>860</v>
      </c>
      <c r="F17996">
        <v>6.3323631856763797E-8</v>
      </c>
      <c r="G17996">
        <v>686861</v>
      </c>
      <c r="H17996">
        <v>12630295</v>
      </c>
      <c r="I17996">
        <v>15986620</v>
      </c>
      <c r="J17996">
        <v>8</v>
      </c>
    </row>
    <row r="17997" spans="1:10" x14ac:dyDescent="0.25">
      <c r="A17997" t="s">
        <v>188</v>
      </c>
      <c r="B17997" s="1" t="str">
        <f>HYPERLINK("http://sharpconsumer.pl","sharpconsumer.pl")</f>
        <v>sharpconsumer.pl</v>
      </c>
      <c r="C17997" t="s">
        <v>486</v>
      </c>
      <c r="D17997" t="s">
        <v>860</v>
      </c>
      <c r="F17997">
        <v>3.3379112525522699E-8</v>
      </c>
      <c r="G17997">
        <v>1548448</v>
      </c>
      <c r="H17997">
        <v>12478722</v>
      </c>
      <c r="I17997">
        <v>17610740</v>
      </c>
      <c r="J17997">
        <v>12</v>
      </c>
    </row>
    <row r="17998" spans="1:10" x14ac:dyDescent="0.25">
      <c r="A17998" t="s">
        <v>188</v>
      </c>
      <c r="B17998" s="1" t="str">
        <f>HYPERLINK("http://sharpconsumer.pt","sharpconsumer.pt")</f>
        <v>sharpconsumer.pt</v>
      </c>
      <c r="C17998" t="s">
        <v>488</v>
      </c>
      <c r="D17998" t="s">
        <v>862</v>
      </c>
      <c r="F17998">
        <v>1.56957919720765E-8</v>
      </c>
      <c r="G17998">
        <v>3628572</v>
      </c>
      <c r="H17998">
        <v>11045360</v>
      </c>
      <c r="I17998">
        <v>32857062</v>
      </c>
      <c r="J17998">
        <v>12</v>
      </c>
    </row>
    <row r="17999" spans="1:10" x14ac:dyDescent="0.25">
      <c r="A17999" t="s">
        <v>188</v>
      </c>
      <c r="B17999" s="1" t="str">
        <f>HYPERLINK("http://sharp.com.ro","sharp.com.ro")</f>
        <v>sharp.com.ro</v>
      </c>
      <c r="C17999" t="s">
        <v>491</v>
      </c>
      <c r="D17999" t="s">
        <v>865</v>
      </c>
      <c r="F17999">
        <v>2.85029107698926E-8</v>
      </c>
      <c r="G17999">
        <v>1805868</v>
      </c>
      <c r="H17999">
        <v>12289024</v>
      </c>
      <c r="I17999">
        <v>21134558</v>
      </c>
      <c r="J17999">
        <v>8</v>
      </c>
    </row>
    <row r="18000" spans="1:10" x14ac:dyDescent="0.25">
      <c r="A18000" t="s">
        <v>188</v>
      </c>
      <c r="B18000" s="1" t="str">
        <f>HYPERLINK("http://sharpconsumer.rs","sharpconsumer.rs")</f>
        <v>sharpconsumer.rs</v>
      </c>
      <c r="C18000" t="s">
        <v>492</v>
      </c>
      <c r="D18000" t="s">
        <v>866</v>
      </c>
      <c r="F18000">
        <v>1.30009893537849E-8</v>
      </c>
      <c r="G18000">
        <v>4631226</v>
      </c>
      <c r="H18000">
        <v>10935686</v>
      </c>
      <c r="I18000">
        <v>34944761</v>
      </c>
      <c r="J18000">
        <v>11</v>
      </c>
    </row>
    <row r="18001" spans="1:10" x14ac:dyDescent="0.25">
      <c r="A18001" t="s">
        <v>188</v>
      </c>
      <c r="B18001" s="1" t="str">
        <f>HYPERLINK("http://sharp.ru","sharp.ru")</f>
        <v>sharp.ru</v>
      </c>
      <c r="C18001" t="s">
        <v>493</v>
      </c>
      <c r="D18001" t="s">
        <v>867</v>
      </c>
      <c r="F18001">
        <v>8.1104081456152506E-8</v>
      </c>
      <c r="G18001">
        <v>514701</v>
      </c>
      <c r="H18001">
        <v>13266058</v>
      </c>
      <c r="I18001">
        <v>11007876</v>
      </c>
      <c r="J18001">
        <v>8</v>
      </c>
    </row>
    <row r="18002" spans="1:10" x14ac:dyDescent="0.25">
      <c r="A18002" t="s">
        <v>188</v>
      </c>
      <c r="B18002" s="1" t="str">
        <f>HYPERLINK("http://sharpconsumer.ru","sharpconsumer.ru")</f>
        <v>sharpconsumer.ru</v>
      </c>
      <c r="C18002" t="s">
        <v>493</v>
      </c>
      <c r="D18002" t="s">
        <v>867</v>
      </c>
      <c r="F18002">
        <v>1.3345015060613001E-8</v>
      </c>
      <c r="G18002">
        <v>4473818</v>
      </c>
      <c r="H18002">
        <v>12674154</v>
      </c>
      <c r="I18002">
        <v>15565073</v>
      </c>
      <c r="J18002">
        <v>12</v>
      </c>
    </row>
    <row r="18003" spans="1:10" x14ac:dyDescent="0.25">
      <c r="A18003" t="s">
        <v>188</v>
      </c>
      <c r="B18003" s="1" t="str">
        <f>HYPERLINK("http://sharp.se","sharp.se")</f>
        <v>sharp.se</v>
      </c>
      <c r="C18003" t="s">
        <v>495</v>
      </c>
      <c r="D18003" t="s">
        <v>869</v>
      </c>
      <c r="F18003">
        <v>4.9189943175979702E-8</v>
      </c>
      <c r="G18003">
        <v>941187</v>
      </c>
      <c r="H18003">
        <v>13769390</v>
      </c>
      <c r="I18003">
        <v>6793961</v>
      </c>
      <c r="J18003">
        <v>8</v>
      </c>
    </row>
    <row r="18004" spans="1:10" x14ac:dyDescent="0.25">
      <c r="A18004" t="s">
        <v>188</v>
      </c>
      <c r="B18004" s="1" t="str">
        <f>HYPERLINK("http://global.sharp","global.sharp")</f>
        <v>global.sharp</v>
      </c>
      <c r="C18004" t="s">
        <v>766</v>
      </c>
      <c r="E18004">
        <v>77570</v>
      </c>
      <c r="F18004">
        <v>1.244461651431E-6</v>
      </c>
      <c r="G18004">
        <v>31307</v>
      </c>
      <c r="H18004">
        <v>15042518</v>
      </c>
      <c r="I18004">
        <v>416086</v>
      </c>
      <c r="J18004">
        <v>4</v>
      </c>
    </row>
    <row r="18005" spans="1:10" x14ac:dyDescent="0.25">
      <c r="A18005" t="s">
        <v>188</v>
      </c>
      <c r="B18005" s="1" t="str">
        <f>HYPERLINK("http://jp.sharp","jp.sharp")</f>
        <v>jp.sharp</v>
      </c>
      <c r="C18005" t="s">
        <v>766</v>
      </c>
      <c r="E18005">
        <v>35364</v>
      </c>
      <c r="F18005">
        <v>1.05486426780444E-6</v>
      </c>
      <c r="G18005">
        <v>36378</v>
      </c>
      <c r="H18005">
        <v>17311198</v>
      </c>
      <c r="I18005">
        <v>26690</v>
      </c>
      <c r="J18005">
        <v>6</v>
      </c>
    </row>
    <row r="18006" spans="1:10" x14ac:dyDescent="0.25">
      <c r="A18006" t="s">
        <v>188</v>
      </c>
      <c r="B18006" s="1" t="str">
        <f>HYPERLINK("http://sharp.si","sharp.si")</f>
        <v>sharp.si</v>
      </c>
      <c r="C18006" t="s">
        <v>497</v>
      </c>
      <c r="D18006" t="s">
        <v>871</v>
      </c>
      <c r="F18006">
        <v>2.7536242371553001E-8</v>
      </c>
      <c r="G18006">
        <v>1866912</v>
      </c>
      <c r="H18006">
        <v>12203310</v>
      </c>
      <c r="I18006">
        <v>23235922</v>
      </c>
      <c r="J18006">
        <v>8</v>
      </c>
    </row>
    <row r="18007" spans="1:10" x14ac:dyDescent="0.25">
      <c r="A18007" t="s">
        <v>188</v>
      </c>
      <c r="B18007" s="1" t="str">
        <f>HYPERLINK("http://foxconn.sk","foxconn.sk")</f>
        <v>foxconn.sk</v>
      </c>
      <c r="C18007" t="s">
        <v>498</v>
      </c>
      <c r="D18007" t="s">
        <v>872</v>
      </c>
      <c r="F18007">
        <v>1.1244775726697101E-8</v>
      </c>
      <c r="G18007">
        <v>5681846</v>
      </c>
      <c r="H18007">
        <v>14073367</v>
      </c>
      <c r="I18007">
        <v>2999554</v>
      </c>
      <c r="J18007">
        <v>3</v>
      </c>
    </row>
    <row r="18008" spans="1:10" x14ac:dyDescent="0.25">
      <c r="A18008" t="s">
        <v>188</v>
      </c>
      <c r="B18008" s="1" t="str">
        <f>HYPERLINK("http://foxconnslovakia.sk","foxconnslovakia.sk")</f>
        <v>foxconnslovakia.sk</v>
      </c>
      <c r="C18008" t="s">
        <v>498</v>
      </c>
      <c r="D18008" t="s">
        <v>872</v>
      </c>
      <c r="F18008">
        <v>7.4436003435996399E-9</v>
      </c>
      <c r="G18008">
        <v>11141410</v>
      </c>
      <c r="H18008">
        <v>13225357</v>
      </c>
      <c r="I18008">
        <v>11307790</v>
      </c>
      <c r="J18008">
        <v>6</v>
      </c>
    </row>
    <row r="18009" spans="1:10" x14ac:dyDescent="0.25">
      <c r="A18009" t="s">
        <v>188</v>
      </c>
      <c r="B18009" s="1" t="str">
        <f>HYPERLINK("http://sharp.sk","sharp.sk")</f>
        <v>sharp.sk</v>
      </c>
      <c r="C18009" t="s">
        <v>498</v>
      </c>
      <c r="D18009" t="s">
        <v>872</v>
      </c>
      <c r="F18009">
        <v>3.1371006930506997E-8</v>
      </c>
      <c r="G18009">
        <v>1644010</v>
      </c>
      <c r="H18009">
        <v>12324426</v>
      </c>
      <c r="I18009">
        <v>20333606</v>
      </c>
      <c r="J18009">
        <v>8</v>
      </c>
    </row>
    <row r="18010" spans="1:10" x14ac:dyDescent="0.25">
      <c r="A18010" t="s">
        <v>188</v>
      </c>
      <c r="B18010" s="1" t="str">
        <f>HYPERLINK("http://sharp.com.tr","sharp.com.tr")</f>
        <v>sharp.com.tr</v>
      </c>
      <c r="C18010" t="s">
        <v>502</v>
      </c>
      <c r="D18010" t="s">
        <v>876</v>
      </c>
      <c r="F18010">
        <v>2.9257023042590199E-8</v>
      </c>
      <c r="G18010">
        <v>1760735</v>
      </c>
      <c r="H18010">
        <v>12215857</v>
      </c>
      <c r="I18010">
        <v>22884334</v>
      </c>
      <c r="J18010">
        <v>8</v>
      </c>
    </row>
    <row r="18011" spans="1:10" x14ac:dyDescent="0.25">
      <c r="A18011" t="s">
        <v>188</v>
      </c>
      <c r="B18011" s="1" t="str">
        <f>HYPERLINK("http://aptg.com.tw","aptg.com.tw")</f>
        <v>aptg.com.tw</v>
      </c>
      <c r="C18011" t="s">
        <v>504</v>
      </c>
      <c r="D18011" t="s">
        <v>878</v>
      </c>
      <c r="E18011">
        <v>46583</v>
      </c>
      <c r="F18011">
        <v>1.58294473181745E-7</v>
      </c>
      <c r="G18011">
        <v>245255</v>
      </c>
      <c r="H18011">
        <v>14731619</v>
      </c>
      <c r="I18011">
        <v>571641</v>
      </c>
      <c r="J18011">
        <v>3</v>
      </c>
    </row>
    <row r="18012" spans="1:10" x14ac:dyDescent="0.25">
      <c r="A18012" t="s">
        <v>188</v>
      </c>
      <c r="B18012" s="1" t="str">
        <f>HYPERLINK("http://cmcs.com.tw","cmcs.com.tw")</f>
        <v>cmcs.com.tw</v>
      </c>
      <c r="C18012" t="s">
        <v>504</v>
      </c>
      <c r="D18012" t="s">
        <v>878</v>
      </c>
      <c r="F18012">
        <v>7.4180916773137802E-9</v>
      </c>
      <c r="G18012">
        <v>11202496</v>
      </c>
      <c r="H18012">
        <v>12679006</v>
      </c>
      <c r="I18012">
        <v>15509938</v>
      </c>
      <c r="J18012">
        <v>3</v>
      </c>
    </row>
    <row r="18013" spans="1:10" x14ac:dyDescent="0.25">
      <c r="A18013" t="s">
        <v>188</v>
      </c>
      <c r="B18013" s="1" t="str">
        <f>HYPERLINK("http://foxconn.com.tw","foxconn.com.tw")</f>
        <v>foxconn.com.tw</v>
      </c>
      <c r="C18013" t="s">
        <v>504</v>
      </c>
      <c r="D18013" t="s">
        <v>878</v>
      </c>
      <c r="F18013">
        <v>1.8109007188067102E-8</v>
      </c>
      <c r="G18013">
        <v>3007961</v>
      </c>
      <c r="H18013">
        <v>14247787</v>
      </c>
      <c r="I18013">
        <v>1456106</v>
      </c>
      <c r="J18013">
        <v>1</v>
      </c>
    </row>
    <row r="18014" spans="1:10" x14ac:dyDescent="0.25">
      <c r="A18014" t="s">
        <v>188</v>
      </c>
      <c r="B18014" s="1" t="str">
        <f>HYPERLINK("http://sharp.ua","sharp.ua")</f>
        <v>sharp.ua</v>
      </c>
      <c r="C18014" t="s">
        <v>505</v>
      </c>
      <c r="D18014" t="s">
        <v>879</v>
      </c>
      <c r="F18014">
        <v>2.7901289533837299E-8</v>
      </c>
      <c r="G18014">
        <v>1843455</v>
      </c>
      <c r="H18014">
        <v>12204869</v>
      </c>
      <c r="I18014">
        <v>23194080</v>
      </c>
      <c r="J18014">
        <v>8</v>
      </c>
    </row>
    <row r="18015" spans="1:10" x14ac:dyDescent="0.25">
      <c r="A18015" t="s">
        <v>188</v>
      </c>
      <c r="B18015" s="1" t="str">
        <f>HYPERLINK("http://belkin.co.uk","belkin.co.uk")</f>
        <v>belkin.co.uk</v>
      </c>
      <c r="C18015" t="s">
        <v>506</v>
      </c>
      <c r="D18015" t="s">
        <v>880</v>
      </c>
      <c r="F18015">
        <v>1.10964872708444E-8</v>
      </c>
      <c r="G18015">
        <v>5788016</v>
      </c>
      <c r="H18015">
        <v>13382449</v>
      </c>
      <c r="I18015">
        <v>10419794</v>
      </c>
      <c r="J18015">
        <v>4</v>
      </c>
    </row>
    <row r="18016" spans="1:10" x14ac:dyDescent="0.25">
      <c r="A18016" t="s">
        <v>188</v>
      </c>
      <c r="B18016" s="1" t="str">
        <f>HYPERLINK("http://complete-it.co.uk","complete-it.co.uk")</f>
        <v>complete-it.co.uk</v>
      </c>
      <c r="C18016" t="s">
        <v>506</v>
      </c>
      <c r="D18016" t="s">
        <v>880</v>
      </c>
      <c r="F18016">
        <v>1.23751471292884E-8</v>
      </c>
      <c r="G18016">
        <v>4952948</v>
      </c>
      <c r="H18016">
        <v>13266839</v>
      </c>
      <c r="I18016">
        <v>11005181</v>
      </c>
      <c r="J18016">
        <v>11</v>
      </c>
    </row>
    <row r="18017" spans="1:10" x14ac:dyDescent="0.25">
      <c r="A18017" t="s">
        <v>188</v>
      </c>
      <c r="B18017" s="1" t="str">
        <f>HYPERLINK("http://sharp.co.uk","sharp.co.uk")</f>
        <v>sharp.co.uk</v>
      </c>
      <c r="C18017" t="s">
        <v>506</v>
      </c>
      <c r="D18017" t="s">
        <v>880</v>
      </c>
      <c r="E18017">
        <v>361254</v>
      </c>
      <c r="F18017">
        <v>1.88995324712027E-7</v>
      </c>
      <c r="G18017">
        <v>203889</v>
      </c>
      <c r="H18017">
        <v>15019925</v>
      </c>
      <c r="I18017">
        <v>420993</v>
      </c>
      <c r="J18017">
        <v>8</v>
      </c>
    </row>
    <row r="18018" spans="1:10" x14ac:dyDescent="0.25">
      <c r="A18018" t="s">
        <v>188</v>
      </c>
      <c r="B18018" s="1" t="str">
        <f>HYPERLINK("http://sharpconsumer.uk","sharpconsumer.uk")</f>
        <v>sharpconsumer.uk</v>
      </c>
      <c r="C18018" t="s">
        <v>506</v>
      </c>
      <c r="D18018" t="s">
        <v>880</v>
      </c>
      <c r="F18018">
        <v>1.9755151641319199E-8</v>
      </c>
      <c r="G18018">
        <v>2700246</v>
      </c>
      <c r="H18018">
        <v>12324796</v>
      </c>
      <c r="I18018">
        <v>20328496</v>
      </c>
      <c r="J18018">
        <v>12</v>
      </c>
    </row>
    <row r="18019" spans="1:10" x14ac:dyDescent="0.25">
      <c r="A18019" t="s">
        <v>189</v>
      </c>
      <c r="B18019" s="1" t="str">
        <f>HYPERLINK("http://honda.asia","honda.asia")</f>
        <v>honda.asia</v>
      </c>
      <c r="C18019" t="s">
        <v>525</v>
      </c>
      <c r="F18019">
        <v>2.0146907173484899E-8</v>
      </c>
      <c r="G18019">
        <v>2636729</v>
      </c>
      <c r="H18019">
        <v>12472429</v>
      </c>
      <c r="I18019">
        <v>17673771</v>
      </c>
      <c r="J18019">
        <v>3</v>
      </c>
    </row>
    <row r="18020" spans="1:10" x14ac:dyDescent="0.25">
      <c r="A18020" t="s">
        <v>189</v>
      </c>
      <c r="B18020" s="1" t="str">
        <f>HYPERLINK("http://honda.at","honda.at")</f>
        <v>honda.at</v>
      </c>
      <c r="C18020" t="s">
        <v>419</v>
      </c>
      <c r="D18020" t="s">
        <v>801</v>
      </c>
      <c r="E18020">
        <v>427298</v>
      </c>
      <c r="F18020">
        <v>9.3237052743023396E-8</v>
      </c>
      <c r="G18020">
        <v>436068</v>
      </c>
      <c r="H18020">
        <v>14376524</v>
      </c>
      <c r="I18020">
        <v>1216509</v>
      </c>
      <c r="J18020">
        <v>2</v>
      </c>
    </row>
    <row r="18021" spans="1:10" x14ac:dyDescent="0.25">
      <c r="A18021" t="s">
        <v>189</v>
      </c>
      <c r="B18021" s="1" t="str">
        <f>HYPERLINK("http://honda.com.au","honda.com.au")</f>
        <v>honda.com.au</v>
      </c>
      <c r="C18021" t="s">
        <v>420</v>
      </c>
      <c r="D18021" t="s">
        <v>802</v>
      </c>
      <c r="E18021">
        <v>181166</v>
      </c>
      <c r="F18021">
        <v>1.29624960499468E-7</v>
      </c>
      <c r="G18021">
        <v>302068</v>
      </c>
      <c r="H18021">
        <v>14771004</v>
      </c>
      <c r="I18021">
        <v>557485</v>
      </c>
      <c r="J18021">
        <v>3</v>
      </c>
    </row>
    <row r="18022" spans="1:10" x14ac:dyDescent="0.25">
      <c r="A18022" t="s">
        <v>189</v>
      </c>
      <c r="B18022" s="1" t="str">
        <f>HYPERLINK("http://honda.be","honda.be")</f>
        <v>honda.be</v>
      </c>
      <c r="C18022" t="s">
        <v>421</v>
      </c>
      <c r="D18022" t="s">
        <v>803</v>
      </c>
      <c r="E18022">
        <v>670674</v>
      </c>
      <c r="F18022">
        <v>7.1328285387154994E-8</v>
      </c>
      <c r="G18022">
        <v>592606</v>
      </c>
      <c r="H18022">
        <v>14096962</v>
      </c>
      <c r="I18022">
        <v>2722870</v>
      </c>
      <c r="J18022">
        <v>2</v>
      </c>
    </row>
    <row r="18023" spans="1:10" x14ac:dyDescent="0.25">
      <c r="A18023" t="s">
        <v>189</v>
      </c>
      <c r="B18023" s="1" t="str">
        <f>HYPERLINK("http://honda.ca","honda.ca")</f>
        <v>honda.ca</v>
      </c>
      <c r="C18023" t="s">
        <v>428</v>
      </c>
      <c r="D18023" t="s">
        <v>809</v>
      </c>
      <c r="E18023">
        <v>74129</v>
      </c>
      <c r="F18023">
        <v>2.7642475996178102E-7</v>
      </c>
      <c r="G18023">
        <v>134579</v>
      </c>
      <c r="H18023">
        <v>14610511</v>
      </c>
      <c r="I18023">
        <v>677196</v>
      </c>
      <c r="J18023">
        <v>3</v>
      </c>
    </row>
    <row r="18024" spans="1:10" x14ac:dyDescent="0.25">
      <c r="A18024" t="s">
        <v>189</v>
      </c>
      <c r="B18024" s="1" t="str">
        <f>HYPERLINK("http://hondatrading.ca","hondatrading.ca")</f>
        <v>hondatrading.ca</v>
      </c>
      <c r="C18024" t="s">
        <v>428</v>
      </c>
      <c r="D18024" t="s">
        <v>809</v>
      </c>
      <c r="F18024">
        <v>6.1253780151300201E-9</v>
      </c>
      <c r="G18024">
        <v>15950195</v>
      </c>
      <c r="H18024">
        <v>11473692</v>
      </c>
      <c r="I18024">
        <v>30076767</v>
      </c>
      <c r="J18024">
        <v>4</v>
      </c>
    </row>
    <row r="18025" spans="1:10" x14ac:dyDescent="0.25">
      <c r="A18025" t="s">
        <v>189</v>
      </c>
      <c r="B18025" s="1" t="str">
        <f>HYPERLINK("http://honda.ch","honda.ch")</f>
        <v>honda.ch</v>
      </c>
      <c r="C18025" t="s">
        <v>429</v>
      </c>
      <c r="D18025" t="s">
        <v>810</v>
      </c>
      <c r="E18025">
        <v>823277</v>
      </c>
      <c r="F18025">
        <v>1.5061552188330299E-7</v>
      </c>
      <c r="G18025">
        <v>257923</v>
      </c>
      <c r="H18025">
        <v>14894765</v>
      </c>
      <c r="I18025">
        <v>465153</v>
      </c>
      <c r="J18025">
        <v>2</v>
      </c>
    </row>
    <row r="18026" spans="1:10" x14ac:dyDescent="0.25">
      <c r="A18026" t="s">
        <v>189</v>
      </c>
      <c r="B18026" s="1" t="str">
        <f>HYPERLINK("http://honda.com.cn","honda.com.cn")</f>
        <v>honda.com.cn</v>
      </c>
      <c r="C18026" t="s">
        <v>431</v>
      </c>
      <c r="D18026" t="s">
        <v>812</v>
      </c>
      <c r="E18026">
        <v>223675</v>
      </c>
      <c r="F18026">
        <v>8.0139627162010495E-8</v>
      </c>
      <c r="G18026">
        <v>521205</v>
      </c>
      <c r="H18026">
        <v>14393396</v>
      </c>
      <c r="I18026">
        <v>1163460</v>
      </c>
      <c r="J18026">
        <v>2</v>
      </c>
    </row>
    <row r="18027" spans="1:10" x14ac:dyDescent="0.25">
      <c r="A18027" t="s">
        <v>189</v>
      </c>
      <c r="B18027" s="1" t="str">
        <f>HYPERLINK("http://ghac.cn","ghac.cn")</f>
        <v>ghac.cn</v>
      </c>
      <c r="C18027" t="s">
        <v>431</v>
      </c>
      <c r="D18027" t="s">
        <v>812</v>
      </c>
      <c r="E18027">
        <v>155199</v>
      </c>
      <c r="F18027">
        <v>4.2543573200533398E-7</v>
      </c>
      <c r="G18027">
        <v>88539</v>
      </c>
      <c r="H18027">
        <v>14216194</v>
      </c>
      <c r="I18027">
        <v>1692451</v>
      </c>
      <c r="J18027">
        <v>3</v>
      </c>
    </row>
    <row r="18028" spans="1:10" x14ac:dyDescent="0.25">
      <c r="A18028" t="s">
        <v>189</v>
      </c>
      <c r="B18028" s="1" t="str">
        <f>HYPERLINK("http://dailyhondaquangbinh.com","dailyhondaquangbinh.com")</f>
        <v>dailyhondaquangbinh.com</v>
      </c>
      <c r="C18028" t="s">
        <v>433</v>
      </c>
      <c r="F18028">
        <v>5.15826130665512E-9</v>
      </c>
      <c r="G18028">
        <v>25932412</v>
      </c>
      <c r="H18028">
        <v>7880190.5</v>
      </c>
      <c r="I18028">
        <v>75440868</v>
      </c>
      <c r="J18028">
        <v>3</v>
      </c>
    </row>
    <row r="18029" spans="1:10" x14ac:dyDescent="0.25">
      <c r="A18029" t="s">
        <v>189</v>
      </c>
      <c r="B18029" s="1" t="str">
        <f>HYPERLINK("http://dongfeng-honda.com","dongfeng-honda.com")</f>
        <v>dongfeng-honda.com</v>
      </c>
      <c r="C18029" t="s">
        <v>433</v>
      </c>
      <c r="E18029">
        <v>212046</v>
      </c>
      <c r="F18029">
        <v>1.07883079507379E-7</v>
      </c>
      <c r="G18029">
        <v>371099</v>
      </c>
      <c r="H18029">
        <v>14119704</v>
      </c>
      <c r="I18029">
        <v>2656911</v>
      </c>
      <c r="J18029">
        <v>3</v>
      </c>
    </row>
    <row r="18030" spans="1:10" x14ac:dyDescent="0.25">
      <c r="A18030" t="s">
        <v>189</v>
      </c>
      <c r="B18030" s="1" t="str">
        <f>HYPERLINK("http://dongfeng-honda-ciimo.com","dongfeng-honda-ciimo.com")</f>
        <v>dongfeng-honda-ciimo.com</v>
      </c>
      <c r="C18030" t="s">
        <v>433</v>
      </c>
      <c r="F18030">
        <v>4.7532671054242497E-9</v>
      </c>
      <c r="G18030">
        <v>38176994</v>
      </c>
      <c r="H18030">
        <v>8453932</v>
      </c>
      <c r="I18030">
        <v>72487920</v>
      </c>
      <c r="J18030">
        <v>4</v>
      </c>
    </row>
    <row r="18031" spans="1:10" x14ac:dyDescent="0.25">
      <c r="A18031" t="s">
        <v>189</v>
      </c>
      <c r="B18031" s="1" t="str">
        <f>HYPERLINK("http://honda.com","honda.com")</f>
        <v>honda.com</v>
      </c>
      <c r="C18031" t="s">
        <v>433</v>
      </c>
      <c r="E18031">
        <v>3692</v>
      </c>
      <c r="F18031">
        <v>3.9155089890148598E-6</v>
      </c>
      <c r="G18031">
        <v>9987</v>
      </c>
      <c r="H18031">
        <v>17686066</v>
      </c>
      <c r="I18031">
        <v>7599</v>
      </c>
      <c r="J18031">
        <v>2</v>
      </c>
    </row>
    <row r="18032" spans="1:10" x14ac:dyDescent="0.25">
      <c r="A18032" t="s">
        <v>189</v>
      </c>
      <c r="B18032" s="1" t="str">
        <f>HYPERLINK("http://honda-expert.com","honda-expert.com")</f>
        <v>honda-expert.com</v>
      </c>
      <c r="C18032" t="s">
        <v>433</v>
      </c>
      <c r="J18032">
        <v>2</v>
      </c>
    </row>
    <row r="18033" spans="1:10" x14ac:dyDescent="0.25">
      <c r="A18033" t="s">
        <v>189</v>
      </c>
      <c r="B18033" s="1" t="str">
        <f>HYPERLINK("http://honda-indonesia.com","honda-indonesia.com")</f>
        <v>honda-indonesia.com</v>
      </c>
      <c r="C18033" t="s">
        <v>433</v>
      </c>
      <c r="E18033">
        <v>384195</v>
      </c>
      <c r="F18033">
        <v>1.6730195765346199E-7</v>
      </c>
      <c r="G18033">
        <v>231950</v>
      </c>
      <c r="H18033">
        <v>17029594</v>
      </c>
      <c r="I18033">
        <v>84057</v>
      </c>
      <c r="J18033">
        <v>3</v>
      </c>
    </row>
    <row r="18034" spans="1:10" x14ac:dyDescent="0.25">
      <c r="A18034" t="s">
        <v>189</v>
      </c>
      <c r="B18034" s="1" t="str">
        <f>HYPERLINK("http://honda2wheelersindia.com","honda2wheelersindia.com")</f>
        <v>honda2wheelersindia.com</v>
      </c>
      <c r="C18034" t="s">
        <v>433</v>
      </c>
      <c r="E18034">
        <v>113266</v>
      </c>
      <c r="F18034">
        <v>7.5666432021833706E-8</v>
      </c>
      <c r="G18034">
        <v>555522</v>
      </c>
      <c r="H18034">
        <v>14711988</v>
      </c>
      <c r="I18034">
        <v>582666</v>
      </c>
      <c r="J18034">
        <v>3</v>
      </c>
    </row>
    <row r="18035" spans="1:10" x14ac:dyDescent="0.25">
      <c r="A18035" t="s">
        <v>189</v>
      </c>
      <c r="B18035" s="1" t="str">
        <f>HYPERLINK("http://hondaalabama.com","hondaalabama.com")</f>
        <v>hondaalabama.com</v>
      </c>
      <c r="C18035" t="s">
        <v>433</v>
      </c>
      <c r="F18035">
        <v>2.39520910362178E-8</v>
      </c>
      <c r="G18035">
        <v>2167610</v>
      </c>
      <c r="H18035">
        <v>14205148</v>
      </c>
      <c r="I18035">
        <v>1712859</v>
      </c>
      <c r="J18035">
        <v>3</v>
      </c>
    </row>
    <row r="18036" spans="1:10" x14ac:dyDescent="0.25">
      <c r="A18036" t="s">
        <v>189</v>
      </c>
      <c r="B18036" s="1" t="str">
        <f>HYPERLINK("http://hondacarindia.com","hondacarindia.com")</f>
        <v>hondacarindia.com</v>
      </c>
      <c r="C18036" t="s">
        <v>433</v>
      </c>
      <c r="E18036">
        <v>188750</v>
      </c>
      <c r="F18036">
        <v>1.12765802496371E-7</v>
      </c>
      <c r="G18036">
        <v>354068</v>
      </c>
      <c r="H18036">
        <v>15155913</v>
      </c>
      <c r="I18036">
        <v>399544</v>
      </c>
      <c r="J18036">
        <v>3</v>
      </c>
    </row>
    <row r="18037" spans="1:10" x14ac:dyDescent="0.25">
      <c r="A18037" t="s">
        <v>189</v>
      </c>
      <c r="B18037" s="1" t="str">
        <f>HYPERLINK("http://hondafinancialservices.com","hondafinancialservices.com")</f>
        <v>hondafinancialservices.com</v>
      </c>
      <c r="C18037" t="s">
        <v>433</v>
      </c>
      <c r="E18037">
        <v>225300</v>
      </c>
      <c r="F18037">
        <v>7.9553396735955301E-8</v>
      </c>
      <c r="G18037">
        <v>525226</v>
      </c>
      <c r="H18037">
        <v>13524267</v>
      </c>
      <c r="I18037">
        <v>9933722</v>
      </c>
      <c r="J18037">
        <v>3</v>
      </c>
    </row>
    <row r="18038" spans="1:10" x14ac:dyDescent="0.25">
      <c r="A18038" t="s">
        <v>189</v>
      </c>
      <c r="B18038" s="1" t="str">
        <f>HYPERLINK("http://hondaindiapower.com","hondaindiapower.com")</f>
        <v>hondaindiapower.com</v>
      </c>
      <c r="C18038" t="s">
        <v>433</v>
      </c>
      <c r="F18038">
        <v>2.5171025245351599E-8</v>
      </c>
      <c r="G18038">
        <v>2051509</v>
      </c>
      <c r="H18038">
        <v>14701968</v>
      </c>
      <c r="I18038">
        <v>590665</v>
      </c>
      <c r="J18038">
        <v>4</v>
      </c>
    </row>
    <row r="18039" spans="1:10" x14ac:dyDescent="0.25">
      <c r="A18039" t="s">
        <v>189</v>
      </c>
      <c r="B18039" s="1" t="str">
        <f>HYPERLINK("http://hondainnovations.com","hondainnovations.com")</f>
        <v>hondainnovations.com</v>
      </c>
      <c r="C18039" t="s">
        <v>433</v>
      </c>
      <c r="F18039">
        <v>9.1210145661396496E-8</v>
      </c>
      <c r="G18039">
        <v>446936</v>
      </c>
      <c r="H18039">
        <v>14303329</v>
      </c>
      <c r="I18039">
        <v>1353495</v>
      </c>
      <c r="J18039">
        <v>5</v>
      </c>
    </row>
    <row r="18040" spans="1:10" x14ac:dyDescent="0.25">
      <c r="A18040" t="s">
        <v>189</v>
      </c>
      <c r="B18040" s="1" t="str">
        <f>HYPERLINK("http://hondajet.com","hondajet.com")</f>
        <v>hondajet.com</v>
      </c>
      <c r="C18040" t="s">
        <v>433</v>
      </c>
      <c r="E18040">
        <v>320342</v>
      </c>
      <c r="F18040">
        <v>1.20060362845441E-7</v>
      </c>
      <c r="G18040">
        <v>329256</v>
      </c>
      <c r="H18040">
        <v>14918539</v>
      </c>
      <c r="I18040">
        <v>452850</v>
      </c>
      <c r="J18040">
        <v>3</v>
      </c>
    </row>
    <row r="18041" spans="1:10" x14ac:dyDescent="0.25">
      <c r="A18041" t="s">
        <v>189</v>
      </c>
      <c r="B18041" s="1" t="str">
        <f>HYPERLINK("http://hondamiramar.com","hondamiramar.com")</f>
        <v>hondamiramar.com</v>
      </c>
      <c r="C18041" t="s">
        <v>433</v>
      </c>
      <c r="F18041">
        <v>4.6304649792607698E-9</v>
      </c>
      <c r="G18041">
        <v>45411916</v>
      </c>
      <c r="H18041">
        <v>10508616</v>
      </c>
      <c r="I18041">
        <v>50253515</v>
      </c>
      <c r="J18041">
        <v>5</v>
      </c>
    </row>
    <row r="18042" spans="1:10" x14ac:dyDescent="0.25">
      <c r="A18042" t="s">
        <v>189</v>
      </c>
      <c r="B18042" s="1" t="str">
        <f>HYPERLINK("http://hondatrading.com","hondatrading.com")</f>
        <v>hondatrading.com</v>
      </c>
      <c r="C18042" t="s">
        <v>433</v>
      </c>
      <c r="F18042">
        <v>2.4476736081231101E-8</v>
      </c>
      <c r="G18042">
        <v>2116790</v>
      </c>
      <c r="H18042">
        <v>13579345</v>
      </c>
      <c r="I18042">
        <v>9691700</v>
      </c>
      <c r="J18042">
        <v>4</v>
      </c>
    </row>
    <row r="18043" spans="1:10" x14ac:dyDescent="0.25">
      <c r="A18043" t="s">
        <v>189</v>
      </c>
      <c r="B18043" s="1" t="str">
        <f>HYPERLINK("http://hrdeu.com","hrdeu.com")</f>
        <v>hrdeu.com</v>
      </c>
      <c r="C18043" t="s">
        <v>433</v>
      </c>
      <c r="J18043">
        <v>5</v>
      </c>
    </row>
    <row r="18044" spans="1:10" x14ac:dyDescent="0.25">
      <c r="A18044" t="s">
        <v>189</v>
      </c>
      <c r="B18044" s="1" t="str">
        <f>HYPERLINK("http://honda.cz","honda.cz")</f>
        <v>honda.cz</v>
      </c>
      <c r="C18044" t="s">
        <v>435</v>
      </c>
      <c r="D18044" t="s">
        <v>814</v>
      </c>
      <c r="F18044">
        <v>5.5652550193207902E-8</v>
      </c>
      <c r="G18044">
        <v>805872</v>
      </c>
      <c r="H18044">
        <v>14079345</v>
      </c>
      <c r="I18044">
        <v>2833910</v>
      </c>
      <c r="J18044">
        <v>3</v>
      </c>
    </row>
    <row r="18045" spans="1:10" x14ac:dyDescent="0.25">
      <c r="A18045" t="s">
        <v>189</v>
      </c>
      <c r="B18045" s="1" t="str">
        <f>HYPERLINK("http://honda.de","honda.de")</f>
        <v>honda.de</v>
      </c>
      <c r="C18045" t="s">
        <v>436</v>
      </c>
      <c r="D18045" t="s">
        <v>815</v>
      </c>
      <c r="E18045">
        <v>156242</v>
      </c>
      <c r="F18045">
        <v>3.6614532037541998E-7</v>
      </c>
      <c r="G18045">
        <v>102211</v>
      </c>
      <c r="H18045">
        <v>14581127</v>
      </c>
      <c r="I18045">
        <v>708919</v>
      </c>
      <c r="J18045">
        <v>2</v>
      </c>
    </row>
    <row r="18046" spans="1:10" x14ac:dyDescent="0.25">
      <c r="A18046" t="s">
        <v>189</v>
      </c>
      <c r="B18046" s="1" t="str">
        <f>HYPERLINK("http://honda-bank.de","honda-bank.de")</f>
        <v>honda-bank.de</v>
      </c>
      <c r="C18046" t="s">
        <v>436</v>
      </c>
      <c r="D18046" t="s">
        <v>815</v>
      </c>
      <c r="F18046">
        <v>3.0031685145372403E-8</v>
      </c>
      <c r="G18046">
        <v>1713282</v>
      </c>
      <c r="H18046">
        <v>12705788</v>
      </c>
      <c r="I18046">
        <v>15324337</v>
      </c>
      <c r="J18046">
        <v>4</v>
      </c>
    </row>
    <row r="18047" spans="1:10" x14ac:dyDescent="0.25">
      <c r="A18047" t="s">
        <v>189</v>
      </c>
      <c r="B18047" s="1" t="str">
        <f>HYPERLINK("http://hondabank.de","hondabank.de")</f>
        <v>hondabank.de</v>
      </c>
      <c r="C18047" t="s">
        <v>436</v>
      </c>
      <c r="D18047" t="s">
        <v>815</v>
      </c>
      <c r="F18047">
        <v>7.2801297726404302E-9</v>
      </c>
      <c r="G18047">
        <v>11528816</v>
      </c>
      <c r="H18047">
        <v>9728974</v>
      </c>
      <c r="I18047">
        <v>63117032</v>
      </c>
      <c r="J18047">
        <v>3</v>
      </c>
    </row>
    <row r="18048" spans="1:10" x14ac:dyDescent="0.25">
      <c r="A18048" t="s">
        <v>189</v>
      </c>
      <c r="B18048" s="1" t="str">
        <f>HYPERLINK("http://honda.dk","honda.dk")</f>
        <v>honda.dk</v>
      </c>
      <c r="C18048" t="s">
        <v>437</v>
      </c>
      <c r="D18048" t="s">
        <v>816</v>
      </c>
      <c r="E18048">
        <v>885069</v>
      </c>
      <c r="F18048">
        <v>1.0337699347477E-7</v>
      </c>
      <c r="G18048">
        <v>388133</v>
      </c>
      <c r="H18048">
        <v>14072932</v>
      </c>
      <c r="I18048">
        <v>3032008</v>
      </c>
      <c r="J18048">
        <v>3</v>
      </c>
    </row>
    <row r="18049" spans="1:10" x14ac:dyDescent="0.25">
      <c r="A18049" t="s">
        <v>189</v>
      </c>
      <c r="B18049" s="1" t="str">
        <f>HYPERLINK("http://honda.es","honda.es")</f>
        <v>honda.es</v>
      </c>
      <c r="C18049" t="s">
        <v>443</v>
      </c>
      <c r="D18049" t="s">
        <v>822</v>
      </c>
      <c r="E18049">
        <v>302844</v>
      </c>
      <c r="F18049">
        <v>2.0510362147355199E-7</v>
      </c>
      <c r="G18049">
        <v>185202</v>
      </c>
      <c r="H18049">
        <v>14558613</v>
      </c>
      <c r="I18049">
        <v>748367</v>
      </c>
      <c r="J18049">
        <v>2</v>
      </c>
    </row>
    <row r="18050" spans="1:10" x14ac:dyDescent="0.25">
      <c r="A18050" t="s">
        <v>189</v>
      </c>
      <c r="B18050" s="1" t="str">
        <f>HYPERLINK("http://honda-montesa.es","honda-montesa.es")</f>
        <v>honda-montesa.es</v>
      </c>
      <c r="C18050" t="s">
        <v>443</v>
      </c>
      <c r="D18050" t="s">
        <v>822</v>
      </c>
      <c r="F18050">
        <v>4.8764535794290298E-8</v>
      </c>
      <c r="G18050">
        <v>950574</v>
      </c>
      <c r="H18050">
        <v>14534880</v>
      </c>
      <c r="I18050">
        <v>781466</v>
      </c>
      <c r="J18050">
        <v>3</v>
      </c>
    </row>
    <row r="18051" spans="1:10" x14ac:dyDescent="0.25">
      <c r="A18051" t="s">
        <v>189</v>
      </c>
      <c r="B18051" s="1" t="str">
        <f>HYPERLINK("http://honda.eu","honda.eu")</f>
        <v>honda.eu</v>
      </c>
      <c r="C18051" t="s">
        <v>444</v>
      </c>
      <c r="E18051">
        <v>595910</v>
      </c>
      <c r="F18051">
        <v>2.05339591859815E-8</v>
      </c>
      <c r="G18051">
        <v>2579968</v>
      </c>
      <c r="H18051">
        <v>12334149</v>
      </c>
      <c r="I18051">
        <v>20123812</v>
      </c>
      <c r="J18051">
        <v>3</v>
      </c>
    </row>
    <row r="18052" spans="1:10" x14ac:dyDescent="0.25">
      <c r="A18052" t="s">
        <v>189</v>
      </c>
      <c r="B18052" s="1" t="str">
        <f>HYPERLINK("http://acura.fi","acura.fi")</f>
        <v>acura.fi</v>
      </c>
      <c r="C18052" t="s">
        <v>445</v>
      </c>
      <c r="D18052" t="s">
        <v>823</v>
      </c>
      <c r="J18052">
        <v>2</v>
      </c>
    </row>
    <row r="18053" spans="1:10" x14ac:dyDescent="0.25">
      <c r="A18053" t="s">
        <v>189</v>
      </c>
      <c r="B18053" s="1" t="str">
        <f>HYPERLINK("http://honda.fr","honda.fr")</f>
        <v>honda.fr</v>
      </c>
      <c r="C18053" t="s">
        <v>446</v>
      </c>
      <c r="D18053" t="s">
        <v>824</v>
      </c>
      <c r="E18053">
        <v>393661</v>
      </c>
      <c r="F18053">
        <v>2.0950506417609001E-7</v>
      </c>
      <c r="G18053">
        <v>180613</v>
      </c>
      <c r="H18053">
        <v>14380486</v>
      </c>
      <c r="I18053">
        <v>1194773</v>
      </c>
      <c r="J18053">
        <v>3</v>
      </c>
    </row>
    <row r="18054" spans="1:10" x14ac:dyDescent="0.25">
      <c r="A18054" t="s">
        <v>189</v>
      </c>
      <c r="B18054" s="1" t="str">
        <f>HYPERLINK("http://honda.com.gt","honda.com.gt")</f>
        <v>honda.com.gt</v>
      </c>
      <c r="C18054" t="s">
        <v>448</v>
      </c>
      <c r="D18054" t="s">
        <v>826</v>
      </c>
      <c r="F18054">
        <v>7.6398496770218103E-9</v>
      </c>
      <c r="G18054">
        <v>10709687</v>
      </c>
      <c r="H18054">
        <v>11413299</v>
      </c>
      <c r="I18054">
        <v>30188319</v>
      </c>
      <c r="J18054">
        <v>3</v>
      </c>
    </row>
    <row r="18055" spans="1:10" x14ac:dyDescent="0.25">
      <c r="A18055" t="s">
        <v>189</v>
      </c>
      <c r="B18055" s="1" t="str">
        <f>HYPERLINK("http://global.honda","global.honda")</f>
        <v>global.honda</v>
      </c>
      <c r="C18055" t="s">
        <v>767</v>
      </c>
      <c r="E18055">
        <v>51901</v>
      </c>
      <c r="F18055">
        <v>5.2145703234157196E-7</v>
      </c>
      <c r="G18055">
        <v>73675</v>
      </c>
      <c r="H18055">
        <v>15626339</v>
      </c>
      <c r="I18055">
        <v>371348</v>
      </c>
      <c r="J18055">
        <v>2</v>
      </c>
    </row>
    <row r="18056" spans="1:10" x14ac:dyDescent="0.25">
      <c r="A18056" t="s">
        <v>189</v>
      </c>
      <c r="B18056" s="1" t="str">
        <f>HYPERLINK("http://honda.it","honda.it")</f>
        <v>honda.it</v>
      </c>
      <c r="C18056" t="s">
        <v>459</v>
      </c>
      <c r="D18056" t="s">
        <v>835</v>
      </c>
      <c r="E18056">
        <v>341705</v>
      </c>
      <c r="F18056">
        <v>1.3499641414066E-7</v>
      </c>
      <c r="G18056">
        <v>289124</v>
      </c>
      <c r="H18056">
        <v>14557111</v>
      </c>
      <c r="I18056">
        <v>750273</v>
      </c>
      <c r="J18056">
        <v>2</v>
      </c>
    </row>
    <row r="18057" spans="1:10" x14ac:dyDescent="0.25">
      <c r="A18057" t="s">
        <v>189</v>
      </c>
      <c r="B18057" s="1" t="str">
        <f>HYPERLINK("http://honda.co.jp","honda.co.jp")</f>
        <v>honda.co.jp</v>
      </c>
      <c r="C18057" t="s">
        <v>461</v>
      </c>
      <c r="D18057" t="s">
        <v>837</v>
      </c>
      <c r="E18057">
        <v>11378</v>
      </c>
      <c r="F18057">
        <v>2.1410147560361502E-6</v>
      </c>
      <c r="G18057">
        <v>17112</v>
      </c>
      <c r="H18057">
        <v>17512270</v>
      </c>
      <c r="I18057">
        <v>13122</v>
      </c>
      <c r="J18057">
        <v>1</v>
      </c>
    </row>
    <row r="18058" spans="1:10" x14ac:dyDescent="0.25">
      <c r="A18058" t="s">
        <v>189</v>
      </c>
      <c r="B18058" s="1" t="str">
        <f>HYPERLINK("http://honda-ml.co.jp","honda-ml.co.jp")</f>
        <v>honda-ml.co.jp</v>
      </c>
      <c r="C18058" t="s">
        <v>461</v>
      </c>
      <c r="D18058" t="s">
        <v>837</v>
      </c>
      <c r="F18058">
        <v>1.3547792533536499E-8</v>
      </c>
      <c r="G18058">
        <v>4383699</v>
      </c>
      <c r="H18058">
        <v>14073919</v>
      </c>
      <c r="I18058">
        <v>2964440</v>
      </c>
      <c r="J18058">
        <v>3</v>
      </c>
    </row>
    <row r="18059" spans="1:10" x14ac:dyDescent="0.25">
      <c r="A18059" t="s">
        <v>189</v>
      </c>
      <c r="B18059" s="1" t="str">
        <f>HYPERLINK("http://yutakagiken.co.jp","yutakagiken.co.jp")</f>
        <v>yutakagiken.co.jp</v>
      </c>
      <c r="C18059" t="s">
        <v>461</v>
      </c>
      <c r="D18059" t="s">
        <v>837</v>
      </c>
      <c r="F18059">
        <v>1.7004352526548901E-8</v>
      </c>
      <c r="G18059">
        <v>3282288</v>
      </c>
      <c r="H18059">
        <v>14197592</v>
      </c>
      <c r="I18059">
        <v>1730860</v>
      </c>
      <c r="J18059">
        <v>4</v>
      </c>
    </row>
    <row r="18060" spans="1:10" x14ac:dyDescent="0.25">
      <c r="A18060" t="s">
        <v>189</v>
      </c>
      <c r="B18060" s="1" t="str">
        <f>HYPERLINK("http://honda.gr.jp","honda.gr.jp")</f>
        <v>honda.gr.jp</v>
      </c>
      <c r="C18060" t="s">
        <v>461</v>
      </c>
      <c r="D18060" t="s">
        <v>837</v>
      </c>
      <c r="F18060">
        <v>7.1393249811879901E-9</v>
      </c>
      <c r="G18060">
        <v>11905594</v>
      </c>
      <c r="H18060">
        <v>12202000</v>
      </c>
      <c r="I18060">
        <v>23266930</v>
      </c>
      <c r="J18060">
        <v>2</v>
      </c>
    </row>
    <row r="18061" spans="1:10" x14ac:dyDescent="0.25">
      <c r="A18061" t="s">
        <v>189</v>
      </c>
      <c r="B18061" s="1" t="str">
        <f>HYPERLINK("http://hondago-bikegear.jp","hondago-bikegear.jp")</f>
        <v>hondago-bikegear.jp</v>
      </c>
      <c r="C18061" t="s">
        <v>461</v>
      </c>
      <c r="D18061" t="s">
        <v>837</v>
      </c>
      <c r="F18061">
        <v>3.0581841956141903E-8</v>
      </c>
      <c r="G18061">
        <v>1684015</v>
      </c>
      <c r="H18061">
        <v>13167280</v>
      </c>
      <c r="I18061">
        <v>11735419</v>
      </c>
      <c r="J18061">
        <v>4</v>
      </c>
    </row>
    <row r="18062" spans="1:10" x14ac:dyDescent="0.25">
      <c r="A18062" t="s">
        <v>189</v>
      </c>
      <c r="B18062" s="1" t="str">
        <f>HYPERLINK("http://internavi.ne.jp","internavi.ne.jp")</f>
        <v>internavi.ne.jp</v>
      </c>
      <c r="C18062" t="s">
        <v>461</v>
      </c>
      <c r="D18062" t="s">
        <v>837</v>
      </c>
      <c r="F18062">
        <v>6.2237886175172597E-9</v>
      </c>
      <c r="G18062">
        <v>15406214</v>
      </c>
      <c r="H18062">
        <v>12525186</v>
      </c>
      <c r="I18062">
        <v>17097023</v>
      </c>
      <c r="J18062">
        <v>2</v>
      </c>
    </row>
    <row r="18063" spans="1:10" x14ac:dyDescent="0.25">
      <c r="A18063" t="s">
        <v>189</v>
      </c>
      <c r="B18063" s="1" t="str">
        <f>HYPERLINK("http://honda.lu","honda.lu")</f>
        <v>honda.lu</v>
      </c>
      <c r="C18063" t="s">
        <v>547</v>
      </c>
      <c r="D18063" t="s">
        <v>904</v>
      </c>
      <c r="F18063">
        <v>9.0165482662205599E-9</v>
      </c>
      <c r="G18063">
        <v>7967372</v>
      </c>
      <c r="H18063">
        <v>12373280</v>
      </c>
      <c r="I18063">
        <v>19350914</v>
      </c>
      <c r="J18063">
        <v>3</v>
      </c>
    </row>
    <row r="18064" spans="1:10" x14ac:dyDescent="0.25">
      <c r="A18064" t="s">
        <v>189</v>
      </c>
      <c r="B18064" s="1" t="str">
        <f>HYPERLINK("http://honda.com.mx","honda.com.mx")</f>
        <v>honda.com.mx</v>
      </c>
      <c r="C18064" t="s">
        <v>471</v>
      </c>
      <c r="D18064" t="s">
        <v>847</v>
      </c>
      <c r="F18064">
        <v>1.29964347286505E-8</v>
      </c>
      <c r="G18064">
        <v>4633394</v>
      </c>
      <c r="H18064">
        <v>12413135</v>
      </c>
      <c r="I18064">
        <v>18562441</v>
      </c>
      <c r="J18064">
        <v>4</v>
      </c>
    </row>
    <row r="18065" spans="1:10" x14ac:dyDescent="0.25">
      <c r="A18065" t="s">
        <v>189</v>
      </c>
      <c r="B18065" s="1" t="str">
        <f>HYPERLINK("http://honda.mx","honda.mx")</f>
        <v>honda.mx</v>
      </c>
      <c r="C18065" t="s">
        <v>471</v>
      </c>
      <c r="D18065" t="s">
        <v>847</v>
      </c>
      <c r="E18065">
        <v>172353</v>
      </c>
      <c r="F18065">
        <v>4.45152042570095E-8</v>
      </c>
      <c r="G18065">
        <v>1064618</v>
      </c>
      <c r="H18065">
        <v>14170582</v>
      </c>
      <c r="I18065">
        <v>1803946</v>
      </c>
      <c r="J18065">
        <v>3</v>
      </c>
    </row>
    <row r="18066" spans="1:10" x14ac:dyDescent="0.25">
      <c r="A18066" t="s">
        <v>189</v>
      </c>
      <c r="B18066" s="1" t="str">
        <f>HYPERLINK("http://honda.com.my","honda.com.my")</f>
        <v>honda.com.my</v>
      </c>
      <c r="C18066" t="s">
        <v>472</v>
      </c>
      <c r="D18066" t="s">
        <v>848</v>
      </c>
      <c r="E18066">
        <v>295584</v>
      </c>
      <c r="F18066">
        <v>5.8254047208838102E-8</v>
      </c>
      <c r="G18066">
        <v>763293</v>
      </c>
      <c r="H18066">
        <v>14584362</v>
      </c>
      <c r="I18066">
        <v>703163</v>
      </c>
      <c r="J18066">
        <v>3</v>
      </c>
    </row>
    <row r="18067" spans="1:10" x14ac:dyDescent="0.25">
      <c r="A18067" t="s">
        <v>189</v>
      </c>
      <c r="B18067" s="1" t="str">
        <f>HYPERLINK("http://toyotaquangbinh.net","toyotaquangbinh.net")</f>
        <v>toyotaquangbinh.net</v>
      </c>
      <c r="C18067" t="s">
        <v>474</v>
      </c>
      <c r="F18067">
        <v>5.1728158179299904E-9</v>
      </c>
      <c r="G18067">
        <v>25675702</v>
      </c>
      <c r="H18067">
        <v>10131439</v>
      </c>
      <c r="I18067">
        <v>59574228</v>
      </c>
      <c r="J18067">
        <v>3</v>
      </c>
    </row>
    <row r="18068" spans="1:10" x14ac:dyDescent="0.25">
      <c r="A18068" t="s">
        <v>189</v>
      </c>
      <c r="B18068" s="1" t="str">
        <f>HYPERLINK("http://honda.nl","honda.nl")</f>
        <v>honda.nl</v>
      </c>
      <c r="C18068" t="s">
        <v>477</v>
      </c>
      <c r="D18068" t="s">
        <v>852</v>
      </c>
      <c r="E18068">
        <v>534559</v>
      </c>
      <c r="F18068">
        <v>1.00754432874318E-7</v>
      </c>
      <c r="G18068">
        <v>399136</v>
      </c>
      <c r="H18068">
        <v>14301547</v>
      </c>
      <c r="I18068">
        <v>1355303</v>
      </c>
      <c r="J18068">
        <v>2</v>
      </c>
    </row>
    <row r="18069" spans="1:10" x14ac:dyDescent="0.25">
      <c r="A18069" t="s">
        <v>189</v>
      </c>
      <c r="B18069" s="1" t="str">
        <f>HYPERLINK("http://honda.no","honda.no")</f>
        <v>honda.no</v>
      </c>
      <c r="C18069" t="s">
        <v>478</v>
      </c>
      <c r="D18069" t="s">
        <v>853</v>
      </c>
      <c r="F18069">
        <v>2.0671559151708799E-8</v>
      </c>
      <c r="G18069">
        <v>2560859</v>
      </c>
      <c r="H18069">
        <v>14278062</v>
      </c>
      <c r="I18069">
        <v>1386244</v>
      </c>
      <c r="J18069">
        <v>3</v>
      </c>
    </row>
    <row r="18070" spans="1:10" x14ac:dyDescent="0.25">
      <c r="A18070" t="s">
        <v>189</v>
      </c>
      <c r="B18070" s="1" t="str">
        <f>HYPERLINK("http://honda.bydgoszcz.pl","honda.bydgoszcz.pl")</f>
        <v>honda.bydgoszcz.pl</v>
      </c>
      <c r="C18070" t="s">
        <v>486</v>
      </c>
      <c r="D18070" t="s">
        <v>860</v>
      </c>
      <c r="F18070">
        <v>5.5568604589550804E-9</v>
      </c>
      <c r="G18070">
        <v>20306818</v>
      </c>
      <c r="H18070">
        <v>10759965</v>
      </c>
      <c r="I18070">
        <v>39607367</v>
      </c>
      <c r="J18070">
        <v>4</v>
      </c>
    </row>
    <row r="18071" spans="1:10" x14ac:dyDescent="0.25">
      <c r="A18071" t="s">
        <v>189</v>
      </c>
      <c r="B18071" s="1" t="str">
        <f>HYPERLINK("http://honda.pl","honda.pl")</f>
        <v>honda.pl</v>
      </c>
      <c r="C18071" t="s">
        <v>486</v>
      </c>
      <c r="D18071" t="s">
        <v>860</v>
      </c>
      <c r="E18071">
        <v>731274</v>
      </c>
      <c r="F18071">
        <v>4.9828068355330602E-8</v>
      </c>
      <c r="G18071">
        <v>925474</v>
      </c>
      <c r="H18071">
        <v>14240204</v>
      </c>
      <c r="I18071">
        <v>1503418</v>
      </c>
      <c r="J18071">
        <v>3</v>
      </c>
    </row>
    <row r="18072" spans="1:10" x14ac:dyDescent="0.25">
      <c r="A18072" t="s">
        <v>189</v>
      </c>
      <c r="B18072" s="1" t="str">
        <f>HYPERLINK("http://honda.opole.pl","honda.opole.pl")</f>
        <v>honda.opole.pl</v>
      </c>
      <c r="C18072" t="s">
        <v>486</v>
      </c>
      <c r="D18072" t="s">
        <v>860</v>
      </c>
      <c r="F18072">
        <v>4.9144023767111503E-9</v>
      </c>
      <c r="G18072">
        <v>32053602</v>
      </c>
      <c r="H18072">
        <v>10595371</v>
      </c>
      <c r="I18072">
        <v>45198706</v>
      </c>
      <c r="J18072">
        <v>4</v>
      </c>
    </row>
    <row r="18073" spans="1:10" x14ac:dyDescent="0.25">
      <c r="A18073" t="s">
        <v>189</v>
      </c>
      <c r="B18073" s="1" t="str">
        <f>HYPERLINK("http://honda.pila.pl","honda.pila.pl")</f>
        <v>honda.pila.pl</v>
      </c>
      <c r="C18073" t="s">
        <v>486</v>
      </c>
      <c r="D18073" t="s">
        <v>860</v>
      </c>
      <c r="F18073">
        <v>4.9144023767111503E-9</v>
      </c>
      <c r="G18073">
        <v>32053603</v>
      </c>
      <c r="H18073">
        <v>10595371</v>
      </c>
      <c r="I18073">
        <v>45198707</v>
      </c>
      <c r="J18073">
        <v>4</v>
      </c>
    </row>
    <row r="18074" spans="1:10" x14ac:dyDescent="0.25">
      <c r="A18074" t="s">
        <v>189</v>
      </c>
      <c r="B18074" s="1" t="str">
        <f>HYPERLINK("http://honda.rzeszow.pl","honda.rzeszow.pl")</f>
        <v>honda.rzeszow.pl</v>
      </c>
      <c r="C18074" t="s">
        <v>486</v>
      </c>
      <c r="D18074" t="s">
        <v>860</v>
      </c>
      <c r="F18074">
        <v>4.9144023767111503E-9</v>
      </c>
      <c r="G18074">
        <v>32053604</v>
      </c>
      <c r="H18074">
        <v>10595371</v>
      </c>
      <c r="I18074">
        <v>45198708</v>
      </c>
      <c r="J18074">
        <v>4</v>
      </c>
    </row>
    <row r="18075" spans="1:10" x14ac:dyDescent="0.25">
      <c r="A18075" t="s">
        <v>189</v>
      </c>
      <c r="B18075" s="1" t="str">
        <f>HYPERLINK("http://honda.szczecin.pl","honda.szczecin.pl")</f>
        <v>honda.szczecin.pl</v>
      </c>
      <c r="C18075" t="s">
        <v>486</v>
      </c>
      <c r="D18075" t="s">
        <v>860</v>
      </c>
      <c r="F18075">
        <v>5.05485339725347E-9</v>
      </c>
      <c r="G18075">
        <v>28114504</v>
      </c>
      <c r="H18075">
        <v>10595516</v>
      </c>
      <c r="I18075">
        <v>45184001</v>
      </c>
      <c r="J18075">
        <v>4</v>
      </c>
    </row>
    <row r="18076" spans="1:10" x14ac:dyDescent="0.25">
      <c r="A18076" t="s">
        <v>189</v>
      </c>
      <c r="B18076" s="1" t="str">
        <f>HYPERLINK("http://honda.pt","honda.pt")</f>
        <v>honda.pt</v>
      </c>
      <c r="C18076" t="s">
        <v>488</v>
      </c>
      <c r="D18076" t="s">
        <v>862</v>
      </c>
      <c r="F18076">
        <v>3.1485379188088998E-8</v>
      </c>
      <c r="G18076">
        <v>1638607</v>
      </c>
      <c r="H18076">
        <v>14510079</v>
      </c>
      <c r="I18076">
        <v>824667</v>
      </c>
      <c r="J18076">
        <v>3</v>
      </c>
    </row>
    <row r="18077" spans="1:10" x14ac:dyDescent="0.25">
      <c r="A18077" t="s">
        <v>189</v>
      </c>
      <c r="B18077" s="1" t="str">
        <f>HYPERLINK("http://honda.racing","honda.racing")</f>
        <v>honda.racing</v>
      </c>
      <c r="C18077" t="s">
        <v>768</v>
      </c>
      <c r="E18077">
        <v>725536</v>
      </c>
      <c r="F18077">
        <v>9.84204870821792E-8</v>
      </c>
      <c r="G18077">
        <v>409762</v>
      </c>
      <c r="H18077">
        <v>14112890</v>
      </c>
      <c r="I18077">
        <v>2668631</v>
      </c>
      <c r="J18077">
        <v>2</v>
      </c>
    </row>
    <row r="18078" spans="1:10" x14ac:dyDescent="0.25">
      <c r="A18078" t="s">
        <v>189</v>
      </c>
      <c r="B18078" s="1" t="str">
        <f>HYPERLINK("http://hondatrading.ro","hondatrading.ro")</f>
        <v>hondatrading.ro</v>
      </c>
      <c r="C18078" t="s">
        <v>491</v>
      </c>
      <c r="D18078" t="s">
        <v>865</v>
      </c>
      <c r="F18078">
        <v>1.48614801146508E-8</v>
      </c>
      <c r="G18078">
        <v>3885773</v>
      </c>
      <c r="H18078">
        <v>14120382</v>
      </c>
      <c r="I18078">
        <v>2358564</v>
      </c>
      <c r="J18078">
        <v>9</v>
      </c>
    </row>
    <row r="18079" spans="1:10" x14ac:dyDescent="0.25">
      <c r="A18079" t="s">
        <v>189</v>
      </c>
      <c r="B18079" s="1" t="str">
        <f>HYPERLINK("http://honda.se","honda.se")</f>
        <v>honda.se</v>
      </c>
      <c r="C18079" t="s">
        <v>495</v>
      </c>
      <c r="D18079" t="s">
        <v>869</v>
      </c>
      <c r="F18079">
        <v>9.1518464546114806E-8</v>
      </c>
      <c r="G18079">
        <v>445267</v>
      </c>
      <c r="H18079">
        <v>13785804</v>
      </c>
      <c r="I18079">
        <v>6397641</v>
      </c>
      <c r="J18079">
        <v>2</v>
      </c>
    </row>
    <row r="18080" spans="1:10" x14ac:dyDescent="0.25">
      <c r="A18080" t="s">
        <v>189</v>
      </c>
      <c r="B18080" s="1" t="str">
        <f>HYPERLINK("http://honda.sk","honda.sk")</f>
        <v>honda.sk</v>
      </c>
      <c r="C18080" t="s">
        <v>498</v>
      </c>
      <c r="D18080" t="s">
        <v>872</v>
      </c>
      <c r="F18080">
        <v>2.2108161858091399E-8</v>
      </c>
      <c r="G18080">
        <v>2373553</v>
      </c>
      <c r="H18080">
        <v>12355819</v>
      </c>
      <c r="I18080">
        <v>19666722</v>
      </c>
      <c r="J18080">
        <v>2</v>
      </c>
    </row>
    <row r="18081" spans="1:10" x14ac:dyDescent="0.25">
      <c r="A18081" t="s">
        <v>189</v>
      </c>
      <c r="B18081" s="1" t="str">
        <f>HYPERLINK("http://honda.co.th","honda.co.th")</f>
        <v>honda.co.th</v>
      </c>
      <c r="C18081" t="s">
        <v>500</v>
      </c>
      <c r="D18081" t="s">
        <v>874</v>
      </c>
      <c r="E18081">
        <v>304588</v>
      </c>
      <c r="F18081">
        <v>5.53672972943946E-8</v>
      </c>
      <c r="G18081">
        <v>810945</v>
      </c>
      <c r="H18081">
        <v>14365764</v>
      </c>
      <c r="I18081">
        <v>1301978</v>
      </c>
      <c r="J18081">
        <v>3</v>
      </c>
    </row>
    <row r="18082" spans="1:10" x14ac:dyDescent="0.25">
      <c r="A18082" t="s">
        <v>189</v>
      </c>
      <c r="B18082" s="1" t="str">
        <f>HYPERLINK("http://hondaleasing.co.th","hondaleasing.co.th")</f>
        <v>hondaleasing.co.th</v>
      </c>
      <c r="C18082" t="s">
        <v>500</v>
      </c>
      <c r="D18082" t="s">
        <v>874</v>
      </c>
      <c r="F18082">
        <v>6.7244608580905899E-9</v>
      </c>
      <c r="G18082">
        <v>13216104</v>
      </c>
      <c r="H18082">
        <v>12415402</v>
      </c>
      <c r="I18082">
        <v>18535163</v>
      </c>
      <c r="J18082">
        <v>3</v>
      </c>
    </row>
    <row r="18083" spans="1:10" x14ac:dyDescent="0.25">
      <c r="A18083" t="s">
        <v>189</v>
      </c>
      <c r="B18083" s="1" t="str">
        <f>HYPERLINK("http://honda.com.tr","honda.com.tr")</f>
        <v>honda.com.tr</v>
      </c>
      <c r="C18083" t="s">
        <v>502</v>
      </c>
      <c r="D18083" t="s">
        <v>876</v>
      </c>
      <c r="E18083">
        <v>248638</v>
      </c>
      <c r="F18083">
        <v>4.34052324505632E-8</v>
      </c>
      <c r="G18083">
        <v>1102947</v>
      </c>
      <c r="H18083">
        <v>14082232</v>
      </c>
      <c r="I18083">
        <v>2802192</v>
      </c>
      <c r="J18083">
        <v>4</v>
      </c>
    </row>
    <row r="18084" spans="1:10" x14ac:dyDescent="0.25">
      <c r="A18084" t="s">
        <v>189</v>
      </c>
      <c r="B18084" s="1" t="str">
        <f>HYPERLINK("http://honda.co.uk","honda.co.uk")</f>
        <v>honda.co.uk</v>
      </c>
      <c r="C18084" t="s">
        <v>506</v>
      </c>
      <c r="D18084" t="s">
        <v>880</v>
      </c>
      <c r="E18084">
        <v>58809</v>
      </c>
      <c r="F18084">
        <v>3.7055579585129098E-7</v>
      </c>
      <c r="G18084">
        <v>101030</v>
      </c>
      <c r="H18084">
        <v>15200018</v>
      </c>
      <c r="I18084">
        <v>395639</v>
      </c>
      <c r="J18084">
        <v>2</v>
      </c>
    </row>
    <row r="18085" spans="1:10" x14ac:dyDescent="0.25">
      <c r="A18085" t="s">
        <v>189</v>
      </c>
      <c r="B18085" s="1" t="str">
        <f>HYPERLINK("http://hondamanufacturing.co.uk","hondamanufacturing.co.uk")</f>
        <v>hondamanufacturing.co.uk</v>
      </c>
      <c r="C18085" t="s">
        <v>506</v>
      </c>
      <c r="D18085" t="s">
        <v>880</v>
      </c>
      <c r="F18085">
        <v>8.7560792363498808E-9</v>
      </c>
      <c r="G18085">
        <v>8382551</v>
      </c>
      <c r="H18085">
        <v>14080732</v>
      </c>
      <c r="I18085">
        <v>2817169</v>
      </c>
      <c r="J18085">
        <v>3</v>
      </c>
    </row>
    <row r="18086" spans="1:10" x14ac:dyDescent="0.25">
      <c r="A18086" t="s">
        <v>189</v>
      </c>
      <c r="B18086" s="1" t="str">
        <f>HYPERLINK("http://honda.us","honda.us")</f>
        <v>honda.us</v>
      </c>
      <c r="C18086" t="s">
        <v>522</v>
      </c>
      <c r="D18086" t="s">
        <v>891</v>
      </c>
      <c r="F18086">
        <v>4.9061448358368803E-8</v>
      </c>
      <c r="G18086">
        <v>943984</v>
      </c>
      <c r="H18086">
        <v>14612578</v>
      </c>
      <c r="I18086">
        <v>675368</v>
      </c>
      <c r="J18086">
        <v>3</v>
      </c>
    </row>
    <row r="18087" spans="1:10" x14ac:dyDescent="0.25">
      <c r="A18087" t="s">
        <v>189</v>
      </c>
      <c r="B18087" s="1" t="str">
        <f>HYPERLINK("http://honda.com.vn","honda.com.vn")</f>
        <v>honda.com.vn</v>
      </c>
      <c r="C18087" t="s">
        <v>509</v>
      </c>
      <c r="D18087" t="s">
        <v>883</v>
      </c>
      <c r="E18087">
        <v>162599</v>
      </c>
      <c r="F18087">
        <v>2.3823922501151299E-7</v>
      </c>
      <c r="G18087">
        <v>157132</v>
      </c>
      <c r="H18087">
        <v>14553437</v>
      </c>
      <c r="I18087">
        <v>755321</v>
      </c>
      <c r="J18087">
        <v>3</v>
      </c>
    </row>
    <row r="18088" spans="1:10" x14ac:dyDescent="0.25">
      <c r="A18088" t="s">
        <v>190</v>
      </c>
      <c r="B18088" s="1" t="str">
        <f>HYPERLINK("http://honeywell.com.au","honeywell.com.au")</f>
        <v>honeywell.com.au</v>
      </c>
      <c r="C18088" t="s">
        <v>420</v>
      </c>
      <c r="D18088" t="s">
        <v>802</v>
      </c>
      <c r="F18088">
        <v>7.5516914568283301E-9</v>
      </c>
      <c r="G18088">
        <v>10901577</v>
      </c>
      <c r="H18088">
        <v>12479366</v>
      </c>
      <c r="I18088">
        <v>17604631</v>
      </c>
      <c r="J18088">
        <v>2</v>
      </c>
    </row>
    <row r="18089" spans="1:10" x14ac:dyDescent="0.25">
      <c r="A18089" t="s">
        <v>190</v>
      </c>
      <c r="B18089" s="1" t="str">
        <f>HYPERLINK("http://honeywell.be","honeywell.be")</f>
        <v>honeywell.be</v>
      </c>
      <c r="C18089" t="s">
        <v>421</v>
      </c>
      <c r="D18089" t="s">
        <v>803</v>
      </c>
      <c r="F18089">
        <v>5.5580487872488602E-9</v>
      </c>
      <c r="G18089">
        <v>20294248</v>
      </c>
      <c r="H18089">
        <v>10944523</v>
      </c>
      <c r="I18089">
        <v>34714456</v>
      </c>
      <c r="J18089">
        <v>5</v>
      </c>
    </row>
    <row r="18090" spans="1:10" x14ac:dyDescent="0.25">
      <c r="A18090" t="s">
        <v>190</v>
      </c>
      <c r="B18090" s="1" t="str">
        <f>HYPERLINK("http://honeywell.com.cn","honeywell.com.cn")</f>
        <v>honeywell.com.cn</v>
      </c>
      <c r="C18090" t="s">
        <v>431</v>
      </c>
      <c r="D18090" t="s">
        <v>812</v>
      </c>
      <c r="E18090">
        <v>181929</v>
      </c>
      <c r="F18090">
        <v>2.14958178015422E-7</v>
      </c>
      <c r="G18090">
        <v>175551</v>
      </c>
      <c r="H18090">
        <v>13792031</v>
      </c>
      <c r="I18090">
        <v>6332556</v>
      </c>
      <c r="J18090">
        <v>2</v>
      </c>
    </row>
    <row r="18091" spans="1:10" x14ac:dyDescent="0.25">
      <c r="A18091" t="s">
        <v>190</v>
      </c>
      <c r="B18091" s="1" t="str">
        <f>HYPERLINK("http://accessuop.com","accessuop.com")</f>
        <v>accessuop.com</v>
      </c>
      <c r="C18091" t="s">
        <v>433</v>
      </c>
      <c r="F18091">
        <v>7.1822481414059904E-9</v>
      </c>
      <c r="G18091">
        <v>11790499</v>
      </c>
      <c r="H18091">
        <v>12479335</v>
      </c>
      <c r="I18091">
        <v>17604899</v>
      </c>
      <c r="J18091">
        <v>2</v>
      </c>
    </row>
    <row r="18092" spans="1:10" x14ac:dyDescent="0.25">
      <c r="A18092" t="s">
        <v>190</v>
      </c>
      <c r="B18092" s="1" t="str">
        <f>HYPERLINK("http://adilink.com","adilink.com")</f>
        <v>adilink.com</v>
      </c>
      <c r="C18092" t="s">
        <v>433</v>
      </c>
      <c r="F18092">
        <v>1.18621713985326E-8</v>
      </c>
      <c r="G18092">
        <v>5263017</v>
      </c>
      <c r="H18092">
        <v>13102182</v>
      </c>
      <c r="I18092">
        <v>12087992</v>
      </c>
      <c r="J18092">
        <v>4</v>
      </c>
    </row>
    <row r="18093" spans="1:10" x14ac:dyDescent="0.25">
      <c r="A18093" t="s">
        <v>190</v>
      </c>
      <c r="B18093" s="1" t="str">
        <f>HYPERLINK("http://aeromxl.com","aeromxl.com")</f>
        <v>aeromxl.com</v>
      </c>
      <c r="C18093" t="s">
        <v>433</v>
      </c>
      <c r="J18093">
        <v>3</v>
      </c>
    </row>
    <row r="18094" spans="1:10" x14ac:dyDescent="0.25">
      <c r="A18094" t="s">
        <v>190</v>
      </c>
      <c r="B18094" s="1" t="str">
        <f>HYPERLINK("http://arma-amarillo.com","arma-amarillo.com")</f>
        <v>arma-amarillo.com</v>
      </c>
      <c r="C18094" t="s">
        <v>433</v>
      </c>
      <c r="J18094">
        <v>3</v>
      </c>
    </row>
    <row r="18095" spans="1:10" x14ac:dyDescent="0.25">
      <c r="A18095" t="s">
        <v>190</v>
      </c>
      <c r="B18095" s="1" t="str">
        <f>HYPERLINK("http://bendixking.com","bendixking.com")</f>
        <v>bendixking.com</v>
      </c>
      <c r="C18095" t="s">
        <v>433</v>
      </c>
      <c r="E18095">
        <v>627092</v>
      </c>
      <c r="F18095">
        <v>7.4540901348212998E-8</v>
      </c>
      <c r="G18095">
        <v>564454</v>
      </c>
      <c r="H18095">
        <v>14188891</v>
      </c>
      <c r="I18095">
        <v>1763451</v>
      </c>
      <c r="J18095">
        <v>2</v>
      </c>
    </row>
    <row r="18096" spans="1:10" x14ac:dyDescent="0.25">
      <c r="A18096" t="s">
        <v>190</v>
      </c>
      <c r="B18096" s="1" t="str">
        <f>HYPERLINK("http://cambridgequantum.com","cambridgequantum.com")</f>
        <v>cambridgequantum.com</v>
      </c>
      <c r="C18096" t="s">
        <v>433</v>
      </c>
      <c r="E18096">
        <v>519800</v>
      </c>
      <c r="F18096">
        <v>1.74120770222228E-7</v>
      </c>
      <c r="G18096">
        <v>222729</v>
      </c>
      <c r="H18096">
        <v>14753260</v>
      </c>
      <c r="I18096">
        <v>562648</v>
      </c>
      <c r="J18096">
        <v>3</v>
      </c>
    </row>
    <row r="18097" spans="1:10" x14ac:dyDescent="0.25">
      <c r="A18097" t="s">
        <v>190</v>
      </c>
      <c r="B18097" s="1" t="str">
        <f>HYPERLINK("http://combisafe.com","combisafe.com")</f>
        <v>combisafe.com</v>
      </c>
      <c r="C18097" t="s">
        <v>433</v>
      </c>
      <c r="F18097">
        <v>1.25738428027124E-8</v>
      </c>
      <c r="G18097">
        <v>4844481</v>
      </c>
      <c r="H18097">
        <v>12679985</v>
      </c>
      <c r="I18097">
        <v>15502924</v>
      </c>
      <c r="J18097">
        <v>4</v>
      </c>
    </row>
    <row r="18098" spans="1:10" x14ac:dyDescent="0.25">
      <c r="A18098" t="s">
        <v>190</v>
      </c>
      <c r="B18098" s="1" t="str">
        <f>HYPERLINK("http://datria.com","datria.com")</f>
        <v>datria.com</v>
      </c>
      <c r="C18098" t="s">
        <v>433</v>
      </c>
      <c r="F18098">
        <v>1.80282483622812E-8</v>
      </c>
      <c r="G18098">
        <v>3024654</v>
      </c>
      <c r="H18098">
        <v>13433613</v>
      </c>
      <c r="I18098">
        <v>10274695</v>
      </c>
      <c r="J18098">
        <v>6</v>
      </c>
    </row>
    <row r="18099" spans="1:10" x14ac:dyDescent="0.25">
      <c r="A18099" t="s">
        <v>190</v>
      </c>
      <c r="B18099" s="1" t="str">
        <f>HYPERLINK("http://elster.com","elster.com")</f>
        <v>elster.com</v>
      </c>
      <c r="C18099" t="s">
        <v>433</v>
      </c>
      <c r="E18099">
        <v>632754</v>
      </c>
      <c r="F18099">
        <v>4.52110577602728E-8</v>
      </c>
      <c r="G18099">
        <v>1043189</v>
      </c>
      <c r="H18099">
        <v>14172327</v>
      </c>
      <c r="I18099">
        <v>1799154</v>
      </c>
      <c r="J18099">
        <v>3</v>
      </c>
    </row>
    <row r="18100" spans="1:10" x14ac:dyDescent="0.25">
      <c r="A18100" t="s">
        <v>190</v>
      </c>
      <c r="B18100" s="1" t="str">
        <f>HYPERLINK("http://elster-instromet.com","elster-instromet.com")</f>
        <v>elster-instromet.com</v>
      </c>
      <c r="C18100" t="s">
        <v>433</v>
      </c>
      <c r="F18100">
        <v>4.4650471489727399E-8</v>
      </c>
      <c r="G18100">
        <v>1060288</v>
      </c>
      <c r="H18100">
        <v>14074186</v>
      </c>
      <c r="I18100">
        <v>2953028</v>
      </c>
      <c r="J18100">
        <v>3</v>
      </c>
    </row>
    <row r="18101" spans="1:10" x14ac:dyDescent="0.25">
      <c r="A18101" t="s">
        <v>190</v>
      </c>
      <c r="B18101" s="1" t="str">
        <f>HYPERLINK("http://elstermetering.com","elstermetering.com")</f>
        <v>elstermetering.com</v>
      </c>
      <c r="C18101" t="s">
        <v>433</v>
      </c>
      <c r="F18101">
        <v>7.8223702271146103E-8</v>
      </c>
      <c r="G18101">
        <v>534614</v>
      </c>
      <c r="H18101">
        <v>14093339</v>
      </c>
      <c r="I18101">
        <v>2735901</v>
      </c>
      <c r="J18101">
        <v>6</v>
      </c>
    </row>
    <row r="18102" spans="1:10" x14ac:dyDescent="0.25">
      <c r="A18102" t="s">
        <v>190</v>
      </c>
      <c r="B18102" s="1" t="str">
        <f>HYPERLINK("http://elstersolutions.com","elstersolutions.com")</f>
        <v>elstersolutions.com</v>
      </c>
      <c r="C18102" t="s">
        <v>433</v>
      </c>
      <c r="F18102">
        <v>4.1381597554826102E-8</v>
      </c>
      <c r="G18102">
        <v>1209947</v>
      </c>
      <c r="H18102">
        <v>14136038</v>
      </c>
      <c r="I18102">
        <v>1965028</v>
      </c>
      <c r="J18102">
        <v>3</v>
      </c>
    </row>
    <row r="18103" spans="1:10" x14ac:dyDescent="0.25">
      <c r="A18103" t="s">
        <v>190</v>
      </c>
      <c r="B18103" s="1" t="str">
        <f>HYPERLINK("http://fkilogistex.com","fkilogistex.com")</f>
        <v>fkilogistex.com</v>
      </c>
      <c r="C18103" t="s">
        <v>433</v>
      </c>
      <c r="F18103">
        <v>1.0299616743934901E-8</v>
      </c>
      <c r="G18103">
        <v>6451270</v>
      </c>
      <c r="H18103">
        <v>13772836</v>
      </c>
      <c r="I18103">
        <v>6647470</v>
      </c>
      <c r="J18103">
        <v>3</v>
      </c>
    </row>
    <row r="18104" spans="1:10" x14ac:dyDescent="0.25">
      <c r="A18104" t="s">
        <v>190</v>
      </c>
      <c r="B18104" s="1" t="str">
        <f>HYPERLINK("http://handheld.com","handheld.com")</f>
        <v>handheld.com</v>
      </c>
      <c r="C18104" t="s">
        <v>433</v>
      </c>
      <c r="F18104">
        <v>1.4928379526498301E-8</v>
      </c>
      <c r="G18104">
        <v>3863236</v>
      </c>
      <c r="H18104">
        <v>14256750</v>
      </c>
      <c r="I18104">
        <v>1429654</v>
      </c>
      <c r="J18104">
        <v>7</v>
      </c>
    </row>
    <row r="18105" spans="1:10" x14ac:dyDescent="0.25">
      <c r="A18105" t="s">
        <v>190</v>
      </c>
      <c r="B18105" s="1" t="str">
        <f>HYPERLINK("http://honeywell.com","honeywell.com")</f>
        <v>honeywell.com</v>
      </c>
      <c r="C18105" t="s">
        <v>433</v>
      </c>
      <c r="E18105">
        <v>2070</v>
      </c>
      <c r="F18105">
        <v>8.5871611031629799E-6</v>
      </c>
      <c r="G18105">
        <v>3929</v>
      </c>
      <c r="H18105">
        <v>17947318</v>
      </c>
      <c r="I18105">
        <v>4075</v>
      </c>
      <c r="J18105">
        <v>1</v>
      </c>
    </row>
    <row r="18106" spans="1:10" x14ac:dyDescent="0.25">
      <c r="A18106" t="s">
        <v>190</v>
      </c>
      <c r="B18106" s="1" t="str">
        <f>HYPERLINK("http://honeywellaidc.com","honeywellaidc.com")</f>
        <v>honeywellaidc.com</v>
      </c>
      <c r="C18106" t="s">
        <v>433</v>
      </c>
      <c r="E18106">
        <v>77082</v>
      </c>
      <c r="F18106">
        <v>6.3152477504678204E-7</v>
      </c>
      <c r="G18106">
        <v>60750</v>
      </c>
      <c r="H18106">
        <v>15234063</v>
      </c>
      <c r="I18106">
        <v>391868</v>
      </c>
      <c r="J18106">
        <v>6</v>
      </c>
    </row>
    <row r="18107" spans="1:10" x14ac:dyDescent="0.25">
      <c r="A18107" t="s">
        <v>190</v>
      </c>
      <c r="B18107" s="1" t="str">
        <f>HYPERLINK("http://honeywellanalytics.com","honeywellanalytics.com")</f>
        <v>honeywellanalytics.com</v>
      </c>
      <c r="C18107" t="s">
        <v>433</v>
      </c>
      <c r="E18107">
        <v>490599</v>
      </c>
      <c r="F18107">
        <v>8.41211091992154E-8</v>
      </c>
      <c r="G18107">
        <v>491760</v>
      </c>
      <c r="H18107">
        <v>14405363</v>
      </c>
      <c r="I18107">
        <v>1149416</v>
      </c>
      <c r="J18107">
        <v>4</v>
      </c>
    </row>
    <row r="18108" spans="1:10" x14ac:dyDescent="0.25">
      <c r="A18108" t="s">
        <v>190</v>
      </c>
      <c r="B18108" s="1" t="str">
        <f>HYPERLINK("http://honeywellcloud.com","honeywellcloud.com")</f>
        <v>honeywellcloud.com</v>
      </c>
      <c r="C18108" t="s">
        <v>433</v>
      </c>
      <c r="E18108">
        <v>492334</v>
      </c>
      <c r="F18108">
        <v>4.44381528729671E-9</v>
      </c>
      <c r="G18108">
        <v>79370961</v>
      </c>
      <c r="H18108">
        <v>10358497</v>
      </c>
      <c r="I18108">
        <v>55360805</v>
      </c>
      <c r="J18108">
        <v>2</v>
      </c>
    </row>
    <row r="18109" spans="1:10" x14ac:dyDescent="0.25">
      <c r="A18109" t="s">
        <v>190</v>
      </c>
      <c r="B18109" s="1" t="str">
        <f>HYPERLINK("http://honeywellsafety.com","honeywellsafety.com")</f>
        <v>honeywellsafety.com</v>
      </c>
      <c r="C18109" t="s">
        <v>433</v>
      </c>
      <c r="E18109">
        <v>377054</v>
      </c>
      <c r="F18109">
        <v>2.1442298169555E-7</v>
      </c>
      <c r="G18109">
        <v>176044</v>
      </c>
      <c r="H18109">
        <v>14910150</v>
      </c>
      <c r="I18109">
        <v>457861</v>
      </c>
      <c r="J18109">
        <v>8</v>
      </c>
    </row>
    <row r="18110" spans="1:10" x14ac:dyDescent="0.25">
      <c r="A18110" t="s">
        <v>190</v>
      </c>
      <c r="B18110" s="1" t="str">
        <f>HYPERLINK("http://honeywellsafetyproducts.com","honeywellsafetyproducts.com")</f>
        <v>honeywellsafetyproducts.com</v>
      </c>
      <c r="C18110" t="s">
        <v>433</v>
      </c>
      <c r="F18110">
        <v>5.3927711901243301E-9</v>
      </c>
      <c r="G18110">
        <v>22210497</v>
      </c>
      <c r="H18110">
        <v>11256421</v>
      </c>
      <c r="I18110">
        <v>30854032</v>
      </c>
      <c r="J18110">
        <v>4</v>
      </c>
    </row>
    <row r="18111" spans="1:10" x14ac:dyDescent="0.25">
      <c r="A18111" t="s">
        <v>190</v>
      </c>
      <c r="B18111" s="1" t="str">
        <f>HYPERLINK("http://honeywellvindicator.com","honeywellvindicator.com")</f>
        <v>honeywellvindicator.com</v>
      </c>
      <c r="C18111" t="s">
        <v>433</v>
      </c>
      <c r="F18111">
        <v>9.2780790371202403E-9</v>
      </c>
      <c r="G18111">
        <v>7601177</v>
      </c>
      <c r="H18111">
        <v>12587430</v>
      </c>
      <c r="I18111">
        <v>16438073</v>
      </c>
      <c r="J18111">
        <v>4</v>
      </c>
    </row>
    <row r="18112" spans="1:10" x14ac:dyDescent="0.25">
      <c r="A18112" t="s">
        <v>190</v>
      </c>
      <c r="B18112" s="1" t="str">
        <f>HYPERLINK("http://intelligrated.com","intelligrated.com")</f>
        <v>intelligrated.com</v>
      </c>
      <c r="C18112" t="s">
        <v>433</v>
      </c>
      <c r="E18112">
        <v>481867</v>
      </c>
      <c r="F18112">
        <v>7.7124802255758906E-8</v>
      </c>
      <c r="G18112">
        <v>543076</v>
      </c>
      <c r="H18112">
        <v>14211255</v>
      </c>
      <c r="I18112">
        <v>1701564</v>
      </c>
      <c r="J18112">
        <v>2</v>
      </c>
    </row>
    <row r="18113" spans="1:10" x14ac:dyDescent="0.25">
      <c r="A18113" t="s">
        <v>190</v>
      </c>
      <c r="B18113" s="1" t="str">
        <f>HYPERLINK("http://intermec.com","intermec.com")</f>
        <v>intermec.com</v>
      </c>
      <c r="C18113" t="s">
        <v>433</v>
      </c>
      <c r="E18113">
        <v>199517</v>
      </c>
      <c r="F18113">
        <v>1.33466157028589E-7</v>
      </c>
      <c r="G18113">
        <v>292627</v>
      </c>
      <c r="H18113">
        <v>14758343</v>
      </c>
      <c r="I18113">
        <v>561100</v>
      </c>
      <c r="J18113">
        <v>3</v>
      </c>
    </row>
    <row r="18114" spans="1:10" x14ac:dyDescent="0.25">
      <c r="A18114" t="s">
        <v>190</v>
      </c>
      <c r="B18114" s="1" t="str">
        <f>HYPERLINK("http://maxoncorp.com","maxoncorp.com")</f>
        <v>maxoncorp.com</v>
      </c>
      <c r="C18114" t="s">
        <v>433</v>
      </c>
      <c r="F18114">
        <v>3.0161799961546899E-8</v>
      </c>
      <c r="G18114">
        <v>1706068</v>
      </c>
      <c r="H18114">
        <v>13352003</v>
      </c>
      <c r="I18114">
        <v>10609385</v>
      </c>
      <c r="J18114">
        <v>3</v>
      </c>
    </row>
    <row r="18115" spans="1:10" x14ac:dyDescent="0.25">
      <c r="A18115" t="s">
        <v>190</v>
      </c>
      <c r="B18115" s="1" t="str">
        <f>HYPERLINK("http://metrologic.com","metrologic.com")</f>
        <v>metrologic.com</v>
      </c>
      <c r="C18115" t="s">
        <v>433</v>
      </c>
      <c r="F18115">
        <v>2.2857239623122498E-8</v>
      </c>
      <c r="G18115">
        <v>2287429</v>
      </c>
      <c r="H18115">
        <v>13767594</v>
      </c>
      <c r="I18115">
        <v>6923699</v>
      </c>
      <c r="J18115">
        <v>7</v>
      </c>
    </row>
    <row r="18116" spans="1:10" x14ac:dyDescent="0.25">
      <c r="A18116" t="s">
        <v>190</v>
      </c>
      <c r="B18116" s="1" t="str">
        <f>HYPERLINK("http://niagara-community.com","niagara-community.com")</f>
        <v>niagara-community.com</v>
      </c>
      <c r="C18116" t="s">
        <v>433</v>
      </c>
      <c r="E18116">
        <v>724313</v>
      </c>
      <c r="F18116">
        <v>2.6718587545853601E-8</v>
      </c>
      <c r="G18116">
        <v>1926268</v>
      </c>
      <c r="H18116">
        <v>12901046</v>
      </c>
      <c r="I18116">
        <v>13857116</v>
      </c>
      <c r="J18116">
        <v>2</v>
      </c>
    </row>
    <row r="18117" spans="1:10" x14ac:dyDescent="0.25">
      <c r="A18117" t="s">
        <v>190</v>
      </c>
      <c r="B18117" s="1" t="str">
        <f>HYPERLINK("http://ontimeparts.com","ontimeparts.com")</f>
        <v>ontimeparts.com</v>
      </c>
      <c r="C18117" t="s">
        <v>433</v>
      </c>
      <c r="E18117">
        <v>808900</v>
      </c>
      <c r="F18117">
        <v>1.2366786257330899E-8</v>
      </c>
      <c r="G18117">
        <v>4957418</v>
      </c>
      <c r="H18117">
        <v>12525008</v>
      </c>
      <c r="I18117">
        <v>17103730</v>
      </c>
      <c r="J18117">
        <v>2</v>
      </c>
    </row>
    <row r="18118" spans="1:10" x14ac:dyDescent="0.25">
      <c r="A18118" t="s">
        <v>190</v>
      </c>
      <c r="B18118" s="1" t="str">
        <f>HYPERLINK("http://phoenixcontrols.com","phoenixcontrols.com")</f>
        <v>phoenixcontrols.com</v>
      </c>
      <c r="C18118" t="s">
        <v>433</v>
      </c>
      <c r="F18118">
        <v>3.6292374855226997E-8</v>
      </c>
      <c r="G18118">
        <v>1437466</v>
      </c>
      <c r="H18118">
        <v>14592942</v>
      </c>
      <c r="I18118">
        <v>692978</v>
      </c>
      <c r="J18118">
        <v>2</v>
      </c>
    </row>
    <row r="18119" spans="1:10" x14ac:dyDescent="0.25">
      <c r="A18119" t="s">
        <v>190</v>
      </c>
      <c r="B18119" s="1" t="str">
        <f>HYPERLINK("http://rmg.com","rmg.com")</f>
        <v>rmg.com</v>
      </c>
      <c r="C18119" t="s">
        <v>433</v>
      </c>
      <c r="E18119">
        <v>648004</v>
      </c>
      <c r="F18119">
        <v>2.3803134571941499E-8</v>
      </c>
      <c r="G18119">
        <v>2182860</v>
      </c>
      <c r="H18119">
        <v>14086406</v>
      </c>
      <c r="I18119">
        <v>2770375</v>
      </c>
      <c r="J18119">
        <v>6</v>
      </c>
    </row>
    <row r="18120" spans="1:10" x14ac:dyDescent="0.25">
      <c r="A18120" t="s">
        <v>190</v>
      </c>
      <c r="B18120" s="1" t="str">
        <f>HYPERLINK("http://saia-support.com","saia-support.com")</f>
        <v>saia-support.com</v>
      </c>
      <c r="C18120" t="s">
        <v>433</v>
      </c>
      <c r="F18120">
        <v>5.8112420253734403E-9</v>
      </c>
      <c r="G18120">
        <v>18003099</v>
      </c>
      <c r="H18120">
        <v>10792037</v>
      </c>
      <c r="I18120">
        <v>38422387</v>
      </c>
      <c r="J18120">
        <v>3</v>
      </c>
    </row>
    <row r="18121" spans="1:10" x14ac:dyDescent="0.25">
      <c r="A18121" t="s">
        <v>190</v>
      </c>
      <c r="B18121" s="1" t="str">
        <f>HYPERLINK("http://sovexsystems.com","sovexsystems.com")</f>
        <v>sovexsystems.com</v>
      </c>
      <c r="C18121" t="s">
        <v>433</v>
      </c>
      <c r="F18121">
        <v>4.6020623408440003E-9</v>
      </c>
      <c r="G18121">
        <v>47446071</v>
      </c>
      <c r="H18121">
        <v>12559374</v>
      </c>
      <c r="I18121">
        <v>16720440</v>
      </c>
      <c r="J18121">
        <v>4</v>
      </c>
    </row>
    <row r="18122" spans="1:10" x14ac:dyDescent="0.25">
      <c r="A18122" t="s">
        <v>190</v>
      </c>
      <c r="B18122" s="1" t="str">
        <f>HYPERLINK("http://spartasystems.com","spartasystems.com")</f>
        <v>spartasystems.com</v>
      </c>
      <c r="C18122" t="s">
        <v>433</v>
      </c>
      <c r="E18122">
        <v>423804</v>
      </c>
      <c r="F18122">
        <v>6.7402312118570998E-8</v>
      </c>
      <c r="G18122">
        <v>634016</v>
      </c>
      <c r="H18122">
        <v>14868138</v>
      </c>
      <c r="I18122">
        <v>480238</v>
      </c>
      <c r="J18122">
        <v>3</v>
      </c>
    </row>
    <row r="18123" spans="1:10" x14ac:dyDescent="0.25">
      <c r="A18123" t="s">
        <v>190</v>
      </c>
      <c r="B18123" s="1" t="str">
        <f>HYPERLINK("http://sperianprotection.com","sperianprotection.com")</f>
        <v>sperianprotection.com</v>
      </c>
      <c r="C18123" t="s">
        <v>433</v>
      </c>
      <c r="F18123">
        <v>7.7211981128254408E-9</v>
      </c>
      <c r="G18123">
        <v>10526491</v>
      </c>
      <c r="H18123">
        <v>13770695</v>
      </c>
      <c r="I18123">
        <v>6719400</v>
      </c>
      <c r="J18123">
        <v>3</v>
      </c>
    </row>
    <row r="18124" spans="1:10" x14ac:dyDescent="0.25">
      <c r="A18124" t="s">
        <v>190</v>
      </c>
      <c r="B18124" s="1" t="str">
        <f>HYPERLINK("http://transnorm.com","transnorm.com")</f>
        <v>transnorm.com</v>
      </c>
      <c r="C18124" t="s">
        <v>433</v>
      </c>
      <c r="F18124">
        <v>1.24847489097607E-8</v>
      </c>
      <c r="G18124">
        <v>4893579</v>
      </c>
      <c r="H18124">
        <v>13167611</v>
      </c>
      <c r="I18124">
        <v>11734143</v>
      </c>
      <c r="J18124">
        <v>3</v>
      </c>
    </row>
    <row r="18125" spans="1:10" x14ac:dyDescent="0.25">
      <c r="A18125" t="s">
        <v>190</v>
      </c>
      <c r="B18125" s="1" t="str">
        <f>HYPERLINK("http://trend-controls.com","trend-controls.com")</f>
        <v>trend-controls.com</v>
      </c>
      <c r="C18125" t="s">
        <v>433</v>
      </c>
      <c r="F18125">
        <v>3.8529371145237202E-8</v>
      </c>
      <c r="G18125">
        <v>1338564</v>
      </c>
      <c r="H18125">
        <v>14122533</v>
      </c>
      <c r="I18125">
        <v>2208586</v>
      </c>
      <c r="J18125">
        <v>4</v>
      </c>
    </row>
    <row r="18126" spans="1:10" x14ac:dyDescent="0.25">
      <c r="A18126" t="s">
        <v>190</v>
      </c>
      <c r="B18126" s="1" t="str">
        <f>HYPERLINK("http://tridiumeurope.com","tridiumeurope.com")</f>
        <v>tridiumeurope.com</v>
      </c>
      <c r="C18126" t="s">
        <v>433</v>
      </c>
      <c r="F18126">
        <v>5.2057423345397199E-9</v>
      </c>
      <c r="G18126">
        <v>25000944</v>
      </c>
      <c r="H18126">
        <v>11116760</v>
      </c>
      <c r="I18126">
        <v>32082647</v>
      </c>
      <c r="J18126">
        <v>6</v>
      </c>
    </row>
    <row r="18127" spans="1:10" x14ac:dyDescent="0.25">
      <c r="A18127" t="s">
        <v>190</v>
      </c>
      <c r="B18127" s="1" t="str">
        <f>HYPERLINK("http://turbobygarrett.com","turbobygarrett.com")</f>
        <v>turbobygarrett.com</v>
      </c>
      <c r="C18127" t="s">
        <v>433</v>
      </c>
      <c r="E18127">
        <v>401439</v>
      </c>
      <c r="F18127">
        <v>4.6552237051703803E-8</v>
      </c>
      <c r="G18127">
        <v>1004463</v>
      </c>
      <c r="H18127">
        <v>14581725</v>
      </c>
      <c r="I18127">
        <v>707779</v>
      </c>
      <c r="J18127">
        <v>3</v>
      </c>
    </row>
    <row r="18128" spans="1:10" x14ac:dyDescent="0.25">
      <c r="A18128" t="s">
        <v>190</v>
      </c>
      <c r="B18128" s="1" t="str">
        <f>HYPERLINK("http://unitedsortation.com","unitedsortation.com")</f>
        <v>unitedsortation.com</v>
      </c>
      <c r="C18128" t="s">
        <v>433</v>
      </c>
      <c r="F18128">
        <v>4.4681203060683096E-9</v>
      </c>
      <c r="G18128">
        <v>65112534</v>
      </c>
      <c r="H18128">
        <v>9471860</v>
      </c>
      <c r="I18128">
        <v>66171294</v>
      </c>
      <c r="J18128">
        <v>3</v>
      </c>
    </row>
    <row r="18129" spans="1:10" x14ac:dyDescent="0.25">
      <c r="A18129" t="s">
        <v>190</v>
      </c>
      <c r="B18129" s="1" t="str">
        <f>HYPERLINK("http://uop.com","uop.com")</f>
        <v>uop.com</v>
      </c>
      <c r="C18129" t="s">
        <v>433</v>
      </c>
      <c r="E18129">
        <v>111817</v>
      </c>
      <c r="F18129">
        <v>1.20909999205392E-7</v>
      </c>
      <c r="G18129">
        <v>326713</v>
      </c>
      <c r="H18129">
        <v>14685192</v>
      </c>
      <c r="I18129">
        <v>605478</v>
      </c>
      <c r="J18129">
        <v>3</v>
      </c>
    </row>
    <row r="18130" spans="1:10" x14ac:dyDescent="0.25">
      <c r="A18130" t="s">
        <v>190</v>
      </c>
      <c r="B18130" s="1" t="str">
        <f>HYPERLINK("http://vocollect.com","vocollect.com")</f>
        <v>vocollect.com</v>
      </c>
      <c r="C18130" t="s">
        <v>433</v>
      </c>
      <c r="F18130">
        <v>1.8428034971418199E-8</v>
      </c>
      <c r="G18130">
        <v>2940240</v>
      </c>
      <c r="H18130">
        <v>14391714</v>
      </c>
      <c r="I18130">
        <v>1166077</v>
      </c>
      <c r="J18130">
        <v>4</v>
      </c>
    </row>
    <row r="18131" spans="1:10" x14ac:dyDescent="0.25">
      <c r="A18131" t="s">
        <v>190</v>
      </c>
      <c r="B18131" s="1" t="str">
        <f>HYPERLINK("http://vykon.com","vykon.com")</f>
        <v>vykon.com</v>
      </c>
      <c r="C18131" t="s">
        <v>433</v>
      </c>
      <c r="F18131">
        <v>1.13572724237954E-8</v>
      </c>
      <c r="G18131">
        <v>5603276</v>
      </c>
      <c r="H18131">
        <v>13504653</v>
      </c>
      <c r="I18131">
        <v>9964435</v>
      </c>
      <c r="J18131">
        <v>2</v>
      </c>
    </row>
    <row r="18132" spans="1:10" x14ac:dyDescent="0.25">
      <c r="A18132" t="s">
        <v>190</v>
      </c>
      <c r="B18132" s="1" t="str">
        <f>HYPERLINK("http://whsalisbury.com","whsalisbury.com")</f>
        <v>whsalisbury.com</v>
      </c>
      <c r="C18132" t="s">
        <v>433</v>
      </c>
      <c r="F18132">
        <v>5.0607847894564902E-9</v>
      </c>
      <c r="G18132">
        <v>27986143</v>
      </c>
      <c r="H18132">
        <v>12341645</v>
      </c>
      <c r="I18132">
        <v>19920229</v>
      </c>
      <c r="J18132">
        <v>3</v>
      </c>
    </row>
    <row r="18133" spans="1:10" x14ac:dyDescent="0.25">
      <c r="A18133" t="s">
        <v>190</v>
      </c>
      <c r="B18133" s="1" t="str">
        <f>HYPERLINK("http://xtralis.com","xtralis.com")</f>
        <v>xtralis.com</v>
      </c>
      <c r="C18133" t="s">
        <v>433</v>
      </c>
      <c r="E18133">
        <v>429792</v>
      </c>
      <c r="F18133">
        <v>1.00864859017661E-7</v>
      </c>
      <c r="G18133">
        <v>398661</v>
      </c>
      <c r="H18133">
        <v>14600614</v>
      </c>
      <c r="I18133">
        <v>685780</v>
      </c>
      <c r="J18133">
        <v>6</v>
      </c>
    </row>
    <row r="18134" spans="1:10" x14ac:dyDescent="0.25">
      <c r="A18134" t="s">
        <v>190</v>
      </c>
      <c r="B18134" s="1" t="str">
        <f>HYPERLINK("http://honeywell.de","honeywell.de")</f>
        <v>honeywell.de</v>
      </c>
      <c r="C18134" t="s">
        <v>436</v>
      </c>
      <c r="D18134" t="s">
        <v>815</v>
      </c>
      <c r="E18134">
        <v>512189</v>
      </c>
      <c r="F18134">
        <v>7.1742773592287199E-8</v>
      </c>
      <c r="G18134">
        <v>588884</v>
      </c>
      <c r="H18134">
        <v>13150305</v>
      </c>
      <c r="I18134">
        <v>11826655</v>
      </c>
      <c r="J18134">
        <v>2</v>
      </c>
    </row>
    <row r="18135" spans="1:10" x14ac:dyDescent="0.25">
      <c r="A18135" t="s">
        <v>190</v>
      </c>
      <c r="B18135" s="1" t="str">
        <f>HYPERLINK("http://honeywell-seelze.de","honeywell-seelze.de")</f>
        <v>honeywell-seelze.de</v>
      </c>
      <c r="C18135" t="s">
        <v>436</v>
      </c>
      <c r="D18135" t="s">
        <v>815</v>
      </c>
      <c r="F18135">
        <v>7.2009129622532297E-9</v>
      </c>
      <c r="G18135">
        <v>11737850</v>
      </c>
      <c r="H18135">
        <v>12498293</v>
      </c>
      <c r="I18135">
        <v>17378150</v>
      </c>
      <c r="J18135">
        <v>3</v>
      </c>
    </row>
    <row r="18136" spans="1:10" x14ac:dyDescent="0.25">
      <c r="A18136" t="s">
        <v>190</v>
      </c>
      <c r="B18136" s="1" t="str">
        <f>HYPERLINK("http://novar.de","novar.de")</f>
        <v>novar.de</v>
      </c>
      <c r="C18136" t="s">
        <v>436</v>
      </c>
      <c r="D18136" t="s">
        <v>815</v>
      </c>
      <c r="F18136">
        <v>1.11977260917485E-8</v>
      </c>
      <c r="G18136">
        <v>5714709</v>
      </c>
      <c r="H18136">
        <v>12179971</v>
      </c>
      <c r="I18136">
        <v>23817361</v>
      </c>
      <c r="J18136">
        <v>5</v>
      </c>
    </row>
    <row r="18137" spans="1:10" x14ac:dyDescent="0.25">
      <c r="A18137" t="s">
        <v>190</v>
      </c>
      <c r="B18137" s="1" t="str">
        <f>HYPERLINK("http://spartasystems.de","spartasystems.de")</f>
        <v>spartasystems.de</v>
      </c>
      <c r="C18137" t="s">
        <v>436</v>
      </c>
      <c r="D18137" t="s">
        <v>815</v>
      </c>
      <c r="F18137">
        <v>5.1078448459932896E-9</v>
      </c>
      <c r="G18137">
        <v>26895324</v>
      </c>
      <c r="H18137">
        <v>12118749</v>
      </c>
      <c r="I18137">
        <v>25437894</v>
      </c>
      <c r="J18137">
        <v>4</v>
      </c>
    </row>
    <row r="18138" spans="1:10" x14ac:dyDescent="0.25">
      <c r="A18138" t="s">
        <v>190</v>
      </c>
      <c r="B18138" s="1" t="str">
        <f>HYPERLINK("http://elster-instromet.fr","elster-instromet.fr")</f>
        <v>elster-instromet.fr</v>
      </c>
      <c r="C18138" t="s">
        <v>446</v>
      </c>
      <c r="D18138" t="s">
        <v>824</v>
      </c>
      <c r="F18138">
        <v>4.7741210793551899E-9</v>
      </c>
      <c r="G18138">
        <v>37201821</v>
      </c>
      <c r="H18138">
        <v>8389347</v>
      </c>
      <c r="I18138">
        <v>73439545</v>
      </c>
      <c r="J18138">
        <v>3</v>
      </c>
    </row>
    <row r="18139" spans="1:10" x14ac:dyDescent="0.25">
      <c r="A18139" t="s">
        <v>190</v>
      </c>
      <c r="B18139" s="1" t="str">
        <f>HYPERLINK("http://spartasystems.fr","spartasystems.fr")</f>
        <v>spartasystems.fr</v>
      </c>
      <c r="C18139" t="s">
        <v>446</v>
      </c>
      <c r="D18139" t="s">
        <v>824</v>
      </c>
      <c r="F18139">
        <v>5.3956805540665604E-9</v>
      </c>
      <c r="G18139">
        <v>22169632</v>
      </c>
      <c r="H18139">
        <v>10986145</v>
      </c>
      <c r="I18139">
        <v>33819673</v>
      </c>
      <c r="J18139">
        <v>4</v>
      </c>
    </row>
    <row r="18140" spans="1:10" x14ac:dyDescent="0.25">
      <c r="A18140" t="s">
        <v>190</v>
      </c>
      <c r="B18140" s="1" t="str">
        <f>HYPERLINK("http://honeywellbuildings.in","honeywellbuildings.in")</f>
        <v>honeywellbuildings.in</v>
      </c>
      <c r="C18140" t="s">
        <v>457</v>
      </c>
      <c r="D18140" t="s">
        <v>834</v>
      </c>
      <c r="F18140">
        <v>1.9013870661397E-8</v>
      </c>
      <c r="G18140">
        <v>2833595</v>
      </c>
      <c r="H18140">
        <v>12829627</v>
      </c>
      <c r="I18140">
        <v>14431251</v>
      </c>
      <c r="J18140">
        <v>3</v>
      </c>
    </row>
    <row r="18141" spans="1:10" x14ac:dyDescent="0.25">
      <c r="A18141" t="s">
        <v>190</v>
      </c>
      <c r="B18141" s="1" t="str">
        <f>HYPERLINK("http://n-u.co.jp","n-u.co.jp")</f>
        <v>n-u.co.jp</v>
      </c>
      <c r="C18141" t="s">
        <v>461</v>
      </c>
      <c r="D18141" t="s">
        <v>837</v>
      </c>
      <c r="F18141">
        <v>1.0797545577448999E-8</v>
      </c>
      <c r="G18141">
        <v>6022788</v>
      </c>
      <c r="H18141">
        <v>13006421</v>
      </c>
      <c r="I18141">
        <v>12766715</v>
      </c>
      <c r="J18141">
        <v>5</v>
      </c>
    </row>
    <row r="18142" spans="1:10" x14ac:dyDescent="0.25">
      <c r="A18142" t="s">
        <v>190</v>
      </c>
      <c r="B18142" s="1" t="str">
        <f>HYPERLINK("http://honeywell.jp","honeywell.jp")</f>
        <v>honeywell.jp</v>
      </c>
      <c r="C18142" t="s">
        <v>461</v>
      </c>
      <c r="D18142" t="s">
        <v>837</v>
      </c>
      <c r="F18142">
        <v>4.5379674413628003E-9</v>
      </c>
      <c r="G18142">
        <v>53570980</v>
      </c>
      <c r="H18142">
        <v>10458240</v>
      </c>
      <c r="I18142">
        <v>51899101</v>
      </c>
      <c r="J18142">
        <v>2</v>
      </c>
    </row>
    <row r="18143" spans="1:10" x14ac:dyDescent="0.25">
      <c r="A18143" t="s">
        <v>190</v>
      </c>
      <c r="B18143" s="1" t="str">
        <f>HYPERLINK("http://spartasystems.jp","spartasystems.jp")</f>
        <v>spartasystems.jp</v>
      </c>
      <c r="C18143" t="s">
        <v>461</v>
      </c>
      <c r="D18143" t="s">
        <v>837</v>
      </c>
      <c r="F18143">
        <v>5.3044778652495502E-9</v>
      </c>
      <c r="G18143">
        <v>23427098</v>
      </c>
      <c r="H18143">
        <v>10959766</v>
      </c>
      <c r="I18143">
        <v>34359420</v>
      </c>
      <c r="J18143">
        <v>4</v>
      </c>
    </row>
    <row r="18144" spans="1:10" x14ac:dyDescent="0.25">
      <c r="A18144" t="s">
        <v>190</v>
      </c>
      <c r="B18144" s="1" t="str">
        <f>HYPERLINK("http://elsteramco.com.mx","elsteramco.com.mx")</f>
        <v>elsteramco.com.mx</v>
      </c>
      <c r="C18144" t="s">
        <v>471</v>
      </c>
      <c r="D18144" t="s">
        <v>847</v>
      </c>
      <c r="F18144">
        <v>4.4479975061184602E-9</v>
      </c>
      <c r="G18144">
        <v>73131761</v>
      </c>
      <c r="H18144">
        <v>10724430</v>
      </c>
      <c r="I18144">
        <v>41401611</v>
      </c>
      <c r="J18144">
        <v>4</v>
      </c>
    </row>
    <row r="18145" spans="1:10" x14ac:dyDescent="0.25">
      <c r="A18145" t="s">
        <v>190</v>
      </c>
      <c r="B18145" s="1" t="str">
        <f>HYPERLINK("http://honeywell.ru","honeywell.ru")</f>
        <v>honeywell.ru</v>
      </c>
      <c r="C18145" t="s">
        <v>493</v>
      </c>
      <c r="D18145" t="s">
        <v>867</v>
      </c>
      <c r="F18145">
        <v>2.5437099316543601E-8</v>
      </c>
      <c r="G18145">
        <v>2027956</v>
      </c>
      <c r="H18145">
        <v>13238716</v>
      </c>
      <c r="I18145">
        <v>11227145</v>
      </c>
      <c r="J18145">
        <v>2</v>
      </c>
    </row>
    <row r="18146" spans="1:10" x14ac:dyDescent="0.25">
      <c r="A18146" t="s">
        <v>190</v>
      </c>
      <c r="B18146" s="1" t="str">
        <f>HYPERLINK("http://elster.sk","elster.sk")</f>
        <v>elster.sk</v>
      </c>
      <c r="C18146" t="s">
        <v>498</v>
      </c>
      <c r="D18146" t="s">
        <v>872</v>
      </c>
      <c r="F18146">
        <v>6.5884900560921801E-9</v>
      </c>
      <c r="G18146">
        <v>13720745</v>
      </c>
      <c r="H18146">
        <v>12205638</v>
      </c>
      <c r="I18146">
        <v>23174816</v>
      </c>
      <c r="J18146">
        <v>3</v>
      </c>
    </row>
    <row r="18147" spans="1:10" x14ac:dyDescent="0.25">
      <c r="A18147" t="s">
        <v>190</v>
      </c>
      <c r="B18147" s="1" t="str">
        <f>HYPERLINK("http://gardinersecurity.co.uk","gardinersecurity.co.uk")</f>
        <v>gardinersecurity.co.uk</v>
      </c>
      <c r="C18147" t="s">
        <v>506</v>
      </c>
      <c r="D18147" t="s">
        <v>880</v>
      </c>
      <c r="F18147">
        <v>4.9526323951874996E-9</v>
      </c>
      <c r="G18147">
        <v>30709803</v>
      </c>
      <c r="H18147">
        <v>14072368</v>
      </c>
      <c r="I18147">
        <v>3106422</v>
      </c>
      <c r="J18147">
        <v>8</v>
      </c>
    </row>
    <row r="18148" spans="1:10" x14ac:dyDescent="0.25">
      <c r="A18148" t="s">
        <v>190</v>
      </c>
      <c r="B18148" s="1" t="str">
        <f>HYPERLINK("http://honeywell-security.co.uk","honeywell-security.co.uk")</f>
        <v>honeywell-security.co.uk</v>
      </c>
      <c r="C18148" t="s">
        <v>506</v>
      </c>
      <c r="D18148" t="s">
        <v>880</v>
      </c>
      <c r="F18148">
        <v>4.5237655597839901E-9</v>
      </c>
      <c r="G18148">
        <v>55759191</v>
      </c>
      <c r="H18148">
        <v>8386053</v>
      </c>
      <c r="I18148">
        <v>73458297</v>
      </c>
      <c r="J18148">
        <v>4</v>
      </c>
    </row>
    <row r="18149" spans="1:10" x14ac:dyDescent="0.25">
      <c r="A18149" t="s">
        <v>190</v>
      </c>
      <c r="B18149" s="1" t="str">
        <f>HYPERLINK("http://kac.co.uk","kac.co.uk")</f>
        <v>kac.co.uk</v>
      </c>
      <c r="C18149" t="s">
        <v>506</v>
      </c>
      <c r="D18149" t="s">
        <v>880</v>
      </c>
      <c r="F18149">
        <v>1.26578699624639E-8</v>
      </c>
      <c r="G18149">
        <v>4800850</v>
      </c>
      <c r="H18149">
        <v>12959445</v>
      </c>
      <c r="I18149">
        <v>13171640</v>
      </c>
      <c r="J18149">
        <v>3</v>
      </c>
    </row>
    <row r="18150" spans="1:10" x14ac:dyDescent="0.25">
      <c r="A18150" t="s">
        <v>190</v>
      </c>
      <c r="B18150" s="1" t="str">
        <f>HYPERLINK("http://icam.ltd.uk","icam.ltd.uk")</f>
        <v>icam.ltd.uk</v>
      </c>
      <c r="C18150" t="s">
        <v>506</v>
      </c>
      <c r="D18150" t="s">
        <v>880</v>
      </c>
      <c r="F18150">
        <v>8.4047784797022008E-9</v>
      </c>
      <c r="G18150">
        <v>9033042</v>
      </c>
      <c r="H18150">
        <v>7797753</v>
      </c>
      <c r="I18150">
        <v>75633344</v>
      </c>
      <c r="J18150">
        <v>7</v>
      </c>
    </row>
    <row r="18151" spans="1:10" x14ac:dyDescent="0.25">
      <c r="A18151" t="s">
        <v>191</v>
      </c>
      <c r="B18151" s="1" t="str">
        <f>HYPERLINK("http://hkexgroup.com","hkexgroup.com")</f>
        <v>hkexgroup.com</v>
      </c>
      <c r="C18151" t="s">
        <v>433</v>
      </c>
      <c r="E18151">
        <v>785448</v>
      </c>
      <c r="F18151">
        <v>2.9385072934232201E-7</v>
      </c>
      <c r="G18151">
        <v>126666</v>
      </c>
      <c r="H18151">
        <v>14506422</v>
      </c>
      <c r="I18151">
        <v>833461</v>
      </c>
      <c r="J18151">
        <v>1</v>
      </c>
    </row>
    <row r="18152" spans="1:10" x14ac:dyDescent="0.25">
      <c r="A18152" t="s">
        <v>191</v>
      </c>
      <c r="B18152" s="1" t="str">
        <f>HYPERLINK("http://lme.com","lme.com")</f>
        <v>lme.com</v>
      </c>
      <c r="C18152" t="s">
        <v>433</v>
      </c>
      <c r="E18152">
        <v>48488</v>
      </c>
      <c r="F18152">
        <v>9.9812346298220395E-7</v>
      </c>
      <c r="G18152">
        <v>38320</v>
      </c>
      <c r="H18152">
        <v>15380086</v>
      </c>
      <c r="I18152">
        <v>381159</v>
      </c>
      <c r="J18152">
        <v>4</v>
      </c>
    </row>
    <row r="18153" spans="1:10" x14ac:dyDescent="0.25">
      <c r="A18153" t="s">
        <v>191</v>
      </c>
      <c r="B18153" s="1" t="str">
        <f>HYPERLINK("http://hkex.com.hk","hkex.com.hk")</f>
        <v>hkex.com.hk</v>
      </c>
      <c r="C18153" t="s">
        <v>450</v>
      </c>
      <c r="D18153" t="s">
        <v>827</v>
      </c>
      <c r="E18153">
        <v>15155</v>
      </c>
      <c r="F18153">
        <v>2.8287402962625999E-6</v>
      </c>
      <c r="G18153">
        <v>13609</v>
      </c>
      <c r="H18153">
        <v>17687362</v>
      </c>
      <c r="I18153">
        <v>7581</v>
      </c>
      <c r="J18153">
        <v>2</v>
      </c>
    </row>
    <row r="18154" spans="1:10" x14ac:dyDescent="0.25">
      <c r="A18154" t="s">
        <v>191</v>
      </c>
      <c r="B18154" s="1" t="str">
        <f>HYPERLINK("http://lme.co.uk","lme.co.uk")</f>
        <v>lme.co.uk</v>
      </c>
      <c r="C18154" t="s">
        <v>506</v>
      </c>
      <c r="D18154" t="s">
        <v>880</v>
      </c>
      <c r="E18154">
        <v>645501</v>
      </c>
      <c r="F18154">
        <v>8.9861404103390399E-8</v>
      </c>
      <c r="G18154">
        <v>454276</v>
      </c>
      <c r="H18154">
        <v>14328416</v>
      </c>
      <c r="I18154">
        <v>1325081</v>
      </c>
      <c r="J18154">
        <v>6</v>
      </c>
    </row>
    <row r="18155" spans="1:10" x14ac:dyDescent="0.25">
      <c r="A18155" t="s">
        <v>192</v>
      </c>
      <c r="B18155" s="1" t="str">
        <f>HYPERLINK("http://credila.com","credila.com")</f>
        <v>credila.com</v>
      </c>
      <c r="C18155" t="s">
        <v>433</v>
      </c>
      <c r="F18155">
        <v>3.0378279088323099E-8</v>
      </c>
      <c r="G18155">
        <v>1694749</v>
      </c>
      <c r="H18155">
        <v>13809886</v>
      </c>
      <c r="I18155">
        <v>6213881</v>
      </c>
      <c r="J18155">
        <v>3</v>
      </c>
    </row>
    <row r="18156" spans="1:10" x14ac:dyDescent="0.25">
      <c r="A18156" t="s">
        <v>192</v>
      </c>
      <c r="B18156" s="1" t="str">
        <f>HYPERLINK("http://hdfc.com","hdfc.com")</f>
        <v>hdfc.com</v>
      </c>
      <c r="C18156" t="s">
        <v>433</v>
      </c>
      <c r="E18156">
        <v>34969</v>
      </c>
      <c r="F18156">
        <v>2.3209794478100901E-7</v>
      </c>
      <c r="G18156">
        <v>161754</v>
      </c>
      <c r="H18156">
        <v>17008068</v>
      </c>
      <c r="I18156">
        <v>92036</v>
      </c>
      <c r="J18156">
        <v>1</v>
      </c>
    </row>
    <row r="18157" spans="1:10" x14ac:dyDescent="0.25">
      <c r="A18157" t="s">
        <v>192</v>
      </c>
      <c r="B18157" s="1" t="str">
        <f>HYPERLINK("http://hdfcergo.com","hdfcergo.com")</f>
        <v>hdfcergo.com</v>
      </c>
      <c r="C18157" t="s">
        <v>433</v>
      </c>
      <c r="E18157">
        <v>42846</v>
      </c>
      <c r="F18157">
        <v>2.0917798050687701E-7</v>
      </c>
      <c r="G18157">
        <v>180929</v>
      </c>
      <c r="H18157">
        <v>13932786</v>
      </c>
      <c r="I18157">
        <v>5927900</v>
      </c>
      <c r="J18157">
        <v>4</v>
      </c>
    </row>
    <row r="18158" spans="1:10" x14ac:dyDescent="0.25">
      <c r="A18158" t="s">
        <v>192</v>
      </c>
      <c r="B18158" s="1" t="str">
        <f>HYPERLINK("http://hdfcfund.com","hdfcfund.com")</f>
        <v>hdfcfund.com</v>
      </c>
      <c r="C18158" t="s">
        <v>433</v>
      </c>
      <c r="E18158">
        <v>136947</v>
      </c>
      <c r="F18158">
        <v>1.11214938151316E-7</v>
      </c>
      <c r="G18158">
        <v>359422</v>
      </c>
      <c r="H18158">
        <v>14149374</v>
      </c>
      <c r="I18158">
        <v>1881597</v>
      </c>
      <c r="J18158">
        <v>3</v>
      </c>
    </row>
    <row r="18159" spans="1:10" x14ac:dyDescent="0.25">
      <c r="A18159" t="s">
        <v>192</v>
      </c>
      <c r="B18159" s="1" t="str">
        <f>HYPERLINK("http://hdfclife.com","hdfclife.com")</f>
        <v>hdfclife.com</v>
      </c>
      <c r="C18159" t="s">
        <v>433</v>
      </c>
      <c r="E18159">
        <v>47124</v>
      </c>
      <c r="F18159">
        <v>3.7355733256522501E-7</v>
      </c>
      <c r="G18159">
        <v>100246</v>
      </c>
      <c r="H18159">
        <v>17133752</v>
      </c>
      <c r="I18159">
        <v>55835</v>
      </c>
      <c r="J18159">
        <v>3</v>
      </c>
    </row>
    <row r="18160" spans="1:10" x14ac:dyDescent="0.25">
      <c r="A18160" t="s">
        <v>192</v>
      </c>
      <c r="B18160" s="1" t="str">
        <f>HYPERLINK("http://hdfclifere.com","hdfclifere.com")</f>
        <v>hdfclifere.com</v>
      </c>
      <c r="C18160" t="s">
        <v>433</v>
      </c>
      <c r="F18160">
        <v>9.1046452114832295E-9</v>
      </c>
      <c r="G18160">
        <v>7840527</v>
      </c>
      <c r="H18160">
        <v>12302264</v>
      </c>
      <c r="I18160">
        <v>20784207</v>
      </c>
      <c r="J18160">
        <v>4</v>
      </c>
    </row>
    <row r="18161" spans="1:10" x14ac:dyDescent="0.25">
      <c r="A18161" t="s">
        <v>192</v>
      </c>
      <c r="B18161" s="1" t="str">
        <f>HYPERLINK("http://hdfcpension.com","hdfcpension.com")</f>
        <v>hdfcpension.com</v>
      </c>
      <c r="C18161" t="s">
        <v>433</v>
      </c>
      <c r="F18161">
        <v>2.31116324079859E-8</v>
      </c>
      <c r="G18161">
        <v>2258863</v>
      </c>
      <c r="H18161">
        <v>14236551</v>
      </c>
      <c r="I18161">
        <v>1581521</v>
      </c>
      <c r="J18161">
        <v>5</v>
      </c>
    </row>
    <row r="18162" spans="1:10" x14ac:dyDescent="0.25">
      <c r="A18162" t="s">
        <v>192</v>
      </c>
      <c r="B18162" s="1" t="str">
        <f>HYPERLINK("http://exidelife.in","exidelife.in")</f>
        <v>exidelife.in</v>
      </c>
      <c r="C18162" t="s">
        <v>457</v>
      </c>
      <c r="D18162" t="s">
        <v>834</v>
      </c>
      <c r="F18162">
        <v>4.1949110952998102E-8</v>
      </c>
      <c r="G18162">
        <v>1169287</v>
      </c>
      <c r="H18162">
        <v>14503663</v>
      </c>
      <c r="I18162">
        <v>842025</v>
      </c>
      <c r="J18162">
        <v>3</v>
      </c>
    </row>
    <row r="18163" spans="1:10" x14ac:dyDescent="0.25">
      <c r="A18163" t="s">
        <v>192</v>
      </c>
      <c r="B18163" s="1" t="str">
        <f>HYPERLINK("http://hdfclife.tech","hdfclife.tech")</f>
        <v>hdfclife.tech</v>
      </c>
      <c r="C18163" t="s">
        <v>534</v>
      </c>
      <c r="F18163">
        <v>7.11207061453542E-9</v>
      </c>
      <c r="G18163">
        <v>11980630</v>
      </c>
      <c r="H18163">
        <v>12065910</v>
      </c>
      <c r="I18163">
        <v>26878924</v>
      </c>
      <c r="J18163">
        <v>4</v>
      </c>
    </row>
    <row r="18164" spans="1:10" x14ac:dyDescent="0.25">
      <c r="A18164" t="s">
        <v>193</v>
      </c>
      <c r="B18164" s="1" t="str">
        <f>HYPERLINK("http://hoya.com","hoya.com")</f>
        <v>hoya.com</v>
      </c>
      <c r="C18164" t="s">
        <v>433</v>
      </c>
      <c r="E18164">
        <v>199355</v>
      </c>
      <c r="F18164">
        <v>6.7159761723826599E-8</v>
      </c>
      <c r="G18164">
        <v>636776</v>
      </c>
      <c r="H18164">
        <v>14444135</v>
      </c>
      <c r="I18164">
        <v>1058866</v>
      </c>
      <c r="J18164">
        <v>2</v>
      </c>
    </row>
    <row r="18165" spans="1:10" x14ac:dyDescent="0.25">
      <c r="A18165" t="s">
        <v>193</v>
      </c>
      <c r="B18165" s="1" t="str">
        <f>HYPERLINK("http://hoyaoptics.com","hoyaoptics.com")</f>
        <v>hoyaoptics.com</v>
      </c>
      <c r="C18165" t="s">
        <v>433</v>
      </c>
      <c r="F18165">
        <v>5.5190053429085901E-8</v>
      </c>
      <c r="G18165">
        <v>814214</v>
      </c>
      <c r="H18165">
        <v>14323863</v>
      </c>
      <c r="I18165">
        <v>1328691</v>
      </c>
      <c r="J18165">
        <v>3</v>
      </c>
    </row>
    <row r="18166" spans="1:10" x14ac:dyDescent="0.25">
      <c r="A18166" t="s">
        <v>193</v>
      </c>
      <c r="B18166" s="1" t="str">
        <f>HYPERLINK("http://hoyasurgopt.com","hoyasurgopt.com")</f>
        <v>hoyasurgopt.com</v>
      </c>
      <c r="C18166" t="s">
        <v>433</v>
      </c>
      <c r="F18166">
        <v>4.6447471595300397E-9</v>
      </c>
      <c r="G18166">
        <v>44469091</v>
      </c>
      <c r="H18166">
        <v>10551860</v>
      </c>
      <c r="I18166">
        <v>46640386</v>
      </c>
      <c r="J18166">
        <v>3</v>
      </c>
    </row>
    <row r="18167" spans="1:10" x14ac:dyDescent="0.25">
      <c r="A18167" t="s">
        <v>193</v>
      </c>
      <c r="B18167" s="1" t="str">
        <f>HYPERLINK("http://hoyavision.com","hoyavision.com")</f>
        <v>hoyavision.com</v>
      </c>
      <c r="C18167" t="s">
        <v>433</v>
      </c>
      <c r="E18167">
        <v>178402</v>
      </c>
      <c r="F18167">
        <v>4.6747013978895001E-7</v>
      </c>
      <c r="G18167">
        <v>81080</v>
      </c>
      <c r="H18167">
        <v>13610555</v>
      </c>
      <c r="I18167">
        <v>9635869</v>
      </c>
      <c r="J18167">
        <v>3</v>
      </c>
    </row>
    <row r="18168" spans="1:10" x14ac:dyDescent="0.25">
      <c r="A18168" t="s">
        <v>193</v>
      </c>
      <c r="B18168" s="1" t="str">
        <f>HYPERLINK("http://microlinesurgical.com","microlinesurgical.com")</f>
        <v>microlinesurgical.com</v>
      </c>
      <c r="C18168" t="s">
        <v>433</v>
      </c>
      <c r="F18168">
        <v>1.6274288392127401E-8</v>
      </c>
      <c r="G18168">
        <v>3477066</v>
      </c>
      <c r="H18168">
        <v>12516399</v>
      </c>
      <c r="I18168">
        <v>17182801</v>
      </c>
      <c r="J18168">
        <v>3</v>
      </c>
    </row>
    <row r="18169" spans="1:10" x14ac:dyDescent="0.25">
      <c r="A18169" t="s">
        <v>193</v>
      </c>
      <c r="B18169" s="1" t="str">
        <f>HYPERLINK("http://pentaxmedical.com","pentaxmedical.com")</f>
        <v>pentaxmedical.com</v>
      </c>
      <c r="C18169" t="s">
        <v>433</v>
      </c>
      <c r="E18169">
        <v>584760</v>
      </c>
      <c r="F18169">
        <v>1.5463358342151099E-7</v>
      </c>
      <c r="G18169">
        <v>251176</v>
      </c>
      <c r="H18169">
        <v>14744165</v>
      </c>
      <c r="I18169">
        <v>565929</v>
      </c>
      <c r="J18169">
        <v>3</v>
      </c>
    </row>
    <row r="18170" spans="1:10" x14ac:dyDescent="0.25">
      <c r="A18170" t="s">
        <v>193</v>
      </c>
      <c r="B18170" s="1" t="str">
        <f>HYPERLINK("http://face-fashion.de","face-fashion.de")</f>
        <v>face-fashion.de</v>
      </c>
      <c r="C18170" t="s">
        <v>436</v>
      </c>
      <c r="D18170" t="s">
        <v>815</v>
      </c>
      <c r="F18170">
        <v>1.34769471658499E-8</v>
      </c>
      <c r="G18170">
        <v>4413629</v>
      </c>
      <c r="H18170">
        <v>9368548</v>
      </c>
      <c r="I18170">
        <v>67733911</v>
      </c>
      <c r="J18170">
        <v>5</v>
      </c>
    </row>
    <row r="18171" spans="1:10" x14ac:dyDescent="0.25">
      <c r="A18171" t="s">
        <v>193</v>
      </c>
      <c r="B18171" s="1" t="str">
        <f>HYPERLINK("http://hoya.de","hoya.de")</f>
        <v>hoya.de</v>
      </c>
      <c r="C18171" t="s">
        <v>436</v>
      </c>
      <c r="D18171" t="s">
        <v>815</v>
      </c>
      <c r="F18171">
        <v>1.5056324101288101E-8</v>
      </c>
      <c r="G18171">
        <v>3821439</v>
      </c>
      <c r="H18171">
        <v>12462063</v>
      </c>
      <c r="I18171">
        <v>17847472</v>
      </c>
      <c r="J18171">
        <v>3</v>
      </c>
    </row>
    <row r="18172" spans="1:10" x14ac:dyDescent="0.25">
      <c r="A18172" t="s">
        <v>193</v>
      </c>
      <c r="B18172" s="1" t="str">
        <f>HYPERLINK("http://pentaxmedical.de","pentaxmedical.de")</f>
        <v>pentaxmedical.de</v>
      </c>
      <c r="C18172" t="s">
        <v>436</v>
      </c>
      <c r="D18172" t="s">
        <v>815</v>
      </c>
      <c r="F18172">
        <v>8.9609537853485602E-9</v>
      </c>
      <c r="G18172">
        <v>8050306</v>
      </c>
      <c r="H18172">
        <v>10854789</v>
      </c>
      <c r="I18172">
        <v>36761124</v>
      </c>
      <c r="J18172">
        <v>4</v>
      </c>
    </row>
    <row r="18173" spans="1:10" x14ac:dyDescent="0.25">
      <c r="A18173" t="s">
        <v>193</v>
      </c>
      <c r="B18173" s="1" t="str">
        <f>HYPERLINK("http://hoya.eu","hoya.eu")</f>
        <v>hoya.eu</v>
      </c>
      <c r="C18173" t="s">
        <v>444</v>
      </c>
      <c r="F18173">
        <v>2.5132077391295302E-8</v>
      </c>
      <c r="G18173">
        <v>2055247</v>
      </c>
      <c r="H18173">
        <v>13195770</v>
      </c>
      <c r="I18173">
        <v>11577480</v>
      </c>
      <c r="J18173">
        <v>3</v>
      </c>
    </row>
    <row r="18174" spans="1:10" x14ac:dyDescent="0.25">
      <c r="A18174" t="s">
        <v>193</v>
      </c>
      <c r="B18174" s="1" t="str">
        <f>HYPERLINK("http://pentaxmedical.eu","pentaxmedical.eu")</f>
        <v>pentaxmedical.eu</v>
      </c>
      <c r="C18174" t="s">
        <v>444</v>
      </c>
      <c r="F18174">
        <v>6.4005586885627098E-9</v>
      </c>
      <c r="G18174">
        <v>14514199</v>
      </c>
      <c r="H18174">
        <v>10851967</v>
      </c>
      <c r="I18174">
        <v>36815448</v>
      </c>
      <c r="J18174">
        <v>4</v>
      </c>
    </row>
    <row r="18175" spans="1:10" x14ac:dyDescent="0.25">
      <c r="A18175" t="s">
        <v>193</v>
      </c>
      <c r="B18175" s="1" t="str">
        <f>HYPERLINK("http://hoyavision.fi","hoyavision.fi")</f>
        <v>hoyavision.fi</v>
      </c>
      <c r="C18175" t="s">
        <v>445</v>
      </c>
      <c r="D18175" t="s">
        <v>823</v>
      </c>
      <c r="J18175">
        <v>4</v>
      </c>
    </row>
    <row r="18176" spans="1:10" x14ac:dyDescent="0.25">
      <c r="A18176" t="s">
        <v>193</v>
      </c>
      <c r="B18176" s="1" t="str">
        <f>HYPERLINK("http://hoya.co.jp","hoya.co.jp")</f>
        <v>hoya.co.jp</v>
      </c>
      <c r="C18176" t="s">
        <v>461</v>
      </c>
      <c r="D18176" t="s">
        <v>837</v>
      </c>
      <c r="E18176">
        <v>316640</v>
      </c>
      <c r="F18176">
        <v>1.5174839823410599E-7</v>
      </c>
      <c r="G18176">
        <v>255948</v>
      </c>
      <c r="H18176">
        <v>14711131</v>
      </c>
      <c r="I18176">
        <v>583232</v>
      </c>
      <c r="J18176">
        <v>1</v>
      </c>
    </row>
    <row r="18177" spans="1:10" x14ac:dyDescent="0.25">
      <c r="A18177" t="s">
        <v>193</v>
      </c>
      <c r="B18177" s="1" t="str">
        <f>HYPERLINK("http://seiko-opt.co.jp","seiko-opt.co.jp")</f>
        <v>seiko-opt.co.jp</v>
      </c>
      <c r="C18177" t="s">
        <v>461</v>
      </c>
      <c r="D18177" t="s">
        <v>837</v>
      </c>
      <c r="F18177">
        <v>4.1636090388810402E-8</v>
      </c>
      <c r="G18177">
        <v>1190481</v>
      </c>
      <c r="H18177">
        <v>14443402</v>
      </c>
      <c r="I18177">
        <v>1059698</v>
      </c>
      <c r="J18177">
        <v>3</v>
      </c>
    </row>
    <row r="18178" spans="1:10" x14ac:dyDescent="0.25">
      <c r="A18178" t="s">
        <v>193</v>
      </c>
      <c r="B18178" s="1" t="str">
        <f>HYPERLINK("http://kinnosuke.jp","kinnosuke.jp")</f>
        <v>kinnosuke.jp</v>
      </c>
      <c r="C18178" t="s">
        <v>461</v>
      </c>
      <c r="D18178" t="s">
        <v>837</v>
      </c>
      <c r="F18178">
        <v>1.25665659178292E-8</v>
      </c>
      <c r="G18178">
        <v>4849700</v>
      </c>
      <c r="H18178">
        <v>13248260</v>
      </c>
      <c r="I18178">
        <v>11096705</v>
      </c>
      <c r="J18178">
        <v>2</v>
      </c>
    </row>
    <row r="18179" spans="1:10" x14ac:dyDescent="0.25">
      <c r="A18179" t="s">
        <v>193</v>
      </c>
      <c r="B18179" s="1" t="str">
        <f>HYPERLINK("http://pentaxmedical.net","pentaxmedical.net")</f>
        <v>pentaxmedical.net</v>
      </c>
      <c r="C18179" t="s">
        <v>474</v>
      </c>
      <c r="F18179">
        <v>5.6069769259949401E-9</v>
      </c>
      <c r="G18179">
        <v>19790542</v>
      </c>
      <c r="H18179">
        <v>10851930</v>
      </c>
      <c r="I18179">
        <v>36815978</v>
      </c>
      <c r="J18179">
        <v>4</v>
      </c>
    </row>
    <row r="18180" spans="1:10" x14ac:dyDescent="0.25">
      <c r="A18180" t="s">
        <v>193</v>
      </c>
      <c r="B18180" s="1" t="str">
        <f>HYPERLINK("http://pentax.co.uk","pentax.co.uk")</f>
        <v>pentax.co.uk</v>
      </c>
      <c r="C18180" t="s">
        <v>506</v>
      </c>
      <c r="D18180" t="s">
        <v>880</v>
      </c>
      <c r="F18180">
        <v>1.9596761257382399E-8</v>
      </c>
      <c r="G18180">
        <v>2728606</v>
      </c>
      <c r="H18180">
        <v>14495880</v>
      </c>
      <c r="I18180">
        <v>873638</v>
      </c>
      <c r="J18180">
        <v>3</v>
      </c>
    </row>
    <row r="18181" spans="1:10" x14ac:dyDescent="0.25">
      <c r="A18181" t="s">
        <v>193</v>
      </c>
      <c r="B18181" s="1" t="str">
        <f>HYPERLINK("http://pentaxmedical.co.uk","pentaxmedical.co.uk")</f>
        <v>pentaxmedical.co.uk</v>
      </c>
      <c r="C18181" t="s">
        <v>506</v>
      </c>
      <c r="D18181" t="s">
        <v>880</v>
      </c>
      <c r="F18181">
        <v>5.7197627436461401E-9</v>
      </c>
      <c r="G18181">
        <v>18751298</v>
      </c>
      <c r="H18181">
        <v>12454481</v>
      </c>
      <c r="I18181">
        <v>17940358</v>
      </c>
      <c r="J18181">
        <v>4</v>
      </c>
    </row>
    <row r="18182" spans="1:10" x14ac:dyDescent="0.25">
      <c r="A18182" t="s">
        <v>193</v>
      </c>
      <c r="B18182" s="1" t="str">
        <f>HYPERLINK("http://hoyavision.us","hoyavision.us")</f>
        <v>hoyavision.us</v>
      </c>
      <c r="C18182" t="s">
        <v>522</v>
      </c>
      <c r="D18182" t="s">
        <v>891</v>
      </c>
      <c r="F18182">
        <v>1.04679267228751E-8</v>
      </c>
      <c r="G18182">
        <v>6297415</v>
      </c>
      <c r="H18182">
        <v>10985285</v>
      </c>
      <c r="I18182">
        <v>33834471</v>
      </c>
      <c r="J18182">
        <v>4</v>
      </c>
    </row>
    <row r="18183" spans="1:10" x14ac:dyDescent="0.25">
      <c r="A18183" t="s">
        <v>194</v>
      </c>
      <c r="B18183" s="1" t="str">
        <f>HYPERLINK("http://humana.at","humana.at")</f>
        <v>humana.at</v>
      </c>
      <c r="C18183" t="s">
        <v>419</v>
      </c>
      <c r="D18183" t="s">
        <v>801</v>
      </c>
      <c r="F18183">
        <v>1.2555620551401499E-8</v>
      </c>
      <c r="G18183">
        <v>4856426</v>
      </c>
      <c r="H18183">
        <v>14135221</v>
      </c>
      <c r="I18183">
        <v>1971922</v>
      </c>
      <c r="J18183">
        <v>5</v>
      </c>
    </row>
    <row r="18184" spans="1:10" x14ac:dyDescent="0.25">
      <c r="A18184" t="s">
        <v>194</v>
      </c>
      <c r="B18184" s="1" t="str">
        <f>HYPERLINK("http://anvitahealth.com","anvitahealth.com")</f>
        <v>anvitahealth.com</v>
      </c>
      <c r="C18184" t="s">
        <v>433</v>
      </c>
      <c r="F18184">
        <v>9.2465276503733802E-9</v>
      </c>
      <c r="G18184">
        <v>7643115</v>
      </c>
      <c r="H18184">
        <v>13774996</v>
      </c>
      <c r="I18184">
        <v>6591557</v>
      </c>
      <c r="J18184">
        <v>7</v>
      </c>
    </row>
    <row r="18185" spans="1:10" x14ac:dyDescent="0.25">
      <c r="A18185" t="s">
        <v>194</v>
      </c>
      <c r="B18185" s="1" t="str">
        <f>HYPERLINK("http://arcadianhealth.com","arcadianhealth.com")</f>
        <v>arcadianhealth.com</v>
      </c>
      <c r="C18185" t="s">
        <v>433</v>
      </c>
      <c r="F18185">
        <v>4.7651368601709902E-9</v>
      </c>
      <c r="G18185">
        <v>37587359</v>
      </c>
      <c r="H18185">
        <v>13763661</v>
      </c>
      <c r="I18185">
        <v>7869596</v>
      </c>
      <c r="J18185">
        <v>3</v>
      </c>
    </row>
    <row r="18186" spans="1:10" x14ac:dyDescent="0.25">
      <c r="A18186" t="s">
        <v>194</v>
      </c>
      <c r="B18186" s="1" t="str">
        <f>HYPERLINK("http://careplushealthplans.com","careplushealthplans.com")</f>
        <v>careplushealthplans.com</v>
      </c>
      <c r="C18186" t="s">
        <v>433</v>
      </c>
      <c r="E18186">
        <v>488508</v>
      </c>
      <c r="F18186">
        <v>7.1047068074868894E-8</v>
      </c>
      <c r="G18186">
        <v>595229</v>
      </c>
      <c r="H18186">
        <v>13592113</v>
      </c>
      <c r="I18186">
        <v>9664101</v>
      </c>
      <c r="J18186">
        <v>3</v>
      </c>
    </row>
    <row r="18187" spans="1:10" x14ac:dyDescent="0.25">
      <c r="A18187" t="s">
        <v>194</v>
      </c>
      <c r="B18187" s="1" t="str">
        <f>HYPERLINK("http://centerwellhomehealth.com","centerwellhomehealth.com")</f>
        <v>centerwellhomehealth.com</v>
      </c>
      <c r="C18187" t="s">
        <v>433</v>
      </c>
      <c r="F18187">
        <v>2.20461456154918E-8</v>
      </c>
      <c r="G18187">
        <v>2380715</v>
      </c>
      <c r="H18187">
        <v>13313111</v>
      </c>
      <c r="I18187">
        <v>10768017</v>
      </c>
      <c r="J18187">
        <v>4</v>
      </c>
    </row>
    <row r="18188" spans="1:10" x14ac:dyDescent="0.25">
      <c r="A18188" t="s">
        <v>194</v>
      </c>
      <c r="B18188" s="1" t="str">
        <f>HYPERLINK("http://certifydatasystems.com","certifydatasystems.com")</f>
        <v>certifydatasystems.com</v>
      </c>
      <c r="C18188" t="s">
        <v>433</v>
      </c>
      <c r="F18188">
        <v>5.2582576000555196E-9</v>
      </c>
      <c r="G18188">
        <v>24129494</v>
      </c>
      <c r="H18188">
        <v>13069936</v>
      </c>
      <c r="I18188">
        <v>12248458</v>
      </c>
      <c r="J18188">
        <v>3</v>
      </c>
    </row>
    <row r="18189" spans="1:10" x14ac:dyDescent="0.25">
      <c r="A18189" t="s">
        <v>194</v>
      </c>
      <c r="B18189" s="1" t="str">
        <f>HYPERLINK("http://cha-health.com","cha-health.com")</f>
        <v>cha-health.com</v>
      </c>
      <c r="C18189" t="s">
        <v>433</v>
      </c>
      <c r="F18189">
        <v>4.7822947193287698E-9</v>
      </c>
      <c r="G18189">
        <v>36863983</v>
      </c>
      <c r="H18189">
        <v>12676325</v>
      </c>
      <c r="I18189">
        <v>15548651</v>
      </c>
      <c r="J18189">
        <v>3</v>
      </c>
    </row>
    <row r="18190" spans="1:10" x14ac:dyDescent="0.25">
      <c r="A18190" t="s">
        <v>194</v>
      </c>
      <c r="B18190" s="1" t="str">
        <f>HYPERLINK("http://chmgroup.com","chmgroup.com")</f>
        <v>chmgroup.com</v>
      </c>
      <c r="C18190" t="s">
        <v>433</v>
      </c>
      <c r="J18190">
        <v>3</v>
      </c>
    </row>
    <row r="18191" spans="1:10" x14ac:dyDescent="0.25">
      <c r="A18191" t="s">
        <v>194</v>
      </c>
      <c r="B18191" s="1" t="str">
        <f>HYPERLINK("http://compbenefits.com","compbenefits.com")</f>
        <v>compbenefits.com</v>
      </c>
      <c r="C18191" t="s">
        <v>433</v>
      </c>
      <c r="F18191">
        <v>4.7929394993469901E-8</v>
      </c>
      <c r="G18191">
        <v>970480</v>
      </c>
      <c r="H18191">
        <v>12842293</v>
      </c>
      <c r="I18191">
        <v>14333736</v>
      </c>
      <c r="J18191">
        <v>3</v>
      </c>
    </row>
    <row r="18192" spans="1:10" x14ac:dyDescent="0.25">
      <c r="A18192" t="s">
        <v>194</v>
      </c>
      <c r="B18192" s="1" t="str">
        <f>HYPERLINK("http://enclarahealthcare.com","enclarahealthcare.com")</f>
        <v>enclarahealthcare.com</v>
      </c>
      <c r="C18192" t="s">
        <v>433</v>
      </c>
      <c r="F18192">
        <v>7.5654362376546994E-9</v>
      </c>
      <c r="G18192">
        <v>10873127</v>
      </c>
      <c r="H18192">
        <v>13282509</v>
      </c>
      <c r="I18192">
        <v>10905415</v>
      </c>
      <c r="J18192">
        <v>7</v>
      </c>
    </row>
    <row r="18193" spans="1:10" x14ac:dyDescent="0.25">
      <c r="A18193" t="s">
        <v>194</v>
      </c>
      <c r="B18193" s="1" t="str">
        <f>HYPERLINK("http://enclarapharmacia.com","enclarapharmacia.com")</f>
        <v>enclarapharmacia.com</v>
      </c>
      <c r="C18193" t="s">
        <v>433</v>
      </c>
      <c r="E18193">
        <v>518765</v>
      </c>
      <c r="F18193">
        <v>2.73802495123421E-8</v>
      </c>
      <c r="G18193">
        <v>1877523</v>
      </c>
      <c r="H18193">
        <v>12630274</v>
      </c>
      <c r="I18193">
        <v>15986733</v>
      </c>
      <c r="J18193">
        <v>3</v>
      </c>
    </row>
    <row r="18194" spans="1:10" x14ac:dyDescent="0.25">
      <c r="A18194" t="s">
        <v>194</v>
      </c>
      <c r="B18194" s="1" t="str">
        <f>HYPERLINK("http://healthfield.com","healthfield.com")</f>
        <v>healthfield.com</v>
      </c>
      <c r="C18194" t="s">
        <v>433</v>
      </c>
      <c r="J18194">
        <v>3</v>
      </c>
    </row>
    <row r="18195" spans="1:10" x14ac:dyDescent="0.25">
      <c r="A18195" t="s">
        <v>194</v>
      </c>
      <c r="B18195" s="1" t="str">
        <f>HYPERLINK("http://humana.com","humana.com")</f>
        <v>humana.com</v>
      </c>
      <c r="C18195" t="s">
        <v>433</v>
      </c>
      <c r="E18195">
        <v>9574</v>
      </c>
      <c r="F18195">
        <v>2.9886586335808101E-6</v>
      </c>
      <c r="G18195">
        <v>13013</v>
      </c>
      <c r="H18195">
        <v>17419116</v>
      </c>
      <c r="I18195">
        <v>17924</v>
      </c>
      <c r="J18195">
        <v>1</v>
      </c>
    </row>
    <row r="18196" spans="1:10" x14ac:dyDescent="0.25">
      <c r="A18196" t="s">
        <v>194</v>
      </c>
      <c r="B18196" s="1" t="str">
        <f>HYPERLINK("http://humanadental.com","humanadental.com")</f>
        <v>humanadental.com</v>
      </c>
      <c r="C18196" t="s">
        <v>433</v>
      </c>
      <c r="E18196">
        <v>423010</v>
      </c>
      <c r="F18196">
        <v>1.7149801281148001E-8</v>
      </c>
      <c r="G18196">
        <v>3249874</v>
      </c>
      <c r="H18196">
        <v>12366245</v>
      </c>
      <c r="I18196">
        <v>19477213</v>
      </c>
      <c r="J18196">
        <v>3</v>
      </c>
    </row>
    <row r="18197" spans="1:10" x14ac:dyDescent="0.25">
      <c r="A18197" t="s">
        <v>194</v>
      </c>
      <c r="B18197" s="1" t="str">
        <f>HYPERLINK("http://humanapharmacy.com","humanapharmacy.com")</f>
        <v>humanapharmacy.com</v>
      </c>
      <c r="C18197" t="s">
        <v>433</v>
      </c>
      <c r="E18197">
        <v>456022</v>
      </c>
      <c r="F18197">
        <v>5.0532771387613602E-8</v>
      </c>
      <c r="G18197">
        <v>908971</v>
      </c>
      <c r="H18197">
        <v>13296487</v>
      </c>
      <c r="I18197">
        <v>10846333</v>
      </c>
      <c r="J18197">
        <v>2</v>
      </c>
    </row>
    <row r="18198" spans="1:10" x14ac:dyDescent="0.25">
      <c r="A18198" t="s">
        <v>194</v>
      </c>
      <c r="B18198" s="1" t="str">
        <f>HYPERLINK("http://mccigroup.com","mccigroup.com")</f>
        <v>mccigroup.com</v>
      </c>
      <c r="C18198" t="s">
        <v>433</v>
      </c>
      <c r="F18198">
        <v>8.5414095799003202E-9</v>
      </c>
      <c r="G18198">
        <v>8766496</v>
      </c>
      <c r="H18198">
        <v>13035596</v>
      </c>
      <c r="I18198">
        <v>12647261</v>
      </c>
      <c r="J18198">
        <v>3</v>
      </c>
    </row>
    <row r="18199" spans="1:10" x14ac:dyDescent="0.25">
      <c r="A18199" t="s">
        <v>194</v>
      </c>
      <c r="B18199" s="1" t="str">
        <f>HYPERLINK("http://mdcarehealthplan.com","mdcarehealthplan.com")</f>
        <v>mdcarehealthplan.com</v>
      </c>
      <c r="C18199" t="s">
        <v>433</v>
      </c>
      <c r="F18199">
        <v>4.5856105494219997E-9</v>
      </c>
      <c r="G18199">
        <v>48787604</v>
      </c>
      <c r="H18199">
        <v>13763634</v>
      </c>
      <c r="I18199">
        <v>8377666</v>
      </c>
      <c r="J18199">
        <v>4</v>
      </c>
    </row>
    <row r="18200" spans="1:10" x14ac:dyDescent="0.25">
      <c r="A18200" t="s">
        <v>194</v>
      </c>
      <c r="B18200" s="1" t="str">
        <f>HYPERLINK("http://metcare.com","metcare.com")</f>
        <v>metcare.com</v>
      </c>
      <c r="C18200" t="s">
        <v>433</v>
      </c>
      <c r="F18200">
        <v>6.77633818512383E-9</v>
      </c>
      <c r="G18200">
        <v>13039549</v>
      </c>
      <c r="H18200">
        <v>13764033</v>
      </c>
      <c r="I18200">
        <v>7418887</v>
      </c>
      <c r="J18200">
        <v>3</v>
      </c>
    </row>
    <row r="18201" spans="1:10" x14ac:dyDescent="0.25">
      <c r="A18201" t="s">
        <v>194</v>
      </c>
      <c r="B18201" s="1" t="str">
        <f>HYPERLINK("http://transcendinsights.com","transcendinsights.com")</f>
        <v>transcendinsights.com</v>
      </c>
      <c r="C18201" t="s">
        <v>433</v>
      </c>
      <c r="F18201">
        <v>5.3561150382380901E-8</v>
      </c>
      <c r="G18201">
        <v>849194</v>
      </c>
      <c r="H18201">
        <v>13844050</v>
      </c>
      <c r="I18201">
        <v>6064559</v>
      </c>
      <c r="J18201">
        <v>7</v>
      </c>
    </row>
    <row r="18202" spans="1:10" x14ac:dyDescent="0.25">
      <c r="A18202" t="s">
        <v>194</v>
      </c>
      <c r="B18202" s="1" t="str">
        <f>HYPERLINK("http://humana-second-hand.de","humana-second-hand.de")</f>
        <v>humana-second-hand.de</v>
      </c>
      <c r="C18202" t="s">
        <v>436</v>
      </c>
      <c r="D18202" t="s">
        <v>815</v>
      </c>
      <c r="F18202">
        <v>3.0641130828469199E-8</v>
      </c>
      <c r="G18202">
        <v>1680973</v>
      </c>
      <c r="H18202">
        <v>14389249</v>
      </c>
      <c r="I18202">
        <v>1171130</v>
      </c>
      <c r="J18202">
        <v>5</v>
      </c>
    </row>
    <row r="18203" spans="1:10" x14ac:dyDescent="0.25">
      <c r="A18203" t="s">
        <v>194</v>
      </c>
      <c r="B18203" s="1" t="str">
        <f>HYPERLINK("http://humanae.ee","humanae.ee")</f>
        <v>humanae.ee</v>
      </c>
      <c r="C18203" t="s">
        <v>441</v>
      </c>
      <c r="D18203" t="s">
        <v>820</v>
      </c>
      <c r="F18203">
        <v>1.4758665992198599E-8</v>
      </c>
      <c r="G18203">
        <v>3921064</v>
      </c>
      <c r="H18203">
        <v>14120155</v>
      </c>
      <c r="I18203">
        <v>2380741</v>
      </c>
      <c r="J18203">
        <v>5</v>
      </c>
    </row>
    <row r="18204" spans="1:10" x14ac:dyDescent="0.25">
      <c r="A18204" t="s">
        <v>194</v>
      </c>
      <c r="B18204" s="1" t="str">
        <f>HYPERLINK("http://onehome.health","onehome.health")</f>
        <v>onehome.health</v>
      </c>
      <c r="C18204" t="s">
        <v>449</v>
      </c>
      <c r="F18204">
        <v>1.25677229300115E-8</v>
      </c>
      <c r="G18204">
        <v>4849118</v>
      </c>
      <c r="H18204">
        <v>12896323</v>
      </c>
      <c r="I18204">
        <v>13896091</v>
      </c>
      <c r="J18204">
        <v>6</v>
      </c>
    </row>
    <row r="18205" spans="1:10" x14ac:dyDescent="0.25">
      <c r="A18205" t="s">
        <v>194</v>
      </c>
      <c r="B18205" s="1" t="str">
        <f>HYPERLINK("http://humanahasznaltruha.hu","humanahasznaltruha.hu")</f>
        <v>humanahasznaltruha.hu</v>
      </c>
      <c r="C18205" t="s">
        <v>453</v>
      </c>
      <c r="D18205" t="s">
        <v>830</v>
      </c>
      <c r="F18205">
        <v>6.2272487498563502E-9</v>
      </c>
      <c r="G18205">
        <v>15388823</v>
      </c>
      <c r="H18205">
        <v>13763817</v>
      </c>
      <c r="I18205">
        <v>7587951</v>
      </c>
      <c r="J18205">
        <v>5</v>
      </c>
    </row>
    <row r="18206" spans="1:10" x14ac:dyDescent="0.25">
      <c r="A18206" t="s">
        <v>194</v>
      </c>
      <c r="B18206" s="1" t="str">
        <f>HYPERLINK("http://humana.lt","humana.lt")</f>
        <v>humana.lt</v>
      </c>
      <c r="C18206" t="s">
        <v>467</v>
      </c>
      <c r="D18206" t="s">
        <v>843</v>
      </c>
      <c r="F18206">
        <v>9.7079231429897695E-9</v>
      </c>
      <c r="G18206">
        <v>7071443</v>
      </c>
      <c r="H18206">
        <v>14120480</v>
      </c>
      <c r="I18206">
        <v>2348871</v>
      </c>
      <c r="J18206">
        <v>5</v>
      </c>
    </row>
    <row r="18207" spans="1:10" x14ac:dyDescent="0.25">
      <c r="A18207" t="s">
        <v>194</v>
      </c>
      <c r="B18207" s="1" t="str">
        <f>HYPERLINK("http://humanalatvia.lv","humanalatvia.lv")</f>
        <v>humanalatvia.lv</v>
      </c>
      <c r="C18207" t="s">
        <v>468</v>
      </c>
      <c r="D18207" t="s">
        <v>844</v>
      </c>
      <c r="F18207">
        <v>6.0799063065841803E-9</v>
      </c>
      <c r="G18207">
        <v>16208009</v>
      </c>
      <c r="H18207">
        <v>11602426</v>
      </c>
      <c r="I18207">
        <v>29928031</v>
      </c>
      <c r="J18207">
        <v>5</v>
      </c>
    </row>
    <row r="18208" spans="1:10" x14ac:dyDescent="0.25">
      <c r="A18208" t="s">
        <v>194</v>
      </c>
      <c r="B18208" s="1" t="str">
        <f>HYPERLINK("http://onehomecaresolutions.net","onehomecaresolutions.net")</f>
        <v>onehomecaresolutions.net</v>
      </c>
      <c r="C18208" t="s">
        <v>474</v>
      </c>
      <c r="F18208">
        <v>5.1299577400532301E-9</v>
      </c>
      <c r="G18208">
        <v>26456646</v>
      </c>
      <c r="H18208">
        <v>10498779</v>
      </c>
      <c r="I18208">
        <v>50480471</v>
      </c>
      <c r="J18208">
        <v>3</v>
      </c>
    </row>
    <row r="18209" spans="1:10" x14ac:dyDescent="0.25">
      <c r="A18209" t="s">
        <v>194</v>
      </c>
      <c r="B18209" s="1" t="str">
        <f>HYPERLINK("http://humana.org","humana.org")</f>
        <v>humana.org</v>
      </c>
      <c r="C18209" t="s">
        <v>481</v>
      </c>
      <c r="F18209">
        <v>5.4412683322668599E-8</v>
      </c>
      <c r="G18209">
        <v>829668</v>
      </c>
      <c r="H18209">
        <v>14512874</v>
      </c>
      <c r="I18209">
        <v>818312</v>
      </c>
      <c r="J18209">
        <v>6</v>
      </c>
    </row>
    <row r="18210" spans="1:10" x14ac:dyDescent="0.25">
      <c r="A18210" t="s">
        <v>194</v>
      </c>
      <c r="B18210" s="1" t="str">
        <f>HYPERLINK("http://humana-bulgaria.org","humana-bulgaria.org")</f>
        <v>humana-bulgaria.org</v>
      </c>
      <c r="C18210" t="s">
        <v>481</v>
      </c>
      <c r="F18210">
        <v>5.07174951975049E-9</v>
      </c>
      <c r="G18210">
        <v>27753635</v>
      </c>
      <c r="H18210">
        <v>12287394</v>
      </c>
      <c r="I18210">
        <v>21167607</v>
      </c>
      <c r="J18210">
        <v>5</v>
      </c>
    </row>
    <row r="18211" spans="1:10" x14ac:dyDescent="0.25">
      <c r="A18211" t="s">
        <v>194</v>
      </c>
      <c r="B18211" s="1" t="str">
        <f>HYPERLINK("http://humana-spain.org","humana-spain.org")</f>
        <v>humana-spain.org</v>
      </c>
      <c r="C18211" t="s">
        <v>481</v>
      </c>
      <c r="E18211">
        <v>969241</v>
      </c>
      <c r="F18211">
        <v>8.4119878289159706E-8</v>
      </c>
      <c r="G18211">
        <v>491768</v>
      </c>
      <c r="H18211">
        <v>14802261</v>
      </c>
      <c r="I18211">
        <v>547776</v>
      </c>
      <c r="J18211">
        <v>5</v>
      </c>
    </row>
    <row r="18212" spans="1:10" x14ac:dyDescent="0.25">
      <c r="A18212" t="s">
        <v>194</v>
      </c>
      <c r="B18212" s="1" t="str">
        <f>HYPERLINK("http://icare-wi.org","icare-wi.org")</f>
        <v>icare-wi.org</v>
      </c>
      <c r="C18212" t="s">
        <v>481</v>
      </c>
      <c r="F18212">
        <v>4.43568229225373E-8</v>
      </c>
      <c r="G18212">
        <v>1069649</v>
      </c>
      <c r="H18212">
        <v>16752105</v>
      </c>
      <c r="I18212">
        <v>255685</v>
      </c>
      <c r="J18212">
        <v>6</v>
      </c>
    </row>
    <row r="18213" spans="1:10" x14ac:dyDescent="0.25">
      <c r="A18213" t="s">
        <v>194</v>
      </c>
      <c r="B18213" s="1" t="str">
        <f>HYPERLINK("http://icarehealthplan.org","icarehealthplan.org")</f>
        <v>icarehealthplan.org</v>
      </c>
      <c r="C18213" t="s">
        <v>481</v>
      </c>
      <c r="F18213">
        <v>2.8156116549882101E-8</v>
      </c>
      <c r="G18213">
        <v>1827532</v>
      </c>
      <c r="H18213">
        <v>12696524</v>
      </c>
      <c r="I18213">
        <v>15378563</v>
      </c>
      <c r="J18213">
        <v>3</v>
      </c>
    </row>
    <row r="18214" spans="1:10" x14ac:dyDescent="0.25">
      <c r="A18214" t="s">
        <v>194</v>
      </c>
      <c r="B18214" s="1" t="str">
        <f>HYPERLINK("http://humana.pr","humana.pr")</f>
        <v>humana.pr</v>
      </c>
      <c r="C18214" t="s">
        <v>487</v>
      </c>
      <c r="D18214" t="s">
        <v>861</v>
      </c>
      <c r="F18214">
        <v>1.3900839507198801E-8</v>
      </c>
      <c r="G18214">
        <v>4240705</v>
      </c>
      <c r="H18214">
        <v>12761573</v>
      </c>
      <c r="I18214">
        <v>14942309</v>
      </c>
      <c r="J18214">
        <v>2</v>
      </c>
    </row>
    <row r="18215" spans="1:10" x14ac:dyDescent="0.25">
      <c r="A18215" t="s">
        <v>194</v>
      </c>
      <c r="B18215" s="1" t="str">
        <f>HYPERLINK("http://humana-romania.ro","humana-romania.ro")</f>
        <v>humana-romania.ro</v>
      </c>
      <c r="C18215" t="s">
        <v>491</v>
      </c>
      <c r="D18215" t="s">
        <v>865</v>
      </c>
      <c r="F18215">
        <v>4.9297658969287702E-9</v>
      </c>
      <c r="G18215">
        <v>31385910</v>
      </c>
      <c r="H18215">
        <v>11313964</v>
      </c>
      <c r="I18215">
        <v>30538021</v>
      </c>
      <c r="J18215">
        <v>5</v>
      </c>
    </row>
    <row r="18216" spans="1:10" x14ac:dyDescent="0.25">
      <c r="A18216" t="s">
        <v>194</v>
      </c>
      <c r="B18216" s="1" t="str">
        <f>HYPERLINK("http://humana.com.ua","humana.com.ua")</f>
        <v>humana.com.ua</v>
      </c>
      <c r="C18216" t="s">
        <v>505</v>
      </c>
      <c r="D18216" t="s">
        <v>879</v>
      </c>
      <c r="F18216">
        <v>6.8783871982276297E-9</v>
      </c>
      <c r="G18216">
        <v>12701884</v>
      </c>
      <c r="H18216">
        <v>10989053</v>
      </c>
      <c r="I18216">
        <v>33766919</v>
      </c>
      <c r="J18216">
        <v>5</v>
      </c>
    </row>
    <row r="18217" spans="1:10" x14ac:dyDescent="0.25">
      <c r="A18217" t="s">
        <v>195</v>
      </c>
      <c r="B18217" s="1" t="str">
        <f>HYPERLINK("http://icicibank.ae","icicibank.ae")</f>
        <v>icicibank.ae</v>
      </c>
      <c r="C18217" t="s">
        <v>417</v>
      </c>
      <c r="D18217" t="s">
        <v>799</v>
      </c>
      <c r="F18217">
        <v>8.5568622578815804E-9</v>
      </c>
      <c r="G18217">
        <v>8735568</v>
      </c>
      <c r="H18217">
        <v>12227549</v>
      </c>
      <c r="I18217">
        <v>22568202</v>
      </c>
      <c r="J18217">
        <v>2</v>
      </c>
    </row>
    <row r="18218" spans="1:10" x14ac:dyDescent="0.25">
      <c r="A18218" t="s">
        <v>195</v>
      </c>
      <c r="B18218" s="1" t="str">
        <f>HYPERLINK("http://icicibank.bh","icicibank.bh")</f>
        <v>icicibank.bh</v>
      </c>
      <c r="C18218" t="s">
        <v>580</v>
      </c>
      <c r="D18218" t="s">
        <v>922</v>
      </c>
      <c r="F18218">
        <v>1.3579783759850799E-8</v>
      </c>
      <c r="G18218">
        <v>4370189</v>
      </c>
      <c r="H18218">
        <v>12930189</v>
      </c>
      <c r="I18218">
        <v>13366960</v>
      </c>
      <c r="J18218">
        <v>2</v>
      </c>
    </row>
    <row r="18219" spans="1:10" x14ac:dyDescent="0.25">
      <c r="A18219" t="s">
        <v>195</v>
      </c>
      <c r="B18219" s="1" t="str">
        <f>HYPERLINK("http://icicibank.ca","icicibank.ca")</f>
        <v>icicibank.ca</v>
      </c>
      <c r="C18219" t="s">
        <v>428</v>
      </c>
      <c r="D18219" t="s">
        <v>809</v>
      </c>
      <c r="E18219">
        <v>642493</v>
      </c>
      <c r="F18219">
        <v>4.4756960904798902E-8</v>
      </c>
      <c r="G18219">
        <v>1056931</v>
      </c>
      <c r="H18219">
        <v>14500530</v>
      </c>
      <c r="I18219">
        <v>852990</v>
      </c>
      <c r="J18219">
        <v>2</v>
      </c>
    </row>
    <row r="18220" spans="1:10" x14ac:dyDescent="0.25">
      <c r="A18220" t="s">
        <v>195</v>
      </c>
      <c r="B18220" s="1" t="str">
        <f>HYPERLINK("http://icicibank.com","icicibank.com")</f>
        <v>icicibank.com</v>
      </c>
      <c r="C18220" t="s">
        <v>433</v>
      </c>
      <c r="E18220">
        <v>1347</v>
      </c>
      <c r="F18220">
        <v>1.5348148319217701E-6</v>
      </c>
      <c r="G18220">
        <v>25548</v>
      </c>
      <c r="H18220">
        <v>17334738</v>
      </c>
      <c r="I18220">
        <v>24506</v>
      </c>
      <c r="J18220">
        <v>1</v>
      </c>
    </row>
    <row r="18221" spans="1:10" x14ac:dyDescent="0.25">
      <c r="A18221" t="s">
        <v>195</v>
      </c>
      <c r="B18221" s="1" t="str">
        <f>HYPERLINK("http://icicibankusa.com","icicibankusa.com")</f>
        <v>icicibankusa.com</v>
      </c>
      <c r="C18221" t="s">
        <v>433</v>
      </c>
      <c r="F18221">
        <v>1.5527121937017102E-8</v>
      </c>
      <c r="G18221">
        <v>3676858</v>
      </c>
      <c r="H18221">
        <v>12944246</v>
      </c>
      <c r="I18221">
        <v>13249683</v>
      </c>
      <c r="J18221">
        <v>3</v>
      </c>
    </row>
    <row r="18222" spans="1:10" x14ac:dyDescent="0.25">
      <c r="A18222" t="s">
        <v>195</v>
      </c>
      <c r="B18222" s="1" t="str">
        <f>HYPERLINK("http://icicicareers.com","icicicareers.com")</f>
        <v>icicicareers.com</v>
      </c>
      <c r="C18222" t="s">
        <v>433</v>
      </c>
      <c r="E18222">
        <v>247432</v>
      </c>
      <c r="F18222">
        <v>3.56922525546982E-8</v>
      </c>
      <c r="G18222">
        <v>1459507</v>
      </c>
      <c r="H18222">
        <v>14046182</v>
      </c>
      <c r="I18222">
        <v>3899969</v>
      </c>
      <c r="J18222">
        <v>2</v>
      </c>
    </row>
    <row r="18223" spans="1:10" x14ac:dyDescent="0.25">
      <c r="A18223" t="s">
        <v>195</v>
      </c>
      <c r="B18223" s="1" t="str">
        <f>HYPERLINK("http://icicidirect.com","icicidirect.com")</f>
        <v>icicidirect.com</v>
      </c>
      <c r="C18223" t="s">
        <v>433</v>
      </c>
      <c r="E18223">
        <v>13903</v>
      </c>
      <c r="F18223">
        <v>1.84217253844716E-7</v>
      </c>
      <c r="G18223">
        <v>209321</v>
      </c>
      <c r="H18223">
        <v>15127098</v>
      </c>
      <c r="I18223">
        <v>402759</v>
      </c>
      <c r="J18223">
        <v>2</v>
      </c>
    </row>
    <row r="18224" spans="1:10" x14ac:dyDescent="0.25">
      <c r="A18224" t="s">
        <v>195</v>
      </c>
      <c r="B18224" s="1" t="str">
        <f>HYPERLINK("http://icicihfc.com","icicihfc.com")</f>
        <v>icicihfc.com</v>
      </c>
      <c r="C18224" t="s">
        <v>433</v>
      </c>
      <c r="E18224">
        <v>971918</v>
      </c>
      <c r="F18224">
        <v>9.6586895688806299E-8</v>
      </c>
      <c r="G18224">
        <v>418582</v>
      </c>
      <c r="H18224">
        <v>14562710</v>
      </c>
      <c r="I18224">
        <v>743488</v>
      </c>
      <c r="J18224">
        <v>3</v>
      </c>
    </row>
    <row r="18225" spans="1:10" x14ac:dyDescent="0.25">
      <c r="A18225" t="s">
        <v>195</v>
      </c>
      <c r="B18225" s="1" t="str">
        <f>HYPERLINK("http://icicilombard.com","icicilombard.com")</f>
        <v>icicilombard.com</v>
      </c>
      <c r="C18225" t="s">
        <v>433</v>
      </c>
      <c r="E18225">
        <v>50734</v>
      </c>
      <c r="F18225">
        <v>3.4582863182969601E-7</v>
      </c>
      <c r="G18225">
        <v>108008</v>
      </c>
      <c r="H18225">
        <v>17221088</v>
      </c>
      <c r="I18225">
        <v>38273</v>
      </c>
      <c r="J18225">
        <v>3</v>
      </c>
    </row>
    <row r="18226" spans="1:10" x14ac:dyDescent="0.25">
      <c r="A18226" t="s">
        <v>195</v>
      </c>
      <c r="B18226" s="1" t="str">
        <f>HYPERLINK("http://icicipruamc.com","icicipruamc.com")</f>
        <v>icicipruamc.com</v>
      </c>
      <c r="C18226" t="s">
        <v>433</v>
      </c>
      <c r="E18226">
        <v>72474</v>
      </c>
      <c r="F18226">
        <v>2.1918739256899299E-7</v>
      </c>
      <c r="G18226">
        <v>171992</v>
      </c>
      <c r="H18226">
        <v>17074934</v>
      </c>
      <c r="I18226">
        <v>69612</v>
      </c>
      <c r="J18226">
        <v>3</v>
      </c>
    </row>
    <row r="18227" spans="1:10" x14ac:dyDescent="0.25">
      <c r="A18227" t="s">
        <v>195</v>
      </c>
      <c r="B18227" s="1" t="str">
        <f>HYPERLINK("http://iciciprulife.com","iciciprulife.com")</f>
        <v>iciciprulife.com</v>
      </c>
      <c r="C18227" t="s">
        <v>433</v>
      </c>
      <c r="E18227">
        <v>48059</v>
      </c>
      <c r="F18227">
        <v>2.21163145084227E-7</v>
      </c>
      <c r="G18227">
        <v>170438</v>
      </c>
      <c r="H18227">
        <v>17020598</v>
      </c>
      <c r="I18227">
        <v>89401</v>
      </c>
      <c r="J18227">
        <v>3</v>
      </c>
    </row>
    <row r="18228" spans="1:10" x14ac:dyDescent="0.25">
      <c r="A18228" t="s">
        <v>195</v>
      </c>
      <c r="B18228" s="1" t="str">
        <f>HYPERLINK("http://icicisecurities.com","icicisecurities.com")</f>
        <v>icicisecurities.com</v>
      </c>
      <c r="C18228" t="s">
        <v>433</v>
      </c>
      <c r="E18228">
        <v>316291</v>
      </c>
      <c r="F18228">
        <v>8.2326707763478695E-8</v>
      </c>
      <c r="G18228">
        <v>506771</v>
      </c>
      <c r="H18228">
        <v>14529872</v>
      </c>
      <c r="I18228">
        <v>787847</v>
      </c>
      <c r="J18228">
        <v>2</v>
      </c>
    </row>
    <row r="18229" spans="1:10" x14ac:dyDescent="0.25">
      <c r="A18229" t="s">
        <v>195</v>
      </c>
      <c r="B18229" s="1" t="str">
        <f>HYPERLINK("http://icicisecuritiespd.com","icicisecuritiespd.com")</f>
        <v>icicisecuritiespd.com</v>
      </c>
      <c r="C18229" t="s">
        <v>433</v>
      </c>
      <c r="F18229">
        <v>1.5700082499221901E-8</v>
      </c>
      <c r="G18229">
        <v>3627422</v>
      </c>
      <c r="H18229">
        <v>12505504</v>
      </c>
      <c r="I18229">
        <v>17289607</v>
      </c>
      <c r="J18229">
        <v>3</v>
      </c>
    </row>
    <row r="18230" spans="1:10" x14ac:dyDescent="0.25">
      <c r="A18230" t="s">
        <v>195</v>
      </c>
      <c r="B18230" s="1" t="str">
        <f>HYPERLINK("http://iciciventure.com","iciciventure.com")</f>
        <v>iciciventure.com</v>
      </c>
      <c r="C18230" t="s">
        <v>433</v>
      </c>
      <c r="F18230">
        <v>2.2599241829923001E-8</v>
      </c>
      <c r="G18230">
        <v>2317568</v>
      </c>
      <c r="H18230">
        <v>12823362</v>
      </c>
      <c r="I18230">
        <v>14485078</v>
      </c>
      <c r="J18230">
        <v>4</v>
      </c>
    </row>
    <row r="18231" spans="1:10" x14ac:dyDescent="0.25">
      <c r="A18231" t="s">
        <v>195</v>
      </c>
      <c r="B18231" s="1" t="str">
        <f>HYPERLINK("http://isecpwm.com","isecpwm.com")</f>
        <v>isecpwm.com</v>
      </c>
      <c r="C18231" t="s">
        <v>433</v>
      </c>
      <c r="F18231">
        <v>5.5900773267345896E-9</v>
      </c>
      <c r="G18231">
        <v>19954037</v>
      </c>
      <c r="H18231">
        <v>11050587</v>
      </c>
      <c r="I18231">
        <v>32791509</v>
      </c>
      <c r="J18231">
        <v>2</v>
      </c>
    </row>
    <row r="18232" spans="1:10" x14ac:dyDescent="0.25">
      <c r="A18232" t="s">
        <v>195</v>
      </c>
      <c r="B18232" s="1" t="str">
        <f>HYPERLINK("http://thebloggallery.com","thebloggallery.com")</f>
        <v>thebloggallery.com</v>
      </c>
      <c r="C18232" t="s">
        <v>433</v>
      </c>
      <c r="F18232">
        <v>4.5393523298972396E-9</v>
      </c>
      <c r="G18232">
        <v>53410693</v>
      </c>
      <c r="H18232">
        <v>13763633</v>
      </c>
      <c r="I18232">
        <v>9025750</v>
      </c>
      <c r="J18232">
        <v>4</v>
      </c>
    </row>
    <row r="18233" spans="1:10" x14ac:dyDescent="0.25">
      <c r="A18233" t="s">
        <v>195</v>
      </c>
      <c r="B18233" s="1" t="str">
        <f>HYPERLINK("http://yohov.com","yohov.com")</f>
        <v>yohov.com</v>
      </c>
      <c r="C18233" t="s">
        <v>433</v>
      </c>
      <c r="F18233">
        <v>5.6143934721327099E-9</v>
      </c>
      <c r="G18233">
        <v>19720163</v>
      </c>
      <c r="H18233">
        <v>10388184</v>
      </c>
      <c r="I18233">
        <v>54417691</v>
      </c>
      <c r="J18233">
        <v>4</v>
      </c>
    </row>
    <row r="18234" spans="1:10" x14ac:dyDescent="0.25">
      <c r="A18234" t="s">
        <v>195</v>
      </c>
      <c r="B18234" s="1" t="str">
        <f>HYPERLINK("http://icicibank.de","icicibank.de")</f>
        <v>icicibank.de</v>
      </c>
      <c r="C18234" t="s">
        <v>436</v>
      </c>
      <c r="D18234" t="s">
        <v>815</v>
      </c>
      <c r="F18234">
        <v>2.1611120354534699E-8</v>
      </c>
      <c r="G18234">
        <v>2435219</v>
      </c>
      <c r="H18234">
        <v>13077780</v>
      </c>
      <c r="I18234">
        <v>12199691</v>
      </c>
      <c r="J18234">
        <v>2</v>
      </c>
    </row>
    <row r="18235" spans="1:10" x14ac:dyDescent="0.25">
      <c r="A18235" t="s">
        <v>195</v>
      </c>
      <c r="B18235" s="1" t="str">
        <f>HYPERLINK("http://icicibank.hk","icicibank.hk")</f>
        <v>icicibank.hk</v>
      </c>
      <c r="C18235" t="s">
        <v>450</v>
      </c>
      <c r="D18235" t="s">
        <v>827</v>
      </c>
      <c r="F18235">
        <v>1.5553209590296299E-8</v>
      </c>
      <c r="G18235">
        <v>3669318</v>
      </c>
      <c r="H18235">
        <v>12281326</v>
      </c>
      <c r="I18235">
        <v>21281595</v>
      </c>
      <c r="J18235">
        <v>2</v>
      </c>
    </row>
    <row r="18236" spans="1:10" x14ac:dyDescent="0.25">
      <c r="A18236" t="s">
        <v>195</v>
      </c>
      <c r="B18236" s="1" t="str">
        <f>HYPERLINK("http://icicibank.co.in","icicibank.co.in")</f>
        <v>icicibank.co.in</v>
      </c>
      <c r="C18236" t="s">
        <v>457</v>
      </c>
      <c r="D18236" t="s">
        <v>834</v>
      </c>
      <c r="E18236">
        <v>387346</v>
      </c>
      <c r="F18236">
        <v>3.7692034074279398E-8</v>
      </c>
      <c r="G18236">
        <v>1372950</v>
      </c>
      <c r="H18236">
        <v>13770067</v>
      </c>
      <c r="I18236">
        <v>6746546</v>
      </c>
      <c r="J18236">
        <v>2</v>
      </c>
    </row>
    <row r="18237" spans="1:10" x14ac:dyDescent="0.25">
      <c r="A18237" t="s">
        <v>195</v>
      </c>
      <c r="B18237" s="1" t="str">
        <f>HYPERLINK("http://icicibank.com.sg","icicibank.com.sg")</f>
        <v>icicibank.com.sg</v>
      </c>
      <c r="C18237" t="s">
        <v>496</v>
      </c>
      <c r="D18237" t="s">
        <v>870</v>
      </c>
      <c r="F18237">
        <v>1.7201285509475598E-8</v>
      </c>
      <c r="G18237">
        <v>3225130</v>
      </c>
      <c r="H18237">
        <v>13005121</v>
      </c>
      <c r="I18237">
        <v>12771948</v>
      </c>
      <c r="J18237">
        <v>2</v>
      </c>
    </row>
    <row r="18238" spans="1:10" x14ac:dyDescent="0.25">
      <c r="A18238" t="s">
        <v>195</v>
      </c>
      <c r="B18238" s="1" t="str">
        <f>HYPERLINK("http://icicibank.co.uk","icicibank.co.uk")</f>
        <v>icicibank.co.uk</v>
      </c>
      <c r="C18238" t="s">
        <v>506</v>
      </c>
      <c r="D18238" t="s">
        <v>880</v>
      </c>
      <c r="E18238">
        <v>561719</v>
      </c>
      <c r="F18238">
        <v>2.2154452771551201E-8</v>
      </c>
      <c r="G18238">
        <v>2368058</v>
      </c>
      <c r="H18238">
        <v>14261312</v>
      </c>
      <c r="I18238">
        <v>1417464</v>
      </c>
      <c r="J18238">
        <v>2</v>
      </c>
    </row>
    <row r="18239" spans="1:10" x14ac:dyDescent="0.25">
      <c r="A18239" t="s">
        <v>195</v>
      </c>
      <c r="B18239" s="1" t="str">
        <f>HYPERLINK("http://icicibank.co.za","icicibank.co.za")</f>
        <v>icicibank.co.za</v>
      </c>
      <c r="C18239" t="s">
        <v>510</v>
      </c>
      <c r="D18239" t="s">
        <v>884</v>
      </c>
      <c r="F18239">
        <v>6.1786345479476702E-9</v>
      </c>
      <c r="G18239">
        <v>15647059</v>
      </c>
      <c r="H18239">
        <v>12166179</v>
      </c>
      <c r="I18239">
        <v>24169510</v>
      </c>
      <c r="J18239">
        <v>2</v>
      </c>
    </row>
    <row r="18240" spans="1:10" x14ac:dyDescent="0.25">
      <c r="A18240" t="s">
        <v>196</v>
      </c>
      <c r="B18240" s="1" t="str">
        <f>HYPERLINK("http://idexx.at","idexx.at")</f>
        <v>idexx.at</v>
      </c>
      <c r="C18240" t="s">
        <v>419</v>
      </c>
      <c r="D18240" t="s">
        <v>801</v>
      </c>
      <c r="F18240">
        <v>1.8606595640218599E-8</v>
      </c>
      <c r="G18240">
        <v>2906096</v>
      </c>
      <c r="H18240">
        <v>12149358</v>
      </c>
      <c r="I18240">
        <v>24638941</v>
      </c>
      <c r="J18240">
        <v>2</v>
      </c>
    </row>
    <row r="18241" spans="1:10" x14ac:dyDescent="0.25">
      <c r="A18241" t="s">
        <v>196</v>
      </c>
      <c r="B18241" s="1" t="str">
        <f>HYPERLINK("http://idexx.com.au","idexx.com.au")</f>
        <v>idexx.com.au</v>
      </c>
      <c r="C18241" t="s">
        <v>420</v>
      </c>
      <c r="D18241" t="s">
        <v>802</v>
      </c>
      <c r="E18241">
        <v>912828</v>
      </c>
      <c r="F18241">
        <v>2.6217070888610501E-8</v>
      </c>
      <c r="G18241">
        <v>1964714</v>
      </c>
      <c r="H18241">
        <v>12998379</v>
      </c>
      <c r="I18241">
        <v>12805728</v>
      </c>
      <c r="J18241">
        <v>2</v>
      </c>
    </row>
    <row r="18242" spans="1:10" x14ac:dyDescent="0.25">
      <c r="A18242" t="s">
        <v>196</v>
      </c>
      <c r="B18242" s="1" t="str">
        <f>HYPERLINK("http://idexx.com.br","idexx.com.br")</f>
        <v>idexx.com.br</v>
      </c>
      <c r="C18242" t="s">
        <v>425</v>
      </c>
      <c r="D18242" t="s">
        <v>806</v>
      </c>
      <c r="F18242">
        <v>1.18290333756495E-8</v>
      </c>
      <c r="G18242">
        <v>5283596</v>
      </c>
      <c r="H18242">
        <v>12512837</v>
      </c>
      <c r="I18242">
        <v>17218572</v>
      </c>
      <c r="J18242">
        <v>2</v>
      </c>
    </row>
    <row r="18243" spans="1:10" x14ac:dyDescent="0.25">
      <c r="A18243" t="s">
        <v>196</v>
      </c>
      <c r="B18243" s="1" t="str">
        <f>HYPERLINK("http://idexx.ca","idexx.ca")</f>
        <v>idexx.ca</v>
      </c>
      <c r="C18243" t="s">
        <v>428</v>
      </c>
      <c r="D18243" t="s">
        <v>809</v>
      </c>
      <c r="F18243">
        <v>1.1790938113490401E-8</v>
      </c>
      <c r="G18243">
        <v>5307705</v>
      </c>
      <c r="H18243">
        <v>12482193</v>
      </c>
      <c r="I18243">
        <v>17578656</v>
      </c>
      <c r="J18243">
        <v>2</v>
      </c>
    </row>
    <row r="18244" spans="1:10" x14ac:dyDescent="0.25">
      <c r="A18244" t="s">
        <v>196</v>
      </c>
      <c r="B18244" s="1" t="str">
        <f>HYPERLINK("http://diavet.ch","diavet.ch")</f>
        <v>diavet.ch</v>
      </c>
      <c r="C18244" t="s">
        <v>429</v>
      </c>
      <c r="D18244" t="s">
        <v>810</v>
      </c>
      <c r="F18244">
        <v>5.0630042183834498E-9</v>
      </c>
      <c r="G18244">
        <v>27939499</v>
      </c>
      <c r="H18244">
        <v>13763636</v>
      </c>
      <c r="I18244">
        <v>8059170</v>
      </c>
      <c r="J18244">
        <v>3</v>
      </c>
    </row>
    <row r="18245" spans="1:10" x14ac:dyDescent="0.25">
      <c r="A18245" t="s">
        <v>196</v>
      </c>
      <c r="B18245" s="1" t="str">
        <f>HYPERLINK("http://idexx.ch","idexx.ch")</f>
        <v>idexx.ch</v>
      </c>
      <c r="C18245" t="s">
        <v>429</v>
      </c>
      <c r="D18245" t="s">
        <v>810</v>
      </c>
      <c r="F18245">
        <v>1.3672972747767199E-8</v>
      </c>
      <c r="G18245">
        <v>4332024</v>
      </c>
      <c r="H18245">
        <v>12211610</v>
      </c>
      <c r="I18245">
        <v>22987199</v>
      </c>
      <c r="J18245">
        <v>2</v>
      </c>
    </row>
    <row r="18246" spans="1:10" x14ac:dyDescent="0.25">
      <c r="A18246" t="s">
        <v>196</v>
      </c>
      <c r="B18246" s="1" t="str">
        <f>HYPERLINK("http://idexx.com.cn","idexx.com.cn")</f>
        <v>idexx.com.cn</v>
      </c>
      <c r="C18246" t="s">
        <v>431</v>
      </c>
      <c r="D18246" t="s">
        <v>812</v>
      </c>
      <c r="F18246">
        <v>2.7925257285641099E-8</v>
      </c>
      <c r="G18246">
        <v>1841998</v>
      </c>
      <c r="H18246">
        <v>12509750</v>
      </c>
      <c r="I18246">
        <v>17248641</v>
      </c>
      <c r="J18246">
        <v>2</v>
      </c>
    </row>
    <row r="18247" spans="1:10" x14ac:dyDescent="0.25">
      <c r="A18247" t="s">
        <v>196</v>
      </c>
      <c r="B18247" s="1" t="str">
        <f>HYPERLINK("http://animana.com","animana.com")</f>
        <v>animana.com</v>
      </c>
      <c r="C18247" t="s">
        <v>433</v>
      </c>
      <c r="E18247">
        <v>322241</v>
      </c>
      <c r="F18247">
        <v>2.7299407113209999E-8</v>
      </c>
      <c r="G18247">
        <v>1883186</v>
      </c>
      <c r="H18247">
        <v>12378248</v>
      </c>
      <c r="I18247">
        <v>19259074</v>
      </c>
      <c r="J18247">
        <v>4</v>
      </c>
    </row>
    <row r="18248" spans="1:10" x14ac:dyDescent="0.25">
      <c r="A18248" t="s">
        <v>196</v>
      </c>
      <c r="B18248" s="1" t="str">
        <f>HYPERLINK("http://idexx.com","idexx.com")</f>
        <v>idexx.com</v>
      </c>
      <c r="C18248" t="s">
        <v>433</v>
      </c>
      <c r="E18248">
        <v>18461</v>
      </c>
      <c r="F18248">
        <v>6.7813096710885402E-7</v>
      </c>
      <c r="G18248">
        <v>56875</v>
      </c>
      <c r="H18248">
        <v>17275068</v>
      </c>
      <c r="I18248">
        <v>30726</v>
      </c>
      <c r="J18248">
        <v>1</v>
      </c>
    </row>
    <row r="18249" spans="1:10" x14ac:dyDescent="0.25">
      <c r="A18249" t="s">
        <v>196</v>
      </c>
      <c r="B18249" s="1" t="str">
        <f>HYPERLINK("http://optimedical.com","optimedical.com")</f>
        <v>optimedical.com</v>
      </c>
      <c r="C18249" t="s">
        <v>433</v>
      </c>
      <c r="F18249">
        <v>2.0361384839086401E-8</v>
      </c>
      <c r="G18249">
        <v>2605171</v>
      </c>
      <c r="H18249">
        <v>14077718</v>
      </c>
      <c r="I18249">
        <v>2859990</v>
      </c>
      <c r="J18249">
        <v>3</v>
      </c>
    </row>
    <row r="18250" spans="1:10" x14ac:dyDescent="0.25">
      <c r="A18250" t="s">
        <v>196</v>
      </c>
      <c r="B18250" s="1" t="str">
        <f>HYPERLINK("http://idexx.cz","idexx.cz")</f>
        <v>idexx.cz</v>
      </c>
      <c r="C18250" t="s">
        <v>435</v>
      </c>
      <c r="D18250" t="s">
        <v>814</v>
      </c>
      <c r="F18250">
        <v>1.1848891606702999E-8</v>
      </c>
      <c r="G18250">
        <v>5271348</v>
      </c>
      <c r="H18250">
        <v>12146785</v>
      </c>
      <c r="I18250">
        <v>24706786</v>
      </c>
      <c r="J18250">
        <v>2</v>
      </c>
    </row>
    <row r="18251" spans="1:10" x14ac:dyDescent="0.25">
      <c r="A18251" t="s">
        <v>196</v>
      </c>
      <c r="B18251" s="1" t="str">
        <f>HYPERLINK("http://idexx.de","idexx.de")</f>
        <v>idexx.de</v>
      </c>
      <c r="C18251" t="s">
        <v>436</v>
      </c>
      <c r="D18251" t="s">
        <v>815</v>
      </c>
      <c r="F18251">
        <v>7.1795116205193903E-8</v>
      </c>
      <c r="G18251">
        <v>588397</v>
      </c>
      <c r="H18251">
        <v>14226724</v>
      </c>
      <c r="I18251">
        <v>1678377</v>
      </c>
      <c r="J18251">
        <v>2</v>
      </c>
    </row>
    <row r="18252" spans="1:10" x14ac:dyDescent="0.25">
      <c r="A18252" t="s">
        <v>196</v>
      </c>
      <c r="B18252" s="1" t="str">
        <f>HYPERLINK("http://idexx.dk","idexx.dk")</f>
        <v>idexx.dk</v>
      </c>
      <c r="C18252" t="s">
        <v>437</v>
      </c>
      <c r="D18252" t="s">
        <v>816</v>
      </c>
      <c r="F18252">
        <v>1.25630469771032E-8</v>
      </c>
      <c r="G18252">
        <v>4852549</v>
      </c>
      <c r="H18252">
        <v>13170584</v>
      </c>
      <c r="I18252">
        <v>11722217</v>
      </c>
      <c r="J18252">
        <v>2</v>
      </c>
    </row>
    <row r="18253" spans="1:10" x14ac:dyDescent="0.25">
      <c r="A18253" t="s">
        <v>196</v>
      </c>
      <c r="B18253" s="1" t="str">
        <f>HYPERLINK("http://idexx.es","idexx.es")</f>
        <v>idexx.es</v>
      </c>
      <c r="C18253" t="s">
        <v>443</v>
      </c>
      <c r="D18253" t="s">
        <v>822</v>
      </c>
      <c r="F18253">
        <v>1.91137701114315E-8</v>
      </c>
      <c r="G18253">
        <v>2815487</v>
      </c>
      <c r="H18253">
        <v>13245038</v>
      </c>
      <c r="I18253">
        <v>11149191</v>
      </c>
      <c r="J18253">
        <v>2</v>
      </c>
    </row>
    <row r="18254" spans="1:10" x14ac:dyDescent="0.25">
      <c r="A18254" t="s">
        <v>196</v>
      </c>
      <c r="B18254" s="1" t="str">
        <f>HYPERLINK("http://idexx.eu","idexx.eu")</f>
        <v>idexx.eu</v>
      </c>
      <c r="C18254" t="s">
        <v>444</v>
      </c>
      <c r="F18254">
        <v>1.96753748153451E-8</v>
      </c>
      <c r="G18254">
        <v>2713086</v>
      </c>
      <c r="H18254">
        <v>12986989</v>
      </c>
      <c r="I18254">
        <v>12887198</v>
      </c>
      <c r="J18254">
        <v>3</v>
      </c>
    </row>
    <row r="18255" spans="1:10" x14ac:dyDescent="0.25">
      <c r="A18255" t="s">
        <v>196</v>
      </c>
      <c r="B18255" s="1" t="str">
        <f>HYPERLINK("http://idexx.fi","idexx.fi")</f>
        <v>idexx.fi</v>
      </c>
      <c r="C18255" t="s">
        <v>445</v>
      </c>
      <c r="D18255" t="s">
        <v>823</v>
      </c>
      <c r="F18255">
        <v>2.3594303985449199E-8</v>
      </c>
      <c r="G18255">
        <v>2204549</v>
      </c>
      <c r="H18255">
        <v>12748580</v>
      </c>
      <c r="I18255">
        <v>15058830</v>
      </c>
      <c r="J18255">
        <v>2</v>
      </c>
    </row>
    <row r="18256" spans="1:10" x14ac:dyDescent="0.25">
      <c r="A18256" t="s">
        <v>196</v>
      </c>
      <c r="B18256" s="1" t="str">
        <f>HYPERLINK("http://idexxfoundation.fi","idexxfoundation.fi")</f>
        <v>idexxfoundation.fi</v>
      </c>
      <c r="C18256" t="s">
        <v>445</v>
      </c>
      <c r="D18256" t="s">
        <v>823</v>
      </c>
      <c r="J18256">
        <v>2</v>
      </c>
    </row>
    <row r="18257" spans="1:10" x14ac:dyDescent="0.25">
      <c r="A18257" t="s">
        <v>196</v>
      </c>
      <c r="B18257" s="1" t="str">
        <f>HYPERLINK("http://movet.fi","movet.fi")</f>
        <v>movet.fi</v>
      </c>
      <c r="C18257" t="s">
        <v>445</v>
      </c>
      <c r="D18257" t="s">
        <v>823</v>
      </c>
      <c r="F18257">
        <v>2.6247053407804E-8</v>
      </c>
      <c r="G18257">
        <v>1962056</v>
      </c>
      <c r="H18257">
        <v>14238546</v>
      </c>
      <c r="I18257">
        <v>1524871</v>
      </c>
      <c r="J18257">
        <v>2</v>
      </c>
    </row>
    <row r="18258" spans="1:10" x14ac:dyDescent="0.25">
      <c r="A18258" t="s">
        <v>196</v>
      </c>
      <c r="B18258" s="1" t="str">
        <f>HYPERLINK("http://vetconnect.fi","vetconnect.fi")</f>
        <v>vetconnect.fi</v>
      </c>
      <c r="C18258" t="s">
        <v>445</v>
      </c>
      <c r="D18258" t="s">
        <v>823</v>
      </c>
      <c r="J18258">
        <v>2</v>
      </c>
    </row>
    <row r="18259" spans="1:10" x14ac:dyDescent="0.25">
      <c r="A18259" t="s">
        <v>196</v>
      </c>
      <c r="B18259" s="1" t="str">
        <f>HYPERLINK("http://vetconnectplus.fi","vetconnectplus.fi")</f>
        <v>vetconnectplus.fi</v>
      </c>
      <c r="C18259" t="s">
        <v>445</v>
      </c>
      <c r="D18259" t="s">
        <v>823</v>
      </c>
      <c r="F18259">
        <v>4.8705094509644299E-9</v>
      </c>
      <c r="G18259">
        <v>33385941</v>
      </c>
      <c r="H18259">
        <v>9754577</v>
      </c>
      <c r="I18259">
        <v>62955506</v>
      </c>
      <c r="J18259">
        <v>2</v>
      </c>
    </row>
    <row r="18260" spans="1:10" x14ac:dyDescent="0.25">
      <c r="A18260" t="s">
        <v>196</v>
      </c>
      <c r="B18260" s="1" t="str">
        <f>HYPERLINK("http://vetlab.fi","vetlab.fi")</f>
        <v>vetlab.fi</v>
      </c>
      <c r="C18260" t="s">
        <v>445</v>
      </c>
      <c r="D18260" t="s">
        <v>823</v>
      </c>
      <c r="F18260">
        <v>1.06633727988855E-8</v>
      </c>
      <c r="G18260">
        <v>6130402</v>
      </c>
      <c r="H18260">
        <v>13764019</v>
      </c>
      <c r="I18260">
        <v>7426284</v>
      </c>
      <c r="J18260">
        <v>2</v>
      </c>
    </row>
    <row r="18261" spans="1:10" x14ac:dyDescent="0.25">
      <c r="A18261" t="s">
        <v>196</v>
      </c>
      <c r="B18261" s="1" t="str">
        <f>HYPERLINK("http://vetmedstat.fi","vetmedstat.fi")</f>
        <v>vetmedstat.fi</v>
      </c>
      <c r="C18261" t="s">
        <v>445</v>
      </c>
      <c r="D18261" t="s">
        <v>823</v>
      </c>
      <c r="J18261">
        <v>2</v>
      </c>
    </row>
    <row r="18262" spans="1:10" x14ac:dyDescent="0.25">
      <c r="A18262" t="s">
        <v>196</v>
      </c>
      <c r="B18262" s="1" t="str">
        <f>HYPERLINK("http://idexx.fr","idexx.fr")</f>
        <v>idexx.fr</v>
      </c>
      <c r="C18262" t="s">
        <v>446</v>
      </c>
      <c r="D18262" t="s">
        <v>824</v>
      </c>
      <c r="F18262">
        <v>1.83552836332683E-8</v>
      </c>
      <c r="G18262">
        <v>2956818</v>
      </c>
      <c r="H18262">
        <v>12560683</v>
      </c>
      <c r="I18262">
        <v>16707009</v>
      </c>
      <c r="J18262">
        <v>2</v>
      </c>
    </row>
    <row r="18263" spans="1:10" x14ac:dyDescent="0.25">
      <c r="A18263" t="s">
        <v>196</v>
      </c>
      <c r="B18263" s="1" t="str">
        <f>HYPERLINK("http://institut-pourquier.fr","institut-pourquier.fr")</f>
        <v>institut-pourquier.fr</v>
      </c>
      <c r="C18263" t="s">
        <v>446</v>
      </c>
      <c r="D18263" t="s">
        <v>824</v>
      </c>
      <c r="F18263">
        <v>5.1610301723182903E-9</v>
      </c>
      <c r="G18263">
        <v>25883381</v>
      </c>
      <c r="H18263">
        <v>13163251</v>
      </c>
      <c r="I18263">
        <v>11756657</v>
      </c>
      <c r="J18263">
        <v>3</v>
      </c>
    </row>
    <row r="18264" spans="1:10" x14ac:dyDescent="0.25">
      <c r="A18264" t="s">
        <v>196</v>
      </c>
      <c r="B18264" s="1" t="str">
        <f>HYPERLINK("http://idexx.it","idexx.it")</f>
        <v>idexx.it</v>
      </c>
      <c r="C18264" t="s">
        <v>459</v>
      </c>
      <c r="D18264" t="s">
        <v>835</v>
      </c>
      <c r="F18264">
        <v>2.7992412727843301E-8</v>
      </c>
      <c r="G18264">
        <v>1837787</v>
      </c>
      <c r="H18264">
        <v>14030768</v>
      </c>
      <c r="I18264">
        <v>3932110</v>
      </c>
      <c r="J18264">
        <v>2</v>
      </c>
    </row>
    <row r="18265" spans="1:10" x14ac:dyDescent="0.25">
      <c r="A18265" t="s">
        <v>196</v>
      </c>
      <c r="B18265" s="1" t="str">
        <f>HYPERLINK("http://idexx.co.jp","idexx.co.jp")</f>
        <v>idexx.co.jp</v>
      </c>
      <c r="C18265" t="s">
        <v>461</v>
      </c>
      <c r="D18265" t="s">
        <v>837</v>
      </c>
      <c r="F18265">
        <v>3.9021588698814402E-8</v>
      </c>
      <c r="G18265">
        <v>1321652</v>
      </c>
      <c r="H18265">
        <v>13278841</v>
      </c>
      <c r="I18265">
        <v>10918975</v>
      </c>
      <c r="J18265">
        <v>2</v>
      </c>
    </row>
    <row r="18266" spans="1:10" x14ac:dyDescent="0.25">
      <c r="A18266" t="s">
        <v>196</v>
      </c>
      <c r="B18266" s="1" t="str">
        <f>HYPERLINK("http://idexx.kr","idexx.kr")</f>
        <v>idexx.kr</v>
      </c>
      <c r="C18266" t="s">
        <v>463</v>
      </c>
      <c r="D18266" t="s">
        <v>839</v>
      </c>
      <c r="F18266">
        <v>1.04411429632161E-8</v>
      </c>
      <c r="G18266">
        <v>6321707</v>
      </c>
      <c r="H18266">
        <v>12210596</v>
      </c>
      <c r="I18266">
        <v>23013928</v>
      </c>
      <c r="J18266">
        <v>2</v>
      </c>
    </row>
    <row r="18267" spans="1:10" x14ac:dyDescent="0.25">
      <c r="A18267" t="s">
        <v>196</v>
      </c>
      <c r="B18267" s="1" t="str">
        <f>HYPERLINK("http://animana.nl","animana.nl")</f>
        <v>animana.nl</v>
      </c>
      <c r="C18267" t="s">
        <v>477</v>
      </c>
      <c r="D18267" t="s">
        <v>852</v>
      </c>
      <c r="F18267">
        <v>7.28662954189491E-9</v>
      </c>
      <c r="G18267">
        <v>11513125</v>
      </c>
      <c r="H18267">
        <v>12070054</v>
      </c>
      <c r="I18267">
        <v>26792234</v>
      </c>
      <c r="J18267">
        <v>5</v>
      </c>
    </row>
    <row r="18268" spans="1:10" x14ac:dyDescent="0.25">
      <c r="A18268" t="s">
        <v>196</v>
      </c>
      <c r="B18268" s="1" t="str">
        <f>HYPERLINK("http://idexx.nl","idexx.nl")</f>
        <v>idexx.nl</v>
      </c>
      <c r="C18268" t="s">
        <v>477</v>
      </c>
      <c r="D18268" t="s">
        <v>852</v>
      </c>
      <c r="F18268">
        <v>2.1938023799869099E-8</v>
      </c>
      <c r="G18268">
        <v>2393594</v>
      </c>
      <c r="H18268">
        <v>12919513</v>
      </c>
      <c r="I18268">
        <v>13441880</v>
      </c>
      <c r="J18268">
        <v>2</v>
      </c>
    </row>
    <row r="18269" spans="1:10" x14ac:dyDescent="0.25">
      <c r="A18269" t="s">
        <v>196</v>
      </c>
      <c r="B18269" s="1" t="str">
        <f>HYPERLINK("http://idexx.no","idexx.no")</f>
        <v>idexx.no</v>
      </c>
      <c r="C18269" t="s">
        <v>478</v>
      </c>
      <c r="D18269" t="s">
        <v>853</v>
      </c>
      <c r="F18269">
        <v>1.16709595138458E-8</v>
      </c>
      <c r="G18269">
        <v>5384967</v>
      </c>
      <c r="H18269">
        <v>13227459</v>
      </c>
      <c r="I18269">
        <v>11295294</v>
      </c>
      <c r="J18269">
        <v>2</v>
      </c>
    </row>
    <row r="18270" spans="1:10" x14ac:dyDescent="0.25">
      <c r="A18270" t="s">
        <v>196</v>
      </c>
      <c r="B18270" s="1" t="str">
        <f>HYPERLINK("http://idexx.co.nz","idexx.co.nz")</f>
        <v>idexx.co.nz</v>
      </c>
      <c r="C18270" t="s">
        <v>479</v>
      </c>
      <c r="D18270" t="s">
        <v>854</v>
      </c>
      <c r="F18270">
        <v>1.2739573147278199E-8</v>
      </c>
      <c r="G18270">
        <v>4759666</v>
      </c>
      <c r="H18270">
        <v>12167003</v>
      </c>
      <c r="I18270">
        <v>24145248</v>
      </c>
      <c r="J18270">
        <v>2</v>
      </c>
    </row>
    <row r="18271" spans="1:10" x14ac:dyDescent="0.25">
      <c r="A18271" t="s">
        <v>196</v>
      </c>
      <c r="B18271" s="1" t="str">
        <f>HYPERLINK("http://idexx.pl","idexx.pl")</f>
        <v>idexx.pl</v>
      </c>
      <c r="C18271" t="s">
        <v>486</v>
      </c>
      <c r="D18271" t="s">
        <v>860</v>
      </c>
      <c r="F18271">
        <v>1.3016820453928501E-8</v>
      </c>
      <c r="G18271">
        <v>4623715</v>
      </c>
      <c r="H18271">
        <v>12342787</v>
      </c>
      <c r="I18271">
        <v>19896145</v>
      </c>
      <c r="J18271">
        <v>2</v>
      </c>
    </row>
    <row r="18272" spans="1:10" x14ac:dyDescent="0.25">
      <c r="A18272" t="s">
        <v>196</v>
      </c>
      <c r="B18272" s="1" t="str">
        <f>HYPERLINK("http://idexx.se","idexx.se")</f>
        <v>idexx.se</v>
      </c>
      <c r="C18272" t="s">
        <v>495</v>
      </c>
      <c r="D18272" t="s">
        <v>869</v>
      </c>
      <c r="F18272">
        <v>1.1112763272598099E-8</v>
      </c>
      <c r="G18272">
        <v>5776073</v>
      </c>
      <c r="H18272">
        <v>12147978</v>
      </c>
      <c r="I18272">
        <v>24679175</v>
      </c>
      <c r="J18272">
        <v>2</v>
      </c>
    </row>
    <row r="18273" spans="1:10" x14ac:dyDescent="0.25">
      <c r="A18273" t="s">
        <v>196</v>
      </c>
      <c r="B18273" s="1" t="str">
        <f>HYPERLINK("http://idexx.com.tw","idexx.com.tw")</f>
        <v>idexx.com.tw</v>
      </c>
      <c r="C18273" t="s">
        <v>504</v>
      </c>
      <c r="D18273" t="s">
        <v>878</v>
      </c>
      <c r="F18273">
        <v>1.2307352262539599E-8</v>
      </c>
      <c r="G18273">
        <v>4990343</v>
      </c>
      <c r="H18273">
        <v>12657990</v>
      </c>
      <c r="I18273">
        <v>15751972</v>
      </c>
      <c r="J18273">
        <v>2</v>
      </c>
    </row>
    <row r="18274" spans="1:10" x14ac:dyDescent="0.25">
      <c r="A18274" t="s">
        <v>196</v>
      </c>
      <c r="B18274" s="1" t="str">
        <f>HYPERLINK("http://idexx.co.uk","idexx.co.uk")</f>
        <v>idexx.co.uk</v>
      </c>
      <c r="C18274" t="s">
        <v>506</v>
      </c>
      <c r="D18274" t="s">
        <v>880</v>
      </c>
      <c r="E18274">
        <v>978021</v>
      </c>
      <c r="F18274">
        <v>5.7067229205920401E-8</v>
      </c>
      <c r="G18274">
        <v>782294</v>
      </c>
      <c r="H18274">
        <v>13765875</v>
      </c>
      <c r="I18274">
        <v>7056643</v>
      </c>
      <c r="J18274">
        <v>2</v>
      </c>
    </row>
    <row r="18275" spans="1:10" x14ac:dyDescent="0.25">
      <c r="A18275" t="s">
        <v>196</v>
      </c>
      <c r="B18275" s="1" t="str">
        <f>HYPERLINK("http://idexx.vet","idexx.vet")</f>
        <v>idexx.vet</v>
      </c>
      <c r="C18275" t="s">
        <v>1673</v>
      </c>
      <c r="F18275">
        <v>5.8361018326850198E-9</v>
      </c>
      <c r="G18275">
        <v>17813361</v>
      </c>
      <c r="H18275">
        <v>12136675</v>
      </c>
      <c r="I18275">
        <v>24962204</v>
      </c>
      <c r="J18275">
        <v>2</v>
      </c>
    </row>
    <row r="18276" spans="1:10" x14ac:dyDescent="0.25">
      <c r="A18276" t="s">
        <v>196</v>
      </c>
      <c r="B18276" s="1" t="str">
        <f>HYPERLINK("http://idexx.co.za","idexx.co.za")</f>
        <v>idexx.co.za</v>
      </c>
      <c r="C18276" t="s">
        <v>510</v>
      </c>
      <c r="D18276" t="s">
        <v>884</v>
      </c>
      <c r="F18276">
        <v>1.22033857848499E-8</v>
      </c>
      <c r="G18276">
        <v>5048577</v>
      </c>
      <c r="H18276">
        <v>12504491</v>
      </c>
      <c r="I18276">
        <v>17301156</v>
      </c>
      <c r="J18276">
        <v>2</v>
      </c>
    </row>
    <row r="18277" spans="1:10" x14ac:dyDescent="0.25">
      <c r="A18277" t="s">
        <v>197</v>
      </c>
      <c r="B18277" s="1" t="str">
        <f>HYPERLINK("http://ing.at","ing.at")</f>
        <v>ing.at</v>
      </c>
      <c r="C18277" t="s">
        <v>419</v>
      </c>
      <c r="D18277" t="s">
        <v>801</v>
      </c>
      <c r="E18277">
        <v>490559</v>
      </c>
      <c r="F18277">
        <v>3.0586029080442798E-8</v>
      </c>
      <c r="G18277">
        <v>1683817</v>
      </c>
      <c r="H18277">
        <v>13956564</v>
      </c>
      <c r="I18277">
        <v>4131782</v>
      </c>
      <c r="J18277">
        <v>2</v>
      </c>
    </row>
    <row r="18278" spans="1:10" x14ac:dyDescent="0.25">
      <c r="A18278" t="s">
        <v>197</v>
      </c>
      <c r="B18278" s="1" t="str">
        <f>HYPERLINK("http://interhyp.at","interhyp.at")</f>
        <v>interhyp.at</v>
      </c>
      <c r="C18278" t="s">
        <v>419</v>
      </c>
      <c r="D18278" t="s">
        <v>801</v>
      </c>
      <c r="F18278">
        <v>8.7013852910677894E-9</v>
      </c>
      <c r="G18278">
        <v>8475444</v>
      </c>
      <c r="H18278">
        <v>12341056</v>
      </c>
      <c r="I18278">
        <v>19980403</v>
      </c>
      <c r="J18278">
        <v>4</v>
      </c>
    </row>
    <row r="18279" spans="1:10" x14ac:dyDescent="0.25">
      <c r="A18279" t="s">
        <v>197</v>
      </c>
      <c r="B18279" s="1" t="str">
        <f>HYPERLINK("http://ing.com.au","ing.com.au")</f>
        <v>ing.com.au</v>
      </c>
      <c r="C18279" t="s">
        <v>420</v>
      </c>
      <c r="D18279" t="s">
        <v>802</v>
      </c>
      <c r="E18279">
        <v>33383</v>
      </c>
      <c r="F18279">
        <v>1.0814391484056599E-7</v>
      </c>
      <c r="G18279">
        <v>370100</v>
      </c>
      <c r="H18279">
        <v>14559380</v>
      </c>
      <c r="I18279">
        <v>747363</v>
      </c>
      <c r="J18279">
        <v>2</v>
      </c>
    </row>
    <row r="18280" spans="1:10" x14ac:dyDescent="0.25">
      <c r="A18280" t="s">
        <v>197</v>
      </c>
      <c r="B18280" s="1" t="str">
        <f>HYPERLINK("http://ingdirect.com.au","ingdirect.com.au")</f>
        <v>ingdirect.com.au</v>
      </c>
      <c r="C18280" t="s">
        <v>420</v>
      </c>
      <c r="D18280" t="s">
        <v>802</v>
      </c>
      <c r="E18280">
        <v>523683</v>
      </c>
      <c r="F18280">
        <v>4.0933607052827597E-8</v>
      </c>
      <c r="G18280">
        <v>1267194</v>
      </c>
      <c r="H18280">
        <v>14176449</v>
      </c>
      <c r="I18280">
        <v>1788898</v>
      </c>
      <c r="J18280">
        <v>5</v>
      </c>
    </row>
    <row r="18281" spans="1:10" x14ac:dyDescent="0.25">
      <c r="A18281" t="s">
        <v>197</v>
      </c>
      <c r="B18281" s="1" t="str">
        <f>HYPERLINK("http://fiducre.be","fiducre.be")</f>
        <v>fiducre.be</v>
      </c>
      <c r="C18281" t="s">
        <v>421</v>
      </c>
      <c r="D18281" t="s">
        <v>803</v>
      </c>
      <c r="F18281">
        <v>5.3909048934969397E-9</v>
      </c>
      <c r="G18281">
        <v>22235505</v>
      </c>
      <c r="H18281">
        <v>12333213</v>
      </c>
      <c r="I18281">
        <v>20140217</v>
      </c>
      <c r="J18281">
        <v>4</v>
      </c>
    </row>
    <row r="18282" spans="1:10" x14ac:dyDescent="0.25">
      <c r="A18282" t="s">
        <v>197</v>
      </c>
      <c r="B18282" s="1" t="str">
        <f>HYPERLINK("http://ing.be","ing.be")</f>
        <v>ing.be</v>
      </c>
      <c r="C18282" t="s">
        <v>421</v>
      </c>
      <c r="D18282" t="s">
        <v>803</v>
      </c>
      <c r="E18282">
        <v>20618</v>
      </c>
      <c r="F18282">
        <v>4.4715104702641702E-7</v>
      </c>
      <c r="G18282">
        <v>84431</v>
      </c>
      <c r="H18282">
        <v>15214228</v>
      </c>
      <c r="I18282">
        <v>394043</v>
      </c>
      <c r="J18282">
        <v>2</v>
      </c>
    </row>
    <row r="18283" spans="1:10" x14ac:dyDescent="0.25">
      <c r="A18283" t="s">
        <v>197</v>
      </c>
      <c r="B18283" s="1" t="str">
        <f>HYPERLINK("http://insure.be","insure.be")</f>
        <v>insure.be</v>
      </c>
      <c r="C18283" t="s">
        <v>421</v>
      </c>
      <c r="D18283" t="s">
        <v>803</v>
      </c>
      <c r="F18283">
        <v>1.8405882763365E-8</v>
      </c>
      <c r="G18283">
        <v>2944432</v>
      </c>
      <c r="H18283">
        <v>12343152</v>
      </c>
      <c r="I18283">
        <v>19889502</v>
      </c>
      <c r="J18283">
        <v>3</v>
      </c>
    </row>
    <row r="18284" spans="1:10" x14ac:dyDescent="0.25">
      <c r="A18284" t="s">
        <v>197</v>
      </c>
      <c r="B18284" s="1" t="str">
        <f>HYPERLINK("http://recordbank.be","recordbank.be")</f>
        <v>recordbank.be</v>
      </c>
      <c r="C18284" t="s">
        <v>421</v>
      </c>
      <c r="D18284" t="s">
        <v>803</v>
      </c>
      <c r="E18284">
        <v>746844</v>
      </c>
      <c r="F18284">
        <v>2.3657847222570199E-8</v>
      </c>
      <c r="G18284">
        <v>2197844</v>
      </c>
      <c r="H18284">
        <v>13840878</v>
      </c>
      <c r="I18284">
        <v>6071810</v>
      </c>
      <c r="J18284">
        <v>4</v>
      </c>
    </row>
    <row r="18285" spans="1:10" x14ac:dyDescent="0.25">
      <c r="A18285" t="s">
        <v>197</v>
      </c>
      <c r="B18285" s="1" t="str">
        <f>HYPERLINK("http://ingwb.bg","ingwb.bg")</f>
        <v>ingwb.bg</v>
      </c>
      <c r="C18285" t="s">
        <v>422</v>
      </c>
      <c r="D18285" t="s">
        <v>804</v>
      </c>
      <c r="F18285">
        <v>1.19726388211725E-8</v>
      </c>
      <c r="G18285">
        <v>5193232</v>
      </c>
      <c r="H18285">
        <v>11136204</v>
      </c>
      <c r="I18285">
        <v>31876125</v>
      </c>
      <c r="J18285">
        <v>2</v>
      </c>
    </row>
    <row r="18286" spans="1:10" x14ac:dyDescent="0.25">
      <c r="A18286" t="s">
        <v>197</v>
      </c>
      <c r="B18286" s="1" t="str">
        <f>HYPERLINK("http://bioalliancepharma.com","bioalliancepharma.com")</f>
        <v>bioalliancepharma.com</v>
      </c>
      <c r="C18286" t="s">
        <v>433</v>
      </c>
      <c r="F18286">
        <v>9.7476688416180698E-9</v>
      </c>
      <c r="G18286">
        <v>7026599</v>
      </c>
      <c r="H18286">
        <v>13779618</v>
      </c>
      <c r="I18286">
        <v>6484818</v>
      </c>
      <c r="J18286">
        <v>3</v>
      </c>
    </row>
    <row r="18287" spans="1:10" x14ac:dyDescent="0.25">
      <c r="A18287" t="s">
        <v>197</v>
      </c>
      <c r="B18287" s="1" t="str">
        <f>HYPERLINK("http://ing.com","ing.com")</f>
        <v>ing.com</v>
      </c>
      <c r="C18287" t="s">
        <v>433</v>
      </c>
      <c r="E18287">
        <v>13689</v>
      </c>
      <c r="F18287">
        <v>2.2002117399294599E-6</v>
      </c>
      <c r="G18287">
        <v>16676</v>
      </c>
      <c r="H18287">
        <v>16293569</v>
      </c>
      <c r="I18287">
        <v>365287</v>
      </c>
      <c r="J18287">
        <v>1</v>
      </c>
    </row>
    <row r="18288" spans="1:10" x14ac:dyDescent="0.25">
      <c r="A18288" t="s">
        <v>197</v>
      </c>
      <c r="B18288" s="1" t="str">
        <f>HYPERLINK("http://ing-gsophilippines.com","ing-gsophilippines.com")</f>
        <v>ing-gsophilippines.com</v>
      </c>
      <c r="C18288" t="s">
        <v>433</v>
      </c>
      <c r="J18288">
        <v>4</v>
      </c>
    </row>
    <row r="18289" spans="1:10" x14ac:dyDescent="0.25">
      <c r="A18289" t="s">
        <v>197</v>
      </c>
      <c r="B18289" s="1" t="str">
        <f>HYPERLINK("http://ingartcollection.com","ingartcollection.com")</f>
        <v>ingartcollection.com</v>
      </c>
      <c r="C18289" t="s">
        <v>433</v>
      </c>
      <c r="F18289">
        <v>5.4163145238776202E-9</v>
      </c>
      <c r="G18289">
        <v>21906250</v>
      </c>
      <c r="H18289">
        <v>14236553</v>
      </c>
      <c r="I18289">
        <v>1581195</v>
      </c>
      <c r="J18289">
        <v>2</v>
      </c>
    </row>
    <row r="18290" spans="1:10" x14ac:dyDescent="0.25">
      <c r="A18290" t="s">
        <v>197</v>
      </c>
      <c r="B18290" s="1" t="str">
        <f>HYPERLINK("http://ingbankukraine.com","ingbankukraine.com")</f>
        <v>ingbankukraine.com</v>
      </c>
      <c r="C18290" t="s">
        <v>433</v>
      </c>
      <c r="F18290">
        <v>6.6474277575911603E-9</v>
      </c>
      <c r="G18290">
        <v>13494431</v>
      </c>
      <c r="H18290">
        <v>12855577</v>
      </c>
      <c r="I18290">
        <v>14230323</v>
      </c>
      <c r="J18290">
        <v>2</v>
      </c>
    </row>
    <row r="18291" spans="1:10" x14ac:dyDescent="0.25">
      <c r="A18291" t="s">
        <v>197</v>
      </c>
      <c r="B18291" s="1" t="str">
        <f>HYPERLINK("http://ingcb.com","ingcb.com")</f>
        <v>ingcb.com</v>
      </c>
      <c r="C18291" t="s">
        <v>433</v>
      </c>
      <c r="F18291">
        <v>1.6030118566428799E-8</v>
      </c>
      <c r="G18291">
        <v>3538419</v>
      </c>
      <c r="H18291">
        <v>14378158</v>
      </c>
      <c r="I18291">
        <v>1205809</v>
      </c>
      <c r="J18291">
        <v>2</v>
      </c>
    </row>
    <row r="18292" spans="1:10" x14ac:dyDescent="0.25">
      <c r="A18292" t="s">
        <v>197</v>
      </c>
      <c r="B18292" s="1" t="str">
        <f>HYPERLINK("http://ingcommercialbanking.com","ingcommercialbanking.com")</f>
        <v>ingcommercialbanking.com</v>
      </c>
      <c r="C18292" t="s">
        <v>433</v>
      </c>
      <c r="F18292">
        <v>2.1126422420944801E-8</v>
      </c>
      <c r="G18292">
        <v>2499230</v>
      </c>
      <c r="H18292">
        <v>14487305</v>
      </c>
      <c r="I18292">
        <v>949551</v>
      </c>
      <c r="J18292">
        <v>4</v>
      </c>
    </row>
    <row r="18293" spans="1:10" x14ac:dyDescent="0.25">
      <c r="A18293" t="s">
        <v>197</v>
      </c>
      <c r="B18293" s="1" t="str">
        <f>HYPERLINK("http://ingcorporatecardsolution.com","ingcorporatecardsolution.com")</f>
        <v>ingcorporatecardsolution.com</v>
      </c>
      <c r="C18293" t="s">
        <v>433</v>
      </c>
      <c r="F18293">
        <v>5.5157962184295898E-9</v>
      </c>
      <c r="G18293">
        <v>20731680</v>
      </c>
      <c r="H18293">
        <v>12089117</v>
      </c>
      <c r="I18293">
        <v>26275139</v>
      </c>
      <c r="J18293">
        <v>2</v>
      </c>
    </row>
    <row r="18294" spans="1:10" x14ac:dyDescent="0.25">
      <c r="A18294" t="s">
        <v>197</v>
      </c>
      <c r="B18294" s="1" t="str">
        <f>HYPERLINK("http://ingfm.com","ingfm.com")</f>
        <v>ingfm.com</v>
      </c>
      <c r="C18294" t="s">
        <v>433</v>
      </c>
      <c r="F18294">
        <v>4.4848929546592602E-9</v>
      </c>
      <c r="G18294">
        <v>61416459</v>
      </c>
      <c r="H18294">
        <v>10752956</v>
      </c>
      <c r="I18294">
        <v>39965910</v>
      </c>
      <c r="J18294">
        <v>2</v>
      </c>
    </row>
    <row r="18295" spans="1:10" x14ac:dyDescent="0.25">
      <c r="A18295" t="s">
        <v>197</v>
      </c>
      <c r="B18295" s="1" t="str">
        <f>HYPERLINK("http://inginsidebusiness.com","inginsidebusiness.com")</f>
        <v>inginsidebusiness.com</v>
      </c>
      <c r="C18295" t="s">
        <v>433</v>
      </c>
      <c r="F18295">
        <v>4.6027734357894297E-9</v>
      </c>
      <c r="G18295">
        <v>47394571</v>
      </c>
      <c r="H18295">
        <v>11957247</v>
      </c>
      <c r="I18295">
        <v>29036921</v>
      </c>
      <c r="J18295">
        <v>2</v>
      </c>
    </row>
    <row r="18296" spans="1:10" x14ac:dyDescent="0.25">
      <c r="A18296" t="s">
        <v>197</v>
      </c>
      <c r="B18296" s="1" t="str">
        <f>HYPERLINK("http://inginsidebusinesspayments.com","inginsidebusinesspayments.com")</f>
        <v>inginsidebusinesspayments.com</v>
      </c>
      <c r="C18296" t="s">
        <v>433</v>
      </c>
      <c r="J18296">
        <v>2</v>
      </c>
    </row>
    <row r="18297" spans="1:10" x14ac:dyDescent="0.25">
      <c r="A18297" t="s">
        <v>197</v>
      </c>
      <c r="B18297" s="1" t="str">
        <f>HYPERLINK("http://inglease.com","inglease.com")</f>
        <v>inglease.com</v>
      </c>
      <c r="C18297" t="s">
        <v>433</v>
      </c>
      <c r="F18297">
        <v>4.4630355920602504E-9</v>
      </c>
      <c r="G18297">
        <v>66808827</v>
      </c>
      <c r="H18297">
        <v>10784785</v>
      </c>
      <c r="I18297">
        <v>38711893</v>
      </c>
      <c r="J18297">
        <v>2</v>
      </c>
    </row>
    <row r="18298" spans="1:10" x14ac:dyDescent="0.25">
      <c r="A18298" t="s">
        <v>197</v>
      </c>
      <c r="B18298" s="1" t="str">
        <f>HYPERLINK("http://ingpcm.com","ingpcm.com")</f>
        <v>ingpcm.com</v>
      </c>
      <c r="C18298" t="s">
        <v>433</v>
      </c>
      <c r="J18298">
        <v>2</v>
      </c>
    </row>
    <row r="18299" spans="1:10" x14ac:dyDescent="0.25">
      <c r="A18299" t="s">
        <v>197</v>
      </c>
      <c r="B18299" s="1" t="str">
        <f>HYPERLINK("http://ingrealestate.com","ingrealestate.com")</f>
        <v>ingrealestate.com</v>
      </c>
      <c r="C18299" t="s">
        <v>433</v>
      </c>
      <c r="F18299">
        <v>2.4371639395228401E-8</v>
      </c>
      <c r="G18299">
        <v>2126772</v>
      </c>
      <c r="H18299">
        <v>14256831</v>
      </c>
      <c r="I18299">
        <v>1429460</v>
      </c>
      <c r="J18299">
        <v>2</v>
      </c>
    </row>
    <row r="18300" spans="1:10" x14ac:dyDescent="0.25">
      <c r="A18300" t="s">
        <v>197</v>
      </c>
      <c r="B18300" s="1" t="str">
        <f>HYPERLINK("http://ingtrade.com","ingtrade.com")</f>
        <v>ingtrade.com</v>
      </c>
      <c r="C18300" t="s">
        <v>433</v>
      </c>
      <c r="F18300">
        <v>5.5670643322273299E-9</v>
      </c>
      <c r="G18300">
        <v>20206480</v>
      </c>
      <c r="H18300">
        <v>11101395</v>
      </c>
      <c r="I18300">
        <v>32249045</v>
      </c>
      <c r="J18300">
        <v>2</v>
      </c>
    </row>
    <row r="18301" spans="1:10" x14ac:dyDescent="0.25">
      <c r="A18301" t="s">
        <v>197</v>
      </c>
      <c r="B18301" s="1" t="str">
        <f>HYPERLINK("http://ingukraine.com","ingukraine.com")</f>
        <v>ingukraine.com</v>
      </c>
      <c r="C18301" t="s">
        <v>433</v>
      </c>
      <c r="F18301">
        <v>5.8517526217793998E-9</v>
      </c>
      <c r="G18301">
        <v>17697413</v>
      </c>
      <c r="H18301">
        <v>11082599</v>
      </c>
      <c r="I18301">
        <v>32457848</v>
      </c>
      <c r="J18301">
        <v>2</v>
      </c>
    </row>
    <row r="18302" spans="1:10" x14ac:dyDescent="0.25">
      <c r="A18302" t="s">
        <v>197</v>
      </c>
      <c r="B18302" s="1" t="str">
        <f>HYPERLINK("http://ingwb.com","ingwb.com")</f>
        <v>ingwb.com</v>
      </c>
      <c r="C18302" t="s">
        <v>433</v>
      </c>
      <c r="E18302">
        <v>94143</v>
      </c>
      <c r="F18302">
        <v>5.0324990002517198E-7</v>
      </c>
      <c r="G18302">
        <v>76007</v>
      </c>
      <c r="H18302">
        <v>14863694</v>
      </c>
      <c r="I18302">
        <v>482765</v>
      </c>
      <c r="J18302">
        <v>2</v>
      </c>
    </row>
    <row r="18303" spans="1:10" x14ac:dyDescent="0.25">
      <c r="A18303" t="s">
        <v>197</v>
      </c>
      <c r="B18303" s="1" t="str">
        <f>HYPERLINK("http://mendesgans.com","mendesgans.com")</f>
        <v>mendesgans.com</v>
      </c>
      <c r="C18303" t="s">
        <v>433</v>
      </c>
      <c r="E18303">
        <v>896864</v>
      </c>
      <c r="F18303">
        <v>1.1112564342911099E-8</v>
      </c>
      <c r="G18303">
        <v>5776211</v>
      </c>
      <c r="H18303">
        <v>12276897</v>
      </c>
      <c r="I18303">
        <v>21374404</v>
      </c>
      <c r="J18303">
        <v>3</v>
      </c>
    </row>
    <row r="18304" spans="1:10" x14ac:dyDescent="0.25">
      <c r="A18304" t="s">
        <v>197</v>
      </c>
      <c r="B18304" s="1" t="str">
        <f>HYPERLINK("http://ing.cz","ing.cz")</f>
        <v>ing.cz</v>
      </c>
      <c r="C18304" t="s">
        <v>435</v>
      </c>
      <c r="D18304" t="s">
        <v>814</v>
      </c>
      <c r="E18304">
        <v>509335</v>
      </c>
      <c r="F18304">
        <v>5.1244596712001202E-8</v>
      </c>
      <c r="G18304">
        <v>893765</v>
      </c>
      <c r="H18304">
        <v>14073819</v>
      </c>
      <c r="I18304">
        <v>2970111</v>
      </c>
      <c r="J18304">
        <v>2</v>
      </c>
    </row>
    <row r="18305" spans="1:10" x14ac:dyDescent="0.25">
      <c r="A18305" t="s">
        <v>197</v>
      </c>
      <c r="B18305" s="1" t="str">
        <f>HYPERLINK("http://ingbank.cz","ingbank.cz")</f>
        <v>ingbank.cz</v>
      </c>
      <c r="C18305" t="s">
        <v>435</v>
      </c>
      <c r="D18305" t="s">
        <v>814</v>
      </c>
      <c r="F18305">
        <v>2.00620724859912E-8</v>
      </c>
      <c r="G18305">
        <v>2649883</v>
      </c>
      <c r="H18305">
        <v>13055180</v>
      </c>
      <c r="I18305">
        <v>12567968</v>
      </c>
      <c r="J18305">
        <v>3</v>
      </c>
    </row>
    <row r="18306" spans="1:10" x14ac:dyDescent="0.25">
      <c r="A18306" t="s">
        <v>197</v>
      </c>
      <c r="B18306" s="1" t="str">
        <f>HYPERLINK("http://ingwb.cz","ingwb.cz")</f>
        <v>ingwb.cz</v>
      </c>
      <c r="C18306" t="s">
        <v>435</v>
      </c>
      <c r="D18306" t="s">
        <v>814</v>
      </c>
      <c r="J18306">
        <v>2</v>
      </c>
    </row>
    <row r="18307" spans="1:10" x14ac:dyDescent="0.25">
      <c r="A18307" t="s">
        <v>197</v>
      </c>
      <c r="B18307" s="1" t="str">
        <f>HYPERLINK("http://ingwholesalebanking.cz","ingwholesalebanking.cz")</f>
        <v>ingwholesalebanking.cz</v>
      </c>
      <c r="C18307" t="s">
        <v>435</v>
      </c>
      <c r="D18307" t="s">
        <v>814</v>
      </c>
      <c r="F18307">
        <v>4.5037473017384804E-9</v>
      </c>
      <c r="G18307">
        <v>58394104</v>
      </c>
      <c r="H18307">
        <v>12251375</v>
      </c>
      <c r="I18307">
        <v>21984617</v>
      </c>
      <c r="J18307">
        <v>2</v>
      </c>
    </row>
    <row r="18308" spans="1:10" x14ac:dyDescent="0.25">
      <c r="A18308" t="s">
        <v>197</v>
      </c>
      <c r="B18308" s="1" t="str">
        <f>HYPERLINK("http://diba.de","diba.de")</f>
        <v>diba.de</v>
      </c>
      <c r="C18308" t="s">
        <v>436</v>
      </c>
      <c r="D18308" t="s">
        <v>815</v>
      </c>
      <c r="E18308">
        <v>975146</v>
      </c>
      <c r="F18308">
        <v>9.3565367926823403E-9</v>
      </c>
      <c r="G18308">
        <v>7499712</v>
      </c>
      <c r="H18308">
        <v>13938457</v>
      </c>
      <c r="I18308">
        <v>4427365</v>
      </c>
      <c r="J18308">
        <v>2</v>
      </c>
    </row>
    <row r="18309" spans="1:10" x14ac:dyDescent="0.25">
      <c r="A18309" t="s">
        <v>197</v>
      </c>
      <c r="B18309" s="1" t="str">
        <f>HYPERLINK("http://immobilienkredite.de","immobilienkredite.de")</f>
        <v>immobilienkredite.de</v>
      </c>
      <c r="C18309" t="s">
        <v>436</v>
      </c>
      <c r="D18309" t="s">
        <v>815</v>
      </c>
      <c r="F18309">
        <v>1.55885632583137E-8</v>
      </c>
      <c r="G18309">
        <v>3658376</v>
      </c>
      <c r="H18309">
        <v>10751451</v>
      </c>
      <c r="I18309">
        <v>40035995</v>
      </c>
      <c r="J18309">
        <v>4</v>
      </c>
    </row>
    <row r="18310" spans="1:10" x14ac:dyDescent="0.25">
      <c r="A18310" t="s">
        <v>197</v>
      </c>
      <c r="B18310" s="1" t="str">
        <f>HYPERLINK("http://ing.de","ing.de")</f>
        <v>ing.de</v>
      </c>
      <c r="C18310" t="s">
        <v>436</v>
      </c>
      <c r="D18310" t="s">
        <v>815</v>
      </c>
      <c r="E18310">
        <v>21504</v>
      </c>
      <c r="F18310">
        <v>9.1211586636631399E-7</v>
      </c>
      <c r="G18310">
        <v>42590</v>
      </c>
      <c r="H18310">
        <v>17134876</v>
      </c>
      <c r="I18310">
        <v>55544</v>
      </c>
      <c r="J18310">
        <v>2</v>
      </c>
    </row>
    <row r="18311" spans="1:10" x14ac:dyDescent="0.25">
      <c r="A18311" t="s">
        <v>197</v>
      </c>
      <c r="B18311" s="1" t="str">
        <f>HYPERLINK("http://ing-diba.de","ing-diba.de")</f>
        <v>ing-diba.de</v>
      </c>
      <c r="C18311" t="s">
        <v>436</v>
      </c>
      <c r="D18311" t="s">
        <v>815</v>
      </c>
      <c r="E18311">
        <v>76190</v>
      </c>
      <c r="F18311">
        <v>3.7601890900203602E-7</v>
      </c>
      <c r="G18311">
        <v>99627</v>
      </c>
      <c r="H18311">
        <v>14646464</v>
      </c>
      <c r="I18311">
        <v>632169</v>
      </c>
      <c r="J18311">
        <v>2</v>
      </c>
    </row>
    <row r="18312" spans="1:10" x14ac:dyDescent="0.25">
      <c r="A18312" t="s">
        <v>197</v>
      </c>
      <c r="B18312" s="1" t="str">
        <f>HYPERLINK("http://ingwb.de","ingwb.de")</f>
        <v>ingwb.de</v>
      </c>
      <c r="C18312" t="s">
        <v>436</v>
      </c>
      <c r="D18312" t="s">
        <v>815</v>
      </c>
      <c r="F18312">
        <v>1.31697967222818E-8</v>
      </c>
      <c r="G18312">
        <v>4551875</v>
      </c>
      <c r="H18312">
        <v>12334650</v>
      </c>
      <c r="I18312">
        <v>20114772</v>
      </c>
      <c r="J18312">
        <v>2</v>
      </c>
    </row>
    <row r="18313" spans="1:10" x14ac:dyDescent="0.25">
      <c r="A18313" t="s">
        <v>197</v>
      </c>
      <c r="B18313" s="1" t="str">
        <f>HYPERLINK("http://interhyp.de","interhyp.de")</f>
        <v>interhyp.de</v>
      </c>
      <c r="C18313" t="s">
        <v>436</v>
      </c>
      <c r="D18313" t="s">
        <v>815</v>
      </c>
      <c r="E18313">
        <v>99354</v>
      </c>
      <c r="F18313">
        <v>4.7141865693463502E-7</v>
      </c>
      <c r="G18313">
        <v>80504</v>
      </c>
      <c r="H18313">
        <v>14355605</v>
      </c>
      <c r="I18313">
        <v>1306663</v>
      </c>
      <c r="J18313">
        <v>3</v>
      </c>
    </row>
    <row r="18314" spans="1:10" x14ac:dyDescent="0.25">
      <c r="A18314" t="s">
        <v>197</v>
      </c>
      <c r="B18314" s="1" t="str">
        <f>HYPERLINK("http://interhyp-gruppe.de","interhyp-gruppe.de")</f>
        <v>interhyp-gruppe.de</v>
      </c>
      <c r="C18314" t="s">
        <v>436</v>
      </c>
      <c r="D18314" t="s">
        <v>815</v>
      </c>
      <c r="F18314">
        <v>3.18513256814639E-8</v>
      </c>
      <c r="G18314">
        <v>1621691</v>
      </c>
      <c r="H18314">
        <v>13314064</v>
      </c>
      <c r="I18314">
        <v>10765200</v>
      </c>
      <c r="J18314">
        <v>3</v>
      </c>
    </row>
    <row r="18315" spans="1:10" x14ac:dyDescent="0.25">
      <c r="A18315" t="s">
        <v>197</v>
      </c>
      <c r="B18315" s="1" t="str">
        <f>HYPERLINK("http://kurt-herold.de","kurt-herold.de")</f>
        <v>kurt-herold.de</v>
      </c>
      <c r="C18315" t="s">
        <v>436</v>
      </c>
      <c r="D18315" t="s">
        <v>815</v>
      </c>
      <c r="F18315">
        <v>1.2435561105404501E-8</v>
      </c>
      <c r="G18315">
        <v>4920077</v>
      </c>
      <c r="H18315">
        <v>12605223</v>
      </c>
      <c r="I18315">
        <v>16272594</v>
      </c>
      <c r="J18315">
        <v>3</v>
      </c>
    </row>
    <row r="18316" spans="1:10" x14ac:dyDescent="0.25">
      <c r="A18316" t="s">
        <v>197</v>
      </c>
      <c r="B18316" s="1" t="str">
        <f>HYPERLINK("http://mlphyp.de","mlphyp.de")</f>
        <v>mlphyp.de</v>
      </c>
      <c r="C18316" t="s">
        <v>436</v>
      </c>
      <c r="D18316" t="s">
        <v>815</v>
      </c>
      <c r="J18316">
        <v>5</v>
      </c>
    </row>
    <row r="18317" spans="1:10" x14ac:dyDescent="0.25">
      <c r="A18317" t="s">
        <v>197</v>
      </c>
      <c r="B18317" s="1" t="str">
        <f>HYPERLINK("http://prohyp.de","prohyp.de")</f>
        <v>prohyp.de</v>
      </c>
      <c r="C18317" t="s">
        <v>436</v>
      </c>
      <c r="D18317" t="s">
        <v>815</v>
      </c>
      <c r="F18317">
        <v>8.6637100113953806E-8</v>
      </c>
      <c r="G18317">
        <v>474306</v>
      </c>
      <c r="H18317">
        <v>12196044</v>
      </c>
      <c r="I18317">
        <v>23423773</v>
      </c>
      <c r="J18317">
        <v>3</v>
      </c>
    </row>
    <row r="18318" spans="1:10" x14ac:dyDescent="0.25">
      <c r="A18318" t="s">
        <v>197</v>
      </c>
      <c r="B18318" s="1" t="str">
        <f>HYPERLINK("http://ing.es","ing.es")</f>
        <v>ing.es</v>
      </c>
      <c r="C18318" t="s">
        <v>443</v>
      </c>
      <c r="D18318" t="s">
        <v>822</v>
      </c>
      <c r="E18318">
        <v>56371</v>
      </c>
      <c r="F18318">
        <v>3.8718744329689299E-7</v>
      </c>
      <c r="G18318">
        <v>96759</v>
      </c>
      <c r="H18318">
        <v>14859014</v>
      </c>
      <c r="I18318">
        <v>485369</v>
      </c>
      <c r="J18318">
        <v>2</v>
      </c>
    </row>
    <row r="18319" spans="1:10" x14ac:dyDescent="0.25">
      <c r="A18319" t="s">
        <v>197</v>
      </c>
      <c r="B18319" s="1" t="str">
        <f>HYPERLINK("http://ingdirect.es","ingdirect.es")</f>
        <v>ingdirect.es</v>
      </c>
      <c r="C18319" t="s">
        <v>443</v>
      </c>
      <c r="D18319" t="s">
        <v>822</v>
      </c>
      <c r="E18319">
        <v>59598</v>
      </c>
      <c r="F18319">
        <v>1.5971978294292399E-7</v>
      </c>
      <c r="G18319">
        <v>243007</v>
      </c>
      <c r="H18319">
        <v>14466988</v>
      </c>
      <c r="I18319">
        <v>1043962</v>
      </c>
      <c r="J18319">
        <v>3</v>
      </c>
    </row>
    <row r="18320" spans="1:10" x14ac:dyDescent="0.25">
      <c r="A18320" t="s">
        <v>197</v>
      </c>
      <c r="B18320" s="1" t="str">
        <f>HYPERLINK("http://ingwb.es","ingwb.es")</f>
        <v>ingwb.es</v>
      </c>
      <c r="C18320" t="s">
        <v>443</v>
      </c>
      <c r="D18320" t="s">
        <v>822</v>
      </c>
      <c r="J18320">
        <v>2</v>
      </c>
    </row>
    <row r="18321" spans="1:10" x14ac:dyDescent="0.25">
      <c r="A18321" t="s">
        <v>197</v>
      </c>
      <c r="B18321" s="1" t="str">
        <f>HYPERLINK("http://ing.fr","ing.fr")</f>
        <v>ing.fr</v>
      </c>
      <c r="C18321" t="s">
        <v>446</v>
      </c>
      <c r="D18321" t="s">
        <v>824</v>
      </c>
      <c r="E18321">
        <v>223557</v>
      </c>
      <c r="F18321">
        <v>1.3910254481942101E-7</v>
      </c>
      <c r="G18321">
        <v>280068</v>
      </c>
      <c r="H18321">
        <v>14251154</v>
      </c>
      <c r="I18321">
        <v>1444885</v>
      </c>
      <c r="J18321">
        <v>2</v>
      </c>
    </row>
    <row r="18322" spans="1:10" x14ac:dyDescent="0.25">
      <c r="A18322" t="s">
        <v>197</v>
      </c>
      <c r="B18322" s="1" t="str">
        <f>HYPERLINK("http://ingwholesalebanking.fr","ingwholesalebanking.fr")</f>
        <v>ingwholesalebanking.fr</v>
      </c>
      <c r="C18322" t="s">
        <v>446</v>
      </c>
      <c r="D18322" t="s">
        <v>824</v>
      </c>
      <c r="F18322">
        <v>8.7292990533751005E-9</v>
      </c>
      <c r="G18322">
        <v>8427637</v>
      </c>
      <c r="H18322">
        <v>10722312</v>
      </c>
      <c r="I18322">
        <v>41627629</v>
      </c>
      <c r="J18322">
        <v>2</v>
      </c>
    </row>
    <row r="18323" spans="1:10" x14ac:dyDescent="0.25">
      <c r="A18323" t="s">
        <v>197</v>
      </c>
      <c r="B18323" s="1" t="str">
        <f>HYPERLINK("http://ingbank.hu","ingbank.hu")</f>
        <v>ingbank.hu</v>
      </c>
      <c r="C18323" t="s">
        <v>453</v>
      </c>
      <c r="D18323" t="s">
        <v>830</v>
      </c>
      <c r="F18323">
        <v>1.34138337290143E-8</v>
      </c>
      <c r="G18323">
        <v>4441841</v>
      </c>
      <c r="H18323">
        <v>13120390</v>
      </c>
      <c r="I18323">
        <v>11992218</v>
      </c>
      <c r="J18323">
        <v>2</v>
      </c>
    </row>
    <row r="18324" spans="1:10" x14ac:dyDescent="0.25">
      <c r="A18324" t="s">
        <v>197</v>
      </c>
      <c r="B18324" s="1" t="str">
        <f>HYPERLINK("http://ingwholesalebanking.hu","ingwholesalebanking.hu")</f>
        <v>ingwholesalebanking.hu</v>
      </c>
      <c r="C18324" t="s">
        <v>453</v>
      </c>
      <c r="D18324" t="s">
        <v>830</v>
      </c>
      <c r="F18324">
        <v>6.5823785774491099E-9</v>
      </c>
      <c r="G18324">
        <v>13744473</v>
      </c>
      <c r="H18324">
        <v>12454347</v>
      </c>
      <c r="I18324">
        <v>17943796</v>
      </c>
      <c r="J18324">
        <v>2</v>
      </c>
    </row>
    <row r="18325" spans="1:10" x14ac:dyDescent="0.25">
      <c r="A18325" t="s">
        <v>197</v>
      </c>
      <c r="B18325" s="1" t="str">
        <f>HYPERLINK("http://ing.it","ing.it")</f>
        <v>ing.it</v>
      </c>
      <c r="C18325" t="s">
        <v>459</v>
      </c>
      <c r="D18325" t="s">
        <v>835</v>
      </c>
      <c r="E18325">
        <v>54843</v>
      </c>
      <c r="F18325">
        <v>1.85420913207496E-7</v>
      </c>
      <c r="G18325">
        <v>207850</v>
      </c>
      <c r="H18325">
        <v>16825362</v>
      </c>
      <c r="I18325">
        <v>183741</v>
      </c>
      <c r="J18325">
        <v>2</v>
      </c>
    </row>
    <row r="18326" spans="1:10" x14ac:dyDescent="0.25">
      <c r="A18326" t="s">
        <v>197</v>
      </c>
      <c r="B18326" s="1" t="str">
        <f>HYPERLINK("http://ingdirect.it","ingdirect.it")</f>
        <v>ingdirect.it</v>
      </c>
      <c r="C18326" t="s">
        <v>459</v>
      </c>
      <c r="D18326" t="s">
        <v>835</v>
      </c>
      <c r="E18326">
        <v>428715</v>
      </c>
      <c r="F18326">
        <v>5.0062843973234698E-8</v>
      </c>
      <c r="G18326">
        <v>919825</v>
      </c>
      <c r="H18326">
        <v>14492443</v>
      </c>
      <c r="I18326">
        <v>894909</v>
      </c>
      <c r="J18326">
        <v>5</v>
      </c>
    </row>
    <row r="18327" spans="1:10" x14ac:dyDescent="0.25">
      <c r="A18327" t="s">
        <v>197</v>
      </c>
      <c r="B18327" s="1" t="str">
        <f>HYPERLINK("http://inglease.it","inglease.it")</f>
        <v>inglease.it</v>
      </c>
      <c r="C18327" t="s">
        <v>459</v>
      </c>
      <c r="D18327" t="s">
        <v>835</v>
      </c>
      <c r="F18327">
        <v>4.5724935143171502E-9</v>
      </c>
      <c r="G18327">
        <v>49957934</v>
      </c>
      <c r="H18327">
        <v>12007884</v>
      </c>
      <c r="I18327">
        <v>28134867</v>
      </c>
      <c r="J18327">
        <v>2</v>
      </c>
    </row>
    <row r="18328" spans="1:10" x14ac:dyDescent="0.25">
      <c r="A18328" t="s">
        <v>197</v>
      </c>
      <c r="B18328" s="1" t="str">
        <f>HYPERLINK("http://ing.jobs","ing.jobs")</f>
        <v>ing.jobs</v>
      </c>
      <c r="C18328" t="s">
        <v>521</v>
      </c>
      <c r="E18328">
        <v>231956</v>
      </c>
      <c r="F18328">
        <v>1.7271530815462301E-7</v>
      </c>
      <c r="G18328">
        <v>224585</v>
      </c>
      <c r="H18328">
        <v>13603286</v>
      </c>
      <c r="I18328">
        <v>9646172</v>
      </c>
      <c r="J18328">
        <v>2</v>
      </c>
    </row>
    <row r="18329" spans="1:10" x14ac:dyDescent="0.25">
      <c r="A18329" t="s">
        <v>197</v>
      </c>
      <c r="B18329" s="1" t="str">
        <f>HYPERLINK("http://inglife.co.kr","inglife.co.kr")</f>
        <v>inglife.co.kr</v>
      </c>
      <c r="C18329" t="s">
        <v>463</v>
      </c>
      <c r="D18329" t="s">
        <v>839</v>
      </c>
      <c r="F18329">
        <v>9.3368304759993E-9</v>
      </c>
      <c r="G18329">
        <v>7525648</v>
      </c>
      <c r="H18329">
        <v>13283316</v>
      </c>
      <c r="I18329">
        <v>10902921</v>
      </c>
      <c r="J18329">
        <v>3</v>
      </c>
    </row>
    <row r="18330" spans="1:10" x14ac:dyDescent="0.25">
      <c r="A18330" t="s">
        <v>197</v>
      </c>
      <c r="B18330" s="1" t="str">
        <f>HYPERLINK("http://ing.lu","ing.lu")</f>
        <v>ing.lu</v>
      </c>
      <c r="C18330" t="s">
        <v>547</v>
      </c>
      <c r="D18330" t="s">
        <v>904</v>
      </c>
      <c r="E18330">
        <v>109967</v>
      </c>
      <c r="F18330">
        <v>1.3736813775984301E-7</v>
      </c>
      <c r="G18330">
        <v>283733</v>
      </c>
      <c r="H18330">
        <v>16974936</v>
      </c>
      <c r="I18330">
        <v>100460</v>
      </c>
      <c r="J18330">
        <v>2</v>
      </c>
    </row>
    <row r="18331" spans="1:10" x14ac:dyDescent="0.25">
      <c r="A18331" t="s">
        <v>197</v>
      </c>
      <c r="B18331" s="1" t="str">
        <f>HYPERLINK("http://ing-isim.lu","ing-isim.lu")</f>
        <v>ing-isim.lu</v>
      </c>
      <c r="C18331" t="s">
        <v>547</v>
      </c>
      <c r="D18331" t="s">
        <v>904</v>
      </c>
      <c r="F18331">
        <v>2.25477054991035E-8</v>
      </c>
      <c r="G18331">
        <v>2323275</v>
      </c>
      <c r="H18331">
        <v>12516636</v>
      </c>
      <c r="I18331">
        <v>17180910</v>
      </c>
      <c r="J18331">
        <v>4</v>
      </c>
    </row>
    <row r="18332" spans="1:10" x14ac:dyDescent="0.25">
      <c r="A18332" t="s">
        <v>197</v>
      </c>
      <c r="B18332" s="1" t="str">
        <f>HYPERLINK("http://ingjobs.lu","ingjobs.lu")</f>
        <v>ingjobs.lu</v>
      </c>
      <c r="C18332" t="s">
        <v>547</v>
      </c>
      <c r="D18332" t="s">
        <v>904</v>
      </c>
      <c r="F18332">
        <v>4.5898991570250698E-9</v>
      </c>
      <c r="G18332">
        <v>48416271</v>
      </c>
      <c r="H18332">
        <v>11999305</v>
      </c>
      <c r="I18332">
        <v>28265796</v>
      </c>
      <c r="J18332">
        <v>5</v>
      </c>
    </row>
    <row r="18333" spans="1:10" x14ac:dyDescent="0.25">
      <c r="A18333" t="s">
        <v>197</v>
      </c>
      <c r="B18333" s="1" t="str">
        <f>HYPERLINK("http://ingim.com.mx","ingim.com.mx")</f>
        <v>ingim.com.mx</v>
      </c>
      <c r="C18333" t="s">
        <v>471</v>
      </c>
      <c r="D18333" t="s">
        <v>847</v>
      </c>
      <c r="J18333">
        <v>3</v>
      </c>
    </row>
    <row r="18334" spans="1:10" x14ac:dyDescent="0.25">
      <c r="A18334" t="s">
        <v>197</v>
      </c>
      <c r="B18334" s="1" t="str">
        <f>HYPERLINK("http://ing.nl","ing.nl")</f>
        <v>ing.nl</v>
      </c>
      <c r="C18334" t="s">
        <v>477</v>
      </c>
      <c r="D18334" t="s">
        <v>852</v>
      </c>
      <c r="E18334">
        <v>6242</v>
      </c>
      <c r="F18334">
        <v>2.18594824492559E-6</v>
      </c>
      <c r="G18334">
        <v>16783</v>
      </c>
      <c r="H18334">
        <v>17397592</v>
      </c>
      <c r="I18334">
        <v>19335</v>
      </c>
      <c r="J18334">
        <v>2</v>
      </c>
    </row>
    <row r="18335" spans="1:10" x14ac:dyDescent="0.25">
      <c r="A18335" t="s">
        <v>197</v>
      </c>
      <c r="B18335" s="1" t="str">
        <f>HYPERLINK("http://ingcomfin.nl","ingcomfin.nl")</f>
        <v>ingcomfin.nl</v>
      </c>
      <c r="C18335" t="s">
        <v>477</v>
      </c>
      <c r="D18335" t="s">
        <v>852</v>
      </c>
      <c r="F18335">
        <v>4.4438276884807097E-9</v>
      </c>
      <c r="G18335">
        <v>79084427</v>
      </c>
      <c r="H18335">
        <v>10461894</v>
      </c>
      <c r="I18335">
        <v>51707906</v>
      </c>
      <c r="J18335">
        <v>2</v>
      </c>
    </row>
    <row r="18336" spans="1:10" x14ac:dyDescent="0.25">
      <c r="A18336" t="s">
        <v>197</v>
      </c>
      <c r="B18336" s="1" t="str">
        <f>HYPERLINK("http://ingcommercialfinance.nl","ingcommercialfinance.nl")</f>
        <v>ingcommercialfinance.nl</v>
      </c>
      <c r="C18336" t="s">
        <v>477</v>
      </c>
      <c r="D18336" t="s">
        <v>852</v>
      </c>
      <c r="J18336">
        <v>2</v>
      </c>
    </row>
    <row r="18337" spans="1:10" x14ac:dyDescent="0.25">
      <c r="A18337" t="s">
        <v>197</v>
      </c>
      <c r="B18337" s="1" t="str">
        <f>HYPERLINK("http://inglease.nl","inglease.nl")</f>
        <v>inglease.nl</v>
      </c>
      <c r="C18337" t="s">
        <v>477</v>
      </c>
      <c r="D18337" t="s">
        <v>852</v>
      </c>
      <c r="F18337">
        <v>4.9794422404261403E-9</v>
      </c>
      <c r="G18337">
        <v>30010609</v>
      </c>
      <c r="H18337">
        <v>10823739</v>
      </c>
      <c r="I18337">
        <v>37534085</v>
      </c>
      <c r="J18337">
        <v>2</v>
      </c>
    </row>
    <row r="18338" spans="1:10" x14ac:dyDescent="0.25">
      <c r="A18338" t="s">
        <v>197</v>
      </c>
      <c r="B18338" s="1" t="str">
        <f>HYPERLINK("http://ingrealestate.nl","ingrealestate.nl")</f>
        <v>ingrealestate.nl</v>
      </c>
      <c r="C18338" t="s">
        <v>477</v>
      </c>
      <c r="D18338" t="s">
        <v>852</v>
      </c>
      <c r="F18338">
        <v>4.5581169680375503E-9</v>
      </c>
      <c r="G18338">
        <v>51358677</v>
      </c>
      <c r="H18338">
        <v>10613559</v>
      </c>
      <c r="I18338">
        <v>44475621</v>
      </c>
      <c r="J18338">
        <v>2</v>
      </c>
    </row>
    <row r="18339" spans="1:10" x14ac:dyDescent="0.25">
      <c r="A18339" t="s">
        <v>197</v>
      </c>
      <c r="B18339" s="1" t="str">
        <f>HYPERLINK("http://ingref.nl","ingref.nl")</f>
        <v>ingref.nl</v>
      </c>
      <c r="C18339" t="s">
        <v>477</v>
      </c>
      <c r="D18339" t="s">
        <v>852</v>
      </c>
      <c r="F18339">
        <v>8.6626309490641099E-9</v>
      </c>
      <c r="G18339">
        <v>8545065</v>
      </c>
      <c r="H18339">
        <v>11689987</v>
      </c>
      <c r="I18339">
        <v>29859951</v>
      </c>
      <c r="J18339">
        <v>2</v>
      </c>
    </row>
    <row r="18340" spans="1:10" x14ac:dyDescent="0.25">
      <c r="A18340" t="s">
        <v>197</v>
      </c>
      <c r="B18340" s="1" t="str">
        <f>HYPERLINK("http://ingtrade.nl","ingtrade.nl")</f>
        <v>ingtrade.nl</v>
      </c>
      <c r="C18340" t="s">
        <v>477</v>
      </c>
      <c r="D18340" t="s">
        <v>852</v>
      </c>
      <c r="J18340">
        <v>2</v>
      </c>
    </row>
    <row r="18341" spans="1:10" x14ac:dyDescent="0.25">
      <c r="A18341" t="s">
        <v>197</v>
      </c>
      <c r="B18341" s="1" t="str">
        <f>HYPERLINK("http://mendesgans.nl","mendesgans.nl")</f>
        <v>mendesgans.nl</v>
      </c>
      <c r="C18341" t="s">
        <v>477</v>
      </c>
      <c r="D18341" t="s">
        <v>852</v>
      </c>
      <c r="F18341">
        <v>5.2867756449529898E-9</v>
      </c>
      <c r="G18341">
        <v>23691236</v>
      </c>
      <c r="H18341">
        <v>11124529</v>
      </c>
      <c r="I18341">
        <v>32006926</v>
      </c>
      <c r="J18341">
        <v>6</v>
      </c>
    </row>
    <row r="18342" spans="1:10" x14ac:dyDescent="0.25">
      <c r="A18342" t="s">
        <v>197</v>
      </c>
      <c r="B18342" s="1" t="str">
        <f>HYPERLINK("http://westlandutrechtbank.nl","westlandutrechtbank.nl")</f>
        <v>westlandutrechtbank.nl</v>
      </c>
      <c r="C18342" t="s">
        <v>477</v>
      </c>
      <c r="D18342" t="s">
        <v>852</v>
      </c>
      <c r="F18342">
        <v>1.5037806326292199E-8</v>
      </c>
      <c r="G18342">
        <v>3827575</v>
      </c>
      <c r="H18342">
        <v>14237078</v>
      </c>
      <c r="I18342">
        <v>1560669</v>
      </c>
      <c r="J18342">
        <v>2</v>
      </c>
    </row>
    <row r="18343" spans="1:10" x14ac:dyDescent="0.25">
      <c r="A18343" t="s">
        <v>197</v>
      </c>
      <c r="B18343" s="1" t="str">
        <f>HYPERLINK("http://winkelcentrum-plein4045.nl","winkelcentrum-plein4045.nl")</f>
        <v>winkelcentrum-plein4045.nl</v>
      </c>
      <c r="C18343" t="s">
        <v>477</v>
      </c>
      <c r="D18343" t="s">
        <v>852</v>
      </c>
      <c r="F18343">
        <v>5.5286000534667604E-9</v>
      </c>
      <c r="G18343">
        <v>20598464</v>
      </c>
      <c r="H18343">
        <v>12316867</v>
      </c>
      <c r="I18343">
        <v>20474712</v>
      </c>
      <c r="J18343">
        <v>3</v>
      </c>
    </row>
    <row r="18344" spans="1:10" x14ac:dyDescent="0.25">
      <c r="A18344" t="s">
        <v>197</v>
      </c>
      <c r="B18344" s="1" t="str">
        <f>HYPERLINK("http://ing.pl","ing.pl")</f>
        <v>ing.pl</v>
      </c>
      <c r="C18344" t="s">
        <v>486</v>
      </c>
      <c r="D18344" t="s">
        <v>860</v>
      </c>
      <c r="E18344">
        <v>47430</v>
      </c>
      <c r="F18344">
        <v>5.6329134244813496E-7</v>
      </c>
      <c r="G18344">
        <v>68078</v>
      </c>
      <c r="H18344">
        <v>14560314</v>
      </c>
      <c r="I18344">
        <v>746232</v>
      </c>
      <c r="J18344">
        <v>2</v>
      </c>
    </row>
    <row r="18345" spans="1:10" x14ac:dyDescent="0.25">
      <c r="A18345" t="s">
        <v>197</v>
      </c>
      <c r="B18345" s="1" t="str">
        <f>HYPERLINK("http://ingbank.pl","ingbank.pl")</f>
        <v>ingbank.pl</v>
      </c>
      <c r="C18345" t="s">
        <v>486</v>
      </c>
      <c r="D18345" t="s">
        <v>860</v>
      </c>
      <c r="E18345">
        <v>49798</v>
      </c>
      <c r="F18345">
        <v>2.4686396850722897E-7</v>
      </c>
      <c r="G18345">
        <v>151552</v>
      </c>
      <c r="H18345">
        <v>14997865</v>
      </c>
      <c r="I18345">
        <v>426349</v>
      </c>
      <c r="J18345">
        <v>4</v>
      </c>
    </row>
    <row r="18346" spans="1:10" x14ac:dyDescent="0.25">
      <c r="A18346" t="s">
        <v>197</v>
      </c>
      <c r="B18346" s="1" t="str">
        <f>HYPERLINK("http://ingcomfin.pl","ingcomfin.pl")</f>
        <v>ingcomfin.pl</v>
      </c>
      <c r="C18346" t="s">
        <v>486</v>
      </c>
      <c r="D18346" t="s">
        <v>860</v>
      </c>
      <c r="E18346">
        <v>806203</v>
      </c>
      <c r="F18346">
        <v>1.2592061117610699E-8</v>
      </c>
      <c r="G18346">
        <v>4834932</v>
      </c>
      <c r="H18346">
        <v>14071944</v>
      </c>
      <c r="I18346">
        <v>3217835</v>
      </c>
      <c r="J18346">
        <v>4</v>
      </c>
    </row>
    <row r="18347" spans="1:10" x14ac:dyDescent="0.25">
      <c r="A18347" t="s">
        <v>197</v>
      </c>
      <c r="B18347" s="1" t="str">
        <f>HYPERLINK("http://ingdlabiznesu.pl","ingdlabiznesu.pl")</f>
        <v>ingdlabiznesu.pl</v>
      </c>
      <c r="C18347" t="s">
        <v>486</v>
      </c>
      <c r="D18347" t="s">
        <v>860</v>
      </c>
      <c r="F18347">
        <v>1.23331376579754E-8</v>
      </c>
      <c r="G18347">
        <v>4975997</v>
      </c>
      <c r="H18347">
        <v>14071792</v>
      </c>
      <c r="I18347">
        <v>3407281</v>
      </c>
      <c r="J18347">
        <v>5</v>
      </c>
    </row>
    <row r="18348" spans="1:10" x14ac:dyDescent="0.25">
      <c r="A18348" t="s">
        <v>197</v>
      </c>
      <c r="B18348" s="1" t="str">
        <f>HYPERLINK("http://inghipoteczny.pl","inghipoteczny.pl")</f>
        <v>inghipoteczny.pl</v>
      </c>
      <c r="C18348" t="s">
        <v>486</v>
      </c>
      <c r="D18348" t="s">
        <v>860</v>
      </c>
      <c r="F18348">
        <v>1.3100231775789E-8</v>
      </c>
      <c r="G18348">
        <v>4583934</v>
      </c>
      <c r="H18348">
        <v>14072866</v>
      </c>
      <c r="I18348">
        <v>3037872</v>
      </c>
      <c r="J18348">
        <v>4</v>
      </c>
    </row>
    <row r="18349" spans="1:10" x14ac:dyDescent="0.25">
      <c r="A18349" t="s">
        <v>197</v>
      </c>
      <c r="B18349" s="1" t="str">
        <f>HYPERLINK("http://inglease.pl","inglease.pl")</f>
        <v>inglease.pl</v>
      </c>
      <c r="C18349" t="s">
        <v>486</v>
      </c>
      <c r="D18349" t="s">
        <v>860</v>
      </c>
      <c r="E18349">
        <v>328951</v>
      </c>
      <c r="F18349">
        <v>1.82960205305051E-8</v>
      </c>
      <c r="G18349">
        <v>2968167</v>
      </c>
      <c r="H18349">
        <v>14072296</v>
      </c>
      <c r="I18349">
        <v>3119650</v>
      </c>
      <c r="J18349">
        <v>4</v>
      </c>
    </row>
    <row r="18350" spans="1:10" x14ac:dyDescent="0.25">
      <c r="A18350" t="s">
        <v>197</v>
      </c>
      <c r="B18350" s="1" t="str">
        <f>HYPERLINK("http://homebank.ro","homebank.ro")</f>
        <v>homebank.ro</v>
      </c>
      <c r="C18350" t="s">
        <v>491</v>
      </c>
      <c r="D18350" t="s">
        <v>865</v>
      </c>
      <c r="E18350">
        <v>88711</v>
      </c>
      <c r="F18350">
        <v>7.4968427372403895E-9</v>
      </c>
      <c r="G18350">
        <v>11020377</v>
      </c>
      <c r="H18350">
        <v>14236094</v>
      </c>
      <c r="I18350">
        <v>1609827</v>
      </c>
      <c r="J18350">
        <v>4</v>
      </c>
    </row>
    <row r="18351" spans="1:10" x14ac:dyDescent="0.25">
      <c r="A18351" t="s">
        <v>197</v>
      </c>
      <c r="B18351" s="1" t="str">
        <f>HYPERLINK("http://ing.ro","ing.ro")</f>
        <v>ing.ro</v>
      </c>
      <c r="C18351" t="s">
        <v>491</v>
      </c>
      <c r="D18351" t="s">
        <v>865</v>
      </c>
      <c r="E18351">
        <v>27615</v>
      </c>
      <c r="F18351">
        <v>1.52249943417887E-7</v>
      </c>
      <c r="G18351">
        <v>255082</v>
      </c>
      <c r="H18351">
        <v>17031106</v>
      </c>
      <c r="I18351">
        <v>83285</v>
      </c>
      <c r="J18351">
        <v>2</v>
      </c>
    </row>
    <row r="18352" spans="1:10" x14ac:dyDescent="0.25">
      <c r="A18352" t="s">
        <v>197</v>
      </c>
      <c r="B18352" s="1" t="str">
        <f>HYPERLINK("http://ingoffice.ro","ingoffice.ro")</f>
        <v>ingoffice.ro</v>
      </c>
      <c r="C18352" t="s">
        <v>491</v>
      </c>
      <c r="D18352" t="s">
        <v>865</v>
      </c>
      <c r="J18352">
        <v>3</v>
      </c>
    </row>
    <row r="18353" spans="1:10" x14ac:dyDescent="0.25">
      <c r="A18353" t="s">
        <v>197</v>
      </c>
      <c r="B18353" s="1" t="str">
        <f>HYPERLINK("http://ing.ru","ing.ru")</f>
        <v>ing.ru</v>
      </c>
      <c r="C18353" t="s">
        <v>493</v>
      </c>
      <c r="D18353" t="s">
        <v>867</v>
      </c>
      <c r="E18353">
        <v>580479</v>
      </c>
      <c r="F18353">
        <v>3.2227175658179197E-8</v>
      </c>
      <c r="G18353">
        <v>1604541</v>
      </c>
      <c r="H18353">
        <v>14085014</v>
      </c>
      <c r="I18353">
        <v>2782835</v>
      </c>
      <c r="J18353">
        <v>3</v>
      </c>
    </row>
    <row r="18354" spans="1:10" x14ac:dyDescent="0.25">
      <c r="A18354" t="s">
        <v>197</v>
      </c>
      <c r="B18354" s="1" t="str">
        <f>HYPERLINK("http://ing.sk","ing.sk")</f>
        <v>ing.sk</v>
      </c>
      <c r="C18354" t="s">
        <v>498</v>
      </c>
      <c r="D18354" t="s">
        <v>872</v>
      </c>
      <c r="F18354">
        <v>9.0374503831617607E-9</v>
      </c>
      <c r="G18354">
        <v>7936077</v>
      </c>
      <c r="H18354">
        <v>12204941</v>
      </c>
      <c r="I18354">
        <v>23192616</v>
      </c>
      <c r="J18354">
        <v>2</v>
      </c>
    </row>
    <row r="18355" spans="1:10" x14ac:dyDescent="0.25">
      <c r="A18355" t="s">
        <v>197</v>
      </c>
      <c r="B18355" s="1" t="str">
        <f>HYPERLINK("http://ingbank.sk","ingbank.sk")</f>
        <v>ingbank.sk</v>
      </c>
      <c r="C18355" t="s">
        <v>498</v>
      </c>
      <c r="D18355" t="s">
        <v>872</v>
      </c>
      <c r="F18355">
        <v>4.9686242305687704E-9</v>
      </c>
      <c r="G18355">
        <v>30281699</v>
      </c>
      <c r="H18355">
        <v>10511130</v>
      </c>
      <c r="I18355">
        <v>49532099</v>
      </c>
      <c r="J18355">
        <v>2</v>
      </c>
    </row>
    <row r="18356" spans="1:10" x14ac:dyDescent="0.25">
      <c r="A18356" t="s">
        <v>197</v>
      </c>
      <c r="B18356" s="1" t="str">
        <f>HYPERLINK("http://ingkonto.sk","ingkonto.sk")</f>
        <v>ingkonto.sk</v>
      </c>
      <c r="C18356" t="s">
        <v>498</v>
      </c>
      <c r="D18356" t="s">
        <v>872</v>
      </c>
      <c r="F18356">
        <v>4.7150871814705099E-9</v>
      </c>
      <c r="G18356">
        <v>40458653</v>
      </c>
      <c r="H18356">
        <v>10436748</v>
      </c>
      <c r="I18356">
        <v>52656234</v>
      </c>
      <c r="J18356">
        <v>2</v>
      </c>
    </row>
    <row r="18357" spans="1:10" x14ac:dyDescent="0.25">
      <c r="A18357" t="s">
        <v>197</v>
      </c>
      <c r="B18357" s="1" t="str">
        <f>HYPERLINK("http://ingwb.sk","ingwb.sk")</f>
        <v>ingwb.sk</v>
      </c>
      <c r="C18357" t="s">
        <v>498</v>
      </c>
      <c r="D18357" t="s">
        <v>872</v>
      </c>
      <c r="F18357">
        <v>6.8686182625222299E-9</v>
      </c>
      <c r="G18357">
        <v>12733690</v>
      </c>
      <c r="H18357">
        <v>12206674</v>
      </c>
      <c r="I18357">
        <v>23114332</v>
      </c>
      <c r="J18357">
        <v>2</v>
      </c>
    </row>
    <row r="18358" spans="1:10" x14ac:dyDescent="0.25">
      <c r="A18358" t="s">
        <v>197</v>
      </c>
      <c r="B18358" s="1" t="str">
        <f>HYPERLINK("http://ingwholesalebanking.sk","ingwholesalebanking.sk")</f>
        <v>ingwholesalebanking.sk</v>
      </c>
      <c r="C18358" t="s">
        <v>498</v>
      </c>
      <c r="D18358" t="s">
        <v>872</v>
      </c>
      <c r="F18358">
        <v>4.8707793696568697E-9</v>
      </c>
      <c r="G18358">
        <v>33377414</v>
      </c>
      <c r="H18358">
        <v>10627752</v>
      </c>
      <c r="I18358">
        <v>44051602</v>
      </c>
      <c r="J18358">
        <v>2</v>
      </c>
    </row>
    <row r="18359" spans="1:10" x14ac:dyDescent="0.25">
      <c r="A18359" t="s">
        <v>197</v>
      </c>
      <c r="B18359" s="1" t="str">
        <f>HYPERLINK("http://mying.sk","mying.sk")</f>
        <v>mying.sk</v>
      </c>
      <c r="C18359" t="s">
        <v>498</v>
      </c>
      <c r="D18359" t="s">
        <v>872</v>
      </c>
      <c r="F18359">
        <v>4.6165663046146504E-9</v>
      </c>
      <c r="G18359">
        <v>46374521</v>
      </c>
      <c r="H18359">
        <v>12230725</v>
      </c>
      <c r="I18359">
        <v>22485582</v>
      </c>
      <c r="J18359">
        <v>2</v>
      </c>
    </row>
    <row r="18360" spans="1:10" x14ac:dyDescent="0.25">
      <c r="A18360" t="s">
        <v>197</v>
      </c>
      <c r="B18360" s="1" t="str">
        <f>HYPERLINK("http://ing.com.tr","ing.com.tr")</f>
        <v>ing.com.tr</v>
      </c>
      <c r="C18360" t="s">
        <v>502</v>
      </c>
      <c r="D18360" t="s">
        <v>876</v>
      </c>
      <c r="E18360">
        <v>29586</v>
      </c>
      <c r="F18360">
        <v>8.3131712806599704E-8</v>
      </c>
      <c r="G18360">
        <v>501674</v>
      </c>
      <c r="H18360">
        <v>14053427</v>
      </c>
      <c r="I18360">
        <v>3892132</v>
      </c>
      <c r="J18360">
        <v>3</v>
      </c>
    </row>
    <row r="18361" spans="1:10" x14ac:dyDescent="0.25">
      <c r="A18361" t="s">
        <v>197</v>
      </c>
      <c r="B18361" s="1" t="str">
        <f>HYPERLINK("http://ingbank.com.tr","ingbank.com.tr")</f>
        <v>ingbank.com.tr</v>
      </c>
      <c r="C18361" t="s">
        <v>502</v>
      </c>
      <c r="D18361" t="s">
        <v>876</v>
      </c>
      <c r="E18361">
        <v>49728</v>
      </c>
      <c r="F18361">
        <v>7.0454651357603807E-8</v>
      </c>
      <c r="G18361">
        <v>600931</v>
      </c>
      <c r="H18361">
        <v>14106456</v>
      </c>
      <c r="I18361">
        <v>2687175</v>
      </c>
      <c r="J18361">
        <v>3</v>
      </c>
    </row>
    <row r="18362" spans="1:10" x14ac:dyDescent="0.25">
      <c r="A18362" t="s">
        <v>197</v>
      </c>
      <c r="B18362" s="1" t="str">
        <f>HYPERLINK("http://ingfactoring.com.tr","ingfactoring.com.tr")</f>
        <v>ingfactoring.com.tr</v>
      </c>
      <c r="C18362" t="s">
        <v>502</v>
      </c>
      <c r="D18362" t="s">
        <v>876</v>
      </c>
      <c r="J18362">
        <v>4</v>
      </c>
    </row>
    <row r="18363" spans="1:10" x14ac:dyDescent="0.25">
      <c r="A18363" t="s">
        <v>197</v>
      </c>
      <c r="B18363" s="1" t="str">
        <f>HYPERLINK("http://ingmenkul.com.tr","ingmenkul.com.tr")</f>
        <v>ingmenkul.com.tr</v>
      </c>
      <c r="C18363" t="s">
        <v>502</v>
      </c>
      <c r="D18363" t="s">
        <v>876</v>
      </c>
      <c r="F18363">
        <v>5.3387019348252103E-9</v>
      </c>
      <c r="G18363">
        <v>22952023</v>
      </c>
      <c r="H18363">
        <v>10958243</v>
      </c>
      <c r="I18363">
        <v>34399716</v>
      </c>
      <c r="J18363">
        <v>4</v>
      </c>
    </row>
    <row r="18364" spans="1:10" x14ac:dyDescent="0.25">
      <c r="A18364" t="s">
        <v>197</v>
      </c>
      <c r="B18364" s="1" t="str">
        <f>HYPERLINK("http://inglease.co.uk","inglease.co.uk")</f>
        <v>inglease.co.uk</v>
      </c>
      <c r="C18364" t="s">
        <v>506</v>
      </c>
      <c r="D18364" t="s">
        <v>880</v>
      </c>
      <c r="J18364">
        <v>7</v>
      </c>
    </row>
    <row r="18365" spans="1:10" x14ac:dyDescent="0.25">
      <c r="A18365" t="s">
        <v>198</v>
      </c>
      <c r="B18365" s="1" t="str">
        <f>HYPERLINK("http://forcea.be","forcea.be")</f>
        <v>forcea.be</v>
      </c>
      <c r="C18365" t="s">
        <v>421</v>
      </c>
      <c r="D18365" t="s">
        <v>803</v>
      </c>
      <c r="F18365">
        <v>4.9099496657502396E-9</v>
      </c>
      <c r="G18365">
        <v>32180342</v>
      </c>
      <c r="H18365">
        <v>12088490</v>
      </c>
      <c r="I18365">
        <v>26295596</v>
      </c>
      <c r="J18365">
        <v>3</v>
      </c>
    </row>
    <row r="18366" spans="1:10" x14ac:dyDescent="0.25">
      <c r="A18366" t="s">
        <v>198</v>
      </c>
      <c r="B18366" s="1" t="str">
        <f>HYPERLINK("http://redpharma.be","redpharma.be")</f>
        <v>redpharma.be</v>
      </c>
      <c r="C18366" t="s">
        <v>421</v>
      </c>
      <c r="D18366" t="s">
        <v>803</v>
      </c>
      <c r="F18366">
        <v>1.0530082932465299E-8</v>
      </c>
      <c r="G18366">
        <v>6243758</v>
      </c>
      <c r="H18366">
        <v>12542968</v>
      </c>
      <c r="I18366">
        <v>16903849</v>
      </c>
      <c r="J18366">
        <v>3</v>
      </c>
    </row>
    <row r="18367" spans="1:10" x14ac:dyDescent="0.25">
      <c r="A18367" t="s">
        <v>198</v>
      </c>
      <c r="B18367" s="1" t="str">
        <f>HYPERLINK("http://iqvia.cn","iqvia.cn")</f>
        <v>iqvia.cn</v>
      </c>
      <c r="C18367" t="s">
        <v>431</v>
      </c>
      <c r="D18367" t="s">
        <v>812</v>
      </c>
      <c r="F18367">
        <v>1.9331699901300599E-8</v>
      </c>
      <c r="G18367">
        <v>2776985</v>
      </c>
      <c r="H18367">
        <v>11467030</v>
      </c>
      <c r="I18367">
        <v>30088408</v>
      </c>
      <c r="J18367">
        <v>2</v>
      </c>
    </row>
    <row r="18368" spans="1:10" x14ac:dyDescent="0.25">
      <c r="A18368" t="s">
        <v>198</v>
      </c>
      <c r="B18368" s="1" t="str">
        <f>HYPERLINK("http://360vantage.com","360vantage.com")</f>
        <v>360vantage.com</v>
      </c>
      <c r="C18368" t="s">
        <v>433</v>
      </c>
      <c r="F18368">
        <v>5.5117909867928203E-9</v>
      </c>
      <c r="G18368">
        <v>20773926</v>
      </c>
      <c r="H18368">
        <v>12705808</v>
      </c>
      <c r="I18368">
        <v>15324247</v>
      </c>
      <c r="J18368">
        <v>7</v>
      </c>
    </row>
    <row r="18369" spans="1:10" x14ac:dyDescent="0.25">
      <c r="A18369" t="s">
        <v>198</v>
      </c>
      <c r="B18369" s="1" t="str">
        <f>HYPERLINK("http://aitbioscience.com","aitbioscience.com")</f>
        <v>aitbioscience.com</v>
      </c>
      <c r="C18369" t="s">
        <v>433</v>
      </c>
      <c r="F18369">
        <v>8.0909882299075197E-9</v>
      </c>
      <c r="G18369">
        <v>9757658</v>
      </c>
      <c r="H18369">
        <v>13063526</v>
      </c>
      <c r="I18369">
        <v>12305967</v>
      </c>
      <c r="J18369">
        <v>3</v>
      </c>
    </row>
    <row r="18370" spans="1:10" x14ac:dyDescent="0.25">
      <c r="A18370" t="s">
        <v>198</v>
      </c>
      <c r="B18370" s="1" t="str">
        <f>HYPERLINK("http://allcarepluspharmacy.com","allcarepluspharmacy.com")</f>
        <v>allcarepluspharmacy.com</v>
      </c>
      <c r="C18370" t="s">
        <v>433</v>
      </c>
      <c r="F18370">
        <v>5.3348727897269696E-9</v>
      </c>
      <c r="G18370">
        <v>23002181</v>
      </c>
      <c r="H18370">
        <v>12136252</v>
      </c>
      <c r="I18370">
        <v>24971620</v>
      </c>
      <c r="J18370">
        <v>3</v>
      </c>
    </row>
    <row r="18371" spans="1:10" x14ac:dyDescent="0.25">
      <c r="A18371" t="s">
        <v>198</v>
      </c>
      <c r="B18371" s="1" t="str">
        <f>HYPERLINK("http://appature.com","appature.com")</f>
        <v>appature.com</v>
      </c>
      <c r="C18371" t="s">
        <v>433</v>
      </c>
      <c r="F18371">
        <v>7.9847883368064407E-9</v>
      </c>
      <c r="G18371">
        <v>9948666</v>
      </c>
      <c r="H18371">
        <v>12397657</v>
      </c>
      <c r="I18371">
        <v>18887614</v>
      </c>
      <c r="J18371">
        <v>7</v>
      </c>
    </row>
    <row r="18372" spans="1:10" x14ac:dyDescent="0.25">
      <c r="A18372" t="s">
        <v>198</v>
      </c>
      <c r="B18372" s="1" t="str">
        <f>HYPERLINK("http://appatureinc.com","appatureinc.com")</f>
        <v>appatureinc.com</v>
      </c>
      <c r="C18372" t="s">
        <v>433</v>
      </c>
      <c r="F18372">
        <v>1.73130594242814E-8</v>
      </c>
      <c r="G18372">
        <v>3196061</v>
      </c>
      <c r="H18372">
        <v>13968486</v>
      </c>
      <c r="I18372">
        <v>4080861</v>
      </c>
      <c r="J18372">
        <v>4</v>
      </c>
    </row>
    <row r="18373" spans="1:10" x14ac:dyDescent="0.25">
      <c r="A18373" t="s">
        <v>198</v>
      </c>
      <c r="B18373" s="1" t="str">
        <f>HYPERLINK("http://bidblink.com","bidblink.com")</f>
        <v>bidblink.com</v>
      </c>
      <c r="C18373" t="s">
        <v>433</v>
      </c>
      <c r="F18373">
        <v>4.7040615664942702E-9</v>
      </c>
      <c r="G18373">
        <v>41031256</v>
      </c>
      <c r="H18373">
        <v>10590149</v>
      </c>
      <c r="I18373">
        <v>45632025</v>
      </c>
      <c r="J18373">
        <v>6</v>
      </c>
    </row>
    <row r="18374" spans="1:10" x14ac:dyDescent="0.25">
      <c r="A18374" t="s">
        <v>198</v>
      </c>
      <c r="B18374" s="1" t="str">
        <f>HYPERLINK("http://clintec.com","clintec.com")</f>
        <v>clintec.com</v>
      </c>
      <c r="C18374" t="s">
        <v>433</v>
      </c>
      <c r="F18374">
        <v>9.0491278438695204E-9</v>
      </c>
      <c r="G18374">
        <v>7919038</v>
      </c>
      <c r="H18374">
        <v>12848747</v>
      </c>
      <c r="I18374">
        <v>14297669</v>
      </c>
      <c r="J18374">
        <v>5</v>
      </c>
    </row>
    <row r="18375" spans="1:10" x14ac:dyDescent="0.25">
      <c r="A18375" t="s">
        <v>198</v>
      </c>
      <c r="B18375" s="1" t="str">
        <f>HYPERLINK("http://concentricsresearch.com","concentricsresearch.com")</f>
        <v>concentricsresearch.com</v>
      </c>
      <c r="C18375" t="s">
        <v>433</v>
      </c>
      <c r="F18375">
        <v>4.9625902253123302E-9</v>
      </c>
      <c r="G18375">
        <v>30439337</v>
      </c>
      <c r="H18375">
        <v>12183733</v>
      </c>
      <c r="I18375">
        <v>23722949</v>
      </c>
      <c r="J18375">
        <v>3</v>
      </c>
    </row>
    <row r="18376" spans="1:10" x14ac:dyDescent="0.25">
      <c r="A18376" t="s">
        <v>198</v>
      </c>
      <c r="B18376" s="1" t="str">
        <f>HYPERLINK("http://corezetta.com","corezetta.com")</f>
        <v>corezetta.com</v>
      </c>
      <c r="C18376" t="s">
        <v>433</v>
      </c>
      <c r="J18376">
        <v>3</v>
      </c>
    </row>
    <row r="18377" spans="1:10" x14ac:dyDescent="0.25">
      <c r="A18377" t="s">
        <v>198</v>
      </c>
      <c r="B18377" s="1" t="str">
        <f>HYPERLINK("http://diversinet.com","diversinet.com")</f>
        <v>diversinet.com</v>
      </c>
      <c r="C18377" t="s">
        <v>433</v>
      </c>
      <c r="F18377">
        <v>1.44416867473586E-8</v>
      </c>
      <c r="G18377">
        <v>4042637</v>
      </c>
      <c r="H18377">
        <v>13831096</v>
      </c>
      <c r="I18377">
        <v>6107033</v>
      </c>
      <c r="J18377">
        <v>7</v>
      </c>
    </row>
    <row r="18378" spans="1:10" x14ac:dyDescent="0.25">
      <c r="A18378" t="s">
        <v>198</v>
      </c>
      <c r="B18378" s="1" t="str">
        <f>HYPERLINK("http://drugdev.com","drugdev.com")</f>
        <v>drugdev.com</v>
      </c>
      <c r="C18378" t="s">
        <v>433</v>
      </c>
      <c r="E18378">
        <v>417608</v>
      </c>
      <c r="F18378">
        <v>1.2475101487770801E-7</v>
      </c>
      <c r="G18378">
        <v>316333</v>
      </c>
      <c r="H18378">
        <v>13462671</v>
      </c>
      <c r="I18378">
        <v>10148339</v>
      </c>
      <c r="J18378">
        <v>3</v>
      </c>
    </row>
    <row r="18379" spans="1:10" x14ac:dyDescent="0.25">
      <c r="A18379" t="s">
        <v>198</v>
      </c>
      <c r="B18379" s="1" t="str">
        <f>HYPERLINK("http://epernicus.com","epernicus.com")</f>
        <v>epernicus.com</v>
      </c>
      <c r="C18379" t="s">
        <v>433</v>
      </c>
      <c r="F18379">
        <v>1.2634689559095401E-7</v>
      </c>
      <c r="G18379">
        <v>312149</v>
      </c>
      <c r="H18379">
        <v>15151200</v>
      </c>
      <c r="I18379">
        <v>399999</v>
      </c>
      <c r="J18379">
        <v>6</v>
      </c>
    </row>
    <row r="18380" spans="1:10" x14ac:dyDescent="0.25">
      <c r="A18380" t="s">
        <v>198</v>
      </c>
      <c r="B18380" s="1" t="str">
        <f>HYPERLINK("http://epidresearch.com","epidresearch.com")</f>
        <v>epidresearch.com</v>
      </c>
      <c r="C18380" t="s">
        <v>433</v>
      </c>
      <c r="F18380">
        <v>4.44527202259839E-9</v>
      </c>
      <c r="G18380">
        <v>75449870</v>
      </c>
      <c r="H18380">
        <v>10455748</v>
      </c>
      <c r="I18380">
        <v>51968038</v>
      </c>
      <c r="J18380">
        <v>3</v>
      </c>
    </row>
    <row r="18381" spans="1:10" x14ac:dyDescent="0.25">
      <c r="A18381" t="s">
        <v>198</v>
      </c>
      <c r="B18381" s="1" t="str">
        <f>HYPERLINK("http://foundryhealth.com","foundryhealth.com")</f>
        <v>foundryhealth.com</v>
      </c>
      <c r="C18381" t="s">
        <v>433</v>
      </c>
      <c r="F18381">
        <v>6.3647065952767699E-9</v>
      </c>
      <c r="G18381">
        <v>14690701</v>
      </c>
      <c r="H18381">
        <v>12191157</v>
      </c>
      <c r="I18381">
        <v>23560113</v>
      </c>
      <c r="J18381">
        <v>3</v>
      </c>
    </row>
    <row r="18382" spans="1:10" x14ac:dyDescent="0.25">
      <c r="A18382" t="s">
        <v>198</v>
      </c>
      <c r="B18382" s="1" t="str">
        <f>HYPERLINK("http://genae.com","genae.com")</f>
        <v>genae.com</v>
      </c>
      <c r="C18382" t="s">
        <v>433</v>
      </c>
      <c r="F18382">
        <v>8.7044822140101594E-9</v>
      </c>
      <c r="G18382">
        <v>8469957</v>
      </c>
      <c r="H18382">
        <v>13162734</v>
      </c>
      <c r="I18382">
        <v>11762012</v>
      </c>
      <c r="J18382">
        <v>3</v>
      </c>
    </row>
    <row r="18383" spans="1:10" x14ac:dyDescent="0.25">
      <c r="A18383" t="s">
        <v>198</v>
      </c>
      <c r="B18383" s="1" t="str">
        <f>HYPERLINK("http://highpoint-solutions.com","highpoint-solutions.com")</f>
        <v>highpoint-solutions.com</v>
      </c>
      <c r="C18383" t="s">
        <v>433</v>
      </c>
      <c r="F18383">
        <v>5.5431867161213402E-9</v>
      </c>
      <c r="G18383">
        <v>20445914</v>
      </c>
      <c r="H18383">
        <v>12869634</v>
      </c>
      <c r="I18383">
        <v>14078656</v>
      </c>
      <c r="J18383">
        <v>7</v>
      </c>
    </row>
    <row r="18384" spans="1:10" x14ac:dyDescent="0.25">
      <c r="A18384" t="s">
        <v>198</v>
      </c>
      <c r="B18384" s="1" t="str">
        <f>HYPERLINK("http://highpointsolutions.com","highpointsolutions.com")</f>
        <v>highpointsolutions.com</v>
      </c>
      <c r="C18384" t="s">
        <v>433</v>
      </c>
      <c r="F18384">
        <v>1.2727945771341801E-8</v>
      </c>
      <c r="G18384">
        <v>4765426</v>
      </c>
      <c r="H18384">
        <v>13933288</v>
      </c>
      <c r="I18384">
        <v>4798520</v>
      </c>
      <c r="J18384">
        <v>3</v>
      </c>
    </row>
    <row r="18385" spans="1:10" x14ac:dyDescent="0.25">
      <c r="A18385" t="s">
        <v>198</v>
      </c>
      <c r="B18385" s="1" t="str">
        <f>HYPERLINK("http://imshealth.com","imshealth.com")</f>
        <v>imshealth.com</v>
      </c>
      <c r="C18385" t="s">
        <v>433</v>
      </c>
      <c r="E18385">
        <v>17648</v>
      </c>
      <c r="F18385">
        <v>5.8178141136272502E-7</v>
      </c>
      <c r="G18385">
        <v>65667</v>
      </c>
      <c r="H18385">
        <v>15309228</v>
      </c>
      <c r="I18385">
        <v>385363</v>
      </c>
      <c r="J18385">
        <v>3</v>
      </c>
    </row>
    <row r="18386" spans="1:10" x14ac:dyDescent="0.25">
      <c r="A18386" t="s">
        <v>198</v>
      </c>
      <c r="B18386" s="1" t="str">
        <f>HYPERLINK("http://incential.com","incential.com")</f>
        <v>incential.com</v>
      </c>
      <c r="C18386" t="s">
        <v>433</v>
      </c>
      <c r="F18386">
        <v>4.6013985330263901E-9</v>
      </c>
      <c r="G18386">
        <v>47496383</v>
      </c>
      <c r="H18386">
        <v>12563567</v>
      </c>
      <c r="I18386">
        <v>16681175</v>
      </c>
      <c r="J18386">
        <v>7</v>
      </c>
    </row>
    <row r="18387" spans="1:10" x14ac:dyDescent="0.25">
      <c r="A18387" t="s">
        <v>198</v>
      </c>
      <c r="B18387" s="1" t="str">
        <f>HYPERLINK("http://innovex.com","innovex.com")</f>
        <v>innovex.com</v>
      </c>
      <c r="C18387" t="s">
        <v>433</v>
      </c>
      <c r="F18387">
        <v>5.0530369415951799E-9</v>
      </c>
      <c r="G18387">
        <v>28153021</v>
      </c>
      <c r="H18387">
        <v>12896892</v>
      </c>
      <c r="I18387">
        <v>13893771</v>
      </c>
      <c r="J18387">
        <v>5</v>
      </c>
    </row>
    <row r="18388" spans="1:10" x14ac:dyDescent="0.25">
      <c r="A18388" t="s">
        <v>198</v>
      </c>
      <c r="B18388" s="1" t="str">
        <f>HYPERLINK("http://inteliquet.com","inteliquet.com")</f>
        <v>inteliquet.com</v>
      </c>
      <c r="C18388" t="s">
        <v>433</v>
      </c>
      <c r="F18388">
        <v>8.7901984876327797E-9</v>
      </c>
      <c r="G18388">
        <v>8326711</v>
      </c>
      <c r="H18388">
        <v>13228385</v>
      </c>
      <c r="I18388">
        <v>11291773</v>
      </c>
      <c r="J18388">
        <v>3</v>
      </c>
    </row>
    <row r="18389" spans="1:10" x14ac:dyDescent="0.25">
      <c r="A18389" t="s">
        <v>198</v>
      </c>
      <c r="B18389" s="1" t="str">
        <f>HYPERLINK("http://iqvia.com","iqvia.com")</f>
        <v>iqvia.com</v>
      </c>
      <c r="C18389" t="s">
        <v>433</v>
      </c>
      <c r="E18389">
        <v>18076</v>
      </c>
      <c r="F18389">
        <v>2.24194146635668E-6</v>
      </c>
      <c r="G18389">
        <v>16424</v>
      </c>
      <c r="H18389">
        <v>15940639</v>
      </c>
      <c r="I18389">
        <v>366861</v>
      </c>
      <c r="J18389">
        <v>1</v>
      </c>
    </row>
    <row r="18390" spans="1:10" x14ac:dyDescent="0.25">
      <c r="A18390" t="s">
        <v>198</v>
      </c>
      <c r="B18390" s="1" t="str">
        <f>HYPERLINK("http://lasso-os.com","lasso-os.com")</f>
        <v>lasso-os.com</v>
      </c>
      <c r="C18390" t="s">
        <v>433</v>
      </c>
      <c r="F18390">
        <v>5.6973557208661303E-9</v>
      </c>
      <c r="G18390">
        <v>18984044</v>
      </c>
      <c r="H18390">
        <v>10814970</v>
      </c>
      <c r="I18390">
        <v>37739224</v>
      </c>
      <c r="J18390">
        <v>6</v>
      </c>
    </row>
    <row r="18391" spans="1:10" x14ac:dyDescent="0.25">
      <c r="A18391" t="s">
        <v>198</v>
      </c>
      <c r="B18391" s="1" t="str">
        <f>HYPERLINK("http://linguamatics.com","linguamatics.com")</f>
        <v>linguamatics.com</v>
      </c>
      <c r="C18391" t="s">
        <v>433</v>
      </c>
      <c r="F18391">
        <v>8.1723565332661597E-8</v>
      </c>
      <c r="G18391">
        <v>510679</v>
      </c>
      <c r="H18391">
        <v>14593064</v>
      </c>
      <c r="I18391">
        <v>692849</v>
      </c>
      <c r="J18391">
        <v>3</v>
      </c>
    </row>
    <row r="18392" spans="1:10" x14ac:dyDescent="0.25">
      <c r="A18392" t="s">
        <v>198</v>
      </c>
      <c r="B18392" s="1" t="str">
        <f>HYPERLINK("http://medineos.com","medineos.com")</f>
        <v>medineos.com</v>
      </c>
      <c r="C18392" t="s">
        <v>433</v>
      </c>
      <c r="F18392">
        <v>4.9174636051416604E-9</v>
      </c>
      <c r="G18392">
        <v>31775442</v>
      </c>
      <c r="H18392">
        <v>12372554</v>
      </c>
      <c r="I18392">
        <v>19365212</v>
      </c>
      <c r="J18392">
        <v>4</v>
      </c>
    </row>
    <row r="18393" spans="1:10" x14ac:dyDescent="0.25">
      <c r="A18393" t="s">
        <v>198</v>
      </c>
      <c r="B18393" s="1" t="str">
        <f>HYPERLINK("http://medvantage.com","medvantage.com")</f>
        <v>medvantage.com</v>
      </c>
      <c r="C18393" t="s">
        <v>433</v>
      </c>
      <c r="F18393">
        <v>4.9612797998052598E-9</v>
      </c>
      <c r="G18393">
        <v>30475399</v>
      </c>
      <c r="H18393">
        <v>12125292</v>
      </c>
      <c r="I18393">
        <v>25272425</v>
      </c>
      <c r="J18393">
        <v>3</v>
      </c>
    </row>
    <row r="18394" spans="1:10" x14ac:dyDescent="0.25">
      <c r="A18394" t="s">
        <v>198</v>
      </c>
      <c r="B18394" s="1" t="str">
        <f>HYPERLINK("http://novasyte.com","novasyte.com")</f>
        <v>novasyte.com</v>
      </c>
      <c r="C18394" t="s">
        <v>433</v>
      </c>
      <c r="F18394">
        <v>3.2203022683841999E-8</v>
      </c>
      <c r="G18394">
        <v>1605699</v>
      </c>
      <c r="H18394">
        <v>13298126</v>
      </c>
      <c r="I18394">
        <v>10838952</v>
      </c>
      <c r="J18394">
        <v>3</v>
      </c>
    </row>
    <row r="18395" spans="1:10" x14ac:dyDescent="0.25">
      <c r="A18395" t="s">
        <v>198</v>
      </c>
      <c r="B18395" s="1" t="str">
        <f>HYPERLINK("http://novellaclinical.com","novellaclinical.com")</f>
        <v>novellaclinical.com</v>
      </c>
      <c r="C18395" t="s">
        <v>433</v>
      </c>
      <c r="F18395">
        <v>6.92268252810642E-9</v>
      </c>
      <c r="G18395">
        <v>12549602</v>
      </c>
      <c r="H18395">
        <v>12635630</v>
      </c>
      <c r="I18395">
        <v>15909418</v>
      </c>
      <c r="J18395">
        <v>3</v>
      </c>
    </row>
    <row r="18396" spans="1:10" x14ac:dyDescent="0.25">
      <c r="A18396" t="s">
        <v>198</v>
      </c>
      <c r="B18396" s="1" t="str">
        <f>HYPERLINK("http://pharmarc.com","pharmarc.com")</f>
        <v>pharmarc.com</v>
      </c>
      <c r="C18396" t="s">
        <v>433</v>
      </c>
      <c r="F18396">
        <v>4.5805007578741898E-9</v>
      </c>
      <c r="G18396">
        <v>49247948</v>
      </c>
      <c r="H18396">
        <v>10943625</v>
      </c>
      <c r="I18396">
        <v>34736448</v>
      </c>
      <c r="J18396">
        <v>3</v>
      </c>
    </row>
    <row r="18397" spans="1:10" x14ac:dyDescent="0.25">
      <c r="A18397" t="s">
        <v>198</v>
      </c>
      <c r="B18397" s="1" t="str">
        <f>HYPERLINK("http://pharmaspectra.com","pharmaspectra.com")</f>
        <v>pharmaspectra.com</v>
      </c>
      <c r="C18397" t="s">
        <v>433</v>
      </c>
      <c r="F18397">
        <v>1.2998959182958699E-8</v>
      </c>
      <c r="G18397">
        <v>4632192</v>
      </c>
      <c r="H18397">
        <v>12470652</v>
      </c>
      <c r="I18397">
        <v>17741127</v>
      </c>
      <c r="J18397">
        <v>3</v>
      </c>
    </row>
    <row r="18398" spans="1:10" x14ac:dyDescent="0.25">
      <c r="A18398" t="s">
        <v>198</v>
      </c>
      <c r="B18398" s="1" t="str">
        <f>HYPERLINK("http://privacy-analytics.com","privacy-analytics.com")</f>
        <v>privacy-analytics.com</v>
      </c>
      <c r="C18398" t="s">
        <v>433</v>
      </c>
      <c r="F18398">
        <v>5.5946329554069899E-8</v>
      </c>
      <c r="G18398">
        <v>800773</v>
      </c>
      <c r="H18398">
        <v>13694638</v>
      </c>
      <c r="I18398">
        <v>9526770</v>
      </c>
      <c r="J18398">
        <v>3</v>
      </c>
    </row>
    <row r="18399" spans="1:10" x14ac:dyDescent="0.25">
      <c r="A18399" t="s">
        <v>198</v>
      </c>
      <c r="B18399" s="1" t="str">
        <f>HYPERLINK("http://prometheusresearch.com","prometheusresearch.com")</f>
        <v>prometheusresearch.com</v>
      </c>
      <c r="C18399" t="s">
        <v>433</v>
      </c>
      <c r="F18399">
        <v>3.53818055514177E-8</v>
      </c>
      <c r="G18399">
        <v>1470472</v>
      </c>
      <c r="H18399">
        <v>13880788</v>
      </c>
      <c r="I18399">
        <v>5982657</v>
      </c>
      <c r="J18399">
        <v>3</v>
      </c>
    </row>
    <row r="18400" spans="1:10" x14ac:dyDescent="0.25">
      <c r="A18400" t="s">
        <v>198</v>
      </c>
      <c r="B18400" s="1" t="str">
        <f>HYPERLINK("http://quintiles.com","quintiles.com")</f>
        <v>quintiles.com</v>
      </c>
      <c r="C18400" t="s">
        <v>433</v>
      </c>
      <c r="E18400">
        <v>105555</v>
      </c>
      <c r="F18400">
        <v>1.5293914349103199E-7</v>
      </c>
      <c r="G18400">
        <v>253973</v>
      </c>
      <c r="H18400">
        <v>14508128</v>
      </c>
      <c r="I18400">
        <v>829119</v>
      </c>
      <c r="J18400">
        <v>3</v>
      </c>
    </row>
    <row r="18401" spans="1:10" x14ac:dyDescent="0.25">
      <c r="A18401" t="s">
        <v>198</v>
      </c>
      <c r="B18401" s="1" t="str">
        <f>HYPERLINK("http://quintilesims.com","quintilesims.com")</f>
        <v>quintilesims.com</v>
      </c>
      <c r="C18401" t="s">
        <v>433</v>
      </c>
      <c r="F18401">
        <v>4.61534313875066E-8</v>
      </c>
      <c r="G18401">
        <v>1015737</v>
      </c>
      <c r="H18401">
        <v>14074344</v>
      </c>
      <c r="I18401">
        <v>2946532</v>
      </c>
      <c r="J18401">
        <v>6</v>
      </c>
    </row>
    <row r="18402" spans="1:10" x14ac:dyDescent="0.25">
      <c r="A18402" t="s">
        <v>198</v>
      </c>
      <c r="B18402" s="1" t="str">
        <f>HYPERLINK("http://r2ss.com","r2ss.com")</f>
        <v>r2ss.com</v>
      </c>
      <c r="C18402" t="s">
        <v>433</v>
      </c>
      <c r="F18402">
        <v>5.0312062076933596E-9</v>
      </c>
      <c r="G18402">
        <v>28641145</v>
      </c>
      <c r="H18402">
        <v>12622789</v>
      </c>
      <c r="I18402">
        <v>16061299</v>
      </c>
      <c r="J18402">
        <v>7</v>
      </c>
    </row>
    <row r="18403" spans="1:10" x14ac:dyDescent="0.25">
      <c r="A18403" t="s">
        <v>198</v>
      </c>
      <c r="B18403" s="1" t="str">
        <f>HYPERLINK("http://safetysystemsseminar.com","safetysystemsseminar.com")</f>
        <v>safetysystemsseminar.com</v>
      </c>
      <c r="C18403" t="s">
        <v>433</v>
      </c>
      <c r="F18403">
        <v>4.8233942841353702E-9</v>
      </c>
      <c r="G18403">
        <v>35091486</v>
      </c>
      <c r="H18403">
        <v>10777855</v>
      </c>
      <c r="I18403">
        <v>38995876</v>
      </c>
      <c r="J18403">
        <v>4</v>
      </c>
    </row>
    <row r="18404" spans="1:10" x14ac:dyDescent="0.25">
      <c r="A18404" t="s">
        <v>198</v>
      </c>
      <c r="B18404" s="1" t="str">
        <f>HYPERLINK("http://santestat.com","santestat.com")</f>
        <v>santestat.com</v>
      </c>
      <c r="C18404" t="s">
        <v>433</v>
      </c>
      <c r="F18404">
        <v>4.7343603924119698E-9</v>
      </c>
      <c r="G18404">
        <v>39107706</v>
      </c>
      <c r="H18404">
        <v>1.0003663</v>
      </c>
      <c r="I18404">
        <v>79026924</v>
      </c>
      <c r="J18404">
        <v>3</v>
      </c>
    </row>
    <row r="18405" spans="1:10" x14ac:dyDescent="0.25">
      <c r="A18405" t="s">
        <v>198</v>
      </c>
      <c r="B18405" s="1" t="str">
        <f>HYPERLINK("http://schwarzeck.com","schwarzeck.com")</f>
        <v>schwarzeck.com</v>
      </c>
      <c r="C18405" t="s">
        <v>433</v>
      </c>
      <c r="F18405">
        <v>4.44380395335525E-9</v>
      </c>
      <c r="G18405">
        <v>83318080</v>
      </c>
      <c r="H18405">
        <v>0</v>
      </c>
      <c r="I18405">
        <v>84114830</v>
      </c>
      <c r="J18405">
        <v>4</v>
      </c>
    </row>
    <row r="18406" spans="1:10" x14ac:dyDescent="0.25">
      <c r="A18406" t="s">
        <v>198</v>
      </c>
      <c r="B18406" s="1" t="str">
        <f>HYPERLINK("http://secureconsent.com","secureconsent.com")</f>
        <v>secureconsent.com</v>
      </c>
      <c r="C18406" t="s">
        <v>433</v>
      </c>
      <c r="F18406">
        <v>5.50614774527088E-9</v>
      </c>
      <c r="G18406">
        <v>20833062</v>
      </c>
      <c r="H18406">
        <v>13443720</v>
      </c>
      <c r="I18406">
        <v>10227409</v>
      </c>
      <c r="J18406">
        <v>3</v>
      </c>
    </row>
    <row r="18407" spans="1:10" x14ac:dyDescent="0.25">
      <c r="A18407" t="s">
        <v>198</v>
      </c>
      <c r="B18407" s="1" t="str">
        <f>HYPERLINK("http://staicy.com","staicy.com")</f>
        <v>staicy.com</v>
      </c>
      <c r="C18407" t="s">
        <v>433</v>
      </c>
      <c r="F18407">
        <v>1.98660038595332E-8</v>
      </c>
      <c r="G18407">
        <v>2680213</v>
      </c>
      <c r="H18407">
        <v>12300478</v>
      </c>
      <c r="I18407">
        <v>20822523</v>
      </c>
      <c r="J18407">
        <v>2</v>
      </c>
    </row>
    <row r="18408" spans="1:10" x14ac:dyDescent="0.25">
      <c r="A18408" t="s">
        <v>198</v>
      </c>
      <c r="B18408" s="1" t="str">
        <f>HYPERLINK("http://tmdlab.com","tmdlab.com")</f>
        <v>tmdlab.com</v>
      </c>
      <c r="C18408" t="s">
        <v>433</v>
      </c>
      <c r="F18408">
        <v>8.4052642751059198E-9</v>
      </c>
      <c r="G18408">
        <v>9032009</v>
      </c>
      <c r="H18408">
        <v>13238409</v>
      </c>
      <c r="I18408">
        <v>11229122</v>
      </c>
      <c r="J18408">
        <v>3</v>
      </c>
    </row>
    <row r="18409" spans="1:10" x14ac:dyDescent="0.25">
      <c r="A18409" t="s">
        <v>198</v>
      </c>
      <c r="B18409" s="1" t="str">
        <f>HYPERLINK("http://davaso-holding.de","davaso-holding.de")</f>
        <v>davaso-holding.de</v>
      </c>
      <c r="C18409" t="s">
        <v>436</v>
      </c>
      <c r="D18409" t="s">
        <v>815</v>
      </c>
      <c r="F18409">
        <v>7.9454497577830396E-9</v>
      </c>
      <c r="G18409">
        <v>10022439</v>
      </c>
      <c r="H18409">
        <v>10872244</v>
      </c>
      <c r="I18409">
        <v>36462919</v>
      </c>
      <c r="J18409">
        <v>5</v>
      </c>
    </row>
    <row r="18410" spans="1:10" x14ac:dyDescent="0.25">
      <c r="A18410" t="s">
        <v>198</v>
      </c>
      <c r="B18410" s="1" t="str">
        <f>HYPERLINK("http://gradient.de","gradient.de")</f>
        <v>gradient.de</v>
      </c>
      <c r="C18410" t="s">
        <v>436</v>
      </c>
      <c r="D18410" t="s">
        <v>815</v>
      </c>
      <c r="F18410">
        <v>1.6512116767625001E-8</v>
      </c>
      <c r="G18410">
        <v>3410716</v>
      </c>
      <c r="H18410">
        <v>12524422</v>
      </c>
      <c r="I18410">
        <v>17107482</v>
      </c>
      <c r="J18410">
        <v>3</v>
      </c>
    </row>
    <row r="18411" spans="1:10" x14ac:dyDescent="0.25">
      <c r="A18411" t="s">
        <v>198</v>
      </c>
      <c r="B18411" s="1" t="str">
        <f>HYPERLINK("http://imshealth.de","imshealth.de")</f>
        <v>imshealth.de</v>
      </c>
      <c r="C18411" t="s">
        <v>436</v>
      </c>
      <c r="D18411" t="s">
        <v>815</v>
      </c>
      <c r="F18411">
        <v>9.0199505090967796E-9</v>
      </c>
      <c r="G18411">
        <v>7962512</v>
      </c>
      <c r="H18411">
        <v>12778070</v>
      </c>
      <c r="I18411">
        <v>14780949</v>
      </c>
      <c r="J18411">
        <v>3</v>
      </c>
    </row>
    <row r="18412" spans="1:10" x14ac:dyDescent="0.25">
      <c r="A18412" t="s">
        <v>198</v>
      </c>
      <c r="B18412" s="1" t="str">
        <f>HYPERLINK("http://schwarzeck.de","schwarzeck.de")</f>
        <v>schwarzeck.de</v>
      </c>
      <c r="C18412" t="s">
        <v>436</v>
      </c>
      <c r="D18412" t="s">
        <v>815</v>
      </c>
      <c r="F18412">
        <v>6.9442995442817604E-9</v>
      </c>
      <c r="G18412">
        <v>12481998</v>
      </c>
      <c r="H18412">
        <v>10512002</v>
      </c>
      <c r="I18412">
        <v>49441466</v>
      </c>
      <c r="J18412">
        <v>3</v>
      </c>
    </row>
    <row r="18413" spans="1:10" x14ac:dyDescent="0.25">
      <c r="A18413" t="s">
        <v>198</v>
      </c>
      <c r="B18413" s="1" t="str">
        <f>HYPERLINK("http://global-perspectives.eu","global-perspectives.eu")</f>
        <v>global-perspectives.eu</v>
      </c>
      <c r="C18413" t="s">
        <v>444</v>
      </c>
      <c r="F18413">
        <v>5.2532672944059396E-9</v>
      </c>
      <c r="G18413">
        <v>24208127</v>
      </c>
      <c r="H18413">
        <v>12317516</v>
      </c>
      <c r="I18413">
        <v>20462790</v>
      </c>
      <c r="J18413">
        <v>4</v>
      </c>
    </row>
    <row r="18414" spans="1:10" x14ac:dyDescent="0.25">
      <c r="A18414" t="s">
        <v>198</v>
      </c>
      <c r="B18414" s="1" t="str">
        <f>HYPERLINK("http://epidresearch.fi","epidresearch.fi")</f>
        <v>epidresearch.fi</v>
      </c>
      <c r="C18414" t="s">
        <v>445</v>
      </c>
      <c r="D18414" t="s">
        <v>823</v>
      </c>
      <c r="F18414">
        <v>4.4442301203895998E-9</v>
      </c>
      <c r="G18414">
        <v>77237532</v>
      </c>
      <c r="H18414">
        <v>10343830</v>
      </c>
      <c r="I18414">
        <v>57637595</v>
      </c>
      <c r="J18414">
        <v>4</v>
      </c>
    </row>
    <row r="18415" spans="1:10" x14ac:dyDescent="0.25">
      <c r="A18415" t="s">
        <v>198</v>
      </c>
      <c r="B18415" s="1" t="str">
        <f>HYPERLINK("http://innovex.fi","innovex.fi")</f>
        <v>innovex.fi</v>
      </c>
      <c r="C18415" t="s">
        <v>445</v>
      </c>
      <c r="D18415" t="s">
        <v>823</v>
      </c>
      <c r="F18415">
        <v>4.4442301203895998E-9</v>
      </c>
      <c r="G18415">
        <v>77237952</v>
      </c>
      <c r="H18415">
        <v>10343830</v>
      </c>
      <c r="I18415">
        <v>57638267</v>
      </c>
      <c r="J18415">
        <v>4</v>
      </c>
    </row>
    <row r="18416" spans="1:10" x14ac:dyDescent="0.25">
      <c r="A18416" t="s">
        <v>198</v>
      </c>
      <c r="B18416" s="1" t="str">
        <f>HYPERLINK("http://iqvia.fi","iqvia.fi")</f>
        <v>iqvia.fi</v>
      </c>
      <c r="C18416" t="s">
        <v>445</v>
      </c>
      <c r="D18416" t="s">
        <v>823</v>
      </c>
      <c r="J18416">
        <v>4</v>
      </c>
    </row>
    <row r="18417" spans="1:10" x14ac:dyDescent="0.25">
      <c r="A18417" t="s">
        <v>198</v>
      </c>
      <c r="B18417" s="1" t="str">
        <f>HYPERLINK("http://osoitepankki.fi","osoitepankki.fi")</f>
        <v>osoitepankki.fi</v>
      </c>
      <c r="C18417" t="s">
        <v>445</v>
      </c>
      <c r="D18417" t="s">
        <v>823</v>
      </c>
      <c r="J18417">
        <v>4</v>
      </c>
    </row>
    <row r="18418" spans="1:10" x14ac:dyDescent="0.25">
      <c r="A18418" t="s">
        <v>198</v>
      </c>
      <c r="B18418" s="1" t="str">
        <f>HYPERLINK("http://statfinn.fi","statfinn.fi")</f>
        <v>statfinn.fi</v>
      </c>
      <c r="C18418" t="s">
        <v>445</v>
      </c>
      <c r="D18418" t="s">
        <v>823</v>
      </c>
      <c r="F18418">
        <v>4.9368480386976301E-9</v>
      </c>
      <c r="G18418">
        <v>31181058</v>
      </c>
      <c r="H18418">
        <v>12388254</v>
      </c>
      <c r="I18418">
        <v>19078755</v>
      </c>
      <c r="J18418">
        <v>3</v>
      </c>
    </row>
    <row r="18419" spans="1:10" x14ac:dyDescent="0.25">
      <c r="A18419" t="s">
        <v>198</v>
      </c>
      <c r="B18419" s="1" t="str">
        <f>HYPERLINK("http://lassoplatform.io","lassoplatform.io")</f>
        <v>lassoplatform.io</v>
      </c>
      <c r="C18419" t="s">
        <v>518</v>
      </c>
      <c r="F18419">
        <v>1.01698796671333E-7</v>
      </c>
      <c r="G18419">
        <v>395185</v>
      </c>
      <c r="H18419">
        <v>12928888</v>
      </c>
      <c r="I18419">
        <v>13373876</v>
      </c>
      <c r="J18419">
        <v>3</v>
      </c>
    </row>
    <row r="18420" spans="1:10" x14ac:dyDescent="0.25">
      <c r="A18420" t="s">
        <v>198</v>
      </c>
      <c r="B18420" s="1" t="str">
        <f>HYPERLINK("http://marckruse.nl","marckruse.nl")</f>
        <v>marckruse.nl</v>
      </c>
      <c r="C18420" t="s">
        <v>477</v>
      </c>
      <c r="D18420" t="s">
        <v>852</v>
      </c>
      <c r="F18420">
        <v>4.82152728939044E-9</v>
      </c>
      <c r="G18420">
        <v>35212784</v>
      </c>
      <c r="H18420">
        <v>1.0003663</v>
      </c>
      <c r="I18420">
        <v>79631178</v>
      </c>
      <c r="J18420">
        <v>6</v>
      </c>
    </row>
    <row r="18421" spans="1:10" x14ac:dyDescent="0.25">
      <c r="A18421" t="s">
        <v>198</v>
      </c>
      <c r="B18421" s="1" t="str">
        <f>HYPERLINK("http://phobia.nl","phobia.nl")</f>
        <v>phobia.nl</v>
      </c>
      <c r="C18421" t="s">
        <v>477</v>
      </c>
      <c r="D18421" t="s">
        <v>852</v>
      </c>
      <c r="F18421">
        <v>5.6316882119084398E-9</v>
      </c>
      <c r="G18421">
        <v>19560049</v>
      </c>
      <c r="H18421">
        <v>12334095</v>
      </c>
      <c r="I18421">
        <v>20124690</v>
      </c>
      <c r="J18421">
        <v>6</v>
      </c>
    </row>
    <row r="18422" spans="1:10" x14ac:dyDescent="0.25">
      <c r="A18422" t="s">
        <v>198</v>
      </c>
      <c r="B18422" s="1" t="str">
        <f>HYPERLINK("http://cegedim.sk","cegedim.sk")</f>
        <v>cegedim.sk</v>
      </c>
      <c r="C18422" t="s">
        <v>498</v>
      </c>
      <c r="D18422" t="s">
        <v>872</v>
      </c>
      <c r="J18422">
        <v>3</v>
      </c>
    </row>
    <row r="18423" spans="1:10" x14ac:dyDescent="0.25">
      <c r="A18423" t="s">
        <v>198</v>
      </c>
      <c r="B18423" s="1" t="str">
        <f>HYPERLINK("http://dataline.co.uk","dataline.co.uk")</f>
        <v>dataline.co.uk</v>
      </c>
      <c r="C18423" t="s">
        <v>506</v>
      </c>
      <c r="D18423" t="s">
        <v>880</v>
      </c>
      <c r="F18423">
        <v>5.3672953690210803E-9</v>
      </c>
      <c r="G18423">
        <v>22575552</v>
      </c>
      <c r="H18423">
        <v>13933064</v>
      </c>
      <c r="I18423">
        <v>5049510</v>
      </c>
      <c r="J18423">
        <v>5</v>
      </c>
    </row>
    <row r="18424" spans="1:10" x14ac:dyDescent="0.25">
      <c r="A18424" t="s">
        <v>198</v>
      </c>
      <c r="B18424" s="1" t="str">
        <f>HYPERLINK("http://interface-cs.co.uk","interface-cs.co.uk")</f>
        <v>interface-cs.co.uk</v>
      </c>
      <c r="C18424" t="s">
        <v>506</v>
      </c>
      <c r="D18424" t="s">
        <v>880</v>
      </c>
      <c r="F18424">
        <v>4.8143281708859098E-9</v>
      </c>
      <c r="G18424">
        <v>35495295</v>
      </c>
      <c r="H18424">
        <v>12175467</v>
      </c>
      <c r="I18424">
        <v>23919065</v>
      </c>
      <c r="J18424">
        <v>2</v>
      </c>
    </row>
    <row r="18425" spans="1:10" x14ac:dyDescent="0.25">
      <c r="A18425" t="s">
        <v>1622</v>
      </c>
      <c r="B18425" s="1" t="str">
        <f>HYPERLINK("http://classmatestationery.com","classmatestationery.com")</f>
        <v>classmatestationery.com</v>
      </c>
      <c r="C18425" t="s">
        <v>433</v>
      </c>
      <c r="F18425">
        <v>4.54133873491482E-9</v>
      </c>
      <c r="G18425">
        <v>53184230</v>
      </c>
      <c r="H18425">
        <v>10711275</v>
      </c>
      <c r="I18425">
        <v>42138633</v>
      </c>
      <c r="J18425">
        <v>6</v>
      </c>
    </row>
    <row r="18426" spans="1:10" x14ac:dyDescent="0.25">
      <c r="A18426" t="s">
        <v>1622</v>
      </c>
      <c r="B18426" s="1" t="str">
        <f>HYPERLINK("http://itchotels.com","itchotels.com")</f>
        <v>itchotels.com</v>
      </c>
      <c r="C18426" t="s">
        <v>433</v>
      </c>
      <c r="E18426">
        <v>224184</v>
      </c>
      <c r="F18426">
        <v>2.3359092216382599E-7</v>
      </c>
      <c r="G18426">
        <v>160530</v>
      </c>
      <c r="H18426">
        <v>14097377</v>
      </c>
      <c r="I18426">
        <v>2721158</v>
      </c>
      <c r="J18426">
        <v>8</v>
      </c>
    </row>
    <row r="18427" spans="1:10" x14ac:dyDescent="0.25">
      <c r="A18427" t="s">
        <v>1622</v>
      </c>
      <c r="B18427" s="1" t="str">
        <f>HYPERLINK("http://itcinfotech.com","itcinfotech.com")</f>
        <v>itcinfotech.com</v>
      </c>
      <c r="C18427" t="s">
        <v>433</v>
      </c>
      <c r="E18427">
        <v>163288</v>
      </c>
      <c r="F18427">
        <v>8.7145602552372701E-8</v>
      </c>
      <c r="G18427">
        <v>471058</v>
      </c>
      <c r="H18427">
        <v>14509081</v>
      </c>
      <c r="I18427">
        <v>826978</v>
      </c>
      <c r="J18427">
        <v>3</v>
      </c>
    </row>
    <row r="18428" spans="1:10" x14ac:dyDescent="0.25">
      <c r="A18428" t="s">
        <v>1622</v>
      </c>
      <c r="B18428" s="1" t="str">
        <f>HYPERLINK("http://itcportal.com","itcportal.com")</f>
        <v>itcportal.com</v>
      </c>
      <c r="C18428" t="s">
        <v>433</v>
      </c>
      <c r="E18428">
        <v>214560</v>
      </c>
      <c r="F18428">
        <v>2.8936925379249799E-7</v>
      </c>
      <c r="G18428">
        <v>128539</v>
      </c>
      <c r="H18428">
        <v>17153562</v>
      </c>
      <c r="I18428">
        <v>51504</v>
      </c>
      <c r="J18428">
        <v>1</v>
      </c>
    </row>
    <row r="18429" spans="1:10" x14ac:dyDescent="0.25">
      <c r="A18429" t="s">
        <v>1622</v>
      </c>
      <c r="B18429" s="1" t="str">
        <f>HYPERLINK("http://landbaseindia.com","landbaseindia.com")</f>
        <v>landbaseindia.com</v>
      </c>
      <c r="C18429" t="s">
        <v>433</v>
      </c>
      <c r="F18429">
        <v>4.4691699593584003E-9</v>
      </c>
      <c r="G18429">
        <v>64771816</v>
      </c>
      <c r="H18429">
        <v>12403044</v>
      </c>
      <c r="I18429">
        <v>18732010</v>
      </c>
      <c r="J18429">
        <v>3</v>
      </c>
    </row>
    <row r="18430" spans="1:10" x14ac:dyDescent="0.25">
      <c r="A18430" t="s">
        <v>1622</v>
      </c>
      <c r="B18430" s="1" t="str">
        <f>HYPERLINK("http://technituberindia.com","technituberindia.com")</f>
        <v>technituberindia.com</v>
      </c>
      <c r="C18430" t="s">
        <v>433</v>
      </c>
      <c r="F18430">
        <v>4.9546197237683102E-9</v>
      </c>
      <c r="G18430">
        <v>30656994</v>
      </c>
      <c r="H18430">
        <v>12325884</v>
      </c>
      <c r="I18430">
        <v>20310446</v>
      </c>
      <c r="J18430">
        <v>3</v>
      </c>
    </row>
    <row r="18431" spans="1:10" x14ac:dyDescent="0.25">
      <c r="A18431" t="s">
        <v>1622</v>
      </c>
      <c r="B18431" s="1" t="str">
        <f>HYPERLINK("http://itc.in","itc.in")</f>
        <v>itc.in</v>
      </c>
      <c r="C18431" t="s">
        <v>457</v>
      </c>
      <c r="D18431" t="s">
        <v>834</v>
      </c>
      <c r="E18431">
        <v>793606</v>
      </c>
      <c r="F18431">
        <v>5.07738154921169E-9</v>
      </c>
      <c r="G18431">
        <v>27569222</v>
      </c>
      <c r="H18431">
        <v>12017613</v>
      </c>
      <c r="I18431">
        <v>27911568</v>
      </c>
      <c r="J18431">
        <v>2</v>
      </c>
    </row>
    <row r="18432" spans="1:10" x14ac:dyDescent="0.25">
      <c r="A18432" t="s">
        <v>1622</v>
      </c>
      <c r="B18432" s="1" t="str">
        <f>HYPERLINK("http://itchotels.in","itchotels.in")</f>
        <v>itchotels.in</v>
      </c>
      <c r="C18432" t="s">
        <v>457</v>
      </c>
      <c r="D18432" t="s">
        <v>834</v>
      </c>
      <c r="E18432">
        <v>278035</v>
      </c>
      <c r="F18432">
        <v>1.7104262206522001E-7</v>
      </c>
      <c r="G18432">
        <v>226771</v>
      </c>
      <c r="H18432">
        <v>17088996</v>
      </c>
      <c r="I18432">
        <v>66181</v>
      </c>
      <c r="J18432">
        <v>7</v>
      </c>
    </row>
    <row r="18433" spans="1:10" x14ac:dyDescent="0.25">
      <c r="A18433" t="s">
        <v>1622</v>
      </c>
      <c r="B18433" s="1" t="str">
        <f>HYPERLINK("http://sunrise.in","sunrise.in")</f>
        <v>sunrise.in</v>
      </c>
      <c r="C18433" t="s">
        <v>457</v>
      </c>
      <c r="D18433" t="s">
        <v>834</v>
      </c>
      <c r="F18433">
        <v>7.5353736214955101E-9</v>
      </c>
      <c r="G18433">
        <v>10936265</v>
      </c>
      <c r="H18433">
        <v>12650925</v>
      </c>
      <c r="I18433">
        <v>15791789</v>
      </c>
      <c r="J18433">
        <v>6</v>
      </c>
    </row>
    <row r="18434" spans="1:10" x14ac:dyDescent="0.25">
      <c r="A18434" t="s">
        <v>1622</v>
      </c>
      <c r="B18434" s="1" t="str">
        <f>HYPERLINK("http://itcportal.mobi","itcportal.mobi")</f>
        <v>itcportal.mobi</v>
      </c>
      <c r="C18434" t="s">
        <v>532</v>
      </c>
      <c r="F18434">
        <v>7.3056789034732201E-9</v>
      </c>
      <c r="G18434">
        <v>11465822</v>
      </c>
      <c r="H18434">
        <v>12351002</v>
      </c>
      <c r="I18434">
        <v>19750682</v>
      </c>
      <c r="J18434">
        <v>2</v>
      </c>
    </row>
    <row r="18435" spans="1:10" x14ac:dyDescent="0.25">
      <c r="A18435" t="s">
        <v>199</v>
      </c>
      <c r="B18435" s="1" t="str">
        <f>HYPERLINK("http://parep.com.au","parep.com.au")</f>
        <v>parep.com.au</v>
      </c>
      <c r="C18435" t="s">
        <v>420</v>
      </c>
      <c r="D18435" t="s">
        <v>802</v>
      </c>
      <c r="F18435">
        <v>5.5286051294742999E-9</v>
      </c>
      <c r="G18435">
        <v>20598408</v>
      </c>
      <c r="H18435">
        <v>12896599</v>
      </c>
      <c r="I18435">
        <v>13895017</v>
      </c>
      <c r="J18435">
        <v>4</v>
      </c>
    </row>
    <row r="18436" spans="1:10" x14ac:dyDescent="0.25">
      <c r="A18436" t="s">
        <v>199</v>
      </c>
      <c r="B18436" s="1" t="str">
        <f>HYPERLINK("http://ceb.com.br","ceb.com.br")</f>
        <v>ceb.com.br</v>
      </c>
      <c r="C18436" t="s">
        <v>425</v>
      </c>
      <c r="D18436" t="s">
        <v>806</v>
      </c>
      <c r="E18436">
        <v>867487</v>
      </c>
      <c r="F18436">
        <v>6.4842088354535296E-8</v>
      </c>
      <c r="G18436">
        <v>665187</v>
      </c>
      <c r="H18436">
        <v>16939558</v>
      </c>
      <c r="I18436">
        <v>113286</v>
      </c>
      <c r="J18436">
        <v>3</v>
      </c>
    </row>
    <row r="18437" spans="1:10" x14ac:dyDescent="0.25">
      <c r="A18437" t="s">
        <v>199</v>
      </c>
      <c r="B18437" s="1" t="str">
        <f>HYPERLINK("http://celpe.com.br","celpe.com.br")</f>
        <v>celpe.com.br</v>
      </c>
      <c r="C18437" t="s">
        <v>425</v>
      </c>
      <c r="D18437" t="s">
        <v>806</v>
      </c>
      <c r="E18437">
        <v>258440</v>
      </c>
      <c r="F18437">
        <v>2.85097902199082E-8</v>
      </c>
      <c r="G18437">
        <v>1805466</v>
      </c>
      <c r="H18437">
        <v>14574508</v>
      </c>
      <c r="I18437">
        <v>731467</v>
      </c>
      <c r="J18437">
        <v>5</v>
      </c>
    </row>
    <row r="18438" spans="1:10" x14ac:dyDescent="0.25">
      <c r="A18438" t="s">
        <v>199</v>
      </c>
      <c r="B18438" s="1" t="str">
        <f>HYPERLINK("http://coelba.com.br","coelba.com.br")</f>
        <v>coelba.com.br</v>
      </c>
      <c r="C18438" t="s">
        <v>425</v>
      </c>
      <c r="D18438" t="s">
        <v>806</v>
      </c>
      <c r="E18438">
        <v>196956</v>
      </c>
      <c r="F18438">
        <v>3.4637144596776402E-8</v>
      </c>
      <c r="G18438">
        <v>1498163</v>
      </c>
      <c r="H18438">
        <v>14581160</v>
      </c>
      <c r="I18438">
        <v>708869</v>
      </c>
      <c r="J18438">
        <v>5</v>
      </c>
    </row>
    <row r="18439" spans="1:10" x14ac:dyDescent="0.25">
      <c r="A18439" t="s">
        <v>199</v>
      </c>
      <c r="B18439" s="1" t="str">
        <f>HYPERLINK("http://cosern.com.br","cosern.com.br")</f>
        <v>cosern.com.br</v>
      </c>
      <c r="C18439" t="s">
        <v>425</v>
      </c>
      <c r="D18439" t="s">
        <v>806</v>
      </c>
      <c r="F18439">
        <v>2.2832683809706E-8</v>
      </c>
      <c r="G18439">
        <v>2290057</v>
      </c>
      <c r="H18439">
        <v>14304439</v>
      </c>
      <c r="I18439">
        <v>1352216</v>
      </c>
      <c r="J18439">
        <v>5</v>
      </c>
    </row>
    <row r="18440" spans="1:10" x14ac:dyDescent="0.25">
      <c r="A18440" t="s">
        <v>199</v>
      </c>
      <c r="B18440" s="1" t="str">
        <f>HYPERLINK("http://elektro.com.br","elektro.com.br")</f>
        <v>elektro.com.br</v>
      </c>
      <c r="C18440" t="s">
        <v>425</v>
      </c>
      <c r="D18440" t="s">
        <v>806</v>
      </c>
      <c r="E18440">
        <v>503568</v>
      </c>
      <c r="F18440">
        <v>3.2188170804322798E-8</v>
      </c>
      <c r="G18440">
        <v>1607013</v>
      </c>
      <c r="H18440">
        <v>14741821</v>
      </c>
      <c r="I18440">
        <v>566951</v>
      </c>
      <c r="J18440">
        <v>3</v>
      </c>
    </row>
    <row r="18441" spans="1:10" x14ac:dyDescent="0.25">
      <c r="A18441" t="s">
        <v>199</v>
      </c>
      <c r="B18441" s="1" t="str">
        <f>HYPERLINK("http://geracaoceuazul.com.br","geracaoceuazul.com.br")</f>
        <v>geracaoceuazul.com.br</v>
      </c>
      <c r="C18441" t="s">
        <v>425</v>
      </c>
      <c r="D18441" t="s">
        <v>806</v>
      </c>
      <c r="J18441">
        <v>5</v>
      </c>
    </row>
    <row r="18442" spans="1:10" x14ac:dyDescent="0.25">
      <c r="A18442" t="s">
        <v>199</v>
      </c>
      <c r="B18442" s="1" t="str">
        <f>HYPERLINK("http://itapebi.com.br","itapebi.com.br")</f>
        <v>itapebi.com.br</v>
      </c>
      <c r="C18442" t="s">
        <v>425</v>
      </c>
      <c r="D18442" t="s">
        <v>806</v>
      </c>
      <c r="F18442">
        <v>4.9337583347152603E-9</v>
      </c>
      <c r="G18442">
        <v>31271220</v>
      </c>
      <c r="H18442">
        <v>11030765</v>
      </c>
      <c r="I18442">
        <v>33093948</v>
      </c>
      <c r="J18442">
        <v>5</v>
      </c>
    </row>
    <row r="18443" spans="1:10" x14ac:dyDescent="0.25">
      <c r="A18443" t="s">
        <v>199</v>
      </c>
      <c r="B18443" s="1" t="str">
        <f>HYPERLINK("http://neoenergiabrasilia.com.br","neoenergiabrasilia.com.br")</f>
        <v>neoenergiabrasilia.com.br</v>
      </c>
      <c r="C18443" t="s">
        <v>425</v>
      </c>
      <c r="D18443" t="s">
        <v>806</v>
      </c>
      <c r="E18443">
        <v>456578</v>
      </c>
      <c r="F18443">
        <v>1.60985718937267E-8</v>
      </c>
      <c r="G18443">
        <v>3520943</v>
      </c>
      <c r="H18443">
        <v>14074869</v>
      </c>
      <c r="I18443">
        <v>2926556</v>
      </c>
      <c r="J18443">
        <v>5</v>
      </c>
    </row>
    <row r="18444" spans="1:10" x14ac:dyDescent="0.25">
      <c r="A18444" t="s">
        <v>199</v>
      </c>
      <c r="B18444" s="1" t="str">
        <f>HYPERLINK("http://neoenergiacoelba.com.br","neoenergiacoelba.com.br")</f>
        <v>neoenergiacoelba.com.br</v>
      </c>
      <c r="C18444" t="s">
        <v>425</v>
      </c>
      <c r="D18444" t="s">
        <v>806</v>
      </c>
      <c r="E18444">
        <v>444366</v>
      </c>
      <c r="F18444">
        <v>2.45662962814739E-8</v>
      </c>
      <c r="G18444">
        <v>2108457</v>
      </c>
      <c r="H18444">
        <v>14575129</v>
      </c>
      <c r="I18444">
        <v>730914</v>
      </c>
      <c r="J18444">
        <v>4</v>
      </c>
    </row>
    <row r="18445" spans="1:10" x14ac:dyDescent="0.25">
      <c r="A18445" t="s">
        <v>199</v>
      </c>
      <c r="B18445" s="1" t="str">
        <f>HYPERLINK("http://neoenergiapernambuco.com.br","neoenergiapernambuco.com.br")</f>
        <v>neoenergiapernambuco.com.br</v>
      </c>
      <c r="C18445" t="s">
        <v>425</v>
      </c>
      <c r="D18445" t="s">
        <v>806</v>
      </c>
      <c r="E18445">
        <v>329148</v>
      </c>
      <c r="F18445">
        <v>2.17698522735639E-8</v>
      </c>
      <c r="G18445">
        <v>2414817</v>
      </c>
      <c r="H18445">
        <v>14259321</v>
      </c>
      <c r="I18445">
        <v>1422308</v>
      </c>
      <c r="J18445">
        <v>5</v>
      </c>
    </row>
    <row r="18446" spans="1:10" x14ac:dyDescent="0.25">
      <c r="A18446" t="s">
        <v>199</v>
      </c>
      <c r="B18446" s="1" t="str">
        <f>HYPERLINK("http://termope.com.br","termope.com.br")</f>
        <v>termope.com.br</v>
      </c>
      <c r="C18446" t="s">
        <v>425</v>
      </c>
      <c r="D18446" t="s">
        <v>806</v>
      </c>
      <c r="F18446">
        <v>4.6378183464546401E-9</v>
      </c>
      <c r="G18446">
        <v>44919927</v>
      </c>
      <c r="H18446">
        <v>12191827</v>
      </c>
      <c r="I18446">
        <v>23539582</v>
      </c>
      <c r="J18446">
        <v>3</v>
      </c>
    </row>
    <row r="18447" spans="1:10" x14ac:dyDescent="0.25">
      <c r="A18447" t="s">
        <v>199</v>
      </c>
      <c r="B18447" s="1" t="str">
        <f>HYPERLINK("http://uhebaguari.com.br","uhebaguari.com.br")</f>
        <v>uhebaguari.com.br</v>
      </c>
      <c r="C18447" t="s">
        <v>425</v>
      </c>
      <c r="D18447" t="s">
        <v>806</v>
      </c>
      <c r="F18447">
        <v>4.9068598842213897E-9</v>
      </c>
      <c r="G18447">
        <v>32271942</v>
      </c>
      <c r="H18447">
        <v>11935858</v>
      </c>
      <c r="I18447">
        <v>29235978</v>
      </c>
      <c r="J18447">
        <v>5</v>
      </c>
    </row>
    <row r="18448" spans="1:10" x14ac:dyDescent="0.25">
      <c r="A18448" t="s">
        <v>199</v>
      </c>
      <c r="B18448" s="1" t="str">
        <f>HYPERLINK("http://uhetelespires.com.br","uhetelespires.com.br")</f>
        <v>uhetelespires.com.br</v>
      </c>
      <c r="C18448" t="s">
        <v>425</v>
      </c>
      <c r="D18448" t="s">
        <v>806</v>
      </c>
      <c r="F18448">
        <v>6.0277083662197503E-9</v>
      </c>
      <c r="G18448">
        <v>16513148</v>
      </c>
      <c r="H18448">
        <v>12999715</v>
      </c>
      <c r="I18448">
        <v>12797417</v>
      </c>
      <c r="J18448">
        <v>5</v>
      </c>
    </row>
    <row r="18449" spans="1:10" x14ac:dyDescent="0.25">
      <c r="A18449" t="s">
        <v>199</v>
      </c>
      <c r="B18449" s="1" t="str">
        <f>HYPERLINK("http://apexinmo.com","apexinmo.com")</f>
        <v>apexinmo.com</v>
      </c>
      <c r="C18449" t="s">
        <v>433</v>
      </c>
      <c r="J18449">
        <v>4</v>
      </c>
    </row>
    <row r="18450" spans="1:10" x14ac:dyDescent="0.25">
      <c r="A18450" t="s">
        <v>199</v>
      </c>
      <c r="B18450" s="1" t="str">
        <f>HYPERLINK("http://autonomousenergy.com","autonomousenergy.com")</f>
        <v>autonomousenergy.com</v>
      </c>
      <c r="C18450" t="s">
        <v>433</v>
      </c>
      <c r="F18450">
        <v>5.3449374612660303E-9</v>
      </c>
      <c r="G18450">
        <v>22868361</v>
      </c>
      <c r="H18450">
        <v>12681338</v>
      </c>
      <c r="I18450">
        <v>15483938</v>
      </c>
      <c r="J18450">
        <v>3</v>
      </c>
    </row>
    <row r="18451" spans="1:10" x14ac:dyDescent="0.25">
      <c r="A18451" t="s">
        <v>199</v>
      </c>
      <c r="B18451" s="1" t="str">
        <f>HYPERLINK("http://avangrid.com","avangrid.com")</f>
        <v>avangrid.com</v>
      </c>
      <c r="C18451" t="s">
        <v>433</v>
      </c>
      <c r="E18451">
        <v>240563</v>
      </c>
      <c r="F18451">
        <v>2.63327702471784E-7</v>
      </c>
      <c r="G18451">
        <v>141870</v>
      </c>
      <c r="H18451">
        <v>14387474</v>
      </c>
      <c r="I18451">
        <v>1175239</v>
      </c>
      <c r="J18451">
        <v>3</v>
      </c>
    </row>
    <row r="18452" spans="1:10" x14ac:dyDescent="0.25">
      <c r="A18452" t="s">
        <v>199</v>
      </c>
      <c r="B18452" s="1" t="str">
        <f>HYPERLINK("http://candncompanies.com","candncompanies.com")</f>
        <v>candncompanies.com</v>
      </c>
      <c r="C18452" t="s">
        <v>433</v>
      </c>
      <c r="F18452">
        <v>4.5196064294518E-9</v>
      </c>
      <c r="G18452">
        <v>56273843</v>
      </c>
      <c r="H18452">
        <v>10944327</v>
      </c>
      <c r="I18452">
        <v>34720894</v>
      </c>
      <c r="J18452">
        <v>13</v>
      </c>
    </row>
    <row r="18453" spans="1:10" x14ac:dyDescent="0.25">
      <c r="A18453" t="s">
        <v>199</v>
      </c>
      <c r="B18453" s="1" t="str">
        <f>HYPERLINK("http://cmpco.com","cmpco.com")</f>
        <v>cmpco.com</v>
      </c>
      <c r="C18453" t="s">
        <v>433</v>
      </c>
      <c r="E18453">
        <v>190103</v>
      </c>
      <c r="F18453">
        <v>1.2616943801135299E-7</v>
      </c>
      <c r="G18453">
        <v>312608</v>
      </c>
      <c r="H18453">
        <v>13960040</v>
      </c>
      <c r="I18453">
        <v>4116529</v>
      </c>
      <c r="J18453">
        <v>3</v>
      </c>
    </row>
    <row r="18454" spans="1:10" x14ac:dyDescent="0.25">
      <c r="A18454" t="s">
        <v>199</v>
      </c>
      <c r="B18454" s="1" t="str">
        <f>HYPERLINK("http://cngcorp.com","cngcorp.com")</f>
        <v>cngcorp.com</v>
      </c>
      <c r="C18454" t="s">
        <v>433</v>
      </c>
      <c r="E18454">
        <v>596118</v>
      </c>
      <c r="F18454">
        <v>5.2283924982590799E-8</v>
      </c>
      <c r="G18454">
        <v>872672</v>
      </c>
      <c r="H18454">
        <v>13246857</v>
      </c>
      <c r="I18454">
        <v>11115875</v>
      </c>
      <c r="J18454">
        <v>3</v>
      </c>
    </row>
    <row r="18455" spans="1:10" x14ac:dyDescent="0.25">
      <c r="A18455" t="s">
        <v>199</v>
      </c>
      <c r="B18455" s="1" t="str">
        <f>HYPERLINK("http://dpenergy.com","dpenergy.com")</f>
        <v>dpenergy.com</v>
      </c>
      <c r="C18455" t="s">
        <v>433</v>
      </c>
      <c r="F18455">
        <v>2.31916223972864E-8</v>
      </c>
      <c r="G18455">
        <v>2250295</v>
      </c>
      <c r="H18455">
        <v>13837051</v>
      </c>
      <c r="I18455">
        <v>6083477</v>
      </c>
      <c r="J18455">
        <v>5</v>
      </c>
    </row>
    <row r="18456" spans="1:10" x14ac:dyDescent="0.25">
      <c r="A18456" t="s">
        <v>199</v>
      </c>
      <c r="B18456" s="1" t="str">
        <f>HYPERLINK("http://eastangliawind.com","eastangliawind.com")</f>
        <v>eastangliawind.com</v>
      </c>
      <c r="C18456" t="s">
        <v>433</v>
      </c>
      <c r="F18456">
        <v>7.8178539839360903E-9</v>
      </c>
      <c r="G18456">
        <v>10281503</v>
      </c>
      <c r="H18456">
        <v>13944173</v>
      </c>
      <c r="I18456">
        <v>4304934</v>
      </c>
      <c r="J18456">
        <v>6</v>
      </c>
    </row>
    <row r="18457" spans="1:10" x14ac:dyDescent="0.25">
      <c r="A18457" t="s">
        <v>199</v>
      </c>
      <c r="B18457" s="1" t="str">
        <f>HYPERLINK("http://energy-infrastructure-partners.com","energy-infrastructure-partners.com")</f>
        <v>energy-infrastructure-partners.com</v>
      </c>
      <c r="C18457" t="s">
        <v>433</v>
      </c>
      <c r="F18457">
        <v>1.3233166518792401E-8</v>
      </c>
      <c r="G18457">
        <v>4523652</v>
      </c>
      <c r="H18457">
        <v>12506489</v>
      </c>
      <c r="I18457">
        <v>17280812</v>
      </c>
      <c r="J18457">
        <v>5</v>
      </c>
    </row>
    <row r="18458" spans="1:10" x14ac:dyDescent="0.25">
      <c r="A18458" t="s">
        <v>199</v>
      </c>
      <c r="B18458" s="1" t="str">
        <f>HYPERLINK("http://energyeast.com","energyeast.com")</f>
        <v>energyeast.com</v>
      </c>
      <c r="C18458" t="s">
        <v>433</v>
      </c>
      <c r="F18458">
        <v>1.00031342520307E-8</v>
      </c>
      <c r="G18458">
        <v>6752639</v>
      </c>
      <c r="H18458">
        <v>13510955</v>
      </c>
      <c r="I18458">
        <v>9950099</v>
      </c>
      <c r="J18458">
        <v>3</v>
      </c>
    </row>
    <row r="18459" spans="1:10" x14ac:dyDescent="0.25">
      <c r="A18459" t="s">
        <v>199</v>
      </c>
      <c r="B18459" s="1" t="str">
        <f>HYPERLINK("http://energypeopletrust.com","energypeopletrust.com")</f>
        <v>energypeopletrust.com</v>
      </c>
      <c r="C18459" t="s">
        <v>433</v>
      </c>
      <c r="F18459">
        <v>4.6194376498357703E-9</v>
      </c>
      <c r="G18459">
        <v>46174422</v>
      </c>
      <c r="H18459">
        <v>12133977</v>
      </c>
      <c r="I18459">
        <v>25027721</v>
      </c>
      <c r="J18459">
        <v>3</v>
      </c>
    </row>
    <row r="18460" spans="1:10" x14ac:dyDescent="0.25">
      <c r="A18460" t="s">
        <v>199</v>
      </c>
      <c r="B18460" s="1" t="str">
        <f>HYPERLINK("http://eolicasdelsil.com","eolicasdelsil.com")</f>
        <v>eolicasdelsil.com</v>
      </c>
      <c r="C18460" t="s">
        <v>433</v>
      </c>
      <c r="J18460">
        <v>5</v>
      </c>
    </row>
    <row r="18461" spans="1:10" x14ac:dyDescent="0.25">
      <c r="A18461" t="s">
        <v>199</v>
      </c>
      <c r="B18461" s="1" t="str">
        <f>HYPERLINK("http://eolicaseuskadi.com","eolicaseuskadi.com")</f>
        <v>eolicaseuskadi.com</v>
      </c>
      <c r="C18461" t="s">
        <v>433</v>
      </c>
      <c r="F18461">
        <v>4.9264995759924403E-9</v>
      </c>
      <c r="G18461">
        <v>31485959</v>
      </c>
      <c r="H18461">
        <v>14071789</v>
      </c>
      <c r="I18461">
        <v>3576832</v>
      </c>
      <c r="J18461">
        <v>5</v>
      </c>
    </row>
    <row r="18462" spans="1:10" x14ac:dyDescent="0.25">
      <c r="A18462" t="s">
        <v>199</v>
      </c>
      <c r="B18462" s="1" t="str">
        <f>HYPERLINK("http://hillsboroughresources.com","hillsboroughresources.com")</f>
        <v>hillsboroughresources.com</v>
      </c>
      <c r="C18462" t="s">
        <v>433</v>
      </c>
      <c r="F18462">
        <v>7.1670545732952802E-9</v>
      </c>
      <c r="G18462">
        <v>11830623</v>
      </c>
      <c r="H18462">
        <v>14237336</v>
      </c>
      <c r="I18462">
        <v>1553796</v>
      </c>
      <c r="J18462">
        <v>13</v>
      </c>
    </row>
    <row r="18463" spans="1:10" x14ac:dyDescent="0.25">
      <c r="A18463" t="s">
        <v>199</v>
      </c>
      <c r="B18463" s="1" t="str">
        <f>HYPERLINK("http://iberdrola.com","iberdrola.com")</f>
        <v>iberdrola.com</v>
      </c>
      <c r="C18463" t="s">
        <v>433</v>
      </c>
      <c r="E18463">
        <v>28681</v>
      </c>
      <c r="F18463">
        <v>2.9196361385846001E-6</v>
      </c>
      <c r="G18463">
        <v>13248</v>
      </c>
      <c r="H18463">
        <v>15536430</v>
      </c>
      <c r="I18463">
        <v>374251</v>
      </c>
      <c r="J18463">
        <v>1</v>
      </c>
    </row>
    <row r="18464" spans="1:10" x14ac:dyDescent="0.25">
      <c r="A18464" t="s">
        <v>199</v>
      </c>
      <c r="B18464" s="1" t="str">
        <f>HYPERLINK("http://iberdrolaens.com","iberdrolaens.com")</f>
        <v>iberdrolaens.com</v>
      </c>
      <c r="C18464" t="s">
        <v>433</v>
      </c>
      <c r="F18464">
        <v>4.7172886458839703E-9</v>
      </c>
      <c r="G18464">
        <v>40350063</v>
      </c>
      <c r="H18464">
        <v>12265464</v>
      </c>
      <c r="I18464">
        <v>21627089</v>
      </c>
      <c r="J18464">
        <v>6</v>
      </c>
    </row>
    <row r="18465" spans="1:10" x14ac:dyDescent="0.25">
      <c r="A18465" t="s">
        <v>199</v>
      </c>
      <c r="B18465" s="1" t="str">
        <f>HYPERLINK("http://iberdrolageneracionmexico.com","iberdrolageneracionmexico.com")</f>
        <v>iberdrolageneracionmexico.com</v>
      </c>
      <c r="C18465" t="s">
        <v>433</v>
      </c>
      <c r="F18465">
        <v>3.5948643495410998E-8</v>
      </c>
      <c r="G18465">
        <v>1449310</v>
      </c>
      <c r="H18465">
        <v>11328049</v>
      </c>
      <c r="I18465">
        <v>30471457</v>
      </c>
      <c r="J18465">
        <v>6</v>
      </c>
    </row>
    <row r="18466" spans="1:10" x14ac:dyDescent="0.25">
      <c r="A18466" t="s">
        <v>199</v>
      </c>
      <c r="B18466" s="1" t="str">
        <f>HYPERLINK("http://iberdrolaingenieria.com","iberdrolaingenieria.com")</f>
        <v>iberdrolaingenieria.com</v>
      </c>
      <c r="C18466" t="s">
        <v>433</v>
      </c>
      <c r="F18466">
        <v>1.7515100166693401E-8</v>
      </c>
      <c r="G18466">
        <v>3142588</v>
      </c>
      <c r="H18466">
        <v>13953652</v>
      </c>
      <c r="I18466">
        <v>4149267</v>
      </c>
      <c r="J18466">
        <v>2</v>
      </c>
    </row>
    <row r="18467" spans="1:10" x14ac:dyDescent="0.25">
      <c r="A18467" t="s">
        <v>199</v>
      </c>
      <c r="B18467" s="1" t="str">
        <f>HYPERLINK("http://iberdrolamex.com","iberdrolamex.com")</f>
        <v>iberdrolamex.com</v>
      </c>
      <c r="C18467" t="s">
        <v>433</v>
      </c>
      <c r="F18467">
        <v>1.10651819768187E-8</v>
      </c>
      <c r="G18467">
        <v>5811116</v>
      </c>
      <c r="H18467">
        <v>11105381</v>
      </c>
      <c r="I18467">
        <v>32208844</v>
      </c>
      <c r="J18467">
        <v>4</v>
      </c>
    </row>
    <row r="18468" spans="1:10" x14ac:dyDescent="0.25">
      <c r="A18468" t="s">
        <v>199</v>
      </c>
      <c r="B18468" s="1" t="str">
        <f>HYPERLINK("http://iberdrolamexico.com","iberdrolamexico.com")</f>
        <v>iberdrolamexico.com</v>
      </c>
      <c r="C18468" t="s">
        <v>433</v>
      </c>
      <c r="F18468">
        <v>6.0331852103700794E-8</v>
      </c>
      <c r="G18468">
        <v>731094</v>
      </c>
      <c r="H18468">
        <v>14147984</v>
      </c>
      <c r="I18468">
        <v>1887579</v>
      </c>
      <c r="J18468">
        <v>6</v>
      </c>
    </row>
    <row r="18469" spans="1:10" x14ac:dyDescent="0.25">
      <c r="A18469" t="s">
        <v>199</v>
      </c>
      <c r="B18469" s="1" t="str">
        <f>HYPERLINK("http://iberdrolarenovablesmexico.com","iberdrolarenovablesmexico.com")</f>
        <v>iberdrolarenovablesmexico.com</v>
      </c>
      <c r="C18469" t="s">
        <v>433</v>
      </c>
      <c r="F18469">
        <v>8.7674535688022999E-9</v>
      </c>
      <c r="G18469">
        <v>8363627</v>
      </c>
      <c r="H18469">
        <v>12198292</v>
      </c>
      <c r="I18469">
        <v>23365719</v>
      </c>
      <c r="J18469">
        <v>6</v>
      </c>
    </row>
    <row r="18470" spans="1:10" x14ac:dyDescent="0.25">
      <c r="A18470" t="s">
        <v>199</v>
      </c>
      <c r="B18470" s="1" t="str">
        <f>HYPERLINK("http://iberdrolatexas.com","iberdrolatexas.com")</f>
        <v>iberdrolatexas.com</v>
      </c>
      <c r="C18470" t="s">
        <v>433</v>
      </c>
      <c r="F18470">
        <v>7.6053644231673599E-9</v>
      </c>
      <c r="G18470">
        <v>10783190</v>
      </c>
      <c r="H18470">
        <v>11153349</v>
      </c>
      <c r="I18470">
        <v>31690983</v>
      </c>
      <c r="J18470">
        <v>3</v>
      </c>
    </row>
    <row r="18471" spans="1:10" x14ac:dyDescent="0.25">
      <c r="A18471" t="s">
        <v>199</v>
      </c>
      <c r="B18471" s="1" t="str">
        <f>HYPERLINK("http://infigenenergy.com","infigenenergy.com")</f>
        <v>infigenenergy.com</v>
      </c>
      <c r="C18471" t="s">
        <v>433</v>
      </c>
      <c r="F18471">
        <v>3.0713342998048402E-8</v>
      </c>
      <c r="G18471">
        <v>1677263</v>
      </c>
      <c r="H18471">
        <v>14610801</v>
      </c>
      <c r="I18471">
        <v>676906</v>
      </c>
      <c r="J18471">
        <v>3</v>
      </c>
    </row>
    <row r="18472" spans="1:10" x14ac:dyDescent="0.25">
      <c r="A18472" t="s">
        <v>199</v>
      </c>
      <c r="B18472" s="1" t="str">
        <f>HYPERLINK("http://mainenaturalgas.com","mainenaturalgas.com")</f>
        <v>mainenaturalgas.com</v>
      </c>
      <c r="C18472" t="s">
        <v>433</v>
      </c>
      <c r="F18472">
        <v>2.7488437102388401E-8</v>
      </c>
      <c r="G18472">
        <v>1870216</v>
      </c>
      <c r="H18472">
        <v>13151626</v>
      </c>
      <c r="I18472">
        <v>11819879</v>
      </c>
      <c r="J18472">
        <v>3</v>
      </c>
    </row>
    <row r="18473" spans="1:10" x14ac:dyDescent="0.25">
      <c r="A18473" t="s">
        <v>199</v>
      </c>
      <c r="B18473" s="1" t="str">
        <f>HYPERLINK("http://neoenergia.com","neoenergia.com")</f>
        <v>neoenergia.com</v>
      </c>
      <c r="C18473" t="s">
        <v>433</v>
      </c>
      <c r="E18473">
        <v>419024</v>
      </c>
      <c r="F18473">
        <v>9.6776794283296695E-8</v>
      </c>
      <c r="G18473">
        <v>417622</v>
      </c>
      <c r="H18473">
        <v>14539771</v>
      </c>
      <c r="I18473">
        <v>776046</v>
      </c>
      <c r="J18473">
        <v>3</v>
      </c>
    </row>
    <row r="18474" spans="1:10" x14ac:dyDescent="0.25">
      <c r="A18474" t="s">
        <v>199</v>
      </c>
      <c r="B18474" s="1" t="str">
        <f>HYPERLINK("http://noblepetro.com","noblepetro.com")</f>
        <v>noblepetro.com</v>
      </c>
      <c r="C18474" t="s">
        <v>433</v>
      </c>
      <c r="F18474">
        <v>4.5806504727126599E-9</v>
      </c>
      <c r="G18474">
        <v>49236295</v>
      </c>
      <c r="H18474">
        <v>8751507</v>
      </c>
      <c r="I18474">
        <v>69635843</v>
      </c>
      <c r="J18474">
        <v>13</v>
      </c>
    </row>
    <row r="18475" spans="1:10" x14ac:dyDescent="0.25">
      <c r="A18475" t="s">
        <v>199</v>
      </c>
      <c r="B18475" s="1" t="str">
        <f>HYPERLINK("http://nyseg.com","nyseg.com")</f>
        <v>nyseg.com</v>
      </c>
      <c r="C18475" t="s">
        <v>433</v>
      </c>
      <c r="E18475">
        <v>154512</v>
      </c>
      <c r="F18475">
        <v>2.3459963241164299E-7</v>
      </c>
      <c r="G18475">
        <v>159787</v>
      </c>
      <c r="H18475">
        <v>17172604</v>
      </c>
      <c r="I18475">
        <v>47159</v>
      </c>
      <c r="J18475">
        <v>3</v>
      </c>
    </row>
    <row r="18476" spans="1:10" x14ac:dyDescent="0.25">
      <c r="A18476" t="s">
        <v>199</v>
      </c>
      <c r="B18476" s="1" t="str">
        <f>HYPERLINK("http://offshoremwllc.com","offshoremwllc.com")</f>
        <v>offshoremwllc.com</v>
      </c>
      <c r="C18476" t="s">
        <v>433</v>
      </c>
      <c r="F18476">
        <v>5.0694447905324903E-9</v>
      </c>
      <c r="G18476">
        <v>27802259</v>
      </c>
      <c r="H18476">
        <v>12333021</v>
      </c>
      <c r="I18476">
        <v>20144332</v>
      </c>
      <c r="J18476">
        <v>5</v>
      </c>
    </row>
    <row r="18477" spans="1:10" x14ac:dyDescent="0.25">
      <c r="A18477" t="s">
        <v>199</v>
      </c>
      <c r="B18477" s="1" t="str">
        <f>HYPERLINK("http://rge.com","rge.com")</f>
        <v>rge.com</v>
      </c>
      <c r="C18477" t="s">
        <v>433</v>
      </c>
      <c r="E18477">
        <v>222990</v>
      </c>
      <c r="F18477">
        <v>1.6654799022392E-7</v>
      </c>
      <c r="G18477">
        <v>233026</v>
      </c>
      <c r="H18477">
        <v>16885304</v>
      </c>
      <c r="I18477">
        <v>137051</v>
      </c>
      <c r="J18477">
        <v>3</v>
      </c>
    </row>
    <row r="18478" spans="1:10" x14ac:dyDescent="0.25">
      <c r="A18478" t="s">
        <v>199</v>
      </c>
      <c r="B18478" s="1" t="str">
        <f>HYPERLINK("http://scottishpower.com","scottishpower.com")</f>
        <v>scottishpower.com</v>
      </c>
      <c r="C18478" t="s">
        <v>433</v>
      </c>
      <c r="E18478">
        <v>313365</v>
      </c>
      <c r="F18478">
        <v>2.2034081409610699E-7</v>
      </c>
      <c r="G18478">
        <v>171059</v>
      </c>
      <c r="H18478">
        <v>15078241</v>
      </c>
      <c r="I18478">
        <v>409861</v>
      </c>
      <c r="J18478">
        <v>3</v>
      </c>
    </row>
    <row r="18479" spans="1:10" x14ac:dyDescent="0.25">
      <c r="A18479" t="s">
        <v>199</v>
      </c>
      <c r="B18479" s="1" t="str">
        <f>HYPERLINK("http://scottishpowerrenewables.com","scottishpowerrenewables.com")</f>
        <v>scottishpowerrenewables.com</v>
      </c>
      <c r="C18479" t="s">
        <v>433</v>
      </c>
      <c r="F18479">
        <v>6.2020946712547196E-8</v>
      </c>
      <c r="G18479">
        <v>708928</v>
      </c>
      <c r="H18479">
        <v>14555552</v>
      </c>
      <c r="I18479">
        <v>752361</v>
      </c>
      <c r="J18479">
        <v>3</v>
      </c>
    </row>
    <row r="18480" spans="1:10" x14ac:dyDescent="0.25">
      <c r="A18480" t="s">
        <v>199</v>
      </c>
      <c r="B18480" s="1" t="str">
        <f>HYPERLINK("http://spenergynetworks.com","spenergynetworks.com")</f>
        <v>spenergynetworks.com</v>
      </c>
      <c r="C18480" t="s">
        <v>433</v>
      </c>
      <c r="F18480">
        <v>5.7936575435068602E-9</v>
      </c>
      <c r="G18480">
        <v>18135270</v>
      </c>
      <c r="H18480">
        <v>13763753</v>
      </c>
      <c r="I18480">
        <v>7672841</v>
      </c>
      <c r="J18480">
        <v>6</v>
      </c>
    </row>
    <row r="18481" spans="1:10" x14ac:dyDescent="0.25">
      <c r="A18481" t="s">
        <v>199</v>
      </c>
      <c r="B18481" s="1" t="str">
        <f>HYPERLINK("http://tarragonapower.com","tarragonapower.com")</f>
        <v>tarragonapower.com</v>
      </c>
      <c r="C18481" t="s">
        <v>433</v>
      </c>
      <c r="J18481">
        <v>4</v>
      </c>
    </row>
    <row r="18482" spans="1:10" x14ac:dyDescent="0.25">
      <c r="A18482" t="s">
        <v>199</v>
      </c>
      <c r="B18482" s="1" t="str">
        <f>HYPERLINK("http://uil.com","uil.com")</f>
        <v>uil.com</v>
      </c>
      <c r="C18482" t="s">
        <v>433</v>
      </c>
      <c r="F18482">
        <v>8.0610497410331904E-9</v>
      </c>
      <c r="G18482">
        <v>9810168</v>
      </c>
      <c r="H18482">
        <v>13801953</v>
      </c>
      <c r="I18482">
        <v>6271850</v>
      </c>
      <c r="J18482">
        <v>6</v>
      </c>
    </row>
    <row r="18483" spans="1:10" x14ac:dyDescent="0.25">
      <c r="A18483" t="s">
        <v>199</v>
      </c>
      <c r="B18483" s="1" t="str">
        <f>HYPERLINK("http://uinet.com","uinet.com")</f>
        <v>uinet.com</v>
      </c>
      <c r="C18483" t="s">
        <v>433</v>
      </c>
      <c r="E18483">
        <v>262782</v>
      </c>
      <c r="F18483">
        <v>1.67362275784337E-7</v>
      </c>
      <c r="G18483">
        <v>231871</v>
      </c>
      <c r="H18483">
        <v>16948398</v>
      </c>
      <c r="I18483">
        <v>108798</v>
      </c>
      <c r="J18483">
        <v>3</v>
      </c>
    </row>
    <row r="18484" spans="1:10" x14ac:dyDescent="0.25">
      <c r="A18484" t="s">
        <v>199</v>
      </c>
      <c r="B18484" s="1" t="str">
        <f>HYPERLINK("http://vineyardwind.com","vineyardwind.com")</f>
        <v>vineyardwind.com</v>
      </c>
      <c r="C18484" t="s">
        <v>433</v>
      </c>
      <c r="E18484">
        <v>771210</v>
      </c>
      <c r="F18484">
        <v>1.58151062967456E-7</v>
      </c>
      <c r="G18484">
        <v>245476</v>
      </c>
      <c r="H18484">
        <v>14613145</v>
      </c>
      <c r="I18484">
        <v>674926</v>
      </c>
      <c r="J18484">
        <v>5</v>
      </c>
    </row>
    <row r="18485" spans="1:10" x14ac:dyDescent="0.25">
      <c r="A18485" t="s">
        <v>199</v>
      </c>
      <c r="B18485" s="1" t="str">
        <f>HYPERLINK("http://vitol.com","vitol.com")</f>
        <v>vitol.com</v>
      </c>
      <c r="C18485" t="s">
        <v>433</v>
      </c>
      <c r="E18485">
        <v>354529</v>
      </c>
      <c r="F18485">
        <v>2.1706486041398901E-7</v>
      </c>
      <c r="G18485">
        <v>173741</v>
      </c>
      <c r="H18485">
        <v>14589584</v>
      </c>
      <c r="I18485">
        <v>696764</v>
      </c>
      <c r="J18485">
        <v>12</v>
      </c>
    </row>
    <row r="18486" spans="1:10" x14ac:dyDescent="0.25">
      <c r="A18486" t="s">
        <v>199</v>
      </c>
      <c r="B18486" s="1" t="str">
        <f>HYPERLINK("http://vivoenergy.com","vivoenergy.com")</f>
        <v>vivoenergy.com</v>
      </c>
      <c r="C18486" t="s">
        <v>433</v>
      </c>
      <c r="E18486">
        <v>612100</v>
      </c>
      <c r="F18486">
        <v>8.8127437885587203E-8</v>
      </c>
      <c r="G18486">
        <v>465007</v>
      </c>
      <c r="H18486">
        <v>13984248</v>
      </c>
      <c r="I18486">
        <v>4043036</v>
      </c>
      <c r="J18486">
        <v>13</v>
      </c>
    </row>
    <row r="18487" spans="1:10" x14ac:dyDescent="0.25">
      <c r="A18487" t="s">
        <v>199</v>
      </c>
      <c r="B18487" s="1" t="str">
        <f>HYPERLINK("http://vpi-i.com","vpi-i.com")</f>
        <v>vpi-i.com</v>
      </c>
      <c r="C18487" t="s">
        <v>433</v>
      </c>
      <c r="F18487">
        <v>7.9323874443450093E-9</v>
      </c>
      <c r="G18487">
        <v>10048859</v>
      </c>
      <c r="H18487">
        <v>11077277</v>
      </c>
      <c r="I18487">
        <v>32508294</v>
      </c>
      <c r="J18487">
        <v>9</v>
      </c>
    </row>
    <row r="18488" spans="1:10" x14ac:dyDescent="0.25">
      <c r="A18488" t="s">
        <v>199</v>
      </c>
      <c r="B18488" s="1" t="str">
        <f>HYPERLINK("http://iberdrola.de","iberdrola.de")</f>
        <v>iberdrola.de</v>
      </c>
      <c r="C18488" t="s">
        <v>436</v>
      </c>
      <c r="D18488" t="s">
        <v>815</v>
      </c>
      <c r="F18488">
        <v>1.3161304405245399E-8</v>
      </c>
      <c r="G18488">
        <v>4555706</v>
      </c>
      <c r="H18488">
        <v>13228929</v>
      </c>
      <c r="I18488">
        <v>11289764</v>
      </c>
      <c r="J18488">
        <v>2</v>
      </c>
    </row>
    <row r="18489" spans="1:10" x14ac:dyDescent="0.25">
      <c r="A18489" t="s">
        <v>199</v>
      </c>
      <c r="B18489" s="1" t="str">
        <f>HYPERLINK("http://iberdrola.es","iberdrola.es")</f>
        <v>iberdrola.es</v>
      </c>
      <c r="C18489" t="s">
        <v>443</v>
      </c>
      <c r="D18489" t="s">
        <v>822</v>
      </c>
      <c r="E18489">
        <v>36326</v>
      </c>
      <c r="F18489">
        <v>6.7742655148394596E-7</v>
      </c>
      <c r="G18489">
        <v>56927</v>
      </c>
      <c r="H18489">
        <v>17211588</v>
      </c>
      <c r="I18489">
        <v>39775</v>
      </c>
      <c r="J18489">
        <v>2</v>
      </c>
    </row>
    <row r="18490" spans="1:10" x14ac:dyDescent="0.25">
      <c r="A18490" t="s">
        <v>199</v>
      </c>
      <c r="B18490" s="1" t="str">
        <f>HYPERLINK("http://iberdrolageneracionespana.es","iberdrolageneracionespana.es")</f>
        <v>iberdrolageneracionespana.es</v>
      </c>
      <c r="C18490" t="s">
        <v>443</v>
      </c>
      <c r="D18490" t="s">
        <v>822</v>
      </c>
      <c r="F18490">
        <v>7.28166741369344E-9</v>
      </c>
      <c r="G18490">
        <v>11525018</v>
      </c>
      <c r="H18490">
        <v>10776327</v>
      </c>
      <c r="I18490">
        <v>39037441</v>
      </c>
      <c r="J18490">
        <v>4</v>
      </c>
    </row>
    <row r="18491" spans="1:10" x14ac:dyDescent="0.25">
      <c r="A18491" t="s">
        <v>199</v>
      </c>
      <c r="B18491" s="1" t="str">
        <f>HYPERLINK("http://aaltopower.fr","aaltopower.fr")</f>
        <v>aaltopower.fr</v>
      </c>
      <c r="C18491" t="s">
        <v>446</v>
      </c>
      <c r="D18491" t="s">
        <v>824</v>
      </c>
      <c r="F18491">
        <v>6.3221631872929203E-9</v>
      </c>
      <c r="G18491">
        <v>14927222</v>
      </c>
      <c r="H18491">
        <v>12369819</v>
      </c>
      <c r="I18491">
        <v>19415678</v>
      </c>
      <c r="J18491">
        <v>3</v>
      </c>
    </row>
    <row r="18492" spans="1:10" x14ac:dyDescent="0.25">
      <c r="A18492" t="s">
        <v>199</v>
      </c>
      <c r="B18492" s="1" t="str">
        <f>HYPERLINK("http://iberdrola.fr","iberdrola.fr")</f>
        <v>iberdrola.fr</v>
      </c>
      <c r="C18492" t="s">
        <v>446</v>
      </c>
      <c r="D18492" t="s">
        <v>824</v>
      </c>
      <c r="F18492">
        <v>3.0513315885343997E-8</v>
      </c>
      <c r="G18492">
        <v>1687598</v>
      </c>
      <c r="H18492">
        <v>13774834</v>
      </c>
      <c r="I18492">
        <v>6595427</v>
      </c>
      <c r="J18492">
        <v>2</v>
      </c>
    </row>
    <row r="18493" spans="1:10" x14ac:dyDescent="0.25">
      <c r="A18493" t="s">
        <v>199</v>
      </c>
      <c r="B18493" s="1" t="str">
        <f>HYPERLINK("http://rokasconstructions.gr","rokasconstructions.gr")</f>
        <v>rokasconstructions.gr</v>
      </c>
      <c r="C18493" t="s">
        <v>447</v>
      </c>
      <c r="D18493" t="s">
        <v>825</v>
      </c>
      <c r="F18493">
        <v>6.4432583465845802E-9</v>
      </c>
      <c r="G18493">
        <v>14323897</v>
      </c>
      <c r="H18493">
        <v>13763747</v>
      </c>
      <c r="I18493">
        <v>7697652</v>
      </c>
      <c r="J18493">
        <v>3</v>
      </c>
    </row>
    <row r="18494" spans="1:10" x14ac:dyDescent="0.25">
      <c r="A18494" t="s">
        <v>199</v>
      </c>
      <c r="B18494" s="1" t="str">
        <f>HYPERLINK("http://dpenergy.info","dpenergy.info")</f>
        <v>dpenergy.info</v>
      </c>
      <c r="C18494" t="s">
        <v>458</v>
      </c>
      <c r="F18494">
        <v>7.2542011445812701E-9</v>
      </c>
      <c r="G18494">
        <v>11595054</v>
      </c>
      <c r="H18494">
        <v>12364742</v>
      </c>
      <c r="I18494">
        <v>19502190</v>
      </c>
      <c r="J18494">
        <v>4</v>
      </c>
    </row>
    <row r="18495" spans="1:10" x14ac:dyDescent="0.25">
      <c r="A18495" t="s">
        <v>199</v>
      </c>
      <c r="B18495" s="1" t="str">
        <f>HYPERLINK("http://iberdrola.it","iberdrola.it")</f>
        <v>iberdrola.it</v>
      </c>
      <c r="C18495" t="s">
        <v>459</v>
      </c>
      <c r="D18495" t="s">
        <v>835</v>
      </c>
      <c r="F18495">
        <v>2.59997465564576E-8</v>
      </c>
      <c r="G18495">
        <v>1981690</v>
      </c>
      <c r="H18495">
        <v>12970403</v>
      </c>
      <c r="I18495">
        <v>13045312</v>
      </c>
      <c r="J18495">
        <v>2</v>
      </c>
    </row>
    <row r="18496" spans="1:10" x14ac:dyDescent="0.25">
      <c r="A18496" t="s">
        <v>199</v>
      </c>
      <c r="B18496" s="1" t="str">
        <f>HYPERLINK("http://iberdrola-renewables.jp","iberdrola-renewables.jp")</f>
        <v>iberdrola-renewables.jp</v>
      </c>
      <c r="C18496" t="s">
        <v>461</v>
      </c>
      <c r="D18496" t="s">
        <v>837</v>
      </c>
      <c r="F18496">
        <v>6.7904282456965597E-9</v>
      </c>
      <c r="G18496">
        <v>12992885</v>
      </c>
      <c r="H18496">
        <v>13116300</v>
      </c>
      <c r="I18496">
        <v>12007652</v>
      </c>
      <c r="J18496">
        <v>3</v>
      </c>
    </row>
    <row r="18497" spans="1:10" x14ac:dyDescent="0.25">
      <c r="A18497" t="s">
        <v>199</v>
      </c>
      <c r="B18497" s="1" t="str">
        <f>HYPERLINK("http://lk.lv","lk.lv")</f>
        <v>lk.lv</v>
      </c>
      <c r="C18497" t="s">
        <v>468</v>
      </c>
      <c r="D18497" t="s">
        <v>844</v>
      </c>
      <c r="F18497">
        <v>1.01788354435147E-8</v>
      </c>
      <c r="G18497">
        <v>6567784</v>
      </c>
      <c r="H18497">
        <v>14072018</v>
      </c>
      <c r="I18497">
        <v>3185124</v>
      </c>
      <c r="J18497">
        <v>13</v>
      </c>
    </row>
    <row r="18498" spans="1:10" x14ac:dyDescent="0.25">
      <c r="A18498" t="s">
        <v>199</v>
      </c>
      <c r="B18498" s="1" t="str">
        <f>HYPERLINK("http://berdrola.com.mx","berdrola.com.mx")</f>
        <v>berdrola.com.mx</v>
      </c>
      <c r="C18498" t="s">
        <v>471</v>
      </c>
      <c r="D18498" t="s">
        <v>847</v>
      </c>
      <c r="J18498">
        <v>4</v>
      </c>
    </row>
    <row r="18499" spans="1:10" x14ac:dyDescent="0.25">
      <c r="A18499" t="s">
        <v>199</v>
      </c>
      <c r="B18499" s="1" t="str">
        <f>HYPERLINK("http://iberdrola.com.mx","iberdrola.com.mx")</f>
        <v>iberdrola.com.mx</v>
      </c>
      <c r="C18499" t="s">
        <v>471</v>
      </c>
      <c r="D18499" t="s">
        <v>847</v>
      </c>
      <c r="F18499">
        <v>5.7297485961335096E-9</v>
      </c>
      <c r="G18499">
        <v>18667009</v>
      </c>
      <c r="H18499">
        <v>10544019</v>
      </c>
      <c r="I18499">
        <v>47001355</v>
      </c>
      <c r="J18499">
        <v>3</v>
      </c>
    </row>
    <row r="18500" spans="1:10" x14ac:dyDescent="0.25">
      <c r="A18500" t="s">
        <v>199</v>
      </c>
      <c r="B18500" s="1" t="str">
        <f>HYPERLINK("http://fundacioniberdrolamexico.org","fundacioniberdrolamexico.org")</f>
        <v>fundacioniberdrolamexico.org</v>
      </c>
      <c r="C18500" t="s">
        <v>481</v>
      </c>
      <c r="F18500">
        <v>4.2949328322412697E-8</v>
      </c>
      <c r="G18500">
        <v>1120749</v>
      </c>
      <c r="H18500">
        <v>13784241</v>
      </c>
      <c r="I18500">
        <v>6415021</v>
      </c>
      <c r="J18500">
        <v>6</v>
      </c>
    </row>
    <row r="18501" spans="1:10" x14ac:dyDescent="0.25">
      <c r="A18501" t="s">
        <v>199</v>
      </c>
      <c r="B18501" s="1" t="str">
        <f>HYPERLINK("http://iberdrola.pt","iberdrola.pt")</f>
        <v>iberdrola.pt</v>
      </c>
      <c r="C18501" t="s">
        <v>488</v>
      </c>
      <c r="D18501" t="s">
        <v>862</v>
      </c>
      <c r="F18501">
        <v>6.8553318975547295E-8</v>
      </c>
      <c r="G18501">
        <v>620876</v>
      </c>
      <c r="H18501">
        <v>16886528</v>
      </c>
      <c r="I18501">
        <v>136610</v>
      </c>
      <c r="J18501">
        <v>2</v>
      </c>
    </row>
    <row r="18502" spans="1:10" x14ac:dyDescent="0.25">
      <c r="A18502" t="s">
        <v>199</v>
      </c>
      <c r="B18502" s="1" t="str">
        <f>HYPERLINK("http://scottishpower.co.uk","scottishpower.co.uk")</f>
        <v>scottishpower.co.uk</v>
      </c>
      <c r="C18502" t="s">
        <v>506</v>
      </c>
      <c r="D18502" t="s">
        <v>880</v>
      </c>
      <c r="E18502">
        <v>75232</v>
      </c>
      <c r="F18502">
        <v>3.2365040291275502E-7</v>
      </c>
      <c r="G18502">
        <v>115038</v>
      </c>
      <c r="H18502">
        <v>17132736</v>
      </c>
      <c r="I18502">
        <v>56101</v>
      </c>
      <c r="J18502">
        <v>3</v>
      </c>
    </row>
    <row r="18503" spans="1:10" x14ac:dyDescent="0.25">
      <c r="A18503" t="s">
        <v>199</v>
      </c>
      <c r="B18503" s="1" t="str">
        <f>HYPERLINK("http://spenergynetworks.co.uk","spenergynetworks.co.uk")</f>
        <v>spenergynetworks.co.uk</v>
      </c>
      <c r="C18503" t="s">
        <v>506</v>
      </c>
      <c r="D18503" t="s">
        <v>880</v>
      </c>
      <c r="E18503">
        <v>508574</v>
      </c>
      <c r="F18503">
        <v>1.6122294765898799E-7</v>
      </c>
      <c r="G18503">
        <v>240786</v>
      </c>
      <c r="H18503">
        <v>14633496</v>
      </c>
      <c r="I18503">
        <v>642659</v>
      </c>
      <c r="J18503">
        <v>5</v>
      </c>
    </row>
    <row r="18504" spans="1:10" x14ac:dyDescent="0.25">
      <c r="A18504" t="s">
        <v>199</v>
      </c>
      <c r="B18504" s="1" t="str">
        <f>HYPERLINK("http://vpi.co.uk","vpi.co.uk")</f>
        <v>vpi.co.uk</v>
      </c>
      <c r="C18504" t="s">
        <v>506</v>
      </c>
      <c r="D18504" t="s">
        <v>880</v>
      </c>
      <c r="F18504">
        <v>7.8468303229116403E-9</v>
      </c>
      <c r="G18504">
        <v>10221263</v>
      </c>
      <c r="H18504">
        <v>12818390</v>
      </c>
      <c r="I18504">
        <v>14521740</v>
      </c>
      <c r="J18504">
        <v>6</v>
      </c>
    </row>
    <row r="18505" spans="1:10" x14ac:dyDescent="0.25">
      <c r="A18505" t="s">
        <v>199</v>
      </c>
      <c r="B18505" s="1" t="str">
        <f>HYPERLINK("http://westofduddonsands.co.uk","westofduddonsands.co.uk")</f>
        <v>westofduddonsands.co.uk</v>
      </c>
      <c r="C18505" t="s">
        <v>506</v>
      </c>
      <c r="D18505" t="s">
        <v>880</v>
      </c>
      <c r="F18505">
        <v>3.5975802043483297E-8</v>
      </c>
      <c r="G18505">
        <v>1448384</v>
      </c>
      <c r="H18505">
        <v>12721328</v>
      </c>
      <c r="I18505">
        <v>15246760</v>
      </c>
      <c r="J18505">
        <v>5</v>
      </c>
    </row>
    <row r="18506" spans="1:10" x14ac:dyDescent="0.25">
      <c r="A18506" t="s">
        <v>199</v>
      </c>
      <c r="B18506" s="1" t="str">
        <f>HYPERLINK("http://whiteleewindfarm.co.uk","whiteleewindfarm.co.uk")</f>
        <v>whiteleewindfarm.co.uk</v>
      </c>
      <c r="C18506" t="s">
        <v>506</v>
      </c>
      <c r="D18506" t="s">
        <v>880</v>
      </c>
      <c r="F18506">
        <v>2.3902607314661E-8</v>
      </c>
      <c r="G18506">
        <v>2172607</v>
      </c>
      <c r="H18506">
        <v>14588606</v>
      </c>
      <c r="I18506">
        <v>697787</v>
      </c>
      <c r="J18506">
        <v>5</v>
      </c>
    </row>
    <row r="18507" spans="1:10" x14ac:dyDescent="0.25">
      <c r="A18507" t="s">
        <v>199</v>
      </c>
      <c r="B18507" s="1" t="str">
        <f>HYPERLINK("http://iberdrolarenewables.us","iberdrolarenewables.us")</f>
        <v>iberdrolarenewables.us</v>
      </c>
      <c r="C18507" t="s">
        <v>522</v>
      </c>
      <c r="D18507" t="s">
        <v>891</v>
      </c>
      <c r="F18507">
        <v>9.5883899383483702E-8</v>
      </c>
      <c r="G18507">
        <v>422143</v>
      </c>
      <c r="H18507">
        <v>16949534</v>
      </c>
      <c r="I18507">
        <v>108403</v>
      </c>
      <c r="J18507">
        <v>3</v>
      </c>
    </row>
    <row r="18508" spans="1:10" x14ac:dyDescent="0.25">
      <c r="A18508" t="s">
        <v>200</v>
      </c>
      <c r="B18508" s="1" t="str">
        <f>HYPERLINK("http://instron.com.au","instron.com.au")</f>
        <v>instron.com.au</v>
      </c>
      <c r="C18508" t="s">
        <v>420</v>
      </c>
      <c r="D18508" t="s">
        <v>802</v>
      </c>
      <c r="F18508">
        <v>5.7034022956437003E-9</v>
      </c>
      <c r="G18508">
        <v>18900742</v>
      </c>
      <c r="H18508">
        <v>12242018</v>
      </c>
      <c r="I18508">
        <v>22197382</v>
      </c>
      <c r="J18508">
        <v>4</v>
      </c>
    </row>
    <row r="18509" spans="1:10" x14ac:dyDescent="0.25">
      <c r="A18509" t="s">
        <v>200</v>
      </c>
      <c r="B18509" s="1" t="str">
        <f>HYPERLINK("http://itwcs.com.au","itwcs.com.au")</f>
        <v>itwcs.com.au</v>
      </c>
      <c r="C18509" t="s">
        <v>420</v>
      </c>
      <c r="D18509" t="s">
        <v>802</v>
      </c>
      <c r="F18509">
        <v>6.9311713647752798E-9</v>
      </c>
      <c r="G18509">
        <v>12522121</v>
      </c>
      <c r="H18509">
        <v>12627081</v>
      </c>
      <c r="I18509">
        <v>16013028</v>
      </c>
      <c r="J18509">
        <v>3</v>
      </c>
    </row>
    <row r="18510" spans="1:10" x14ac:dyDescent="0.25">
      <c r="A18510" t="s">
        <v>200</v>
      </c>
      <c r="B18510" s="1" t="str">
        <f>HYPERLINK("http://wynns.be","wynns.be")</f>
        <v>wynns.be</v>
      </c>
      <c r="C18510" t="s">
        <v>421</v>
      </c>
      <c r="D18510" t="s">
        <v>803</v>
      </c>
      <c r="F18510">
        <v>7.9999874158943993E-9</v>
      </c>
      <c r="G18510">
        <v>9920574</v>
      </c>
      <c r="H18510">
        <v>12207133</v>
      </c>
      <c r="I18510">
        <v>23106151</v>
      </c>
      <c r="J18510">
        <v>5</v>
      </c>
    </row>
    <row r="18511" spans="1:10" x14ac:dyDescent="0.25">
      <c r="A18511" t="s">
        <v>200</v>
      </c>
      <c r="B18511" s="1" t="str">
        <f>HYPERLINK("http://itw.com.br","itw.com.br")</f>
        <v>itw.com.br</v>
      </c>
      <c r="C18511" t="s">
        <v>425</v>
      </c>
      <c r="D18511" t="s">
        <v>806</v>
      </c>
      <c r="F18511">
        <v>5.2542150644294703E-9</v>
      </c>
      <c r="G18511">
        <v>24193960</v>
      </c>
      <c r="H18511">
        <v>8375937</v>
      </c>
      <c r="I18511">
        <v>73552377</v>
      </c>
      <c r="J18511">
        <v>3</v>
      </c>
    </row>
    <row r="18512" spans="1:10" x14ac:dyDescent="0.25">
      <c r="A18512" t="s">
        <v>200</v>
      </c>
      <c r="B18512" s="1" t="str">
        <f>HYPERLINK("http://itwpf.com.br","itwpf.com.br")</f>
        <v>itwpf.com.br</v>
      </c>
      <c r="C18512" t="s">
        <v>425</v>
      </c>
      <c r="D18512" t="s">
        <v>806</v>
      </c>
      <c r="F18512">
        <v>4.5190858416997801E-9</v>
      </c>
      <c r="G18512">
        <v>56339612</v>
      </c>
      <c r="H18512">
        <v>12320822</v>
      </c>
      <c r="I18512">
        <v>20401757</v>
      </c>
      <c r="J18512">
        <v>6</v>
      </c>
    </row>
    <row r="18513" spans="1:10" x14ac:dyDescent="0.25">
      <c r="A18513" t="s">
        <v>200</v>
      </c>
      <c r="B18513" s="1" t="str">
        <f>HYPERLINK("http://itwpolymers.com.br","itwpolymers.com.br")</f>
        <v>itwpolymers.com.br</v>
      </c>
      <c r="C18513" t="s">
        <v>425</v>
      </c>
      <c r="D18513" t="s">
        <v>806</v>
      </c>
      <c r="F18513">
        <v>5.9555377833668401E-9</v>
      </c>
      <c r="G18513">
        <v>16984390</v>
      </c>
      <c r="H18513">
        <v>13802816</v>
      </c>
      <c r="I18513">
        <v>6266722</v>
      </c>
      <c r="J18513">
        <v>3</v>
      </c>
    </row>
    <row r="18514" spans="1:10" x14ac:dyDescent="0.25">
      <c r="A18514" t="s">
        <v>200</v>
      </c>
      <c r="B18514" s="1" t="str">
        <f>HYPERLINK("http://magnaflux.com.br","magnaflux.com.br")</f>
        <v>magnaflux.com.br</v>
      </c>
      <c r="C18514" t="s">
        <v>425</v>
      </c>
      <c r="D18514" t="s">
        <v>806</v>
      </c>
      <c r="F18514">
        <v>1.5107535860804299E-8</v>
      </c>
      <c r="G18514">
        <v>3805282</v>
      </c>
      <c r="H18514">
        <v>12539154</v>
      </c>
      <c r="I18514">
        <v>16948943</v>
      </c>
      <c r="J18514">
        <v>4</v>
      </c>
    </row>
    <row r="18515" spans="1:10" x14ac:dyDescent="0.25">
      <c r="A18515" t="s">
        <v>200</v>
      </c>
      <c r="B18515" s="1" t="str">
        <f>HYPERLINK("http://buehler.ca","buehler.ca")</f>
        <v>buehler.ca</v>
      </c>
      <c r="C18515" t="s">
        <v>428</v>
      </c>
      <c r="D18515" t="s">
        <v>809</v>
      </c>
      <c r="F18515">
        <v>8.2030202048279808E-9</v>
      </c>
      <c r="G18515">
        <v>9566177</v>
      </c>
      <c r="H18515">
        <v>12261516</v>
      </c>
      <c r="I18515">
        <v>21730188</v>
      </c>
      <c r="J18515">
        <v>3</v>
      </c>
    </row>
    <row r="18516" spans="1:10" x14ac:dyDescent="0.25">
      <c r="A18516" t="s">
        <v>200</v>
      </c>
      <c r="B18516" s="1" t="str">
        <f>HYPERLINK("http://elro.ch","elro.ch")</f>
        <v>elro.ch</v>
      </c>
      <c r="C18516" t="s">
        <v>429</v>
      </c>
      <c r="D18516" t="s">
        <v>810</v>
      </c>
      <c r="F18516">
        <v>1.47784897290058E-8</v>
      </c>
      <c r="G18516">
        <v>3914548</v>
      </c>
      <c r="H18516">
        <v>12460928</v>
      </c>
      <c r="I18516">
        <v>17865456</v>
      </c>
      <c r="J18516">
        <v>3</v>
      </c>
    </row>
    <row r="18517" spans="1:10" x14ac:dyDescent="0.25">
      <c r="A18517" t="s">
        <v>200</v>
      </c>
      <c r="B18517" s="1" t="str">
        <f>HYPERLINK("http://versachem.cl","versachem.cl")</f>
        <v>versachem.cl</v>
      </c>
      <c r="C18517" t="s">
        <v>430</v>
      </c>
      <c r="D18517" t="s">
        <v>811</v>
      </c>
      <c r="F18517">
        <v>4.5042525694390501E-9</v>
      </c>
      <c r="G18517">
        <v>58316168</v>
      </c>
      <c r="H18517">
        <v>10354340</v>
      </c>
      <c r="I18517">
        <v>55820662</v>
      </c>
      <c r="J18517">
        <v>3</v>
      </c>
    </row>
    <row r="18518" spans="1:10" x14ac:dyDescent="0.25">
      <c r="A18518" t="s">
        <v>200</v>
      </c>
      <c r="B18518" s="1" t="str">
        <f>HYPERLINK("http://buehler.cn","buehler.cn")</f>
        <v>buehler.cn</v>
      </c>
      <c r="C18518" t="s">
        <v>431</v>
      </c>
      <c r="D18518" t="s">
        <v>812</v>
      </c>
      <c r="F18518">
        <v>5.6530872900318499E-9</v>
      </c>
      <c r="G18518">
        <v>19364840</v>
      </c>
      <c r="H18518">
        <v>10055904</v>
      </c>
      <c r="I18518">
        <v>60312678</v>
      </c>
      <c r="J18518">
        <v>3</v>
      </c>
    </row>
    <row r="18519" spans="1:10" x14ac:dyDescent="0.25">
      <c r="A18519" t="s">
        <v>200</v>
      </c>
      <c r="B18519" s="1" t="str">
        <f>HYPERLINK("http://instron.cn","instron.cn")</f>
        <v>instron.cn</v>
      </c>
      <c r="C18519" t="s">
        <v>431</v>
      </c>
      <c r="D18519" t="s">
        <v>812</v>
      </c>
      <c r="F18519">
        <v>5.2371892662805299E-8</v>
      </c>
      <c r="G18519">
        <v>871052</v>
      </c>
      <c r="H18519">
        <v>12078041</v>
      </c>
      <c r="I18519">
        <v>26606694</v>
      </c>
      <c r="J18519">
        <v>4</v>
      </c>
    </row>
    <row r="18520" spans="1:10" x14ac:dyDescent="0.25">
      <c r="A18520" t="s">
        <v>200</v>
      </c>
      <c r="B18520" s="1" t="str">
        <f>HYPERLINK("http://itwdynatec.cn","itwdynatec.cn")</f>
        <v>itwdynatec.cn</v>
      </c>
      <c r="C18520" t="s">
        <v>431</v>
      </c>
      <c r="D18520" t="s">
        <v>812</v>
      </c>
      <c r="F18520">
        <v>4.61687913613601E-9</v>
      </c>
      <c r="G18520">
        <v>46352583</v>
      </c>
      <c r="H18520">
        <v>9895566</v>
      </c>
      <c r="I18520">
        <v>61689180</v>
      </c>
      <c r="J18520">
        <v>3</v>
      </c>
    </row>
    <row r="18521" spans="1:10" x14ac:dyDescent="0.25">
      <c r="A18521" t="s">
        <v>200</v>
      </c>
      <c r="B18521" s="1" t="str">
        <f>HYPERLINK("http://magnaflux.cn","magnaflux.cn")</f>
        <v>magnaflux.cn</v>
      </c>
      <c r="C18521" t="s">
        <v>431</v>
      </c>
      <c r="D18521" t="s">
        <v>812</v>
      </c>
      <c r="F18521">
        <v>9.3312004131158803E-9</v>
      </c>
      <c r="G18521">
        <v>7532780</v>
      </c>
      <c r="H18521">
        <v>10397488</v>
      </c>
      <c r="I18521">
        <v>54279103</v>
      </c>
      <c r="J18521">
        <v>4</v>
      </c>
    </row>
    <row r="18522" spans="1:10" x14ac:dyDescent="0.25">
      <c r="A18522" t="s">
        <v>200</v>
      </c>
      <c r="B18522" s="1" t="str">
        <f>HYPERLINK("http://vesta-china.cn","vesta-china.cn")</f>
        <v>vesta-china.cn</v>
      </c>
      <c r="C18522" t="s">
        <v>431</v>
      </c>
      <c r="D18522" t="s">
        <v>812</v>
      </c>
      <c r="J18522">
        <v>3</v>
      </c>
    </row>
    <row r="18523" spans="1:10" x14ac:dyDescent="0.25">
      <c r="A18523" t="s">
        <v>200</v>
      </c>
      <c r="B18523" s="1" t="str">
        <f>HYPERLINK("http://4nsi.com","4nsi.com")</f>
        <v>4nsi.com</v>
      </c>
      <c r="C18523" t="s">
        <v>433</v>
      </c>
      <c r="F18523">
        <v>2.81424276128802E-8</v>
      </c>
      <c r="G18523">
        <v>1828454</v>
      </c>
      <c r="H18523">
        <v>13378764</v>
      </c>
      <c r="I18523">
        <v>10431807</v>
      </c>
      <c r="J18523">
        <v>4</v>
      </c>
    </row>
    <row r="18524" spans="1:10" x14ac:dyDescent="0.25">
      <c r="A18524" t="s">
        <v>200</v>
      </c>
      <c r="B18524" s="1" t="str">
        <f>HYPERLINK("http://applichem.com","applichem.com")</f>
        <v>applichem.com</v>
      </c>
      <c r="C18524" t="s">
        <v>433</v>
      </c>
      <c r="F18524">
        <v>3.94100843044078E-8</v>
      </c>
      <c r="G18524">
        <v>1309682</v>
      </c>
      <c r="H18524">
        <v>14630436</v>
      </c>
      <c r="I18524">
        <v>645457</v>
      </c>
      <c r="J18524">
        <v>3</v>
      </c>
    </row>
    <row r="18525" spans="1:10" x14ac:dyDescent="0.25">
      <c r="A18525" t="s">
        <v>200</v>
      </c>
      <c r="B18525" s="1" t="str">
        <f>HYPERLINK("http://averyweigh-tronix.com","averyweigh-tronix.com")</f>
        <v>averyweigh-tronix.com</v>
      </c>
      <c r="C18525" t="s">
        <v>433</v>
      </c>
      <c r="F18525">
        <v>6.8480484696651297E-8</v>
      </c>
      <c r="G18525">
        <v>622825</v>
      </c>
      <c r="H18525">
        <v>14423476</v>
      </c>
      <c r="I18525">
        <v>1083040</v>
      </c>
      <c r="J18525">
        <v>3</v>
      </c>
    </row>
    <row r="18526" spans="1:10" x14ac:dyDescent="0.25">
      <c r="A18526" t="s">
        <v>200</v>
      </c>
      <c r="B18526" s="1" t="str">
        <f>HYPERLINK("http://bernardwelds.com","bernardwelds.com")</f>
        <v>bernardwelds.com</v>
      </c>
      <c r="C18526" t="s">
        <v>433</v>
      </c>
      <c r="F18526">
        <v>2.05820359331907E-8</v>
      </c>
      <c r="G18526">
        <v>2572944</v>
      </c>
      <c r="H18526">
        <v>13340493</v>
      </c>
      <c r="I18526">
        <v>10670510</v>
      </c>
      <c r="J18526">
        <v>5</v>
      </c>
    </row>
    <row r="18527" spans="1:10" x14ac:dyDescent="0.25">
      <c r="A18527" t="s">
        <v>200</v>
      </c>
      <c r="B18527" s="1" t="str">
        <f>HYPERLINK("http://brapenta.com","brapenta.com")</f>
        <v>brapenta.com</v>
      </c>
      <c r="C18527" t="s">
        <v>433</v>
      </c>
      <c r="F18527">
        <v>4.7036828017140101E-9</v>
      </c>
      <c r="G18527">
        <v>41048677</v>
      </c>
      <c r="H18527">
        <v>9793316</v>
      </c>
      <c r="I18527">
        <v>62649582</v>
      </c>
      <c r="J18527">
        <v>3</v>
      </c>
    </row>
    <row r="18528" spans="1:10" x14ac:dyDescent="0.25">
      <c r="A18528" t="s">
        <v>200</v>
      </c>
      <c r="B18528" s="1" t="str">
        <f>HYPERLINK("http://brooksinstrument.com","brooksinstrument.com")</f>
        <v>brooksinstrument.com</v>
      </c>
      <c r="C18528" t="s">
        <v>433</v>
      </c>
      <c r="E18528">
        <v>529202</v>
      </c>
      <c r="F18528">
        <v>5.3097067632944702E-8</v>
      </c>
      <c r="G18528">
        <v>857575</v>
      </c>
      <c r="H18528">
        <v>14165636</v>
      </c>
      <c r="I18528">
        <v>1821114</v>
      </c>
      <c r="J18528">
        <v>3</v>
      </c>
    </row>
    <row r="18529" spans="1:10" x14ac:dyDescent="0.25">
      <c r="A18529" t="s">
        <v>200</v>
      </c>
      <c r="B18529" s="1" t="str">
        <f>HYPERLINK("http://buehler.com","buehler.com")</f>
        <v>buehler.com</v>
      </c>
      <c r="C18529" t="s">
        <v>433</v>
      </c>
      <c r="E18529">
        <v>652362</v>
      </c>
      <c r="F18529">
        <v>9.4119835231090502E-8</v>
      </c>
      <c r="G18529">
        <v>431316</v>
      </c>
      <c r="H18529">
        <v>14118207</v>
      </c>
      <c r="I18529">
        <v>2658943</v>
      </c>
      <c r="J18529">
        <v>2</v>
      </c>
    </row>
    <row r="18530" spans="1:10" x14ac:dyDescent="0.25">
      <c r="A18530" t="s">
        <v>200</v>
      </c>
      <c r="B18530" s="1" t="str">
        <f>HYPERLINK("http://denisonmayesgroup.com","denisonmayesgroup.com")</f>
        <v>denisonmayesgroup.com</v>
      </c>
      <c r="C18530" t="s">
        <v>433</v>
      </c>
      <c r="F18530">
        <v>5.9304496633795002E-9</v>
      </c>
      <c r="G18530">
        <v>17149173</v>
      </c>
      <c r="H18530">
        <v>11073468</v>
      </c>
      <c r="I18530">
        <v>32543282</v>
      </c>
      <c r="J18530">
        <v>3</v>
      </c>
    </row>
    <row r="18531" spans="1:10" x14ac:dyDescent="0.25">
      <c r="A18531" t="s">
        <v>200</v>
      </c>
      <c r="B18531" s="1" t="str">
        <f>HYPERLINK("http://diagraph.com","diagraph.com")</f>
        <v>diagraph.com</v>
      </c>
      <c r="C18531" t="s">
        <v>433</v>
      </c>
      <c r="F18531">
        <v>2.5315555687177399E-8</v>
      </c>
      <c r="G18531">
        <v>2038287</v>
      </c>
      <c r="H18531">
        <v>13938204</v>
      </c>
      <c r="I18531">
        <v>4443858</v>
      </c>
      <c r="J18531">
        <v>2</v>
      </c>
    </row>
    <row r="18532" spans="1:10" x14ac:dyDescent="0.25">
      <c r="A18532" t="s">
        <v>200</v>
      </c>
      <c r="B18532" s="1" t="str">
        <f>HYPERLINK("http://duo-fast.com","duo-fast.com")</f>
        <v>duo-fast.com</v>
      </c>
      <c r="C18532" t="s">
        <v>433</v>
      </c>
      <c r="F18532">
        <v>5.6952787588500602E-9</v>
      </c>
      <c r="G18532">
        <v>19001747</v>
      </c>
      <c r="H18532">
        <v>11145695</v>
      </c>
      <c r="I18532">
        <v>31782194</v>
      </c>
      <c r="J18532">
        <v>3</v>
      </c>
    </row>
    <row r="18533" spans="1:10" x14ac:dyDescent="0.25">
      <c r="A18533" t="s">
        <v>200</v>
      </c>
      <c r="B18533" s="1" t="str">
        <f>HYPERLINK("http://ecscableprotection.com","ecscableprotection.com")</f>
        <v>ecscableprotection.com</v>
      </c>
      <c r="C18533" t="s">
        <v>433</v>
      </c>
      <c r="F18533">
        <v>5.1702269257730103E-9</v>
      </c>
      <c r="G18533">
        <v>25721542</v>
      </c>
      <c r="H18533">
        <v>10602700</v>
      </c>
      <c r="I18533">
        <v>44803399</v>
      </c>
      <c r="J18533">
        <v>3</v>
      </c>
    </row>
    <row r="18534" spans="1:10" x14ac:dyDescent="0.25">
      <c r="A18534" t="s">
        <v>200</v>
      </c>
      <c r="B18534" s="1" t="str">
        <f>HYPERLINK("http://ehwachs.com","ehwachs.com")</f>
        <v>ehwachs.com</v>
      </c>
      <c r="C18534" t="s">
        <v>433</v>
      </c>
      <c r="F18534">
        <v>2.4189364830014099E-8</v>
      </c>
      <c r="G18534">
        <v>2144591</v>
      </c>
      <c r="H18534">
        <v>13247147</v>
      </c>
      <c r="I18534">
        <v>11114170</v>
      </c>
      <c r="J18534">
        <v>3</v>
      </c>
    </row>
    <row r="18535" spans="1:10" x14ac:dyDescent="0.25">
      <c r="A18535" t="s">
        <v>200</v>
      </c>
      <c r="B18535" s="1" t="str">
        <f>HYPERLINK("http://hobartcorp.com","hobartcorp.com")</f>
        <v>hobartcorp.com</v>
      </c>
      <c r="C18535" t="s">
        <v>433</v>
      </c>
      <c r="E18535">
        <v>406947</v>
      </c>
      <c r="F18535">
        <v>1.05635727851306E-7</v>
      </c>
      <c r="G18535">
        <v>379208</v>
      </c>
      <c r="H18535">
        <v>14578538</v>
      </c>
      <c r="I18535">
        <v>714720</v>
      </c>
      <c r="J18535">
        <v>3</v>
      </c>
    </row>
    <row r="18536" spans="1:10" x14ac:dyDescent="0.25">
      <c r="A18536" t="s">
        <v>200</v>
      </c>
      <c r="B18536" s="1" t="str">
        <f>HYPERLINK("http://instron.com","instron.com")</f>
        <v>instron.com</v>
      </c>
      <c r="C18536" t="s">
        <v>433</v>
      </c>
      <c r="E18536">
        <v>205285</v>
      </c>
      <c r="F18536">
        <v>1.76630521320124E-7</v>
      </c>
      <c r="G18536">
        <v>219123</v>
      </c>
      <c r="H18536">
        <v>14111316</v>
      </c>
      <c r="I18536">
        <v>2672759</v>
      </c>
      <c r="J18536">
        <v>3</v>
      </c>
    </row>
    <row r="18537" spans="1:10" x14ac:dyDescent="0.25">
      <c r="A18537" t="s">
        <v>200</v>
      </c>
      <c r="B18537" s="1" t="str">
        <f>HYPERLINK("http://itw.com","itw.com")</f>
        <v>itw.com</v>
      </c>
      <c r="C18537" t="s">
        <v>433</v>
      </c>
      <c r="E18537">
        <v>206024</v>
      </c>
      <c r="F18537">
        <v>3.8296966198425603E-7</v>
      </c>
      <c r="G18537">
        <v>97727</v>
      </c>
      <c r="H18537">
        <v>17110422</v>
      </c>
      <c r="I18537">
        <v>61929</v>
      </c>
      <c r="J18537">
        <v>1</v>
      </c>
    </row>
    <row r="18538" spans="1:10" x14ac:dyDescent="0.25">
      <c r="A18538" t="s">
        <v>200</v>
      </c>
      <c r="B18538" s="1" t="str">
        <f>HYPERLINK("http://itw-deutschland.com","itw-deutschland.com")</f>
        <v>itw-deutschland.com</v>
      </c>
      <c r="C18538" t="s">
        <v>433</v>
      </c>
      <c r="J18538">
        <v>3</v>
      </c>
    </row>
    <row r="18539" spans="1:10" x14ac:dyDescent="0.25">
      <c r="A18539" t="s">
        <v>200</v>
      </c>
      <c r="B18539" s="1" t="str">
        <f>HYPERLINK("http://itw-italy.com","itw-italy.com")</f>
        <v>itw-italy.com</v>
      </c>
      <c r="C18539" t="s">
        <v>433</v>
      </c>
      <c r="F18539">
        <v>9.7155538925182597E-9</v>
      </c>
      <c r="G18539">
        <v>7062889</v>
      </c>
      <c r="H18539">
        <v>11150149</v>
      </c>
      <c r="I18539">
        <v>31741095</v>
      </c>
      <c r="J18539">
        <v>3</v>
      </c>
    </row>
    <row r="18540" spans="1:10" x14ac:dyDescent="0.25">
      <c r="A18540" t="s">
        <v>200</v>
      </c>
      <c r="B18540" s="1" t="str">
        <f>HYPERLINK("http://itwautomotive.com","itwautomotive.com")</f>
        <v>itwautomotive.com</v>
      </c>
      <c r="C18540" t="s">
        <v>433</v>
      </c>
      <c r="F18540">
        <v>2.00200664269144E-8</v>
      </c>
      <c r="G18540">
        <v>2656169</v>
      </c>
      <c r="H18540">
        <v>12629319</v>
      </c>
      <c r="I18540">
        <v>15995397</v>
      </c>
      <c r="J18540">
        <v>2</v>
      </c>
    </row>
    <row r="18541" spans="1:10" x14ac:dyDescent="0.25">
      <c r="A18541" t="s">
        <v>200</v>
      </c>
      <c r="B18541" s="1" t="str">
        <f>HYPERLINK("http://itwautomx.com","itwautomx.com")</f>
        <v>itwautomx.com</v>
      </c>
      <c r="C18541" t="s">
        <v>433</v>
      </c>
      <c r="J18541">
        <v>3</v>
      </c>
    </row>
    <row r="18542" spans="1:10" x14ac:dyDescent="0.25">
      <c r="A18542" t="s">
        <v>200</v>
      </c>
      <c r="B18542" s="1" t="str">
        <f>HYPERLINK("http://itwccna.com","itwccna.com")</f>
        <v>itwccna.com</v>
      </c>
      <c r="C18542" t="s">
        <v>433</v>
      </c>
      <c r="F18542">
        <v>6.8360527386132801E-9</v>
      </c>
      <c r="G18542">
        <v>12842937</v>
      </c>
      <c r="H18542">
        <v>12473145</v>
      </c>
      <c r="I18542">
        <v>17664726</v>
      </c>
      <c r="J18542">
        <v>2</v>
      </c>
    </row>
    <row r="18543" spans="1:10" x14ac:dyDescent="0.25">
      <c r="A18543" t="s">
        <v>200</v>
      </c>
      <c r="B18543" s="1" t="str">
        <f>HYPERLINK("http://itwcovid.com","itwcovid.com")</f>
        <v>itwcovid.com</v>
      </c>
      <c r="C18543" t="s">
        <v>433</v>
      </c>
      <c r="F18543">
        <v>4.6948257312884796E-9</v>
      </c>
      <c r="G18543">
        <v>41548680</v>
      </c>
      <c r="H18543">
        <v>12579904</v>
      </c>
      <c r="I18543">
        <v>16509915</v>
      </c>
      <c r="J18543">
        <v>3</v>
      </c>
    </row>
    <row r="18544" spans="1:10" x14ac:dyDescent="0.25">
      <c r="A18544" t="s">
        <v>200</v>
      </c>
      <c r="B18544" s="1" t="str">
        <f>HYPERLINK("http://itwdynatec.com","itwdynatec.com")</f>
        <v>itwdynatec.com</v>
      </c>
      <c r="C18544" t="s">
        <v>433</v>
      </c>
      <c r="F18544">
        <v>2.42305220686646E-8</v>
      </c>
      <c r="G18544">
        <v>2140539</v>
      </c>
      <c r="H18544">
        <v>12982659</v>
      </c>
      <c r="I18544">
        <v>12938069</v>
      </c>
      <c r="J18544">
        <v>2</v>
      </c>
    </row>
    <row r="18545" spans="1:10" x14ac:dyDescent="0.25">
      <c r="A18545" t="s">
        <v>200</v>
      </c>
      <c r="B18545" s="1" t="str">
        <f>HYPERLINK("http://itweae.com","itweae.com")</f>
        <v>itweae.com</v>
      </c>
      <c r="C18545" t="s">
        <v>433</v>
      </c>
      <c r="F18545">
        <v>4.9503150775645201E-8</v>
      </c>
      <c r="G18545">
        <v>934618</v>
      </c>
      <c r="H18545">
        <v>12921946</v>
      </c>
      <c r="I18545">
        <v>13418113</v>
      </c>
      <c r="J18545">
        <v>2</v>
      </c>
    </row>
    <row r="18546" spans="1:10" x14ac:dyDescent="0.25">
      <c r="A18546" t="s">
        <v>200</v>
      </c>
      <c r="B18546" s="1" t="str">
        <f>HYPERLINK("http://itwengineeredpolymers.com","itwengineeredpolymers.com")</f>
        <v>itwengineeredpolymers.com</v>
      </c>
      <c r="C18546" t="s">
        <v>433</v>
      </c>
      <c r="F18546">
        <v>1.14680871427401E-8</v>
      </c>
      <c r="G18546">
        <v>5526840</v>
      </c>
      <c r="H18546">
        <v>12322918</v>
      </c>
      <c r="I18546">
        <v>20360475</v>
      </c>
      <c r="J18546">
        <v>7</v>
      </c>
    </row>
    <row r="18547" spans="1:10" x14ac:dyDescent="0.25">
      <c r="A18547" t="s">
        <v>200</v>
      </c>
      <c r="B18547" s="1" t="str">
        <f>HYPERLINK("http://itwfeg.com","itwfeg.com")</f>
        <v>itwfeg.com</v>
      </c>
      <c r="C18547" t="s">
        <v>433</v>
      </c>
      <c r="E18547">
        <v>679740</v>
      </c>
      <c r="F18547">
        <v>2.3489611414197899E-8</v>
      </c>
      <c r="G18547">
        <v>2215887</v>
      </c>
      <c r="H18547">
        <v>12334195</v>
      </c>
      <c r="I18547">
        <v>20122485</v>
      </c>
      <c r="J18547">
        <v>4</v>
      </c>
    </row>
    <row r="18548" spans="1:10" x14ac:dyDescent="0.25">
      <c r="A18548" t="s">
        <v>200</v>
      </c>
      <c r="B18548" s="1" t="str">
        <f>HYPERLINK("http://itwgb.com","itwgb.com")</f>
        <v>itwgb.com</v>
      </c>
      <c r="C18548" t="s">
        <v>433</v>
      </c>
      <c r="F18548">
        <v>1.5527328824139601E-8</v>
      </c>
      <c r="G18548">
        <v>3676803</v>
      </c>
      <c r="H18548">
        <v>12726821</v>
      </c>
      <c r="I18548">
        <v>15214766</v>
      </c>
      <c r="J18548">
        <v>2</v>
      </c>
    </row>
    <row r="18549" spans="1:10" x14ac:dyDescent="0.25">
      <c r="A18549" t="s">
        <v>200</v>
      </c>
      <c r="B18549" s="1" t="str">
        <f>HYPERLINK("http://itwgse.com","itwgse.com")</f>
        <v>itwgse.com</v>
      </c>
      <c r="C18549" t="s">
        <v>433</v>
      </c>
      <c r="F18549">
        <v>3.96073767998467E-8</v>
      </c>
      <c r="G18549">
        <v>1303691</v>
      </c>
      <c r="H18549">
        <v>12857221</v>
      </c>
      <c r="I18549">
        <v>14216302</v>
      </c>
      <c r="J18549">
        <v>3</v>
      </c>
    </row>
    <row r="18550" spans="1:10" x14ac:dyDescent="0.25">
      <c r="A18550" t="s">
        <v>200</v>
      </c>
      <c r="B18550" s="1" t="str">
        <f>HYPERLINK("http://itwids.com","itwids.com")</f>
        <v>itwids.com</v>
      </c>
      <c r="C18550" t="s">
        <v>433</v>
      </c>
      <c r="F18550">
        <v>7.1968603747806297E-9</v>
      </c>
      <c r="G18550">
        <v>11749161</v>
      </c>
      <c r="H18550">
        <v>10689674</v>
      </c>
      <c r="I18550">
        <v>42514091</v>
      </c>
      <c r="J18550">
        <v>2</v>
      </c>
    </row>
    <row r="18551" spans="1:10" x14ac:dyDescent="0.25">
      <c r="A18551" t="s">
        <v>200</v>
      </c>
      <c r="B18551" s="1" t="str">
        <f>HYPERLINK("http://itwmedical.com","itwmedical.com")</f>
        <v>itwmedical.com</v>
      </c>
      <c r="C18551" t="s">
        <v>433</v>
      </c>
      <c r="F18551">
        <v>4.9966472781430999E-9</v>
      </c>
      <c r="G18551">
        <v>29493633</v>
      </c>
      <c r="H18551">
        <v>13106615</v>
      </c>
      <c r="I18551">
        <v>12056808</v>
      </c>
      <c r="J18551">
        <v>2</v>
      </c>
    </row>
    <row r="18552" spans="1:10" x14ac:dyDescent="0.25">
      <c r="A18552" t="s">
        <v>200</v>
      </c>
      <c r="B18552" s="1" t="str">
        <f>HYPERLINK("http://itwmetalflex.com","itwmetalflex.com")</f>
        <v>itwmetalflex.com</v>
      </c>
      <c r="C18552" t="s">
        <v>433</v>
      </c>
      <c r="F18552">
        <v>5.1507756371454401E-9</v>
      </c>
      <c r="G18552">
        <v>26066240</v>
      </c>
      <c r="H18552">
        <v>9583014</v>
      </c>
      <c r="I18552">
        <v>64590578</v>
      </c>
      <c r="J18552">
        <v>3</v>
      </c>
    </row>
    <row r="18553" spans="1:10" x14ac:dyDescent="0.25">
      <c r="A18553" t="s">
        <v>200</v>
      </c>
      <c r="B18553" s="1" t="str">
        <f>HYPERLINK("http://itwpc.com","itwpc.com")</f>
        <v>itwpc.com</v>
      </c>
      <c r="C18553" t="s">
        <v>433</v>
      </c>
      <c r="F18553">
        <v>9.3705609159962195E-9</v>
      </c>
      <c r="G18553">
        <v>7482298</v>
      </c>
      <c r="H18553">
        <v>14072988</v>
      </c>
      <c r="I18553">
        <v>3026442</v>
      </c>
      <c r="J18553">
        <v>6</v>
      </c>
    </row>
    <row r="18554" spans="1:10" x14ac:dyDescent="0.25">
      <c r="A18554" t="s">
        <v>200</v>
      </c>
      <c r="B18554" s="1" t="str">
        <f>HYPERLINK("http://itwperformancepolymers.com","itwperformancepolymers.com")</f>
        <v>itwperformancepolymers.com</v>
      </c>
      <c r="C18554" t="s">
        <v>433</v>
      </c>
      <c r="E18554">
        <v>412457</v>
      </c>
      <c r="F18554">
        <v>9.9917399032137699E-8</v>
      </c>
      <c r="G18554">
        <v>402826</v>
      </c>
      <c r="H18554">
        <v>13784324</v>
      </c>
      <c r="I18554">
        <v>6414017</v>
      </c>
      <c r="J18554">
        <v>4</v>
      </c>
    </row>
    <row r="18555" spans="1:10" x14ac:dyDescent="0.25">
      <c r="A18555" t="s">
        <v>200</v>
      </c>
      <c r="B18555" s="1" t="str">
        <f>HYPERLINK("http://itwpolymex.com","itwpolymex.com")</f>
        <v>itwpolymex.com</v>
      </c>
      <c r="C18555" t="s">
        <v>433</v>
      </c>
      <c r="F18555">
        <v>4.7190645568816801E-9</v>
      </c>
      <c r="G18555">
        <v>40265804</v>
      </c>
      <c r="H18555">
        <v>10759304</v>
      </c>
      <c r="I18555">
        <v>39656713</v>
      </c>
      <c r="J18555">
        <v>4</v>
      </c>
    </row>
    <row r="18556" spans="1:10" x14ac:dyDescent="0.25">
      <c r="A18556" t="s">
        <v>200</v>
      </c>
      <c r="B18556" s="1" t="str">
        <f>HYPERLINK("http://itwpp.com","itwpp.com")</f>
        <v>itwpp.com</v>
      </c>
      <c r="C18556" t="s">
        <v>433</v>
      </c>
      <c r="F18556">
        <v>8.2353827196609203E-9</v>
      </c>
      <c r="G18556">
        <v>9417592</v>
      </c>
      <c r="H18556">
        <v>11614738</v>
      </c>
      <c r="I18556">
        <v>29914291</v>
      </c>
      <c r="J18556">
        <v>2</v>
      </c>
    </row>
    <row r="18557" spans="1:10" x14ac:dyDescent="0.25">
      <c r="A18557" t="s">
        <v>200</v>
      </c>
      <c r="B18557" s="1" t="str">
        <f>HYPERLINK("http://itwppfchina.com","itwppfchina.com")</f>
        <v>itwppfchina.com</v>
      </c>
      <c r="C18557" t="s">
        <v>433</v>
      </c>
      <c r="F18557">
        <v>4.6430060705397202E-9</v>
      </c>
      <c r="G18557">
        <v>44577253</v>
      </c>
      <c r="H18557">
        <v>10343779</v>
      </c>
      <c r="I18557">
        <v>57717394</v>
      </c>
      <c r="J18557">
        <v>3</v>
      </c>
    </row>
    <row r="18558" spans="1:10" x14ac:dyDescent="0.25">
      <c r="A18558" t="s">
        <v>200</v>
      </c>
      <c r="B18558" s="1" t="str">
        <f>HYPERLINK("http://itwsealants.com","itwsealants.com")</f>
        <v>itwsealants.com</v>
      </c>
      <c r="C18558" t="s">
        <v>433</v>
      </c>
      <c r="F18558">
        <v>2.1687864671109801E-8</v>
      </c>
      <c r="G18558">
        <v>2425302</v>
      </c>
      <c r="H18558">
        <v>13042695</v>
      </c>
      <c r="I18558">
        <v>12616063</v>
      </c>
      <c r="J18558">
        <v>8</v>
      </c>
    </row>
    <row r="18559" spans="1:10" x14ac:dyDescent="0.25">
      <c r="A18559" t="s">
        <v>200</v>
      </c>
      <c r="B18559" s="1" t="str">
        <f>HYPERLINK("http://itwsecuritydivision.com","itwsecuritydivision.com")</f>
        <v>itwsecuritydivision.com</v>
      </c>
      <c r="C18559" t="s">
        <v>433</v>
      </c>
      <c r="F18559">
        <v>7.5214728858879002E-9</v>
      </c>
      <c r="G18559">
        <v>10965955</v>
      </c>
      <c r="H18559">
        <v>12860667</v>
      </c>
      <c r="I18559">
        <v>14197073</v>
      </c>
      <c r="J18559">
        <v>6</v>
      </c>
    </row>
    <row r="18560" spans="1:10" x14ac:dyDescent="0.25">
      <c r="A18560" t="s">
        <v>200</v>
      </c>
      <c r="B18560" s="1" t="str">
        <f>HYPERLINK("http://itwswitches.com","itwswitches.com")</f>
        <v>itwswitches.com</v>
      </c>
      <c r="C18560" t="s">
        <v>433</v>
      </c>
      <c r="F18560">
        <v>1.5350805081217099E-8</v>
      </c>
      <c r="G18560">
        <v>3730444</v>
      </c>
      <c r="H18560">
        <v>13090137</v>
      </c>
      <c r="I18560">
        <v>12145113</v>
      </c>
      <c r="J18560">
        <v>3</v>
      </c>
    </row>
    <row r="18561" spans="1:10" x14ac:dyDescent="0.25">
      <c r="A18561" t="s">
        <v>200</v>
      </c>
      <c r="B18561" s="1" t="str">
        <f>HYPERLINK("http://itwwelding.com","itwwelding.com")</f>
        <v>itwwelding.com</v>
      </c>
      <c r="C18561" t="s">
        <v>433</v>
      </c>
      <c r="F18561">
        <v>1.45652128129348E-8</v>
      </c>
      <c r="G18561">
        <v>3989499</v>
      </c>
      <c r="H18561">
        <v>12560418</v>
      </c>
      <c r="I18561">
        <v>16709155</v>
      </c>
      <c r="J18561">
        <v>3</v>
      </c>
    </row>
    <row r="18562" spans="1:10" x14ac:dyDescent="0.25">
      <c r="A18562" t="s">
        <v>200</v>
      </c>
      <c r="B18562" s="1" t="str">
        <f>HYPERLINK("http://kartro.com","kartro.com")</f>
        <v>kartro.com</v>
      </c>
      <c r="C18562" t="s">
        <v>433</v>
      </c>
      <c r="F18562">
        <v>4.4462049959174796E-9</v>
      </c>
      <c r="G18562">
        <v>74521925</v>
      </c>
      <c r="H18562">
        <v>9439704</v>
      </c>
      <c r="I18562">
        <v>66677745</v>
      </c>
      <c r="J18562">
        <v>3</v>
      </c>
    </row>
    <row r="18563" spans="1:10" x14ac:dyDescent="0.25">
      <c r="A18563" t="s">
        <v>200</v>
      </c>
      <c r="B18563" s="1" t="str">
        <f>HYPERLINK("http://magnaflux.com","magnaflux.com")</f>
        <v>magnaflux.com</v>
      </c>
      <c r="C18563" t="s">
        <v>433</v>
      </c>
      <c r="E18563">
        <v>795003</v>
      </c>
      <c r="F18563">
        <v>6.3345275742022799E-8</v>
      </c>
      <c r="G18563">
        <v>686529</v>
      </c>
      <c r="H18563">
        <v>13306386</v>
      </c>
      <c r="I18563">
        <v>10796689</v>
      </c>
      <c r="J18563">
        <v>3</v>
      </c>
    </row>
    <row r="18564" spans="1:10" x14ac:dyDescent="0.25">
      <c r="A18564" t="s">
        <v>200</v>
      </c>
      <c r="B18564" s="1" t="str">
        <f>HYPERLINK("http://millerwelds.com","millerwelds.com")</f>
        <v>millerwelds.com</v>
      </c>
      <c r="C18564" t="s">
        <v>433</v>
      </c>
      <c r="E18564">
        <v>64935</v>
      </c>
      <c r="F18564">
        <v>4.47305070433865E-7</v>
      </c>
      <c r="G18564">
        <v>84402</v>
      </c>
      <c r="H18564">
        <v>17308152</v>
      </c>
      <c r="I18564">
        <v>27003</v>
      </c>
      <c r="J18564">
        <v>3</v>
      </c>
    </row>
    <row r="18565" spans="1:10" x14ac:dyDescent="0.25">
      <c r="A18565" t="s">
        <v>200</v>
      </c>
      <c r="B18565" s="1" t="str">
        <f>HYPERLINK("http://mts.com","mts.com")</f>
        <v>mts.com</v>
      </c>
      <c r="C18565" t="s">
        <v>433</v>
      </c>
      <c r="E18565">
        <v>141246</v>
      </c>
      <c r="F18565">
        <v>1.2986234277704899E-7</v>
      </c>
      <c r="G18565">
        <v>301443</v>
      </c>
      <c r="H18565">
        <v>14568790</v>
      </c>
      <c r="I18565">
        <v>737005</v>
      </c>
      <c r="J18565">
        <v>2</v>
      </c>
    </row>
    <row r="18566" spans="1:10" x14ac:dyDescent="0.25">
      <c r="A18566" t="s">
        <v>200</v>
      </c>
      <c r="B18566" s="1" t="str">
        <f>HYPERLINK("http://mtschina.com","mtschina.com")</f>
        <v>mtschina.com</v>
      </c>
      <c r="C18566" t="s">
        <v>433</v>
      </c>
      <c r="F18566">
        <v>6.20426012237738E-8</v>
      </c>
      <c r="G18566">
        <v>708652</v>
      </c>
      <c r="H18566">
        <v>13213635</v>
      </c>
      <c r="I18566">
        <v>11382750</v>
      </c>
      <c r="J18566">
        <v>3</v>
      </c>
    </row>
    <row r="18567" spans="1:10" x14ac:dyDescent="0.25">
      <c r="A18567" t="s">
        <v>200</v>
      </c>
      <c r="B18567" s="1" t="str">
        <f>HYPERLINK("http://mtskorea.com","mtskorea.com")</f>
        <v>mtskorea.com</v>
      </c>
      <c r="C18567" t="s">
        <v>433</v>
      </c>
      <c r="F18567">
        <v>7.25233283688776E-9</v>
      </c>
      <c r="G18567">
        <v>11599710</v>
      </c>
      <c r="H18567">
        <v>10912580</v>
      </c>
      <c r="I18567">
        <v>35566164</v>
      </c>
      <c r="J18567">
        <v>3</v>
      </c>
    </row>
    <row r="18568" spans="1:10" x14ac:dyDescent="0.25">
      <c r="A18568" t="s">
        <v>200</v>
      </c>
      <c r="B18568" s="1" t="str">
        <f>HYPERLINK("http://orbitalum.com","orbitalum.com")</f>
        <v>orbitalum.com</v>
      </c>
      <c r="C18568" t="s">
        <v>433</v>
      </c>
      <c r="F18568">
        <v>2.14586462574697E-8</v>
      </c>
      <c r="G18568">
        <v>2454184</v>
      </c>
      <c r="H18568">
        <v>12063635</v>
      </c>
      <c r="I18568">
        <v>26927618</v>
      </c>
      <c r="J18568">
        <v>4</v>
      </c>
    </row>
    <row r="18569" spans="1:10" x14ac:dyDescent="0.25">
      <c r="A18569" t="s">
        <v>200</v>
      </c>
      <c r="B18569" s="1" t="str">
        <f>HYPERLINK("http://peerlessfood.com","peerlessfood.com")</f>
        <v>peerlessfood.com</v>
      </c>
      <c r="C18569" t="s">
        <v>433</v>
      </c>
      <c r="F18569">
        <v>1.9777567982999699E-8</v>
      </c>
      <c r="G18569">
        <v>2696721</v>
      </c>
      <c r="H18569">
        <v>12822375</v>
      </c>
      <c r="I18569">
        <v>14490252</v>
      </c>
      <c r="J18569">
        <v>6</v>
      </c>
    </row>
    <row r="18570" spans="1:10" x14ac:dyDescent="0.25">
      <c r="A18570" t="s">
        <v>200</v>
      </c>
      <c r="B18570" s="1" t="str">
        <f>HYPERLINK("http://qsa-global.com","qsa-global.com")</f>
        <v>qsa-global.com</v>
      </c>
      <c r="C18570" t="s">
        <v>433</v>
      </c>
      <c r="F18570">
        <v>2.1722484851915E-8</v>
      </c>
      <c r="G18570">
        <v>2421022</v>
      </c>
      <c r="H18570">
        <v>12685491</v>
      </c>
      <c r="I18570">
        <v>15454108</v>
      </c>
      <c r="J18570">
        <v>3</v>
      </c>
    </row>
    <row r="18571" spans="1:10" x14ac:dyDescent="0.25">
      <c r="A18571" t="s">
        <v>200</v>
      </c>
      <c r="B18571" s="1" t="str">
        <f>HYPERLINK("http://stokvistapes.com","stokvistapes.com")</f>
        <v>stokvistapes.com</v>
      </c>
      <c r="C18571" t="s">
        <v>433</v>
      </c>
      <c r="F18571">
        <v>7.0788127973120401E-9</v>
      </c>
      <c r="G18571">
        <v>12074773</v>
      </c>
      <c r="H18571">
        <v>14119767</v>
      </c>
      <c r="I18571">
        <v>2457003</v>
      </c>
      <c r="J18571">
        <v>3</v>
      </c>
    </row>
    <row r="18572" spans="1:10" x14ac:dyDescent="0.25">
      <c r="A18572" t="s">
        <v>200</v>
      </c>
      <c r="B18572" s="1" t="str">
        <f>HYPERLINK("http://trw-efc.com","trw-efc.com")</f>
        <v>trw-efc.com</v>
      </c>
      <c r="C18572" t="s">
        <v>433</v>
      </c>
      <c r="F18572">
        <v>1.09757189219E-8</v>
      </c>
      <c r="G18572">
        <v>5879672</v>
      </c>
      <c r="H18572">
        <v>10508741</v>
      </c>
      <c r="I18572">
        <v>50069063</v>
      </c>
      <c r="J18572">
        <v>3</v>
      </c>
    </row>
    <row r="18573" spans="1:10" x14ac:dyDescent="0.25">
      <c r="A18573" t="s">
        <v>200</v>
      </c>
      <c r="B18573" s="1" t="str">
        <f>HYPERLINK("http://weldingproductsgroup.com","weldingproductsgroup.com")</f>
        <v>weldingproductsgroup.com</v>
      </c>
      <c r="C18573" t="s">
        <v>433</v>
      </c>
      <c r="F18573">
        <v>4.52541137269243E-9</v>
      </c>
      <c r="G18573">
        <v>55564740</v>
      </c>
      <c r="H18573">
        <v>10541182</v>
      </c>
      <c r="I18573">
        <v>47211605</v>
      </c>
      <c r="J18573">
        <v>3</v>
      </c>
    </row>
    <row r="18574" spans="1:10" x14ac:dyDescent="0.25">
      <c r="A18574" t="s">
        <v>200</v>
      </c>
      <c r="B18574" s="1" t="str">
        <f>HYPERLINK("http://wilsonart.com","wilsonart.com")</f>
        <v>wilsonart.com</v>
      </c>
      <c r="C18574" t="s">
        <v>433</v>
      </c>
      <c r="E18574">
        <v>69104</v>
      </c>
      <c r="F18574">
        <v>4.8366713444831402E-7</v>
      </c>
      <c r="G18574">
        <v>78685</v>
      </c>
      <c r="H18574">
        <v>15056248</v>
      </c>
      <c r="I18574">
        <v>413484</v>
      </c>
      <c r="J18574">
        <v>6</v>
      </c>
    </row>
    <row r="18575" spans="1:10" x14ac:dyDescent="0.25">
      <c r="A18575" t="s">
        <v>200</v>
      </c>
      <c r="B18575" s="1" t="str">
        <f>HYPERLINK("http://wynns.com","wynns.com")</f>
        <v>wynns.com</v>
      </c>
      <c r="C18575" t="s">
        <v>433</v>
      </c>
      <c r="F18575">
        <v>1.0639760130324399E-8</v>
      </c>
      <c r="G18575">
        <v>6150066</v>
      </c>
      <c r="H18575">
        <v>12819422</v>
      </c>
      <c r="I18575">
        <v>14511298</v>
      </c>
      <c r="J18575">
        <v>4</v>
      </c>
    </row>
    <row r="18576" spans="1:10" x14ac:dyDescent="0.25">
      <c r="A18576" t="s">
        <v>200</v>
      </c>
      <c r="B18576" s="1" t="str">
        <f>HYPERLINK("http://bravoll.cz","bravoll.cz")</f>
        <v>bravoll.cz</v>
      </c>
      <c r="C18576" t="s">
        <v>435</v>
      </c>
      <c r="D18576" t="s">
        <v>814</v>
      </c>
      <c r="F18576">
        <v>9.2428156576398803E-9</v>
      </c>
      <c r="G18576">
        <v>7648063</v>
      </c>
      <c r="H18576">
        <v>9892828</v>
      </c>
      <c r="I18576">
        <v>61738486</v>
      </c>
      <c r="J18576">
        <v>3</v>
      </c>
    </row>
    <row r="18577" spans="1:10" x14ac:dyDescent="0.25">
      <c r="A18577" t="s">
        <v>200</v>
      </c>
      <c r="B18577" s="1" t="str">
        <f>HYPERLINK("http://bravoll.de","bravoll.de")</f>
        <v>bravoll.de</v>
      </c>
      <c r="C18577" t="s">
        <v>436</v>
      </c>
      <c r="D18577" t="s">
        <v>815</v>
      </c>
      <c r="F18577">
        <v>5.6908529579541296E-9</v>
      </c>
      <c r="G18577">
        <v>19038479</v>
      </c>
      <c r="H18577">
        <v>7999941</v>
      </c>
      <c r="I18577">
        <v>75206544</v>
      </c>
      <c r="J18577">
        <v>4</v>
      </c>
    </row>
    <row r="18578" spans="1:10" x14ac:dyDescent="0.25">
      <c r="A18578" t="s">
        <v>200</v>
      </c>
      <c r="B18578" s="1" t="str">
        <f>HYPERLINK("http://instron.de","instron.de")</f>
        <v>instron.de</v>
      </c>
      <c r="C18578" t="s">
        <v>436</v>
      </c>
      <c r="D18578" t="s">
        <v>815</v>
      </c>
      <c r="F18578">
        <v>1.15183910997513E-8</v>
      </c>
      <c r="G18578">
        <v>5490924</v>
      </c>
      <c r="H18578">
        <v>12555045</v>
      </c>
      <c r="I18578">
        <v>16773115</v>
      </c>
      <c r="J18578">
        <v>4</v>
      </c>
    </row>
    <row r="18579" spans="1:10" x14ac:dyDescent="0.25">
      <c r="A18579" t="s">
        <v>200</v>
      </c>
      <c r="B18579" s="1" t="str">
        <f>HYPERLINK("http://itw-d.de","itw-d.de")</f>
        <v>itw-d.de</v>
      </c>
      <c r="C18579" t="s">
        <v>436</v>
      </c>
      <c r="D18579" t="s">
        <v>815</v>
      </c>
      <c r="F18579">
        <v>4.4537919481911797E-9</v>
      </c>
      <c r="G18579">
        <v>70016115</v>
      </c>
      <c r="H18579">
        <v>10595466</v>
      </c>
      <c r="I18579">
        <v>45187716</v>
      </c>
      <c r="J18579">
        <v>3</v>
      </c>
    </row>
    <row r="18580" spans="1:10" x14ac:dyDescent="0.25">
      <c r="A18580" t="s">
        <v>200</v>
      </c>
      <c r="B18580" s="1" t="str">
        <f>HYPERLINK("http://itwcp.de","itwcp.de")</f>
        <v>itwcp.de</v>
      </c>
      <c r="C18580" t="s">
        <v>436</v>
      </c>
      <c r="D18580" t="s">
        <v>815</v>
      </c>
      <c r="F18580">
        <v>1.00139753054274E-8</v>
      </c>
      <c r="G18580">
        <v>6741872</v>
      </c>
      <c r="H18580">
        <v>12310824</v>
      </c>
      <c r="I18580">
        <v>20599186</v>
      </c>
      <c r="J18580">
        <v>3</v>
      </c>
    </row>
    <row r="18581" spans="1:10" x14ac:dyDescent="0.25">
      <c r="A18581" t="s">
        <v>200</v>
      </c>
      <c r="B18581" s="1" t="str">
        <f>HYPERLINK("http://itwdynatec.de","itwdynatec.de")</f>
        <v>itwdynatec.de</v>
      </c>
      <c r="C18581" t="s">
        <v>436</v>
      </c>
      <c r="D18581" t="s">
        <v>815</v>
      </c>
      <c r="F18581">
        <v>4.6168791109885696E-9</v>
      </c>
      <c r="G18581">
        <v>46352590</v>
      </c>
      <c r="H18581">
        <v>9895566</v>
      </c>
      <c r="I18581">
        <v>61689195</v>
      </c>
      <c r="J18581">
        <v>3</v>
      </c>
    </row>
    <row r="18582" spans="1:10" x14ac:dyDescent="0.25">
      <c r="A18582" t="s">
        <v>200</v>
      </c>
      <c r="B18582" s="1" t="str">
        <f>HYPERLINK("http://meurer-gruppe.de","meurer-gruppe.de")</f>
        <v>meurer-gruppe.de</v>
      </c>
      <c r="C18582" t="s">
        <v>436</v>
      </c>
      <c r="D18582" t="s">
        <v>815</v>
      </c>
      <c r="F18582">
        <v>7.7908211173106098E-9</v>
      </c>
      <c r="G18582">
        <v>10344332</v>
      </c>
      <c r="H18582">
        <v>11149014</v>
      </c>
      <c r="I18582">
        <v>31750481</v>
      </c>
      <c r="J18582">
        <v>3</v>
      </c>
    </row>
    <row r="18583" spans="1:10" x14ac:dyDescent="0.25">
      <c r="A18583" t="s">
        <v>200</v>
      </c>
      <c r="B18583" s="1" t="str">
        <f>HYPERLINK("http://orbitalum.de","orbitalum.de")</f>
        <v>orbitalum.de</v>
      </c>
      <c r="C18583" t="s">
        <v>436</v>
      </c>
      <c r="D18583" t="s">
        <v>815</v>
      </c>
      <c r="F18583">
        <v>1.3823449880254301E-8</v>
      </c>
      <c r="G18583">
        <v>4271270</v>
      </c>
      <c r="H18583">
        <v>12285077</v>
      </c>
      <c r="I18583">
        <v>21209492</v>
      </c>
      <c r="J18583">
        <v>3</v>
      </c>
    </row>
    <row r="18584" spans="1:10" x14ac:dyDescent="0.25">
      <c r="A18584" t="s">
        <v>200</v>
      </c>
      <c r="B18584" s="1" t="str">
        <f>HYPERLINK("http://stokvistapes.de","stokvistapes.de")</f>
        <v>stokvistapes.de</v>
      </c>
      <c r="C18584" t="s">
        <v>436</v>
      </c>
      <c r="D18584" t="s">
        <v>815</v>
      </c>
      <c r="F18584">
        <v>5.2400507251288104E-9</v>
      </c>
      <c r="G18584">
        <v>24413011</v>
      </c>
      <c r="H18584">
        <v>10530106</v>
      </c>
      <c r="I18584">
        <v>48315346</v>
      </c>
      <c r="J18584">
        <v>3</v>
      </c>
    </row>
    <row r="18585" spans="1:10" x14ac:dyDescent="0.25">
      <c r="A18585" t="s">
        <v>200</v>
      </c>
      <c r="B18585" s="1" t="str">
        <f>HYPERLINK("http://tiede.de","tiede.de")</f>
        <v>tiede.de</v>
      </c>
      <c r="C18585" t="s">
        <v>436</v>
      </c>
      <c r="D18585" t="s">
        <v>815</v>
      </c>
      <c r="F18585">
        <v>8.9294549119977398E-9</v>
      </c>
      <c r="G18585">
        <v>8099294</v>
      </c>
      <c r="H18585">
        <v>8622099</v>
      </c>
      <c r="I18585">
        <v>70598517</v>
      </c>
      <c r="J18585">
        <v>3</v>
      </c>
    </row>
    <row r="18586" spans="1:10" x14ac:dyDescent="0.25">
      <c r="A18586" t="s">
        <v>200</v>
      </c>
      <c r="B18586" s="1" t="str">
        <f>HYPERLINK("http://wynns.de","wynns.de")</f>
        <v>wynns.de</v>
      </c>
      <c r="C18586" t="s">
        <v>436</v>
      </c>
      <c r="D18586" t="s">
        <v>815</v>
      </c>
      <c r="F18586">
        <v>7.3702701423689297E-9</v>
      </c>
      <c r="G18586">
        <v>11313200</v>
      </c>
      <c r="H18586">
        <v>11107906</v>
      </c>
      <c r="I18586">
        <v>32183874</v>
      </c>
      <c r="J18586">
        <v>5</v>
      </c>
    </row>
    <row r="18587" spans="1:10" x14ac:dyDescent="0.25">
      <c r="A18587" t="s">
        <v>200</v>
      </c>
      <c r="B18587" s="1" t="str">
        <f>HYPERLINK("http://novadan.dk","novadan.dk")</f>
        <v>novadan.dk</v>
      </c>
      <c r="C18587" t="s">
        <v>437</v>
      </c>
      <c r="D18587" t="s">
        <v>816</v>
      </c>
      <c r="F18587">
        <v>1.5404618052103301E-8</v>
      </c>
      <c r="G18587">
        <v>3713003</v>
      </c>
      <c r="H18587">
        <v>12173697</v>
      </c>
      <c r="I18587">
        <v>23966816</v>
      </c>
      <c r="J18587">
        <v>3</v>
      </c>
    </row>
    <row r="18588" spans="1:10" x14ac:dyDescent="0.25">
      <c r="A18588" t="s">
        <v>200</v>
      </c>
      <c r="B18588" s="1" t="str">
        <f>HYPERLINK("http://stokvistapes.dk","stokvistapes.dk")</f>
        <v>stokvistapes.dk</v>
      </c>
      <c r="C18588" t="s">
        <v>437</v>
      </c>
      <c r="D18588" t="s">
        <v>816</v>
      </c>
      <c r="F18588">
        <v>5.8556219721322801E-9</v>
      </c>
      <c r="G18588">
        <v>17669702</v>
      </c>
      <c r="H18588">
        <v>12133194</v>
      </c>
      <c r="I18588">
        <v>25048219</v>
      </c>
      <c r="J18588">
        <v>5</v>
      </c>
    </row>
    <row r="18589" spans="1:10" x14ac:dyDescent="0.25">
      <c r="A18589" t="s">
        <v>200</v>
      </c>
      <c r="B18589" s="1" t="str">
        <f>HYPERLINK("http://buehler.com.es","buehler.com.es")</f>
        <v>buehler.com.es</v>
      </c>
      <c r="C18589" t="s">
        <v>443</v>
      </c>
      <c r="D18589" t="s">
        <v>822</v>
      </c>
      <c r="F18589">
        <v>4.4527391184761301E-9</v>
      </c>
      <c r="G18589">
        <v>70521515</v>
      </c>
      <c r="H18589">
        <v>10541411</v>
      </c>
      <c r="I18589">
        <v>47198112</v>
      </c>
      <c r="J18589">
        <v>3</v>
      </c>
    </row>
    <row r="18590" spans="1:10" x14ac:dyDescent="0.25">
      <c r="A18590" t="s">
        <v>200</v>
      </c>
      <c r="B18590" s="1" t="str">
        <f>HYPERLINK("http://instron.es","instron.es")</f>
        <v>instron.es</v>
      </c>
      <c r="C18590" t="s">
        <v>443</v>
      </c>
      <c r="D18590" t="s">
        <v>822</v>
      </c>
      <c r="F18590">
        <v>5.4936890608313904E-9</v>
      </c>
      <c r="G18590">
        <v>20971969</v>
      </c>
      <c r="H18590">
        <v>12242591</v>
      </c>
      <c r="I18590">
        <v>22181223</v>
      </c>
      <c r="J18590">
        <v>4</v>
      </c>
    </row>
    <row r="18591" spans="1:10" x14ac:dyDescent="0.25">
      <c r="A18591" t="s">
        <v>200</v>
      </c>
      <c r="B18591" s="1" t="str">
        <f>HYPERLINK("http://wynns.es","wynns.es")</f>
        <v>wynns.es</v>
      </c>
      <c r="C18591" t="s">
        <v>443</v>
      </c>
      <c r="D18591" t="s">
        <v>822</v>
      </c>
      <c r="F18591">
        <v>6.7042387925114396E-9</v>
      </c>
      <c r="G18591">
        <v>13288284</v>
      </c>
      <c r="H18591">
        <v>12214966</v>
      </c>
      <c r="I18591">
        <v>22904504</v>
      </c>
      <c r="J18591">
        <v>5</v>
      </c>
    </row>
    <row r="18592" spans="1:10" x14ac:dyDescent="0.25">
      <c r="A18592" t="s">
        <v>200</v>
      </c>
      <c r="B18592" s="1" t="str">
        <f>HYPERLINK("http://bravoll.eu","bravoll.eu")</f>
        <v>bravoll.eu</v>
      </c>
      <c r="C18592" t="s">
        <v>444</v>
      </c>
      <c r="F18592">
        <v>5.6417440283262496E-9</v>
      </c>
      <c r="G18592">
        <v>19469007</v>
      </c>
      <c r="H18592">
        <v>7999941</v>
      </c>
      <c r="I18592">
        <v>75206545</v>
      </c>
      <c r="J18592">
        <v>4</v>
      </c>
    </row>
    <row r="18593" spans="1:10" x14ac:dyDescent="0.25">
      <c r="A18593" t="s">
        <v>200</v>
      </c>
      <c r="B18593" s="1" t="str">
        <f>HYPERLINK("http://e2mtechnologies.eu","e2mtechnologies.eu")</f>
        <v>e2mtechnologies.eu</v>
      </c>
      <c r="C18593" t="s">
        <v>444</v>
      </c>
      <c r="F18593">
        <v>1.6246997431662299E-8</v>
      </c>
      <c r="G18593">
        <v>3483726</v>
      </c>
      <c r="H18593">
        <v>13053043</v>
      </c>
      <c r="I18593">
        <v>12574054</v>
      </c>
      <c r="J18593">
        <v>3</v>
      </c>
    </row>
    <row r="18594" spans="1:10" x14ac:dyDescent="0.25">
      <c r="A18594" t="s">
        <v>200</v>
      </c>
      <c r="B18594" s="1" t="str">
        <f>HYPERLINK("http://magnaflux.eu","magnaflux.eu")</f>
        <v>magnaflux.eu</v>
      </c>
      <c r="C18594" t="s">
        <v>444</v>
      </c>
      <c r="F18594">
        <v>1.18870774709031E-8</v>
      </c>
      <c r="G18594">
        <v>5247072</v>
      </c>
      <c r="H18594">
        <v>12079071</v>
      </c>
      <c r="I18594">
        <v>26583745</v>
      </c>
      <c r="J18594">
        <v>4</v>
      </c>
    </row>
    <row r="18595" spans="1:10" x14ac:dyDescent="0.25">
      <c r="A18595" t="s">
        <v>200</v>
      </c>
      <c r="B18595" s="1" t="str">
        <f>HYPERLINK("http://stokvis.eu","stokvis.eu")</f>
        <v>stokvis.eu</v>
      </c>
      <c r="C18595" t="s">
        <v>444</v>
      </c>
      <c r="F18595">
        <v>8.1418976195790407E-9</v>
      </c>
      <c r="G18595">
        <v>9669927</v>
      </c>
      <c r="H18595">
        <v>10778444</v>
      </c>
      <c r="I18595">
        <v>38978180</v>
      </c>
      <c r="J18595">
        <v>3</v>
      </c>
    </row>
    <row r="18596" spans="1:10" x14ac:dyDescent="0.25">
      <c r="A18596" t="s">
        <v>200</v>
      </c>
      <c r="B18596" s="1" t="str">
        <f>HYPERLINK("http://wynns.eu","wynns.eu")</f>
        <v>wynns.eu</v>
      </c>
      <c r="C18596" t="s">
        <v>444</v>
      </c>
      <c r="F18596">
        <v>6.7903699300203197E-8</v>
      </c>
      <c r="G18596">
        <v>628671</v>
      </c>
      <c r="H18596">
        <v>16873842</v>
      </c>
      <c r="I18596">
        <v>143421</v>
      </c>
      <c r="J18596">
        <v>5</v>
      </c>
    </row>
    <row r="18597" spans="1:10" x14ac:dyDescent="0.25">
      <c r="A18597" t="s">
        <v>200</v>
      </c>
      <c r="B18597" s="1" t="str">
        <f>HYPERLINK("http://adjufix.fi","adjufix.fi")</f>
        <v>adjufix.fi</v>
      </c>
      <c r="C18597" t="s">
        <v>445</v>
      </c>
      <c r="D18597" t="s">
        <v>823</v>
      </c>
      <c r="J18597">
        <v>4</v>
      </c>
    </row>
    <row r="18598" spans="1:10" x14ac:dyDescent="0.25">
      <c r="A18598" t="s">
        <v>200</v>
      </c>
      <c r="B18598" s="1" t="str">
        <f>HYPERLINK("http://elga.fi","elga.fi")</f>
        <v>elga.fi</v>
      </c>
      <c r="C18598" t="s">
        <v>445</v>
      </c>
      <c r="D18598" t="s">
        <v>823</v>
      </c>
      <c r="J18598">
        <v>4</v>
      </c>
    </row>
    <row r="18599" spans="1:10" x14ac:dyDescent="0.25">
      <c r="A18599" t="s">
        <v>200</v>
      </c>
      <c r="B18599" s="1" t="str">
        <f>HYPERLINK("http://gamko.fi","gamko.fi")</f>
        <v>gamko.fi</v>
      </c>
      <c r="C18599" t="s">
        <v>445</v>
      </c>
      <c r="D18599" t="s">
        <v>823</v>
      </c>
      <c r="J18599">
        <v>2</v>
      </c>
    </row>
    <row r="18600" spans="1:10" x14ac:dyDescent="0.25">
      <c r="A18600" t="s">
        <v>200</v>
      </c>
      <c r="B18600" s="1" t="str">
        <f>HYPERLINK("http://haubold.fi","haubold.fi")</f>
        <v>haubold.fi</v>
      </c>
      <c r="C18600" t="s">
        <v>445</v>
      </c>
      <c r="D18600" t="s">
        <v>823</v>
      </c>
      <c r="F18600">
        <v>4.7944679025823198E-9</v>
      </c>
      <c r="G18600">
        <v>36305887</v>
      </c>
      <c r="H18600">
        <v>8676414</v>
      </c>
      <c r="I18600">
        <v>70135628</v>
      </c>
      <c r="J18600">
        <v>4</v>
      </c>
    </row>
    <row r="18601" spans="1:10" x14ac:dyDescent="0.25">
      <c r="A18601" t="s">
        <v>200</v>
      </c>
      <c r="B18601" s="1" t="str">
        <f>HYPERLINK("http://itw.fi","itw.fi")</f>
        <v>itw.fi</v>
      </c>
      <c r="C18601" t="s">
        <v>445</v>
      </c>
      <c r="D18601" t="s">
        <v>823</v>
      </c>
      <c r="J18601">
        <v>4</v>
      </c>
    </row>
    <row r="18602" spans="1:10" x14ac:dyDescent="0.25">
      <c r="A18602" t="s">
        <v>200</v>
      </c>
      <c r="B18602" s="1" t="str">
        <f>HYPERLINK("http://itw-welding.fi","itw-welding.fi")</f>
        <v>itw-welding.fi</v>
      </c>
      <c r="C18602" t="s">
        <v>445</v>
      </c>
      <c r="D18602" t="s">
        <v>823</v>
      </c>
      <c r="J18602">
        <v>4</v>
      </c>
    </row>
    <row r="18603" spans="1:10" x14ac:dyDescent="0.25">
      <c r="A18603" t="s">
        <v>200</v>
      </c>
      <c r="B18603" s="1" t="str">
        <f>HYPERLINK("http://itwconstruction.fi","itwconstruction.fi")</f>
        <v>itwconstruction.fi</v>
      </c>
      <c r="C18603" t="s">
        <v>445</v>
      </c>
      <c r="D18603" t="s">
        <v>823</v>
      </c>
      <c r="F18603">
        <v>1.7269145201064099E-8</v>
      </c>
      <c r="G18603">
        <v>3206669</v>
      </c>
      <c r="H18603">
        <v>10808114</v>
      </c>
      <c r="I18603">
        <v>37924093</v>
      </c>
      <c r="J18603">
        <v>4</v>
      </c>
    </row>
    <row r="18604" spans="1:10" x14ac:dyDescent="0.25">
      <c r="A18604" t="s">
        <v>200</v>
      </c>
      <c r="B18604" s="1" t="str">
        <f>HYPERLINK("http://itwonline.fi","itwonline.fi")</f>
        <v>itwonline.fi</v>
      </c>
      <c r="C18604" t="s">
        <v>445</v>
      </c>
      <c r="D18604" t="s">
        <v>823</v>
      </c>
      <c r="J18604">
        <v>4</v>
      </c>
    </row>
    <row r="18605" spans="1:10" x14ac:dyDescent="0.25">
      <c r="A18605" t="s">
        <v>200</v>
      </c>
      <c r="B18605" s="1" t="str">
        <f>HYPERLINK("http://nkt-fasteners.fi","nkt-fasteners.fi")</f>
        <v>nkt-fasteners.fi</v>
      </c>
      <c r="C18605" t="s">
        <v>445</v>
      </c>
      <c r="D18605" t="s">
        <v>823</v>
      </c>
      <c r="J18605">
        <v>4</v>
      </c>
    </row>
    <row r="18606" spans="1:10" x14ac:dyDescent="0.25">
      <c r="A18606" t="s">
        <v>200</v>
      </c>
      <c r="B18606" s="1" t="str">
        <f>HYPERLINK("http://paslode.fi","paslode.fi")</f>
        <v>paslode.fi</v>
      </c>
      <c r="C18606" t="s">
        <v>445</v>
      </c>
      <c r="D18606" t="s">
        <v>823</v>
      </c>
      <c r="F18606">
        <v>6.7785994644582101E-9</v>
      </c>
      <c r="G18606">
        <v>13032259</v>
      </c>
      <c r="H18606">
        <v>10831013</v>
      </c>
      <c r="I18606">
        <v>37370312</v>
      </c>
      <c r="J18606">
        <v>4</v>
      </c>
    </row>
    <row r="18607" spans="1:10" x14ac:dyDescent="0.25">
      <c r="A18607" t="s">
        <v>200</v>
      </c>
      <c r="B18607" s="1" t="str">
        <f>HYPERLINK("http://spit.fi","spit.fi")</f>
        <v>spit.fi</v>
      </c>
      <c r="C18607" t="s">
        <v>445</v>
      </c>
      <c r="D18607" t="s">
        <v>823</v>
      </c>
      <c r="F18607">
        <v>4.89744803690188E-9</v>
      </c>
      <c r="G18607">
        <v>32539119</v>
      </c>
      <c r="H18607">
        <v>10458675</v>
      </c>
      <c r="I18607">
        <v>51851433</v>
      </c>
      <c r="J18607">
        <v>4</v>
      </c>
    </row>
    <row r="18608" spans="1:10" x14ac:dyDescent="0.25">
      <c r="A18608" t="s">
        <v>200</v>
      </c>
      <c r="B18608" s="1" t="str">
        <f>HYPERLINK("http://stokvistapes.fi","stokvistapes.fi")</f>
        <v>stokvistapes.fi</v>
      </c>
      <c r="C18608" t="s">
        <v>445</v>
      </c>
      <c r="D18608" t="s">
        <v>823</v>
      </c>
      <c r="F18608">
        <v>6.1483871901275299E-9</v>
      </c>
      <c r="G18608">
        <v>15812303</v>
      </c>
      <c r="H18608">
        <v>13763755</v>
      </c>
      <c r="I18608">
        <v>7664704</v>
      </c>
      <c r="J18608">
        <v>4</v>
      </c>
    </row>
    <row r="18609" spans="1:10" x14ac:dyDescent="0.25">
      <c r="A18609" t="s">
        <v>200</v>
      </c>
      <c r="B18609" s="1" t="str">
        <f>HYPERLINK("http://wynns.fi","wynns.fi")</f>
        <v>wynns.fi</v>
      </c>
      <c r="C18609" t="s">
        <v>445</v>
      </c>
      <c r="D18609" t="s">
        <v>823</v>
      </c>
      <c r="F18609">
        <v>4.5264266585499603E-9</v>
      </c>
      <c r="G18609">
        <v>55446508</v>
      </c>
      <c r="H18609">
        <v>8295109.5</v>
      </c>
      <c r="I18609">
        <v>74542421</v>
      </c>
      <c r="J18609">
        <v>2</v>
      </c>
    </row>
    <row r="18610" spans="1:10" x14ac:dyDescent="0.25">
      <c r="A18610" t="s">
        <v>200</v>
      </c>
      <c r="B18610" s="1" t="str">
        <f>HYPERLINK("http://buehler.fr","buehler.fr")</f>
        <v>buehler.fr</v>
      </c>
      <c r="C18610" t="s">
        <v>446</v>
      </c>
      <c r="D18610" t="s">
        <v>824</v>
      </c>
      <c r="F18610">
        <v>5.6154774980489797E-9</v>
      </c>
      <c r="G18610">
        <v>19710316</v>
      </c>
      <c r="H18610">
        <v>10637666</v>
      </c>
      <c r="I18610">
        <v>43819644</v>
      </c>
      <c r="J18610">
        <v>3</v>
      </c>
    </row>
    <row r="18611" spans="1:10" x14ac:dyDescent="0.25">
      <c r="A18611" t="s">
        <v>200</v>
      </c>
      <c r="B18611" s="1" t="str">
        <f>HYPERLINK("http://instron.fr","instron.fr")</f>
        <v>instron.fr</v>
      </c>
      <c r="C18611" t="s">
        <v>446</v>
      </c>
      <c r="D18611" t="s">
        <v>824</v>
      </c>
      <c r="F18611">
        <v>5.9003154082211003E-9</v>
      </c>
      <c r="G18611">
        <v>17357197</v>
      </c>
      <c r="H18611">
        <v>14072358</v>
      </c>
      <c r="I18611">
        <v>3110546</v>
      </c>
      <c r="J18611">
        <v>4</v>
      </c>
    </row>
    <row r="18612" spans="1:10" x14ac:dyDescent="0.25">
      <c r="A18612" t="s">
        <v>200</v>
      </c>
      <c r="B18612" s="1" t="str">
        <f>HYPERLINK("http://spit.fr","spit.fr")</f>
        <v>spit.fr</v>
      </c>
      <c r="C18612" t="s">
        <v>446</v>
      </c>
      <c r="D18612" t="s">
        <v>824</v>
      </c>
      <c r="F18612">
        <v>1.42036808874416E-8</v>
      </c>
      <c r="G18612">
        <v>4127610</v>
      </c>
      <c r="H18612">
        <v>13083374</v>
      </c>
      <c r="I18612">
        <v>12171344</v>
      </c>
      <c r="J18612">
        <v>3</v>
      </c>
    </row>
    <row r="18613" spans="1:10" x14ac:dyDescent="0.25">
      <c r="A18613" t="s">
        <v>200</v>
      </c>
      <c r="B18613" s="1" t="str">
        <f>HYPERLINK("http://wynns.fr","wynns.fr")</f>
        <v>wynns.fr</v>
      </c>
      <c r="C18613" t="s">
        <v>446</v>
      </c>
      <c r="D18613" t="s">
        <v>824</v>
      </c>
      <c r="F18613">
        <v>2.8589184156334E-8</v>
      </c>
      <c r="G18613">
        <v>1799959</v>
      </c>
      <c r="H18613">
        <v>14034967</v>
      </c>
      <c r="I18613">
        <v>3917040</v>
      </c>
      <c r="J18613">
        <v>3</v>
      </c>
    </row>
    <row r="18614" spans="1:10" x14ac:dyDescent="0.25">
      <c r="A18614" t="s">
        <v>200</v>
      </c>
      <c r="B18614" s="1" t="str">
        <f>HYPERLINK("http://instron.in","instron.in")</f>
        <v>instron.in</v>
      </c>
      <c r="C18614" t="s">
        <v>457</v>
      </c>
      <c r="D18614" t="s">
        <v>834</v>
      </c>
      <c r="F18614">
        <v>8.2706822822143394E-9</v>
      </c>
      <c r="G18614">
        <v>9326816</v>
      </c>
      <c r="H18614">
        <v>13101897</v>
      </c>
      <c r="I18614">
        <v>12089558</v>
      </c>
      <c r="J18614">
        <v>4</v>
      </c>
    </row>
    <row r="18615" spans="1:10" x14ac:dyDescent="0.25">
      <c r="A18615" t="s">
        <v>200</v>
      </c>
      <c r="B18615" s="1" t="str">
        <f>HYPERLINK("http://magnaflux.in","magnaflux.in")</f>
        <v>magnaflux.in</v>
      </c>
      <c r="C18615" t="s">
        <v>457</v>
      </c>
      <c r="D18615" t="s">
        <v>834</v>
      </c>
      <c r="F18615">
        <v>5.6737415711464898E-9</v>
      </c>
      <c r="G18615">
        <v>19184702</v>
      </c>
      <c r="H18615">
        <v>10093007</v>
      </c>
      <c r="I18615">
        <v>59941183</v>
      </c>
      <c r="J18615">
        <v>4</v>
      </c>
    </row>
    <row r="18616" spans="1:10" x14ac:dyDescent="0.25">
      <c r="A18616" t="s">
        <v>200</v>
      </c>
      <c r="B18616" s="1" t="str">
        <f>HYPERLINK("http://instron.it","instron.it")</f>
        <v>instron.it</v>
      </c>
      <c r="C18616" t="s">
        <v>459</v>
      </c>
      <c r="D18616" t="s">
        <v>835</v>
      </c>
      <c r="F18616">
        <v>5.5073738051351498E-9</v>
      </c>
      <c r="G18616">
        <v>20820212</v>
      </c>
      <c r="H18616">
        <v>12406033</v>
      </c>
      <c r="I18616">
        <v>18671168</v>
      </c>
      <c r="J18616">
        <v>4</v>
      </c>
    </row>
    <row r="18617" spans="1:10" x14ac:dyDescent="0.25">
      <c r="A18617" t="s">
        <v>200</v>
      </c>
      <c r="B18617" s="1" t="str">
        <f>HYPERLINK("http://stokvistapes.it","stokvistapes.it")</f>
        <v>stokvistapes.it</v>
      </c>
      <c r="C18617" t="s">
        <v>459</v>
      </c>
      <c r="D18617" t="s">
        <v>835</v>
      </c>
      <c r="F18617">
        <v>9.1270854227518397E-9</v>
      </c>
      <c r="G18617">
        <v>7809711</v>
      </c>
      <c r="H18617">
        <v>11002443</v>
      </c>
      <c r="I18617">
        <v>33542858</v>
      </c>
      <c r="J18617">
        <v>3</v>
      </c>
    </row>
    <row r="18618" spans="1:10" x14ac:dyDescent="0.25">
      <c r="A18618" t="s">
        <v>200</v>
      </c>
      <c r="B18618" s="1" t="str">
        <f>HYPERLINK("http://wynns.it","wynns.it")</f>
        <v>wynns.it</v>
      </c>
      <c r="C18618" t="s">
        <v>459</v>
      </c>
      <c r="D18618" t="s">
        <v>835</v>
      </c>
      <c r="F18618">
        <v>9.2107450709217795E-9</v>
      </c>
      <c r="G18618">
        <v>7695681</v>
      </c>
      <c r="H18618">
        <v>10624426</v>
      </c>
      <c r="I18618">
        <v>44153609</v>
      </c>
      <c r="J18618">
        <v>5</v>
      </c>
    </row>
    <row r="18619" spans="1:10" x14ac:dyDescent="0.25">
      <c r="A18619" t="s">
        <v>200</v>
      </c>
      <c r="B18619" s="1" t="str">
        <f>HYPERLINK("http://buehler.jp","buehler.jp")</f>
        <v>buehler.jp</v>
      </c>
      <c r="C18619" t="s">
        <v>461</v>
      </c>
      <c r="D18619" t="s">
        <v>837</v>
      </c>
      <c r="F18619">
        <v>7.8761803343829699E-9</v>
      </c>
      <c r="G18619">
        <v>10159593</v>
      </c>
      <c r="H18619">
        <v>12331341</v>
      </c>
      <c r="I18619">
        <v>20181583</v>
      </c>
      <c r="J18619">
        <v>3</v>
      </c>
    </row>
    <row r="18620" spans="1:10" x14ac:dyDescent="0.25">
      <c r="A18620" t="s">
        <v>200</v>
      </c>
      <c r="B18620" s="1" t="str">
        <f>HYPERLINK("http://instron.jp","instron.jp")</f>
        <v>instron.jp</v>
      </c>
      <c r="C18620" t="s">
        <v>461</v>
      </c>
      <c r="D18620" t="s">
        <v>837</v>
      </c>
      <c r="F18620">
        <v>5.9326434479758499E-9</v>
      </c>
      <c r="G18620">
        <v>17135256</v>
      </c>
      <c r="H18620">
        <v>12497231</v>
      </c>
      <c r="I18620">
        <v>17390953</v>
      </c>
      <c r="J18620">
        <v>4</v>
      </c>
    </row>
    <row r="18621" spans="1:10" x14ac:dyDescent="0.25">
      <c r="A18621" t="s">
        <v>200</v>
      </c>
      <c r="B18621" s="1" t="str">
        <f>HYPERLINK("http://instron.co.kr","instron.co.kr")</f>
        <v>instron.co.kr</v>
      </c>
      <c r="C18621" t="s">
        <v>463</v>
      </c>
      <c r="D18621" t="s">
        <v>839</v>
      </c>
      <c r="F18621">
        <v>5.3416058740632201E-9</v>
      </c>
      <c r="G18621">
        <v>22913494</v>
      </c>
      <c r="H18621">
        <v>13763635</v>
      </c>
      <c r="I18621">
        <v>8234347</v>
      </c>
      <c r="J18621">
        <v>3</v>
      </c>
    </row>
    <row r="18622" spans="1:10" x14ac:dyDescent="0.25">
      <c r="A18622" t="s">
        <v>200</v>
      </c>
      <c r="B18622" s="1" t="str">
        <f>HYPERLINK("http://itwgh.kr","itwgh.kr")</f>
        <v>itwgh.kr</v>
      </c>
      <c r="C18622" t="s">
        <v>463</v>
      </c>
      <c r="D18622" t="s">
        <v>839</v>
      </c>
      <c r="J18622">
        <v>3</v>
      </c>
    </row>
    <row r="18623" spans="1:10" x14ac:dyDescent="0.25">
      <c r="A18623" t="s">
        <v>200</v>
      </c>
      <c r="B18623" s="1" t="str">
        <f>HYPERLINK("http://buehler.mx","buehler.mx")</f>
        <v>buehler.mx</v>
      </c>
      <c r="C18623" t="s">
        <v>471</v>
      </c>
      <c r="D18623" t="s">
        <v>847</v>
      </c>
      <c r="J18623">
        <v>3</v>
      </c>
    </row>
    <row r="18624" spans="1:10" x14ac:dyDescent="0.25">
      <c r="A18624" t="s">
        <v>200</v>
      </c>
      <c r="B18624" s="1" t="str">
        <f>HYPERLINK("http://hobart.com.mx","hobart.com.mx")</f>
        <v>hobart.com.mx</v>
      </c>
      <c r="C18624" t="s">
        <v>471</v>
      </c>
      <c r="D18624" t="s">
        <v>847</v>
      </c>
      <c r="F18624">
        <v>1.1721030981299501E-8</v>
      </c>
      <c r="G18624">
        <v>5352931</v>
      </c>
      <c r="H18624">
        <v>13558739</v>
      </c>
      <c r="I18624">
        <v>9865832</v>
      </c>
      <c r="J18624">
        <v>3</v>
      </c>
    </row>
    <row r="18625" spans="1:10" x14ac:dyDescent="0.25">
      <c r="A18625" t="s">
        <v>200</v>
      </c>
      <c r="B18625" s="1" t="str">
        <f>HYPERLINK("http://magnaflux.mx","magnaflux.mx")</f>
        <v>magnaflux.mx</v>
      </c>
      <c r="C18625" t="s">
        <v>471</v>
      </c>
      <c r="D18625" t="s">
        <v>847</v>
      </c>
      <c r="F18625">
        <v>6.8474650419692701E-9</v>
      </c>
      <c r="G18625">
        <v>12803500</v>
      </c>
      <c r="H18625">
        <v>10671604</v>
      </c>
      <c r="I18625">
        <v>42932347</v>
      </c>
      <c r="J18625">
        <v>4</v>
      </c>
    </row>
    <row r="18626" spans="1:10" x14ac:dyDescent="0.25">
      <c r="A18626" t="s">
        <v>200</v>
      </c>
      <c r="B18626" s="1" t="str">
        <f>HYPERLINK("http://diagraph.com.my","diagraph.com.my")</f>
        <v>diagraph.com.my</v>
      </c>
      <c r="C18626" t="s">
        <v>472</v>
      </c>
      <c r="D18626" t="s">
        <v>848</v>
      </c>
      <c r="F18626">
        <v>4.4451348297889504E-9</v>
      </c>
      <c r="G18626">
        <v>75615707</v>
      </c>
      <c r="H18626">
        <v>10599763</v>
      </c>
      <c r="I18626">
        <v>44913502</v>
      </c>
      <c r="J18626">
        <v>4</v>
      </c>
    </row>
    <row r="18627" spans="1:10" x14ac:dyDescent="0.25">
      <c r="A18627" t="s">
        <v>200</v>
      </c>
      <c r="B18627" s="1" t="str">
        <f>HYPERLINK("http://terra-s.net","terra-s.net")</f>
        <v>terra-s.net</v>
      </c>
      <c r="C18627" t="s">
        <v>474</v>
      </c>
      <c r="F18627">
        <v>4.7474458187173098E-9</v>
      </c>
      <c r="G18627">
        <v>38443370</v>
      </c>
      <c r="H18627">
        <v>10441460</v>
      </c>
      <c r="I18627">
        <v>52349826</v>
      </c>
      <c r="J18627">
        <v>3</v>
      </c>
    </row>
    <row r="18628" spans="1:10" x14ac:dyDescent="0.25">
      <c r="A18628" t="s">
        <v>200</v>
      </c>
      <c r="B18628" s="1" t="str">
        <f>HYPERLINK("http://stokvistapes.nl","stokvistapes.nl")</f>
        <v>stokvistapes.nl</v>
      </c>
      <c r="C18628" t="s">
        <v>477</v>
      </c>
      <c r="D18628" t="s">
        <v>852</v>
      </c>
      <c r="F18628">
        <v>1.07343681864662E-8</v>
      </c>
      <c r="G18628">
        <v>6072317</v>
      </c>
      <c r="H18628">
        <v>12626410</v>
      </c>
      <c r="I18628">
        <v>16020718</v>
      </c>
      <c r="J18628">
        <v>4</v>
      </c>
    </row>
    <row r="18629" spans="1:10" x14ac:dyDescent="0.25">
      <c r="A18629" t="s">
        <v>200</v>
      </c>
      <c r="B18629" s="1" t="str">
        <f>HYPERLINK("http://wynns.nl","wynns.nl")</f>
        <v>wynns.nl</v>
      </c>
      <c r="C18629" t="s">
        <v>477</v>
      </c>
      <c r="D18629" t="s">
        <v>852</v>
      </c>
      <c r="F18629">
        <v>6.4443455009894302E-9</v>
      </c>
      <c r="G18629">
        <v>14319257</v>
      </c>
      <c r="H18629">
        <v>12131739</v>
      </c>
      <c r="I18629">
        <v>25091192</v>
      </c>
      <c r="J18629">
        <v>5</v>
      </c>
    </row>
    <row r="18630" spans="1:10" x14ac:dyDescent="0.25">
      <c r="A18630" t="s">
        <v>200</v>
      </c>
      <c r="B18630" s="1" t="str">
        <f>HYPERLINK("http://stokvistapes.no","stokvistapes.no")</f>
        <v>stokvistapes.no</v>
      </c>
      <c r="C18630" t="s">
        <v>478</v>
      </c>
      <c r="D18630" t="s">
        <v>853</v>
      </c>
      <c r="F18630">
        <v>5.3690403308642697E-9</v>
      </c>
      <c r="G18630">
        <v>22554020</v>
      </c>
      <c r="H18630">
        <v>12078981</v>
      </c>
      <c r="I18630">
        <v>26585828</v>
      </c>
      <c r="J18630">
        <v>5</v>
      </c>
    </row>
    <row r="18631" spans="1:10" x14ac:dyDescent="0.25">
      <c r="A18631" t="s">
        <v>200</v>
      </c>
      <c r="B18631" s="1" t="str">
        <f>HYPERLINK("http://stokvistapes.pl","stokvistapes.pl")</f>
        <v>stokvistapes.pl</v>
      </c>
      <c r="C18631" t="s">
        <v>486</v>
      </c>
      <c r="D18631" t="s">
        <v>860</v>
      </c>
      <c r="F18631">
        <v>5.4567813171836203E-9</v>
      </c>
      <c r="G18631">
        <v>21398230</v>
      </c>
      <c r="H18631">
        <v>11126425</v>
      </c>
      <c r="I18631">
        <v>31985690</v>
      </c>
      <c r="J18631">
        <v>3</v>
      </c>
    </row>
    <row r="18632" spans="1:10" x14ac:dyDescent="0.25">
      <c r="A18632" t="s">
        <v>200</v>
      </c>
      <c r="B18632" s="1" t="str">
        <f>HYPERLINK("http://stokvistapes.pt","stokvistapes.pt")</f>
        <v>stokvistapes.pt</v>
      </c>
      <c r="C18632" t="s">
        <v>488</v>
      </c>
      <c r="D18632" t="s">
        <v>862</v>
      </c>
      <c r="F18632">
        <v>5.8242562737748603E-9</v>
      </c>
      <c r="G18632">
        <v>17906637</v>
      </c>
      <c r="H18632">
        <v>10854578</v>
      </c>
      <c r="I18632">
        <v>36764539</v>
      </c>
      <c r="J18632">
        <v>3</v>
      </c>
    </row>
    <row r="18633" spans="1:10" x14ac:dyDescent="0.25">
      <c r="A18633" t="s">
        <v>200</v>
      </c>
      <c r="B18633" s="1" t="str">
        <f>HYPERLINK("http://itwpenta.ru","itwpenta.ru")</f>
        <v>itwpenta.ru</v>
      </c>
      <c r="C18633" t="s">
        <v>493</v>
      </c>
      <c r="D18633" t="s">
        <v>867</v>
      </c>
      <c r="F18633">
        <v>1.52570113212661E-8</v>
      </c>
      <c r="G18633">
        <v>3758718</v>
      </c>
      <c r="H18633">
        <v>12161348</v>
      </c>
      <c r="I18633">
        <v>24328856</v>
      </c>
      <c r="J18633">
        <v>3</v>
      </c>
    </row>
    <row r="18634" spans="1:10" x14ac:dyDescent="0.25">
      <c r="A18634" t="s">
        <v>200</v>
      </c>
      <c r="B18634" s="1" t="str">
        <f>HYPERLINK("http://paslode.se","paslode.se")</f>
        <v>paslode.se</v>
      </c>
      <c r="C18634" t="s">
        <v>495</v>
      </c>
      <c r="D18634" t="s">
        <v>869</v>
      </c>
      <c r="F18634">
        <v>4.7827339265781602E-9</v>
      </c>
      <c r="G18634">
        <v>36845620</v>
      </c>
      <c r="H18634">
        <v>8594889</v>
      </c>
      <c r="I18634">
        <v>70825106</v>
      </c>
      <c r="J18634">
        <v>5</v>
      </c>
    </row>
    <row r="18635" spans="1:10" x14ac:dyDescent="0.25">
      <c r="A18635" t="s">
        <v>200</v>
      </c>
      <c r="B18635" s="1" t="str">
        <f>HYPERLINK("http://stokvistapes.se","stokvistapes.se")</f>
        <v>stokvistapes.se</v>
      </c>
      <c r="C18635" t="s">
        <v>495</v>
      </c>
      <c r="D18635" t="s">
        <v>869</v>
      </c>
      <c r="F18635">
        <v>9.2949139186773301E-9</v>
      </c>
      <c r="G18635">
        <v>7578977</v>
      </c>
      <c r="H18635">
        <v>12135123</v>
      </c>
      <c r="I18635">
        <v>24996881</v>
      </c>
      <c r="J18635">
        <v>3</v>
      </c>
    </row>
    <row r="18636" spans="1:10" x14ac:dyDescent="0.25">
      <c r="A18636" t="s">
        <v>200</v>
      </c>
      <c r="B18636" s="1" t="str">
        <f>HYPERLINK("http://instron.co.th","instron.co.th")</f>
        <v>instron.co.th</v>
      </c>
      <c r="C18636" t="s">
        <v>500</v>
      </c>
      <c r="D18636" t="s">
        <v>874</v>
      </c>
      <c r="F18636">
        <v>4.4807166982312997E-9</v>
      </c>
      <c r="G18636">
        <v>62194744</v>
      </c>
      <c r="H18636">
        <v>8622637</v>
      </c>
      <c r="I18636">
        <v>70595068</v>
      </c>
      <c r="J18636">
        <v>3</v>
      </c>
    </row>
    <row r="18637" spans="1:10" x14ac:dyDescent="0.25">
      <c r="A18637" t="s">
        <v>200</v>
      </c>
      <c r="B18637" s="1" t="str">
        <f>HYPERLINK("http://instron.com.tw","instron.com.tw")</f>
        <v>instron.com.tw</v>
      </c>
      <c r="C18637" t="s">
        <v>504</v>
      </c>
      <c r="D18637" t="s">
        <v>878</v>
      </c>
      <c r="F18637">
        <v>5.1907489440124897E-9</v>
      </c>
      <c r="G18637">
        <v>25324652</v>
      </c>
      <c r="H18637">
        <v>10529326</v>
      </c>
      <c r="I18637">
        <v>48456823</v>
      </c>
      <c r="J18637">
        <v>4</v>
      </c>
    </row>
    <row r="18638" spans="1:10" x14ac:dyDescent="0.25">
      <c r="A18638" t="s">
        <v>200</v>
      </c>
      <c r="B18638" s="1" t="str">
        <f>HYPERLINK("http://buehler.co.uk","buehler.co.uk")</f>
        <v>buehler.co.uk</v>
      </c>
      <c r="C18638" t="s">
        <v>506</v>
      </c>
      <c r="D18638" t="s">
        <v>880</v>
      </c>
      <c r="F18638">
        <v>7.4668934001270606E-9</v>
      </c>
      <c r="G18638">
        <v>11087742</v>
      </c>
      <c r="H18638">
        <v>12626809</v>
      </c>
      <c r="I18638">
        <v>16017711</v>
      </c>
      <c r="J18638">
        <v>3</v>
      </c>
    </row>
    <row r="18639" spans="1:10" x14ac:dyDescent="0.25">
      <c r="A18639" t="s">
        <v>200</v>
      </c>
      <c r="B18639" s="1" t="str">
        <f>HYPERLINK("http://instron.co.uk","instron.co.uk")</f>
        <v>instron.co.uk</v>
      </c>
      <c r="C18639" t="s">
        <v>506</v>
      </c>
      <c r="D18639" t="s">
        <v>880</v>
      </c>
      <c r="F18639">
        <v>8.2620771071747905E-9</v>
      </c>
      <c r="G18639">
        <v>9347653</v>
      </c>
      <c r="H18639">
        <v>13311746</v>
      </c>
      <c r="I18639">
        <v>10772168</v>
      </c>
      <c r="J18639">
        <v>4</v>
      </c>
    </row>
    <row r="18640" spans="1:10" x14ac:dyDescent="0.25">
      <c r="A18640" t="s">
        <v>200</v>
      </c>
      <c r="B18640" s="1" t="str">
        <f>HYPERLINK("http://paslode.co.uk","paslode.co.uk")</f>
        <v>paslode.co.uk</v>
      </c>
      <c r="C18640" t="s">
        <v>506</v>
      </c>
      <c r="D18640" t="s">
        <v>880</v>
      </c>
      <c r="F18640">
        <v>5.8975404401535704E-9</v>
      </c>
      <c r="G18640">
        <v>17376576</v>
      </c>
      <c r="H18640">
        <v>10085930</v>
      </c>
      <c r="I18640">
        <v>59994102</v>
      </c>
      <c r="J18640">
        <v>5</v>
      </c>
    </row>
    <row r="18641" spans="1:10" x14ac:dyDescent="0.25">
      <c r="A18641" t="s">
        <v>200</v>
      </c>
      <c r="B18641" s="1" t="str">
        <f>HYPERLINK("http://stokvistapes.co.uk","stokvistapes.co.uk")</f>
        <v>stokvistapes.co.uk</v>
      </c>
      <c r="C18641" t="s">
        <v>506</v>
      </c>
      <c r="D18641" t="s">
        <v>880</v>
      </c>
      <c r="F18641">
        <v>5.3157649890024698E-9</v>
      </c>
      <c r="G18641">
        <v>23269683</v>
      </c>
      <c r="H18641">
        <v>12390716</v>
      </c>
      <c r="I18641">
        <v>19020107</v>
      </c>
      <c r="J18641">
        <v>5</v>
      </c>
    </row>
    <row r="18642" spans="1:10" x14ac:dyDescent="0.25">
      <c r="A18642" t="s">
        <v>200</v>
      </c>
      <c r="B18642" s="1" t="str">
        <f>HYPERLINK("http://instron.us","instron.us")</f>
        <v>instron.us</v>
      </c>
      <c r="C18642" t="s">
        <v>522</v>
      </c>
      <c r="D18642" t="s">
        <v>891</v>
      </c>
      <c r="F18642">
        <v>4.9894334500396999E-8</v>
      </c>
      <c r="G18642">
        <v>923836</v>
      </c>
      <c r="H18642">
        <v>14845852</v>
      </c>
      <c r="I18642">
        <v>493789</v>
      </c>
      <c r="J18642">
        <v>4</v>
      </c>
    </row>
    <row r="18643" spans="1:10" x14ac:dyDescent="0.25">
      <c r="A18643" t="s">
        <v>200</v>
      </c>
      <c r="B18643" s="1" t="str">
        <f>HYPERLINK("http://wynns.co.za","wynns.co.za")</f>
        <v>wynns.co.za</v>
      </c>
      <c r="C18643" t="s">
        <v>510</v>
      </c>
      <c r="D18643" t="s">
        <v>884</v>
      </c>
      <c r="F18643">
        <v>4.8312925667433699E-9</v>
      </c>
      <c r="G18643">
        <v>34794701</v>
      </c>
      <c r="H18643">
        <v>10343978</v>
      </c>
      <c r="I18643">
        <v>57489038</v>
      </c>
      <c r="J18643">
        <v>5</v>
      </c>
    </row>
    <row r="18644" spans="1:10" x14ac:dyDescent="0.25">
      <c r="A18644" t="s">
        <v>201</v>
      </c>
      <c r="B18644" s="1" t="str">
        <f>HYPERLINK("http://zara.com.au","zara.com.au")</f>
        <v>zara.com.au</v>
      </c>
      <c r="C18644" t="s">
        <v>420</v>
      </c>
      <c r="D18644" t="s">
        <v>802</v>
      </c>
      <c r="F18644">
        <v>5.84363169413681E-9</v>
      </c>
      <c r="G18644">
        <v>17755107</v>
      </c>
      <c r="H18644">
        <v>14016566</v>
      </c>
      <c r="I18644">
        <v>3994694</v>
      </c>
      <c r="J18644">
        <v>5</v>
      </c>
    </row>
    <row r="18645" spans="1:10" x14ac:dyDescent="0.25">
      <c r="A18645" t="s">
        <v>201</v>
      </c>
      <c r="B18645" s="1" t="str">
        <f>HYPERLINK("http://zarahome.com.au","zarahome.com.au")</f>
        <v>zarahome.com.au</v>
      </c>
      <c r="C18645" t="s">
        <v>420</v>
      </c>
      <c r="D18645" t="s">
        <v>802</v>
      </c>
      <c r="J18645">
        <v>3</v>
      </c>
    </row>
    <row r="18646" spans="1:10" x14ac:dyDescent="0.25">
      <c r="A18646" t="s">
        <v>201</v>
      </c>
      <c r="B18646" s="1" t="str">
        <f>HYPERLINK("http://bershka.cn","bershka.cn")</f>
        <v>bershka.cn</v>
      </c>
      <c r="C18646" t="s">
        <v>431</v>
      </c>
      <c r="D18646" t="s">
        <v>812</v>
      </c>
      <c r="E18646">
        <v>87802</v>
      </c>
      <c r="F18646">
        <v>2.1437917748447901E-8</v>
      </c>
      <c r="G18646">
        <v>2456727</v>
      </c>
      <c r="H18646">
        <v>12360126</v>
      </c>
      <c r="I18646">
        <v>19583441</v>
      </c>
      <c r="J18646">
        <v>3</v>
      </c>
    </row>
    <row r="18647" spans="1:10" x14ac:dyDescent="0.25">
      <c r="A18647" t="s">
        <v>201</v>
      </c>
      <c r="B18647" s="1" t="str">
        <f>HYPERLINK("http://massimodutti.cn","massimodutti.cn")</f>
        <v>massimodutti.cn</v>
      </c>
      <c r="C18647" t="s">
        <v>431</v>
      </c>
      <c r="D18647" t="s">
        <v>812</v>
      </c>
      <c r="E18647">
        <v>113451</v>
      </c>
      <c r="F18647">
        <v>4.6073654920538799E-8</v>
      </c>
      <c r="G18647">
        <v>1018028</v>
      </c>
      <c r="H18647">
        <v>12952514</v>
      </c>
      <c r="I18647">
        <v>13199784</v>
      </c>
      <c r="J18647">
        <v>3</v>
      </c>
    </row>
    <row r="18648" spans="1:10" x14ac:dyDescent="0.25">
      <c r="A18648" t="s">
        <v>201</v>
      </c>
      <c r="B18648" s="1" t="str">
        <f>HYPERLINK("http://oysho.cn","oysho.cn")</f>
        <v>oysho.cn</v>
      </c>
      <c r="C18648" t="s">
        <v>431</v>
      </c>
      <c r="D18648" t="s">
        <v>812</v>
      </c>
      <c r="E18648">
        <v>93385</v>
      </c>
      <c r="F18648">
        <v>1.76649505735267E-8</v>
      </c>
      <c r="G18648">
        <v>3104362</v>
      </c>
      <c r="H18648">
        <v>12228173</v>
      </c>
      <c r="I18648">
        <v>22551874</v>
      </c>
      <c r="J18648">
        <v>3</v>
      </c>
    </row>
    <row r="18649" spans="1:10" x14ac:dyDescent="0.25">
      <c r="A18649" t="s">
        <v>201</v>
      </c>
      <c r="B18649" s="1" t="str">
        <f>HYPERLINK("http://pullandbear.cn","pullandbear.cn")</f>
        <v>pullandbear.cn</v>
      </c>
      <c r="C18649" t="s">
        <v>431</v>
      </c>
      <c r="D18649" t="s">
        <v>812</v>
      </c>
      <c r="E18649">
        <v>37223</v>
      </c>
      <c r="F18649">
        <v>2.0792958525735099E-8</v>
      </c>
      <c r="G18649">
        <v>2544012</v>
      </c>
      <c r="H18649">
        <v>12363973</v>
      </c>
      <c r="I18649">
        <v>19516307</v>
      </c>
      <c r="J18649">
        <v>3</v>
      </c>
    </row>
    <row r="18650" spans="1:10" x14ac:dyDescent="0.25">
      <c r="A18650" t="s">
        <v>201</v>
      </c>
      <c r="B18650" s="1" t="str">
        <f>HYPERLINK("http://stradivarius.cn","stradivarius.cn")</f>
        <v>stradivarius.cn</v>
      </c>
      <c r="C18650" t="s">
        <v>431</v>
      </c>
      <c r="D18650" t="s">
        <v>812</v>
      </c>
      <c r="E18650">
        <v>114807</v>
      </c>
      <c r="F18650">
        <v>2.43362125297541E-8</v>
      </c>
      <c r="G18650">
        <v>2130366</v>
      </c>
      <c r="H18650">
        <v>12461143</v>
      </c>
      <c r="I18650">
        <v>17862224</v>
      </c>
      <c r="J18650">
        <v>3</v>
      </c>
    </row>
    <row r="18651" spans="1:10" x14ac:dyDescent="0.25">
      <c r="A18651" t="s">
        <v>201</v>
      </c>
      <c r="B18651" s="1" t="str">
        <f>HYPERLINK("http://uterque.cn","uterque.cn")</f>
        <v>uterque.cn</v>
      </c>
      <c r="C18651" t="s">
        <v>431</v>
      </c>
      <c r="D18651" t="s">
        <v>812</v>
      </c>
      <c r="F18651">
        <v>4.4438425958072798E-9</v>
      </c>
      <c r="G18651">
        <v>78682595</v>
      </c>
      <c r="H18651">
        <v>10535755</v>
      </c>
      <c r="I18651">
        <v>47583913</v>
      </c>
      <c r="J18651">
        <v>3</v>
      </c>
    </row>
    <row r="18652" spans="1:10" x14ac:dyDescent="0.25">
      <c r="A18652" t="s">
        <v>201</v>
      </c>
      <c r="B18652" s="1" t="str">
        <f>HYPERLINK("http://zara.cn","zara.cn")</f>
        <v>zara.cn</v>
      </c>
      <c r="C18652" t="s">
        <v>431</v>
      </c>
      <c r="D18652" t="s">
        <v>812</v>
      </c>
      <c r="E18652">
        <v>199170</v>
      </c>
      <c r="F18652">
        <v>2.08028723055541E-7</v>
      </c>
      <c r="G18652">
        <v>182214</v>
      </c>
      <c r="H18652">
        <v>13823205</v>
      </c>
      <c r="I18652">
        <v>6134358</v>
      </c>
      <c r="J18652">
        <v>3</v>
      </c>
    </row>
    <row r="18653" spans="1:10" x14ac:dyDescent="0.25">
      <c r="A18653" t="s">
        <v>201</v>
      </c>
      <c r="B18653" s="1" t="str">
        <f>HYPERLINK("http://zarahome.cn","zarahome.cn")</f>
        <v>zarahome.cn</v>
      </c>
      <c r="C18653" t="s">
        <v>431</v>
      </c>
      <c r="D18653" t="s">
        <v>812</v>
      </c>
      <c r="E18653">
        <v>62702</v>
      </c>
      <c r="F18653">
        <v>3.0432143455052099E-8</v>
      </c>
      <c r="G18653">
        <v>1691736</v>
      </c>
      <c r="H18653">
        <v>13108772</v>
      </c>
      <c r="I18653">
        <v>12045095</v>
      </c>
      <c r="J18653">
        <v>3</v>
      </c>
    </row>
    <row r="18654" spans="1:10" x14ac:dyDescent="0.25">
      <c r="A18654" t="s">
        <v>201</v>
      </c>
      <c r="B18654" s="1" t="str">
        <f>HYPERLINK("http://adigeo.com","adigeo.com")</f>
        <v>adigeo.com</v>
      </c>
      <c r="C18654" t="s">
        <v>433</v>
      </c>
      <c r="F18654">
        <v>4.7503563671484498E-8</v>
      </c>
      <c r="G18654">
        <v>980448</v>
      </c>
      <c r="H18654">
        <v>16751224</v>
      </c>
      <c r="I18654">
        <v>267289</v>
      </c>
      <c r="J18654">
        <v>5</v>
      </c>
    </row>
    <row r="18655" spans="1:10" x14ac:dyDescent="0.25">
      <c r="A18655" t="s">
        <v>201</v>
      </c>
      <c r="B18655" s="1" t="str">
        <f>HYPERLINK("http://bershka.com","bershka.com")</f>
        <v>bershka.com</v>
      </c>
      <c r="C18655" t="s">
        <v>433</v>
      </c>
      <c r="E18655">
        <v>6975</v>
      </c>
      <c r="F18655">
        <v>6.4651861076004302E-7</v>
      </c>
      <c r="G18655">
        <v>59475</v>
      </c>
      <c r="H18655">
        <v>15422419</v>
      </c>
      <c r="I18655">
        <v>379239</v>
      </c>
      <c r="J18655">
        <v>2</v>
      </c>
    </row>
    <row r="18656" spans="1:10" x14ac:dyDescent="0.25">
      <c r="A18656" t="s">
        <v>201</v>
      </c>
      <c r="B18656" s="1" t="str">
        <f>HYPERLINK("http://e-stradivarius.com","e-stradivarius.com")</f>
        <v>e-stradivarius.com</v>
      </c>
      <c r="C18656" t="s">
        <v>433</v>
      </c>
      <c r="F18656">
        <v>8.1248525191944392E-9</v>
      </c>
      <c r="G18656">
        <v>9698533</v>
      </c>
      <c r="H18656">
        <v>14238616</v>
      </c>
      <c r="I18656">
        <v>1523773</v>
      </c>
      <c r="J18656">
        <v>5</v>
      </c>
    </row>
    <row r="18657" spans="1:10" x14ac:dyDescent="0.25">
      <c r="A18657" t="s">
        <v>201</v>
      </c>
      <c r="B18657" s="1" t="str">
        <f>HYPERLINK("http://estradivarius.com","estradivarius.com")</f>
        <v>estradivarius.com</v>
      </c>
      <c r="C18657" t="s">
        <v>433</v>
      </c>
      <c r="J18657">
        <v>4</v>
      </c>
    </row>
    <row r="18658" spans="1:10" x14ac:dyDescent="0.25">
      <c r="A18658" t="s">
        <v>201</v>
      </c>
      <c r="B18658" s="1" t="str">
        <f>HYPERLINK("http://icquiz.com","icquiz.com")</f>
        <v>icquiz.com</v>
      </c>
      <c r="C18658" t="s">
        <v>433</v>
      </c>
      <c r="F18658">
        <v>4.5837014980862704E-9</v>
      </c>
      <c r="G18658">
        <v>48976123</v>
      </c>
      <c r="H18658">
        <v>1.0003663</v>
      </c>
      <c r="I18658">
        <v>78744722</v>
      </c>
      <c r="J18658">
        <v>4</v>
      </c>
    </row>
    <row r="18659" spans="1:10" x14ac:dyDescent="0.25">
      <c r="A18659" t="s">
        <v>201</v>
      </c>
      <c r="B18659" s="1" t="str">
        <f>HYPERLINK("http://indetex.com","indetex.com")</f>
        <v>indetex.com</v>
      </c>
      <c r="C18659" t="s">
        <v>433</v>
      </c>
      <c r="J18659">
        <v>4</v>
      </c>
    </row>
    <row r="18660" spans="1:10" x14ac:dyDescent="0.25">
      <c r="A18660" t="s">
        <v>201</v>
      </c>
      <c r="B18660" s="1" t="str">
        <f>HYPERLINK("http://inditex.com","inditex.com")</f>
        <v>inditex.com</v>
      </c>
      <c r="C18660" t="s">
        <v>433</v>
      </c>
      <c r="E18660">
        <v>13193</v>
      </c>
      <c r="F18660">
        <v>8.8838529744099602E-7</v>
      </c>
      <c r="G18660">
        <v>45276</v>
      </c>
      <c r="H18660">
        <v>15211151</v>
      </c>
      <c r="I18660">
        <v>394428</v>
      </c>
      <c r="J18660">
        <v>1</v>
      </c>
    </row>
    <row r="18661" spans="1:10" x14ac:dyDescent="0.25">
      <c r="A18661" t="s">
        <v>201</v>
      </c>
      <c r="B18661" s="1" t="str">
        <f>HYPERLINK("http://initex.com","initex.com")</f>
        <v>initex.com</v>
      </c>
      <c r="C18661" t="s">
        <v>433</v>
      </c>
      <c r="F18661">
        <v>3.1598377679949498E-8</v>
      </c>
      <c r="G18661">
        <v>1633320</v>
      </c>
      <c r="H18661">
        <v>10981207</v>
      </c>
      <c r="I18661">
        <v>33913465</v>
      </c>
      <c r="J18661">
        <v>4</v>
      </c>
    </row>
    <row r="18662" spans="1:10" x14ac:dyDescent="0.25">
      <c r="A18662" t="s">
        <v>201</v>
      </c>
      <c r="B18662" s="1" t="str">
        <f>HYPERLINK("http://lefties.com","lefties.com")</f>
        <v>lefties.com</v>
      </c>
      <c r="C18662" t="s">
        <v>433</v>
      </c>
      <c r="E18662">
        <v>22134</v>
      </c>
      <c r="F18662">
        <v>8.5673458380646001E-8</v>
      </c>
      <c r="G18662">
        <v>480774</v>
      </c>
      <c r="H18662">
        <v>15005929</v>
      </c>
      <c r="I18662">
        <v>424357</v>
      </c>
      <c r="J18662">
        <v>2</v>
      </c>
    </row>
    <row r="18663" spans="1:10" x14ac:dyDescent="0.25">
      <c r="A18663" t="s">
        <v>201</v>
      </c>
      <c r="B18663" s="1" t="str">
        <f>HYPERLINK("http://map-indonesia.com","map-indonesia.com")</f>
        <v>map-indonesia.com</v>
      </c>
      <c r="C18663" t="s">
        <v>433</v>
      </c>
      <c r="F18663">
        <v>1.1762911133483E-8</v>
      </c>
      <c r="G18663">
        <v>5325597</v>
      </c>
      <c r="H18663">
        <v>13764300</v>
      </c>
      <c r="I18663">
        <v>7302776</v>
      </c>
      <c r="J18663">
        <v>9</v>
      </c>
    </row>
    <row r="18664" spans="1:10" x14ac:dyDescent="0.25">
      <c r="A18664" t="s">
        <v>201</v>
      </c>
      <c r="B18664" s="1" t="str">
        <f>HYPERLINK("http://massimodutti.com","massimodutti.com")</f>
        <v>massimodutti.com</v>
      </c>
      <c r="C18664" t="s">
        <v>433</v>
      </c>
      <c r="E18664">
        <v>12315</v>
      </c>
      <c r="F18664">
        <v>5.4830774397144804E-7</v>
      </c>
      <c r="G18664">
        <v>70559</v>
      </c>
      <c r="H18664">
        <v>15304605</v>
      </c>
      <c r="I18664">
        <v>385717</v>
      </c>
      <c r="J18664">
        <v>2</v>
      </c>
    </row>
    <row r="18665" spans="1:10" x14ac:dyDescent="0.25">
      <c r="A18665" t="s">
        <v>201</v>
      </c>
      <c r="B18665" s="1" t="str">
        <f>HYPERLINK("http://oysho.com","oysho.com")</f>
        <v>oysho.com</v>
      </c>
      <c r="C18665" t="s">
        <v>433</v>
      </c>
      <c r="E18665">
        <v>20357</v>
      </c>
      <c r="F18665">
        <v>3.1842383997550902E-7</v>
      </c>
      <c r="G18665">
        <v>116820</v>
      </c>
      <c r="H18665">
        <v>15066877</v>
      </c>
      <c r="I18665">
        <v>411645</v>
      </c>
      <c r="J18665">
        <v>2</v>
      </c>
    </row>
    <row r="18666" spans="1:10" x14ac:dyDescent="0.25">
      <c r="A18666" t="s">
        <v>201</v>
      </c>
      <c r="B18666" s="1" t="str">
        <f>HYPERLINK("http://pontegadea.com","pontegadea.com")</f>
        <v>pontegadea.com</v>
      </c>
      <c r="C18666" t="s">
        <v>433</v>
      </c>
      <c r="J18666">
        <v>6</v>
      </c>
    </row>
    <row r="18667" spans="1:10" x14ac:dyDescent="0.25">
      <c r="A18667" t="s">
        <v>201</v>
      </c>
      <c r="B18667" s="1" t="str">
        <f>HYPERLINK("http://pullandbear.com","pullandbear.com")</f>
        <v>pullandbear.com</v>
      </c>
      <c r="C18667" t="s">
        <v>433</v>
      </c>
      <c r="E18667">
        <v>14704</v>
      </c>
      <c r="F18667">
        <v>5.0107228688757005E-7</v>
      </c>
      <c r="G18667">
        <v>76294</v>
      </c>
      <c r="H18667">
        <v>15318019</v>
      </c>
      <c r="I18667">
        <v>384779</v>
      </c>
      <c r="J18667">
        <v>2</v>
      </c>
    </row>
    <row r="18668" spans="1:10" x14ac:dyDescent="0.25">
      <c r="A18668" t="s">
        <v>201</v>
      </c>
      <c r="B18668" s="1" t="str">
        <f>HYPERLINK("http://pullbear.com","pullbear.com")</f>
        <v>pullbear.com</v>
      </c>
      <c r="C18668" t="s">
        <v>433</v>
      </c>
      <c r="F18668">
        <v>1.24568351444695E-8</v>
      </c>
      <c r="G18668">
        <v>4908630</v>
      </c>
      <c r="H18668">
        <v>14491067</v>
      </c>
      <c r="I18668">
        <v>906159</v>
      </c>
      <c r="J18668">
        <v>5</v>
      </c>
    </row>
    <row r="18669" spans="1:10" x14ac:dyDescent="0.25">
      <c r="A18669" t="s">
        <v>201</v>
      </c>
      <c r="B18669" s="1" t="str">
        <f>HYPERLINK("http://stradivarios.com","stradivarios.com")</f>
        <v>stradivarios.com</v>
      </c>
      <c r="C18669" t="s">
        <v>433</v>
      </c>
      <c r="J18669">
        <v>4</v>
      </c>
    </row>
    <row r="18670" spans="1:10" x14ac:dyDescent="0.25">
      <c r="A18670" t="s">
        <v>201</v>
      </c>
      <c r="B18670" s="1" t="str">
        <f>HYPERLINK("http://stradivarius.com","stradivarius.com")</f>
        <v>stradivarius.com</v>
      </c>
      <c r="C18670" t="s">
        <v>433</v>
      </c>
      <c r="E18670">
        <v>16246</v>
      </c>
      <c r="F18670">
        <v>4.2877179247152099E-7</v>
      </c>
      <c r="G18670">
        <v>87861</v>
      </c>
      <c r="H18670">
        <v>15482724</v>
      </c>
      <c r="I18670">
        <v>377205</v>
      </c>
      <c r="J18670">
        <v>2</v>
      </c>
    </row>
    <row r="18671" spans="1:10" x14ac:dyDescent="0.25">
      <c r="A18671" t="s">
        <v>201</v>
      </c>
      <c r="B18671" s="1" t="str">
        <f>HYPERLINK("http://stradivaruis.com","stradivaruis.com")</f>
        <v>stradivaruis.com</v>
      </c>
      <c r="C18671" t="s">
        <v>433</v>
      </c>
      <c r="J18671">
        <v>4</v>
      </c>
    </row>
    <row r="18672" spans="1:10" x14ac:dyDescent="0.25">
      <c r="A18672" t="s">
        <v>201</v>
      </c>
      <c r="B18672" s="1" t="str">
        <f>HYPERLINK("http://uterque.com","uterque.com")</f>
        <v>uterque.com</v>
      </c>
      <c r="C18672" t="s">
        <v>433</v>
      </c>
      <c r="E18672">
        <v>312981</v>
      </c>
      <c r="F18672">
        <v>1.6231388682900199E-7</v>
      </c>
      <c r="G18672">
        <v>239138</v>
      </c>
      <c r="H18672">
        <v>14823522</v>
      </c>
      <c r="I18672">
        <v>513377</v>
      </c>
      <c r="J18672">
        <v>2</v>
      </c>
    </row>
    <row r="18673" spans="1:10" x14ac:dyDescent="0.25">
      <c r="A18673" t="s">
        <v>201</v>
      </c>
      <c r="B18673" s="1" t="str">
        <f>HYPERLINK("http://zara.com","zara.com")</f>
        <v>zara.com</v>
      </c>
      <c r="C18673" t="s">
        <v>433</v>
      </c>
      <c r="E18673">
        <v>1753</v>
      </c>
      <c r="F18673">
        <v>3.9597981745630297E-6</v>
      </c>
      <c r="G18673">
        <v>9640</v>
      </c>
      <c r="H18673">
        <v>17894352</v>
      </c>
      <c r="I18673">
        <v>4519</v>
      </c>
      <c r="J18673">
        <v>2</v>
      </c>
    </row>
    <row r="18674" spans="1:10" x14ac:dyDescent="0.25">
      <c r="A18674" t="s">
        <v>201</v>
      </c>
      <c r="B18674" s="1" t="str">
        <f>HYPERLINK("http://zarahome.com","zarahome.com")</f>
        <v>zarahome.com</v>
      </c>
      <c r="C18674" t="s">
        <v>433</v>
      </c>
      <c r="E18674">
        <v>16105</v>
      </c>
      <c r="F18674">
        <v>6.7663541804311499E-7</v>
      </c>
      <c r="G18674">
        <v>56989</v>
      </c>
      <c r="H18674">
        <v>15253514</v>
      </c>
      <c r="I18674">
        <v>389948</v>
      </c>
      <c r="J18674">
        <v>2</v>
      </c>
    </row>
    <row r="18675" spans="1:10" x14ac:dyDescent="0.25">
      <c r="A18675" t="s">
        <v>201</v>
      </c>
      <c r="B18675" s="1" t="str">
        <f>HYPERLINK("http://tempe.es","tempe.es")</f>
        <v>tempe.es</v>
      </c>
      <c r="C18675" t="s">
        <v>443</v>
      </c>
      <c r="D18675" t="s">
        <v>822</v>
      </c>
      <c r="F18675">
        <v>1.71259690339452E-8</v>
      </c>
      <c r="G18675">
        <v>3255046</v>
      </c>
      <c r="H18675">
        <v>14493967</v>
      </c>
      <c r="I18675">
        <v>884602</v>
      </c>
      <c r="J18675">
        <v>4</v>
      </c>
    </row>
    <row r="18676" spans="1:10" x14ac:dyDescent="0.25">
      <c r="A18676" t="s">
        <v>201</v>
      </c>
      <c r="B18676" s="1" t="str">
        <f>HYPERLINK("http://uterqe.es","uterqe.es")</f>
        <v>uterqe.es</v>
      </c>
      <c r="C18676" t="s">
        <v>443</v>
      </c>
      <c r="D18676" t="s">
        <v>822</v>
      </c>
      <c r="J18676">
        <v>4</v>
      </c>
    </row>
    <row r="18677" spans="1:10" x14ac:dyDescent="0.25">
      <c r="A18677" t="s">
        <v>201</v>
      </c>
      <c r="B18677" s="1" t="str">
        <f>HYPERLINK("http://zara.es","zara.es")</f>
        <v>zara.es</v>
      </c>
      <c r="C18677" t="s">
        <v>443</v>
      </c>
      <c r="D18677" t="s">
        <v>822</v>
      </c>
      <c r="F18677">
        <v>1.3166076161246199E-8</v>
      </c>
      <c r="G18677">
        <v>4553555</v>
      </c>
      <c r="H18677">
        <v>14147101</v>
      </c>
      <c r="I18677">
        <v>1891842</v>
      </c>
      <c r="J18677">
        <v>3</v>
      </c>
    </row>
    <row r="18678" spans="1:10" x14ac:dyDescent="0.25">
      <c r="A18678" t="s">
        <v>201</v>
      </c>
      <c r="B18678" s="1" t="str">
        <f>HYPERLINK("http://inditex.fi","inditex.fi")</f>
        <v>inditex.fi</v>
      </c>
      <c r="C18678" t="s">
        <v>445</v>
      </c>
      <c r="D18678" t="s">
        <v>823</v>
      </c>
      <c r="J18678">
        <v>4</v>
      </c>
    </row>
    <row r="18679" spans="1:10" x14ac:dyDescent="0.25">
      <c r="A18679" t="s">
        <v>201</v>
      </c>
      <c r="B18679" s="1" t="str">
        <f>HYPERLINK("http://lefties.fi","lefties.fi")</f>
        <v>lefties.fi</v>
      </c>
      <c r="C18679" t="s">
        <v>445</v>
      </c>
      <c r="D18679" t="s">
        <v>823</v>
      </c>
      <c r="J18679">
        <v>4</v>
      </c>
    </row>
    <row r="18680" spans="1:10" x14ac:dyDescent="0.25">
      <c r="A18680" t="s">
        <v>201</v>
      </c>
      <c r="B18680" s="1" t="str">
        <f>HYPERLINK("http://massimodutti.fi","massimodutti.fi")</f>
        <v>massimodutti.fi</v>
      </c>
      <c r="C18680" t="s">
        <v>445</v>
      </c>
      <c r="D18680" t="s">
        <v>823</v>
      </c>
      <c r="J18680">
        <v>2</v>
      </c>
    </row>
    <row r="18681" spans="1:10" x14ac:dyDescent="0.25">
      <c r="A18681" t="s">
        <v>201</v>
      </c>
      <c r="B18681" s="1" t="str">
        <f>HYPERLINK("http://oysho.fi","oysho.fi")</f>
        <v>oysho.fi</v>
      </c>
      <c r="C18681" t="s">
        <v>445</v>
      </c>
      <c r="D18681" t="s">
        <v>823</v>
      </c>
      <c r="J18681">
        <v>4</v>
      </c>
    </row>
    <row r="18682" spans="1:10" x14ac:dyDescent="0.25">
      <c r="A18682" t="s">
        <v>201</v>
      </c>
      <c r="B18682" s="1" t="str">
        <f>HYPERLINK("http://stradivarius.fi","stradivarius.fi")</f>
        <v>stradivarius.fi</v>
      </c>
      <c r="C18682" t="s">
        <v>445</v>
      </c>
      <c r="D18682" t="s">
        <v>823</v>
      </c>
      <c r="J18682">
        <v>4</v>
      </c>
    </row>
    <row r="18683" spans="1:10" x14ac:dyDescent="0.25">
      <c r="A18683" t="s">
        <v>201</v>
      </c>
      <c r="B18683" s="1" t="str">
        <f>HYPERLINK("http://zara.fi","zara.fi")</f>
        <v>zara.fi</v>
      </c>
      <c r="C18683" t="s">
        <v>445</v>
      </c>
      <c r="D18683" t="s">
        <v>823</v>
      </c>
      <c r="F18683">
        <v>4.8573525226193101E-9</v>
      </c>
      <c r="G18683">
        <v>33897910</v>
      </c>
      <c r="H18683">
        <v>12192065</v>
      </c>
      <c r="I18683">
        <v>23534028</v>
      </c>
      <c r="J18683">
        <v>4</v>
      </c>
    </row>
    <row r="18684" spans="1:10" x14ac:dyDescent="0.25">
      <c r="A18684" t="s">
        <v>201</v>
      </c>
      <c r="B18684" s="1" t="str">
        <f>HYPERLINK("http://zarahome.fi","zarahome.fi")</f>
        <v>zarahome.fi</v>
      </c>
      <c r="C18684" t="s">
        <v>445</v>
      </c>
      <c r="D18684" t="s">
        <v>823</v>
      </c>
      <c r="J18684">
        <v>4</v>
      </c>
    </row>
    <row r="18685" spans="1:10" x14ac:dyDescent="0.25">
      <c r="A18685" t="s">
        <v>201</v>
      </c>
      <c r="B18685" s="1" t="str">
        <f>HYPERLINK("http://zara.fr","zara.fr")</f>
        <v>zara.fr</v>
      </c>
      <c r="C18685" t="s">
        <v>446</v>
      </c>
      <c r="D18685" t="s">
        <v>824</v>
      </c>
      <c r="F18685">
        <v>6.6708284352161398E-9</v>
      </c>
      <c r="G18685">
        <v>13408899</v>
      </c>
      <c r="H18685">
        <v>13775502</v>
      </c>
      <c r="I18685">
        <v>6578336</v>
      </c>
      <c r="J18685">
        <v>5</v>
      </c>
    </row>
    <row r="18686" spans="1:10" x14ac:dyDescent="0.25">
      <c r="A18686" t="s">
        <v>201</v>
      </c>
      <c r="B18686" s="1" t="str">
        <f>HYPERLINK("http://map.co.id","map.co.id")</f>
        <v>map.co.id</v>
      </c>
      <c r="C18686" t="s">
        <v>454</v>
      </c>
      <c r="D18686" t="s">
        <v>831</v>
      </c>
      <c r="F18686">
        <v>4.6597635331803403E-8</v>
      </c>
      <c r="G18686">
        <v>1003253</v>
      </c>
      <c r="H18686">
        <v>13443449</v>
      </c>
      <c r="I18686">
        <v>10241668</v>
      </c>
      <c r="J18686">
        <v>7</v>
      </c>
    </row>
    <row r="18687" spans="1:10" x14ac:dyDescent="0.25">
      <c r="A18687" t="s">
        <v>201</v>
      </c>
      <c r="B18687" s="1" t="str">
        <f>HYPERLINK("http://bershka.com.mx","bershka.com.mx")</f>
        <v>bershka.com.mx</v>
      </c>
      <c r="C18687" t="s">
        <v>471</v>
      </c>
      <c r="D18687" t="s">
        <v>847</v>
      </c>
      <c r="F18687">
        <v>4.4644589493608501E-9</v>
      </c>
      <c r="G18687">
        <v>66411662</v>
      </c>
      <c r="H18687">
        <v>10753693</v>
      </c>
      <c r="I18687">
        <v>39875875</v>
      </c>
      <c r="J18687">
        <v>4</v>
      </c>
    </row>
    <row r="18688" spans="1:10" x14ac:dyDescent="0.25">
      <c r="A18688" t="s">
        <v>201</v>
      </c>
      <c r="B18688" s="1" t="str">
        <f>HYPERLINK("http://massimodutti.com.mx","massimodutti.com.mx")</f>
        <v>massimodutti.com.mx</v>
      </c>
      <c r="C18688" t="s">
        <v>471</v>
      </c>
      <c r="D18688" t="s">
        <v>847</v>
      </c>
      <c r="J18688">
        <v>3</v>
      </c>
    </row>
    <row r="18689" spans="1:10" x14ac:dyDescent="0.25">
      <c r="A18689" t="s">
        <v>201</v>
      </c>
      <c r="B18689" s="1" t="str">
        <f>HYPERLINK("http://oysho.com.mx","oysho.com.mx")</f>
        <v>oysho.com.mx</v>
      </c>
      <c r="C18689" t="s">
        <v>471</v>
      </c>
      <c r="D18689" t="s">
        <v>847</v>
      </c>
      <c r="J18689">
        <v>4</v>
      </c>
    </row>
    <row r="18690" spans="1:10" x14ac:dyDescent="0.25">
      <c r="A18690" t="s">
        <v>201</v>
      </c>
      <c r="B18690" s="1" t="str">
        <f>HYPERLINK("http://pull&amp;bear.com.mx","pull&amp;bear.com.mx")</f>
        <v>pull&amp;bear.com.mx</v>
      </c>
      <c r="C18690" t="s">
        <v>471</v>
      </c>
      <c r="D18690" t="s">
        <v>847</v>
      </c>
      <c r="J18690">
        <v>4</v>
      </c>
    </row>
    <row r="18691" spans="1:10" x14ac:dyDescent="0.25">
      <c r="A18691" t="s">
        <v>201</v>
      </c>
      <c r="B18691" s="1" t="str">
        <f>HYPERLINK("http://pullanbear.com.mx","pullanbear.com.mx")</f>
        <v>pullanbear.com.mx</v>
      </c>
      <c r="C18691" t="s">
        <v>471</v>
      </c>
      <c r="D18691" t="s">
        <v>847</v>
      </c>
      <c r="J18691">
        <v>4</v>
      </c>
    </row>
    <row r="18692" spans="1:10" x14ac:dyDescent="0.25">
      <c r="A18692" t="s">
        <v>201</v>
      </c>
      <c r="B18692" s="1" t="str">
        <f>HYPERLINK("http://pullandbear.com.mx","pullandbear.com.mx")</f>
        <v>pullandbear.com.mx</v>
      </c>
      <c r="C18692" t="s">
        <v>471</v>
      </c>
      <c r="D18692" t="s">
        <v>847</v>
      </c>
      <c r="F18692">
        <v>4.4899177721937102E-9</v>
      </c>
      <c r="G18692">
        <v>60534658</v>
      </c>
      <c r="H18692">
        <v>6507530</v>
      </c>
      <c r="I18692">
        <v>77336730</v>
      </c>
      <c r="J18692">
        <v>3</v>
      </c>
    </row>
    <row r="18693" spans="1:10" x14ac:dyDescent="0.25">
      <c r="A18693" t="s">
        <v>201</v>
      </c>
      <c r="B18693" s="1" t="str">
        <f>HYPERLINK("http://zarahome.com.mx","zarahome.com.mx")</f>
        <v>zarahome.com.mx</v>
      </c>
      <c r="C18693" t="s">
        <v>471</v>
      </c>
      <c r="D18693" t="s">
        <v>847</v>
      </c>
      <c r="J18693">
        <v>4</v>
      </c>
    </row>
    <row r="18694" spans="1:10" x14ac:dyDescent="0.25">
      <c r="A18694" t="s">
        <v>201</v>
      </c>
      <c r="B18694" s="1" t="str">
        <f>HYPERLINK("http://pullandbear.net","pullandbear.net")</f>
        <v>pullandbear.net</v>
      </c>
      <c r="C18694" t="s">
        <v>474</v>
      </c>
      <c r="E18694">
        <v>308872</v>
      </c>
      <c r="F18694">
        <v>4.2705420824023197E-8</v>
      </c>
      <c r="G18694">
        <v>1131015</v>
      </c>
      <c r="H18694">
        <v>14156737</v>
      </c>
      <c r="I18694">
        <v>1851922</v>
      </c>
      <c r="J18694">
        <v>3</v>
      </c>
    </row>
    <row r="18695" spans="1:10" x14ac:dyDescent="0.25">
      <c r="A18695" t="s">
        <v>201</v>
      </c>
      <c r="B18695" s="1" t="str">
        <f>HYPERLINK("http://zara.net","zara.net")</f>
        <v>zara.net</v>
      </c>
      <c r="C18695" t="s">
        <v>474</v>
      </c>
      <c r="E18695">
        <v>72177</v>
      </c>
      <c r="F18695">
        <v>3.7701347769145001E-7</v>
      </c>
      <c r="G18695">
        <v>99297</v>
      </c>
      <c r="H18695">
        <v>17184202</v>
      </c>
      <c r="I18695">
        <v>44715</v>
      </c>
      <c r="J18695">
        <v>3</v>
      </c>
    </row>
    <row r="18696" spans="1:10" x14ac:dyDescent="0.25">
      <c r="A18696" t="s">
        <v>201</v>
      </c>
      <c r="B18696" s="1" t="str">
        <f>HYPERLINK("http://zarahome.net","zarahome.net")</f>
        <v>zarahome.net</v>
      </c>
      <c r="C18696" t="s">
        <v>474</v>
      </c>
      <c r="E18696">
        <v>359226</v>
      </c>
      <c r="F18696">
        <v>5.42444374127697E-8</v>
      </c>
      <c r="G18696">
        <v>833157</v>
      </c>
      <c r="H18696">
        <v>14657309</v>
      </c>
      <c r="I18696">
        <v>622250</v>
      </c>
      <c r="J18696">
        <v>3</v>
      </c>
    </row>
    <row r="18697" spans="1:10" x14ac:dyDescent="0.25">
      <c r="A18697" t="s">
        <v>201</v>
      </c>
      <c r="B18697" s="1" t="str">
        <f>HYPERLINK("http://zara.nl","zara.nl")</f>
        <v>zara.nl</v>
      </c>
      <c r="C18697" t="s">
        <v>477</v>
      </c>
      <c r="D18697" t="s">
        <v>852</v>
      </c>
      <c r="F18697">
        <v>5.9664830839005304E-9</v>
      </c>
      <c r="G18697">
        <v>16903681</v>
      </c>
      <c r="H18697">
        <v>12509852</v>
      </c>
      <c r="I18697">
        <v>17247949</v>
      </c>
      <c r="J18697">
        <v>4</v>
      </c>
    </row>
    <row r="18698" spans="1:10" x14ac:dyDescent="0.25">
      <c r="A18698" t="s">
        <v>202</v>
      </c>
      <c r="B18698" s="1" t="str">
        <f>HYPERLINK("http://cib.com.cn","cib.com.cn")</f>
        <v>cib.com.cn</v>
      </c>
      <c r="C18698" t="s">
        <v>431</v>
      </c>
      <c r="D18698" t="s">
        <v>812</v>
      </c>
      <c r="E18698">
        <v>25119</v>
      </c>
      <c r="F18698">
        <v>9.1938209407440199E-7</v>
      </c>
      <c r="G18698">
        <v>42033</v>
      </c>
      <c r="H18698">
        <v>14398749</v>
      </c>
      <c r="I18698">
        <v>1156248</v>
      </c>
      <c r="J18698">
        <v>1</v>
      </c>
    </row>
    <row r="18699" spans="1:10" x14ac:dyDescent="0.25">
      <c r="A18699" t="s">
        <v>202</v>
      </c>
      <c r="B18699" s="1" t="str">
        <f>HYPERLINK("http://cib-fund.com.cn","cib-fund.com.cn")</f>
        <v>cib-fund.com.cn</v>
      </c>
      <c r="C18699" t="s">
        <v>431</v>
      </c>
      <c r="D18699" t="s">
        <v>812</v>
      </c>
      <c r="F18699">
        <v>8.0021815606528296E-8</v>
      </c>
      <c r="G18699">
        <v>522013</v>
      </c>
      <c r="H18699">
        <v>12414138</v>
      </c>
      <c r="I18699">
        <v>18549894</v>
      </c>
      <c r="J18699">
        <v>3</v>
      </c>
    </row>
    <row r="18700" spans="1:10" x14ac:dyDescent="0.25">
      <c r="A18700" t="s">
        <v>202</v>
      </c>
      <c r="B18700" s="1" t="str">
        <f>HYPERLINK("http://cib-leasing.com.cn","cib-leasing.com.cn")</f>
        <v>cib-leasing.com.cn</v>
      </c>
      <c r="C18700" t="s">
        <v>431</v>
      </c>
      <c r="D18700" t="s">
        <v>812</v>
      </c>
      <c r="E18700">
        <v>412017</v>
      </c>
      <c r="F18700">
        <v>2.9652286996176101E-8</v>
      </c>
      <c r="G18700">
        <v>1736204</v>
      </c>
      <c r="H18700">
        <v>10749080</v>
      </c>
      <c r="I18700">
        <v>40116055</v>
      </c>
      <c r="J18700">
        <v>3</v>
      </c>
    </row>
    <row r="18701" spans="1:10" x14ac:dyDescent="0.25">
      <c r="A18701" t="s">
        <v>202</v>
      </c>
      <c r="B18701" s="1" t="str">
        <f>HYPERLINK("http://ciit.com.cn","ciit.com.cn")</f>
        <v>ciit.com.cn</v>
      </c>
      <c r="C18701" t="s">
        <v>431</v>
      </c>
      <c r="D18701" t="s">
        <v>812</v>
      </c>
      <c r="F18701">
        <v>4.1137045969442798E-8</v>
      </c>
      <c r="G18701">
        <v>1261983</v>
      </c>
      <c r="H18701">
        <v>12334712</v>
      </c>
      <c r="I18701">
        <v>20114002</v>
      </c>
      <c r="J18701">
        <v>3</v>
      </c>
    </row>
    <row r="18702" spans="1:10" x14ac:dyDescent="0.25">
      <c r="A18702" t="s">
        <v>202</v>
      </c>
      <c r="B18702" s="1" t="str">
        <f>HYPERLINK("http://xyyh.com.cn","xyyh.com.cn")</f>
        <v>xyyh.com.cn</v>
      </c>
      <c r="C18702" t="s">
        <v>431</v>
      </c>
      <c r="D18702" t="s">
        <v>812</v>
      </c>
      <c r="J18702">
        <v>2</v>
      </c>
    </row>
    <row r="18703" spans="1:10" x14ac:dyDescent="0.25">
      <c r="A18703" t="s">
        <v>202</v>
      </c>
      <c r="B18703" s="1" t="str">
        <f>HYPERLINK("http://yypt.net.cn","yypt.net.cn")</f>
        <v>yypt.net.cn</v>
      </c>
      <c r="C18703" t="s">
        <v>431</v>
      </c>
      <c r="D18703" t="s">
        <v>812</v>
      </c>
      <c r="F18703">
        <v>6.0717317835134304E-9</v>
      </c>
      <c r="G18703">
        <v>16255695</v>
      </c>
      <c r="H18703">
        <v>9276280</v>
      </c>
      <c r="I18703">
        <v>68647513</v>
      </c>
      <c r="J18703">
        <v>2</v>
      </c>
    </row>
    <row r="18704" spans="1:10" x14ac:dyDescent="0.25">
      <c r="A18704" t="s">
        <v>202</v>
      </c>
      <c r="B18704" s="1" t="str">
        <f>HYPERLINK("http://cibhk.com","cibhk.com")</f>
        <v>cibhk.com</v>
      </c>
      <c r="C18704" t="s">
        <v>433</v>
      </c>
      <c r="F18704">
        <v>6.0586568600075103E-9</v>
      </c>
      <c r="G18704">
        <v>16333084</v>
      </c>
      <c r="H18704">
        <v>10861173</v>
      </c>
      <c r="I18704">
        <v>36653125</v>
      </c>
      <c r="J18704">
        <v>4</v>
      </c>
    </row>
    <row r="18705" spans="1:10" x14ac:dyDescent="0.25">
      <c r="A18705" t="s">
        <v>202</v>
      </c>
      <c r="B18705" s="1" t="str">
        <f>HYPERLINK("http://ksdao.com","ksdao.com")</f>
        <v>ksdao.com</v>
      </c>
      <c r="C18705" t="s">
        <v>433</v>
      </c>
      <c r="F18705">
        <v>2.5626824794560899E-8</v>
      </c>
      <c r="G18705">
        <v>2012070</v>
      </c>
      <c r="H18705">
        <v>12338091</v>
      </c>
      <c r="I18705">
        <v>20050568</v>
      </c>
      <c r="J18705">
        <v>3</v>
      </c>
    </row>
    <row r="18706" spans="1:10" x14ac:dyDescent="0.25">
      <c r="A18706" t="s">
        <v>203</v>
      </c>
      <c r="B18706" s="1" t="str">
        <f>HYPERLINK("http://icbc.ae","icbc.ae")</f>
        <v>icbc.ae</v>
      </c>
      <c r="C18706" t="s">
        <v>417</v>
      </c>
      <c r="D18706" t="s">
        <v>799</v>
      </c>
      <c r="F18706">
        <v>3.3589975953187001E-8</v>
      </c>
      <c r="G18706">
        <v>1539509</v>
      </c>
      <c r="H18706">
        <v>12202872</v>
      </c>
      <c r="I18706">
        <v>23246913</v>
      </c>
      <c r="J18706">
        <v>2</v>
      </c>
    </row>
    <row r="18707" spans="1:10" x14ac:dyDescent="0.25">
      <c r="A18707" t="s">
        <v>203</v>
      </c>
      <c r="B18707" s="1" t="str">
        <f>HYPERLINK("http://icbc.com.ar","icbc.com.ar")</f>
        <v>icbc.com.ar</v>
      </c>
      <c r="C18707" t="s">
        <v>418</v>
      </c>
      <c r="D18707" t="s">
        <v>800</v>
      </c>
      <c r="E18707">
        <v>121834</v>
      </c>
      <c r="F18707">
        <v>1.3203403898686499E-7</v>
      </c>
      <c r="G18707">
        <v>296027</v>
      </c>
      <c r="H18707">
        <v>14171775</v>
      </c>
      <c r="I18707">
        <v>1800596</v>
      </c>
      <c r="J18707">
        <v>3</v>
      </c>
    </row>
    <row r="18708" spans="1:10" x14ac:dyDescent="0.25">
      <c r="A18708" t="s">
        <v>203</v>
      </c>
      <c r="B18708" s="1" t="str">
        <f>HYPERLINK("http://icbk.ca","icbk.ca")</f>
        <v>icbk.ca</v>
      </c>
      <c r="C18708" t="s">
        <v>428</v>
      </c>
      <c r="D18708" t="s">
        <v>809</v>
      </c>
      <c r="F18708">
        <v>5.1690078048320702E-8</v>
      </c>
      <c r="G18708">
        <v>884359</v>
      </c>
      <c r="H18708">
        <v>13323236</v>
      </c>
      <c r="I18708">
        <v>10737809</v>
      </c>
      <c r="J18708">
        <v>3</v>
      </c>
    </row>
    <row r="18709" spans="1:10" x14ac:dyDescent="0.25">
      <c r="A18709" t="s">
        <v>203</v>
      </c>
      <c r="B18709" s="1" t="str">
        <f>HYPERLINK("http://icbc.com.cn","icbc.com.cn")</f>
        <v>icbc.com.cn</v>
      </c>
      <c r="C18709" t="s">
        <v>431</v>
      </c>
      <c r="D18709" t="s">
        <v>812</v>
      </c>
      <c r="E18709">
        <v>2957</v>
      </c>
      <c r="F18709">
        <v>6.9950799170892401E-6</v>
      </c>
      <c r="G18709">
        <v>4809</v>
      </c>
      <c r="H18709">
        <v>17392290</v>
      </c>
      <c r="I18709">
        <v>19756</v>
      </c>
      <c r="J18709">
        <v>1</v>
      </c>
    </row>
    <row r="18710" spans="1:10" x14ac:dyDescent="0.25">
      <c r="A18710" t="s">
        <v>203</v>
      </c>
      <c r="B18710" s="1" t="str">
        <f>HYPERLINK("http://icbccs.com.cn","icbccs.com.cn")</f>
        <v>icbccs.com.cn</v>
      </c>
      <c r="C18710" t="s">
        <v>431</v>
      </c>
      <c r="D18710" t="s">
        <v>812</v>
      </c>
      <c r="E18710">
        <v>354818</v>
      </c>
      <c r="F18710">
        <v>2.0242108638832001E-7</v>
      </c>
      <c r="G18710">
        <v>187897</v>
      </c>
      <c r="H18710">
        <v>13502950</v>
      </c>
      <c r="I18710">
        <v>9966530</v>
      </c>
      <c r="J18710">
        <v>3</v>
      </c>
    </row>
    <row r="18711" spans="1:10" x14ac:dyDescent="0.25">
      <c r="A18711" t="s">
        <v>203</v>
      </c>
      <c r="B18711" s="1" t="str">
        <f>HYPERLINK("http://icbc-at.com","icbc-at.com")</f>
        <v>icbc-at.com</v>
      </c>
      <c r="C18711" t="s">
        <v>433</v>
      </c>
      <c r="F18711">
        <v>3.9596646262361699E-8</v>
      </c>
      <c r="G18711">
        <v>1304040</v>
      </c>
      <c r="H18711">
        <v>12233770</v>
      </c>
      <c r="I18711">
        <v>22409173</v>
      </c>
      <c r="J18711">
        <v>3</v>
      </c>
    </row>
    <row r="18712" spans="1:10" x14ac:dyDescent="0.25">
      <c r="A18712" t="s">
        <v>203</v>
      </c>
      <c r="B18712" s="1" t="str">
        <f>HYPERLINK("http://icbc-axa.com","icbc-axa.com")</f>
        <v>icbc-axa.com</v>
      </c>
      <c r="C18712" t="s">
        <v>433</v>
      </c>
      <c r="F18712">
        <v>1.33299372713748E-8</v>
      </c>
      <c r="G18712">
        <v>4480425</v>
      </c>
      <c r="H18712">
        <v>13477764</v>
      </c>
      <c r="I18712">
        <v>10015698</v>
      </c>
      <c r="J18712">
        <v>4</v>
      </c>
    </row>
    <row r="18713" spans="1:10" x14ac:dyDescent="0.25">
      <c r="A18713" t="s">
        <v>203</v>
      </c>
      <c r="B18713" s="1" t="str">
        <f>HYPERLINK("http://icbc-ltd.com","icbc-ltd.com")</f>
        <v>icbc-ltd.com</v>
      </c>
      <c r="C18713" t="s">
        <v>433</v>
      </c>
      <c r="E18713">
        <v>50814</v>
      </c>
      <c r="F18713">
        <v>2.9897560353960602E-7</v>
      </c>
      <c r="G18713">
        <v>124386</v>
      </c>
      <c r="H18713">
        <v>14717163</v>
      </c>
      <c r="I18713">
        <v>579710</v>
      </c>
      <c r="J18713">
        <v>2</v>
      </c>
    </row>
    <row r="18714" spans="1:10" x14ac:dyDescent="0.25">
      <c r="A18714" t="s">
        <v>203</v>
      </c>
      <c r="B18714" s="1" t="str">
        <f>HYPERLINK("http://icbc-us.com","icbc-us.com")</f>
        <v>icbc-us.com</v>
      </c>
      <c r="C18714" t="s">
        <v>433</v>
      </c>
      <c r="F18714">
        <v>5.0483502121551502E-8</v>
      </c>
      <c r="G18714">
        <v>910048</v>
      </c>
      <c r="H18714">
        <v>14097303</v>
      </c>
      <c r="I18714">
        <v>2721460</v>
      </c>
      <c r="J18714">
        <v>2</v>
      </c>
    </row>
    <row r="18715" spans="1:10" x14ac:dyDescent="0.25">
      <c r="A18715" t="s">
        <v>203</v>
      </c>
      <c r="B18715" s="1" t="str">
        <f>HYPERLINK("http://icbcasia.com","icbcasia.com")</f>
        <v>icbcasia.com</v>
      </c>
      <c r="C18715" t="s">
        <v>433</v>
      </c>
      <c r="E18715">
        <v>134328</v>
      </c>
      <c r="F18715">
        <v>1.7467063039581399E-7</v>
      </c>
      <c r="G18715">
        <v>222009</v>
      </c>
      <c r="H18715">
        <v>14401600</v>
      </c>
      <c r="I18715">
        <v>1152990</v>
      </c>
      <c r="J18715">
        <v>3</v>
      </c>
    </row>
    <row r="18716" spans="1:10" x14ac:dyDescent="0.25">
      <c r="A18716" t="s">
        <v>203</v>
      </c>
      <c r="B18716" s="1" t="str">
        <f>HYPERLINK("http://icbcleasing.com","icbcleasing.com")</f>
        <v>icbcleasing.com</v>
      </c>
      <c r="C18716" t="s">
        <v>433</v>
      </c>
      <c r="F18716">
        <v>1.6583628223903401E-8</v>
      </c>
      <c r="G18716">
        <v>3393321</v>
      </c>
      <c r="H18716">
        <v>13098351</v>
      </c>
      <c r="I18716">
        <v>12114026</v>
      </c>
      <c r="J18716">
        <v>3</v>
      </c>
    </row>
    <row r="18717" spans="1:10" x14ac:dyDescent="0.25">
      <c r="A18717" t="s">
        <v>203</v>
      </c>
      <c r="B18717" s="1" t="str">
        <f>HYPERLINK("http://icbclondon.com","icbclondon.com")</f>
        <v>icbclondon.com</v>
      </c>
      <c r="C18717" t="s">
        <v>433</v>
      </c>
      <c r="F18717">
        <v>3.9369254410710197E-8</v>
      </c>
      <c r="G18717">
        <v>1310875</v>
      </c>
      <c r="H18717">
        <v>13280214</v>
      </c>
      <c r="I18717">
        <v>10914757</v>
      </c>
      <c r="J18717">
        <v>3</v>
      </c>
    </row>
    <row r="18718" spans="1:10" x14ac:dyDescent="0.25">
      <c r="A18718" t="s">
        <v>203</v>
      </c>
      <c r="B18718" s="1" t="str">
        <f>HYPERLINK("http://icbcstandard.com","icbcstandard.com")</f>
        <v>icbcstandard.com</v>
      </c>
      <c r="C18718" t="s">
        <v>433</v>
      </c>
      <c r="F18718">
        <v>1.8624366809352901E-8</v>
      </c>
      <c r="G18718">
        <v>2902907</v>
      </c>
      <c r="H18718">
        <v>12802131</v>
      </c>
      <c r="I18718">
        <v>14628956</v>
      </c>
      <c r="J18718">
        <v>2</v>
      </c>
    </row>
    <row r="18719" spans="1:10" x14ac:dyDescent="0.25">
      <c r="A18719" t="s">
        <v>203</v>
      </c>
      <c r="B18719" s="1" t="str">
        <f>HYPERLINK("http://icbcstandardbank.com","icbcstandardbank.com")</f>
        <v>icbcstandardbank.com</v>
      </c>
      <c r="C18719" t="s">
        <v>433</v>
      </c>
      <c r="F18719">
        <v>1.7380819240851E-8</v>
      </c>
      <c r="G18719">
        <v>3179654</v>
      </c>
      <c r="H18719">
        <v>13146165</v>
      </c>
      <c r="I18719">
        <v>11844480</v>
      </c>
      <c r="J18719">
        <v>3</v>
      </c>
    </row>
    <row r="18720" spans="1:10" x14ac:dyDescent="0.25">
      <c r="A18720" t="s">
        <v>203</v>
      </c>
      <c r="B18720" s="1" t="str">
        <f>HYPERLINK("http://icbcthai.com","icbcthai.com")</f>
        <v>icbcthai.com</v>
      </c>
      <c r="C18720" t="s">
        <v>433</v>
      </c>
      <c r="F18720">
        <v>5.8167774968594698E-8</v>
      </c>
      <c r="G18720">
        <v>765106</v>
      </c>
      <c r="H18720">
        <v>14084504</v>
      </c>
      <c r="I18720">
        <v>2786869</v>
      </c>
      <c r="J18720">
        <v>4</v>
      </c>
    </row>
    <row r="18721" spans="1:10" x14ac:dyDescent="0.25">
      <c r="A18721" t="s">
        <v>203</v>
      </c>
      <c r="B18721" s="1" t="str">
        <f>HYPERLINK("http://icbc.de","icbc.de")</f>
        <v>icbc.de</v>
      </c>
      <c r="C18721" t="s">
        <v>436</v>
      </c>
      <c r="D18721" t="s">
        <v>815</v>
      </c>
      <c r="F18721">
        <v>4.4162369028780503E-8</v>
      </c>
      <c r="G18721">
        <v>1076180</v>
      </c>
      <c r="H18721">
        <v>12287696</v>
      </c>
      <c r="I18721">
        <v>21161747</v>
      </c>
      <c r="J18721">
        <v>2</v>
      </c>
    </row>
    <row r="18722" spans="1:10" x14ac:dyDescent="0.25">
      <c r="A18722" t="s">
        <v>203</v>
      </c>
      <c r="B18722" s="1" t="str">
        <f>HYPERLINK("http://icbccs.com.hk","icbccs.com.hk")</f>
        <v>icbccs.com.hk</v>
      </c>
      <c r="C18722" t="s">
        <v>450</v>
      </c>
      <c r="D18722" t="s">
        <v>827</v>
      </c>
      <c r="F18722">
        <v>6.2501079700350302E-9</v>
      </c>
      <c r="G18722">
        <v>15274922</v>
      </c>
      <c r="H18722">
        <v>12560417</v>
      </c>
      <c r="I18722">
        <v>16709169</v>
      </c>
      <c r="J18722">
        <v>4</v>
      </c>
    </row>
    <row r="18723" spans="1:10" x14ac:dyDescent="0.25">
      <c r="A18723" t="s">
        <v>203</v>
      </c>
      <c r="B18723" s="1" t="str">
        <f>HYPERLINK("http://icbci.com.hk","icbci.com.hk")</f>
        <v>icbci.com.hk</v>
      </c>
      <c r="C18723" t="s">
        <v>450</v>
      </c>
      <c r="D18723" t="s">
        <v>827</v>
      </c>
      <c r="F18723">
        <v>1.10404159360669E-8</v>
      </c>
      <c r="G18723">
        <v>5829416</v>
      </c>
      <c r="H18723">
        <v>12747733</v>
      </c>
      <c r="I18723">
        <v>15063561</v>
      </c>
      <c r="J18723">
        <v>3</v>
      </c>
    </row>
    <row r="18724" spans="1:10" x14ac:dyDescent="0.25">
      <c r="A18724" t="s">
        <v>203</v>
      </c>
      <c r="B18724" s="1" t="str">
        <f>HYPERLINK("http://icbc.co.id","icbc.co.id")</f>
        <v>icbc.co.id</v>
      </c>
      <c r="C18724" t="s">
        <v>454</v>
      </c>
      <c r="D18724" t="s">
        <v>831</v>
      </c>
      <c r="F18724">
        <v>3.9997587599058701E-8</v>
      </c>
      <c r="G18724">
        <v>1292453</v>
      </c>
      <c r="H18724">
        <v>14084201</v>
      </c>
      <c r="I18724">
        <v>2788801</v>
      </c>
      <c r="J18724">
        <v>2</v>
      </c>
    </row>
    <row r="18725" spans="1:10" x14ac:dyDescent="0.25">
      <c r="A18725" t="s">
        <v>203</v>
      </c>
      <c r="B18725" s="1" t="str">
        <f>HYPERLINK("http://icbc.co.jp","icbc.co.jp")</f>
        <v>icbc.co.jp</v>
      </c>
      <c r="C18725" t="s">
        <v>461</v>
      </c>
      <c r="D18725" t="s">
        <v>837</v>
      </c>
      <c r="F18725">
        <v>7.0015061286961198E-9</v>
      </c>
      <c r="G18725">
        <v>12307533</v>
      </c>
      <c r="H18725">
        <v>12247413</v>
      </c>
      <c r="I18725">
        <v>22064338</v>
      </c>
      <c r="J18725">
        <v>2</v>
      </c>
    </row>
    <row r="18726" spans="1:10" x14ac:dyDescent="0.25">
      <c r="A18726" t="s">
        <v>203</v>
      </c>
      <c r="B18726" s="1" t="str">
        <f>HYPERLINK("http://icbc.co.kr","icbc.co.kr")</f>
        <v>icbc.co.kr</v>
      </c>
      <c r="C18726" t="s">
        <v>463</v>
      </c>
      <c r="D18726" t="s">
        <v>839</v>
      </c>
      <c r="F18726">
        <v>3.86009288278114E-8</v>
      </c>
      <c r="G18726">
        <v>1335912</v>
      </c>
      <c r="H18726">
        <v>12242429</v>
      </c>
      <c r="I18726">
        <v>22184505</v>
      </c>
      <c r="J18726">
        <v>2</v>
      </c>
    </row>
    <row r="18727" spans="1:10" x14ac:dyDescent="0.25">
      <c r="A18727" t="s">
        <v>203</v>
      </c>
      <c r="B18727" s="1" t="str">
        <f>HYPERLINK("http://icbc.com.mo","icbc.com.mo")</f>
        <v>icbc.com.mo</v>
      </c>
      <c r="C18727" t="s">
        <v>548</v>
      </c>
      <c r="D18727" t="s">
        <v>905</v>
      </c>
      <c r="E18727">
        <v>628404</v>
      </c>
      <c r="F18727">
        <v>5.8245037240426098E-8</v>
      </c>
      <c r="G18727">
        <v>763440</v>
      </c>
      <c r="H18727">
        <v>14088330</v>
      </c>
      <c r="I18727">
        <v>2759163</v>
      </c>
      <c r="J18727">
        <v>2</v>
      </c>
    </row>
    <row r="18728" spans="1:10" x14ac:dyDescent="0.25">
      <c r="A18728" t="s">
        <v>203</v>
      </c>
      <c r="B18728" s="1" t="str">
        <f>HYPERLINK("http://icbc.com.mx","icbc.com.mx")</f>
        <v>icbc.com.mx</v>
      </c>
      <c r="C18728" t="s">
        <v>471</v>
      </c>
      <c r="D18728" t="s">
        <v>847</v>
      </c>
      <c r="F18728">
        <v>3.9431715948174799E-8</v>
      </c>
      <c r="G18728">
        <v>1309038</v>
      </c>
      <c r="H18728">
        <v>14083098</v>
      </c>
      <c r="I18728">
        <v>2795706</v>
      </c>
      <c r="J18728">
        <v>2</v>
      </c>
    </row>
    <row r="18729" spans="1:10" x14ac:dyDescent="0.25">
      <c r="A18729" t="s">
        <v>203</v>
      </c>
      <c r="B18729" s="1" t="str">
        <f>HYPERLINK("http://icbc.com.pk","icbc.com.pk")</f>
        <v>icbc.com.pk</v>
      </c>
      <c r="C18729" t="s">
        <v>485</v>
      </c>
      <c r="D18729" t="s">
        <v>859</v>
      </c>
      <c r="F18729">
        <v>4.4456984153178302E-9</v>
      </c>
      <c r="G18729">
        <v>75022061</v>
      </c>
      <c r="H18729">
        <v>10686509</v>
      </c>
      <c r="I18729">
        <v>42578589</v>
      </c>
      <c r="J18729">
        <v>2</v>
      </c>
    </row>
    <row r="18730" spans="1:10" x14ac:dyDescent="0.25">
      <c r="A18730" t="s">
        <v>203</v>
      </c>
      <c r="B18730" s="1" t="str">
        <f>HYPERLINK("http://icbcmoscow.ru","icbcmoscow.ru")</f>
        <v>icbcmoscow.ru</v>
      </c>
      <c r="C18730" t="s">
        <v>493</v>
      </c>
      <c r="D18730" t="s">
        <v>867</v>
      </c>
      <c r="E18730">
        <v>764385</v>
      </c>
      <c r="F18730">
        <v>5.1947427212111101E-8</v>
      </c>
      <c r="G18730">
        <v>879186</v>
      </c>
      <c r="H18730">
        <v>13206690</v>
      </c>
      <c r="I18730">
        <v>11525817</v>
      </c>
      <c r="J18730">
        <v>3</v>
      </c>
    </row>
    <row r="18731" spans="1:10" x14ac:dyDescent="0.25">
      <c r="A18731" t="s">
        <v>203</v>
      </c>
      <c r="B18731" s="1" t="str">
        <f>HYPERLINK("http://icbc.com.sg","icbc.com.sg")</f>
        <v>icbc.com.sg</v>
      </c>
      <c r="C18731" t="s">
        <v>496</v>
      </c>
      <c r="D18731" t="s">
        <v>870</v>
      </c>
      <c r="F18731">
        <v>4.2518917070337499E-8</v>
      </c>
      <c r="G18731">
        <v>1139293</v>
      </c>
      <c r="H18731">
        <v>12338860</v>
      </c>
      <c r="I18731">
        <v>20030950</v>
      </c>
      <c r="J18731">
        <v>2</v>
      </c>
    </row>
    <row r="18732" spans="1:10" x14ac:dyDescent="0.25">
      <c r="A18732" t="s">
        <v>203</v>
      </c>
      <c r="B18732" s="1" t="str">
        <f>HYPERLINK("http://icbc.com.tr","icbc.com.tr")</f>
        <v>icbc.com.tr</v>
      </c>
      <c r="C18732" t="s">
        <v>502</v>
      </c>
      <c r="D18732" t="s">
        <v>876</v>
      </c>
      <c r="E18732">
        <v>966904</v>
      </c>
      <c r="F18732">
        <v>5.4680681105518401E-8</v>
      </c>
      <c r="G18732">
        <v>824277</v>
      </c>
      <c r="H18732">
        <v>14088958</v>
      </c>
      <c r="I18732">
        <v>2756053</v>
      </c>
      <c r="J18732">
        <v>2</v>
      </c>
    </row>
    <row r="18733" spans="1:10" x14ac:dyDescent="0.25">
      <c r="A18733" t="s">
        <v>203</v>
      </c>
      <c r="B18733" s="1" t="str">
        <f>HYPERLINK("http://icbcportfoy.com.tr","icbcportfoy.com.tr")</f>
        <v>icbcportfoy.com.tr</v>
      </c>
      <c r="C18733" t="s">
        <v>502</v>
      </c>
      <c r="D18733" t="s">
        <v>876</v>
      </c>
      <c r="F18733">
        <v>5.3242098864671202E-9</v>
      </c>
      <c r="G18733">
        <v>23146314</v>
      </c>
      <c r="H18733">
        <v>9936957</v>
      </c>
      <c r="I18733">
        <v>61358325</v>
      </c>
      <c r="J18733">
        <v>4</v>
      </c>
    </row>
    <row r="18734" spans="1:10" x14ac:dyDescent="0.25">
      <c r="A18734" t="s">
        <v>203</v>
      </c>
      <c r="B18734" s="1" t="str">
        <f>HYPERLINK("http://icbcyatirim.com.tr","icbcyatirim.com.tr")</f>
        <v>icbcyatirim.com.tr</v>
      </c>
      <c r="C18734" t="s">
        <v>502</v>
      </c>
      <c r="D18734" t="s">
        <v>876</v>
      </c>
      <c r="F18734">
        <v>5.5309840124878E-9</v>
      </c>
      <c r="G18734">
        <v>20573740</v>
      </c>
      <c r="H18734">
        <v>12018190</v>
      </c>
      <c r="I18734">
        <v>27900930</v>
      </c>
      <c r="J18734">
        <v>4</v>
      </c>
    </row>
    <row r="18735" spans="1:10" x14ac:dyDescent="0.25">
      <c r="A18735" t="s">
        <v>204</v>
      </c>
      <c r="B18735" s="1" t="str">
        <f>HYPERLINK("http://schweizer.ag","schweizer.ag")</f>
        <v>schweizer.ag</v>
      </c>
      <c r="C18735" t="s">
        <v>564</v>
      </c>
      <c r="D18735" t="s">
        <v>912</v>
      </c>
      <c r="F18735">
        <v>1.8022642147034402E-8</v>
      </c>
      <c r="G18735">
        <v>3025823</v>
      </c>
      <c r="H18735">
        <v>13885641</v>
      </c>
      <c r="I18735">
        <v>5970280</v>
      </c>
      <c r="J18735">
        <v>3</v>
      </c>
    </row>
    <row r="18736" spans="1:10" x14ac:dyDescent="0.25">
      <c r="A18736" t="s">
        <v>204</v>
      </c>
      <c r="B18736" s="1" t="str">
        <f>HYPERLINK("http://xmos.ai","xmos.ai")</f>
        <v>xmos.ai</v>
      </c>
      <c r="C18736" t="s">
        <v>524</v>
      </c>
      <c r="D18736" t="s">
        <v>892</v>
      </c>
      <c r="E18736">
        <v>646972</v>
      </c>
      <c r="F18736">
        <v>1.01811605447157E-7</v>
      </c>
      <c r="G18736">
        <v>394690</v>
      </c>
      <c r="H18736">
        <v>15095125</v>
      </c>
      <c r="I18736">
        <v>407208</v>
      </c>
      <c r="J18736">
        <v>4</v>
      </c>
    </row>
    <row r="18737" spans="1:10" x14ac:dyDescent="0.25">
      <c r="A18737" t="s">
        <v>204</v>
      </c>
      <c r="B18737" s="1" t="str">
        <f>HYPERLINK("http://k-ai.at","k-ai.at")</f>
        <v>k-ai.at</v>
      </c>
      <c r="C18737" t="s">
        <v>419</v>
      </c>
      <c r="D18737" t="s">
        <v>801</v>
      </c>
      <c r="F18737">
        <v>1.7223345438441402E-8</v>
      </c>
      <c r="G18737">
        <v>3218834</v>
      </c>
      <c r="H18737">
        <v>14065927</v>
      </c>
      <c r="I18737">
        <v>3734631</v>
      </c>
      <c r="J18737">
        <v>3</v>
      </c>
    </row>
    <row r="18738" spans="1:10" x14ac:dyDescent="0.25">
      <c r="A18738" t="s">
        <v>204</v>
      </c>
      <c r="B18738" s="1" t="str">
        <f>HYPERLINK("http://infineon.cn","infineon.cn")</f>
        <v>infineon.cn</v>
      </c>
      <c r="C18738" t="s">
        <v>431</v>
      </c>
      <c r="D18738" t="s">
        <v>812</v>
      </c>
      <c r="F18738">
        <v>8.4872362158592702E-9</v>
      </c>
      <c r="G18738">
        <v>8870008</v>
      </c>
      <c r="H18738">
        <v>11576468</v>
      </c>
      <c r="I18738">
        <v>29948941</v>
      </c>
      <c r="J18738">
        <v>2</v>
      </c>
    </row>
    <row r="18739" spans="1:10" x14ac:dyDescent="0.25">
      <c r="A18739" t="s">
        <v>204</v>
      </c>
      <c r="B18739" s="1" t="str">
        <f>HYPERLINK("http://agigatech.com","agigatech.com")</f>
        <v>agigatech.com</v>
      </c>
      <c r="C18739" t="s">
        <v>433</v>
      </c>
      <c r="F18739">
        <v>1.5569909672899699E-8</v>
      </c>
      <c r="G18739">
        <v>3664713</v>
      </c>
      <c r="H18739">
        <v>14416657</v>
      </c>
      <c r="I18739">
        <v>1101734</v>
      </c>
      <c r="J18739">
        <v>3</v>
      </c>
    </row>
    <row r="18740" spans="1:10" x14ac:dyDescent="0.25">
      <c r="A18740" t="s">
        <v>204</v>
      </c>
      <c r="B18740" s="1" t="str">
        <f>HYPERLINK("http://celis-semi.com","celis-semi.com")</f>
        <v>celis-semi.com</v>
      </c>
      <c r="C18740" t="s">
        <v>433</v>
      </c>
      <c r="F18740">
        <v>4.4977169975279103E-9</v>
      </c>
      <c r="G18740">
        <v>59285234</v>
      </c>
      <c r="H18740">
        <v>11121278</v>
      </c>
      <c r="I18740">
        <v>32035353</v>
      </c>
      <c r="J18740">
        <v>3</v>
      </c>
    </row>
    <row r="18741" spans="1:10" x14ac:dyDescent="0.25">
      <c r="A18741" t="s">
        <v>204</v>
      </c>
      <c r="B18741" s="1" t="str">
        <f>HYPERLINK("http://chilsemi.com","chilsemi.com")</f>
        <v>chilsemi.com</v>
      </c>
      <c r="C18741" t="s">
        <v>433</v>
      </c>
      <c r="F18741">
        <v>5.6253336399130804E-9</v>
      </c>
      <c r="G18741">
        <v>19620075</v>
      </c>
      <c r="H18741">
        <v>12800848</v>
      </c>
      <c r="I18741">
        <v>14634898</v>
      </c>
      <c r="J18741">
        <v>5</v>
      </c>
    </row>
    <row r="18742" spans="1:10" x14ac:dyDescent="0.25">
      <c r="A18742" t="s">
        <v>204</v>
      </c>
      <c r="B18742" s="1" t="str">
        <f>HYPERLINK("http://cypress.com","cypress.com")</f>
        <v>cypress.com</v>
      </c>
      <c r="C18742" t="s">
        <v>433</v>
      </c>
      <c r="E18742">
        <v>27121</v>
      </c>
      <c r="F18742">
        <v>1.00516258110534E-6</v>
      </c>
      <c r="G18742">
        <v>38075</v>
      </c>
      <c r="H18742">
        <v>17492164</v>
      </c>
      <c r="I18742">
        <v>14054</v>
      </c>
      <c r="J18742">
        <v>3</v>
      </c>
    </row>
    <row r="18743" spans="1:10" x14ac:dyDescent="0.25">
      <c r="A18743" t="s">
        <v>204</v>
      </c>
      <c r="B18743" s="1" t="str">
        <f>HYPERLINK("http://cypresscreekpersonnel.com","cypresscreekpersonnel.com")</f>
        <v>cypresscreekpersonnel.com</v>
      </c>
      <c r="C18743" t="s">
        <v>433</v>
      </c>
      <c r="F18743">
        <v>6.2389511536160298E-9</v>
      </c>
      <c r="G18743">
        <v>15329992</v>
      </c>
      <c r="H18743">
        <v>13771831</v>
      </c>
      <c r="I18743">
        <v>6680606</v>
      </c>
      <c r="J18743">
        <v>6</v>
      </c>
    </row>
    <row r="18744" spans="1:10" x14ac:dyDescent="0.25">
      <c r="A18744" t="s">
        <v>204</v>
      </c>
      <c r="B18744" s="1" t="str">
        <f>HYPERLINK("http://cyress.com","cyress.com")</f>
        <v>cyress.com</v>
      </c>
      <c r="C18744" t="s">
        <v>433</v>
      </c>
      <c r="F18744">
        <v>4.7003714707101003E-9</v>
      </c>
      <c r="G18744">
        <v>41214570</v>
      </c>
      <c r="H18744">
        <v>10306962</v>
      </c>
      <c r="I18744">
        <v>58428826</v>
      </c>
      <c r="J18744">
        <v>3</v>
      </c>
    </row>
    <row r="18745" spans="1:10" x14ac:dyDescent="0.25">
      <c r="A18745" t="s">
        <v>204</v>
      </c>
      <c r="B18745" s="1" t="str">
        <f>HYPERLINK("http://hitex.com","hitex.com")</f>
        <v>hitex.com</v>
      </c>
      <c r="C18745" t="s">
        <v>433</v>
      </c>
      <c r="E18745">
        <v>653275</v>
      </c>
      <c r="F18745">
        <v>1.00089131533584E-7</v>
      </c>
      <c r="G18745">
        <v>401968</v>
      </c>
      <c r="H18745">
        <v>14447747</v>
      </c>
      <c r="I18745">
        <v>1055427</v>
      </c>
      <c r="J18745">
        <v>3</v>
      </c>
    </row>
    <row r="18746" spans="1:10" x14ac:dyDescent="0.25">
      <c r="A18746" t="s">
        <v>204</v>
      </c>
      <c r="B18746" s="1" t="str">
        <f>HYPERLINK("http://infineon.com","infineon.com")</f>
        <v>infineon.com</v>
      </c>
      <c r="C18746" t="s">
        <v>433</v>
      </c>
      <c r="E18746">
        <v>9708</v>
      </c>
      <c r="F18746">
        <v>2.3950406602397502E-6</v>
      </c>
      <c r="G18746">
        <v>15515</v>
      </c>
      <c r="H18746">
        <v>16028784</v>
      </c>
      <c r="I18746">
        <v>366239</v>
      </c>
      <c r="J18746">
        <v>1</v>
      </c>
    </row>
    <row r="18747" spans="1:10" x14ac:dyDescent="0.25">
      <c r="A18747" t="s">
        <v>204</v>
      </c>
      <c r="B18747" s="1" t="str">
        <f>HYPERLINK("http://irf.com","irf.com")</f>
        <v>irf.com</v>
      </c>
      <c r="C18747" t="s">
        <v>433</v>
      </c>
      <c r="E18747">
        <v>121287</v>
      </c>
      <c r="F18747">
        <v>2.33554326916533E-7</v>
      </c>
      <c r="G18747">
        <v>160557</v>
      </c>
      <c r="H18747">
        <v>17191196</v>
      </c>
      <c r="I18747">
        <v>43394</v>
      </c>
      <c r="J18747">
        <v>4</v>
      </c>
    </row>
    <row r="18748" spans="1:10" x14ac:dyDescent="0.25">
      <c r="A18748" t="s">
        <v>204</v>
      </c>
      <c r="B18748" s="1" t="str">
        <f>HYPERLINK("http://laranetworks.com","laranetworks.com")</f>
        <v>laranetworks.com</v>
      </c>
      <c r="C18748" t="s">
        <v>433</v>
      </c>
      <c r="F18748">
        <v>4.9283094055832604E-9</v>
      </c>
      <c r="G18748">
        <v>31429807</v>
      </c>
      <c r="H18748">
        <v>12382607</v>
      </c>
      <c r="I18748">
        <v>19162968</v>
      </c>
      <c r="J18748">
        <v>6</v>
      </c>
    </row>
    <row r="18749" spans="1:10" x14ac:dyDescent="0.25">
      <c r="A18749" t="s">
        <v>204</v>
      </c>
      <c r="B18749" s="1" t="str">
        <f>HYPERLINK("http://lspst.com","lspst.com")</f>
        <v>lspst.com</v>
      </c>
      <c r="C18749" t="s">
        <v>433</v>
      </c>
      <c r="F18749">
        <v>4.8357021782193498E-9</v>
      </c>
      <c r="G18749">
        <v>34633069</v>
      </c>
      <c r="H18749">
        <v>10666332</v>
      </c>
      <c r="I18749">
        <v>43096522</v>
      </c>
      <c r="J18749">
        <v>3</v>
      </c>
    </row>
    <row r="18750" spans="1:10" x14ac:dyDescent="0.25">
      <c r="A18750" t="s">
        <v>204</v>
      </c>
      <c r="B18750" s="1" t="str">
        <f>HYPERLINK("http://merus-audio.com","merus-audio.com")</f>
        <v>merus-audio.com</v>
      </c>
      <c r="C18750" t="s">
        <v>433</v>
      </c>
      <c r="F18750">
        <v>5.3714640324900899E-9</v>
      </c>
      <c r="G18750">
        <v>22522966</v>
      </c>
      <c r="H18750">
        <v>12416115</v>
      </c>
      <c r="I18750">
        <v>18526110</v>
      </c>
      <c r="J18750">
        <v>3</v>
      </c>
    </row>
    <row r="18751" spans="1:10" x14ac:dyDescent="0.25">
      <c r="A18751" t="s">
        <v>204</v>
      </c>
      <c r="B18751" s="1" t="str">
        <f>HYPERLINK("http://primarion.com","primarion.com")</f>
        <v>primarion.com</v>
      </c>
      <c r="C18751" t="s">
        <v>433</v>
      </c>
      <c r="F18751">
        <v>6.3142755380253203E-9</v>
      </c>
      <c r="G18751">
        <v>14963726</v>
      </c>
      <c r="H18751">
        <v>12812359</v>
      </c>
      <c r="I18751">
        <v>14578457</v>
      </c>
      <c r="J18751">
        <v>5</v>
      </c>
    </row>
    <row r="18752" spans="1:10" x14ac:dyDescent="0.25">
      <c r="A18752" t="s">
        <v>204</v>
      </c>
      <c r="B18752" s="1" t="str">
        <f>HYPERLINK("http://qimonda.com","qimonda.com")</f>
        <v>qimonda.com</v>
      </c>
      <c r="C18752" t="s">
        <v>433</v>
      </c>
      <c r="F18752">
        <v>2.7102025439854301E-8</v>
      </c>
      <c r="G18752">
        <v>1897573</v>
      </c>
      <c r="H18752">
        <v>14511505</v>
      </c>
      <c r="I18752">
        <v>821272</v>
      </c>
      <c r="J18752">
        <v>4</v>
      </c>
    </row>
    <row r="18753" spans="1:10" x14ac:dyDescent="0.25">
      <c r="A18753" t="s">
        <v>204</v>
      </c>
      <c r="B18753" s="1" t="str">
        <f>HYPERLINK("http://ramtron.com","ramtron.com")</f>
        <v>ramtron.com</v>
      </c>
      <c r="C18753" t="s">
        <v>433</v>
      </c>
      <c r="F18753">
        <v>4.8937446951771E-8</v>
      </c>
      <c r="G18753">
        <v>946682</v>
      </c>
      <c r="H18753">
        <v>14592565</v>
      </c>
      <c r="I18753">
        <v>693374</v>
      </c>
      <c r="J18753">
        <v>3</v>
      </c>
    </row>
    <row r="18754" spans="1:10" x14ac:dyDescent="0.25">
      <c r="A18754" t="s">
        <v>204</v>
      </c>
      <c r="B18754" s="1" t="str">
        <f>HYPERLINK("http://siltectra.com","siltectra.com")</f>
        <v>siltectra.com</v>
      </c>
      <c r="C18754" t="s">
        <v>433</v>
      </c>
      <c r="F18754">
        <v>7.7827923374580494E-9</v>
      </c>
      <c r="G18754">
        <v>10362063</v>
      </c>
      <c r="H18754">
        <v>12643921</v>
      </c>
      <c r="I18754">
        <v>15841501</v>
      </c>
      <c r="J18754">
        <v>3</v>
      </c>
    </row>
    <row r="18755" spans="1:10" x14ac:dyDescent="0.25">
      <c r="A18755" t="s">
        <v>204</v>
      </c>
      <c r="B18755" s="1" t="str">
        <f>HYPERLINK("http://tttech-auto.com","tttech-auto.com")</f>
        <v>tttech-auto.com</v>
      </c>
      <c r="C18755" t="s">
        <v>433</v>
      </c>
      <c r="F18755">
        <v>5.2059067146036303E-8</v>
      </c>
      <c r="G18755">
        <v>877057</v>
      </c>
      <c r="H18755">
        <v>14104991</v>
      </c>
      <c r="I18755">
        <v>2692095</v>
      </c>
      <c r="J18755">
        <v>3</v>
      </c>
    </row>
    <row r="18756" spans="1:10" x14ac:dyDescent="0.25">
      <c r="A18756" t="s">
        <v>204</v>
      </c>
      <c r="B18756" s="1" t="str">
        <f>HYPERLINK("http://vitiny.com","vitiny.com")</f>
        <v>vitiny.com</v>
      </c>
      <c r="C18756" t="s">
        <v>433</v>
      </c>
      <c r="F18756">
        <v>5.4405684198957504E-9</v>
      </c>
      <c r="G18756">
        <v>21611173</v>
      </c>
      <c r="H18756">
        <v>12011371</v>
      </c>
      <c r="I18756">
        <v>28043893</v>
      </c>
      <c r="J18756">
        <v>3</v>
      </c>
    </row>
    <row r="18757" spans="1:10" x14ac:dyDescent="0.25">
      <c r="A18757" t="s">
        <v>204</v>
      </c>
      <c r="B18757" s="1" t="str">
        <f>HYPERLINK("http://xmos.com","xmos.com")</f>
        <v>xmos.com</v>
      </c>
      <c r="C18757" t="s">
        <v>433</v>
      </c>
      <c r="E18757">
        <v>379029</v>
      </c>
      <c r="F18757">
        <v>1.5080847549523799E-7</v>
      </c>
      <c r="G18757">
        <v>257579</v>
      </c>
      <c r="H18757">
        <v>14831235</v>
      </c>
      <c r="I18757">
        <v>505211</v>
      </c>
      <c r="J18757">
        <v>3</v>
      </c>
    </row>
    <row r="18758" spans="1:10" x14ac:dyDescent="0.25">
      <c r="A18758" t="s">
        <v>204</v>
      </c>
      <c r="B18758" s="1" t="str">
        <f>HYPERLINK("http://futurium.de","futurium.de")</f>
        <v>futurium.de</v>
      </c>
      <c r="C18758" t="s">
        <v>436</v>
      </c>
      <c r="D18758" t="s">
        <v>815</v>
      </c>
      <c r="E18758">
        <v>590534</v>
      </c>
      <c r="F18758">
        <v>3.38577454394877E-7</v>
      </c>
      <c r="G18758">
        <v>110196</v>
      </c>
      <c r="H18758">
        <v>14944384</v>
      </c>
      <c r="I18758">
        <v>442415</v>
      </c>
      <c r="J18758">
        <v>3</v>
      </c>
    </row>
    <row r="18759" spans="1:10" x14ac:dyDescent="0.25">
      <c r="A18759" t="s">
        <v>204</v>
      </c>
      <c r="B18759" s="1" t="str">
        <f>HYPERLINK("http://hitex.de","hitex.de")</f>
        <v>hitex.de</v>
      </c>
      <c r="C18759" t="s">
        <v>436</v>
      </c>
      <c r="D18759" t="s">
        <v>815</v>
      </c>
      <c r="F18759">
        <v>1.8182987508495601E-8</v>
      </c>
      <c r="G18759">
        <v>2991500</v>
      </c>
      <c r="H18759">
        <v>14089351</v>
      </c>
      <c r="I18759">
        <v>2754345</v>
      </c>
      <c r="J18759">
        <v>4</v>
      </c>
    </row>
    <row r="18760" spans="1:10" x14ac:dyDescent="0.25">
      <c r="A18760" t="s">
        <v>204</v>
      </c>
      <c r="B18760" s="1" t="str">
        <f>HYPERLINK("http://infineon.de","infineon.de")</f>
        <v>infineon.de</v>
      </c>
      <c r="C18760" t="s">
        <v>436</v>
      </c>
      <c r="D18760" t="s">
        <v>815</v>
      </c>
      <c r="F18760">
        <v>2.5323189490557701E-8</v>
      </c>
      <c r="G18760">
        <v>2037617</v>
      </c>
      <c r="H18760">
        <v>14385901</v>
      </c>
      <c r="I18760">
        <v>1178674</v>
      </c>
      <c r="J18760">
        <v>2</v>
      </c>
    </row>
    <row r="18761" spans="1:10" x14ac:dyDescent="0.25">
      <c r="A18761" t="s">
        <v>204</v>
      </c>
      <c r="B18761" s="1" t="str">
        <f>HYPERLINK("http://kfe-lippstadt.de","kfe-lippstadt.de")</f>
        <v>kfe-lippstadt.de</v>
      </c>
      <c r="C18761" t="s">
        <v>436</v>
      </c>
      <c r="D18761" t="s">
        <v>815</v>
      </c>
      <c r="F18761">
        <v>1.1920792024701399E-8</v>
      </c>
      <c r="G18761">
        <v>5224595</v>
      </c>
      <c r="H18761">
        <v>12072229</v>
      </c>
      <c r="I18761">
        <v>26745422</v>
      </c>
      <c r="J18761">
        <v>3</v>
      </c>
    </row>
    <row r="18762" spans="1:10" x14ac:dyDescent="0.25">
      <c r="A18762" t="s">
        <v>204</v>
      </c>
      <c r="B18762" s="1" t="str">
        <f>HYPERLINK("http://moto-pm.de","moto-pm.de")</f>
        <v>moto-pm.de</v>
      </c>
      <c r="C18762" t="s">
        <v>436</v>
      </c>
      <c r="D18762" t="s">
        <v>815</v>
      </c>
      <c r="F18762">
        <v>5.3913416123794302E-9</v>
      </c>
      <c r="G18762">
        <v>22229613</v>
      </c>
      <c r="H18762">
        <v>11975758</v>
      </c>
      <c r="I18762">
        <v>28559733</v>
      </c>
      <c r="J18762">
        <v>3</v>
      </c>
    </row>
    <row r="18763" spans="1:10" x14ac:dyDescent="0.25">
      <c r="A18763" t="s">
        <v>204</v>
      </c>
      <c r="B18763" s="1" t="str">
        <f>HYPERLINK("http://infineon.fi","infineon.fi")</f>
        <v>infineon.fi</v>
      </c>
      <c r="C18763" t="s">
        <v>445</v>
      </c>
      <c r="D18763" t="s">
        <v>823</v>
      </c>
      <c r="J18763">
        <v>2</v>
      </c>
    </row>
    <row r="18764" spans="1:10" x14ac:dyDescent="0.25">
      <c r="A18764" t="s">
        <v>204</v>
      </c>
      <c r="B18764" s="1" t="str">
        <f>HYPERLINK("http://industrial-analytics.io","industrial-analytics.io")</f>
        <v>industrial-analytics.io</v>
      </c>
      <c r="C18764" t="s">
        <v>518</v>
      </c>
      <c r="F18764">
        <v>2.76049101091453E-8</v>
      </c>
      <c r="G18764">
        <v>1862499</v>
      </c>
      <c r="H18764">
        <v>13024428</v>
      </c>
      <c r="I18764">
        <v>12695813</v>
      </c>
      <c r="J18764">
        <v>3</v>
      </c>
    </row>
    <row r="18765" spans="1:10" x14ac:dyDescent="0.25">
      <c r="A18765" t="s">
        <v>204</v>
      </c>
      <c r="B18765" s="1" t="str">
        <f>HYPERLINK("http://infineon.io","infineon.io")</f>
        <v>infineon.io</v>
      </c>
      <c r="C18765" t="s">
        <v>518</v>
      </c>
      <c r="F18765">
        <v>7.2444639951203797E-9</v>
      </c>
      <c r="G18765">
        <v>11619671</v>
      </c>
      <c r="H18765">
        <v>12526779</v>
      </c>
      <c r="I18765">
        <v>17079546</v>
      </c>
      <c r="J18765">
        <v>2</v>
      </c>
    </row>
    <row r="18766" spans="1:10" x14ac:dyDescent="0.25">
      <c r="A18766" t="s">
        <v>204</v>
      </c>
      <c r="B18766" s="1" t="str">
        <f>HYPERLINK("http://infineon.jp","infineon.jp")</f>
        <v>infineon.jp</v>
      </c>
      <c r="C18766" t="s">
        <v>461</v>
      </c>
      <c r="D18766" t="s">
        <v>837</v>
      </c>
      <c r="F18766">
        <v>4.9217643723113403E-9</v>
      </c>
      <c r="G18766">
        <v>31632106</v>
      </c>
      <c r="H18766">
        <v>11183510</v>
      </c>
      <c r="I18766">
        <v>31405821</v>
      </c>
      <c r="J18766">
        <v>2</v>
      </c>
    </row>
    <row r="18767" spans="1:10" x14ac:dyDescent="0.25">
      <c r="A18767" t="s">
        <v>204</v>
      </c>
      <c r="B18767" s="1" t="str">
        <f>HYPERLINK("http://hitex.co.uk","hitex.co.uk")</f>
        <v>hitex.co.uk</v>
      </c>
      <c r="C18767" t="s">
        <v>506</v>
      </c>
      <c r="D18767" t="s">
        <v>880</v>
      </c>
      <c r="F18767">
        <v>2.36331976669761E-8</v>
      </c>
      <c r="G18767">
        <v>2200420</v>
      </c>
      <c r="H18767">
        <v>14075647</v>
      </c>
      <c r="I18767">
        <v>2903928</v>
      </c>
      <c r="J18767">
        <v>4</v>
      </c>
    </row>
    <row r="18768" spans="1:10" x14ac:dyDescent="0.25">
      <c r="A18768" t="s">
        <v>205</v>
      </c>
      <c r="B18768" s="1" t="str">
        <f>HYPERLINK("http://oddity.agency","oddity.agency")</f>
        <v>oddity.agency</v>
      </c>
      <c r="C18768" t="s">
        <v>742</v>
      </c>
      <c r="E18768">
        <v>813291</v>
      </c>
      <c r="F18768">
        <v>1.15779360485117E-8</v>
      </c>
      <c r="G18768">
        <v>5448647</v>
      </c>
      <c r="H18768">
        <v>12471044</v>
      </c>
      <c r="I18768">
        <v>17737658</v>
      </c>
      <c r="J18768">
        <v>3</v>
      </c>
    </row>
    <row r="18769" spans="1:10" x14ac:dyDescent="0.25">
      <c r="A18769" t="s">
        <v>205</v>
      </c>
      <c r="B18769" s="1" t="str">
        <f>HYPERLINK("http://blueacorn.co","blueacorn.co")</f>
        <v>blueacorn.co</v>
      </c>
      <c r="C18769" t="s">
        <v>432</v>
      </c>
      <c r="F18769">
        <v>1.2448944825462701E-8</v>
      </c>
      <c r="G18769">
        <v>4912906</v>
      </c>
      <c r="H18769">
        <v>13944150</v>
      </c>
      <c r="I18769">
        <v>4305195</v>
      </c>
      <c r="J18769">
        <v>8</v>
      </c>
    </row>
    <row r="18770" spans="1:10" x14ac:dyDescent="0.25">
      <c r="A18770" t="s">
        <v>205</v>
      </c>
      <c r="B18770" s="1" t="str">
        <f>HYPERLINK("http://blueacorn.com","blueacorn.com")</f>
        <v>blueacorn.com</v>
      </c>
      <c r="C18770" t="s">
        <v>433</v>
      </c>
      <c r="F18770">
        <v>2.7242816730393001E-7</v>
      </c>
      <c r="G18770">
        <v>136591</v>
      </c>
      <c r="H18770">
        <v>17055834</v>
      </c>
      <c r="I18770">
        <v>75082</v>
      </c>
      <c r="J18770">
        <v>8</v>
      </c>
    </row>
    <row r="18771" spans="1:10" x14ac:dyDescent="0.25">
      <c r="A18771" t="s">
        <v>205</v>
      </c>
      <c r="B18771" s="1" t="str">
        <f>HYPERLINK("http://blueacornici.com","blueacornici.com")</f>
        <v>blueacornici.com</v>
      </c>
      <c r="C18771" t="s">
        <v>433</v>
      </c>
      <c r="E18771">
        <v>871527</v>
      </c>
      <c r="F18771">
        <v>5.0542479720677897E-7</v>
      </c>
      <c r="G18771">
        <v>75718</v>
      </c>
      <c r="H18771">
        <v>14059482</v>
      </c>
      <c r="I18771">
        <v>3887308</v>
      </c>
      <c r="J18771">
        <v>5</v>
      </c>
    </row>
    <row r="18772" spans="1:10" x14ac:dyDescent="0.25">
      <c r="A18772" t="s">
        <v>205</v>
      </c>
      <c r="B18772" s="1" t="str">
        <f>HYPERLINK("http://cloutpartners.com","cloutpartners.com")</f>
        <v>cloutpartners.com</v>
      </c>
      <c r="C18772" t="s">
        <v>433</v>
      </c>
      <c r="F18772">
        <v>5.4414459107198103E-9</v>
      </c>
      <c r="G18772">
        <v>21600828</v>
      </c>
      <c r="H18772">
        <v>12259244</v>
      </c>
      <c r="I18772">
        <v>21789454</v>
      </c>
      <c r="J18772">
        <v>3</v>
      </c>
    </row>
    <row r="18773" spans="1:10" x14ac:dyDescent="0.25">
      <c r="A18773" t="s">
        <v>205</v>
      </c>
      <c r="B18773" s="1" t="str">
        <f>HYPERLINK("http://edgeverve.com","edgeverve.com")</f>
        <v>edgeverve.com</v>
      </c>
      <c r="C18773" t="s">
        <v>433</v>
      </c>
      <c r="E18773">
        <v>244441</v>
      </c>
      <c r="F18773">
        <v>2.4177430366044902E-7</v>
      </c>
      <c r="G18773">
        <v>154754</v>
      </c>
      <c r="H18773">
        <v>14905145</v>
      </c>
      <c r="I18773">
        <v>460830</v>
      </c>
      <c r="J18773">
        <v>4</v>
      </c>
    </row>
    <row r="18774" spans="1:10" x14ac:dyDescent="0.25">
      <c r="A18774" t="s">
        <v>205</v>
      </c>
      <c r="B18774" s="1" t="str">
        <f>HYPERLINK("http://fluidogroup.com","fluidogroup.com")</f>
        <v>fluidogroup.com</v>
      </c>
      <c r="C18774" t="s">
        <v>433</v>
      </c>
      <c r="F18774">
        <v>3.3339780960266597E-8</v>
      </c>
      <c r="G18774">
        <v>1550200</v>
      </c>
      <c r="H18774">
        <v>13221315</v>
      </c>
      <c r="I18774">
        <v>11328127</v>
      </c>
      <c r="J18774">
        <v>3</v>
      </c>
    </row>
    <row r="18775" spans="1:10" x14ac:dyDescent="0.25">
      <c r="A18775" t="s">
        <v>205</v>
      </c>
      <c r="B18775" s="1" t="str">
        <f>HYPERLINK("http://icidigital.com","icidigital.com")</f>
        <v>icidigital.com</v>
      </c>
      <c r="C18775" t="s">
        <v>433</v>
      </c>
      <c r="F18775">
        <v>7.3670332520448195E-8</v>
      </c>
      <c r="G18775">
        <v>571864</v>
      </c>
      <c r="H18775">
        <v>13709958</v>
      </c>
      <c r="I18775">
        <v>9507716</v>
      </c>
      <c r="J18775">
        <v>6</v>
      </c>
    </row>
    <row r="18776" spans="1:10" x14ac:dyDescent="0.25">
      <c r="A18776" t="s">
        <v>205</v>
      </c>
      <c r="B18776" s="1" t="str">
        <f>HYPERLINK("http://infosys.com","infosys.com")</f>
        <v>infosys.com</v>
      </c>
      <c r="C18776" t="s">
        <v>433</v>
      </c>
      <c r="E18776">
        <v>7081</v>
      </c>
      <c r="F18776">
        <v>3.4614842497004299E-6</v>
      </c>
      <c r="G18776">
        <v>11754</v>
      </c>
      <c r="H18776">
        <v>17672568</v>
      </c>
      <c r="I18776">
        <v>7887</v>
      </c>
      <c r="J18776">
        <v>1</v>
      </c>
    </row>
    <row r="18777" spans="1:10" x14ac:dyDescent="0.25">
      <c r="A18777" t="s">
        <v>205</v>
      </c>
      <c r="B18777" s="1" t="str">
        <f>HYPERLINK("http://infosys-platforms.com","infosys-platforms.com")</f>
        <v>infosys-platforms.com</v>
      </c>
      <c r="C18777" t="s">
        <v>433</v>
      </c>
      <c r="E18777">
        <v>653576</v>
      </c>
      <c r="F18777">
        <v>2.0775845388280301E-8</v>
      </c>
      <c r="G18777">
        <v>2546320</v>
      </c>
      <c r="H18777">
        <v>12593938</v>
      </c>
      <c r="I18777">
        <v>16381774</v>
      </c>
      <c r="J18777">
        <v>2</v>
      </c>
    </row>
    <row r="18778" spans="1:10" x14ac:dyDescent="0.25">
      <c r="A18778" t="s">
        <v>205</v>
      </c>
      <c r="B18778" s="1" t="str">
        <f>HYPERLINK("http://infosysapps.com","infosysapps.com")</f>
        <v>infosysapps.com</v>
      </c>
      <c r="C18778" t="s">
        <v>433</v>
      </c>
      <c r="E18778">
        <v>40789</v>
      </c>
      <c r="F18778">
        <v>2.6687413156130601E-8</v>
      </c>
      <c r="G18778">
        <v>1928593</v>
      </c>
      <c r="H18778">
        <v>13793644</v>
      </c>
      <c r="I18778">
        <v>6320980</v>
      </c>
      <c r="J18778">
        <v>2</v>
      </c>
    </row>
    <row r="18779" spans="1:10" x14ac:dyDescent="0.25">
      <c r="A18779" t="s">
        <v>205</v>
      </c>
      <c r="B18779" s="1" t="str">
        <f>HYPERLINK("http://infosysbpm.com","infosysbpm.com")</f>
        <v>infosysbpm.com</v>
      </c>
      <c r="C18779" t="s">
        <v>433</v>
      </c>
      <c r="E18779">
        <v>296081</v>
      </c>
      <c r="F18779">
        <v>8.1263216690745397E-8</v>
      </c>
      <c r="G18779">
        <v>513662</v>
      </c>
      <c r="H18779">
        <v>13571227</v>
      </c>
      <c r="I18779">
        <v>9720284</v>
      </c>
      <c r="J18779">
        <v>4</v>
      </c>
    </row>
    <row r="18780" spans="1:10" x14ac:dyDescent="0.25">
      <c r="A18780" t="s">
        <v>205</v>
      </c>
      <c r="B18780" s="1" t="str">
        <f>HYPERLINK("http://infosysbpo.com","infosysbpo.com")</f>
        <v>infosysbpo.com</v>
      </c>
      <c r="C18780" t="s">
        <v>433</v>
      </c>
      <c r="F18780">
        <v>2.2985783324143E-8</v>
      </c>
      <c r="G18780">
        <v>2273402</v>
      </c>
      <c r="H18780">
        <v>13458358</v>
      </c>
      <c r="I18780">
        <v>10176828</v>
      </c>
      <c r="J18780">
        <v>7</v>
      </c>
    </row>
    <row r="18781" spans="1:10" x14ac:dyDescent="0.25">
      <c r="A18781" t="s">
        <v>205</v>
      </c>
      <c r="B18781" s="1" t="str">
        <f>HYPERLINK("http://infosysconsultinginsights.com","infosysconsultinginsights.com")</f>
        <v>infosysconsultinginsights.com</v>
      </c>
      <c r="C18781" t="s">
        <v>433</v>
      </c>
      <c r="F18781">
        <v>4.1349596394048899E-8</v>
      </c>
      <c r="G18781">
        <v>1213703</v>
      </c>
      <c r="H18781">
        <v>13559730</v>
      </c>
      <c r="I18781">
        <v>9854488</v>
      </c>
      <c r="J18781">
        <v>4</v>
      </c>
    </row>
    <row r="18782" spans="1:10" x14ac:dyDescent="0.25">
      <c r="A18782" t="s">
        <v>205</v>
      </c>
      <c r="B18782" s="1" t="str">
        <f>HYPERLINK("http://infosyshelix.com","infosyshelix.com")</f>
        <v>infosyshelix.com</v>
      </c>
      <c r="C18782" t="s">
        <v>433</v>
      </c>
      <c r="J18782">
        <v>2</v>
      </c>
    </row>
    <row r="18783" spans="1:10" x14ac:dyDescent="0.25">
      <c r="A18783" t="s">
        <v>205</v>
      </c>
      <c r="B18783" s="1" t="str">
        <f>HYPERLINK("http://infosyslodestone.com","infosyslodestone.com")</f>
        <v>infosyslodestone.com</v>
      </c>
      <c r="C18783" t="s">
        <v>433</v>
      </c>
      <c r="F18783">
        <v>5.8007344488238301E-9</v>
      </c>
      <c r="G18783">
        <v>18081018</v>
      </c>
      <c r="H18783">
        <v>11009710</v>
      </c>
      <c r="I18783">
        <v>33411319</v>
      </c>
      <c r="J18783">
        <v>4</v>
      </c>
    </row>
    <row r="18784" spans="1:10" x14ac:dyDescent="0.25">
      <c r="A18784" t="s">
        <v>205</v>
      </c>
      <c r="B18784" s="1" t="str">
        <f>HYPERLINK("http://infosyspublicservices.com","infosyspublicservices.com")</f>
        <v>infosyspublicservices.com</v>
      </c>
      <c r="C18784" t="s">
        <v>433</v>
      </c>
      <c r="F18784">
        <v>5.70502478525103E-8</v>
      </c>
      <c r="G18784">
        <v>782562</v>
      </c>
      <c r="H18784">
        <v>14188364</v>
      </c>
      <c r="I18784">
        <v>1764448</v>
      </c>
      <c r="J18784">
        <v>4</v>
      </c>
    </row>
    <row r="18785" spans="1:10" x14ac:dyDescent="0.25">
      <c r="A18785" t="s">
        <v>205</v>
      </c>
      <c r="B18785" s="1" t="str">
        <f>HYPERLINK("http://lodestonemc.com","lodestonemc.com")</f>
        <v>lodestonemc.com</v>
      </c>
      <c r="C18785" t="s">
        <v>433</v>
      </c>
      <c r="F18785">
        <v>7.6571502474449907E-9</v>
      </c>
      <c r="G18785">
        <v>10670754</v>
      </c>
      <c r="H18785">
        <v>14129847</v>
      </c>
      <c r="I18785">
        <v>2039878</v>
      </c>
      <c r="J18785">
        <v>3</v>
      </c>
    </row>
    <row r="18786" spans="1:10" x14ac:dyDescent="0.25">
      <c r="A18786" t="s">
        <v>205</v>
      </c>
      <c r="B18786" s="1" t="str">
        <f>HYPERLINK("http://mccamish.com","mccamish.com")</f>
        <v>mccamish.com</v>
      </c>
      <c r="C18786" t="s">
        <v>433</v>
      </c>
      <c r="F18786">
        <v>8.1518792528733107E-9</v>
      </c>
      <c r="G18786">
        <v>9652982</v>
      </c>
      <c r="H18786">
        <v>12704577</v>
      </c>
      <c r="I18786">
        <v>15330317</v>
      </c>
      <c r="J18786">
        <v>5</v>
      </c>
    </row>
    <row r="18787" spans="1:10" x14ac:dyDescent="0.25">
      <c r="A18787" t="s">
        <v>205</v>
      </c>
      <c r="B18787" s="1" t="str">
        <f>HYPERLINK("http://neue-bewegung.com","neue-bewegung.com")</f>
        <v>neue-bewegung.com</v>
      </c>
      <c r="C18787" t="s">
        <v>433</v>
      </c>
      <c r="J18787">
        <v>3</v>
      </c>
    </row>
    <row r="18788" spans="1:10" x14ac:dyDescent="0.25">
      <c r="A18788" t="s">
        <v>205</v>
      </c>
      <c r="B18788" s="1" t="str">
        <f>HYPERLINK("http://portlandgroup.com","portlandgroup.com")</f>
        <v>portlandgroup.com</v>
      </c>
      <c r="C18788" t="s">
        <v>433</v>
      </c>
      <c r="F18788">
        <v>4.4487531009454399E-9</v>
      </c>
      <c r="G18788">
        <v>72658655</v>
      </c>
      <c r="H18788">
        <v>11991647</v>
      </c>
      <c r="I18788">
        <v>28358505</v>
      </c>
      <c r="J18788">
        <v>3</v>
      </c>
    </row>
    <row r="18789" spans="1:10" x14ac:dyDescent="0.25">
      <c r="A18789" t="s">
        <v>205</v>
      </c>
      <c r="B18789" s="1" t="str">
        <f>HYPERLINK("http://simplus.com","simplus.com")</f>
        <v>simplus.com</v>
      </c>
      <c r="C18789" t="s">
        <v>433</v>
      </c>
      <c r="E18789">
        <v>756825</v>
      </c>
      <c r="F18789">
        <v>1.00592402006001E-7</v>
      </c>
      <c r="G18789">
        <v>399771</v>
      </c>
      <c r="H18789">
        <v>13779390</v>
      </c>
      <c r="I18789">
        <v>6488045</v>
      </c>
      <c r="J18789">
        <v>4</v>
      </c>
    </row>
    <row r="18790" spans="1:10" x14ac:dyDescent="0.25">
      <c r="A18790" t="s">
        <v>205</v>
      </c>
      <c r="B18790" s="1" t="str">
        <f>HYPERLINK("http://guidevision.cz","guidevision.cz")</f>
        <v>guidevision.cz</v>
      </c>
      <c r="C18790" t="s">
        <v>435</v>
      </c>
      <c r="D18790" t="s">
        <v>814</v>
      </c>
      <c r="F18790">
        <v>5.8536695637450902E-9</v>
      </c>
      <c r="G18790">
        <v>17683957</v>
      </c>
      <c r="H18790">
        <v>10525019</v>
      </c>
      <c r="I18790">
        <v>48939816</v>
      </c>
      <c r="J18790">
        <v>4</v>
      </c>
    </row>
    <row r="18791" spans="1:10" x14ac:dyDescent="0.25">
      <c r="A18791" t="s">
        <v>205</v>
      </c>
      <c r="B18791" s="1" t="str">
        <f>HYPERLINK("http://infosys.digital","infosys.digital")</f>
        <v>infosys.digital</v>
      </c>
      <c r="C18791" t="s">
        <v>543</v>
      </c>
      <c r="F18791">
        <v>8.1928711126680804E-9</v>
      </c>
      <c r="G18791">
        <v>9582903</v>
      </c>
      <c r="H18791">
        <v>12556649</v>
      </c>
      <c r="I18791">
        <v>16758914</v>
      </c>
      <c r="J18791">
        <v>2</v>
      </c>
    </row>
    <row r="18792" spans="1:10" x14ac:dyDescent="0.25">
      <c r="A18792" t="s">
        <v>205</v>
      </c>
      <c r="B18792" s="1" t="str">
        <f>HYPERLINK("http://guidevision.eu","guidevision.eu")</f>
        <v>guidevision.eu</v>
      </c>
      <c r="C18792" t="s">
        <v>444</v>
      </c>
      <c r="F18792">
        <v>1.42802730397797E-8</v>
      </c>
      <c r="G18792">
        <v>4100275</v>
      </c>
      <c r="H18792">
        <v>12661320</v>
      </c>
      <c r="I18792">
        <v>15714133</v>
      </c>
      <c r="J18792">
        <v>3</v>
      </c>
    </row>
    <row r="18793" spans="1:10" x14ac:dyDescent="0.25">
      <c r="A18793" t="s">
        <v>205</v>
      </c>
      <c r="B18793" s="1" t="str">
        <f>HYPERLINK("http://fluido.fi","fluido.fi")</f>
        <v>fluido.fi</v>
      </c>
      <c r="C18793" t="s">
        <v>445</v>
      </c>
      <c r="D18793" t="s">
        <v>823</v>
      </c>
      <c r="F18793">
        <v>1.50720615108076E-8</v>
      </c>
      <c r="G18793">
        <v>3816685</v>
      </c>
      <c r="H18793">
        <v>13070415</v>
      </c>
      <c r="I18793">
        <v>12245636</v>
      </c>
      <c r="J18793">
        <v>2</v>
      </c>
    </row>
    <row r="18794" spans="1:10" x14ac:dyDescent="0.25">
      <c r="A18794" t="s">
        <v>205</v>
      </c>
      <c r="B18794" s="1" t="str">
        <f>HYPERLINK("http://guidevision.fi","guidevision.fi")</f>
        <v>guidevision.fi</v>
      </c>
      <c r="C18794" t="s">
        <v>445</v>
      </c>
      <c r="D18794" t="s">
        <v>823</v>
      </c>
      <c r="F18794">
        <v>4.6006030464383002E-9</v>
      </c>
      <c r="G18794">
        <v>47575057</v>
      </c>
      <c r="H18794">
        <v>10534275</v>
      </c>
      <c r="I18794">
        <v>47773379</v>
      </c>
      <c r="J18794">
        <v>3</v>
      </c>
    </row>
    <row r="18795" spans="1:10" x14ac:dyDescent="0.25">
      <c r="A18795" t="s">
        <v>205</v>
      </c>
      <c r="B18795" s="1" t="str">
        <f>HYPERLINK("http://infosys.com.mx","infosys.com.mx")</f>
        <v>infosys.com.mx</v>
      </c>
      <c r="C18795" t="s">
        <v>471</v>
      </c>
      <c r="D18795" t="s">
        <v>847</v>
      </c>
      <c r="F18795">
        <v>5.1819610307690803E-9</v>
      </c>
      <c r="G18795">
        <v>25485826</v>
      </c>
      <c r="H18795">
        <v>9909295</v>
      </c>
      <c r="I18795">
        <v>61553694</v>
      </c>
      <c r="J18795">
        <v>3</v>
      </c>
    </row>
    <row r="18796" spans="1:10" x14ac:dyDescent="0.25">
      <c r="A18796" t="s">
        <v>205</v>
      </c>
      <c r="B18796" s="1" t="str">
        <f>HYPERLINK("http://odt.net","odt.net")</f>
        <v>odt.net</v>
      </c>
      <c r="C18796" t="s">
        <v>474</v>
      </c>
      <c r="F18796">
        <v>3.3623112251379598E-8</v>
      </c>
      <c r="G18796">
        <v>1538147</v>
      </c>
      <c r="H18796">
        <v>13239156</v>
      </c>
      <c r="I18796">
        <v>11225280</v>
      </c>
      <c r="J18796">
        <v>6</v>
      </c>
    </row>
    <row r="18797" spans="1:10" x14ac:dyDescent="0.25">
      <c r="A18797" t="s">
        <v>205</v>
      </c>
      <c r="B18797" s="1" t="str">
        <f>HYPERLINK("http://infosys.org","infosys.org")</f>
        <v>infosys.org</v>
      </c>
      <c r="C18797" t="s">
        <v>481</v>
      </c>
      <c r="F18797">
        <v>1.3931555999424499E-7</v>
      </c>
      <c r="G18797">
        <v>279647</v>
      </c>
      <c r="H18797">
        <v>17067960</v>
      </c>
      <c r="I18797">
        <v>71613</v>
      </c>
      <c r="J18797">
        <v>2</v>
      </c>
    </row>
    <row r="18798" spans="1:10" x14ac:dyDescent="0.25">
      <c r="A18798" t="s">
        <v>205</v>
      </c>
      <c r="B18798" s="1" t="str">
        <f>HYPERLINK("http://tspl.com.sg","tspl.com.sg")</f>
        <v>tspl.com.sg</v>
      </c>
      <c r="C18798" t="s">
        <v>496</v>
      </c>
      <c r="D18798" t="s">
        <v>870</v>
      </c>
      <c r="E18798">
        <v>41621</v>
      </c>
      <c r="F18798">
        <v>4.4499792581074802E-9</v>
      </c>
      <c r="G18798">
        <v>71945224</v>
      </c>
      <c r="H18798">
        <v>10702221</v>
      </c>
      <c r="I18798">
        <v>42277980</v>
      </c>
      <c r="J18798">
        <v>5</v>
      </c>
    </row>
    <row r="18799" spans="1:10" x14ac:dyDescent="0.25">
      <c r="A18799" t="s">
        <v>205</v>
      </c>
      <c r="B18799" s="1" t="str">
        <f>HYPERLINK("http://guidevision.co.uk","guidevision.co.uk")</f>
        <v>guidevision.co.uk</v>
      </c>
      <c r="C18799" t="s">
        <v>506</v>
      </c>
      <c r="D18799" t="s">
        <v>880</v>
      </c>
      <c r="J18799">
        <v>7</v>
      </c>
    </row>
    <row r="18800" spans="1:10" x14ac:dyDescent="0.25">
      <c r="A18800" t="s">
        <v>205</v>
      </c>
      <c r="B18800" s="1" t="str">
        <f>HYPERLINK("http://simplus.co.uk","simplus.co.uk")</f>
        <v>simplus.co.uk</v>
      </c>
      <c r="C18800" t="s">
        <v>506</v>
      </c>
      <c r="D18800" t="s">
        <v>880</v>
      </c>
      <c r="F18800">
        <v>4.8212419935441804E-9</v>
      </c>
      <c r="G18800">
        <v>35227192</v>
      </c>
      <c r="H18800">
        <v>10393276</v>
      </c>
      <c r="I18800">
        <v>54346188</v>
      </c>
      <c r="J18800">
        <v>5</v>
      </c>
    </row>
    <row r="18801" spans="1:10" x14ac:dyDescent="0.25">
      <c r="A18801" t="s">
        <v>206</v>
      </c>
      <c r="B18801" s="1" t="str">
        <f>HYPERLINK("http://intel.ag","intel.ag")</f>
        <v>intel.ag</v>
      </c>
      <c r="C18801" t="s">
        <v>564</v>
      </c>
      <c r="D18801" t="s">
        <v>912</v>
      </c>
      <c r="J18801">
        <v>2</v>
      </c>
    </row>
    <row r="18802" spans="1:10" x14ac:dyDescent="0.25">
      <c r="A18802" t="s">
        <v>206</v>
      </c>
      <c r="B18802" s="1" t="str">
        <f>HYPERLINK("http://habana.ai","habana.ai")</f>
        <v>habana.ai</v>
      </c>
      <c r="C18802" t="s">
        <v>524</v>
      </c>
      <c r="D18802" t="s">
        <v>892</v>
      </c>
      <c r="E18802">
        <v>616992</v>
      </c>
      <c r="F18802">
        <v>1.22036711695753E-7</v>
      </c>
      <c r="G18802">
        <v>323505</v>
      </c>
      <c r="H18802">
        <v>14271688</v>
      </c>
      <c r="I18802">
        <v>1396341</v>
      </c>
      <c r="J18802">
        <v>3</v>
      </c>
    </row>
    <row r="18803" spans="1:10" x14ac:dyDescent="0.25">
      <c r="A18803" t="s">
        <v>206</v>
      </c>
      <c r="B18803" s="1" t="str">
        <f>HYPERLINK("http://intel.ai","intel.ai")</f>
        <v>intel.ai</v>
      </c>
      <c r="C18803" t="s">
        <v>524</v>
      </c>
      <c r="D18803" t="s">
        <v>892</v>
      </c>
      <c r="F18803">
        <v>2.9925301555117298E-7</v>
      </c>
      <c r="G18803">
        <v>124287</v>
      </c>
      <c r="H18803">
        <v>17232870</v>
      </c>
      <c r="I18803">
        <v>36481</v>
      </c>
      <c r="J18803">
        <v>2</v>
      </c>
    </row>
    <row r="18804" spans="1:10" x14ac:dyDescent="0.25">
      <c r="A18804" t="s">
        <v>206</v>
      </c>
      <c r="B18804" s="1" t="str">
        <f>HYPERLINK("http://intel.com.ar","intel.com.ar")</f>
        <v>intel.com.ar</v>
      </c>
      <c r="C18804" t="s">
        <v>418</v>
      </c>
      <c r="D18804" t="s">
        <v>800</v>
      </c>
      <c r="F18804">
        <v>5.27527283812246E-9</v>
      </c>
      <c r="G18804">
        <v>23859037</v>
      </c>
      <c r="H18804">
        <v>12091924</v>
      </c>
      <c r="I18804">
        <v>26192533</v>
      </c>
      <c r="J18804">
        <v>2</v>
      </c>
    </row>
    <row r="18805" spans="1:10" x14ac:dyDescent="0.25">
      <c r="A18805" t="s">
        <v>206</v>
      </c>
      <c r="B18805" s="1" t="str">
        <f>HYPERLINK("http://intel.com.au","intel.com.au")</f>
        <v>intel.com.au</v>
      </c>
      <c r="C18805" t="s">
        <v>420</v>
      </c>
      <c r="D18805" t="s">
        <v>802</v>
      </c>
      <c r="E18805">
        <v>179077</v>
      </c>
      <c r="F18805">
        <v>2.18750695544583E-7</v>
      </c>
      <c r="G18805">
        <v>172320</v>
      </c>
      <c r="H18805">
        <v>15110702</v>
      </c>
      <c r="I18805">
        <v>405035</v>
      </c>
      <c r="J18805">
        <v>2</v>
      </c>
    </row>
    <row r="18806" spans="1:10" x14ac:dyDescent="0.25">
      <c r="A18806" t="s">
        <v>206</v>
      </c>
      <c r="B18806" s="1" t="str">
        <f>HYPERLINK("http://intel.com.br","intel.com.br")</f>
        <v>intel.com.br</v>
      </c>
      <c r="C18806" t="s">
        <v>425</v>
      </c>
      <c r="D18806" t="s">
        <v>806</v>
      </c>
      <c r="E18806">
        <v>91638</v>
      </c>
      <c r="F18806">
        <v>2.1341169673036E-7</v>
      </c>
      <c r="G18806">
        <v>176922</v>
      </c>
      <c r="H18806">
        <v>14942157</v>
      </c>
      <c r="I18806">
        <v>443209</v>
      </c>
      <c r="J18806">
        <v>2</v>
      </c>
    </row>
    <row r="18807" spans="1:10" x14ac:dyDescent="0.25">
      <c r="A18807" t="s">
        <v>206</v>
      </c>
      <c r="B18807" s="1" t="str">
        <f>HYPERLINK("http://intel.ca","intel.ca")</f>
        <v>intel.ca</v>
      </c>
      <c r="C18807" t="s">
        <v>428</v>
      </c>
      <c r="D18807" t="s">
        <v>809</v>
      </c>
      <c r="E18807">
        <v>198857</v>
      </c>
      <c r="F18807">
        <v>2.9375704653041302E-7</v>
      </c>
      <c r="G18807">
        <v>126701</v>
      </c>
      <c r="H18807">
        <v>17087410</v>
      </c>
      <c r="I18807">
        <v>66562</v>
      </c>
      <c r="J18807">
        <v>2</v>
      </c>
    </row>
    <row r="18808" spans="1:10" x14ac:dyDescent="0.25">
      <c r="A18808" t="s">
        <v>206</v>
      </c>
      <c r="B18808" s="1" t="str">
        <f>HYPERLINK("http://windriver.com.cn","windriver.com.cn")</f>
        <v>windriver.com.cn</v>
      </c>
      <c r="C18808" t="s">
        <v>431</v>
      </c>
      <c r="D18808" t="s">
        <v>812</v>
      </c>
      <c r="F18808">
        <v>9.2375059003414298E-9</v>
      </c>
      <c r="G18808">
        <v>7660081</v>
      </c>
      <c r="H18808">
        <v>12239470</v>
      </c>
      <c r="I18808">
        <v>22266051</v>
      </c>
      <c r="J18808">
        <v>4</v>
      </c>
    </row>
    <row r="18809" spans="1:10" x14ac:dyDescent="0.25">
      <c r="A18809" t="s">
        <v>206</v>
      </c>
      <c r="B18809" s="1" t="str">
        <f>HYPERLINK("http://intel.cn","intel.cn")</f>
        <v>intel.cn</v>
      </c>
      <c r="C18809" t="s">
        <v>431</v>
      </c>
      <c r="D18809" t="s">
        <v>812</v>
      </c>
      <c r="E18809">
        <v>9240</v>
      </c>
      <c r="F18809">
        <v>5.9562715425773105E-7</v>
      </c>
      <c r="G18809">
        <v>64200</v>
      </c>
      <c r="H18809">
        <v>14781325</v>
      </c>
      <c r="I18809">
        <v>554416</v>
      </c>
      <c r="J18809">
        <v>2</v>
      </c>
    </row>
    <row r="18810" spans="1:10" x14ac:dyDescent="0.25">
      <c r="A18810" t="s">
        <v>206</v>
      </c>
      <c r="B18810" s="1" t="str">
        <f>HYPERLINK("http://altera.com","altera.com")</f>
        <v>altera.com</v>
      </c>
      <c r="C18810" t="s">
        <v>433</v>
      </c>
      <c r="E18810">
        <v>63092</v>
      </c>
      <c r="F18810">
        <v>6.1089334743342205E-7</v>
      </c>
      <c r="G18810">
        <v>62628</v>
      </c>
      <c r="H18810">
        <v>17414396</v>
      </c>
      <c r="I18810">
        <v>18227</v>
      </c>
      <c r="J18810">
        <v>3</v>
      </c>
    </row>
    <row r="18811" spans="1:10" x14ac:dyDescent="0.25">
      <c r="A18811" t="s">
        <v>206</v>
      </c>
      <c r="B18811" s="1" t="str">
        <f>HYPERLINK("http://artificialintelligence-news.com","artificialintelligence-news.com")</f>
        <v>artificialintelligence-news.com</v>
      </c>
      <c r="C18811" t="s">
        <v>433</v>
      </c>
      <c r="E18811">
        <v>278239</v>
      </c>
      <c r="F18811">
        <v>2.1321809767300299E-7</v>
      </c>
      <c r="G18811">
        <v>177085</v>
      </c>
      <c r="H18811">
        <v>15117480</v>
      </c>
      <c r="I18811">
        <v>404114</v>
      </c>
      <c r="J18811">
        <v>3</v>
      </c>
    </row>
    <row r="18812" spans="1:10" x14ac:dyDescent="0.25">
      <c r="A18812" t="s">
        <v>206</v>
      </c>
      <c r="B18812" s="1" t="str">
        <f>HYPERLINK("http://audesi.com","audesi.com")</f>
        <v>audesi.com</v>
      </c>
      <c r="C18812" t="s">
        <v>433</v>
      </c>
      <c r="F18812">
        <v>1.54463507230284E-8</v>
      </c>
      <c r="G18812">
        <v>3699941</v>
      </c>
      <c r="H18812">
        <v>13401376</v>
      </c>
      <c r="I18812">
        <v>10365318</v>
      </c>
      <c r="J18812">
        <v>7</v>
      </c>
    </row>
    <row r="18813" spans="1:10" x14ac:dyDescent="0.25">
      <c r="A18813" t="s">
        <v>206</v>
      </c>
      <c r="B18813" s="1" t="str">
        <f>HYPERLINK("http://intel.com","intel.com")</f>
        <v>intel.com</v>
      </c>
      <c r="C18813" t="s">
        <v>433</v>
      </c>
      <c r="E18813">
        <v>439</v>
      </c>
      <c r="F18813">
        <v>3.8357374817348198E-5</v>
      </c>
      <c r="G18813">
        <v>708</v>
      </c>
      <c r="H18813">
        <v>19002870</v>
      </c>
      <c r="I18813">
        <v>531</v>
      </c>
      <c r="J18813">
        <v>1</v>
      </c>
    </row>
    <row r="18814" spans="1:10" x14ac:dyDescent="0.25">
      <c r="A18814" t="s">
        <v>206</v>
      </c>
      <c r="B18814" s="1" t="str">
        <f>HYPERLINK("http://intelcapital.com","intelcapital.com")</f>
        <v>intelcapital.com</v>
      </c>
      <c r="C18814" t="s">
        <v>433</v>
      </c>
      <c r="E18814">
        <v>377239</v>
      </c>
      <c r="F18814">
        <v>2.29444173634589E-7</v>
      </c>
      <c r="G18814">
        <v>163852</v>
      </c>
      <c r="H18814">
        <v>14401418</v>
      </c>
      <c r="I18814">
        <v>1153181</v>
      </c>
      <c r="J18814">
        <v>3</v>
      </c>
    </row>
    <row r="18815" spans="1:10" x14ac:dyDescent="0.25">
      <c r="A18815" t="s">
        <v>206</v>
      </c>
      <c r="B18815" s="1" t="str">
        <f>HYPERLINK("http://itseez.com","itseez.com")</f>
        <v>itseez.com</v>
      </c>
      <c r="C18815" t="s">
        <v>433</v>
      </c>
      <c r="F18815">
        <v>4.8473241554033697E-8</v>
      </c>
      <c r="G18815">
        <v>957230</v>
      </c>
      <c r="H18815">
        <v>14346019</v>
      </c>
      <c r="I18815">
        <v>1312213</v>
      </c>
      <c r="J18815">
        <v>5</v>
      </c>
    </row>
    <row r="18816" spans="1:10" x14ac:dyDescent="0.25">
      <c r="A18816" t="s">
        <v>206</v>
      </c>
      <c r="B18816" s="1" t="str">
        <f>HYPERLINK("http://lanfest.com","lanfest.com")</f>
        <v>lanfest.com</v>
      </c>
      <c r="C18816" t="s">
        <v>433</v>
      </c>
      <c r="F18816">
        <v>3.2399104695493397E-8</v>
      </c>
      <c r="G18816">
        <v>1594697</v>
      </c>
      <c r="H18816">
        <v>13213670</v>
      </c>
      <c r="I18816">
        <v>11382157</v>
      </c>
      <c r="J18816">
        <v>4</v>
      </c>
    </row>
    <row r="18817" spans="1:10" x14ac:dyDescent="0.25">
      <c r="A18817" t="s">
        <v>206</v>
      </c>
      <c r="B18817" s="1" t="str">
        <f>HYPERLINK("http://mobileye.com","mobileye.com")</f>
        <v>mobileye.com</v>
      </c>
      <c r="C18817" t="s">
        <v>433</v>
      </c>
      <c r="E18817">
        <v>93822</v>
      </c>
      <c r="F18817">
        <v>5.0899496740392997E-7</v>
      </c>
      <c r="G18817">
        <v>75271</v>
      </c>
      <c r="H18817">
        <v>14916673</v>
      </c>
      <c r="I18817">
        <v>453852</v>
      </c>
      <c r="J18817">
        <v>3</v>
      </c>
    </row>
    <row r="18818" spans="1:10" x14ac:dyDescent="0.25">
      <c r="A18818" t="s">
        <v>206</v>
      </c>
      <c r="B18818" s="1" t="str">
        <f>HYPERLINK("http://movidius.com","movidius.com")</f>
        <v>movidius.com</v>
      </c>
      <c r="C18818" t="s">
        <v>433</v>
      </c>
      <c r="E18818">
        <v>563672</v>
      </c>
      <c r="F18818">
        <v>1.9509519682676399E-7</v>
      </c>
      <c r="G18818">
        <v>197631</v>
      </c>
      <c r="H18818">
        <v>15212673</v>
      </c>
      <c r="I18818">
        <v>394231</v>
      </c>
      <c r="J18818">
        <v>3</v>
      </c>
    </row>
    <row r="18819" spans="1:10" x14ac:dyDescent="0.25">
      <c r="A18819" t="s">
        <v>206</v>
      </c>
      <c r="B18819" s="1" t="str">
        <f>HYPERLINK("http://nervanasys.com","nervanasys.com")</f>
        <v>nervanasys.com</v>
      </c>
      <c r="C18819" t="s">
        <v>433</v>
      </c>
      <c r="F18819">
        <v>1.8792332434525401E-7</v>
      </c>
      <c r="G18819">
        <v>205045</v>
      </c>
      <c r="H18819">
        <v>14713632</v>
      </c>
      <c r="I18819">
        <v>581753</v>
      </c>
      <c r="J18819">
        <v>3</v>
      </c>
    </row>
    <row r="18820" spans="1:10" x14ac:dyDescent="0.25">
      <c r="A18820" t="s">
        <v>206</v>
      </c>
      <c r="B18820" s="1" t="str">
        <f>HYPERLINK("http://virtutech.com","virtutech.com")</f>
        <v>virtutech.com</v>
      </c>
      <c r="C18820" t="s">
        <v>433</v>
      </c>
      <c r="F18820">
        <v>2.80530088860653E-8</v>
      </c>
      <c r="G18820">
        <v>1833946</v>
      </c>
      <c r="H18820">
        <v>14150205</v>
      </c>
      <c r="I18820">
        <v>1878331</v>
      </c>
      <c r="J18820">
        <v>3</v>
      </c>
    </row>
    <row r="18821" spans="1:10" x14ac:dyDescent="0.25">
      <c r="A18821" t="s">
        <v>206</v>
      </c>
      <c r="B18821" s="1" t="str">
        <f>HYPERLINK("http://windriver.com","windriver.com")</f>
        <v>windriver.com</v>
      </c>
      <c r="C18821" t="s">
        <v>433</v>
      </c>
      <c r="E18821">
        <v>36142</v>
      </c>
      <c r="F18821">
        <v>1.1168101209721301E-6</v>
      </c>
      <c r="G18821">
        <v>34512</v>
      </c>
      <c r="H18821">
        <v>17317162</v>
      </c>
      <c r="I18821">
        <v>26105</v>
      </c>
      <c r="J18821">
        <v>3</v>
      </c>
    </row>
    <row r="18822" spans="1:10" x14ac:dyDescent="0.25">
      <c r="A18822" t="s">
        <v>206</v>
      </c>
      <c r="B18822" s="1" t="str">
        <f>HYPERLINK("http://wrs.com","wrs.com")</f>
        <v>wrs.com</v>
      </c>
      <c r="C18822" t="s">
        <v>433</v>
      </c>
      <c r="E18822">
        <v>349297</v>
      </c>
      <c r="F18822">
        <v>3.2016497292734702E-8</v>
      </c>
      <c r="G18822">
        <v>1614383</v>
      </c>
      <c r="H18822">
        <v>13549895</v>
      </c>
      <c r="I18822">
        <v>9891276</v>
      </c>
      <c r="J18822">
        <v>5</v>
      </c>
    </row>
    <row r="18823" spans="1:10" x14ac:dyDescent="0.25">
      <c r="A18823" t="s">
        <v>206</v>
      </c>
      <c r="B18823" s="1" t="str">
        <f>HYPERLINK("http://intel.de","intel.de")</f>
        <v>intel.de</v>
      </c>
      <c r="C18823" t="s">
        <v>436</v>
      </c>
      <c r="D18823" t="s">
        <v>815</v>
      </c>
      <c r="E18823">
        <v>79163</v>
      </c>
      <c r="F18823">
        <v>7.1887525031343302E-7</v>
      </c>
      <c r="G18823">
        <v>54006</v>
      </c>
      <c r="H18823">
        <v>17203850</v>
      </c>
      <c r="I18823">
        <v>41106</v>
      </c>
      <c r="J18823">
        <v>2</v>
      </c>
    </row>
    <row r="18824" spans="1:10" x14ac:dyDescent="0.25">
      <c r="A18824" t="s">
        <v>206</v>
      </c>
      <c r="B18824" s="1" t="str">
        <f>HYPERLINK("http://intel.dk","intel.dk")</f>
        <v>intel.dk</v>
      </c>
      <c r="C18824" t="s">
        <v>437</v>
      </c>
      <c r="D18824" t="s">
        <v>816</v>
      </c>
      <c r="F18824">
        <v>1.7339271375400599E-8</v>
      </c>
      <c r="G18824">
        <v>3189592</v>
      </c>
      <c r="H18824">
        <v>13014295</v>
      </c>
      <c r="I18824">
        <v>12734734</v>
      </c>
      <c r="J18824">
        <v>2</v>
      </c>
    </row>
    <row r="18825" spans="1:10" x14ac:dyDescent="0.25">
      <c r="A18825" t="s">
        <v>206</v>
      </c>
      <c r="B18825" s="1" t="str">
        <f>HYPERLINK("http://intel.eg","intel.eg")</f>
        <v>intel.eg</v>
      </c>
      <c r="C18825" t="s">
        <v>442</v>
      </c>
      <c r="D18825" t="s">
        <v>821</v>
      </c>
      <c r="F18825">
        <v>1.23005593794521E-8</v>
      </c>
      <c r="G18825">
        <v>4993944</v>
      </c>
      <c r="H18825">
        <v>13011916</v>
      </c>
      <c r="I18825">
        <v>12744555</v>
      </c>
      <c r="J18825">
        <v>2</v>
      </c>
    </row>
    <row r="18826" spans="1:10" x14ac:dyDescent="0.25">
      <c r="A18826" t="s">
        <v>206</v>
      </c>
      <c r="B18826" s="1" t="str">
        <f>HYPERLINK("http://intel.es","intel.es")</f>
        <v>intel.es</v>
      </c>
      <c r="C18826" t="s">
        <v>443</v>
      </c>
      <c r="D18826" t="s">
        <v>822</v>
      </c>
      <c r="E18826">
        <v>124572</v>
      </c>
      <c r="F18826">
        <v>3.1580384261220002E-7</v>
      </c>
      <c r="G18826">
        <v>117725</v>
      </c>
      <c r="H18826">
        <v>14870975</v>
      </c>
      <c r="I18826">
        <v>478381</v>
      </c>
      <c r="J18826">
        <v>2</v>
      </c>
    </row>
    <row r="18827" spans="1:10" x14ac:dyDescent="0.25">
      <c r="A18827" t="s">
        <v>206</v>
      </c>
      <c r="B18827" s="1" t="str">
        <f>HYPERLINK("http://intel.eu","intel.eu")</f>
        <v>intel.eu</v>
      </c>
      <c r="C18827" t="s">
        <v>444</v>
      </c>
      <c r="F18827">
        <v>4.7885926315537301E-8</v>
      </c>
      <c r="G18827">
        <v>971494</v>
      </c>
      <c r="H18827">
        <v>14424370</v>
      </c>
      <c r="I18827">
        <v>1081669</v>
      </c>
      <c r="J18827">
        <v>2</v>
      </c>
    </row>
    <row r="18828" spans="1:10" x14ac:dyDescent="0.25">
      <c r="A18828" t="s">
        <v>206</v>
      </c>
      <c r="B18828" s="1" t="str">
        <f>HYPERLINK("http://intel.fi","intel.fi")</f>
        <v>intel.fi</v>
      </c>
      <c r="C18828" t="s">
        <v>445</v>
      </c>
      <c r="D18828" t="s">
        <v>823</v>
      </c>
      <c r="F18828">
        <v>6.0148186517718197E-9</v>
      </c>
      <c r="G18828">
        <v>16593617</v>
      </c>
      <c r="H18828">
        <v>14071839</v>
      </c>
      <c r="I18828">
        <v>3301486</v>
      </c>
      <c r="J18828">
        <v>2</v>
      </c>
    </row>
    <row r="18829" spans="1:10" x14ac:dyDescent="0.25">
      <c r="A18829" t="s">
        <v>206</v>
      </c>
      <c r="B18829" s="1" t="str">
        <f>HYPERLINK("http://intel.fr","intel.fr")</f>
        <v>intel.fr</v>
      </c>
      <c r="C18829" t="s">
        <v>446</v>
      </c>
      <c r="D18829" t="s">
        <v>824</v>
      </c>
      <c r="E18829">
        <v>112807</v>
      </c>
      <c r="F18829">
        <v>5.2709250295339605E-7</v>
      </c>
      <c r="G18829">
        <v>73010</v>
      </c>
      <c r="H18829">
        <v>15160219</v>
      </c>
      <c r="I18829">
        <v>399132</v>
      </c>
      <c r="J18829">
        <v>2</v>
      </c>
    </row>
    <row r="18830" spans="1:10" x14ac:dyDescent="0.25">
      <c r="A18830" t="s">
        <v>206</v>
      </c>
      <c r="B18830" s="1" t="str">
        <f>HYPERLINK("http://intel.gg","intel.gg")</f>
        <v>intel.gg</v>
      </c>
      <c r="C18830" t="s">
        <v>639</v>
      </c>
      <c r="D18830" t="s">
        <v>960</v>
      </c>
      <c r="F18830">
        <v>8.3101661890276606E-9</v>
      </c>
      <c r="G18830">
        <v>9234249</v>
      </c>
      <c r="H18830">
        <v>13014159</v>
      </c>
      <c r="I18830">
        <v>12735223</v>
      </c>
      <c r="J18830">
        <v>2</v>
      </c>
    </row>
    <row r="18831" spans="1:10" x14ac:dyDescent="0.25">
      <c r="A18831" t="s">
        <v>206</v>
      </c>
      <c r="B18831" s="1" t="str">
        <f>HYPERLINK("http://intel.co.id","intel.co.id")</f>
        <v>intel.co.id</v>
      </c>
      <c r="C18831" t="s">
        <v>454</v>
      </c>
      <c r="D18831" t="s">
        <v>831</v>
      </c>
      <c r="E18831">
        <v>212897</v>
      </c>
      <c r="F18831">
        <v>5.0528914724248098E-8</v>
      </c>
      <c r="G18831">
        <v>909041</v>
      </c>
      <c r="H18831">
        <v>14383240</v>
      </c>
      <c r="I18831">
        <v>1186652</v>
      </c>
      <c r="J18831">
        <v>2</v>
      </c>
    </row>
    <row r="18832" spans="1:10" x14ac:dyDescent="0.25">
      <c r="A18832" t="s">
        <v>206</v>
      </c>
      <c r="B18832" s="1" t="str">
        <f>HYPERLINK("http://intel.id","intel.id")</f>
        <v>intel.id</v>
      </c>
      <c r="C18832" t="s">
        <v>454</v>
      </c>
      <c r="D18832" t="s">
        <v>831</v>
      </c>
      <c r="F18832">
        <v>1.0810894435720701E-8</v>
      </c>
      <c r="G18832">
        <v>6012106</v>
      </c>
      <c r="H18832">
        <v>13011633</v>
      </c>
      <c r="I18832">
        <v>12745806</v>
      </c>
      <c r="J18832">
        <v>2</v>
      </c>
    </row>
    <row r="18833" spans="1:10" x14ac:dyDescent="0.25">
      <c r="A18833" t="s">
        <v>206</v>
      </c>
      <c r="B18833" s="1" t="str">
        <f>HYPERLINK("http://intel.ie","intel.ie")</f>
        <v>intel.ie</v>
      </c>
      <c r="C18833" t="s">
        <v>455</v>
      </c>
      <c r="D18833" t="s">
        <v>832</v>
      </c>
      <c r="E18833">
        <v>231596</v>
      </c>
      <c r="F18833">
        <v>1.3490382252040099E-7</v>
      </c>
      <c r="G18833">
        <v>289319</v>
      </c>
      <c r="H18833">
        <v>14646050</v>
      </c>
      <c r="I18833">
        <v>632480</v>
      </c>
      <c r="J18833">
        <v>2</v>
      </c>
    </row>
    <row r="18834" spans="1:10" x14ac:dyDescent="0.25">
      <c r="A18834" t="s">
        <v>206</v>
      </c>
      <c r="B18834" s="1" t="str">
        <f>HYPERLINK("http://intel.co.il","intel.co.il")</f>
        <v>intel.co.il</v>
      </c>
      <c r="C18834" t="s">
        <v>456</v>
      </c>
      <c r="D18834" t="s">
        <v>833</v>
      </c>
      <c r="E18834">
        <v>262170</v>
      </c>
      <c r="F18834">
        <v>4.75507696210239E-8</v>
      </c>
      <c r="G18834">
        <v>979319</v>
      </c>
      <c r="H18834">
        <v>14493211</v>
      </c>
      <c r="I18834">
        <v>889395</v>
      </c>
      <c r="J18834">
        <v>2</v>
      </c>
    </row>
    <row r="18835" spans="1:10" x14ac:dyDescent="0.25">
      <c r="A18835" t="s">
        <v>206</v>
      </c>
      <c r="B18835" s="1" t="str">
        <f>HYPERLINK("http://intel.in","intel.in")</f>
        <v>intel.in</v>
      </c>
      <c r="C18835" t="s">
        <v>457</v>
      </c>
      <c r="D18835" t="s">
        <v>834</v>
      </c>
      <c r="E18835">
        <v>62324</v>
      </c>
      <c r="F18835">
        <v>4.1920952441256998E-7</v>
      </c>
      <c r="G18835">
        <v>89837</v>
      </c>
      <c r="H18835">
        <v>17267430</v>
      </c>
      <c r="I18835">
        <v>31688</v>
      </c>
      <c r="J18835">
        <v>2</v>
      </c>
    </row>
    <row r="18836" spans="1:10" x14ac:dyDescent="0.25">
      <c r="A18836" t="s">
        <v>206</v>
      </c>
      <c r="B18836" s="1" t="str">
        <f>HYPERLINK("http://intel.io","intel.io")</f>
        <v>intel.io</v>
      </c>
      <c r="C18836" t="s">
        <v>518</v>
      </c>
      <c r="F18836">
        <v>1.37061689796709E-7</v>
      </c>
      <c r="G18836">
        <v>284371</v>
      </c>
      <c r="H18836">
        <v>14543075</v>
      </c>
      <c r="I18836">
        <v>772336</v>
      </c>
      <c r="J18836">
        <v>2</v>
      </c>
    </row>
    <row r="18837" spans="1:10" x14ac:dyDescent="0.25">
      <c r="A18837" t="s">
        <v>206</v>
      </c>
      <c r="B18837" s="1" t="str">
        <f>HYPERLINK("http://intel.it","intel.it")</f>
        <v>intel.it</v>
      </c>
      <c r="C18837" t="s">
        <v>459</v>
      </c>
      <c r="D18837" t="s">
        <v>835</v>
      </c>
      <c r="E18837">
        <v>133109</v>
      </c>
      <c r="F18837">
        <v>2.7111966816096E-7</v>
      </c>
      <c r="G18837">
        <v>137327</v>
      </c>
      <c r="H18837">
        <v>17126808</v>
      </c>
      <c r="I18837">
        <v>57658</v>
      </c>
      <c r="J18837">
        <v>2</v>
      </c>
    </row>
    <row r="18838" spans="1:10" x14ac:dyDescent="0.25">
      <c r="A18838" t="s">
        <v>206</v>
      </c>
      <c r="B18838" s="1" t="str">
        <f>HYPERLINK("http://intel.co.jp","intel.co.jp")</f>
        <v>intel.co.jp</v>
      </c>
      <c r="C18838" t="s">
        <v>461</v>
      </c>
      <c r="D18838" t="s">
        <v>837</v>
      </c>
      <c r="E18838">
        <v>78792</v>
      </c>
      <c r="F18838">
        <v>5.7341005652454298E-7</v>
      </c>
      <c r="G18838">
        <v>66639</v>
      </c>
      <c r="H18838">
        <v>15147285</v>
      </c>
      <c r="I18838">
        <v>400434</v>
      </c>
      <c r="J18838">
        <v>2</v>
      </c>
    </row>
    <row r="18839" spans="1:10" x14ac:dyDescent="0.25">
      <c r="A18839" t="s">
        <v>206</v>
      </c>
      <c r="B18839" s="1" t="str">
        <f>HYPERLINK("http://intel.co.kr","intel.co.kr")</f>
        <v>intel.co.kr</v>
      </c>
      <c r="C18839" t="s">
        <v>463</v>
      </c>
      <c r="D18839" t="s">
        <v>839</v>
      </c>
      <c r="E18839">
        <v>171293</v>
      </c>
      <c r="F18839">
        <v>1.5784909134673499E-7</v>
      </c>
      <c r="G18839">
        <v>245984</v>
      </c>
      <c r="H18839">
        <v>14469401</v>
      </c>
      <c r="I18839">
        <v>1042665</v>
      </c>
      <c r="J18839">
        <v>2</v>
      </c>
    </row>
    <row r="18840" spans="1:10" x14ac:dyDescent="0.25">
      <c r="A18840" t="s">
        <v>206</v>
      </c>
      <c r="B18840" s="1" t="str">
        <f>HYPERLINK("http://intel.la","intel.la")</f>
        <v>intel.la</v>
      </c>
      <c r="C18840" t="s">
        <v>595</v>
      </c>
      <c r="D18840" t="s">
        <v>930</v>
      </c>
      <c r="E18840">
        <v>85083</v>
      </c>
      <c r="F18840">
        <v>1.60759153490574E-7</v>
      </c>
      <c r="G18840">
        <v>241461</v>
      </c>
      <c r="H18840">
        <v>14583261</v>
      </c>
      <c r="I18840">
        <v>704918</v>
      </c>
      <c r="J18840">
        <v>2</v>
      </c>
    </row>
    <row r="18841" spans="1:10" x14ac:dyDescent="0.25">
      <c r="A18841" t="s">
        <v>206</v>
      </c>
      <c r="B18841" s="1" t="str">
        <f>HYPERLINK("http://intel.ly","intel.ly")</f>
        <v>intel.ly</v>
      </c>
      <c r="C18841" t="s">
        <v>583</v>
      </c>
      <c r="D18841" t="s">
        <v>923</v>
      </c>
      <c r="E18841">
        <v>376594</v>
      </c>
      <c r="F18841">
        <v>2.1306874442897799E-7</v>
      </c>
      <c r="G18841">
        <v>177204</v>
      </c>
      <c r="H18841">
        <v>14658880</v>
      </c>
      <c r="I18841">
        <v>621194</v>
      </c>
      <c r="J18841">
        <v>2</v>
      </c>
    </row>
    <row r="18842" spans="1:10" x14ac:dyDescent="0.25">
      <c r="A18842" t="s">
        <v>206</v>
      </c>
      <c r="B18842" s="1" t="str">
        <f>HYPERLINK("http://intel.me","intel.me")</f>
        <v>intel.me</v>
      </c>
      <c r="C18842" t="s">
        <v>470</v>
      </c>
      <c r="D18842" t="s">
        <v>846</v>
      </c>
      <c r="F18842">
        <v>3.0724867468631201E-8</v>
      </c>
      <c r="G18842">
        <v>1676638</v>
      </c>
      <c r="H18842">
        <v>13219511</v>
      </c>
      <c r="I18842">
        <v>11339027</v>
      </c>
      <c r="J18842">
        <v>2</v>
      </c>
    </row>
    <row r="18843" spans="1:10" x14ac:dyDescent="0.25">
      <c r="A18843" t="s">
        <v>206</v>
      </c>
      <c r="B18843" s="1" t="str">
        <f>HYPERLINK("http://intel.com.mx","intel.com.mx")</f>
        <v>intel.com.mx</v>
      </c>
      <c r="C18843" t="s">
        <v>471</v>
      </c>
      <c r="D18843" t="s">
        <v>847</v>
      </c>
      <c r="F18843">
        <v>1.8733579966224299E-8</v>
      </c>
      <c r="G18843">
        <v>2883423</v>
      </c>
      <c r="H18843">
        <v>13137671</v>
      </c>
      <c r="I18843">
        <v>11895567</v>
      </c>
      <c r="J18843">
        <v>2</v>
      </c>
    </row>
    <row r="18844" spans="1:10" x14ac:dyDescent="0.25">
      <c r="A18844" t="s">
        <v>206</v>
      </c>
      <c r="B18844" s="1" t="str">
        <f>HYPERLINK("http://intel.my","intel.my")</f>
        <v>intel.my</v>
      </c>
      <c r="C18844" t="s">
        <v>472</v>
      </c>
      <c r="D18844" t="s">
        <v>848</v>
      </c>
      <c r="F18844">
        <v>1.4043293785077E-8</v>
      </c>
      <c r="G18844">
        <v>4186530</v>
      </c>
      <c r="H18844">
        <v>13787154</v>
      </c>
      <c r="I18844">
        <v>6377245</v>
      </c>
      <c r="J18844">
        <v>2</v>
      </c>
    </row>
    <row r="18845" spans="1:10" x14ac:dyDescent="0.25">
      <c r="A18845" t="s">
        <v>206</v>
      </c>
      <c r="B18845" s="1" t="str">
        <f>HYPERLINK("http://intel.nl","intel.nl")</f>
        <v>intel.nl</v>
      </c>
      <c r="C18845" t="s">
        <v>477</v>
      </c>
      <c r="D18845" t="s">
        <v>852</v>
      </c>
      <c r="F18845">
        <v>3.8775030448197E-8</v>
      </c>
      <c r="G18845">
        <v>1329681</v>
      </c>
      <c r="H18845">
        <v>13407072</v>
      </c>
      <c r="I18845">
        <v>10349465</v>
      </c>
      <c r="J18845">
        <v>2</v>
      </c>
    </row>
    <row r="18846" spans="1:10" x14ac:dyDescent="0.25">
      <c r="A18846" t="s">
        <v>206</v>
      </c>
      <c r="B18846" s="1" t="str">
        <f>HYPERLINK("http://intel.org","intel.org")</f>
        <v>intel.org</v>
      </c>
      <c r="C18846" t="s">
        <v>481</v>
      </c>
      <c r="F18846">
        <v>1.03673644013245E-8</v>
      </c>
      <c r="G18846">
        <v>6388550</v>
      </c>
      <c r="H18846">
        <v>13787794</v>
      </c>
      <c r="I18846">
        <v>6370254</v>
      </c>
      <c r="J18846">
        <v>2</v>
      </c>
    </row>
    <row r="18847" spans="1:10" x14ac:dyDescent="0.25">
      <c r="A18847" t="s">
        <v>206</v>
      </c>
      <c r="B18847" s="1" t="str">
        <f>HYPERLINK("http://intel.ph","intel.ph")</f>
        <v>intel.ph</v>
      </c>
      <c r="C18847" t="s">
        <v>484</v>
      </c>
      <c r="D18847" t="s">
        <v>858</v>
      </c>
      <c r="F18847">
        <v>1.67123848145938E-8</v>
      </c>
      <c r="G18847">
        <v>3355651</v>
      </c>
      <c r="H18847">
        <v>14131039</v>
      </c>
      <c r="I18847">
        <v>2020443</v>
      </c>
      <c r="J18847">
        <v>2</v>
      </c>
    </row>
    <row r="18848" spans="1:10" x14ac:dyDescent="0.25">
      <c r="A18848" t="s">
        <v>206</v>
      </c>
      <c r="B18848" s="1" t="str">
        <f>HYPERLINK("http://intel.pl","intel.pl")</f>
        <v>intel.pl</v>
      </c>
      <c r="C18848" t="s">
        <v>486</v>
      </c>
      <c r="D18848" t="s">
        <v>860</v>
      </c>
      <c r="E18848">
        <v>174504</v>
      </c>
      <c r="F18848">
        <v>1.94177628132506E-7</v>
      </c>
      <c r="G18848">
        <v>198551</v>
      </c>
      <c r="H18848">
        <v>16875712</v>
      </c>
      <c r="I18848">
        <v>141744</v>
      </c>
      <c r="J18848">
        <v>2</v>
      </c>
    </row>
    <row r="18849" spans="1:10" x14ac:dyDescent="0.25">
      <c r="A18849" t="s">
        <v>206</v>
      </c>
      <c r="B18849" s="1" t="str">
        <f>HYPERLINK("http://intel.ru","intel.ru")</f>
        <v>intel.ru</v>
      </c>
      <c r="C18849" t="s">
        <v>493</v>
      </c>
      <c r="D18849" t="s">
        <v>867</v>
      </c>
      <c r="E18849">
        <v>87723</v>
      </c>
      <c r="F18849">
        <v>5.4949072435381404E-7</v>
      </c>
      <c r="G18849">
        <v>70427</v>
      </c>
      <c r="H18849">
        <v>17158858</v>
      </c>
      <c r="I18849">
        <v>50257</v>
      </c>
      <c r="J18849">
        <v>2</v>
      </c>
    </row>
    <row r="18850" spans="1:10" x14ac:dyDescent="0.25">
      <c r="A18850" t="s">
        <v>206</v>
      </c>
      <c r="B18850" s="1" t="str">
        <f>HYPERLINK("http://intel.sa","intel.sa")</f>
        <v>intel.sa</v>
      </c>
      <c r="C18850" t="s">
        <v>494</v>
      </c>
      <c r="D18850" t="s">
        <v>868</v>
      </c>
      <c r="F18850">
        <v>1.08934005656537E-8</v>
      </c>
      <c r="G18850">
        <v>5947470</v>
      </c>
      <c r="H18850">
        <v>13011594</v>
      </c>
      <c r="I18850">
        <v>12745929</v>
      </c>
      <c r="J18850">
        <v>2</v>
      </c>
    </row>
    <row r="18851" spans="1:10" x14ac:dyDescent="0.25">
      <c r="A18851" t="s">
        <v>206</v>
      </c>
      <c r="B18851" s="1" t="str">
        <f>HYPERLINK("http://intel.se","intel.se")</f>
        <v>intel.se</v>
      </c>
      <c r="C18851" t="s">
        <v>495</v>
      </c>
      <c r="D18851" t="s">
        <v>869</v>
      </c>
      <c r="F18851">
        <v>2.3346416901802799E-8</v>
      </c>
      <c r="G18851">
        <v>2234075</v>
      </c>
      <c r="H18851">
        <v>13405356</v>
      </c>
      <c r="I18851">
        <v>10356559</v>
      </c>
      <c r="J18851">
        <v>2</v>
      </c>
    </row>
    <row r="18852" spans="1:10" x14ac:dyDescent="0.25">
      <c r="A18852" t="s">
        <v>206</v>
      </c>
      <c r="B18852" s="1" t="str">
        <f>HYPERLINK("http://intel.sg","intel.sg")</f>
        <v>intel.sg</v>
      </c>
      <c r="C18852" t="s">
        <v>496</v>
      </c>
      <c r="D18852" t="s">
        <v>870</v>
      </c>
      <c r="E18852">
        <v>176533</v>
      </c>
      <c r="F18852">
        <v>2.2540976491636399E-7</v>
      </c>
      <c r="G18852">
        <v>167165</v>
      </c>
      <c r="H18852">
        <v>14391659</v>
      </c>
      <c r="I18852">
        <v>1166168</v>
      </c>
      <c r="J18852">
        <v>2</v>
      </c>
    </row>
    <row r="18853" spans="1:10" x14ac:dyDescent="0.25">
      <c r="A18853" t="s">
        <v>206</v>
      </c>
      <c r="B18853" s="1" t="str">
        <f>HYPERLINK("http://intel.com.tr","intel.com.tr")</f>
        <v>intel.com.tr</v>
      </c>
      <c r="C18853" t="s">
        <v>502</v>
      </c>
      <c r="D18853" t="s">
        <v>876</v>
      </c>
      <c r="E18853">
        <v>120173</v>
      </c>
      <c r="F18853">
        <v>6.5160385326661806E-8</v>
      </c>
      <c r="G18853">
        <v>660851</v>
      </c>
      <c r="H18853">
        <v>14086675</v>
      </c>
      <c r="I18853">
        <v>2768538</v>
      </c>
      <c r="J18853">
        <v>2</v>
      </c>
    </row>
    <row r="18854" spans="1:10" x14ac:dyDescent="0.25">
      <c r="A18854" t="s">
        <v>206</v>
      </c>
      <c r="B18854" s="1" t="str">
        <f>HYPERLINK("http://intel.com.tw","intel.com.tw")</f>
        <v>intel.com.tw</v>
      </c>
      <c r="C18854" t="s">
        <v>504</v>
      </c>
      <c r="D18854" t="s">
        <v>878</v>
      </c>
      <c r="E18854">
        <v>111958</v>
      </c>
      <c r="F18854">
        <v>9.83058782502503E-8</v>
      </c>
      <c r="G18854">
        <v>410319</v>
      </c>
      <c r="H18854">
        <v>14474948</v>
      </c>
      <c r="I18854">
        <v>1033778</v>
      </c>
      <c r="J18854">
        <v>2</v>
      </c>
    </row>
    <row r="18855" spans="1:10" x14ac:dyDescent="0.25">
      <c r="A18855" t="s">
        <v>206</v>
      </c>
      <c r="B18855" s="1" t="str">
        <f>HYPERLINK("http://intel.ua","intel.ua")</f>
        <v>intel.ua</v>
      </c>
      <c r="C18855" t="s">
        <v>505</v>
      </c>
      <c r="D18855" t="s">
        <v>879</v>
      </c>
      <c r="F18855">
        <v>1.07204545319464E-8</v>
      </c>
      <c r="G18855">
        <v>6083394</v>
      </c>
      <c r="H18855">
        <v>14073120</v>
      </c>
      <c r="I18855">
        <v>3015834</v>
      </c>
      <c r="J18855">
        <v>2</v>
      </c>
    </row>
    <row r="18856" spans="1:10" x14ac:dyDescent="0.25">
      <c r="A18856" t="s">
        <v>206</v>
      </c>
      <c r="B18856" s="1" t="str">
        <f>HYPERLINK("http://intel.co.uk","intel.co.uk")</f>
        <v>intel.co.uk</v>
      </c>
      <c r="C18856" t="s">
        <v>506</v>
      </c>
      <c r="D18856" t="s">
        <v>880</v>
      </c>
      <c r="E18856">
        <v>62648</v>
      </c>
      <c r="F18856">
        <v>1.28571016190031E-6</v>
      </c>
      <c r="G18856">
        <v>30210</v>
      </c>
      <c r="H18856">
        <v>17490336</v>
      </c>
      <c r="I18856">
        <v>14137</v>
      </c>
      <c r="J18856">
        <v>2</v>
      </c>
    </row>
    <row r="18857" spans="1:10" x14ac:dyDescent="0.25">
      <c r="A18857" t="s">
        <v>206</v>
      </c>
      <c r="B18857" s="1" t="str">
        <f>HYPERLINK("http://intel.vn","intel.vn")</f>
        <v>intel.vn</v>
      </c>
      <c r="C18857" t="s">
        <v>509</v>
      </c>
      <c r="D18857" t="s">
        <v>883</v>
      </c>
      <c r="E18857">
        <v>166829</v>
      </c>
      <c r="F18857">
        <v>8.8834665404319005E-8</v>
      </c>
      <c r="G18857">
        <v>460401</v>
      </c>
      <c r="H18857">
        <v>14167609</v>
      </c>
      <c r="I18857">
        <v>1815015</v>
      </c>
      <c r="J18857">
        <v>2</v>
      </c>
    </row>
    <row r="18858" spans="1:10" x14ac:dyDescent="0.25">
      <c r="A18858" t="s">
        <v>206</v>
      </c>
      <c r="B18858" s="1" t="str">
        <f>HYPERLINK("http://intel.co.za","intel.co.za")</f>
        <v>intel.co.za</v>
      </c>
      <c r="C18858" t="s">
        <v>510</v>
      </c>
      <c r="D18858" t="s">
        <v>884</v>
      </c>
      <c r="F18858">
        <v>1.2036516159895999E-8</v>
      </c>
      <c r="G18858">
        <v>5152736</v>
      </c>
      <c r="H18858">
        <v>13322460</v>
      </c>
      <c r="I18858">
        <v>10740073</v>
      </c>
      <c r="J18858">
        <v>2</v>
      </c>
    </row>
    <row r="18859" spans="1:10" x14ac:dyDescent="0.25">
      <c r="A18859" t="s">
        <v>207</v>
      </c>
      <c r="B18859" s="1" t="str">
        <f>HYPERLINK("http://bakkt.com","bakkt.com")</f>
        <v>bakkt.com</v>
      </c>
      <c r="C18859" t="s">
        <v>433</v>
      </c>
      <c r="E18859">
        <v>122161</v>
      </c>
      <c r="F18859">
        <v>2.1236503330194501E-7</v>
      </c>
      <c r="G18859">
        <v>177842</v>
      </c>
      <c r="H18859">
        <v>14519863</v>
      </c>
      <c r="I18859">
        <v>805928</v>
      </c>
      <c r="J18859">
        <v>3</v>
      </c>
    </row>
    <row r="18860" spans="1:10" x14ac:dyDescent="0.25">
      <c r="A18860" t="s">
        <v>207</v>
      </c>
      <c r="B18860" s="1" t="str">
        <f>HYPERLINK("http://elliemae.com","elliemae.com")</f>
        <v>elliemae.com</v>
      </c>
      <c r="C18860" t="s">
        <v>433</v>
      </c>
      <c r="E18860">
        <v>19592</v>
      </c>
      <c r="F18860">
        <v>9.1919383572696804E-7</v>
      </c>
      <c r="G18860">
        <v>42050</v>
      </c>
      <c r="H18860">
        <v>14484290</v>
      </c>
      <c r="I18860">
        <v>1021484</v>
      </c>
      <c r="J18860">
        <v>3</v>
      </c>
    </row>
    <row r="18861" spans="1:10" x14ac:dyDescent="0.25">
      <c r="A18861" t="s">
        <v>207</v>
      </c>
      <c r="B18861" s="1" t="str">
        <f>HYPERLINK("http://ice.com","ice.com")</f>
        <v>ice.com</v>
      </c>
      <c r="C18861" t="s">
        <v>433</v>
      </c>
      <c r="E18861">
        <v>33836</v>
      </c>
      <c r="F18861">
        <v>5.1599292223348798E-7</v>
      </c>
      <c r="G18861">
        <v>74386</v>
      </c>
      <c r="H18861">
        <v>17260366</v>
      </c>
      <c r="I18861">
        <v>32603</v>
      </c>
      <c r="J18861">
        <v>2</v>
      </c>
    </row>
    <row r="18862" spans="1:10" x14ac:dyDescent="0.25">
      <c r="A18862" t="s">
        <v>207</v>
      </c>
      <c r="B18862" s="1" t="str">
        <f>HYPERLINK("http://iceendex.com","iceendex.com")</f>
        <v>iceendex.com</v>
      </c>
      <c r="C18862" t="s">
        <v>433</v>
      </c>
      <c r="F18862">
        <v>6.1542575210956097E-9</v>
      </c>
      <c r="G18862">
        <v>15778860</v>
      </c>
      <c r="H18862">
        <v>12171222</v>
      </c>
      <c r="I18862">
        <v>24040009</v>
      </c>
      <c r="J18862">
        <v>4</v>
      </c>
    </row>
    <row r="18863" spans="1:10" x14ac:dyDescent="0.25">
      <c r="A18863" t="s">
        <v>207</v>
      </c>
      <c r="B18863" s="1" t="str">
        <f>HYPERLINK("http://interactivedata.com","interactivedata.com")</f>
        <v>interactivedata.com</v>
      </c>
      <c r="C18863" t="s">
        <v>433</v>
      </c>
      <c r="E18863">
        <v>166606</v>
      </c>
      <c r="F18863">
        <v>2.0325170244860999E-7</v>
      </c>
      <c r="G18863">
        <v>187064</v>
      </c>
      <c r="H18863">
        <v>14119169</v>
      </c>
      <c r="I18863">
        <v>2657585</v>
      </c>
      <c r="J18863">
        <v>3</v>
      </c>
    </row>
    <row r="18864" spans="1:10" x14ac:dyDescent="0.25">
      <c r="A18864" t="s">
        <v>207</v>
      </c>
      <c r="B18864" s="1" t="str">
        <f>HYPERLINK("http://interactivedataclients.com","interactivedataclients.com")</f>
        <v>interactivedataclients.com</v>
      </c>
      <c r="C18864" t="s">
        <v>433</v>
      </c>
      <c r="F18864">
        <v>4.83600457359459E-9</v>
      </c>
      <c r="G18864">
        <v>34622360</v>
      </c>
      <c r="H18864">
        <v>12156420</v>
      </c>
      <c r="I18864">
        <v>24457701</v>
      </c>
      <c r="J18864">
        <v>4</v>
      </c>
    </row>
    <row r="18865" spans="1:10" x14ac:dyDescent="0.25">
      <c r="A18865" t="s">
        <v>207</v>
      </c>
      <c r="B18865" s="1" t="str">
        <f>HYPERLINK("http://intercontinentalexchange.com","intercontinentalexchange.com")</f>
        <v>intercontinentalexchange.com</v>
      </c>
      <c r="C18865" t="s">
        <v>433</v>
      </c>
      <c r="E18865">
        <v>174160</v>
      </c>
      <c r="F18865">
        <v>2.69699879353046E-7</v>
      </c>
      <c r="G18865">
        <v>138100</v>
      </c>
      <c r="H18865">
        <v>14611029</v>
      </c>
      <c r="I18865">
        <v>676692</v>
      </c>
      <c r="J18865">
        <v>1</v>
      </c>
    </row>
    <row r="18866" spans="1:10" x14ac:dyDescent="0.25">
      <c r="A18866" t="s">
        <v>207</v>
      </c>
      <c r="B18866" s="1" t="str">
        <f>HYPERLINK("http://ngx.com","ngx.com")</f>
        <v>ngx.com</v>
      </c>
      <c r="C18866" t="s">
        <v>433</v>
      </c>
      <c r="E18866">
        <v>245489</v>
      </c>
      <c r="F18866">
        <v>4.9503074859837498E-8</v>
      </c>
      <c r="G18866">
        <v>934620</v>
      </c>
      <c r="H18866">
        <v>14090034</v>
      </c>
      <c r="I18866">
        <v>2751031</v>
      </c>
      <c r="J18866">
        <v>2</v>
      </c>
    </row>
    <row r="18867" spans="1:10" x14ac:dyDescent="0.25">
      <c r="A18867" t="s">
        <v>207</v>
      </c>
      <c r="B18867" s="1" t="str">
        <f>HYPERLINK("http://nyse.com","nyse.com")</f>
        <v>nyse.com</v>
      </c>
      <c r="C18867" t="s">
        <v>433</v>
      </c>
      <c r="E18867">
        <v>9735</v>
      </c>
      <c r="F18867">
        <v>4.58499821874899E-6</v>
      </c>
      <c r="G18867">
        <v>7672</v>
      </c>
      <c r="H18867">
        <v>17683092</v>
      </c>
      <c r="I18867">
        <v>7657</v>
      </c>
      <c r="J18867">
        <v>2</v>
      </c>
    </row>
    <row r="18868" spans="1:10" x14ac:dyDescent="0.25">
      <c r="A18868" t="s">
        <v>207</v>
      </c>
      <c r="B18868" s="1" t="str">
        <f>HYPERLINK("http://superderivatives.com","superderivatives.com")</f>
        <v>superderivatives.com</v>
      </c>
      <c r="C18868" t="s">
        <v>433</v>
      </c>
      <c r="F18868">
        <v>6.26559873995151E-9</v>
      </c>
      <c r="G18868">
        <v>15197952</v>
      </c>
      <c r="H18868">
        <v>13085960</v>
      </c>
      <c r="I18868">
        <v>12160129</v>
      </c>
      <c r="J18868">
        <v>2</v>
      </c>
    </row>
    <row r="18869" spans="1:10" x14ac:dyDescent="0.25">
      <c r="A18869" t="s">
        <v>207</v>
      </c>
      <c r="B18869" s="1" t="str">
        <f>HYPERLINK("http://theice.com","theice.com")</f>
        <v>theice.com</v>
      </c>
      <c r="C18869" t="s">
        <v>433</v>
      </c>
      <c r="E18869">
        <v>12001</v>
      </c>
      <c r="F18869">
        <v>2.6873174522168301E-6</v>
      </c>
      <c r="G18869">
        <v>14167</v>
      </c>
      <c r="H18869">
        <v>17447596</v>
      </c>
      <c r="I18869">
        <v>16291</v>
      </c>
      <c r="J18869">
        <v>2</v>
      </c>
    </row>
    <row r="18870" spans="1:10" x14ac:dyDescent="0.25">
      <c r="A18870" t="s">
        <v>207</v>
      </c>
      <c r="B18870" s="1" t="str">
        <f>HYPERLINK("http://mortgage-application.net","mortgage-application.net")</f>
        <v>mortgage-application.net</v>
      </c>
      <c r="C18870" t="s">
        <v>474</v>
      </c>
      <c r="E18870">
        <v>159590</v>
      </c>
      <c r="F18870">
        <v>7.4039269968453997E-7</v>
      </c>
      <c r="G18870">
        <v>52566</v>
      </c>
      <c r="H18870">
        <v>14205353</v>
      </c>
      <c r="I18870">
        <v>1712471</v>
      </c>
      <c r="J18870">
        <v>4</v>
      </c>
    </row>
    <row r="18871" spans="1:10" x14ac:dyDescent="0.25">
      <c r="A18871" t="s">
        <v>207</v>
      </c>
      <c r="B18871" s="1" t="str">
        <f>HYPERLINK("http://whentech.net","whentech.net")</f>
        <v>whentech.net</v>
      </c>
      <c r="C18871" t="s">
        <v>474</v>
      </c>
      <c r="J18871">
        <v>5</v>
      </c>
    </row>
    <row r="18872" spans="1:10" x14ac:dyDescent="0.25">
      <c r="A18872" t="s">
        <v>208</v>
      </c>
      <c r="B18872" s="1" t="str">
        <f>HYPERLINK("http://ibm.com.au","ibm.com.au")</f>
        <v>ibm.com.au</v>
      </c>
      <c r="C18872" t="s">
        <v>420</v>
      </c>
      <c r="D18872" t="s">
        <v>802</v>
      </c>
      <c r="F18872">
        <v>9.5556173626557105E-9</v>
      </c>
      <c r="G18872">
        <v>7256267</v>
      </c>
      <c r="H18872">
        <v>13442151</v>
      </c>
      <c r="I18872">
        <v>10244813</v>
      </c>
      <c r="J18872">
        <v>2</v>
      </c>
    </row>
    <row r="18873" spans="1:10" x14ac:dyDescent="0.25">
      <c r="A18873" t="s">
        <v>208</v>
      </c>
      <c r="B18873" s="1" t="str">
        <f>HYPERLINK("http://ibm.biz","ibm.biz")</f>
        <v>ibm.biz</v>
      </c>
      <c r="C18873" t="s">
        <v>423</v>
      </c>
      <c r="E18873">
        <v>89224</v>
      </c>
      <c r="F18873">
        <v>2.32907844667091E-6</v>
      </c>
      <c r="G18873">
        <v>15892</v>
      </c>
      <c r="H18873">
        <v>17839440</v>
      </c>
      <c r="I18873">
        <v>5108</v>
      </c>
      <c r="J18873">
        <v>2</v>
      </c>
    </row>
    <row r="18874" spans="1:10" x14ac:dyDescent="0.25">
      <c r="A18874" t="s">
        <v>208</v>
      </c>
      <c r="B18874" s="1" t="str">
        <f>HYPERLINK("http://sscadmin.ca","sscadmin.ca")</f>
        <v>sscadmin.ca</v>
      </c>
      <c r="C18874" t="s">
        <v>428</v>
      </c>
      <c r="D18874" t="s">
        <v>809</v>
      </c>
      <c r="J18874">
        <v>4</v>
      </c>
    </row>
    <row r="18875" spans="1:10" x14ac:dyDescent="0.25">
      <c r="A18875" t="s">
        <v>208</v>
      </c>
      <c r="B18875" s="1" t="str">
        <f>HYPERLINK("http://redhat.ch","redhat.ch")</f>
        <v>redhat.ch</v>
      </c>
      <c r="C18875" t="s">
        <v>429</v>
      </c>
      <c r="D18875" t="s">
        <v>810</v>
      </c>
      <c r="F18875">
        <v>5.0988196221638399E-9</v>
      </c>
      <c r="G18875">
        <v>27102342</v>
      </c>
      <c r="H18875">
        <v>11190395</v>
      </c>
      <c r="I18875">
        <v>31349627</v>
      </c>
      <c r="J18875">
        <v>4</v>
      </c>
    </row>
    <row r="18876" spans="1:10" x14ac:dyDescent="0.25">
      <c r="A18876" t="s">
        <v>208</v>
      </c>
      <c r="B18876" s="1" t="str">
        <f>HYPERLINK("http://redhat.com.cn","redhat.com.cn")</f>
        <v>redhat.com.cn</v>
      </c>
      <c r="C18876" t="s">
        <v>431</v>
      </c>
      <c r="D18876" t="s">
        <v>812</v>
      </c>
      <c r="F18876">
        <v>9.7149910726048602E-9</v>
      </c>
      <c r="G18876">
        <v>7063511</v>
      </c>
      <c r="H18876">
        <v>13771544</v>
      </c>
      <c r="I18876">
        <v>6689846</v>
      </c>
      <c r="J18876">
        <v>4</v>
      </c>
    </row>
    <row r="18877" spans="1:10" x14ac:dyDescent="0.25">
      <c r="A18877" t="s">
        <v>208</v>
      </c>
      <c r="B18877" s="1" t="str">
        <f>HYPERLINK("http://ibm.co","ibm.co")</f>
        <v>ibm.co</v>
      </c>
      <c r="C18877" t="s">
        <v>432</v>
      </c>
      <c r="E18877">
        <v>177594</v>
      </c>
      <c r="F18877">
        <v>4.80298323369038E-7</v>
      </c>
      <c r="G18877">
        <v>79183</v>
      </c>
      <c r="H18877">
        <v>17280220</v>
      </c>
      <c r="I18877">
        <v>30129</v>
      </c>
      <c r="J18877">
        <v>2</v>
      </c>
    </row>
    <row r="18878" spans="1:10" x14ac:dyDescent="0.25">
      <c r="A18878" t="s">
        <v>208</v>
      </c>
      <c r="B18878" s="1" t="str">
        <f>HYPERLINK("http://redhat.co","redhat.co")</f>
        <v>redhat.co</v>
      </c>
      <c r="C18878" t="s">
        <v>432</v>
      </c>
      <c r="F18878">
        <v>1.1797739265797601E-8</v>
      </c>
      <c r="G18878">
        <v>5303619</v>
      </c>
      <c r="H18878">
        <v>13265973</v>
      </c>
      <c r="I18878">
        <v>11008125</v>
      </c>
      <c r="J18878">
        <v>4</v>
      </c>
    </row>
    <row r="18879" spans="1:10" x14ac:dyDescent="0.25">
      <c r="A18879" t="s">
        <v>208</v>
      </c>
      <c r="B18879" s="1" t="str">
        <f>HYPERLINK("http://7summitsinc.com","7summitsinc.com")</f>
        <v>7summitsinc.com</v>
      </c>
      <c r="C18879" t="s">
        <v>433</v>
      </c>
      <c r="F18879">
        <v>5.7277921064771699E-8</v>
      </c>
      <c r="G18879">
        <v>778856</v>
      </c>
      <c r="H18879">
        <v>13669195</v>
      </c>
      <c r="I18879">
        <v>9558017</v>
      </c>
      <c r="J18879">
        <v>4</v>
      </c>
    </row>
    <row r="18880" spans="1:10" x14ac:dyDescent="0.25">
      <c r="A18880" t="s">
        <v>208</v>
      </c>
      <c r="B18880" s="1" t="str">
        <f>HYPERLINK("http://amentra.com","amentra.com")</f>
        <v>amentra.com</v>
      </c>
      <c r="C18880" t="s">
        <v>433</v>
      </c>
      <c r="F18880">
        <v>1.0042410686462499E-8</v>
      </c>
      <c r="G18880">
        <v>6713118</v>
      </c>
      <c r="H18880">
        <v>13477310</v>
      </c>
      <c r="I18880">
        <v>10016890</v>
      </c>
      <c r="J18880">
        <v>6</v>
      </c>
    </row>
    <row r="18881" spans="1:10" x14ac:dyDescent="0.25">
      <c r="A18881" t="s">
        <v>208</v>
      </c>
      <c r="B18881" s="1" t="str">
        <f>HYPERLINK("http://bluewolf.com","bluewolf.com")</f>
        <v>bluewolf.com</v>
      </c>
      <c r="C18881" t="s">
        <v>433</v>
      </c>
      <c r="E18881">
        <v>791217</v>
      </c>
      <c r="F18881">
        <v>3.8338752484266402E-7</v>
      </c>
      <c r="G18881">
        <v>97618</v>
      </c>
      <c r="H18881">
        <v>14858365</v>
      </c>
      <c r="I18881">
        <v>485749</v>
      </c>
      <c r="J18881">
        <v>6</v>
      </c>
    </row>
    <row r="18882" spans="1:10" x14ac:dyDescent="0.25">
      <c r="A18882" t="s">
        <v>208</v>
      </c>
      <c r="B18882" s="1" t="str">
        <f>HYPERLINK("http://cloudant.com","cloudant.com")</f>
        <v>cloudant.com</v>
      </c>
      <c r="C18882" t="s">
        <v>433</v>
      </c>
      <c r="E18882">
        <v>39793</v>
      </c>
      <c r="F18882">
        <v>8.7023113117364504E-7</v>
      </c>
      <c r="G18882">
        <v>46010</v>
      </c>
      <c r="H18882">
        <v>17159940</v>
      </c>
      <c r="I18882">
        <v>50017</v>
      </c>
      <c r="J18882">
        <v>3</v>
      </c>
    </row>
    <row r="18883" spans="1:10" x14ac:dyDescent="0.25">
      <c r="A18883" t="s">
        <v>208</v>
      </c>
      <c r="B18883" s="1" t="str">
        <f>HYPERLINK("http://cobion.com","cobion.com")</f>
        <v>cobion.com</v>
      </c>
      <c r="C18883" t="s">
        <v>433</v>
      </c>
      <c r="E18883">
        <v>69799</v>
      </c>
      <c r="F18883">
        <v>6.7003388352158597E-9</v>
      </c>
      <c r="G18883">
        <v>13301787</v>
      </c>
      <c r="H18883">
        <v>12370101</v>
      </c>
      <c r="I18883">
        <v>19411984</v>
      </c>
      <c r="J18883">
        <v>5</v>
      </c>
    </row>
    <row r="18884" spans="1:10" x14ac:dyDescent="0.25">
      <c r="A18884" t="s">
        <v>208</v>
      </c>
      <c r="B18884" s="1" t="str">
        <f>HYPERLINK("http://cognea.com","cognea.com")</f>
        <v>cognea.com</v>
      </c>
      <c r="C18884" t="s">
        <v>433</v>
      </c>
      <c r="F18884">
        <v>4.5501119600267396E-9</v>
      </c>
      <c r="G18884">
        <v>52176833</v>
      </c>
      <c r="H18884">
        <v>13763637</v>
      </c>
      <c r="I18884">
        <v>8013946</v>
      </c>
      <c r="J18884">
        <v>5</v>
      </c>
    </row>
    <row r="18885" spans="1:10" x14ac:dyDescent="0.25">
      <c r="A18885" t="s">
        <v>208</v>
      </c>
      <c r="B18885" s="1" t="str">
        <f>HYPERLINK("http://cognera.com","cognera.com")</f>
        <v>cognera.com</v>
      </c>
      <c r="C18885" t="s">
        <v>433</v>
      </c>
      <c r="F18885">
        <v>9.4617778122280994E-9</v>
      </c>
      <c r="G18885">
        <v>7368567</v>
      </c>
      <c r="H18885">
        <v>13764044</v>
      </c>
      <c r="I18885">
        <v>7412222</v>
      </c>
      <c r="J18885">
        <v>6</v>
      </c>
    </row>
    <row r="18886" spans="1:10" x14ac:dyDescent="0.25">
      <c r="A18886" t="s">
        <v>208</v>
      </c>
      <c r="B18886" s="1" t="str">
        <f>HYPERLINK("http://cpsdit.com","cpsdit.com")</f>
        <v>cpsdit.com</v>
      </c>
      <c r="C18886" t="s">
        <v>433</v>
      </c>
      <c r="J18886">
        <v>4</v>
      </c>
    </row>
    <row r="18887" spans="1:10" x14ac:dyDescent="0.25">
      <c r="A18887" t="s">
        <v>208</v>
      </c>
      <c r="B18887" s="1" t="str">
        <f>HYPERLINK("http://feedhenry.com","feedhenry.com")</f>
        <v>feedhenry.com</v>
      </c>
      <c r="C18887" t="s">
        <v>433</v>
      </c>
      <c r="F18887">
        <v>7.3000836657025597E-8</v>
      </c>
      <c r="G18887">
        <v>577699</v>
      </c>
      <c r="H18887">
        <v>13674207</v>
      </c>
      <c r="I18887">
        <v>9541778</v>
      </c>
      <c r="J18887">
        <v>6</v>
      </c>
    </row>
    <row r="18888" spans="1:10" x14ac:dyDescent="0.25">
      <c r="A18888" t="s">
        <v>208</v>
      </c>
      <c r="B18888" s="1" t="str">
        <f>HYPERLINK("http://gosnaphop.com","gosnaphop.com")</f>
        <v>gosnaphop.com</v>
      </c>
      <c r="C18888" t="s">
        <v>433</v>
      </c>
      <c r="F18888">
        <v>1.15181188036607E-8</v>
      </c>
      <c r="G18888">
        <v>5491122</v>
      </c>
      <c r="H18888">
        <v>13219686</v>
      </c>
      <c r="I18888">
        <v>11338204</v>
      </c>
      <c r="J18888">
        <v>3</v>
      </c>
    </row>
    <row r="18889" spans="1:10" x14ac:dyDescent="0.25">
      <c r="A18889" t="s">
        <v>208</v>
      </c>
      <c r="B18889" s="1" t="str">
        <f>HYPERLINK("http://ibm.com","ibm.com")</f>
        <v>ibm.com</v>
      </c>
      <c r="C18889" t="s">
        <v>433</v>
      </c>
      <c r="E18889">
        <v>243</v>
      </c>
      <c r="F18889">
        <v>9.5166401810663697E-5</v>
      </c>
      <c r="G18889">
        <v>277</v>
      </c>
      <c r="H18889">
        <v>19717824</v>
      </c>
      <c r="I18889">
        <v>103</v>
      </c>
      <c r="J18889">
        <v>1</v>
      </c>
    </row>
    <row r="18890" spans="1:10" x14ac:dyDescent="0.25">
      <c r="A18890" t="s">
        <v>208</v>
      </c>
      <c r="B18890" s="1" t="str">
        <f>HYPERLINK("http://ibmcloud.com","ibmcloud.com")</f>
        <v>ibmcloud.com</v>
      </c>
      <c r="C18890" t="s">
        <v>433</v>
      </c>
      <c r="E18890">
        <v>17643</v>
      </c>
      <c r="F18890">
        <v>1.23827707083882E-6</v>
      </c>
      <c r="G18890">
        <v>31434</v>
      </c>
      <c r="H18890">
        <v>17339186</v>
      </c>
      <c r="I18890">
        <v>24070</v>
      </c>
      <c r="J18890">
        <v>2</v>
      </c>
    </row>
    <row r="18891" spans="1:10" x14ac:dyDescent="0.25">
      <c r="A18891" t="s">
        <v>208</v>
      </c>
      <c r="B18891" s="1" t="str">
        <f>HYPERLINK("http://ibmibv116.com","ibmibv116.com")</f>
        <v>ibmibv116.com</v>
      </c>
      <c r="C18891" t="s">
        <v>433</v>
      </c>
      <c r="J18891">
        <v>2</v>
      </c>
    </row>
    <row r="18892" spans="1:10" x14ac:dyDescent="0.25">
      <c r="A18892" t="s">
        <v>208</v>
      </c>
      <c r="B18892" s="1" t="str">
        <f>HYPERLINK("http://ihost.com","ihost.com")</f>
        <v>ihost.com</v>
      </c>
      <c r="C18892" t="s">
        <v>433</v>
      </c>
      <c r="E18892">
        <v>8517</v>
      </c>
      <c r="F18892">
        <v>2.8376242692014402E-7</v>
      </c>
      <c r="G18892">
        <v>130991</v>
      </c>
      <c r="H18892">
        <v>17126268</v>
      </c>
      <c r="I18892">
        <v>57814</v>
      </c>
      <c r="J18892">
        <v>2</v>
      </c>
    </row>
    <row r="18893" spans="1:10" x14ac:dyDescent="0.25">
      <c r="A18893" t="s">
        <v>208</v>
      </c>
      <c r="B18893" s="1" t="str">
        <f>HYPERLINK("http://inktank.com","inktank.com")</f>
        <v>inktank.com</v>
      </c>
      <c r="C18893" t="s">
        <v>433</v>
      </c>
      <c r="E18893">
        <v>971005</v>
      </c>
      <c r="F18893">
        <v>1.06923862360293E-7</v>
      </c>
      <c r="G18893">
        <v>374412</v>
      </c>
      <c r="H18893">
        <v>14639894</v>
      </c>
      <c r="I18893">
        <v>637464</v>
      </c>
      <c r="J18893">
        <v>4</v>
      </c>
    </row>
    <row r="18894" spans="1:10" x14ac:dyDescent="0.25">
      <c r="A18894" t="s">
        <v>208</v>
      </c>
      <c r="B18894" s="1" t="str">
        <f>HYPERLINK("http://ipccsandbox.com","ipccsandbox.com")</f>
        <v>ipccsandbox.com</v>
      </c>
      <c r="C18894" t="s">
        <v>433</v>
      </c>
      <c r="J18894">
        <v>4</v>
      </c>
    </row>
    <row r="18895" spans="1:10" x14ac:dyDescent="0.25">
      <c r="A18895" t="s">
        <v>208</v>
      </c>
      <c r="B18895" s="1" t="str">
        <f>HYPERLINK("http://journee.com","journee.com")</f>
        <v>journee.com</v>
      </c>
      <c r="C18895" t="s">
        <v>433</v>
      </c>
      <c r="F18895">
        <v>4.4612976913545903E-9</v>
      </c>
      <c r="G18895">
        <v>67352219</v>
      </c>
      <c r="H18895">
        <v>10130387</v>
      </c>
      <c r="I18895">
        <v>59584983</v>
      </c>
      <c r="J18895">
        <v>4</v>
      </c>
    </row>
    <row r="18896" spans="1:10" x14ac:dyDescent="0.25">
      <c r="A18896" t="s">
        <v>208</v>
      </c>
      <c r="B18896" s="1" t="str">
        <f>HYPERLINK("http://museumcitigroup.com","museumcitigroup.com")</f>
        <v>museumcitigroup.com</v>
      </c>
      <c r="C18896" t="s">
        <v>433</v>
      </c>
      <c r="J18896">
        <v>3</v>
      </c>
    </row>
    <row r="18897" spans="1:10" x14ac:dyDescent="0.25">
      <c r="A18897" t="s">
        <v>208</v>
      </c>
      <c r="B18897" s="1" t="str">
        <f>HYPERLINK("http://my-invenio.com","my-invenio.com")</f>
        <v>my-invenio.com</v>
      </c>
      <c r="C18897" t="s">
        <v>433</v>
      </c>
      <c r="F18897">
        <v>6.9597809847302099E-8</v>
      </c>
      <c r="G18897">
        <v>609839</v>
      </c>
      <c r="H18897">
        <v>16759224</v>
      </c>
      <c r="I18897">
        <v>230601</v>
      </c>
      <c r="J18897">
        <v>2</v>
      </c>
    </row>
    <row r="18898" spans="1:10" x14ac:dyDescent="0.25">
      <c r="A18898" t="s">
        <v>208</v>
      </c>
      <c r="B18898" s="1" t="str">
        <f>HYPERLINK("http://practicalbass.com","practicalbass.com")</f>
        <v>practicalbass.com</v>
      </c>
      <c r="C18898" t="s">
        <v>433</v>
      </c>
      <c r="F18898">
        <v>4.3299070093131099E-8</v>
      </c>
      <c r="G18898">
        <v>1106966</v>
      </c>
      <c r="H18898">
        <v>16753809</v>
      </c>
      <c r="I18898">
        <v>245668</v>
      </c>
      <c r="J18898">
        <v>7</v>
      </c>
    </row>
    <row r="18899" spans="1:10" x14ac:dyDescent="0.25">
      <c r="A18899" t="s">
        <v>208</v>
      </c>
      <c r="B18899" s="1" t="str">
        <f>HYPERLINK("http://promontory.com","promontory.com")</f>
        <v>promontory.com</v>
      </c>
      <c r="C18899" t="s">
        <v>433</v>
      </c>
      <c r="E18899">
        <v>980223</v>
      </c>
      <c r="F18899">
        <v>8.9676854500749602E-8</v>
      </c>
      <c r="G18899">
        <v>455301</v>
      </c>
      <c r="H18899">
        <v>14902669</v>
      </c>
      <c r="I18899">
        <v>461816</v>
      </c>
      <c r="J18899">
        <v>6</v>
      </c>
    </row>
    <row r="18900" spans="1:10" x14ac:dyDescent="0.25">
      <c r="A18900" t="s">
        <v>208</v>
      </c>
      <c r="B18900" s="1" t="str">
        <f>HYPERLINK("http://redhat.com","redhat.com")</f>
        <v>redhat.com</v>
      </c>
      <c r="C18900" t="s">
        <v>433</v>
      </c>
      <c r="E18900">
        <v>617</v>
      </c>
      <c r="F18900">
        <v>3.5768489202561002E-5</v>
      </c>
      <c r="G18900">
        <v>755</v>
      </c>
      <c r="H18900">
        <v>18961114</v>
      </c>
      <c r="I18900">
        <v>572</v>
      </c>
      <c r="J18900">
        <v>3</v>
      </c>
    </row>
    <row r="18901" spans="1:10" x14ac:dyDescent="0.25">
      <c r="A18901" t="s">
        <v>208</v>
      </c>
      <c r="B18901" s="1" t="str">
        <f>HYPERLINK("http://s81c.com","s81c.com")</f>
        <v>s81c.com</v>
      </c>
      <c r="C18901" t="s">
        <v>433</v>
      </c>
      <c r="E18901">
        <v>49859</v>
      </c>
      <c r="F18901">
        <v>2.67034596884966E-6</v>
      </c>
      <c r="G18901">
        <v>14240</v>
      </c>
      <c r="H18901">
        <v>14360274</v>
      </c>
      <c r="I18901">
        <v>1304448</v>
      </c>
      <c r="J18901">
        <v>2</v>
      </c>
    </row>
    <row r="18902" spans="1:10" x14ac:dyDescent="0.25">
      <c r="A18902" t="s">
        <v>208</v>
      </c>
      <c r="B18902" s="1" t="str">
        <f>HYPERLINK("http://silverpop.com","silverpop.com")</f>
        <v>silverpop.com</v>
      </c>
      <c r="C18902" t="s">
        <v>433</v>
      </c>
      <c r="E18902">
        <v>74399</v>
      </c>
      <c r="F18902">
        <v>6.5799197148299701E-7</v>
      </c>
      <c r="G18902">
        <v>58510</v>
      </c>
      <c r="H18902">
        <v>15045623</v>
      </c>
      <c r="I18902">
        <v>415489</v>
      </c>
      <c r="J18902">
        <v>6</v>
      </c>
    </row>
    <row r="18903" spans="1:10" x14ac:dyDescent="0.25">
      <c r="A18903" t="s">
        <v>208</v>
      </c>
      <c r="B18903" s="1" t="str">
        <f>HYPERLINK("http://thesiteisnotworking.com","thesiteisnotworking.com")</f>
        <v>thesiteisnotworking.com</v>
      </c>
      <c r="C18903" t="s">
        <v>433</v>
      </c>
      <c r="J18903">
        <v>4</v>
      </c>
    </row>
    <row r="18904" spans="1:10" x14ac:dyDescent="0.25">
      <c r="A18904" t="s">
        <v>208</v>
      </c>
      <c r="B18904" s="1" t="str">
        <f>HYPERLINK("http://theweathercompany.com","theweathercompany.com")</f>
        <v>theweathercompany.com</v>
      </c>
      <c r="C18904" t="s">
        <v>433</v>
      </c>
      <c r="F18904">
        <v>5.1991473390358496E-7</v>
      </c>
      <c r="G18904">
        <v>73886</v>
      </c>
      <c r="H18904">
        <v>14859499</v>
      </c>
      <c r="I18904">
        <v>485105</v>
      </c>
      <c r="J18904">
        <v>6</v>
      </c>
    </row>
    <row r="18905" spans="1:10" x14ac:dyDescent="0.25">
      <c r="A18905" t="s">
        <v>208</v>
      </c>
      <c r="B18905" s="1" t="str">
        <f>HYPERLINK("http://ustream.com","ustream.com")</f>
        <v>ustream.com</v>
      </c>
      <c r="C18905" t="s">
        <v>433</v>
      </c>
      <c r="E18905">
        <v>688848</v>
      </c>
      <c r="F18905">
        <v>1.06909127212606E-7</v>
      </c>
      <c r="G18905">
        <v>374475</v>
      </c>
      <c r="H18905">
        <v>14683275</v>
      </c>
      <c r="I18905">
        <v>606799</v>
      </c>
      <c r="J18905">
        <v>4</v>
      </c>
    </row>
    <row r="18906" spans="1:10" x14ac:dyDescent="0.25">
      <c r="A18906" t="s">
        <v>208</v>
      </c>
      <c r="B18906" s="1" t="str">
        <f>HYPERLINK("http://v-tservices.com","v-tservices.com")</f>
        <v>v-tservices.com</v>
      </c>
      <c r="C18906" t="s">
        <v>433</v>
      </c>
      <c r="F18906">
        <v>8.3113615150695204E-9</v>
      </c>
      <c r="G18906">
        <v>9231353</v>
      </c>
      <c r="H18906">
        <v>10988606</v>
      </c>
      <c r="I18906">
        <v>33774025</v>
      </c>
      <c r="J18906">
        <v>3</v>
      </c>
    </row>
    <row r="18907" spans="1:10" x14ac:dyDescent="0.25">
      <c r="A18907" t="s">
        <v>208</v>
      </c>
      <c r="B18907" s="1" t="str">
        <f>HYPERLINK("http://velteo.com","velteo.com")</f>
        <v>velteo.com</v>
      </c>
      <c r="C18907" t="s">
        <v>433</v>
      </c>
      <c r="F18907">
        <v>4.4443816968409096E-9</v>
      </c>
      <c r="G18907">
        <v>76854334</v>
      </c>
      <c r="H18907">
        <v>10442476</v>
      </c>
      <c r="I18907">
        <v>52305453</v>
      </c>
      <c r="J18907">
        <v>5</v>
      </c>
    </row>
    <row r="18908" spans="1:10" x14ac:dyDescent="0.25">
      <c r="A18908" t="s">
        <v>208</v>
      </c>
      <c r="B18908" s="1" t="str">
        <f>HYPERLINK("http://weather.com","weather.com")</f>
        <v>weather.com</v>
      </c>
      <c r="C18908" t="s">
        <v>433</v>
      </c>
      <c r="E18908">
        <v>304</v>
      </c>
      <c r="F18908">
        <v>1.6210532247923201E-5</v>
      </c>
      <c r="G18908">
        <v>2072</v>
      </c>
      <c r="H18908">
        <v>18357272</v>
      </c>
      <c r="I18908">
        <v>2133</v>
      </c>
      <c r="J18908">
        <v>2</v>
      </c>
    </row>
    <row r="18909" spans="1:10" x14ac:dyDescent="0.25">
      <c r="A18909" t="s">
        <v>208</v>
      </c>
      <c r="B18909" s="1" t="str">
        <f>HYPERLINK("http://wunderground.com","wunderground.com")</f>
        <v>wunderground.com</v>
      </c>
      <c r="C18909" t="s">
        <v>433</v>
      </c>
      <c r="E18909">
        <v>1450</v>
      </c>
      <c r="F18909">
        <v>1.3480783825178699E-5</v>
      </c>
      <c r="G18909">
        <v>2614</v>
      </c>
      <c r="H18909">
        <v>18288334</v>
      </c>
      <c r="I18909">
        <v>2398</v>
      </c>
      <c r="J18909">
        <v>4</v>
      </c>
    </row>
    <row r="18910" spans="1:10" x14ac:dyDescent="0.25">
      <c r="A18910" t="s">
        <v>208</v>
      </c>
      <c r="B18910" s="1" t="str">
        <f>HYPERLINK("http://redhat.cz","redhat.cz")</f>
        <v>redhat.cz</v>
      </c>
      <c r="C18910" t="s">
        <v>435</v>
      </c>
      <c r="D18910" t="s">
        <v>814</v>
      </c>
      <c r="F18910">
        <v>7.9180186015301695E-9</v>
      </c>
      <c r="G18910">
        <v>10076535</v>
      </c>
      <c r="H18910">
        <v>12675528</v>
      </c>
      <c r="I18910">
        <v>15555757</v>
      </c>
      <c r="J18910">
        <v>5</v>
      </c>
    </row>
    <row r="18911" spans="1:10" x14ac:dyDescent="0.25">
      <c r="A18911" t="s">
        <v>208</v>
      </c>
      <c r="B18911" s="1" t="str">
        <f>HYPERLINK("http://redhat.de","redhat.de")</f>
        <v>redhat.de</v>
      </c>
      <c r="C18911" t="s">
        <v>436</v>
      </c>
      <c r="D18911" t="s">
        <v>815</v>
      </c>
      <c r="F18911">
        <v>4.4307605826467198E-8</v>
      </c>
      <c r="G18911">
        <v>1071329</v>
      </c>
      <c r="H18911">
        <v>14104194</v>
      </c>
      <c r="I18911">
        <v>2694099</v>
      </c>
      <c r="J18911">
        <v>4</v>
      </c>
    </row>
    <row r="18912" spans="1:10" x14ac:dyDescent="0.25">
      <c r="A18912" t="s">
        <v>208</v>
      </c>
      <c r="B18912" s="1" t="str">
        <f>HYPERLINK("http://redhat.es","redhat.es")</f>
        <v>redhat.es</v>
      </c>
      <c r="C18912" t="s">
        <v>443</v>
      </c>
      <c r="D18912" t="s">
        <v>822</v>
      </c>
      <c r="F18912">
        <v>1.1388639756757599E-8</v>
      </c>
      <c r="G18912">
        <v>5581902</v>
      </c>
      <c r="H18912">
        <v>13950163</v>
      </c>
      <c r="I18912">
        <v>4176354</v>
      </c>
      <c r="J18912">
        <v>4</v>
      </c>
    </row>
    <row r="18913" spans="1:10" x14ac:dyDescent="0.25">
      <c r="A18913" t="s">
        <v>208</v>
      </c>
      <c r="B18913" s="1" t="str">
        <f>HYPERLINK("http://cleversafe.fi","cleversafe.fi")</f>
        <v>cleversafe.fi</v>
      </c>
      <c r="C18913" t="s">
        <v>445</v>
      </c>
      <c r="D18913" t="s">
        <v>823</v>
      </c>
      <c r="J18913">
        <v>4</v>
      </c>
    </row>
    <row r="18914" spans="1:10" x14ac:dyDescent="0.25">
      <c r="A18914" t="s">
        <v>208</v>
      </c>
      <c r="B18914" s="1" t="str">
        <f>HYPERLINK("http://cloudfirstai.fi","cloudfirstai.fi")</f>
        <v>cloudfirstai.fi</v>
      </c>
      <c r="C18914" t="s">
        <v>445</v>
      </c>
      <c r="D18914" t="s">
        <v>823</v>
      </c>
      <c r="J18914">
        <v>2</v>
      </c>
    </row>
    <row r="18915" spans="1:10" x14ac:dyDescent="0.25">
      <c r="A18915" t="s">
        <v>208</v>
      </c>
      <c r="B18915" s="1" t="str">
        <f>HYPERLINK("http://cloudlayer.fi","cloudlayer.fi")</f>
        <v>cloudlayer.fi</v>
      </c>
      <c r="C18915" t="s">
        <v>445</v>
      </c>
      <c r="D18915" t="s">
        <v>823</v>
      </c>
      <c r="J18915">
        <v>4</v>
      </c>
    </row>
    <row r="18916" spans="1:10" x14ac:dyDescent="0.25">
      <c r="A18916" t="s">
        <v>208</v>
      </c>
      <c r="B18916" s="1" t="str">
        <f>HYPERLINK("http://cognos.fi","cognos.fi")</f>
        <v>cognos.fi</v>
      </c>
      <c r="C18916" t="s">
        <v>445</v>
      </c>
      <c r="D18916" t="s">
        <v>823</v>
      </c>
      <c r="J18916">
        <v>4</v>
      </c>
    </row>
    <row r="18917" spans="1:10" x14ac:dyDescent="0.25">
      <c r="A18917" t="s">
        <v>208</v>
      </c>
      <c r="B18917" s="1" t="str">
        <f>HYPERLINK("http://db2.fi","db2.fi")</f>
        <v>db2.fi</v>
      </c>
      <c r="C18917" t="s">
        <v>445</v>
      </c>
      <c r="D18917" t="s">
        <v>823</v>
      </c>
      <c r="J18917">
        <v>4</v>
      </c>
    </row>
    <row r="18918" spans="1:10" x14ac:dyDescent="0.25">
      <c r="A18918" t="s">
        <v>208</v>
      </c>
      <c r="B18918" s="1" t="str">
        <f>HYPERLINK("http://designops.fi","designops.fi")</f>
        <v>designops.fi</v>
      </c>
      <c r="C18918" t="s">
        <v>445</v>
      </c>
      <c r="D18918" t="s">
        <v>823</v>
      </c>
      <c r="J18918">
        <v>2</v>
      </c>
    </row>
    <row r="18919" spans="1:10" x14ac:dyDescent="0.25">
      <c r="A18919" t="s">
        <v>208</v>
      </c>
      <c r="B18919" s="1" t="str">
        <f>HYPERLINK("http://flexplatform.fi","flexplatform.fi")</f>
        <v>flexplatform.fi</v>
      </c>
      <c r="C18919" t="s">
        <v>445</v>
      </c>
      <c r="D18919" t="s">
        <v>823</v>
      </c>
      <c r="J18919">
        <v>2</v>
      </c>
    </row>
    <row r="18920" spans="1:10" x14ac:dyDescent="0.25">
      <c r="A18920" t="s">
        <v>208</v>
      </c>
      <c r="B18920" s="1" t="str">
        <f>HYPERLINK("http://frontend.fi","frontend.fi")</f>
        <v>frontend.fi</v>
      </c>
      <c r="C18920" t="s">
        <v>445</v>
      </c>
      <c r="D18920" t="s">
        <v>823</v>
      </c>
      <c r="F18920">
        <v>1.3301417033363E-8</v>
      </c>
      <c r="G18920">
        <v>4492768</v>
      </c>
      <c r="H18920">
        <v>13764713</v>
      </c>
      <c r="I18920">
        <v>7205531</v>
      </c>
      <c r="J18920">
        <v>2</v>
      </c>
    </row>
    <row r="18921" spans="1:10" x14ac:dyDescent="0.25">
      <c r="A18921" t="s">
        <v>208</v>
      </c>
      <c r="B18921" s="1" t="str">
        <f>HYPERLINK("http://ibm.fi","ibm.fi")</f>
        <v>ibm.fi</v>
      </c>
      <c r="C18921" t="s">
        <v>445</v>
      </c>
      <c r="D18921" t="s">
        <v>823</v>
      </c>
      <c r="F18921">
        <v>1.29500039081037E-8</v>
      </c>
      <c r="G18921">
        <v>4655748</v>
      </c>
      <c r="H18921">
        <v>13749609</v>
      </c>
      <c r="I18921">
        <v>9420787</v>
      </c>
      <c r="J18921">
        <v>4</v>
      </c>
    </row>
    <row r="18922" spans="1:10" x14ac:dyDescent="0.25">
      <c r="A18922" t="s">
        <v>208</v>
      </c>
      <c r="B18922" s="1" t="str">
        <f>HYPERLINK("http://ibmwatson.fi","ibmwatson.fi")</f>
        <v>ibmwatson.fi</v>
      </c>
      <c r="C18922" t="s">
        <v>445</v>
      </c>
      <c r="D18922" t="s">
        <v>823</v>
      </c>
      <c r="J18922">
        <v>2</v>
      </c>
    </row>
    <row r="18923" spans="1:10" x14ac:dyDescent="0.25">
      <c r="A18923" t="s">
        <v>208</v>
      </c>
      <c r="B18923" s="1" t="str">
        <f>HYPERLINK("http://intergalactico.fi","intergalactico.fi")</f>
        <v>intergalactico.fi</v>
      </c>
      <c r="C18923" t="s">
        <v>445</v>
      </c>
      <c r="D18923" t="s">
        <v>823</v>
      </c>
      <c r="J18923">
        <v>2</v>
      </c>
    </row>
    <row r="18924" spans="1:10" x14ac:dyDescent="0.25">
      <c r="A18924" t="s">
        <v>208</v>
      </c>
      <c r="B18924" s="1" t="str">
        <f>HYPERLINK("http://nordcloud.fi","nordcloud.fi")</f>
        <v>nordcloud.fi</v>
      </c>
      <c r="C18924" t="s">
        <v>445</v>
      </c>
      <c r="D18924" t="s">
        <v>823</v>
      </c>
      <c r="F18924">
        <v>4.5337960185535798E-9</v>
      </c>
      <c r="G18924">
        <v>54644471</v>
      </c>
      <c r="H18924">
        <v>10920083</v>
      </c>
      <c r="I18924">
        <v>35280308</v>
      </c>
      <c r="J18924">
        <v>2</v>
      </c>
    </row>
    <row r="18925" spans="1:10" x14ac:dyDescent="0.25">
      <c r="A18925" t="s">
        <v>208</v>
      </c>
      <c r="B18925" s="1" t="str">
        <f>HYPERLINK("http://nordcloudsolutions.fi","nordcloudsolutions.fi")</f>
        <v>nordcloudsolutions.fi</v>
      </c>
      <c r="C18925" t="s">
        <v>445</v>
      </c>
      <c r="D18925" t="s">
        <v>823</v>
      </c>
      <c r="J18925">
        <v>2</v>
      </c>
    </row>
    <row r="18926" spans="1:10" x14ac:dyDescent="0.25">
      <c r="A18926" t="s">
        <v>208</v>
      </c>
      <c r="B18926" s="1" t="str">
        <f>HYPERLINK("http://rational.fi","rational.fi")</f>
        <v>rational.fi</v>
      </c>
      <c r="C18926" t="s">
        <v>445</v>
      </c>
      <c r="D18926" t="s">
        <v>823</v>
      </c>
      <c r="J18926">
        <v>4</v>
      </c>
    </row>
    <row r="18927" spans="1:10" x14ac:dyDescent="0.25">
      <c r="A18927" t="s">
        <v>208</v>
      </c>
      <c r="B18927" s="1" t="str">
        <f>HYPERLINK("http://sc5.fi","sc5.fi")</f>
        <v>sc5.fi</v>
      </c>
      <c r="C18927" t="s">
        <v>445</v>
      </c>
      <c r="D18927" t="s">
        <v>823</v>
      </c>
      <c r="F18927">
        <v>6.4578059175057904E-9</v>
      </c>
      <c r="G18927">
        <v>14259166</v>
      </c>
      <c r="H18927">
        <v>13015764</v>
      </c>
      <c r="I18927">
        <v>12729420</v>
      </c>
      <c r="J18927">
        <v>2</v>
      </c>
    </row>
    <row r="18928" spans="1:10" x14ac:dyDescent="0.25">
      <c r="A18928" t="s">
        <v>208</v>
      </c>
      <c r="B18928" s="1" t="str">
        <f>HYPERLINK("http://serverless.fi","serverless.fi")</f>
        <v>serverless.fi</v>
      </c>
      <c r="C18928" t="s">
        <v>445</v>
      </c>
      <c r="D18928" t="s">
        <v>823</v>
      </c>
      <c r="F18928">
        <v>6.8999429161706503E-9</v>
      </c>
      <c r="G18928">
        <v>12629275</v>
      </c>
      <c r="H18928">
        <v>13565079</v>
      </c>
      <c r="I18928">
        <v>9834211</v>
      </c>
      <c r="J18928">
        <v>2</v>
      </c>
    </row>
    <row r="18929" spans="1:10" x14ac:dyDescent="0.25">
      <c r="A18929" t="s">
        <v>208</v>
      </c>
      <c r="B18929" s="1" t="str">
        <f>HYPERLINK("http://softlayer.fi","softlayer.fi")</f>
        <v>softlayer.fi</v>
      </c>
      <c r="C18929" t="s">
        <v>445</v>
      </c>
      <c r="D18929" t="s">
        <v>823</v>
      </c>
      <c r="J18929">
        <v>4</v>
      </c>
    </row>
    <row r="18930" spans="1:10" x14ac:dyDescent="0.25">
      <c r="A18930" t="s">
        <v>208</v>
      </c>
      <c r="B18930" s="1" t="str">
        <f>HYPERLINK("http://think.fi","think.fi")</f>
        <v>think.fi</v>
      </c>
      <c r="C18930" t="s">
        <v>445</v>
      </c>
      <c r="D18930" t="s">
        <v>823</v>
      </c>
      <c r="J18930">
        <v>4</v>
      </c>
    </row>
    <row r="18931" spans="1:10" x14ac:dyDescent="0.25">
      <c r="A18931" t="s">
        <v>208</v>
      </c>
      <c r="B18931" s="1" t="str">
        <f>HYPERLINK("http://totalstorage.fi","totalstorage.fi")</f>
        <v>totalstorage.fi</v>
      </c>
      <c r="C18931" t="s">
        <v>445</v>
      </c>
      <c r="D18931" t="s">
        <v>823</v>
      </c>
      <c r="J18931">
        <v>4</v>
      </c>
    </row>
    <row r="18932" spans="1:10" x14ac:dyDescent="0.25">
      <c r="A18932" t="s">
        <v>208</v>
      </c>
      <c r="B18932" s="1" t="str">
        <f>HYPERLINK("http://websphere.fi","websphere.fi")</f>
        <v>websphere.fi</v>
      </c>
      <c r="C18932" t="s">
        <v>445</v>
      </c>
      <c r="D18932" t="s">
        <v>823</v>
      </c>
      <c r="J18932">
        <v>4</v>
      </c>
    </row>
    <row r="18933" spans="1:10" x14ac:dyDescent="0.25">
      <c r="A18933" t="s">
        <v>208</v>
      </c>
      <c r="B18933" s="1" t="str">
        <f>HYPERLINK("http://redhat.fr","redhat.fr")</f>
        <v>redhat.fr</v>
      </c>
      <c r="C18933" t="s">
        <v>446</v>
      </c>
      <c r="D18933" t="s">
        <v>824</v>
      </c>
      <c r="F18933">
        <v>1.5110607880117699E-8</v>
      </c>
      <c r="G18933">
        <v>3804335</v>
      </c>
      <c r="H18933">
        <v>14378574</v>
      </c>
      <c r="I18933">
        <v>1203399</v>
      </c>
      <c r="J18933">
        <v>4</v>
      </c>
    </row>
    <row r="18934" spans="1:10" x14ac:dyDescent="0.25">
      <c r="A18934" t="s">
        <v>208</v>
      </c>
      <c r="B18934" s="1" t="str">
        <f>HYPERLINK("http://kushaldas.in","kushaldas.in")</f>
        <v>kushaldas.in</v>
      </c>
      <c r="C18934" t="s">
        <v>457</v>
      </c>
      <c r="D18934" t="s">
        <v>834</v>
      </c>
      <c r="F18934">
        <v>9.2926200393220201E-8</v>
      </c>
      <c r="G18934">
        <v>437685</v>
      </c>
      <c r="H18934">
        <v>14314378</v>
      </c>
      <c r="I18934">
        <v>1337113</v>
      </c>
      <c r="J18934">
        <v>7</v>
      </c>
    </row>
    <row r="18935" spans="1:10" x14ac:dyDescent="0.25">
      <c r="A18935" t="s">
        <v>208</v>
      </c>
      <c r="B18935" s="1" t="str">
        <f>HYPERLINK("http://yudocaa.in","yudocaa.in")</f>
        <v>yudocaa.in</v>
      </c>
      <c r="C18935" t="s">
        <v>457</v>
      </c>
      <c r="D18935" t="s">
        <v>834</v>
      </c>
      <c r="F18935">
        <v>1.30698925037538E-8</v>
      </c>
      <c r="G18935">
        <v>4597898</v>
      </c>
      <c r="H18935">
        <v>13314043</v>
      </c>
      <c r="I18935">
        <v>10765272</v>
      </c>
      <c r="J18935">
        <v>7</v>
      </c>
    </row>
    <row r="18936" spans="1:10" x14ac:dyDescent="0.25">
      <c r="A18936" t="s">
        <v>208</v>
      </c>
      <c r="B18936" s="1" t="str">
        <f>HYPERLINK("http://aspera.io","aspera.io")</f>
        <v>aspera.io</v>
      </c>
      <c r="C18936" t="s">
        <v>518</v>
      </c>
      <c r="E18936">
        <v>463868</v>
      </c>
      <c r="F18936">
        <v>1.8937419021635201E-8</v>
      </c>
      <c r="G18936">
        <v>2846957</v>
      </c>
      <c r="H18936">
        <v>13473385</v>
      </c>
      <c r="I18936">
        <v>10027032</v>
      </c>
      <c r="J18936">
        <v>2</v>
      </c>
    </row>
    <row r="18937" spans="1:10" x14ac:dyDescent="0.25">
      <c r="A18937" t="s">
        <v>208</v>
      </c>
      <c r="B18937" s="1" t="str">
        <f>HYPERLINK("http://ecx.io","ecx.io")</f>
        <v>ecx.io</v>
      </c>
      <c r="C18937" t="s">
        <v>518</v>
      </c>
      <c r="F18937">
        <v>1.7872479142217E-7</v>
      </c>
      <c r="G18937">
        <v>216240</v>
      </c>
      <c r="H18937">
        <v>16919642</v>
      </c>
      <c r="I18937">
        <v>129572</v>
      </c>
      <c r="J18937">
        <v>7</v>
      </c>
    </row>
    <row r="18938" spans="1:10" x14ac:dyDescent="0.25">
      <c r="A18938" t="s">
        <v>208</v>
      </c>
      <c r="B18938" s="1" t="str">
        <f>HYPERLINK("http://redhat.it","redhat.it")</f>
        <v>redhat.it</v>
      </c>
      <c r="C18938" t="s">
        <v>459</v>
      </c>
      <c r="D18938" t="s">
        <v>835</v>
      </c>
      <c r="F18938">
        <v>1.46094491344994E-8</v>
      </c>
      <c r="G18938">
        <v>3973607</v>
      </c>
      <c r="H18938">
        <v>13779846</v>
      </c>
      <c r="I18938">
        <v>6481606</v>
      </c>
      <c r="J18938">
        <v>4</v>
      </c>
    </row>
    <row r="18939" spans="1:10" x14ac:dyDescent="0.25">
      <c r="A18939" t="s">
        <v>208</v>
      </c>
      <c r="B18939" s="1" t="str">
        <f>HYPERLINK("http://ibm.co.jp","ibm.co.jp")</f>
        <v>ibm.co.jp</v>
      </c>
      <c r="C18939" t="s">
        <v>461</v>
      </c>
      <c r="D18939" t="s">
        <v>837</v>
      </c>
      <c r="E18939">
        <v>587184</v>
      </c>
      <c r="F18939">
        <v>1.02229940550796E-7</v>
      </c>
      <c r="G18939">
        <v>392862</v>
      </c>
      <c r="H18939">
        <v>13770279</v>
      </c>
      <c r="I18939">
        <v>6736547</v>
      </c>
      <c r="J18939">
        <v>2</v>
      </c>
    </row>
    <row r="18940" spans="1:10" x14ac:dyDescent="0.25">
      <c r="A18940" t="s">
        <v>208</v>
      </c>
      <c r="B18940" s="1" t="str">
        <f>HYPERLINK("http://redhat.co.jp","redhat.co.jp")</f>
        <v>redhat.co.jp</v>
      </c>
      <c r="C18940" t="s">
        <v>461</v>
      </c>
      <c r="D18940" t="s">
        <v>837</v>
      </c>
      <c r="F18940">
        <v>3.1923491087972797E-8</v>
      </c>
      <c r="G18940">
        <v>1618455</v>
      </c>
      <c r="H18940">
        <v>13436574</v>
      </c>
      <c r="I18940">
        <v>10268275</v>
      </c>
      <c r="J18940">
        <v>4</v>
      </c>
    </row>
    <row r="18941" spans="1:10" x14ac:dyDescent="0.25">
      <c r="A18941" t="s">
        <v>208</v>
      </c>
      <c r="B18941" s="1" t="str">
        <f>HYPERLINK("http://cognitive.com.mt","cognitive.com.mt")</f>
        <v>cognitive.com.mt</v>
      </c>
      <c r="C18941" t="s">
        <v>597</v>
      </c>
      <c r="D18941" t="s">
        <v>932</v>
      </c>
      <c r="F18941">
        <v>5.2897648431951201E-9</v>
      </c>
      <c r="G18941">
        <v>23647056</v>
      </c>
      <c r="H18941">
        <v>12618716</v>
      </c>
      <c r="I18941">
        <v>16101409</v>
      </c>
      <c r="J18941">
        <v>5</v>
      </c>
    </row>
    <row r="18942" spans="1:10" x14ac:dyDescent="0.25">
      <c r="A18942" t="s">
        <v>208</v>
      </c>
      <c r="B18942" s="1" t="str">
        <f>HYPERLINK("http://ibm.com.mx","ibm.com.mx")</f>
        <v>ibm.com.mx</v>
      </c>
      <c r="C18942" t="s">
        <v>471</v>
      </c>
      <c r="D18942" t="s">
        <v>847</v>
      </c>
      <c r="F18942">
        <v>6.1973960627333699E-9</v>
      </c>
      <c r="G18942">
        <v>15550046</v>
      </c>
      <c r="H18942">
        <v>13820951</v>
      </c>
      <c r="I18942">
        <v>6143026</v>
      </c>
      <c r="J18942">
        <v>3</v>
      </c>
    </row>
    <row r="18943" spans="1:10" x14ac:dyDescent="0.25">
      <c r="A18943" t="s">
        <v>208</v>
      </c>
      <c r="B18943" s="1" t="str">
        <f>HYPERLINK("http://bluemix.net","bluemix.net")</f>
        <v>bluemix.net</v>
      </c>
      <c r="C18943" t="s">
        <v>474</v>
      </c>
      <c r="E18943">
        <v>38198</v>
      </c>
      <c r="F18943">
        <v>3.2270609236106898E-6</v>
      </c>
      <c r="G18943">
        <v>12361</v>
      </c>
      <c r="H18943">
        <v>17228062</v>
      </c>
      <c r="I18943">
        <v>37196</v>
      </c>
      <c r="J18943">
        <v>2</v>
      </c>
    </row>
    <row r="18944" spans="1:10" x14ac:dyDescent="0.25">
      <c r="A18944" t="s">
        <v>208</v>
      </c>
      <c r="B18944" s="1" t="str">
        <f>HYPERLINK("http://ibm.net","ibm.net")</f>
        <v>ibm.net</v>
      </c>
      <c r="C18944" t="s">
        <v>474</v>
      </c>
      <c r="E18944">
        <v>88036</v>
      </c>
      <c r="F18944">
        <v>8.1260915931128296E-8</v>
      </c>
      <c r="G18944">
        <v>513680</v>
      </c>
      <c r="H18944">
        <v>16981460</v>
      </c>
      <c r="I18944">
        <v>98183</v>
      </c>
      <c r="J18944">
        <v>2</v>
      </c>
    </row>
    <row r="18945" spans="1:10" x14ac:dyDescent="0.25">
      <c r="A18945" t="s">
        <v>208</v>
      </c>
      <c r="B18945" s="1" t="str">
        <f>HYPERLINK("http://iss.net","iss.net")</f>
        <v>iss.net</v>
      </c>
      <c r="C18945" t="s">
        <v>474</v>
      </c>
      <c r="E18945">
        <v>49743</v>
      </c>
      <c r="F18945">
        <v>8.1804320545648402E-7</v>
      </c>
      <c r="G18945">
        <v>48313</v>
      </c>
      <c r="H18945">
        <v>17417024</v>
      </c>
      <c r="I18945">
        <v>18066</v>
      </c>
      <c r="J18945">
        <v>3</v>
      </c>
    </row>
    <row r="18946" spans="1:10" x14ac:dyDescent="0.25">
      <c r="A18946" t="s">
        <v>208</v>
      </c>
      <c r="B18946" s="1" t="str">
        <f>HYPERLINK("http://mybluemix.net","mybluemix.net")</f>
        <v>mybluemix.net</v>
      </c>
      <c r="C18946" t="s">
        <v>474</v>
      </c>
      <c r="E18946">
        <v>26530</v>
      </c>
      <c r="F18946">
        <v>3.2507301627814298E-6</v>
      </c>
      <c r="G18946">
        <v>12296</v>
      </c>
      <c r="H18946">
        <v>17783874</v>
      </c>
      <c r="I18946">
        <v>5830</v>
      </c>
      <c r="J18946">
        <v>2</v>
      </c>
    </row>
    <row r="18947" spans="1:10" x14ac:dyDescent="0.25">
      <c r="A18947" t="s">
        <v>208</v>
      </c>
      <c r="B18947" s="1" t="str">
        <f>HYPERLINK("http://ibm.no","ibm.no")</f>
        <v>ibm.no</v>
      </c>
      <c r="C18947" t="s">
        <v>478</v>
      </c>
      <c r="D18947" t="s">
        <v>853</v>
      </c>
      <c r="F18947">
        <v>8.4552194112269907E-9</v>
      </c>
      <c r="G18947">
        <v>8932480</v>
      </c>
      <c r="H18947">
        <v>13189146</v>
      </c>
      <c r="I18947">
        <v>11605602</v>
      </c>
      <c r="J18947">
        <v>3</v>
      </c>
    </row>
    <row r="18948" spans="1:10" x14ac:dyDescent="0.25">
      <c r="A18948" t="s">
        <v>208</v>
      </c>
      <c r="B18948" s="1" t="str">
        <f>HYPERLINK("http://fedoramagazine.org","fedoramagazine.org")</f>
        <v>fedoramagazine.org</v>
      </c>
      <c r="C18948" t="s">
        <v>481</v>
      </c>
      <c r="E18948">
        <v>83635</v>
      </c>
      <c r="F18948">
        <v>1.3242441135724901E-6</v>
      </c>
      <c r="G18948">
        <v>29319</v>
      </c>
      <c r="H18948">
        <v>15371549</v>
      </c>
      <c r="I18948">
        <v>381632</v>
      </c>
      <c r="J18948">
        <v>5</v>
      </c>
    </row>
    <row r="18949" spans="1:10" x14ac:dyDescent="0.25">
      <c r="A18949" t="s">
        <v>208</v>
      </c>
      <c r="B18949" s="1" t="str">
        <f>HYPERLINK("http://fedoraproject.org","fedoraproject.org")</f>
        <v>fedoraproject.org</v>
      </c>
      <c r="C18949" t="s">
        <v>481</v>
      </c>
      <c r="E18949">
        <v>1592</v>
      </c>
      <c r="F18949">
        <v>2.9871910511101901E-5</v>
      </c>
      <c r="G18949">
        <v>969</v>
      </c>
      <c r="H18949">
        <v>18272482</v>
      </c>
      <c r="I18949">
        <v>2454</v>
      </c>
      <c r="J18949">
        <v>7</v>
      </c>
    </row>
    <row r="18950" spans="1:10" x14ac:dyDescent="0.25">
      <c r="A18950" t="s">
        <v>208</v>
      </c>
      <c r="B18950" s="1" t="str">
        <f>HYPERLINK("http://frields.org","frields.org")</f>
        <v>frields.org</v>
      </c>
      <c r="C18950" t="s">
        <v>481</v>
      </c>
      <c r="F18950">
        <v>4.6255827282123502E-8</v>
      </c>
      <c r="G18950">
        <v>1012416</v>
      </c>
      <c r="H18950">
        <v>14136874</v>
      </c>
      <c r="I18950">
        <v>1958295</v>
      </c>
      <c r="J18950">
        <v>7</v>
      </c>
    </row>
    <row r="18951" spans="1:10" x14ac:dyDescent="0.25">
      <c r="A18951" t="s">
        <v>208</v>
      </c>
      <c r="B18951" s="1" t="str">
        <f>HYPERLINK("http://getfedora.org","getfedora.org")</f>
        <v>getfedora.org</v>
      </c>
      <c r="C18951" t="s">
        <v>481</v>
      </c>
      <c r="E18951">
        <v>36972</v>
      </c>
      <c r="F18951">
        <v>5.2743662714400404E-6</v>
      </c>
      <c r="G18951">
        <v>6551</v>
      </c>
      <c r="H18951">
        <v>17681920</v>
      </c>
      <c r="I18951">
        <v>7681</v>
      </c>
      <c r="J18951">
        <v>8</v>
      </c>
    </row>
    <row r="18952" spans="1:10" x14ac:dyDescent="0.25">
      <c r="A18952" t="s">
        <v>208</v>
      </c>
      <c r="B18952" s="1" t="str">
        <f>HYPERLINK("http://gluster.org","gluster.org")</f>
        <v>gluster.org</v>
      </c>
      <c r="C18952" t="s">
        <v>481</v>
      </c>
      <c r="E18952">
        <v>161981</v>
      </c>
      <c r="F18952">
        <v>1.0552967202317701E-6</v>
      </c>
      <c r="G18952">
        <v>36363</v>
      </c>
      <c r="H18952">
        <v>17285930</v>
      </c>
      <c r="I18952">
        <v>29498</v>
      </c>
      <c r="J18952">
        <v>4</v>
      </c>
    </row>
    <row r="18953" spans="1:10" x14ac:dyDescent="0.25">
      <c r="A18953" t="s">
        <v>208</v>
      </c>
      <c r="B18953" s="1" t="str">
        <f>HYPERLINK("http://ibm.org","ibm.org")</f>
        <v>ibm.org</v>
      </c>
      <c r="C18953" t="s">
        <v>481</v>
      </c>
      <c r="E18953">
        <v>267110</v>
      </c>
      <c r="F18953">
        <v>1.8511655880255701E-7</v>
      </c>
      <c r="G18953">
        <v>208232</v>
      </c>
      <c r="H18953">
        <v>14585126</v>
      </c>
      <c r="I18953">
        <v>702147</v>
      </c>
      <c r="J18953">
        <v>2</v>
      </c>
    </row>
    <row r="18954" spans="1:10" x14ac:dyDescent="0.25">
      <c r="A18954" t="s">
        <v>208</v>
      </c>
      <c r="B18954" s="1" t="str">
        <f>HYPERLINK("http://opengenus.org","opengenus.org")</f>
        <v>opengenus.org</v>
      </c>
      <c r="C18954" t="s">
        <v>481</v>
      </c>
      <c r="E18954">
        <v>80777</v>
      </c>
      <c r="F18954">
        <v>1.52897208585356E-7</v>
      </c>
      <c r="G18954">
        <v>254046</v>
      </c>
      <c r="H18954">
        <v>17113414</v>
      </c>
      <c r="I18954">
        <v>61443</v>
      </c>
      <c r="J18954">
        <v>5</v>
      </c>
    </row>
    <row r="18955" spans="1:10" x14ac:dyDescent="0.25">
      <c r="A18955" t="s">
        <v>208</v>
      </c>
      <c r="B18955" s="1" t="str">
        <f>HYPERLINK("http://redhat.org","redhat.org")</f>
        <v>redhat.org</v>
      </c>
      <c r="C18955" t="s">
        <v>481</v>
      </c>
      <c r="F18955">
        <v>1.77929762975738E-8</v>
      </c>
      <c r="G18955">
        <v>3076296</v>
      </c>
      <c r="H18955">
        <v>13188599</v>
      </c>
      <c r="I18955">
        <v>11607617</v>
      </c>
      <c r="J18955">
        <v>4</v>
      </c>
    </row>
    <row r="18956" spans="1:10" x14ac:dyDescent="0.25">
      <c r="A18956" t="s">
        <v>208</v>
      </c>
      <c r="B18956" s="1" t="str">
        <f>HYPERLINK("http://kushaldas.photography","kushaldas.photography")</f>
        <v>kushaldas.photography</v>
      </c>
      <c r="C18956" t="s">
        <v>769</v>
      </c>
      <c r="F18956">
        <v>5.7490899591923097E-9</v>
      </c>
      <c r="G18956">
        <v>18504572</v>
      </c>
      <c r="H18956">
        <v>12243287</v>
      </c>
      <c r="I18956">
        <v>22165592</v>
      </c>
      <c r="J18956">
        <v>8</v>
      </c>
    </row>
    <row r="18957" spans="1:10" x14ac:dyDescent="0.25">
      <c r="A18957" t="s">
        <v>208</v>
      </c>
      <c r="B18957" s="1" t="str">
        <f>HYPERLINK("http://redhat.com.pl","redhat.com.pl")</f>
        <v>redhat.com.pl</v>
      </c>
      <c r="C18957" t="s">
        <v>486</v>
      </c>
      <c r="D18957" t="s">
        <v>860</v>
      </c>
      <c r="F18957">
        <v>6.1315329831629297E-9</v>
      </c>
      <c r="G18957">
        <v>15917245</v>
      </c>
      <c r="H18957">
        <v>13071268</v>
      </c>
      <c r="I18957">
        <v>12239811</v>
      </c>
      <c r="J18957">
        <v>4</v>
      </c>
    </row>
    <row r="18958" spans="1:10" x14ac:dyDescent="0.25">
      <c r="A18958" t="s">
        <v>208</v>
      </c>
      <c r="B18958" s="1" t="str">
        <f>HYPERLINK("http://ibm.se","ibm.se")</f>
        <v>ibm.se</v>
      </c>
      <c r="C18958" t="s">
        <v>495</v>
      </c>
      <c r="D18958" t="s">
        <v>869</v>
      </c>
      <c r="F18958">
        <v>2.3008067088383701E-8</v>
      </c>
      <c r="G18958">
        <v>2270940</v>
      </c>
      <c r="H18958">
        <v>14085380</v>
      </c>
      <c r="I18958">
        <v>2778378</v>
      </c>
      <c r="J18958">
        <v>3</v>
      </c>
    </row>
    <row r="18959" spans="1:10" x14ac:dyDescent="0.25">
      <c r="A18959" t="s">
        <v>208</v>
      </c>
      <c r="B18959" s="1" t="str">
        <f>HYPERLINK("http://redhat.se","redhat.se")</f>
        <v>redhat.se</v>
      </c>
      <c r="C18959" t="s">
        <v>495</v>
      </c>
      <c r="D18959" t="s">
        <v>869</v>
      </c>
      <c r="F18959">
        <v>1.1912341887528E-8</v>
      </c>
      <c r="G18959">
        <v>5229876</v>
      </c>
      <c r="H18959">
        <v>12992291</v>
      </c>
      <c r="I18959">
        <v>12838266</v>
      </c>
      <c r="J18959">
        <v>4</v>
      </c>
    </row>
    <row r="18960" spans="1:10" x14ac:dyDescent="0.25">
      <c r="A18960" t="s">
        <v>208</v>
      </c>
      <c r="B18960" s="1" t="str">
        <f>HYPERLINK("http://southwestone.co.uk","southwestone.co.uk")</f>
        <v>southwestone.co.uk</v>
      </c>
      <c r="C18960" t="s">
        <v>506</v>
      </c>
      <c r="D18960" t="s">
        <v>880</v>
      </c>
      <c r="F18960">
        <v>7.7905041001626295E-9</v>
      </c>
      <c r="G18960">
        <v>10345020</v>
      </c>
      <c r="H18960">
        <v>13782364</v>
      </c>
      <c r="I18960">
        <v>6440880</v>
      </c>
      <c r="J18960">
        <v>7</v>
      </c>
    </row>
    <row r="18961" spans="1:10" x14ac:dyDescent="0.25">
      <c r="A18961" t="s">
        <v>208</v>
      </c>
      <c r="B18961" s="1" t="str">
        <f>HYPERLINK("http://esr.nhs.uk","esr.nhs.uk")</f>
        <v>esr.nhs.uk</v>
      </c>
      <c r="C18961" t="s">
        <v>506</v>
      </c>
      <c r="D18961" t="s">
        <v>880</v>
      </c>
      <c r="E18961">
        <v>166130</v>
      </c>
      <c r="F18961">
        <v>4.8502316192369899E-8</v>
      </c>
      <c r="G18961">
        <v>956463</v>
      </c>
      <c r="H18961">
        <v>13251469</v>
      </c>
      <c r="I18961">
        <v>11076610</v>
      </c>
      <c r="J18961">
        <v>3</v>
      </c>
    </row>
    <row r="18962" spans="1:10" x14ac:dyDescent="0.25">
      <c r="A18962" t="s">
        <v>208</v>
      </c>
      <c r="B18962" s="1" t="str">
        <f>HYPERLINK("http://aspera.us","aspera.us")</f>
        <v>aspera.us</v>
      </c>
      <c r="C18962" t="s">
        <v>522</v>
      </c>
      <c r="D18962" t="s">
        <v>891</v>
      </c>
      <c r="F18962">
        <v>4.9136430164072898E-8</v>
      </c>
      <c r="G18962">
        <v>942367</v>
      </c>
      <c r="H18962">
        <v>10156135</v>
      </c>
      <c r="I18962">
        <v>59406689</v>
      </c>
      <c r="J18962">
        <v>2</v>
      </c>
    </row>
    <row r="18963" spans="1:10" x14ac:dyDescent="0.25">
      <c r="A18963" t="s">
        <v>208</v>
      </c>
      <c r="B18963" s="1" t="str">
        <f>HYPERLINK("http://onnxmlir.xyz","onnxmlir.xyz")</f>
        <v>onnxmlir.xyz</v>
      </c>
      <c r="C18963" t="s">
        <v>585</v>
      </c>
      <c r="J18963">
        <v>2</v>
      </c>
    </row>
    <row r="18964" spans="1:10" x14ac:dyDescent="0.25">
      <c r="A18964" t="s">
        <v>208</v>
      </c>
      <c r="B18964" s="1" t="str">
        <f>HYPERLINK("http://victoralvarez.xyz","victoralvarez.xyz")</f>
        <v>victoralvarez.xyz</v>
      </c>
      <c r="C18964" t="s">
        <v>585</v>
      </c>
      <c r="F18964">
        <v>1.09044623363206E-8</v>
      </c>
      <c r="G18964">
        <v>5938957</v>
      </c>
      <c r="H18964">
        <v>13566547</v>
      </c>
      <c r="I18964">
        <v>9753525</v>
      </c>
      <c r="J18964">
        <v>7</v>
      </c>
    </row>
    <row r="18965" spans="1:10" x14ac:dyDescent="0.25">
      <c r="A18965" t="s">
        <v>209</v>
      </c>
      <c r="B18965" s="1" t="str">
        <f>HYPERLINK("http://aafaq.ae","aafaq.ae")</f>
        <v>aafaq.ae</v>
      </c>
      <c r="C18965" t="s">
        <v>417</v>
      </c>
      <c r="D18965" t="s">
        <v>799</v>
      </c>
      <c r="F18965">
        <v>8.5756708159894404E-9</v>
      </c>
      <c r="G18965">
        <v>8700773</v>
      </c>
      <c r="H18965">
        <v>12408249</v>
      </c>
      <c r="I18965">
        <v>18632166</v>
      </c>
      <c r="J18965">
        <v>5</v>
      </c>
    </row>
    <row r="18966" spans="1:10" x14ac:dyDescent="0.25">
      <c r="A18966" t="s">
        <v>209</v>
      </c>
      <c r="B18966" s="1" t="str">
        <f>HYPERLINK("http://alqudraholding.ae","alqudraholding.ae")</f>
        <v>alqudraholding.ae</v>
      </c>
      <c r="C18966" t="s">
        <v>417</v>
      </c>
      <c r="D18966" t="s">
        <v>799</v>
      </c>
      <c r="F18966">
        <v>1.00803636020941E-8</v>
      </c>
      <c r="G18966">
        <v>6669961</v>
      </c>
      <c r="H18966">
        <v>12499014</v>
      </c>
      <c r="I18966">
        <v>17369754</v>
      </c>
      <c r="J18966">
        <v>3</v>
      </c>
    </row>
    <row r="18967" spans="1:10" x14ac:dyDescent="0.25">
      <c r="A18967" t="s">
        <v>209</v>
      </c>
      <c r="B18967" s="1" t="str">
        <f>HYPERLINK("http://alseermarine.ae","alseermarine.ae")</f>
        <v>alseermarine.ae</v>
      </c>
      <c r="C18967" t="s">
        <v>417</v>
      </c>
      <c r="D18967" t="s">
        <v>799</v>
      </c>
      <c r="F18967">
        <v>1.19063945881475E-8</v>
      </c>
      <c r="G18967">
        <v>5233535</v>
      </c>
      <c r="H18967">
        <v>12903541</v>
      </c>
      <c r="I18967">
        <v>13837617</v>
      </c>
      <c r="J18967">
        <v>3</v>
      </c>
    </row>
    <row r="18968" spans="1:10" x14ac:dyDescent="0.25">
      <c r="A18968" t="s">
        <v>209</v>
      </c>
      <c r="B18968" s="1" t="str">
        <f>HYPERLINK("http://centuryrealestates.ae","centuryrealestates.ae")</f>
        <v>centuryrealestates.ae</v>
      </c>
      <c r="C18968" t="s">
        <v>417</v>
      </c>
      <c r="D18968" t="s">
        <v>799</v>
      </c>
      <c r="F18968">
        <v>4.5766099419641603E-9</v>
      </c>
      <c r="G18968">
        <v>49591185</v>
      </c>
      <c r="H18968">
        <v>10448428</v>
      </c>
      <c r="I18968">
        <v>52140647</v>
      </c>
      <c r="J18968">
        <v>6</v>
      </c>
    </row>
    <row r="18969" spans="1:10" x14ac:dyDescent="0.25">
      <c r="A18969" t="s">
        <v>209</v>
      </c>
      <c r="B18969" s="1" t="str">
        <f>HYPERLINK("http://cineroyal.ae","cineroyal.ae")</f>
        <v>cineroyal.ae</v>
      </c>
      <c r="C18969" t="s">
        <v>417</v>
      </c>
      <c r="D18969" t="s">
        <v>799</v>
      </c>
      <c r="F18969">
        <v>5.0650796149459502E-8</v>
      </c>
      <c r="G18969">
        <v>906310</v>
      </c>
      <c r="H18969">
        <v>16872680</v>
      </c>
      <c r="I18969">
        <v>145204</v>
      </c>
      <c r="J18969">
        <v>3</v>
      </c>
    </row>
    <row r="18970" spans="1:10" x14ac:dyDescent="0.25">
      <c r="A18970" t="s">
        <v>209</v>
      </c>
      <c r="B18970" s="1" t="str">
        <f>HYPERLINK("http://damanhealth.ae","damanhealth.ae")</f>
        <v>damanhealth.ae</v>
      </c>
      <c r="C18970" t="s">
        <v>417</v>
      </c>
      <c r="D18970" t="s">
        <v>799</v>
      </c>
      <c r="E18970">
        <v>189748</v>
      </c>
      <c r="F18970">
        <v>1.05325041702581E-7</v>
      </c>
      <c r="G18970">
        <v>380332</v>
      </c>
      <c r="H18970">
        <v>16770806</v>
      </c>
      <c r="I18970">
        <v>222497</v>
      </c>
      <c r="J18970">
        <v>6</v>
      </c>
    </row>
    <row r="18971" spans="1:10" x14ac:dyDescent="0.25">
      <c r="A18971" t="s">
        <v>209</v>
      </c>
      <c r="B18971" s="1" t="str">
        <f>HYPERLINK("http://hitechconcrete.ae","hitechconcrete.ae")</f>
        <v>hitechconcrete.ae</v>
      </c>
      <c r="C18971" t="s">
        <v>417</v>
      </c>
      <c r="D18971" t="s">
        <v>799</v>
      </c>
      <c r="F18971">
        <v>6.29931193580008E-9</v>
      </c>
      <c r="G18971">
        <v>15035997</v>
      </c>
      <c r="H18971">
        <v>11372809</v>
      </c>
      <c r="I18971">
        <v>30312536</v>
      </c>
      <c r="J18971">
        <v>5</v>
      </c>
    </row>
    <row r="18972" spans="1:10" x14ac:dyDescent="0.25">
      <c r="A18972" t="s">
        <v>209</v>
      </c>
      <c r="B18972" s="1" t="str">
        <f>HYPERLINK("http://multiply.ae","multiply.ae")</f>
        <v>multiply.ae</v>
      </c>
      <c r="C18972" t="s">
        <v>417</v>
      </c>
      <c r="D18972" t="s">
        <v>799</v>
      </c>
      <c r="F18972">
        <v>3.3226090423857998E-8</v>
      </c>
      <c r="G18972">
        <v>1555195</v>
      </c>
      <c r="H18972">
        <v>13422841</v>
      </c>
      <c r="I18972">
        <v>10299582</v>
      </c>
      <c r="J18972">
        <v>3</v>
      </c>
    </row>
    <row r="18973" spans="1:10" x14ac:dyDescent="0.25">
      <c r="A18973" t="s">
        <v>209</v>
      </c>
      <c r="B18973" s="1" t="str">
        <f>HYPERLINK("http://phoenixtimber.ae","phoenixtimber.ae")</f>
        <v>phoenixtimber.ae</v>
      </c>
      <c r="C18973" t="s">
        <v>417</v>
      </c>
      <c r="D18973" t="s">
        <v>799</v>
      </c>
      <c r="F18973">
        <v>4.8176336515300198E-9</v>
      </c>
      <c r="G18973">
        <v>35357115</v>
      </c>
      <c r="H18973">
        <v>12063471</v>
      </c>
      <c r="I18973">
        <v>26931537</v>
      </c>
      <c r="J18973">
        <v>5</v>
      </c>
    </row>
    <row r="18974" spans="1:10" x14ac:dyDescent="0.25">
      <c r="A18974" t="s">
        <v>209</v>
      </c>
      <c r="B18974" s="1" t="str">
        <f>HYPERLINK("http://pivot.ae","pivot.ae")</f>
        <v>pivot.ae</v>
      </c>
      <c r="C18974" t="s">
        <v>417</v>
      </c>
      <c r="D18974" t="s">
        <v>799</v>
      </c>
      <c r="F18974">
        <v>5.4076997189676499E-9</v>
      </c>
      <c r="G18974">
        <v>22014623</v>
      </c>
      <c r="H18974">
        <v>12635830</v>
      </c>
      <c r="I18974">
        <v>15907649</v>
      </c>
      <c r="J18974">
        <v>7</v>
      </c>
    </row>
    <row r="18975" spans="1:10" x14ac:dyDescent="0.25">
      <c r="A18975" t="s">
        <v>209</v>
      </c>
      <c r="B18975" s="1" t="str">
        <f>HYPERLINK("http://purehealth.ae","purehealth.ae")</f>
        <v>purehealth.ae</v>
      </c>
      <c r="C18975" t="s">
        <v>417</v>
      </c>
      <c r="D18975" t="s">
        <v>799</v>
      </c>
      <c r="E18975">
        <v>787813</v>
      </c>
      <c r="F18975">
        <v>7.4466295215697904E-8</v>
      </c>
      <c r="G18975">
        <v>565080</v>
      </c>
      <c r="H18975">
        <v>14379963</v>
      </c>
      <c r="I18975">
        <v>1196787</v>
      </c>
      <c r="J18975">
        <v>5</v>
      </c>
    </row>
    <row r="18976" spans="1:10" x14ac:dyDescent="0.25">
      <c r="A18976" t="s">
        <v>209</v>
      </c>
      <c r="B18976" s="1" t="str">
        <f>HYPERLINK("http://rts.ae","rts.ae")</f>
        <v>rts.ae</v>
      </c>
      <c r="C18976" t="s">
        <v>417</v>
      </c>
      <c r="D18976" t="s">
        <v>799</v>
      </c>
      <c r="F18976">
        <v>4.8253465781381597E-9</v>
      </c>
      <c r="G18976">
        <v>35015951</v>
      </c>
      <c r="H18976">
        <v>12175739</v>
      </c>
      <c r="I18976">
        <v>23913393</v>
      </c>
      <c r="J18976">
        <v>3</v>
      </c>
    </row>
    <row r="18977" spans="1:10" x14ac:dyDescent="0.25">
      <c r="A18977" t="s">
        <v>209</v>
      </c>
      <c r="B18977" s="1" t="str">
        <f>HYPERLINK("http://sparksec.ae","sparksec.ae")</f>
        <v>sparksec.ae</v>
      </c>
      <c r="C18977" t="s">
        <v>417</v>
      </c>
      <c r="D18977" t="s">
        <v>799</v>
      </c>
      <c r="F18977">
        <v>5.0272935403421397E-9</v>
      </c>
      <c r="G18977">
        <v>28732225</v>
      </c>
      <c r="H18977">
        <v>12095623</v>
      </c>
      <c r="I18977">
        <v>26085707</v>
      </c>
      <c r="J18977">
        <v>5</v>
      </c>
    </row>
    <row r="18978" spans="1:10" x14ac:dyDescent="0.25">
      <c r="A18978" t="s">
        <v>209</v>
      </c>
      <c r="B18978" s="1" t="str">
        <f>HYPERLINK("http://zeestores.ae","zeestores.ae")</f>
        <v>zeestores.ae</v>
      </c>
      <c r="C18978" t="s">
        <v>417</v>
      </c>
      <c r="D18978" t="s">
        <v>799</v>
      </c>
      <c r="F18978">
        <v>5.4243283500813498E-9</v>
      </c>
      <c r="G18978">
        <v>21810298</v>
      </c>
      <c r="H18978">
        <v>12155809</v>
      </c>
      <c r="I18978">
        <v>24474741</v>
      </c>
      <c r="J18978">
        <v>3</v>
      </c>
    </row>
    <row r="18979" spans="1:10" x14ac:dyDescent="0.25">
      <c r="A18979" t="s">
        <v>209</v>
      </c>
      <c r="B18979" s="1" t="str">
        <f>HYPERLINK("http://adbhub.com","adbhub.com")</f>
        <v>adbhub.com</v>
      </c>
      <c r="C18979" t="s">
        <v>433</v>
      </c>
      <c r="F18979">
        <v>5.0909083968030202E-9</v>
      </c>
      <c r="G18979">
        <v>27268968</v>
      </c>
      <c r="H18979">
        <v>8506028</v>
      </c>
      <c r="I18979">
        <v>71980296</v>
      </c>
      <c r="J18979">
        <v>5</v>
      </c>
    </row>
    <row r="18980" spans="1:10" x14ac:dyDescent="0.25">
      <c r="A18980" t="s">
        <v>209</v>
      </c>
      <c r="B18980" s="1" t="str">
        <f>HYPERLINK("http://aldar.com","aldar.com")</f>
        <v>aldar.com</v>
      </c>
      <c r="C18980" t="s">
        <v>433</v>
      </c>
      <c r="E18980">
        <v>324733</v>
      </c>
      <c r="F18980">
        <v>1.4296580793756899E-7</v>
      </c>
      <c r="G18980">
        <v>272304</v>
      </c>
      <c r="H18980">
        <v>16967648</v>
      </c>
      <c r="I18980">
        <v>103478</v>
      </c>
      <c r="J18980">
        <v>5</v>
      </c>
    </row>
    <row r="18981" spans="1:10" x14ac:dyDescent="0.25">
      <c r="A18981" t="s">
        <v>209</v>
      </c>
      <c r="B18981" s="1" t="str">
        <f>HYPERLINK("http://asteco.com","asteco.com")</f>
        <v>asteco.com</v>
      </c>
      <c r="C18981" t="s">
        <v>433</v>
      </c>
      <c r="F18981">
        <v>1.6247715584069401E-8</v>
      </c>
      <c r="G18981">
        <v>3483552</v>
      </c>
      <c r="H18981">
        <v>13782980</v>
      </c>
      <c r="I18981">
        <v>6431321</v>
      </c>
      <c r="J18981">
        <v>5</v>
      </c>
    </row>
    <row r="18982" spans="1:10" x14ac:dyDescent="0.25">
      <c r="A18982" t="s">
        <v>209</v>
      </c>
      <c r="B18982" s="1" t="str">
        <f>HYPERLINK("http://emarateurope.com","emarateurope.com")</f>
        <v>emarateurope.com</v>
      </c>
      <c r="C18982" t="s">
        <v>433</v>
      </c>
      <c r="F18982">
        <v>5.6912526868875997E-9</v>
      </c>
      <c r="G18982">
        <v>19034805</v>
      </c>
      <c r="H18982">
        <v>12626354</v>
      </c>
      <c r="I18982">
        <v>16021238</v>
      </c>
      <c r="J18982">
        <v>5</v>
      </c>
    </row>
    <row r="18983" spans="1:10" x14ac:dyDescent="0.25">
      <c r="A18983" t="s">
        <v>209</v>
      </c>
      <c r="B18983" s="1" t="str">
        <f>HYPERLINK("http://esguae.com","esguae.com")</f>
        <v>esguae.com</v>
      </c>
      <c r="C18983" t="s">
        <v>433</v>
      </c>
      <c r="F18983">
        <v>6.61234332422928E-9</v>
      </c>
      <c r="G18983">
        <v>13630114</v>
      </c>
      <c r="H18983">
        <v>12632018</v>
      </c>
      <c r="I18983">
        <v>15966592</v>
      </c>
      <c r="J18983">
        <v>3</v>
      </c>
    </row>
    <row r="18984" spans="1:10" x14ac:dyDescent="0.25">
      <c r="A18984" t="s">
        <v>209</v>
      </c>
      <c r="B18984" s="1" t="str">
        <f>HYPERLINK("http://ihcuae.com","ihcuae.com")</f>
        <v>ihcuae.com</v>
      </c>
      <c r="C18984" t="s">
        <v>433</v>
      </c>
      <c r="F18984">
        <v>3.93602760415386E-8</v>
      </c>
      <c r="G18984">
        <v>1311142</v>
      </c>
      <c r="H18984">
        <v>13177309</v>
      </c>
      <c r="I18984">
        <v>11693518</v>
      </c>
      <c r="J18984">
        <v>1</v>
      </c>
    </row>
    <row r="18985" spans="1:10" x14ac:dyDescent="0.25">
      <c r="A18985" t="s">
        <v>209</v>
      </c>
      <c r="B18985" s="1" t="str">
        <f>HYPERLINK("http://khidmah.com","khidmah.com")</f>
        <v>khidmah.com</v>
      </c>
      <c r="C18985" t="s">
        <v>433</v>
      </c>
      <c r="F18985">
        <v>1.09880659164464E-8</v>
      </c>
      <c r="G18985">
        <v>5870050</v>
      </c>
      <c r="H18985">
        <v>13249803</v>
      </c>
      <c r="I18985">
        <v>11087248</v>
      </c>
      <c r="J18985">
        <v>5</v>
      </c>
    </row>
    <row r="18986" spans="1:10" x14ac:dyDescent="0.25">
      <c r="A18986" t="s">
        <v>209</v>
      </c>
      <c r="B18986" s="1" t="str">
        <f>HYPERLINK("http://mawaridhi.com","mawaridhi.com")</f>
        <v>mawaridhi.com</v>
      </c>
      <c r="C18986" t="s">
        <v>433</v>
      </c>
      <c r="F18986">
        <v>5.4286078471722898E-9</v>
      </c>
      <c r="G18986">
        <v>21758751</v>
      </c>
      <c r="H18986">
        <v>12299740</v>
      </c>
      <c r="I18986">
        <v>20839892</v>
      </c>
      <c r="J18986">
        <v>5</v>
      </c>
    </row>
    <row r="18987" spans="1:10" x14ac:dyDescent="0.25">
      <c r="A18987" t="s">
        <v>209</v>
      </c>
      <c r="B18987" s="1" t="str">
        <f>HYPERLINK("http://nmdc.com","nmdc.com")</f>
        <v>nmdc.com</v>
      </c>
      <c r="C18987" t="s">
        <v>433</v>
      </c>
      <c r="F18987">
        <v>3.3411370645321698E-8</v>
      </c>
      <c r="G18987">
        <v>1547097</v>
      </c>
      <c r="H18987">
        <v>13794167</v>
      </c>
      <c r="I18987">
        <v>6318027</v>
      </c>
      <c r="J18987">
        <v>5</v>
      </c>
    </row>
    <row r="18988" spans="1:10" x14ac:dyDescent="0.25">
      <c r="A18988" t="s">
        <v>209</v>
      </c>
      <c r="B18988" s="1" t="str">
        <f>HYPERLINK("http://palmssports.com","palmssports.com")</f>
        <v>palmssports.com</v>
      </c>
      <c r="C18988" t="s">
        <v>433</v>
      </c>
      <c r="F18988">
        <v>1.33492001638129E-8</v>
      </c>
      <c r="G18988">
        <v>4471879</v>
      </c>
      <c r="H18988">
        <v>13808187</v>
      </c>
      <c r="I18988">
        <v>6223017</v>
      </c>
      <c r="J18988">
        <v>3</v>
      </c>
    </row>
    <row r="18989" spans="1:10" x14ac:dyDescent="0.25">
      <c r="A18989" t="s">
        <v>209</v>
      </c>
      <c r="B18989" s="1" t="str">
        <f>HYPERLINK("http://reemalum.com","reemalum.com")</f>
        <v>reemalum.com</v>
      </c>
      <c r="C18989" t="s">
        <v>433</v>
      </c>
      <c r="F18989">
        <v>4.7330463364870898E-9</v>
      </c>
      <c r="G18989">
        <v>39192916</v>
      </c>
      <c r="H18989">
        <v>13763649</v>
      </c>
      <c r="I18989">
        <v>7893479</v>
      </c>
      <c r="J18989">
        <v>5</v>
      </c>
    </row>
    <row r="18990" spans="1:10" x14ac:dyDescent="0.25">
      <c r="A18990" t="s">
        <v>209</v>
      </c>
      <c r="B18990" s="1" t="str">
        <f>HYPERLINK("http://reemreadymix.com","reemreadymix.com")</f>
        <v>reemreadymix.com</v>
      </c>
      <c r="C18990" t="s">
        <v>433</v>
      </c>
      <c r="F18990">
        <v>4.6854001986602896E-9</v>
      </c>
      <c r="G18990">
        <v>42031869</v>
      </c>
      <c r="H18990">
        <v>10433238</v>
      </c>
      <c r="I18990">
        <v>52987360</v>
      </c>
      <c r="J18990">
        <v>5</v>
      </c>
    </row>
    <row r="18991" spans="1:10" x14ac:dyDescent="0.25">
      <c r="A18991" t="s">
        <v>209</v>
      </c>
      <c r="B18991" s="1" t="str">
        <f>HYPERLINK("http://tamouh.com","tamouh.com")</f>
        <v>tamouh.com</v>
      </c>
      <c r="C18991" t="s">
        <v>433</v>
      </c>
      <c r="F18991">
        <v>8.8349978908747506E-9</v>
      </c>
      <c r="G18991">
        <v>8248143</v>
      </c>
      <c r="H18991">
        <v>13768238</v>
      </c>
      <c r="I18991">
        <v>6887896</v>
      </c>
      <c r="J18991">
        <v>6</v>
      </c>
    </row>
    <row r="18992" spans="1:10" x14ac:dyDescent="0.25">
      <c r="A18992" t="s">
        <v>210</v>
      </c>
      <c r="B18992" s="1" t="str">
        <f>HYPERLINK("http://reyl.ae","reyl.ae")</f>
        <v>reyl.ae</v>
      </c>
      <c r="C18992" t="s">
        <v>417</v>
      </c>
      <c r="D18992" t="s">
        <v>799</v>
      </c>
      <c r="F18992">
        <v>7.3019150189981797E-9</v>
      </c>
      <c r="G18992">
        <v>11475312</v>
      </c>
      <c r="H18992">
        <v>10530177</v>
      </c>
      <c r="I18992">
        <v>48304705</v>
      </c>
      <c r="J18992">
        <v>5</v>
      </c>
    </row>
    <row r="18993" spans="1:10" x14ac:dyDescent="0.25">
      <c r="A18993" t="s">
        <v>210</v>
      </c>
      <c r="B18993" s="1" t="str">
        <f>HYPERLINK("http://intesasanpaolobank.al","intesasanpaolobank.al")</f>
        <v>intesasanpaolobank.al</v>
      </c>
      <c r="C18993" t="s">
        <v>588</v>
      </c>
      <c r="D18993" t="s">
        <v>924</v>
      </c>
      <c r="F18993">
        <v>2.5546067092287E-8</v>
      </c>
      <c r="G18993">
        <v>2018818</v>
      </c>
      <c r="H18993">
        <v>14238388</v>
      </c>
      <c r="I18993">
        <v>1527736</v>
      </c>
      <c r="J18993">
        <v>2</v>
      </c>
    </row>
    <row r="18994" spans="1:10" x14ac:dyDescent="0.25">
      <c r="A18994" t="s">
        <v>210</v>
      </c>
      <c r="B18994" s="1" t="str">
        <f>HYPERLINK("http://intesasanpaolobanka.ba","intesasanpaolobanka.ba")</f>
        <v>intesasanpaolobanka.ba</v>
      </c>
      <c r="C18994" t="s">
        <v>526</v>
      </c>
      <c r="D18994" t="s">
        <v>893</v>
      </c>
      <c r="E18994">
        <v>647830</v>
      </c>
      <c r="F18994">
        <v>9.62381839347148E-8</v>
      </c>
      <c r="G18994">
        <v>420339</v>
      </c>
      <c r="H18994">
        <v>16884344</v>
      </c>
      <c r="I18994">
        <v>137523</v>
      </c>
      <c r="J18994">
        <v>4</v>
      </c>
    </row>
    <row r="18995" spans="1:10" x14ac:dyDescent="0.25">
      <c r="A18995" t="s">
        <v>210</v>
      </c>
      <c r="B18995" s="1" t="str">
        <f>HYPERLINK("http://intesasanpaolobrasil.com.br","intesasanpaolobrasil.com.br")</f>
        <v>intesasanpaolobrasil.com.br</v>
      </c>
      <c r="C18995" t="s">
        <v>425</v>
      </c>
      <c r="D18995" t="s">
        <v>806</v>
      </c>
      <c r="F18995">
        <v>6.04249637705688E-9</v>
      </c>
      <c r="G18995">
        <v>16426184</v>
      </c>
      <c r="H18995">
        <v>12211553</v>
      </c>
      <c r="I18995">
        <v>22988772</v>
      </c>
      <c r="J18995">
        <v>2</v>
      </c>
    </row>
    <row r="18996" spans="1:10" x14ac:dyDescent="0.25">
      <c r="A18996" t="s">
        <v>210</v>
      </c>
      <c r="B18996" s="1" t="str">
        <f>HYPERLINK("http://intesasanpaolopbmorval.ch","intesasanpaolopbmorval.ch")</f>
        <v>intesasanpaolopbmorval.ch</v>
      </c>
      <c r="C18996" t="s">
        <v>429</v>
      </c>
      <c r="D18996" t="s">
        <v>810</v>
      </c>
      <c r="F18996">
        <v>7.1527554089723597E-9</v>
      </c>
      <c r="G18996">
        <v>11869572</v>
      </c>
      <c r="H18996">
        <v>12223599</v>
      </c>
      <c r="I18996">
        <v>22692480</v>
      </c>
      <c r="J18996">
        <v>4</v>
      </c>
    </row>
    <row r="18997" spans="1:10" x14ac:dyDescent="0.25">
      <c r="A18997" t="s">
        <v>210</v>
      </c>
      <c r="B18997" s="1" t="str">
        <f>HYPERLINK("http://accedospa.com","accedospa.com")</f>
        <v>accedospa.com</v>
      </c>
      <c r="C18997" t="s">
        <v>433</v>
      </c>
      <c r="F18997">
        <v>5.3330194444830503E-9</v>
      </c>
      <c r="G18997">
        <v>23026464</v>
      </c>
      <c r="H18997">
        <v>9579245</v>
      </c>
      <c r="I18997">
        <v>64631572</v>
      </c>
      <c r="J18997">
        <v>2</v>
      </c>
    </row>
    <row r="18998" spans="1:10" x14ac:dyDescent="0.25">
      <c r="A18998" t="s">
        <v>210</v>
      </c>
      <c r="B18998" s="1" t="str">
        <f>HYPERLINK("http://alexbank.com","alexbank.com")</f>
        <v>alexbank.com</v>
      </c>
      <c r="C18998" t="s">
        <v>433</v>
      </c>
      <c r="E18998">
        <v>117307</v>
      </c>
      <c r="F18998">
        <v>9.6636059416502003E-8</v>
      </c>
      <c r="G18998">
        <v>418318</v>
      </c>
      <c r="H18998">
        <v>16987436</v>
      </c>
      <c r="I18998">
        <v>96679</v>
      </c>
      <c r="J18998">
        <v>3</v>
      </c>
    </row>
    <row r="18999" spans="1:10" x14ac:dyDescent="0.25">
      <c r="A18999" t="s">
        <v>210</v>
      </c>
      <c r="B18999" s="1" t="str">
        <f>HYPERLINK("http://banca5.com","banca5.com")</f>
        <v>banca5.com</v>
      </c>
      <c r="C18999" t="s">
        <v>433</v>
      </c>
      <c r="F18999">
        <v>2.8159891714150101E-8</v>
      </c>
      <c r="G18999">
        <v>1827312</v>
      </c>
      <c r="H18999">
        <v>12580728</v>
      </c>
      <c r="I18999">
        <v>16499701</v>
      </c>
      <c r="J18999">
        <v>2</v>
      </c>
    </row>
    <row r="19000" spans="1:10" x14ac:dyDescent="0.25">
      <c r="A19000" t="s">
        <v>210</v>
      </c>
      <c r="B19000" s="1" t="str">
        <f>HYPERLINK("http://bancadelladriatico.com","bancadelladriatico.com")</f>
        <v>bancadelladriatico.com</v>
      </c>
      <c r="C19000" t="s">
        <v>433</v>
      </c>
      <c r="J19000">
        <v>2</v>
      </c>
    </row>
    <row r="19001" spans="1:10" x14ac:dyDescent="0.25">
      <c r="A19001" t="s">
        <v>210</v>
      </c>
      <c r="B19001" s="1" t="str">
        <f>HYPERLINK("http://bancaimi.com","bancaimi.com")</f>
        <v>bancaimi.com</v>
      </c>
      <c r="C19001" t="s">
        <v>433</v>
      </c>
      <c r="F19001">
        <v>2.0554218667432899E-8</v>
      </c>
      <c r="G19001">
        <v>2577002</v>
      </c>
      <c r="H19001">
        <v>13114602</v>
      </c>
      <c r="I19001">
        <v>12019010</v>
      </c>
      <c r="J19001">
        <v>2</v>
      </c>
    </row>
    <row r="19002" spans="1:10" x14ac:dyDescent="0.25">
      <c r="A19002" t="s">
        <v>210</v>
      </c>
      <c r="B19002" s="1" t="str">
        <f>HYPERLINK("http://bancaimius.com","bancaimius.com")</f>
        <v>bancaimius.com</v>
      </c>
      <c r="C19002" t="s">
        <v>433</v>
      </c>
      <c r="J19002">
        <v>4</v>
      </c>
    </row>
    <row r="19003" spans="1:10" x14ac:dyDescent="0.25">
      <c r="A19003" t="s">
        <v>210</v>
      </c>
      <c r="B19003" s="1" t="str">
        <f>HYPERLINK("http://bancaprossima.com","bancaprossima.com")</f>
        <v>bancaprossima.com</v>
      </c>
      <c r="C19003" t="s">
        <v>433</v>
      </c>
      <c r="F19003">
        <v>1.5625695920888899E-8</v>
      </c>
      <c r="G19003">
        <v>3648096</v>
      </c>
      <c r="H19003">
        <v>13940712</v>
      </c>
      <c r="I19003">
        <v>4362729</v>
      </c>
      <c r="J19003">
        <v>2</v>
      </c>
    </row>
    <row r="19004" spans="1:10" x14ac:dyDescent="0.25">
      <c r="A19004" t="s">
        <v>210</v>
      </c>
      <c r="B19004" s="1" t="str">
        <f>HYPERLINK("http://bancodinapoli.com","bancodinapoli.com")</f>
        <v>bancodinapoli.com</v>
      </c>
      <c r="C19004" t="s">
        <v>433</v>
      </c>
      <c r="F19004">
        <v>4.6742737190343604E-9</v>
      </c>
      <c r="G19004">
        <v>42688767</v>
      </c>
      <c r="H19004">
        <v>12009074</v>
      </c>
      <c r="I19004">
        <v>28098240</v>
      </c>
      <c r="J19004">
        <v>2</v>
      </c>
    </row>
    <row r="19005" spans="1:10" x14ac:dyDescent="0.25">
      <c r="A19005" t="s">
        <v>210</v>
      </c>
      <c r="B19005" s="1" t="str">
        <f>HYPERLINK("http://carifvg.com","carifvg.com")</f>
        <v>carifvg.com</v>
      </c>
      <c r="C19005" t="s">
        <v>433</v>
      </c>
      <c r="J19005">
        <v>2</v>
      </c>
    </row>
    <row r="19006" spans="1:10" x14ac:dyDescent="0.25">
      <c r="A19006" t="s">
        <v>210</v>
      </c>
      <c r="B19006" s="1" t="str">
        <f>HYPERLINK("http://cbpquilvest.com","cbpquilvest.com")</f>
        <v>cbpquilvest.com</v>
      </c>
      <c r="C19006" t="s">
        <v>433</v>
      </c>
      <c r="F19006">
        <v>8.9120507104331599E-9</v>
      </c>
      <c r="G19006">
        <v>8125535</v>
      </c>
      <c r="H19006">
        <v>13108379</v>
      </c>
      <c r="I19006">
        <v>12046807</v>
      </c>
      <c r="J19006">
        <v>4</v>
      </c>
    </row>
    <row r="19007" spans="1:10" x14ac:dyDescent="0.25">
      <c r="A19007" t="s">
        <v>210</v>
      </c>
      <c r="B19007" s="1" t="str">
        <f>HYPERLINK("http://equiterspa.com","equiterspa.com")</f>
        <v>equiterspa.com</v>
      </c>
      <c r="C19007" t="s">
        <v>433</v>
      </c>
      <c r="F19007">
        <v>1.15394344666172E-8</v>
      </c>
      <c r="G19007">
        <v>5476183</v>
      </c>
      <c r="H19007">
        <v>12684952</v>
      </c>
      <c r="I19007">
        <v>15457680</v>
      </c>
      <c r="J19007">
        <v>2</v>
      </c>
    </row>
    <row r="19008" spans="1:10" x14ac:dyDescent="0.25">
      <c r="A19008" t="s">
        <v>210</v>
      </c>
      <c r="B19008" s="1" t="str">
        <f>HYPERLINK("http://esternibisp.com","esternibisp.com")</f>
        <v>esternibisp.com</v>
      </c>
      <c r="C19008" t="s">
        <v>433</v>
      </c>
      <c r="J19008">
        <v>2</v>
      </c>
    </row>
    <row r="19009" spans="1:10" x14ac:dyDescent="0.25">
      <c r="A19009" t="s">
        <v>210</v>
      </c>
      <c r="B19009" s="1" t="str">
        <f>HYPERLINK("http://eurizonasia.com","eurizonasia.com")</f>
        <v>eurizonasia.com</v>
      </c>
      <c r="C19009" t="s">
        <v>433</v>
      </c>
      <c r="J19009">
        <v>2</v>
      </c>
    </row>
    <row r="19010" spans="1:10" x14ac:dyDescent="0.25">
      <c r="A19010" t="s">
        <v>210</v>
      </c>
      <c r="B19010" s="1" t="str">
        <f>HYPERLINK("http://eurizoncapital.com","eurizoncapital.com")</f>
        <v>eurizoncapital.com</v>
      </c>
      <c r="C19010" t="s">
        <v>433</v>
      </c>
      <c r="F19010">
        <v>7.4533870666298102E-8</v>
      </c>
      <c r="G19010">
        <v>564511</v>
      </c>
      <c r="H19010">
        <v>13216438</v>
      </c>
      <c r="I19010">
        <v>11358253</v>
      </c>
      <c r="J19010">
        <v>2</v>
      </c>
    </row>
    <row r="19011" spans="1:10" x14ac:dyDescent="0.25">
      <c r="A19011" t="s">
        <v>210</v>
      </c>
      <c r="B19011" s="1" t="str">
        <f>HYPERLINK("http://eurizoninvestimenti.com","eurizoninvestimenti.com")</f>
        <v>eurizoninvestimenti.com</v>
      </c>
      <c r="C19011" t="s">
        <v>433</v>
      </c>
      <c r="J19011">
        <v>2</v>
      </c>
    </row>
    <row r="19012" spans="1:10" x14ac:dyDescent="0.25">
      <c r="A19012" t="s">
        <v>210</v>
      </c>
      <c r="B19012" s="1" t="str">
        <f>HYPERLINK("http://eurizonrealasset.com","eurizonrealasset.com")</f>
        <v>eurizonrealasset.com</v>
      </c>
      <c r="C19012" t="s">
        <v>433</v>
      </c>
      <c r="J19012">
        <v>2</v>
      </c>
    </row>
    <row r="19013" spans="1:10" x14ac:dyDescent="0.25">
      <c r="A19013" t="s">
        <v>210</v>
      </c>
      <c r="B19013" s="1" t="str">
        <f>HYPERLINK("http://eurizonslj.com","eurizonslj.com")</f>
        <v>eurizonslj.com</v>
      </c>
      <c r="C19013" t="s">
        <v>433</v>
      </c>
      <c r="F19013">
        <v>1.21922336041243E-8</v>
      </c>
      <c r="G19013">
        <v>5055081</v>
      </c>
      <c r="H19013">
        <v>13670719</v>
      </c>
      <c r="I19013">
        <v>9553283</v>
      </c>
      <c r="J19013">
        <v>2</v>
      </c>
    </row>
    <row r="19014" spans="1:10" x14ac:dyDescent="0.25">
      <c r="A19014" t="s">
        <v>210</v>
      </c>
      <c r="B19014" s="1" t="str">
        <f>HYPERLINK("http://eurizonsolutions.com","eurizonsolutions.com")</f>
        <v>eurizonsolutions.com</v>
      </c>
      <c r="C19014" t="s">
        <v>433</v>
      </c>
      <c r="J19014">
        <v>2</v>
      </c>
    </row>
    <row r="19015" spans="1:10" x14ac:dyDescent="0.25">
      <c r="A19015" t="s">
        <v>210</v>
      </c>
      <c r="B19015" s="1" t="str">
        <f>HYPERLINK("http://exeliacompany.com","exeliacompany.com")</f>
        <v>exeliacompany.com</v>
      </c>
      <c r="C19015" t="s">
        <v>433</v>
      </c>
      <c r="J19015">
        <v>2</v>
      </c>
    </row>
    <row r="19016" spans="1:10" x14ac:dyDescent="0.25">
      <c r="A19016" t="s">
        <v>210</v>
      </c>
      <c r="B19016" s="1" t="str">
        <f>HYPERLINK("http://eximbank.com","eximbank.com")</f>
        <v>eximbank.com</v>
      </c>
      <c r="C19016" t="s">
        <v>433</v>
      </c>
      <c r="E19016">
        <v>649402</v>
      </c>
      <c r="F19016">
        <v>2.0772044958226701E-8</v>
      </c>
      <c r="G19016">
        <v>2546862</v>
      </c>
      <c r="H19016">
        <v>13771601</v>
      </c>
      <c r="I19016">
        <v>6687813</v>
      </c>
      <c r="J19016">
        <v>5</v>
      </c>
    </row>
    <row r="19017" spans="1:10" x14ac:dyDescent="0.25">
      <c r="A19017" t="s">
        <v>210</v>
      </c>
      <c r="B19017" s="1" t="str">
        <f>HYPERLINK("http://fideuram.com","fideuram.com")</f>
        <v>fideuram.com</v>
      </c>
      <c r="C19017" t="s">
        <v>433</v>
      </c>
      <c r="J19017">
        <v>2</v>
      </c>
    </row>
    <row r="19018" spans="1:10" x14ac:dyDescent="0.25">
      <c r="A19018" t="s">
        <v>210</v>
      </c>
      <c r="B19018" s="1" t="str">
        <f>HYPERLINK("http://fideuramcapital.com","fideuramcapital.com")</f>
        <v>fideuramcapital.com</v>
      </c>
      <c r="C19018" t="s">
        <v>433</v>
      </c>
      <c r="J19018">
        <v>2</v>
      </c>
    </row>
    <row r="19019" spans="1:10" x14ac:dyDescent="0.25">
      <c r="A19019" t="s">
        <v>210</v>
      </c>
      <c r="B19019" s="1" t="str">
        <f>HYPERLINK("http://fideuramireland.com","fideuramireland.com")</f>
        <v>fideuramireland.com</v>
      </c>
      <c r="C19019" t="s">
        <v>433</v>
      </c>
      <c r="F19019">
        <v>5.1930768042775704E-9</v>
      </c>
      <c r="G19019">
        <v>25285104</v>
      </c>
      <c r="H19019">
        <v>12152226</v>
      </c>
      <c r="I19019">
        <v>24569727</v>
      </c>
      <c r="J19019">
        <v>2</v>
      </c>
    </row>
    <row r="19020" spans="1:10" x14ac:dyDescent="0.25">
      <c r="A19020" t="s">
        <v>210</v>
      </c>
      <c r="B19020" s="1" t="str">
        <f>HYPERLINK("http://fideuramsgr.com","fideuramsgr.com")</f>
        <v>fideuramsgr.com</v>
      </c>
      <c r="C19020" t="s">
        <v>433</v>
      </c>
      <c r="J19020">
        <v>2</v>
      </c>
    </row>
    <row r="19021" spans="1:10" x14ac:dyDescent="0.25">
      <c r="A19021" t="s">
        <v>210</v>
      </c>
      <c r="B19021" s="1" t="str">
        <f>HYPERLINK("http://grattacielointesasanpaolo.com","grattacielointesasanpaolo.com")</f>
        <v>grattacielointesasanpaolo.com</v>
      </c>
      <c r="C19021" t="s">
        <v>433</v>
      </c>
      <c r="F19021">
        <v>2.4195082711915101E-8</v>
      </c>
      <c r="G19021">
        <v>2144045</v>
      </c>
      <c r="H19021">
        <v>14492382</v>
      </c>
      <c r="I19021">
        <v>895317</v>
      </c>
      <c r="J19021">
        <v>2</v>
      </c>
    </row>
    <row r="19022" spans="1:10" x14ac:dyDescent="0.25">
      <c r="A19022" t="s">
        <v>210</v>
      </c>
      <c r="B19022" s="1" t="str">
        <f>HYPERLINK("http://hubinnovazione.com","hubinnovazione.com")</f>
        <v>hubinnovazione.com</v>
      </c>
      <c r="C19022" t="s">
        <v>433</v>
      </c>
      <c r="J19022">
        <v>2</v>
      </c>
    </row>
    <row r="19023" spans="1:10" x14ac:dyDescent="0.25">
      <c r="A19023" t="s">
        <v>210</v>
      </c>
      <c r="B19023" s="1" t="str">
        <f>HYPERLINK("http://intesaleasingbeograd.com","intesaleasingbeograd.com")</f>
        <v>intesaleasingbeograd.com</v>
      </c>
      <c r="C19023" t="s">
        <v>433</v>
      </c>
      <c r="F19023">
        <v>5.2594883369265199E-9</v>
      </c>
      <c r="G19023">
        <v>24111379</v>
      </c>
      <c r="H19023">
        <v>10931007</v>
      </c>
      <c r="I19023">
        <v>35045020</v>
      </c>
      <c r="J19023">
        <v>5</v>
      </c>
    </row>
    <row r="19024" spans="1:10" x14ac:dyDescent="0.25">
      <c r="A19024" t="s">
        <v>210</v>
      </c>
      <c r="B19024" s="1" t="str">
        <f>HYPERLINK("http://intesasanpaolo.com","intesasanpaolo.com")</f>
        <v>intesasanpaolo.com</v>
      </c>
      <c r="C19024" t="s">
        <v>433</v>
      </c>
      <c r="E19024">
        <v>18440</v>
      </c>
      <c r="F19024">
        <v>1.9484259751245602E-6</v>
      </c>
      <c r="G19024">
        <v>18819</v>
      </c>
      <c r="H19024">
        <v>17417534</v>
      </c>
      <c r="I19024">
        <v>18037</v>
      </c>
      <c r="J19024">
        <v>1</v>
      </c>
    </row>
    <row r="19025" spans="1:10" x14ac:dyDescent="0.25">
      <c r="A19025" t="s">
        <v>210</v>
      </c>
      <c r="B19025" s="1" t="str">
        <f>HYPERLINK("http://intesasanpaoloagents4you.com","intesasanpaoloagents4you.com")</f>
        <v>intesasanpaoloagents4you.com</v>
      </c>
      <c r="C19025" t="s">
        <v>433</v>
      </c>
      <c r="J19025">
        <v>2</v>
      </c>
    </row>
    <row r="19026" spans="1:10" x14ac:dyDescent="0.25">
      <c r="A19026" t="s">
        <v>210</v>
      </c>
      <c r="B19026" s="1" t="str">
        <f>HYPERLINK("http://intesasanpaoloassicura.com","intesasanpaoloassicura.com")</f>
        <v>intesasanpaoloassicura.com</v>
      </c>
      <c r="C19026" t="s">
        <v>433</v>
      </c>
      <c r="F19026">
        <v>2.7272644309629199E-8</v>
      </c>
      <c r="G19026">
        <v>1885164</v>
      </c>
      <c r="H19026">
        <v>13939771</v>
      </c>
      <c r="I19026">
        <v>4384537</v>
      </c>
      <c r="J19026">
        <v>2</v>
      </c>
    </row>
    <row r="19027" spans="1:10" x14ac:dyDescent="0.25">
      <c r="A19027" t="s">
        <v>210</v>
      </c>
      <c r="B19027" s="1" t="str">
        <f>HYPERLINK("http://intesasanpaolocasa.com","intesasanpaolocasa.com")</f>
        <v>intesasanpaolocasa.com</v>
      </c>
      <c r="C19027" t="s">
        <v>433</v>
      </c>
      <c r="F19027">
        <v>8.3944293535469498E-9</v>
      </c>
      <c r="G19027">
        <v>9054232</v>
      </c>
      <c r="H19027">
        <v>12656550</v>
      </c>
      <c r="I19027">
        <v>15760406</v>
      </c>
      <c r="J19027">
        <v>2</v>
      </c>
    </row>
    <row r="19028" spans="1:10" x14ac:dyDescent="0.25">
      <c r="A19028" t="s">
        <v>210</v>
      </c>
      <c r="B19028" s="1" t="str">
        <f>HYPERLINK("http://intesasanpaolofv.com","intesasanpaolofv.com")</f>
        <v>intesasanpaolofv.com</v>
      </c>
      <c r="C19028" t="s">
        <v>433</v>
      </c>
      <c r="J19028">
        <v>2</v>
      </c>
    </row>
    <row r="19029" spans="1:10" x14ac:dyDescent="0.25">
      <c r="A19029" t="s">
        <v>210</v>
      </c>
      <c r="B19029" s="1" t="str">
        <f>HYPERLINK("http://intesasanpaolohighline.com","intesasanpaolohighline.com")</f>
        <v>intesasanpaolohighline.com</v>
      </c>
      <c r="C19029" t="s">
        <v>433</v>
      </c>
      <c r="J19029">
        <v>2</v>
      </c>
    </row>
    <row r="19030" spans="1:10" x14ac:dyDescent="0.25">
      <c r="A19030" t="s">
        <v>210</v>
      </c>
      <c r="B19030" s="1" t="str">
        <f>HYPERLINK("http://intesasanpaoloinnovationcenter.com","intesasanpaoloinnovationcenter.com")</f>
        <v>intesasanpaoloinnovationcenter.com</v>
      </c>
      <c r="C19030" t="s">
        <v>433</v>
      </c>
      <c r="F19030">
        <v>3.4744655085290901E-8</v>
      </c>
      <c r="G19030">
        <v>1493987</v>
      </c>
      <c r="H19030">
        <v>12942171</v>
      </c>
      <c r="I19030">
        <v>13275120</v>
      </c>
      <c r="J19030">
        <v>2</v>
      </c>
    </row>
    <row r="19031" spans="1:10" x14ac:dyDescent="0.25">
      <c r="A19031" t="s">
        <v>210</v>
      </c>
      <c r="B19031" s="1" t="str">
        <f>HYPERLINK("http://intesasanpaoloinsuranceagency.com","intesasanpaoloinsuranceagency.com")</f>
        <v>intesasanpaoloinsuranceagency.com</v>
      </c>
      <c r="C19031" t="s">
        <v>433</v>
      </c>
      <c r="F19031">
        <v>4.8088599575195096E-9</v>
      </c>
      <c r="G19031">
        <v>35741087</v>
      </c>
      <c r="H19031">
        <v>8354151.5</v>
      </c>
      <c r="I19031">
        <v>73767667</v>
      </c>
      <c r="J19031">
        <v>2</v>
      </c>
    </row>
    <row r="19032" spans="1:10" x14ac:dyDescent="0.25">
      <c r="A19032" t="s">
        <v>210</v>
      </c>
      <c r="B19032" s="1" t="str">
        <f>HYPERLINK("http://intesasanpaolopersonalfinance.com","intesasanpaolopersonalfinance.com")</f>
        <v>intesasanpaolopersonalfinance.com</v>
      </c>
      <c r="C19032" t="s">
        <v>433</v>
      </c>
      <c r="F19032">
        <v>4.8772747930967099E-9</v>
      </c>
      <c r="G19032">
        <v>33169155</v>
      </c>
      <c r="H19032">
        <v>10309365</v>
      </c>
      <c r="I19032">
        <v>58423914</v>
      </c>
      <c r="J19032">
        <v>2</v>
      </c>
    </row>
    <row r="19033" spans="1:10" x14ac:dyDescent="0.25">
      <c r="A19033" t="s">
        <v>210</v>
      </c>
      <c r="B19033" s="1" t="str">
        <f>HYPERLINK("http://intesasanpaoloprivate.com","intesasanpaoloprivate.com")</f>
        <v>intesasanpaoloprivate.com</v>
      </c>
      <c r="C19033" t="s">
        <v>433</v>
      </c>
      <c r="J19033">
        <v>2</v>
      </c>
    </row>
    <row r="19034" spans="1:10" x14ac:dyDescent="0.25">
      <c r="A19034" t="s">
        <v>210</v>
      </c>
      <c r="B19034" s="1" t="str">
        <f>HYPERLINK("http://intesasanpaoloprivatebanking.com","intesasanpaoloprivatebanking.com")</f>
        <v>intesasanpaoloprivatebanking.com</v>
      </c>
      <c r="C19034" t="s">
        <v>433</v>
      </c>
      <c r="F19034">
        <v>6.4542629123665699E-9</v>
      </c>
      <c r="G19034">
        <v>14275490</v>
      </c>
      <c r="H19034">
        <v>12426297</v>
      </c>
      <c r="I19034">
        <v>18359479</v>
      </c>
      <c r="J19034">
        <v>2</v>
      </c>
    </row>
    <row r="19035" spans="1:10" x14ac:dyDescent="0.25">
      <c r="A19035" t="s">
        <v>210</v>
      </c>
      <c r="B19035" s="1" t="str">
        <f>HYPERLINK("http://intesasanpaoloprovis.com","intesasanpaoloprovis.com")</f>
        <v>intesasanpaoloprovis.com</v>
      </c>
      <c r="C19035" t="s">
        <v>433</v>
      </c>
      <c r="J19035">
        <v>2</v>
      </c>
    </row>
    <row r="19036" spans="1:10" x14ac:dyDescent="0.25">
      <c r="A19036" t="s">
        <v>210</v>
      </c>
      <c r="B19036" s="1" t="str">
        <f>HYPERLINK("http://intesasanpaolorbmsalute.com","intesasanpaolorbmsalute.com")</f>
        <v>intesasanpaolorbmsalute.com</v>
      </c>
      <c r="C19036" t="s">
        <v>433</v>
      </c>
      <c r="F19036">
        <v>1.25164203946402E-7</v>
      </c>
      <c r="G19036">
        <v>315194</v>
      </c>
      <c r="H19036">
        <v>12522384</v>
      </c>
      <c r="I19036">
        <v>17124922</v>
      </c>
      <c r="J19036">
        <v>2</v>
      </c>
    </row>
    <row r="19037" spans="1:10" x14ac:dyDescent="0.25">
      <c r="A19037" t="s">
        <v>210</v>
      </c>
      <c r="B19037" s="1" t="str">
        <f>HYPERLINK("http://intesasanpaoloreoco.com","intesasanpaoloreoco.com")</f>
        <v>intesasanpaoloreoco.com</v>
      </c>
      <c r="C19037" t="s">
        <v>433</v>
      </c>
      <c r="F19037">
        <v>5.7266560671088299E-9</v>
      </c>
      <c r="G19037">
        <v>18692738</v>
      </c>
      <c r="H19037">
        <v>12210880</v>
      </c>
      <c r="I19037">
        <v>23007391</v>
      </c>
      <c r="J19037">
        <v>2</v>
      </c>
    </row>
    <row r="19038" spans="1:10" x14ac:dyDescent="0.25">
      <c r="A19038" t="s">
        <v>210</v>
      </c>
      <c r="B19038" s="1" t="str">
        <f>HYPERLINK("http://intesasanpaolorfy.com","intesasanpaolorfy.com")</f>
        <v>intesasanpaolorfy.com</v>
      </c>
      <c r="C19038" t="s">
        <v>433</v>
      </c>
      <c r="J19038">
        <v>2</v>
      </c>
    </row>
    <row r="19039" spans="1:10" x14ac:dyDescent="0.25">
      <c r="A19039" t="s">
        <v>210</v>
      </c>
      <c r="B19039" s="1" t="str">
        <f>HYPERLINK("http://intesasanpaoloservitia.com","intesasanpaoloservitia.com")</f>
        <v>intesasanpaoloservitia.com</v>
      </c>
      <c r="C19039" t="s">
        <v>433</v>
      </c>
      <c r="F19039">
        <v>5.7266560671088299E-9</v>
      </c>
      <c r="G19039">
        <v>18692742</v>
      </c>
      <c r="H19039">
        <v>12210880</v>
      </c>
      <c r="I19039">
        <v>23007392</v>
      </c>
      <c r="J19039">
        <v>4</v>
      </c>
    </row>
    <row r="19040" spans="1:10" x14ac:dyDescent="0.25">
      <c r="A19040" t="s">
        <v>210</v>
      </c>
      <c r="B19040" s="1" t="str">
        <f>HYPERLINK("http://intesasp.com","intesasp.com")</f>
        <v>intesasp.com</v>
      </c>
      <c r="C19040" t="s">
        <v>433</v>
      </c>
      <c r="J19040">
        <v>2</v>
      </c>
    </row>
    <row r="19041" spans="1:10" x14ac:dyDescent="0.25">
      <c r="A19041" t="s">
        <v>210</v>
      </c>
      <c r="B19041" s="1" t="str">
        <f>HYPERLINK("http://mediocreditoitaliano.com","mediocreditoitaliano.com")</f>
        <v>mediocreditoitaliano.com</v>
      </c>
      <c r="C19041" t="s">
        <v>433</v>
      </c>
      <c r="F19041">
        <v>1.03215201361057E-8</v>
      </c>
      <c r="G19041">
        <v>6430873</v>
      </c>
      <c r="H19041">
        <v>14078751</v>
      </c>
      <c r="I19041">
        <v>2841775</v>
      </c>
      <c r="J19041">
        <v>2</v>
      </c>
    </row>
    <row r="19042" spans="1:10" x14ac:dyDescent="0.25">
      <c r="A19042" t="s">
        <v>210</v>
      </c>
      <c r="B19042" s="1" t="str">
        <f>HYPERLINK("http://moveandpay.com","moveandpay.com")</f>
        <v>moveandpay.com</v>
      </c>
      <c r="C19042" t="s">
        <v>433</v>
      </c>
      <c r="F19042">
        <v>4.5358047850811201E-9</v>
      </c>
      <c r="G19042">
        <v>53840956</v>
      </c>
      <c r="H19042">
        <v>12115519</v>
      </c>
      <c r="I19042">
        <v>25593639</v>
      </c>
      <c r="J19042">
        <v>2</v>
      </c>
    </row>
    <row r="19043" spans="1:10" x14ac:dyDescent="0.25">
      <c r="A19043" t="s">
        <v>210</v>
      </c>
      <c r="B19043" s="1" t="str">
        <f>HYPERLINK("http://nevasgr.com","nevasgr.com")</f>
        <v>nevasgr.com</v>
      </c>
      <c r="C19043" t="s">
        <v>433</v>
      </c>
      <c r="F19043">
        <v>9.7590871053729992E-9</v>
      </c>
      <c r="G19043">
        <v>7013653</v>
      </c>
      <c r="H19043">
        <v>12638799</v>
      </c>
      <c r="I19043">
        <v>15885129</v>
      </c>
      <c r="J19043">
        <v>2</v>
      </c>
    </row>
    <row r="19044" spans="1:10" x14ac:dyDescent="0.25">
      <c r="A19044" t="s">
        <v>210</v>
      </c>
      <c r="B19044" s="1" t="str">
        <f>HYPERLINK("http://piano35.com","piano35.com")</f>
        <v>piano35.com</v>
      </c>
      <c r="C19044" t="s">
        <v>433</v>
      </c>
      <c r="F19044">
        <v>8.1495329508788804E-9</v>
      </c>
      <c r="G19044">
        <v>9657052</v>
      </c>
      <c r="H19044">
        <v>13570418</v>
      </c>
      <c r="I19044">
        <v>9724716</v>
      </c>
      <c r="J19044">
        <v>2</v>
      </c>
    </row>
    <row r="19045" spans="1:10" x14ac:dyDescent="0.25">
      <c r="A19045" t="s">
        <v>210</v>
      </c>
      <c r="B19045" s="1" t="str">
        <f>HYPERLINK("http://pravex.com","pravex.com")</f>
        <v>pravex.com</v>
      </c>
      <c r="C19045" t="s">
        <v>433</v>
      </c>
      <c r="F19045">
        <v>2.0440264719607899E-8</v>
      </c>
      <c r="G19045">
        <v>2593081</v>
      </c>
      <c r="H19045">
        <v>12990555</v>
      </c>
      <c r="I19045">
        <v>12856429</v>
      </c>
      <c r="J19045">
        <v>5</v>
      </c>
    </row>
    <row r="19046" spans="1:10" x14ac:dyDescent="0.25">
      <c r="A19046" t="s">
        <v>210</v>
      </c>
      <c r="B19046" s="1" t="str">
        <f>HYPERLINK("http://reyl.com","reyl.com")</f>
        <v>reyl.com</v>
      </c>
      <c r="C19046" t="s">
        <v>433</v>
      </c>
      <c r="F19046">
        <v>6.5690518042712696E-8</v>
      </c>
      <c r="G19046">
        <v>654073</v>
      </c>
      <c r="H19046">
        <v>14113362</v>
      </c>
      <c r="I19046">
        <v>2667499</v>
      </c>
      <c r="J19046">
        <v>4</v>
      </c>
    </row>
    <row r="19047" spans="1:10" x14ac:dyDescent="0.25">
      <c r="A19047" t="s">
        <v>210</v>
      </c>
      <c r="B19047" s="1" t="str">
        <f>HYPERLINK("http://risanamentospa.com","risanamentospa.com")</f>
        <v>risanamentospa.com</v>
      </c>
      <c r="C19047" t="s">
        <v>433</v>
      </c>
      <c r="F19047">
        <v>1.00533282907609E-8</v>
      </c>
      <c r="G19047">
        <v>6702201</v>
      </c>
      <c r="H19047">
        <v>12941212</v>
      </c>
      <c r="I19047">
        <v>13280186</v>
      </c>
      <c r="J19047">
        <v>3</v>
      </c>
    </row>
    <row r="19048" spans="1:10" x14ac:dyDescent="0.25">
      <c r="A19048" t="s">
        <v>210</v>
      </c>
      <c r="B19048" s="1" t="str">
        <f>HYPERLINK("http://sanpaolo.com","sanpaolo.com")</f>
        <v>sanpaolo.com</v>
      </c>
      <c r="C19048" t="s">
        <v>433</v>
      </c>
      <c r="F19048">
        <v>6.5267099630015699E-9</v>
      </c>
      <c r="G19048">
        <v>13967957</v>
      </c>
      <c r="H19048">
        <v>12404531</v>
      </c>
      <c r="I19048">
        <v>18697329</v>
      </c>
      <c r="J19048">
        <v>2</v>
      </c>
    </row>
    <row r="19049" spans="1:10" x14ac:dyDescent="0.25">
      <c r="A19049" t="s">
        <v>210</v>
      </c>
      <c r="B19049" s="1" t="str">
        <f>HYPERLINK("http://sanpaoloimi.com","sanpaoloimi.com")</f>
        <v>sanpaoloimi.com</v>
      </c>
      <c r="C19049" t="s">
        <v>433</v>
      </c>
      <c r="E19049">
        <v>267081</v>
      </c>
      <c r="F19049">
        <v>1.2053215803309E-8</v>
      </c>
      <c r="G19049">
        <v>5142403</v>
      </c>
      <c r="H19049">
        <v>12345749</v>
      </c>
      <c r="I19049">
        <v>19837514</v>
      </c>
      <c r="J19049">
        <v>2</v>
      </c>
    </row>
    <row r="19050" spans="1:10" x14ac:dyDescent="0.25">
      <c r="A19050" t="s">
        <v>210</v>
      </c>
      <c r="B19050" s="1" t="str">
        <f>HYPERLINK("http://skills4esg.com","skills4esg.com")</f>
        <v>skills4esg.com</v>
      </c>
      <c r="C19050" t="s">
        <v>433</v>
      </c>
      <c r="F19050">
        <v>5.9525021153027302E-9</v>
      </c>
      <c r="G19050">
        <v>17006999</v>
      </c>
      <c r="H19050">
        <v>12214674</v>
      </c>
      <c r="I19050">
        <v>22913778</v>
      </c>
      <c r="J19050">
        <v>2</v>
      </c>
    </row>
    <row r="19051" spans="1:10" x14ac:dyDescent="0.25">
      <c r="A19051" t="s">
        <v>210</v>
      </c>
      <c r="B19051" s="1" t="str">
        <f>HYPERLINK("http://spinvest.com","spinvest.com")</f>
        <v>spinvest.com</v>
      </c>
      <c r="C19051" t="s">
        <v>433</v>
      </c>
      <c r="J19051">
        <v>2</v>
      </c>
    </row>
    <row r="19052" spans="1:10" x14ac:dyDescent="0.25">
      <c r="A19052" t="s">
        <v>210</v>
      </c>
      <c r="B19052" s="1" t="str">
        <f>HYPERLINK("http://yitsai.com","yitsai.com")</f>
        <v>yitsai.com</v>
      </c>
      <c r="C19052" t="s">
        <v>433</v>
      </c>
      <c r="F19052">
        <v>7.0060365461480598E-9</v>
      </c>
      <c r="G19052">
        <v>12294015</v>
      </c>
      <c r="H19052">
        <v>12220051</v>
      </c>
      <c r="I19052">
        <v>22786400</v>
      </c>
      <c r="J19052">
        <v>2</v>
      </c>
    </row>
    <row r="19053" spans="1:10" x14ac:dyDescent="0.25">
      <c r="A19053" t="s">
        <v>210</v>
      </c>
      <c r="B19053" s="1" t="str">
        <f>HYPERLINK("http://vub.cz","vub.cz")</f>
        <v>vub.cz</v>
      </c>
      <c r="C19053" t="s">
        <v>435</v>
      </c>
      <c r="D19053" t="s">
        <v>814</v>
      </c>
      <c r="F19053">
        <v>2.2111776291432301E-8</v>
      </c>
      <c r="G19053">
        <v>2373035</v>
      </c>
      <c r="H19053">
        <v>12446940</v>
      </c>
      <c r="I19053">
        <v>18064623</v>
      </c>
      <c r="J19053">
        <v>5</v>
      </c>
    </row>
    <row r="19054" spans="1:10" x14ac:dyDescent="0.25">
      <c r="A19054" t="s">
        <v>210</v>
      </c>
      <c r="B19054" s="1" t="str">
        <f>HYPERLINK("http://eurizoncapital.hk","eurizoncapital.hk")</f>
        <v>eurizoncapital.hk</v>
      </c>
      <c r="C19054" t="s">
        <v>450</v>
      </c>
      <c r="D19054" t="s">
        <v>827</v>
      </c>
      <c r="J19054">
        <v>2</v>
      </c>
    </row>
    <row r="19055" spans="1:10" x14ac:dyDescent="0.25">
      <c r="A19055" t="s">
        <v>210</v>
      </c>
      <c r="B19055" s="1" t="str">
        <f>HYPERLINK("http://pbz.hr","pbz.hr")</f>
        <v>pbz.hr</v>
      </c>
      <c r="C19055" t="s">
        <v>452</v>
      </c>
      <c r="D19055" t="s">
        <v>829</v>
      </c>
      <c r="E19055">
        <v>84315</v>
      </c>
      <c r="F19055">
        <v>1.5594972857864199E-7</v>
      </c>
      <c r="G19055">
        <v>249025</v>
      </c>
      <c r="H19055">
        <v>15027288</v>
      </c>
      <c r="I19055">
        <v>419269</v>
      </c>
      <c r="J19055">
        <v>3</v>
      </c>
    </row>
    <row r="19056" spans="1:10" x14ac:dyDescent="0.25">
      <c r="A19056" t="s">
        <v>210</v>
      </c>
      <c r="B19056" s="1" t="str">
        <f>HYPERLINK("http://pbzcard.hr","pbzcard.hr")</f>
        <v>pbzcard.hr</v>
      </c>
      <c r="C19056" t="s">
        <v>452</v>
      </c>
      <c r="D19056" t="s">
        <v>829</v>
      </c>
      <c r="E19056">
        <v>410654</v>
      </c>
      <c r="F19056">
        <v>2.1653720391465299E-7</v>
      </c>
      <c r="G19056">
        <v>174184</v>
      </c>
      <c r="H19056">
        <v>14119902</v>
      </c>
      <c r="I19056">
        <v>2421356</v>
      </c>
      <c r="J19056">
        <v>4</v>
      </c>
    </row>
    <row r="19057" spans="1:10" x14ac:dyDescent="0.25">
      <c r="A19057" t="s">
        <v>210</v>
      </c>
      <c r="B19057" s="1" t="str">
        <f>HYPERLINK("http://pbzinvest.hr","pbzinvest.hr")</f>
        <v>pbzinvest.hr</v>
      </c>
      <c r="C19057" t="s">
        <v>452</v>
      </c>
      <c r="D19057" t="s">
        <v>829</v>
      </c>
      <c r="F19057">
        <v>9.2629500707266098E-9</v>
      </c>
      <c r="G19057">
        <v>7621422</v>
      </c>
      <c r="H19057">
        <v>12444763</v>
      </c>
      <c r="I19057">
        <v>18087726</v>
      </c>
      <c r="J19057">
        <v>4</v>
      </c>
    </row>
    <row r="19058" spans="1:10" x14ac:dyDescent="0.25">
      <c r="A19058" t="s">
        <v>210</v>
      </c>
      <c r="B19058" s="1" t="str">
        <f>HYPERLINK("http://cib.hu","cib.hu")</f>
        <v>cib.hu</v>
      </c>
      <c r="C19058" t="s">
        <v>453</v>
      </c>
      <c r="D19058" t="s">
        <v>830</v>
      </c>
      <c r="E19058">
        <v>113715</v>
      </c>
      <c r="F19058">
        <v>4.7785724796094695E-7</v>
      </c>
      <c r="G19058">
        <v>79528</v>
      </c>
      <c r="H19058">
        <v>14604195</v>
      </c>
      <c r="I19058">
        <v>682892</v>
      </c>
      <c r="J19058">
        <v>4</v>
      </c>
    </row>
    <row r="19059" spans="1:10" x14ac:dyDescent="0.25">
      <c r="A19059" t="s">
        <v>210</v>
      </c>
      <c r="B19059" s="1" t="str">
        <f>HYPERLINK("http://eurizon.hu","eurizon.hu")</f>
        <v>eurizon.hu</v>
      </c>
      <c r="C19059" t="s">
        <v>453</v>
      </c>
      <c r="D19059" t="s">
        <v>830</v>
      </c>
      <c r="F19059">
        <v>1.29102830341414E-8</v>
      </c>
      <c r="G19059">
        <v>4674540</v>
      </c>
      <c r="H19059">
        <v>12308918</v>
      </c>
      <c r="I19059">
        <v>20641782</v>
      </c>
      <c r="J19059">
        <v>4</v>
      </c>
    </row>
    <row r="19060" spans="1:10" x14ac:dyDescent="0.25">
      <c r="A19060" t="s">
        <v>210</v>
      </c>
      <c r="B19060" s="1" t="str">
        <f>HYPERLINK("http://fideuramireland.ie","fideuramireland.ie")</f>
        <v>fideuramireland.ie</v>
      </c>
      <c r="C19060" t="s">
        <v>455</v>
      </c>
      <c r="D19060" t="s">
        <v>832</v>
      </c>
      <c r="F19060">
        <v>1.22446981949035E-8</v>
      </c>
      <c r="G19060">
        <v>5025378</v>
      </c>
      <c r="H19060">
        <v>12288427</v>
      </c>
      <c r="I19060">
        <v>21146553</v>
      </c>
      <c r="J19060">
        <v>2</v>
      </c>
    </row>
    <row r="19061" spans="1:10" x14ac:dyDescent="0.25">
      <c r="A19061" t="s">
        <v>210</v>
      </c>
      <c r="B19061" s="1" t="str">
        <f>HYPERLINK("http://intesasanpaolobankireland.ie","intesasanpaolobankireland.ie")</f>
        <v>intesasanpaolobankireland.ie</v>
      </c>
      <c r="C19061" t="s">
        <v>455</v>
      </c>
      <c r="D19061" t="s">
        <v>832</v>
      </c>
      <c r="F19061">
        <v>8.4501327501573195E-9</v>
      </c>
      <c r="G19061">
        <v>8942640</v>
      </c>
      <c r="H19061">
        <v>12211305</v>
      </c>
      <c r="I19061">
        <v>22994705</v>
      </c>
      <c r="J19061">
        <v>2</v>
      </c>
    </row>
    <row r="19062" spans="1:10" x14ac:dyDescent="0.25">
      <c r="A19062" t="s">
        <v>210</v>
      </c>
      <c r="B19062" s="1" t="str">
        <f>HYPERLINK("http://intesasanpaololife.ie","intesasanpaololife.ie")</f>
        <v>intesasanpaololife.ie</v>
      </c>
      <c r="C19062" t="s">
        <v>455</v>
      </c>
      <c r="D19062" t="s">
        <v>832</v>
      </c>
      <c r="F19062">
        <v>9.8357484566278802E-9</v>
      </c>
      <c r="G19062">
        <v>6931035</v>
      </c>
      <c r="H19062">
        <v>12486698</v>
      </c>
      <c r="I19062">
        <v>17527123</v>
      </c>
      <c r="J19062">
        <v>4</v>
      </c>
    </row>
    <row r="19063" spans="1:10" x14ac:dyDescent="0.25">
      <c r="A19063" t="s">
        <v>210</v>
      </c>
      <c r="B19063" s="1" t="str">
        <f>HYPERLINK("http://areax.info","areax.info")</f>
        <v>areax.info</v>
      </c>
      <c r="C19063" t="s">
        <v>458</v>
      </c>
      <c r="F19063">
        <v>1.4279300976998E-8</v>
      </c>
      <c r="G19063">
        <v>4100601</v>
      </c>
      <c r="H19063">
        <v>12440844</v>
      </c>
      <c r="I19063">
        <v>18134859</v>
      </c>
      <c r="J19063">
        <v>3</v>
      </c>
    </row>
    <row r="19064" spans="1:10" x14ac:dyDescent="0.25">
      <c r="A19064" t="s">
        <v>210</v>
      </c>
      <c r="B19064" s="1" t="str">
        <f>HYPERLINK("http://agriventure.it","agriventure.it")</f>
        <v>agriventure.it</v>
      </c>
      <c r="C19064" t="s">
        <v>459</v>
      </c>
      <c r="D19064" t="s">
        <v>835</v>
      </c>
      <c r="F19064">
        <v>5.9456164936871198E-9</v>
      </c>
      <c r="G19064">
        <v>17050420</v>
      </c>
      <c r="H19064">
        <v>12257279</v>
      </c>
      <c r="I19064">
        <v>21841732</v>
      </c>
      <c r="J19064">
        <v>2</v>
      </c>
    </row>
    <row r="19065" spans="1:10" x14ac:dyDescent="0.25">
      <c r="A19065" t="s">
        <v>210</v>
      </c>
      <c r="B19065" s="1" t="str">
        <f>HYPERLINK("http://assicurazioni-vita.it","assicurazioni-vita.it")</f>
        <v>assicurazioni-vita.it</v>
      </c>
      <c r="C19065" t="s">
        <v>459</v>
      </c>
      <c r="D19065" t="s">
        <v>835</v>
      </c>
      <c r="F19065">
        <v>6.4213247902831799E-9</v>
      </c>
      <c r="G19065">
        <v>14420137</v>
      </c>
      <c r="H19065">
        <v>12088806</v>
      </c>
      <c r="I19065">
        <v>26285610</v>
      </c>
      <c r="J19065">
        <v>2</v>
      </c>
    </row>
    <row r="19066" spans="1:10" x14ac:dyDescent="0.25">
      <c r="A19066" t="s">
        <v>210</v>
      </c>
      <c r="B19066" s="1" t="str">
        <f>HYPERLINK("http://associazionevobis.it","associazionevobis.it")</f>
        <v>associazionevobis.it</v>
      </c>
      <c r="C19066" t="s">
        <v>459</v>
      </c>
      <c r="D19066" t="s">
        <v>835</v>
      </c>
      <c r="F19066">
        <v>7.0157088325525196E-9</v>
      </c>
      <c r="G19066">
        <v>12265943</v>
      </c>
      <c r="H19066">
        <v>12241693</v>
      </c>
      <c r="I19066">
        <v>22207990</v>
      </c>
      <c r="J19066">
        <v>2</v>
      </c>
    </row>
    <row r="19067" spans="1:10" x14ac:dyDescent="0.25">
      <c r="A19067" t="s">
        <v>210</v>
      </c>
      <c r="B19067" s="1" t="str">
        <f>HYPERLINK("http://avivavita.it","avivavita.it")</f>
        <v>avivavita.it</v>
      </c>
      <c r="C19067" t="s">
        <v>459</v>
      </c>
      <c r="D19067" t="s">
        <v>835</v>
      </c>
      <c r="J19067">
        <v>2</v>
      </c>
    </row>
    <row r="19068" spans="1:10" x14ac:dyDescent="0.25">
      <c r="A19068" t="s">
        <v>210</v>
      </c>
      <c r="B19068" s="1" t="str">
        <f>HYPERLINK("http://bancacrfirenze.it","bancacrfirenze.it")</f>
        <v>bancacrfirenze.it</v>
      </c>
      <c r="C19068" t="s">
        <v>459</v>
      </c>
      <c r="D19068" t="s">
        <v>835</v>
      </c>
      <c r="F19068">
        <v>9.3697773233828696E-9</v>
      </c>
      <c r="G19068">
        <v>7483287</v>
      </c>
      <c r="H19068">
        <v>12331686</v>
      </c>
      <c r="I19068">
        <v>20175078</v>
      </c>
      <c r="J19068">
        <v>2</v>
      </c>
    </row>
    <row r="19069" spans="1:10" x14ac:dyDescent="0.25">
      <c r="A19069" t="s">
        <v>210</v>
      </c>
      <c r="B19069" s="1" t="str">
        <f>HYPERLINK("http://bancadicreditosardo.it","bancadicreditosardo.it")</f>
        <v>bancadicreditosardo.it</v>
      </c>
      <c r="C19069" t="s">
        <v>459</v>
      </c>
      <c r="D19069" t="s">
        <v>835</v>
      </c>
      <c r="F19069">
        <v>6.7774693495608498E-9</v>
      </c>
      <c r="G19069">
        <v>13035904</v>
      </c>
      <c r="H19069">
        <v>12215989</v>
      </c>
      <c r="I19069">
        <v>22881276</v>
      </c>
      <c r="J19069">
        <v>2</v>
      </c>
    </row>
    <row r="19070" spans="1:10" x14ac:dyDescent="0.25">
      <c r="A19070" t="s">
        <v>210</v>
      </c>
      <c r="B19070" s="1" t="str">
        <f>HYPERLINK("http://bancaditrentoebolzano.it","bancaditrentoebolzano.it")</f>
        <v>bancaditrentoebolzano.it</v>
      </c>
      <c r="C19070" t="s">
        <v>459</v>
      </c>
      <c r="D19070" t="s">
        <v>835</v>
      </c>
      <c r="J19070">
        <v>2</v>
      </c>
    </row>
    <row r="19071" spans="1:10" x14ac:dyDescent="0.25">
      <c r="A19071" t="s">
        <v>210</v>
      </c>
      <c r="B19071" s="1" t="str">
        <f>HYPERLINK("http://bancafideuram.it","bancafideuram.it")</f>
        <v>bancafideuram.it</v>
      </c>
      <c r="C19071" t="s">
        <v>459</v>
      </c>
      <c r="D19071" t="s">
        <v>835</v>
      </c>
      <c r="F19071">
        <v>1.9156836381758499E-8</v>
      </c>
      <c r="G19071">
        <v>2805928</v>
      </c>
      <c r="H19071">
        <v>14414664</v>
      </c>
      <c r="I19071">
        <v>1140792</v>
      </c>
      <c r="J19071">
        <v>2</v>
      </c>
    </row>
    <row r="19072" spans="1:10" x14ac:dyDescent="0.25">
      <c r="A19072" t="s">
        <v>210</v>
      </c>
      <c r="B19072" s="1" t="str">
        <f>HYPERLINK("http://bancaintesa.it","bancaintesa.it")</f>
        <v>bancaintesa.it</v>
      </c>
      <c r="C19072" t="s">
        <v>459</v>
      </c>
      <c r="D19072" t="s">
        <v>835</v>
      </c>
      <c r="E19072">
        <v>58105</v>
      </c>
      <c r="F19072">
        <v>1.49968341654125E-8</v>
      </c>
      <c r="G19072">
        <v>3840889</v>
      </c>
      <c r="H19072">
        <v>14395423</v>
      </c>
      <c r="I19072">
        <v>1160533</v>
      </c>
      <c r="J19072">
        <v>2</v>
      </c>
    </row>
    <row r="19073" spans="1:10" x14ac:dyDescent="0.25">
      <c r="A19073" t="s">
        <v>210</v>
      </c>
      <c r="B19073" s="1" t="str">
        <f>HYPERLINK("http://bancaitb.it","bancaitb.it")</f>
        <v>bancaitb.it</v>
      </c>
      <c r="C19073" t="s">
        <v>459</v>
      </c>
      <c r="D19073" t="s">
        <v>835</v>
      </c>
      <c r="F19073">
        <v>6.1716155755839102E-9</v>
      </c>
      <c r="G19073">
        <v>15684306</v>
      </c>
      <c r="H19073">
        <v>14119734</v>
      </c>
      <c r="I19073">
        <v>2498669</v>
      </c>
      <c r="J19073">
        <v>4</v>
      </c>
    </row>
    <row r="19074" spans="1:10" x14ac:dyDescent="0.25">
      <c r="A19074" t="s">
        <v>210</v>
      </c>
      <c r="B19074" s="1" t="str">
        <f>HYPERLINK("http://bancapulia.it","bancapulia.it")</f>
        <v>bancapulia.it</v>
      </c>
      <c r="C19074" t="s">
        <v>459</v>
      </c>
      <c r="D19074" t="s">
        <v>835</v>
      </c>
      <c r="F19074">
        <v>9.5099584843451607E-9</v>
      </c>
      <c r="G19074">
        <v>7310685</v>
      </c>
      <c r="H19074">
        <v>12312493</v>
      </c>
      <c r="I19074">
        <v>20564517</v>
      </c>
      <c r="J19074">
        <v>2</v>
      </c>
    </row>
    <row r="19075" spans="1:10" x14ac:dyDescent="0.25">
      <c r="A19075" t="s">
        <v>210</v>
      </c>
      <c r="B19075" s="1" t="str">
        <f>HYPERLINK("http://bancodinapoli.it","bancodinapoli.it")</f>
        <v>bancodinapoli.it</v>
      </c>
      <c r="C19075" t="s">
        <v>459</v>
      </c>
      <c r="D19075" t="s">
        <v>835</v>
      </c>
      <c r="F19075">
        <v>1.1248696254433099E-8</v>
      </c>
      <c r="G19075">
        <v>5678725</v>
      </c>
      <c r="H19075">
        <v>14072607</v>
      </c>
      <c r="I19075">
        <v>3067276</v>
      </c>
      <c r="J19075">
        <v>2</v>
      </c>
    </row>
    <row r="19076" spans="1:10" x14ac:dyDescent="0.25">
      <c r="A19076" t="s">
        <v>210</v>
      </c>
      <c r="B19076" s="1" t="str">
        <f>HYPERLINK("http://cariciv.it","cariciv.it")</f>
        <v>cariciv.it</v>
      </c>
      <c r="C19076" t="s">
        <v>459</v>
      </c>
      <c r="D19076" t="s">
        <v>835</v>
      </c>
      <c r="F19076">
        <v>6.2652775284646796E-9</v>
      </c>
      <c r="G19076">
        <v>15199692</v>
      </c>
      <c r="H19076">
        <v>12213480</v>
      </c>
      <c r="I19076">
        <v>22940526</v>
      </c>
      <c r="J19076">
        <v>2</v>
      </c>
    </row>
    <row r="19077" spans="1:10" x14ac:dyDescent="0.25">
      <c r="A19077" t="s">
        <v>210</v>
      </c>
      <c r="B19077" s="1" t="str">
        <f>HYPERLINK("http://carifirenze.it","carifirenze.it")</f>
        <v>carifirenze.it</v>
      </c>
      <c r="C19077" t="s">
        <v>459</v>
      </c>
      <c r="D19077" t="s">
        <v>835</v>
      </c>
      <c r="F19077">
        <v>6.3011294916055201E-9</v>
      </c>
      <c r="G19077">
        <v>15026124</v>
      </c>
      <c r="H19077">
        <v>12676493</v>
      </c>
      <c r="I19077">
        <v>15546564</v>
      </c>
      <c r="J19077">
        <v>2</v>
      </c>
    </row>
    <row r="19078" spans="1:10" x14ac:dyDescent="0.25">
      <c r="A19078" t="s">
        <v>210</v>
      </c>
      <c r="B19078" s="1" t="str">
        <f>HYPERLINK("http://carifol.it","carifol.it")</f>
        <v>carifol.it</v>
      </c>
      <c r="C19078" t="s">
        <v>459</v>
      </c>
      <c r="D19078" t="s">
        <v>835</v>
      </c>
      <c r="F19078">
        <v>4.4483231872281303E-9</v>
      </c>
      <c r="G19078">
        <v>72942811</v>
      </c>
      <c r="H19078">
        <v>10343991</v>
      </c>
      <c r="I19078">
        <v>57480452</v>
      </c>
      <c r="J19078">
        <v>2</v>
      </c>
    </row>
    <row r="19079" spans="1:10" x14ac:dyDescent="0.25">
      <c r="A19079" t="s">
        <v>210</v>
      </c>
      <c r="B19079" s="1" t="str">
        <f>HYPERLINK("http://carifvg.it","carifvg.it")</f>
        <v>carifvg.it</v>
      </c>
      <c r="C19079" t="s">
        <v>459</v>
      </c>
      <c r="D19079" t="s">
        <v>835</v>
      </c>
      <c r="F19079">
        <v>7.8698884324307007E-9</v>
      </c>
      <c r="G19079">
        <v>10171997</v>
      </c>
      <c r="H19079">
        <v>13468932</v>
      </c>
      <c r="I19079">
        <v>10042370</v>
      </c>
      <c r="J19079">
        <v>2</v>
      </c>
    </row>
    <row r="19080" spans="1:10" x14ac:dyDescent="0.25">
      <c r="A19080" t="s">
        <v>210</v>
      </c>
      <c r="B19080" s="1" t="str">
        <f>HYPERLINK("http://caript.it","caript.it")</f>
        <v>caript.it</v>
      </c>
      <c r="C19080" t="s">
        <v>459</v>
      </c>
      <c r="D19080" t="s">
        <v>835</v>
      </c>
      <c r="F19080">
        <v>8.8353638472649707E-9</v>
      </c>
      <c r="G19080">
        <v>8247532</v>
      </c>
      <c r="H19080">
        <v>12688728</v>
      </c>
      <c r="I19080">
        <v>15428343</v>
      </c>
      <c r="J19080">
        <v>2</v>
      </c>
    </row>
    <row r="19081" spans="1:10" x14ac:dyDescent="0.25">
      <c r="A19081" t="s">
        <v>210</v>
      </c>
      <c r="B19081" s="1" t="str">
        <f>HYPERLINK("http://cariri.it","cariri.it")</f>
        <v>cariri.it</v>
      </c>
      <c r="C19081" t="s">
        <v>459</v>
      </c>
      <c r="D19081" t="s">
        <v>835</v>
      </c>
      <c r="F19081">
        <v>5.7697233414970598E-9</v>
      </c>
      <c r="G19081">
        <v>18328659</v>
      </c>
      <c r="H19081">
        <v>12210887</v>
      </c>
      <c r="I19081">
        <v>23007278</v>
      </c>
      <c r="J19081">
        <v>2</v>
      </c>
    </row>
    <row r="19082" spans="1:10" x14ac:dyDescent="0.25">
      <c r="A19082" t="s">
        <v>210</v>
      </c>
      <c r="B19082" s="1" t="str">
        <f>HYPERLINK("http://cariromagna.it","cariromagna.it")</f>
        <v>cariromagna.it</v>
      </c>
      <c r="C19082" t="s">
        <v>459</v>
      </c>
      <c r="D19082" t="s">
        <v>835</v>
      </c>
      <c r="F19082">
        <v>6.6271947777596102E-9</v>
      </c>
      <c r="G19082">
        <v>13570483</v>
      </c>
      <c r="H19082">
        <v>12287456</v>
      </c>
      <c r="I19082">
        <v>21166561</v>
      </c>
      <c r="J19082">
        <v>2</v>
      </c>
    </row>
    <row r="19083" spans="1:10" x14ac:dyDescent="0.25">
      <c r="A19083" t="s">
        <v>210</v>
      </c>
      <c r="B19083" s="1" t="str">
        <f>HYPERLINK("http://carisap.it","carisap.it")</f>
        <v>carisap.it</v>
      </c>
      <c r="C19083" t="s">
        <v>459</v>
      </c>
      <c r="D19083" t="s">
        <v>835</v>
      </c>
      <c r="F19083">
        <v>4.9058602081711204E-9</v>
      </c>
      <c r="G19083">
        <v>32299742</v>
      </c>
      <c r="H19083">
        <v>12133208</v>
      </c>
      <c r="I19083">
        <v>25047777</v>
      </c>
      <c r="J19083">
        <v>2</v>
      </c>
    </row>
    <row r="19084" spans="1:10" x14ac:dyDescent="0.25">
      <c r="A19084" t="s">
        <v>210</v>
      </c>
      <c r="B19084" s="1" t="str">
        <f>HYPERLINK("http://carisbo.it","carisbo.it")</f>
        <v>carisbo.it</v>
      </c>
      <c r="C19084" t="s">
        <v>459</v>
      </c>
      <c r="D19084" t="s">
        <v>835</v>
      </c>
      <c r="F19084">
        <v>3.4969576314536902E-8</v>
      </c>
      <c r="G19084">
        <v>1485371</v>
      </c>
      <c r="H19084">
        <v>13291358</v>
      </c>
      <c r="I19084">
        <v>10872618</v>
      </c>
      <c r="J19084">
        <v>2</v>
      </c>
    </row>
    <row r="19085" spans="1:10" x14ac:dyDescent="0.25">
      <c r="A19085" t="s">
        <v>210</v>
      </c>
      <c r="B19085" s="1" t="str">
        <f>HYPERLINK("http://carispo.it","carispo.it")</f>
        <v>carispo.it</v>
      </c>
      <c r="C19085" t="s">
        <v>459</v>
      </c>
      <c r="D19085" t="s">
        <v>835</v>
      </c>
      <c r="F19085">
        <v>5.6174877141787896E-9</v>
      </c>
      <c r="G19085">
        <v>19691822</v>
      </c>
      <c r="H19085">
        <v>12166764</v>
      </c>
      <c r="I19085">
        <v>24152464</v>
      </c>
      <c r="J19085">
        <v>2</v>
      </c>
    </row>
    <row r="19086" spans="1:10" x14ac:dyDescent="0.25">
      <c r="A19086" t="s">
        <v>210</v>
      </c>
      <c r="B19086" s="1" t="str">
        <f>HYPERLINK("http://carit.it","carit.it")</f>
        <v>carit.it</v>
      </c>
      <c r="C19086" t="s">
        <v>459</v>
      </c>
      <c r="D19086" t="s">
        <v>835</v>
      </c>
      <c r="F19086">
        <v>4.92922930308209E-9</v>
      </c>
      <c r="G19086">
        <v>31401794</v>
      </c>
      <c r="H19086">
        <v>12161638</v>
      </c>
      <c r="I19086">
        <v>24320726</v>
      </c>
      <c r="J19086">
        <v>2</v>
      </c>
    </row>
    <row r="19087" spans="1:10" x14ac:dyDescent="0.25">
      <c r="A19087" t="s">
        <v>210</v>
      </c>
      <c r="B19087" s="1" t="str">
        <f>HYPERLINK("http://carive.it","carive.it")</f>
        <v>carive.it</v>
      </c>
      <c r="C19087" t="s">
        <v>459</v>
      </c>
      <c r="D19087" t="s">
        <v>835</v>
      </c>
      <c r="F19087">
        <v>6.2036426259364002E-9</v>
      </c>
      <c r="G19087">
        <v>15516575</v>
      </c>
      <c r="H19087">
        <v>12245789</v>
      </c>
      <c r="I19087">
        <v>22100900</v>
      </c>
      <c r="J19087">
        <v>2</v>
      </c>
    </row>
    <row r="19088" spans="1:10" x14ac:dyDescent="0.25">
      <c r="A19088" t="s">
        <v>210</v>
      </c>
      <c r="B19088" s="1" t="str">
        <f>HYPERLINK("http://cassedellumbria.it","cassedellumbria.it")</f>
        <v>cassedellumbria.it</v>
      </c>
      <c r="C19088" t="s">
        <v>459</v>
      </c>
      <c r="D19088" t="s">
        <v>835</v>
      </c>
      <c r="F19088">
        <v>6.7014372158318799E-9</v>
      </c>
      <c r="G19088">
        <v>13297959</v>
      </c>
      <c r="H19088">
        <v>12260878</v>
      </c>
      <c r="I19088">
        <v>21746082</v>
      </c>
      <c r="J19088">
        <v>2</v>
      </c>
    </row>
    <row r="19089" spans="1:10" x14ac:dyDescent="0.25">
      <c r="A19089" t="s">
        <v>210</v>
      </c>
      <c r="B19089" s="1" t="str">
        <f>HYPERLINK("http://centroleasing.it","centroleasing.it")</f>
        <v>centroleasing.it</v>
      </c>
      <c r="C19089" t="s">
        <v>459</v>
      </c>
      <c r="D19089" t="s">
        <v>835</v>
      </c>
      <c r="F19089">
        <v>4.4446520075448196E-9</v>
      </c>
      <c r="G19089">
        <v>76376701</v>
      </c>
      <c r="H19089">
        <v>1.0003663</v>
      </c>
      <c r="I19089">
        <v>79468898</v>
      </c>
      <c r="J19089">
        <v>2</v>
      </c>
    </row>
    <row r="19090" spans="1:10" x14ac:dyDescent="0.25">
      <c r="A19090" t="s">
        <v>210</v>
      </c>
      <c r="B19090" s="1" t="str">
        <f>HYPERLINK("http://circulareconomylab.it","circulareconomylab.it")</f>
        <v>circulareconomylab.it</v>
      </c>
      <c r="C19090" t="s">
        <v>459</v>
      </c>
      <c r="D19090" t="s">
        <v>835</v>
      </c>
      <c r="F19090">
        <v>2.11106668300301E-8</v>
      </c>
      <c r="G19090">
        <v>2501274</v>
      </c>
      <c r="H19090">
        <v>13200773</v>
      </c>
      <c r="I19090">
        <v>11548452</v>
      </c>
      <c r="J19090">
        <v>2</v>
      </c>
    </row>
    <row r="19091" spans="1:10" x14ac:dyDescent="0.25">
      <c r="A19091" t="s">
        <v>210</v>
      </c>
      <c r="B19091" s="1" t="str">
        <f>HYPERLINK("http://epsilonsgr.it","epsilonsgr.it")</f>
        <v>epsilonsgr.it</v>
      </c>
      <c r="C19091" t="s">
        <v>459</v>
      </c>
      <c r="D19091" t="s">
        <v>835</v>
      </c>
      <c r="F19091">
        <v>8.8486780030889905E-9</v>
      </c>
      <c r="G19091">
        <v>8226557</v>
      </c>
      <c r="H19091">
        <v>12256546</v>
      </c>
      <c r="I19091">
        <v>21857621</v>
      </c>
      <c r="J19091">
        <v>2</v>
      </c>
    </row>
    <row r="19092" spans="1:10" x14ac:dyDescent="0.25">
      <c r="A19092" t="s">
        <v>210</v>
      </c>
      <c r="B19092" s="1" t="str">
        <f>HYPERLINK("http://eurizoncapital.it","eurizoncapital.it")</f>
        <v>eurizoncapital.it</v>
      </c>
      <c r="C19092" t="s">
        <v>459</v>
      </c>
      <c r="D19092" t="s">
        <v>835</v>
      </c>
      <c r="F19092">
        <v>2.00557733716721E-8</v>
      </c>
      <c r="G19092">
        <v>2650777</v>
      </c>
      <c r="H19092">
        <v>12694810</v>
      </c>
      <c r="I19092">
        <v>15386688</v>
      </c>
      <c r="J19092">
        <v>3</v>
      </c>
    </row>
    <row r="19093" spans="1:10" x14ac:dyDescent="0.25">
      <c r="A19093" t="s">
        <v>210</v>
      </c>
      <c r="B19093" s="1" t="str">
        <f>HYPERLINK("http://eurizonrealasset.it","eurizonrealasset.it")</f>
        <v>eurizonrealasset.it</v>
      </c>
      <c r="C19093" t="s">
        <v>459</v>
      </c>
      <c r="D19093" t="s">
        <v>835</v>
      </c>
      <c r="J19093">
        <v>2</v>
      </c>
    </row>
    <row r="19094" spans="1:10" x14ac:dyDescent="0.25">
      <c r="A19094" t="s">
        <v>210</v>
      </c>
      <c r="B19094" s="1" t="str">
        <f>HYPERLINK("http://eurizonsolutions.it","eurizonsolutions.it")</f>
        <v>eurizonsolutions.it</v>
      </c>
      <c r="C19094" t="s">
        <v>459</v>
      </c>
      <c r="D19094" t="s">
        <v>835</v>
      </c>
      <c r="J19094">
        <v>2</v>
      </c>
    </row>
    <row r="19095" spans="1:10" x14ac:dyDescent="0.25">
      <c r="A19095" t="s">
        <v>210</v>
      </c>
      <c r="B19095" s="1" t="str">
        <f>HYPERLINK("http://eurizontutela.it","eurizontutela.it")</f>
        <v>eurizontutela.it</v>
      </c>
      <c r="C19095" t="s">
        <v>459</v>
      </c>
      <c r="D19095" t="s">
        <v>835</v>
      </c>
      <c r="F19095">
        <v>4.7714313683418801E-9</v>
      </c>
      <c r="G19095">
        <v>37316739</v>
      </c>
      <c r="H19095">
        <v>9934641</v>
      </c>
      <c r="I19095">
        <v>61373699</v>
      </c>
      <c r="J19095">
        <v>2</v>
      </c>
    </row>
    <row r="19096" spans="1:10" x14ac:dyDescent="0.25">
      <c r="A19096" t="s">
        <v>210</v>
      </c>
      <c r="B19096" s="1" t="str">
        <f>HYPERLINK("http://eurizonvita.it","eurizonvita.it")</f>
        <v>eurizonvita.it</v>
      </c>
      <c r="C19096" t="s">
        <v>459</v>
      </c>
      <c r="D19096" t="s">
        <v>835</v>
      </c>
      <c r="F19096">
        <v>5.7502464443575498E-9</v>
      </c>
      <c r="G19096">
        <v>18495211</v>
      </c>
      <c r="H19096">
        <v>12233010</v>
      </c>
      <c r="I19096">
        <v>22423868</v>
      </c>
      <c r="J19096">
        <v>2</v>
      </c>
    </row>
    <row r="19097" spans="1:10" x14ac:dyDescent="0.25">
      <c r="A19097" t="s">
        <v>210</v>
      </c>
      <c r="B19097" s="1" t="str">
        <f>HYPERLINK("http://fideuram.it","fideuram.it")</f>
        <v>fideuram.it</v>
      </c>
      <c r="C19097" t="s">
        <v>459</v>
      </c>
      <c r="D19097" t="s">
        <v>835</v>
      </c>
      <c r="E19097">
        <v>193922</v>
      </c>
      <c r="F19097">
        <v>6.8240756712867094E-8</v>
      </c>
      <c r="G19097">
        <v>625206</v>
      </c>
      <c r="H19097">
        <v>14187326</v>
      </c>
      <c r="I19097">
        <v>1766483</v>
      </c>
      <c r="J19097">
        <v>2</v>
      </c>
    </row>
    <row r="19098" spans="1:10" x14ac:dyDescent="0.25">
      <c r="A19098" t="s">
        <v>210</v>
      </c>
      <c r="B19098" s="1" t="str">
        <f>HYPERLINK("http://fideuramassetmanagement.it","fideuramassetmanagement.it")</f>
        <v>fideuramassetmanagement.it</v>
      </c>
      <c r="C19098" t="s">
        <v>459</v>
      </c>
      <c r="D19098" t="s">
        <v>835</v>
      </c>
      <c r="F19098">
        <v>7.1169639287115898E-9</v>
      </c>
      <c r="G19098">
        <v>11967601</v>
      </c>
      <c r="H19098">
        <v>10658365</v>
      </c>
      <c r="I19098">
        <v>43463161</v>
      </c>
      <c r="J19098">
        <v>4</v>
      </c>
    </row>
    <row r="19099" spans="1:10" x14ac:dyDescent="0.25">
      <c r="A19099" t="s">
        <v>210</v>
      </c>
      <c r="B19099" s="1" t="str">
        <f>HYPERLINK("http://fideuramcapital.it","fideuramcapital.it")</f>
        <v>fideuramcapital.it</v>
      </c>
      <c r="C19099" t="s">
        <v>459</v>
      </c>
      <c r="D19099" t="s">
        <v>835</v>
      </c>
      <c r="J19099">
        <v>2</v>
      </c>
    </row>
    <row r="19100" spans="1:10" x14ac:dyDescent="0.25">
      <c r="A19100" t="s">
        <v>210</v>
      </c>
      <c r="B19100" s="1" t="str">
        <f>HYPERLINK("http://fideuramsgr.it","fideuramsgr.it")</f>
        <v>fideuramsgr.it</v>
      </c>
      <c r="C19100" t="s">
        <v>459</v>
      </c>
      <c r="D19100" t="s">
        <v>835</v>
      </c>
      <c r="J19100">
        <v>2</v>
      </c>
    </row>
    <row r="19101" spans="1:10" x14ac:dyDescent="0.25">
      <c r="A19101" t="s">
        <v>210</v>
      </c>
      <c r="B19101" s="1" t="str">
        <f>HYPERLINK("http://fideuramvita.it","fideuramvita.it")</f>
        <v>fideuramvita.it</v>
      </c>
      <c r="C19101" t="s">
        <v>459</v>
      </c>
      <c r="D19101" t="s">
        <v>835</v>
      </c>
      <c r="F19101">
        <v>1.35092909503701E-8</v>
      </c>
      <c r="G19101">
        <v>4399964</v>
      </c>
      <c r="H19101">
        <v>12383320</v>
      </c>
      <c r="I19101">
        <v>19149161</v>
      </c>
      <c r="J19101">
        <v>2</v>
      </c>
    </row>
    <row r="19102" spans="1:10" x14ac:dyDescent="0.25">
      <c r="A19102" t="s">
        <v>210</v>
      </c>
      <c r="B19102" s="1" t="str">
        <f>HYPERLINK("http://fondosanitariogruppointesasanpaolo.it","fondosanitariogruppointesasanpaolo.it")</f>
        <v>fondosanitariogruppointesasanpaolo.it</v>
      </c>
      <c r="C19102" t="s">
        <v>459</v>
      </c>
      <c r="D19102" t="s">
        <v>835</v>
      </c>
      <c r="F19102">
        <v>4.9461513637522701E-9</v>
      </c>
      <c r="G19102">
        <v>30892939</v>
      </c>
      <c r="H19102">
        <v>10701322</v>
      </c>
      <c r="I19102">
        <v>42293532</v>
      </c>
      <c r="J19102">
        <v>2</v>
      </c>
    </row>
    <row r="19103" spans="1:10" x14ac:dyDescent="0.25">
      <c r="A19103" t="s">
        <v>210</v>
      </c>
      <c r="B19103" s="1" t="str">
        <f>HYPERLINK("http://forfunding.it","forfunding.it")</f>
        <v>forfunding.it</v>
      </c>
      <c r="C19103" t="s">
        <v>459</v>
      </c>
      <c r="D19103" t="s">
        <v>835</v>
      </c>
      <c r="F19103">
        <v>5.81034157818331E-8</v>
      </c>
      <c r="G19103">
        <v>765999</v>
      </c>
      <c r="H19103">
        <v>13778627</v>
      </c>
      <c r="I19103">
        <v>6517973</v>
      </c>
      <c r="J19103">
        <v>2</v>
      </c>
    </row>
    <row r="19104" spans="1:10" x14ac:dyDescent="0.25">
      <c r="A19104" t="s">
        <v>210</v>
      </c>
      <c r="B19104" s="1" t="str">
        <f>HYPERLINK("http://gruppoubi.it","gruppoubi.it")</f>
        <v>gruppoubi.it</v>
      </c>
      <c r="C19104" t="s">
        <v>459</v>
      </c>
      <c r="D19104" t="s">
        <v>835</v>
      </c>
      <c r="J19104">
        <v>2</v>
      </c>
    </row>
    <row r="19105" spans="1:10" x14ac:dyDescent="0.25">
      <c r="A19105" t="s">
        <v>210</v>
      </c>
      <c r="B19105" s="1" t="str">
        <f>HYPERLINK("http://imiinvestimenti.it","imiinvestimenti.it")</f>
        <v>imiinvestimenti.it</v>
      </c>
      <c r="C19105" t="s">
        <v>459</v>
      </c>
      <c r="D19105" t="s">
        <v>835</v>
      </c>
      <c r="F19105">
        <v>9.0477675854861299E-9</v>
      </c>
      <c r="G19105">
        <v>7921021</v>
      </c>
      <c r="H19105">
        <v>13291853</v>
      </c>
      <c r="I19105">
        <v>10871112</v>
      </c>
      <c r="J19105">
        <v>4</v>
      </c>
    </row>
    <row r="19106" spans="1:10" x14ac:dyDescent="0.25">
      <c r="A19106" t="s">
        <v>210</v>
      </c>
      <c r="B19106" s="1" t="str">
        <f>HYPERLINK("http://intesasanpaolo.it","intesasanpaolo.it")</f>
        <v>intesasanpaolo.it</v>
      </c>
      <c r="C19106" t="s">
        <v>459</v>
      </c>
      <c r="D19106" t="s">
        <v>835</v>
      </c>
      <c r="F19106">
        <v>1.1371738210285099E-8</v>
      </c>
      <c r="G19106">
        <v>5593386</v>
      </c>
      <c r="H19106">
        <v>14073765</v>
      </c>
      <c r="I19106">
        <v>2972978</v>
      </c>
      <c r="J19106">
        <v>2</v>
      </c>
    </row>
    <row r="19107" spans="1:10" x14ac:dyDescent="0.25">
      <c r="A19107" t="s">
        <v>210</v>
      </c>
      <c r="B19107" s="1" t="str">
        <f>HYPERLINK("http://intesasanpaoloprevidenza.it","intesasanpaoloprevidenza.it")</f>
        <v>intesasanpaoloprevidenza.it</v>
      </c>
      <c r="C19107" t="s">
        <v>459</v>
      </c>
      <c r="D19107" t="s">
        <v>835</v>
      </c>
      <c r="J19107">
        <v>2</v>
      </c>
    </row>
    <row r="19108" spans="1:10" x14ac:dyDescent="0.25">
      <c r="A19108" t="s">
        <v>210</v>
      </c>
      <c r="B19108" s="1" t="str">
        <f>HYPERLINK("http://intesasanpaoloprivate.it","intesasanpaoloprivate.it")</f>
        <v>intesasanpaoloprivate.it</v>
      </c>
      <c r="C19108" t="s">
        <v>459</v>
      </c>
      <c r="D19108" t="s">
        <v>835</v>
      </c>
      <c r="F19108">
        <v>4.5576448877873403E-9</v>
      </c>
      <c r="G19108">
        <v>51400626</v>
      </c>
      <c r="H19108">
        <v>9679228</v>
      </c>
      <c r="I19108">
        <v>63644803</v>
      </c>
      <c r="J19108">
        <v>2</v>
      </c>
    </row>
    <row r="19109" spans="1:10" x14ac:dyDescent="0.25">
      <c r="A19109" t="s">
        <v>210</v>
      </c>
      <c r="B19109" s="1" t="str">
        <f>HYPERLINK("http://intesasanpaoloprivatebanking.it","intesasanpaoloprivatebanking.it")</f>
        <v>intesasanpaoloprivatebanking.it</v>
      </c>
      <c r="C19109" t="s">
        <v>459</v>
      </c>
      <c r="D19109" t="s">
        <v>835</v>
      </c>
      <c r="F19109">
        <v>1.58848386034661E-8</v>
      </c>
      <c r="G19109">
        <v>3576621</v>
      </c>
      <c r="H19109">
        <v>12652682</v>
      </c>
      <c r="I19109">
        <v>15781883</v>
      </c>
      <c r="J19109">
        <v>2</v>
      </c>
    </row>
    <row r="19110" spans="1:10" x14ac:dyDescent="0.25">
      <c r="A19110" t="s">
        <v>210</v>
      </c>
      <c r="B19110" s="1" t="str">
        <f>HYPERLINK("http://intesasanpaolorbmsalute.it","intesasanpaolorbmsalute.it")</f>
        <v>intesasanpaolorbmsalute.it</v>
      </c>
      <c r="C19110" t="s">
        <v>459</v>
      </c>
      <c r="D19110" t="s">
        <v>835</v>
      </c>
      <c r="J19110">
        <v>2</v>
      </c>
    </row>
    <row r="19111" spans="1:10" x14ac:dyDescent="0.25">
      <c r="A19111" t="s">
        <v>210</v>
      </c>
      <c r="B19111" s="1" t="str">
        <f>HYPERLINK("http://intesasanpaolovita.it","intesasanpaolovita.it")</f>
        <v>intesasanpaolovita.it</v>
      </c>
      <c r="C19111" t="s">
        <v>459</v>
      </c>
      <c r="D19111" t="s">
        <v>835</v>
      </c>
      <c r="F19111">
        <v>2.4880593252958501E-8</v>
      </c>
      <c r="G19111">
        <v>2078132</v>
      </c>
      <c r="H19111">
        <v>13951818</v>
      </c>
      <c r="I19111">
        <v>4161405</v>
      </c>
      <c r="J19111">
        <v>2</v>
      </c>
    </row>
    <row r="19112" spans="1:10" x14ac:dyDescent="0.25">
      <c r="A19112" t="s">
        <v>210</v>
      </c>
      <c r="B19112" s="1" t="str">
        <f>HYPERLINK("http://intrum-italy.it","intrum-italy.it")</f>
        <v>intrum-italy.it</v>
      </c>
      <c r="C19112" t="s">
        <v>459</v>
      </c>
      <c r="D19112" t="s">
        <v>835</v>
      </c>
      <c r="J19112">
        <v>2</v>
      </c>
    </row>
    <row r="19113" spans="1:10" x14ac:dyDescent="0.25">
      <c r="A19113" t="s">
        <v>210</v>
      </c>
      <c r="B19113" s="1" t="str">
        <f>HYPERLINK("http://iwbank.it","iwbank.it")</f>
        <v>iwbank.it</v>
      </c>
      <c r="C19113" t="s">
        <v>459</v>
      </c>
      <c r="D19113" t="s">
        <v>835</v>
      </c>
      <c r="E19113">
        <v>295934</v>
      </c>
      <c r="F19113">
        <v>6.6641002176036596E-8</v>
      </c>
      <c r="G19113">
        <v>642637</v>
      </c>
      <c r="H19113">
        <v>17067856</v>
      </c>
      <c r="I19113">
        <v>71643</v>
      </c>
      <c r="J19113">
        <v>2</v>
      </c>
    </row>
    <row r="19114" spans="1:10" x14ac:dyDescent="0.25">
      <c r="A19114" t="s">
        <v>210</v>
      </c>
      <c r="B19114" s="1" t="str">
        <f>HYPERLINK("http://leasint.it","leasint.it")</f>
        <v>leasint.it</v>
      </c>
      <c r="C19114" t="s">
        <v>459</v>
      </c>
      <c r="D19114" t="s">
        <v>835</v>
      </c>
      <c r="F19114">
        <v>7.7494306471759504E-9</v>
      </c>
      <c r="G19114">
        <v>10468021</v>
      </c>
      <c r="H19114">
        <v>12226670</v>
      </c>
      <c r="I19114">
        <v>22605006</v>
      </c>
      <c r="J19114">
        <v>2</v>
      </c>
    </row>
    <row r="19115" spans="1:10" x14ac:dyDescent="0.25">
      <c r="A19115" t="s">
        <v>210</v>
      </c>
      <c r="B19115" s="1" t="str">
        <f>HYPERLINK("http://mediofactoring.it","mediofactoring.it")</f>
        <v>mediofactoring.it</v>
      </c>
      <c r="C19115" t="s">
        <v>459</v>
      </c>
      <c r="D19115" t="s">
        <v>835</v>
      </c>
      <c r="F19115">
        <v>5.9383939247653498E-9</v>
      </c>
      <c r="G19115">
        <v>17096784</v>
      </c>
      <c r="H19115">
        <v>12210899</v>
      </c>
      <c r="I19115">
        <v>23007087</v>
      </c>
      <c r="J19115">
        <v>2</v>
      </c>
    </row>
    <row r="19116" spans="1:10" x14ac:dyDescent="0.25">
      <c r="A19116" t="s">
        <v>210</v>
      </c>
      <c r="B19116" s="1" t="str">
        <f>HYPERLINK("http://monteparma.it","monteparma.it")</f>
        <v>monteparma.it</v>
      </c>
      <c r="C19116" t="s">
        <v>459</v>
      </c>
      <c r="D19116" t="s">
        <v>835</v>
      </c>
      <c r="F19116">
        <v>7.0959300360345397E-9</v>
      </c>
      <c r="G19116">
        <v>12026264</v>
      </c>
      <c r="H19116">
        <v>12640030</v>
      </c>
      <c r="I19116">
        <v>15875848</v>
      </c>
      <c r="J19116">
        <v>2</v>
      </c>
    </row>
    <row r="19117" spans="1:10" x14ac:dyDescent="0.25">
      <c r="A19117" t="s">
        <v>210</v>
      </c>
      <c r="B19117" s="1" t="str">
        <f>HYPERLINK("http://nidodeibimbi.it","nidodeibimbi.it")</f>
        <v>nidodeibimbi.it</v>
      </c>
      <c r="C19117" t="s">
        <v>459</v>
      </c>
      <c r="D19117" t="s">
        <v>835</v>
      </c>
      <c r="J19117">
        <v>2</v>
      </c>
    </row>
    <row r="19118" spans="1:10" x14ac:dyDescent="0.25">
      <c r="A19118" t="s">
        <v>210</v>
      </c>
      <c r="B19118" s="1" t="str">
        <f>HYPERLINK("http://officineformative.it","officineformative.it")</f>
        <v>officineformative.it</v>
      </c>
      <c r="C19118" t="s">
        <v>459</v>
      </c>
      <c r="D19118" t="s">
        <v>835</v>
      </c>
      <c r="F19118">
        <v>1.0869033493577001E-8</v>
      </c>
      <c r="G19118">
        <v>5966273</v>
      </c>
      <c r="H19118">
        <v>13935583</v>
      </c>
      <c r="I19118">
        <v>4526320</v>
      </c>
      <c r="J19118">
        <v>2</v>
      </c>
    </row>
    <row r="19119" spans="1:10" x14ac:dyDescent="0.25">
      <c r="A19119" t="s">
        <v>210</v>
      </c>
      <c r="B19119" s="1" t="str">
        <f>HYPERLINK("http://palazzothiene.it","palazzothiene.it")</f>
        <v>palazzothiene.it</v>
      </c>
      <c r="C19119" t="s">
        <v>459</v>
      </c>
      <c r="D19119" t="s">
        <v>835</v>
      </c>
      <c r="F19119">
        <v>7.1459058630214703E-9</v>
      </c>
      <c r="G19119">
        <v>11888014</v>
      </c>
      <c r="H19119">
        <v>12690537</v>
      </c>
      <c r="I19119">
        <v>15416371</v>
      </c>
      <c r="J19119">
        <v>6</v>
      </c>
    </row>
    <row r="19120" spans="1:10" x14ac:dyDescent="0.25">
      <c r="A19120" t="s">
        <v>210</v>
      </c>
      <c r="B19120" s="1" t="str">
        <f>HYPERLINK("http://popvi.it","popvi.it")</f>
        <v>popvi.it</v>
      </c>
      <c r="C19120" t="s">
        <v>459</v>
      </c>
      <c r="D19120" t="s">
        <v>835</v>
      </c>
      <c r="F19120">
        <v>6.0885608530643598E-9</v>
      </c>
      <c r="G19120">
        <v>16157221</v>
      </c>
      <c r="H19120">
        <v>12206270</v>
      </c>
      <c r="I19120">
        <v>23124710</v>
      </c>
      <c r="J19120">
        <v>4</v>
      </c>
    </row>
    <row r="19121" spans="1:10" x14ac:dyDescent="0.25">
      <c r="A19121" t="s">
        <v>210</v>
      </c>
      <c r="B19121" s="1" t="str">
        <f>HYPERLINK("http://prestitalia.it","prestitalia.it")</f>
        <v>prestitalia.it</v>
      </c>
      <c r="C19121" t="s">
        <v>459</v>
      </c>
      <c r="D19121" t="s">
        <v>835</v>
      </c>
      <c r="F19121">
        <v>1.55406364323157E-8</v>
      </c>
      <c r="G19121">
        <v>3672865</v>
      </c>
      <c r="H19121">
        <v>14074875</v>
      </c>
      <c r="I19121">
        <v>2926354</v>
      </c>
      <c r="J19121">
        <v>3</v>
      </c>
    </row>
    <row r="19122" spans="1:10" x14ac:dyDescent="0.25">
      <c r="A19122" t="s">
        <v>210</v>
      </c>
      <c r="B19122" s="1" t="str">
        <f>HYPERLINK("http://rbmsalute.it","rbmsalute.it")</f>
        <v>rbmsalute.it</v>
      </c>
      <c r="C19122" t="s">
        <v>459</v>
      </c>
      <c r="D19122" t="s">
        <v>835</v>
      </c>
      <c r="F19122">
        <v>1.0411062526567901E-7</v>
      </c>
      <c r="G19122">
        <v>385164</v>
      </c>
      <c r="H19122">
        <v>16924578</v>
      </c>
      <c r="I19122">
        <v>123600</v>
      </c>
      <c r="J19122">
        <v>4</v>
      </c>
    </row>
    <row r="19123" spans="1:10" x14ac:dyDescent="0.25">
      <c r="A19123" t="s">
        <v>210</v>
      </c>
      <c r="B19123" s="1" t="str">
        <f>HYPERLINK("http://risanamentospa.it","risanamentospa.it")</f>
        <v>risanamentospa.it</v>
      </c>
      <c r="C19123" t="s">
        <v>459</v>
      </c>
      <c r="D19123" t="s">
        <v>835</v>
      </c>
      <c r="F19123">
        <v>6.4527129413673002E-9</v>
      </c>
      <c r="G19123">
        <v>14282380</v>
      </c>
      <c r="H19123">
        <v>13934259</v>
      </c>
      <c r="I19123">
        <v>4613270</v>
      </c>
      <c r="J19123">
        <v>4</v>
      </c>
    </row>
    <row r="19124" spans="1:10" x14ac:dyDescent="0.25">
      <c r="A19124" t="s">
        <v>210</v>
      </c>
      <c r="B19124" s="1" t="str">
        <f>HYPERLINK("http://sanpaoloinvest.it","sanpaoloinvest.it")</f>
        <v>sanpaoloinvest.it</v>
      </c>
      <c r="C19124" t="s">
        <v>459</v>
      </c>
      <c r="D19124" t="s">
        <v>835</v>
      </c>
      <c r="F19124">
        <v>1.9000442067181799E-8</v>
      </c>
      <c r="G19124">
        <v>2835946</v>
      </c>
      <c r="H19124">
        <v>12321576</v>
      </c>
      <c r="I19124">
        <v>20383903</v>
      </c>
      <c r="J19124">
        <v>5</v>
      </c>
    </row>
    <row r="19125" spans="1:10" x14ac:dyDescent="0.25">
      <c r="A19125" t="s">
        <v>210</v>
      </c>
      <c r="B19125" s="1" t="str">
        <f>HYPERLINK("http://siref.it","siref.it")</f>
        <v>siref.it</v>
      </c>
      <c r="C19125" t="s">
        <v>459</v>
      </c>
      <c r="D19125" t="s">
        <v>835</v>
      </c>
      <c r="F19125">
        <v>4.6603026247192104E-9</v>
      </c>
      <c r="G19125">
        <v>43495157</v>
      </c>
      <c r="H19125">
        <v>11908637</v>
      </c>
      <c r="I19125">
        <v>29483930</v>
      </c>
      <c r="J19125">
        <v>2</v>
      </c>
    </row>
    <row r="19126" spans="1:10" x14ac:dyDescent="0.25">
      <c r="A19126" t="s">
        <v>210</v>
      </c>
      <c r="B19126" s="1" t="str">
        <f>HYPERLINK("http://sirefid.it","sirefid.it")</f>
        <v>sirefid.it</v>
      </c>
      <c r="C19126" t="s">
        <v>459</v>
      </c>
      <c r="D19126" t="s">
        <v>835</v>
      </c>
      <c r="F19126">
        <v>4.4793194630620604E-9</v>
      </c>
      <c r="G19126">
        <v>62501438</v>
      </c>
      <c r="H19126">
        <v>11021381</v>
      </c>
      <c r="I19126">
        <v>33229589</v>
      </c>
      <c r="J19126">
        <v>2</v>
      </c>
    </row>
    <row r="19127" spans="1:10" x14ac:dyDescent="0.25">
      <c r="A19127" t="s">
        <v>210</v>
      </c>
      <c r="B19127" s="1" t="str">
        <f>HYPERLINK("http://skills4esg.it","skills4esg.it")</f>
        <v>skills4esg.it</v>
      </c>
      <c r="C19127" t="s">
        <v>459</v>
      </c>
      <c r="D19127" t="s">
        <v>835</v>
      </c>
      <c r="J19127">
        <v>2</v>
      </c>
    </row>
    <row r="19128" spans="1:10" x14ac:dyDescent="0.25">
      <c r="A19128" t="s">
        <v>210</v>
      </c>
      <c r="B19128" s="1" t="str">
        <f>HYPERLINK("http://eurizoncapital.lu","eurizoncapital.lu")</f>
        <v>eurizoncapital.lu</v>
      </c>
      <c r="C19128" t="s">
        <v>547</v>
      </c>
      <c r="D19128" t="s">
        <v>904</v>
      </c>
      <c r="F19128">
        <v>1.1012920432334901E-8</v>
      </c>
      <c r="G19128">
        <v>5850147</v>
      </c>
      <c r="H19128">
        <v>13115180</v>
      </c>
      <c r="I19128">
        <v>12015237</v>
      </c>
      <c r="J19128">
        <v>2</v>
      </c>
    </row>
    <row r="19129" spans="1:10" x14ac:dyDescent="0.25">
      <c r="A19129" t="s">
        <v>210</v>
      </c>
      <c r="B19129" s="1" t="str">
        <f>HYPERLINK("http://fideuramgestions.lu","fideuramgestions.lu")</f>
        <v>fideuramgestions.lu</v>
      </c>
      <c r="C19129" t="s">
        <v>547</v>
      </c>
      <c r="D19129" t="s">
        <v>904</v>
      </c>
      <c r="F19129">
        <v>6.3724172201055799E-9</v>
      </c>
      <c r="G19129">
        <v>14654324</v>
      </c>
      <c r="H19129">
        <v>12463395</v>
      </c>
      <c r="I19129">
        <v>17833908</v>
      </c>
      <c r="J19129">
        <v>2</v>
      </c>
    </row>
    <row r="19130" spans="1:10" x14ac:dyDescent="0.25">
      <c r="A19130" t="s">
        <v>210</v>
      </c>
      <c r="B19130" s="1" t="str">
        <f>HYPERLINK("http://intesasanpaolobankluxembourg.lu","intesasanpaolobankluxembourg.lu")</f>
        <v>intesasanpaolobankluxembourg.lu</v>
      </c>
      <c r="C19130" t="s">
        <v>547</v>
      </c>
      <c r="D19130" t="s">
        <v>904</v>
      </c>
      <c r="F19130">
        <v>1.28309088009886E-8</v>
      </c>
      <c r="G19130">
        <v>4713462</v>
      </c>
      <c r="H19130">
        <v>12915838</v>
      </c>
      <c r="I19130">
        <v>13515746</v>
      </c>
      <c r="J19130">
        <v>4</v>
      </c>
    </row>
    <row r="19131" spans="1:10" x14ac:dyDescent="0.25">
      <c r="A19131" t="s">
        <v>210</v>
      </c>
      <c r="B19131" s="1" t="str">
        <f>HYPERLINK("http://seb.lu","seb.lu")</f>
        <v>seb.lu</v>
      </c>
      <c r="C19131" t="s">
        <v>547</v>
      </c>
      <c r="D19131" t="s">
        <v>904</v>
      </c>
      <c r="J19131">
        <v>5</v>
      </c>
    </row>
    <row r="19132" spans="1:10" x14ac:dyDescent="0.25">
      <c r="A19132" t="s">
        <v>210</v>
      </c>
      <c r="B19132" s="1" t="str">
        <f>HYPERLINK("http://ubibanca.lu","ubibanca.lu")</f>
        <v>ubibanca.lu</v>
      </c>
      <c r="C19132" t="s">
        <v>547</v>
      </c>
      <c r="D19132" t="s">
        <v>904</v>
      </c>
      <c r="F19132">
        <v>4.7135076201320999E-9</v>
      </c>
      <c r="G19132">
        <v>40578200</v>
      </c>
      <c r="H19132">
        <v>13063949</v>
      </c>
      <c r="I19132">
        <v>12303124</v>
      </c>
      <c r="J19132">
        <v>7</v>
      </c>
    </row>
    <row r="19133" spans="1:10" x14ac:dyDescent="0.25">
      <c r="A19133" t="s">
        <v>210</v>
      </c>
      <c r="B19133" s="1" t="str">
        <f>HYPERLINK("http://eximbank.md","eximbank.md")</f>
        <v>eximbank.md</v>
      </c>
      <c r="C19133" t="s">
        <v>571</v>
      </c>
      <c r="D19133" t="s">
        <v>918</v>
      </c>
      <c r="F19133">
        <v>3.6575274746208302E-8</v>
      </c>
      <c r="G19133">
        <v>1427995</v>
      </c>
      <c r="H19133">
        <v>13395289</v>
      </c>
      <c r="I19133">
        <v>10379044</v>
      </c>
      <c r="J19133">
        <v>4</v>
      </c>
    </row>
    <row r="19134" spans="1:10" x14ac:dyDescent="0.25">
      <c r="A19134" t="s">
        <v>210</v>
      </c>
      <c r="B19134" s="1" t="str">
        <f>HYPERLINK("http://exelia.ro","exelia.ro")</f>
        <v>exelia.ro</v>
      </c>
      <c r="C19134" t="s">
        <v>491</v>
      </c>
      <c r="D19134" t="s">
        <v>865</v>
      </c>
      <c r="J19134">
        <v>2</v>
      </c>
    </row>
    <row r="19135" spans="1:10" x14ac:dyDescent="0.25">
      <c r="A19135" t="s">
        <v>210</v>
      </c>
      <c r="B19135" s="1" t="str">
        <f>HYPERLINK("http://intesasanpaolo.ro","intesasanpaolo.ro")</f>
        <v>intesasanpaolo.ro</v>
      </c>
      <c r="C19135" t="s">
        <v>491</v>
      </c>
      <c r="D19135" t="s">
        <v>865</v>
      </c>
      <c r="F19135">
        <v>4.5616354214507903E-9</v>
      </c>
      <c r="G19135">
        <v>51015756</v>
      </c>
      <c r="H19135">
        <v>10722242</v>
      </c>
      <c r="I19135">
        <v>41635784</v>
      </c>
      <c r="J19135">
        <v>2</v>
      </c>
    </row>
    <row r="19136" spans="1:10" x14ac:dyDescent="0.25">
      <c r="A19136" t="s">
        <v>210</v>
      </c>
      <c r="B19136" s="1" t="str">
        <f>HYPERLINK("http://intesasanpaolobank.ro","intesasanpaolobank.ro")</f>
        <v>intesasanpaolobank.ro</v>
      </c>
      <c r="C19136" t="s">
        <v>491</v>
      </c>
      <c r="D19136" t="s">
        <v>865</v>
      </c>
      <c r="E19136">
        <v>734816</v>
      </c>
      <c r="F19136">
        <v>3.6070437987564602E-8</v>
      </c>
      <c r="G19136">
        <v>1445049</v>
      </c>
      <c r="H19136">
        <v>14075654</v>
      </c>
      <c r="I19136">
        <v>2903775</v>
      </c>
      <c r="J19136">
        <v>4</v>
      </c>
    </row>
    <row r="19137" spans="1:10" x14ac:dyDescent="0.25">
      <c r="A19137" t="s">
        <v>210</v>
      </c>
      <c r="B19137" s="1" t="str">
        <f>HYPERLINK("http://bancaintesa.rs","bancaintesa.rs")</f>
        <v>bancaintesa.rs</v>
      </c>
      <c r="C19137" t="s">
        <v>492</v>
      </c>
      <c r="D19137" t="s">
        <v>866</v>
      </c>
      <c r="E19137">
        <v>86667</v>
      </c>
      <c r="F19137">
        <v>6.5020875301166303E-7</v>
      </c>
      <c r="G19137">
        <v>59195</v>
      </c>
      <c r="H19137">
        <v>17035318</v>
      </c>
      <c r="I19137">
        <v>81478</v>
      </c>
      <c r="J19137">
        <v>4</v>
      </c>
    </row>
    <row r="19138" spans="1:10" x14ac:dyDescent="0.25">
      <c r="A19138" t="s">
        <v>210</v>
      </c>
      <c r="B19138" s="1" t="str">
        <f>HYPERLINK("http://intesainvest.rs","intesainvest.rs")</f>
        <v>intesainvest.rs</v>
      </c>
      <c r="C19138" t="s">
        <v>492</v>
      </c>
      <c r="D19138" t="s">
        <v>866</v>
      </c>
      <c r="F19138">
        <v>7.3258500258149602E-9</v>
      </c>
      <c r="G19138">
        <v>11417363</v>
      </c>
      <c r="H19138">
        <v>12214494</v>
      </c>
      <c r="I19138">
        <v>22917273</v>
      </c>
      <c r="J19138">
        <v>4</v>
      </c>
    </row>
    <row r="19139" spans="1:10" x14ac:dyDescent="0.25">
      <c r="A19139" t="s">
        <v>210</v>
      </c>
      <c r="B19139" s="1" t="str">
        <f>HYPERLINK("http://bancaintesa.ru","bancaintesa.ru")</f>
        <v>bancaintesa.ru</v>
      </c>
      <c r="C19139" t="s">
        <v>493</v>
      </c>
      <c r="D19139" t="s">
        <v>867</v>
      </c>
      <c r="E19139">
        <v>101011</v>
      </c>
      <c r="F19139">
        <v>1.89285901184435E-7</v>
      </c>
      <c r="G19139">
        <v>203551</v>
      </c>
      <c r="H19139">
        <v>16927220</v>
      </c>
      <c r="I19139">
        <v>120655</v>
      </c>
      <c r="J19139">
        <v>4</v>
      </c>
    </row>
    <row r="19140" spans="1:10" x14ac:dyDescent="0.25">
      <c r="A19140" t="s">
        <v>210</v>
      </c>
      <c r="B19140" s="1" t="str">
        <f>HYPERLINK("http://reyl.sg","reyl.sg")</f>
        <v>reyl.sg</v>
      </c>
      <c r="C19140" t="s">
        <v>496</v>
      </c>
      <c r="D19140" t="s">
        <v>870</v>
      </c>
      <c r="F19140">
        <v>7.3436855809782698E-9</v>
      </c>
      <c r="G19140">
        <v>11375359</v>
      </c>
      <c r="H19140">
        <v>10534335</v>
      </c>
      <c r="I19140">
        <v>47768562</v>
      </c>
      <c r="J19140">
        <v>4</v>
      </c>
    </row>
    <row r="19141" spans="1:10" x14ac:dyDescent="0.25">
      <c r="A19141" t="s">
        <v>210</v>
      </c>
      <c r="B19141" s="1" t="str">
        <f>HYPERLINK("http://intesasanpaolobank.si","intesasanpaolobank.si")</f>
        <v>intesasanpaolobank.si</v>
      </c>
      <c r="C19141" t="s">
        <v>497</v>
      </c>
      <c r="D19141" t="s">
        <v>871</v>
      </c>
      <c r="E19141">
        <v>290533</v>
      </c>
      <c r="F19141">
        <v>9.3853217688537101E-8</v>
      </c>
      <c r="G19141">
        <v>432714</v>
      </c>
      <c r="H19141">
        <v>16925942</v>
      </c>
      <c r="I19141">
        <v>121817</v>
      </c>
      <c r="J19141">
        <v>4</v>
      </c>
    </row>
    <row r="19142" spans="1:10" x14ac:dyDescent="0.25">
      <c r="A19142" t="s">
        <v>210</v>
      </c>
      <c r="B19142" s="1" t="str">
        <f>HYPERLINK("http://vub.sk","vub.sk")</f>
        <v>vub.sk</v>
      </c>
      <c r="C19142" t="s">
        <v>498</v>
      </c>
      <c r="D19142" t="s">
        <v>872</v>
      </c>
      <c r="E19142">
        <v>84995</v>
      </c>
      <c r="F19142">
        <v>4.7917679993643602E-7</v>
      </c>
      <c r="G19142">
        <v>79318</v>
      </c>
      <c r="H19142">
        <v>16934154</v>
      </c>
      <c r="I19142">
        <v>116498</v>
      </c>
      <c r="J19142">
        <v>4</v>
      </c>
    </row>
    <row r="19143" spans="1:10" x14ac:dyDescent="0.25">
      <c r="A19143" t="s">
        <v>210</v>
      </c>
      <c r="B19143" s="1" t="str">
        <f>HYPERLINK("http://vubam.sk","vubam.sk")</f>
        <v>vubam.sk</v>
      </c>
      <c r="C19143" t="s">
        <v>498</v>
      </c>
      <c r="D19143" t="s">
        <v>872</v>
      </c>
      <c r="F19143">
        <v>8.5047371445657696E-9</v>
      </c>
      <c r="G19143">
        <v>8836628</v>
      </c>
      <c r="H19143">
        <v>14072496</v>
      </c>
      <c r="I19143">
        <v>3081698</v>
      </c>
      <c r="J19143">
        <v>4</v>
      </c>
    </row>
    <row r="19144" spans="1:10" x14ac:dyDescent="0.25">
      <c r="A19144" t="s">
        <v>210</v>
      </c>
      <c r="B19144" s="1" t="str">
        <f>HYPERLINK("http://vubfact.sk","vubfact.sk")</f>
        <v>vubfact.sk</v>
      </c>
      <c r="C19144" t="s">
        <v>498</v>
      </c>
      <c r="D19144" t="s">
        <v>872</v>
      </c>
      <c r="F19144">
        <v>6.3887679812157001E-9</v>
      </c>
      <c r="G19144">
        <v>14574843</v>
      </c>
      <c r="H19144">
        <v>12223434</v>
      </c>
      <c r="I19144">
        <v>22696035</v>
      </c>
      <c r="J19144">
        <v>5</v>
      </c>
    </row>
    <row r="19145" spans="1:10" x14ac:dyDescent="0.25">
      <c r="A19145" t="s">
        <v>210</v>
      </c>
      <c r="B19145" s="1" t="str">
        <f>HYPERLINK("http://vubgenerali.sk","vubgenerali.sk")</f>
        <v>vubgenerali.sk</v>
      </c>
      <c r="C19145" t="s">
        <v>498</v>
      </c>
      <c r="D19145" t="s">
        <v>872</v>
      </c>
      <c r="F19145">
        <v>7.3572369662986896E-8</v>
      </c>
      <c r="G19145">
        <v>572744</v>
      </c>
      <c r="H19145">
        <v>16814062</v>
      </c>
      <c r="I19145">
        <v>190382</v>
      </c>
      <c r="J19145">
        <v>5</v>
      </c>
    </row>
    <row r="19146" spans="1:10" x14ac:dyDescent="0.25">
      <c r="A19146" t="s">
        <v>210</v>
      </c>
      <c r="B19146" s="1" t="str">
        <f>HYPERLINK("http://pravex.com.ua","pravex.com.ua")</f>
        <v>pravex.com.ua</v>
      </c>
      <c r="C19146" t="s">
        <v>505</v>
      </c>
      <c r="D19146" t="s">
        <v>879</v>
      </c>
      <c r="F19146">
        <v>9.1989645411284194E-8</v>
      </c>
      <c r="G19146">
        <v>442724</v>
      </c>
      <c r="H19146">
        <v>16873822</v>
      </c>
      <c r="I19146">
        <v>143482</v>
      </c>
      <c r="J19146">
        <v>4</v>
      </c>
    </row>
    <row r="19147" spans="1:10" x14ac:dyDescent="0.25">
      <c r="A19147" t="s">
        <v>210</v>
      </c>
      <c r="B19147" s="1" t="str">
        <f>HYPERLINK("http://pravex.ua","pravex.ua")</f>
        <v>pravex.ua</v>
      </c>
      <c r="C19147" t="s">
        <v>505</v>
      </c>
      <c r="D19147" t="s">
        <v>879</v>
      </c>
      <c r="F19147">
        <v>4.7372962556209899E-9</v>
      </c>
      <c r="G19147">
        <v>38935011</v>
      </c>
      <c r="H19147">
        <v>10349995</v>
      </c>
      <c r="I19147">
        <v>56376765</v>
      </c>
      <c r="J19147">
        <v>5</v>
      </c>
    </row>
    <row r="19148" spans="1:10" x14ac:dyDescent="0.25">
      <c r="A19148" t="s">
        <v>210</v>
      </c>
      <c r="B19148" s="1" t="str">
        <f>HYPERLINK("http://intesasanpaolopbmorval.co.uk","intesasanpaolopbmorval.co.uk")</f>
        <v>intesasanpaolopbmorval.co.uk</v>
      </c>
      <c r="C19148" t="s">
        <v>506</v>
      </c>
      <c r="D19148" t="s">
        <v>880</v>
      </c>
      <c r="J19148">
        <v>5</v>
      </c>
    </row>
    <row r="19149" spans="1:10" x14ac:dyDescent="0.25">
      <c r="A19149" t="s">
        <v>211</v>
      </c>
      <c r="B19149" s="1" t="str">
        <f>HYPERLINK("http://imvision.ai","imvision.ai")</f>
        <v>imvision.ai</v>
      </c>
      <c r="C19149" t="s">
        <v>524</v>
      </c>
      <c r="D19149" t="s">
        <v>892</v>
      </c>
      <c r="F19149">
        <v>2.4064055388164201E-8</v>
      </c>
      <c r="G19149">
        <v>2156737</v>
      </c>
      <c r="H19149">
        <v>13463727</v>
      </c>
      <c r="I19149">
        <v>10145312</v>
      </c>
      <c r="J19149">
        <v>6</v>
      </c>
    </row>
    <row r="19150" spans="1:10" x14ac:dyDescent="0.25">
      <c r="A19150" t="s">
        <v>211</v>
      </c>
      <c r="B19150" s="1" t="str">
        <f>HYPERLINK("http://intuit.com.au","intuit.com.au")</f>
        <v>intuit.com.au</v>
      </c>
      <c r="C19150" t="s">
        <v>420</v>
      </c>
      <c r="D19150" t="s">
        <v>802</v>
      </c>
      <c r="F19150">
        <v>8.1650623159974206E-8</v>
      </c>
      <c r="G19150">
        <v>511124</v>
      </c>
      <c r="H19150">
        <v>14721928</v>
      </c>
      <c r="I19150">
        <v>577225</v>
      </c>
      <c r="J19150">
        <v>2</v>
      </c>
    </row>
    <row r="19151" spans="1:10" x14ac:dyDescent="0.25">
      <c r="A19151" t="s">
        <v>211</v>
      </c>
      <c r="B19151" s="1" t="str">
        <f>HYPERLINK("http://quickbooks.com.br","quickbooks.com.br")</f>
        <v>quickbooks.com.br</v>
      </c>
      <c r="C19151" t="s">
        <v>425</v>
      </c>
      <c r="D19151" t="s">
        <v>806</v>
      </c>
      <c r="F19151">
        <v>2.6460027570583101E-8</v>
      </c>
      <c r="G19151">
        <v>1945867</v>
      </c>
      <c r="H19151">
        <v>13969404</v>
      </c>
      <c r="I19151">
        <v>4078469</v>
      </c>
      <c r="J19151">
        <v>3</v>
      </c>
    </row>
    <row r="19152" spans="1:10" x14ac:dyDescent="0.25">
      <c r="A19152" t="s">
        <v>211</v>
      </c>
      <c r="B19152" s="1" t="str">
        <f>HYPERLINK("http://creditkarma.ca","creditkarma.ca")</f>
        <v>creditkarma.ca</v>
      </c>
      <c r="C19152" t="s">
        <v>428</v>
      </c>
      <c r="D19152" t="s">
        <v>809</v>
      </c>
      <c r="E19152">
        <v>34207</v>
      </c>
      <c r="F19152">
        <v>1.2201749912156499E-7</v>
      </c>
      <c r="G19152">
        <v>323552</v>
      </c>
      <c r="H19152">
        <v>17029384</v>
      </c>
      <c r="I19152">
        <v>84203</v>
      </c>
      <c r="J19152">
        <v>5</v>
      </c>
    </row>
    <row r="19153" spans="1:10" x14ac:dyDescent="0.25">
      <c r="A19153" t="s">
        <v>211</v>
      </c>
      <c r="B19153" s="1" t="str">
        <f>HYPERLINK("http://intuit.ca","intuit.ca")</f>
        <v>intuit.ca</v>
      </c>
      <c r="C19153" t="s">
        <v>428</v>
      </c>
      <c r="D19153" t="s">
        <v>809</v>
      </c>
      <c r="E19153">
        <v>67753</v>
      </c>
      <c r="F19153">
        <v>5.6890257688732302E-7</v>
      </c>
      <c r="G19153">
        <v>67191</v>
      </c>
      <c r="H19153">
        <v>15578733</v>
      </c>
      <c r="I19153">
        <v>373017</v>
      </c>
      <c r="J19153">
        <v>2</v>
      </c>
    </row>
    <row r="19154" spans="1:10" x14ac:dyDescent="0.25">
      <c r="A19154" t="s">
        <v>211</v>
      </c>
      <c r="B19154" s="1" t="str">
        <f>HYPERLINK("http://apps.com","apps.com")</f>
        <v>apps.com</v>
      </c>
      <c r="C19154" t="s">
        <v>433</v>
      </c>
      <c r="E19154">
        <v>392870</v>
      </c>
      <c r="F19154">
        <v>9.5033830357332795E-8</v>
      </c>
      <c r="G19154">
        <v>426575</v>
      </c>
      <c r="H19154">
        <v>13809734</v>
      </c>
      <c r="I19154">
        <v>6214481</v>
      </c>
      <c r="J19154">
        <v>2</v>
      </c>
    </row>
    <row r="19155" spans="1:10" x14ac:dyDescent="0.25">
      <c r="A19155" t="s">
        <v>211</v>
      </c>
      <c r="B19155" s="1" t="str">
        <f>HYPERLINK("http://chatititve.com","chatititve.com")</f>
        <v>chatititve.com</v>
      </c>
      <c r="C19155" t="s">
        <v>433</v>
      </c>
      <c r="J19155">
        <v>5</v>
      </c>
    </row>
    <row r="19156" spans="1:10" x14ac:dyDescent="0.25">
      <c r="A19156" t="s">
        <v>211</v>
      </c>
      <c r="B19156" s="1" t="str">
        <f>HYPERLINK("http://chatitive.com","chatitive.com")</f>
        <v>chatitive.com</v>
      </c>
      <c r="C19156" t="s">
        <v>433</v>
      </c>
      <c r="F19156">
        <v>3.2342002947867303E-8</v>
      </c>
      <c r="G19156">
        <v>1597563</v>
      </c>
      <c r="H19156">
        <v>13615945</v>
      </c>
      <c r="I19156">
        <v>9630031</v>
      </c>
      <c r="J19156">
        <v>3</v>
      </c>
    </row>
    <row r="19157" spans="1:10" x14ac:dyDescent="0.25">
      <c r="A19157" t="s">
        <v>211</v>
      </c>
      <c r="B19157" s="1" t="str">
        <f>HYPERLINK("http://creditkarma.com","creditkarma.com")</f>
        <v>creditkarma.com</v>
      </c>
      <c r="C19157" t="s">
        <v>433</v>
      </c>
      <c r="E19157">
        <v>2692</v>
      </c>
      <c r="F19157">
        <v>3.1890752422174298E-6</v>
      </c>
      <c r="G19157">
        <v>12468</v>
      </c>
      <c r="H19157">
        <v>17458510</v>
      </c>
      <c r="I19157">
        <v>15693</v>
      </c>
      <c r="J19157">
        <v>4</v>
      </c>
    </row>
    <row r="19158" spans="1:10" x14ac:dyDescent="0.25">
      <c r="A19158" t="s">
        <v>211</v>
      </c>
      <c r="B19158" s="1" t="str">
        <f>HYPERLINK("http://freefilefillableforms.com","freefilefillableforms.com")</f>
        <v>freefilefillableforms.com</v>
      </c>
      <c r="C19158" t="s">
        <v>433</v>
      </c>
      <c r="E19158">
        <v>315064</v>
      </c>
      <c r="F19158">
        <v>2.1253464745658499E-7</v>
      </c>
      <c r="G19158">
        <v>177689</v>
      </c>
      <c r="H19158">
        <v>14417610</v>
      </c>
      <c r="I19158">
        <v>1097398</v>
      </c>
      <c r="J19158">
        <v>2</v>
      </c>
    </row>
    <row r="19159" spans="1:10" x14ac:dyDescent="0.25">
      <c r="A19159" t="s">
        <v>211</v>
      </c>
      <c r="B19159" s="1" t="str">
        <f>HYPERLINK("http://gopayment.com","gopayment.com")</f>
        <v>gopayment.com</v>
      </c>
      <c r="C19159" t="s">
        <v>433</v>
      </c>
      <c r="F19159">
        <v>1.3152647747360099E-7</v>
      </c>
      <c r="G19159">
        <v>297279</v>
      </c>
      <c r="H19159">
        <v>16942352</v>
      </c>
      <c r="I19159">
        <v>111555</v>
      </c>
      <c r="J19159">
        <v>5</v>
      </c>
    </row>
    <row r="19160" spans="1:10" x14ac:dyDescent="0.25">
      <c r="A19160" t="s">
        <v>211</v>
      </c>
      <c r="B19160" s="1" t="str">
        <f>HYPERLINK("http://imvisiontech.com","imvisiontech.com")</f>
        <v>imvisiontech.com</v>
      </c>
      <c r="C19160" t="s">
        <v>433</v>
      </c>
      <c r="F19160">
        <v>9.8742984490120101E-9</v>
      </c>
      <c r="G19160">
        <v>6887090</v>
      </c>
      <c r="H19160">
        <v>13003648</v>
      </c>
      <c r="I19160">
        <v>12778350</v>
      </c>
      <c r="J19160">
        <v>3</v>
      </c>
    </row>
    <row r="19161" spans="1:10" x14ac:dyDescent="0.25">
      <c r="A19161" t="s">
        <v>211</v>
      </c>
      <c r="B19161" s="1" t="str">
        <f>HYPERLINK("http://intuit.com","intuit.com")</f>
        <v>intuit.com</v>
      </c>
      <c r="C19161" t="s">
        <v>433</v>
      </c>
      <c r="E19161">
        <v>60</v>
      </c>
      <c r="F19161">
        <v>2.9138163695938201E-5</v>
      </c>
      <c r="G19161">
        <v>1005</v>
      </c>
      <c r="H19161">
        <v>19152672</v>
      </c>
      <c r="I19161">
        <v>404</v>
      </c>
      <c r="J19161">
        <v>1</v>
      </c>
    </row>
    <row r="19162" spans="1:10" x14ac:dyDescent="0.25">
      <c r="A19162" t="s">
        <v>211</v>
      </c>
      <c r="B19162" s="1" t="str">
        <f>HYPERLINK("http://intuitmarket.com","intuitmarket.com")</f>
        <v>intuitmarket.com</v>
      </c>
      <c r="C19162" t="s">
        <v>433</v>
      </c>
      <c r="F19162">
        <v>1.2037034497671099E-8</v>
      </c>
      <c r="G19162">
        <v>5152405</v>
      </c>
      <c r="H19162">
        <v>13251584</v>
      </c>
      <c r="I19162">
        <v>11075917</v>
      </c>
      <c r="J19162">
        <v>2</v>
      </c>
    </row>
    <row r="19163" spans="1:10" x14ac:dyDescent="0.25">
      <c r="A19163" t="s">
        <v>211</v>
      </c>
      <c r="B19163" s="1" t="str">
        <f>HYPERLINK("http://loginqboe.com","loginqboe.com")</f>
        <v>loginqboe.com</v>
      </c>
      <c r="C19163" t="s">
        <v>433</v>
      </c>
      <c r="J19163">
        <v>2</v>
      </c>
    </row>
    <row r="19164" spans="1:10" x14ac:dyDescent="0.25">
      <c r="A19164" t="s">
        <v>211</v>
      </c>
      <c r="B19164" s="1" t="str">
        <f>HYPERLINK("http://lscsoft.com","lscsoft.com")</f>
        <v>lscsoft.com</v>
      </c>
      <c r="C19164" t="s">
        <v>433</v>
      </c>
      <c r="E19164">
        <v>319950</v>
      </c>
      <c r="F19164">
        <v>9.4593647354525005E-9</v>
      </c>
      <c r="G19164">
        <v>7371456</v>
      </c>
      <c r="H19164">
        <v>13098932</v>
      </c>
      <c r="I19164">
        <v>12109186</v>
      </c>
      <c r="J19164">
        <v>3</v>
      </c>
    </row>
    <row r="19165" spans="1:10" x14ac:dyDescent="0.25">
      <c r="A19165" t="s">
        <v>211</v>
      </c>
      <c r="B19165" s="1" t="str">
        <f>HYPERLINK("http://mailchimp.com","mailchimp.com")</f>
        <v>mailchimp.com</v>
      </c>
      <c r="C19165" t="s">
        <v>433</v>
      </c>
      <c r="E19165">
        <v>395</v>
      </c>
      <c r="F19165">
        <v>2.1414454482911001E-4</v>
      </c>
      <c r="G19165">
        <v>140</v>
      </c>
      <c r="H19165">
        <v>19684024</v>
      </c>
      <c r="I19165">
        <v>113</v>
      </c>
      <c r="J19165">
        <v>4</v>
      </c>
    </row>
    <row r="19166" spans="1:10" x14ac:dyDescent="0.25">
      <c r="A19166" t="s">
        <v>211</v>
      </c>
      <c r="B19166" s="1" t="str">
        <f>HYPERLINK("http://managepayroll.com","managepayroll.com")</f>
        <v>managepayroll.com</v>
      </c>
      <c r="C19166" t="s">
        <v>433</v>
      </c>
      <c r="F19166">
        <v>5.1803452603429199E-8</v>
      </c>
      <c r="G19166">
        <v>882155</v>
      </c>
      <c r="H19166">
        <v>12307737</v>
      </c>
      <c r="I19166">
        <v>20682339</v>
      </c>
      <c r="J19166">
        <v>2</v>
      </c>
    </row>
    <row r="19167" spans="1:10" x14ac:dyDescent="0.25">
      <c r="A19167" t="s">
        <v>211</v>
      </c>
      <c r="B19167" s="1" t="str">
        <f>HYPERLINK("http://mint.com","mint.com")</f>
        <v>mint.com</v>
      </c>
      <c r="C19167" t="s">
        <v>433</v>
      </c>
      <c r="E19167">
        <v>8364</v>
      </c>
      <c r="F19167">
        <v>4.9840503941138604E-6</v>
      </c>
      <c r="G19167">
        <v>6989</v>
      </c>
      <c r="H19167">
        <v>17997752</v>
      </c>
      <c r="I19167">
        <v>3704</v>
      </c>
      <c r="J19167">
        <v>2</v>
      </c>
    </row>
    <row r="19168" spans="1:10" x14ac:dyDescent="0.25">
      <c r="A19168" t="s">
        <v>211</v>
      </c>
      <c r="B19168" s="1" t="str">
        <f>HYPERLINK("http://mintbills.com","mintbills.com")</f>
        <v>mintbills.com</v>
      </c>
      <c r="C19168" t="s">
        <v>433</v>
      </c>
      <c r="F19168">
        <v>4.4439211124713901E-9</v>
      </c>
      <c r="G19168">
        <v>77883968</v>
      </c>
      <c r="H19168">
        <v>11975843</v>
      </c>
      <c r="I19168">
        <v>28557039</v>
      </c>
      <c r="J19168">
        <v>4</v>
      </c>
    </row>
    <row r="19169" spans="1:10" x14ac:dyDescent="0.25">
      <c r="A19169" t="s">
        <v>211</v>
      </c>
      <c r="B19169" s="1" t="str">
        <f>HYPERLINK("http://onesaas.com","onesaas.com")</f>
        <v>onesaas.com</v>
      </c>
      <c r="C19169" t="s">
        <v>433</v>
      </c>
      <c r="F19169">
        <v>9.3634085819781006E-8</v>
      </c>
      <c r="G19169">
        <v>433954</v>
      </c>
      <c r="H19169">
        <v>14049473</v>
      </c>
      <c r="I19169">
        <v>3896005</v>
      </c>
      <c r="J19169">
        <v>3</v>
      </c>
    </row>
    <row r="19170" spans="1:10" x14ac:dyDescent="0.25">
      <c r="A19170" t="s">
        <v>211</v>
      </c>
      <c r="B19170" s="1" t="str">
        <f>HYPERLINK("http://paycheckrecords.com","paycheckrecords.com")</f>
        <v>paycheckrecords.com</v>
      </c>
      <c r="C19170" t="s">
        <v>433</v>
      </c>
      <c r="F19170">
        <v>4.0821351892473103E-8</v>
      </c>
      <c r="G19170">
        <v>1270122</v>
      </c>
      <c r="H19170">
        <v>12706443</v>
      </c>
      <c r="I19170">
        <v>15321277</v>
      </c>
      <c r="J19170">
        <v>2</v>
      </c>
    </row>
    <row r="19171" spans="1:10" x14ac:dyDescent="0.25">
      <c r="A19171" t="s">
        <v>211</v>
      </c>
      <c r="B19171" s="1" t="str">
        <f>HYPERLINK("http://paycycle.com","paycycle.com")</f>
        <v>paycycle.com</v>
      </c>
      <c r="C19171" t="s">
        <v>433</v>
      </c>
      <c r="F19171">
        <v>2.81526204839178E-8</v>
      </c>
      <c r="G19171">
        <v>1827768</v>
      </c>
      <c r="H19171">
        <v>13811988</v>
      </c>
      <c r="I19171">
        <v>6190637</v>
      </c>
      <c r="J19171">
        <v>3</v>
      </c>
    </row>
    <row r="19172" spans="1:10" x14ac:dyDescent="0.25">
      <c r="A19172" t="s">
        <v>211</v>
      </c>
      <c r="B19172" s="1" t="str">
        <f>HYPERLINK("http://qbcommunity.com","qbcommunity.com")</f>
        <v>qbcommunity.com</v>
      </c>
      <c r="C19172" t="s">
        <v>433</v>
      </c>
      <c r="F19172">
        <v>1.2119507695846E-7</v>
      </c>
      <c r="G19172">
        <v>325893</v>
      </c>
      <c r="H19172">
        <v>13225611</v>
      </c>
      <c r="I19172">
        <v>11306152</v>
      </c>
      <c r="J19172">
        <v>2</v>
      </c>
    </row>
    <row r="19173" spans="1:10" x14ac:dyDescent="0.25">
      <c r="A19173" t="s">
        <v>211</v>
      </c>
      <c r="B19173" s="1" t="str">
        <f>HYPERLINK("http://quickbooks.com","quickbooks.com")</f>
        <v>quickbooks.com</v>
      </c>
      <c r="C19173" t="s">
        <v>433</v>
      </c>
      <c r="E19173">
        <v>24741</v>
      </c>
      <c r="F19173">
        <v>6.4330208360303503E-7</v>
      </c>
      <c r="G19173">
        <v>59741</v>
      </c>
      <c r="H19173">
        <v>14920815</v>
      </c>
      <c r="I19173">
        <v>451705</v>
      </c>
      <c r="J19173">
        <v>2</v>
      </c>
    </row>
    <row r="19174" spans="1:10" x14ac:dyDescent="0.25">
      <c r="A19174" t="s">
        <v>211</v>
      </c>
      <c r="B19174" s="1" t="str">
        <f>HYPERLINK("http://quickbookscapital.com","quickbookscapital.com")</f>
        <v>quickbookscapital.com</v>
      </c>
      <c r="C19174" t="s">
        <v>433</v>
      </c>
      <c r="F19174">
        <v>5.4485976123897102E-9</v>
      </c>
      <c r="G19174">
        <v>21515361</v>
      </c>
      <c r="H19174">
        <v>13197494</v>
      </c>
      <c r="I19174">
        <v>11568653</v>
      </c>
      <c r="J19174">
        <v>2</v>
      </c>
    </row>
    <row r="19175" spans="1:10" x14ac:dyDescent="0.25">
      <c r="A19175" t="s">
        <v>211</v>
      </c>
      <c r="B19175" s="1" t="str">
        <f>HYPERLINK("http://quickbookscapitol.com","quickbookscapitol.com")</f>
        <v>quickbookscapitol.com</v>
      </c>
      <c r="C19175" t="s">
        <v>433</v>
      </c>
      <c r="J19175">
        <v>2</v>
      </c>
    </row>
    <row r="19176" spans="1:10" x14ac:dyDescent="0.25">
      <c r="A19176" t="s">
        <v>211</v>
      </c>
      <c r="B19176" s="1" t="str">
        <f>HYPERLINK("http://quickbooksconnect.com","quickbooksconnect.com")</f>
        <v>quickbooksconnect.com</v>
      </c>
      <c r="C19176" t="s">
        <v>433</v>
      </c>
      <c r="E19176">
        <v>202048</v>
      </c>
      <c r="F19176">
        <v>1.05041061535136E-7</v>
      </c>
      <c r="G19176">
        <v>381461</v>
      </c>
      <c r="H19176">
        <v>14054943</v>
      </c>
      <c r="I19176">
        <v>3890853</v>
      </c>
      <c r="J19176">
        <v>3</v>
      </c>
    </row>
    <row r="19177" spans="1:10" x14ac:dyDescent="0.25">
      <c r="A19177" t="s">
        <v>211</v>
      </c>
      <c r="B19177" s="1" t="str">
        <f>HYPERLINK("http://quickbooksfinancing.com","quickbooksfinancing.com")</f>
        <v>quickbooksfinancing.com</v>
      </c>
      <c r="C19177" t="s">
        <v>433</v>
      </c>
      <c r="F19177">
        <v>7.5495950890211607E-9</v>
      </c>
      <c r="G19177">
        <v>10906123</v>
      </c>
      <c r="H19177">
        <v>13225462</v>
      </c>
      <c r="I19177">
        <v>11307256</v>
      </c>
      <c r="J19177">
        <v>2</v>
      </c>
    </row>
    <row r="19178" spans="1:10" x14ac:dyDescent="0.25">
      <c r="A19178" t="s">
        <v>211</v>
      </c>
      <c r="B19178" s="1" t="str">
        <f>HYPERLINK("http://rocketsciencegroup.com","rocketsciencegroup.com")</f>
        <v>rocketsciencegroup.com</v>
      </c>
      <c r="C19178" t="s">
        <v>433</v>
      </c>
      <c r="F19178">
        <v>5.6632475277617503E-7</v>
      </c>
      <c r="G19178">
        <v>67578</v>
      </c>
      <c r="H19178">
        <v>13258727</v>
      </c>
      <c r="I19178">
        <v>11045896</v>
      </c>
      <c r="J19178">
        <v>3</v>
      </c>
    </row>
    <row r="19179" spans="1:10" x14ac:dyDescent="0.25">
      <c r="A19179" t="s">
        <v>211</v>
      </c>
      <c r="B19179" s="1" t="str">
        <f>HYPERLINK("http://sreeal.com","sreeal.com")</f>
        <v>sreeal.com</v>
      </c>
      <c r="C19179" t="s">
        <v>433</v>
      </c>
      <c r="F19179">
        <v>5.2941486673217398E-9</v>
      </c>
      <c r="G19179">
        <v>23579541</v>
      </c>
      <c r="H19179">
        <v>9362155</v>
      </c>
      <c r="I19179">
        <v>67814711</v>
      </c>
      <c r="J19179">
        <v>6</v>
      </c>
    </row>
    <row r="19180" spans="1:10" x14ac:dyDescent="0.25">
      <c r="A19180" t="s">
        <v>211</v>
      </c>
      <c r="B19180" s="1" t="str">
        <f>HYPERLINK("http://statefillableforms.com","statefillableforms.com")</f>
        <v>statefillableforms.com</v>
      </c>
      <c r="C19180" t="s">
        <v>433</v>
      </c>
      <c r="F19180">
        <v>7.2384928122061103E-9</v>
      </c>
      <c r="G19180">
        <v>11635441</v>
      </c>
      <c r="H19180">
        <v>12284757</v>
      </c>
      <c r="I19180">
        <v>21215451</v>
      </c>
      <c r="J19180">
        <v>2</v>
      </c>
    </row>
    <row r="19181" spans="1:10" x14ac:dyDescent="0.25">
      <c r="A19181" t="s">
        <v>211</v>
      </c>
      <c r="B19181" s="1" t="str">
        <f>HYPERLINK("http://tradegecko.com","tradegecko.com")</f>
        <v>tradegecko.com</v>
      </c>
      <c r="C19181" t="s">
        <v>433</v>
      </c>
      <c r="E19181">
        <v>163509</v>
      </c>
      <c r="F19181">
        <v>1.0423334791157301E-6</v>
      </c>
      <c r="G19181">
        <v>36778</v>
      </c>
      <c r="H19181">
        <v>15538118</v>
      </c>
      <c r="I19181">
        <v>374156</v>
      </c>
      <c r="J19181">
        <v>3</v>
      </c>
    </row>
    <row r="19182" spans="1:10" x14ac:dyDescent="0.25">
      <c r="A19182" t="s">
        <v>211</v>
      </c>
      <c r="B19182" s="1" t="str">
        <f>HYPERLINK("http://tsheets.com","tsheets.com")</f>
        <v>tsheets.com</v>
      </c>
      <c r="C19182" t="s">
        <v>433</v>
      </c>
      <c r="E19182">
        <v>10930</v>
      </c>
      <c r="F19182">
        <v>6.1826772730334304E-7</v>
      </c>
      <c r="G19182">
        <v>61931</v>
      </c>
      <c r="H19182">
        <v>17134682</v>
      </c>
      <c r="I19182">
        <v>55583</v>
      </c>
      <c r="J19182">
        <v>3</v>
      </c>
    </row>
    <row r="19183" spans="1:10" x14ac:dyDescent="0.25">
      <c r="A19183" t="s">
        <v>211</v>
      </c>
      <c r="B19183" s="1" t="str">
        <f>HYPERLINK("http://intuit.fi","intuit.fi")</f>
        <v>intuit.fi</v>
      </c>
      <c r="C19183" t="s">
        <v>445</v>
      </c>
      <c r="D19183" t="s">
        <v>823</v>
      </c>
      <c r="J19183">
        <v>2</v>
      </c>
    </row>
    <row r="19184" spans="1:10" x14ac:dyDescent="0.25">
      <c r="A19184" t="s">
        <v>211</v>
      </c>
      <c r="B19184" s="1" t="str">
        <f>HYPERLINK("http://mailchimp.fi","mailchimp.fi")</f>
        <v>mailchimp.fi</v>
      </c>
      <c r="C19184" t="s">
        <v>445</v>
      </c>
      <c r="D19184" t="s">
        <v>823</v>
      </c>
      <c r="F19184">
        <v>4.44380395335525E-9</v>
      </c>
      <c r="G19184">
        <v>84777673</v>
      </c>
      <c r="H19184">
        <v>0</v>
      </c>
      <c r="I19184">
        <v>85892030</v>
      </c>
      <c r="J19184">
        <v>4</v>
      </c>
    </row>
    <row r="19185" spans="1:10" x14ac:dyDescent="0.25">
      <c r="A19185" t="s">
        <v>211</v>
      </c>
      <c r="B19185" s="1" t="str">
        <f>HYPERLINK("http://quickbooks.fi","quickbooks.fi")</f>
        <v>quickbooks.fi</v>
      </c>
      <c r="C19185" t="s">
        <v>445</v>
      </c>
      <c r="D19185" t="s">
        <v>823</v>
      </c>
      <c r="J19185">
        <v>2</v>
      </c>
    </row>
    <row r="19186" spans="1:10" x14ac:dyDescent="0.25">
      <c r="A19186" t="s">
        <v>211</v>
      </c>
      <c r="B19186" s="1" t="str">
        <f>HYPERLINK("http://intuit.fr","intuit.fr")</f>
        <v>intuit.fr</v>
      </c>
      <c r="C19186" t="s">
        <v>446</v>
      </c>
      <c r="D19186" t="s">
        <v>824</v>
      </c>
      <c r="F19186">
        <v>4.2212639006756202E-8</v>
      </c>
      <c r="G19186">
        <v>1155046</v>
      </c>
      <c r="H19186">
        <v>14092373</v>
      </c>
      <c r="I19186">
        <v>2739772</v>
      </c>
      <c r="J19186">
        <v>2</v>
      </c>
    </row>
    <row r="19187" spans="1:10" x14ac:dyDescent="0.25">
      <c r="A19187" t="s">
        <v>211</v>
      </c>
      <c r="B19187" s="1" t="str">
        <f>HYPERLINK("http://intuit.hk","intuit.hk")</f>
        <v>intuit.hk</v>
      </c>
      <c r="C19187" t="s">
        <v>450</v>
      </c>
      <c r="D19187" t="s">
        <v>827</v>
      </c>
      <c r="F19187">
        <v>9.5900841445958699E-9</v>
      </c>
      <c r="G19187">
        <v>7216321</v>
      </c>
      <c r="H19187">
        <v>13150670</v>
      </c>
      <c r="I19187">
        <v>11825373</v>
      </c>
      <c r="J19187">
        <v>2</v>
      </c>
    </row>
    <row r="19188" spans="1:10" x14ac:dyDescent="0.25">
      <c r="A19188" t="s">
        <v>211</v>
      </c>
      <c r="B19188" s="1" t="str">
        <f>HYPERLINK("http://intuit.in","intuit.in")</f>
        <v>intuit.in</v>
      </c>
      <c r="C19188" t="s">
        <v>457</v>
      </c>
      <c r="D19188" t="s">
        <v>834</v>
      </c>
      <c r="F19188">
        <v>2.64888972621093E-8</v>
      </c>
      <c r="G19188">
        <v>1943702</v>
      </c>
      <c r="H19188">
        <v>14272851</v>
      </c>
      <c r="I19188">
        <v>1394623</v>
      </c>
      <c r="J19188">
        <v>2</v>
      </c>
    </row>
    <row r="19189" spans="1:10" x14ac:dyDescent="0.25">
      <c r="A19189" t="s">
        <v>211</v>
      </c>
      <c r="B19189" s="1" t="str">
        <f>HYPERLINK("http://qbo.international","qbo.international")</f>
        <v>qbo.international</v>
      </c>
      <c r="C19189" t="s">
        <v>734</v>
      </c>
      <c r="F19189">
        <v>4.44380395335525E-9</v>
      </c>
      <c r="G19189">
        <v>85090632</v>
      </c>
      <c r="H19189">
        <v>0</v>
      </c>
      <c r="I19189">
        <v>86272778</v>
      </c>
      <c r="J19189">
        <v>3</v>
      </c>
    </row>
    <row r="19190" spans="1:10" x14ac:dyDescent="0.25">
      <c r="A19190" t="s">
        <v>211</v>
      </c>
      <c r="B19190" s="1" t="str">
        <f>HYPERLINK("http://check.me","check.me")</f>
        <v>check.me</v>
      </c>
      <c r="C19190" t="s">
        <v>470</v>
      </c>
      <c r="D19190" t="s">
        <v>846</v>
      </c>
      <c r="F19190">
        <v>5.8438050235906199E-8</v>
      </c>
      <c r="G19190">
        <v>760212</v>
      </c>
      <c r="H19190">
        <v>13724342</v>
      </c>
      <c r="I19190">
        <v>9466130</v>
      </c>
      <c r="J19190">
        <v>3</v>
      </c>
    </row>
    <row r="19191" spans="1:10" x14ac:dyDescent="0.25">
      <c r="A19191" t="s">
        <v>211</v>
      </c>
      <c r="B19191" s="1" t="str">
        <f>HYPERLINK("http://intuit.me","intuit.me")</f>
        <v>intuit.me</v>
      </c>
      <c r="C19191" t="s">
        <v>470</v>
      </c>
      <c r="D19191" t="s">
        <v>846</v>
      </c>
      <c r="F19191">
        <v>1.7407275339159199E-7</v>
      </c>
      <c r="G19191">
        <v>222782</v>
      </c>
      <c r="H19191">
        <v>17001108</v>
      </c>
      <c r="I19191">
        <v>93535</v>
      </c>
      <c r="J19191">
        <v>2</v>
      </c>
    </row>
    <row r="19192" spans="1:10" x14ac:dyDescent="0.25">
      <c r="A19192" t="s">
        <v>211</v>
      </c>
      <c r="B19192" s="1" t="str">
        <f>HYPERLINK("http://intuit.com.my","intuit.com.my")</f>
        <v>intuit.com.my</v>
      </c>
      <c r="C19192" t="s">
        <v>472</v>
      </c>
      <c r="D19192" t="s">
        <v>848</v>
      </c>
      <c r="F19192">
        <v>1.35515615028068E-8</v>
      </c>
      <c r="G19192">
        <v>4382179</v>
      </c>
      <c r="H19192">
        <v>14073902</v>
      </c>
      <c r="I19192">
        <v>2965404</v>
      </c>
      <c r="J19192">
        <v>2</v>
      </c>
    </row>
    <row r="19193" spans="1:10" x14ac:dyDescent="0.25">
      <c r="A19193" t="s">
        <v>211</v>
      </c>
      <c r="B19193" s="1" t="str">
        <f>HYPERLINK("http://intuit.net","intuit.net")</f>
        <v>intuit.net</v>
      </c>
      <c r="C19193" t="s">
        <v>474</v>
      </c>
      <c r="E19193">
        <v>49843</v>
      </c>
      <c r="F19193">
        <v>2.3979955259703901E-8</v>
      </c>
      <c r="G19193">
        <v>2164899</v>
      </c>
      <c r="H19193">
        <v>13237814</v>
      </c>
      <c r="I19193">
        <v>11234512</v>
      </c>
      <c r="J19193">
        <v>2</v>
      </c>
    </row>
    <row r="19194" spans="1:10" x14ac:dyDescent="0.25">
      <c r="A19194" t="s">
        <v>211</v>
      </c>
      <c r="B19194" s="1" t="str">
        <f>HYPERLINK("http://intuitcdn.net","intuitcdn.net")</f>
        <v>intuitcdn.net</v>
      </c>
      <c r="C19194" t="s">
        <v>474</v>
      </c>
      <c r="E19194">
        <v>24708</v>
      </c>
      <c r="F19194">
        <v>3.4940394198637803E-8</v>
      </c>
      <c r="G19194">
        <v>1486651</v>
      </c>
      <c r="H19194">
        <v>13164454</v>
      </c>
      <c r="I19194">
        <v>11746995</v>
      </c>
      <c r="J19194">
        <v>2</v>
      </c>
    </row>
    <row r="19195" spans="1:10" x14ac:dyDescent="0.25">
      <c r="A19195" t="s">
        <v>211</v>
      </c>
      <c r="B19195" s="1" t="str">
        <f>HYPERLINK("http://iopcdn.net","iopcdn.net")</f>
        <v>iopcdn.net</v>
      </c>
      <c r="C19195" t="s">
        <v>474</v>
      </c>
      <c r="E19195">
        <v>540889</v>
      </c>
      <c r="F19195">
        <v>4.8124344649556801E-9</v>
      </c>
      <c r="G19195">
        <v>35566392</v>
      </c>
      <c r="H19195">
        <v>10351928</v>
      </c>
      <c r="I19195">
        <v>56100000</v>
      </c>
      <c r="J19195">
        <v>2</v>
      </c>
    </row>
    <row r="19196" spans="1:10" x14ac:dyDescent="0.25">
      <c r="A19196" t="s">
        <v>211</v>
      </c>
      <c r="B19196" s="1" t="str">
        <f>HYPERLINK("http://onesaas.org","onesaas.org")</f>
        <v>onesaas.org</v>
      </c>
      <c r="C19196" t="s">
        <v>481</v>
      </c>
      <c r="J19196">
        <v>3</v>
      </c>
    </row>
    <row r="19197" spans="1:10" x14ac:dyDescent="0.25">
      <c r="A19197" t="s">
        <v>211</v>
      </c>
      <c r="B19197" s="1" t="str">
        <f>HYPERLINK("http://intuit.ph","intuit.ph")</f>
        <v>intuit.ph</v>
      </c>
      <c r="C19197" t="s">
        <v>484</v>
      </c>
      <c r="D19197" t="s">
        <v>858</v>
      </c>
      <c r="F19197">
        <v>4.78893612406729E-9</v>
      </c>
      <c r="G19197">
        <v>36534526</v>
      </c>
      <c r="H19197">
        <v>12002929</v>
      </c>
      <c r="I19197">
        <v>28200602</v>
      </c>
      <c r="J19197">
        <v>2</v>
      </c>
    </row>
    <row r="19198" spans="1:10" x14ac:dyDescent="0.25">
      <c r="A19198" t="s">
        <v>211</v>
      </c>
      <c r="B19198" s="1" t="str">
        <f>HYPERLINK("http://intuit.sg","intuit.sg")</f>
        <v>intuit.sg</v>
      </c>
      <c r="C19198" t="s">
        <v>496</v>
      </c>
      <c r="D19198" t="s">
        <v>870</v>
      </c>
      <c r="F19198">
        <v>1.5536124794756599E-8</v>
      </c>
      <c r="G19198">
        <v>3674255</v>
      </c>
      <c r="H19198">
        <v>14073945</v>
      </c>
      <c r="I19198">
        <v>2963272</v>
      </c>
      <c r="J19198">
        <v>2</v>
      </c>
    </row>
    <row r="19199" spans="1:10" x14ac:dyDescent="0.25">
      <c r="A19199" t="s">
        <v>211</v>
      </c>
      <c r="B19199" s="1" t="str">
        <f>HYPERLINK("http://creditkarma.co.uk","creditkarma.co.uk")</f>
        <v>creditkarma.co.uk</v>
      </c>
      <c r="C19199" t="s">
        <v>506</v>
      </c>
      <c r="D19199" t="s">
        <v>880</v>
      </c>
      <c r="E19199">
        <v>53966</v>
      </c>
      <c r="F19199">
        <v>1.0857912196759699E-7</v>
      </c>
      <c r="G19199">
        <v>368538</v>
      </c>
      <c r="H19199">
        <v>16808538</v>
      </c>
      <c r="I19199">
        <v>204820</v>
      </c>
      <c r="J19199">
        <v>5</v>
      </c>
    </row>
    <row r="19200" spans="1:10" x14ac:dyDescent="0.25">
      <c r="A19200" t="s">
        <v>211</v>
      </c>
      <c r="B19200" s="1" t="str">
        <f>HYPERLINK("http://intuit.co.uk","intuit.co.uk")</f>
        <v>intuit.co.uk</v>
      </c>
      <c r="C19200" t="s">
        <v>506</v>
      </c>
      <c r="D19200" t="s">
        <v>880</v>
      </c>
      <c r="E19200">
        <v>727922</v>
      </c>
      <c r="F19200">
        <v>6.9419784832042905E-8</v>
      </c>
      <c r="G19200">
        <v>611692</v>
      </c>
      <c r="H19200">
        <v>14600652</v>
      </c>
      <c r="I19200">
        <v>685760</v>
      </c>
      <c r="J19200">
        <v>2</v>
      </c>
    </row>
    <row r="19201" spans="1:10" x14ac:dyDescent="0.25">
      <c r="A19201" t="s">
        <v>212</v>
      </c>
      <c r="B19201" s="1" t="str">
        <f>HYPERLINK("http://intuitive.com","intuitive.com")</f>
        <v>intuitive.com</v>
      </c>
      <c r="C19201" t="s">
        <v>433</v>
      </c>
      <c r="E19201">
        <v>57975</v>
      </c>
      <c r="F19201">
        <v>5.0237007592930295E-7</v>
      </c>
      <c r="G19201">
        <v>76127</v>
      </c>
      <c r="H19201">
        <v>15019856</v>
      </c>
      <c r="I19201">
        <v>421009</v>
      </c>
      <c r="J19201">
        <v>3</v>
      </c>
    </row>
    <row r="19202" spans="1:10" x14ac:dyDescent="0.25">
      <c r="A19202" t="s">
        <v>212</v>
      </c>
      <c r="B19202" s="1" t="str">
        <f>HYPERLINK("http://intuitivesurgical.com","intuitivesurgical.com")</f>
        <v>intuitivesurgical.com</v>
      </c>
      <c r="C19202" t="s">
        <v>433</v>
      </c>
      <c r="E19202">
        <v>275912</v>
      </c>
      <c r="F19202">
        <v>2.7692170422041E-7</v>
      </c>
      <c r="G19202">
        <v>134318</v>
      </c>
      <c r="H19202">
        <v>15350604</v>
      </c>
      <c r="I19202">
        <v>382783</v>
      </c>
      <c r="J19202">
        <v>1</v>
      </c>
    </row>
    <row r="19203" spans="1:10" x14ac:dyDescent="0.25">
      <c r="A19203" t="s">
        <v>212</v>
      </c>
      <c r="B19203" s="1" t="str">
        <f>HYPERLINK("http://intusurg.com","intusurg.com")</f>
        <v>intusurg.com</v>
      </c>
      <c r="C19203" t="s">
        <v>433</v>
      </c>
      <c r="E19203">
        <v>49452</v>
      </c>
      <c r="F19203">
        <v>1.2618566286966E-8</v>
      </c>
      <c r="G19203">
        <v>4821473</v>
      </c>
      <c r="H19203">
        <v>13421790</v>
      </c>
      <c r="I19203">
        <v>10301817</v>
      </c>
      <c r="J19203">
        <v>2</v>
      </c>
    </row>
    <row r="19204" spans="1:10" x14ac:dyDescent="0.25">
      <c r="A19204" t="s">
        <v>212</v>
      </c>
      <c r="B19204" s="1" t="str">
        <f>HYPERLINK("http://kindheart.com","kindheart.com")</f>
        <v>kindheart.com</v>
      </c>
      <c r="C19204" t="s">
        <v>433</v>
      </c>
      <c r="F19204">
        <v>7.4812142219337806E-9</v>
      </c>
      <c r="G19204">
        <v>11055202</v>
      </c>
      <c r="H19204">
        <v>13576672</v>
      </c>
      <c r="I19204">
        <v>9699399</v>
      </c>
      <c r="J19204">
        <v>3</v>
      </c>
    </row>
    <row r="19205" spans="1:10" x14ac:dyDescent="0.25">
      <c r="A19205" t="s">
        <v>212</v>
      </c>
      <c r="B19205" s="1" t="str">
        <f>HYPERLINK("http://orpheus-medical.com","orpheus-medical.com")</f>
        <v>orpheus-medical.com</v>
      </c>
      <c r="C19205" t="s">
        <v>433</v>
      </c>
      <c r="F19205">
        <v>6.9289059966640403E-9</v>
      </c>
      <c r="G19205">
        <v>12529077</v>
      </c>
      <c r="H19205">
        <v>13167485</v>
      </c>
      <c r="I19205">
        <v>11734762</v>
      </c>
      <c r="J19205">
        <v>3</v>
      </c>
    </row>
    <row r="19206" spans="1:10" x14ac:dyDescent="0.25">
      <c r="A19206" t="s">
        <v>212</v>
      </c>
      <c r="B19206" s="1" t="str">
        <f>HYPERLINK("http://intuitivesurgical.com.mx","intuitivesurgical.com.mx")</f>
        <v>intuitivesurgical.com.mx</v>
      </c>
      <c r="C19206" t="s">
        <v>471</v>
      </c>
      <c r="D19206" t="s">
        <v>847</v>
      </c>
      <c r="J19206">
        <v>4</v>
      </c>
    </row>
    <row r="19207" spans="1:10" x14ac:dyDescent="0.25">
      <c r="A19207" t="s">
        <v>213</v>
      </c>
      <c r="B19207" s="1" t="str">
        <f>HYPERLINK("http://molnlycke.ae","molnlycke.ae")</f>
        <v>molnlycke.ae</v>
      </c>
      <c r="C19207" t="s">
        <v>417</v>
      </c>
      <c r="D19207" t="s">
        <v>799</v>
      </c>
      <c r="F19207">
        <v>1.14167103092611E-8</v>
      </c>
      <c r="G19207">
        <v>5562992</v>
      </c>
      <c r="H19207">
        <v>12203057</v>
      </c>
      <c r="I19207">
        <v>23241643</v>
      </c>
      <c r="J19207">
        <v>5</v>
      </c>
    </row>
    <row r="19208" spans="1:10" x14ac:dyDescent="0.25">
      <c r="A19208" t="s">
        <v>213</v>
      </c>
      <c r="B19208" s="1" t="str">
        <f>HYPERLINK("http://molnlycke.at","molnlycke.at")</f>
        <v>molnlycke.at</v>
      </c>
      <c r="C19208" t="s">
        <v>419</v>
      </c>
      <c r="D19208" t="s">
        <v>801</v>
      </c>
      <c r="F19208">
        <v>1.4354429923758001E-8</v>
      </c>
      <c r="G19208">
        <v>4072858</v>
      </c>
      <c r="H19208">
        <v>12085654</v>
      </c>
      <c r="I19208">
        <v>26392281</v>
      </c>
      <c r="J19208">
        <v>5</v>
      </c>
    </row>
    <row r="19209" spans="1:10" x14ac:dyDescent="0.25">
      <c r="A19209" t="s">
        <v>213</v>
      </c>
      <c r="B19209" s="1" t="str">
        <f>HYPERLINK("http://molnlycke.com.au","molnlycke.com.au")</f>
        <v>molnlycke.com.au</v>
      </c>
      <c r="C19209" t="s">
        <v>420</v>
      </c>
      <c r="D19209" t="s">
        <v>802</v>
      </c>
      <c r="F19209">
        <v>1.5929376483482999E-8</v>
      </c>
      <c r="G19209">
        <v>3564865</v>
      </c>
      <c r="H19209">
        <v>12201500</v>
      </c>
      <c r="I19209">
        <v>23279648</v>
      </c>
      <c r="J19209">
        <v>5</v>
      </c>
    </row>
    <row r="19210" spans="1:10" x14ac:dyDescent="0.25">
      <c r="A19210" t="s">
        <v>213</v>
      </c>
      <c r="B19210" s="1" t="str">
        <f>HYPERLINK("http://molnlycke.be","molnlycke.be")</f>
        <v>molnlycke.be</v>
      </c>
      <c r="C19210" t="s">
        <v>421</v>
      </c>
      <c r="D19210" t="s">
        <v>803</v>
      </c>
      <c r="F19210">
        <v>1.39212813368681E-8</v>
      </c>
      <c r="G19210">
        <v>4232872</v>
      </c>
      <c r="H19210">
        <v>12197425</v>
      </c>
      <c r="I19210">
        <v>23388261</v>
      </c>
      <c r="J19210">
        <v>5</v>
      </c>
    </row>
    <row r="19211" spans="1:10" x14ac:dyDescent="0.25">
      <c r="A19211" t="s">
        <v>213</v>
      </c>
      <c r="B19211" s="1" t="str">
        <f>HYPERLINK("http://molnlycke.com.br","molnlycke.com.br")</f>
        <v>molnlycke.com.br</v>
      </c>
      <c r="C19211" t="s">
        <v>425</v>
      </c>
      <c r="D19211" t="s">
        <v>806</v>
      </c>
      <c r="F19211">
        <v>1.1459733028085701E-8</v>
      </c>
      <c r="G19211">
        <v>5532409</v>
      </c>
      <c r="H19211">
        <v>10928459</v>
      </c>
      <c r="I19211">
        <v>35096934</v>
      </c>
      <c r="J19211">
        <v>5</v>
      </c>
    </row>
    <row r="19212" spans="1:10" x14ac:dyDescent="0.25">
      <c r="A19212" t="s">
        <v>213</v>
      </c>
      <c r="B19212" s="1" t="str">
        <f>HYPERLINK("http://molnlycke.ca","molnlycke.ca")</f>
        <v>molnlycke.ca</v>
      </c>
      <c r="C19212" t="s">
        <v>428</v>
      </c>
      <c r="D19212" t="s">
        <v>809</v>
      </c>
      <c r="F19212">
        <v>1.6766842116966601E-8</v>
      </c>
      <c r="G19212">
        <v>3341603</v>
      </c>
      <c r="H19212">
        <v>11122532</v>
      </c>
      <c r="I19212">
        <v>32024499</v>
      </c>
      <c r="J19212">
        <v>5</v>
      </c>
    </row>
    <row r="19213" spans="1:10" x14ac:dyDescent="0.25">
      <c r="A19213" t="s">
        <v>213</v>
      </c>
      <c r="B19213" s="1" t="str">
        <f>HYPERLINK("http://avancesolo.ch","avancesolo.ch")</f>
        <v>avancesolo.ch</v>
      </c>
      <c r="C19213" t="s">
        <v>429</v>
      </c>
      <c r="D19213" t="s">
        <v>810</v>
      </c>
      <c r="F19213">
        <v>5.6658302852130801E-9</v>
      </c>
      <c r="G19213">
        <v>19253575</v>
      </c>
      <c r="H19213">
        <v>9449500</v>
      </c>
      <c r="I19213">
        <v>66527059</v>
      </c>
      <c r="J19213">
        <v>6</v>
      </c>
    </row>
    <row r="19214" spans="1:10" x14ac:dyDescent="0.25">
      <c r="A19214" t="s">
        <v>213</v>
      </c>
      <c r="B19214" s="1" t="str">
        <f>HYPERLINK("http://molnlycke.ch","molnlycke.ch")</f>
        <v>molnlycke.ch</v>
      </c>
      <c r="C19214" t="s">
        <v>429</v>
      </c>
      <c r="D19214" t="s">
        <v>810</v>
      </c>
      <c r="F19214">
        <v>1.9846227512241799E-8</v>
      </c>
      <c r="G19214">
        <v>2685834</v>
      </c>
      <c r="H19214">
        <v>12240502</v>
      </c>
      <c r="I19214">
        <v>22243660</v>
      </c>
      <c r="J19214">
        <v>5</v>
      </c>
    </row>
    <row r="19215" spans="1:10" x14ac:dyDescent="0.25">
      <c r="A19215" t="s">
        <v>213</v>
      </c>
      <c r="B19215" s="1" t="str">
        <f>HYPERLINK("http://aicompanies.com.cn","aicompanies.com.cn")</f>
        <v>aicompanies.com.cn</v>
      </c>
      <c r="C19215" t="s">
        <v>431</v>
      </c>
      <c r="D19215" t="s">
        <v>812</v>
      </c>
      <c r="F19215">
        <v>5.3095307470692298E-9</v>
      </c>
      <c r="G19215">
        <v>23354772</v>
      </c>
      <c r="H19215">
        <v>10787053</v>
      </c>
      <c r="I19215">
        <v>38614915</v>
      </c>
      <c r="J19215">
        <v>4</v>
      </c>
    </row>
    <row r="19216" spans="1:10" x14ac:dyDescent="0.25">
      <c r="A19216" t="s">
        <v>213</v>
      </c>
      <c r="B19216" s="1" t="str">
        <f>HYPERLINK("http://molnlycke.cn","molnlycke.cn")</f>
        <v>molnlycke.cn</v>
      </c>
      <c r="C19216" t="s">
        <v>431</v>
      </c>
      <c r="D19216" t="s">
        <v>812</v>
      </c>
      <c r="F19216">
        <v>1.11396410177329E-8</v>
      </c>
      <c r="G19216">
        <v>5756677</v>
      </c>
      <c r="H19216">
        <v>10884779</v>
      </c>
      <c r="I19216">
        <v>36251903</v>
      </c>
      <c r="J19216">
        <v>5</v>
      </c>
    </row>
    <row r="19217" spans="1:10" x14ac:dyDescent="0.25">
      <c r="A19217" t="s">
        <v>213</v>
      </c>
      <c r="B19217" s="1" t="str">
        <f>HYPERLINK("http://aicompanies.com","aicompanies.com")</f>
        <v>aicompanies.com</v>
      </c>
      <c r="C19217" t="s">
        <v>433</v>
      </c>
      <c r="E19217">
        <v>918305</v>
      </c>
      <c r="F19217">
        <v>4.7507993105058402E-8</v>
      </c>
      <c r="G19217">
        <v>980336</v>
      </c>
      <c r="H19217">
        <v>14401809</v>
      </c>
      <c r="I19217">
        <v>1152753</v>
      </c>
      <c r="J19217">
        <v>3</v>
      </c>
    </row>
    <row r="19218" spans="1:10" x14ac:dyDescent="0.25">
      <c r="A19218" t="s">
        <v>213</v>
      </c>
      <c r="B19218" s="1" t="str">
        <f>HYPERLINK("http://atlasantibodies.com","atlasantibodies.com")</f>
        <v>atlasantibodies.com</v>
      </c>
      <c r="C19218" t="s">
        <v>433</v>
      </c>
      <c r="F19218">
        <v>2.7822966979592101E-8</v>
      </c>
      <c r="G19218">
        <v>1848418</v>
      </c>
      <c r="H19218">
        <v>12623569</v>
      </c>
      <c r="I19218">
        <v>16051784</v>
      </c>
      <c r="J19218">
        <v>3</v>
      </c>
    </row>
    <row r="19219" spans="1:10" x14ac:dyDescent="0.25">
      <c r="A19219" t="s">
        <v>213</v>
      </c>
      <c r="B19219" s="1" t="str">
        <f>HYPERLINK("http://avancesolo.com","avancesolo.com")</f>
        <v>avancesolo.com</v>
      </c>
      <c r="C19219" t="s">
        <v>433</v>
      </c>
      <c r="F19219">
        <v>8.9452631552093092E-9</v>
      </c>
      <c r="G19219">
        <v>8074429</v>
      </c>
      <c r="H19219">
        <v>10883904</v>
      </c>
      <c r="I19219">
        <v>36276648</v>
      </c>
      <c r="J19219">
        <v>6</v>
      </c>
    </row>
    <row r="19220" spans="1:10" x14ac:dyDescent="0.25">
      <c r="A19220" t="s">
        <v>213</v>
      </c>
      <c r="B19220" s="1" t="str">
        <f>HYPERLINK("http://investorab.com","investorab.com")</f>
        <v>investorab.com</v>
      </c>
      <c r="C19220" t="s">
        <v>433</v>
      </c>
      <c r="E19220">
        <v>727072</v>
      </c>
      <c r="F19220">
        <v>9.0418159399060704E-8</v>
      </c>
      <c r="G19220">
        <v>451192</v>
      </c>
      <c r="H19220">
        <v>14776607</v>
      </c>
      <c r="I19220">
        <v>555772</v>
      </c>
      <c r="J19220">
        <v>1</v>
      </c>
    </row>
    <row r="19221" spans="1:10" x14ac:dyDescent="0.25">
      <c r="A19221" t="s">
        <v>213</v>
      </c>
      <c r="B19221" s="1" t="str">
        <f>HYPERLINK("http://investorgrowthcapital.com","investorgrowthcapital.com")</f>
        <v>investorgrowthcapital.com</v>
      </c>
      <c r="C19221" t="s">
        <v>433</v>
      </c>
      <c r="F19221">
        <v>1.1805804990877701E-8</v>
      </c>
      <c r="G19221">
        <v>5298613</v>
      </c>
      <c r="H19221">
        <v>13441872</v>
      </c>
      <c r="I19221">
        <v>10246119</v>
      </c>
      <c r="J19221">
        <v>3</v>
      </c>
    </row>
    <row r="19222" spans="1:10" x14ac:dyDescent="0.25">
      <c r="A19222" t="s">
        <v>213</v>
      </c>
      <c r="B19222" s="1" t="str">
        <f>HYPERLINK("http://molnlycke.com","molnlycke.com")</f>
        <v>molnlycke.com</v>
      </c>
      <c r="C19222" t="s">
        <v>433</v>
      </c>
      <c r="E19222">
        <v>280238</v>
      </c>
      <c r="F19222">
        <v>1.10197805152933E-7</v>
      </c>
      <c r="G19222">
        <v>362916</v>
      </c>
      <c r="H19222">
        <v>14506087</v>
      </c>
      <c r="I19222">
        <v>834431</v>
      </c>
      <c r="J19222">
        <v>5</v>
      </c>
    </row>
    <row r="19223" spans="1:10" x14ac:dyDescent="0.25">
      <c r="A19223" t="s">
        <v>213</v>
      </c>
      <c r="B19223" s="1" t="str">
        <f>HYPERLINK("http://molnlyckehc.com","molnlyckehc.com")</f>
        <v>molnlyckehc.com</v>
      </c>
      <c r="C19223" t="s">
        <v>433</v>
      </c>
      <c r="F19223">
        <v>4.7322686380192196E-9</v>
      </c>
      <c r="G19223">
        <v>39233062</v>
      </c>
      <c r="H19223">
        <v>10594617</v>
      </c>
      <c r="I19223">
        <v>45278249</v>
      </c>
      <c r="J19223">
        <v>4</v>
      </c>
    </row>
    <row r="19224" spans="1:10" x14ac:dyDescent="0.25">
      <c r="A19224" t="s">
        <v>213</v>
      </c>
      <c r="B19224" s="1" t="str">
        <f>HYPERLINK("http://patriciaindustries.com","patriciaindustries.com")</f>
        <v>patriciaindustries.com</v>
      </c>
      <c r="C19224" t="s">
        <v>433</v>
      </c>
      <c r="F19224">
        <v>2.4916180002463699E-8</v>
      </c>
      <c r="G19224">
        <v>2075021</v>
      </c>
      <c r="H19224">
        <v>14276748</v>
      </c>
      <c r="I19224">
        <v>1388929</v>
      </c>
      <c r="J19224">
        <v>3</v>
      </c>
    </row>
    <row r="19225" spans="1:10" x14ac:dyDescent="0.25">
      <c r="A19225" t="s">
        <v>213</v>
      </c>
      <c r="B19225" s="1" t="str">
        <f>HYPERLINK("http://piab.com","piab.com")</f>
        <v>piab.com</v>
      </c>
      <c r="C19225" t="s">
        <v>433</v>
      </c>
      <c r="E19225">
        <v>337685</v>
      </c>
      <c r="F19225">
        <v>1.16285607078283E-7</v>
      </c>
      <c r="G19225">
        <v>341980</v>
      </c>
      <c r="H19225">
        <v>13996991</v>
      </c>
      <c r="I19225">
        <v>4018826</v>
      </c>
      <c r="J19225">
        <v>3</v>
      </c>
    </row>
    <row r="19226" spans="1:10" x14ac:dyDescent="0.25">
      <c r="A19226" t="s">
        <v>213</v>
      </c>
      <c r="B19226" s="1" t="str">
        <f>HYPERLINK("http://sarnova.com","sarnova.com")</f>
        <v>sarnova.com</v>
      </c>
      <c r="C19226" t="s">
        <v>433</v>
      </c>
      <c r="E19226">
        <v>673364</v>
      </c>
      <c r="F19226">
        <v>1.5945133521849201E-8</v>
      </c>
      <c r="G19226">
        <v>3560748</v>
      </c>
      <c r="H19226">
        <v>12518960</v>
      </c>
      <c r="I19226">
        <v>17161523</v>
      </c>
      <c r="J19226">
        <v>3</v>
      </c>
    </row>
    <row r="19227" spans="1:10" x14ac:dyDescent="0.25">
      <c r="A19227" t="s">
        <v>213</v>
      </c>
      <c r="B19227" s="1" t="str">
        <f>HYPERLINK("http://molnlycke.cz","molnlycke.cz")</f>
        <v>molnlycke.cz</v>
      </c>
      <c r="C19227" t="s">
        <v>435</v>
      </c>
      <c r="D19227" t="s">
        <v>814</v>
      </c>
      <c r="F19227">
        <v>1.65102894243863E-8</v>
      </c>
      <c r="G19227">
        <v>3411169</v>
      </c>
      <c r="H19227">
        <v>11107190</v>
      </c>
      <c r="I19227">
        <v>32190592</v>
      </c>
      <c r="J19227">
        <v>5</v>
      </c>
    </row>
    <row r="19228" spans="1:10" x14ac:dyDescent="0.25">
      <c r="A19228" t="s">
        <v>213</v>
      </c>
      <c r="B19228" s="1" t="str">
        <f>HYPERLINK("http://molnlycke.de","molnlycke.de")</f>
        <v>molnlycke.de</v>
      </c>
      <c r="C19228" t="s">
        <v>436</v>
      </c>
      <c r="D19228" t="s">
        <v>815</v>
      </c>
      <c r="F19228">
        <v>3.3921248453716199E-8</v>
      </c>
      <c r="G19228">
        <v>1526018</v>
      </c>
      <c r="H19228">
        <v>12454930</v>
      </c>
      <c r="I19228">
        <v>17934282</v>
      </c>
      <c r="J19228">
        <v>5</v>
      </c>
    </row>
    <row r="19229" spans="1:10" x14ac:dyDescent="0.25">
      <c r="A19229" t="s">
        <v>213</v>
      </c>
      <c r="B19229" s="1" t="str">
        <f>HYPERLINK("http://avancesolo.dk","avancesolo.dk")</f>
        <v>avancesolo.dk</v>
      </c>
      <c r="C19229" t="s">
        <v>437</v>
      </c>
      <c r="D19229" t="s">
        <v>816</v>
      </c>
      <c r="F19229">
        <v>5.9076095576030301E-9</v>
      </c>
      <c r="G19229">
        <v>17306878</v>
      </c>
      <c r="H19229">
        <v>9831351</v>
      </c>
      <c r="I19229">
        <v>62317634</v>
      </c>
      <c r="J19229">
        <v>6</v>
      </c>
    </row>
    <row r="19230" spans="1:10" x14ac:dyDescent="0.25">
      <c r="A19230" t="s">
        <v>213</v>
      </c>
      <c r="B19230" s="1" t="str">
        <f>HYPERLINK("http://mjairlaid.dk","mjairlaid.dk")</f>
        <v>mjairlaid.dk</v>
      </c>
      <c r="C19230" t="s">
        <v>437</v>
      </c>
      <c r="D19230" t="s">
        <v>816</v>
      </c>
      <c r="F19230">
        <v>4.7066313225718203E-9</v>
      </c>
      <c r="G19230">
        <v>40903213</v>
      </c>
      <c r="H19230">
        <v>12237705</v>
      </c>
      <c r="I19230">
        <v>22317986</v>
      </c>
      <c r="J19230">
        <v>4</v>
      </c>
    </row>
    <row r="19231" spans="1:10" x14ac:dyDescent="0.25">
      <c r="A19231" t="s">
        <v>213</v>
      </c>
      <c r="B19231" s="1" t="str">
        <f>HYPERLINK("http://molnlycke.dk","molnlycke.dk")</f>
        <v>molnlycke.dk</v>
      </c>
      <c r="C19231" t="s">
        <v>437</v>
      </c>
      <c r="D19231" t="s">
        <v>816</v>
      </c>
      <c r="F19231">
        <v>1.9158449461626401E-8</v>
      </c>
      <c r="G19231">
        <v>2805669</v>
      </c>
      <c r="H19231">
        <v>12875931</v>
      </c>
      <c r="I19231">
        <v>14027265</v>
      </c>
      <c r="J19231">
        <v>5</v>
      </c>
    </row>
    <row r="19232" spans="1:10" x14ac:dyDescent="0.25">
      <c r="A19232" t="s">
        <v>213</v>
      </c>
      <c r="B19232" s="1" t="str">
        <f>HYPERLINK("http://molnlycke.ee","molnlycke.ee")</f>
        <v>molnlycke.ee</v>
      </c>
      <c r="C19232" t="s">
        <v>441</v>
      </c>
      <c r="D19232" t="s">
        <v>820</v>
      </c>
      <c r="F19232">
        <v>1.10443346514089E-8</v>
      </c>
      <c r="G19232">
        <v>5826522</v>
      </c>
      <c r="H19232">
        <v>10886000</v>
      </c>
      <c r="I19232">
        <v>36210747</v>
      </c>
      <c r="J19232">
        <v>5</v>
      </c>
    </row>
    <row r="19233" spans="1:10" x14ac:dyDescent="0.25">
      <c r="A19233" t="s">
        <v>213</v>
      </c>
      <c r="B19233" s="1" t="str">
        <f>HYPERLINK("http://molnlycke.es","molnlycke.es")</f>
        <v>molnlycke.es</v>
      </c>
      <c r="C19233" t="s">
        <v>443</v>
      </c>
      <c r="D19233" t="s">
        <v>822</v>
      </c>
      <c r="F19233">
        <v>1.4204538950609E-8</v>
      </c>
      <c r="G19233">
        <v>4127318</v>
      </c>
      <c r="H19233">
        <v>10982634</v>
      </c>
      <c r="I19233">
        <v>33885701</v>
      </c>
      <c r="J19233">
        <v>5</v>
      </c>
    </row>
    <row r="19234" spans="1:10" x14ac:dyDescent="0.25">
      <c r="A19234" t="s">
        <v>213</v>
      </c>
      <c r="B19234" s="1" t="str">
        <f>HYPERLINK("http://aicompanies.fi","aicompanies.fi")</f>
        <v>aicompanies.fi</v>
      </c>
      <c r="C19234" t="s">
        <v>445</v>
      </c>
      <c r="D19234" t="s">
        <v>823</v>
      </c>
      <c r="J19234">
        <v>6</v>
      </c>
    </row>
    <row r="19235" spans="1:10" x14ac:dyDescent="0.25">
      <c r="A19235" t="s">
        <v>213</v>
      </c>
      <c r="B19235" s="1" t="str">
        <f>HYPERLINK("http://avancesolo.fi","avancesolo.fi")</f>
        <v>avancesolo.fi</v>
      </c>
      <c r="C19235" t="s">
        <v>445</v>
      </c>
      <c r="D19235" t="s">
        <v>823</v>
      </c>
      <c r="F19235">
        <v>5.6449023583062803E-9</v>
      </c>
      <c r="G19235">
        <v>19437767</v>
      </c>
      <c r="H19235">
        <v>10344416</v>
      </c>
      <c r="I19235">
        <v>57209996</v>
      </c>
      <c r="J19235">
        <v>5</v>
      </c>
    </row>
    <row r="19236" spans="1:10" x14ac:dyDescent="0.25">
      <c r="A19236" t="s">
        <v>213</v>
      </c>
      <c r="B19236" s="1" t="str">
        <f>HYPERLINK("http://barrier.fi","barrier.fi")</f>
        <v>barrier.fi</v>
      </c>
      <c r="C19236" t="s">
        <v>445</v>
      </c>
      <c r="D19236" t="s">
        <v>823</v>
      </c>
      <c r="J19236">
        <v>5</v>
      </c>
    </row>
    <row r="19237" spans="1:10" x14ac:dyDescent="0.25">
      <c r="A19237" t="s">
        <v>213</v>
      </c>
      <c r="B19237" s="1" t="str">
        <f>HYPERLINK("http://biogel.fi","biogel.fi")</f>
        <v>biogel.fi</v>
      </c>
      <c r="C19237" t="s">
        <v>445</v>
      </c>
      <c r="D19237" t="s">
        <v>823</v>
      </c>
      <c r="J19237">
        <v>5</v>
      </c>
    </row>
    <row r="19238" spans="1:10" x14ac:dyDescent="0.25">
      <c r="A19238" t="s">
        <v>213</v>
      </c>
      <c r="B19238" s="1" t="str">
        <f>HYPERLINK("http://hibiwash.fi","hibiwash.fi")</f>
        <v>hibiwash.fi</v>
      </c>
      <c r="C19238" t="s">
        <v>445</v>
      </c>
      <c r="D19238" t="s">
        <v>823</v>
      </c>
      <c r="J19238">
        <v>5</v>
      </c>
    </row>
    <row r="19239" spans="1:10" x14ac:dyDescent="0.25">
      <c r="A19239" t="s">
        <v>213</v>
      </c>
      <c r="B19239" s="1" t="str">
        <f>HYPERLINK("http://mepiform.fi","mepiform.fi")</f>
        <v>mepiform.fi</v>
      </c>
      <c r="C19239" t="s">
        <v>445</v>
      </c>
      <c r="D19239" t="s">
        <v>823</v>
      </c>
      <c r="J19239">
        <v>5</v>
      </c>
    </row>
    <row r="19240" spans="1:10" x14ac:dyDescent="0.25">
      <c r="A19240" t="s">
        <v>213</v>
      </c>
      <c r="B19240" s="1" t="str">
        <f>HYPERLINK("http://mepilex.fi","mepilex.fi")</f>
        <v>mepilex.fi</v>
      </c>
      <c r="C19240" t="s">
        <v>445</v>
      </c>
      <c r="D19240" t="s">
        <v>823</v>
      </c>
      <c r="J19240">
        <v>5</v>
      </c>
    </row>
    <row r="19241" spans="1:10" x14ac:dyDescent="0.25">
      <c r="A19241" t="s">
        <v>213</v>
      </c>
      <c r="B19241" s="1" t="str">
        <f>HYPERLINK("http://mepitel.fi","mepitel.fi")</f>
        <v>mepitel.fi</v>
      </c>
      <c r="C19241" t="s">
        <v>445</v>
      </c>
      <c r="D19241" t="s">
        <v>823</v>
      </c>
      <c r="J19241">
        <v>5</v>
      </c>
    </row>
    <row r="19242" spans="1:10" x14ac:dyDescent="0.25">
      <c r="A19242" t="s">
        <v>213</v>
      </c>
      <c r="B19242" s="1" t="str">
        <f>HYPERLINK("http://mepitelone.fi","mepitelone.fi")</f>
        <v>mepitelone.fi</v>
      </c>
      <c r="C19242" t="s">
        <v>445</v>
      </c>
      <c r="D19242" t="s">
        <v>823</v>
      </c>
      <c r="J19242">
        <v>5</v>
      </c>
    </row>
    <row r="19243" spans="1:10" x14ac:dyDescent="0.25">
      <c r="A19243" t="s">
        <v>213</v>
      </c>
      <c r="B19243" s="1" t="str">
        <f>HYPERLINK("http://mepore.fi","mepore.fi")</f>
        <v>mepore.fi</v>
      </c>
      <c r="C19243" t="s">
        <v>445</v>
      </c>
      <c r="D19243" t="s">
        <v>823</v>
      </c>
      <c r="J19243">
        <v>5</v>
      </c>
    </row>
    <row r="19244" spans="1:10" x14ac:dyDescent="0.25">
      <c r="A19244" t="s">
        <v>213</v>
      </c>
      <c r="B19244" s="1" t="str">
        <f>HYPERLINK("http://molnlycke.fi","molnlycke.fi")</f>
        <v>molnlycke.fi</v>
      </c>
      <c r="C19244" t="s">
        <v>445</v>
      </c>
      <c r="D19244" t="s">
        <v>823</v>
      </c>
      <c r="F19244">
        <v>1.7339045590925801E-8</v>
      </c>
      <c r="G19244">
        <v>3189646</v>
      </c>
      <c r="H19244">
        <v>13765009</v>
      </c>
      <c r="I19244">
        <v>7158592</v>
      </c>
      <c r="J19244">
        <v>5</v>
      </c>
    </row>
    <row r="19245" spans="1:10" x14ac:dyDescent="0.25">
      <c r="A19245" t="s">
        <v>213</v>
      </c>
      <c r="B19245" s="1" t="str">
        <f>HYPERLINK("http://piab.fi","piab.fi")</f>
        <v>piab.fi</v>
      </c>
      <c r="C19245" t="s">
        <v>445</v>
      </c>
      <c r="D19245" t="s">
        <v>823</v>
      </c>
      <c r="J19245">
        <v>2</v>
      </c>
    </row>
    <row r="19246" spans="1:10" x14ac:dyDescent="0.25">
      <c r="A19246" t="s">
        <v>213</v>
      </c>
      <c r="B19246" s="1" t="str">
        <f>HYPERLINK("http://molnlycke.fr","molnlycke.fr")</f>
        <v>molnlycke.fr</v>
      </c>
      <c r="C19246" t="s">
        <v>446</v>
      </c>
      <c r="D19246" t="s">
        <v>824</v>
      </c>
      <c r="F19246">
        <v>1.73199076623749E-8</v>
      </c>
      <c r="G19246">
        <v>3194292</v>
      </c>
      <c r="H19246">
        <v>14073796</v>
      </c>
      <c r="I19246">
        <v>2971471</v>
      </c>
      <c r="J19246">
        <v>5</v>
      </c>
    </row>
    <row r="19247" spans="1:10" x14ac:dyDescent="0.25">
      <c r="A19247" t="s">
        <v>213</v>
      </c>
      <c r="B19247" s="1" t="str">
        <f>HYPERLINK("http://molnlycke.hu","molnlycke.hu")</f>
        <v>molnlycke.hu</v>
      </c>
      <c r="C19247" t="s">
        <v>453</v>
      </c>
      <c r="D19247" t="s">
        <v>830</v>
      </c>
      <c r="F19247">
        <v>1.20286572199529E-8</v>
      </c>
      <c r="G19247">
        <v>5157448</v>
      </c>
      <c r="H19247">
        <v>10970292</v>
      </c>
      <c r="I19247">
        <v>34139278</v>
      </c>
      <c r="J19247">
        <v>5</v>
      </c>
    </row>
    <row r="19248" spans="1:10" x14ac:dyDescent="0.25">
      <c r="A19248" t="s">
        <v>213</v>
      </c>
      <c r="B19248" s="1" t="str">
        <f>HYPERLINK("http://molnlycke.in","molnlycke.in")</f>
        <v>molnlycke.in</v>
      </c>
      <c r="C19248" t="s">
        <v>457</v>
      </c>
      <c r="D19248" t="s">
        <v>834</v>
      </c>
      <c r="F19248">
        <v>1.24650685275134E-8</v>
      </c>
      <c r="G19248">
        <v>4904186</v>
      </c>
      <c r="H19248">
        <v>12601461</v>
      </c>
      <c r="I19248">
        <v>16310498</v>
      </c>
      <c r="J19248">
        <v>5</v>
      </c>
    </row>
    <row r="19249" spans="1:10" x14ac:dyDescent="0.25">
      <c r="A19249" t="s">
        <v>213</v>
      </c>
      <c r="B19249" s="1" t="str">
        <f>HYPERLINK("http://avancesolo.it","avancesolo.it")</f>
        <v>avancesolo.it</v>
      </c>
      <c r="C19249" t="s">
        <v>459</v>
      </c>
      <c r="D19249" t="s">
        <v>835</v>
      </c>
      <c r="F19249">
        <v>5.6875462305101502E-9</v>
      </c>
      <c r="G19249">
        <v>19066071</v>
      </c>
      <c r="H19249">
        <v>8626929</v>
      </c>
      <c r="I19249">
        <v>70568886</v>
      </c>
      <c r="J19249">
        <v>6</v>
      </c>
    </row>
    <row r="19250" spans="1:10" x14ac:dyDescent="0.25">
      <c r="A19250" t="s">
        <v>213</v>
      </c>
      <c r="B19250" s="1" t="str">
        <f>HYPERLINK("http://molnlycke.it","molnlycke.it")</f>
        <v>molnlycke.it</v>
      </c>
      <c r="C19250" t="s">
        <v>459</v>
      </c>
      <c r="D19250" t="s">
        <v>835</v>
      </c>
      <c r="F19250">
        <v>1.69091749417992E-8</v>
      </c>
      <c r="G19250">
        <v>3304893</v>
      </c>
      <c r="H19250">
        <v>13934665</v>
      </c>
      <c r="I19250">
        <v>4584487</v>
      </c>
      <c r="J19250">
        <v>5</v>
      </c>
    </row>
    <row r="19251" spans="1:10" x14ac:dyDescent="0.25">
      <c r="A19251" t="s">
        <v>213</v>
      </c>
      <c r="B19251" s="1" t="str">
        <f>HYPERLINK("http://molnlycke.jp","molnlycke.jp")</f>
        <v>molnlycke.jp</v>
      </c>
      <c r="C19251" t="s">
        <v>461</v>
      </c>
      <c r="D19251" t="s">
        <v>837</v>
      </c>
      <c r="F19251">
        <v>1.3052877034485199E-8</v>
      </c>
      <c r="G19251">
        <v>4605923</v>
      </c>
      <c r="H19251">
        <v>12154013</v>
      </c>
      <c r="I19251">
        <v>24521107</v>
      </c>
      <c r="J19251">
        <v>5</v>
      </c>
    </row>
    <row r="19252" spans="1:10" x14ac:dyDescent="0.25">
      <c r="A19252" t="s">
        <v>213</v>
      </c>
      <c r="B19252" s="1" t="str">
        <f>HYPERLINK("http://molnlycke.kr","molnlycke.kr")</f>
        <v>molnlycke.kr</v>
      </c>
      <c r="C19252" t="s">
        <v>463</v>
      </c>
      <c r="D19252" t="s">
        <v>839</v>
      </c>
      <c r="F19252">
        <v>1.1037884429348301E-8</v>
      </c>
      <c r="G19252">
        <v>5831382</v>
      </c>
      <c r="H19252">
        <v>10884777</v>
      </c>
      <c r="I19252">
        <v>36252135</v>
      </c>
      <c r="J19252">
        <v>5</v>
      </c>
    </row>
    <row r="19253" spans="1:10" x14ac:dyDescent="0.25">
      <c r="A19253" t="s">
        <v>213</v>
      </c>
      <c r="B19253" s="1" t="str">
        <f>HYPERLINK("http://molnlycke.lat","molnlycke.lat")</f>
        <v>molnlycke.lat</v>
      </c>
      <c r="C19253" t="s">
        <v>614</v>
      </c>
      <c r="F19253">
        <v>1.14794647489013E-8</v>
      </c>
      <c r="G19253">
        <v>5519264</v>
      </c>
      <c r="H19253">
        <v>10884786</v>
      </c>
      <c r="I19253">
        <v>36251670</v>
      </c>
      <c r="J19253">
        <v>5</v>
      </c>
    </row>
    <row r="19254" spans="1:10" x14ac:dyDescent="0.25">
      <c r="A19254" t="s">
        <v>213</v>
      </c>
      <c r="B19254" s="1" t="str">
        <f>HYPERLINK("http://molnlycke.lt","molnlycke.lt")</f>
        <v>molnlycke.lt</v>
      </c>
      <c r="C19254" t="s">
        <v>467</v>
      </c>
      <c r="D19254" t="s">
        <v>843</v>
      </c>
      <c r="F19254">
        <v>1.2077067311419301E-8</v>
      </c>
      <c r="G19254">
        <v>5127127</v>
      </c>
      <c r="H19254">
        <v>10885111</v>
      </c>
      <c r="I19254">
        <v>36239722</v>
      </c>
      <c r="J19254">
        <v>5</v>
      </c>
    </row>
    <row r="19255" spans="1:10" x14ac:dyDescent="0.25">
      <c r="A19255" t="s">
        <v>213</v>
      </c>
      <c r="B19255" s="1" t="str">
        <f>HYPERLINK("http://molnlycke.lv","molnlycke.lv")</f>
        <v>molnlycke.lv</v>
      </c>
      <c r="C19255" t="s">
        <v>468</v>
      </c>
      <c r="D19255" t="s">
        <v>844</v>
      </c>
      <c r="F19255">
        <v>1.10578813754417E-8</v>
      </c>
      <c r="G19255">
        <v>5816473</v>
      </c>
      <c r="H19255">
        <v>10884777</v>
      </c>
      <c r="I19255">
        <v>36252136</v>
      </c>
      <c r="J19255">
        <v>5</v>
      </c>
    </row>
    <row r="19256" spans="1:10" x14ac:dyDescent="0.25">
      <c r="A19256" t="s">
        <v>213</v>
      </c>
      <c r="B19256" s="1" t="str">
        <f>HYPERLINK("http://molnlycke.my","molnlycke.my")</f>
        <v>molnlycke.my</v>
      </c>
      <c r="C19256" t="s">
        <v>472</v>
      </c>
      <c r="D19256" t="s">
        <v>848</v>
      </c>
      <c r="F19256">
        <v>1.22070924740384E-8</v>
      </c>
      <c r="G19256">
        <v>5046498</v>
      </c>
      <c r="H19256">
        <v>11110491</v>
      </c>
      <c r="I19256">
        <v>32152781</v>
      </c>
      <c r="J19256">
        <v>5</v>
      </c>
    </row>
    <row r="19257" spans="1:10" x14ac:dyDescent="0.25">
      <c r="A19257" t="s">
        <v>213</v>
      </c>
      <c r="B19257" s="1" t="str">
        <f>HYPERLINK("http://molnlycke.nl","molnlycke.nl")</f>
        <v>molnlycke.nl</v>
      </c>
      <c r="C19257" t="s">
        <v>477</v>
      </c>
      <c r="D19257" t="s">
        <v>852</v>
      </c>
      <c r="F19257">
        <v>1.44865793618689E-8</v>
      </c>
      <c r="G19257">
        <v>4027167</v>
      </c>
      <c r="H19257">
        <v>12150061</v>
      </c>
      <c r="I19257">
        <v>24621056</v>
      </c>
      <c r="J19257">
        <v>5</v>
      </c>
    </row>
    <row r="19258" spans="1:10" x14ac:dyDescent="0.25">
      <c r="A19258" t="s">
        <v>213</v>
      </c>
      <c r="B19258" s="1" t="str">
        <f>HYPERLINK("http://avancesolo.no","avancesolo.no")</f>
        <v>avancesolo.no</v>
      </c>
      <c r="C19258" t="s">
        <v>478</v>
      </c>
      <c r="D19258" t="s">
        <v>853</v>
      </c>
      <c r="F19258">
        <v>5.6640132214758003E-9</v>
      </c>
      <c r="G19258">
        <v>19269499</v>
      </c>
      <c r="H19258">
        <v>9454220</v>
      </c>
      <c r="I19258">
        <v>66454858</v>
      </c>
      <c r="J19258">
        <v>6</v>
      </c>
    </row>
    <row r="19259" spans="1:10" x14ac:dyDescent="0.25">
      <c r="A19259" t="s">
        <v>213</v>
      </c>
      <c r="B19259" s="1" t="str">
        <f>HYPERLINK("http://molnlycke.no","molnlycke.no")</f>
        <v>molnlycke.no</v>
      </c>
      <c r="C19259" t="s">
        <v>478</v>
      </c>
      <c r="D19259" t="s">
        <v>853</v>
      </c>
      <c r="F19259">
        <v>1.65971470924204E-8</v>
      </c>
      <c r="G19259">
        <v>3390058</v>
      </c>
      <c r="H19259">
        <v>11176656</v>
      </c>
      <c r="I19259">
        <v>31467150</v>
      </c>
      <c r="J19259">
        <v>5</v>
      </c>
    </row>
    <row r="19260" spans="1:10" x14ac:dyDescent="0.25">
      <c r="A19260" t="s">
        <v>213</v>
      </c>
      <c r="B19260" s="1" t="str">
        <f>HYPERLINK("http://molnlycke.co.nz","molnlycke.co.nz")</f>
        <v>molnlycke.co.nz</v>
      </c>
      <c r="C19260" t="s">
        <v>479</v>
      </c>
      <c r="D19260" t="s">
        <v>854</v>
      </c>
      <c r="F19260">
        <v>1.12025193754346E-8</v>
      </c>
      <c r="G19260">
        <v>5711369</v>
      </c>
      <c r="H19260">
        <v>10927261</v>
      </c>
      <c r="I19260">
        <v>35125111</v>
      </c>
      <c r="J19260">
        <v>5</v>
      </c>
    </row>
    <row r="19261" spans="1:10" x14ac:dyDescent="0.25">
      <c r="A19261" t="s">
        <v>213</v>
      </c>
      <c r="B19261" s="1" t="str">
        <f>HYPERLINK("http://molnlycke.pl","molnlycke.pl")</f>
        <v>molnlycke.pl</v>
      </c>
      <c r="C19261" t="s">
        <v>486</v>
      </c>
      <c r="D19261" t="s">
        <v>860</v>
      </c>
      <c r="F19261">
        <v>1.26963783382623E-8</v>
      </c>
      <c r="G19261">
        <v>4781511</v>
      </c>
      <c r="H19261">
        <v>10889699</v>
      </c>
      <c r="I19261">
        <v>36098961</v>
      </c>
      <c r="J19261">
        <v>5</v>
      </c>
    </row>
    <row r="19262" spans="1:10" x14ac:dyDescent="0.25">
      <c r="A19262" t="s">
        <v>213</v>
      </c>
      <c r="B19262" s="1" t="str">
        <f>HYPERLINK("http://molnlycke.pt","molnlycke.pt")</f>
        <v>molnlycke.pt</v>
      </c>
      <c r="C19262" t="s">
        <v>488</v>
      </c>
      <c r="D19262" t="s">
        <v>862</v>
      </c>
      <c r="F19262">
        <v>1.29590455974532E-8</v>
      </c>
      <c r="G19262">
        <v>4651495</v>
      </c>
      <c r="H19262">
        <v>11628958</v>
      </c>
      <c r="I19262">
        <v>29899507</v>
      </c>
      <c r="J19262">
        <v>5</v>
      </c>
    </row>
    <row r="19263" spans="1:10" x14ac:dyDescent="0.25">
      <c r="A19263" t="s">
        <v>213</v>
      </c>
      <c r="B19263" s="1" t="str">
        <f>HYPERLINK("http://molnlycke.ru","molnlycke.ru")</f>
        <v>molnlycke.ru</v>
      </c>
      <c r="C19263" t="s">
        <v>493</v>
      </c>
      <c r="D19263" t="s">
        <v>867</v>
      </c>
      <c r="F19263">
        <v>1.6102653476279999E-8</v>
      </c>
      <c r="G19263">
        <v>3519887</v>
      </c>
      <c r="H19263">
        <v>12609360</v>
      </c>
      <c r="I19263">
        <v>16242933</v>
      </c>
      <c r="J19263">
        <v>5</v>
      </c>
    </row>
    <row r="19264" spans="1:10" x14ac:dyDescent="0.25">
      <c r="A19264" t="s">
        <v>213</v>
      </c>
      <c r="B19264" s="1" t="str">
        <f>HYPERLINK("http://avancesolo.se","avancesolo.se")</f>
        <v>avancesolo.se</v>
      </c>
      <c r="C19264" t="s">
        <v>495</v>
      </c>
      <c r="D19264" t="s">
        <v>869</v>
      </c>
      <c r="F19264">
        <v>5.6801609875660099E-9</v>
      </c>
      <c r="G19264">
        <v>19128354</v>
      </c>
      <c r="H19264">
        <v>10510591</v>
      </c>
      <c r="I19264">
        <v>49587244</v>
      </c>
      <c r="J19264">
        <v>6</v>
      </c>
    </row>
    <row r="19265" spans="1:10" x14ac:dyDescent="0.25">
      <c r="A19265" t="s">
        <v>213</v>
      </c>
      <c r="B19265" s="1" t="str">
        <f>HYPERLINK("http://investorab.se","investorab.se")</f>
        <v>investorab.se</v>
      </c>
      <c r="C19265" t="s">
        <v>495</v>
      </c>
      <c r="D19265" t="s">
        <v>869</v>
      </c>
      <c r="F19265">
        <v>7.7835452574684601E-9</v>
      </c>
      <c r="G19265">
        <v>10360138</v>
      </c>
      <c r="H19265">
        <v>14236160</v>
      </c>
      <c r="I19265">
        <v>1604800</v>
      </c>
      <c r="J19265">
        <v>2</v>
      </c>
    </row>
    <row r="19266" spans="1:10" x14ac:dyDescent="0.25">
      <c r="A19266" t="s">
        <v>213</v>
      </c>
      <c r="B19266" s="1" t="str">
        <f>HYPERLINK("http://molnlycke.se","molnlycke.se")</f>
        <v>molnlycke.se</v>
      </c>
      <c r="C19266" t="s">
        <v>495</v>
      </c>
      <c r="D19266" t="s">
        <v>869</v>
      </c>
      <c r="F19266">
        <v>2.35615810125866E-8</v>
      </c>
      <c r="G19266">
        <v>2208073</v>
      </c>
      <c r="H19266">
        <v>14075633</v>
      </c>
      <c r="I19266">
        <v>2904338</v>
      </c>
      <c r="J19266">
        <v>4</v>
      </c>
    </row>
    <row r="19267" spans="1:10" x14ac:dyDescent="0.25">
      <c r="A19267" t="s">
        <v>213</v>
      </c>
      <c r="B19267" s="1" t="str">
        <f>HYPERLINK("http://vectura.se","vectura.se")</f>
        <v>vectura.se</v>
      </c>
      <c r="C19267" t="s">
        <v>495</v>
      </c>
      <c r="D19267" t="s">
        <v>869</v>
      </c>
      <c r="F19267">
        <v>1.8861162717318601E-8</v>
      </c>
      <c r="G19267">
        <v>2860524</v>
      </c>
      <c r="H19267">
        <v>14081275</v>
      </c>
      <c r="I19267">
        <v>2811883</v>
      </c>
      <c r="J19267">
        <v>6</v>
      </c>
    </row>
    <row r="19268" spans="1:10" x14ac:dyDescent="0.25">
      <c r="A19268" t="s">
        <v>213</v>
      </c>
      <c r="B19268" s="1" t="str">
        <f>HYPERLINK("http://vecturafastigheter.se","vecturafastigheter.se")</f>
        <v>vecturafastigheter.se</v>
      </c>
      <c r="C19268" t="s">
        <v>495</v>
      </c>
      <c r="D19268" t="s">
        <v>869</v>
      </c>
      <c r="F19268">
        <v>7.5917047675602408E-9</v>
      </c>
      <c r="G19268">
        <v>10812307</v>
      </c>
      <c r="H19268">
        <v>12407292</v>
      </c>
      <c r="I19268">
        <v>18653052</v>
      </c>
      <c r="J19268">
        <v>3</v>
      </c>
    </row>
    <row r="19269" spans="1:10" x14ac:dyDescent="0.25">
      <c r="A19269" t="s">
        <v>213</v>
      </c>
      <c r="B19269" s="1" t="str">
        <f>HYPERLINK("http://molnlycke.sg","molnlycke.sg")</f>
        <v>molnlycke.sg</v>
      </c>
      <c r="C19269" t="s">
        <v>496</v>
      </c>
      <c r="D19269" t="s">
        <v>870</v>
      </c>
      <c r="F19269">
        <v>1.2018178787933699E-8</v>
      </c>
      <c r="G19269">
        <v>5163927</v>
      </c>
      <c r="H19269">
        <v>10927843</v>
      </c>
      <c r="I19269">
        <v>35110027</v>
      </c>
      <c r="J19269">
        <v>5</v>
      </c>
    </row>
    <row r="19270" spans="1:10" x14ac:dyDescent="0.25">
      <c r="A19270" t="s">
        <v>213</v>
      </c>
      <c r="B19270" s="1" t="str">
        <f>HYPERLINK("http://aicompanies.co.uk","aicompanies.co.uk")</f>
        <v>aicompanies.co.uk</v>
      </c>
      <c r="C19270" t="s">
        <v>506</v>
      </c>
      <c r="D19270" t="s">
        <v>880</v>
      </c>
      <c r="F19270">
        <v>5.5804668465795396E-9</v>
      </c>
      <c r="G19270">
        <v>20050632</v>
      </c>
      <c r="H19270">
        <v>10863353</v>
      </c>
      <c r="I19270">
        <v>36619264</v>
      </c>
      <c r="J19270">
        <v>4</v>
      </c>
    </row>
    <row r="19271" spans="1:10" x14ac:dyDescent="0.25">
      <c r="A19271" t="s">
        <v>213</v>
      </c>
      <c r="B19271" s="1" t="str">
        <f>HYPERLINK("http://molnlycke.co.uk","molnlycke.co.uk")</f>
        <v>molnlycke.co.uk</v>
      </c>
      <c r="C19271" t="s">
        <v>506</v>
      </c>
      <c r="D19271" t="s">
        <v>880</v>
      </c>
      <c r="F19271">
        <v>2.7112002429700399E-8</v>
      </c>
      <c r="G19271">
        <v>1896848</v>
      </c>
      <c r="H19271">
        <v>13898269</v>
      </c>
      <c r="I19271">
        <v>5952940</v>
      </c>
      <c r="J19271">
        <v>5</v>
      </c>
    </row>
    <row r="19272" spans="1:10" x14ac:dyDescent="0.25">
      <c r="A19272" t="s">
        <v>213</v>
      </c>
      <c r="B19272" s="1" t="str">
        <f>HYPERLINK("http://molnlycke.us","molnlycke.us")</f>
        <v>molnlycke.us</v>
      </c>
      <c r="C19272" t="s">
        <v>522</v>
      </c>
      <c r="D19272" t="s">
        <v>891</v>
      </c>
      <c r="F19272">
        <v>1.04175064290309E-7</v>
      </c>
      <c r="G19272">
        <v>384887</v>
      </c>
      <c r="H19272">
        <v>13622290</v>
      </c>
      <c r="I19272">
        <v>9624177</v>
      </c>
      <c r="J19272">
        <v>5</v>
      </c>
    </row>
    <row r="19273" spans="1:10" x14ac:dyDescent="0.25">
      <c r="A19273" t="s">
        <v>1623</v>
      </c>
      <c r="B19273" s="1" t="str">
        <f>HYPERLINK("http://itau.com.ar","itau.com.ar")</f>
        <v>itau.com.ar</v>
      </c>
      <c r="C19273" t="s">
        <v>418</v>
      </c>
      <c r="D19273" t="s">
        <v>800</v>
      </c>
      <c r="E19273">
        <v>69014</v>
      </c>
      <c r="F19273">
        <v>6.5855000252790395E-8</v>
      </c>
      <c r="G19273">
        <v>652052</v>
      </c>
      <c r="H19273">
        <v>13805671</v>
      </c>
      <c r="I19273">
        <v>6235952</v>
      </c>
      <c r="J19273">
        <v>2</v>
      </c>
    </row>
    <row r="19274" spans="1:10" x14ac:dyDescent="0.25">
      <c r="A19274" t="s">
        <v>1623</v>
      </c>
      <c r="B19274" s="1" t="str">
        <f>HYPERLINK("http://consorcioitau.com.br","consorcioitau.com.br")</f>
        <v>consorcioitau.com.br</v>
      </c>
      <c r="C19274" t="s">
        <v>425</v>
      </c>
      <c r="D19274" t="s">
        <v>806</v>
      </c>
      <c r="F19274">
        <v>4.4766494638573102E-9</v>
      </c>
      <c r="G19274">
        <v>63059099</v>
      </c>
      <c r="H19274">
        <v>1.0003663</v>
      </c>
      <c r="I19274">
        <v>78254334</v>
      </c>
      <c r="J19274">
        <v>3</v>
      </c>
    </row>
    <row r="19275" spans="1:10" x14ac:dyDescent="0.25">
      <c r="A19275" t="s">
        <v>1623</v>
      </c>
      <c r="B19275" s="1" t="str">
        <f>HYPERLINK("http://duratex.com.br","duratex.com.br")</f>
        <v>duratex.com.br</v>
      </c>
      <c r="C19275" t="s">
        <v>425</v>
      </c>
      <c r="D19275" t="s">
        <v>806</v>
      </c>
      <c r="E19275">
        <v>468328</v>
      </c>
      <c r="F19275">
        <v>4.6108559871319997E-8</v>
      </c>
      <c r="G19275">
        <v>1016992</v>
      </c>
      <c r="H19275">
        <v>14398236</v>
      </c>
      <c r="I19275">
        <v>1156874</v>
      </c>
      <c r="J19275">
        <v>4</v>
      </c>
    </row>
    <row r="19276" spans="1:10" x14ac:dyDescent="0.25">
      <c r="A19276" t="s">
        <v>1623</v>
      </c>
      <c r="B19276" s="1" t="str">
        <f>HYPERLINK("http://hipercard.com.br","hipercard.com.br")</f>
        <v>hipercard.com.br</v>
      </c>
      <c r="C19276" t="s">
        <v>425</v>
      </c>
      <c r="D19276" t="s">
        <v>806</v>
      </c>
      <c r="F19276">
        <v>4.0379327195563498E-8</v>
      </c>
      <c r="G19276">
        <v>1281897</v>
      </c>
      <c r="H19276">
        <v>14172688</v>
      </c>
      <c r="I19276">
        <v>1798205</v>
      </c>
      <c r="J19276">
        <v>3</v>
      </c>
    </row>
    <row r="19277" spans="1:10" x14ac:dyDescent="0.25">
      <c r="A19277" t="s">
        <v>1623</v>
      </c>
      <c r="B19277" s="1" t="str">
        <f>HYPERLINK("http://investimentosbemge.com.br","investimentosbemge.com.br")</f>
        <v>investimentosbemge.com.br</v>
      </c>
      <c r="C19277" t="s">
        <v>425</v>
      </c>
      <c r="D19277" t="s">
        <v>806</v>
      </c>
      <c r="F19277">
        <v>4.4622204548170702E-9</v>
      </c>
      <c r="G19277">
        <v>67034576</v>
      </c>
      <c r="H19277">
        <v>10349625</v>
      </c>
      <c r="I19277">
        <v>56406828</v>
      </c>
      <c r="J19277">
        <v>3</v>
      </c>
    </row>
    <row r="19278" spans="1:10" x14ac:dyDescent="0.25">
      <c r="A19278" t="s">
        <v>1623</v>
      </c>
      <c r="B19278" s="1" t="str">
        <f>HYPERLINK("http://itau.com.br","itau.com.br")</f>
        <v>itau.com.br</v>
      </c>
      <c r="C19278" t="s">
        <v>425</v>
      </c>
      <c r="D19278" t="s">
        <v>806</v>
      </c>
      <c r="E19278">
        <v>2510</v>
      </c>
      <c r="F19278">
        <v>7.6563419913680005E-7</v>
      </c>
      <c r="G19278">
        <v>51026</v>
      </c>
      <c r="H19278">
        <v>17669952</v>
      </c>
      <c r="I19278">
        <v>7953</v>
      </c>
      <c r="J19278">
        <v>1</v>
      </c>
    </row>
    <row r="19279" spans="1:10" x14ac:dyDescent="0.25">
      <c r="A19279" t="s">
        <v>1623</v>
      </c>
      <c r="B19279" s="1" t="str">
        <f>HYPERLINK("http://itau-unibanco.com.br","itau-unibanco.com.br")</f>
        <v>itau-unibanco.com.br</v>
      </c>
      <c r="C19279" t="s">
        <v>425</v>
      </c>
      <c r="D19279" t="s">
        <v>806</v>
      </c>
      <c r="F19279">
        <v>6.1984113691122297E-9</v>
      </c>
      <c r="G19279">
        <v>15544908</v>
      </c>
      <c r="H19279">
        <v>13206599</v>
      </c>
      <c r="I19279">
        <v>11526075</v>
      </c>
      <c r="J19279">
        <v>3</v>
      </c>
    </row>
    <row r="19280" spans="1:10" x14ac:dyDescent="0.25">
      <c r="A19280" t="s">
        <v>1623</v>
      </c>
      <c r="B19280" s="1" t="str">
        <f>HYPERLINK("http://itaucard.com.br","itaucard.com.br")</f>
        <v>itaucard.com.br</v>
      </c>
      <c r="C19280" t="s">
        <v>425</v>
      </c>
      <c r="D19280" t="s">
        <v>806</v>
      </c>
      <c r="F19280">
        <v>6.8734148460011E-9</v>
      </c>
      <c r="G19280">
        <v>12718028</v>
      </c>
      <c r="H19280">
        <v>12149054</v>
      </c>
      <c r="I19280">
        <v>24645949</v>
      </c>
      <c r="J19280">
        <v>3</v>
      </c>
    </row>
    <row r="19281" spans="1:10" x14ac:dyDescent="0.25">
      <c r="A19281" t="s">
        <v>1623</v>
      </c>
      <c r="B19281" s="1" t="str">
        <f>HYPERLINK("http://itaucinemas.com.br","itaucinemas.com.br")</f>
        <v>itaucinemas.com.br</v>
      </c>
      <c r="C19281" t="s">
        <v>425</v>
      </c>
      <c r="D19281" t="s">
        <v>806</v>
      </c>
      <c r="E19281">
        <v>956023</v>
      </c>
      <c r="F19281">
        <v>1.5789943445878901E-8</v>
      </c>
      <c r="G19281">
        <v>3602308</v>
      </c>
      <c r="H19281">
        <v>14498339</v>
      </c>
      <c r="I19281">
        <v>861915</v>
      </c>
      <c r="J19281">
        <v>3</v>
      </c>
    </row>
    <row r="19282" spans="1:10" x14ac:dyDescent="0.25">
      <c r="A19282" t="s">
        <v>1623</v>
      </c>
      <c r="B19282" s="1" t="str">
        <f>HYPERLINK("http://itaucorretora.com.br","itaucorretora.com.br")</f>
        <v>itaucorretora.com.br</v>
      </c>
      <c r="C19282" t="s">
        <v>425</v>
      </c>
      <c r="D19282" t="s">
        <v>806</v>
      </c>
      <c r="E19282">
        <v>471043</v>
      </c>
      <c r="F19282">
        <v>1.6512811389093001E-8</v>
      </c>
      <c r="G19282">
        <v>3410544</v>
      </c>
      <c r="H19282">
        <v>11861875</v>
      </c>
      <c r="I19282">
        <v>29804554</v>
      </c>
      <c r="J19282">
        <v>4</v>
      </c>
    </row>
    <row r="19283" spans="1:10" x14ac:dyDescent="0.25">
      <c r="A19283" t="s">
        <v>1623</v>
      </c>
      <c r="B19283" s="1" t="str">
        <f>HYPERLINK("http://itausa.com.br","itausa.com.br")</f>
        <v>itausa.com.br</v>
      </c>
      <c r="C19283" t="s">
        <v>425</v>
      </c>
      <c r="D19283" t="s">
        <v>806</v>
      </c>
      <c r="F19283">
        <v>1.7163225100422901E-8</v>
      </c>
      <c r="G19283">
        <v>3246966</v>
      </c>
      <c r="H19283">
        <v>14557151</v>
      </c>
      <c r="I19283">
        <v>750232</v>
      </c>
      <c r="J19283">
        <v>3</v>
      </c>
    </row>
    <row r="19284" spans="1:10" x14ac:dyDescent="0.25">
      <c r="A19284" t="s">
        <v>1623</v>
      </c>
      <c r="B19284" s="1" t="str">
        <f>HYPERLINK("http://kinea.com.br","kinea.com.br")</f>
        <v>kinea.com.br</v>
      </c>
      <c r="C19284" t="s">
        <v>425</v>
      </c>
      <c r="D19284" t="s">
        <v>806</v>
      </c>
      <c r="F19284">
        <v>1.98979046269448E-8</v>
      </c>
      <c r="G19284">
        <v>2675025</v>
      </c>
      <c r="H19284">
        <v>13853854</v>
      </c>
      <c r="I19284">
        <v>6047692</v>
      </c>
      <c r="J19284">
        <v>3</v>
      </c>
    </row>
    <row r="19285" spans="1:10" x14ac:dyDescent="0.25">
      <c r="A19285" t="s">
        <v>1623</v>
      </c>
      <c r="B19285" s="1" t="str">
        <f>HYPERLINK("http://meuportaldenegocios.com.br","meuportaldenegocios.com.br")</f>
        <v>meuportaldenegocios.com.br</v>
      </c>
      <c r="C19285" t="s">
        <v>425</v>
      </c>
      <c r="D19285" t="s">
        <v>806</v>
      </c>
      <c r="F19285">
        <v>4.4949543676916796E-9</v>
      </c>
      <c r="G19285">
        <v>59707377</v>
      </c>
      <c r="H19285">
        <v>1.5006717000000001</v>
      </c>
      <c r="I19285">
        <v>78016347</v>
      </c>
      <c r="J19285">
        <v>3</v>
      </c>
    </row>
    <row r="19286" spans="1:10" x14ac:dyDescent="0.25">
      <c r="A19286" t="s">
        <v>1623</v>
      </c>
      <c r="B19286" s="1" t="str">
        <f>HYPERLINK("http://rdhi.com.br","rdhi.com.br")</f>
        <v>rdhi.com.br</v>
      </c>
      <c r="C19286" t="s">
        <v>425</v>
      </c>
      <c r="D19286" t="s">
        <v>806</v>
      </c>
      <c r="J19286">
        <v>3</v>
      </c>
    </row>
    <row r="19287" spans="1:10" x14ac:dyDescent="0.25">
      <c r="A19287" t="s">
        <v>1623</v>
      </c>
      <c r="B19287" s="1" t="str">
        <f>HYPERLINK("http://redecard.com.br","redecard.com.br")</f>
        <v>redecard.com.br</v>
      </c>
      <c r="C19287" t="s">
        <v>425</v>
      </c>
      <c r="D19287" t="s">
        <v>806</v>
      </c>
      <c r="E19287">
        <v>343774</v>
      </c>
      <c r="F19287">
        <v>6.9477496324033902E-9</v>
      </c>
      <c r="G19287">
        <v>12470505</v>
      </c>
      <c r="H19287">
        <v>13763877</v>
      </c>
      <c r="I19287">
        <v>7525804</v>
      </c>
      <c r="J19287">
        <v>3</v>
      </c>
    </row>
    <row r="19288" spans="1:10" x14ac:dyDescent="0.25">
      <c r="A19288" t="s">
        <v>1623</v>
      </c>
      <c r="B19288" s="1" t="str">
        <f>HYPERLINK("http://unibanco.com.br","unibanco.com.br")</f>
        <v>unibanco.com.br</v>
      </c>
      <c r="C19288" t="s">
        <v>425</v>
      </c>
      <c r="D19288" t="s">
        <v>806</v>
      </c>
      <c r="E19288">
        <v>304268</v>
      </c>
      <c r="F19288">
        <v>4.2026531830764703E-8</v>
      </c>
      <c r="G19288">
        <v>1164958</v>
      </c>
      <c r="H19288">
        <v>14416568</v>
      </c>
      <c r="I19288">
        <v>1102292</v>
      </c>
      <c r="J19288">
        <v>4</v>
      </c>
    </row>
    <row r="19289" spans="1:10" x14ac:dyDescent="0.25">
      <c r="A19289" t="s">
        <v>1623</v>
      </c>
      <c r="B19289" s="1" t="str">
        <f>HYPERLINK("http://userede.com.br","userede.com.br")</f>
        <v>userede.com.br</v>
      </c>
      <c r="C19289" t="s">
        <v>425</v>
      </c>
      <c r="D19289" t="s">
        <v>806</v>
      </c>
      <c r="E19289">
        <v>212571</v>
      </c>
      <c r="F19289">
        <v>1.01224057013452E-7</v>
      </c>
      <c r="G19289">
        <v>397195</v>
      </c>
      <c r="H19289">
        <v>14766614</v>
      </c>
      <c r="I19289">
        <v>558851</v>
      </c>
      <c r="J19289">
        <v>7</v>
      </c>
    </row>
    <row r="19290" spans="1:10" x14ac:dyDescent="0.25">
      <c r="A19290" t="s">
        <v>1623</v>
      </c>
      <c r="B19290" s="1" t="str">
        <f>HYPERLINK("http://bancocondell.cl","bancocondell.cl")</f>
        <v>bancocondell.cl</v>
      </c>
      <c r="C19290" t="s">
        <v>430</v>
      </c>
      <c r="D19290" t="s">
        <v>811</v>
      </c>
      <c r="F19290">
        <v>4.8644608819488803E-9</v>
      </c>
      <c r="G19290">
        <v>33614779</v>
      </c>
      <c r="H19290">
        <v>11146563</v>
      </c>
      <c r="I19290">
        <v>31772985</v>
      </c>
      <c r="J19290">
        <v>4</v>
      </c>
    </row>
    <row r="19291" spans="1:10" x14ac:dyDescent="0.25">
      <c r="A19291" t="s">
        <v>1623</v>
      </c>
      <c r="B19291" s="1" t="str">
        <f>HYPERLINK("http://corpbanca.cl","corpbanca.cl")</f>
        <v>corpbanca.cl</v>
      </c>
      <c r="C19291" t="s">
        <v>430</v>
      </c>
      <c r="D19291" t="s">
        <v>811</v>
      </c>
      <c r="E19291">
        <v>406756</v>
      </c>
      <c r="F19291">
        <v>1.65880229542299E-8</v>
      </c>
      <c r="G19291">
        <v>3392228</v>
      </c>
      <c r="H19291">
        <v>13768840</v>
      </c>
      <c r="I19291">
        <v>6854934</v>
      </c>
      <c r="J19291">
        <v>5</v>
      </c>
    </row>
    <row r="19292" spans="1:10" x14ac:dyDescent="0.25">
      <c r="A19292" t="s">
        <v>1623</v>
      </c>
      <c r="B19292" s="1" t="str">
        <f>HYPERLINK("http://itau.cl","itau.cl")</f>
        <v>itau.cl</v>
      </c>
      <c r="C19292" t="s">
        <v>430</v>
      </c>
      <c r="D19292" t="s">
        <v>811</v>
      </c>
      <c r="E19292">
        <v>35032</v>
      </c>
      <c r="F19292">
        <v>5.0426791147039303E-8</v>
      </c>
      <c r="G19292">
        <v>911366</v>
      </c>
      <c r="H19292">
        <v>14453946</v>
      </c>
      <c r="I19292">
        <v>1050778</v>
      </c>
      <c r="J19292">
        <v>2</v>
      </c>
    </row>
    <row r="19293" spans="1:10" x14ac:dyDescent="0.25">
      <c r="A19293" t="s">
        <v>1623</v>
      </c>
      <c r="B19293" s="1" t="str">
        <f>HYPERLINK("http://itau.co","itau.co")</f>
        <v>itau.co</v>
      </c>
      <c r="C19293" t="s">
        <v>432</v>
      </c>
      <c r="E19293">
        <v>89085</v>
      </c>
      <c r="F19293">
        <v>5.30104166873278E-8</v>
      </c>
      <c r="G19293">
        <v>859147</v>
      </c>
      <c r="H19293">
        <v>14088174</v>
      </c>
      <c r="I19293">
        <v>2759954</v>
      </c>
      <c r="J19293">
        <v>2</v>
      </c>
    </row>
    <row r="19294" spans="1:10" x14ac:dyDescent="0.25">
      <c r="A19294" t="s">
        <v>1623</v>
      </c>
      <c r="B19294" s="1" t="str">
        <f>HYPERLINK("http://helmcasadevalorespanama.com","helmcasadevalorespanama.com")</f>
        <v>helmcasadevalorespanama.com</v>
      </c>
      <c r="C19294" t="s">
        <v>433</v>
      </c>
      <c r="J19294">
        <v>4</v>
      </c>
    </row>
    <row r="19295" spans="1:10" x14ac:dyDescent="0.25">
      <c r="A19295" t="s">
        <v>1623</v>
      </c>
      <c r="B19295" s="1" t="str">
        <f>HYPERLINK("http://helmpanama.com","helmpanama.com")</f>
        <v>helmpanama.com</v>
      </c>
      <c r="C19295" t="s">
        <v>433</v>
      </c>
      <c r="F19295">
        <v>5.8264134008992096E-9</v>
      </c>
      <c r="G19295">
        <v>17890257</v>
      </c>
      <c r="H19295">
        <v>12496757</v>
      </c>
      <c r="I19295">
        <v>17404216</v>
      </c>
      <c r="J19295">
        <v>4</v>
      </c>
    </row>
    <row r="19296" spans="1:10" x14ac:dyDescent="0.25">
      <c r="A19296" t="s">
        <v>1623</v>
      </c>
      <c r="B19296" s="1" t="str">
        <f>HYPERLINK("http://itau.com","itau.com")</f>
        <v>itau.com</v>
      </c>
      <c r="C19296" t="s">
        <v>433</v>
      </c>
      <c r="E19296">
        <v>605439</v>
      </c>
      <c r="F19296">
        <v>2.1549280257808599E-7</v>
      </c>
      <c r="G19296">
        <v>175071</v>
      </c>
      <c r="H19296">
        <v>16944408</v>
      </c>
      <c r="I19296">
        <v>110450</v>
      </c>
      <c r="J19296">
        <v>2</v>
      </c>
    </row>
    <row r="19297" spans="1:10" x14ac:dyDescent="0.25">
      <c r="A19297" t="s">
        <v>1623</v>
      </c>
      <c r="B19297" s="1" t="str">
        <f>HYPERLINK("http://itauprivatebank.com","itauprivatebank.com")</f>
        <v>itauprivatebank.com</v>
      </c>
      <c r="C19297" t="s">
        <v>433</v>
      </c>
      <c r="F19297">
        <v>1.6209149564026102E-8</v>
      </c>
      <c r="G19297">
        <v>3493083</v>
      </c>
      <c r="H19297">
        <v>12993059</v>
      </c>
      <c r="I19297">
        <v>12834017</v>
      </c>
      <c r="J19297">
        <v>4</v>
      </c>
    </row>
    <row r="19298" spans="1:10" x14ac:dyDescent="0.25">
      <c r="A19298" t="s">
        <v>1623</v>
      </c>
      <c r="B19298" s="1" t="str">
        <f>HYPERLINK("http://itausecurities.com","itausecurities.com")</f>
        <v>itausecurities.com</v>
      </c>
      <c r="C19298" t="s">
        <v>433</v>
      </c>
      <c r="J19298">
        <v>4</v>
      </c>
    </row>
    <row r="19299" spans="1:10" x14ac:dyDescent="0.25">
      <c r="A19299" t="s">
        <v>1623</v>
      </c>
      <c r="B19299" s="1" t="str">
        <f>HYPERLINK("http://itautec.com","itautec.com")</f>
        <v>itautec.com</v>
      </c>
      <c r="C19299" t="s">
        <v>433</v>
      </c>
      <c r="F19299">
        <v>2.6905963598064101E-8</v>
      </c>
      <c r="G19299">
        <v>1911773</v>
      </c>
      <c r="H19299">
        <v>12853596</v>
      </c>
      <c r="I19299">
        <v>14242452</v>
      </c>
      <c r="J19299">
        <v>6</v>
      </c>
    </row>
    <row r="19300" spans="1:10" x14ac:dyDescent="0.25">
      <c r="A19300" t="s">
        <v>1623</v>
      </c>
      <c r="B19300" s="1" t="str">
        <f>HYPERLINK("http://itau.com.pa","itau.com.pa")</f>
        <v>itau.com.pa</v>
      </c>
      <c r="C19300" t="s">
        <v>482</v>
      </c>
      <c r="D19300" t="s">
        <v>856</v>
      </c>
      <c r="F19300">
        <v>5.0108201872495203E-9</v>
      </c>
      <c r="G19300">
        <v>29120544</v>
      </c>
      <c r="H19300">
        <v>10517410</v>
      </c>
      <c r="I19300">
        <v>49156206</v>
      </c>
      <c r="J19300">
        <v>3</v>
      </c>
    </row>
    <row r="19301" spans="1:10" x14ac:dyDescent="0.25">
      <c r="A19301" t="s">
        <v>1623</v>
      </c>
      <c r="B19301" s="1" t="str">
        <f>HYPERLINK("http://itau.com.py","itau.com.py")</f>
        <v>itau.com.py</v>
      </c>
      <c r="C19301" t="s">
        <v>489</v>
      </c>
      <c r="D19301" t="s">
        <v>863</v>
      </c>
      <c r="E19301">
        <v>90864</v>
      </c>
      <c r="F19301">
        <v>5.8304819881246703E-8</v>
      </c>
      <c r="G19301">
        <v>762434</v>
      </c>
      <c r="H19301">
        <v>13956444</v>
      </c>
      <c r="I19301">
        <v>4132693</v>
      </c>
      <c r="J19301">
        <v>2</v>
      </c>
    </row>
    <row r="19302" spans="1:10" x14ac:dyDescent="0.25">
      <c r="A19302" t="s">
        <v>1623</v>
      </c>
      <c r="B19302" s="1" t="str">
        <f>HYPERLINK("http://itau.com.uy","itau.com.uy")</f>
        <v>itau.com.uy</v>
      </c>
      <c r="C19302" t="s">
        <v>507</v>
      </c>
      <c r="D19302" t="s">
        <v>881</v>
      </c>
      <c r="E19302">
        <v>172407</v>
      </c>
      <c r="F19302">
        <v>7.2704647302644295E-8</v>
      </c>
      <c r="G19302">
        <v>580258</v>
      </c>
      <c r="H19302">
        <v>13800687</v>
      </c>
      <c r="I19302">
        <v>6278072</v>
      </c>
      <c r="J19302">
        <v>2</v>
      </c>
    </row>
    <row r="19303" spans="1:10" x14ac:dyDescent="0.25">
      <c r="A19303" t="s">
        <v>1623</v>
      </c>
      <c r="B19303" s="1" t="str">
        <f>HYPERLINK("http://unioncapital.com.uy","unioncapital.com.uy")</f>
        <v>unioncapital.com.uy</v>
      </c>
      <c r="C19303" t="s">
        <v>507</v>
      </c>
      <c r="D19303" t="s">
        <v>881</v>
      </c>
      <c r="F19303">
        <v>6.9100876864335003E-9</v>
      </c>
      <c r="G19303">
        <v>12589696</v>
      </c>
      <c r="H19303">
        <v>12296445</v>
      </c>
      <c r="I19303">
        <v>20935394</v>
      </c>
      <c r="J19303">
        <v>6</v>
      </c>
    </row>
    <row r="19304" spans="1:10" x14ac:dyDescent="0.25">
      <c r="A19304" t="s">
        <v>214</v>
      </c>
      <c r="B19304" s="1" t="str">
        <f>HYPERLINK("http://aviationcapitalgroup.com","aviationcapitalgroup.com")</f>
        <v>aviationcapitalgroup.com</v>
      </c>
      <c r="C19304" t="s">
        <v>433</v>
      </c>
      <c r="F19304">
        <v>2.3076705606246399E-8</v>
      </c>
      <c r="G19304">
        <v>2262487</v>
      </c>
      <c r="H19304">
        <v>14241080</v>
      </c>
      <c r="I19304">
        <v>1494941</v>
      </c>
      <c r="J19304">
        <v>6</v>
      </c>
    </row>
    <row r="19305" spans="1:10" x14ac:dyDescent="0.25">
      <c r="A19305" t="s">
        <v>214</v>
      </c>
      <c r="B19305" s="1" t="str">
        <f>HYPERLINK("http://benichu.com","benichu.com")</f>
        <v>benichu.com</v>
      </c>
      <c r="C19305" t="s">
        <v>433</v>
      </c>
      <c r="E19305">
        <v>997365</v>
      </c>
      <c r="F19305">
        <v>3.0796817820506303E-8</v>
      </c>
      <c r="G19305">
        <v>1672670</v>
      </c>
      <c r="H19305">
        <v>12882113</v>
      </c>
      <c r="I19305">
        <v>13989588</v>
      </c>
      <c r="J19305">
        <v>3</v>
      </c>
    </row>
    <row r="19306" spans="1:10" x14ac:dyDescent="0.25">
      <c r="A19306" t="s">
        <v>214</v>
      </c>
      <c r="B19306" s="1" t="str">
        <f>HYPERLINK("http://chizumaru.com","chizumaru.com")</f>
        <v>chizumaru.com</v>
      </c>
      <c r="C19306" t="s">
        <v>433</v>
      </c>
      <c r="E19306">
        <v>226313</v>
      </c>
      <c r="F19306">
        <v>4.7658309956258802E-7</v>
      </c>
      <c r="G19306">
        <v>79726</v>
      </c>
      <c r="H19306">
        <v>14759683</v>
      </c>
      <c r="I19306">
        <v>560721</v>
      </c>
      <c r="J19306">
        <v>6</v>
      </c>
    </row>
    <row r="19307" spans="1:10" x14ac:dyDescent="0.25">
      <c r="A19307" t="s">
        <v>214</v>
      </c>
      <c r="B19307" s="1" t="str">
        <f>HYPERLINK("http://descente.com","descente.com")</f>
        <v>descente.com</v>
      </c>
      <c r="C19307" t="s">
        <v>433</v>
      </c>
      <c r="E19307">
        <v>552299</v>
      </c>
      <c r="F19307">
        <v>9.3290962767281095E-8</v>
      </c>
      <c r="G19307">
        <v>435802</v>
      </c>
      <c r="H19307">
        <v>14901759</v>
      </c>
      <c r="I19307">
        <v>462183</v>
      </c>
      <c r="J19307">
        <v>4</v>
      </c>
    </row>
    <row r="19308" spans="1:10" x14ac:dyDescent="0.25">
      <c r="A19308" t="s">
        <v>214</v>
      </c>
      <c r="B19308" s="1" t="str">
        <f>HYPERLINK("http://familymartindonesia.com","familymartindonesia.com")</f>
        <v>familymartindonesia.com</v>
      </c>
      <c r="C19308" t="s">
        <v>433</v>
      </c>
      <c r="F19308">
        <v>1.9469641711696001E-8</v>
      </c>
      <c r="G19308">
        <v>2749353</v>
      </c>
      <c r="H19308">
        <v>14391642</v>
      </c>
      <c r="I19308">
        <v>1166189</v>
      </c>
      <c r="J19308">
        <v>6</v>
      </c>
    </row>
    <row r="19309" spans="1:10" x14ac:dyDescent="0.25">
      <c r="A19309" t="s">
        <v>214</v>
      </c>
      <c r="B19309" s="1" t="str">
        <f>HYPERLINK("http://gaitame.com","gaitame.com")</f>
        <v>gaitame.com</v>
      </c>
      <c r="C19309" t="s">
        <v>433</v>
      </c>
      <c r="E19309">
        <v>112817</v>
      </c>
      <c r="F19309">
        <v>2.25297950992425E-7</v>
      </c>
      <c r="G19309">
        <v>167256</v>
      </c>
      <c r="H19309">
        <v>17097068</v>
      </c>
      <c r="I19309">
        <v>64447</v>
      </c>
      <c r="J19309">
        <v>3</v>
      </c>
    </row>
    <row r="19310" spans="1:10" x14ac:dyDescent="0.25">
      <c r="A19310" t="s">
        <v>214</v>
      </c>
      <c r="B19310" s="1" t="str">
        <f>HYPERLINK("http://hokennomadoguchi.com","hokennomadoguchi.com")</f>
        <v>hokennomadoguchi.com</v>
      </c>
      <c r="C19310" t="s">
        <v>433</v>
      </c>
      <c r="E19310">
        <v>843443</v>
      </c>
      <c r="F19310">
        <v>7.4399748749056597E-8</v>
      </c>
      <c r="G19310">
        <v>565641</v>
      </c>
      <c r="H19310">
        <v>14296217</v>
      </c>
      <c r="I19310">
        <v>1360115</v>
      </c>
      <c r="J19310">
        <v>4</v>
      </c>
    </row>
    <row r="19311" spans="1:10" x14ac:dyDescent="0.25">
      <c r="A19311" t="s">
        <v>214</v>
      </c>
      <c r="B19311" s="1" t="str">
        <f>HYPERLINK("http://ilogiusa.com","ilogiusa.com")</f>
        <v>ilogiusa.com</v>
      </c>
      <c r="C19311" t="s">
        <v>433</v>
      </c>
      <c r="J19311">
        <v>4</v>
      </c>
    </row>
    <row r="19312" spans="1:10" x14ac:dyDescent="0.25">
      <c r="A19312" t="s">
        <v>214</v>
      </c>
      <c r="B19312" s="1" t="str">
        <f>HYPERLINK("http://itc-bicc.com","itc-bicc.com")</f>
        <v>itc-bicc.com</v>
      </c>
      <c r="C19312" t="s">
        <v>433</v>
      </c>
      <c r="J19312">
        <v>2</v>
      </c>
    </row>
    <row r="19313" spans="1:10" x14ac:dyDescent="0.25">
      <c r="A19313" t="s">
        <v>214</v>
      </c>
      <c r="B19313" s="1" t="str">
        <f>HYPERLINK("http://itcenex.com","itcenex.com")</f>
        <v>itcenex.com</v>
      </c>
      <c r="C19313" t="s">
        <v>433</v>
      </c>
      <c r="E19313">
        <v>655509</v>
      </c>
      <c r="F19313">
        <v>4.3708256739024698E-8</v>
      </c>
      <c r="G19313">
        <v>1091704</v>
      </c>
      <c r="H19313">
        <v>14122702</v>
      </c>
      <c r="I19313">
        <v>2200867</v>
      </c>
      <c r="J19313">
        <v>4</v>
      </c>
    </row>
    <row r="19314" spans="1:10" x14ac:dyDescent="0.25">
      <c r="A19314" t="s">
        <v>214</v>
      </c>
      <c r="B19314" s="1" t="str">
        <f>HYPERLINK("http://itochu.com","itochu.com")</f>
        <v>itochu.com</v>
      </c>
      <c r="C19314" t="s">
        <v>433</v>
      </c>
      <c r="E19314">
        <v>310813</v>
      </c>
      <c r="F19314">
        <v>2.90456248363839E-8</v>
      </c>
      <c r="G19314">
        <v>1772696</v>
      </c>
      <c r="H19314">
        <v>14250342</v>
      </c>
      <c r="I19314">
        <v>1447056</v>
      </c>
      <c r="J19314">
        <v>2</v>
      </c>
    </row>
    <row r="19315" spans="1:10" x14ac:dyDescent="0.25">
      <c r="A19315" t="s">
        <v>214</v>
      </c>
      <c r="B19315" s="1" t="str">
        <f>HYPERLINK("http://itochu-hightech.com","itochu-hightech.com")</f>
        <v>itochu-hightech.com</v>
      </c>
      <c r="C19315" t="s">
        <v>433</v>
      </c>
      <c r="F19315">
        <v>9.6549221237284793E-9</v>
      </c>
      <c r="G19315">
        <v>7134353</v>
      </c>
      <c r="H19315">
        <v>11116515</v>
      </c>
      <c r="I19315">
        <v>32085081</v>
      </c>
      <c r="J19315">
        <v>4</v>
      </c>
    </row>
    <row r="19316" spans="1:10" x14ac:dyDescent="0.25">
      <c r="A19316" t="s">
        <v>214</v>
      </c>
      <c r="B19316" s="1" t="str">
        <f>HYPERLINK("http://itochu-shokuhin.com","itochu-shokuhin.com")</f>
        <v>itochu-shokuhin.com</v>
      </c>
      <c r="C19316" t="s">
        <v>433</v>
      </c>
      <c r="F19316">
        <v>2.5375755089051601E-8</v>
      </c>
      <c r="G19316">
        <v>2033217</v>
      </c>
      <c r="H19316">
        <v>14253406</v>
      </c>
      <c r="I19316">
        <v>1439034</v>
      </c>
      <c r="J19316">
        <v>3</v>
      </c>
    </row>
    <row r="19317" spans="1:10" x14ac:dyDescent="0.25">
      <c r="A19317" t="s">
        <v>214</v>
      </c>
      <c r="B19317" s="1" t="str">
        <f>HYPERLINK("http://kwik-fit.com","kwik-fit.com")</f>
        <v>kwik-fit.com</v>
      </c>
      <c r="C19317" t="s">
        <v>433</v>
      </c>
      <c r="E19317">
        <v>98761</v>
      </c>
      <c r="F19317">
        <v>3.1693181111409002E-7</v>
      </c>
      <c r="G19317">
        <v>117349</v>
      </c>
      <c r="H19317">
        <v>14769933</v>
      </c>
      <c r="I19317">
        <v>557795</v>
      </c>
      <c r="J19317">
        <v>4</v>
      </c>
    </row>
    <row r="19318" spans="1:10" x14ac:dyDescent="0.25">
      <c r="A19318" t="s">
        <v>214</v>
      </c>
      <c r="B19318" s="1" t="str">
        <f>HYPERLINK("http://lesportsac.com","lesportsac.com")</f>
        <v>lesportsac.com</v>
      </c>
      <c r="C19318" t="s">
        <v>433</v>
      </c>
      <c r="E19318">
        <v>358143</v>
      </c>
      <c r="F19318">
        <v>1.18274530313424E-7</v>
      </c>
      <c r="G19318">
        <v>334964</v>
      </c>
      <c r="H19318">
        <v>14772509</v>
      </c>
      <c r="I19318">
        <v>556980</v>
      </c>
      <c r="J19318">
        <v>4</v>
      </c>
    </row>
    <row r="19319" spans="1:10" x14ac:dyDescent="0.25">
      <c r="A19319" t="s">
        <v>214</v>
      </c>
      <c r="B19319" s="1" t="str">
        <f>HYPERLINK("http://multiquip.com","multiquip.com")</f>
        <v>multiquip.com</v>
      </c>
      <c r="C19319" t="s">
        <v>433</v>
      </c>
      <c r="E19319">
        <v>461210</v>
      </c>
      <c r="F19319">
        <v>9.5829457375833794E-8</v>
      </c>
      <c r="G19319">
        <v>422428</v>
      </c>
      <c r="H19319">
        <v>14081918</v>
      </c>
      <c r="I19319">
        <v>2805192</v>
      </c>
      <c r="J19319">
        <v>3</v>
      </c>
    </row>
    <row r="19320" spans="1:10" x14ac:dyDescent="0.25">
      <c r="A19320" t="s">
        <v>214</v>
      </c>
      <c r="B19320" s="1" t="str">
        <f>HYPERLINK("http://murfittsindustries.com","murfittsindustries.com")</f>
        <v>murfittsindustries.com</v>
      </c>
      <c r="C19320" t="s">
        <v>433</v>
      </c>
      <c r="F19320">
        <v>6.6824766942679101E-9</v>
      </c>
      <c r="G19320">
        <v>13366475</v>
      </c>
      <c r="H19320">
        <v>11407708</v>
      </c>
      <c r="I19320">
        <v>30202923</v>
      </c>
      <c r="J19320">
        <v>7</v>
      </c>
    </row>
    <row r="19321" spans="1:10" x14ac:dyDescent="0.25">
      <c r="A19321" t="s">
        <v>214</v>
      </c>
      <c r="B19321" s="1" t="str">
        <f>HYPERLINK("http://tokyocentury.com","tokyocentury.com")</f>
        <v>tokyocentury.com</v>
      </c>
      <c r="C19321" t="s">
        <v>433</v>
      </c>
      <c r="F19321">
        <v>5.2830030973678197E-9</v>
      </c>
      <c r="G19321">
        <v>23747057</v>
      </c>
      <c r="H19321">
        <v>11074111</v>
      </c>
      <c r="I19321">
        <v>32535750</v>
      </c>
      <c r="J19321">
        <v>4</v>
      </c>
    </row>
    <row r="19322" spans="1:10" x14ac:dyDescent="0.25">
      <c r="A19322" t="s">
        <v>214</v>
      </c>
      <c r="B19322" s="1" t="str">
        <f>HYPERLINK("http://tokyocentury-news.com","tokyocentury-news.com")</f>
        <v>tokyocentury-news.com</v>
      </c>
      <c r="C19322" t="s">
        <v>433</v>
      </c>
      <c r="F19322">
        <v>5.0367565191484503E-9</v>
      </c>
      <c r="G19322">
        <v>28515704</v>
      </c>
      <c r="H19322">
        <v>10133976</v>
      </c>
      <c r="I19322">
        <v>59552204</v>
      </c>
      <c r="J19322">
        <v>4</v>
      </c>
    </row>
    <row r="19323" spans="1:10" x14ac:dyDescent="0.25">
      <c r="A19323" t="s">
        <v>214</v>
      </c>
      <c r="B19323" s="1" t="str">
        <f>HYPERLINK("http://tyrenergy.com","tyrenergy.com")</f>
        <v>tyrenergy.com</v>
      </c>
      <c r="C19323" t="s">
        <v>433</v>
      </c>
      <c r="F19323">
        <v>6.2690756812905302E-9</v>
      </c>
      <c r="G19323">
        <v>15180729</v>
      </c>
      <c r="H19323">
        <v>13782448</v>
      </c>
      <c r="I19323">
        <v>6439414</v>
      </c>
      <c r="J19323">
        <v>4</v>
      </c>
    </row>
    <row r="19324" spans="1:10" x14ac:dyDescent="0.25">
      <c r="A19324" t="s">
        <v>214</v>
      </c>
      <c r="B19324" s="1" t="str">
        <f>HYPERLINK("http://kwik-fit.eu","kwik-fit.eu")</f>
        <v>kwik-fit.eu</v>
      </c>
      <c r="C19324" t="s">
        <v>444</v>
      </c>
      <c r="F19324">
        <v>5.8661598230722699E-9</v>
      </c>
      <c r="G19324">
        <v>17595370</v>
      </c>
      <c r="H19324">
        <v>10870164</v>
      </c>
      <c r="I19324">
        <v>36502102</v>
      </c>
      <c r="J19324">
        <v>5</v>
      </c>
    </row>
    <row r="19325" spans="1:10" x14ac:dyDescent="0.25">
      <c r="A19325" t="s">
        <v>214</v>
      </c>
      <c r="B19325" s="1" t="str">
        <f>HYPERLINK("http://descente.com.hk","descente.com.hk")</f>
        <v>descente.com.hk</v>
      </c>
      <c r="C19325" t="s">
        <v>450</v>
      </c>
      <c r="D19325" t="s">
        <v>827</v>
      </c>
      <c r="F19325">
        <v>7.0623862019640002E-9</v>
      </c>
      <c r="G19325">
        <v>12120309</v>
      </c>
      <c r="H19325">
        <v>12387311</v>
      </c>
      <c r="I19325">
        <v>19092508</v>
      </c>
      <c r="J19325">
        <v>4</v>
      </c>
    </row>
    <row r="19326" spans="1:10" x14ac:dyDescent="0.25">
      <c r="A19326" t="s">
        <v>214</v>
      </c>
      <c r="B19326" s="1" t="str">
        <f>HYPERLINK("http://kwikfit.hu","kwikfit.hu")</f>
        <v>kwikfit.hu</v>
      </c>
      <c r="C19326" t="s">
        <v>453</v>
      </c>
      <c r="D19326" t="s">
        <v>830</v>
      </c>
      <c r="F19326">
        <v>6.9202464468216802E-9</v>
      </c>
      <c r="G19326">
        <v>12557226</v>
      </c>
      <c r="H19326">
        <v>12281626</v>
      </c>
      <c r="I19326">
        <v>21276518</v>
      </c>
      <c r="J19326">
        <v>5</v>
      </c>
    </row>
    <row r="19327" spans="1:10" x14ac:dyDescent="0.25">
      <c r="A19327" t="s">
        <v>214</v>
      </c>
      <c r="B19327" s="1" t="str">
        <f>HYPERLINK("http://acronet.jp","acronet.jp")</f>
        <v>acronet.jp</v>
      </c>
      <c r="C19327" t="s">
        <v>461</v>
      </c>
      <c r="D19327" t="s">
        <v>837</v>
      </c>
      <c r="F19327">
        <v>4.9166891883479903E-9</v>
      </c>
      <c r="G19327">
        <v>31804568</v>
      </c>
      <c r="H19327">
        <v>12417696</v>
      </c>
      <c r="I19327">
        <v>18496382</v>
      </c>
      <c r="J19327">
        <v>3</v>
      </c>
    </row>
    <row r="19328" spans="1:10" x14ac:dyDescent="0.25">
      <c r="A19328" t="s">
        <v>214</v>
      </c>
      <c r="B19328" s="1" t="str">
        <f>HYPERLINK("http://bell24hd.co.jp","bell24hd.co.jp")</f>
        <v>bell24hd.co.jp</v>
      </c>
      <c r="C19328" t="s">
        <v>461</v>
      </c>
      <c r="D19328" t="s">
        <v>837</v>
      </c>
      <c r="F19328">
        <v>7.3692910222030503E-9</v>
      </c>
      <c r="G19328">
        <v>11315461</v>
      </c>
      <c r="H19328">
        <v>12591551</v>
      </c>
      <c r="I19328">
        <v>16401997</v>
      </c>
      <c r="J19328">
        <v>3</v>
      </c>
    </row>
    <row r="19329" spans="1:10" x14ac:dyDescent="0.25">
      <c r="A19329" t="s">
        <v>214</v>
      </c>
      <c r="B19329" s="1" t="str">
        <f>HYPERLINK("http://ctc-g.co.jp","ctc-g.co.jp")</f>
        <v>ctc-g.co.jp</v>
      </c>
      <c r="C19329" t="s">
        <v>461</v>
      </c>
      <c r="D19329" t="s">
        <v>837</v>
      </c>
      <c r="E19329">
        <v>150583</v>
      </c>
      <c r="F19329">
        <v>6.6799755462339996E-7</v>
      </c>
      <c r="G19329">
        <v>57656</v>
      </c>
      <c r="H19329">
        <v>17136092</v>
      </c>
      <c r="I19329">
        <v>55256</v>
      </c>
      <c r="J19329">
        <v>3</v>
      </c>
    </row>
    <row r="19330" spans="1:10" x14ac:dyDescent="0.25">
      <c r="A19330" t="s">
        <v>214</v>
      </c>
      <c r="B19330" s="1" t="str">
        <f>HYPERLINK("http://ctl.co.jp","ctl.co.jp")</f>
        <v>ctl.co.jp</v>
      </c>
      <c r="C19330" t="s">
        <v>461</v>
      </c>
      <c r="D19330" t="s">
        <v>837</v>
      </c>
      <c r="F19330">
        <v>1.2915096071686701E-8</v>
      </c>
      <c r="G19330">
        <v>4672255</v>
      </c>
      <c r="H19330">
        <v>14251768</v>
      </c>
      <c r="I19330">
        <v>1443187</v>
      </c>
      <c r="J19330">
        <v>5</v>
      </c>
    </row>
    <row r="19331" spans="1:10" x14ac:dyDescent="0.25">
      <c r="A19331" t="s">
        <v>214</v>
      </c>
      <c r="B19331" s="1" t="str">
        <f>HYPERLINK("http://descente.co.jp","descente.co.jp")</f>
        <v>descente.co.jp</v>
      </c>
      <c r="C19331" t="s">
        <v>461</v>
      </c>
      <c r="D19331" t="s">
        <v>837</v>
      </c>
      <c r="E19331">
        <v>94774</v>
      </c>
      <c r="F19331">
        <v>3.3848849278501499E-7</v>
      </c>
      <c r="G19331">
        <v>110223</v>
      </c>
      <c r="H19331">
        <v>17038226</v>
      </c>
      <c r="I19331">
        <v>80190</v>
      </c>
      <c r="J19331">
        <v>3</v>
      </c>
    </row>
    <row r="19332" spans="1:10" x14ac:dyDescent="0.25">
      <c r="A19332" t="s">
        <v>214</v>
      </c>
      <c r="B19332" s="1" t="str">
        <f>HYPERLINK("http://family.co.jp","family.co.jp")</f>
        <v>family.co.jp</v>
      </c>
      <c r="C19332" t="s">
        <v>461</v>
      </c>
      <c r="D19332" t="s">
        <v>837</v>
      </c>
      <c r="E19332">
        <v>33757</v>
      </c>
      <c r="F19332">
        <v>2.8435465816795299E-6</v>
      </c>
      <c r="G19332">
        <v>13523</v>
      </c>
      <c r="H19332">
        <v>17764102</v>
      </c>
      <c r="I19332">
        <v>6114</v>
      </c>
      <c r="J19332">
        <v>3</v>
      </c>
    </row>
    <row r="19333" spans="1:10" x14ac:dyDescent="0.25">
      <c r="A19333" t="s">
        <v>214</v>
      </c>
      <c r="B19333" s="1" t="str">
        <f>HYPERLINK("http://famly.co.jp","famly.co.jp")</f>
        <v>famly.co.jp</v>
      </c>
      <c r="C19333" t="s">
        <v>461</v>
      </c>
      <c r="D19333" t="s">
        <v>837</v>
      </c>
      <c r="J19333">
        <v>6</v>
      </c>
    </row>
    <row r="19334" spans="1:10" x14ac:dyDescent="0.25">
      <c r="A19334" t="s">
        <v>214</v>
      </c>
      <c r="B19334" s="1" t="str">
        <f>HYPERLINK("http://hokennomadoguchi.co.jp","hokennomadoguchi.co.jp")</f>
        <v>hokennomadoguchi.co.jp</v>
      </c>
      <c r="C19334" t="s">
        <v>461</v>
      </c>
      <c r="D19334" t="s">
        <v>837</v>
      </c>
      <c r="F19334">
        <v>8.2870719582785201E-9</v>
      </c>
      <c r="G19334">
        <v>9289101</v>
      </c>
      <c r="H19334">
        <v>11668266</v>
      </c>
      <c r="I19334">
        <v>29869647</v>
      </c>
      <c r="J19334">
        <v>3</v>
      </c>
    </row>
    <row r="19335" spans="1:10" x14ac:dyDescent="0.25">
      <c r="A19335" t="s">
        <v>214</v>
      </c>
      <c r="B19335" s="1" t="str">
        <f>HYPERLINK("http://ick.co.jp","ick.co.jp")</f>
        <v>ick.co.jp</v>
      </c>
      <c r="C19335" t="s">
        <v>461</v>
      </c>
      <c r="D19335" t="s">
        <v>837</v>
      </c>
      <c r="E19335">
        <v>950192</v>
      </c>
      <c r="F19335">
        <v>1.02094447683146E-8</v>
      </c>
      <c r="G19335">
        <v>6537755</v>
      </c>
      <c r="H19335">
        <v>12772773</v>
      </c>
      <c r="I19335">
        <v>14821235</v>
      </c>
      <c r="J19335">
        <v>3</v>
      </c>
    </row>
    <row r="19336" spans="1:10" x14ac:dyDescent="0.25">
      <c r="A19336" t="s">
        <v>214</v>
      </c>
      <c r="B19336" s="1" t="str">
        <f>HYPERLINK("http://ipd.co.jp","ipd.co.jp")</f>
        <v>ipd.co.jp</v>
      </c>
      <c r="C19336" t="s">
        <v>461</v>
      </c>
      <c r="D19336" t="s">
        <v>837</v>
      </c>
      <c r="F19336">
        <v>2.1821185654450501E-8</v>
      </c>
      <c r="G19336">
        <v>2407594</v>
      </c>
      <c r="H19336">
        <v>14082834</v>
      </c>
      <c r="I19336">
        <v>2797526</v>
      </c>
      <c r="J19336">
        <v>3</v>
      </c>
    </row>
    <row r="19337" spans="1:10" x14ac:dyDescent="0.25">
      <c r="A19337" t="s">
        <v>214</v>
      </c>
      <c r="B19337" s="1" t="str">
        <f>HYPERLINK("http://itc-cera.co.jp","itc-cera.co.jp")</f>
        <v>itc-cera.co.jp</v>
      </c>
      <c r="C19337" t="s">
        <v>461</v>
      </c>
      <c r="D19337" t="s">
        <v>837</v>
      </c>
      <c r="F19337">
        <v>7.5072867867853292E-9</v>
      </c>
      <c r="G19337">
        <v>10997658</v>
      </c>
      <c r="H19337">
        <v>12449009</v>
      </c>
      <c r="I19337">
        <v>18032288</v>
      </c>
      <c r="J19337">
        <v>3</v>
      </c>
    </row>
    <row r="19338" spans="1:10" x14ac:dyDescent="0.25">
      <c r="A19338" t="s">
        <v>214</v>
      </c>
      <c r="B19338" s="1" t="str">
        <f>HYPERLINK("http://itcchem.co.jp","itcchem.co.jp")</f>
        <v>itcchem.co.jp</v>
      </c>
      <c r="C19338" t="s">
        <v>461</v>
      </c>
      <c r="D19338" t="s">
        <v>837</v>
      </c>
      <c r="F19338">
        <v>7.3573620935134702E-9</v>
      </c>
      <c r="G19338">
        <v>11343841</v>
      </c>
      <c r="H19338">
        <v>10720952</v>
      </c>
      <c r="I19338">
        <v>41819247</v>
      </c>
      <c r="J19338">
        <v>3</v>
      </c>
    </row>
    <row r="19339" spans="1:10" x14ac:dyDescent="0.25">
      <c r="A19339" t="s">
        <v>214</v>
      </c>
      <c r="B19339" s="1" t="str">
        <f>HYPERLINK("http://itcmt.co.jp","itcmt.co.jp")</f>
        <v>itcmt.co.jp</v>
      </c>
      <c r="C19339" t="s">
        <v>461</v>
      </c>
      <c r="D19339" t="s">
        <v>837</v>
      </c>
      <c r="F19339">
        <v>1.4033112804225399E-8</v>
      </c>
      <c r="G19339">
        <v>4190261</v>
      </c>
      <c r="H19339">
        <v>12285644</v>
      </c>
      <c r="I19339">
        <v>21196912</v>
      </c>
      <c r="J19339">
        <v>3</v>
      </c>
    </row>
    <row r="19340" spans="1:10" x14ac:dyDescent="0.25">
      <c r="A19340" t="s">
        <v>214</v>
      </c>
      <c r="B19340" s="1" t="str">
        <f>HYPERLINK("http://itochu.co.jp","itochu.co.jp")</f>
        <v>itochu.co.jp</v>
      </c>
      <c r="C19340" t="s">
        <v>461</v>
      </c>
      <c r="D19340" t="s">
        <v>837</v>
      </c>
      <c r="E19340">
        <v>103328</v>
      </c>
      <c r="F19340">
        <v>4.0083156769533701E-7</v>
      </c>
      <c r="G19340">
        <v>93646</v>
      </c>
      <c r="H19340">
        <v>15044766</v>
      </c>
      <c r="I19340">
        <v>415650</v>
      </c>
      <c r="J19340">
        <v>1</v>
      </c>
    </row>
    <row r="19341" spans="1:10" x14ac:dyDescent="0.25">
      <c r="A19341" t="s">
        <v>214</v>
      </c>
      <c r="B19341" s="1" t="str">
        <f>HYPERLINK("http://itochu-f.co.jp","itochu-f.co.jp")</f>
        <v>itochu-f.co.jp</v>
      </c>
      <c r="C19341" t="s">
        <v>461</v>
      </c>
      <c r="D19341" t="s">
        <v>837</v>
      </c>
      <c r="F19341">
        <v>1.1600244411954599E-8</v>
      </c>
      <c r="G19341">
        <v>5432817</v>
      </c>
      <c r="H19341">
        <v>12947661</v>
      </c>
      <c r="I19341">
        <v>13227499</v>
      </c>
      <c r="J19341">
        <v>3</v>
      </c>
    </row>
    <row r="19342" spans="1:10" x14ac:dyDescent="0.25">
      <c r="A19342" t="s">
        <v>214</v>
      </c>
      <c r="B19342" s="1" t="str">
        <f>HYPERLINK("http://itochu-metals.co.jp","itochu-metals.co.jp")</f>
        <v>itochu-metals.co.jp</v>
      </c>
      <c r="C19342" t="s">
        <v>461</v>
      </c>
      <c r="D19342" t="s">
        <v>837</v>
      </c>
      <c r="F19342">
        <v>5.4997840048066302E-9</v>
      </c>
      <c r="G19342">
        <v>20902757</v>
      </c>
      <c r="H19342">
        <v>10770529</v>
      </c>
      <c r="I19342">
        <v>39223942</v>
      </c>
      <c r="J19342">
        <v>3</v>
      </c>
    </row>
    <row r="19343" spans="1:10" x14ac:dyDescent="0.25">
      <c r="A19343" t="s">
        <v>214</v>
      </c>
      <c r="B19343" s="1" t="str">
        <f>HYPERLINK("http://jamco.co.jp","jamco.co.jp")</f>
        <v>jamco.co.jp</v>
      </c>
      <c r="C19343" t="s">
        <v>461</v>
      </c>
      <c r="D19343" t="s">
        <v>837</v>
      </c>
      <c r="E19343">
        <v>656657</v>
      </c>
      <c r="F19343">
        <v>3.61587104924858E-8</v>
      </c>
      <c r="G19343">
        <v>1441970</v>
      </c>
      <c r="H19343">
        <v>13648771</v>
      </c>
      <c r="I19343">
        <v>9606739</v>
      </c>
      <c r="J19343">
        <v>3</v>
      </c>
    </row>
    <row r="19344" spans="1:10" x14ac:dyDescent="0.25">
      <c r="A19344" t="s">
        <v>214</v>
      </c>
      <c r="B19344" s="1" t="str">
        <f>HYPERLINK("http://leilian.co.jp","leilian.co.jp")</f>
        <v>leilian.co.jp</v>
      </c>
      <c r="C19344" t="s">
        <v>461</v>
      </c>
      <c r="D19344" t="s">
        <v>837</v>
      </c>
      <c r="F19344">
        <v>1.4471434550791899E-8</v>
      </c>
      <c r="G19344">
        <v>4032783</v>
      </c>
      <c r="H19344">
        <v>12629234</v>
      </c>
      <c r="I19344">
        <v>15996102</v>
      </c>
      <c r="J19344">
        <v>3</v>
      </c>
    </row>
    <row r="19345" spans="1:10" x14ac:dyDescent="0.25">
      <c r="A19345" t="s">
        <v>214</v>
      </c>
      <c r="B19345" s="1" t="str">
        <f>HYPERLINK("http://nissin-sugar.co.jp","nissin-sugar.co.jp")</f>
        <v>nissin-sugar.co.jp</v>
      </c>
      <c r="C19345" t="s">
        <v>461</v>
      </c>
      <c r="D19345" t="s">
        <v>837</v>
      </c>
      <c r="F19345">
        <v>3.92732174466149E-8</v>
      </c>
      <c r="G19345">
        <v>1313732</v>
      </c>
      <c r="H19345">
        <v>14143558</v>
      </c>
      <c r="I19345">
        <v>1912219</v>
      </c>
      <c r="J19345">
        <v>3</v>
      </c>
    </row>
    <row r="19346" spans="1:10" x14ac:dyDescent="0.25">
      <c r="A19346" t="s">
        <v>214</v>
      </c>
      <c r="B19346" s="1" t="str">
        <f>HYPERLINK("http://orico.co.jp","orico.co.jp")</f>
        <v>orico.co.jp</v>
      </c>
      <c r="C19346" t="s">
        <v>461</v>
      </c>
      <c r="D19346" t="s">
        <v>837</v>
      </c>
      <c r="E19346">
        <v>85951</v>
      </c>
      <c r="F19346">
        <v>6.9263064158489703E-7</v>
      </c>
      <c r="G19346">
        <v>55749</v>
      </c>
      <c r="H19346">
        <v>15087168</v>
      </c>
      <c r="I19346">
        <v>408474</v>
      </c>
      <c r="J19346">
        <v>5</v>
      </c>
    </row>
    <row r="19347" spans="1:10" x14ac:dyDescent="0.25">
      <c r="A19347" t="s">
        <v>214</v>
      </c>
      <c r="B19347" s="1" t="str">
        <f>HYPERLINK("http://pocketcard.co.jp","pocketcard.co.jp")</f>
        <v>pocketcard.co.jp</v>
      </c>
      <c r="C19347" t="s">
        <v>461</v>
      </c>
      <c r="D19347" t="s">
        <v>837</v>
      </c>
      <c r="E19347">
        <v>129548</v>
      </c>
      <c r="F19347">
        <v>1.4709732672176001E-7</v>
      </c>
      <c r="G19347">
        <v>264686</v>
      </c>
      <c r="H19347">
        <v>14336176</v>
      </c>
      <c r="I19347">
        <v>1319418</v>
      </c>
      <c r="J19347">
        <v>3</v>
      </c>
    </row>
    <row r="19348" spans="1:10" x14ac:dyDescent="0.25">
      <c r="A19348" t="s">
        <v>214</v>
      </c>
      <c r="B19348" s="1" t="str">
        <f>HYPERLINK("http://takiron-ci.co.jp","takiron-ci.co.jp")</f>
        <v>takiron-ci.co.jp</v>
      </c>
      <c r="C19348" t="s">
        <v>461</v>
      </c>
      <c r="D19348" t="s">
        <v>837</v>
      </c>
      <c r="F19348">
        <v>6.1759082059613805E-8</v>
      </c>
      <c r="G19348">
        <v>712248</v>
      </c>
      <c r="H19348">
        <v>13576646</v>
      </c>
      <c r="I19348">
        <v>9699472</v>
      </c>
      <c r="J19348">
        <v>3</v>
      </c>
    </row>
    <row r="19349" spans="1:10" x14ac:dyDescent="0.25">
      <c r="A19349" t="s">
        <v>214</v>
      </c>
      <c r="B19349" s="1" t="str">
        <f>HYPERLINK("http://tokyocentury.co.jp","tokyocentury.co.jp")</f>
        <v>tokyocentury.co.jp</v>
      </c>
      <c r="C19349" t="s">
        <v>461</v>
      </c>
      <c r="D19349" t="s">
        <v>837</v>
      </c>
      <c r="F19349">
        <v>4.0853942138948599E-8</v>
      </c>
      <c r="G19349">
        <v>1269276</v>
      </c>
      <c r="H19349">
        <v>14102074</v>
      </c>
      <c r="I19349">
        <v>2699790</v>
      </c>
      <c r="J19349">
        <v>3</v>
      </c>
    </row>
    <row r="19350" spans="1:10" x14ac:dyDescent="0.25">
      <c r="A19350" t="s">
        <v>214</v>
      </c>
      <c r="B19350" s="1" t="str">
        <f>HYPERLINK("http://yanase.co.jp","yanase.co.jp")</f>
        <v>yanase.co.jp</v>
      </c>
      <c r="C19350" t="s">
        <v>461</v>
      </c>
      <c r="D19350" t="s">
        <v>837</v>
      </c>
      <c r="E19350">
        <v>593013</v>
      </c>
      <c r="F19350">
        <v>9.9231058296993305E-8</v>
      </c>
      <c r="G19350">
        <v>405877</v>
      </c>
      <c r="H19350">
        <v>14223842</v>
      </c>
      <c r="I19350">
        <v>1681806</v>
      </c>
      <c r="J19350">
        <v>3</v>
      </c>
    </row>
    <row r="19351" spans="1:10" x14ac:dyDescent="0.25">
      <c r="A19351" t="s">
        <v>214</v>
      </c>
      <c r="B19351" s="1" t="str">
        <f>HYPERLINK("http://daiken.jp","daiken.jp")</f>
        <v>daiken.jp</v>
      </c>
      <c r="C19351" t="s">
        <v>461</v>
      </c>
      <c r="D19351" t="s">
        <v>837</v>
      </c>
      <c r="E19351">
        <v>208100</v>
      </c>
      <c r="F19351">
        <v>3.0187661599391498E-7</v>
      </c>
      <c r="G19351">
        <v>123181</v>
      </c>
      <c r="H19351">
        <v>14441772</v>
      </c>
      <c r="I19351">
        <v>1061657</v>
      </c>
      <c r="J19351">
        <v>3</v>
      </c>
    </row>
    <row r="19352" spans="1:10" x14ac:dyDescent="0.25">
      <c r="A19352" t="s">
        <v>214</v>
      </c>
      <c r="B19352" s="1" t="str">
        <f>HYPERLINK("http://descente.jp","descente.jp")</f>
        <v>descente.jp</v>
      </c>
      <c r="C19352" t="s">
        <v>461</v>
      </c>
      <c r="D19352" t="s">
        <v>837</v>
      </c>
      <c r="F19352">
        <v>1.2216176947509301E-8</v>
      </c>
      <c r="G19352">
        <v>5041304</v>
      </c>
      <c r="H19352">
        <v>14081740</v>
      </c>
      <c r="I19352">
        <v>2806844</v>
      </c>
      <c r="J19352">
        <v>4</v>
      </c>
    </row>
    <row r="19353" spans="1:10" x14ac:dyDescent="0.25">
      <c r="A19353" t="s">
        <v>214</v>
      </c>
      <c r="B19353" s="1" t="str">
        <f>HYPERLINK("http://eimanager.jp","eimanager.jp")</f>
        <v>eimanager.jp</v>
      </c>
      <c r="C19353" t="s">
        <v>461</v>
      </c>
      <c r="D19353" t="s">
        <v>837</v>
      </c>
      <c r="J19353">
        <v>4</v>
      </c>
    </row>
    <row r="19354" spans="1:10" x14ac:dyDescent="0.25">
      <c r="A19354" t="s">
        <v>214</v>
      </c>
      <c r="B19354" s="1" t="str">
        <f>HYPERLINK("http://leilian.jp","leilian.jp")</f>
        <v>leilian.jp</v>
      </c>
      <c r="C19354" t="s">
        <v>461</v>
      </c>
      <c r="D19354" t="s">
        <v>837</v>
      </c>
      <c r="F19354">
        <v>9.9820147110294404E-9</v>
      </c>
      <c r="G19354">
        <v>6773674</v>
      </c>
      <c r="H19354">
        <v>12808053</v>
      </c>
      <c r="I19354">
        <v>14598651</v>
      </c>
      <c r="J19354">
        <v>4</v>
      </c>
    </row>
    <row r="19355" spans="1:10" x14ac:dyDescent="0.25">
      <c r="A19355" t="s">
        <v>214</v>
      </c>
      <c r="B19355" s="1" t="str">
        <f>HYPERLINK("http://mams.ne.jp","mams.ne.jp")</f>
        <v>mams.ne.jp</v>
      </c>
      <c r="C19355" t="s">
        <v>461</v>
      </c>
      <c r="D19355" t="s">
        <v>837</v>
      </c>
      <c r="F19355">
        <v>5.5977451592063901E-9</v>
      </c>
      <c r="G19355">
        <v>19879175</v>
      </c>
      <c r="H19355">
        <v>13331456</v>
      </c>
      <c r="I19355">
        <v>10716891</v>
      </c>
      <c r="J19355">
        <v>4</v>
      </c>
    </row>
    <row r="19356" spans="1:10" x14ac:dyDescent="0.25">
      <c r="A19356" t="s">
        <v>214</v>
      </c>
      <c r="B19356" s="1" t="str">
        <f>HYPERLINK("http://okinawa-familymart.jp","okinawa-familymart.jp")</f>
        <v>okinawa-familymart.jp</v>
      </c>
      <c r="C19356" t="s">
        <v>461</v>
      </c>
      <c r="D19356" t="s">
        <v>837</v>
      </c>
      <c r="F19356">
        <v>2.9422249856740398E-8</v>
      </c>
      <c r="G19356">
        <v>1751557</v>
      </c>
      <c r="H19356">
        <v>14278485</v>
      </c>
      <c r="I19356">
        <v>1385412</v>
      </c>
      <c r="J19356">
        <v>6</v>
      </c>
    </row>
    <row r="19357" spans="1:10" x14ac:dyDescent="0.25">
      <c r="A19357" t="s">
        <v>214</v>
      </c>
      <c r="B19357" s="1" t="str">
        <f>HYPERLINK("http://orico.jp","orico.jp")</f>
        <v>orico.jp</v>
      </c>
      <c r="C19357" t="s">
        <v>461</v>
      </c>
      <c r="D19357" t="s">
        <v>837</v>
      </c>
      <c r="F19357">
        <v>4.77178615583123E-8</v>
      </c>
      <c r="G19357">
        <v>975442</v>
      </c>
      <c r="H19357">
        <v>12779686</v>
      </c>
      <c r="I19357">
        <v>14762071</v>
      </c>
      <c r="J19357">
        <v>6</v>
      </c>
    </row>
    <row r="19358" spans="1:10" x14ac:dyDescent="0.25">
      <c r="A19358" t="s">
        <v>214</v>
      </c>
      <c r="B19358" s="1" t="str">
        <f>HYPERLINK("http://tokyocentury-news.jp","tokyocentury-news.jp")</f>
        <v>tokyocentury-news.jp</v>
      </c>
      <c r="C19358" t="s">
        <v>461</v>
      </c>
      <c r="D19358" t="s">
        <v>837</v>
      </c>
      <c r="F19358">
        <v>5.7045240805444896E-9</v>
      </c>
      <c r="G19358">
        <v>18889352</v>
      </c>
      <c r="H19358">
        <v>12433906</v>
      </c>
      <c r="I19358">
        <v>18231737</v>
      </c>
      <c r="J19358">
        <v>4</v>
      </c>
    </row>
    <row r="19359" spans="1:10" x14ac:dyDescent="0.25">
      <c r="A19359" t="s">
        <v>214</v>
      </c>
      <c r="B19359" s="1" t="str">
        <f>HYPERLINK("http://yanase.jp","yanase.jp")</f>
        <v>yanase.jp</v>
      </c>
      <c r="C19359" t="s">
        <v>461</v>
      </c>
      <c r="D19359" t="s">
        <v>837</v>
      </c>
      <c r="F19359">
        <v>4.6851033260955301E-8</v>
      </c>
      <c r="G19359">
        <v>996725</v>
      </c>
      <c r="H19359">
        <v>14153975</v>
      </c>
      <c r="I19359">
        <v>1864323</v>
      </c>
      <c r="J19359">
        <v>4</v>
      </c>
    </row>
    <row r="19360" spans="1:10" x14ac:dyDescent="0.25">
      <c r="A19360" t="s">
        <v>214</v>
      </c>
      <c r="B19360" s="1" t="str">
        <f>HYPERLINK("http://plb.ltd","plb.ltd")</f>
        <v>plb.ltd</v>
      </c>
      <c r="C19360" t="s">
        <v>738</v>
      </c>
      <c r="F19360">
        <v>5.7151394116940996E-9</v>
      </c>
      <c r="G19360">
        <v>18792419</v>
      </c>
      <c r="H19360">
        <v>13066759</v>
      </c>
      <c r="I19360">
        <v>12277697</v>
      </c>
      <c r="J19360">
        <v>5</v>
      </c>
    </row>
    <row r="19361" spans="1:10" x14ac:dyDescent="0.25">
      <c r="A19361" t="s">
        <v>214</v>
      </c>
      <c r="B19361" s="1" t="str">
        <f>HYPERLINK("http://familymart.com.mv","familymart.com.mv")</f>
        <v>familymart.com.mv</v>
      </c>
      <c r="C19361" t="s">
        <v>654</v>
      </c>
      <c r="D19361" t="s">
        <v>973</v>
      </c>
      <c r="J19361">
        <v>6</v>
      </c>
    </row>
    <row r="19362" spans="1:10" x14ac:dyDescent="0.25">
      <c r="A19362" t="s">
        <v>214</v>
      </c>
      <c r="B19362" s="1" t="str">
        <f>HYPERLINK("http://itcmt.com.mx","itcmt.com.mx")</f>
        <v>itcmt.com.mx</v>
      </c>
      <c r="C19362" t="s">
        <v>471</v>
      </c>
      <c r="D19362" t="s">
        <v>847</v>
      </c>
      <c r="F19362">
        <v>4.53687970895661E-9</v>
      </c>
      <c r="G19362">
        <v>53702043</v>
      </c>
      <c r="H19362">
        <v>8294563.5</v>
      </c>
      <c r="I19362">
        <v>74642186</v>
      </c>
      <c r="J19362">
        <v>4</v>
      </c>
    </row>
    <row r="19363" spans="1:10" x14ac:dyDescent="0.25">
      <c r="A19363" t="s">
        <v>214</v>
      </c>
      <c r="B19363" s="1" t="str">
        <f>HYPERLINK("http://familymart.com.my","familymart.com.my")</f>
        <v>familymart.com.my</v>
      </c>
      <c r="C19363" t="s">
        <v>472</v>
      </c>
      <c r="D19363" t="s">
        <v>848</v>
      </c>
      <c r="F19363">
        <v>3.01479710002161E-8</v>
      </c>
      <c r="G19363">
        <v>1706862</v>
      </c>
      <c r="H19363">
        <v>14629847</v>
      </c>
      <c r="I19363">
        <v>646069</v>
      </c>
      <c r="J19363">
        <v>6</v>
      </c>
    </row>
    <row r="19364" spans="1:10" x14ac:dyDescent="0.25">
      <c r="A19364" t="s">
        <v>214</v>
      </c>
      <c r="B19364" s="1" t="str">
        <f>HYPERLINK("http://kwik-fit.nl","kwik-fit.nl")</f>
        <v>kwik-fit.nl</v>
      </c>
      <c r="C19364" t="s">
        <v>477</v>
      </c>
      <c r="D19364" t="s">
        <v>852</v>
      </c>
      <c r="E19364">
        <v>331456</v>
      </c>
      <c r="F19364">
        <v>8.4411000183840098E-8</v>
      </c>
      <c r="G19364">
        <v>489555</v>
      </c>
      <c r="H19364">
        <v>13026511</v>
      </c>
      <c r="I19364">
        <v>12686125</v>
      </c>
      <c r="J19364">
        <v>4</v>
      </c>
    </row>
    <row r="19365" spans="1:10" x14ac:dyDescent="0.25">
      <c r="A19365" t="s">
        <v>214</v>
      </c>
      <c r="B19365" s="1" t="str">
        <f>HYPERLINK("http://familymart.com.ph","familymart.com.ph")</f>
        <v>familymart.com.ph</v>
      </c>
      <c r="C19365" t="s">
        <v>484</v>
      </c>
      <c r="D19365" t="s">
        <v>858</v>
      </c>
      <c r="F19365">
        <v>1.0154698923102E-8</v>
      </c>
      <c r="G19365">
        <v>6591799</v>
      </c>
      <c r="H19365">
        <v>13787373</v>
      </c>
      <c r="I19365">
        <v>6374872</v>
      </c>
      <c r="J19365">
        <v>2</v>
      </c>
    </row>
    <row r="19366" spans="1:10" x14ac:dyDescent="0.25">
      <c r="A19366" t="s">
        <v>214</v>
      </c>
      <c r="B19366" s="1" t="str">
        <f>HYPERLINK("http://itochu.com.sg","itochu.com.sg")</f>
        <v>itochu.com.sg</v>
      </c>
      <c r="C19366" t="s">
        <v>496</v>
      </c>
      <c r="D19366" t="s">
        <v>870</v>
      </c>
      <c r="F19366">
        <v>4.9211987063692596E-9</v>
      </c>
      <c r="G19366">
        <v>31650285</v>
      </c>
      <c r="H19366">
        <v>10546618</v>
      </c>
      <c r="I19366">
        <v>46844162</v>
      </c>
      <c r="J19366">
        <v>4</v>
      </c>
    </row>
    <row r="19367" spans="1:10" x14ac:dyDescent="0.25">
      <c r="A19367" t="s">
        <v>214</v>
      </c>
      <c r="B19367" s="1" t="str">
        <f>HYPERLINK("http://ctc-g.co.th","ctc-g.co.th")</f>
        <v>ctc-g.co.th</v>
      </c>
      <c r="C19367" t="s">
        <v>500</v>
      </c>
      <c r="D19367" t="s">
        <v>874</v>
      </c>
      <c r="F19367">
        <v>6.1200374957648203E-9</v>
      </c>
      <c r="G19367">
        <v>15979486</v>
      </c>
      <c r="H19367">
        <v>13938348</v>
      </c>
      <c r="I19367">
        <v>4434561</v>
      </c>
      <c r="J19367">
        <v>4</v>
      </c>
    </row>
    <row r="19368" spans="1:10" x14ac:dyDescent="0.25">
      <c r="A19368" t="s">
        <v>214</v>
      </c>
      <c r="B19368" s="1" t="str">
        <f>HYPERLINK("http://familymart.co.th","familymart.co.th")</f>
        <v>familymart.co.th</v>
      </c>
      <c r="C19368" t="s">
        <v>500</v>
      </c>
      <c r="D19368" t="s">
        <v>874</v>
      </c>
      <c r="F19368">
        <v>1.3178218178142699E-8</v>
      </c>
      <c r="G19368">
        <v>4547983</v>
      </c>
      <c r="H19368">
        <v>14080924</v>
      </c>
      <c r="I19368">
        <v>2815318</v>
      </c>
      <c r="J19368">
        <v>6</v>
      </c>
    </row>
    <row r="19369" spans="1:10" x14ac:dyDescent="0.25">
      <c r="A19369" t="s">
        <v>214</v>
      </c>
      <c r="B19369" s="1" t="str">
        <f>HYPERLINK("http://itochu.co.th","itochu.co.th")</f>
        <v>itochu.co.th</v>
      </c>
      <c r="C19369" t="s">
        <v>500</v>
      </c>
      <c r="D19369" t="s">
        <v>874</v>
      </c>
      <c r="F19369">
        <v>6.2180285019100004E-9</v>
      </c>
      <c r="G19369">
        <v>15440537</v>
      </c>
      <c r="H19369">
        <v>11385223</v>
      </c>
      <c r="I19369">
        <v>30266698</v>
      </c>
      <c r="J19369">
        <v>2</v>
      </c>
    </row>
    <row r="19370" spans="1:10" x14ac:dyDescent="0.25">
      <c r="A19370" t="s">
        <v>214</v>
      </c>
      <c r="B19370" s="1" t="str">
        <f>HYPERLINK("http://orico.tv","orico.tv")</f>
        <v>orico.tv</v>
      </c>
      <c r="C19370" t="s">
        <v>535</v>
      </c>
      <c r="D19370" t="s">
        <v>897</v>
      </c>
      <c r="E19370">
        <v>849068</v>
      </c>
      <c r="F19370">
        <v>2.3720614644283699E-7</v>
      </c>
      <c r="G19370">
        <v>157915</v>
      </c>
      <c r="H19370">
        <v>13795009</v>
      </c>
      <c r="I19370">
        <v>6312160</v>
      </c>
      <c r="J19370">
        <v>6</v>
      </c>
    </row>
    <row r="19371" spans="1:10" x14ac:dyDescent="0.25">
      <c r="A19371" t="s">
        <v>214</v>
      </c>
      <c r="B19371" s="1" t="str">
        <f>HYPERLINK("http://family.com.tw","family.com.tw")</f>
        <v>family.com.tw</v>
      </c>
      <c r="C19371" t="s">
        <v>504</v>
      </c>
      <c r="D19371" t="s">
        <v>878</v>
      </c>
      <c r="E19371">
        <v>99863</v>
      </c>
      <c r="F19371">
        <v>2.3152821778819301E-7</v>
      </c>
      <c r="G19371">
        <v>162182</v>
      </c>
      <c r="H19371">
        <v>14693876</v>
      </c>
      <c r="I19371">
        <v>600466</v>
      </c>
      <c r="J19371">
        <v>6</v>
      </c>
    </row>
    <row r="19372" spans="1:10" x14ac:dyDescent="0.25">
      <c r="A19372" t="s">
        <v>214</v>
      </c>
      <c r="B19372" s="1" t="str">
        <f>HYPERLINK("http://fmaily.com.tw","fmaily.com.tw")</f>
        <v>fmaily.com.tw</v>
      </c>
      <c r="C19372" t="s">
        <v>504</v>
      </c>
      <c r="D19372" t="s">
        <v>878</v>
      </c>
      <c r="J19372">
        <v>9</v>
      </c>
    </row>
    <row r="19373" spans="1:10" x14ac:dyDescent="0.25">
      <c r="A19373" t="s">
        <v>214</v>
      </c>
      <c r="B19373" s="1" t="str">
        <f>HYPERLINK("http://etelimited.co.uk","etelimited.co.uk")</f>
        <v>etelimited.co.uk</v>
      </c>
      <c r="C19373" t="s">
        <v>506</v>
      </c>
      <c r="D19373" t="s">
        <v>880</v>
      </c>
      <c r="E19373">
        <v>612924</v>
      </c>
      <c r="F19373">
        <v>1.5919091590945699E-8</v>
      </c>
      <c r="G19373">
        <v>3567626</v>
      </c>
      <c r="H19373">
        <v>12290958</v>
      </c>
      <c r="I19373">
        <v>21092335</v>
      </c>
      <c r="J19373">
        <v>4</v>
      </c>
    </row>
    <row r="19374" spans="1:10" x14ac:dyDescent="0.25">
      <c r="A19374" t="s">
        <v>214</v>
      </c>
      <c r="B19374" s="1" t="str">
        <f>HYPERLINK("http://firstresponsefinance.co.uk","firstresponsefinance.co.uk")</f>
        <v>firstresponsefinance.co.uk</v>
      </c>
      <c r="C19374" t="s">
        <v>506</v>
      </c>
      <c r="D19374" t="s">
        <v>880</v>
      </c>
      <c r="F19374">
        <v>8.3450512355710206E-9</v>
      </c>
      <c r="G19374">
        <v>9156850</v>
      </c>
      <c r="H19374">
        <v>12408741</v>
      </c>
      <c r="I19374">
        <v>18624014</v>
      </c>
      <c r="J19374">
        <v>3</v>
      </c>
    </row>
    <row r="19375" spans="1:10" x14ac:dyDescent="0.25">
      <c r="A19375" t="s">
        <v>214</v>
      </c>
      <c r="B19375" s="1" t="str">
        <f>HYPERLINK("http://frfl.co.uk","frfl.co.uk")</f>
        <v>frfl.co.uk</v>
      </c>
      <c r="C19375" t="s">
        <v>506</v>
      </c>
      <c r="D19375" t="s">
        <v>880</v>
      </c>
      <c r="F19375">
        <v>4.4670295648467198E-9</v>
      </c>
      <c r="G19375">
        <v>65625049</v>
      </c>
      <c r="H19375">
        <v>9518380</v>
      </c>
      <c r="I19375">
        <v>65455809</v>
      </c>
      <c r="J19375">
        <v>4</v>
      </c>
    </row>
    <row r="19376" spans="1:10" x14ac:dyDescent="0.25">
      <c r="A19376" t="s">
        <v>214</v>
      </c>
      <c r="B19376" s="1" t="str">
        <f>HYPERLINK("http://mi-steel.co.uk","mi-steel.co.uk")</f>
        <v>mi-steel.co.uk</v>
      </c>
      <c r="C19376" t="s">
        <v>506</v>
      </c>
      <c r="D19376" t="s">
        <v>880</v>
      </c>
      <c r="J19376">
        <v>7</v>
      </c>
    </row>
    <row r="19377" spans="1:10" x14ac:dyDescent="0.25">
      <c r="A19377" t="s">
        <v>214</v>
      </c>
      <c r="B19377" s="1" t="str">
        <f>HYPERLINK("http://plastribution.co.uk","plastribution.co.uk")</f>
        <v>plastribution.co.uk</v>
      </c>
      <c r="C19377" t="s">
        <v>506</v>
      </c>
      <c r="D19377" t="s">
        <v>880</v>
      </c>
      <c r="F19377">
        <v>1.14524951692406E-8</v>
      </c>
      <c r="G19377">
        <v>5537366</v>
      </c>
      <c r="H19377">
        <v>13114321</v>
      </c>
      <c r="I19377">
        <v>12020158</v>
      </c>
      <c r="J19377">
        <v>4</v>
      </c>
    </row>
    <row r="19378" spans="1:10" x14ac:dyDescent="0.25">
      <c r="A19378" t="s">
        <v>214</v>
      </c>
      <c r="B19378" s="1" t="str">
        <f>HYPERLINK("http://profitlink2.co.uk","profitlink2.co.uk")</f>
        <v>profitlink2.co.uk</v>
      </c>
      <c r="C19378" t="s">
        <v>506</v>
      </c>
      <c r="D19378" t="s">
        <v>880</v>
      </c>
      <c r="F19378">
        <v>4.4438224057230497E-9</v>
      </c>
      <c r="G19378">
        <v>79189713</v>
      </c>
      <c r="H19378">
        <v>10458398</v>
      </c>
      <c r="I19378">
        <v>51894095</v>
      </c>
      <c r="J19378">
        <v>2</v>
      </c>
    </row>
    <row r="19379" spans="1:10" x14ac:dyDescent="0.25">
      <c r="A19379" t="s">
        <v>214</v>
      </c>
      <c r="B19379" s="1" t="str">
        <f>HYPERLINK("http://stapletons-tyres.co.uk","stapletons-tyres.co.uk")</f>
        <v>stapletons-tyres.co.uk</v>
      </c>
      <c r="C19379" t="s">
        <v>506</v>
      </c>
      <c r="D19379" t="s">
        <v>880</v>
      </c>
      <c r="F19379">
        <v>7.7235738776337807E-9</v>
      </c>
      <c r="G19379">
        <v>10521814</v>
      </c>
      <c r="H19379">
        <v>12273784</v>
      </c>
      <c r="I19379">
        <v>21444359</v>
      </c>
      <c r="J19379">
        <v>6</v>
      </c>
    </row>
    <row r="19380" spans="1:10" x14ac:dyDescent="0.25">
      <c r="A19380" t="s">
        <v>214</v>
      </c>
      <c r="B19380" s="1" t="str">
        <f>HYPERLINK("http://vinafamilymart.com.vn","vinafamilymart.com.vn")</f>
        <v>vinafamilymart.com.vn</v>
      </c>
      <c r="C19380" t="s">
        <v>509</v>
      </c>
      <c r="D19380" t="s">
        <v>883</v>
      </c>
      <c r="F19380">
        <v>4.4438334700430997E-9</v>
      </c>
      <c r="G19380">
        <v>78971629</v>
      </c>
      <c r="H19380">
        <v>10447491</v>
      </c>
      <c r="I19380">
        <v>52160910</v>
      </c>
      <c r="J19380">
        <v>6</v>
      </c>
    </row>
    <row r="19381" spans="1:10" x14ac:dyDescent="0.25">
      <c r="A19381" t="s">
        <v>215</v>
      </c>
      <c r="B19381" s="1" t="str">
        <f>HYPERLINK("http://jdl.cn","jdl.cn")</f>
        <v>jdl.cn</v>
      </c>
      <c r="C19381" t="s">
        <v>431</v>
      </c>
      <c r="D19381" t="s">
        <v>812</v>
      </c>
      <c r="E19381">
        <v>778658</v>
      </c>
      <c r="F19381">
        <v>8.1335738924775905E-8</v>
      </c>
      <c r="G19381">
        <v>513209</v>
      </c>
      <c r="H19381">
        <v>13925861</v>
      </c>
      <c r="I19381">
        <v>5931499</v>
      </c>
      <c r="J19381">
        <v>4</v>
      </c>
    </row>
    <row r="19382" spans="1:10" x14ac:dyDescent="0.25">
      <c r="A19382" t="s">
        <v>215</v>
      </c>
      <c r="B19382" s="1" t="str">
        <f>HYPERLINK("http://mallcoo.cn","mallcoo.cn")</f>
        <v>mallcoo.cn</v>
      </c>
      <c r="C19382" t="s">
        <v>431</v>
      </c>
      <c r="D19382" t="s">
        <v>812</v>
      </c>
      <c r="F19382">
        <v>9.7274724032697199E-8</v>
      </c>
      <c r="G19382">
        <v>415287</v>
      </c>
      <c r="H19382">
        <v>12953447</v>
      </c>
      <c r="I19382">
        <v>13195806</v>
      </c>
      <c r="J19382">
        <v>4</v>
      </c>
    </row>
    <row r="19383" spans="1:10" x14ac:dyDescent="0.25">
      <c r="A19383" t="s">
        <v>215</v>
      </c>
      <c r="B19383" s="1" t="str">
        <f>HYPERLINK("http://jd.com","jd.com")</f>
        <v>jd.com</v>
      </c>
      <c r="C19383" t="s">
        <v>433</v>
      </c>
      <c r="E19383">
        <v>104</v>
      </c>
      <c r="F19383">
        <v>3.5999276007987297E-5</v>
      </c>
      <c r="G19383">
        <v>744</v>
      </c>
      <c r="H19383">
        <v>18258624</v>
      </c>
      <c r="I19383">
        <v>2510</v>
      </c>
      <c r="J19383">
        <v>1</v>
      </c>
    </row>
    <row r="19384" spans="1:10" x14ac:dyDescent="0.25">
      <c r="A19384" t="s">
        <v>215</v>
      </c>
      <c r="B19384" s="1" t="str">
        <f>HYPERLINK("http://jdhealth.com","jdhealth.com")</f>
        <v>jdhealth.com</v>
      </c>
      <c r="C19384" t="s">
        <v>433</v>
      </c>
      <c r="F19384">
        <v>2.30968966544248E-8</v>
      </c>
      <c r="G19384">
        <v>2260431</v>
      </c>
      <c r="H19384">
        <v>13574671</v>
      </c>
      <c r="I19384">
        <v>9705530</v>
      </c>
      <c r="J19384">
        <v>3</v>
      </c>
    </row>
    <row r="19385" spans="1:10" x14ac:dyDescent="0.25">
      <c r="A19385" t="s">
        <v>215</v>
      </c>
      <c r="B19385" s="1" t="str">
        <f>HYPERLINK("http://jdl.com","jdl.com")</f>
        <v>jdl.com</v>
      </c>
      <c r="C19385" t="s">
        <v>433</v>
      </c>
      <c r="E19385">
        <v>17199</v>
      </c>
      <c r="F19385">
        <v>3.4162408163656198E-7</v>
      </c>
      <c r="G19385">
        <v>109277</v>
      </c>
      <c r="H19385">
        <v>13533478</v>
      </c>
      <c r="I19385">
        <v>9915137</v>
      </c>
      <c r="J19385">
        <v>5</v>
      </c>
    </row>
    <row r="19386" spans="1:10" x14ac:dyDescent="0.25">
      <c r="A19386" t="s">
        <v>215</v>
      </c>
      <c r="B19386" s="1" t="str">
        <f>HYPERLINK("http://jadi.fi","jadi.fi")</f>
        <v>jadi.fi</v>
      </c>
      <c r="C19386" t="s">
        <v>445</v>
      </c>
      <c r="D19386" t="s">
        <v>823</v>
      </c>
      <c r="J19386">
        <v>4</v>
      </c>
    </row>
    <row r="19387" spans="1:10" x14ac:dyDescent="0.25">
      <c r="A19387" t="s">
        <v>215</v>
      </c>
      <c r="B19387" s="1" t="str">
        <f>HYPERLINK("http://jingxi.fi","jingxi.fi")</f>
        <v>jingxi.fi</v>
      </c>
      <c r="C19387" t="s">
        <v>445</v>
      </c>
      <c r="D19387" t="s">
        <v>823</v>
      </c>
      <c r="J19387">
        <v>4</v>
      </c>
    </row>
    <row r="19388" spans="1:10" x14ac:dyDescent="0.25">
      <c r="A19388" t="s">
        <v>215</v>
      </c>
      <c r="B19388" s="1" t="str">
        <f>HYPERLINK("http://jd.hk","jd.hk")</f>
        <v>jd.hk</v>
      </c>
      <c r="C19388" t="s">
        <v>450</v>
      </c>
      <c r="D19388" t="s">
        <v>827</v>
      </c>
      <c r="E19388">
        <v>4739</v>
      </c>
      <c r="F19388">
        <v>4.4426993604468497E-6</v>
      </c>
      <c r="G19388">
        <v>7954</v>
      </c>
      <c r="H19388">
        <v>14456531</v>
      </c>
      <c r="I19388">
        <v>1049262</v>
      </c>
      <c r="J19388">
        <v>2</v>
      </c>
    </row>
    <row r="19389" spans="1:10" x14ac:dyDescent="0.25">
      <c r="A19389" t="s">
        <v>215</v>
      </c>
      <c r="B19389" s="1" t="str">
        <f>HYPERLINK("http://jd.id","jd.id")</f>
        <v>jd.id</v>
      </c>
      <c r="C19389" t="s">
        <v>454</v>
      </c>
      <c r="D19389" t="s">
        <v>831</v>
      </c>
      <c r="E19389">
        <v>36998</v>
      </c>
      <c r="F19389">
        <v>8.06530527263183E-7</v>
      </c>
      <c r="G19389">
        <v>48915</v>
      </c>
      <c r="H19389">
        <v>17186232</v>
      </c>
      <c r="I19389">
        <v>44346</v>
      </c>
      <c r="J19389">
        <v>2</v>
      </c>
    </row>
    <row r="19390" spans="1:10" x14ac:dyDescent="0.25">
      <c r="A19390" t="s">
        <v>215</v>
      </c>
      <c r="B19390" s="1" t="str">
        <f>HYPERLINK("http://jd.ru","jd.ru")</f>
        <v>jd.ru</v>
      </c>
      <c r="C19390" t="s">
        <v>493</v>
      </c>
      <c r="D19390" t="s">
        <v>867</v>
      </c>
      <c r="E19390">
        <v>475240</v>
      </c>
      <c r="F19390">
        <v>1.6496136617630699E-7</v>
      </c>
      <c r="G19390">
        <v>235345</v>
      </c>
      <c r="H19390">
        <v>13688081</v>
      </c>
      <c r="I19390">
        <v>9530341</v>
      </c>
      <c r="J19390">
        <v>2</v>
      </c>
    </row>
    <row r="19391" spans="1:10" x14ac:dyDescent="0.25">
      <c r="A19391" t="s">
        <v>215</v>
      </c>
      <c r="B19391" s="1" t="str">
        <f>HYPERLINK("http://jd.co.th","jd.co.th")</f>
        <v>jd.co.th</v>
      </c>
      <c r="C19391" t="s">
        <v>500</v>
      </c>
      <c r="D19391" t="s">
        <v>874</v>
      </c>
      <c r="E19391">
        <v>45210</v>
      </c>
      <c r="F19391">
        <v>4.1479521713169101E-7</v>
      </c>
      <c r="G19391">
        <v>90739</v>
      </c>
      <c r="H19391">
        <v>14915032</v>
      </c>
      <c r="I19391">
        <v>454755</v>
      </c>
      <c r="J19391">
        <v>2</v>
      </c>
    </row>
    <row r="19392" spans="1:10" x14ac:dyDescent="0.25">
      <c r="A19392" t="s">
        <v>216</v>
      </c>
      <c r="B19392" s="1" t="str">
        <f>HYPERLINK("http://jpmorgan.com.br","jpmorgan.com.br")</f>
        <v>jpmorgan.com.br</v>
      </c>
      <c r="C19392" t="s">
        <v>425</v>
      </c>
      <c r="D19392" t="s">
        <v>806</v>
      </c>
      <c r="F19392">
        <v>1.7675613194336001E-8</v>
      </c>
      <c r="G19392">
        <v>3101969</v>
      </c>
      <c r="H19392">
        <v>12584574</v>
      </c>
      <c r="I19392">
        <v>16459166</v>
      </c>
      <c r="J19392">
        <v>3</v>
      </c>
    </row>
    <row r="19393" spans="1:10" x14ac:dyDescent="0.25">
      <c r="A19393" t="s">
        <v>216</v>
      </c>
      <c r="B19393" s="1" t="str">
        <f>HYPERLINK("http://jpmorganassetmanagement.com.br","jpmorganassetmanagement.com.br")</f>
        <v>jpmorganassetmanagement.com.br</v>
      </c>
      <c r="C19393" t="s">
        <v>425</v>
      </c>
      <c r="D19393" t="s">
        <v>806</v>
      </c>
      <c r="F19393">
        <v>4.4438674124129402E-9</v>
      </c>
      <c r="G19393">
        <v>78213283</v>
      </c>
      <c r="H19393">
        <v>10464127</v>
      </c>
      <c r="I19393">
        <v>51580224</v>
      </c>
      <c r="J19393">
        <v>4</v>
      </c>
    </row>
    <row r="19394" spans="1:10" x14ac:dyDescent="0.25">
      <c r="A19394" t="s">
        <v>216</v>
      </c>
      <c r="B19394" s="1" t="str">
        <f>HYPERLINK("http://chase.ca","chase.ca")</f>
        <v>chase.ca</v>
      </c>
      <c r="C19394" t="s">
        <v>428</v>
      </c>
      <c r="D19394" t="s">
        <v>809</v>
      </c>
      <c r="F19394">
        <v>1.08437352774906E-7</v>
      </c>
      <c r="G19394">
        <v>369024</v>
      </c>
      <c r="H19394">
        <v>13843815</v>
      </c>
      <c r="I19394">
        <v>6065010</v>
      </c>
      <c r="J19394">
        <v>4</v>
      </c>
    </row>
    <row r="19395" spans="1:10" x14ac:dyDescent="0.25">
      <c r="A19395" t="s">
        <v>216</v>
      </c>
      <c r="B19395" s="1" t="str">
        <f>HYPERLINK("http://cazenove.com","cazenove.com")</f>
        <v>cazenove.com</v>
      </c>
      <c r="C19395" t="s">
        <v>433</v>
      </c>
      <c r="F19395">
        <v>4.5423015390884897E-9</v>
      </c>
      <c r="G19395">
        <v>53079246</v>
      </c>
      <c r="H19395">
        <v>10751902</v>
      </c>
      <c r="I19395">
        <v>40013749</v>
      </c>
      <c r="J19395">
        <v>5</v>
      </c>
    </row>
    <row r="19396" spans="1:10" x14ac:dyDescent="0.25">
      <c r="A19396" t="s">
        <v>216</v>
      </c>
      <c r="B19396" s="1" t="str">
        <f>HYPERLINK("http://cfsloans.com","cfsloans.com")</f>
        <v>cfsloans.com</v>
      </c>
      <c r="C19396" t="s">
        <v>433</v>
      </c>
      <c r="F19396">
        <v>5.7129919425152996E-9</v>
      </c>
      <c r="G19396">
        <v>18811755</v>
      </c>
      <c r="H19396">
        <v>12243067</v>
      </c>
      <c r="I19396">
        <v>22171142</v>
      </c>
      <c r="J19396">
        <v>5</v>
      </c>
    </row>
    <row r="19397" spans="1:10" x14ac:dyDescent="0.25">
      <c r="A19397" t="s">
        <v>216</v>
      </c>
      <c r="B19397" s="1" t="str">
        <f>HYPERLINK("http://chase.com","chase.com")</f>
        <v>chase.com</v>
      </c>
      <c r="C19397" t="s">
        <v>433</v>
      </c>
      <c r="E19397">
        <v>493</v>
      </c>
      <c r="F19397">
        <v>8.4740808554112002E-6</v>
      </c>
      <c r="G19397">
        <v>3988</v>
      </c>
      <c r="H19397">
        <v>18200036</v>
      </c>
      <c r="I19397">
        <v>2742</v>
      </c>
      <c r="J19397">
        <v>3</v>
      </c>
    </row>
    <row r="19398" spans="1:10" x14ac:dyDescent="0.25">
      <c r="A19398" t="s">
        <v>216</v>
      </c>
      <c r="B19398" s="1" t="str">
        <f>HYPERLINK("http://chase bank.com","chase bank.com")</f>
        <v>chase bank.com</v>
      </c>
      <c r="C19398" t="s">
        <v>433</v>
      </c>
      <c r="J19398">
        <v>4</v>
      </c>
    </row>
    <row r="19399" spans="1:10" x14ac:dyDescent="0.25">
      <c r="A19399" t="s">
        <v>216</v>
      </c>
      <c r="B19399" s="1" t="str">
        <f>HYPERLINK("http://chasebank.com","chasebank.com")</f>
        <v>chasebank.com</v>
      </c>
      <c r="C19399" t="s">
        <v>433</v>
      </c>
      <c r="F19399">
        <v>4.77892270827715E-9</v>
      </c>
      <c r="G19399">
        <v>37001497</v>
      </c>
      <c r="H19399">
        <v>12153762</v>
      </c>
      <c r="I19399">
        <v>24525566</v>
      </c>
      <c r="J19399">
        <v>4</v>
      </c>
    </row>
    <row r="19400" spans="1:10" x14ac:dyDescent="0.25">
      <c r="A19400" t="s">
        <v>216</v>
      </c>
      <c r="B19400" s="1" t="str">
        <f>HYPERLINK("http://chasecapitalcorp.com","chasecapitalcorp.com")</f>
        <v>chasecapitalcorp.com</v>
      </c>
      <c r="C19400" t="s">
        <v>433</v>
      </c>
      <c r="F19400">
        <v>8.2653458186460995E-9</v>
      </c>
      <c r="G19400">
        <v>9339727</v>
      </c>
      <c r="H19400">
        <v>8519700</v>
      </c>
      <c r="I19400">
        <v>71848363</v>
      </c>
      <c r="J19400">
        <v>4</v>
      </c>
    </row>
    <row r="19401" spans="1:10" x14ac:dyDescent="0.25">
      <c r="A19401" t="s">
        <v>216</v>
      </c>
      <c r="B19401" s="1" t="str">
        <f>HYPERLINK("http://chasepaymentech.com","chasepaymentech.com")</f>
        <v>chasepaymentech.com</v>
      </c>
      <c r="C19401" t="s">
        <v>433</v>
      </c>
      <c r="E19401">
        <v>80986</v>
      </c>
      <c r="F19401">
        <v>1.3170954721523299E-6</v>
      </c>
      <c r="G19401">
        <v>29481</v>
      </c>
      <c r="H19401">
        <v>15909235</v>
      </c>
      <c r="I19401">
        <v>367111</v>
      </c>
      <c r="J19401">
        <v>3</v>
      </c>
    </row>
    <row r="19402" spans="1:10" x14ac:dyDescent="0.25">
      <c r="A19402" t="s">
        <v>216</v>
      </c>
      <c r="B19402" s="1" t="str">
        <f>HYPERLINK("http://chaze.com","chaze.com")</f>
        <v>chaze.com</v>
      </c>
      <c r="C19402" t="s">
        <v>433</v>
      </c>
      <c r="J19402">
        <v>5</v>
      </c>
    </row>
    <row r="19403" spans="1:10" x14ac:dyDescent="0.25">
      <c r="A19403" t="s">
        <v>216</v>
      </c>
      <c r="B19403" s="1" t="str">
        <f>HYPERLINK("http://cifm.com","cifm.com")</f>
        <v>cifm.com</v>
      </c>
      <c r="C19403" t="s">
        <v>433</v>
      </c>
      <c r="E19403">
        <v>497591</v>
      </c>
      <c r="F19403">
        <v>1.43667475987543E-7</v>
      </c>
      <c r="G19403">
        <v>270999</v>
      </c>
      <c r="H19403">
        <v>12424497</v>
      </c>
      <c r="I19403">
        <v>18381028</v>
      </c>
      <c r="J19403">
        <v>5</v>
      </c>
    </row>
    <row r="19404" spans="1:10" x14ac:dyDescent="0.25">
      <c r="A19404" t="s">
        <v>216</v>
      </c>
      <c r="B19404" s="1" t="str">
        <f>HYPERLINK("http://creditliftoff.com","creditliftoff.com")</f>
        <v>creditliftoff.com</v>
      </c>
      <c r="C19404" t="s">
        <v>433</v>
      </c>
      <c r="F19404">
        <v>8.4179346227905203E-9</v>
      </c>
      <c r="G19404">
        <v>9006438</v>
      </c>
      <c r="H19404">
        <v>13120932</v>
      </c>
      <c r="I19404">
        <v>11989293</v>
      </c>
      <c r="J19404">
        <v>5</v>
      </c>
    </row>
    <row r="19405" spans="1:10" x14ac:dyDescent="0.25">
      <c r="A19405" t="s">
        <v>216</v>
      </c>
      <c r="B19405" s="1" t="str">
        <f>HYPERLINK("http://highbridge.com","highbridge.com")</f>
        <v>highbridge.com</v>
      </c>
      <c r="C19405" t="s">
        <v>433</v>
      </c>
      <c r="F19405">
        <v>7.3356585356871903E-9</v>
      </c>
      <c r="G19405">
        <v>11393964</v>
      </c>
      <c r="H19405">
        <v>13241537</v>
      </c>
      <c r="I19405">
        <v>11212080</v>
      </c>
      <c r="J19405">
        <v>3</v>
      </c>
    </row>
    <row r="19406" spans="1:10" x14ac:dyDescent="0.25">
      <c r="A19406" t="s">
        <v>216</v>
      </c>
      <c r="B19406" s="1" t="str">
        <f>HYPERLINK("http://hungryfinance.com","hungryfinance.com")</f>
        <v>hungryfinance.com</v>
      </c>
      <c r="C19406" t="s">
        <v>433</v>
      </c>
      <c r="J19406">
        <v>7</v>
      </c>
    </row>
    <row r="19407" spans="1:10" x14ac:dyDescent="0.25">
      <c r="A19407" t="s">
        <v>216</v>
      </c>
      <c r="B19407" s="1" t="str">
        <f>HYPERLINK("http://jpmchase.com","jpmchase.com")</f>
        <v>jpmchase.com</v>
      </c>
      <c r="C19407" t="s">
        <v>433</v>
      </c>
      <c r="E19407">
        <v>23849</v>
      </c>
      <c r="F19407">
        <v>5.8470417954722702E-8</v>
      </c>
      <c r="G19407">
        <v>759721</v>
      </c>
      <c r="H19407">
        <v>13529817</v>
      </c>
      <c r="I19407">
        <v>9919657</v>
      </c>
      <c r="J19407">
        <v>2</v>
      </c>
    </row>
    <row r="19408" spans="1:10" x14ac:dyDescent="0.25">
      <c r="A19408" t="s">
        <v>216</v>
      </c>
      <c r="B19408" s="1" t="str">
        <f>HYPERLINK("http://jpmorgan.com","jpmorgan.com")</f>
        <v>jpmorgan.com</v>
      </c>
      <c r="C19408" t="s">
        <v>433</v>
      </c>
      <c r="E19408">
        <v>6147</v>
      </c>
      <c r="F19408">
        <v>8.1230382088976293E-6</v>
      </c>
      <c r="G19408">
        <v>4130</v>
      </c>
      <c r="H19408">
        <v>17044624</v>
      </c>
      <c r="I19408">
        <v>77989</v>
      </c>
      <c r="J19408">
        <v>2</v>
      </c>
    </row>
    <row r="19409" spans="1:10" x14ac:dyDescent="0.25">
      <c r="A19409" t="s">
        <v>216</v>
      </c>
      <c r="B19409" s="1" t="str">
        <f>HYPERLINK("http://jpmorganchase.com","jpmorganchase.com")</f>
        <v>jpmorganchase.com</v>
      </c>
      <c r="C19409" t="s">
        <v>433</v>
      </c>
      <c r="E19409">
        <v>7691</v>
      </c>
      <c r="F19409">
        <v>4.3790588718391197E-6</v>
      </c>
      <c r="G19409">
        <v>8078</v>
      </c>
      <c r="H19409">
        <v>16113227</v>
      </c>
      <c r="I19409">
        <v>365849</v>
      </c>
      <c r="J19409">
        <v>1</v>
      </c>
    </row>
    <row r="19410" spans="1:10" x14ac:dyDescent="0.25">
      <c r="A19410" t="s">
        <v>216</v>
      </c>
      <c r="B19410" s="1" t="str">
        <f>HYPERLINK("http://jpmorganmansart.com","jpmorganmansart.com")</f>
        <v>jpmorganmansart.com</v>
      </c>
      <c r="C19410" t="s">
        <v>433</v>
      </c>
      <c r="F19410">
        <v>4.3825805201620198E-8</v>
      </c>
      <c r="G19410">
        <v>1087568</v>
      </c>
      <c r="H19410">
        <v>12828323</v>
      </c>
      <c r="I19410">
        <v>14445547</v>
      </c>
      <c r="J19410">
        <v>4</v>
      </c>
    </row>
    <row r="19411" spans="1:10" x14ac:dyDescent="0.25">
      <c r="A19411" t="s">
        <v>216</v>
      </c>
      <c r="B19411" s="1" t="str">
        <f>HYPERLINK("http://jpmorgansecurities.com","jpmorgansecurities.com")</f>
        <v>jpmorgansecurities.com</v>
      </c>
      <c r="C19411" t="s">
        <v>433</v>
      </c>
      <c r="F19411">
        <v>4.7102730145419002E-8</v>
      </c>
      <c r="G19411">
        <v>990518</v>
      </c>
      <c r="H19411">
        <v>14086458</v>
      </c>
      <c r="I19411">
        <v>2770080</v>
      </c>
      <c r="J19411">
        <v>3</v>
      </c>
    </row>
    <row r="19412" spans="1:10" x14ac:dyDescent="0.25">
      <c r="A19412" t="s">
        <v>216</v>
      </c>
      <c r="B19412" s="1" t="str">
        <f>HYPERLINK("http://morgan.com","morgan.com")</f>
        <v>morgan.com</v>
      </c>
      <c r="C19412" t="s">
        <v>433</v>
      </c>
      <c r="F19412">
        <v>9.9311467762883402E-9</v>
      </c>
      <c r="G19412">
        <v>6826002</v>
      </c>
      <c r="H19412">
        <v>14120934</v>
      </c>
      <c r="I19412">
        <v>2320122</v>
      </c>
      <c r="J19412">
        <v>5</v>
      </c>
    </row>
    <row r="19413" spans="1:10" x14ac:dyDescent="0.25">
      <c r="A19413" t="s">
        <v>216</v>
      </c>
      <c r="B19413" s="1" t="str">
        <f>HYPERLINK("http://nutmeg.com","nutmeg.com")</f>
        <v>nutmeg.com</v>
      </c>
      <c r="C19413" t="s">
        <v>433</v>
      </c>
      <c r="E19413">
        <v>174741</v>
      </c>
      <c r="F19413">
        <v>2.78020485485695E-7</v>
      </c>
      <c r="G19413">
        <v>133774</v>
      </c>
      <c r="H19413">
        <v>17003160</v>
      </c>
      <c r="I19413">
        <v>93144</v>
      </c>
      <c r="J19413">
        <v>3</v>
      </c>
    </row>
    <row r="19414" spans="1:10" x14ac:dyDescent="0.25">
      <c r="A19414" t="s">
        <v>216</v>
      </c>
      <c r="B19414" s="1" t="str">
        <f>HYPERLINK("http://sendbird.com","sendbird.com")</f>
        <v>sendbird.com</v>
      </c>
      <c r="C19414" t="s">
        <v>433</v>
      </c>
      <c r="E19414">
        <v>1382</v>
      </c>
      <c r="F19414">
        <v>3.6465356367918303E-7</v>
      </c>
      <c r="G19414">
        <v>102578</v>
      </c>
      <c r="H19414">
        <v>15060508</v>
      </c>
      <c r="I19414">
        <v>412731</v>
      </c>
      <c r="J19414">
        <v>4</v>
      </c>
    </row>
    <row r="19415" spans="1:10" x14ac:dyDescent="0.25">
      <c r="A19415" t="s">
        <v>216</v>
      </c>
      <c r="B19415" s="1" t="str">
        <f>HYPERLINK("http://zagat.com","zagat.com")</f>
        <v>zagat.com</v>
      </c>
      <c r="C19415" t="s">
        <v>433</v>
      </c>
      <c r="E19415">
        <v>31862</v>
      </c>
      <c r="F19415">
        <v>2.2302202105122301E-6</v>
      </c>
      <c r="G19415">
        <v>16491</v>
      </c>
      <c r="H19415">
        <v>15586950</v>
      </c>
      <c r="I19415">
        <v>372791</v>
      </c>
      <c r="J19415">
        <v>5</v>
      </c>
    </row>
    <row r="19416" spans="1:10" x14ac:dyDescent="0.25">
      <c r="A19416" t="s">
        <v>216</v>
      </c>
      <c r="B19416" s="1" t="str">
        <f>HYPERLINK("http://jpmorgan-zertifikate.de","jpmorgan-zertifikate.de")</f>
        <v>jpmorgan-zertifikate.de</v>
      </c>
      <c r="C19416" t="s">
        <v>436</v>
      </c>
      <c r="D19416" t="s">
        <v>815</v>
      </c>
      <c r="F19416">
        <v>2.2103570198468901E-8</v>
      </c>
      <c r="G19416">
        <v>2374071</v>
      </c>
      <c r="H19416">
        <v>12747120</v>
      </c>
      <c r="I19416">
        <v>15068434</v>
      </c>
      <c r="J19416">
        <v>5</v>
      </c>
    </row>
    <row r="19417" spans="1:10" x14ac:dyDescent="0.25">
      <c r="A19417" t="s">
        <v>216</v>
      </c>
      <c r="B19417" s="1" t="str">
        <f>HYPERLINK("http://cifm.com.hk","cifm.com.hk")</f>
        <v>cifm.com.hk</v>
      </c>
      <c r="C19417" t="s">
        <v>450</v>
      </c>
      <c r="D19417" t="s">
        <v>827</v>
      </c>
      <c r="F19417">
        <v>1.0513695583733801E-8</v>
      </c>
      <c r="G19417">
        <v>6257727</v>
      </c>
      <c r="H19417">
        <v>10751122</v>
      </c>
      <c r="I19417">
        <v>40050615</v>
      </c>
      <c r="J19417">
        <v>4</v>
      </c>
    </row>
    <row r="19418" spans="1:10" x14ac:dyDescent="0.25">
      <c r="A19418" t="s">
        <v>216</v>
      </c>
      <c r="B19418" s="1" t="str">
        <f>HYPERLINK("http://jpmorgan.co.id","jpmorgan.co.id")</f>
        <v>jpmorgan.co.id</v>
      </c>
      <c r="C19418" t="s">
        <v>454</v>
      </c>
      <c r="D19418" t="s">
        <v>831</v>
      </c>
      <c r="F19418">
        <v>1.63586208110093E-8</v>
      </c>
      <c r="G19418">
        <v>3456588</v>
      </c>
      <c r="H19418">
        <v>12082226</v>
      </c>
      <c r="I19418">
        <v>26507737</v>
      </c>
      <c r="J19418">
        <v>3</v>
      </c>
    </row>
    <row r="19419" spans="1:10" x14ac:dyDescent="0.25">
      <c r="A19419" t="s">
        <v>216</v>
      </c>
      <c r="B19419" s="1" t="str">
        <f>HYPERLINK("http://jpmorgan.co.jp","jpmorgan.co.jp")</f>
        <v>jpmorgan.co.jp</v>
      </c>
      <c r="C19419" t="s">
        <v>461</v>
      </c>
      <c r="D19419" t="s">
        <v>837</v>
      </c>
      <c r="F19419">
        <v>4.85872872827141E-8</v>
      </c>
      <c r="G19419">
        <v>954483</v>
      </c>
      <c r="H19419">
        <v>14437205</v>
      </c>
      <c r="I19419">
        <v>1067371</v>
      </c>
      <c r="J19419">
        <v>3</v>
      </c>
    </row>
    <row r="19420" spans="1:10" x14ac:dyDescent="0.25">
      <c r="A19420" t="s">
        <v>216</v>
      </c>
      <c r="B19420" s="1" t="str">
        <f>HYPERLINK("http://jpmorganasset.co.jp","jpmorganasset.co.jp")</f>
        <v>jpmorganasset.co.jp</v>
      </c>
      <c r="C19420" t="s">
        <v>461</v>
      </c>
      <c r="D19420" t="s">
        <v>837</v>
      </c>
      <c r="F19420">
        <v>2.82084188953277E-8</v>
      </c>
      <c r="G19420">
        <v>1824351</v>
      </c>
      <c r="H19420">
        <v>13427901</v>
      </c>
      <c r="I19420">
        <v>10286518</v>
      </c>
      <c r="J19420">
        <v>4</v>
      </c>
    </row>
    <row r="19421" spans="1:10" x14ac:dyDescent="0.25">
      <c r="A19421" t="s">
        <v>216</v>
      </c>
      <c r="B19421" s="1" t="str">
        <f>HYPERLINK("http://jpmorgan.co.kr","jpmorgan.co.kr")</f>
        <v>jpmorgan.co.kr</v>
      </c>
      <c r="C19421" t="s">
        <v>463</v>
      </c>
      <c r="D19421" t="s">
        <v>839</v>
      </c>
      <c r="F19421">
        <v>2.30805011553753E-8</v>
      </c>
      <c r="G19421">
        <v>2262147</v>
      </c>
      <c r="H19421">
        <v>12985366</v>
      </c>
      <c r="I19421">
        <v>12904682</v>
      </c>
      <c r="J19421">
        <v>3</v>
      </c>
    </row>
    <row r="19422" spans="1:10" x14ac:dyDescent="0.25">
      <c r="A19422" t="s">
        <v>216</v>
      </c>
      <c r="B19422" s="1" t="str">
        <f>HYPERLINK("http://jpmorganam.co.kr","jpmorganam.co.kr")</f>
        <v>jpmorganam.co.kr</v>
      </c>
      <c r="C19422" t="s">
        <v>463</v>
      </c>
      <c r="D19422" t="s">
        <v>839</v>
      </c>
      <c r="F19422">
        <v>9.9946428902798302E-9</v>
      </c>
      <c r="G19422">
        <v>6761182</v>
      </c>
      <c r="H19422">
        <v>10479280</v>
      </c>
      <c r="I19422">
        <v>51047888</v>
      </c>
      <c r="J19422">
        <v>4</v>
      </c>
    </row>
    <row r="19423" spans="1:10" x14ac:dyDescent="0.25">
      <c r="A19423" t="s">
        <v>216</v>
      </c>
      <c r="B19423" s="1" t="str">
        <f>HYPERLINK("http://jpmorganassetmanagement.lu","jpmorganassetmanagement.lu")</f>
        <v>jpmorganassetmanagement.lu</v>
      </c>
      <c r="C19423" t="s">
        <v>547</v>
      </c>
      <c r="D19423" t="s">
        <v>904</v>
      </c>
      <c r="F19423">
        <v>1.64251714743427E-8</v>
      </c>
      <c r="G19423">
        <v>3432772</v>
      </c>
      <c r="H19423">
        <v>13794826</v>
      </c>
      <c r="I19423">
        <v>6313202</v>
      </c>
      <c r="J19423">
        <v>4</v>
      </c>
    </row>
    <row r="19424" spans="1:10" x14ac:dyDescent="0.25">
      <c r="A19424" t="s">
        <v>216</v>
      </c>
      <c r="B19424" s="1" t="str">
        <f>HYPERLINK("http://jpmorgan.com.mx","jpmorgan.com.mx")</f>
        <v>jpmorgan.com.mx</v>
      </c>
      <c r="C19424" t="s">
        <v>471</v>
      </c>
      <c r="D19424" t="s">
        <v>847</v>
      </c>
      <c r="F19424">
        <v>2.5448585184402701E-8</v>
      </c>
      <c r="G19424">
        <v>2026981</v>
      </c>
      <c r="H19424">
        <v>13615577</v>
      </c>
      <c r="I19424">
        <v>9630422</v>
      </c>
      <c r="J19424">
        <v>3</v>
      </c>
    </row>
    <row r="19425" spans="1:10" x14ac:dyDescent="0.25">
      <c r="A19425" t="s">
        <v>216</v>
      </c>
      <c r="B19425" s="1" t="str">
        <f>HYPERLINK("http://jpmorganaccess.com.my","jpmorganaccess.com.my")</f>
        <v>jpmorganaccess.com.my</v>
      </c>
      <c r="C19425" t="s">
        <v>472</v>
      </c>
      <c r="D19425" t="s">
        <v>848</v>
      </c>
      <c r="F19425">
        <v>6.4157064841930302E-9</v>
      </c>
      <c r="G19425">
        <v>14445125</v>
      </c>
      <c r="H19425">
        <v>10965887</v>
      </c>
      <c r="I19425">
        <v>34226213</v>
      </c>
      <c r="J19425">
        <v>4</v>
      </c>
    </row>
    <row r="19426" spans="1:10" x14ac:dyDescent="0.25">
      <c r="A19426" t="s">
        <v>216</v>
      </c>
      <c r="B19426" s="1" t="str">
        <f>HYPERLINK("http://tacolcy.org","tacolcy.org")</f>
        <v>tacolcy.org</v>
      </c>
      <c r="C19426" t="s">
        <v>481</v>
      </c>
      <c r="F19426">
        <v>7.6933580896541607E-9</v>
      </c>
      <c r="G19426">
        <v>10597014</v>
      </c>
      <c r="H19426">
        <v>13769757</v>
      </c>
      <c r="I19426">
        <v>6770871</v>
      </c>
      <c r="J19426">
        <v>5</v>
      </c>
    </row>
    <row r="19427" spans="1:10" x14ac:dyDescent="0.25">
      <c r="A19427" t="s">
        <v>216</v>
      </c>
      <c r="B19427" s="1" t="str">
        <f>HYPERLINK("http://jpmorgan.ru","jpmorgan.ru")</f>
        <v>jpmorgan.ru</v>
      </c>
      <c r="C19427" t="s">
        <v>493</v>
      </c>
      <c r="D19427" t="s">
        <v>867</v>
      </c>
      <c r="F19427">
        <v>3.9946468539318897E-8</v>
      </c>
      <c r="G19427">
        <v>1293888</v>
      </c>
      <c r="H19427">
        <v>14473315</v>
      </c>
      <c r="I19427">
        <v>1040748</v>
      </c>
      <c r="J19427">
        <v>3</v>
      </c>
    </row>
    <row r="19428" spans="1:10" x14ac:dyDescent="0.25">
      <c r="A19428" t="s">
        <v>216</v>
      </c>
      <c r="B19428" s="1" t="str">
        <f>HYPERLINK("http://jpmorganam.com.sg","jpmorganam.com.sg")</f>
        <v>jpmorganam.com.sg</v>
      </c>
      <c r="C19428" t="s">
        <v>496</v>
      </c>
      <c r="D19428" t="s">
        <v>870</v>
      </c>
      <c r="F19428">
        <v>1.14711224432693E-8</v>
      </c>
      <c r="G19428">
        <v>5524787</v>
      </c>
      <c r="H19428">
        <v>13057687</v>
      </c>
      <c r="I19428">
        <v>12550773</v>
      </c>
      <c r="J19428">
        <v>4</v>
      </c>
    </row>
    <row r="19429" spans="1:10" x14ac:dyDescent="0.25">
      <c r="A19429" t="s">
        <v>216</v>
      </c>
      <c r="B19429" s="1" t="str">
        <f>HYPERLINK("http://jpmrich.com.tw","jpmrich.com.tw")</f>
        <v>jpmrich.com.tw</v>
      </c>
      <c r="C19429" t="s">
        <v>504</v>
      </c>
      <c r="D19429" t="s">
        <v>878</v>
      </c>
      <c r="F19429">
        <v>1.8435736035620699E-8</v>
      </c>
      <c r="G19429">
        <v>2938682</v>
      </c>
      <c r="H19429">
        <v>13766293</v>
      </c>
      <c r="I19429">
        <v>7017687</v>
      </c>
      <c r="J19429">
        <v>4</v>
      </c>
    </row>
    <row r="19430" spans="1:10" x14ac:dyDescent="0.25">
      <c r="A19430" t="s">
        <v>216</v>
      </c>
      <c r="B19430" s="1" t="str">
        <f>HYPERLINK("http://chase.co.uk","chase.co.uk")</f>
        <v>chase.co.uk</v>
      </c>
      <c r="C19430" t="s">
        <v>506</v>
      </c>
      <c r="D19430" t="s">
        <v>880</v>
      </c>
      <c r="E19430">
        <v>190228</v>
      </c>
      <c r="F19430">
        <v>7.7393918724988594E-8</v>
      </c>
      <c r="G19430">
        <v>540975</v>
      </c>
      <c r="H19430">
        <v>14729023</v>
      </c>
      <c r="I19430">
        <v>573163</v>
      </c>
      <c r="J19430">
        <v>4</v>
      </c>
    </row>
    <row r="19431" spans="1:10" x14ac:dyDescent="0.25">
      <c r="A19431" t="s">
        <v>216</v>
      </c>
      <c r="B19431" s="1" t="str">
        <f>HYPERLINK("http://jpmorgan.co.uk","jpmorgan.co.uk")</f>
        <v>jpmorgan.co.uk</v>
      </c>
      <c r="C19431" t="s">
        <v>506</v>
      </c>
      <c r="D19431" t="s">
        <v>880</v>
      </c>
      <c r="F19431">
        <v>2.08920988580018E-8</v>
      </c>
      <c r="G19431">
        <v>2530449</v>
      </c>
      <c r="H19431">
        <v>14528585</v>
      </c>
      <c r="I19431">
        <v>789809</v>
      </c>
      <c r="J19431">
        <v>3</v>
      </c>
    </row>
    <row r="19432" spans="1:10" x14ac:dyDescent="0.25">
      <c r="A19432" t="s">
        <v>216</v>
      </c>
      <c r="B19432" s="1" t="str">
        <f>HYPERLINK("http://jpmorganassetmanagement.co.uk","jpmorganassetmanagement.co.uk")</f>
        <v>jpmorganassetmanagement.co.uk</v>
      </c>
      <c r="C19432" t="s">
        <v>506</v>
      </c>
      <c r="D19432" t="s">
        <v>880</v>
      </c>
      <c r="F19432">
        <v>5.8750012324093302E-9</v>
      </c>
      <c r="G19432">
        <v>17532234</v>
      </c>
      <c r="H19432">
        <v>13933406</v>
      </c>
      <c r="I19432">
        <v>4751635</v>
      </c>
      <c r="J19432">
        <v>4</v>
      </c>
    </row>
    <row r="19433" spans="1:10" x14ac:dyDescent="0.25">
      <c r="A19433" t="s">
        <v>1624</v>
      </c>
      <c r="B19433" s="1" t="str">
        <f>HYPERLINK("http://new-pack.club","new-pack.club")</f>
        <v>new-pack.club</v>
      </c>
      <c r="C19433" t="s">
        <v>540</v>
      </c>
      <c r="J19433">
        <v>4</v>
      </c>
    </row>
    <row r="19434" spans="1:10" x14ac:dyDescent="0.25">
      <c r="A19434" t="s">
        <v>1624</v>
      </c>
      <c r="B19434" s="1" t="str">
        <f>HYPERLINK("http://akrospharma.com","akrospharma.com")</f>
        <v>akrospharma.com</v>
      </c>
      <c r="C19434" t="s">
        <v>433</v>
      </c>
      <c r="F19434">
        <v>5.6660025147191902E-9</v>
      </c>
      <c r="G19434">
        <v>19252102</v>
      </c>
      <c r="H19434">
        <v>12294083</v>
      </c>
      <c r="I19434">
        <v>20988014</v>
      </c>
      <c r="J19434">
        <v>3</v>
      </c>
    </row>
    <row r="19435" spans="1:10" x14ac:dyDescent="0.25">
      <c r="A19435" t="s">
        <v>1624</v>
      </c>
      <c r="B19435" s="1" t="str">
        <f>HYPERLINK("http://jt.com","jt.com")</f>
        <v>jt.com</v>
      </c>
      <c r="C19435" t="s">
        <v>433</v>
      </c>
      <c r="E19435">
        <v>715894</v>
      </c>
      <c r="F19435">
        <v>8.7900264121112296E-8</v>
      </c>
      <c r="G19435">
        <v>466358</v>
      </c>
      <c r="H19435">
        <v>14892067</v>
      </c>
      <c r="I19435">
        <v>466403</v>
      </c>
      <c r="J19435">
        <v>2</v>
      </c>
    </row>
    <row r="19436" spans="1:10" x14ac:dyDescent="0.25">
      <c r="A19436" t="s">
        <v>1624</v>
      </c>
      <c r="B19436" s="1" t="str">
        <f>HYPERLINK("http://jti.com","jti.com")</f>
        <v>jti.com</v>
      </c>
      <c r="C19436" t="s">
        <v>433</v>
      </c>
      <c r="E19436">
        <v>50884</v>
      </c>
      <c r="F19436">
        <v>4.7763431817635498E-7</v>
      </c>
      <c r="G19436">
        <v>79561</v>
      </c>
      <c r="H19436">
        <v>15177540</v>
      </c>
      <c r="I19436">
        <v>397540</v>
      </c>
      <c r="J19436">
        <v>3</v>
      </c>
    </row>
    <row r="19437" spans="1:10" x14ac:dyDescent="0.25">
      <c r="A19437" t="s">
        <v>1624</v>
      </c>
      <c r="B19437" s="1" t="str">
        <f>HYPERLINK("http://jti.de","jti.de")</f>
        <v>jti.de</v>
      </c>
      <c r="C19437" t="s">
        <v>436</v>
      </c>
      <c r="D19437" t="s">
        <v>815</v>
      </c>
      <c r="F19437">
        <v>5.1800883497705599E-9</v>
      </c>
      <c r="G19437">
        <v>25551254</v>
      </c>
      <c r="H19437">
        <v>10593317</v>
      </c>
      <c r="I19437">
        <v>45535432</v>
      </c>
      <c r="J19437">
        <v>4</v>
      </c>
    </row>
    <row r="19438" spans="1:10" x14ac:dyDescent="0.25">
      <c r="A19438" t="s">
        <v>1624</v>
      </c>
      <c r="B19438" s="1" t="str">
        <f>HYPERLINK("http://logicvapes.fi","logicvapes.fi")</f>
        <v>logicvapes.fi</v>
      </c>
      <c r="C19438" t="s">
        <v>445</v>
      </c>
      <c r="D19438" t="s">
        <v>823</v>
      </c>
      <c r="J19438">
        <v>2</v>
      </c>
    </row>
    <row r="19439" spans="1:10" x14ac:dyDescent="0.25">
      <c r="A19439" t="s">
        <v>1624</v>
      </c>
      <c r="B19439" s="1" t="str">
        <f>HYPERLINK("http://jti4u.gr","jti4u.gr")</f>
        <v>jti4u.gr</v>
      </c>
      <c r="C19439" t="s">
        <v>447</v>
      </c>
      <c r="D19439" t="s">
        <v>825</v>
      </c>
      <c r="F19439">
        <v>4.4438088691451501E-9</v>
      </c>
      <c r="G19439">
        <v>79877030</v>
      </c>
      <c r="H19439">
        <v>10343677</v>
      </c>
      <c r="I19439">
        <v>58062784</v>
      </c>
      <c r="J19439">
        <v>4</v>
      </c>
    </row>
    <row r="19440" spans="1:10" x14ac:dyDescent="0.25">
      <c r="A19440" t="s">
        <v>1624</v>
      </c>
      <c r="B19440" s="1" t="str">
        <f>HYPERLINK("http://ploom.it","ploom.it")</f>
        <v>ploom.it</v>
      </c>
      <c r="C19440" t="s">
        <v>459</v>
      </c>
      <c r="D19440" t="s">
        <v>835</v>
      </c>
      <c r="F19440">
        <v>4.5948991687105203E-9</v>
      </c>
      <c r="G19440">
        <v>48007498</v>
      </c>
      <c r="H19440">
        <v>12128624</v>
      </c>
      <c r="I19440">
        <v>25176463</v>
      </c>
      <c r="J19440">
        <v>4</v>
      </c>
    </row>
    <row r="19441" spans="1:10" x14ac:dyDescent="0.25">
      <c r="A19441" t="s">
        <v>1624</v>
      </c>
      <c r="B19441" s="1" t="str">
        <f>HYPERLINK("http://alg-torii.jp","alg-torii.jp")</f>
        <v>alg-torii.jp</v>
      </c>
      <c r="C19441" t="s">
        <v>461</v>
      </c>
      <c r="D19441" t="s">
        <v>837</v>
      </c>
      <c r="F19441">
        <v>3.7968728829748499E-8</v>
      </c>
      <c r="G19441">
        <v>1362991</v>
      </c>
      <c r="H19441">
        <v>10651946</v>
      </c>
      <c r="I19441">
        <v>43581048</v>
      </c>
      <c r="J19441">
        <v>2</v>
      </c>
    </row>
    <row r="19442" spans="1:10" x14ac:dyDescent="0.25">
      <c r="A19442" t="s">
        <v>1624</v>
      </c>
      <c r="B19442" s="1" t="str">
        <f>HYPERLINK("http://fjf.co.jp","fjf.co.jp")</f>
        <v>fjf.co.jp</v>
      </c>
      <c r="C19442" t="s">
        <v>461</v>
      </c>
      <c r="D19442" t="s">
        <v>837</v>
      </c>
      <c r="F19442">
        <v>7.9024770467355194E-9</v>
      </c>
      <c r="G19442">
        <v>10106678</v>
      </c>
      <c r="H19442">
        <v>12287012</v>
      </c>
      <c r="I19442">
        <v>21174170</v>
      </c>
      <c r="J19442">
        <v>3</v>
      </c>
    </row>
    <row r="19443" spans="1:10" x14ac:dyDescent="0.25">
      <c r="A19443" t="s">
        <v>1624</v>
      </c>
      <c r="B19443" s="1" t="str">
        <f>HYPERLINK("http://jti.co.jp","jti.co.jp")</f>
        <v>jti.co.jp</v>
      </c>
      <c r="C19443" t="s">
        <v>461</v>
      </c>
      <c r="D19443" t="s">
        <v>837</v>
      </c>
      <c r="E19443">
        <v>94945</v>
      </c>
      <c r="F19443">
        <v>4.4664602260269101E-7</v>
      </c>
      <c r="G19443">
        <v>84525</v>
      </c>
      <c r="H19443">
        <v>17235946</v>
      </c>
      <c r="I19443">
        <v>36001</v>
      </c>
      <c r="J19443">
        <v>1</v>
      </c>
    </row>
    <row r="19444" spans="1:10" x14ac:dyDescent="0.25">
      <c r="A19444" t="s">
        <v>1624</v>
      </c>
      <c r="B19444" s="1" t="str">
        <f>HYPERLINK("http://tablemark.co.jp","tablemark.co.jp")</f>
        <v>tablemark.co.jp</v>
      </c>
      <c r="C19444" t="s">
        <v>461</v>
      </c>
      <c r="D19444" t="s">
        <v>837</v>
      </c>
      <c r="E19444">
        <v>812722</v>
      </c>
      <c r="F19444">
        <v>5.9084460350488201E-8</v>
      </c>
      <c r="G19444">
        <v>750311</v>
      </c>
      <c r="H19444">
        <v>14317092</v>
      </c>
      <c r="I19444">
        <v>1334540</v>
      </c>
      <c r="J19444">
        <v>3</v>
      </c>
    </row>
    <row r="19445" spans="1:10" x14ac:dyDescent="0.25">
      <c r="A19445" t="s">
        <v>1624</v>
      </c>
      <c r="B19445" s="1" t="str">
        <f>HYPERLINK("http://torii.co.jp","torii.co.jp")</f>
        <v>torii.co.jp</v>
      </c>
      <c r="C19445" t="s">
        <v>461</v>
      </c>
      <c r="D19445" t="s">
        <v>837</v>
      </c>
      <c r="E19445">
        <v>606413</v>
      </c>
      <c r="F19445">
        <v>1.4444675230552401E-7</v>
      </c>
      <c r="G19445">
        <v>269539</v>
      </c>
      <c r="H19445">
        <v>14158322</v>
      </c>
      <c r="I19445">
        <v>1845405</v>
      </c>
      <c r="J19445">
        <v>3</v>
      </c>
    </row>
    <row r="19446" spans="1:10" x14ac:dyDescent="0.25">
      <c r="A19446" t="s">
        <v>1624</v>
      </c>
      <c r="B19446" s="1" t="str">
        <f>HYPERLINK("http://121reg.ru","121reg.ru")</f>
        <v>121reg.ru</v>
      </c>
      <c r="C19446" t="s">
        <v>493</v>
      </c>
      <c r="D19446" t="s">
        <v>867</v>
      </c>
      <c r="F19446">
        <v>4.44380395335525E-9</v>
      </c>
      <c r="G19446">
        <v>86121202</v>
      </c>
      <c r="H19446">
        <v>0</v>
      </c>
      <c r="I19446">
        <v>87521174</v>
      </c>
      <c r="J19446">
        <v>4</v>
      </c>
    </row>
    <row r="19447" spans="1:10" x14ac:dyDescent="0.25">
      <c r="A19447" t="s">
        <v>1624</v>
      </c>
      <c r="B19447" s="1" t="str">
        <f>HYPERLINK("http://mevius.ru","mevius.ru")</f>
        <v>mevius.ru</v>
      </c>
      <c r="C19447" t="s">
        <v>493</v>
      </c>
      <c r="D19447" t="s">
        <v>867</v>
      </c>
      <c r="J19447">
        <v>4</v>
      </c>
    </row>
    <row r="19448" spans="1:10" x14ac:dyDescent="0.25">
      <c r="A19448" t="s">
        <v>217</v>
      </c>
      <c r="B19448" s="1" t="str">
        <f>HYPERLINK("http://hrs.com.cn","hrs.com.cn")</f>
        <v>hrs.com.cn</v>
      </c>
      <c r="C19448" t="s">
        <v>431</v>
      </c>
      <c r="D19448" t="s">
        <v>812</v>
      </c>
      <c r="F19448">
        <v>1.7952096674014E-7</v>
      </c>
      <c r="G19448">
        <v>215204</v>
      </c>
      <c r="H19448">
        <v>14674809</v>
      </c>
      <c r="I19448">
        <v>611855</v>
      </c>
      <c r="J19448">
        <v>1</v>
      </c>
    </row>
    <row r="19449" spans="1:10" x14ac:dyDescent="0.25">
      <c r="A19449" t="s">
        <v>1625</v>
      </c>
      <c r="B19449" s="1" t="str">
        <f>HYPERLINK("http://chinayanghe.com","chinayanghe.com")</f>
        <v>chinayanghe.com</v>
      </c>
      <c r="C19449" t="s">
        <v>433</v>
      </c>
      <c r="E19449">
        <v>596424</v>
      </c>
      <c r="F19449">
        <v>1.6192220216296401E-7</v>
      </c>
      <c r="G19449">
        <v>239739</v>
      </c>
      <c r="H19449">
        <v>13364437</v>
      </c>
      <c r="I19449">
        <v>10491831</v>
      </c>
      <c r="J19449">
        <v>1</v>
      </c>
    </row>
    <row r="19450" spans="1:10" x14ac:dyDescent="0.25">
      <c r="A19450" t="s">
        <v>218</v>
      </c>
      <c r="B19450" s="1" t="str">
        <f>HYPERLINK("http://acuvue.com.ar","acuvue.com.ar")</f>
        <v>acuvue.com.ar</v>
      </c>
      <c r="C19450" t="s">
        <v>418</v>
      </c>
      <c r="D19450" t="s">
        <v>800</v>
      </c>
      <c r="F19450">
        <v>1.2690499488140599E-8</v>
      </c>
      <c r="G19450">
        <v>4784439</v>
      </c>
      <c r="H19450">
        <v>13011214</v>
      </c>
      <c r="I19450">
        <v>12747563</v>
      </c>
      <c r="J19450">
        <v>4</v>
      </c>
    </row>
    <row r="19451" spans="1:10" x14ac:dyDescent="0.25">
      <c r="A19451" t="s">
        <v>218</v>
      </c>
      <c r="B19451" s="1" t="str">
        <f>HYPERLINK("http://johnsonsbaby.com.ar","johnsonsbaby.com.ar")</f>
        <v>johnsonsbaby.com.ar</v>
      </c>
      <c r="C19451" t="s">
        <v>418</v>
      </c>
      <c r="D19451" t="s">
        <v>800</v>
      </c>
      <c r="F19451">
        <v>2.4236279536422298E-8</v>
      </c>
      <c r="G19451">
        <v>2139986</v>
      </c>
      <c r="H19451">
        <v>12645999</v>
      </c>
      <c r="I19451">
        <v>15827444</v>
      </c>
      <c r="J19451">
        <v>4</v>
      </c>
    </row>
    <row r="19452" spans="1:10" x14ac:dyDescent="0.25">
      <c r="A19452" t="s">
        <v>218</v>
      </c>
      <c r="B19452" s="1" t="str">
        <f>HYPERLINK("http://listerine.com.ar","listerine.com.ar")</f>
        <v>listerine.com.ar</v>
      </c>
      <c r="C19452" t="s">
        <v>418</v>
      </c>
      <c r="D19452" t="s">
        <v>800</v>
      </c>
      <c r="F19452">
        <v>1.2822673499473799E-8</v>
      </c>
      <c r="G19452">
        <v>4717507</v>
      </c>
      <c r="H19452">
        <v>11017821</v>
      </c>
      <c r="I19452">
        <v>33290949</v>
      </c>
      <c r="J19452">
        <v>4</v>
      </c>
    </row>
    <row r="19453" spans="1:10" x14ac:dyDescent="0.25">
      <c r="A19453" t="s">
        <v>218</v>
      </c>
      <c r="B19453" s="1" t="str">
        <f>HYPERLINK("http://neutrogena.com.ar","neutrogena.com.ar")</f>
        <v>neutrogena.com.ar</v>
      </c>
      <c r="C19453" t="s">
        <v>418</v>
      </c>
      <c r="D19453" t="s">
        <v>800</v>
      </c>
      <c r="F19453">
        <v>1.51622130504158E-8</v>
      </c>
      <c r="G19453">
        <v>3787879</v>
      </c>
      <c r="H19453">
        <v>13765658</v>
      </c>
      <c r="I19453">
        <v>7079956</v>
      </c>
      <c r="J19453">
        <v>4</v>
      </c>
    </row>
    <row r="19454" spans="1:10" x14ac:dyDescent="0.25">
      <c r="A19454" t="s">
        <v>218</v>
      </c>
      <c r="B19454" s="1" t="str">
        <f>HYPERLINK("http://acuvue.at","acuvue.at")</f>
        <v>acuvue.at</v>
      </c>
      <c r="C19454" t="s">
        <v>419</v>
      </c>
      <c r="D19454" t="s">
        <v>801</v>
      </c>
      <c r="F19454">
        <v>2.48086752229814E-8</v>
      </c>
      <c r="G19454">
        <v>2084555</v>
      </c>
      <c r="H19454">
        <v>12344329</v>
      </c>
      <c r="I19454">
        <v>19863932</v>
      </c>
      <c r="J19454">
        <v>4</v>
      </c>
    </row>
    <row r="19455" spans="1:10" x14ac:dyDescent="0.25">
      <c r="A19455" t="s">
        <v>218</v>
      </c>
      <c r="B19455" s="1" t="str">
        <f>HYPERLINK("http://janssen.at","janssen.at")</f>
        <v>janssen.at</v>
      </c>
      <c r="C19455" t="s">
        <v>419</v>
      </c>
      <c r="D19455" t="s">
        <v>801</v>
      </c>
      <c r="F19455">
        <v>1.0488104072973501E-8</v>
      </c>
      <c r="G19455">
        <v>6279880</v>
      </c>
      <c r="H19455">
        <v>12478886</v>
      </c>
      <c r="I19455">
        <v>17609504</v>
      </c>
      <c r="J19455">
        <v>3</v>
      </c>
    </row>
    <row r="19456" spans="1:10" x14ac:dyDescent="0.25">
      <c r="A19456" t="s">
        <v>218</v>
      </c>
      <c r="B19456" s="1" t="str">
        <f>HYPERLINK("http://jnjaustria.at","jnjaustria.at")</f>
        <v>jnjaustria.at</v>
      </c>
      <c r="C19456" t="s">
        <v>419</v>
      </c>
      <c r="D19456" t="s">
        <v>801</v>
      </c>
      <c r="F19456">
        <v>1.7632099281210399E-8</v>
      </c>
      <c r="G19456">
        <v>3111833</v>
      </c>
      <c r="H19456">
        <v>12606371</v>
      </c>
      <c r="I19456">
        <v>16264827</v>
      </c>
      <c r="J19456">
        <v>3</v>
      </c>
    </row>
    <row r="19457" spans="1:10" x14ac:dyDescent="0.25">
      <c r="A19457" t="s">
        <v>218</v>
      </c>
      <c r="B19457" s="1" t="str">
        <f>HYPERLINK("http://jnjmedical.at","jnjmedical.at")</f>
        <v>jnjmedical.at</v>
      </c>
      <c r="C19457" t="s">
        <v>419</v>
      </c>
      <c r="D19457" t="s">
        <v>801</v>
      </c>
      <c r="F19457">
        <v>1.09906866140372E-8</v>
      </c>
      <c r="G19457">
        <v>5868129</v>
      </c>
      <c r="H19457">
        <v>12569204</v>
      </c>
      <c r="I19457">
        <v>16631864</v>
      </c>
      <c r="J19457">
        <v>3</v>
      </c>
    </row>
    <row r="19458" spans="1:10" x14ac:dyDescent="0.25">
      <c r="A19458" t="s">
        <v>218</v>
      </c>
      <c r="B19458" s="1" t="str">
        <f>HYPERLINK("http://nicorette.at","nicorette.at")</f>
        <v>nicorette.at</v>
      </c>
      <c r="C19458" t="s">
        <v>419</v>
      </c>
      <c r="D19458" t="s">
        <v>801</v>
      </c>
      <c r="F19458">
        <v>1.3429275089577001E-8</v>
      </c>
      <c r="G19458">
        <v>4435211</v>
      </c>
      <c r="H19458">
        <v>12458102</v>
      </c>
      <c r="I19458">
        <v>17900244</v>
      </c>
      <c r="J19458">
        <v>6</v>
      </c>
    </row>
    <row r="19459" spans="1:10" x14ac:dyDescent="0.25">
      <c r="A19459" t="s">
        <v>218</v>
      </c>
      <c r="B19459" s="1" t="str">
        <f>HYPERLINK("http://acuvue.com.au","acuvue.com.au")</f>
        <v>acuvue.com.au</v>
      </c>
      <c r="C19459" t="s">
        <v>420</v>
      </c>
      <c r="D19459" t="s">
        <v>802</v>
      </c>
      <c r="F19459">
        <v>2.8137898833937001E-8</v>
      </c>
      <c r="G19459">
        <v>1828700</v>
      </c>
      <c r="H19459">
        <v>12439199</v>
      </c>
      <c r="I19459">
        <v>18153372</v>
      </c>
      <c r="J19459">
        <v>4</v>
      </c>
    </row>
    <row r="19460" spans="1:10" x14ac:dyDescent="0.25">
      <c r="A19460" t="s">
        <v>218</v>
      </c>
      <c r="B19460" s="1" t="str">
        <f>HYPERLINK("http://aveeno.com.au","aveeno.com.au")</f>
        <v>aveeno.com.au</v>
      </c>
      <c r="C19460" t="s">
        <v>420</v>
      </c>
      <c r="D19460" t="s">
        <v>802</v>
      </c>
      <c r="F19460">
        <v>1.0583712553702301E-8</v>
      </c>
      <c r="G19460">
        <v>6197757</v>
      </c>
      <c r="H19460">
        <v>14121995</v>
      </c>
      <c r="I19460">
        <v>2229285</v>
      </c>
      <c r="J19460">
        <v>7</v>
      </c>
    </row>
    <row r="19461" spans="1:10" x14ac:dyDescent="0.25">
      <c r="A19461" t="s">
        <v>218</v>
      </c>
      <c r="B19461" s="1" t="str">
        <f>HYPERLINK("http://jnj.com.au","jnj.com.au")</f>
        <v>jnj.com.au</v>
      </c>
      <c r="C19461" t="s">
        <v>420</v>
      </c>
      <c r="D19461" t="s">
        <v>802</v>
      </c>
      <c r="F19461">
        <v>3.4721019644117297E-8</v>
      </c>
      <c r="G19461">
        <v>1494857</v>
      </c>
      <c r="H19461">
        <v>13209217</v>
      </c>
      <c r="I19461">
        <v>11507288</v>
      </c>
      <c r="J19461">
        <v>2</v>
      </c>
    </row>
    <row r="19462" spans="1:10" x14ac:dyDescent="0.25">
      <c r="A19462" t="s">
        <v>218</v>
      </c>
      <c r="B19462" s="1" t="str">
        <f>HYPERLINK("http://johnsonsbaby.com.au","johnsonsbaby.com.au")</f>
        <v>johnsonsbaby.com.au</v>
      </c>
      <c r="C19462" t="s">
        <v>420</v>
      </c>
      <c r="D19462" t="s">
        <v>802</v>
      </c>
      <c r="F19462">
        <v>2.2635984995257999E-8</v>
      </c>
      <c r="G19462">
        <v>2313562</v>
      </c>
      <c r="H19462">
        <v>14121165</v>
      </c>
      <c r="I19462">
        <v>2271923</v>
      </c>
      <c r="J19462">
        <v>4</v>
      </c>
    </row>
    <row r="19463" spans="1:10" x14ac:dyDescent="0.25">
      <c r="A19463" t="s">
        <v>218</v>
      </c>
      <c r="B19463" s="1" t="str">
        <f>HYPERLINK("http://listerine.com.au","listerine.com.au")</f>
        <v>listerine.com.au</v>
      </c>
      <c r="C19463" t="s">
        <v>420</v>
      </c>
      <c r="D19463" t="s">
        <v>802</v>
      </c>
      <c r="F19463">
        <v>1.6247780930470802E-8</v>
      </c>
      <c r="G19463">
        <v>3483531</v>
      </c>
      <c r="H19463">
        <v>12993752</v>
      </c>
      <c r="I19463">
        <v>12830718</v>
      </c>
      <c r="J19463">
        <v>4</v>
      </c>
    </row>
    <row r="19464" spans="1:10" x14ac:dyDescent="0.25">
      <c r="A19464" t="s">
        <v>218</v>
      </c>
      <c r="B19464" s="1" t="str">
        <f>HYPERLINK("http://neutrogena.com.au","neutrogena.com.au")</f>
        <v>neutrogena.com.au</v>
      </c>
      <c r="C19464" t="s">
        <v>420</v>
      </c>
      <c r="D19464" t="s">
        <v>802</v>
      </c>
      <c r="F19464">
        <v>1.8394447220393601E-8</v>
      </c>
      <c r="G19464">
        <v>2948443</v>
      </c>
      <c r="H19464">
        <v>14128417</v>
      </c>
      <c r="I19464">
        <v>2061750</v>
      </c>
      <c r="J19464">
        <v>4</v>
      </c>
    </row>
    <row r="19465" spans="1:10" x14ac:dyDescent="0.25">
      <c r="A19465" t="s">
        <v>218</v>
      </c>
      <c r="B19465" s="1" t="str">
        <f>HYPERLINK("http://nicorette.com.au","nicorette.com.au")</f>
        <v>nicorette.com.au</v>
      </c>
      <c r="C19465" t="s">
        <v>420</v>
      </c>
      <c r="D19465" t="s">
        <v>802</v>
      </c>
      <c r="F19465">
        <v>1.6645149497772701E-8</v>
      </c>
      <c r="G19465">
        <v>3378016</v>
      </c>
      <c r="H19465">
        <v>12572381</v>
      </c>
      <c r="I19465">
        <v>16604026</v>
      </c>
      <c r="J19465">
        <v>6</v>
      </c>
    </row>
    <row r="19466" spans="1:10" x14ac:dyDescent="0.25">
      <c r="A19466" t="s">
        <v>218</v>
      </c>
      <c r="B19466" s="1" t="str">
        <f>HYPERLINK("http://acuvue.be","acuvue.be")</f>
        <v>acuvue.be</v>
      </c>
      <c r="C19466" t="s">
        <v>421</v>
      </c>
      <c r="D19466" t="s">
        <v>803</v>
      </c>
      <c r="F19466">
        <v>2.8210462984246601E-8</v>
      </c>
      <c r="G19466">
        <v>1824231</v>
      </c>
      <c r="H19466">
        <v>12199217</v>
      </c>
      <c r="I19466">
        <v>23337414</v>
      </c>
      <c r="J19466">
        <v>4</v>
      </c>
    </row>
    <row r="19467" spans="1:10" x14ac:dyDescent="0.25">
      <c r="A19467" t="s">
        <v>218</v>
      </c>
      <c r="B19467" s="1" t="str">
        <f>HYPERLINK("http://janssenpharmaceutica.be","janssenpharmaceutica.be")</f>
        <v>janssenpharmaceutica.be</v>
      </c>
      <c r="C19467" t="s">
        <v>421</v>
      </c>
      <c r="D19467" t="s">
        <v>803</v>
      </c>
      <c r="F19467">
        <v>2.8983541236213599E-8</v>
      </c>
      <c r="G19467">
        <v>1776406</v>
      </c>
      <c r="H19467">
        <v>14285142</v>
      </c>
      <c r="I19467">
        <v>1372529</v>
      </c>
      <c r="J19467">
        <v>3</v>
      </c>
    </row>
    <row r="19468" spans="1:10" x14ac:dyDescent="0.25">
      <c r="A19468" t="s">
        <v>218</v>
      </c>
      <c r="B19468" s="1" t="str">
        <f>HYPERLINK("http://jnjmedical.be","jnjmedical.be")</f>
        <v>jnjmedical.be</v>
      </c>
      <c r="C19468" t="s">
        <v>421</v>
      </c>
      <c r="D19468" t="s">
        <v>803</v>
      </c>
      <c r="F19468">
        <v>7.0434088611530402E-9</v>
      </c>
      <c r="G19468">
        <v>12183999</v>
      </c>
      <c r="H19468">
        <v>12451822</v>
      </c>
      <c r="I19468">
        <v>17974123</v>
      </c>
      <c r="J19468">
        <v>3</v>
      </c>
    </row>
    <row r="19469" spans="1:10" x14ac:dyDescent="0.25">
      <c r="A19469" t="s">
        <v>218</v>
      </c>
      <c r="B19469" s="1" t="str">
        <f>HYPERLINK("http://neutrogena.be","neutrogena.be")</f>
        <v>neutrogena.be</v>
      </c>
      <c r="C19469" t="s">
        <v>421</v>
      </c>
      <c r="D19469" t="s">
        <v>803</v>
      </c>
      <c r="F19469">
        <v>1.2862556838548E-8</v>
      </c>
      <c r="G19469">
        <v>4698049</v>
      </c>
      <c r="H19469">
        <v>13935551</v>
      </c>
      <c r="I19469">
        <v>4527779</v>
      </c>
      <c r="J19469">
        <v>4</v>
      </c>
    </row>
    <row r="19470" spans="1:10" x14ac:dyDescent="0.25">
      <c r="A19470" t="s">
        <v>218</v>
      </c>
      <c r="B19470" s="1" t="str">
        <f>HYPERLINK("http://nicorette.be","nicorette.be")</f>
        <v>nicorette.be</v>
      </c>
      <c r="C19470" t="s">
        <v>421</v>
      </c>
      <c r="D19470" t="s">
        <v>803</v>
      </c>
      <c r="F19470">
        <v>8.6180739740075303E-9</v>
      </c>
      <c r="G19470">
        <v>8624528</v>
      </c>
      <c r="H19470">
        <v>10999182</v>
      </c>
      <c r="I19470">
        <v>33598728</v>
      </c>
      <c r="J19470">
        <v>7</v>
      </c>
    </row>
    <row r="19471" spans="1:10" x14ac:dyDescent="0.25">
      <c r="A19471" t="s">
        <v>218</v>
      </c>
      <c r="B19471" s="1" t="str">
        <f>HYPERLINK("http://johnsonsbaby.bg","johnsonsbaby.bg")</f>
        <v>johnsonsbaby.bg</v>
      </c>
      <c r="C19471" t="s">
        <v>422</v>
      </c>
      <c r="D19471" t="s">
        <v>804</v>
      </c>
      <c r="F19471">
        <v>7.1227763486887601E-9</v>
      </c>
      <c r="G19471">
        <v>11951724</v>
      </c>
      <c r="H19471">
        <v>10806218</v>
      </c>
      <c r="I19471">
        <v>37979622</v>
      </c>
      <c r="J19471">
        <v>5</v>
      </c>
    </row>
    <row r="19472" spans="1:10" x14ac:dyDescent="0.25">
      <c r="A19472" t="s">
        <v>218</v>
      </c>
      <c r="B19472" s="1" t="str">
        <f>HYPERLINK("http://acuvue.com.br","acuvue.com.br")</f>
        <v>acuvue.com.br</v>
      </c>
      <c r="C19472" t="s">
        <v>425</v>
      </c>
      <c r="D19472" t="s">
        <v>806</v>
      </c>
      <c r="F19472">
        <v>1.09444348841545E-8</v>
      </c>
      <c r="G19472">
        <v>5907725</v>
      </c>
      <c r="H19472">
        <v>14126948</v>
      </c>
      <c r="I19472">
        <v>2091278</v>
      </c>
      <c r="J19472">
        <v>4</v>
      </c>
    </row>
    <row r="19473" spans="1:10" x14ac:dyDescent="0.25">
      <c r="A19473" t="s">
        <v>218</v>
      </c>
      <c r="B19473" s="1" t="str">
        <f>HYPERLINK("http://jnjbrasil.com.br","jnjbrasil.com.br")</f>
        <v>jnjbrasil.com.br</v>
      </c>
      <c r="C19473" t="s">
        <v>425</v>
      </c>
      <c r="D19473" t="s">
        <v>806</v>
      </c>
      <c r="E19473">
        <v>934037</v>
      </c>
      <c r="F19473">
        <v>3.16004047851739E-7</v>
      </c>
      <c r="G19473">
        <v>117654</v>
      </c>
      <c r="H19473">
        <v>14591942</v>
      </c>
      <c r="I19473">
        <v>694061</v>
      </c>
      <c r="J19473">
        <v>3</v>
      </c>
    </row>
    <row r="19474" spans="1:10" x14ac:dyDescent="0.25">
      <c r="A19474" t="s">
        <v>218</v>
      </c>
      <c r="B19474" s="1" t="str">
        <f>HYPERLINK("http://johnsonsbaby.com.br","johnsonsbaby.com.br")</f>
        <v>johnsonsbaby.com.br</v>
      </c>
      <c r="C19474" t="s">
        <v>425</v>
      </c>
      <c r="D19474" t="s">
        <v>806</v>
      </c>
      <c r="F19474">
        <v>2.3373850342716201E-8</v>
      </c>
      <c r="G19474">
        <v>2231149</v>
      </c>
      <c r="H19474">
        <v>13885115</v>
      </c>
      <c r="I19474">
        <v>5971154</v>
      </c>
      <c r="J19474">
        <v>4</v>
      </c>
    </row>
    <row r="19475" spans="1:10" x14ac:dyDescent="0.25">
      <c r="A19475" t="s">
        <v>218</v>
      </c>
      <c r="B19475" s="1" t="str">
        <f>HYPERLINK("http://listerine.com.br","listerine.com.br")</f>
        <v>listerine.com.br</v>
      </c>
      <c r="C19475" t="s">
        <v>425</v>
      </c>
      <c r="D19475" t="s">
        <v>806</v>
      </c>
      <c r="F19475">
        <v>1.32366007206737E-8</v>
      </c>
      <c r="G19475">
        <v>4522138</v>
      </c>
      <c r="H19475">
        <v>14236077</v>
      </c>
      <c r="I19475">
        <v>1613538</v>
      </c>
      <c r="J19475">
        <v>4</v>
      </c>
    </row>
    <row r="19476" spans="1:10" x14ac:dyDescent="0.25">
      <c r="A19476" t="s">
        <v>218</v>
      </c>
      <c r="B19476" s="1" t="str">
        <f>HYPERLINK("http://neutrogena.com.br","neutrogena.com.br")</f>
        <v>neutrogena.com.br</v>
      </c>
      <c r="C19476" t="s">
        <v>425</v>
      </c>
      <c r="D19476" t="s">
        <v>806</v>
      </c>
      <c r="F19476">
        <v>9.6995477146708495E-9</v>
      </c>
      <c r="G19476">
        <v>7081034</v>
      </c>
      <c r="H19476">
        <v>14119754</v>
      </c>
      <c r="I19476">
        <v>2460655</v>
      </c>
      <c r="J19476">
        <v>5</v>
      </c>
    </row>
    <row r="19477" spans="1:10" x14ac:dyDescent="0.25">
      <c r="A19477" t="s">
        <v>218</v>
      </c>
      <c r="B19477" s="1" t="str">
        <f>HYPERLINK("http://acuvue.ca","acuvue.ca")</f>
        <v>acuvue.ca</v>
      </c>
      <c r="C19477" t="s">
        <v>428</v>
      </c>
      <c r="D19477" t="s">
        <v>809</v>
      </c>
      <c r="F19477">
        <v>5.1372542786485701E-8</v>
      </c>
      <c r="G19477">
        <v>891007</v>
      </c>
      <c r="H19477">
        <v>13282421</v>
      </c>
      <c r="I19477">
        <v>10905689</v>
      </c>
      <c r="J19477">
        <v>4</v>
      </c>
    </row>
    <row r="19478" spans="1:10" x14ac:dyDescent="0.25">
      <c r="A19478" t="s">
        <v>218</v>
      </c>
      <c r="B19478" s="1" t="str">
        <f>HYPERLINK("http://aveeno.ca","aveeno.ca")</f>
        <v>aveeno.ca</v>
      </c>
      <c r="C19478" t="s">
        <v>428</v>
      </c>
      <c r="D19478" t="s">
        <v>809</v>
      </c>
      <c r="E19478">
        <v>739035</v>
      </c>
      <c r="F19478">
        <v>2.4826812683377299E-8</v>
      </c>
      <c r="G19478">
        <v>2082861</v>
      </c>
      <c r="H19478">
        <v>13800331</v>
      </c>
      <c r="I19478">
        <v>6280144</v>
      </c>
      <c r="J19478">
        <v>6</v>
      </c>
    </row>
    <row r="19479" spans="1:10" x14ac:dyDescent="0.25">
      <c r="A19479" t="s">
        <v>218</v>
      </c>
      <c r="B19479" s="1" t="str">
        <f>HYPERLINK("http://johnsonsbaby.ca","johnsonsbaby.ca")</f>
        <v>johnsonsbaby.ca</v>
      </c>
      <c r="C19479" t="s">
        <v>428</v>
      </c>
      <c r="D19479" t="s">
        <v>809</v>
      </c>
      <c r="F19479">
        <v>2.7212629890720201E-8</v>
      </c>
      <c r="G19479">
        <v>1889434</v>
      </c>
      <c r="H19479">
        <v>12699046</v>
      </c>
      <c r="I19479">
        <v>15365062</v>
      </c>
      <c r="J19479">
        <v>4</v>
      </c>
    </row>
    <row r="19480" spans="1:10" x14ac:dyDescent="0.25">
      <c r="A19480" t="s">
        <v>218</v>
      </c>
      <c r="B19480" s="1" t="str">
        <f>HYPERLINK("http://listerine.ca","listerine.ca")</f>
        <v>listerine.ca</v>
      </c>
      <c r="C19480" t="s">
        <v>428</v>
      </c>
      <c r="D19480" t="s">
        <v>809</v>
      </c>
      <c r="F19480">
        <v>3.2895173942684603E-8</v>
      </c>
      <c r="G19480">
        <v>1570664</v>
      </c>
      <c r="H19480">
        <v>14009067</v>
      </c>
      <c r="I19480">
        <v>4002387</v>
      </c>
      <c r="J19480">
        <v>4</v>
      </c>
    </row>
    <row r="19481" spans="1:10" x14ac:dyDescent="0.25">
      <c r="A19481" t="s">
        <v>218</v>
      </c>
      <c r="B19481" s="1" t="str">
        <f>HYPERLINK("http://neostrata.ca","neostrata.ca")</f>
        <v>neostrata.ca</v>
      </c>
      <c r="C19481" t="s">
        <v>428</v>
      </c>
      <c r="D19481" t="s">
        <v>809</v>
      </c>
      <c r="F19481">
        <v>2.78416038438743E-7</v>
      </c>
      <c r="G19481">
        <v>133619</v>
      </c>
      <c r="H19481">
        <v>14600363</v>
      </c>
      <c r="I19481">
        <v>686004</v>
      </c>
      <c r="J19481">
        <v>4</v>
      </c>
    </row>
    <row r="19482" spans="1:10" x14ac:dyDescent="0.25">
      <c r="A19482" t="s">
        <v>218</v>
      </c>
      <c r="B19482" s="1" t="str">
        <f>HYPERLINK("http://nicorette.ca","nicorette.ca")</f>
        <v>nicorette.ca</v>
      </c>
      <c r="C19482" t="s">
        <v>428</v>
      </c>
      <c r="D19482" t="s">
        <v>809</v>
      </c>
      <c r="F19482">
        <v>1.74355759488942E-8</v>
      </c>
      <c r="G19482">
        <v>3163448</v>
      </c>
      <c r="H19482">
        <v>14125061</v>
      </c>
      <c r="I19482">
        <v>2129580</v>
      </c>
      <c r="J19482">
        <v>5</v>
      </c>
    </row>
    <row r="19483" spans="1:10" x14ac:dyDescent="0.25">
      <c r="A19483" t="s">
        <v>218</v>
      </c>
      <c r="B19483" s="1" t="str">
        <f>HYPERLINK("http://acuvue.ch","acuvue.ch")</f>
        <v>acuvue.ch</v>
      </c>
      <c r="C19483" t="s">
        <v>429</v>
      </c>
      <c r="D19483" t="s">
        <v>810</v>
      </c>
      <c r="F19483">
        <v>2.7075369169780701E-8</v>
      </c>
      <c r="G19483">
        <v>1899470</v>
      </c>
      <c r="H19483">
        <v>12195348</v>
      </c>
      <c r="I19483">
        <v>23442754</v>
      </c>
      <c r="J19483">
        <v>4</v>
      </c>
    </row>
    <row r="19484" spans="1:10" x14ac:dyDescent="0.25">
      <c r="A19484" t="s">
        <v>218</v>
      </c>
      <c r="B19484" s="1" t="str">
        <f>HYPERLINK("http://bernabiotech.ch","bernabiotech.ch")</f>
        <v>bernabiotech.ch</v>
      </c>
      <c r="C19484" t="s">
        <v>429</v>
      </c>
      <c r="D19484" t="s">
        <v>810</v>
      </c>
      <c r="F19484">
        <v>5.97174825643297E-9</v>
      </c>
      <c r="G19484">
        <v>16870484</v>
      </c>
      <c r="H19484">
        <v>12900834</v>
      </c>
      <c r="I19484">
        <v>13863037</v>
      </c>
      <c r="J19484">
        <v>4</v>
      </c>
    </row>
    <row r="19485" spans="1:10" x14ac:dyDescent="0.25">
      <c r="A19485" t="s">
        <v>218</v>
      </c>
      <c r="B19485" s="1" t="str">
        <f>HYPERLINK("http://cilag.ch","cilag.ch")</f>
        <v>cilag.ch</v>
      </c>
      <c r="C19485" t="s">
        <v>429</v>
      </c>
      <c r="D19485" t="s">
        <v>810</v>
      </c>
      <c r="F19485">
        <v>2.0954558188602801E-8</v>
      </c>
      <c r="G19485">
        <v>2522050</v>
      </c>
      <c r="H19485">
        <v>14075370</v>
      </c>
      <c r="I19485">
        <v>2910972</v>
      </c>
      <c r="J19485">
        <v>3</v>
      </c>
    </row>
    <row r="19486" spans="1:10" x14ac:dyDescent="0.25">
      <c r="A19486" t="s">
        <v>218</v>
      </c>
      <c r="B19486" s="1" t="str">
        <f>HYPERLINK("http://jnj.ch","jnj.ch")</f>
        <v>jnj.ch</v>
      </c>
      <c r="C19486" t="s">
        <v>429</v>
      </c>
      <c r="D19486" t="s">
        <v>810</v>
      </c>
      <c r="F19486">
        <v>5.0964116432425198E-8</v>
      </c>
      <c r="G19486">
        <v>899648</v>
      </c>
      <c r="H19486">
        <v>13562322</v>
      </c>
      <c r="I19486">
        <v>9844936</v>
      </c>
      <c r="J19486">
        <v>2</v>
      </c>
    </row>
    <row r="19487" spans="1:10" x14ac:dyDescent="0.25">
      <c r="A19487" t="s">
        <v>218</v>
      </c>
      <c r="B19487" s="1" t="str">
        <f>HYPERLINK("http://nicorette.ch","nicorette.ch")</f>
        <v>nicorette.ch</v>
      </c>
      <c r="C19487" t="s">
        <v>429</v>
      </c>
      <c r="D19487" t="s">
        <v>810</v>
      </c>
      <c r="F19487">
        <v>8.7404259573977295E-9</v>
      </c>
      <c r="G19487">
        <v>8408848</v>
      </c>
      <c r="H19487">
        <v>12364505</v>
      </c>
      <c r="I19487">
        <v>19507420</v>
      </c>
      <c r="J19487">
        <v>6</v>
      </c>
    </row>
    <row r="19488" spans="1:10" x14ac:dyDescent="0.25">
      <c r="A19488" t="s">
        <v>218</v>
      </c>
      <c r="B19488" s="1" t="str">
        <f>HYPERLINK("http://acuvue.cl","acuvue.cl")</f>
        <v>acuvue.cl</v>
      </c>
      <c r="C19488" t="s">
        <v>430</v>
      </c>
      <c r="D19488" t="s">
        <v>811</v>
      </c>
      <c r="F19488">
        <v>9.9815119142992194E-9</v>
      </c>
      <c r="G19488">
        <v>6774175</v>
      </c>
      <c r="H19488">
        <v>10765837</v>
      </c>
      <c r="I19488">
        <v>39415111</v>
      </c>
      <c r="J19488">
        <v>4</v>
      </c>
    </row>
    <row r="19489" spans="1:10" x14ac:dyDescent="0.25">
      <c r="A19489" t="s">
        <v>218</v>
      </c>
      <c r="B19489" s="1" t="str">
        <f>HYPERLINK("http://johnsonsbaby.cl","johnsonsbaby.cl")</f>
        <v>johnsonsbaby.cl</v>
      </c>
      <c r="C19489" t="s">
        <v>430</v>
      </c>
      <c r="D19489" t="s">
        <v>811</v>
      </c>
      <c r="F19489">
        <v>2.1715841495014101E-8</v>
      </c>
      <c r="G19489">
        <v>2421810</v>
      </c>
      <c r="H19489">
        <v>12335121</v>
      </c>
      <c r="I19489">
        <v>20101742</v>
      </c>
      <c r="J19489">
        <v>4</v>
      </c>
    </row>
    <row r="19490" spans="1:10" x14ac:dyDescent="0.25">
      <c r="A19490" t="s">
        <v>218</v>
      </c>
      <c r="B19490" s="1" t="str">
        <f>HYPERLINK("http://neutrogena.cl","neutrogena.cl")</f>
        <v>neutrogena.cl</v>
      </c>
      <c r="C19490" t="s">
        <v>430</v>
      </c>
      <c r="D19490" t="s">
        <v>811</v>
      </c>
      <c r="F19490">
        <v>5.8233038152797104E-9</v>
      </c>
      <c r="G19490">
        <v>17913533</v>
      </c>
      <c r="H19490">
        <v>10540985</v>
      </c>
      <c r="I19490">
        <v>47221369</v>
      </c>
      <c r="J19490">
        <v>5</v>
      </c>
    </row>
    <row r="19491" spans="1:10" x14ac:dyDescent="0.25">
      <c r="A19491" t="s">
        <v>218</v>
      </c>
      <c r="B19491" s="1" t="str">
        <f>HYPERLINK("http://acuvue.com.cn","acuvue.com.cn")</f>
        <v>acuvue.com.cn</v>
      </c>
      <c r="C19491" t="s">
        <v>431</v>
      </c>
      <c r="D19491" t="s">
        <v>812</v>
      </c>
      <c r="F19491">
        <v>1.3915313136214299E-8</v>
      </c>
      <c r="G19491">
        <v>4235119</v>
      </c>
      <c r="H19491">
        <v>11234081</v>
      </c>
      <c r="I19491">
        <v>31001058</v>
      </c>
      <c r="J19491">
        <v>5</v>
      </c>
    </row>
    <row r="19492" spans="1:10" x14ac:dyDescent="0.25">
      <c r="A19492" t="s">
        <v>218</v>
      </c>
      <c r="B19492" s="1" t="str">
        <f>HYPERLINK("http://aveeno.com.cn","aveeno.com.cn")</f>
        <v>aveeno.com.cn</v>
      </c>
      <c r="C19492" t="s">
        <v>431</v>
      </c>
      <c r="D19492" t="s">
        <v>812</v>
      </c>
      <c r="F19492">
        <v>9.9336999305388995E-9</v>
      </c>
      <c r="G19492">
        <v>6823274</v>
      </c>
      <c r="H19492">
        <v>11109165</v>
      </c>
      <c r="I19492">
        <v>32169173</v>
      </c>
      <c r="J19492">
        <v>7</v>
      </c>
    </row>
    <row r="19493" spans="1:10" x14ac:dyDescent="0.25">
      <c r="A19493" t="s">
        <v>218</v>
      </c>
      <c r="B19493" s="1" t="str">
        <f>HYPERLINK("http://bioseal.com.cn","bioseal.com.cn")</f>
        <v>bioseal.com.cn</v>
      </c>
      <c r="C19493" t="s">
        <v>431</v>
      </c>
      <c r="D19493" t="s">
        <v>812</v>
      </c>
      <c r="F19493">
        <v>7.0858286739141403E-9</v>
      </c>
      <c r="G19493">
        <v>12055439</v>
      </c>
      <c r="H19493">
        <v>10603612</v>
      </c>
      <c r="I19493">
        <v>44761036</v>
      </c>
      <c r="J19493">
        <v>3</v>
      </c>
    </row>
    <row r="19494" spans="1:10" x14ac:dyDescent="0.25">
      <c r="A19494" t="s">
        <v>218</v>
      </c>
      <c r="B19494" s="1" t="str">
        <f>HYPERLINK("http://jjmc.com.cn","jjmc.com.cn")</f>
        <v>jjmc.com.cn</v>
      </c>
      <c r="C19494" t="s">
        <v>431</v>
      </c>
      <c r="D19494" t="s">
        <v>812</v>
      </c>
      <c r="F19494">
        <v>1.68508488351858E-8</v>
      </c>
      <c r="G19494">
        <v>3321055</v>
      </c>
      <c r="H19494">
        <v>13046439</v>
      </c>
      <c r="I19494">
        <v>12603566</v>
      </c>
      <c r="J19494">
        <v>4</v>
      </c>
    </row>
    <row r="19495" spans="1:10" x14ac:dyDescent="0.25">
      <c r="A19495" t="s">
        <v>218</v>
      </c>
      <c r="B19495" s="1" t="str">
        <f>HYPERLINK("http://jnj.com.cn","jnj.com.cn")</f>
        <v>jnj.com.cn</v>
      </c>
      <c r="C19495" t="s">
        <v>431</v>
      </c>
      <c r="D19495" t="s">
        <v>812</v>
      </c>
      <c r="E19495">
        <v>551608</v>
      </c>
      <c r="F19495">
        <v>5.9811494028938494E-8</v>
      </c>
      <c r="G19495">
        <v>738545</v>
      </c>
      <c r="H19495">
        <v>14249943</v>
      </c>
      <c r="I19495">
        <v>1448239</v>
      </c>
      <c r="J19495">
        <v>2</v>
      </c>
    </row>
    <row r="19496" spans="1:10" x14ac:dyDescent="0.25">
      <c r="A19496" t="s">
        <v>218</v>
      </c>
      <c r="B19496" s="1" t="str">
        <f>HYPERLINK("http://johnsonsbaby.com.cn","johnsonsbaby.com.cn")</f>
        <v>johnsonsbaby.com.cn</v>
      </c>
      <c r="C19496" t="s">
        <v>431</v>
      </c>
      <c r="D19496" t="s">
        <v>812</v>
      </c>
      <c r="F19496">
        <v>2.6595262717529999E-8</v>
      </c>
      <c r="G19496">
        <v>1935608</v>
      </c>
      <c r="H19496">
        <v>12536244</v>
      </c>
      <c r="I19496">
        <v>16975780</v>
      </c>
      <c r="J19496">
        <v>4</v>
      </c>
    </row>
    <row r="19497" spans="1:10" x14ac:dyDescent="0.25">
      <c r="A19497" t="s">
        <v>218</v>
      </c>
      <c r="B19497" s="1" t="str">
        <f>HYPERLINK("http://listerine.com.cn","listerine.com.cn")</f>
        <v>listerine.com.cn</v>
      </c>
      <c r="C19497" t="s">
        <v>431</v>
      </c>
      <c r="D19497" t="s">
        <v>812</v>
      </c>
      <c r="F19497">
        <v>1.42564192716542E-8</v>
      </c>
      <c r="G19497">
        <v>4108860</v>
      </c>
      <c r="H19497">
        <v>11076819</v>
      </c>
      <c r="I19497">
        <v>32511873</v>
      </c>
      <c r="J19497">
        <v>4</v>
      </c>
    </row>
    <row r="19498" spans="1:10" x14ac:dyDescent="0.25">
      <c r="A19498" t="s">
        <v>218</v>
      </c>
      <c r="B19498" s="1" t="str">
        <f>HYPERLINK("http://neutrogena.com.cn","neutrogena.com.cn")</f>
        <v>neutrogena.com.cn</v>
      </c>
      <c r="C19498" t="s">
        <v>431</v>
      </c>
      <c r="D19498" t="s">
        <v>812</v>
      </c>
      <c r="F19498">
        <v>1.6381904233296002E-8</v>
      </c>
      <c r="G19498">
        <v>3450459</v>
      </c>
      <c r="H19498">
        <v>11330923</v>
      </c>
      <c r="I19498">
        <v>30460256</v>
      </c>
      <c r="J19498">
        <v>4</v>
      </c>
    </row>
    <row r="19499" spans="1:10" x14ac:dyDescent="0.25">
      <c r="A19499" t="s">
        <v>218</v>
      </c>
      <c r="B19499" s="1" t="str">
        <f>HYPERLINK("http://xian-janssen.com.cn","xian-janssen.com.cn")</f>
        <v>xian-janssen.com.cn</v>
      </c>
      <c r="C19499" t="s">
        <v>431</v>
      </c>
      <c r="D19499" t="s">
        <v>812</v>
      </c>
      <c r="E19499">
        <v>873671</v>
      </c>
      <c r="F19499">
        <v>1.5266821967492401E-7</v>
      </c>
      <c r="G19499">
        <v>254405</v>
      </c>
      <c r="H19499">
        <v>13599464</v>
      </c>
      <c r="I19499">
        <v>9651304</v>
      </c>
      <c r="J19499">
        <v>3</v>
      </c>
    </row>
    <row r="19500" spans="1:10" x14ac:dyDescent="0.25">
      <c r="A19500" t="s">
        <v>218</v>
      </c>
      <c r="B19500" s="1" t="str">
        <f>HYPERLINK("http://jjmc.cn","jjmc.cn")</f>
        <v>jjmc.cn</v>
      </c>
      <c r="C19500" t="s">
        <v>431</v>
      </c>
      <c r="D19500" t="s">
        <v>812</v>
      </c>
      <c r="F19500">
        <v>9.3060504690984996E-9</v>
      </c>
      <c r="G19500">
        <v>7564514</v>
      </c>
      <c r="H19500">
        <v>10748002</v>
      </c>
      <c r="I19500">
        <v>40145024</v>
      </c>
      <c r="J19500">
        <v>3</v>
      </c>
    </row>
    <row r="19501" spans="1:10" x14ac:dyDescent="0.25">
      <c r="A19501" t="s">
        <v>218</v>
      </c>
      <c r="B19501" s="1" t="str">
        <f>HYPERLINK("http://jnjmedicaldevices.cn","jnjmedicaldevices.cn")</f>
        <v>jnjmedicaldevices.cn</v>
      </c>
      <c r="C19501" t="s">
        <v>431</v>
      </c>
      <c r="D19501" t="s">
        <v>812</v>
      </c>
      <c r="F19501">
        <v>1.1817517936528601E-8</v>
      </c>
      <c r="G19501">
        <v>5291181</v>
      </c>
      <c r="H19501">
        <v>10853956</v>
      </c>
      <c r="I19501">
        <v>36777223</v>
      </c>
      <c r="J19501">
        <v>6</v>
      </c>
    </row>
    <row r="19502" spans="1:10" x14ac:dyDescent="0.25">
      <c r="A19502" t="s">
        <v>218</v>
      </c>
      <c r="B19502" s="1" t="str">
        <f>HYPERLINK("http://acuvue.com.co","acuvue.com.co")</f>
        <v>acuvue.com.co</v>
      </c>
      <c r="C19502" t="s">
        <v>432</v>
      </c>
      <c r="F19502">
        <v>1.0268600092810499E-8</v>
      </c>
      <c r="G19502">
        <v>6480688</v>
      </c>
      <c r="H19502">
        <v>10602288</v>
      </c>
      <c r="I19502">
        <v>44815763</v>
      </c>
      <c r="J19502">
        <v>4</v>
      </c>
    </row>
    <row r="19503" spans="1:10" x14ac:dyDescent="0.25">
      <c r="A19503" t="s">
        <v>218</v>
      </c>
      <c r="B19503" s="1" t="str">
        <f>HYPERLINK("http://jnjcolombia.com.co","jnjcolombia.com.co")</f>
        <v>jnjcolombia.com.co</v>
      </c>
      <c r="C19503" t="s">
        <v>432</v>
      </c>
      <c r="F19503">
        <v>5.6742363239409604E-9</v>
      </c>
      <c r="G19503">
        <v>19180497</v>
      </c>
      <c r="H19503">
        <v>12403353</v>
      </c>
      <c r="I19503">
        <v>18721753</v>
      </c>
      <c r="J19503">
        <v>3</v>
      </c>
    </row>
    <row r="19504" spans="1:10" x14ac:dyDescent="0.25">
      <c r="A19504" t="s">
        <v>218</v>
      </c>
      <c r="B19504" s="1" t="str">
        <f>HYPERLINK("http://johnsonsbaby.com.co","johnsonsbaby.com.co")</f>
        <v>johnsonsbaby.com.co</v>
      </c>
      <c r="C19504" t="s">
        <v>432</v>
      </c>
      <c r="F19504">
        <v>2.80604946404409E-8</v>
      </c>
      <c r="G19504">
        <v>1833488</v>
      </c>
      <c r="H19504">
        <v>12680075</v>
      </c>
      <c r="I19504">
        <v>15498721</v>
      </c>
      <c r="J19504">
        <v>4</v>
      </c>
    </row>
    <row r="19505" spans="1:10" x14ac:dyDescent="0.25">
      <c r="A19505" t="s">
        <v>218</v>
      </c>
      <c r="B19505" s="1" t="str">
        <f>HYPERLINK("http://listerine.com.co","listerine.com.co")</f>
        <v>listerine.com.co</v>
      </c>
      <c r="C19505" t="s">
        <v>432</v>
      </c>
      <c r="F19505">
        <v>1.9806991307295599E-8</v>
      </c>
      <c r="G19505">
        <v>2692051</v>
      </c>
      <c r="H19505">
        <v>13012812</v>
      </c>
      <c r="I19505">
        <v>12741428</v>
      </c>
      <c r="J19505">
        <v>4</v>
      </c>
    </row>
    <row r="19506" spans="1:10" x14ac:dyDescent="0.25">
      <c r="A19506" t="s">
        <v>218</v>
      </c>
      <c r="B19506" s="1" t="str">
        <f>HYPERLINK("http://neutrogena.com.co","neutrogena.com.co")</f>
        <v>neutrogena.com.co</v>
      </c>
      <c r="C19506" t="s">
        <v>432</v>
      </c>
      <c r="F19506">
        <v>7.9563915621224594E-9</v>
      </c>
      <c r="G19506">
        <v>10001691</v>
      </c>
      <c r="H19506">
        <v>10581331</v>
      </c>
      <c r="I19506">
        <v>45785834</v>
      </c>
      <c r="J19506">
        <v>5</v>
      </c>
    </row>
    <row r="19507" spans="1:10" x14ac:dyDescent="0.25">
      <c r="A19507" t="s">
        <v>218</v>
      </c>
      <c r="B19507" s="1" t="str">
        <f>HYPERLINK("http://listerine.co","listerine.co")</f>
        <v>listerine.co</v>
      </c>
      <c r="C19507" t="s">
        <v>432</v>
      </c>
      <c r="F19507">
        <v>5.30640994938724E-9</v>
      </c>
      <c r="G19507">
        <v>23399640</v>
      </c>
      <c r="H19507">
        <v>10607557</v>
      </c>
      <c r="I19507">
        <v>44637174</v>
      </c>
      <c r="J19507">
        <v>5</v>
      </c>
    </row>
    <row r="19508" spans="1:10" x14ac:dyDescent="0.25">
      <c r="A19508" t="s">
        <v>218</v>
      </c>
      <c r="B19508" s="1" t="str">
        <f>HYPERLINK("http://abiomed.com","abiomed.com")</f>
        <v>abiomed.com</v>
      </c>
      <c r="C19508" t="s">
        <v>433</v>
      </c>
      <c r="E19508">
        <v>169318</v>
      </c>
      <c r="F19508">
        <v>1.4612911239568901E-7</v>
      </c>
      <c r="G19508">
        <v>266395</v>
      </c>
      <c r="H19508">
        <v>14632822</v>
      </c>
      <c r="I19508">
        <v>643269</v>
      </c>
      <c r="J19508">
        <v>3</v>
      </c>
    </row>
    <row r="19509" spans="1:10" x14ac:dyDescent="0.25">
      <c r="A19509" t="s">
        <v>218</v>
      </c>
      <c r="B19509" s="1" t="str">
        <f>HYPERLINK("http://acclarent.com","acclarent.com")</f>
        <v>acclarent.com</v>
      </c>
      <c r="C19509" t="s">
        <v>433</v>
      </c>
      <c r="F19509">
        <v>2.7173505081243999E-8</v>
      </c>
      <c r="G19509">
        <v>1892232</v>
      </c>
      <c r="H19509">
        <v>13795163</v>
      </c>
      <c r="I19509">
        <v>6311256</v>
      </c>
      <c r="J19509">
        <v>3</v>
      </c>
    </row>
    <row r="19510" spans="1:10" x14ac:dyDescent="0.25">
      <c r="A19510" t="s">
        <v>218</v>
      </c>
      <c r="B19510" s="1" t="str">
        <f>HYPERLINK("http://actelion.com","actelion.com")</f>
        <v>actelion.com</v>
      </c>
      <c r="C19510" t="s">
        <v>433</v>
      </c>
      <c r="E19510">
        <v>735694</v>
      </c>
      <c r="F19510">
        <v>1.42965237926651E-7</v>
      </c>
      <c r="G19510">
        <v>272306</v>
      </c>
      <c r="H19510">
        <v>16983314</v>
      </c>
      <c r="I19510">
        <v>97747</v>
      </c>
      <c r="J19510">
        <v>3</v>
      </c>
    </row>
    <row r="19511" spans="1:10" x14ac:dyDescent="0.25">
      <c r="A19511" t="s">
        <v>218</v>
      </c>
      <c r="B19511" s="1" t="str">
        <f>HYPERLINK("http://acuvue.com","acuvue.com")</f>
        <v>acuvue.com</v>
      </c>
      <c r="C19511" t="s">
        <v>433</v>
      </c>
      <c r="E19511">
        <v>193424</v>
      </c>
      <c r="F19511">
        <v>2.46088341661801E-7</v>
      </c>
      <c r="G19511">
        <v>152031</v>
      </c>
      <c r="H19511">
        <v>14248632</v>
      </c>
      <c r="I19511">
        <v>1452347</v>
      </c>
      <c r="J19511">
        <v>3</v>
      </c>
    </row>
    <row r="19512" spans="1:10" x14ac:dyDescent="0.25">
      <c r="A19512" t="s">
        <v>218</v>
      </c>
      <c r="B19512" s="1" t="str">
        <f>HYPERLINK("http://aliosbiopharma.com","aliosbiopharma.com")</f>
        <v>aliosbiopharma.com</v>
      </c>
      <c r="C19512" t="s">
        <v>433</v>
      </c>
      <c r="F19512">
        <v>1.03350892952385E-8</v>
      </c>
      <c r="G19512">
        <v>6418215</v>
      </c>
      <c r="H19512">
        <v>13800287</v>
      </c>
      <c r="I19512">
        <v>6280381</v>
      </c>
      <c r="J19512">
        <v>4</v>
      </c>
    </row>
    <row r="19513" spans="1:10" x14ac:dyDescent="0.25">
      <c r="A19513" t="s">
        <v>218</v>
      </c>
      <c r="B19513" s="1" t="str">
        <f>HYPERLINK("http://amo-eyecare.com","amo-eyecare.com")</f>
        <v>amo-eyecare.com</v>
      </c>
      <c r="C19513" t="s">
        <v>433</v>
      </c>
      <c r="F19513">
        <v>4.6097512346816396E-9</v>
      </c>
      <c r="G19513">
        <v>46862436</v>
      </c>
      <c r="H19513">
        <v>10931460</v>
      </c>
      <c r="I19513">
        <v>35036299</v>
      </c>
      <c r="J19513">
        <v>3</v>
      </c>
    </row>
    <row r="19514" spans="1:10" x14ac:dyDescent="0.25">
      <c r="A19514" t="s">
        <v>218</v>
      </c>
      <c r="B19514" s="1" t="str">
        <f>HYPERLINK("http://amo-inc.com","amo-inc.com")</f>
        <v>amo-inc.com</v>
      </c>
      <c r="C19514" t="s">
        <v>433</v>
      </c>
      <c r="F19514">
        <v>3.6384807576925502E-8</v>
      </c>
      <c r="G19514">
        <v>1434369</v>
      </c>
      <c r="H19514">
        <v>14262687</v>
      </c>
      <c r="I19514">
        <v>1414311</v>
      </c>
      <c r="J19514">
        <v>3</v>
      </c>
    </row>
    <row r="19515" spans="1:10" x14ac:dyDescent="0.25">
      <c r="A19515" t="s">
        <v>218</v>
      </c>
      <c r="B19515" s="1" t="str">
        <f>HYPERLINK("http://animascorp.com","animascorp.com")</f>
        <v>animascorp.com</v>
      </c>
      <c r="C19515" t="s">
        <v>433</v>
      </c>
      <c r="E19515">
        <v>596700</v>
      </c>
      <c r="F19515">
        <v>1.7038869759447301E-8</v>
      </c>
      <c r="G19515">
        <v>3274369</v>
      </c>
      <c r="H19515">
        <v>14204773</v>
      </c>
      <c r="I19515">
        <v>1713549</v>
      </c>
      <c r="J19515">
        <v>4</v>
      </c>
    </row>
    <row r="19516" spans="1:10" x14ac:dyDescent="0.25">
      <c r="A19516" t="s">
        <v>218</v>
      </c>
      <c r="B19516" s="1" t="str">
        <f>HYPERLINK("http://aurishealth.com","aurishealth.com")</f>
        <v>aurishealth.com</v>
      </c>
      <c r="C19516" t="s">
        <v>433</v>
      </c>
      <c r="F19516">
        <v>5.5106077405171201E-8</v>
      </c>
      <c r="G19516">
        <v>815745</v>
      </c>
      <c r="H19516">
        <v>13784598</v>
      </c>
      <c r="I19516">
        <v>6411095</v>
      </c>
      <c r="J19516">
        <v>3</v>
      </c>
    </row>
    <row r="19517" spans="1:10" x14ac:dyDescent="0.25">
      <c r="A19517" t="s">
        <v>218</v>
      </c>
      <c r="B19517" s="1" t="str">
        <f>HYPERLINK("http://aurisrobotics.com","aurisrobotics.com")</f>
        <v>aurisrobotics.com</v>
      </c>
      <c r="C19517" t="s">
        <v>433</v>
      </c>
      <c r="F19517">
        <v>1.14447736264762E-8</v>
      </c>
      <c r="G19517">
        <v>5543077</v>
      </c>
      <c r="H19517">
        <v>13462470</v>
      </c>
      <c r="I19517">
        <v>10149261</v>
      </c>
      <c r="J19517">
        <v>6</v>
      </c>
    </row>
    <row r="19518" spans="1:10" x14ac:dyDescent="0.25">
      <c r="A19518" t="s">
        <v>218</v>
      </c>
      <c r="B19518" s="1" t="str">
        <f>HYPERLINK("http://aveeno.com","aveeno.com")</f>
        <v>aveeno.com</v>
      </c>
      <c r="C19518" t="s">
        <v>433</v>
      </c>
      <c r="E19518">
        <v>91303</v>
      </c>
      <c r="F19518">
        <v>2.82204276452408E-7</v>
      </c>
      <c r="G19518">
        <v>131781</v>
      </c>
      <c r="H19518">
        <v>14879665</v>
      </c>
      <c r="I19518">
        <v>472997</v>
      </c>
      <c r="J19518">
        <v>6</v>
      </c>
    </row>
    <row r="19519" spans="1:10" x14ac:dyDescent="0.25">
      <c r="A19519" t="s">
        <v>218</v>
      </c>
      <c r="B19519" s="1" t="str">
        <f>HYPERLINK("http://benevir.com","benevir.com")</f>
        <v>benevir.com</v>
      </c>
      <c r="C19519" t="s">
        <v>433</v>
      </c>
      <c r="F19519">
        <v>6.7664074329210398E-9</v>
      </c>
      <c r="G19519">
        <v>13073718</v>
      </c>
      <c r="H19519">
        <v>12308223</v>
      </c>
      <c r="I19519">
        <v>20673120</v>
      </c>
      <c r="J19519">
        <v>3</v>
      </c>
    </row>
    <row r="19520" spans="1:10" x14ac:dyDescent="0.25">
      <c r="A19520" t="s">
        <v>218</v>
      </c>
      <c r="B19520" s="1" t="str">
        <f>HYPERLINK("http://biosensewebster.com","biosensewebster.com")</f>
        <v>biosensewebster.com</v>
      </c>
      <c r="C19520" t="s">
        <v>433</v>
      </c>
      <c r="F19520">
        <v>5.1127166807626002E-8</v>
      </c>
      <c r="G19520">
        <v>896171</v>
      </c>
      <c r="H19520">
        <v>14317280</v>
      </c>
      <c r="I19520">
        <v>1334354</v>
      </c>
      <c r="J19520">
        <v>3</v>
      </c>
    </row>
    <row r="19521" spans="1:10" x14ac:dyDescent="0.25">
      <c r="A19521" t="s">
        <v>218</v>
      </c>
      <c r="B19521" s="1" t="str">
        <f>HYPERLINK("http://cerenovus.com","cerenovus.com")</f>
        <v>cerenovus.com</v>
      </c>
      <c r="C19521" t="s">
        <v>433</v>
      </c>
      <c r="F19521">
        <v>1.45966865501526E-8</v>
      </c>
      <c r="G19521">
        <v>3978063</v>
      </c>
      <c r="H19521">
        <v>12615927</v>
      </c>
      <c r="I19521">
        <v>16129595</v>
      </c>
      <c r="J19521">
        <v>8</v>
      </c>
    </row>
    <row r="19522" spans="1:10" x14ac:dyDescent="0.25">
      <c r="A19522" t="s">
        <v>218</v>
      </c>
      <c r="B19522" s="1" t="str">
        <f>HYPERLINK("http://coherex.com","coherex.com")</f>
        <v>coherex.com</v>
      </c>
      <c r="C19522" t="s">
        <v>433</v>
      </c>
      <c r="F19522">
        <v>6.9170408084547303E-9</v>
      </c>
      <c r="G19522">
        <v>12567806</v>
      </c>
      <c r="H19522">
        <v>12675621</v>
      </c>
      <c r="I19522">
        <v>15555253</v>
      </c>
      <c r="J19522">
        <v>3</v>
      </c>
    </row>
    <row r="19523" spans="1:10" x14ac:dyDescent="0.25">
      <c r="A19523" t="s">
        <v>218</v>
      </c>
      <c r="B19523" s="1" t="str">
        <f>HYPERLINK("http://colbar.com","colbar.com")</f>
        <v>colbar.com</v>
      </c>
      <c r="C19523" t="s">
        <v>433</v>
      </c>
      <c r="F19523">
        <v>4.46116371968955E-9</v>
      </c>
      <c r="G19523">
        <v>67390737</v>
      </c>
      <c r="H19523">
        <v>10939668</v>
      </c>
      <c r="I19523">
        <v>34836126</v>
      </c>
      <c r="J19523">
        <v>3</v>
      </c>
    </row>
    <row r="19524" spans="1:10" x14ac:dyDescent="0.25">
      <c r="A19524" t="s">
        <v>218</v>
      </c>
      <c r="B19524" s="1" t="str">
        <f>HYPERLINK("http://cotherix.com","cotherix.com")</f>
        <v>cotherix.com</v>
      </c>
      <c r="C19524" t="s">
        <v>433</v>
      </c>
      <c r="F19524">
        <v>4.6280911618697898E-9</v>
      </c>
      <c r="G19524">
        <v>45564816</v>
      </c>
      <c r="H19524">
        <v>11378543</v>
      </c>
      <c r="I19524">
        <v>30289869</v>
      </c>
      <c r="J19524">
        <v>3</v>
      </c>
    </row>
    <row r="19525" spans="1:10" x14ac:dyDescent="0.25">
      <c r="A19525" t="s">
        <v>218</v>
      </c>
      <c r="B19525" s="1" t="str">
        <f>HYPERLINK("http://crextremity.com","crextremity.com")</f>
        <v>crextremity.com</v>
      </c>
      <c r="C19525" t="s">
        <v>433</v>
      </c>
      <c r="F19525">
        <v>1.37585998954188E-8</v>
      </c>
      <c r="G19525">
        <v>4297670</v>
      </c>
      <c r="H19525">
        <v>13364085</v>
      </c>
      <c r="I19525">
        <v>10494112</v>
      </c>
      <c r="J19525">
        <v>3</v>
      </c>
    </row>
    <row r="19526" spans="1:10" x14ac:dyDescent="0.25">
      <c r="A19526" t="s">
        <v>218</v>
      </c>
      <c r="B19526" s="1" t="str">
        <f>HYPERLINK("http://crucell.com","crucell.com")</f>
        <v>crucell.com</v>
      </c>
      <c r="C19526" t="s">
        <v>433</v>
      </c>
      <c r="F19526">
        <v>5.1771647096715703E-8</v>
      </c>
      <c r="G19526">
        <v>882757</v>
      </c>
      <c r="H19526">
        <v>14728966</v>
      </c>
      <c r="I19526">
        <v>573191</v>
      </c>
      <c r="J19526">
        <v>7</v>
      </c>
    </row>
    <row r="19527" spans="1:10" x14ac:dyDescent="0.25">
      <c r="A19527" t="s">
        <v>218</v>
      </c>
      <c r="B19527" s="1" t="str">
        <f>HYPERLINK("http://dabao.com","dabao.com")</f>
        <v>dabao.com</v>
      </c>
      <c r="C19527" t="s">
        <v>433</v>
      </c>
      <c r="F19527">
        <v>2.1387361992931299E-8</v>
      </c>
      <c r="G19527">
        <v>2463210</v>
      </c>
      <c r="H19527">
        <v>12746520</v>
      </c>
      <c r="I19527">
        <v>15082057</v>
      </c>
      <c r="J19527">
        <v>3</v>
      </c>
    </row>
    <row r="19528" spans="1:10" x14ac:dyDescent="0.25">
      <c r="A19528" t="s">
        <v>218</v>
      </c>
      <c r="B19528" s="1" t="str">
        <f>HYPERLINK("http://depuy.com","depuy.com")</f>
        <v>depuy.com</v>
      </c>
      <c r="C19528" t="s">
        <v>433</v>
      </c>
      <c r="F19528">
        <v>6.3629257964080406E-8</v>
      </c>
      <c r="G19528">
        <v>682329</v>
      </c>
      <c r="H19528">
        <v>13952343</v>
      </c>
      <c r="I19528">
        <v>4157503</v>
      </c>
      <c r="J19528">
        <v>3</v>
      </c>
    </row>
    <row r="19529" spans="1:10" x14ac:dyDescent="0.25">
      <c r="A19529" t="s">
        <v>218</v>
      </c>
      <c r="B19529" s="1" t="str">
        <f>HYPERLINK("http://depuysynthes.com","depuysynthes.com")</f>
        <v>depuysynthes.com</v>
      </c>
      <c r="C19529" t="s">
        <v>433</v>
      </c>
      <c r="E19529">
        <v>500464</v>
      </c>
      <c r="F19529">
        <v>2.02203984617856E-7</v>
      </c>
      <c r="G19529">
        <v>188153</v>
      </c>
      <c r="H19529">
        <v>14647206</v>
      </c>
      <c r="I19529">
        <v>631654</v>
      </c>
      <c r="J19529">
        <v>3</v>
      </c>
    </row>
    <row r="19530" spans="1:10" x14ac:dyDescent="0.25">
      <c r="A19530" t="s">
        <v>218</v>
      </c>
      <c r="B19530" s="1" t="str">
        <f>HYPERLINK("http://ees.com","ees.com")</f>
        <v>ees.com</v>
      </c>
      <c r="C19530" t="s">
        <v>433</v>
      </c>
      <c r="F19530">
        <v>6.30933682670078E-9</v>
      </c>
      <c r="G19530">
        <v>14986835</v>
      </c>
      <c r="H19530">
        <v>13764645</v>
      </c>
      <c r="I19530">
        <v>7219443</v>
      </c>
      <c r="J19530">
        <v>3</v>
      </c>
    </row>
    <row r="19531" spans="1:10" x14ac:dyDescent="0.25">
      <c r="A19531" t="s">
        <v>218</v>
      </c>
      <c r="B19531" s="1" t="str">
        <f>HYPERLINK("http://elsker.com","elsker.com")</f>
        <v>elsker.com</v>
      </c>
      <c r="C19531" t="s">
        <v>433</v>
      </c>
      <c r="F19531">
        <v>6.5913047285788102E-9</v>
      </c>
      <c r="G19531">
        <v>13710132</v>
      </c>
      <c r="H19531">
        <v>12119260</v>
      </c>
      <c r="I19531">
        <v>25425434</v>
      </c>
      <c r="J19531">
        <v>4</v>
      </c>
    </row>
    <row r="19532" spans="1:10" x14ac:dyDescent="0.25">
      <c r="A19532" t="s">
        <v>218</v>
      </c>
      <c r="B19532" s="1" t="str">
        <f>HYPERLINK("http://ethicon.com","ethicon.com")</f>
        <v>ethicon.com</v>
      </c>
      <c r="C19532" t="s">
        <v>433</v>
      </c>
      <c r="E19532">
        <v>342401</v>
      </c>
      <c r="F19532">
        <v>2.9175523384564898E-7</v>
      </c>
      <c r="G19532">
        <v>127553</v>
      </c>
      <c r="H19532">
        <v>15116620</v>
      </c>
      <c r="I19532">
        <v>404232</v>
      </c>
      <c r="J19532">
        <v>3</v>
      </c>
    </row>
    <row r="19533" spans="1:10" x14ac:dyDescent="0.25">
      <c r="A19533" t="s">
        <v>218</v>
      </c>
      <c r="B19533" s="1" t="str">
        <f>HYPERLINK("http://ethiconinc.com","ethiconinc.com")</f>
        <v>ethiconinc.com</v>
      </c>
      <c r="C19533" t="s">
        <v>433</v>
      </c>
      <c r="F19533">
        <v>8.7077364671899998E-9</v>
      </c>
      <c r="G19533">
        <v>8463789</v>
      </c>
      <c r="H19533">
        <v>12955965</v>
      </c>
      <c r="I19533">
        <v>13185239</v>
      </c>
      <c r="J19533">
        <v>3</v>
      </c>
    </row>
    <row r="19534" spans="1:10" x14ac:dyDescent="0.25">
      <c r="A19534" t="s">
        <v>218</v>
      </c>
      <c r="B19534" s="1" t="str">
        <f>HYPERLINK("http://gatt-tech.com","gatt-tech.com")</f>
        <v>gatt-tech.com</v>
      </c>
      <c r="C19534" t="s">
        <v>433</v>
      </c>
      <c r="F19534">
        <v>1.0479994499937599E-8</v>
      </c>
      <c r="G19534">
        <v>6286983</v>
      </c>
      <c r="H19534">
        <v>12853905</v>
      </c>
      <c r="I19534">
        <v>14240836</v>
      </c>
      <c r="J19534">
        <v>3</v>
      </c>
    </row>
    <row r="19535" spans="1:10" x14ac:dyDescent="0.25">
      <c r="A19535" t="s">
        <v>218</v>
      </c>
      <c r="B19535" s="1" t="str">
        <f>HYPERLINK("http://hansenmedical.com","hansenmedical.com")</f>
        <v>hansenmedical.com</v>
      </c>
      <c r="C19535" t="s">
        <v>433</v>
      </c>
      <c r="F19535">
        <v>1.93809549715915E-8</v>
      </c>
      <c r="G19535">
        <v>2766050</v>
      </c>
      <c r="H19535">
        <v>14131976</v>
      </c>
      <c r="I19535">
        <v>2004951</v>
      </c>
      <c r="J19535">
        <v>3</v>
      </c>
    </row>
    <row r="19536" spans="1:10" x14ac:dyDescent="0.25">
      <c r="A19536" t="s">
        <v>218</v>
      </c>
      <c r="B19536" s="1" t="str">
        <f>HYPERLINK("http://ilovejohnsonsbaby.com","ilovejohnsonsbaby.com")</f>
        <v>ilovejohnsonsbaby.com</v>
      </c>
      <c r="C19536" t="s">
        <v>433</v>
      </c>
      <c r="F19536">
        <v>4.4530999899976202E-9</v>
      </c>
      <c r="G19536">
        <v>70302259</v>
      </c>
      <c r="H19536">
        <v>10528574</v>
      </c>
      <c r="I19536">
        <v>48756322</v>
      </c>
      <c r="J19536">
        <v>4</v>
      </c>
    </row>
    <row r="19537" spans="1:10" x14ac:dyDescent="0.25">
      <c r="A19537" t="s">
        <v>218</v>
      </c>
      <c r="B19537" s="1" t="str">
        <f>HYPERLINK("http://janssen.com","janssen.com")</f>
        <v>janssen.com</v>
      </c>
      <c r="C19537" t="s">
        <v>433</v>
      </c>
      <c r="E19537">
        <v>24450</v>
      </c>
      <c r="F19537">
        <v>2.5897903169940802E-6</v>
      </c>
      <c r="G19537">
        <v>14618</v>
      </c>
      <c r="H19537">
        <v>15754943</v>
      </c>
      <c r="I19537">
        <v>368867</v>
      </c>
      <c r="J19537">
        <v>3</v>
      </c>
    </row>
    <row r="19538" spans="1:10" x14ac:dyDescent="0.25">
      <c r="A19538" t="s">
        <v>218</v>
      </c>
      <c r="B19538" s="1" t="str">
        <f>HYPERLINK("http://janssen-cilag.com","janssen-cilag.com")</f>
        <v>janssen-cilag.com</v>
      </c>
      <c r="C19538" t="s">
        <v>433</v>
      </c>
      <c r="F19538">
        <v>1.38097796627667E-8</v>
      </c>
      <c r="G19538">
        <v>4277407</v>
      </c>
      <c r="H19538">
        <v>12691087</v>
      </c>
      <c r="I19538">
        <v>15413160</v>
      </c>
      <c r="J19538">
        <v>3</v>
      </c>
    </row>
    <row r="19539" spans="1:10" x14ac:dyDescent="0.25">
      <c r="A19539" t="s">
        <v>218</v>
      </c>
      <c r="B19539" s="1" t="str">
        <f>HYPERLINK("http://janssenhealthcareinnovation.com","janssenhealthcareinnovation.com")</f>
        <v>janssenhealthcareinnovation.com</v>
      </c>
      <c r="C19539" t="s">
        <v>433</v>
      </c>
      <c r="F19539">
        <v>9.3108492841599195E-9</v>
      </c>
      <c r="G19539">
        <v>7558403</v>
      </c>
      <c r="H19539">
        <v>13818545</v>
      </c>
      <c r="I19539">
        <v>6152142</v>
      </c>
      <c r="J19539">
        <v>7</v>
      </c>
    </row>
    <row r="19540" spans="1:10" x14ac:dyDescent="0.25">
      <c r="A19540" t="s">
        <v>218</v>
      </c>
      <c r="B19540" s="1" t="str">
        <f>HYPERLINK("http://janssenmd.com","janssenmd.com")</f>
        <v>janssenmd.com</v>
      </c>
      <c r="C19540" t="s">
        <v>433</v>
      </c>
      <c r="F19540">
        <v>9.3759791305490899E-8</v>
      </c>
      <c r="G19540">
        <v>433212</v>
      </c>
      <c r="H19540">
        <v>14531486</v>
      </c>
      <c r="I19540">
        <v>785595</v>
      </c>
      <c r="J19540">
        <v>3</v>
      </c>
    </row>
    <row r="19541" spans="1:10" x14ac:dyDescent="0.25">
      <c r="A19541" t="s">
        <v>218</v>
      </c>
      <c r="B19541" s="1" t="str">
        <f>HYPERLINK("http://janssenpharmaceuticalsinc.com","janssenpharmaceuticalsinc.com")</f>
        <v>janssenpharmaceuticalsinc.com</v>
      </c>
      <c r="C19541" t="s">
        <v>433</v>
      </c>
      <c r="F19541">
        <v>8.7138104581423296E-8</v>
      </c>
      <c r="G19541">
        <v>471105</v>
      </c>
      <c r="H19541">
        <v>14406974</v>
      </c>
      <c r="I19541">
        <v>1147944</v>
      </c>
      <c r="J19541">
        <v>3</v>
      </c>
    </row>
    <row r="19542" spans="1:10" x14ac:dyDescent="0.25">
      <c r="A19542" t="s">
        <v>218</v>
      </c>
      <c r="B19542" s="1" t="str">
        <f>HYPERLINK("http://jhonsonjhonson.com","jhonsonjhonson.com")</f>
        <v>jhonsonjhonson.com</v>
      </c>
      <c r="C19542" t="s">
        <v>433</v>
      </c>
      <c r="J19542">
        <v>3</v>
      </c>
    </row>
    <row r="19543" spans="1:10" x14ac:dyDescent="0.25">
      <c r="A19543" t="s">
        <v>218</v>
      </c>
      <c r="B19543" s="1" t="str">
        <f>HYPERLINK("http://jjhcs.com","jjhcs.com")</f>
        <v>jjhcs.com</v>
      </c>
      <c r="C19543" t="s">
        <v>433</v>
      </c>
      <c r="F19543">
        <v>7.8626624133207997E-9</v>
      </c>
      <c r="G19543">
        <v>10187015</v>
      </c>
      <c r="H19543">
        <v>11217126</v>
      </c>
      <c r="I19543">
        <v>31114400</v>
      </c>
      <c r="J19543">
        <v>3</v>
      </c>
    </row>
    <row r="19544" spans="1:10" x14ac:dyDescent="0.25">
      <c r="A19544" t="s">
        <v>218</v>
      </c>
      <c r="B19544" s="1" t="str">
        <f>HYPERLINK("http://jjnordic.com","jjnordic.com")</f>
        <v>jjnordic.com</v>
      </c>
      <c r="C19544" t="s">
        <v>433</v>
      </c>
      <c r="J19544">
        <v>3</v>
      </c>
    </row>
    <row r="19545" spans="1:10" x14ac:dyDescent="0.25">
      <c r="A19545" t="s">
        <v>218</v>
      </c>
      <c r="B19545" s="1" t="str">
        <f>HYPERLINK("http://jjvision.com","jjvision.com")</f>
        <v>jjvision.com</v>
      </c>
      <c r="C19545" t="s">
        <v>433</v>
      </c>
      <c r="E19545">
        <v>557217</v>
      </c>
      <c r="F19545">
        <v>1.8577057851705301E-7</v>
      </c>
      <c r="G19545">
        <v>207456</v>
      </c>
      <c r="H19545">
        <v>13753885</v>
      </c>
      <c r="I19545">
        <v>9417944</v>
      </c>
      <c r="J19545">
        <v>3</v>
      </c>
    </row>
    <row r="19546" spans="1:10" x14ac:dyDescent="0.25">
      <c r="A19546" t="s">
        <v>218</v>
      </c>
      <c r="B19546" s="1" t="str">
        <f>HYPERLINK("http://jnj.com","jnj.com")</f>
        <v>jnj.com</v>
      </c>
      <c r="C19546" t="s">
        <v>433</v>
      </c>
      <c r="E19546">
        <v>3317</v>
      </c>
      <c r="F19546">
        <v>7.3996822464777298E-6</v>
      </c>
      <c r="G19546">
        <v>4533</v>
      </c>
      <c r="H19546">
        <v>17898654</v>
      </c>
      <c r="I19546">
        <v>4478</v>
      </c>
      <c r="J19546">
        <v>1</v>
      </c>
    </row>
    <row r="19547" spans="1:10" x14ac:dyDescent="0.25">
      <c r="A19547" t="s">
        <v>218</v>
      </c>
      <c r="B19547" s="1" t="str">
        <f>HYPERLINK("http://jnjcolombia.com","jnjcolombia.com")</f>
        <v>jnjcolombia.com</v>
      </c>
      <c r="C19547" t="s">
        <v>433</v>
      </c>
      <c r="F19547">
        <v>4.2881498233213401E-8</v>
      </c>
      <c r="G19547">
        <v>1123545</v>
      </c>
      <c r="H19547">
        <v>12960451</v>
      </c>
      <c r="I19547">
        <v>13167858</v>
      </c>
      <c r="J19547">
        <v>4</v>
      </c>
    </row>
    <row r="19548" spans="1:10" x14ac:dyDescent="0.25">
      <c r="A19548" t="s">
        <v>218</v>
      </c>
      <c r="B19548" s="1" t="str">
        <f>HYPERLINK("http://jnjconsumerhealth.com","jnjconsumerhealth.com")</f>
        <v>jnjconsumerhealth.com</v>
      </c>
      <c r="C19548" t="s">
        <v>433</v>
      </c>
      <c r="F19548">
        <v>7.1755133012212695E-8</v>
      </c>
      <c r="G19548">
        <v>588753</v>
      </c>
      <c r="H19548">
        <v>13789415</v>
      </c>
      <c r="I19548">
        <v>6355557</v>
      </c>
      <c r="J19548">
        <v>4</v>
      </c>
    </row>
    <row r="19549" spans="1:10" x14ac:dyDescent="0.25">
      <c r="A19549" t="s">
        <v>218</v>
      </c>
      <c r="B19549" s="1" t="str">
        <f>HYPERLINK("http://jnjgateway.com","jnjgateway.com")</f>
        <v>jnjgateway.com</v>
      </c>
      <c r="C19549" t="s">
        <v>433</v>
      </c>
      <c r="F19549">
        <v>1.08629927446252E-8</v>
      </c>
      <c r="G19549">
        <v>5970796</v>
      </c>
      <c r="H19549">
        <v>13766483</v>
      </c>
      <c r="I19549">
        <v>7001648</v>
      </c>
      <c r="J19549">
        <v>3</v>
      </c>
    </row>
    <row r="19550" spans="1:10" x14ac:dyDescent="0.25">
      <c r="A19550" t="s">
        <v>218</v>
      </c>
      <c r="B19550" s="1" t="str">
        <f>HYPERLINK("http://jnjindia.com","jnjindia.com")</f>
        <v>jnjindia.com</v>
      </c>
      <c r="C19550" t="s">
        <v>433</v>
      </c>
      <c r="F19550">
        <v>1.05185433017466E-8</v>
      </c>
      <c r="G19550">
        <v>6253651</v>
      </c>
      <c r="H19550">
        <v>12514520</v>
      </c>
      <c r="I19550">
        <v>17198041</v>
      </c>
      <c r="J19550">
        <v>3</v>
      </c>
    </row>
    <row r="19551" spans="1:10" x14ac:dyDescent="0.25">
      <c r="A19551" t="s">
        <v>218</v>
      </c>
      <c r="B19551" s="1" t="str">
        <f>HYPERLINK("http://jnjinnovation.com","jnjinnovation.com")</f>
        <v>jnjinnovation.com</v>
      </c>
      <c r="C19551" t="s">
        <v>433</v>
      </c>
      <c r="E19551">
        <v>266475</v>
      </c>
      <c r="F19551">
        <v>4.6507688712257998E-7</v>
      </c>
      <c r="G19551">
        <v>81437</v>
      </c>
      <c r="H19551">
        <v>17092678</v>
      </c>
      <c r="I19551">
        <v>65346</v>
      </c>
      <c r="J19551">
        <v>3</v>
      </c>
    </row>
    <row r="19552" spans="1:10" x14ac:dyDescent="0.25">
      <c r="A19552" t="s">
        <v>218</v>
      </c>
      <c r="B19552" s="1" t="str">
        <f>HYPERLINK("http://jnjinstitute.com","jnjinstitute.com")</f>
        <v>jnjinstitute.com</v>
      </c>
      <c r="C19552" t="s">
        <v>433</v>
      </c>
      <c r="F19552">
        <v>3.2513553259853699E-7</v>
      </c>
      <c r="G19552">
        <v>114543</v>
      </c>
      <c r="H19552">
        <v>13608383</v>
      </c>
      <c r="I19552">
        <v>9638485</v>
      </c>
      <c r="J19552">
        <v>3</v>
      </c>
    </row>
    <row r="19553" spans="1:10" x14ac:dyDescent="0.25">
      <c r="A19553" t="s">
        <v>218</v>
      </c>
      <c r="B19553" s="1" t="str">
        <f>HYPERLINK("http://jnjmedicaldevices.com","jnjmedicaldevices.com")</f>
        <v>jnjmedicaldevices.com</v>
      </c>
      <c r="C19553" t="s">
        <v>433</v>
      </c>
      <c r="E19553">
        <v>192951</v>
      </c>
      <c r="F19553">
        <v>4.0864604201953002E-7</v>
      </c>
      <c r="G19553">
        <v>91970</v>
      </c>
      <c r="H19553">
        <v>17146342</v>
      </c>
      <c r="I19553">
        <v>52958</v>
      </c>
      <c r="J19553">
        <v>5</v>
      </c>
    </row>
    <row r="19554" spans="1:10" x14ac:dyDescent="0.25">
      <c r="A19554" t="s">
        <v>218</v>
      </c>
      <c r="B19554" s="1" t="str">
        <f>HYPERLINK("http://jnjmedtech.com","jnjmedtech.com")</f>
        <v>jnjmedtech.com</v>
      </c>
      <c r="C19554" t="s">
        <v>433</v>
      </c>
      <c r="E19554">
        <v>54834</v>
      </c>
      <c r="F19554">
        <v>8.6549997327745202E-7</v>
      </c>
      <c r="G19554">
        <v>46196</v>
      </c>
      <c r="H19554">
        <v>14120013</v>
      </c>
      <c r="I19554">
        <v>2398283</v>
      </c>
      <c r="J19554">
        <v>5</v>
      </c>
    </row>
    <row r="19555" spans="1:10" x14ac:dyDescent="0.25">
      <c r="A19555" t="s">
        <v>218</v>
      </c>
      <c r="B19555" s="1" t="str">
        <f>HYPERLINK("http://jnjmexico.com","jnjmexico.com")</f>
        <v>jnjmexico.com</v>
      </c>
      <c r="C19555" t="s">
        <v>433</v>
      </c>
      <c r="F19555">
        <v>3.6906839861236703E-8</v>
      </c>
      <c r="G19555">
        <v>1417121</v>
      </c>
      <c r="H19555">
        <v>13053797</v>
      </c>
      <c r="I19555">
        <v>12571843</v>
      </c>
      <c r="J19555">
        <v>3</v>
      </c>
    </row>
    <row r="19556" spans="1:10" x14ac:dyDescent="0.25">
      <c r="A19556" t="s">
        <v>218</v>
      </c>
      <c r="B19556" s="1" t="str">
        <f>HYPERLINK("http://jnjvisionpro.com","jnjvisionpro.com")</f>
        <v>jnjvisionpro.com</v>
      </c>
      <c r="C19556" t="s">
        <v>433</v>
      </c>
      <c r="E19556">
        <v>258313</v>
      </c>
      <c r="F19556">
        <v>2.2617629562356701E-7</v>
      </c>
      <c r="G19556">
        <v>166540</v>
      </c>
      <c r="H19556">
        <v>13515316</v>
      </c>
      <c r="I19556">
        <v>9944199</v>
      </c>
      <c r="J19556">
        <v>3</v>
      </c>
    </row>
    <row r="19557" spans="1:10" x14ac:dyDescent="0.25">
      <c r="A19557" t="s">
        <v>218</v>
      </c>
      <c r="B19557" s="1" t="str">
        <f>HYPERLINK("http://jnu.com","jnu.com")</f>
        <v>jnu.com</v>
      </c>
      <c r="C19557" t="s">
        <v>433</v>
      </c>
      <c r="E19557">
        <v>562598</v>
      </c>
      <c r="F19557">
        <v>4.4443324639821698E-9</v>
      </c>
      <c r="G19557">
        <v>76957644</v>
      </c>
      <c r="H19557">
        <v>10371248</v>
      </c>
      <c r="I19557">
        <v>54818934</v>
      </c>
      <c r="J19557">
        <v>4</v>
      </c>
    </row>
    <row r="19558" spans="1:10" x14ac:dyDescent="0.25">
      <c r="A19558" t="s">
        <v>218</v>
      </c>
      <c r="B19558" s="1" t="str">
        <f>HYPERLINK("http://johnsonsbaby.com","johnsonsbaby.com")</f>
        <v>johnsonsbaby.com</v>
      </c>
      <c r="C19558" t="s">
        <v>433</v>
      </c>
      <c r="E19558">
        <v>233979</v>
      </c>
      <c r="F19558">
        <v>2.6249428170660699E-7</v>
      </c>
      <c r="G19558">
        <v>142470</v>
      </c>
      <c r="H19558">
        <v>17032164</v>
      </c>
      <c r="I19558">
        <v>82781</v>
      </c>
      <c r="J19558">
        <v>4</v>
      </c>
    </row>
    <row r="19559" spans="1:10" x14ac:dyDescent="0.25">
      <c r="A19559" t="s">
        <v>218</v>
      </c>
      <c r="B19559" s="1" t="str">
        <f>HYPERLINK("http://johnsonsbabyarabia.com","johnsonsbabyarabia.com")</f>
        <v>johnsonsbabyarabia.com</v>
      </c>
      <c r="C19559" t="s">
        <v>433</v>
      </c>
      <c r="F19559">
        <v>3.1156577071174901E-8</v>
      </c>
      <c r="G19559">
        <v>1654709</v>
      </c>
      <c r="H19559">
        <v>13366509</v>
      </c>
      <c r="I19559">
        <v>10481672</v>
      </c>
      <c r="J19559">
        <v>3</v>
      </c>
    </row>
    <row r="19560" spans="1:10" x14ac:dyDescent="0.25">
      <c r="A19560" t="s">
        <v>218</v>
      </c>
      <c r="B19560" s="1" t="str">
        <f>HYPERLINK("http://listerine.com","listerine.com")</f>
        <v>listerine.com</v>
      </c>
      <c r="C19560" t="s">
        <v>433</v>
      </c>
      <c r="E19560">
        <v>224892</v>
      </c>
      <c r="F19560">
        <v>1.7617094060349201E-7</v>
      </c>
      <c r="G19560">
        <v>219795</v>
      </c>
      <c r="H19560">
        <v>14969537</v>
      </c>
      <c r="I19560">
        <v>434283</v>
      </c>
      <c r="J19560">
        <v>3</v>
      </c>
    </row>
    <row r="19561" spans="1:10" x14ac:dyDescent="0.25">
      <c r="A19561" t="s">
        <v>218</v>
      </c>
      <c r="B19561" s="1" t="str">
        <f>HYPERLINK("http://megadyne.com","megadyne.com")</f>
        <v>megadyne.com</v>
      </c>
      <c r="C19561" t="s">
        <v>433</v>
      </c>
      <c r="F19561">
        <v>1.30559415085573E-8</v>
      </c>
      <c r="G19561">
        <v>4604489</v>
      </c>
      <c r="H19561">
        <v>13799877</v>
      </c>
      <c r="I19561">
        <v>6283365</v>
      </c>
      <c r="J19561">
        <v>3</v>
      </c>
    </row>
    <row r="19562" spans="1:10" x14ac:dyDescent="0.25">
      <c r="A19562" t="s">
        <v>218</v>
      </c>
      <c r="B19562" s="1" t="str">
        <f>HYPERLINK("http://mentorwwllc.com","mentorwwllc.com")</f>
        <v>mentorwwllc.com</v>
      </c>
      <c r="C19562" t="s">
        <v>433</v>
      </c>
      <c r="F19562">
        <v>9.6798993025535601E-8</v>
      </c>
      <c r="G19562">
        <v>417519</v>
      </c>
      <c r="H19562">
        <v>14195556</v>
      </c>
      <c r="I19562">
        <v>1736895</v>
      </c>
      <c r="J19562">
        <v>3</v>
      </c>
    </row>
    <row r="19563" spans="1:10" x14ac:dyDescent="0.25">
      <c r="A19563" t="s">
        <v>218</v>
      </c>
      <c r="B19563" s="1" t="str">
        <f>HYPERLINK("http://momentapharma.com","momentapharma.com")</f>
        <v>momentapharma.com</v>
      </c>
      <c r="C19563" t="s">
        <v>433</v>
      </c>
      <c r="F19563">
        <v>4.3741764868506198E-8</v>
      </c>
      <c r="G19563">
        <v>1090516</v>
      </c>
      <c r="H19563">
        <v>14213156</v>
      </c>
      <c r="I19563">
        <v>1698108</v>
      </c>
      <c r="J19563">
        <v>3</v>
      </c>
    </row>
    <row r="19564" spans="1:10" x14ac:dyDescent="0.25">
      <c r="A19564" t="s">
        <v>218</v>
      </c>
      <c r="B19564" s="1" t="str">
        <f>HYPERLINK("http://neostrata.com","neostrata.com")</f>
        <v>neostrata.com</v>
      </c>
      <c r="C19564" t="s">
        <v>433</v>
      </c>
      <c r="E19564">
        <v>439959</v>
      </c>
      <c r="F19564">
        <v>3.5796635188650698E-7</v>
      </c>
      <c r="G19564">
        <v>104437</v>
      </c>
      <c r="H19564">
        <v>14698385</v>
      </c>
      <c r="I19564">
        <v>598274</v>
      </c>
      <c r="J19564">
        <v>3</v>
      </c>
    </row>
    <row r="19565" spans="1:10" x14ac:dyDescent="0.25">
      <c r="A19565" t="s">
        <v>218</v>
      </c>
      <c r="B19565" s="1" t="str">
        <f>HYPERLINK("http://neuravi.com","neuravi.com")</f>
        <v>neuravi.com</v>
      </c>
      <c r="C19565" t="s">
        <v>433</v>
      </c>
      <c r="F19565">
        <v>1.09567983662584E-8</v>
      </c>
      <c r="G19565">
        <v>5898384</v>
      </c>
      <c r="H19565">
        <v>13265503</v>
      </c>
      <c r="I19565">
        <v>11009767</v>
      </c>
      <c r="J19565">
        <v>3</v>
      </c>
    </row>
    <row r="19566" spans="1:10" x14ac:dyDescent="0.25">
      <c r="A19566" t="s">
        <v>218</v>
      </c>
      <c r="B19566" s="1" t="str">
        <f>HYPERLINK("http://neutrogena.com","neutrogena.com")</f>
        <v>neutrogena.com</v>
      </c>
      <c r="C19566" t="s">
        <v>433</v>
      </c>
      <c r="E19566">
        <v>39853</v>
      </c>
      <c r="F19566">
        <v>4.96941559436202E-7</v>
      </c>
      <c r="G19566">
        <v>76879</v>
      </c>
      <c r="H19566">
        <v>15255611</v>
      </c>
      <c r="I19566">
        <v>389779</v>
      </c>
      <c r="J19566">
        <v>3</v>
      </c>
    </row>
    <row r="19567" spans="1:10" x14ac:dyDescent="0.25">
      <c r="A19567" t="s">
        <v>218</v>
      </c>
      <c r="B19567" s="1" t="str">
        <f>HYPERLINK("http://neuwave.com","neuwave.com")</f>
        <v>neuwave.com</v>
      </c>
      <c r="C19567" t="s">
        <v>433</v>
      </c>
      <c r="F19567">
        <v>5.6131673821487401E-9</v>
      </c>
      <c r="G19567">
        <v>19731363</v>
      </c>
      <c r="H19567">
        <v>12603789</v>
      </c>
      <c r="I19567">
        <v>16289351</v>
      </c>
      <c r="J19567">
        <v>6</v>
      </c>
    </row>
    <row r="19568" spans="1:10" x14ac:dyDescent="0.25">
      <c r="A19568" t="s">
        <v>218</v>
      </c>
      <c r="B19568" s="1" t="str">
        <f>HYPERLINK("http://neuwavemedical.com","neuwavemedical.com")</f>
        <v>neuwavemedical.com</v>
      </c>
      <c r="C19568" t="s">
        <v>433</v>
      </c>
      <c r="F19568">
        <v>7.5885116297655492E-9</v>
      </c>
      <c r="G19568">
        <v>10819178</v>
      </c>
      <c r="H19568">
        <v>13346562</v>
      </c>
      <c r="I19568">
        <v>10647361</v>
      </c>
      <c r="J19568">
        <v>3</v>
      </c>
    </row>
    <row r="19569" spans="1:10" x14ac:dyDescent="0.25">
      <c r="A19569" t="s">
        <v>218</v>
      </c>
      <c r="B19569" s="1" t="str">
        <f>HYPERLINK("http://noviyden.com","noviyden.com")</f>
        <v>noviyden.com</v>
      </c>
      <c r="C19569" t="s">
        <v>433</v>
      </c>
      <c r="F19569">
        <v>7.2055679809186197E-9</v>
      </c>
      <c r="G19569">
        <v>11725505</v>
      </c>
      <c r="H19569">
        <v>11399414</v>
      </c>
      <c r="I19569">
        <v>30227246</v>
      </c>
      <c r="J19569">
        <v>2</v>
      </c>
    </row>
    <row r="19570" spans="1:10" x14ac:dyDescent="0.25">
      <c r="A19570" t="s">
        <v>218</v>
      </c>
      <c r="B19570" s="1" t="str">
        <f>HYPERLINK("http://novyiden.com","novyiden.com")</f>
        <v>novyiden.com</v>
      </c>
      <c r="C19570" t="s">
        <v>433</v>
      </c>
      <c r="J19570">
        <v>2</v>
      </c>
    </row>
    <row r="19571" spans="1:10" x14ac:dyDescent="0.25">
      <c r="A19571" t="s">
        <v>218</v>
      </c>
      <c r="B19571" s="1" t="str">
        <f>HYPERLINK("http://nuveramedical.com","nuveramedical.com")</f>
        <v>nuveramedical.com</v>
      </c>
      <c r="C19571" t="s">
        <v>433</v>
      </c>
      <c r="F19571">
        <v>5.3818035139197499E-9</v>
      </c>
      <c r="G19571">
        <v>22395995</v>
      </c>
      <c r="H19571">
        <v>10929455</v>
      </c>
      <c r="I19571">
        <v>35078250</v>
      </c>
      <c r="J19571">
        <v>3</v>
      </c>
    </row>
    <row r="19572" spans="1:10" x14ac:dyDescent="0.25">
      <c r="A19572" t="s">
        <v>218</v>
      </c>
      <c r="B19572" s="1" t="str">
        <f>HYPERLINK("http://omrix.com","omrix.com")</f>
        <v>omrix.com</v>
      </c>
      <c r="C19572" t="s">
        <v>433</v>
      </c>
      <c r="F19572">
        <v>5.20574664633523E-9</v>
      </c>
      <c r="G19572">
        <v>25000860</v>
      </c>
      <c r="H19572">
        <v>12207266</v>
      </c>
      <c r="I19572">
        <v>23103563</v>
      </c>
      <c r="J19572">
        <v>3</v>
      </c>
    </row>
    <row r="19573" spans="1:10" x14ac:dyDescent="0.25">
      <c r="A19573" t="s">
        <v>218</v>
      </c>
      <c r="B19573" s="1" t="str">
        <f>HYPERLINK("http://orthotaxy.com","orthotaxy.com")</f>
        <v>orthotaxy.com</v>
      </c>
      <c r="C19573" t="s">
        <v>433</v>
      </c>
      <c r="F19573">
        <v>8.7506662533888005E-9</v>
      </c>
      <c r="G19573">
        <v>8391466</v>
      </c>
      <c r="H19573">
        <v>13356672</v>
      </c>
      <c r="I19573">
        <v>10596370</v>
      </c>
      <c r="J19573">
        <v>3</v>
      </c>
    </row>
    <row r="19574" spans="1:10" x14ac:dyDescent="0.25">
      <c r="A19574" t="s">
        <v>218</v>
      </c>
      <c r="B19574" s="1" t="str">
        <f>HYPERLINK("http://patriotpharmaceuticals.com","patriotpharmaceuticals.com")</f>
        <v>patriotpharmaceuticals.com</v>
      </c>
      <c r="C19574" t="s">
        <v>433</v>
      </c>
      <c r="F19574">
        <v>8.3422331974986698E-9</v>
      </c>
      <c r="G19574">
        <v>9162680</v>
      </c>
      <c r="H19574">
        <v>13317367</v>
      </c>
      <c r="I19574">
        <v>10754999</v>
      </c>
      <c r="J19574">
        <v>3</v>
      </c>
    </row>
    <row r="19575" spans="1:10" x14ac:dyDescent="0.25">
      <c r="A19575" t="s">
        <v>218</v>
      </c>
      <c r="B19575" s="1" t="str">
        <f>HYPERLINK("http://precardia.com","precardia.com")</f>
        <v>precardia.com</v>
      </c>
      <c r="C19575" t="s">
        <v>433</v>
      </c>
      <c r="F19575">
        <v>5.2769043902784498E-9</v>
      </c>
      <c r="G19575">
        <v>23835464</v>
      </c>
      <c r="H19575">
        <v>12336425</v>
      </c>
      <c r="I19575">
        <v>20078577</v>
      </c>
      <c r="J19575">
        <v>3</v>
      </c>
    </row>
    <row r="19576" spans="1:10" x14ac:dyDescent="0.25">
      <c r="A19576" t="s">
        <v>218</v>
      </c>
      <c r="B19576" s="1" t="str">
        <f>HYPERLINK("http://sp-institute.com","sp-institute.com")</f>
        <v>sp-institute.com</v>
      </c>
      <c r="C19576" t="s">
        <v>433</v>
      </c>
      <c r="F19576">
        <v>1.13232038279164E-8</v>
      </c>
      <c r="G19576">
        <v>5626582</v>
      </c>
      <c r="H19576">
        <v>12339544</v>
      </c>
      <c r="I19576">
        <v>20018396</v>
      </c>
      <c r="J19576">
        <v>3</v>
      </c>
    </row>
    <row r="19577" spans="1:10" x14ac:dyDescent="0.25">
      <c r="A19577" t="s">
        <v>218</v>
      </c>
      <c r="B19577" s="1" t="str">
        <f>HYPERLINK("http://sterilmed.com","sterilmed.com")</f>
        <v>sterilmed.com</v>
      </c>
      <c r="C19577" t="s">
        <v>433</v>
      </c>
      <c r="F19577">
        <v>6.72890587769886E-9</v>
      </c>
      <c r="G19577">
        <v>13200897</v>
      </c>
      <c r="H19577">
        <v>12446128</v>
      </c>
      <c r="I19577">
        <v>18074658</v>
      </c>
      <c r="J19577">
        <v>4</v>
      </c>
    </row>
    <row r="19578" spans="1:10" x14ac:dyDescent="0.25">
      <c r="A19578" t="s">
        <v>218</v>
      </c>
      <c r="B19578" s="1" t="str">
        <f>HYPERLINK("http://synthes.com","synthes.com")</f>
        <v>synthes.com</v>
      </c>
      <c r="C19578" t="s">
        <v>433</v>
      </c>
      <c r="E19578">
        <v>152349</v>
      </c>
      <c r="F19578">
        <v>5.1146361322466898E-8</v>
      </c>
      <c r="G19578">
        <v>895777</v>
      </c>
      <c r="H19578">
        <v>14169725</v>
      </c>
      <c r="I19578">
        <v>1806461</v>
      </c>
      <c r="J19578">
        <v>3</v>
      </c>
    </row>
    <row r="19579" spans="1:10" x14ac:dyDescent="0.25">
      <c r="A19579" t="s">
        <v>218</v>
      </c>
      <c r="B19579" s="1" t="str">
        <f>HYPERLINK("http://synthes-stratec.com","synthes-stratec.com")</f>
        <v>synthes-stratec.com</v>
      </c>
      <c r="C19579" t="s">
        <v>433</v>
      </c>
      <c r="F19579">
        <v>4.80678732932914E-9</v>
      </c>
      <c r="G19579">
        <v>35822571</v>
      </c>
      <c r="H19579">
        <v>12882535</v>
      </c>
      <c r="I19579">
        <v>13987258</v>
      </c>
      <c r="J19579">
        <v>3</v>
      </c>
    </row>
    <row r="19580" spans="1:10" x14ac:dyDescent="0.25">
      <c r="A19580" t="s">
        <v>218</v>
      </c>
      <c r="B19580" s="1" t="str">
        <f>HYPERLINK("http://tarisbiomedical.com","tarisbiomedical.com")</f>
        <v>tarisbiomedical.com</v>
      </c>
      <c r="C19580" t="s">
        <v>433</v>
      </c>
      <c r="F19580">
        <v>1.7562688706561E-8</v>
      </c>
      <c r="G19580">
        <v>3127418</v>
      </c>
      <c r="H19580">
        <v>13907615</v>
      </c>
      <c r="I19580">
        <v>5944346</v>
      </c>
      <c r="J19580">
        <v>3</v>
      </c>
    </row>
    <row r="19581" spans="1:10" x14ac:dyDescent="0.25">
      <c r="A19581" t="s">
        <v>218</v>
      </c>
      <c r="B19581" s="1" t="str">
        <f>HYPERLINK("http://tearscience.com","tearscience.com")</f>
        <v>tearscience.com</v>
      </c>
      <c r="C19581" t="s">
        <v>433</v>
      </c>
      <c r="F19581">
        <v>2.7404928437904999E-8</v>
      </c>
      <c r="G19581">
        <v>1875836</v>
      </c>
      <c r="H19581">
        <v>13823912</v>
      </c>
      <c r="I19581">
        <v>6131254</v>
      </c>
      <c r="J19581">
        <v>3</v>
      </c>
    </row>
    <row r="19582" spans="1:10" x14ac:dyDescent="0.25">
      <c r="A19582" t="s">
        <v>218</v>
      </c>
      <c r="B19582" s="1" t="str">
        <f>HYPERLINK("http://toraxmedical.com","toraxmedical.com")</f>
        <v>toraxmedical.com</v>
      </c>
      <c r="C19582" t="s">
        <v>433</v>
      </c>
      <c r="F19582">
        <v>1.8557964655406501E-8</v>
      </c>
      <c r="G19582">
        <v>2914837</v>
      </c>
      <c r="H19582">
        <v>14254684</v>
      </c>
      <c r="I19582">
        <v>1435265</v>
      </c>
      <c r="J19582">
        <v>3</v>
      </c>
    </row>
    <row r="19583" spans="1:10" x14ac:dyDescent="0.25">
      <c r="A19583" t="s">
        <v>218</v>
      </c>
      <c r="B19583" s="1" t="str">
        <f>HYPERLINK("http://trendlines.com","trendlines.com")</f>
        <v>trendlines.com</v>
      </c>
      <c r="C19583" t="s">
        <v>433</v>
      </c>
      <c r="F19583">
        <v>4.5264702381575902E-8</v>
      </c>
      <c r="G19583">
        <v>1041529</v>
      </c>
      <c r="H19583">
        <v>14235027</v>
      </c>
      <c r="I19583">
        <v>1668675</v>
      </c>
      <c r="J19583">
        <v>3</v>
      </c>
    </row>
    <row r="19584" spans="1:10" x14ac:dyDescent="0.25">
      <c r="A19584" t="s">
        <v>218</v>
      </c>
      <c r="B19584" s="1" t="str">
        <f>HYPERLINK("http://verbsurgical.com","verbsurgical.com")</f>
        <v>verbsurgical.com</v>
      </c>
      <c r="C19584" t="s">
        <v>433</v>
      </c>
      <c r="F19584">
        <v>3.2266752837687898E-8</v>
      </c>
      <c r="G19584">
        <v>1602626</v>
      </c>
      <c r="H19584">
        <v>14067885</v>
      </c>
      <c r="I19584">
        <v>3725335</v>
      </c>
      <c r="J19584">
        <v>3</v>
      </c>
    </row>
    <row r="19585" spans="1:10" x14ac:dyDescent="0.25">
      <c r="A19585" t="s">
        <v>218</v>
      </c>
      <c r="B19585" s="1" t="str">
        <f>HYPERLINK("http://vogueintl.com","vogueintl.com")</f>
        <v>vogueintl.com</v>
      </c>
      <c r="C19585" t="s">
        <v>433</v>
      </c>
      <c r="F19585">
        <v>6.48830482465212E-9</v>
      </c>
      <c r="G19585">
        <v>14127037</v>
      </c>
      <c r="H19585">
        <v>13822416</v>
      </c>
      <c r="I19585">
        <v>6137164</v>
      </c>
      <c r="J19585">
        <v>3</v>
      </c>
    </row>
    <row r="19586" spans="1:10" x14ac:dyDescent="0.25">
      <c r="A19586" t="s">
        <v>218</v>
      </c>
      <c r="B19586" s="1" t="str">
        <f>HYPERLINK("http://wellnessandpreventioninc.com","wellnessandpreventioninc.com")</f>
        <v>wellnessandpreventioninc.com</v>
      </c>
      <c r="C19586" t="s">
        <v>433</v>
      </c>
      <c r="F19586">
        <v>1.7612116401846102E-8</v>
      </c>
      <c r="G19586">
        <v>3116215</v>
      </c>
      <c r="H19586">
        <v>13606079</v>
      </c>
      <c r="I19586">
        <v>9641572</v>
      </c>
      <c r="J19586">
        <v>3</v>
      </c>
    </row>
    <row r="19587" spans="1:10" x14ac:dyDescent="0.25">
      <c r="A19587" t="s">
        <v>218</v>
      </c>
      <c r="B19587" s="1" t="str">
        <f>HYPERLINK("http://acuvue.co.cr","acuvue.co.cr")</f>
        <v>acuvue.co.cr</v>
      </c>
      <c r="C19587" t="s">
        <v>434</v>
      </c>
      <c r="D19587" t="s">
        <v>813</v>
      </c>
      <c r="F19587">
        <v>9.8549482560001602E-9</v>
      </c>
      <c r="G19587">
        <v>6908607</v>
      </c>
      <c r="H19587">
        <v>10602284</v>
      </c>
      <c r="I19587">
        <v>44816019</v>
      </c>
      <c r="J19587">
        <v>4</v>
      </c>
    </row>
    <row r="19588" spans="1:10" x14ac:dyDescent="0.25">
      <c r="A19588" t="s">
        <v>218</v>
      </c>
      <c r="B19588" s="1" t="str">
        <f>HYPERLINK("http://acuvue.cz","acuvue.cz")</f>
        <v>acuvue.cz</v>
      </c>
      <c r="C19588" t="s">
        <v>435</v>
      </c>
      <c r="D19588" t="s">
        <v>814</v>
      </c>
      <c r="F19588">
        <v>4.0001233299799603E-8</v>
      </c>
      <c r="G19588">
        <v>1292338</v>
      </c>
      <c r="H19588">
        <v>12355487</v>
      </c>
      <c r="I19588">
        <v>19671498</v>
      </c>
      <c r="J19588">
        <v>4</v>
      </c>
    </row>
    <row r="19589" spans="1:10" x14ac:dyDescent="0.25">
      <c r="A19589" t="s">
        <v>218</v>
      </c>
      <c r="B19589" s="1" t="str">
        <f>HYPERLINK("http://jnj.cz","jnj.cz")</f>
        <v>jnj.cz</v>
      </c>
      <c r="C19589" t="s">
        <v>435</v>
      </c>
      <c r="D19589" t="s">
        <v>814</v>
      </c>
      <c r="F19589">
        <v>3.9308271246038601E-8</v>
      </c>
      <c r="G19589">
        <v>1312713</v>
      </c>
      <c r="H19589">
        <v>13095108</v>
      </c>
      <c r="I19589">
        <v>12125116</v>
      </c>
      <c r="J19589">
        <v>2</v>
      </c>
    </row>
    <row r="19590" spans="1:10" x14ac:dyDescent="0.25">
      <c r="A19590" t="s">
        <v>218</v>
      </c>
      <c r="B19590" s="1" t="str">
        <f>HYPERLINK("http://nicorette.cz","nicorette.cz")</f>
        <v>nicorette.cz</v>
      </c>
      <c r="C19590" t="s">
        <v>435</v>
      </c>
      <c r="D19590" t="s">
        <v>814</v>
      </c>
      <c r="F19590">
        <v>8.32327646127145E-9</v>
      </c>
      <c r="G19590">
        <v>9204452</v>
      </c>
      <c r="H19590">
        <v>12141763</v>
      </c>
      <c r="I19590">
        <v>24840898</v>
      </c>
      <c r="J19590">
        <v>6</v>
      </c>
    </row>
    <row r="19591" spans="1:10" x14ac:dyDescent="0.25">
      <c r="A19591" t="s">
        <v>218</v>
      </c>
      <c r="B19591" s="1" t="str">
        <f>HYPERLINK("http://abiomed.de","abiomed.de")</f>
        <v>abiomed.de</v>
      </c>
      <c r="C19591" t="s">
        <v>436</v>
      </c>
      <c r="D19591" t="s">
        <v>815</v>
      </c>
      <c r="F19591">
        <v>9.6169013830228105E-9</v>
      </c>
      <c r="G19591">
        <v>7179407</v>
      </c>
      <c r="H19591">
        <v>12943641</v>
      </c>
      <c r="I19591">
        <v>13265793</v>
      </c>
      <c r="J19591">
        <v>4</v>
      </c>
    </row>
    <row r="19592" spans="1:10" x14ac:dyDescent="0.25">
      <c r="A19592" t="s">
        <v>218</v>
      </c>
      <c r="B19592" s="1" t="str">
        <f>HYPERLINK("http://actelion.de","actelion.de")</f>
        <v>actelion.de</v>
      </c>
      <c r="C19592" t="s">
        <v>436</v>
      </c>
      <c r="D19592" t="s">
        <v>815</v>
      </c>
      <c r="F19592">
        <v>1.7410154553877499E-8</v>
      </c>
      <c r="G19592">
        <v>3170834</v>
      </c>
      <c r="H19592">
        <v>13748756</v>
      </c>
      <c r="I19592">
        <v>9421431</v>
      </c>
      <c r="J19592">
        <v>4</v>
      </c>
    </row>
    <row r="19593" spans="1:10" x14ac:dyDescent="0.25">
      <c r="A19593" t="s">
        <v>218</v>
      </c>
      <c r="B19593" s="1" t="str">
        <f>HYPERLINK("http://acuvue.de","acuvue.de")</f>
        <v>acuvue.de</v>
      </c>
      <c r="C19593" t="s">
        <v>436</v>
      </c>
      <c r="D19593" t="s">
        <v>815</v>
      </c>
      <c r="F19593">
        <v>4.30717671338166E-8</v>
      </c>
      <c r="G19593">
        <v>1115739</v>
      </c>
      <c r="H19593">
        <v>13832233</v>
      </c>
      <c r="I19593">
        <v>6102793</v>
      </c>
      <c r="J19593">
        <v>3</v>
      </c>
    </row>
    <row r="19594" spans="1:10" x14ac:dyDescent="0.25">
      <c r="A19594" t="s">
        <v>218</v>
      </c>
      <c r="B19594" s="1" t="str">
        <f>HYPERLINK("http://eit-spine.de","eit-spine.de")</f>
        <v>eit-spine.de</v>
      </c>
      <c r="C19594" t="s">
        <v>436</v>
      </c>
      <c r="D19594" t="s">
        <v>815</v>
      </c>
      <c r="F19594">
        <v>6.1157491344455496E-9</v>
      </c>
      <c r="G19594">
        <v>16005354</v>
      </c>
      <c r="H19594">
        <v>12679296</v>
      </c>
      <c r="I19594">
        <v>15507587</v>
      </c>
      <c r="J19594">
        <v>3</v>
      </c>
    </row>
    <row r="19595" spans="1:10" x14ac:dyDescent="0.25">
      <c r="A19595" t="s">
        <v>218</v>
      </c>
      <c r="B19595" s="1" t="str">
        <f>HYPERLINK("http://ethicon.de","ethicon.de")</f>
        <v>ethicon.de</v>
      </c>
      <c r="C19595" t="s">
        <v>436</v>
      </c>
      <c r="D19595" t="s">
        <v>815</v>
      </c>
      <c r="F19595">
        <v>7.6116303424197808E-9</v>
      </c>
      <c r="G19595">
        <v>10770422</v>
      </c>
      <c r="H19595">
        <v>12596657</v>
      </c>
      <c r="I19595">
        <v>16356311</v>
      </c>
      <c r="J19595">
        <v>4</v>
      </c>
    </row>
    <row r="19596" spans="1:10" x14ac:dyDescent="0.25">
      <c r="A19596" t="s">
        <v>218</v>
      </c>
      <c r="B19596" s="1" t="str">
        <f>HYPERLINK("http://jnj.de","jnj.de")</f>
        <v>jnj.de</v>
      </c>
      <c r="C19596" t="s">
        <v>436</v>
      </c>
      <c r="D19596" t="s">
        <v>815</v>
      </c>
      <c r="F19596">
        <v>6.1518025957600903E-8</v>
      </c>
      <c r="G19596">
        <v>715317</v>
      </c>
      <c r="H19596">
        <v>14092214</v>
      </c>
      <c r="I19596">
        <v>2740409</v>
      </c>
      <c r="J19596">
        <v>2</v>
      </c>
    </row>
    <row r="19597" spans="1:10" x14ac:dyDescent="0.25">
      <c r="A19597" t="s">
        <v>218</v>
      </c>
      <c r="B19597" s="1" t="str">
        <f>HYPERLINK("http://jnjgermany.de","jnjgermany.de")</f>
        <v>jnjgermany.de</v>
      </c>
      <c r="C19597" t="s">
        <v>436</v>
      </c>
      <c r="D19597" t="s">
        <v>815</v>
      </c>
      <c r="F19597">
        <v>7.2916890100526494E-8</v>
      </c>
      <c r="G19597">
        <v>578395</v>
      </c>
      <c r="H19597">
        <v>14599809</v>
      </c>
      <c r="I19597">
        <v>686492</v>
      </c>
      <c r="J19597">
        <v>3</v>
      </c>
    </row>
    <row r="19598" spans="1:10" x14ac:dyDescent="0.25">
      <c r="A19598" t="s">
        <v>218</v>
      </c>
      <c r="B19598" s="1" t="str">
        <f>HYPERLINK("http://nicorette.de","nicorette.de")</f>
        <v>nicorette.de</v>
      </c>
      <c r="C19598" t="s">
        <v>436</v>
      </c>
      <c r="D19598" t="s">
        <v>815</v>
      </c>
      <c r="F19598">
        <v>3.7589524670692303E-8</v>
      </c>
      <c r="G19598">
        <v>1376680</v>
      </c>
      <c r="H19598">
        <v>12603106</v>
      </c>
      <c r="I19598">
        <v>16295377</v>
      </c>
      <c r="J19598">
        <v>6</v>
      </c>
    </row>
    <row r="19599" spans="1:10" x14ac:dyDescent="0.25">
      <c r="A19599" t="s">
        <v>218</v>
      </c>
      <c r="B19599" s="1" t="str">
        <f>HYPERLINK("http://acuvue.dk","acuvue.dk")</f>
        <v>acuvue.dk</v>
      </c>
      <c r="C19599" t="s">
        <v>437</v>
      </c>
      <c r="D19599" t="s">
        <v>816</v>
      </c>
      <c r="F19599">
        <v>2.5512178571927999E-8</v>
      </c>
      <c r="G19599">
        <v>2021704</v>
      </c>
      <c r="H19599">
        <v>12201794</v>
      </c>
      <c r="I19599">
        <v>23271574</v>
      </c>
      <c r="J19599">
        <v>4</v>
      </c>
    </row>
    <row r="19600" spans="1:10" x14ac:dyDescent="0.25">
      <c r="A19600" t="s">
        <v>218</v>
      </c>
      <c r="B19600" s="1" t="str">
        <f>HYPERLINK("http://aveeno.dk","aveeno.dk")</f>
        <v>aveeno.dk</v>
      </c>
      <c r="C19600" t="s">
        <v>437</v>
      </c>
      <c r="D19600" t="s">
        <v>816</v>
      </c>
      <c r="F19600">
        <v>6.84610648140078E-9</v>
      </c>
      <c r="G19600">
        <v>12807836</v>
      </c>
      <c r="H19600">
        <v>10925696</v>
      </c>
      <c r="I19600">
        <v>35153674</v>
      </c>
      <c r="J19600">
        <v>5</v>
      </c>
    </row>
    <row r="19601" spans="1:10" x14ac:dyDescent="0.25">
      <c r="A19601" t="s">
        <v>218</v>
      </c>
      <c r="B19601" s="1" t="str">
        <f>HYPERLINK("http://imodium.dk","imodium.dk")</f>
        <v>imodium.dk</v>
      </c>
      <c r="C19601" t="s">
        <v>437</v>
      </c>
      <c r="D19601" t="s">
        <v>816</v>
      </c>
      <c r="F19601">
        <v>5.6150600188299199E-9</v>
      </c>
      <c r="G19601">
        <v>19714026</v>
      </c>
      <c r="H19601">
        <v>10626753</v>
      </c>
      <c r="I19601">
        <v>44071285</v>
      </c>
      <c r="J19601">
        <v>5</v>
      </c>
    </row>
    <row r="19602" spans="1:10" x14ac:dyDescent="0.25">
      <c r="A19602" t="s">
        <v>218</v>
      </c>
      <c r="B19602" s="1" t="str">
        <f>HYPERLINK("http://mcneil.dk","mcneil.dk")</f>
        <v>mcneil.dk</v>
      </c>
      <c r="C19602" t="s">
        <v>437</v>
      </c>
      <c r="D19602" t="s">
        <v>816</v>
      </c>
      <c r="F19602">
        <v>4.4860248071543398E-9</v>
      </c>
      <c r="G19602">
        <v>61208377</v>
      </c>
      <c r="H19602">
        <v>8353181.5</v>
      </c>
      <c r="I19602">
        <v>73784769</v>
      </c>
      <c r="J19602">
        <v>3</v>
      </c>
    </row>
    <row r="19603" spans="1:10" x14ac:dyDescent="0.25">
      <c r="A19603" t="s">
        <v>218</v>
      </c>
      <c r="B19603" s="1" t="str">
        <f>HYPERLINK("http://nicorette.dk","nicorette.dk")</f>
        <v>nicorette.dk</v>
      </c>
      <c r="C19603" t="s">
        <v>437</v>
      </c>
      <c r="D19603" t="s">
        <v>816</v>
      </c>
      <c r="F19603">
        <v>1.6607617190570299E-8</v>
      </c>
      <c r="G19603">
        <v>3387533</v>
      </c>
      <c r="H19603">
        <v>12262151</v>
      </c>
      <c r="I19603">
        <v>21714191</v>
      </c>
      <c r="J19603">
        <v>5</v>
      </c>
    </row>
    <row r="19604" spans="1:10" x14ac:dyDescent="0.25">
      <c r="A19604" t="s">
        <v>218</v>
      </c>
      <c r="B19604" s="1" t="str">
        <f>HYPERLINK("http://nizoral.dk","nizoral.dk")</f>
        <v>nizoral.dk</v>
      </c>
      <c r="C19604" t="s">
        <v>437</v>
      </c>
      <c r="D19604" t="s">
        <v>816</v>
      </c>
      <c r="F19604">
        <v>5.4553586241020198E-9</v>
      </c>
      <c r="G19604">
        <v>21419324</v>
      </c>
      <c r="H19604">
        <v>9359954</v>
      </c>
      <c r="I19604">
        <v>67843058</v>
      </c>
      <c r="J19604">
        <v>5</v>
      </c>
    </row>
    <row r="19605" spans="1:10" x14ac:dyDescent="0.25">
      <c r="A19605" t="s">
        <v>218</v>
      </c>
      <c r="B19605" s="1" t="str">
        <f>HYPERLINK("http://acuvue.com.do","acuvue.com.do")</f>
        <v>acuvue.com.do</v>
      </c>
      <c r="C19605" t="s">
        <v>438</v>
      </c>
      <c r="D19605" t="s">
        <v>817</v>
      </c>
      <c r="F19605">
        <v>8.6904669078509601E-9</v>
      </c>
      <c r="G19605">
        <v>8494144</v>
      </c>
      <c r="H19605">
        <v>10599926</v>
      </c>
      <c r="I19605">
        <v>44906032</v>
      </c>
      <c r="J19605">
        <v>4</v>
      </c>
    </row>
    <row r="19606" spans="1:10" x14ac:dyDescent="0.25">
      <c r="A19606" t="s">
        <v>218</v>
      </c>
      <c r="B19606" s="1" t="str">
        <f>HYPERLINK("http://johnsonsbaby.com.ec","johnsonsbaby.com.ec")</f>
        <v>johnsonsbaby.com.ec</v>
      </c>
      <c r="C19606" t="s">
        <v>440</v>
      </c>
      <c r="D19606" t="s">
        <v>819</v>
      </c>
      <c r="F19606">
        <v>2.13704499142802E-8</v>
      </c>
      <c r="G19606">
        <v>2465324</v>
      </c>
      <c r="H19606">
        <v>12390029</v>
      </c>
      <c r="I19606">
        <v>19044913</v>
      </c>
      <c r="J19606">
        <v>4</v>
      </c>
    </row>
    <row r="19607" spans="1:10" x14ac:dyDescent="0.25">
      <c r="A19607" t="s">
        <v>218</v>
      </c>
      <c r="B19607" s="1" t="str">
        <f>HYPERLINK("http://listerine.com.ec","listerine.com.ec")</f>
        <v>listerine.com.ec</v>
      </c>
      <c r="C19607" t="s">
        <v>440</v>
      </c>
      <c r="D19607" t="s">
        <v>819</v>
      </c>
      <c r="F19607">
        <v>1.33223420200376E-8</v>
      </c>
      <c r="G19607">
        <v>4483653</v>
      </c>
      <c r="H19607">
        <v>11018154</v>
      </c>
      <c r="I19607">
        <v>33284381</v>
      </c>
      <c r="J19607">
        <v>4</v>
      </c>
    </row>
    <row r="19608" spans="1:10" x14ac:dyDescent="0.25">
      <c r="A19608" t="s">
        <v>218</v>
      </c>
      <c r="B19608" s="1" t="str">
        <f>HYPERLINK("http://neutrogena.com.ec","neutrogena.com.ec")</f>
        <v>neutrogena.com.ec</v>
      </c>
      <c r="C19608" t="s">
        <v>440</v>
      </c>
      <c r="D19608" t="s">
        <v>819</v>
      </c>
      <c r="F19608">
        <v>5.4930547285929E-9</v>
      </c>
      <c r="G19608">
        <v>20978611</v>
      </c>
      <c r="H19608">
        <v>10539930</v>
      </c>
      <c r="I19608">
        <v>47285581</v>
      </c>
      <c r="J19608">
        <v>5</v>
      </c>
    </row>
    <row r="19609" spans="1:10" x14ac:dyDescent="0.25">
      <c r="A19609" t="s">
        <v>218</v>
      </c>
      <c r="B19609" s="1" t="str">
        <f>HYPERLINK("http://acuvue.es","acuvue.es")</f>
        <v>acuvue.es</v>
      </c>
      <c r="C19609" t="s">
        <v>443</v>
      </c>
      <c r="D19609" t="s">
        <v>822</v>
      </c>
      <c r="F19609">
        <v>2.8999720101779901E-8</v>
      </c>
      <c r="G19609">
        <v>1775365</v>
      </c>
      <c r="H19609">
        <v>13763824</v>
      </c>
      <c r="I19609">
        <v>7582120</v>
      </c>
      <c r="J19609">
        <v>4</v>
      </c>
    </row>
    <row r="19610" spans="1:10" x14ac:dyDescent="0.25">
      <c r="A19610" t="s">
        <v>218</v>
      </c>
      <c r="B19610" s="1" t="str">
        <f>HYPERLINK("http://listerine.es","listerine.es")</f>
        <v>listerine.es</v>
      </c>
      <c r="C19610" t="s">
        <v>443</v>
      </c>
      <c r="D19610" t="s">
        <v>822</v>
      </c>
      <c r="F19610">
        <v>2.6367320333427399E-8</v>
      </c>
      <c r="G19610">
        <v>1952820</v>
      </c>
      <c r="H19610">
        <v>14381178</v>
      </c>
      <c r="I19610">
        <v>1192375</v>
      </c>
      <c r="J19610">
        <v>4</v>
      </c>
    </row>
    <row r="19611" spans="1:10" x14ac:dyDescent="0.25">
      <c r="A19611" t="s">
        <v>218</v>
      </c>
      <c r="B19611" s="1" t="str">
        <f>HYPERLINK("http://nicorette.es","nicorette.es")</f>
        <v>nicorette.es</v>
      </c>
      <c r="C19611" t="s">
        <v>443</v>
      </c>
      <c r="D19611" t="s">
        <v>822</v>
      </c>
      <c r="F19611">
        <v>8.4751522879441506E-9</v>
      </c>
      <c r="G19611">
        <v>8893102</v>
      </c>
      <c r="H19611">
        <v>12482666</v>
      </c>
      <c r="I19611">
        <v>17574775</v>
      </c>
      <c r="J19611">
        <v>7</v>
      </c>
    </row>
    <row r="19612" spans="1:10" x14ac:dyDescent="0.25">
      <c r="A19612" t="s">
        <v>218</v>
      </c>
      <c r="B19612" s="1" t="str">
        <f>HYPERLINK("http://abiomed.eu","abiomed.eu")</f>
        <v>abiomed.eu</v>
      </c>
      <c r="C19612" t="s">
        <v>444</v>
      </c>
      <c r="F19612">
        <v>7.3984545840096298E-9</v>
      </c>
      <c r="G19612">
        <v>11247258</v>
      </c>
      <c r="H19612">
        <v>12435555</v>
      </c>
      <c r="I19612">
        <v>18207342</v>
      </c>
      <c r="J19612">
        <v>4</v>
      </c>
    </row>
    <row r="19613" spans="1:10" x14ac:dyDescent="0.25">
      <c r="A19613" t="s">
        <v>218</v>
      </c>
      <c r="B19613" s="1" t="str">
        <f>HYPERLINK("http://mentorwwllc.eu","mentorwwllc.eu")</f>
        <v>mentorwwllc.eu</v>
      </c>
      <c r="C19613" t="s">
        <v>444</v>
      </c>
      <c r="F19613">
        <v>7.7376879444625702E-9</v>
      </c>
      <c r="G19613">
        <v>10491757</v>
      </c>
      <c r="H19613">
        <v>10535601</v>
      </c>
      <c r="I19613">
        <v>47648807</v>
      </c>
      <c r="J19613">
        <v>3</v>
      </c>
    </row>
    <row r="19614" spans="1:10" x14ac:dyDescent="0.25">
      <c r="A19614" t="s">
        <v>218</v>
      </c>
      <c r="B19614" s="1" t="str">
        <f>HYPERLINK("http://1-dayacuvuetrueye.fi","1-dayacuvuetrueye.fi")</f>
        <v>1-dayacuvuetrueye.fi</v>
      </c>
      <c r="C19614" t="s">
        <v>445</v>
      </c>
      <c r="D19614" t="s">
        <v>823</v>
      </c>
      <c r="J19614">
        <v>4</v>
      </c>
    </row>
    <row r="19615" spans="1:10" x14ac:dyDescent="0.25">
      <c r="A19615" t="s">
        <v>218</v>
      </c>
      <c r="B19615" s="1" t="str">
        <f>HYPERLINK("http://1dayacuvue.fi","1dayacuvue.fi")</f>
        <v>1dayacuvue.fi</v>
      </c>
      <c r="C19615" t="s">
        <v>445</v>
      </c>
      <c r="D19615" t="s">
        <v>823</v>
      </c>
      <c r="J19615">
        <v>4</v>
      </c>
    </row>
    <row r="19616" spans="1:10" x14ac:dyDescent="0.25">
      <c r="A19616" t="s">
        <v>218</v>
      </c>
      <c r="B19616" s="1" t="str">
        <f>HYPERLINK("http://1dayacuvuecolours.fi","1dayacuvuecolours.fi")</f>
        <v>1dayacuvuecolours.fi</v>
      </c>
      <c r="C19616" t="s">
        <v>445</v>
      </c>
      <c r="D19616" t="s">
        <v>823</v>
      </c>
      <c r="J19616">
        <v>4</v>
      </c>
    </row>
    <row r="19617" spans="1:10" x14ac:dyDescent="0.25">
      <c r="A19617" t="s">
        <v>218</v>
      </c>
      <c r="B19617" s="1" t="str">
        <f>HYPERLINK("http://1dayacuvuedefine.fi","1dayacuvuedefine.fi")</f>
        <v>1dayacuvuedefine.fi</v>
      </c>
      <c r="C19617" t="s">
        <v>445</v>
      </c>
      <c r="D19617" t="s">
        <v>823</v>
      </c>
      <c r="J19617">
        <v>4</v>
      </c>
    </row>
    <row r="19618" spans="1:10" x14ac:dyDescent="0.25">
      <c r="A19618" t="s">
        <v>218</v>
      </c>
      <c r="B19618" s="1" t="str">
        <f>HYPERLINK("http://1dayacuvuemoist.fi","1dayacuvuemoist.fi")</f>
        <v>1dayacuvuemoist.fi</v>
      </c>
      <c r="C19618" t="s">
        <v>445</v>
      </c>
      <c r="D19618" t="s">
        <v>823</v>
      </c>
      <c r="J19618">
        <v>4</v>
      </c>
    </row>
    <row r="19619" spans="1:10" x14ac:dyDescent="0.25">
      <c r="A19619" t="s">
        <v>218</v>
      </c>
      <c r="B19619" s="1" t="str">
        <f>HYPERLINK("http://1dayacuvuetrueye.fi","1dayacuvuetrueye.fi")</f>
        <v>1dayacuvuetrueye.fi</v>
      </c>
      <c r="C19619" t="s">
        <v>445</v>
      </c>
      <c r="D19619" t="s">
        <v>823</v>
      </c>
      <c r="J19619">
        <v>4</v>
      </c>
    </row>
    <row r="19620" spans="1:10" x14ac:dyDescent="0.25">
      <c r="A19620" t="s">
        <v>218</v>
      </c>
      <c r="B19620" s="1" t="str">
        <f>HYPERLINK("http://aanimasennukselle.fi","aanimasennukselle.fi")</f>
        <v>aanimasennukselle.fi</v>
      </c>
      <c r="C19620" t="s">
        <v>445</v>
      </c>
      <c r="D19620" t="s">
        <v>823</v>
      </c>
      <c r="J19620">
        <v>4</v>
      </c>
    </row>
    <row r="19621" spans="1:10" x14ac:dyDescent="0.25">
      <c r="A19621" t="s">
        <v>218</v>
      </c>
      <c r="B19621" s="1" t="str">
        <f>HYPERLINK("http://abi-npp.fi","abi-npp.fi")</f>
        <v>abi-npp.fi</v>
      </c>
      <c r="C19621" t="s">
        <v>445</v>
      </c>
      <c r="D19621" t="s">
        <v>823</v>
      </c>
      <c r="J19621">
        <v>4</v>
      </c>
    </row>
    <row r="19622" spans="1:10" x14ac:dyDescent="0.25">
      <c r="A19622" t="s">
        <v>218</v>
      </c>
      <c r="B19622" s="1" t="str">
        <f>HYPERLINK("http://abiraterone.fi","abiraterone.fi")</f>
        <v>abiraterone.fi</v>
      </c>
      <c r="C19622" t="s">
        <v>445</v>
      </c>
      <c r="D19622" t="s">
        <v>823</v>
      </c>
      <c r="J19622">
        <v>4</v>
      </c>
    </row>
    <row r="19623" spans="1:10" x14ac:dyDescent="0.25">
      <c r="A19623" t="s">
        <v>218</v>
      </c>
      <c r="B19623" s="1" t="str">
        <f>HYPERLINK("http://achieva.fi","achieva.fi")</f>
        <v>achieva.fi</v>
      </c>
      <c r="C19623" t="s">
        <v>445</v>
      </c>
      <c r="D19623" t="s">
        <v>823</v>
      </c>
      <c r="J19623">
        <v>4</v>
      </c>
    </row>
    <row r="19624" spans="1:10" x14ac:dyDescent="0.25">
      <c r="A19624" t="s">
        <v>218</v>
      </c>
      <c r="B19624" s="1" t="str">
        <f>HYPERLINK("http://actelion.fi","actelion.fi")</f>
        <v>actelion.fi</v>
      </c>
      <c r="C19624" t="s">
        <v>445</v>
      </c>
      <c r="D19624" t="s">
        <v>823</v>
      </c>
      <c r="J19624">
        <v>4</v>
      </c>
    </row>
    <row r="19625" spans="1:10" x14ac:dyDescent="0.25">
      <c r="A19625" t="s">
        <v>218</v>
      </c>
      <c r="B19625" s="1" t="str">
        <f>HYPERLINK("http://active-stop.fi","active-stop.fi")</f>
        <v>active-stop.fi</v>
      </c>
      <c r="C19625" t="s">
        <v>445</v>
      </c>
      <c r="D19625" t="s">
        <v>823</v>
      </c>
      <c r="J19625">
        <v>4</v>
      </c>
    </row>
    <row r="19626" spans="1:10" x14ac:dyDescent="0.25">
      <c r="A19626" t="s">
        <v>218</v>
      </c>
      <c r="B19626" s="1" t="str">
        <f>HYPERLINK("http://active-stop-nicorette.fi","active-stop-nicorette.fi")</f>
        <v>active-stop-nicorette.fi</v>
      </c>
      <c r="C19626" t="s">
        <v>445</v>
      </c>
      <c r="D19626" t="s">
        <v>823</v>
      </c>
      <c r="J19626">
        <v>4</v>
      </c>
    </row>
    <row r="19627" spans="1:10" x14ac:dyDescent="0.25">
      <c r="A19627" t="s">
        <v>218</v>
      </c>
      <c r="B19627" s="1" t="str">
        <f>HYPERLINK("http://activestop.fi","activestop.fi")</f>
        <v>activestop.fi</v>
      </c>
      <c r="C19627" t="s">
        <v>445</v>
      </c>
      <c r="D19627" t="s">
        <v>823</v>
      </c>
      <c r="J19627">
        <v>4</v>
      </c>
    </row>
    <row r="19628" spans="1:10" x14ac:dyDescent="0.25">
      <c r="A19628" t="s">
        <v>218</v>
      </c>
      <c r="B19628" s="1" t="str">
        <f>HYPERLINK("http://activestop-nicorette.fi","activestop-nicorette.fi")</f>
        <v>activestop-nicorette.fi</v>
      </c>
      <c r="C19628" t="s">
        <v>445</v>
      </c>
      <c r="D19628" t="s">
        <v>823</v>
      </c>
      <c r="J19628">
        <v>4</v>
      </c>
    </row>
    <row r="19629" spans="1:10" x14ac:dyDescent="0.25">
      <c r="A19629" t="s">
        <v>218</v>
      </c>
      <c r="B19629" s="1" t="str">
        <f>HYPERLINK("http://activestopnicorette.fi","activestopnicorette.fi")</f>
        <v>activestopnicorette.fi</v>
      </c>
      <c r="C19629" t="s">
        <v>445</v>
      </c>
      <c r="D19629" t="s">
        <v>823</v>
      </c>
      <c r="J19629">
        <v>4</v>
      </c>
    </row>
    <row r="19630" spans="1:10" x14ac:dyDescent="0.25">
      <c r="A19630" t="s">
        <v>218</v>
      </c>
      <c r="B19630" s="1" t="str">
        <f>HYPERLINK("http://acuminder.fi","acuminder.fi")</f>
        <v>acuminder.fi</v>
      </c>
      <c r="C19630" t="s">
        <v>445</v>
      </c>
      <c r="D19630" t="s">
        <v>823</v>
      </c>
      <c r="J19630">
        <v>4</v>
      </c>
    </row>
    <row r="19631" spans="1:10" x14ac:dyDescent="0.25">
      <c r="A19631" t="s">
        <v>218</v>
      </c>
      <c r="B19631" s="1" t="str">
        <f>HYPERLINK("http://acuvue.fi","acuvue.fi")</f>
        <v>acuvue.fi</v>
      </c>
      <c r="C19631" t="s">
        <v>445</v>
      </c>
      <c r="D19631" t="s">
        <v>823</v>
      </c>
      <c r="F19631">
        <v>2.8300939137645299E-8</v>
      </c>
      <c r="G19631">
        <v>1818256</v>
      </c>
      <c r="H19631">
        <v>12172393</v>
      </c>
      <c r="I19631">
        <v>24008549</v>
      </c>
      <c r="J19631">
        <v>4</v>
      </c>
    </row>
    <row r="19632" spans="1:10" x14ac:dyDescent="0.25">
      <c r="A19632" t="s">
        <v>218</v>
      </c>
      <c r="B19632" s="1" t="str">
        <f>HYPERLINK("http://acuvue-news.fi","acuvue-news.fi")</f>
        <v>acuvue-news.fi</v>
      </c>
      <c r="C19632" t="s">
        <v>445</v>
      </c>
      <c r="D19632" t="s">
        <v>823</v>
      </c>
      <c r="J19632">
        <v>4</v>
      </c>
    </row>
    <row r="19633" spans="1:10" x14ac:dyDescent="0.25">
      <c r="A19633" t="s">
        <v>218</v>
      </c>
      <c r="B19633" s="1" t="str">
        <f>HYPERLINK("http://acuvue-online.fi","acuvue-online.fi")</f>
        <v>acuvue-online.fi</v>
      </c>
      <c r="C19633" t="s">
        <v>445</v>
      </c>
      <c r="D19633" t="s">
        <v>823</v>
      </c>
      <c r="J19633">
        <v>4</v>
      </c>
    </row>
    <row r="19634" spans="1:10" x14ac:dyDescent="0.25">
      <c r="A19634" t="s">
        <v>218</v>
      </c>
      <c r="B19634" s="1" t="str">
        <f>HYPERLINK("http://acuvue-ultracomfortseries.fi","acuvue-ultracomfortseries.fi")</f>
        <v>acuvue-ultracomfortseries.fi</v>
      </c>
      <c r="C19634" t="s">
        <v>445</v>
      </c>
      <c r="D19634" t="s">
        <v>823</v>
      </c>
      <c r="J19634">
        <v>4</v>
      </c>
    </row>
    <row r="19635" spans="1:10" x14ac:dyDescent="0.25">
      <c r="A19635" t="s">
        <v>218</v>
      </c>
      <c r="B19635" s="1" t="str">
        <f>HYPERLINK("http://acuvue2.fi","acuvue2.fi")</f>
        <v>acuvue2.fi</v>
      </c>
      <c r="C19635" t="s">
        <v>445</v>
      </c>
      <c r="D19635" t="s">
        <v>823</v>
      </c>
      <c r="J19635">
        <v>4</v>
      </c>
    </row>
    <row r="19636" spans="1:10" x14ac:dyDescent="0.25">
      <c r="A19636" t="s">
        <v>218</v>
      </c>
      <c r="B19636" s="1" t="str">
        <f>HYPERLINK("http://acuvue2colours.fi","acuvue2colours.fi")</f>
        <v>acuvue2colours.fi</v>
      </c>
      <c r="C19636" t="s">
        <v>445</v>
      </c>
      <c r="D19636" t="s">
        <v>823</v>
      </c>
      <c r="J19636">
        <v>4</v>
      </c>
    </row>
    <row r="19637" spans="1:10" x14ac:dyDescent="0.25">
      <c r="A19637" t="s">
        <v>218</v>
      </c>
      <c r="B19637" s="1" t="str">
        <f>HYPERLINK("http://acuvueadvance.fi","acuvueadvance.fi")</f>
        <v>acuvueadvance.fi</v>
      </c>
      <c r="C19637" t="s">
        <v>445</v>
      </c>
      <c r="D19637" t="s">
        <v>823</v>
      </c>
      <c r="J19637">
        <v>4</v>
      </c>
    </row>
    <row r="19638" spans="1:10" x14ac:dyDescent="0.25">
      <c r="A19638" t="s">
        <v>218</v>
      </c>
      <c r="B19638" s="1" t="str">
        <f>HYPERLINK("http://acuvueadvanced.fi","acuvueadvanced.fi")</f>
        <v>acuvueadvanced.fi</v>
      </c>
      <c r="C19638" t="s">
        <v>445</v>
      </c>
      <c r="D19638" t="s">
        <v>823</v>
      </c>
      <c r="J19638">
        <v>4</v>
      </c>
    </row>
    <row r="19639" spans="1:10" x14ac:dyDescent="0.25">
      <c r="A19639" t="s">
        <v>218</v>
      </c>
      <c r="B19639" s="1" t="str">
        <f>HYPERLINK("http://acuvueadvanceforastigmatism.fi","acuvueadvanceforastigmatism.fi")</f>
        <v>acuvueadvanceforastigmatism.fi</v>
      </c>
      <c r="C19639" t="s">
        <v>445</v>
      </c>
      <c r="D19639" t="s">
        <v>823</v>
      </c>
      <c r="J19639">
        <v>4</v>
      </c>
    </row>
    <row r="19640" spans="1:10" x14ac:dyDescent="0.25">
      <c r="A19640" t="s">
        <v>218</v>
      </c>
      <c r="B19640" s="1" t="str">
        <f>HYPERLINK("http://acuvueadvancewithhydraclear.fi","acuvueadvancewithhydraclear.fi")</f>
        <v>acuvueadvancewithhydraclear.fi</v>
      </c>
      <c r="C19640" t="s">
        <v>445</v>
      </c>
      <c r="D19640" t="s">
        <v>823</v>
      </c>
      <c r="J19640">
        <v>4</v>
      </c>
    </row>
    <row r="19641" spans="1:10" x14ac:dyDescent="0.25">
      <c r="A19641" t="s">
        <v>218</v>
      </c>
      <c r="B19641" s="1" t="str">
        <f>HYPERLINK("http://acuvuebifocal.fi","acuvuebifocal.fi")</f>
        <v>acuvuebifocal.fi</v>
      </c>
      <c r="C19641" t="s">
        <v>445</v>
      </c>
      <c r="D19641" t="s">
        <v>823</v>
      </c>
      <c r="J19641">
        <v>4</v>
      </c>
    </row>
    <row r="19642" spans="1:10" x14ac:dyDescent="0.25">
      <c r="A19642" t="s">
        <v>218</v>
      </c>
      <c r="B19642" s="1" t="str">
        <f>HYPERLINK("http://acuvuecolours.fi","acuvuecolours.fi")</f>
        <v>acuvuecolours.fi</v>
      </c>
      <c r="C19642" t="s">
        <v>445</v>
      </c>
      <c r="D19642" t="s">
        <v>823</v>
      </c>
      <c r="J19642">
        <v>4</v>
      </c>
    </row>
    <row r="19643" spans="1:10" x14ac:dyDescent="0.25">
      <c r="A19643" t="s">
        <v>218</v>
      </c>
      <c r="B19643" s="1" t="str">
        <f>HYPERLINK("http://acuvuecontactlenses.fi","acuvuecontactlenses.fi")</f>
        <v>acuvuecontactlenses.fi</v>
      </c>
      <c r="C19643" t="s">
        <v>445</v>
      </c>
      <c r="D19643" t="s">
        <v>823</v>
      </c>
      <c r="J19643">
        <v>4</v>
      </c>
    </row>
    <row r="19644" spans="1:10" x14ac:dyDescent="0.25">
      <c r="A19644" t="s">
        <v>218</v>
      </c>
      <c r="B19644" s="1" t="str">
        <f>HYPERLINK("http://acuvueforastigmatism.fi","acuvueforastigmatism.fi")</f>
        <v>acuvueforastigmatism.fi</v>
      </c>
      <c r="C19644" t="s">
        <v>445</v>
      </c>
      <c r="D19644" t="s">
        <v>823</v>
      </c>
      <c r="J19644">
        <v>4</v>
      </c>
    </row>
    <row r="19645" spans="1:10" x14ac:dyDescent="0.25">
      <c r="A19645" t="s">
        <v>218</v>
      </c>
      <c r="B19645" s="1" t="str">
        <f>HYPERLINK("http://acuvuelinssit.fi","acuvuelinssit.fi")</f>
        <v>acuvuelinssit.fi</v>
      </c>
      <c r="C19645" t="s">
        <v>445</v>
      </c>
      <c r="D19645" t="s">
        <v>823</v>
      </c>
      <c r="J19645">
        <v>4</v>
      </c>
    </row>
    <row r="19646" spans="1:10" x14ac:dyDescent="0.25">
      <c r="A19646" t="s">
        <v>218</v>
      </c>
      <c r="B19646" s="1" t="str">
        <f>HYPERLINK("http://acuvuemerkkisetpiilolasit.fi","acuvuemerkkisetpiilolasit.fi")</f>
        <v>acuvuemerkkisetpiilolasit.fi</v>
      </c>
      <c r="C19646" t="s">
        <v>445</v>
      </c>
      <c r="D19646" t="s">
        <v>823</v>
      </c>
      <c r="J19646">
        <v>4</v>
      </c>
    </row>
    <row r="19647" spans="1:10" x14ac:dyDescent="0.25">
      <c r="A19647" t="s">
        <v>218</v>
      </c>
      <c r="B19647" s="1" t="str">
        <f>HYPERLINK("http://acuvuemoist.fi","acuvuemoist.fi")</f>
        <v>acuvuemoist.fi</v>
      </c>
      <c r="C19647" t="s">
        <v>445</v>
      </c>
      <c r="D19647" t="s">
        <v>823</v>
      </c>
      <c r="J19647">
        <v>4</v>
      </c>
    </row>
    <row r="19648" spans="1:10" x14ac:dyDescent="0.25">
      <c r="A19648" t="s">
        <v>218</v>
      </c>
      <c r="B19648" s="1" t="str">
        <f>HYPERLINK("http://acuvueoasys.fi","acuvueoasys.fi")</f>
        <v>acuvueoasys.fi</v>
      </c>
      <c r="C19648" t="s">
        <v>445</v>
      </c>
      <c r="D19648" t="s">
        <v>823</v>
      </c>
      <c r="J19648">
        <v>4</v>
      </c>
    </row>
    <row r="19649" spans="1:10" x14ac:dyDescent="0.25">
      <c r="A19649" t="s">
        <v>218</v>
      </c>
      <c r="B19649" s="1" t="str">
        <f>HYPERLINK("http://acuvuetrueye.fi","acuvuetrueye.fi")</f>
        <v>acuvuetrueye.fi</v>
      </c>
      <c r="C19649" t="s">
        <v>445</v>
      </c>
      <c r="D19649" t="s">
        <v>823</v>
      </c>
      <c r="J19649">
        <v>4</v>
      </c>
    </row>
    <row r="19650" spans="1:10" x14ac:dyDescent="0.25">
      <c r="A19650" t="s">
        <v>218</v>
      </c>
      <c r="B19650" s="1" t="str">
        <f>HYPERLINK("http://adhd.fi","adhd.fi")</f>
        <v>adhd.fi</v>
      </c>
      <c r="C19650" t="s">
        <v>445</v>
      </c>
      <c r="D19650" t="s">
        <v>823</v>
      </c>
      <c r="J19650">
        <v>4</v>
      </c>
    </row>
    <row r="19651" spans="1:10" x14ac:dyDescent="0.25">
      <c r="A19651" t="s">
        <v>218</v>
      </c>
      <c r="B19651" s="1" t="str">
        <f>HYPERLINK("http://adhd-tietoa.fi","adhd-tietoa.fi")</f>
        <v>adhd-tietoa.fi</v>
      </c>
      <c r="C19651" t="s">
        <v>445</v>
      </c>
      <c r="D19651" t="s">
        <v>823</v>
      </c>
      <c r="F19651">
        <v>8.5866403570245002E-9</v>
      </c>
      <c r="G19651">
        <v>8680653</v>
      </c>
      <c r="H19651">
        <v>12408697</v>
      </c>
      <c r="I19651">
        <v>18625922</v>
      </c>
      <c r="J19651">
        <v>4</v>
      </c>
    </row>
    <row r="19652" spans="1:10" x14ac:dyDescent="0.25">
      <c r="A19652" t="s">
        <v>218</v>
      </c>
      <c r="B19652" s="1" t="str">
        <f>HYPERLINK("http://alahukkaaaikaa.fi","alahukkaaaikaa.fi")</f>
        <v>alahukkaaaikaa.fi</v>
      </c>
      <c r="C19652" t="s">
        <v>445</v>
      </c>
      <c r="D19652" t="s">
        <v>823</v>
      </c>
      <c r="J19652">
        <v>4</v>
      </c>
    </row>
    <row r="19653" spans="1:10" x14ac:dyDescent="0.25">
      <c r="A19653" t="s">
        <v>218</v>
      </c>
      <c r="B19653" s="1" t="str">
        <f>HYPERLINK("http://allergiainfo.fi","allergiainfo.fi")</f>
        <v>allergiainfo.fi</v>
      </c>
      <c r="C19653" t="s">
        <v>445</v>
      </c>
      <c r="D19653" t="s">
        <v>823</v>
      </c>
      <c r="J19653">
        <v>4</v>
      </c>
    </row>
    <row r="19654" spans="1:10" x14ac:dyDescent="0.25">
      <c r="A19654" t="s">
        <v>218</v>
      </c>
      <c r="B19654" s="1" t="str">
        <f>HYPERLINK("http://amyloidoosi.fi","amyloidoosi.fi")</f>
        <v>amyloidoosi.fi</v>
      </c>
      <c r="C19654" t="s">
        <v>445</v>
      </c>
      <c r="D19654" t="s">
        <v>823</v>
      </c>
      <c r="J19654">
        <v>4</v>
      </c>
    </row>
    <row r="19655" spans="1:10" x14ac:dyDescent="0.25">
      <c r="A19655" t="s">
        <v>218</v>
      </c>
      <c r="B19655" s="1" t="str">
        <f>HYPERLINK("http://annapalaa.fi","annapalaa.fi")</f>
        <v>annapalaa.fi</v>
      </c>
      <c r="C19655" t="s">
        <v>445</v>
      </c>
      <c r="D19655" t="s">
        <v>823</v>
      </c>
      <c r="J19655">
        <v>4</v>
      </c>
    </row>
    <row r="19656" spans="1:10" x14ac:dyDescent="0.25">
      <c r="A19656" t="s">
        <v>218</v>
      </c>
      <c r="B19656" s="1" t="str">
        <f>HYPERLINK("http://aspjj.fi","aspjj.fi")</f>
        <v>aspjj.fi</v>
      </c>
      <c r="C19656" t="s">
        <v>445</v>
      </c>
      <c r="D19656" t="s">
        <v>823</v>
      </c>
      <c r="J19656">
        <v>4</v>
      </c>
    </row>
    <row r="19657" spans="1:10" x14ac:dyDescent="0.25">
      <c r="A19657" t="s">
        <v>218</v>
      </c>
      <c r="B19657" s="1" t="str">
        <f>HYPERLINK("http://aveeno.fi","aveeno.fi")</f>
        <v>aveeno.fi</v>
      </c>
      <c r="C19657" t="s">
        <v>445</v>
      </c>
      <c r="D19657" t="s">
        <v>823</v>
      </c>
      <c r="F19657">
        <v>5.0378483200576101E-9</v>
      </c>
      <c r="G19657">
        <v>28492338</v>
      </c>
      <c r="H19657">
        <v>8664721</v>
      </c>
      <c r="I19657">
        <v>70237718</v>
      </c>
      <c r="J19657">
        <v>4</v>
      </c>
    </row>
    <row r="19658" spans="1:10" x14ac:dyDescent="0.25">
      <c r="A19658" t="s">
        <v>218</v>
      </c>
      <c r="B19658" s="1" t="str">
        <f>HYPERLINK("http://bafucin.fi","bafucin.fi")</f>
        <v>bafucin.fi</v>
      </c>
      <c r="C19658" t="s">
        <v>445</v>
      </c>
      <c r="D19658" t="s">
        <v>823</v>
      </c>
      <c r="J19658">
        <v>4</v>
      </c>
    </row>
    <row r="19659" spans="1:10" x14ac:dyDescent="0.25">
      <c r="A19659" t="s">
        <v>218</v>
      </c>
      <c r="B19659" s="1" t="str">
        <f>HYPERLINK("http://bariatricedge.fi","bariatricedge.fi")</f>
        <v>bariatricedge.fi</v>
      </c>
      <c r="C19659" t="s">
        <v>445</v>
      </c>
      <c r="D19659" t="s">
        <v>823</v>
      </c>
      <c r="J19659">
        <v>4</v>
      </c>
    </row>
    <row r="19660" spans="1:10" x14ac:dyDescent="0.25">
      <c r="A19660" t="s">
        <v>218</v>
      </c>
      <c r="B19660" s="1" t="str">
        <f>HYPERLINK("http://benadryl.fi","benadryl.fi")</f>
        <v>benadryl.fi</v>
      </c>
      <c r="C19660" t="s">
        <v>445</v>
      </c>
      <c r="D19660" t="s">
        <v>823</v>
      </c>
      <c r="J19660">
        <v>4</v>
      </c>
    </row>
    <row r="19661" spans="1:10" x14ac:dyDescent="0.25">
      <c r="A19661" t="s">
        <v>218</v>
      </c>
      <c r="B19661" s="1" t="str">
        <f>HYPERLINK("http://bipolaaritietoa.fi","bipolaaritietoa.fi")</f>
        <v>bipolaaritietoa.fi</v>
      </c>
      <c r="C19661" t="s">
        <v>445</v>
      </c>
      <c r="D19661" t="s">
        <v>823</v>
      </c>
      <c r="J19661">
        <v>4</v>
      </c>
    </row>
    <row r="19662" spans="1:10" x14ac:dyDescent="0.25">
      <c r="A19662" t="s">
        <v>218</v>
      </c>
      <c r="B19662" s="1" t="str">
        <f>HYPERLINK("http://brasiliakilpailu.fi","brasiliakilpailu.fi")</f>
        <v>brasiliakilpailu.fi</v>
      </c>
      <c r="C19662" t="s">
        <v>445</v>
      </c>
      <c r="D19662" t="s">
        <v>823</v>
      </c>
      <c r="J19662">
        <v>4</v>
      </c>
    </row>
    <row r="19663" spans="1:10" x14ac:dyDescent="0.25">
      <c r="A19663" t="s">
        <v>218</v>
      </c>
      <c r="B19663" s="1" t="str">
        <f>HYPERLINK("http://concerta.fi","concerta.fi")</f>
        <v>concerta.fi</v>
      </c>
      <c r="C19663" t="s">
        <v>445</v>
      </c>
      <c r="D19663" t="s">
        <v>823</v>
      </c>
      <c r="J19663">
        <v>4</v>
      </c>
    </row>
    <row r="19664" spans="1:10" x14ac:dyDescent="0.25">
      <c r="A19664" t="s">
        <v>218</v>
      </c>
      <c r="B19664" s="1" t="str">
        <f>HYPERLINK("http://consumerhealthcare.fi","consumerhealthcare.fi")</f>
        <v>consumerhealthcare.fi</v>
      </c>
      <c r="C19664" t="s">
        <v>445</v>
      </c>
      <c r="D19664" t="s">
        <v>823</v>
      </c>
      <c r="F19664">
        <v>9.8638722967503702E-9</v>
      </c>
      <c r="G19664">
        <v>6898358</v>
      </c>
      <c r="H19664">
        <v>11222623</v>
      </c>
      <c r="I19664">
        <v>31073334</v>
      </c>
      <c r="J19664">
        <v>4</v>
      </c>
    </row>
    <row r="19665" spans="1:10" x14ac:dyDescent="0.25">
      <c r="A19665" t="s">
        <v>218</v>
      </c>
      <c r="B19665" s="1" t="str">
        <f>HYPERLINK("http://cquence.fi","cquence.fi")</f>
        <v>cquence.fi</v>
      </c>
      <c r="C19665" t="s">
        <v>445</v>
      </c>
      <c r="D19665" t="s">
        <v>823</v>
      </c>
      <c r="J19665">
        <v>4</v>
      </c>
    </row>
    <row r="19666" spans="1:10" x14ac:dyDescent="0.25">
      <c r="A19666" t="s">
        <v>218</v>
      </c>
      <c r="B19666" s="1" t="str">
        <f>HYPERLINK("http://dara-info.fi","dara-info.fi")</f>
        <v>dara-info.fi</v>
      </c>
      <c r="C19666" t="s">
        <v>445</v>
      </c>
      <c r="D19666" t="s">
        <v>823</v>
      </c>
      <c r="J19666">
        <v>4</v>
      </c>
    </row>
    <row r="19667" spans="1:10" x14ac:dyDescent="0.25">
      <c r="A19667" t="s">
        <v>218</v>
      </c>
      <c r="B19667" s="1" t="str">
        <f>HYPERLINK("http://darzalex.fi","darzalex.fi")</f>
        <v>darzalex.fi</v>
      </c>
      <c r="C19667" t="s">
        <v>445</v>
      </c>
      <c r="D19667" t="s">
        <v>823</v>
      </c>
      <c r="J19667">
        <v>4</v>
      </c>
    </row>
    <row r="19668" spans="1:10" x14ac:dyDescent="0.25">
      <c r="A19668" t="s">
        <v>218</v>
      </c>
      <c r="B19668" s="1" t="str">
        <f>HYPERLINK("http://diabeteslive.fi","diabeteslive.fi")</f>
        <v>diabeteslive.fi</v>
      </c>
      <c r="C19668" t="s">
        <v>445</v>
      </c>
      <c r="D19668" t="s">
        <v>823</v>
      </c>
      <c r="J19668">
        <v>4</v>
      </c>
    </row>
    <row r="19669" spans="1:10" x14ac:dyDescent="0.25">
      <c r="A19669" t="s">
        <v>218</v>
      </c>
      <c r="B19669" s="1" t="str">
        <f>HYPERLINK("http://dolorcare.fi","dolorcare.fi")</f>
        <v>dolorcare.fi</v>
      </c>
      <c r="C19669" t="s">
        <v>445</v>
      </c>
      <c r="D19669" t="s">
        <v>823</v>
      </c>
      <c r="J19669">
        <v>4</v>
      </c>
    </row>
    <row r="19670" spans="1:10" x14ac:dyDescent="0.25">
      <c r="A19670" t="s">
        <v>218</v>
      </c>
      <c r="B19670" s="1" t="str">
        <f>HYPERLINK("http://durogesic.fi","durogesic.fi")</f>
        <v>durogesic.fi</v>
      </c>
      <c r="C19670" t="s">
        <v>445</v>
      </c>
      <c r="D19670" t="s">
        <v>823</v>
      </c>
      <c r="J19670">
        <v>4</v>
      </c>
    </row>
    <row r="19671" spans="1:10" x14ac:dyDescent="0.25">
      <c r="A19671" t="s">
        <v>218</v>
      </c>
      <c r="B19671" s="1" t="str">
        <f>HYPERLINK("http://ees.fi","ees.fi")</f>
        <v>ees.fi</v>
      </c>
      <c r="C19671" t="s">
        <v>445</v>
      </c>
      <c r="D19671" t="s">
        <v>823</v>
      </c>
      <c r="J19671">
        <v>4</v>
      </c>
    </row>
    <row r="19672" spans="1:10" x14ac:dyDescent="0.25">
      <c r="A19672" t="s">
        <v>218</v>
      </c>
      <c r="B19672" s="1" t="str">
        <f>HYPERLINK("http://erleada.fi","erleada.fi")</f>
        <v>erleada.fi</v>
      </c>
      <c r="C19672" t="s">
        <v>445</v>
      </c>
      <c r="D19672" t="s">
        <v>823</v>
      </c>
      <c r="J19672">
        <v>4</v>
      </c>
    </row>
    <row r="19673" spans="1:10" x14ac:dyDescent="0.25">
      <c r="A19673" t="s">
        <v>218</v>
      </c>
      <c r="B19673" s="1" t="str">
        <f>HYPERLINK("http://eteisvarina.fi","eteisvarina.fi")</f>
        <v>eteisvarina.fi</v>
      </c>
      <c r="C19673" t="s">
        <v>445</v>
      </c>
      <c r="D19673" t="s">
        <v>823</v>
      </c>
      <c r="J19673">
        <v>4</v>
      </c>
    </row>
    <row r="19674" spans="1:10" x14ac:dyDescent="0.25">
      <c r="A19674" t="s">
        <v>218</v>
      </c>
      <c r="B19674" s="1" t="str">
        <f>HYPERLINK("http://ethiconendo-surgery.fi","ethiconendo-surgery.fi")</f>
        <v>ethiconendo-surgery.fi</v>
      </c>
      <c r="C19674" t="s">
        <v>445</v>
      </c>
      <c r="D19674" t="s">
        <v>823</v>
      </c>
      <c r="J19674">
        <v>4</v>
      </c>
    </row>
    <row r="19675" spans="1:10" x14ac:dyDescent="0.25">
      <c r="A19675" t="s">
        <v>218</v>
      </c>
      <c r="B19675" s="1" t="str">
        <f>HYPERLINK("http://evarrest.fi","evarrest.fi")</f>
        <v>evarrest.fi</v>
      </c>
      <c r="C19675" t="s">
        <v>445</v>
      </c>
      <c r="D19675" t="s">
        <v>823</v>
      </c>
      <c r="J19675">
        <v>4</v>
      </c>
    </row>
    <row r="19676" spans="1:10" x14ac:dyDescent="0.25">
      <c r="A19676" t="s">
        <v>218</v>
      </c>
      <c r="B19676" s="1" t="str">
        <f>HYPERLINK("http://evra.fi","evra.fi")</f>
        <v>evra.fi</v>
      </c>
      <c r="C19676" t="s">
        <v>445</v>
      </c>
      <c r="D19676" t="s">
        <v>823</v>
      </c>
      <c r="J19676">
        <v>4</v>
      </c>
    </row>
    <row r="19677" spans="1:10" x14ac:dyDescent="0.25">
      <c r="A19677" t="s">
        <v>218</v>
      </c>
      <c r="B19677" s="1" t="str">
        <f>HYPERLINK("http://exuviance.fi","exuviance.fi")</f>
        <v>exuviance.fi</v>
      </c>
      <c r="C19677" t="s">
        <v>445</v>
      </c>
      <c r="D19677" t="s">
        <v>823</v>
      </c>
      <c r="F19677">
        <v>4.39965677561727E-8</v>
      </c>
      <c r="G19677">
        <v>1081774</v>
      </c>
      <c r="H19677">
        <v>13882782</v>
      </c>
      <c r="I19677">
        <v>5975605</v>
      </c>
      <c r="J19677">
        <v>4</v>
      </c>
    </row>
    <row r="19678" spans="1:10" x14ac:dyDescent="0.25">
      <c r="A19678" t="s">
        <v>218</v>
      </c>
      <c r="B19678" s="1" t="str">
        <f>HYPERLINK("http://freshworld.fi","freshworld.fi")</f>
        <v>freshworld.fi</v>
      </c>
      <c r="C19678" t="s">
        <v>445</v>
      </c>
      <c r="D19678" t="s">
        <v>823</v>
      </c>
      <c r="J19678">
        <v>4</v>
      </c>
    </row>
    <row r="19679" spans="1:10" x14ac:dyDescent="0.25">
      <c r="A19679" t="s">
        <v>218</v>
      </c>
      <c r="B19679" s="1" t="str">
        <f>HYPERLINK("http://glucofilter.fi","glucofilter.fi")</f>
        <v>glucofilter.fi</v>
      </c>
      <c r="C19679" t="s">
        <v>445</v>
      </c>
      <c r="D19679" t="s">
        <v>823</v>
      </c>
      <c r="J19679">
        <v>4</v>
      </c>
    </row>
    <row r="19680" spans="1:10" x14ac:dyDescent="0.25">
      <c r="A19680" t="s">
        <v>218</v>
      </c>
      <c r="B19680" s="1" t="str">
        <f>HYPERLINK("http://gynecare.fi","gynecare.fi")</f>
        <v>gynecare.fi</v>
      </c>
      <c r="C19680" t="s">
        <v>445</v>
      </c>
      <c r="D19680" t="s">
        <v>823</v>
      </c>
      <c r="J19680">
        <v>4</v>
      </c>
    </row>
    <row r="19681" spans="1:10" x14ac:dyDescent="0.25">
      <c r="A19681" t="s">
        <v>218</v>
      </c>
      <c r="B19681" s="1" t="str">
        <f>HYPERLINK("http://heinanuhainfo.fi","heinanuhainfo.fi")</f>
        <v>heinanuhainfo.fi</v>
      </c>
      <c r="C19681" t="s">
        <v>445</v>
      </c>
      <c r="D19681" t="s">
        <v>823</v>
      </c>
      <c r="J19681">
        <v>4</v>
      </c>
    </row>
    <row r="19682" spans="1:10" x14ac:dyDescent="0.25">
      <c r="A19682" t="s">
        <v>218</v>
      </c>
      <c r="B19682" s="1" t="str">
        <f>HYPERLINK("http://hepchange.fi","hepchange.fi")</f>
        <v>hepchange.fi</v>
      </c>
      <c r="C19682" t="s">
        <v>445</v>
      </c>
      <c r="D19682" t="s">
        <v>823</v>
      </c>
      <c r="J19682">
        <v>4</v>
      </c>
    </row>
    <row r="19683" spans="1:10" x14ac:dyDescent="0.25">
      <c r="A19683" t="s">
        <v>218</v>
      </c>
      <c r="B19683" s="1" t="str">
        <f>HYPERLINK("http://hextrill.fi","hextrill.fi")</f>
        <v>hextrill.fi</v>
      </c>
      <c r="C19683" t="s">
        <v>445</v>
      </c>
      <c r="D19683" t="s">
        <v>823</v>
      </c>
      <c r="J19683">
        <v>4</v>
      </c>
    </row>
    <row r="19684" spans="1:10" x14ac:dyDescent="0.25">
      <c r="A19684" t="s">
        <v>218</v>
      </c>
      <c r="B19684" s="1" t="str">
        <f>HYPERLINK("http://hiuksetlahtee.fi","hiuksetlahtee.fi")</f>
        <v>hiuksetlahtee.fi</v>
      </c>
      <c r="C19684" t="s">
        <v>445</v>
      </c>
      <c r="D19684" t="s">
        <v>823</v>
      </c>
      <c r="J19684">
        <v>4</v>
      </c>
    </row>
    <row r="19685" spans="1:10" x14ac:dyDescent="0.25">
      <c r="A19685" t="s">
        <v>218</v>
      </c>
      <c r="B19685" s="1" t="str">
        <f>HYPERLINK("http://hiustenkasvu.fi","hiustenkasvu.fi")</f>
        <v>hiustenkasvu.fi</v>
      </c>
      <c r="C19685" t="s">
        <v>445</v>
      </c>
      <c r="D19685" t="s">
        <v>823</v>
      </c>
      <c r="J19685">
        <v>4</v>
      </c>
    </row>
    <row r="19686" spans="1:10" x14ac:dyDescent="0.25">
      <c r="A19686" t="s">
        <v>218</v>
      </c>
      <c r="B19686" s="1" t="str">
        <f>HYPERLINK("http://hiustenlahto.fi","hiustenlahto.fi")</f>
        <v>hiustenlahto.fi</v>
      </c>
      <c r="C19686" t="s">
        <v>445</v>
      </c>
      <c r="D19686" t="s">
        <v>823</v>
      </c>
      <c r="J19686">
        <v>4</v>
      </c>
    </row>
    <row r="19687" spans="1:10" x14ac:dyDescent="0.25">
      <c r="A19687" t="s">
        <v>218</v>
      </c>
      <c r="B19687" s="1" t="str">
        <f>HYPERLINK("http://hivjaelama.fi","hivjaelama.fi")</f>
        <v>hivjaelama.fi</v>
      </c>
      <c r="C19687" t="s">
        <v>445</v>
      </c>
      <c r="D19687" t="s">
        <v>823</v>
      </c>
      <c r="J19687">
        <v>4</v>
      </c>
    </row>
    <row r="19688" spans="1:10" x14ac:dyDescent="0.25">
      <c r="A19688" t="s">
        <v>218</v>
      </c>
      <c r="B19688" s="1" t="str">
        <f>HYPERLINK("http://hydraclear.fi","hydraclear.fi")</f>
        <v>hydraclear.fi</v>
      </c>
      <c r="C19688" t="s">
        <v>445</v>
      </c>
      <c r="D19688" t="s">
        <v>823</v>
      </c>
      <c r="J19688">
        <v>4</v>
      </c>
    </row>
    <row r="19689" spans="1:10" x14ac:dyDescent="0.25">
      <c r="A19689" t="s">
        <v>218</v>
      </c>
      <c r="B19689" s="1" t="str">
        <f>HYPERLINK("http://ibdjaraskaus.fi","ibdjaraskaus.fi")</f>
        <v>ibdjaraskaus.fi</v>
      </c>
      <c r="C19689" t="s">
        <v>445</v>
      </c>
      <c r="D19689" t="s">
        <v>823</v>
      </c>
      <c r="J19689">
        <v>4</v>
      </c>
    </row>
    <row r="19690" spans="1:10" x14ac:dyDescent="0.25">
      <c r="A19690" t="s">
        <v>218</v>
      </c>
      <c r="B19690" s="1" t="str">
        <f>HYPERLINK("http://icope.fi","icope.fi")</f>
        <v>icope.fi</v>
      </c>
      <c r="C19690" t="s">
        <v>445</v>
      </c>
      <c r="D19690" t="s">
        <v>823</v>
      </c>
      <c r="F19690">
        <v>6.8329217942919399E-9</v>
      </c>
      <c r="G19690">
        <v>12852977</v>
      </c>
      <c r="H19690">
        <v>11370137</v>
      </c>
      <c r="I19690">
        <v>30327397</v>
      </c>
      <c r="J19690">
        <v>4</v>
      </c>
    </row>
    <row r="19691" spans="1:10" x14ac:dyDescent="0.25">
      <c r="A19691" t="s">
        <v>218</v>
      </c>
      <c r="B19691" s="1" t="str">
        <f>HYPERLINK("http://ido-e.fi","ido-e.fi")</f>
        <v>ido-e.fi</v>
      </c>
      <c r="C19691" t="s">
        <v>445</v>
      </c>
      <c r="D19691" t="s">
        <v>823</v>
      </c>
      <c r="J19691">
        <v>4</v>
      </c>
    </row>
    <row r="19692" spans="1:10" x14ac:dyDescent="0.25">
      <c r="A19692" t="s">
        <v>218</v>
      </c>
      <c r="B19692" s="1" t="str">
        <f>HYPERLINK("http://ihonalla.fi","ihonalla.fi")</f>
        <v>ihonalla.fi</v>
      </c>
      <c r="C19692" t="s">
        <v>445</v>
      </c>
      <c r="D19692" t="s">
        <v>823</v>
      </c>
      <c r="F19692">
        <v>4.4721765972998603E-9</v>
      </c>
      <c r="G19692">
        <v>64045857</v>
      </c>
      <c r="H19692">
        <v>11089687</v>
      </c>
      <c r="I19692">
        <v>32386224</v>
      </c>
      <c r="J19692">
        <v>4</v>
      </c>
    </row>
    <row r="19693" spans="1:10" x14ac:dyDescent="0.25">
      <c r="A19693" t="s">
        <v>218</v>
      </c>
      <c r="B19693" s="1" t="str">
        <f>HYPERLINK("http://imbruvica.fi","imbruvica.fi")</f>
        <v>imbruvica.fi</v>
      </c>
      <c r="C19693" t="s">
        <v>445</v>
      </c>
      <c r="D19693" t="s">
        <v>823</v>
      </c>
      <c r="J19693">
        <v>4</v>
      </c>
    </row>
    <row r="19694" spans="1:10" x14ac:dyDescent="0.25">
      <c r="A19694" t="s">
        <v>218</v>
      </c>
      <c r="B19694" s="1" t="str">
        <f>HYPERLINK("http://imodium.fi","imodium.fi")</f>
        <v>imodium.fi</v>
      </c>
      <c r="C19694" t="s">
        <v>445</v>
      </c>
      <c r="D19694" t="s">
        <v>823</v>
      </c>
      <c r="F19694">
        <v>5.6572106186412703E-9</v>
      </c>
      <c r="G19694">
        <v>19328978</v>
      </c>
      <c r="H19694">
        <v>13763635</v>
      </c>
      <c r="I19694">
        <v>8221707</v>
      </c>
      <c r="J19694">
        <v>4</v>
      </c>
    </row>
    <row r="19695" spans="1:10" x14ac:dyDescent="0.25">
      <c r="A19695" t="s">
        <v>218</v>
      </c>
      <c r="B19695" s="1" t="str">
        <f>HYPERLINK("http://imodiumplus.fi","imodiumplus.fi")</f>
        <v>imodiumplus.fi</v>
      </c>
      <c r="C19695" t="s">
        <v>445</v>
      </c>
      <c r="D19695" t="s">
        <v>823</v>
      </c>
      <c r="J19695">
        <v>4</v>
      </c>
    </row>
    <row r="19696" spans="1:10" x14ac:dyDescent="0.25">
      <c r="A19696" t="s">
        <v>218</v>
      </c>
      <c r="B19696" s="1" t="str">
        <f>HYPERLINK("http://imoflora.fi","imoflora.fi")</f>
        <v>imoflora.fi</v>
      </c>
      <c r="C19696" t="s">
        <v>445</v>
      </c>
      <c r="D19696" t="s">
        <v>823</v>
      </c>
      <c r="J19696">
        <v>4</v>
      </c>
    </row>
    <row r="19697" spans="1:10" x14ac:dyDescent="0.25">
      <c r="A19697" t="s">
        <v>218</v>
      </c>
      <c r="B19697" s="1" t="str">
        <f>HYPERLINK("http://imogas.fi","imogas.fi")</f>
        <v>imogas.fi</v>
      </c>
      <c r="C19697" t="s">
        <v>445</v>
      </c>
      <c r="D19697" t="s">
        <v>823</v>
      </c>
      <c r="J19697">
        <v>4</v>
      </c>
    </row>
    <row r="19698" spans="1:10" x14ac:dyDescent="0.25">
      <c r="A19698" t="s">
        <v>218</v>
      </c>
      <c r="B19698" s="1" t="str">
        <f>HYPERLINK("http://impaqtiv.fi","impaqtiv.fi")</f>
        <v>impaqtiv.fi</v>
      </c>
      <c r="C19698" t="s">
        <v>445</v>
      </c>
      <c r="D19698" t="s">
        <v>823</v>
      </c>
      <c r="J19698">
        <v>4</v>
      </c>
    </row>
    <row r="19699" spans="1:10" x14ac:dyDescent="0.25">
      <c r="A19699" t="s">
        <v>218</v>
      </c>
      <c r="B19699" s="1" t="str">
        <f>HYPERLINK("http://incivo.fi","incivo.fi")</f>
        <v>incivo.fi</v>
      </c>
      <c r="C19699" t="s">
        <v>445</v>
      </c>
      <c r="D19699" t="s">
        <v>823</v>
      </c>
      <c r="J19699">
        <v>4</v>
      </c>
    </row>
    <row r="19700" spans="1:10" x14ac:dyDescent="0.25">
      <c r="A19700" t="s">
        <v>218</v>
      </c>
      <c r="B19700" s="1" t="str">
        <f>HYPERLINK("http://independencenow.fi","independencenow.fi")</f>
        <v>independencenow.fi</v>
      </c>
      <c r="C19700" t="s">
        <v>445</v>
      </c>
      <c r="D19700" t="s">
        <v>823</v>
      </c>
      <c r="J19700">
        <v>4</v>
      </c>
    </row>
    <row r="19701" spans="1:10" x14ac:dyDescent="0.25">
      <c r="A19701" t="s">
        <v>218</v>
      </c>
      <c r="B19701" s="1" t="str">
        <f>HYPERLINK("http://independencetechnology.fi","independencetechnology.fi")</f>
        <v>independencetechnology.fi</v>
      </c>
      <c r="C19701" t="s">
        <v>445</v>
      </c>
      <c r="D19701" t="s">
        <v>823</v>
      </c>
      <c r="J19701">
        <v>4</v>
      </c>
    </row>
    <row r="19702" spans="1:10" x14ac:dyDescent="0.25">
      <c r="A19702" t="s">
        <v>218</v>
      </c>
      <c r="B19702" s="1" t="str">
        <f>HYPERLINK("http://independencezone.fi","independencezone.fi")</f>
        <v>independencezone.fi</v>
      </c>
      <c r="C19702" t="s">
        <v>445</v>
      </c>
      <c r="D19702" t="s">
        <v>823</v>
      </c>
      <c r="J19702">
        <v>4</v>
      </c>
    </row>
    <row r="19703" spans="1:10" x14ac:dyDescent="0.25">
      <c r="A19703" t="s">
        <v>218</v>
      </c>
      <c r="B19703" s="1" t="str">
        <f>HYPERLINK("http://intelence.fi","intelence.fi")</f>
        <v>intelence.fi</v>
      </c>
      <c r="C19703" t="s">
        <v>445</v>
      </c>
      <c r="D19703" t="s">
        <v>823</v>
      </c>
      <c r="J19703">
        <v>4</v>
      </c>
    </row>
    <row r="19704" spans="1:10" x14ac:dyDescent="0.25">
      <c r="A19704" t="s">
        <v>218</v>
      </c>
      <c r="B19704" s="1" t="str">
        <f>HYPERLINK("http://invega.fi","invega.fi")</f>
        <v>invega.fi</v>
      </c>
      <c r="C19704" t="s">
        <v>445</v>
      </c>
      <c r="D19704" t="s">
        <v>823</v>
      </c>
      <c r="J19704">
        <v>4</v>
      </c>
    </row>
    <row r="19705" spans="1:10" x14ac:dyDescent="0.25">
      <c r="A19705" t="s">
        <v>218</v>
      </c>
      <c r="B19705" s="1" t="str">
        <f>HYPERLINK("http://invokana.fi","invokana.fi")</f>
        <v>invokana.fi</v>
      </c>
      <c r="C19705" t="s">
        <v>445</v>
      </c>
      <c r="D19705" t="s">
        <v>823</v>
      </c>
      <c r="J19705">
        <v>4</v>
      </c>
    </row>
    <row r="19706" spans="1:10" x14ac:dyDescent="0.25">
      <c r="A19706" t="s">
        <v>218</v>
      </c>
      <c r="B19706" s="1" t="str">
        <f>HYPERLINK("http://irtitupakasta.fi","irtitupakasta.fi")</f>
        <v>irtitupakasta.fi</v>
      </c>
      <c r="C19706" t="s">
        <v>445</v>
      </c>
      <c r="D19706" t="s">
        <v>823</v>
      </c>
      <c r="J19706">
        <v>4</v>
      </c>
    </row>
    <row r="19707" spans="1:10" x14ac:dyDescent="0.25">
      <c r="A19707" t="s">
        <v>218</v>
      </c>
      <c r="B19707" s="1" t="str">
        <f>HYPERLINK("http://janssen.fi","janssen.fi")</f>
        <v>janssen.fi</v>
      </c>
      <c r="C19707" t="s">
        <v>445</v>
      </c>
      <c r="D19707" t="s">
        <v>823</v>
      </c>
      <c r="F19707">
        <v>6.9622882804541397E-9</v>
      </c>
      <c r="G19707">
        <v>12425200</v>
      </c>
      <c r="H19707">
        <v>13765635</v>
      </c>
      <c r="I19707">
        <v>7082398</v>
      </c>
      <c r="J19707">
        <v>3</v>
      </c>
    </row>
    <row r="19708" spans="1:10" x14ac:dyDescent="0.25">
      <c r="A19708" t="s">
        <v>218</v>
      </c>
      <c r="B19708" s="1" t="str">
        <f>HYPERLINK("http://janssen-cilag.fi","janssen-cilag.fi")</f>
        <v>janssen-cilag.fi</v>
      </c>
      <c r="C19708" t="s">
        <v>445</v>
      </c>
      <c r="D19708" t="s">
        <v>823</v>
      </c>
      <c r="F19708">
        <v>4.76013685349748E-9</v>
      </c>
      <c r="G19708">
        <v>37815722</v>
      </c>
      <c r="H19708">
        <v>10943263</v>
      </c>
      <c r="I19708">
        <v>34745099</v>
      </c>
      <c r="J19708">
        <v>4</v>
      </c>
    </row>
    <row r="19709" spans="1:10" x14ac:dyDescent="0.25">
      <c r="A19709" t="s">
        <v>218</v>
      </c>
      <c r="B19709" s="1" t="str">
        <f>HYPERLINK("http://janssen-live.fi","janssen-live.fi")</f>
        <v>janssen-live.fi</v>
      </c>
      <c r="C19709" t="s">
        <v>445</v>
      </c>
      <c r="D19709" t="s">
        <v>823</v>
      </c>
      <c r="J19709">
        <v>4</v>
      </c>
    </row>
    <row r="19710" spans="1:10" x14ac:dyDescent="0.25">
      <c r="A19710" t="s">
        <v>218</v>
      </c>
      <c r="B19710" s="1" t="str">
        <f>HYPERLINK("http://janssencare.fi","janssencare.fi")</f>
        <v>janssencare.fi</v>
      </c>
      <c r="C19710" t="s">
        <v>445</v>
      </c>
      <c r="D19710" t="s">
        <v>823</v>
      </c>
      <c r="J19710">
        <v>4</v>
      </c>
    </row>
    <row r="19711" spans="1:10" x14ac:dyDescent="0.25">
      <c r="A19711" t="s">
        <v>218</v>
      </c>
      <c r="B19711" s="1" t="str">
        <f>HYPERLINK("http://janssencilag.fi","janssencilag.fi")</f>
        <v>janssencilag.fi</v>
      </c>
      <c r="C19711" t="s">
        <v>445</v>
      </c>
      <c r="D19711" t="s">
        <v>823</v>
      </c>
      <c r="J19711">
        <v>4</v>
      </c>
    </row>
    <row r="19712" spans="1:10" x14ac:dyDescent="0.25">
      <c r="A19712" t="s">
        <v>218</v>
      </c>
      <c r="B19712" s="1" t="str">
        <f>HYPERLINK("http://janssencilaglive.fi","janssencilaglive.fi")</f>
        <v>janssencilaglive.fi</v>
      </c>
      <c r="C19712" t="s">
        <v>445</v>
      </c>
      <c r="D19712" t="s">
        <v>823</v>
      </c>
      <c r="J19712">
        <v>4</v>
      </c>
    </row>
    <row r="19713" spans="1:10" x14ac:dyDescent="0.25">
      <c r="A19713" t="s">
        <v>218</v>
      </c>
      <c r="B19713" s="1" t="str">
        <f>HYPERLINK("http://janssenhepatitisc.fi","janssenhepatitisc.fi")</f>
        <v>janssenhepatitisc.fi</v>
      </c>
      <c r="C19713" t="s">
        <v>445</v>
      </c>
      <c r="D19713" t="s">
        <v>823</v>
      </c>
      <c r="J19713">
        <v>4</v>
      </c>
    </row>
    <row r="19714" spans="1:10" x14ac:dyDescent="0.25">
      <c r="A19714" t="s">
        <v>218</v>
      </c>
      <c r="B19714" s="1" t="str">
        <f>HYPERLINK("http://janssenhiv.fi","janssenhiv.fi")</f>
        <v>janssenhiv.fi</v>
      </c>
      <c r="C19714" t="s">
        <v>445</v>
      </c>
      <c r="D19714" t="s">
        <v>823</v>
      </c>
      <c r="J19714">
        <v>4</v>
      </c>
    </row>
    <row r="19715" spans="1:10" x14ac:dyDescent="0.25">
      <c r="A19715" t="s">
        <v>218</v>
      </c>
      <c r="B19715" s="1" t="str">
        <f>HYPERLINK("http://jansseninfection.fi","jansseninfection.fi")</f>
        <v>jansseninfection.fi</v>
      </c>
      <c r="C19715" t="s">
        <v>445</v>
      </c>
      <c r="D19715" t="s">
        <v>823</v>
      </c>
      <c r="J19715">
        <v>4</v>
      </c>
    </row>
    <row r="19716" spans="1:10" x14ac:dyDescent="0.25">
      <c r="A19716" t="s">
        <v>218</v>
      </c>
      <c r="B19716" s="1" t="str">
        <f>HYPERLINK("http://jansseninfections.fi","jansseninfections.fi")</f>
        <v>jansseninfections.fi</v>
      </c>
      <c r="C19716" t="s">
        <v>445</v>
      </c>
      <c r="D19716" t="s">
        <v>823</v>
      </c>
      <c r="J19716">
        <v>4</v>
      </c>
    </row>
    <row r="19717" spans="1:10" x14ac:dyDescent="0.25">
      <c r="A19717" t="s">
        <v>218</v>
      </c>
      <c r="B19717" s="1" t="str">
        <f>HYPERLINK("http://jansseninfectiousdiseases.fi","jansseninfectiousdiseases.fi")</f>
        <v>jansseninfectiousdiseases.fi</v>
      </c>
      <c r="C19717" t="s">
        <v>445</v>
      </c>
      <c r="D19717" t="s">
        <v>823</v>
      </c>
      <c r="J19717">
        <v>4</v>
      </c>
    </row>
    <row r="19718" spans="1:10" x14ac:dyDescent="0.25">
      <c r="A19718" t="s">
        <v>218</v>
      </c>
      <c r="B19718" s="1" t="str">
        <f>HYPERLINK("http://janssenlive.fi","janssenlive.fi")</f>
        <v>janssenlive.fi</v>
      </c>
      <c r="C19718" t="s">
        <v>445</v>
      </c>
      <c r="D19718" t="s">
        <v>823</v>
      </c>
      <c r="J19718">
        <v>4</v>
      </c>
    </row>
    <row r="19719" spans="1:10" x14ac:dyDescent="0.25">
      <c r="A19719" t="s">
        <v>218</v>
      </c>
      <c r="B19719" s="1" t="str">
        <f>HYPERLINK("http://janssenmedicalcloud.fi","janssenmedicalcloud.fi")</f>
        <v>janssenmedicalcloud.fi</v>
      </c>
      <c r="C19719" t="s">
        <v>445</v>
      </c>
      <c r="D19719" t="s">
        <v>823</v>
      </c>
      <c r="F19719">
        <v>6.4875981185650002E-9</v>
      </c>
      <c r="G19719">
        <v>14129900</v>
      </c>
      <c r="H19719">
        <v>11370127</v>
      </c>
      <c r="I19719">
        <v>30327426</v>
      </c>
      <c r="J19719">
        <v>4</v>
      </c>
    </row>
    <row r="19720" spans="1:10" x14ac:dyDescent="0.25">
      <c r="A19720" t="s">
        <v>218</v>
      </c>
      <c r="B19720" s="1" t="str">
        <f>HYPERLINK("http://janssenpro.fi","janssenpro.fi")</f>
        <v>janssenpro.fi</v>
      </c>
      <c r="C19720" t="s">
        <v>445</v>
      </c>
      <c r="D19720" t="s">
        <v>823</v>
      </c>
      <c r="F19720">
        <v>5.1710131475917998E-9</v>
      </c>
      <c r="G19720">
        <v>25706844</v>
      </c>
      <c r="H19720">
        <v>9596990</v>
      </c>
      <c r="I19720">
        <v>64429760</v>
      </c>
      <c r="J19720">
        <v>4</v>
      </c>
    </row>
    <row r="19721" spans="1:10" x14ac:dyDescent="0.25">
      <c r="A19721" t="s">
        <v>218</v>
      </c>
      <c r="B19721" s="1" t="str">
        <f>HYPERLINK("http://janssenvirology.fi","janssenvirology.fi")</f>
        <v>janssenvirology.fi</v>
      </c>
      <c r="C19721" t="s">
        <v>445</v>
      </c>
      <c r="D19721" t="s">
        <v>823</v>
      </c>
      <c r="J19721">
        <v>4</v>
      </c>
    </row>
    <row r="19722" spans="1:10" x14ac:dyDescent="0.25">
      <c r="A19722" t="s">
        <v>218</v>
      </c>
      <c r="B19722" s="1" t="str">
        <f>HYPERLINK("http://janssenwithme.fi","janssenwithme.fi")</f>
        <v>janssenwithme.fi</v>
      </c>
      <c r="C19722" t="s">
        <v>445</v>
      </c>
      <c r="D19722" t="s">
        <v>823</v>
      </c>
      <c r="F19722">
        <v>8.1154186217418001E-9</v>
      </c>
      <c r="G19722">
        <v>9715026</v>
      </c>
      <c r="H19722">
        <v>12796800</v>
      </c>
      <c r="I19722">
        <v>14652026</v>
      </c>
      <c r="J19722">
        <v>4</v>
      </c>
    </row>
    <row r="19723" spans="1:10" x14ac:dyDescent="0.25">
      <c r="A19723" t="s">
        <v>218</v>
      </c>
      <c r="B19723" s="1" t="str">
        <f>HYPERLINK("http://jc-live.fi","jc-live.fi")</f>
        <v>jc-live.fi</v>
      </c>
      <c r="C19723" t="s">
        <v>445</v>
      </c>
      <c r="D19723" t="s">
        <v>823</v>
      </c>
      <c r="J19723">
        <v>4</v>
      </c>
    </row>
    <row r="19724" spans="1:10" x14ac:dyDescent="0.25">
      <c r="A19724" t="s">
        <v>218</v>
      </c>
      <c r="B19724" s="1" t="str">
        <f>HYPERLINK("http://jcare.fi","jcare.fi")</f>
        <v>jcare.fi</v>
      </c>
      <c r="C19724" t="s">
        <v>445</v>
      </c>
      <c r="D19724" t="s">
        <v>823</v>
      </c>
      <c r="J19724">
        <v>4</v>
      </c>
    </row>
    <row r="19725" spans="1:10" x14ac:dyDescent="0.25">
      <c r="A19725" t="s">
        <v>218</v>
      </c>
      <c r="B19725" s="1" t="str">
        <f>HYPERLINK("http://jclive.fi","jclive.fi")</f>
        <v>jclive.fi</v>
      </c>
      <c r="C19725" t="s">
        <v>445</v>
      </c>
      <c r="D19725" t="s">
        <v>823</v>
      </c>
      <c r="J19725">
        <v>4</v>
      </c>
    </row>
    <row r="19726" spans="1:10" x14ac:dyDescent="0.25">
      <c r="A19726" t="s">
        <v>218</v>
      </c>
      <c r="B19726" s="1" t="str">
        <f>HYPERLINK("http://jcovden.fi","jcovden.fi")</f>
        <v>jcovden.fi</v>
      </c>
      <c r="C19726" t="s">
        <v>445</v>
      </c>
      <c r="D19726" t="s">
        <v>823</v>
      </c>
      <c r="J19726">
        <v>4</v>
      </c>
    </row>
    <row r="19727" spans="1:10" x14ac:dyDescent="0.25">
      <c r="A19727" t="s">
        <v>218</v>
      </c>
      <c r="B19727" s="1" t="str">
        <f>HYPERLINK("http://jebconsumerhealth.fi","jebconsumerhealth.fi")</f>
        <v>jebconsumerhealth.fi</v>
      </c>
      <c r="C19727" t="s">
        <v>445</v>
      </c>
      <c r="D19727" t="s">
        <v>823</v>
      </c>
      <c r="J19727">
        <v>4</v>
      </c>
    </row>
    <row r="19728" spans="1:10" x14ac:dyDescent="0.25">
      <c r="A19728" t="s">
        <v>218</v>
      </c>
      <c r="B19728" s="1" t="str">
        <f>HYPERLINK("http://jjfinland.fi","jjfinland.fi")</f>
        <v>jjfinland.fi</v>
      </c>
      <c r="C19728" t="s">
        <v>445</v>
      </c>
      <c r="D19728" t="s">
        <v>823</v>
      </c>
      <c r="J19728">
        <v>4</v>
      </c>
    </row>
    <row r="19729" spans="1:10" x14ac:dyDescent="0.25">
      <c r="A19729" t="s">
        <v>218</v>
      </c>
      <c r="B19729" s="1" t="str">
        <f>HYPERLINK("http://jjsuomi.fi","jjsuomi.fi")</f>
        <v>jjsuomi.fi</v>
      </c>
      <c r="C19729" t="s">
        <v>445</v>
      </c>
      <c r="D19729" t="s">
        <v>823</v>
      </c>
      <c r="J19729">
        <v>4</v>
      </c>
    </row>
    <row r="19730" spans="1:10" x14ac:dyDescent="0.25">
      <c r="A19730" t="s">
        <v>218</v>
      </c>
      <c r="B19730" s="1" t="str">
        <f>HYPERLINK("http://jlive.fi","jlive.fi")</f>
        <v>jlive.fi</v>
      </c>
      <c r="C19730" t="s">
        <v>445</v>
      </c>
      <c r="D19730" t="s">
        <v>823</v>
      </c>
      <c r="J19730">
        <v>4</v>
      </c>
    </row>
    <row r="19731" spans="1:10" x14ac:dyDescent="0.25">
      <c r="A19731" t="s">
        <v>218</v>
      </c>
      <c r="B19731" s="1" t="str">
        <f>HYPERLINK("http://jnj.fi","jnj.fi")</f>
        <v>jnj.fi</v>
      </c>
      <c r="C19731" t="s">
        <v>445</v>
      </c>
      <c r="D19731" t="s">
        <v>823</v>
      </c>
      <c r="J19731">
        <v>4</v>
      </c>
    </row>
    <row r="19732" spans="1:10" x14ac:dyDescent="0.25">
      <c r="A19732" t="s">
        <v>218</v>
      </c>
      <c r="B19732" s="1" t="str">
        <f>HYPERLINK("http://jnjfinland.fi","jnjfinland.fi")</f>
        <v>jnjfinland.fi</v>
      </c>
      <c r="C19732" t="s">
        <v>445</v>
      </c>
      <c r="D19732" t="s">
        <v>823</v>
      </c>
      <c r="J19732">
        <v>4</v>
      </c>
    </row>
    <row r="19733" spans="1:10" x14ac:dyDescent="0.25">
      <c r="A19733" t="s">
        <v>218</v>
      </c>
      <c r="B19733" s="1" t="str">
        <f>HYPERLINK("http://jnjsuomi.fi","jnjsuomi.fi")</f>
        <v>jnjsuomi.fi</v>
      </c>
      <c r="C19733" t="s">
        <v>445</v>
      </c>
      <c r="D19733" t="s">
        <v>823</v>
      </c>
      <c r="J19733">
        <v>4</v>
      </c>
    </row>
    <row r="19734" spans="1:10" x14ac:dyDescent="0.25">
      <c r="A19734" t="s">
        <v>218</v>
      </c>
      <c r="B19734" s="1" t="str">
        <f>HYPERLINK("http://jnjvisioncare.fi","jnjvisioncare.fi")</f>
        <v>jnjvisioncare.fi</v>
      </c>
      <c r="C19734" t="s">
        <v>445</v>
      </c>
      <c r="D19734" t="s">
        <v>823</v>
      </c>
      <c r="F19734">
        <v>5.3214625934454303E-9</v>
      </c>
      <c r="G19734">
        <v>23188879</v>
      </c>
      <c r="H19734">
        <v>9412280</v>
      </c>
      <c r="I19734">
        <v>67080771</v>
      </c>
      <c r="J19734">
        <v>4</v>
      </c>
    </row>
    <row r="19735" spans="1:10" x14ac:dyDescent="0.25">
      <c r="A19735" t="s">
        <v>218</v>
      </c>
      <c r="B19735" s="1" t="str">
        <f>HYPERLINK("http://jnjvisionpro.fi","jnjvisionpro.fi")</f>
        <v>jnjvisionpro.fi</v>
      </c>
      <c r="C19735" t="s">
        <v>445</v>
      </c>
      <c r="D19735" t="s">
        <v>823</v>
      </c>
      <c r="J19735">
        <v>4</v>
      </c>
    </row>
    <row r="19736" spans="1:10" x14ac:dyDescent="0.25">
      <c r="A19736" t="s">
        <v>218</v>
      </c>
      <c r="B19736" s="1" t="str">
        <f>HYPERLINK("http://jntl.fi","jntl.fi")</f>
        <v>jntl.fi</v>
      </c>
      <c r="C19736" t="s">
        <v>445</v>
      </c>
      <c r="D19736" t="s">
        <v>823</v>
      </c>
      <c r="J19736">
        <v>4</v>
      </c>
    </row>
    <row r="19737" spans="1:10" x14ac:dyDescent="0.25">
      <c r="A19737" t="s">
        <v>218</v>
      </c>
      <c r="B19737" s="1" t="str">
        <f>HYPERLINK("http://jntlch.fi","jntlch.fi")</f>
        <v>jntlch.fi</v>
      </c>
      <c r="C19737" t="s">
        <v>445</v>
      </c>
      <c r="D19737" t="s">
        <v>823</v>
      </c>
      <c r="J19737">
        <v>4</v>
      </c>
    </row>
    <row r="19738" spans="1:10" x14ac:dyDescent="0.25">
      <c r="A19738" t="s">
        <v>218</v>
      </c>
      <c r="B19738" s="1" t="str">
        <f>HYPERLINK("http://jntlconsumerhealth.fi","jntlconsumerhealth.fi")</f>
        <v>jntlconsumerhealth.fi</v>
      </c>
      <c r="C19738" t="s">
        <v>445</v>
      </c>
      <c r="D19738" t="s">
        <v>823</v>
      </c>
      <c r="J19738">
        <v>4</v>
      </c>
    </row>
    <row r="19739" spans="1:10" x14ac:dyDescent="0.25">
      <c r="A19739" t="s">
        <v>218</v>
      </c>
      <c r="B19739" s="1" t="str">
        <f>HYPERLINK("http://jurnista.fi","jurnista.fi")</f>
        <v>jurnista.fi</v>
      </c>
      <c r="C19739" t="s">
        <v>445</v>
      </c>
      <c r="D19739" t="s">
        <v>823</v>
      </c>
      <c r="J19739">
        <v>4</v>
      </c>
    </row>
    <row r="19740" spans="1:10" x14ac:dyDescent="0.25">
      <c r="A19740" t="s">
        <v>218</v>
      </c>
      <c r="B19740" s="1" t="str">
        <f>HYPERLINK("http://kurkkukipu.fi","kurkkukipu.fi")</f>
        <v>kurkkukipu.fi</v>
      </c>
      <c r="C19740" t="s">
        <v>445</v>
      </c>
      <c r="D19740" t="s">
        <v>823</v>
      </c>
      <c r="J19740">
        <v>4</v>
      </c>
    </row>
    <row r="19741" spans="1:10" x14ac:dyDescent="0.25">
      <c r="A19741" t="s">
        <v>218</v>
      </c>
      <c r="B19741" s="1" t="str">
        <f>HYPERLINK("http://laihdutuskirurgia.fi","laihdutuskirurgia.fi")</f>
        <v>laihdutuskirurgia.fi</v>
      </c>
      <c r="C19741" t="s">
        <v>445</v>
      </c>
      <c r="D19741" t="s">
        <v>823</v>
      </c>
      <c r="J19741">
        <v>4</v>
      </c>
    </row>
    <row r="19742" spans="1:10" x14ac:dyDescent="0.25">
      <c r="A19742" t="s">
        <v>218</v>
      </c>
      <c r="B19742" s="1" t="str">
        <f>HYPERLINK("http://laksatiivi.fi","laksatiivi.fi")</f>
        <v>laksatiivi.fi</v>
      </c>
      <c r="C19742" t="s">
        <v>445</v>
      </c>
      <c r="D19742" t="s">
        <v>823</v>
      </c>
      <c r="J19742">
        <v>4</v>
      </c>
    </row>
    <row r="19743" spans="1:10" x14ac:dyDescent="0.25">
      <c r="A19743" t="s">
        <v>218</v>
      </c>
      <c r="B19743" s="1" t="str">
        <f>HYPERLINK("http://listerin.fi","listerin.fi")</f>
        <v>listerin.fi</v>
      </c>
      <c r="C19743" t="s">
        <v>445</v>
      </c>
      <c r="D19743" t="s">
        <v>823</v>
      </c>
      <c r="J19743">
        <v>4</v>
      </c>
    </row>
    <row r="19744" spans="1:10" x14ac:dyDescent="0.25">
      <c r="A19744" t="s">
        <v>218</v>
      </c>
      <c r="B19744" s="1" t="str">
        <f>HYPERLINK("http://listerine.fi","listerine.fi")</f>
        <v>listerine.fi</v>
      </c>
      <c r="C19744" t="s">
        <v>445</v>
      </c>
      <c r="D19744" t="s">
        <v>823</v>
      </c>
      <c r="F19744">
        <v>5.5141844141392098E-9</v>
      </c>
      <c r="G19744">
        <v>20748225</v>
      </c>
      <c r="H19744">
        <v>14236066</v>
      </c>
      <c r="I19744">
        <v>1652492</v>
      </c>
      <c r="J19744">
        <v>4</v>
      </c>
    </row>
    <row r="19745" spans="1:10" x14ac:dyDescent="0.25">
      <c r="A19745" t="s">
        <v>218</v>
      </c>
      <c r="B19745" s="1" t="str">
        <f>HYPERLINK("http://listerineclinical.fi","listerineclinical.fi")</f>
        <v>listerineclinical.fi</v>
      </c>
      <c r="C19745" t="s">
        <v>445</v>
      </c>
      <c r="D19745" t="s">
        <v>823</v>
      </c>
      <c r="J19745">
        <v>4</v>
      </c>
    </row>
    <row r="19746" spans="1:10" x14ac:dyDescent="0.25">
      <c r="A19746" t="s">
        <v>218</v>
      </c>
      <c r="B19746" s="1" t="str">
        <f>HYPERLINK("http://listerinekilpailu.fi","listerinekilpailu.fi")</f>
        <v>listerinekilpailu.fi</v>
      </c>
      <c r="C19746" t="s">
        <v>445</v>
      </c>
      <c r="D19746" t="s">
        <v>823</v>
      </c>
      <c r="J19746">
        <v>4</v>
      </c>
    </row>
    <row r="19747" spans="1:10" x14ac:dyDescent="0.25">
      <c r="A19747" t="s">
        <v>218</v>
      </c>
      <c r="B19747" s="1" t="str">
        <f>HYPERLINK("http://livostin.fi","livostin.fi")</f>
        <v>livostin.fi</v>
      </c>
      <c r="C19747" t="s">
        <v>445</v>
      </c>
      <c r="D19747" t="s">
        <v>823</v>
      </c>
      <c r="F19747">
        <v>4.7446991495198701E-9</v>
      </c>
      <c r="G19747">
        <v>38577740</v>
      </c>
      <c r="H19747">
        <v>7172693</v>
      </c>
      <c r="I19747">
        <v>76473832</v>
      </c>
      <c r="J19747">
        <v>4</v>
      </c>
    </row>
    <row r="19748" spans="1:10" x14ac:dyDescent="0.25">
      <c r="A19748" t="s">
        <v>218</v>
      </c>
      <c r="B19748" s="1" t="str">
        <f>HYPERLINK("http://marklas.fi","marklas.fi")</f>
        <v>marklas.fi</v>
      </c>
      <c r="C19748" t="s">
        <v>445</v>
      </c>
      <c r="D19748" t="s">
        <v>823</v>
      </c>
      <c r="J19748">
        <v>4</v>
      </c>
    </row>
    <row r="19749" spans="1:10" x14ac:dyDescent="0.25">
      <c r="A19749" t="s">
        <v>218</v>
      </c>
      <c r="B19749" s="1" t="str">
        <f>HYPERLINK("http://mcneil.fi","mcneil.fi")</f>
        <v>mcneil.fi</v>
      </c>
      <c r="C19749" t="s">
        <v>445</v>
      </c>
      <c r="D19749" t="s">
        <v>823</v>
      </c>
      <c r="J19749">
        <v>4</v>
      </c>
    </row>
    <row r="19750" spans="1:10" x14ac:dyDescent="0.25">
      <c r="A19750" t="s">
        <v>218</v>
      </c>
      <c r="B19750" s="1" t="str">
        <f>HYPERLINK("http://medichannel.fi","medichannel.fi")</f>
        <v>medichannel.fi</v>
      </c>
      <c r="C19750" t="s">
        <v>445</v>
      </c>
      <c r="D19750" t="s">
        <v>823</v>
      </c>
      <c r="J19750">
        <v>4</v>
      </c>
    </row>
    <row r="19751" spans="1:10" x14ac:dyDescent="0.25">
      <c r="A19751" t="s">
        <v>218</v>
      </c>
      <c r="B19751" s="1" t="str">
        <f>HYPERLINK("http://microfiber.fi","microfiber.fi")</f>
        <v>microfiber.fi</v>
      </c>
      <c r="C19751" t="s">
        <v>445</v>
      </c>
      <c r="D19751" t="s">
        <v>823</v>
      </c>
      <c r="J19751">
        <v>4</v>
      </c>
    </row>
    <row r="19752" spans="1:10" x14ac:dyDescent="0.25">
      <c r="A19752" t="s">
        <v>218</v>
      </c>
      <c r="B19752" s="1" t="str">
        <f>HYPERLINK("http://microlax.fi","microlax.fi")</f>
        <v>microlax.fi</v>
      </c>
      <c r="C19752" t="s">
        <v>445</v>
      </c>
      <c r="D19752" t="s">
        <v>823</v>
      </c>
      <c r="F19752">
        <v>4.8083679110121196E-9</v>
      </c>
      <c r="G19752">
        <v>35760684</v>
      </c>
      <c r="H19752">
        <v>10480220</v>
      </c>
      <c r="I19752">
        <v>51020416</v>
      </c>
      <c r="J19752">
        <v>4</v>
      </c>
    </row>
    <row r="19753" spans="1:10" x14ac:dyDescent="0.25">
      <c r="A19753" t="s">
        <v>218</v>
      </c>
      <c r="B19753" s="1" t="str">
        <f>HYPERLINK("http://mm-info.fi","mm-info.fi")</f>
        <v>mm-info.fi</v>
      </c>
      <c r="C19753" t="s">
        <v>445</v>
      </c>
      <c r="D19753" t="s">
        <v>823</v>
      </c>
      <c r="J19753">
        <v>4</v>
      </c>
    </row>
    <row r="19754" spans="1:10" x14ac:dyDescent="0.25">
      <c r="A19754" t="s">
        <v>218</v>
      </c>
      <c r="B19754" s="1" t="str">
        <f>HYPERLINK("http://mm-tietoa.fi","mm-tietoa.fi")</f>
        <v>mm-tietoa.fi</v>
      </c>
      <c r="C19754" t="s">
        <v>445</v>
      </c>
      <c r="D19754" t="s">
        <v>823</v>
      </c>
      <c r="F19754">
        <v>4.5660186871895799E-9</v>
      </c>
      <c r="G19754">
        <v>50573742</v>
      </c>
      <c r="H19754">
        <v>9895507</v>
      </c>
      <c r="I19754">
        <v>61690101</v>
      </c>
      <c r="J19754">
        <v>4</v>
      </c>
    </row>
    <row r="19755" spans="1:10" x14ac:dyDescent="0.25">
      <c r="A19755" t="s">
        <v>218</v>
      </c>
      <c r="B19755" s="1" t="str">
        <f>HYPERLINK("http://mminfo.fi","mminfo.fi")</f>
        <v>mminfo.fi</v>
      </c>
      <c r="C19755" t="s">
        <v>445</v>
      </c>
      <c r="D19755" t="s">
        <v>823</v>
      </c>
      <c r="J19755">
        <v>4</v>
      </c>
    </row>
    <row r="19756" spans="1:10" x14ac:dyDescent="0.25">
      <c r="A19756" t="s">
        <v>218</v>
      </c>
      <c r="B19756" s="1" t="str">
        <f>HYPERLINK("http://mmtietoa.fi","mmtietoa.fi")</f>
        <v>mmtietoa.fi</v>
      </c>
      <c r="C19756" t="s">
        <v>445</v>
      </c>
      <c r="D19756" t="s">
        <v>823</v>
      </c>
      <c r="J19756">
        <v>4</v>
      </c>
    </row>
    <row r="19757" spans="1:10" x14ac:dyDescent="0.25">
      <c r="A19757" t="s">
        <v>218</v>
      </c>
      <c r="B19757" s="1" t="str">
        <f>HYPERLINK("http://multippelimyelooma.fi","multippelimyelooma.fi")</f>
        <v>multippelimyelooma.fi</v>
      </c>
      <c r="C19757" t="s">
        <v>445</v>
      </c>
      <c r="D19757" t="s">
        <v>823</v>
      </c>
      <c r="J19757">
        <v>4</v>
      </c>
    </row>
    <row r="19758" spans="1:10" x14ac:dyDescent="0.25">
      <c r="A19758" t="s">
        <v>218</v>
      </c>
      <c r="B19758" s="1" t="str">
        <f>HYPERLINK("http://myelooma.fi","myelooma.fi")</f>
        <v>myelooma.fi</v>
      </c>
      <c r="C19758" t="s">
        <v>445</v>
      </c>
      <c r="D19758" t="s">
        <v>823</v>
      </c>
      <c r="J19758">
        <v>4</v>
      </c>
    </row>
    <row r="19759" spans="1:10" x14ac:dyDescent="0.25">
      <c r="A19759" t="s">
        <v>218</v>
      </c>
      <c r="B19759" s="1" t="str">
        <f>HYPERLINK("http://myfuture.fi","myfuture.fi")</f>
        <v>myfuture.fi</v>
      </c>
      <c r="C19759" t="s">
        <v>445</v>
      </c>
      <c r="D19759" t="s">
        <v>823</v>
      </c>
      <c r="J19759">
        <v>4</v>
      </c>
    </row>
    <row r="19760" spans="1:10" x14ac:dyDescent="0.25">
      <c r="A19760" t="s">
        <v>218</v>
      </c>
      <c r="B19760" s="1" t="str">
        <f>HYPERLINK("http://myfuturenow.fi","myfuturenow.fi")</f>
        <v>myfuturenow.fi</v>
      </c>
      <c r="C19760" t="s">
        <v>445</v>
      </c>
      <c r="D19760" t="s">
        <v>823</v>
      </c>
      <c r="J19760">
        <v>4</v>
      </c>
    </row>
    <row r="19761" spans="1:10" x14ac:dyDescent="0.25">
      <c r="A19761" t="s">
        <v>218</v>
      </c>
      <c r="B19761" s="1" t="str">
        <f>HYPERLINK("http://myincivo.fi","myincivo.fi")</f>
        <v>myincivo.fi</v>
      </c>
      <c r="C19761" t="s">
        <v>445</v>
      </c>
      <c r="D19761" t="s">
        <v>823</v>
      </c>
      <c r="J19761">
        <v>4</v>
      </c>
    </row>
    <row r="19762" spans="1:10" x14ac:dyDescent="0.25">
      <c r="A19762" t="s">
        <v>218</v>
      </c>
      <c r="B19762" s="1" t="str">
        <f>HYPERLINK("http://mystelara.fi","mystelara.fi")</f>
        <v>mystelara.fi</v>
      </c>
      <c r="C19762" t="s">
        <v>445</v>
      </c>
      <c r="D19762" t="s">
        <v>823</v>
      </c>
      <c r="J19762">
        <v>4</v>
      </c>
    </row>
    <row r="19763" spans="1:10" x14ac:dyDescent="0.25">
      <c r="A19763" t="s">
        <v>218</v>
      </c>
      <c r="B19763" s="1" t="str">
        <f>HYPERLINK("http://nainenjaseksi.fi","nainenjaseksi.fi")</f>
        <v>nainenjaseksi.fi</v>
      </c>
      <c r="C19763" t="s">
        <v>445</v>
      </c>
      <c r="D19763" t="s">
        <v>823</v>
      </c>
      <c r="J19763">
        <v>4</v>
      </c>
    </row>
    <row r="19764" spans="1:10" x14ac:dyDescent="0.25">
      <c r="A19764" t="s">
        <v>218</v>
      </c>
      <c r="B19764" s="1" t="str">
        <f>HYPERLINK("http://narastys.fi","narastys.fi")</f>
        <v>narastys.fi</v>
      </c>
      <c r="C19764" t="s">
        <v>445</v>
      </c>
      <c r="D19764" t="s">
        <v>823</v>
      </c>
      <c r="J19764">
        <v>4</v>
      </c>
    </row>
    <row r="19765" spans="1:10" x14ac:dyDescent="0.25">
      <c r="A19765" t="s">
        <v>218</v>
      </c>
      <c r="B19765" s="1" t="str">
        <f>HYPERLINK("http://natusan.fi","natusan.fi")</f>
        <v>natusan.fi</v>
      </c>
      <c r="C19765" t="s">
        <v>445</v>
      </c>
      <c r="D19765" t="s">
        <v>823</v>
      </c>
      <c r="J19765">
        <v>4</v>
      </c>
    </row>
    <row r="19766" spans="1:10" x14ac:dyDescent="0.25">
      <c r="A19766" t="s">
        <v>218</v>
      </c>
      <c r="B19766" s="1" t="str">
        <f>HYPERLINK("http://natusan-baby.fi","natusan-baby.fi")</f>
        <v>natusan-baby.fi</v>
      </c>
      <c r="C19766" t="s">
        <v>445</v>
      </c>
      <c r="D19766" t="s">
        <v>823</v>
      </c>
      <c r="J19766">
        <v>4</v>
      </c>
    </row>
    <row r="19767" spans="1:10" x14ac:dyDescent="0.25">
      <c r="A19767" t="s">
        <v>218</v>
      </c>
      <c r="B19767" s="1" t="str">
        <f>HYPERLINK("http://natusan-kids.fi","natusan-kids.fi")</f>
        <v>natusan-kids.fi</v>
      </c>
      <c r="C19767" t="s">
        <v>445</v>
      </c>
      <c r="D19767" t="s">
        <v>823</v>
      </c>
      <c r="J19767">
        <v>4</v>
      </c>
    </row>
    <row r="19768" spans="1:10" x14ac:dyDescent="0.25">
      <c r="A19768" t="s">
        <v>218</v>
      </c>
      <c r="B19768" s="1" t="str">
        <f>HYPERLINK("http://natusanbaby.fi","natusanbaby.fi")</f>
        <v>natusanbaby.fi</v>
      </c>
      <c r="C19768" t="s">
        <v>445</v>
      </c>
      <c r="D19768" t="s">
        <v>823</v>
      </c>
      <c r="F19768">
        <v>4.8177786499434302E-9</v>
      </c>
      <c r="G19768">
        <v>35351479</v>
      </c>
      <c r="H19768">
        <v>10529272</v>
      </c>
      <c r="I19768">
        <v>48472607</v>
      </c>
      <c r="J19768">
        <v>4</v>
      </c>
    </row>
    <row r="19769" spans="1:10" x14ac:dyDescent="0.25">
      <c r="A19769" t="s">
        <v>218</v>
      </c>
      <c r="B19769" s="1" t="str">
        <f>HYPERLINK("http://natusanbyjohnsons.fi","natusanbyjohnsons.fi")</f>
        <v>natusanbyjohnsons.fi</v>
      </c>
      <c r="C19769" t="s">
        <v>445</v>
      </c>
      <c r="D19769" t="s">
        <v>823</v>
      </c>
      <c r="J19769">
        <v>4</v>
      </c>
    </row>
    <row r="19770" spans="1:10" x14ac:dyDescent="0.25">
      <c r="A19770" t="s">
        <v>218</v>
      </c>
      <c r="B19770" s="1" t="str">
        <f>HYPERLINK("http://natusanhetki.fi","natusanhetki.fi")</f>
        <v>natusanhetki.fi</v>
      </c>
      <c r="C19770" t="s">
        <v>445</v>
      </c>
      <c r="D19770" t="s">
        <v>823</v>
      </c>
      <c r="J19770">
        <v>4</v>
      </c>
    </row>
    <row r="19771" spans="1:10" x14ac:dyDescent="0.25">
      <c r="A19771" t="s">
        <v>218</v>
      </c>
      <c r="B19771" s="1" t="str">
        <f>HYPERLINK("http://natusankids.fi","natusankids.fi")</f>
        <v>natusankids.fi</v>
      </c>
      <c r="C19771" t="s">
        <v>445</v>
      </c>
      <c r="D19771" t="s">
        <v>823</v>
      </c>
      <c r="J19771">
        <v>4</v>
      </c>
    </row>
    <row r="19772" spans="1:10" x14ac:dyDescent="0.25">
      <c r="A19772" t="s">
        <v>218</v>
      </c>
      <c r="B19772" s="1" t="str">
        <f>HYPERLINK("http://neostrata.fi","neostrata.fi")</f>
        <v>neostrata.fi</v>
      </c>
      <c r="C19772" t="s">
        <v>445</v>
      </c>
      <c r="D19772" t="s">
        <v>823</v>
      </c>
      <c r="F19772">
        <v>1.09204674086416E-8</v>
      </c>
      <c r="G19772">
        <v>5926676</v>
      </c>
      <c r="H19772">
        <v>10832571</v>
      </c>
      <c r="I19772">
        <v>37334651</v>
      </c>
      <c r="J19772">
        <v>4</v>
      </c>
    </row>
    <row r="19773" spans="1:10" x14ac:dyDescent="0.25">
      <c r="A19773" t="s">
        <v>218</v>
      </c>
      <c r="B19773" s="1" t="str">
        <f>HYPERLINK("http://neutrogena.fi","neutrogena.fi")</f>
        <v>neutrogena.fi</v>
      </c>
      <c r="C19773" t="s">
        <v>445</v>
      </c>
      <c r="D19773" t="s">
        <v>823</v>
      </c>
      <c r="F19773">
        <v>6.4194611385552498E-9</v>
      </c>
      <c r="G19773">
        <v>14428239</v>
      </c>
      <c r="H19773">
        <v>13768679</v>
      </c>
      <c r="I19773">
        <v>6861859</v>
      </c>
      <c r="J19773">
        <v>4</v>
      </c>
    </row>
    <row r="19774" spans="1:10" x14ac:dyDescent="0.25">
      <c r="A19774" t="s">
        <v>218</v>
      </c>
      <c r="B19774" s="1" t="str">
        <f>HYPERLINK("http://neutrogenakilpailu.fi","neutrogenakilpailu.fi")</f>
        <v>neutrogenakilpailu.fi</v>
      </c>
      <c r="C19774" t="s">
        <v>445</v>
      </c>
      <c r="D19774" t="s">
        <v>823</v>
      </c>
      <c r="J19774">
        <v>4</v>
      </c>
    </row>
    <row r="19775" spans="1:10" x14ac:dyDescent="0.25">
      <c r="A19775" t="s">
        <v>218</v>
      </c>
      <c r="B19775" s="1" t="str">
        <f>HYPERLINK("http://nicorette.fi","nicorette.fi")</f>
        <v>nicorette.fi</v>
      </c>
      <c r="C19775" t="s">
        <v>445</v>
      </c>
      <c r="D19775" t="s">
        <v>823</v>
      </c>
      <c r="F19775">
        <v>8.5118208754379697E-9</v>
      </c>
      <c r="G19775">
        <v>8823562</v>
      </c>
      <c r="H19775">
        <v>13764415</v>
      </c>
      <c r="I19775">
        <v>7273421</v>
      </c>
      <c r="J19775">
        <v>4</v>
      </c>
    </row>
    <row r="19776" spans="1:10" x14ac:dyDescent="0.25">
      <c r="A19776" t="s">
        <v>218</v>
      </c>
      <c r="B19776" s="1" t="str">
        <f>HYPERLINK("http://nicorette-active-stop.fi","nicorette-active-stop.fi")</f>
        <v>nicorette-active-stop.fi</v>
      </c>
      <c r="C19776" t="s">
        <v>445</v>
      </c>
      <c r="D19776" t="s">
        <v>823</v>
      </c>
      <c r="J19776">
        <v>4</v>
      </c>
    </row>
    <row r="19777" spans="1:10" x14ac:dyDescent="0.25">
      <c r="A19777" t="s">
        <v>218</v>
      </c>
      <c r="B19777" s="1" t="str">
        <f>HYPERLINK("http://nicorette-activestop.fi","nicorette-activestop.fi")</f>
        <v>nicorette-activestop.fi</v>
      </c>
      <c r="C19777" t="s">
        <v>445</v>
      </c>
      <c r="D19777" t="s">
        <v>823</v>
      </c>
      <c r="J19777">
        <v>4</v>
      </c>
    </row>
    <row r="19778" spans="1:10" x14ac:dyDescent="0.25">
      <c r="A19778" t="s">
        <v>218</v>
      </c>
      <c r="B19778" s="1" t="str">
        <f>HYPERLINK("http://nicoretteactivestop.fi","nicoretteactivestop.fi")</f>
        <v>nicoretteactivestop.fi</v>
      </c>
      <c r="C19778" t="s">
        <v>445</v>
      </c>
      <c r="D19778" t="s">
        <v>823</v>
      </c>
      <c r="J19778">
        <v>4</v>
      </c>
    </row>
    <row r="19779" spans="1:10" x14ac:dyDescent="0.25">
      <c r="A19779" t="s">
        <v>218</v>
      </c>
      <c r="B19779" s="1" t="str">
        <f>HYPERLINK("http://niemann-pick-c.fi","niemann-pick-c.fi")</f>
        <v>niemann-pick-c.fi</v>
      </c>
      <c r="C19779" t="s">
        <v>445</v>
      </c>
      <c r="D19779" t="s">
        <v>823</v>
      </c>
      <c r="J19779">
        <v>4</v>
      </c>
    </row>
    <row r="19780" spans="1:10" x14ac:dyDescent="0.25">
      <c r="A19780" t="s">
        <v>218</v>
      </c>
      <c r="B19780" s="1" t="str">
        <f>HYPERLINK("http://nikotiinipurkka.fi","nikotiinipurkka.fi")</f>
        <v>nikotiinipurkka.fi</v>
      </c>
      <c r="C19780" t="s">
        <v>445</v>
      </c>
      <c r="D19780" t="s">
        <v>823</v>
      </c>
      <c r="J19780">
        <v>4</v>
      </c>
    </row>
    <row r="19781" spans="1:10" x14ac:dyDescent="0.25">
      <c r="A19781" t="s">
        <v>218</v>
      </c>
      <c r="B19781" s="1" t="str">
        <f>HYPERLINK("http://nipocalimab.fi","nipocalimab.fi")</f>
        <v>nipocalimab.fi</v>
      </c>
      <c r="C19781" t="s">
        <v>445</v>
      </c>
      <c r="D19781" t="s">
        <v>823</v>
      </c>
      <c r="J19781">
        <v>4</v>
      </c>
    </row>
    <row r="19782" spans="1:10" x14ac:dyDescent="0.25">
      <c r="A19782" t="s">
        <v>218</v>
      </c>
      <c r="B19782" s="1" t="str">
        <f>HYPERLINK("http://nizoral.fi","nizoral.fi")</f>
        <v>nizoral.fi</v>
      </c>
      <c r="C19782" t="s">
        <v>445</v>
      </c>
      <c r="D19782" t="s">
        <v>823</v>
      </c>
      <c r="F19782">
        <v>6.3832496247225303E-9</v>
      </c>
      <c r="G19782">
        <v>14601364</v>
      </c>
      <c r="H19782">
        <v>10734932</v>
      </c>
      <c r="I19782">
        <v>40664207</v>
      </c>
      <c r="J19782">
        <v>4</v>
      </c>
    </row>
    <row r="19783" spans="1:10" x14ac:dyDescent="0.25">
      <c r="A19783" t="s">
        <v>218</v>
      </c>
      <c r="B19783" s="1" t="str">
        <f>HYPERLINK("http://nordicmmdebate.fi","nordicmmdebate.fi")</f>
        <v>nordicmmdebate.fi</v>
      </c>
      <c r="C19783" t="s">
        <v>445</v>
      </c>
      <c r="D19783" t="s">
        <v>823</v>
      </c>
      <c r="J19783">
        <v>4</v>
      </c>
    </row>
    <row r="19784" spans="1:10" x14ac:dyDescent="0.25">
      <c r="A19784" t="s">
        <v>218</v>
      </c>
      <c r="B19784" s="1" t="str">
        <f>HYPERLINK("http://nordicpsoriasisdebate.fi","nordicpsoriasisdebate.fi")</f>
        <v>nordicpsoriasisdebate.fi</v>
      </c>
      <c r="C19784" t="s">
        <v>445</v>
      </c>
      <c r="D19784" t="s">
        <v>823</v>
      </c>
      <c r="J19784">
        <v>4</v>
      </c>
    </row>
    <row r="19785" spans="1:10" x14ac:dyDescent="0.25">
      <c r="A19785" t="s">
        <v>218</v>
      </c>
      <c r="B19785" s="1" t="str">
        <f>HYPERLINK("http://nordicpsychiatry.fi","nordicpsychiatry.fi")</f>
        <v>nordicpsychiatry.fi</v>
      </c>
      <c r="C19785" t="s">
        <v>445</v>
      </c>
      <c r="D19785" t="s">
        <v>823</v>
      </c>
      <c r="J19785">
        <v>4</v>
      </c>
    </row>
    <row r="19786" spans="1:10" x14ac:dyDescent="0.25">
      <c r="A19786" t="s">
        <v>218</v>
      </c>
      <c r="B19786" s="1" t="str">
        <f>HYPERLINK("http://npa.fi","npa.fi")</f>
        <v>npa.fi</v>
      </c>
      <c r="C19786" t="s">
        <v>445</v>
      </c>
      <c r="D19786" t="s">
        <v>823</v>
      </c>
      <c r="J19786">
        <v>4</v>
      </c>
    </row>
    <row r="19787" spans="1:10" x14ac:dyDescent="0.25">
      <c r="A19787" t="s">
        <v>218</v>
      </c>
      <c r="B19787" s="1" t="str">
        <f>HYPERLINK("http://npa-adhd.fi","npa-adhd.fi")</f>
        <v>npa-adhd.fi</v>
      </c>
      <c r="C19787" t="s">
        <v>445</v>
      </c>
      <c r="D19787" t="s">
        <v>823</v>
      </c>
      <c r="J19787">
        <v>4</v>
      </c>
    </row>
    <row r="19788" spans="1:10" x14ac:dyDescent="0.25">
      <c r="A19788" t="s">
        <v>218</v>
      </c>
      <c r="B19788" s="1" t="str">
        <f>HYPERLINK("http://npa-info.fi","npa-info.fi")</f>
        <v>npa-info.fi</v>
      </c>
      <c r="C19788" t="s">
        <v>445</v>
      </c>
      <c r="D19788" t="s">
        <v>823</v>
      </c>
      <c r="J19788">
        <v>4</v>
      </c>
    </row>
    <row r="19789" spans="1:10" x14ac:dyDescent="0.25">
      <c r="A19789" t="s">
        <v>218</v>
      </c>
      <c r="B19789" s="1" t="str">
        <f>HYPERLINK("http://npc-info.fi","npc-info.fi")</f>
        <v>npc-info.fi</v>
      </c>
      <c r="C19789" t="s">
        <v>445</v>
      </c>
      <c r="D19789" t="s">
        <v>823</v>
      </c>
      <c r="J19789">
        <v>4</v>
      </c>
    </row>
    <row r="19790" spans="1:10" x14ac:dyDescent="0.25">
      <c r="A19790" t="s">
        <v>218</v>
      </c>
      <c r="B19790" s="1" t="str">
        <f>HYPERLINK("http://npp-abi.fi","npp-abi.fi")</f>
        <v>npp-abi.fi</v>
      </c>
      <c r="C19790" t="s">
        <v>445</v>
      </c>
      <c r="D19790" t="s">
        <v>823</v>
      </c>
      <c r="J19790">
        <v>4</v>
      </c>
    </row>
    <row r="19791" spans="1:10" x14ac:dyDescent="0.25">
      <c r="A19791" t="s">
        <v>218</v>
      </c>
      <c r="B19791" s="1" t="str">
        <f>HYPERLINK("http://nuha.fi","nuha.fi")</f>
        <v>nuha.fi</v>
      </c>
      <c r="C19791" t="s">
        <v>445</v>
      </c>
      <c r="D19791" t="s">
        <v>823</v>
      </c>
      <c r="J19791">
        <v>4</v>
      </c>
    </row>
    <row r="19792" spans="1:10" x14ac:dyDescent="0.25">
      <c r="A19792" t="s">
        <v>218</v>
      </c>
      <c r="B19792" s="1" t="str">
        <f>HYPERLINK("http://oasys.fi","oasys.fi")</f>
        <v>oasys.fi</v>
      </c>
      <c r="C19792" t="s">
        <v>445</v>
      </c>
      <c r="D19792" t="s">
        <v>823</v>
      </c>
      <c r="J19792">
        <v>4</v>
      </c>
    </row>
    <row r="19793" spans="1:10" x14ac:dyDescent="0.25">
      <c r="A19793" t="s">
        <v>218</v>
      </c>
      <c r="B19793" s="1" t="str">
        <f>HYPERLINK("http://ob-kampanja.fi","ob-kampanja.fi")</f>
        <v>ob-kampanja.fi</v>
      </c>
      <c r="C19793" t="s">
        <v>445</v>
      </c>
      <c r="D19793" t="s">
        <v>823</v>
      </c>
      <c r="J19793">
        <v>4</v>
      </c>
    </row>
    <row r="19794" spans="1:10" x14ac:dyDescent="0.25">
      <c r="A19794" t="s">
        <v>218</v>
      </c>
      <c r="B19794" s="1" t="str">
        <f>HYPERLINK("http://obkilpailu.fi","obkilpailu.fi")</f>
        <v>obkilpailu.fi</v>
      </c>
      <c r="C19794" t="s">
        <v>445</v>
      </c>
      <c r="D19794" t="s">
        <v>823</v>
      </c>
      <c r="J19794">
        <v>4</v>
      </c>
    </row>
    <row r="19795" spans="1:10" x14ac:dyDescent="0.25">
      <c r="A19795" t="s">
        <v>218</v>
      </c>
      <c r="B19795" s="1" t="str">
        <f>HYPERLINK("http://obnuoret.fi","obnuoret.fi")</f>
        <v>obnuoret.fi</v>
      </c>
      <c r="C19795" t="s">
        <v>445</v>
      </c>
      <c r="D19795" t="s">
        <v>823</v>
      </c>
      <c r="F19795">
        <v>5.6412115945707102E-9</v>
      </c>
      <c r="G19795">
        <v>19473570</v>
      </c>
      <c r="H19795">
        <v>10837941</v>
      </c>
      <c r="I19795">
        <v>37218617</v>
      </c>
      <c r="J19795">
        <v>4</v>
      </c>
    </row>
    <row r="19796" spans="1:10" x14ac:dyDescent="0.25">
      <c r="A19796" t="s">
        <v>218</v>
      </c>
      <c r="B19796" s="1" t="str">
        <f>HYPERLINK("http://obprofessional.fi","obprofessional.fi")</f>
        <v>obprofessional.fi</v>
      </c>
      <c r="C19796" t="s">
        <v>445</v>
      </c>
      <c r="D19796" t="s">
        <v>823</v>
      </c>
      <c r="J19796">
        <v>4</v>
      </c>
    </row>
    <row r="19797" spans="1:10" x14ac:dyDescent="0.25">
      <c r="A19797" t="s">
        <v>218</v>
      </c>
      <c r="B19797" s="1" t="str">
        <f>HYPERLINK("http://obtampons.fi","obtampons.fi")</f>
        <v>obtampons.fi</v>
      </c>
      <c r="C19797" t="s">
        <v>445</v>
      </c>
      <c r="D19797" t="s">
        <v>823</v>
      </c>
      <c r="F19797">
        <v>6.0677112114708799E-9</v>
      </c>
      <c r="G19797">
        <v>16280236</v>
      </c>
      <c r="H19797">
        <v>13763639</v>
      </c>
      <c r="I19797">
        <v>7965708</v>
      </c>
      <c r="J19797">
        <v>4</v>
      </c>
    </row>
    <row r="19798" spans="1:10" x14ac:dyDescent="0.25">
      <c r="A19798" t="s">
        <v>218</v>
      </c>
      <c r="B19798" s="1" t="str">
        <f>HYPERLINK("http://olynth.fi","olynth.fi")</f>
        <v>olynth.fi</v>
      </c>
      <c r="C19798" t="s">
        <v>445</v>
      </c>
      <c r="D19798" t="s">
        <v>823</v>
      </c>
      <c r="J19798">
        <v>4</v>
      </c>
    </row>
    <row r="19799" spans="1:10" x14ac:dyDescent="0.25">
      <c r="A19799" t="s">
        <v>218</v>
      </c>
      <c r="B19799" s="1" t="str">
        <f>HYPERLINK("http://onedayacuvue.fi","onedayacuvue.fi")</f>
        <v>onedayacuvue.fi</v>
      </c>
      <c r="C19799" t="s">
        <v>445</v>
      </c>
      <c r="D19799" t="s">
        <v>823</v>
      </c>
      <c r="J19799">
        <v>4</v>
      </c>
    </row>
    <row r="19800" spans="1:10" x14ac:dyDescent="0.25">
      <c r="A19800" t="s">
        <v>218</v>
      </c>
      <c r="B19800" s="1" t="str">
        <f>HYPERLINK("http://onedayacuvuecolours.fi","onedayacuvuecolours.fi")</f>
        <v>onedayacuvuecolours.fi</v>
      </c>
      <c r="C19800" t="s">
        <v>445</v>
      </c>
      <c r="D19800" t="s">
        <v>823</v>
      </c>
      <c r="J19800">
        <v>4</v>
      </c>
    </row>
    <row r="19801" spans="1:10" x14ac:dyDescent="0.25">
      <c r="A19801" t="s">
        <v>218</v>
      </c>
      <c r="B19801" s="1" t="str">
        <f>HYPERLINK("http://onedayacuvuemoist.fi","onedayacuvuemoist.fi")</f>
        <v>onedayacuvuemoist.fi</v>
      </c>
      <c r="C19801" t="s">
        <v>445</v>
      </c>
      <c r="D19801" t="s">
        <v>823</v>
      </c>
      <c r="J19801">
        <v>4</v>
      </c>
    </row>
    <row r="19802" spans="1:10" x14ac:dyDescent="0.25">
      <c r="A19802" t="s">
        <v>218</v>
      </c>
      <c r="B19802" s="1" t="str">
        <f>HYPERLINK("http://onetouch.fi","onetouch.fi")</f>
        <v>onetouch.fi</v>
      </c>
      <c r="C19802" t="s">
        <v>445</v>
      </c>
      <c r="D19802" t="s">
        <v>823</v>
      </c>
      <c r="J19802">
        <v>4</v>
      </c>
    </row>
    <row r="19803" spans="1:10" x14ac:dyDescent="0.25">
      <c r="A19803" t="s">
        <v>218</v>
      </c>
      <c r="B19803" s="1" t="str">
        <f>HYPERLINK("http://onetouchultra2.fi","onetouchultra2.fi")</f>
        <v>onetouchultra2.fi</v>
      </c>
      <c r="C19803" t="s">
        <v>445</v>
      </c>
      <c r="D19803" t="s">
        <v>823</v>
      </c>
      <c r="J19803">
        <v>4</v>
      </c>
    </row>
    <row r="19804" spans="1:10" x14ac:dyDescent="0.25">
      <c r="A19804" t="s">
        <v>218</v>
      </c>
      <c r="B19804" s="1" t="str">
        <f>HYPERLINK("http://onetouchultraeasy.fi","onetouchultraeasy.fi")</f>
        <v>onetouchultraeasy.fi</v>
      </c>
      <c r="C19804" t="s">
        <v>445</v>
      </c>
      <c r="D19804" t="s">
        <v>823</v>
      </c>
      <c r="J19804">
        <v>4</v>
      </c>
    </row>
    <row r="19805" spans="1:10" x14ac:dyDescent="0.25">
      <c r="A19805" t="s">
        <v>218</v>
      </c>
      <c r="B19805" s="1" t="str">
        <f>HYPERLINK("http://onetouchverio.fi","onetouchverio.fi")</f>
        <v>onetouchverio.fi</v>
      </c>
      <c r="C19805" t="s">
        <v>445</v>
      </c>
      <c r="D19805" t="s">
        <v>823</v>
      </c>
      <c r="J19805">
        <v>4</v>
      </c>
    </row>
    <row r="19806" spans="1:10" x14ac:dyDescent="0.25">
      <c r="A19806" t="s">
        <v>218</v>
      </c>
      <c r="B19806" s="1" t="str">
        <f>HYPERLINK("http://onetouchveriopro.fi","onetouchveriopro.fi")</f>
        <v>onetouchveriopro.fi</v>
      </c>
      <c r="C19806" t="s">
        <v>445</v>
      </c>
      <c r="D19806" t="s">
        <v>823</v>
      </c>
      <c r="J19806">
        <v>4</v>
      </c>
    </row>
    <row r="19807" spans="1:10" x14ac:dyDescent="0.25">
      <c r="A19807" t="s">
        <v>218</v>
      </c>
      <c r="B19807" s="1" t="str">
        <f>HYPERLINK("http://opsumit.fi","opsumit.fi")</f>
        <v>opsumit.fi</v>
      </c>
      <c r="C19807" t="s">
        <v>445</v>
      </c>
      <c r="D19807" t="s">
        <v>823</v>
      </c>
      <c r="J19807">
        <v>4</v>
      </c>
    </row>
    <row r="19808" spans="1:10" x14ac:dyDescent="0.25">
      <c r="A19808" t="s">
        <v>218</v>
      </c>
      <c r="B19808" s="1" t="str">
        <f>HYPERLINK("http://pah-forum.fi","pah-forum.fi")</f>
        <v>pah-forum.fi</v>
      </c>
      <c r="C19808" t="s">
        <v>445</v>
      </c>
      <c r="D19808" t="s">
        <v>823</v>
      </c>
      <c r="F19808">
        <v>5.1183992814633802E-9</v>
      </c>
      <c r="G19808">
        <v>26689224</v>
      </c>
      <c r="H19808">
        <v>14071789</v>
      </c>
      <c r="I19808">
        <v>3635718</v>
      </c>
      <c r="J19808">
        <v>4</v>
      </c>
    </row>
    <row r="19809" spans="1:10" x14ac:dyDescent="0.25">
      <c r="A19809" t="s">
        <v>218</v>
      </c>
      <c r="B19809" s="1" t="str">
        <f>HYPERLINK("http://pah-info.fi","pah-info.fi")</f>
        <v>pah-info.fi</v>
      </c>
      <c r="C19809" t="s">
        <v>445</v>
      </c>
      <c r="D19809" t="s">
        <v>823</v>
      </c>
      <c r="J19809">
        <v>4</v>
      </c>
    </row>
    <row r="19810" spans="1:10" x14ac:dyDescent="0.25">
      <c r="A19810" t="s">
        <v>218</v>
      </c>
      <c r="B19810" s="1" t="str">
        <f>HYPERLINK("http://pah-lighthouse.fi","pah-lighthouse.fi")</f>
        <v>pah-lighthouse.fi</v>
      </c>
      <c r="C19810" t="s">
        <v>445</v>
      </c>
      <c r="D19810" t="s">
        <v>823</v>
      </c>
      <c r="J19810">
        <v>4</v>
      </c>
    </row>
    <row r="19811" spans="1:10" x14ac:dyDescent="0.25">
      <c r="A19811" t="s">
        <v>218</v>
      </c>
      <c r="B19811" s="1" t="str">
        <f>HYPERLINK("http://pahpowerof3.fi","pahpowerof3.fi")</f>
        <v>pahpowerof3.fi</v>
      </c>
      <c r="C19811" t="s">
        <v>445</v>
      </c>
      <c r="D19811" t="s">
        <v>823</v>
      </c>
      <c r="J19811">
        <v>4</v>
      </c>
    </row>
    <row r="19812" spans="1:10" x14ac:dyDescent="0.25">
      <c r="A19812" t="s">
        <v>218</v>
      </c>
      <c r="B19812" s="1" t="str">
        <f>HYPERLINK("http://pahpowerofthree.fi","pahpowerofthree.fi")</f>
        <v>pahpowerofthree.fi</v>
      </c>
      <c r="C19812" t="s">
        <v>445</v>
      </c>
      <c r="D19812" t="s">
        <v>823</v>
      </c>
      <c r="J19812">
        <v>4</v>
      </c>
    </row>
    <row r="19813" spans="1:10" x14ac:dyDescent="0.25">
      <c r="A19813" t="s">
        <v>218</v>
      </c>
      <c r="B19813" s="1" t="str">
        <f>HYPERLINK("http://pahpowerofthreee.fi","pahpowerofthreee.fi")</f>
        <v>pahpowerofthreee.fi</v>
      </c>
      <c r="C19813" t="s">
        <v>445</v>
      </c>
      <c r="D19813" t="s">
        <v>823</v>
      </c>
      <c r="J19813">
        <v>4</v>
      </c>
    </row>
    <row r="19814" spans="1:10" x14ac:dyDescent="0.25">
      <c r="A19814" t="s">
        <v>218</v>
      </c>
      <c r="B19814" s="1" t="str">
        <f>HYPERLINK("http://paliperidoni.fi","paliperidoni.fi")</f>
        <v>paliperidoni.fi</v>
      </c>
      <c r="C19814" t="s">
        <v>445</v>
      </c>
      <c r="D19814" t="s">
        <v>823</v>
      </c>
      <c r="J19814">
        <v>4</v>
      </c>
    </row>
    <row r="19815" spans="1:10" x14ac:dyDescent="0.25">
      <c r="A19815" t="s">
        <v>218</v>
      </c>
      <c r="B19815" s="1" t="str">
        <f>HYPERLINK("http://pepcid.fi","pepcid.fi")</f>
        <v>pepcid.fi</v>
      </c>
      <c r="C19815" t="s">
        <v>445</v>
      </c>
      <c r="D19815" t="s">
        <v>823</v>
      </c>
      <c r="F19815">
        <v>5.22070501990667E-9</v>
      </c>
      <c r="G19815">
        <v>24732355</v>
      </c>
      <c r="H19815">
        <v>9520082</v>
      </c>
      <c r="I19815">
        <v>65431663</v>
      </c>
      <c r="J19815">
        <v>4</v>
      </c>
    </row>
    <row r="19816" spans="1:10" x14ac:dyDescent="0.25">
      <c r="A19816" t="s">
        <v>218</v>
      </c>
      <c r="B19816" s="1" t="str">
        <f>HYPERLINK("http://pepcidduo.fi","pepcidduo.fi")</f>
        <v>pepcidduo.fi</v>
      </c>
      <c r="C19816" t="s">
        <v>445</v>
      </c>
      <c r="D19816" t="s">
        <v>823</v>
      </c>
      <c r="J19816">
        <v>4</v>
      </c>
    </row>
    <row r="19817" spans="1:10" x14ac:dyDescent="0.25">
      <c r="A19817" t="s">
        <v>218</v>
      </c>
      <c r="B19817" s="1" t="str">
        <f>HYPERLINK("http://pfacademy.fi","pfacademy.fi")</f>
        <v>pfacademy.fi</v>
      </c>
      <c r="C19817" t="s">
        <v>445</v>
      </c>
      <c r="D19817" t="s">
        <v>823</v>
      </c>
      <c r="J19817">
        <v>4</v>
      </c>
    </row>
    <row r="19818" spans="1:10" x14ac:dyDescent="0.25">
      <c r="A19818" t="s">
        <v>218</v>
      </c>
      <c r="B19818" s="1" t="str">
        <f>HYPERLINK("http://prezista.fi","prezista.fi")</f>
        <v>prezista.fi</v>
      </c>
      <c r="C19818" t="s">
        <v>445</v>
      </c>
      <c r="D19818" t="s">
        <v>823</v>
      </c>
      <c r="J19818">
        <v>4</v>
      </c>
    </row>
    <row r="19819" spans="1:10" x14ac:dyDescent="0.25">
      <c r="A19819" t="s">
        <v>218</v>
      </c>
      <c r="B19819" s="1" t="str">
        <f>HYPERLINK("http://psoriaasi360.fi","psoriaasi360.fi")</f>
        <v>psoriaasi360.fi</v>
      </c>
      <c r="C19819" t="s">
        <v>445</v>
      </c>
      <c r="D19819" t="s">
        <v>823</v>
      </c>
      <c r="J19819">
        <v>4</v>
      </c>
    </row>
    <row r="19820" spans="1:10" x14ac:dyDescent="0.25">
      <c r="A19820" t="s">
        <v>218</v>
      </c>
      <c r="B19820" s="1" t="str">
        <f>HYPERLINK("http://psoriasis360.fi","psoriasis360.fi")</f>
        <v>psoriasis360.fi</v>
      </c>
      <c r="C19820" t="s">
        <v>445</v>
      </c>
      <c r="D19820" t="s">
        <v>823</v>
      </c>
      <c r="J19820">
        <v>4</v>
      </c>
    </row>
    <row r="19821" spans="1:10" x14ac:dyDescent="0.25">
      <c r="A19821" t="s">
        <v>218</v>
      </c>
      <c r="B19821" s="1" t="str">
        <f>HYPERLINK("http://psyacademy.fi","psyacademy.fi")</f>
        <v>psyacademy.fi</v>
      </c>
      <c r="C19821" t="s">
        <v>445</v>
      </c>
      <c r="D19821" t="s">
        <v>823</v>
      </c>
      <c r="J19821">
        <v>4</v>
      </c>
    </row>
    <row r="19822" spans="1:10" x14ac:dyDescent="0.25">
      <c r="A19822" t="s">
        <v>218</v>
      </c>
      <c r="B19822" s="1" t="str">
        <f>HYPERLINK("http://psykoositietoa.fi","psykoositietoa.fi")</f>
        <v>psykoositietoa.fi</v>
      </c>
      <c r="C19822" t="s">
        <v>445</v>
      </c>
      <c r="D19822" t="s">
        <v>823</v>
      </c>
      <c r="J19822">
        <v>4</v>
      </c>
    </row>
    <row r="19823" spans="1:10" x14ac:dyDescent="0.25">
      <c r="A19823" t="s">
        <v>218</v>
      </c>
      <c r="B19823" s="1" t="str">
        <f>HYPERLINK("http://ratkaisevatuki.fi","ratkaisevatuki.fi")</f>
        <v>ratkaisevatuki.fi</v>
      </c>
      <c r="C19823" t="s">
        <v>445</v>
      </c>
      <c r="D19823" t="s">
        <v>823</v>
      </c>
      <c r="J19823">
        <v>4</v>
      </c>
    </row>
    <row r="19824" spans="1:10" x14ac:dyDescent="0.25">
      <c r="A19824" t="s">
        <v>218</v>
      </c>
      <c r="B19824" s="1" t="str">
        <f>HYPERLINK("http://realize.fi","realize.fi")</f>
        <v>realize.fi</v>
      </c>
      <c r="C19824" t="s">
        <v>445</v>
      </c>
      <c r="D19824" t="s">
        <v>823</v>
      </c>
      <c r="J19824">
        <v>4</v>
      </c>
    </row>
    <row r="19825" spans="1:10" x14ac:dyDescent="0.25">
      <c r="A19825" t="s">
        <v>218</v>
      </c>
      <c r="B19825" s="1" t="str">
        <f>HYPERLINK("http://realizeband.fi","realizeband.fi")</f>
        <v>realizeband.fi</v>
      </c>
      <c r="C19825" t="s">
        <v>445</v>
      </c>
      <c r="D19825" t="s">
        <v>823</v>
      </c>
      <c r="J19825">
        <v>4</v>
      </c>
    </row>
    <row r="19826" spans="1:10" x14ac:dyDescent="0.25">
      <c r="A19826" t="s">
        <v>218</v>
      </c>
      <c r="B19826" s="1" t="str">
        <f>HYPERLINK("http://realizebypass.fi","realizebypass.fi")</f>
        <v>realizebypass.fi</v>
      </c>
      <c r="C19826" t="s">
        <v>445</v>
      </c>
      <c r="D19826" t="s">
        <v>823</v>
      </c>
      <c r="J19826">
        <v>4</v>
      </c>
    </row>
    <row r="19827" spans="1:10" x14ac:dyDescent="0.25">
      <c r="A19827" t="s">
        <v>218</v>
      </c>
      <c r="B19827" s="1" t="str">
        <f>HYPERLINK("http://realizemysuccess.fi","realizemysuccess.fi")</f>
        <v>realizemysuccess.fi</v>
      </c>
      <c r="C19827" t="s">
        <v>445</v>
      </c>
      <c r="D19827" t="s">
        <v>823</v>
      </c>
      <c r="J19827">
        <v>4</v>
      </c>
    </row>
    <row r="19828" spans="1:10" x14ac:dyDescent="0.25">
      <c r="A19828" t="s">
        <v>218</v>
      </c>
      <c r="B19828" s="1" t="str">
        <f>HYPERLINK("http://realizesleeve.fi","realizesleeve.fi")</f>
        <v>realizesleeve.fi</v>
      </c>
      <c r="C19828" t="s">
        <v>445</v>
      </c>
      <c r="D19828" t="s">
        <v>823</v>
      </c>
      <c r="J19828">
        <v>4</v>
      </c>
    </row>
    <row r="19829" spans="1:10" x14ac:dyDescent="0.25">
      <c r="A19829" t="s">
        <v>218</v>
      </c>
      <c r="B19829" s="1" t="str">
        <f>HYPERLINK("http://regaine.fi","regaine.fi")</f>
        <v>regaine.fi</v>
      </c>
      <c r="C19829" t="s">
        <v>445</v>
      </c>
      <c r="D19829" t="s">
        <v>823</v>
      </c>
      <c r="J19829">
        <v>4</v>
      </c>
    </row>
    <row r="19830" spans="1:10" x14ac:dyDescent="0.25">
      <c r="A19830" t="s">
        <v>218</v>
      </c>
      <c r="B19830" s="1" t="str">
        <f>HYPERLINK("http://remicade.fi","remicade.fi")</f>
        <v>remicade.fi</v>
      </c>
      <c r="C19830" t="s">
        <v>445</v>
      </c>
      <c r="D19830" t="s">
        <v>823</v>
      </c>
      <c r="J19830">
        <v>4</v>
      </c>
    </row>
    <row r="19831" spans="1:10" x14ac:dyDescent="0.25">
      <c r="A19831" t="s">
        <v>218</v>
      </c>
      <c r="B19831" s="1" t="str">
        <f>HYPERLINK("http://reminyl.fi","reminyl.fi")</f>
        <v>reminyl.fi</v>
      </c>
      <c r="C19831" t="s">
        <v>445</v>
      </c>
      <c r="D19831" t="s">
        <v>823</v>
      </c>
      <c r="J19831">
        <v>4</v>
      </c>
    </row>
    <row r="19832" spans="1:10" x14ac:dyDescent="0.25">
      <c r="A19832" t="s">
        <v>218</v>
      </c>
      <c r="B19832" s="1" t="str">
        <f>HYPERLINK("http://rhinocort.fi","rhinocort.fi")</f>
        <v>rhinocort.fi</v>
      </c>
      <c r="C19832" t="s">
        <v>445</v>
      </c>
      <c r="D19832" t="s">
        <v>823</v>
      </c>
      <c r="J19832">
        <v>4</v>
      </c>
    </row>
    <row r="19833" spans="1:10" x14ac:dyDescent="0.25">
      <c r="A19833" t="s">
        <v>218</v>
      </c>
      <c r="B19833" s="1" t="str">
        <f>HYPERLINK("http://risperdal-consta.fi","risperdal-consta.fi")</f>
        <v>risperdal-consta.fi</v>
      </c>
      <c r="C19833" t="s">
        <v>445</v>
      </c>
      <c r="D19833" t="s">
        <v>823</v>
      </c>
      <c r="J19833">
        <v>4</v>
      </c>
    </row>
    <row r="19834" spans="1:10" x14ac:dyDescent="0.25">
      <c r="A19834" t="s">
        <v>218</v>
      </c>
      <c r="B19834" s="1" t="str">
        <f>HYPERLINK("http://risperdalconsta.fi","risperdalconsta.fi")</f>
        <v>risperdalconsta.fi</v>
      </c>
      <c r="C19834" t="s">
        <v>445</v>
      </c>
      <c r="D19834" t="s">
        <v>823</v>
      </c>
      <c r="J19834">
        <v>4</v>
      </c>
    </row>
    <row r="19835" spans="1:10" x14ac:dyDescent="0.25">
      <c r="A19835" t="s">
        <v>218</v>
      </c>
      <c r="B19835" s="1" t="str">
        <f>HYPERLINK("http://rogaine.fi","rogaine.fi")</f>
        <v>rogaine.fi</v>
      </c>
      <c r="C19835" t="s">
        <v>445</v>
      </c>
      <c r="D19835" t="s">
        <v>823</v>
      </c>
      <c r="J19835">
        <v>4</v>
      </c>
    </row>
    <row r="19836" spans="1:10" x14ac:dyDescent="0.25">
      <c r="A19836" t="s">
        <v>218</v>
      </c>
      <c r="B19836" s="1" t="str">
        <f>HYPERLINK("http://safereturns.fi","safereturns.fi")</f>
        <v>safereturns.fi</v>
      </c>
      <c r="C19836" t="s">
        <v>445</v>
      </c>
      <c r="D19836" t="s">
        <v>823</v>
      </c>
      <c r="J19836">
        <v>4</v>
      </c>
    </row>
    <row r="19837" spans="1:10" x14ac:dyDescent="0.25">
      <c r="A19837" t="s">
        <v>218</v>
      </c>
      <c r="B19837" s="1" t="str">
        <f>HYPERLINK("http://sarky.fi","sarky.fi")</f>
        <v>sarky.fi</v>
      </c>
      <c r="C19837" t="s">
        <v>445</v>
      </c>
      <c r="D19837" t="s">
        <v>823</v>
      </c>
      <c r="J19837">
        <v>4</v>
      </c>
    </row>
    <row r="19838" spans="1:10" x14ac:dyDescent="0.25">
      <c r="A19838" t="s">
        <v>218</v>
      </c>
      <c r="B19838" s="1" t="str">
        <f>HYPERLINK("http://savuttomuus.fi","savuttomuus.fi")</f>
        <v>savuttomuus.fi</v>
      </c>
      <c r="C19838" t="s">
        <v>445</v>
      </c>
      <c r="D19838" t="s">
        <v>823</v>
      </c>
      <c r="J19838">
        <v>4</v>
      </c>
    </row>
    <row r="19839" spans="1:10" x14ac:dyDescent="0.25">
      <c r="A19839" t="s">
        <v>218</v>
      </c>
      <c r="B19839" s="1" t="str">
        <f>HYPERLINK("http://schizophrenia24x7.fi","schizophrenia24x7.fi")</f>
        <v>schizophrenia24x7.fi</v>
      </c>
      <c r="C19839" t="s">
        <v>445</v>
      </c>
      <c r="D19839" t="s">
        <v>823</v>
      </c>
      <c r="J19839">
        <v>4</v>
      </c>
    </row>
    <row r="19840" spans="1:10" x14ac:dyDescent="0.25">
      <c r="A19840" t="s">
        <v>218</v>
      </c>
      <c r="B19840" s="1" t="str">
        <f>HYPERLINK("http://simponi.fi","simponi.fi")</f>
        <v>simponi.fi</v>
      </c>
      <c r="C19840" t="s">
        <v>445</v>
      </c>
      <c r="D19840" t="s">
        <v>823</v>
      </c>
      <c r="J19840">
        <v>4</v>
      </c>
    </row>
    <row r="19841" spans="1:10" x14ac:dyDescent="0.25">
      <c r="A19841" t="s">
        <v>218</v>
      </c>
      <c r="B19841" s="1" t="str">
        <f>HYPERLINK("http://simponiforme.fi","simponiforme.fi")</f>
        <v>simponiforme.fi</v>
      </c>
      <c r="C19841" t="s">
        <v>445</v>
      </c>
      <c r="D19841" t="s">
        <v>823</v>
      </c>
      <c r="J19841">
        <v>4</v>
      </c>
    </row>
    <row r="19842" spans="1:10" x14ac:dyDescent="0.25">
      <c r="A19842" t="s">
        <v>218</v>
      </c>
      <c r="B19842" s="1" t="str">
        <f>HYPERLINK("http://simponijamina.fi","simponijamina.fi")</f>
        <v>simponijamina.fi</v>
      </c>
      <c r="C19842" t="s">
        <v>445</v>
      </c>
      <c r="D19842" t="s">
        <v>823</v>
      </c>
      <c r="J19842">
        <v>4</v>
      </c>
    </row>
    <row r="19843" spans="1:10" x14ac:dyDescent="0.25">
      <c r="A19843" t="s">
        <v>218</v>
      </c>
      <c r="B19843" s="1" t="str">
        <f>HYPERLINK("http://skitsofreniatietoa.fi","skitsofreniatietoa.fi")</f>
        <v>skitsofreniatietoa.fi</v>
      </c>
      <c r="C19843" t="s">
        <v>445</v>
      </c>
      <c r="D19843" t="s">
        <v>823</v>
      </c>
      <c r="F19843">
        <v>5.5252134370672504E-9</v>
      </c>
      <c r="G19843">
        <v>20632822</v>
      </c>
      <c r="H19843">
        <v>12332626</v>
      </c>
      <c r="I19843">
        <v>20157384</v>
      </c>
      <c r="J19843">
        <v>4</v>
      </c>
    </row>
    <row r="19844" spans="1:10" x14ac:dyDescent="0.25">
      <c r="A19844" t="s">
        <v>218</v>
      </c>
      <c r="B19844" s="1" t="str">
        <f>HYPERLINK("http://smokeweek.fi","smokeweek.fi")</f>
        <v>smokeweek.fi</v>
      </c>
      <c r="C19844" t="s">
        <v>445</v>
      </c>
      <c r="D19844" t="s">
        <v>823</v>
      </c>
      <c r="J19844">
        <v>4</v>
      </c>
    </row>
    <row r="19845" spans="1:10" x14ac:dyDescent="0.25">
      <c r="A19845" t="s">
        <v>218</v>
      </c>
      <c r="B19845" s="1" t="str">
        <f>HYPERLINK("http://spravato.fi","spravato.fi")</f>
        <v>spravato.fi</v>
      </c>
      <c r="C19845" t="s">
        <v>445</v>
      </c>
      <c r="D19845" t="s">
        <v>823</v>
      </c>
      <c r="J19845">
        <v>4</v>
      </c>
    </row>
    <row r="19846" spans="1:10" x14ac:dyDescent="0.25">
      <c r="A19846" t="s">
        <v>218</v>
      </c>
      <c r="B19846" s="1" t="str">
        <f>HYPERLINK("http://stelara.fi","stelara.fi")</f>
        <v>stelara.fi</v>
      </c>
      <c r="C19846" t="s">
        <v>445</v>
      </c>
      <c r="D19846" t="s">
        <v>823</v>
      </c>
      <c r="J19846">
        <v>4</v>
      </c>
    </row>
    <row r="19847" spans="1:10" x14ac:dyDescent="0.25">
      <c r="A19847" t="s">
        <v>218</v>
      </c>
      <c r="B19847" s="1" t="str">
        <f>HYPERLINK("http://suu.fi","suu.fi")</f>
        <v>suu.fi</v>
      </c>
      <c r="C19847" t="s">
        <v>445</v>
      </c>
      <c r="D19847" t="s">
        <v>823</v>
      </c>
      <c r="J19847">
        <v>4</v>
      </c>
    </row>
    <row r="19848" spans="1:10" x14ac:dyDescent="0.25">
      <c r="A19848" t="s">
        <v>218</v>
      </c>
      <c r="B19848" s="1" t="str">
        <f>HYPERLINK("http://suuhygienia.fi","suuhygienia.fi")</f>
        <v>suuhygienia.fi</v>
      </c>
      <c r="C19848" t="s">
        <v>445</v>
      </c>
      <c r="D19848" t="s">
        <v>823</v>
      </c>
      <c r="J19848">
        <v>4</v>
      </c>
    </row>
    <row r="19849" spans="1:10" x14ac:dyDescent="0.25">
      <c r="A19849" t="s">
        <v>218</v>
      </c>
      <c r="B19849" s="1" t="str">
        <f>HYPERLINK("http://suuvesi.fi","suuvesi.fi")</f>
        <v>suuvesi.fi</v>
      </c>
      <c r="C19849" t="s">
        <v>445</v>
      </c>
      <c r="D19849" t="s">
        <v>823</v>
      </c>
      <c r="J19849">
        <v>4</v>
      </c>
    </row>
    <row r="19850" spans="1:10" x14ac:dyDescent="0.25">
      <c r="A19850" t="s">
        <v>218</v>
      </c>
      <c r="B19850" s="1" t="str">
        <f>HYPERLINK("http://syylanhoito.fi","syylanhoito.fi")</f>
        <v>syylanhoito.fi</v>
      </c>
      <c r="C19850" t="s">
        <v>445</v>
      </c>
      <c r="D19850" t="s">
        <v>823</v>
      </c>
      <c r="J19850">
        <v>4</v>
      </c>
    </row>
    <row r="19851" spans="1:10" x14ac:dyDescent="0.25">
      <c r="A19851" t="s">
        <v>218</v>
      </c>
      <c r="B19851" s="1" t="str">
        <f>HYPERLINK("http://telaprevir.fi","telaprevir.fi")</f>
        <v>telaprevir.fi</v>
      </c>
      <c r="C19851" t="s">
        <v>445</v>
      </c>
      <c r="D19851" t="s">
        <v>823</v>
      </c>
      <c r="J19851">
        <v>4</v>
      </c>
    </row>
    <row r="19852" spans="1:10" x14ac:dyDescent="0.25">
      <c r="A19852" t="s">
        <v>218</v>
      </c>
      <c r="B19852" s="1" t="str">
        <f>HYPERLINK("http://thevisioncareinstitute.fi","thevisioncareinstitute.fi")</f>
        <v>thevisioncareinstitute.fi</v>
      </c>
      <c r="C19852" t="s">
        <v>445</v>
      </c>
      <c r="D19852" t="s">
        <v>823</v>
      </c>
      <c r="J19852">
        <v>4</v>
      </c>
    </row>
    <row r="19853" spans="1:10" x14ac:dyDescent="0.25">
      <c r="A19853" t="s">
        <v>218</v>
      </c>
      <c r="B19853" s="1" t="str">
        <f>HYPERLINK("http://tibotec.fi","tibotec.fi")</f>
        <v>tibotec.fi</v>
      </c>
      <c r="C19853" t="s">
        <v>445</v>
      </c>
      <c r="D19853" t="s">
        <v>823</v>
      </c>
      <c r="J19853">
        <v>4</v>
      </c>
    </row>
    <row r="19854" spans="1:10" x14ac:dyDescent="0.25">
      <c r="A19854" t="s">
        <v>218</v>
      </c>
      <c r="B19854" s="1" t="str">
        <f>HYPERLINK("http://tibotec-hiv.fi","tibotec-hiv.fi")</f>
        <v>tibotec-hiv.fi</v>
      </c>
      <c r="C19854" t="s">
        <v>445</v>
      </c>
      <c r="D19854" t="s">
        <v>823</v>
      </c>
      <c r="J19854">
        <v>4</v>
      </c>
    </row>
    <row r="19855" spans="1:10" x14ac:dyDescent="0.25">
      <c r="A19855" t="s">
        <v>218</v>
      </c>
      <c r="B19855" s="1" t="str">
        <f>HYPERLINK("http://tiedatkoarvosi.fi","tiedatkoarvosi.fi")</f>
        <v>tiedatkoarvosi.fi</v>
      </c>
      <c r="C19855" t="s">
        <v>445</v>
      </c>
      <c r="D19855" t="s">
        <v>823</v>
      </c>
      <c r="J19855">
        <v>4</v>
      </c>
    </row>
    <row r="19856" spans="1:10" x14ac:dyDescent="0.25">
      <c r="A19856" t="s">
        <v>218</v>
      </c>
      <c r="B19856" s="1" t="str">
        <f>HYPERLINK("http://topimax.fi","topimax.fi")</f>
        <v>topimax.fi</v>
      </c>
      <c r="C19856" t="s">
        <v>445</v>
      </c>
      <c r="D19856" t="s">
        <v>823</v>
      </c>
      <c r="J19856">
        <v>4</v>
      </c>
    </row>
    <row r="19857" spans="1:10" x14ac:dyDescent="0.25">
      <c r="A19857" t="s">
        <v>218</v>
      </c>
      <c r="B19857" s="1" t="str">
        <f>HYPERLINK("http://tracleer.fi","tracleer.fi")</f>
        <v>tracleer.fi</v>
      </c>
      <c r="C19857" t="s">
        <v>445</v>
      </c>
      <c r="D19857" t="s">
        <v>823</v>
      </c>
      <c r="J19857">
        <v>4</v>
      </c>
    </row>
    <row r="19858" spans="1:10" x14ac:dyDescent="0.25">
      <c r="A19858" t="s">
        <v>218</v>
      </c>
      <c r="B19858" s="1" t="str">
        <f>HYPERLINK("http://tremfya.fi","tremfya.fi")</f>
        <v>tremfya.fi</v>
      </c>
      <c r="C19858" t="s">
        <v>445</v>
      </c>
      <c r="D19858" t="s">
        <v>823</v>
      </c>
      <c r="J19858">
        <v>4</v>
      </c>
    </row>
    <row r="19859" spans="1:10" x14ac:dyDescent="0.25">
      <c r="A19859" t="s">
        <v>218</v>
      </c>
      <c r="B19859" s="1" t="str">
        <f>HYPERLINK("http://trevicta.fi","trevicta.fi")</f>
        <v>trevicta.fi</v>
      </c>
      <c r="C19859" t="s">
        <v>445</v>
      </c>
      <c r="D19859" t="s">
        <v>823</v>
      </c>
      <c r="J19859">
        <v>4</v>
      </c>
    </row>
    <row r="19860" spans="1:10" x14ac:dyDescent="0.25">
      <c r="A19860" t="s">
        <v>218</v>
      </c>
      <c r="B19860" s="1" t="str">
        <f>HYPERLINK("http://trueye.fi","trueye.fi")</f>
        <v>trueye.fi</v>
      </c>
      <c r="C19860" t="s">
        <v>445</v>
      </c>
      <c r="D19860" t="s">
        <v>823</v>
      </c>
      <c r="J19860">
        <v>4</v>
      </c>
    </row>
    <row r="19861" spans="1:10" x14ac:dyDescent="0.25">
      <c r="A19861" t="s">
        <v>218</v>
      </c>
      <c r="B19861" s="1" t="str">
        <f>HYPERLINK("http://tupakoinninlopettaminen.fi","tupakoinninlopettaminen.fi")</f>
        <v>tupakoinninlopettaminen.fi</v>
      </c>
      <c r="C19861" t="s">
        <v>445</v>
      </c>
      <c r="D19861" t="s">
        <v>823</v>
      </c>
      <c r="J19861">
        <v>4</v>
      </c>
    </row>
    <row r="19862" spans="1:10" x14ac:dyDescent="0.25">
      <c r="A19862" t="s">
        <v>218</v>
      </c>
      <c r="B19862" s="1" t="str">
        <f>HYPERLINK("http://tupakointi-info.fi","tupakointi-info.fi")</f>
        <v>tupakointi-info.fi</v>
      </c>
      <c r="C19862" t="s">
        <v>445</v>
      </c>
      <c r="D19862" t="s">
        <v>823</v>
      </c>
      <c r="J19862">
        <v>4</v>
      </c>
    </row>
    <row r="19863" spans="1:10" x14ac:dyDescent="0.25">
      <c r="A19863" t="s">
        <v>218</v>
      </c>
      <c r="B19863" s="1" t="str">
        <f>HYPERLINK("http://tupakointiinfo.fi","tupakointiinfo.fi")</f>
        <v>tupakointiinfo.fi</v>
      </c>
      <c r="C19863" t="s">
        <v>445</v>
      </c>
      <c r="D19863" t="s">
        <v>823</v>
      </c>
      <c r="J19863">
        <v>4</v>
      </c>
    </row>
    <row r="19864" spans="1:10" x14ac:dyDescent="0.25">
      <c r="A19864" t="s">
        <v>218</v>
      </c>
      <c r="B19864" s="1" t="str">
        <f>HYPERLINK("http://tvci.fi","tvci.fi")</f>
        <v>tvci.fi</v>
      </c>
      <c r="C19864" t="s">
        <v>445</v>
      </c>
      <c r="D19864" t="s">
        <v>823</v>
      </c>
      <c r="J19864">
        <v>4</v>
      </c>
    </row>
    <row r="19865" spans="1:10" x14ac:dyDescent="0.25">
      <c r="A19865" t="s">
        <v>218</v>
      </c>
      <c r="B19865" s="1" t="str">
        <f>HYPERLINK("http://tyra.fi","tyra.fi")</f>
        <v>tyra.fi</v>
      </c>
      <c r="C19865" t="s">
        <v>445</v>
      </c>
      <c r="D19865" t="s">
        <v>823</v>
      </c>
      <c r="J19865">
        <v>4</v>
      </c>
    </row>
    <row r="19866" spans="1:10" x14ac:dyDescent="0.25">
      <c r="A19866" t="s">
        <v>218</v>
      </c>
      <c r="B19866" s="1" t="str">
        <f>HYPERLINK("http://ultra2.fi","ultra2.fi")</f>
        <v>ultra2.fi</v>
      </c>
      <c r="C19866" t="s">
        <v>445</v>
      </c>
      <c r="D19866" t="s">
        <v>823</v>
      </c>
      <c r="J19866">
        <v>4</v>
      </c>
    </row>
    <row r="19867" spans="1:10" x14ac:dyDescent="0.25">
      <c r="A19867" t="s">
        <v>218</v>
      </c>
      <c r="B19867" s="1" t="str">
        <f>HYPERLINK("http://ultracision.fi","ultracision.fi")</f>
        <v>ultracision.fi</v>
      </c>
      <c r="C19867" t="s">
        <v>445</v>
      </c>
      <c r="D19867" t="s">
        <v>823</v>
      </c>
      <c r="J19867">
        <v>4</v>
      </c>
    </row>
    <row r="19868" spans="1:10" x14ac:dyDescent="0.25">
      <c r="A19868" t="s">
        <v>218</v>
      </c>
      <c r="B19868" s="1" t="str">
        <f>HYPERLINK("http://ultracomfortseries.fi","ultracomfortseries.fi")</f>
        <v>ultracomfortseries.fi</v>
      </c>
      <c r="C19868" t="s">
        <v>445</v>
      </c>
      <c r="D19868" t="s">
        <v>823</v>
      </c>
      <c r="J19868">
        <v>4</v>
      </c>
    </row>
    <row r="19869" spans="1:10" x14ac:dyDescent="0.25">
      <c r="A19869" t="s">
        <v>218</v>
      </c>
      <c r="B19869" s="1" t="str">
        <f>HYPERLINK("http://ultraeasy.fi","ultraeasy.fi")</f>
        <v>ultraeasy.fi</v>
      </c>
      <c r="C19869" t="s">
        <v>445</v>
      </c>
      <c r="D19869" t="s">
        <v>823</v>
      </c>
      <c r="J19869">
        <v>4</v>
      </c>
    </row>
    <row r="19870" spans="1:10" x14ac:dyDescent="0.25">
      <c r="A19870" t="s">
        <v>218</v>
      </c>
      <c r="B19870" s="1" t="str">
        <f>HYPERLINK("http://ummetus.fi","ummetus.fi")</f>
        <v>ummetus.fi</v>
      </c>
      <c r="C19870" t="s">
        <v>445</v>
      </c>
      <c r="D19870" t="s">
        <v>823</v>
      </c>
      <c r="J19870">
        <v>4</v>
      </c>
    </row>
    <row r="19871" spans="1:10" x14ac:dyDescent="0.25">
      <c r="A19871" t="s">
        <v>218</v>
      </c>
      <c r="B19871" s="1" t="str">
        <f>HYPERLINK("http://unohdarooki.fi","unohdarooki.fi")</f>
        <v>unohdarooki.fi</v>
      </c>
      <c r="C19871" t="s">
        <v>445</v>
      </c>
      <c r="D19871" t="s">
        <v>823</v>
      </c>
      <c r="J19871">
        <v>4</v>
      </c>
    </row>
    <row r="19872" spans="1:10" x14ac:dyDescent="0.25">
      <c r="A19872" t="s">
        <v>218</v>
      </c>
      <c r="B19872" s="1" t="str">
        <f>HYPERLINK("http://uptravi.fi","uptravi.fi")</f>
        <v>uptravi.fi</v>
      </c>
      <c r="C19872" t="s">
        <v>445</v>
      </c>
      <c r="D19872" t="s">
        <v>823</v>
      </c>
      <c r="J19872">
        <v>4</v>
      </c>
    </row>
    <row r="19873" spans="1:10" x14ac:dyDescent="0.25">
      <c r="A19873" t="s">
        <v>218</v>
      </c>
      <c r="B19873" s="1" t="str">
        <f>HYPERLINK("http://uptravi-patient.fi","uptravi-patient.fi")</f>
        <v>uptravi-patient.fi</v>
      </c>
      <c r="C19873" t="s">
        <v>445</v>
      </c>
      <c r="D19873" t="s">
        <v>823</v>
      </c>
      <c r="J19873">
        <v>4</v>
      </c>
    </row>
    <row r="19874" spans="1:10" x14ac:dyDescent="0.25">
      <c r="A19874" t="s">
        <v>218</v>
      </c>
      <c r="B19874" s="1" t="str">
        <f>HYPERLINK("http://velcade.fi","velcade.fi")</f>
        <v>velcade.fi</v>
      </c>
      <c r="C19874" t="s">
        <v>445</v>
      </c>
      <c r="D19874" t="s">
        <v>823</v>
      </c>
      <c r="J19874">
        <v>4</v>
      </c>
    </row>
    <row r="19875" spans="1:10" x14ac:dyDescent="0.25">
      <c r="A19875" t="s">
        <v>218</v>
      </c>
      <c r="B19875" s="1" t="str">
        <f>HYPERLINK("http://verensokerimittari.fi","verensokerimittari.fi")</f>
        <v>verensokerimittari.fi</v>
      </c>
      <c r="C19875" t="s">
        <v>445</v>
      </c>
      <c r="D19875" t="s">
        <v>823</v>
      </c>
      <c r="J19875">
        <v>4</v>
      </c>
    </row>
    <row r="19876" spans="1:10" x14ac:dyDescent="0.25">
      <c r="A19876" t="s">
        <v>218</v>
      </c>
      <c r="B19876" s="1" t="str">
        <f>HYPERLINK("http://veriopro.fi","veriopro.fi")</f>
        <v>veriopro.fi</v>
      </c>
      <c r="C19876" t="s">
        <v>445</v>
      </c>
      <c r="D19876" t="s">
        <v>823</v>
      </c>
      <c r="J19876">
        <v>4</v>
      </c>
    </row>
    <row r="19877" spans="1:10" x14ac:dyDescent="0.25">
      <c r="A19877" t="s">
        <v>218</v>
      </c>
      <c r="B19877" s="1" t="str">
        <f>HYPERLINK("http://visiblyclear.fi","visiblyclear.fi")</f>
        <v>visiblyclear.fi</v>
      </c>
      <c r="C19877" t="s">
        <v>445</v>
      </c>
      <c r="D19877" t="s">
        <v>823</v>
      </c>
      <c r="J19877">
        <v>4</v>
      </c>
    </row>
    <row r="19878" spans="1:10" x14ac:dyDescent="0.25">
      <c r="A19878" t="s">
        <v>218</v>
      </c>
      <c r="B19878" s="1" t="str">
        <f>HYPERLINK("http://visiclear.fi","visiclear.fi")</f>
        <v>visiclear.fi</v>
      </c>
      <c r="C19878" t="s">
        <v>445</v>
      </c>
      <c r="D19878" t="s">
        <v>823</v>
      </c>
      <c r="J19878">
        <v>4</v>
      </c>
    </row>
    <row r="19879" spans="1:10" x14ac:dyDescent="0.25">
      <c r="A19879" t="s">
        <v>218</v>
      </c>
      <c r="B19879" s="1" t="str">
        <f>HYPERLINK("http://visine.fi","visine.fi")</f>
        <v>visine.fi</v>
      </c>
      <c r="C19879" t="s">
        <v>445</v>
      </c>
      <c r="D19879" t="s">
        <v>823</v>
      </c>
      <c r="J19879">
        <v>4</v>
      </c>
    </row>
    <row r="19880" spans="1:10" x14ac:dyDescent="0.25">
      <c r="A19880" t="s">
        <v>218</v>
      </c>
      <c r="B19880" s="1" t="str">
        <f>HYPERLINK("http://vispring.fi","vispring.fi")</f>
        <v>vispring.fi</v>
      </c>
      <c r="C19880" t="s">
        <v>445</v>
      </c>
      <c r="D19880" t="s">
        <v>823</v>
      </c>
      <c r="J19880">
        <v>4</v>
      </c>
    </row>
    <row r="19881" spans="1:10" x14ac:dyDescent="0.25">
      <c r="A19881" t="s">
        <v>218</v>
      </c>
      <c r="B19881" s="1" t="str">
        <f>HYPERLINK("http://voitaflunssa.fi","voitaflunssa.fi")</f>
        <v>voitaflunssa.fi</v>
      </c>
      <c r="C19881" t="s">
        <v>445</v>
      </c>
      <c r="D19881" t="s">
        <v>823</v>
      </c>
      <c r="J19881">
        <v>4</v>
      </c>
    </row>
    <row r="19882" spans="1:10" x14ac:dyDescent="0.25">
      <c r="A19882" t="s">
        <v>218</v>
      </c>
      <c r="B19882" s="1" t="str">
        <f>HYPERLINK("http://vokanamet.fi","vokanamet.fi")</f>
        <v>vokanamet.fi</v>
      </c>
      <c r="C19882" t="s">
        <v>445</v>
      </c>
      <c r="D19882" t="s">
        <v>823</v>
      </c>
      <c r="J19882">
        <v>4</v>
      </c>
    </row>
    <row r="19883" spans="1:10" x14ac:dyDescent="0.25">
      <c r="A19883" t="s">
        <v>218</v>
      </c>
      <c r="B19883" s="1" t="str">
        <f>HYPERLINK("http://xeplion.fi","xeplion.fi")</f>
        <v>xeplion.fi</v>
      </c>
      <c r="C19883" t="s">
        <v>445</v>
      </c>
      <c r="D19883" t="s">
        <v>823</v>
      </c>
      <c r="J19883">
        <v>4</v>
      </c>
    </row>
    <row r="19884" spans="1:10" x14ac:dyDescent="0.25">
      <c r="A19884" t="s">
        <v>218</v>
      </c>
      <c r="B19884" s="1" t="str">
        <f>HYPERLINK("http://yourbreastoptions.fi","yourbreastoptions.fi")</f>
        <v>yourbreastoptions.fi</v>
      </c>
      <c r="C19884" t="s">
        <v>445</v>
      </c>
      <c r="D19884" t="s">
        <v>823</v>
      </c>
      <c r="J19884">
        <v>4</v>
      </c>
    </row>
    <row r="19885" spans="1:10" x14ac:dyDescent="0.25">
      <c r="A19885" t="s">
        <v>218</v>
      </c>
      <c r="B19885" s="1" t="str">
        <f>HYPERLINK("http://yska.fi","yska.fi")</f>
        <v>yska.fi</v>
      </c>
      <c r="C19885" t="s">
        <v>445</v>
      </c>
      <c r="D19885" t="s">
        <v>823</v>
      </c>
      <c r="J19885">
        <v>4</v>
      </c>
    </row>
    <row r="19886" spans="1:10" x14ac:dyDescent="0.25">
      <c r="A19886" t="s">
        <v>218</v>
      </c>
      <c r="B19886" s="1" t="str">
        <f>HYPERLINK("http://zarbees.fi","zarbees.fi")</f>
        <v>zarbees.fi</v>
      </c>
      <c r="C19886" t="s">
        <v>445</v>
      </c>
      <c r="D19886" t="s">
        <v>823</v>
      </c>
      <c r="J19886">
        <v>4</v>
      </c>
    </row>
    <row r="19887" spans="1:10" x14ac:dyDescent="0.25">
      <c r="A19887" t="s">
        <v>218</v>
      </c>
      <c r="B19887" s="1" t="str">
        <f>HYPERLINK("http://zavesca.fi","zavesca.fi")</f>
        <v>zavesca.fi</v>
      </c>
      <c r="C19887" t="s">
        <v>445</v>
      </c>
      <c r="D19887" t="s">
        <v>823</v>
      </c>
      <c r="J19887">
        <v>4</v>
      </c>
    </row>
    <row r="19888" spans="1:10" x14ac:dyDescent="0.25">
      <c r="A19888" t="s">
        <v>218</v>
      </c>
      <c r="B19888" s="1" t="str">
        <f>HYPERLINK("http://zytiga.fi","zytiga.fi")</f>
        <v>zytiga.fi</v>
      </c>
      <c r="C19888" t="s">
        <v>445</v>
      </c>
      <c r="D19888" t="s">
        <v>823</v>
      </c>
      <c r="J19888">
        <v>4</v>
      </c>
    </row>
    <row r="19889" spans="1:10" x14ac:dyDescent="0.25">
      <c r="A19889" t="s">
        <v>218</v>
      </c>
      <c r="B19889" s="1" t="str">
        <f>HYPERLINK("http://zytiga-info.fi","zytiga-info.fi")</f>
        <v>zytiga-info.fi</v>
      </c>
      <c r="C19889" t="s">
        <v>445</v>
      </c>
      <c r="D19889" t="s">
        <v>823</v>
      </c>
      <c r="J19889">
        <v>4</v>
      </c>
    </row>
    <row r="19890" spans="1:10" x14ac:dyDescent="0.25">
      <c r="A19890" t="s">
        <v>218</v>
      </c>
      <c r="B19890" s="1" t="str">
        <f>HYPERLINK("http://acuvue.fr","acuvue.fr")</f>
        <v>acuvue.fr</v>
      </c>
      <c r="C19890" t="s">
        <v>446</v>
      </c>
      <c r="D19890" t="s">
        <v>824</v>
      </c>
      <c r="F19890">
        <v>3.0736918468318097E-8</v>
      </c>
      <c r="G19890">
        <v>1676010</v>
      </c>
      <c r="H19890">
        <v>13765583</v>
      </c>
      <c r="I19890">
        <v>7087618</v>
      </c>
      <c r="J19890">
        <v>4</v>
      </c>
    </row>
    <row r="19891" spans="1:10" x14ac:dyDescent="0.25">
      <c r="A19891" t="s">
        <v>218</v>
      </c>
      <c r="B19891" s="1" t="str">
        <f>HYPERLINK("http://jnj.fr","jnj.fr")</f>
        <v>jnj.fr</v>
      </c>
      <c r="C19891" t="s">
        <v>446</v>
      </c>
      <c r="D19891" t="s">
        <v>824</v>
      </c>
      <c r="F19891">
        <v>1.9554938255018399E-8</v>
      </c>
      <c r="G19891">
        <v>2735769</v>
      </c>
      <c r="H19891">
        <v>12740698</v>
      </c>
      <c r="I19891">
        <v>15127599</v>
      </c>
      <c r="J19891">
        <v>2</v>
      </c>
    </row>
    <row r="19892" spans="1:10" x14ac:dyDescent="0.25">
      <c r="A19892" t="s">
        <v>218</v>
      </c>
      <c r="B19892" s="1" t="str">
        <f>HYPERLINK("http://neutrogena.fr","neutrogena.fr")</f>
        <v>neutrogena.fr</v>
      </c>
      <c r="C19892" t="s">
        <v>446</v>
      </c>
      <c r="D19892" t="s">
        <v>824</v>
      </c>
      <c r="F19892">
        <v>2.5584227610655502E-8</v>
      </c>
      <c r="G19892">
        <v>2015557</v>
      </c>
      <c r="H19892">
        <v>14140923</v>
      </c>
      <c r="I19892">
        <v>1930223</v>
      </c>
      <c r="J19892">
        <v>5</v>
      </c>
    </row>
    <row r="19893" spans="1:10" x14ac:dyDescent="0.25">
      <c r="A19893" t="s">
        <v>218</v>
      </c>
      <c r="B19893" s="1" t="str">
        <f>HYPERLINK("http://nicorette.fr","nicorette.fr")</f>
        <v>nicorette.fr</v>
      </c>
      <c r="C19893" t="s">
        <v>446</v>
      </c>
      <c r="D19893" t="s">
        <v>824</v>
      </c>
      <c r="F19893">
        <v>1.13549221030621E-8</v>
      </c>
      <c r="G19893">
        <v>5604826</v>
      </c>
      <c r="H19893">
        <v>13787634</v>
      </c>
      <c r="I19893">
        <v>6372296</v>
      </c>
      <c r="J19893">
        <v>7</v>
      </c>
    </row>
    <row r="19894" spans="1:10" x14ac:dyDescent="0.25">
      <c r="A19894" t="s">
        <v>218</v>
      </c>
      <c r="B19894" s="1" t="str">
        <f>HYPERLINK("http://acuvue.gr","acuvue.gr")</f>
        <v>acuvue.gr</v>
      </c>
      <c r="C19894" t="s">
        <v>447</v>
      </c>
      <c r="D19894" t="s">
        <v>825</v>
      </c>
      <c r="F19894">
        <v>2.6889615916014402E-8</v>
      </c>
      <c r="G19894">
        <v>1912967</v>
      </c>
      <c r="H19894">
        <v>12288829</v>
      </c>
      <c r="I19894">
        <v>21138292</v>
      </c>
      <c r="J19894">
        <v>4</v>
      </c>
    </row>
    <row r="19895" spans="1:10" x14ac:dyDescent="0.25">
      <c r="A19895" t="s">
        <v>218</v>
      </c>
      <c r="B19895" s="1" t="str">
        <f>HYPERLINK("http://listerine.gr","listerine.gr")</f>
        <v>listerine.gr</v>
      </c>
      <c r="C19895" t="s">
        <v>447</v>
      </c>
      <c r="D19895" t="s">
        <v>825</v>
      </c>
      <c r="F19895">
        <v>1.1445410532550801E-8</v>
      </c>
      <c r="G19895">
        <v>5542601</v>
      </c>
      <c r="H19895">
        <v>11167565</v>
      </c>
      <c r="I19895">
        <v>31560516</v>
      </c>
      <c r="J19895">
        <v>4</v>
      </c>
    </row>
    <row r="19896" spans="1:10" x14ac:dyDescent="0.25">
      <c r="A19896" t="s">
        <v>218</v>
      </c>
      <c r="B19896" s="1" t="str">
        <f>HYPERLINK("http://nicorette.gr","nicorette.gr")</f>
        <v>nicorette.gr</v>
      </c>
      <c r="C19896" t="s">
        <v>447</v>
      </c>
      <c r="D19896" t="s">
        <v>825</v>
      </c>
      <c r="F19896">
        <v>7.0923397505513803E-9</v>
      </c>
      <c r="G19896">
        <v>12036082</v>
      </c>
      <c r="H19896">
        <v>13933668</v>
      </c>
      <c r="I19896">
        <v>4689156</v>
      </c>
      <c r="J19896">
        <v>6</v>
      </c>
    </row>
    <row r="19897" spans="1:10" x14ac:dyDescent="0.25">
      <c r="A19897" t="s">
        <v>218</v>
      </c>
      <c r="B19897" s="1" t="str">
        <f>HYPERLINK("http://acuvue.com.gt","acuvue.com.gt")</f>
        <v>acuvue.com.gt</v>
      </c>
      <c r="C19897" t="s">
        <v>448</v>
      </c>
      <c r="D19897" t="s">
        <v>826</v>
      </c>
      <c r="F19897">
        <v>9.8035859679729398E-9</v>
      </c>
      <c r="G19897">
        <v>6964984</v>
      </c>
      <c r="H19897">
        <v>10602284</v>
      </c>
      <c r="I19897">
        <v>44816021</v>
      </c>
      <c r="J19897">
        <v>4</v>
      </c>
    </row>
    <row r="19898" spans="1:10" x14ac:dyDescent="0.25">
      <c r="A19898" t="s">
        <v>218</v>
      </c>
      <c r="B19898" s="1" t="str">
        <f>HYPERLINK("http://acuvue.com.hk","acuvue.com.hk")</f>
        <v>acuvue.com.hk</v>
      </c>
      <c r="C19898" t="s">
        <v>450</v>
      </c>
      <c r="D19898" t="s">
        <v>827</v>
      </c>
      <c r="F19898">
        <v>3.4416960378455999E-8</v>
      </c>
      <c r="G19898">
        <v>1506913</v>
      </c>
      <c r="H19898">
        <v>13776639</v>
      </c>
      <c r="I19898">
        <v>6551293</v>
      </c>
      <c r="J19898">
        <v>4</v>
      </c>
    </row>
    <row r="19899" spans="1:10" x14ac:dyDescent="0.25">
      <c r="A19899" t="s">
        <v>218</v>
      </c>
      <c r="B19899" s="1" t="str">
        <f>HYPERLINK("http://aveeno.com.hk","aveeno.com.hk")</f>
        <v>aveeno.com.hk</v>
      </c>
      <c r="C19899" t="s">
        <v>450</v>
      </c>
      <c r="D19899" t="s">
        <v>827</v>
      </c>
      <c r="F19899">
        <v>9.8726635856642507E-9</v>
      </c>
      <c r="G19899">
        <v>6888791</v>
      </c>
      <c r="H19899">
        <v>13766126</v>
      </c>
      <c r="I19899">
        <v>7036171</v>
      </c>
      <c r="J19899">
        <v>6</v>
      </c>
    </row>
    <row r="19900" spans="1:10" x14ac:dyDescent="0.25">
      <c r="A19900" t="s">
        <v>218</v>
      </c>
      <c r="B19900" s="1" t="str">
        <f>HYPERLINK("http://jnj.com.hk","jnj.com.hk")</f>
        <v>jnj.com.hk</v>
      </c>
      <c r="C19900" t="s">
        <v>450</v>
      </c>
      <c r="D19900" t="s">
        <v>827</v>
      </c>
      <c r="F19900">
        <v>7.8040133599438393E-9</v>
      </c>
      <c r="G19900">
        <v>10311469</v>
      </c>
      <c r="H19900">
        <v>14072424</v>
      </c>
      <c r="I19900">
        <v>3095546</v>
      </c>
      <c r="J19900">
        <v>2</v>
      </c>
    </row>
    <row r="19901" spans="1:10" x14ac:dyDescent="0.25">
      <c r="A19901" t="s">
        <v>218</v>
      </c>
      <c r="B19901" s="1" t="str">
        <f>HYPERLINK("http://johnsonsbaby.com.hk","johnsonsbaby.com.hk")</f>
        <v>johnsonsbaby.com.hk</v>
      </c>
      <c r="C19901" t="s">
        <v>450</v>
      </c>
      <c r="D19901" t="s">
        <v>827</v>
      </c>
      <c r="F19901">
        <v>2.1517969527560801E-8</v>
      </c>
      <c r="G19901">
        <v>2446896</v>
      </c>
      <c r="H19901">
        <v>12444241</v>
      </c>
      <c r="I19901">
        <v>18093582</v>
      </c>
      <c r="J19901">
        <v>4</v>
      </c>
    </row>
    <row r="19902" spans="1:10" x14ac:dyDescent="0.25">
      <c r="A19902" t="s">
        <v>218</v>
      </c>
      <c r="B19902" s="1" t="str">
        <f>HYPERLINK("http://listerine.com.hk","listerine.com.hk")</f>
        <v>listerine.com.hk</v>
      </c>
      <c r="C19902" t="s">
        <v>450</v>
      </c>
      <c r="D19902" t="s">
        <v>827</v>
      </c>
      <c r="F19902">
        <v>1.33278207341935E-8</v>
      </c>
      <c r="G19902">
        <v>4481318</v>
      </c>
      <c r="H19902">
        <v>13766384</v>
      </c>
      <c r="I19902">
        <v>7010346</v>
      </c>
      <c r="J19902">
        <v>4</v>
      </c>
    </row>
    <row r="19903" spans="1:10" x14ac:dyDescent="0.25">
      <c r="A19903" t="s">
        <v>218</v>
      </c>
      <c r="B19903" s="1" t="str">
        <f>HYPERLINK("http://neutrogena.com.hk","neutrogena.com.hk")</f>
        <v>neutrogena.com.hk</v>
      </c>
      <c r="C19903" t="s">
        <v>450</v>
      </c>
      <c r="D19903" t="s">
        <v>827</v>
      </c>
      <c r="F19903">
        <v>1.9927426944646901E-8</v>
      </c>
      <c r="G19903">
        <v>2670408</v>
      </c>
      <c r="H19903">
        <v>13859668</v>
      </c>
      <c r="I19903">
        <v>6023670</v>
      </c>
      <c r="J19903">
        <v>4</v>
      </c>
    </row>
    <row r="19904" spans="1:10" x14ac:dyDescent="0.25">
      <c r="A19904" t="s">
        <v>218</v>
      </c>
      <c r="B19904" s="1" t="str">
        <f>HYPERLINK("http://nicorette.com.hk","nicorette.com.hk")</f>
        <v>nicorette.com.hk</v>
      </c>
      <c r="C19904" t="s">
        <v>450</v>
      </c>
      <c r="D19904" t="s">
        <v>827</v>
      </c>
      <c r="F19904">
        <v>8.1673310227231205E-9</v>
      </c>
      <c r="G19904">
        <v>9626937</v>
      </c>
      <c r="H19904">
        <v>10727284</v>
      </c>
      <c r="I19904">
        <v>41128811</v>
      </c>
      <c r="J19904">
        <v>6</v>
      </c>
    </row>
    <row r="19905" spans="1:10" x14ac:dyDescent="0.25">
      <c r="A19905" t="s">
        <v>218</v>
      </c>
      <c r="B19905" s="1" t="str">
        <f>HYPERLINK("http://acuvue.hn","acuvue.hn")</f>
        <v>acuvue.hn</v>
      </c>
      <c r="C19905" t="s">
        <v>451</v>
      </c>
      <c r="D19905" t="s">
        <v>828</v>
      </c>
      <c r="F19905">
        <v>9.8434362304190402E-9</v>
      </c>
      <c r="G19905">
        <v>6922936</v>
      </c>
      <c r="H19905">
        <v>10602284</v>
      </c>
      <c r="I19905">
        <v>44816022</v>
      </c>
      <c r="J19905">
        <v>4</v>
      </c>
    </row>
    <row r="19906" spans="1:10" x14ac:dyDescent="0.25">
      <c r="A19906" t="s">
        <v>218</v>
      </c>
      <c r="B19906" s="1" t="str">
        <f>HYPERLINK("http://acuvue.hu","acuvue.hu")</f>
        <v>acuvue.hu</v>
      </c>
      <c r="C19906" t="s">
        <v>453</v>
      </c>
      <c r="D19906" t="s">
        <v>830</v>
      </c>
      <c r="F19906">
        <v>2.6559900398770501E-8</v>
      </c>
      <c r="G19906">
        <v>1938276</v>
      </c>
      <c r="H19906">
        <v>12272923</v>
      </c>
      <c r="I19906">
        <v>21459982</v>
      </c>
      <c r="J19906">
        <v>4</v>
      </c>
    </row>
    <row r="19907" spans="1:10" x14ac:dyDescent="0.25">
      <c r="A19907" t="s">
        <v>218</v>
      </c>
      <c r="B19907" s="1" t="str">
        <f>HYPERLINK("http://johnsonsbaby.hu","johnsonsbaby.hu")</f>
        <v>johnsonsbaby.hu</v>
      </c>
      <c r="C19907" t="s">
        <v>453</v>
      </c>
      <c r="D19907" t="s">
        <v>830</v>
      </c>
      <c r="F19907">
        <v>2.1164163487615499E-8</v>
      </c>
      <c r="G19907">
        <v>2492307</v>
      </c>
      <c r="H19907">
        <v>12410717</v>
      </c>
      <c r="I19907">
        <v>18600130</v>
      </c>
      <c r="J19907">
        <v>4</v>
      </c>
    </row>
    <row r="19908" spans="1:10" x14ac:dyDescent="0.25">
      <c r="A19908" t="s">
        <v>218</v>
      </c>
      <c r="B19908" s="1" t="str">
        <f>HYPERLINK("http://nicorette.hu","nicorette.hu")</f>
        <v>nicorette.hu</v>
      </c>
      <c r="C19908" t="s">
        <v>453</v>
      </c>
      <c r="D19908" t="s">
        <v>830</v>
      </c>
      <c r="F19908">
        <v>9.8190985226648299E-9</v>
      </c>
      <c r="G19908">
        <v>6948583</v>
      </c>
      <c r="H19908">
        <v>10731974</v>
      </c>
      <c r="I19908">
        <v>40833330</v>
      </c>
      <c r="J19908">
        <v>6</v>
      </c>
    </row>
    <row r="19909" spans="1:10" x14ac:dyDescent="0.25">
      <c r="A19909" t="s">
        <v>218</v>
      </c>
      <c r="B19909" s="1" t="str">
        <f>HYPERLINK("http://acuvue.co.id","acuvue.co.id")</f>
        <v>acuvue.co.id</v>
      </c>
      <c r="C19909" t="s">
        <v>454</v>
      </c>
      <c r="D19909" t="s">
        <v>831</v>
      </c>
      <c r="F19909">
        <v>1.16772900464624E-8</v>
      </c>
      <c r="G19909">
        <v>5380917</v>
      </c>
      <c r="H19909">
        <v>11176206</v>
      </c>
      <c r="I19909">
        <v>31470883</v>
      </c>
      <c r="J19909">
        <v>4</v>
      </c>
    </row>
    <row r="19910" spans="1:10" x14ac:dyDescent="0.25">
      <c r="A19910" t="s">
        <v>218</v>
      </c>
      <c r="B19910" s="1" t="str">
        <f>HYPERLINK("http://aveeno.co.id","aveeno.co.id")</f>
        <v>aveeno.co.id</v>
      </c>
      <c r="C19910" t="s">
        <v>454</v>
      </c>
      <c r="D19910" t="s">
        <v>831</v>
      </c>
      <c r="F19910">
        <v>9.0161888168606806E-9</v>
      </c>
      <c r="G19910">
        <v>7967901</v>
      </c>
      <c r="H19910">
        <v>10932543</v>
      </c>
      <c r="I19910">
        <v>35013958</v>
      </c>
      <c r="J19910">
        <v>6</v>
      </c>
    </row>
    <row r="19911" spans="1:10" x14ac:dyDescent="0.25">
      <c r="A19911" t="s">
        <v>218</v>
      </c>
      <c r="B19911" s="1" t="str">
        <f>HYPERLINK("http://johnsonsbaby.co.id","johnsonsbaby.co.id")</f>
        <v>johnsonsbaby.co.id</v>
      </c>
      <c r="C19911" t="s">
        <v>454</v>
      </c>
      <c r="D19911" t="s">
        <v>831</v>
      </c>
      <c r="F19911">
        <v>2.5195507694480898E-8</v>
      </c>
      <c r="G19911">
        <v>2049365</v>
      </c>
      <c r="H19911">
        <v>13933769</v>
      </c>
      <c r="I19911">
        <v>4672984</v>
      </c>
      <c r="J19911">
        <v>4</v>
      </c>
    </row>
    <row r="19912" spans="1:10" x14ac:dyDescent="0.25">
      <c r="A19912" t="s">
        <v>218</v>
      </c>
      <c r="B19912" s="1" t="str">
        <f>HYPERLINK("http://listerine.co.id","listerine.co.id")</f>
        <v>listerine.co.id</v>
      </c>
      <c r="C19912" t="s">
        <v>454</v>
      </c>
      <c r="D19912" t="s">
        <v>831</v>
      </c>
      <c r="F19912">
        <v>1.5312261182288801E-8</v>
      </c>
      <c r="G19912">
        <v>3742103</v>
      </c>
      <c r="H19912">
        <v>12375151</v>
      </c>
      <c r="I19912">
        <v>19315401</v>
      </c>
      <c r="J19912">
        <v>4</v>
      </c>
    </row>
    <row r="19913" spans="1:10" x14ac:dyDescent="0.25">
      <c r="A19913" t="s">
        <v>218</v>
      </c>
      <c r="B19913" s="1" t="str">
        <f>HYPERLINK("http://neutrogena.co.id","neutrogena.co.id")</f>
        <v>neutrogena.co.id</v>
      </c>
      <c r="C19913" t="s">
        <v>454</v>
      </c>
      <c r="D19913" t="s">
        <v>831</v>
      </c>
      <c r="F19913">
        <v>1.2235595537792901E-8</v>
      </c>
      <c r="G19913">
        <v>5030382</v>
      </c>
      <c r="H19913">
        <v>11205902</v>
      </c>
      <c r="I19913">
        <v>31195299</v>
      </c>
      <c r="J19913">
        <v>4</v>
      </c>
    </row>
    <row r="19914" spans="1:10" x14ac:dyDescent="0.25">
      <c r="A19914" t="s">
        <v>218</v>
      </c>
      <c r="B19914" s="1" t="str">
        <f>HYPERLINK("http://acuvue.ie","acuvue.ie")</f>
        <v>acuvue.ie</v>
      </c>
      <c r="C19914" t="s">
        <v>455</v>
      </c>
      <c r="D19914" t="s">
        <v>832</v>
      </c>
      <c r="F19914">
        <v>3.01953905569951E-8</v>
      </c>
      <c r="G19914">
        <v>1704289</v>
      </c>
      <c r="H19914">
        <v>13191188</v>
      </c>
      <c r="I19914">
        <v>11599237</v>
      </c>
      <c r="J19914">
        <v>4</v>
      </c>
    </row>
    <row r="19915" spans="1:10" x14ac:dyDescent="0.25">
      <c r="A19915" t="s">
        <v>218</v>
      </c>
      <c r="B19915" s="1" t="str">
        <f>HYPERLINK("http://aveeno.ie","aveeno.ie")</f>
        <v>aveeno.ie</v>
      </c>
      <c r="C19915" t="s">
        <v>455</v>
      </c>
      <c r="D19915" t="s">
        <v>832</v>
      </c>
      <c r="F19915">
        <v>1.0613793444325899E-8</v>
      </c>
      <c r="G19915">
        <v>6171873</v>
      </c>
      <c r="H19915">
        <v>11367994</v>
      </c>
      <c r="I19915">
        <v>30335662</v>
      </c>
      <c r="J19915">
        <v>7</v>
      </c>
    </row>
    <row r="19916" spans="1:10" x14ac:dyDescent="0.25">
      <c r="A19916" t="s">
        <v>218</v>
      </c>
      <c r="B19916" s="1" t="str">
        <f>HYPERLINK("http://janssen.ie","janssen.ie")</f>
        <v>janssen.ie</v>
      </c>
      <c r="C19916" t="s">
        <v>455</v>
      </c>
      <c r="D19916" t="s">
        <v>832</v>
      </c>
      <c r="F19916">
        <v>1.34496983739768E-8</v>
      </c>
      <c r="G19916">
        <v>4426728</v>
      </c>
      <c r="H19916">
        <v>12551346</v>
      </c>
      <c r="I19916">
        <v>16815103</v>
      </c>
      <c r="J19916">
        <v>4</v>
      </c>
    </row>
    <row r="19917" spans="1:10" x14ac:dyDescent="0.25">
      <c r="A19917" t="s">
        <v>218</v>
      </c>
      <c r="B19917" s="1" t="str">
        <f>HYPERLINK("http://neostrata.ie","neostrata.ie")</f>
        <v>neostrata.ie</v>
      </c>
      <c r="C19917" t="s">
        <v>455</v>
      </c>
      <c r="D19917" t="s">
        <v>832</v>
      </c>
      <c r="F19917">
        <v>1.07014749215097E-8</v>
      </c>
      <c r="G19917">
        <v>6098567</v>
      </c>
      <c r="H19917">
        <v>13933373</v>
      </c>
      <c r="I19917">
        <v>4759030</v>
      </c>
      <c r="J19917">
        <v>4</v>
      </c>
    </row>
    <row r="19918" spans="1:10" x14ac:dyDescent="0.25">
      <c r="A19918" t="s">
        <v>218</v>
      </c>
      <c r="B19918" s="1" t="str">
        <f>HYPERLINK("http://nicorette.ie","nicorette.ie")</f>
        <v>nicorette.ie</v>
      </c>
      <c r="C19918" t="s">
        <v>455</v>
      </c>
      <c r="D19918" t="s">
        <v>832</v>
      </c>
      <c r="F19918">
        <v>7.3628013755679202E-9</v>
      </c>
      <c r="G19918">
        <v>11331098</v>
      </c>
      <c r="H19918">
        <v>12226579</v>
      </c>
      <c r="I19918">
        <v>22610155</v>
      </c>
      <c r="J19918">
        <v>7</v>
      </c>
    </row>
    <row r="19919" spans="1:10" x14ac:dyDescent="0.25">
      <c r="A19919" t="s">
        <v>218</v>
      </c>
      <c r="B19919" s="1" t="str">
        <f>HYPERLINK("http://acuvue.co.il","acuvue.co.il")</f>
        <v>acuvue.co.il</v>
      </c>
      <c r="C19919" t="s">
        <v>456</v>
      </c>
      <c r="D19919" t="s">
        <v>833</v>
      </c>
      <c r="F19919">
        <v>2.43008679351268E-8</v>
      </c>
      <c r="G19919">
        <v>2133760</v>
      </c>
      <c r="H19919">
        <v>12168239</v>
      </c>
      <c r="I19919">
        <v>24114412</v>
      </c>
      <c r="J19919">
        <v>4</v>
      </c>
    </row>
    <row r="19920" spans="1:10" x14ac:dyDescent="0.25">
      <c r="A19920" t="s">
        <v>218</v>
      </c>
      <c r="B19920" s="1" t="str">
        <f>HYPERLINK("http://janssen.co.il","janssen.co.il")</f>
        <v>janssen.co.il</v>
      </c>
      <c r="C19920" t="s">
        <v>456</v>
      </c>
      <c r="D19920" t="s">
        <v>833</v>
      </c>
      <c r="F19920">
        <v>6.6018936939468099E-9</v>
      </c>
      <c r="G19920">
        <v>13669818</v>
      </c>
      <c r="H19920">
        <v>14072623</v>
      </c>
      <c r="I19920">
        <v>3065602</v>
      </c>
      <c r="J19920">
        <v>4</v>
      </c>
    </row>
    <row r="19921" spans="1:10" x14ac:dyDescent="0.25">
      <c r="A19921" t="s">
        <v>218</v>
      </c>
      <c r="B19921" s="1" t="str">
        <f>HYPERLINK("http://jnjcareers.co.il","jnjcareers.co.il")</f>
        <v>jnjcareers.co.il</v>
      </c>
      <c r="C19921" t="s">
        <v>456</v>
      </c>
      <c r="D19921" t="s">
        <v>833</v>
      </c>
      <c r="F19921">
        <v>8.2405025458164995E-9</v>
      </c>
      <c r="G19921">
        <v>9403034</v>
      </c>
      <c r="H19921">
        <v>14073958</v>
      </c>
      <c r="I19921">
        <v>2962601</v>
      </c>
      <c r="J19921">
        <v>6</v>
      </c>
    </row>
    <row r="19922" spans="1:10" x14ac:dyDescent="0.25">
      <c r="A19922" t="s">
        <v>218</v>
      </c>
      <c r="B19922" s="1" t="str">
        <f>HYPERLINK("http://johnsonsbaby.co.il","johnsonsbaby.co.il")</f>
        <v>johnsonsbaby.co.il</v>
      </c>
      <c r="C19922" t="s">
        <v>456</v>
      </c>
      <c r="D19922" t="s">
        <v>833</v>
      </c>
      <c r="F19922">
        <v>2.28569739406906E-8</v>
      </c>
      <c r="G19922">
        <v>2287456</v>
      </c>
      <c r="H19922">
        <v>12422644</v>
      </c>
      <c r="I19922">
        <v>18405939</v>
      </c>
      <c r="J19922">
        <v>4</v>
      </c>
    </row>
    <row r="19923" spans="1:10" x14ac:dyDescent="0.25">
      <c r="A19923" t="s">
        <v>218</v>
      </c>
      <c r="B19923" s="1" t="str">
        <f>HYPERLINK("http://acuvue.co.in","acuvue.co.in")</f>
        <v>acuvue.co.in</v>
      </c>
      <c r="C19923" t="s">
        <v>457</v>
      </c>
      <c r="D19923" t="s">
        <v>834</v>
      </c>
      <c r="F19923">
        <v>1.2442938960276901E-8</v>
      </c>
      <c r="G19923">
        <v>4916101</v>
      </c>
      <c r="H19923">
        <v>11745520</v>
      </c>
      <c r="I19923">
        <v>29832437</v>
      </c>
      <c r="J19923">
        <v>4</v>
      </c>
    </row>
    <row r="19924" spans="1:10" x14ac:dyDescent="0.25">
      <c r="A19924" t="s">
        <v>218</v>
      </c>
      <c r="B19924" s="1" t="str">
        <f>HYPERLINK("http://jnj.in","jnj.in")</f>
        <v>jnj.in</v>
      </c>
      <c r="C19924" t="s">
        <v>457</v>
      </c>
      <c r="D19924" t="s">
        <v>834</v>
      </c>
      <c r="F19924">
        <v>5.7057947240226703E-8</v>
      </c>
      <c r="G19924">
        <v>782442</v>
      </c>
      <c r="H19924">
        <v>13416519</v>
      </c>
      <c r="I19924">
        <v>10312943</v>
      </c>
      <c r="J19924">
        <v>2</v>
      </c>
    </row>
    <row r="19925" spans="1:10" x14ac:dyDescent="0.25">
      <c r="A19925" t="s">
        <v>218</v>
      </c>
      <c r="B19925" s="1" t="str">
        <f>HYPERLINK("http://johnsonsbaby.in","johnsonsbaby.in")</f>
        <v>johnsonsbaby.in</v>
      </c>
      <c r="C19925" t="s">
        <v>457</v>
      </c>
      <c r="D19925" t="s">
        <v>834</v>
      </c>
      <c r="F19925">
        <v>3.10145253925154E-8</v>
      </c>
      <c r="G19925">
        <v>1661630</v>
      </c>
      <c r="H19925">
        <v>12968137</v>
      </c>
      <c r="I19925">
        <v>13063523</v>
      </c>
      <c r="J19925">
        <v>4</v>
      </c>
    </row>
    <row r="19926" spans="1:10" x14ac:dyDescent="0.25">
      <c r="A19926" t="s">
        <v>218</v>
      </c>
      <c r="B19926" s="1" t="str">
        <f>HYPERLINK("http://listerine.in","listerine.in")</f>
        <v>listerine.in</v>
      </c>
      <c r="C19926" t="s">
        <v>457</v>
      </c>
      <c r="D19926" t="s">
        <v>834</v>
      </c>
      <c r="F19926">
        <v>1.35792754461755E-8</v>
      </c>
      <c r="G19926">
        <v>4370421</v>
      </c>
      <c r="H19926">
        <v>12888298</v>
      </c>
      <c r="I19926">
        <v>13947958</v>
      </c>
      <c r="J19926">
        <v>4</v>
      </c>
    </row>
    <row r="19927" spans="1:10" x14ac:dyDescent="0.25">
      <c r="A19927" t="s">
        <v>218</v>
      </c>
      <c r="B19927" s="1" t="str">
        <f>HYPERLINK("http://neutrogena.in","neutrogena.in")</f>
        <v>neutrogena.in</v>
      </c>
      <c r="C19927" t="s">
        <v>457</v>
      </c>
      <c r="D19927" t="s">
        <v>834</v>
      </c>
      <c r="F19927">
        <v>1.3290497379737499E-8</v>
      </c>
      <c r="G19927">
        <v>4497595</v>
      </c>
      <c r="H19927">
        <v>11657931</v>
      </c>
      <c r="I19927">
        <v>29878812</v>
      </c>
      <c r="J19927">
        <v>4</v>
      </c>
    </row>
    <row r="19928" spans="1:10" x14ac:dyDescent="0.25">
      <c r="A19928" t="s">
        <v>218</v>
      </c>
      <c r="B19928" s="1" t="str">
        <f>HYPERLINK("http://acuvue.it","acuvue.it")</f>
        <v>acuvue.it</v>
      </c>
      <c r="C19928" t="s">
        <v>459</v>
      </c>
      <c r="D19928" t="s">
        <v>835</v>
      </c>
      <c r="F19928">
        <v>3.6069029128335301E-8</v>
      </c>
      <c r="G19928">
        <v>1445094</v>
      </c>
      <c r="H19928">
        <v>14370162</v>
      </c>
      <c r="I19928">
        <v>1292532</v>
      </c>
      <c r="J19928">
        <v>4</v>
      </c>
    </row>
    <row r="19929" spans="1:10" x14ac:dyDescent="0.25">
      <c r="A19929" t="s">
        <v>218</v>
      </c>
      <c r="B19929" s="1" t="str">
        <f>HYPERLINK("http://aveeno.it","aveeno.it")</f>
        <v>aveeno.it</v>
      </c>
      <c r="C19929" t="s">
        <v>459</v>
      </c>
      <c r="D19929" t="s">
        <v>835</v>
      </c>
      <c r="F19929">
        <v>1.25253779831548E-8</v>
      </c>
      <c r="G19929">
        <v>4872047</v>
      </c>
      <c r="H19929">
        <v>13934303</v>
      </c>
      <c r="I19929">
        <v>4609554</v>
      </c>
      <c r="J19929">
        <v>7</v>
      </c>
    </row>
    <row r="19930" spans="1:10" x14ac:dyDescent="0.25">
      <c r="A19930" t="s">
        <v>218</v>
      </c>
      <c r="B19930" s="1" t="str">
        <f>HYPERLINK("http://jnjmedical.it","jnjmedical.it")</f>
        <v>jnjmedical.it</v>
      </c>
      <c r="C19930" t="s">
        <v>459</v>
      </c>
      <c r="D19930" t="s">
        <v>835</v>
      </c>
      <c r="F19930">
        <v>1.1872189886549001E-8</v>
      </c>
      <c r="G19930">
        <v>5256854</v>
      </c>
      <c r="H19930">
        <v>12538225</v>
      </c>
      <c r="I19930">
        <v>16960105</v>
      </c>
      <c r="J19930">
        <v>3</v>
      </c>
    </row>
    <row r="19931" spans="1:10" x14ac:dyDescent="0.25">
      <c r="A19931" t="s">
        <v>218</v>
      </c>
      <c r="B19931" s="1" t="str">
        <f>HYPERLINK("http://listerine.it","listerine.it")</f>
        <v>listerine.it</v>
      </c>
      <c r="C19931" t="s">
        <v>459</v>
      </c>
      <c r="D19931" t="s">
        <v>835</v>
      </c>
      <c r="F19931">
        <v>1.5767924416127499E-8</v>
      </c>
      <c r="G19931">
        <v>3608722</v>
      </c>
      <c r="H19931">
        <v>12233591</v>
      </c>
      <c r="I19931">
        <v>22412104</v>
      </c>
      <c r="J19931">
        <v>4</v>
      </c>
    </row>
    <row r="19932" spans="1:10" x14ac:dyDescent="0.25">
      <c r="A19932" t="s">
        <v>218</v>
      </c>
      <c r="B19932" s="1" t="str">
        <f>HYPERLINK("http://abiomed.jp","abiomed.jp")</f>
        <v>abiomed.jp</v>
      </c>
      <c r="C19932" t="s">
        <v>461</v>
      </c>
      <c r="D19932" t="s">
        <v>837</v>
      </c>
      <c r="F19932">
        <v>1.2114854191176399E-8</v>
      </c>
      <c r="G19932">
        <v>5100540</v>
      </c>
      <c r="H19932">
        <v>11299120</v>
      </c>
      <c r="I19932">
        <v>30611442</v>
      </c>
      <c r="J19932">
        <v>4</v>
      </c>
    </row>
    <row r="19933" spans="1:10" x14ac:dyDescent="0.25">
      <c r="A19933" t="s">
        <v>218</v>
      </c>
      <c r="B19933" s="1" t="str">
        <f>HYPERLINK("http://aveeno.jp","aveeno.jp")</f>
        <v>aveeno.jp</v>
      </c>
      <c r="C19933" t="s">
        <v>461</v>
      </c>
      <c r="D19933" t="s">
        <v>837</v>
      </c>
      <c r="F19933">
        <v>9.4196387205131692E-9</v>
      </c>
      <c r="G19933">
        <v>7419903</v>
      </c>
      <c r="H19933">
        <v>11116446</v>
      </c>
      <c r="I19933">
        <v>32088096</v>
      </c>
      <c r="J19933">
        <v>6</v>
      </c>
    </row>
    <row r="19934" spans="1:10" x14ac:dyDescent="0.25">
      <c r="A19934" t="s">
        <v>218</v>
      </c>
      <c r="B19934" s="1" t="str">
        <f>HYPERLINK("http://jnj.co.jp","jnj.co.jp")</f>
        <v>jnj.co.jp</v>
      </c>
      <c r="C19934" t="s">
        <v>461</v>
      </c>
      <c r="D19934" t="s">
        <v>837</v>
      </c>
      <c r="E19934">
        <v>392124</v>
      </c>
      <c r="F19934">
        <v>2.4299496580886601E-7</v>
      </c>
      <c r="G19934">
        <v>153951</v>
      </c>
      <c r="H19934">
        <v>14344508</v>
      </c>
      <c r="I19934">
        <v>1313243</v>
      </c>
      <c r="J19934">
        <v>2</v>
      </c>
    </row>
    <row r="19935" spans="1:10" x14ac:dyDescent="0.25">
      <c r="A19935" t="s">
        <v>218</v>
      </c>
      <c r="B19935" s="1" t="str">
        <f>HYPERLINK("http://jnjvision.jp","jnjvision.jp")</f>
        <v>jnjvision.jp</v>
      </c>
      <c r="C19935" t="s">
        <v>461</v>
      </c>
      <c r="D19935" t="s">
        <v>837</v>
      </c>
      <c r="F19935">
        <v>1.3827689856931E-8</v>
      </c>
      <c r="G19935">
        <v>4269536</v>
      </c>
      <c r="H19935">
        <v>12695426</v>
      </c>
      <c r="I19935">
        <v>15383728</v>
      </c>
      <c r="J19935">
        <v>3</v>
      </c>
    </row>
    <row r="19936" spans="1:10" x14ac:dyDescent="0.25">
      <c r="A19936" t="s">
        <v>218</v>
      </c>
      <c r="B19936" s="1" t="str">
        <f>HYPERLINK("http://johnsonsbaby.jp","johnsonsbaby.jp")</f>
        <v>johnsonsbaby.jp</v>
      </c>
      <c r="C19936" t="s">
        <v>461</v>
      </c>
      <c r="D19936" t="s">
        <v>837</v>
      </c>
      <c r="F19936">
        <v>9.1870449850382398E-7</v>
      </c>
      <c r="G19936">
        <v>42087</v>
      </c>
      <c r="H19936">
        <v>15539829</v>
      </c>
      <c r="I19936">
        <v>374073</v>
      </c>
      <c r="J19936">
        <v>4</v>
      </c>
    </row>
    <row r="19937" spans="1:10" x14ac:dyDescent="0.25">
      <c r="A19937" t="s">
        <v>218</v>
      </c>
      <c r="B19937" s="1" t="str">
        <f>HYPERLINK("http://neutrogena.jp","neutrogena.jp")</f>
        <v>neutrogena.jp</v>
      </c>
      <c r="C19937" t="s">
        <v>461</v>
      </c>
      <c r="D19937" t="s">
        <v>837</v>
      </c>
      <c r="F19937">
        <v>2.5711405489868701E-8</v>
      </c>
      <c r="G19937">
        <v>2005160</v>
      </c>
      <c r="H19937">
        <v>13796731</v>
      </c>
      <c r="I19937">
        <v>6300878</v>
      </c>
      <c r="J19937">
        <v>4</v>
      </c>
    </row>
    <row r="19938" spans="1:10" x14ac:dyDescent="0.25">
      <c r="A19938" t="s">
        <v>218</v>
      </c>
      <c r="B19938" s="1" t="str">
        <f>HYPERLINK("http://nicorette.jp","nicorette.jp")</f>
        <v>nicorette.jp</v>
      </c>
      <c r="C19938" t="s">
        <v>461</v>
      </c>
      <c r="D19938" t="s">
        <v>837</v>
      </c>
      <c r="F19938">
        <v>2.0443736218516401E-8</v>
      </c>
      <c r="G19938">
        <v>2592572</v>
      </c>
      <c r="H19938">
        <v>12576742</v>
      </c>
      <c r="I19938">
        <v>16549429</v>
      </c>
      <c r="J19938">
        <v>6</v>
      </c>
    </row>
    <row r="19939" spans="1:10" x14ac:dyDescent="0.25">
      <c r="A19939" t="s">
        <v>218</v>
      </c>
      <c r="B19939" s="1" t="str">
        <f>HYPERLINK("http://acuvue.co.kr","acuvue.co.kr")</f>
        <v>acuvue.co.kr</v>
      </c>
      <c r="C19939" t="s">
        <v>463</v>
      </c>
      <c r="D19939" t="s">
        <v>839</v>
      </c>
      <c r="F19939">
        <v>1.3936397671699201E-8</v>
      </c>
      <c r="G19939">
        <v>4227087</v>
      </c>
      <c r="H19939">
        <v>12787317</v>
      </c>
      <c r="I19939">
        <v>14702658</v>
      </c>
      <c r="J19939">
        <v>4</v>
      </c>
    </row>
    <row r="19940" spans="1:10" x14ac:dyDescent="0.25">
      <c r="A19940" t="s">
        <v>218</v>
      </c>
      <c r="B19940" s="1" t="str">
        <f>HYPERLINK("http://aveeno.co.kr","aveeno.co.kr")</f>
        <v>aveeno.co.kr</v>
      </c>
      <c r="C19940" t="s">
        <v>463</v>
      </c>
      <c r="D19940" t="s">
        <v>839</v>
      </c>
      <c r="F19940">
        <v>1.44310929091011E-8</v>
      </c>
      <c r="G19940">
        <v>4046382</v>
      </c>
      <c r="H19940">
        <v>12665584</v>
      </c>
      <c r="I19940">
        <v>15658614</v>
      </c>
      <c r="J19940">
        <v>7</v>
      </c>
    </row>
    <row r="19941" spans="1:10" x14ac:dyDescent="0.25">
      <c r="A19941" t="s">
        <v>218</v>
      </c>
      <c r="B19941" s="1" t="str">
        <f>HYPERLINK("http://jnjmed.co.kr","jnjmed.co.kr")</f>
        <v>jnjmed.co.kr</v>
      </c>
      <c r="C19941" t="s">
        <v>463</v>
      </c>
      <c r="D19941" t="s">
        <v>839</v>
      </c>
      <c r="F19941">
        <v>8.0007806166137501E-9</v>
      </c>
      <c r="G19941">
        <v>9919207</v>
      </c>
      <c r="H19941">
        <v>12454597</v>
      </c>
      <c r="I19941">
        <v>17939299</v>
      </c>
      <c r="J19941">
        <v>3</v>
      </c>
    </row>
    <row r="19942" spans="1:10" x14ac:dyDescent="0.25">
      <c r="A19942" t="s">
        <v>218</v>
      </c>
      <c r="B19942" s="1" t="str">
        <f>HYPERLINK("http://johnsonsbaby.co.kr","johnsonsbaby.co.kr")</f>
        <v>johnsonsbaby.co.kr</v>
      </c>
      <c r="C19942" t="s">
        <v>463</v>
      </c>
      <c r="D19942" t="s">
        <v>839</v>
      </c>
      <c r="F19942">
        <v>2.8390504350507001E-8</v>
      </c>
      <c r="G19942">
        <v>1812725</v>
      </c>
      <c r="H19942">
        <v>14279173</v>
      </c>
      <c r="I19942">
        <v>1383577</v>
      </c>
      <c r="J19942">
        <v>4</v>
      </c>
    </row>
    <row r="19943" spans="1:10" x14ac:dyDescent="0.25">
      <c r="A19943" t="s">
        <v>218</v>
      </c>
      <c r="B19943" s="1" t="str">
        <f>HYPERLINK("http://neutrogena.co.kr","neutrogena.co.kr")</f>
        <v>neutrogena.co.kr</v>
      </c>
      <c r="C19943" t="s">
        <v>463</v>
      </c>
      <c r="D19943" t="s">
        <v>839</v>
      </c>
      <c r="F19943">
        <v>1.2534518033930799E-8</v>
      </c>
      <c r="G19943">
        <v>4867405</v>
      </c>
      <c r="H19943">
        <v>12515784</v>
      </c>
      <c r="I19943">
        <v>17187534</v>
      </c>
      <c r="J19943">
        <v>4</v>
      </c>
    </row>
    <row r="19944" spans="1:10" x14ac:dyDescent="0.25">
      <c r="A19944" t="s">
        <v>218</v>
      </c>
      <c r="B19944" s="1" t="str">
        <f>HYPERLINK("http://nicorette.co.kr","nicorette.co.kr")</f>
        <v>nicorette.co.kr</v>
      </c>
      <c r="C19944" t="s">
        <v>463</v>
      </c>
      <c r="D19944" t="s">
        <v>839</v>
      </c>
      <c r="F19944">
        <v>8.6085719659789006E-9</v>
      </c>
      <c r="G19944">
        <v>8641323</v>
      </c>
      <c r="H19944">
        <v>10745597</v>
      </c>
      <c r="I19944">
        <v>40222509</v>
      </c>
      <c r="J19944">
        <v>6</v>
      </c>
    </row>
    <row r="19945" spans="1:10" x14ac:dyDescent="0.25">
      <c r="A19945" t="s">
        <v>218</v>
      </c>
      <c r="B19945" s="1" t="str">
        <f>HYPERLINK("http://listerine.kr","listerine.kr")</f>
        <v>listerine.kr</v>
      </c>
      <c r="C19945" t="s">
        <v>463</v>
      </c>
      <c r="D19945" t="s">
        <v>839</v>
      </c>
      <c r="F19945">
        <v>1.32349697391376E-8</v>
      </c>
      <c r="G19945">
        <v>4522865</v>
      </c>
      <c r="H19945">
        <v>11038135</v>
      </c>
      <c r="I19945">
        <v>32949579</v>
      </c>
      <c r="J19945">
        <v>4</v>
      </c>
    </row>
    <row r="19946" spans="1:10" x14ac:dyDescent="0.25">
      <c r="A19946" t="s">
        <v>218</v>
      </c>
      <c r="B19946" s="1" t="str">
        <f>HYPERLINK("http://acuvue.lu","acuvue.lu")</f>
        <v>acuvue.lu</v>
      </c>
      <c r="C19946" t="s">
        <v>547</v>
      </c>
      <c r="D19946" t="s">
        <v>904</v>
      </c>
      <c r="F19946">
        <v>1.31232164707709E-8</v>
      </c>
      <c r="G19946">
        <v>4573202</v>
      </c>
      <c r="H19946">
        <v>10996314</v>
      </c>
      <c r="I19946">
        <v>33642853</v>
      </c>
      <c r="J19946">
        <v>4</v>
      </c>
    </row>
    <row r="19947" spans="1:10" x14ac:dyDescent="0.25">
      <c r="A19947" t="s">
        <v>218</v>
      </c>
      <c r="B19947" s="1" t="str">
        <f>HYPERLINK("http://actelion.com.mx","actelion.com.mx")</f>
        <v>actelion.com.mx</v>
      </c>
      <c r="C19947" t="s">
        <v>471</v>
      </c>
      <c r="D19947" t="s">
        <v>847</v>
      </c>
      <c r="J19947">
        <v>4</v>
      </c>
    </row>
    <row r="19948" spans="1:10" x14ac:dyDescent="0.25">
      <c r="A19948" t="s">
        <v>218</v>
      </c>
      <c r="B19948" s="1" t="str">
        <f>HYPERLINK("http://jhonson.com.mx","jhonson.com.mx")</f>
        <v>jhonson.com.mx</v>
      </c>
      <c r="C19948" t="s">
        <v>471</v>
      </c>
      <c r="D19948" t="s">
        <v>847</v>
      </c>
      <c r="J19948">
        <v>3</v>
      </c>
    </row>
    <row r="19949" spans="1:10" x14ac:dyDescent="0.25">
      <c r="A19949" t="s">
        <v>218</v>
      </c>
      <c r="B19949" s="1" t="str">
        <f>HYPERLINK("http://jnj.com.mx","jnj.com.mx")</f>
        <v>jnj.com.mx</v>
      </c>
      <c r="C19949" t="s">
        <v>471</v>
      </c>
      <c r="D19949" t="s">
        <v>847</v>
      </c>
      <c r="J19949">
        <v>3</v>
      </c>
    </row>
    <row r="19950" spans="1:10" x14ac:dyDescent="0.25">
      <c r="A19950" t="s">
        <v>218</v>
      </c>
      <c r="B19950" s="1" t="str">
        <f>HYPERLINK("http://johnsonsbaby.com.mx","johnsonsbaby.com.mx")</f>
        <v>johnsonsbaby.com.mx</v>
      </c>
      <c r="C19950" t="s">
        <v>471</v>
      </c>
      <c r="D19950" t="s">
        <v>847</v>
      </c>
      <c r="F19950">
        <v>2.2543901371300901E-8</v>
      </c>
      <c r="G19950">
        <v>2323679</v>
      </c>
      <c r="H19950">
        <v>12419558</v>
      </c>
      <c r="I19950">
        <v>18466583</v>
      </c>
      <c r="J19950">
        <v>4</v>
      </c>
    </row>
    <row r="19951" spans="1:10" x14ac:dyDescent="0.25">
      <c r="A19951" t="s">
        <v>218</v>
      </c>
      <c r="B19951" s="1" t="str">
        <f>HYPERLINK("http://listerine.com.mx","listerine.com.mx")</f>
        <v>listerine.com.mx</v>
      </c>
      <c r="C19951" t="s">
        <v>471</v>
      </c>
      <c r="D19951" t="s">
        <v>847</v>
      </c>
      <c r="F19951">
        <v>1.35876980706856E-8</v>
      </c>
      <c r="G19951">
        <v>4366905</v>
      </c>
      <c r="H19951">
        <v>11017986</v>
      </c>
      <c r="I19951">
        <v>33287047</v>
      </c>
      <c r="J19951">
        <v>4</v>
      </c>
    </row>
    <row r="19952" spans="1:10" x14ac:dyDescent="0.25">
      <c r="A19952" t="s">
        <v>218</v>
      </c>
      <c r="B19952" s="1" t="str">
        <f>HYPERLINK("http://neutrogena.com.mx","neutrogena.com.mx")</f>
        <v>neutrogena.com.mx</v>
      </c>
      <c r="C19952" t="s">
        <v>471</v>
      </c>
      <c r="D19952" t="s">
        <v>847</v>
      </c>
      <c r="F19952">
        <v>9.2373552828273593E-9</v>
      </c>
      <c r="G19952">
        <v>7660277</v>
      </c>
      <c r="H19952">
        <v>13558666</v>
      </c>
      <c r="I19952">
        <v>9870252</v>
      </c>
      <c r="J19952">
        <v>5</v>
      </c>
    </row>
    <row r="19953" spans="1:10" x14ac:dyDescent="0.25">
      <c r="A19953" t="s">
        <v>218</v>
      </c>
      <c r="B19953" s="1" t="str">
        <f>HYPERLINK("http://acuvue.com.my","acuvue.com.my")</f>
        <v>acuvue.com.my</v>
      </c>
      <c r="C19953" t="s">
        <v>472</v>
      </c>
      <c r="D19953" t="s">
        <v>848</v>
      </c>
      <c r="F19953">
        <v>1.1204030971473301E-8</v>
      </c>
      <c r="G19953">
        <v>5710359</v>
      </c>
      <c r="H19953">
        <v>13763789</v>
      </c>
      <c r="I19953">
        <v>7623821</v>
      </c>
      <c r="J19953">
        <v>4</v>
      </c>
    </row>
    <row r="19954" spans="1:10" x14ac:dyDescent="0.25">
      <c r="A19954" t="s">
        <v>218</v>
      </c>
      <c r="B19954" s="1" t="str">
        <f>HYPERLINK("http://aveeno.com.my","aveeno.com.my")</f>
        <v>aveeno.com.my</v>
      </c>
      <c r="C19954" t="s">
        <v>472</v>
      </c>
      <c r="D19954" t="s">
        <v>848</v>
      </c>
      <c r="F19954">
        <v>9.3402947094434902E-9</v>
      </c>
      <c r="G19954">
        <v>7521168</v>
      </c>
      <c r="H19954">
        <v>12375594</v>
      </c>
      <c r="I19954">
        <v>19308559</v>
      </c>
      <c r="J19954">
        <v>7</v>
      </c>
    </row>
    <row r="19955" spans="1:10" x14ac:dyDescent="0.25">
      <c r="A19955" t="s">
        <v>218</v>
      </c>
      <c r="B19955" s="1" t="str">
        <f>HYPERLINK("http://johnsonsbaby.com.my","johnsonsbaby.com.my")</f>
        <v>johnsonsbaby.com.my</v>
      </c>
      <c r="C19955" t="s">
        <v>472</v>
      </c>
      <c r="D19955" t="s">
        <v>848</v>
      </c>
      <c r="F19955">
        <v>2.3552699506426198E-8</v>
      </c>
      <c r="G19955">
        <v>2208973</v>
      </c>
      <c r="H19955">
        <v>13764229</v>
      </c>
      <c r="I19955">
        <v>7329000</v>
      </c>
      <c r="J19955">
        <v>4</v>
      </c>
    </row>
    <row r="19956" spans="1:10" x14ac:dyDescent="0.25">
      <c r="A19956" t="s">
        <v>218</v>
      </c>
      <c r="B19956" s="1" t="str">
        <f>HYPERLINK("http://listerine.com.my","listerine.com.my")</f>
        <v>listerine.com.my</v>
      </c>
      <c r="C19956" t="s">
        <v>472</v>
      </c>
      <c r="D19956" t="s">
        <v>848</v>
      </c>
      <c r="F19956">
        <v>1.6827239066570999E-8</v>
      </c>
      <c r="G19956">
        <v>3326749</v>
      </c>
      <c r="H19956">
        <v>13764997</v>
      </c>
      <c r="I19956">
        <v>7160149</v>
      </c>
      <c r="J19956">
        <v>4</v>
      </c>
    </row>
    <row r="19957" spans="1:10" x14ac:dyDescent="0.25">
      <c r="A19957" t="s">
        <v>218</v>
      </c>
      <c r="B19957" s="1" t="str">
        <f>HYPERLINK("http://actelion.nl","actelion.nl")</f>
        <v>actelion.nl</v>
      </c>
      <c r="C19957" t="s">
        <v>477</v>
      </c>
      <c r="D19957" t="s">
        <v>852</v>
      </c>
      <c r="F19957">
        <v>5.1226972721524196E-9</v>
      </c>
      <c r="G19957">
        <v>26595771</v>
      </c>
      <c r="H19957">
        <v>12082004</v>
      </c>
      <c r="I19957">
        <v>26522611</v>
      </c>
      <c r="J19957">
        <v>4</v>
      </c>
    </row>
    <row r="19958" spans="1:10" x14ac:dyDescent="0.25">
      <c r="A19958" t="s">
        <v>218</v>
      </c>
      <c r="B19958" s="1" t="str">
        <f>HYPERLINK("http://acuvue.nl","acuvue.nl")</f>
        <v>acuvue.nl</v>
      </c>
      <c r="C19958" t="s">
        <v>477</v>
      </c>
      <c r="D19958" t="s">
        <v>852</v>
      </c>
      <c r="F19958">
        <v>3.0574702905506098E-8</v>
      </c>
      <c r="G19958">
        <v>1684375</v>
      </c>
      <c r="H19958">
        <v>13933770</v>
      </c>
      <c r="I19958">
        <v>4672865</v>
      </c>
      <c r="J19958">
        <v>4</v>
      </c>
    </row>
    <row r="19959" spans="1:10" x14ac:dyDescent="0.25">
      <c r="A19959" t="s">
        <v>218</v>
      </c>
      <c r="B19959" s="1" t="str">
        <f>HYPERLINK("http://janssen-cilag.nl","janssen-cilag.nl")</f>
        <v>janssen-cilag.nl</v>
      </c>
      <c r="C19959" t="s">
        <v>477</v>
      </c>
      <c r="D19959" t="s">
        <v>852</v>
      </c>
      <c r="F19959">
        <v>1.0755882801721E-8</v>
      </c>
      <c r="G19959">
        <v>6055447</v>
      </c>
      <c r="H19959">
        <v>12409232</v>
      </c>
      <c r="I19959">
        <v>18617769</v>
      </c>
      <c r="J19959">
        <v>4</v>
      </c>
    </row>
    <row r="19960" spans="1:10" x14ac:dyDescent="0.25">
      <c r="A19960" t="s">
        <v>218</v>
      </c>
      <c r="B19960" s="1" t="str">
        <f>HYPERLINK("http://jnjconsumer.nl","jnjconsumer.nl")</f>
        <v>jnjconsumer.nl</v>
      </c>
      <c r="C19960" t="s">
        <v>477</v>
      </c>
      <c r="D19960" t="s">
        <v>852</v>
      </c>
      <c r="F19960">
        <v>1.10072986866309E-8</v>
      </c>
      <c r="G19960">
        <v>5854497</v>
      </c>
      <c r="H19960">
        <v>13775299</v>
      </c>
      <c r="I19960">
        <v>6584879</v>
      </c>
      <c r="J19960">
        <v>3</v>
      </c>
    </row>
    <row r="19961" spans="1:10" x14ac:dyDescent="0.25">
      <c r="A19961" t="s">
        <v>218</v>
      </c>
      <c r="B19961" s="1" t="str">
        <f>HYPERLINK("http://jnjmedical.nl","jnjmedical.nl")</f>
        <v>jnjmedical.nl</v>
      </c>
      <c r="C19961" t="s">
        <v>477</v>
      </c>
      <c r="D19961" t="s">
        <v>852</v>
      </c>
      <c r="F19961">
        <v>8.6512176551567994E-9</v>
      </c>
      <c r="G19961">
        <v>8564591</v>
      </c>
      <c r="H19961">
        <v>12744287</v>
      </c>
      <c r="I19961">
        <v>15094253</v>
      </c>
      <c r="J19961">
        <v>3</v>
      </c>
    </row>
    <row r="19962" spans="1:10" x14ac:dyDescent="0.25">
      <c r="A19962" t="s">
        <v>218</v>
      </c>
      <c r="B19962" s="1" t="str">
        <f>HYPERLINK("http://neutrogena.nl","neutrogena.nl")</f>
        <v>neutrogena.nl</v>
      </c>
      <c r="C19962" t="s">
        <v>477</v>
      </c>
      <c r="D19962" t="s">
        <v>852</v>
      </c>
      <c r="F19962">
        <v>1.45594390082548E-8</v>
      </c>
      <c r="G19962">
        <v>3991609</v>
      </c>
      <c r="H19962">
        <v>12313747</v>
      </c>
      <c r="I19962">
        <v>20542363</v>
      </c>
      <c r="J19962">
        <v>4</v>
      </c>
    </row>
    <row r="19963" spans="1:10" x14ac:dyDescent="0.25">
      <c r="A19963" t="s">
        <v>218</v>
      </c>
      <c r="B19963" s="1" t="str">
        <f>HYPERLINK("http://nicorette.nl","nicorette.nl")</f>
        <v>nicorette.nl</v>
      </c>
      <c r="C19963" t="s">
        <v>477</v>
      </c>
      <c r="D19963" t="s">
        <v>852</v>
      </c>
      <c r="F19963">
        <v>1.06273541248246E-8</v>
      </c>
      <c r="G19963">
        <v>6160579</v>
      </c>
      <c r="H19963">
        <v>13768451</v>
      </c>
      <c r="I19963">
        <v>6873416</v>
      </c>
      <c r="J19963">
        <v>6</v>
      </c>
    </row>
    <row r="19964" spans="1:10" x14ac:dyDescent="0.25">
      <c r="A19964" t="s">
        <v>218</v>
      </c>
      <c r="B19964" s="1" t="str">
        <f>HYPERLINK("http://acuvue.no","acuvue.no")</f>
        <v>acuvue.no</v>
      </c>
      <c r="C19964" t="s">
        <v>478</v>
      </c>
      <c r="D19964" t="s">
        <v>853</v>
      </c>
      <c r="F19964">
        <v>2.7870923389434899E-8</v>
      </c>
      <c r="G19964">
        <v>1845426</v>
      </c>
      <c r="H19964">
        <v>12167269</v>
      </c>
      <c r="I19964">
        <v>24139945</v>
      </c>
      <c r="J19964">
        <v>4</v>
      </c>
    </row>
    <row r="19965" spans="1:10" x14ac:dyDescent="0.25">
      <c r="A19965" t="s">
        <v>218</v>
      </c>
      <c r="B19965" s="1" t="str">
        <f>HYPERLINK("http://nicorette.no","nicorette.no")</f>
        <v>nicorette.no</v>
      </c>
      <c r="C19965" t="s">
        <v>478</v>
      </c>
      <c r="D19965" t="s">
        <v>853</v>
      </c>
      <c r="F19965">
        <v>7.1604535245905401E-9</v>
      </c>
      <c r="G19965">
        <v>11848453</v>
      </c>
      <c r="H19965">
        <v>12013378</v>
      </c>
      <c r="I19965">
        <v>27994532</v>
      </c>
      <c r="J19965">
        <v>5</v>
      </c>
    </row>
    <row r="19966" spans="1:10" x14ac:dyDescent="0.25">
      <c r="A19966" t="s">
        <v>218</v>
      </c>
      <c r="B19966" s="1" t="str">
        <f>HYPERLINK("http://acuvue.co.nz","acuvue.co.nz")</f>
        <v>acuvue.co.nz</v>
      </c>
      <c r="C19966" t="s">
        <v>479</v>
      </c>
      <c r="D19966" t="s">
        <v>854</v>
      </c>
      <c r="F19966">
        <v>2.7789937821962799E-8</v>
      </c>
      <c r="G19966">
        <v>1850467</v>
      </c>
      <c r="H19966">
        <v>12274429</v>
      </c>
      <c r="I19966">
        <v>21429522</v>
      </c>
      <c r="J19966">
        <v>4</v>
      </c>
    </row>
    <row r="19967" spans="1:10" x14ac:dyDescent="0.25">
      <c r="A19967" t="s">
        <v>218</v>
      </c>
      <c r="B19967" s="1" t="str">
        <f>HYPERLINK("http://johnsonsbaby.co.nz","johnsonsbaby.co.nz")</f>
        <v>johnsonsbaby.co.nz</v>
      </c>
      <c r="C19967" t="s">
        <v>479</v>
      </c>
      <c r="D19967" t="s">
        <v>854</v>
      </c>
      <c r="F19967">
        <v>2.11153395897882E-8</v>
      </c>
      <c r="G19967">
        <v>2500710</v>
      </c>
      <c r="H19967">
        <v>12335154</v>
      </c>
      <c r="I19967">
        <v>20101316</v>
      </c>
      <c r="J19967">
        <v>4</v>
      </c>
    </row>
    <row r="19968" spans="1:10" x14ac:dyDescent="0.25">
      <c r="A19968" t="s">
        <v>218</v>
      </c>
      <c r="B19968" s="1" t="str">
        <f>HYPERLINK("http://listerine.co.nz","listerine.co.nz")</f>
        <v>listerine.co.nz</v>
      </c>
      <c r="C19968" t="s">
        <v>479</v>
      </c>
      <c r="D19968" t="s">
        <v>854</v>
      </c>
      <c r="F19968">
        <v>1.28448760933055E-8</v>
      </c>
      <c r="G19968">
        <v>4706764</v>
      </c>
      <c r="H19968">
        <v>11017822</v>
      </c>
      <c r="I19968">
        <v>33290947</v>
      </c>
      <c r="J19968">
        <v>4</v>
      </c>
    </row>
    <row r="19969" spans="1:10" x14ac:dyDescent="0.25">
      <c r="A19969" t="s">
        <v>218</v>
      </c>
      <c r="B19969" s="1" t="str">
        <f>HYPERLINK("http://nicorette.co.nz","nicorette.co.nz")</f>
        <v>nicorette.co.nz</v>
      </c>
      <c r="C19969" t="s">
        <v>479</v>
      </c>
      <c r="D19969" t="s">
        <v>854</v>
      </c>
      <c r="F19969">
        <v>4.6826336803232901E-9</v>
      </c>
      <c r="G19969">
        <v>42180481</v>
      </c>
      <c r="H19969">
        <v>11083735</v>
      </c>
      <c r="I19969">
        <v>32448202</v>
      </c>
      <c r="J19969">
        <v>7</v>
      </c>
    </row>
    <row r="19970" spans="1:10" x14ac:dyDescent="0.25">
      <c r="A19970" t="s">
        <v>218</v>
      </c>
      <c r="B19970" s="1" t="str">
        <f>HYPERLINK("http://finsbury.org","finsbury.org")</f>
        <v>finsbury.org</v>
      </c>
      <c r="C19970" t="s">
        <v>481</v>
      </c>
      <c r="F19970">
        <v>7.3990461410050002E-9</v>
      </c>
      <c r="G19970">
        <v>11245957</v>
      </c>
      <c r="H19970">
        <v>13072865</v>
      </c>
      <c r="I19970">
        <v>12229474</v>
      </c>
      <c r="J19970">
        <v>3</v>
      </c>
    </row>
    <row r="19971" spans="1:10" x14ac:dyDescent="0.25">
      <c r="A19971" t="s">
        <v>218</v>
      </c>
      <c r="B19971" s="1" t="str">
        <f>HYPERLINK("http://acuvue.com.pa","acuvue.com.pa")</f>
        <v>acuvue.com.pa</v>
      </c>
      <c r="C19971" t="s">
        <v>482</v>
      </c>
      <c r="D19971" t="s">
        <v>856</v>
      </c>
      <c r="F19971">
        <v>1.0015203246012799E-8</v>
      </c>
      <c r="G19971">
        <v>6740624</v>
      </c>
      <c r="H19971">
        <v>10602284</v>
      </c>
      <c r="I19971">
        <v>44816033</v>
      </c>
      <c r="J19971">
        <v>4</v>
      </c>
    </row>
    <row r="19972" spans="1:10" x14ac:dyDescent="0.25">
      <c r="A19972" t="s">
        <v>218</v>
      </c>
      <c r="B19972" s="1" t="str">
        <f>HYPERLINK("http://acuvue.com.pe","acuvue.com.pe")</f>
        <v>acuvue.com.pe</v>
      </c>
      <c r="C19972" t="s">
        <v>483</v>
      </c>
      <c r="D19972" t="s">
        <v>857</v>
      </c>
      <c r="F19972">
        <v>6.2575835040970497E-9</v>
      </c>
      <c r="G19972">
        <v>15237370</v>
      </c>
      <c r="H19972">
        <v>10597148</v>
      </c>
      <c r="I19972">
        <v>45067153</v>
      </c>
      <c r="J19972">
        <v>4</v>
      </c>
    </row>
    <row r="19973" spans="1:10" x14ac:dyDescent="0.25">
      <c r="A19973" t="s">
        <v>218</v>
      </c>
      <c r="B19973" s="1" t="str">
        <f>HYPERLINK("http://johnsonsbaby.com.pe","johnsonsbaby.com.pe")</f>
        <v>johnsonsbaby.com.pe</v>
      </c>
      <c r="C19973" t="s">
        <v>483</v>
      </c>
      <c r="D19973" t="s">
        <v>857</v>
      </c>
      <c r="F19973">
        <v>2.1645936726148399E-8</v>
      </c>
      <c r="G19973">
        <v>2430725</v>
      </c>
      <c r="H19973">
        <v>12335118</v>
      </c>
      <c r="I19973">
        <v>20101777</v>
      </c>
      <c r="J19973">
        <v>4</v>
      </c>
    </row>
    <row r="19974" spans="1:10" x14ac:dyDescent="0.25">
      <c r="A19974" t="s">
        <v>218</v>
      </c>
      <c r="B19974" s="1" t="str">
        <f>HYPERLINK("http://listerine.com.pe","listerine.com.pe")</f>
        <v>listerine.com.pe</v>
      </c>
      <c r="C19974" t="s">
        <v>483</v>
      </c>
      <c r="D19974" t="s">
        <v>857</v>
      </c>
      <c r="F19974">
        <v>1.3418247337842099E-8</v>
      </c>
      <c r="G19974">
        <v>4439825</v>
      </c>
      <c r="H19974">
        <v>11056422</v>
      </c>
      <c r="I19974">
        <v>32722227</v>
      </c>
      <c r="J19974">
        <v>4</v>
      </c>
    </row>
    <row r="19975" spans="1:10" x14ac:dyDescent="0.25">
      <c r="A19975" t="s">
        <v>218</v>
      </c>
      <c r="B19975" s="1" t="str">
        <f>HYPERLINK("http://neutrogena.com.pe","neutrogena.com.pe")</f>
        <v>neutrogena.com.pe</v>
      </c>
      <c r="C19975" t="s">
        <v>483</v>
      </c>
      <c r="D19975" t="s">
        <v>857</v>
      </c>
      <c r="F19975">
        <v>5.4677135596036598E-9</v>
      </c>
      <c r="G19975">
        <v>21270684</v>
      </c>
      <c r="H19975">
        <v>10539930</v>
      </c>
      <c r="I19975">
        <v>47285588</v>
      </c>
      <c r="J19975">
        <v>5</v>
      </c>
    </row>
    <row r="19976" spans="1:10" x14ac:dyDescent="0.25">
      <c r="A19976" t="s">
        <v>218</v>
      </c>
      <c r="B19976" s="1" t="str">
        <f>HYPERLINK("http://aveeno.com.ph","aveeno.com.ph")</f>
        <v>aveeno.com.ph</v>
      </c>
      <c r="C19976" t="s">
        <v>484</v>
      </c>
      <c r="D19976" t="s">
        <v>858</v>
      </c>
      <c r="F19976">
        <v>1.00367851609867E-8</v>
      </c>
      <c r="G19976">
        <v>6718666</v>
      </c>
      <c r="H19976">
        <v>13935787</v>
      </c>
      <c r="I19976">
        <v>4516458</v>
      </c>
      <c r="J19976">
        <v>7</v>
      </c>
    </row>
    <row r="19977" spans="1:10" x14ac:dyDescent="0.25">
      <c r="A19977" t="s">
        <v>218</v>
      </c>
      <c r="B19977" s="1" t="str">
        <f>HYPERLINK("http://jnj.com.ph","jnj.com.ph")</f>
        <v>jnj.com.ph</v>
      </c>
      <c r="C19977" t="s">
        <v>484</v>
      </c>
      <c r="D19977" t="s">
        <v>858</v>
      </c>
      <c r="F19977">
        <v>2.0109095536763801E-8</v>
      </c>
      <c r="G19977">
        <v>2642548</v>
      </c>
      <c r="H19977">
        <v>12963771</v>
      </c>
      <c r="I19977">
        <v>13138577</v>
      </c>
      <c r="J19977">
        <v>2</v>
      </c>
    </row>
    <row r="19978" spans="1:10" x14ac:dyDescent="0.25">
      <c r="A19978" t="s">
        <v>218</v>
      </c>
      <c r="B19978" s="1" t="str">
        <f>HYPERLINK("http://johnsonsbaby.com.ph","johnsonsbaby.com.ph")</f>
        <v>johnsonsbaby.com.ph</v>
      </c>
      <c r="C19978" t="s">
        <v>484</v>
      </c>
      <c r="D19978" t="s">
        <v>858</v>
      </c>
      <c r="F19978">
        <v>2.5387520325934501E-8</v>
      </c>
      <c r="G19978">
        <v>2032229</v>
      </c>
      <c r="H19978">
        <v>12513543</v>
      </c>
      <c r="I19978">
        <v>17211039</v>
      </c>
      <c r="J19978">
        <v>4</v>
      </c>
    </row>
    <row r="19979" spans="1:10" x14ac:dyDescent="0.25">
      <c r="A19979" t="s">
        <v>218</v>
      </c>
      <c r="B19979" s="1" t="str">
        <f>HYPERLINK("http://listerine.com.ph","listerine.com.ph")</f>
        <v>listerine.com.ph</v>
      </c>
      <c r="C19979" t="s">
        <v>484</v>
      </c>
      <c r="D19979" t="s">
        <v>858</v>
      </c>
      <c r="F19979">
        <v>1.2755096464507999E-8</v>
      </c>
      <c r="G19979">
        <v>4752076</v>
      </c>
      <c r="H19979">
        <v>11196716</v>
      </c>
      <c r="I19979">
        <v>31301311</v>
      </c>
      <c r="J19979">
        <v>4</v>
      </c>
    </row>
    <row r="19980" spans="1:10" x14ac:dyDescent="0.25">
      <c r="A19980" t="s">
        <v>218</v>
      </c>
      <c r="B19980" s="1" t="str">
        <f>HYPERLINK("http://neutrogena.com.ph","neutrogena.com.ph")</f>
        <v>neutrogena.com.ph</v>
      </c>
      <c r="C19980" t="s">
        <v>484</v>
      </c>
      <c r="D19980" t="s">
        <v>858</v>
      </c>
      <c r="F19980">
        <v>1.2614155350818199E-8</v>
      </c>
      <c r="G19980">
        <v>4823744</v>
      </c>
      <c r="H19980">
        <v>12440111</v>
      </c>
      <c r="I19980">
        <v>18143230</v>
      </c>
      <c r="J19980">
        <v>4</v>
      </c>
    </row>
    <row r="19981" spans="1:10" x14ac:dyDescent="0.25">
      <c r="A19981" t="s">
        <v>218</v>
      </c>
      <c r="B19981" s="1" t="str">
        <f>HYPERLINK("http://nicorette.com.ph","nicorette.com.ph")</f>
        <v>nicorette.com.ph</v>
      </c>
      <c r="C19981" t="s">
        <v>484</v>
      </c>
      <c r="D19981" t="s">
        <v>858</v>
      </c>
      <c r="F19981">
        <v>9.4199273119285707E-9</v>
      </c>
      <c r="G19981">
        <v>7419546</v>
      </c>
      <c r="H19981">
        <v>12364171</v>
      </c>
      <c r="I19981">
        <v>19512717</v>
      </c>
      <c r="J19981">
        <v>6</v>
      </c>
    </row>
    <row r="19982" spans="1:10" x14ac:dyDescent="0.25">
      <c r="A19982" t="s">
        <v>218</v>
      </c>
      <c r="B19982" s="1" t="str">
        <f>HYPERLINK("http://acuvue.pl","acuvue.pl")</f>
        <v>acuvue.pl</v>
      </c>
      <c r="C19982" t="s">
        <v>486</v>
      </c>
      <c r="D19982" t="s">
        <v>860</v>
      </c>
      <c r="F19982">
        <v>8.7556587588281698E-8</v>
      </c>
      <c r="G19982">
        <v>468551</v>
      </c>
      <c r="H19982">
        <v>13769613</v>
      </c>
      <c r="I19982">
        <v>6778051</v>
      </c>
      <c r="J19982">
        <v>4</v>
      </c>
    </row>
    <row r="19983" spans="1:10" x14ac:dyDescent="0.25">
      <c r="A19983" t="s">
        <v>218</v>
      </c>
      <c r="B19983" s="1" t="str">
        <f>HYPERLINK("http://johnsonsbaby.com.pl","johnsonsbaby.com.pl")</f>
        <v>johnsonsbaby.com.pl</v>
      </c>
      <c r="C19983" t="s">
        <v>486</v>
      </c>
      <c r="D19983" t="s">
        <v>860</v>
      </c>
      <c r="F19983">
        <v>2.14662141710114E-8</v>
      </c>
      <c r="G19983">
        <v>2453259</v>
      </c>
      <c r="H19983">
        <v>13764495</v>
      </c>
      <c r="I19983">
        <v>7251254</v>
      </c>
      <c r="J19983">
        <v>5</v>
      </c>
    </row>
    <row r="19984" spans="1:10" x14ac:dyDescent="0.25">
      <c r="A19984" t="s">
        <v>218</v>
      </c>
      <c r="B19984" s="1" t="str">
        <f>HYPERLINK("http://janssen-cilag.pl","janssen-cilag.pl")</f>
        <v>janssen-cilag.pl</v>
      </c>
      <c r="C19984" t="s">
        <v>486</v>
      </c>
      <c r="D19984" t="s">
        <v>860</v>
      </c>
      <c r="F19984">
        <v>6.7280219225351199E-9</v>
      </c>
      <c r="G19984">
        <v>13203903</v>
      </c>
      <c r="H19984">
        <v>14072625</v>
      </c>
      <c r="I19984">
        <v>3065267</v>
      </c>
      <c r="J19984">
        <v>3</v>
      </c>
    </row>
    <row r="19985" spans="1:10" x14ac:dyDescent="0.25">
      <c r="A19985" t="s">
        <v>218</v>
      </c>
      <c r="B19985" s="1" t="str">
        <f>HYPERLINK("http://jnjpoland.pl","jnjpoland.pl")</f>
        <v>jnjpoland.pl</v>
      </c>
      <c r="C19985" t="s">
        <v>486</v>
      </c>
      <c r="D19985" t="s">
        <v>860</v>
      </c>
      <c r="F19985">
        <v>1.3831118809392799E-8</v>
      </c>
      <c r="G19985">
        <v>4268235</v>
      </c>
      <c r="H19985">
        <v>12508810</v>
      </c>
      <c r="I19985">
        <v>17256453</v>
      </c>
      <c r="J19985">
        <v>4</v>
      </c>
    </row>
    <row r="19986" spans="1:10" x14ac:dyDescent="0.25">
      <c r="A19986" t="s">
        <v>218</v>
      </c>
      <c r="B19986" s="1" t="str">
        <f>HYPERLINK("http://nicorette.pl","nicorette.pl")</f>
        <v>nicorette.pl</v>
      </c>
      <c r="C19986" t="s">
        <v>486</v>
      </c>
      <c r="D19986" t="s">
        <v>860</v>
      </c>
      <c r="F19986">
        <v>7.8638869921629704E-9</v>
      </c>
      <c r="G19986">
        <v>10184538</v>
      </c>
      <c r="H19986">
        <v>11001735</v>
      </c>
      <c r="I19986">
        <v>33557373</v>
      </c>
      <c r="J19986">
        <v>7</v>
      </c>
    </row>
    <row r="19987" spans="1:10" x14ac:dyDescent="0.25">
      <c r="A19987" t="s">
        <v>218</v>
      </c>
      <c r="B19987" s="1" t="str">
        <f>HYPERLINK("http://acuvue.com.pr","acuvue.com.pr")</f>
        <v>acuvue.com.pr</v>
      </c>
      <c r="C19987" t="s">
        <v>487</v>
      </c>
      <c r="D19987" t="s">
        <v>861</v>
      </c>
      <c r="F19987">
        <v>9.8087436944249993E-9</v>
      </c>
      <c r="G19987">
        <v>6959524</v>
      </c>
      <c r="H19987">
        <v>10602284</v>
      </c>
      <c r="I19987">
        <v>44816034</v>
      </c>
      <c r="J19987">
        <v>4</v>
      </c>
    </row>
    <row r="19988" spans="1:10" x14ac:dyDescent="0.25">
      <c r="A19988" t="s">
        <v>218</v>
      </c>
      <c r="B19988" s="1" t="str">
        <f>HYPERLINK("http://acuvue.pt","acuvue.pt")</f>
        <v>acuvue.pt</v>
      </c>
      <c r="C19988" t="s">
        <v>488</v>
      </c>
      <c r="D19988" t="s">
        <v>862</v>
      </c>
      <c r="F19988">
        <v>2.5377726515348801E-8</v>
      </c>
      <c r="G19988">
        <v>2033047</v>
      </c>
      <c r="H19988">
        <v>12164780</v>
      </c>
      <c r="I19988">
        <v>24211739</v>
      </c>
      <c r="J19988">
        <v>4</v>
      </c>
    </row>
    <row r="19989" spans="1:10" x14ac:dyDescent="0.25">
      <c r="A19989" t="s">
        <v>218</v>
      </c>
      <c r="B19989" s="1" t="str">
        <f>HYPERLINK("http://aveeno.pt","aveeno.pt")</f>
        <v>aveeno.pt</v>
      </c>
      <c r="C19989" t="s">
        <v>488</v>
      </c>
      <c r="D19989" t="s">
        <v>862</v>
      </c>
      <c r="F19989">
        <v>8.8215728635005106E-9</v>
      </c>
      <c r="G19989">
        <v>8269775</v>
      </c>
      <c r="H19989">
        <v>10529312</v>
      </c>
      <c r="I19989">
        <v>48460864</v>
      </c>
      <c r="J19989">
        <v>8</v>
      </c>
    </row>
    <row r="19990" spans="1:10" x14ac:dyDescent="0.25">
      <c r="A19990" t="s">
        <v>218</v>
      </c>
      <c r="B19990" s="1" t="str">
        <f>HYPERLINK("http://janssen-cilag.pt","janssen-cilag.pt")</f>
        <v>janssen-cilag.pt</v>
      </c>
      <c r="C19990" t="s">
        <v>488</v>
      </c>
      <c r="D19990" t="s">
        <v>862</v>
      </c>
      <c r="F19990">
        <v>6.3455064565147199E-9</v>
      </c>
      <c r="G19990">
        <v>14783895</v>
      </c>
      <c r="H19990">
        <v>13766528</v>
      </c>
      <c r="I19990">
        <v>6998611</v>
      </c>
      <c r="J19990">
        <v>3</v>
      </c>
    </row>
    <row r="19991" spans="1:10" x14ac:dyDescent="0.25">
      <c r="A19991" t="s">
        <v>218</v>
      </c>
      <c r="B19991" s="1" t="str">
        <f>HYPERLINK("http://listerine.pt","listerine.pt")</f>
        <v>listerine.pt</v>
      </c>
      <c r="C19991" t="s">
        <v>488</v>
      </c>
      <c r="D19991" t="s">
        <v>862</v>
      </c>
      <c r="F19991">
        <v>9.2258139429591598E-9</v>
      </c>
      <c r="G19991">
        <v>7675581</v>
      </c>
      <c r="H19991">
        <v>12678235</v>
      </c>
      <c r="I19991">
        <v>15517032</v>
      </c>
      <c r="J19991">
        <v>4</v>
      </c>
    </row>
    <row r="19992" spans="1:10" x14ac:dyDescent="0.25">
      <c r="A19992" t="s">
        <v>218</v>
      </c>
      <c r="B19992" s="1" t="str">
        <f>HYPERLINK("http://nicorette.pt","nicorette.pt")</f>
        <v>nicorette.pt</v>
      </c>
      <c r="C19992" t="s">
        <v>488</v>
      </c>
      <c r="D19992" t="s">
        <v>862</v>
      </c>
      <c r="F19992">
        <v>5.18585016427906E-9</v>
      </c>
      <c r="G19992">
        <v>25416216</v>
      </c>
      <c r="H19992">
        <v>10630598</v>
      </c>
      <c r="I19992">
        <v>43968764</v>
      </c>
      <c r="J19992">
        <v>6</v>
      </c>
    </row>
    <row r="19993" spans="1:10" x14ac:dyDescent="0.25">
      <c r="A19993" t="s">
        <v>218</v>
      </c>
      <c r="B19993" s="1" t="str">
        <f>HYPERLINK("http://acuvue.com.py","acuvue.com.py")</f>
        <v>acuvue.com.py</v>
      </c>
      <c r="C19993" t="s">
        <v>489</v>
      </c>
      <c r="D19993" t="s">
        <v>863</v>
      </c>
      <c r="F19993">
        <v>9.80358580870418E-9</v>
      </c>
      <c r="G19993">
        <v>6964985</v>
      </c>
      <c r="H19993">
        <v>10602284</v>
      </c>
      <c r="I19993">
        <v>44816035</v>
      </c>
      <c r="J19993">
        <v>4</v>
      </c>
    </row>
    <row r="19994" spans="1:10" x14ac:dyDescent="0.25">
      <c r="A19994" t="s">
        <v>218</v>
      </c>
      <c r="B19994" s="1" t="str">
        <f>HYPERLINK("http://johnsonsbaby.com.py","johnsonsbaby.com.py")</f>
        <v>johnsonsbaby.com.py</v>
      </c>
      <c r="C19994" t="s">
        <v>489</v>
      </c>
      <c r="D19994" t="s">
        <v>863</v>
      </c>
      <c r="F19994">
        <v>2.0654705076175401E-8</v>
      </c>
      <c r="G19994">
        <v>2563138</v>
      </c>
      <c r="H19994">
        <v>12335112</v>
      </c>
      <c r="I19994">
        <v>20101870</v>
      </c>
      <c r="J19994">
        <v>4</v>
      </c>
    </row>
    <row r="19995" spans="1:10" x14ac:dyDescent="0.25">
      <c r="A19995" t="s">
        <v>218</v>
      </c>
      <c r="B19995" s="1" t="str">
        <f>HYPERLINK("http://acuvue.ro","acuvue.ro")</f>
        <v>acuvue.ro</v>
      </c>
      <c r="C19995" t="s">
        <v>491</v>
      </c>
      <c r="D19995" t="s">
        <v>865</v>
      </c>
      <c r="F19995">
        <v>2.1814603820738599E-8</v>
      </c>
      <c r="G19995">
        <v>2408451</v>
      </c>
      <c r="H19995">
        <v>12163699</v>
      </c>
      <c r="I19995">
        <v>24261385</v>
      </c>
      <c r="J19995">
        <v>4</v>
      </c>
    </row>
    <row r="19996" spans="1:10" x14ac:dyDescent="0.25">
      <c r="A19996" t="s">
        <v>218</v>
      </c>
      <c r="B19996" s="1" t="str">
        <f>HYPERLINK("http://johnsonsbaby.ro","johnsonsbaby.ro")</f>
        <v>johnsonsbaby.ro</v>
      </c>
      <c r="C19996" t="s">
        <v>491</v>
      </c>
      <c r="D19996" t="s">
        <v>865</v>
      </c>
      <c r="F19996">
        <v>6.7642228666038096E-9</v>
      </c>
      <c r="G19996">
        <v>13080961</v>
      </c>
      <c r="H19996">
        <v>12117986</v>
      </c>
      <c r="I19996">
        <v>25460731</v>
      </c>
      <c r="J19996">
        <v>5</v>
      </c>
    </row>
    <row r="19997" spans="1:10" x14ac:dyDescent="0.25">
      <c r="A19997" t="s">
        <v>218</v>
      </c>
      <c r="B19997" s="1" t="str">
        <f>HYPERLINK("http://listerine.ro","listerine.ro")</f>
        <v>listerine.ro</v>
      </c>
      <c r="C19997" t="s">
        <v>491</v>
      </c>
      <c r="D19997" t="s">
        <v>865</v>
      </c>
      <c r="F19997">
        <v>1.2065364924347901E-8</v>
      </c>
      <c r="G19997">
        <v>5134384</v>
      </c>
      <c r="H19997">
        <v>11159359</v>
      </c>
      <c r="I19997">
        <v>31634686</v>
      </c>
      <c r="J19997">
        <v>4</v>
      </c>
    </row>
    <row r="19998" spans="1:10" x14ac:dyDescent="0.25">
      <c r="A19998" t="s">
        <v>218</v>
      </c>
      <c r="B19998" s="1" t="str">
        <f>HYPERLINK("http://johnsonsbaby.rs","johnsonsbaby.rs")</f>
        <v>johnsonsbaby.rs</v>
      </c>
      <c r="C19998" t="s">
        <v>492</v>
      </c>
      <c r="D19998" t="s">
        <v>866</v>
      </c>
      <c r="F19998">
        <v>6.95411962344601E-9</v>
      </c>
      <c r="G19998">
        <v>12450785</v>
      </c>
      <c r="H19998">
        <v>12125403</v>
      </c>
      <c r="I19998">
        <v>25269895</v>
      </c>
      <c r="J19998">
        <v>5</v>
      </c>
    </row>
    <row r="19999" spans="1:10" x14ac:dyDescent="0.25">
      <c r="A19999" t="s">
        <v>218</v>
      </c>
      <c r="B19999" s="1" t="str">
        <f>HYPERLINK("http://acuvue.ru","acuvue.ru")</f>
        <v>acuvue.ru</v>
      </c>
      <c r="C19999" t="s">
        <v>493</v>
      </c>
      <c r="D19999" t="s">
        <v>867</v>
      </c>
      <c r="F19999">
        <v>1.2264479169735199E-7</v>
      </c>
      <c r="G19999">
        <v>321856</v>
      </c>
      <c r="H19999">
        <v>16825512</v>
      </c>
      <c r="I19999">
        <v>183711</v>
      </c>
      <c r="J19999">
        <v>4</v>
      </c>
    </row>
    <row r="20000" spans="1:10" x14ac:dyDescent="0.25">
      <c r="A20000" t="s">
        <v>218</v>
      </c>
      <c r="B20000" s="1" t="str">
        <f>HYPERLINK("http://jnj.ru","jnj.ru")</f>
        <v>jnj.ru</v>
      </c>
      <c r="C20000" t="s">
        <v>493</v>
      </c>
      <c r="D20000" t="s">
        <v>867</v>
      </c>
      <c r="E20000">
        <v>868939</v>
      </c>
      <c r="F20000">
        <v>9.6926043884965797E-8</v>
      </c>
      <c r="G20000">
        <v>416898</v>
      </c>
      <c r="H20000">
        <v>13800691</v>
      </c>
      <c r="I20000">
        <v>6278050</v>
      </c>
      <c r="J20000">
        <v>2</v>
      </c>
    </row>
    <row r="20001" spans="1:10" x14ac:dyDescent="0.25">
      <c r="A20001" t="s">
        <v>218</v>
      </c>
      <c r="B20001" s="1" t="str">
        <f>HYPERLINK("http://jnjconsumer.ru","jnjconsumer.ru")</f>
        <v>jnjconsumer.ru</v>
      </c>
      <c r="C20001" t="s">
        <v>493</v>
      </c>
      <c r="D20001" t="s">
        <v>867</v>
      </c>
      <c r="F20001">
        <v>2.15273614735866E-8</v>
      </c>
      <c r="G20001">
        <v>2445684</v>
      </c>
      <c r="H20001">
        <v>12416111</v>
      </c>
      <c r="I20001">
        <v>18526160</v>
      </c>
      <c r="J20001">
        <v>3</v>
      </c>
    </row>
    <row r="20002" spans="1:10" x14ac:dyDescent="0.25">
      <c r="A20002" t="s">
        <v>218</v>
      </c>
      <c r="B20002" s="1" t="str">
        <f>HYPERLINK("http://listerine.ru","listerine.ru")</f>
        <v>listerine.ru</v>
      </c>
      <c r="C20002" t="s">
        <v>493</v>
      </c>
      <c r="D20002" t="s">
        <v>867</v>
      </c>
      <c r="F20002">
        <v>1.53444414541373E-8</v>
      </c>
      <c r="G20002">
        <v>3732320</v>
      </c>
      <c r="H20002">
        <v>14071875</v>
      </c>
      <c r="I20002">
        <v>3255979</v>
      </c>
      <c r="J20002">
        <v>4</v>
      </c>
    </row>
    <row r="20003" spans="1:10" x14ac:dyDescent="0.25">
      <c r="A20003" t="s">
        <v>218</v>
      </c>
      <c r="B20003" s="1" t="str">
        <f>HYPERLINK("http://nicorette.ru","nicorette.ru")</f>
        <v>nicorette.ru</v>
      </c>
      <c r="C20003" t="s">
        <v>493</v>
      </c>
      <c r="D20003" t="s">
        <v>867</v>
      </c>
      <c r="F20003">
        <v>1.29231293955154E-8</v>
      </c>
      <c r="G20003">
        <v>4668457</v>
      </c>
      <c r="H20003">
        <v>12400878</v>
      </c>
      <c r="I20003">
        <v>18766357</v>
      </c>
      <c r="J20003">
        <v>6</v>
      </c>
    </row>
    <row r="20004" spans="1:10" x14ac:dyDescent="0.25">
      <c r="A20004" t="s">
        <v>218</v>
      </c>
      <c r="B20004" s="1" t="str">
        <f>HYPERLINK("http://acuvue.se","acuvue.se")</f>
        <v>acuvue.se</v>
      </c>
      <c r="C20004" t="s">
        <v>495</v>
      </c>
      <c r="D20004" t="s">
        <v>869</v>
      </c>
      <c r="F20004">
        <v>2.5962992626755001E-8</v>
      </c>
      <c r="G20004">
        <v>1984613</v>
      </c>
      <c r="H20004">
        <v>12177919</v>
      </c>
      <c r="I20004">
        <v>23862065</v>
      </c>
      <c r="J20004">
        <v>4</v>
      </c>
    </row>
    <row r="20005" spans="1:10" x14ac:dyDescent="0.25">
      <c r="A20005" t="s">
        <v>218</v>
      </c>
      <c r="B20005" s="1" t="str">
        <f>HYPERLINK("http://aveeno.se","aveeno.se")</f>
        <v>aveeno.se</v>
      </c>
      <c r="C20005" t="s">
        <v>495</v>
      </c>
      <c r="D20005" t="s">
        <v>869</v>
      </c>
      <c r="F20005">
        <v>7.7419180309855995E-9</v>
      </c>
      <c r="G20005">
        <v>10483150</v>
      </c>
      <c r="H20005">
        <v>10935485</v>
      </c>
      <c r="I20005">
        <v>34949507</v>
      </c>
      <c r="J20005">
        <v>7</v>
      </c>
    </row>
    <row r="20006" spans="1:10" x14ac:dyDescent="0.25">
      <c r="A20006" t="s">
        <v>218</v>
      </c>
      <c r="B20006" s="1" t="str">
        <f>HYPERLINK("http://imodium.se","imodium.se")</f>
        <v>imodium.se</v>
      </c>
      <c r="C20006" t="s">
        <v>495</v>
      </c>
      <c r="D20006" t="s">
        <v>869</v>
      </c>
      <c r="F20006">
        <v>5.5230102803546499E-9</v>
      </c>
      <c r="G20006">
        <v>20655416</v>
      </c>
      <c r="H20006">
        <v>13933063</v>
      </c>
      <c r="I20006">
        <v>5111142</v>
      </c>
      <c r="J20006">
        <v>5</v>
      </c>
    </row>
    <row r="20007" spans="1:10" x14ac:dyDescent="0.25">
      <c r="A20007" t="s">
        <v>218</v>
      </c>
      <c r="B20007" s="1" t="str">
        <f>HYPERLINK("http://mcneilab.se","mcneilab.se")</f>
        <v>mcneilab.se</v>
      </c>
      <c r="C20007" t="s">
        <v>495</v>
      </c>
      <c r="D20007" t="s">
        <v>869</v>
      </c>
      <c r="F20007">
        <v>1.27010016619423E-8</v>
      </c>
      <c r="G20007">
        <v>4779138</v>
      </c>
      <c r="H20007">
        <v>14248676</v>
      </c>
      <c r="I20007">
        <v>1452190</v>
      </c>
      <c r="J20007">
        <v>3</v>
      </c>
    </row>
    <row r="20008" spans="1:10" x14ac:dyDescent="0.25">
      <c r="A20008" t="s">
        <v>218</v>
      </c>
      <c r="B20008" s="1" t="str">
        <f>HYPERLINK("http://nicorette.se","nicorette.se")</f>
        <v>nicorette.se</v>
      </c>
      <c r="C20008" t="s">
        <v>495</v>
      </c>
      <c r="D20008" t="s">
        <v>869</v>
      </c>
      <c r="F20008">
        <v>1.03211858675192E-8</v>
      </c>
      <c r="G20008">
        <v>6431204</v>
      </c>
      <c r="H20008">
        <v>14485907</v>
      </c>
      <c r="I20008">
        <v>978851</v>
      </c>
      <c r="J20008">
        <v>5</v>
      </c>
    </row>
    <row r="20009" spans="1:10" x14ac:dyDescent="0.25">
      <c r="A20009" t="s">
        <v>218</v>
      </c>
      <c r="B20009" s="1" t="str">
        <f>HYPERLINK("http://acuvue.com.sg","acuvue.com.sg")</f>
        <v>acuvue.com.sg</v>
      </c>
      <c r="C20009" t="s">
        <v>496</v>
      </c>
      <c r="D20009" t="s">
        <v>870</v>
      </c>
      <c r="F20009">
        <v>3.11795369777983E-8</v>
      </c>
      <c r="G20009">
        <v>1653432</v>
      </c>
      <c r="H20009">
        <v>13346048</v>
      </c>
      <c r="I20009">
        <v>10649573</v>
      </c>
      <c r="J20009">
        <v>4</v>
      </c>
    </row>
    <row r="20010" spans="1:10" x14ac:dyDescent="0.25">
      <c r="A20010" t="s">
        <v>218</v>
      </c>
      <c r="B20010" s="1" t="str">
        <f>HYPERLINK("http://aveeno.com.sg","aveeno.com.sg")</f>
        <v>aveeno.com.sg</v>
      </c>
      <c r="C20010" t="s">
        <v>496</v>
      </c>
      <c r="D20010" t="s">
        <v>870</v>
      </c>
      <c r="F20010">
        <v>1.10288161735466E-8</v>
      </c>
      <c r="G20010">
        <v>5838103</v>
      </c>
      <c r="H20010">
        <v>12350724</v>
      </c>
      <c r="I20010">
        <v>19755382</v>
      </c>
      <c r="J20010">
        <v>6</v>
      </c>
    </row>
    <row r="20011" spans="1:10" x14ac:dyDescent="0.25">
      <c r="A20011" t="s">
        <v>218</v>
      </c>
      <c r="B20011" s="1" t="str">
        <f>HYPERLINK("http://johnsonsbaby.com.sg","johnsonsbaby.com.sg")</f>
        <v>johnsonsbaby.com.sg</v>
      </c>
      <c r="C20011" t="s">
        <v>496</v>
      </c>
      <c r="D20011" t="s">
        <v>870</v>
      </c>
      <c r="F20011">
        <v>2.1126274131070799E-8</v>
      </c>
      <c r="G20011">
        <v>2499249</v>
      </c>
      <c r="H20011">
        <v>12517519</v>
      </c>
      <c r="I20011">
        <v>17173675</v>
      </c>
      <c r="J20011">
        <v>4</v>
      </c>
    </row>
    <row r="20012" spans="1:10" x14ac:dyDescent="0.25">
      <c r="A20012" t="s">
        <v>218</v>
      </c>
      <c r="B20012" s="1" t="str">
        <f>HYPERLINK("http://listerine.com.sg","listerine.com.sg")</f>
        <v>listerine.com.sg</v>
      </c>
      <c r="C20012" t="s">
        <v>496</v>
      </c>
      <c r="D20012" t="s">
        <v>870</v>
      </c>
      <c r="F20012">
        <v>1.4106690980499E-8</v>
      </c>
      <c r="G20012">
        <v>4163226</v>
      </c>
      <c r="H20012">
        <v>12474908</v>
      </c>
      <c r="I20012">
        <v>17646873</v>
      </c>
      <c r="J20012">
        <v>4</v>
      </c>
    </row>
    <row r="20013" spans="1:10" x14ac:dyDescent="0.25">
      <c r="A20013" t="s">
        <v>218</v>
      </c>
      <c r="B20013" s="1" t="str">
        <f>HYPERLINK("http://neutrogena.com.sg","neutrogena.com.sg")</f>
        <v>neutrogena.com.sg</v>
      </c>
      <c r="C20013" t="s">
        <v>496</v>
      </c>
      <c r="D20013" t="s">
        <v>870</v>
      </c>
      <c r="F20013">
        <v>8.8710534104858999E-9</v>
      </c>
      <c r="G20013">
        <v>8190442</v>
      </c>
      <c r="H20013">
        <v>11200432</v>
      </c>
      <c r="I20013">
        <v>31248152</v>
      </c>
      <c r="J20013">
        <v>5</v>
      </c>
    </row>
    <row r="20014" spans="1:10" x14ac:dyDescent="0.25">
      <c r="A20014" t="s">
        <v>218</v>
      </c>
      <c r="B20014" s="1" t="str">
        <f>HYPERLINK("http://acuvue.si","acuvue.si")</f>
        <v>acuvue.si</v>
      </c>
      <c r="C20014" t="s">
        <v>497</v>
      </c>
      <c r="D20014" t="s">
        <v>871</v>
      </c>
      <c r="F20014">
        <v>2.4400557138915599E-8</v>
      </c>
      <c r="G20014">
        <v>2124102</v>
      </c>
      <c r="H20014">
        <v>12192720</v>
      </c>
      <c r="I20014">
        <v>23518611</v>
      </c>
      <c r="J20014">
        <v>4</v>
      </c>
    </row>
    <row r="20015" spans="1:10" x14ac:dyDescent="0.25">
      <c r="A20015" t="s">
        <v>218</v>
      </c>
      <c r="B20015" s="1" t="str">
        <f>HYPERLINK("http://janssen-cilag.si","janssen-cilag.si")</f>
        <v>janssen-cilag.si</v>
      </c>
      <c r="C20015" t="s">
        <v>497</v>
      </c>
      <c r="D20015" t="s">
        <v>871</v>
      </c>
      <c r="F20015">
        <v>4.6729415655051204E-9</v>
      </c>
      <c r="G20015">
        <v>42764063</v>
      </c>
      <c r="H20015">
        <v>10664691</v>
      </c>
      <c r="I20015">
        <v>43165946</v>
      </c>
      <c r="J20015">
        <v>3</v>
      </c>
    </row>
    <row r="20016" spans="1:10" x14ac:dyDescent="0.25">
      <c r="A20016" t="s">
        <v>218</v>
      </c>
      <c r="B20016" s="1" t="str">
        <f>HYPERLINK("http://johnsonsbaby.si","johnsonsbaby.si")</f>
        <v>johnsonsbaby.si</v>
      </c>
      <c r="C20016" t="s">
        <v>497</v>
      </c>
      <c r="D20016" t="s">
        <v>871</v>
      </c>
      <c r="F20016">
        <v>6.99388968351525E-9</v>
      </c>
      <c r="G20016">
        <v>12329726</v>
      </c>
      <c r="H20016">
        <v>10657582</v>
      </c>
      <c r="I20016">
        <v>43482735</v>
      </c>
      <c r="J20016">
        <v>5</v>
      </c>
    </row>
    <row r="20017" spans="1:10" x14ac:dyDescent="0.25">
      <c r="A20017" t="s">
        <v>218</v>
      </c>
      <c r="B20017" s="1" t="str">
        <f>HYPERLINK("http://acuvue.sk","acuvue.sk")</f>
        <v>acuvue.sk</v>
      </c>
      <c r="C20017" t="s">
        <v>498</v>
      </c>
      <c r="D20017" t="s">
        <v>872</v>
      </c>
      <c r="F20017">
        <v>2.47931455840246E-8</v>
      </c>
      <c r="G20017">
        <v>2086022</v>
      </c>
      <c r="H20017">
        <v>12168119</v>
      </c>
      <c r="I20017">
        <v>24116752</v>
      </c>
      <c r="J20017">
        <v>4</v>
      </c>
    </row>
    <row r="20018" spans="1:10" x14ac:dyDescent="0.25">
      <c r="A20018" t="s">
        <v>218</v>
      </c>
      <c r="B20018" s="1" t="str">
        <f>HYPERLINK("http://janssen.sk","janssen.sk")</f>
        <v>janssen.sk</v>
      </c>
      <c r="C20018" t="s">
        <v>498</v>
      </c>
      <c r="D20018" t="s">
        <v>872</v>
      </c>
      <c r="F20018">
        <v>6.48981176595843E-9</v>
      </c>
      <c r="G20018">
        <v>14120738</v>
      </c>
      <c r="H20018">
        <v>11370132</v>
      </c>
      <c r="I20018">
        <v>30327408</v>
      </c>
      <c r="J20018">
        <v>4</v>
      </c>
    </row>
    <row r="20019" spans="1:10" x14ac:dyDescent="0.25">
      <c r="A20019" t="s">
        <v>218</v>
      </c>
      <c r="B20019" s="1" t="str">
        <f>HYPERLINK("http://acuvue.com.sv","acuvue.com.sv")</f>
        <v>acuvue.com.sv</v>
      </c>
      <c r="C20019" t="s">
        <v>499</v>
      </c>
      <c r="D20019" t="s">
        <v>873</v>
      </c>
      <c r="F20019">
        <v>9.7952929553321594E-9</v>
      </c>
      <c r="G20019">
        <v>6973888</v>
      </c>
      <c r="H20019">
        <v>10602284</v>
      </c>
      <c r="I20019">
        <v>44816038</v>
      </c>
      <c r="J20019">
        <v>4</v>
      </c>
    </row>
    <row r="20020" spans="1:10" x14ac:dyDescent="0.25">
      <c r="A20020" t="s">
        <v>218</v>
      </c>
      <c r="B20020" s="1" t="str">
        <f>HYPERLINK("http://acuvue.co.th","acuvue.co.th")</f>
        <v>acuvue.co.th</v>
      </c>
      <c r="C20020" t="s">
        <v>500</v>
      </c>
      <c r="D20020" t="s">
        <v>874</v>
      </c>
      <c r="F20020">
        <v>1.0659906784600901E-8</v>
      </c>
      <c r="G20020">
        <v>6133245</v>
      </c>
      <c r="H20020">
        <v>12396026</v>
      </c>
      <c r="I20020">
        <v>18918771</v>
      </c>
      <c r="J20020">
        <v>4</v>
      </c>
    </row>
    <row r="20021" spans="1:10" x14ac:dyDescent="0.25">
      <c r="A20021" t="s">
        <v>218</v>
      </c>
      <c r="B20021" s="1" t="str">
        <f>HYPERLINK("http://aveeno.co.th","aveeno.co.th")</f>
        <v>aveeno.co.th</v>
      </c>
      <c r="C20021" t="s">
        <v>500</v>
      </c>
      <c r="D20021" t="s">
        <v>874</v>
      </c>
      <c r="F20021">
        <v>9.7869488392350298E-9</v>
      </c>
      <c r="G20021">
        <v>6983017</v>
      </c>
      <c r="H20021">
        <v>12444269</v>
      </c>
      <c r="I20021">
        <v>18093289</v>
      </c>
      <c r="J20021">
        <v>7</v>
      </c>
    </row>
    <row r="20022" spans="1:10" x14ac:dyDescent="0.25">
      <c r="A20022" t="s">
        <v>218</v>
      </c>
      <c r="B20022" s="1" t="str">
        <f>HYPERLINK("http://johnsonsbaby.co.th","johnsonsbaby.co.th")</f>
        <v>johnsonsbaby.co.th</v>
      </c>
      <c r="C20022" t="s">
        <v>500</v>
      </c>
      <c r="D20022" t="s">
        <v>874</v>
      </c>
      <c r="F20022">
        <v>2.57088313279347E-8</v>
      </c>
      <c r="G20022">
        <v>2005371</v>
      </c>
      <c r="H20022">
        <v>12717036</v>
      </c>
      <c r="I20022">
        <v>15267431</v>
      </c>
      <c r="J20022">
        <v>4</v>
      </c>
    </row>
    <row r="20023" spans="1:10" x14ac:dyDescent="0.25">
      <c r="A20023" t="s">
        <v>218</v>
      </c>
      <c r="B20023" s="1" t="str">
        <f>HYPERLINK("http://listerine.co.th","listerine.co.th")</f>
        <v>listerine.co.th</v>
      </c>
      <c r="C20023" t="s">
        <v>500</v>
      </c>
      <c r="D20023" t="s">
        <v>874</v>
      </c>
      <c r="F20023">
        <v>1.3303773317421699E-8</v>
      </c>
      <c r="G20023">
        <v>4491822</v>
      </c>
      <c r="H20023">
        <v>12496740</v>
      </c>
      <c r="I20023">
        <v>17404398</v>
      </c>
      <c r="J20023">
        <v>4</v>
      </c>
    </row>
    <row r="20024" spans="1:10" x14ac:dyDescent="0.25">
      <c r="A20024" t="s">
        <v>218</v>
      </c>
      <c r="B20024" s="1" t="str">
        <f>HYPERLINK("http://neutrogena.co.th","neutrogena.co.th")</f>
        <v>neutrogena.co.th</v>
      </c>
      <c r="C20024" t="s">
        <v>500</v>
      </c>
      <c r="D20024" t="s">
        <v>874</v>
      </c>
      <c r="F20024">
        <v>1.39937914275375E-8</v>
      </c>
      <c r="G20024">
        <v>4205054</v>
      </c>
      <c r="H20024">
        <v>12567291</v>
      </c>
      <c r="I20024">
        <v>16649222</v>
      </c>
      <c r="J20024">
        <v>4</v>
      </c>
    </row>
    <row r="20025" spans="1:10" x14ac:dyDescent="0.25">
      <c r="A20025" t="s">
        <v>218</v>
      </c>
      <c r="B20025" s="1" t="str">
        <f>HYPERLINK("http://janssen.com.tr","janssen.com.tr")</f>
        <v>janssen.com.tr</v>
      </c>
      <c r="C20025" t="s">
        <v>502</v>
      </c>
      <c r="D20025" t="s">
        <v>876</v>
      </c>
      <c r="F20025">
        <v>9.4872296570926705E-9</v>
      </c>
      <c r="G20025">
        <v>7337844</v>
      </c>
      <c r="H20025">
        <v>14073146</v>
      </c>
      <c r="I20025">
        <v>3013952</v>
      </c>
      <c r="J20025">
        <v>4</v>
      </c>
    </row>
    <row r="20026" spans="1:10" x14ac:dyDescent="0.25">
      <c r="A20026" t="s">
        <v>218</v>
      </c>
      <c r="B20026" s="1" t="str">
        <f>HYPERLINK("http://johnsonsbaby.com.tr","johnsonsbaby.com.tr")</f>
        <v>johnsonsbaby.com.tr</v>
      </c>
      <c r="C20026" t="s">
        <v>502</v>
      </c>
      <c r="D20026" t="s">
        <v>876</v>
      </c>
      <c r="F20026">
        <v>2.31794646859571E-8</v>
      </c>
      <c r="G20026">
        <v>2251507</v>
      </c>
      <c r="H20026">
        <v>12386864</v>
      </c>
      <c r="I20026">
        <v>19097685</v>
      </c>
      <c r="J20026">
        <v>4</v>
      </c>
    </row>
    <row r="20027" spans="1:10" x14ac:dyDescent="0.25">
      <c r="A20027" t="s">
        <v>218</v>
      </c>
      <c r="B20027" s="1" t="str">
        <f>HYPERLINK("http://acuvue.com.tw","acuvue.com.tw")</f>
        <v>acuvue.com.tw</v>
      </c>
      <c r="C20027" t="s">
        <v>504</v>
      </c>
      <c r="D20027" t="s">
        <v>878</v>
      </c>
      <c r="F20027">
        <v>1.6161793660884E-8</v>
      </c>
      <c r="G20027">
        <v>3504977</v>
      </c>
      <c r="H20027">
        <v>13211972</v>
      </c>
      <c r="I20027">
        <v>11398601</v>
      </c>
      <c r="J20027">
        <v>4</v>
      </c>
    </row>
    <row r="20028" spans="1:10" x14ac:dyDescent="0.25">
      <c r="A20028" t="s">
        <v>218</v>
      </c>
      <c r="B20028" s="1" t="str">
        <f>HYPERLINK("http://aveeno.com.tw","aveeno.com.tw")</f>
        <v>aveeno.com.tw</v>
      </c>
      <c r="C20028" t="s">
        <v>504</v>
      </c>
      <c r="D20028" t="s">
        <v>878</v>
      </c>
      <c r="F20028">
        <v>1.6032778274941201E-8</v>
      </c>
      <c r="G20028">
        <v>3537769</v>
      </c>
      <c r="H20028">
        <v>13251384</v>
      </c>
      <c r="I20028">
        <v>11077135</v>
      </c>
      <c r="J20028">
        <v>7</v>
      </c>
    </row>
    <row r="20029" spans="1:10" x14ac:dyDescent="0.25">
      <c r="A20029" t="s">
        <v>218</v>
      </c>
      <c r="B20029" s="1" t="str">
        <f>HYPERLINK("http://jjmt.com.tw","jjmt.com.tw")</f>
        <v>jjmt.com.tw</v>
      </c>
      <c r="C20029" t="s">
        <v>504</v>
      </c>
      <c r="D20029" t="s">
        <v>878</v>
      </c>
      <c r="F20029">
        <v>5.5030778976007698E-9</v>
      </c>
      <c r="G20029">
        <v>20866054</v>
      </c>
      <c r="H20029">
        <v>14071982</v>
      </c>
      <c r="I20029">
        <v>3203553</v>
      </c>
      <c r="J20029">
        <v>2</v>
      </c>
    </row>
    <row r="20030" spans="1:10" x14ac:dyDescent="0.25">
      <c r="A20030" t="s">
        <v>218</v>
      </c>
      <c r="B20030" s="1" t="str">
        <f>HYPERLINK("http://johnsonsbaby.com.tw","johnsonsbaby.com.tw")</f>
        <v>johnsonsbaby.com.tw</v>
      </c>
      <c r="C20030" t="s">
        <v>504</v>
      </c>
      <c r="D20030" t="s">
        <v>878</v>
      </c>
      <c r="F20030">
        <v>2.2188155657376E-8</v>
      </c>
      <c r="G20030">
        <v>2363884</v>
      </c>
      <c r="H20030">
        <v>13264969</v>
      </c>
      <c r="I20030">
        <v>11011864</v>
      </c>
      <c r="J20030">
        <v>4</v>
      </c>
    </row>
    <row r="20031" spans="1:10" x14ac:dyDescent="0.25">
      <c r="A20031" t="s">
        <v>218</v>
      </c>
      <c r="B20031" s="1" t="str">
        <f>HYPERLINK("http://listerine.com.tw","listerine.com.tw")</f>
        <v>listerine.com.tw</v>
      </c>
      <c r="C20031" t="s">
        <v>504</v>
      </c>
      <c r="D20031" t="s">
        <v>878</v>
      </c>
      <c r="F20031">
        <v>1.3675952336045101E-8</v>
      </c>
      <c r="G20031">
        <v>4330813</v>
      </c>
      <c r="H20031">
        <v>12370127</v>
      </c>
      <c r="I20031">
        <v>19411525</v>
      </c>
      <c r="J20031">
        <v>4</v>
      </c>
    </row>
    <row r="20032" spans="1:10" x14ac:dyDescent="0.25">
      <c r="A20032" t="s">
        <v>218</v>
      </c>
      <c r="B20032" s="1" t="str">
        <f>HYPERLINK("http://neutrogena.com.tw","neutrogena.com.tw")</f>
        <v>neutrogena.com.tw</v>
      </c>
      <c r="C20032" t="s">
        <v>504</v>
      </c>
      <c r="D20032" t="s">
        <v>878</v>
      </c>
      <c r="F20032">
        <v>1.0230742781989399E-8</v>
      </c>
      <c r="G20032">
        <v>6517001</v>
      </c>
      <c r="H20032">
        <v>14120785</v>
      </c>
      <c r="I20032">
        <v>2327838</v>
      </c>
      <c r="J20032">
        <v>5</v>
      </c>
    </row>
    <row r="20033" spans="1:10" x14ac:dyDescent="0.25">
      <c r="A20033" t="s">
        <v>218</v>
      </c>
      <c r="B20033" s="1" t="str">
        <f>HYPERLINK("http://nicorette.com.tw","nicorette.com.tw")</f>
        <v>nicorette.com.tw</v>
      </c>
      <c r="C20033" t="s">
        <v>504</v>
      </c>
      <c r="D20033" t="s">
        <v>878</v>
      </c>
      <c r="F20033">
        <v>9.8343518405174308E-9</v>
      </c>
      <c r="G20033">
        <v>6932438</v>
      </c>
      <c r="H20033">
        <v>12494007</v>
      </c>
      <c r="I20033">
        <v>17436342</v>
      </c>
      <c r="J20033">
        <v>6</v>
      </c>
    </row>
    <row r="20034" spans="1:10" x14ac:dyDescent="0.25">
      <c r="A20034" t="s">
        <v>218</v>
      </c>
      <c r="B20034" s="1" t="str">
        <f>HYPERLINK("http://listerine.tw","listerine.tw")</f>
        <v>listerine.tw</v>
      </c>
      <c r="C20034" t="s">
        <v>504</v>
      </c>
      <c r="D20034" t="s">
        <v>878</v>
      </c>
      <c r="J20034">
        <v>5</v>
      </c>
    </row>
    <row r="20035" spans="1:10" x14ac:dyDescent="0.25">
      <c r="A20035" t="s">
        <v>218</v>
      </c>
      <c r="B20035" s="1" t="str">
        <f>HYPERLINK("http://acuvue.ua","acuvue.ua")</f>
        <v>acuvue.ua</v>
      </c>
      <c r="C20035" t="s">
        <v>505</v>
      </c>
      <c r="D20035" t="s">
        <v>879</v>
      </c>
      <c r="F20035">
        <v>2.0567603323398002E-8</v>
      </c>
      <c r="G20035">
        <v>2574995</v>
      </c>
      <c r="H20035">
        <v>12164727</v>
      </c>
      <c r="I20035">
        <v>24213037</v>
      </c>
      <c r="J20035">
        <v>4</v>
      </c>
    </row>
    <row r="20036" spans="1:10" x14ac:dyDescent="0.25">
      <c r="A20036" t="s">
        <v>218</v>
      </c>
      <c r="B20036" s="1" t="str">
        <f>HYPERLINK("http://jnjconsumer.com.ua","jnjconsumer.com.ua")</f>
        <v>jnjconsumer.com.ua</v>
      </c>
      <c r="C20036" t="s">
        <v>505</v>
      </c>
      <c r="D20036" t="s">
        <v>879</v>
      </c>
      <c r="F20036">
        <v>1.13181068300326E-8</v>
      </c>
      <c r="G20036">
        <v>5630095</v>
      </c>
      <c r="H20036">
        <v>14071991</v>
      </c>
      <c r="I20036">
        <v>3193624</v>
      </c>
      <c r="J20036">
        <v>2</v>
      </c>
    </row>
    <row r="20037" spans="1:10" x14ac:dyDescent="0.25">
      <c r="A20037" t="s">
        <v>218</v>
      </c>
      <c r="B20037" s="1" t="str">
        <f>HYPERLINK("http://acuvue.co.uk","acuvue.co.uk")</f>
        <v>acuvue.co.uk</v>
      </c>
      <c r="C20037" t="s">
        <v>506</v>
      </c>
      <c r="D20037" t="s">
        <v>880</v>
      </c>
      <c r="F20037">
        <v>4.85018787454276E-8</v>
      </c>
      <c r="G20037">
        <v>956475</v>
      </c>
      <c r="H20037">
        <v>14180309</v>
      </c>
      <c r="I20037">
        <v>1780927</v>
      </c>
      <c r="J20037">
        <v>4</v>
      </c>
    </row>
    <row r="20038" spans="1:10" x14ac:dyDescent="0.25">
      <c r="A20038" t="s">
        <v>218</v>
      </c>
      <c r="B20038" s="1" t="str">
        <f>HYPERLINK("http://aveeno.co.uk","aveeno.co.uk")</f>
        <v>aveeno.co.uk</v>
      </c>
      <c r="C20038" t="s">
        <v>506</v>
      </c>
      <c r="D20038" t="s">
        <v>880</v>
      </c>
      <c r="E20038">
        <v>996861</v>
      </c>
      <c r="F20038">
        <v>2.0317140033614401E-8</v>
      </c>
      <c r="G20038">
        <v>2611488</v>
      </c>
      <c r="H20038">
        <v>14128675</v>
      </c>
      <c r="I20038">
        <v>2057403</v>
      </c>
      <c r="J20038">
        <v>7</v>
      </c>
    </row>
    <row r="20039" spans="1:10" x14ac:dyDescent="0.25">
      <c r="A20039" t="s">
        <v>218</v>
      </c>
      <c r="B20039" s="1" t="str">
        <f>HYPERLINK("http://depuy.co.uk","depuy.co.uk")</f>
        <v>depuy.co.uk</v>
      </c>
      <c r="C20039" t="s">
        <v>506</v>
      </c>
      <c r="D20039" t="s">
        <v>880</v>
      </c>
      <c r="J20039">
        <v>3</v>
      </c>
    </row>
    <row r="20040" spans="1:10" x14ac:dyDescent="0.25">
      <c r="A20040" t="s">
        <v>218</v>
      </c>
      <c r="B20040" s="1" t="str">
        <f>HYPERLINK("http://jnj.co.uk","jnj.co.uk")</f>
        <v>jnj.co.uk</v>
      </c>
      <c r="C20040" t="s">
        <v>506</v>
      </c>
      <c r="D20040" t="s">
        <v>880</v>
      </c>
      <c r="F20040">
        <v>3.9237651677833803E-8</v>
      </c>
      <c r="G20040">
        <v>1314819</v>
      </c>
      <c r="H20040">
        <v>13287425</v>
      </c>
      <c r="I20040">
        <v>10887747</v>
      </c>
      <c r="J20040">
        <v>2</v>
      </c>
    </row>
    <row r="20041" spans="1:10" x14ac:dyDescent="0.25">
      <c r="A20041" t="s">
        <v>218</v>
      </c>
      <c r="B20041" s="1" t="str">
        <f>HYPERLINK("http://johnsonsbaby.co.uk","johnsonsbaby.co.uk")</f>
        <v>johnsonsbaby.co.uk</v>
      </c>
      <c r="C20041" t="s">
        <v>506</v>
      </c>
      <c r="D20041" t="s">
        <v>880</v>
      </c>
      <c r="F20041">
        <v>3.79364317724778E-8</v>
      </c>
      <c r="G20041">
        <v>1364165</v>
      </c>
      <c r="H20041">
        <v>14067478</v>
      </c>
      <c r="I20041">
        <v>3726955</v>
      </c>
      <c r="J20041">
        <v>3</v>
      </c>
    </row>
    <row r="20042" spans="1:10" x14ac:dyDescent="0.25">
      <c r="A20042" t="s">
        <v>218</v>
      </c>
      <c r="B20042" s="1" t="str">
        <f>HYPERLINK("http://johnsonsbeauty.co.uk","johnsonsbeauty.co.uk")</f>
        <v>johnsonsbeauty.co.uk</v>
      </c>
      <c r="C20042" t="s">
        <v>506</v>
      </c>
      <c r="D20042" t="s">
        <v>880</v>
      </c>
      <c r="F20042">
        <v>5.2843903925508497E-9</v>
      </c>
      <c r="G20042">
        <v>23726133</v>
      </c>
      <c r="H20042">
        <v>13770664</v>
      </c>
      <c r="I20042">
        <v>6720512</v>
      </c>
      <c r="J20042">
        <v>3</v>
      </c>
    </row>
    <row r="20043" spans="1:10" x14ac:dyDescent="0.25">
      <c r="A20043" t="s">
        <v>218</v>
      </c>
      <c r="B20043" s="1" t="str">
        <f>HYPERLINK("http://listerine.co.uk","listerine.co.uk")</f>
        <v>listerine.co.uk</v>
      </c>
      <c r="C20043" t="s">
        <v>506</v>
      </c>
      <c r="D20043" t="s">
        <v>880</v>
      </c>
      <c r="F20043">
        <v>2.2071457459702498E-8</v>
      </c>
      <c r="G20043">
        <v>2377819</v>
      </c>
      <c r="H20043">
        <v>14379880</v>
      </c>
      <c r="I20043">
        <v>1197147</v>
      </c>
      <c r="J20043">
        <v>4</v>
      </c>
    </row>
    <row r="20044" spans="1:10" x14ac:dyDescent="0.25">
      <c r="A20044" t="s">
        <v>218</v>
      </c>
      <c r="B20044" s="1" t="str">
        <f>HYPERLINK("http://nicorette.co.uk","nicorette.co.uk")</f>
        <v>nicorette.co.uk</v>
      </c>
      <c r="C20044" t="s">
        <v>506</v>
      </c>
      <c r="D20044" t="s">
        <v>880</v>
      </c>
      <c r="F20044">
        <v>2.74253783709684E-8</v>
      </c>
      <c r="G20044">
        <v>1874413</v>
      </c>
      <c r="H20044">
        <v>13793220</v>
      </c>
      <c r="I20044">
        <v>6323757</v>
      </c>
      <c r="J20044">
        <v>7</v>
      </c>
    </row>
    <row r="20045" spans="1:10" x14ac:dyDescent="0.25">
      <c r="A20045" t="s">
        <v>218</v>
      </c>
      <c r="B20045" s="1" t="str">
        <f>HYPERLINK("http://xo1.co.uk","xo1.co.uk")</f>
        <v>xo1.co.uk</v>
      </c>
      <c r="C20045" t="s">
        <v>506</v>
      </c>
      <c r="D20045" t="s">
        <v>880</v>
      </c>
      <c r="F20045">
        <v>5.6506009911795604E-9</v>
      </c>
      <c r="G20045">
        <v>19386786</v>
      </c>
      <c r="H20045">
        <v>11369953</v>
      </c>
      <c r="I20045">
        <v>30327924</v>
      </c>
      <c r="J20045">
        <v>3</v>
      </c>
    </row>
    <row r="20046" spans="1:10" x14ac:dyDescent="0.25">
      <c r="A20046" t="s">
        <v>218</v>
      </c>
      <c r="B20046" s="1" t="str">
        <f>HYPERLINK("http://actelion.us","actelion.us")</f>
        <v>actelion.us</v>
      </c>
      <c r="C20046" t="s">
        <v>522</v>
      </c>
      <c r="D20046" t="s">
        <v>891</v>
      </c>
      <c r="F20046">
        <v>1.40848208808025E-8</v>
      </c>
      <c r="G20046">
        <v>4171247</v>
      </c>
      <c r="H20046">
        <v>13033077</v>
      </c>
      <c r="I20046">
        <v>12655991</v>
      </c>
      <c r="J20046">
        <v>3</v>
      </c>
    </row>
    <row r="20047" spans="1:10" x14ac:dyDescent="0.25">
      <c r="A20047" t="s">
        <v>218</v>
      </c>
      <c r="B20047" s="1" t="str">
        <f>HYPERLINK("http://acuvue.com.uy","acuvue.com.uy")</f>
        <v>acuvue.com.uy</v>
      </c>
      <c r="C20047" t="s">
        <v>507</v>
      </c>
      <c r="D20047" t="s">
        <v>881</v>
      </c>
      <c r="F20047">
        <v>9.7978052805781701E-9</v>
      </c>
      <c r="G20047">
        <v>6971188</v>
      </c>
      <c r="H20047">
        <v>10602284</v>
      </c>
      <c r="I20047">
        <v>44816040</v>
      </c>
      <c r="J20047">
        <v>4</v>
      </c>
    </row>
    <row r="20048" spans="1:10" x14ac:dyDescent="0.25">
      <c r="A20048" t="s">
        <v>218</v>
      </c>
      <c r="B20048" s="1" t="str">
        <f>HYPERLINK("http://johnsonsbaby.com.uy","johnsonsbaby.com.uy")</f>
        <v>johnsonsbaby.com.uy</v>
      </c>
      <c r="C20048" t="s">
        <v>507</v>
      </c>
      <c r="D20048" t="s">
        <v>881</v>
      </c>
      <c r="F20048">
        <v>2.06453026387838E-8</v>
      </c>
      <c r="G20048">
        <v>2564373</v>
      </c>
      <c r="H20048">
        <v>12335114</v>
      </c>
      <c r="I20048">
        <v>20101846</v>
      </c>
      <c r="J20048">
        <v>4</v>
      </c>
    </row>
    <row r="20049" spans="1:10" x14ac:dyDescent="0.25">
      <c r="A20049" t="s">
        <v>218</v>
      </c>
      <c r="B20049" s="1" t="str">
        <f>HYPERLINK("http://listerine.com.uy","listerine.com.uy")</f>
        <v>listerine.com.uy</v>
      </c>
      <c r="C20049" t="s">
        <v>507</v>
      </c>
      <c r="D20049" t="s">
        <v>881</v>
      </c>
      <c r="F20049">
        <v>1.26037829839025E-8</v>
      </c>
      <c r="G20049">
        <v>4829039</v>
      </c>
      <c r="H20049">
        <v>11017820</v>
      </c>
      <c r="I20049">
        <v>33290964</v>
      </c>
      <c r="J20049">
        <v>4</v>
      </c>
    </row>
    <row r="20050" spans="1:10" x14ac:dyDescent="0.25">
      <c r="A20050" t="s">
        <v>218</v>
      </c>
      <c r="B20050" s="1" t="str">
        <f>HYPERLINK("http://acuvue.com.vn","acuvue.com.vn")</f>
        <v>acuvue.com.vn</v>
      </c>
      <c r="C20050" t="s">
        <v>509</v>
      </c>
      <c r="D20050" t="s">
        <v>883</v>
      </c>
      <c r="F20050">
        <v>2.0660844542864801E-8</v>
      </c>
      <c r="G20050">
        <v>2562276</v>
      </c>
      <c r="H20050">
        <v>12163633</v>
      </c>
      <c r="I20050">
        <v>24262997</v>
      </c>
      <c r="J20050">
        <v>4</v>
      </c>
    </row>
    <row r="20051" spans="1:10" x14ac:dyDescent="0.25">
      <c r="A20051" t="s">
        <v>218</v>
      </c>
      <c r="B20051" s="1" t="str">
        <f>HYPERLINK("http://johnsonsbaby.com.vn","johnsonsbaby.com.vn")</f>
        <v>johnsonsbaby.com.vn</v>
      </c>
      <c r="C20051" t="s">
        <v>509</v>
      </c>
      <c r="D20051" t="s">
        <v>883</v>
      </c>
      <c r="F20051">
        <v>2.5492855804983299E-8</v>
      </c>
      <c r="G20051">
        <v>2023295</v>
      </c>
      <c r="H20051">
        <v>12879772</v>
      </c>
      <c r="I20051">
        <v>14004157</v>
      </c>
      <c r="J20051">
        <v>4</v>
      </c>
    </row>
    <row r="20052" spans="1:10" x14ac:dyDescent="0.25">
      <c r="A20052" t="s">
        <v>218</v>
      </c>
      <c r="B20052" s="1" t="str">
        <f>HYPERLINK("http://listerine.com.vn","listerine.com.vn")</f>
        <v>listerine.com.vn</v>
      </c>
      <c r="C20052" t="s">
        <v>509</v>
      </c>
      <c r="D20052" t="s">
        <v>883</v>
      </c>
      <c r="F20052">
        <v>1.26748879001542E-8</v>
      </c>
      <c r="G20052">
        <v>4792212</v>
      </c>
      <c r="H20052">
        <v>11017841</v>
      </c>
      <c r="I20052">
        <v>33290789</v>
      </c>
      <c r="J20052">
        <v>4</v>
      </c>
    </row>
    <row r="20053" spans="1:10" x14ac:dyDescent="0.25">
      <c r="A20053" t="s">
        <v>218</v>
      </c>
      <c r="B20053" s="1" t="str">
        <f>HYPERLINK("http://acuvue.co.za","acuvue.co.za")</f>
        <v>acuvue.co.za</v>
      </c>
      <c r="C20053" t="s">
        <v>510</v>
      </c>
      <c r="D20053" t="s">
        <v>884</v>
      </c>
      <c r="F20053">
        <v>2.68793577481532E-8</v>
      </c>
      <c r="G20053">
        <v>1913693</v>
      </c>
      <c r="H20053">
        <v>12168368</v>
      </c>
      <c r="I20053">
        <v>24111846</v>
      </c>
      <c r="J20053">
        <v>4</v>
      </c>
    </row>
    <row r="20054" spans="1:10" x14ac:dyDescent="0.25">
      <c r="A20054" t="s">
        <v>218</v>
      </c>
      <c r="B20054" s="1" t="str">
        <f>HYPERLINK("http://janssen.co.za","janssen.co.za")</f>
        <v>janssen.co.za</v>
      </c>
      <c r="C20054" t="s">
        <v>510</v>
      </c>
      <c r="D20054" t="s">
        <v>884</v>
      </c>
      <c r="F20054">
        <v>6.3641374781306598E-9</v>
      </c>
      <c r="G20054">
        <v>14693243</v>
      </c>
      <c r="H20054">
        <v>11370467</v>
      </c>
      <c r="I20054">
        <v>30325910</v>
      </c>
      <c r="J20054">
        <v>4</v>
      </c>
    </row>
    <row r="20055" spans="1:10" x14ac:dyDescent="0.25">
      <c r="A20055" t="s">
        <v>218</v>
      </c>
      <c r="B20055" s="1" t="str">
        <f>HYPERLINK("http://jnjsouthafrica.co.za","jnjsouthafrica.co.za")</f>
        <v>jnjsouthafrica.co.za</v>
      </c>
      <c r="C20055" t="s">
        <v>510</v>
      </c>
      <c r="D20055" t="s">
        <v>884</v>
      </c>
      <c r="F20055">
        <v>6.2553946088324804E-9</v>
      </c>
      <c r="G20055">
        <v>15248102</v>
      </c>
      <c r="H20055">
        <v>12330500</v>
      </c>
      <c r="I20055">
        <v>20203963</v>
      </c>
      <c r="J20055">
        <v>4</v>
      </c>
    </row>
    <row r="20056" spans="1:10" x14ac:dyDescent="0.25">
      <c r="A20056" t="s">
        <v>218</v>
      </c>
      <c r="B20056" s="1" t="str">
        <f>HYPERLINK("http://johnsonsbaby.co.za","johnsonsbaby.co.za")</f>
        <v>johnsonsbaby.co.za</v>
      </c>
      <c r="C20056" t="s">
        <v>510</v>
      </c>
      <c r="D20056" t="s">
        <v>884</v>
      </c>
      <c r="F20056">
        <v>2.44709563444933E-8</v>
      </c>
      <c r="G20056">
        <v>2117305</v>
      </c>
      <c r="H20056">
        <v>13179122</v>
      </c>
      <c r="I20056">
        <v>11687308</v>
      </c>
      <c r="J20056">
        <v>4</v>
      </c>
    </row>
    <row r="20057" spans="1:10" x14ac:dyDescent="0.25">
      <c r="A20057" t="s">
        <v>218</v>
      </c>
      <c r="B20057" s="1" t="str">
        <f>HYPERLINK("http://listerine.co.za","listerine.co.za")</f>
        <v>listerine.co.za</v>
      </c>
      <c r="C20057" t="s">
        <v>510</v>
      </c>
      <c r="D20057" t="s">
        <v>884</v>
      </c>
      <c r="F20057">
        <v>1.5242186246616301E-8</v>
      </c>
      <c r="G20057">
        <v>3763139</v>
      </c>
      <c r="H20057">
        <v>13786277</v>
      </c>
      <c r="I20057">
        <v>6388644</v>
      </c>
      <c r="J20057">
        <v>4</v>
      </c>
    </row>
    <row r="20058" spans="1:10" x14ac:dyDescent="0.25">
      <c r="A20058" t="s">
        <v>219</v>
      </c>
      <c r="B20058" s="1" t="str">
        <f>HYPERLINK("http://adt.com.ar","adt.com.ar")</f>
        <v>adt.com.ar</v>
      </c>
      <c r="C20058" t="s">
        <v>418</v>
      </c>
      <c r="D20058" t="s">
        <v>800</v>
      </c>
      <c r="F20058">
        <v>2.1216110488013001E-8</v>
      </c>
      <c r="G20058">
        <v>2485690</v>
      </c>
      <c r="H20058">
        <v>13333392</v>
      </c>
      <c r="I20058">
        <v>10711942</v>
      </c>
      <c r="J20058">
        <v>3</v>
      </c>
    </row>
    <row r="20059" spans="1:10" x14ac:dyDescent="0.25">
      <c r="A20059" t="s">
        <v>219</v>
      </c>
      <c r="B20059" s="1" t="str">
        <f>HYPERLINK("http://varta-automotive.at","varta-automotive.at")</f>
        <v>varta-automotive.at</v>
      </c>
      <c r="C20059" t="s">
        <v>419</v>
      </c>
      <c r="D20059" t="s">
        <v>801</v>
      </c>
      <c r="F20059">
        <v>5.5685219362809001E-9</v>
      </c>
      <c r="G20059">
        <v>20192772</v>
      </c>
      <c r="H20059">
        <v>10801428</v>
      </c>
      <c r="I20059">
        <v>38117300</v>
      </c>
      <c r="J20059">
        <v>5</v>
      </c>
    </row>
    <row r="20060" spans="1:10" x14ac:dyDescent="0.25">
      <c r="A20060" t="s">
        <v>219</v>
      </c>
      <c r="B20060" s="1" t="str">
        <f>HYPERLINK("http://hitachiaircon.com.au","hitachiaircon.com.au")</f>
        <v>hitachiaircon.com.au</v>
      </c>
      <c r="C20060" t="s">
        <v>420</v>
      </c>
      <c r="D20060" t="s">
        <v>802</v>
      </c>
      <c r="F20060">
        <v>7.8489511496671093E-9</v>
      </c>
      <c r="G20060">
        <v>10216546</v>
      </c>
      <c r="H20060">
        <v>12290769</v>
      </c>
      <c r="I20060">
        <v>21097287</v>
      </c>
      <c r="J20060">
        <v>5</v>
      </c>
    </row>
    <row r="20061" spans="1:10" x14ac:dyDescent="0.25">
      <c r="A20061" t="s">
        <v>219</v>
      </c>
      <c r="B20061" s="1" t="str">
        <f>HYPERLINK("http://tyco.be","tyco.be")</f>
        <v>tyco.be</v>
      </c>
      <c r="C20061" t="s">
        <v>421</v>
      </c>
      <c r="D20061" t="s">
        <v>803</v>
      </c>
      <c r="F20061">
        <v>5.6801865278977598E-9</v>
      </c>
      <c r="G20061">
        <v>19128140</v>
      </c>
      <c r="H20061">
        <v>11978413</v>
      </c>
      <c r="I20061">
        <v>28525207</v>
      </c>
      <c r="J20061">
        <v>4</v>
      </c>
    </row>
    <row r="20062" spans="1:10" x14ac:dyDescent="0.25">
      <c r="A20062" t="s">
        <v>219</v>
      </c>
      <c r="B20062" s="1" t="str">
        <f>HYPERLINK("http://varta-automotive.be","varta-automotive.be")</f>
        <v>varta-automotive.be</v>
      </c>
      <c r="C20062" t="s">
        <v>421</v>
      </c>
      <c r="D20062" t="s">
        <v>803</v>
      </c>
      <c r="F20062">
        <v>2.34086169666476E-8</v>
      </c>
      <c r="G20062">
        <v>2224734</v>
      </c>
      <c r="H20062">
        <v>13933446</v>
      </c>
      <c r="I20062">
        <v>4740713</v>
      </c>
      <c r="J20062">
        <v>5</v>
      </c>
    </row>
    <row r="20063" spans="1:10" x14ac:dyDescent="0.25">
      <c r="A20063" t="s">
        <v>219</v>
      </c>
      <c r="B20063" s="1" t="str">
        <f>HYPERLINK("http://hitachiaircon.com.br","hitachiaircon.com.br")</f>
        <v>hitachiaircon.com.br</v>
      </c>
      <c r="C20063" t="s">
        <v>425</v>
      </c>
      <c r="D20063" t="s">
        <v>806</v>
      </c>
      <c r="F20063">
        <v>6.6629715273312004E-9</v>
      </c>
      <c r="G20063">
        <v>13438059</v>
      </c>
      <c r="H20063">
        <v>10433684</v>
      </c>
      <c r="I20063">
        <v>52957772</v>
      </c>
      <c r="J20063">
        <v>5</v>
      </c>
    </row>
    <row r="20064" spans="1:10" x14ac:dyDescent="0.25">
      <c r="A20064" t="s">
        <v>219</v>
      </c>
      <c r="B20064" s="1" t="str">
        <f>HYPERLINK("http://varta-automotive.ch","varta-automotive.ch")</f>
        <v>varta-automotive.ch</v>
      </c>
      <c r="C20064" t="s">
        <v>429</v>
      </c>
      <c r="D20064" t="s">
        <v>810</v>
      </c>
      <c r="F20064">
        <v>2.4780654779846801E-8</v>
      </c>
      <c r="G20064">
        <v>2087138</v>
      </c>
      <c r="H20064">
        <v>10684355</v>
      </c>
      <c r="I20064">
        <v>42650395</v>
      </c>
      <c r="J20064">
        <v>5</v>
      </c>
    </row>
    <row r="20065" spans="1:10" x14ac:dyDescent="0.25">
      <c r="A20065" t="s">
        <v>219</v>
      </c>
      <c r="B20065" s="1" t="str">
        <f>HYPERLINK("http://adt.cl","adt.cl")</f>
        <v>adt.cl</v>
      </c>
      <c r="C20065" t="s">
        <v>430</v>
      </c>
      <c r="D20065" t="s">
        <v>811</v>
      </c>
      <c r="F20065">
        <v>2.0059870841697199E-8</v>
      </c>
      <c r="G20065">
        <v>2650167</v>
      </c>
      <c r="H20065">
        <v>13135782</v>
      </c>
      <c r="I20065">
        <v>11909149</v>
      </c>
      <c r="J20065">
        <v>3</v>
      </c>
    </row>
    <row r="20066" spans="1:10" x14ac:dyDescent="0.25">
      <c r="A20066" t="s">
        <v>219</v>
      </c>
      <c r="B20066" s="1" t="str">
        <f>HYPERLINK("http://varta-automotive.cn","varta-automotive.cn")</f>
        <v>varta-automotive.cn</v>
      </c>
      <c r="C20066" t="s">
        <v>431</v>
      </c>
      <c r="D20066" t="s">
        <v>812</v>
      </c>
      <c r="F20066">
        <v>2.8738169578664001E-8</v>
      </c>
      <c r="G20066">
        <v>1790891</v>
      </c>
      <c r="H20066">
        <v>10888746</v>
      </c>
      <c r="I20066">
        <v>36129297</v>
      </c>
      <c r="J20066">
        <v>5</v>
      </c>
    </row>
    <row r="20067" spans="1:10" x14ac:dyDescent="0.25">
      <c r="A20067" t="s">
        <v>219</v>
      </c>
      <c r="B20067" s="1" t="str">
        <f>HYPERLINK("http://adt.com","adt.com")</f>
        <v>adt.com</v>
      </c>
      <c r="C20067" t="s">
        <v>433</v>
      </c>
      <c r="E20067">
        <v>16165</v>
      </c>
      <c r="F20067">
        <v>1.2171285928791401E-6</v>
      </c>
      <c r="G20067">
        <v>31941</v>
      </c>
      <c r="H20067">
        <v>17390892</v>
      </c>
      <c r="I20067">
        <v>19854</v>
      </c>
      <c r="J20067">
        <v>6</v>
      </c>
    </row>
    <row r="20068" spans="1:10" x14ac:dyDescent="0.25">
      <c r="A20068" t="s">
        <v>219</v>
      </c>
      <c r="B20068" s="1" t="str">
        <f>HYPERLINK("http://ansul.com","ansul.com")</f>
        <v>ansul.com</v>
      </c>
      <c r="C20068" t="s">
        <v>433</v>
      </c>
      <c r="E20068">
        <v>541970</v>
      </c>
      <c r="F20068">
        <v>1.04848677704958E-7</v>
      </c>
      <c r="G20068">
        <v>382220</v>
      </c>
      <c r="H20068">
        <v>14172672</v>
      </c>
      <c r="I20068">
        <v>1798254</v>
      </c>
      <c r="J20068">
        <v>5</v>
      </c>
    </row>
    <row r="20069" spans="1:10" x14ac:dyDescent="0.25">
      <c r="A20069" t="s">
        <v>219</v>
      </c>
      <c r="B20069" s="1" t="str">
        <f>HYPERLINK("http://hitachi-hli.com","hitachi-hli.com")</f>
        <v>hitachi-hli.com</v>
      </c>
      <c r="C20069" t="s">
        <v>433</v>
      </c>
      <c r="F20069">
        <v>1.0210120683905299E-8</v>
      </c>
      <c r="G20069">
        <v>6537134</v>
      </c>
      <c r="H20069">
        <v>13767540</v>
      </c>
      <c r="I20069">
        <v>6927041</v>
      </c>
      <c r="J20069">
        <v>7</v>
      </c>
    </row>
    <row r="20070" spans="1:10" x14ac:dyDescent="0.25">
      <c r="A20070" t="s">
        <v>219</v>
      </c>
      <c r="B20070" s="1" t="str">
        <f>HYPERLINK("http://hitachiaircon.com","hitachiaircon.com")</f>
        <v>hitachiaircon.com</v>
      </c>
      <c r="C20070" t="s">
        <v>433</v>
      </c>
      <c r="E20070">
        <v>315052</v>
      </c>
      <c r="F20070">
        <v>1.3053924778524999E-7</v>
      </c>
      <c r="G20070">
        <v>299779</v>
      </c>
      <c r="H20070">
        <v>13929234</v>
      </c>
      <c r="I20070">
        <v>5929650</v>
      </c>
      <c r="J20070">
        <v>4</v>
      </c>
    </row>
    <row r="20071" spans="1:10" x14ac:dyDescent="0.25">
      <c r="A20071" t="s">
        <v>219</v>
      </c>
      <c r="B20071" s="1" t="str">
        <f>HYPERLINK("http://jci.com","jci.com")</f>
        <v>jci.com</v>
      </c>
      <c r="C20071" t="s">
        <v>433</v>
      </c>
      <c r="E20071">
        <v>30900</v>
      </c>
      <c r="F20071">
        <v>1.54218264185547E-7</v>
      </c>
      <c r="G20071">
        <v>251861</v>
      </c>
      <c r="H20071">
        <v>14122419</v>
      </c>
      <c r="I20071">
        <v>2212673</v>
      </c>
      <c r="J20071">
        <v>3</v>
      </c>
    </row>
    <row r="20072" spans="1:10" x14ac:dyDescent="0.25">
      <c r="A20072" t="s">
        <v>219</v>
      </c>
      <c r="B20072" s="1" t="str">
        <f>HYPERLINK("http://jciproductpki.com","jciproductpki.com")</f>
        <v>jciproductpki.com</v>
      </c>
      <c r="C20072" t="s">
        <v>433</v>
      </c>
      <c r="J20072">
        <v>4</v>
      </c>
    </row>
    <row r="20073" spans="1:10" x14ac:dyDescent="0.25">
      <c r="A20073" t="s">
        <v>219</v>
      </c>
      <c r="B20073" s="1" t="str">
        <f>HYPERLINK("http://johnsoncontrols.com","johnsoncontrols.com")</f>
        <v>johnsoncontrols.com</v>
      </c>
      <c r="C20073" t="s">
        <v>433</v>
      </c>
      <c r="E20073">
        <v>12954</v>
      </c>
      <c r="F20073">
        <v>2.03043994141987E-6</v>
      </c>
      <c r="G20073">
        <v>17980</v>
      </c>
      <c r="H20073">
        <v>17427710</v>
      </c>
      <c r="I20073">
        <v>17385</v>
      </c>
      <c r="J20073">
        <v>1</v>
      </c>
    </row>
    <row r="20074" spans="1:10" x14ac:dyDescent="0.25">
      <c r="A20074" t="s">
        <v>219</v>
      </c>
      <c r="B20074" s="1" t="str">
        <f>HYPERLINK("http://keiper.com","keiper.com")</f>
        <v>keiper.com</v>
      </c>
      <c r="C20074" t="s">
        <v>433</v>
      </c>
      <c r="F20074">
        <v>5.0503461698346E-9</v>
      </c>
      <c r="G20074">
        <v>28212471</v>
      </c>
      <c r="H20074">
        <v>11931543</v>
      </c>
      <c r="I20074">
        <v>29293621</v>
      </c>
      <c r="J20074">
        <v>6</v>
      </c>
    </row>
    <row r="20075" spans="1:10" x14ac:dyDescent="0.25">
      <c r="A20075" t="s">
        <v>219</v>
      </c>
      <c r="B20075" s="1" t="str">
        <f>HYPERLINK("http://laufan.com","laufan.com")</f>
        <v>laufan.com</v>
      </c>
      <c r="C20075" t="s">
        <v>433</v>
      </c>
      <c r="F20075">
        <v>1.01036090496535E-8</v>
      </c>
      <c r="G20075">
        <v>6644579</v>
      </c>
      <c r="H20075">
        <v>12874710</v>
      </c>
      <c r="I20075">
        <v>14037299</v>
      </c>
      <c r="J20075">
        <v>5</v>
      </c>
    </row>
    <row r="20076" spans="1:10" x14ac:dyDescent="0.25">
      <c r="A20076" t="s">
        <v>219</v>
      </c>
      <c r="B20076" s="1" t="str">
        <f>HYPERLINK("http://lauparts.com","lauparts.com")</f>
        <v>lauparts.com</v>
      </c>
      <c r="C20076" t="s">
        <v>433</v>
      </c>
      <c r="F20076">
        <v>7.3920046193159899E-9</v>
      </c>
      <c r="G20076">
        <v>11261981</v>
      </c>
      <c r="H20076">
        <v>11036471</v>
      </c>
      <c r="I20076">
        <v>32975612</v>
      </c>
      <c r="J20076">
        <v>8</v>
      </c>
    </row>
    <row r="20077" spans="1:10" x14ac:dyDescent="0.25">
      <c r="A20077" t="s">
        <v>219</v>
      </c>
      <c r="B20077" s="1" t="str">
        <f>HYPERLINK("http://rapidbluesolutions.com","rapidbluesolutions.com")</f>
        <v>rapidbluesolutions.com</v>
      </c>
      <c r="C20077" t="s">
        <v>433</v>
      </c>
      <c r="F20077">
        <v>5.6547489857688798E-9</v>
      </c>
      <c r="G20077">
        <v>19350036</v>
      </c>
      <c r="H20077">
        <v>13239425</v>
      </c>
      <c r="I20077">
        <v>11224148</v>
      </c>
      <c r="J20077">
        <v>8</v>
      </c>
    </row>
    <row r="20078" spans="1:10" x14ac:dyDescent="0.25">
      <c r="A20078" t="s">
        <v>219</v>
      </c>
      <c r="B20078" s="1" t="str">
        <f>HYPERLINK("http://reteltechnologies.com","reteltechnologies.com")</f>
        <v>reteltechnologies.com</v>
      </c>
      <c r="C20078" t="s">
        <v>433</v>
      </c>
      <c r="F20078">
        <v>8.0850891379775605E-9</v>
      </c>
      <c r="G20078">
        <v>9768232</v>
      </c>
      <c r="H20078">
        <v>13825746</v>
      </c>
      <c r="I20078">
        <v>6124200</v>
      </c>
      <c r="J20078">
        <v>8</v>
      </c>
    </row>
    <row r="20079" spans="1:10" x14ac:dyDescent="0.25">
      <c r="A20079" t="s">
        <v>219</v>
      </c>
      <c r="B20079" s="1" t="str">
        <f>HYPERLINK("http://ruskinrooftopsystems.com","ruskinrooftopsystems.com")</f>
        <v>ruskinrooftopsystems.com</v>
      </c>
      <c r="C20079" t="s">
        <v>433</v>
      </c>
      <c r="F20079">
        <v>4.7008152157671899E-9</v>
      </c>
      <c r="G20079">
        <v>41191878</v>
      </c>
      <c r="H20079">
        <v>10356414</v>
      </c>
      <c r="I20079">
        <v>55625680</v>
      </c>
      <c r="J20079">
        <v>3</v>
      </c>
    </row>
    <row r="20080" spans="1:10" x14ac:dyDescent="0.25">
      <c r="A20080" t="s">
        <v>219</v>
      </c>
      <c r="B20080" s="1" t="str">
        <f>HYPERLINK("http://sensormatic.com","sensormatic.com")</f>
        <v>sensormatic.com</v>
      </c>
      <c r="C20080" t="s">
        <v>433</v>
      </c>
      <c r="E20080">
        <v>126247</v>
      </c>
      <c r="F20080">
        <v>3.9607248120568498E-7</v>
      </c>
      <c r="G20080">
        <v>94758</v>
      </c>
      <c r="H20080">
        <v>14664751</v>
      </c>
      <c r="I20080">
        <v>617777</v>
      </c>
      <c r="J20080">
        <v>4</v>
      </c>
    </row>
    <row r="20081" spans="1:10" x14ac:dyDescent="0.25">
      <c r="A20081" t="s">
        <v>219</v>
      </c>
      <c r="B20081" s="1" t="str">
        <f>HYPERLINK("http://shoppertrak.com","shoppertrak.com")</f>
        <v>shoppertrak.com</v>
      </c>
      <c r="C20081" t="s">
        <v>433</v>
      </c>
      <c r="E20081">
        <v>17847</v>
      </c>
      <c r="F20081">
        <v>3.1227283488275602E-7</v>
      </c>
      <c r="G20081">
        <v>119070</v>
      </c>
      <c r="H20081">
        <v>15113748</v>
      </c>
      <c r="I20081">
        <v>404639</v>
      </c>
      <c r="J20081">
        <v>6</v>
      </c>
    </row>
    <row r="20082" spans="1:10" x14ac:dyDescent="0.25">
      <c r="A20082" t="s">
        <v>219</v>
      </c>
      <c r="B20082" s="1" t="str">
        <f>HYPERLINK("http://simplexgrinnell.com","simplexgrinnell.com")</f>
        <v>simplexgrinnell.com</v>
      </c>
      <c r="C20082" t="s">
        <v>433</v>
      </c>
      <c r="F20082">
        <v>2.9023809065671901E-8</v>
      </c>
      <c r="G20082">
        <v>1774009</v>
      </c>
      <c r="H20082">
        <v>13782850</v>
      </c>
      <c r="I20082">
        <v>6433082</v>
      </c>
      <c r="J20082">
        <v>6</v>
      </c>
    </row>
    <row r="20083" spans="1:10" x14ac:dyDescent="0.25">
      <c r="A20083" t="s">
        <v>219</v>
      </c>
      <c r="B20083" s="1" t="str">
        <f>HYPERLINK("http://tyco-fire.com","tyco-fire.com")</f>
        <v>tyco-fire.com</v>
      </c>
      <c r="C20083" t="s">
        <v>433</v>
      </c>
      <c r="E20083">
        <v>531942</v>
      </c>
      <c r="F20083">
        <v>7.9603548173145503E-8</v>
      </c>
      <c r="G20083">
        <v>524809</v>
      </c>
      <c r="H20083">
        <v>13820422</v>
      </c>
      <c r="I20083">
        <v>6145103</v>
      </c>
      <c r="J20083">
        <v>6</v>
      </c>
    </row>
    <row r="20084" spans="1:10" x14ac:dyDescent="0.25">
      <c r="A20084" t="s">
        <v>219</v>
      </c>
      <c r="B20084" s="1" t="str">
        <f>HYPERLINK("http://tycoint.com","tycoint.com")</f>
        <v>tycoint.com</v>
      </c>
      <c r="C20084" t="s">
        <v>433</v>
      </c>
      <c r="F20084">
        <v>2.46616480172864E-8</v>
      </c>
      <c r="G20084">
        <v>2098071</v>
      </c>
      <c r="H20084">
        <v>13414622</v>
      </c>
      <c r="I20084">
        <v>10317258</v>
      </c>
      <c r="J20084">
        <v>5</v>
      </c>
    </row>
    <row r="20085" spans="1:10" x14ac:dyDescent="0.25">
      <c r="A20085" t="s">
        <v>219</v>
      </c>
      <c r="B20085" s="1" t="str">
        <f>HYPERLINK("http://tycois.com","tycois.com")</f>
        <v>tycois.com</v>
      </c>
      <c r="C20085" t="s">
        <v>433</v>
      </c>
      <c r="E20085">
        <v>48420</v>
      </c>
      <c r="F20085">
        <v>5.0008563413907498E-8</v>
      </c>
      <c r="G20085">
        <v>921068</v>
      </c>
      <c r="H20085">
        <v>13877867</v>
      </c>
      <c r="I20085">
        <v>5986952</v>
      </c>
      <c r="J20085">
        <v>3</v>
      </c>
    </row>
    <row r="20086" spans="1:10" x14ac:dyDescent="0.25">
      <c r="A20086" t="s">
        <v>219</v>
      </c>
      <c r="B20086" s="1" t="str">
        <f>HYPERLINK("http://tycont.com","tycont.com")</f>
        <v>tycont.com</v>
      </c>
      <c r="C20086" t="s">
        <v>433</v>
      </c>
      <c r="J20086">
        <v>5</v>
      </c>
    </row>
    <row r="20087" spans="1:10" x14ac:dyDescent="0.25">
      <c r="A20087" t="s">
        <v>219</v>
      </c>
      <c r="B20087" s="1" t="str">
        <f>HYPERLINK("http://tycoretailsolutions.com","tycoretailsolutions.com")</f>
        <v>tycoretailsolutions.com</v>
      </c>
      <c r="C20087" t="s">
        <v>433</v>
      </c>
      <c r="F20087">
        <v>3.8317289614026903E-8</v>
      </c>
      <c r="G20087">
        <v>1351124</v>
      </c>
      <c r="H20087">
        <v>14397346</v>
      </c>
      <c r="I20087">
        <v>1158188</v>
      </c>
      <c r="J20087">
        <v>8</v>
      </c>
    </row>
    <row r="20088" spans="1:10" x14ac:dyDescent="0.25">
      <c r="A20088" t="s">
        <v>219</v>
      </c>
      <c r="B20088" s="1" t="str">
        <f>HYPERLINK("http://tycosimplexgrinnell.com","tycosimplexgrinnell.com")</f>
        <v>tycosimplexgrinnell.com</v>
      </c>
      <c r="C20088" t="s">
        <v>433</v>
      </c>
      <c r="F20088">
        <v>5.6357193568487901E-8</v>
      </c>
      <c r="G20088">
        <v>793827</v>
      </c>
      <c r="H20088">
        <v>13767990</v>
      </c>
      <c r="I20088">
        <v>6901964</v>
      </c>
      <c r="J20088">
        <v>9</v>
      </c>
    </row>
    <row r="20089" spans="1:10" x14ac:dyDescent="0.25">
      <c r="A20089" t="s">
        <v>219</v>
      </c>
      <c r="B20089" s="1" t="str">
        <f>HYPERLINK("http://varta-automotive.com","varta-automotive.com")</f>
        <v>varta-automotive.com</v>
      </c>
      <c r="C20089" t="s">
        <v>433</v>
      </c>
      <c r="E20089">
        <v>194197</v>
      </c>
      <c r="F20089">
        <v>1.38933813635378E-7</v>
      </c>
      <c r="G20089">
        <v>280417</v>
      </c>
      <c r="H20089">
        <v>14398809</v>
      </c>
      <c r="I20089">
        <v>1156166</v>
      </c>
      <c r="J20089">
        <v>4</v>
      </c>
    </row>
    <row r="20090" spans="1:10" x14ac:dyDescent="0.25">
      <c r="A20090" t="s">
        <v>219</v>
      </c>
      <c r="B20090" s="1" t="str">
        <f>HYPERLINK("http://vindexsystems.com","vindexsystems.com")</f>
        <v>vindexsystems.com</v>
      </c>
      <c r="C20090" t="s">
        <v>433</v>
      </c>
      <c r="F20090">
        <v>8.3498129287652606E-9</v>
      </c>
      <c r="G20090">
        <v>9146719</v>
      </c>
      <c r="H20090">
        <v>12267548</v>
      </c>
      <c r="I20090">
        <v>21583881</v>
      </c>
      <c r="J20090">
        <v>8</v>
      </c>
    </row>
    <row r="20091" spans="1:10" x14ac:dyDescent="0.25">
      <c r="A20091" t="s">
        <v>219</v>
      </c>
      <c r="B20091" s="1" t="str">
        <f>HYPERLINK("http://vuetechnology.com","vuetechnology.com")</f>
        <v>vuetechnology.com</v>
      </c>
      <c r="C20091" t="s">
        <v>433</v>
      </c>
      <c r="F20091">
        <v>7.16170079577501E-9</v>
      </c>
      <c r="G20091">
        <v>11845234</v>
      </c>
      <c r="H20091">
        <v>13438760</v>
      </c>
      <c r="I20091">
        <v>10263269</v>
      </c>
      <c r="J20091">
        <v>8</v>
      </c>
    </row>
    <row r="20092" spans="1:10" x14ac:dyDescent="0.25">
      <c r="A20092" t="s">
        <v>219</v>
      </c>
      <c r="B20092" s="1" t="str">
        <f>HYPERLINK("http://hitachiaircon.cz","hitachiaircon.cz")</f>
        <v>hitachiaircon.cz</v>
      </c>
      <c r="C20092" t="s">
        <v>435</v>
      </c>
      <c r="D20092" t="s">
        <v>814</v>
      </c>
      <c r="F20092">
        <v>8.2844624293647894E-9</v>
      </c>
      <c r="G20092">
        <v>9294977</v>
      </c>
      <c r="H20092">
        <v>10786481</v>
      </c>
      <c r="I20092">
        <v>38639332</v>
      </c>
      <c r="J20092">
        <v>5</v>
      </c>
    </row>
    <row r="20093" spans="1:10" x14ac:dyDescent="0.25">
      <c r="A20093" t="s">
        <v>219</v>
      </c>
      <c r="B20093" s="1" t="str">
        <f>HYPERLINK("http://varta-automotive.cz","varta-automotive.cz")</f>
        <v>varta-automotive.cz</v>
      </c>
      <c r="C20093" t="s">
        <v>435</v>
      </c>
      <c r="D20093" t="s">
        <v>814</v>
      </c>
      <c r="F20093">
        <v>5.9136195531761402E-8</v>
      </c>
      <c r="G20093">
        <v>749536</v>
      </c>
      <c r="H20093">
        <v>12346985</v>
      </c>
      <c r="I20093">
        <v>19814589</v>
      </c>
      <c r="J20093">
        <v>5</v>
      </c>
    </row>
    <row r="20094" spans="1:10" x14ac:dyDescent="0.25">
      <c r="A20094" t="s">
        <v>219</v>
      </c>
      <c r="B20094" s="1" t="str">
        <f>HYPERLINK("http://total-feuerschutz.de","total-feuerschutz.de")</f>
        <v>total-feuerschutz.de</v>
      </c>
      <c r="C20094" t="s">
        <v>436</v>
      </c>
      <c r="D20094" t="s">
        <v>815</v>
      </c>
      <c r="F20094">
        <v>9.7720617129616303E-9</v>
      </c>
      <c r="G20094">
        <v>6999076</v>
      </c>
      <c r="H20094">
        <v>12403984</v>
      </c>
      <c r="I20094">
        <v>18707112</v>
      </c>
      <c r="J20094">
        <v>7</v>
      </c>
    </row>
    <row r="20095" spans="1:10" x14ac:dyDescent="0.25">
      <c r="A20095" t="s">
        <v>219</v>
      </c>
      <c r="B20095" s="1" t="str">
        <f>HYPERLINK("http://varta-automotive.de","varta-automotive.de")</f>
        <v>varta-automotive.de</v>
      </c>
      <c r="C20095" t="s">
        <v>436</v>
      </c>
      <c r="D20095" t="s">
        <v>815</v>
      </c>
      <c r="F20095">
        <v>5.75144378990805E-8</v>
      </c>
      <c r="G20095">
        <v>775108</v>
      </c>
      <c r="H20095">
        <v>14089441</v>
      </c>
      <c r="I20095">
        <v>2753990</v>
      </c>
      <c r="J20095">
        <v>5</v>
      </c>
    </row>
    <row r="20096" spans="1:10" x14ac:dyDescent="0.25">
      <c r="A20096" t="s">
        <v>219</v>
      </c>
      <c r="B20096" s="1" t="str">
        <f>HYPERLINK("http://varta-automotive.dk","varta-automotive.dk")</f>
        <v>varta-automotive.dk</v>
      </c>
      <c r="C20096" t="s">
        <v>437</v>
      </c>
      <c r="D20096" t="s">
        <v>816</v>
      </c>
      <c r="F20096">
        <v>2.8092830558728999E-8</v>
      </c>
      <c r="G20096">
        <v>1831464</v>
      </c>
      <c r="H20096">
        <v>10820212</v>
      </c>
      <c r="I20096">
        <v>37620559</v>
      </c>
      <c r="J20096">
        <v>5</v>
      </c>
    </row>
    <row r="20097" spans="1:10" x14ac:dyDescent="0.25">
      <c r="A20097" t="s">
        <v>219</v>
      </c>
      <c r="B20097" s="1" t="str">
        <f>HYPERLINK("http://hitachiaircon.es","hitachiaircon.es")</f>
        <v>hitachiaircon.es</v>
      </c>
      <c r="C20097" t="s">
        <v>443</v>
      </c>
      <c r="D20097" t="s">
        <v>822</v>
      </c>
      <c r="F20097">
        <v>2.52373308529434E-8</v>
      </c>
      <c r="G20097">
        <v>2045158</v>
      </c>
      <c r="H20097">
        <v>12697059</v>
      </c>
      <c r="I20097">
        <v>15375993</v>
      </c>
      <c r="J20097">
        <v>5</v>
      </c>
    </row>
    <row r="20098" spans="1:10" x14ac:dyDescent="0.25">
      <c r="A20098" t="s">
        <v>219</v>
      </c>
      <c r="B20098" s="1" t="str">
        <f>HYPERLINK("http://johnsoncontrols.es","johnsoncontrols.es")</f>
        <v>johnsoncontrols.es</v>
      </c>
      <c r="C20098" t="s">
        <v>443</v>
      </c>
      <c r="D20098" t="s">
        <v>822</v>
      </c>
      <c r="F20098">
        <v>1.07993860772619E-8</v>
      </c>
      <c r="G20098">
        <v>6021326</v>
      </c>
      <c r="H20098">
        <v>13765755</v>
      </c>
      <c r="I20098">
        <v>7067590</v>
      </c>
      <c r="J20098">
        <v>4</v>
      </c>
    </row>
    <row r="20099" spans="1:10" x14ac:dyDescent="0.25">
      <c r="A20099" t="s">
        <v>219</v>
      </c>
      <c r="B20099" s="1" t="str">
        <f>HYPERLINK("http://varta-automotive.es","varta-automotive.es")</f>
        <v>varta-automotive.es</v>
      </c>
      <c r="C20099" t="s">
        <v>443</v>
      </c>
      <c r="D20099" t="s">
        <v>822</v>
      </c>
      <c r="F20099">
        <v>4.8425237733096102E-8</v>
      </c>
      <c r="G20099">
        <v>958758</v>
      </c>
      <c r="H20099">
        <v>12954853</v>
      </c>
      <c r="I20099">
        <v>13189438</v>
      </c>
      <c r="J20099">
        <v>5</v>
      </c>
    </row>
    <row r="20100" spans="1:10" x14ac:dyDescent="0.25">
      <c r="A20100" t="s">
        <v>219</v>
      </c>
      <c r="B20100" s="1" t="str">
        <f>HYPERLINK("http://akkukierratys.fi","akkukierratys.fi")</f>
        <v>akkukierratys.fi</v>
      </c>
      <c r="C20100" t="s">
        <v>445</v>
      </c>
      <c r="D20100" t="s">
        <v>823</v>
      </c>
      <c r="J20100">
        <v>7</v>
      </c>
    </row>
    <row r="20101" spans="1:10" x14ac:dyDescent="0.25">
      <c r="A20101" t="s">
        <v>219</v>
      </c>
      <c r="B20101" s="1" t="str">
        <f>HYPERLINK("http://powerzone.fi","powerzone.fi")</f>
        <v>powerzone.fi</v>
      </c>
      <c r="C20101" t="s">
        <v>445</v>
      </c>
      <c r="D20101" t="s">
        <v>823</v>
      </c>
      <c r="J20101">
        <v>7</v>
      </c>
    </row>
    <row r="20102" spans="1:10" x14ac:dyDescent="0.25">
      <c r="A20102" t="s">
        <v>219</v>
      </c>
      <c r="B20102" s="1" t="str">
        <f>HYPERLINK("http://varta-automotive.fi","varta-automotive.fi")</f>
        <v>varta-automotive.fi</v>
      </c>
      <c r="C20102" t="s">
        <v>445</v>
      </c>
      <c r="D20102" t="s">
        <v>823</v>
      </c>
      <c r="F20102">
        <v>2.7846989858351601E-8</v>
      </c>
      <c r="G20102">
        <v>1846909</v>
      </c>
      <c r="H20102">
        <v>10815699</v>
      </c>
      <c r="I20102">
        <v>37723371</v>
      </c>
      <c r="J20102">
        <v>5</v>
      </c>
    </row>
    <row r="20103" spans="1:10" x14ac:dyDescent="0.25">
      <c r="A20103" t="s">
        <v>219</v>
      </c>
      <c r="B20103" s="1" t="str">
        <f>HYPERLINK("http://varta-partner-portal.fi","varta-partner-portal.fi")</f>
        <v>varta-partner-portal.fi</v>
      </c>
      <c r="C20103" t="s">
        <v>445</v>
      </c>
      <c r="D20103" t="s">
        <v>823</v>
      </c>
      <c r="J20103">
        <v>7</v>
      </c>
    </row>
    <row r="20104" spans="1:10" x14ac:dyDescent="0.25">
      <c r="A20104" t="s">
        <v>219</v>
      </c>
      <c r="B20104" s="1" t="str">
        <f>HYPERLINK("http://varta-powerzone.fi","varta-powerzone.fi")</f>
        <v>varta-powerzone.fi</v>
      </c>
      <c r="C20104" t="s">
        <v>445</v>
      </c>
      <c r="D20104" t="s">
        <v>823</v>
      </c>
      <c r="J20104">
        <v>7</v>
      </c>
    </row>
    <row r="20105" spans="1:10" x14ac:dyDescent="0.25">
      <c r="A20105" t="s">
        <v>219</v>
      </c>
      <c r="B20105" s="1" t="str">
        <f>HYPERLINK("http://varta-startstop.fi","varta-startstop.fi")</f>
        <v>varta-startstop.fi</v>
      </c>
      <c r="C20105" t="s">
        <v>445</v>
      </c>
      <c r="D20105" t="s">
        <v>823</v>
      </c>
      <c r="J20105">
        <v>7</v>
      </c>
    </row>
    <row r="20106" spans="1:10" x14ac:dyDescent="0.25">
      <c r="A20106" t="s">
        <v>219</v>
      </c>
      <c r="B20106" s="1" t="str">
        <f>HYPERLINK("http://vartapowerzone.fi","vartapowerzone.fi")</f>
        <v>vartapowerzone.fi</v>
      </c>
      <c r="C20106" t="s">
        <v>445</v>
      </c>
      <c r="D20106" t="s">
        <v>823</v>
      </c>
      <c r="J20106">
        <v>7</v>
      </c>
    </row>
    <row r="20107" spans="1:10" x14ac:dyDescent="0.25">
      <c r="A20107" t="s">
        <v>219</v>
      </c>
      <c r="B20107" s="1" t="str">
        <f>HYPERLINK("http://varta-automotive.fr","varta-automotive.fr")</f>
        <v>varta-automotive.fr</v>
      </c>
      <c r="C20107" t="s">
        <v>446</v>
      </c>
      <c r="D20107" t="s">
        <v>824</v>
      </c>
      <c r="F20107">
        <v>2.80006604293613E-8</v>
      </c>
      <c r="G20107">
        <v>1837290</v>
      </c>
      <c r="H20107">
        <v>14073488</v>
      </c>
      <c r="I20107">
        <v>2991941</v>
      </c>
      <c r="J20107">
        <v>5</v>
      </c>
    </row>
    <row r="20108" spans="1:10" x14ac:dyDescent="0.25">
      <c r="A20108" t="s">
        <v>219</v>
      </c>
      <c r="B20108" s="1" t="str">
        <f>HYPERLINK("http://varta-automotive.gr","varta-automotive.gr")</f>
        <v>varta-automotive.gr</v>
      </c>
      <c r="C20108" t="s">
        <v>447</v>
      </c>
      <c r="D20108" t="s">
        <v>825</v>
      </c>
      <c r="F20108">
        <v>2.3469383378258199E-8</v>
      </c>
      <c r="G20108">
        <v>2218082</v>
      </c>
      <c r="H20108">
        <v>12143199</v>
      </c>
      <c r="I20108">
        <v>24799795</v>
      </c>
      <c r="J20108">
        <v>5</v>
      </c>
    </row>
    <row r="20109" spans="1:10" x14ac:dyDescent="0.25">
      <c r="A20109" t="s">
        <v>219</v>
      </c>
      <c r="B20109" s="1" t="str">
        <f>HYPERLINK("http://hitachiaircon.hk","hitachiaircon.hk")</f>
        <v>hitachiaircon.hk</v>
      </c>
      <c r="C20109" t="s">
        <v>450</v>
      </c>
      <c r="D20109" t="s">
        <v>827</v>
      </c>
      <c r="F20109">
        <v>6.9052202991691802E-9</v>
      </c>
      <c r="G20109">
        <v>12605226</v>
      </c>
      <c r="H20109">
        <v>10805887</v>
      </c>
      <c r="I20109">
        <v>37988563</v>
      </c>
      <c r="J20109">
        <v>5</v>
      </c>
    </row>
    <row r="20110" spans="1:10" x14ac:dyDescent="0.25">
      <c r="A20110" t="s">
        <v>219</v>
      </c>
      <c r="B20110" s="1" t="str">
        <f>HYPERLINK("http://hitachiaircon.hu","hitachiaircon.hu")</f>
        <v>hitachiaircon.hu</v>
      </c>
      <c r="C20110" t="s">
        <v>453</v>
      </c>
      <c r="D20110" t="s">
        <v>830</v>
      </c>
      <c r="F20110">
        <v>8.0085425835946598E-9</v>
      </c>
      <c r="G20110">
        <v>9905143</v>
      </c>
      <c r="H20110">
        <v>10884586</v>
      </c>
      <c r="I20110">
        <v>36259402</v>
      </c>
      <c r="J20110">
        <v>5</v>
      </c>
    </row>
    <row r="20111" spans="1:10" x14ac:dyDescent="0.25">
      <c r="A20111" t="s">
        <v>219</v>
      </c>
      <c r="B20111" s="1" t="str">
        <f>HYPERLINK("http://varta-automotive.hu","varta-automotive.hu")</f>
        <v>varta-automotive.hu</v>
      </c>
      <c r="C20111" t="s">
        <v>453</v>
      </c>
      <c r="D20111" t="s">
        <v>830</v>
      </c>
      <c r="F20111">
        <v>2.7090802273911199E-8</v>
      </c>
      <c r="G20111">
        <v>1898378</v>
      </c>
      <c r="H20111">
        <v>10757170</v>
      </c>
      <c r="I20111">
        <v>39739680</v>
      </c>
      <c r="J20111">
        <v>5</v>
      </c>
    </row>
    <row r="20112" spans="1:10" x14ac:dyDescent="0.25">
      <c r="A20112" t="s">
        <v>219</v>
      </c>
      <c r="B20112" s="1" t="str">
        <f>HYPERLINK("http://hitachiaircon.id","hitachiaircon.id")</f>
        <v>hitachiaircon.id</v>
      </c>
      <c r="C20112" t="s">
        <v>454</v>
      </c>
      <c r="D20112" t="s">
        <v>831</v>
      </c>
      <c r="F20112">
        <v>6.7651372520752899E-9</v>
      </c>
      <c r="G20112">
        <v>13077921</v>
      </c>
      <c r="H20112">
        <v>10808939</v>
      </c>
      <c r="I20112">
        <v>37899805</v>
      </c>
      <c r="J20112">
        <v>5</v>
      </c>
    </row>
    <row r="20113" spans="1:10" x14ac:dyDescent="0.25">
      <c r="A20113" t="s">
        <v>219</v>
      </c>
      <c r="B20113" s="1" t="str">
        <f>HYPERLINK("http://adt.ie","adt.ie")</f>
        <v>adt.ie</v>
      </c>
      <c r="C20113" t="s">
        <v>455</v>
      </c>
      <c r="D20113" t="s">
        <v>832</v>
      </c>
      <c r="F20113">
        <v>5.3764095122382698E-9</v>
      </c>
      <c r="G20113">
        <v>22463015</v>
      </c>
      <c r="H20113">
        <v>10651069</v>
      </c>
      <c r="I20113">
        <v>43591173</v>
      </c>
      <c r="J20113">
        <v>7</v>
      </c>
    </row>
    <row r="20114" spans="1:10" x14ac:dyDescent="0.25">
      <c r="A20114" t="s">
        <v>219</v>
      </c>
      <c r="B20114" s="1" t="str">
        <f>HYPERLINK("http://hitachiaircon.in","hitachiaircon.in")</f>
        <v>hitachiaircon.in</v>
      </c>
      <c r="C20114" t="s">
        <v>457</v>
      </c>
      <c r="D20114" t="s">
        <v>834</v>
      </c>
      <c r="F20114">
        <v>3.1975874163746901E-8</v>
      </c>
      <c r="G20114">
        <v>1616185</v>
      </c>
      <c r="H20114">
        <v>14265487</v>
      </c>
      <c r="I20114">
        <v>1408705</v>
      </c>
      <c r="J20114">
        <v>5</v>
      </c>
    </row>
    <row r="20115" spans="1:10" x14ac:dyDescent="0.25">
      <c r="A20115" t="s">
        <v>219</v>
      </c>
      <c r="B20115" s="1" t="str">
        <f>HYPERLINK("http://johnsoncontrols.inc","johnsoncontrols.inc")</f>
        <v>johnsoncontrols.inc</v>
      </c>
      <c r="C20115" t="s">
        <v>754</v>
      </c>
      <c r="J20115">
        <v>5</v>
      </c>
    </row>
    <row r="20116" spans="1:10" x14ac:dyDescent="0.25">
      <c r="A20116" t="s">
        <v>219</v>
      </c>
      <c r="B20116" s="1" t="str">
        <f>HYPERLINK("http://hitachiaircon.it","hitachiaircon.it")</f>
        <v>hitachiaircon.it</v>
      </c>
      <c r="C20116" t="s">
        <v>459</v>
      </c>
      <c r="D20116" t="s">
        <v>835</v>
      </c>
      <c r="F20116">
        <v>1.77548479794896E-8</v>
      </c>
      <c r="G20116">
        <v>3084513</v>
      </c>
      <c r="H20116">
        <v>14125140</v>
      </c>
      <c r="I20116">
        <v>2127725</v>
      </c>
      <c r="J20116">
        <v>5</v>
      </c>
    </row>
    <row r="20117" spans="1:10" x14ac:dyDescent="0.25">
      <c r="A20117" t="s">
        <v>219</v>
      </c>
      <c r="B20117" s="1" t="str">
        <f>HYPERLINK("http://varta-automotive.it","varta-automotive.it")</f>
        <v>varta-automotive.it</v>
      </c>
      <c r="C20117" t="s">
        <v>459</v>
      </c>
      <c r="D20117" t="s">
        <v>835</v>
      </c>
      <c r="F20117">
        <v>3.3314084582505799E-8</v>
      </c>
      <c r="G20117">
        <v>1551298</v>
      </c>
      <c r="H20117">
        <v>12196910</v>
      </c>
      <c r="I20117">
        <v>23400055</v>
      </c>
      <c r="J20117">
        <v>5</v>
      </c>
    </row>
    <row r="20118" spans="1:10" x14ac:dyDescent="0.25">
      <c r="A20118" t="s">
        <v>219</v>
      </c>
      <c r="B20118" s="1" t="str">
        <f>HYPERLINK("http://johnsoncontrols.co.jp","johnsoncontrols.co.jp")</f>
        <v>johnsoncontrols.co.jp</v>
      </c>
      <c r="C20118" t="s">
        <v>461</v>
      </c>
      <c r="D20118" t="s">
        <v>837</v>
      </c>
      <c r="F20118">
        <v>8.0341851595303396E-9</v>
      </c>
      <c r="G20118">
        <v>9858923</v>
      </c>
      <c r="H20118">
        <v>14072586</v>
      </c>
      <c r="I20118">
        <v>3069811</v>
      </c>
      <c r="J20118">
        <v>2</v>
      </c>
    </row>
    <row r="20119" spans="1:10" x14ac:dyDescent="0.25">
      <c r="A20119" t="s">
        <v>219</v>
      </c>
      <c r="B20119" s="1" t="str">
        <f>HYPERLINK("http://hitachiaircon.lk","hitachiaircon.lk")</f>
        <v>hitachiaircon.lk</v>
      </c>
      <c r="C20119" t="s">
        <v>466</v>
      </c>
      <c r="D20119" t="s">
        <v>842</v>
      </c>
      <c r="J20119">
        <v>5</v>
      </c>
    </row>
    <row r="20120" spans="1:10" x14ac:dyDescent="0.25">
      <c r="A20120" t="s">
        <v>219</v>
      </c>
      <c r="B20120" s="1" t="str">
        <f>HYPERLINK("http://adt.com.mx","adt.com.mx")</f>
        <v>adt.com.mx</v>
      </c>
      <c r="C20120" t="s">
        <v>471</v>
      </c>
      <c r="D20120" t="s">
        <v>847</v>
      </c>
      <c r="F20120">
        <v>7.3384692186403E-9</v>
      </c>
      <c r="G20120">
        <v>11387521</v>
      </c>
      <c r="H20120">
        <v>13764870</v>
      </c>
      <c r="I20120">
        <v>7178002</v>
      </c>
      <c r="J20120">
        <v>3</v>
      </c>
    </row>
    <row r="20121" spans="1:10" x14ac:dyDescent="0.25">
      <c r="A20121" t="s">
        <v>219</v>
      </c>
      <c r="B20121" s="1" t="str">
        <f>HYPERLINK("http://hitachiaircon.my","hitachiaircon.my")</f>
        <v>hitachiaircon.my</v>
      </c>
      <c r="C20121" t="s">
        <v>472</v>
      </c>
      <c r="D20121" t="s">
        <v>848</v>
      </c>
      <c r="F20121">
        <v>7.2870641396414702E-9</v>
      </c>
      <c r="G20121">
        <v>11512073</v>
      </c>
      <c r="H20121">
        <v>10642431</v>
      </c>
      <c r="I20121">
        <v>43717163</v>
      </c>
      <c r="J20121">
        <v>5</v>
      </c>
    </row>
    <row r="20122" spans="1:10" x14ac:dyDescent="0.25">
      <c r="A20122" t="s">
        <v>219</v>
      </c>
      <c r="B20122" s="1" t="str">
        <f>HYPERLINK("http://johnsoncontrols.nl","johnsoncontrols.nl")</f>
        <v>johnsoncontrols.nl</v>
      </c>
      <c r="C20122" t="s">
        <v>477</v>
      </c>
      <c r="D20122" t="s">
        <v>852</v>
      </c>
      <c r="F20122">
        <v>1.07311256372775E-8</v>
      </c>
      <c r="G20122">
        <v>6074906</v>
      </c>
      <c r="H20122">
        <v>10967008</v>
      </c>
      <c r="I20122">
        <v>34203646</v>
      </c>
      <c r="J20122">
        <v>5</v>
      </c>
    </row>
    <row r="20123" spans="1:10" x14ac:dyDescent="0.25">
      <c r="A20123" t="s">
        <v>219</v>
      </c>
      <c r="B20123" s="1" t="str">
        <f>HYPERLINK("http://varta-automotive.nl","varta-automotive.nl")</f>
        <v>varta-automotive.nl</v>
      </c>
      <c r="C20123" t="s">
        <v>477</v>
      </c>
      <c r="D20123" t="s">
        <v>852</v>
      </c>
      <c r="F20123">
        <v>3.3899571612270399E-8</v>
      </c>
      <c r="G20123">
        <v>1526919</v>
      </c>
      <c r="H20123">
        <v>10985755</v>
      </c>
      <c r="I20123">
        <v>33826171</v>
      </c>
      <c r="J20123">
        <v>5</v>
      </c>
    </row>
    <row r="20124" spans="1:10" x14ac:dyDescent="0.25">
      <c r="A20124" t="s">
        <v>219</v>
      </c>
      <c r="B20124" s="1" t="str">
        <f>HYPERLINK("http://varta-automotive.no","varta-automotive.no")</f>
        <v>varta-automotive.no</v>
      </c>
      <c r="C20124" t="s">
        <v>478</v>
      </c>
      <c r="D20124" t="s">
        <v>853</v>
      </c>
      <c r="F20124">
        <v>2.5151434980873799E-8</v>
      </c>
      <c r="G20124">
        <v>2053172</v>
      </c>
      <c r="H20124">
        <v>10739744</v>
      </c>
      <c r="I20124">
        <v>40443613</v>
      </c>
      <c r="J20124">
        <v>5</v>
      </c>
    </row>
    <row r="20125" spans="1:10" x14ac:dyDescent="0.25">
      <c r="A20125" t="s">
        <v>219</v>
      </c>
      <c r="B20125" s="1" t="str">
        <f>HYPERLINK("http://hitachiaircon.co.nz","hitachiaircon.co.nz")</f>
        <v>hitachiaircon.co.nz</v>
      </c>
      <c r="C20125" t="s">
        <v>479</v>
      </c>
      <c r="D20125" t="s">
        <v>854</v>
      </c>
      <c r="F20125">
        <v>7.2634636734033896E-9</v>
      </c>
      <c r="G20125">
        <v>11570255</v>
      </c>
      <c r="H20125">
        <v>10831354</v>
      </c>
      <c r="I20125">
        <v>37362435</v>
      </c>
      <c r="J20125">
        <v>5</v>
      </c>
    </row>
    <row r="20126" spans="1:10" x14ac:dyDescent="0.25">
      <c r="A20126" t="s">
        <v>219</v>
      </c>
      <c r="B20126" s="1" t="str">
        <f>HYPERLINK("http://hitachiaircon.pl","hitachiaircon.pl")</f>
        <v>hitachiaircon.pl</v>
      </c>
      <c r="C20126" t="s">
        <v>486</v>
      </c>
      <c r="D20126" t="s">
        <v>860</v>
      </c>
      <c r="F20126">
        <v>9.0145238986892103E-9</v>
      </c>
      <c r="G20126">
        <v>7970216</v>
      </c>
      <c r="H20126">
        <v>10664894</v>
      </c>
      <c r="I20126">
        <v>43155344</v>
      </c>
      <c r="J20126">
        <v>5</v>
      </c>
    </row>
    <row r="20127" spans="1:10" x14ac:dyDescent="0.25">
      <c r="A20127" t="s">
        <v>219</v>
      </c>
      <c r="B20127" s="1" t="str">
        <f>HYPERLINK("http://varta-automotive.pl","varta-automotive.pl")</f>
        <v>varta-automotive.pl</v>
      </c>
      <c r="C20127" t="s">
        <v>486</v>
      </c>
      <c r="D20127" t="s">
        <v>860</v>
      </c>
      <c r="F20127">
        <v>5.7769492223153203E-8</v>
      </c>
      <c r="G20127">
        <v>771150</v>
      </c>
      <c r="H20127">
        <v>12362402</v>
      </c>
      <c r="I20127">
        <v>19541429</v>
      </c>
      <c r="J20127">
        <v>5</v>
      </c>
    </row>
    <row r="20128" spans="1:10" x14ac:dyDescent="0.25">
      <c r="A20128" t="s">
        <v>219</v>
      </c>
      <c r="B20128" s="1" t="str">
        <f>HYPERLINK("http://varta-automotive.pt","varta-automotive.pt")</f>
        <v>varta-automotive.pt</v>
      </c>
      <c r="C20128" t="s">
        <v>488</v>
      </c>
      <c r="D20128" t="s">
        <v>862</v>
      </c>
      <c r="F20128">
        <v>2.4498153064575901E-8</v>
      </c>
      <c r="G20128">
        <v>2114805</v>
      </c>
      <c r="H20128">
        <v>12137895</v>
      </c>
      <c r="I20128">
        <v>24927346</v>
      </c>
      <c r="J20128">
        <v>5</v>
      </c>
    </row>
    <row r="20129" spans="1:10" x14ac:dyDescent="0.25">
      <c r="A20129" t="s">
        <v>219</v>
      </c>
      <c r="B20129" s="1" t="str">
        <f>HYPERLINK("http://varta-automotive.ro","varta-automotive.ro")</f>
        <v>varta-automotive.ro</v>
      </c>
      <c r="C20129" t="s">
        <v>491</v>
      </c>
      <c r="D20129" t="s">
        <v>865</v>
      </c>
      <c r="F20129">
        <v>2.5287075918943699E-8</v>
      </c>
      <c r="G20129">
        <v>2040739</v>
      </c>
      <c r="H20129">
        <v>11450014</v>
      </c>
      <c r="I20129">
        <v>30118005</v>
      </c>
      <c r="J20129">
        <v>5</v>
      </c>
    </row>
    <row r="20130" spans="1:10" x14ac:dyDescent="0.25">
      <c r="A20130" t="s">
        <v>219</v>
      </c>
      <c r="B20130" s="1" t="str">
        <f>HYPERLINK("http://varta-automotive.rs","varta-automotive.rs")</f>
        <v>varta-automotive.rs</v>
      </c>
      <c r="C20130" t="s">
        <v>492</v>
      </c>
      <c r="D20130" t="s">
        <v>866</v>
      </c>
      <c r="F20130">
        <v>2.35773852675362E-8</v>
      </c>
      <c r="G20130">
        <v>2206348</v>
      </c>
      <c r="H20130">
        <v>11009446</v>
      </c>
      <c r="I20130">
        <v>33415064</v>
      </c>
      <c r="J20130">
        <v>5</v>
      </c>
    </row>
    <row r="20131" spans="1:10" x14ac:dyDescent="0.25">
      <c r="A20131" t="s">
        <v>219</v>
      </c>
      <c r="B20131" s="1" t="str">
        <f>HYPERLINK("http://hitachiaircon.ru","hitachiaircon.ru")</f>
        <v>hitachiaircon.ru</v>
      </c>
      <c r="C20131" t="s">
        <v>493</v>
      </c>
      <c r="D20131" t="s">
        <v>867</v>
      </c>
      <c r="F20131">
        <v>1.49296003952986E-8</v>
      </c>
      <c r="G20131">
        <v>3862823</v>
      </c>
      <c r="H20131">
        <v>12046476</v>
      </c>
      <c r="I20131">
        <v>27337761</v>
      </c>
      <c r="J20131">
        <v>5</v>
      </c>
    </row>
    <row r="20132" spans="1:10" x14ac:dyDescent="0.25">
      <c r="A20132" t="s">
        <v>219</v>
      </c>
      <c r="B20132" s="1" t="str">
        <f>HYPERLINK("http://varta-automotive.ru","varta-automotive.ru")</f>
        <v>varta-automotive.ru</v>
      </c>
      <c r="C20132" t="s">
        <v>493</v>
      </c>
      <c r="D20132" t="s">
        <v>867</v>
      </c>
      <c r="F20132">
        <v>3.8416498941060703E-8</v>
      </c>
      <c r="G20132">
        <v>1343528</v>
      </c>
      <c r="H20132">
        <v>12915064</v>
      </c>
      <c r="I20132">
        <v>13519690</v>
      </c>
      <c r="J20132">
        <v>5</v>
      </c>
    </row>
    <row r="20133" spans="1:10" x14ac:dyDescent="0.25">
      <c r="A20133" t="s">
        <v>219</v>
      </c>
      <c r="B20133" s="1" t="str">
        <f>HYPERLINK("http://varta-automotive.se","varta-automotive.se")</f>
        <v>varta-automotive.se</v>
      </c>
      <c r="C20133" t="s">
        <v>495</v>
      </c>
      <c r="D20133" t="s">
        <v>869</v>
      </c>
      <c r="F20133">
        <v>2.75992268505787E-8</v>
      </c>
      <c r="G20133">
        <v>1862875</v>
      </c>
      <c r="H20133">
        <v>14071864</v>
      </c>
      <c r="I20133">
        <v>3289904</v>
      </c>
      <c r="J20133">
        <v>5</v>
      </c>
    </row>
    <row r="20134" spans="1:10" x14ac:dyDescent="0.25">
      <c r="A20134" t="s">
        <v>219</v>
      </c>
      <c r="B20134" s="1" t="str">
        <f>HYPERLINK("http://hitachiaircon.sg","hitachiaircon.sg")</f>
        <v>hitachiaircon.sg</v>
      </c>
      <c r="C20134" t="s">
        <v>496</v>
      </c>
      <c r="D20134" t="s">
        <v>870</v>
      </c>
      <c r="F20134">
        <v>7.2494736342314003E-9</v>
      </c>
      <c r="G20134">
        <v>11607068</v>
      </c>
      <c r="H20134">
        <v>10642428</v>
      </c>
      <c r="I20134">
        <v>43717208</v>
      </c>
      <c r="J20134">
        <v>5</v>
      </c>
    </row>
    <row r="20135" spans="1:10" x14ac:dyDescent="0.25">
      <c r="A20135" t="s">
        <v>219</v>
      </c>
      <c r="B20135" s="1" t="str">
        <f>HYPERLINK("http://johnsoncontrols.sg","johnsoncontrols.sg")</f>
        <v>johnsoncontrols.sg</v>
      </c>
      <c r="C20135" t="s">
        <v>496</v>
      </c>
      <c r="D20135" t="s">
        <v>870</v>
      </c>
      <c r="F20135">
        <v>6.4979436120669504E-9</v>
      </c>
      <c r="G20135">
        <v>14086679</v>
      </c>
      <c r="H20135">
        <v>13164646</v>
      </c>
      <c r="I20135">
        <v>11745982</v>
      </c>
      <c r="J20135">
        <v>2</v>
      </c>
    </row>
    <row r="20136" spans="1:10" x14ac:dyDescent="0.25">
      <c r="A20136" t="s">
        <v>219</v>
      </c>
      <c r="B20136" s="1" t="str">
        <f>HYPERLINK("http://varta-automotive.si","varta-automotive.si")</f>
        <v>varta-automotive.si</v>
      </c>
      <c r="C20136" t="s">
        <v>497</v>
      </c>
      <c r="D20136" t="s">
        <v>871</v>
      </c>
      <c r="F20136">
        <v>2.2780632683347098E-8</v>
      </c>
      <c r="G20136">
        <v>2297964</v>
      </c>
      <c r="H20136">
        <v>11037948</v>
      </c>
      <c r="I20136">
        <v>32951934</v>
      </c>
      <c r="J20136">
        <v>5</v>
      </c>
    </row>
    <row r="20137" spans="1:10" x14ac:dyDescent="0.25">
      <c r="A20137" t="s">
        <v>219</v>
      </c>
      <c r="B20137" s="1" t="str">
        <f>HYPERLINK("http://hitachiaircon.co.th","hitachiaircon.co.th")</f>
        <v>hitachiaircon.co.th</v>
      </c>
      <c r="C20137" t="s">
        <v>500</v>
      </c>
      <c r="D20137" t="s">
        <v>874</v>
      </c>
      <c r="F20137">
        <v>7.3753828521157803E-9</v>
      </c>
      <c r="G20137">
        <v>11301514</v>
      </c>
      <c r="H20137">
        <v>10642429</v>
      </c>
      <c r="I20137">
        <v>43717194</v>
      </c>
      <c r="J20137">
        <v>5</v>
      </c>
    </row>
    <row r="20138" spans="1:10" x14ac:dyDescent="0.25">
      <c r="A20138" t="s">
        <v>219</v>
      </c>
      <c r="B20138" s="1" t="str">
        <f>HYPERLINK("http://hitachiaircon.com.tw","hitachiaircon.com.tw")</f>
        <v>hitachiaircon.com.tw</v>
      </c>
      <c r="C20138" t="s">
        <v>504</v>
      </c>
      <c r="D20138" t="s">
        <v>878</v>
      </c>
      <c r="F20138">
        <v>6.6629711657045001E-9</v>
      </c>
      <c r="G20138">
        <v>13438060</v>
      </c>
      <c r="H20138">
        <v>10433684</v>
      </c>
      <c r="I20138">
        <v>52957794</v>
      </c>
      <c r="J20138">
        <v>5</v>
      </c>
    </row>
    <row r="20139" spans="1:10" x14ac:dyDescent="0.25">
      <c r="A20139" t="s">
        <v>219</v>
      </c>
      <c r="B20139" s="1" t="str">
        <f>HYPERLINK("http://adt.co.uk","adt.co.uk")</f>
        <v>adt.co.uk</v>
      </c>
      <c r="C20139" t="s">
        <v>506</v>
      </c>
      <c r="D20139" t="s">
        <v>880</v>
      </c>
      <c r="E20139">
        <v>421852</v>
      </c>
      <c r="F20139">
        <v>3.9903243674506403E-8</v>
      </c>
      <c r="G20139">
        <v>1295081</v>
      </c>
      <c r="H20139">
        <v>14581454</v>
      </c>
      <c r="I20139">
        <v>708296</v>
      </c>
      <c r="J20139">
        <v>6</v>
      </c>
    </row>
    <row r="20140" spans="1:10" x14ac:dyDescent="0.25">
      <c r="A20140" t="s">
        <v>219</v>
      </c>
      <c r="B20140" s="1" t="str">
        <f>HYPERLINK("http://hitachiaircon.us","hitachiaircon.us")</f>
        <v>hitachiaircon.us</v>
      </c>
      <c r="C20140" t="s">
        <v>522</v>
      </c>
      <c r="D20140" t="s">
        <v>891</v>
      </c>
      <c r="J20140">
        <v>5</v>
      </c>
    </row>
    <row r="20141" spans="1:10" x14ac:dyDescent="0.25">
      <c r="A20141" t="s">
        <v>219</v>
      </c>
      <c r="B20141" s="1" t="str">
        <f>HYPERLINK("http://hitachiaircon.vn","hitachiaircon.vn")</f>
        <v>hitachiaircon.vn</v>
      </c>
      <c r="C20141" t="s">
        <v>509</v>
      </c>
      <c r="D20141" t="s">
        <v>883</v>
      </c>
      <c r="F20141">
        <v>1.09472294494996E-8</v>
      </c>
      <c r="G20141">
        <v>5905523</v>
      </c>
      <c r="H20141">
        <v>12780996</v>
      </c>
      <c r="I20141">
        <v>14744833</v>
      </c>
      <c r="J20141">
        <v>5</v>
      </c>
    </row>
    <row r="20142" spans="1:10" x14ac:dyDescent="0.25">
      <c r="A20142" t="s">
        <v>220</v>
      </c>
      <c r="B20142" s="1" t="str">
        <f>HYPERLINK("http://actontv.com","actontv.com")</f>
        <v>actontv.com</v>
      </c>
      <c r="C20142" t="s">
        <v>433</v>
      </c>
      <c r="F20142">
        <v>2.1666787801137099E-8</v>
      </c>
      <c r="G20142">
        <v>2427901</v>
      </c>
      <c r="H20142">
        <v>14139522</v>
      </c>
      <c r="I20142">
        <v>1940084</v>
      </c>
      <c r="J20142">
        <v>5</v>
      </c>
    </row>
    <row r="20143" spans="1:10" x14ac:dyDescent="0.25">
      <c r="A20143" t="s">
        <v>220</v>
      </c>
      <c r="B20143" s="1" t="str">
        <f>HYPERLINK("http://au.com","au.com")</f>
        <v>au.com</v>
      </c>
      <c r="C20143" t="s">
        <v>433</v>
      </c>
      <c r="E20143">
        <v>9603</v>
      </c>
      <c r="F20143">
        <v>4.4839333021490001E-6</v>
      </c>
      <c r="G20143">
        <v>7852</v>
      </c>
      <c r="H20143">
        <v>17462020</v>
      </c>
      <c r="I20143">
        <v>15496</v>
      </c>
      <c r="J20143">
        <v>2</v>
      </c>
    </row>
    <row r="20144" spans="1:10" x14ac:dyDescent="0.25">
      <c r="A20144" t="s">
        <v>220</v>
      </c>
      <c r="B20144" s="1" t="str">
        <f>HYPERLINK("http://au-financial.com","au-financial.com")</f>
        <v>au-financial.com</v>
      </c>
      <c r="C20144" t="s">
        <v>433</v>
      </c>
      <c r="F20144">
        <v>2.1661276561591499E-8</v>
      </c>
      <c r="G20144">
        <v>2428609</v>
      </c>
      <c r="H20144">
        <v>12945347</v>
      </c>
      <c r="I20144">
        <v>13243366</v>
      </c>
      <c r="J20144">
        <v>3</v>
      </c>
    </row>
    <row r="20145" spans="1:10" x14ac:dyDescent="0.25">
      <c r="A20145" t="s">
        <v>220</v>
      </c>
      <c r="B20145" s="1" t="str">
        <f>HYPERLINK("http://au-market.com","au-market.com")</f>
        <v>au-market.com</v>
      </c>
      <c r="C20145" t="s">
        <v>433</v>
      </c>
      <c r="E20145">
        <v>917762</v>
      </c>
      <c r="F20145">
        <v>5.63045813102732E-9</v>
      </c>
      <c r="G20145">
        <v>19571284</v>
      </c>
      <c r="H20145">
        <v>12315757</v>
      </c>
      <c r="I20145">
        <v>20501719</v>
      </c>
      <c r="J20145">
        <v>2</v>
      </c>
    </row>
    <row r="20146" spans="1:10" x14ac:dyDescent="0.25">
      <c r="A20146" t="s">
        <v>220</v>
      </c>
      <c r="B20146" s="1" t="str">
        <f>HYPERLINK("http://dbjeurope.com","dbjeurope.com")</f>
        <v>dbjeurope.com</v>
      </c>
      <c r="C20146" t="s">
        <v>433</v>
      </c>
      <c r="J20146">
        <v>4</v>
      </c>
    </row>
    <row r="20147" spans="1:10" x14ac:dyDescent="0.25">
      <c r="A20147" t="s">
        <v>220</v>
      </c>
      <c r="B20147" s="1" t="str">
        <f>HYPERLINK("http://h2owireless.com","h2owireless.com")</f>
        <v>h2owireless.com</v>
      </c>
      <c r="C20147" t="s">
        <v>433</v>
      </c>
      <c r="E20147">
        <v>150120</v>
      </c>
      <c r="F20147">
        <v>3.8055832947445602E-7</v>
      </c>
      <c r="G20147">
        <v>98307</v>
      </c>
      <c r="H20147">
        <v>14431284</v>
      </c>
      <c r="I20147">
        <v>1073303</v>
      </c>
      <c r="J20147">
        <v>4</v>
      </c>
    </row>
    <row r="20148" spans="1:10" x14ac:dyDescent="0.25">
      <c r="A20148" t="s">
        <v>220</v>
      </c>
      <c r="B20148" s="1" t="str">
        <f>HYPERLINK("http://h2owirelessnow.com","h2owirelessnow.com")</f>
        <v>h2owirelessnow.com</v>
      </c>
      <c r="C20148" t="s">
        <v>433</v>
      </c>
      <c r="E20148">
        <v>840019</v>
      </c>
      <c r="F20148">
        <v>3.7726509564438501E-7</v>
      </c>
      <c r="G20148">
        <v>99220</v>
      </c>
      <c r="H20148">
        <v>17067840</v>
      </c>
      <c r="I20148">
        <v>71648</v>
      </c>
      <c r="J20148">
        <v>3</v>
      </c>
    </row>
    <row r="20149" spans="1:10" x14ac:dyDescent="0.25">
      <c r="A20149" t="s">
        <v>220</v>
      </c>
      <c r="B20149" s="1" t="str">
        <f>HYPERLINK("http://k-evolva.com","k-evolva.com")</f>
        <v>k-evolva.com</v>
      </c>
      <c r="C20149" t="s">
        <v>433</v>
      </c>
      <c r="F20149">
        <v>1.4658221838027899E-7</v>
      </c>
      <c r="G20149">
        <v>265601</v>
      </c>
      <c r="H20149">
        <v>14358602</v>
      </c>
      <c r="I20149">
        <v>1305260</v>
      </c>
      <c r="J20149">
        <v>3</v>
      </c>
    </row>
    <row r="20150" spans="1:10" x14ac:dyDescent="0.25">
      <c r="A20150" t="s">
        <v>220</v>
      </c>
      <c r="B20150" s="1" t="str">
        <f>HYPERLINK("http://kddi.com","kddi.com")</f>
        <v>kddi.com</v>
      </c>
      <c r="C20150" t="s">
        <v>433</v>
      </c>
      <c r="E20150">
        <v>12740</v>
      </c>
      <c r="F20150">
        <v>4.7322651694224396E-6</v>
      </c>
      <c r="G20150">
        <v>7414</v>
      </c>
      <c r="H20150">
        <v>17795668</v>
      </c>
      <c r="I20150">
        <v>5651</v>
      </c>
      <c r="J20150">
        <v>1</v>
      </c>
    </row>
    <row r="20151" spans="1:10" x14ac:dyDescent="0.25">
      <c r="A20151" t="s">
        <v>220</v>
      </c>
      <c r="B20151" s="1" t="str">
        <f>HYPERLINK("http://kddimobilesim.com","kddimobilesim.com")</f>
        <v>kddimobilesim.com</v>
      </c>
      <c r="C20151" t="s">
        <v>433</v>
      </c>
      <c r="F20151">
        <v>6.6260840577010097E-9</v>
      </c>
      <c r="G20151">
        <v>13574767</v>
      </c>
      <c r="H20151">
        <v>12770026</v>
      </c>
      <c r="I20151">
        <v>14840888</v>
      </c>
      <c r="J20151">
        <v>3</v>
      </c>
    </row>
    <row r="20152" spans="1:10" x14ac:dyDescent="0.25">
      <c r="A20152" t="s">
        <v>220</v>
      </c>
      <c r="B20152" s="1" t="str">
        <f>HYPERLINK("http://kuc-s.com","kuc-s.com")</f>
        <v>kuc-s.com</v>
      </c>
      <c r="C20152" t="s">
        <v>433</v>
      </c>
      <c r="J20152">
        <v>2</v>
      </c>
    </row>
    <row r="20153" spans="1:10" x14ac:dyDescent="0.25">
      <c r="A20153" t="s">
        <v>220</v>
      </c>
      <c r="B20153" s="1" t="str">
        <f>HYPERLINK("http://telehouse.com","telehouse.com")</f>
        <v>telehouse.com</v>
      </c>
      <c r="C20153" t="s">
        <v>433</v>
      </c>
      <c r="F20153">
        <v>7.0460513470617506E-8</v>
      </c>
      <c r="G20153">
        <v>600874</v>
      </c>
      <c r="H20153">
        <v>14152909</v>
      </c>
      <c r="I20153">
        <v>1867855</v>
      </c>
      <c r="J20153">
        <v>4</v>
      </c>
    </row>
    <row r="20154" spans="1:10" x14ac:dyDescent="0.25">
      <c r="A20154" t="s">
        <v>220</v>
      </c>
      <c r="B20154" s="1" t="str">
        <f>HYPERLINK("http://zaqzaq-zaq.com","zaqzaq-zaq.com")</f>
        <v>zaqzaq-zaq.com</v>
      </c>
      <c r="C20154" t="s">
        <v>433</v>
      </c>
      <c r="J20154">
        <v>5</v>
      </c>
    </row>
    <row r="20155" spans="1:10" x14ac:dyDescent="0.25">
      <c r="A20155" t="s">
        <v>220</v>
      </c>
      <c r="B20155" s="1" t="str">
        <f>HYPERLINK("http://telehouse.fr","telehouse.fr")</f>
        <v>telehouse.fr</v>
      </c>
      <c r="C20155" t="s">
        <v>446</v>
      </c>
      <c r="D20155" t="s">
        <v>824</v>
      </c>
      <c r="F20155">
        <v>3.9812194002290399E-8</v>
      </c>
      <c r="G20155">
        <v>1297746</v>
      </c>
      <c r="H20155">
        <v>14224915</v>
      </c>
      <c r="I20155">
        <v>1680500</v>
      </c>
      <c r="J20155">
        <v>4</v>
      </c>
    </row>
    <row r="20156" spans="1:10" x14ac:dyDescent="0.25">
      <c r="A20156" t="s">
        <v>220</v>
      </c>
      <c r="B20156" s="1" t="str">
        <f>HYPERLINK("http://kddi.com.hk","kddi.com.hk")</f>
        <v>kddi.com.hk</v>
      </c>
      <c r="C20156" t="s">
        <v>450</v>
      </c>
      <c r="D20156" t="s">
        <v>827</v>
      </c>
      <c r="F20156">
        <v>7.9131437891249794E-9</v>
      </c>
      <c r="G20156">
        <v>10086088</v>
      </c>
      <c r="H20156">
        <v>14073021</v>
      </c>
      <c r="I20156">
        <v>3023915</v>
      </c>
      <c r="J20156">
        <v>2</v>
      </c>
    </row>
    <row r="20157" spans="1:10" x14ac:dyDescent="0.25">
      <c r="A20157" t="s">
        <v>220</v>
      </c>
      <c r="B20157" s="1" t="str">
        <f>HYPERLINK("http://telehouse.com.hk","telehouse.com.hk")</f>
        <v>telehouse.com.hk</v>
      </c>
      <c r="C20157" t="s">
        <v>450</v>
      </c>
      <c r="D20157" t="s">
        <v>827</v>
      </c>
      <c r="F20157">
        <v>7.3257283798787803E-9</v>
      </c>
      <c r="G20157">
        <v>11417644</v>
      </c>
      <c r="H20157">
        <v>12504736</v>
      </c>
      <c r="I20157">
        <v>17298512</v>
      </c>
      <c r="J20157">
        <v>6</v>
      </c>
    </row>
    <row r="20158" spans="1:10" x14ac:dyDescent="0.25">
      <c r="A20158" t="s">
        <v>220</v>
      </c>
      <c r="B20158" s="1" t="str">
        <f>HYPERLINK("http://0962.jp","0962.jp")</f>
        <v>0962.jp</v>
      </c>
      <c r="C20158" t="s">
        <v>461</v>
      </c>
      <c r="D20158" t="s">
        <v>837</v>
      </c>
      <c r="F20158">
        <v>1.00720383747053E-8</v>
      </c>
      <c r="G20158">
        <v>6679908</v>
      </c>
      <c r="H20158">
        <v>13318479</v>
      </c>
      <c r="I20158">
        <v>10752192</v>
      </c>
      <c r="J20158">
        <v>2</v>
      </c>
    </row>
    <row r="20159" spans="1:10" x14ac:dyDescent="0.25">
      <c r="A20159" t="s">
        <v>220</v>
      </c>
      <c r="B20159" s="1" t="str">
        <f>HYPERLINK("http://zaq.ad.jp","zaq.ad.jp")</f>
        <v>zaq.ad.jp</v>
      </c>
      <c r="C20159" t="s">
        <v>461</v>
      </c>
      <c r="D20159" t="s">
        <v>837</v>
      </c>
      <c r="E20159">
        <v>76540</v>
      </c>
      <c r="F20159">
        <v>4.44380996400719E-9</v>
      </c>
      <c r="G20159">
        <v>79637642</v>
      </c>
      <c r="H20159">
        <v>10351910</v>
      </c>
      <c r="I20159">
        <v>56143401</v>
      </c>
      <c r="J20159">
        <v>5</v>
      </c>
    </row>
    <row r="20160" spans="1:10" x14ac:dyDescent="0.25">
      <c r="A20160" t="s">
        <v>220</v>
      </c>
      <c r="B20160" s="1" t="str">
        <f>HYPERLINK("http://auone.jp","auone.jp")</f>
        <v>auone.jp</v>
      </c>
      <c r="C20160" t="s">
        <v>461</v>
      </c>
      <c r="D20160" t="s">
        <v>837</v>
      </c>
      <c r="E20160">
        <v>9333</v>
      </c>
      <c r="F20160">
        <v>4.4982423534124502E-6</v>
      </c>
      <c r="G20160">
        <v>7833</v>
      </c>
      <c r="H20160">
        <v>17531822</v>
      </c>
      <c r="I20160">
        <v>12003</v>
      </c>
      <c r="J20160">
        <v>2</v>
      </c>
    </row>
    <row r="20161" spans="1:10" x14ac:dyDescent="0.25">
      <c r="A20161" t="s">
        <v>220</v>
      </c>
      <c r="B20161" s="1" t="str">
        <f>HYPERLINK("http://bcdn.jp","bcdn.jp")</f>
        <v>bcdn.jp</v>
      </c>
      <c r="C20161" t="s">
        <v>461</v>
      </c>
      <c r="D20161" t="s">
        <v>837</v>
      </c>
      <c r="F20161">
        <v>6.6849923168161401E-9</v>
      </c>
      <c r="G20161">
        <v>13356347</v>
      </c>
      <c r="H20161">
        <v>12653507</v>
      </c>
      <c r="I20161">
        <v>15777219</v>
      </c>
      <c r="J20161">
        <v>2</v>
      </c>
    </row>
    <row r="20162" spans="1:10" x14ac:dyDescent="0.25">
      <c r="A20162" t="s">
        <v>220</v>
      </c>
      <c r="B20162" s="1" t="str">
        <f>HYPERLINK("http://biglobe.jp","biglobe.jp")</f>
        <v>biglobe.jp</v>
      </c>
      <c r="C20162" t="s">
        <v>461</v>
      </c>
      <c r="D20162" t="s">
        <v>837</v>
      </c>
      <c r="E20162">
        <v>500401</v>
      </c>
      <c r="F20162">
        <v>5.0209902554010503E-9</v>
      </c>
      <c r="G20162">
        <v>28876639</v>
      </c>
      <c r="H20162">
        <v>12634742</v>
      </c>
      <c r="I20162">
        <v>15919213</v>
      </c>
      <c r="J20162">
        <v>3</v>
      </c>
    </row>
    <row r="20163" spans="1:10" x14ac:dyDescent="0.25">
      <c r="A20163" t="s">
        <v>220</v>
      </c>
      <c r="B20163" s="1" t="str">
        <f>HYPERLINK("http://biglobe.co.jp","biglobe.co.jp")</f>
        <v>biglobe.co.jp</v>
      </c>
      <c r="C20163" t="s">
        <v>461</v>
      </c>
      <c r="D20163" t="s">
        <v>837</v>
      </c>
      <c r="E20163">
        <v>421742</v>
      </c>
      <c r="F20163">
        <v>1.75261755798345E-7</v>
      </c>
      <c r="G20163">
        <v>221261</v>
      </c>
      <c r="H20163">
        <v>17167822</v>
      </c>
      <c r="I20163">
        <v>48185</v>
      </c>
      <c r="J20163">
        <v>3</v>
      </c>
    </row>
    <row r="20164" spans="1:10" x14ac:dyDescent="0.25">
      <c r="A20164" t="s">
        <v>220</v>
      </c>
      <c r="B20164" s="1" t="str">
        <f>HYPERLINK("http://ctc.co.jp","ctc.co.jp")</f>
        <v>ctc.co.jp</v>
      </c>
      <c r="C20164" t="s">
        <v>461</v>
      </c>
      <c r="D20164" t="s">
        <v>837</v>
      </c>
      <c r="E20164">
        <v>843218</v>
      </c>
      <c r="F20164">
        <v>6.8618797426762203E-8</v>
      </c>
      <c r="G20164">
        <v>620115</v>
      </c>
      <c r="H20164">
        <v>14149533</v>
      </c>
      <c r="I20164">
        <v>1880949</v>
      </c>
      <c r="J20164">
        <v>3</v>
      </c>
    </row>
    <row r="20165" spans="1:10" x14ac:dyDescent="0.25">
      <c r="A20165" t="s">
        <v>220</v>
      </c>
      <c r="B20165" s="1" t="str">
        <f>HYPERLINK("http://eneres.co.jp","eneres.co.jp")</f>
        <v>eneres.co.jp</v>
      </c>
      <c r="C20165" t="s">
        <v>461</v>
      </c>
      <c r="D20165" t="s">
        <v>837</v>
      </c>
      <c r="F20165">
        <v>4.3210184270069798E-8</v>
      </c>
      <c r="G20165">
        <v>1110463</v>
      </c>
      <c r="H20165">
        <v>14145248</v>
      </c>
      <c r="I20165">
        <v>1901319</v>
      </c>
      <c r="J20165">
        <v>4</v>
      </c>
    </row>
    <row r="20166" spans="1:10" x14ac:dyDescent="0.25">
      <c r="A20166" t="s">
        <v>220</v>
      </c>
      <c r="B20166" s="1" t="str">
        <f>HYPERLINK("http://ituki.co.jp","ituki.co.jp")</f>
        <v>ituki.co.jp</v>
      </c>
      <c r="C20166" t="s">
        <v>461</v>
      </c>
      <c r="D20166" t="s">
        <v>837</v>
      </c>
      <c r="F20166">
        <v>5.3334259373829403E-9</v>
      </c>
      <c r="G20166">
        <v>23021386</v>
      </c>
      <c r="H20166">
        <v>13425633</v>
      </c>
      <c r="I20166">
        <v>10294025</v>
      </c>
      <c r="J20166">
        <v>4</v>
      </c>
    </row>
    <row r="20167" spans="1:10" x14ac:dyDescent="0.25">
      <c r="A20167" t="s">
        <v>220</v>
      </c>
      <c r="B20167" s="1" t="str">
        <f>HYPERLINK("http://jcom.co.jp","jcom.co.jp")</f>
        <v>jcom.co.jp</v>
      </c>
      <c r="C20167" t="s">
        <v>461</v>
      </c>
      <c r="D20167" t="s">
        <v>837</v>
      </c>
      <c r="E20167">
        <v>75753</v>
      </c>
      <c r="F20167">
        <v>7.9004611218756098E-7</v>
      </c>
      <c r="G20167">
        <v>49717</v>
      </c>
      <c r="H20167">
        <v>17171750</v>
      </c>
      <c r="I20167">
        <v>47367</v>
      </c>
      <c r="J20167">
        <v>4</v>
      </c>
    </row>
    <row r="20168" spans="1:10" x14ac:dyDescent="0.25">
      <c r="A20168" t="s">
        <v>220</v>
      </c>
      <c r="B20168" s="1" t="str">
        <f>HYPERLINK("http://jibunbank.co.jp","jibunbank.co.jp")</f>
        <v>jibunbank.co.jp</v>
      </c>
      <c r="C20168" t="s">
        <v>461</v>
      </c>
      <c r="D20168" t="s">
        <v>837</v>
      </c>
      <c r="E20168">
        <v>116427</v>
      </c>
      <c r="F20168">
        <v>2.7715389250159999E-7</v>
      </c>
      <c r="G20168">
        <v>134214</v>
      </c>
      <c r="H20168">
        <v>16973372</v>
      </c>
      <c r="I20168">
        <v>101524</v>
      </c>
      <c r="J20168">
        <v>4</v>
      </c>
    </row>
    <row r="20169" spans="1:10" x14ac:dyDescent="0.25">
      <c r="A20169" t="s">
        <v>220</v>
      </c>
      <c r="B20169" s="1" t="str">
        <f>HYPERLINK("http://k-kcs.co.jp","k-kcs.co.jp")</f>
        <v>k-kcs.co.jp</v>
      </c>
      <c r="C20169" t="s">
        <v>461</v>
      </c>
      <c r="D20169" t="s">
        <v>837</v>
      </c>
      <c r="F20169">
        <v>1.4367856310623301E-8</v>
      </c>
      <c r="G20169">
        <v>4068229</v>
      </c>
      <c r="H20169">
        <v>14100008</v>
      </c>
      <c r="I20169">
        <v>2708294</v>
      </c>
      <c r="J20169">
        <v>3</v>
      </c>
    </row>
    <row r="20170" spans="1:10" x14ac:dyDescent="0.25">
      <c r="A20170" t="s">
        <v>220</v>
      </c>
      <c r="B20170" s="1" t="str">
        <f>HYPERLINK("http://mbok.co.jp","mbok.co.jp")</f>
        <v>mbok.co.jp</v>
      </c>
      <c r="C20170" t="s">
        <v>461</v>
      </c>
      <c r="D20170" t="s">
        <v>837</v>
      </c>
      <c r="F20170">
        <v>1.1254925661971601E-8</v>
      </c>
      <c r="G20170">
        <v>5674292</v>
      </c>
      <c r="H20170">
        <v>13283372</v>
      </c>
      <c r="I20170">
        <v>10902754</v>
      </c>
      <c r="J20170">
        <v>4</v>
      </c>
    </row>
    <row r="20171" spans="1:10" x14ac:dyDescent="0.25">
      <c r="A20171" t="s">
        <v>220</v>
      </c>
      <c r="B20171" s="1" t="str">
        <f>HYPERLINK("http://otnet.co.jp","otnet.co.jp")</f>
        <v>otnet.co.jp</v>
      </c>
      <c r="C20171" t="s">
        <v>461</v>
      </c>
      <c r="D20171" t="s">
        <v>837</v>
      </c>
      <c r="F20171">
        <v>2.58199332658997E-8</v>
      </c>
      <c r="G20171">
        <v>1996256</v>
      </c>
      <c r="H20171">
        <v>13285338</v>
      </c>
      <c r="I20171">
        <v>10894173</v>
      </c>
      <c r="J20171">
        <v>5</v>
      </c>
    </row>
    <row r="20172" spans="1:10" x14ac:dyDescent="0.25">
      <c r="A20172" t="s">
        <v>220</v>
      </c>
      <c r="B20172" s="1" t="str">
        <f>HYPERLINK("http://ctc.jp","ctc.jp")</f>
        <v>ctc.jp</v>
      </c>
      <c r="C20172" t="s">
        <v>461</v>
      </c>
      <c r="D20172" t="s">
        <v>837</v>
      </c>
      <c r="E20172">
        <v>38681</v>
      </c>
      <c r="F20172">
        <v>6.9838162498686199E-8</v>
      </c>
      <c r="G20172">
        <v>606983</v>
      </c>
      <c r="H20172">
        <v>13507223</v>
      </c>
      <c r="I20172">
        <v>9961248</v>
      </c>
      <c r="J20172">
        <v>4</v>
      </c>
    </row>
    <row r="20173" spans="1:10" x14ac:dyDescent="0.25">
      <c r="A20173" t="s">
        <v>220</v>
      </c>
      <c r="B20173" s="1" t="str">
        <f>HYPERLINK("http://eneres.jp","eneres.jp")</f>
        <v>eneres.jp</v>
      </c>
      <c r="C20173" t="s">
        <v>461</v>
      </c>
      <c r="D20173" t="s">
        <v>837</v>
      </c>
      <c r="F20173">
        <v>4.59792050562451E-9</v>
      </c>
      <c r="G20173">
        <v>47770984</v>
      </c>
      <c r="H20173">
        <v>10343676</v>
      </c>
      <c r="I20173">
        <v>58160513</v>
      </c>
      <c r="J20173">
        <v>5</v>
      </c>
    </row>
    <row r="20174" spans="1:10" x14ac:dyDescent="0.25">
      <c r="A20174" t="s">
        <v>220</v>
      </c>
      <c r="B20174" s="1" t="str">
        <f>HYPERLINK("http://kdcp.jp","kdcp.jp")</f>
        <v>kdcp.jp</v>
      </c>
      <c r="C20174" t="s">
        <v>461</v>
      </c>
      <c r="D20174" t="s">
        <v>837</v>
      </c>
      <c r="J20174">
        <v>2</v>
      </c>
    </row>
    <row r="20175" spans="1:10" x14ac:dyDescent="0.25">
      <c r="A20175" t="s">
        <v>220</v>
      </c>
      <c r="B20175" s="1" t="str">
        <f>HYPERLINK("http://lismovideo.jp","lismovideo.jp")</f>
        <v>lismovideo.jp</v>
      </c>
      <c r="C20175" t="s">
        <v>461</v>
      </c>
      <c r="D20175" t="s">
        <v>837</v>
      </c>
      <c r="F20175">
        <v>7.24740119253346E-9</v>
      </c>
      <c r="G20175">
        <v>11612382</v>
      </c>
      <c r="H20175">
        <v>14093337</v>
      </c>
      <c r="I20175">
        <v>2735911</v>
      </c>
      <c r="J20175">
        <v>2</v>
      </c>
    </row>
    <row r="20176" spans="1:10" x14ac:dyDescent="0.25">
      <c r="A20176" t="s">
        <v>220</v>
      </c>
      <c r="B20176" s="1" t="str">
        <f>HYPERLINK("http://mbok.jp","mbok.jp")</f>
        <v>mbok.jp</v>
      </c>
      <c r="C20176" t="s">
        <v>461</v>
      </c>
      <c r="D20176" t="s">
        <v>837</v>
      </c>
      <c r="E20176">
        <v>300662</v>
      </c>
      <c r="F20176">
        <v>1.45600415601507E-7</v>
      </c>
      <c r="G20176">
        <v>267373</v>
      </c>
      <c r="H20176">
        <v>14626717</v>
      </c>
      <c r="I20176">
        <v>649510</v>
      </c>
      <c r="J20176">
        <v>3</v>
      </c>
    </row>
    <row r="20177" spans="1:10" x14ac:dyDescent="0.25">
      <c r="A20177" t="s">
        <v>220</v>
      </c>
      <c r="B20177" s="1" t="str">
        <f>HYPERLINK("http://mediba.jp","mediba.jp")</f>
        <v>mediba.jp</v>
      </c>
      <c r="C20177" t="s">
        <v>461</v>
      </c>
      <c r="D20177" t="s">
        <v>837</v>
      </c>
      <c r="F20177">
        <v>7.6814769853133304E-8</v>
      </c>
      <c r="G20177">
        <v>545498</v>
      </c>
      <c r="H20177">
        <v>14189223</v>
      </c>
      <c r="I20177">
        <v>1762872</v>
      </c>
      <c r="J20177">
        <v>5</v>
      </c>
    </row>
    <row r="20178" spans="1:10" x14ac:dyDescent="0.25">
      <c r="A20178" t="s">
        <v>220</v>
      </c>
      <c r="B20178" s="1" t="str">
        <f>HYPERLINK("http://mobile-netbk.jp","mobile-netbk.jp")</f>
        <v>mobile-netbk.jp</v>
      </c>
      <c r="C20178" t="s">
        <v>461</v>
      </c>
      <c r="D20178" t="s">
        <v>837</v>
      </c>
      <c r="J20178">
        <v>5</v>
      </c>
    </row>
    <row r="20179" spans="1:10" x14ac:dyDescent="0.25">
      <c r="A20179" t="s">
        <v>220</v>
      </c>
      <c r="B20179" s="1" t="str">
        <f>HYPERLINK("http://biglobe.ne.jp","biglobe.ne.jp")</f>
        <v>biglobe.ne.jp</v>
      </c>
      <c r="C20179" t="s">
        <v>461</v>
      </c>
      <c r="D20179" t="s">
        <v>837</v>
      </c>
      <c r="E20179">
        <v>2149</v>
      </c>
      <c r="F20179">
        <v>7.97513092840294E-6</v>
      </c>
      <c r="G20179">
        <v>4209</v>
      </c>
      <c r="H20179">
        <v>18256098</v>
      </c>
      <c r="I20179">
        <v>2518</v>
      </c>
      <c r="J20179">
        <v>2</v>
      </c>
    </row>
    <row r="20180" spans="1:10" x14ac:dyDescent="0.25">
      <c r="A20180" t="s">
        <v>220</v>
      </c>
      <c r="B20180" s="1" t="str">
        <f>HYPERLINK("http://ezweb.ne.jp","ezweb.ne.jp")</f>
        <v>ezweb.ne.jp</v>
      </c>
      <c r="C20180" t="s">
        <v>461</v>
      </c>
      <c r="D20180" t="s">
        <v>837</v>
      </c>
      <c r="E20180">
        <v>131956</v>
      </c>
      <c r="F20180">
        <v>1.2795972132433999E-6</v>
      </c>
      <c r="G20180">
        <v>30376</v>
      </c>
      <c r="H20180">
        <v>17548588</v>
      </c>
      <c r="I20180">
        <v>11346</v>
      </c>
      <c r="J20180">
        <v>2</v>
      </c>
    </row>
    <row r="20181" spans="1:10" x14ac:dyDescent="0.25">
      <c r="A20181" t="s">
        <v>220</v>
      </c>
      <c r="B20181" s="1" t="str">
        <f>HYPERLINK("http://kddi.ne.jp","kddi.ne.jp")</f>
        <v>kddi.ne.jp</v>
      </c>
      <c r="C20181" t="s">
        <v>461</v>
      </c>
      <c r="D20181" t="s">
        <v>837</v>
      </c>
      <c r="E20181">
        <v>11047</v>
      </c>
      <c r="F20181">
        <v>4.9958951770864097E-8</v>
      </c>
      <c r="G20181">
        <v>922326</v>
      </c>
      <c r="H20181">
        <v>13524740</v>
      </c>
      <c r="I20181">
        <v>9933260</v>
      </c>
      <c r="J20181">
        <v>2</v>
      </c>
    </row>
    <row r="20182" spans="1:10" x14ac:dyDescent="0.25">
      <c r="A20182" t="s">
        <v>220</v>
      </c>
      <c r="B20182" s="1" t="str">
        <f>HYPERLINK("http://zaq.ne.jp","zaq.ne.jp")</f>
        <v>zaq.ne.jp</v>
      </c>
      <c r="C20182" t="s">
        <v>461</v>
      </c>
      <c r="D20182" t="s">
        <v>837</v>
      </c>
      <c r="E20182">
        <v>9222</v>
      </c>
      <c r="F20182">
        <v>1.4772455938349099E-6</v>
      </c>
      <c r="G20182">
        <v>26550</v>
      </c>
      <c r="H20182">
        <v>15234930</v>
      </c>
      <c r="I20182">
        <v>391788</v>
      </c>
      <c r="J20182">
        <v>5</v>
      </c>
    </row>
    <row r="20183" spans="1:10" x14ac:dyDescent="0.25">
      <c r="A20183" t="s">
        <v>220</v>
      </c>
      <c r="B20183" s="1" t="str">
        <f>HYPERLINK("http://kddi.or.jp","kddi.or.jp")</f>
        <v>kddi.or.jp</v>
      </c>
      <c r="C20183" t="s">
        <v>461</v>
      </c>
      <c r="D20183" t="s">
        <v>837</v>
      </c>
      <c r="F20183">
        <v>6.3037032840671302E-9</v>
      </c>
      <c r="G20183">
        <v>15013901</v>
      </c>
      <c r="H20183">
        <v>12794384</v>
      </c>
      <c r="I20183">
        <v>14666740</v>
      </c>
      <c r="J20183">
        <v>2</v>
      </c>
    </row>
    <row r="20184" spans="1:10" x14ac:dyDescent="0.25">
      <c r="A20184" t="s">
        <v>220</v>
      </c>
      <c r="B20184" s="1" t="str">
        <f>HYPERLINK("http://povo.jp","povo.jp")</f>
        <v>povo.jp</v>
      </c>
      <c r="C20184" t="s">
        <v>461</v>
      </c>
      <c r="D20184" t="s">
        <v>837</v>
      </c>
      <c r="E20184">
        <v>269273</v>
      </c>
      <c r="F20184">
        <v>1.91139560608523E-7</v>
      </c>
      <c r="G20184">
        <v>201612</v>
      </c>
      <c r="H20184">
        <v>16969824</v>
      </c>
      <c r="I20184">
        <v>102919</v>
      </c>
      <c r="J20184">
        <v>3</v>
      </c>
    </row>
    <row r="20185" spans="1:10" x14ac:dyDescent="0.25">
      <c r="A20185" t="s">
        <v>220</v>
      </c>
      <c r="B20185" s="1" t="str">
        <f>HYPERLINK("http://sawara-sys.jp","sawara-sys.jp")</f>
        <v>sawara-sys.jp</v>
      </c>
      <c r="C20185" t="s">
        <v>461</v>
      </c>
      <c r="D20185" t="s">
        <v>837</v>
      </c>
      <c r="J20185">
        <v>2</v>
      </c>
    </row>
    <row r="20186" spans="1:10" x14ac:dyDescent="0.25">
      <c r="A20186" t="s">
        <v>220</v>
      </c>
      <c r="B20186" s="1" t="str">
        <f>HYPERLINK("http://shopch.jp","shopch.jp")</f>
        <v>shopch.jp</v>
      </c>
      <c r="C20186" t="s">
        <v>461</v>
      </c>
      <c r="D20186" t="s">
        <v>837</v>
      </c>
      <c r="E20186">
        <v>173987</v>
      </c>
      <c r="F20186">
        <v>2.4869543766511702E-7</v>
      </c>
      <c r="G20186">
        <v>150421</v>
      </c>
      <c r="H20186">
        <v>17083340</v>
      </c>
      <c r="I20186">
        <v>67531</v>
      </c>
      <c r="J20186">
        <v>3</v>
      </c>
    </row>
    <row r="20187" spans="1:10" x14ac:dyDescent="0.25">
      <c r="A20187" t="s">
        <v>220</v>
      </c>
      <c r="B20187" s="1" t="str">
        <f>HYPERLINK("http://uq-communications.jp","uq-communications.jp")</f>
        <v>uq-communications.jp</v>
      </c>
      <c r="C20187" t="s">
        <v>461</v>
      </c>
      <c r="D20187" t="s">
        <v>837</v>
      </c>
      <c r="F20187">
        <v>2.6434130139075999E-8</v>
      </c>
      <c r="G20187">
        <v>1947766</v>
      </c>
      <c r="H20187">
        <v>12174278</v>
      </c>
      <c r="I20187">
        <v>23952033</v>
      </c>
      <c r="J20187">
        <v>2</v>
      </c>
    </row>
    <row r="20188" spans="1:10" x14ac:dyDescent="0.25">
      <c r="A20188" t="s">
        <v>220</v>
      </c>
      <c r="B20188" s="1" t="str">
        <f>HYPERLINK("http://uq-kensetsu.jp","uq-kensetsu.jp")</f>
        <v>uq-kensetsu.jp</v>
      </c>
      <c r="C20188" t="s">
        <v>461</v>
      </c>
      <c r="D20188" t="s">
        <v>837</v>
      </c>
      <c r="J20188">
        <v>2</v>
      </c>
    </row>
    <row r="20189" spans="1:10" x14ac:dyDescent="0.25">
      <c r="A20189" t="s">
        <v>220</v>
      </c>
      <c r="B20189" s="1" t="str">
        <f>HYPERLINK("http://uqwimax.jp","uqwimax.jp")</f>
        <v>uqwimax.jp</v>
      </c>
      <c r="C20189" t="s">
        <v>461</v>
      </c>
      <c r="D20189" t="s">
        <v>837</v>
      </c>
      <c r="E20189">
        <v>28353</v>
      </c>
      <c r="F20189">
        <v>8.8798192257336695E-7</v>
      </c>
      <c r="G20189">
        <v>45292</v>
      </c>
      <c r="H20189">
        <v>17148088</v>
      </c>
      <c r="I20189">
        <v>52616</v>
      </c>
      <c r="J20189">
        <v>2</v>
      </c>
    </row>
    <row r="20190" spans="1:10" x14ac:dyDescent="0.25">
      <c r="A20190" t="s">
        <v>220</v>
      </c>
      <c r="B20190" s="1" t="str">
        <f>HYPERLINK("http://zaq.jp","zaq.jp")</f>
        <v>zaq.jp</v>
      </c>
      <c r="C20190" t="s">
        <v>461</v>
      </c>
      <c r="D20190" t="s">
        <v>837</v>
      </c>
      <c r="E20190">
        <v>51036</v>
      </c>
      <c r="F20190">
        <v>8.2458710779027601E-8</v>
      </c>
      <c r="G20190">
        <v>505955</v>
      </c>
      <c r="H20190">
        <v>14628929</v>
      </c>
      <c r="I20190">
        <v>647057</v>
      </c>
      <c r="J20190">
        <v>6</v>
      </c>
    </row>
    <row r="20191" spans="1:10" x14ac:dyDescent="0.25">
      <c r="A20191" t="s">
        <v>220</v>
      </c>
      <c r="B20191" s="1" t="str">
        <f>HYPERLINK("http://kddi.co.kr","kddi.co.kr")</f>
        <v>kddi.co.kr</v>
      </c>
      <c r="C20191" t="s">
        <v>463</v>
      </c>
      <c r="D20191" t="s">
        <v>839</v>
      </c>
      <c r="F20191">
        <v>5.9962038921509097E-9</v>
      </c>
      <c r="G20191">
        <v>16708070</v>
      </c>
      <c r="H20191">
        <v>12410474</v>
      </c>
      <c r="I20191">
        <v>18602880</v>
      </c>
      <c r="J20191">
        <v>2</v>
      </c>
    </row>
    <row r="20192" spans="1:10" x14ac:dyDescent="0.25">
      <c r="A20192" t="s">
        <v>220</v>
      </c>
      <c r="B20192" s="1" t="str">
        <f>HYPERLINK("http://mobicom.mn","mobicom.mn")</f>
        <v>mobicom.mn</v>
      </c>
      <c r="C20192" t="s">
        <v>652</v>
      </c>
      <c r="D20192" t="s">
        <v>971</v>
      </c>
      <c r="E20192">
        <v>360900</v>
      </c>
      <c r="F20192">
        <v>1.10465116956925E-7</v>
      </c>
      <c r="G20192">
        <v>362043</v>
      </c>
      <c r="H20192">
        <v>14791407</v>
      </c>
      <c r="I20192">
        <v>550765</v>
      </c>
      <c r="J20192">
        <v>3</v>
      </c>
    </row>
    <row r="20193" spans="1:10" x14ac:dyDescent="0.25">
      <c r="A20193" t="s">
        <v>220</v>
      </c>
      <c r="B20193" s="1" t="str">
        <f>HYPERLINK("http://biglobe.net","biglobe.net")</f>
        <v>biglobe.net</v>
      </c>
      <c r="C20193" t="s">
        <v>474</v>
      </c>
      <c r="J20193">
        <v>2</v>
      </c>
    </row>
    <row r="20194" spans="1:10" x14ac:dyDescent="0.25">
      <c r="A20194" t="s">
        <v>220</v>
      </c>
      <c r="B20194" s="1" t="str">
        <f>HYPERLINK("http://tabihikaku.net","tabihikaku.net")</f>
        <v>tabihikaku.net</v>
      </c>
      <c r="C20194" t="s">
        <v>474</v>
      </c>
      <c r="F20194">
        <v>4.3896902766804403E-8</v>
      </c>
      <c r="G20194">
        <v>1085137</v>
      </c>
      <c r="H20194">
        <v>16753788</v>
      </c>
      <c r="I20194">
        <v>245821</v>
      </c>
      <c r="J20194">
        <v>2</v>
      </c>
    </row>
    <row r="20195" spans="1:10" x14ac:dyDescent="0.25">
      <c r="A20195" t="s">
        <v>220</v>
      </c>
      <c r="B20195" s="1" t="str">
        <f>HYPERLINK("http://telehouse.net","telehouse.net")</f>
        <v>telehouse.net</v>
      </c>
      <c r="C20195" t="s">
        <v>474</v>
      </c>
      <c r="E20195">
        <v>127684</v>
      </c>
      <c r="F20195">
        <v>1.3224535676317999E-7</v>
      </c>
      <c r="G20195">
        <v>295559</v>
      </c>
      <c r="H20195">
        <v>14492444</v>
      </c>
      <c r="I20195">
        <v>894895</v>
      </c>
      <c r="J20195">
        <v>3</v>
      </c>
    </row>
    <row r="20196" spans="1:10" x14ac:dyDescent="0.25">
      <c r="A20196" t="s">
        <v>220</v>
      </c>
      <c r="B20196" s="1" t="str">
        <f>HYPERLINK("http://kddi.com.sg","kddi.com.sg")</f>
        <v>kddi.com.sg</v>
      </c>
      <c r="C20196" t="s">
        <v>496</v>
      </c>
      <c r="D20196" t="s">
        <v>870</v>
      </c>
      <c r="F20196">
        <v>2.6619047215795001E-8</v>
      </c>
      <c r="G20196">
        <v>1933835</v>
      </c>
      <c r="H20196">
        <v>14073617</v>
      </c>
      <c r="I20196">
        <v>2982307</v>
      </c>
      <c r="J20196">
        <v>3</v>
      </c>
    </row>
    <row r="20197" spans="1:10" x14ac:dyDescent="0.25">
      <c r="A20197" t="s">
        <v>220</v>
      </c>
      <c r="B20197" s="1" t="str">
        <f>HYPERLINK("http://telehouse.com.sg","telehouse.com.sg")</f>
        <v>telehouse.com.sg</v>
      </c>
      <c r="C20197" t="s">
        <v>496</v>
      </c>
      <c r="D20197" t="s">
        <v>870</v>
      </c>
      <c r="F20197">
        <v>4.9769783954388304E-9</v>
      </c>
      <c r="G20197">
        <v>30072266</v>
      </c>
      <c r="H20197">
        <v>10974639</v>
      </c>
      <c r="I20197">
        <v>34041624</v>
      </c>
      <c r="J20197">
        <v>6</v>
      </c>
    </row>
    <row r="20198" spans="1:10" x14ac:dyDescent="0.25">
      <c r="A20198" t="s">
        <v>220</v>
      </c>
      <c r="B20198" s="1" t="str">
        <f>HYPERLINK("http://biteki.tv","biteki.tv")</f>
        <v>biteki.tv</v>
      </c>
      <c r="C20198" t="s">
        <v>535</v>
      </c>
      <c r="D20198" t="s">
        <v>897</v>
      </c>
      <c r="F20198">
        <v>5.4660465991573601E-9</v>
      </c>
      <c r="G20198">
        <v>21289615</v>
      </c>
      <c r="H20198">
        <v>8653779</v>
      </c>
      <c r="I20198">
        <v>70340195</v>
      </c>
      <c r="J20198">
        <v>5</v>
      </c>
    </row>
    <row r="20199" spans="1:10" x14ac:dyDescent="0.25">
      <c r="A20199" t="s">
        <v>220</v>
      </c>
      <c r="B20199" s="1" t="str">
        <f>HYPERLINK("http://lala.tv","lala.tv")</f>
        <v>lala.tv</v>
      </c>
      <c r="C20199" t="s">
        <v>535</v>
      </c>
      <c r="D20199" t="s">
        <v>897</v>
      </c>
      <c r="E20199">
        <v>657182</v>
      </c>
      <c r="F20199">
        <v>8.6097542230222404E-8</v>
      </c>
      <c r="G20199">
        <v>477884</v>
      </c>
      <c r="H20199">
        <v>14466092</v>
      </c>
      <c r="I20199">
        <v>1044395</v>
      </c>
      <c r="J20199">
        <v>3</v>
      </c>
    </row>
    <row r="20200" spans="1:10" x14ac:dyDescent="0.25">
      <c r="A20200" t="s">
        <v>220</v>
      </c>
      <c r="B20200" s="1" t="str">
        <f>HYPERLINK("http://telehouse.vn","telehouse.vn")</f>
        <v>telehouse.vn</v>
      </c>
      <c r="C20200" t="s">
        <v>509</v>
      </c>
      <c r="D20200" t="s">
        <v>883</v>
      </c>
      <c r="F20200">
        <v>8.1711143797650604E-9</v>
      </c>
      <c r="G20200">
        <v>9620105</v>
      </c>
      <c r="H20200">
        <v>12425466</v>
      </c>
      <c r="I20200">
        <v>18368888</v>
      </c>
      <c r="J20200">
        <v>5</v>
      </c>
    </row>
    <row r="20201" spans="1:10" x14ac:dyDescent="0.25">
      <c r="A20201" t="s">
        <v>220</v>
      </c>
      <c r="B20201" s="1" t="str">
        <f>HYPERLINK("http://kddi.ws","kddi.ws")</f>
        <v>kddi.ws</v>
      </c>
      <c r="C20201" t="s">
        <v>536</v>
      </c>
      <c r="D20201" t="s">
        <v>898</v>
      </c>
      <c r="J20201">
        <v>2</v>
      </c>
    </row>
    <row r="20202" spans="1:10" x14ac:dyDescent="0.25">
      <c r="A20202" t="s">
        <v>221</v>
      </c>
      <c r="B20202" s="1" t="str">
        <f>HYPERLINK("http://cofco.com.ar","cofco.com.ar")</f>
        <v>cofco.com.ar</v>
      </c>
      <c r="C20202" t="s">
        <v>418</v>
      </c>
      <c r="D20202" t="s">
        <v>800</v>
      </c>
      <c r="F20202">
        <v>4.7865272049190602E-9</v>
      </c>
      <c r="G20202">
        <v>36690429</v>
      </c>
      <c r="H20202">
        <v>10355310</v>
      </c>
      <c r="I20202">
        <v>55769085</v>
      </c>
      <c r="J20202">
        <v>12</v>
      </c>
    </row>
    <row r="20203" spans="1:10" x14ac:dyDescent="0.25">
      <c r="A20203" t="s">
        <v>221</v>
      </c>
      <c r="B20203" s="1" t="str">
        <f>HYPERLINK("http://cofcointernational.com.ar","cofcointernational.com.ar")</f>
        <v>cofcointernational.com.ar</v>
      </c>
      <c r="C20203" t="s">
        <v>418</v>
      </c>
      <c r="D20203" t="s">
        <v>800</v>
      </c>
      <c r="F20203">
        <v>9.0742626289136798E-9</v>
      </c>
      <c r="G20203">
        <v>7883619</v>
      </c>
      <c r="H20203">
        <v>11064666</v>
      </c>
      <c r="I20203">
        <v>32636014</v>
      </c>
      <c r="J20203">
        <v>8</v>
      </c>
    </row>
    <row r="20204" spans="1:10" x14ac:dyDescent="0.25">
      <c r="A20204" t="s">
        <v>221</v>
      </c>
      <c r="B20204" s="1" t="str">
        <f>HYPERLINK("http://rama.at","rama.at")</f>
        <v>rama.at</v>
      </c>
      <c r="C20204" t="s">
        <v>419</v>
      </c>
      <c r="D20204" t="s">
        <v>801</v>
      </c>
      <c r="F20204">
        <v>8.7302061569330902E-9</v>
      </c>
      <c r="G20204">
        <v>8426051</v>
      </c>
      <c r="H20204">
        <v>10928436</v>
      </c>
      <c r="I20204">
        <v>35097422</v>
      </c>
      <c r="J20204">
        <v>8</v>
      </c>
    </row>
    <row r="20205" spans="1:10" x14ac:dyDescent="0.25">
      <c r="A20205" t="s">
        <v>221</v>
      </c>
      <c r="B20205" s="1" t="str">
        <f>HYPERLINK("http://selecta.at","selecta.at")</f>
        <v>selecta.at</v>
      </c>
      <c r="C20205" t="s">
        <v>419</v>
      </c>
      <c r="D20205" t="s">
        <v>801</v>
      </c>
      <c r="F20205">
        <v>5.7571985695281596E-9</v>
      </c>
      <c r="G20205">
        <v>18439557</v>
      </c>
      <c r="H20205">
        <v>10901966</v>
      </c>
      <c r="I20205">
        <v>35789656</v>
      </c>
      <c r="J20205">
        <v>7</v>
      </c>
    </row>
    <row r="20206" spans="1:10" x14ac:dyDescent="0.25">
      <c r="A20206" t="s">
        <v>221</v>
      </c>
      <c r="B20206" s="1" t="str">
        <f>HYPERLINK("http://trainline.at","trainline.at")</f>
        <v>trainline.at</v>
      </c>
      <c r="C20206" t="s">
        <v>419</v>
      </c>
      <c r="D20206" t="s">
        <v>801</v>
      </c>
      <c r="F20206">
        <v>9.4983336414355702E-9</v>
      </c>
      <c r="G20206">
        <v>7324547</v>
      </c>
      <c r="H20206">
        <v>12312207</v>
      </c>
      <c r="I20206">
        <v>20572766</v>
      </c>
      <c r="J20206">
        <v>8</v>
      </c>
    </row>
    <row r="20207" spans="1:10" x14ac:dyDescent="0.25">
      <c r="A20207" t="s">
        <v>221</v>
      </c>
      <c r="B20207" s="1" t="str">
        <f>HYPERLINK("http://agasrapidrecovery.com.au","agasrapidrecovery.com.au")</f>
        <v>agasrapidrecovery.com.au</v>
      </c>
      <c r="C20207" t="s">
        <v>420</v>
      </c>
      <c r="D20207" t="s">
        <v>802</v>
      </c>
      <c r="F20207">
        <v>6.2939145636118203E-9</v>
      </c>
      <c r="G20207">
        <v>15061121</v>
      </c>
      <c r="H20207">
        <v>10201449</v>
      </c>
      <c r="I20207">
        <v>59025324</v>
      </c>
      <c r="J20207">
        <v>13</v>
      </c>
    </row>
    <row r="20208" spans="1:10" x14ac:dyDescent="0.25">
      <c r="A20208" t="s">
        <v>221</v>
      </c>
      <c r="B20208" s="1" t="str">
        <f>HYPERLINK("http://nidera.com.au","nidera.com.au")</f>
        <v>nidera.com.au</v>
      </c>
      <c r="C20208" t="s">
        <v>420</v>
      </c>
      <c r="D20208" t="s">
        <v>802</v>
      </c>
      <c r="J20208">
        <v>12</v>
      </c>
    </row>
    <row r="20209" spans="1:10" x14ac:dyDescent="0.25">
      <c r="A20209" t="s">
        <v>221</v>
      </c>
      <c r="B20209" s="1" t="str">
        <f>HYPERLINK("http://brico.be","brico.be")</f>
        <v>brico.be</v>
      </c>
      <c r="C20209" t="s">
        <v>421</v>
      </c>
      <c r="D20209" t="s">
        <v>803</v>
      </c>
      <c r="E20209">
        <v>93214</v>
      </c>
      <c r="F20209">
        <v>1.4996570999653599E-7</v>
      </c>
      <c r="G20209">
        <v>259100</v>
      </c>
      <c r="H20209">
        <v>14979572</v>
      </c>
      <c r="I20209">
        <v>431108</v>
      </c>
      <c r="J20209">
        <v>7</v>
      </c>
    </row>
    <row r="20210" spans="1:10" x14ac:dyDescent="0.25">
      <c r="A20210" t="s">
        <v>221</v>
      </c>
      <c r="B20210" s="1" t="str">
        <f>HYPERLINK("http://bricokoningslo.be","bricokoningslo.be")</f>
        <v>bricokoningslo.be</v>
      </c>
      <c r="C20210" t="s">
        <v>421</v>
      </c>
      <c r="D20210" t="s">
        <v>803</v>
      </c>
      <c r="F20210">
        <v>4.4528483645537696E-9</v>
      </c>
      <c r="G20210">
        <v>70408439</v>
      </c>
      <c r="H20210">
        <v>9390225</v>
      </c>
      <c r="I20210">
        <v>67421245</v>
      </c>
      <c r="J20210">
        <v>8</v>
      </c>
    </row>
    <row r="20211" spans="1:10" x14ac:dyDescent="0.25">
      <c r="A20211" t="s">
        <v>221</v>
      </c>
      <c r="B20211" s="1" t="str">
        <f>HYPERLINK("http://bricomatkelly.be","bricomatkelly.be")</f>
        <v>bricomatkelly.be</v>
      </c>
      <c r="C20211" t="s">
        <v>421</v>
      </c>
      <c r="D20211" t="s">
        <v>803</v>
      </c>
      <c r="F20211">
        <v>6.9193395100214599E-9</v>
      </c>
      <c r="G20211">
        <v>12560428</v>
      </c>
      <c r="H20211">
        <v>10765415</v>
      </c>
      <c r="I20211">
        <v>39426999</v>
      </c>
      <c r="J20211">
        <v>8</v>
      </c>
    </row>
    <row r="20212" spans="1:10" x14ac:dyDescent="0.25">
      <c r="A20212" t="s">
        <v>221</v>
      </c>
      <c r="B20212" s="1" t="str">
        <f>HYPERLINK("http://plan-it.be","plan-it.be")</f>
        <v>plan-it.be</v>
      </c>
      <c r="C20212" t="s">
        <v>421</v>
      </c>
      <c r="D20212" t="s">
        <v>803</v>
      </c>
      <c r="F20212">
        <v>1.9990248511802898E-8</v>
      </c>
      <c r="G20212">
        <v>2660733</v>
      </c>
      <c r="H20212">
        <v>13783105</v>
      </c>
      <c r="I20212">
        <v>6429883</v>
      </c>
      <c r="J20212">
        <v>8</v>
      </c>
    </row>
    <row r="20213" spans="1:10" x14ac:dyDescent="0.25">
      <c r="A20213" t="s">
        <v>221</v>
      </c>
      <c r="B20213" s="1" t="str">
        <f>HYPERLINK("http://selecta.be","selecta.be")</f>
        <v>selecta.be</v>
      </c>
      <c r="C20213" t="s">
        <v>421</v>
      </c>
      <c r="D20213" t="s">
        <v>803</v>
      </c>
      <c r="F20213">
        <v>8.5891617719236192E-9</v>
      </c>
      <c r="G20213">
        <v>8676048</v>
      </c>
      <c r="H20213">
        <v>12170148</v>
      </c>
      <c r="I20213">
        <v>24064850</v>
      </c>
      <c r="J20213">
        <v>7</v>
      </c>
    </row>
    <row r="20214" spans="1:10" x14ac:dyDescent="0.25">
      <c r="A20214" t="s">
        <v>221</v>
      </c>
      <c r="B20214" s="1" t="str">
        <f>HYPERLINK("http://corel.com.br","corel.com.br")</f>
        <v>corel.com.br</v>
      </c>
      <c r="C20214" t="s">
        <v>425</v>
      </c>
      <c r="D20214" t="s">
        <v>806</v>
      </c>
      <c r="F20214">
        <v>8.3802275901596206E-9</v>
      </c>
      <c r="G20214">
        <v>9083929</v>
      </c>
      <c r="H20214">
        <v>12888867</v>
      </c>
      <c r="I20214">
        <v>13944376</v>
      </c>
      <c r="J20214">
        <v>8</v>
      </c>
    </row>
    <row r="20215" spans="1:10" x14ac:dyDescent="0.25">
      <c r="A20215" t="s">
        <v>221</v>
      </c>
      <c r="B20215" s="1" t="str">
        <f>HYPERLINK("http://mindmanager.cc","mindmanager.cc")</f>
        <v>mindmanager.cc</v>
      </c>
      <c r="C20215" t="s">
        <v>569</v>
      </c>
      <c r="D20215" t="s">
        <v>916</v>
      </c>
      <c r="F20215">
        <v>3.8756519770162302E-8</v>
      </c>
      <c r="G20215">
        <v>1330261</v>
      </c>
      <c r="H20215">
        <v>14077388</v>
      </c>
      <c r="I20215">
        <v>2866529</v>
      </c>
      <c r="J20215">
        <v>11</v>
      </c>
    </row>
    <row r="20216" spans="1:10" x14ac:dyDescent="0.25">
      <c r="A20216" t="s">
        <v>221</v>
      </c>
      <c r="B20216" s="1" t="str">
        <f>HYPERLINK("http://bricofaidate.ch","bricofaidate.ch")</f>
        <v>bricofaidate.ch</v>
      </c>
      <c r="C20216" t="s">
        <v>429</v>
      </c>
      <c r="D20216" t="s">
        <v>810</v>
      </c>
      <c r="F20216">
        <v>8.4822025263750702E-9</v>
      </c>
      <c r="G20216">
        <v>8879414</v>
      </c>
      <c r="H20216">
        <v>12207005</v>
      </c>
      <c r="I20216">
        <v>23108497</v>
      </c>
      <c r="J20216">
        <v>8</v>
      </c>
    </row>
    <row r="20217" spans="1:10" x14ac:dyDescent="0.25">
      <c r="A20217" t="s">
        <v>221</v>
      </c>
      <c r="B20217" s="1" t="str">
        <f>HYPERLINK("http://selecta.ch","selecta.ch")</f>
        <v>selecta.ch</v>
      </c>
      <c r="C20217" t="s">
        <v>429</v>
      </c>
      <c r="D20217" t="s">
        <v>810</v>
      </c>
      <c r="F20217">
        <v>3.7874067324774101E-8</v>
      </c>
      <c r="G20217">
        <v>1366378</v>
      </c>
      <c r="H20217">
        <v>14124212</v>
      </c>
      <c r="I20217">
        <v>2151053</v>
      </c>
      <c r="J20217">
        <v>7</v>
      </c>
    </row>
    <row r="20218" spans="1:10" x14ac:dyDescent="0.25">
      <c r="A20218" t="s">
        <v>221</v>
      </c>
      <c r="B20218" s="1" t="str">
        <f>HYPERLINK("http://10zig.cloud","10zig.cloud")</f>
        <v>10zig.cloud</v>
      </c>
      <c r="C20218" t="s">
        <v>516</v>
      </c>
      <c r="F20218">
        <v>6.5884318835877403E-9</v>
      </c>
      <c r="G20218">
        <v>13720955</v>
      </c>
      <c r="H20218">
        <v>12749869</v>
      </c>
      <c r="I20218">
        <v>15050991</v>
      </c>
      <c r="J20218">
        <v>13</v>
      </c>
    </row>
    <row r="20219" spans="1:10" x14ac:dyDescent="0.25">
      <c r="A20219" t="s">
        <v>221</v>
      </c>
      <c r="B20219" s="1" t="str">
        <f>HYPERLINK("http://chinarelife.cn","chinarelife.cn")</f>
        <v>chinarelife.cn</v>
      </c>
      <c r="C20219" t="s">
        <v>431</v>
      </c>
      <c r="D20219" t="s">
        <v>812</v>
      </c>
      <c r="F20219">
        <v>8.6632309990545892E-9</v>
      </c>
      <c r="G20219">
        <v>8544009</v>
      </c>
      <c r="H20219">
        <v>9851365</v>
      </c>
      <c r="I20219">
        <v>62149551</v>
      </c>
      <c r="J20219">
        <v>16</v>
      </c>
    </row>
    <row r="20220" spans="1:10" x14ac:dyDescent="0.25">
      <c r="A20220" t="s">
        <v>221</v>
      </c>
      <c r="B20220" s="1" t="str">
        <f>HYPERLINK("http://chinare.com.cn","chinare.com.cn")</f>
        <v>chinare.com.cn</v>
      </c>
      <c r="C20220" t="s">
        <v>431</v>
      </c>
      <c r="D20220" t="s">
        <v>812</v>
      </c>
      <c r="E20220">
        <v>899561</v>
      </c>
      <c r="F20220">
        <v>6.9762938277277599E-8</v>
      </c>
      <c r="G20220">
        <v>607779</v>
      </c>
      <c r="H20220">
        <v>12831264</v>
      </c>
      <c r="I20220">
        <v>14410933</v>
      </c>
      <c r="J20220">
        <v>14</v>
      </c>
    </row>
    <row r="20221" spans="1:10" x14ac:dyDescent="0.25">
      <c r="A20221" t="s">
        <v>221</v>
      </c>
      <c r="B20221" s="1" t="str">
        <f>HYPERLINK("http://cpcr.com.cn","cpcr.com.cn")</f>
        <v>cpcr.com.cn</v>
      </c>
      <c r="C20221" t="s">
        <v>431</v>
      </c>
      <c r="D20221" t="s">
        <v>812</v>
      </c>
      <c r="F20221">
        <v>9.7817233924326695E-9</v>
      </c>
      <c r="G20221">
        <v>6988504</v>
      </c>
      <c r="H20221">
        <v>10484172</v>
      </c>
      <c r="I20221">
        <v>50841668</v>
      </c>
      <c r="J20221">
        <v>15</v>
      </c>
    </row>
    <row r="20222" spans="1:10" x14ac:dyDescent="0.25">
      <c r="A20222" t="s">
        <v>221</v>
      </c>
      <c r="B20222" s="1" t="str">
        <f>HYPERLINK("http://pny.com.cn","pny.com.cn")</f>
        <v>pny.com.cn</v>
      </c>
      <c r="C20222" t="s">
        <v>431</v>
      </c>
      <c r="D20222" t="s">
        <v>812</v>
      </c>
      <c r="F20222">
        <v>8.59064740609903E-9</v>
      </c>
      <c r="G20222">
        <v>8673378</v>
      </c>
      <c r="H20222">
        <v>11664901</v>
      </c>
      <c r="I20222">
        <v>29871345</v>
      </c>
      <c r="J20222">
        <v>14</v>
      </c>
    </row>
    <row r="20223" spans="1:10" x14ac:dyDescent="0.25">
      <c r="A20223" t="s">
        <v>221</v>
      </c>
      <c r="B20223" s="1" t="str">
        <f>HYPERLINK("http://gitlab.cn","gitlab.cn")</f>
        <v>gitlab.cn</v>
      </c>
      <c r="C20223" t="s">
        <v>431</v>
      </c>
      <c r="D20223" t="s">
        <v>812</v>
      </c>
      <c r="E20223">
        <v>137128</v>
      </c>
      <c r="F20223">
        <v>1.60365572110342E-6</v>
      </c>
      <c r="G20223">
        <v>24553</v>
      </c>
      <c r="H20223">
        <v>14041272</v>
      </c>
      <c r="I20223">
        <v>3907436</v>
      </c>
      <c r="J20223">
        <v>11</v>
      </c>
    </row>
    <row r="20224" spans="1:10" x14ac:dyDescent="0.25">
      <c r="A20224" t="s">
        <v>221</v>
      </c>
      <c r="B20224" s="1" t="str">
        <f>HYPERLINK("http://mindmanager.cn","mindmanager.cn")</f>
        <v>mindmanager.cn</v>
      </c>
      <c r="C20224" t="s">
        <v>431</v>
      </c>
      <c r="D20224" t="s">
        <v>812</v>
      </c>
      <c r="F20224">
        <v>5.78694569066166E-8</v>
      </c>
      <c r="G20224">
        <v>769589</v>
      </c>
      <c r="H20224">
        <v>13098513</v>
      </c>
      <c r="I20224">
        <v>12111180</v>
      </c>
      <c r="J20224">
        <v>10</v>
      </c>
    </row>
    <row r="20225" spans="1:10" x14ac:dyDescent="0.25">
      <c r="A20225" t="s">
        <v>221</v>
      </c>
      <c r="B20225" s="1" t="str">
        <f>HYPERLINK("http://parallels.cn","parallels.cn")</f>
        <v>parallels.cn</v>
      </c>
      <c r="C20225" t="s">
        <v>431</v>
      </c>
      <c r="D20225" t="s">
        <v>812</v>
      </c>
      <c r="E20225">
        <v>170351</v>
      </c>
      <c r="F20225">
        <v>7.6138828657261504E-8</v>
      </c>
      <c r="G20225">
        <v>551603</v>
      </c>
      <c r="H20225">
        <v>13602662</v>
      </c>
      <c r="I20225">
        <v>9646934</v>
      </c>
      <c r="J20225">
        <v>8</v>
      </c>
    </row>
    <row r="20226" spans="1:10" x14ac:dyDescent="0.25">
      <c r="A20226" t="s">
        <v>221</v>
      </c>
      <c r="B20226" s="1" t="str">
        <f>HYPERLINK("http://splashtop.cn","splashtop.cn")</f>
        <v>splashtop.cn</v>
      </c>
      <c r="C20226" t="s">
        <v>431</v>
      </c>
      <c r="D20226" t="s">
        <v>812</v>
      </c>
      <c r="E20226">
        <v>387145</v>
      </c>
      <c r="F20226">
        <v>1.9387617671599601E-8</v>
      </c>
      <c r="G20226">
        <v>2764985</v>
      </c>
      <c r="H20226">
        <v>12871789</v>
      </c>
      <c r="I20226">
        <v>14056336</v>
      </c>
      <c r="J20226">
        <v>11</v>
      </c>
    </row>
    <row r="20227" spans="1:10" x14ac:dyDescent="0.25">
      <c r="A20227" t="s">
        <v>221</v>
      </c>
      <c r="B20227" s="1" t="str">
        <f>HYPERLINK("http://bso.co","bso.co")</f>
        <v>bso.co</v>
      </c>
      <c r="C20227" t="s">
        <v>432</v>
      </c>
      <c r="F20227">
        <v>1.6189366157655899E-7</v>
      </c>
      <c r="G20227">
        <v>239776</v>
      </c>
      <c r="H20227">
        <v>13792944</v>
      </c>
      <c r="I20227">
        <v>6326104</v>
      </c>
      <c r="J20227">
        <v>13</v>
      </c>
    </row>
    <row r="20228" spans="1:10" x14ac:dyDescent="0.25">
      <c r="A20228" t="s">
        <v>221</v>
      </c>
      <c r="B20228" s="1" t="str">
        <f>HYPERLINK("http://cloudify.co","cloudify.co")</f>
        <v>cloudify.co</v>
      </c>
      <c r="C20228" t="s">
        <v>432</v>
      </c>
      <c r="E20228">
        <v>419992</v>
      </c>
      <c r="F20228">
        <v>2.4352262199819898E-7</v>
      </c>
      <c r="G20228">
        <v>153631</v>
      </c>
      <c r="H20228">
        <v>17129128</v>
      </c>
      <c r="I20228">
        <v>57017</v>
      </c>
      <c r="J20228">
        <v>11</v>
      </c>
    </row>
    <row r="20229" spans="1:10" x14ac:dyDescent="0.25">
      <c r="A20229" t="s">
        <v>221</v>
      </c>
      <c r="B20229" s="1" t="str">
        <f>HYPERLINK("http://10zig.com","10zig.com")</f>
        <v>10zig.com</v>
      </c>
      <c r="C20229" t="s">
        <v>433</v>
      </c>
      <c r="E20229">
        <v>468106</v>
      </c>
      <c r="F20229">
        <v>1.6261736767009601E-7</v>
      </c>
      <c r="G20229">
        <v>238682</v>
      </c>
      <c r="H20229">
        <v>14593780</v>
      </c>
      <c r="I20229">
        <v>692080</v>
      </c>
      <c r="J20229">
        <v>12</v>
      </c>
    </row>
    <row r="20230" spans="1:10" x14ac:dyDescent="0.25">
      <c r="A20230" t="s">
        <v>221</v>
      </c>
      <c r="B20230" s="1" t="str">
        <f>HYPERLINK("http://academy.com","academy.com")</f>
        <v>academy.com</v>
      </c>
      <c r="C20230" t="s">
        <v>433</v>
      </c>
      <c r="E20230">
        <v>7085</v>
      </c>
      <c r="F20230">
        <v>1.0527962605998701E-6</v>
      </c>
      <c r="G20230">
        <v>36439</v>
      </c>
      <c r="H20230">
        <v>17304110</v>
      </c>
      <c r="I20230">
        <v>27429</v>
      </c>
      <c r="J20230">
        <v>6</v>
      </c>
    </row>
    <row r="20231" spans="1:10" x14ac:dyDescent="0.25">
      <c r="A20231" t="s">
        <v>221</v>
      </c>
      <c r="B20231" s="1" t="str">
        <f>HYPERLINK("http://agas.com","agas.com")</f>
        <v>agas.com</v>
      </c>
      <c r="C20231" t="s">
        <v>433</v>
      </c>
      <c r="E20231">
        <v>776295</v>
      </c>
      <c r="F20231">
        <v>9.5321921998599107E-8</v>
      </c>
      <c r="G20231">
        <v>425044</v>
      </c>
      <c r="H20231">
        <v>13492488</v>
      </c>
      <c r="I20231">
        <v>9983967</v>
      </c>
      <c r="J20231">
        <v>9</v>
      </c>
    </row>
    <row r="20232" spans="1:10" x14ac:dyDescent="0.25">
      <c r="A20232" t="s">
        <v>221</v>
      </c>
      <c r="B20232" s="1" t="str">
        <f>HYPERLINK("http://agasem.com","agasem.com")</f>
        <v>agasem.com</v>
      </c>
      <c r="C20232" t="s">
        <v>433</v>
      </c>
      <c r="F20232">
        <v>8.4378140081547297E-9</v>
      </c>
      <c r="G20232">
        <v>8966520</v>
      </c>
      <c r="H20232">
        <v>12185889</v>
      </c>
      <c r="I20232">
        <v>23675992</v>
      </c>
      <c r="J20232">
        <v>12</v>
      </c>
    </row>
    <row r="20233" spans="1:10" x14ac:dyDescent="0.25">
      <c r="A20233" t="s">
        <v>221</v>
      </c>
      <c r="B20233" s="1" t="str">
        <f>HYPERLINK("http://agasrapidrecovery.com","agasrapidrecovery.com")</f>
        <v>agasrapidrecovery.com</v>
      </c>
      <c r="C20233" t="s">
        <v>433</v>
      </c>
      <c r="F20233">
        <v>1.1189319002276E-8</v>
      </c>
      <c r="G20233">
        <v>5720497</v>
      </c>
      <c r="H20233">
        <v>10844816</v>
      </c>
      <c r="I20233">
        <v>36992184</v>
      </c>
      <c r="J20233">
        <v>12</v>
      </c>
    </row>
    <row r="20234" spans="1:10" x14ac:dyDescent="0.25">
      <c r="A20234" t="s">
        <v>221</v>
      </c>
      <c r="B20234" s="1" t="str">
        <f>HYPERLINK("http://al-lighting.com","al-lighting.com")</f>
        <v>al-lighting.com</v>
      </c>
      <c r="C20234" t="s">
        <v>433</v>
      </c>
      <c r="F20234">
        <v>3.7350125283884803E-8</v>
      </c>
      <c r="G20234">
        <v>1386167</v>
      </c>
      <c r="H20234">
        <v>13842266</v>
      </c>
      <c r="I20234">
        <v>6068335</v>
      </c>
      <c r="J20234">
        <v>13</v>
      </c>
    </row>
    <row r="20235" spans="1:10" x14ac:dyDescent="0.25">
      <c r="A20235" t="s">
        <v>221</v>
      </c>
      <c r="B20235" s="1" t="str">
        <f>HYPERLINK("http://alludo.com","alludo.com")</f>
        <v>alludo.com</v>
      </c>
      <c r="C20235" t="s">
        <v>433</v>
      </c>
      <c r="E20235">
        <v>707529</v>
      </c>
      <c r="F20235">
        <v>6.2196016661872394E-8</v>
      </c>
      <c r="G20235">
        <v>706688</v>
      </c>
      <c r="H20235">
        <v>14087783</v>
      </c>
      <c r="I20235">
        <v>2761800</v>
      </c>
      <c r="J20235">
        <v>6</v>
      </c>
    </row>
    <row r="20236" spans="1:10" x14ac:dyDescent="0.25">
      <c r="A20236" t="s">
        <v>221</v>
      </c>
      <c r="B20236" s="1" t="str">
        <f>HYPERLINK("http://allvoices.com","allvoices.com")</f>
        <v>allvoices.com</v>
      </c>
      <c r="C20236" t="s">
        <v>433</v>
      </c>
      <c r="E20236">
        <v>53154</v>
      </c>
      <c r="F20236">
        <v>4.8055521184169002E-7</v>
      </c>
      <c r="G20236">
        <v>79146</v>
      </c>
      <c r="H20236">
        <v>17490504</v>
      </c>
      <c r="I20236">
        <v>14129</v>
      </c>
      <c r="J20236">
        <v>12</v>
      </c>
    </row>
    <row r="20237" spans="1:10" x14ac:dyDescent="0.25">
      <c r="A20237" t="s">
        <v>221</v>
      </c>
      <c r="B20237" s="1" t="str">
        <f>HYPERLINK("http://artur-pietryka.com","artur-pietryka.com")</f>
        <v>artur-pietryka.com</v>
      </c>
      <c r="C20237" t="s">
        <v>433</v>
      </c>
      <c r="F20237">
        <v>4.4754274878433601E-9</v>
      </c>
      <c r="G20237">
        <v>63321526</v>
      </c>
      <c r="H20237">
        <v>10980907</v>
      </c>
      <c r="I20237">
        <v>33919549</v>
      </c>
      <c r="J20237">
        <v>7</v>
      </c>
    </row>
    <row r="20238" spans="1:10" x14ac:dyDescent="0.25">
      <c r="A20238" t="s">
        <v>221</v>
      </c>
      <c r="B20238" s="1" t="str">
        <f>HYPERLINK("http://asobolife.com","asobolife.com")</f>
        <v>asobolife.com</v>
      </c>
      <c r="C20238" t="s">
        <v>433</v>
      </c>
      <c r="F20238">
        <v>1.12362043591261E-8</v>
      </c>
      <c r="G20238">
        <v>5687865</v>
      </c>
      <c r="H20238">
        <v>14070691</v>
      </c>
      <c r="I20238">
        <v>3716934</v>
      </c>
      <c r="J20238">
        <v>8</v>
      </c>
    </row>
    <row r="20239" spans="1:10" x14ac:dyDescent="0.25">
      <c r="A20239" t="s">
        <v>221</v>
      </c>
      <c r="B20239" s="1" t="str">
        <f>HYPERLINK("http://baculasystems.com","baculasystems.com")</f>
        <v>baculasystems.com</v>
      </c>
      <c r="C20239" t="s">
        <v>433</v>
      </c>
      <c r="E20239">
        <v>798173</v>
      </c>
      <c r="F20239">
        <v>1.71119851679414E-7</v>
      </c>
      <c r="G20239">
        <v>226666</v>
      </c>
      <c r="H20239">
        <v>16897254</v>
      </c>
      <c r="I20239">
        <v>133540</v>
      </c>
      <c r="J20239">
        <v>11</v>
      </c>
    </row>
    <row r="20240" spans="1:10" x14ac:dyDescent="0.25">
      <c r="A20240" t="s">
        <v>221</v>
      </c>
      <c r="B20240" s="1" t="str">
        <f>HYPERLINK("http://bsonetwork.com","bsonetwork.com")</f>
        <v>bsonetwork.com</v>
      </c>
      <c r="C20240" t="s">
        <v>433</v>
      </c>
      <c r="F20240">
        <v>7.8740032491502395E-8</v>
      </c>
      <c r="G20240">
        <v>530835</v>
      </c>
      <c r="H20240">
        <v>16774480</v>
      </c>
      <c r="I20240">
        <v>219814</v>
      </c>
      <c r="J20240">
        <v>12</v>
      </c>
    </row>
    <row r="20241" spans="1:10" x14ac:dyDescent="0.25">
      <c r="A20241" t="s">
        <v>221</v>
      </c>
      <c r="B20241" s="1" t="str">
        <f>HYPERLINK("http://canalblog.com","canalblog.com")</f>
        <v>canalblog.com</v>
      </c>
      <c r="C20241" t="s">
        <v>433</v>
      </c>
      <c r="E20241">
        <v>6071</v>
      </c>
      <c r="F20241">
        <v>6.7339091586290401E-6</v>
      </c>
      <c r="G20241">
        <v>4993</v>
      </c>
      <c r="H20241">
        <v>17941212</v>
      </c>
      <c r="I20241">
        <v>4122</v>
      </c>
      <c r="J20241">
        <v>8</v>
      </c>
    </row>
    <row r="20242" spans="1:10" x14ac:dyDescent="0.25">
      <c r="A20242" t="s">
        <v>221</v>
      </c>
      <c r="B20242" s="1" t="str">
        <f>HYPERLINK("http://captaintrain.com","captaintrain.com")</f>
        <v>captaintrain.com</v>
      </c>
      <c r="C20242" t="s">
        <v>433</v>
      </c>
      <c r="F20242">
        <v>4.1589290596480002E-8</v>
      </c>
      <c r="G20242">
        <v>1193805</v>
      </c>
      <c r="H20242">
        <v>14533035</v>
      </c>
      <c r="I20242">
        <v>783658</v>
      </c>
      <c r="J20242">
        <v>9</v>
      </c>
    </row>
    <row r="20243" spans="1:10" x14ac:dyDescent="0.25">
      <c r="A20243" t="s">
        <v>221</v>
      </c>
      <c r="B20243" s="1" t="str">
        <f>HYPERLINK("http://cardenasmarkets.com","cardenasmarkets.com")</f>
        <v>cardenasmarkets.com</v>
      </c>
      <c r="C20243" t="s">
        <v>433</v>
      </c>
      <c r="E20243">
        <v>447835</v>
      </c>
      <c r="F20243">
        <v>1.2008509996679901E-7</v>
      </c>
      <c r="G20243">
        <v>329185</v>
      </c>
      <c r="H20243">
        <v>14053192</v>
      </c>
      <c r="I20243">
        <v>3892325</v>
      </c>
      <c r="J20243">
        <v>6</v>
      </c>
    </row>
    <row r="20244" spans="1:10" x14ac:dyDescent="0.25">
      <c r="A20244" t="s">
        <v>221</v>
      </c>
      <c r="B20244" s="1" t="str">
        <f>HYPERLINK("http://chaucergroup.com","chaucergroup.com")</f>
        <v>chaucergroup.com</v>
      </c>
      <c r="C20244" t="s">
        <v>433</v>
      </c>
      <c r="F20244">
        <v>5.0116870614193797E-8</v>
      </c>
      <c r="G20244">
        <v>918572</v>
      </c>
      <c r="H20244">
        <v>12937247</v>
      </c>
      <c r="I20244">
        <v>13323339</v>
      </c>
      <c r="J20244">
        <v>12</v>
      </c>
    </row>
    <row r="20245" spans="1:10" x14ac:dyDescent="0.25">
      <c r="A20245" t="s">
        <v>221</v>
      </c>
      <c r="B20245" s="1" t="str">
        <f>HYPERLINK("http://chaucerplc.com","chaucerplc.com")</f>
        <v>chaucerplc.com</v>
      </c>
      <c r="C20245" t="s">
        <v>433</v>
      </c>
      <c r="E20245">
        <v>300841</v>
      </c>
      <c r="F20245">
        <v>2.6222663234293099E-8</v>
      </c>
      <c r="G20245">
        <v>1964268</v>
      </c>
      <c r="H20245">
        <v>13052283</v>
      </c>
      <c r="I20245">
        <v>12576095</v>
      </c>
      <c r="J20245">
        <v>15</v>
      </c>
    </row>
    <row r="20246" spans="1:10" x14ac:dyDescent="0.25">
      <c r="A20246" t="s">
        <v>221</v>
      </c>
      <c r="B20246" s="1" t="str">
        <f>HYPERLINK("http://checkmarx.com","checkmarx.com")</f>
        <v>checkmarx.com</v>
      </c>
      <c r="C20246" t="s">
        <v>433</v>
      </c>
      <c r="E20246">
        <v>77356</v>
      </c>
      <c r="F20246">
        <v>1.4098702456262699E-6</v>
      </c>
      <c r="G20246">
        <v>27740</v>
      </c>
      <c r="H20246">
        <v>17375566</v>
      </c>
      <c r="I20246">
        <v>21007</v>
      </c>
      <c r="J20246">
        <v>11</v>
      </c>
    </row>
    <row r="20247" spans="1:10" x14ac:dyDescent="0.25">
      <c r="A20247" t="s">
        <v>221</v>
      </c>
      <c r="B20247" s="1" t="str">
        <f>HYPERLINK("http://chinafoodsltd.com","chinafoodsltd.com")</f>
        <v>chinafoodsltd.com</v>
      </c>
      <c r="C20247" t="s">
        <v>433</v>
      </c>
      <c r="F20247">
        <v>3.7636431458155802E-8</v>
      </c>
      <c r="G20247">
        <v>1374967</v>
      </c>
      <c r="H20247">
        <v>13572076</v>
      </c>
      <c r="I20247">
        <v>9716052</v>
      </c>
      <c r="J20247">
        <v>8</v>
      </c>
    </row>
    <row r="20248" spans="1:10" x14ac:dyDescent="0.25">
      <c r="A20248" t="s">
        <v>221</v>
      </c>
      <c r="B20248" s="1" t="str">
        <f>HYPERLINK("http://ckeurope.com","ckeurope.com")</f>
        <v>ckeurope.com</v>
      </c>
      <c r="C20248" t="s">
        <v>433</v>
      </c>
      <c r="F20248">
        <v>9.8963618842688604E-9</v>
      </c>
      <c r="G20248">
        <v>6863211</v>
      </c>
      <c r="H20248">
        <v>12566341</v>
      </c>
      <c r="I20248">
        <v>16656745</v>
      </c>
      <c r="J20248">
        <v>8</v>
      </c>
    </row>
    <row r="20249" spans="1:10" x14ac:dyDescent="0.25">
      <c r="A20249" t="s">
        <v>221</v>
      </c>
      <c r="B20249" s="1" t="str">
        <f>HYPERLINK("http://cloudexpoeurope.com","cloudexpoeurope.com")</f>
        <v>cloudexpoeurope.com</v>
      </c>
      <c r="C20249" t="s">
        <v>433</v>
      </c>
      <c r="F20249">
        <v>5.5514294155401705E-7</v>
      </c>
      <c r="G20249">
        <v>69785</v>
      </c>
      <c r="H20249">
        <v>13991548</v>
      </c>
      <c r="I20249">
        <v>4030813</v>
      </c>
      <c r="J20249">
        <v>9</v>
      </c>
    </row>
    <row r="20250" spans="1:10" x14ac:dyDescent="0.25">
      <c r="A20250" t="s">
        <v>221</v>
      </c>
      <c r="B20250" s="1" t="str">
        <f>HYPERLINK("http://cofcoagri.com","cofcoagri.com")</f>
        <v>cofcoagri.com</v>
      </c>
      <c r="C20250" t="s">
        <v>433</v>
      </c>
      <c r="F20250">
        <v>6.4744946222227302E-9</v>
      </c>
      <c r="G20250">
        <v>14185869</v>
      </c>
      <c r="H20250">
        <v>10838114</v>
      </c>
      <c r="I20250">
        <v>37215089</v>
      </c>
      <c r="J20250">
        <v>10</v>
      </c>
    </row>
    <row r="20251" spans="1:10" x14ac:dyDescent="0.25">
      <c r="A20251" t="s">
        <v>221</v>
      </c>
      <c r="B20251" s="1" t="str">
        <f>HYPERLINK("http://cofcoagriamericasresources.com","cofcoagriamericasresources.com")</f>
        <v>cofcoagriamericasresources.com</v>
      </c>
      <c r="C20251" t="s">
        <v>433</v>
      </c>
      <c r="J20251">
        <v>12</v>
      </c>
    </row>
    <row r="20252" spans="1:10" x14ac:dyDescent="0.25">
      <c r="A20252" t="s">
        <v>221</v>
      </c>
      <c r="B20252" s="1" t="str">
        <f>HYPERLINK("http://cofcointernatinal.com","cofcointernatinal.com")</f>
        <v>cofcointernatinal.com</v>
      </c>
      <c r="C20252" t="s">
        <v>433</v>
      </c>
      <c r="J20252">
        <v>13</v>
      </c>
    </row>
    <row r="20253" spans="1:10" x14ac:dyDescent="0.25">
      <c r="A20253" t="s">
        <v>221</v>
      </c>
      <c r="B20253" s="1" t="str">
        <f>HYPERLINK("http://cofcointernational.com","cofcointernational.com")</f>
        <v>cofcointernational.com</v>
      </c>
      <c r="C20253" t="s">
        <v>433</v>
      </c>
      <c r="E20253">
        <v>548931</v>
      </c>
      <c r="F20253">
        <v>8.0544138158765004E-8</v>
      </c>
      <c r="G20253">
        <v>518482</v>
      </c>
      <c r="H20253">
        <v>14192602</v>
      </c>
      <c r="I20253">
        <v>1745164</v>
      </c>
      <c r="J20253">
        <v>7</v>
      </c>
    </row>
    <row r="20254" spans="1:10" x14ac:dyDescent="0.25">
      <c r="A20254" t="s">
        <v>221</v>
      </c>
      <c r="B20254" s="1" t="str">
        <f>HYPERLINK("http://commonwealthannuity.com","commonwealthannuity.com")</f>
        <v>commonwealthannuity.com</v>
      </c>
      <c r="C20254" t="s">
        <v>433</v>
      </c>
      <c r="F20254">
        <v>8.65347312535791E-9</v>
      </c>
      <c r="G20254">
        <v>8560646</v>
      </c>
      <c r="H20254">
        <v>12179857</v>
      </c>
      <c r="I20254">
        <v>23819448</v>
      </c>
      <c r="J20254">
        <v>3</v>
      </c>
    </row>
    <row r="20255" spans="1:10" x14ac:dyDescent="0.25">
      <c r="A20255" t="s">
        <v>221</v>
      </c>
      <c r="B20255" s="1" t="str">
        <f>HYPERLINK("http://corel.com","corel.com")</f>
        <v>corel.com</v>
      </c>
      <c r="C20255" t="s">
        <v>433</v>
      </c>
      <c r="E20255">
        <v>5106</v>
      </c>
      <c r="F20255">
        <v>5.8751449293908698E-6</v>
      </c>
      <c r="G20255">
        <v>5888</v>
      </c>
      <c r="H20255">
        <v>18692786</v>
      </c>
      <c r="I20255">
        <v>1024</v>
      </c>
      <c r="J20255">
        <v>7</v>
      </c>
    </row>
    <row r="20256" spans="1:10" x14ac:dyDescent="0.25">
      <c r="A20256" t="s">
        <v>221</v>
      </c>
      <c r="B20256" s="1" t="str">
        <f>HYPERLINK("http://countrycrock.com","countrycrock.com")</f>
        <v>countrycrock.com</v>
      </c>
      <c r="C20256" t="s">
        <v>433</v>
      </c>
      <c r="E20256">
        <v>95421</v>
      </c>
      <c r="F20256">
        <v>5.8442763392730899E-8</v>
      </c>
      <c r="G20256">
        <v>760145</v>
      </c>
      <c r="H20256">
        <v>14200362</v>
      </c>
      <c r="I20256">
        <v>1723542</v>
      </c>
      <c r="J20256">
        <v>7</v>
      </c>
    </row>
    <row r="20257" spans="1:10" x14ac:dyDescent="0.25">
      <c r="A20257" t="s">
        <v>221</v>
      </c>
      <c r="B20257" s="1" t="str">
        <f>HYPERLINK("http://datranmedia.com","datranmedia.com")</f>
        <v>datranmedia.com</v>
      </c>
      <c r="C20257" t="s">
        <v>433</v>
      </c>
      <c r="F20257">
        <v>1.8640896897885299E-8</v>
      </c>
      <c r="G20257">
        <v>2899969</v>
      </c>
      <c r="H20257">
        <v>13807952</v>
      </c>
      <c r="I20257">
        <v>6224038</v>
      </c>
      <c r="J20257">
        <v>12</v>
      </c>
    </row>
    <row r="20258" spans="1:10" x14ac:dyDescent="0.25">
      <c r="A20258" t="s">
        <v>221</v>
      </c>
      <c r="B20258" s="1" t="str">
        <f>HYPERLINK("http://diebold.com","diebold.com")</f>
        <v>diebold.com</v>
      </c>
      <c r="C20258" t="s">
        <v>433</v>
      </c>
      <c r="E20258">
        <v>50430</v>
      </c>
      <c r="F20258">
        <v>1.41759546366174E-7</v>
      </c>
      <c r="G20258">
        <v>274668</v>
      </c>
      <c r="H20258">
        <v>14795168</v>
      </c>
      <c r="I20258">
        <v>549640</v>
      </c>
      <c r="J20258">
        <v>8</v>
      </c>
    </row>
    <row r="20259" spans="1:10" x14ac:dyDescent="0.25">
      <c r="A20259" t="s">
        <v>221</v>
      </c>
      <c r="B20259" s="1" t="str">
        <f>HYPERLINK("http://dieboldnixdorf.com","dieboldnixdorf.com")</f>
        <v>dieboldnixdorf.com</v>
      </c>
      <c r="C20259" t="s">
        <v>433</v>
      </c>
      <c r="E20259">
        <v>110446</v>
      </c>
      <c r="F20259">
        <v>5.27425174169193E-7</v>
      </c>
      <c r="G20259">
        <v>72972</v>
      </c>
      <c r="H20259">
        <v>14801865</v>
      </c>
      <c r="I20259">
        <v>547880</v>
      </c>
      <c r="J20259">
        <v>8</v>
      </c>
    </row>
    <row r="20260" spans="1:10" x14ac:dyDescent="0.25">
      <c r="A20260" t="s">
        <v>221</v>
      </c>
      <c r="B20260" s="1" t="str">
        <f>HYPERLINK("http://easycoop.com","easycoop.com")</f>
        <v>easycoop.com</v>
      </c>
      <c r="C20260" t="s">
        <v>433</v>
      </c>
      <c r="E20260">
        <v>396214</v>
      </c>
      <c r="F20260">
        <v>8.4313947883477297E-8</v>
      </c>
      <c r="G20260">
        <v>490300</v>
      </c>
      <c r="H20260">
        <v>16875382</v>
      </c>
      <c r="I20260">
        <v>141957</v>
      </c>
      <c r="J20260">
        <v>14</v>
      </c>
    </row>
    <row r="20261" spans="1:10" x14ac:dyDescent="0.25">
      <c r="A20261" t="s">
        <v>221</v>
      </c>
      <c r="B20261" s="1" t="str">
        <f>HYPERLINK("http://energyfutureholdings.com","energyfutureholdings.com")</f>
        <v>energyfutureholdings.com</v>
      </c>
      <c r="C20261" t="s">
        <v>433</v>
      </c>
      <c r="F20261">
        <v>2.6889107302596301E-8</v>
      </c>
      <c r="G20261">
        <v>1913004</v>
      </c>
      <c r="H20261">
        <v>14296247</v>
      </c>
      <c r="I20261">
        <v>1360088</v>
      </c>
      <c r="J20261">
        <v>6</v>
      </c>
    </row>
    <row r="20262" spans="1:10" x14ac:dyDescent="0.25">
      <c r="A20262" t="s">
        <v>221</v>
      </c>
      <c r="B20262" s="1" t="str">
        <f>HYPERLINK("http://forethought.com","forethought.com")</f>
        <v>forethought.com</v>
      </c>
      <c r="C20262" t="s">
        <v>433</v>
      </c>
      <c r="F20262">
        <v>1.5671345339375201E-8</v>
      </c>
      <c r="G20262">
        <v>3635385</v>
      </c>
      <c r="H20262">
        <v>13517853</v>
      </c>
      <c r="I20262">
        <v>9941063</v>
      </c>
      <c r="J20262">
        <v>3</v>
      </c>
    </row>
    <row r="20263" spans="1:10" x14ac:dyDescent="0.25">
      <c r="A20263" t="s">
        <v>221</v>
      </c>
      <c r="B20263" s="1" t="str">
        <f>HYPERLINK("http://gitlab.com","gitlab.com")</f>
        <v>gitlab.com</v>
      </c>
      <c r="C20263" t="s">
        <v>433</v>
      </c>
      <c r="E20263">
        <v>643</v>
      </c>
      <c r="F20263">
        <v>7.0901299143346098E-5</v>
      </c>
      <c r="G20263">
        <v>370</v>
      </c>
      <c r="H20263">
        <v>19395758</v>
      </c>
      <c r="I20263">
        <v>216</v>
      </c>
      <c r="J20263">
        <v>11</v>
      </c>
    </row>
    <row r="20264" spans="1:10" x14ac:dyDescent="0.25">
      <c r="A20264" t="s">
        <v>221</v>
      </c>
      <c r="B20264" s="1" t="str">
        <f>HYPERLINK("http://globalatlantic.com","globalatlantic.com")</f>
        <v>globalatlantic.com</v>
      </c>
      <c r="C20264" t="s">
        <v>433</v>
      </c>
      <c r="E20264">
        <v>318641</v>
      </c>
      <c r="F20264">
        <v>1.3057513339825699E-7</v>
      </c>
      <c r="G20264">
        <v>299697</v>
      </c>
      <c r="H20264">
        <v>13981649</v>
      </c>
      <c r="I20264">
        <v>4047901</v>
      </c>
      <c r="J20264">
        <v>3</v>
      </c>
    </row>
    <row r="20265" spans="1:10" x14ac:dyDescent="0.25">
      <c r="A20265" t="s">
        <v>221</v>
      </c>
      <c r="B20265" s="1" t="str">
        <f>HYPERLINK("http://hanover.com","hanover.com")</f>
        <v>hanover.com</v>
      </c>
      <c r="C20265" t="s">
        <v>433</v>
      </c>
      <c r="E20265">
        <v>58484</v>
      </c>
      <c r="F20265">
        <v>5.5529242282096597E-7</v>
      </c>
      <c r="G20265">
        <v>69775</v>
      </c>
      <c r="H20265">
        <v>17137206</v>
      </c>
      <c r="I20265">
        <v>55015</v>
      </c>
      <c r="J20265">
        <v>4</v>
      </c>
    </row>
    <row r="20266" spans="1:10" x14ac:dyDescent="0.25">
      <c r="A20266" t="s">
        <v>221</v>
      </c>
      <c r="B20266" s="1" t="str">
        <f>HYPERLINK("http://highgearmedia.com","highgearmedia.com")</f>
        <v>highgearmedia.com</v>
      </c>
      <c r="C20266" t="s">
        <v>433</v>
      </c>
      <c r="F20266">
        <v>2.87768601483551E-8</v>
      </c>
      <c r="G20266">
        <v>1788531</v>
      </c>
      <c r="H20266">
        <v>14219551</v>
      </c>
      <c r="I20266">
        <v>1687455</v>
      </c>
      <c r="J20266">
        <v>8</v>
      </c>
    </row>
    <row r="20267" spans="1:10" x14ac:dyDescent="0.25">
      <c r="A20267" t="s">
        <v>221</v>
      </c>
      <c r="B20267" s="1" t="str">
        <f>HYPERLINK("http://hildinganders.com","hildinganders.com")</f>
        <v>hildinganders.com</v>
      </c>
      <c r="C20267" t="s">
        <v>433</v>
      </c>
      <c r="F20267">
        <v>6.0516458657113699E-8</v>
      </c>
      <c r="G20267">
        <v>728597</v>
      </c>
      <c r="H20267">
        <v>14080794</v>
      </c>
      <c r="I20267">
        <v>2816553</v>
      </c>
      <c r="J20267">
        <v>9</v>
      </c>
    </row>
    <row r="20268" spans="1:10" x14ac:dyDescent="0.25">
      <c r="A20268" t="s">
        <v>221</v>
      </c>
      <c r="B20268" s="1" t="str">
        <f>HYPERLINK("http://hyve.com","hyve.com")</f>
        <v>hyve.com</v>
      </c>
      <c r="C20268" t="s">
        <v>433</v>
      </c>
      <c r="E20268">
        <v>164865</v>
      </c>
      <c r="F20268">
        <v>1.27346744123874E-7</v>
      </c>
      <c r="G20268">
        <v>308606</v>
      </c>
      <c r="H20268">
        <v>13661919</v>
      </c>
      <c r="I20268">
        <v>9572684</v>
      </c>
      <c r="J20268">
        <v>11</v>
      </c>
    </row>
    <row r="20269" spans="1:10" x14ac:dyDescent="0.25">
      <c r="A20269" t="s">
        <v>221</v>
      </c>
      <c r="B20269" s="1" t="str">
        <f>HYPERLINK("http://internetbrands.com","internetbrands.com")</f>
        <v>internetbrands.com</v>
      </c>
      <c r="C20269" t="s">
        <v>433</v>
      </c>
      <c r="E20269">
        <v>40903</v>
      </c>
      <c r="F20269">
        <v>3.2057590166823001E-6</v>
      </c>
      <c r="G20269">
        <v>12418</v>
      </c>
      <c r="H20269">
        <v>14919428</v>
      </c>
      <c r="I20269">
        <v>452391</v>
      </c>
      <c r="J20269">
        <v>6</v>
      </c>
    </row>
    <row r="20270" spans="1:10" x14ac:dyDescent="0.25">
      <c r="A20270" t="s">
        <v>221</v>
      </c>
      <c r="B20270" s="1" t="str">
        <f>HYPERLINK("http://intervideo.com","intervideo.com")</f>
        <v>intervideo.com</v>
      </c>
      <c r="C20270" t="s">
        <v>433</v>
      </c>
      <c r="E20270">
        <v>369374</v>
      </c>
      <c r="F20270">
        <v>5.5762995879448901E-8</v>
      </c>
      <c r="G20270">
        <v>803966</v>
      </c>
      <c r="H20270">
        <v>14527324</v>
      </c>
      <c r="I20270">
        <v>792112</v>
      </c>
      <c r="J20270">
        <v>8</v>
      </c>
    </row>
    <row r="20271" spans="1:10" x14ac:dyDescent="0.25">
      <c r="A20271" t="s">
        <v>221</v>
      </c>
      <c r="B20271" s="1" t="str">
        <f>HYPERLINK("http://jaguar-network.com","jaguar-network.com")</f>
        <v>jaguar-network.com</v>
      </c>
      <c r="C20271" t="s">
        <v>433</v>
      </c>
      <c r="F20271">
        <v>2.32229266052664E-7</v>
      </c>
      <c r="G20271">
        <v>161644</v>
      </c>
      <c r="H20271">
        <v>16833078</v>
      </c>
      <c r="I20271">
        <v>165759</v>
      </c>
      <c r="J20271">
        <v>12</v>
      </c>
    </row>
    <row r="20272" spans="1:10" x14ac:dyDescent="0.25">
      <c r="A20272" t="s">
        <v>221</v>
      </c>
      <c r="B20272" s="1" t="str">
        <f>HYPERLINK("http://kentik.com","kentik.com")</f>
        <v>kentik.com</v>
      </c>
      <c r="C20272" t="s">
        <v>433</v>
      </c>
      <c r="E20272">
        <v>54082</v>
      </c>
      <c r="F20272">
        <v>1.0127577208057501E-6</v>
      </c>
      <c r="G20272">
        <v>37794</v>
      </c>
      <c r="H20272">
        <v>17462544</v>
      </c>
      <c r="I20272">
        <v>15467</v>
      </c>
      <c r="J20272">
        <v>11</v>
      </c>
    </row>
    <row r="20273" spans="1:10" x14ac:dyDescent="0.25">
      <c r="A20273" t="s">
        <v>221</v>
      </c>
      <c r="B20273" s="1" t="str">
        <f>HYPERLINK("http://kkr.com","kkr.com")</f>
        <v>kkr.com</v>
      </c>
      <c r="C20273" t="s">
        <v>433</v>
      </c>
      <c r="E20273">
        <v>47182</v>
      </c>
      <c r="F20273">
        <v>9.2403042753194803E-7</v>
      </c>
      <c r="G20273">
        <v>41736</v>
      </c>
      <c r="H20273">
        <v>15320794</v>
      </c>
      <c r="I20273">
        <v>384588</v>
      </c>
      <c r="J20273">
        <v>3</v>
      </c>
    </row>
    <row r="20274" spans="1:10" x14ac:dyDescent="0.25">
      <c r="A20274" t="s">
        <v>221</v>
      </c>
      <c r="B20274" s="1" t="str">
        <f>HYPERLINK("http://koki-holdings.com","koki-holdings.com")</f>
        <v>koki-holdings.com</v>
      </c>
      <c r="C20274" t="s">
        <v>433</v>
      </c>
      <c r="F20274">
        <v>1.8600668301744399E-8</v>
      </c>
      <c r="G20274">
        <v>2907216</v>
      </c>
      <c r="H20274">
        <v>11506689</v>
      </c>
      <c r="I20274">
        <v>30019905</v>
      </c>
      <c r="J20274">
        <v>7</v>
      </c>
    </row>
    <row r="20275" spans="1:10" x14ac:dyDescent="0.25">
      <c r="A20275" t="s">
        <v>221</v>
      </c>
      <c r="B20275" s="1" t="str">
        <f>HYPERLINK("http://logisteed.com","logisteed.com")</f>
        <v>logisteed.com</v>
      </c>
      <c r="C20275" t="s">
        <v>433</v>
      </c>
      <c r="J20275">
        <v>6</v>
      </c>
    </row>
    <row r="20276" spans="1:10" x14ac:dyDescent="0.25">
      <c r="A20276" t="s">
        <v>221</v>
      </c>
      <c r="B20276" s="1" t="str">
        <f>HYPERLINK("http://magnetimarelli.com","magnetimarelli.com")</f>
        <v>magnetimarelli.com</v>
      </c>
      <c r="C20276" t="s">
        <v>433</v>
      </c>
      <c r="E20276">
        <v>295391</v>
      </c>
      <c r="F20276">
        <v>1.5761069383011301E-7</v>
      </c>
      <c r="G20276">
        <v>246385</v>
      </c>
      <c r="H20276">
        <v>15036197</v>
      </c>
      <c r="I20276">
        <v>417342</v>
      </c>
      <c r="J20276">
        <v>13</v>
      </c>
    </row>
    <row r="20277" spans="1:10" x14ac:dyDescent="0.25">
      <c r="A20277" t="s">
        <v>221</v>
      </c>
      <c r="B20277" s="1" t="str">
        <f>HYPERLINK("http://magnettimarelli.com","magnettimarelli.com")</f>
        <v>magnettimarelli.com</v>
      </c>
      <c r="C20277" t="s">
        <v>433</v>
      </c>
      <c r="J20277">
        <v>14</v>
      </c>
    </row>
    <row r="20278" spans="1:10" x14ac:dyDescent="0.25">
      <c r="A20278" t="s">
        <v>221</v>
      </c>
      <c r="B20278" s="1" t="str">
        <f>HYPERLINK("http://marelli.com","marelli.com")</f>
        <v>marelli.com</v>
      </c>
      <c r="C20278" t="s">
        <v>433</v>
      </c>
      <c r="E20278">
        <v>174433</v>
      </c>
      <c r="F20278">
        <v>1.36715854261338E-7</v>
      </c>
      <c r="G20278">
        <v>285114</v>
      </c>
      <c r="H20278">
        <v>14443812</v>
      </c>
      <c r="I20278">
        <v>1059228</v>
      </c>
      <c r="J20278">
        <v>7</v>
      </c>
    </row>
    <row r="20279" spans="1:10" x14ac:dyDescent="0.25">
      <c r="A20279" t="s">
        <v>221</v>
      </c>
      <c r="B20279" s="1" t="str">
        <f>HYPERLINK("http://marelliusa.com","marelliusa.com")</f>
        <v>marelliusa.com</v>
      </c>
      <c r="C20279" t="s">
        <v>433</v>
      </c>
      <c r="F20279">
        <v>4.4982125090606501E-9</v>
      </c>
      <c r="G20279">
        <v>59206334</v>
      </c>
      <c r="H20279">
        <v>12909847</v>
      </c>
      <c r="I20279">
        <v>13569985</v>
      </c>
      <c r="J20279">
        <v>10</v>
      </c>
    </row>
    <row r="20280" spans="1:10" x14ac:dyDescent="0.25">
      <c r="A20280" t="s">
        <v>221</v>
      </c>
      <c r="B20280" s="1" t="str">
        <f>HYPERLINK("http://martindalenolo.com","martindalenolo.com")</f>
        <v>martindalenolo.com</v>
      </c>
      <c r="C20280" t="s">
        <v>433</v>
      </c>
      <c r="E20280">
        <v>728378</v>
      </c>
      <c r="F20280">
        <v>7.96891060704133E-8</v>
      </c>
      <c r="G20280">
        <v>524237</v>
      </c>
      <c r="H20280">
        <v>13333274</v>
      </c>
      <c r="I20280">
        <v>10712202</v>
      </c>
      <c r="J20280">
        <v>9</v>
      </c>
    </row>
    <row r="20281" spans="1:10" x14ac:dyDescent="0.25">
      <c r="A20281" t="s">
        <v>221</v>
      </c>
      <c r="B20281" s="1" t="str">
        <f>HYPERLINK("http://maxedadiygroup.com","maxedadiygroup.com")</f>
        <v>maxedadiygroup.com</v>
      </c>
      <c r="C20281" t="s">
        <v>433</v>
      </c>
      <c r="E20281">
        <v>965766</v>
      </c>
      <c r="F20281">
        <v>7.52072242243063E-8</v>
      </c>
      <c r="G20281">
        <v>559198</v>
      </c>
      <c r="H20281">
        <v>16752257</v>
      </c>
      <c r="I20281">
        <v>253646</v>
      </c>
      <c r="J20281">
        <v>12</v>
      </c>
    </row>
    <row r="20282" spans="1:10" x14ac:dyDescent="0.25">
      <c r="A20282" t="s">
        <v>221</v>
      </c>
      <c r="B20282" s="1" t="str">
        <f>HYPERLINK("http://medicinenet.com","medicinenet.com")</f>
        <v>medicinenet.com</v>
      </c>
      <c r="C20282" t="s">
        <v>433</v>
      </c>
      <c r="E20282">
        <v>3409</v>
      </c>
      <c r="F20282">
        <v>6.3126138660882299E-6</v>
      </c>
      <c r="G20282">
        <v>5409</v>
      </c>
      <c r="H20282">
        <v>17720486</v>
      </c>
      <c r="I20282">
        <v>6920</v>
      </c>
      <c r="J20282">
        <v>8</v>
      </c>
    </row>
    <row r="20283" spans="1:10" x14ac:dyDescent="0.25">
      <c r="A20283" t="s">
        <v>221</v>
      </c>
      <c r="B20283" s="1" t="str">
        <f>HYPERLINK("http://mindjet.com","mindjet.com")</f>
        <v>mindjet.com</v>
      </c>
      <c r="C20283" t="s">
        <v>433</v>
      </c>
      <c r="E20283">
        <v>46136</v>
      </c>
      <c r="F20283">
        <v>7.1842333746585502E-7</v>
      </c>
      <c r="G20283">
        <v>54041</v>
      </c>
      <c r="H20283">
        <v>15520720</v>
      </c>
      <c r="I20283">
        <v>376133</v>
      </c>
      <c r="J20283">
        <v>7</v>
      </c>
    </row>
    <row r="20284" spans="1:10" x14ac:dyDescent="0.25">
      <c r="A20284" t="s">
        <v>221</v>
      </c>
      <c r="B20284" s="1" t="str">
        <f>HYPERLINK("http://mindmanager.com","mindmanager.com")</f>
        <v>mindmanager.com</v>
      </c>
      <c r="C20284" t="s">
        <v>433</v>
      </c>
      <c r="E20284">
        <v>50176</v>
      </c>
      <c r="F20284">
        <v>3.23376295058094E-7</v>
      </c>
      <c r="G20284">
        <v>115128</v>
      </c>
      <c r="H20284">
        <v>17171404</v>
      </c>
      <c r="I20284">
        <v>47431</v>
      </c>
      <c r="J20284">
        <v>9</v>
      </c>
    </row>
    <row r="20285" spans="1:10" x14ac:dyDescent="0.25">
      <c r="A20285" t="s">
        <v>221</v>
      </c>
      <c r="B20285" s="1" t="str">
        <f>HYPERLINK("http://mmck-holdings.com","mmck-holdings.com")</f>
        <v>mmck-holdings.com</v>
      </c>
      <c r="C20285" t="s">
        <v>433</v>
      </c>
      <c r="F20285">
        <v>9.8616981127540801E-9</v>
      </c>
      <c r="G20285">
        <v>6900713</v>
      </c>
      <c r="H20285">
        <v>12568768</v>
      </c>
      <c r="I20285">
        <v>16635962</v>
      </c>
      <c r="J20285">
        <v>12</v>
      </c>
    </row>
    <row r="20286" spans="1:10" x14ac:dyDescent="0.25">
      <c r="A20286" t="s">
        <v>221</v>
      </c>
      <c r="B20286" s="1" t="str">
        <f>HYPERLINK("http://moderndairyir.com","moderndairyir.com")</f>
        <v>moderndairyir.com</v>
      </c>
      <c r="C20286" t="s">
        <v>433</v>
      </c>
      <c r="F20286">
        <v>5.8612452568875102E-9</v>
      </c>
      <c r="G20286">
        <v>17629366</v>
      </c>
      <c r="H20286">
        <v>12413049</v>
      </c>
      <c r="I20286">
        <v>18563445</v>
      </c>
      <c r="J20286">
        <v>6</v>
      </c>
    </row>
    <row r="20287" spans="1:10" x14ac:dyDescent="0.25">
      <c r="A20287" t="s">
        <v>221</v>
      </c>
      <c r="B20287" s="1" t="str">
        <f>HYPERLINK("http://mulberrybagssuk.com","mulberrybagssuk.com")</f>
        <v>mulberrybagssuk.com</v>
      </c>
      <c r="C20287" t="s">
        <v>433</v>
      </c>
      <c r="F20287">
        <v>6.96622448737547E-9</v>
      </c>
      <c r="G20287">
        <v>12413184</v>
      </c>
      <c r="H20287">
        <v>13345866</v>
      </c>
      <c r="I20287">
        <v>10650131</v>
      </c>
      <c r="J20287">
        <v>7</v>
      </c>
    </row>
    <row r="20288" spans="1:10" x14ac:dyDescent="0.25">
      <c r="A20288" t="s">
        <v>221</v>
      </c>
      <c r="B20288" s="1" t="str">
        <f>HYPERLINK("http://mypetnexus.com","mypetnexus.com")</f>
        <v>mypetnexus.com</v>
      </c>
      <c r="C20288" t="s">
        <v>433</v>
      </c>
      <c r="F20288">
        <v>4.44831350436722E-8</v>
      </c>
      <c r="G20288">
        <v>1065601</v>
      </c>
      <c r="H20288">
        <v>11347776</v>
      </c>
      <c r="I20288">
        <v>30397502</v>
      </c>
      <c r="J20288">
        <v>9</v>
      </c>
    </row>
    <row r="20289" spans="1:10" x14ac:dyDescent="0.25">
      <c r="A20289" t="s">
        <v>221</v>
      </c>
      <c r="B20289" s="1" t="str">
        <f>HYPERLINK("http://nidera.com","nidera.com")</f>
        <v>nidera.com</v>
      </c>
      <c r="C20289" t="s">
        <v>433</v>
      </c>
      <c r="F20289">
        <v>9.6126092091186398E-9</v>
      </c>
      <c r="G20289">
        <v>7184647</v>
      </c>
      <c r="H20289">
        <v>14494419</v>
      </c>
      <c r="I20289">
        <v>881798</v>
      </c>
      <c r="J20289">
        <v>12</v>
      </c>
    </row>
    <row r="20290" spans="1:10" x14ac:dyDescent="0.25">
      <c r="A20290" t="s">
        <v>221</v>
      </c>
      <c r="B20290" s="1" t="str">
        <f>HYPERLINK("http://nidera-us.com","nidera-us.com")</f>
        <v>nidera-us.com</v>
      </c>
      <c r="C20290" t="s">
        <v>433</v>
      </c>
      <c r="J20290">
        <v>12</v>
      </c>
    </row>
    <row r="20291" spans="1:10" x14ac:dyDescent="0.25">
      <c r="A20291" t="s">
        <v>221</v>
      </c>
      <c r="B20291" s="1" t="str">
        <f>HYPERLINK("http://noblecoffee.com","noblecoffee.com")</f>
        <v>noblecoffee.com</v>
      </c>
      <c r="C20291" t="s">
        <v>433</v>
      </c>
      <c r="F20291">
        <v>4.44380395335525E-9</v>
      </c>
      <c r="G20291">
        <v>82822195</v>
      </c>
      <c r="H20291">
        <v>0</v>
      </c>
      <c r="I20291">
        <v>83514724</v>
      </c>
      <c r="J20291">
        <v>12</v>
      </c>
    </row>
    <row r="20292" spans="1:10" x14ac:dyDescent="0.25">
      <c r="A20292" t="s">
        <v>221</v>
      </c>
      <c r="B20292" s="1" t="str">
        <f>HYPERLINK("http://noblegrain.com","noblegrain.com")</f>
        <v>noblegrain.com</v>
      </c>
      <c r="C20292" t="s">
        <v>433</v>
      </c>
      <c r="F20292">
        <v>4.5952392894908698E-9</v>
      </c>
      <c r="G20292">
        <v>47979439</v>
      </c>
      <c r="H20292">
        <v>10598024</v>
      </c>
      <c r="I20292">
        <v>45016093</v>
      </c>
      <c r="J20292">
        <v>12</v>
      </c>
    </row>
    <row r="20293" spans="1:10" x14ac:dyDescent="0.25">
      <c r="A20293" t="s">
        <v>221</v>
      </c>
      <c r="B20293" s="1" t="str">
        <f>HYPERLINK("http://opusinvestment.com","opusinvestment.com")</f>
        <v>opusinvestment.com</v>
      </c>
      <c r="C20293" t="s">
        <v>433</v>
      </c>
      <c r="F20293">
        <v>7.56749385002513E-9</v>
      </c>
      <c r="G20293">
        <v>10869031</v>
      </c>
      <c r="H20293">
        <v>12218200</v>
      </c>
      <c r="I20293">
        <v>22827735</v>
      </c>
      <c r="J20293">
        <v>9</v>
      </c>
    </row>
    <row r="20294" spans="1:10" x14ac:dyDescent="0.25">
      <c r="A20294" t="s">
        <v>221</v>
      </c>
      <c r="B20294" s="1" t="str">
        <f>HYPERLINK("http://parallels.com","parallels.com")</f>
        <v>parallels.com</v>
      </c>
      <c r="C20294" t="s">
        <v>433</v>
      </c>
      <c r="E20294">
        <v>1550</v>
      </c>
      <c r="F20294">
        <v>4.2531343349347099E-5</v>
      </c>
      <c r="G20294">
        <v>634</v>
      </c>
      <c r="H20294">
        <v>18132052</v>
      </c>
      <c r="I20294">
        <v>2991</v>
      </c>
      <c r="J20294">
        <v>7</v>
      </c>
    </row>
    <row r="20295" spans="1:10" x14ac:dyDescent="0.25">
      <c r="A20295" t="s">
        <v>221</v>
      </c>
      <c r="B20295" s="1" t="str">
        <f>HYPERLINK("http://peachfuzzer.com","peachfuzzer.com")</f>
        <v>peachfuzzer.com</v>
      </c>
      <c r="C20295" t="s">
        <v>433</v>
      </c>
      <c r="F20295">
        <v>6.8039506407534802E-8</v>
      </c>
      <c r="G20295">
        <v>627284</v>
      </c>
      <c r="H20295">
        <v>14703031</v>
      </c>
      <c r="I20295">
        <v>589704</v>
      </c>
      <c r="J20295">
        <v>14</v>
      </c>
    </row>
    <row r="20296" spans="1:10" x14ac:dyDescent="0.25">
      <c r="A20296" t="s">
        <v>221</v>
      </c>
      <c r="B20296" s="1" t="str">
        <f>HYPERLINK("http://petainer.com","petainer.com")</f>
        <v>petainer.com</v>
      </c>
      <c r="C20296" t="s">
        <v>433</v>
      </c>
      <c r="F20296">
        <v>3.1176425772947999E-8</v>
      </c>
      <c r="G20296">
        <v>1653616</v>
      </c>
      <c r="H20296">
        <v>14427401</v>
      </c>
      <c r="I20296">
        <v>1077813</v>
      </c>
      <c r="J20296">
        <v>7</v>
      </c>
    </row>
    <row r="20297" spans="1:10" x14ac:dyDescent="0.25">
      <c r="A20297" t="s">
        <v>221</v>
      </c>
      <c r="B20297" s="1" t="str">
        <f>HYPERLINK("http://phoenix-interactive.com","phoenix-interactive.com")</f>
        <v>phoenix-interactive.com</v>
      </c>
      <c r="C20297" t="s">
        <v>433</v>
      </c>
      <c r="F20297">
        <v>5.4628838728043604E-9</v>
      </c>
      <c r="G20297">
        <v>21326101</v>
      </c>
      <c r="H20297">
        <v>13763814</v>
      </c>
      <c r="I20297">
        <v>7592117</v>
      </c>
      <c r="J20297">
        <v>10</v>
      </c>
    </row>
    <row r="20298" spans="1:10" x14ac:dyDescent="0.25">
      <c r="A20298" t="s">
        <v>221</v>
      </c>
      <c r="B20298" s="1" t="str">
        <f>HYPERLINK("http://pny.com","pny.com")</f>
        <v>pny.com</v>
      </c>
      <c r="C20298" t="s">
        <v>433</v>
      </c>
      <c r="E20298">
        <v>73958</v>
      </c>
      <c r="F20298">
        <v>4.9703396761514004E-7</v>
      </c>
      <c r="G20298">
        <v>76868</v>
      </c>
      <c r="H20298">
        <v>15345924</v>
      </c>
      <c r="I20298">
        <v>383052</v>
      </c>
      <c r="J20298">
        <v>13</v>
      </c>
    </row>
    <row r="20299" spans="1:10" x14ac:dyDescent="0.25">
      <c r="A20299" t="s">
        <v>221</v>
      </c>
      <c r="B20299" s="1" t="str">
        <f>HYPERLINK("http://pulsepoint.com","pulsepoint.com")</f>
        <v>pulsepoint.com</v>
      </c>
      <c r="C20299" t="s">
        <v>433</v>
      </c>
      <c r="E20299">
        <v>88758</v>
      </c>
      <c r="F20299">
        <v>3.73879979890435E-6</v>
      </c>
      <c r="G20299">
        <v>11151</v>
      </c>
      <c r="H20299">
        <v>17034790</v>
      </c>
      <c r="I20299">
        <v>81681</v>
      </c>
      <c r="J20299">
        <v>8</v>
      </c>
    </row>
    <row r="20300" spans="1:10" x14ac:dyDescent="0.25">
      <c r="A20300" t="s">
        <v>221</v>
      </c>
      <c r="B20300" s="1" t="str">
        <f>HYPERLINK("http://rama.com","rama.com")</f>
        <v>rama.com</v>
      </c>
      <c r="C20300" t="s">
        <v>433</v>
      </c>
      <c r="E20300">
        <v>768291</v>
      </c>
      <c r="F20300">
        <v>6.6136564334009905E-8</v>
      </c>
      <c r="G20300">
        <v>648674</v>
      </c>
      <c r="H20300">
        <v>13770643</v>
      </c>
      <c r="I20300">
        <v>6721240</v>
      </c>
      <c r="J20300">
        <v>7</v>
      </c>
    </row>
    <row r="20301" spans="1:10" x14ac:dyDescent="0.25">
      <c r="A20301" t="s">
        <v>221</v>
      </c>
      <c r="B20301" s="1" t="str">
        <f>HYPERLINK("http://rvshare.com","rvshare.com")</f>
        <v>rvshare.com</v>
      </c>
      <c r="C20301" t="s">
        <v>433</v>
      </c>
      <c r="E20301">
        <v>36037</v>
      </c>
      <c r="F20301">
        <v>6.1286068470934805E-7</v>
      </c>
      <c r="G20301">
        <v>62441</v>
      </c>
      <c r="H20301">
        <v>15659778</v>
      </c>
      <c r="I20301">
        <v>370556</v>
      </c>
      <c r="J20301">
        <v>6</v>
      </c>
    </row>
    <row r="20302" spans="1:10" x14ac:dyDescent="0.25">
      <c r="A20302" t="s">
        <v>221</v>
      </c>
      <c r="B20302" s="1" t="str">
        <f>HYPERLINK("http://rxlist.com","rxlist.com")</f>
        <v>rxlist.com</v>
      </c>
      <c r="C20302" t="s">
        <v>433</v>
      </c>
      <c r="E20302">
        <v>9824</v>
      </c>
      <c r="F20302">
        <v>2.2098174573928798E-6</v>
      </c>
      <c r="G20302">
        <v>16610</v>
      </c>
      <c r="H20302">
        <v>17611654</v>
      </c>
      <c r="I20302">
        <v>9336</v>
      </c>
      <c r="J20302">
        <v>8</v>
      </c>
    </row>
    <row r="20303" spans="1:10" x14ac:dyDescent="0.25">
      <c r="A20303" t="s">
        <v>221</v>
      </c>
      <c r="B20303" s="1" t="str">
        <f>HYPERLINK("http://selecta.com","selecta.com")</f>
        <v>selecta.com</v>
      </c>
      <c r="C20303" t="s">
        <v>433</v>
      </c>
      <c r="E20303">
        <v>250127</v>
      </c>
      <c r="F20303">
        <v>2.02279618971995E-7</v>
      </c>
      <c r="G20303">
        <v>188070</v>
      </c>
      <c r="H20303">
        <v>13908814</v>
      </c>
      <c r="I20303">
        <v>5943396</v>
      </c>
      <c r="J20303">
        <v>6</v>
      </c>
    </row>
    <row r="20304" spans="1:10" x14ac:dyDescent="0.25">
      <c r="A20304" t="s">
        <v>221</v>
      </c>
      <c r="B20304" s="1" t="str">
        <f>HYPERLINK("http://sessasuperstore.com","sessasuperstore.com")</f>
        <v>sessasuperstore.com</v>
      </c>
      <c r="C20304" t="s">
        <v>433</v>
      </c>
      <c r="J20304">
        <v>13</v>
      </c>
    </row>
    <row r="20305" spans="1:10" x14ac:dyDescent="0.25">
      <c r="A20305" t="s">
        <v>221</v>
      </c>
      <c r="B20305" s="1" t="str">
        <f>HYPERLINK("http://splashtop.com","splashtop.com")</f>
        <v>splashtop.com</v>
      </c>
      <c r="C20305" t="s">
        <v>433</v>
      </c>
      <c r="E20305">
        <v>983</v>
      </c>
      <c r="F20305">
        <v>1.9749236001182399E-6</v>
      </c>
      <c r="G20305">
        <v>18539</v>
      </c>
      <c r="H20305">
        <v>17438178</v>
      </c>
      <c r="I20305">
        <v>16787</v>
      </c>
      <c r="J20305">
        <v>11</v>
      </c>
    </row>
    <row r="20306" spans="1:10" x14ac:dyDescent="0.25">
      <c r="A20306" t="s">
        <v>221</v>
      </c>
      <c r="B20306" s="1" t="str">
        <f>HYPERLINK("http://thetrainline.com","thetrainline.com")</f>
        <v>thetrainline.com</v>
      </c>
      <c r="C20306" t="s">
        <v>433</v>
      </c>
      <c r="E20306">
        <v>7763</v>
      </c>
      <c r="F20306">
        <v>1.79783800992968E-6</v>
      </c>
      <c r="G20306">
        <v>21625</v>
      </c>
      <c r="H20306">
        <v>17580026</v>
      </c>
      <c r="I20306">
        <v>10301</v>
      </c>
      <c r="J20306">
        <v>6</v>
      </c>
    </row>
    <row r="20307" spans="1:10" x14ac:dyDescent="0.25">
      <c r="A20307" t="s">
        <v>221</v>
      </c>
      <c r="B20307" s="1" t="str">
        <f>HYPERLINK("http://trainline.com","trainline.com")</f>
        <v>trainline.com</v>
      </c>
      <c r="C20307" t="s">
        <v>433</v>
      </c>
      <c r="E20307">
        <v>134247</v>
      </c>
      <c r="F20307">
        <v>1.58527662923476E-7</v>
      </c>
      <c r="G20307">
        <v>244900</v>
      </c>
      <c r="H20307">
        <v>15119530</v>
      </c>
      <c r="I20307">
        <v>403794</v>
      </c>
      <c r="J20307">
        <v>8</v>
      </c>
    </row>
    <row r="20308" spans="1:10" x14ac:dyDescent="0.25">
      <c r="A20308" t="s">
        <v>221</v>
      </c>
      <c r="B20308" s="1" t="str">
        <f>HYPERLINK("http://travelmood.com","travelmood.com")</f>
        <v>travelmood.com</v>
      </c>
      <c r="C20308" t="s">
        <v>433</v>
      </c>
      <c r="F20308">
        <v>6.7505409618756298E-9</v>
      </c>
      <c r="G20308">
        <v>13127179</v>
      </c>
      <c r="H20308">
        <v>12401673</v>
      </c>
      <c r="I20308">
        <v>18754264</v>
      </c>
      <c r="J20308">
        <v>10</v>
      </c>
    </row>
    <row r="20309" spans="1:10" x14ac:dyDescent="0.25">
      <c r="A20309" t="s">
        <v>221</v>
      </c>
      <c r="B20309" s="1" t="str">
        <f>HYPERLINK("http://travelopia.com","travelopia.com")</f>
        <v>travelopia.com</v>
      </c>
      <c r="C20309" t="s">
        <v>433</v>
      </c>
      <c r="F20309">
        <v>3.2490378468675099E-8</v>
      </c>
      <c r="G20309">
        <v>1590234</v>
      </c>
      <c r="H20309">
        <v>13419303</v>
      </c>
      <c r="I20309">
        <v>10306706</v>
      </c>
      <c r="J20309">
        <v>7</v>
      </c>
    </row>
    <row r="20310" spans="1:10" x14ac:dyDescent="0.25">
      <c r="A20310" t="s">
        <v>221</v>
      </c>
      <c r="B20310" s="1" t="str">
        <f>HYPERLINK("http://trekamerica.com","trekamerica.com")</f>
        <v>trekamerica.com</v>
      </c>
      <c r="C20310" t="s">
        <v>433</v>
      </c>
      <c r="E20310">
        <v>854850</v>
      </c>
      <c r="F20310">
        <v>2.39659877831478E-8</v>
      </c>
      <c r="G20310">
        <v>2166277</v>
      </c>
      <c r="H20310">
        <v>13982527</v>
      </c>
      <c r="I20310">
        <v>4045941</v>
      </c>
      <c r="J20310">
        <v>10</v>
      </c>
    </row>
    <row r="20311" spans="1:10" x14ac:dyDescent="0.25">
      <c r="A20311" t="s">
        <v>221</v>
      </c>
      <c r="B20311" s="1" t="str">
        <f>HYPERLINK("http://ttlnonprod.com","ttlnonprod.com")</f>
        <v>ttlnonprod.com</v>
      </c>
      <c r="C20311" t="s">
        <v>433</v>
      </c>
      <c r="J20311">
        <v>8</v>
      </c>
    </row>
    <row r="20312" spans="1:10" x14ac:dyDescent="0.25">
      <c r="A20312" t="s">
        <v>221</v>
      </c>
      <c r="B20312" s="1" t="str">
        <f>HYPERLINK("http://upfield.com","upfield.com")</f>
        <v>upfield.com</v>
      </c>
      <c r="C20312" t="s">
        <v>433</v>
      </c>
      <c r="E20312">
        <v>284617</v>
      </c>
      <c r="F20312">
        <v>1.9719672274344401E-7</v>
      </c>
      <c r="G20312">
        <v>195539</v>
      </c>
      <c r="H20312">
        <v>14699669</v>
      </c>
      <c r="I20312">
        <v>593792</v>
      </c>
      <c r="J20312">
        <v>6</v>
      </c>
    </row>
    <row r="20313" spans="1:10" x14ac:dyDescent="0.25">
      <c r="A20313" t="s">
        <v>221</v>
      </c>
      <c r="B20313" s="1" t="str">
        <f>HYPERLINK("http://velo-time.com","velo-time.com")</f>
        <v>velo-time.com</v>
      </c>
      <c r="C20313" t="s">
        <v>433</v>
      </c>
      <c r="F20313">
        <v>4.5478048416151202E-9</v>
      </c>
      <c r="G20313">
        <v>52436017</v>
      </c>
      <c r="H20313">
        <v>10792458</v>
      </c>
      <c r="I20313">
        <v>38406475</v>
      </c>
      <c r="J20313">
        <v>10</v>
      </c>
    </row>
    <row r="20314" spans="1:10" x14ac:dyDescent="0.25">
      <c r="A20314" t="s">
        <v>221</v>
      </c>
      <c r="B20314" s="1" t="str">
        <f>HYPERLINK("http://weareworldchallenge.com","weareworldchallenge.com")</f>
        <v>weareworldchallenge.com</v>
      </c>
      <c r="C20314" t="s">
        <v>433</v>
      </c>
      <c r="F20314">
        <v>9.6076749685112802E-8</v>
      </c>
      <c r="G20314">
        <v>421171</v>
      </c>
      <c r="H20314">
        <v>12872077</v>
      </c>
      <c r="I20314">
        <v>14054339</v>
      </c>
      <c r="J20314">
        <v>14</v>
      </c>
    </row>
    <row r="20315" spans="1:10" x14ac:dyDescent="0.25">
      <c r="A20315" t="s">
        <v>221</v>
      </c>
      <c r="B20315" s="1" t="str">
        <f>HYPERLINK("http://webmd.com","webmd.com")</f>
        <v>webmd.com</v>
      </c>
      <c r="C20315" t="s">
        <v>433</v>
      </c>
      <c r="E20315">
        <v>376</v>
      </c>
      <c r="F20315">
        <v>4.0578685589322201E-5</v>
      </c>
      <c r="G20315">
        <v>666</v>
      </c>
      <c r="H20315">
        <v>18466562</v>
      </c>
      <c r="I20315">
        <v>1723</v>
      </c>
      <c r="J20315">
        <v>7</v>
      </c>
    </row>
    <row r="20316" spans="1:10" x14ac:dyDescent="0.25">
      <c r="A20316" t="s">
        <v>221</v>
      </c>
      <c r="B20316" s="1" t="str">
        <f>HYPERLINK("http://wincor-nixdorf.com","wincor-nixdorf.com")</f>
        <v>wincor-nixdorf.com</v>
      </c>
      <c r="C20316" t="s">
        <v>433</v>
      </c>
      <c r="E20316">
        <v>98841</v>
      </c>
      <c r="F20316">
        <v>1.0449203639187E-7</v>
      </c>
      <c r="G20316">
        <v>383643</v>
      </c>
      <c r="H20316">
        <v>15058597</v>
      </c>
      <c r="I20316">
        <v>413055</v>
      </c>
      <c r="J20316">
        <v>6</v>
      </c>
    </row>
    <row r="20317" spans="1:10" x14ac:dyDescent="0.25">
      <c r="A20317" t="s">
        <v>221</v>
      </c>
      <c r="B20317" s="1" t="str">
        <f>HYPERLINK("http://xiandaimuye.com","xiandaimuye.com")</f>
        <v>xiandaimuye.com</v>
      </c>
      <c r="C20317" t="s">
        <v>433</v>
      </c>
      <c r="F20317">
        <v>7.6014931725974698E-9</v>
      </c>
      <c r="G20317">
        <v>10791408</v>
      </c>
      <c r="H20317">
        <v>12935717</v>
      </c>
      <c r="I20317">
        <v>13340590</v>
      </c>
      <c r="J20317">
        <v>6</v>
      </c>
    </row>
    <row r="20318" spans="1:10" x14ac:dyDescent="0.25">
      <c r="A20318" t="s">
        <v>221</v>
      </c>
      <c r="B20318" s="1" t="str">
        <f>HYPERLINK("http://librerie.coop","librerie.coop")</f>
        <v>librerie.coop</v>
      </c>
      <c r="C20318" t="s">
        <v>747</v>
      </c>
      <c r="E20318">
        <v>785891</v>
      </c>
      <c r="F20318">
        <v>1.6413197444945499E-7</v>
      </c>
      <c r="G20318">
        <v>236464</v>
      </c>
      <c r="H20318">
        <v>14531834</v>
      </c>
      <c r="I20318">
        <v>785157</v>
      </c>
      <c r="J20318">
        <v>14</v>
      </c>
    </row>
    <row r="20319" spans="1:10" x14ac:dyDescent="0.25">
      <c r="A20319" t="s">
        <v>221</v>
      </c>
      <c r="B20319" s="1" t="str">
        <f>HYPERLINK("http://10zig.de","10zig.de")</f>
        <v>10zig.de</v>
      </c>
      <c r="C20319" t="s">
        <v>436</v>
      </c>
      <c r="D20319" t="s">
        <v>815</v>
      </c>
      <c r="F20319">
        <v>6.67292854932746E-9</v>
      </c>
      <c r="G20319">
        <v>13400958</v>
      </c>
      <c r="H20319">
        <v>12750336</v>
      </c>
      <c r="I20319">
        <v>15048912</v>
      </c>
      <c r="J20319">
        <v>13</v>
      </c>
    </row>
    <row r="20320" spans="1:10" x14ac:dyDescent="0.25">
      <c r="A20320" t="s">
        <v>221</v>
      </c>
      <c r="B20320" s="1" t="str">
        <f>HYPERLINK("http://al-lighting.de","al-lighting.de")</f>
        <v>al-lighting.de</v>
      </c>
      <c r="C20320" t="s">
        <v>436</v>
      </c>
      <c r="D20320" t="s">
        <v>815</v>
      </c>
      <c r="F20320">
        <v>1.47685774883752E-8</v>
      </c>
      <c r="G20320">
        <v>3917772</v>
      </c>
      <c r="H20320">
        <v>14421397</v>
      </c>
      <c r="I20320">
        <v>1087517</v>
      </c>
      <c r="J20320">
        <v>12</v>
      </c>
    </row>
    <row r="20321" spans="1:10" x14ac:dyDescent="0.25">
      <c r="A20321" t="s">
        <v>221</v>
      </c>
      <c r="B20321" s="1" t="str">
        <f>HYPERLINK("http://cloudexpoeurope.de","cloudexpoeurope.de")</f>
        <v>cloudexpoeurope.de</v>
      </c>
      <c r="C20321" t="s">
        <v>436</v>
      </c>
      <c r="D20321" t="s">
        <v>815</v>
      </c>
      <c r="F20321">
        <v>1.5785428352147099E-7</v>
      </c>
      <c r="G20321">
        <v>245971</v>
      </c>
      <c r="H20321">
        <v>14094704</v>
      </c>
      <c r="I20321">
        <v>2731384</v>
      </c>
      <c r="J20321">
        <v>10</v>
      </c>
    </row>
    <row r="20322" spans="1:10" x14ac:dyDescent="0.25">
      <c r="A20322" t="s">
        <v>221</v>
      </c>
      <c r="B20322" s="1" t="str">
        <f>HYPERLINK("http://corel.de","corel.de")</f>
        <v>corel.de</v>
      </c>
      <c r="C20322" t="s">
        <v>436</v>
      </c>
      <c r="D20322" t="s">
        <v>815</v>
      </c>
      <c r="F20322">
        <v>5.8242546742137097E-8</v>
      </c>
      <c r="G20322">
        <v>763484</v>
      </c>
      <c r="H20322">
        <v>12921487</v>
      </c>
      <c r="I20322">
        <v>13423152</v>
      </c>
      <c r="J20322">
        <v>8</v>
      </c>
    </row>
    <row r="20323" spans="1:10" x14ac:dyDescent="0.25">
      <c r="A20323" t="s">
        <v>221</v>
      </c>
      <c r="B20323" s="1" t="str">
        <f>HYPERLINK("http://master-yachting.de","master-yachting.de")</f>
        <v>master-yachting.de</v>
      </c>
      <c r="C20323" t="s">
        <v>436</v>
      </c>
      <c r="D20323" t="s">
        <v>815</v>
      </c>
      <c r="F20323">
        <v>2.2817855876977699E-8</v>
      </c>
      <c r="G20323">
        <v>2291893</v>
      </c>
      <c r="H20323">
        <v>13794617</v>
      </c>
      <c r="I20323">
        <v>6314502</v>
      </c>
      <c r="J20323">
        <v>12</v>
      </c>
    </row>
    <row r="20324" spans="1:10" x14ac:dyDescent="0.25">
      <c r="A20324" t="s">
        <v>221</v>
      </c>
      <c r="B20324" s="1" t="str">
        <f>HYPERLINK("http://mindjet.de","mindjet.de")</f>
        <v>mindjet.de</v>
      </c>
      <c r="C20324" t="s">
        <v>436</v>
      </c>
      <c r="D20324" t="s">
        <v>815</v>
      </c>
      <c r="F20324">
        <v>2.6839971712721899E-8</v>
      </c>
      <c r="G20324">
        <v>1916620</v>
      </c>
      <c r="H20324">
        <v>13941789</v>
      </c>
      <c r="I20324">
        <v>4341595</v>
      </c>
      <c r="J20324">
        <v>8</v>
      </c>
    </row>
    <row r="20325" spans="1:10" x14ac:dyDescent="0.25">
      <c r="A20325" t="s">
        <v>221</v>
      </c>
      <c r="B20325" s="1" t="str">
        <f>HYPERLINK("http://rama.de","rama.de")</f>
        <v>rama.de</v>
      </c>
      <c r="C20325" t="s">
        <v>436</v>
      </c>
      <c r="D20325" t="s">
        <v>815</v>
      </c>
      <c r="F20325">
        <v>1.1485796237449499E-8</v>
      </c>
      <c r="G20325">
        <v>5515078</v>
      </c>
      <c r="H20325">
        <v>13797812</v>
      </c>
      <c r="I20325">
        <v>6294879</v>
      </c>
      <c r="J20325">
        <v>7</v>
      </c>
    </row>
    <row r="20326" spans="1:10" x14ac:dyDescent="0.25">
      <c r="A20326" t="s">
        <v>221</v>
      </c>
      <c r="B20326" s="1" t="str">
        <f>HYPERLINK("http://trainline.de","trainline.de")</f>
        <v>trainline.de</v>
      </c>
      <c r="C20326" t="s">
        <v>436</v>
      </c>
      <c r="D20326" t="s">
        <v>815</v>
      </c>
      <c r="F20326">
        <v>3.2034471627754602E-8</v>
      </c>
      <c r="G20326">
        <v>1613618</v>
      </c>
      <c r="H20326">
        <v>12821036</v>
      </c>
      <c r="I20326">
        <v>14501364</v>
      </c>
      <c r="J20326">
        <v>8</v>
      </c>
    </row>
    <row r="20327" spans="1:10" x14ac:dyDescent="0.25">
      <c r="A20327" t="s">
        <v>221</v>
      </c>
      <c r="B20327" s="1" t="str">
        <f>HYPERLINK("http://rvshare.dev","rvshare.dev")</f>
        <v>rvshare.dev</v>
      </c>
      <c r="C20327" t="s">
        <v>527</v>
      </c>
      <c r="F20327">
        <v>4.50979477955273E-9</v>
      </c>
      <c r="G20327">
        <v>57529569</v>
      </c>
      <c r="H20327">
        <v>11318735</v>
      </c>
      <c r="I20327">
        <v>30515461</v>
      </c>
      <c r="J20327">
        <v>7</v>
      </c>
    </row>
    <row r="20328" spans="1:10" x14ac:dyDescent="0.25">
      <c r="A20328" t="s">
        <v>221</v>
      </c>
      <c r="B20328" s="1" t="str">
        <f>HYPERLINK("http://selecta.dk","selecta.dk")</f>
        <v>selecta.dk</v>
      </c>
      <c r="C20328" t="s">
        <v>437</v>
      </c>
      <c r="D20328" t="s">
        <v>816</v>
      </c>
      <c r="F20328">
        <v>5.1943322345677298E-9</v>
      </c>
      <c r="G20328">
        <v>25263629</v>
      </c>
      <c r="H20328">
        <v>12134053</v>
      </c>
      <c r="I20328">
        <v>25026041</v>
      </c>
      <c r="J20328">
        <v>7</v>
      </c>
    </row>
    <row r="20329" spans="1:10" x14ac:dyDescent="0.25">
      <c r="A20329" t="s">
        <v>221</v>
      </c>
      <c r="B20329" s="1" t="str">
        <f>HYPERLINK("http://brico-burgos.es","brico-burgos.es")</f>
        <v>brico-burgos.es</v>
      </c>
      <c r="C20329" t="s">
        <v>443</v>
      </c>
      <c r="D20329" t="s">
        <v>822</v>
      </c>
      <c r="F20329">
        <v>4.4438681803208001E-9</v>
      </c>
      <c r="G20329">
        <v>78195511</v>
      </c>
      <c r="H20329">
        <v>10490427</v>
      </c>
      <c r="I20329">
        <v>50623103</v>
      </c>
      <c r="J20329">
        <v>8</v>
      </c>
    </row>
    <row r="20330" spans="1:10" x14ac:dyDescent="0.25">
      <c r="A20330" t="s">
        <v>221</v>
      </c>
      <c r="B20330" s="1" t="str">
        <f>HYPERLINK("http://cloudexpoeurope.es","cloudexpoeurope.es")</f>
        <v>cloudexpoeurope.es</v>
      </c>
      <c r="C20330" t="s">
        <v>443</v>
      </c>
      <c r="D20330" t="s">
        <v>822</v>
      </c>
      <c r="F20330">
        <v>4.1406662634497901E-8</v>
      </c>
      <c r="G20330">
        <v>1207809</v>
      </c>
      <c r="H20330">
        <v>13443829</v>
      </c>
      <c r="I20330">
        <v>10225652</v>
      </c>
      <c r="J20330">
        <v>10</v>
      </c>
    </row>
    <row r="20331" spans="1:10" x14ac:dyDescent="0.25">
      <c r="A20331" t="s">
        <v>221</v>
      </c>
      <c r="B20331" s="1" t="str">
        <f>HYPERLINK("http://hildinganders.es","hildinganders.es")</f>
        <v>hildinganders.es</v>
      </c>
      <c r="C20331" t="s">
        <v>443</v>
      </c>
      <c r="D20331" t="s">
        <v>822</v>
      </c>
      <c r="F20331">
        <v>6.6296461230865697E-9</v>
      </c>
      <c r="G20331">
        <v>13561364</v>
      </c>
      <c r="H20331">
        <v>12420081</v>
      </c>
      <c r="I20331">
        <v>18457890</v>
      </c>
      <c r="J20331">
        <v>11</v>
      </c>
    </row>
    <row r="20332" spans="1:10" x14ac:dyDescent="0.25">
      <c r="A20332" t="s">
        <v>221</v>
      </c>
      <c r="B20332" s="1" t="str">
        <f>HYPERLINK("http://selecta.es","selecta.es")</f>
        <v>selecta.es</v>
      </c>
      <c r="C20332" t="s">
        <v>443</v>
      </c>
      <c r="D20332" t="s">
        <v>822</v>
      </c>
      <c r="F20332">
        <v>1.4632218592086501E-8</v>
      </c>
      <c r="G20332">
        <v>3964909</v>
      </c>
      <c r="H20332">
        <v>13132601</v>
      </c>
      <c r="I20332">
        <v>11926391</v>
      </c>
      <c r="J20332">
        <v>7</v>
      </c>
    </row>
    <row r="20333" spans="1:10" x14ac:dyDescent="0.25">
      <c r="A20333" t="s">
        <v>221</v>
      </c>
      <c r="B20333" s="1" t="str">
        <f>HYPERLINK("http://sleepplanet.es","sleepplanet.es")</f>
        <v>sleepplanet.es</v>
      </c>
      <c r="C20333" t="s">
        <v>443</v>
      </c>
      <c r="D20333" t="s">
        <v>822</v>
      </c>
      <c r="F20333">
        <v>7.7200292650993905E-9</v>
      </c>
      <c r="G20333">
        <v>10528972</v>
      </c>
      <c r="H20333">
        <v>9473374</v>
      </c>
      <c r="I20333">
        <v>66132447</v>
      </c>
      <c r="J20333">
        <v>11</v>
      </c>
    </row>
    <row r="20334" spans="1:10" x14ac:dyDescent="0.25">
      <c r="A20334" t="s">
        <v>221</v>
      </c>
      <c r="B20334" s="1" t="str">
        <f>HYPERLINK("http://trainline.es","trainline.es")</f>
        <v>trainline.es</v>
      </c>
      <c r="C20334" t="s">
        <v>443</v>
      </c>
      <c r="D20334" t="s">
        <v>822</v>
      </c>
      <c r="F20334">
        <v>1.4405349565495701E-8</v>
      </c>
      <c r="G20334">
        <v>4055287</v>
      </c>
      <c r="H20334">
        <v>12488760</v>
      </c>
      <c r="I20334">
        <v>17503631</v>
      </c>
      <c r="J20334">
        <v>8</v>
      </c>
    </row>
    <row r="20335" spans="1:10" x14ac:dyDescent="0.25">
      <c r="A20335" t="s">
        <v>221</v>
      </c>
      <c r="B20335" s="1" t="str">
        <f>HYPERLINK("http://10zig.eu","10zig.eu")</f>
        <v>10zig.eu</v>
      </c>
      <c r="C20335" t="s">
        <v>444</v>
      </c>
      <c r="F20335">
        <v>7.76275633321306E-9</v>
      </c>
      <c r="G20335">
        <v>10408094</v>
      </c>
      <c r="H20335">
        <v>12844636</v>
      </c>
      <c r="I20335">
        <v>14321555</v>
      </c>
      <c r="J20335">
        <v>13</v>
      </c>
    </row>
    <row r="20336" spans="1:10" x14ac:dyDescent="0.25">
      <c r="A20336" t="s">
        <v>221</v>
      </c>
      <c r="B20336" s="1" t="str">
        <f>HYPERLINK("http://agasrapidrecovery.eu","agasrapidrecovery.eu")</f>
        <v>agasrapidrecovery.eu</v>
      </c>
      <c r="C20336" t="s">
        <v>444</v>
      </c>
      <c r="F20336">
        <v>5.4733488510235202E-9</v>
      </c>
      <c r="G20336">
        <v>21205626</v>
      </c>
      <c r="H20336">
        <v>10534902</v>
      </c>
      <c r="I20336">
        <v>47720027</v>
      </c>
      <c r="J20336">
        <v>13</v>
      </c>
    </row>
    <row r="20337" spans="1:10" x14ac:dyDescent="0.25">
      <c r="A20337" t="s">
        <v>221</v>
      </c>
      <c r="B20337" s="1" t="str">
        <f>HYPERLINK("http://kentik.eu","kentik.eu")</f>
        <v>kentik.eu</v>
      </c>
      <c r="C20337" t="s">
        <v>444</v>
      </c>
      <c r="F20337">
        <v>8.5105518383399904E-9</v>
      </c>
      <c r="G20337">
        <v>8825970</v>
      </c>
      <c r="H20337">
        <v>12308708</v>
      </c>
      <c r="I20337">
        <v>20645308</v>
      </c>
      <c r="J20337">
        <v>12</v>
      </c>
    </row>
    <row r="20338" spans="1:10" x14ac:dyDescent="0.25">
      <c r="A20338" t="s">
        <v>221</v>
      </c>
      <c r="B20338" s="1" t="str">
        <f>HYPERLINK("http://pny.eu","pny.eu")</f>
        <v>pny.eu</v>
      </c>
      <c r="C20338" t="s">
        <v>444</v>
      </c>
      <c r="E20338">
        <v>441775</v>
      </c>
      <c r="F20338">
        <v>1.02275494894523E-7</v>
      </c>
      <c r="G20338">
        <v>392663</v>
      </c>
      <c r="H20338">
        <v>14272821</v>
      </c>
      <c r="I20338">
        <v>1394677</v>
      </c>
      <c r="J20338">
        <v>12</v>
      </c>
    </row>
    <row r="20339" spans="1:10" x14ac:dyDescent="0.25">
      <c r="A20339" t="s">
        <v>221</v>
      </c>
      <c r="B20339" s="1" t="str">
        <f>HYPERLINK("http://splashtop.eu","splashtop.eu")</f>
        <v>splashtop.eu</v>
      </c>
      <c r="C20339" t="s">
        <v>444</v>
      </c>
      <c r="E20339">
        <v>20975</v>
      </c>
      <c r="F20339">
        <v>1.1350429339544499E-7</v>
      </c>
      <c r="G20339">
        <v>351251</v>
      </c>
      <c r="H20339">
        <v>12440537</v>
      </c>
      <c r="I20339">
        <v>18138377</v>
      </c>
      <c r="J20339">
        <v>12</v>
      </c>
    </row>
    <row r="20340" spans="1:10" x14ac:dyDescent="0.25">
      <c r="A20340" t="s">
        <v>221</v>
      </c>
      <c r="B20340" s="1" t="str">
        <f>HYPERLINK("http://trainline.eu","trainline.eu")</f>
        <v>trainline.eu</v>
      </c>
      <c r="C20340" t="s">
        <v>444</v>
      </c>
      <c r="E20340">
        <v>299540</v>
      </c>
      <c r="F20340">
        <v>2.21660600967562E-7</v>
      </c>
      <c r="G20340">
        <v>170049</v>
      </c>
      <c r="H20340">
        <v>14954458</v>
      </c>
      <c r="I20340">
        <v>439046</v>
      </c>
      <c r="J20340">
        <v>8</v>
      </c>
    </row>
    <row r="20341" spans="1:10" x14ac:dyDescent="0.25">
      <c r="A20341" t="s">
        <v>221</v>
      </c>
      <c r="B20341" s="1" t="str">
        <f>HYPERLINK("http://colour-sleep.fi","colour-sleep.fi")</f>
        <v>colour-sleep.fi</v>
      </c>
      <c r="C20341" t="s">
        <v>445</v>
      </c>
      <c r="D20341" t="s">
        <v>823</v>
      </c>
      <c r="J20341">
        <v>10</v>
      </c>
    </row>
    <row r="20342" spans="1:10" x14ac:dyDescent="0.25">
      <c r="A20342" t="s">
        <v>221</v>
      </c>
      <c r="B20342" s="1" t="str">
        <f>HYPERLINK("http://coloursleep.fi","coloursleep.fi")</f>
        <v>coloursleep.fi</v>
      </c>
      <c r="C20342" t="s">
        <v>445</v>
      </c>
      <c r="D20342" t="s">
        <v>823</v>
      </c>
      <c r="J20342">
        <v>10</v>
      </c>
    </row>
    <row r="20343" spans="1:10" x14ac:dyDescent="0.25">
      <c r="A20343" t="s">
        <v>221</v>
      </c>
      <c r="B20343" s="1" t="str">
        <f>HYPERLINK("http://diebold-nixdorf.fi","diebold-nixdorf.fi")</f>
        <v>diebold-nixdorf.fi</v>
      </c>
      <c r="C20343" t="s">
        <v>445</v>
      </c>
      <c r="D20343" t="s">
        <v>823</v>
      </c>
      <c r="J20343">
        <v>11</v>
      </c>
    </row>
    <row r="20344" spans="1:10" x14ac:dyDescent="0.25">
      <c r="A20344" t="s">
        <v>221</v>
      </c>
      <c r="B20344" s="1" t="str">
        <f>HYPERLINK("http://dieboldnixdorf.fi","dieboldnixdorf.fi")</f>
        <v>dieboldnixdorf.fi</v>
      </c>
      <c r="C20344" t="s">
        <v>445</v>
      </c>
      <c r="D20344" t="s">
        <v>823</v>
      </c>
      <c r="J20344">
        <v>11</v>
      </c>
    </row>
    <row r="20345" spans="1:10" x14ac:dyDescent="0.25">
      <c r="A20345" t="s">
        <v>221</v>
      </c>
      <c r="B20345" s="1" t="str">
        <f>HYPERLINK("http://jensensleep.fi","jensensleep.fi")</f>
        <v>jensensleep.fi</v>
      </c>
      <c r="C20345" t="s">
        <v>445</v>
      </c>
      <c r="D20345" t="s">
        <v>823</v>
      </c>
      <c r="J20345">
        <v>10</v>
      </c>
    </row>
    <row r="20346" spans="1:10" x14ac:dyDescent="0.25">
      <c r="A20346" t="s">
        <v>221</v>
      </c>
      <c r="B20346" s="1" t="str">
        <f>HYPERLINK("http://leboat.fi","leboat.fi")</f>
        <v>leboat.fi</v>
      </c>
      <c r="C20346" t="s">
        <v>445</v>
      </c>
      <c r="D20346" t="s">
        <v>823</v>
      </c>
      <c r="J20346">
        <v>12</v>
      </c>
    </row>
    <row r="20347" spans="1:10" x14ac:dyDescent="0.25">
      <c r="A20347" t="s">
        <v>221</v>
      </c>
      <c r="B20347" s="1" t="str">
        <f>HYPERLINK("http://sleepacy.fi","sleepacy.fi")</f>
        <v>sleepacy.fi</v>
      </c>
      <c r="C20347" t="s">
        <v>445</v>
      </c>
      <c r="D20347" t="s">
        <v>823</v>
      </c>
      <c r="J20347">
        <v>10</v>
      </c>
    </row>
    <row r="20348" spans="1:10" x14ac:dyDescent="0.25">
      <c r="A20348" t="s">
        <v>221</v>
      </c>
      <c r="B20348" s="1" t="str">
        <f>HYPERLINK("http://unicoop.fi","unicoop.fi")</f>
        <v>unicoop.fi</v>
      </c>
      <c r="C20348" t="s">
        <v>445</v>
      </c>
      <c r="D20348" t="s">
        <v>823</v>
      </c>
      <c r="F20348">
        <v>4.6808555647365801E-9</v>
      </c>
      <c r="G20348">
        <v>42284655</v>
      </c>
      <c r="H20348">
        <v>10970503</v>
      </c>
      <c r="I20348">
        <v>34135156</v>
      </c>
      <c r="J20348">
        <v>16</v>
      </c>
    </row>
    <row r="20349" spans="1:10" x14ac:dyDescent="0.25">
      <c r="A20349" t="s">
        <v>221</v>
      </c>
      <c r="B20349" s="1" t="str">
        <f>HYPERLINK("http://wincor.fi","wincor.fi")</f>
        <v>wincor.fi</v>
      </c>
      <c r="C20349" t="s">
        <v>445</v>
      </c>
      <c r="D20349" t="s">
        <v>823</v>
      </c>
      <c r="J20349">
        <v>11</v>
      </c>
    </row>
    <row r="20350" spans="1:10" x14ac:dyDescent="0.25">
      <c r="A20350" t="s">
        <v>221</v>
      </c>
      <c r="B20350" s="1" t="str">
        <f>HYPERLINK("http://wincor-nixdorf.fi","wincor-nixdorf.fi")</f>
        <v>wincor-nixdorf.fi</v>
      </c>
      <c r="C20350" t="s">
        <v>445</v>
      </c>
      <c r="D20350" t="s">
        <v>823</v>
      </c>
      <c r="J20350">
        <v>11</v>
      </c>
    </row>
    <row r="20351" spans="1:10" x14ac:dyDescent="0.25">
      <c r="A20351" t="s">
        <v>221</v>
      </c>
      <c r="B20351" s="1" t="str">
        <f>HYPERLINK("http://wincor-world.fi","wincor-world.fi")</f>
        <v>wincor-world.fi</v>
      </c>
      <c r="C20351" t="s">
        <v>445</v>
      </c>
      <c r="D20351" t="s">
        <v>823</v>
      </c>
      <c r="J20351">
        <v>11</v>
      </c>
    </row>
    <row r="20352" spans="1:10" x14ac:dyDescent="0.25">
      <c r="A20352" t="s">
        <v>221</v>
      </c>
      <c r="B20352" s="1" t="str">
        <f>HYPERLINK("http://wincornixdorf.fi","wincornixdorf.fi")</f>
        <v>wincornixdorf.fi</v>
      </c>
      <c r="C20352" t="s">
        <v>445</v>
      </c>
      <c r="D20352" t="s">
        <v>823</v>
      </c>
      <c r="J20352">
        <v>11</v>
      </c>
    </row>
    <row r="20353" spans="1:10" x14ac:dyDescent="0.25">
      <c r="A20353" t="s">
        <v>221</v>
      </c>
      <c r="B20353" s="1" t="str">
        <f>HYPERLINK("http://wincorworld.fi","wincorworld.fi")</f>
        <v>wincorworld.fi</v>
      </c>
      <c r="C20353" t="s">
        <v>445</v>
      </c>
      <c r="D20353" t="s">
        <v>823</v>
      </c>
      <c r="J20353">
        <v>11</v>
      </c>
    </row>
    <row r="20354" spans="1:10" x14ac:dyDescent="0.25">
      <c r="A20354" t="s">
        <v>221</v>
      </c>
      <c r="B20354" s="1" t="str">
        <f>HYPERLINK("http://brico-joly.fr","brico-joly.fr")</f>
        <v>brico-joly.fr</v>
      </c>
      <c r="C20354" t="s">
        <v>446</v>
      </c>
      <c r="D20354" t="s">
        <v>824</v>
      </c>
      <c r="J20354">
        <v>8</v>
      </c>
    </row>
    <row r="20355" spans="1:10" x14ac:dyDescent="0.25">
      <c r="A20355" t="s">
        <v>221</v>
      </c>
      <c r="B20355" s="1" t="str">
        <f>HYPERLINK("http://cloudexpoeurope.fr","cloudexpoeurope.fr")</f>
        <v>cloudexpoeurope.fr</v>
      </c>
      <c r="C20355" t="s">
        <v>446</v>
      </c>
      <c r="D20355" t="s">
        <v>824</v>
      </c>
      <c r="F20355">
        <v>9.8061074171847207E-8</v>
      </c>
      <c r="G20355">
        <v>411486</v>
      </c>
      <c r="H20355">
        <v>14162165</v>
      </c>
      <c r="I20355">
        <v>1833404</v>
      </c>
      <c r="J20355">
        <v>10</v>
      </c>
    </row>
    <row r="20356" spans="1:10" x14ac:dyDescent="0.25">
      <c r="A20356" t="s">
        <v>221</v>
      </c>
      <c r="B20356" s="1" t="str">
        <f>HYPERLINK("http://selecta.fr","selecta.fr")</f>
        <v>selecta.fr</v>
      </c>
      <c r="C20356" t="s">
        <v>446</v>
      </c>
      <c r="D20356" t="s">
        <v>824</v>
      </c>
      <c r="F20356">
        <v>8.1447097050187393E-9</v>
      </c>
      <c r="G20356">
        <v>9665021</v>
      </c>
      <c r="H20356">
        <v>13935159</v>
      </c>
      <c r="I20356">
        <v>4548557</v>
      </c>
      <c r="J20356">
        <v>7</v>
      </c>
    </row>
    <row r="20357" spans="1:10" x14ac:dyDescent="0.25">
      <c r="A20357" t="s">
        <v>221</v>
      </c>
      <c r="B20357" s="1" t="str">
        <f>HYPERLINK("http://trainline.fr","trainline.fr")</f>
        <v>trainline.fr</v>
      </c>
      <c r="C20357" t="s">
        <v>446</v>
      </c>
      <c r="D20357" t="s">
        <v>824</v>
      </c>
      <c r="F20357">
        <v>8.8956312607211E-8</v>
      </c>
      <c r="G20357">
        <v>459660</v>
      </c>
      <c r="H20357">
        <v>14810719</v>
      </c>
      <c r="I20357">
        <v>533921</v>
      </c>
      <c r="J20357">
        <v>7</v>
      </c>
    </row>
    <row r="20358" spans="1:10" x14ac:dyDescent="0.25">
      <c r="A20358" t="s">
        <v>221</v>
      </c>
      <c r="B20358" s="1" t="str">
        <f>HYPERLINK("http://upfield.hu","upfield.hu")</f>
        <v>upfield.hu</v>
      </c>
      <c r="C20358" t="s">
        <v>453</v>
      </c>
      <c r="D20358" t="s">
        <v>830</v>
      </c>
      <c r="F20358">
        <v>1.2116293647387099E-8</v>
      </c>
      <c r="G20358">
        <v>5099701</v>
      </c>
      <c r="H20358">
        <v>10938249</v>
      </c>
      <c r="I20358">
        <v>34874468</v>
      </c>
      <c r="J20358">
        <v>8</v>
      </c>
    </row>
    <row r="20359" spans="1:10" x14ac:dyDescent="0.25">
      <c r="A20359" t="s">
        <v>221</v>
      </c>
      <c r="B20359" s="1" t="str">
        <f>HYPERLINK("http://selecta.ie","selecta.ie")</f>
        <v>selecta.ie</v>
      </c>
      <c r="C20359" t="s">
        <v>455</v>
      </c>
      <c r="D20359" t="s">
        <v>832</v>
      </c>
      <c r="F20359">
        <v>4.44380395335525E-9</v>
      </c>
      <c r="G20359">
        <v>87755751</v>
      </c>
      <c r="H20359">
        <v>0</v>
      </c>
      <c r="I20359">
        <v>86152755</v>
      </c>
      <c r="J20359">
        <v>7</v>
      </c>
    </row>
    <row r="20360" spans="1:10" x14ac:dyDescent="0.25">
      <c r="A20360" t="s">
        <v>221</v>
      </c>
      <c r="B20360" s="1" t="str">
        <f>HYPERLINK("http://gitlab.io","gitlab.io")</f>
        <v>gitlab.io</v>
      </c>
      <c r="C20360" t="s">
        <v>518</v>
      </c>
      <c r="F20360">
        <v>1.6064449091713999E-5</v>
      </c>
      <c r="G20360">
        <v>2096</v>
      </c>
      <c r="H20360">
        <v>18984800</v>
      </c>
      <c r="I20360">
        <v>551</v>
      </c>
      <c r="J20360">
        <v>12</v>
      </c>
    </row>
    <row r="20361" spans="1:10" x14ac:dyDescent="0.25">
      <c r="A20361" t="s">
        <v>221</v>
      </c>
      <c r="B20361" s="1" t="str">
        <f>HYPERLINK("http://wvs.io","wvs.io")</f>
        <v>wvs.io</v>
      </c>
      <c r="C20361" t="s">
        <v>518</v>
      </c>
      <c r="F20361">
        <v>3.1184158973241803E-8</v>
      </c>
      <c r="G20361">
        <v>1653215</v>
      </c>
      <c r="H20361">
        <v>13673744</v>
      </c>
      <c r="I20361">
        <v>9542360</v>
      </c>
      <c r="J20361">
        <v>11</v>
      </c>
    </row>
    <row r="20362" spans="1:10" x14ac:dyDescent="0.25">
      <c r="A20362" t="s">
        <v>221</v>
      </c>
      <c r="B20362" s="1" t="str">
        <f>HYPERLINK("http://alimentalamore.it","alimentalamore.it")</f>
        <v>alimentalamore.it</v>
      </c>
      <c r="C20362" t="s">
        <v>459</v>
      </c>
      <c r="D20362" t="s">
        <v>835</v>
      </c>
      <c r="F20362">
        <v>9.9789583791400894E-9</v>
      </c>
      <c r="G20362">
        <v>6776699</v>
      </c>
      <c r="H20362">
        <v>13773169</v>
      </c>
      <c r="I20362">
        <v>6638625</v>
      </c>
      <c r="J20362">
        <v>12</v>
      </c>
    </row>
    <row r="20363" spans="1:10" x14ac:dyDescent="0.25">
      <c r="A20363" t="s">
        <v>221</v>
      </c>
      <c r="B20363" s="1" t="str">
        <f>HYPERLINK("http://bricoio.it","bricoio.it")</f>
        <v>bricoio.it</v>
      </c>
      <c r="C20363" t="s">
        <v>459</v>
      </c>
      <c r="D20363" t="s">
        <v>835</v>
      </c>
      <c r="E20363">
        <v>793052</v>
      </c>
      <c r="F20363">
        <v>2.8638218827639401E-8</v>
      </c>
      <c r="G20363">
        <v>1796862</v>
      </c>
      <c r="H20363">
        <v>13772820</v>
      </c>
      <c r="I20363">
        <v>6647901</v>
      </c>
      <c r="J20363">
        <v>8</v>
      </c>
    </row>
    <row r="20364" spans="1:10" x14ac:dyDescent="0.25">
      <c r="A20364" t="s">
        <v>221</v>
      </c>
      <c r="B20364" s="1" t="str">
        <f>HYPERLINK("http://bricomontemurro.it","bricomontemurro.it")</f>
        <v>bricomontemurro.it</v>
      </c>
      <c r="C20364" t="s">
        <v>459</v>
      </c>
      <c r="D20364" t="s">
        <v>835</v>
      </c>
      <c r="F20364">
        <v>4.44380395335525E-9</v>
      </c>
      <c r="G20364">
        <v>85146365</v>
      </c>
      <c r="H20364">
        <v>0</v>
      </c>
      <c r="I20364">
        <v>86339350</v>
      </c>
      <c r="J20364">
        <v>8</v>
      </c>
    </row>
    <row r="20365" spans="1:10" x14ac:dyDescent="0.25">
      <c r="A20365" t="s">
        <v>221</v>
      </c>
      <c r="B20365" s="1" t="str">
        <f>HYPERLINK("http://bricook.it","bricook.it")</f>
        <v>bricook.it</v>
      </c>
      <c r="C20365" t="s">
        <v>459</v>
      </c>
      <c r="D20365" t="s">
        <v>835</v>
      </c>
      <c r="F20365">
        <v>1.30003159641494E-8</v>
      </c>
      <c r="G20365">
        <v>4631539</v>
      </c>
      <c r="H20365">
        <v>13933859</v>
      </c>
      <c r="I20365">
        <v>4661372</v>
      </c>
      <c r="J20365">
        <v>8</v>
      </c>
    </row>
    <row r="20366" spans="1:10" x14ac:dyDescent="0.25">
      <c r="A20366" t="s">
        <v>221</v>
      </c>
      <c r="B20366" s="1" t="str">
        <f>HYPERLINK("http://centroeurosia.it","centroeurosia.it")</f>
        <v>centroeurosia.it</v>
      </c>
      <c r="C20366" t="s">
        <v>459</v>
      </c>
      <c r="D20366" t="s">
        <v>835</v>
      </c>
      <c r="F20366">
        <v>4.5102768346084999E-9</v>
      </c>
      <c r="G20366">
        <v>57463541</v>
      </c>
      <c r="H20366">
        <v>10907671</v>
      </c>
      <c r="I20366">
        <v>35673983</v>
      </c>
      <c r="J20366">
        <v>14</v>
      </c>
    </row>
    <row r="20367" spans="1:10" x14ac:dyDescent="0.25">
      <c r="A20367" t="s">
        <v>221</v>
      </c>
      <c r="B20367" s="1" t="str">
        <f>HYPERLINK("http://centrovirgilio.it","centrovirgilio.it")</f>
        <v>centrovirgilio.it</v>
      </c>
      <c r="C20367" t="s">
        <v>459</v>
      </c>
      <c r="D20367" t="s">
        <v>835</v>
      </c>
      <c r="F20367">
        <v>5.7352837144669497E-9</v>
      </c>
      <c r="G20367">
        <v>18619821</v>
      </c>
      <c r="H20367">
        <v>12323836</v>
      </c>
      <c r="I20367">
        <v>20344049</v>
      </c>
      <c r="J20367">
        <v>14</v>
      </c>
    </row>
    <row r="20368" spans="1:10" x14ac:dyDescent="0.25">
      <c r="A20368" t="s">
        <v>221</v>
      </c>
      <c r="B20368" s="1" t="str">
        <f>HYPERLINK("http://coop.it","coop.it")</f>
        <v>coop.it</v>
      </c>
      <c r="C20368" t="s">
        <v>459</v>
      </c>
      <c r="D20368" t="s">
        <v>835</v>
      </c>
      <c r="E20368">
        <v>573478</v>
      </c>
      <c r="F20368">
        <v>8.7800754782086194E-8</v>
      </c>
      <c r="G20368">
        <v>466979</v>
      </c>
      <c r="H20368">
        <v>14518538</v>
      </c>
      <c r="I20368">
        <v>808014</v>
      </c>
      <c r="J20368">
        <v>13</v>
      </c>
    </row>
    <row r="20369" spans="1:10" x14ac:dyDescent="0.25">
      <c r="A20369" t="s">
        <v>221</v>
      </c>
      <c r="B20369" s="1" t="str">
        <f>HYPERLINK("http://coopacademy.it","coopacademy.it")</f>
        <v>coopacademy.it</v>
      </c>
      <c r="C20369" t="s">
        <v>459</v>
      </c>
      <c r="D20369" t="s">
        <v>835</v>
      </c>
      <c r="F20369">
        <v>5.01367527365936E-9</v>
      </c>
      <c r="G20369">
        <v>29050241</v>
      </c>
      <c r="H20369">
        <v>12081570</v>
      </c>
      <c r="I20369">
        <v>26533859</v>
      </c>
      <c r="J20369">
        <v>14</v>
      </c>
    </row>
    <row r="20370" spans="1:10" x14ac:dyDescent="0.25">
      <c r="A20370" t="s">
        <v>221</v>
      </c>
      <c r="B20370" s="1" t="str">
        <f>HYPERLINK("http://coopalleanza3-0.it","coopalleanza3-0.it")</f>
        <v>coopalleanza3-0.it</v>
      </c>
      <c r="C20370" t="s">
        <v>459</v>
      </c>
      <c r="D20370" t="s">
        <v>835</v>
      </c>
      <c r="E20370">
        <v>357916</v>
      </c>
      <c r="F20370">
        <v>1.5325518069582401E-7</v>
      </c>
      <c r="G20370">
        <v>253436</v>
      </c>
      <c r="H20370">
        <v>14682243</v>
      </c>
      <c r="I20370">
        <v>607521</v>
      </c>
      <c r="J20370">
        <v>13</v>
      </c>
    </row>
    <row r="20371" spans="1:10" x14ac:dyDescent="0.25">
      <c r="A20371" t="s">
        <v>221</v>
      </c>
      <c r="B20371" s="1" t="str">
        <f>HYPERLINK("http://coopaltogarda.it","coopaltogarda.it")</f>
        <v>coopaltogarda.it</v>
      </c>
      <c r="C20371" t="s">
        <v>459</v>
      </c>
      <c r="D20371" t="s">
        <v>835</v>
      </c>
      <c r="F20371">
        <v>6.2912690932823699E-9</v>
      </c>
      <c r="G20371">
        <v>15073633</v>
      </c>
      <c r="H20371">
        <v>14071793</v>
      </c>
      <c r="I20371">
        <v>3369766</v>
      </c>
      <c r="J20371">
        <v>13</v>
      </c>
    </row>
    <row r="20372" spans="1:10" x14ac:dyDescent="0.25">
      <c r="A20372" t="s">
        <v>221</v>
      </c>
      <c r="B20372" s="1" t="str">
        <f>HYPERLINK("http://cooparese.it","cooparese.it")</f>
        <v>cooparese.it</v>
      </c>
      <c r="C20372" t="s">
        <v>459</v>
      </c>
      <c r="D20372" t="s">
        <v>835</v>
      </c>
      <c r="F20372">
        <v>4.9163486943717997E-9</v>
      </c>
      <c r="G20372">
        <v>31857320</v>
      </c>
      <c r="H20372">
        <v>14071789</v>
      </c>
      <c r="I20372">
        <v>3654367</v>
      </c>
      <c r="J20372">
        <v>13</v>
      </c>
    </row>
    <row r="20373" spans="1:10" x14ac:dyDescent="0.25">
      <c r="A20373" t="s">
        <v>221</v>
      </c>
      <c r="B20373" s="1" t="str">
        <f>HYPERLINK("http://coopcasarsa.it","coopcasarsa.it")</f>
        <v>coopcasarsa.it</v>
      </c>
      <c r="C20373" t="s">
        <v>459</v>
      </c>
      <c r="D20373" t="s">
        <v>835</v>
      </c>
      <c r="F20373">
        <v>5.7651024678003099E-9</v>
      </c>
      <c r="G20373">
        <v>18366225</v>
      </c>
      <c r="H20373">
        <v>12053424</v>
      </c>
      <c r="I20373">
        <v>27159757</v>
      </c>
      <c r="J20373">
        <v>13</v>
      </c>
    </row>
    <row r="20374" spans="1:10" x14ac:dyDescent="0.25">
      <c r="A20374" t="s">
        <v>221</v>
      </c>
      <c r="B20374" s="1" t="str">
        <f>HYPERLINK("http://coopcentroitalia.it","coopcentroitalia.it")</f>
        <v>coopcentroitalia.it</v>
      </c>
      <c r="C20374" t="s">
        <v>459</v>
      </c>
      <c r="D20374" t="s">
        <v>835</v>
      </c>
      <c r="F20374">
        <v>1.6581534517057299E-8</v>
      </c>
      <c r="G20374">
        <v>3393826</v>
      </c>
      <c r="H20374">
        <v>13777153</v>
      </c>
      <c r="I20374">
        <v>6542101</v>
      </c>
      <c r="J20374">
        <v>13</v>
      </c>
    </row>
    <row r="20375" spans="1:10" x14ac:dyDescent="0.25">
      <c r="A20375" t="s">
        <v>221</v>
      </c>
      <c r="B20375" s="1" t="str">
        <f>HYPERLINK("http://coopfirenze.it","coopfirenze.it")</f>
        <v>coopfirenze.it</v>
      </c>
      <c r="C20375" t="s">
        <v>459</v>
      </c>
      <c r="D20375" t="s">
        <v>835</v>
      </c>
      <c r="E20375">
        <v>474794</v>
      </c>
      <c r="F20375">
        <v>1.5464398638866199E-7</v>
      </c>
      <c r="G20375">
        <v>251158</v>
      </c>
      <c r="H20375">
        <v>14576806</v>
      </c>
      <c r="I20375">
        <v>719888</v>
      </c>
      <c r="J20375">
        <v>13</v>
      </c>
    </row>
    <row r="20376" spans="1:10" x14ac:dyDescent="0.25">
      <c r="A20376" t="s">
        <v>221</v>
      </c>
      <c r="B20376" s="1" t="str">
        <f>HYPERLINK("http://cooponline.it","cooponline.it")</f>
        <v>cooponline.it</v>
      </c>
      <c r="C20376" t="s">
        <v>459</v>
      </c>
      <c r="D20376" t="s">
        <v>835</v>
      </c>
      <c r="E20376">
        <v>445735</v>
      </c>
      <c r="F20376">
        <v>3.8674537371660702E-8</v>
      </c>
      <c r="G20376">
        <v>1333094</v>
      </c>
      <c r="H20376">
        <v>13782911</v>
      </c>
      <c r="I20376">
        <v>6432210</v>
      </c>
      <c r="J20376">
        <v>14</v>
      </c>
    </row>
    <row r="20377" spans="1:10" x14ac:dyDescent="0.25">
      <c r="A20377" t="s">
        <v>221</v>
      </c>
      <c r="B20377" s="1" t="str">
        <f>HYPERLINK("http://coopreno.it","coopreno.it")</f>
        <v>coopreno.it</v>
      </c>
      <c r="C20377" t="s">
        <v>459</v>
      </c>
      <c r="D20377" t="s">
        <v>835</v>
      </c>
      <c r="F20377">
        <v>1.6117451279353001E-8</v>
      </c>
      <c r="G20377">
        <v>3516168</v>
      </c>
      <c r="H20377">
        <v>12544945</v>
      </c>
      <c r="I20377">
        <v>16888441</v>
      </c>
      <c r="J20377">
        <v>13</v>
      </c>
    </row>
    <row r="20378" spans="1:10" x14ac:dyDescent="0.25">
      <c r="A20378" t="s">
        <v>221</v>
      </c>
      <c r="B20378" s="1" t="str">
        <f>HYPERLINK("http://cooptrentina.it","cooptrentina.it")</f>
        <v>cooptrentina.it</v>
      </c>
      <c r="C20378" t="s">
        <v>459</v>
      </c>
      <c r="D20378" t="s">
        <v>835</v>
      </c>
      <c r="J20378">
        <v>13</v>
      </c>
    </row>
    <row r="20379" spans="1:10" x14ac:dyDescent="0.25">
      <c r="A20379" t="s">
        <v>221</v>
      </c>
      <c r="B20379" s="1" t="str">
        <f>HYPERLINK("http://coopvoce.it","coopvoce.it")</f>
        <v>coopvoce.it</v>
      </c>
      <c r="C20379" t="s">
        <v>459</v>
      </c>
      <c r="D20379" t="s">
        <v>835</v>
      </c>
      <c r="E20379">
        <v>279430</v>
      </c>
      <c r="F20379">
        <v>8.4270692474693299E-8</v>
      </c>
      <c r="G20379">
        <v>490626</v>
      </c>
      <c r="H20379">
        <v>16937296</v>
      </c>
      <c r="I20379">
        <v>115377</v>
      </c>
      <c r="J20379">
        <v>13</v>
      </c>
    </row>
    <row r="20380" spans="1:10" x14ac:dyDescent="0.25">
      <c r="A20380" t="s">
        <v>221</v>
      </c>
      <c r="B20380" s="1" t="str">
        <f>HYPERLINK("http://donaituoipunti.it","donaituoipunti.it")</f>
        <v>donaituoipunti.it</v>
      </c>
      <c r="C20380" t="s">
        <v>459</v>
      </c>
      <c r="D20380" t="s">
        <v>835</v>
      </c>
      <c r="J20380">
        <v>14</v>
      </c>
    </row>
    <row r="20381" spans="1:10" x14ac:dyDescent="0.25">
      <c r="A20381" t="s">
        <v>221</v>
      </c>
      <c r="B20381" s="1" t="str">
        <f>HYPERLINK("http://e-coop.it","e-coop.it")</f>
        <v>e-coop.it</v>
      </c>
      <c r="C20381" t="s">
        <v>459</v>
      </c>
      <c r="D20381" t="s">
        <v>835</v>
      </c>
      <c r="E20381">
        <v>161322</v>
      </c>
      <c r="F20381">
        <v>4.5128402642911297E-7</v>
      </c>
      <c r="G20381">
        <v>83731</v>
      </c>
      <c r="H20381">
        <v>15139580</v>
      </c>
      <c r="I20381">
        <v>401286</v>
      </c>
      <c r="J20381">
        <v>11</v>
      </c>
    </row>
    <row r="20382" spans="1:10" x14ac:dyDescent="0.25">
      <c r="A20382" t="s">
        <v>221</v>
      </c>
      <c r="B20382" s="1" t="str">
        <f>HYPERLINK("http://famcoopbesenello.it","famcoopbesenello.it")</f>
        <v>famcoopbesenello.it</v>
      </c>
      <c r="C20382" t="s">
        <v>459</v>
      </c>
      <c r="D20382" t="s">
        <v>835</v>
      </c>
      <c r="J20382">
        <v>13</v>
      </c>
    </row>
    <row r="20383" spans="1:10" x14ac:dyDescent="0.25">
      <c r="A20383" t="s">
        <v>221</v>
      </c>
      <c r="B20383" s="1" t="str">
        <f>HYPERLINK("http://inps.gov.it","inps.gov.it")</f>
        <v>inps.gov.it</v>
      </c>
      <c r="C20383" t="s">
        <v>459</v>
      </c>
      <c r="D20383" t="s">
        <v>835</v>
      </c>
      <c r="F20383">
        <v>8.7191359205576003E-8</v>
      </c>
      <c r="G20383">
        <v>470782</v>
      </c>
      <c r="H20383">
        <v>14079496</v>
      </c>
      <c r="I20383">
        <v>2832091</v>
      </c>
      <c r="J20383">
        <v>14</v>
      </c>
    </row>
    <row r="20384" spans="1:10" x14ac:dyDescent="0.25">
      <c r="A20384" t="s">
        <v>221</v>
      </c>
      <c r="B20384" s="1" t="str">
        <f>HYPERLINK("http://gruppobosco.it","gruppobosco.it")</f>
        <v>gruppobosco.it</v>
      </c>
      <c r="C20384" t="s">
        <v>459</v>
      </c>
      <c r="D20384" t="s">
        <v>835</v>
      </c>
      <c r="F20384">
        <v>5.5255189778479302E-9</v>
      </c>
      <c r="G20384">
        <v>20629756</v>
      </c>
      <c r="H20384">
        <v>12128990</v>
      </c>
      <c r="I20384">
        <v>25167240</v>
      </c>
      <c r="J20384">
        <v>8</v>
      </c>
    </row>
    <row r="20385" spans="1:10" x14ac:dyDescent="0.25">
      <c r="A20385" t="s">
        <v>221</v>
      </c>
      <c r="B20385" s="1" t="str">
        <f>HYPERLINK("http://inps.it","inps.it")</f>
        <v>inps.it</v>
      </c>
      <c r="C20385" t="s">
        <v>459</v>
      </c>
      <c r="D20385" t="s">
        <v>835</v>
      </c>
      <c r="E20385">
        <v>15575</v>
      </c>
      <c r="F20385">
        <v>2.8187728487772402E-6</v>
      </c>
      <c r="G20385">
        <v>13646</v>
      </c>
      <c r="H20385">
        <v>17455798</v>
      </c>
      <c r="I20385">
        <v>15839</v>
      </c>
      <c r="J20385">
        <v>13</v>
      </c>
    </row>
    <row r="20386" spans="1:10" x14ac:dyDescent="0.25">
      <c r="A20386" t="s">
        <v>221</v>
      </c>
      <c r="B20386" s="1" t="str">
        <f>HYPERLINK("http://inres.it","inres.it")</f>
        <v>inres.it</v>
      </c>
      <c r="C20386" t="s">
        <v>459</v>
      </c>
      <c r="D20386" t="s">
        <v>835</v>
      </c>
      <c r="F20386">
        <v>1.1850611424345399E-8</v>
      </c>
      <c r="G20386">
        <v>5270329</v>
      </c>
      <c r="H20386">
        <v>13718262</v>
      </c>
      <c r="I20386">
        <v>9484145</v>
      </c>
      <c r="J20386">
        <v>16</v>
      </c>
    </row>
    <row r="20387" spans="1:10" x14ac:dyDescent="0.25">
      <c r="A20387" t="s">
        <v>221</v>
      </c>
      <c r="B20387" s="1" t="str">
        <f>HYPERLINK("http://novaaeg.it","novaaeg.it")</f>
        <v>novaaeg.it</v>
      </c>
      <c r="C20387" t="s">
        <v>459</v>
      </c>
      <c r="D20387" t="s">
        <v>835</v>
      </c>
      <c r="F20387">
        <v>6.9376364703702198E-9</v>
      </c>
      <c r="G20387">
        <v>12502072</v>
      </c>
      <c r="H20387">
        <v>12176946</v>
      </c>
      <c r="I20387">
        <v>23885215</v>
      </c>
      <c r="J20387">
        <v>16</v>
      </c>
    </row>
    <row r="20388" spans="1:10" x14ac:dyDescent="0.25">
      <c r="A20388" t="s">
        <v>221</v>
      </c>
      <c r="B20388" s="1" t="str">
        <f>HYPERLINK("http://trainline.it","trainline.it")</f>
        <v>trainline.it</v>
      </c>
      <c r="C20388" t="s">
        <v>459</v>
      </c>
      <c r="D20388" t="s">
        <v>835</v>
      </c>
      <c r="F20388">
        <v>2.5711163738138402E-8</v>
      </c>
      <c r="G20388">
        <v>2005178</v>
      </c>
      <c r="H20388">
        <v>13032001</v>
      </c>
      <c r="I20388">
        <v>12663084</v>
      </c>
      <c r="J20388">
        <v>8</v>
      </c>
    </row>
    <row r="20389" spans="1:10" x14ac:dyDescent="0.25">
      <c r="A20389" t="s">
        <v>221</v>
      </c>
      <c r="B20389" s="1" t="str">
        <f>HYPERLINK("http://ubimol.it","ubimol.it")</f>
        <v>ubimol.it</v>
      </c>
      <c r="C20389" t="s">
        <v>459</v>
      </c>
      <c r="D20389" t="s">
        <v>835</v>
      </c>
      <c r="F20389">
        <v>5.5249956303719902E-9</v>
      </c>
      <c r="G20389">
        <v>20634992</v>
      </c>
      <c r="H20389">
        <v>12637706</v>
      </c>
      <c r="I20389">
        <v>15892637</v>
      </c>
      <c r="J20389">
        <v>11</v>
      </c>
    </row>
    <row r="20390" spans="1:10" x14ac:dyDescent="0.25">
      <c r="A20390" t="s">
        <v>221</v>
      </c>
      <c r="B20390" s="1" t="str">
        <f>HYPERLINK("http://unicooptirreno.it","unicooptirreno.it")</f>
        <v>unicooptirreno.it</v>
      </c>
      <c r="C20390" t="s">
        <v>459</v>
      </c>
      <c r="D20390" t="s">
        <v>835</v>
      </c>
      <c r="F20390">
        <v>3.54091828015794E-8</v>
      </c>
      <c r="G20390">
        <v>1469487</v>
      </c>
      <c r="H20390">
        <v>13782712</v>
      </c>
      <c r="I20390">
        <v>6435216</v>
      </c>
      <c r="J20390">
        <v>13</v>
      </c>
    </row>
    <row r="20391" spans="1:10" x14ac:dyDescent="0.25">
      <c r="A20391" t="s">
        <v>221</v>
      </c>
      <c r="B20391" s="1" t="str">
        <f>HYPERLINK("http://vegacarburanti.it","vegacarburanti.it")</f>
        <v>vegacarburanti.it</v>
      </c>
      <c r="C20391" t="s">
        <v>459</v>
      </c>
      <c r="D20391" t="s">
        <v>835</v>
      </c>
      <c r="F20391">
        <v>1.0283884108849401E-8</v>
      </c>
      <c r="G20391">
        <v>6466076</v>
      </c>
      <c r="H20391">
        <v>12646399</v>
      </c>
      <c r="I20391">
        <v>15823803</v>
      </c>
      <c r="J20391">
        <v>14</v>
      </c>
    </row>
    <row r="20392" spans="1:10" x14ac:dyDescent="0.25">
      <c r="A20392" t="s">
        <v>221</v>
      </c>
      <c r="B20392" s="1" t="str">
        <f>HYPERLINK("http://koki-holdings.co.jp","koki-holdings.co.jp")</f>
        <v>koki-holdings.co.jp</v>
      </c>
      <c r="C20392" t="s">
        <v>461</v>
      </c>
      <c r="D20392" t="s">
        <v>837</v>
      </c>
      <c r="E20392">
        <v>637576</v>
      </c>
      <c r="F20392">
        <v>2.8113439557036401E-8</v>
      </c>
      <c r="G20392">
        <v>1830198</v>
      </c>
      <c r="H20392">
        <v>13340563</v>
      </c>
      <c r="I20392">
        <v>10670316</v>
      </c>
      <c r="J20392">
        <v>6</v>
      </c>
    </row>
    <row r="20393" spans="1:10" x14ac:dyDescent="0.25">
      <c r="A20393" t="s">
        <v>221</v>
      </c>
      <c r="B20393" s="1" t="str">
        <f>HYPERLINK("http://splashtop.co.jp","splashtop.co.jp")</f>
        <v>splashtop.co.jp</v>
      </c>
      <c r="C20393" t="s">
        <v>461</v>
      </c>
      <c r="D20393" t="s">
        <v>837</v>
      </c>
      <c r="F20393">
        <v>2.9435153565682299E-8</v>
      </c>
      <c r="G20393">
        <v>1750831</v>
      </c>
      <c r="H20393">
        <v>14128559</v>
      </c>
      <c r="I20393">
        <v>2059168</v>
      </c>
      <c r="J20393">
        <v>12</v>
      </c>
    </row>
    <row r="20394" spans="1:10" x14ac:dyDescent="0.25">
      <c r="A20394" t="s">
        <v>221</v>
      </c>
      <c r="B20394" s="1" t="str">
        <f>HYPERLINK("http://corel.jp","corel.jp")</f>
        <v>corel.jp</v>
      </c>
      <c r="C20394" t="s">
        <v>461</v>
      </c>
      <c r="D20394" t="s">
        <v>837</v>
      </c>
      <c r="F20394">
        <v>2.9207620637350501E-8</v>
      </c>
      <c r="G20394">
        <v>1763539</v>
      </c>
      <c r="H20394">
        <v>14340410</v>
      </c>
      <c r="I20394">
        <v>1316271</v>
      </c>
      <c r="J20394">
        <v>8</v>
      </c>
    </row>
    <row r="20395" spans="1:10" x14ac:dyDescent="0.25">
      <c r="A20395" t="s">
        <v>221</v>
      </c>
      <c r="B20395" s="1" t="str">
        <f>HYPERLINK("http://gitlab.jp","gitlab.jp")</f>
        <v>gitlab.jp</v>
      </c>
      <c r="C20395" t="s">
        <v>461</v>
      </c>
      <c r="D20395" t="s">
        <v>837</v>
      </c>
      <c r="F20395">
        <v>3.6023233269229101E-8</v>
      </c>
      <c r="G20395">
        <v>1446689</v>
      </c>
      <c r="H20395">
        <v>13349223</v>
      </c>
      <c r="I20395">
        <v>10617811</v>
      </c>
      <c r="J20395">
        <v>12</v>
      </c>
    </row>
    <row r="20396" spans="1:10" x14ac:dyDescent="0.25">
      <c r="A20396" t="s">
        <v>221</v>
      </c>
      <c r="B20396" s="1" t="str">
        <f>HYPERLINK("http://calsonickansei.mx","calsonickansei.mx")</f>
        <v>calsonickansei.mx</v>
      </c>
      <c r="C20396" t="s">
        <v>471</v>
      </c>
      <c r="D20396" t="s">
        <v>847</v>
      </c>
      <c r="F20396">
        <v>4.44380395335525E-9</v>
      </c>
      <c r="G20396">
        <v>85386494</v>
      </c>
      <c r="H20396">
        <v>0</v>
      </c>
      <c r="I20396">
        <v>86628452</v>
      </c>
      <c r="J20396">
        <v>9</v>
      </c>
    </row>
    <row r="20397" spans="1:10" x14ac:dyDescent="0.25">
      <c r="A20397" t="s">
        <v>221</v>
      </c>
      <c r="B20397" s="1" t="str">
        <f>HYPERLINK("http://checkmarx.com.mx","checkmarx.com.mx")</f>
        <v>checkmarx.com.mx</v>
      </c>
      <c r="C20397" t="s">
        <v>471</v>
      </c>
      <c r="D20397" t="s">
        <v>847</v>
      </c>
      <c r="F20397">
        <v>5.74583262830084E-9</v>
      </c>
      <c r="G20397">
        <v>18531415</v>
      </c>
      <c r="H20397">
        <v>12187385</v>
      </c>
      <c r="I20397">
        <v>23643919</v>
      </c>
      <c r="J20397">
        <v>12</v>
      </c>
    </row>
    <row r="20398" spans="1:10" x14ac:dyDescent="0.25">
      <c r="A20398" t="s">
        <v>221</v>
      </c>
      <c r="B20398" s="1" t="str">
        <f>HYPERLINK("http://checkmarx.net","checkmarx.net")</f>
        <v>checkmarx.net</v>
      </c>
      <c r="C20398" t="s">
        <v>474</v>
      </c>
      <c r="E20398">
        <v>228082</v>
      </c>
      <c r="F20398">
        <v>2.66401274692404E-8</v>
      </c>
      <c r="G20398">
        <v>1932193</v>
      </c>
      <c r="H20398">
        <v>13197938</v>
      </c>
      <c r="I20398">
        <v>11565807</v>
      </c>
      <c r="J20398">
        <v>12</v>
      </c>
    </row>
    <row r="20399" spans="1:10" x14ac:dyDescent="0.25">
      <c r="A20399" t="s">
        <v>221</v>
      </c>
      <c r="B20399" s="1" t="str">
        <f>HYPERLINK("http://diebold.net","diebold.net")</f>
        <v>diebold.net</v>
      </c>
      <c r="C20399" t="s">
        <v>474</v>
      </c>
      <c r="E20399">
        <v>656937</v>
      </c>
      <c r="F20399">
        <v>7.3361415642898502E-9</v>
      </c>
      <c r="G20399">
        <v>11392861</v>
      </c>
      <c r="H20399">
        <v>10890608</v>
      </c>
      <c r="I20399">
        <v>36073831</v>
      </c>
      <c r="J20399">
        <v>10</v>
      </c>
    </row>
    <row r="20400" spans="1:10" x14ac:dyDescent="0.25">
      <c r="A20400" t="s">
        <v>221</v>
      </c>
      <c r="B20400" s="1" t="str">
        <f>HYPERLINK("http://gitlab.net","gitlab.net")</f>
        <v>gitlab.net</v>
      </c>
      <c r="C20400" t="s">
        <v>474</v>
      </c>
      <c r="E20400">
        <v>16706</v>
      </c>
      <c r="F20400">
        <v>8.1324676116971198E-8</v>
      </c>
      <c r="G20400">
        <v>513279</v>
      </c>
      <c r="H20400">
        <v>13969217</v>
      </c>
      <c r="I20400">
        <v>4078963</v>
      </c>
      <c r="J20400">
        <v>12</v>
      </c>
    </row>
    <row r="20401" spans="1:10" x14ac:dyDescent="0.25">
      <c r="A20401" t="s">
        <v>221</v>
      </c>
      <c r="B20401" s="1" t="str">
        <f>HYPERLINK("http://parallels.net","parallels.net")</f>
        <v>parallels.net</v>
      </c>
      <c r="C20401" t="s">
        <v>474</v>
      </c>
      <c r="F20401">
        <v>6.6692595464755094E-8</v>
      </c>
      <c r="G20401">
        <v>642005</v>
      </c>
      <c r="H20401">
        <v>12602711</v>
      </c>
      <c r="I20401">
        <v>16301808</v>
      </c>
      <c r="J20401">
        <v>8</v>
      </c>
    </row>
    <row r="20402" spans="1:10" x14ac:dyDescent="0.25">
      <c r="A20402" t="s">
        <v>221</v>
      </c>
      <c r="B20402" s="1" t="str">
        <f>HYPERLINK("http://webmd.net","webmd.net")</f>
        <v>webmd.net</v>
      </c>
      <c r="C20402" t="s">
        <v>474</v>
      </c>
      <c r="E20402">
        <v>128069</v>
      </c>
      <c r="F20402">
        <v>1.4104998097696801E-8</v>
      </c>
      <c r="G20402">
        <v>4163828</v>
      </c>
      <c r="H20402">
        <v>12871915</v>
      </c>
      <c r="I20402">
        <v>14055242</v>
      </c>
      <c r="J20402">
        <v>8</v>
      </c>
    </row>
    <row r="20403" spans="1:10" x14ac:dyDescent="0.25">
      <c r="A20403" t="s">
        <v>221</v>
      </c>
      <c r="B20403" s="1" t="str">
        <f>HYPERLINK("http://gitlab.new","gitlab.new")</f>
        <v>gitlab.new</v>
      </c>
      <c r="C20403" t="s">
        <v>584</v>
      </c>
      <c r="F20403">
        <v>1.4986820451137E-8</v>
      </c>
      <c r="G20403">
        <v>3844280</v>
      </c>
      <c r="H20403">
        <v>13661155</v>
      </c>
      <c r="I20403">
        <v>9594338</v>
      </c>
      <c r="J20403">
        <v>12</v>
      </c>
    </row>
    <row r="20404" spans="1:10" x14ac:dyDescent="0.25">
      <c r="A20404" t="s">
        <v>221</v>
      </c>
      <c r="B20404" s="1" t="str">
        <f>HYPERLINK("http://brico.nl","brico.nl")</f>
        <v>brico.nl</v>
      </c>
      <c r="C20404" t="s">
        <v>477</v>
      </c>
      <c r="D20404" t="s">
        <v>852</v>
      </c>
      <c r="F20404">
        <v>6.11862974441804E-9</v>
      </c>
      <c r="G20404">
        <v>15987322</v>
      </c>
      <c r="H20404">
        <v>10971422</v>
      </c>
      <c r="I20404">
        <v>34115374</v>
      </c>
      <c r="J20404">
        <v>8</v>
      </c>
    </row>
    <row r="20405" spans="1:10" x14ac:dyDescent="0.25">
      <c r="A20405" t="s">
        <v>221</v>
      </c>
      <c r="B20405" s="1" t="str">
        <f>HYPERLINK("http://luminum-it.nl","luminum-it.nl")</f>
        <v>luminum-it.nl</v>
      </c>
      <c r="C20405" t="s">
        <v>477</v>
      </c>
      <c r="D20405" t="s">
        <v>852</v>
      </c>
      <c r="J20405">
        <v>9</v>
      </c>
    </row>
    <row r="20406" spans="1:10" x14ac:dyDescent="0.25">
      <c r="A20406" t="s">
        <v>221</v>
      </c>
      <c r="B20406" s="1" t="str">
        <f>HYPERLINK("http://maxeda.nl","maxeda.nl")</f>
        <v>maxeda.nl</v>
      </c>
      <c r="C20406" t="s">
        <v>477</v>
      </c>
      <c r="D20406" t="s">
        <v>852</v>
      </c>
      <c r="F20406">
        <v>9.6974082311006297E-9</v>
      </c>
      <c r="G20406">
        <v>7083582</v>
      </c>
      <c r="H20406">
        <v>12086697</v>
      </c>
      <c r="I20406">
        <v>26365208</v>
      </c>
      <c r="J20406">
        <v>6</v>
      </c>
    </row>
    <row r="20407" spans="1:10" x14ac:dyDescent="0.25">
      <c r="A20407" t="s">
        <v>221</v>
      </c>
      <c r="B20407" s="1" t="str">
        <f>HYPERLINK("http://trainline.nl","trainline.nl")</f>
        <v>trainline.nl</v>
      </c>
      <c r="C20407" t="s">
        <v>477</v>
      </c>
      <c r="D20407" t="s">
        <v>852</v>
      </c>
      <c r="F20407">
        <v>9.7437144255139602E-9</v>
      </c>
      <c r="G20407">
        <v>7031037</v>
      </c>
      <c r="H20407">
        <v>12321539</v>
      </c>
      <c r="I20407">
        <v>20384486</v>
      </c>
      <c r="J20407">
        <v>8</v>
      </c>
    </row>
    <row r="20408" spans="1:10" x14ac:dyDescent="0.25">
      <c r="A20408" t="s">
        <v>221</v>
      </c>
      <c r="B20408" s="1" t="str">
        <f>HYPERLINK("http://selecta.no","selecta.no")</f>
        <v>selecta.no</v>
      </c>
      <c r="C20408" t="s">
        <v>478</v>
      </c>
      <c r="D20408" t="s">
        <v>853</v>
      </c>
      <c r="F20408">
        <v>5.9713498178408697E-9</v>
      </c>
      <c r="G20408">
        <v>16873244</v>
      </c>
      <c r="H20408">
        <v>10725444</v>
      </c>
      <c r="I20408">
        <v>41313078</v>
      </c>
      <c r="J20408">
        <v>7</v>
      </c>
    </row>
    <row r="20409" spans="1:10" x14ac:dyDescent="0.25">
      <c r="A20409" t="s">
        <v>221</v>
      </c>
      <c r="B20409" s="1" t="str">
        <f>HYPERLINK("http://trainline.no","trainline.no")</f>
        <v>trainline.no</v>
      </c>
      <c r="C20409" t="s">
        <v>478</v>
      </c>
      <c r="D20409" t="s">
        <v>853</v>
      </c>
      <c r="F20409">
        <v>8.2779982815625801E-9</v>
      </c>
      <c r="G20409">
        <v>9310004</v>
      </c>
      <c r="H20409">
        <v>11135589</v>
      </c>
      <c r="I20409">
        <v>31884037</v>
      </c>
      <c r="J20409">
        <v>8</v>
      </c>
    </row>
    <row r="20410" spans="1:10" x14ac:dyDescent="0.25">
      <c r="A20410" t="s">
        <v>221</v>
      </c>
      <c r="B20410" s="1" t="str">
        <f>HYPERLINK("http://gitlab.org","gitlab.org")</f>
        <v>gitlab.org</v>
      </c>
      <c r="C20410" t="s">
        <v>481</v>
      </c>
      <c r="E20410">
        <v>135320</v>
      </c>
      <c r="F20410">
        <v>1.8443222740163001E-7</v>
      </c>
      <c r="G20410">
        <v>209080</v>
      </c>
      <c r="H20410">
        <v>14844568</v>
      </c>
      <c r="I20410">
        <v>494632</v>
      </c>
      <c r="J20410">
        <v>12</v>
      </c>
    </row>
    <row r="20411" spans="1:10" x14ac:dyDescent="0.25">
      <c r="A20411" t="s">
        <v>221</v>
      </c>
      <c r="B20411" s="1" t="str">
        <f>HYPERLINK("http://partecipacoop.org","partecipacoop.org")</f>
        <v>partecipacoop.org</v>
      </c>
      <c r="C20411" t="s">
        <v>481</v>
      </c>
      <c r="F20411">
        <v>2.0371007629909398E-8</v>
      </c>
      <c r="G20411">
        <v>2603760</v>
      </c>
      <c r="H20411">
        <v>13062148</v>
      </c>
      <c r="I20411">
        <v>12317601</v>
      </c>
      <c r="J20411">
        <v>12</v>
      </c>
    </row>
    <row r="20412" spans="1:10" x14ac:dyDescent="0.25">
      <c r="A20412" t="s">
        <v>221</v>
      </c>
      <c r="B20412" s="1" t="str">
        <f>HYPERLINK("http://magnetimarelli-checkstar.pl","magnetimarelli-checkstar.pl")</f>
        <v>magnetimarelli-checkstar.pl</v>
      </c>
      <c r="C20412" t="s">
        <v>486</v>
      </c>
      <c r="D20412" t="s">
        <v>860</v>
      </c>
      <c r="F20412">
        <v>1.55710830664088E-8</v>
      </c>
      <c r="G20412">
        <v>3663297</v>
      </c>
      <c r="H20412">
        <v>12270503</v>
      </c>
      <c r="I20412">
        <v>21514269</v>
      </c>
      <c r="J20412">
        <v>9</v>
      </c>
    </row>
    <row r="20413" spans="1:10" x14ac:dyDescent="0.25">
      <c r="A20413" t="s">
        <v>221</v>
      </c>
      <c r="B20413" s="1" t="str">
        <f>HYPERLINK("http://trainline.com.pt","trainline.com.pt")</f>
        <v>trainline.com.pt</v>
      </c>
      <c r="C20413" t="s">
        <v>488</v>
      </c>
      <c r="D20413" t="s">
        <v>862</v>
      </c>
      <c r="F20413">
        <v>9.6909794583611596E-9</v>
      </c>
      <c r="G20413">
        <v>7090878</v>
      </c>
      <c r="H20413">
        <v>12311480</v>
      </c>
      <c r="I20413">
        <v>20588745</v>
      </c>
      <c r="J20413">
        <v>8</v>
      </c>
    </row>
    <row r="20414" spans="1:10" x14ac:dyDescent="0.25">
      <c r="A20414" t="s">
        <v>221</v>
      </c>
      <c r="B20414" s="1" t="str">
        <f>HYPERLINK("http://corel.ru","corel.ru")</f>
        <v>corel.ru</v>
      </c>
      <c r="C20414" t="s">
        <v>493</v>
      </c>
      <c r="D20414" t="s">
        <v>867</v>
      </c>
      <c r="E20414">
        <v>318984</v>
      </c>
      <c r="F20414">
        <v>8.0661859898669203E-8</v>
      </c>
      <c r="G20414">
        <v>517706</v>
      </c>
      <c r="H20414">
        <v>14280421</v>
      </c>
      <c r="I20414">
        <v>1380254</v>
      </c>
      <c r="J20414">
        <v>8</v>
      </c>
    </row>
    <row r="20415" spans="1:10" x14ac:dyDescent="0.25">
      <c r="A20415" t="s">
        <v>221</v>
      </c>
      <c r="B20415" s="1" t="str">
        <f>HYPERLINK("http://selecta.se","selecta.se")</f>
        <v>selecta.se</v>
      </c>
      <c r="C20415" t="s">
        <v>495</v>
      </c>
      <c r="D20415" t="s">
        <v>869</v>
      </c>
      <c r="F20415">
        <v>1.7878886469051599E-8</v>
      </c>
      <c r="G20415">
        <v>3057969</v>
      </c>
      <c r="H20415">
        <v>14133268</v>
      </c>
      <c r="I20415">
        <v>1990466</v>
      </c>
      <c r="J20415">
        <v>7</v>
      </c>
    </row>
    <row r="20416" spans="1:10" x14ac:dyDescent="0.25">
      <c r="A20416" t="s">
        <v>221</v>
      </c>
      <c r="B20416" s="1" t="str">
        <f>HYPERLINK("http://trainline.se","trainline.se")</f>
        <v>trainline.se</v>
      </c>
      <c r="C20416" t="s">
        <v>495</v>
      </c>
      <c r="D20416" t="s">
        <v>869</v>
      </c>
      <c r="F20416">
        <v>1.02749075936026E-8</v>
      </c>
      <c r="G20416">
        <v>6474689</v>
      </c>
      <c r="H20416">
        <v>12388432</v>
      </c>
      <c r="I20416">
        <v>19076766</v>
      </c>
      <c r="J20416">
        <v>8</v>
      </c>
    </row>
    <row r="20417" spans="1:10" x14ac:dyDescent="0.25">
      <c r="A20417" t="s">
        <v>221</v>
      </c>
      <c r="B20417" s="1" t="str">
        <f>HYPERLINK("http://gitlab.si","gitlab.si")</f>
        <v>gitlab.si</v>
      </c>
      <c r="C20417" t="s">
        <v>497</v>
      </c>
      <c r="D20417" t="s">
        <v>871</v>
      </c>
      <c r="J20417">
        <v>12</v>
      </c>
    </row>
    <row r="20418" spans="1:10" x14ac:dyDescent="0.25">
      <c r="A20418" t="s">
        <v>221</v>
      </c>
      <c r="B20418" s="1" t="str">
        <f>HYPERLINK("http://10zig.tech","10zig.tech")</f>
        <v>10zig.tech</v>
      </c>
      <c r="C20418" t="s">
        <v>534</v>
      </c>
      <c r="F20418">
        <v>6.4360066741624496E-9</v>
      </c>
      <c r="G20418">
        <v>14355365</v>
      </c>
      <c r="H20418">
        <v>12749868</v>
      </c>
      <c r="I20418">
        <v>15050998</v>
      </c>
      <c r="J20418">
        <v>13</v>
      </c>
    </row>
    <row r="20419" spans="1:10" x14ac:dyDescent="0.25">
      <c r="A20419" t="s">
        <v>221</v>
      </c>
      <c r="B20419" s="1" t="str">
        <f>HYPERLINK("http://pny.com.tw","pny.com.tw")</f>
        <v>pny.com.tw</v>
      </c>
      <c r="C20419" t="s">
        <v>504</v>
      </c>
      <c r="D20419" t="s">
        <v>878</v>
      </c>
      <c r="E20419">
        <v>807763</v>
      </c>
      <c r="F20419">
        <v>5.2369090720948301E-8</v>
      </c>
      <c r="G20419">
        <v>871102</v>
      </c>
      <c r="H20419">
        <v>14148328</v>
      </c>
      <c r="I20419">
        <v>1886067</v>
      </c>
      <c r="J20419">
        <v>13</v>
      </c>
    </row>
    <row r="20420" spans="1:10" x14ac:dyDescent="0.25">
      <c r="A20420" t="s">
        <v>221</v>
      </c>
      <c r="B20420" s="1" t="str">
        <f>HYPERLINK("http://10zig.uk","10zig.uk")</f>
        <v>10zig.uk</v>
      </c>
      <c r="C20420" t="s">
        <v>506</v>
      </c>
      <c r="D20420" t="s">
        <v>880</v>
      </c>
      <c r="F20420">
        <v>6.5319822122859303E-9</v>
      </c>
      <c r="G20420">
        <v>13946572</v>
      </c>
      <c r="H20420">
        <v>12749869</v>
      </c>
      <c r="I20420">
        <v>15050996</v>
      </c>
      <c r="J20420">
        <v>13</v>
      </c>
    </row>
    <row r="20421" spans="1:10" x14ac:dyDescent="0.25">
      <c r="A20421" t="s">
        <v>221</v>
      </c>
      <c r="B20421" s="1" t="str">
        <f>HYPERLINK("http://agas.co.uk","agas.co.uk")</f>
        <v>agas.co.uk</v>
      </c>
      <c r="C20421" t="s">
        <v>506</v>
      </c>
      <c r="D20421" t="s">
        <v>880</v>
      </c>
      <c r="F20421">
        <v>6.8782741073874799E-9</v>
      </c>
      <c r="G20421">
        <v>12702212</v>
      </c>
      <c r="H20421">
        <v>12169783</v>
      </c>
      <c r="I20421">
        <v>24073145</v>
      </c>
      <c r="J20421">
        <v>10</v>
      </c>
    </row>
    <row r="20422" spans="1:10" x14ac:dyDescent="0.25">
      <c r="A20422" t="s">
        <v>221</v>
      </c>
      <c r="B20422" s="1" t="str">
        <f>HYPERLINK("http://corel.co.uk","corel.co.uk")</f>
        <v>corel.co.uk</v>
      </c>
      <c r="C20422" t="s">
        <v>506</v>
      </c>
      <c r="D20422" t="s">
        <v>880</v>
      </c>
      <c r="F20422">
        <v>1.1837582345995101E-8</v>
      </c>
      <c r="G20422">
        <v>5278370</v>
      </c>
      <c r="H20422">
        <v>14238995</v>
      </c>
      <c r="I20422">
        <v>1518169</v>
      </c>
      <c r="J20422">
        <v>8</v>
      </c>
    </row>
    <row r="20423" spans="1:10" x14ac:dyDescent="0.25">
      <c r="A20423" t="s">
        <v>221</v>
      </c>
      <c r="B20423" s="1" t="str">
        <f>HYPERLINK("http://grainseed.co.uk","grainseed.co.uk")</f>
        <v>grainseed.co.uk</v>
      </c>
      <c r="C20423" t="s">
        <v>506</v>
      </c>
      <c r="D20423" t="s">
        <v>880</v>
      </c>
      <c r="F20423">
        <v>4.9434778943506601E-9</v>
      </c>
      <c r="G20423">
        <v>30986416</v>
      </c>
      <c r="H20423">
        <v>12295923</v>
      </c>
      <c r="I20423">
        <v>20947297</v>
      </c>
      <c r="J20423">
        <v>13</v>
      </c>
    </row>
    <row r="20424" spans="1:10" x14ac:dyDescent="0.25">
      <c r="A20424" t="s">
        <v>221</v>
      </c>
      <c r="B20424" s="1" t="str">
        <f>HYPERLINK("http://hayesandjarvis.co.uk","hayesandjarvis.co.uk")</f>
        <v>hayesandjarvis.co.uk</v>
      </c>
      <c r="C20424" t="s">
        <v>506</v>
      </c>
      <c r="D20424" t="s">
        <v>880</v>
      </c>
      <c r="E20424">
        <v>482305</v>
      </c>
      <c r="F20424">
        <v>5.0979265037929498E-8</v>
      </c>
      <c r="G20424">
        <v>899320</v>
      </c>
      <c r="H20424">
        <v>13939432</v>
      </c>
      <c r="I20424">
        <v>4393290</v>
      </c>
      <c r="J20424">
        <v>10</v>
      </c>
    </row>
    <row r="20425" spans="1:10" x14ac:dyDescent="0.25">
      <c r="A20425" t="s">
        <v>221</v>
      </c>
      <c r="B20425" s="1" t="str">
        <f>HYPERLINK("http://regal-london.co.uk","regal-london.co.uk")</f>
        <v>regal-london.co.uk</v>
      </c>
      <c r="C20425" t="s">
        <v>506</v>
      </c>
      <c r="D20425" t="s">
        <v>880</v>
      </c>
      <c r="F20425">
        <v>1.3737739467346E-8</v>
      </c>
      <c r="G20425">
        <v>4306007</v>
      </c>
      <c r="H20425">
        <v>13589180</v>
      </c>
      <c r="I20425">
        <v>9670010</v>
      </c>
      <c r="J20425">
        <v>8</v>
      </c>
    </row>
    <row r="20426" spans="1:10" x14ac:dyDescent="0.25">
      <c r="A20426" t="s">
        <v>221</v>
      </c>
      <c r="B20426" s="1" t="str">
        <f>HYPERLINK("http://selecta.co.uk","selecta.co.uk")</f>
        <v>selecta.co.uk</v>
      </c>
      <c r="C20426" t="s">
        <v>506</v>
      </c>
      <c r="D20426" t="s">
        <v>880</v>
      </c>
      <c r="F20426">
        <v>1.25811908311443E-8</v>
      </c>
      <c r="G20426">
        <v>4840367</v>
      </c>
      <c r="H20426">
        <v>13934399</v>
      </c>
      <c r="I20426">
        <v>4601352</v>
      </c>
      <c r="J20426">
        <v>7</v>
      </c>
    </row>
    <row r="20427" spans="1:10" x14ac:dyDescent="0.25">
      <c r="A20427" t="s">
        <v>221</v>
      </c>
      <c r="B20427" s="1" t="str">
        <f>HYPERLINK("http://skibound.co.uk","skibound.co.uk")</f>
        <v>skibound.co.uk</v>
      </c>
      <c r="C20427" t="s">
        <v>506</v>
      </c>
      <c r="D20427" t="s">
        <v>880</v>
      </c>
      <c r="F20427">
        <v>1.47780507508923E-8</v>
      </c>
      <c r="G20427">
        <v>3914685</v>
      </c>
      <c r="H20427">
        <v>13404103</v>
      </c>
      <c r="I20427">
        <v>10359535</v>
      </c>
      <c r="J20427">
        <v>11</v>
      </c>
    </row>
    <row r="20428" spans="1:10" x14ac:dyDescent="0.25">
      <c r="A20428" t="s">
        <v>221</v>
      </c>
      <c r="B20428" s="1" t="str">
        <f>HYPERLINK("http://stourbridgenews.co.uk","stourbridgenews.co.uk")</f>
        <v>stourbridgenews.co.uk</v>
      </c>
      <c r="C20428" t="s">
        <v>506</v>
      </c>
      <c r="D20428" t="s">
        <v>880</v>
      </c>
      <c r="E20428">
        <v>347709</v>
      </c>
      <c r="F20428">
        <v>4.06243651006959E-8</v>
      </c>
      <c r="G20428">
        <v>1275288</v>
      </c>
      <c r="H20428">
        <v>14909851</v>
      </c>
      <c r="I20428">
        <v>458059</v>
      </c>
      <c r="J20428">
        <v>10</v>
      </c>
    </row>
    <row r="20429" spans="1:10" x14ac:dyDescent="0.25">
      <c r="A20429" t="s">
        <v>221</v>
      </c>
      <c r="B20429" s="1" t="str">
        <f>HYPERLINK("http://world-challenge.co.uk","world-challenge.co.uk")</f>
        <v>world-challenge.co.uk</v>
      </c>
      <c r="C20429" t="s">
        <v>506</v>
      </c>
      <c r="D20429" t="s">
        <v>880</v>
      </c>
      <c r="F20429">
        <v>1.5990314215303001E-8</v>
      </c>
      <c r="G20429">
        <v>3548726</v>
      </c>
      <c r="H20429">
        <v>14203097</v>
      </c>
      <c r="I20429">
        <v>1716854</v>
      </c>
      <c r="J20429">
        <v>11</v>
      </c>
    </row>
    <row r="20430" spans="1:10" x14ac:dyDescent="0.25">
      <c r="A20430" t="s">
        <v>222</v>
      </c>
      <c r="B20430" s="1" t="str">
        <f>HYPERLINK("http://filmetrics.cn","filmetrics.cn")</f>
        <v>filmetrics.cn</v>
      </c>
      <c r="C20430" t="s">
        <v>431</v>
      </c>
      <c r="D20430" t="s">
        <v>812</v>
      </c>
      <c r="F20430">
        <v>8.4338111156917707E-9</v>
      </c>
      <c r="G20430">
        <v>8974401</v>
      </c>
      <c r="H20430">
        <v>10938716</v>
      </c>
      <c r="I20430">
        <v>34862556</v>
      </c>
      <c r="J20430">
        <v>4</v>
      </c>
    </row>
    <row r="20431" spans="1:10" x14ac:dyDescent="0.25">
      <c r="A20431" t="s">
        <v>222</v>
      </c>
      <c r="B20431" s="1" t="str">
        <f>HYPERLINK("http://anchorsemi.com","anchorsemi.com")</f>
        <v>anchorsemi.com</v>
      </c>
      <c r="C20431" t="s">
        <v>433</v>
      </c>
      <c r="F20431">
        <v>5.7640547598100101E-9</v>
      </c>
      <c r="G20431">
        <v>18374419</v>
      </c>
      <c r="H20431">
        <v>12595676</v>
      </c>
      <c r="I20431">
        <v>16371651</v>
      </c>
      <c r="J20431">
        <v>3</v>
      </c>
    </row>
    <row r="20432" spans="1:10" x14ac:dyDescent="0.25">
      <c r="A20432" t="s">
        <v>222</v>
      </c>
      <c r="B20432" s="1" t="str">
        <f>HYPERLINK("http://capres.com","capres.com")</f>
        <v>capres.com</v>
      </c>
      <c r="C20432" t="s">
        <v>433</v>
      </c>
      <c r="F20432">
        <v>1.5525918110341E-8</v>
      </c>
      <c r="G20432">
        <v>3677189</v>
      </c>
      <c r="H20432">
        <v>13742254</v>
      </c>
      <c r="I20432">
        <v>9427403</v>
      </c>
      <c r="J20432">
        <v>5</v>
      </c>
    </row>
    <row r="20433" spans="1:10" x14ac:dyDescent="0.25">
      <c r="A20433" t="s">
        <v>222</v>
      </c>
      <c r="B20433" s="1" t="str">
        <f>HYPERLINK("http://filmetrics.com","filmetrics.com")</f>
        <v>filmetrics.com</v>
      </c>
      <c r="C20433" t="s">
        <v>433</v>
      </c>
      <c r="E20433">
        <v>646080</v>
      </c>
      <c r="F20433">
        <v>3.4624980483173898E-8</v>
      </c>
      <c r="G20433">
        <v>1498647</v>
      </c>
      <c r="H20433">
        <v>14732480</v>
      </c>
      <c r="I20433">
        <v>571169</v>
      </c>
      <c r="J20433">
        <v>3</v>
      </c>
    </row>
    <row r="20434" spans="1:10" x14ac:dyDescent="0.25">
      <c r="A20434" t="s">
        <v>222</v>
      </c>
      <c r="B20434" s="1" t="str">
        <f>HYPERLINK("http://kla.com","kla.com")</f>
        <v>kla.com</v>
      </c>
      <c r="C20434" t="s">
        <v>433</v>
      </c>
      <c r="E20434">
        <v>172951</v>
      </c>
      <c r="F20434">
        <v>1.3742346878993599E-7</v>
      </c>
      <c r="G20434">
        <v>283590</v>
      </c>
      <c r="H20434">
        <v>13898996</v>
      </c>
      <c r="I20434">
        <v>5952185</v>
      </c>
      <c r="J20434">
        <v>2</v>
      </c>
    </row>
    <row r="20435" spans="1:10" x14ac:dyDescent="0.25">
      <c r="A20435" t="s">
        <v>222</v>
      </c>
      <c r="B20435" s="1" t="str">
        <f>HYPERLINK("http://kla-tencor.com","kla-tencor.com")</f>
        <v>kla-tencor.com</v>
      </c>
      <c r="C20435" t="s">
        <v>433</v>
      </c>
      <c r="E20435">
        <v>71375</v>
      </c>
      <c r="F20435">
        <v>2.9899884219737E-7</v>
      </c>
      <c r="G20435">
        <v>124375</v>
      </c>
      <c r="H20435">
        <v>14900618</v>
      </c>
      <c r="I20435">
        <v>462667</v>
      </c>
      <c r="J20435">
        <v>1</v>
      </c>
    </row>
    <row r="20436" spans="1:10" x14ac:dyDescent="0.25">
      <c r="A20436" t="s">
        <v>222</v>
      </c>
      <c r="B20436" s="1" t="str">
        <f>HYPERLINK("http://nanomechanicsinc.com","nanomechanicsinc.com")</f>
        <v>nanomechanicsinc.com</v>
      </c>
      <c r="C20436" t="s">
        <v>433</v>
      </c>
      <c r="F20436">
        <v>1.39639885749489E-8</v>
      </c>
      <c r="G20436">
        <v>4216352</v>
      </c>
      <c r="H20436">
        <v>13404096</v>
      </c>
      <c r="I20436">
        <v>10359552</v>
      </c>
      <c r="J20436">
        <v>3</v>
      </c>
    </row>
    <row r="20437" spans="1:10" x14ac:dyDescent="0.25">
      <c r="A20437" t="s">
        <v>222</v>
      </c>
      <c r="B20437" s="1" t="str">
        <f>HYPERLINK("http://orbotech.com","orbotech.com")</f>
        <v>orbotech.com</v>
      </c>
      <c r="C20437" t="s">
        <v>433</v>
      </c>
      <c r="E20437">
        <v>351422</v>
      </c>
      <c r="F20437">
        <v>6.2160725263505298E-8</v>
      </c>
      <c r="G20437">
        <v>707139</v>
      </c>
      <c r="H20437">
        <v>14624627</v>
      </c>
      <c r="I20437">
        <v>652102</v>
      </c>
      <c r="J20437">
        <v>3</v>
      </c>
    </row>
    <row r="20438" spans="1:10" x14ac:dyDescent="0.25">
      <c r="A20438" t="s">
        <v>222</v>
      </c>
      <c r="B20438" s="1" t="str">
        <f>HYPERLINK("http://primaxxinc.com","primaxxinc.com")</f>
        <v>primaxxinc.com</v>
      </c>
      <c r="C20438" t="s">
        <v>433</v>
      </c>
      <c r="J20438">
        <v>8</v>
      </c>
    </row>
    <row r="20439" spans="1:10" x14ac:dyDescent="0.25">
      <c r="A20439" t="s">
        <v>222</v>
      </c>
      <c r="B20439" s="1" t="str">
        <f>HYPERLINK("http://qoniac.com","qoniac.com")</f>
        <v>qoniac.com</v>
      </c>
      <c r="C20439" t="s">
        <v>433</v>
      </c>
      <c r="F20439">
        <v>7.4479800631520603E-9</v>
      </c>
      <c r="G20439">
        <v>11131733</v>
      </c>
      <c r="H20439">
        <v>12457472</v>
      </c>
      <c r="I20439">
        <v>17906803</v>
      </c>
      <c r="J20439">
        <v>3</v>
      </c>
    </row>
    <row r="20440" spans="1:10" x14ac:dyDescent="0.25">
      <c r="A20440" t="s">
        <v>222</v>
      </c>
      <c r="B20440" s="1" t="str">
        <f>HYPERLINK("http://spp-pts.com","spp-pts.com")</f>
        <v>spp-pts.com</v>
      </c>
      <c r="C20440" t="s">
        <v>433</v>
      </c>
      <c r="F20440">
        <v>4.76108112961989E-9</v>
      </c>
      <c r="G20440">
        <v>37770858</v>
      </c>
      <c r="H20440">
        <v>11220387</v>
      </c>
      <c r="I20440">
        <v>31090486</v>
      </c>
      <c r="J20440">
        <v>7</v>
      </c>
    </row>
    <row r="20441" spans="1:10" x14ac:dyDescent="0.25">
      <c r="A20441" t="s">
        <v>222</v>
      </c>
      <c r="B20441" s="1" t="str">
        <f>HYPERLINK("http://spts.com","spts.com")</f>
        <v>spts.com</v>
      </c>
      <c r="C20441" t="s">
        <v>433</v>
      </c>
      <c r="F20441">
        <v>5.1519508116733299E-8</v>
      </c>
      <c r="G20441">
        <v>887874</v>
      </c>
      <c r="H20441">
        <v>13844072</v>
      </c>
      <c r="I20441">
        <v>6064519</v>
      </c>
      <c r="J20441">
        <v>4</v>
      </c>
    </row>
    <row r="20442" spans="1:10" x14ac:dyDescent="0.25">
      <c r="A20442" t="s">
        <v>222</v>
      </c>
      <c r="B20442" s="1" t="str">
        <f>HYPERLINK("http://vlsistd.com","vlsistd.com")</f>
        <v>vlsistd.com</v>
      </c>
      <c r="C20442" t="s">
        <v>433</v>
      </c>
      <c r="F20442">
        <v>4.44380395335525E-9</v>
      </c>
      <c r="G20442">
        <v>83926648</v>
      </c>
      <c r="H20442">
        <v>0</v>
      </c>
      <c r="I20442">
        <v>84856107</v>
      </c>
      <c r="J20442">
        <v>3</v>
      </c>
    </row>
    <row r="20443" spans="1:10" x14ac:dyDescent="0.25">
      <c r="A20443" t="s">
        <v>222</v>
      </c>
      <c r="B20443" s="1" t="str">
        <f>HYPERLINK("http://zeta-inst.com","zeta-inst.com")</f>
        <v>zeta-inst.com</v>
      </c>
      <c r="C20443" t="s">
        <v>433</v>
      </c>
      <c r="F20443">
        <v>6.7608710108814604E-9</v>
      </c>
      <c r="G20443">
        <v>13092550</v>
      </c>
      <c r="H20443">
        <v>12258307</v>
      </c>
      <c r="I20443">
        <v>21810212</v>
      </c>
      <c r="J20443">
        <v>3</v>
      </c>
    </row>
    <row r="20444" spans="1:10" x14ac:dyDescent="0.25">
      <c r="A20444" t="s">
        <v>222</v>
      </c>
      <c r="B20444" s="1" t="str">
        <f>HYPERLINK("http://filmetrics.de","filmetrics.de")</f>
        <v>filmetrics.de</v>
      </c>
      <c r="C20444" t="s">
        <v>436</v>
      </c>
      <c r="D20444" t="s">
        <v>815</v>
      </c>
      <c r="F20444">
        <v>7.3918697871026296E-9</v>
      </c>
      <c r="G20444">
        <v>11262258</v>
      </c>
      <c r="H20444">
        <v>14071870</v>
      </c>
      <c r="I20444">
        <v>3260190</v>
      </c>
      <c r="J20444">
        <v>4</v>
      </c>
    </row>
    <row r="20445" spans="1:10" x14ac:dyDescent="0.25">
      <c r="A20445" t="s">
        <v>222</v>
      </c>
      <c r="B20445" s="1" t="str">
        <f>HYPERLINK("http://kla.foundation","kla.foundation")</f>
        <v>kla.foundation</v>
      </c>
      <c r="C20445" t="s">
        <v>755</v>
      </c>
      <c r="F20445">
        <v>3.85955451358147E-8</v>
      </c>
      <c r="G20445">
        <v>1336117</v>
      </c>
      <c r="H20445">
        <v>13252352</v>
      </c>
      <c r="I20445">
        <v>11072140</v>
      </c>
      <c r="J20445">
        <v>3</v>
      </c>
    </row>
    <row r="20446" spans="1:10" x14ac:dyDescent="0.25">
      <c r="A20446" t="s">
        <v>222</v>
      </c>
      <c r="B20446" s="1" t="str">
        <f>HYPERLINK("http://kla-tencor.co.kr","kla-tencor.co.kr")</f>
        <v>kla-tencor.co.kr</v>
      </c>
      <c r="C20446" t="s">
        <v>463</v>
      </c>
      <c r="D20446" t="s">
        <v>839</v>
      </c>
      <c r="J20446">
        <v>3</v>
      </c>
    </row>
    <row r="20447" spans="1:10" x14ac:dyDescent="0.25">
      <c r="A20447" t="s">
        <v>222</v>
      </c>
      <c r="B20447" s="1" t="str">
        <f>HYPERLINK("http://filmetrics.kr","filmetrics.kr")</f>
        <v>filmetrics.kr</v>
      </c>
      <c r="C20447" t="s">
        <v>463</v>
      </c>
      <c r="D20447" t="s">
        <v>839</v>
      </c>
      <c r="F20447">
        <v>6.8029563281862901E-9</v>
      </c>
      <c r="G20447">
        <v>12949639</v>
      </c>
      <c r="H20447">
        <v>10846064</v>
      </c>
      <c r="I20447">
        <v>36961635</v>
      </c>
      <c r="J20447">
        <v>4</v>
      </c>
    </row>
    <row r="20448" spans="1:10" x14ac:dyDescent="0.25">
      <c r="A20448" t="s">
        <v>223</v>
      </c>
      <c r="B20448" s="1" t="str">
        <f>HYPERLINK("http://fabbricaquadranti.ch","fabbricaquadranti.ch")</f>
        <v>fabbricaquadranti.ch</v>
      </c>
      <c r="C20448" t="s">
        <v>429</v>
      </c>
      <c r="D20448" t="s">
        <v>810</v>
      </c>
      <c r="J20448">
        <v>3</v>
      </c>
    </row>
    <row r="20449" spans="1:10" x14ac:dyDescent="0.25">
      <c r="A20449" t="s">
        <v>223</v>
      </c>
      <c r="B20449" s="1" t="str">
        <f>HYPERLINK("http://balenciaga.cn","balenciaga.cn")</f>
        <v>balenciaga.cn</v>
      </c>
      <c r="C20449" t="s">
        <v>431</v>
      </c>
      <c r="D20449" t="s">
        <v>812</v>
      </c>
      <c r="E20449">
        <v>189347</v>
      </c>
      <c r="F20449">
        <v>7.6614870670931204E-8</v>
      </c>
      <c r="G20449">
        <v>547147</v>
      </c>
      <c r="H20449">
        <v>13191926</v>
      </c>
      <c r="I20449">
        <v>11597217</v>
      </c>
      <c r="J20449">
        <v>4</v>
      </c>
    </row>
    <row r="20450" spans="1:10" x14ac:dyDescent="0.25">
      <c r="A20450" t="s">
        <v>223</v>
      </c>
      <c r="B20450" s="1" t="str">
        <f>HYPERLINK("http://boucheron.cn","boucheron.cn")</f>
        <v>boucheron.cn</v>
      </c>
      <c r="C20450" t="s">
        <v>431</v>
      </c>
      <c r="D20450" t="s">
        <v>812</v>
      </c>
      <c r="F20450">
        <v>4.4623182293963597E-9</v>
      </c>
      <c r="G20450">
        <v>67004902</v>
      </c>
      <c r="H20450">
        <v>10546747</v>
      </c>
      <c r="I20450">
        <v>46836718</v>
      </c>
      <c r="J20450">
        <v>5</v>
      </c>
    </row>
    <row r="20451" spans="1:10" x14ac:dyDescent="0.25">
      <c r="A20451" t="s">
        <v>223</v>
      </c>
      <c r="B20451" s="1" t="str">
        <f>HYPERLINK("http://christies.com.cn","christies.com.cn")</f>
        <v>christies.com.cn</v>
      </c>
      <c r="C20451" t="s">
        <v>431</v>
      </c>
      <c r="D20451" t="s">
        <v>812</v>
      </c>
      <c r="F20451">
        <v>1.93497503146971E-8</v>
      </c>
      <c r="G20451">
        <v>2771559</v>
      </c>
      <c r="H20451">
        <v>14453831</v>
      </c>
      <c r="I20451">
        <v>1050867</v>
      </c>
      <c r="J20451">
        <v>6</v>
      </c>
    </row>
    <row r="20452" spans="1:10" x14ac:dyDescent="0.25">
      <c r="A20452" t="s">
        <v>223</v>
      </c>
      <c r="B20452" s="1" t="str">
        <f>HYPERLINK("http://gucci.cn","gucci.cn")</f>
        <v>gucci.cn</v>
      </c>
      <c r="C20452" t="s">
        <v>431</v>
      </c>
      <c r="D20452" t="s">
        <v>812</v>
      </c>
      <c r="E20452">
        <v>196571</v>
      </c>
      <c r="F20452">
        <v>1.3106040758030799E-7</v>
      </c>
      <c r="G20452">
        <v>298447</v>
      </c>
      <c r="H20452">
        <v>13795694</v>
      </c>
      <c r="I20452">
        <v>6308123</v>
      </c>
      <c r="J20452">
        <v>3</v>
      </c>
    </row>
    <row r="20453" spans="1:10" x14ac:dyDescent="0.25">
      <c r="A20453" t="s">
        <v>223</v>
      </c>
      <c r="B20453" s="1" t="str">
        <f>HYPERLINK("http://kering.cn","kering.cn")</f>
        <v>kering.cn</v>
      </c>
      <c r="C20453" t="s">
        <v>431</v>
      </c>
      <c r="D20453" t="s">
        <v>812</v>
      </c>
      <c r="F20453">
        <v>8.3863517497623695E-9</v>
      </c>
      <c r="G20453">
        <v>9071015</v>
      </c>
      <c r="H20453">
        <v>10915431</v>
      </c>
      <c r="I20453">
        <v>35507626</v>
      </c>
      <c r="J20453">
        <v>3</v>
      </c>
    </row>
    <row r="20454" spans="1:10" x14ac:dyDescent="0.25">
      <c r="A20454" t="s">
        <v>223</v>
      </c>
      <c r="B20454" s="1" t="str">
        <f>HYPERLINK("http://pomellato.cn","pomellato.cn")</f>
        <v>pomellato.cn</v>
      </c>
      <c r="C20454" t="s">
        <v>431</v>
      </c>
      <c r="D20454" t="s">
        <v>812</v>
      </c>
      <c r="F20454">
        <v>1.1297897732320101E-8</v>
      </c>
      <c r="G20454">
        <v>5644046</v>
      </c>
      <c r="H20454">
        <v>10620133</v>
      </c>
      <c r="I20454">
        <v>44253166</v>
      </c>
      <c r="J20454">
        <v>4</v>
      </c>
    </row>
    <row r="20455" spans="1:10" x14ac:dyDescent="0.25">
      <c r="A20455" t="s">
        <v>223</v>
      </c>
      <c r="B20455" s="1" t="str">
        <f>HYPERLINK("http://ach-plc.com","ach-plc.com")</f>
        <v>ach-plc.com</v>
      </c>
      <c r="C20455" t="s">
        <v>433</v>
      </c>
      <c r="J20455">
        <v>5</v>
      </c>
    </row>
    <row r="20456" spans="1:10" x14ac:dyDescent="0.25">
      <c r="A20456" t="s">
        <v>223</v>
      </c>
      <c r="B20456" s="1" t="str">
        <f>HYPERLINK("http://alexandermcqueen.com","alexandermcqueen.com")</f>
        <v>alexandermcqueen.com</v>
      </c>
      <c r="C20456" t="s">
        <v>433</v>
      </c>
      <c r="E20456">
        <v>45164</v>
      </c>
      <c r="F20456">
        <v>9.9036549011414599E-7</v>
      </c>
      <c r="G20456">
        <v>38618</v>
      </c>
      <c r="H20456">
        <v>17430032</v>
      </c>
      <c r="I20456">
        <v>17237</v>
      </c>
      <c r="J20456">
        <v>3</v>
      </c>
    </row>
    <row r="20457" spans="1:10" x14ac:dyDescent="0.25">
      <c r="A20457" t="s">
        <v>223</v>
      </c>
      <c r="B20457" s="1" t="str">
        <f>HYPERLINK("http://balenciaga.com","balenciaga.com")</f>
        <v>balenciaga.com</v>
      </c>
      <c r="C20457" t="s">
        <v>433</v>
      </c>
      <c r="E20457">
        <v>14910</v>
      </c>
      <c r="F20457">
        <v>2.4184854285577101E-6</v>
      </c>
      <c r="G20457">
        <v>15371</v>
      </c>
      <c r="H20457">
        <v>17797614</v>
      </c>
      <c r="I20457">
        <v>5615</v>
      </c>
      <c r="J20457">
        <v>3</v>
      </c>
    </row>
    <row r="20458" spans="1:10" x14ac:dyDescent="0.25">
      <c r="A20458" t="s">
        <v>223</v>
      </c>
      <c r="B20458" s="1" t="str">
        <f>HYPERLINK("http://bottegaveneta.com","bottegaveneta.com")</f>
        <v>bottegaveneta.com</v>
      </c>
      <c r="C20458" t="s">
        <v>433</v>
      </c>
      <c r="E20458">
        <v>30538</v>
      </c>
      <c r="F20458">
        <v>9.2901603160974201E-7</v>
      </c>
      <c r="G20458">
        <v>41430</v>
      </c>
      <c r="H20458">
        <v>15651533</v>
      </c>
      <c r="I20458">
        <v>370736</v>
      </c>
      <c r="J20458">
        <v>3</v>
      </c>
    </row>
    <row r="20459" spans="1:10" x14ac:dyDescent="0.25">
      <c r="A20459" t="s">
        <v>223</v>
      </c>
      <c r="B20459" s="1" t="str">
        <f>HYPERLINK("http://boucheron.com","boucheron.com")</f>
        <v>boucheron.com</v>
      </c>
      <c r="C20459" t="s">
        <v>433</v>
      </c>
      <c r="E20459">
        <v>160358</v>
      </c>
      <c r="F20459">
        <v>2.7494787374566197E-7</v>
      </c>
      <c r="G20459">
        <v>135286</v>
      </c>
      <c r="H20459">
        <v>15084579</v>
      </c>
      <c r="I20459">
        <v>408888</v>
      </c>
      <c r="J20459">
        <v>4</v>
      </c>
    </row>
    <row r="20460" spans="1:10" x14ac:dyDescent="0.25">
      <c r="A20460" t="s">
        <v>223</v>
      </c>
      <c r="B20460" s="1" t="str">
        <f>HYPERLINK("http://brioni.com","brioni.com")</f>
        <v>brioni.com</v>
      </c>
      <c r="C20460" t="s">
        <v>433</v>
      </c>
      <c r="E20460">
        <v>234883</v>
      </c>
      <c r="F20460">
        <v>1.54037092419688E-7</v>
      </c>
      <c r="G20460">
        <v>252161</v>
      </c>
      <c r="H20460">
        <v>14698069</v>
      </c>
      <c r="I20460">
        <v>598389</v>
      </c>
      <c r="J20460">
        <v>4</v>
      </c>
    </row>
    <row r="20461" spans="1:10" x14ac:dyDescent="0.25">
      <c r="A20461" t="s">
        <v>223</v>
      </c>
      <c r="B20461" s="1" t="str">
        <f>HYPERLINK("http://christies.com","christies.com")</f>
        <v>christies.com</v>
      </c>
      <c r="C20461" t="s">
        <v>433</v>
      </c>
      <c r="E20461">
        <v>5831</v>
      </c>
      <c r="F20461">
        <v>4.3907373069662001E-6</v>
      </c>
      <c r="G20461">
        <v>8059</v>
      </c>
      <c r="H20461">
        <v>17929972</v>
      </c>
      <c r="I20461">
        <v>4213</v>
      </c>
      <c r="J20461">
        <v>5</v>
      </c>
    </row>
    <row r="20462" spans="1:10" x14ac:dyDescent="0.25">
      <c r="A20462" t="s">
        <v>223</v>
      </c>
      <c r="B20462" s="1" t="str">
        <f>HYPERLINK("http://collectrium.com","collectrium.com")</f>
        <v>collectrium.com</v>
      </c>
      <c r="C20462" t="s">
        <v>433</v>
      </c>
      <c r="F20462">
        <v>1.0126060571307399E-8</v>
      </c>
      <c r="G20462">
        <v>6620767</v>
      </c>
      <c r="H20462">
        <v>14129293</v>
      </c>
      <c r="I20462">
        <v>2048027</v>
      </c>
      <c r="J20462">
        <v>11</v>
      </c>
    </row>
    <row r="20463" spans="1:10" x14ac:dyDescent="0.25">
      <c r="A20463" t="s">
        <v>223</v>
      </c>
      <c r="B20463" s="1" t="str">
        <f>HYPERLINK("http://courreges.com","courreges.com")</f>
        <v>courreges.com</v>
      </c>
      <c r="C20463" t="s">
        <v>433</v>
      </c>
      <c r="E20463">
        <v>454684</v>
      </c>
      <c r="F20463">
        <v>9.1553317588625798E-8</v>
      </c>
      <c r="G20463">
        <v>445091</v>
      </c>
      <c r="H20463">
        <v>14593009</v>
      </c>
      <c r="I20463">
        <v>692908</v>
      </c>
      <c r="J20463">
        <v>5</v>
      </c>
    </row>
    <row r="20464" spans="1:10" x14ac:dyDescent="0.25">
      <c r="A20464" t="s">
        <v>223</v>
      </c>
      <c r="B20464" s="1" t="str">
        <f>HYPERLINK("http://groupeartemis.com","groupeartemis.com")</f>
        <v>groupeartemis.com</v>
      </c>
      <c r="C20464" t="s">
        <v>433</v>
      </c>
      <c r="F20464">
        <v>1.7647895099079399E-8</v>
      </c>
      <c r="G20464">
        <v>3108354</v>
      </c>
      <c r="H20464">
        <v>14247291</v>
      </c>
      <c r="I20464">
        <v>1457997</v>
      </c>
      <c r="J20464">
        <v>4</v>
      </c>
    </row>
    <row r="20465" spans="1:10" x14ac:dyDescent="0.25">
      <c r="A20465" t="s">
        <v>223</v>
      </c>
      <c r="B20465" s="1" t="str">
        <f>HYPERLINK("http://gucci.com","gucci.com")</f>
        <v>gucci.com</v>
      </c>
      <c r="C20465" t="s">
        <v>433</v>
      </c>
      <c r="E20465">
        <v>5220</v>
      </c>
      <c r="F20465">
        <v>5.1186150157109702E-6</v>
      </c>
      <c r="G20465">
        <v>6775</v>
      </c>
      <c r="H20465">
        <v>17840984</v>
      </c>
      <c r="I20465">
        <v>5085</v>
      </c>
      <c r="J20465">
        <v>2</v>
      </c>
    </row>
    <row r="20466" spans="1:10" x14ac:dyDescent="0.25">
      <c r="A20466" t="s">
        <v>223</v>
      </c>
      <c r="B20466" s="1" t="str">
        <f>HYPERLINK("http://helen-marlen.com","helen-marlen.com")</f>
        <v>helen-marlen.com</v>
      </c>
      <c r="C20466" t="s">
        <v>433</v>
      </c>
      <c r="F20466">
        <v>3.8455962897735901E-8</v>
      </c>
      <c r="G20466">
        <v>1341665</v>
      </c>
      <c r="H20466">
        <v>13327688</v>
      </c>
      <c r="I20466">
        <v>10726833</v>
      </c>
      <c r="J20466">
        <v>5</v>
      </c>
    </row>
    <row r="20467" spans="1:10" x14ac:dyDescent="0.25">
      <c r="A20467" t="s">
        <v>223</v>
      </c>
      <c r="B20467" s="1" t="str">
        <f>HYPERLINK("http://kering.com","kering.com")</f>
        <v>kering.com</v>
      </c>
      <c r="C20467" t="s">
        <v>433</v>
      </c>
      <c r="E20467">
        <v>46271</v>
      </c>
      <c r="F20467">
        <v>1.3980657865441799E-6</v>
      </c>
      <c r="G20467">
        <v>27952</v>
      </c>
      <c r="H20467">
        <v>15475414</v>
      </c>
      <c r="I20467">
        <v>377413</v>
      </c>
      <c r="J20467">
        <v>1</v>
      </c>
    </row>
    <row r="20468" spans="1:10" x14ac:dyDescent="0.25">
      <c r="A20468" t="s">
        <v>223</v>
      </c>
      <c r="B20468" s="1" t="str">
        <f>HYPERLINK("http://kgssourcing.com","kgssourcing.com")</f>
        <v>kgssourcing.com</v>
      </c>
      <c r="C20468" t="s">
        <v>433</v>
      </c>
      <c r="F20468">
        <v>4.6663066698753001E-9</v>
      </c>
      <c r="G20468">
        <v>43132889</v>
      </c>
      <c r="H20468">
        <v>10761822</v>
      </c>
      <c r="I20468">
        <v>39543428</v>
      </c>
      <c r="J20468">
        <v>4</v>
      </c>
    </row>
    <row r="20469" spans="1:10" x14ac:dyDescent="0.25">
      <c r="A20469" t="s">
        <v>223</v>
      </c>
      <c r="B20469" s="1" t="str">
        <f>HYPERLINK("http://mauijim.com","mauijim.com")</f>
        <v>mauijim.com</v>
      </c>
      <c r="C20469" t="s">
        <v>433</v>
      </c>
      <c r="E20469">
        <v>59984</v>
      </c>
      <c r="F20469">
        <v>8.1806075384678295E-7</v>
      </c>
      <c r="G20469">
        <v>48312</v>
      </c>
      <c r="H20469">
        <v>14822739</v>
      </c>
      <c r="I20469">
        <v>514331</v>
      </c>
      <c r="J20469">
        <v>3</v>
      </c>
    </row>
    <row r="20470" spans="1:10" x14ac:dyDescent="0.25">
      <c r="A20470" t="s">
        <v>223</v>
      </c>
      <c r="B20470" s="1" t="str">
        <f>HYPERLINK("http://pgcruises.com","pgcruises.com")</f>
        <v>pgcruises.com</v>
      </c>
      <c r="C20470" t="s">
        <v>433</v>
      </c>
      <c r="E20470">
        <v>406029</v>
      </c>
      <c r="F20470">
        <v>1.10932613376709E-7</v>
      </c>
      <c r="G20470">
        <v>360380</v>
      </c>
      <c r="H20470">
        <v>15198368</v>
      </c>
      <c r="I20470">
        <v>395765</v>
      </c>
      <c r="J20470">
        <v>6</v>
      </c>
    </row>
    <row r="20471" spans="1:10" x14ac:dyDescent="0.25">
      <c r="A20471" t="s">
        <v>223</v>
      </c>
      <c r="B20471" s="1" t="str">
        <f>HYPERLINK("http://pomellato.com","pomellato.com")</f>
        <v>pomellato.com</v>
      </c>
      <c r="C20471" t="s">
        <v>433</v>
      </c>
      <c r="E20471">
        <v>306345</v>
      </c>
      <c r="F20471">
        <v>1.6588011328945499E-7</v>
      </c>
      <c r="G20471">
        <v>233965</v>
      </c>
      <c r="H20471">
        <v>14294210</v>
      </c>
      <c r="I20471">
        <v>1362208</v>
      </c>
      <c r="J20471">
        <v>3</v>
      </c>
    </row>
    <row r="20472" spans="1:10" x14ac:dyDescent="0.25">
      <c r="A20472" t="s">
        <v>223</v>
      </c>
      <c r="B20472" s="1" t="str">
        <f>HYPERLINK("http://ponant.com","ponant.com")</f>
        <v>ponant.com</v>
      </c>
      <c r="C20472" t="s">
        <v>433</v>
      </c>
      <c r="E20472">
        <v>89106</v>
      </c>
      <c r="F20472">
        <v>3.4721628656544101E-7</v>
      </c>
      <c r="G20472">
        <v>107613</v>
      </c>
      <c r="H20472">
        <v>17140284</v>
      </c>
      <c r="I20472">
        <v>54265</v>
      </c>
      <c r="J20472">
        <v>5</v>
      </c>
    </row>
    <row r="20473" spans="1:10" x14ac:dyDescent="0.25">
      <c r="A20473" t="s">
        <v>223</v>
      </c>
      <c r="B20473" s="1" t="str">
        <f>HYPERLINK("http://qeelin.com","qeelin.com")</f>
        <v>qeelin.com</v>
      </c>
      <c r="C20473" t="s">
        <v>433</v>
      </c>
      <c r="F20473">
        <v>2.4806672669738998E-8</v>
      </c>
      <c r="G20473">
        <v>2084760</v>
      </c>
      <c r="H20473">
        <v>14310034</v>
      </c>
      <c r="I20473">
        <v>1342913</v>
      </c>
      <c r="J20473">
        <v>3</v>
      </c>
    </row>
    <row r="20474" spans="1:10" x14ac:dyDescent="0.25">
      <c r="A20474" t="s">
        <v>223</v>
      </c>
      <c r="B20474" s="1" t="str">
        <f>HYPERLINK("http://saintlaurent.com","saintlaurent.com")</f>
        <v>saintlaurent.com</v>
      </c>
      <c r="C20474" t="s">
        <v>433</v>
      </c>
      <c r="F20474">
        <v>8.1400051184409797E-9</v>
      </c>
      <c r="G20474">
        <v>9673056</v>
      </c>
      <c r="H20474">
        <v>13149125</v>
      </c>
      <c r="I20474">
        <v>11830990</v>
      </c>
      <c r="J20474">
        <v>3</v>
      </c>
    </row>
    <row r="20475" spans="1:10" x14ac:dyDescent="0.25">
      <c r="A20475" t="s">
        <v>223</v>
      </c>
      <c r="B20475" s="1" t="str">
        <f>HYPERLINK("http://thekeringplanet.com","thekeringplanet.com")</f>
        <v>thekeringplanet.com</v>
      </c>
      <c r="C20475" t="s">
        <v>433</v>
      </c>
      <c r="F20475">
        <v>4.51488133223733E-9</v>
      </c>
      <c r="G20475">
        <v>56864931</v>
      </c>
      <c r="H20475">
        <v>10717968</v>
      </c>
      <c r="I20475">
        <v>42041226</v>
      </c>
      <c r="J20475">
        <v>2</v>
      </c>
    </row>
    <row r="20476" spans="1:10" x14ac:dyDescent="0.25">
      <c r="A20476" t="s">
        <v>223</v>
      </c>
      <c r="B20476" s="1" t="str">
        <f>HYPERLINK("http://ysl.com","ysl.com")</f>
        <v>ysl.com</v>
      </c>
      <c r="C20476" t="s">
        <v>433</v>
      </c>
      <c r="E20476">
        <v>16184</v>
      </c>
      <c r="F20476">
        <v>2.87115047911865E-6</v>
      </c>
      <c r="G20476">
        <v>13433</v>
      </c>
      <c r="H20476">
        <v>17705660</v>
      </c>
      <c r="I20476">
        <v>7192</v>
      </c>
      <c r="J20476">
        <v>3</v>
      </c>
    </row>
    <row r="20477" spans="1:10" x14ac:dyDescent="0.25">
      <c r="A20477" t="s">
        <v>223</v>
      </c>
      <c r="B20477" s="1" t="str">
        <f>HYPERLINK("http://zealoptics.com","zealoptics.com")</f>
        <v>zealoptics.com</v>
      </c>
      <c r="C20477" t="s">
        <v>433</v>
      </c>
      <c r="E20477">
        <v>341355</v>
      </c>
      <c r="F20477">
        <v>1.6483893833607901E-7</v>
      </c>
      <c r="G20477">
        <v>235515</v>
      </c>
      <c r="H20477">
        <v>14877211</v>
      </c>
      <c r="I20477">
        <v>474383</v>
      </c>
      <c r="J20477">
        <v>3</v>
      </c>
    </row>
    <row r="20478" spans="1:10" x14ac:dyDescent="0.25">
      <c r="A20478" t="s">
        <v>223</v>
      </c>
      <c r="B20478" s="1" t="str">
        <f>HYPERLINK("http://selena.company","selena.company")</f>
        <v>selena.company</v>
      </c>
      <c r="C20478" t="s">
        <v>630</v>
      </c>
      <c r="J20478">
        <v>5</v>
      </c>
    </row>
    <row r="20479" spans="1:10" x14ac:dyDescent="0.25">
      <c r="A20479" t="s">
        <v>223</v>
      </c>
      <c r="B20479" s="1" t="str">
        <f>HYPERLINK("http://christies.edu","christies.edu")</f>
        <v>christies.edu</v>
      </c>
      <c r="C20479" t="s">
        <v>760</v>
      </c>
      <c r="F20479">
        <v>6.1487959430106494E-8</v>
      </c>
      <c r="G20479">
        <v>715743</v>
      </c>
      <c r="H20479">
        <v>14290143</v>
      </c>
      <c r="I20479">
        <v>1366519</v>
      </c>
      <c r="J20479">
        <v>6</v>
      </c>
    </row>
    <row r="20480" spans="1:10" x14ac:dyDescent="0.25">
      <c r="A20480" t="s">
        <v>223</v>
      </c>
      <c r="B20480" s="1" t="str">
        <f>HYPERLINK("http://trenti.eu","trenti.eu")</f>
        <v>trenti.eu</v>
      </c>
      <c r="C20480" t="s">
        <v>444</v>
      </c>
      <c r="F20480">
        <v>4.5952494111688896E-9</v>
      </c>
      <c r="G20480">
        <v>47978805</v>
      </c>
      <c r="H20480">
        <v>10471618</v>
      </c>
      <c r="I20480">
        <v>51249572</v>
      </c>
      <c r="J20480">
        <v>4</v>
      </c>
    </row>
    <row r="20481" spans="1:10" x14ac:dyDescent="0.25">
      <c r="A20481" t="s">
        <v>223</v>
      </c>
      <c r="B20481" s="1" t="str">
        <f>HYPERLINK("http://balenciaga.fi","balenciaga.fi")</f>
        <v>balenciaga.fi</v>
      </c>
      <c r="C20481" t="s">
        <v>445</v>
      </c>
      <c r="D20481" t="s">
        <v>823</v>
      </c>
      <c r="F20481">
        <v>4.4515167963611801E-9</v>
      </c>
      <c r="G20481">
        <v>71116810</v>
      </c>
      <c r="H20481">
        <v>10722701</v>
      </c>
      <c r="I20481">
        <v>41581015</v>
      </c>
      <c r="J20481">
        <v>5</v>
      </c>
    </row>
    <row r="20482" spans="1:10" x14ac:dyDescent="0.25">
      <c r="A20482" t="s">
        <v>223</v>
      </c>
      <c r="B20482" s="1" t="str">
        <f>HYPERLINK("http://bottegaveneta.fi","bottegaveneta.fi")</f>
        <v>bottegaveneta.fi</v>
      </c>
      <c r="C20482" t="s">
        <v>445</v>
      </c>
      <c r="D20482" t="s">
        <v>823</v>
      </c>
      <c r="J20482">
        <v>7</v>
      </c>
    </row>
    <row r="20483" spans="1:10" x14ac:dyDescent="0.25">
      <c r="A20483" t="s">
        <v>223</v>
      </c>
      <c r="B20483" s="1" t="str">
        <f>HYPERLINK("http://gucci.fi","gucci.fi")</f>
        <v>gucci.fi</v>
      </c>
      <c r="C20483" t="s">
        <v>445</v>
      </c>
      <c r="D20483" t="s">
        <v>823</v>
      </c>
      <c r="F20483">
        <v>4.44380927664388E-9</v>
      </c>
      <c r="G20483">
        <v>79825182</v>
      </c>
      <c r="H20483">
        <v>10352960</v>
      </c>
      <c r="I20483">
        <v>55971491</v>
      </c>
      <c r="J20483">
        <v>4</v>
      </c>
    </row>
    <row r="20484" spans="1:10" x14ac:dyDescent="0.25">
      <c r="A20484" t="s">
        <v>223</v>
      </c>
      <c r="B20484" s="1" t="str">
        <f>HYPERLINK("http://mcq-alexandermcqueen.fi","mcq-alexandermcqueen.fi")</f>
        <v>mcq-alexandermcqueen.fi</v>
      </c>
      <c r="C20484" t="s">
        <v>445</v>
      </c>
      <c r="D20484" t="s">
        <v>823</v>
      </c>
      <c r="F20484">
        <v>4.4438152872958299E-9</v>
      </c>
      <c r="G20484">
        <v>79377791</v>
      </c>
      <c r="H20484">
        <v>10358497</v>
      </c>
      <c r="I20484">
        <v>55392342</v>
      </c>
      <c r="J20484">
        <v>4</v>
      </c>
    </row>
    <row r="20485" spans="1:10" x14ac:dyDescent="0.25">
      <c r="A20485" t="s">
        <v>223</v>
      </c>
      <c r="B20485" s="1" t="str">
        <f>HYPERLINK("http://mcqalexandermcqueen.fi","mcqalexandermcqueen.fi")</f>
        <v>mcqalexandermcqueen.fi</v>
      </c>
      <c r="C20485" t="s">
        <v>445</v>
      </c>
      <c r="D20485" t="s">
        <v>823</v>
      </c>
      <c r="F20485">
        <v>4.4438152872958299E-9</v>
      </c>
      <c r="G20485">
        <v>79377792</v>
      </c>
      <c r="H20485">
        <v>10358497</v>
      </c>
      <c r="I20485">
        <v>55392343</v>
      </c>
      <c r="J20485">
        <v>4</v>
      </c>
    </row>
    <row r="20486" spans="1:10" x14ac:dyDescent="0.25">
      <c r="A20486" t="s">
        <v>223</v>
      </c>
      <c r="B20486" s="1" t="str">
        <f>HYPERLINK("http://yvessaintlaurent.fi","yvessaintlaurent.fi")</f>
        <v>yvessaintlaurent.fi</v>
      </c>
      <c r="C20486" t="s">
        <v>445</v>
      </c>
      <c r="D20486" t="s">
        <v>823</v>
      </c>
      <c r="J20486">
        <v>5</v>
      </c>
    </row>
    <row r="20487" spans="1:10" x14ac:dyDescent="0.25">
      <c r="A20487" t="s">
        <v>223</v>
      </c>
      <c r="B20487" s="1" t="str">
        <f>HYPERLINK("http://bottegaveneta.it","bottegaveneta.it")</f>
        <v>bottegaveneta.it</v>
      </c>
      <c r="C20487" t="s">
        <v>459</v>
      </c>
      <c r="D20487" t="s">
        <v>835</v>
      </c>
      <c r="F20487">
        <v>4.4968412371877097E-9</v>
      </c>
      <c r="G20487">
        <v>59416162</v>
      </c>
      <c r="H20487">
        <v>10728267</v>
      </c>
      <c r="I20487">
        <v>41056421</v>
      </c>
      <c r="J20487">
        <v>6</v>
      </c>
    </row>
    <row r="20488" spans="1:10" x14ac:dyDescent="0.25">
      <c r="A20488" t="s">
        <v>223</v>
      </c>
      <c r="B20488" s="1" t="str">
        <f>HYPERLINK("http://brioni.it","brioni.it")</f>
        <v>brioni.it</v>
      </c>
      <c r="C20488" t="s">
        <v>459</v>
      </c>
      <c r="D20488" t="s">
        <v>835</v>
      </c>
      <c r="F20488">
        <v>8.9863669836928701E-9</v>
      </c>
      <c r="G20488">
        <v>8012673</v>
      </c>
      <c r="H20488">
        <v>14125480</v>
      </c>
      <c r="I20488">
        <v>2118809</v>
      </c>
      <c r="J20488">
        <v>3</v>
      </c>
    </row>
    <row r="20489" spans="1:10" x14ac:dyDescent="0.25">
      <c r="A20489" t="s">
        <v>223</v>
      </c>
      <c r="B20489" s="1" t="str">
        <f>HYPERLINK("http://dodo.it","dodo.it")</f>
        <v>dodo.it</v>
      </c>
      <c r="C20489" t="s">
        <v>459</v>
      </c>
      <c r="D20489" t="s">
        <v>835</v>
      </c>
      <c r="E20489">
        <v>992999</v>
      </c>
      <c r="F20489">
        <v>7.4296663942541499E-8</v>
      </c>
      <c r="G20489">
        <v>566485</v>
      </c>
      <c r="H20489">
        <v>14560944</v>
      </c>
      <c r="I20489">
        <v>745492</v>
      </c>
      <c r="J20489">
        <v>3</v>
      </c>
    </row>
    <row r="20490" spans="1:10" x14ac:dyDescent="0.25">
      <c r="A20490" t="s">
        <v>223</v>
      </c>
      <c r="B20490" s="1" t="str">
        <f>HYPERLINK("http://lyassis.lu","lyassis.lu")</f>
        <v>lyassis.lu</v>
      </c>
      <c r="C20490" t="s">
        <v>547</v>
      </c>
      <c r="D20490" t="s">
        <v>904</v>
      </c>
      <c r="J20490">
        <v>5</v>
      </c>
    </row>
    <row r="20491" spans="1:10" x14ac:dyDescent="0.25">
      <c r="A20491" t="s">
        <v>223</v>
      </c>
      <c r="B20491" s="1" t="str">
        <f>HYPERLINK("http://mauijim.com.mx","mauijim.com.mx")</f>
        <v>mauijim.com.mx</v>
      </c>
      <c r="C20491" t="s">
        <v>471</v>
      </c>
      <c r="D20491" t="s">
        <v>847</v>
      </c>
      <c r="J20491">
        <v>2</v>
      </c>
    </row>
    <row r="20492" spans="1:10" x14ac:dyDescent="0.25">
      <c r="A20492" t="s">
        <v>223</v>
      </c>
      <c r="B20492" s="1" t="str">
        <f>HYPERLINK("http://romelux.com.mx","romelux.com.mx")</f>
        <v>romelux.com.mx</v>
      </c>
      <c r="C20492" t="s">
        <v>471</v>
      </c>
      <c r="D20492" t="s">
        <v>847</v>
      </c>
      <c r="J20492">
        <v>6</v>
      </c>
    </row>
    <row r="20493" spans="1:10" x14ac:dyDescent="0.25">
      <c r="A20493" t="s">
        <v>223</v>
      </c>
      <c r="B20493" s="1" t="str">
        <f>HYPERLINK("http://balenciagaschoenensale.nl","balenciagaschoenensale.nl")</f>
        <v>balenciagaschoenensale.nl</v>
      </c>
      <c r="C20493" t="s">
        <v>477</v>
      </c>
      <c r="D20493" t="s">
        <v>852</v>
      </c>
      <c r="F20493">
        <v>4.9531076501763898E-9</v>
      </c>
      <c r="G20493">
        <v>30696334</v>
      </c>
      <c r="H20493">
        <v>12711541</v>
      </c>
      <c r="I20493">
        <v>15293559</v>
      </c>
      <c r="J20493">
        <v>6</v>
      </c>
    </row>
    <row r="20494" spans="1:10" x14ac:dyDescent="0.25">
      <c r="A20494" t="s">
        <v>224</v>
      </c>
      <c r="B20494" s="1" t="str">
        <f>HYPERLINK("http://keurig.ca","keurig.ca")</f>
        <v>keurig.ca</v>
      </c>
      <c r="C20494" t="s">
        <v>428</v>
      </c>
      <c r="D20494" t="s">
        <v>809</v>
      </c>
      <c r="E20494">
        <v>94522</v>
      </c>
      <c r="F20494">
        <v>8.9051114989103399E-8</v>
      </c>
      <c r="G20494">
        <v>459075</v>
      </c>
      <c r="H20494">
        <v>14529853</v>
      </c>
      <c r="I20494">
        <v>787876</v>
      </c>
      <c r="J20494">
        <v>3</v>
      </c>
    </row>
    <row r="20495" spans="1:10" x14ac:dyDescent="0.25">
      <c r="A20495" t="s">
        <v>224</v>
      </c>
      <c r="B20495" s="1" t="str">
        <f>HYPERLINK("http://keurigdrpepper.ca","keurigdrpepper.ca")</f>
        <v>keurigdrpepper.ca</v>
      </c>
      <c r="C20495" t="s">
        <v>428</v>
      </c>
      <c r="D20495" t="s">
        <v>809</v>
      </c>
      <c r="F20495">
        <v>5.1323559542370501E-8</v>
      </c>
      <c r="G20495">
        <v>892057</v>
      </c>
      <c r="H20495">
        <v>14144330</v>
      </c>
      <c r="I20495">
        <v>1907032</v>
      </c>
      <c r="J20495">
        <v>7</v>
      </c>
    </row>
    <row r="20496" spans="1:10" x14ac:dyDescent="0.25">
      <c r="A20496" t="s">
        <v>224</v>
      </c>
      <c r="B20496" s="1" t="str">
        <f>HYPERLINK("http://allsportpf.com","allsportpf.com")</f>
        <v>allsportpf.com</v>
      </c>
      <c r="C20496" t="s">
        <v>433</v>
      </c>
      <c r="J20496">
        <v>3</v>
      </c>
    </row>
    <row r="20497" spans="1:10" x14ac:dyDescent="0.25">
      <c r="A20497" t="s">
        <v>224</v>
      </c>
      <c r="B20497" s="1" t="str">
        <f>HYPERLINK("http://corenatural.com","corenatural.com")</f>
        <v>corenatural.com</v>
      </c>
      <c r="C20497" t="s">
        <v>433</v>
      </c>
      <c r="F20497">
        <v>6.2026764851370803E-9</v>
      </c>
      <c r="G20497">
        <v>15521505</v>
      </c>
      <c r="H20497">
        <v>13179669</v>
      </c>
      <c r="I20497">
        <v>11685686</v>
      </c>
      <c r="J20497">
        <v>6</v>
      </c>
    </row>
    <row r="20498" spans="1:10" x14ac:dyDescent="0.25">
      <c r="A20498" t="s">
        <v>224</v>
      </c>
      <c r="B20498" s="1" t="str">
        <f>HYPERLINK("http://diedrich.com","diedrich.com")</f>
        <v>diedrich.com</v>
      </c>
      <c r="C20498" t="s">
        <v>433</v>
      </c>
      <c r="F20498">
        <v>7.5941153306721007E-9</v>
      </c>
      <c r="G20498">
        <v>10807253</v>
      </c>
      <c r="H20498">
        <v>13769548</v>
      </c>
      <c r="I20498">
        <v>6781912</v>
      </c>
      <c r="J20498">
        <v>7</v>
      </c>
    </row>
    <row r="20499" spans="1:10" x14ac:dyDescent="0.25">
      <c r="A20499" t="s">
        <v>224</v>
      </c>
      <c r="B20499" s="1" t="str">
        <f>HYPERLINK("http://dpsg.com","dpsg.com")</f>
        <v>dpsg.com</v>
      </c>
      <c r="C20499" t="s">
        <v>433</v>
      </c>
      <c r="F20499">
        <v>9.1478585662670997E-9</v>
      </c>
      <c r="G20499">
        <v>7781278</v>
      </c>
      <c r="H20499">
        <v>11338934</v>
      </c>
      <c r="I20499">
        <v>30427905</v>
      </c>
      <c r="J20499">
        <v>4</v>
      </c>
    </row>
    <row r="20500" spans="1:10" x14ac:dyDescent="0.25">
      <c r="A20500" t="s">
        <v>224</v>
      </c>
      <c r="B20500" s="1" t="str">
        <f>HYPERLINK("http://drinkbai.com","drinkbai.com")</f>
        <v>drinkbai.com</v>
      </c>
      <c r="C20500" t="s">
        <v>433</v>
      </c>
      <c r="E20500">
        <v>600492</v>
      </c>
      <c r="F20500">
        <v>1.3598953288783001E-7</v>
      </c>
      <c r="G20500">
        <v>286781</v>
      </c>
      <c r="H20500">
        <v>15327286</v>
      </c>
      <c r="I20500">
        <v>384192</v>
      </c>
      <c r="J20500">
        <v>3</v>
      </c>
    </row>
    <row r="20501" spans="1:10" x14ac:dyDescent="0.25">
      <c r="A20501" t="s">
        <v>224</v>
      </c>
      <c r="B20501" s="1" t="str">
        <f>HYPERLINK("http://drpeppersnapplegroup.com","drpeppersnapplegroup.com")</f>
        <v>drpeppersnapplegroup.com</v>
      </c>
      <c r="C20501" t="s">
        <v>433</v>
      </c>
      <c r="E20501">
        <v>408206</v>
      </c>
      <c r="F20501">
        <v>2.4105179993608202E-7</v>
      </c>
      <c r="G20501">
        <v>155186</v>
      </c>
      <c r="H20501">
        <v>14995446</v>
      </c>
      <c r="I20501">
        <v>426946</v>
      </c>
      <c r="J20501">
        <v>1</v>
      </c>
    </row>
    <row r="20502" spans="1:10" x14ac:dyDescent="0.25">
      <c r="A20502" t="s">
        <v>224</v>
      </c>
      <c r="B20502" s="1" t="str">
        <f>HYPERLINK("http://gmcr.com","gmcr.com")</f>
        <v>gmcr.com</v>
      </c>
      <c r="C20502" t="s">
        <v>433</v>
      </c>
      <c r="E20502">
        <v>81777</v>
      </c>
      <c r="F20502">
        <v>1.4701837562731701E-7</v>
      </c>
      <c r="G20502">
        <v>264827</v>
      </c>
      <c r="H20502">
        <v>14613937</v>
      </c>
      <c r="I20502">
        <v>671494</v>
      </c>
      <c r="J20502">
        <v>2</v>
      </c>
    </row>
    <row r="20503" spans="1:10" x14ac:dyDescent="0.25">
      <c r="A20503" t="s">
        <v>224</v>
      </c>
      <c r="B20503" s="1" t="str">
        <f>HYPERLINK("http://grupopenafiel.com","grupopenafiel.com")</f>
        <v>grupopenafiel.com</v>
      </c>
      <c r="C20503" t="s">
        <v>433</v>
      </c>
      <c r="F20503">
        <v>4.4896628990146402E-9</v>
      </c>
      <c r="G20503">
        <v>60575285</v>
      </c>
      <c r="H20503">
        <v>12021251</v>
      </c>
      <c r="I20503">
        <v>27847395</v>
      </c>
      <c r="J20503">
        <v>7</v>
      </c>
    </row>
    <row r="20504" spans="1:10" x14ac:dyDescent="0.25">
      <c r="A20504" t="s">
        <v>224</v>
      </c>
      <c r="B20504" s="1" t="str">
        <f>HYPERLINK("http://hydratewithcore.com","hydratewithcore.com")</f>
        <v>hydratewithcore.com</v>
      </c>
      <c r="C20504" t="s">
        <v>433</v>
      </c>
      <c r="F20504">
        <v>2.6131213941843101E-8</v>
      </c>
      <c r="G20504">
        <v>1971333</v>
      </c>
      <c r="H20504">
        <v>14193710</v>
      </c>
      <c r="I20504">
        <v>1742047</v>
      </c>
      <c r="J20504">
        <v>3</v>
      </c>
    </row>
    <row r="20505" spans="1:10" x14ac:dyDescent="0.25">
      <c r="A20505" t="s">
        <v>224</v>
      </c>
      <c r="B20505" s="1" t="str">
        <f>HYPERLINK("http://kdrp.com","kdrp.com")</f>
        <v>kdrp.com</v>
      </c>
      <c r="C20505" t="s">
        <v>433</v>
      </c>
      <c r="E20505">
        <v>118300</v>
      </c>
      <c r="F20505">
        <v>4.4461058483315399E-9</v>
      </c>
      <c r="G20505">
        <v>74587054</v>
      </c>
      <c r="H20505">
        <v>10356355</v>
      </c>
      <c r="I20505">
        <v>55628511</v>
      </c>
      <c r="J20505">
        <v>2</v>
      </c>
    </row>
    <row r="20506" spans="1:10" x14ac:dyDescent="0.25">
      <c r="A20506" t="s">
        <v>224</v>
      </c>
      <c r="B20506" s="1" t="str">
        <f>HYPERLINK("http://keurig.com","keurig.com")</f>
        <v>keurig.com</v>
      </c>
      <c r="C20506" t="s">
        <v>433</v>
      </c>
      <c r="E20506">
        <v>13245</v>
      </c>
      <c r="F20506">
        <v>8.2288316948333302E-7</v>
      </c>
      <c r="G20506">
        <v>48068</v>
      </c>
      <c r="H20506">
        <v>15176320</v>
      </c>
      <c r="I20506">
        <v>397639</v>
      </c>
      <c r="J20506">
        <v>2</v>
      </c>
    </row>
    <row r="20507" spans="1:10" x14ac:dyDescent="0.25">
      <c r="A20507" t="s">
        <v>224</v>
      </c>
      <c r="B20507" s="1" t="str">
        <f>HYPERLINK("http://keurigdrpepper.com","keurigdrpepper.com")</f>
        <v>keurigdrpepper.com</v>
      </c>
      <c r="C20507" t="s">
        <v>433</v>
      </c>
      <c r="E20507">
        <v>130930</v>
      </c>
      <c r="F20507">
        <v>5.6972245716050095E-7</v>
      </c>
      <c r="G20507">
        <v>67070</v>
      </c>
      <c r="H20507">
        <v>14461187</v>
      </c>
      <c r="I20507">
        <v>1046731</v>
      </c>
      <c r="J20507">
        <v>6</v>
      </c>
    </row>
    <row r="20508" spans="1:10" x14ac:dyDescent="0.25">
      <c r="A20508" t="s">
        <v>224</v>
      </c>
      <c r="B20508" s="1" t="str">
        <f>HYPERLINK("http://keuriggreenmountain.com","keuriggreenmountain.com")</f>
        <v>keuriggreenmountain.com</v>
      </c>
      <c r="C20508" t="s">
        <v>433</v>
      </c>
      <c r="E20508">
        <v>743018</v>
      </c>
      <c r="F20508">
        <v>1.5965485909258499E-7</v>
      </c>
      <c r="G20508">
        <v>243097</v>
      </c>
      <c r="H20508">
        <v>14562474</v>
      </c>
      <c r="I20508">
        <v>743743</v>
      </c>
      <c r="J20508">
        <v>3</v>
      </c>
    </row>
    <row r="20509" spans="1:10" x14ac:dyDescent="0.25">
      <c r="A20509" t="s">
        <v>224</v>
      </c>
      <c r="B20509" s="1" t="str">
        <f>HYPERLINK("http://liveinsite.com","liveinsite.com")</f>
        <v>liveinsite.com</v>
      </c>
      <c r="C20509" t="s">
        <v>433</v>
      </c>
      <c r="F20509">
        <v>4.8502728635713899E-9</v>
      </c>
      <c r="G20509">
        <v>34132725</v>
      </c>
      <c r="H20509">
        <v>12360854</v>
      </c>
      <c r="I20509">
        <v>19570722</v>
      </c>
      <c r="J20509">
        <v>6</v>
      </c>
    </row>
    <row r="20510" spans="1:10" x14ac:dyDescent="0.25">
      <c r="A20510" t="s">
        <v>224</v>
      </c>
      <c r="B20510" s="1" t="str">
        <f>HYPERLINK("http://vanhoutte.com","vanhoutte.com")</f>
        <v>vanhoutte.com</v>
      </c>
      <c r="C20510" t="s">
        <v>433</v>
      </c>
      <c r="F20510">
        <v>6.1991222163740601E-8</v>
      </c>
      <c r="G20510">
        <v>709297</v>
      </c>
      <c r="H20510">
        <v>14916629</v>
      </c>
      <c r="I20510">
        <v>453879</v>
      </c>
      <c r="J20510">
        <v>7</v>
      </c>
    </row>
    <row r="20511" spans="1:10" x14ac:dyDescent="0.25">
      <c r="A20511" t="s">
        <v>224</v>
      </c>
      <c r="B20511" s="1" t="str">
        <f>HYPERLINK("http://vhcoffeeservices.com","vhcoffeeservices.com")</f>
        <v>vhcoffeeservices.com</v>
      </c>
      <c r="C20511" t="s">
        <v>433</v>
      </c>
      <c r="F20511">
        <v>3.1073709426641397E-8</v>
      </c>
      <c r="G20511">
        <v>1658745</v>
      </c>
      <c r="H20511">
        <v>12733689</v>
      </c>
      <c r="I20511">
        <v>15179689</v>
      </c>
      <c r="J20511">
        <v>3</v>
      </c>
    </row>
    <row r="20512" spans="1:10" x14ac:dyDescent="0.25">
      <c r="A20512" t="s">
        <v>224</v>
      </c>
      <c r="B20512" s="1" t="str">
        <f>HYPERLINK("http://canadadry.fi","canadadry.fi")</f>
        <v>canadadry.fi</v>
      </c>
      <c r="C20512" t="s">
        <v>445</v>
      </c>
      <c r="D20512" t="s">
        <v>823</v>
      </c>
      <c r="J20512">
        <v>2</v>
      </c>
    </row>
    <row r="20513" spans="1:10" x14ac:dyDescent="0.25">
      <c r="A20513" t="s">
        <v>224</v>
      </c>
      <c r="B20513" s="1" t="str">
        <f>HYPERLINK("http://drpepper.fi","drpepper.fi")</f>
        <v>drpepper.fi</v>
      </c>
      <c r="C20513" t="s">
        <v>445</v>
      </c>
      <c r="D20513" t="s">
        <v>823</v>
      </c>
      <c r="J20513">
        <v>2</v>
      </c>
    </row>
    <row r="20514" spans="1:10" x14ac:dyDescent="0.25">
      <c r="A20514" t="s">
        <v>224</v>
      </c>
      <c r="B20514" s="1" t="str">
        <f>HYPERLINK("http://keuriggreenmountain.fi","keuriggreenmountain.fi")</f>
        <v>keuriggreenmountain.fi</v>
      </c>
      <c r="C20514" t="s">
        <v>445</v>
      </c>
      <c r="D20514" t="s">
        <v>823</v>
      </c>
      <c r="J20514">
        <v>4</v>
      </c>
    </row>
    <row r="20515" spans="1:10" x14ac:dyDescent="0.25">
      <c r="A20515" t="s">
        <v>224</v>
      </c>
      <c r="B20515" s="1" t="str">
        <f>HYPERLINK("http://snapple.fi","snapple.fi")</f>
        <v>snapple.fi</v>
      </c>
      <c r="C20515" t="s">
        <v>445</v>
      </c>
      <c r="D20515" t="s">
        <v>823</v>
      </c>
      <c r="J20515">
        <v>2</v>
      </c>
    </row>
    <row r="20516" spans="1:10" x14ac:dyDescent="0.25">
      <c r="A20516" t="s">
        <v>224</v>
      </c>
      <c r="B20516" s="1" t="str">
        <f>HYPERLINK("http://keurig.co.kr","keurig.co.kr")</f>
        <v>keurig.co.kr</v>
      </c>
      <c r="C20516" t="s">
        <v>463</v>
      </c>
      <c r="D20516" t="s">
        <v>839</v>
      </c>
      <c r="F20516">
        <v>9.3860550360089999E-9</v>
      </c>
      <c r="G20516">
        <v>7463433</v>
      </c>
      <c r="H20516">
        <v>11076582</v>
      </c>
      <c r="I20516">
        <v>32514231</v>
      </c>
      <c r="J20516">
        <v>3</v>
      </c>
    </row>
    <row r="20517" spans="1:10" x14ac:dyDescent="0.25">
      <c r="A20517" t="s">
        <v>224</v>
      </c>
      <c r="B20517" s="1" t="str">
        <f>HYPERLINK("http://grupopenafiel.com.mx","grupopenafiel.com.mx")</f>
        <v>grupopenafiel.com.mx</v>
      </c>
      <c r="C20517" t="s">
        <v>471</v>
      </c>
      <c r="D20517" t="s">
        <v>847</v>
      </c>
      <c r="F20517">
        <v>1.04231648748653E-8</v>
      </c>
      <c r="G20517">
        <v>6337833</v>
      </c>
      <c r="H20517">
        <v>12979565</v>
      </c>
      <c r="I20517">
        <v>12994701</v>
      </c>
      <c r="J20517">
        <v>4</v>
      </c>
    </row>
    <row r="20518" spans="1:10" x14ac:dyDescent="0.25">
      <c r="A20518" t="s">
        <v>224</v>
      </c>
      <c r="B20518" s="1" t="str">
        <f>HYPERLINK("http://grupopenafil.com.mx","grupopenafil.com.mx")</f>
        <v>grupopenafil.com.mx</v>
      </c>
      <c r="C20518" t="s">
        <v>471</v>
      </c>
      <c r="D20518" t="s">
        <v>847</v>
      </c>
      <c r="J20518">
        <v>4</v>
      </c>
    </row>
    <row r="20519" spans="1:10" x14ac:dyDescent="0.25">
      <c r="A20519" t="s">
        <v>224</v>
      </c>
      <c r="B20519" s="1" t="str">
        <f>HYPERLINK("http://grupopenales.com.mx","grupopenales.com.mx")</f>
        <v>grupopenales.com.mx</v>
      </c>
      <c r="C20519" t="s">
        <v>471</v>
      </c>
      <c r="D20519" t="s">
        <v>847</v>
      </c>
      <c r="J20519">
        <v>4</v>
      </c>
    </row>
    <row r="20520" spans="1:10" x14ac:dyDescent="0.25">
      <c r="A20520" t="s">
        <v>225</v>
      </c>
      <c r="B20520" s="1" t="str">
        <f>HYPERLINK("http://keyence.com.br","keyence.com.br")</f>
        <v>keyence.com.br</v>
      </c>
      <c r="C20520" t="s">
        <v>425</v>
      </c>
      <c r="D20520" t="s">
        <v>806</v>
      </c>
      <c r="F20520">
        <v>1.74895181106316E-8</v>
      </c>
      <c r="G20520">
        <v>3148578</v>
      </c>
      <c r="H20520">
        <v>11196268</v>
      </c>
      <c r="I20520">
        <v>31304276</v>
      </c>
      <c r="J20520">
        <v>2</v>
      </c>
    </row>
    <row r="20521" spans="1:10" x14ac:dyDescent="0.25">
      <c r="A20521" t="s">
        <v>225</v>
      </c>
      <c r="B20521" s="1" t="str">
        <f>HYPERLINK("http://keyence.ca","keyence.ca")</f>
        <v>keyence.ca</v>
      </c>
      <c r="C20521" t="s">
        <v>428</v>
      </c>
      <c r="D20521" t="s">
        <v>809</v>
      </c>
      <c r="F20521">
        <v>2.5619709436474099E-8</v>
      </c>
      <c r="G20521">
        <v>2012654</v>
      </c>
      <c r="H20521">
        <v>12890740</v>
      </c>
      <c r="I20521">
        <v>13933927</v>
      </c>
      <c r="J20521">
        <v>2</v>
      </c>
    </row>
    <row r="20522" spans="1:10" x14ac:dyDescent="0.25">
      <c r="A20522" t="s">
        <v>225</v>
      </c>
      <c r="B20522" s="1" t="str">
        <f>HYPERLINK("http://keyence.com.cn","keyence.com.cn")</f>
        <v>keyence.com.cn</v>
      </c>
      <c r="C20522" t="s">
        <v>431</v>
      </c>
      <c r="D20522" t="s">
        <v>812</v>
      </c>
      <c r="E20522">
        <v>138915</v>
      </c>
      <c r="F20522">
        <v>9.7905341183924398E-8</v>
      </c>
      <c r="G20522">
        <v>412180</v>
      </c>
      <c r="H20522">
        <v>13595155</v>
      </c>
      <c r="I20522">
        <v>9658574</v>
      </c>
      <c r="J20522">
        <v>2</v>
      </c>
    </row>
    <row r="20523" spans="1:10" x14ac:dyDescent="0.25">
      <c r="A20523" t="s">
        <v>225</v>
      </c>
      <c r="B20523" s="1" t="str">
        <f>HYPERLINK("http://keyence.com","keyence.com")</f>
        <v>keyence.com</v>
      </c>
      <c r="C20523" t="s">
        <v>433</v>
      </c>
      <c r="E20523">
        <v>71343</v>
      </c>
      <c r="F20523">
        <v>2.4100883487505202E-7</v>
      </c>
      <c r="G20523">
        <v>155214</v>
      </c>
      <c r="H20523">
        <v>14765453</v>
      </c>
      <c r="I20523">
        <v>559152</v>
      </c>
      <c r="J20523">
        <v>2</v>
      </c>
    </row>
    <row r="20524" spans="1:10" x14ac:dyDescent="0.25">
      <c r="A20524" t="s">
        <v>225</v>
      </c>
      <c r="B20524" s="1" t="str">
        <f>HYPERLINK("http://keyence.de","keyence.de")</f>
        <v>keyence.de</v>
      </c>
      <c r="C20524" t="s">
        <v>436</v>
      </c>
      <c r="D20524" t="s">
        <v>815</v>
      </c>
      <c r="E20524">
        <v>838128</v>
      </c>
      <c r="F20524">
        <v>6.9892899690405604E-8</v>
      </c>
      <c r="G20524">
        <v>606422</v>
      </c>
      <c r="H20524">
        <v>13406782</v>
      </c>
      <c r="I20524">
        <v>10353827</v>
      </c>
      <c r="J20524">
        <v>2</v>
      </c>
    </row>
    <row r="20525" spans="1:10" x14ac:dyDescent="0.25">
      <c r="A20525" t="s">
        <v>225</v>
      </c>
      <c r="B20525" s="1" t="str">
        <f>HYPERLINK("http://keyence.eu","keyence.eu")</f>
        <v>keyence.eu</v>
      </c>
      <c r="C20525" t="s">
        <v>444</v>
      </c>
      <c r="E20525">
        <v>636250</v>
      </c>
      <c r="F20525">
        <v>3.6446959872981198E-8</v>
      </c>
      <c r="G20525">
        <v>1432313</v>
      </c>
      <c r="H20525">
        <v>13580542</v>
      </c>
      <c r="I20525">
        <v>9688515</v>
      </c>
      <c r="J20525">
        <v>2</v>
      </c>
    </row>
    <row r="20526" spans="1:10" x14ac:dyDescent="0.25">
      <c r="A20526" t="s">
        <v>225</v>
      </c>
      <c r="B20526" s="1" t="str">
        <f>HYPERLINK("http://keyence.fi","keyence.fi")</f>
        <v>keyence.fi</v>
      </c>
      <c r="C20526" t="s">
        <v>445</v>
      </c>
      <c r="D20526" t="s">
        <v>823</v>
      </c>
      <c r="J20526">
        <v>2</v>
      </c>
    </row>
    <row r="20527" spans="1:10" x14ac:dyDescent="0.25">
      <c r="A20527" t="s">
        <v>225</v>
      </c>
      <c r="B20527" s="1" t="str">
        <f>HYPERLINK("http://keyence.fr","keyence.fr")</f>
        <v>keyence.fr</v>
      </c>
      <c r="C20527" t="s">
        <v>446</v>
      </c>
      <c r="D20527" t="s">
        <v>824</v>
      </c>
      <c r="F20527">
        <v>2.65134961703906E-8</v>
      </c>
      <c r="G20527">
        <v>1941887</v>
      </c>
      <c r="H20527">
        <v>13598872</v>
      </c>
      <c r="I20527">
        <v>9652244</v>
      </c>
      <c r="J20527">
        <v>2</v>
      </c>
    </row>
    <row r="20528" spans="1:10" x14ac:dyDescent="0.25">
      <c r="A20528" t="s">
        <v>225</v>
      </c>
      <c r="B20528" s="1" t="str">
        <f>HYPERLINK("http://keyence.co.id","keyence.co.id")</f>
        <v>keyence.co.id</v>
      </c>
      <c r="C20528" t="s">
        <v>454</v>
      </c>
      <c r="D20528" t="s">
        <v>831</v>
      </c>
      <c r="F20528">
        <v>1.7681863284448101E-8</v>
      </c>
      <c r="G20528">
        <v>3100625</v>
      </c>
      <c r="H20528">
        <v>12483873</v>
      </c>
      <c r="I20528">
        <v>17561838</v>
      </c>
      <c r="J20528">
        <v>2</v>
      </c>
    </row>
    <row r="20529" spans="1:10" x14ac:dyDescent="0.25">
      <c r="A20529" t="s">
        <v>225</v>
      </c>
      <c r="B20529" s="1" t="str">
        <f>HYPERLINK("http://keyence.co.in","keyence.co.in")</f>
        <v>keyence.co.in</v>
      </c>
      <c r="C20529" t="s">
        <v>457</v>
      </c>
      <c r="D20529" t="s">
        <v>834</v>
      </c>
      <c r="F20529">
        <v>2.0497975268214701E-8</v>
      </c>
      <c r="G20529">
        <v>2584955</v>
      </c>
      <c r="H20529">
        <v>12454289</v>
      </c>
      <c r="I20529">
        <v>17946687</v>
      </c>
      <c r="J20529">
        <v>2</v>
      </c>
    </row>
    <row r="20530" spans="1:10" x14ac:dyDescent="0.25">
      <c r="A20530" t="s">
        <v>225</v>
      </c>
      <c r="B20530" s="1" t="str">
        <f>HYPERLINK("http://keyence.it","keyence.it")</f>
        <v>keyence.it</v>
      </c>
      <c r="C20530" t="s">
        <v>459</v>
      </c>
      <c r="D20530" t="s">
        <v>835</v>
      </c>
      <c r="F20530">
        <v>2.5448570389899698E-8</v>
      </c>
      <c r="G20530">
        <v>2026985</v>
      </c>
      <c r="H20530">
        <v>14080788</v>
      </c>
      <c r="I20530">
        <v>2816611</v>
      </c>
      <c r="J20530">
        <v>2</v>
      </c>
    </row>
    <row r="20531" spans="1:10" x14ac:dyDescent="0.25">
      <c r="A20531" t="s">
        <v>225</v>
      </c>
      <c r="B20531" s="1" t="str">
        <f>HYPERLINK("http://keyence.co.jp","keyence.co.jp")</f>
        <v>keyence.co.jp</v>
      </c>
      <c r="C20531" t="s">
        <v>461</v>
      </c>
      <c r="D20531" t="s">
        <v>837</v>
      </c>
      <c r="E20531">
        <v>203186</v>
      </c>
      <c r="F20531">
        <v>2.12166833845554E-7</v>
      </c>
      <c r="G20531">
        <v>178016</v>
      </c>
      <c r="H20531">
        <v>15440881</v>
      </c>
      <c r="I20531">
        <v>378540</v>
      </c>
      <c r="J20531">
        <v>1</v>
      </c>
    </row>
    <row r="20532" spans="1:10" x14ac:dyDescent="0.25">
      <c r="A20532" t="s">
        <v>225</v>
      </c>
      <c r="B20532" s="1" t="str">
        <f>HYPERLINK("http://keyence-soft.co.jp","keyence-soft.co.jp")</f>
        <v>keyence-soft.co.jp</v>
      </c>
      <c r="C20532" t="s">
        <v>461</v>
      </c>
      <c r="D20532" t="s">
        <v>837</v>
      </c>
      <c r="F20532">
        <v>6.2222532705647803E-9</v>
      </c>
      <c r="G20532">
        <v>15414054</v>
      </c>
      <c r="H20532">
        <v>12952151</v>
      </c>
      <c r="I20532">
        <v>13201350</v>
      </c>
      <c r="J20532">
        <v>5</v>
      </c>
    </row>
    <row r="20533" spans="1:10" x14ac:dyDescent="0.25">
      <c r="A20533" t="s">
        <v>225</v>
      </c>
      <c r="B20533" s="1" t="str">
        <f>HYPERLINK("http://keyence.co.kr","keyence.co.kr")</f>
        <v>keyence.co.kr</v>
      </c>
      <c r="C20533" t="s">
        <v>463</v>
      </c>
      <c r="D20533" t="s">
        <v>839</v>
      </c>
      <c r="E20533">
        <v>693533</v>
      </c>
      <c r="F20533">
        <v>2.4549105111299799E-8</v>
      </c>
      <c r="G20533">
        <v>2110079</v>
      </c>
      <c r="H20533">
        <v>12786982</v>
      </c>
      <c r="I20533">
        <v>14705275</v>
      </c>
      <c r="J20533">
        <v>2</v>
      </c>
    </row>
    <row r="20534" spans="1:10" x14ac:dyDescent="0.25">
      <c r="A20534" t="s">
        <v>225</v>
      </c>
      <c r="B20534" s="1" t="str">
        <f>HYPERLINK("http://keyence.com.mx","keyence.com.mx")</f>
        <v>keyence.com.mx</v>
      </c>
      <c r="C20534" t="s">
        <v>471</v>
      </c>
      <c r="D20534" t="s">
        <v>847</v>
      </c>
      <c r="E20534">
        <v>707873</v>
      </c>
      <c r="F20534">
        <v>2.7982293985127501E-8</v>
      </c>
      <c r="G20534">
        <v>1838425</v>
      </c>
      <c r="H20534">
        <v>13598245</v>
      </c>
      <c r="I20534">
        <v>9653180</v>
      </c>
      <c r="J20534">
        <v>2</v>
      </c>
    </row>
    <row r="20535" spans="1:10" x14ac:dyDescent="0.25">
      <c r="A20535" t="s">
        <v>225</v>
      </c>
      <c r="B20535" s="1" t="str">
        <f>HYPERLINK("http://keyence.com.my","keyence.com.my")</f>
        <v>keyence.com.my</v>
      </c>
      <c r="C20535" t="s">
        <v>472</v>
      </c>
      <c r="D20535" t="s">
        <v>848</v>
      </c>
      <c r="F20535">
        <v>1.8163580853745599E-8</v>
      </c>
      <c r="G20535">
        <v>2997008</v>
      </c>
      <c r="H20535">
        <v>11349244</v>
      </c>
      <c r="I20535">
        <v>30392698</v>
      </c>
      <c r="J20535">
        <v>2</v>
      </c>
    </row>
    <row r="20536" spans="1:10" x14ac:dyDescent="0.25">
      <c r="A20536" t="s">
        <v>225</v>
      </c>
      <c r="B20536" s="1" t="str">
        <f>HYPERLINK("http://alosboiya.org","alosboiya.org")</f>
        <v>alosboiya.org</v>
      </c>
      <c r="C20536" t="s">
        <v>481</v>
      </c>
      <c r="F20536">
        <v>7.4747108315818298E-9</v>
      </c>
      <c r="G20536">
        <v>11070312</v>
      </c>
      <c r="H20536">
        <v>10343799</v>
      </c>
      <c r="I20536">
        <v>57682786</v>
      </c>
      <c r="J20536">
        <v>3</v>
      </c>
    </row>
    <row r="20537" spans="1:10" x14ac:dyDescent="0.25">
      <c r="A20537" t="s">
        <v>225</v>
      </c>
      <c r="B20537" s="1" t="str">
        <f>HYPERLINK("http://keyence.com.ph","keyence.com.ph")</f>
        <v>keyence.com.ph</v>
      </c>
      <c r="C20537" t="s">
        <v>484</v>
      </c>
      <c r="D20537" t="s">
        <v>858</v>
      </c>
      <c r="F20537">
        <v>1.70172371454104E-8</v>
      </c>
      <c r="G20537">
        <v>3279282</v>
      </c>
      <c r="H20537">
        <v>11335447</v>
      </c>
      <c r="I20537">
        <v>30439224</v>
      </c>
      <c r="J20537">
        <v>2</v>
      </c>
    </row>
    <row r="20538" spans="1:10" x14ac:dyDescent="0.25">
      <c r="A20538" t="s">
        <v>225</v>
      </c>
      <c r="B20538" s="1" t="str">
        <f>HYPERLINK("http://keyence.com.sg","keyence.com.sg")</f>
        <v>keyence.com.sg</v>
      </c>
      <c r="C20538" t="s">
        <v>496</v>
      </c>
      <c r="D20538" t="s">
        <v>870</v>
      </c>
      <c r="F20538">
        <v>1.9734504652857799E-8</v>
      </c>
      <c r="G20538">
        <v>2703671</v>
      </c>
      <c r="H20538">
        <v>11524849</v>
      </c>
      <c r="I20538">
        <v>29997847</v>
      </c>
      <c r="J20538">
        <v>2</v>
      </c>
    </row>
    <row r="20539" spans="1:10" x14ac:dyDescent="0.25">
      <c r="A20539" t="s">
        <v>225</v>
      </c>
      <c r="B20539" s="1" t="str">
        <f>HYPERLINK("http://keyence.co.th","keyence.co.th")</f>
        <v>keyence.co.th</v>
      </c>
      <c r="C20539" t="s">
        <v>500</v>
      </c>
      <c r="D20539" t="s">
        <v>874</v>
      </c>
      <c r="F20539">
        <v>2.22799593376562E-8</v>
      </c>
      <c r="G20539">
        <v>2353315</v>
      </c>
      <c r="H20539">
        <v>12450564</v>
      </c>
      <c r="I20539">
        <v>17989441</v>
      </c>
      <c r="J20539">
        <v>2</v>
      </c>
    </row>
    <row r="20540" spans="1:10" x14ac:dyDescent="0.25">
      <c r="A20540" t="s">
        <v>225</v>
      </c>
      <c r="B20540" s="1" t="str">
        <f>HYPERLINK("http://keyence.com.tw","keyence.com.tw")</f>
        <v>keyence.com.tw</v>
      </c>
      <c r="C20540" t="s">
        <v>504</v>
      </c>
      <c r="D20540" t="s">
        <v>878</v>
      </c>
      <c r="E20540">
        <v>776532</v>
      </c>
      <c r="F20540">
        <v>1.9531650853934201E-8</v>
      </c>
      <c r="G20540">
        <v>2739380</v>
      </c>
      <c r="H20540">
        <v>13887440</v>
      </c>
      <c r="I20540">
        <v>5967046</v>
      </c>
      <c r="J20540">
        <v>2</v>
      </c>
    </row>
    <row r="20541" spans="1:10" x14ac:dyDescent="0.25">
      <c r="A20541" t="s">
        <v>225</v>
      </c>
      <c r="B20541" s="1" t="str">
        <f>HYPERLINK("http://keyence.co.uk","keyence.co.uk")</f>
        <v>keyence.co.uk</v>
      </c>
      <c r="C20541" t="s">
        <v>506</v>
      </c>
      <c r="D20541" t="s">
        <v>880</v>
      </c>
      <c r="F20541">
        <v>3.3960169390529403E-8</v>
      </c>
      <c r="G20541">
        <v>1524483</v>
      </c>
      <c r="H20541">
        <v>14258093</v>
      </c>
      <c r="I20541">
        <v>1425806</v>
      </c>
      <c r="J20541">
        <v>2</v>
      </c>
    </row>
    <row r="20542" spans="1:10" x14ac:dyDescent="0.25">
      <c r="A20542" t="s">
        <v>225</v>
      </c>
      <c r="B20542" s="1" t="str">
        <f>HYPERLINK("http://keyence.com.vn","keyence.com.vn")</f>
        <v>keyence.com.vn</v>
      </c>
      <c r="C20542" t="s">
        <v>509</v>
      </c>
      <c r="D20542" t="s">
        <v>883</v>
      </c>
      <c r="F20542">
        <v>1.9082756367746899E-8</v>
      </c>
      <c r="G20542">
        <v>2820815</v>
      </c>
      <c r="H20542">
        <v>12333618</v>
      </c>
      <c r="I20542">
        <v>20133977</v>
      </c>
      <c r="J20542">
        <v>2</v>
      </c>
    </row>
    <row r="20543" spans="1:10" x14ac:dyDescent="0.25">
      <c r="A20543" t="s">
        <v>226</v>
      </c>
      <c r="B20543" s="1" t="str">
        <f>HYPERLINK("http://kimberly-clark.com.ar","kimberly-clark.com.ar")</f>
        <v>kimberly-clark.com.ar</v>
      </c>
      <c r="C20543" t="s">
        <v>418</v>
      </c>
      <c r="D20543" t="s">
        <v>800</v>
      </c>
      <c r="F20543">
        <v>9.2209553608182305E-9</v>
      </c>
      <c r="G20543">
        <v>7681934</v>
      </c>
      <c r="H20543">
        <v>14374068</v>
      </c>
      <c r="I20543">
        <v>1250141</v>
      </c>
      <c r="J20543">
        <v>3</v>
      </c>
    </row>
    <row r="20544" spans="1:10" x14ac:dyDescent="0.25">
      <c r="A20544" t="s">
        <v>226</v>
      </c>
      <c r="B20544" s="1" t="str">
        <f>HYPERLINK("http://kimberly-clark.com.au","kimberly-clark.com.au")</f>
        <v>kimberly-clark.com.au</v>
      </c>
      <c r="C20544" t="s">
        <v>420</v>
      </c>
      <c r="D20544" t="s">
        <v>802</v>
      </c>
      <c r="F20544">
        <v>2.4763895018367601E-8</v>
      </c>
      <c r="G20544">
        <v>2088620</v>
      </c>
      <c r="H20544">
        <v>14079947</v>
      </c>
      <c r="I20544">
        <v>2825739</v>
      </c>
      <c r="J20544">
        <v>2</v>
      </c>
    </row>
    <row r="20545" spans="1:10" x14ac:dyDescent="0.25">
      <c r="A20545" t="s">
        <v>226</v>
      </c>
      <c r="B20545" s="1" t="str">
        <f>HYPERLINK("http://kimberly-clark.com.br","kimberly-clark.com.br")</f>
        <v>kimberly-clark.com.br</v>
      </c>
      <c r="C20545" t="s">
        <v>425</v>
      </c>
      <c r="D20545" t="s">
        <v>806</v>
      </c>
      <c r="F20545">
        <v>1.0369682094646E-8</v>
      </c>
      <c r="G20545">
        <v>6386453</v>
      </c>
      <c r="H20545">
        <v>13880862</v>
      </c>
      <c r="I20545">
        <v>5981829</v>
      </c>
      <c r="J20545">
        <v>2</v>
      </c>
    </row>
    <row r="20546" spans="1:10" x14ac:dyDescent="0.25">
      <c r="A20546" t="s">
        <v>226</v>
      </c>
      <c r="B20546" s="1" t="str">
        <f>HYPERLINK("http://kimberly-clark.com.cn","kimberly-clark.com.cn")</f>
        <v>kimberly-clark.com.cn</v>
      </c>
      <c r="C20546" t="s">
        <v>431</v>
      </c>
      <c r="D20546" t="s">
        <v>812</v>
      </c>
      <c r="F20546">
        <v>2.21601519222256E-8</v>
      </c>
      <c r="G20546">
        <v>2367405</v>
      </c>
      <c r="H20546">
        <v>14081797</v>
      </c>
      <c r="I20546">
        <v>2806256</v>
      </c>
      <c r="J20546">
        <v>2</v>
      </c>
    </row>
    <row r="20547" spans="1:10" x14ac:dyDescent="0.25">
      <c r="A20547" t="s">
        <v>226</v>
      </c>
      <c r="B20547" s="1" t="str">
        <f>HYPERLINK("http://careersatkc.com","careersatkc.com")</f>
        <v>careersatkc.com</v>
      </c>
      <c r="C20547" t="s">
        <v>433</v>
      </c>
      <c r="F20547">
        <v>4.4203445906605398E-8</v>
      </c>
      <c r="G20547">
        <v>1074787</v>
      </c>
      <c r="H20547">
        <v>13843109</v>
      </c>
      <c r="I20547">
        <v>6066400</v>
      </c>
      <c r="J20547">
        <v>4</v>
      </c>
    </row>
    <row r="20548" spans="1:10" x14ac:dyDescent="0.25">
      <c r="A20548" t="s">
        <v>226</v>
      </c>
      <c r="B20548" s="1" t="str">
        <f>HYPERLINK("http://kcc.com","kcc.com")</f>
        <v>kcc.com</v>
      </c>
      <c r="C20548" t="s">
        <v>433</v>
      </c>
      <c r="E20548">
        <v>50342</v>
      </c>
      <c r="F20548">
        <v>3.2421272726295703E-8</v>
      </c>
      <c r="G20548">
        <v>1593610</v>
      </c>
      <c r="H20548">
        <v>14001485</v>
      </c>
      <c r="I20548">
        <v>4011381</v>
      </c>
      <c r="J20548">
        <v>2</v>
      </c>
    </row>
    <row r="20549" spans="1:10" x14ac:dyDescent="0.25">
      <c r="A20549" t="s">
        <v>226</v>
      </c>
      <c r="B20549" s="1" t="str">
        <f>HYPERLINK("http://kimberly-clark.com","kimberly-clark.com")</f>
        <v>kimberly-clark.com</v>
      </c>
      <c r="C20549" t="s">
        <v>433</v>
      </c>
      <c r="E20549">
        <v>43246</v>
      </c>
      <c r="F20549">
        <v>1.08505930957753E-6</v>
      </c>
      <c r="G20549">
        <v>35500</v>
      </c>
      <c r="H20549">
        <v>17294640</v>
      </c>
      <c r="I20549">
        <v>28495</v>
      </c>
      <c r="J20549">
        <v>1</v>
      </c>
    </row>
    <row r="20550" spans="1:10" x14ac:dyDescent="0.25">
      <c r="A20550" t="s">
        <v>226</v>
      </c>
      <c r="B20550" s="1" t="str">
        <f>HYPERLINK("http://kimberly-clarkperutemp.com","kimberly-clarkperutemp.com")</f>
        <v>kimberly-clarkperutemp.com</v>
      </c>
      <c r="C20550" t="s">
        <v>433</v>
      </c>
      <c r="F20550">
        <v>4.9346064011410802E-9</v>
      </c>
      <c r="G20550">
        <v>31247405</v>
      </c>
      <c r="H20550">
        <v>11149984</v>
      </c>
      <c r="I20550">
        <v>31742583</v>
      </c>
      <c r="J20550">
        <v>4</v>
      </c>
    </row>
    <row r="20551" spans="1:10" x14ac:dyDescent="0.25">
      <c r="A20551" t="s">
        <v>226</v>
      </c>
      <c r="B20551" s="1" t="str">
        <f>HYPERLINK("http://drynites.fi","drynites.fi")</f>
        <v>drynites.fi</v>
      </c>
      <c r="C20551" t="s">
        <v>445</v>
      </c>
      <c r="D20551" t="s">
        <v>823</v>
      </c>
      <c r="F20551">
        <v>5.5652980483274801E-9</v>
      </c>
      <c r="G20551">
        <v>20223004</v>
      </c>
      <c r="H20551">
        <v>10512802</v>
      </c>
      <c r="I20551">
        <v>49382257</v>
      </c>
      <c r="J20551">
        <v>2</v>
      </c>
    </row>
    <row r="20552" spans="1:10" x14ac:dyDescent="0.25">
      <c r="A20552" t="s">
        <v>226</v>
      </c>
      <c r="B20552" s="1" t="str">
        <f>HYPERLINK("http://huggies.fi","huggies.fi")</f>
        <v>huggies.fi</v>
      </c>
      <c r="C20552" t="s">
        <v>445</v>
      </c>
      <c r="D20552" t="s">
        <v>823</v>
      </c>
      <c r="J20552">
        <v>2</v>
      </c>
    </row>
    <row r="20553" spans="1:10" x14ac:dyDescent="0.25">
      <c r="A20553" t="s">
        <v>226</v>
      </c>
      <c r="B20553" s="1" t="str">
        <f>HYPERLINK("http://impressa.fi","impressa.fi")</f>
        <v>impressa.fi</v>
      </c>
      <c r="C20553" t="s">
        <v>445</v>
      </c>
      <c r="D20553" t="s">
        <v>823</v>
      </c>
      <c r="J20553">
        <v>2</v>
      </c>
    </row>
    <row r="20554" spans="1:10" x14ac:dyDescent="0.25">
      <c r="A20554" t="s">
        <v>226</v>
      </c>
      <c r="B20554" s="1" t="str">
        <f>HYPERLINK("http://kleenex.fi","kleenex.fi")</f>
        <v>kleenex.fi</v>
      </c>
      <c r="C20554" t="s">
        <v>445</v>
      </c>
      <c r="D20554" t="s">
        <v>823</v>
      </c>
      <c r="F20554">
        <v>4.6530884573543797E-9</v>
      </c>
      <c r="G20554">
        <v>43956415</v>
      </c>
      <c r="H20554">
        <v>10237109</v>
      </c>
      <c r="I20554">
        <v>58831802</v>
      </c>
      <c r="J20554">
        <v>2</v>
      </c>
    </row>
    <row r="20555" spans="1:10" x14ac:dyDescent="0.25">
      <c r="A20555" t="s">
        <v>226</v>
      </c>
      <c r="B20555" s="1" t="str">
        <f>HYPERLINK("http://kotex.fi","kotex.fi")</f>
        <v>kotex.fi</v>
      </c>
      <c r="C20555" t="s">
        <v>445</v>
      </c>
      <c r="D20555" t="s">
        <v>823</v>
      </c>
      <c r="J20555">
        <v>2</v>
      </c>
    </row>
    <row r="20556" spans="1:10" x14ac:dyDescent="0.25">
      <c r="A20556" t="s">
        <v>226</v>
      </c>
      <c r="B20556" s="1" t="str">
        <f>HYPERLINK("http://littleswimmers.fi","littleswimmers.fi")</f>
        <v>littleswimmers.fi</v>
      </c>
      <c r="C20556" t="s">
        <v>445</v>
      </c>
      <c r="D20556" t="s">
        <v>823</v>
      </c>
      <c r="F20556">
        <v>4.6530884573543797E-9</v>
      </c>
      <c r="G20556">
        <v>43956416</v>
      </c>
      <c r="H20556">
        <v>10237109</v>
      </c>
      <c r="I20556">
        <v>58831803</v>
      </c>
      <c r="J20556">
        <v>2</v>
      </c>
    </row>
    <row r="20557" spans="1:10" x14ac:dyDescent="0.25">
      <c r="A20557" t="s">
        <v>226</v>
      </c>
      <c r="B20557" s="1" t="str">
        <f>HYPERLINK("http://poise.fi","poise.fi")</f>
        <v>poise.fi</v>
      </c>
      <c r="C20557" t="s">
        <v>445</v>
      </c>
      <c r="D20557" t="s">
        <v>823</v>
      </c>
      <c r="J20557">
        <v>2</v>
      </c>
    </row>
    <row r="20558" spans="1:10" x14ac:dyDescent="0.25">
      <c r="A20558" t="s">
        <v>226</v>
      </c>
      <c r="B20558" s="1" t="str">
        <f>HYPERLINK("http://pull-ups.fi","pull-ups.fi")</f>
        <v>pull-ups.fi</v>
      </c>
      <c r="C20558" t="s">
        <v>445</v>
      </c>
      <c r="D20558" t="s">
        <v>823</v>
      </c>
      <c r="J20558">
        <v>2</v>
      </c>
    </row>
    <row r="20559" spans="1:10" x14ac:dyDescent="0.25">
      <c r="A20559" t="s">
        <v>226</v>
      </c>
      <c r="B20559" s="1" t="str">
        <f>HYPERLINK("http://kimberly-clark.co.il","kimberly-clark.co.il")</f>
        <v>kimberly-clark.co.il</v>
      </c>
      <c r="C20559" t="s">
        <v>456</v>
      </c>
      <c r="D20559" t="s">
        <v>833</v>
      </c>
      <c r="F20559">
        <v>8.0718631972646101E-9</v>
      </c>
      <c r="G20559">
        <v>9791249</v>
      </c>
      <c r="H20559">
        <v>12145595</v>
      </c>
      <c r="I20559">
        <v>24733191</v>
      </c>
      <c r="J20559">
        <v>2</v>
      </c>
    </row>
    <row r="20560" spans="1:10" x14ac:dyDescent="0.25">
      <c r="A20560" t="s">
        <v>226</v>
      </c>
      <c r="B20560" s="1" t="str">
        <f>HYPERLINK("http://yuhan.ac.kr","yuhan.ac.kr")</f>
        <v>yuhan.ac.kr</v>
      </c>
      <c r="C20560" t="s">
        <v>463</v>
      </c>
      <c r="D20560" t="s">
        <v>839</v>
      </c>
      <c r="E20560">
        <v>454643</v>
      </c>
      <c r="F20560">
        <v>2.54428289479291E-8</v>
      </c>
      <c r="G20560">
        <v>2027458</v>
      </c>
      <c r="H20560">
        <v>14266064</v>
      </c>
      <c r="I20560">
        <v>1407712</v>
      </c>
      <c r="J20560">
        <v>4</v>
      </c>
    </row>
    <row r="20561" spans="1:10" x14ac:dyDescent="0.25">
      <c r="A20561" t="s">
        <v>226</v>
      </c>
      <c r="B20561" s="1" t="str">
        <f>HYPERLINK("http://yuhan.co.kr","yuhan.co.kr")</f>
        <v>yuhan.co.kr</v>
      </c>
      <c r="C20561" t="s">
        <v>463</v>
      </c>
      <c r="D20561" t="s">
        <v>839</v>
      </c>
      <c r="E20561">
        <v>716056</v>
      </c>
      <c r="F20561">
        <v>6.2796640151332303E-8</v>
      </c>
      <c r="G20561">
        <v>698358</v>
      </c>
      <c r="H20561">
        <v>14083728</v>
      </c>
      <c r="I20561">
        <v>2791727</v>
      </c>
      <c r="J20561">
        <v>3</v>
      </c>
    </row>
    <row r="20562" spans="1:10" x14ac:dyDescent="0.25">
      <c r="A20562" t="s">
        <v>226</v>
      </c>
      <c r="B20562" s="1" t="str">
        <f>HYPERLINK("http://clark.com.mx","clark.com.mx")</f>
        <v>clark.com.mx</v>
      </c>
      <c r="C20562" t="s">
        <v>471</v>
      </c>
      <c r="D20562" t="s">
        <v>847</v>
      </c>
      <c r="J20562">
        <v>4</v>
      </c>
    </row>
    <row r="20563" spans="1:10" x14ac:dyDescent="0.25">
      <c r="A20563" t="s">
        <v>226</v>
      </c>
      <c r="B20563" s="1" t="str">
        <f>HYPERLINK("http://evenflo.com.mx","evenflo.com.mx")</f>
        <v>evenflo.com.mx</v>
      </c>
      <c r="C20563" t="s">
        <v>471</v>
      </c>
      <c r="D20563" t="s">
        <v>847</v>
      </c>
      <c r="F20563">
        <v>4.4563937698839902E-9</v>
      </c>
      <c r="G20563">
        <v>68968018</v>
      </c>
      <c r="H20563">
        <v>10476128</v>
      </c>
      <c r="I20563">
        <v>51124958</v>
      </c>
      <c r="J20563">
        <v>4</v>
      </c>
    </row>
    <row r="20564" spans="1:10" x14ac:dyDescent="0.25">
      <c r="A20564" t="s">
        <v>226</v>
      </c>
      <c r="B20564" s="1" t="str">
        <f>HYPERLINK("http://evenflofeeding.com.mx","evenflofeeding.com.mx")</f>
        <v>evenflofeeding.com.mx</v>
      </c>
      <c r="C20564" t="s">
        <v>471</v>
      </c>
      <c r="D20564" t="s">
        <v>847</v>
      </c>
      <c r="F20564">
        <v>5.4001171153101698E-9</v>
      </c>
      <c r="G20564">
        <v>22112705</v>
      </c>
      <c r="H20564">
        <v>10695115</v>
      </c>
      <c r="I20564">
        <v>42405657</v>
      </c>
      <c r="J20564">
        <v>5</v>
      </c>
    </row>
    <row r="20565" spans="1:10" x14ac:dyDescent="0.25">
      <c r="A20565" t="s">
        <v>226</v>
      </c>
      <c r="B20565" s="1" t="str">
        <f>HYPERLINK("http://kimberly-clark.com.mx","kimberly-clark.com.mx")</f>
        <v>kimberly-clark.com.mx</v>
      </c>
      <c r="C20565" t="s">
        <v>471</v>
      </c>
      <c r="D20565" t="s">
        <v>847</v>
      </c>
      <c r="F20565">
        <v>2.1964455932563601E-8</v>
      </c>
      <c r="G20565">
        <v>2390404</v>
      </c>
      <c r="H20565">
        <v>13574907</v>
      </c>
      <c r="I20565">
        <v>9704791</v>
      </c>
      <c r="J20565">
        <v>4</v>
      </c>
    </row>
    <row r="20566" spans="1:10" x14ac:dyDescent="0.25">
      <c r="A20566" t="s">
        <v>226</v>
      </c>
      <c r="B20566" s="1" t="str">
        <f>HYPERLINK("http://kimberly-clark.com.py","kimberly-clark.com.py")</f>
        <v>kimberly-clark.com.py</v>
      </c>
      <c r="C20566" t="s">
        <v>489</v>
      </c>
      <c r="D20566" t="s">
        <v>863</v>
      </c>
      <c r="F20566">
        <v>8.0186802715640199E-9</v>
      </c>
      <c r="G20566">
        <v>9886770</v>
      </c>
      <c r="H20566">
        <v>12145602</v>
      </c>
      <c r="I20566">
        <v>24733046</v>
      </c>
      <c r="J20566">
        <v>2</v>
      </c>
    </row>
    <row r="20567" spans="1:10" x14ac:dyDescent="0.25">
      <c r="A20567" t="s">
        <v>226</v>
      </c>
      <c r="B20567" s="1" t="str">
        <f>HYPERLINK("http://kimberly-clark.com.tw","kimberly-clark.com.tw")</f>
        <v>kimberly-clark.com.tw</v>
      </c>
      <c r="C20567" t="s">
        <v>504</v>
      </c>
      <c r="D20567" t="s">
        <v>878</v>
      </c>
      <c r="F20567">
        <v>8.4356179000659305E-9</v>
      </c>
      <c r="G20567">
        <v>8970709</v>
      </c>
      <c r="H20567">
        <v>12969688</v>
      </c>
      <c r="I20567">
        <v>13053433</v>
      </c>
      <c r="J20567">
        <v>2</v>
      </c>
    </row>
    <row r="20568" spans="1:10" x14ac:dyDescent="0.25">
      <c r="A20568" t="s">
        <v>226</v>
      </c>
      <c r="B20568" s="1" t="str">
        <f>HYPERLINK("http://kimberly-clark.com.uy","kimberly-clark.com.uy")</f>
        <v>kimberly-clark.com.uy</v>
      </c>
      <c r="C20568" t="s">
        <v>507</v>
      </c>
      <c r="D20568" t="s">
        <v>881</v>
      </c>
      <c r="F20568">
        <v>7.2479310311093498E-9</v>
      </c>
      <c r="G20568">
        <v>11610976</v>
      </c>
      <c r="H20568">
        <v>12168382</v>
      </c>
      <c r="I20568">
        <v>24111648</v>
      </c>
      <c r="J20568">
        <v>2</v>
      </c>
    </row>
    <row r="20569" spans="1:10" x14ac:dyDescent="0.25">
      <c r="A20569" t="s">
        <v>226</v>
      </c>
      <c r="B20569" s="1" t="str">
        <f>HYPERLINK("http://kimberly-clark.com.vn","kimberly-clark.com.vn")</f>
        <v>kimberly-clark.com.vn</v>
      </c>
      <c r="C20569" t="s">
        <v>509</v>
      </c>
      <c r="D20569" t="s">
        <v>883</v>
      </c>
      <c r="F20569">
        <v>1.11139019441431E-8</v>
      </c>
      <c r="G20569">
        <v>5775263</v>
      </c>
      <c r="H20569">
        <v>14073018</v>
      </c>
      <c r="I20569">
        <v>3024189</v>
      </c>
      <c r="J20569">
        <v>2</v>
      </c>
    </row>
    <row r="20570" spans="1:10" x14ac:dyDescent="0.25">
      <c r="A20570" t="s">
        <v>1626</v>
      </c>
      <c r="B20570" s="1" t="str">
        <f>HYPERLINK("http://americanpetroleumtankers.com","americanpetroleumtankers.com")</f>
        <v>americanpetroleumtankers.com</v>
      </c>
      <c r="C20570" t="s">
        <v>433</v>
      </c>
      <c r="F20570">
        <v>4.5969392293474204E-9</v>
      </c>
      <c r="G20570">
        <v>47845332</v>
      </c>
      <c r="H20570">
        <v>11064886</v>
      </c>
      <c r="I20570">
        <v>32633512</v>
      </c>
      <c r="J20570">
        <v>3</v>
      </c>
    </row>
    <row r="20571" spans="1:10" x14ac:dyDescent="0.25">
      <c r="A20571" t="s">
        <v>1626</v>
      </c>
      <c r="B20571" s="1" t="str">
        <f>HYPERLINK("http://coastalcorp.com","coastalcorp.com")</f>
        <v>coastalcorp.com</v>
      </c>
      <c r="C20571" t="s">
        <v>433</v>
      </c>
      <c r="F20571">
        <v>4.8377349757079801E-9</v>
      </c>
      <c r="G20571">
        <v>34562910</v>
      </c>
      <c r="H20571">
        <v>12471398</v>
      </c>
      <c r="I20571">
        <v>17691020</v>
      </c>
      <c r="J20571">
        <v>3</v>
      </c>
    </row>
    <row r="20572" spans="1:10" x14ac:dyDescent="0.25">
      <c r="A20572" t="s">
        <v>1626</v>
      </c>
      <c r="B20572" s="1" t="str">
        <f>HYPERLINK("http://elpaso.com","elpaso.com")</f>
        <v>elpaso.com</v>
      </c>
      <c r="C20572" t="s">
        <v>433</v>
      </c>
      <c r="F20572">
        <v>5.9300682847347502E-8</v>
      </c>
      <c r="G20572">
        <v>746903</v>
      </c>
      <c r="H20572">
        <v>14307502</v>
      </c>
      <c r="I20572">
        <v>1347643</v>
      </c>
      <c r="J20572">
        <v>3</v>
      </c>
    </row>
    <row r="20573" spans="1:10" x14ac:dyDescent="0.25">
      <c r="A20573" t="s">
        <v>1626</v>
      </c>
      <c r="B20573" s="1" t="str">
        <f>HYPERLINK("http://kindermorgan.com","kindermorgan.com")</f>
        <v>kindermorgan.com</v>
      </c>
      <c r="C20573" t="s">
        <v>433</v>
      </c>
      <c r="E20573">
        <v>36240</v>
      </c>
      <c r="F20573">
        <v>4.3483256937405201E-7</v>
      </c>
      <c r="G20573">
        <v>86651</v>
      </c>
      <c r="H20573">
        <v>15092611</v>
      </c>
      <c r="I20573">
        <v>407627</v>
      </c>
      <c r="J20573">
        <v>1</v>
      </c>
    </row>
    <row r="20574" spans="1:10" x14ac:dyDescent="0.25">
      <c r="A20574" t="s">
        <v>1626</v>
      </c>
      <c r="B20574" s="1" t="str">
        <f>HYPERLINK("http://stagecoachgs.com","stagecoachgs.com")</f>
        <v>stagecoachgs.com</v>
      </c>
      <c r="C20574" t="s">
        <v>433</v>
      </c>
      <c r="F20574">
        <v>1.3443037057295301E-8</v>
      </c>
      <c r="G20574">
        <v>4429491</v>
      </c>
      <c r="H20574">
        <v>11143666</v>
      </c>
      <c r="I20574">
        <v>31802022</v>
      </c>
      <c r="J20574">
        <v>3</v>
      </c>
    </row>
    <row r="20575" spans="1:10" x14ac:dyDescent="0.25">
      <c r="A20575" t="s">
        <v>1626</v>
      </c>
      <c r="B20575" s="1" t="str">
        <f>HYPERLINK("http://bostco.net","bostco.net")</f>
        <v>bostco.net</v>
      </c>
      <c r="C20575" t="s">
        <v>474</v>
      </c>
      <c r="F20575">
        <v>4.5198007257189902E-9</v>
      </c>
      <c r="G20575">
        <v>56250953</v>
      </c>
      <c r="H20575">
        <v>10356242</v>
      </c>
      <c r="I20575">
        <v>55634077</v>
      </c>
      <c r="J20575">
        <v>3</v>
      </c>
    </row>
    <row r="20576" spans="1:10" x14ac:dyDescent="0.25">
      <c r="A20576" t="s">
        <v>227</v>
      </c>
      <c r="B20576" s="1" t="str">
        <f>HYPERLINK("http://business-standard.com","business-standard.com")</f>
        <v>business-standard.com</v>
      </c>
      <c r="C20576" t="s">
        <v>433</v>
      </c>
      <c r="E20576">
        <v>2916</v>
      </c>
      <c r="F20576">
        <v>1.0150081608656999E-5</v>
      </c>
      <c r="G20576">
        <v>3314</v>
      </c>
      <c r="H20576">
        <v>18017672</v>
      </c>
      <c r="I20576">
        <v>3573</v>
      </c>
      <c r="J20576">
        <v>4</v>
      </c>
    </row>
    <row r="20577" spans="1:10" x14ac:dyDescent="0.25">
      <c r="A20577" t="s">
        <v>227</v>
      </c>
      <c r="B20577" s="1" t="str">
        <f>HYPERLINK("http://kotak.com","kotak.com")</f>
        <v>kotak.com</v>
      </c>
      <c r="C20577" t="s">
        <v>433</v>
      </c>
      <c r="E20577">
        <v>8675</v>
      </c>
      <c r="F20577">
        <v>6.7681487187420997E-7</v>
      </c>
      <c r="G20577">
        <v>56975</v>
      </c>
      <c r="H20577">
        <v>17225254</v>
      </c>
      <c r="I20577">
        <v>37631</v>
      </c>
      <c r="J20577">
        <v>1</v>
      </c>
    </row>
    <row r="20578" spans="1:10" x14ac:dyDescent="0.25">
      <c r="A20578" t="s">
        <v>227</v>
      </c>
      <c r="B20578" s="1" t="str">
        <f>HYPERLINK("http://kotaklife.com","kotaklife.com")</f>
        <v>kotaklife.com</v>
      </c>
      <c r="C20578" t="s">
        <v>433</v>
      </c>
      <c r="E20578">
        <v>244163</v>
      </c>
      <c r="F20578">
        <v>9.7546292839380805E-8</v>
      </c>
      <c r="G20578">
        <v>413978</v>
      </c>
      <c r="H20578">
        <v>13362113</v>
      </c>
      <c r="I20578">
        <v>10505815</v>
      </c>
      <c r="J20578">
        <v>5</v>
      </c>
    </row>
    <row r="20579" spans="1:10" x14ac:dyDescent="0.25">
      <c r="A20579" t="s">
        <v>227</v>
      </c>
      <c r="B20579" s="1" t="str">
        <f>HYPERLINK("http://kotaksecurities.com","kotaksecurities.com")</f>
        <v>kotaksecurities.com</v>
      </c>
      <c r="C20579" t="s">
        <v>433</v>
      </c>
      <c r="E20579">
        <v>36025</v>
      </c>
      <c r="F20579">
        <v>1.9184163532802701E-7</v>
      </c>
      <c r="G20579">
        <v>200916</v>
      </c>
      <c r="H20579">
        <v>17128816</v>
      </c>
      <c r="I20579">
        <v>57106</v>
      </c>
      <c r="J20579">
        <v>3</v>
      </c>
    </row>
    <row r="20580" spans="1:10" x14ac:dyDescent="0.25">
      <c r="A20580" t="s">
        <v>227</v>
      </c>
      <c r="B20580" s="1" t="str">
        <f>HYPERLINK("http://mountwuyi.com","mountwuyi.com")</f>
        <v>mountwuyi.com</v>
      </c>
      <c r="C20580" t="s">
        <v>433</v>
      </c>
      <c r="F20580">
        <v>4.44380395335525E-9</v>
      </c>
      <c r="G20580">
        <v>82700558</v>
      </c>
      <c r="H20580">
        <v>0</v>
      </c>
      <c r="I20580">
        <v>83365023</v>
      </c>
      <c r="J20580">
        <v>6</v>
      </c>
    </row>
    <row r="20581" spans="1:10" x14ac:dyDescent="0.25">
      <c r="A20581" t="s">
        <v>227</v>
      </c>
      <c r="B20581" s="1" t="str">
        <f>HYPERLINK("http://bssmicrofinance.co.in","bssmicrofinance.co.in")</f>
        <v>bssmicrofinance.co.in</v>
      </c>
      <c r="C20581" t="s">
        <v>457</v>
      </c>
      <c r="D20581" t="s">
        <v>834</v>
      </c>
      <c r="F20581">
        <v>5.91437252168144E-9</v>
      </c>
      <c r="G20581">
        <v>17259376</v>
      </c>
      <c r="H20581">
        <v>12221358</v>
      </c>
      <c r="I20581">
        <v>22760145</v>
      </c>
      <c r="J20581">
        <v>3</v>
      </c>
    </row>
    <row r="20582" spans="1:10" x14ac:dyDescent="0.25">
      <c r="A20582" t="s">
        <v>227</v>
      </c>
      <c r="B20582" s="1" t="str">
        <f>HYPERLINK("http://kmil.co.in","kmil.co.in")</f>
        <v>kmil.co.in</v>
      </c>
      <c r="C20582" t="s">
        <v>457</v>
      </c>
      <c r="D20582" t="s">
        <v>834</v>
      </c>
      <c r="F20582">
        <v>7.0858814117580399E-9</v>
      </c>
      <c r="G20582">
        <v>12055305</v>
      </c>
      <c r="H20582">
        <v>12111436</v>
      </c>
      <c r="I20582">
        <v>25686415</v>
      </c>
      <c r="J20582">
        <v>3</v>
      </c>
    </row>
    <row r="20583" spans="1:10" x14ac:dyDescent="0.25">
      <c r="A20583" t="s">
        <v>227</v>
      </c>
      <c r="B20583" s="1" t="str">
        <f>HYPERLINK("http://kmbl.in","kmbl.in")</f>
        <v>kmbl.in</v>
      </c>
      <c r="C20583" t="s">
        <v>457</v>
      </c>
      <c r="D20583" t="s">
        <v>834</v>
      </c>
      <c r="F20583">
        <v>4.4438646918477701E-9</v>
      </c>
      <c r="G20583">
        <v>78245876</v>
      </c>
      <c r="H20583">
        <v>10547573</v>
      </c>
      <c r="I20583">
        <v>46795442</v>
      </c>
      <c r="J20583">
        <v>2</v>
      </c>
    </row>
    <row r="20584" spans="1:10" x14ac:dyDescent="0.25">
      <c r="A20584" t="s">
        <v>227</v>
      </c>
      <c r="B20584" s="1" t="str">
        <f>HYPERLINK("http://kotak.in","kotak.in")</f>
        <v>kotak.in</v>
      </c>
      <c r="C20584" t="s">
        <v>457</v>
      </c>
      <c r="D20584" t="s">
        <v>834</v>
      </c>
      <c r="F20584">
        <v>4.4499348414117196E-9</v>
      </c>
      <c r="G20584">
        <v>71966511</v>
      </c>
      <c r="H20584">
        <v>10534911</v>
      </c>
      <c r="I20584">
        <v>47719314</v>
      </c>
      <c r="J20584">
        <v>2</v>
      </c>
    </row>
    <row r="20585" spans="1:10" x14ac:dyDescent="0.25">
      <c r="A20585" t="s">
        <v>227</v>
      </c>
      <c r="B20585" s="1" t="str">
        <f>HYPERLINK("http://business-standard.net.in","business-standard.net.in")</f>
        <v>business-standard.net.in</v>
      </c>
      <c r="C20585" t="s">
        <v>457</v>
      </c>
      <c r="D20585" t="s">
        <v>834</v>
      </c>
      <c r="F20585">
        <v>7.16150127349517E-9</v>
      </c>
      <c r="G20585">
        <v>11845723</v>
      </c>
      <c r="H20585">
        <v>14485827</v>
      </c>
      <c r="I20585">
        <v>981728</v>
      </c>
      <c r="J20585">
        <v>5</v>
      </c>
    </row>
    <row r="20586" spans="1:10" x14ac:dyDescent="0.25">
      <c r="A20586" t="s">
        <v>228</v>
      </c>
      <c r="B20586" s="1" t="str">
        <f>HYPERLINK("http://cerebos.com.au","cerebos.com.au")</f>
        <v>cerebos.com.au</v>
      </c>
      <c r="C20586" t="s">
        <v>420</v>
      </c>
      <c r="D20586" t="s">
        <v>802</v>
      </c>
      <c r="F20586">
        <v>6.0251088437502197E-9</v>
      </c>
      <c r="G20586">
        <v>16528401</v>
      </c>
      <c r="H20586">
        <v>12395580</v>
      </c>
      <c r="I20586">
        <v>18925788</v>
      </c>
      <c r="J20586">
        <v>3</v>
      </c>
    </row>
    <row r="20587" spans="1:10" x14ac:dyDescent="0.25">
      <c r="A20587" t="s">
        <v>228</v>
      </c>
      <c r="B20587" s="1" t="str">
        <f>HYPERLINK("http://goldencircle.com.au","goldencircle.com.au")</f>
        <v>goldencircle.com.au</v>
      </c>
      <c r="C20587" t="s">
        <v>420</v>
      </c>
      <c r="D20587" t="s">
        <v>802</v>
      </c>
      <c r="F20587">
        <v>4.8877207695554801E-8</v>
      </c>
      <c r="G20587">
        <v>947941</v>
      </c>
      <c r="H20587">
        <v>14140905</v>
      </c>
      <c r="I20587">
        <v>1930358</v>
      </c>
      <c r="J20587">
        <v>3</v>
      </c>
    </row>
    <row r="20588" spans="1:10" x14ac:dyDescent="0.25">
      <c r="A20588" t="s">
        <v>228</v>
      </c>
      <c r="B20588" s="1" t="str">
        <f>HYPERLINK("http://heinzbrasil.com.br","heinzbrasil.com.br")</f>
        <v>heinzbrasil.com.br</v>
      </c>
      <c r="C20588" t="s">
        <v>425</v>
      </c>
      <c r="D20588" t="s">
        <v>806</v>
      </c>
      <c r="F20588">
        <v>1.41377714657538E-8</v>
      </c>
      <c r="G20588">
        <v>4151797</v>
      </c>
      <c r="H20588">
        <v>13962141</v>
      </c>
      <c r="I20588">
        <v>4103694</v>
      </c>
      <c r="J20588">
        <v>3</v>
      </c>
    </row>
    <row r="20589" spans="1:10" x14ac:dyDescent="0.25">
      <c r="A20589" t="s">
        <v>228</v>
      </c>
      <c r="B20589" s="1" t="str">
        <f>HYPERLINK("http://countx.com","countx.com")</f>
        <v>countx.com</v>
      </c>
      <c r="C20589" t="s">
        <v>433</v>
      </c>
      <c r="F20589">
        <v>4.3385219323741698E-8</v>
      </c>
      <c r="G20589">
        <v>1103675</v>
      </c>
      <c r="H20589">
        <v>12623130</v>
      </c>
      <c r="I20589">
        <v>16055201</v>
      </c>
      <c r="J20589">
        <v>5</v>
      </c>
    </row>
    <row r="20590" spans="1:10" x14ac:dyDescent="0.25">
      <c r="A20590" t="s">
        <v>228</v>
      </c>
      <c r="B20590" s="1" t="str">
        <f>HYPERLINK("http://getwellio.com","getwellio.com")</f>
        <v>getwellio.com</v>
      </c>
      <c r="C20590" t="s">
        <v>433</v>
      </c>
      <c r="F20590">
        <v>6.1073738595527501E-8</v>
      </c>
      <c r="G20590">
        <v>721325</v>
      </c>
      <c r="H20590">
        <v>16796540</v>
      </c>
      <c r="I20590">
        <v>208657</v>
      </c>
      <c r="J20590">
        <v>3</v>
      </c>
    </row>
    <row r="20591" spans="1:10" x14ac:dyDescent="0.25">
      <c r="A20591" t="s">
        <v>228</v>
      </c>
      <c r="B20591" s="1" t="str">
        <f>HYPERLINK("http://heinz.com","heinz.com")</f>
        <v>heinz.com</v>
      </c>
      <c r="C20591" t="s">
        <v>433</v>
      </c>
      <c r="E20591">
        <v>98642</v>
      </c>
      <c r="F20591">
        <v>1.3987765863175999E-6</v>
      </c>
      <c r="G20591">
        <v>27935</v>
      </c>
      <c r="H20591">
        <v>16334046</v>
      </c>
      <c r="I20591">
        <v>365196</v>
      </c>
      <c r="J20591">
        <v>4</v>
      </c>
    </row>
    <row r="20592" spans="1:10" x14ac:dyDescent="0.25">
      <c r="A20592" t="s">
        <v>228</v>
      </c>
      <c r="B20592" s="1" t="str">
        <f>HYPERLINK("http://heinz-ame.com","heinz-ame.com")</f>
        <v>heinz-ame.com</v>
      </c>
      <c r="C20592" t="s">
        <v>433</v>
      </c>
      <c r="J20592">
        <v>3</v>
      </c>
    </row>
    <row r="20593" spans="1:10" x14ac:dyDescent="0.25">
      <c r="A20593" t="s">
        <v>228</v>
      </c>
      <c r="B20593" s="1" t="str">
        <f>HYPERLINK("http://hpfoods.com","hpfoods.com")</f>
        <v>hpfoods.com</v>
      </c>
      <c r="C20593" t="s">
        <v>433</v>
      </c>
      <c r="F20593">
        <v>4.5993088853073098E-9</v>
      </c>
      <c r="G20593">
        <v>47667008</v>
      </c>
      <c r="H20593">
        <v>13763636</v>
      </c>
      <c r="I20593">
        <v>8075876</v>
      </c>
      <c r="J20593">
        <v>4</v>
      </c>
    </row>
    <row r="20594" spans="1:10" x14ac:dyDescent="0.25">
      <c r="A20594" t="s">
        <v>228</v>
      </c>
      <c r="B20594" s="1" t="str">
        <f>HYPERLINK("http://jacques-vabre.com","jacques-vabre.com")</f>
        <v>jacques-vabre.com</v>
      </c>
      <c r="C20594" t="s">
        <v>433</v>
      </c>
      <c r="F20594">
        <v>2.6146342976046601E-8</v>
      </c>
      <c r="G20594">
        <v>1970204</v>
      </c>
      <c r="H20594">
        <v>14492586</v>
      </c>
      <c r="I20594">
        <v>893820</v>
      </c>
      <c r="J20594">
        <v>4</v>
      </c>
    </row>
    <row r="20595" spans="1:10" x14ac:dyDescent="0.25">
      <c r="A20595" t="s">
        <v>228</v>
      </c>
      <c r="B20595" s="1" t="str">
        <f>HYPERLINK("http://kraft.com","kraft.com")</f>
        <v>kraft.com</v>
      </c>
      <c r="C20595" t="s">
        <v>433</v>
      </c>
      <c r="E20595">
        <v>467038</v>
      </c>
      <c r="F20595">
        <v>7.5038103113004204E-8</v>
      </c>
      <c r="G20595">
        <v>560517</v>
      </c>
      <c r="H20595">
        <v>14717328</v>
      </c>
      <c r="I20595">
        <v>579624</v>
      </c>
      <c r="J20595">
        <v>4</v>
      </c>
    </row>
    <row r="20596" spans="1:10" x14ac:dyDescent="0.25">
      <c r="A20596" t="s">
        <v>228</v>
      </c>
      <c r="B20596" s="1" t="str">
        <f>HYPERLINK("http://kraftcanada.com","kraftcanada.com")</f>
        <v>kraftcanada.com</v>
      </c>
      <c r="C20596" t="s">
        <v>433</v>
      </c>
      <c r="E20596">
        <v>221759</v>
      </c>
      <c r="F20596">
        <v>1.4944532157767599E-7</v>
      </c>
      <c r="G20596">
        <v>260010</v>
      </c>
      <c r="H20596">
        <v>14988883</v>
      </c>
      <c r="I20596">
        <v>428594</v>
      </c>
      <c r="J20596">
        <v>4</v>
      </c>
    </row>
    <row r="20597" spans="1:10" x14ac:dyDescent="0.25">
      <c r="A20597" t="s">
        <v>228</v>
      </c>
      <c r="B20597" s="1" t="str">
        <f>HYPERLINK("http://kraftfoodingredients.com","kraftfoodingredients.com")</f>
        <v>kraftfoodingredients.com</v>
      </c>
      <c r="C20597" t="s">
        <v>433</v>
      </c>
      <c r="F20597">
        <v>5.6442860659229904E-9</v>
      </c>
      <c r="G20597">
        <v>19444058</v>
      </c>
      <c r="H20597">
        <v>14120632</v>
      </c>
      <c r="I20597">
        <v>2337337</v>
      </c>
      <c r="J20597">
        <v>3</v>
      </c>
    </row>
    <row r="20598" spans="1:10" x14ac:dyDescent="0.25">
      <c r="A20598" t="s">
        <v>228</v>
      </c>
      <c r="B20598" s="1" t="str">
        <f>HYPERLINK("http://kraftheinz.com","kraftheinz.com")</f>
        <v>kraftheinz.com</v>
      </c>
      <c r="C20598" t="s">
        <v>433</v>
      </c>
      <c r="E20598">
        <v>140006</v>
      </c>
      <c r="F20598">
        <v>4.7139397486994003E-8</v>
      </c>
      <c r="G20598">
        <v>989555</v>
      </c>
      <c r="H20598">
        <v>13391238</v>
      </c>
      <c r="I20598">
        <v>10388870</v>
      </c>
      <c r="J20598">
        <v>4</v>
      </c>
    </row>
    <row r="20599" spans="1:10" x14ac:dyDescent="0.25">
      <c r="A20599" t="s">
        <v>228</v>
      </c>
      <c r="B20599" s="1" t="str">
        <f>HYPERLINK("http://kraftheinzcompany.com","kraftheinzcompany.com")</f>
        <v>kraftheinzcompany.com</v>
      </c>
      <c r="C20599" t="s">
        <v>433</v>
      </c>
      <c r="E20599">
        <v>46949</v>
      </c>
      <c r="F20599">
        <v>1.4699169861577801E-6</v>
      </c>
      <c r="G20599">
        <v>26678</v>
      </c>
      <c r="H20599">
        <v>17331570</v>
      </c>
      <c r="I20599">
        <v>24760</v>
      </c>
      <c r="J20599">
        <v>1</v>
      </c>
    </row>
    <row r="20600" spans="1:10" x14ac:dyDescent="0.25">
      <c r="A20600" t="s">
        <v>228</v>
      </c>
      <c r="B20600" s="1" t="str">
        <f>HYPERLINK("http://kraftrecipes.com","kraftrecipes.com")</f>
        <v>kraftrecipes.com</v>
      </c>
      <c r="C20600" t="s">
        <v>433</v>
      </c>
      <c r="E20600">
        <v>79351</v>
      </c>
      <c r="F20600">
        <v>8.4231131156672298E-7</v>
      </c>
      <c r="G20600">
        <v>47189</v>
      </c>
      <c r="H20600">
        <v>15465744</v>
      </c>
      <c r="I20600">
        <v>377714</v>
      </c>
      <c r="J20600">
        <v>9</v>
      </c>
    </row>
    <row r="20601" spans="1:10" x14ac:dyDescent="0.25">
      <c r="A20601" t="s">
        <v>228</v>
      </c>
      <c r="B20601" s="1" t="str">
        <f>HYPERLINK("http://maxwellhousecoffee.com","maxwellhousecoffee.com")</f>
        <v>maxwellhousecoffee.com</v>
      </c>
      <c r="C20601" t="s">
        <v>433</v>
      </c>
      <c r="F20601">
        <v>2.1006704569321101E-8</v>
      </c>
      <c r="G20601">
        <v>2514975</v>
      </c>
      <c r="H20601">
        <v>14603862</v>
      </c>
      <c r="I20601">
        <v>683147</v>
      </c>
      <c r="J20601">
        <v>4</v>
      </c>
    </row>
    <row r="20602" spans="1:10" x14ac:dyDescent="0.25">
      <c r="A20602" t="s">
        <v>228</v>
      </c>
      <c r="B20602" s="1" t="str">
        <f>HYPERLINK("http://myfoodandfamily.com","myfoodandfamily.com")</f>
        <v>myfoodandfamily.com</v>
      </c>
      <c r="C20602" t="s">
        <v>433</v>
      </c>
      <c r="E20602">
        <v>26324</v>
      </c>
      <c r="F20602">
        <v>1.77286404340903E-6</v>
      </c>
      <c r="G20602">
        <v>22514</v>
      </c>
      <c r="H20602">
        <v>15408790</v>
      </c>
      <c r="I20602">
        <v>379811</v>
      </c>
      <c r="J20602">
        <v>4</v>
      </c>
    </row>
    <row r="20603" spans="1:10" x14ac:dyDescent="0.25">
      <c r="A20603" t="s">
        <v>228</v>
      </c>
      <c r="B20603" s="1" t="str">
        <f>HYPERLINK("http://oreida.com","oreida.com")</f>
        <v>oreida.com</v>
      </c>
      <c r="C20603" t="s">
        <v>433</v>
      </c>
      <c r="E20603">
        <v>413197</v>
      </c>
      <c r="F20603">
        <v>7.2276332232233106E-8</v>
      </c>
      <c r="G20603">
        <v>583993</v>
      </c>
      <c r="H20603">
        <v>14938134</v>
      </c>
      <c r="I20603">
        <v>444662</v>
      </c>
      <c r="J20603">
        <v>5</v>
      </c>
    </row>
    <row r="20604" spans="1:10" x14ac:dyDescent="0.25">
      <c r="A20604" t="s">
        <v>228</v>
      </c>
      <c r="B20604" s="1" t="str">
        <f>HYPERLINK("http://polly-ofoodservice.com","polly-ofoodservice.com")</f>
        <v>polly-ofoodservice.com</v>
      </c>
      <c r="C20604" t="s">
        <v>433</v>
      </c>
      <c r="F20604">
        <v>4.9638709671316103E-9</v>
      </c>
      <c r="G20604">
        <v>30405442</v>
      </c>
      <c r="H20604">
        <v>12314854</v>
      </c>
      <c r="I20604">
        <v>20517275</v>
      </c>
      <c r="J20604">
        <v>4</v>
      </c>
    </row>
    <row r="20605" spans="1:10" x14ac:dyDescent="0.25">
      <c r="A20605" t="s">
        <v>228</v>
      </c>
      <c r="B20605" s="1" t="str">
        <f>HYPERLINK("http://primalkitchen.com","primalkitchen.com")</f>
        <v>primalkitchen.com</v>
      </c>
      <c r="C20605" t="s">
        <v>433</v>
      </c>
      <c r="E20605">
        <v>112932</v>
      </c>
      <c r="F20605">
        <v>3.2164719903905899E-7</v>
      </c>
      <c r="G20605">
        <v>115687</v>
      </c>
      <c r="H20605">
        <v>17098418</v>
      </c>
      <c r="I20605">
        <v>64205</v>
      </c>
      <c r="J20605">
        <v>3</v>
      </c>
    </row>
    <row r="20606" spans="1:10" x14ac:dyDescent="0.25">
      <c r="A20606" t="s">
        <v>228</v>
      </c>
      <c r="B20606" s="1" t="str">
        <f>HYPERLINK("http://renees.com","renees.com")</f>
        <v>renees.com</v>
      </c>
      <c r="C20606" t="s">
        <v>433</v>
      </c>
      <c r="F20606">
        <v>5.55276591473512E-9</v>
      </c>
      <c r="G20606">
        <v>20349803</v>
      </c>
      <c r="H20606">
        <v>13764012</v>
      </c>
      <c r="I20606">
        <v>7430163</v>
      </c>
      <c r="J20606">
        <v>5</v>
      </c>
    </row>
    <row r="20607" spans="1:10" x14ac:dyDescent="0.25">
      <c r="A20607" t="s">
        <v>228</v>
      </c>
      <c r="B20607" s="1" t="str">
        <f>HYPERLINK("http://themasterformula.com","themasterformula.com")</f>
        <v>themasterformula.com</v>
      </c>
      <c r="C20607" t="s">
        <v>433</v>
      </c>
      <c r="J20607">
        <v>6</v>
      </c>
    </row>
    <row r="20608" spans="1:10" x14ac:dyDescent="0.25">
      <c r="A20608" t="s">
        <v>228</v>
      </c>
      <c r="B20608" s="1" t="str">
        <f>HYPERLINK("http://justspices.de","justspices.de")</f>
        <v>justspices.de</v>
      </c>
      <c r="C20608" t="s">
        <v>436</v>
      </c>
      <c r="D20608" t="s">
        <v>815</v>
      </c>
      <c r="E20608">
        <v>179466</v>
      </c>
      <c r="F20608">
        <v>1.3401517292044499E-7</v>
      </c>
      <c r="G20608">
        <v>291346</v>
      </c>
      <c r="H20608">
        <v>14713303</v>
      </c>
      <c r="I20608">
        <v>581950</v>
      </c>
      <c r="J20608">
        <v>3</v>
      </c>
    </row>
    <row r="20609" spans="1:10" x14ac:dyDescent="0.25">
      <c r="A20609" t="s">
        <v>228</v>
      </c>
      <c r="B20609" s="1" t="str">
        <f>HYPERLINK("http://heinz.es","heinz.es")</f>
        <v>heinz.es</v>
      </c>
      <c r="C20609" t="s">
        <v>443</v>
      </c>
      <c r="D20609" t="s">
        <v>822</v>
      </c>
      <c r="F20609">
        <v>1.9419473892272499E-8</v>
      </c>
      <c r="G20609">
        <v>2759878</v>
      </c>
      <c r="H20609">
        <v>13792026</v>
      </c>
      <c r="I20609">
        <v>6332598</v>
      </c>
      <c r="J20609">
        <v>3</v>
      </c>
    </row>
    <row r="20610" spans="1:10" x14ac:dyDescent="0.25">
      <c r="A20610" t="s">
        <v>228</v>
      </c>
      <c r="B20610" s="1" t="str">
        <f>HYPERLINK("http://justspices.es","justspices.es")</f>
        <v>justspices.es</v>
      </c>
      <c r="C20610" t="s">
        <v>443</v>
      </c>
      <c r="D20610" t="s">
        <v>822</v>
      </c>
      <c r="F20610">
        <v>2.21836780453344E-8</v>
      </c>
      <c r="G20610">
        <v>2364416</v>
      </c>
      <c r="H20610">
        <v>13818778</v>
      </c>
      <c r="I20610">
        <v>6151184</v>
      </c>
      <c r="J20610">
        <v>4</v>
      </c>
    </row>
    <row r="20611" spans="1:10" x14ac:dyDescent="0.25">
      <c r="A20611" t="s">
        <v>228</v>
      </c>
      <c r="B20611" s="1" t="str">
        <f>HYPERLINK("http://heinz.eu","heinz.eu")</f>
        <v>heinz.eu</v>
      </c>
      <c r="C20611" t="s">
        <v>444</v>
      </c>
      <c r="F20611">
        <v>3.6628770444222898E-8</v>
      </c>
      <c r="G20611">
        <v>1426184</v>
      </c>
      <c r="H20611">
        <v>12406606</v>
      </c>
      <c r="I20611">
        <v>18662057</v>
      </c>
      <c r="J20611">
        <v>4</v>
      </c>
    </row>
    <row r="20612" spans="1:10" x14ac:dyDescent="0.25">
      <c r="A20612" t="s">
        <v>228</v>
      </c>
      <c r="B20612" s="1" t="str">
        <f>HYPERLINK("http://amoyfoods.fi","amoyfoods.fi")</f>
        <v>amoyfoods.fi</v>
      </c>
      <c r="C20612" t="s">
        <v>445</v>
      </c>
      <c r="D20612" t="s">
        <v>823</v>
      </c>
      <c r="J20612">
        <v>4</v>
      </c>
    </row>
    <row r="20613" spans="1:10" x14ac:dyDescent="0.25">
      <c r="A20613" t="s">
        <v>228</v>
      </c>
      <c r="B20613" s="1" t="str">
        <f>HYPERLINK("http://kraftfoods.fi","kraftfoods.fi")</f>
        <v>kraftfoods.fi</v>
      </c>
      <c r="C20613" t="s">
        <v>445</v>
      </c>
      <c r="D20613" t="s">
        <v>823</v>
      </c>
      <c r="J20613">
        <v>4</v>
      </c>
    </row>
    <row r="20614" spans="1:10" x14ac:dyDescent="0.25">
      <c r="A20614" t="s">
        <v>228</v>
      </c>
      <c r="B20614" s="1" t="str">
        <f>HYPERLINK("http://laschicas.fi","laschicas.fi")</f>
        <v>laschicas.fi</v>
      </c>
      <c r="C20614" t="s">
        <v>445</v>
      </c>
      <c r="D20614" t="s">
        <v>823</v>
      </c>
      <c r="J20614">
        <v>4</v>
      </c>
    </row>
    <row r="20615" spans="1:10" x14ac:dyDescent="0.25">
      <c r="A20615" t="s">
        <v>228</v>
      </c>
      <c r="B20615" s="1" t="str">
        <f>HYPERLINK("http://heinzabc.co.id","heinzabc.co.id")</f>
        <v>heinzabc.co.id</v>
      </c>
      <c r="C20615" t="s">
        <v>454</v>
      </c>
      <c r="D20615" t="s">
        <v>831</v>
      </c>
      <c r="F20615">
        <v>2.2697350223113601E-8</v>
      </c>
      <c r="G20615">
        <v>2307029</v>
      </c>
      <c r="H20615">
        <v>14913028</v>
      </c>
      <c r="I20615">
        <v>455973</v>
      </c>
      <c r="J20615">
        <v>3</v>
      </c>
    </row>
    <row r="20616" spans="1:10" x14ac:dyDescent="0.25">
      <c r="A20616" t="s">
        <v>228</v>
      </c>
      <c r="B20616" s="1" t="str">
        <f>HYPERLINK("http://hjheinz.ie","hjheinz.ie")</f>
        <v>hjheinz.ie</v>
      </c>
      <c r="C20616" t="s">
        <v>455</v>
      </c>
      <c r="D20616" t="s">
        <v>832</v>
      </c>
      <c r="F20616">
        <v>4.48597199895222E-9</v>
      </c>
      <c r="G20616">
        <v>61216674</v>
      </c>
      <c r="H20616">
        <v>10610276</v>
      </c>
      <c r="I20616">
        <v>44567484</v>
      </c>
      <c r="J20616">
        <v>3</v>
      </c>
    </row>
    <row r="20617" spans="1:10" x14ac:dyDescent="0.25">
      <c r="A20617" t="s">
        <v>228</v>
      </c>
      <c r="B20617" s="1" t="str">
        <f>HYPERLINK("http://heinz.it","heinz.it")</f>
        <v>heinz.it</v>
      </c>
      <c r="C20617" t="s">
        <v>459</v>
      </c>
      <c r="D20617" t="s">
        <v>835</v>
      </c>
      <c r="F20617">
        <v>1.6267205497727001E-8</v>
      </c>
      <c r="G20617">
        <v>3478769</v>
      </c>
      <c r="H20617">
        <v>13772529</v>
      </c>
      <c r="I20617">
        <v>6657657</v>
      </c>
      <c r="J20617">
        <v>6</v>
      </c>
    </row>
    <row r="20618" spans="1:10" x14ac:dyDescent="0.25">
      <c r="A20618" t="s">
        <v>228</v>
      </c>
      <c r="B20618" s="1" t="str">
        <f>HYPERLINK("http://plasmon.it","plasmon.it")</f>
        <v>plasmon.it</v>
      </c>
      <c r="C20618" t="s">
        <v>459</v>
      </c>
      <c r="D20618" t="s">
        <v>835</v>
      </c>
      <c r="F20618">
        <v>2.5425202749275901E-8</v>
      </c>
      <c r="G20618">
        <v>2028992</v>
      </c>
      <c r="H20618">
        <v>14124032</v>
      </c>
      <c r="I20618">
        <v>2156088</v>
      </c>
      <c r="J20618">
        <v>5</v>
      </c>
    </row>
    <row r="20619" spans="1:10" x14ac:dyDescent="0.25">
      <c r="A20619" t="s">
        <v>228</v>
      </c>
      <c r="B20619" s="1" t="str">
        <f>HYPERLINK("http://deruijter.nl","deruijter.nl")</f>
        <v>deruijter.nl</v>
      </c>
      <c r="C20619" t="s">
        <v>477</v>
      </c>
      <c r="D20619" t="s">
        <v>852</v>
      </c>
      <c r="F20619">
        <v>2.0872684475434799E-8</v>
      </c>
      <c r="G20619">
        <v>2532983</v>
      </c>
      <c r="H20619">
        <v>14548688</v>
      </c>
      <c r="I20619">
        <v>762576</v>
      </c>
      <c r="J20619">
        <v>3</v>
      </c>
    </row>
    <row r="20620" spans="1:10" x14ac:dyDescent="0.25">
      <c r="A20620" t="s">
        <v>228</v>
      </c>
      <c r="B20620" s="1" t="str">
        <f>HYPERLINK("http://cerebos.co.nz","cerebos.co.nz")</f>
        <v>cerebos.co.nz</v>
      </c>
      <c r="C20620" t="s">
        <v>479</v>
      </c>
      <c r="D20620" t="s">
        <v>854</v>
      </c>
      <c r="F20620">
        <v>4.4879748898727E-9</v>
      </c>
      <c r="G20620">
        <v>60849316</v>
      </c>
      <c r="H20620">
        <v>12268752</v>
      </c>
      <c r="I20620">
        <v>21550908</v>
      </c>
      <c r="J20620">
        <v>3</v>
      </c>
    </row>
    <row r="20621" spans="1:10" x14ac:dyDescent="0.25">
      <c r="A20621" t="s">
        <v>228</v>
      </c>
      <c r="B20621" s="1" t="str">
        <f>HYPERLINK("http://labonnecuisine.co.nz","labonnecuisine.co.nz")</f>
        <v>labonnecuisine.co.nz</v>
      </c>
      <c r="C20621" t="s">
        <v>479</v>
      </c>
      <c r="D20621" t="s">
        <v>854</v>
      </c>
      <c r="F20621">
        <v>4.4744076064596198E-9</v>
      </c>
      <c r="G20621">
        <v>63539534</v>
      </c>
      <c r="H20621">
        <v>11994185</v>
      </c>
      <c r="I20621">
        <v>28312853</v>
      </c>
      <c r="J20621">
        <v>3</v>
      </c>
    </row>
    <row r="20622" spans="1:10" x14ac:dyDescent="0.25">
      <c r="A20622" t="s">
        <v>228</v>
      </c>
      <c r="B20622" s="1" t="str">
        <f>HYPERLINK("http://hnfi.org","hnfi.org")</f>
        <v>hnfi.org</v>
      </c>
      <c r="C20622" t="s">
        <v>481</v>
      </c>
      <c r="F20622">
        <v>6.0217218281623102E-9</v>
      </c>
      <c r="G20622">
        <v>16548586</v>
      </c>
      <c r="H20622">
        <v>14075725</v>
      </c>
      <c r="I20622">
        <v>2902152</v>
      </c>
      <c r="J20622">
        <v>3</v>
      </c>
    </row>
    <row r="20623" spans="1:10" x14ac:dyDescent="0.25">
      <c r="A20623" t="s">
        <v>228</v>
      </c>
      <c r="B20623" s="1" t="str">
        <f>HYPERLINK("http://heinz-baby.ru","heinz-baby.ru")</f>
        <v>heinz-baby.ru</v>
      </c>
      <c r="C20623" t="s">
        <v>493</v>
      </c>
      <c r="D20623" t="s">
        <v>867</v>
      </c>
      <c r="F20623">
        <v>1.15025365112117E-8</v>
      </c>
      <c r="G20623">
        <v>5504117</v>
      </c>
      <c r="H20623">
        <v>12976566</v>
      </c>
      <c r="I20623">
        <v>13010840</v>
      </c>
      <c r="J20623">
        <v>3</v>
      </c>
    </row>
    <row r="20624" spans="1:10" x14ac:dyDescent="0.25">
      <c r="A20624" t="s">
        <v>228</v>
      </c>
      <c r="B20624" s="1" t="str">
        <f>HYPERLINK("http://heinz.co.uk","heinz.co.uk")</f>
        <v>heinz.co.uk</v>
      </c>
      <c r="C20624" t="s">
        <v>506</v>
      </c>
      <c r="D20624" t="s">
        <v>880</v>
      </c>
      <c r="E20624">
        <v>429199</v>
      </c>
      <c r="F20624">
        <v>9.8007557246319902E-8</v>
      </c>
      <c r="G20624">
        <v>411722</v>
      </c>
      <c r="H20624">
        <v>15190376</v>
      </c>
      <c r="I20624">
        <v>396399</v>
      </c>
      <c r="J20624">
        <v>3</v>
      </c>
    </row>
    <row r="20625" spans="1:10" x14ac:dyDescent="0.25">
      <c r="A20625" t="s">
        <v>228</v>
      </c>
      <c r="B20625" s="1" t="str">
        <f>HYPERLINK("http://justspices.co.uk","justspices.co.uk")</f>
        <v>justspices.co.uk</v>
      </c>
      <c r="C20625" t="s">
        <v>506</v>
      </c>
      <c r="D20625" t="s">
        <v>880</v>
      </c>
      <c r="F20625">
        <v>1.57484175304379E-8</v>
      </c>
      <c r="G20625">
        <v>3613881</v>
      </c>
      <c r="H20625">
        <v>13563528</v>
      </c>
      <c r="I20625">
        <v>9842248</v>
      </c>
      <c r="J20625">
        <v>4</v>
      </c>
    </row>
    <row r="20626" spans="1:10" x14ac:dyDescent="0.25">
      <c r="A20626" t="s">
        <v>228</v>
      </c>
      <c r="B20626" s="1" t="str">
        <f>HYPERLINK("http://leaandperrins.co.uk","leaandperrins.co.uk")</f>
        <v>leaandperrins.co.uk</v>
      </c>
      <c r="C20626" t="s">
        <v>506</v>
      </c>
      <c r="D20626" t="s">
        <v>880</v>
      </c>
      <c r="F20626">
        <v>1.4465967025306001E-8</v>
      </c>
      <c r="G20626">
        <v>4034571</v>
      </c>
      <c r="H20626">
        <v>14810636</v>
      </c>
      <c r="I20626">
        <v>534124</v>
      </c>
      <c r="J20626">
        <v>4</v>
      </c>
    </row>
    <row r="20627" spans="1:10" x14ac:dyDescent="0.25">
      <c r="A20627" t="s">
        <v>1627</v>
      </c>
      <c r="B20627" s="1" t="str">
        <f>HYPERLINK("http://kuaishou.cn","kuaishou.cn")</f>
        <v>kuaishou.cn</v>
      </c>
      <c r="C20627" t="s">
        <v>431</v>
      </c>
      <c r="D20627" t="s">
        <v>812</v>
      </c>
      <c r="E20627">
        <v>64484</v>
      </c>
      <c r="F20627">
        <v>1.64861330090128E-7</v>
      </c>
      <c r="G20627">
        <v>235483</v>
      </c>
      <c r="H20627">
        <v>12629688</v>
      </c>
      <c r="I20627">
        <v>15992592</v>
      </c>
      <c r="J20627">
        <v>2</v>
      </c>
    </row>
    <row r="20628" spans="1:10" x14ac:dyDescent="0.25">
      <c r="A20628" t="s">
        <v>1627</v>
      </c>
      <c r="B20628" s="1" t="str">
        <f>HYPERLINK("http://kwaishouapp.cn","kwaishouapp.cn")</f>
        <v>kwaishouapp.cn</v>
      </c>
      <c r="C20628" t="s">
        <v>431</v>
      </c>
      <c r="D20628" t="s">
        <v>812</v>
      </c>
      <c r="J20628">
        <v>4</v>
      </c>
    </row>
    <row r="20629" spans="1:10" x14ac:dyDescent="0.25">
      <c r="A20629" t="s">
        <v>1627</v>
      </c>
      <c r="B20629" s="1" t="str">
        <f>HYPERLINK("http://kuaiapps.com","kuaiapps.com")</f>
        <v>kuaiapps.com</v>
      </c>
      <c r="C20629" t="s">
        <v>433</v>
      </c>
      <c r="J20629">
        <v>4</v>
      </c>
    </row>
    <row r="20630" spans="1:10" x14ac:dyDescent="0.25">
      <c r="A20630" t="s">
        <v>1627</v>
      </c>
      <c r="B20630" s="1" t="str">
        <f>HYPERLINK("http://kuaishou.com","kuaishou.com")</f>
        <v>kuaishou.com</v>
      </c>
      <c r="C20630" t="s">
        <v>433</v>
      </c>
      <c r="E20630">
        <v>1716</v>
      </c>
      <c r="F20630">
        <v>6.9065332354718501E-6</v>
      </c>
      <c r="G20630">
        <v>4866</v>
      </c>
      <c r="H20630">
        <v>15471345</v>
      </c>
      <c r="I20630">
        <v>377540</v>
      </c>
      <c r="J20630">
        <v>1</v>
      </c>
    </row>
    <row r="20631" spans="1:10" x14ac:dyDescent="0.25">
      <c r="A20631" t="s">
        <v>1627</v>
      </c>
      <c r="B20631" s="1" t="str">
        <f>HYPERLINK("http://kwaishouapp.com","kwaishouapp.com")</f>
        <v>kwaishouapp.com</v>
      </c>
      <c r="C20631" t="s">
        <v>433</v>
      </c>
      <c r="J20631">
        <v>4</v>
      </c>
    </row>
    <row r="20632" spans="1:10" x14ac:dyDescent="0.25">
      <c r="A20632" t="s">
        <v>1628</v>
      </c>
      <c r="B20632" s="1" t="str">
        <f>HYPERLINK("http://kfh.bh","kfh.bh")</f>
        <v>kfh.bh</v>
      </c>
      <c r="C20632" t="s">
        <v>580</v>
      </c>
      <c r="D20632" t="s">
        <v>922</v>
      </c>
      <c r="F20632">
        <v>5.0445461412704698E-8</v>
      </c>
      <c r="G20632">
        <v>910967</v>
      </c>
      <c r="H20632">
        <v>14052591</v>
      </c>
      <c r="I20632">
        <v>3892868</v>
      </c>
      <c r="J20632">
        <v>2</v>
      </c>
    </row>
    <row r="20633" spans="1:10" x14ac:dyDescent="0.25">
      <c r="A20633" t="s">
        <v>1628</v>
      </c>
      <c r="B20633" s="1" t="str">
        <f>HYPERLINK("http://ahliunited.com","ahliunited.com")</f>
        <v>ahliunited.com</v>
      </c>
      <c r="C20633" t="s">
        <v>433</v>
      </c>
      <c r="E20633">
        <v>180058</v>
      </c>
      <c r="F20633">
        <v>5.6971351084243102E-8</v>
      </c>
      <c r="G20633">
        <v>783841</v>
      </c>
      <c r="H20633">
        <v>14178148</v>
      </c>
      <c r="I20633">
        <v>1785411</v>
      </c>
      <c r="J20633">
        <v>2</v>
      </c>
    </row>
    <row r="20634" spans="1:10" x14ac:dyDescent="0.25">
      <c r="A20634" t="s">
        <v>1628</v>
      </c>
      <c r="B20634" s="1" t="str">
        <f>HYPERLINK("http://enmaa.com","enmaa.com")</f>
        <v>enmaa.com</v>
      </c>
      <c r="C20634" t="s">
        <v>433</v>
      </c>
      <c r="F20634">
        <v>5.1766298933995199E-9</v>
      </c>
      <c r="G20634">
        <v>25609956</v>
      </c>
      <c r="H20634">
        <v>13763680</v>
      </c>
      <c r="I20634">
        <v>7823293</v>
      </c>
      <c r="J20634">
        <v>3</v>
      </c>
    </row>
    <row r="20635" spans="1:10" x14ac:dyDescent="0.25">
      <c r="A20635" t="s">
        <v>1628</v>
      </c>
      <c r="B20635" s="1" t="str">
        <f>HYPERLINK("http://kfh.com","kfh.com")</f>
        <v>kfh.com</v>
      </c>
      <c r="C20635" t="s">
        <v>433</v>
      </c>
      <c r="E20635">
        <v>19671</v>
      </c>
      <c r="F20635">
        <v>2.0632200529998599E-7</v>
      </c>
      <c r="G20635">
        <v>184007</v>
      </c>
      <c r="H20635">
        <v>14912731</v>
      </c>
      <c r="I20635">
        <v>456165</v>
      </c>
      <c r="J20635">
        <v>1</v>
      </c>
    </row>
    <row r="20636" spans="1:10" x14ac:dyDescent="0.25">
      <c r="A20636" t="s">
        <v>1628</v>
      </c>
      <c r="B20636" s="1" t="str">
        <f>HYPERLINK("http://kuveytturk.com","kuveytturk.com")</f>
        <v>kuveytturk.com</v>
      </c>
      <c r="C20636" t="s">
        <v>433</v>
      </c>
      <c r="F20636">
        <v>9.8355250481364294E-9</v>
      </c>
      <c r="G20636">
        <v>6931273</v>
      </c>
      <c r="H20636">
        <v>12099730</v>
      </c>
      <c r="I20636">
        <v>25975366</v>
      </c>
      <c r="J20636">
        <v>4</v>
      </c>
    </row>
    <row r="20637" spans="1:10" x14ac:dyDescent="0.25">
      <c r="A20637" t="s">
        <v>1628</v>
      </c>
      <c r="B20637" s="1" t="str">
        <f>HYPERLINK("http://kuveytturkakademi.com","kuveytturkakademi.com")</f>
        <v>kuveytturkakademi.com</v>
      </c>
      <c r="C20637" t="s">
        <v>433</v>
      </c>
      <c r="F20637">
        <v>4.9340753642219799E-9</v>
      </c>
      <c r="G20637">
        <v>31262309</v>
      </c>
      <c r="H20637">
        <v>10347974</v>
      </c>
      <c r="I20637">
        <v>56595902</v>
      </c>
      <c r="J20637">
        <v>5</v>
      </c>
    </row>
    <row r="20638" spans="1:10" x14ac:dyDescent="0.25">
      <c r="A20638" t="s">
        <v>1628</v>
      </c>
      <c r="B20638" s="1" t="str">
        <f>HYPERLINK("http://mye-bankonline.com","mye-bankonline.com")</f>
        <v>mye-bankonline.com</v>
      </c>
      <c r="C20638" t="s">
        <v>433</v>
      </c>
      <c r="E20638">
        <v>702690</v>
      </c>
      <c r="F20638">
        <v>7.7921417875009602E-9</v>
      </c>
      <c r="G20638">
        <v>10340979</v>
      </c>
      <c r="H20638">
        <v>13082349</v>
      </c>
      <c r="I20638">
        <v>12175718</v>
      </c>
      <c r="J20638">
        <v>2</v>
      </c>
    </row>
    <row r="20639" spans="1:10" x14ac:dyDescent="0.25">
      <c r="A20639" t="s">
        <v>1628</v>
      </c>
      <c r="B20639" s="1" t="str">
        <f>HYPERLINK("http://kt-bank.de","kt-bank.de")</f>
        <v>kt-bank.de</v>
      </c>
      <c r="C20639" t="s">
        <v>436</v>
      </c>
      <c r="D20639" t="s">
        <v>815</v>
      </c>
      <c r="E20639">
        <v>746096</v>
      </c>
      <c r="F20639">
        <v>7.3086312284080799E-8</v>
      </c>
      <c r="G20639">
        <v>576938</v>
      </c>
      <c r="H20639">
        <v>16814294</v>
      </c>
      <c r="I20639">
        <v>190192</v>
      </c>
      <c r="J20639">
        <v>4</v>
      </c>
    </row>
    <row r="20640" spans="1:10" x14ac:dyDescent="0.25">
      <c r="A20640" t="s">
        <v>1628</v>
      </c>
      <c r="B20640" s="1" t="str">
        <f>HYPERLINK("http://ahliunited.com.kw","ahliunited.com.kw")</f>
        <v>ahliunited.com.kw</v>
      </c>
      <c r="C20640" t="s">
        <v>464</v>
      </c>
      <c r="D20640" t="s">
        <v>840</v>
      </c>
      <c r="E20640">
        <v>59469</v>
      </c>
      <c r="F20640">
        <v>2.1658624275523901E-8</v>
      </c>
      <c r="G20640">
        <v>2428960</v>
      </c>
      <c r="H20640">
        <v>14082373</v>
      </c>
      <c r="I20640">
        <v>2801046</v>
      </c>
      <c r="J20640">
        <v>3</v>
      </c>
    </row>
    <row r="20641" spans="1:10" x14ac:dyDescent="0.25">
      <c r="A20641" t="s">
        <v>1628</v>
      </c>
      <c r="B20641" s="1" t="str">
        <f>HYPERLINK("http://kfh.com.my","kfh.com.my")</f>
        <v>kfh.com.my</v>
      </c>
      <c r="C20641" t="s">
        <v>472</v>
      </c>
      <c r="D20641" t="s">
        <v>848</v>
      </c>
      <c r="F20641">
        <v>6.7412181303109301E-8</v>
      </c>
      <c r="G20641">
        <v>633914</v>
      </c>
      <c r="H20641">
        <v>14327299</v>
      </c>
      <c r="I20641">
        <v>1325879</v>
      </c>
      <c r="J20641">
        <v>2</v>
      </c>
    </row>
    <row r="20642" spans="1:10" x14ac:dyDescent="0.25">
      <c r="A20642" t="s">
        <v>1628</v>
      </c>
      <c r="B20642" s="1" t="str">
        <f>HYPERLINK("http://ktksvks.com.tr","ktksvks.com.tr")</f>
        <v>ktksvks.com.tr</v>
      </c>
      <c r="C20642" t="s">
        <v>502</v>
      </c>
      <c r="D20642" t="s">
        <v>876</v>
      </c>
      <c r="F20642">
        <v>4.6202562872368902E-9</v>
      </c>
      <c r="G20642">
        <v>46112527</v>
      </c>
      <c r="H20642">
        <v>10805670</v>
      </c>
      <c r="I20642">
        <v>37993492</v>
      </c>
      <c r="J20642">
        <v>4</v>
      </c>
    </row>
    <row r="20643" spans="1:10" x14ac:dyDescent="0.25">
      <c r="A20643" t="s">
        <v>1628</v>
      </c>
      <c r="B20643" s="1" t="str">
        <f>HYPERLINK("http://ktportfoy.com.tr","ktportfoy.com.tr")</f>
        <v>ktportfoy.com.tr</v>
      </c>
      <c r="C20643" t="s">
        <v>502</v>
      </c>
      <c r="D20643" t="s">
        <v>876</v>
      </c>
      <c r="F20643">
        <v>5.2775190994792798E-9</v>
      </c>
      <c r="G20643">
        <v>23826673</v>
      </c>
      <c r="H20643">
        <v>11286577</v>
      </c>
      <c r="I20643">
        <v>30676409</v>
      </c>
      <c r="J20643">
        <v>4</v>
      </c>
    </row>
    <row r="20644" spans="1:10" x14ac:dyDescent="0.25">
      <c r="A20644" t="s">
        <v>1628</v>
      </c>
      <c r="B20644" s="1" t="str">
        <f>HYPERLINK("http://ktsukuk.com.tr","ktsukuk.com.tr")</f>
        <v>ktsukuk.com.tr</v>
      </c>
      <c r="C20644" t="s">
        <v>502</v>
      </c>
      <c r="D20644" t="s">
        <v>876</v>
      </c>
      <c r="J20644">
        <v>4</v>
      </c>
    </row>
    <row r="20645" spans="1:10" x14ac:dyDescent="0.25">
      <c r="A20645" t="s">
        <v>1628</v>
      </c>
      <c r="B20645" s="1" t="str">
        <f>HYPERLINK("http://kuveytturk.com.tr","kuveytturk.com.tr")</f>
        <v>kuveytturk.com.tr</v>
      </c>
      <c r="C20645" t="s">
        <v>502</v>
      </c>
      <c r="D20645" t="s">
        <v>876</v>
      </c>
      <c r="E20645">
        <v>45167</v>
      </c>
      <c r="F20645">
        <v>1.2780760982898099E-7</v>
      </c>
      <c r="G20645">
        <v>307106</v>
      </c>
      <c r="H20645">
        <v>14295851</v>
      </c>
      <c r="I20645">
        <v>1360479</v>
      </c>
      <c r="J20645">
        <v>3</v>
      </c>
    </row>
    <row r="20646" spans="1:10" x14ac:dyDescent="0.25">
      <c r="A20646" t="s">
        <v>1628</v>
      </c>
      <c r="B20646" s="1" t="str">
        <f>HYPERLINK("http://neova.com.tr","neova.com.tr")</f>
        <v>neova.com.tr</v>
      </c>
      <c r="C20646" t="s">
        <v>502</v>
      </c>
      <c r="D20646" t="s">
        <v>876</v>
      </c>
      <c r="E20646">
        <v>274999</v>
      </c>
      <c r="F20646">
        <v>2.37127903149015E-8</v>
      </c>
      <c r="G20646">
        <v>2192175</v>
      </c>
      <c r="H20646">
        <v>12329057</v>
      </c>
      <c r="I20646">
        <v>20224839</v>
      </c>
      <c r="J20646">
        <v>4</v>
      </c>
    </row>
    <row r="20647" spans="1:10" x14ac:dyDescent="0.25">
      <c r="A20647" t="s">
        <v>1628</v>
      </c>
      <c r="B20647" s="1" t="str">
        <f>HYPERLINK("http://kuveyttrkbank.tr","kuveyttrkbank.tr")</f>
        <v>kuveyttrkbank.tr</v>
      </c>
      <c r="C20647" t="s">
        <v>502</v>
      </c>
      <c r="D20647" t="s">
        <v>876</v>
      </c>
      <c r="J20647">
        <v>6</v>
      </c>
    </row>
    <row r="20648" spans="1:10" x14ac:dyDescent="0.25">
      <c r="A20648" t="s">
        <v>229</v>
      </c>
      <c r="B20648" s="1" t="str">
        <f>HYPERLINK("http://moutaichina.com","moutaichina.com")</f>
        <v>moutaichina.com</v>
      </c>
      <c r="C20648" t="s">
        <v>433</v>
      </c>
      <c r="E20648">
        <v>311468</v>
      </c>
      <c r="F20648">
        <v>2.50898279138183E-7</v>
      </c>
      <c r="G20648">
        <v>149077</v>
      </c>
      <c r="H20648">
        <v>14666637</v>
      </c>
      <c r="I20648">
        <v>616738</v>
      </c>
      <c r="J20648">
        <v>1</v>
      </c>
    </row>
    <row r="20649" spans="1:10" x14ac:dyDescent="0.25">
      <c r="A20649" t="s">
        <v>230</v>
      </c>
      <c r="B20649" s="1" t="str">
        <f>HYPERLINK("http://red-d-arc.ae","red-d-arc.ae")</f>
        <v>red-d-arc.ae</v>
      </c>
      <c r="C20649" t="s">
        <v>417</v>
      </c>
      <c r="D20649" t="s">
        <v>799</v>
      </c>
      <c r="F20649">
        <v>4.9349105539847296E-9</v>
      </c>
      <c r="G20649">
        <v>31238759</v>
      </c>
      <c r="H20649">
        <v>10181032</v>
      </c>
      <c r="I20649">
        <v>59210954</v>
      </c>
      <c r="J20649">
        <v>4</v>
      </c>
    </row>
    <row r="20650" spans="1:10" x14ac:dyDescent="0.25">
      <c r="A20650" t="s">
        <v>230</v>
      </c>
      <c r="B20650" s="1" t="str">
        <f>HYPERLINK("http://airliquide.com.ar","airliquide.com.ar")</f>
        <v>airliquide.com.ar</v>
      </c>
      <c r="C20650" t="s">
        <v>418</v>
      </c>
      <c r="D20650" t="s">
        <v>800</v>
      </c>
      <c r="F20650">
        <v>6.7298556906689602E-9</v>
      </c>
      <c r="G20650">
        <v>13197696</v>
      </c>
      <c r="H20650">
        <v>12198193</v>
      </c>
      <c r="I20650">
        <v>23367429</v>
      </c>
      <c r="J20650">
        <v>2</v>
      </c>
    </row>
    <row r="20651" spans="1:10" x14ac:dyDescent="0.25">
      <c r="A20651" t="s">
        <v>230</v>
      </c>
      <c r="B20651" s="1" t="str">
        <f>HYPERLINK("http://vitalaire.com.ar","vitalaire.com.ar")</f>
        <v>vitalaire.com.ar</v>
      </c>
      <c r="C20651" t="s">
        <v>418</v>
      </c>
      <c r="D20651" t="s">
        <v>800</v>
      </c>
      <c r="F20651">
        <v>7.4412627526909704E-9</v>
      </c>
      <c r="G20651">
        <v>11147137</v>
      </c>
      <c r="H20651">
        <v>12214381</v>
      </c>
      <c r="I20651">
        <v>22919831</v>
      </c>
      <c r="J20651">
        <v>4</v>
      </c>
    </row>
    <row r="20652" spans="1:10" x14ac:dyDescent="0.25">
      <c r="A20652" t="s">
        <v>230</v>
      </c>
      <c r="B20652" s="1" t="str">
        <f>HYPERLINK("http://airliquide.at","airliquide.at")</f>
        <v>airliquide.at</v>
      </c>
      <c r="C20652" t="s">
        <v>419</v>
      </c>
      <c r="D20652" t="s">
        <v>801</v>
      </c>
      <c r="F20652">
        <v>4.14300164800858E-8</v>
      </c>
      <c r="G20652">
        <v>1205843</v>
      </c>
      <c r="H20652">
        <v>14088136</v>
      </c>
      <c r="I20652">
        <v>2760117</v>
      </c>
      <c r="J20652">
        <v>2</v>
      </c>
    </row>
    <row r="20653" spans="1:10" x14ac:dyDescent="0.25">
      <c r="A20653" t="s">
        <v>230</v>
      </c>
      <c r="B20653" s="1" t="str">
        <f>HYPERLINK("http://vitalaire.at","vitalaire.at")</f>
        <v>vitalaire.at</v>
      </c>
      <c r="C20653" t="s">
        <v>419</v>
      </c>
      <c r="D20653" t="s">
        <v>801</v>
      </c>
      <c r="F20653">
        <v>5.5355122942799203E-9</v>
      </c>
      <c r="G20653">
        <v>20526454</v>
      </c>
      <c r="H20653">
        <v>10502535</v>
      </c>
      <c r="I20653">
        <v>50438953</v>
      </c>
      <c r="J20653">
        <v>4</v>
      </c>
    </row>
    <row r="20654" spans="1:10" x14ac:dyDescent="0.25">
      <c r="A20654" t="s">
        <v>230</v>
      </c>
      <c r="B20654" s="1" t="str">
        <f>HYPERLINK("http://airliquide.com.au","airliquide.com.au")</f>
        <v>airliquide.com.au</v>
      </c>
      <c r="C20654" t="s">
        <v>420</v>
      </c>
      <c r="D20654" t="s">
        <v>802</v>
      </c>
      <c r="F20654">
        <v>8.9998170502332798E-9</v>
      </c>
      <c r="G20654">
        <v>7992051</v>
      </c>
      <c r="H20654">
        <v>14075847</v>
      </c>
      <c r="I20654">
        <v>2899479</v>
      </c>
      <c r="J20654">
        <v>2</v>
      </c>
    </row>
    <row r="20655" spans="1:10" x14ac:dyDescent="0.25">
      <c r="A20655" t="s">
        <v>230</v>
      </c>
      <c r="B20655" s="1" t="str">
        <f>HYPERLINK("http://airliquidehealthcare.com.au","airliquidehealthcare.com.au")</f>
        <v>airliquidehealthcare.com.au</v>
      </c>
      <c r="C20655" t="s">
        <v>420</v>
      </c>
      <c r="D20655" t="s">
        <v>802</v>
      </c>
      <c r="F20655">
        <v>3.2634991061146602E-8</v>
      </c>
      <c r="G20655">
        <v>1583339</v>
      </c>
      <c r="H20655">
        <v>13748373</v>
      </c>
      <c r="I20655">
        <v>9421677</v>
      </c>
      <c r="J20655">
        <v>3</v>
      </c>
    </row>
    <row r="20656" spans="1:10" x14ac:dyDescent="0.25">
      <c r="A20656" t="s">
        <v>230</v>
      </c>
      <c r="B20656" s="1" t="str">
        <f>HYPERLINK("http://airliquide.be","airliquide.be")</f>
        <v>airliquide.be</v>
      </c>
      <c r="C20656" t="s">
        <v>421</v>
      </c>
      <c r="D20656" t="s">
        <v>803</v>
      </c>
      <c r="F20656">
        <v>1.18600360773759E-8</v>
      </c>
      <c r="G20656">
        <v>5264252</v>
      </c>
      <c r="H20656">
        <v>12236920</v>
      </c>
      <c r="I20656">
        <v>22332995</v>
      </c>
      <c r="J20656">
        <v>2</v>
      </c>
    </row>
    <row r="20657" spans="1:10" x14ac:dyDescent="0.25">
      <c r="A20657" t="s">
        <v>230</v>
      </c>
      <c r="B20657" s="1" t="str">
        <f>HYPERLINK("http://francisfleron.be","francisfleron.be")</f>
        <v>francisfleron.be</v>
      </c>
      <c r="C20657" t="s">
        <v>421</v>
      </c>
      <c r="D20657" t="s">
        <v>803</v>
      </c>
      <c r="F20657">
        <v>4.4450939964596203E-9</v>
      </c>
      <c r="G20657">
        <v>75660357</v>
      </c>
      <c r="H20657">
        <v>10483025</v>
      </c>
      <c r="I20657">
        <v>50903538</v>
      </c>
      <c r="J20657">
        <v>5</v>
      </c>
    </row>
    <row r="20658" spans="1:10" x14ac:dyDescent="0.25">
      <c r="A20658" t="s">
        <v>230</v>
      </c>
      <c r="B20658" s="1" t="str">
        <f>HYPERLINK("http://makingdiabeteseasier.be","makingdiabeteseasier.be")</f>
        <v>makingdiabeteseasier.be</v>
      </c>
      <c r="C20658" t="s">
        <v>421</v>
      </c>
      <c r="D20658" t="s">
        <v>803</v>
      </c>
      <c r="J20658">
        <v>3</v>
      </c>
    </row>
    <row r="20659" spans="1:10" x14ac:dyDescent="0.25">
      <c r="A20659" t="s">
        <v>230</v>
      </c>
      <c r="B20659" s="1" t="str">
        <f>HYPERLINK("http://vitalaire.be","vitalaire.be")</f>
        <v>vitalaire.be</v>
      </c>
      <c r="C20659" t="s">
        <v>421</v>
      </c>
      <c r="D20659" t="s">
        <v>803</v>
      </c>
      <c r="F20659">
        <v>5.9381954864906602E-9</v>
      </c>
      <c r="G20659">
        <v>17098009</v>
      </c>
      <c r="H20659">
        <v>10405820</v>
      </c>
      <c r="I20659">
        <v>54114047</v>
      </c>
      <c r="J20659">
        <v>4</v>
      </c>
    </row>
    <row r="20660" spans="1:10" x14ac:dyDescent="0.25">
      <c r="A20660" t="s">
        <v>230</v>
      </c>
      <c r="B20660" s="1" t="str">
        <f>HYPERLINK("http://airliquide.com.br","airliquide.com.br")</f>
        <v>airliquide.com.br</v>
      </c>
      <c r="C20660" t="s">
        <v>425</v>
      </c>
      <c r="D20660" t="s">
        <v>806</v>
      </c>
      <c r="F20660">
        <v>6.2814525743415403E-9</v>
      </c>
      <c r="G20660">
        <v>15120507</v>
      </c>
      <c r="H20660">
        <v>12217047</v>
      </c>
      <c r="I20660">
        <v>22855284</v>
      </c>
      <c r="J20660">
        <v>2</v>
      </c>
    </row>
    <row r="20661" spans="1:10" x14ac:dyDescent="0.25">
      <c r="A20661" t="s">
        <v>230</v>
      </c>
      <c r="B20661" s="1" t="str">
        <f>HYPERLINK("http://vitalaire.com.br","vitalaire.com.br")</f>
        <v>vitalaire.com.br</v>
      </c>
      <c r="C20661" t="s">
        <v>425</v>
      </c>
      <c r="D20661" t="s">
        <v>806</v>
      </c>
      <c r="F20661">
        <v>6.1697471758716102E-9</v>
      </c>
      <c r="G20661">
        <v>15694064</v>
      </c>
      <c r="H20661">
        <v>12220405</v>
      </c>
      <c r="I20661">
        <v>22779754</v>
      </c>
      <c r="J20661">
        <v>4</v>
      </c>
    </row>
    <row r="20662" spans="1:10" x14ac:dyDescent="0.25">
      <c r="A20662" t="s">
        <v>230</v>
      </c>
      <c r="B20662" s="1" t="str">
        <f>HYPERLINK("http://airliquide.ca","airliquide.ca")</f>
        <v>airliquide.ca</v>
      </c>
      <c r="C20662" t="s">
        <v>428</v>
      </c>
      <c r="D20662" t="s">
        <v>809</v>
      </c>
      <c r="F20662">
        <v>3.3816035415858202E-8</v>
      </c>
      <c r="G20662">
        <v>1530237</v>
      </c>
      <c r="H20662">
        <v>13172768</v>
      </c>
      <c r="I20662">
        <v>11715501</v>
      </c>
      <c r="J20662">
        <v>3</v>
      </c>
    </row>
    <row r="20663" spans="1:10" x14ac:dyDescent="0.25">
      <c r="A20663" t="s">
        <v>230</v>
      </c>
      <c r="B20663" s="1" t="str">
        <f>HYPERLINK("http://prairieoxygen.ca","prairieoxygen.ca")</f>
        <v>prairieoxygen.ca</v>
      </c>
      <c r="C20663" t="s">
        <v>428</v>
      </c>
      <c r="D20663" t="s">
        <v>809</v>
      </c>
      <c r="F20663">
        <v>6.2998840174456697E-9</v>
      </c>
      <c r="G20663">
        <v>15033229</v>
      </c>
      <c r="H20663">
        <v>12532758</v>
      </c>
      <c r="I20663">
        <v>17011122</v>
      </c>
      <c r="J20663">
        <v>3</v>
      </c>
    </row>
    <row r="20664" spans="1:10" x14ac:dyDescent="0.25">
      <c r="A20664" t="s">
        <v>230</v>
      </c>
      <c r="B20664" s="1" t="str">
        <f>HYPERLINK("http://vitalaire.ca","vitalaire.ca")</f>
        <v>vitalaire.ca</v>
      </c>
      <c r="C20664" t="s">
        <v>428</v>
      </c>
      <c r="D20664" t="s">
        <v>809</v>
      </c>
      <c r="F20664">
        <v>3.18354471081367E-8</v>
      </c>
      <c r="G20664">
        <v>1622413</v>
      </c>
      <c r="H20664">
        <v>13079524</v>
      </c>
      <c r="I20664">
        <v>12192371</v>
      </c>
      <c r="J20664">
        <v>4</v>
      </c>
    </row>
    <row r="20665" spans="1:10" x14ac:dyDescent="0.25">
      <c r="A20665" t="s">
        <v>230</v>
      </c>
      <c r="B20665" s="1" t="str">
        <f>HYPERLINK("http://airliquide.ch","airliquide.ch")</f>
        <v>airliquide.ch</v>
      </c>
      <c r="C20665" t="s">
        <v>429</v>
      </c>
      <c r="D20665" t="s">
        <v>810</v>
      </c>
      <c r="F20665">
        <v>6.8105468296683696E-9</v>
      </c>
      <c r="G20665">
        <v>12925026</v>
      </c>
      <c r="H20665">
        <v>12233804</v>
      </c>
      <c r="I20665">
        <v>22408695</v>
      </c>
      <c r="J20665">
        <v>2</v>
      </c>
    </row>
    <row r="20666" spans="1:10" x14ac:dyDescent="0.25">
      <c r="A20666" t="s">
        <v>230</v>
      </c>
      <c r="B20666" s="1" t="str">
        <f>HYPERLINK("http://carbagas.ch","carbagas.ch")</f>
        <v>carbagas.ch</v>
      </c>
      <c r="C20666" t="s">
        <v>429</v>
      </c>
      <c r="D20666" t="s">
        <v>810</v>
      </c>
      <c r="F20666">
        <v>2.1730389081106E-8</v>
      </c>
      <c r="G20666">
        <v>2419894</v>
      </c>
      <c r="H20666">
        <v>14127462</v>
      </c>
      <c r="I20666">
        <v>2083496</v>
      </c>
      <c r="J20666">
        <v>3</v>
      </c>
    </row>
    <row r="20667" spans="1:10" x14ac:dyDescent="0.25">
      <c r="A20667" t="s">
        <v>230</v>
      </c>
      <c r="B20667" s="1" t="str">
        <f>HYPERLINK("http://sleep-health.ch","sleep-health.ch")</f>
        <v>sleep-health.ch</v>
      </c>
      <c r="C20667" t="s">
        <v>429</v>
      </c>
      <c r="D20667" t="s">
        <v>810</v>
      </c>
      <c r="F20667">
        <v>4.9505908030615197E-9</v>
      </c>
      <c r="G20667">
        <v>30770759</v>
      </c>
      <c r="H20667">
        <v>11027115</v>
      </c>
      <c r="I20667">
        <v>33149962</v>
      </c>
      <c r="J20667">
        <v>3</v>
      </c>
    </row>
    <row r="20668" spans="1:10" x14ac:dyDescent="0.25">
      <c r="A20668" t="s">
        <v>230</v>
      </c>
      <c r="B20668" s="1" t="str">
        <f>HYPERLINK("http://airliquide.cl","airliquide.cl")</f>
        <v>airliquide.cl</v>
      </c>
      <c r="C20668" t="s">
        <v>430</v>
      </c>
      <c r="D20668" t="s">
        <v>811</v>
      </c>
      <c r="F20668">
        <v>5.0635922912550703E-9</v>
      </c>
      <c r="G20668">
        <v>27926847</v>
      </c>
      <c r="H20668">
        <v>12184234</v>
      </c>
      <c r="I20668">
        <v>23712066</v>
      </c>
      <c r="J20668">
        <v>2</v>
      </c>
    </row>
    <row r="20669" spans="1:10" x14ac:dyDescent="0.25">
      <c r="A20669" t="s">
        <v>230</v>
      </c>
      <c r="B20669" s="1" t="str">
        <f>HYPERLINK("http://vitalaire.cl","vitalaire.cl")</f>
        <v>vitalaire.cl</v>
      </c>
      <c r="C20669" t="s">
        <v>430</v>
      </c>
      <c r="D20669" t="s">
        <v>811</v>
      </c>
      <c r="F20669">
        <v>5.3486945888349401E-9</v>
      </c>
      <c r="G20669">
        <v>22820106</v>
      </c>
      <c r="H20669">
        <v>10114145</v>
      </c>
      <c r="I20669">
        <v>59771245</v>
      </c>
      <c r="J20669">
        <v>4</v>
      </c>
    </row>
    <row r="20670" spans="1:10" x14ac:dyDescent="0.25">
      <c r="A20670" t="s">
        <v>230</v>
      </c>
      <c r="B20670" s="1" t="str">
        <f>HYPERLINK("http://airliquide.cn","airliquide.cn")</f>
        <v>airliquide.cn</v>
      </c>
      <c r="C20670" t="s">
        <v>431</v>
      </c>
      <c r="D20670" t="s">
        <v>812</v>
      </c>
      <c r="F20670">
        <v>7.4727725449695007E-9</v>
      </c>
      <c r="G20670">
        <v>11074576</v>
      </c>
      <c r="H20670">
        <v>12347362</v>
      </c>
      <c r="I20670">
        <v>19808646</v>
      </c>
      <c r="J20670">
        <v>2</v>
      </c>
    </row>
    <row r="20671" spans="1:10" x14ac:dyDescent="0.25">
      <c r="A20671" t="s">
        <v>230</v>
      </c>
      <c r="B20671" s="1" t="str">
        <f>HYPERLINK("http://actionairliquide.com","actionairliquide.com")</f>
        <v>actionairliquide.com</v>
      </c>
      <c r="C20671" t="s">
        <v>433</v>
      </c>
      <c r="F20671">
        <v>5.8173631038038802E-9</v>
      </c>
      <c r="G20671">
        <v>17957279</v>
      </c>
      <c r="H20671">
        <v>12209839</v>
      </c>
      <c r="I20671">
        <v>23032056</v>
      </c>
      <c r="J20671">
        <v>3</v>
      </c>
    </row>
    <row r="20672" spans="1:10" x14ac:dyDescent="0.25">
      <c r="A20672" t="s">
        <v>230</v>
      </c>
      <c r="B20672" s="1" t="str">
        <f>HYPERLINK("http://airgas.com","airgas.com")</f>
        <v>airgas.com</v>
      </c>
      <c r="C20672" t="s">
        <v>433</v>
      </c>
      <c r="E20672">
        <v>40719</v>
      </c>
      <c r="F20672">
        <v>4.0641696477336401E-7</v>
      </c>
      <c r="G20672">
        <v>92464</v>
      </c>
      <c r="H20672">
        <v>17189456</v>
      </c>
      <c r="I20672">
        <v>43705</v>
      </c>
      <c r="J20672">
        <v>3</v>
      </c>
    </row>
    <row r="20673" spans="1:10" x14ac:dyDescent="0.25">
      <c r="A20673" t="s">
        <v>230</v>
      </c>
      <c r="B20673" s="1" t="str">
        <f>HYPERLINK("http://airliquide.com","airliquide.com")</f>
        <v>airliquide.com</v>
      </c>
      <c r="C20673" t="s">
        <v>433</v>
      </c>
      <c r="E20673">
        <v>10070</v>
      </c>
      <c r="F20673">
        <v>1.1666746019302301E-6</v>
      </c>
      <c r="G20673">
        <v>33298</v>
      </c>
      <c r="H20673">
        <v>17389416</v>
      </c>
      <c r="I20673">
        <v>19963</v>
      </c>
      <c r="J20673">
        <v>1</v>
      </c>
    </row>
    <row r="20674" spans="1:10" x14ac:dyDescent="0.25">
      <c r="A20674" t="s">
        <v>230</v>
      </c>
      <c r="B20674" s="1" t="str">
        <f>HYPERLINK("http://airliquideadvancedseparations.com","airliquideadvancedseparations.com")</f>
        <v>airliquideadvancedseparations.com</v>
      </c>
      <c r="C20674" t="s">
        <v>433</v>
      </c>
      <c r="F20674">
        <v>8.5182782708007808E-9</v>
      </c>
      <c r="G20674">
        <v>8809400</v>
      </c>
      <c r="H20674">
        <v>12866566</v>
      </c>
      <c r="I20674">
        <v>14145119</v>
      </c>
      <c r="J20674">
        <v>3</v>
      </c>
    </row>
    <row r="20675" spans="1:10" x14ac:dyDescent="0.25">
      <c r="A20675" t="s">
        <v>230</v>
      </c>
      <c r="B20675" s="1" t="str">
        <f>HYPERLINK("http://airliquideadvancedtechnologies.com","airliquideadvancedtechnologies.com")</f>
        <v>airliquideadvancedtechnologies.com</v>
      </c>
      <c r="C20675" t="s">
        <v>433</v>
      </c>
      <c r="F20675">
        <v>1.5260518321503199E-8</v>
      </c>
      <c r="G20675">
        <v>3757591</v>
      </c>
      <c r="H20675">
        <v>13727432</v>
      </c>
      <c r="I20675">
        <v>9460934</v>
      </c>
      <c r="J20675">
        <v>3</v>
      </c>
    </row>
    <row r="20676" spans="1:10" x14ac:dyDescent="0.25">
      <c r="A20676" t="s">
        <v>230</v>
      </c>
      <c r="B20676" s="1" t="str">
        <f>HYPERLINK("http://airliquidemedicalsystems.com","airliquidemedicalsystems.com")</f>
        <v>airliquidemedicalsystems.com</v>
      </c>
      <c r="C20676" t="s">
        <v>433</v>
      </c>
      <c r="F20676">
        <v>5.38926421335386E-9</v>
      </c>
      <c r="G20676">
        <v>22259125</v>
      </c>
      <c r="H20676">
        <v>10728032</v>
      </c>
      <c r="I20676">
        <v>41072720</v>
      </c>
      <c r="J20676">
        <v>4</v>
      </c>
    </row>
    <row r="20677" spans="1:10" x14ac:dyDescent="0.25">
      <c r="A20677" t="s">
        <v>230</v>
      </c>
      <c r="B20677" s="1" t="str">
        <f>HYPERLINK("http://alizent.com","alizent.com")</f>
        <v>alizent.com</v>
      </c>
      <c r="C20677" t="s">
        <v>433</v>
      </c>
      <c r="F20677">
        <v>2.0989749010537299E-8</v>
      </c>
      <c r="G20677">
        <v>2517162</v>
      </c>
      <c r="H20677">
        <v>13745281</v>
      </c>
      <c r="I20677">
        <v>9424261</v>
      </c>
      <c r="J20677">
        <v>3</v>
      </c>
    </row>
    <row r="20678" spans="1:10" x14ac:dyDescent="0.25">
      <c r="A20678" t="s">
        <v>230</v>
      </c>
      <c r="B20678" s="1" t="str">
        <f>HYPERLINK("http://alpes-instruments.com","alpes-instruments.com")</f>
        <v>alpes-instruments.com</v>
      </c>
      <c r="C20678" t="s">
        <v>433</v>
      </c>
      <c r="F20678">
        <v>4.44380395335525E-9</v>
      </c>
      <c r="G20678">
        <v>80611922</v>
      </c>
      <c r="H20678">
        <v>0</v>
      </c>
      <c r="I20678">
        <v>80811175</v>
      </c>
      <c r="J20678">
        <v>3</v>
      </c>
    </row>
    <row r="20679" spans="1:10" x14ac:dyDescent="0.25">
      <c r="A20679" t="s">
        <v>230</v>
      </c>
      <c r="B20679" s="1" t="str">
        <f>HYPERLINK("http://biokryo.com","biokryo.com")</f>
        <v>biokryo.com</v>
      </c>
      <c r="C20679" t="s">
        <v>433</v>
      </c>
      <c r="F20679">
        <v>7.0199788373315296E-9</v>
      </c>
      <c r="G20679">
        <v>12253302</v>
      </c>
      <c r="H20679">
        <v>12080109</v>
      </c>
      <c r="I20679">
        <v>26562589</v>
      </c>
      <c r="J20679">
        <v>4</v>
      </c>
    </row>
    <row r="20680" spans="1:10" x14ac:dyDescent="0.25">
      <c r="A20680" t="s">
        <v>230</v>
      </c>
      <c r="B20680" s="1" t="str">
        <f>HYPERLINK("http://cryolor.com","cryolor.com")</f>
        <v>cryolor.com</v>
      </c>
      <c r="C20680" t="s">
        <v>433</v>
      </c>
      <c r="F20680">
        <v>6.90444923123929E-9</v>
      </c>
      <c r="G20680">
        <v>12607593</v>
      </c>
      <c r="H20680">
        <v>12258429</v>
      </c>
      <c r="I20680">
        <v>21807736</v>
      </c>
      <c r="J20680">
        <v>3</v>
      </c>
    </row>
    <row r="20681" spans="1:10" x14ac:dyDescent="0.25">
      <c r="A20681" t="s">
        <v>230</v>
      </c>
      <c r="B20681" s="1" t="str">
        <f>HYPERLINK("http://cryopal.com","cryopal.com")</f>
        <v>cryopal.com</v>
      </c>
      <c r="C20681" t="s">
        <v>433</v>
      </c>
      <c r="F20681">
        <v>9.7736472413039904E-9</v>
      </c>
      <c r="G20681">
        <v>6997392</v>
      </c>
      <c r="H20681">
        <v>12296636</v>
      </c>
      <c r="I20681">
        <v>20932226</v>
      </c>
      <c r="J20681">
        <v>3</v>
      </c>
    </row>
    <row r="20682" spans="1:10" x14ac:dyDescent="0.25">
      <c r="A20682" t="s">
        <v>230</v>
      </c>
      <c r="B20682" s="1" t="str">
        <f>HYPERLINK("http://cryotainer.com","cryotainer.com")</f>
        <v>cryotainer.com</v>
      </c>
      <c r="C20682" t="s">
        <v>433</v>
      </c>
      <c r="F20682">
        <v>5.2511686076298099E-9</v>
      </c>
      <c r="G20682">
        <v>24239857</v>
      </c>
      <c r="H20682">
        <v>12098493</v>
      </c>
      <c r="I20682">
        <v>26008339</v>
      </c>
      <c r="J20682">
        <v>3</v>
      </c>
    </row>
    <row r="20683" spans="1:10" x14ac:dyDescent="0.25">
      <c r="A20683" t="s">
        <v>230</v>
      </c>
      <c r="B20683" s="1" t="str">
        <f>HYPERLINK("http://ecoheatox.com","ecoheatox.com")</f>
        <v>ecoheatox.com</v>
      </c>
      <c r="C20683" t="s">
        <v>433</v>
      </c>
      <c r="F20683">
        <v>1.2284015405442399E-8</v>
      </c>
      <c r="G20683">
        <v>5003042</v>
      </c>
      <c r="H20683">
        <v>13722266</v>
      </c>
      <c r="I20683">
        <v>9469772</v>
      </c>
      <c r="J20683">
        <v>3</v>
      </c>
    </row>
    <row r="20684" spans="1:10" x14ac:dyDescent="0.25">
      <c r="A20684" t="s">
        <v>230</v>
      </c>
      <c r="B20684" s="1" t="str">
        <f>HYPERLINK("http://electronics-airliquide.com","electronics-airliquide.com")</f>
        <v>electronics-airliquide.com</v>
      </c>
      <c r="C20684" t="s">
        <v>433</v>
      </c>
      <c r="F20684">
        <v>1.5002614808475301E-8</v>
      </c>
      <c r="G20684">
        <v>3838897</v>
      </c>
      <c r="H20684">
        <v>13467380</v>
      </c>
      <c r="I20684">
        <v>10050704</v>
      </c>
      <c r="J20684">
        <v>3</v>
      </c>
    </row>
    <row r="20685" spans="1:10" x14ac:dyDescent="0.25">
      <c r="A20685" t="s">
        <v>230</v>
      </c>
      <c r="B20685" s="1" t="str">
        <f>HYPERLINK("http://engineering-airliquide.com","engineering-airliquide.com")</f>
        <v>engineering-airliquide.com</v>
      </c>
      <c r="C20685" t="s">
        <v>433</v>
      </c>
      <c r="F20685">
        <v>4.2424481283564E-8</v>
      </c>
      <c r="G20685">
        <v>1143744</v>
      </c>
      <c r="H20685">
        <v>14088772</v>
      </c>
      <c r="I20685">
        <v>2756893</v>
      </c>
      <c r="J20685">
        <v>5</v>
      </c>
    </row>
    <row r="20686" spans="1:10" x14ac:dyDescent="0.25">
      <c r="A20686" t="s">
        <v>230</v>
      </c>
      <c r="B20686" s="1" t="str">
        <f>HYPERLINK("http://gasmedi.com","gasmedi.com")</f>
        <v>gasmedi.com</v>
      </c>
      <c r="C20686" t="s">
        <v>433</v>
      </c>
      <c r="F20686">
        <v>5.2269968345535701E-9</v>
      </c>
      <c r="G20686">
        <v>24626820</v>
      </c>
      <c r="H20686">
        <v>12249635</v>
      </c>
      <c r="I20686">
        <v>22021452</v>
      </c>
      <c r="J20686">
        <v>4</v>
      </c>
    </row>
    <row r="20687" spans="1:10" x14ac:dyDescent="0.25">
      <c r="A20687" t="s">
        <v>230</v>
      </c>
      <c r="B20687" s="1" t="str">
        <f>HYPERLINK("http://girgas.com","girgas.com")</f>
        <v>girgas.com</v>
      </c>
      <c r="C20687" t="s">
        <v>433</v>
      </c>
      <c r="J20687">
        <v>6</v>
      </c>
    </row>
    <row r="20688" spans="1:10" x14ac:dyDescent="0.25">
      <c r="A20688" t="s">
        <v>230</v>
      </c>
      <c r="B20688" s="1" t="str">
        <f>HYPERLINK("http://infucare.com","infucare.com")</f>
        <v>infucare.com</v>
      </c>
      <c r="C20688" t="s">
        <v>433</v>
      </c>
      <c r="F20688">
        <v>2.2774827020799101E-8</v>
      </c>
      <c r="G20688">
        <v>2298614</v>
      </c>
      <c r="H20688">
        <v>14071928</v>
      </c>
      <c r="I20688">
        <v>3224947</v>
      </c>
      <c r="J20688">
        <v>5</v>
      </c>
    </row>
    <row r="20689" spans="1:10" x14ac:dyDescent="0.25">
      <c r="A20689" t="s">
        <v>230</v>
      </c>
      <c r="B20689" s="1" t="str">
        <f>HYPERLINK("http://inspirationmedic.com","inspirationmedic.com")</f>
        <v>inspirationmedic.com</v>
      </c>
      <c r="C20689" t="s">
        <v>433</v>
      </c>
      <c r="F20689">
        <v>4.7587016113495498E-9</v>
      </c>
      <c r="G20689">
        <v>37887885</v>
      </c>
      <c r="H20689">
        <v>12060921</v>
      </c>
      <c r="I20689">
        <v>26996693</v>
      </c>
      <c r="J20689">
        <v>3</v>
      </c>
    </row>
    <row r="20690" spans="1:10" x14ac:dyDescent="0.25">
      <c r="A20690" t="s">
        <v>230</v>
      </c>
      <c r="B20690" s="1" t="str">
        <f>HYPERLINK("http://lurgi.com","lurgi.com")</f>
        <v>lurgi.com</v>
      </c>
      <c r="C20690" t="s">
        <v>433</v>
      </c>
      <c r="F20690">
        <v>1.6816415118571E-8</v>
      </c>
      <c r="G20690">
        <v>3329372</v>
      </c>
      <c r="H20690">
        <v>13757510</v>
      </c>
      <c r="I20690">
        <v>9415969</v>
      </c>
      <c r="J20690">
        <v>3</v>
      </c>
    </row>
    <row r="20691" spans="1:10" x14ac:dyDescent="0.25">
      <c r="A20691" t="s">
        <v>230</v>
      </c>
      <c r="B20691" s="1" t="str">
        <f>HYPERLINK("http://lurgiinc.com","lurgiinc.com")</f>
        <v>lurgiinc.com</v>
      </c>
      <c r="C20691" t="s">
        <v>433</v>
      </c>
      <c r="F20691">
        <v>4.4443082218113397E-9</v>
      </c>
      <c r="G20691">
        <v>76992165</v>
      </c>
      <c r="H20691">
        <v>10124853</v>
      </c>
      <c r="I20691">
        <v>59627465</v>
      </c>
      <c r="J20691">
        <v>6</v>
      </c>
    </row>
    <row r="20692" spans="1:10" x14ac:dyDescent="0.25">
      <c r="A20692" t="s">
        <v>230</v>
      </c>
      <c r="B20692" s="1" t="str">
        <f>HYPERLINK("http://lvl-medical.com","lvl-medical.com")</f>
        <v>lvl-medical.com</v>
      </c>
      <c r="C20692" t="s">
        <v>433</v>
      </c>
      <c r="F20692">
        <v>1.15986409002875E-8</v>
      </c>
      <c r="G20692">
        <v>5433892</v>
      </c>
      <c r="H20692">
        <v>13126812</v>
      </c>
      <c r="I20692">
        <v>11954322</v>
      </c>
      <c r="J20692">
        <v>3</v>
      </c>
    </row>
    <row r="20693" spans="1:10" x14ac:dyDescent="0.25">
      <c r="A20693" t="s">
        <v>230</v>
      </c>
      <c r="B20693" s="1" t="str">
        <f>HYPERLINK("http://lvlmedical.com","lvlmedical.com")</f>
        <v>lvlmedical.com</v>
      </c>
      <c r="C20693" t="s">
        <v>433</v>
      </c>
      <c r="F20693">
        <v>1.9831365934053801E-8</v>
      </c>
      <c r="G20693">
        <v>2688206</v>
      </c>
      <c r="H20693">
        <v>12618211</v>
      </c>
      <c r="I20693">
        <v>16105066</v>
      </c>
      <c r="J20693">
        <v>5</v>
      </c>
    </row>
    <row r="20694" spans="1:10" x14ac:dyDescent="0.25">
      <c r="A20694" t="s">
        <v>230</v>
      </c>
      <c r="B20694" s="1" t="str">
        <f>HYPERLINK("http://makingdiabeteseasier.com","makingdiabeteseasier.com")</f>
        <v>makingdiabeteseasier.com</v>
      </c>
      <c r="C20694" t="s">
        <v>433</v>
      </c>
      <c r="F20694">
        <v>1.51094473361954E-8</v>
      </c>
      <c r="G20694">
        <v>3804668</v>
      </c>
      <c r="H20694">
        <v>13766412</v>
      </c>
      <c r="I20694">
        <v>7007711</v>
      </c>
      <c r="J20694">
        <v>3</v>
      </c>
    </row>
    <row r="20695" spans="1:10" x14ac:dyDescent="0.25">
      <c r="A20695" t="s">
        <v>230</v>
      </c>
      <c r="B20695" s="1" t="str">
        <f>HYPERLINK("http://ohsuk.com","ohsuk.com")</f>
        <v>ohsuk.com</v>
      </c>
      <c r="C20695" t="s">
        <v>433</v>
      </c>
      <c r="F20695">
        <v>5.0933489807449303E-9</v>
      </c>
      <c r="G20695">
        <v>27219243</v>
      </c>
      <c r="H20695">
        <v>12226658</v>
      </c>
      <c r="I20695">
        <v>22606117</v>
      </c>
      <c r="J20695">
        <v>5</v>
      </c>
    </row>
    <row r="20696" spans="1:10" x14ac:dyDescent="0.25">
      <c r="A20696" t="s">
        <v>230</v>
      </c>
      <c r="B20696" s="1" t="str">
        <f>HYPERLINK("http://omtmed.com","omtmed.com")</f>
        <v>omtmed.com</v>
      </c>
      <c r="C20696" t="s">
        <v>433</v>
      </c>
      <c r="F20696">
        <v>8.0959878406923607E-9</v>
      </c>
      <c r="G20696">
        <v>9748524</v>
      </c>
      <c r="H20696">
        <v>12201759</v>
      </c>
      <c r="I20696">
        <v>23272446</v>
      </c>
      <c r="J20696">
        <v>3</v>
      </c>
    </row>
    <row r="20697" spans="1:10" x14ac:dyDescent="0.25">
      <c r="A20697" t="s">
        <v>230</v>
      </c>
      <c r="B20697" s="1" t="str">
        <f>HYPERLINK("http://oxigensalud.com","oxigensalud.com")</f>
        <v>oxigensalud.com</v>
      </c>
      <c r="C20697" t="s">
        <v>433</v>
      </c>
      <c r="F20697">
        <v>8.3413681875611607E-9</v>
      </c>
      <c r="G20697">
        <v>9164574</v>
      </c>
      <c r="H20697">
        <v>13768455</v>
      </c>
      <c r="I20697">
        <v>6873193</v>
      </c>
      <c r="J20697">
        <v>3</v>
      </c>
    </row>
    <row r="20698" spans="1:10" x14ac:dyDescent="0.25">
      <c r="A20698" t="s">
        <v>230</v>
      </c>
      <c r="B20698" s="1" t="str">
        <f>HYPERLINK("http://oxyfuel-heatrecovery.com","oxyfuel-heatrecovery.com")</f>
        <v>oxyfuel-heatrecovery.com</v>
      </c>
      <c r="C20698" t="s">
        <v>433</v>
      </c>
      <c r="F20698">
        <v>6.43612361167661E-9</v>
      </c>
      <c r="G20698">
        <v>14354846</v>
      </c>
      <c r="H20698">
        <v>10803143</v>
      </c>
      <c r="I20698">
        <v>38066213</v>
      </c>
      <c r="J20698">
        <v>3</v>
      </c>
    </row>
    <row r="20699" spans="1:10" x14ac:dyDescent="0.25">
      <c r="A20699" t="s">
        <v>230</v>
      </c>
      <c r="B20699" s="1" t="str">
        <f>HYPERLINK("http://oxymaster.com","oxymaster.com")</f>
        <v>oxymaster.com</v>
      </c>
      <c r="C20699" t="s">
        <v>433</v>
      </c>
      <c r="F20699">
        <v>4.5793328642099796E-9</v>
      </c>
      <c r="G20699">
        <v>49344681</v>
      </c>
      <c r="H20699">
        <v>10827238</v>
      </c>
      <c r="I20699">
        <v>37458019</v>
      </c>
      <c r="J20699">
        <v>4</v>
      </c>
    </row>
    <row r="20700" spans="1:10" x14ac:dyDescent="0.25">
      <c r="A20700" t="s">
        <v>230</v>
      </c>
      <c r="B20700" s="1" t="str">
        <f>HYPERLINK("http://porogen.com","porogen.com")</f>
        <v>porogen.com</v>
      </c>
      <c r="C20700" t="s">
        <v>433</v>
      </c>
      <c r="F20700">
        <v>5.1908642822906302E-9</v>
      </c>
      <c r="G20700">
        <v>25322804</v>
      </c>
      <c r="H20700">
        <v>12392064</v>
      </c>
      <c r="I20700">
        <v>18996341</v>
      </c>
      <c r="J20700">
        <v>3</v>
      </c>
    </row>
    <row r="20701" spans="1:10" x14ac:dyDescent="0.25">
      <c r="A20701" t="s">
        <v>230</v>
      </c>
      <c r="B20701" s="1" t="str">
        <f>HYPERLINK("http://red-d-arc.com","red-d-arc.com")</f>
        <v>red-d-arc.com</v>
      </c>
      <c r="C20701" t="s">
        <v>433</v>
      </c>
      <c r="E20701">
        <v>682530</v>
      </c>
      <c r="F20701">
        <v>3.4618150332115598E-8</v>
      </c>
      <c r="G20701">
        <v>1498898</v>
      </c>
      <c r="H20701">
        <v>13463108</v>
      </c>
      <c r="I20701">
        <v>10147054</v>
      </c>
      <c r="J20701">
        <v>4</v>
      </c>
    </row>
    <row r="20702" spans="1:10" x14ac:dyDescent="0.25">
      <c r="A20702" t="s">
        <v>230</v>
      </c>
      <c r="B20702" s="1" t="str">
        <f>HYPERLINK("http://reddarc.com","reddarc.com")</f>
        <v>reddarc.com</v>
      </c>
      <c r="C20702" t="s">
        <v>433</v>
      </c>
      <c r="F20702">
        <v>5.1313086397108002E-9</v>
      </c>
      <c r="G20702">
        <v>26431784</v>
      </c>
      <c r="H20702">
        <v>12313206</v>
      </c>
      <c r="I20702">
        <v>20552676</v>
      </c>
      <c r="J20702">
        <v>4</v>
      </c>
    </row>
    <row r="20703" spans="1:10" x14ac:dyDescent="0.25">
      <c r="A20703" t="s">
        <v>230</v>
      </c>
      <c r="B20703" s="1" t="str">
        <f>HYPERLINK("http://rhscanada.com","rhscanada.com")</f>
        <v>rhscanada.com</v>
      </c>
      <c r="C20703" t="s">
        <v>433</v>
      </c>
      <c r="F20703">
        <v>7.9386120918034106E-9</v>
      </c>
      <c r="G20703">
        <v>10035544</v>
      </c>
      <c r="H20703">
        <v>12246505</v>
      </c>
      <c r="I20703">
        <v>22085087</v>
      </c>
      <c r="J20703">
        <v>3</v>
      </c>
    </row>
    <row r="20704" spans="1:10" x14ac:dyDescent="0.25">
      <c r="A20704" t="s">
        <v>230</v>
      </c>
      <c r="B20704" s="1" t="str">
        <f>HYPERLINK("http://seppic.com","seppic.com")</f>
        <v>seppic.com</v>
      </c>
      <c r="C20704" t="s">
        <v>433</v>
      </c>
      <c r="E20704">
        <v>918860</v>
      </c>
      <c r="F20704">
        <v>7.0890933975299694E-8</v>
      </c>
      <c r="G20704">
        <v>596730</v>
      </c>
      <c r="H20704">
        <v>13994511</v>
      </c>
      <c r="I20704">
        <v>4023591</v>
      </c>
      <c r="J20704">
        <v>3</v>
      </c>
    </row>
    <row r="20705" spans="1:10" x14ac:dyDescent="0.25">
      <c r="A20705" t="s">
        <v>230</v>
      </c>
      <c r="B20705" s="1" t="str">
        <f>HYPERLINK("http://siggases.com","siggases.com")</f>
        <v>siggases.com</v>
      </c>
      <c r="C20705" t="s">
        <v>433</v>
      </c>
      <c r="F20705">
        <v>5.0615399126800003E-9</v>
      </c>
      <c r="G20705">
        <v>27970117</v>
      </c>
      <c r="H20705">
        <v>12143059</v>
      </c>
      <c r="I20705">
        <v>24803092</v>
      </c>
      <c r="J20705">
        <v>3</v>
      </c>
    </row>
    <row r="20706" spans="1:10" x14ac:dyDescent="0.25">
      <c r="A20706" t="s">
        <v>230</v>
      </c>
      <c r="B20706" s="1" t="str">
        <f>HYPERLINK("http://vitalaire.com","vitalaire.com")</f>
        <v>vitalaire.com</v>
      </c>
      <c r="C20706" t="s">
        <v>433</v>
      </c>
      <c r="E20706">
        <v>962222</v>
      </c>
      <c r="F20706">
        <v>1.1930160685368101E-7</v>
      </c>
      <c r="G20706">
        <v>331536</v>
      </c>
      <c r="H20706">
        <v>13358416</v>
      </c>
      <c r="I20706">
        <v>10592255</v>
      </c>
      <c r="J20706">
        <v>3</v>
      </c>
    </row>
    <row r="20707" spans="1:10" x14ac:dyDescent="0.25">
      <c r="A20707" t="s">
        <v>230</v>
      </c>
      <c r="B20707" s="1" t="str">
        <f>HYPERLINK("http://airliquide.de","airliquide.de")</f>
        <v>airliquide.de</v>
      </c>
      <c r="C20707" t="s">
        <v>436</v>
      </c>
      <c r="D20707" t="s">
        <v>815</v>
      </c>
      <c r="E20707">
        <v>702212</v>
      </c>
      <c r="F20707">
        <v>1.18380309483652E-7</v>
      </c>
      <c r="G20707">
        <v>334576</v>
      </c>
      <c r="H20707">
        <v>14528128</v>
      </c>
      <c r="I20707">
        <v>790588</v>
      </c>
      <c r="J20707">
        <v>2</v>
      </c>
    </row>
    <row r="20708" spans="1:10" x14ac:dyDescent="0.25">
      <c r="A20708" t="s">
        <v>230</v>
      </c>
      <c r="B20708" s="1" t="str">
        <f>HYPERLINK("http://belloth.de","belloth.de")</f>
        <v>belloth.de</v>
      </c>
      <c r="C20708" t="s">
        <v>436</v>
      </c>
      <c r="D20708" t="s">
        <v>815</v>
      </c>
      <c r="F20708">
        <v>4.4443587375086804E-9</v>
      </c>
      <c r="G20708">
        <v>76900679</v>
      </c>
      <c r="H20708">
        <v>10232125</v>
      </c>
      <c r="I20708">
        <v>58880986</v>
      </c>
      <c r="J20708">
        <v>3</v>
      </c>
    </row>
    <row r="20709" spans="1:10" x14ac:dyDescent="0.25">
      <c r="A20709" t="s">
        <v>230</v>
      </c>
      <c r="B20709" s="1" t="str">
        <f>HYPERLINK("http://biokryo.de","biokryo.de")</f>
        <v>biokryo.de</v>
      </c>
      <c r="C20709" t="s">
        <v>436</v>
      </c>
      <c r="D20709" t="s">
        <v>815</v>
      </c>
      <c r="F20709">
        <v>9.20280615994396E-9</v>
      </c>
      <c r="G20709">
        <v>7706437</v>
      </c>
      <c r="H20709">
        <v>12500353</v>
      </c>
      <c r="I20709">
        <v>17354914</v>
      </c>
      <c r="J20709">
        <v>3</v>
      </c>
    </row>
    <row r="20710" spans="1:10" x14ac:dyDescent="0.25">
      <c r="A20710" t="s">
        <v>230</v>
      </c>
      <c r="B20710" s="1" t="str">
        <f>HYPERLINK("http://fp-med.de","fp-med.de")</f>
        <v>fp-med.de</v>
      </c>
      <c r="C20710" t="s">
        <v>436</v>
      </c>
      <c r="D20710" t="s">
        <v>815</v>
      </c>
      <c r="F20710">
        <v>5.0980722891849703E-9</v>
      </c>
      <c r="G20710">
        <v>27117288</v>
      </c>
      <c r="H20710">
        <v>10006200</v>
      </c>
      <c r="I20710">
        <v>60774222</v>
      </c>
      <c r="J20710">
        <v>3</v>
      </c>
    </row>
    <row r="20711" spans="1:10" x14ac:dyDescent="0.25">
      <c r="A20711" t="s">
        <v>230</v>
      </c>
      <c r="B20711" s="1" t="str">
        <f>HYPERLINK("http://h2-mobility.de","h2-mobility.de")</f>
        <v>h2-mobility.de</v>
      </c>
      <c r="C20711" t="s">
        <v>436</v>
      </c>
      <c r="D20711" t="s">
        <v>815</v>
      </c>
      <c r="F20711">
        <v>1.09104070023389E-7</v>
      </c>
      <c r="G20711">
        <v>366670</v>
      </c>
      <c r="H20711">
        <v>16926672</v>
      </c>
      <c r="I20711">
        <v>121163</v>
      </c>
      <c r="J20711">
        <v>3</v>
      </c>
    </row>
    <row r="20712" spans="1:10" x14ac:dyDescent="0.25">
      <c r="A20712" t="s">
        <v>230</v>
      </c>
      <c r="B20712" s="1" t="str">
        <f>HYPERLINK("http://lichermt.de","lichermt.de")</f>
        <v>lichermt.de</v>
      </c>
      <c r="C20712" t="s">
        <v>436</v>
      </c>
      <c r="D20712" t="s">
        <v>815</v>
      </c>
      <c r="F20712">
        <v>9.7328724630047004E-9</v>
      </c>
      <c r="G20712">
        <v>7043306</v>
      </c>
      <c r="H20712">
        <v>12915819</v>
      </c>
      <c r="I20712">
        <v>13515846</v>
      </c>
      <c r="J20712">
        <v>3</v>
      </c>
    </row>
    <row r="20713" spans="1:10" x14ac:dyDescent="0.25">
      <c r="A20713" t="s">
        <v>230</v>
      </c>
      <c r="B20713" s="1" t="str">
        <f>HYPERLINK("http://makingdiabeteseasier.de","makingdiabeteseasier.de")</f>
        <v>makingdiabeteseasier.de</v>
      </c>
      <c r="C20713" t="s">
        <v>436</v>
      </c>
      <c r="D20713" t="s">
        <v>815</v>
      </c>
      <c r="J20713">
        <v>3</v>
      </c>
    </row>
    <row r="20714" spans="1:10" x14ac:dyDescent="0.25">
      <c r="A20714" t="s">
        <v>230</v>
      </c>
      <c r="B20714" s="1" t="str">
        <f>HYPERLINK("http://nordserviceprojects.de","nordserviceprojects.de")</f>
        <v>nordserviceprojects.de</v>
      </c>
      <c r="C20714" t="s">
        <v>436</v>
      </c>
      <c r="D20714" t="s">
        <v>815</v>
      </c>
      <c r="F20714">
        <v>4.5915820805281401E-9</v>
      </c>
      <c r="G20714">
        <v>48277598</v>
      </c>
      <c r="H20714">
        <v>10850603</v>
      </c>
      <c r="I20714">
        <v>36841205</v>
      </c>
      <c r="J20714">
        <v>3</v>
      </c>
    </row>
    <row r="20715" spans="1:10" x14ac:dyDescent="0.25">
      <c r="A20715" t="s">
        <v>230</v>
      </c>
      <c r="B20715" s="1" t="str">
        <f>HYPERLINK("http://red-d-arc.de","red-d-arc.de")</f>
        <v>red-d-arc.de</v>
      </c>
      <c r="C20715" t="s">
        <v>436</v>
      </c>
      <c r="D20715" t="s">
        <v>815</v>
      </c>
      <c r="F20715">
        <v>4.9599489670876197E-9</v>
      </c>
      <c r="G20715">
        <v>30511606</v>
      </c>
      <c r="H20715">
        <v>12404959</v>
      </c>
      <c r="I20715">
        <v>18689543</v>
      </c>
      <c r="J20715">
        <v>4</v>
      </c>
    </row>
    <row r="20716" spans="1:10" x14ac:dyDescent="0.25">
      <c r="A20716" t="s">
        <v>230</v>
      </c>
      <c r="B20716" s="1" t="str">
        <f>HYPERLINK("http://vitalaire.de","vitalaire.de")</f>
        <v>vitalaire.de</v>
      </c>
      <c r="C20716" t="s">
        <v>436</v>
      </c>
      <c r="D20716" t="s">
        <v>815</v>
      </c>
      <c r="F20716">
        <v>3.5407457437088401E-8</v>
      </c>
      <c r="G20716">
        <v>1469545</v>
      </c>
      <c r="H20716">
        <v>13172468</v>
      </c>
      <c r="I20716">
        <v>11716335</v>
      </c>
      <c r="J20716">
        <v>3</v>
      </c>
    </row>
    <row r="20717" spans="1:10" x14ac:dyDescent="0.25">
      <c r="A20717" t="s">
        <v>230</v>
      </c>
      <c r="B20717" s="1" t="str">
        <f>HYPERLINK("http://z-h.de","z-h.de")</f>
        <v>z-h.de</v>
      </c>
      <c r="C20717" t="s">
        <v>436</v>
      </c>
      <c r="D20717" t="s">
        <v>815</v>
      </c>
      <c r="F20717">
        <v>8.6318567332172505E-9</v>
      </c>
      <c r="G20717">
        <v>8599029</v>
      </c>
      <c r="H20717">
        <v>12120753</v>
      </c>
      <c r="I20717">
        <v>25385989</v>
      </c>
      <c r="J20717">
        <v>3</v>
      </c>
    </row>
    <row r="20718" spans="1:10" x14ac:dyDescent="0.25">
      <c r="A20718" t="s">
        <v>230</v>
      </c>
      <c r="B20718" s="1" t="str">
        <f>HYPERLINK("http://zsl-schlaflabor.de","zsl-schlaflabor.de")</f>
        <v>zsl-schlaflabor.de</v>
      </c>
      <c r="C20718" t="s">
        <v>436</v>
      </c>
      <c r="D20718" t="s">
        <v>815</v>
      </c>
      <c r="J20718">
        <v>3</v>
      </c>
    </row>
    <row r="20719" spans="1:10" x14ac:dyDescent="0.25">
      <c r="A20719" t="s">
        <v>230</v>
      </c>
      <c r="B20719" s="1" t="str">
        <f>HYPERLINK("http://airliquide.dk","airliquide.dk")</f>
        <v>airliquide.dk</v>
      </c>
      <c r="C20719" t="s">
        <v>437</v>
      </c>
      <c r="D20719" t="s">
        <v>816</v>
      </c>
      <c r="F20719">
        <v>2.6615944715022098E-8</v>
      </c>
      <c r="G20719">
        <v>1934085</v>
      </c>
      <c r="H20719">
        <v>12606565</v>
      </c>
      <c r="I20719">
        <v>16260687</v>
      </c>
      <c r="J20719">
        <v>2</v>
      </c>
    </row>
    <row r="20720" spans="1:10" x14ac:dyDescent="0.25">
      <c r="A20720" t="s">
        <v>230</v>
      </c>
      <c r="B20720" s="1" t="str">
        <f>HYPERLINK("http://makingdiabeteseasier.dk","makingdiabeteseasier.dk")</f>
        <v>makingdiabeteseasier.dk</v>
      </c>
      <c r="C20720" t="s">
        <v>437</v>
      </c>
      <c r="D20720" t="s">
        <v>816</v>
      </c>
      <c r="J20720">
        <v>3</v>
      </c>
    </row>
    <row r="20721" spans="1:10" x14ac:dyDescent="0.25">
      <c r="A20721" t="s">
        <v>230</v>
      </c>
      <c r="B20721" s="1" t="str">
        <f>HYPERLINK("http://airliquide.es","airliquide.es")</f>
        <v>airliquide.es</v>
      </c>
      <c r="C20721" t="s">
        <v>443</v>
      </c>
      <c r="D20721" t="s">
        <v>822</v>
      </c>
      <c r="F20721">
        <v>2.8651621219541598E-8</v>
      </c>
      <c r="G20721">
        <v>1796003</v>
      </c>
      <c r="H20721">
        <v>13770729</v>
      </c>
      <c r="I20721">
        <v>6718320</v>
      </c>
      <c r="J20721">
        <v>2</v>
      </c>
    </row>
    <row r="20722" spans="1:10" x14ac:dyDescent="0.25">
      <c r="A20722" t="s">
        <v>230</v>
      </c>
      <c r="B20722" s="1" t="str">
        <f>HYPERLINK("http://makingdiabeteseasier.es","makingdiabeteseasier.es")</f>
        <v>makingdiabeteseasier.es</v>
      </c>
      <c r="C20722" t="s">
        <v>443</v>
      </c>
      <c r="D20722" t="s">
        <v>822</v>
      </c>
      <c r="J20722">
        <v>3</v>
      </c>
    </row>
    <row r="20723" spans="1:10" x14ac:dyDescent="0.25">
      <c r="A20723" t="s">
        <v>230</v>
      </c>
      <c r="B20723" s="1" t="str">
        <f>HYPERLINK("http://vitalaire.es","vitalaire.es")</f>
        <v>vitalaire.es</v>
      </c>
      <c r="C20723" t="s">
        <v>443</v>
      </c>
      <c r="D20723" t="s">
        <v>822</v>
      </c>
      <c r="F20723">
        <v>1.3387556690756999E-8</v>
      </c>
      <c r="G20723">
        <v>4453253</v>
      </c>
      <c r="H20723">
        <v>12308219</v>
      </c>
      <c r="I20723">
        <v>20673199</v>
      </c>
      <c r="J20723">
        <v>4</v>
      </c>
    </row>
    <row r="20724" spans="1:10" x14ac:dyDescent="0.25">
      <c r="A20724" t="s">
        <v>230</v>
      </c>
      <c r="B20724" s="1" t="str">
        <f>HYPERLINK("http://airliquide.eu","airliquide.eu")</f>
        <v>airliquide.eu</v>
      </c>
      <c r="C20724" t="s">
        <v>444</v>
      </c>
      <c r="F20724">
        <v>6.4084752731912396E-9</v>
      </c>
      <c r="G20724">
        <v>14477846</v>
      </c>
      <c r="H20724">
        <v>12198184</v>
      </c>
      <c r="I20724">
        <v>23367599</v>
      </c>
      <c r="J20724">
        <v>2</v>
      </c>
    </row>
    <row r="20725" spans="1:10" x14ac:dyDescent="0.25">
      <c r="A20725" t="s">
        <v>230</v>
      </c>
      <c r="B20725" s="1" t="str">
        <f>HYPERLINK("http://aneurope.eu","aneurope.eu")</f>
        <v>aneurope.eu</v>
      </c>
      <c r="C20725" t="s">
        <v>444</v>
      </c>
      <c r="F20725">
        <v>4.7344332818225501E-9</v>
      </c>
      <c r="G20725">
        <v>39086243</v>
      </c>
      <c r="H20725">
        <v>9553472</v>
      </c>
      <c r="I20725">
        <v>64944624</v>
      </c>
      <c r="J20725">
        <v>3</v>
      </c>
    </row>
    <row r="20726" spans="1:10" x14ac:dyDescent="0.25">
      <c r="A20726" t="s">
        <v>230</v>
      </c>
      <c r="B20726" s="1" t="str">
        <f>HYPERLINK("http://gasalliance.eu","gasalliance.eu")</f>
        <v>gasalliance.eu</v>
      </c>
      <c r="C20726" t="s">
        <v>444</v>
      </c>
      <c r="F20726">
        <v>4.46795044776567E-9</v>
      </c>
      <c r="G20726">
        <v>65159727</v>
      </c>
      <c r="H20726">
        <v>10473655</v>
      </c>
      <c r="I20726">
        <v>51200130</v>
      </c>
      <c r="J20726">
        <v>3</v>
      </c>
    </row>
    <row r="20727" spans="1:10" x14ac:dyDescent="0.25">
      <c r="A20727" t="s">
        <v>230</v>
      </c>
      <c r="B20727" s="1" t="str">
        <f>HYPERLINK("http://stgas.eu","stgas.eu")</f>
        <v>stgas.eu</v>
      </c>
      <c r="C20727" t="s">
        <v>444</v>
      </c>
      <c r="F20727">
        <v>5.1962609026098602E-9</v>
      </c>
      <c r="G20727">
        <v>25230888</v>
      </c>
      <c r="H20727">
        <v>10735888</v>
      </c>
      <c r="I20727">
        <v>40625562</v>
      </c>
      <c r="J20727">
        <v>3</v>
      </c>
    </row>
    <row r="20728" spans="1:10" x14ac:dyDescent="0.25">
      <c r="A20728" t="s">
        <v>230</v>
      </c>
      <c r="B20728" s="1" t="str">
        <f>HYPERLINK("http://air-liquide.fi","air-liquide.fi")</f>
        <v>air-liquide.fi</v>
      </c>
      <c r="C20728" t="s">
        <v>445</v>
      </c>
      <c r="D20728" t="s">
        <v>823</v>
      </c>
      <c r="J20728">
        <v>4</v>
      </c>
    </row>
    <row r="20729" spans="1:10" x14ac:dyDescent="0.25">
      <c r="A20729" t="s">
        <v>230</v>
      </c>
      <c r="B20729" s="1" t="str">
        <f>HYPERLINK("http://airliquide.fi","airliquide.fi")</f>
        <v>airliquide.fi</v>
      </c>
      <c r="C20729" t="s">
        <v>445</v>
      </c>
      <c r="D20729" t="s">
        <v>823</v>
      </c>
      <c r="F20729">
        <v>9.8062440177818705E-9</v>
      </c>
      <c r="G20729">
        <v>6962180</v>
      </c>
      <c r="H20729">
        <v>14074317</v>
      </c>
      <c r="I20729">
        <v>2947659</v>
      </c>
      <c r="J20729">
        <v>2</v>
      </c>
    </row>
    <row r="20730" spans="1:10" x14ac:dyDescent="0.25">
      <c r="A20730" t="s">
        <v>230</v>
      </c>
      <c r="B20730" s="1" t="str">
        <f>HYPERLINK("http://albee.fi","albee.fi")</f>
        <v>albee.fi</v>
      </c>
      <c r="C20730" t="s">
        <v>445</v>
      </c>
      <c r="D20730" t="s">
        <v>823</v>
      </c>
      <c r="F20730">
        <v>4.6098427002616801E-9</v>
      </c>
      <c r="G20730">
        <v>46855697</v>
      </c>
      <c r="H20730">
        <v>8295591.5</v>
      </c>
      <c r="I20730">
        <v>74513300</v>
      </c>
      <c r="J20730">
        <v>2</v>
      </c>
    </row>
    <row r="20731" spans="1:10" x14ac:dyDescent="0.25">
      <c r="A20731" t="s">
        <v>230</v>
      </c>
      <c r="B20731" s="1" t="str">
        <f>HYPERLINK("http://albeefly.fi","albeefly.fi")</f>
        <v>albeefly.fi</v>
      </c>
      <c r="C20731" t="s">
        <v>445</v>
      </c>
      <c r="D20731" t="s">
        <v>823</v>
      </c>
      <c r="J20731">
        <v>2</v>
      </c>
    </row>
    <row r="20732" spans="1:10" x14ac:dyDescent="0.25">
      <c r="A20732" t="s">
        <v>230</v>
      </c>
      <c r="B20732" s="1" t="str">
        <f>HYPERLINK("http://albeegas.fi","albeegas.fi")</f>
        <v>albeegas.fi</v>
      </c>
      <c r="C20732" t="s">
        <v>445</v>
      </c>
      <c r="D20732" t="s">
        <v>823</v>
      </c>
      <c r="J20732">
        <v>2</v>
      </c>
    </row>
    <row r="20733" spans="1:10" x14ac:dyDescent="0.25">
      <c r="A20733" t="s">
        <v>230</v>
      </c>
      <c r="B20733" s="1" t="str">
        <f>HYPERLINK("http://arcal.fi","arcal.fi")</f>
        <v>arcal.fi</v>
      </c>
      <c r="C20733" t="s">
        <v>445</v>
      </c>
      <c r="D20733" t="s">
        <v>823</v>
      </c>
      <c r="J20733">
        <v>2</v>
      </c>
    </row>
    <row r="20734" spans="1:10" x14ac:dyDescent="0.25">
      <c r="A20734" t="s">
        <v>230</v>
      </c>
      <c r="B20734" s="1" t="str">
        <f>HYPERLINK("http://argon.fi","argon.fi")</f>
        <v>argon.fi</v>
      </c>
      <c r="C20734" t="s">
        <v>445</v>
      </c>
      <c r="D20734" t="s">
        <v>823</v>
      </c>
      <c r="J20734">
        <v>2</v>
      </c>
    </row>
    <row r="20735" spans="1:10" x14ac:dyDescent="0.25">
      <c r="A20735" t="s">
        <v>230</v>
      </c>
      <c r="B20735" s="1" t="str">
        <f>HYPERLINK("http://cgminfucare.fi","cgminfucare.fi")</f>
        <v>cgminfucare.fi</v>
      </c>
      <c r="C20735" t="s">
        <v>445</v>
      </c>
      <c r="D20735" t="s">
        <v>823</v>
      </c>
      <c r="F20735">
        <v>4.44380395335525E-9</v>
      </c>
      <c r="G20735">
        <v>84770227</v>
      </c>
      <c r="H20735">
        <v>0</v>
      </c>
      <c r="I20735">
        <v>85883159</v>
      </c>
      <c r="J20735">
        <v>10</v>
      </c>
    </row>
    <row r="20736" spans="1:10" x14ac:dyDescent="0.25">
      <c r="A20736" t="s">
        <v>230</v>
      </c>
      <c r="B20736" s="1" t="str">
        <f>HYPERLINK("http://d-mine-support.fi","d-mine-support.fi")</f>
        <v>d-mine-support.fi</v>
      </c>
      <c r="C20736" t="s">
        <v>445</v>
      </c>
      <c r="D20736" t="s">
        <v>823</v>
      </c>
      <c r="J20736">
        <v>4</v>
      </c>
    </row>
    <row r="20737" spans="1:10" x14ac:dyDescent="0.25">
      <c r="A20737" t="s">
        <v>230</v>
      </c>
      <c r="B20737" s="1" t="str">
        <f>HYPERLINK("http://deasy.fi","deasy.fi")</f>
        <v>deasy.fi</v>
      </c>
      <c r="C20737" t="s">
        <v>445</v>
      </c>
      <c r="D20737" t="s">
        <v>823</v>
      </c>
      <c r="J20737">
        <v>2</v>
      </c>
    </row>
    <row r="20738" spans="1:10" x14ac:dyDescent="0.25">
      <c r="A20738" t="s">
        <v>230</v>
      </c>
      <c r="B20738" s="1" t="str">
        <f>HYPERLINK("http://exeltop.fi","exeltop.fi")</f>
        <v>exeltop.fi</v>
      </c>
      <c r="C20738" t="s">
        <v>445</v>
      </c>
      <c r="D20738" t="s">
        <v>823</v>
      </c>
      <c r="J20738">
        <v>2</v>
      </c>
    </row>
    <row r="20739" spans="1:10" x14ac:dyDescent="0.25">
      <c r="A20739" t="s">
        <v>230</v>
      </c>
      <c r="B20739" s="1" t="str">
        <f>HYPERLINK("http://green-origin.fi","green-origin.fi")</f>
        <v>green-origin.fi</v>
      </c>
      <c r="C20739" t="s">
        <v>445</v>
      </c>
      <c r="D20739" t="s">
        <v>823</v>
      </c>
      <c r="J20739">
        <v>4</v>
      </c>
    </row>
    <row r="20740" spans="1:10" x14ac:dyDescent="0.25">
      <c r="A20740" t="s">
        <v>230</v>
      </c>
      <c r="B20740" s="1" t="str">
        <f>HYPERLINK("http://happi.fi","happi.fi")</f>
        <v>happi.fi</v>
      </c>
      <c r="C20740" t="s">
        <v>445</v>
      </c>
      <c r="D20740" t="s">
        <v>823</v>
      </c>
      <c r="J20740">
        <v>2</v>
      </c>
    </row>
    <row r="20741" spans="1:10" x14ac:dyDescent="0.25">
      <c r="A20741" t="s">
        <v>230</v>
      </c>
      <c r="B20741" s="1" t="str">
        <f>HYPERLINK("http://hiilidioksidi.fi","hiilidioksidi.fi")</f>
        <v>hiilidioksidi.fi</v>
      </c>
      <c r="C20741" t="s">
        <v>445</v>
      </c>
      <c r="D20741" t="s">
        <v>823</v>
      </c>
      <c r="J20741">
        <v>2</v>
      </c>
    </row>
    <row r="20742" spans="1:10" x14ac:dyDescent="0.25">
      <c r="A20742" t="s">
        <v>230</v>
      </c>
      <c r="B20742" s="1" t="str">
        <f>HYPERLINK("http://infucare.fi","infucare.fi")</f>
        <v>infucare.fi</v>
      </c>
      <c r="C20742" t="s">
        <v>445</v>
      </c>
      <c r="D20742" t="s">
        <v>823</v>
      </c>
      <c r="F20742">
        <v>6.98850273695728E-9</v>
      </c>
      <c r="G20742">
        <v>12345984</v>
      </c>
      <c r="H20742">
        <v>12221720</v>
      </c>
      <c r="I20742">
        <v>22753445</v>
      </c>
      <c r="J20742">
        <v>4</v>
      </c>
    </row>
    <row r="20743" spans="1:10" x14ac:dyDescent="0.25">
      <c r="A20743" t="s">
        <v>230</v>
      </c>
      <c r="B20743" s="1" t="str">
        <f>HYPERLINK("http://kaasulinkki.fi","kaasulinkki.fi")</f>
        <v>kaasulinkki.fi</v>
      </c>
      <c r="C20743" t="s">
        <v>445</v>
      </c>
      <c r="D20743" t="s">
        <v>823</v>
      </c>
      <c r="J20743">
        <v>2</v>
      </c>
    </row>
    <row r="20744" spans="1:10" x14ac:dyDescent="0.25">
      <c r="A20744" t="s">
        <v>230</v>
      </c>
      <c r="B20744" s="1" t="str">
        <f>HYPERLINK("http://makingdiabeteseasier.fi","makingdiabeteseasier.fi")</f>
        <v>makingdiabeteseasier.fi</v>
      </c>
      <c r="C20744" t="s">
        <v>445</v>
      </c>
      <c r="D20744" t="s">
        <v>823</v>
      </c>
      <c r="J20744">
        <v>3</v>
      </c>
    </row>
    <row r="20745" spans="1:10" x14ac:dyDescent="0.25">
      <c r="A20745" t="s">
        <v>230</v>
      </c>
      <c r="B20745" s="1" t="str">
        <f>HYPERLINK("http://mygas.fi","mygas.fi")</f>
        <v>mygas.fi</v>
      </c>
      <c r="C20745" t="s">
        <v>445</v>
      </c>
      <c r="D20745" t="s">
        <v>823</v>
      </c>
      <c r="J20745">
        <v>2</v>
      </c>
    </row>
    <row r="20746" spans="1:10" x14ac:dyDescent="0.25">
      <c r="A20746" t="s">
        <v>230</v>
      </c>
      <c r="B20746" s="1" t="str">
        <f>HYPERLINK("http://mygasonline.fi","mygasonline.fi")</f>
        <v>mygasonline.fi</v>
      </c>
      <c r="C20746" t="s">
        <v>445</v>
      </c>
      <c r="D20746" t="s">
        <v>823</v>
      </c>
      <c r="J20746">
        <v>2</v>
      </c>
    </row>
    <row r="20747" spans="1:10" x14ac:dyDescent="0.25">
      <c r="A20747" t="s">
        <v>230</v>
      </c>
      <c r="B20747" s="1" t="str">
        <f>HYPERLINK("http://nordicinfucare.fi","nordicinfucare.fi")</f>
        <v>nordicinfucare.fi</v>
      </c>
      <c r="C20747" t="s">
        <v>445</v>
      </c>
      <c r="D20747" t="s">
        <v>823</v>
      </c>
      <c r="J20747">
        <v>4</v>
      </c>
    </row>
    <row r="20748" spans="1:10" x14ac:dyDescent="0.25">
      <c r="A20748" t="s">
        <v>230</v>
      </c>
      <c r="B20748" s="1" t="str">
        <f>HYPERLINK("http://otsoni.fi","otsoni.fi")</f>
        <v>otsoni.fi</v>
      </c>
      <c r="C20748" t="s">
        <v>445</v>
      </c>
      <c r="D20748" t="s">
        <v>823</v>
      </c>
      <c r="J20748">
        <v>2</v>
      </c>
    </row>
    <row r="20749" spans="1:10" x14ac:dyDescent="0.25">
      <c r="A20749" t="s">
        <v>230</v>
      </c>
      <c r="B20749" s="1" t="str">
        <f>HYPERLINK("http://polargas.fi","polargas.fi")</f>
        <v>polargas.fi</v>
      </c>
      <c r="C20749" t="s">
        <v>445</v>
      </c>
      <c r="D20749" t="s">
        <v>823</v>
      </c>
      <c r="F20749">
        <v>4.4498197518031997E-9</v>
      </c>
      <c r="G20749">
        <v>72030382</v>
      </c>
      <c r="H20749">
        <v>10644659</v>
      </c>
      <c r="I20749">
        <v>43685268</v>
      </c>
      <c r="J20749">
        <v>2</v>
      </c>
    </row>
    <row r="20750" spans="1:10" x14ac:dyDescent="0.25">
      <c r="A20750" t="s">
        <v>230</v>
      </c>
      <c r="B20750" s="1" t="str">
        <f>HYPERLINK("http://qlixbi.fi","qlixbi.fi")</f>
        <v>qlixbi.fi</v>
      </c>
      <c r="C20750" t="s">
        <v>445</v>
      </c>
      <c r="D20750" t="s">
        <v>823</v>
      </c>
      <c r="J20750">
        <v>4</v>
      </c>
    </row>
    <row r="20751" spans="1:10" x14ac:dyDescent="0.25">
      <c r="A20751" t="s">
        <v>230</v>
      </c>
      <c r="B20751" s="1" t="str">
        <f>HYPERLINK("http://typpi.fi","typpi.fi")</f>
        <v>typpi.fi</v>
      </c>
      <c r="C20751" t="s">
        <v>445</v>
      </c>
      <c r="D20751" t="s">
        <v>823</v>
      </c>
      <c r="J20751">
        <v>2</v>
      </c>
    </row>
    <row r="20752" spans="1:10" x14ac:dyDescent="0.25">
      <c r="A20752" t="s">
        <v>230</v>
      </c>
      <c r="B20752" s="1" t="str">
        <f>HYPERLINK("http://vibeeclub.fi","vibeeclub.fi")</f>
        <v>vibeeclub.fi</v>
      </c>
      <c r="C20752" t="s">
        <v>445</v>
      </c>
      <c r="D20752" t="s">
        <v>823</v>
      </c>
      <c r="J20752">
        <v>2</v>
      </c>
    </row>
    <row r="20753" spans="1:10" x14ac:dyDescent="0.25">
      <c r="A20753" t="s">
        <v>230</v>
      </c>
      <c r="B20753" s="1" t="str">
        <f>HYPERLINK("http://airliquide.fr","airliquide.fr")</f>
        <v>airliquide.fr</v>
      </c>
      <c r="C20753" t="s">
        <v>446</v>
      </c>
      <c r="D20753" t="s">
        <v>824</v>
      </c>
      <c r="F20753">
        <v>6.5463368887785099E-8</v>
      </c>
      <c r="G20753">
        <v>656867</v>
      </c>
      <c r="H20753">
        <v>16751915</v>
      </c>
      <c r="I20753">
        <v>256765</v>
      </c>
      <c r="J20753">
        <v>2</v>
      </c>
    </row>
    <row r="20754" spans="1:10" x14ac:dyDescent="0.25">
      <c r="A20754" t="s">
        <v>230</v>
      </c>
      <c r="B20754" s="1" t="str">
        <f>HYPERLINK("http://airliquidesante.fr","airliquidesante.fr")</f>
        <v>airliquidesante.fr</v>
      </c>
      <c r="C20754" t="s">
        <v>446</v>
      </c>
      <c r="D20754" t="s">
        <v>824</v>
      </c>
      <c r="F20754">
        <v>7.1363985863299403E-9</v>
      </c>
      <c r="G20754">
        <v>11913679</v>
      </c>
      <c r="H20754">
        <v>12226149</v>
      </c>
      <c r="I20754">
        <v>22621075</v>
      </c>
      <c r="J20754">
        <v>5</v>
      </c>
    </row>
    <row r="20755" spans="1:10" x14ac:dyDescent="0.25">
      <c r="A20755" t="s">
        <v>230</v>
      </c>
      <c r="B20755" s="1" t="str">
        <f>HYPERLINK("http://dinnosante.fr","dinnosante.fr")</f>
        <v>dinnosante.fr</v>
      </c>
      <c r="C20755" t="s">
        <v>446</v>
      </c>
      <c r="D20755" t="s">
        <v>824</v>
      </c>
      <c r="F20755">
        <v>1.9696497989719299E-8</v>
      </c>
      <c r="G20755">
        <v>2709751</v>
      </c>
      <c r="H20755">
        <v>13786941</v>
      </c>
      <c r="I20755">
        <v>6379744</v>
      </c>
      <c r="J20755">
        <v>3</v>
      </c>
    </row>
    <row r="20756" spans="1:10" x14ac:dyDescent="0.25">
      <c r="A20756" t="s">
        <v>230</v>
      </c>
      <c r="B20756" s="1" t="str">
        <f>HYPERLINK("http://eove.fr","eove.fr")</f>
        <v>eove.fr</v>
      </c>
      <c r="C20756" t="s">
        <v>446</v>
      </c>
      <c r="D20756" t="s">
        <v>824</v>
      </c>
      <c r="F20756">
        <v>5.8759377170746696E-9</v>
      </c>
      <c r="G20756">
        <v>17525634</v>
      </c>
      <c r="H20756">
        <v>11009562</v>
      </c>
      <c r="I20756">
        <v>33413585</v>
      </c>
      <c r="J20756">
        <v>3</v>
      </c>
    </row>
    <row r="20757" spans="1:10" x14ac:dyDescent="0.25">
      <c r="A20757" t="s">
        <v>230</v>
      </c>
      <c r="B20757" s="1" t="str">
        <f>HYPERLINK("http://epifrance.fr","epifrance.fr")</f>
        <v>epifrance.fr</v>
      </c>
      <c r="C20757" t="s">
        <v>446</v>
      </c>
      <c r="D20757" t="s">
        <v>824</v>
      </c>
      <c r="F20757">
        <v>5.1930073586029799E-9</v>
      </c>
      <c r="G20757">
        <v>25286244</v>
      </c>
      <c r="H20757">
        <v>11103088</v>
      </c>
      <c r="I20757">
        <v>32230215</v>
      </c>
      <c r="J20757">
        <v>5</v>
      </c>
    </row>
    <row r="20758" spans="1:10" x14ac:dyDescent="0.25">
      <c r="A20758" t="s">
        <v>230</v>
      </c>
      <c r="B20758" s="1" t="str">
        <f>HYPERLINK("http://lvlmedical.fr","lvlmedical.fr")</f>
        <v>lvlmedical.fr</v>
      </c>
      <c r="C20758" t="s">
        <v>446</v>
      </c>
      <c r="D20758" t="s">
        <v>824</v>
      </c>
      <c r="F20758">
        <v>5.2447137790298802E-9</v>
      </c>
      <c r="G20758">
        <v>24338514</v>
      </c>
      <c r="H20758">
        <v>10665815</v>
      </c>
      <c r="I20758">
        <v>43115005</v>
      </c>
      <c r="J20758">
        <v>3</v>
      </c>
    </row>
    <row r="20759" spans="1:10" x14ac:dyDescent="0.25">
      <c r="A20759" t="s">
        <v>230</v>
      </c>
      <c r="B20759" s="1" t="str">
        <f>HYPERLINK("http://mygas.fr","mygas.fr")</f>
        <v>mygas.fr</v>
      </c>
      <c r="C20759" t="s">
        <v>446</v>
      </c>
      <c r="D20759" t="s">
        <v>824</v>
      </c>
      <c r="J20759">
        <v>3</v>
      </c>
    </row>
    <row r="20760" spans="1:10" x14ac:dyDescent="0.25">
      <c r="A20760" t="s">
        <v>230</v>
      </c>
      <c r="B20760" s="1" t="str">
        <f>HYPERLINK("http://orkyn.fr","orkyn.fr")</f>
        <v>orkyn.fr</v>
      </c>
      <c r="C20760" t="s">
        <v>446</v>
      </c>
      <c r="D20760" t="s">
        <v>824</v>
      </c>
      <c r="F20760">
        <v>2.9756904184449702E-8</v>
      </c>
      <c r="G20760">
        <v>1729503</v>
      </c>
      <c r="H20760">
        <v>13353341</v>
      </c>
      <c r="I20760">
        <v>10605405</v>
      </c>
      <c r="J20760">
        <v>3</v>
      </c>
    </row>
    <row r="20761" spans="1:10" x14ac:dyDescent="0.25">
      <c r="A20761" t="s">
        <v>230</v>
      </c>
      <c r="B20761" s="1" t="str">
        <f>HYPERLINK("http://red-d-arc.fr","red-d-arc.fr")</f>
        <v>red-d-arc.fr</v>
      </c>
      <c r="C20761" t="s">
        <v>446</v>
      </c>
      <c r="D20761" t="s">
        <v>824</v>
      </c>
      <c r="F20761">
        <v>5.0573362602632599E-9</v>
      </c>
      <c r="G20761">
        <v>28061435</v>
      </c>
      <c r="H20761">
        <v>12400694</v>
      </c>
      <c r="I20761">
        <v>18769233</v>
      </c>
      <c r="J20761">
        <v>3</v>
      </c>
    </row>
    <row r="20762" spans="1:10" x14ac:dyDescent="0.25">
      <c r="A20762" t="s">
        <v>230</v>
      </c>
      <c r="B20762" s="1" t="str">
        <f>HYPERLINK("http://vitalaire.fr","vitalaire.fr")</f>
        <v>vitalaire.fr</v>
      </c>
      <c r="C20762" t="s">
        <v>446</v>
      </c>
      <c r="D20762" t="s">
        <v>824</v>
      </c>
      <c r="F20762">
        <v>1.44257637222747E-8</v>
      </c>
      <c r="G20762">
        <v>4048125</v>
      </c>
      <c r="H20762">
        <v>12896575</v>
      </c>
      <c r="I20762">
        <v>13895099</v>
      </c>
      <c r="J20762">
        <v>4</v>
      </c>
    </row>
    <row r="20763" spans="1:10" x14ac:dyDescent="0.25">
      <c r="A20763" t="s">
        <v>230</v>
      </c>
      <c r="B20763" s="1" t="str">
        <f>HYPERLINK("http://airliquidehealthcare.ie","airliquidehealthcare.ie")</f>
        <v>airliquidehealthcare.ie</v>
      </c>
      <c r="C20763" t="s">
        <v>455</v>
      </c>
      <c r="D20763" t="s">
        <v>832</v>
      </c>
      <c r="F20763">
        <v>6.3521105482149501E-9</v>
      </c>
      <c r="G20763">
        <v>14751924</v>
      </c>
      <c r="H20763">
        <v>12309708</v>
      </c>
      <c r="I20763">
        <v>20624979</v>
      </c>
      <c r="J20763">
        <v>3</v>
      </c>
    </row>
    <row r="20764" spans="1:10" x14ac:dyDescent="0.25">
      <c r="A20764" t="s">
        <v>230</v>
      </c>
      <c r="B20764" s="1" t="str">
        <f>HYPERLINK("http://airliquide.it","airliquide.it")</f>
        <v>airliquide.it</v>
      </c>
      <c r="C20764" t="s">
        <v>459</v>
      </c>
      <c r="D20764" t="s">
        <v>835</v>
      </c>
      <c r="F20764">
        <v>2.52369292342969E-8</v>
      </c>
      <c r="G20764">
        <v>2045189</v>
      </c>
      <c r="H20764">
        <v>13773468</v>
      </c>
      <c r="I20764">
        <v>6631528</v>
      </c>
      <c r="J20764">
        <v>2</v>
      </c>
    </row>
    <row r="20765" spans="1:10" x14ac:dyDescent="0.25">
      <c r="A20765" t="s">
        <v>230</v>
      </c>
      <c r="B20765" s="1" t="str">
        <f>HYPERLINK("http://airliquidesanita.it","airliquidesanita.it")</f>
        <v>airliquidesanita.it</v>
      </c>
      <c r="C20765" t="s">
        <v>459</v>
      </c>
      <c r="D20765" t="s">
        <v>835</v>
      </c>
      <c r="F20765">
        <v>5.4042524711280699E-9</v>
      </c>
      <c r="G20765">
        <v>22059427</v>
      </c>
      <c r="H20765">
        <v>12141760</v>
      </c>
      <c r="I20765">
        <v>24840966</v>
      </c>
      <c r="J20765">
        <v>3</v>
      </c>
    </row>
    <row r="20766" spans="1:10" x14ac:dyDescent="0.25">
      <c r="A20766" t="s">
        <v>230</v>
      </c>
      <c r="B20766" s="1" t="str">
        <f>HYPERLINK("http://vitalaire.it","vitalaire.it")</f>
        <v>vitalaire.it</v>
      </c>
      <c r="C20766" t="s">
        <v>459</v>
      </c>
      <c r="D20766" t="s">
        <v>835</v>
      </c>
      <c r="F20766">
        <v>1.44807302244433E-8</v>
      </c>
      <c r="G20766">
        <v>4029176</v>
      </c>
      <c r="H20766">
        <v>12345903</v>
      </c>
      <c r="I20766">
        <v>19835180</v>
      </c>
      <c r="J20766">
        <v>4</v>
      </c>
    </row>
    <row r="20767" spans="1:10" x14ac:dyDescent="0.25">
      <c r="A20767" t="s">
        <v>230</v>
      </c>
      <c r="B20767" s="1" t="str">
        <f>HYPERLINK("http://airliquide.jp","airliquide.jp")</f>
        <v>airliquide.jp</v>
      </c>
      <c r="C20767" t="s">
        <v>461</v>
      </c>
      <c r="D20767" t="s">
        <v>837</v>
      </c>
      <c r="F20767">
        <v>9.5444654744777397E-9</v>
      </c>
      <c r="G20767">
        <v>7269365</v>
      </c>
      <c r="H20767">
        <v>12284308</v>
      </c>
      <c r="I20767">
        <v>21225124</v>
      </c>
      <c r="J20767">
        <v>2</v>
      </c>
    </row>
    <row r="20768" spans="1:10" x14ac:dyDescent="0.25">
      <c r="A20768" t="s">
        <v>230</v>
      </c>
      <c r="B20768" s="1" t="str">
        <f>HYPERLINK("http://sohgo-industry.co.jp","sohgo-industry.co.jp")</f>
        <v>sohgo-industry.co.jp</v>
      </c>
      <c r="C20768" t="s">
        <v>461</v>
      </c>
      <c r="D20768" t="s">
        <v>837</v>
      </c>
      <c r="J20768">
        <v>3</v>
      </c>
    </row>
    <row r="20769" spans="1:10" x14ac:dyDescent="0.25">
      <c r="A20769" t="s">
        <v>230</v>
      </c>
      <c r="B20769" s="1" t="str">
        <f>HYPERLINK("http://vitalaire.co.jp","vitalaire.co.jp")</f>
        <v>vitalaire.co.jp</v>
      </c>
      <c r="C20769" t="s">
        <v>461</v>
      </c>
      <c r="D20769" t="s">
        <v>837</v>
      </c>
      <c r="F20769">
        <v>6.86050174006223E-9</v>
      </c>
      <c r="G20769">
        <v>12759381</v>
      </c>
      <c r="H20769">
        <v>12228305</v>
      </c>
      <c r="I20769">
        <v>22549282</v>
      </c>
      <c r="J20769">
        <v>3</v>
      </c>
    </row>
    <row r="20770" spans="1:10" x14ac:dyDescent="0.25">
      <c r="A20770" t="s">
        <v>230</v>
      </c>
      <c r="B20770" s="1" t="str">
        <f>HYPERLINK("http://airliquide.kr","airliquide.kr")</f>
        <v>airliquide.kr</v>
      </c>
      <c r="C20770" t="s">
        <v>463</v>
      </c>
      <c r="D20770" t="s">
        <v>839</v>
      </c>
      <c r="F20770">
        <v>6.30251075635469E-9</v>
      </c>
      <c r="G20770">
        <v>15019686</v>
      </c>
      <c r="H20770">
        <v>12214002</v>
      </c>
      <c r="I20770">
        <v>22927211</v>
      </c>
      <c r="J20770">
        <v>2</v>
      </c>
    </row>
    <row r="20771" spans="1:10" x14ac:dyDescent="0.25">
      <c r="A20771" t="s">
        <v>230</v>
      </c>
      <c r="B20771" s="1" t="str">
        <f>HYPERLINK("http://vitalaire.co.kr","vitalaire.co.kr")</f>
        <v>vitalaire.co.kr</v>
      </c>
      <c r="C20771" t="s">
        <v>463</v>
      </c>
      <c r="D20771" t="s">
        <v>839</v>
      </c>
      <c r="F20771">
        <v>7.70640844840261E-9</v>
      </c>
      <c r="G20771">
        <v>10558119</v>
      </c>
      <c r="H20771">
        <v>12228814</v>
      </c>
      <c r="I20771">
        <v>22538517</v>
      </c>
      <c r="J20771">
        <v>3</v>
      </c>
    </row>
    <row r="20772" spans="1:10" x14ac:dyDescent="0.25">
      <c r="A20772" t="s">
        <v>230</v>
      </c>
      <c r="B20772" s="1" t="str">
        <f>HYPERLINK("http://airliquide.lu","airliquide.lu")</f>
        <v>airliquide.lu</v>
      </c>
      <c r="C20772" t="s">
        <v>547</v>
      </c>
      <c r="D20772" t="s">
        <v>904</v>
      </c>
      <c r="F20772">
        <v>6.45735890465691E-9</v>
      </c>
      <c r="G20772">
        <v>14261220</v>
      </c>
      <c r="H20772">
        <v>12198874</v>
      </c>
      <c r="I20772">
        <v>23343947</v>
      </c>
      <c r="J20772">
        <v>2</v>
      </c>
    </row>
    <row r="20773" spans="1:10" x14ac:dyDescent="0.25">
      <c r="A20773" t="s">
        <v>230</v>
      </c>
      <c r="B20773" s="1" t="str">
        <f>HYPERLINK("http://airgas.com.mx","airgas.com.mx")</f>
        <v>airgas.com.mx</v>
      </c>
      <c r="C20773" t="s">
        <v>471</v>
      </c>
      <c r="D20773" t="s">
        <v>847</v>
      </c>
      <c r="J20773">
        <v>4</v>
      </c>
    </row>
    <row r="20774" spans="1:10" x14ac:dyDescent="0.25">
      <c r="A20774" t="s">
        <v>230</v>
      </c>
      <c r="B20774" s="1" t="str">
        <f>HYPERLINK("http://airliquide.com.mx","airliquide.com.mx")</f>
        <v>airliquide.com.mx</v>
      </c>
      <c r="C20774" t="s">
        <v>471</v>
      </c>
      <c r="D20774" t="s">
        <v>847</v>
      </c>
      <c r="F20774">
        <v>4.8835745506180604E-9</v>
      </c>
      <c r="G20774">
        <v>32966436</v>
      </c>
      <c r="H20774">
        <v>10762898</v>
      </c>
      <c r="I20774">
        <v>39504932</v>
      </c>
      <c r="J20774">
        <v>2</v>
      </c>
    </row>
    <row r="20775" spans="1:10" x14ac:dyDescent="0.25">
      <c r="A20775" t="s">
        <v>230</v>
      </c>
      <c r="B20775" s="1" t="str">
        <f>HYPERLINK("http://red-d-arc.mx","red-d-arc.mx")</f>
        <v>red-d-arc.mx</v>
      </c>
      <c r="C20775" t="s">
        <v>471</v>
      </c>
      <c r="D20775" t="s">
        <v>847</v>
      </c>
      <c r="F20775">
        <v>4.6714157138661298E-9</v>
      </c>
      <c r="G20775">
        <v>42846286</v>
      </c>
      <c r="H20775">
        <v>10181002</v>
      </c>
      <c r="I20775">
        <v>59211362</v>
      </c>
      <c r="J20775">
        <v>5</v>
      </c>
    </row>
    <row r="20776" spans="1:10" x14ac:dyDescent="0.25">
      <c r="A20776" t="s">
        <v>230</v>
      </c>
      <c r="B20776" s="1" t="str">
        <f>HYPERLINK("http://ialadin.net","ialadin.net")</f>
        <v>ialadin.net</v>
      </c>
      <c r="C20776" t="s">
        <v>474</v>
      </c>
      <c r="J20776">
        <v>3</v>
      </c>
    </row>
    <row r="20777" spans="1:10" x14ac:dyDescent="0.25">
      <c r="A20777" t="s">
        <v>230</v>
      </c>
      <c r="B20777" s="1" t="str">
        <f>HYPERLINK("http://tecnogas.net","tecnogas.net")</f>
        <v>tecnogas.net</v>
      </c>
      <c r="C20777" t="s">
        <v>474</v>
      </c>
      <c r="F20777">
        <v>9.4819102641609603E-9</v>
      </c>
      <c r="G20777">
        <v>7344289</v>
      </c>
      <c r="H20777">
        <v>12203679</v>
      </c>
      <c r="I20777">
        <v>23228234</v>
      </c>
      <c r="J20777">
        <v>3</v>
      </c>
    </row>
    <row r="20778" spans="1:10" x14ac:dyDescent="0.25">
      <c r="A20778" t="s">
        <v>230</v>
      </c>
      <c r="B20778" s="1" t="str">
        <f>HYPERLINK("http://airliquide.nl","airliquide.nl")</f>
        <v>airliquide.nl</v>
      </c>
      <c r="C20778" t="s">
        <v>477</v>
      </c>
      <c r="D20778" t="s">
        <v>852</v>
      </c>
      <c r="F20778">
        <v>8.5324427923486095E-9</v>
      </c>
      <c r="G20778">
        <v>8782743</v>
      </c>
      <c r="H20778">
        <v>12311547</v>
      </c>
      <c r="I20778">
        <v>20587575</v>
      </c>
      <c r="J20778">
        <v>2</v>
      </c>
    </row>
    <row r="20779" spans="1:10" x14ac:dyDescent="0.25">
      <c r="A20779" t="s">
        <v>230</v>
      </c>
      <c r="B20779" s="1" t="str">
        <f>HYPERLINK("http://carbolim.nl","carbolim.nl")</f>
        <v>carbolim.nl</v>
      </c>
      <c r="C20779" t="s">
        <v>477</v>
      </c>
      <c r="D20779" t="s">
        <v>852</v>
      </c>
      <c r="F20779">
        <v>5.5615704512817197E-9</v>
      </c>
      <c r="G20779">
        <v>20259018</v>
      </c>
      <c r="H20779">
        <v>14071792</v>
      </c>
      <c r="I20779">
        <v>3403347</v>
      </c>
      <c r="J20779">
        <v>3</v>
      </c>
    </row>
    <row r="20780" spans="1:10" x14ac:dyDescent="0.25">
      <c r="A20780" t="s">
        <v>230</v>
      </c>
      <c r="B20780" s="1" t="str">
        <f>HYPERLINK("http://makingdiabeteseasier.nl","makingdiabeteseasier.nl")</f>
        <v>makingdiabeteseasier.nl</v>
      </c>
      <c r="C20780" t="s">
        <v>477</v>
      </c>
      <c r="D20780" t="s">
        <v>852</v>
      </c>
      <c r="J20780">
        <v>3</v>
      </c>
    </row>
    <row r="20781" spans="1:10" x14ac:dyDescent="0.25">
      <c r="A20781" t="s">
        <v>230</v>
      </c>
      <c r="B20781" s="1" t="str">
        <f>HYPERLINK("http://red-d-arc.nl","red-d-arc.nl")</f>
        <v>red-d-arc.nl</v>
      </c>
      <c r="C20781" t="s">
        <v>477</v>
      </c>
      <c r="D20781" t="s">
        <v>852</v>
      </c>
      <c r="F20781">
        <v>1.00055732281971E-8</v>
      </c>
      <c r="G20781">
        <v>6750173</v>
      </c>
      <c r="H20781">
        <v>10656823</v>
      </c>
      <c r="I20781">
        <v>43501745</v>
      </c>
      <c r="J20781">
        <v>4</v>
      </c>
    </row>
    <row r="20782" spans="1:10" x14ac:dyDescent="0.25">
      <c r="A20782" t="s">
        <v>230</v>
      </c>
      <c r="B20782" s="1" t="str">
        <f>HYPERLINK("http://vitalaire.nl","vitalaire.nl")</f>
        <v>vitalaire.nl</v>
      </c>
      <c r="C20782" t="s">
        <v>477</v>
      </c>
      <c r="D20782" t="s">
        <v>852</v>
      </c>
      <c r="F20782">
        <v>1.58716274796711E-8</v>
      </c>
      <c r="G20782">
        <v>3580043</v>
      </c>
      <c r="H20782">
        <v>12203249</v>
      </c>
      <c r="I20782">
        <v>23238158</v>
      </c>
      <c r="J20782">
        <v>4</v>
      </c>
    </row>
    <row r="20783" spans="1:10" x14ac:dyDescent="0.25">
      <c r="A20783" t="s">
        <v>230</v>
      </c>
      <c r="B20783" s="1" t="str">
        <f>HYPERLINK("http://airliquide.no","airliquide.no")</f>
        <v>airliquide.no</v>
      </c>
      <c r="C20783" t="s">
        <v>478</v>
      </c>
      <c r="D20783" t="s">
        <v>853</v>
      </c>
      <c r="F20783">
        <v>1.6077312890718102E-8</v>
      </c>
      <c r="G20783">
        <v>3526377</v>
      </c>
      <c r="H20783">
        <v>12297162</v>
      </c>
      <c r="I20783">
        <v>20922211</v>
      </c>
      <c r="J20783">
        <v>2</v>
      </c>
    </row>
    <row r="20784" spans="1:10" x14ac:dyDescent="0.25">
      <c r="A20784" t="s">
        <v>230</v>
      </c>
      <c r="B20784" s="1" t="str">
        <f>HYPERLINK("http://makingdiabeteseasier.no","makingdiabeteseasier.no")</f>
        <v>makingdiabeteseasier.no</v>
      </c>
      <c r="C20784" t="s">
        <v>478</v>
      </c>
      <c r="D20784" t="s">
        <v>853</v>
      </c>
      <c r="J20784">
        <v>3</v>
      </c>
    </row>
    <row r="20785" spans="1:10" x14ac:dyDescent="0.25">
      <c r="A20785" t="s">
        <v>230</v>
      </c>
      <c r="B20785" s="1" t="str">
        <f>HYPERLINK("http://skageraknaturgass.no","skageraknaturgass.no")</f>
        <v>skageraknaturgass.no</v>
      </c>
      <c r="C20785" t="s">
        <v>478</v>
      </c>
      <c r="D20785" t="s">
        <v>853</v>
      </c>
      <c r="F20785">
        <v>5.7783498401670497E-9</v>
      </c>
      <c r="G20785">
        <v>18259902</v>
      </c>
      <c r="H20785">
        <v>12267945</v>
      </c>
      <c r="I20785">
        <v>21570237</v>
      </c>
      <c r="J20785">
        <v>3</v>
      </c>
    </row>
    <row r="20786" spans="1:10" x14ac:dyDescent="0.25">
      <c r="A20786" t="s">
        <v>230</v>
      </c>
      <c r="B20786" s="1" t="str">
        <f>HYPERLINK("http://airliquide.ph","airliquide.ph")</f>
        <v>airliquide.ph</v>
      </c>
      <c r="C20786" t="s">
        <v>484</v>
      </c>
      <c r="D20786" t="s">
        <v>858</v>
      </c>
      <c r="F20786">
        <v>5.8686522347207601E-9</v>
      </c>
      <c r="G20786">
        <v>17577389</v>
      </c>
      <c r="H20786">
        <v>12283793</v>
      </c>
      <c r="I20786">
        <v>21235005</v>
      </c>
      <c r="J20786">
        <v>2</v>
      </c>
    </row>
    <row r="20787" spans="1:10" x14ac:dyDescent="0.25">
      <c r="A20787" t="s">
        <v>230</v>
      </c>
      <c r="B20787" s="1" t="str">
        <f>HYPERLINK("http://lurgi.pl","lurgi.pl")</f>
        <v>lurgi.pl</v>
      </c>
      <c r="C20787" t="s">
        <v>486</v>
      </c>
      <c r="D20787" t="s">
        <v>860</v>
      </c>
      <c r="F20787">
        <v>4.60803149076185E-9</v>
      </c>
      <c r="G20787">
        <v>47009625</v>
      </c>
      <c r="H20787">
        <v>1.0003663</v>
      </c>
      <c r="I20787">
        <v>79719113</v>
      </c>
      <c r="J20787">
        <v>3</v>
      </c>
    </row>
    <row r="20788" spans="1:10" x14ac:dyDescent="0.25">
      <c r="A20788" t="s">
        <v>230</v>
      </c>
      <c r="B20788" s="1" t="str">
        <f>HYPERLINK("http://airliquide.pt","airliquide.pt")</f>
        <v>airliquide.pt</v>
      </c>
      <c r="C20788" t="s">
        <v>488</v>
      </c>
      <c r="D20788" t="s">
        <v>862</v>
      </c>
      <c r="F20788">
        <v>1.46033407070613E-8</v>
      </c>
      <c r="G20788">
        <v>3975795</v>
      </c>
      <c r="H20788">
        <v>12329503</v>
      </c>
      <c r="I20788">
        <v>20218792</v>
      </c>
      <c r="J20788">
        <v>2</v>
      </c>
    </row>
    <row r="20789" spans="1:10" x14ac:dyDescent="0.25">
      <c r="A20789" t="s">
        <v>230</v>
      </c>
      <c r="B20789" s="1" t="str">
        <f>HYPERLINK("http://vitalaire.pt","vitalaire.pt")</f>
        <v>vitalaire.pt</v>
      </c>
      <c r="C20789" t="s">
        <v>488</v>
      </c>
      <c r="D20789" t="s">
        <v>862</v>
      </c>
      <c r="F20789">
        <v>1.15365863829295E-8</v>
      </c>
      <c r="G20789">
        <v>5478048</v>
      </c>
      <c r="H20789">
        <v>12258590</v>
      </c>
      <c r="I20789">
        <v>21803540</v>
      </c>
      <c r="J20789">
        <v>4</v>
      </c>
    </row>
    <row r="20790" spans="1:10" x14ac:dyDescent="0.25">
      <c r="A20790" t="s">
        <v>230</v>
      </c>
      <c r="B20790" s="1" t="str">
        <f>HYPERLINK("http://airliquide.ro","airliquide.ro")</f>
        <v>airliquide.ro</v>
      </c>
      <c r="C20790" t="s">
        <v>491</v>
      </c>
      <c r="D20790" t="s">
        <v>865</v>
      </c>
      <c r="F20790">
        <v>5.4168923582367802E-9</v>
      </c>
      <c r="G20790">
        <v>21899312</v>
      </c>
      <c r="H20790">
        <v>14071789</v>
      </c>
      <c r="I20790">
        <v>3692831</v>
      </c>
      <c r="J20790">
        <v>2</v>
      </c>
    </row>
    <row r="20791" spans="1:10" x14ac:dyDescent="0.25">
      <c r="A20791" t="s">
        <v>230</v>
      </c>
      <c r="B20791" s="1" t="str">
        <f>HYPERLINK("http://airliquide.ru","airliquide.ru")</f>
        <v>airliquide.ru</v>
      </c>
      <c r="C20791" t="s">
        <v>493</v>
      </c>
      <c r="D20791" t="s">
        <v>867</v>
      </c>
      <c r="F20791">
        <v>1.11038556689586E-8</v>
      </c>
      <c r="G20791">
        <v>5782536</v>
      </c>
      <c r="H20791">
        <v>12916670</v>
      </c>
      <c r="I20791">
        <v>13512174</v>
      </c>
      <c r="J20791">
        <v>2</v>
      </c>
    </row>
    <row r="20792" spans="1:10" x14ac:dyDescent="0.25">
      <c r="A20792" t="s">
        <v>230</v>
      </c>
      <c r="B20792" s="1" t="str">
        <f>HYPERLINK("http://vitalaire.com.sa","vitalaire.com.sa")</f>
        <v>vitalaire.com.sa</v>
      </c>
      <c r="C20792" t="s">
        <v>494</v>
      </c>
      <c r="D20792" t="s">
        <v>868</v>
      </c>
      <c r="F20792">
        <v>9.8009225239650003E-9</v>
      </c>
      <c r="G20792">
        <v>6967875</v>
      </c>
      <c r="H20792">
        <v>12893121</v>
      </c>
      <c r="I20792">
        <v>13918047</v>
      </c>
      <c r="J20792">
        <v>4</v>
      </c>
    </row>
    <row r="20793" spans="1:10" x14ac:dyDescent="0.25">
      <c r="A20793" t="s">
        <v>230</v>
      </c>
      <c r="B20793" s="1" t="str">
        <f>HYPERLINK("http://airliquide.se","airliquide.se")</f>
        <v>airliquide.se</v>
      </c>
      <c r="C20793" t="s">
        <v>495</v>
      </c>
      <c r="D20793" t="s">
        <v>869</v>
      </c>
      <c r="F20793">
        <v>2.4939384822077099E-8</v>
      </c>
      <c r="G20793">
        <v>2072668</v>
      </c>
      <c r="H20793">
        <v>14076954</v>
      </c>
      <c r="I20793">
        <v>2875700</v>
      </c>
      <c r="J20793">
        <v>2</v>
      </c>
    </row>
    <row r="20794" spans="1:10" x14ac:dyDescent="0.25">
      <c r="A20794" t="s">
        <v>230</v>
      </c>
      <c r="B20794" s="1" t="str">
        <f>HYPERLINK("http://fordonsgas.se","fordonsgas.se")</f>
        <v>fordonsgas.se</v>
      </c>
      <c r="C20794" t="s">
        <v>495</v>
      </c>
      <c r="D20794" t="s">
        <v>869</v>
      </c>
      <c r="F20794">
        <v>2.3968320021012501E-8</v>
      </c>
      <c r="G20794">
        <v>2166043</v>
      </c>
      <c r="H20794">
        <v>14146777</v>
      </c>
      <c r="I20794">
        <v>1893371</v>
      </c>
      <c r="J20794">
        <v>3</v>
      </c>
    </row>
    <row r="20795" spans="1:10" x14ac:dyDescent="0.25">
      <c r="A20795" t="s">
        <v>230</v>
      </c>
      <c r="B20795" s="1" t="str">
        <f>HYPERLINK("http://lidkopingbiogas.se","lidkopingbiogas.se")</f>
        <v>lidkopingbiogas.se</v>
      </c>
      <c r="C20795" t="s">
        <v>495</v>
      </c>
      <c r="D20795" t="s">
        <v>869</v>
      </c>
      <c r="F20795">
        <v>4.9984751532036899E-9</v>
      </c>
      <c r="G20795">
        <v>29448567</v>
      </c>
      <c r="H20795">
        <v>13933642</v>
      </c>
      <c r="I20795">
        <v>4694770</v>
      </c>
      <c r="J20795">
        <v>3</v>
      </c>
    </row>
    <row r="20796" spans="1:10" x14ac:dyDescent="0.25">
      <c r="A20796" t="s">
        <v>230</v>
      </c>
      <c r="B20796" s="1" t="str">
        <f>HYPERLINK("http://makingdiabeteseasier.se","makingdiabeteseasier.se")</f>
        <v>makingdiabeteseasier.se</v>
      </c>
      <c r="C20796" t="s">
        <v>495</v>
      </c>
      <c r="D20796" t="s">
        <v>869</v>
      </c>
      <c r="J20796">
        <v>3</v>
      </c>
    </row>
    <row r="20797" spans="1:10" x14ac:dyDescent="0.25">
      <c r="A20797" t="s">
        <v>230</v>
      </c>
      <c r="B20797" s="1" t="str">
        <f>HYPERLINK("http://airliquide.sg","airliquide.sg")</f>
        <v>airliquide.sg</v>
      </c>
      <c r="C20797" t="s">
        <v>496</v>
      </c>
      <c r="D20797" t="s">
        <v>870</v>
      </c>
      <c r="F20797">
        <v>7.1585127196383902E-9</v>
      </c>
      <c r="G20797">
        <v>11854215</v>
      </c>
      <c r="H20797">
        <v>12198181</v>
      </c>
      <c r="I20797">
        <v>23367670</v>
      </c>
      <c r="J20797">
        <v>2</v>
      </c>
    </row>
    <row r="20798" spans="1:10" x14ac:dyDescent="0.25">
      <c r="A20798" t="s">
        <v>230</v>
      </c>
      <c r="B20798" s="1" t="str">
        <f>HYPERLINK("http://vitalaire.com.tn","vitalaire.com.tn")</f>
        <v>vitalaire.com.tn</v>
      </c>
      <c r="C20798" t="s">
        <v>501</v>
      </c>
      <c r="D20798" t="s">
        <v>875</v>
      </c>
      <c r="F20798">
        <v>5.2195300743928098E-9</v>
      </c>
      <c r="G20798">
        <v>24754022</v>
      </c>
      <c r="H20798">
        <v>10405105</v>
      </c>
      <c r="I20798">
        <v>54174280</v>
      </c>
      <c r="J20798">
        <v>4</v>
      </c>
    </row>
    <row r="20799" spans="1:10" x14ac:dyDescent="0.25">
      <c r="A20799" t="s">
        <v>230</v>
      </c>
      <c r="B20799" s="1" t="str">
        <f>HYPERLINK("http://airliquide.com.tr","airliquide.com.tr")</f>
        <v>airliquide.com.tr</v>
      </c>
      <c r="C20799" t="s">
        <v>502</v>
      </c>
      <c r="D20799" t="s">
        <v>876</v>
      </c>
      <c r="F20799">
        <v>6.32237070431515E-9</v>
      </c>
      <c r="G20799">
        <v>14926257</v>
      </c>
      <c r="H20799">
        <v>12199072</v>
      </c>
      <c r="I20799">
        <v>23340205</v>
      </c>
      <c r="J20799">
        <v>2</v>
      </c>
    </row>
    <row r="20800" spans="1:10" x14ac:dyDescent="0.25">
      <c r="A20800" t="s">
        <v>230</v>
      </c>
      <c r="B20800" s="1" t="str">
        <f>HYPERLINK("http://airliquide.tw","airliquide.tw")</f>
        <v>airliquide.tw</v>
      </c>
      <c r="C20800" t="s">
        <v>504</v>
      </c>
      <c r="D20800" t="s">
        <v>878</v>
      </c>
      <c r="F20800">
        <v>4.4716902315286797E-9</v>
      </c>
      <c r="G20800">
        <v>64162646</v>
      </c>
      <c r="H20800">
        <v>9633333</v>
      </c>
      <c r="I20800">
        <v>64051753</v>
      </c>
      <c r="J20800">
        <v>2</v>
      </c>
    </row>
    <row r="20801" spans="1:10" x14ac:dyDescent="0.25">
      <c r="A20801" t="s">
        <v>230</v>
      </c>
      <c r="B20801" s="1" t="str">
        <f>HYPERLINK("http://airliquide.co.uk","airliquide.co.uk")</f>
        <v>airliquide.co.uk</v>
      </c>
      <c r="C20801" t="s">
        <v>506</v>
      </c>
      <c r="D20801" t="s">
        <v>880</v>
      </c>
      <c r="F20801">
        <v>1.3810550791843699E-8</v>
      </c>
      <c r="G20801">
        <v>4277131</v>
      </c>
      <c r="H20801">
        <v>12891102</v>
      </c>
      <c r="I20801">
        <v>13932007</v>
      </c>
      <c r="J20801">
        <v>2</v>
      </c>
    </row>
    <row r="20802" spans="1:10" x14ac:dyDescent="0.25">
      <c r="A20802" t="s">
        <v>230</v>
      </c>
      <c r="B20802" s="1" t="str">
        <f>HYPERLINK("http://energas.co.uk","energas.co.uk")</f>
        <v>energas.co.uk</v>
      </c>
      <c r="C20802" t="s">
        <v>506</v>
      </c>
      <c r="D20802" t="s">
        <v>880</v>
      </c>
      <c r="F20802">
        <v>7.1958100597481897E-9</v>
      </c>
      <c r="G20802">
        <v>11755768</v>
      </c>
      <c r="H20802">
        <v>12385947</v>
      </c>
      <c r="I20802">
        <v>19109296</v>
      </c>
      <c r="J20802">
        <v>4</v>
      </c>
    </row>
    <row r="20803" spans="1:10" x14ac:dyDescent="0.25">
      <c r="A20803" t="s">
        <v>230</v>
      </c>
      <c r="B20803" s="1" t="str">
        <f>HYPERLINK("http://makingdiabeteseasier.uk","makingdiabeteseasier.uk")</f>
        <v>makingdiabeteseasier.uk</v>
      </c>
      <c r="C20803" t="s">
        <v>506</v>
      </c>
      <c r="D20803" t="s">
        <v>880</v>
      </c>
      <c r="J20803">
        <v>3</v>
      </c>
    </row>
    <row r="20804" spans="1:10" x14ac:dyDescent="0.25">
      <c r="A20804" t="s">
        <v>230</v>
      </c>
      <c r="B20804" s="1" t="str">
        <f>HYPERLINK("http://red-d-arc.uk","red-d-arc.uk")</f>
        <v>red-d-arc.uk</v>
      </c>
      <c r="C20804" t="s">
        <v>506</v>
      </c>
      <c r="D20804" t="s">
        <v>880</v>
      </c>
      <c r="F20804">
        <v>5.0490240651494503E-9</v>
      </c>
      <c r="G20804">
        <v>28240271</v>
      </c>
      <c r="H20804">
        <v>11182721</v>
      </c>
      <c r="I20804">
        <v>31412033</v>
      </c>
      <c r="J20804">
        <v>4</v>
      </c>
    </row>
    <row r="20805" spans="1:10" x14ac:dyDescent="0.25">
      <c r="A20805" t="s">
        <v>230</v>
      </c>
      <c r="B20805" s="1" t="str">
        <f>HYPERLINK("http://airliquide.us","airliquide.us")</f>
        <v>airliquide.us</v>
      </c>
      <c r="C20805" t="s">
        <v>522</v>
      </c>
      <c r="D20805" t="s">
        <v>891</v>
      </c>
      <c r="F20805">
        <v>3.2646911632849499E-8</v>
      </c>
      <c r="G20805">
        <v>1582775</v>
      </c>
      <c r="H20805">
        <v>13485283</v>
      </c>
      <c r="I20805">
        <v>9996483</v>
      </c>
      <c r="J20805">
        <v>2</v>
      </c>
    </row>
    <row r="20806" spans="1:10" x14ac:dyDescent="0.25">
      <c r="A20806" t="s">
        <v>230</v>
      </c>
      <c r="B20806" s="1" t="str">
        <f>HYPERLINK("http://airliquide.co.za","airliquide.co.za")</f>
        <v>airliquide.co.za</v>
      </c>
      <c r="C20806" t="s">
        <v>510</v>
      </c>
      <c r="D20806" t="s">
        <v>884</v>
      </c>
      <c r="F20806">
        <v>4.7725333598191998E-9</v>
      </c>
      <c r="G20806">
        <v>37269405</v>
      </c>
      <c r="H20806">
        <v>12362853</v>
      </c>
      <c r="I20806">
        <v>19533034</v>
      </c>
      <c r="J20806">
        <v>2</v>
      </c>
    </row>
    <row r="20807" spans="1:10" x14ac:dyDescent="0.25">
      <c r="A20807" t="s">
        <v>231</v>
      </c>
      <c r="B20807" s="1" t="str">
        <f>HYPERLINK("http://itcosmetics.ae","itcosmetics.ae")</f>
        <v>itcosmetics.ae</v>
      </c>
      <c r="C20807" t="s">
        <v>417</v>
      </c>
      <c r="D20807" t="s">
        <v>799</v>
      </c>
      <c r="F20807">
        <v>5.2744275038940499E-9</v>
      </c>
      <c r="G20807">
        <v>23887376</v>
      </c>
      <c r="H20807">
        <v>9486246</v>
      </c>
      <c r="I20807">
        <v>65923017</v>
      </c>
      <c r="J20807">
        <v>4</v>
      </c>
    </row>
    <row r="20808" spans="1:10" x14ac:dyDescent="0.25">
      <c r="A20808" t="s">
        <v>231</v>
      </c>
      <c r="B20808" s="1" t="str">
        <f>HYPERLINK("http://kiehls.ae","kiehls.ae")</f>
        <v>kiehls.ae</v>
      </c>
      <c r="C20808" t="s">
        <v>417</v>
      </c>
      <c r="D20808" t="s">
        <v>799</v>
      </c>
      <c r="F20808">
        <v>2.1833579990105299E-8</v>
      </c>
      <c r="G20808">
        <v>2405810</v>
      </c>
      <c r="H20808">
        <v>12315025</v>
      </c>
      <c r="I20808">
        <v>20514861</v>
      </c>
      <c r="J20808">
        <v>5</v>
      </c>
    </row>
    <row r="20809" spans="1:10" x14ac:dyDescent="0.25">
      <c r="A20809" t="s">
        <v>231</v>
      </c>
      <c r="B20809" s="1" t="str">
        <f>HYPERLINK("http://cerave.com.ar","cerave.com.ar")</f>
        <v>cerave.com.ar</v>
      </c>
      <c r="C20809" t="s">
        <v>418</v>
      </c>
      <c r="D20809" t="s">
        <v>800</v>
      </c>
      <c r="F20809">
        <v>1.44550104691411E-8</v>
      </c>
      <c r="G20809">
        <v>4038205</v>
      </c>
      <c r="H20809">
        <v>12471347</v>
      </c>
      <c r="I20809">
        <v>17734700</v>
      </c>
      <c r="J20809">
        <v>3</v>
      </c>
    </row>
    <row r="20810" spans="1:10" x14ac:dyDescent="0.25">
      <c r="A20810" t="s">
        <v>231</v>
      </c>
      <c r="B20810" s="1" t="str">
        <f>HYPERLINK("http://kerastase.com.ar","kerastase.com.ar")</f>
        <v>kerastase.com.ar</v>
      </c>
      <c r="C20810" t="s">
        <v>418</v>
      </c>
      <c r="D20810" t="s">
        <v>800</v>
      </c>
      <c r="F20810">
        <v>1.4354172193259999E-8</v>
      </c>
      <c r="G20810">
        <v>4072954</v>
      </c>
      <c r="H20810">
        <v>12900826</v>
      </c>
      <c r="I20810">
        <v>13863914</v>
      </c>
      <c r="J20810">
        <v>4</v>
      </c>
    </row>
    <row r="20811" spans="1:10" x14ac:dyDescent="0.25">
      <c r="A20811" t="s">
        <v>231</v>
      </c>
      <c r="B20811" s="1" t="str">
        <f>HYPERLINK("http://kiehls.com.ar","kiehls.com.ar")</f>
        <v>kiehls.com.ar</v>
      </c>
      <c r="C20811" t="s">
        <v>418</v>
      </c>
      <c r="D20811" t="s">
        <v>800</v>
      </c>
      <c r="E20811">
        <v>380534</v>
      </c>
      <c r="F20811">
        <v>5.4923134767030399E-9</v>
      </c>
      <c r="G20811">
        <v>20986614</v>
      </c>
      <c r="H20811">
        <v>13253079</v>
      </c>
      <c r="I20811">
        <v>11068687</v>
      </c>
      <c r="J20811">
        <v>5</v>
      </c>
    </row>
    <row r="20812" spans="1:10" x14ac:dyDescent="0.25">
      <c r="A20812" t="s">
        <v>231</v>
      </c>
      <c r="B20812" s="1" t="str">
        <f>HYPERLINK("http://lancome.com.ar","lancome.com.ar")</f>
        <v>lancome.com.ar</v>
      </c>
      <c r="C20812" t="s">
        <v>418</v>
      </c>
      <c r="D20812" t="s">
        <v>800</v>
      </c>
      <c r="F20812">
        <v>1.7387480430411199E-8</v>
      </c>
      <c r="G20812">
        <v>3178052</v>
      </c>
      <c r="H20812">
        <v>13772915</v>
      </c>
      <c r="I20812">
        <v>6645354</v>
      </c>
      <c r="J20812">
        <v>4</v>
      </c>
    </row>
    <row r="20813" spans="1:10" x14ac:dyDescent="0.25">
      <c r="A20813" t="s">
        <v>231</v>
      </c>
      <c r="B20813" s="1" t="str">
        <f>HYPERLINK("http://laroche-posay.com.ar","laroche-posay.com.ar")</f>
        <v>laroche-posay.com.ar</v>
      </c>
      <c r="C20813" t="s">
        <v>418</v>
      </c>
      <c r="D20813" t="s">
        <v>800</v>
      </c>
      <c r="F20813">
        <v>2.6328740564368901E-8</v>
      </c>
      <c r="G20813">
        <v>1955785</v>
      </c>
      <c r="H20813">
        <v>13805358</v>
      </c>
      <c r="I20813">
        <v>6238340</v>
      </c>
      <c r="J20813">
        <v>4</v>
      </c>
    </row>
    <row r="20814" spans="1:10" x14ac:dyDescent="0.25">
      <c r="A20814" t="s">
        <v>231</v>
      </c>
      <c r="B20814" s="1" t="str">
        <f>HYPERLINK("http://loreal.com.ar","loreal.com.ar")</f>
        <v>loreal.com.ar</v>
      </c>
      <c r="C20814" t="s">
        <v>418</v>
      </c>
      <c r="D20814" t="s">
        <v>800</v>
      </c>
      <c r="F20814">
        <v>2.76107030766073E-8</v>
      </c>
      <c r="G20814">
        <v>1862140</v>
      </c>
      <c r="H20814">
        <v>13947918</v>
      </c>
      <c r="I20814">
        <v>4202062</v>
      </c>
      <c r="J20814">
        <v>3</v>
      </c>
    </row>
    <row r="20815" spans="1:10" x14ac:dyDescent="0.25">
      <c r="A20815" t="s">
        <v>231</v>
      </c>
      <c r="B20815" s="1" t="str">
        <f>HYPERLINK("http://lorealparis.com.ar","lorealparis.com.ar")</f>
        <v>lorealparis.com.ar</v>
      </c>
      <c r="C20815" t="s">
        <v>418</v>
      </c>
      <c r="D20815" t="s">
        <v>800</v>
      </c>
      <c r="F20815">
        <v>2.3668459265782701E-8</v>
      </c>
      <c r="G20815">
        <v>2196726</v>
      </c>
      <c r="H20815">
        <v>13775981</v>
      </c>
      <c r="I20815">
        <v>6565355</v>
      </c>
      <c r="J20815">
        <v>5</v>
      </c>
    </row>
    <row r="20816" spans="1:10" x14ac:dyDescent="0.25">
      <c r="A20816" t="s">
        <v>231</v>
      </c>
      <c r="B20816" s="1" t="str">
        <f>HYPERLINK("http://lorealprofessionnel.com.ar","lorealprofessionnel.com.ar")</f>
        <v>lorealprofessionnel.com.ar</v>
      </c>
      <c r="C20816" t="s">
        <v>418</v>
      </c>
      <c r="D20816" t="s">
        <v>800</v>
      </c>
      <c r="F20816">
        <v>1.5797306203395299E-8</v>
      </c>
      <c r="G20816">
        <v>3600255</v>
      </c>
      <c r="H20816">
        <v>12995144</v>
      </c>
      <c r="I20816">
        <v>12824120</v>
      </c>
      <c r="J20816">
        <v>5</v>
      </c>
    </row>
    <row r="20817" spans="1:10" x14ac:dyDescent="0.25">
      <c r="A20817" t="s">
        <v>231</v>
      </c>
      <c r="B20817" s="1" t="str">
        <f>HYPERLINK("http://maybelline.com.ar","maybelline.com.ar")</f>
        <v>maybelline.com.ar</v>
      </c>
      <c r="C20817" t="s">
        <v>418</v>
      </c>
      <c r="D20817" t="s">
        <v>800</v>
      </c>
      <c r="F20817">
        <v>3.6525422571135298E-8</v>
      </c>
      <c r="G20817">
        <v>1429702</v>
      </c>
      <c r="H20817">
        <v>13395085</v>
      </c>
      <c r="I20817">
        <v>10379523</v>
      </c>
      <c r="J20817">
        <v>5</v>
      </c>
    </row>
    <row r="20818" spans="1:10" x14ac:dyDescent="0.25">
      <c r="A20818" t="s">
        <v>231</v>
      </c>
      <c r="B20818" s="1" t="str">
        <f>HYPERLINK("http://armani-beauty.at","armani-beauty.at")</f>
        <v>armani-beauty.at</v>
      </c>
      <c r="C20818" t="s">
        <v>419</v>
      </c>
      <c r="D20818" t="s">
        <v>801</v>
      </c>
      <c r="F20818">
        <v>1.0372397953149899E-8</v>
      </c>
      <c r="G20818">
        <v>6384010</v>
      </c>
      <c r="H20818">
        <v>11027049</v>
      </c>
      <c r="I20818">
        <v>33150676</v>
      </c>
      <c r="J20818">
        <v>4</v>
      </c>
    </row>
    <row r="20819" spans="1:10" x14ac:dyDescent="0.25">
      <c r="A20819" t="s">
        <v>231</v>
      </c>
      <c r="B20819" s="1" t="str">
        <f>HYPERLINK("http://helenarubinstein.at","helenarubinstein.at")</f>
        <v>helenarubinstein.at</v>
      </c>
      <c r="C20819" t="s">
        <v>419</v>
      </c>
      <c r="D20819" t="s">
        <v>801</v>
      </c>
      <c r="F20819">
        <v>7.9021962902380594E-9</v>
      </c>
      <c r="G20819">
        <v>10107200</v>
      </c>
      <c r="H20819">
        <v>10760013</v>
      </c>
      <c r="I20819">
        <v>39605352</v>
      </c>
      <c r="J20819">
        <v>4</v>
      </c>
    </row>
    <row r="20820" spans="1:10" x14ac:dyDescent="0.25">
      <c r="A20820" t="s">
        <v>231</v>
      </c>
      <c r="B20820" s="1" t="str">
        <f>HYPERLINK("http://kiehls.at","kiehls.at")</f>
        <v>kiehls.at</v>
      </c>
      <c r="C20820" t="s">
        <v>419</v>
      </c>
      <c r="D20820" t="s">
        <v>801</v>
      </c>
      <c r="F20820">
        <v>1.5923585981358401E-8</v>
      </c>
      <c r="G20820">
        <v>3566394</v>
      </c>
      <c r="H20820">
        <v>13771516</v>
      </c>
      <c r="I20820">
        <v>6690658</v>
      </c>
      <c r="J20820">
        <v>5</v>
      </c>
    </row>
    <row r="20821" spans="1:10" x14ac:dyDescent="0.25">
      <c r="A20821" t="s">
        <v>231</v>
      </c>
      <c r="B20821" s="1" t="str">
        <f>HYPERLINK("http://loreal.at","loreal.at")</f>
        <v>loreal.at</v>
      </c>
      <c r="C20821" t="s">
        <v>419</v>
      </c>
      <c r="D20821" t="s">
        <v>801</v>
      </c>
      <c r="F20821">
        <v>2.8140903201729502E-8</v>
      </c>
      <c r="G20821">
        <v>1828537</v>
      </c>
      <c r="H20821">
        <v>12898046</v>
      </c>
      <c r="I20821">
        <v>13889149</v>
      </c>
      <c r="J20821">
        <v>3</v>
      </c>
    </row>
    <row r="20822" spans="1:10" x14ac:dyDescent="0.25">
      <c r="A20822" t="s">
        <v>231</v>
      </c>
      <c r="B20822" s="1" t="str">
        <f>HYPERLINK("http://valentino-beauty.at","valentino-beauty.at")</f>
        <v>valentino-beauty.at</v>
      </c>
      <c r="C20822" t="s">
        <v>419</v>
      </c>
      <c r="D20822" t="s">
        <v>801</v>
      </c>
      <c r="F20822">
        <v>2.65490875830975E-8</v>
      </c>
      <c r="G20822">
        <v>1939072</v>
      </c>
      <c r="H20822">
        <v>12397423</v>
      </c>
      <c r="I20822">
        <v>18890313</v>
      </c>
      <c r="J20822">
        <v>4</v>
      </c>
    </row>
    <row r="20823" spans="1:10" x14ac:dyDescent="0.25">
      <c r="A20823" t="s">
        <v>231</v>
      </c>
      <c r="B20823" s="1" t="str">
        <f>HYPERLINK("http://yslbeauty.at","yslbeauty.at")</f>
        <v>yslbeauty.at</v>
      </c>
      <c r="C20823" t="s">
        <v>419</v>
      </c>
      <c r="D20823" t="s">
        <v>801</v>
      </c>
      <c r="F20823">
        <v>5.9161440265761296E-9</v>
      </c>
      <c r="G20823">
        <v>17247056</v>
      </c>
      <c r="H20823">
        <v>10572702</v>
      </c>
      <c r="I20823">
        <v>46005994</v>
      </c>
      <c r="J20823">
        <v>5</v>
      </c>
    </row>
    <row r="20824" spans="1:10" x14ac:dyDescent="0.25">
      <c r="A20824" t="s">
        <v>231</v>
      </c>
      <c r="B20824" s="1" t="str">
        <f>HYPERLINK("http://cerave.com.au","cerave.com.au")</f>
        <v>cerave.com.au</v>
      </c>
      <c r="C20824" t="s">
        <v>420</v>
      </c>
      <c r="D20824" t="s">
        <v>802</v>
      </c>
      <c r="F20824">
        <v>2.00865828864861E-8</v>
      </c>
      <c r="G20824">
        <v>2646209</v>
      </c>
      <c r="H20824">
        <v>12738584</v>
      </c>
      <c r="I20824">
        <v>15151203</v>
      </c>
      <c r="J20824">
        <v>3</v>
      </c>
    </row>
    <row r="20825" spans="1:10" x14ac:dyDescent="0.25">
      <c r="A20825" t="s">
        <v>231</v>
      </c>
      <c r="B20825" s="1" t="str">
        <f>HYPERLINK("http://kerastase.com.au","kerastase.com.au")</f>
        <v>kerastase.com.au</v>
      </c>
      <c r="C20825" t="s">
        <v>420</v>
      </c>
      <c r="D20825" t="s">
        <v>802</v>
      </c>
      <c r="F20825">
        <v>1.8467670115729901E-8</v>
      </c>
      <c r="G20825">
        <v>2931837</v>
      </c>
      <c r="H20825">
        <v>13768722</v>
      </c>
      <c r="I20825">
        <v>6859984</v>
      </c>
      <c r="J20825">
        <v>4</v>
      </c>
    </row>
    <row r="20826" spans="1:10" x14ac:dyDescent="0.25">
      <c r="A20826" t="s">
        <v>231</v>
      </c>
      <c r="B20826" s="1" t="str">
        <f>HYPERLINK("http://kiehls.com.au","kiehls.com.au")</f>
        <v>kiehls.com.au</v>
      </c>
      <c r="C20826" t="s">
        <v>420</v>
      </c>
      <c r="D20826" t="s">
        <v>802</v>
      </c>
      <c r="E20826">
        <v>725677</v>
      </c>
      <c r="F20826">
        <v>4.4761591706479099E-8</v>
      </c>
      <c r="G20826">
        <v>1056798</v>
      </c>
      <c r="H20826">
        <v>14155332</v>
      </c>
      <c r="I20826">
        <v>1860021</v>
      </c>
      <c r="J20826">
        <v>5</v>
      </c>
    </row>
    <row r="20827" spans="1:10" x14ac:dyDescent="0.25">
      <c r="A20827" t="s">
        <v>231</v>
      </c>
      <c r="B20827" s="1" t="str">
        <f>HYPERLINK("http://laroche-posay.com.au","laroche-posay.com.au")</f>
        <v>laroche-posay.com.au</v>
      </c>
      <c r="C20827" t="s">
        <v>420</v>
      </c>
      <c r="D20827" t="s">
        <v>802</v>
      </c>
      <c r="E20827">
        <v>772220</v>
      </c>
      <c r="F20827">
        <v>6.1237220798309294E-8</v>
      </c>
      <c r="G20827">
        <v>719123</v>
      </c>
      <c r="H20827">
        <v>14530076</v>
      </c>
      <c r="I20827">
        <v>787520</v>
      </c>
      <c r="J20827">
        <v>4</v>
      </c>
    </row>
    <row r="20828" spans="1:10" x14ac:dyDescent="0.25">
      <c r="A20828" t="s">
        <v>231</v>
      </c>
      <c r="B20828" s="1" t="str">
        <f>HYPERLINK("http://lorealprofessionnel.com.au","lorealprofessionnel.com.au")</f>
        <v>lorealprofessionnel.com.au</v>
      </c>
      <c r="C20828" t="s">
        <v>420</v>
      </c>
      <c r="D20828" t="s">
        <v>802</v>
      </c>
      <c r="F20828">
        <v>2.1312803659416199E-8</v>
      </c>
      <c r="G20828">
        <v>2472580</v>
      </c>
      <c r="H20828">
        <v>12450535</v>
      </c>
      <c r="I20828">
        <v>17989702</v>
      </c>
      <c r="J20828">
        <v>5</v>
      </c>
    </row>
    <row r="20829" spans="1:10" x14ac:dyDescent="0.25">
      <c r="A20829" t="s">
        <v>231</v>
      </c>
      <c r="B20829" s="1" t="str">
        <f>HYPERLINK("http://maybelline.com.au","maybelline.com.au")</f>
        <v>maybelline.com.au</v>
      </c>
      <c r="C20829" t="s">
        <v>420</v>
      </c>
      <c r="D20829" t="s">
        <v>802</v>
      </c>
      <c r="E20829">
        <v>932727</v>
      </c>
      <c r="F20829">
        <v>4.2350973102169797E-8</v>
      </c>
      <c r="G20829">
        <v>1147412</v>
      </c>
      <c r="H20829">
        <v>14134588</v>
      </c>
      <c r="I20829">
        <v>1977417</v>
      </c>
      <c r="J20829">
        <v>5</v>
      </c>
    </row>
    <row r="20830" spans="1:10" x14ac:dyDescent="0.25">
      <c r="A20830" t="s">
        <v>231</v>
      </c>
      <c r="B20830" s="1" t="str">
        <f>HYPERLINK("http://nyxcosmetics.com.au","nyxcosmetics.com.au")</f>
        <v>nyxcosmetics.com.au</v>
      </c>
      <c r="C20830" t="s">
        <v>420</v>
      </c>
      <c r="D20830" t="s">
        <v>802</v>
      </c>
      <c r="F20830">
        <v>1.6989195878688799E-8</v>
      </c>
      <c r="G20830">
        <v>3285747</v>
      </c>
      <c r="H20830">
        <v>12545485</v>
      </c>
      <c r="I20830">
        <v>16867086</v>
      </c>
      <c r="J20830">
        <v>5</v>
      </c>
    </row>
    <row r="20831" spans="1:10" x14ac:dyDescent="0.25">
      <c r="A20831" t="s">
        <v>231</v>
      </c>
      <c r="B20831" s="1" t="str">
        <f>HYPERLINK("http://skinceuticals.com.au","skinceuticals.com.au")</f>
        <v>skinceuticals.com.au</v>
      </c>
      <c r="C20831" t="s">
        <v>420</v>
      </c>
      <c r="D20831" t="s">
        <v>802</v>
      </c>
      <c r="F20831">
        <v>6.2068223964960499E-8</v>
      </c>
      <c r="G20831">
        <v>708333</v>
      </c>
      <c r="H20831">
        <v>16751230</v>
      </c>
      <c r="I20831">
        <v>266769</v>
      </c>
      <c r="J20831">
        <v>4</v>
      </c>
    </row>
    <row r="20832" spans="1:10" x14ac:dyDescent="0.25">
      <c r="A20832" t="s">
        <v>231</v>
      </c>
      <c r="B20832" s="1" t="str">
        <f>HYPERLINK("http://armanibeauty.be","armanibeauty.be")</f>
        <v>armanibeauty.be</v>
      </c>
      <c r="C20832" t="s">
        <v>421</v>
      </c>
      <c r="D20832" t="s">
        <v>803</v>
      </c>
      <c r="F20832">
        <v>1.01442348341873E-8</v>
      </c>
      <c r="G20832">
        <v>6602408</v>
      </c>
      <c r="H20832">
        <v>11020825</v>
      </c>
      <c r="I20832">
        <v>33236621</v>
      </c>
      <c r="J20832">
        <v>4</v>
      </c>
    </row>
    <row r="20833" spans="1:10" x14ac:dyDescent="0.25">
      <c r="A20833" t="s">
        <v>231</v>
      </c>
      <c r="B20833" s="1" t="str">
        <f>HYPERLINK("http://cerave.be","cerave.be")</f>
        <v>cerave.be</v>
      </c>
      <c r="C20833" t="s">
        <v>421</v>
      </c>
      <c r="D20833" t="s">
        <v>803</v>
      </c>
      <c r="F20833">
        <v>1.5712512625379701E-8</v>
      </c>
      <c r="G20833">
        <v>3623867</v>
      </c>
      <c r="H20833">
        <v>12346745</v>
      </c>
      <c r="I20833">
        <v>19822224</v>
      </c>
      <c r="J20833">
        <v>3</v>
      </c>
    </row>
    <row r="20834" spans="1:10" x14ac:dyDescent="0.25">
      <c r="A20834" t="s">
        <v>231</v>
      </c>
      <c r="B20834" s="1" t="str">
        <f>HYPERLINK("http://helenarubinstein.be","helenarubinstein.be")</f>
        <v>helenarubinstein.be</v>
      </c>
      <c r="C20834" t="s">
        <v>421</v>
      </c>
      <c r="D20834" t="s">
        <v>803</v>
      </c>
      <c r="F20834">
        <v>7.8756517641828499E-9</v>
      </c>
      <c r="G20834">
        <v>10160605</v>
      </c>
      <c r="H20834">
        <v>10760007</v>
      </c>
      <c r="I20834">
        <v>39605545</v>
      </c>
      <c r="J20834">
        <v>4</v>
      </c>
    </row>
    <row r="20835" spans="1:10" x14ac:dyDescent="0.25">
      <c r="A20835" t="s">
        <v>231</v>
      </c>
      <c r="B20835" s="1" t="str">
        <f>HYPERLINK("http://kerastase.be","kerastase.be")</f>
        <v>kerastase.be</v>
      </c>
      <c r="C20835" t="s">
        <v>421</v>
      </c>
      <c r="D20835" t="s">
        <v>803</v>
      </c>
      <c r="F20835">
        <v>1.5198463305313099E-8</v>
      </c>
      <c r="G20835">
        <v>3776419</v>
      </c>
      <c r="H20835">
        <v>12148734</v>
      </c>
      <c r="I20835">
        <v>24653517</v>
      </c>
      <c r="J20835">
        <v>4</v>
      </c>
    </row>
    <row r="20836" spans="1:10" x14ac:dyDescent="0.25">
      <c r="A20836" t="s">
        <v>231</v>
      </c>
      <c r="B20836" s="1" t="str">
        <f>HYPERLINK("http://kiehls.be","kiehls.be")</f>
        <v>kiehls.be</v>
      </c>
      <c r="C20836" t="s">
        <v>421</v>
      </c>
      <c r="D20836" t="s">
        <v>803</v>
      </c>
      <c r="F20836">
        <v>2.0233303414005399E-8</v>
      </c>
      <c r="G20836">
        <v>2624222</v>
      </c>
      <c r="H20836">
        <v>13774775</v>
      </c>
      <c r="I20836">
        <v>6596790</v>
      </c>
      <c r="J20836">
        <v>5</v>
      </c>
    </row>
    <row r="20837" spans="1:10" x14ac:dyDescent="0.25">
      <c r="A20837" t="s">
        <v>231</v>
      </c>
      <c r="B20837" s="1" t="str">
        <f>HYPERLINK("http://lancome.be","lancome.be")</f>
        <v>lancome.be</v>
      </c>
      <c r="C20837" t="s">
        <v>421</v>
      </c>
      <c r="D20837" t="s">
        <v>803</v>
      </c>
      <c r="F20837">
        <v>5.2689030489963599E-9</v>
      </c>
      <c r="G20837">
        <v>23969254</v>
      </c>
      <c r="H20837">
        <v>13770765</v>
      </c>
      <c r="I20837">
        <v>6717122</v>
      </c>
      <c r="J20837">
        <v>4</v>
      </c>
    </row>
    <row r="20838" spans="1:10" x14ac:dyDescent="0.25">
      <c r="A20838" t="s">
        <v>231</v>
      </c>
      <c r="B20838" s="1" t="str">
        <f>HYPERLINK("http://laroche-posay.be","laroche-posay.be")</f>
        <v>laroche-posay.be</v>
      </c>
      <c r="C20838" t="s">
        <v>421</v>
      </c>
      <c r="D20838" t="s">
        <v>803</v>
      </c>
      <c r="F20838">
        <v>1.5560419647881498E-8</v>
      </c>
      <c r="G20838">
        <v>3667338</v>
      </c>
      <c r="H20838">
        <v>14127170</v>
      </c>
      <c r="I20838">
        <v>2087834</v>
      </c>
      <c r="J20838">
        <v>4</v>
      </c>
    </row>
    <row r="20839" spans="1:10" x14ac:dyDescent="0.25">
      <c r="A20839" t="s">
        <v>231</v>
      </c>
      <c r="B20839" s="1" t="str">
        <f>HYPERLINK("http://loreal.be","loreal.be")</f>
        <v>loreal.be</v>
      </c>
      <c r="C20839" t="s">
        <v>421</v>
      </c>
      <c r="D20839" t="s">
        <v>803</v>
      </c>
      <c r="F20839">
        <v>6.5161323788213104E-9</v>
      </c>
      <c r="G20839">
        <v>14011112</v>
      </c>
      <c r="H20839">
        <v>12214924</v>
      </c>
      <c r="I20839">
        <v>22905239</v>
      </c>
      <c r="J20839">
        <v>3</v>
      </c>
    </row>
    <row r="20840" spans="1:10" x14ac:dyDescent="0.25">
      <c r="A20840" t="s">
        <v>231</v>
      </c>
      <c r="B20840" s="1" t="str">
        <f>HYPERLINK("http://loreal-paris.be","loreal-paris.be")</f>
        <v>loreal-paris.be</v>
      </c>
      <c r="C20840" t="s">
        <v>421</v>
      </c>
      <c r="D20840" t="s">
        <v>803</v>
      </c>
      <c r="F20840">
        <v>2.4265194426276099E-8</v>
      </c>
      <c r="G20840">
        <v>2137088</v>
      </c>
      <c r="H20840">
        <v>14032270</v>
      </c>
      <c r="I20840">
        <v>3923777</v>
      </c>
      <c r="J20840">
        <v>5</v>
      </c>
    </row>
    <row r="20841" spans="1:10" x14ac:dyDescent="0.25">
      <c r="A20841" t="s">
        <v>231</v>
      </c>
      <c r="B20841" s="1" t="str">
        <f>HYPERLINK("http://lorealprofessionnel.be","lorealprofessionnel.be")</f>
        <v>lorealprofessionnel.be</v>
      </c>
      <c r="C20841" t="s">
        <v>421</v>
      </c>
      <c r="D20841" t="s">
        <v>803</v>
      </c>
      <c r="F20841">
        <v>3.7043663985388102E-8</v>
      </c>
      <c r="G20841">
        <v>1399759</v>
      </c>
      <c r="H20841">
        <v>14121489</v>
      </c>
      <c r="I20841">
        <v>2252110</v>
      </c>
      <c r="J20841">
        <v>5</v>
      </c>
    </row>
    <row r="20842" spans="1:10" x14ac:dyDescent="0.25">
      <c r="A20842" t="s">
        <v>231</v>
      </c>
      <c r="B20842" s="1" t="str">
        <f>HYPERLINK("http://maybelline.be","maybelline.be")</f>
        <v>maybelline.be</v>
      </c>
      <c r="C20842" t="s">
        <v>421</v>
      </c>
      <c r="D20842" t="s">
        <v>803</v>
      </c>
      <c r="F20842">
        <v>3.2346746220489297E-8</v>
      </c>
      <c r="G20842">
        <v>1597306</v>
      </c>
      <c r="H20842">
        <v>14122303</v>
      </c>
      <c r="I20842">
        <v>2218290</v>
      </c>
      <c r="J20842">
        <v>5</v>
      </c>
    </row>
    <row r="20843" spans="1:10" x14ac:dyDescent="0.25">
      <c r="A20843" t="s">
        <v>231</v>
      </c>
      <c r="B20843" s="1" t="str">
        <f>HYPERLINK("http://mugler.be","mugler.be")</f>
        <v>mugler.be</v>
      </c>
      <c r="C20843" t="s">
        <v>421</v>
      </c>
      <c r="D20843" t="s">
        <v>803</v>
      </c>
      <c r="F20843">
        <v>9.8091182969425998E-9</v>
      </c>
      <c r="G20843">
        <v>6959139</v>
      </c>
      <c r="H20843">
        <v>11047385</v>
      </c>
      <c r="I20843">
        <v>32830258</v>
      </c>
      <c r="J20843">
        <v>4</v>
      </c>
    </row>
    <row r="20844" spans="1:10" x14ac:dyDescent="0.25">
      <c r="A20844" t="s">
        <v>231</v>
      </c>
      <c r="B20844" s="1" t="str">
        <f>HYPERLINK("http://nyxcosmetics.be","nyxcosmetics.be")</f>
        <v>nyxcosmetics.be</v>
      </c>
      <c r="C20844" t="s">
        <v>421</v>
      </c>
      <c r="D20844" t="s">
        <v>803</v>
      </c>
      <c r="F20844">
        <v>2.1358206112006702E-8</v>
      </c>
      <c r="G20844">
        <v>2466895</v>
      </c>
      <c r="H20844">
        <v>14073085</v>
      </c>
      <c r="I20844">
        <v>3018799</v>
      </c>
      <c r="J20844">
        <v>5</v>
      </c>
    </row>
    <row r="20845" spans="1:10" x14ac:dyDescent="0.25">
      <c r="A20845" t="s">
        <v>231</v>
      </c>
      <c r="B20845" s="1" t="str">
        <f>HYPERLINK("http://skinceuticals.be","skinceuticals.be")</f>
        <v>skinceuticals.be</v>
      </c>
      <c r="C20845" t="s">
        <v>421</v>
      </c>
      <c r="D20845" t="s">
        <v>803</v>
      </c>
      <c r="F20845">
        <v>1.64453763863099E-8</v>
      </c>
      <c r="G20845">
        <v>3427529</v>
      </c>
      <c r="H20845">
        <v>11083723</v>
      </c>
      <c r="I20845">
        <v>32448381</v>
      </c>
      <c r="J20845">
        <v>4</v>
      </c>
    </row>
    <row r="20846" spans="1:10" x14ac:dyDescent="0.25">
      <c r="A20846" t="s">
        <v>231</v>
      </c>
      <c r="B20846" s="1" t="str">
        <f>HYPERLINK("http://valentino-beauty.be","valentino-beauty.be")</f>
        <v>valentino-beauty.be</v>
      </c>
      <c r="C20846" t="s">
        <v>421</v>
      </c>
      <c r="D20846" t="s">
        <v>803</v>
      </c>
      <c r="F20846">
        <v>2.6609396561230499E-8</v>
      </c>
      <c r="G20846">
        <v>1934540</v>
      </c>
      <c r="H20846">
        <v>12396730</v>
      </c>
      <c r="I20846">
        <v>18899472</v>
      </c>
      <c r="J20846">
        <v>4</v>
      </c>
    </row>
    <row r="20847" spans="1:10" x14ac:dyDescent="0.25">
      <c r="A20847" t="s">
        <v>231</v>
      </c>
      <c r="B20847" s="1" t="str">
        <f>HYPERLINK("http://vichy.be","vichy.be")</f>
        <v>vichy.be</v>
      </c>
      <c r="C20847" t="s">
        <v>421</v>
      </c>
      <c r="D20847" t="s">
        <v>803</v>
      </c>
      <c r="F20847">
        <v>2.7944113934533901E-8</v>
      </c>
      <c r="G20847">
        <v>1840818</v>
      </c>
      <c r="H20847">
        <v>14132113</v>
      </c>
      <c r="I20847">
        <v>2003178</v>
      </c>
      <c r="J20847">
        <v>3</v>
      </c>
    </row>
    <row r="20848" spans="1:10" x14ac:dyDescent="0.25">
      <c r="A20848" t="s">
        <v>231</v>
      </c>
      <c r="B20848" s="1" t="str">
        <f>HYPERLINK("http://cerave.bg","cerave.bg")</f>
        <v>cerave.bg</v>
      </c>
      <c r="C20848" t="s">
        <v>422</v>
      </c>
      <c r="D20848" t="s">
        <v>804</v>
      </c>
      <c r="F20848">
        <v>1.6119015794041999E-8</v>
      </c>
      <c r="G20848">
        <v>3515828</v>
      </c>
      <c r="H20848">
        <v>11193283</v>
      </c>
      <c r="I20848">
        <v>31326428</v>
      </c>
      <c r="J20848">
        <v>3</v>
      </c>
    </row>
    <row r="20849" spans="1:10" x14ac:dyDescent="0.25">
      <c r="A20849" t="s">
        <v>231</v>
      </c>
      <c r="B20849" s="1" t="str">
        <f>HYPERLINK("http://kiehls.bg","kiehls.bg")</f>
        <v>kiehls.bg</v>
      </c>
      <c r="C20849" t="s">
        <v>422</v>
      </c>
      <c r="D20849" t="s">
        <v>804</v>
      </c>
      <c r="F20849">
        <v>9.8925969096870793E-9</v>
      </c>
      <c r="G20849">
        <v>6867260</v>
      </c>
      <c r="H20849">
        <v>11101121</v>
      </c>
      <c r="I20849">
        <v>32255626</v>
      </c>
      <c r="J20849">
        <v>5</v>
      </c>
    </row>
    <row r="20850" spans="1:10" x14ac:dyDescent="0.25">
      <c r="A20850" t="s">
        <v>231</v>
      </c>
      <c r="B20850" s="1" t="str">
        <f>HYPERLINK("http://lancome.bg","lancome.bg")</f>
        <v>lancome.bg</v>
      </c>
      <c r="C20850" t="s">
        <v>422</v>
      </c>
      <c r="D20850" t="s">
        <v>804</v>
      </c>
      <c r="F20850">
        <v>6.9311329245896497E-9</v>
      </c>
      <c r="G20850">
        <v>12522231</v>
      </c>
      <c r="H20850">
        <v>10956785</v>
      </c>
      <c r="I20850">
        <v>34430324</v>
      </c>
      <c r="J20850">
        <v>5</v>
      </c>
    </row>
    <row r="20851" spans="1:10" x14ac:dyDescent="0.25">
      <c r="A20851" t="s">
        <v>231</v>
      </c>
      <c r="B20851" s="1" t="str">
        <f>HYPERLINK("http://laroche-posay.bg","laroche-posay.bg")</f>
        <v>laroche-posay.bg</v>
      </c>
      <c r="C20851" t="s">
        <v>422</v>
      </c>
      <c r="D20851" t="s">
        <v>804</v>
      </c>
      <c r="F20851">
        <v>4.0560162328811903E-8</v>
      </c>
      <c r="G20851">
        <v>1276939</v>
      </c>
      <c r="H20851">
        <v>13934606</v>
      </c>
      <c r="I20851">
        <v>4587877</v>
      </c>
      <c r="J20851">
        <v>4</v>
      </c>
    </row>
    <row r="20852" spans="1:10" x14ac:dyDescent="0.25">
      <c r="A20852" t="s">
        <v>231</v>
      </c>
      <c r="B20852" s="1" t="str">
        <f>HYPERLINK("http://loreal.bg","loreal.bg")</f>
        <v>loreal.bg</v>
      </c>
      <c r="C20852" t="s">
        <v>422</v>
      </c>
      <c r="D20852" t="s">
        <v>804</v>
      </c>
      <c r="F20852">
        <v>1.2100886503122099E-8</v>
      </c>
      <c r="G20852">
        <v>5112755</v>
      </c>
      <c r="H20852">
        <v>12434989</v>
      </c>
      <c r="I20852">
        <v>18214695</v>
      </c>
      <c r="J20852">
        <v>3</v>
      </c>
    </row>
    <row r="20853" spans="1:10" x14ac:dyDescent="0.25">
      <c r="A20853" t="s">
        <v>231</v>
      </c>
      <c r="B20853" s="1" t="str">
        <f>HYPERLINK("http://vichy.bg","vichy.bg")</f>
        <v>vichy.bg</v>
      </c>
      <c r="C20853" t="s">
        <v>422</v>
      </c>
      <c r="D20853" t="s">
        <v>804</v>
      </c>
      <c r="F20853">
        <v>1.9774476461626499E-8</v>
      </c>
      <c r="G20853">
        <v>2697242</v>
      </c>
      <c r="H20853">
        <v>12321613</v>
      </c>
      <c r="I20853">
        <v>20383234</v>
      </c>
      <c r="J20853">
        <v>3</v>
      </c>
    </row>
    <row r="20854" spans="1:10" x14ac:dyDescent="0.25">
      <c r="A20854" t="s">
        <v>231</v>
      </c>
      <c r="B20854" s="1" t="str">
        <f>HYPERLINK("http://cerave.com.br","cerave.com.br")</f>
        <v>cerave.com.br</v>
      </c>
      <c r="C20854" t="s">
        <v>425</v>
      </c>
      <c r="D20854" t="s">
        <v>806</v>
      </c>
      <c r="F20854">
        <v>1.4902126549404201E-8</v>
      </c>
      <c r="G20854">
        <v>3871929</v>
      </c>
      <c r="H20854">
        <v>11075691</v>
      </c>
      <c r="I20854">
        <v>32520907</v>
      </c>
      <c r="J20854">
        <v>3</v>
      </c>
    </row>
    <row r="20855" spans="1:10" x14ac:dyDescent="0.25">
      <c r="A20855" t="s">
        <v>231</v>
      </c>
      <c r="B20855" s="1" t="str">
        <f>HYPERLINK("http://distribuidorparceiro.com.br","distribuidorparceiro.com.br")</f>
        <v>distribuidorparceiro.com.br</v>
      </c>
      <c r="C20855" t="s">
        <v>425</v>
      </c>
      <c r="D20855" t="s">
        <v>806</v>
      </c>
      <c r="J20855">
        <v>4</v>
      </c>
    </row>
    <row r="20856" spans="1:10" x14ac:dyDescent="0.25">
      <c r="A20856" t="s">
        <v>231</v>
      </c>
      <c r="B20856" s="1" t="str">
        <f>HYPERLINK("http://kerastase.com.br","kerastase.com.br")</f>
        <v>kerastase.com.br</v>
      </c>
      <c r="C20856" t="s">
        <v>425</v>
      </c>
      <c r="D20856" t="s">
        <v>806</v>
      </c>
      <c r="F20856">
        <v>8.0097481134871594E-9</v>
      </c>
      <c r="G20856">
        <v>9902875</v>
      </c>
      <c r="H20856">
        <v>14123209</v>
      </c>
      <c r="I20856">
        <v>2184035</v>
      </c>
      <c r="J20856">
        <v>3</v>
      </c>
    </row>
    <row r="20857" spans="1:10" x14ac:dyDescent="0.25">
      <c r="A20857" t="s">
        <v>231</v>
      </c>
      <c r="B20857" s="1" t="str">
        <f>HYPERLINK("http://laroche-posay.com.br","laroche-posay.com.br")</f>
        <v>laroche-posay.com.br</v>
      </c>
      <c r="C20857" t="s">
        <v>425</v>
      </c>
      <c r="D20857" t="s">
        <v>806</v>
      </c>
      <c r="F20857">
        <v>3.9188462304353597E-8</v>
      </c>
      <c r="G20857">
        <v>1316374</v>
      </c>
      <c r="H20857">
        <v>14126267</v>
      </c>
      <c r="I20857">
        <v>2103123</v>
      </c>
      <c r="J20857">
        <v>4</v>
      </c>
    </row>
    <row r="20858" spans="1:10" x14ac:dyDescent="0.25">
      <c r="A20858" t="s">
        <v>231</v>
      </c>
      <c r="B20858" s="1" t="str">
        <f>HYPERLINK("http://loreal.com.br","loreal.com.br")</f>
        <v>loreal.com.br</v>
      </c>
      <c r="C20858" t="s">
        <v>425</v>
      </c>
      <c r="D20858" t="s">
        <v>806</v>
      </c>
      <c r="F20858">
        <v>1.9987908939968301E-8</v>
      </c>
      <c r="G20858">
        <v>2661093</v>
      </c>
      <c r="H20858">
        <v>14123506</v>
      </c>
      <c r="I20858">
        <v>2172324</v>
      </c>
      <c r="J20858">
        <v>3</v>
      </c>
    </row>
    <row r="20859" spans="1:10" x14ac:dyDescent="0.25">
      <c r="A20859" t="s">
        <v>231</v>
      </c>
      <c r="B20859" s="1" t="str">
        <f>HYPERLINK("http://lorealprofessionnel.com.br","lorealprofessionnel.com.br")</f>
        <v>lorealprofessionnel.com.br</v>
      </c>
      <c r="C20859" t="s">
        <v>425</v>
      </c>
      <c r="D20859" t="s">
        <v>806</v>
      </c>
      <c r="F20859">
        <v>1.6896716606463399E-8</v>
      </c>
      <c r="G20859">
        <v>3308657</v>
      </c>
      <c r="H20859">
        <v>14123489</v>
      </c>
      <c r="I20859">
        <v>2172896</v>
      </c>
      <c r="J20859">
        <v>5</v>
      </c>
    </row>
    <row r="20860" spans="1:10" x14ac:dyDescent="0.25">
      <c r="A20860" t="s">
        <v>231</v>
      </c>
      <c r="B20860" s="1" t="str">
        <f>HYPERLINK("http://maybelline.com.br","maybelline.com.br")</f>
        <v>maybelline.com.br</v>
      </c>
      <c r="C20860" t="s">
        <v>425</v>
      </c>
      <c r="D20860" t="s">
        <v>806</v>
      </c>
      <c r="F20860">
        <v>3.2448415849271202E-8</v>
      </c>
      <c r="G20860">
        <v>1592252</v>
      </c>
      <c r="H20860">
        <v>14122009</v>
      </c>
      <c r="I20860">
        <v>2228693</v>
      </c>
      <c r="J20860">
        <v>5</v>
      </c>
    </row>
    <row r="20861" spans="1:10" x14ac:dyDescent="0.25">
      <c r="A20861" t="s">
        <v>231</v>
      </c>
      <c r="B20861" s="1" t="str">
        <f>HYPERLINK("http://skinceuticals.com.br","skinceuticals.com.br")</f>
        <v>skinceuticals.com.br</v>
      </c>
      <c r="C20861" t="s">
        <v>425</v>
      </c>
      <c r="D20861" t="s">
        <v>806</v>
      </c>
      <c r="F20861">
        <v>1.93127463485229E-8</v>
      </c>
      <c r="G20861">
        <v>2780056</v>
      </c>
      <c r="H20861">
        <v>14123356</v>
      </c>
      <c r="I20861">
        <v>2177325</v>
      </c>
      <c r="J20861">
        <v>5</v>
      </c>
    </row>
    <row r="20862" spans="1:10" x14ac:dyDescent="0.25">
      <c r="A20862" t="s">
        <v>231</v>
      </c>
      <c r="B20862" s="1" t="str">
        <f>HYPERLINK("http://vichy.com.br","vichy.com.br")</f>
        <v>vichy.com.br</v>
      </c>
      <c r="C20862" t="s">
        <v>425</v>
      </c>
      <c r="D20862" t="s">
        <v>806</v>
      </c>
      <c r="F20862">
        <v>1.91603824341477E-8</v>
      </c>
      <c r="G20862">
        <v>2805332</v>
      </c>
      <c r="H20862">
        <v>13769477</v>
      </c>
      <c r="I20862">
        <v>6785627</v>
      </c>
      <c r="J20862">
        <v>3</v>
      </c>
    </row>
    <row r="20863" spans="1:10" x14ac:dyDescent="0.25">
      <c r="A20863" t="s">
        <v>231</v>
      </c>
      <c r="B20863" s="1" t="str">
        <f>HYPERLINK("http://armani-beauty.ca","armani-beauty.ca")</f>
        <v>armani-beauty.ca</v>
      </c>
      <c r="C20863" t="s">
        <v>428</v>
      </c>
      <c r="D20863" t="s">
        <v>809</v>
      </c>
      <c r="F20863">
        <v>1.45049708601476E-8</v>
      </c>
      <c r="G20863">
        <v>4011929</v>
      </c>
      <c r="H20863">
        <v>14373219</v>
      </c>
      <c r="I20863">
        <v>1282837</v>
      </c>
      <c r="J20863">
        <v>4</v>
      </c>
    </row>
    <row r="20864" spans="1:10" x14ac:dyDescent="0.25">
      <c r="A20864" t="s">
        <v>231</v>
      </c>
      <c r="B20864" s="1" t="str">
        <f>HYPERLINK("http://biotherm.ca","biotherm.ca")</f>
        <v>biotherm.ca</v>
      </c>
      <c r="C20864" t="s">
        <v>428</v>
      </c>
      <c r="D20864" t="s">
        <v>809</v>
      </c>
      <c r="F20864">
        <v>2.2281785918242899E-8</v>
      </c>
      <c r="G20864">
        <v>2353134</v>
      </c>
      <c r="H20864">
        <v>13905683</v>
      </c>
      <c r="I20864">
        <v>5946001</v>
      </c>
      <c r="J20864">
        <v>6</v>
      </c>
    </row>
    <row r="20865" spans="1:10" x14ac:dyDescent="0.25">
      <c r="A20865" t="s">
        <v>231</v>
      </c>
      <c r="B20865" s="1" t="str">
        <f>HYPERLINK("http://cerave.ca","cerave.ca")</f>
        <v>cerave.ca</v>
      </c>
      <c r="C20865" t="s">
        <v>428</v>
      </c>
      <c r="D20865" t="s">
        <v>809</v>
      </c>
      <c r="F20865">
        <v>2.2470142562645799E-8</v>
      </c>
      <c r="G20865">
        <v>2331885</v>
      </c>
      <c r="H20865">
        <v>14173452</v>
      </c>
      <c r="I20865">
        <v>1795953</v>
      </c>
      <c r="J20865">
        <v>3</v>
      </c>
    </row>
    <row r="20866" spans="1:10" x14ac:dyDescent="0.25">
      <c r="A20866" t="s">
        <v>231</v>
      </c>
      <c r="B20866" s="1" t="str">
        <f>HYPERLINK("http://itcosmetics.ca","itcosmetics.ca")</f>
        <v>itcosmetics.ca</v>
      </c>
      <c r="C20866" t="s">
        <v>428</v>
      </c>
      <c r="D20866" t="s">
        <v>809</v>
      </c>
      <c r="F20866">
        <v>3.3714620902104401E-8</v>
      </c>
      <c r="G20866">
        <v>1534366</v>
      </c>
      <c r="H20866">
        <v>14198956</v>
      </c>
      <c r="I20866">
        <v>1727427</v>
      </c>
      <c r="J20866">
        <v>4</v>
      </c>
    </row>
    <row r="20867" spans="1:10" x14ac:dyDescent="0.25">
      <c r="A20867" t="s">
        <v>231</v>
      </c>
      <c r="B20867" s="1" t="str">
        <f>HYPERLINK("http://kerastase.ca","kerastase.ca")</f>
        <v>kerastase.ca</v>
      </c>
      <c r="C20867" t="s">
        <v>428</v>
      </c>
      <c r="D20867" t="s">
        <v>809</v>
      </c>
      <c r="F20867">
        <v>5.53103425532193E-8</v>
      </c>
      <c r="G20867">
        <v>812022</v>
      </c>
      <c r="H20867">
        <v>14138474</v>
      </c>
      <c r="I20867">
        <v>1947014</v>
      </c>
      <c r="J20867">
        <v>4</v>
      </c>
    </row>
    <row r="20868" spans="1:10" x14ac:dyDescent="0.25">
      <c r="A20868" t="s">
        <v>231</v>
      </c>
      <c r="B20868" s="1" t="str">
        <f>HYPERLINK("http://kiehls.ca","kiehls.ca")</f>
        <v>kiehls.ca</v>
      </c>
      <c r="C20868" t="s">
        <v>428</v>
      </c>
      <c r="D20868" t="s">
        <v>809</v>
      </c>
      <c r="E20868">
        <v>431868</v>
      </c>
      <c r="F20868">
        <v>7.2342401149926803E-8</v>
      </c>
      <c r="G20868">
        <v>583402</v>
      </c>
      <c r="H20868">
        <v>14697030</v>
      </c>
      <c r="I20868">
        <v>598916</v>
      </c>
      <c r="J20868">
        <v>5</v>
      </c>
    </row>
    <row r="20869" spans="1:10" x14ac:dyDescent="0.25">
      <c r="A20869" t="s">
        <v>231</v>
      </c>
      <c r="B20869" s="1" t="str">
        <f>HYPERLINK("http://laroche-posay.ca","laroche-posay.ca")</f>
        <v>laroche-posay.ca</v>
      </c>
      <c r="C20869" t="s">
        <v>428</v>
      </c>
      <c r="D20869" t="s">
        <v>809</v>
      </c>
      <c r="E20869">
        <v>362373</v>
      </c>
      <c r="F20869">
        <v>4.84685293045189E-8</v>
      </c>
      <c r="G20869">
        <v>957331</v>
      </c>
      <c r="H20869">
        <v>14226179</v>
      </c>
      <c r="I20869">
        <v>1678971</v>
      </c>
      <c r="J20869">
        <v>6</v>
      </c>
    </row>
    <row r="20870" spans="1:10" x14ac:dyDescent="0.25">
      <c r="A20870" t="s">
        <v>231</v>
      </c>
      <c r="B20870" s="1" t="str">
        <f>HYPERLINK("http://loreal.ca","loreal.ca")</f>
        <v>loreal.ca</v>
      </c>
      <c r="C20870" t="s">
        <v>428</v>
      </c>
      <c r="D20870" t="s">
        <v>809</v>
      </c>
      <c r="F20870">
        <v>9.0806259680662202E-8</v>
      </c>
      <c r="G20870">
        <v>449051</v>
      </c>
      <c r="H20870">
        <v>14508772</v>
      </c>
      <c r="I20870">
        <v>827656</v>
      </c>
      <c r="J20870">
        <v>3</v>
      </c>
    </row>
    <row r="20871" spans="1:10" x14ac:dyDescent="0.25">
      <c r="A20871" t="s">
        <v>231</v>
      </c>
      <c r="B20871" s="1" t="str">
        <f>HYPERLINK("http://lorealparis.ca","lorealparis.ca")</f>
        <v>lorealparis.ca</v>
      </c>
      <c r="C20871" t="s">
        <v>428</v>
      </c>
      <c r="D20871" t="s">
        <v>809</v>
      </c>
      <c r="E20871">
        <v>373879</v>
      </c>
      <c r="F20871">
        <v>1.0396262917839299E-7</v>
      </c>
      <c r="G20871">
        <v>385763</v>
      </c>
      <c r="H20871">
        <v>14235026</v>
      </c>
      <c r="I20871">
        <v>1668676</v>
      </c>
      <c r="J20871">
        <v>5</v>
      </c>
    </row>
    <row r="20872" spans="1:10" x14ac:dyDescent="0.25">
      <c r="A20872" t="s">
        <v>231</v>
      </c>
      <c r="B20872" s="1" t="str">
        <f>HYPERLINK("http://lorealprofessionnel.ca","lorealprofessionnel.ca")</f>
        <v>lorealprofessionnel.ca</v>
      </c>
      <c r="C20872" t="s">
        <v>428</v>
      </c>
      <c r="D20872" t="s">
        <v>809</v>
      </c>
      <c r="F20872">
        <v>3.7840865564957802E-8</v>
      </c>
      <c r="G20872">
        <v>1367561</v>
      </c>
      <c r="H20872">
        <v>13218804</v>
      </c>
      <c r="I20872">
        <v>11345083</v>
      </c>
      <c r="J20872">
        <v>5</v>
      </c>
    </row>
    <row r="20873" spans="1:10" x14ac:dyDescent="0.25">
      <c r="A20873" t="s">
        <v>231</v>
      </c>
      <c r="B20873" s="1" t="str">
        <f>HYPERLINK("http://maybelline.ca","maybelline.ca")</f>
        <v>maybelline.ca</v>
      </c>
      <c r="C20873" t="s">
        <v>428</v>
      </c>
      <c r="D20873" t="s">
        <v>809</v>
      </c>
      <c r="E20873">
        <v>660758</v>
      </c>
      <c r="F20873">
        <v>7.3688523509248896E-8</v>
      </c>
      <c r="G20873">
        <v>571713</v>
      </c>
      <c r="H20873">
        <v>14167391</v>
      </c>
      <c r="I20873">
        <v>1815629</v>
      </c>
      <c r="J20873">
        <v>5</v>
      </c>
    </row>
    <row r="20874" spans="1:10" x14ac:dyDescent="0.25">
      <c r="A20874" t="s">
        <v>231</v>
      </c>
      <c r="B20874" s="1" t="str">
        <f>HYPERLINK("http://mugler.ca","mugler.ca")</f>
        <v>mugler.ca</v>
      </c>
      <c r="C20874" t="s">
        <v>428</v>
      </c>
      <c r="D20874" t="s">
        <v>809</v>
      </c>
      <c r="F20874">
        <v>1.1421382054971999E-8</v>
      </c>
      <c r="G20874">
        <v>5559892</v>
      </c>
      <c r="H20874">
        <v>12261263</v>
      </c>
      <c r="I20874">
        <v>21737403</v>
      </c>
      <c r="J20874">
        <v>4</v>
      </c>
    </row>
    <row r="20875" spans="1:10" x14ac:dyDescent="0.25">
      <c r="A20875" t="s">
        <v>231</v>
      </c>
      <c r="B20875" s="1" t="str">
        <f>HYPERLINK("http://nyxcosmetics.ca","nyxcosmetics.ca")</f>
        <v>nyxcosmetics.ca</v>
      </c>
      <c r="C20875" t="s">
        <v>428</v>
      </c>
      <c r="D20875" t="s">
        <v>809</v>
      </c>
      <c r="E20875">
        <v>585610</v>
      </c>
      <c r="F20875">
        <v>5.9123964120947003E-8</v>
      </c>
      <c r="G20875">
        <v>749706</v>
      </c>
      <c r="H20875">
        <v>14640605</v>
      </c>
      <c r="I20875">
        <v>636924</v>
      </c>
      <c r="J20875">
        <v>4</v>
      </c>
    </row>
    <row r="20876" spans="1:10" x14ac:dyDescent="0.25">
      <c r="A20876" t="s">
        <v>231</v>
      </c>
      <c r="B20876" s="1" t="str">
        <f>HYPERLINK("http://shuuemura.ca","shuuemura.ca")</f>
        <v>shuuemura.ca</v>
      </c>
      <c r="C20876" t="s">
        <v>428</v>
      </c>
      <c r="D20876" t="s">
        <v>809</v>
      </c>
      <c r="F20876">
        <v>2.1541926791266301E-8</v>
      </c>
      <c r="G20876">
        <v>2443808</v>
      </c>
      <c r="H20876">
        <v>14149748</v>
      </c>
      <c r="I20876">
        <v>1880090</v>
      </c>
      <c r="J20876">
        <v>4</v>
      </c>
    </row>
    <row r="20877" spans="1:10" x14ac:dyDescent="0.25">
      <c r="A20877" t="s">
        <v>231</v>
      </c>
      <c r="B20877" s="1" t="str">
        <f>HYPERLINK("http://skinceuticals.ca","skinceuticals.ca")</f>
        <v>skinceuticals.ca</v>
      </c>
      <c r="C20877" t="s">
        <v>428</v>
      </c>
      <c r="D20877" t="s">
        <v>809</v>
      </c>
      <c r="F20877">
        <v>5.76410223951736E-8</v>
      </c>
      <c r="G20877">
        <v>773154</v>
      </c>
      <c r="H20877">
        <v>13824747</v>
      </c>
      <c r="I20877">
        <v>6128027</v>
      </c>
      <c r="J20877">
        <v>4</v>
      </c>
    </row>
    <row r="20878" spans="1:10" x14ac:dyDescent="0.25">
      <c r="A20878" t="s">
        <v>231</v>
      </c>
      <c r="B20878" s="1" t="str">
        <f>HYPERLINK("http://urbandecay.ca","urbandecay.ca")</f>
        <v>urbandecay.ca</v>
      </c>
      <c r="C20878" t="s">
        <v>428</v>
      </c>
      <c r="D20878" t="s">
        <v>809</v>
      </c>
      <c r="F20878">
        <v>2.60505831959456E-8</v>
      </c>
      <c r="G20878">
        <v>1977657</v>
      </c>
      <c r="H20878">
        <v>14165132</v>
      </c>
      <c r="I20878">
        <v>1822835</v>
      </c>
      <c r="J20878">
        <v>4</v>
      </c>
    </row>
    <row r="20879" spans="1:10" x14ac:dyDescent="0.25">
      <c r="A20879" t="s">
        <v>231</v>
      </c>
      <c r="B20879" s="1" t="str">
        <f>HYPERLINK("http://valentino-beauty.ca","valentino-beauty.ca")</f>
        <v>valentino-beauty.ca</v>
      </c>
      <c r="C20879" t="s">
        <v>428</v>
      </c>
      <c r="D20879" t="s">
        <v>809</v>
      </c>
      <c r="F20879">
        <v>1.9058571754142799E-8</v>
      </c>
      <c r="G20879">
        <v>2825050</v>
      </c>
      <c r="H20879">
        <v>12697360</v>
      </c>
      <c r="I20879">
        <v>15374571</v>
      </c>
      <c r="J20879">
        <v>4</v>
      </c>
    </row>
    <row r="20880" spans="1:10" x14ac:dyDescent="0.25">
      <c r="A20880" t="s">
        <v>231</v>
      </c>
      <c r="B20880" s="1" t="str">
        <f>HYPERLINK("http://yslbeauty.ca","yslbeauty.ca")</f>
        <v>yslbeauty.ca</v>
      </c>
      <c r="C20880" t="s">
        <v>428</v>
      </c>
      <c r="D20880" t="s">
        <v>809</v>
      </c>
      <c r="E20880">
        <v>996169</v>
      </c>
      <c r="F20880">
        <v>1.8325033215510001E-8</v>
      </c>
      <c r="G20880">
        <v>2962583</v>
      </c>
      <c r="H20880">
        <v>14387639</v>
      </c>
      <c r="I20880">
        <v>1174863</v>
      </c>
      <c r="J20880">
        <v>4</v>
      </c>
    </row>
    <row r="20881" spans="1:10" x14ac:dyDescent="0.25">
      <c r="A20881" t="s">
        <v>231</v>
      </c>
      <c r="B20881" s="1" t="str">
        <f>HYPERLINK("http://armanibeauty.ch","armanibeauty.ch")</f>
        <v>armanibeauty.ch</v>
      </c>
      <c r="C20881" t="s">
        <v>429</v>
      </c>
      <c r="D20881" t="s">
        <v>810</v>
      </c>
      <c r="F20881">
        <v>2.0926165613234001E-8</v>
      </c>
      <c r="G20881">
        <v>2525837</v>
      </c>
      <c r="H20881">
        <v>12208264</v>
      </c>
      <c r="I20881">
        <v>23068988</v>
      </c>
      <c r="J20881">
        <v>4</v>
      </c>
    </row>
    <row r="20882" spans="1:10" x14ac:dyDescent="0.25">
      <c r="A20882" t="s">
        <v>231</v>
      </c>
      <c r="B20882" s="1" t="str">
        <f>HYPERLINK("http://helenarubinstein.ch","helenarubinstein.ch")</f>
        <v>helenarubinstein.ch</v>
      </c>
      <c r="C20882" t="s">
        <v>429</v>
      </c>
      <c r="D20882" t="s">
        <v>810</v>
      </c>
      <c r="F20882">
        <v>7.8741192077627905E-9</v>
      </c>
      <c r="G20882">
        <v>10163518</v>
      </c>
      <c r="H20882">
        <v>10760005</v>
      </c>
      <c r="I20882">
        <v>39605618</v>
      </c>
      <c r="J20882">
        <v>4</v>
      </c>
    </row>
    <row r="20883" spans="1:10" x14ac:dyDescent="0.25">
      <c r="A20883" t="s">
        <v>231</v>
      </c>
      <c r="B20883" s="1" t="str">
        <f>HYPERLINK("http://kerastase.ch","kerastase.ch")</f>
        <v>kerastase.ch</v>
      </c>
      <c r="C20883" t="s">
        <v>429</v>
      </c>
      <c r="D20883" t="s">
        <v>810</v>
      </c>
      <c r="F20883">
        <v>2.03355993052093E-8</v>
      </c>
      <c r="G20883">
        <v>2608827</v>
      </c>
      <c r="H20883">
        <v>11279874</v>
      </c>
      <c r="I20883">
        <v>30708497</v>
      </c>
      <c r="J20883">
        <v>4</v>
      </c>
    </row>
    <row r="20884" spans="1:10" x14ac:dyDescent="0.25">
      <c r="A20884" t="s">
        <v>231</v>
      </c>
      <c r="B20884" s="1" t="str">
        <f>HYPERLINK("http://kiehls.ch","kiehls.ch")</f>
        <v>kiehls.ch</v>
      </c>
      <c r="C20884" t="s">
        <v>429</v>
      </c>
      <c r="D20884" t="s">
        <v>810</v>
      </c>
      <c r="F20884">
        <v>1.98250022352893E-8</v>
      </c>
      <c r="G20884">
        <v>2689295</v>
      </c>
      <c r="H20884">
        <v>13774022</v>
      </c>
      <c r="I20884">
        <v>6616528</v>
      </c>
      <c r="J20884">
        <v>5</v>
      </c>
    </row>
    <row r="20885" spans="1:10" x14ac:dyDescent="0.25">
      <c r="A20885" t="s">
        <v>231</v>
      </c>
      <c r="B20885" s="1" t="str">
        <f>HYPERLINK("http://lancome.ch","lancome.ch")</f>
        <v>lancome.ch</v>
      </c>
      <c r="C20885" t="s">
        <v>429</v>
      </c>
      <c r="D20885" t="s">
        <v>810</v>
      </c>
      <c r="F20885">
        <v>5.7859059352888396E-9</v>
      </c>
      <c r="G20885">
        <v>18198651</v>
      </c>
      <c r="H20885">
        <v>12554357</v>
      </c>
      <c r="I20885">
        <v>16780918</v>
      </c>
      <c r="J20885">
        <v>4</v>
      </c>
    </row>
    <row r="20886" spans="1:10" x14ac:dyDescent="0.25">
      <c r="A20886" t="s">
        <v>231</v>
      </c>
      <c r="B20886" s="1" t="str">
        <f>HYPERLINK("http://laroche-posay.ch","laroche-posay.ch")</f>
        <v>laroche-posay.ch</v>
      </c>
      <c r="C20886" t="s">
        <v>429</v>
      </c>
      <c r="D20886" t="s">
        <v>810</v>
      </c>
      <c r="F20886">
        <v>2.2900151718773599E-8</v>
      </c>
      <c r="G20886">
        <v>2282926</v>
      </c>
      <c r="H20886">
        <v>13937725</v>
      </c>
      <c r="I20886">
        <v>4454946</v>
      </c>
      <c r="J20886">
        <v>4</v>
      </c>
    </row>
    <row r="20887" spans="1:10" x14ac:dyDescent="0.25">
      <c r="A20887" t="s">
        <v>231</v>
      </c>
      <c r="B20887" s="1" t="str">
        <f>HYPERLINK("http://loreal.ch","loreal.ch")</f>
        <v>loreal.ch</v>
      </c>
      <c r="C20887" t="s">
        <v>429</v>
      </c>
      <c r="D20887" t="s">
        <v>810</v>
      </c>
      <c r="F20887">
        <v>2.1847513163877101E-8</v>
      </c>
      <c r="G20887">
        <v>2404196</v>
      </c>
      <c r="H20887">
        <v>12754222</v>
      </c>
      <c r="I20887">
        <v>14993573</v>
      </c>
      <c r="J20887">
        <v>3</v>
      </c>
    </row>
    <row r="20888" spans="1:10" x14ac:dyDescent="0.25">
      <c r="A20888" t="s">
        <v>231</v>
      </c>
      <c r="B20888" s="1" t="str">
        <f>HYPERLINK("http://lorealparis.ch","lorealparis.ch")</f>
        <v>lorealparis.ch</v>
      </c>
      <c r="C20888" t="s">
        <v>429</v>
      </c>
      <c r="D20888" t="s">
        <v>810</v>
      </c>
      <c r="F20888">
        <v>2.8884274883161599E-8</v>
      </c>
      <c r="G20888">
        <v>1782058</v>
      </c>
      <c r="H20888">
        <v>13949886</v>
      </c>
      <c r="I20888">
        <v>4179000</v>
      </c>
      <c r="J20888">
        <v>5</v>
      </c>
    </row>
    <row r="20889" spans="1:10" x14ac:dyDescent="0.25">
      <c r="A20889" t="s">
        <v>231</v>
      </c>
      <c r="B20889" s="1" t="str">
        <f>HYPERLINK("http://lorealprofessionnel.ch","lorealprofessionnel.ch")</f>
        <v>lorealprofessionnel.ch</v>
      </c>
      <c r="C20889" t="s">
        <v>429</v>
      </c>
      <c r="D20889" t="s">
        <v>810</v>
      </c>
      <c r="F20889">
        <v>3.2649024615969901E-8</v>
      </c>
      <c r="G20889">
        <v>1582662</v>
      </c>
      <c r="H20889">
        <v>12598713</v>
      </c>
      <c r="I20889">
        <v>16339380</v>
      </c>
      <c r="J20889">
        <v>5</v>
      </c>
    </row>
    <row r="20890" spans="1:10" x14ac:dyDescent="0.25">
      <c r="A20890" t="s">
        <v>231</v>
      </c>
      <c r="B20890" s="1" t="str">
        <f>HYPERLINK("http://maybelline.ch","maybelline.ch")</f>
        <v>maybelline.ch</v>
      </c>
      <c r="C20890" t="s">
        <v>429</v>
      </c>
      <c r="D20890" t="s">
        <v>810</v>
      </c>
      <c r="F20890">
        <v>3.1073339413837397E-8</v>
      </c>
      <c r="G20890">
        <v>1658764</v>
      </c>
      <c r="H20890">
        <v>12774632</v>
      </c>
      <c r="I20890">
        <v>14804338</v>
      </c>
      <c r="J20890">
        <v>5</v>
      </c>
    </row>
    <row r="20891" spans="1:10" x14ac:dyDescent="0.25">
      <c r="A20891" t="s">
        <v>231</v>
      </c>
      <c r="B20891" s="1" t="str">
        <f>HYPERLINK("http://mugler.ch","mugler.ch")</f>
        <v>mugler.ch</v>
      </c>
      <c r="C20891" t="s">
        <v>429</v>
      </c>
      <c r="D20891" t="s">
        <v>810</v>
      </c>
      <c r="F20891">
        <v>9.8091182667459001E-9</v>
      </c>
      <c r="G20891">
        <v>6959140</v>
      </c>
      <c r="H20891">
        <v>11047385</v>
      </c>
      <c r="I20891">
        <v>32830260</v>
      </c>
      <c r="J20891">
        <v>4</v>
      </c>
    </row>
    <row r="20892" spans="1:10" x14ac:dyDescent="0.25">
      <c r="A20892" t="s">
        <v>231</v>
      </c>
      <c r="B20892" s="1" t="str">
        <f>HYPERLINK("http://nyxcosmetics.ch","nyxcosmetics.ch")</f>
        <v>nyxcosmetics.ch</v>
      </c>
      <c r="C20892" t="s">
        <v>429</v>
      </c>
      <c r="D20892" t="s">
        <v>810</v>
      </c>
      <c r="F20892">
        <v>1.9811926719486599E-8</v>
      </c>
      <c r="G20892">
        <v>2691307</v>
      </c>
      <c r="H20892">
        <v>13768132</v>
      </c>
      <c r="I20892">
        <v>6894183</v>
      </c>
      <c r="J20892">
        <v>5</v>
      </c>
    </row>
    <row r="20893" spans="1:10" x14ac:dyDescent="0.25">
      <c r="A20893" t="s">
        <v>231</v>
      </c>
      <c r="B20893" s="1" t="str">
        <f>HYPERLINK("http://skinceuticals.ch","skinceuticals.ch")</f>
        <v>skinceuticals.ch</v>
      </c>
      <c r="C20893" t="s">
        <v>429</v>
      </c>
      <c r="D20893" t="s">
        <v>810</v>
      </c>
      <c r="F20893">
        <v>2.0907115111688001E-8</v>
      </c>
      <c r="G20893">
        <v>2528422</v>
      </c>
      <c r="H20893">
        <v>13937511</v>
      </c>
      <c r="I20893">
        <v>4460971</v>
      </c>
      <c r="J20893">
        <v>4</v>
      </c>
    </row>
    <row r="20894" spans="1:10" x14ac:dyDescent="0.25">
      <c r="A20894" t="s">
        <v>231</v>
      </c>
      <c r="B20894" s="1" t="str">
        <f>HYPERLINK("http://valentino-beauty.ch","valentino-beauty.ch")</f>
        <v>valentino-beauty.ch</v>
      </c>
      <c r="C20894" t="s">
        <v>429</v>
      </c>
      <c r="D20894" t="s">
        <v>810</v>
      </c>
      <c r="F20894">
        <v>2.6410323837002099E-8</v>
      </c>
      <c r="G20894">
        <v>1949541</v>
      </c>
      <c r="H20894">
        <v>12396725</v>
      </c>
      <c r="I20894">
        <v>18899532</v>
      </c>
      <c r="J20894">
        <v>4</v>
      </c>
    </row>
    <row r="20895" spans="1:10" x14ac:dyDescent="0.25">
      <c r="A20895" t="s">
        <v>231</v>
      </c>
      <c r="B20895" s="1" t="str">
        <f>HYPERLINK("http://vichy.ch","vichy.ch")</f>
        <v>vichy.ch</v>
      </c>
      <c r="C20895" t="s">
        <v>429</v>
      </c>
      <c r="D20895" t="s">
        <v>810</v>
      </c>
      <c r="F20895">
        <v>2.5436468468614302E-8</v>
      </c>
      <c r="G20895">
        <v>2028019</v>
      </c>
      <c r="H20895">
        <v>13773756</v>
      </c>
      <c r="I20895">
        <v>6623211</v>
      </c>
      <c r="J20895">
        <v>3</v>
      </c>
    </row>
    <row r="20896" spans="1:10" x14ac:dyDescent="0.25">
      <c r="A20896" t="s">
        <v>231</v>
      </c>
      <c r="B20896" s="1" t="str">
        <f>HYPERLINK("http://yslbeauty.ch","yslbeauty.ch")</f>
        <v>yslbeauty.ch</v>
      </c>
      <c r="C20896" t="s">
        <v>429</v>
      </c>
      <c r="D20896" t="s">
        <v>810</v>
      </c>
      <c r="F20896">
        <v>5.9285338847915102E-9</v>
      </c>
      <c r="G20896">
        <v>17161645</v>
      </c>
      <c r="H20896">
        <v>10962702</v>
      </c>
      <c r="I20896">
        <v>34293580</v>
      </c>
      <c r="J20896">
        <v>4</v>
      </c>
    </row>
    <row r="20897" spans="1:10" x14ac:dyDescent="0.25">
      <c r="A20897" t="s">
        <v>231</v>
      </c>
      <c r="B20897" s="1" t="str">
        <f>HYPERLINK("http://cerave.cl","cerave.cl")</f>
        <v>cerave.cl</v>
      </c>
      <c r="C20897" t="s">
        <v>430</v>
      </c>
      <c r="D20897" t="s">
        <v>811</v>
      </c>
      <c r="F20897">
        <v>1.4409974916430901E-8</v>
      </c>
      <c r="G20897">
        <v>4053707</v>
      </c>
      <c r="H20897">
        <v>11086002</v>
      </c>
      <c r="I20897">
        <v>32427092</v>
      </c>
      <c r="J20897">
        <v>3</v>
      </c>
    </row>
    <row r="20898" spans="1:10" x14ac:dyDescent="0.25">
      <c r="A20898" t="s">
        <v>231</v>
      </c>
      <c r="B20898" s="1" t="str">
        <f>HYPERLINK("http://kerastase.cl","kerastase.cl")</f>
        <v>kerastase.cl</v>
      </c>
      <c r="C20898" t="s">
        <v>430</v>
      </c>
      <c r="D20898" t="s">
        <v>811</v>
      </c>
      <c r="F20898">
        <v>1.4048368800908001E-8</v>
      </c>
      <c r="G20898">
        <v>4184654</v>
      </c>
      <c r="H20898">
        <v>10905231</v>
      </c>
      <c r="I20898">
        <v>35722415</v>
      </c>
      <c r="J20898">
        <v>4</v>
      </c>
    </row>
    <row r="20899" spans="1:10" x14ac:dyDescent="0.25">
      <c r="A20899" t="s">
        <v>231</v>
      </c>
      <c r="B20899" s="1" t="str">
        <f>HYPERLINK("http://kiehls.cl","kiehls.cl")</f>
        <v>kiehls.cl</v>
      </c>
      <c r="C20899" t="s">
        <v>430</v>
      </c>
      <c r="D20899" t="s">
        <v>811</v>
      </c>
      <c r="F20899">
        <v>1.48705779269364E-8</v>
      </c>
      <c r="G20899">
        <v>3882483</v>
      </c>
      <c r="H20899">
        <v>13013197</v>
      </c>
      <c r="I20899">
        <v>12740148</v>
      </c>
      <c r="J20899">
        <v>5</v>
      </c>
    </row>
    <row r="20900" spans="1:10" x14ac:dyDescent="0.25">
      <c r="A20900" t="s">
        <v>231</v>
      </c>
      <c r="B20900" s="1" t="str">
        <f>HYPERLINK("http://lancome.cl","lancome.cl")</f>
        <v>lancome.cl</v>
      </c>
      <c r="C20900" t="s">
        <v>430</v>
      </c>
      <c r="D20900" t="s">
        <v>811</v>
      </c>
      <c r="F20900">
        <v>6.5053271198492198E-9</v>
      </c>
      <c r="G20900">
        <v>14056098</v>
      </c>
      <c r="H20900">
        <v>12822672</v>
      </c>
      <c r="I20900">
        <v>14488808</v>
      </c>
      <c r="J20900">
        <v>4</v>
      </c>
    </row>
    <row r="20901" spans="1:10" x14ac:dyDescent="0.25">
      <c r="A20901" t="s">
        <v>231</v>
      </c>
      <c r="B20901" s="1" t="str">
        <f>HYPERLINK("http://laroche-posay.cl","laroche-posay.cl")</f>
        <v>laroche-posay.cl</v>
      </c>
      <c r="C20901" t="s">
        <v>430</v>
      </c>
      <c r="D20901" t="s">
        <v>811</v>
      </c>
      <c r="F20901">
        <v>1.84553932010547E-8</v>
      </c>
      <c r="G20901">
        <v>2934733</v>
      </c>
      <c r="H20901">
        <v>12953887</v>
      </c>
      <c r="I20901">
        <v>13194053</v>
      </c>
      <c r="J20901">
        <v>4</v>
      </c>
    </row>
    <row r="20902" spans="1:10" x14ac:dyDescent="0.25">
      <c r="A20902" t="s">
        <v>231</v>
      </c>
      <c r="B20902" s="1" t="str">
        <f>HYPERLINK("http://loreal.cl","loreal.cl")</f>
        <v>loreal.cl</v>
      </c>
      <c r="C20902" t="s">
        <v>430</v>
      </c>
      <c r="D20902" t="s">
        <v>811</v>
      </c>
      <c r="F20902">
        <v>1.6186981129712801E-8</v>
      </c>
      <c r="G20902">
        <v>3498727</v>
      </c>
      <c r="H20902">
        <v>13095518</v>
      </c>
      <c r="I20902">
        <v>12123802</v>
      </c>
      <c r="J20902">
        <v>3</v>
      </c>
    </row>
    <row r="20903" spans="1:10" x14ac:dyDescent="0.25">
      <c r="A20903" t="s">
        <v>231</v>
      </c>
      <c r="B20903" s="1" t="str">
        <f>HYPERLINK("http://lorealprofessionnel.cl","lorealprofessionnel.cl")</f>
        <v>lorealprofessionnel.cl</v>
      </c>
      <c r="C20903" t="s">
        <v>430</v>
      </c>
      <c r="D20903" t="s">
        <v>811</v>
      </c>
      <c r="F20903">
        <v>9.6581239030526697E-9</v>
      </c>
      <c r="G20903">
        <v>7130703</v>
      </c>
      <c r="H20903">
        <v>12061741</v>
      </c>
      <c r="I20903">
        <v>26967067</v>
      </c>
      <c r="J20903">
        <v>5</v>
      </c>
    </row>
    <row r="20904" spans="1:10" x14ac:dyDescent="0.25">
      <c r="A20904" t="s">
        <v>231</v>
      </c>
      <c r="B20904" s="1" t="str">
        <f>HYPERLINK("http://maybelline.cl","maybelline.cl")</f>
        <v>maybelline.cl</v>
      </c>
      <c r="C20904" t="s">
        <v>430</v>
      </c>
      <c r="D20904" t="s">
        <v>811</v>
      </c>
      <c r="F20904">
        <v>2.4270587594249699E-8</v>
      </c>
      <c r="G20904">
        <v>2136586</v>
      </c>
      <c r="H20904">
        <v>12724109</v>
      </c>
      <c r="I20904">
        <v>15232835</v>
      </c>
      <c r="J20904">
        <v>5</v>
      </c>
    </row>
    <row r="20905" spans="1:10" x14ac:dyDescent="0.25">
      <c r="A20905" t="s">
        <v>231</v>
      </c>
      <c r="B20905" s="1" t="str">
        <f>HYPERLINK("http://nyxcosmetics.cl","nyxcosmetics.cl")</f>
        <v>nyxcosmetics.cl</v>
      </c>
      <c r="C20905" t="s">
        <v>430</v>
      </c>
      <c r="D20905" t="s">
        <v>811</v>
      </c>
      <c r="F20905">
        <v>2.9164871483325601E-8</v>
      </c>
      <c r="G20905">
        <v>1765912</v>
      </c>
      <c r="H20905">
        <v>12208154</v>
      </c>
      <c r="I20905">
        <v>23072529</v>
      </c>
      <c r="J20905">
        <v>4</v>
      </c>
    </row>
    <row r="20906" spans="1:10" x14ac:dyDescent="0.25">
      <c r="A20906" t="s">
        <v>231</v>
      </c>
      <c r="B20906" s="1" t="str">
        <f>HYPERLINK("http://urbandecay.cl","urbandecay.cl")</f>
        <v>urbandecay.cl</v>
      </c>
      <c r="C20906" t="s">
        <v>430</v>
      </c>
      <c r="D20906" t="s">
        <v>811</v>
      </c>
      <c r="F20906">
        <v>5.96082100766165E-9</v>
      </c>
      <c r="G20906">
        <v>16940503</v>
      </c>
      <c r="H20906">
        <v>12849921</v>
      </c>
      <c r="I20906">
        <v>14284363</v>
      </c>
      <c r="J20906">
        <v>5</v>
      </c>
    </row>
    <row r="20907" spans="1:10" x14ac:dyDescent="0.25">
      <c r="A20907" t="s">
        <v>231</v>
      </c>
      <c r="B20907" s="1" t="str">
        <f>HYPERLINK("http://vichy.cl","vichy.cl")</f>
        <v>vichy.cl</v>
      </c>
      <c r="C20907" t="s">
        <v>430</v>
      </c>
      <c r="D20907" t="s">
        <v>811</v>
      </c>
      <c r="F20907">
        <v>2.6713334293605601E-8</v>
      </c>
      <c r="G20907">
        <v>1926647</v>
      </c>
      <c r="H20907">
        <v>13047525</v>
      </c>
      <c r="I20907">
        <v>12599023</v>
      </c>
      <c r="J20907">
        <v>3</v>
      </c>
    </row>
    <row r="20908" spans="1:10" x14ac:dyDescent="0.25">
      <c r="A20908" t="s">
        <v>231</v>
      </c>
      <c r="B20908" s="1" t="str">
        <f>HYPERLINK("http://cerave.cn","cerave.cn")</f>
        <v>cerave.cn</v>
      </c>
      <c r="C20908" t="s">
        <v>431</v>
      </c>
      <c r="D20908" t="s">
        <v>812</v>
      </c>
      <c r="F20908">
        <v>1.40792377654655E-8</v>
      </c>
      <c r="G20908">
        <v>4173299</v>
      </c>
      <c r="H20908">
        <v>11048644</v>
      </c>
      <c r="I20908">
        <v>32814993</v>
      </c>
      <c r="J20908">
        <v>3</v>
      </c>
    </row>
    <row r="20909" spans="1:10" x14ac:dyDescent="0.25">
      <c r="A20909" t="s">
        <v>231</v>
      </c>
      <c r="B20909" s="1" t="str">
        <f>HYPERLINK("http://cerave.co","cerave.co")</f>
        <v>cerave.co</v>
      </c>
      <c r="C20909" t="s">
        <v>432</v>
      </c>
      <c r="F20909">
        <v>1.37828341198033E-8</v>
      </c>
      <c r="G20909">
        <v>4288371</v>
      </c>
      <c r="H20909">
        <v>11047922</v>
      </c>
      <c r="I20909">
        <v>32824591</v>
      </c>
      <c r="J20909">
        <v>3</v>
      </c>
    </row>
    <row r="20910" spans="1:10" x14ac:dyDescent="0.25">
      <c r="A20910" t="s">
        <v>231</v>
      </c>
      <c r="B20910" s="1" t="str">
        <f>HYPERLINK("http://kerastase.com.co","kerastase.com.co")</f>
        <v>kerastase.com.co</v>
      </c>
      <c r="C20910" t="s">
        <v>432</v>
      </c>
      <c r="F20910">
        <v>1.26544456080958E-8</v>
      </c>
      <c r="G20910">
        <v>4802584</v>
      </c>
      <c r="H20910">
        <v>12490050</v>
      </c>
      <c r="I20910">
        <v>17490709</v>
      </c>
      <c r="J20910">
        <v>4</v>
      </c>
    </row>
    <row r="20911" spans="1:10" x14ac:dyDescent="0.25">
      <c r="A20911" t="s">
        <v>231</v>
      </c>
      <c r="B20911" s="1" t="str">
        <f>HYPERLINK("http://lorealparis.com.co","lorealparis.com.co")</f>
        <v>lorealparis.com.co</v>
      </c>
      <c r="C20911" t="s">
        <v>432</v>
      </c>
      <c r="F20911">
        <v>6.3021136758836698E-9</v>
      </c>
      <c r="G20911">
        <v>15021420</v>
      </c>
      <c r="H20911">
        <v>12573565</v>
      </c>
      <c r="I20911">
        <v>16594583</v>
      </c>
      <c r="J20911">
        <v>5</v>
      </c>
    </row>
    <row r="20912" spans="1:10" x14ac:dyDescent="0.25">
      <c r="A20912" t="s">
        <v>231</v>
      </c>
      <c r="B20912" s="1" t="str">
        <f>HYPERLINK("http://vichy.com.co","vichy.com.co")</f>
        <v>vichy.com.co</v>
      </c>
      <c r="C20912" t="s">
        <v>432</v>
      </c>
      <c r="F20912">
        <v>5.28726990287554E-9</v>
      </c>
      <c r="G20912">
        <v>23684297</v>
      </c>
      <c r="H20912">
        <v>10496476</v>
      </c>
      <c r="I20912">
        <v>50508682</v>
      </c>
      <c r="J20912">
        <v>5</v>
      </c>
    </row>
    <row r="20913" spans="1:10" x14ac:dyDescent="0.25">
      <c r="A20913" t="s">
        <v>231</v>
      </c>
      <c r="B20913" s="1" t="str">
        <f>HYPERLINK("http://laroche-posay.co","laroche-posay.co")</f>
        <v>laroche-posay.co</v>
      </c>
      <c r="C20913" t="s">
        <v>432</v>
      </c>
      <c r="F20913">
        <v>1.4917904858214398E-8</v>
      </c>
      <c r="G20913">
        <v>3866695</v>
      </c>
      <c r="H20913">
        <v>10885964</v>
      </c>
      <c r="I20913">
        <v>36212312</v>
      </c>
      <c r="J20913">
        <v>4</v>
      </c>
    </row>
    <row r="20914" spans="1:10" x14ac:dyDescent="0.25">
      <c r="A20914" t="s">
        <v>231</v>
      </c>
      <c r="B20914" s="1" t="str">
        <f>HYPERLINK("http://lorealprofessionnel.co","lorealprofessionnel.co")</f>
        <v>lorealprofessionnel.co</v>
      </c>
      <c r="C20914" t="s">
        <v>432</v>
      </c>
      <c r="F20914">
        <v>7.6909477859603205E-9</v>
      </c>
      <c r="G20914">
        <v>10601672</v>
      </c>
      <c r="H20914">
        <v>12057898</v>
      </c>
      <c r="I20914">
        <v>27056436</v>
      </c>
      <c r="J20914">
        <v>5</v>
      </c>
    </row>
    <row r="20915" spans="1:10" x14ac:dyDescent="0.25">
      <c r="A20915" t="s">
        <v>231</v>
      </c>
      <c r="B20915" s="1" t="str">
        <f>HYPERLINK("http://maybelline.co","maybelline.co")</f>
        <v>maybelline.co</v>
      </c>
      <c r="C20915" t="s">
        <v>432</v>
      </c>
      <c r="F20915">
        <v>1.26778516151939E-8</v>
      </c>
      <c r="G20915">
        <v>4790678</v>
      </c>
      <c r="H20915">
        <v>12657589</v>
      </c>
      <c r="I20915">
        <v>15755084</v>
      </c>
      <c r="J20915">
        <v>5</v>
      </c>
    </row>
    <row r="20916" spans="1:10" x14ac:dyDescent="0.25">
      <c r="A20916" t="s">
        <v>231</v>
      </c>
      <c r="B20916" s="1" t="str">
        <f>HYPERLINK("http://biotherm.com","biotherm.com")</f>
        <v>biotherm.com</v>
      </c>
      <c r="C20916" t="s">
        <v>433</v>
      </c>
      <c r="E20916">
        <v>347892</v>
      </c>
      <c r="F20916">
        <v>9.1415442076197698E-8</v>
      </c>
      <c r="G20916">
        <v>445854</v>
      </c>
      <c r="H20916">
        <v>14382756</v>
      </c>
      <c r="I20916">
        <v>1187920</v>
      </c>
      <c r="J20916">
        <v>5</v>
      </c>
    </row>
    <row r="20917" spans="1:10" x14ac:dyDescent="0.25">
      <c r="A20917" t="s">
        <v>231</v>
      </c>
      <c r="B20917" s="1" t="str">
        <f>HYPERLINK("http://biotherm-usa.com","biotherm-usa.com")</f>
        <v>biotherm-usa.com</v>
      </c>
      <c r="C20917" t="s">
        <v>433</v>
      </c>
      <c r="F20917">
        <v>2.79401454220965E-8</v>
      </c>
      <c r="G20917">
        <v>1841052</v>
      </c>
      <c r="H20917">
        <v>13832977</v>
      </c>
      <c r="I20917">
        <v>6100228</v>
      </c>
      <c r="J20917">
        <v>4</v>
      </c>
    </row>
    <row r="20918" spans="1:10" x14ac:dyDescent="0.25">
      <c r="A20918" t="s">
        <v>231</v>
      </c>
      <c r="B20918" s="1" t="str">
        <f>HYPERLINK("http://canan.com","canan.com")</f>
        <v>canan.com</v>
      </c>
      <c r="C20918" t="s">
        <v>433</v>
      </c>
      <c r="F20918">
        <v>4.4970308616134797E-9</v>
      </c>
      <c r="G20918">
        <v>59388235</v>
      </c>
      <c r="H20918">
        <v>10352271</v>
      </c>
      <c r="I20918">
        <v>56067861</v>
      </c>
      <c r="J20918">
        <v>3</v>
      </c>
    </row>
    <row r="20919" spans="1:10" x14ac:dyDescent="0.25">
      <c r="A20919" t="s">
        <v>231</v>
      </c>
      <c r="B20919" s="1" t="str">
        <f>HYPERLINK("http://carita.com","carita.com")</f>
        <v>carita.com</v>
      </c>
      <c r="C20919" t="s">
        <v>433</v>
      </c>
      <c r="F20919">
        <v>5.77404205730631E-8</v>
      </c>
      <c r="G20919">
        <v>771599</v>
      </c>
      <c r="H20919">
        <v>14175282</v>
      </c>
      <c r="I20919">
        <v>1791389</v>
      </c>
      <c r="J20919">
        <v>4</v>
      </c>
    </row>
    <row r="20920" spans="1:10" x14ac:dyDescent="0.25">
      <c r="A20920" t="s">
        <v>231</v>
      </c>
      <c r="B20920" s="1" t="str">
        <f>HYPERLINK("http://cerave.com","cerave.com")</f>
        <v>cerave.com</v>
      </c>
      <c r="C20920" t="s">
        <v>433</v>
      </c>
      <c r="E20920">
        <v>38140</v>
      </c>
      <c r="F20920">
        <v>3.8473373350737498E-7</v>
      </c>
      <c r="G20920">
        <v>97331</v>
      </c>
      <c r="H20920">
        <v>15107319</v>
      </c>
      <c r="I20920">
        <v>405490</v>
      </c>
      <c r="J20920">
        <v>3</v>
      </c>
    </row>
    <row r="20921" spans="1:10" x14ac:dyDescent="0.25">
      <c r="A20921" t="s">
        <v>231</v>
      </c>
      <c r="B20921" s="1" t="str">
        <f>HYPERLINK("http://clarasonic.com","clarasonic.com")</f>
        <v>clarasonic.com</v>
      </c>
      <c r="C20921" t="s">
        <v>433</v>
      </c>
      <c r="F20921">
        <v>4.4815042235446803E-9</v>
      </c>
      <c r="G20921">
        <v>62046409</v>
      </c>
      <c r="H20921">
        <v>10919317</v>
      </c>
      <c r="I20921">
        <v>35424713</v>
      </c>
      <c r="J20921">
        <v>7</v>
      </c>
    </row>
    <row r="20922" spans="1:10" x14ac:dyDescent="0.25">
      <c r="A20922" t="s">
        <v>231</v>
      </c>
      <c r="B20922" s="1" t="str">
        <f>HYPERLINK("http://clarisonic.com","clarisonic.com")</f>
        <v>clarisonic.com</v>
      </c>
      <c r="C20922" t="s">
        <v>433</v>
      </c>
      <c r="E20922">
        <v>293548</v>
      </c>
      <c r="F20922">
        <v>1.4360340281507301E-7</v>
      </c>
      <c r="G20922">
        <v>271115</v>
      </c>
      <c r="H20922">
        <v>14410223</v>
      </c>
      <c r="I20922">
        <v>1145397</v>
      </c>
      <c r="J20922">
        <v>4</v>
      </c>
    </row>
    <row r="20923" spans="1:10" x14ac:dyDescent="0.25">
      <c r="A20923" t="s">
        <v>231</v>
      </c>
      <c r="B20923" s="1" t="str">
        <f>HYPERLINK("http://decleor.com","decleor.com")</f>
        <v>decleor.com</v>
      </c>
      <c r="C20923" t="s">
        <v>433</v>
      </c>
      <c r="E20923">
        <v>752689</v>
      </c>
      <c r="F20923">
        <v>8.8105363827522298E-8</v>
      </c>
      <c r="G20923">
        <v>465128</v>
      </c>
      <c r="H20923">
        <v>13876490</v>
      </c>
      <c r="I20923">
        <v>5989088</v>
      </c>
      <c r="J20923">
        <v>5</v>
      </c>
    </row>
    <row r="20924" spans="1:10" x14ac:dyDescent="0.25">
      <c r="A20924" t="s">
        <v>231</v>
      </c>
      <c r="B20924" s="1" t="str">
        <f>HYPERLINK("http://dermablend.com","dermablend.com")</f>
        <v>dermablend.com</v>
      </c>
      <c r="C20924" t="s">
        <v>433</v>
      </c>
      <c r="E20924">
        <v>342938</v>
      </c>
      <c r="F20924">
        <v>1.2708160686831399E-7</v>
      </c>
      <c r="G20924">
        <v>310314</v>
      </c>
      <c r="H20924">
        <v>14734990</v>
      </c>
      <c r="I20924">
        <v>569946</v>
      </c>
      <c r="J20924">
        <v>4</v>
      </c>
    </row>
    <row r="20925" spans="1:10" x14ac:dyDescent="0.25">
      <c r="A20925" t="s">
        <v>231</v>
      </c>
      <c r="B20925" s="1" t="str">
        <f>HYPERLINK("http://itcosmetics.com","itcosmetics.com")</f>
        <v>itcosmetics.com</v>
      </c>
      <c r="C20925" t="s">
        <v>433</v>
      </c>
      <c r="E20925">
        <v>84188</v>
      </c>
      <c r="F20925">
        <v>2.5200005242706402E-7</v>
      </c>
      <c r="G20925">
        <v>148419</v>
      </c>
      <c r="H20925">
        <v>17165574</v>
      </c>
      <c r="I20925">
        <v>48720</v>
      </c>
      <c r="J20925">
        <v>5</v>
      </c>
    </row>
    <row r="20926" spans="1:10" x14ac:dyDescent="0.25">
      <c r="A20926" t="s">
        <v>231</v>
      </c>
      <c r="B20926" s="1" t="str">
        <f>HYPERLINK("http://joliedevogue.com","joliedevogue.com")</f>
        <v>joliedevogue.com</v>
      </c>
      <c r="C20926" t="s">
        <v>433</v>
      </c>
      <c r="F20926">
        <v>4.9148416971581901E-9</v>
      </c>
      <c r="G20926">
        <v>32041603</v>
      </c>
      <c r="H20926">
        <v>12482808</v>
      </c>
      <c r="I20926">
        <v>17573705</v>
      </c>
      <c r="J20926">
        <v>3</v>
      </c>
    </row>
    <row r="20927" spans="1:10" x14ac:dyDescent="0.25">
      <c r="A20927" t="s">
        <v>231</v>
      </c>
      <c r="B20927" s="1" t="str">
        <f>HYPERLINK("http://kerastase.com","kerastase.com")</f>
        <v>kerastase.com</v>
      </c>
      <c r="C20927" t="s">
        <v>433</v>
      </c>
      <c r="E20927">
        <v>288067</v>
      </c>
      <c r="F20927">
        <v>1.81807621849479E-7</v>
      </c>
      <c r="G20927">
        <v>212268</v>
      </c>
      <c r="H20927">
        <v>14277602</v>
      </c>
      <c r="I20927">
        <v>1387360</v>
      </c>
      <c r="J20927">
        <v>3</v>
      </c>
    </row>
    <row r="20928" spans="1:10" x14ac:dyDescent="0.25">
      <c r="A20928" t="s">
        <v>231</v>
      </c>
      <c r="B20928" s="1" t="str">
        <f>HYPERLINK("http://kerastase-usa.com","kerastase-usa.com")</f>
        <v>kerastase-usa.com</v>
      </c>
      <c r="C20928" t="s">
        <v>433</v>
      </c>
      <c r="E20928">
        <v>95342</v>
      </c>
      <c r="F20928">
        <v>3.52044730558447E-7</v>
      </c>
      <c r="G20928">
        <v>106211</v>
      </c>
      <c r="H20928">
        <v>15094549</v>
      </c>
      <c r="I20928">
        <v>407294</v>
      </c>
      <c r="J20928">
        <v>4</v>
      </c>
    </row>
    <row r="20929" spans="1:10" x14ac:dyDescent="0.25">
      <c r="A20929" t="s">
        <v>231</v>
      </c>
      <c r="B20929" s="1" t="str">
        <f>HYPERLINK("http://kiehls.com","kiehls.com")</f>
        <v>kiehls.com</v>
      </c>
      <c r="C20929" t="s">
        <v>433</v>
      </c>
      <c r="E20929">
        <v>29331</v>
      </c>
      <c r="F20929">
        <v>8.3941013643794704E-7</v>
      </c>
      <c r="G20929">
        <v>47312</v>
      </c>
      <c r="H20929">
        <v>15317158</v>
      </c>
      <c r="I20929">
        <v>384841</v>
      </c>
      <c r="J20929">
        <v>4</v>
      </c>
    </row>
    <row r="20930" spans="1:10" x14ac:dyDescent="0.25">
      <c r="A20930" t="s">
        <v>231</v>
      </c>
      <c r="B20930" s="1" t="str">
        <f>HYPERLINK("http://lancome.com","lancome.com")</f>
        <v>lancome.com</v>
      </c>
      <c r="C20930" t="s">
        <v>433</v>
      </c>
      <c r="E20930">
        <v>254987</v>
      </c>
      <c r="F20930">
        <v>8.4180580077233195E-8</v>
      </c>
      <c r="G20930">
        <v>491331</v>
      </c>
      <c r="H20930">
        <v>14612245</v>
      </c>
      <c r="I20930">
        <v>675640</v>
      </c>
      <c r="J20930">
        <v>3</v>
      </c>
    </row>
    <row r="20931" spans="1:10" x14ac:dyDescent="0.25">
      <c r="A20931" t="s">
        <v>231</v>
      </c>
      <c r="B20931" s="1" t="str">
        <f>HYPERLINK("http://laroche-posay.com","laroche-posay.com")</f>
        <v>laroche-posay.com</v>
      </c>
      <c r="C20931" t="s">
        <v>433</v>
      </c>
      <c r="E20931">
        <v>469851</v>
      </c>
      <c r="F20931">
        <v>1.07415748160091E-7</v>
      </c>
      <c r="G20931">
        <v>372687</v>
      </c>
      <c r="H20931">
        <v>14214179</v>
      </c>
      <c r="I20931">
        <v>1696149</v>
      </c>
      <c r="J20931">
        <v>3</v>
      </c>
    </row>
    <row r="20932" spans="1:10" x14ac:dyDescent="0.25">
      <c r="A20932" t="s">
        <v>231</v>
      </c>
      <c r="B20932" s="1" t="str">
        <f>HYPERLINK("http://lethalcartel.com","lethalcartel.com")</f>
        <v>lethalcartel.com</v>
      </c>
      <c r="C20932" t="s">
        <v>433</v>
      </c>
      <c r="F20932">
        <v>4.44380395335525E-9</v>
      </c>
      <c r="G20932">
        <v>82407138</v>
      </c>
      <c r="H20932">
        <v>0</v>
      </c>
      <c r="I20932">
        <v>83009426</v>
      </c>
      <c r="J20932">
        <v>7</v>
      </c>
    </row>
    <row r="20933" spans="1:10" x14ac:dyDescent="0.25">
      <c r="A20933" t="s">
        <v>231</v>
      </c>
      <c r="B20933" s="1" t="str">
        <f>HYPERLINK("http://loreal.com","loreal.com")</f>
        <v>loreal.com</v>
      </c>
      <c r="C20933" t="s">
        <v>433</v>
      </c>
      <c r="E20933">
        <v>11767</v>
      </c>
      <c r="F20933">
        <v>5.4450590374003697E-6</v>
      </c>
      <c r="G20933">
        <v>6370</v>
      </c>
      <c r="H20933">
        <v>17856676</v>
      </c>
      <c r="I20933">
        <v>4907</v>
      </c>
      <c r="J20933">
        <v>2</v>
      </c>
    </row>
    <row r="20934" spans="1:10" x14ac:dyDescent="0.25">
      <c r="A20934" t="s">
        <v>231</v>
      </c>
      <c r="B20934" s="1" t="str">
        <f>HYPERLINK("http://loreal-paris-me.com","loreal-paris-me.com")</f>
        <v>loreal-paris-me.com</v>
      </c>
      <c r="C20934" t="s">
        <v>433</v>
      </c>
      <c r="F20934">
        <v>1.8097186206086199E-8</v>
      </c>
      <c r="G20934">
        <v>3010337</v>
      </c>
      <c r="H20934">
        <v>10859013</v>
      </c>
      <c r="I20934">
        <v>36686214</v>
      </c>
      <c r="J20934">
        <v>5</v>
      </c>
    </row>
    <row r="20935" spans="1:10" x14ac:dyDescent="0.25">
      <c r="A20935" t="s">
        <v>231</v>
      </c>
      <c r="B20935" s="1" t="str">
        <f>HYPERLINK("http://lorealamericas.com","lorealamericas.com")</f>
        <v>lorealamericas.com</v>
      </c>
      <c r="C20935" t="s">
        <v>433</v>
      </c>
      <c r="J20935">
        <v>5</v>
      </c>
    </row>
    <row r="20936" spans="1:10" x14ac:dyDescent="0.25">
      <c r="A20936" t="s">
        <v>231</v>
      </c>
      <c r="B20936" s="1" t="str">
        <f>HYPERLINK("http://lorealparis.com","lorealparis.com")</f>
        <v>lorealparis.com</v>
      </c>
      <c r="C20936" t="s">
        <v>433</v>
      </c>
      <c r="F20936">
        <v>7.9649580246158694E-8</v>
      </c>
      <c r="G20936">
        <v>524488</v>
      </c>
      <c r="H20936">
        <v>14176212</v>
      </c>
      <c r="I20936">
        <v>1789325</v>
      </c>
      <c r="J20936">
        <v>5</v>
      </c>
    </row>
    <row r="20937" spans="1:10" x14ac:dyDescent="0.25">
      <c r="A20937" t="s">
        <v>231</v>
      </c>
      <c r="B20937" s="1" t="str">
        <f>HYPERLINK("http://lorealparis-centroamerica.com","lorealparis-centroamerica.com")</f>
        <v>lorealparis-centroamerica.com</v>
      </c>
      <c r="C20937" t="s">
        <v>433</v>
      </c>
      <c r="F20937">
        <v>5.9696342946777296E-9</v>
      </c>
      <c r="G20937">
        <v>16884068</v>
      </c>
      <c r="H20937">
        <v>10351277</v>
      </c>
      <c r="I20937">
        <v>56239561</v>
      </c>
      <c r="J20937">
        <v>5</v>
      </c>
    </row>
    <row r="20938" spans="1:10" x14ac:dyDescent="0.25">
      <c r="A20938" t="s">
        <v>231</v>
      </c>
      <c r="B20938" s="1" t="str">
        <f>HYPERLINK("http://lorealparis-me.com","lorealparis-me.com")</f>
        <v>lorealparis-me.com</v>
      </c>
      <c r="C20938" t="s">
        <v>433</v>
      </c>
      <c r="F20938">
        <v>4.4830596436340498E-9</v>
      </c>
      <c r="G20938">
        <v>61753481</v>
      </c>
      <c r="H20938">
        <v>10430763</v>
      </c>
      <c r="I20938">
        <v>53330197</v>
      </c>
      <c r="J20938">
        <v>4</v>
      </c>
    </row>
    <row r="20939" spans="1:10" x14ac:dyDescent="0.25">
      <c r="A20939" t="s">
        <v>231</v>
      </c>
      <c r="B20939" s="1" t="str">
        <f>HYPERLINK("http://lorealparisusa.com","lorealparisusa.com")</f>
        <v>lorealparisusa.com</v>
      </c>
      <c r="C20939" t="s">
        <v>433</v>
      </c>
      <c r="E20939">
        <v>30050</v>
      </c>
      <c r="F20939">
        <v>2.4844353598397001E-6</v>
      </c>
      <c r="G20939">
        <v>15068</v>
      </c>
      <c r="H20939">
        <v>15923749</v>
      </c>
      <c r="I20939">
        <v>366990</v>
      </c>
      <c r="J20939">
        <v>4</v>
      </c>
    </row>
    <row r="20940" spans="1:10" x14ac:dyDescent="0.25">
      <c r="A20940" t="s">
        <v>231</v>
      </c>
      <c r="B20940" s="1" t="str">
        <f>HYPERLINK("http://lorealprofessionnel.com","lorealprofessionnel.com")</f>
        <v>lorealprofessionnel.com</v>
      </c>
      <c r="C20940" t="s">
        <v>433</v>
      </c>
      <c r="E20940">
        <v>196708</v>
      </c>
      <c r="F20940">
        <v>5.8167403684767799E-7</v>
      </c>
      <c r="G20940">
        <v>65677</v>
      </c>
      <c r="H20940">
        <v>17117932</v>
      </c>
      <c r="I20940">
        <v>60675</v>
      </c>
      <c r="J20940">
        <v>4</v>
      </c>
    </row>
    <row r="20941" spans="1:10" x14ac:dyDescent="0.25">
      <c r="A20941" t="s">
        <v>231</v>
      </c>
      <c r="B20941" s="1" t="str">
        <f>HYPERLINK("http://lorealusa.com","lorealusa.com")</f>
        <v>lorealusa.com</v>
      </c>
      <c r="C20941" t="s">
        <v>433</v>
      </c>
      <c r="E20941">
        <v>277348</v>
      </c>
      <c r="F20941">
        <v>3.1196393756917298E-7</v>
      </c>
      <c r="G20941">
        <v>119190</v>
      </c>
      <c r="H20941">
        <v>14851326</v>
      </c>
      <c r="I20941">
        <v>490140</v>
      </c>
      <c r="J20941">
        <v>4</v>
      </c>
    </row>
    <row r="20942" spans="1:10" x14ac:dyDescent="0.25">
      <c r="A20942" t="s">
        <v>231</v>
      </c>
      <c r="B20942" s="1" t="str">
        <f>HYPERLINK("http://maybelline.com","maybelline.com")</f>
        <v>maybelline.com</v>
      </c>
      <c r="C20942" t="s">
        <v>433</v>
      </c>
      <c r="E20942">
        <v>41761</v>
      </c>
      <c r="F20942">
        <v>9.6773242761369407E-7</v>
      </c>
      <c r="G20942">
        <v>39534</v>
      </c>
      <c r="H20942">
        <v>17436008</v>
      </c>
      <c r="I20942">
        <v>16915</v>
      </c>
      <c r="J20942">
        <v>4</v>
      </c>
    </row>
    <row r="20943" spans="1:10" x14ac:dyDescent="0.25">
      <c r="A20943" t="s">
        <v>231</v>
      </c>
      <c r="B20943" s="1" t="str">
        <f>HYPERLINK("http://modiface.com","modiface.com")</f>
        <v>modiface.com</v>
      </c>
      <c r="C20943" t="s">
        <v>433</v>
      </c>
      <c r="E20943">
        <v>154944</v>
      </c>
      <c r="F20943">
        <v>2.9872127754597302E-7</v>
      </c>
      <c r="G20943">
        <v>124490</v>
      </c>
      <c r="H20943">
        <v>17095558</v>
      </c>
      <c r="I20943">
        <v>64765</v>
      </c>
      <c r="J20943">
        <v>3</v>
      </c>
    </row>
    <row r="20944" spans="1:10" x14ac:dyDescent="0.25">
      <c r="A20944" t="s">
        <v>231</v>
      </c>
      <c r="B20944" s="1" t="str">
        <f>HYPERLINK("http://mugler.com","mugler.com")</f>
        <v>mugler.com</v>
      </c>
      <c r="C20944" t="s">
        <v>433</v>
      </c>
      <c r="E20944">
        <v>235333</v>
      </c>
      <c r="F20944">
        <v>3.6826007636260501E-7</v>
      </c>
      <c r="G20944">
        <v>101644</v>
      </c>
      <c r="H20944">
        <v>15124450</v>
      </c>
      <c r="I20944">
        <v>403116</v>
      </c>
      <c r="J20944">
        <v>4</v>
      </c>
    </row>
    <row r="20945" spans="1:10" x14ac:dyDescent="0.25">
      <c r="A20945" t="s">
        <v>231</v>
      </c>
      <c r="B20945" s="1" t="str">
        <f>HYPERLINK("http://muglerusa.com","muglerusa.com")</f>
        <v>muglerusa.com</v>
      </c>
      <c r="C20945" t="s">
        <v>433</v>
      </c>
      <c r="E20945">
        <v>341853</v>
      </c>
      <c r="F20945">
        <v>6.2296718757020306E-8</v>
      </c>
      <c r="G20945">
        <v>704863</v>
      </c>
      <c r="H20945">
        <v>14284896</v>
      </c>
      <c r="I20945">
        <v>1372869</v>
      </c>
      <c r="J20945">
        <v>4</v>
      </c>
    </row>
    <row r="20946" spans="1:10" x14ac:dyDescent="0.25">
      <c r="A20946" t="s">
        <v>231</v>
      </c>
      <c r="B20946" s="1" t="str">
        <f>HYPERLINK("http://noveal.com","noveal.com")</f>
        <v>noveal.com</v>
      </c>
      <c r="C20946" t="s">
        <v>433</v>
      </c>
      <c r="F20946">
        <v>1.4792400636532699E-8</v>
      </c>
      <c r="G20946">
        <v>3909739</v>
      </c>
      <c r="H20946">
        <v>12781865</v>
      </c>
      <c r="I20946">
        <v>14737439</v>
      </c>
      <c r="J20946">
        <v>6</v>
      </c>
    </row>
    <row r="20947" spans="1:10" x14ac:dyDescent="0.25">
      <c r="A20947" t="s">
        <v>231</v>
      </c>
      <c r="B20947" s="1" t="str">
        <f>HYPERLINK("http://nyxcosmetics.com","nyxcosmetics.com")</f>
        <v>nyxcosmetics.com</v>
      </c>
      <c r="C20947" t="s">
        <v>433</v>
      </c>
      <c r="E20947">
        <v>43710</v>
      </c>
      <c r="F20947">
        <v>7.3010356331705398E-7</v>
      </c>
      <c r="G20947">
        <v>53270</v>
      </c>
      <c r="H20947">
        <v>15275167</v>
      </c>
      <c r="I20947">
        <v>388073</v>
      </c>
      <c r="J20947">
        <v>4</v>
      </c>
    </row>
    <row r="20948" spans="1:10" x14ac:dyDescent="0.25">
      <c r="A20948" t="s">
        <v>231</v>
      </c>
      <c r="B20948" s="1" t="str">
        <f>HYPERLINK("http://prada-beauty.com","prada-beauty.com")</f>
        <v>prada-beauty.com</v>
      </c>
      <c r="C20948" t="s">
        <v>433</v>
      </c>
      <c r="F20948">
        <v>4.2983611453067502E-8</v>
      </c>
      <c r="G20948">
        <v>1119384</v>
      </c>
      <c r="H20948">
        <v>13640982</v>
      </c>
      <c r="I20948">
        <v>9611024</v>
      </c>
      <c r="J20948">
        <v>4</v>
      </c>
    </row>
    <row r="20949" spans="1:10" x14ac:dyDescent="0.25">
      <c r="A20949" t="s">
        <v>231</v>
      </c>
      <c r="B20949" s="1" t="str">
        <f>HYPERLINK("http://pureology.com","pureology.com")</f>
        <v>pureology.com</v>
      </c>
      <c r="C20949" t="s">
        <v>433</v>
      </c>
      <c r="E20949">
        <v>201147</v>
      </c>
      <c r="F20949">
        <v>1.3890850188032E-7</v>
      </c>
      <c r="G20949">
        <v>280459</v>
      </c>
      <c r="H20949">
        <v>14874984</v>
      </c>
      <c r="I20949">
        <v>475784</v>
      </c>
      <c r="J20949">
        <v>4</v>
      </c>
    </row>
    <row r="20950" spans="1:10" x14ac:dyDescent="0.25">
      <c r="A20950" t="s">
        <v>231</v>
      </c>
      <c r="B20950" s="1" t="str">
        <f>HYPERLINK("http://shuuemura.com","shuuemura.com")</f>
        <v>shuuemura.com</v>
      </c>
      <c r="C20950" t="s">
        <v>433</v>
      </c>
      <c r="F20950">
        <v>3.81636434839621E-8</v>
      </c>
      <c r="G20950">
        <v>1356359</v>
      </c>
      <c r="H20950">
        <v>14147503</v>
      </c>
      <c r="I20950">
        <v>1889720</v>
      </c>
      <c r="J20950">
        <v>4</v>
      </c>
    </row>
    <row r="20951" spans="1:10" x14ac:dyDescent="0.25">
      <c r="A20951" t="s">
        <v>231</v>
      </c>
      <c r="B20951" s="1" t="str">
        <f>HYPERLINK("http://shuuemura-usa.com","shuuemura-usa.com")</f>
        <v>shuuemura-usa.com</v>
      </c>
      <c r="C20951" t="s">
        <v>433</v>
      </c>
      <c r="E20951">
        <v>215906</v>
      </c>
      <c r="F20951">
        <v>1.47106007808743E-7</v>
      </c>
      <c r="G20951">
        <v>264671</v>
      </c>
      <c r="H20951">
        <v>14598270</v>
      </c>
      <c r="I20951">
        <v>687843</v>
      </c>
      <c r="J20951">
        <v>4</v>
      </c>
    </row>
    <row r="20952" spans="1:10" x14ac:dyDescent="0.25">
      <c r="A20952" t="s">
        <v>231</v>
      </c>
      <c r="B20952" s="1" t="str">
        <f>HYPERLINK("http://shuuemuraartofhair-usa.com","shuuemuraartofhair-usa.com")</f>
        <v>shuuemuraartofhair-usa.com</v>
      </c>
      <c r="C20952" t="s">
        <v>433</v>
      </c>
      <c r="E20952">
        <v>533989</v>
      </c>
      <c r="F20952">
        <v>9.3835084609887697E-8</v>
      </c>
      <c r="G20952">
        <v>432813</v>
      </c>
      <c r="H20952">
        <v>14251413</v>
      </c>
      <c r="I20952">
        <v>1444257</v>
      </c>
      <c r="J20952">
        <v>4</v>
      </c>
    </row>
    <row r="20953" spans="1:10" x14ac:dyDescent="0.25">
      <c r="A20953" t="s">
        <v>231</v>
      </c>
      <c r="B20953" s="1" t="str">
        <f>HYPERLINK("http://skinceuticals.com","skinceuticals.com")</f>
        <v>skinceuticals.com</v>
      </c>
      <c r="C20953" t="s">
        <v>433</v>
      </c>
      <c r="E20953">
        <v>38460</v>
      </c>
      <c r="F20953">
        <v>5.0000849378620802E-7</v>
      </c>
      <c r="G20953">
        <v>76459</v>
      </c>
      <c r="H20953">
        <v>14973686</v>
      </c>
      <c r="I20953">
        <v>432883</v>
      </c>
      <c r="J20953">
        <v>4</v>
      </c>
    </row>
    <row r="20954" spans="1:10" x14ac:dyDescent="0.25">
      <c r="A20954" t="s">
        <v>231</v>
      </c>
      <c r="B20954" s="1" t="str">
        <f>HYPERLINK("http://thayers.com","thayers.com")</f>
        <v>thayers.com</v>
      </c>
      <c r="C20954" t="s">
        <v>433</v>
      </c>
      <c r="E20954">
        <v>672780</v>
      </c>
      <c r="F20954">
        <v>5.9137947163806401E-8</v>
      </c>
      <c r="G20954">
        <v>749511</v>
      </c>
      <c r="H20954">
        <v>14410663</v>
      </c>
      <c r="I20954">
        <v>1145095</v>
      </c>
      <c r="J20954">
        <v>4</v>
      </c>
    </row>
    <row r="20955" spans="1:10" x14ac:dyDescent="0.25">
      <c r="A20955" t="s">
        <v>231</v>
      </c>
      <c r="B20955" s="1" t="str">
        <f>HYPERLINK("http://urbandecay.com","urbandecay.com")</f>
        <v>urbandecay.com</v>
      </c>
      <c r="C20955" t="s">
        <v>433</v>
      </c>
      <c r="E20955">
        <v>46338</v>
      </c>
      <c r="F20955">
        <v>4.48721490715722E-7</v>
      </c>
      <c r="G20955">
        <v>84164</v>
      </c>
      <c r="H20955">
        <v>15042974</v>
      </c>
      <c r="I20955">
        <v>415988</v>
      </c>
      <c r="J20955">
        <v>4</v>
      </c>
    </row>
    <row r="20956" spans="1:10" x14ac:dyDescent="0.25">
      <c r="A20956" t="s">
        <v>231</v>
      </c>
      <c r="B20956" s="1" t="str">
        <f>HYPERLINK("http://vichy.com","vichy.com")</f>
        <v>vichy.com</v>
      </c>
      <c r="C20956" t="s">
        <v>433</v>
      </c>
      <c r="E20956">
        <v>530984</v>
      </c>
      <c r="F20956">
        <v>6.5055744764745306E-8</v>
      </c>
      <c r="G20956">
        <v>662214</v>
      </c>
      <c r="H20956">
        <v>14194333</v>
      </c>
      <c r="I20956">
        <v>1740254</v>
      </c>
      <c r="J20956">
        <v>4</v>
      </c>
    </row>
    <row r="20957" spans="1:10" x14ac:dyDescent="0.25">
      <c r="A20957" t="s">
        <v>231</v>
      </c>
      <c r="B20957" s="1" t="str">
        <f>HYPERLINK("http://vichy-me.com","vichy-me.com")</f>
        <v>vichy-me.com</v>
      </c>
      <c r="C20957" t="s">
        <v>433</v>
      </c>
      <c r="F20957">
        <v>2.6402816720162102E-8</v>
      </c>
      <c r="G20957">
        <v>1950130</v>
      </c>
      <c r="H20957">
        <v>14072672</v>
      </c>
      <c r="I20957">
        <v>3059296</v>
      </c>
      <c r="J20957">
        <v>5</v>
      </c>
    </row>
    <row r="20958" spans="1:10" x14ac:dyDescent="0.25">
      <c r="A20958" t="s">
        <v>231</v>
      </c>
      <c r="B20958" s="1" t="str">
        <f>HYPERLINK("http://vichyusa.com","vichyusa.com")</f>
        <v>vichyusa.com</v>
      </c>
      <c r="C20958" t="s">
        <v>433</v>
      </c>
      <c r="E20958">
        <v>279610</v>
      </c>
      <c r="F20958">
        <v>1.53506572006566E-7</v>
      </c>
      <c r="G20958">
        <v>253036</v>
      </c>
      <c r="H20958">
        <v>17059094</v>
      </c>
      <c r="I20958">
        <v>74360</v>
      </c>
      <c r="J20958">
        <v>4</v>
      </c>
    </row>
    <row r="20959" spans="1:10" x14ac:dyDescent="0.25">
      <c r="A20959" t="s">
        <v>231</v>
      </c>
      <c r="B20959" s="1" t="str">
        <f>HYPERLINK("http://viktor-rolf.com","viktor-rolf.com")</f>
        <v>viktor-rolf.com</v>
      </c>
      <c r="C20959" t="s">
        <v>433</v>
      </c>
      <c r="E20959">
        <v>160537</v>
      </c>
      <c r="F20959">
        <v>1.5130373201819501E-7</v>
      </c>
      <c r="G20959">
        <v>256717</v>
      </c>
      <c r="H20959">
        <v>14635654</v>
      </c>
      <c r="I20959">
        <v>640844</v>
      </c>
      <c r="J20959">
        <v>4</v>
      </c>
    </row>
    <row r="20960" spans="1:10" x14ac:dyDescent="0.25">
      <c r="A20960" t="s">
        <v>231</v>
      </c>
      <c r="B20960" s="1" t="str">
        <f>HYPERLINK("http://yslbeauty.com","yslbeauty.com")</f>
        <v>yslbeauty.com</v>
      </c>
      <c r="C20960" t="s">
        <v>433</v>
      </c>
      <c r="E20960">
        <v>553705</v>
      </c>
      <c r="F20960">
        <v>1.18213653907645E-7</v>
      </c>
      <c r="G20960">
        <v>335161</v>
      </c>
      <c r="H20960">
        <v>15228959</v>
      </c>
      <c r="I20960">
        <v>392411</v>
      </c>
      <c r="J20960">
        <v>4</v>
      </c>
    </row>
    <row r="20961" spans="1:10" x14ac:dyDescent="0.25">
      <c r="A20961" t="s">
        <v>231</v>
      </c>
      <c r="B20961" s="1" t="str">
        <f>HYPERLINK("http://yslbeautyth.com","yslbeautyth.com")</f>
        <v>yslbeautyth.com</v>
      </c>
      <c r="C20961" t="s">
        <v>433</v>
      </c>
      <c r="E20961">
        <v>625407</v>
      </c>
      <c r="F20961">
        <v>6.1016941786608006E-8</v>
      </c>
      <c r="G20961">
        <v>722093</v>
      </c>
      <c r="H20961">
        <v>13868612</v>
      </c>
      <c r="I20961">
        <v>6002560</v>
      </c>
      <c r="J20961">
        <v>4</v>
      </c>
    </row>
    <row r="20962" spans="1:10" x14ac:dyDescent="0.25">
      <c r="A20962" t="s">
        <v>231</v>
      </c>
      <c r="B20962" s="1" t="str">
        <f>HYPERLINK("http://cerave.cz","cerave.cz")</f>
        <v>cerave.cz</v>
      </c>
      <c r="C20962" t="s">
        <v>435</v>
      </c>
      <c r="D20962" t="s">
        <v>814</v>
      </c>
      <c r="F20962">
        <v>1.4680558265677801E-8</v>
      </c>
      <c r="G20962">
        <v>3947731</v>
      </c>
      <c r="H20962">
        <v>12155518</v>
      </c>
      <c r="I20962">
        <v>24482689</v>
      </c>
      <c r="J20962">
        <v>3</v>
      </c>
    </row>
    <row r="20963" spans="1:10" x14ac:dyDescent="0.25">
      <c r="A20963" t="s">
        <v>231</v>
      </c>
      <c r="B20963" s="1" t="str">
        <f>HYPERLINK("http://kiehls.cz","kiehls.cz")</f>
        <v>kiehls.cz</v>
      </c>
      <c r="C20963" t="s">
        <v>435</v>
      </c>
      <c r="D20963" t="s">
        <v>814</v>
      </c>
      <c r="F20963">
        <v>2.1566149565816501E-8</v>
      </c>
      <c r="G20963">
        <v>2440789</v>
      </c>
      <c r="H20963">
        <v>13773512</v>
      </c>
      <c r="I20963">
        <v>6629901</v>
      </c>
      <c r="J20963">
        <v>5</v>
      </c>
    </row>
    <row r="20964" spans="1:10" x14ac:dyDescent="0.25">
      <c r="A20964" t="s">
        <v>231</v>
      </c>
      <c r="B20964" s="1" t="str">
        <f>HYPERLINK("http://lancome.cz","lancome.cz")</f>
        <v>lancome.cz</v>
      </c>
      <c r="C20964" t="s">
        <v>435</v>
      </c>
      <c r="D20964" t="s">
        <v>814</v>
      </c>
      <c r="F20964">
        <v>7.5805391550634005E-9</v>
      </c>
      <c r="G20964">
        <v>10835911</v>
      </c>
      <c r="H20964">
        <v>10927520</v>
      </c>
      <c r="I20964">
        <v>35119957</v>
      </c>
      <c r="J20964">
        <v>4</v>
      </c>
    </row>
    <row r="20965" spans="1:10" x14ac:dyDescent="0.25">
      <c r="A20965" t="s">
        <v>231</v>
      </c>
      <c r="B20965" s="1" t="str">
        <f>HYPERLINK("http://laroche-posay.cz","laroche-posay.cz")</f>
        <v>laroche-posay.cz</v>
      </c>
      <c r="C20965" t="s">
        <v>435</v>
      </c>
      <c r="D20965" t="s">
        <v>814</v>
      </c>
      <c r="F20965">
        <v>4.7553348268660501E-8</v>
      </c>
      <c r="G20965">
        <v>979249</v>
      </c>
      <c r="H20965">
        <v>13776399</v>
      </c>
      <c r="I20965">
        <v>6555973</v>
      </c>
      <c r="J20965">
        <v>4</v>
      </c>
    </row>
    <row r="20966" spans="1:10" x14ac:dyDescent="0.25">
      <c r="A20966" t="s">
        <v>231</v>
      </c>
      <c r="B20966" s="1" t="str">
        <f>HYPERLINK("http://loreal.cz","loreal.cz")</f>
        <v>loreal.cz</v>
      </c>
      <c r="C20966" t="s">
        <v>435</v>
      </c>
      <c r="D20966" t="s">
        <v>814</v>
      </c>
      <c r="F20966">
        <v>2.4830693011554599E-8</v>
      </c>
      <c r="G20966">
        <v>2082532</v>
      </c>
      <c r="H20966">
        <v>14008107</v>
      </c>
      <c r="I20966">
        <v>4003367</v>
      </c>
      <c r="J20966">
        <v>3</v>
      </c>
    </row>
    <row r="20967" spans="1:10" x14ac:dyDescent="0.25">
      <c r="A20967" t="s">
        <v>231</v>
      </c>
      <c r="B20967" s="1" t="str">
        <f>HYPERLINK("http://lorealparis.cz","lorealparis.cz")</f>
        <v>lorealparis.cz</v>
      </c>
      <c r="C20967" t="s">
        <v>435</v>
      </c>
      <c r="D20967" t="s">
        <v>814</v>
      </c>
      <c r="F20967">
        <v>1.1938593685897599E-8</v>
      </c>
      <c r="G20967">
        <v>5213909</v>
      </c>
      <c r="H20967">
        <v>13766738</v>
      </c>
      <c r="I20967">
        <v>6978795</v>
      </c>
      <c r="J20967">
        <v>5</v>
      </c>
    </row>
    <row r="20968" spans="1:10" x14ac:dyDescent="0.25">
      <c r="A20968" t="s">
        <v>231</v>
      </c>
      <c r="B20968" s="1" t="str">
        <f>HYPERLINK("http://vichy.cz","vichy.cz")</f>
        <v>vichy.cz</v>
      </c>
      <c r="C20968" t="s">
        <v>435</v>
      </c>
      <c r="D20968" t="s">
        <v>814</v>
      </c>
      <c r="F20968">
        <v>2.40054907332861E-8</v>
      </c>
      <c r="G20968">
        <v>2162410</v>
      </c>
      <c r="H20968">
        <v>13768347</v>
      </c>
      <c r="I20968">
        <v>6880645</v>
      </c>
      <c r="J20968">
        <v>3</v>
      </c>
    </row>
    <row r="20969" spans="1:10" x14ac:dyDescent="0.25">
      <c r="A20969" t="s">
        <v>231</v>
      </c>
      <c r="B20969" s="1" t="str">
        <f>HYPERLINK("http://armanibeauty.de","armanibeauty.de")</f>
        <v>armanibeauty.de</v>
      </c>
      <c r="C20969" t="s">
        <v>436</v>
      </c>
      <c r="D20969" t="s">
        <v>815</v>
      </c>
      <c r="F20969">
        <v>3.4558214389622198E-8</v>
      </c>
      <c r="G20969">
        <v>1501229</v>
      </c>
      <c r="H20969">
        <v>12859770</v>
      </c>
      <c r="I20969">
        <v>14201562</v>
      </c>
      <c r="J20969">
        <v>4</v>
      </c>
    </row>
    <row r="20970" spans="1:10" x14ac:dyDescent="0.25">
      <c r="A20970" t="s">
        <v>231</v>
      </c>
      <c r="B20970" s="1" t="str">
        <f>HYPERLINK("http://cerave.de","cerave.de")</f>
        <v>cerave.de</v>
      </c>
      <c r="C20970" t="s">
        <v>436</v>
      </c>
      <c r="D20970" t="s">
        <v>815</v>
      </c>
      <c r="F20970">
        <v>3.0732010862859397E-8</v>
      </c>
      <c r="G20970">
        <v>1676256</v>
      </c>
      <c r="H20970">
        <v>13938551</v>
      </c>
      <c r="I20970">
        <v>4422677</v>
      </c>
      <c r="J20970">
        <v>3</v>
      </c>
    </row>
    <row r="20971" spans="1:10" x14ac:dyDescent="0.25">
      <c r="A20971" t="s">
        <v>231</v>
      </c>
      <c r="B20971" s="1" t="str">
        <f>HYPERLINK("http://helenarubinstein.de","helenarubinstein.de")</f>
        <v>helenarubinstein.de</v>
      </c>
      <c r="C20971" t="s">
        <v>436</v>
      </c>
      <c r="D20971" t="s">
        <v>815</v>
      </c>
      <c r="F20971">
        <v>8.5568308409576801E-9</v>
      </c>
      <c r="G20971">
        <v>8735633</v>
      </c>
      <c r="H20971">
        <v>12283494</v>
      </c>
      <c r="I20971">
        <v>21240898</v>
      </c>
      <c r="J20971">
        <v>5</v>
      </c>
    </row>
    <row r="20972" spans="1:10" x14ac:dyDescent="0.25">
      <c r="A20972" t="s">
        <v>231</v>
      </c>
      <c r="B20972" s="1" t="str">
        <f>HYPERLINK("http://kerastase.de","kerastase.de")</f>
        <v>kerastase.de</v>
      </c>
      <c r="C20972" t="s">
        <v>436</v>
      </c>
      <c r="D20972" t="s">
        <v>815</v>
      </c>
      <c r="E20972">
        <v>724478</v>
      </c>
      <c r="F20972">
        <v>1.0957539875906101E-7</v>
      </c>
      <c r="G20972">
        <v>365054</v>
      </c>
      <c r="H20972">
        <v>12733548</v>
      </c>
      <c r="I20972">
        <v>15180558</v>
      </c>
      <c r="J20972">
        <v>4</v>
      </c>
    </row>
    <row r="20973" spans="1:10" x14ac:dyDescent="0.25">
      <c r="A20973" t="s">
        <v>231</v>
      </c>
      <c r="B20973" s="1" t="str">
        <f>HYPERLINK("http://kiehls.de","kiehls.de")</f>
        <v>kiehls.de</v>
      </c>
      <c r="C20973" t="s">
        <v>436</v>
      </c>
      <c r="D20973" t="s">
        <v>815</v>
      </c>
      <c r="E20973">
        <v>900780</v>
      </c>
      <c r="F20973">
        <v>3.9083050597745701E-8</v>
      </c>
      <c r="G20973">
        <v>1319706</v>
      </c>
      <c r="H20973">
        <v>14136021</v>
      </c>
      <c r="I20973">
        <v>1965167</v>
      </c>
      <c r="J20973">
        <v>5</v>
      </c>
    </row>
    <row r="20974" spans="1:10" x14ac:dyDescent="0.25">
      <c r="A20974" t="s">
        <v>231</v>
      </c>
      <c r="B20974" s="1" t="str">
        <f>HYPERLINK("http://logocos.de","logocos.de")</f>
        <v>logocos.de</v>
      </c>
      <c r="C20974" t="s">
        <v>436</v>
      </c>
      <c r="D20974" t="s">
        <v>815</v>
      </c>
      <c r="F20974">
        <v>3.2384642862065903E-8</v>
      </c>
      <c r="G20974">
        <v>1595448</v>
      </c>
      <c r="H20974">
        <v>13778153</v>
      </c>
      <c r="I20974">
        <v>6525492</v>
      </c>
      <c r="J20974">
        <v>3</v>
      </c>
    </row>
    <row r="20975" spans="1:10" x14ac:dyDescent="0.25">
      <c r="A20975" t="s">
        <v>231</v>
      </c>
      <c r="B20975" s="1" t="str">
        <f>HYPERLINK("http://loreal.de","loreal.de")</f>
        <v>loreal.de</v>
      </c>
      <c r="C20975" t="s">
        <v>436</v>
      </c>
      <c r="D20975" t="s">
        <v>815</v>
      </c>
      <c r="F20975">
        <v>1.9956805732947199E-7</v>
      </c>
      <c r="G20975">
        <v>191213</v>
      </c>
      <c r="H20975">
        <v>14610097</v>
      </c>
      <c r="I20975">
        <v>677662</v>
      </c>
      <c r="J20975">
        <v>2</v>
      </c>
    </row>
    <row r="20976" spans="1:10" x14ac:dyDescent="0.25">
      <c r="A20976" t="s">
        <v>231</v>
      </c>
      <c r="B20976" s="1" t="str">
        <f>HYPERLINK("http://loreal-paris.de","loreal-paris.de")</f>
        <v>loreal-paris.de</v>
      </c>
      <c r="C20976" t="s">
        <v>436</v>
      </c>
      <c r="D20976" t="s">
        <v>815</v>
      </c>
      <c r="E20976">
        <v>464317</v>
      </c>
      <c r="F20976">
        <v>1.2629863076868001E-7</v>
      </c>
      <c r="G20976">
        <v>312280</v>
      </c>
      <c r="H20976">
        <v>14251455</v>
      </c>
      <c r="I20976">
        <v>1444134</v>
      </c>
      <c r="J20976">
        <v>5</v>
      </c>
    </row>
    <row r="20977" spans="1:10" x14ac:dyDescent="0.25">
      <c r="A20977" t="s">
        <v>231</v>
      </c>
      <c r="B20977" s="1" t="str">
        <f>HYPERLINK("http://lorealprofessionnel.de","lorealprofessionnel.de")</f>
        <v>lorealprofessionnel.de</v>
      </c>
      <c r="C20977" t="s">
        <v>436</v>
      </c>
      <c r="D20977" t="s">
        <v>815</v>
      </c>
      <c r="F20977">
        <v>8.68302405326428E-8</v>
      </c>
      <c r="G20977">
        <v>473101</v>
      </c>
      <c r="H20977">
        <v>12824269</v>
      </c>
      <c r="I20977">
        <v>14471216</v>
      </c>
      <c r="J20977">
        <v>5</v>
      </c>
    </row>
    <row r="20978" spans="1:10" x14ac:dyDescent="0.25">
      <c r="A20978" t="s">
        <v>231</v>
      </c>
      <c r="B20978" s="1" t="str">
        <f>HYPERLINK("http://matrixhaircare.de","matrixhaircare.de")</f>
        <v>matrixhaircare.de</v>
      </c>
      <c r="C20978" t="s">
        <v>436</v>
      </c>
      <c r="D20978" t="s">
        <v>815</v>
      </c>
      <c r="F20978">
        <v>1.35194062017756E-8</v>
      </c>
      <c r="G20978">
        <v>4395819</v>
      </c>
      <c r="H20978">
        <v>13763644</v>
      </c>
      <c r="I20978">
        <v>7910760</v>
      </c>
      <c r="J20978">
        <v>3</v>
      </c>
    </row>
    <row r="20979" spans="1:10" x14ac:dyDescent="0.25">
      <c r="A20979" t="s">
        <v>231</v>
      </c>
      <c r="B20979" s="1" t="str">
        <f>HYPERLINK("http://maybelline.de","maybelline.de")</f>
        <v>maybelline.de</v>
      </c>
      <c r="C20979" t="s">
        <v>436</v>
      </c>
      <c r="D20979" t="s">
        <v>815</v>
      </c>
      <c r="F20979">
        <v>8.0278639647366305E-8</v>
      </c>
      <c r="G20979">
        <v>520300</v>
      </c>
      <c r="H20979">
        <v>14918179</v>
      </c>
      <c r="I20979">
        <v>453017</v>
      </c>
      <c r="J20979">
        <v>5</v>
      </c>
    </row>
    <row r="20980" spans="1:10" x14ac:dyDescent="0.25">
      <c r="A20980" t="s">
        <v>231</v>
      </c>
      <c r="B20980" s="1" t="str">
        <f>HYPERLINK("http://nyxcosmetics.de","nyxcosmetics.de")</f>
        <v>nyxcosmetics.de</v>
      </c>
      <c r="C20980" t="s">
        <v>436</v>
      </c>
      <c r="D20980" t="s">
        <v>815</v>
      </c>
      <c r="F20980">
        <v>3.5028160720613901E-8</v>
      </c>
      <c r="G20980">
        <v>1483271</v>
      </c>
      <c r="H20980">
        <v>14123060</v>
      </c>
      <c r="I20980">
        <v>2189106</v>
      </c>
      <c r="J20980">
        <v>5</v>
      </c>
    </row>
    <row r="20981" spans="1:10" x14ac:dyDescent="0.25">
      <c r="A20981" t="s">
        <v>231</v>
      </c>
      <c r="B20981" s="1" t="str">
        <f>HYPERLINK("http://skinceuticals.de","skinceuticals.de")</f>
        <v>skinceuticals.de</v>
      </c>
      <c r="C20981" t="s">
        <v>436</v>
      </c>
      <c r="D20981" t="s">
        <v>815</v>
      </c>
      <c r="F20981">
        <v>5.8509211966006397E-8</v>
      </c>
      <c r="G20981">
        <v>759131</v>
      </c>
      <c r="H20981">
        <v>13953329</v>
      </c>
      <c r="I20981">
        <v>4151118</v>
      </c>
      <c r="J20981">
        <v>4</v>
      </c>
    </row>
    <row r="20982" spans="1:10" x14ac:dyDescent="0.25">
      <c r="A20982" t="s">
        <v>231</v>
      </c>
      <c r="B20982" s="1" t="str">
        <f>HYPERLINK("http://valentino-beauty.de","valentino-beauty.de")</f>
        <v>valentino-beauty.de</v>
      </c>
      <c r="C20982" t="s">
        <v>436</v>
      </c>
      <c r="D20982" t="s">
        <v>815</v>
      </c>
      <c r="F20982">
        <v>2.6994719342192802E-8</v>
      </c>
      <c r="G20982">
        <v>1905326</v>
      </c>
      <c r="H20982">
        <v>12522340</v>
      </c>
      <c r="I20982">
        <v>17125221</v>
      </c>
      <c r="J20982">
        <v>4</v>
      </c>
    </row>
    <row r="20983" spans="1:10" x14ac:dyDescent="0.25">
      <c r="A20983" t="s">
        <v>231</v>
      </c>
      <c r="B20983" s="1" t="str">
        <f>HYPERLINK("http://vichy.de","vichy.de")</f>
        <v>vichy.de</v>
      </c>
      <c r="C20983" t="s">
        <v>436</v>
      </c>
      <c r="D20983" t="s">
        <v>815</v>
      </c>
      <c r="E20983">
        <v>860125</v>
      </c>
      <c r="F20983">
        <v>1.2835563874065101E-7</v>
      </c>
      <c r="G20983">
        <v>305526</v>
      </c>
      <c r="H20983">
        <v>14200796</v>
      </c>
      <c r="I20983">
        <v>1722146</v>
      </c>
      <c r="J20983">
        <v>3</v>
      </c>
    </row>
    <row r="20984" spans="1:10" x14ac:dyDescent="0.25">
      <c r="A20984" t="s">
        <v>231</v>
      </c>
      <c r="B20984" s="1" t="str">
        <f>HYPERLINK("http://yslbeauty.de","yslbeauty.de")</f>
        <v>yslbeauty.de</v>
      </c>
      <c r="C20984" t="s">
        <v>436</v>
      </c>
      <c r="D20984" t="s">
        <v>815</v>
      </c>
      <c r="F20984">
        <v>8.0085330704740304E-9</v>
      </c>
      <c r="G20984">
        <v>9905168</v>
      </c>
      <c r="H20984">
        <v>12198303</v>
      </c>
      <c r="I20984">
        <v>23365543</v>
      </c>
      <c r="J20984">
        <v>4</v>
      </c>
    </row>
    <row r="20985" spans="1:10" x14ac:dyDescent="0.25">
      <c r="A20985" t="s">
        <v>231</v>
      </c>
      <c r="B20985" s="1" t="str">
        <f>HYPERLINK("http://cerave.dk","cerave.dk")</f>
        <v>cerave.dk</v>
      </c>
      <c r="C20985" t="s">
        <v>437</v>
      </c>
      <c r="D20985" t="s">
        <v>816</v>
      </c>
      <c r="F20985">
        <v>1.4289603000818001E-8</v>
      </c>
      <c r="G20985">
        <v>4097008</v>
      </c>
      <c r="H20985">
        <v>11065998</v>
      </c>
      <c r="I20985">
        <v>32623163</v>
      </c>
      <c r="J20985">
        <v>3</v>
      </c>
    </row>
    <row r="20986" spans="1:10" x14ac:dyDescent="0.25">
      <c r="A20986" t="s">
        <v>231</v>
      </c>
      <c r="B20986" s="1" t="str">
        <f>HYPERLINK("http://garnier.dk","garnier.dk")</f>
        <v>garnier.dk</v>
      </c>
      <c r="C20986" t="s">
        <v>437</v>
      </c>
      <c r="D20986" t="s">
        <v>816</v>
      </c>
      <c r="F20986">
        <v>6.4679341534674196E-9</v>
      </c>
      <c r="G20986">
        <v>14214494</v>
      </c>
      <c r="H20986">
        <v>11265337</v>
      </c>
      <c r="I20986">
        <v>30799101</v>
      </c>
      <c r="J20986">
        <v>5</v>
      </c>
    </row>
    <row r="20987" spans="1:10" x14ac:dyDescent="0.25">
      <c r="A20987" t="s">
        <v>231</v>
      </c>
      <c r="B20987" s="1" t="str">
        <f>HYPERLINK("http://kerastase.dk","kerastase.dk")</f>
        <v>kerastase.dk</v>
      </c>
      <c r="C20987" t="s">
        <v>437</v>
      </c>
      <c r="D20987" t="s">
        <v>816</v>
      </c>
      <c r="F20987">
        <v>9.6470294404321795E-9</v>
      </c>
      <c r="G20987">
        <v>7143184</v>
      </c>
      <c r="H20987">
        <v>10971584</v>
      </c>
      <c r="I20987">
        <v>34112451</v>
      </c>
      <c r="J20987">
        <v>3</v>
      </c>
    </row>
    <row r="20988" spans="1:10" x14ac:dyDescent="0.25">
      <c r="A20988" t="s">
        <v>231</v>
      </c>
      <c r="B20988" s="1" t="str">
        <f>HYPERLINK("http://kiehls.dk","kiehls.dk")</f>
        <v>kiehls.dk</v>
      </c>
      <c r="C20988" t="s">
        <v>437</v>
      </c>
      <c r="D20988" t="s">
        <v>816</v>
      </c>
      <c r="F20988">
        <v>1.8073618734334E-8</v>
      </c>
      <c r="G20988">
        <v>3015584</v>
      </c>
      <c r="H20988">
        <v>12285805</v>
      </c>
      <c r="I20988">
        <v>21194569</v>
      </c>
      <c r="J20988">
        <v>5</v>
      </c>
    </row>
    <row r="20989" spans="1:10" x14ac:dyDescent="0.25">
      <c r="A20989" t="s">
        <v>231</v>
      </c>
      <c r="B20989" s="1" t="str">
        <f>HYPERLINK("http://laroche-posay.dk","laroche-posay.dk")</f>
        <v>laroche-posay.dk</v>
      </c>
      <c r="C20989" t="s">
        <v>437</v>
      </c>
      <c r="D20989" t="s">
        <v>816</v>
      </c>
      <c r="F20989">
        <v>1.1702209051098799E-8</v>
      </c>
      <c r="G20989">
        <v>5365057</v>
      </c>
      <c r="H20989">
        <v>14072627</v>
      </c>
      <c r="I20989">
        <v>3064741</v>
      </c>
      <c r="J20989">
        <v>4</v>
      </c>
    </row>
    <row r="20990" spans="1:10" x14ac:dyDescent="0.25">
      <c r="A20990" t="s">
        <v>231</v>
      </c>
      <c r="B20990" s="1" t="str">
        <f>HYPERLINK("http://loreal.dk","loreal.dk")</f>
        <v>loreal.dk</v>
      </c>
      <c r="C20990" t="s">
        <v>437</v>
      </c>
      <c r="D20990" t="s">
        <v>816</v>
      </c>
      <c r="F20990">
        <v>1.21008848947106E-8</v>
      </c>
      <c r="G20990">
        <v>5112760</v>
      </c>
      <c r="H20990">
        <v>12434989</v>
      </c>
      <c r="I20990">
        <v>18214701</v>
      </c>
      <c r="J20990">
        <v>3</v>
      </c>
    </row>
    <row r="20991" spans="1:10" x14ac:dyDescent="0.25">
      <c r="A20991" t="s">
        <v>231</v>
      </c>
      <c r="B20991" s="1" t="str">
        <f>HYPERLINK("http://lorealparis.dk","lorealparis.dk")</f>
        <v>lorealparis.dk</v>
      </c>
      <c r="C20991" t="s">
        <v>437</v>
      </c>
      <c r="D20991" t="s">
        <v>816</v>
      </c>
      <c r="F20991">
        <v>2.3558508150885699E-8</v>
      </c>
      <c r="G20991">
        <v>2208380</v>
      </c>
      <c r="H20991">
        <v>14073514</v>
      </c>
      <c r="I20991">
        <v>2990227</v>
      </c>
      <c r="J20991">
        <v>5</v>
      </c>
    </row>
    <row r="20992" spans="1:10" x14ac:dyDescent="0.25">
      <c r="A20992" t="s">
        <v>231</v>
      </c>
      <c r="B20992" s="1" t="str">
        <f>HYPERLINK("http://maybelline.dk","maybelline.dk")</f>
        <v>maybelline.dk</v>
      </c>
      <c r="C20992" t="s">
        <v>437</v>
      </c>
      <c r="D20992" t="s">
        <v>816</v>
      </c>
      <c r="F20992">
        <v>3.04305381028613E-8</v>
      </c>
      <c r="G20992">
        <v>1691823</v>
      </c>
      <c r="H20992">
        <v>12738499</v>
      </c>
      <c r="I20992">
        <v>15151566</v>
      </c>
      <c r="J20992">
        <v>5</v>
      </c>
    </row>
    <row r="20993" spans="1:10" x14ac:dyDescent="0.25">
      <c r="A20993" t="s">
        <v>231</v>
      </c>
      <c r="B20993" s="1" t="str">
        <f>HYPERLINK("http://skinceuticals.dk","skinceuticals.dk")</f>
        <v>skinceuticals.dk</v>
      </c>
      <c r="C20993" t="s">
        <v>437</v>
      </c>
      <c r="D20993" t="s">
        <v>816</v>
      </c>
      <c r="F20993">
        <v>1.6611318281544399E-8</v>
      </c>
      <c r="G20993">
        <v>3386636</v>
      </c>
      <c r="H20993">
        <v>10975466</v>
      </c>
      <c r="I20993">
        <v>34024153</v>
      </c>
      <c r="J20993">
        <v>3</v>
      </c>
    </row>
    <row r="20994" spans="1:10" x14ac:dyDescent="0.25">
      <c r="A20994" t="s">
        <v>231</v>
      </c>
      <c r="B20994" s="1" t="str">
        <f>HYPERLINK("http://vichy.dk","vichy.dk")</f>
        <v>vichy.dk</v>
      </c>
      <c r="C20994" t="s">
        <v>437</v>
      </c>
      <c r="D20994" t="s">
        <v>816</v>
      </c>
      <c r="F20994">
        <v>2.0878798441923201E-8</v>
      </c>
      <c r="G20994">
        <v>2532201</v>
      </c>
      <c r="H20994">
        <v>13764654</v>
      </c>
      <c r="I20994">
        <v>7217623</v>
      </c>
      <c r="J20994">
        <v>3</v>
      </c>
    </row>
    <row r="20995" spans="1:10" x14ac:dyDescent="0.25">
      <c r="A20995" t="s">
        <v>231</v>
      </c>
      <c r="B20995" s="1" t="str">
        <f>HYPERLINK("http://kerastase.com.eg","kerastase.com.eg")</f>
        <v>kerastase.com.eg</v>
      </c>
      <c r="C20995" t="s">
        <v>442</v>
      </c>
      <c r="D20995" t="s">
        <v>821</v>
      </c>
      <c r="F20995">
        <v>7.2103041947879696E-9</v>
      </c>
      <c r="G20995">
        <v>11713267</v>
      </c>
      <c r="H20995">
        <v>11273982</v>
      </c>
      <c r="I20995">
        <v>30741324</v>
      </c>
      <c r="J20995">
        <v>4</v>
      </c>
    </row>
    <row r="20996" spans="1:10" x14ac:dyDescent="0.25">
      <c r="A20996" t="s">
        <v>231</v>
      </c>
      <c r="B20996" s="1" t="str">
        <f>HYPERLINK("http://maybelline.eg","maybelline.eg")</f>
        <v>maybelline.eg</v>
      </c>
      <c r="C20996" t="s">
        <v>442</v>
      </c>
      <c r="D20996" t="s">
        <v>821</v>
      </c>
      <c r="F20996">
        <v>2.1565382138818401E-8</v>
      </c>
      <c r="G20996">
        <v>2440875</v>
      </c>
      <c r="H20996">
        <v>12767609</v>
      </c>
      <c r="I20996">
        <v>14859605</v>
      </c>
      <c r="J20996">
        <v>5</v>
      </c>
    </row>
    <row r="20997" spans="1:10" x14ac:dyDescent="0.25">
      <c r="A20997" t="s">
        <v>231</v>
      </c>
      <c r="B20997" s="1" t="str">
        <f>HYPERLINK("http://vichy.eg","vichy.eg")</f>
        <v>vichy.eg</v>
      </c>
      <c r="C20997" t="s">
        <v>442</v>
      </c>
      <c r="D20997" t="s">
        <v>821</v>
      </c>
      <c r="F20997">
        <v>1.93334274273605E-8</v>
      </c>
      <c r="G20997">
        <v>2776701</v>
      </c>
      <c r="H20997">
        <v>11310202</v>
      </c>
      <c r="I20997">
        <v>30562291</v>
      </c>
      <c r="J20997">
        <v>3</v>
      </c>
    </row>
    <row r="20998" spans="1:10" x14ac:dyDescent="0.25">
      <c r="A20998" t="s">
        <v>231</v>
      </c>
      <c r="B20998" s="1" t="str">
        <f>HYPERLINK("http://armanibeauty.es","armanibeauty.es")</f>
        <v>armanibeauty.es</v>
      </c>
      <c r="C20998" t="s">
        <v>443</v>
      </c>
      <c r="D20998" t="s">
        <v>822</v>
      </c>
      <c r="F20998">
        <v>3.0326626522693302E-8</v>
      </c>
      <c r="G20998">
        <v>1697383</v>
      </c>
      <c r="H20998">
        <v>14550737</v>
      </c>
      <c r="I20998">
        <v>759253</v>
      </c>
      <c r="J20998">
        <v>4</v>
      </c>
    </row>
    <row r="20999" spans="1:10" x14ac:dyDescent="0.25">
      <c r="A20999" t="s">
        <v>231</v>
      </c>
      <c r="B20999" s="1" t="str">
        <f>HYPERLINK("http://cerave.es","cerave.es")</f>
        <v>cerave.es</v>
      </c>
      <c r="C20999" t="s">
        <v>443</v>
      </c>
      <c r="D20999" t="s">
        <v>822</v>
      </c>
      <c r="F20999">
        <v>2.00690960746554E-8</v>
      </c>
      <c r="G20999">
        <v>2648834</v>
      </c>
      <c r="H20999">
        <v>13784690</v>
      </c>
      <c r="I20999">
        <v>6410143</v>
      </c>
      <c r="J20999">
        <v>3</v>
      </c>
    </row>
    <row r="21000" spans="1:10" x14ac:dyDescent="0.25">
      <c r="A21000" t="s">
        <v>231</v>
      </c>
      <c r="B21000" s="1" t="str">
        <f>HYPERLINK("http://helenarubinstein.es","helenarubinstein.es")</f>
        <v>helenarubinstein.es</v>
      </c>
      <c r="C21000" t="s">
        <v>443</v>
      </c>
      <c r="D21000" t="s">
        <v>822</v>
      </c>
      <c r="F21000">
        <v>8.23366302170552E-9</v>
      </c>
      <c r="G21000">
        <v>9422571</v>
      </c>
      <c r="H21000">
        <v>12571126</v>
      </c>
      <c r="I21000">
        <v>16615384</v>
      </c>
      <c r="J21000">
        <v>4</v>
      </c>
    </row>
    <row r="21001" spans="1:10" x14ac:dyDescent="0.25">
      <c r="A21001" t="s">
        <v>231</v>
      </c>
      <c r="B21001" s="1" t="str">
        <f>HYPERLINK("http://kerastase.es","kerastase.es")</f>
        <v>kerastase.es</v>
      </c>
      <c r="C21001" t="s">
        <v>443</v>
      </c>
      <c r="D21001" t="s">
        <v>822</v>
      </c>
      <c r="F21001">
        <v>5.7346282258032798E-8</v>
      </c>
      <c r="G21001">
        <v>777760</v>
      </c>
      <c r="H21001">
        <v>14142926</v>
      </c>
      <c r="I21001">
        <v>1916758</v>
      </c>
      <c r="J21001">
        <v>4</v>
      </c>
    </row>
    <row r="21002" spans="1:10" x14ac:dyDescent="0.25">
      <c r="A21002" t="s">
        <v>231</v>
      </c>
      <c r="B21002" s="1" t="str">
        <f>HYPERLINK("http://kiehls.es","kiehls.es")</f>
        <v>kiehls.es</v>
      </c>
      <c r="C21002" t="s">
        <v>443</v>
      </c>
      <c r="D21002" t="s">
        <v>822</v>
      </c>
      <c r="E21002">
        <v>786392</v>
      </c>
      <c r="F21002">
        <v>4.70092893038587E-8</v>
      </c>
      <c r="G21002">
        <v>992823</v>
      </c>
      <c r="H21002">
        <v>14237724</v>
      </c>
      <c r="I21002">
        <v>1542829</v>
      </c>
      <c r="J21002">
        <v>5</v>
      </c>
    </row>
    <row r="21003" spans="1:10" x14ac:dyDescent="0.25">
      <c r="A21003" t="s">
        <v>231</v>
      </c>
      <c r="B21003" s="1" t="str">
        <f>HYPERLINK("http://lancome.es","lancome.es")</f>
        <v>lancome.es</v>
      </c>
      <c r="C21003" t="s">
        <v>443</v>
      </c>
      <c r="D21003" t="s">
        <v>822</v>
      </c>
      <c r="F21003">
        <v>3.1620070914342801E-8</v>
      </c>
      <c r="G21003">
        <v>1632289</v>
      </c>
      <c r="H21003">
        <v>14161416</v>
      </c>
      <c r="I21003">
        <v>1835509</v>
      </c>
      <c r="J21003">
        <v>4</v>
      </c>
    </row>
    <row r="21004" spans="1:10" x14ac:dyDescent="0.25">
      <c r="A21004" t="s">
        <v>231</v>
      </c>
      <c r="B21004" s="1" t="str">
        <f>HYPERLINK("http://laroche-posay.es","laroche-posay.es")</f>
        <v>laroche-posay.es</v>
      </c>
      <c r="C21004" t="s">
        <v>443</v>
      </c>
      <c r="D21004" t="s">
        <v>822</v>
      </c>
      <c r="E21004">
        <v>742831</v>
      </c>
      <c r="F21004">
        <v>1.6729376871817199E-7</v>
      </c>
      <c r="G21004">
        <v>231963</v>
      </c>
      <c r="H21004">
        <v>14150196</v>
      </c>
      <c r="I21004">
        <v>1878368</v>
      </c>
      <c r="J21004">
        <v>4</v>
      </c>
    </row>
    <row r="21005" spans="1:10" x14ac:dyDescent="0.25">
      <c r="A21005" t="s">
        <v>231</v>
      </c>
      <c r="B21005" s="1" t="str">
        <f>HYPERLINK("http://loreal.es","loreal.es")</f>
        <v>loreal.es</v>
      </c>
      <c r="C21005" t="s">
        <v>443</v>
      </c>
      <c r="D21005" t="s">
        <v>822</v>
      </c>
      <c r="E21005">
        <v>997618</v>
      </c>
      <c r="F21005">
        <v>8.1940478037861702E-8</v>
      </c>
      <c r="G21005">
        <v>509241</v>
      </c>
      <c r="H21005">
        <v>14510571</v>
      </c>
      <c r="I21005">
        <v>823493</v>
      </c>
      <c r="J21005">
        <v>2</v>
      </c>
    </row>
    <row r="21006" spans="1:10" x14ac:dyDescent="0.25">
      <c r="A21006" t="s">
        <v>231</v>
      </c>
      <c r="B21006" s="1" t="str">
        <f>HYPERLINK("http://loreal-paris.es","loreal-paris.es")</f>
        <v>loreal-paris.es</v>
      </c>
      <c r="C21006" t="s">
        <v>443</v>
      </c>
      <c r="D21006" t="s">
        <v>822</v>
      </c>
      <c r="E21006">
        <v>533920</v>
      </c>
      <c r="F21006">
        <v>1.07080187111914E-7</v>
      </c>
      <c r="G21006">
        <v>373875</v>
      </c>
      <c r="H21006">
        <v>14635201</v>
      </c>
      <c r="I21006">
        <v>641224</v>
      </c>
      <c r="J21006">
        <v>5</v>
      </c>
    </row>
    <row r="21007" spans="1:10" x14ac:dyDescent="0.25">
      <c r="A21007" t="s">
        <v>231</v>
      </c>
      <c r="B21007" s="1" t="str">
        <f>HYPERLINK("http://lorealprofessionnel.es","lorealprofessionnel.es")</f>
        <v>lorealprofessionnel.es</v>
      </c>
      <c r="C21007" t="s">
        <v>443</v>
      </c>
      <c r="D21007" t="s">
        <v>822</v>
      </c>
      <c r="F21007">
        <v>5.8876916006046199E-8</v>
      </c>
      <c r="G21007">
        <v>753510</v>
      </c>
      <c r="H21007">
        <v>14137612</v>
      </c>
      <c r="I21007">
        <v>1953123</v>
      </c>
      <c r="J21007">
        <v>5</v>
      </c>
    </row>
    <row r="21008" spans="1:10" x14ac:dyDescent="0.25">
      <c r="A21008" t="s">
        <v>231</v>
      </c>
      <c r="B21008" s="1" t="str">
        <f>HYPERLINK("http://maybelline.es","maybelline.es")</f>
        <v>maybelline.es</v>
      </c>
      <c r="C21008" t="s">
        <v>443</v>
      </c>
      <c r="D21008" t="s">
        <v>822</v>
      </c>
      <c r="E21008">
        <v>915861</v>
      </c>
      <c r="F21008">
        <v>5.7898940268546497E-8</v>
      </c>
      <c r="G21008">
        <v>769139</v>
      </c>
      <c r="H21008">
        <v>14215884</v>
      </c>
      <c r="I21008">
        <v>1692965</v>
      </c>
      <c r="J21008">
        <v>5</v>
      </c>
    </row>
    <row r="21009" spans="1:10" x14ac:dyDescent="0.25">
      <c r="A21009" t="s">
        <v>231</v>
      </c>
      <c r="B21009" s="1" t="str">
        <f>HYPERLINK("http://mugler.es","mugler.es")</f>
        <v>mugler.es</v>
      </c>
      <c r="C21009" t="s">
        <v>443</v>
      </c>
      <c r="D21009" t="s">
        <v>822</v>
      </c>
      <c r="F21009">
        <v>1.4096945737063801E-8</v>
      </c>
      <c r="G21009">
        <v>4166765</v>
      </c>
      <c r="H21009">
        <v>14129074</v>
      </c>
      <c r="I21009">
        <v>2051740</v>
      </c>
      <c r="J21009">
        <v>4</v>
      </c>
    </row>
    <row r="21010" spans="1:10" x14ac:dyDescent="0.25">
      <c r="A21010" t="s">
        <v>231</v>
      </c>
      <c r="B21010" s="1" t="str">
        <f>HYPERLINK("http://nyxcosmetics.es","nyxcosmetics.es")</f>
        <v>nyxcosmetics.es</v>
      </c>
      <c r="C21010" t="s">
        <v>443</v>
      </c>
      <c r="D21010" t="s">
        <v>822</v>
      </c>
      <c r="F21010">
        <v>3.47568312038948E-8</v>
      </c>
      <c r="G21010">
        <v>1493572</v>
      </c>
      <c r="H21010">
        <v>14625175</v>
      </c>
      <c r="I21010">
        <v>651406</v>
      </c>
      <c r="J21010">
        <v>4</v>
      </c>
    </row>
    <row r="21011" spans="1:10" x14ac:dyDescent="0.25">
      <c r="A21011" t="s">
        <v>231</v>
      </c>
      <c r="B21011" s="1" t="str">
        <f>HYPERLINK("http://skinceuticals.es","skinceuticals.es")</f>
        <v>skinceuticals.es</v>
      </c>
      <c r="C21011" t="s">
        <v>443</v>
      </c>
      <c r="D21011" t="s">
        <v>822</v>
      </c>
      <c r="F21011">
        <v>3.3171979631348598E-8</v>
      </c>
      <c r="G21011">
        <v>1557562</v>
      </c>
      <c r="H21011">
        <v>14180192</v>
      </c>
      <c r="I21011">
        <v>1781159</v>
      </c>
      <c r="J21011">
        <v>4</v>
      </c>
    </row>
    <row r="21012" spans="1:10" x14ac:dyDescent="0.25">
      <c r="A21012" t="s">
        <v>231</v>
      </c>
      <c r="B21012" s="1" t="str">
        <f>HYPERLINK("http://urbandecay.es","urbandecay.es")</f>
        <v>urbandecay.es</v>
      </c>
      <c r="C21012" t="s">
        <v>443</v>
      </c>
      <c r="D21012" t="s">
        <v>822</v>
      </c>
      <c r="F21012">
        <v>1.9425359009946101E-8</v>
      </c>
      <c r="G21012">
        <v>2758944</v>
      </c>
      <c r="H21012">
        <v>14140087</v>
      </c>
      <c r="I21012">
        <v>1936303</v>
      </c>
      <c r="J21012">
        <v>5</v>
      </c>
    </row>
    <row r="21013" spans="1:10" x14ac:dyDescent="0.25">
      <c r="A21013" t="s">
        <v>231</v>
      </c>
      <c r="B21013" s="1" t="str">
        <f>HYPERLINK("http://valentino-beauty.es","valentino-beauty.es")</f>
        <v>valentino-beauty.es</v>
      </c>
      <c r="C21013" t="s">
        <v>443</v>
      </c>
      <c r="D21013" t="s">
        <v>822</v>
      </c>
      <c r="F21013">
        <v>2.7248601745095199E-8</v>
      </c>
      <c r="G21013">
        <v>1886832</v>
      </c>
      <c r="H21013">
        <v>12675558</v>
      </c>
      <c r="I21013">
        <v>15555595</v>
      </c>
      <c r="J21013">
        <v>4</v>
      </c>
    </row>
    <row r="21014" spans="1:10" x14ac:dyDescent="0.25">
      <c r="A21014" t="s">
        <v>231</v>
      </c>
      <c r="B21014" s="1" t="str">
        <f>HYPERLINK("http://vichy.es","vichy.es")</f>
        <v>vichy.es</v>
      </c>
      <c r="C21014" t="s">
        <v>443</v>
      </c>
      <c r="D21014" t="s">
        <v>822</v>
      </c>
      <c r="F21014">
        <v>4.8115266714445897E-8</v>
      </c>
      <c r="G21014">
        <v>965887</v>
      </c>
      <c r="H21014">
        <v>14211507</v>
      </c>
      <c r="I21014">
        <v>1701096</v>
      </c>
      <c r="J21014">
        <v>3</v>
      </c>
    </row>
    <row r="21015" spans="1:10" x14ac:dyDescent="0.25">
      <c r="A21015" t="s">
        <v>231</v>
      </c>
      <c r="B21015" s="1" t="str">
        <f>HYPERLINK("http://yslbeauty.es","yslbeauty.es")</f>
        <v>yslbeauty.es</v>
      </c>
      <c r="C21015" t="s">
        <v>443</v>
      </c>
      <c r="D21015" t="s">
        <v>822</v>
      </c>
      <c r="F21015">
        <v>6.4833826252039497E-9</v>
      </c>
      <c r="G21015">
        <v>14147993</v>
      </c>
      <c r="H21015">
        <v>12420522</v>
      </c>
      <c r="I21015">
        <v>18446034</v>
      </c>
      <c r="J21015">
        <v>4</v>
      </c>
    </row>
    <row r="21016" spans="1:10" x14ac:dyDescent="0.25">
      <c r="A21016" t="s">
        <v>231</v>
      </c>
      <c r="B21016" s="1" t="str">
        <f>HYPERLINK("http://acdimagebank.fi","acdimagebank.fi")</f>
        <v>acdimagebank.fi</v>
      </c>
      <c r="C21016" t="s">
        <v>445</v>
      </c>
      <c r="D21016" t="s">
        <v>823</v>
      </c>
      <c r="J21016">
        <v>4</v>
      </c>
    </row>
    <row r="21017" spans="1:10" x14ac:dyDescent="0.25">
      <c r="A21017" t="s">
        <v>231</v>
      </c>
      <c r="B21017" s="1" t="str">
        <f>HYPERLINK("http://biotherm.fi","biotherm.fi")</f>
        <v>biotherm.fi</v>
      </c>
      <c r="C21017" t="s">
        <v>445</v>
      </c>
      <c r="D21017" t="s">
        <v>823</v>
      </c>
      <c r="J21017">
        <v>4</v>
      </c>
    </row>
    <row r="21018" spans="1:10" x14ac:dyDescent="0.25">
      <c r="A21018" t="s">
        <v>231</v>
      </c>
      <c r="B21018" s="1" t="str">
        <f>HYPERLINK("http://cerave.fi","cerave.fi")</f>
        <v>cerave.fi</v>
      </c>
      <c r="C21018" t="s">
        <v>445</v>
      </c>
      <c r="D21018" t="s">
        <v>823</v>
      </c>
      <c r="F21018">
        <v>2.3909989634749699E-8</v>
      </c>
      <c r="G21018">
        <v>2171855</v>
      </c>
      <c r="H21018">
        <v>13765712</v>
      </c>
      <c r="I21018">
        <v>7071855</v>
      </c>
      <c r="J21018">
        <v>2</v>
      </c>
    </row>
    <row r="21019" spans="1:10" x14ac:dyDescent="0.25">
      <c r="A21019" t="s">
        <v>231</v>
      </c>
      <c r="B21019" s="1" t="str">
        <f>HYPERLINK("http://colorriche.fi","colorriche.fi")</f>
        <v>colorriche.fi</v>
      </c>
      <c r="C21019" t="s">
        <v>445</v>
      </c>
      <c r="D21019" t="s">
        <v>823</v>
      </c>
      <c r="J21019">
        <v>4</v>
      </c>
    </row>
    <row r="21020" spans="1:10" x14ac:dyDescent="0.25">
      <c r="A21020" t="s">
        <v>231</v>
      </c>
      <c r="B21020" s="1" t="str">
        <f>HYPERLINK("http://decleor.fi","decleor.fi")</f>
        <v>decleor.fi</v>
      </c>
      <c r="C21020" t="s">
        <v>445</v>
      </c>
      <c r="D21020" t="s">
        <v>823</v>
      </c>
      <c r="F21020">
        <v>4.7779888643813799E-9</v>
      </c>
      <c r="G21020">
        <v>37039655</v>
      </c>
      <c r="H21020">
        <v>13763633</v>
      </c>
      <c r="I21020">
        <v>9126384</v>
      </c>
      <c r="J21020">
        <v>2</v>
      </c>
    </row>
    <row r="21021" spans="1:10" x14ac:dyDescent="0.25">
      <c r="A21021" t="s">
        <v>231</v>
      </c>
      <c r="B21021" s="1" t="str">
        <f>HYPERLINK("http://dermokosmetiikka.fi","dermokosmetiikka.fi")</f>
        <v>dermokosmetiikka.fi</v>
      </c>
      <c r="C21021" t="s">
        <v>445</v>
      </c>
      <c r="D21021" t="s">
        <v>823</v>
      </c>
      <c r="F21021">
        <v>4.9370196832879402E-9</v>
      </c>
      <c r="G21021">
        <v>31176177</v>
      </c>
      <c r="H21021">
        <v>10344023</v>
      </c>
      <c r="I21021">
        <v>57389434</v>
      </c>
      <c r="J21021">
        <v>2</v>
      </c>
    </row>
    <row r="21022" spans="1:10" x14ac:dyDescent="0.25">
      <c r="A21022" t="s">
        <v>231</v>
      </c>
      <c r="B21022" s="1" t="str">
        <f>HYPERLINK("http://elnett.fi","elnett.fi")</f>
        <v>elnett.fi</v>
      </c>
      <c r="C21022" t="s">
        <v>445</v>
      </c>
      <c r="D21022" t="s">
        <v>823</v>
      </c>
      <c r="J21022">
        <v>2</v>
      </c>
    </row>
    <row r="21023" spans="1:10" x14ac:dyDescent="0.25">
      <c r="A21023" t="s">
        <v>231</v>
      </c>
      <c r="B21023" s="1" t="str">
        <f>HYPERLINK("http://elvital.fi","elvital.fi")</f>
        <v>elvital.fi</v>
      </c>
      <c r="C21023" t="s">
        <v>445</v>
      </c>
      <c r="D21023" t="s">
        <v>823</v>
      </c>
      <c r="F21023">
        <v>4.53518709125468E-9</v>
      </c>
      <c r="G21023">
        <v>54325739</v>
      </c>
      <c r="H21023">
        <v>13763633</v>
      </c>
      <c r="I21023">
        <v>9126640</v>
      </c>
      <c r="J21023">
        <v>4</v>
      </c>
    </row>
    <row r="21024" spans="1:10" x14ac:dyDescent="0.25">
      <c r="A21024" t="s">
        <v>231</v>
      </c>
      <c r="B21024" s="1" t="str">
        <f>HYPERLINK("http://episkin.fi","episkin.fi")</f>
        <v>episkin.fi</v>
      </c>
      <c r="C21024" t="s">
        <v>445</v>
      </c>
      <c r="D21024" t="s">
        <v>823</v>
      </c>
      <c r="J21024">
        <v>4</v>
      </c>
    </row>
    <row r="21025" spans="1:10" x14ac:dyDescent="0.25">
      <c r="A21025" t="s">
        <v>231</v>
      </c>
      <c r="B21025" s="1" t="str">
        <f>HYPERLINK("http://essie.fi","essie.fi")</f>
        <v>essie.fi</v>
      </c>
      <c r="C21025" t="s">
        <v>445</v>
      </c>
      <c r="D21025" t="s">
        <v>823</v>
      </c>
      <c r="J21025">
        <v>4</v>
      </c>
    </row>
    <row r="21026" spans="1:10" x14ac:dyDescent="0.25">
      <c r="A21026" t="s">
        <v>231</v>
      </c>
      <c r="B21026" s="1" t="str">
        <f>HYPERLINK("http://fructis.fi","fructis.fi")</f>
        <v>fructis.fi</v>
      </c>
      <c r="C21026" t="s">
        <v>445</v>
      </c>
      <c r="D21026" t="s">
        <v>823</v>
      </c>
      <c r="J21026">
        <v>2</v>
      </c>
    </row>
    <row r="21027" spans="1:10" x14ac:dyDescent="0.25">
      <c r="A21027" t="s">
        <v>231</v>
      </c>
      <c r="B21027" s="1" t="str">
        <f>HYPERLINK("http://garnier.fi","garnier.fi")</f>
        <v>garnier.fi</v>
      </c>
      <c r="C21027" t="s">
        <v>445</v>
      </c>
      <c r="D21027" t="s">
        <v>823</v>
      </c>
      <c r="F21027">
        <v>1.48877171005689E-8</v>
      </c>
      <c r="G21027">
        <v>3876776</v>
      </c>
      <c r="H21027">
        <v>13764293</v>
      </c>
      <c r="I21027">
        <v>7305034</v>
      </c>
      <c r="J21027">
        <v>4</v>
      </c>
    </row>
    <row r="21028" spans="1:10" x14ac:dyDescent="0.25">
      <c r="A21028" t="s">
        <v>231</v>
      </c>
      <c r="B21028" s="1" t="str">
        <f>HYPERLINK("http://hairfashionnight.fi","hairfashionnight.fi")</f>
        <v>hairfashionnight.fi</v>
      </c>
      <c r="C21028" t="s">
        <v>445</v>
      </c>
      <c r="D21028" t="s">
        <v>823</v>
      </c>
      <c r="J21028">
        <v>4</v>
      </c>
    </row>
    <row r="21029" spans="1:10" x14ac:dyDescent="0.25">
      <c r="A21029" t="s">
        <v>231</v>
      </c>
      <c r="B21029" s="1" t="str">
        <f>HYPERLINK("http://helenarubinstein.fi","helenarubinstein.fi")</f>
        <v>helenarubinstein.fi</v>
      </c>
      <c r="C21029" t="s">
        <v>445</v>
      </c>
      <c r="D21029" t="s">
        <v>823</v>
      </c>
      <c r="J21029">
        <v>4</v>
      </c>
    </row>
    <row r="21030" spans="1:10" x14ac:dyDescent="0.25">
      <c r="A21030" t="s">
        <v>231</v>
      </c>
      <c r="B21030" s="1" t="str">
        <f>HYPERLINK("http://it-cosmetics.fi","it-cosmetics.fi")</f>
        <v>it-cosmetics.fi</v>
      </c>
      <c r="C21030" t="s">
        <v>445</v>
      </c>
      <c r="D21030" t="s">
        <v>823</v>
      </c>
      <c r="J21030">
        <v>4</v>
      </c>
    </row>
    <row r="21031" spans="1:10" x14ac:dyDescent="0.25">
      <c r="A21031" t="s">
        <v>231</v>
      </c>
      <c r="B21031" s="1" t="str">
        <f>HYPERLINK("http://itcosmetics.fi","itcosmetics.fi")</f>
        <v>itcosmetics.fi</v>
      </c>
      <c r="C21031" t="s">
        <v>445</v>
      </c>
      <c r="D21031" t="s">
        <v>823</v>
      </c>
      <c r="J21031">
        <v>4</v>
      </c>
    </row>
    <row r="21032" spans="1:10" x14ac:dyDescent="0.25">
      <c r="A21032" t="s">
        <v>231</v>
      </c>
      <c r="B21032" s="1" t="str">
        <f>HYPERLINK("http://kerastase.fi","kerastase.fi")</f>
        <v>kerastase.fi</v>
      </c>
      <c r="C21032" t="s">
        <v>445</v>
      </c>
      <c r="D21032" t="s">
        <v>823</v>
      </c>
      <c r="F21032">
        <v>9.8750147759515308E-9</v>
      </c>
      <c r="G21032">
        <v>6886318</v>
      </c>
      <c r="H21032">
        <v>11047302</v>
      </c>
      <c r="I21032">
        <v>32831500</v>
      </c>
      <c r="J21032">
        <v>2</v>
      </c>
    </row>
    <row r="21033" spans="1:10" x14ac:dyDescent="0.25">
      <c r="A21033" t="s">
        <v>231</v>
      </c>
      <c r="B21033" s="1" t="str">
        <f>HYPERLINK("http://kiehls.fi","kiehls.fi")</f>
        <v>kiehls.fi</v>
      </c>
      <c r="C21033" t="s">
        <v>445</v>
      </c>
      <c r="D21033" t="s">
        <v>823</v>
      </c>
      <c r="F21033">
        <v>4.4476379468526497E-9</v>
      </c>
      <c r="G21033">
        <v>73375774</v>
      </c>
      <c r="H21033">
        <v>10531368</v>
      </c>
      <c r="I21033">
        <v>48142578</v>
      </c>
      <c r="J21033">
        <v>2</v>
      </c>
    </row>
    <row r="21034" spans="1:10" x14ac:dyDescent="0.25">
      <c r="A21034" t="s">
        <v>231</v>
      </c>
      <c r="B21034" s="1" t="str">
        <f>HYPERLINK("http://lancome.fi","lancome.fi")</f>
        <v>lancome.fi</v>
      </c>
      <c r="C21034" t="s">
        <v>445</v>
      </c>
      <c r="D21034" t="s">
        <v>823</v>
      </c>
      <c r="F21034">
        <v>4.8131008316286004E-9</v>
      </c>
      <c r="G21034">
        <v>35539757</v>
      </c>
      <c r="H21034">
        <v>13763637</v>
      </c>
      <c r="I21034">
        <v>8036577</v>
      </c>
      <c r="J21034">
        <v>2</v>
      </c>
    </row>
    <row r="21035" spans="1:10" x14ac:dyDescent="0.25">
      <c r="A21035" t="s">
        <v>231</v>
      </c>
      <c r="B21035" s="1" t="str">
        <f>HYPERLINK("http://laroche-posay.fi","laroche-posay.fi")</f>
        <v>laroche-posay.fi</v>
      </c>
      <c r="C21035" t="s">
        <v>445</v>
      </c>
      <c r="D21035" t="s">
        <v>823</v>
      </c>
      <c r="F21035">
        <v>3.1381959109825703E-8</v>
      </c>
      <c r="G21035">
        <v>1643485</v>
      </c>
      <c r="H21035">
        <v>13764024</v>
      </c>
      <c r="I21035">
        <v>7423619</v>
      </c>
      <c r="J21035">
        <v>2</v>
      </c>
    </row>
    <row r="21036" spans="1:10" x14ac:dyDescent="0.25">
      <c r="A21036" t="s">
        <v>231</v>
      </c>
      <c r="B21036" s="1" t="str">
        <f>HYPERLINK("http://larocheposay.fi","larocheposay.fi")</f>
        <v>larocheposay.fi</v>
      </c>
      <c r="C21036" t="s">
        <v>445</v>
      </c>
      <c r="D21036" t="s">
        <v>823</v>
      </c>
      <c r="F21036">
        <v>5.1300224968336403E-9</v>
      </c>
      <c r="G21036">
        <v>26455426</v>
      </c>
      <c r="H21036">
        <v>10344548</v>
      </c>
      <c r="I21036">
        <v>57170629</v>
      </c>
      <c r="J21036">
        <v>2</v>
      </c>
    </row>
    <row r="21037" spans="1:10" x14ac:dyDescent="0.25">
      <c r="A21037" t="s">
        <v>231</v>
      </c>
      <c r="B21037" s="1" t="str">
        <f>HYPERLINK("http://loreal.fi","loreal.fi")</f>
        <v>loreal.fi</v>
      </c>
      <c r="C21037" t="s">
        <v>445</v>
      </c>
      <c r="D21037" t="s">
        <v>823</v>
      </c>
      <c r="F21037">
        <v>5.8175679716808803E-9</v>
      </c>
      <c r="G21037">
        <v>17955761</v>
      </c>
      <c r="H21037">
        <v>14119733</v>
      </c>
      <c r="I21037">
        <v>2507556</v>
      </c>
      <c r="J21037">
        <v>2</v>
      </c>
    </row>
    <row r="21038" spans="1:10" x14ac:dyDescent="0.25">
      <c r="A21038" t="s">
        <v>231</v>
      </c>
      <c r="B21038" s="1" t="str">
        <f>HYPERLINK("http://loreal-paris.fi","loreal-paris.fi")</f>
        <v>loreal-paris.fi</v>
      </c>
      <c r="C21038" t="s">
        <v>445</v>
      </c>
      <c r="D21038" t="s">
        <v>823</v>
      </c>
      <c r="F21038">
        <v>4.4518181653816996E-9</v>
      </c>
      <c r="G21038">
        <v>70926895</v>
      </c>
      <c r="H21038">
        <v>10345051</v>
      </c>
      <c r="I21038">
        <v>57034406</v>
      </c>
      <c r="J21038">
        <v>2</v>
      </c>
    </row>
    <row r="21039" spans="1:10" x14ac:dyDescent="0.25">
      <c r="A21039" t="s">
        <v>231</v>
      </c>
      <c r="B21039" s="1" t="str">
        <f>HYPERLINK("http://lorealdermatologicalbeauty.fi","lorealdermatologicalbeauty.fi")</f>
        <v>lorealdermatologicalbeauty.fi</v>
      </c>
      <c r="C21039" t="s">
        <v>445</v>
      </c>
      <c r="D21039" t="s">
        <v>823</v>
      </c>
      <c r="J21039">
        <v>2</v>
      </c>
    </row>
    <row r="21040" spans="1:10" x14ac:dyDescent="0.25">
      <c r="A21040" t="s">
        <v>231</v>
      </c>
      <c r="B21040" s="1" t="str">
        <f>HYPERLINK("http://lorealparis.fi","lorealparis.fi")</f>
        <v>lorealparis.fi</v>
      </c>
      <c r="C21040" t="s">
        <v>445</v>
      </c>
      <c r="D21040" t="s">
        <v>823</v>
      </c>
      <c r="F21040">
        <v>1.0979538781495E-8</v>
      </c>
      <c r="G21040">
        <v>5876605</v>
      </c>
      <c r="H21040">
        <v>13764210</v>
      </c>
      <c r="I21040">
        <v>7335879</v>
      </c>
      <c r="J21040">
        <v>4</v>
      </c>
    </row>
    <row r="21041" spans="1:10" x14ac:dyDescent="0.25">
      <c r="A21041" t="s">
        <v>231</v>
      </c>
      <c r="B21041" s="1" t="str">
        <f>HYPERLINK("http://lorealprofessional.fi","lorealprofessional.fi")</f>
        <v>lorealprofessional.fi</v>
      </c>
      <c r="C21041" t="s">
        <v>445</v>
      </c>
      <c r="D21041" t="s">
        <v>823</v>
      </c>
      <c r="J21041">
        <v>4</v>
      </c>
    </row>
    <row r="21042" spans="1:10" x14ac:dyDescent="0.25">
      <c r="A21042" t="s">
        <v>231</v>
      </c>
      <c r="B21042" s="1" t="str">
        <f>HYPERLINK("http://lorealprofessionnel.fi","lorealprofessionnel.fi")</f>
        <v>lorealprofessionnel.fi</v>
      </c>
      <c r="C21042" t="s">
        <v>445</v>
      </c>
      <c r="D21042" t="s">
        <v>823</v>
      </c>
      <c r="F21042">
        <v>7.63416831494605E-9</v>
      </c>
      <c r="G21042">
        <v>10721041</v>
      </c>
      <c r="H21042">
        <v>13763635</v>
      </c>
      <c r="I21042">
        <v>8222048</v>
      </c>
      <c r="J21042">
        <v>4</v>
      </c>
    </row>
    <row r="21043" spans="1:10" x14ac:dyDescent="0.25">
      <c r="A21043" t="s">
        <v>231</v>
      </c>
      <c r="B21043" s="1" t="str">
        <f>HYPERLINK("http://makeupgenius.fi","makeupgenius.fi")</f>
        <v>makeupgenius.fi</v>
      </c>
      <c r="C21043" t="s">
        <v>445</v>
      </c>
      <c r="D21043" t="s">
        <v>823</v>
      </c>
      <c r="F21043">
        <v>4.4684895265372796E-9</v>
      </c>
      <c r="G21043">
        <v>64966041</v>
      </c>
      <c r="H21043">
        <v>10726044</v>
      </c>
      <c r="I21043">
        <v>41268046</v>
      </c>
      <c r="J21043">
        <v>4</v>
      </c>
    </row>
    <row r="21044" spans="1:10" x14ac:dyDescent="0.25">
      <c r="A21044" t="s">
        <v>231</v>
      </c>
      <c r="B21044" s="1" t="str">
        <f>HYPERLINK("http://matrixprofessional.fi","matrixprofessional.fi")</f>
        <v>matrixprofessional.fi</v>
      </c>
      <c r="C21044" t="s">
        <v>445</v>
      </c>
      <c r="D21044" t="s">
        <v>823</v>
      </c>
      <c r="F21044">
        <v>8.0042616919434006E-9</v>
      </c>
      <c r="G21044">
        <v>9913006</v>
      </c>
      <c r="H21044">
        <v>10910266</v>
      </c>
      <c r="I21044">
        <v>35622423</v>
      </c>
      <c r="J21044">
        <v>4</v>
      </c>
    </row>
    <row r="21045" spans="1:10" x14ac:dyDescent="0.25">
      <c r="A21045" t="s">
        <v>231</v>
      </c>
      <c r="B21045" s="1" t="str">
        <f>HYPERLINK("http://maybelline.fi","maybelline.fi")</f>
        <v>maybelline.fi</v>
      </c>
      <c r="C21045" t="s">
        <v>445</v>
      </c>
      <c r="D21045" t="s">
        <v>823</v>
      </c>
      <c r="F21045">
        <v>3.0108276082001302E-8</v>
      </c>
      <c r="G21045">
        <v>1709122</v>
      </c>
      <c r="H21045">
        <v>13767708</v>
      </c>
      <c r="I21045">
        <v>6917540</v>
      </c>
      <c r="J21045">
        <v>4</v>
      </c>
    </row>
    <row r="21046" spans="1:10" x14ac:dyDescent="0.25">
      <c r="A21046" t="s">
        <v>231</v>
      </c>
      <c r="B21046" s="1" t="str">
        <f>HYPERLINK("http://menexpert.fi","menexpert.fi")</f>
        <v>menexpert.fi</v>
      </c>
      <c r="C21046" t="s">
        <v>445</v>
      </c>
      <c r="D21046" t="s">
        <v>823</v>
      </c>
      <c r="J21046">
        <v>4</v>
      </c>
    </row>
    <row r="21047" spans="1:10" x14ac:dyDescent="0.25">
      <c r="A21047" t="s">
        <v>231</v>
      </c>
      <c r="B21047" s="1" t="str">
        <f>HYPERLINK("http://micellarwater.fi","micellarwater.fi")</f>
        <v>micellarwater.fi</v>
      </c>
      <c r="C21047" t="s">
        <v>445</v>
      </c>
      <c r="D21047" t="s">
        <v>823</v>
      </c>
      <c r="J21047">
        <v>4</v>
      </c>
    </row>
    <row r="21048" spans="1:10" x14ac:dyDescent="0.25">
      <c r="A21048" t="s">
        <v>231</v>
      </c>
      <c r="B21048" s="1" t="str">
        <f>HYPERLINK("http://nutrisse.fi","nutrisse.fi")</f>
        <v>nutrisse.fi</v>
      </c>
      <c r="C21048" t="s">
        <v>445</v>
      </c>
      <c r="D21048" t="s">
        <v>823</v>
      </c>
      <c r="F21048">
        <v>4.4826265434717603E-9</v>
      </c>
      <c r="G21048">
        <v>61835109</v>
      </c>
      <c r="H21048">
        <v>10656748</v>
      </c>
      <c r="I21048">
        <v>43504752</v>
      </c>
      <c r="J21048">
        <v>2</v>
      </c>
    </row>
    <row r="21049" spans="1:10" x14ac:dyDescent="0.25">
      <c r="A21049" t="s">
        <v>231</v>
      </c>
      <c r="B21049" s="1" t="str">
        <f>HYPERLINK("http://nyx-cosmetics.fi","nyx-cosmetics.fi")</f>
        <v>nyx-cosmetics.fi</v>
      </c>
      <c r="C21049" t="s">
        <v>445</v>
      </c>
      <c r="D21049" t="s">
        <v>823</v>
      </c>
      <c r="J21049">
        <v>4</v>
      </c>
    </row>
    <row r="21050" spans="1:10" x14ac:dyDescent="0.25">
      <c r="A21050" t="s">
        <v>231</v>
      </c>
      <c r="B21050" s="1" t="str">
        <f>HYPERLINK("http://nyxcosmetics.fi","nyxcosmetics.fi")</f>
        <v>nyxcosmetics.fi</v>
      </c>
      <c r="C21050" t="s">
        <v>445</v>
      </c>
      <c r="D21050" t="s">
        <v>823</v>
      </c>
      <c r="J21050">
        <v>4</v>
      </c>
    </row>
    <row r="21051" spans="1:10" x14ac:dyDescent="0.25">
      <c r="A21051" t="s">
        <v>231</v>
      </c>
      <c r="B21051" s="1" t="str">
        <f>HYPERLINK("http://olia.fi","olia.fi")</f>
        <v>olia.fi</v>
      </c>
      <c r="C21051" t="s">
        <v>445</v>
      </c>
      <c r="D21051" t="s">
        <v>823</v>
      </c>
      <c r="F21051">
        <v>4.46521183912619E-9</v>
      </c>
      <c r="G21051">
        <v>66205685</v>
      </c>
      <c r="H21051">
        <v>10569796</v>
      </c>
      <c r="I21051">
        <v>46098524</v>
      </c>
      <c r="J21051">
        <v>4</v>
      </c>
    </row>
    <row r="21052" spans="1:10" x14ac:dyDescent="0.25">
      <c r="A21052" t="s">
        <v>231</v>
      </c>
      <c r="B21052" s="1" t="str">
        <f>HYPERLINK("http://pulpriothair.fi","pulpriothair.fi")</f>
        <v>pulpriothair.fi</v>
      </c>
      <c r="C21052" t="s">
        <v>445</v>
      </c>
      <c r="D21052" t="s">
        <v>823</v>
      </c>
      <c r="J21052">
        <v>2</v>
      </c>
    </row>
    <row r="21053" spans="1:10" x14ac:dyDescent="0.25">
      <c r="A21053" t="s">
        <v>231</v>
      </c>
      <c r="B21053" s="1" t="str">
        <f>HYPERLINK("http://pureology.fi","pureology.fi")</f>
        <v>pureology.fi</v>
      </c>
      <c r="C21053" t="s">
        <v>445</v>
      </c>
      <c r="D21053" t="s">
        <v>823</v>
      </c>
      <c r="F21053">
        <v>4.4470014953275898E-9</v>
      </c>
      <c r="G21053">
        <v>73847212</v>
      </c>
      <c r="H21053">
        <v>11090141</v>
      </c>
      <c r="I21053">
        <v>32381158</v>
      </c>
      <c r="J21053">
        <v>4</v>
      </c>
    </row>
    <row r="21054" spans="1:10" x14ac:dyDescent="0.25">
      <c r="A21054" t="s">
        <v>231</v>
      </c>
      <c r="B21054" s="1" t="str">
        <f>HYPERLINK("http://redken.fi","redken.fi")</f>
        <v>redken.fi</v>
      </c>
      <c r="C21054" t="s">
        <v>445</v>
      </c>
      <c r="D21054" t="s">
        <v>823</v>
      </c>
      <c r="F21054">
        <v>5.2198421648450001E-9</v>
      </c>
      <c r="G21054">
        <v>24748916</v>
      </c>
      <c r="H21054">
        <v>13765945</v>
      </c>
      <c r="I21054">
        <v>7050855</v>
      </c>
      <c r="J21054">
        <v>4</v>
      </c>
    </row>
    <row r="21055" spans="1:10" x14ac:dyDescent="0.25">
      <c r="A21055" t="s">
        <v>231</v>
      </c>
      <c r="B21055" s="1" t="str">
        <f>HYPERLINK("http://revitalift.fi","revitalift.fi")</f>
        <v>revitalift.fi</v>
      </c>
      <c r="C21055" t="s">
        <v>445</v>
      </c>
      <c r="D21055" t="s">
        <v>823</v>
      </c>
      <c r="J21055">
        <v>2</v>
      </c>
    </row>
    <row r="21056" spans="1:10" x14ac:dyDescent="0.25">
      <c r="A21056" t="s">
        <v>231</v>
      </c>
      <c r="B21056" s="1" t="str">
        <f>HYPERLINK("http://saint-gervais-mont-blanc.fi","saint-gervais-mont-blanc.fi")</f>
        <v>saint-gervais-mont-blanc.fi</v>
      </c>
      <c r="C21056" t="s">
        <v>445</v>
      </c>
      <c r="D21056" t="s">
        <v>823</v>
      </c>
      <c r="J21056">
        <v>4</v>
      </c>
    </row>
    <row r="21057" spans="1:10" x14ac:dyDescent="0.25">
      <c r="A21057" t="s">
        <v>231</v>
      </c>
      <c r="B21057" s="1" t="str">
        <f>HYPERLINK("http://sanoflore.fi","sanoflore.fi")</f>
        <v>sanoflore.fi</v>
      </c>
      <c r="C21057" t="s">
        <v>445</v>
      </c>
      <c r="D21057" t="s">
        <v>823</v>
      </c>
      <c r="J21057">
        <v>2</v>
      </c>
    </row>
    <row r="21058" spans="1:10" x14ac:dyDescent="0.25">
      <c r="A21058" t="s">
        <v>231</v>
      </c>
      <c r="B21058" s="1" t="str">
        <f>HYPERLINK("http://shuuemura.fi","shuuemura.fi")</f>
        <v>shuuemura.fi</v>
      </c>
      <c r="C21058" t="s">
        <v>445</v>
      </c>
      <c r="D21058" t="s">
        <v>823</v>
      </c>
      <c r="J21058">
        <v>2</v>
      </c>
    </row>
    <row r="21059" spans="1:10" x14ac:dyDescent="0.25">
      <c r="A21059" t="s">
        <v>231</v>
      </c>
      <c r="B21059" s="1" t="str">
        <f>HYPERLINK("http://shuuemurapro.fi","shuuemurapro.fi")</f>
        <v>shuuemurapro.fi</v>
      </c>
      <c r="C21059" t="s">
        <v>445</v>
      </c>
      <c r="D21059" t="s">
        <v>823</v>
      </c>
      <c r="J21059">
        <v>4</v>
      </c>
    </row>
    <row r="21060" spans="1:10" x14ac:dyDescent="0.25">
      <c r="A21060" t="s">
        <v>231</v>
      </c>
      <c r="B21060" s="1" t="str">
        <f>HYPERLINK("http://shuuemuraproshop.fi","shuuemuraproshop.fi")</f>
        <v>shuuemuraproshop.fi</v>
      </c>
      <c r="C21060" t="s">
        <v>445</v>
      </c>
      <c r="D21060" t="s">
        <v>823</v>
      </c>
      <c r="J21060">
        <v>2</v>
      </c>
    </row>
    <row r="21061" spans="1:10" x14ac:dyDescent="0.25">
      <c r="A21061" t="s">
        <v>231</v>
      </c>
      <c r="B21061" s="1" t="str">
        <f>HYPERLINK("http://skinactive.fi","skinactive.fi")</f>
        <v>skinactive.fi</v>
      </c>
      <c r="C21061" t="s">
        <v>445</v>
      </c>
      <c r="D21061" t="s">
        <v>823</v>
      </c>
      <c r="J21061">
        <v>4</v>
      </c>
    </row>
    <row r="21062" spans="1:10" x14ac:dyDescent="0.25">
      <c r="A21062" t="s">
        <v>231</v>
      </c>
      <c r="B21062" s="1" t="str">
        <f>HYPERLINK("http://skinceuticals.fi","skinceuticals.fi")</f>
        <v>skinceuticals.fi</v>
      </c>
      <c r="C21062" t="s">
        <v>445</v>
      </c>
      <c r="D21062" t="s">
        <v>823</v>
      </c>
      <c r="F21062">
        <v>5.4485225253997798E-9</v>
      </c>
      <c r="G21062">
        <v>21516204</v>
      </c>
      <c r="H21062">
        <v>8783727</v>
      </c>
      <c r="I21062">
        <v>69475549</v>
      </c>
      <c r="J21062">
        <v>2</v>
      </c>
    </row>
    <row r="21063" spans="1:10" x14ac:dyDescent="0.25">
      <c r="A21063" t="s">
        <v>231</v>
      </c>
      <c r="B21063" s="1" t="str">
        <f>HYPERLINK("http://skinethic.fi","skinethic.fi")</f>
        <v>skinethic.fi</v>
      </c>
      <c r="C21063" t="s">
        <v>445</v>
      </c>
      <c r="D21063" t="s">
        <v>823</v>
      </c>
      <c r="J21063">
        <v>4</v>
      </c>
    </row>
    <row r="21064" spans="1:10" x14ac:dyDescent="0.25">
      <c r="A21064" t="s">
        <v>231</v>
      </c>
      <c r="B21064" s="1" t="str">
        <f>HYPERLINK("http://studioline.fi","studioline.fi")</f>
        <v>studioline.fi</v>
      </c>
      <c r="C21064" t="s">
        <v>445</v>
      </c>
      <c r="D21064" t="s">
        <v>823</v>
      </c>
      <c r="J21064">
        <v>2</v>
      </c>
    </row>
    <row r="21065" spans="1:10" x14ac:dyDescent="0.25">
      <c r="A21065" t="s">
        <v>231</v>
      </c>
      <c r="B21065" s="1" t="str">
        <f>HYPERLINK("http://urban-decay.fi","urban-decay.fi")</f>
        <v>urban-decay.fi</v>
      </c>
      <c r="C21065" t="s">
        <v>445</v>
      </c>
      <c r="D21065" t="s">
        <v>823</v>
      </c>
      <c r="J21065">
        <v>4</v>
      </c>
    </row>
    <row r="21066" spans="1:10" x14ac:dyDescent="0.25">
      <c r="A21066" t="s">
        <v>231</v>
      </c>
      <c r="B21066" s="1" t="str">
        <f>HYPERLINK("http://urbandecay.fi","urbandecay.fi")</f>
        <v>urbandecay.fi</v>
      </c>
      <c r="C21066" t="s">
        <v>445</v>
      </c>
      <c r="D21066" t="s">
        <v>823</v>
      </c>
      <c r="J21066">
        <v>4</v>
      </c>
    </row>
    <row r="21067" spans="1:10" x14ac:dyDescent="0.25">
      <c r="A21067" t="s">
        <v>231</v>
      </c>
      <c r="B21067" s="1" t="str">
        <f>HYPERLINK("http://vichy.fi","vichy.fi")</f>
        <v>vichy.fi</v>
      </c>
      <c r="C21067" t="s">
        <v>445</v>
      </c>
      <c r="D21067" t="s">
        <v>823</v>
      </c>
      <c r="F21067">
        <v>4.7805922414183103E-8</v>
      </c>
      <c r="G21067">
        <v>973336</v>
      </c>
      <c r="H21067">
        <v>13764782</v>
      </c>
      <c r="I21067">
        <v>7192368</v>
      </c>
      <c r="J21067">
        <v>2</v>
      </c>
    </row>
    <row r="21068" spans="1:10" x14ac:dyDescent="0.25">
      <c r="A21068" t="s">
        <v>231</v>
      </c>
      <c r="B21068" s="1" t="str">
        <f>HYPERLINK("http://vichyhomme.fi","vichyhomme.fi")</f>
        <v>vichyhomme.fi</v>
      </c>
      <c r="C21068" t="s">
        <v>445</v>
      </c>
      <c r="D21068" t="s">
        <v>823</v>
      </c>
      <c r="J21068">
        <v>2</v>
      </c>
    </row>
    <row r="21069" spans="1:10" x14ac:dyDescent="0.25">
      <c r="A21069" t="s">
        <v>231</v>
      </c>
      <c r="B21069" s="1" t="str">
        <f>HYPERLINK("http://yuesai.fi","yuesai.fi")</f>
        <v>yuesai.fi</v>
      </c>
      <c r="C21069" t="s">
        <v>445</v>
      </c>
      <c r="D21069" t="s">
        <v>823</v>
      </c>
      <c r="J21069">
        <v>2</v>
      </c>
    </row>
    <row r="21070" spans="1:10" x14ac:dyDescent="0.25">
      <c r="A21070" t="s">
        <v>231</v>
      </c>
      <c r="B21070" s="1" t="str">
        <f>HYPERLINK("http://armanibeauty.fr","armanibeauty.fr")</f>
        <v>armanibeauty.fr</v>
      </c>
      <c r="C21070" t="s">
        <v>446</v>
      </c>
      <c r="D21070" t="s">
        <v>824</v>
      </c>
      <c r="F21070">
        <v>3.6440120071730998E-8</v>
      </c>
      <c r="G21070">
        <v>1432568</v>
      </c>
      <c r="H21070">
        <v>14438921</v>
      </c>
      <c r="I21070">
        <v>1065727</v>
      </c>
      <c r="J21070">
        <v>4</v>
      </c>
    </row>
    <row r="21071" spans="1:10" x14ac:dyDescent="0.25">
      <c r="A21071" t="s">
        <v>231</v>
      </c>
      <c r="B21071" s="1" t="str">
        <f>HYPERLINK("http://biotherm.fr","biotherm.fr")</f>
        <v>biotherm.fr</v>
      </c>
      <c r="C21071" t="s">
        <v>446</v>
      </c>
      <c r="D21071" t="s">
        <v>824</v>
      </c>
      <c r="F21071">
        <v>3.6846930101920202E-8</v>
      </c>
      <c r="G21071">
        <v>1419047</v>
      </c>
      <c r="H21071">
        <v>14210926</v>
      </c>
      <c r="I21071">
        <v>1702298</v>
      </c>
      <c r="J21071">
        <v>4</v>
      </c>
    </row>
    <row r="21072" spans="1:10" x14ac:dyDescent="0.25">
      <c r="A21072" t="s">
        <v>231</v>
      </c>
      <c r="B21072" s="1" t="str">
        <f>HYPERLINK("http://carita.fr","carita.fr")</f>
        <v>carita.fr</v>
      </c>
      <c r="C21072" t="s">
        <v>446</v>
      </c>
      <c r="D21072" t="s">
        <v>824</v>
      </c>
      <c r="F21072">
        <v>2.2315685663021801E-8</v>
      </c>
      <c r="G21072">
        <v>2349167</v>
      </c>
      <c r="H21072">
        <v>13788514</v>
      </c>
      <c r="I21072">
        <v>6363525</v>
      </c>
      <c r="J21072">
        <v>4</v>
      </c>
    </row>
    <row r="21073" spans="1:10" x14ac:dyDescent="0.25">
      <c r="A21073" t="s">
        <v>231</v>
      </c>
      <c r="B21073" s="1" t="str">
        <f>HYPERLINK("http://cerave.fr","cerave.fr")</f>
        <v>cerave.fr</v>
      </c>
      <c r="C21073" t="s">
        <v>446</v>
      </c>
      <c r="D21073" t="s">
        <v>824</v>
      </c>
      <c r="F21073">
        <v>2.3109663597081199E-8</v>
      </c>
      <c r="G21073">
        <v>2259081</v>
      </c>
      <c r="H21073">
        <v>13605961</v>
      </c>
      <c r="I21073">
        <v>9641740</v>
      </c>
      <c r="J21073">
        <v>3</v>
      </c>
    </row>
    <row r="21074" spans="1:10" x14ac:dyDescent="0.25">
      <c r="A21074" t="s">
        <v>231</v>
      </c>
      <c r="B21074" s="1" t="str">
        <f>HYPERLINK("http://decleor.fr","decleor.fr")</f>
        <v>decleor.fr</v>
      </c>
      <c r="C21074" t="s">
        <v>446</v>
      </c>
      <c r="D21074" t="s">
        <v>824</v>
      </c>
      <c r="F21074">
        <v>4.3037897616525803E-8</v>
      </c>
      <c r="G21074">
        <v>1117154</v>
      </c>
      <c r="H21074">
        <v>13413115</v>
      </c>
      <c r="I21074">
        <v>10321301</v>
      </c>
      <c r="J21074">
        <v>4</v>
      </c>
    </row>
    <row r="21075" spans="1:10" x14ac:dyDescent="0.25">
      <c r="A21075" t="s">
        <v>231</v>
      </c>
      <c r="B21075" s="1" t="str">
        <f>HYPERLINK("http://helenarubinstein.fr","helenarubinstein.fr")</f>
        <v>helenarubinstein.fr</v>
      </c>
      <c r="C21075" t="s">
        <v>446</v>
      </c>
      <c r="D21075" t="s">
        <v>824</v>
      </c>
      <c r="F21075">
        <v>9.6380815587071004E-9</v>
      </c>
      <c r="G21075">
        <v>7153683</v>
      </c>
      <c r="H21075">
        <v>13560452</v>
      </c>
      <c r="I21075">
        <v>9850638</v>
      </c>
      <c r="J21075">
        <v>4</v>
      </c>
    </row>
    <row r="21076" spans="1:10" x14ac:dyDescent="0.25">
      <c r="A21076" t="s">
        <v>231</v>
      </c>
      <c r="B21076" s="1" t="str">
        <f>HYPERLINK("http://kerastase.fr","kerastase.fr")</f>
        <v>kerastase.fr</v>
      </c>
      <c r="C21076" t="s">
        <v>446</v>
      </c>
      <c r="D21076" t="s">
        <v>824</v>
      </c>
      <c r="F21076">
        <v>8.4283976821810802E-8</v>
      </c>
      <c r="G21076">
        <v>490510</v>
      </c>
      <c r="H21076">
        <v>14215177</v>
      </c>
      <c r="I21076">
        <v>1694182</v>
      </c>
      <c r="J21076">
        <v>4</v>
      </c>
    </row>
    <row r="21077" spans="1:10" x14ac:dyDescent="0.25">
      <c r="A21077" t="s">
        <v>231</v>
      </c>
      <c r="B21077" s="1" t="str">
        <f>HYPERLINK("http://kiehls.fr","kiehls.fr")</f>
        <v>kiehls.fr</v>
      </c>
      <c r="C21077" t="s">
        <v>446</v>
      </c>
      <c r="D21077" t="s">
        <v>824</v>
      </c>
      <c r="E21077">
        <v>958457</v>
      </c>
      <c r="F21077">
        <v>4.5998188229210199E-8</v>
      </c>
      <c r="G21077">
        <v>1020619</v>
      </c>
      <c r="H21077">
        <v>14217719</v>
      </c>
      <c r="I21077">
        <v>1690045</v>
      </c>
      <c r="J21077">
        <v>5</v>
      </c>
    </row>
    <row r="21078" spans="1:10" x14ac:dyDescent="0.25">
      <c r="A21078" t="s">
        <v>231</v>
      </c>
      <c r="B21078" s="1" t="str">
        <f>HYPERLINK("http://lancome.fr","lancome.fr")</f>
        <v>lancome.fr</v>
      </c>
      <c r="C21078" t="s">
        <v>446</v>
      </c>
      <c r="D21078" t="s">
        <v>824</v>
      </c>
      <c r="E21078">
        <v>320030</v>
      </c>
      <c r="F21078">
        <v>1.1117211133982799E-7</v>
      </c>
      <c r="G21078">
        <v>359571</v>
      </c>
      <c r="H21078">
        <v>14220774</v>
      </c>
      <c r="I21078">
        <v>1685762</v>
      </c>
      <c r="J21078">
        <v>4</v>
      </c>
    </row>
    <row r="21079" spans="1:10" x14ac:dyDescent="0.25">
      <c r="A21079" t="s">
        <v>231</v>
      </c>
      <c r="B21079" s="1" t="str">
        <f>HYPERLINK("http://laroche-posay.fr","laroche-posay.fr")</f>
        <v>laroche-posay.fr</v>
      </c>
      <c r="C21079" t="s">
        <v>446</v>
      </c>
      <c r="D21079" t="s">
        <v>824</v>
      </c>
      <c r="E21079">
        <v>311672</v>
      </c>
      <c r="F21079">
        <v>2.99851354584495E-7</v>
      </c>
      <c r="G21079">
        <v>124036</v>
      </c>
      <c r="H21079">
        <v>14487046</v>
      </c>
      <c r="I21079">
        <v>954085</v>
      </c>
      <c r="J21079">
        <v>4</v>
      </c>
    </row>
    <row r="21080" spans="1:10" x14ac:dyDescent="0.25">
      <c r="A21080" t="s">
        <v>231</v>
      </c>
      <c r="B21080" s="1" t="str">
        <f>HYPERLINK("http://lascad.fr","lascad.fr")</f>
        <v>lascad.fr</v>
      </c>
      <c r="C21080" t="s">
        <v>446</v>
      </c>
      <c r="D21080" t="s">
        <v>824</v>
      </c>
      <c r="F21080">
        <v>4.5068668321814601E-9</v>
      </c>
      <c r="G21080">
        <v>57949172</v>
      </c>
      <c r="H21080">
        <v>10267421</v>
      </c>
      <c r="I21080">
        <v>58574153</v>
      </c>
      <c r="J21080">
        <v>4</v>
      </c>
    </row>
    <row r="21081" spans="1:10" x14ac:dyDescent="0.25">
      <c r="A21081" t="s">
        <v>231</v>
      </c>
      <c r="B21081" s="1" t="str">
        <f>HYPERLINK("http://loreal.fr","loreal.fr")</f>
        <v>loreal.fr</v>
      </c>
      <c r="C21081" t="s">
        <v>446</v>
      </c>
      <c r="D21081" t="s">
        <v>824</v>
      </c>
      <c r="E21081">
        <v>559320</v>
      </c>
      <c r="F21081">
        <v>1.87591270180446E-7</v>
      </c>
      <c r="G21081">
        <v>205453</v>
      </c>
      <c r="H21081">
        <v>14528775</v>
      </c>
      <c r="I21081">
        <v>789510</v>
      </c>
      <c r="J21081">
        <v>1</v>
      </c>
    </row>
    <row r="21082" spans="1:10" x14ac:dyDescent="0.25">
      <c r="A21082" t="s">
        <v>231</v>
      </c>
      <c r="B21082" s="1" t="str">
        <f>HYPERLINK("http://lorealprofessionnel.fr","lorealprofessionnel.fr")</f>
        <v>lorealprofessionnel.fr</v>
      </c>
      <c r="C21082" t="s">
        <v>446</v>
      </c>
      <c r="D21082" t="s">
        <v>824</v>
      </c>
      <c r="F21082">
        <v>1.171296499763E-7</v>
      </c>
      <c r="G21082">
        <v>339316</v>
      </c>
      <c r="H21082">
        <v>14587872</v>
      </c>
      <c r="I21082">
        <v>698613</v>
      </c>
      <c r="J21082">
        <v>5</v>
      </c>
    </row>
    <row r="21083" spans="1:10" x14ac:dyDescent="0.25">
      <c r="A21083" t="s">
        <v>231</v>
      </c>
      <c r="B21083" s="1" t="str">
        <f>HYPERLINK("http://maybelline.fr","maybelline.fr")</f>
        <v>maybelline.fr</v>
      </c>
      <c r="C21083" t="s">
        <v>446</v>
      </c>
      <c r="D21083" t="s">
        <v>824</v>
      </c>
      <c r="F21083">
        <v>5.4673529927605E-8</v>
      </c>
      <c r="G21083">
        <v>824403</v>
      </c>
      <c r="H21083">
        <v>14152830</v>
      </c>
      <c r="I21083">
        <v>1868135</v>
      </c>
      <c r="J21083">
        <v>5</v>
      </c>
    </row>
    <row r="21084" spans="1:10" x14ac:dyDescent="0.25">
      <c r="A21084" t="s">
        <v>231</v>
      </c>
      <c r="B21084" s="1" t="str">
        <f>HYPERLINK("http://mugler.fr","mugler.fr")</f>
        <v>mugler.fr</v>
      </c>
      <c r="C21084" t="s">
        <v>446</v>
      </c>
      <c r="D21084" t="s">
        <v>824</v>
      </c>
      <c r="F21084">
        <v>3.3599624017068199E-8</v>
      </c>
      <c r="G21084">
        <v>1539119</v>
      </c>
      <c r="H21084">
        <v>14314704</v>
      </c>
      <c r="I21084">
        <v>1336795</v>
      </c>
      <c r="J21084">
        <v>4</v>
      </c>
    </row>
    <row r="21085" spans="1:10" x14ac:dyDescent="0.25">
      <c r="A21085" t="s">
        <v>231</v>
      </c>
      <c r="B21085" s="1" t="str">
        <f>HYPERLINK("http://nyxcosmetics.fr","nyxcosmetics.fr")</f>
        <v>nyxcosmetics.fr</v>
      </c>
      <c r="C21085" t="s">
        <v>446</v>
      </c>
      <c r="D21085" t="s">
        <v>824</v>
      </c>
      <c r="E21085">
        <v>868561</v>
      </c>
      <c r="F21085">
        <v>5.5638312509009202E-8</v>
      </c>
      <c r="G21085">
        <v>806134</v>
      </c>
      <c r="H21085">
        <v>14497966</v>
      </c>
      <c r="I21085">
        <v>863634</v>
      </c>
      <c r="J21085">
        <v>4</v>
      </c>
    </row>
    <row r="21086" spans="1:10" x14ac:dyDescent="0.25">
      <c r="A21086" t="s">
        <v>231</v>
      </c>
      <c r="B21086" s="1" t="str">
        <f>HYPERLINK("http://skinceuticals.fr","skinceuticals.fr")</f>
        <v>skinceuticals.fr</v>
      </c>
      <c r="C21086" t="s">
        <v>446</v>
      </c>
      <c r="D21086" t="s">
        <v>824</v>
      </c>
      <c r="F21086">
        <v>4.6573232551456099E-8</v>
      </c>
      <c r="G21086">
        <v>1003919</v>
      </c>
      <c r="H21086">
        <v>14352306</v>
      </c>
      <c r="I21086">
        <v>1308369</v>
      </c>
      <c r="J21086">
        <v>4</v>
      </c>
    </row>
    <row r="21087" spans="1:10" x14ac:dyDescent="0.25">
      <c r="A21087" t="s">
        <v>231</v>
      </c>
      <c r="B21087" s="1" t="str">
        <f>HYPERLINK("http://station-thermale-larocheposay.fr","station-thermale-larocheposay.fr")</f>
        <v>station-thermale-larocheposay.fr</v>
      </c>
      <c r="C21087" t="s">
        <v>446</v>
      </c>
      <c r="D21087" t="s">
        <v>824</v>
      </c>
      <c r="F21087">
        <v>7.2036905458353104E-9</v>
      </c>
      <c r="G21087">
        <v>11730465</v>
      </c>
      <c r="H21087">
        <v>12318012</v>
      </c>
      <c r="I21087">
        <v>20454278</v>
      </c>
      <c r="J21087">
        <v>5</v>
      </c>
    </row>
    <row r="21088" spans="1:10" x14ac:dyDescent="0.25">
      <c r="A21088" t="s">
        <v>231</v>
      </c>
      <c r="B21088" s="1" t="str">
        <f>HYPERLINK("http://valentino-beauty.fr","valentino-beauty.fr")</f>
        <v>valentino-beauty.fr</v>
      </c>
      <c r="C21088" t="s">
        <v>446</v>
      </c>
      <c r="D21088" t="s">
        <v>824</v>
      </c>
      <c r="F21088">
        <v>2.8800400605960099E-8</v>
      </c>
      <c r="G21088">
        <v>1787121</v>
      </c>
      <c r="H21088">
        <v>12594972</v>
      </c>
      <c r="I21088">
        <v>16375568</v>
      </c>
      <c r="J21088">
        <v>4</v>
      </c>
    </row>
    <row r="21089" spans="1:10" x14ac:dyDescent="0.25">
      <c r="A21089" t="s">
        <v>231</v>
      </c>
      <c r="B21089" s="1" t="str">
        <f>HYPERLINK("http://vichy.fr","vichy.fr")</f>
        <v>vichy.fr</v>
      </c>
      <c r="C21089" t="s">
        <v>446</v>
      </c>
      <c r="D21089" t="s">
        <v>824</v>
      </c>
      <c r="E21089">
        <v>537698</v>
      </c>
      <c r="F21089">
        <v>7.4852243932367899E-8</v>
      </c>
      <c r="G21089">
        <v>562024</v>
      </c>
      <c r="H21089">
        <v>14593233</v>
      </c>
      <c r="I21089">
        <v>692673</v>
      </c>
      <c r="J21089">
        <v>3</v>
      </c>
    </row>
    <row r="21090" spans="1:10" x14ac:dyDescent="0.25">
      <c r="A21090" t="s">
        <v>231</v>
      </c>
      <c r="B21090" s="1" t="str">
        <f>HYPERLINK("http://cerave.gr","cerave.gr")</f>
        <v>cerave.gr</v>
      </c>
      <c r="C21090" t="s">
        <v>447</v>
      </c>
      <c r="D21090" t="s">
        <v>825</v>
      </c>
      <c r="F21090">
        <v>1.7219800975489501E-8</v>
      </c>
      <c r="G21090">
        <v>3219705</v>
      </c>
      <c r="H21090">
        <v>13767915</v>
      </c>
      <c r="I21090">
        <v>6906114</v>
      </c>
      <c r="J21090">
        <v>3</v>
      </c>
    </row>
    <row r="21091" spans="1:10" x14ac:dyDescent="0.25">
      <c r="A21091" t="s">
        <v>231</v>
      </c>
      <c r="B21091" s="1" t="str">
        <f>HYPERLINK("http://kerastase.gr","kerastase.gr")</f>
        <v>kerastase.gr</v>
      </c>
      <c r="C21091" t="s">
        <v>447</v>
      </c>
      <c r="D21091" t="s">
        <v>825</v>
      </c>
      <c r="F21091">
        <v>1.3622739263750501E-8</v>
      </c>
      <c r="G21091">
        <v>4352532</v>
      </c>
      <c r="H21091">
        <v>12184656</v>
      </c>
      <c r="I21091">
        <v>23705222</v>
      </c>
      <c r="J21091">
        <v>4</v>
      </c>
    </row>
    <row r="21092" spans="1:10" x14ac:dyDescent="0.25">
      <c r="A21092" t="s">
        <v>231</v>
      </c>
      <c r="B21092" s="1" t="str">
        <f>HYPERLINK("http://lancome.gr","lancome.gr")</f>
        <v>lancome.gr</v>
      </c>
      <c r="C21092" t="s">
        <v>447</v>
      </c>
      <c r="D21092" t="s">
        <v>825</v>
      </c>
      <c r="F21092">
        <v>5.0482574352454E-9</v>
      </c>
      <c r="G21092">
        <v>28261712</v>
      </c>
      <c r="H21092">
        <v>12097251</v>
      </c>
      <c r="I21092">
        <v>26046675</v>
      </c>
      <c r="J21092">
        <v>4</v>
      </c>
    </row>
    <row r="21093" spans="1:10" x14ac:dyDescent="0.25">
      <c r="A21093" t="s">
        <v>231</v>
      </c>
      <c r="B21093" s="1" t="str">
        <f>HYPERLINK("http://lorealparis.gr","lorealparis.gr")</f>
        <v>lorealparis.gr</v>
      </c>
      <c r="C21093" t="s">
        <v>447</v>
      </c>
      <c r="D21093" t="s">
        <v>825</v>
      </c>
      <c r="F21093">
        <v>1.70747441347493E-8</v>
      </c>
      <c r="G21093">
        <v>3266351</v>
      </c>
      <c r="H21093">
        <v>13769241</v>
      </c>
      <c r="I21093">
        <v>6802423</v>
      </c>
      <c r="J21093">
        <v>5</v>
      </c>
    </row>
    <row r="21094" spans="1:10" x14ac:dyDescent="0.25">
      <c r="A21094" t="s">
        <v>231</v>
      </c>
      <c r="B21094" s="1" t="str">
        <f>HYPERLINK("http://lorealprofessionnel.gr","lorealprofessionnel.gr")</f>
        <v>lorealprofessionnel.gr</v>
      </c>
      <c r="C21094" t="s">
        <v>447</v>
      </c>
      <c r="D21094" t="s">
        <v>825</v>
      </c>
      <c r="F21094">
        <v>2.6272781783932999E-8</v>
      </c>
      <c r="G21094">
        <v>1960032</v>
      </c>
      <c r="H21094">
        <v>12255385</v>
      </c>
      <c r="I21094">
        <v>21882658</v>
      </c>
      <c r="J21094">
        <v>5</v>
      </c>
    </row>
    <row r="21095" spans="1:10" x14ac:dyDescent="0.25">
      <c r="A21095" t="s">
        <v>231</v>
      </c>
      <c r="B21095" s="1" t="str">
        <f>HYPERLINK("http://maybelline.gr","maybelline.gr")</f>
        <v>maybelline.gr</v>
      </c>
      <c r="C21095" t="s">
        <v>447</v>
      </c>
      <c r="D21095" t="s">
        <v>825</v>
      </c>
      <c r="F21095">
        <v>3.2400029478530302E-8</v>
      </c>
      <c r="G21095">
        <v>1594640</v>
      </c>
      <c r="H21095">
        <v>12786357</v>
      </c>
      <c r="I21095">
        <v>14708556</v>
      </c>
      <c r="J21095">
        <v>5</v>
      </c>
    </row>
    <row r="21096" spans="1:10" x14ac:dyDescent="0.25">
      <c r="A21096" t="s">
        <v>231</v>
      </c>
      <c r="B21096" s="1" t="str">
        <f>HYPERLINK("http://nyxcosmetics.gr","nyxcosmetics.gr")</f>
        <v>nyxcosmetics.gr</v>
      </c>
      <c r="C21096" t="s">
        <v>447</v>
      </c>
      <c r="D21096" t="s">
        <v>825</v>
      </c>
      <c r="F21096">
        <v>1.9491576232546901E-8</v>
      </c>
      <c r="G21096">
        <v>2745708</v>
      </c>
      <c r="H21096">
        <v>11285744</v>
      </c>
      <c r="I21096">
        <v>30679607</v>
      </c>
      <c r="J21096">
        <v>5</v>
      </c>
    </row>
    <row r="21097" spans="1:10" x14ac:dyDescent="0.25">
      <c r="A21097" t="s">
        <v>231</v>
      </c>
      <c r="B21097" s="1" t="str">
        <f>HYPERLINK("http://skinceuticals.gr","skinceuticals.gr")</f>
        <v>skinceuticals.gr</v>
      </c>
      <c r="C21097" t="s">
        <v>447</v>
      </c>
      <c r="D21097" t="s">
        <v>825</v>
      </c>
      <c r="F21097">
        <v>2.0309656826556999E-8</v>
      </c>
      <c r="G21097">
        <v>2612689</v>
      </c>
      <c r="H21097">
        <v>12325937</v>
      </c>
      <c r="I21097">
        <v>20309754</v>
      </c>
      <c r="J21097">
        <v>4</v>
      </c>
    </row>
    <row r="21098" spans="1:10" x14ac:dyDescent="0.25">
      <c r="A21098" t="s">
        <v>231</v>
      </c>
      <c r="B21098" s="1" t="str">
        <f>HYPERLINK("http://vichy.gr","vichy.gr")</f>
        <v>vichy.gr</v>
      </c>
      <c r="C21098" t="s">
        <v>447</v>
      </c>
      <c r="D21098" t="s">
        <v>825</v>
      </c>
      <c r="F21098">
        <v>4.9673417020389401E-8</v>
      </c>
      <c r="G21098">
        <v>929495</v>
      </c>
      <c r="H21098">
        <v>14378216</v>
      </c>
      <c r="I21098">
        <v>1205494</v>
      </c>
      <c r="J21098">
        <v>3</v>
      </c>
    </row>
    <row r="21099" spans="1:10" x14ac:dyDescent="0.25">
      <c r="A21099" t="s">
        <v>231</v>
      </c>
      <c r="B21099" s="1" t="str">
        <f>HYPERLINK("http://cerave.hk","cerave.hk")</f>
        <v>cerave.hk</v>
      </c>
      <c r="C21099" t="s">
        <v>450</v>
      </c>
      <c r="D21099" t="s">
        <v>827</v>
      </c>
      <c r="F21099">
        <v>1.40092086964422E-8</v>
      </c>
      <c r="G21099">
        <v>4199130</v>
      </c>
      <c r="H21099">
        <v>13765752</v>
      </c>
      <c r="I21099">
        <v>7067865</v>
      </c>
      <c r="J21099">
        <v>3</v>
      </c>
    </row>
    <row r="21100" spans="1:10" x14ac:dyDescent="0.25">
      <c r="A21100" t="s">
        <v>231</v>
      </c>
      <c r="B21100" s="1" t="str">
        <f>HYPERLINK("http://kerastase.com.hk","kerastase.com.hk")</f>
        <v>kerastase.com.hk</v>
      </c>
      <c r="C21100" t="s">
        <v>450</v>
      </c>
      <c r="D21100" t="s">
        <v>827</v>
      </c>
      <c r="F21100">
        <v>1.01277266491559E-8</v>
      </c>
      <c r="G21100">
        <v>6619099</v>
      </c>
      <c r="H21100">
        <v>12348571</v>
      </c>
      <c r="I21100">
        <v>19788105</v>
      </c>
      <c r="J21100">
        <v>4</v>
      </c>
    </row>
    <row r="21101" spans="1:10" x14ac:dyDescent="0.25">
      <c r="A21101" t="s">
        <v>231</v>
      </c>
      <c r="B21101" s="1" t="str">
        <f>HYPERLINK("http://kiehls.com.hk","kiehls.com.hk")</f>
        <v>kiehls.com.hk</v>
      </c>
      <c r="C21101" t="s">
        <v>450</v>
      </c>
      <c r="D21101" t="s">
        <v>827</v>
      </c>
      <c r="F21101">
        <v>2.3382355269278201E-8</v>
      </c>
      <c r="G21101">
        <v>2230281</v>
      </c>
      <c r="H21101">
        <v>14198952</v>
      </c>
      <c r="I21101">
        <v>1727445</v>
      </c>
      <c r="J21101">
        <v>5</v>
      </c>
    </row>
    <row r="21102" spans="1:10" x14ac:dyDescent="0.25">
      <c r="A21102" t="s">
        <v>231</v>
      </c>
      <c r="B21102" s="1" t="str">
        <f>HYPERLINK("http://loreal-paris.com.hk","loreal-paris.com.hk")</f>
        <v>loreal-paris.com.hk</v>
      </c>
      <c r="C21102" t="s">
        <v>450</v>
      </c>
      <c r="D21102" t="s">
        <v>827</v>
      </c>
      <c r="F21102">
        <v>2.7106410476656101E-8</v>
      </c>
      <c r="G21102">
        <v>1897254</v>
      </c>
      <c r="H21102">
        <v>14240239</v>
      </c>
      <c r="I21102">
        <v>1503049</v>
      </c>
      <c r="J21102">
        <v>5</v>
      </c>
    </row>
    <row r="21103" spans="1:10" x14ac:dyDescent="0.25">
      <c r="A21103" t="s">
        <v>231</v>
      </c>
      <c r="B21103" s="1" t="str">
        <f>HYPERLINK("http://maybelline.com.hk","maybelline.com.hk")</f>
        <v>maybelline.com.hk</v>
      </c>
      <c r="C21103" t="s">
        <v>450</v>
      </c>
      <c r="D21103" t="s">
        <v>827</v>
      </c>
      <c r="F21103">
        <v>3.1830876819511903E-8</v>
      </c>
      <c r="G21103">
        <v>1622635</v>
      </c>
      <c r="H21103">
        <v>13769823</v>
      </c>
      <c r="I21103">
        <v>6761423</v>
      </c>
      <c r="J21103">
        <v>5</v>
      </c>
    </row>
    <row r="21104" spans="1:10" x14ac:dyDescent="0.25">
      <c r="A21104" t="s">
        <v>231</v>
      </c>
      <c r="B21104" s="1" t="str">
        <f>HYPERLINK("http://skinceuticals.com.hk","skinceuticals.com.hk")</f>
        <v>skinceuticals.com.hk</v>
      </c>
      <c r="C21104" t="s">
        <v>450</v>
      </c>
      <c r="D21104" t="s">
        <v>827</v>
      </c>
      <c r="F21104">
        <v>2.24033080746048E-8</v>
      </c>
      <c r="G21104">
        <v>2339314</v>
      </c>
      <c r="H21104">
        <v>14120906</v>
      </c>
      <c r="I21104">
        <v>2321524</v>
      </c>
      <c r="J21104">
        <v>4</v>
      </c>
    </row>
    <row r="21105" spans="1:10" x14ac:dyDescent="0.25">
      <c r="A21105" t="s">
        <v>231</v>
      </c>
      <c r="B21105" s="1" t="str">
        <f>HYPERLINK("http://laroche-posay.hk","laroche-posay.hk")</f>
        <v>laroche-posay.hk</v>
      </c>
      <c r="C21105" t="s">
        <v>450</v>
      </c>
      <c r="D21105" t="s">
        <v>827</v>
      </c>
      <c r="F21105">
        <v>1.10197835738744E-8</v>
      </c>
      <c r="G21105">
        <v>5844860</v>
      </c>
      <c r="H21105">
        <v>13776412</v>
      </c>
      <c r="I21105">
        <v>6555714</v>
      </c>
      <c r="J21105">
        <v>5</v>
      </c>
    </row>
    <row r="21106" spans="1:10" x14ac:dyDescent="0.25">
      <c r="A21106" t="s">
        <v>231</v>
      </c>
      <c r="B21106" s="1" t="str">
        <f>HYPERLINK("http://vichy.hk","vichy.hk")</f>
        <v>vichy.hk</v>
      </c>
      <c r="C21106" t="s">
        <v>450</v>
      </c>
      <c r="D21106" t="s">
        <v>827</v>
      </c>
      <c r="F21106">
        <v>2.49274927844537E-8</v>
      </c>
      <c r="G21106">
        <v>2073982</v>
      </c>
      <c r="H21106">
        <v>14128548</v>
      </c>
      <c r="I21106">
        <v>2059330</v>
      </c>
      <c r="J21106">
        <v>3</v>
      </c>
    </row>
    <row r="21107" spans="1:10" x14ac:dyDescent="0.25">
      <c r="A21107" t="s">
        <v>231</v>
      </c>
      <c r="B21107" s="1" t="str">
        <f>HYPERLINK("http://laroche-posay.com.hr","laroche-posay.com.hr")</f>
        <v>laroche-posay.com.hr</v>
      </c>
      <c r="C21107" t="s">
        <v>452</v>
      </c>
      <c r="D21107" t="s">
        <v>829</v>
      </c>
      <c r="F21107">
        <v>4.19804547536027E-8</v>
      </c>
      <c r="G21107">
        <v>1167469</v>
      </c>
      <c r="H21107">
        <v>14486071</v>
      </c>
      <c r="I21107">
        <v>974516</v>
      </c>
      <c r="J21107">
        <v>4</v>
      </c>
    </row>
    <row r="21108" spans="1:10" x14ac:dyDescent="0.25">
      <c r="A21108" t="s">
        <v>231</v>
      </c>
      <c r="B21108" s="1" t="str">
        <f>HYPERLINK("http://kerastase.hr","kerastase.hr")</f>
        <v>kerastase.hr</v>
      </c>
      <c r="C21108" t="s">
        <v>452</v>
      </c>
      <c r="D21108" t="s">
        <v>829</v>
      </c>
      <c r="F21108">
        <v>6.4808295223409701E-9</v>
      </c>
      <c r="G21108">
        <v>14159220</v>
      </c>
      <c r="H21108">
        <v>10933614</v>
      </c>
      <c r="I21108">
        <v>34994414</v>
      </c>
      <c r="J21108">
        <v>4</v>
      </c>
    </row>
    <row r="21109" spans="1:10" x14ac:dyDescent="0.25">
      <c r="A21109" t="s">
        <v>231</v>
      </c>
      <c r="B21109" s="1" t="str">
        <f>HYPERLINK("http://kiehls.hr","kiehls.hr")</f>
        <v>kiehls.hr</v>
      </c>
      <c r="C21109" t="s">
        <v>452</v>
      </c>
      <c r="D21109" t="s">
        <v>829</v>
      </c>
      <c r="F21109">
        <v>1.33645303332485E-8</v>
      </c>
      <c r="G21109">
        <v>4464837</v>
      </c>
      <c r="H21109">
        <v>12479194</v>
      </c>
      <c r="I21109">
        <v>17606675</v>
      </c>
      <c r="J21109">
        <v>6</v>
      </c>
    </row>
    <row r="21110" spans="1:10" x14ac:dyDescent="0.25">
      <c r="A21110" t="s">
        <v>231</v>
      </c>
      <c r="B21110" s="1" t="str">
        <f>HYPERLINK("http://lancome.hr","lancome.hr")</f>
        <v>lancome.hr</v>
      </c>
      <c r="C21110" t="s">
        <v>452</v>
      </c>
      <c r="D21110" t="s">
        <v>829</v>
      </c>
      <c r="F21110">
        <v>1.02149506059181E-8</v>
      </c>
      <c r="G21110">
        <v>6532494</v>
      </c>
      <c r="H21110">
        <v>12676965</v>
      </c>
      <c r="I21110">
        <v>15530190</v>
      </c>
      <c r="J21110">
        <v>4</v>
      </c>
    </row>
    <row r="21111" spans="1:10" x14ac:dyDescent="0.25">
      <c r="A21111" t="s">
        <v>231</v>
      </c>
      <c r="B21111" s="1" t="str">
        <f>HYPERLINK("http://loreal.hr","loreal.hr")</f>
        <v>loreal.hr</v>
      </c>
      <c r="C21111" t="s">
        <v>452</v>
      </c>
      <c r="D21111" t="s">
        <v>829</v>
      </c>
      <c r="F21111">
        <v>1.21008848947106E-8</v>
      </c>
      <c r="G21111">
        <v>5112757</v>
      </c>
      <c r="H21111">
        <v>12434989</v>
      </c>
      <c r="I21111">
        <v>18214702</v>
      </c>
      <c r="J21111">
        <v>3</v>
      </c>
    </row>
    <row r="21112" spans="1:10" x14ac:dyDescent="0.25">
      <c r="A21112" t="s">
        <v>231</v>
      </c>
      <c r="B21112" s="1" t="str">
        <f>HYPERLINK("http://lorealparis.hr","lorealparis.hr")</f>
        <v>lorealparis.hr</v>
      </c>
      <c r="C21112" t="s">
        <v>452</v>
      </c>
      <c r="D21112" t="s">
        <v>829</v>
      </c>
      <c r="F21112">
        <v>6.8837376280581596E-9</v>
      </c>
      <c r="G21112">
        <v>12685203</v>
      </c>
      <c r="H21112">
        <v>13763638</v>
      </c>
      <c r="I21112">
        <v>7995069</v>
      </c>
      <c r="J21112">
        <v>5</v>
      </c>
    </row>
    <row r="21113" spans="1:10" x14ac:dyDescent="0.25">
      <c r="A21113" t="s">
        <v>231</v>
      </c>
      <c r="B21113" s="1" t="str">
        <f>HYPERLINK("http://vichy.hr","vichy.hr")</f>
        <v>vichy.hr</v>
      </c>
      <c r="C21113" t="s">
        <v>452</v>
      </c>
      <c r="D21113" t="s">
        <v>829</v>
      </c>
      <c r="F21113">
        <v>2.24598275457943E-8</v>
      </c>
      <c r="G21113">
        <v>2332985</v>
      </c>
      <c r="H21113">
        <v>13766160</v>
      </c>
      <c r="I21113">
        <v>7029305</v>
      </c>
      <c r="J21113">
        <v>3</v>
      </c>
    </row>
    <row r="21114" spans="1:10" x14ac:dyDescent="0.25">
      <c r="A21114" t="s">
        <v>231</v>
      </c>
      <c r="B21114" s="1" t="str">
        <f>HYPERLINK("http://cerave.hu","cerave.hu")</f>
        <v>cerave.hu</v>
      </c>
      <c r="C21114" t="s">
        <v>453</v>
      </c>
      <c r="D21114" t="s">
        <v>830</v>
      </c>
      <c r="F21114">
        <v>1.48684804314069E-8</v>
      </c>
      <c r="G21114">
        <v>3883304</v>
      </c>
      <c r="H21114">
        <v>11050391</v>
      </c>
      <c r="I21114">
        <v>32793671</v>
      </c>
      <c r="J21114">
        <v>3</v>
      </c>
    </row>
    <row r="21115" spans="1:10" x14ac:dyDescent="0.25">
      <c r="A21115" t="s">
        <v>231</v>
      </c>
      <c r="B21115" s="1" t="str">
        <f>HYPERLINK("http://kerastase.hu","kerastase.hu")</f>
        <v>kerastase.hu</v>
      </c>
      <c r="C21115" t="s">
        <v>453</v>
      </c>
      <c r="D21115" t="s">
        <v>830</v>
      </c>
      <c r="F21115">
        <v>6.4808295223409701E-9</v>
      </c>
      <c r="G21115">
        <v>14159221</v>
      </c>
      <c r="H21115">
        <v>10933614</v>
      </c>
      <c r="I21115">
        <v>34994415</v>
      </c>
      <c r="J21115">
        <v>4</v>
      </c>
    </row>
    <row r="21116" spans="1:10" x14ac:dyDescent="0.25">
      <c r="A21116" t="s">
        <v>231</v>
      </c>
      <c r="B21116" s="1" t="str">
        <f>HYPERLINK("http://kiehls.hu","kiehls.hu")</f>
        <v>kiehls.hu</v>
      </c>
      <c r="C21116" t="s">
        <v>453</v>
      </c>
      <c r="D21116" t="s">
        <v>830</v>
      </c>
      <c r="F21116">
        <v>9.3238577257652705E-9</v>
      </c>
      <c r="G21116">
        <v>7542104</v>
      </c>
      <c r="H21116">
        <v>10756114</v>
      </c>
      <c r="I21116">
        <v>39781055</v>
      </c>
      <c r="J21116">
        <v>5</v>
      </c>
    </row>
    <row r="21117" spans="1:10" x14ac:dyDescent="0.25">
      <c r="A21117" t="s">
        <v>231</v>
      </c>
      <c r="B21117" s="1" t="str">
        <f>HYPERLINK("http://lancome.hu","lancome.hu")</f>
        <v>lancome.hu</v>
      </c>
      <c r="C21117" t="s">
        <v>453</v>
      </c>
      <c r="D21117" t="s">
        <v>830</v>
      </c>
      <c r="F21117">
        <v>6.7370495108447103E-9</v>
      </c>
      <c r="G21117">
        <v>13173135</v>
      </c>
      <c r="H21117">
        <v>10724168</v>
      </c>
      <c r="I21117">
        <v>41426598</v>
      </c>
      <c r="J21117">
        <v>4</v>
      </c>
    </row>
    <row r="21118" spans="1:10" x14ac:dyDescent="0.25">
      <c r="A21118" t="s">
        <v>231</v>
      </c>
      <c r="B21118" s="1" t="str">
        <f>HYPERLINK("http://loreal.hu","loreal.hu")</f>
        <v>loreal.hu</v>
      </c>
      <c r="C21118" t="s">
        <v>453</v>
      </c>
      <c r="D21118" t="s">
        <v>830</v>
      </c>
      <c r="F21118">
        <v>1.02039728073534E-8</v>
      </c>
      <c r="G21118">
        <v>6543216</v>
      </c>
      <c r="H21118">
        <v>12438933</v>
      </c>
      <c r="I21118">
        <v>18156568</v>
      </c>
      <c r="J21118">
        <v>4</v>
      </c>
    </row>
    <row r="21119" spans="1:10" x14ac:dyDescent="0.25">
      <c r="A21119" t="s">
        <v>231</v>
      </c>
      <c r="B21119" s="1" t="str">
        <f>HYPERLINK("http://lorealparis.hu","lorealparis.hu")</f>
        <v>lorealparis.hu</v>
      </c>
      <c r="C21119" t="s">
        <v>453</v>
      </c>
      <c r="D21119" t="s">
        <v>830</v>
      </c>
      <c r="F21119">
        <v>5.3289709653836998E-9</v>
      </c>
      <c r="G21119">
        <v>23080096</v>
      </c>
      <c r="H21119">
        <v>12204474</v>
      </c>
      <c r="I21119">
        <v>23202466</v>
      </c>
      <c r="J21119">
        <v>5</v>
      </c>
    </row>
    <row r="21120" spans="1:10" x14ac:dyDescent="0.25">
      <c r="A21120" t="s">
        <v>231</v>
      </c>
      <c r="B21120" s="1" t="str">
        <f>HYPERLINK("http://skinceuticals.hu","skinceuticals.hu")</f>
        <v>skinceuticals.hu</v>
      </c>
      <c r="C21120" t="s">
        <v>453</v>
      </c>
      <c r="D21120" t="s">
        <v>830</v>
      </c>
      <c r="F21120">
        <v>8.4248261529168599E-9</v>
      </c>
      <c r="G21120">
        <v>8992294</v>
      </c>
      <c r="H21120">
        <v>10658573</v>
      </c>
      <c r="I21120">
        <v>43458658</v>
      </c>
      <c r="J21120">
        <v>5</v>
      </c>
    </row>
    <row r="21121" spans="1:10" x14ac:dyDescent="0.25">
      <c r="A21121" t="s">
        <v>231</v>
      </c>
      <c r="B21121" s="1" t="str">
        <f>HYPERLINK("http://vichy.hu","vichy.hu")</f>
        <v>vichy.hu</v>
      </c>
      <c r="C21121" t="s">
        <v>453</v>
      </c>
      <c r="D21121" t="s">
        <v>830</v>
      </c>
      <c r="F21121">
        <v>2.04166205032315E-8</v>
      </c>
      <c r="G21121">
        <v>2596612</v>
      </c>
      <c r="H21121">
        <v>12192394</v>
      </c>
      <c r="I21121">
        <v>23525617</v>
      </c>
      <c r="J21121">
        <v>3</v>
      </c>
    </row>
    <row r="21122" spans="1:10" x14ac:dyDescent="0.25">
      <c r="A21122" t="s">
        <v>231</v>
      </c>
      <c r="B21122" s="1" t="str">
        <f>HYPERLINK("http://kerastase.co.id","kerastase.co.id")</f>
        <v>kerastase.co.id</v>
      </c>
      <c r="C21122" t="s">
        <v>454</v>
      </c>
      <c r="D21122" t="s">
        <v>831</v>
      </c>
      <c r="F21122">
        <v>1.63724991801936E-8</v>
      </c>
      <c r="G21122">
        <v>3453162</v>
      </c>
      <c r="H21122">
        <v>12465750</v>
      </c>
      <c r="I21122">
        <v>17809277</v>
      </c>
      <c r="J21122">
        <v>4</v>
      </c>
    </row>
    <row r="21123" spans="1:10" x14ac:dyDescent="0.25">
      <c r="A21123" t="s">
        <v>231</v>
      </c>
      <c r="B21123" s="1" t="str">
        <f>HYPERLINK("http://kiehls.co.id","kiehls.co.id")</f>
        <v>kiehls.co.id</v>
      </c>
      <c r="C21123" t="s">
        <v>454</v>
      </c>
      <c r="D21123" t="s">
        <v>831</v>
      </c>
      <c r="F21123">
        <v>3.3289842404050497E-8</v>
      </c>
      <c r="G21123">
        <v>1552335</v>
      </c>
      <c r="H21123">
        <v>13791318</v>
      </c>
      <c r="I21123">
        <v>6339053</v>
      </c>
      <c r="J21123">
        <v>5</v>
      </c>
    </row>
    <row r="21124" spans="1:10" x14ac:dyDescent="0.25">
      <c r="A21124" t="s">
        <v>231</v>
      </c>
      <c r="B21124" s="1" t="str">
        <f>HYPERLINK("http://loreal-paris.co.id","loreal-paris.co.id")</f>
        <v>loreal-paris.co.id</v>
      </c>
      <c r="C21124" t="s">
        <v>454</v>
      </c>
      <c r="D21124" t="s">
        <v>831</v>
      </c>
      <c r="F21124">
        <v>3.6694506450372302E-8</v>
      </c>
      <c r="G21124">
        <v>1424098</v>
      </c>
      <c r="H21124">
        <v>13957257</v>
      </c>
      <c r="I21124">
        <v>4127999</v>
      </c>
      <c r="J21124">
        <v>5</v>
      </c>
    </row>
    <row r="21125" spans="1:10" x14ac:dyDescent="0.25">
      <c r="A21125" t="s">
        <v>231</v>
      </c>
      <c r="B21125" s="1" t="str">
        <f>HYPERLINK("http://maybelline.co.id","maybelline.co.id")</f>
        <v>maybelline.co.id</v>
      </c>
      <c r="C21125" t="s">
        <v>454</v>
      </c>
      <c r="D21125" t="s">
        <v>831</v>
      </c>
      <c r="F21125">
        <v>5.2703386783328403E-8</v>
      </c>
      <c r="G21125">
        <v>864768</v>
      </c>
      <c r="H21125">
        <v>14128993</v>
      </c>
      <c r="I21125">
        <v>2052776</v>
      </c>
      <c r="J21125">
        <v>5</v>
      </c>
    </row>
    <row r="21126" spans="1:10" x14ac:dyDescent="0.25">
      <c r="A21126" t="s">
        <v>231</v>
      </c>
      <c r="B21126" s="1" t="str">
        <f>HYPERLINK("http://yslbeauty.co.id","yslbeauty.co.id")</f>
        <v>yslbeauty.co.id</v>
      </c>
      <c r="C21126" t="s">
        <v>454</v>
      </c>
      <c r="D21126" t="s">
        <v>831</v>
      </c>
      <c r="F21126">
        <v>6.2468776587600697E-9</v>
      </c>
      <c r="G21126">
        <v>15290747</v>
      </c>
      <c r="H21126">
        <v>12173770</v>
      </c>
      <c r="I21126">
        <v>23965197</v>
      </c>
      <c r="J21126">
        <v>4</v>
      </c>
    </row>
    <row r="21127" spans="1:10" x14ac:dyDescent="0.25">
      <c r="A21127" t="s">
        <v>231</v>
      </c>
      <c r="B21127" s="1" t="str">
        <f>HYPERLINK("http://lorealprofessionnel.id","lorealprofessionnel.id")</f>
        <v>lorealprofessionnel.id</v>
      </c>
      <c r="C21127" t="s">
        <v>454</v>
      </c>
      <c r="D21127" t="s">
        <v>831</v>
      </c>
      <c r="F21127">
        <v>1.5295210663791699E-8</v>
      </c>
      <c r="G21127">
        <v>3747144</v>
      </c>
      <c r="H21127">
        <v>12484599</v>
      </c>
      <c r="I21127">
        <v>17553109</v>
      </c>
      <c r="J21127">
        <v>5</v>
      </c>
    </row>
    <row r="21128" spans="1:10" x14ac:dyDescent="0.25">
      <c r="A21128" t="s">
        <v>231</v>
      </c>
      <c r="B21128" s="1" t="str">
        <f>HYPERLINK("http://cerave.co.il","cerave.co.il")</f>
        <v>cerave.co.il</v>
      </c>
      <c r="C21128" t="s">
        <v>456</v>
      </c>
      <c r="D21128" t="s">
        <v>833</v>
      </c>
      <c r="F21128">
        <v>1.38134047189929E-8</v>
      </c>
      <c r="G21128">
        <v>4275986</v>
      </c>
      <c r="H21128">
        <v>11047921</v>
      </c>
      <c r="I21128">
        <v>32824605</v>
      </c>
      <c r="J21128">
        <v>3</v>
      </c>
    </row>
    <row r="21129" spans="1:10" x14ac:dyDescent="0.25">
      <c r="A21129" t="s">
        <v>231</v>
      </c>
      <c r="B21129" s="1" t="str">
        <f>HYPERLINK("http://kerastase.co.il","kerastase.co.il")</f>
        <v>kerastase.co.il</v>
      </c>
      <c r="C21129" t="s">
        <v>456</v>
      </c>
      <c r="D21129" t="s">
        <v>833</v>
      </c>
      <c r="F21129">
        <v>9.7550459982534893E-9</v>
      </c>
      <c r="G21129">
        <v>7018220</v>
      </c>
      <c r="H21129">
        <v>13763643</v>
      </c>
      <c r="I21129">
        <v>7916136</v>
      </c>
      <c r="J21129">
        <v>4</v>
      </c>
    </row>
    <row r="21130" spans="1:10" x14ac:dyDescent="0.25">
      <c r="A21130" t="s">
        <v>231</v>
      </c>
      <c r="B21130" s="1" t="str">
        <f>HYPERLINK("http://laroche-posay.co.il","laroche-posay.co.il")</f>
        <v>laroche-posay.co.il</v>
      </c>
      <c r="C21130" t="s">
        <v>456</v>
      </c>
      <c r="D21130" t="s">
        <v>833</v>
      </c>
      <c r="F21130">
        <v>3.2599986696623099E-8</v>
      </c>
      <c r="G21130">
        <v>1584988</v>
      </c>
      <c r="H21130">
        <v>13764300</v>
      </c>
      <c r="I21130">
        <v>7302853</v>
      </c>
      <c r="J21130">
        <v>4</v>
      </c>
    </row>
    <row r="21131" spans="1:10" x14ac:dyDescent="0.25">
      <c r="A21131" t="s">
        <v>231</v>
      </c>
      <c r="B21131" s="1" t="str">
        <f>HYPERLINK("http://vichy.co.il","vichy.co.il")</f>
        <v>vichy.co.il</v>
      </c>
      <c r="C21131" t="s">
        <v>456</v>
      </c>
      <c r="D21131" t="s">
        <v>833</v>
      </c>
      <c r="F21131">
        <v>1.6914040878438899E-8</v>
      </c>
      <c r="G21131">
        <v>3303728</v>
      </c>
      <c r="H21131">
        <v>13764531</v>
      </c>
      <c r="I21131">
        <v>7243566</v>
      </c>
      <c r="J21131">
        <v>3</v>
      </c>
    </row>
    <row r="21132" spans="1:10" x14ac:dyDescent="0.25">
      <c r="A21132" t="s">
        <v>231</v>
      </c>
      <c r="B21132" s="1" t="str">
        <f>HYPERLINK("http://loreal.co.in","loreal.co.in")</f>
        <v>loreal.co.in</v>
      </c>
      <c r="C21132" t="s">
        <v>457</v>
      </c>
      <c r="D21132" t="s">
        <v>834</v>
      </c>
      <c r="F21132">
        <v>3.5215437314536002E-8</v>
      </c>
      <c r="G21132">
        <v>1476445</v>
      </c>
      <c r="H21132">
        <v>13962413</v>
      </c>
      <c r="I21132">
        <v>4102130</v>
      </c>
      <c r="J21132">
        <v>4</v>
      </c>
    </row>
    <row r="21133" spans="1:10" x14ac:dyDescent="0.25">
      <c r="A21133" t="s">
        <v>231</v>
      </c>
      <c r="B21133" s="1" t="str">
        <f>HYPERLINK("http://lorealparis.co.in","lorealparis.co.in")</f>
        <v>lorealparis.co.in</v>
      </c>
      <c r="C21133" t="s">
        <v>457</v>
      </c>
      <c r="D21133" t="s">
        <v>834</v>
      </c>
      <c r="F21133">
        <v>2.0758245872483801E-8</v>
      </c>
      <c r="G21133">
        <v>2548721</v>
      </c>
      <c r="H21133">
        <v>13858422</v>
      </c>
      <c r="I21133">
        <v>6027117</v>
      </c>
      <c r="J21133">
        <v>5</v>
      </c>
    </row>
    <row r="21134" spans="1:10" x14ac:dyDescent="0.25">
      <c r="A21134" t="s">
        <v>231</v>
      </c>
      <c r="B21134" s="1" t="str">
        <f>HYPERLINK("http://maybelline.co.in","maybelline.co.in")</f>
        <v>maybelline.co.in</v>
      </c>
      <c r="C21134" t="s">
        <v>457</v>
      </c>
      <c r="D21134" t="s">
        <v>834</v>
      </c>
      <c r="E21134">
        <v>674362</v>
      </c>
      <c r="F21134">
        <v>4.2821613857338602E-8</v>
      </c>
      <c r="G21134">
        <v>1125945</v>
      </c>
      <c r="H21134">
        <v>14616954</v>
      </c>
      <c r="I21134">
        <v>664088</v>
      </c>
      <c r="J21134">
        <v>5</v>
      </c>
    </row>
    <row r="21135" spans="1:10" x14ac:dyDescent="0.25">
      <c r="A21135" t="s">
        <v>231</v>
      </c>
      <c r="B21135" s="1" t="str">
        <f>HYPERLINK("http://kerastase.in","kerastase.in")</f>
        <v>kerastase.in</v>
      </c>
      <c r="C21135" t="s">
        <v>457</v>
      </c>
      <c r="D21135" t="s">
        <v>834</v>
      </c>
      <c r="F21135">
        <v>9.6216511504009399E-9</v>
      </c>
      <c r="G21135">
        <v>7173490</v>
      </c>
      <c r="H21135">
        <v>11575473</v>
      </c>
      <c r="I21135">
        <v>29949837</v>
      </c>
      <c r="J21135">
        <v>4</v>
      </c>
    </row>
    <row r="21136" spans="1:10" x14ac:dyDescent="0.25">
      <c r="A21136" t="s">
        <v>231</v>
      </c>
      <c r="B21136" s="1" t="str">
        <f>HYPERLINK("http://kiehls.in","kiehls.in")</f>
        <v>kiehls.in</v>
      </c>
      <c r="C21136" t="s">
        <v>457</v>
      </c>
      <c r="D21136" t="s">
        <v>834</v>
      </c>
      <c r="F21136">
        <v>3.68582006421446E-8</v>
      </c>
      <c r="G21136">
        <v>1418708</v>
      </c>
      <c r="H21136">
        <v>13258921</v>
      </c>
      <c r="I21136">
        <v>11045158</v>
      </c>
      <c r="J21136">
        <v>5</v>
      </c>
    </row>
    <row r="21137" spans="1:10" x14ac:dyDescent="0.25">
      <c r="A21137" t="s">
        <v>231</v>
      </c>
      <c r="B21137" s="1" t="str">
        <f>HYPERLINK("http://kiehlsstaging.in","kiehlsstaging.in")</f>
        <v>kiehlsstaging.in</v>
      </c>
      <c r="C21137" t="s">
        <v>457</v>
      </c>
      <c r="D21137" t="s">
        <v>834</v>
      </c>
      <c r="F21137">
        <v>4.9839672386280604E-9</v>
      </c>
      <c r="G21137">
        <v>29840337</v>
      </c>
      <c r="H21137">
        <v>10061919</v>
      </c>
      <c r="I21137">
        <v>60236947</v>
      </c>
      <c r="J21137">
        <v>7</v>
      </c>
    </row>
    <row r="21138" spans="1:10" x14ac:dyDescent="0.25">
      <c r="A21138" t="s">
        <v>231</v>
      </c>
      <c r="B21138" s="1" t="str">
        <f>HYPERLINK("http://lorealprofessionnel.in","lorealprofessionnel.in")</f>
        <v>lorealprofessionnel.in</v>
      </c>
      <c r="C21138" t="s">
        <v>457</v>
      </c>
      <c r="D21138" t="s">
        <v>834</v>
      </c>
      <c r="F21138">
        <v>2.42285987472568E-8</v>
      </c>
      <c r="G21138">
        <v>2140721</v>
      </c>
      <c r="H21138">
        <v>12994777</v>
      </c>
      <c r="I21138">
        <v>12825918</v>
      </c>
      <c r="J21138">
        <v>5</v>
      </c>
    </row>
    <row r="21139" spans="1:10" x14ac:dyDescent="0.25">
      <c r="A21139" t="s">
        <v>231</v>
      </c>
      <c r="B21139" s="1" t="str">
        <f>HYPERLINK("http://armanibeauty.it","armanibeauty.it")</f>
        <v>armanibeauty.it</v>
      </c>
      <c r="C21139" t="s">
        <v>459</v>
      </c>
      <c r="D21139" t="s">
        <v>835</v>
      </c>
      <c r="F21139">
        <v>3.1350231052848302E-8</v>
      </c>
      <c r="G21139">
        <v>1645009</v>
      </c>
      <c r="H21139">
        <v>14141383</v>
      </c>
      <c r="I21139">
        <v>1927195</v>
      </c>
      <c r="J21139">
        <v>4</v>
      </c>
    </row>
    <row r="21140" spans="1:10" x14ac:dyDescent="0.25">
      <c r="A21140" t="s">
        <v>231</v>
      </c>
      <c r="B21140" s="1" t="str">
        <f>HYPERLINK("http://cerave.it","cerave.it")</f>
        <v>cerave.it</v>
      </c>
      <c r="C21140" t="s">
        <v>459</v>
      </c>
      <c r="D21140" t="s">
        <v>835</v>
      </c>
      <c r="F21140">
        <v>2.00078463862615E-8</v>
      </c>
      <c r="G21140">
        <v>2658055</v>
      </c>
      <c r="H21140">
        <v>13049970</v>
      </c>
      <c r="I21140">
        <v>12589822</v>
      </c>
      <c r="J21140">
        <v>3</v>
      </c>
    </row>
    <row r="21141" spans="1:10" x14ac:dyDescent="0.25">
      <c r="A21141" t="s">
        <v>231</v>
      </c>
      <c r="B21141" s="1" t="str">
        <f>HYPERLINK("http://helenarubinstein.it","helenarubinstein.it")</f>
        <v>helenarubinstein.it</v>
      </c>
      <c r="C21141" t="s">
        <v>459</v>
      </c>
      <c r="D21141" t="s">
        <v>835</v>
      </c>
      <c r="F21141">
        <v>9.66218077015609E-9</v>
      </c>
      <c r="G21141">
        <v>7126149</v>
      </c>
      <c r="H21141">
        <v>12422858</v>
      </c>
      <c r="I21141">
        <v>18403396</v>
      </c>
      <c r="J21141">
        <v>4</v>
      </c>
    </row>
    <row r="21142" spans="1:10" x14ac:dyDescent="0.25">
      <c r="A21142" t="s">
        <v>231</v>
      </c>
      <c r="B21142" s="1" t="str">
        <f>HYPERLINK("http://kerastase.it","kerastase.it")</f>
        <v>kerastase.it</v>
      </c>
      <c r="C21142" t="s">
        <v>459</v>
      </c>
      <c r="D21142" t="s">
        <v>835</v>
      </c>
      <c r="F21142">
        <v>4.9809791707257903E-8</v>
      </c>
      <c r="G21142">
        <v>925955</v>
      </c>
      <c r="H21142">
        <v>13588307</v>
      </c>
      <c r="I21142">
        <v>9671808</v>
      </c>
      <c r="J21142">
        <v>4</v>
      </c>
    </row>
    <row r="21143" spans="1:10" x14ac:dyDescent="0.25">
      <c r="A21143" t="s">
        <v>231</v>
      </c>
      <c r="B21143" s="1" t="str">
        <f>HYPERLINK("http://kiehls.it","kiehls.it")</f>
        <v>kiehls.it</v>
      </c>
      <c r="C21143" t="s">
        <v>459</v>
      </c>
      <c r="D21143" t="s">
        <v>835</v>
      </c>
      <c r="F21143">
        <v>3.0583212913073497E-8</v>
      </c>
      <c r="G21143">
        <v>1683945</v>
      </c>
      <c r="H21143">
        <v>14142339</v>
      </c>
      <c r="I21143">
        <v>1921061</v>
      </c>
      <c r="J21143">
        <v>4</v>
      </c>
    </row>
    <row r="21144" spans="1:10" x14ac:dyDescent="0.25">
      <c r="A21144" t="s">
        <v>231</v>
      </c>
      <c r="B21144" s="1" t="str">
        <f>HYPERLINK("http://lancome.it","lancome.it")</f>
        <v>lancome.it</v>
      </c>
      <c r="C21144" t="s">
        <v>459</v>
      </c>
      <c r="D21144" t="s">
        <v>835</v>
      </c>
      <c r="F21144">
        <v>2.86921889814499E-8</v>
      </c>
      <c r="G21144">
        <v>1793659</v>
      </c>
      <c r="H21144">
        <v>14137685</v>
      </c>
      <c r="I21144">
        <v>1952610</v>
      </c>
      <c r="J21144">
        <v>4</v>
      </c>
    </row>
    <row r="21145" spans="1:10" x14ac:dyDescent="0.25">
      <c r="A21145" t="s">
        <v>231</v>
      </c>
      <c r="B21145" s="1" t="str">
        <f>HYPERLINK("http://loreal.it","loreal.it")</f>
        <v>loreal.it</v>
      </c>
      <c r="C21145" t="s">
        <v>459</v>
      </c>
      <c r="D21145" t="s">
        <v>835</v>
      </c>
      <c r="F21145">
        <v>3.73629703534518E-8</v>
      </c>
      <c r="G21145">
        <v>1385665</v>
      </c>
      <c r="H21145">
        <v>14132125</v>
      </c>
      <c r="I21145">
        <v>2003042</v>
      </c>
      <c r="J21145">
        <v>2</v>
      </c>
    </row>
    <row r="21146" spans="1:10" x14ac:dyDescent="0.25">
      <c r="A21146" t="s">
        <v>231</v>
      </c>
      <c r="B21146" s="1" t="str">
        <f>HYPERLINK("http://loreal-paris.it","loreal-paris.it")</f>
        <v>loreal-paris.it</v>
      </c>
      <c r="C21146" t="s">
        <v>459</v>
      </c>
      <c r="D21146" t="s">
        <v>835</v>
      </c>
      <c r="E21146">
        <v>749642</v>
      </c>
      <c r="F21146">
        <v>5.0959317239347799E-8</v>
      </c>
      <c r="G21146">
        <v>899751</v>
      </c>
      <c r="H21146">
        <v>14164141</v>
      </c>
      <c r="I21146">
        <v>1827796</v>
      </c>
      <c r="J21146">
        <v>5</v>
      </c>
    </row>
    <row r="21147" spans="1:10" x14ac:dyDescent="0.25">
      <c r="A21147" t="s">
        <v>231</v>
      </c>
      <c r="B21147" s="1" t="str">
        <f>HYPERLINK("http://lorealprofessionnel.it","lorealprofessionnel.it")</f>
        <v>lorealprofessionnel.it</v>
      </c>
      <c r="C21147" t="s">
        <v>459</v>
      </c>
      <c r="D21147" t="s">
        <v>835</v>
      </c>
      <c r="F21147">
        <v>3.96894265207144E-8</v>
      </c>
      <c r="G21147">
        <v>1301375</v>
      </c>
      <c r="H21147">
        <v>13768663</v>
      </c>
      <c r="I21147">
        <v>6862832</v>
      </c>
      <c r="J21147">
        <v>5</v>
      </c>
    </row>
    <row r="21148" spans="1:10" x14ac:dyDescent="0.25">
      <c r="A21148" t="s">
        <v>231</v>
      </c>
      <c r="B21148" s="1" t="str">
        <f>HYPERLINK("http://maybelline.it","maybelline.it")</f>
        <v>maybelline.it</v>
      </c>
      <c r="C21148" t="s">
        <v>459</v>
      </c>
      <c r="D21148" t="s">
        <v>835</v>
      </c>
      <c r="F21148">
        <v>3.63947245774655E-8</v>
      </c>
      <c r="G21148">
        <v>1434033</v>
      </c>
      <c r="H21148">
        <v>14130478</v>
      </c>
      <c r="I21148">
        <v>2028664</v>
      </c>
      <c r="J21148">
        <v>5</v>
      </c>
    </row>
    <row r="21149" spans="1:10" x14ac:dyDescent="0.25">
      <c r="A21149" t="s">
        <v>231</v>
      </c>
      <c r="B21149" s="1" t="str">
        <f>HYPERLINK("http://mugler.it","mugler.it")</f>
        <v>mugler.it</v>
      </c>
      <c r="C21149" t="s">
        <v>459</v>
      </c>
      <c r="D21149" t="s">
        <v>835</v>
      </c>
      <c r="F21149">
        <v>1.18610549530175E-8</v>
      </c>
      <c r="G21149">
        <v>5263636</v>
      </c>
      <c r="H21149">
        <v>11301661</v>
      </c>
      <c r="I21149">
        <v>30601029</v>
      </c>
      <c r="J21149">
        <v>4</v>
      </c>
    </row>
    <row r="21150" spans="1:10" x14ac:dyDescent="0.25">
      <c r="A21150" t="s">
        <v>231</v>
      </c>
      <c r="B21150" s="1" t="str">
        <f>HYPERLINK("http://nyxcosmetics.it","nyxcosmetics.it")</f>
        <v>nyxcosmetics.it</v>
      </c>
      <c r="C21150" t="s">
        <v>459</v>
      </c>
      <c r="D21150" t="s">
        <v>835</v>
      </c>
      <c r="F21150">
        <v>2.45984948711682E-8</v>
      </c>
      <c r="G21150">
        <v>2105536</v>
      </c>
      <c r="H21150">
        <v>14123022</v>
      </c>
      <c r="I21150">
        <v>2190293</v>
      </c>
      <c r="J21150">
        <v>4</v>
      </c>
    </row>
    <row r="21151" spans="1:10" x14ac:dyDescent="0.25">
      <c r="A21151" t="s">
        <v>231</v>
      </c>
      <c r="B21151" s="1" t="str">
        <f>HYPERLINK("http://skinceuticals.it","skinceuticals.it")</f>
        <v>skinceuticals.it</v>
      </c>
      <c r="C21151" t="s">
        <v>459</v>
      </c>
      <c r="D21151" t="s">
        <v>835</v>
      </c>
      <c r="F21151">
        <v>3.2450736171603097E-8</v>
      </c>
      <c r="G21151">
        <v>1592148</v>
      </c>
      <c r="H21151">
        <v>13783655</v>
      </c>
      <c r="I21151">
        <v>6422737</v>
      </c>
      <c r="J21151">
        <v>4</v>
      </c>
    </row>
    <row r="21152" spans="1:10" x14ac:dyDescent="0.25">
      <c r="A21152" t="s">
        <v>231</v>
      </c>
      <c r="B21152" s="1" t="str">
        <f>HYPERLINK("http://urbandecay.it","urbandecay.it")</f>
        <v>urbandecay.it</v>
      </c>
      <c r="C21152" t="s">
        <v>459</v>
      </c>
      <c r="D21152" t="s">
        <v>835</v>
      </c>
      <c r="F21152">
        <v>9.3017816668946299E-9</v>
      </c>
      <c r="G21152">
        <v>7570187</v>
      </c>
      <c r="H21152">
        <v>14121584</v>
      </c>
      <c r="I21152">
        <v>2247221</v>
      </c>
      <c r="J21152">
        <v>5</v>
      </c>
    </row>
    <row r="21153" spans="1:10" x14ac:dyDescent="0.25">
      <c r="A21153" t="s">
        <v>231</v>
      </c>
      <c r="B21153" s="1" t="str">
        <f>HYPERLINK("http://valentino-beauty.it","valentino-beauty.it")</f>
        <v>valentino-beauty.it</v>
      </c>
      <c r="C21153" t="s">
        <v>459</v>
      </c>
      <c r="D21153" t="s">
        <v>835</v>
      </c>
      <c r="F21153">
        <v>2.8932576558977201E-8</v>
      </c>
      <c r="G21153">
        <v>1779323</v>
      </c>
      <c r="H21153">
        <v>13950294</v>
      </c>
      <c r="I21153">
        <v>4174986</v>
      </c>
      <c r="J21153">
        <v>4</v>
      </c>
    </row>
    <row r="21154" spans="1:10" x14ac:dyDescent="0.25">
      <c r="A21154" t="s">
        <v>231</v>
      </c>
      <c r="B21154" s="1" t="str">
        <f>HYPERLINK("http://vichy.it","vichy.it")</f>
        <v>vichy.it</v>
      </c>
      <c r="C21154" t="s">
        <v>459</v>
      </c>
      <c r="D21154" t="s">
        <v>835</v>
      </c>
      <c r="F21154">
        <v>6.2245964405827794E-8</v>
      </c>
      <c r="G21154">
        <v>705551</v>
      </c>
      <c r="H21154">
        <v>14137498</v>
      </c>
      <c r="I21154">
        <v>1953871</v>
      </c>
      <c r="J21154">
        <v>3</v>
      </c>
    </row>
    <row r="21155" spans="1:10" x14ac:dyDescent="0.25">
      <c r="A21155" t="s">
        <v>231</v>
      </c>
      <c r="B21155" s="1" t="str">
        <f>HYPERLINK("http://yslbeauty.it","yslbeauty.it")</f>
        <v>yslbeauty.it</v>
      </c>
      <c r="C21155" t="s">
        <v>459</v>
      </c>
      <c r="D21155" t="s">
        <v>835</v>
      </c>
      <c r="F21155">
        <v>8.6193004220210806E-9</v>
      </c>
      <c r="G21155">
        <v>8621513</v>
      </c>
      <c r="H21155">
        <v>12745733</v>
      </c>
      <c r="I21155">
        <v>15086387</v>
      </c>
      <c r="J21155">
        <v>5</v>
      </c>
    </row>
    <row r="21156" spans="1:10" x14ac:dyDescent="0.25">
      <c r="A21156" t="s">
        <v>231</v>
      </c>
      <c r="B21156" s="1" t="str">
        <f>HYPERLINK("http://maybelline.co.jp","maybelline.co.jp")</f>
        <v>maybelline.co.jp</v>
      </c>
      <c r="C21156" t="s">
        <v>461</v>
      </c>
      <c r="D21156" t="s">
        <v>837</v>
      </c>
      <c r="E21156">
        <v>675091</v>
      </c>
      <c r="F21156">
        <v>2.38979623312076E-7</v>
      </c>
      <c r="G21156">
        <v>156631</v>
      </c>
      <c r="H21156">
        <v>14640938</v>
      </c>
      <c r="I21156">
        <v>636662</v>
      </c>
      <c r="J21156">
        <v>5</v>
      </c>
    </row>
    <row r="21157" spans="1:10" x14ac:dyDescent="0.25">
      <c r="A21157" t="s">
        <v>231</v>
      </c>
      <c r="B21157" s="1" t="str">
        <f>HYPERLINK("http://nihon-loreal.co.jp","nihon-loreal.co.jp")</f>
        <v>nihon-loreal.co.jp</v>
      </c>
      <c r="C21157" t="s">
        <v>461</v>
      </c>
      <c r="D21157" t="s">
        <v>837</v>
      </c>
      <c r="F21157">
        <v>1.6885444153790999E-8</v>
      </c>
      <c r="G21157">
        <v>3312293</v>
      </c>
      <c r="H21157">
        <v>14250217</v>
      </c>
      <c r="I21157">
        <v>1447416</v>
      </c>
      <c r="J21157">
        <v>6</v>
      </c>
    </row>
    <row r="21158" spans="1:10" x14ac:dyDescent="0.25">
      <c r="A21158" t="s">
        <v>231</v>
      </c>
      <c r="B21158" s="1" t="str">
        <f>HYPERLINK("http://helenarubinstein.jp","helenarubinstein.jp")</f>
        <v>helenarubinstein.jp</v>
      </c>
      <c r="C21158" t="s">
        <v>461</v>
      </c>
      <c r="D21158" t="s">
        <v>837</v>
      </c>
      <c r="F21158">
        <v>4.2362027315391802E-8</v>
      </c>
      <c r="G21158">
        <v>1146834</v>
      </c>
      <c r="H21158">
        <v>13933242</v>
      </c>
      <c r="I21158">
        <v>4818866</v>
      </c>
      <c r="J21158">
        <v>4</v>
      </c>
    </row>
    <row r="21159" spans="1:10" x14ac:dyDescent="0.25">
      <c r="A21159" t="s">
        <v>231</v>
      </c>
      <c r="B21159" s="1" t="str">
        <f>HYPERLINK("http://kiehls.jp","kiehls.jp")</f>
        <v>kiehls.jp</v>
      </c>
      <c r="C21159" t="s">
        <v>461</v>
      </c>
      <c r="D21159" t="s">
        <v>837</v>
      </c>
      <c r="E21159">
        <v>523615</v>
      </c>
      <c r="F21159">
        <v>9.7280141412054096E-8</v>
      </c>
      <c r="G21159">
        <v>415257</v>
      </c>
      <c r="H21159">
        <v>14132672</v>
      </c>
      <c r="I21159">
        <v>1996870</v>
      </c>
      <c r="J21159">
        <v>5</v>
      </c>
    </row>
    <row r="21160" spans="1:10" x14ac:dyDescent="0.25">
      <c r="A21160" t="s">
        <v>231</v>
      </c>
      <c r="B21160" s="1" t="str">
        <f>HYPERLINK("http://laroche-posay.jp","laroche-posay.jp")</f>
        <v>laroche-posay.jp</v>
      </c>
      <c r="C21160" t="s">
        <v>461</v>
      </c>
      <c r="D21160" t="s">
        <v>837</v>
      </c>
      <c r="E21160">
        <v>936977</v>
      </c>
      <c r="F21160">
        <v>7.4614659455548895E-8</v>
      </c>
      <c r="G21160">
        <v>563898</v>
      </c>
      <c r="H21160">
        <v>14132774</v>
      </c>
      <c r="I21160">
        <v>1995849</v>
      </c>
      <c r="J21160">
        <v>4</v>
      </c>
    </row>
    <row r="21161" spans="1:10" x14ac:dyDescent="0.25">
      <c r="A21161" t="s">
        <v>231</v>
      </c>
      <c r="B21161" s="1" t="str">
        <f>HYPERLINK("http://valentino-beauty.jp","valentino-beauty.jp")</f>
        <v>valentino-beauty.jp</v>
      </c>
      <c r="C21161" t="s">
        <v>461</v>
      </c>
      <c r="D21161" t="s">
        <v>837</v>
      </c>
      <c r="F21161">
        <v>9.5832403376319808E-9</v>
      </c>
      <c r="G21161">
        <v>7224181</v>
      </c>
      <c r="H21161">
        <v>12801895</v>
      </c>
      <c r="I21161">
        <v>14630176</v>
      </c>
      <c r="J21161">
        <v>4</v>
      </c>
    </row>
    <row r="21162" spans="1:10" x14ac:dyDescent="0.25">
      <c r="A21162" t="s">
        <v>231</v>
      </c>
      <c r="B21162" s="1" t="str">
        <f>HYPERLINK("http://kerastase.co.kr","kerastase.co.kr")</f>
        <v>kerastase.co.kr</v>
      </c>
      <c r="C21162" t="s">
        <v>463</v>
      </c>
      <c r="D21162" t="s">
        <v>839</v>
      </c>
      <c r="F21162">
        <v>1.7245050115384799E-8</v>
      </c>
      <c r="G21162">
        <v>3213035</v>
      </c>
      <c r="H21162">
        <v>13020021</v>
      </c>
      <c r="I21162">
        <v>12713111</v>
      </c>
      <c r="J21162">
        <v>4</v>
      </c>
    </row>
    <row r="21163" spans="1:10" x14ac:dyDescent="0.25">
      <c r="A21163" t="s">
        <v>231</v>
      </c>
      <c r="B21163" s="1" t="str">
        <f>HYPERLINK("http://kiehls.co.kr","kiehls.co.kr")</f>
        <v>kiehls.co.kr</v>
      </c>
      <c r="C21163" t="s">
        <v>463</v>
      </c>
      <c r="D21163" t="s">
        <v>839</v>
      </c>
      <c r="F21163">
        <v>3.0345090923470101E-8</v>
      </c>
      <c r="G21163">
        <v>1696433</v>
      </c>
      <c r="H21163">
        <v>13142473</v>
      </c>
      <c r="I21163">
        <v>11869096</v>
      </c>
      <c r="J21163">
        <v>5</v>
      </c>
    </row>
    <row r="21164" spans="1:10" x14ac:dyDescent="0.25">
      <c r="A21164" t="s">
        <v>231</v>
      </c>
      <c r="B21164" s="1" t="str">
        <f>HYPERLINK("http://lorealparis.co.kr","lorealparis.co.kr")</f>
        <v>lorealparis.co.kr</v>
      </c>
      <c r="C21164" t="s">
        <v>463</v>
      </c>
      <c r="D21164" t="s">
        <v>839</v>
      </c>
      <c r="F21164">
        <v>1.1793444910004101E-8</v>
      </c>
      <c r="G21164">
        <v>5306208</v>
      </c>
      <c r="H21164">
        <v>12448211</v>
      </c>
      <c r="I21164">
        <v>18041846</v>
      </c>
      <c r="J21164">
        <v>5</v>
      </c>
    </row>
    <row r="21165" spans="1:10" x14ac:dyDescent="0.25">
      <c r="A21165" t="s">
        <v>231</v>
      </c>
      <c r="B21165" s="1" t="str">
        <f>HYPERLINK("http://lorealprofessionnel.co.kr","lorealprofessionnel.co.kr")</f>
        <v>lorealprofessionnel.co.kr</v>
      </c>
      <c r="C21165" t="s">
        <v>463</v>
      </c>
      <c r="D21165" t="s">
        <v>839</v>
      </c>
      <c r="F21165">
        <v>1.4081888423771699E-8</v>
      </c>
      <c r="G21165">
        <v>4172316</v>
      </c>
      <c r="H21165">
        <v>12470093</v>
      </c>
      <c r="I21165">
        <v>17747356</v>
      </c>
      <c r="J21165">
        <v>5</v>
      </c>
    </row>
    <row r="21166" spans="1:10" x14ac:dyDescent="0.25">
      <c r="A21166" t="s">
        <v>231</v>
      </c>
      <c r="B21166" s="1" t="str">
        <f>HYPERLINK("http://maybelline.co.kr","maybelline.co.kr")</f>
        <v>maybelline.co.kr</v>
      </c>
      <c r="C21166" t="s">
        <v>463</v>
      </c>
      <c r="D21166" t="s">
        <v>839</v>
      </c>
      <c r="F21166">
        <v>3.7216781511835601E-8</v>
      </c>
      <c r="G21166">
        <v>1391739</v>
      </c>
      <c r="H21166">
        <v>14075552</v>
      </c>
      <c r="I21166">
        <v>2906293</v>
      </c>
      <c r="J21166">
        <v>5</v>
      </c>
    </row>
    <row r="21167" spans="1:10" x14ac:dyDescent="0.25">
      <c r="A21167" t="s">
        <v>231</v>
      </c>
      <c r="B21167" s="1" t="str">
        <f>HYPERLINK("http://urbandecay.co.kr","urbandecay.co.kr")</f>
        <v>urbandecay.co.kr</v>
      </c>
      <c r="C21167" t="s">
        <v>463</v>
      </c>
      <c r="D21167" t="s">
        <v>839</v>
      </c>
      <c r="F21167">
        <v>7.5537804527766895E-9</v>
      </c>
      <c r="G21167">
        <v>10897225</v>
      </c>
      <c r="H21167">
        <v>12962486</v>
      </c>
      <c r="I21167">
        <v>13157324</v>
      </c>
      <c r="J21167">
        <v>5</v>
      </c>
    </row>
    <row r="21168" spans="1:10" x14ac:dyDescent="0.25">
      <c r="A21168" t="s">
        <v>231</v>
      </c>
      <c r="B21168" s="1" t="str">
        <f>HYPERLINK("http://itcosmetics.com.kw","itcosmetics.com.kw")</f>
        <v>itcosmetics.com.kw</v>
      </c>
      <c r="C21168" t="s">
        <v>464</v>
      </c>
      <c r="D21168" t="s">
        <v>840</v>
      </c>
      <c r="F21168">
        <v>5.0621641971446399E-9</v>
      </c>
      <c r="G21168">
        <v>27956493</v>
      </c>
      <c r="H21168">
        <v>7728304.5</v>
      </c>
      <c r="I21168">
        <v>75856300</v>
      </c>
      <c r="J21168">
        <v>4</v>
      </c>
    </row>
    <row r="21169" spans="1:10" x14ac:dyDescent="0.25">
      <c r="A21169" t="s">
        <v>231</v>
      </c>
      <c r="B21169" s="1" t="str">
        <f>HYPERLINK("http://maybelline.com.lb","maybelline.com.lb")</f>
        <v>maybelline.com.lb</v>
      </c>
      <c r="C21169" t="s">
        <v>612</v>
      </c>
      <c r="D21169" t="s">
        <v>938</v>
      </c>
      <c r="F21169">
        <v>1.9841313223752001E-8</v>
      </c>
      <c r="G21169">
        <v>2686611</v>
      </c>
      <c r="H21169">
        <v>12722904</v>
      </c>
      <c r="I21169">
        <v>15239188</v>
      </c>
      <c r="J21169">
        <v>5</v>
      </c>
    </row>
    <row r="21170" spans="1:10" x14ac:dyDescent="0.25">
      <c r="A21170" t="s">
        <v>231</v>
      </c>
      <c r="B21170" s="1" t="str">
        <f>HYPERLINK("http://loreal-paris.lt","loreal-paris.lt")</f>
        <v>loreal-paris.lt</v>
      </c>
      <c r="C21170" t="s">
        <v>467</v>
      </c>
      <c r="D21170" t="s">
        <v>843</v>
      </c>
      <c r="F21170">
        <v>6.2198091833656502E-9</v>
      </c>
      <c r="G21170">
        <v>15426588</v>
      </c>
      <c r="H21170">
        <v>10806352</v>
      </c>
      <c r="I21170">
        <v>37976330</v>
      </c>
      <c r="J21170">
        <v>5</v>
      </c>
    </row>
    <row r="21171" spans="1:10" x14ac:dyDescent="0.25">
      <c r="A21171" t="s">
        <v>231</v>
      </c>
      <c r="B21171" s="1" t="str">
        <f>HYPERLINK("http://kerastase.lv","kerastase.lv")</f>
        <v>kerastase.lv</v>
      </c>
      <c r="C21171" t="s">
        <v>468</v>
      </c>
      <c r="D21171" t="s">
        <v>844</v>
      </c>
      <c r="F21171">
        <v>7.4070781925842703E-9</v>
      </c>
      <c r="G21171">
        <v>11227805</v>
      </c>
      <c r="H21171">
        <v>10782699</v>
      </c>
      <c r="I21171">
        <v>38811470</v>
      </c>
      <c r="J21171">
        <v>4</v>
      </c>
    </row>
    <row r="21172" spans="1:10" x14ac:dyDescent="0.25">
      <c r="A21172" t="s">
        <v>231</v>
      </c>
      <c r="B21172" s="1" t="str">
        <f>HYPERLINK("http://cerave.ma","cerave.ma")</f>
        <v>cerave.ma</v>
      </c>
      <c r="C21172" t="s">
        <v>469</v>
      </c>
      <c r="D21172" t="s">
        <v>845</v>
      </c>
      <c r="F21172">
        <v>1.38752981061055E-8</v>
      </c>
      <c r="G21172">
        <v>4250796</v>
      </c>
      <c r="H21172">
        <v>11048643</v>
      </c>
      <c r="I21172">
        <v>32815009</v>
      </c>
      <c r="J21172">
        <v>3</v>
      </c>
    </row>
    <row r="21173" spans="1:10" x14ac:dyDescent="0.25">
      <c r="A21173" t="s">
        <v>231</v>
      </c>
      <c r="B21173" s="1" t="str">
        <f>HYPERLINK("http://laroche-posay.ma","laroche-posay.ma")</f>
        <v>laroche-posay.ma</v>
      </c>
      <c r="C21173" t="s">
        <v>469</v>
      </c>
      <c r="D21173" t="s">
        <v>845</v>
      </c>
      <c r="F21173">
        <v>6.2156179459686003E-9</v>
      </c>
      <c r="G21173">
        <v>15452706</v>
      </c>
      <c r="H21173">
        <v>12534809</v>
      </c>
      <c r="I21173">
        <v>16988387</v>
      </c>
      <c r="J21173">
        <v>4</v>
      </c>
    </row>
    <row r="21174" spans="1:10" x14ac:dyDescent="0.25">
      <c r="A21174" t="s">
        <v>231</v>
      </c>
      <c r="B21174" s="1" t="str">
        <f>HYPERLINK("http://loreal.ma","loreal.ma")</f>
        <v>loreal.ma</v>
      </c>
      <c r="C21174" t="s">
        <v>469</v>
      </c>
      <c r="D21174" t="s">
        <v>845</v>
      </c>
      <c r="F21174">
        <v>2.3315712617015498E-8</v>
      </c>
      <c r="G21174">
        <v>2237296</v>
      </c>
      <c r="H21174">
        <v>13778143</v>
      </c>
      <c r="I21174">
        <v>6525680</v>
      </c>
      <c r="J21174">
        <v>3</v>
      </c>
    </row>
    <row r="21175" spans="1:10" x14ac:dyDescent="0.25">
      <c r="A21175" t="s">
        <v>231</v>
      </c>
      <c r="B21175" s="1" t="str">
        <f>HYPERLINK("http://maybelline.ma","maybelline.ma")</f>
        <v>maybelline.ma</v>
      </c>
      <c r="C21175" t="s">
        <v>469</v>
      </c>
      <c r="D21175" t="s">
        <v>845</v>
      </c>
      <c r="F21175">
        <v>2.0010961269026601E-8</v>
      </c>
      <c r="G21175">
        <v>2657580</v>
      </c>
      <c r="H21175">
        <v>12721899</v>
      </c>
      <c r="I21175">
        <v>15244167</v>
      </c>
      <c r="J21175">
        <v>5</v>
      </c>
    </row>
    <row r="21176" spans="1:10" x14ac:dyDescent="0.25">
      <c r="A21176" t="s">
        <v>231</v>
      </c>
      <c r="B21176" s="1" t="str">
        <f>HYPERLINK("http://vichy.ma","vichy.ma")</f>
        <v>vichy.ma</v>
      </c>
      <c r="C21176" t="s">
        <v>469</v>
      </c>
      <c r="D21176" t="s">
        <v>845</v>
      </c>
      <c r="F21176">
        <v>1.6560307232759502E-8</v>
      </c>
      <c r="G21176">
        <v>3399019</v>
      </c>
      <c r="H21176">
        <v>11079119</v>
      </c>
      <c r="I21176">
        <v>32492232</v>
      </c>
      <c r="J21176">
        <v>3</v>
      </c>
    </row>
    <row r="21177" spans="1:10" x14ac:dyDescent="0.25">
      <c r="A21177" t="s">
        <v>231</v>
      </c>
      <c r="B21177" s="1" t="str">
        <f>HYPERLINK("http://laroche-posay.me","laroche-posay.me")</f>
        <v>laroche-posay.me</v>
      </c>
      <c r="C21177" t="s">
        <v>470</v>
      </c>
      <c r="D21177" t="s">
        <v>846</v>
      </c>
      <c r="F21177">
        <v>3.1362776911181302E-8</v>
      </c>
      <c r="G21177">
        <v>1644397</v>
      </c>
      <c r="H21177">
        <v>13579435</v>
      </c>
      <c r="I21177">
        <v>9691475</v>
      </c>
      <c r="J21177">
        <v>4</v>
      </c>
    </row>
    <row r="21178" spans="1:10" x14ac:dyDescent="0.25">
      <c r="A21178" t="s">
        <v>231</v>
      </c>
      <c r="B21178" s="1" t="str">
        <f>HYPERLINK("http://cerave.mx","cerave.mx")</f>
        <v>cerave.mx</v>
      </c>
      <c r="C21178" t="s">
        <v>471</v>
      </c>
      <c r="D21178" t="s">
        <v>847</v>
      </c>
      <c r="F21178">
        <v>1.5804784890220701E-8</v>
      </c>
      <c r="G21178">
        <v>3598159</v>
      </c>
      <c r="H21178">
        <v>12577815</v>
      </c>
      <c r="I21178">
        <v>16536855</v>
      </c>
      <c r="J21178">
        <v>3</v>
      </c>
    </row>
    <row r="21179" spans="1:10" x14ac:dyDescent="0.25">
      <c r="A21179" t="s">
        <v>231</v>
      </c>
      <c r="B21179" s="1" t="str">
        <f>HYPERLINK("http://kerastase.com.mx","kerastase.com.mx")</f>
        <v>kerastase.com.mx</v>
      </c>
      <c r="C21179" t="s">
        <v>471</v>
      </c>
      <c r="D21179" t="s">
        <v>847</v>
      </c>
      <c r="F21179">
        <v>1.3044982822057001E-8</v>
      </c>
      <c r="G21179">
        <v>4609767</v>
      </c>
      <c r="H21179">
        <v>11148397</v>
      </c>
      <c r="I21179">
        <v>31755672</v>
      </c>
      <c r="J21179">
        <v>4</v>
      </c>
    </row>
    <row r="21180" spans="1:10" x14ac:dyDescent="0.25">
      <c r="A21180" t="s">
        <v>231</v>
      </c>
      <c r="B21180" s="1" t="str">
        <f>HYPERLINK("http://laroche-posay.com.mx","laroche-posay.com.mx")</f>
        <v>laroche-posay.com.mx</v>
      </c>
      <c r="C21180" t="s">
        <v>471</v>
      </c>
      <c r="D21180" t="s">
        <v>847</v>
      </c>
      <c r="F21180">
        <v>1.38261468904486E-8</v>
      </c>
      <c r="G21180">
        <v>4270248</v>
      </c>
      <c r="H21180">
        <v>13604595</v>
      </c>
      <c r="I21180">
        <v>9644563</v>
      </c>
      <c r="J21180">
        <v>4</v>
      </c>
    </row>
    <row r="21181" spans="1:10" x14ac:dyDescent="0.25">
      <c r="A21181" t="s">
        <v>231</v>
      </c>
      <c r="B21181" s="1" t="str">
        <f>HYPERLINK("http://loreal-paris.com.mx","loreal-paris.com.mx")</f>
        <v>loreal-paris.com.mx</v>
      </c>
      <c r="C21181" t="s">
        <v>471</v>
      </c>
      <c r="D21181" t="s">
        <v>847</v>
      </c>
      <c r="F21181">
        <v>1.7595497018965802E-8</v>
      </c>
      <c r="G21181">
        <v>3119988</v>
      </c>
      <c r="H21181">
        <v>13887380</v>
      </c>
      <c r="I21181">
        <v>5967167</v>
      </c>
      <c r="J21181">
        <v>5</v>
      </c>
    </row>
    <row r="21182" spans="1:10" x14ac:dyDescent="0.25">
      <c r="A21182" t="s">
        <v>231</v>
      </c>
      <c r="B21182" s="1" t="str">
        <f>HYPERLINK("http://lorealparis.com.mx","lorealparis.com.mx")</f>
        <v>lorealparis.com.mx</v>
      </c>
      <c r="C21182" t="s">
        <v>471</v>
      </c>
      <c r="D21182" t="s">
        <v>847</v>
      </c>
      <c r="F21182">
        <v>5.5622014106977599E-9</v>
      </c>
      <c r="G21182">
        <v>20252946</v>
      </c>
      <c r="H21182">
        <v>12903170</v>
      </c>
      <c r="I21182">
        <v>13840220</v>
      </c>
      <c r="J21182">
        <v>3</v>
      </c>
    </row>
    <row r="21183" spans="1:10" x14ac:dyDescent="0.25">
      <c r="A21183" t="s">
        <v>231</v>
      </c>
      <c r="B21183" s="1" t="str">
        <f>HYPERLINK("http://lorealprofessionnel.com.mx","lorealprofessionnel.com.mx")</f>
        <v>lorealprofessionnel.com.mx</v>
      </c>
      <c r="C21183" t="s">
        <v>471</v>
      </c>
      <c r="D21183" t="s">
        <v>847</v>
      </c>
      <c r="F21183">
        <v>9.4038800838133104E-9</v>
      </c>
      <c r="G21183">
        <v>7439633</v>
      </c>
      <c r="H21183">
        <v>12335993</v>
      </c>
      <c r="I21183">
        <v>20085900</v>
      </c>
      <c r="J21183">
        <v>5</v>
      </c>
    </row>
    <row r="21184" spans="1:10" x14ac:dyDescent="0.25">
      <c r="A21184" t="s">
        <v>231</v>
      </c>
      <c r="B21184" s="1" t="str">
        <f>HYPERLINK("http://maybelline.com.mx","maybelline.com.mx")</f>
        <v>maybelline.com.mx</v>
      </c>
      <c r="C21184" t="s">
        <v>471</v>
      </c>
      <c r="D21184" t="s">
        <v>847</v>
      </c>
      <c r="F21184">
        <v>3.6434948787148199E-8</v>
      </c>
      <c r="G21184">
        <v>1432736</v>
      </c>
      <c r="H21184">
        <v>12780048</v>
      </c>
      <c r="I21184">
        <v>14759389</v>
      </c>
      <c r="J21184">
        <v>5</v>
      </c>
    </row>
    <row r="21185" spans="1:10" x14ac:dyDescent="0.25">
      <c r="A21185" t="s">
        <v>231</v>
      </c>
      <c r="B21185" s="1" t="str">
        <f>HYPERLINK("http://nyxcosmetics.com.mx","nyxcosmetics.com.mx")</f>
        <v>nyxcosmetics.com.mx</v>
      </c>
      <c r="C21185" t="s">
        <v>471</v>
      </c>
      <c r="D21185" t="s">
        <v>847</v>
      </c>
      <c r="F21185">
        <v>1.7588312575970601E-8</v>
      </c>
      <c r="G21185">
        <v>3121603</v>
      </c>
      <c r="H21185">
        <v>11476564</v>
      </c>
      <c r="I21185">
        <v>30070412</v>
      </c>
      <c r="J21185">
        <v>5</v>
      </c>
    </row>
    <row r="21186" spans="1:10" x14ac:dyDescent="0.25">
      <c r="A21186" t="s">
        <v>231</v>
      </c>
      <c r="B21186" s="1" t="str">
        <f>HYPERLINK("http://skinceuticals.com.mx","skinceuticals.com.mx")</f>
        <v>skinceuticals.com.mx</v>
      </c>
      <c r="C21186" t="s">
        <v>471</v>
      </c>
      <c r="D21186" t="s">
        <v>847</v>
      </c>
      <c r="F21186">
        <v>1.4002267509070601E-8</v>
      </c>
      <c r="G21186">
        <v>4201770</v>
      </c>
      <c r="H21186">
        <v>13559851</v>
      </c>
      <c r="I21186">
        <v>9853898</v>
      </c>
      <c r="J21186">
        <v>5</v>
      </c>
    </row>
    <row r="21187" spans="1:10" x14ac:dyDescent="0.25">
      <c r="A21187" t="s">
        <v>231</v>
      </c>
      <c r="B21187" s="1" t="str">
        <f>HYPERLINK("http://vichy.com.mx","vichy.com.mx")</f>
        <v>vichy.com.mx</v>
      </c>
      <c r="C21187" t="s">
        <v>471</v>
      </c>
      <c r="D21187" t="s">
        <v>847</v>
      </c>
      <c r="F21187">
        <v>2.2953851488900899E-8</v>
      </c>
      <c r="G21187">
        <v>2277043</v>
      </c>
      <c r="H21187">
        <v>13983082</v>
      </c>
      <c r="I21187">
        <v>4044946</v>
      </c>
      <c r="J21187">
        <v>3</v>
      </c>
    </row>
    <row r="21188" spans="1:10" x14ac:dyDescent="0.25">
      <c r="A21188" t="s">
        <v>231</v>
      </c>
      <c r="B21188" s="1" t="str">
        <f>HYPERLINK("http://urbandecay.mx","urbandecay.mx")</f>
        <v>urbandecay.mx</v>
      </c>
      <c r="C21188" t="s">
        <v>471</v>
      </c>
      <c r="D21188" t="s">
        <v>847</v>
      </c>
      <c r="F21188">
        <v>6.6175574577906298E-9</v>
      </c>
      <c r="G21188">
        <v>13609901</v>
      </c>
      <c r="H21188">
        <v>13934478</v>
      </c>
      <c r="I21188">
        <v>4596090</v>
      </c>
      <c r="J21188">
        <v>4</v>
      </c>
    </row>
    <row r="21189" spans="1:10" x14ac:dyDescent="0.25">
      <c r="A21189" t="s">
        <v>231</v>
      </c>
      <c r="B21189" s="1" t="str">
        <f>HYPERLINK("http://kerastase.com.my","kerastase.com.my")</f>
        <v>kerastase.com.my</v>
      </c>
      <c r="C21189" t="s">
        <v>472</v>
      </c>
      <c r="D21189" t="s">
        <v>848</v>
      </c>
      <c r="F21189">
        <v>7.9532626252859496E-9</v>
      </c>
      <c r="G21189">
        <v>10007703</v>
      </c>
      <c r="H21189">
        <v>13767402</v>
      </c>
      <c r="I21189">
        <v>6935483</v>
      </c>
      <c r="J21189">
        <v>4</v>
      </c>
    </row>
    <row r="21190" spans="1:10" x14ac:dyDescent="0.25">
      <c r="A21190" t="s">
        <v>231</v>
      </c>
      <c r="B21190" s="1" t="str">
        <f>HYPERLINK("http://kiehls.com.my","kiehls.com.my")</f>
        <v>kiehls.com.my</v>
      </c>
      <c r="C21190" t="s">
        <v>472</v>
      </c>
      <c r="D21190" t="s">
        <v>848</v>
      </c>
      <c r="E21190">
        <v>701935</v>
      </c>
      <c r="F21190">
        <v>2.43532853949514E-8</v>
      </c>
      <c r="G21190">
        <v>2128598</v>
      </c>
      <c r="H21190">
        <v>13561560</v>
      </c>
      <c r="I21190">
        <v>9846917</v>
      </c>
      <c r="J21190">
        <v>5</v>
      </c>
    </row>
    <row r="21191" spans="1:10" x14ac:dyDescent="0.25">
      <c r="A21191" t="s">
        <v>231</v>
      </c>
      <c r="B21191" s="1" t="str">
        <f>HYPERLINK("http://lancome.com.my","lancome.com.my")</f>
        <v>lancome.com.my</v>
      </c>
      <c r="C21191" t="s">
        <v>472</v>
      </c>
      <c r="D21191" t="s">
        <v>848</v>
      </c>
      <c r="F21191">
        <v>1.29145989373747E-8</v>
      </c>
      <c r="G21191">
        <v>4672520</v>
      </c>
      <c r="H21191">
        <v>13882737</v>
      </c>
      <c r="I21191">
        <v>5975691</v>
      </c>
      <c r="J21191">
        <v>4</v>
      </c>
    </row>
    <row r="21192" spans="1:10" x14ac:dyDescent="0.25">
      <c r="A21192" t="s">
        <v>231</v>
      </c>
      <c r="B21192" s="1" t="str">
        <f>HYPERLINK("http://laroche-posay.com.my","laroche-posay.com.my")</f>
        <v>laroche-posay.com.my</v>
      </c>
      <c r="C21192" t="s">
        <v>472</v>
      </c>
      <c r="D21192" t="s">
        <v>848</v>
      </c>
      <c r="F21192">
        <v>3.1511543741091798E-8</v>
      </c>
      <c r="G21192">
        <v>1637340</v>
      </c>
      <c r="H21192">
        <v>11276938</v>
      </c>
      <c r="I21192">
        <v>30726538</v>
      </c>
      <c r="J21192">
        <v>4</v>
      </c>
    </row>
    <row r="21193" spans="1:10" x14ac:dyDescent="0.25">
      <c r="A21193" t="s">
        <v>231</v>
      </c>
      <c r="B21193" s="1" t="str">
        <f>HYPERLINK("http://loreal.com.my","loreal.com.my")</f>
        <v>loreal.com.my</v>
      </c>
      <c r="C21193" t="s">
        <v>472</v>
      </c>
      <c r="D21193" t="s">
        <v>848</v>
      </c>
      <c r="F21193">
        <v>5.1606083985931899E-9</v>
      </c>
      <c r="G21193">
        <v>25891022</v>
      </c>
      <c r="H21193">
        <v>13764689</v>
      </c>
      <c r="I21193">
        <v>7211240</v>
      </c>
      <c r="J21193">
        <v>5</v>
      </c>
    </row>
    <row r="21194" spans="1:10" x14ac:dyDescent="0.25">
      <c r="A21194" t="s">
        <v>231</v>
      </c>
      <c r="B21194" s="1" t="str">
        <f>HYPERLINK("http://lorealparis.com.my","lorealparis.com.my")</f>
        <v>lorealparis.com.my</v>
      </c>
      <c r="C21194" t="s">
        <v>472</v>
      </c>
      <c r="D21194" t="s">
        <v>848</v>
      </c>
      <c r="F21194">
        <v>9.1846630717251197E-9</v>
      </c>
      <c r="G21194">
        <v>7730428</v>
      </c>
      <c r="H21194">
        <v>13780152</v>
      </c>
      <c r="I21194">
        <v>6476277</v>
      </c>
      <c r="J21194">
        <v>5</v>
      </c>
    </row>
    <row r="21195" spans="1:10" x14ac:dyDescent="0.25">
      <c r="A21195" t="s">
        <v>231</v>
      </c>
      <c r="B21195" s="1" t="str">
        <f>HYPERLINK("http://maybelline.com.my","maybelline.com.my")</f>
        <v>maybelline.com.my</v>
      </c>
      <c r="C21195" t="s">
        <v>472</v>
      </c>
      <c r="D21195" t="s">
        <v>848</v>
      </c>
      <c r="F21195">
        <v>3.0711186866583503E-8</v>
      </c>
      <c r="G21195">
        <v>1677382</v>
      </c>
      <c r="H21195">
        <v>12743879</v>
      </c>
      <c r="I21195">
        <v>15096178</v>
      </c>
      <c r="J21195">
        <v>5</v>
      </c>
    </row>
    <row r="21196" spans="1:10" x14ac:dyDescent="0.25">
      <c r="A21196" t="s">
        <v>231</v>
      </c>
      <c r="B21196" s="1" t="str">
        <f>HYPERLINK("http://yslbeauty.com.my","yslbeauty.com.my")</f>
        <v>yslbeauty.com.my</v>
      </c>
      <c r="C21196" t="s">
        <v>472</v>
      </c>
      <c r="D21196" t="s">
        <v>848</v>
      </c>
      <c r="E21196">
        <v>835995</v>
      </c>
      <c r="F21196">
        <v>7.7397958201468801E-9</v>
      </c>
      <c r="G21196">
        <v>10487431</v>
      </c>
      <c r="H21196">
        <v>12462250</v>
      </c>
      <c r="I21196">
        <v>17845745</v>
      </c>
      <c r="J21196">
        <v>4</v>
      </c>
    </row>
    <row r="21197" spans="1:10" x14ac:dyDescent="0.25">
      <c r="A21197" t="s">
        <v>231</v>
      </c>
      <c r="B21197" s="1" t="str">
        <f>HYPERLINK("http://sanoflore.net","sanoflore.net")</f>
        <v>sanoflore.net</v>
      </c>
      <c r="C21197" t="s">
        <v>474</v>
      </c>
      <c r="F21197">
        <v>9.3025866858120703E-9</v>
      </c>
      <c r="G21197">
        <v>7569088</v>
      </c>
      <c r="H21197">
        <v>14496549</v>
      </c>
      <c r="I21197">
        <v>870286</v>
      </c>
      <c r="J21197">
        <v>3</v>
      </c>
    </row>
    <row r="21198" spans="1:10" x14ac:dyDescent="0.25">
      <c r="A21198" t="s">
        <v>231</v>
      </c>
      <c r="B21198" s="1" t="str">
        <f>HYPERLINK("http://armanibeauty.nl","armanibeauty.nl")</f>
        <v>armanibeauty.nl</v>
      </c>
      <c r="C21198" t="s">
        <v>477</v>
      </c>
      <c r="D21198" t="s">
        <v>852</v>
      </c>
      <c r="F21198">
        <v>1.01700698792633E-8</v>
      </c>
      <c r="G21198">
        <v>6576338</v>
      </c>
      <c r="H21198">
        <v>12351044</v>
      </c>
      <c r="I21198">
        <v>19749098</v>
      </c>
      <c r="J21198">
        <v>4</v>
      </c>
    </row>
    <row r="21199" spans="1:10" x14ac:dyDescent="0.25">
      <c r="A21199" t="s">
        <v>231</v>
      </c>
      <c r="B21199" s="1" t="str">
        <f>HYPERLINK("http://cerave.nl","cerave.nl")</f>
        <v>cerave.nl</v>
      </c>
      <c r="C21199" t="s">
        <v>477</v>
      </c>
      <c r="D21199" t="s">
        <v>852</v>
      </c>
      <c r="F21199">
        <v>1.4168301372791001E-8</v>
      </c>
      <c r="G21199">
        <v>4140417</v>
      </c>
      <c r="H21199">
        <v>12152183</v>
      </c>
      <c r="I21199">
        <v>24570787</v>
      </c>
      <c r="J21199">
        <v>3</v>
      </c>
    </row>
    <row r="21200" spans="1:10" x14ac:dyDescent="0.25">
      <c r="A21200" t="s">
        <v>231</v>
      </c>
      <c r="B21200" s="1" t="str">
        <f>HYPERLINK("http://decleor.nl","decleor.nl")</f>
        <v>decleor.nl</v>
      </c>
      <c r="C21200" t="s">
        <v>477</v>
      </c>
      <c r="D21200" t="s">
        <v>852</v>
      </c>
      <c r="F21200">
        <v>8.14603261689652E-9</v>
      </c>
      <c r="G21200">
        <v>9662792</v>
      </c>
      <c r="H21200">
        <v>12161846</v>
      </c>
      <c r="I21200">
        <v>24315804</v>
      </c>
      <c r="J21200">
        <v>5</v>
      </c>
    </row>
    <row r="21201" spans="1:10" x14ac:dyDescent="0.25">
      <c r="A21201" t="s">
        <v>231</v>
      </c>
      <c r="B21201" s="1" t="str">
        <f>HYPERLINK("http://helenarubinstein.nl","helenarubinstein.nl")</f>
        <v>helenarubinstein.nl</v>
      </c>
      <c r="C21201" t="s">
        <v>477</v>
      </c>
      <c r="D21201" t="s">
        <v>852</v>
      </c>
      <c r="F21201">
        <v>7.8692497830488303E-9</v>
      </c>
      <c r="G21201">
        <v>10173331</v>
      </c>
      <c r="H21201">
        <v>11039275</v>
      </c>
      <c r="I21201">
        <v>32934165</v>
      </c>
      <c r="J21201">
        <v>4</v>
      </c>
    </row>
    <row r="21202" spans="1:10" x14ac:dyDescent="0.25">
      <c r="A21202" t="s">
        <v>231</v>
      </c>
      <c r="B21202" s="1" t="str">
        <f>HYPERLINK("http://kerastase.nl","kerastase.nl")</f>
        <v>kerastase.nl</v>
      </c>
      <c r="C21202" t="s">
        <v>477</v>
      </c>
      <c r="D21202" t="s">
        <v>852</v>
      </c>
      <c r="F21202">
        <v>3.0986062333904501E-8</v>
      </c>
      <c r="G21202">
        <v>1662963</v>
      </c>
      <c r="H21202">
        <v>12181586</v>
      </c>
      <c r="I21202">
        <v>23779740</v>
      </c>
      <c r="J21202">
        <v>4</v>
      </c>
    </row>
    <row r="21203" spans="1:10" x14ac:dyDescent="0.25">
      <c r="A21203" t="s">
        <v>231</v>
      </c>
      <c r="B21203" s="1" t="str">
        <f>HYPERLINK("http://kiehls.nl","kiehls.nl")</f>
        <v>kiehls.nl</v>
      </c>
      <c r="C21203" t="s">
        <v>477</v>
      </c>
      <c r="D21203" t="s">
        <v>852</v>
      </c>
      <c r="F21203">
        <v>2.21315537676188E-8</v>
      </c>
      <c r="G21203">
        <v>2370779</v>
      </c>
      <c r="H21203">
        <v>14133671</v>
      </c>
      <c r="I21203">
        <v>1986493</v>
      </c>
      <c r="J21203">
        <v>5</v>
      </c>
    </row>
    <row r="21204" spans="1:10" x14ac:dyDescent="0.25">
      <c r="A21204" t="s">
        <v>231</v>
      </c>
      <c r="B21204" s="1" t="str">
        <f>HYPERLINK("http://lancome.nl","lancome.nl")</f>
        <v>lancome.nl</v>
      </c>
      <c r="C21204" t="s">
        <v>477</v>
      </c>
      <c r="D21204" t="s">
        <v>852</v>
      </c>
      <c r="F21204">
        <v>5.9777894280081797E-9</v>
      </c>
      <c r="G21204">
        <v>16832153</v>
      </c>
      <c r="H21204">
        <v>13767097</v>
      </c>
      <c r="I21204">
        <v>6955871</v>
      </c>
      <c r="J21204">
        <v>4</v>
      </c>
    </row>
    <row r="21205" spans="1:10" x14ac:dyDescent="0.25">
      <c r="A21205" t="s">
        <v>231</v>
      </c>
      <c r="B21205" s="1" t="str">
        <f>HYPERLINK("http://laroche-posay.nl","laroche-posay.nl")</f>
        <v>laroche-posay.nl</v>
      </c>
      <c r="C21205" t="s">
        <v>477</v>
      </c>
      <c r="D21205" t="s">
        <v>852</v>
      </c>
      <c r="F21205">
        <v>5.1572186764254502E-8</v>
      </c>
      <c r="G21205">
        <v>886816</v>
      </c>
      <c r="H21205">
        <v>13032176</v>
      </c>
      <c r="I21205">
        <v>12662507</v>
      </c>
      <c r="J21205">
        <v>4</v>
      </c>
    </row>
    <row r="21206" spans="1:10" x14ac:dyDescent="0.25">
      <c r="A21206" t="s">
        <v>231</v>
      </c>
      <c r="B21206" s="1" t="str">
        <f>HYPERLINK("http://loreal.nl","loreal.nl")</f>
        <v>loreal.nl</v>
      </c>
      <c r="C21206" t="s">
        <v>477</v>
      </c>
      <c r="D21206" t="s">
        <v>852</v>
      </c>
      <c r="F21206">
        <v>1.3310198836397701E-8</v>
      </c>
      <c r="G21206">
        <v>4488770</v>
      </c>
      <c r="H21206">
        <v>13766086</v>
      </c>
      <c r="I21206">
        <v>7039227</v>
      </c>
      <c r="J21206">
        <v>3</v>
      </c>
    </row>
    <row r="21207" spans="1:10" x14ac:dyDescent="0.25">
      <c r="A21207" t="s">
        <v>231</v>
      </c>
      <c r="B21207" s="1" t="str">
        <f>HYPERLINK("http://loreal-paris.nl","loreal-paris.nl")</f>
        <v>loreal-paris.nl</v>
      </c>
      <c r="C21207" t="s">
        <v>477</v>
      </c>
      <c r="D21207" t="s">
        <v>852</v>
      </c>
      <c r="F21207">
        <v>3.8545979188103899E-8</v>
      </c>
      <c r="G21207">
        <v>1337956</v>
      </c>
      <c r="H21207">
        <v>13779896</v>
      </c>
      <c r="I21207">
        <v>6480991</v>
      </c>
      <c r="J21207">
        <v>5</v>
      </c>
    </row>
    <row r="21208" spans="1:10" x14ac:dyDescent="0.25">
      <c r="A21208" t="s">
        <v>231</v>
      </c>
      <c r="B21208" s="1" t="str">
        <f>HYPERLINK("http://lorealprofessionnel.nl","lorealprofessionnel.nl")</f>
        <v>lorealprofessionnel.nl</v>
      </c>
      <c r="C21208" t="s">
        <v>477</v>
      </c>
      <c r="D21208" t="s">
        <v>852</v>
      </c>
      <c r="F21208">
        <v>5.5474862722360101E-8</v>
      </c>
      <c r="G21208">
        <v>809039</v>
      </c>
      <c r="H21208">
        <v>14033308</v>
      </c>
      <c r="I21208">
        <v>3920575</v>
      </c>
      <c r="J21208">
        <v>5</v>
      </c>
    </row>
    <row r="21209" spans="1:10" x14ac:dyDescent="0.25">
      <c r="A21209" t="s">
        <v>231</v>
      </c>
      <c r="B21209" s="1" t="str">
        <f>HYPERLINK("http://maybelline.nl","maybelline.nl")</f>
        <v>maybelline.nl</v>
      </c>
      <c r="C21209" t="s">
        <v>477</v>
      </c>
      <c r="D21209" t="s">
        <v>852</v>
      </c>
      <c r="F21209">
        <v>3.2394715659968598E-8</v>
      </c>
      <c r="G21209">
        <v>1594915</v>
      </c>
      <c r="H21209">
        <v>13771605</v>
      </c>
      <c r="I21209">
        <v>6687728</v>
      </c>
      <c r="J21209">
        <v>5</v>
      </c>
    </row>
    <row r="21210" spans="1:10" x14ac:dyDescent="0.25">
      <c r="A21210" t="s">
        <v>231</v>
      </c>
      <c r="B21210" s="1" t="str">
        <f>HYPERLINK("http://mugler.nl","mugler.nl")</f>
        <v>mugler.nl</v>
      </c>
      <c r="C21210" t="s">
        <v>477</v>
      </c>
      <c r="D21210" t="s">
        <v>852</v>
      </c>
      <c r="F21210">
        <v>9.8013790561153401E-9</v>
      </c>
      <c r="G21210">
        <v>6967401</v>
      </c>
      <c r="H21210">
        <v>11047385</v>
      </c>
      <c r="I21210">
        <v>32830268</v>
      </c>
      <c r="J21210">
        <v>5</v>
      </c>
    </row>
    <row r="21211" spans="1:10" x14ac:dyDescent="0.25">
      <c r="A21211" t="s">
        <v>231</v>
      </c>
      <c r="B21211" s="1" t="str">
        <f>HYPERLINK("http://skinceuticals.nl","skinceuticals.nl")</f>
        <v>skinceuticals.nl</v>
      </c>
      <c r="C21211" t="s">
        <v>477</v>
      </c>
      <c r="D21211" t="s">
        <v>852</v>
      </c>
      <c r="F21211">
        <v>2.0905020808896802E-8</v>
      </c>
      <c r="G21211">
        <v>2528719</v>
      </c>
      <c r="H21211">
        <v>11275987</v>
      </c>
      <c r="I21211">
        <v>30731213</v>
      </c>
      <c r="J21211">
        <v>4</v>
      </c>
    </row>
    <row r="21212" spans="1:10" x14ac:dyDescent="0.25">
      <c r="A21212" t="s">
        <v>231</v>
      </c>
      <c r="B21212" s="1" t="str">
        <f>HYPERLINK("http://valentino-beauty.nl","valentino-beauty.nl")</f>
        <v>valentino-beauty.nl</v>
      </c>
      <c r="C21212" t="s">
        <v>477</v>
      </c>
      <c r="D21212" t="s">
        <v>852</v>
      </c>
      <c r="F21212">
        <v>2.6686900223011901E-8</v>
      </c>
      <c r="G21212">
        <v>1928637</v>
      </c>
      <c r="H21212">
        <v>12398649</v>
      </c>
      <c r="I21212">
        <v>18873735</v>
      </c>
      <c r="J21212">
        <v>4</v>
      </c>
    </row>
    <row r="21213" spans="1:10" x14ac:dyDescent="0.25">
      <c r="A21213" t="s">
        <v>231</v>
      </c>
      <c r="B21213" s="1" t="str">
        <f>HYPERLINK("http://vichy.nl","vichy.nl")</f>
        <v>vichy.nl</v>
      </c>
      <c r="C21213" t="s">
        <v>477</v>
      </c>
      <c r="D21213" t="s">
        <v>852</v>
      </c>
      <c r="F21213">
        <v>2.90142138935085E-8</v>
      </c>
      <c r="G21213">
        <v>1774531</v>
      </c>
      <c r="H21213">
        <v>13768140</v>
      </c>
      <c r="I21213">
        <v>6893893</v>
      </c>
      <c r="J21213">
        <v>3</v>
      </c>
    </row>
    <row r="21214" spans="1:10" x14ac:dyDescent="0.25">
      <c r="A21214" t="s">
        <v>231</v>
      </c>
      <c r="B21214" s="1" t="str">
        <f>HYPERLINK("http://cerave.no","cerave.no")</f>
        <v>cerave.no</v>
      </c>
      <c r="C21214" t="s">
        <v>478</v>
      </c>
      <c r="D21214" t="s">
        <v>853</v>
      </c>
      <c r="F21214">
        <v>1.42265259315996E-8</v>
      </c>
      <c r="G21214">
        <v>4119527</v>
      </c>
      <c r="H21214">
        <v>11069517</v>
      </c>
      <c r="I21214">
        <v>32582973</v>
      </c>
      <c r="J21214">
        <v>3</v>
      </c>
    </row>
    <row r="21215" spans="1:10" x14ac:dyDescent="0.25">
      <c r="A21215" t="s">
        <v>231</v>
      </c>
      <c r="B21215" s="1" t="str">
        <f>HYPERLINK("http://garnier.no","garnier.no")</f>
        <v>garnier.no</v>
      </c>
      <c r="C21215" t="s">
        <v>478</v>
      </c>
      <c r="D21215" t="s">
        <v>853</v>
      </c>
      <c r="F21215">
        <v>6.2562459773149999E-9</v>
      </c>
      <c r="G21215">
        <v>15243929</v>
      </c>
      <c r="H21215">
        <v>10800903</v>
      </c>
      <c r="I21215">
        <v>38133881</v>
      </c>
      <c r="J21215">
        <v>5</v>
      </c>
    </row>
    <row r="21216" spans="1:10" x14ac:dyDescent="0.25">
      <c r="A21216" t="s">
        <v>231</v>
      </c>
      <c r="B21216" s="1" t="str">
        <f>HYPERLINK("http://kerastase.no","kerastase.no")</f>
        <v>kerastase.no</v>
      </c>
      <c r="C21216" t="s">
        <v>478</v>
      </c>
      <c r="D21216" t="s">
        <v>853</v>
      </c>
      <c r="F21216">
        <v>1.02604579990786E-8</v>
      </c>
      <c r="G21216">
        <v>6488604</v>
      </c>
      <c r="H21216">
        <v>11168848</v>
      </c>
      <c r="I21216">
        <v>31548820</v>
      </c>
      <c r="J21216">
        <v>3</v>
      </c>
    </row>
    <row r="21217" spans="1:10" x14ac:dyDescent="0.25">
      <c r="A21217" t="s">
        <v>231</v>
      </c>
      <c r="B21217" s="1" t="str">
        <f>HYPERLINK("http://kiehls.no","kiehls.no")</f>
        <v>kiehls.no</v>
      </c>
      <c r="C21217" t="s">
        <v>478</v>
      </c>
      <c r="D21217" t="s">
        <v>853</v>
      </c>
      <c r="F21217">
        <v>1.7476121243732099E-8</v>
      </c>
      <c r="G21217">
        <v>3151764</v>
      </c>
      <c r="H21217">
        <v>12208693</v>
      </c>
      <c r="I21217">
        <v>23059140</v>
      </c>
      <c r="J21217">
        <v>5</v>
      </c>
    </row>
    <row r="21218" spans="1:10" x14ac:dyDescent="0.25">
      <c r="A21218" t="s">
        <v>231</v>
      </c>
      <c r="B21218" s="1" t="str">
        <f>HYPERLINK("http://laroche-posay.no","laroche-posay.no")</f>
        <v>laroche-posay.no</v>
      </c>
      <c r="C21218" t="s">
        <v>478</v>
      </c>
      <c r="D21218" t="s">
        <v>853</v>
      </c>
      <c r="F21218">
        <v>1.1244883373433601E-8</v>
      </c>
      <c r="G21218">
        <v>5681772</v>
      </c>
      <c r="H21218">
        <v>14236239</v>
      </c>
      <c r="I21218">
        <v>1598386</v>
      </c>
      <c r="J21218">
        <v>4</v>
      </c>
    </row>
    <row r="21219" spans="1:10" x14ac:dyDescent="0.25">
      <c r="A21219" t="s">
        <v>231</v>
      </c>
      <c r="B21219" s="1" t="str">
        <f>HYPERLINK("http://loreal.no","loreal.no")</f>
        <v>loreal.no</v>
      </c>
      <c r="C21219" t="s">
        <v>478</v>
      </c>
      <c r="D21219" t="s">
        <v>853</v>
      </c>
      <c r="F21219">
        <v>1.21363210761371E-8</v>
      </c>
      <c r="G21219">
        <v>5087665</v>
      </c>
      <c r="H21219">
        <v>12470385</v>
      </c>
      <c r="I21219">
        <v>17744416</v>
      </c>
      <c r="J21219">
        <v>3</v>
      </c>
    </row>
    <row r="21220" spans="1:10" x14ac:dyDescent="0.25">
      <c r="A21220" t="s">
        <v>231</v>
      </c>
      <c r="B21220" s="1" t="str">
        <f>HYPERLINK("http://lorealparis.no","lorealparis.no")</f>
        <v>lorealparis.no</v>
      </c>
      <c r="C21220" t="s">
        <v>478</v>
      </c>
      <c r="D21220" t="s">
        <v>853</v>
      </c>
      <c r="F21220">
        <v>1.5873979230270701E-8</v>
      </c>
      <c r="G21220">
        <v>3579399</v>
      </c>
      <c r="H21220">
        <v>14236490</v>
      </c>
      <c r="I21220">
        <v>1584204</v>
      </c>
      <c r="J21220">
        <v>5</v>
      </c>
    </row>
    <row r="21221" spans="1:10" x14ac:dyDescent="0.25">
      <c r="A21221" t="s">
        <v>231</v>
      </c>
      <c r="B21221" s="1" t="str">
        <f>HYPERLINK("http://maybelline.no","maybelline.no")</f>
        <v>maybelline.no</v>
      </c>
      <c r="C21221" t="s">
        <v>478</v>
      </c>
      <c r="D21221" t="s">
        <v>853</v>
      </c>
      <c r="F21221">
        <v>2.9417581984706401E-8</v>
      </c>
      <c r="G21221">
        <v>1751806</v>
      </c>
      <c r="H21221">
        <v>12735645</v>
      </c>
      <c r="I21221">
        <v>15165865</v>
      </c>
      <c r="J21221">
        <v>5</v>
      </c>
    </row>
    <row r="21222" spans="1:10" x14ac:dyDescent="0.25">
      <c r="A21222" t="s">
        <v>231</v>
      </c>
      <c r="B21222" s="1" t="str">
        <f>HYPERLINK("http://skinceuticals.no","skinceuticals.no")</f>
        <v>skinceuticals.no</v>
      </c>
      <c r="C21222" t="s">
        <v>478</v>
      </c>
      <c r="D21222" t="s">
        <v>853</v>
      </c>
      <c r="F21222">
        <v>1.7103142580825699E-8</v>
      </c>
      <c r="G21222">
        <v>3260076</v>
      </c>
      <c r="H21222">
        <v>10975465</v>
      </c>
      <c r="I21222">
        <v>34024163</v>
      </c>
      <c r="J21222">
        <v>3</v>
      </c>
    </row>
    <row r="21223" spans="1:10" x14ac:dyDescent="0.25">
      <c r="A21223" t="s">
        <v>231</v>
      </c>
      <c r="B21223" s="1" t="str">
        <f>HYPERLINK("http://vichy.no","vichy.no")</f>
        <v>vichy.no</v>
      </c>
      <c r="C21223" t="s">
        <v>478</v>
      </c>
      <c r="D21223" t="s">
        <v>853</v>
      </c>
      <c r="F21223">
        <v>1.95537794261793E-8</v>
      </c>
      <c r="G21223">
        <v>2735979</v>
      </c>
      <c r="H21223">
        <v>13764525</v>
      </c>
      <c r="I21223">
        <v>7244725</v>
      </c>
      <c r="J21223">
        <v>3</v>
      </c>
    </row>
    <row r="21224" spans="1:10" x14ac:dyDescent="0.25">
      <c r="A21224" t="s">
        <v>231</v>
      </c>
      <c r="B21224" s="1" t="str">
        <f>HYPERLINK("http://maybelline.co.nz","maybelline.co.nz")</f>
        <v>maybelline.co.nz</v>
      </c>
      <c r="C21224" t="s">
        <v>479</v>
      </c>
      <c r="D21224" t="s">
        <v>854</v>
      </c>
      <c r="F21224">
        <v>2.2729632706323699E-8</v>
      </c>
      <c r="G21224">
        <v>2303552</v>
      </c>
      <c r="H21224">
        <v>13939623</v>
      </c>
      <c r="I21224">
        <v>4388031</v>
      </c>
      <c r="J21224">
        <v>6</v>
      </c>
    </row>
    <row r="21225" spans="1:10" x14ac:dyDescent="0.25">
      <c r="A21225" t="s">
        <v>231</v>
      </c>
      <c r="B21225" s="1" t="str">
        <f>HYPERLINK("http://help4autism.org","help4autism.org")</f>
        <v>help4autism.org</v>
      </c>
      <c r="C21225" t="s">
        <v>481</v>
      </c>
      <c r="F21225">
        <v>4.9813517252949504E-9</v>
      </c>
      <c r="G21225">
        <v>29962146</v>
      </c>
      <c r="H21225">
        <v>7295402</v>
      </c>
      <c r="I21225">
        <v>76323648</v>
      </c>
      <c r="J21225">
        <v>4</v>
      </c>
    </row>
    <row r="21226" spans="1:10" x14ac:dyDescent="0.25">
      <c r="A21226" t="s">
        <v>231</v>
      </c>
      <c r="B21226" s="1" t="str">
        <f>HYPERLINK("http://cerave.pe","cerave.pe")</f>
        <v>cerave.pe</v>
      </c>
      <c r="C21226" t="s">
        <v>483</v>
      </c>
      <c r="D21226" t="s">
        <v>857</v>
      </c>
      <c r="F21226">
        <v>1.4288711707744899E-8</v>
      </c>
      <c r="G21226">
        <v>4097339</v>
      </c>
      <c r="H21226">
        <v>11049691</v>
      </c>
      <c r="I21226">
        <v>32802038</v>
      </c>
      <c r="J21226">
        <v>3</v>
      </c>
    </row>
    <row r="21227" spans="1:10" x14ac:dyDescent="0.25">
      <c r="A21227" t="s">
        <v>231</v>
      </c>
      <c r="B21227" s="1" t="str">
        <f>HYPERLINK("http://kerastase.com.pe","kerastase.com.pe")</f>
        <v>kerastase.com.pe</v>
      </c>
      <c r="C21227" t="s">
        <v>483</v>
      </c>
      <c r="D21227" t="s">
        <v>857</v>
      </c>
      <c r="F21227">
        <v>5.02520465075144E-9</v>
      </c>
      <c r="G21227">
        <v>28781014</v>
      </c>
      <c r="H21227">
        <v>8460696</v>
      </c>
      <c r="I21227">
        <v>72405746</v>
      </c>
      <c r="J21227">
        <v>5</v>
      </c>
    </row>
    <row r="21228" spans="1:10" x14ac:dyDescent="0.25">
      <c r="A21228" t="s">
        <v>231</v>
      </c>
      <c r="B21228" s="1" t="str">
        <f>HYPERLINK("http://kerastase.pe","kerastase.pe")</f>
        <v>kerastase.pe</v>
      </c>
      <c r="C21228" t="s">
        <v>483</v>
      </c>
      <c r="D21228" t="s">
        <v>857</v>
      </c>
      <c r="F21228">
        <v>1.0260010976709E-8</v>
      </c>
      <c r="G21228">
        <v>6489054</v>
      </c>
      <c r="H21228">
        <v>10613194</v>
      </c>
      <c r="I21228">
        <v>44486815</v>
      </c>
      <c r="J21228">
        <v>4</v>
      </c>
    </row>
    <row r="21229" spans="1:10" x14ac:dyDescent="0.25">
      <c r="A21229" t="s">
        <v>231</v>
      </c>
      <c r="B21229" s="1" t="str">
        <f>HYPERLINK("http://laroche-posay.pe","laroche-posay.pe")</f>
        <v>laroche-posay.pe</v>
      </c>
      <c r="C21229" t="s">
        <v>483</v>
      </c>
      <c r="D21229" t="s">
        <v>857</v>
      </c>
      <c r="F21229">
        <v>1.5225593985605098E-8</v>
      </c>
      <c r="G21229">
        <v>3768106</v>
      </c>
      <c r="H21229">
        <v>12376264</v>
      </c>
      <c r="I21229">
        <v>19286920</v>
      </c>
      <c r="J21229">
        <v>4</v>
      </c>
    </row>
    <row r="21230" spans="1:10" x14ac:dyDescent="0.25">
      <c r="A21230" t="s">
        <v>231</v>
      </c>
      <c r="B21230" s="1" t="str">
        <f>HYPERLINK("http://lorealparis.pe","lorealparis.pe")</f>
        <v>lorealparis.pe</v>
      </c>
      <c r="C21230" t="s">
        <v>483</v>
      </c>
      <c r="D21230" t="s">
        <v>857</v>
      </c>
      <c r="F21230">
        <v>5.6747847135900402E-9</v>
      </c>
      <c r="G21230">
        <v>19175903</v>
      </c>
      <c r="H21230">
        <v>10626327</v>
      </c>
      <c r="I21230">
        <v>44084387</v>
      </c>
      <c r="J21230">
        <v>5</v>
      </c>
    </row>
    <row r="21231" spans="1:10" x14ac:dyDescent="0.25">
      <c r="A21231" t="s">
        <v>231</v>
      </c>
      <c r="B21231" s="1" t="str">
        <f>HYPERLINK("http://lorealprofessionnel.pe","lorealprofessionnel.pe")</f>
        <v>lorealprofessionnel.pe</v>
      </c>
      <c r="C21231" t="s">
        <v>483</v>
      </c>
      <c r="D21231" t="s">
        <v>857</v>
      </c>
      <c r="F21231">
        <v>7.5599404637841307E-9</v>
      </c>
      <c r="G21231">
        <v>10884461</v>
      </c>
      <c r="H21231">
        <v>12057897</v>
      </c>
      <c r="I21231">
        <v>27056478</v>
      </c>
      <c r="J21231">
        <v>5</v>
      </c>
    </row>
    <row r="21232" spans="1:10" x14ac:dyDescent="0.25">
      <c r="A21232" t="s">
        <v>231</v>
      </c>
      <c r="B21232" s="1" t="str">
        <f>HYPERLINK("http://maybelline.pe","maybelline.pe")</f>
        <v>maybelline.pe</v>
      </c>
      <c r="C21232" t="s">
        <v>483</v>
      </c>
      <c r="D21232" t="s">
        <v>857</v>
      </c>
      <c r="F21232">
        <v>2.5813380104506299E-8</v>
      </c>
      <c r="G21232">
        <v>1996814</v>
      </c>
      <c r="H21232">
        <v>12764238</v>
      </c>
      <c r="I21232">
        <v>14926361</v>
      </c>
      <c r="J21232">
        <v>5</v>
      </c>
    </row>
    <row r="21233" spans="1:10" x14ac:dyDescent="0.25">
      <c r="A21233" t="s">
        <v>231</v>
      </c>
      <c r="B21233" s="1" t="str">
        <f>HYPERLINK("http://kerastase.com.ph","kerastase.com.ph")</f>
        <v>kerastase.com.ph</v>
      </c>
      <c r="C21233" t="s">
        <v>484</v>
      </c>
      <c r="D21233" t="s">
        <v>858</v>
      </c>
      <c r="F21233">
        <v>6.5331816751812304E-9</v>
      </c>
      <c r="G21233">
        <v>13940868</v>
      </c>
      <c r="H21233">
        <v>10847481</v>
      </c>
      <c r="I21233">
        <v>36927581</v>
      </c>
      <c r="J21233">
        <v>4</v>
      </c>
    </row>
    <row r="21234" spans="1:10" x14ac:dyDescent="0.25">
      <c r="A21234" t="s">
        <v>231</v>
      </c>
      <c r="B21234" s="1" t="str">
        <f>HYPERLINK("http://kiehls.com.ph","kiehls.com.ph")</f>
        <v>kiehls.com.ph</v>
      </c>
      <c r="C21234" t="s">
        <v>484</v>
      </c>
      <c r="D21234" t="s">
        <v>858</v>
      </c>
      <c r="F21234">
        <v>1.65205311034499E-8</v>
      </c>
      <c r="G21234">
        <v>3408668</v>
      </c>
      <c r="H21234">
        <v>12995119</v>
      </c>
      <c r="I21234">
        <v>12824237</v>
      </c>
      <c r="J21234">
        <v>5</v>
      </c>
    </row>
    <row r="21235" spans="1:10" x14ac:dyDescent="0.25">
      <c r="A21235" t="s">
        <v>231</v>
      </c>
      <c r="B21235" s="1" t="str">
        <f>HYPERLINK("http://lorealparis.com.ph","lorealparis.com.ph")</f>
        <v>lorealparis.com.ph</v>
      </c>
      <c r="C21235" t="s">
        <v>484</v>
      </c>
      <c r="D21235" t="s">
        <v>858</v>
      </c>
      <c r="F21235">
        <v>1.0916784436416101E-8</v>
      </c>
      <c r="G21235">
        <v>5929469</v>
      </c>
      <c r="H21235">
        <v>13951181</v>
      </c>
      <c r="I21235">
        <v>4167639</v>
      </c>
      <c r="J21235">
        <v>5</v>
      </c>
    </row>
    <row r="21236" spans="1:10" x14ac:dyDescent="0.25">
      <c r="A21236" t="s">
        <v>231</v>
      </c>
      <c r="B21236" s="1" t="str">
        <f>HYPERLINK("http://maybelline.com.ph","maybelline.com.ph")</f>
        <v>maybelline.com.ph</v>
      </c>
      <c r="C21236" t="s">
        <v>484</v>
      </c>
      <c r="D21236" t="s">
        <v>858</v>
      </c>
      <c r="F21236">
        <v>3.6108255519958798E-8</v>
      </c>
      <c r="G21236">
        <v>1443775</v>
      </c>
      <c r="H21236">
        <v>13946308</v>
      </c>
      <c r="I21236">
        <v>4222062</v>
      </c>
      <c r="J21236">
        <v>5</v>
      </c>
    </row>
    <row r="21237" spans="1:10" x14ac:dyDescent="0.25">
      <c r="A21237" t="s">
        <v>231</v>
      </c>
      <c r="B21237" s="1" t="str">
        <f>HYPERLINK("http://maybelline.com.pk","maybelline.com.pk")</f>
        <v>maybelline.com.pk</v>
      </c>
      <c r="C21237" t="s">
        <v>485</v>
      </c>
      <c r="D21237" t="s">
        <v>859</v>
      </c>
      <c r="F21237">
        <v>2.0129597887470101E-8</v>
      </c>
      <c r="G21237">
        <v>2639353</v>
      </c>
      <c r="H21237">
        <v>12723144</v>
      </c>
      <c r="I21237">
        <v>15238312</v>
      </c>
      <c r="J21237">
        <v>5</v>
      </c>
    </row>
    <row r="21238" spans="1:10" x14ac:dyDescent="0.25">
      <c r="A21238" t="s">
        <v>231</v>
      </c>
      <c r="B21238" s="1" t="str">
        <f>HYPERLINK("http://cerave.pl","cerave.pl")</f>
        <v>cerave.pl</v>
      </c>
      <c r="C21238" t="s">
        <v>486</v>
      </c>
      <c r="D21238" t="s">
        <v>860</v>
      </c>
      <c r="F21238">
        <v>3.0544776307717701E-8</v>
      </c>
      <c r="G21238">
        <v>1685937</v>
      </c>
      <c r="H21238">
        <v>12410035</v>
      </c>
      <c r="I21238">
        <v>18608320</v>
      </c>
      <c r="J21238">
        <v>3</v>
      </c>
    </row>
    <row r="21239" spans="1:10" x14ac:dyDescent="0.25">
      <c r="A21239" t="s">
        <v>231</v>
      </c>
      <c r="B21239" s="1" t="str">
        <f>HYPERLINK("http://kerastase.com.pl","kerastase.com.pl")</f>
        <v>kerastase.com.pl</v>
      </c>
      <c r="C21239" t="s">
        <v>486</v>
      </c>
      <c r="D21239" t="s">
        <v>860</v>
      </c>
      <c r="F21239">
        <v>1.69891522536492E-8</v>
      </c>
      <c r="G21239">
        <v>3285764</v>
      </c>
      <c r="H21239">
        <v>13345233</v>
      </c>
      <c r="I21239">
        <v>10651909</v>
      </c>
      <c r="J21239">
        <v>4</v>
      </c>
    </row>
    <row r="21240" spans="1:10" x14ac:dyDescent="0.25">
      <c r="A21240" t="s">
        <v>231</v>
      </c>
      <c r="B21240" s="1" t="str">
        <f>HYPERLINK("http://kiehls.pl","kiehls.pl")</f>
        <v>kiehls.pl</v>
      </c>
      <c r="C21240" t="s">
        <v>486</v>
      </c>
      <c r="D21240" t="s">
        <v>860</v>
      </c>
      <c r="F21240">
        <v>4.0111943506684303E-8</v>
      </c>
      <c r="G21240">
        <v>1289227</v>
      </c>
      <c r="H21240">
        <v>13772529</v>
      </c>
      <c r="I21240">
        <v>6657662</v>
      </c>
      <c r="J21240">
        <v>6</v>
      </c>
    </row>
    <row r="21241" spans="1:10" x14ac:dyDescent="0.25">
      <c r="A21241" t="s">
        <v>231</v>
      </c>
      <c r="B21241" s="1" t="str">
        <f>HYPERLINK("http://lancome.pl","lancome.pl")</f>
        <v>lancome.pl</v>
      </c>
      <c r="C21241" t="s">
        <v>486</v>
      </c>
      <c r="D21241" t="s">
        <v>860</v>
      </c>
      <c r="F21241">
        <v>2.24697985438573E-8</v>
      </c>
      <c r="G21241">
        <v>2331919</v>
      </c>
      <c r="H21241">
        <v>14374012</v>
      </c>
      <c r="I21241">
        <v>1255183</v>
      </c>
      <c r="J21241">
        <v>4</v>
      </c>
    </row>
    <row r="21242" spans="1:10" x14ac:dyDescent="0.25">
      <c r="A21242" t="s">
        <v>231</v>
      </c>
      <c r="B21242" s="1" t="str">
        <f>HYPERLINK("http://laroche-posay.pl","laroche-posay.pl")</f>
        <v>laroche-posay.pl</v>
      </c>
      <c r="C21242" t="s">
        <v>486</v>
      </c>
      <c r="D21242" t="s">
        <v>860</v>
      </c>
      <c r="E21242">
        <v>974648</v>
      </c>
      <c r="F21242">
        <v>9.8423091988401403E-8</v>
      </c>
      <c r="G21242">
        <v>409744</v>
      </c>
      <c r="H21242">
        <v>13774078</v>
      </c>
      <c r="I21242">
        <v>6615132</v>
      </c>
      <c r="J21242">
        <v>4</v>
      </c>
    </row>
    <row r="21243" spans="1:10" x14ac:dyDescent="0.25">
      <c r="A21243" t="s">
        <v>231</v>
      </c>
      <c r="B21243" s="1" t="str">
        <f>HYPERLINK("http://loreal.pl","loreal.pl")</f>
        <v>loreal.pl</v>
      </c>
      <c r="C21243" t="s">
        <v>486</v>
      </c>
      <c r="D21243" t="s">
        <v>860</v>
      </c>
      <c r="F21243">
        <v>1.07217650874202E-8</v>
      </c>
      <c r="G21243">
        <v>6082410</v>
      </c>
      <c r="H21243">
        <v>14239318</v>
      </c>
      <c r="I21243">
        <v>1513901</v>
      </c>
      <c r="J21243">
        <v>4</v>
      </c>
    </row>
    <row r="21244" spans="1:10" x14ac:dyDescent="0.25">
      <c r="A21244" t="s">
        <v>231</v>
      </c>
      <c r="B21244" s="1" t="str">
        <f>HYPERLINK("http://lorealparis.pl","lorealparis.pl")</f>
        <v>lorealparis.pl</v>
      </c>
      <c r="C21244" t="s">
        <v>486</v>
      </c>
      <c r="D21244" t="s">
        <v>860</v>
      </c>
      <c r="E21244">
        <v>960479</v>
      </c>
      <c r="F21244">
        <v>7.0949606339643797E-8</v>
      </c>
      <c r="G21244">
        <v>596149</v>
      </c>
      <c r="H21244">
        <v>14125164</v>
      </c>
      <c r="I21244">
        <v>2127275</v>
      </c>
      <c r="J21244">
        <v>5</v>
      </c>
    </row>
    <row r="21245" spans="1:10" x14ac:dyDescent="0.25">
      <c r="A21245" t="s">
        <v>231</v>
      </c>
      <c r="B21245" s="1" t="str">
        <f>HYPERLINK("http://lorealprofessionnel.pl","lorealprofessionnel.pl")</f>
        <v>lorealprofessionnel.pl</v>
      </c>
      <c r="C21245" t="s">
        <v>486</v>
      </c>
      <c r="D21245" t="s">
        <v>860</v>
      </c>
      <c r="F21245">
        <v>2.4906492123589501E-8</v>
      </c>
      <c r="G21245">
        <v>2075891</v>
      </c>
      <c r="H21245">
        <v>12257395</v>
      </c>
      <c r="I21245">
        <v>21838026</v>
      </c>
      <c r="J21245">
        <v>5</v>
      </c>
    </row>
    <row r="21246" spans="1:10" x14ac:dyDescent="0.25">
      <c r="A21246" t="s">
        <v>231</v>
      </c>
      <c r="B21246" s="1" t="str">
        <f>HYPERLINK("http://maybelline.pl","maybelline.pl")</f>
        <v>maybelline.pl</v>
      </c>
      <c r="C21246" t="s">
        <v>486</v>
      </c>
      <c r="D21246" t="s">
        <v>860</v>
      </c>
      <c r="F21246">
        <v>4.2714361976796602E-8</v>
      </c>
      <c r="G21246">
        <v>1130593</v>
      </c>
      <c r="H21246">
        <v>14124626</v>
      </c>
      <c r="I21246">
        <v>2140302</v>
      </c>
      <c r="J21246">
        <v>5</v>
      </c>
    </row>
    <row r="21247" spans="1:10" x14ac:dyDescent="0.25">
      <c r="A21247" t="s">
        <v>231</v>
      </c>
      <c r="B21247" s="1" t="str">
        <f>HYPERLINK("http://skinceuticals.pl","skinceuticals.pl")</f>
        <v>skinceuticals.pl</v>
      </c>
      <c r="C21247" t="s">
        <v>486</v>
      </c>
      <c r="D21247" t="s">
        <v>860</v>
      </c>
      <c r="F21247">
        <v>1.21575628244379E-8</v>
      </c>
      <c r="G21247">
        <v>5075186</v>
      </c>
      <c r="H21247">
        <v>10982083</v>
      </c>
      <c r="I21247">
        <v>33896234</v>
      </c>
      <c r="J21247">
        <v>5</v>
      </c>
    </row>
    <row r="21248" spans="1:10" x14ac:dyDescent="0.25">
      <c r="A21248" t="s">
        <v>231</v>
      </c>
      <c r="B21248" s="1" t="str">
        <f>HYPERLINK("http://stenders.pl","stenders.pl")</f>
        <v>stenders.pl</v>
      </c>
      <c r="C21248" t="s">
        <v>486</v>
      </c>
      <c r="D21248" t="s">
        <v>860</v>
      </c>
      <c r="F21248">
        <v>5.3056369487934104E-9</v>
      </c>
      <c r="G21248">
        <v>23411024</v>
      </c>
      <c r="H21248">
        <v>14119728</v>
      </c>
      <c r="I21248">
        <v>2618733</v>
      </c>
      <c r="J21248">
        <v>5</v>
      </c>
    </row>
    <row r="21249" spans="1:10" x14ac:dyDescent="0.25">
      <c r="A21249" t="s">
        <v>231</v>
      </c>
      <c r="B21249" s="1" t="str">
        <f>HYPERLINK("http://stenders-cosmetics.pl","stenders-cosmetics.pl")</f>
        <v>stenders-cosmetics.pl</v>
      </c>
      <c r="C21249" t="s">
        <v>486</v>
      </c>
      <c r="D21249" t="s">
        <v>860</v>
      </c>
      <c r="F21249">
        <v>5.2146843581287802E-9</v>
      </c>
      <c r="G21249">
        <v>24839981</v>
      </c>
      <c r="H21249">
        <v>13763646</v>
      </c>
      <c r="I21249">
        <v>7904754</v>
      </c>
      <c r="J21249">
        <v>7</v>
      </c>
    </row>
    <row r="21250" spans="1:10" x14ac:dyDescent="0.25">
      <c r="A21250" t="s">
        <v>231</v>
      </c>
      <c r="B21250" s="1" t="str">
        <f>HYPERLINK("http://vichy.pl","vichy.pl")</f>
        <v>vichy.pl</v>
      </c>
      <c r="C21250" t="s">
        <v>486</v>
      </c>
      <c r="D21250" t="s">
        <v>860</v>
      </c>
      <c r="E21250">
        <v>733836</v>
      </c>
      <c r="F21250">
        <v>9.5909869379478904E-8</v>
      </c>
      <c r="G21250">
        <v>422027</v>
      </c>
      <c r="H21250">
        <v>14242252</v>
      </c>
      <c r="I21250">
        <v>1485655</v>
      </c>
      <c r="J21250">
        <v>3</v>
      </c>
    </row>
    <row r="21251" spans="1:10" x14ac:dyDescent="0.25">
      <c r="A21251" t="s">
        <v>231</v>
      </c>
      <c r="B21251" s="1" t="str">
        <f>HYPERLINK("http://cerave.pt","cerave.pt")</f>
        <v>cerave.pt</v>
      </c>
      <c r="C21251" t="s">
        <v>488</v>
      </c>
      <c r="D21251" t="s">
        <v>862</v>
      </c>
      <c r="F21251">
        <v>1.4937257842897801E-8</v>
      </c>
      <c r="G21251">
        <v>3860287</v>
      </c>
      <c r="H21251">
        <v>12686082</v>
      </c>
      <c r="I21251">
        <v>15449226</v>
      </c>
      <c r="J21251">
        <v>3</v>
      </c>
    </row>
    <row r="21252" spans="1:10" x14ac:dyDescent="0.25">
      <c r="A21252" t="s">
        <v>231</v>
      </c>
      <c r="B21252" s="1" t="str">
        <f>HYPERLINK("http://kerastase.pt","kerastase.pt")</f>
        <v>kerastase.pt</v>
      </c>
      <c r="C21252" t="s">
        <v>488</v>
      </c>
      <c r="D21252" t="s">
        <v>862</v>
      </c>
      <c r="F21252">
        <v>1.23493172499439E-8</v>
      </c>
      <c r="G21252">
        <v>4967168</v>
      </c>
      <c r="H21252">
        <v>13942897</v>
      </c>
      <c r="I21252">
        <v>4323301</v>
      </c>
      <c r="J21252">
        <v>4</v>
      </c>
    </row>
    <row r="21253" spans="1:10" x14ac:dyDescent="0.25">
      <c r="A21253" t="s">
        <v>231</v>
      </c>
      <c r="B21253" s="1" t="str">
        <f>HYPERLINK("http://kiehls.pt","kiehls.pt")</f>
        <v>kiehls.pt</v>
      </c>
      <c r="C21253" t="s">
        <v>488</v>
      </c>
      <c r="D21253" t="s">
        <v>862</v>
      </c>
      <c r="F21253">
        <v>1.73687082675512E-8</v>
      </c>
      <c r="G21253">
        <v>3182566</v>
      </c>
      <c r="H21253">
        <v>14087188</v>
      </c>
      <c r="I21253">
        <v>2765159</v>
      </c>
      <c r="J21253">
        <v>5</v>
      </c>
    </row>
    <row r="21254" spans="1:10" x14ac:dyDescent="0.25">
      <c r="A21254" t="s">
        <v>231</v>
      </c>
      <c r="B21254" s="1" t="str">
        <f>HYPERLINK("http://lancome.pt","lancome.pt")</f>
        <v>lancome.pt</v>
      </c>
      <c r="C21254" t="s">
        <v>488</v>
      </c>
      <c r="D21254" t="s">
        <v>862</v>
      </c>
      <c r="F21254">
        <v>7.8319061255683199E-9</v>
      </c>
      <c r="G21254">
        <v>10251716</v>
      </c>
      <c r="H21254">
        <v>13766164</v>
      </c>
      <c r="I21254">
        <v>7028750</v>
      </c>
      <c r="J21254">
        <v>4</v>
      </c>
    </row>
    <row r="21255" spans="1:10" x14ac:dyDescent="0.25">
      <c r="A21255" t="s">
        <v>231</v>
      </c>
      <c r="B21255" s="1" t="str">
        <f>HYPERLINK("http://laroche-posay.pt","laroche-posay.pt")</f>
        <v>laroche-posay.pt</v>
      </c>
      <c r="C21255" t="s">
        <v>488</v>
      </c>
      <c r="D21255" t="s">
        <v>862</v>
      </c>
      <c r="F21255">
        <v>4.3528813950043498E-8</v>
      </c>
      <c r="G21255">
        <v>1098361</v>
      </c>
      <c r="H21255">
        <v>14125669</v>
      </c>
      <c r="I21255">
        <v>2114905</v>
      </c>
      <c r="J21255">
        <v>4</v>
      </c>
    </row>
    <row r="21256" spans="1:10" x14ac:dyDescent="0.25">
      <c r="A21256" t="s">
        <v>231</v>
      </c>
      <c r="B21256" s="1" t="str">
        <f>HYPERLINK("http://loreal.pt","loreal.pt")</f>
        <v>loreal.pt</v>
      </c>
      <c r="C21256" t="s">
        <v>488</v>
      </c>
      <c r="D21256" t="s">
        <v>862</v>
      </c>
      <c r="F21256">
        <v>2.19219190038786E-8</v>
      </c>
      <c r="G21256">
        <v>2395461</v>
      </c>
      <c r="H21256">
        <v>13084101</v>
      </c>
      <c r="I21256">
        <v>12168443</v>
      </c>
      <c r="J21256">
        <v>2</v>
      </c>
    </row>
    <row r="21257" spans="1:10" x14ac:dyDescent="0.25">
      <c r="A21257" t="s">
        <v>231</v>
      </c>
      <c r="B21257" s="1" t="str">
        <f>HYPERLINK("http://lorealparis.pt","lorealparis.pt")</f>
        <v>lorealparis.pt</v>
      </c>
      <c r="C21257" t="s">
        <v>488</v>
      </c>
      <c r="D21257" t="s">
        <v>862</v>
      </c>
      <c r="F21257">
        <v>1.8193541563263701E-8</v>
      </c>
      <c r="G21257">
        <v>2989133</v>
      </c>
      <c r="H21257">
        <v>14487975</v>
      </c>
      <c r="I21257">
        <v>939660</v>
      </c>
      <c r="J21257">
        <v>4</v>
      </c>
    </row>
    <row r="21258" spans="1:10" x14ac:dyDescent="0.25">
      <c r="A21258" t="s">
        <v>231</v>
      </c>
      <c r="B21258" s="1" t="str">
        <f>HYPERLINK("http://lorealprofessionnel.pt","lorealprofessionnel.pt")</f>
        <v>lorealprofessionnel.pt</v>
      </c>
      <c r="C21258" t="s">
        <v>488</v>
      </c>
      <c r="D21258" t="s">
        <v>862</v>
      </c>
      <c r="F21258">
        <v>2.88119136241527E-8</v>
      </c>
      <c r="G21258">
        <v>1786449</v>
      </c>
      <c r="H21258">
        <v>12789837</v>
      </c>
      <c r="I21258">
        <v>14689181</v>
      </c>
      <c r="J21258">
        <v>5</v>
      </c>
    </row>
    <row r="21259" spans="1:10" x14ac:dyDescent="0.25">
      <c r="A21259" t="s">
        <v>231</v>
      </c>
      <c r="B21259" s="1" t="str">
        <f>HYPERLINK("http://maybelline.pt","maybelline.pt")</f>
        <v>maybelline.pt</v>
      </c>
      <c r="C21259" t="s">
        <v>488</v>
      </c>
      <c r="D21259" t="s">
        <v>862</v>
      </c>
      <c r="F21259">
        <v>3.1326832178501301E-8</v>
      </c>
      <c r="G21259">
        <v>1646197</v>
      </c>
      <c r="H21259">
        <v>14124179</v>
      </c>
      <c r="I21259">
        <v>2151989</v>
      </c>
      <c r="J21259">
        <v>5</v>
      </c>
    </row>
    <row r="21260" spans="1:10" x14ac:dyDescent="0.25">
      <c r="A21260" t="s">
        <v>231</v>
      </c>
      <c r="B21260" s="1" t="str">
        <f>HYPERLINK("http://skinceuticals.pt","skinceuticals.pt")</f>
        <v>skinceuticals.pt</v>
      </c>
      <c r="C21260" t="s">
        <v>488</v>
      </c>
      <c r="D21260" t="s">
        <v>862</v>
      </c>
      <c r="F21260">
        <v>1.73072338946502E-8</v>
      </c>
      <c r="G21260">
        <v>3197456</v>
      </c>
      <c r="H21260">
        <v>12857422</v>
      </c>
      <c r="I21260">
        <v>14214835</v>
      </c>
      <c r="J21260">
        <v>4</v>
      </c>
    </row>
    <row r="21261" spans="1:10" x14ac:dyDescent="0.25">
      <c r="A21261" t="s">
        <v>231</v>
      </c>
      <c r="B21261" s="1" t="str">
        <f>HYPERLINK("http://vichy.pt","vichy.pt")</f>
        <v>vichy.pt</v>
      </c>
      <c r="C21261" t="s">
        <v>488</v>
      </c>
      <c r="D21261" t="s">
        <v>862</v>
      </c>
      <c r="F21261">
        <v>2.4235111201915E-8</v>
      </c>
      <c r="G21261">
        <v>2140089</v>
      </c>
      <c r="H21261">
        <v>14123283</v>
      </c>
      <c r="I21261">
        <v>2180168</v>
      </c>
      <c r="J21261">
        <v>3</v>
      </c>
    </row>
    <row r="21262" spans="1:10" x14ac:dyDescent="0.25">
      <c r="A21262" t="s">
        <v>231</v>
      </c>
      <c r="B21262" s="1" t="str">
        <f>HYPERLINK("http://cerave.ro","cerave.ro")</f>
        <v>cerave.ro</v>
      </c>
      <c r="C21262" t="s">
        <v>491</v>
      </c>
      <c r="D21262" t="s">
        <v>865</v>
      </c>
      <c r="F21262">
        <v>1.87004301245708E-8</v>
      </c>
      <c r="G21262">
        <v>2889264</v>
      </c>
      <c r="H21262">
        <v>13766776</v>
      </c>
      <c r="I21262">
        <v>6976329</v>
      </c>
      <c r="J21262">
        <v>3</v>
      </c>
    </row>
    <row r="21263" spans="1:10" x14ac:dyDescent="0.25">
      <c r="A21263" t="s">
        <v>231</v>
      </c>
      <c r="B21263" s="1" t="str">
        <f>HYPERLINK("http://kerastase.ro","kerastase.ro")</f>
        <v>kerastase.ro</v>
      </c>
      <c r="C21263" t="s">
        <v>491</v>
      </c>
      <c r="D21263" t="s">
        <v>865</v>
      </c>
      <c r="F21263">
        <v>6.1420365612766602E-9</v>
      </c>
      <c r="G21263">
        <v>15849400</v>
      </c>
      <c r="H21263">
        <v>10692513</v>
      </c>
      <c r="I21263">
        <v>42454430</v>
      </c>
      <c r="J21263">
        <v>4</v>
      </c>
    </row>
    <row r="21264" spans="1:10" x14ac:dyDescent="0.25">
      <c r="A21264" t="s">
        <v>231</v>
      </c>
      <c r="B21264" s="1" t="str">
        <f>HYPERLINK("http://kiehls.ro","kiehls.ro")</f>
        <v>kiehls.ro</v>
      </c>
      <c r="C21264" t="s">
        <v>491</v>
      </c>
      <c r="D21264" t="s">
        <v>865</v>
      </c>
      <c r="F21264">
        <v>2.2813857230796099E-8</v>
      </c>
      <c r="G21264">
        <v>2292348</v>
      </c>
      <c r="H21264">
        <v>14123803</v>
      </c>
      <c r="I21264">
        <v>2163011</v>
      </c>
      <c r="J21264">
        <v>6</v>
      </c>
    </row>
    <row r="21265" spans="1:10" x14ac:dyDescent="0.25">
      <c r="A21265" t="s">
        <v>231</v>
      </c>
      <c r="B21265" s="1" t="str">
        <f>HYPERLINK("http://lancome.ro","lancome.ro")</f>
        <v>lancome.ro</v>
      </c>
      <c r="C21265" t="s">
        <v>491</v>
      </c>
      <c r="D21265" t="s">
        <v>865</v>
      </c>
      <c r="F21265">
        <v>9.3697233857764607E-9</v>
      </c>
      <c r="G21265">
        <v>7483344</v>
      </c>
      <c r="H21265">
        <v>12296176</v>
      </c>
      <c r="I21265">
        <v>20940495</v>
      </c>
      <c r="J21265">
        <v>4</v>
      </c>
    </row>
    <row r="21266" spans="1:10" x14ac:dyDescent="0.25">
      <c r="A21266" t="s">
        <v>231</v>
      </c>
      <c r="B21266" s="1" t="str">
        <f>HYPERLINK("http://laroche-posay.ro","laroche-posay.ro")</f>
        <v>laroche-posay.ro</v>
      </c>
      <c r="C21266" t="s">
        <v>491</v>
      </c>
      <c r="D21266" t="s">
        <v>865</v>
      </c>
      <c r="F21266">
        <v>4.1793002269052197E-8</v>
      </c>
      <c r="G21266">
        <v>1178714</v>
      </c>
      <c r="H21266">
        <v>14122616</v>
      </c>
      <c r="I21266">
        <v>2203983</v>
      </c>
      <c r="J21266">
        <v>4</v>
      </c>
    </row>
    <row r="21267" spans="1:10" x14ac:dyDescent="0.25">
      <c r="A21267" t="s">
        <v>231</v>
      </c>
      <c r="B21267" s="1" t="str">
        <f>HYPERLINK("http://lorealparis.ro","lorealparis.ro")</f>
        <v>lorealparis.ro</v>
      </c>
      <c r="C21267" t="s">
        <v>491</v>
      </c>
      <c r="D21267" t="s">
        <v>865</v>
      </c>
      <c r="F21267">
        <v>9.9340701348254708E-9</v>
      </c>
      <c r="G21267">
        <v>6822839</v>
      </c>
      <c r="H21267">
        <v>14120209</v>
      </c>
      <c r="I21267">
        <v>2376352</v>
      </c>
      <c r="J21267">
        <v>4</v>
      </c>
    </row>
    <row r="21268" spans="1:10" x14ac:dyDescent="0.25">
      <c r="A21268" t="s">
        <v>231</v>
      </c>
      <c r="B21268" s="1" t="str">
        <f>HYPERLINK("http://lorealprofessionnel.ro","lorealprofessionnel.ro")</f>
        <v>lorealprofessionnel.ro</v>
      </c>
      <c r="C21268" t="s">
        <v>491</v>
      </c>
      <c r="D21268" t="s">
        <v>865</v>
      </c>
      <c r="F21268">
        <v>8.5723785570501692E-9</v>
      </c>
      <c r="G21268">
        <v>8706720</v>
      </c>
      <c r="H21268">
        <v>12165340</v>
      </c>
      <c r="I21268">
        <v>24190431</v>
      </c>
      <c r="J21268">
        <v>5</v>
      </c>
    </row>
    <row r="21269" spans="1:10" x14ac:dyDescent="0.25">
      <c r="A21269" t="s">
        <v>231</v>
      </c>
      <c r="B21269" s="1" t="str">
        <f>HYPERLINK("http://maybelline.ro","maybelline.ro")</f>
        <v>maybelline.ro</v>
      </c>
      <c r="C21269" t="s">
        <v>491</v>
      </c>
      <c r="D21269" t="s">
        <v>865</v>
      </c>
      <c r="F21269">
        <v>3.0025089606579899E-8</v>
      </c>
      <c r="G21269">
        <v>1713667</v>
      </c>
      <c r="H21269">
        <v>13767620</v>
      </c>
      <c r="I21269">
        <v>6922203</v>
      </c>
      <c r="J21269">
        <v>5</v>
      </c>
    </row>
    <row r="21270" spans="1:10" x14ac:dyDescent="0.25">
      <c r="A21270" t="s">
        <v>231</v>
      </c>
      <c r="B21270" s="1" t="str">
        <f>HYPERLINK("http://vichy.ro","vichy.ro")</f>
        <v>vichy.ro</v>
      </c>
      <c r="C21270" t="s">
        <v>491</v>
      </c>
      <c r="D21270" t="s">
        <v>865</v>
      </c>
      <c r="F21270">
        <v>2.9059919250165501E-8</v>
      </c>
      <c r="G21270">
        <v>1771862</v>
      </c>
      <c r="H21270">
        <v>14614664</v>
      </c>
      <c r="I21270">
        <v>668979</v>
      </c>
      <c r="J21270">
        <v>3</v>
      </c>
    </row>
    <row r="21271" spans="1:10" x14ac:dyDescent="0.25">
      <c r="A21271" t="s">
        <v>231</v>
      </c>
      <c r="B21271" s="1" t="str">
        <f>HYPERLINK("http://kerastase.rs","kerastase.rs")</f>
        <v>kerastase.rs</v>
      </c>
      <c r="C21271" t="s">
        <v>492</v>
      </c>
      <c r="D21271" t="s">
        <v>866</v>
      </c>
      <c r="F21271">
        <v>6.4808295127331697E-9</v>
      </c>
      <c r="G21271">
        <v>14159222</v>
      </c>
      <c r="H21271">
        <v>10933614</v>
      </c>
      <c r="I21271">
        <v>34994419</v>
      </c>
      <c r="J21271">
        <v>4</v>
      </c>
    </row>
    <row r="21272" spans="1:10" x14ac:dyDescent="0.25">
      <c r="A21272" t="s">
        <v>231</v>
      </c>
      <c r="B21272" s="1" t="str">
        <f>HYPERLINK("http://kiehls.rs","kiehls.rs")</f>
        <v>kiehls.rs</v>
      </c>
      <c r="C21272" t="s">
        <v>492</v>
      </c>
      <c r="D21272" t="s">
        <v>866</v>
      </c>
      <c r="F21272">
        <v>9.7965458523587899E-9</v>
      </c>
      <c r="G21272">
        <v>6972557</v>
      </c>
      <c r="H21272">
        <v>11098369</v>
      </c>
      <c r="I21272">
        <v>32296839</v>
      </c>
      <c r="J21272">
        <v>5</v>
      </c>
    </row>
    <row r="21273" spans="1:10" x14ac:dyDescent="0.25">
      <c r="A21273" t="s">
        <v>231</v>
      </c>
      <c r="B21273" s="1" t="str">
        <f>HYPERLINK("http://laroche-posay.rs","laroche-posay.rs")</f>
        <v>laroche-posay.rs</v>
      </c>
      <c r="C21273" t="s">
        <v>492</v>
      </c>
      <c r="D21273" t="s">
        <v>866</v>
      </c>
      <c r="F21273">
        <v>4.2109510790302598E-8</v>
      </c>
      <c r="G21273">
        <v>1160497</v>
      </c>
      <c r="H21273">
        <v>14120747</v>
      </c>
      <c r="I21273">
        <v>2330296</v>
      </c>
      <c r="J21273">
        <v>4</v>
      </c>
    </row>
    <row r="21274" spans="1:10" x14ac:dyDescent="0.25">
      <c r="A21274" t="s">
        <v>231</v>
      </c>
      <c r="B21274" s="1" t="str">
        <f>HYPERLINK("http://loreal.rs","loreal.rs")</f>
        <v>loreal.rs</v>
      </c>
      <c r="C21274" t="s">
        <v>492</v>
      </c>
      <c r="D21274" t="s">
        <v>866</v>
      </c>
      <c r="F21274">
        <v>1.21008848947106E-8</v>
      </c>
      <c r="G21274">
        <v>5112758</v>
      </c>
      <c r="H21274">
        <v>12434989</v>
      </c>
      <c r="I21274">
        <v>18214705</v>
      </c>
      <c r="J21274">
        <v>3</v>
      </c>
    </row>
    <row r="21275" spans="1:10" x14ac:dyDescent="0.25">
      <c r="A21275" t="s">
        <v>231</v>
      </c>
      <c r="B21275" s="1" t="str">
        <f>HYPERLINK("http://vichy.rs","vichy.rs")</f>
        <v>vichy.rs</v>
      </c>
      <c r="C21275" t="s">
        <v>492</v>
      </c>
      <c r="D21275" t="s">
        <v>866</v>
      </c>
      <c r="F21275">
        <v>2.64227828922553E-8</v>
      </c>
      <c r="G21275">
        <v>1948623</v>
      </c>
      <c r="H21275">
        <v>14121307</v>
      </c>
      <c r="I21275">
        <v>2262062</v>
      </c>
      <c r="J21275">
        <v>3</v>
      </c>
    </row>
    <row r="21276" spans="1:10" x14ac:dyDescent="0.25">
      <c r="A21276" t="s">
        <v>231</v>
      </c>
      <c r="B21276" s="1" t="str">
        <f>HYPERLINK("http://kerastase.ru","kerastase.ru")</f>
        <v>kerastase.ru</v>
      </c>
      <c r="C21276" t="s">
        <v>493</v>
      </c>
      <c r="D21276" t="s">
        <v>867</v>
      </c>
      <c r="F21276">
        <v>2.56991810248169E-8</v>
      </c>
      <c r="G21276">
        <v>2006210</v>
      </c>
      <c r="H21276">
        <v>13146928</v>
      </c>
      <c r="I21276">
        <v>11840612</v>
      </c>
      <c r="J21276">
        <v>4</v>
      </c>
    </row>
    <row r="21277" spans="1:10" x14ac:dyDescent="0.25">
      <c r="A21277" t="s">
        <v>231</v>
      </c>
      <c r="B21277" s="1" t="str">
        <f>HYPERLINK("http://kiehls.ru","kiehls.ru")</f>
        <v>kiehls.ru</v>
      </c>
      <c r="C21277" t="s">
        <v>493</v>
      </c>
      <c r="D21277" t="s">
        <v>867</v>
      </c>
      <c r="F21277">
        <v>8.9381129927225596E-8</v>
      </c>
      <c r="G21277">
        <v>457071</v>
      </c>
      <c r="H21277">
        <v>13809433</v>
      </c>
      <c r="I21277">
        <v>6215780</v>
      </c>
      <c r="J21277">
        <v>5</v>
      </c>
    </row>
    <row r="21278" spans="1:10" x14ac:dyDescent="0.25">
      <c r="A21278" t="s">
        <v>231</v>
      </c>
      <c r="B21278" s="1" t="str">
        <f>HYPERLINK("http://laroche-posay.ru","laroche-posay.ru")</f>
        <v>laroche-posay.ru</v>
      </c>
      <c r="C21278" t="s">
        <v>493</v>
      </c>
      <c r="D21278" t="s">
        <v>867</v>
      </c>
      <c r="E21278">
        <v>372212</v>
      </c>
      <c r="F21278">
        <v>6.7977278178083201E-8</v>
      </c>
      <c r="G21278">
        <v>627943</v>
      </c>
      <c r="H21278">
        <v>13837276</v>
      </c>
      <c r="I21278">
        <v>6082742</v>
      </c>
      <c r="J21278">
        <v>4</v>
      </c>
    </row>
    <row r="21279" spans="1:10" x14ac:dyDescent="0.25">
      <c r="A21279" t="s">
        <v>231</v>
      </c>
      <c r="B21279" s="1" t="str">
        <f>HYPERLINK("http://loreal.ru","loreal.ru")</f>
        <v>loreal.ru</v>
      </c>
      <c r="C21279" t="s">
        <v>493</v>
      </c>
      <c r="D21279" t="s">
        <v>867</v>
      </c>
      <c r="F21279">
        <v>1.38681511400753E-8</v>
      </c>
      <c r="G21279">
        <v>4253535</v>
      </c>
      <c r="H21279">
        <v>13043546</v>
      </c>
      <c r="I21279">
        <v>12613571</v>
      </c>
      <c r="J21279">
        <v>3</v>
      </c>
    </row>
    <row r="21280" spans="1:10" x14ac:dyDescent="0.25">
      <c r="A21280" t="s">
        <v>231</v>
      </c>
      <c r="B21280" s="1" t="str">
        <f>HYPERLINK("http://loreal-paris.ru","loreal-paris.ru")</f>
        <v>loreal-paris.ru</v>
      </c>
      <c r="C21280" t="s">
        <v>493</v>
      </c>
      <c r="D21280" t="s">
        <v>867</v>
      </c>
      <c r="E21280">
        <v>712397</v>
      </c>
      <c r="F21280">
        <v>1.13221949072408E-7</v>
      </c>
      <c r="G21280">
        <v>352564</v>
      </c>
      <c r="H21280">
        <v>14420185</v>
      </c>
      <c r="I21280">
        <v>1090130</v>
      </c>
      <c r="J21280">
        <v>5</v>
      </c>
    </row>
    <row r="21281" spans="1:10" x14ac:dyDescent="0.25">
      <c r="A21281" t="s">
        <v>231</v>
      </c>
      <c r="B21281" s="1" t="str">
        <f>HYPERLINK("http://mugler.ru","mugler.ru")</f>
        <v>mugler.ru</v>
      </c>
      <c r="C21281" t="s">
        <v>493</v>
      </c>
      <c r="D21281" t="s">
        <v>867</v>
      </c>
      <c r="F21281">
        <v>4.5426988571032196E-9</v>
      </c>
      <c r="G21281">
        <v>52980240</v>
      </c>
      <c r="H21281">
        <v>10803088</v>
      </c>
      <c r="I21281">
        <v>38067986</v>
      </c>
      <c r="J21281">
        <v>5</v>
      </c>
    </row>
    <row r="21282" spans="1:10" x14ac:dyDescent="0.25">
      <c r="A21282" t="s">
        <v>231</v>
      </c>
      <c r="B21282" s="1" t="str">
        <f>HYPERLINK("http://nyxcosmetic.ru","nyxcosmetic.ru")</f>
        <v>nyxcosmetic.ru</v>
      </c>
      <c r="C21282" t="s">
        <v>493</v>
      </c>
      <c r="D21282" t="s">
        <v>867</v>
      </c>
      <c r="F21282">
        <v>3.2477254477209901E-8</v>
      </c>
      <c r="G21282">
        <v>1590854</v>
      </c>
      <c r="H21282">
        <v>13216196</v>
      </c>
      <c r="I21282">
        <v>11359767</v>
      </c>
      <c r="J21282">
        <v>5</v>
      </c>
    </row>
    <row r="21283" spans="1:10" x14ac:dyDescent="0.25">
      <c r="A21283" t="s">
        <v>231</v>
      </c>
      <c r="B21283" s="1" t="str">
        <f>HYPERLINK("http://vichyconsult.ru","vichyconsult.ru")</f>
        <v>vichyconsult.ru</v>
      </c>
      <c r="C21283" t="s">
        <v>493</v>
      </c>
      <c r="D21283" t="s">
        <v>867</v>
      </c>
      <c r="E21283">
        <v>956721</v>
      </c>
      <c r="F21283">
        <v>5.2494625849932001E-8</v>
      </c>
      <c r="G21283">
        <v>868741</v>
      </c>
      <c r="H21283">
        <v>14290783</v>
      </c>
      <c r="I21283">
        <v>1365847</v>
      </c>
      <c r="J21283">
        <v>4</v>
      </c>
    </row>
    <row r="21284" spans="1:10" x14ac:dyDescent="0.25">
      <c r="A21284" t="s">
        <v>231</v>
      </c>
      <c r="B21284" s="1" t="str">
        <f>HYPERLINK("http://itcosmetics.sa","itcosmetics.sa")</f>
        <v>itcosmetics.sa</v>
      </c>
      <c r="C21284" t="s">
        <v>494</v>
      </c>
      <c r="D21284" t="s">
        <v>868</v>
      </c>
      <c r="F21284">
        <v>4.9486926567659203E-9</v>
      </c>
      <c r="G21284">
        <v>30825794</v>
      </c>
      <c r="H21284">
        <v>7728304.5</v>
      </c>
      <c r="I21284">
        <v>75856301</v>
      </c>
      <c r="J21284">
        <v>4</v>
      </c>
    </row>
    <row r="21285" spans="1:10" x14ac:dyDescent="0.25">
      <c r="A21285" t="s">
        <v>231</v>
      </c>
      <c r="B21285" s="1" t="str">
        <f>HYPERLINK("http://kiehls.sa","kiehls.sa")</f>
        <v>kiehls.sa</v>
      </c>
      <c r="C21285" t="s">
        <v>494</v>
      </c>
      <c r="D21285" t="s">
        <v>868</v>
      </c>
      <c r="F21285">
        <v>1.4213637436896999E-8</v>
      </c>
      <c r="G21285">
        <v>4124076</v>
      </c>
      <c r="H21285">
        <v>12487026</v>
      </c>
      <c r="I21285">
        <v>17522767</v>
      </c>
      <c r="J21285">
        <v>5</v>
      </c>
    </row>
    <row r="21286" spans="1:10" x14ac:dyDescent="0.25">
      <c r="A21286" t="s">
        <v>231</v>
      </c>
      <c r="B21286" s="1" t="str">
        <f>HYPERLINK("http://cerave.se","cerave.se")</f>
        <v>cerave.se</v>
      </c>
      <c r="C21286" t="s">
        <v>495</v>
      </c>
      <c r="D21286" t="s">
        <v>869</v>
      </c>
      <c r="F21286">
        <v>1.52701756633349E-8</v>
      </c>
      <c r="G21286">
        <v>3754668</v>
      </c>
      <c r="H21286">
        <v>11074147</v>
      </c>
      <c r="I21286">
        <v>32535413</v>
      </c>
      <c r="J21286">
        <v>3</v>
      </c>
    </row>
    <row r="21287" spans="1:10" x14ac:dyDescent="0.25">
      <c r="A21287" t="s">
        <v>231</v>
      </c>
      <c r="B21287" s="1" t="str">
        <f>HYPERLINK("http://garnier.se","garnier.se")</f>
        <v>garnier.se</v>
      </c>
      <c r="C21287" t="s">
        <v>495</v>
      </c>
      <c r="D21287" t="s">
        <v>869</v>
      </c>
      <c r="F21287">
        <v>7.4293360906263698E-9</v>
      </c>
      <c r="G21287">
        <v>11173921</v>
      </c>
      <c r="H21287">
        <v>13765631</v>
      </c>
      <c r="I21287">
        <v>7082829</v>
      </c>
      <c r="J21287">
        <v>5</v>
      </c>
    </row>
    <row r="21288" spans="1:10" x14ac:dyDescent="0.25">
      <c r="A21288" t="s">
        <v>231</v>
      </c>
      <c r="B21288" s="1" t="str">
        <f>HYPERLINK("http://kerastase.se","kerastase.se")</f>
        <v>kerastase.se</v>
      </c>
      <c r="C21288" t="s">
        <v>495</v>
      </c>
      <c r="D21288" t="s">
        <v>869</v>
      </c>
      <c r="F21288">
        <v>1.18489443536551E-8</v>
      </c>
      <c r="G21288">
        <v>5271313</v>
      </c>
      <c r="H21288">
        <v>10690278</v>
      </c>
      <c r="I21288">
        <v>42491303</v>
      </c>
      <c r="J21288">
        <v>3</v>
      </c>
    </row>
    <row r="21289" spans="1:10" x14ac:dyDescent="0.25">
      <c r="A21289" t="s">
        <v>231</v>
      </c>
      <c r="B21289" s="1" t="str">
        <f>HYPERLINK("http://kiehls.se","kiehls.se")</f>
        <v>kiehls.se</v>
      </c>
      <c r="C21289" t="s">
        <v>495</v>
      </c>
      <c r="D21289" t="s">
        <v>869</v>
      </c>
      <c r="F21289">
        <v>2.09671024704744E-8</v>
      </c>
      <c r="G21289">
        <v>2520174</v>
      </c>
      <c r="H21289">
        <v>12564301</v>
      </c>
      <c r="I21289">
        <v>16675933</v>
      </c>
      <c r="J21289">
        <v>5</v>
      </c>
    </row>
    <row r="21290" spans="1:10" x14ac:dyDescent="0.25">
      <c r="A21290" t="s">
        <v>231</v>
      </c>
      <c r="B21290" s="1" t="str">
        <f>HYPERLINK("http://laroche-posay.se","laroche-posay.se")</f>
        <v>laroche-posay.se</v>
      </c>
      <c r="C21290" t="s">
        <v>495</v>
      </c>
      <c r="D21290" t="s">
        <v>869</v>
      </c>
      <c r="F21290">
        <v>8.6678192962300703E-9</v>
      </c>
      <c r="G21290">
        <v>8536237</v>
      </c>
      <c r="H21290">
        <v>13763715</v>
      </c>
      <c r="I21290">
        <v>7755015</v>
      </c>
      <c r="J21290">
        <v>4</v>
      </c>
    </row>
    <row r="21291" spans="1:10" x14ac:dyDescent="0.25">
      <c r="A21291" t="s">
        <v>231</v>
      </c>
      <c r="B21291" s="1" t="str">
        <f>HYPERLINK("http://loreal.se","loreal.se")</f>
        <v>loreal.se</v>
      </c>
      <c r="C21291" t="s">
        <v>495</v>
      </c>
      <c r="D21291" t="s">
        <v>869</v>
      </c>
      <c r="F21291">
        <v>1.31311973897668E-8</v>
      </c>
      <c r="G21291">
        <v>4569585</v>
      </c>
      <c r="H21291">
        <v>12535065</v>
      </c>
      <c r="I21291">
        <v>16985969</v>
      </c>
      <c r="J21291">
        <v>3</v>
      </c>
    </row>
    <row r="21292" spans="1:10" x14ac:dyDescent="0.25">
      <c r="A21292" t="s">
        <v>231</v>
      </c>
      <c r="B21292" s="1" t="str">
        <f>HYPERLINK("http://lorealparis.se","lorealparis.se")</f>
        <v>lorealparis.se</v>
      </c>
      <c r="C21292" t="s">
        <v>495</v>
      </c>
      <c r="D21292" t="s">
        <v>869</v>
      </c>
      <c r="F21292">
        <v>2.6368014724333101E-8</v>
      </c>
      <c r="G21292">
        <v>1952775</v>
      </c>
      <c r="H21292">
        <v>14131140</v>
      </c>
      <c r="I21292">
        <v>2019010</v>
      </c>
      <c r="J21292">
        <v>4</v>
      </c>
    </row>
    <row r="21293" spans="1:10" x14ac:dyDescent="0.25">
      <c r="A21293" t="s">
        <v>231</v>
      </c>
      <c r="B21293" s="1" t="str">
        <f>HYPERLINK("http://maybelline.se","maybelline.se")</f>
        <v>maybelline.se</v>
      </c>
      <c r="C21293" t="s">
        <v>495</v>
      </c>
      <c r="D21293" t="s">
        <v>869</v>
      </c>
      <c r="F21293">
        <v>3.1220627727514199E-8</v>
      </c>
      <c r="G21293">
        <v>1651402</v>
      </c>
      <c r="H21293">
        <v>13767836</v>
      </c>
      <c r="I21293">
        <v>6911184</v>
      </c>
      <c r="J21293">
        <v>5</v>
      </c>
    </row>
    <row r="21294" spans="1:10" x14ac:dyDescent="0.25">
      <c r="A21294" t="s">
        <v>231</v>
      </c>
      <c r="B21294" s="1" t="str">
        <f>HYPERLINK("http://skinceuticals.se","skinceuticals.se")</f>
        <v>skinceuticals.se</v>
      </c>
      <c r="C21294" t="s">
        <v>495</v>
      </c>
      <c r="D21294" t="s">
        <v>869</v>
      </c>
      <c r="F21294">
        <v>2.7761865479865599E-8</v>
      </c>
      <c r="G21294">
        <v>1852338</v>
      </c>
      <c r="H21294">
        <v>11142912</v>
      </c>
      <c r="I21294">
        <v>31808902</v>
      </c>
      <c r="J21294">
        <v>3</v>
      </c>
    </row>
    <row r="21295" spans="1:10" x14ac:dyDescent="0.25">
      <c r="A21295" t="s">
        <v>231</v>
      </c>
      <c r="B21295" s="1" t="str">
        <f>HYPERLINK("http://vichy.se","vichy.se")</f>
        <v>vichy.se</v>
      </c>
      <c r="C21295" t="s">
        <v>495</v>
      </c>
      <c r="D21295" t="s">
        <v>869</v>
      </c>
      <c r="F21295">
        <v>2.4664739458835401E-8</v>
      </c>
      <c r="G21295">
        <v>2097759</v>
      </c>
      <c r="H21295">
        <v>13779755</v>
      </c>
      <c r="I21295">
        <v>6482748</v>
      </c>
      <c r="J21295">
        <v>3</v>
      </c>
    </row>
    <row r="21296" spans="1:10" x14ac:dyDescent="0.25">
      <c r="A21296" t="s">
        <v>231</v>
      </c>
      <c r="B21296" s="1" t="str">
        <f>HYPERLINK("http://kiehls.com.sg","kiehls.com.sg")</f>
        <v>kiehls.com.sg</v>
      </c>
      <c r="C21296" t="s">
        <v>496</v>
      </c>
      <c r="D21296" t="s">
        <v>870</v>
      </c>
      <c r="F21296">
        <v>3.6884291943080003E-8</v>
      </c>
      <c r="G21296">
        <v>1417853</v>
      </c>
      <c r="H21296">
        <v>13571815</v>
      </c>
      <c r="I21296">
        <v>9717260</v>
      </c>
      <c r="J21296">
        <v>5</v>
      </c>
    </row>
    <row r="21297" spans="1:10" x14ac:dyDescent="0.25">
      <c r="A21297" t="s">
        <v>231</v>
      </c>
      <c r="B21297" s="1" t="str">
        <f>HYPERLINK("http://lancome.com.sg","lancome.com.sg")</f>
        <v>lancome.com.sg</v>
      </c>
      <c r="C21297" t="s">
        <v>496</v>
      </c>
      <c r="D21297" t="s">
        <v>870</v>
      </c>
      <c r="F21297">
        <v>2.5315881967223599E-8</v>
      </c>
      <c r="G21297">
        <v>2038254</v>
      </c>
      <c r="H21297">
        <v>14313430</v>
      </c>
      <c r="I21297">
        <v>1338120</v>
      </c>
      <c r="J21297">
        <v>4</v>
      </c>
    </row>
    <row r="21298" spans="1:10" x14ac:dyDescent="0.25">
      <c r="A21298" t="s">
        <v>231</v>
      </c>
      <c r="B21298" s="1" t="str">
        <f>HYPERLINK("http://loreal-paris.com.sg","loreal-paris.com.sg")</f>
        <v>loreal-paris.com.sg</v>
      </c>
      <c r="C21298" t="s">
        <v>496</v>
      </c>
      <c r="D21298" t="s">
        <v>870</v>
      </c>
      <c r="F21298">
        <v>1.29614047958889E-8</v>
      </c>
      <c r="G21298">
        <v>4650395</v>
      </c>
      <c r="H21298">
        <v>14503529</v>
      </c>
      <c r="I21298">
        <v>842447</v>
      </c>
      <c r="J21298">
        <v>5</v>
      </c>
    </row>
    <row r="21299" spans="1:10" x14ac:dyDescent="0.25">
      <c r="A21299" t="s">
        <v>231</v>
      </c>
      <c r="B21299" s="1" t="str">
        <f>HYPERLINK("http://maybelline.com.sg","maybelline.com.sg")</f>
        <v>maybelline.com.sg</v>
      </c>
      <c r="C21299" t="s">
        <v>496</v>
      </c>
      <c r="D21299" t="s">
        <v>870</v>
      </c>
      <c r="F21299">
        <v>3.1580987468565698E-8</v>
      </c>
      <c r="G21299">
        <v>1634116</v>
      </c>
      <c r="H21299">
        <v>13768846</v>
      </c>
      <c r="I21299">
        <v>6854734</v>
      </c>
      <c r="J21299">
        <v>5</v>
      </c>
    </row>
    <row r="21300" spans="1:10" x14ac:dyDescent="0.25">
      <c r="A21300" t="s">
        <v>231</v>
      </c>
      <c r="B21300" s="1" t="str">
        <f>HYPERLINK("http://urbandecay.com.sg","urbandecay.com.sg")</f>
        <v>urbandecay.com.sg</v>
      </c>
      <c r="C21300" t="s">
        <v>496</v>
      </c>
      <c r="D21300" t="s">
        <v>870</v>
      </c>
      <c r="F21300">
        <v>5.7883648800952898E-9</v>
      </c>
      <c r="G21300">
        <v>18177480</v>
      </c>
      <c r="H21300">
        <v>12298355</v>
      </c>
      <c r="I21300">
        <v>20877545</v>
      </c>
      <c r="J21300">
        <v>5</v>
      </c>
    </row>
    <row r="21301" spans="1:10" x14ac:dyDescent="0.25">
      <c r="A21301" t="s">
        <v>231</v>
      </c>
      <c r="B21301" s="1" t="str">
        <f>HYPERLINK("http://yslbeauty.com.sg","yslbeauty.com.sg")</f>
        <v>yslbeauty.com.sg</v>
      </c>
      <c r="C21301" t="s">
        <v>496</v>
      </c>
      <c r="D21301" t="s">
        <v>870</v>
      </c>
      <c r="F21301">
        <v>1.8950117087433998E-8</v>
      </c>
      <c r="G21301">
        <v>2844465</v>
      </c>
      <c r="H21301">
        <v>13576433</v>
      </c>
      <c r="I21301">
        <v>9700021</v>
      </c>
      <c r="J21301">
        <v>4</v>
      </c>
    </row>
    <row r="21302" spans="1:10" x14ac:dyDescent="0.25">
      <c r="A21302" t="s">
        <v>231</v>
      </c>
      <c r="B21302" s="1" t="str">
        <f>HYPERLINK("http://laroche-posay.sg","laroche-posay.sg")</f>
        <v>laroche-posay.sg</v>
      </c>
      <c r="C21302" t="s">
        <v>496</v>
      </c>
      <c r="D21302" t="s">
        <v>870</v>
      </c>
      <c r="F21302">
        <v>4.1293054267485297E-8</v>
      </c>
      <c r="G21302">
        <v>1219812</v>
      </c>
      <c r="H21302">
        <v>13768210</v>
      </c>
      <c r="I21302">
        <v>6890228</v>
      </c>
      <c r="J21302">
        <v>4</v>
      </c>
    </row>
    <row r="21303" spans="1:10" x14ac:dyDescent="0.25">
      <c r="A21303" t="s">
        <v>231</v>
      </c>
      <c r="B21303" s="1" t="str">
        <f>HYPERLINK("http://loreal.sg","loreal.sg")</f>
        <v>loreal.sg</v>
      </c>
      <c r="C21303" t="s">
        <v>496</v>
      </c>
      <c r="D21303" t="s">
        <v>870</v>
      </c>
      <c r="F21303">
        <v>1.58515015526769E-8</v>
      </c>
      <c r="G21303">
        <v>3585458</v>
      </c>
      <c r="H21303">
        <v>14072106</v>
      </c>
      <c r="I21303">
        <v>3162182</v>
      </c>
      <c r="J21303">
        <v>3</v>
      </c>
    </row>
    <row r="21304" spans="1:10" x14ac:dyDescent="0.25">
      <c r="A21304" t="s">
        <v>231</v>
      </c>
      <c r="B21304" s="1" t="str">
        <f>HYPERLINK("http://skinceuticals.sg","skinceuticals.sg")</f>
        <v>skinceuticals.sg</v>
      </c>
      <c r="C21304" t="s">
        <v>496</v>
      </c>
      <c r="D21304" t="s">
        <v>870</v>
      </c>
      <c r="F21304">
        <v>1.34404299346153E-7</v>
      </c>
      <c r="G21304">
        <v>290477</v>
      </c>
      <c r="H21304">
        <v>13057696</v>
      </c>
      <c r="I21304">
        <v>12550717</v>
      </c>
      <c r="J21304">
        <v>4</v>
      </c>
    </row>
    <row r="21305" spans="1:10" x14ac:dyDescent="0.25">
      <c r="A21305" t="s">
        <v>231</v>
      </c>
      <c r="B21305" s="1" t="str">
        <f>HYPERLINK("http://vichy.sg","vichy.sg")</f>
        <v>vichy.sg</v>
      </c>
      <c r="C21305" t="s">
        <v>496</v>
      </c>
      <c r="D21305" t="s">
        <v>870</v>
      </c>
      <c r="F21305">
        <v>1.86183100761312E-8</v>
      </c>
      <c r="G21305">
        <v>2903983</v>
      </c>
      <c r="H21305">
        <v>13776401</v>
      </c>
      <c r="I21305">
        <v>6555938</v>
      </c>
      <c r="J21305">
        <v>3</v>
      </c>
    </row>
    <row r="21306" spans="1:10" x14ac:dyDescent="0.25">
      <c r="A21306" t="s">
        <v>231</v>
      </c>
      <c r="B21306" s="1" t="str">
        <f>HYPERLINK("http://kiehls.si","kiehls.si")</f>
        <v>kiehls.si</v>
      </c>
      <c r="C21306" t="s">
        <v>497</v>
      </c>
      <c r="D21306" t="s">
        <v>871</v>
      </c>
      <c r="F21306">
        <v>9.31748204236695E-9</v>
      </c>
      <c r="G21306">
        <v>7550072</v>
      </c>
      <c r="H21306">
        <v>10959933</v>
      </c>
      <c r="I21306">
        <v>34355513</v>
      </c>
      <c r="J21306">
        <v>5</v>
      </c>
    </row>
    <row r="21307" spans="1:10" x14ac:dyDescent="0.25">
      <c r="A21307" t="s">
        <v>231</v>
      </c>
      <c r="B21307" s="1" t="str">
        <f>HYPERLINK("http://laroche-posay.si","laroche-posay.si")</f>
        <v>laroche-posay.si</v>
      </c>
      <c r="C21307" t="s">
        <v>497</v>
      </c>
      <c r="D21307" t="s">
        <v>871</v>
      </c>
      <c r="F21307">
        <v>3.6742376883616803E-8</v>
      </c>
      <c r="G21307">
        <v>1422477</v>
      </c>
      <c r="H21307">
        <v>13764534</v>
      </c>
      <c r="I21307">
        <v>7243074</v>
      </c>
      <c r="J21307">
        <v>4</v>
      </c>
    </row>
    <row r="21308" spans="1:10" x14ac:dyDescent="0.25">
      <c r="A21308" t="s">
        <v>231</v>
      </c>
      <c r="B21308" s="1" t="str">
        <f>HYPERLINK("http://loreal.si","loreal.si")</f>
        <v>loreal.si</v>
      </c>
      <c r="C21308" t="s">
        <v>497</v>
      </c>
      <c r="D21308" t="s">
        <v>871</v>
      </c>
      <c r="F21308">
        <v>1.21008848947106E-8</v>
      </c>
      <c r="G21308">
        <v>5112759</v>
      </c>
      <c r="H21308">
        <v>12434989</v>
      </c>
      <c r="I21308">
        <v>18214706</v>
      </c>
      <c r="J21308">
        <v>3</v>
      </c>
    </row>
    <row r="21309" spans="1:10" x14ac:dyDescent="0.25">
      <c r="A21309" t="s">
        <v>231</v>
      </c>
      <c r="B21309" s="1" t="str">
        <f>HYPERLINK("http://vichy.si","vichy.si")</f>
        <v>vichy.si</v>
      </c>
      <c r="C21309" t="s">
        <v>497</v>
      </c>
      <c r="D21309" t="s">
        <v>871</v>
      </c>
      <c r="F21309">
        <v>2.3883003924590199E-8</v>
      </c>
      <c r="G21309">
        <v>2174539</v>
      </c>
      <c r="H21309">
        <v>13765012</v>
      </c>
      <c r="I21309">
        <v>7158239</v>
      </c>
      <c r="J21309">
        <v>3</v>
      </c>
    </row>
    <row r="21310" spans="1:10" x14ac:dyDescent="0.25">
      <c r="A21310" t="s">
        <v>231</v>
      </c>
      <c r="B21310" s="1" t="str">
        <f>HYPERLINK("http://cerave.sk","cerave.sk")</f>
        <v>cerave.sk</v>
      </c>
      <c r="C21310" t="s">
        <v>498</v>
      </c>
      <c r="D21310" t="s">
        <v>872</v>
      </c>
      <c r="F21310">
        <v>1.5210618213785101E-8</v>
      </c>
      <c r="G21310">
        <v>3772740</v>
      </c>
      <c r="H21310">
        <v>13765696</v>
      </c>
      <c r="I21310">
        <v>7074280</v>
      </c>
      <c r="J21310">
        <v>3</v>
      </c>
    </row>
    <row r="21311" spans="1:10" x14ac:dyDescent="0.25">
      <c r="A21311" t="s">
        <v>231</v>
      </c>
      <c r="B21311" s="1" t="str">
        <f>HYPERLINK("http://kerastase.sk","kerastase.sk")</f>
        <v>kerastase.sk</v>
      </c>
      <c r="C21311" t="s">
        <v>498</v>
      </c>
      <c r="D21311" t="s">
        <v>872</v>
      </c>
      <c r="F21311">
        <v>6.4808294761997701E-9</v>
      </c>
      <c r="G21311">
        <v>14159224</v>
      </c>
      <c r="H21311">
        <v>10933614</v>
      </c>
      <c r="I21311">
        <v>34994421</v>
      </c>
      <c r="J21311">
        <v>4</v>
      </c>
    </row>
    <row r="21312" spans="1:10" x14ac:dyDescent="0.25">
      <c r="A21312" t="s">
        <v>231</v>
      </c>
      <c r="B21312" s="1" t="str">
        <f>HYPERLINK("http://kiehls.sk","kiehls.sk")</f>
        <v>kiehls.sk</v>
      </c>
      <c r="C21312" t="s">
        <v>498</v>
      </c>
      <c r="D21312" t="s">
        <v>872</v>
      </c>
      <c r="F21312">
        <v>9.7438503020255003E-9</v>
      </c>
      <c r="G21312">
        <v>7030895</v>
      </c>
      <c r="H21312">
        <v>13763641</v>
      </c>
      <c r="I21312">
        <v>7936408</v>
      </c>
      <c r="J21312">
        <v>5</v>
      </c>
    </row>
    <row r="21313" spans="1:10" x14ac:dyDescent="0.25">
      <c r="A21313" t="s">
        <v>231</v>
      </c>
      <c r="B21313" s="1" t="str">
        <f>HYPERLINK("http://laroche-posay.sk","laroche-posay.sk")</f>
        <v>laroche-posay.sk</v>
      </c>
      <c r="C21313" t="s">
        <v>498</v>
      </c>
      <c r="D21313" t="s">
        <v>872</v>
      </c>
      <c r="F21313">
        <v>3.8524302254700701E-8</v>
      </c>
      <c r="G21313">
        <v>1338748</v>
      </c>
      <c r="H21313">
        <v>12299408</v>
      </c>
      <c r="I21313">
        <v>20850964</v>
      </c>
      <c r="J21313">
        <v>4</v>
      </c>
    </row>
    <row r="21314" spans="1:10" x14ac:dyDescent="0.25">
      <c r="A21314" t="s">
        <v>231</v>
      </c>
      <c r="B21314" s="1" t="str">
        <f>HYPERLINK("http://lorealparis.sk","lorealparis.sk")</f>
        <v>lorealparis.sk</v>
      </c>
      <c r="C21314" t="s">
        <v>498</v>
      </c>
      <c r="D21314" t="s">
        <v>872</v>
      </c>
      <c r="F21314">
        <v>6.0405855988290799E-9</v>
      </c>
      <c r="G21314">
        <v>16437490</v>
      </c>
      <c r="H21314">
        <v>13763790</v>
      </c>
      <c r="I21314">
        <v>7623237</v>
      </c>
      <c r="J21314">
        <v>3</v>
      </c>
    </row>
    <row r="21315" spans="1:10" x14ac:dyDescent="0.25">
      <c r="A21315" t="s">
        <v>231</v>
      </c>
      <c r="B21315" s="1" t="str">
        <f>HYPERLINK("http://vichy.sk","vichy.sk")</f>
        <v>vichy.sk</v>
      </c>
      <c r="C21315" t="s">
        <v>498</v>
      </c>
      <c r="D21315" t="s">
        <v>872</v>
      </c>
      <c r="F21315">
        <v>2.1695563611477599E-8</v>
      </c>
      <c r="G21315">
        <v>2424394</v>
      </c>
      <c r="H21315">
        <v>13764744</v>
      </c>
      <c r="I21315">
        <v>7199649</v>
      </c>
      <c r="J21315">
        <v>3</v>
      </c>
    </row>
    <row r="21316" spans="1:10" x14ac:dyDescent="0.25">
      <c r="A21316" t="s">
        <v>231</v>
      </c>
      <c r="B21316" s="1" t="str">
        <f>HYPERLINK("http://cerave.co.th","cerave.co.th")</f>
        <v>cerave.co.th</v>
      </c>
      <c r="C21316" t="s">
        <v>500</v>
      </c>
      <c r="D21316" t="s">
        <v>874</v>
      </c>
      <c r="E21316">
        <v>317513</v>
      </c>
      <c r="F21316">
        <v>1.09836120285717E-7</v>
      </c>
      <c r="G21316">
        <v>364181</v>
      </c>
      <c r="H21316">
        <v>14202090</v>
      </c>
      <c r="I21316">
        <v>1719081</v>
      </c>
      <c r="J21316">
        <v>3</v>
      </c>
    </row>
    <row r="21317" spans="1:10" x14ac:dyDescent="0.25">
      <c r="A21317" t="s">
        <v>231</v>
      </c>
      <c r="B21317" s="1" t="str">
        <f>HYPERLINK("http://kerastase.co.th","kerastase.co.th")</f>
        <v>kerastase.co.th</v>
      </c>
      <c r="C21317" t="s">
        <v>500</v>
      </c>
      <c r="D21317" t="s">
        <v>874</v>
      </c>
      <c r="F21317">
        <v>7.4228738681482202E-9</v>
      </c>
      <c r="G21317">
        <v>11188747</v>
      </c>
      <c r="H21317">
        <v>10616749</v>
      </c>
      <c r="I21317">
        <v>44380893</v>
      </c>
      <c r="J21317">
        <v>4</v>
      </c>
    </row>
    <row r="21318" spans="1:10" x14ac:dyDescent="0.25">
      <c r="A21318" t="s">
        <v>231</v>
      </c>
      <c r="B21318" s="1" t="str">
        <f>HYPERLINK("http://kiehls.co.th","kiehls.co.th")</f>
        <v>kiehls.co.th</v>
      </c>
      <c r="C21318" t="s">
        <v>500</v>
      </c>
      <c r="D21318" t="s">
        <v>874</v>
      </c>
      <c r="E21318">
        <v>476568</v>
      </c>
      <c r="F21318">
        <v>1.6750176373563901E-7</v>
      </c>
      <c r="G21318">
        <v>231649</v>
      </c>
      <c r="H21318">
        <v>16842156</v>
      </c>
      <c r="I21318">
        <v>160500</v>
      </c>
      <c r="J21318">
        <v>5</v>
      </c>
    </row>
    <row r="21319" spans="1:10" x14ac:dyDescent="0.25">
      <c r="A21319" t="s">
        <v>231</v>
      </c>
      <c r="B21319" s="1" t="str">
        <f>HYPERLINK("http://maybelline.co.th","maybelline.co.th")</f>
        <v>maybelline.co.th</v>
      </c>
      <c r="C21319" t="s">
        <v>500</v>
      </c>
      <c r="D21319" t="s">
        <v>874</v>
      </c>
      <c r="E21319">
        <v>351083</v>
      </c>
      <c r="F21319">
        <v>1.7876069867327699E-7</v>
      </c>
      <c r="G21319">
        <v>216197</v>
      </c>
      <c r="H21319">
        <v>16842406</v>
      </c>
      <c r="I21319">
        <v>160373</v>
      </c>
      <c r="J21319">
        <v>5</v>
      </c>
    </row>
    <row r="21320" spans="1:10" x14ac:dyDescent="0.25">
      <c r="A21320" t="s">
        <v>231</v>
      </c>
      <c r="B21320" s="1" t="str">
        <f>HYPERLINK("http://urbandecay.co.th","urbandecay.co.th")</f>
        <v>urbandecay.co.th</v>
      </c>
      <c r="C21320" t="s">
        <v>500</v>
      </c>
      <c r="D21320" t="s">
        <v>874</v>
      </c>
      <c r="F21320">
        <v>1.2372290381749901E-8</v>
      </c>
      <c r="G21320">
        <v>4954488</v>
      </c>
      <c r="H21320">
        <v>12551686</v>
      </c>
      <c r="I21320">
        <v>16812976</v>
      </c>
      <c r="J21320">
        <v>5</v>
      </c>
    </row>
    <row r="21321" spans="1:10" x14ac:dyDescent="0.25">
      <c r="A21321" t="s">
        <v>231</v>
      </c>
      <c r="B21321" s="1" t="str">
        <f>HYPERLINK("http://cerave.com.tr","cerave.com.tr")</f>
        <v>cerave.com.tr</v>
      </c>
      <c r="C21321" t="s">
        <v>502</v>
      </c>
      <c r="D21321" t="s">
        <v>876</v>
      </c>
      <c r="F21321">
        <v>1.4766241896929601E-8</v>
      </c>
      <c r="G21321">
        <v>3918564</v>
      </c>
      <c r="H21321">
        <v>11116718</v>
      </c>
      <c r="I21321">
        <v>32083124</v>
      </c>
      <c r="J21321">
        <v>3</v>
      </c>
    </row>
    <row r="21322" spans="1:10" x14ac:dyDescent="0.25">
      <c r="A21322" t="s">
        <v>231</v>
      </c>
      <c r="B21322" s="1" t="str">
        <f>HYPERLINK("http://kerastase.com.tr","kerastase.com.tr")</f>
        <v>kerastase.com.tr</v>
      </c>
      <c r="C21322" t="s">
        <v>502</v>
      </c>
      <c r="D21322" t="s">
        <v>876</v>
      </c>
      <c r="F21322">
        <v>9.7081809130659495E-9</v>
      </c>
      <c r="G21322">
        <v>7071190</v>
      </c>
      <c r="H21322">
        <v>12196049</v>
      </c>
      <c r="I21322">
        <v>23423663</v>
      </c>
      <c r="J21322">
        <v>4</v>
      </c>
    </row>
    <row r="21323" spans="1:10" x14ac:dyDescent="0.25">
      <c r="A21323" t="s">
        <v>231</v>
      </c>
      <c r="B21323" s="1" t="str">
        <f>HYPERLINK("http://kiehls.com.tr","kiehls.com.tr")</f>
        <v>kiehls.com.tr</v>
      </c>
      <c r="C21323" t="s">
        <v>502</v>
      </c>
      <c r="D21323" t="s">
        <v>876</v>
      </c>
      <c r="F21323">
        <v>3.6386753132424202E-8</v>
      </c>
      <c r="G21323">
        <v>1434286</v>
      </c>
      <c r="H21323">
        <v>14261035</v>
      </c>
      <c r="I21323">
        <v>1418069</v>
      </c>
      <c r="J21323">
        <v>5</v>
      </c>
    </row>
    <row r="21324" spans="1:10" x14ac:dyDescent="0.25">
      <c r="A21324" t="s">
        <v>231</v>
      </c>
      <c r="B21324" s="1" t="str">
        <f>HYPERLINK("http://laroche-posay.com.tr","laroche-posay.com.tr")</f>
        <v>laroche-posay.com.tr</v>
      </c>
      <c r="C21324" t="s">
        <v>502</v>
      </c>
      <c r="D21324" t="s">
        <v>876</v>
      </c>
      <c r="F21324">
        <v>3.6084406674464997E-8</v>
      </c>
      <c r="G21324">
        <v>1444557</v>
      </c>
      <c r="H21324">
        <v>13764575</v>
      </c>
      <c r="I21324">
        <v>7233866</v>
      </c>
      <c r="J21324">
        <v>4</v>
      </c>
    </row>
    <row r="21325" spans="1:10" x14ac:dyDescent="0.25">
      <c r="A21325" t="s">
        <v>231</v>
      </c>
      <c r="B21325" s="1" t="str">
        <f>HYPERLINK("http://loreal.com.tr","loreal.com.tr")</f>
        <v>loreal.com.tr</v>
      </c>
      <c r="C21325" t="s">
        <v>502</v>
      </c>
      <c r="D21325" t="s">
        <v>876</v>
      </c>
      <c r="F21325">
        <v>7.7316020576484998E-9</v>
      </c>
      <c r="G21325">
        <v>10504203</v>
      </c>
      <c r="H21325">
        <v>12465258</v>
      </c>
      <c r="I21325">
        <v>17815165</v>
      </c>
      <c r="J21325">
        <v>4</v>
      </c>
    </row>
    <row r="21326" spans="1:10" x14ac:dyDescent="0.25">
      <c r="A21326" t="s">
        <v>231</v>
      </c>
      <c r="B21326" s="1" t="str">
        <f>HYPERLINK("http://lorealprofessionnel.com.tr","lorealprofessionnel.com.tr")</f>
        <v>lorealprofessionnel.com.tr</v>
      </c>
      <c r="C21326" t="s">
        <v>502</v>
      </c>
      <c r="D21326" t="s">
        <v>876</v>
      </c>
      <c r="F21326">
        <v>1.5176548365970001E-8</v>
      </c>
      <c r="G21326">
        <v>3783088</v>
      </c>
      <c r="H21326">
        <v>12171400</v>
      </c>
      <c r="I21326">
        <v>24036047</v>
      </c>
      <c r="J21326">
        <v>5</v>
      </c>
    </row>
    <row r="21327" spans="1:10" x14ac:dyDescent="0.25">
      <c r="A21327" t="s">
        <v>231</v>
      </c>
      <c r="B21327" s="1" t="str">
        <f>HYPERLINK("http://maybelline.com.tr","maybelline.com.tr")</f>
        <v>maybelline.com.tr</v>
      </c>
      <c r="C21327" t="s">
        <v>502</v>
      </c>
      <c r="D21327" t="s">
        <v>876</v>
      </c>
      <c r="F21327">
        <v>3.2129932754947901E-8</v>
      </c>
      <c r="G21327">
        <v>1609470</v>
      </c>
      <c r="H21327">
        <v>12791325</v>
      </c>
      <c r="I21327">
        <v>14682197</v>
      </c>
      <c r="J21327">
        <v>5</v>
      </c>
    </row>
    <row r="21328" spans="1:10" x14ac:dyDescent="0.25">
      <c r="A21328" t="s">
        <v>231</v>
      </c>
      <c r="B21328" s="1" t="str">
        <f>HYPERLINK("http://skinceuticals.com.tr","skinceuticals.com.tr")</f>
        <v>skinceuticals.com.tr</v>
      </c>
      <c r="C21328" t="s">
        <v>502</v>
      </c>
      <c r="D21328" t="s">
        <v>876</v>
      </c>
      <c r="F21328">
        <v>2.0650272613104699E-8</v>
      </c>
      <c r="G21328">
        <v>2563694</v>
      </c>
      <c r="H21328">
        <v>13765095</v>
      </c>
      <c r="I21328">
        <v>7143617</v>
      </c>
      <c r="J21328">
        <v>4</v>
      </c>
    </row>
    <row r="21329" spans="1:10" x14ac:dyDescent="0.25">
      <c r="A21329" t="s">
        <v>231</v>
      </c>
      <c r="B21329" s="1" t="str">
        <f>HYPERLINK("http://vichy.com.tr","vichy.com.tr")</f>
        <v>vichy.com.tr</v>
      </c>
      <c r="C21329" t="s">
        <v>502</v>
      </c>
      <c r="D21329" t="s">
        <v>876</v>
      </c>
      <c r="F21329">
        <v>2.5453593529414501E-8</v>
      </c>
      <c r="G21329">
        <v>2026555</v>
      </c>
      <c r="H21329">
        <v>14072806</v>
      </c>
      <c r="I21329">
        <v>3043308</v>
      </c>
      <c r="J21329">
        <v>3</v>
      </c>
    </row>
    <row r="21330" spans="1:10" x14ac:dyDescent="0.25">
      <c r="A21330" t="s">
        <v>231</v>
      </c>
      <c r="B21330" s="1" t="str">
        <f>HYPERLINK("http://kerastase.com.tw","kerastase.com.tw")</f>
        <v>kerastase.com.tw</v>
      </c>
      <c r="C21330" t="s">
        <v>504</v>
      </c>
      <c r="D21330" t="s">
        <v>878</v>
      </c>
      <c r="F21330">
        <v>8.0318341178084E-9</v>
      </c>
      <c r="G21330">
        <v>9863098</v>
      </c>
      <c r="H21330">
        <v>12509798</v>
      </c>
      <c r="I21330">
        <v>17248308</v>
      </c>
      <c r="J21330">
        <v>4</v>
      </c>
    </row>
    <row r="21331" spans="1:10" x14ac:dyDescent="0.25">
      <c r="A21331" t="s">
        <v>231</v>
      </c>
      <c r="B21331" s="1" t="str">
        <f>HYPERLINK("http://loreal.com.tw","loreal.com.tw")</f>
        <v>loreal.com.tw</v>
      </c>
      <c r="C21331" t="s">
        <v>504</v>
      </c>
      <c r="D21331" t="s">
        <v>878</v>
      </c>
      <c r="F21331">
        <v>1.46448618975568E-8</v>
      </c>
      <c r="G21331">
        <v>3960264</v>
      </c>
      <c r="H21331">
        <v>13463706</v>
      </c>
      <c r="I21331">
        <v>10145368</v>
      </c>
      <c r="J21331">
        <v>3</v>
      </c>
    </row>
    <row r="21332" spans="1:10" x14ac:dyDescent="0.25">
      <c r="A21332" t="s">
        <v>231</v>
      </c>
      <c r="B21332" s="1" t="str">
        <f>HYPERLINK("http://maybelline.com.tw","maybelline.com.tw")</f>
        <v>maybelline.com.tw</v>
      </c>
      <c r="C21332" t="s">
        <v>504</v>
      </c>
      <c r="D21332" t="s">
        <v>878</v>
      </c>
      <c r="F21332">
        <v>3.1540185713447903E-8</v>
      </c>
      <c r="G21332">
        <v>1635960</v>
      </c>
      <c r="H21332">
        <v>13952876</v>
      </c>
      <c r="I21332">
        <v>4153922</v>
      </c>
      <c r="J21332">
        <v>5</v>
      </c>
    </row>
    <row r="21333" spans="1:10" x14ac:dyDescent="0.25">
      <c r="A21333" t="s">
        <v>231</v>
      </c>
      <c r="B21333" s="1" t="str">
        <f>HYPERLINK("http://cerave.ua","cerave.ua")</f>
        <v>cerave.ua</v>
      </c>
      <c r="C21333" t="s">
        <v>505</v>
      </c>
      <c r="D21333" t="s">
        <v>879</v>
      </c>
      <c r="F21333">
        <v>1.54984070702141E-8</v>
      </c>
      <c r="G21333">
        <v>3685146</v>
      </c>
      <c r="H21333">
        <v>12298534</v>
      </c>
      <c r="I21333">
        <v>20873827</v>
      </c>
      <c r="J21333">
        <v>3</v>
      </c>
    </row>
    <row r="21334" spans="1:10" x14ac:dyDescent="0.25">
      <c r="A21334" t="s">
        <v>231</v>
      </c>
      <c r="B21334" s="1" t="str">
        <f>HYPERLINK("http://laroche-posay.ua","laroche-posay.ua")</f>
        <v>laroche-posay.ua</v>
      </c>
      <c r="C21334" t="s">
        <v>505</v>
      </c>
      <c r="D21334" t="s">
        <v>879</v>
      </c>
      <c r="F21334">
        <v>4.0749955923146302E-8</v>
      </c>
      <c r="G21334">
        <v>1271949</v>
      </c>
      <c r="H21334">
        <v>13050342</v>
      </c>
      <c r="I21334">
        <v>12582692</v>
      </c>
      <c r="J21334">
        <v>4</v>
      </c>
    </row>
    <row r="21335" spans="1:10" x14ac:dyDescent="0.25">
      <c r="A21335" t="s">
        <v>231</v>
      </c>
      <c r="B21335" s="1" t="str">
        <f>HYPERLINK("http://maybelline.ua","maybelline.ua")</f>
        <v>maybelline.ua</v>
      </c>
      <c r="C21335" t="s">
        <v>505</v>
      </c>
      <c r="D21335" t="s">
        <v>879</v>
      </c>
      <c r="F21335">
        <v>3.22203416662012E-8</v>
      </c>
      <c r="G21335">
        <v>1604878</v>
      </c>
      <c r="H21335">
        <v>13121549</v>
      </c>
      <c r="I21335">
        <v>11987293</v>
      </c>
      <c r="J21335">
        <v>5</v>
      </c>
    </row>
    <row r="21336" spans="1:10" x14ac:dyDescent="0.25">
      <c r="A21336" t="s">
        <v>231</v>
      </c>
      <c r="B21336" s="1" t="str">
        <f>HYPERLINK("http://vichy.ua","vichy.ua")</f>
        <v>vichy.ua</v>
      </c>
      <c r="C21336" t="s">
        <v>505</v>
      </c>
      <c r="D21336" t="s">
        <v>879</v>
      </c>
      <c r="F21336">
        <v>3.8698855759431997E-8</v>
      </c>
      <c r="G21336">
        <v>1332231</v>
      </c>
      <c r="H21336">
        <v>13090296</v>
      </c>
      <c r="I21336">
        <v>12144634</v>
      </c>
      <c r="J21336">
        <v>3</v>
      </c>
    </row>
    <row r="21337" spans="1:10" x14ac:dyDescent="0.25">
      <c r="A21337" t="s">
        <v>231</v>
      </c>
      <c r="B21337" s="1" t="str">
        <f>HYPERLINK("http://cerave.co.uk","cerave.co.uk")</f>
        <v>cerave.co.uk</v>
      </c>
      <c r="C21337" t="s">
        <v>506</v>
      </c>
      <c r="D21337" t="s">
        <v>880</v>
      </c>
      <c r="E21337">
        <v>952759</v>
      </c>
      <c r="F21337">
        <v>3.0248063138601302E-8</v>
      </c>
      <c r="G21337">
        <v>1701492</v>
      </c>
      <c r="H21337">
        <v>13888270</v>
      </c>
      <c r="I21337">
        <v>5965687</v>
      </c>
      <c r="J21337">
        <v>3</v>
      </c>
    </row>
    <row r="21338" spans="1:10" x14ac:dyDescent="0.25">
      <c r="A21338" t="s">
        <v>231</v>
      </c>
      <c r="B21338" s="1" t="str">
        <f>HYPERLINK("http://helenarubinstein.co.uk","helenarubinstein.co.uk")</f>
        <v>helenarubinstein.co.uk</v>
      </c>
      <c r="C21338" t="s">
        <v>506</v>
      </c>
      <c r="D21338" t="s">
        <v>880</v>
      </c>
      <c r="F21338">
        <v>8.4811585028218597E-9</v>
      </c>
      <c r="G21338">
        <v>8881304</v>
      </c>
      <c r="H21338">
        <v>10777144</v>
      </c>
      <c r="I21338">
        <v>39014691</v>
      </c>
      <c r="J21338">
        <v>5</v>
      </c>
    </row>
    <row r="21339" spans="1:10" x14ac:dyDescent="0.25">
      <c r="A21339" t="s">
        <v>231</v>
      </c>
      <c r="B21339" s="1" t="str">
        <f>HYPERLINK("http://kerastase.co.uk","kerastase.co.uk")</f>
        <v>kerastase.co.uk</v>
      </c>
      <c r="C21339" t="s">
        <v>506</v>
      </c>
      <c r="D21339" t="s">
        <v>880</v>
      </c>
      <c r="E21339">
        <v>720056</v>
      </c>
      <c r="F21339">
        <v>4.8918160972805501E-8</v>
      </c>
      <c r="G21339">
        <v>947099</v>
      </c>
      <c r="H21339">
        <v>14284713</v>
      </c>
      <c r="I21339">
        <v>1373133</v>
      </c>
      <c r="J21339">
        <v>4</v>
      </c>
    </row>
    <row r="21340" spans="1:10" x14ac:dyDescent="0.25">
      <c r="A21340" t="s">
        <v>231</v>
      </c>
      <c r="B21340" s="1" t="str">
        <f>HYPERLINK("http://kiehls.co.uk","kiehls.co.uk")</f>
        <v>kiehls.co.uk</v>
      </c>
      <c r="C21340" t="s">
        <v>506</v>
      </c>
      <c r="D21340" t="s">
        <v>880</v>
      </c>
      <c r="E21340">
        <v>237226</v>
      </c>
      <c r="F21340">
        <v>1.8426511561431399E-7</v>
      </c>
      <c r="G21340">
        <v>209261</v>
      </c>
      <c r="H21340">
        <v>15107888</v>
      </c>
      <c r="I21340">
        <v>405411</v>
      </c>
      <c r="J21340">
        <v>5</v>
      </c>
    </row>
    <row r="21341" spans="1:10" x14ac:dyDescent="0.25">
      <c r="A21341" t="s">
        <v>231</v>
      </c>
      <c r="B21341" s="1" t="str">
        <f>HYPERLINK("http://loreal.co.uk","loreal.co.uk")</f>
        <v>loreal.co.uk</v>
      </c>
      <c r="C21341" t="s">
        <v>506</v>
      </c>
      <c r="D21341" t="s">
        <v>880</v>
      </c>
      <c r="F21341">
        <v>4.0880411876844902E-8</v>
      </c>
      <c r="G21341">
        <v>1268594</v>
      </c>
      <c r="H21341">
        <v>13813514</v>
      </c>
      <c r="I21341">
        <v>6180447</v>
      </c>
      <c r="J21341">
        <v>3</v>
      </c>
    </row>
    <row r="21342" spans="1:10" x14ac:dyDescent="0.25">
      <c r="A21342" t="s">
        <v>231</v>
      </c>
      <c r="B21342" s="1" t="str">
        <f>HYPERLINK("http://lorealprofessionnel.co.uk","lorealprofessionnel.co.uk")</f>
        <v>lorealprofessionnel.co.uk</v>
      </c>
      <c r="C21342" t="s">
        <v>506</v>
      </c>
      <c r="D21342" t="s">
        <v>880</v>
      </c>
      <c r="E21342">
        <v>300669</v>
      </c>
      <c r="F21342">
        <v>1.60239032353888E-7</v>
      </c>
      <c r="G21342">
        <v>242232</v>
      </c>
      <c r="H21342">
        <v>14722208</v>
      </c>
      <c r="I21342">
        <v>577091</v>
      </c>
      <c r="J21342">
        <v>5</v>
      </c>
    </row>
    <row r="21343" spans="1:10" x14ac:dyDescent="0.25">
      <c r="A21343" t="s">
        <v>231</v>
      </c>
      <c r="B21343" s="1" t="str">
        <f>HYPERLINK("http://maybelline.co.uk","maybelline.co.uk")</f>
        <v>maybelline.co.uk</v>
      </c>
      <c r="C21343" t="s">
        <v>506</v>
      </c>
      <c r="D21343" t="s">
        <v>880</v>
      </c>
      <c r="E21343">
        <v>652701</v>
      </c>
      <c r="F21343">
        <v>9.6234212940499395E-8</v>
      </c>
      <c r="G21343">
        <v>420364</v>
      </c>
      <c r="H21343">
        <v>15034014</v>
      </c>
      <c r="I21343">
        <v>417782</v>
      </c>
      <c r="J21343">
        <v>5</v>
      </c>
    </row>
    <row r="21344" spans="1:10" x14ac:dyDescent="0.25">
      <c r="A21344" t="s">
        <v>231</v>
      </c>
      <c r="B21344" s="1" t="str">
        <f>HYPERLINK("http://mugler.co.uk","mugler.co.uk")</f>
        <v>mugler.co.uk</v>
      </c>
      <c r="C21344" t="s">
        <v>506</v>
      </c>
      <c r="D21344" t="s">
        <v>880</v>
      </c>
      <c r="F21344">
        <v>1.35074604538684E-8</v>
      </c>
      <c r="G21344">
        <v>4400677</v>
      </c>
      <c r="H21344">
        <v>13971929</v>
      </c>
      <c r="I21344">
        <v>4072465</v>
      </c>
      <c r="J21344">
        <v>5</v>
      </c>
    </row>
    <row r="21345" spans="1:10" x14ac:dyDescent="0.25">
      <c r="A21345" t="s">
        <v>231</v>
      </c>
      <c r="B21345" s="1" t="str">
        <f>HYPERLINK("http://pureology.co.uk","pureology.co.uk")</f>
        <v>pureology.co.uk</v>
      </c>
      <c r="C21345" t="s">
        <v>506</v>
      </c>
      <c r="D21345" t="s">
        <v>880</v>
      </c>
      <c r="F21345">
        <v>1.293620918002E-8</v>
      </c>
      <c r="G21345">
        <v>4662282</v>
      </c>
      <c r="H21345">
        <v>12498340</v>
      </c>
      <c r="I21345">
        <v>17377749</v>
      </c>
      <c r="J21345">
        <v>5</v>
      </c>
    </row>
    <row r="21346" spans="1:10" x14ac:dyDescent="0.25">
      <c r="A21346" t="s">
        <v>231</v>
      </c>
      <c r="B21346" s="1" t="str">
        <f>HYPERLINK("http://skinceuticals.co.uk","skinceuticals.co.uk")</f>
        <v>skinceuticals.co.uk</v>
      </c>
      <c r="C21346" t="s">
        <v>506</v>
      </c>
      <c r="D21346" t="s">
        <v>880</v>
      </c>
      <c r="E21346">
        <v>746452</v>
      </c>
      <c r="F21346">
        <v>8.0136316414889197E-8</v>
      </c>
      <c r="G21346">
        <v>521234</v>
      </c>
      <c r="H21346">
        <v>14024350</v>
      </c>
      <c r="I21346">
        <v>3976825</v>
      </c>
      <c r="J21346">
        <v>4</v>
      </c>
    </row>
    <row r="21347" spans="1:10" x14ac:dyDescent="0.25">
      <c r="A21347" t="s">
        <v>231</v>
      </c>
      <c r="B21347" s="1" t="str">
        <f>HYPERLINK("http://valentino-beauty.co.uk","valentino-beauty.co.uk")</f>
        <v>valentino-beauty.co.uk</v>
      </c>
      <c r="C21347" t="s">
        <v>506</v>
      </c>
      <c r="D21347" t="s">
        <v>880</v>
      </c>
      <c r="F21347">
        <v>3.1215022160629798E-8</v>
      </c>
      <c r="G21347">
        <v>1651657</v>
      </c>
      <c r="H21347">
        <v>13077750</v>
      </c>
      <c r="I21347">
        <v>12199813</v>
      </c>
      <c r="J21347">
        <v>5</v>
      </c>
    </row>
    <row r="21348" spans="1:10" x14ac:dyDescent="0.25">
      <c r="A21348" t="s">
        <v>231</v>
      </c>
      <c r="B21348" s="1" t="str">
        <f>HYPERLINK("http://vichy.co.uk","vichy.co.uk")</f>
        <v>vichy.co.uk</v>
      </c>
      <c r="C21348" t="s">
        <v>506</v>
      </c>
      <c r="D21348" t="s">
        <v>880</v>
      </c>
      <c r="E21348">
        <v>743510</v>
      </c>
      <c r="F21348">
        <v>4.8710060929590903E-8</v>
      </c>
      <c r="G21348">
        <v>951764</v>
      </c>
      <c r="H21348">
        <v>15012226</v>
      </c>
      <c r="I21348">
        <v>422815</v>
      </c>
      <c r="J21348">
        <v>4</v>
      </c>
    </row>
    <row r="21349" spans="1:10" x14ac:dyDescent="0.25">
      <c r="A21349" t="s">
        <v>231</v>
      </c>
      <c r="B21349" s="1" t="str">
        <f>HYPERLINK("http://cerave.uy","cerave.uy")</f>
        <v>cerave.uy</v>
      </c>
      <c r="C21349" t="s">
        <v>507</v>
      </c>
      <c r="D21349" t="s">
        <v>881</v>
      </c>
      <c r="F21349">
        <v>1.4225619529867899E-8</v>
      </c>
      <c r="G21349">
        <v>4119857</v>
      </c>
      <c r="H21349">
        <v>11048643</v>
      </c>
      <c r="I21349">
        <v>32815014</v>
      </c>
      <c r="J21349">
        <v>3</v>
      </c>
    </row>
    <row r="21350" spans="1:10" x14ac:dyDescent="0.25">
      <c r="A21350" t="s">
        <v>231</v>
      </c>
      <c r="B21350" s="1" t="str">
        <f>HYPERLINK("http://laroche-posay.com.uy","laroche-posay.com.uy")</f>
        <v>laroche-posay.com.uy</v>
      </c>
      <c r="C21350" t="s">
        <v>507</v>
      </c>
      <c r="D21350" t="s">
        <v>881</v>
      </c>
      <c r="F21350">
        <v>9.9989320212639306E-9</v>
      </c>
      <c r="G21350">
        <v>6756871</v>
      </c>
      <c r="H21350">
        <v>10754057</v>
      </c>
      <c r="I21350">
        <v>39861605</v>
      </c>
      <c r="J21350">
        <v>4</v>
      </c>
    </row>
    <row r="21351" spans="1:10" x14ac:dyDescent="0.25">
      <c r="A21351" t="s">
        <v>231</v>
      </c>
      <c r="B21351" s="1" t="str">
        <f>HYPERLINK("http://kerastase.uy","kerastase.uy")</f>
        <v>kerastase.uy</v>
      </c>
      <c r="C21351" t="s">
        <v>507</v>
      </c>
      <c r="D21351" t="s">
        <v>881</v>
      </c>
      <c r="F21351">
        <v>1.08375905873293E-8</v>
      </c>
      <c r="G21351">
        <v>5990328</v>
      </c>
      <c r="H21351">
        <v>10614085</v>
      </c>
      <c r="I21351">
        <v>44458815</v>
      </c>
      <c r="J21351">
        <v>4</v>
      </c>
    </row>
    <row r="21352" spans="1:10" x14ac:dyDescent="0.25">
      <c r="A21352" t="s">
        <v>231</v>
      </c>
      <c r="B21352" s="1" t="str">
        <f>HYPERLINK("http://lorealprofessionnel.uy","lorealprofessionnel.uy")</f>
        <v>lorealprofessionnel.uy</v>
      </c>
      <c r="C21352" t="s">
        <v>507</v>
      </c>
      <c r="D21352" t="s">
        <v>881</v>
      </c>
      <c r="F21352">
        <v>7.5907066648806797E-9</v>
      </c>
      <c r="G21352">
        <v>10814681</v>
      </c>
      <c r="H21352">
        <v>12057898</v>
      </c>
      <c r="I21352">
        <v>27056455</v>
      </c>
      <c r="J21352">
        <v>5</v>
      </c>
    </row>
    <row r="21353" spans="1:10" x14ac:dyDescent="0.25">
      <c r="A21353" t="s">
        <v>231</v>
      </c>
      <c r="B21353" s="1" t="str">
        <f>HYPERLINK("http://maybelline.uy","maybelline.uy")</f>
        <v>maybelline.uy</v>
      </c>
      <c r="C21353" t="s">
        <v>507</v>
      </c>
      <c r="D21353" t="s">
        <v>881</v>
      </c>
      <c r="F21353">
        <v>2.5048695324114798E-8</v>
      </c>
      <c r="G21353">
        <v>2062531</v>
      </c>
      <c r="H21353">
        <v>12722695</v>
      </c>
      <c r="I21353">
        <v>15239987</v>
      </c>
      <c r="J21353">
        <v>5</v>
      </c>
    </row>
    <row r="21354" spans="1:10" x14ac:dyDescent="0.25">
      <c r="A21354" t="s">
        <v>231</v>
      </c>
      <c r="B21354" s="1" t="str">
        <f>HYPERLINK("http://kiehls.com.vn","kiehls.com.vn")</f>
        <v>kiehls.com.vn</v>
      </c>
      <c r="C21354" t="s">
        <v>509</v>
      </c>
      <c r="D21354" t="s">
        <v>883</v>
      </c>
      <c r="F21354">
        <v>3.9831139793992302E-8</v>
      </c>
      <c r="G21354">
        <v>1297209</v>
      </c>
      <c r="H21354">
        <v>13113526</v>
      </c>
      <c r="I21354">
        <v>12023033</v>
      </c>
      <c r="J21354">
        <v>5</v>
      </c>
    </row>
    <row r="21355" spans="1:10" x14ac:dyDescent="0.25">
      <c r="A21355" t="s">
        <v>231</v>
      </c>
      <c r="B21355" s="1" t="str">
        <f>HYPERLINK("http://lorealparis.com.vn","lorealparis.com.vn")</f>
        <v>lorealparis.com.vn</v>
      </c>
      <c r="C21355" t="s">
        <v>509</v>
      </c>
      <c r="D21355" t="s">
        <v>883</v>
      </c>
      <c r="F21355">
        <v>2.0715452094191201E-8</v>
      </c>
      <c r="G21355">
        <v>2554714</v>
      </c>
      <c r="H21355">
        <v>12993118</v>
      </c>
      <c r="I21355">
        <v>12833741</v>
      </c>
      <c r="J21355">
        <v>5</v>
      </c>
    </row>
    <row r="21356" spans="1:10" x14ac:dyDescent="0.25">
      <c r="A21356" t="s">
        <v>231</v>
      </c>
      <c r="B21356" s="1" t="str">
        <f>HYPERLINK("http://lancome.vn","lancome.vn")</f>
        <v>lancome.vn</v>
      </c>
      <c r="C21356" t="s">
        <v>509</v>
      </c>
      <c r="D21356" t="s">
        <v>883</v>
      </c>
      <c r="F21356">
        <v>1.8273676501057501E-8</v>
      </c>
      <c r="G21356">
        <v>2972599</v>
      </c>
      <c r="H21356">
        <v>12981524</v>
      </c>
      <c r="I21356">
        <v>12965047</v>
      </c>
      <c r="J21356">
        <v>4</v>
      </c>
    </row>
    <row r="21357" spans="1:10" x14ac:dyDescent="0.25">
      <c r="A21357" t="s">
        <v>231</v>
      </c>
      <c r="B21357" s="1" t="str">
        <f>HYPERLINK("http://maybelline.vn","maybelline.vn")</f>
        <v>maybelline.vn</v>
      </c>
      <c r="C21357" t="s">
        <v>509</v>
      </c>
      <c r="D21357" t="s">
        <v>883</v>
      </c>
      <c r="F21357">
        <v>4.6202479797721101E-8</v>
      </c>
      <c r="G21357">
        <v>1014331</v>
      </c>
      <c r="H21357">
        <v>13211309</v>
      </c>
      <c r="I21357">
        <v>11403142</v>
      </c>
      <c r="J21357">
        <v>5</v>
      </c>
    </row>
    <row r="21358" spans="1:10" x14ac:dyDescent="0.25">
      <c r="A21358" t="s">
        <v>231</v>
      </c>
      <c r="B21358" s="1" t="str">
        <f>HYPERLINK("http://laroche-posay.co.za","laroche-posay.co.za")</f>
        <v>laroche-posay.co.za</v>
      </c>
      <c r="C21358" t="s">
        <v>510</v>
      </c>
      <c r="D21358" t="s">
        <v>884</v>
      </c>
      <c r="F21358">
        <v>5.72051881934109E-9</v>
      </c>
      <c r="G21358">
        <v>18744904</v>
      </c>
      <c r="H21358">
        <v>10584019</v>
      </c>
      <c r="I21358">
        <v>45738593</v>
      </c>
      <c r="J21358">
        <v>4</v>
      </c>
    </row>
    <row r="21359" spans="1:10" x14ac:dyDescent="0.25">
      <c r="A21359" t="s">
        <v>231</v>
      </c>
      <c r="B21359" s="1" t="str">
        <f>HYPERLINK("http://maybelline.co.za","maybelline.co.za")</f>
        <v>maybelline.co.za</v>
      </c>
      <c r="C21359" t="s">
        <v>510</v>
      </c>
      <c r="D21359" t="s">
        <v>884</v>
      </c>
      <c r="F21359">
        <v>4.90699462777987E-8</v>
      </c>
      <c r="G21359">
        <v>943789</v>
      </c>
      <c r="H21359">
        <v>12346750</v>
      </c>
      <c r="I21359">
        <v>19822174</v>
      </c>
      <c r="J21359">
        <v>5</v>
      </c>
    </row>
    <row r="21360" spans="1:10" x14ac:dyDescent="0.25">
      <c r="A21360" t="s">
        <v>231</v>
      </c>
      <c r="B21360" s="1" t="str">
        <f>HYPERLINK("http://vichy.co.za","vichy.co.za")</f>
        <v>vichy.co.za</v>
      </c>
      <c r="C21360" t="s">
        <v>510</v>
      </c>
      <c r="D21360" t="s">
        <v>884</v>
      </c>
      <c r="F21360">
        <v>1.79742780827884E-8</v>
      </c>
      <c r="G21360">
        <v>3038013</v>
      </c>
      <c r="H21360">
        <v>12445769</v>
      </c>
      <c r="I21360">
        <v>18077820</v>
      </c>
      <c r="J21360">
        <v>3</v>
      </c>
    </row>
    <row r="21361" spans="1:10" x14ac:dyDescent="0.25">
      <c r="A21361" t="s">
        <v>1629</v>
      </c>
      <c r="B21361" s="1" t="str">
        <f>HYPERLINK("http://aatc-bkk.com","aatc-bkk.com")</f>
        <v>aatc-bkk.com</v>
      </c>
      <c r="C21361" t="s">
        <v>433</v>
      </c>
      <c r="F21361">
        <v>4.44380395335525E-9</v>
      </c>
      <c r="G21361">
        <v>80494460</v>
      </c>
      <c r="H21361">
        <v>0</v>
      </c>
      <c r="I21361">
        <v>80667899</v>
      </c>
      <c r="J21361">
        <v>3</v>
      </c>
    </row>
    <row r="21362" spans="1:10" x14ac:dyDescent="0.25">
      <c r="A21362" t="s">
        <v>1629</v>
      </c>
      <c r="B21362" s="1" t="str">
        <f>HYPERLINK("http://aerocondor.com","aerocondor.com")</f>
        <v>aerocondor.com</v>
      </c>
      <c r="C21362" t="s">
        <v>433</v>
      </c>
      <c r="F21362">
        <v>6.2150213225577297E-9</v>
      </c>
      <c r="G21362">
        <v>15455711</v>
      </c>
      <c r="H21362">
        <v>13860916</v>
      </c>
      <c r="I21362">
        <v>6020402</v>
      </c>
      <c r="J21362">
        <v>3</v>
      </c>
    </row>
    <row r="21363" spans="1:10" x14ac:dyDescent="0.25">
      <c r="A21363" t="s">
        <v>1629</v>
      </c>
      <c r="B21363" s="1" t="str">
        <f>HYPERLINK("http://calspace.com","calspace.com")</f>
        <v>calspace.com</v>
      </c>
      <c r="C21363" t="s">
        <v>433</v>
      </c>
      <c r="F21363">
        <v>1.3114439139490101E-8</v>
      </c>
      <c r="G21363">
        <v>4577140</v>
      </c>
      <c r="H21363">
        <v>14876837</v>
      </c>
      <c r="I21363">
        <v>474599</v>
      </c>
      <c r="J21363">
        <v>5</v>
      </c>
    </row>
    <row r="21364" spans="1:10" x14ac:dyDescent="0.25">
      <c r="A21364" t="s">
        <v>1629</v>
      </c>
      <c r="B21364" s="1" t="str">
        <f>HYPERLINK("http://calzoni.com","calzoni.com")</f>
        <v>calzoni.com</v>
      </c>
      <c r="C21364" t="s">
        <v>433</v>
      </c>
      <c r="F21364">
        <v>1.5727853578608001E-8</v>
      </c>
      <c r="G21364">
        <v>3619458</v>
      </c>
      <c r="H21364">
        <v>14072025</v>
      </c>
      <c r="I21364">
        <v>3183777</v>
      </c>
      <c r="J21364">
        <v>6</v>
      </c>
    </row>
    <row r="21365" spans="1:10" x14ac:dyDescent="0.25">
      <c r="A21365" t="s">
        <v>1629</v>
      </c>
      <c r="B21365" s="1" t="str">
        <f>HYPERLINK("http://cinele.com","cinele.com")</f>
        <v>cinele.com</v>
      </c>
      <c r="C21365" t="s">
        <v>433</v>
      </c>
      <c r="F21365">
        <v>9.7674221885157201E-9</v>
      </c>
      <c r="G21365">
        <v>7004226</v>
      </c>
      <c r="H21365">
        <v>13174440</v>
      </c>
      <c r="I21365">
        <v>11710593</v>
      </c>
      <c r="J21365">
        <v>6</v>
      </c>
    </row>
    <row r="21366" spans="1:10" x14ac:dyDescent="0.25">
      <c r="A21366" t="s">
        <v>1629</v>
      </c>
      <c r="B21366" s="1" t="str">
        <f>HYPERLINK("http://ctcaviation.com","ctcaviation.com")</f>
        <v>ctcaviation.com</v>
      </c>
      <c r="C21366" t="s">
        <v>433</v>
      </c>
      <c r="F21366">
        <v>4.2903696927428001E-8</v>
      </c>
      <c r="G21366">
        <v>1122632</v>
      </c>
      <c r="H21366">
        <v>16751212</v>
      </c>
      <c r="I21366">
        <v>269838</v>
      </c>
      <c r="J21366">
        <v>3</v>
      </c>
    </row>
    <row r="21367" spans="1:10" x14ac:dyDescent="0.25">
      <c r="A21367" t="s">
        <v>1629</v>
      </c>
      <c r="B21367" s="1" t="str">
        <f>HYPERLINK("http://diglo.com","diglo.com")</f>
        <v>diglo.com</v>
      </c>
      <c r="C21367" t="s">
        <v>433</v>
      </c>
      <c r="E21367">
        <v>658059</v>
      </c>
      <c r="F21367">
        <v>1.12009281990443E-7</v>
      </c>
      <c r="G21367">
        <v>356698</v>
      </c>
      <c r="H21367">
        <v>13489904</v>
      </c>
      <c r="I21367">
        <v>9988250</v>
      </c>
      <c r="J21367">
        <v>4</v>
      </c>
    </row>
    <row r="21368" spans="1:10" x14ac:dyDescent="0.25">
      <c r="A21368" t="s">
        <v>1629</v>
      </c>
      <c r="B21368" s="1" t="str">
        <f>HYPERLINK("http://esscoradomes.com","esscoradomes.com")</f>
        <v>esscoradomes.com</v>
      </c>
      <c r="C21368" t="s">
        <v>433</v>
      </c>
      <c r="F21368">
        <v>4.5634300181152801E-9</v>
      </c>
      <c r="G21368">
        <v>50823690</v>
      </c>
      <c r="H21368">
        <v>12117237</v>
      </c>
      <c r="I21368">
        <v>25480849</v>
      </c>
      <c r="J21368">
        <v>7</v>
      </c>
    </row>
    <row r="21369" spans="1:10" x14ac:dyDescent="0.25">
      <c r="A21369" t="s">
        <v>1629</v>
      </c>
      <c r="B21369" s="1" t="str">
        <f>HYPERLINK("http://harris.com","harris.com")</f>
        <v>harris.com</v>
      </c>
      <c r="C21369" t="s">
        <v>433</v>
      </c>
      <c r="E21369">
        <v>31421</v>
      </c>
      <c r="F21369">
        <v>5.5756652251430503E-7</v>
      </c>
      <c r="G21369">
        <v>69543</v>
      </c>
      <c r="H21369">
        <v>17302360</v>
      </c>
      <c r="I21369">
        <v>27626</v>
      </c>
      <c r="J21369">
        <v>3</v>
      </c>
    </row>
    <row r="21370" spans="1:10" x14ac:dyDescent="0.25">
      <c r="A21370" t="s">
        <v>1629</v>
      </c>
      <c r="B21370" s="1" t="str">
        <f>HYPERLINK("http://harris-interactive.com","harris-interactive.com")</f>
        <v>harris-interactive.com</v>
      </c>
      <c r="C21370" t="s">
        <v>433</v>
      </c>
      <c r="F21370">
        <v>6.7232496696643494E-8</v>
      </c>
      <c r="G21370">
        <v>635967</v>
      </c>
      <c r="H21370">
        <v>13981583</v>
      </c>
      <c r="I21370">
        <v>4048017</v>
      </c>
      <c r="J21370">
        <v>5</v>
      </c>
    </row>
    <row r="21371" spans="1:10" x14ac:dyDescent="0.25">
      <c r="A21371" t="s">
        <v>1629</v>
      </c>
      <c r="B21371" s="1" t="str">
        <f>HYPERLINK("http://harriscomm.com","harriscomm.com")</f>
        <v>harriscomm.com</v>
      </c>
      <c r="C21371" t="s">
        <v>433</v>
      </c>
      <c r="E21371">
        <v>946425</v>
      </c>
      <c r="F21371">
        <v>9.0217618316262394E-8</v>
      </c>
      <c r="G21371">
        <v>452249</v>
      </c>
      <c r="H21371">
        <v>14684775</v>
      </c>
      <c r="I21371">
        <v>605766</v>
      </c>
      <c r="J21371">
        <v>3</v>
      </c>
    </row>
    <row r="21372" spans="1:10" x14ac:dyDescent="0.25">
      <c r="A21372" t="s">
        <v>1629</v>
      </c>
      <c r="B21372" s="1" t="str">
        <f>HYPERLINK("http://harrisgeospatial.com","harrisgeospatial.com")</f>
        <v>harrisgeospatial.com</v>
      </c>
      <c r="C21372" t="s">
        <v>433</v>
      </c>
      <c r="E21372">
        <v>773680</v>
      </c>
      <c r="F21372">
        <v>2.1370196347300399E-7</v>
      </c>
      <c r="G21372">
        <v>176652</v>
      </c>
      <c r="H21372">
        <v>14741595</v>
      </c>
      <c r="I21372">
        <v>567054</v>
      </c>
      <c r="J21372">
        <v>7</v>
      </c>
    </row>
    <row r="21373" spans="1:10" x14ac:dyDescent="0.25">
      <c r="A21373" t="s">
        <v>1629</v>
      </c>
      <c r="B21373" s="1" t="str">
        <f>HYPERLINK("http://l-3com.com","l-3com.com")</f>
        <v>l-3com.com</v>
      </c>
      <c r="C21373" t="s">
        <v>433</v>
      </c>
      <c r="E21373">
        <v>10657</v>
      </c>
      <c r="F21373">
        <v>1.96263907263077E-7</v>
      </c>
      <c r="G21373">
        <v>196502</v>
      </c>
      <c r="H21373">
        <v>15071826</v>
      </c>
      <c r="I21373">
        <v>410876</v>
      </c>
      <c r="J21373">
        <v>3</v>
      </c>
    </row>
    <row r="21374" spans="1:10" x14ac:dyDescent="0.25">
      <c r="A21374" t="s">
        <v>1629</v>
      </c>
      <c r="B21374" s="1" t="str">
        <f>HYPERLINK("http://l-3mps.com","l-3mps.com")</f>
        <v>l-3mps.com</v>
      </c>
      <c r="C21374" t="s">
        <v>433</v>
      </c>
      <c r="F21374">
        <v>1.0722477603215101E-8</v>
      </c>
      <c r="G21374">
        <v>6081829</v>
      </c>
      <c r="H21374">
        <v>14135610</v>
      </c>
      <c r="I21374">
        <v>1968634</v>
      </c>
      <c r="J21374">
        <v>3</v>
      </c>
    </row>
    <row r="21375" spans="1:10" x14ac:dyDescent="0.25">
      <c r="A21375" t="s">
        <v>1629</v>
      </c>
      <c r="B21375" s="1" t="str">
        <f>HYPERLINK("http://l3aviationproducts.com","l3aviationproducts.com")</f>
        <v>l3aviationproducts.com</v>
      </c>
      <c r="C21375" t="s">
        <v>433</v>
      </c>
      <c r="F21375">
        <v>1.44329046847346E-8</v>
      </c>
      <c r="G21375">
        <v>4045759</v>
      </c>
      <c r="H21375">
        <v>12617815</v>
      </c>
      <c r="I21375">
        <v>16108130</v>
      </c>
      <c r="J21375">
        <v>4</v>
      </c>
    </row>
    <row r="21376" spans="1:10" x14ac:dyDescent="0.25">
      <c r="A21376" t="s">
        <v>1629</v>
      </c>
      <c r="B21376" s="1" t="str">
        <f>HYPERLINK("http://l3harris.com","l3harris.com")</f>
        <v>l3harris.com</v>
      </c>
      <c r="C21376" t="s">
        <v>433</v>
      </c>
      <c r="E21376">
        <v>11492</v>
      </c>
      <c r="F21376">
        <v>1.7113167351114601E-6</v>
      </c>
      <c r="G21376">
        <v>23275</v>
      </c>
      <c r="H21376">
        <v>15442421</v>
      </c>
      <c r="I21376">
        <v>378488</v>
      </c>
      <c r="J21376">
        <v>1</v>
      </c>
    </row>
    <row r="21377" spans="1:10" x14ac:dyDescent="0.25">
      <c r="A21377" t="s">
        <v>1629</v>
      </c>
      <c r="B21377" s="1" t="str">
        <f>HYPERLINK("http://l3harrisairlineacademy.com","l3harrisairlineacademy.com")</f>
        <v>l3harrisairlineacademy.com</v>
      </c>
      <c r="C21377" t="s">
        <v>433</v>
      </c>
      <c r="F21377">
        <v>8.5766193988926094E-8</v>
      </c>
      <c r="G21377">
        <v>480106</v>
      </c>
      <c r="H21377">
        <v>12949653</v>
      </c>
      <c r="I21377">
        <v>13214004</v>
      </c>
      <c r="J21377">
        <v>4</v>
      </c>
    </row>
    <row r="21378" spans="1:10" x14ac:dyDescent="0.25">
      <c r="A21378" t="s">
        <v>1629</v>
      </c>
      <c r="B21378" s="1" t="str">
        <f>HYPERLINK("http://l3harrisgeospatial.com","l3harrisgeospatial.com")</f>
        <v>l3harrisgeospatial.com</v>
      </c>
      <c r="C21378" t="s">
        <v>433</v>
      </c>
      <c r="E21378">
        <v>202872</v>
      </c>
      <c r="F21378">
        <v>3.49017251157949E-7</v>
      </c>
      <c r="G21378">
        <v>107117</v>
      </c>
      <c r="H21378">
        <v>13987165</v>
      </c>
      <c r="I21378">
        <v>4037612</v>
      </c>
      <c r="J21378">
        <v>4</v>
      </c>
    </row>
    <row r="21379" spans="1:10" x14ac:dyDescent="0.25">
      <c r="A21379" t="s">
        <v>1629</v>
      </c>
      <c r="B21379" s="1" t="str">
        <f>HYPERLINK("http://l3t.com","l3t.com")</f>
        <v>l3t.com</v>
      </c>
      <c r="C21379" t="s">
        <v>433</v>
      </c>
      <c r="E21379">
        <v>140178</v>
      </c>
      <c r="F21379">
        <v>2.0239324918641301E-7</v>
      </c>
      <c r="G21379">
        <v>187939</v>
      </c>
      <c r="H21379">
        <v>15182168</v>
      </c>
      <c r="I21379">
        <v>397113</v>
      </c>
      <c r="J21379">
        <v>3</v>
      </c>
    </row>
    <row r="21380" spans="1:10" x14ac:dyDescent="0.25">
      <c r="A21380" t="s">
        <v>1629</v>
      </c>
      <c r="B21380" s="1" t="str">
        <f>HYPERLINK("http://linchpinlabs.com","linchpinlabs.com")</f>
        <v>linchpinlabs.com</v>
      </c>
      <c r="C21380" t="s">
        <v>433</v>
      </c>
      <c r="F21380">
        <v>1.56818842044774E-8</v>
      </c>
      <c r="G21380">
        <v>3632484</v>
      </c>
      <c r="H21380">
        <v>14582167</v>
      </c>
      <c r="I21380">
        <v>706921</v>
      </c>
      <c r="J21380">
        <v>4</v>
      </c>
    </row>
    <row r="21381" spans="1:10" x14ac:dyDescent="0.25">
      <c r="A21381" t="s">
        <v>1629</v>
      </c>
      <c r="B21381" s="1" t="str">
        <f>HYPERLINK("http://multimax.com","multimax.com")</f>
        <v>multimax.com</v>
      </c>
      <c r="C21381" t="s">
        <v>433</v>
      </c>
      <c r="F21381">
        <v>5.2808787070800801E-9</v>
      </c>
      <c r="G21381">
        <v>23777086</v>
      </c>
      <c r="H21381">
        <v>13076108</v>
      </c>
      <c r="I21381">
        <v>12209876</v>
      </c>
      <c r="J21381">
        <v>5</v>
      </c>
    </row>
    <row r="21382" spans="1:10" x14ac:dyDescent="0.25">
      <c r="A21382" t="s">
        <v>1629</v>
      </c>
      <c r="B21382" s="1" t="str">
        <f>HYPERLINK("http://patriot-tech.com","patriot-tech.com")</f>
        <v>patriot-tech.com</v>
      </c>
      <c r="C21382" t="s">
        <v>433</v>
      </c>
      <c r="F21382">
        <v>2.06300098776914E-8</v>
      </c>
      <c r="G21382">
        <v>2566516</v>
      </c>
      <c r="H21382">
        <v>13346951</v>
      </c>
      <c r="I21382">
        <v>10646303</v>
      </c>
      <c r="J21382">
        <v>4</v>
      </c>
    </row>
    <row r="21383" spans="1:10" x14ac:dyDescent="0.25">
      <c r="A21383" t="s">
        <v>1629</v>
      </c>
      <c r="B21383" s="1" t="str">
        <f>HYPERLINK("http://stellantsystems.com","stellantsystems.com")</f>
        <v>stellantsystems.com</v>
      </c>
      <c r="C21383" t="s">
        <v>433</v>
      </c>
      <c r="F21383">
        <v>6.24847559328187E-9</v>
      </c>
      <c r="G21383">
        <v>15282710</v>
      </c>
      <c r="H21383">
        <v>14073133</v>
      </c>
      <c r="I21383">
        <v>3014987</v>
      </c>
      <c r="J21383">
        <v>4</v>
      </c>
    </row>
    <row r="21384" spans="1:10" x14ac:dyDescent="0.25">
      <c r="A21384" t="s">
        <v>1629</v>
      </c>
      <c r="B21384" s="1" t="str">
        <f>HYPERLINK("http://vivid-technologies.com","vivid-technologies.com")</f>
        <v>vivid-technologies.com</v>
      </c>
      <c r="C21384" t="s">
        <v>433</v>
      </c>
      <c r="F21384">
        <v>4.45935594660173E-9</v>
      </c>
      <c r="G21384">
        <v>67953247</v>
      </c>
      <c r="H21384">
        <v>11031331</v>
      </c>
      <c r="I21384">
        <v>33084192</v>
      </c>
      <c r="J21384">
        <v>6</v>
      </c>
    </row>
    <row r="21385" spans="1:10" x14ac:dyDescent="0.25">
      <c r="A21385" t="s">
        <v>1629</v>
      </c>
      <c r="B21385" s="1" t="str">
        <f>HYPERLINK("http://wescam.com","wescam.com")</f>
        <v>wescam.com</v>
      </c>
      <c r="C21385" t="s">
        <v>433</v>
      </c>
      <c r="F21385">
        <v>4.2592915474960503E-8</v>
      </c>
      <c r="G21385">
        <v>1135927</v>
      </c>
      <c r="H21385">
        <v>14518886</v>
      </c>
      <c r="I21385">
        <v>807465</v>
      </c>
      <c r="J21385">
        <v>3</v>
      </c>
    </row>
    <row r="21386" spans="1:10" x14ac:dyDescent="0.25">
      <c r="A21386" t="s">
        <v>1629</v>
      </c>
      <c r="B21386" s="1" t="str">
        <f>HYPERLINK("http://harris-interactive.fr","harris-interactive.fr")</f>
        <v>harris-interactive.fr</v>
      </c>
      <c r="C21386" t="s">
        <v>446</v>
      </c>
      <c r="D21386" t="s">
        <v>824</v>
      </c>
      <c r="E21386">
        <v>250525</v>
      </c>
      <c r="F21386">
        <v>4.9490228307605703E-7</v>
      </c>
      <c r="G21386">
        <v>77142</v>
      </c>
      <c r="H21386">
        <v>17108810</v>
      </c>
      <c r="I21386">
        <v>62227</v>
      </c>
      <c r="J21386">
        <v>4</v>
      </c>
    </row>
    <row r="21387" spans="1:10" x14ac:dyDescent="0.25">
      <c r="A21387" t="s">
        <v>1629</v>
      </c>
      <c r="B21387" s="1" t="str">
        <f>HYPERLINK("http://patriottechnologies.net","patriottechnologies.net")</f>
        <v>patriottechnologies.net</v>
      </c>
      <c r="C21387" t="s">
        <v>474</v>
      </c>
      <c r="F21387">
        <v>4.59021985772778E-9</v>
      </c>
      <c r="G21387">
        <v>48387251</v>
      </c>
      <c r="H21387">
        <v>10979082</v>
      </c>
      <c r="I21387">
        <v>33953572</v>
      </c>
      <c r="J21387">
        <v>5</v>
      </c>
    </row>
    <row r="21388" spans="1:10" x14ac:dyDescent="0.25">
      <c r="A21388" t="s">
        <v>1629</v>
      </c>
      <c r="B21388" s="1" t="str">
        <f>HYPERLINK("http://harris-interactive.co.uk","harris-interactive.co.uk")</f>
        <v>harris-interactive.co.uk</v>
      </c>
      <c r="C21388" t="s">
        <v>506</v>
      </c>
      <c r="D21388" t="s">
        <v>880</v>
      </c>
      <c r="F21388">
        <v>9.30923129979011E-8</v>
      </c>
      <c r="G21388">
        <v>436846</v>
      </c>
      <c r="H21388">
        <v>14334622</v>
      </c>
      <c r="I21388">
        <v>1320391</v>
      </c>
      <c r="J21388">
        <v>5</v>
      </c>
    </row>
    <row r="21389" spans="1:10" x14ac:dyDescent="0.25">
      <c r="A21389" t="s">
        <v>1629</v>
      </c>
      <c r="B21389" s="1" t="str">
        <f>HYPERLINK("http://harrisinteractive.co.uk","harrisinteractive.co.uk")</f>
        <v>harrisinteractive.co.uk</v>
      </c>
      <c r="C21389" t="s">
        <v>506</v>
      </c>
      <c r="D21389" t="s">
        <v>880</v>
      </c>
      <c r="F21389">
        <v>1.5636939195295099E-8</v>
      </c>
      <c r="G21389">
        <v>3644961</v>
      </c>
      <c r="H21389">
        <v>12471430</v>
      </c>
      <c r="I21389">
        <v>17685612</v>
      </c>
      <c r="J21389">
        <v>7</v>
      </c>
    </row>
    <row r="21390" spans="1:10" x14ac:dyDescent="0.25">
      <c r="A21390" t="s">
        <v>1629</v>
      </c>
      <c r="B21390" s="1" t="str">
        <f>HYPERLINK("http://mhaltd.co.uk","mhaltd.co.uk")</f>
        <v>mhaltd.co.uk</v>
      </c>
      <c r="C21390" t="s">
        <v>506</v>
      </c>
      <c r="D21390" t="s">
        <v>880</v>
      </c>
      <c r="F21390">
        <v>4.8229105960204498E-9</v>
      </c>
      <c r="G21390">
        <v>35109976</v>
      </c>
      <c r="H21390">
        <v>13763635</v>
      </c>
      <c r="I21390">
        <v>8265364</v>
      </c>
      <c r="J21390">
        <v>6</v>
      </c>
    </row>
    <row r="21391" spans="1:10" x14ac:dyDescent="0.25">
      <c r="A21391" t="s">
        <v>1629</v>
      </c>
      <c r="B21391" s="1" t="str">
        <f>HYPERLINK("http://trltech.co.uk","trltech.co.uk")</f>
        <v>trltech.co.uk</v>
      </c>
      <c r="C21391" t="s">
        <v>506</v>
      </c>
      <c r="D21391" t="s">
        <v>880</v>
      </c>
      <c r="F21391">
        <v>9.9385044956334704E-9</v>
      </c>
      <c r="G21391">
        <v>6818295</v>
      </c>
      <c r="H21391">
        <v>13803220</v>
      </c>
      <c r="I21391">
        <v>6263793</v>
      </c>
      <c r="J21391">
        <v>5</v>
      </c>
    </row>
    <row r="21392" spans="1:10" x14ac:dyDescent="0.25">
      <c r="A21392" t="s">
        <v>1630</v>
      </c>
      <c r="B21392" s="1" t="str">
        <f>HYPERLINK("http://lg.com.au","lg.com.au")</f>
        <v>lg.com.au</v>
      </c>
      <c r="C21392" t="s">
        <v>420</v>
      </c>
      <c r="D21392" t="s">
        <v>802</v>
      </c>
      <c r="F21392">
        <v>1.1455475522897301E-8</v>
      </c>
      <c r="G21392">
        <v>5535216</v>
      </c>
      <c r="H21392">
        <v>13776510</v>
      </c>
      <c r="I21392">
        <v>6553713</v>
      </c>
      <c r="J21392">
        <v>5</v>
      </c>
    </row>
    <row r="21393" spans="1:10" x14ac:dyDescent="0.25">
      <c r="A21393" t="s">
        <v>1630</v>
      </c>
      <c r="B21393" s="1" t="str">
        <f>HYPERLINK("http://hitachi-lg.biz","hitachi-lg.biz")</f>
        <v>hitachi-lg.biz</v>
      </c>
      <c r="C21393" t="s">
        <v>423</v>
      </c>
      <c r="F21393">
        <v>1.4705510053555E-8</v>
      </c>
      <c r="G21393">
        <v>3939078</v>
      </c>
      <c r="H21393">
        <v>12134001</v>
      </c>
      <c r="I21393">
        <v>25027236</v>
      </c>
      <c r="J21393">
        <v>6</v>
      </c>
    </row>
    <row r="21394" spans="1:10" x14ac:dyDescent="0.25">
      <c r="A21394" t="s">
        <v>1630</v>
      </c>
      <c r="B21394" s="1" t="str">
        <f>HYPERLINK("http://lg.ca","lg.ca")</f>
        <v>lg.ca</v>
      </c>
      <c r="C21394" t="s">
        <v>428</v>
      </c>
      <c r="D21394" t="s">
        <v>809</v>
      </c>
      <c r="F21394">
        <v>2.1978399829108299E-8</v>
      </c>
      <c r="G21394">
        <v>2388848</v>
      </c>
      <c r="H21394">
        <v>14101082</v>
      </c>
      <c r="I21394">
        <v>2703177</v>
      </c>
      <c r="J21394">
        <v>5</v>
      </c>
    </row>
    <row r="21395" spans="1:10" x14ac:dyDescent="0.25">
      <c r="A21395" t="s">
        <v>1630</v>
      </c>
      <c r="B21395" s="1" t="str">
        <f>HYPERLINK("http://lg.com.cn","lg.com.cn")</f>
        <v>lg.com.cn</v>
      </c>
      <c r="C21395" t="s">
        <v>431</v>
      </c>
      <c r="D21395" t="s">
        <v>812</v>
      </c>
      <c r="E21395">
        <v>778698</v>
      </c>
      <c r="F21395">
        <v>3.5047584526366599E-8</v>
      </c>
      <c r="G21395">
        <v>1482564</v>
      </c>
      <c r="H21395">
        <v>12943580</v>
      </c>
      <c r="I21395">
        <v>13266143</v>
      </c>
      <c r="J21395">
        <v>5</v>
      </c>
    </row>
    <row r="21396" spans="1:10" x14ac:dyDescent="0.25">
      <c r="A21396" t="s">
        <v>1630</v>
      </c>
      <c r="B21396" s="1" t="str">
        <f>HYPERLINK("http://002v.com","002v.com")</f>
        <v>002v.com</v>
      </c>
      <c r="C21396" t="s">
        <v>433</v>
      </c>
      <c r="F21396">
        <v>1.1263608207513E-8</v>
      </c>
      <c r="G21396">
        <v>5668058</v>
      </c>
      <c r="H21396">
        <v>12659116</v>
      </c>
      <c r="I21396">
        <v>15727245</v>
      </c>
      <c r="J21396">
        <v>7</v>
      </c>
    </row>
    <row r="21397" spans="1:10" x14ac:dyDescent="0.25">
      <c r="A21397" t="s">
        <v>1630</v>
      </c>
      <c r="B21397" s="1" t="str">
        <f>HYPERLINK("http://ericssonlg.com","ericssonlg.com")</f>
        <v>ericssonlg.com</v>
      </c>
      <c r="C21397" t="s">
        <v>433</v>
      </c>
      <c r="F21397">
        <v>9.0896910566020901E-8</v>
      </c>
      <c r="G21397">
        <v>448553</v>
      </c>
      <c r="H21397">
        <v>13051872</v>
      </c>
      <c r="I21397">
        <v>12577291</v>
      </c>
      <c r="J21397">
        <v>6</v>
      </c>
    </row>
    <row r="21398" spans="1:10" x14ac:dyDescent="0.25">
      <c r="A21398" t="s">
        <v>1630</v>
      </c>
      <c r="B21398" s="1" t="str">
        <f>HYPERLINK("http://g2rgroup.com","g2rgroup.com")</f>
        <v>g2rgroup.com</v>
      </c>
      <c r="C21398" t="s">
        <v>433</v>
      </c>
      <c r="F21398">
        <v>1.32947216140572E-8</v>
      </c>
      <c r="G21398">
        <v>4495715</v>
      </c>
      <c r="H21398">
        <v>13035677</v>
      </c>
      <c r="I21398">
        <v>12647045</v>
      </c>
      <c r="J21398">
        <v>5</v>
      </c>
    </row>
    <row r="21399" spans="1:10" x14ac:dyDescent="0.25">
      <c r="A21399" t="s">
        <v>1630</v>
      </c>
      <c r="B21399" s="1" t="str">
        <f>HYPERLINK("http://hitachi-lg.com","hitachi-lg.com")</f>
        <v>hitachi-lg.com</v>
      </c>
      <c r="C21399" t="s">
        <v>433</v>
      </c>
      <c r="F21399">
        <v>1.7434638577016301E-8</v>
      </c>
      <c r="G21399">
        <v>3163755</v>
      </c>
      <c r="H21399">
        <v>14099931</v>
      </c>
      <c r="I21399">
        <v>2708747</v>
      </c>
      <c r="J21399">
        <v>5</v>
      </c>
    </row>
    <row r="21400" spans="1:10" x14ac:dyDescent="0.25">
      <c r="A21400" t="s">
        <v>1630</v>
      </c>
      <c r="B21400" s="1" t="str">
        <f>HYPERLINK("http://hldsgw.com","hldsgw.com")</f>
        <v>hldsgw.com</v>
      </c>
      <c r="C21400" t="s">
        <v>433</v>
      </c>
      <c r="J21400">
        <v>8</v>
      </c>
    </row>
    <row r="21401" spans="1:10" x14ac:dyDescent="0.25">
      <c r="A21401" t="s">
        <v>1630</v>
      </c>
      <c r="B21401" s="1" t="str">
        <f>HYPERLINK("http://lg.com","lg.com")</f>
        <v>lg.com</v>
      </c>
      <c r="C21401" t="s">
        <v>433</v>
      </c>
      <c r="E21401">
        <v>1984</v>
      </c>
      <c r="F21401">
        <v>1.16377852823354E-5</v>
      </c>
      <c r="G21401">
        <v>2949</v>
      </c>
      <c r="H21401">
        <v>18046502</v>
      </c>
      <c r="I21401">
        <v>3412</v>
      </c>
      <c r="J21401">
        <v>4</v>
      </c>
    </row>
    <row r="21402" spans="1:10" x14ac:dyDescent="0.25">
      <c r="A21402" t="s">
        <v>1630</v>
      </c>
      <c r="B21402" s="1" t="str">
        <f>HYPERLINK("http://lgcare.com","lgcare.com")</f>
        <v>lgcare.com</v>
      </c>
      <c r="C21402" t="s">
        <v>433</v>
      </c>
      <c r="F21402">
        <v>1.0001591367835499E-7</v>
      </c>
      <c r="G21402">
        <v>402333</v>
      </c>
      <c r="H21402">
        <v>14404965</v>
      </c>
      <c r="I21402">
        <v>1149762</v>
      </c>
      <c r="J21402">
        <v>8</v>
      </c>
    </row>
    <row r="21403" spans="1:10" x14ac:dyDescent="0.25">
      <c r="A21403" t="s">
        <v>1630</v>
      </c>
      <c r="B21403" s="1" t="str">
        <f>HYPERLINK("http://lgchem.com","lgchem.com")</f>
        <v>lgchem.com</v>
      </c>
      <c r="C21403" t="s">
        <v>433</v>
      </c>
      <c r="E21403">
        <v>77425</v>
      </c>
      <c r="F21403">
        <v>4.8514618514132602E-7</v>
      </c>
      <c r="G21403">
        <v>78476</v>
      </c>
      <c r="H21403">
        <v>17288302</v>
      </c>
      <c r="I21403">
        <v>29221</v>
      </c>
      <c r="J21403">
        <v>1</v>
      </c>
    </row>
    <row r="21404" spans="1:10" x14ac:dyDescent="0.25">
      <c r="A21404" t="s">
        <v>1630</v>
      </c>
      <c r="B21404" s="1" t="str">
        <f>HYPERLINK("http://lgcns.com","lgcns.com")</f>
        <v>lgcns.com</v>
      </c>
      <c r="C21404" t="s">
        <v>433</v>
      </c>
      <c r="E21404">
        <v>92631</v>
      </c>
      <c r="F21404">
        <v>2.82449917113656E-7</v>
      </c>
      <c r="G21404">
        <v>131638</v>
      </c>
      <c r="H21404">
        <v>17204350</v>
      </c>
      <c r="I21404">
        <v>41002</v>
      </c>
      <c r="J21404">
        <v>5</v>
      </c>
    </row>
    <row r="21405" spans="1:10" x14ac:dyDescent="0.25">
      <c r="A21405" t="s">
        <v>1630</v>
      </c>
      <c r="B21405" s="1" t="str">
        <f>HYPERLINK("http://lgdealernetplus.com","lgdealernetplus.com")</f>
        <v>lgdealernetplus.com</v>
      </c>
      <c r="C21405" t="s">
        <v>433</v>
      </c>
      <c r="E21405">
        <v>929674</v>
      </c>
      <c r="F21405">
        <v>4.45348769119142E-9</v>
      </c>
      <c r="G21405">
        <v>70150262</v>
      </c>
      <c r="H21405">
        <v>10378773</v>
      </c>
      <c r="I21405">
        <v>54628519</v>
      </c>
      <c r="J21405">
        <v>9</v>
      </c>
    </row>
    <row r="21406" spans="1:10" x14ac:dyDescent="0.25">
      <c r="A21406" t="s">
        <v>1630</v>
      </c>
      <c r="B21406" s="1" t="str">
        <f>HYPERLINK("http://lgdisplay.com","lgdisplay.com")</f>
        <v>lgdisplay.com</v>
      </c>
      <c r="C21406" t="s">
        <v>433</v>
      </c>
      <c r="E21406">
        <v>102262</v>
      </c>
      <c r="F21406">
        <v>3.0232536049493198E-7</v>
      </c>
      <c r="G21406">
        <v>122987</v>
      </c>
      <c r="H21406">
        <v>14751600</v>
      </c>
      <c r="I21406">
        <v>563193</v>
      </c>
      <c r="J21406">
        <v>5</v>
      </c>
    </row>
    <row r="21407" spans="1:10" x14ac:dyDescent="0.25">
      <c r="A21407" t="s">
        <v>1630</v>
      </c>
      <c r="B21407" s="1" t="str">
        <f>HYPERLINK("http://lge.com","lge.com")</f>
        <v>lge.com</v>
      </c>
      <c r="C21407" t="s">
        <v>433</v>
      </c>
      <c r="E21407">
        <v>4151</v>
      </c>
      <c r="F21407">
        <v>1.90021659316265E-6</v>
      </c>
      <c r="G21407">
        <v>19532</v>
      </c>
      <c r="H21407">
        <v>17467858</v>
      </c>
      <c r="I21407">
        <v>15184</v>
      </c>
      <c r="J21407">
        <v>7</v>
      </c>
    </row>
    <row r="21408" spans="1:10" x14ac:dyDescent="0.25">
      <c r="A21408" t="s">
        <v>1630</v>
      </c>
      <c r="B21408" s="1" t="str">
        <f>HYPERLINK("http://lgensol.com","lgensol.com")</f>
        <v>lgensol.com</v>
      </c>
      <c r="C21408" t="s">
        <v>433</v>
      </c>
      <c r="E21408">
        <v>205116</v>
      </c>
      <c r="F21408">
        <v>2.0402118551982E-7</v>
      </c>
      <c r="G21408">
        <v>186283</v>
      </c>
      <c r="H21408">
        <v>13981272</v>
      </c>
      <c r="I21408">
        <v>4048698</v>
      </c>
      <c r="J21408">
        <v>3</v>
      </c>
    </row>
    <row r="21409" spans="1:10" x14ac:dyDescent="0.25">
      <c r="A21409" t="s">
        <v>1630</v>
      </c>
      <c r="B21409" s="1" t="str">
        <f>HYPERLINK("http://lghnh.com","lghnh.com")</f>
        <v>lghnh.com</v>
      </c>
      <c r="C21409" t="s">
        <v>433</v>
      </c>
      <c r="F21409">
        <v>7.3926474688746903E-8</v>
      </c>
      <c r="G21409">
        <v>569587</v>
      </c>
      <c r="H21409">
        <v>14110255</v>
      </c>
      <c r="I21409">
        <v>2675583</v>
      </c>
      <c r="J21409">
        <v>5</v>
      </c>
    </row>
    <row r="21410" spans="1:10" x14ac:dyDescent="0.25">
      <c r="A21410" t="s">
        <v>1630</v>
      </c>
      <c r="B21410" s="1" t="str">
        <f>HYPERLINK("http://lginnotek.com","lginnotek.com")</f>
        <v>lginnotek.com</v>
      </c>
      <c r="C21410" t="s">
        <v>433</v>
      </c>
      <c r="E21410">
        <v>441274</v>
      </c>
      <c r="F21410">
        <v>9.5983581212461403E-8</v>
      </c>
      <c r="G21410">
        <v>421668</v>
      </c>
      <c r="H21410">
        <v>14806393</v>
      </c>
      <c r="I21410">
        <v>546795</v>
      </c>
      <c r="J21410">
        <v>8</v>
      </c>
    </row>
    <row r="21411" spans="1:10" x14ac:dyDescent="0.25">
      <c r="A21411" t="s">
        <v>1630</v>
      </c>
      <c r="B21411" s="1" t="str">
        <f>HYPERLINK("http://lgls.com","lgls.com")</f>
        <v>lgls.com</v>
      </c>
      <c r="C21411" t="s">
        <v>433</v>
      </c>
      <c r="F21411">
        <v>1.5136429326230199E-8</v>
      </c>
      <c r="G21411">
        <v>3796043</v>
      </c>
      <c r="H21411">
        <v>13962105</v>
      </c>
      <c r="I21411">
        <v>4103855</v>
      </c>
      <c r="J21411">
        <v>5</v>
      </c>
    </row>
    <row r="21412" spans="1:10" x14ac:dyDescent="0.25">
      <c r="A21412" t="s">
        <v>1630</v>
      </c>
      <c r="B21412" s="1" t="str">
        <f>HYPERLINK("http://lglsi.com","lglsi.com")</f>
        <v>lglsi.com</v>
      </c>
      <c r="C21412" t="s">
        <v>433</v>
      </c>
      <c r="F21412">
        <v>4.4933845555206897E-9</v>
      </c>
      <c r="G21412">
        <v>59955326</v>
      </c>
      <c r="H21412">
        <v>12043304</v>
      </c>
      <c r="I21412">
        <v>27393491</v>
      </c>
      <c r="J21412">
        <v>3</v>
      </c>
    </row>
    <row r="21413" spans="1:10" x14ac:dyDescent="0.25">
      <c r="A21413" t="s">
        <v>1630</v>
      </c>
      <c r="B21413" s="1" t="str">
        <f>HYPERLINK("http://lgmsr.com","lgmsr.com")</f>
        <v>lgmsr.com</v>
      </c>
      <c r="C21413" t="s">
        <v>433</v>
      </c>
      <c r="F21413">
        <v>7.7889771404575101E-9</v>
      </c>
      <c r="G21413">
        <v>10348356</v>
      </c>
      <c r="H21413">
        <v>14100575</v>
      </c>
      <c r="I21413">
        <v>2705207</v>
      </c>
      <c r="J21413">
        <v>5</v>
      </c>
    </row>
    <row r="21414" spans="1:10" x14ac:dyDescent="0.25">
      <c r="A21414" t="s">
        <v>1630</v>
      </c>
      <c r="B21414" s="1" t="str">
        <f>HYPERLINK("http://lgnewsroom.com","lgnewsroom.com")</f>
        <v>lgnewsroom.com</v>
      </c>
      <c r="C21414" t="s">
        <v>433</v>
      </c>
      <c r="E21414">
        <v>36627</v>
      </c>
      <c r="F21414">
        <v>1.0817934265393199E-6</v>
      </c>
      <c r="G21414">
        <v>35606</v>
      </c>
      <c r="H21414">
        <v>15468543</v>
      </c>
      <c r="I21414">
        <v>377622</v>
      </c>
      <c r="J21414">
        <v>9</v>
      </c>
    </row>
    <row r="21415" spans="1:10" x14ac:dyDescent="0.25">
      <c r="A21415" t="s">
        <v>1630</v>
      </c>
      <c r="B21415" s="1" t="str">
        <f>HYPERLINK("http://lgsoftindia.com","lgsoftindia.com")</f>
        <v>lgsoftindia.com</v>
      </c>
      <c r="C21415" t="s">
        <v>433</v>
      </c>
      <c r="F21415">
        <v>1.8606396939006099E-8</v>
      </c>
      <c r="G21415">
        <v>2906122</v>
      </c>
      <c r="H21415">
        <v>13740437</v>
      </c>
      <c r="I21415">
        <v>9429906</v>
      </c>
      <c r="J21415">
        <v>11</v>
      </c>
    </row>
    <row r="21416" spans="1:10" x14ac:dyDescent="0.25">
      <c r="A21416" t="s">
        <v>1630</v>
      </c>
      <c r="B21416" s="1" t="str">
        <f>HYPERLINK("http://lgsoporte.com","lgsoporte.com")</f>
        <v>lgsoporte.com</v>
      </c>
      <c r="C21416" t="s">
        <v>433</v>
      </c>
      <c r="J21416">
        <v>7</v>
      </c>
    </row>
    <row r="21417" spans="1:10" x14ac:dyDescent="0.25">
      <c r="A21417" t="s">
        <v>1630</v>
      </c>
      <c r="B21417" s="1" t="str">
        <f>HYPERLINK("http://lgsvl.com","lgsvl.com")</f>
        <v>lgsvl.com</v>
      </c>
      <c r="C21417" t="s">
        <v>433</v>
      </c>
      <c r="F21417">
        <v>1.6686949831558899E-8</v>
      </c>
      <c r="G21417">
        <v>3362072</v>
      </c>
      <c r="H21417">
        <v>12987563</v>
      </c>
      <c r="I21417">
        <v>12883336</v>
      </c>
      <c r="J21417">
        <v>7</v>
      </c>
    </row>
    <row r="21418" spans="1:10" x14ac:dyDescent="0.25">
      <c r="A21418" t="s">
        <v>1630</v>
      </c>
      <c r="B21418" s="1" t="str">
        <f>HYPERLINK("http://lgtechventures.com","lgtechventures.com")</f>
        <v>lgtechventures.com</v>
      </c>
      <c r="C21418" t="s">
        <v>433</v>
      </c>
      <c r="F21418">
        <v>3.0375278549669003E-8</v>
      </c>
      <c r="G21418">
        <v>1694899</v>
      </c>
      <c r="H21418">
        <v>13493658</v>
      </c>
      <c r="I21418">
        <v>9982317</v>
      </c>
      <c r="J21418">
        <v>10</v>
      </c>
    </row>
    <row r="21419" spans="1:10" x14ac:dyDescent="0.25">
      <c r="A21419" t="s">
        <v>1630</v>
      </c>
      <c r="B21419" s="1" t="str">
        <f>HYPERLINK("http://lguplus.com","lguplus.com")</f>
        <v>lguplus.com</v>
      </c>
      <c r="C21419" t="s">
        <v>433</v>
      </c>
      <c r="E21419">
        <v>18528</v>
      </c>
      <c r="F21419">
        <v>1.13548260956067E-6</v>
      </c>
      <c r="G21419">
        <v>34023</v>
      </c>
      <c r="H21419">
        <v>15894467</v>
      </c>
      <c r="I21419">
        <v>367205</v>
      </c>
      <c r="J21419">
        <v>8</v>
      </c>
    </row>
    <row r="21420" spans="1:10" x14ac:dyDescent="0.25">
      <c r="A21420" t="s">
        <v>1630</v>
      </c>
      <c r="B21420" s="1" t="str">
        <f>HYPERLINK("http://lgynnotek.com","lgynnotek.com")</f>
        <v>lgynnotek.com</v>
      </c>
      <c r="C21420" t="s">
        <v>433</v>
      </c>
      <c r="J21420">
        <v>10</v>
      </c>
    </row>
    <row r="21421" spans="1:10" x14ac:dyDescent="0.25">
      <c r="A21421" t="s">
        <v>1630</v>
      </c>
      <c r="B21421" s="1" t="str">
        <f>HYPERLINK("http://seetec.com","seetec.com")</f>
        <v>seetec.com</v>
      </c>
      <c r="C21421" t="s">
        <v>433</v>
      </c>
      <c r="F21421">
        <v>8.5988494788937602E-9</v>
      </c>
      <c r="G21421">
        <v>8658493</v>
      </c>
      <c r="H21421">
        <v>12216893</v>
      </c>
      <c r="I21421">
        <v>22862874</v>
      </c>
      <c r="J21421">
        <v>3</v>
      </c>
    </row>
    <row r="21422" spans="1:10" x14ac:dyDescent="0.25">
      <c r="A21422" t="s">
        <v>1630</v>
      </c>
      <c r="B21422" s="1" t="str">
        <f>HYPERLINK("http://shshjin.com","shshjin.com")</f>
        <v>shshjin.com</v>
      </c>
      <c r="C21422" t="s">
        <v>433</v>
      </c>
      <c r="J21422">
        <v>2</v>
      </c>
    </row>
    <row r="21423" spans="1:10" x14ac:dyDescent="0.25">
      <c r="A21423" t="s">
        <v>1630</v>
      </c>
      <c r="B21423" s="1" t="str">
        <f>HYPERLINK("http://thefaceshop.com","thefaceshop.com")</f>
        <v>thefaceshop.com</v>
      </c>
      <c r="C21423" t="s">
        <v>433</v>
      </c>
      <c r="E21423">
        <v>868727</v>
      </c>
      <c r="F21423">
        <v>5.4409577567334498E-8</v>
      </c>
      <c r="G21423">
        <v>829743</v>
      </c>
      <c r="H21423">
        <v>14989801</v>
      </c>
      <c r="I21423">
        <v>428346</v>
      </c>
      <c r="J21423">
        <v>6</v>
      </c>
    </row>
    <row r="21424" spans="1:10" x14ac:dyDescent="0.25">
      <c r="A21424" t="s">
        <v>1630</v>
      </c>
      <c r="B21424" s="1" t="str">
        <f>HYPERLINK("http://uniseal.com","uniseal.com")</f>
        <v>uniseal.com</v>
      </c>
      <c r="C21424" t="s">
        <v>433</v>
      </c>
      <c r="F21424">
        <v>9.2211131028683397E-9</v>
      </c>
      <c r="G21424">
        <v>7681704</v>
      </c>
      <c r="H21424">
        <v>13164374</v>
      </c>
      <c r="I21424">
        <v>11747520</v>
      </c>
      <c r="J21424">
        <v>3</v>
      </c>
    </row>
    <row r="21425" spans="1:10" x14ac:dyDescent="0.25">
      <c r="A21425" t="s">
        <v>1630</v>
      </c>
      <c r="B21425" s="1" t="str">
        <f>HYPERLINK("http://lg.cz","lg.cz")</f>
        <v>lg.cz</v>
      </c>
      <c r="C21425" t="s">
        <v>435</v>
      </c>
      <c r="D21425" t="s">
        <v>814</v>
      </c>
      <c r="F21425">
        <v>8.3949145580709602E-9</v>
      </c>
      <c r="G21425">
        <v>9053181</v>
      </c>
      <c r="H21425">
        <v>12418977</v>
      </c>
      <c r="I21425">
        <v>18478099</v>
      </c>
      <c r="J21425">
        <v>5</v>
      </c>
    </row>
    <row r="21426" spans="1:10" x14ac:dyDescent="0.25">
      <c r="A21426" t="s">
        <v>1630</v>
      </c>
      <c r="B21426" s="1" t="str">
        <f>HYPERLINK("http://lg.de","lg.de")</f>
        <v>lg.de</v>
      </c>
      <c r="C21426" t="s">
        <v>436</v>
      </c>
      <c r="D21426" t="s">
        <v>815</v>
      </c>
      <c r="F21426">
        <v>1.14590879645051E-7</v>
      </c>
      <c r="G21426">
        <v>347448</v>
      </c>
      <c r="H21426">
        <v>14106334</v>
      </c>
      <c r="I21426">
        <v>2688825</v>
      </c>
      <c r="J21426">
        <v>5</v>
      </c>
    </row>
    <row r="21427" spans="1:10" x14ac:dyDescent="0.25">
      <c r="A21427" t="s">
        <v>1630</v>
      </c>
      <c r="B21427" s="1" t="str">
        <f>HYPERLINK("http://lg.hu","lg.hu")</f>
        <v>lg.hu</v>
      </c>
      <c r="C21427" t="s">
        <v>453</v>
      </c>
      <c r="D21427" t="s">
        <v>830</v>
      </c>
      <c r="F21427">
        <v>2.00213274347288E-8</v>
      </c>
      <c r="G21427">
        <v>2655962</v>
      </c>
      <c r="H21427">
        <v>14076724</v>
      </c>
      <c r="I21427">
        <v>2881283</v>
      </c>
      <c r="J21427">
        <v>5</v>
      </c>
    </row>
    <row r="21428" spans="1:10" x14ac:dyDescent="0.25">
      <c r="A21428" t="s">
        <v>1630</v>
      </c>
      <c r="B21428" s="1" t="str">
        <f>HYPERLINK("http://t-szignal.hu","t-szignal.hu")</f>
        <v>t-szignal.hu</v>
      </c>
      <c r="C21428" t="s">
        <v>453</v>
      </c>
      <c r="D21428" t="s">
        <v>830</v>
      </c>
      <c r="J21428">
        <v>6</v>
      </c>
    </row>
    <row r="21429" spans="1:10" x14ac:dyDescent="0.25">
      <c r="A21429" t="s">
        <v>1630</v>
      </c>
      <c r="B21429" s="1" t="str">
        <f>HYPERLINK("http://lgnewsroom.it","lgnewsroom.it")</f>
        <v>lgnewsroom.it</v>
      </c>
      <c r="C21429" t="s">
        <v>459</v>
      </c>
      <c r="D21429" t="s">
        <v>835</v>
      </c>
      <c r="F21429">
        <v>2.9976775918731899E-8</v>
      </c>
      <c r="G21429">
        <v>1716243</v>
      </c>
      <c r="H21429">
        <v>13065222</v>
      </c>
      <c r="I21429">
        <v>12291867</v>
      </c>
      <c r="J21429">
        <v>10</v>
      </c>
    </row>
    <row r="21430" spans="1:10" x14ac:dyDescent="0.25">
      <c r="A21430" t="s">
        <v>1630</v>
      </c>
      <c r="B21430" s="1" t="str">
        <f>HYPERLINK("http://dcxstudio.co.kr","dcxstudio.co.kr")</f>
        <v>dcxstudio.co.kr</v>
      </c>
      <c r="C21430" t="s">
        <v>463</v>
      </c>
      <c r="D21430" t="s">
        <v>839</v>
      </c>
      <c r="J21430">
        <v>8</v>
      </c>
    </row>
    <row r="21431" spans="1:10" x14ac:dyDescent="0.25">
      <c r="A21431" t="s">
        <v>1630</v>
      </c>
      <c r="B21431" s="1" t="str">
        <f>HYPERLINK("http://ez-i.co.kr","ez-i.co.kr")</f>
        <v>ez-i.co.kr</v>
      </c>
      <c r="C21431" t="s">
        <v>463</v>
      </c>
      <c r="D21431" t="s">
        <v>839</v>
      </c>
      <c r="E21431">
        <v>247398</v>
      </c>
      <c r="F21431">
        <v>4.5937062767940603E-9</v>
      </c>
      <c r="G21431">
        <v>48114905</v>
      </c>
      <c r="H21431">
        <v>12658705</v>
      </c>
      <c r="I21431">
        <v>15730128</v>
      </c>
      <c r="J21431">
        <v>7</v>
      </c>
    </row>
    <row r="21432" spans="1:10" x14ac:dyDescent="0.25">
      <c r="A21432" t="s">
        <v>1630</v>
      </c>
      <c r="B21432" s="1" t="str">
        <f>HYPERLINK("http://hsad.co.kr","hsad.co.kr")</f>
        <v>hsad.co.kr</v>
      </c>
      <c r="C21432" t="s">
        <v>463</v>
      </c>
      <c r="D21432" t="s">
        <v>839</v>
      </c>
      <c r="F21432">
        <v>1.6970632756170299E-8</v>
      </c>
      <c r="G21432">
        <v>3290333</v>
      </c>
      <c r="H21432">
        <v>14077461</v>
      </c>
      <c r="I21432">
        <v>2865092</v>
      </c>
      <c r="J21432">
        <v>5</v>
      </c>
    </row>
    <row r="21433" spans="1:10" x14ac:dyDescent="0.25">
      <c r="A21433" t="s">
        <v>1630</v>
      </c>
      <c r="B21433" s="1" t="str">
        <f>HYPERLINK("http://lg.co.kr","lg.co.kr")</f>
        <v>lg.co.kr</v>
      </c>
      <c r="C21433" t="s">
        <v>463</v>
      </c>
      <c r="D21433" t="s">
        <v>839</v>
      </c>
      <c r="E21433">
        <v>1624</v>
      </c>
      <c r="F21433">
        <v>1.9293835812456099E-7</v>
      </c>
      <c r="G21433">
        <v>199743</v>
      </c>
      <c r="H21433">
        <v>14537556</v>
      </c>
      <c r="I21433">
        <v>778403</v>
      </c>
      <c r="J21433">
        <v>5</v>
      </c>
    </row>
    <row r="21434" spans="1:10" x14ac:dyDescent="0.25">
      <c r="A21434" t="s">
        <v>1630</v>
      </c>
      <c r="B21434" s="1" t="str">
        <f>HYPERLINK("http://lgcare.co.kr","lgcare.co.kr")</f>
        <v>lgcare.co.kr</v>
      </c>
      <c r="C21434" t="s">
        <v>463</v>
      </c>
      <c r="D21434" t="s">
        <v>839</v>
      </c>
      <c r="F21434">
        <v>2.4729538584065202E-8</v>
      </c>
      <c r="G21434">
        <v>2091717</v>
      </c>
      <c r="H21434">
        <v>14122246</v>
      </c>
      <c r="I21434">
        <v>2220329</v>
      </c>
      <c r="J21434">
        <v>9</v>
      </c>
    </row>
    <row r="21435" spans="1:10" x14ac:dyDescent="0.25">
      <c r="A21435" t="s">
        <v>1630</v>
      </c>
      <c r="B21435" s="1" t="str">
        <f>HYPERLINK("http://lgchem.co.kr","lgchem.co.kr")</f>
        <v>lgchem.co.kr</v>
      </c>
      <c r="C21435" t="s">
        <v>463</v>
      </c>
      <c r="D21435" t="s">
        <v>839</v>
      </c>
      <c r="F21435">
        <v>4.0057934216855601E-8</v>
      </c>
      <c r="G21435">
        <v>1290743</v>
      </c>
      <c r="H21435">
        <v>13413454</v>
      </c>
      <c r="I21435">
        <v>10320382</v>
      </c>
      <c r="J21435">
        <v>2</v>
      </c>
    </row>
    <row r="21436" spans="1:10" x14ac:dyDescent="0.25">
      <c r="A21436" t="s">
        <v>1630</v>
      </c>
      <c r="B21436" s="1" t="str">
        <f>HYPERLINK("http://lgcns.co.kr","lgcns.co.kr")</f>
        <v>lgcns.co.kr</v>
      </c>
      <c r="C21436" t="s">
        <v>463</v>
      </c>
      <c r="D21436" t="s">
        <v>839</v>
      </c>
      <c r="F21436">
        <v>1.15343582504872E-7</v>
      </c>
      <c r="G21436">
        <v>345008</v>
      </c>
      <c r="H21436">
        <v>17034944</v>
      </c>
      <c r="I21436">
        <v>81625</v>
      </c>
      <c r="J21436">
        <v>6</v>
      </c>
    </row>
    <row r="21437" spans="1:10" x14ac:dyDescent="0.25">
      <c r="A21437" t="s">
        <v>1630</v>
      </c>
      <c r="B21437" s="1" t="str">
        <f>HYPERLINK("http://lge.co.kr","lge.co.kr")</f>
        <v>lge.co.kr</v>
      </c>
      <c r="C21437" t="s">
        <v>463</v>
      </c>
      <c r="D21437" t="s">
        <v>839</v>
      </c>
      <c r="E21437">
        <v>49181</v>
      </c>
      <c r="F21437">
        <v>1.1656421899183101E-6</v>
      </c>
      <c r="G21437">
        <v>33336</v>
      </c>
      <c r="H21437">
        <v>17486808</v>
      </c>
      <c r="I21437">
        <v>14280</v>
      </c>
      <c r="J21437">
        <v>6</v>
      </c>
    </row>
    <row r="21438" spans="1:10" x14ac:dyDescent="0.25">
      <c r="A21438" t="s">
        <v>1630</v>
      </c>
      <c r="B21438" s="1" t="str">
        <f>HYPERLINK("http://lguplus.co.kr","lguplus.co.kr")</f>
        <v>lguplus.co.kr</v>
      </c>
      <c r="C21438" t="s">
        <v>463</v>
      </c>
      <c r="D21438" t="s">
        <v>839</v>
      </c>
      <c r="E21438">
        <v>271011</v>
      </c>
      <c r="F21438">
        <v>3.4397347080994702E-8</v>
      </c>
      <c r="G21438">
        <v>1507641</v>
      </c>
      <c r="H21438">
        <v>12780103</v>
      </c>
      <c r="I21438">
        <v>14757876</v>
      </c>
      <c r="J21438">
        <v>7</v>
      </c>
    </row>
    <row r="21439" spans="1:10" x14ac:dyDescent="0.25">
      <c r="A21439" t="s">
        <v>1630</v>
      </c>
      <c r="B21439" s="1" t="str">
        <f>HYPERLINK("http://medialog.co.kr","medialog.co.kr")</f>
        <v>medialog.co.kr</v>
      </c>
      <c r="C21439" t="s">
        <v>463</v>
      </c>
      <c r="D21439" t="s">
        <v>839</v>
      </c>
      <c r="F21439">
        <v>3.96144702913755E-8</v>
      </c>
      <c r="G21439">
        <v>1303463</v>
      </c>
      <c r="H21439">
        <v>12434455</v>
      </c>
      <c r="I21439">
        <v>18222894</v>
      </c>
      <c r="J21439">
        <v>6</v>
      </c>
    </row>
    <row r="21440" spans="1:10" x14ac:dyDescent="0.25">
      <c r="A21440" t="s">
        <v>1630</v>
      </c>
      <c r="B21440" s="1" t="str">
        <f>HYPERLINK("http://uplus.co.kr","uplus.co.kr")</f>
        <v>uplus.co.kr</v>
      </c>
      <c r="C21440" t="s">
        <v>463</v>
      </c>
      <c r="D21440" t="s">
        <v>839</v>
      </c>
      <c r="E21440">
        <v>40043</v>
      </c>
      <c r="F21440">
        <v>2.1977266356199802E-6</v>
      </c>
      <c r="G21440">
        <v>16691</v>
      </c>
      <c r="H21440">
        <v>17198650</v>
      </c>
      <c r="I21440">
        <v>42039</v>
      </c>
      <c r="J21440">
        <v>5</v>
      </c>
    </row>
    <row r="21441" spans="1:10" x14ac:dyDescent="0.25">
      <c r="A21441" t="s">
        <v>1630</v>
      </c>
      <c r="B21441" s="1" t="str">
        <f>HYPERLINK("http://upluscar.co.kr","upluscar.co.kr")</f>
        <v>upluscar.co.kr</v>
      </c>
      <c r="C21441" t="s">
        <v>463</v>
      </c>
      <c r="D21441" t="s">
        <v>839</v>
      </c>
      <c r="J21441">
        <v>7</v>
      </c>
    </row>
    <row r="21442" spans="1:10" x14ac:dyDescent="0.25">
      <c r="A21442" t="s">
        <v>1630</v>
      </c>
      <c r="B21442" s="1" t="str">
        <f>HYPERLINK("http://dcxstudio.kr","dcxstudio.kr")</f>
        <v>dcxstudio.kr</v>
      </c>
      <c r="C21442" t="s">
        <v>463</v>
      </c>
      <c r="D21442" t="s">
        <v>839</v>
      </c>
      <c r="J21442">
        <v>8</v>
      </c>
    </row>
    <row r="21443" spans="1:10" x14ac:dyDescent="0.25">
      <c r="A21443" t="s">
        <v>1630</v>
      </c>
      <c r="B21443" s="1" t="str">
        <f>HYPERLINK("http://lg.or.kr","lg.or.kr")</f>
        <v>lg.or.kr</v>
      </c>
      <c r="C21443" t="s">
        <v>463</v>
      </c>
      <c r="D21443" t="s">
        <v>839</v>
      </c>
      <c r="E21443">
        <v>988517</v>
      </c>
      <c r="F21443">
        <v>4.5185024188612802E-8</v>
      </c>
      <c r="G21443">
        <v>1044007</v>
      </c>
      <c r="H21443">
        <v>14240302</v>
      </c>
      <c r="I21443">
        <v>1502380</v>
      </c>
      <c r="J21443">
        <v>6</v>
      </c>
    </row>
    <row r="21444" spans="1:10" x14ac:dyDescent="0.25">
      <c r="A21444" t="s">
        <v>1630</v>
      </c>
      <c r="B21444" s="1" t="str">
        <f>HYPERLINK("http://uplus.kr","uplus.kr")</f>
        <v>uplus.kr</v>
      </c>
      <c r="C21444" t="s">
        <v>463</v>
      </c>
      <c r="D21444" t="s">
        <v>839</v>
      </c>
      <c r="F21444">
        <v>5.9769419621966905E-8</v>
      </c>
      <c r="G21444">
        <v>739153</v>
      </c>
      <c r="H21444">
        <v>16762030</v>
      </c>
      <c r="I21444">
        <v>227601</v>
      </c>
      <c r="J21444">
        <v>6</v>
      </c>
    </row>
    <row r="21445" spans="1:10" x14ac:dyDescent="0.25">
      <c r="A21445" t="s">
        <v>1630</v>
      </c>
      <c r="B21445" s="1" t="str">
        <f>HYPERLINK("http://lg.com.mx","lg.com.mx")</f>
        <v>lg.com.mx</v>
      </c>
      <c r="C21445" t="s">
        <v>471</v>
      </c>
      <c r="D21445" t="s">
        <v>847</v>
      </c>
      <c r="F21445">
        <v>4.9752096510210102E-9</v>
      </c>
      <c r="G21445">
        <v>30116426</v>
      </c>
      <c r="H21445">
        <v>13031516</v>
      </c>
      <c r="I21445">
        <v>12664746</v>
      </c>
      <c r="J21445">
        <v>7</v>
      </c>
    </row>
    <row r="21446" spans="1:10" x14ac:dyDescent="0.25">
      <c r="A21446" t="s">
        <v>1630</v>
      </c>
      <c r="B21446" s="1" t="str">
        <f>HYPERLINK("http://lge.com.mx","lge.com.mx")</f>
        <v>lge.com.mx</v>
      </c>
      <c r="C21446" t="s">
        <v>471</v>
      </c>
      <c r="D21446" t="s">
        <v>847</v>
      </c>
      <c r="F21446">
        <v>4.5801269514363804E-9</v>
      </c>
      <c r="G21446">
        <v>49278285</v>
      </c>
      <c r="H21446">
        <v>13062910</v>
      </c>
      <c r="I21446">
        <v>12310741</v>
      </c>
      <c r="J21446">
        <v>9</v>
      </c>
    </row>
    <row r="21447" spans="1:10" x14ac:dyDescent="0.25">
      <c r="A21447" t="s">
        <v>1630</v>
      </c>
      <c r="B21447" s="1" t="str">
        <f>HYPERLINK("http://bora.net","bora.net")</f>
        <v>bora.net</v>
      </c>
      <c r="C21447" t="s">
        <v>474</v>
      </c>
      <c r="E21447">
        <v>93616</v>
      </c>
      <c r="F21447">
        <v>7.4509253934199803E-7</v>
      </c>
      <c r="G21447">
        <v>52269</v>
      </c>
      <c r="H21447">
        <v>12948816</v>
      </c>
      <c r="I21447">
        <v>13218465</v>
      </c>
      <c r="J21447">
        <v>7</v>
      </c>
    </row>
    <row r="21448" spans="1:10" x14ac:dyDescent="0.25">
      <c r="A21448" t="s">
        <v>1630</v>
      </c>
      <c r="B21448" s="1" t="str">
        <f>HYPERLINK("http://dcxstudio.net","dcxstudio.net")</f>
        <v>dcxstudio.net</v>
      </c>
      <c r="C21448" t="s">
        <v>474</v>
      </c>
      <c r="J21448">
        <v>8</v>
      </c>
    </row>
    <row r="21449" spans="1:10" x14ac:dyDescent="0.25">
      <c r="A21449" t="s">
        <v>1630</v>
      </c>
      <c r="B21449" s="1" t="str">
        <f>HYPERLINK("http://lgensol.pl","lgensol.pl")</f>
        <v>lgensol.pl</v>
      </c>
      <c r="C21449" t="s">
        <v>486</v>
      </c>
      <c r="D21449" t="s">
        <v>860</v>
      </c>
      <c r="F21449">
        <v>1.2243668214861099E-8</v>
      </c>
      <c r="G21449">
        <v>5025952</v>
      </c>
      <c r="H21449">
        <v>12390267</v>
      </c>
      <c r="I21449">
        <v>19039678</v>
      </c>
      <c r="J21449">
        <v>4</v>
      </c>
    </row>
    <row r="21450" spans="1:10" x14ac:dyDescent="0.25">
      <c r="A21450" t="s">
        <v>232</v>
      </c>
      <c r="B21450" s="1" t="str">
        <f>HYPERLINK("http://longi-solar.com.au","longi-solar.com.au")</f>
        <v>longi-solar.com.au</v>
      </c>
      <c r="C21450" t="s">
        <v>420</v>
      </c>
      <c r="D21450" t="s">
        <v>802</v>
      </c>
      <c r="F21450">
        <v>7.5203900136426807E-9</v>
      </c>
      <c r="G21450">
        <v>10968249</v>
      </c>
      <c r="H21450">
        <v>12842234</v>
      </c>
      <c r="I21450">
        <v>14334114</v>
      </c>
      <c r="J21450">
        <v>3</v>
      </c>
    </row>
    <row r="21451" spans="1:10" x14ac:dyDescent="0.25">
      <c r="A21451" t="s">
        <v>232</v>
      </c>
      <c r="B21451" s="1" t="str">
        <f>HYPERLINK("http://longi.com","longi.com")</f>
        <v>longi.com</v>
      </c>
      <c r="C21451" t="s">
        <v>433</v>
      </c>
      <c r="E21451">
        <v>194169</v>
      </c>
      <c r="F21451">
        <v>3.1479435774819998E-7</v>
      </c>
      <c r="G21451">
        <v>118088</v>
      </c>
      <c r="H21451">
        <v>14419181</v>
      </c>
      <c r="I21451">
        <v>1092449</v>
      </c>
      <c r="J21451">
        <v>4</v>
      </c>
    </row>
    <row r="21452" spans="1:10" x14ac:dyDescent="0.25">
      <c r="A21452" t="s">
        <v>232</v>
      </c>
      <c r="B21452" s="1" t="str">
        <f>HYPERLINK("http://longi-silicon.com","longi-silicon.com")</f>
        <v>longi-silicon.com</v>
      </c>
      <c r="C21452" t="s">
        <v>433</v>
      </c>
      <c r="F21452">
        <v>1.31960926456818E-8</v>
      </c>
      <c r="G21452">
        <v>4539947</v>
      </c>
      <c r="H21452">
        <v>12344153</v>
      </c>
      <c r="I21452">
        <v>19866311</v>
      </c>
      <c r="J21452">
        <v>3</v>
      </c>
    </row>
    <row r="21453" spans="1:10" x14ac:dyDescent="0.25">
      <c r="A21453" t="s">
        <v>232</v>
      </c>
      <c r="B21453" s="1" t="str">
        <f>HYPERLINK("http://longi-solar.com","longi-solar.com")</f>
        <v>longi-solar.com</v>
      </c>
      <c r="C21453" t="s">
        <v>433</v>
      </c>
      <c r="E21453">
        <v>647215</v>
      </c>
      <c r="F21453">
        <v>1.36651967839658E-7</v>
      </c>
      <c r="G21453">
        <v>285278</v>
      </c>
      <c r="H21453">
        <v>14263935</v>
      </c>
      <c r="I21453">
        <v>1411626</v>
      </c>
      <c r="J21453">
        <v>3</v>
      </c>
    </row>
    <row r="21454" spans="1:10" x14ac:dyDescent="0.25">
      <c r="A21454" t="s">
        <v>232</v>
      </c>
      <c r="B21454" s="1" t="str">
        <f>HYPERLINK("http://longigroup.com","longigroup.com")</f>
        <v>longigroup.com</v>
      </c>
      <c r="C21454" t="s">
        <v>433</v>
      </c>
      <c r="F21454">
        <v>3.44915978359474E-8</v>
      </c>
      <c r="G21454">
        <v>1503989</v>
      </c>
      <c r="H21454">
        <v>13775502</v>
      </c>
      <c r="I21454">
        <v>6578324</v>
      </c>
      <c r="J21454">
        <v>1</v>
      </c>
    </row>
    <row r="21455" spans="1:10" x14ac:dyDescent="0.25">
      <c r="A21455" t="s">
        <v>232</v>
      </c>
      <c r="B21455" s="1" t="str">
        <f>HYPERLINK("http://longisolar.fi","longisolar.fi")</f>
        <v>longisolar.fi</v>
      </c>
      <c r="C21455" t="s">
        <v>445</v>
      </c>
      <c r="D21455" t="s">
        <v>823</v>
      </c>
      <c r="J21455">
        <v>2</v>
      </c>
    </row>
    <row r="21456" spans="1:10" x14ac:dyDescent="0.25">
      <c r="A21456" t="s">
        <v>233</v>
      </c>
      <c r="B21456" s="1" t="str">
        <f>HYPERLINK("http://coventor.com","coventor.com")</f>
        <v>coventor.com</v>
      </c>
      <c r="C21456" t="s">
        <v>433</v>
      </c>
      <c r="F21456">
        <v>4.4981385927009598E-8</v>
      </c>
      <c r="G21456">
        <v>1050152</v>
      </c>
      <c r="H21456">
        <v>14760442</v>
      </c>
      <c r="I21456">
        <v>560505</v>
      </c>
      <c r="J21456">
        <v>3</v>
      </c>
    </row>
    <row r="21457" spans="1:10" x14ac:dyDescent="0.25">
      <c r="A21457" t="s">
        <v>233</v>
      </c>
      <c r="B21457" s="1" t="str">
        <f>HYPERLINK("http://lamresearch.com","lamresearch.com")</f>
        <v>lamresearch.com</v>
      </c>
      <c r="C21457" t="s">
        <v>433</v>
      </c>
      <c r="E21457">
        <v>50421</v>
      </c>
      <c r="F21457">
        <v>3.1569864762636998E-7</v>
      </c>
      <c r="G21457">
        <v>117768</v>
      </c>
      <c r="H21457">
        <v>15112651</v>
      </c>
      <c r="I21457">
        <v>404792</v>
      </c>
      <c r="J21457">
        <v>1</v>
      </c>
    </row>
    <row r="21458" spans="1:10" x14ac:dyDescent="0.25">
      <c r="A21458" t="s">
        <v>233</v>
      </c>
      <c r="B21458" s="1" t="str">
        <f>HYPERLINK("http://novellus.com","novellus.com")</f>
        <v>novellus.com</v>
      </c>
      <c r="C21458" t="s">
        <v>433</v>
      </c>
      <c r="E21458">
        <v>79823</v>
      </c>
      <c r="F21458">
        <v>1.0973011500121599E-8</v>
      </c>
      <c r="G21458">
        <v>5881930</v>
      </c>
      <c r="H21458">
        <v>13892042</v>
      </c>
      <c r="I21458">
        <v>5960300</v>
      </c>
      <c r="J21458">
        <v>4</v>
      </c>
    </row>
    <row r="21459" spans="1:10" x14ac:dyDescent="0.25">
      <c r="A21459" t="s">
        <v>233</v>
      </c>
      <c r="B21459" s="1" t="str">
        <f>HYPERLINK("http://piezoflare.com","piezoflare.com")</f>
        <v>piezoflare.com</v>
      </c>
      <c r="C21459" t="s">
        <v>433</v>
      </c>
      <c r="F21459">
        <v>4.4962863820477303E-9</v>
      </c>
      <c r="G21459">
        <v>59501316</v>
      </c>
      <c r="H21459">
        <v>10063990</v>
      </c>
      <c r="I21459">
        <v>60192761</v>
      </c>
      <c r="J21459">
        <v>3</v>
      </c>
    </row>
    <row r="21460" spans="1:10" x14ac:dyDescent="0.25">
      <c r="A21460" t="s">
        <v>233</v>
      </c>
      <c r="B21460" s="1" t="str">
        <f>HYPERLINK("http://silfex.com","silfex.com")</f>
        <v>silfex.com</v>
      </c>
      <c r="C21460" t="s">
        <v>433</v>
      </c>
      <c r="F21460">
        <v>8.8037893529170297E-9</v>
      </c>
      <c r="G21460">
        <v>8298782</v>
      </c>
      <c r="H21460">
        <v>13184802</v>
      </c>
      <c r="I21460">
        <v>11671372</v>
      </c>
      <c r="J21460">
        <v>3</v>
      </c>
    </row>
    <row r="21461" spans="1:10" x14ac:dyDescent="0.25">
      <c r="A21461" t="s">
        <v>233</v>
      </c>
      <c r="B21461" s="1" t="str">
        <f>HYPERLINK("http://talusmfg.com","talusmfg.com")</f>
        <v>talusmfg.com</v>
      </c>
      <c r="C21461" t="s">
        <v>433</v>
      </c>
      <c r="F21461">
        <v>8.6953460598714607E-9</v>
      </c>
      <c r="G21461">
        <v>8485656</v>
      </c>
      <c r="H21461">
        <v>12133837</v>
      </c>
      <c r="I21461">
        <v>25030825</v>
      </c>
      <c r="J21461">
        <v>3</v>
      </c>
    </row>
    <row r="21462" spans="1:10" x14ac:dyDescent="0.25">
      <c r="A21462" t="s">
        <v>233</v>
      </c>
      <c r="B21462" s="1" t="str">
        <f>HYPERLINK("http://metryx.net","metryx.net")</f>
        <v>metryx.net</v>
      </c>
      <c r="C21462" t="s">
        <v>474</v>
      </c>
      <c r="F21462">
        <v>1.55323508370085E-8</v>
      </c>
      <c r="G21462">
        <v>3675368</v>
      </c>
      <c r="H21462">
        <v>13727762</v>
      </c>
      <c r="I21462">
        <v>9460555</v>
      </c>
      <c r="J21462">
        <v>3</v>
      </c>
    </row>
    <row r="21463" spans="1:10" x14ac:dyDescent="0.25">
      <c r="A21463" t="s">
        <v>1631</v>
      </c>
      <c r="B21463" s="1" t="str">
        <f>HYPERLINK("http://ailvalves.com","ailvalves.com")</f>
        <v>ailvalves.com</v>
      </c>
      <c r="C21463" t="s">
        <v>433</v>
      </c>
      <c r="F21463">
        <v>5.9034267336231097E-9</v>
      </c>
      <c r="G21463">
        <v>17336162</v>
      </c>
      <c r="H21463">
        <v>11238914</v>
      </c>
      <c r="I21463">
        <v>30973510</v>
      </c>
      <c r="J21463">
        <v>3</v>
      </c>
    </row>
    <row r="21464" spans="1:10" x14ac:dyDescent="0.25">
      <c r="A21464" t="s">
        <v>1631</v>
      </c>
      <c r="B21464" s="1" t="str">
        <f>HYPERLINK("http://bsebeam.com","bsebeam.com")</f>
        <v>bsebeam.com</v>
      </c>
      <c r="C21464" t="s">
        <v>433</v>
      </c>
      <c r="F21464">
        <v>2.60428034750036E-8</v>
      </c>
      <c r="G21464">
        <v>1978280</v>
      </c>
      <c r="H21464">
        <v>12273885</v>
      </c>
      <c r="I21464">
        <v>21442163</v>
      </c>
      <c r="J21464">
        <v>6</v>
      </c>
    </row>
    <row r="21465" spans="1:10" x14ac:dyDescent="0.25">
      <c r="A21465" t="s">
        <v>1631</v>
      </c>
      <c r="B21465" s="1" t="str">
        <f>HYPERLINK("http://bseindia.com","bseindia.com")</f>
        <v>bseindia.com</v>
      </c>
      <c r="C21465" t="s">
        <v>433</v>
      </c>
      <c r="E21465">
        <v>12333</v>
      </c>
      <c r="F21465">
        <v>2.58383919947538E-6</v>
      </c>
      <c r="G21465">
        <v>14632</v>
      </c>
      <c r="H21465">
        <v>17532618</v>
      </c>
      <c r="I21465">
        <v>11972</v>
      </c>
      <c r="J21465">
        <v>3</v>
      </c>
    </row>
    <row r="21466" spans="1:10" x14ac:dyDescent="0.25">
      <c r="A21466" t="s">
        <v>1631</v>
      </c>
      <c r="B21466" s="1" t="str">
        <f>HYPERLINK("http://cn-st-sd.com","cn-st-sd.com")</f>
        <v>cn-st-sd.com</v>
      </c>
      <c r="C21466" t="s">
        <v>433</v>
      </c>
      <c r="F21466">
        <v>6.6416540690625399E-9</v>
      </c>
      <c r="G21466">
        <v>13515864</v>
      </c>
      <c r="H21466">
        <v>13461150</v>
      </c>
      <c r="I21466">
        <v>10156603</v>
      </c>
      <c r="J21466">
        <v>6</v>
      </c>
    </row>
    <row r="21467" spans="1:10" x14ac:dyDescent="0.25">
      <c r="A21467" t="s">
        <v>1631</v>
      </c>
      <c r="B21467" s="1" t="str">
        <f>HYPERLINK("http://cuelogic.com","cuelogic.com")</f>
        <v>cuelogic.com</v>
      </c>
      <c r="C21467" t="s">
        <v>433</v>
      </c>
      <c r="E21467">
        <v>563807</v>
      </c>
      <c r="F21467">
        <v>9.9624650751799003E-8</v>
      </c>
      <c r="G21467">
        <v>404159</v>
      </c>
      <c r="H21467">
        <v>16943276</v>
      </c>
      <c r="I21467">
        <v>111005</v>
      </c>
      <c r="J21467">
        <v>3</v>
      </c>
    </row>
    <row r="21468" spans="1:10" x14ac:dyDescent="0.25">
      <c r="A21468" t="s">
        <v>1631</v>
      </c>
      <c r="B21468" s="1" t="str">
        <f>HYPERLINK("http://discoverture.com","discoverture.com")</f>
        <v>discoverture.com</v>
      </c>
      <c r="C21468" t="s">
        <v>433</v>
      </c>
      <c r="F21468">
        <v>4.4890029470293304E-9</v>
      </c>
      <c r="G21468">
        <v>60677051</v>
      </c>
      <c r="H21468">
        <v>11111239</v>
      </c>
      <c r="I21468">
        <v>32146340</v>
      </c>
      <c r="J21468">
        <v>8</v>
      </c>
    </row>
    <row r="21469" spans="1:10" x14ac:dyDescent="0.25">
      <c r="A21469" t="s">
        <v>1631</v>
      </c>
      <c r="B21469" s="1" t="str">
        <f>HYPERLINK("http://graphsemi.com","graphsemi.com")</f>
        <v>graphsemi.com</v>
      </c>
      <c r="C21469" t="s">
        <v>433</v>
      </c>
      <c r="F21469">
        <v>1.0027503080706099E-8</v>
      </c>
      <c r="G21469">
        <v>6728486</v>
      </c>
      <c r="H21469">
        <v>13268523</v>
      </c>
      <c r="I21469">
        <v>10998360</v>
      </c>
      <c r="J21469">
        <v>3</v>
      </c>
    </row>
    <row r="21470" spans="1:10" x14ac:dyDescent="0.25">
      <c r="A21470" t="s">
        <v>1631</v>
      </c>
      <c r="B21470" s="1" t="str">
        <f>HYPERLINK("http://icclindia.com","icclindia.com")</f>
        <v>icclindia.com</v>
      </c>
      <c r="C21470" t="s">
        <v>433</v>
      </c>
      <c r="F21470">
        <v>7.5766935658458196E-8</v>
      </c>
      <c r="G21470">
        <v>554559</v>
      </c>
      <c r="H21470">
        <v>12997926</v>
      </c>
      <c r="I21470">
        <v>12807974</v>
      </c>
      <c r="J21470">
        <v>8</v>
      </c>
    </row>
    <row r="21471" spans="1:10" x14ac:dyDescent="0.25">
      <c r="A21471" t="s">
        <v>1631</v>
      </c>
      <c r="B21471" s="1" t="str">
        <f>HYPERLINK("http://indiaicc.com","indiaicc.com")</f>
        <v>indiaicc.com</v>
      </c>
      <c r="C21471" t="s">
        <v>433</v>
      </c>
      <c r="F21471">
        <v>3.6408839290208301E-8</v>
      </c>
      <c r="G21471">
        <v>1433598</v>
      </c>
      <c r="H21471">
        <v>13817372</v>
      </c>
      <c r="I21471">
        <v>6157831</v>
      </c>
      <c r="J21471">
        <v>8</v>
      </c>
    </row>
    <row r="21472" spans="1:10" x14ac:dyDescent="0.25">
      <c r="A21472" t="s">
        <v>1631</v>
      </c>
      <c r="B21472" s="1" t="str">
        <f>HYPERLINK("http://larsentoubro.com","larsentoubro.com")</f>
        <v>larsentoubro.com</v>
      </c>
      <c r="C21472" t="s">
        <v>433</v>
      </c>
      <c r="E21472">
        <v>89421</v>
      </c>
      <c r="F21472">
        <v>2.3343496859128301E-7</v>
      </c>
      <c r="G21472">
        <v>160660</v>
      </c>
      <c r="H21472">
        <v>14940217</v>
      </c>
      <c r="I21472">
        <v>443911</v>
      </c>
      <c r="J21472">
        <v>1</v>
      </c>
    </row>
    <row r="21473" spans="1:10" x14ac:dyDescent="0.25">
      <c r="A21473" t="s">
        <v>1631</v>
      </c>
      <c r="B21473" s="1" t="str">
        <f>HYPERLINK("http://lntchiyoda.com","lntchiyoda.com")</f>
        <v>lntchiyoda.com</v>
      </c>
      <c r="C21473" t="s">
        <v>433</v>
      </c>
      <c r="F21473">
        <v>1.1950407940754101E-8</v>
      </c>
      <c r="G21473">
        <v>5207071</v>
      </c>
      <c r="H21473">
        <v>12618712</v>
      </c>
      <c r="I21473">
        <v>16101436</v>
      </c>
      <c r="J21473">
        <v>5</v>
      </c>
    </row>
    <row r="21474" spans="1:10" x14ac:dyDescent="0.25">
      <c r="A21474" t="s">
        <v>1631</v>
      </c>
      <c r="B21474" s="1" t="str">
        <f>HYPERLINK("http://lntecc.com","lntecc.com")</f>
        <v>lntecc.com</v>
      </c>
      <c r="C21474" t="s">
        <v>433</v>
      </c>
      <c r="E21474">
        <v>179827</v>
      </c>
      <c r="F21474">
        <v>6.8542403063743E-8</v>
      </c>
      <c r="G21474">
        <v>621014</v>
      </c>
      <c r="H21474">
        <v>14621952</v>
      </c>
      <c r="I21474">
        <v>655948</v>
      </c>
      <c r="J21474">
        <v>2</v>
      </c>
    </row>
    <row r="21475" spans="1:10" x14ac:dyDescent="0.25">
      <c r="A21475" t="s">
        <v>1631</v>
      </c>
      <c r="B21475" s="1" t="str">
        <f>HYPERLINK("http://lnteye.com","lnteye.com")</f>
        <v>lnteye.com</v>
      </c>
      <c r="C21475" t="s">
        <v>433</v>
      </c>
      <c r="J21475">
        <v>2</v>
      </c>
    </row>
    <row r="21476" spans="1:10" x14ac:dyDescent="0.25">
      <c r="A21476" t="s">
        <v>1631</v>
      </c>
      <c r="B21476" s="1" t="str">
        <f>HYPERLINK("http://lntidpl.com","lntidpl.com")</f>
        <v>lntidpl.com</v>
      </c>
      <c r="C21476" t="s">
        <v>433</v>
      </c>
      <c r="F21476">
        <v>2.4641103733562301E-8</v>
      </c>
      <c r="G21476">
        <v>2101658</v>
      </c>
      <c r="H21476">
        <v>14414945</v>
      </c>
      <c r="I21476">
        <v>1120187</v>
      </c>
      <c r="J21476">
        <v>3</v>
      </c>
    </row>
    <row r="21477" spans="1:10" x14ac:dyDescent="0.25">
      <c r="A21477" t="s">
        <v>1631</v>
      </c>
      <c r="B21477" s="1" t="str">
        <f>HYPERLINK("http://lntinfotech.com","lntinfotech.com")</f>
        <v>lntinfotech.com</v>
      </c>
      <c r="C21477" t="s">
        <v>433</v>
      </c>
      <c r="E21477">
        <v>71238</v>
      </c>
      <c r="F21477">
        <v>3.59538097678166E-7</v>
      </c>
      <c r="G21477">
        <v>103997</v>
      </c>
      <c r="H21477">
        <v>15149470</v>
      </c>
      <c r="I21477">
        <v>400196</v>
      </c>
      <c r="J21477">
        <v>3</v>
      </c>
    </row>
    <row r="21478" spans="1:10" x14ac:dyDescent="0.25">
      <c r="A21478" t="s">
        <v>1631</v>
      </c>
      <c r="B21478" s="1" t="str">
        <f>HYPERLINK("http://lntmf.com","lntmf.com")</f>
        <v>lntmf.com</v>
      </c>
      <c r="C21478" t="s">
        <v>433</v>
      </c>
      <c r="F21478">
        <v>3.37993753674751E-8</v>
      </c>
      <c r="G21478">
        <v>1530901</v>
      </c>
      <c r="H21478">
        <v>14074555</v>
      </c>
      <c r="I21478">
        <v>2938961</v>
      </c>
      <c r="J21478">
        <v>7</v>
      </c>
    </row>
    <row r="21479" spans="1:10" x14ac:dyDescent="0.25">
      <c r="A21479" t="s">
        <v>1631</v>
      </c>
      <c r="B21479" s="1" t="str">
        <f>HYPERLINK("http://lntpowerdevelopment.com","lntpowerdevelopment.com")</f>
        <v>lntpowerdevelopment.com</v>
      </c>
      <c r="C21479" t="s">
        <v>433</v>
      </c>
      <c r="F21479">
        <v>1.7653835648284399E-8</v>
      </c>
      <c r="G21479">
        <v>3106984</v>
      </c>
      <c r="H21479">
        <v>12124920</v>
      </c>
      <c r="I21479">
        <v>25283571</v>
      </c>
      <c r="J21479">
        <v>3</v>
      </c>
    </row>
    <row r="21480" spans="1:10" x14ac:dyDescent="0.25">
      <c r="A21480" t="s">
        <v>1631</v>
      </c>
      <c r="B21480" s="1" t="str">
        <f>HYPERLINK("http://lntshipbuilding.com","lntshipbuilding.com")</f>
        <v>lntshipbuilding.com</v>
      </c>
      <c r="C21480" t="s">
        <v>433</v>
      </c>
      <c r="F21480">
        <v>2.0706991222897099E-8</v>
      </c>
      <c r="G21480">
        <v>2555825</v>
      </c>
      <c r="H21480">
        <v>12349822</v>
      </c>
      <c r="I21480">
        <v>19769221</v>
      </c>
      <c r="J21480">
        <v>4</v>
      </c>
    </row>
    <row r="21481" spans="1:10" x14ac:dyDescent="0.25">
      <c r="A21481" t="s">
        <v>1631</v>
      </c>
      <c r="B21481" s="1" t="str">
        <f>HYPERLINK("http://lntsnl.com","lntsnl.com")</f>
        <v>lntsnl.com</v>
      </c>
      <c r="C21481" t="s">
        <v>433</v>
      </c>
      <c r="F21481">
        <v>1.9109054712661599E-8</v>
      </c>
      <c r="G21481">
        <v>2816301</v>
      </c>
      <c r="H21481">
        <v>14071842</v>
      </c>
      <c r="I21481">
        <v>3297287</v>
      </c>
      <c r="J21481">
        <v>3</v>
      </c>
    </row>
    <row r="21482" spans="1:10" x14ac:dyDescent="0.25">
      <c r="A21482" t="s">
        <v>1631</v>
      </c>
      <c r="B21482" s="1" t="str">
        <f>HYPERLINK("http://lnttechservices.com","lnttechservices.com")</f>
        <v>lnttechservices.com</v>
      </c>
      <c r="C21482" t="s">
        <v>433</v>
      </c>
      <c r="F21482">
        <v>6.1745913404589805E-8</v>
      </c>
      <c r="G21482">
        <v>712421</v>
      </c>
      <c r="H21482">
        <v>14350299</v>
      </c>
      <c r="I21482">
        <v>1309497</v>
      </c>
      <c r="J21482">
        <v>3</v>
      </c>
    </row>
    <row r="21483" spans="1:10" x14ac:dyDescent="0.25">
      <c r="A21483" t="s">
        <v>1631</v>
      </c>
      <c r="B21483" s="1" t="str">
        <f>HYPERLINK("http://lntvalves.com","lntvalves.com")</f>
        <v>lntvalves.com</v>
      </c>
      <c r="C21483" t="s">
        <v>433</v>
      </c>
      <c r="F21483">
        <v>2.4426639350724102E-8</v>
      </c>
      <c r="G21483">
        <v>2121383</v>
      </c>
      <c r="H21483">
        <v>12325915</v>
      </c>
      <c r="I21483">
        <v>20310015</v>
      </c>
      <c r="J21483">
        <v>4</v>
      </c>
    </row>
    <row r="21484" spans="1:10" x14ac:dyDescent="0.25">
      <c r="A21484" t="s">
        <v>1631</v>
      </c>
      <c r="B21484" s="1" t="str">
        <f>HYPERLINK("http://ltcapitalindia.com","ltcapitalindia.com")</f>
        <v>ltcapitalindia.com</v>
      </c>
      <c r="C21484" t="s">
        <v>433</v>
      </c>
      <c r="J21484">
        <v>3</v>
      </c>
    </row>
    <row r="21485" spans="1:10" x14ac:dyDescent="0.25">
      <c r="A21485" t="s">
        <v>1631</v>
      </c>
      <c r="B21485" s="1" t="str">
        <f>HYPERLINK("http://ltdic.com","ltdic.com")</f>
        <v>ltdic.com</v>
      </c>
      <c r="C21485" t="s">
        <v>433</v>
      </c>
      <c r="E21485">
        <v>993105</v>
      </c>
      <c r="F21485">
        <v>4.4447625340478697E-9</v>
      </c>
      <c r="G21485">
        <v>76179996</v>
      </c>
      <c r="H21485">
        <v>8552866</v>
      </c>
      <c r="I21485">
        <v>71351807</v>
      </c>
      <c r="J21485">
        <v>2</v>
      </c>
    </row>
    <row r="21486" spans="1:10" x14ac:dyDescent="0.25">
      <c r="A21486" t="s">
        <v>1631</v>
      </c>
      <c r="B21486" s="1" t="str">
        <f>HYPERLINK("http://ltfs.com","ltfs.com")</f>
        <v>ltfs.com</v>
      </c>
      <c r="C21486" t="s">
        <v>433</v>
      </c>
      <c r="E21486">
        <v>264341</v>
      </c>
      <c r="F21486">
        <v>1.5165015237769999E-7</v>
      </c>
      <c r="G21486">
        <v>256118</v>
      </c>
      <c r="H21486">
        <v>16764254</v>
      </c>
      <c r="I21486">
        <v>226077</v>
      </c>
      <c r="J21486">
        <v>3</v>
      </c>
    </row>
    <row r="21487" spans="1:10" x14ac:dyDescent="0.25">
      <c r="A21487" t="s">
        <v>1631</v>
      </c>
      <c r="B21487" s="1" t="str">
        <f>HYPERLINK("http://ltidf.com","ltidf.com")</f>
        <v>ltidf.com</v>
      </c>
      <c r="C21487" t="s">
        <v>433</v>
      </c>
      <c r="J21487">
        <v>3</v>
      </c>
    </row>
    <row r="21488" spans="1:10" x14ac:dyDescent="0.25">
      <c r="A21488" t="s">
        <v>1631</v>
      </c>
      <c r="B21488" s="1" t="str">
        <f>HYPERLINK("http://ltimindtree.com","ltimindtree.com")</f>
        <v>ltimindtree.com</v>
      </c>
      <c r="C21488" t="s">
        <v>433</v>
      </c>
      <c r="E21488">
        <v>105466</v>
      </c>
      <c r="F21488">
        <v>1.0660643576416E-7</v>
      </c>
      <c r="G21488">
        <v>375540</v>
      </c>
      <c r="H21488">
        <v>13898970</v>
      </c>
      <c r="I21488">
        <v>5952204</v>
      </c>
      <c r="J21488">
        <v>4</v>
      </c>
    </row>
    <row r="21489" spans="1:10" x14ac:dyDescent="0.25">
      <c r="A21489" t="s">
        <v>1631</v>
      </c>
      <c r="B21489" s="1" t="str">
        <f>HYPERLINK("http://ltinfra.com","ltinfra.com")</f>
        <v>ltinfra.com</v>
      </c>
      <c r="C21489" t="s">
        <v>433</v>
      </c>
      <c r="F21489">
        <v>6.0805760356715697E-9</v>
      </c>
      <c r="G21489">
        <v>16204256</v>
      </c>
      <c r="H21489">
        <v>13763731</v>
      </c>
      <c r="I21489">
        <v>7720458</v>
      </c>
      <c r="J21489">
        <v>4</v>
      </c>
    </row>
    <row r="21490" spans="1:10" x14ac:dyDescent="0.25">
      <c r="A21490" t="s">
        <v>1631</v>
      </c>
      <c r="B21490" s="1" t="str">
        <f>HYPERLINK("http://ltramboll.com","ltramboll.com")</f>
        <v>ltramboll.com</v>
      </c>
      <c r="C21490" t="s">
        <v>433</v>
      </c>
      <c r="F21490">
        <v>1.0072634222141901E-8</v>
      </c>
      <c r="G21490">
        <v>6679212</v>
      </c>
      <c r="H21490">
        <v>14414921</v>
      </c>
      <c r="I21490">
        <v>1137422</v>
      </c>
      <c r="J21490">
        <v>3</v>
      </c>
    </row>
    <row r="21491" spans="1:10" x14ac:dyDescent="0.25">
      <c r="A21491" t="s">
        <v>1631</v>
      </c>
      <c r="B21491" s="1" t="str">
        <f>HYPERLINK("http://ltts.com","ltts.com")</f>
        <v>ltts.com</v>
      </c>
      <c r="C21491" t="s">
        <v>433</v>
      </c>
      <c r="E21491">
        <v>193185</v>
      </c>
      <c r="F21491">
        <v>2.3232580840905199E-7</v>
      </c>
      <c r="G21491">
        <v>161562</v>
      </c>
      <c r="H21491">
        <v>14717181</v>
      </c>
      <c r="I21491">
        <v>579698</v>
      </c>
      <c r="J21491">
        <v>5</v>
      </c>
    </row>
    <row r="21492" spans="1:10" x14ac:dyDescent="0.25">
      <c r="A21492" t="s">
        <v>1631</v>
      </c>
      <c r="B21492" s="1" t="str">
        <f>HYPERLINK("http://ltvrindavanproperties.com","ltvrindavanproperties.com")</f>
        <v>ltvrindavanproperties.com</v>
      </c>
      <c r="C21492" t="s">
        <v>433</v>
      </c>
      <c r="J21492">
        <v>3</v>
      </c>
    </row>
    <row r="21493" spans="1:10" x14ac:dyDescent="0.25">
      <c r="A21493" t="s">
        <v>1631</v>
      </c>
      <c r="B21493" s="1" t="str">
        <f>HYPERLINK("http://mindtree.com","mindtree.com")</f>
        <v>mindtree.com</v>
      </c>
      <c r="C21493" t="s">
        <v>433</v>
      </c>
      <c r="E21493">
        <v>42007</v>
      </c>
      <c r="F21493">
        <v>5.3104127459618603E-7</v>
      </c>
      <c r="G21493">
        <v>72544</v>
      </c>
      <c r="H21493">
        <v>15380752</v>
      </c>
      <c r="I21493">
        <v>381130</v>
      </c>
      <c r="J21493">
        <v>4</v>
      </c>
    </row>
    <row r="21494" spans="1:10" x14ac:dyDescent="0.25">
      <c r="A21494" t="s">
        <v>1631</v>
      </c>
      <c r="B21494" s="1" t="str">
        <f>HYPERLINK("http://powerupcloud.com","powerupcloud.com")</f>
        <v>powerupcloud.com</v>
      </c>
      <c r="C21494" t="s">
        <v>433</v>
      </c>
      <c r="F21494">
        <v>9.4524843370247902E-8</v>
      </c>
      <c r="G21494">
        <v>429200</v>
      </c>
      <c r="H21494">
        <v>17085084</v>
      </c>
      <c r="I21494">
        <v>67091</v>
      </c>
      <c r="J21494">
        <v>3</v>
      </c>
    </row>
    <row r="21495" spans="1:10" x14ac:dyDescent="0.25">
      <c r="A21495" t="s">
        <v>1631</v>
      </c>
      <c r="B21495" s="1" t="str">
        <f>HYPERLINK("http://startupsbse.com","startupsbse.com")</f>
        <v>startupsbse.com</v>
      </c>
      <c r="C21495" t="s">
        <v>433</v>
      </c>
      <c r="F21495">
        <v>3.2024406137946403E-8</v>
      </c>
      <c r="G21495">
        <v>1614037</v>
      </c>
      <c r="H21495">
        <v>12488919</v>
      </c>
      <c r="I21495">
        <v>17501673</v>
      </c>
      <c r="J21495">
        <v>6</v>
      </c>
    </row>
    <row r="21496" spans="1:10" x14ac:dyDescent="0.25">
      <c r="A21496" t="s">
        <v>1631</v>
      </c>
      <c r="B21496" s="1" t="str">
        <f>HYPERLINK("http://syncordisconsulting.com","syncordisconsulting.com")</f>
        <v>syncordisconsulting.com</v>
      </c>
      <c r="C21496" t="s">
        <v>433</v>
      </c>
      <c r="F21496">
        <v>9.2265250074424199E-9</v>
      </c>
      <c r="G21496">
        <v>7674664</v>
      </c>
      <c r="H21496">
        <v>12736199</v>
      </c>
      <c r="I21496">
        <v>15161799</v>
      </c>
      <c r="J21496">
        <v>4</v>
      </c>
    </row>
    <row r="21497" spans="1:10" x14ac:dyDescent="0.25">
      <c r="A21497" t="s">
        <v>1631</v>
      </c>
      <c r="B21497" s="1" t="str">
        <f>HYPERLINK("http://mstatic.in","mstatic.in")</f>
        <v>mstatic.in</v>
      </c>
      <c r="C21497" t="s">
        <v>457</v>
      </c>
      <c r="D21497" t="s">
        <v>834</v>
      </c>
      <c r="F21497">
        <v>2.6052428490068601E-8</v>
      </c>
      <c r="G21497">
        <v>1977489</v>
      </c>
      <c r="H21497">
        <v>12273879</v>
      </c>
      <c r="I21497">
        <v>21442304</v>
      </c>
      <c r="J21497">
        <v>6</v>
      </c>
    </row>
    <row r="21498" spans="1:10" x14ac:dyDescent="0.25">
      <c r="A21498" t="s">
        <v>1632</v>
      </c>
      <c r="B21498" s="1" t="str">
        <f>HYPERLINK("http://lasvegassands.com","lasvegassands.com")</f>
        <v>lasvegassands.com</v>
      </c>
      <c r="C21498" t="s">
        <v>433</v>
      </c>
      <c r="F21498">
        <v>6.0050098926327404E-8</v>
      </c>
      <c r="G21498">
        <v>735078</v>
      </c>
      <c r="H21498">
        <v>14882086</v>
      </c>
      <c r="I21498">
        <v>471568</v>
      </c>
      <c r="J21498">
        <v>2</v>
      </c>
    </row>
    <row r="21499" spans="1:10" x14ac:dyDescent="0.25">
      <c r="A21499" t="s">
        <v>1632</v>
      </c>
      <c r="B21499" s="1" t="str">
        <f>HYPERLINK("http://marinabaysands.com","marinabaysands.com")</f>
        <v>marinabaysands.com</v>
      </c>
      <c r="C21499" t="s">
        <v>433</v>
      </c>
      <c r="E21499">
        <v>28026</v>
      </c>
      <c r="F21499">
        <v>1.03445957694308E-6</v>
      </c>
      <c r="G21499">
        <v>37047</v>
      </c>
      <c r="H21499">
        <v>17354328</v>
      </c>
      <c r="I21499">
        <v>22708</v>
      </c>
      <c r="J21499">
        <v>3</v>
      </c>
    </row>
    <row r="21500" spans="1:10" x14ac:dyDescent="0.25">
      <c r="A21500" t="s">
        <v>1632</v>
      </c>
      <c r="B21500" s="1" t="str">
        <f>HYPERLINK("http://outletsatsandsbethlehem.com","outletsatsandsbethlehem.com")</f>
        <v>outletsatsandsbethlehem.com</v>
      </c>
      <c r="C21500" t="s">
        <v>433</v>
      </c>
      <c r="F21500">
        <v>7.0878471807294401E-9</v>
      </c>
      <c r="G21500">
        <v>12049756</v>
      </c>
      <c r="H21500">
        <v>13938102</v>
      </c>
      <c r="I21500">
        <v>4445859</v>
      </c>
      <c r="J21500">
        <v>3</v>
      </c>
    </row>
    <row r="21501" spans="1:10" x14ac:dyDescent="0.25">
      <c r="A21501" t="s">
        <v>1632</v>
      </c>
      <c r="B21501" s="1" t="str">
        <f>HYPERLINK("http://sands.com","sands.com")</f>
        <v>sands.com</v>
      </c>
      <c r="C21501" t="s">
        <v>433</v>
      </c>
      <c r="E21501">
        <v>175853</v>
      </c>
      <c r="F21501">
        <v>2.6031689870991098E-7</v>
      </c>
      <c r="G21501">
        <v>143684</v>
      </c>
      <c r="H21501">
        <v>14691224</v>
      </c>
      <c r="I21501">
        <v>601905</v>
      </c>
      <c r="J21501">
        <v>1</v>
      </c>
    </row>
    <row r="21502" spans="1:10" x14ac:dyDescent="0.25">
      <c r="A21502" t="s">
        <v>1632</v>
      </c>
      <c r="B21502" s="1" t="str">
        <f>HYPERLINK("http://sandschina.com","sandschina.com")</f>
        <v>sandschina.com</v>
      </c>
      <c r="C21502" t="s">
        <v>433</v>
      </c>
      <c r="F21502">
        <v>1.22474471096078E-7</v>
      </c>
      <c r="G21502">
        <v>322338</v>
      </c>
      <c r="H21502">
        <v>14631033</v>
      </c>
      <c r="I21502">
        <v>644898</v>
      </c>
      <c r="J21502">
        <v>3</v>
      </c>
    </row>
    <row r="21503" spans="1:10" x14ac:dyDescent="0.25">
      <c r="A21503" t="s">
        <v>1632</v>
      </c>
      <c r="B21503" s="1" t="str">
        <f>HYPERLINK("http://sandsmacao.com","sandsmacao.com")</f>
        <v>sandsmacao.com</v>
      </c>
      <c r="C21503" t="s">
        <v>433</v>
      </c>
      <c r="F21503">
        <v>1.51102432305068E-7</v>
      </c>
      <c r="G21503">
        <v>257115</v>
      </c>
      <c r="H21503">
        <v>16924092</v>
      </c>
      <c r="I21503">
        <v>124954</v>
      </c>
      <c r="J21503">
        <v>3</v>
      </c>
    </row>
    <row r="21504" spans="1:10" x14ac:dyDescent="0.25">
      <c r="A21504" t="s">
        <v>1632</v>
      </c>
      <c r="B21504" s="1" t="str">
        <f>HYPERLINK("http://sandsrewardslifestyle.com","sandsrewardslifestyle.com")</f>
        <v>sandsrewardslifestyle.com</v>
      </c>
      <c r="C21504" t="s">
        <v>433</v>
      </c>
      <c r="F21504">
        <v>6.0507285230402402E-9</v>
      </c>
      <c r="G21504">
        <v>16378254</v>
      </c>
      <c r="H21504">
        <v>12312827</v>
      </c>
      <c r="I21504">
        <v>20559701</v>
      </c>
      <c r="J21504">
        <v>2</v>
      </c>
    </row>
    <row r="21505" spans="1:10" x14ac:dyDescent="0.25">
      <c r="A21505" t="s">
        <v>1632</v>
      </c>
      <c r="B21505" s="1" t="str">
        <f>HYPERLINK("http://fortisgames.fi","fortisgames.fi")</f>
        <v>fortisgames.fi</v>
      </c>
      <c r="C21505" t="s">
        <v>445</v>
      </c>
      <c r="D21505" t="s">
        <v>823</v>
      </c>
      <c r="J21505">
        <v>2</v>
      </c>
    </row>
    <row r="21506" spans="1:10" x14ac:dyDescent="0.25">
      <c r="A21506" t="s">
        <v>1632</v>
      </c>
      <c r="B21506" s="1" t="str">
        <f>HYPERLINK("http://eurovegasmadrid.net","eurovegasmadrid.net")</f>
        <v>eurovegasmadrid.net</v>
      </c>
      <c r="C21506" t="s">
        <v>474</v>
      </c>
      <c r="F21506">
        <v>6.2696958349418899E-9</v>
      </c>
      <c r="G21506">
        <v>15176882</v>
      </c>
      <c r="H21506">
        <v>14119739</v>
      </c>
      <c r="I21506">
        <v>2474436</v>
      </c>
      <c r="J21506">
        <v>3</v>
      </c>
    </row>
    <row r="21507" spans="1:10" x14ac:dyDescent="0.25">
      <c r="A21507" t="s">
        <v>1632</v>
      </c>
      <c r="B21507" s="1" t="str">
        <f>HYPERLINK("http://houseofjesus.org","houseofjesus.org")</f>
        <v>houseofjesus.org</v>
      </c>
      <c r="C21507" t="s">
        <v>481</v>
      </c>
      <c r="F21507">
        <v>5.2688886729939203E-9</v>
      </c>
      <c r="G21507">
        <v>23969463</v>
      </c>
      <c r="H21507">
        <v>12743006</v>
      </c>
      <c r="I21507">
        <v>15102358</v>
      </c>
      <c r="J21507">
        <v>3</v>
      </c>
    </row>
    <row r="21508" spans="1:10" x14ac:dyDescent="0.25">
      <c r="A21508" t="s">
        <v>1633</v>
      </c>
      <c r="B21508" s="1" t="str">
        <f>HYPERLINK("http://licindia.com","licindia.com")</f>
        <v>licindia.com</v>
      </c>
      <c r="C21508" t="s">
        <v>433</v>
      </c>
      <c r="E21508">
        <v>249351</v>
      </c>
      <c r="F21508">
        <v>8.2406488953513605E-8</v>
      </c>
      <c r="G21508">
        <v>506279</v>
      </c>
      <c r="H21508">
        <v>14487821</v>
      </c>
      <c r="I21508">
        <v>941721</v>
      </c>
      <c r="J21508">
        <v>2</v>
      </c>
    </row>
    <row r="21509" spans="1:10" x14ac:dyDescent="0.25">
      <c r="A21509" t="s">
        <v>1633</v>
      </c>
      <c r="B21509" s="1" t="str">
        <f>HYPERLINK("http://licinternational.com","licinternational.com")</f>
        <v>licinternational.com</v>
      </c>
      <c r="C21509" t="s">
        <v>433</v>
      </c>
      <c r="F21509">
        <v>1.5708497342172399E-8</v>
      </c>
      <c r="G21509">
        <v>3625033</v>
      </c>
      <c r="H21509">
        <v>13237438</v>
      </c>
      <c r="I21509">
        <v>11235852</v>
      </c>
      <c r="J21509">
        <v>4</v>
      </c>
    </row>
    <row r="21510" spans="1:10" x14ac:dyDescent="0.25">
      <c r="A21510" t="s">
        <v>1633</v>
      </c>
      <c r="B21510" s="1" t="str">
        <f>HYPERLINK("http://liciuk.com","liciuk.com")</f>
        <v>liciuk.com</v>
      </c>
      <c r="C21510" t="s">
        <v>433</v>
      </c>
      <c r="F21510">
        <v>1.3680563926323801E-8</v>
      </c>
      <c r="G21510">
        <v>4328911</v>
      </c>
      <c r="H21510">
        <v>12573088</v>
      </c>
      <c r="I21510">
        <v>16597837</v>
      </c>
      <c r="J21510">
        <v>4</v>
      </c>
    </row>
    <row r="21511" spans="1:10" x14ac:dyDescent="0.25">
      <c r="A21511" t="s">
        <v>1633</v>
      </c>
      <c r="B21511" s="1" t="str">
        <f>HYPERLINK("http://licindia.in","licindia.in")</f>
        <v>licindia.in</v>
      </c>
      <c r="C21511" t="s">
        <v>457</v>
      </c>
      <c r="D21511" t="s">
        <v>834</v>
      </c>
      <c r="E21511">
        <v>11249</v>
      </c>
      <c r="F21511">
        <v>6.4281308467813102E-7</v>
      </c>
      <c r="G21511">
        <v>59775</v>
      </c>
      <c r="H21511">
        <v>15267806</v>
      </c>
      <c r="I21511">
        <v>388692</v>
      </c>
      <c r="J21511">
        <v>1</v>
      </c>
    </row>
    <row r="21512" spans="1:10" x14ac:dyDescent="0.25">
      <c r="A21512" t="s">
        <v>1633</v>
      </c>
      <c r="B21512" s="1" t="str">
        <f>HYPERLINK("http://licpensionfund.in","licpensionfund.in")</f>
        <v>licpensionfund.in</v>
      </c>
      <c r="C21512" t="s">
        <v>457</v>
      </c>
      <c r="D21512" t="s">
        <v>834</v>
      </c>
      <c r="F21512">
        <v>1.5551951851627499E-8</v>
      </c>
      <c r="G21512">
        <v>3669684</v>
      </c>
      <c r="H21512">
        <v>11315752</v>
      </c>
      <c r="I21512">
        <v>30528207</v>
      </c>
      <c r="J21512">
        <v>3</v>
      </c>
    </row>
    <row r="21513" spans="1:10" x14ac:dyDescent="0.25">
      <c r="A21513" t="s">
        <v>234</v>
      </c>
      <c r="B21513" s="1" t="str">
        <f>HYPERLINK("http://linde-gas.ae","linde-gas.ae")</f>
        <v>linde-gas.ae</v>
      </c>
      <c r="C21513" t="s">
        <v>417</v>
      </c>
      <c r="D21513" t="s">
        <v>799</v>
      </c>
      <c r="F21513">
        <v>4.4496551666651402E-9</v>
      </c>
      <c r="G21513">
        <v>72127056</v>
      </c>
      <c r="H21513">
        <v>12027995</v>
      </c>
      <c r="I21513">
        <v>27705293</v>
      </c>
      <c r="J21513">
        <v>3</v>
      </c>
    </row>
    <row r="21514" spans="1:10" x14ac:dyDescent="0.25">
      <c r="A21514" t="s">
        <v>234</v>
      </c>
      <c r="B21514" s="1" t="str">
        <f>HYPERLINK("http://praxair.com.ar","praxair.com.ar")</f>
        <v>praxair.com.ar</v>
      </c>
      <c r="C21514" t="s">
        <v>418</v>
      </c>
      <c r="D21514" t="s">
        <v>800</v>
      </c>
      <c r="F21514">
        <v>8.5847850220342996E-9</v>
      </c>
      <c r="G21514">
        <v>8684261</v>
      </c>
      <c r="H21514">
        <v>10675070</v>
      </c>
      <c r="I21514">
        <v>42853776</v>
      </c>
      <c r="J21514">
        <v>3</v>
      </c>
    </row>
    <row r="21515" spans="1:10" x14ac:dyDescent="0.25">
      <c r="A21515" t="s">
        <v>234</v>
      </c>
      <c r="B21515" s="1" t="str">
        <f>HYPERLINK("http://linde.ar","linde.ar")</f>
        <v>linde.ar</v>
      </c>
      <c r="C21515" t="s">
        <v>418</v>
      </c>
      <c r="D21515" t="s">
        <v>800</v>
      </c>
      <c r="F21515">
        <v>4.9564129785015701E-9</v>
      </c>
      <c r="G21515">
        <v>30608745</v>
      </c>
      <c r="H21515">
        <v>10891196</v>
      </c>
      <c r="I21515">
        <v>36057749</v>
      </c>
      <c r="J21515">
        <v>5</v>
      </c>
    </row>
    <row r="21516" spans="1:10" x14ac:dyDescent="0.25">
      <c r="A21516" t="s">
        <v>234</v>
      </c>
      <c r="B21516" s="1" t="str">
        <f>HYPERLINK("http://linde-gas.at","linde-gas.at")</f>
        <v>linde-gas.at</v>
      </c>
      <c r="C21516" t="s">
        <v>419</v>
      </c>
      <c r="D21516" t="s">
        <v>801</v>
      </c>
      <c r="F21516">
        <v>2.8019876195076699E-8</v>
      </c>
      <c r="G21516">
        <v>1836081</v>
      </c>
      <c r="H21516">
        <v>14388904</v>
      </c>
      <c r="I21516">
        <v>1171891</v>
      </c>
      <c r="J21516">
        <v>3</v>
      </c>
    </row>
    <row r="21517" spans="1:10" x14ac:dyDescent="0.25">
      <c r="A21517" t="s">
        <v>234</v>
      </c>
      <c r="B21517" s="1" t="str">
        <f>HYPERLINK("http://elgas.com.au","elgas.com.au")</f>
        <v>elgas.com.au</v>
      </c>
      <c r="C21517" t="s">
        <v>420</v>
      </c>
      <c r="D21517" t="s">
        <v>802</v>
      </c>
      <c r="E21517">
        <v>280528</v>
      </c>
      <c r="F21517">
        <v>1.03753829956819E-7</v>
      </c>
      <c r="G21517">
        <v>386603</v>
      </c>
      <c r="H21517">
        <v>15509749</v>
      </c>
      <c r="I21517">
        <v>376419</v>
      </c>
      <c r="J21517">
        <v>5</v>
      </c>
    </row>
    <row r="21518" spans="1:10" x14ac:dyDescent="0.25">
      <c r="A21518" t="s">
        <v>234</v>
      </c>
      <c r="B21518" s="1" t="str">
        <f>HYPERLINK("http://stargas.com.au","stargas.com.au")</f>
        <v>stargas.com.au</v>
      </c>
      <c r="C21518" t="s">
        <v>420</v>
      </c>
      <c r="D21518" t="s">
        <v>802</v>
      </c>
      <c r="F21518">
        <v>4.7854745642615304E-9</v>
      </c>
      <c r="G21518">
        <v>36731121</v>
      </c>
      <c r="H21518">
        <v>13933195</v>
      </c>
      <c r="I21518">
        <v>4863265</v>
      </c>
      <c r="J21518">
        <v>4</v>
      </c>
    </row>
    <row r="21519" spans="1:10" x14ac:dyDescent="0.25">
      <c r="A21519" t="s">
        <v>234</v>
      </c>
      <c r="B21519" s="1" t="str">
        <f>HYPERLINK("http://linde.com.bd","linde.com.bd")</f>
        <v>linde.com.bd</v>
      </c>
      <c r="C21519" t="s">
        <v>603</v>
      </c>
      <c r="D21519" t="s">
        <v>934</v>
      </c>
      <c r="F21519">
        <v>6.8944522238811102E-9</v>
      </c>
      <c r="G21519">
        <v>12651924</v>
      </c>
      <c r="H21519">
        <v>12276528</v>
      </c>
      <c r="I21519">
        <v>21381108</v>
      </c>
      <c r="J21519">
        <v>3</v>
      </c>
    </row>
    <row r="21520" spans="1:10" x14ac:dyDescent="0.25">
      <c r="A21520" t="s">
        <v>234</v>
      </c>
      <c r="B21520" s="1" t="str">
        <f>HYPERLINK("http://linde.bo","linde.bo")</f>
        <v>linde.bo</v>
      </c>
      <c r="C21520" t="s">
        <v>424</v>
      </c>
      <c r="D21520" t="s">
        <v>805</v>
      </c>
      <c r="F21520">
        <v>4.44380395335525E-9</v>
      </c>
      <c r="G21520">
        <v>80069071</v>
      </c>
      <c r="H21520">
        <v>0</v>
      </c>
      <c r="I21520">
        <v>80096606</v>
      </c>
      <c r="J21520">
        <v>5</v>
      </c>
    </row>
    <row r="21521" spans="1:10" x14ac:dyDescent="0.25">
      <c r="A21521" t="s">
        <v>234</v>
      </c>
      <c r="B21521" s="1" t="str">
        <f>HYPERLINK("http://gaslocal.com.br","gaslocal.com.br")</f>
        <v>gaslocal.com.br</v>
      </c>
      <c r="C21521" t="s">
        <v>425</v>
      </c>
      <c r="D21521" t="s">
        <v>806</v>
      </c>
      <c r="F21521">
        <v>5.0077845654406596E-9</v>
      </c>
      <c r="G21521">
        <v>29217597</v>
      </c>
      <c r="H21521">
        <v>14236067</v>
      </c>
      <c r="I21521">
        <v>1640838</v>
      </c>
      <c r="J21521">
        <v>3</v>
      </c>
    </row>
    <row r="21522" spans="1:10" x14ac:dyDescent="0.25">
      <c r="A21522" t="s">
        <v>234</v>
      </c>
      <c r="B21522" s="1" t="str">
        <f>HYPERLINK("http://lindecanada.ca","lindecanada.ca")</f>
        <v>lindecanada.ca</v>
      </c>
      <c r="C21522" t="s">
        <v>428</v>
      </c>
      <c r="D21522" t="s">
        <v>809</v>
      </c>
      <c r="F21522">
        <v>5.6054469829730699E-8</v>
      </c>
      <c r="G21522">
        <v>798980</v>
      </c>
      <c r="H21522">
        <v>13069052</v>
      </c>
      <c r="I21522">
        <v>12254086</v>
      </c>
      <c r="J21522">
        <v>6</v>
      </c>
    </row>
    <row r="21523" spans="1:10" x14ac:dyDescent="0.25">
      <c r="A21523" t="s">
        <v>234</v>
      </c>
      <c r="B21523" s="1" t="str">
        <f>HYPERLINK("http://linde.cl","linde.cl")</f>
        <v>linde.cl</v>
      </c>
      <c r="C21523" t="s">
        <v>430</v>
      </c>
      <c r="D21523" t="s">
        <v>811</v>
      </c>
      <c r="F21523">
        <v>5.68979461058601E-9</v>
      </c>
      <c r="G21523">
        <v>19047315</v>
      </c>
      <c r="H21523">
        <v>10801300</v>
      </c>
      <c r="I21523">
        <v>38121459</v>
      </c>
      <c r="J21523">
        <v>3</v>
      </c>
    </row>
    <row r="21524" spans="1:10" x14ac:dyDescent="0.25">
      <c r="A21524" t="s">
        <v>234</v>
      </c>
      <c r="B21524" s="1" t="str">
        <f>HYPERLINK("http://praxair.cn","praxair.cn")</f>
        <v>praxair.cn</v>
      </c>
      <c r="C21524" t="s">
        <v>431</v>
      </c>
      <c r="D21524" t="s">
        <v>812</v>
      </c>
      <c r="F21524">
        <v>7.2820755084638398E-9</v>
      </c>
      <c r="G21524">
        <v>11524044</v>
      </c>
      <c r="H21524">
        <v>12582460</v>
      </c>
      <c r="I21524">
        <v>16484636</v>
      </c>
      <c r="J21524">
        <v>3</v>
      </c>
    </row>
    <row r="21525" spans="1:10" x14ac:dyDescent="0.25">
      <c r="A21525" t="s">
        <v>234</v>
      </c>
      <c r="B21525" s="1" t="str">
        <f>HYPERLINK("http://linde.co","linde.co")</f>
        <v>linde.co</v>
      </c>
      <c r="C21525" t="s">
        <v>432</v>
      </c>
      <c r="F21525">
        <v>5.47676940465035E-9</v>
      </c>
      <c r="G21525">
        <v>21167767</v>
      </c>
      <c r="H21525">
        <v>10815823</v>
      </c>
      <c r="I21525">
        <v>37720406</v>
      </c>
      <c r="J21525">
        <v>5</v>
      </c>
    </row>
    <row r="21526" spans="1:10" x14ac:dyDescent="0.25">
      <c r="A21526" t="s">
        <v>234</v>
      </c>
      <c r="B21526" s="1" t="str">
        <f>HYPERLINK("http://aga.com","aga.com")</f>
        <v>aga.com</v>
      </c>
      <c r="C21526" t="s">
        <v>433</v>
      </c>
      <c r="F21526">
        <v>2.17044997698296E-8</v>
      </c>
      <c r="G21526">
        <v>2423279</v>
      </c>
      <c r="H21526">
        <v>14579195</v>
      </c>
      <c r="I21526">
        <v>713124</v>
      </c>
      <c r="J21526">
        <v>3</v>
      </c>
    </row>
    <row r="21527" spans="1:10" x14ac:dyDescent="0.25">
      <c r="A21527" t="s">
        <v>234</v>
      </c>
      <c r="B21527" s="1" t="str">
        <f>HYPERLINK("http://ahom.com","ahom.com")</f>
        <v>ahom.com</v>
      </c>
      <c r="C21527" t="s">
        <v>433</v>
      </c>
      <c r="F21527">
        <v>1.67030795586534E-8</v>
      </c>
      <c r="G21527">
        <v>3358011</v>
      </c>
      <c r="H21527">
        <v>13808455</v>
      </c>
      <c r="I21527">
        <v>6221918</v>
      </c>
      <c r="J21527">
        <v>3</v>
      </c>
    </row>
    <row r="21528" spans="1:10" x14ac:dyDescent="0.25">
      <c r="A21528" t="s">
        <v>234</v>
      </c>
      <c r="B21528" s="1" t="str">
        <f>HYPERLINK("http://comprehensivesleep.com","comprehensivesleep.com")</f>
        <v>comprehensivesleep.com</v>
      </c>
      <c r="C21528" t="s">
        <v>433</v>
      </c>
      <c r="F21528">
        <v>4.6118033396314097E-9</v>
      </c>
      <c r="G21528">
        <v>46716036</v>
      </c>
      <c r="H21528">
        <v>12261454</v>
      </c>
      <c r="I21528">
        <v>21731192</v>
      </c>
      <c r="J21528">
        <v>3</v>
      </c>
    </row>
    <row r="21529" spans="1:10" x14ac:dyDescent="0.25">
      <c r="A21529" t="s">
        <v>234</v>
      </c>
      <c r="B21529" s="1" t="str">
        <f>HYPERLINK("http://cryostar.com","cryostar.com")</f>
        <v>cryostar.com</v>
      </c>
      <c r="C21529" t="s">
        <v>433</v>
      </c>
      <c r="F21529">
        <v>3.8287260684809297E-8</v>
      </c>
      <c r="G21529">
        <v>1352102</v>
      </c>
      <c r="H21529">
        <v>14168358</v>
      </c>
      <c r="I21529">
        <v>1811653</v>
      </c>
      <c r="J21529">
        <v>3</v>
      </c>
    </row>
    <row r="21530" spans="1:10" x14ac:dyDescent="0.25">
      <c r="A21530" t="s">
        <v>234</v>
      </c>
      <c r="B21530" s="1" t="str">
        <f>HYPERLINK("http://dmesupplyusa.com","dmesupplyusa.com")</f>
        <v>dmesupplyusa.com</v>
      </c>
      <c r="C21530" t="s">
        <v>433</v>
      </c>
      <c r="E21530">
        <v>747953</v>
      </c>
      <c r="F21530">
        <v>1.1904737070425E-8</v>
      </c>
      <c r="G21530">
        <v>5234588</v>
      </c>
      <c r="H21530">
        <v>12921471</v>
      </c>
      <c r="I21530">
        <v>13424235</v>
      </c>
      <c r="J21530">
        <v>3</v>
      </c>
    </row>
    <row r="21531" spans="1:10" x14ac:dyDescent="0.25">
      <c r="A21531" t="s">
        <v>234</v>
      </c>
      <c r="B21531" s="1" t="str">
        <f>HYPERLINK("http://holox.com","holox.com")</f>
        <v>holox.com</v>
      </c>
      <c r="C21531" t="s">
        <v>433</v>
      </c>
      <c r="F21531">
        <v>4.4875521109491E-9</v>
      </c>
      <c r="G21531">
        <v>60921193</v>
      </c>
      <c r="H21531">
        <v>11054339</v>
      </c>
      <c r="I21531">
        <v>32750684</v>
      </c>
      <c r="J21531">
        <v>3</v>
      </c>
    </row>
    <row r="21532" spans="1:10" x14ac:dyDescent="0.25">
      <c r="A21532" t="s">
        <v>234</v>
      </c>
      <c r="B21532" s="1" t="str">
        <f>HYPERLINK("http://leamericas.com","leamericas.com")</f>
        <v>leamericas.com</v>
      </c>
      <c r="C21532" t="s">
        <v>433</v>
      </c>
      <c r="F21532">
        <v>1.6913923845912101E-8</v>
      </c>
      <c r="G21532">
        <v>3303754</v>
      </c>
      <c r="H21532">
        <v>13164704</v>
      </c>
      <c r="I21532">
        <v>11745672</v>
      </c>
      <c r="J21532">
        <v>6</v>
      </c>
    </row>
    <row r="21533" spans="1:10" x14ac:dyDescent="0.25">
      <c r="A21533" t="s">
        <v>234</v>
      </c>
      <c r="B21533" s="1" t="str">
        <f>HYPERLINK("http://lincare.com","lincare.com")</f>
        <v>lincare.com</v>
      </c>
      <c r="C21533" t="s">
        <v>433</v>
      </c>
      <c r="E21533">
        <v>101631</v>
      </c>
      <c r="F21533">
        <v>7.2936800870392901E-8</v>
      </c>
      <c r="G21533">
        <v>578201</v>
      </c>
      <c r="H21533">
        <v>13832277</v>
      </c>
      <c r="I21533">
        <v>6102660</v>
      </c>
      <c r="J21533">
        <v>3</v>
      </c>
    </row>
    <row r="21534" spans="1:10" x14ac:dyDescent="0.25">
      <c r="A21534" t="s">
        <v>234</v>
      </c>
      <c r="B21534" s="1" t="str">
        <f>HYPERLINK("http://linde.com","linde.com")</f>
        <v>linde.com</v>
      </c>
      <c r="C21534" t="s">
        <v>433</v>
      </c>
      <c r="E21534">
        <v>64490</v>
      </c>
      <c r="F21534">
        <v>4.6835677105221601E-7</v>
      </c>
      <c r="G21534">
        <v>80948</v>
      </c>
      <c r="H21534">
        <v>15240497</v>
      </c>
      <c r="I21534">
        <v>391273</v>
      </c>
      <c r="J21534">
        <v>4</v>
      </c>
    </row>
    <row r="21535" spans="1:10" x14ac:dyDescent="0.25">
      <c r="A21535" t="s">
        <v>234</v>
      </c>
      <c r="B21535" s="1" t="str">
        <f>HYPERLINK("http://linde-engineering.com","linde-engineering.com")</f>
        <v>linde-engineering.com</v>
      </c>
      <c r="C21535" t="s">
        <v>433</v>
      </c>
      <c r="E21535">
        <v>653895</v>
      </c>
      <c r="F21535">
        <v>7.8418529135965194E-8</v>
      </c>
      <c r="G21535">
        <v>533178</v>
      </c>
      <c r="H21535">
        <v>14522482</v>
      </c>
      <c r="I21535">
        <v>800689</v>
      </c>
      <c r="J21535">
        <v>3</v>
      </c>
    </row>
    <row r="21536" spans="1:10" x14ac:dyDescent="0.25">
      <c r="A21536" t="s">
        <v>234</v>
      </c>
      <c r="B21536" s="1" t="str">
        <f>HYPERLINK("http://linde-finance.com","linde-finance.com")</f>
        <v>linde-finance.com</v>
      </c>
      <c r="C21536" t="s">
        <v>433</v>
      </c>
      <c r="F21536">
        <v>4.4443251409353299E-9</v>
      </c>
      <c r="G21536">
        <v>76964709</v>
      </c>
      <c r="H21536">
        <v>10111890</v>
      </c>
      <c r="I21536">
        <v>59791501</v>
      </c>
      <c r="J21536">
        <v>3</v>
      </c>
    </row>
    <row r="21537" spans="1:10" x14ac:dyDescent="0.25">
      <c r="A21537" t="s">
        <v>234</v>
      </c>
      <c r="B21537" s="1" t="str">
        <f>HYPERLINK("http://linde-gas.com","linde-gas.com")</f>
        <v>linde-gas.com</v>
      </c>
      <c r="C21537" t="s">
        <v>433</v>
      </c>
      <c r="E21537">
        <v>365297</v>
      </c>
      <c r="F21537">
        <v>1.2312979275436501E-7</v>
      </c>
      <c r="G21537">
        <v>320528</v>
      </c>
      <c r="H21537">
        <v>14508587</v>
      </c>
      <c r="I21537">
        <v>828088</v>
      </c>
      <c r="J21537">
        <v>3</v>
      </c>
    </row>
    <row r="21538" spans="1:10" x14ac:dyDescent="0.25">
      <c r="A21538" t="s">
        <v>234</v>
      </c>
      <c r="B21538" s="1" t="str">
        <f>HYPERLINK("http://linde-india.com","linde-india.com")</f>
        <v>linde-india.com</v>
      </c>
      <c r="C21538" t="s">
        <v>433</v>
      </c>
      <c r="F21538">
        <v>4.8944664122561702E-9</v>
      </c>
      <c r="G21538">
        <v>32627961</v>
      </c>
      <c r="H21538">
        <v>11226669</v>
      </c>
      <c r="I21538">
        <v>31047568</v>
      </c>
      <c r="J21538">
        <v>3</v>
      </c>
    </row>
    <row r="21539" spans="1:10" x14ac:dyDescent="0.25">
      <c r="A21539" t="s">
        <v>234</v>
      </c>
      <c r="B21539" s="1" t="str">
        <f>HYPERLINK("http://linde-le.com","linde-le.com")</f>
        <v>linde-le.com</v>
      </c>
      <c r="C21539" t="s">
        <v>433</v>
      </c>
      <c r="F21539">
        <v>5.0344788546988899E-9</v>
      </c>
      <c r="G21539">
        <v>28567101</v>
      </c>
      <c r="H21539">
        <v>14071986</v>
      </c>
      <c r="I21539">
        <v>3200172</v>
      </c>
      <c r="J21539">
        <v>3</v>
      </c>
    </row>
    <row r="21540" spans="1:10" x14ac:dyDescent="0.25">
      <c r="A21540" t="s">
        <v>234</v>
      </c>
      <c r="B21540" s="1" t="str">
        <f>HYPERLINK("http://lindecryoplants.com","lindecryoplants.com")</f>
        <v>lindecryoplants.com</v>
      </c>
      <c r="C21540" t="s">
        <v>433</v>
      </c>
      <c r="F21540">
        <v>4.65466008535039E-9</v>
      </c>
      <c r="G21540">
        <v>43836387</v>
      </c>
      <c r="H21540">
        <v>10670208</v>
      </c>
      <c r="I21540">
        <v>42968496</v>
      </c>
      <c r="J21540">
        <v>3</v>
      </c>
    </row>
    <row r="21541" spans="1:10" x14ac:dyDescent="0.25">
      <c r="A21541" t="s">
        <v>234</v>
      </c>
      <c r="B21541" s="1" t="str">
        <f>HYPERLINK("http://lindedirect.com","lindedirect.com")</f>
        <v>lindedirect.com</v>
      </c>
      <c r="C21541" t="s">
        <v>433</v>
      </c>
      <c r="E21541">
        <v>369320</v>
      </c>
      <c r="F21541">
        <v>5.2940662360527797E-8</v>
      </c>
      <c r="G21541">
        <v>860384</v>
      </c>
      <c r="H21541">
        <v>13177219</v>
      </c>
      <c r="I21541">
        <v>11693878</v>
      </c>
      <c r="J21541">
        <v>6</v>
      </c>
    </row>
    <row r="21542" spans="1:10" x14ac:dyDescent="0.25">
      <c r="A21542" t="s">
        <v>234</v>
      </c>
      <c r="B21542" s="1" t="str">
        <f>HYPERLINK("http://lindegasbenelux.com","lindegasbenelux.com")</f>
        <v>lindegasbenelux.com</v>
      </c>
      <c r="C21542" t="s">
        <v>433</v>
      </c>
      <c r="F21542">
        <v>9.34758079661352E-9</v>
      </c>
      <c r="G21542">
        <v>7511053</v>
      </c>
      <c r="H21542">
        <v>13765257</v>
      </c>
      <c r="I21542">
        <v>7123155</v>
      </c>
      <c r="J21542">
        <v>3</v>
      </c>
    </row>
    <row r="21543" spans="1:10" x14ac:dyDescent="0.25">
      <c r="A21543" t="s">
        <v>234</v>
      </c>
      <c r="B21543" s="1" t="str">
        <f>HYPERLINK("http://lindegaspr.com","lindegaspr.com")</f>
        <v>lindegaspr.com</v>
      </c>
      <c r="C21543" t="s">
        <v>433</v>
      </c>
      <c r="F21543">
        <v>4.8243083583202596E-9</v>
      </c>
      <c r="G21543">
        <v>35053916</v>
      </c>
      <c r="H21543">
        <v>12266886</v>
      </c>
      <c r="I21543">
        <v>21597449</v>
      </c>
      <c r="J21543">
        <v>9</v>
      </c>
    </row>
    <row r="21544" spans="1:10" x14ac:dyDescent="0.25">
      <c r="A21544" t="s">
        <v>234</v>
      </c>
      <c r="B21544" s="1" t="str">
        <f>HYPERLINK("http://lindegroup.com","lindegroup.com")</f>
        <v>lindegroup.com</v>
      </c>
      <c r="C21544" t="s">
        <v>433</v>
      </c>
      <c r="F21544">
        <v>2.6851461292311201E-8</v>
      </c>
      <c r="G21544">
        <v>1915733</v>
      </c>
      <c r="H21544">
        <v>14395476</v>
      </c>
      <c r="I21544">
        <v>1160464</v>
      </c>
      <c r="J21544">
        <v>7</v>
      </c>
    </row>
    <row r="21545" spans="1:10" x14ac:dyDescent="0.25">
      <c r="A21545" t="s">
        <v>234</v>
      </c>
      <c r="B21545" s="1" t="str">
        <f>HYPERLINK("http://lindeplc.com","lindeplc.com")</f>
        <v>lindeplc.com</v>
      </c>
      <c r="C21545" t="s">
        <v>433</v>
      </c>
      <c r="F21545">
        <v>9.3734081682427695E-9</v>
      </c>
      <c r="G21545">
        <v>7478801</v>
      </c>
      <c r="H21545">
        <v>14073276</v>
      </c>
      <c r="I21545">
        <v>3005083</v>
      </c>
      <c r="J21545">
        <v>6</v>
      </c>
    </row>
    <row r="21546" spans="1:10" x14ac:dyDescent="0.25">
      <c r="A21546" t="s">
        <v>234</v>
      </c>
      <c r="B21546" s="1" t="str">
        <f>HYPERLINK("http://lindeus.com","lindeus.com")</f>
        <v>lindeus.com</v>
      </c>
      <c r="C21546" t="s">
        <v>433</v>
      </c>
      <c r="E21546">
        <v>186443</v>
      </c>
      <c r="F21546">
        <v>7.9683620626665202E-8</v>
      </c>
      <c r="G21546">
        <v>524268</v>
      </c>
      <c r="H21546">
        <v>14527670</v>
      </c>
      <c r="I21546">
        <v>791396</v>
      </c>
      <c r="J21546">
        <v>6</v>
      </c>
    </row>
    <row r="21547" spans="1:10" x14ac:dyDescent="0.25">
      <c r="A21547" t="s">
        <v>234</v>
      </c>
      <c r="B21547" s="1" t="str">
        <f>HYPERLINK("http://lindeus-engineering.com","lindeus-engineering.com")</f>
        <v>lindeus-engineering.com</v>
      </c>
      <c r="C21547" t="s">
        <v>433</v>
      </c>
      <c r="F21547">
        <v>5.4276669690604197E-9</v>
      </c>
      <c r="G21547">
        <v>21769870</v>
      </c>
      <c r="H21547">
        <v>12230532</v>
      </c>
      <c r="I21547">
        <v>22490562</v>
      </c>
      <c r="J21547">
        <v>3</v>
      </c>
    </row>
    <row r="21548" spans="1:10" x14ac:dyDescent="0.25">
      <c r="A21548" t="s">
        <v>234</v>
      </c>
      <c r="B21548" s="1" t="str">
        <f>HYPERLINK("http://nuco2.com","nuco2.com")</f>
        <v>nuco2.com</v>
      </c>
      <c r="C21548" t="s">
        <v>433</v>
      </c>
      <c r="F21548">
        <v>1.42561263128285E-8</v>
      </c>
      <c r="G21548">
        <v>4108964</v>
      </c>
      <c r="H21548">
        <v>13357396</v>
      </c>
      <c r="I21548">
        <v>10594552</v>
      </c>
      <c r="J21548">
        <v>3</v>
      </c>
    </row>
    <row r="21549" spans="1:10" x14ac:dyDescent="0.25">
      <c r="A21549" t="s">
        <v>234</v>
      </c>
      <c r="B21549" s="1" t="str">
        <f>HYPERLINK("http://portal-multiservices.com","portal-multiservices.com")</f>
        <v>portal-multiservices.com</v>
      </c>
      <c r="C21549" t="s">
        <v>433</v>
      </c>
      <c r="J21549">
        <v>2</v>
      </c>
    </row>
    <row r="21550" spans="1:10" x14ac:dyDescent="0.25">
      <c r="A21550" t="s">
        <v>234</v>
      </c>
      <c r="B21550" s="1" t="str">
        <f>HYPERLINK("http://praxair.com","praxair.com")</f>
        <v>praxair.com</v>
      </c>
      <c r="C21550" t="s">
        <v>433</v>
      </c>
      <c r="E21550">
        <v>96099</v>
      </c>
      <c r="F21550">
        <v>2.08631318358952E-7</v>
      </c>
      <c r="G21550">
        <v>181499</v>
      </c>
      <c r="H21550">
        <v>14948492</v>
      </c>
      <c r="I21550">
        <v>440988</v>
      </c>
      <c r="J21550">
        <v>3</v>
      </c>
    </row>
    <row r="21551" spans="1:10" x14ac:dyDescent="0.25">
      <c r="A21551" t="s">
        <v>234</v>
      </c>
      <c r="B21551" s="1" t="str">
        <f>HYPERLINK("http://praxairsurfacetechnologies.com","praxairsurfacetechnologies.com")</f>
        <v>praxairsurfacetechnologies.com</v>
      </c>
      <c r="C21551" t="s">
        <v>433</v>
      </c>
      <c r="F21551">
        <v>4.5772514507813602E-8</v>
      </c>
      <c r="G21551">
        <v>1026799</v>
      </c>
      <c r="H21551">
        <v>13367874</v>
      </c>
      <c r="I21551">
        <v>10475742</v>
      </c>
      <c r="J21551">
        <v>3</v>
      </c>
    </row>
    <row r="21552" spans="1:10" x14ac:dyDescent="0.25">
      <c r="A21552" t="s">
        <v>234</v>
      </c>
      <c r="B21552" s="1" t="str">
        <f>HYPERLINK("http://preferredhomecare.com","preferredhomecare.com")</f>
        <v>preferredhomecare.com</v>
      </c>
      <c r="C21552" t="s">
        <v>433</v>
      </c>
      <c r="E21552">
        <v>324706</v>
      </c>
      <c r="F21552">
        <v>7.8431840134105799E-9</v>
      </c>
      <c r="G21552">
        <v>10228846</v>
      </c>
      <c r="H21552">
        <v>12771248</v>
      </c>
      <c r="I21552">
        <v>14830978</v>
      </c>
      <c r="J21552">
        <v>3</v>
      </c>
    </row>
    <row r="21553" spans="1:10" x14ac:dyDescent="0.25">
      <c r="A21553" t="s">
        <v>234</v>
      </c>
      <c r="B21553" s="1" t="str">
        <f>HYPERLINK("http://pssi-midsouth.com","pssi-midsouth.com")</f>
        <v>pssi-midsouth.com</v>
      </c>
      <c r="C21553" t="s">
        <v>433</v>
      </c>
      <c r="F21553">
        <v>4.6251555198331003E-9</v>
      </c>
      <c r="G21553">
        <v>45762557</v>
      </c>
      <c r="H21553">
        <v>10428924</v>
      </c>
      <c r="I21553">
        <v>53862967</v>
      </c>
      <c r="J21553">
        <v>3</v>
      </c>
    </row>
    <row r="21554" spans="1:10" x14ac:dyDescent="0.25">
      <c r="A21554" t="s">
        <v>234</v>
      </c>
      <c r="B21554" s="1" t="str">
        <f>HYPERLINK("http://rcsoxygen.com","rcsoxygen.com")</f>
        <v>rcsoxygen.com</v>
      </c>
      <c r="C21554" t="s">
        <v>433</v>
      </c>
      <c r="F21554">
        <v>4.6085041643958602E-9</v>
      </c>
      <c r="G21554">
        <v>46956978</v>
      </c>
      <c r="H21554">
        <v>13763693</v>
      </c>
      <c r="I21554">
        <v>7797060</v>
      </c>
      <c r="J21554">
        <v>3</v>
      </c>
    </row>
    <row r="21555" spans="1:10" x14ac:dyDescent="0.25">
      <c r="A21555" t="s">
        <v>234</v>
      </c>
      <c r="B21555" s="1" t="str">
        <f>HYPERLINK("http://selas-linde.com","selas-linde.com")</f>
        <v>selas-linde.com</v>
      </c>
      <c r="C21555" t="s">
        <v>433</v>
      </c>
      <c r="J21555">
        <v>3</v>
      </c>
    </row>
    <row r="21556" spans="1:10" x14ac:dyDescent="0.25">
      <c r="A21556" t="s">
        <v>234</v>
      </c>
      <c r="B21556" s="1" t="str">
        <f>HYPERLINK("http://smsholdings.com","smsholdings.com")</f>
        <v>smsholdings.com</v>
      </c>
      <c r="C21556" t="s">
        <v>433</v>
      </c>
      <c r="F21556">
        <v>1.2934111218838401E-8</v>
      </c>
      <c r="G21556">
        <v>4663309</v>
      </c>
      <c r="H21556">
        <v>13799599</v>
      </c>
      <c r="I21556">
        <v>6284814</v>
      </c>
      <c r="J21556">
        <v>3</v>
      </c>
    </row>
    <row r="21557" spans="1:10" x14ac:dyDescent="0.25">
      <c r="A21557" t="s">
        <v>234</v>
      </c>
      <c r="B21557" s="1" t="str">
        <f>HYPERLINK("http://the-linde-group.com","the-linde-group.com")</f>
        <v>the-linde-group.com</v>
      </c>
      <c r="C21557" t="s">
        <v>433</v>
      </c>
      <c r="E21557">
        <v>818132</v>
      </c>
      <c r="F21557">
        <v>6.1721626995742904E-8</v>
      </c>
      <c r="G21557">
        <v>712773</v>
      </c>
      <c r="H21557">
        <v>14510637</v>
      </c>
      <c r="I21557">
        <v>823348</v>
      </c>
      <c r="J21557">
        <v>3</v>
      </c>
    </row>
    <row r="21558" spans="1:10" x14ac:dyDescent="0.25">
      <c r="A21558" t="s">
        <v>234</v>
      </c>
      <c r="B21558" s="1" t="str">
        <f>HYPERLINK("http://linde.cr","linde.cr")</f>
        <v>linde.cr</v>
      </c>
      <c r="C21558" t="s">
        <v>434</v>
      </c>
      <c r="D21558" t="s">
        <v>813</v>
      </c>
      <c r="F21558">
        <v>4.6266338831798801E-9</v>
      </c>
      <c r="G21558">
        <v>45664471</v>
      </c>
      <c r="H21558">
        <v>10909009</v>
      </c>
      <c r="I21558">
        <v>35647604</v>
      </c>
      <c r="J21558">
        <v>5</v>
      </c>
    </row>
    <row r="21559" spans="1:10" x14ac:dyDescent="0.25">
      <c r="A21559" t="s">
        <v>234</v>
      </c>
      <c r="B21559" s="1" t="str">
        <f>HYPERLINK("http://linde-gas.cz","linde-gas.cz")</f>
        <v>linde-gas.cz</v>
      </c>
      <c r="C21559" t="s">
        <v>435</v>
      </c>
      <c r="D21559" t="s">
        <v>814</v>
      </c>
      <c r="F21559">
        <v>4.0782797388751998E-8</v>
      </c>
      <c r="G21559">
        <v>1271137</v>
      </c>
      <c r="H21559">
        <v>14073105</v>
      </c>
      <c r="I21559">
        <v>3016921</v>
      </c>
      <c r="J21559">
        <v>4</v>
      </c>
    </row>
    <row r="21560" spans="1:10" x14ac:dyDescent="0.25">
      <c r="A21560" t="s">
        <v>234</v>
      </c>
      <c r="B21560" s="1" t="str">
        <f>HYPERLINK("http://linde-partner.cz","linde-partner.cz")</f>
        <v>linde-partner.cz</v>
      </c>
      <c r="C21560" t="s">
        <v>435</v>
      </c>
      <c r="D21560" t="s">
        <v>814</v>
      </c>
      <c r="J21560">
        <v>6</v>
      </c>
    </row>
    <row r="21561" spans="1:10" x14ac:dyDescent="0.25">
      <c r="A21561" t="s">
        <v>234</v>
      </c>
      <c r="B21561" s="1" t="str">
        <f>HYPERLINK("http://lindetechnoplyn.cz","lindetechnoplyn.cz")</f>
        <v>lindetechnoplyn.cz</v>
      </c>
      <c r="C21561" t="s">
        <v>435</v>
      </c>
      <c r="D21561" t="s">
        <v>814</v>
      </c>
      <c r="F21561">
        <v>4.9360624115110003E-9</v>
      </c>
      <c r="G21561">
        <v>31205080</v>
      </c>
      <c r="H21561">
        <v>10515908</v>
      </c>
      <c r="I21561">
        <v>49213544</v>
      </c>
      <c r="J21561">
        <v>5</v>
      </c>
    </row>
    <row r="21562" spans="1:10" x14ac:dyDescent="0.25">
      <c r="A21562" t="s">
        <v>234</v>
      </c>
      <c r="B21562" s="1" t="str">
        <f>HYPERLINK("http://gasandmore.de","gasandmore.de")</f>
        <v>gasandmore.de</v>
      </c>
      <c r="C21562" t="s">
        <v>436</v>
      </c>
      <c r="D21562" t="s">
        <v>815</v>
      </c>
      <c r="F21562">
        <v>8.5452484231129197E-9</v>
      </c>
      <c r="G21562">
        <v>8759003</v>
      </c>
      <c r="H21562">
        <v>12335642</v>
      </c>
      <c r="I21562">
        <v>20091061</v>
      </c>
      <c r="J21562">
        <v>3</v>
      </c>
    </row>
    <row r="21563" spans="1:10" x14ac:dyDescent="0.25">
      <c r="A21563" t="s">
        <v>234</v>
      </c>
      <c r="B21563" s="1" t="str">
        <f>HYPERLINK("http://linde.de","linde.de")</f>
        <v>linde.de</v>
      </c>
      <c r="C21563" t="s">
        <v>436</v>
      </c>
      <c r="D21563" t="s">
        <v>815</v>
      </c>
      <c r="F21563">
        <v>5.80263017546377E-8</v>
      </c>
      <c r="G21563">
        <v>767239</v>
      </c>
      <c r="H21563">
        <v>14314318</v>
      </c>
      <c r="I21563">
        <v>1337172</v>
      </c>
      <c r="J21563">
        <v>3</v>
      </c>
    </row>
    <row r="21564" spans="1:10" x14ac:dyDescent="0.25">
      <c r="A21564" t="s">
        <v>234</v>
      </c>
      <c r="B21564" s="1" t="str">
        <f>HYPERLINK("http://linde-gas.de","linde-gas.de")</f>
        <v>linde-gas.de</v>
      </c>
      <c r="C21564" t="s">
        <v>436</v>
      </c>
      <c r="D21564" t="s">
        <v>815</v>
      </c>
      <c r="E21564">
        <v>823806</v>
      </c>
      <c r="F21564">
        <v>9.8932358522035197E-8</v>
      </c>
      <c r="G21564">
        <v>407247</v>
      </c>
      <c r="H21564">
        <v>14253319</v>
      </c>
      <c r="I21564">
        <v>1439247</v>
      </c>
      <c r="J21564">
        <v>6</v>
      </c>
    </row>
    <row r="21565" spans="1:10" x14ac:dyDescent="0.25">
      <c r="A21565" t="s">
        <v>234</v>
      </c>
      <c r="B21565" s="1" t="str">
        <f>HYPERLINK("http://linde-gase.de","linde-gase.de")</f>
        <v>linde-gase.de</v>
      </c>
      <c r="C21565" t="s">
        <v>436</v>
      </c>
      <c r="D21565" t="s">
        <v>815</v>
      </c>
      <c r="F21565">
        <v>1.0822487050619599E-8</v>
      </c>
      <c r="G21565">
        <v>6003079</v>
      </c>
      <c r="H21565">
        <v>14374031</v>
      </c>
      <c r="I21565">
        <v>1251510</v>
      </c>
      <c r="J21565">
        <v>6</v>
      </c>
    </row>
    <row r="21566" spans="1:10" x14ac:dyDescent="0.25">
      <c r="A21566" t="s">
        <v>234</v>
      </c>
      <c r="B21566" s="1" t="str">
        <f>HYPERLINK("http://livopan.de","livopan.de")</f>
        <v>livopan.de</v>
      </c>
      <c r="C21566" t="s">
        <v>436</v>
      </c>
      <c r="D21566" t="s">
        <v>815</v>
      </c>
      <c r="F21566">
        <v>4.5193486275099998E-9</v>
      </c>
      <c r="G21566">
        <v>56306100</v>
      </c>
      <c r="H21566">
        <v>1.0003663</v>
      </c>
      <c r="I21566">
        <v>79287482</v>
      </c>
      <c r="J21566">
        <v>3</v>
      </c>
    </row>
    <row r="21567" spans="1:10" x14ac:dyDescent="0.25">
      <c r="A21567" t="s">
        <v>234</v>
      </c>
      <c r="B21567" s="1" t="str">
        <f>HYPERLINK("http://praxair.de","praxair.de")</f>
        <v>praxair.de</v>
      </c>
      <c r="C21567" t="s">
        <v>436</v>
      </c>
      <c r="D21567" t="s">
        <v>815</v>
      </c>
      <c r="F21567">
        <v>6.1955499791058497E-9</v>
      </c>
      <c r="G21567">
        <v>15559638</v>
      </c>
      <c r="H21567">
        <v>10778687</v>
      </c>
      <c r="I21567">
        <v>38971768</v>
      </c>
      <c r="J21567">
        <v>3</v>
      </c>
    </row>
    <row r="21568" spans="1:10" x14ac:dyDescent="0.25">
      <c r="A21568" t="s">
        <v>234</v>
      </c>
      <c r="B21568" s="1" t="str">
        <f>HYPERLINK("http://praxair-gmbh.de","praxair-gmbh.de")</f>
        <v>praxair-gmbh.de</v>
      </c>
      <c r="C21568" t="s">
        <v>436</v>
      </c>
      <c r="D21568" t="s">
        <v>815</v>
      </c>
      <c r="F21568">
        <v>1.28788927666466E-8</v>
      </c>
      <c r="G21568">
        <v>4689528</v>
      </c>
      <c r="H21568">
        <v>13718138</v>
      </c>
      <c r="I21568">
        <v>9485262</v>
      </c>
      <c r="J21568">
        <v>3</v>
      </c>
    </row>
    <row r="21569" spans="1:10" x14ac:dyDescent="0.25">
      <c r="A21569" t="s">
        <v>234</v>
      </c>
      <c r="B21569" s="1" t="str">
        <f>HYPERLINK("http://schweisstechnikno1.de","schweisstechnikno1.de")</f>
        <v>schweisstechnikno1.de</v>
      </c>
      <c r="C21569" t="s">
        <v>436</v>
      </c>
      <c r="D21569" t="s">
        <v>815</v>
      </c>
      <c r="F21569">
        <v>5.0554156765854903E-9</v>
      </c>
      <c r="G21569">
        <v>28102427</v>
      </c>
      <c r="H21569">
        <v>10977002</v>
      </c>
      <c r="I21569">
        <v>33995487</v>
      </c>
      <c r="J21569">
        <v>5</v>
      </c>
    </row>
    <row r="21570" spans="1:10" x14ac:dyDescent="0.25">
      <c r="A21570" t="s">
        <v>234</v>
      </c>
      <c r="B21570" s="1" t="str">
        <f>HYPERLINK("http://aga.dk","aga.dk")</f>
        <v>aga.dk</v>
      </c>
      <c r="C21570" t="s">
        <v>437</v>
      </c>
      <c r="D21570" t="s">
        <v>816</v>
      </c>
      <c r="F21570">
        <v>1.85456219277625E-8</v>
      </c>
      <c r="G21570">
        <v>2917164</v>
      </c>
      <c r="H21570">
        <v>14072373</v>
      </c>
      <c r="I21570">
        <v>3103738</v>
      </c>
      <c r="J21570">
        <v>3</v>
      </c>
    </row>
    <row r="21571" spans="1:10" x14ac:dyDescent="0.25">
      <c r="A21571" t="s">
        <v>234</v>
      </c>
      <c r="B21571" s="1" t="str">
        <f>HYPERLINK("http://linde-gas.dk","linde-gas.dk")</f>
        <v>linde-gas.dk</v>
      </c>
      <c r="C21571" t="s">
        <v>437</v>
      </c>
      <c r="D21571" t="s">
        <v>816</v>
      </c>
      <c r="F21571">
        <v>1.5900521818292501E-8</v>
      </c>
      <c r="G21571">
        <v>3572544</v>
      </c>
      <c r="H21571">
        <v>11127967</v>
      </c>
      <c r="I21571">
        <v>31968331</v>
      </c>
      <c r="J21571">
        <v>3</v>
      </c>
    </row>
    <row r="21572" spans="1:10" x14ac:dyDescent="0.25">
      <c r="A21572" t="s">
        <v>234</v>
      </c>
      <c r="B21572" s="1" t="str">
        <f>HYPERLINK("http://aga.ee","aga.ee")</f>
        <v>aga.ee</v>
      </c>
      <c r="C21572" t="s">
        <v>441</v>
      </c>
      <c r="D21572" t="s">
        <v>820</v>
      </c>
      <c r="F21572">
        <v>2.3584700635286201E-8</v>
      </c>
      <c r="G21572">
        <v>2205584</v>
      </c>
      <c r="H21572">
        <v>13988546</v>
      </c>
      <c r="I21572">
        <v>4035323</v>
      </c>
      <c r="J21572">
        <v>3</v>
      </c>
    </row>
    <row r="21573" spans="1:10" x14ac:dyDescent="0.25">
      <c r="A21573" t="s">
        <v>234</v>
      </c>
      <c r="B21573" s="1" t="str">
        <f>HYPERLINK("http://linde-gas.ee","linde-gas.ee")</f>
        <v>linde-gas.ee</v>
      </c>
      <c r="C21573" t="s">
        <v>441</v>
      </c>
      <c r="D21573" t="s">
        <v>820</v>
      </c>
      <c r="F21573">
        <v>1.1697142779428101E-8</v>
      </c>
      <c r="G21573">
        <v>5368296</v>
      </c>
      <c r="H21573">
        <v>11191496</v>
      </c>
      <c r="I21573">
        <v>31340201</v>
      </c>
      <c r="J21573">
        <v>3</v>
      </c>
    </row>
    <row r="21574" spans="1:10" x14ac:dyDescent="0.25">
      <c r="A21574" t="s">
        <v>234</v>
      </c>
      <c r="B21574" s="1" t="str">
        <f>HYPERLINK("http://abellolinde.es","abellolinde.es")</f>
        <v>abellolinde.es</v>
      </c>
      <c r="C21574" t="s">
        <v>443</v>
      </c>
      <c r="D21574" t="s">
        <v>822</v>
      </c>
      <c r="F21574">
        <v>1.21373974837889E-8</v>
      </c>
      <c r="G21574">
        <v>5086994</v>
      </c>
      <c r="H21574">
        <v>14074348</v>
      </c>
      <c r="I21574">
        <v>2946343</v>
      </c>
      <c r="J21574">
        <v>8</v>
      </c>
    </row>
    <row r="21575" spans="1:10" x14ac:dyDescent="0.25">
      <c r="A21575" t="s">
        <v>234</v>
      </c>
      <c r="B21575" s="1" t="str">
        <f>HYPERLINK("http://linde-electronics.eu","linde-electronics.eu")</f>
        <v>linde-electronics.eu</v>
      </c>
      <c r="C21575" t="s">
        <v>444</v>
      </c>
      <c r="F21575">
        <v>4.9163486943717997E-9</v>
      </c>
      <c r="G21575">
        <v>31854480</v>
      </c>
      <c r="H21575">
        <v>14071789</v>
      </c>
      <c r="I21575">
        <v>3633939</v>
      </c>
      <c r="J21575">
        <v>3</v>
      </c>
    </row>
    <row r="21576" spans="1:10" x14ac:dyDescent="0.25">
      <c r="A21576" t="s">
        <v>234</v>
      </c>
      <c r="B21576" s="1" t="str">
        <f>HYPERLINK("http://aga.fi","aga.fi")</f>
        <v>aga.fi</v>
      </c>
      <c r="C21576" t="s">
        <v>445</v>
      </c>
      <c r="D21576" t="s">
        <v>823</v>
      </c>
      <c r="F21576">
        <v>2.82120721632193E-8</v>
      </c>
      <c r="G21576">
        <v>1824131</v>
      </c>
      <c r="H21576">
        <v>14237275</v>
      </c>
      <c r="I21576">
        <v>1555176</v>
      </c>
      <c r="J21576">
        <v>2</v>
      </c>
    </row>
    <row r="21577" spans="1:10" x14ac:dyDescent="0.25">
      <c r="A21577" t="s">
        <v>234</v>
      </c>
      <c r="B21577" s="1" t="str">
        <f>HYPERLINK("http://aganestekaasu.fi","aganestekaasu.fi")</f>
        <v>aganestekaasu.fi</v>
      </c>
      <c r="C21577" t="s">
        <v>445</v>
      </c>
      <c r="D21577" t="s">
        <v>823</v>
      </c>
      <c r="J21577">
        <v>2</v>
      </c>
    </row>
    <row r="21578" spans="1:10" x14ac:dyDescent="0.25">
      <c r="A21578" t="s">
        <v>234</v>
      </c>
      <c r="B21578" s="1" t="str">
        <f>HYPERLINK("http://aqvia.fi","aqvia.fi")</f>
        <v>aqvia.fi</v>
      </c>
      <c r="C21578" t="s">
        <v>445</v>
      </c>
      <c r="D21578" t="s">
        <v>823</v>
      </c>
      <c r="F21578">
        <v>4.5983819404721997E-9</v>
      </c>
      <c r="G21578">
        <v>47733761</v>
      </c>
      <c r="H21578">
        <v>13763634</v>
      </c>
      <c r="I21578">
        <v>8460367</v>
      </c>
      <c r="J21578">
        <v>2</v>
      </c>
    </row>
    <row r="21579" spans="1:10" x14ac:dyDescent="0.25">
      <c r="A21579" t="s">
        <v>234</v>
      </c>
      <c r="B21579" s="1" t="str">
        <f>HYPERLINK("http://conoxia.fi","conoxia.fi")</f>
        <v>conoxia.fi</v>
      </c>
      <c r="C21579" t="s">
        <v>445</v>
      </c>
      <c r="D21579" t="s">
        <v>823</v>
      </c>
      <c r="J21579">
        <v>2</v>
      </c>
    </row>
    <row r="21580" spans="1:10" x14ac:dyDescent="0.25">
      <c r="A21580" t="s">
        <v>234</v>
      </c>
      <c r="B21580" s="1" t="str">
        <f>HYPERLINK("http://geniecylinder.fi","geniecylinder.fi")</f>
        <v>geniecylinder.fi</v>
      </c>
      <c r="C21580" t="s">
        <v>445</v>
      </c>
      <c r="D21580" t="s">
        <v>823</v>
      </c>
      <c r="J21580">
        <v>2</v>
      </c>
    </row>
    <row r="21581" spans="1:10" x14ac:dyDescent="0.25">
      <c r="A21581" t="s">
        <v>234</v>
      </c>
      <c r="B21581" s="1" t="str">
        <f>HYPERLINK("http://geniecylinders.fi","geniecylinders.fi")</f>
        <v>geniecylinders.fi</v>
      </c>
      <c r="C21581" t="s">
        <v>445</v>
      </c>
      <c r="D21581" t="s">
        <v>823</v>
      </c>
      <c r="J21581">
        <v>2</v>
      </c>
    </row>
    <row r="21582" spans="1:10" x14ac:dyDescent="0.25">
      <c r="A21582" t="s">
        <v>234</v>
      </c>
      <c r="B21582" s="1" t="str">
        <f>HYPERLINK("http://happiliikkuja.fi","happiliikkuja.fi")</f>
        <v>happiliikkuja.fi</v>
      </c>
      <c r="C21582" t="s">
        <v>445</v>
      </c>
      <c r="D21582" t="s">
        <v>823</v>
      </c>
      <c r="F21582">
        <v>4.8759073671859101E-9</v>
      </c>
      <c r="G21582">
        <v>33213150</v>
      </c>
      <c r="H21582">
        <v>10866068</v>
      </c>
      <c r="I21582">
        <v>36572336</v>
      </c>
      <c r="J21582">
        <v>2</v>
      </c>
    </row>
    <row r="21583" spans="1:10" x14ac:dyDescent="0.25">
      <c r="A21583" t="s">
        <v>234</v>
      </c>
      <c r="B21583" s="1" t="str">
        <f>HYPERLINK("http://inomax.fi","inomax.fi")</f>
        <v>inomax.fi</v>
      </c>
      <c r="C21583" t="s">
        <v>445</v>
      </c>
      <c r="D21583" t="s">
        <v>823</v>
      </c>
      <c r="J21583">
        <v>2</v>
      </c>
    </row>
    <row r="21584" spans="1:10" x14ac:dyDescent="0.25">
      <c r="A21584" t="s">
        <v>234</v>
      </c>
      <c r="B21584" s="1" t="str">
        <f>HYPERLINK("http://inomax-therapy.fi","inomax-therapy.fi")</f>
        <v>inomax-therapy.fi</v>
      </c>
      <c r="C21584" t="s">
        <v>445</v>
      </c>
      <c r="D21584" t="s">
        <v>823</v>
      </c>
      <c r="J21584">
        <v>2</v>
      </c>
    </row>
    <row r="21585" spans="1:10" x14ac:dyDescent="0.25">
      <c r="A21585" t="s">
        <v>234</v>
      </c>
      <c r="B21585" s="1" t="str">
        <f>HYPERLINK("http://jatkuvapaansarky.fi","jatkuvapaansarky.fi")</f>
        <v>jatkuvapaansarky.fi</v>
      </c>
      <c r="C21585" t="s">
        <v>445</v>
      </c>
      <c r="D21585" t="s">
        <v>823</v>
      </c>
      <c r="F21585">
        <v>6.7600234274041196E-9</v>
      </c>
      <c r="G21585">
        <v>13095315</v>
      </c>
      <c r="H21585">
        <v>12514730</v>
      </c>
      <c r="I21585">
        <v>17195945</v>
      </c>
      <c r="J21585">
        <v>2</v>
      </c>
    </row>
    <row r="21586" spans="1:10" x14ac:dyDescent="0.25">
      <c r="A21586" t="s">
        <v>234</v>
      </c>
      <c r="B21586" s="1" t="str">
        <f>HYPERLINK("http://linde-engineering.fi","linde-engineering.fi")</f>
        <v>linde-engineering.fi</v>
      </c>
      <c r="C21586" t="s">
        <v>445</v>
      </c>
      <c r="D21586" t="s">
        <v>823</v>
      </c>
      <c r="J21586">
        <v>2</v>
      </c>
    </row>
    <row r="21587" spans="1:10" x14ac:dyDescent="0.25">
      <c r="A21587" t="s">
        <v>234</v>
      </c>
      <c r="B21587" s="1" t="str">
        <f>HYPERLINK("http://linde-gas.fi","linde-gas.fi")</f>
        <v>linde-gas.fi</v>
      </c>
      <c r="C21587" t="s">
        <v>445</v>
      </c>
      <c r="D21587" t="s">
        <v>823</v>
      </c>
      <c r="F21587">
        <v>3.3192052997125201E-8</v>
      </c>
      <c r="G21587">
        <v>1556706</v>
      </c>
      <c r="H21587">
        <v>13181215</v>
      </c>
      <c r="I21587">
        <v>11681287</v>
      </c>
      <c r="J21587">
        <v>2</v>
      </c>
    </row>
    <row r="21588" spans="1:10" x14ac:dyDescent="0.25">
      <c r="A21588" t="s">
        <v>234</v>
      </c>
      <c r="B21588" s="1" t="str">
        <f>HYPERLINK("http://linde-healthcare.fi","linde-healthcare.fi")</f>
        <v>linde-healthcare.fi</v>
      </c>
      <c r="C21588" t="s">
        <v>445</v>
      </c>
      <c r="D21588" t="s">
        <v>823</v>
      </c>
      <c r="F21588">
        <v>6.0451493545977802E-9</v>
      </c>
      <c r="G21588">
        <v>16410978</v>
      </c>
      <c r="H21588">
        <v>10816674</v>
      </c>
      <c r="I21588">
        <v>37701446</v>
      </c>
      <c r="J21588">
        <v>2</v>
      </c>
    </row>
    <row r="21589" spans="1:10" x14ac:dyDescent="0.25">
      <c r="A21589" t="s">
        <v>234</v>
      </c>
      <c r="B21589" s="1" t="str">
        <f>HYPERLINK("http://linde-healthcare-qiservices.fi","linde-healthcare-qiservices.fi")</f>
        <v>linde-healthcare-qiservices.fi</v>
      </c>
      <c r="C21589" t="s">
        <v>445</v>
      </c>
      <c r="D21589" t="s">
        <v>823</v>
      </c>
      <c r="J21589">
        <v>2</v>
      </c>
    </row>
    <row r="21590" spans="1:10" x14ac:dyDescent="0.25">
      <c r="A21590" t="s">
        <v>234</v>
      </c>
      <c r="B21590" s="1" t="str">
        <f>HYPERLINK("http://linde-healthcare-qitraining.fi","linde-healthcare-qitraining.fi")</f>
        <v>linde-healthcare-qitraining.fi</v>
      </c>
      <c r="C21590" t="s">
        <v>445</v>
      </c>
      <c r="D21590" t="s">
        <v>823</v>
      </c>
      <c r="J21590">
        <v>2</v>
      </c>
    </row>
    <row r="21591" spans="1:10" x14ac:dyDescent="0.25">
      <c r="A21591" t="s">
        <v>234</v>
      </c>
      <c r="B21591" s="1" t="str">
        <f>HYPERLINK("http://linde-inetiq.fi","linde-inetiq.fi")</f>
        <v>linde-inetiq.fi</v>
      </c>
      <c r="C21591" t="s">
        <v>445</v>
      </c>
      <c r="D21591" t="s">
        <v>823</v>
      </c>
      <c r="J21591">
        <v>2</v>
      </c>
    </row>
    <row r="21592" spans="1:10" x14ac:dyDescent="0.25">
      <c r="A21592" t="s">
        <v>234</v>
      </c>
      <c r="B21592" s="1" t="str">
        <f>HYPERLINK("http://linde-kaasu.fi","linde-kaasu.fi")</f>
        <v>linde-kaasu.fi</v>
      </c>
      <c r="C21592" t="s">
        <v>445</v>
      </c>
      <c r="D21592" t="s">
        <v>823</v>
      </c>
      <c r="J21592">
        <v>2</v>
      </c>
    </row>
    <row r="21593" spans="1:10" x14ac:dyDescent="0.25">
      <c r="A21593" t="s">
        <v>234</v>
      </c>
      <c r="B21593" s="1" t="str">
        <f>HYPERLINK("http://lindeengineering.fi","lindeengineering.fi")</f>
        <v>lindeengineering.fi</v>
      </c>
      <c r="C21593" t="s">
        <v>445</v>
      </c>
      <c r="D21593" t="s">
        <v>823</v>
      </c>
      <c r="J21593">
        <v>2</v>
      </c>
    </row>
    <row r="21594" spans="1:10" x14ac:dyDescent="0.25">
      <c r="A21594" t="s">
        <v>234</v>
      </c>
      <c r="B21594" s="1" t="str">
        <f>HYPERLINK("http://lindegas.fi","lindegas.fi")</f>
        <v>lindegas.fi</v>
      </c>
      <c r="C21594" t="s">
        <v>445</v>
      </c>
      <c r="D21594" t="s">
        <v>823</v>
      </c>
      <c r="J21594">
        <v>2</v>
      </c>
    </row>
    <row r="21595" spans="1:10" x14ac:dyDescent="0.25">
      <c r="A21595" t="s">
        <v>234</v>
      </c>
      <c r="B21595" s="1" t="str">
        <f>HYPERLINK("http://lindehealthcare.fi","lindehealthcare.fi")</f>
        <v>lindehealthcare.fi</v>
      </c>
      <c r="C21595" t="s">
        <v>445</v>
      </c>
      <c r="D21595" t="s">
        <v>823</v>
      </c>
      <c r="J21595">
        <v>2</v>
      </c>
    </row>
    <row r="21596" spans="1:10" x14ac:dyDescent="0.25">
      <c r="A21596" t="s">
        <v>234</v>
      </c>
      <c r="B21596" s="1" t="str">
        <f>HYPERLINK("http://lindekaasu.fi","lindekaasu.fi")</f>
        <v>lindekaasu.fi</v>
      </c>
      <c r="C21596" t="s">
        <v>445</v>
      </c>
      <c r="D21596" t="s">
        <v>823</v>
      </c>
      <c r="J21596">
        <v>2</v>
      </c>
    </row>
    <row r="21597" spans="1:10" x14ac:dyDescent="0.25">
      <c r="A21597" t="s">
        <v>234</v>
      </c>
      <c r="B21597" s="1" t="str">
        <f>HYPERLINK("http://liprotect.fi","liprotect.fi")</f>
        <v>liprotect.fi</v>
      </c>
      <c r="C21597" t="s">
        <v>445</v>
      </c>
      <c r="D21597" t="s">
        <v>823</v>
      </c>
      <c r="J21597">
        <v>2</v>
      </c>
    </row>
    <row r="21598" spans="1:10" x14ac:dyDescent="0.25">
      <c r="A21598" t="s">
        <v>234</v>
      </c>
      <c r="B21598" s="1" t="str">
        <f>HYPERLINK("http://liprotect-live.fi","liprotect-live.fi")</f>
        <v>liprotect-live.fi</v>
      </c>
      <c r="C21598" t="s">
        <v>445</v>
      </c>
      <c r="D21598" t="s">
        <v>823</v>
      </c>
      <c r="J21598">
        <v>2</v>
      </c>
    </row>
    <row r="21599" spans="1:10" x14ac:dyDescent="0.25">
      <c r="A21599" t="s">
        <v>234</v>
      </c>
      <c r="B21599" s="1" t="str">
        <f>HYPERLINK("http://livopan.fi","livopan.fi")</f>
        <v>livopan.fi</v>
      </c>
      <c r="C21599" t="s">
        <v>445</v>
      </c>
      <c r="D21599" t="s">
        <v>823</v>
      </c>
      <c r="J21599">
        <v>2</v>
      </c>
    </row>
    <row r="21600" spans="1:10" x14ac:dyDescent="0.25">
      <c r="A21600" t="s">
        <v>234</v>
      </c>
      <c r="B21600" s="1" t="str">
        <f>HYPERLINK("http://myaga.fi","myaga.fi")</f>
        <v>myaga.fi</v>
      </c>
      <c r="C21600" t="s">
        <v>445</v>
      </c>
      <c r="D21600" t="s">
        <v>823</v>
      </c>
      <c r="F21600">
        <v>4.5351870912546899E-9</v>
      </c>
      <c r="G21600">
        <v>54086787</v>
      </c>
      <c r="H21600">
        <v>13763633</v>
      </c>
      <c r="I21600">
        <v>9129925</v>
      </c>
      <c r="J21600">
        <v>2</v>
      </c>
    </row>
    <row r="21601" spans="1:10" x14ac:dyDescent="0.25">
      <c r="A21601" t="s">
        <v>234</v>
      </c>
      <c r="B21601" s="1" t="str">
        <f>HYPERLINK("http://oxysensor.fi","oxysensor.fi")</f>
        <v>oxysensor.fi</v>
      </c>
      <c r="C21601" t="s">
        <v>445</v>
      </c>
      <c r="D21601" t="s">
        <v>823</v>
      </c>
      <c r="J21601">
        <v>2</v>
      </c>
    </row>
    <row r="21602" spans="1:10" x14ac:dyDescent="0.25">
      <c r="A21602" t="s">
        <v>234</v>
      </c>
      <c r="B21602" s="1" t="str">
        <f>HYPERLINK("http://sparklingwater.fi","sparklingwater.fi")</f>
        <v>sparklingwater.fi</v>
      </c>
      <c r="C21602" t="s">
        <v>445</v>
      </c>
      <c r="D21602" t="s">
        <v>823</v>
      </c>
      <c r="J21602">
        <v>2</v>
      </c>
    </row>
    <row r="21603" spans="1:10" x14ac:dyDescent="0.25">
      <c r="A21603" t="s">
        <v>234</v>
      </c>
      <c r="B21603" s="1" t="str">
        <f>HYPERLINK("http://linde.fr","linde.fr")</f>
        <v>linde.fr</v>
      </c>
      <c r="C21603" t="s">
        <v>446</v>
      </c>
      <c r="D21603" t="s">
        <v>824</v>
      </c>
      <c r="F21603">
        <v>5.7000940221280202E-9</v>
      </c>
      <c r="G21603">
        <v>18959661</v>
      </c>
      <c r="H21603">
        <v>9439801</v>
      </c>
      <c r="I21603">
        <v>66676430</v>
      </c>
      <c r="J21603">
        <v>3</v>
      </c>
    </row>
    <row r="21604" spans="1:10" x14ac:dyDescent="0.25">
      <c r="A21604" t="s">
        <v>234</v>
      </c>
      <c r="B21604" s="1" t="str">
        <f>HYPERLINK("http://linde.gr","linde.gr")</f>
        <v>linde.gr</v>
      </c>
      <c r="C21604" t="s">
        <v>447</v>
      </c>
      <c r="D21604" t="s">
        <v>825</v>
      </c>
      <c r="F21604">
        <v>5.0409550304680199E-9</v>
      </c>
      <c r="G21604">
        <v>28421704</v>
      </c>
      <c r="H21604">
        <v>10879362</v>
      </c>
      <c r="I21604">
        <v>36340183</v>
      </c>
      <c r="J21604">
        <v>3</v>
      </c>
    </row>
    <row r="21605" spans="1:10" x14ac:dyDescent="0.25">
      <c r="A21605" t="s">
        <v>234</v>
      </c>
      <c r="B21605" s="1" t="str">
        <f>HYPERLINK("http://lindegas.hu","lindegas.hu")</f>
        <v>lindegas.hu</v>
      </c>
      <c r="C21605" t="s">
        <v>453</v>
      </c>
      <c r="D21605" t="s">
        <v>830</v>
      </c>
      <c r="F21605">
        <v>1.00114536208037E-8</v>
      </c>
      <c r="G21605">
        <v>6744294</v>
      </c>
      <c r="H21605">
        <v>14072680</v>
      </c>
      <c r="I21605">
        <v>3057784</v>
      </c>
      <c r="J21605">
        <v>7</v>
      </c>
    </row>
    <row r="21606" spans="1:10" x14ac:dyDescent="0.25">
      <c r="A21606" t="s">
        <v>234</v>
      </c>
      <c r="B21606" s="1" t="str">
        <f>HYPERLINK("http://praxair.co.in","praxair.co.in")</f>
        <v>praxair.co.in</v>
      </c>
      <c r="C21606" t="s">
        <v>457</v>
      </c>
      <c r="D21606" t="s">
        <v>834</v>
      </c>
      <c r="F21606">
        <v>1.07439093371719E-8</v>
      </c>
      <c r="G21606">
        <v>6064778</v>
      </c>
      <c r="H21606">
        <v>12700214</v>
      </c>
      <c r="I21606">
        <v>15353218</v>
      </c>
      <c r="J21606">
        <v>6</v>
      </c>
    </row>
    <row r="21607" spans="1:10" x14ac:dyDescent="0.25">
      <c r="A21607" t="s">
        <v>234</v>
      </c>
      <c r="B21607" s="1" t="str">
        <f>HYPERLINK("http://linde.in","linde.in")</f>
        <v>linde.in</v>
      </c>
      <c r="C21607" t="s">
        <v>457</v>
      </c>
      <c r="D21607" t="s">
        <v>834</v>
      </c>
      <c r="F21607">
        <v>1.1584165291095499E-8</v>
      </c>
      <c r="G21607">
        <v>5444560</v>
      </c>
      <c r="H21607">
        <v>12572919</v>
      </c>
      <c r="I21607">
        <v>16599352</v>
      </c>
      <c r="J21607">
        <v>3</v>
      </c>
    </row>
    <row r="21608" spans="1:10" x14ac:dyDescent="0.25">
      <c r="A21608" t="s">
        <v>234</v>
      </c>
      <c r="B21608" s="1" t="str">
        <f>HYPERLINK("http://aga.is","aga.is")</f>
        <v>aga.is</v>
      </c>
      <c r="C21608" t="s">
        <v>594</v>
      </c>
      <c r="D21608" t="s">
        <v>929</v>
      </c>
      <c r="F21608">
        <v>1.0283384030217399E-8</v>
      </c>
      <c r="G21608">
        <v>6466619</v>
      </c>
      <c r="H21608">
        <v>11022244</v>
      </c>
      <c r="I21608">
        <v>33217274</v>
      </c>
      <c r="J21608">
        <v>3</v>
      </c>
    </row>
    <row r="21609" spans="1:10" x14ac:dyDescent="0.25">
      <c r="A21609" t="s">
        <v>234</v>
      </c>
      <c r="B21609" s="1" t="str">
        <f>HYPERLINK("http://linde-gas.is","linde-gas.is")</f>
        <v>linde-gas.is</v>
      </c>
      <c r="C21609" t="s">
        <v>594</v>
      </c>
      <c r="D21609" t="s">
        <v>929</v>
      </c>
      <c r="F21609">
        <v>5.5428988638152501E-9</v>
      </c>
      <c r="G21609">
        <v>20448747</v>
      </c>
      <c r="H21609">
        <v>11025547</v>
      </c>
      <c r="I21609">
        <v>33171158</v>
      </c>
      <c r="J21609">
        <v>3</v>
      </c>
    </row>
    <row r="21610" spans="1:10" x14ac:dyDescent="0.25">
      <c r="A21610" t="s">
        <v>234</v>
      </c>
      <c r="B21610" s="1" t="str">
        <f>HYPERLINK("http://lindemedicale.it","lindemedicale.it")</f>
        <v>lindemedicale.it</v>
      </c>
      <c r="C21610" t="s">
        <v>459</v>
      </c>
      <c r="D21610" t="s">
        <v>835</v>
      </c>
      <c r="F21610">
        <v>7.0337322876985002E-9</v>
      </c>
      <c r="G21610">
        <v>12213050</v>
      </c>
      <c r="H21610">
        <v>12159395</v>
      </c>
      <c r="I21610">
        <v>24377289</v>
      </c>
      <c r="J21610">
        <v>3</v>
      </c>
    </row>
    <row r="21611" spans="1:10" x14ac:dyDescent="0.25">
      <c r="A21611" t="s">
        <v>234</v>
      </c>
      <c r="B21611" s="1" t="str">
        <f>HYPERLINK("http://praxairsurfacetech.jp","praxairsurfacetech.jp")</f>
        <v>praxairsurfacetech.jp</v>
      </c>
      <c r="C21611" t="s">
        <v>461</v>
      </c>
      <c r="D21611" t="s">
        <v>837</v>
      </c>
      <c r="F21611">
        <v>7.5235513653024196E-9</v>
      </c>
      <c r="G21611">
        <v>10961520</v>
      </c>
      <c r="H21611">
        <v>14084861</v>
      </c>
      <c r="I21611">
        <v>2783976</v>
      </c>
      <c r="J21611">
        <v>3</v>
      </c>
    </row>
    <row r="21612" spans="1:10" x14ac:dyDescent="0.25">
      <c r="A21612" t="s">
        <v>234</v>
      </c>
      <c r="B21612" s="1" t="str">
        <f>HYPERLINK("http://boc.co.ke","boc.co.ke")</f>
        <v>boc.co.ke</v>
      </c>
      <c r="C21612" t="s">
        <v>462</v>
      </c>
      <c r="D21612" t="s">
        <v>838</v>
      </c>
      <c r="F21612">
        <v>8.0905811923479506E-9</v>
      </c>
      <c r="G21612">
        <v>9758359</v>
      </c>
      <c r="H21612">
        <v>12902378</v>
      </c>
      <c r="I21612">
        <v>13847389</v>
      </c>
      <c r="J21612">
        <v>3</v>
      </c>
    </row>
    <row r="21613" spans="1:10" x14ac:dyDescent="0.25">
      <c r="A21613" t="s">
        <v>234</v>
      </c>
      <c r="B21613" s="1" t="str">
        <f>HYPERLINK("http://praxair.co.kr","praxair.co.kr")</f>
        <v>praxair.co.kr</v>
      </c>
      <c r="C21613" t="s">
        <v>463</v>
      </c>
      <c r="D21613" t="s">
        <v>839</v>
      </c>
      <c r="F21613">
        <v>4.5837014852201302E-9</v>
      </c>
      <c r="G21613">
        <v>48985050</v>
      </c>
      <c r="H21613">
        <v>1.0003663</v>
      </c>
      <c r="I21613">
        <v>79517867</v>
      </c>
      <c r="J21613">
        <v>3</v>
      </c>
    </row>
    <row r="21614" spans="1:10" x14ac:dyDescent="0.25">
      <c r="A21614" t="s">
        <v>234</v>
      </c>
      <c r="B21614" s="1" t="str">
        <f>HYPERLINK("http://aga.lt","aga.lt")</f>
        <v>aga.lt</v>
      </c>
      <c r="C21614" t="s">
        <v>467</v>
      </c>
      <c r="D21614" t="s">
        <v>843</v>
      </c>
      <c r="F21614">
        <v>1.31001802973259E-8</v>
      </c>
      <c r="G21614">
        <v>4583961</v>
      </c>
      <c r="H21614">
        <v>14072191</v>
      </c>
      <c r="I21614">
        <v>3139373</v>
      </c>
      <c r="J21614">
        <v>3</v>
      </c>
    </row>
    <row r="21615" spans="1:10" x14ac:dyDescent="0.25">
      <c r="A21615" t="s">
        <v>234</v>
      </c>
      <c r="B21615" s="1" t="str">
        <f>HYPERLINK("http://linde-gas.lt","linde-gas.lt")</f>
        <v>linde-gas.lt</v>
      </c>
      <c r="C21615" t="s">
        <v>467</v>
      </c>
      <c r="D21615" t="s">
        <v>843</v>
      </c>
      <c r="F21615">
        <v>9.8983666556576993E-9</v>
      </c>
      <c r="G21615">
        <v>6861162</v>
      </c>
      <c r="H21615">
        <v>10974400</v>
      </c>
      <c r="I21615">
        <v>34048749</v>
      </c>
      <c r="J21615">
        <v>3</v>
      </c>
    </row>
    <row r="21616" spans="1:10" x14ac:dyDescent="0.25">
      <c r="A21616" t="s">
        <v>234</v>
      </c>
      <c r="B21616" s="1" t="str">
        <f>HYPERLINK("http://aga.lv","aga.lv")</f>
        <v>aga.lv</v>
      </c>
      <c r="C21616" t="s">
        <v>468</v>
      </c>
      <c r="D21616" t="s">
        <v>844</v>
      </c>
      <c r="F21616">
        <v>1.2966025471996E-8</v>
      </c>
      <c r="G21616">
        <v>4648178</v>
      </c>
      <c r="H21616">
        <v>14072189</v>
      </c>
      <c r="I21616">
        <v>3139926</v>
      </c>
      <c r="J21616">
        <v>3</v>
      </c>
    </row>
    <row r="21617" spans="1:10" x14ac:dyDescent="0.25">
      <c r="A21617" t="s">
        <v>234</v>
      </c>
      <c r="B21617" s="1" t="str">
        <f>HYPERLINK("http://linde-gas.lv","linde-gas.lv")</f>
        <v>linde-gas.lv</v>
      </c>
      <c r="C21617" t="s">
        <v>468</v>
      </c>
      <c r="D21617" t="s">
        <v>844</v>
      </c>
      <c r="F21617">
        <v>1.06957258196251E-8</v>
      </c>
      <c r="G21617">
        <v>6104222</v>
      </c>
      <c r="H21617">
        <v>12121256</v>
      </c>
      <c r="I21617">
        <v>25375604</v>
      </c>
      <c r="J21617">
        <v>4</v>
      </c>
    </row>
    <row r="21618" spans="1:10" x14ac:dyDescent="0.25">
      <c r="A21618" t="s">
        <v>234</v>
      </c>
      <c r="B21618" s="1" t="str">
        <f>HYPERLINK("http://linde.com.mx","linde.com.mx")</f>
        <v>linde.com.mx</v>
      </c>
      <c r="C21618" t="s">
        <v>471</v>
      </c>
      <c r="D21618" t="s">
        <v>847</v>
      </c>
      <c r="F21618">
        <v>5.0733253983444299E-9</v>
      </c>
      <c r="G21618">
        <v>27722189</v>
      </c>
      <c r="H21618">
        <v>10764858</v>
      </c>
      <c r="I21618">
        <v>39442158</v>
      </c>
      <c r="J21618">
        <v>6</v>
      </c>
    </row>
    <row r="21619" spans="1:10" x14ac:dyDescent="0.25">
      <c r="A21619" t="s">
        <v>234</v>
      </c>
      <c r="B21619" s="1" t="str">
        <f>HYPERLINK("http://praxair.com.mx","praxair.com.mx")</f>
        <v>praxair.com.mx</v>
      </c>
      <c r="C21619" t="s">
        <v>471</v>
      </c>
      <c r="D21619" t="s">
        <v>847</v>
      </c>
      <c r="F21619">
        <v>2.7862563638918199E-8</v>
      </c>
      <c r="G21619">
        <v>1845935</v>
      </c>
      <c r="H21619">
        <v>11364077</v>
      </c>
      <c r="I21619">
        <v>30346646</v>
      </c>
      <c r="J21619">
        <v>4</v>
      </c>
    </row>
    <row r="21620" spans="1:10" x14ac:dyDescent="0.25">
      <c r="A21620" t="s">
        <v>234</v>
      </c>
      <c r="B21620" s="1" t="str">
        <f>HYPERLINK("http://linde.mx","linde.mx")</f>
        <v>linde.mx</v>
      </c>
      <c r="C21620" t="s">
        <v>471</v>
      </c>
      <c r="D21620" t="s">
        <v>847</v>
      </c>
      <c r="F21620">
        <v>7.6750129922826895E-9</v>
      </c>
      <c r="G21620">
        <v>10633659</v>
      </c>
      <c r="H21620">
        <v>11091411</v>
      </c>
      <c r="I21620">
        <v>32367911</v>
      </c>
      <c r="J21620">
        <v>5</v>
      </c>
    </row>
    <row r="21621" spans="1:10" x14ac:dyDescent="0.25">
      <c r="A21621" t="s">
        <v>234</v>
      </c>
      <c r="B21621" s="1" t="str">
        <f>HYPERLINK("http://linde.nl","linde.nl")</f>
        <v>linde.nl</v>
      </c>
      <c r="C21621" t="s">
        <v>477</v>
      </c>
      <c r="D21621" t="s">
        <v>852</v>
      </c>
      <c r="F21621">
        <v>5.7567363978104796E-9</v>
      </c>
      <c r="G21621">
        <v>18443140</v>
      </c>
      <c r="H21621">
        <v>10835233</v>
      </c>
      <c r="I21621">
        <v>37279241</v>
      </c>
      <c r="J21621">
        <v>3</v>
      </c>
    </row>
    <row r="21622" spans="1:10" x14ac:dyDescent="0.25">
      <c r="A21622" t="s">
        <v>234</v>
      </c>
      <c r="B21622" s="1" t="str">
        <f>HYPERLINK("http://ocap.nl","ocap.nl")</f>
        <v>ocap.nl</v>
      </c>
      <c r="C21622" t="s">
        <v>477</v>
      </c>
      <c r="D21622" t="s">
        <v>852</v>
      </c>
      <c r="F21622">
        <v>1.7208782457794999E-8</v>
      </c>
      <c r="G21622">
        <v>3223158</v>
      </c>
      <c r="H21622">
        <v>14079684</v>
      </c>
      <c r="I21622">
        <v>2829601</v>
      </c>
      <c r="J21622">
        <v>3</v>
      </c>
    </row>
    <row r="21623" spans="1:10" x14ac:dyDescent="0.25">
      <c r="A21623" t="s">
        <v>234</v>
      </c>
      <c r="B21623" s="1" t="str">
        <f>HYPERLINK("http://aga.no","aga.no")</f>
        <v>aga.no</v>
      </c>
      <c r="C21623" t="s">
        <v>478</v>
      </c>
      <c r="D21623" t="s">
        <v>853</v>
      </c>
      <c r="F21623">
        <v>2.1849930111683701E-8</v>
      </c>
      <c r="G21623">
        <v>2403888</v>
      </c>
      <c r="H21623">
        <v>14380092</v>
      </c>
      <c r="I21623">
        <v>1196321</v>
      </c>
      <c r="J21623">
        <v>3</v>
      </c>
    </row>
    <row r="21624" spans="1:10" x14ac:dyDescent="0.25">
      <c r="A21624" t="s">
        <v>234</v>
      </c>
      <c r="B21624" s="1" t="str">
        <f>HYPERLINK("http://linde-gas.no","linde-gas.no")</f>
        <v>linde-gas.no</v>
      </c>
      <c r="C21624" t="s">
        <v>478</v>
      </c>
      <c r="D21624" t="s">
        <v>853</v>
      </c>
      <c r="F21624">
        <v>3.41703077194942E-8</v>
      </c>
      <c r="G21624">
        <v>1516393</v>
      </c>
      <c r="H21624">
        <v>12965805</v>
      </c>
      <c r="I21624">
        <v>13124214</v>
      </c>
      <c r="J21624">
        <v>3</v>
      </c>
    </row>
    <row r="21625" spans="1:10" x14ac:dyDescent="0.25">
      <c r="A21625" t="s">
        <v>234</v>
      </c>
      <c r="B21625" s="1" t="str">
        <f>HYPERLINK("http://praxair.no","praxair.no")</f>
        <v>praxair.no</v>
      </c>
      <c r="C21625" t="s">
        <v>478</v>
      </c>
      <c r="D21625" t="s">
        <v>853</v>
      </c>
      <c r="F21625">
        <v>5.7168425816193804E-9</v>
      </c>
      <c r="G21625">
        <v>18777667</v>
      </c>
      <c r="H21625">
        <v>12247953</v>
      </c>
      <c r="I21625">
        <v>22053621</v>
      </c>
      <c r="J21625">
        <v>3</v>
      </c>
    </row>
    <row r="21626" spans="1:10" x14ac:dyDescent="0.25">
      <c r="A21626" t="s">
        <v>234</v>
      </c>
      <c r="B21626" s="1" t="str">
        <f>HYPERLINK("http://elgas.co.nz","elgas.co.nz")</f>
        <v>elgas.co.nz</v>
      </c>
      <c r="C21626" t="s">
        <v>479</v>
      </c>
      <c r="D21626" t="s">
        <v>854</v>
      </c>
      <c r="F21626">
        <v>7.0964603342808699E-9</v>
      </c>
      <c r="G21626">
        <v>12024863</v>
      </c>
      <c r="H21626">
        <v>13564479</v>
      </c>
      <c r="I21626">
        <v>9839030</v>
      </c>
      <c r="J21626">
        <v>6</v>
      </c>
    </row>
    <row r="21627" spans="1:10" x14ac:dyDescent="0.25">
      <c r="A21627" t="s">
        <v>234</v>
      </c>
      <c r="B21627" s="1" t="str">
        <f>HYPERLINK("http://linde.pa","linde.pa")</f>
        <v>linde.pa</v>
      </c>
      <c r="C21627" t="s">
        <v>482</v>
      </c>
      <c r="D21627" t="s">
        <v>856</v>
      </c>
      <c r="F21627">
        <v>4.44380395335525E-9</v>
      </c>
      <c r="G21627">
        <v>85968207</v>
      </c>
      <c r="H21627">
        <v>0</v>
      </c>
      <c r="I21627">
        <v>87342880</v>
      </c>
      <c r="J21627">
        <v>5</v>
      </c>
    </row>
    <row r="21628" spans="1:10" x14ac:dyDescent="0.25">
      <c r="A21628" t="s">
        <v>234</v>
      </c>
      <c r="B21628" s="1" t="str">
        <f>HYPERLINK("http://linde.pe","linde.pe")</f>
        <v>linde.pe</v>
      </c>
      <c r="C21628" t="s">
        <v>483</v>
      </c>
      <c r="D21628" t="s">
        <v>857</v>
      </c>
      <c r="F21628">
        <v>4.5522542682307397E-9</v>
      </c>
      <c r="G21628">
        <v>51940109</v>
      </c>
      <c r="H21628">
        <v>10362811</v>
      </c>
      <c r="I21628">
        <v>55089116</v>
      </c>
      <c r="J21628">
        <v>5</v>
      </c>
    </row>
    <row r="21629" spans="1:10" x14ac:dyDescent="0.25">
      <c r="A21629" t="s">
        <v>234</v>
      </c>
      <c r="B21629" s="1" t="str">
        <f>HYPERLINK("http://linde-gaz.pl","linde-gaz.pl")</f>
        <v>linde-gaz.pl</v>
      </c>
      <c r="C21629" t="s">
        <v>486</v>
      </c>
      <c r="D21629" t="s">
        <v>860</v>
      </c>
      <c r="F21629">
        <v>1.22080742670313E-8</v>
      </c>
      <c r="G21629">
        <v>5045937</v>
      </c>
      <c r="H21629">
        <v>14090875</v>
      </c>
      <c r="I21629">
        <v>2746768</v>
      </c>
      <c r="J21629">
        <v>7</v>
      </c>
    </row>
    <row r="21630" spans="1:10" x14ac:dyDescent="0.25">
      <c r="A21630" t="s">
        <v>234</v>
      </c>
      <c r="B21630" s="1" t="str">
        <f>HYPERLINK("http://linde.pr","linde.pr")</f>
        <v>linde.pr</v>
      </c>
      <c r="C21630" t="s">
        <v>487</v>
      </c>
      <c r="D21630" t="s">
        <v>861</v>
      </c>
      <c r="F21630">
        <v>9.0201251091094895E-9</v>
      </c>
      <c r="G21630">
        <v>7962267</v>
      </c>
      <c r="H21630">
        <v>9555080</v>
      </c>
      <c r="I21630">
        <v>64921795</v>
      </c>
      <c r="J21630">
        <v>8</v>
      </c>
    </row>
    <row r="21631" spans="1:10" x14ac:dyDescent="0.25">
      <c r="A21631" t="s">
        <v>234</v>
      </c>
      <c r="B21631" s="1" t="str">
        <f>HYPERLINK("http://linde.com.py","linde.com.py")</f>
        <v>linde.com.py</v>
      </c>
      <c r="C21631" t="s">
        <v>489</v>
      </c>
      <c r="D21631" t="s">
        <v>863</v>
      </c>
      <c r="F21631">
        <v>4.44380395335525E-9</v>
      </c>
      <c r="G21631">
        <v>86093005</v>
      </c>
      <c r="H21631">
        <v>0</v>
      </c>
      <c r="I21631">
        <v>87487178</v>
      </c>
      <c r="J21631">
        <v>5</v>
      </c>
    </row>
    <row r="21632" spans="1:10" x14ac:dyDescent="0.25">
      <c r="A21632" t="s">
        <v>234</v>
      </c>
      <c r="B21632" s="1" t="str">
        <f>HYPERLINK("http://linde-gas.ro","linde-gas.ro")</f>
        <v>linde-gas.ro</v>
      </c>
      <c r="C21632" t="s">
        <v>491</v>
      </c>
      <c r="D21632" t="s">
        <v>865</v>
      </c>
      <c r="F21632">
        <v>9.8398161320189092E-9</v>
      </c>
      <c r="G21632">
        <v>6926695</v>
      </c>
      <c r="H21632">
        <v>12347713</v>
      </c>
      <c r="I21632">
        <v>19801544</v>
      </c>
      <c r="J21632">
        <v>3</v>
      </c>
    </row>
    <row r="21633" spans="1:10" x14ac:dyDescent="0.25">
      <c r="A21633" t="s">
        <v>234</v>
      </c>
      <c r="B21633" s="1" t="str">
        <f>HYPERLINK("http://linde.rs","linde.rs")</f>
        <v>linde.rs</v>
      </c>
      <c r="C21633" t="s">
        <v>492</v>
      </c>
      <c r="D21633" t="s">
        <v>866</v>
      </c>
      <c r="F21633">
        <v>5.1315924402152003E-9</v>
      </c>
      <c r="G21633">
        <v>26426793</v>
      </c>
      <c r="H21633">
        <v>14071791</v>
      </c>
      <c r="I21633">
        <v>3462709</v>
      </c>
      <c r="J21633">
        <v>3</v>
      </c>
    </row>
    <row r="21634" spans="1:10" x14ac:dyDescent="0.25">
      <c r="A21634" t="s">
        <v>234</v>
      </c>
      <c r="B21634" s="1" t="str">
        <f>HYPERLINK("http://linde-gas.rs","linde-gas.rs")</f>
        <v>linde-gas.rs</v>
      </c>
      <c r="C21634" t="s">
        <v>492</v>
      </c>
      <c r="D21634" t="s">
        <v>866</v>
      </c>
      <c r="F21634">
        <v>4.9849160314406704E-9</v>
      </c>
      <c r="G21634">
        <v>29812997</v>
      </c>
      <c r="H21634">
        <v>10344181</v>
      </c>
      <c r="I21634">
        <v>57299428</v>
      </c>
      <c r="J21634">
        <v>8</v>
      </c>
    </row>
    <row r="21635" spans="1:10" x14ac:dyDescent="0.25">
      <c r="A21635" t="s">
        <v>234</v>
      </c>
      <c r="B21635" s="1" t="str">
        <f>HYPERLINK("http://aga.se","aga.se")</f>
        <v>aga.se</v>
      </c>
      <c r="C21635" t="s">
        <v>495</v>
      </c>
      <c r="D21635" t="s">
        <v>869</v>
      </c>
      <c r="F21635">
        <v>4.8593888921880202E-8</v>
      </c>
      <c r="G21635">
        <v>954342</v>
      </c>
      <c r="H21635">
        <v>14242429</v>
      </c>
      <c r="I21635">
        <v>1484278</v>
      </c>
      <c r="J21635">
        <v>3</v>
      </c>
    </row>
    <row r="21636" spans="1:10" x14ac:dyDescent="0.25">
      <c r="A21636" t="s">
        <v>234</v>
      </c>
      <c r="B21636" s="1" t="str">
        <f>HYPERLINK("http://linde-gas.se","linde-gas.se")</f>
        <v>linde-gas.se</v>
      </c>
      <c r="C21636" t="s">
        <v>495</v>
      </c>
      <c r="D21636" t="s">
        <v>869</v>
      </c>
      <c r="F21636">
        <v>4.2463970373861701E-8</v>
      </c>
      <c r="G21636">
        <v>1141839</v>
      </c>
      <c r="H21636">
        <v>12633252</v>
      </c>
      <c r="I21636">
        <v>15956864</v>
      </c>
      <c r="J21636">
        <v>3</v>
      </c>
    </row>
    <row r="21637" spans="1:10" x14ac:dyDescent="0.25">
      <c r="A21637" t="s">
        <v>234</v>
      </c>
      <c r="B21637" s="1" t="str">
        <f>HYPERLINK("http://linde-healthcare.se","linde-healthcare.se")</f>
        <v>linde-healthcare.se</v>
      </c>
      <c r="C21637" t="s">
        <v>495</v>
      </c>
      <c r="D21637" t="s">
        <v>869</v>
      </c>
      <c r="F21637">
        <v>7.2530055099266502E-9</v>
      </c>
      <c r="G21637">
        <v>11598001</v>
      </c>
      <c r="H21637">
        <v>11133219</v>
      </c>
      <c r="I21637">
        <v>31913630</v>
      </c>
      <c r="J21637">
        <v>3</v>
      </c>
    </row>
    <row r="21638" spans="1:10" x14ac:dyDescent="0.25">
      <c r="A21638" t="s">
        <v>234</v>
      </c>
      <c r="B21638" s="1" t="str">
        <f>HYPERLINK("http://cryostar.tech","cryostar.tech")</f>
        <v>cryostar.tech</v>
      </c>
      <c r="C21638" t="s">
        <v>534</v>
      </c>
      <c r="F21638">
        <v>5.7056373591222596E-9</v>
      </c>
      <c r="G21638">
        <v>18878157</v>
      </c>
      <c r="H21638">
        <v>10555101</v>
      </c>
      <c r="I21638">
        <v>46521214</v>
      </c>
      <c r="J21638">
        <v>4</v>
      </c>
    </row>
    <row r="21639" spans="1:10" x14ac:dyDescent="0.25">
      <c r="A21639" t="s">
        <v>234</v>
      </c>
      <c r="B21639" s="1" t="str">
        <f>HYPERLINK("http://boconline.co.uk","boconline.co.uk")</f>
        <v>boconline.co.uk</v>
      </c>
      <c r="C21639" t="s">
        <v>506</v>
      </c>
      <c r="D21639" t="s">
        <v>880</v>
      </c>
      <c r="E21639">
        <v>281644</v>
      </c>
      <c r="F21639">
        <v>9.1888048684145094E-8</v>
      </c>
      <c r="G21639">
        <v>443286</v>
      </c>
      <c r="H21639">
        <v>14929569</v>
      </c>
      <c r="I21639">
        <v>447962</v>
      </c>
      <c r="J21639">
        <v>3</v>
      </c>
    </row>
    <row r="21640" spans="1:10" x14ac:dyDescent="0.25">
      <c r="A21640" t="s">
        <v>234</v>
      </c>
      <c r="B21640" s="1" t="str">
        <f>HYPERLINK("http://linde.uy","linde.uy")</f>
        <v>linde.uy</v>
      </c>
      <c r="C21640" t="s">
        <v>507</v>
      </c>
      <c r="D21640" t="s">
        <v>881</v>
      </c>
      <c r="F21640">
        <v>4.5478853234068897E-9</v>
      </c>
      <c r="G21640">
        <v>52428685</v>
      </c>
      <c r="H21640">
        <v>8631114</v>
      </c>
      <c r="I21640">
        <v>70530294</v>
      </c>
      <c r="J21640">
        <v>5</v>
      </c>
    </row>
    <row r="21641" spans="1:10" x14ac:dyDescent="0.25">
      <c r="A21641" t="s">
        <v>234</v>
      </c>
      <c r="B21641" s="1" t="str">
        <f>HYPERLINK("http://afrox.co.za","afrox.co.za")</f>
        <v>afrox.co.za</v>
      </c>
      <c r="C21641" t="s">
        <v>510</v>
      </c>
      <c r="D21641" t="s">
        <v>884</v>
      </c>
      <c r="E21641">
        <v>650360</v>
      </c>
      <c r="F21641">
        <v>2.0404156244179199E-8</v>
      </c>
      <c r="G21641">
        <v>2599122</v>
      </c>
      <c r="H21641">
        <v>14078789</v>
      </c>
      <c r="I21641">
        <v>2841092</v>
      </c>
      <c r="J21641">
        <v>3</v>
      </c>
    </row>
    <row r="21642" spans="1:10" x14ac:dyDescent="0.25">
      <c r="A21642" t="s">
        <v>235</v>
      </c>
      <c r="B21642" s="1" t="str">
        <f>HYPERLINK("http://lloydsinternational.com.au","lloydsinternational.com.au")</f>
        <v>lloydsinternational.com.au</v>
      </c>
      <c r="C21642" t="s">
        <v>420</v>
      </c>
      <c r="D21642" t="s">
        <v>802</v>
      </c>
      <c r="F21642">
        <v>4.4438733726142197E-9</v>
      </c>
      <c r="G21642">
        <v>78136894</v>
      </c>
      <c r="H21642">
        <v>11958370</v>
      </c>
      <c r="I21642">
        <v>28981329</v>
      </c>
      <c r="J21642">
        <v>4</v>
      </c>
    </row>
    <row r="21643" spans="1:10" x14ac:dyDescent="0.25">
      <c r="A21643" t="s">
        <v>235</v>
      </c>
      <c r="B21643" s="1" t="str">
        <f>HYPERLINK("http://smartteachers.com.au","smartteachers.com.au")</f>
        <v>smartteachers.com.au</v>
      </c>
      <c r="C21643" t="s">
        <v>420</v>
      </c>
      <c r="D21643" t="s">
        <v>802</v>
      </c>
      <c r="F21643">
        <v>4.78955426257414E-9</v>
      </c>
      <c r="G21643">
        <v>36509054</v>
      </c>
      <c r="H21643">
        <v>10983288</v>
      </c>
      <c r="I21643">
        <v>33873166</v>
      </c>
      <c r="J21643">
        <v>8</v>
      </c>
    </row>
    <row r="21644" spans="1:10" x14ac:dyDescent="0.25">
      <c r="A21644" t="s">
        <v>235</v>
      </c>
      <c r="B21644" s="1" t="str">
        <f>HYPERLINK("http://bea-industrial.be","bea-industrial.be")</f>
        <v>bea-industrial.be</v>
      </c>
      <c r="C21644" t="s">
        <v>421</v>
      </c>
      <c r="D21644" t="s">
        <v>803</v>
      </c>
      <c r="F21644">
        <v>5.58739890692166E-9</v>
      </c>
      <c r="G21644">
        <v>19981738</v>
      </c>
      <c r="H21644">
        <v>12151448</v>
      </c>
      <c r="I21644">
        <v>24585533</v>
      </c>
      <c r="J21644">
        <v>9</v>
      </c>
    </row>
    <row r="21645" spans="1:10" x14ac:dyDescent="0.25">
      <c r="A21645" t="s">
        <v>235</v>
      </c>
      <c r="B21645" s="1" t="str">
        <f>HYPERLINK("http://apollo-fire.cn","apollo-fire.cn")</f>
        <v>apollo-fire.cn</v>
      </c>
      <c r="C21645" t="s">
        <v>431</v>
      </c>
      <c r="D21645" t="s">
        <v>812</v>
      </c>
      <c r="F21645">
        <v>6.6120905159522797E-9</v>
      </c>
      <c r="G21645">
        <v>13631106</v>
      </c>
      <c r="H21645">
        <v>10545031</v>
      </c>
      <c r="I21645">
        <v>46956073</v>
      </c>
      <c r="J21645">
        <v>9</v>
      </c>
    </row>
    <row r="21646" spans="1:10" x14ac:dyDescent="0.25">
      <c r="A21646" t="s">
        <v>235</v>
      </c>
      <c r="B21646" s="1" t="str">
        <f>HYPERLINK("http://alicat.com.cn","alicat.com.cn")</f>
        <v>alicat.com.cn</v>
      </c>
      <c r="C21646" t="s">
        <v>431</v>
      </c>
      <c r="D21646" t="s">
        <v>812</v>
      </c>
      <c r="F21646">
        <v>1.7028299654177599E-8</v>
      </c>
      <c r="G21646">
        <v>3276781</v>
      </c>
      <c r="H21646">
        <v>10621183</v>
      </c>
      <c r="I21646">
        <v>44227892</v>
      </c>
      <c r="J21646">
        <v>10</v>
      </c>
    </row>
    <row r="21647" spans="1:10" x14ac:dyDescent="0.25">
      <c r="A21647" t="s">
        <v>235</v>
      </c>
      <c r="B21647" s="1" t="str">
        <f>HYPERLINK("http://fsp.co","fsp.co")</f>
        <v>fsp.co</v>
      </c>
      <c r="C21647" t="s">
        <v>432</v>
      </c>
      <c r="F21647">
        <v>6.5207698911019003E-9</v>
      </c>
      <c r="G21647">
        <v>13992270</v>
      </c>
      <c r="H21647">
        <v>13136777</v>
      </c>
      <c r="I21647">
        <v>11900743</v>
      </c>
      <c r="J21647">
        <v>11</v>
      </c>
    </row>
    <row r="21648" spans="1:10" x14ac:dyDescent="0.25">
      <c r="A21648" t="s">
        <v>235</v>
      </c>
      <c r="B21648" s="1" t="str">
        <f>HYPERLINK("http://hybrid.co","hybrid.co")</f>
        <v>hybrid.co</v>
      </c>
      <c r="C21648" t="s">
        <v>432</v>
      </c>
      <c r="F21648">
        <v>1.20120653940512E-8</v>
      </c>
      <c r="G21648">
        <v>5167639</v>
      </c>
      <c r="H21648">
        <v>12988248</v>
      </c>
      <c r="I21648">
        <v>12878881</v>
      </c>
      <c r="J21648">
        <v>8</v>
      </c>
    </row>
    <row r="21649" spans="1:10" x14ac:dyDescent="0.25">
      <c r="A21649" t="s">
        <v>235</v>
      </c>
      <c r="B21649" s="1" t="str">
        <f>HYPERLINK("http://omniplex.co","omniplex.co")</f>
        <v>omniplex.co</v>
      </c>
      <c r="C21649" t="s">
        <v>432</v>
      </c>
      <c r="F21649">
        <v>1.6252235283469E-8</v>
      </c>
      <c r="G21649">
        <v>3482407</v>
      </c>
      <c r="H21649">
        <v>13950623</v>
      </c>
      <c r="I21649">
        <v>4172232</v>
      </c>
      <c r="J21649">
        <v>7</v>
      </c>
    </row>
    <row r="21650" spans="1:10" x14ac:dyDescent="0.25">
      <c r="A21650" t="s">
        <v>235</v>
      </c>
      <c r="B21650" s="1" t="str">
        <f>HYPERLINK("http://agenda21digital.com","agenda21digital.com")</f>
        <v>agenda21digital.com</v>
      </c>
      <c r="C21650" t="s">
        <v>433</v>
      </c>
      <c r="F21650">
        <v>2.6636240384419499E-8</v>
      </c>
      <c r="G21650">
        <v>1932505</v>
      </c>
      <c r="H21650">
        <v>14405652</v>
      </c>
      <c r="I21650">
        <v>1149148</v>
      </c>
      <c r="J21650">
        <v>12</v>
      </c>
    </row>
    <row r="21651" spans="1:10" x14ac:dyDescent="0.25">
      <c r="A21651" t="s">
        <v>235</v>
      </c>
      <c r="B21651" s="1" t="str">
        <f>HYPERLINK("http://alicat.com","alicat.com")</f>
        <v>alicat.com</v>
      </c>
      <c r="C21651" t="s">
        <v>433</v>
      </c>
      <c r="F21651">
        <v>4.71931720839057E-8</v>
      </c>
      <c r="G21651">
        <v>988185</v>
      </c>
      <c r="H21651">
        <v>14266085</v>
      </c>
      <c r="I21651">
        <v>1407684</v>
      </c>
      <c r="J21651">
        <v>9</v>
      </c>
    </row>
    <row r="21652" spans="1:10" x14ac:dyDescent="0.25">
      <c r="A21652" t="s">
        <v>235</v>
      </c>
      <c r="B21652" s="1" t="str">
        <f>HYPERLINK("http://alicatscientific.com","alicatscientific.com")</f>
        <v>alicatscientific.com</v>
      </c>
      <c r="C21652" t="s">
        <v>433</v>
      </c>
      <c r="F21652">
        <v>5.6230458977846001E-9</v>
      </c>
      <c r="G21652">
        <v>19640662</v>
      </c>
      <c r="H21652">
        <v>12310246</v>
      </c>
      <c r="I21652">
        <v>20609029</v>
      </c>
      <c r="J21652">
        <v>12</v>
      </c>
    </row>
    <row r="21653" spans="1:10" x14ac:dyDescent="0.25">
      <c r="A21653" t="s">
        <v>235</v>
      </c>
      <c r="B21653" s="1" t="str">
        <f>HYPERLINK("http://angusfire.com","angusfire.com")</f>
        <v>angusfire.com</v>
      </c>
      <c r="C21653" t="s">
        <v>433</v>
      </c>
      <c r="F21653">
        <v>6.1294272427181499E-9</v>
      </c>
      <c r="G21653">
        <v>15928536</v>
      </c>
      <c r="H21653">
        <v>12595683</v>
      </c>
      <c r="I21653">
        <v>16371609</v>
      </c>
      <c r="J21653">
        <v>5</v>
      </c>
    </row>
    <row r="21654" spans="1:10" x14ac:dyDescent="0.25">
      <c r="A21654" t="s">
        <v>235</v>
      </c>
      <c r="B21654" s="1" t="str">
        <f>HYPERLINK("http://ap-c.com","ap-c.com")</f>
        <v>ap-c.com</v>
      </c>
      <c r="C21654" t="s">
        <v>433</v>
      </c>
      <c r="F21654">
        <v>7.7537052236977102E-9</v>
      </c>
      <c r="G21654">
        <v>10459453</v>
      </c>
      <c r="H21654">
        <v>12574110</v>
      </c>
      <c r="I21654">
        <v>16590360</v>
      </c>
      <c r="J21654">
        <v>12</v>
      </c>
    </row>
    <row r="21655" spans="1:10" x14ac:dyDescent="0.25">
      <c r="A21655" t="s">
        <v>235</v>
      </c>
      <c r="B21655" s="1" t="str">
        <f>HYPERLINK("http://apollo-fire.com","apollo-fire.com")</f>
        <v>apollo-fire.com</v>
      </c>
      <c r="C21655" t="s">
        <v>433</v>
      </c>
      <c r="F21655">
        <v>7.4867439546508393E-9</v>
      </c>
      <c r="G21655">
        <v>11042898</v>
      </c>
      <c r="H21655">
        <v>12330134</v>
      </c>
      <c r="I21655">
        <v>20209737</v>
      </c>
      <c r="J21655">
        <v>9</v>
      </c>
    </row>
    <row r="21656" spans="1:10" x14ac:dyDescent="0.25">
      <c r="A21656" t="s">
        <v>235</v>
      </c>
      <c r="B21656" s="1" t="str">
        <f>HYPERLINK("http://aquavista.com","aquavista.com")</f>
        <v>aquavista.com</v>
      </c>
      <c r="C21656" t="s">
        <v>433</v>
      </c>
      <c r="F21656">
        <v>1.9775560613104301E-8</v>
      </c>
      <c r="G21656">
        <v>2697064</v>
      </c>
      <c r="H21656">
        <v>12856937</v>
      </c>
      <c r="I21656">
        <v>14221399</v>
      </c>
      <c r="J21656">
        <v>9</v>
      </c>
    </row>
    <row r="21657" spans="1:10" x14ac:dyDescent="0.25">
      <c r="A21657" t="s">
        <v>235</v>
      </c>
      <c r="B21657" s="1" t="str">
        <f>HYPERLINK("http://ascoworld.com","ascoworld.com")</f>
        <v>ascoworld.com</v>
      </c>
      <c r="C21657" t="s">
        <v>433</v>
      </c>
      <c r="F21657">
        <v>2.24253642215278E-8</v>
      </c>
      <c r="G21657">
        <v>2336918</v>
      </c>
      <c r="H21657">
        <v>13971934</v>
      </c>
      <c r="I21657">
        <v>4072452</v>
      </c>
      <c r="J21657">
        <v>5</v>
      </c>
    </row>
    <row r="21658" spans="1:10" x14ac:dyDescent="0.25">
      <c r="A21658" t="s">
        <v>235</v>
      </c>
      <c r="B21658" s="1" t="str">
        <f>HYPERLINK("http://atlanticmicrowave.com","atlanticmicrowave.com")</f>
        <v>atlanticmicrowave.com</v>
      </c>
      <c r="C21658" t="s">
        <v>433</v>
      </c>
      <c r="F21658">
        <v>1.22946167661502E-8</v>
      </c>
      <c r="G21658">
        <v>4997154</v>
      </c>
      <c r="H21658">
        <v>13000200</v>
      </c>
      <c r="I21658">
        <v>12795043</v>
      </c>
      <c r="J21658">
        <v>19</v>
      </c>
    </row>
    <row r="21659" spans="1:10" x14ac:dyDescent="0.25">
      <c r="A21659" t="s">
        <v>235</v>
      </c>
      <c r="B21659" s="1" t="str">
        <f>HYPERLINK("http://beheardgroup.com","beheardgroup.com")</f>
        <v>beheardgroup.com</v>
      </c>
      <c r="C21659" t="s">
        <v>433</v>
      </c>
      <c r="F21659">
        <v>6.4175637224841999E-9</v>
      </c>
      <c r="G21659">
        <v>14436529</v>
      </c>
      <c r="H21659">
        <v>11490150</v>
      </c>
      <c r="I21659">
        <v>30047247</v>
      </c>
      <c r="J21659">
        <v>10</v>
      </c>
    </row>
    <row r="21660" spans="1:10" x14ac:dyDescent="0.25">
      <c r="A21660" t="s">
        <v>235</v>
      </c>
      <c r="B21660" s="1" t="str">
        <f>HYPERLINK("http://beheardpartnership.com","beheardpartnership.com")</f>
        <v>beheardpartnership.com</v>
      </c>
      <c r="C21660" t="s">
        <v>433</v>
      </c>
      <c r="F21660">
        <v>9.3723111513560206E-9</v>
      </c>
      <c r="G21660">
        <v>7480143</v>
      </c>
      <c r="H21660">
        <v>12791388</v>
      </c>
      <c r="I21660">
        <v>14681589</v>
      </c>
      <c r="J21660">
        <v>13</v>
      </c>
    </row>
    <row r="21661" spans="1:10" x14ac:dyDescent="0.25">
      <c r="A21661" t="s">
        <v>235</v>
      </c>
      <c r="B21661" s="1" t="str">
        <f>HYPERLINK("http://blatchfordmobility.com","blatchfordmobility.com")</f>
        <v>blatchfordmobility.com</v>
      </c>
      <c r="C21661" t="s">
        <v>433</v>
      </c>
      <c r="F21661">
        <v>6.3172216073551898E-9</v>
      </c>
      <c r="G21661">
        <v>14950127</v>
      </c>
      <c r="H21661">
        <v>9689423</v>
      </c>
      <c r="I21661">
        <v>63555243</v>
      </c>
      <c r="J21661">
        <v>15</v>
      </c>
    </row>
    <row r="21662" spans="1:10" x14ac:dyDescent="0.25">
      <c r="A21662" t="s">
        <v>235</v>
      </c>
      <c r="B21662" s="1" t="str">
        <f>HYPERLINK("http://blis.com","blis.com")</f>
        <v>blis.com</v>
      </c>
      <c r="C21662" t="s">
        <v>433</v>
      </c>
      <c r="E21662">
        <v>66376</v>
      </c>
      <c r="F21662">
        <v>5.8134205571563699E-7</v>
      </c>
      <c r="G21662">
        <v>65712</v>
      </c>
      <c r="H21662">
        <v>16955860</v>
      </c>
      <c r="I21662">
        <v>106654</v>
      </c>
      <c r="J21662">
        <v>5</v>
      </c>
    </row>
    <row r="21663" spans="1:10" x14ac:dyDescent="0.25">
      <c r="A21663" t="s">
        <v>235</v>
      </c>
      <c r="B21663" s="1" t="str">
        <f>HYPERLINK("http://bluebaytravel.com","bluebaytravel.com")</f>
        <v>bluebaytravel.com</v>
      </c>
      <c r="C21663" t="s">
        <v>433</v>
      </c>
      <c r="F21663">
        <v>4.44380395335525E-9</v>
      </c>
      <c r="G21663">
        <v>80904090</v>
      </c>
      <c r="H21663">
        <v>0</v>
      </c>
      <c r="I21663">
        <v>81166341</v>
      </c>
      <c r="J21663">
        <v>8</v>
      </c>
    </row>
    <row r="21664" spans="1:10" x14ac:dyDescent="0.25">
      <c r="A21664" t="s">
        <v>235</v>
      </c>
      <c r="B21664" s="1" t="str">
        <f>HYPERLINK("http://born-ugly.com","born-ugly.com")</f>
        <v>born-ugly.com</v>
      </c>
      <c r="C21664" t="s">
        <v>433</v>
      </c>
      <c r="F21664">
        <v>7.4655394585218E-9</v>
      </c>
      <c r="G21664">
        <v>11090690</v>
      </c>
      <c r="H21664">
        <v>12266026</v>
      </c>
      <c r="I21664">
        <v>21617470</v>
      </c>
      <c r="J21664">
        <v>14</v>
      </c>
    </row>
    <row r="21665" spans="1:10" x14ac:dyDescent="0.25">
      <c r="A21665" t="s">
        <v>235</v>
      </c>
      <c r="B21665" s="1" t="str">
        <f>HYPERLINK("http://bravespark.com","bravespark.com")</f>
        <v>bravespark.com</v>
      </c>
      <c r="C21665" t="s">
        <v>433</v>
      </c>
      <c r="F21665">
        <v>1.70939794015291E-8</v>
      </c>
      <c r="G21665">
        <v>3262001</v>
      </c>
      <c r="H21665">
        <v>12415288</v>
      </c>
      <c r="I21665">
        <v>18536369</v>
      </c>
      <c r="J21665">
        <v>12</v>
      </c>
    </row>
    <row r="21666" spans="1:10" x14ac:dyDescent="0.25">
      <c r="A21666" t="s">
        <v>235</v>
      </c>
      <c r="B21666" s="1" t="str">
        <f>HYPERLINK("http://cbpecapital.com","cbpecapital.com")</f>
        <v>cbpecapital.com</v>
      </c>
      <c r="C21666" t="s">
        <v>433</v>
      </c>
      <c r="F21666">
        <v>2.8448961177083801E-8</v>
      </c>
      <c r="G21666">
        <v>1809111</v>
      </c>
      <c r="H21666">
        <v>13249511</v>
      </c>
      <c r="I21666">
        <v>11088850</v>
      </c>
      <c r="J21666">
        <v>12</v>
      </c>
    </row>
    <row r="21667" spans="1:10" x14ac:dyDescent="0.25">
      <c r="A21667" t="s">
        <v>235</v>
      </c>
      <c r="B21667" s="1" t="str">
        <f>HYPERLINK("http://claritytrustees.com","claritytrustees.com")</f>
        <v>claritytrustees.com</v>
      </c>
      <c r="C21667" t="s">
        <v>433</v>
      </c>
      <c r="J21667">
        <v>6</v>
      </c>
    </row>
    <row r="21668" spans="1:10" x14ac:dyDescent="0.25">
      <c r="A21668" t="s">
        <v>235</v>
      </c>
      <c r="B21668" s="1" t="str">
        <f>HYPERLINK("http://clothierandday.com","clothierandday.com")</f>
        <v>clothierandday.com</v>
      </c>
      <c r="C21668" t="s">
        <v>433</v>
      </c>
      <c r="J21668">
        <v>11</v>
      </c>
    </row>
    <row r="21669" spans="1:10" x14ac:dyDescent="0.25">
      <c r="A21669" t="s">
        <v>235</v>
      </c>
      <c r="B21669" s="1" t="str">
        <f>HYPERLINK("http://ctidigital.com","ctidigital.com")</f>
        <v>ctidigital.com</v>
      </c>
      <c r="C21669" t="s">
        <v>433</v>
      </c>
      <c r="E21669">
        <v>227021</v>
      </c>
      <c r="F21669">
        <v>3.08859622606903E-7</v>
      </c>
      <c r="G21669">
        <v>120410</v>
      </c>
      <c r="H21669">
        <v>13867051</v>
      </c>
      <c r="I21669">
        <v>6005337</v>
      </c>
      <c r="J21669">
        <v>7</v>
      </c>
    </row>
    <row r="21670" spans="1:10" x14ac:dyDescent="0.25">
      <c r="A21670" t="s">
        <v>235</v>
      </c>
      <c r="B21670" s="1" t="str">
        <f>HYPERLINK("http://ecipartners.com","ecipartners.com")</f>
        <v>ecipartners.com</v>
      </c>
      <c r="C21670" t="s">
        <v>433</v>
      </c>
      <c r="F21670">
        <v>5.4135454052851501E-8</v>
      </c>
      <c r="G21670">
        <v>835571</v>
      </c>
      <c r="H21670">
        <v>14093657</v>
      </c>
      <c r="I21670">
        <v>2734806</v>
      </c>
      <c r="J21670">
        <v>7</v>
      </c>
    </row>
    <row r="21671" spans="1:10" x14ac:dyDescent="0.25">
      <c r="A21671" t="s">
        <v>235</v>
      </c>
      <c r="B21671" s="1" t="str">
        <f>HYPERLINK("http://elmwood.com","elmwood.com")</f>
        <v>elmwood.com</v>
      </c>
      <c r="C21671" t="s">
        <v>433</v>
      </c>
      <c r="F21671">
        <v>4.8094636995500999E-8</v>
      </c>
      <c r="G21671">
        <v>966346</v>
      </c>
      <c r="H21671">
        <v>14263614</v>
      </c>
      <c r="I21671">
        <v>1412263</v>
      </c>
      <c r="J21671">
        <v>11</v>
      </c>
    </row>
    <row r="21672" spans="1:10" x14ac:dyDescent="0.25">
      <c r="A21672" t="s">
        <v>235</v>
      </c>
      <c r="B21672" s="1" t="str">
        <f>HYPERLINK("http://ereproperty.com","ereproperty.com")</f>
        <v>ereproperty.com</v>
      </c>
      <c r="C21672" t="s">
        <v>433</v>
      </c>
      <c r="F21672">
        <v>6.2400353101924902E-9</v>
      </c>
      <c r="G21672">
        <v>15324786</v>
      </c>
      <c r="H21672">
        <v>12288676</v>
      </c>
      <c r="I21672">
        <v>21142015</v>
      </c>
      <c r="J21672">
        <v>10</v>
      </c>
    </row>
    <row r="21673" spans="1:10" x14ac:dyDescent="0.25">
      <c r="A21673" t="s">
        <v>235</v>
      </c>
      <c r="B21673" s="1" t="str">
        <f>HYPERLINK("http://etlsystems.com","etlsystems.com")</f>
        <v>etlsystems.com</v>
      </c>
      <c r="C21673" t="s">
        <v>433</v>
      </c>
      <c r="F21673">
        <v>1.8441368902523202E-8</v>
      </c>
      <c r="G21673">
        <v>2937565</v>
      </c>
      <c r="H21673">
        <v>12855032</v>
      </c>
      <c r="I21673">
        <v>14233113</v>
      </c>
      <c r="J21673">
        <v>18</v>
      </c>
    </row>
    <row r="21674" spans="1:10" x14ac:dyDescent="0.25">
      <c r="A21674" t="s">
        <v>235</v>
      </c>
      <c r="B21674" s="1" t="str">
        <f>HYPERLINK("http://etradingsoftware.com","etradingsoftware.com")</f>
        <v>etradingsoftware.com</v>
      </c>
      <c r="C21674" t="s">
        <v>433</v>
      </c>
      <c r="F21674">
        <v>1.59169479997472E-8</v>
      </c>
      <c r="G21674">
        <v>3568204</v>
      </c>
      <c r="H21674">
        <v>13365952</v>
      </c>
      <c r="I21674">
        <v>10484458</v>
      </c>
      <c r="J21674">
        <v>6</v>
      </c>
    </row>
    <row r="21675" spans="1:10" x14ac:dyDescent="0.25">
      <c r="A21675" t="s">
        <v>235</v>
      </c>
      <c r="B21675" s="1" t="str">
        <f>HYPERLINK("http://foundation-sp.com","foundation-sp.com")</f>
        <v>foundation-sp.com</v>
      </c>
      <c r="C21675" t="s">
        <v>433</v>
      </c>
      <c r="F21675">
        <v>2.2573222850080301E-8</v>
      </c>
      <c r="G21675">
        <v>2320367</v>
      </c>
      <c r="H21675">
        <v>14102140</v>
      </c>
      <c r="I21675">
        <v>2699599</v>
      </c>
      <c r="J21675">
        <v>9</v>
      </c>
    </row>
    <row r="21676" spans="1:10" x14ac:dyDescent="0.25">
      <c r="A21676" t="s">
        <v>235</v>
      </c>
      <c r="B21676" s="1" t="str">
        <f>HYPERLINK("http://frameworkcreative.com","frameworkcreative.com")</f>
        <v>frameworkcreative.com</v>
      </c>
      <c r="C21676" t="s">
        <v>433</v>
      </c>
      <c r="F21676">
        <v>4.7855087411186904E-9</v>
      </c>
      <c r="G21676">
        <v>36729769</v>
      </c>
      <c r="H21676">
        <v>11081219</v>
      </c>
      <c r="I21676">
        <v>32473717</v>
      </c>
      <c r="J21676">
        <v>11</v>
      </c>
    </row>
    <row r="21677" spans="1:10" x14ac:dyDescent="0.25">
      <c r="A21677" t="s">
        <v>235</v>
      </c>
      <c r="B21677" s="1" t="str">
        <f>HYPERLINK("http://freemavens.com","freemavens.com")</f>
        <v>freemavens.com</v>
      </c>
      <c r="C21677" t="s">
        <v>433</v>
      </c>
      <c r="F21677">
        <v>9.4388560788655004E-9</v>
      </c>
      <c r="G21677">
        <v>7396315</v>
      </c>
      <c r="H21677">
        <v>12626494</v>
      </c>
      <c r="I21677">
        <v>16020132</v>
      </c>
      <c r="J21677">
        <v>10</v>
      </c>
    </row>
    <row r="21678" spans="1:10" x14ac:dyDescent="0.25">
      <c r="A21678" t="s">
        <v>235</v>
      </c>
      <c r="B21678" s="1" t="str">
        <f>HYPERLINK("http://goosecreative.com","goosecreative.com")</f>
        <v>goosecreative.com</v>
      </c>
      <c r="C21678" t="s">
        <v>433</v>
      </c>
      <c r="J21678">
        <v>3</v>
      </c>
    </row>
    <row r="21679" spans="1:10" x14ac:dyDescent="0.25">
      <c r="A21679" t="s">
        <v>235</v>
      </c>
      <c r="B21679" s="1" t="str">
        <f>HYPERLINK("http://graig.com","graig.com")</f>
        <v>graig.com</v>
      </c>
      <c r="C21679" t="s">
        <v>433</v>
      </c>
      <c r="F21679">
        <v>7.3798338092026297E-9</v>
      </c>
      <c r="G21679">
        <v>11289987</v>
      </c>
      <c r="H21679">
        <v>11508809</v>
      </c>
      <c r="I21679">
        <v>30017780</v>
      </c>
      <c r="J21679">
        <v>8</v>
      </c>
    </row>
    <row r="21680" spans="1:10" x14ac:dyDescent="0.25">
      <c r="A21680" t="s">
        <v>235</v>
      </c>
      <c r="B21680" s="1" t="str">
        <f>HYPERLINK("http://halifax.com","halifax.com")</f>
        <v>halifax.com</v>
      </c>
      <c r="C21680" t="s">
        <v>433</v>
      </c>
      <c r="F21680">
        <v>4.3355680903596297E-8</v>
      </c>
      <c r="G21680">
        <v>1104789</v>
      </c>
      <c r="H21680">
        <v>16763491</v>
      </c>
      <c r="I21680">
        <v>226490</v>
      </c>
      <c r="J21680">
        <v>4</v>
      </c>
    </row>
    <row r="21681" spans="1:10" x14ac:dyDescent="0.25">
      <c r="A21681" t="s">
        <v>235</v>
      </c>
      <c r="B21681" s="1" t="str">
        <f>HYPERLINK("http://halifaxltd.com","halifaxltd.com")</f>
        <v>halifaxltd.com</v>
      </c>
      <c r="C21681" t="s">
        <v>433</v>
      </c>
      <c r="J21681">
        <v>4</v>
      </c>
    </row>
    <row r="21682" spans="1:10" x14ac:dyDescent="0.25">
      <c r="A21682" t="s">
        <v>235</v>
      </c>
      <c r="B21682" s="1" t="str">
        <f>HYPERLINK("http://halma.com","halma.com")</f>
        <v>halma.com</v>
      </c>
      <c r="C21682" t="s">
        <v>433</v>
      </c>
      <c r="E21682">
        <v>606349</v>
      </c>
      <c r="F21682">
        <v>1.17499507403155E-7</v>
      </c>
      <c r="G21682">
        <v>338142</v>
      </c>
      <c r="H21682">
        <v>14368220</v>
      </c>
      <c r="I21682">
        <v>1300927</v>
      </c>
      <c r="J21682">
        <v>6</v>
      </c>
    </row>
    <row r="21683" spans="1:10" x14ac:dyDescent="0.25">
      <c r="A21683" t="s">
        <v>235</v>
      </c>
      <c r="B21683" s="1" t="str">
        <f>HYPERLINK("http://headlandconsultancy.com","headlandconsultancy.com")</f>
        <v>headlandconsultancy.com</v>
      </c>
      <c r="C21683" t="s">
        <v>433</v>
      </c>
      <c r="F21683">
        <v>1.24942236560947E-8</v>
      </c>
      <c r="G21683">
        <v>4888423</v>
      </c>
      <c r="H21683">
        <v>13775603</v>
      </c>
      <c r="I21683">
        <v>6575086</v>
      </c>
      <c r="J21683">
        <v>6</v>
      </c>
    </row>
    <row r="21684" spans="1:10" x14ac:dyDescent="0.25">
      <c r="A21684" t="s">
        <v>235</v>
      </c>
      <c r="B21684" s="1" t="str">
        <f>HYPERLINK("http://hillbiscuits.com","hillbiscuits.com")</f>
        <v>hillbiscuits.com</v>
      </c>
      <c r="C21684" t="s">
        <v>433</v>
      </c>
      <c r="F21684">
        <v>5.4531209134355098E-9</v>
      </c>
      <c r="G21684">
        <v>21445955</v>
      </c>
      <c r="H21684">
        <v>12424672</v>
      </c>
      <c r="I21684">
        <v>18379050</v>
      </c>
      <c r="J21684">
        <v>7</v>
      </c>
    </row>
    <row r="21685" spans="1:10" x14ac:dyDescent="0.25">
      <c r="A21685" t="s">
        <v>235</v>
      </c>
      <c r="B21685" s="1" t="str">
        <f>HYPERLINK("http://housinggrowth.com","housinggrowth.com")</f>
        <v>housinggrowth.com</v>
      </c>
      <c r="C21685" t="s">
        <v>433</v>
      </c>
      <c r="F21685">
        <v>6.4462036589434204E-9</v>
      </c>
      <c r="G21685">
        <v>14311257</v>
      </c>
      <c r="H21685">
        <v>13043704</v>
      </c>
      <c r="I21685">
        <v>12613144</v>
      </c>
      <c r="J21685">
        <v>3</v>
      </c>
    </row>
    <row r="21686" spans="1:10" x14ac:dyDescent="0.25">
      <c r="A21686" t="s">
        <v>235</v>
      </c>
      <c r="B21686" s="1" t="str">
        <f>HYPERLINK("http://hwm-water.com","hwm-water.com")</f>
        <v>hwm-water.com</v>
      </c>
      <c r="C21686" t="s">
        <v>433</v>
      </c>
      <c r="F21686">
        <v>6.9780964859290496E-9</v>
      </c>
      <c r="G21686">
        <v>12377212</v>
      </c>
      <c r="H21686">
        <v>11071185</v>
      </c>
      <c r="I21686">
        <v>32564951</v>
      </c>
      <c r="J21686">
        <v>12</v>
      </c>
    </row>
    <row r="21687" spans="1:10" x14ac:dyDescent="0.25">
      <c r="A21687" t="s">
        <v>235</v>
      </c>
      <c r="B21687" s="1" t="str">
        <f>HYPERLINK("http://hwmglobal.com","hwmglobal.com")</f>
        <v>hwmglobal.com</v>
      </c>
      <c r="C21687" t="s">
        <v>433</v>
      </c>
      <c r="F21687">
        <v>2.19092986227502E-8</v>
      </c>
      <c r="G21687">
        <v>2396962</v>
      </c>
      <c r="H21687">
        <v>13570160</v>
      </c>
      <c r="I21687">
        <v>9726184</v>
      </c>
      <c r="J21687">
        <v>9</v>
      </c>
    </row>
    <row r="21688" spans="1:10" x14ac:dyDescent="0.25">
      <c r="A21688" t="s">
        <v>235</v>
      </c>
      <c r="B21688" s="1" t="str">
        <f>HYPERLINK("http://iamproperty.com","iamproperty.com")</f>
        <v>iamproperty.com</v>
      </c>
      <c r="C21688" t="s">
        <v>433</v>
      </c>
      <c r="F21688">
        <v>1.1952463371329701E-8</v>
      </c>
      <c r="G21688">
        <v>5205776</v>
      </c>
      <c r="H21688">
        <v>12828876</v>
      </c>
      <c r="I21688">
        <v>14441110</v>
      </c>
      <c r="J21688">
        <v>7</v>
      </c>
    </row>
    <row r="21689" spans="1:10" x14ac:dyDescent="0.25">
      <c r="A21689" t="s">
        <v>235</v>
      </c>
      <c r="B21689" s="1" t="str">
        <f>HYPERLINK("http://idwalmarine.com","idwalmarine.com")</f>
        <v>idwalmarine.com</v>
      </c>
      <c r="C21689" t="s">
        <v>433</v>
      </c>
      <c r="F21689">
        <v>1.6662763236857701E-8</v>
      </c>
      <c r="G21689">
        <v>3368406</v>
      </c>
      <c r="H21689">
        <v>13571242</v>
      </c>
      <c r="I21689">
        <v>9720217</v>
      </c>
      <c r="J21689">
        <v>6</v>
      </c>
    </row>
    <row r="21690" spans="1:10" x14ac:dyDescent="0.25">
      <c r="A21690" t="s">
        <v>235</v>
      </c>
      <c r="B21690" s="1" t="str">
        <f>HYPERLINK("http://intelligentservicesgroup.com","intelligentservicesgroup.com")</f>
        <v>intelligentservicesgroup.com</v>
      </c>
      <c r="C21690" t="s">
        <v>433</v>
      </c>
      <c r="F21690">
        <v>4.44380395335525E-9</v>
      </c>
      <c r="G21690">
        <v>82084722</v>
      </c>
      <c r="H21690">
        <v>0</v>
      </c>
      <c r="I21690">
        <v>82615360</v>
      </c>
      <c r="J21690">
        <v>6</v>
      </c>
    </row>
    <row r="21691" spans="1:10" x14ac:dyDescent="0.25">
      <c r="A21691" t="s">
        <v>235</v>
      </c>
      <c r="B21691" s="1" t="str">
        <f>HYPERLINK("http://lloydsbank.com","lloydsbank.com")</f>
        <v>lloydsbank.com</v>
      </c>
      <c r="C21691" t="s">
        <v>433</v>
      </c>
      <c r="E21691">
        <v>15101</v>
      </c>
      <c r="F21691">
        <v>1.1301208252750001E-6</v>
      </c>
      <c r="G21691">
        <v>34150</v>
      </c>
      <c r="H21691">
        <v>17339400</v>
      </c>
      <c r="I21691">
        <v>24051</v>
      </c>
      <c r="J21691">
        <v>3</v>
      </c>
    </row>
    <row r="21692" spans="1:10" x14ac:dyDescent="0.25">
      <c r="A21692" t="s">
        <v>235</v>
      </c>
      <c r="B21692" s="1" t="str">
        <f>HYPERLINK("http://lloydsbanking.com","lloydsbanking.com")</f>
        <v>lloydsbanking.com</v>
      </c>
      <c r="C21692" t="s">
        <v>433</v>
      </c>
      <c r="E21692">
        <v>33185</v>
      </c>
      <c r="F21692">
        <v>3.4124506674292599E-8</v>
      </c>
      <c r="G21692">
        <v>1518227</v>
      </c>
      <c r="H21692">
        <v>13341139</v>
      </c>
      <c r="I21692">
        <v>10668425</v>
      </c>
      <c r="J21692">
        <v>4</v>
      </c>
    </row>
    <row r="21693" spans="1:10" x14ac:dyDescent="0.25">
      <c r="A21693" t="s">
        <v>235</v>
      </c>
      <c r="B21693" s="1" t="str">
        <f>HYPERLINK("http://lloydsbankinggroup.com","lloydsbankinggroup.com")</f>
        <v>lloydsbankinggroup.com</v>
      </c>
      <c r="C21693" t="s">
        <v>433</v>
      </c>
      <c r="E21693">
        <v>40670</v>
      </c>
      <c r="F21693">
        <v>6.6645204463181701E-7</v>
      </c>
      <c r="G21693">
        <v>57784</v>
      </c>
      <c r="H21693">
        <v>15403926</v>
      </c>
      <c r="I21693">
        <v>380033</v>
      </c>
      <c r="J21693">
        <v>1</v>
      </c>
    </row>
    <row r="21694" spans="1:10" x14ac:dyDescent="0.25">
      <c r="A21694" t="s">
        <v>235</v>
      </c>
      <c r="B21694" s="1" t="str">
        <f>HYPERLINK("http://lloydsbankinggrouptalent.com","lloydsbankinggrouptalent.com")</f>
        <v>lloydsbankinggrouptalent.com</v>
      </c>
      <c r="C21694" t="s">
        <v>433</v>
      </c>
      <c r="F21694">
        <v>1.8739162266534999E-8</v>
      </c>
      <c r="G21694">
        <v>2882449</v>
      </c>
      <c r="H21694">
        <v>13352584</v>
      </c>
      <c r="I21694">
        <v>10607742</v>
      </c>
      <c r="J21694">
        <v>3</v>
      </c>
    </row>
    <row r="21695" spans="1:10" x14ac:dyDescent="0.25">
      <c r="A21695" t="s">
        <v>235</v>
      </c>
      <c r="B21695" s="1" t="str">
        <f>HYPERLINK("http://lloydssecurities.com","lloydssecurities.com")</f>
        <v>lloydssecurities.com</v>
      </c>
      <c r="C21695" t="s">
        <v>433</v>
      </c>
      <c r="F21695">
        <v>6.4585564354710599E-9</v>
      </c>
      <c r="G21695">
        <v>14254736</v>
      </c>
      <c r="H21695">
        <v>12170456</v>
      </c>
      <c r="I21695">
        <v>24057667</v>
      </c>
      <c r="J21695">
        <v>4</v>
      </c>
    </row>
    <row r="21696" spans="1:10" x14ac:dyDescent="0.25">
      <c r="A21696" t="s">
        <v>235</v>
      </c>
      <c r="B21696" s="1" t="str">
        <f>HYPERLINK("http://lloydstsb.com","lloydstsb.com")</f>
        <v>lloydstsb.com</v>
      </c>
      <c r="C21696" t="s">
        <v>433</v>
      </c>
      <c r="E21696">
        <v>87133</v>
      </c>
      <c r="F21696">
        <v>8.5572331504231795E-8</v>
      </c>
      <c r="G21696">
        <v>481526</v>
      </c>
      <c r="H21696">
        <v>14954408</v>
      </c>
      <c r="I21696">
        <v>439069</v>
      </c>
      <c r="J21696">
        <v>3</v>
      </c>
    </row>
    <row r="21697" spans="1:10" x14ac:dyDescent="0.25">
      <c r="A21697" t="s">
        <v>235</v>
      </c>
      <c r="B21697" s="1" t="str">
        <f>HYPERLINK("http://loveenergysavings.com","loveenergysavings.com")</f>
        <v>loveenergysavings.com</v>
      </c>
      <c r="C21697" t="s">
        <v>433</v>
      </c>
      <c r="E21697">
        <v>827023</v>
      </c>
      <c r="F21697">
        <v>5.8068643715926498E-8</v>
      </c>
      <c r="G21697">
        <v>766565</v>
      </c>
      <c r="H21697">
        <v>14164876</v>
      </c>
      <c r="I21697">
        <v>1823837</v>
      </c>
      <c r="J21697">
        <v>9</v>
      </c>
    </row>
    <row r="21698" spans="1:10" x14ac:dyDescent="0.25">
      <c r="A21698" t="s">
        <v>235</v>
      </c>
      <c r="B21698" s="1" t="str">
        <f>HYPERLINK("http://makeitcheaper.com","makeitcheaper.com")</f>
        <v>makeitcheaper.com</v>
      </c>
      <c r="C21698" t="s">
        <v>433</v>
      </c>
      <c r="F21698">
        <v>3.86923304056519E-8</v>
      </c>
      <c r="G21698">
        <v>1332470</v>
      </c>
      <c r="H21698">
        <v>14240460</v>
      </c>
      <c r="I21698">
        <v>1500919</v>
      </c>
      <c r="J21698">
        <v>12</v>
      </c>
    </row>
    <row r="21699" spans="1:10" x14ac:dyDescent="0.25">
      <c r="A21699" t="s">
        <v>235</v>
      </c>
      <c r="B21699" s="1" t="str">
        <f>HYPERLINK("http://mosaicfs.com","mosaicfs.com")</f>
        <v>mosaicfs.com</v>
      </c>
      <c r="C21699" t="s">
        <v>433</v>
      </c>
      <c r="F21699">
        <v>5.7306054806922398E-9</v>
      </c>
      <c r="G21699">
        <v>18659818</v>
      </c>
      <c r="H21699">
        <v>9839443</v>
      </c>
      <c r="I21699">
        <v>62257200</v>
      </c>
      <c r="J21699">
        <v>7</v>
      </c>
    </row>
    <row r="21700" spans="1:10" x14ac:dyDescent="0.25">
      <c r="A21700" t="s">
        <v>235</v>
      </c>
      <c r="B21700" s="1" t="str">
        <f>HYPERLINK("http://msqpartners.com","msqpartners.com")</f>
        <v>msqpartners.com</v>
      </c>
      <c r="C21700" t="s">
        <v>433</v>
      </c>
      <c r="F21700">
        <v>7.1816484039256306E-8</v>
      </c>
      <c r="G21700">
        <v>588195</v>
      </c>
      <c r="H21700">
        <v>16763073</v>
      </c>
      <c r="I21700">
        <v>226774</v>
      </c>
      <c r="J21700">
        <v>9</v>
      </c>
    </row>
    <row r="21701" spans="1:10" x14ac:dyDescent="0.25">
      <c r="A21701" t="s">
        <v>235</v>
      </c>
      <c r="B21701" s="1" t="str">
        <f>HYPERLINK("http://nationet.com","nationet.com")</f>
        <v>nationet.com</v>
      </c>
      <c r="C21701" t="s">
        <v>433</v>
      </c>
      <c r="F21701">
        <v>2.97721322840872E-8</v>
      </c>
      <c r="G21701">
        <v>1728640</v>
      </c>
      <c r="H21701">
        <v>13711046</v>
      </c>
      <c r="I21701">
        <v>9506880</v>
      </c>
      <c r="J21701">
        <v>9</v>
      </c>
    </row>
    <row r="21702" spans="1:10" x14ac:dyDescent="0.25">
      <c r="A21702" t="s">
        <v>235</v>
      </c>
      <c r="B21702" s="1" t="str">
        <f>HYPERLINK("http://obmpeople.com","obmpeople.com")</f>
        <v>obmpeople.com</v>
      </c>
      <c r="C21702" t="s">
        <v>433</v>
      </c>
      <c r="J21702">
        <v>12</v>
      </c>
    </row>
    <row r="21703" spans="1:10" x14ac:dyDescent="0.25">
      <c r="A21703" t="s">
        <v>235</v>
      </c>
      <c r="B21703" s="1" t="str">
        <f>HYPERLINK("http://omniplexlearning.com","omniplexlearning.com")</f>
        <v>omniplexlearning.com</v>
      </c>
      <c r="C21703" t="s">
        <v>433</v>
      </c>
      <c r="F21703">
        <v>2.7738666967552101E-8</v>
      </c>
      <c r="G21703">
        <v>1853797</v>
      </c>
      <c r="H21703">
        <v>12679204</v>
      </c>
      <c r="I21703">
        <v>15508139</v>
      </c>
      <c r="J21703">
        <v>9</v>
      </c>
    </row>
    <row r="21704" spans="1:10" x14ac:dyDescent="0.25">
      <c r="A21704" t="s">
        <v>235</v>
      </c>
      <c r="B21704" s="1" t="str">
        <f>HYPERLINK("http://orioncro.com","orioncro.com")</f>
        <v>orioncro.com</v>
      </c>
      <c r="C21704" t="s">
        <v>433</v>
      </c>
      <c r="F21704">
        <v>1.1240608159574101E-8</v>
      </c>
      <c r="G21704">
        <v>5684835</v>
      </c>
      <c r="H21704">
        <v>13717837</v>
      </c>
      <c r="I21704">
        <v>9490028</v>
      </c>
      <c r="J21704">
        <v>13</v>
      </c>
    </row>
    <row r="21705" spans="1:10" x14ac:dyDescent="0.25">
      <c r="A21705" t="s">
        <v>235</v>
      </c>
      <c r="B21705" s="1" t="str">
        <f>HYPERLINK("http://perspective-group.com","perspective-group.com")</f>
        <v>perspective-group.com</v>
      </c>
      <c r="C21705" t="s">
        <v>433</v>
      </c>
      <c r="F21705">
        <v>4.5711157688396403E-9</v>
      </c>
      <c r="G21705">
        <v>50087012</v>
      </c>
      <c r="H21705">
        <v>12341514</v>
      </c>
      <c r="I21705">
        <v>19927892</v>
      </c>
      <c r="J21705">
        <v>14</v>
      </c>
    </row>
    <row r="21706" spans="1:10" x14ac:dyDescent="0.25">
      <c r="A21706" t="s">
        <v>235</v>
      </c>
      <c r="B21706" s="1" t="str">
        <f>HYPERLINK("http://platinumjewelryloan.com","platinumjewelryloan.com")</f>
        <v>platinumjewelryloan.com</v>
      </c>
      <c r="C21706" t="s">
        <v>433</v>
      </c>
      <c r="F21706">
        <v>5.0072173501341699E-9</v>
      </c>
      <c r="G21706">
        <v>29235340</v>
      </c>
      <c r="H21706">
        <v>12648303</v>
      </c>
      <c r="I21706">
        <v>15812511</v>
      </c>
      <c r="J21706">
        <v>6</v>
      </c>
    </row>
    <row r="21707" spans="1:10" x14ac:dyDescent="0.25">
      <c r="A21707" t="s">
        <v>235</v>
      </c>
      <c r="B21707" s="1" t="str">
        <f>HYPERLINK("http://pocketliving.com","pocketliving.com")</f>
        <v>pocketliving.com</v>
      </c>
      <c r="C21707" t="s">
        <v>433</v>
      </c>
      <c r="F21707">
        <v>4.7739635649803703E-8</v>
      </c>
      <c r="G21707">
        <v>974906</v>
      </c>
      <c r="H21707">
        <v>13732509</v>
      </c>
      <c r="I21707">
        <v>9456323</v>
      </c>
      <c r="J21707">
        <v>7</v>
      </c>
    </row>
    <row r="21708" spans="1:10" x14ac:dyDescent="0.25">
      <c r="A21708" t="s">
        <v>235</v>
      </c>
      <c r="B21708" s="1" t="str">
        <f>HYPERLINK("http://precisionmicro.com","precisionmicro.com")</f>
        <v>precisionmicro.com</v>
      </c>
      <c r="C21708" t="s">
        <v>433</v>
      </c>
      <c r="F21708">
        <v>1.05668098107085E-8</v>
      </c>
      <c r="G21708">
        <v>6212010</v>
      </c>
      <c r="H21708">
        <v>14074532</v>
      </c>
      <c r="I21708">
        <v>2939743</v>
      </c>
      <c r="J21708">
        <v>7</v>
      </c>
    </row>
    <row r="21709" spans="1:10" x14ac:dyDescent="0.25">
      <c r="A21709" t="s">
        <v>235</v>
      </c>
      <c r="B21709" s="1" t="str">
        <f>HYPERLINK("http://raiys.com","raiys.com")</f>
        <v>raiys.com</v>
      </c>
      <c r="C21709" t="s">
        <v>433</v>
      </c>
      <c r="F21709">
        <v>4.8083058429036703E-9</v>
      </c>
      <c r="G21709">
        <v>35762879</v>
      </c>
      <c r="H21709">
        <v>9952207</v>
      </c>
      <c r="I21709">
        <v>61194417</v>
      </c>
      <c r="J21709">
        <v>10</v>
      </c>
    </row>
    <row r="21710" spans="1:10" x14ac:dyDescent="0.25">
      <c r="A21710" t="s">
        <v>235</v>
      </c>
      <c r="B21710" s="1" t="str">
        <f>HYPERLINK("http://ramcotubular.com","ramcotubular.com")</f>
        <v>ramcotubular.com</v>
      </c>
      <c r="C21710" t="s">
        <v>433</v>
      </c>
      <c r="F21710">
        <v>1.02071252955388E-8</v>
      </c>
      <c r="G21710">
        <v>6540002</v>
      </c>
      <c r="H21710">
        <v>12210203</v>
      </c>
      <c r="I21710">
        <v>23022837</v>
      </c>
      <c r="J21710">
        <v>10</v>
      </c>
    </row>
    <row r="21711" spans="1:10" x14ac:dyDescent="0.25">
      <c r="A21711" t="s">
        <v>235</v>
      </c>
      <c r="B21711" s="1" t="str">
        <f>HYPERLINK("http://sfmlimited.com","sfmlimited.com")</f>
        <v>sfmlimited.com</v>
      </c>
      <c r="C21711" t="s">
        <v>433</v>
      </c>
      <c r="F21711">
        <v>4.73521178174391E-9</v>
      </c>
      <c r="G21711">
        <v>39041809</v>
      </c>
      <c r="H21711">
        <v>13933061</v>
      </c>
      <c r="I21711">
        <v>5419240</v>
      </c>
      <c r="J21711">
        <v>3</v>
      </c>
    </row>
    <row r="21712" spans="1:10" x14ac:dyDescent="0.25">
      <c r="A21712" t="s">
        <v>235</v>
      </c>
      <c r="B21712" s="1" t="str">
        <f>HYPERLINK("http://simmonds-ltd.com","simmonds-ltd.com")</f>
        <v>simmonds-ltd.com</v>
      </c>
      <c r="C21712" t="s">
        <v>433</v>
      </c>
      <c r="F21712">
        <v>1.6250316585380299E-8</v>
      </c>
      <c r="G21712">
        <v>3482897</v>
      </c>
      <c r="H21712">
        <v>12976326</v>
      </c>
      <c r="I21712">
        <v>13011829</v>
      </c>
      <c r="J21712">
        <v>19</v>
      </c>
    </row>
    <row r="21713" spans="1:10" x14ac:dyDescent="0.25">
      <c r="A21713" t="s">
        <v>235</v>
      </c>
      <c r="B21713" s="1" t="str">
        <f>HYPERLINK("http://sohonet.com","sohonet.com")</f>
        <v>sohonet.com</v>
      </c>
      <c r="C21713" t="s">
        <v>433</v>
      </c>
      <c r="E21713">
        <v>57901</v>
      </c>
      <c r="F21713">
        <v>1.3852106316671601E-7</v>
      </c>
      <c r="G21713">
        <v>281236</v>
      </c>
      <c r="H21713">
        <v>16889202</v>
      </c>
      <c r="I21713">
        <v>135612</v>
      </c>
      <c r="J21713">
        <v>7</v>
      </c>
    </row>
    <row r="21714" spans="1:10" x14ac:dyDescent="0.25">
      <c r="A21714" t="s">
        <v>235</v>
      </c>
      <c r="B21714" s="1" t="str">
        <f>HYPERLINK("http://spw.com","spw.com")</f>
        <v>spw.com</v>
      </c>
      <c r="C21714" t="s">
        <v>433</v>
      </c>
      <c r="F21714">
        <v>1.6643700809079999E-8</v>
      </c>
      <c r="G21714">
        <v>3378356</v>
      </c>
      <c r="H21714">
        <v>13186632</v>
      </c>
      <c r="I21714">
        <v>11616267</v>
      </c>
      <c r="J21714">
        <v>4</v>
      </c>
    </row>
    <row r="21715" spans="1:10" x14ac:dyDescent="0.25">
      <c r="A21715" t="s">
        <v>235</v>
      </c>
      <c r="B21715" s="1" t="str">
        <f>HYPERLINK("http://stewartmilne.com","stewartmilne.com")</f>
        <v>stewartmilne.com</v>
      </c>
      <c r="C21715" t="s">
        <v>433</v>
      </c>
      <c r="F21715">
        <v>7.2378183783663501E-9</v>
      </c>
      <c r="G21715">
        <v>11637172</v>
      </c>
      <c r="H21715">
        <v>14374544</v>
      </c>
      <c r="I21715">
        <v>1238045</v>
      </c>
      <c r="J21715">
        <v>7</v>
      </c>
    </row>
    <row r="21716" spans="1:10" x14ac:dyDescent="0.25">
      <c r="A21716" t="s">
        <v>235</v>
      </c>
      <c r="B21716" s="1" t="str">
        <f>HYPERLINK("http://surpluspropertysolutions.com","surpluspropertysolutions.com")</f>
        <v>surpluspropertysolutions.com</v>
      </c>
      <c r="C21716" t="s">
        <v>433</v>
      </c>
      <c r="F21716">
        <v>4.44380395335525E-9</v>
      </c>
      <c r="G21716">
        <v>83572968</v>
      </c>
      <c r="H21716">
        <v>0</v>
      </c>
      <c r="I21716">
        <v>84425685</v>
      </c>
      <c r="J21716">
        <v>5</v>
      </c>
    </row>
    <row r="21717" spans="1:10" x14ac:dyDescent="0.25">
      <c r="A21717" t="s">
        <v>235</v>
      </c>
      <c r="B21717" s="1" t="str">
        <f>HYPERLINK("http://techgdpr.com","techgdpr.com")</f>
        <v>techgdpr.com</v>
      </c>
      <c r="C21717" t="s">
        <v>433</v>
      </c>
      <c r="F21717">
        <v>3.1241182617547699E-7</v>
      </c>
      <c r="G21717">
        <v>119027</v>
      </c>
      <c r="H21717">
        <v>14001201</v>
      </c>
      <c r="I21717">
        <v>4011777</v>
      </c>
      <c r="J21717">
        <v>12</v>
      </c>
    </row>
    <row r="21718" spans="1:10" x14ac:dyDescent="0.25">
      <c r="A21718" t="s">
        <v>235</v>
      </c>
      <c r="B21718" s="1" t="str">
        <f>HYPERLINK("http://texe.com","texe.com")</f>
        <v>texe.com</v>
      </c>
      <c r="C21718" t="s">
        <v>433</v>
      </c>
      <c r="E21718">
        <v>233429</v>
      </c>
      <c r="F21718">
        <v>9.2911491510603794E-8</v>
      </c>
      <c r="G21718">
        <v>437775</v>
      </c>
      <c r="H21718">
        <v>16868630</v>
      </c>
      <c r="I21718">
        <v>150251</v>
      </c>
      <c r="J21718">
        <v>7</v>
      </c>
    </row>
    <row r="21719" spans="1:10" x14ac:dyDescent="0.25">
      <c r="A21719" t="s">
        <v>235</v>
      </c>
      <c r="B21719" s="1" t="str">
        <f>HYPERLINK("http://twentysixdigital.com","twentysixdigital.com")</f>
        <v>twentysixdigital.com</v>
      </c>
      <c r="C21719" t="s">
        <v>433</v>
      </c>
      <c r="F21719">
        <v>7.1729440476178498E-8</v>
      </c>
      <c r="G21719">
        <v>588991</v>
      </c>
      <c r="H21719">
        <v>13661583</v>
      </c>
      <c r="I21719">
        <v>9575202</v>
      </c>
      <c r="J21719">
        <v>9</v>
      </c>
    </row>
    <row r="21720" spans="1:10" x14ac:dyDescent="0.25">
      <c r="A21720" t="s">
        <v>235</v>
      </c>
      <c r="B21720" s="1" t="str">
        <f>HYPERLINK("http://veincentre.com","veincentre.com")</f>
        <v>veincentre.com</v>
      </c>
      <c r="C21720" t="s">
        <v>433</v>
      </c>
      <c r="F21720">
        <v>1.06514700212428E-8</v>
      </c>
      <c r="G21720">
        <v>6140304</v>
      </c>
      <c r="H21720">
        <v>13034280</v>
      </c>
      <c r="I21720">
        <v>12651638</v>
      </c>
      <c r="J21720">
        <v>16</v>
      </c>
    </row>
    <row r="21721" spans="1:10" x14ac:dyDescent="0.25">
      <c r="A21721" t="s">
        <v>235</v>
      </c>
      <c r="B21721" s="1" t="str">
        <f>HYPERLINK("http://wcctv.com","wcctv.com")</f>
        <v>wcctv.com</v>
      </c>
      <c r="C21721" t="s">
        <v>433</v>
      </c>
      <c r="F21721">
        <v>1.61572520826741E-8</v>
      </c>
      <c r="G21721">
        <v>3506067</v>
      </c>
      <c r="H21721">
        <v>13342719</v>
      </c>
      <c r="I21721">
        <v>10663853</v>
      </c>
      <c r="J21721">
        <v>4</v>
      </c>
    </row>
    <row r="21722" spans="1:10" x14ac:dyDescent="0.25">
      <c r="A21722" t="s">
        <v>235</v>
      </c>
      <c r="B21722" s="1" t="str">
        <f>HYPERLINK("http://weareamberjack.com","weareamberjack.com")</f>
        <v>weareamberjack.com</v>
      </c>
      <c r="C21722" t="s">
        <v>433</v>
      </c>
      <c r="F21722">
        <v>3.2741491670479202E-8</v>
      </c>
      <c r="G21722">
        <v>1577787</v>
      </c>
      <c r="H21722">
        <v>13948910</v>
      </c>
      <c r="I21722">
        <v>4189333</v>
      </c>
      <c r="J21722">
        <v>7</v>
      </c>
    </row>
    <row r="21723" spans="1:10" x14ac:dyDescent="0.25">
      <c r="A21723" t="s">
        <v>235</v>
      </c>
      <c r="B21723" s="1" t="str">
        <f>HYPERLINK("http://wifinity.com","wifinity.com")</f>
        <v>wifinity.com</v>
      </c>
      <c r="C21723" t="s">
        <v>433</v>
      </c>
      <c r="F21723">
        <v>4.7271708801570404E-9</v>
      </c>
      <c r="G21723">
        <v>39484335</v>
      </c>
      <c r="H21723">
        <v>11225430</v>
      </c>
      <c r="I21723">
        <v>31055823</v>
      </c>
      <c r="J21723">
        <v>6</v>
      </c>
    </row>
    <row r="21724" spans="1:10" x14ac:dyDescent="0.25">
      <c r="A21724" t="s">
        <v>235</v>
      </c>
      <c r="B21724" s="1" t="str">
        <f>HYPERLINK("http://xiconcloud.com","xiconcloud.com")</f>
        <v>xiconcloud.com</v>
      </c>
      <c r="C21724" t="s">
        <v>433</v>
      </c>
      <c r="F21724">
        <v>8.3014600987826602E-9</v>
      </c>
      <c r="G21724">
        <v>9253747</v>
      </c>
      <c r="H21724">
        <v>10775459</v>
      </c>
      <c r="I21724">
        <v>39060892</v>
      </c>
      <c r="J21724">
        <v>14</v>
      </c>
    </row>
    <row r="21725" spans="1:10" x14ac:dyDescent="0.25">
      <c r="A21725" t="s">
        <v>235</v>
      </c>
      <c r="B21725" s="1" t="str">
        <f>HYPERLINK("http://blatchford.de","blatchford.de")</f>
        <v>blatchford.de</v>
      </c>
      <c r="C21725" t="s">
        <v>436</v>
      </c>
      <c r="D21725" t="s">
        <v>815</v>
      </c>
      <c r="F21725">
        <v>1.40612921739714E-8</v>
      </c>
      <c r="G21725">
        <v>4179860</v>
      </c>
      <c r="H21725">
        <v>10830985</v>
      </c>
      <c r="I21725">
        <v>37370855</v>
      </c>
      <c r="J21725">
        <v>13</v>
      </c>
    </row>
    <row r="21726" spans="1:10" x14ac:dyDescent="0.25">
      <c r="A21726" t="s">
        <v>235</v>
      </c>
      <c r="B21726" s="1" t="str">
        <f>HYPERLINK("http://precisionmicro.de","precisionmicro.de")</f>
        <v>precisionmicro.de</v>
      </c>
      <c r="C21726" t="s">
        <v>436</v>
      </c>
      <c r="D21726" t="s">
        <v>815</v>
      </c>
      <c r="F21726">
        <v>5.5056095898179802E-9</v>
      </c>
      <c r="G21726">
        <v>20838943</v>
      </c>
      <c r="H21726">
        <v>11116761</v>
      </c>
      <c r="I21726">
        <v>32082632</v>
      </c>
      <c r="J21726">
        <v>8</v>
      </c>
    </row>
    <row r="21727" spans="1:10" x14ac:dyDescent="0.25">
      <c r="A21727" t="s">
        <v>235</v>
      </c>
      <c r="B21727" s="1" t="str">
        <f>HYPERLINK("http://blatchford.fr","blatchford.fr")</f>
        <v>blatchford.fr</v>
      </c>
      <c r="C21727" t="s">
        <v>446</v>
      </c>
      <c r="D21727" t="s">
        <v>824</v>
      </c>
      <c r="F21727">
        <v>6.4889775072707402E-9</v>
      </c>
      <c r="G21727">
        <v>14124200</v>
      </c>
      <c r="H21727">
        <v>10525931</v>
      </c>
      <c r="I21727">
        <v>48921170</v>
      </c>
      <c r="J21727">
        <v>13</v>
      </c>
    </row>
    <row r="21728" spans="1:10" x14ac:dyDescent="0.25">
      <c r="A21728" t="s">
        <v>235</v>
      </c>
      <c r="B21728" s="1" t="str">
        <f>HYPERLINK("http://llama.id","llama.id")</f>
        <v>llama.id</v>
      </c>
      <c r="C21728" t="s">
        <v>454</v>
      </c>
      <c r="D21728" t="s">
        <v>831</v>
      </c>
      <c r="F21728">
        <v>4.4794860006972803E-9</v>
      </c>
      <c r="G21728">
        <v>62458570</v>
      </c>
      <c r="H21728">
        <v>10597761</v>
      </c>
      <c r="I21728">
        <v>45031617</v>
      </c>
      <c r="J21728">
        <v>5</v>
      </c>
    </row>
    <row r="21729" spans="1:10" x14ac:dyDescent="0.25">
      <c r="A21729" t="s">
        <v>235</v>
      </c>
      <c r="B21729" s="1" t="str">
        <f>HYPERLINK("http://iamsold.ie","iamsold.ie")</f>
        <v>iamsold.ie</v>
      </c>
      <c r="C21729" t="s">
        <v>455</v>
      </c>
      <c r="D21729" t="s">
        <v>832</v>
      </c>
      <c r="F21729">
        <v>3.7165525776521201E-8</v>
      </c>
      <c r="G21729">
        <v>1393940</v>
      </c>
      <c r="H21729">
        <v>12343799</v>
      </c>
      <c r="I21729">
        <v>19878093</v>
      </c>
      <c r="J21729">
        <v>10</v>
      </c>
    </row>
    <row r="21730" spans="1:10" x14ac:dyDescent="0.25">
      <c r="A21730" t="s">
        <v>235</v>
      </c>
      <c r="B21730" s="1" t="str">
        <f>HYPERLINK("http://texe.in","texe.in")</f>
        <v>texe.in</v>
      </c>
      <c r="C21730" t="s">
        <v>457</v>
      </c>
      <c r="D21730" t="s">
        <v>834</v>
      </c>
      <c r="F21730">
        <v>5.9625494876631997E-9</v>
      </c>
      <c r="G21730">
        <v>16929010</v>
      </c>
      <c r="H21730">
        <v>11928768</v>
      </c>
      <c r="I21730">
        <v>29324669</v>
      </c>
      <c r="J21730">
        <v>8</v>
      </c>
    </row>
    <row r="21731" spans="1:10" x14ac:dyDescent="0.25">
      <c r="A21731" t="s">
        <v>235</v>
      </c>
      <c r="B21731" s="1" t="str">
        <f>HYPERLINK("http://nationwideinterfaces.io","nationwideinterfaces.io")</f>
        <v>nationwideinterfaces.io</v>
      </c>
      <c r="C21731" t="s">
        <v>518</v>
      </c>
      <c r="F21731">
        <v>4.4625605418860999E-9</v>
      </c>
      <c r="G21731">
        <v>66935917</v>
      </c>
      <c r="H21731">
        <v>7041435</v>
      </c>
      <c r="I21731">
        <v>76768782</v>
      </c>
      <c r="J21731">
        <v>9</v>
      </c>
    </row>
    <row r="21732" spans="1:10" x14ac:dyDescent="0.25">
      <c r="A21732" t="s">
        <v>235</v>
      </c>
      <c r="B21732" s="1" t="str">
        <f>HYPERLINK("http://oncp.io","oncp.io")</f>
        <v>oncp.io</v>
      </c>
      <c r="C21732" t="s">
        <v>518</v>
      </c>
      <c r="J21732">
        <v>2</v>
      </c>
    </row>
    <row r="21733" spans="1:10" x14ac:dyDescent="0.25">
      <c r="A21733" t="s">
        <v>235</v>
      </c>
      <c r="B21733" s="1" t="str">
        <f>HYPERLINK("http://unitedhousedevelopments.net","unitedhousedevelopments.net")</f>
        <v>unitedhousedevelopments.net</v>
      </c>
      <c r="C21733" t="s">
        <v>474</v>
      </c>
      <c r="F21733">
        <v>5.1680916537241497E-9</v>
      </c>
      <c r="G21733">
        <v>25758162</v>
      </c>
      <c r="H21733">
        <v>14119866</v>
      </c>
      <c r="I21733">
        <v>2437414</v>
      </c>
      <c r="J21733">
        <v>7</v>
      </c>
    </row>
    <row r="21734" spans="1:10" x14ac:dyDescent="0.25">
      <c r="A21734" t="s">
        <v>235</v>
      </c>
      <c r="B21734" s="1" t="str">
        <f>HYPERLINK("http://blatchford.no","blatchford.no")</f>
        <v>blatchford.no</v>
      </c>
      <c r="C21734" t="s">
        <v>478</v>
      </c>
      <c r="D21734" t="s">
        <v>853</v>
      </c>
      <c r="F21734">
        <v>1.7597932793556E-8</v>
      </c>
      <c r="G21734">
        <v>3119413</v>
      </c>
      <c r="H21734">
        <v>12521575</v>
      </c>
      <c r="I21734">
        <v>17132581</v>
      </c>
      <c r="J21734">
        <v>13</v>
      </c>
    </row>
    <row r="21735" spans="1:10" x14ac:dyDescent="0.25">
      <c r="A21735" t="s">
        <v>235</v>
      </c>
      <c r="B21735" s="1" t="str">
        <f>HYPERLINK("http://ramco.no","ramco.no")</f>
        <v>ramco.no</v>
      </c>
      <c r="C21735" t="s">
        <v>478</v>
      </c>
      <c r="D21735" t="s">
        <v>853</v>
      </c>
      <c r="F21735">
        <v>4.5859324462479696E-9</v>
      </c>
      <c r="G21735">
        <v>48757771</v>
      </c>
      <c r="H21735">
        <v>12076824</v>
      </c>
      <c r="I21735">
        <v>26640468</v>
      </c>
      <c r="J21735">
        <v>14</v>
      </c>
    </row>
    <row r="21736" spans="1:10" x14ac:dyDescent="0.25">
      <c r="A21736" t="s">
        <v>235</v>
      </c>
      <c r="B21736" s="1" t="str">
        <f>HYPERLINK("http://ecs.scot","ecs.scot")</f>
        <v>ecs.scot</v>
      </c>
      <c r="C21736" t="s">
        <v>1674</v>
      </c>
      <c r="F21736">
        <v>4.9457512325232703E-9</v>
      </c>
      <c r="G21736">
        <v>30903755</v>
      </c>
      <c r="H21736">
        <v>12004501</v>
      </c>
      <c r="I21736">
        <v>28176965</v>
      </c>
      <c r="J21736">
        <v>9</v>
      </c>
    </row>
    <row r="21737" spans="1:10" x14ac:dyDescent="0.25">
      <c r="A21737" t="s">
        <v>235</v>
      </c>
      <c r="B21737" s="1" t="str">
        <f>HYPERLINK("http://fsp.team","fsp.team")</f>
        <v>fsp.team</v>
      </c>
      <c r="C21737" t="s">
        <v>577</v>
      </c>
      <c r="F21737">
        <v>5.0943459538848697E-9</v>
      </c>
      <c r="G21737">
        <v>27196601</v>
      </c>
      <c r="H21737">
        <v>10528464</v>
      </c>
      <c r="I21737">
        <v>48859449</v>
      </c>
      <c r="J21737">
        <v>11</v>
      </c>
    </row>
    <row r="21738" spans="1:10" x14ac:dyDescent="0.25">
      <c r="A21738" t="s">
        <v>235</v>
      </c>
      <c r="B21738" s="1" t="str">
        <f>HYPERLINK("http://bluebaytravel.uk","bluebaytravel.uk")</f>
        <v>bluebaytravel.uk</v>
      </c>
      <c r="C21738" t="s">
        <v>506</v>
      </c>
      <c r="D21738" t="s">
        <v>880</v>
      </c>
      <c r="J21738">
        <v>8</v>
      </c>
    </row>
    <row r="21739" spans="1:10" x14ac:dyDescent="0.25">
      <c r="A21739" t="s">
        <v>235</v>
      </c>
      <c r="B21739" s="1" t="str">
        <f>HYPERLINK("http://9group.co.uk","9group.co.uk")</f>
        <v>9group.co.uk</v>
      </c>
      <c r="C21739" t="s">
        <v>506</v>
      </c>
      <c r="D21739" t="s">
        <v>880</v>
      </c>
      <c r="F21739">
        <v>6.8755775557848297E-9</v>
      </c>
      <c r="G21739">
        <v>12710573</v>
      </c>
      <c r="H21739">
        <v>12264528</v>
      </c>
      <c r="I21739">
        <v>21647342</v>
      </c>
      <c r="J21739">
        <v>12</v>
      </c>
    </row>
    <row r="21740" spans="1:10" x14ac:dyDescent="0.25">
      <c r="A21740" t="s">
        <v>235</v>
      </c>
      <c r="B21740" s="1" t="str">
        <f>HYPERLINK("http://abc-teachers.co.uk","abc-teachers.co.uk")</f>
        <v>abc-teachers.co.uk</v>
      </c>
      <c r="C21740" t="s">
        <v>506</v>
      </c>
      <c r="D21740" t="s">
        <v>880</v>
      </c>
      <c r="F21740">
        <v>8.7887226097720895E-9</v>
      </c>
      <c r="G21740">
        <v>8329041</v>
      </c>
      <c r="H21740">
        <v>12408293</v>
      </c>
      <c r="I21740">
        <v>18631449</v>
      </c>
      <c r="J21740">
        <v>7</v>
      </c>
    </row>
    <row r="21741" spans="1:10" x14ac:dyDescent="0.25">
      <c r="A21741" t="s">
        <v>235</v>
      </c>
      <c r="B21741" s="1" t="str">
        <f>HYPERLINK("http://advaloremwealth.co.uk","advaloremwealth.co.uk")</f>
        <v>advaloremwealth.co.uk</v>
      </c>
      <c r="C21741" t="s">
        <v>506</v>
      </c>
      <c r="D21741" t="s">
        <v>880</v>
      </c>
      <c r="J21741">
        <v>14</v>
      </c>
    </row>
    <row r="21742" spans="1:10" x14ac:dyDescent="0.25">
      <c r="A21742" t="s">
        <v>235</v>
      </c>
      <c r="B21742" s="1" t="str">
        <f>HYPERLINK("http://angusfire.co.uk","angusfire.co.uk")</f>
        <v>angusfire.co.uk</v>
      </c>
      <c r="C21742" t="s">
        <v>506</v>
      </c>
      <c r="D21742" t="s">
        <v>880</v>
      </c>
      <c r="F21742">
        <v>1.4482969572849399E-8</v>
      </c>
      <c r="G21742">
        <v>4028383</v>
      </c>
      <c r="H21742">
        <v>14254210</v>
      </c>
      <c r="I21742">
        <v>1436971</v>
      </c>
      <c r="J21742">
        <v>5</v>
      </c>
    </row>
    <row r="21743" spans="1:10" x14ac:dyDescent="0.25">
      <c r="A21743" t="s">
        <v>235</v>
      </c>
      <c r="B21743" s="1" t="str">
        <f>HYPERLINK("http://angusfireengineering.co.uk","angusfireengineering.co.uk")</f>
        <v>angusfireengineering.co.uk</v>
      </c>
      <c r="C21743" t="s">
        <v>506</v>
      </c>
      <c r="D21743" t="s">
        <v>880</v>
      </c>
      <c r="J21743">
        <v>8</v>
      </c>
    </row>
    <row r="21744" spans="1:10" x14ac:dyDescent="0.25">
      <c r="A21744" t="s">
        <v>235</v>
      </c>
      <c r="B21744" s="1" t="str">
        <f>HYPERLINK("http://apollo-fire.co.uk","apollo-fire.co.uk")</f>
        <v>apollo-fire.co.uk</v>
      </c>
      <c r="C21744" t="s">
        <v>506</v>
      </c>
      <c r="D21744" t="s">
        <v>880</v>
      </c>
      <c r="E21744">
        <v>958155</v>
      </c>
      <c r="F21744">
        <v>4.7519275285382303E-8</v>
      </c>
      <c r="G21744">
        <v>980074</v>
      </c>
      <c r="H21744">
        <v>13268816</v>
      </c>
      <c r="I21744">
        <v>10997252</v>
      </c>
      <c r="J21744">
        <v>8</v>
      </c>
    </row>
    <row r="21745" spans="1:10" x14ac:dyDescent="0.25">
      <c r="A21745" t="s">
        <v>235</v>
      </c>
      <c r="B21745" s="1" t="str">
        <f>HYPERLINK("http://aquaspersions.co.uk","aquaspersions.co.uk")</f>
        <v>aquaspersions.co.uk</v>
      </c>
      <c r="C21745" t="s">
        <v>506</v>
      </c>
      <c r="D21745" t="s">
        <v>880</v>
      </c>
      <c r="F21745">
        <v>7.3286597187756099E-9</v>
      </c>
      <c r="G21745">
        <v>11410800</v>
      </c>
      <c r="H21745">
        <v>11043605</v>
      </c>
      <c r="I21745">
        <v>32878177</v>
      </c>
      <c r="J21745">
        <v>13</v>
      </c>
    </row>
    <row r="21746" spans="1:10" x14ac:dyDescent="0.25">
      <c r="A21746" t="s">
        <v>235</v>
      </c>
      <c r="B21746" s="1" t="str">
        <f>HYPERLINK("http://atkinsonwhite.co.uk","atkinsonwhite.co.uk")</f>
        <v>atkinsonwhite.co.uk</v>
      </c>
      <c r="C21746" t="s">
        <v>506</v>
      </c>
      <c r="D21746" t="s">
        <v>880</v>
      </c>
      <c r="F21746">
        <v>4.6013350739703196E-9</v>
      </c>
      <c r="G21746">
        <v>47504555</v>
      </c>
      <c r="H21746">
        <v>12559343</v>
      </c>
      <c r="I21746">
        <v>16721822</v>
      </c>
      <c r="J21746">
        <v>16</v>
      </c>
    </row>
    <row r="21747" spans="1:10" x14ac:dyDescent="0.25">
      <c r="A21747" t="s">
        <v>235</v>
      </c>
      <c r="B21747" s="1" t="str">
        <f>HYPERLINK("http://atlanticmicrowave.co.uk","atlanticmicrowave.co.uk")</f>
        <v>atlanticmicrowave.co.uk</v>
      </c>
      <c r="C21747" t="s">
        <v>506</v>
      </c>
      <c r="D21747" t="s">
        <v>880</v>
      </c>
      <c r="F21747">
        <v>4.67678198599472E-9</v>
      </c>
      <c r="G21747">
        <v>42550219</v>
      </c>
      <c r="H21747">
        <v>12211386</v>
      </c>
      <c r="I21747">
        <v>22992383</v>
      </c>
      <c r="J21747">
        <v>22</v>
      </c>
    </row>
    <row r="21748" spans="1:10" x14ac:dyDescent="0.25">
      <c r="A21748" t="s">
        <v>235</v>
      </c>
      <c r="B21748" s="1" t="str">
        <f>HYPERLINK("http://bankofscotland.co.uk","bankofscotland.co.uk")</f>
        <v>bankofscotland.co.uk</v>
      </c>
      <c r="C21748" t="s">
        <v>506</v>
      </c>
      <c r="D21748" t="s">
        <v>880</v>
      </c>
      <c r="E21748">
        <v>44812</v>
      </c>
      <c r="F21748">
        <v>3.0958390163773398E-7</v>
      </c>
      <c r="G21748">
        <v>120133</v>
      </c>
      <c r="H21748">
        <v>17274440</v>
      </c>
      <c r="I21748">
        <v>30804</v>
      </c>
      <c r="J21748">
        <v>4</v>
      </c>
    </row>
    <row r="21749" spans="1:10" x14ac:dyDescent="0.25">
      <c r="A21749" t="s">
        <v>235</v>
      </c>
      <c r="B21749" s="1" t="str">
        <f>HYPERLINK("http://bankofwales.co.uk","bankofwales.co.uk")</f>
        <v>bankofwales.co.uk</v>
      </c>
      <c r="C21749" t="s">
        <v>506</v>
      </c>
      <c r="D21749" t="s">
        <v>880</v>
      </c>
      <c r="F21749">
        <v>5.0805744408082501E-9</v>
      </c>
      <c r="G21749">
        <v>27495499</v>
      </c>
      <c r="H21749">
        <v>14071791</v>
      </c>
      <c r="I21749">
        <v>3467774</v>
      </c>
      <c r="J21749">
        <v>3</v>
      </c>
    </row>
    <row r="21750" spans="1:10" x14ac:dyDescent="0.25">
      <c r="A21750" t="s">
        <v>235</v>
      </c>
      <c r="B21750" s="1" t="str">
        <f>HYPERLINK("http://bcn.co.uk","bcn.co.uk")</f>
        <v>bcn.co.uk</v>
      </c>
      <c r="C21750" t="s">
        <v>506</v>
      </c>
      <c r="D21750" t="s">
        <v>880</v>
      </c>
      <c r="F21750">
        <v>2.99434932659629E-8</v>
      </c>
      <c r="G21750">
        <v>1718171</v>
      </c>
      <c r="H21750">
        <v>13741104</v>
      </c>
      <c r="I21750">
        <v>9428771</v>
      </c>
      <c r="J21750">
        <v>12</v>
      </c>
    </row>
    <row r="21751" spans="1:10" x14ac:dyDescent="0.25">
      <c r="A21751" t="s">
        <v>235</v>
      </c>
      <c r="B21751" s="1" t="str">
        <f>HYPERLINK("http://bfpltd.co.uk","bfpltd.co.uk")</f>
        <v>bfpltd.co.uk</v>
      </c>
      <c r="C21751" t="s">
        <v>506</v>
      </c>
      <c r="D21751" t="s">
        <v>880</v>
      </c>
      <c r="J21751">
        <v>15</v>
      </c>
    </row>
    <row r="21752" spans="1:10" x14ac:dyDescent="0.25">
      <c r="A21752" t="s">
        <v>235</v>
      </c>
      <c r="B21752" s="1" t="str">
        <f>HYPERLINK("http://birminghammidshires.co.uk","birminghammidshires.co.uk")</f>
        <v>birminghammidshires.co.uk</v>
      </c>
      <c r="C21752" t="s">
        <v>506</v>
      </c>
      <c r="D21752" t="s">
        <v>880</v>
      </c>
      <c r="F21752">
        <v>9.20462092871561E-9</v>
      </c>
      <c r="G21752">
        <v>7703995</v>
      </c>
      <c r="H21752">
        <v>13874815</v>
      </c>
      <c r="I21752">
        <v>5992067</v>
      </c>
      <c r="J21752">
        <v>3</v>
      </c>
    </row>
    <row r="21753" spans="1:10" x14ac:dyDescent="0.25">
      <c r="A21753" t="s">
        <v>235</v>
      </c>
      <c r="B21753" s="1" t="str">
        <f>HYPERLINK("http://blatchford.co.uk","blatchford.co.uk")</f>
        <v>blatchford.co.uk</v>
      </c>
      <c r="C21753" t="s">
        <v>506</v>
      </c>
      <c r="D21753" t="s">
        <v>880</v>
      </c>
      <c r="F21753">
        <v>6.3948899537597402E-8</v>
      </c>
      <c r="G21753">
        <v>677929</v>
      </c>
      <c r="H21753">
        <v>14749577</v>
      </c>
      <c r="I21753">
        <v>563930</v>
      </c>
      <c r="J21753">
        <v>12</v>
      </c>
    </row>
    <row r="21754" spans="1:10" x14ac:dyDescent="0.25">
      <c r="A21754" t="s">
        <v>235</v>
      </c>
      <c r="B21754" s="1" t="str">
        <f>HYPERLINK("http://bluebaytravel.co.uk","bluebaytravel.co.uk")</f>
        <v>bluebaytravel.co.uk</v>
      </c>
      <c r="C21754" t="s">
        <v>506</v>
      </c>
      <c r="D21754" t="s">
        <v>880</v>
      </c>
      <c r="F21754">
        <v>1.47565674231531E-8</v>
      </c>
      <c r="G21754">
        <v>3921731</v>
      </c>
      <c r="H21754">
        <v>12856238</v>
      </c>
      <c r="I21754">
        <v>14225104</v>
      </c>
      <c r="J21754">
        <v>7</v>
      </c>
    </row>
    <row r="21755" spans="1:10" x14ac:dyDescent="0.25">
      <c r="A21755" t="s">
        <v>235</v>
      </c>
      <c r="B21755" s="1" t="str">
        <f>HYPERLINK("http://bluemaxbanner.co.uk","bluemaxbanner.co.uk")</f>
        <v>bluemaxbanner.co.uk</v>
      </c>
      <c r="C21755" t="s">
        <v>506</v>
      </c>
      <c r="D21755" t="s">
        <v>880</v>
      </c>
      <c r="F21755">
        <v>8.4854916407856099E-9</v>
      </c>
      <c r="G21755">
        <v>8873157</v>
      </c>
      <c r="H21755">
        <v>12128065</v>
      </c>
      <c r="I21755">
        <v>25197105</v>
      </c>
      <c r="J21755">
        <v>19</v>
      </c>
    </row>
    <row r="21756" spans="1:10" x14ac:dyDescent="0.25">
      <c r="A21756" t="s">
        <v>235</v>
      </c>
      <c r="B21756" s="1" t="str">
        <f>HYPERLINK("http://brandvaughan.co.uk","brandvaughan.co.uk")</f>
        <v>brandvaughan.co.uk</v>
      </c>
      <c r="C21756" t="s">
        <v>506</v>
      </c>
      <c r="D21756" t="s">
        <v>880</v>
      </c>
      <c r="F21756">
        <v>5.82686416990792E-9</v>
      </c>
      <c r="G21756">
        <v>17886940</v>
      </c>
      <c r="H21756">
        <v>12329874</v>
      </c>
      <c r="I21756">
        <v>20213594</v>
      </c>
      <c r="J21756">
        <v>10</v>
      </c>
    </row>
    <row r="21757" spans="1:10" x14ac:dyDescent="0.25">
      <c r="A21757" t="s">
        <v>235</v>
      </c>
      <c r="B21757" s="1" t="str">
        <f>HYPERLINK("http://c-c-g.co.uk","c-c-g.co.uk")</f>
        <v>c-c-g.co.uk</v>
      </c>
      <c r="C21757" t="s">
        <v>506</v>
      </c>
      <c r="D21757" t="s">
        <v>880</v>
      </c>
      <c r="F21757">
        <v>1.0080480368965801E-8</v>
      </c>
      <c r="G21757">
        <v>6669836</v>
      </c>
      <c r="H21757">
        <v>12880989</v>
      </c>
      <c r="I21757">
        <v>13995272</v>
      </c>
      <c r="J21757">
        <v>11</v>
      </c>
    </row>
    <row r="21758" spans="1:10" x14ac:dyDescent="0.25">
      <c r="A21758" t="s">
        <v>235</v>
      </c>
      <c r="B21758" s="1" t="str">
        <f>HYPERLINK("http://cambridgeinvestments.co.uk","cambridgeinvestments.co.uk")</f>
        <v>cambridgeinvestments.co.uk</v>
      </c>
      <c r="C21758" t="s">
        <v>506</v>
      </c>
      <c r="D21758" t="s">
        <v>880</v>
      </c>
      <c r="F21758">
        <v>5.5566165340049904E-9</v>
      </c>
      <c r="G21758">
        <v>20309147</v>
      </c>
      <c r="H21758">
        <v>10704017</v>
      </c>
      <c r="I21758">
        <v>42252459</v>
      </c>
      <c r="J21758">
        <v>13</v>
      </c>
    </row>
    <row r="21759" spans="1:10" x14ac:dyDescent="0.25">
      <c r="A21759" t="s">
        <v>235</v>
      </c>
      <c r="B21759" s="1" t="str">
        <f>HYPERLINK("http://castlemarinas.co.uk","castlemarinas.co.uk")</f>
        <v>castlemarinas.co.uk</v>
      </c>
      <c r="C21759" t="s">
        <v>506</v>
      </c>
      <c r="D21759" t="s">
        <v>880</v>
      </c>
      <c r="F21759">
        <v>8.8400996214185304E-9</v>
      </c>
      <c r="G21759">
        <v>8240301</v>
      </c>
      <c r="H21759">
        <v>14161309</v>
      </c>
      <c r="I21759">
        <v>1835851</v>
      </c>
      <c r="J21759">
        <v>10</v>
      </c>
    </row>
    <row r="21760" spans="1:10" x14ac:dyDescent="0.25">
      <c r="A21760" t="s">
        <v>235</v>
      </c>
      <c r="B21760" s="1" t="str">
        <f>HYPERLINK("http://cavendishonline.co.uk","cavendishonline.co.uk")</f>
        <v>cavendishonline.co.uk</v>
      </c>
      <c r="C21760" t="s">
        <v>506</v>
      </c>
      <c r="D21760" t="s">
        <v>880</v>
      </c>
      <c r="F21760">
        <v>2.1673350771017399E-8</v>
      </c>
      <c r="G21760">
        <v>2427054</v>
      </c>
      <c r="H21760">
        <v>14133376</v>
      </c>
      <c r="I21760">
        <v>1989373</v>
      </c>
      <c r="J21760">
        <v>3</v>
      </c>
    </row>
    <row r="21761" spans="1:10" x14ac:dyDescent="0.25">
      <c r="A21761" t="s">
        <v>235</v>
      </c>
      <c r="B21761" s="1" t="str">
        <f>HYPERLINK("http://cheltglos.co.uk","cheltglos.co.uk")</f>
        <v>cheltglos.co.uk</v>
      </c>
      <c r="C21761" t="s">
        <v>506</v>
      </c>
      <c r="D21761" t="s">
        <v>880</v>
      </c>
      <c r="E21761">
        <v>474883</v>
      </c>
      <c r="F21761">
        <v>7.9388436872363407E-9</v>
      </c>
      <c r="G21761">
        <v>10035123</v>
      </c>
      <c r="H21761">
        <v>14077247</v>
      </c>
      <c r="I21761">
        <v>2870176</v>
      </c>
      <c r="J21761">
        <v>4</v>
      </c>
    </row>
    <row r="21762" spans="1:10" x14ac:dyDescent="0.25">
      <c r="A21762" t="s">
        <v>235</v>
      </c>
      <c r="B21762" s="1" t="str">
        <f>HYPERLINK("http://chessman.co.uk","chessman.co.uk")</f>
        <v>chessman.co.uk</v>
      </c>
      <c r="C21762" t="s">
        <v>506</v>
      </c>
      <c r="D21762" t="s">
        <v>880</v>
      </c>
      <c r="F21762">
        <v>4.4469468008278701E-9</v>
      </c>
      <c r="G21762">
        <v>73883648</v>
      </c>
      <c r="H21762">
        <v>8891301</v>
      </c>
      <c r="I21762">
        <v>69056767</v>
      </c>
      <c r="J21762">
        <v>14</v>
      </c>
    </row>
    <row r="21763" spans="1:10" x14ac:dyDescent="0.25">
      <c r="A21763" t="s">
        <v>235</v>
      </c>
      <c r="B21763" s="1" t="str">
        <f>HYPERLINK("http://connecthealth.co.uk","connecthealth.co.uk")</f>
        <v>connecthealth.co.uk</v>
      </c>
      <c r="C21763" t="s">
        <v>506</v>
      </c>
      <c r="D21763" t="s">
        <v>880</v>
      </c>
      <c r="F21763">
        <v>1.7308948384205499E-8</v>
      </c>
      <c r="G21763">
        <v>3197040</v>
      </c>
      <c r="H21763">
        <v>13186449</v>
      </c>
      <c r="I21763">
        <v>11617043</v>
      </c>
      <c r="J21763">
        <v>7</v>
      </c>
    </row>
    <row r="21764" spans="1:10" x14ac:dyDescent="0.25">
      <c r="A21764" t="s">
        <v>235</v>
      </c>
      <c r="B21764" s="1" t="str">
        <f>HYPERLINK("http://createservices.co.uk","createservices.co.uk")</f>
        <v>createservices.co.uk</v>
      </c>
      <c r="C21764" t="s">
        <v>506</v>
      </c>
      <c r="D21764" t="s">
        <v>880</v>
      </c>
      <c r="F21764">
        <v>4.8606393251961502E-9</v>
      </c>
      <c r="G21764">
        <v>33792287</v>
      </c>
      <c r="H21764">
        <v>13763634</v>
      </c>
      <c r="I21764">
        <v>8545944</v>
      </c>
      <c r="J21764">
        <v>4</v>
      </c>
    </row>
    <row r="21765" spans="1:10" x14ac:dyDescent="0.25">
      <c r="A21765" t="s">
        <v>235</v>
      </c>
      <c r="B21765" s="1" t="str">
        <f>HYPERLINK("http://ctidigital.co.uk","ctidigital.co.uk")</f>
        <v>ctidigital.co.uk</v>
      </c>
      <c r="C21765" t="s">
        <v>506</v>
      </c>
      <c r="D21765" t="s">
        <v>880</v>
      </c>
      <c r="F21765">
        <v>5.3337384591717498E-9</v>
      </c>
      <c r="G21765">
        <v>23017315</v>
      </c>
      <c r="H21765">
        <v>10407477</v>
      </c>
      <c r="I21765">
        <v>54095802</v>
      </c>
      <c r="J21765">
        <v>8</v>
      </c>
    </row>
    <row r="21766" spans="1:10" x14ac:dyDescent="0.25">
      <c r="A21766" t="s">
        <v>235</v>
      </c>
      <c r="B21766" s="1" t="str">
        <f>HYPERLINK("http://duchyhomes.co.uk","duchyhomes.co.uk")</f>
        <v>duchyhomes.co.uk</v>
      </c>
      <c r="C21766" t="s">
        <v>506</v>
      </c>
      <c r="D21766" t="s">
        <v>880</v>
      </c>
      <c r="F21766">
        <v>9.0066773181375402E-9</v>
      </c>
      <c r="G21766">
        <v>7981844</v>
      </c>
      <c r="H21766">
        <v>12141016</v>
      </c>
      <c r="I21766">
        <v>24857419</v>
      </c>
      <c r="J21766">
        <v>6</v>
      </c>
    </row>
    <row r="21767" spans="1:10" x14ac:dyDescent="0.25">
      <c r="A21767" t="s">
        <v>235</v>
      </c>
      <c r="B21767" s="1" t="str">
        <f>HYPERLINK("http://embarkgroup.co.uk","embarkgroup.co.uk")</f>
        <v>embarkgroup.co.uk</v>
      </c>
      <c r="C21767" t="s">
        <v>506</v>
      </c>
      <c r="D21767" t="s">
        <v>880</v>
      </c>
      <c r="F21767">
        <v>3.3616906752769197E-8</v>
      </c>
      <c r="G21767">
        <v>1538390</v>
      </c>
      <c r="H21767">
        <v>13269802</v>
      </c>
      <c r="I21767">
        <v>10961848</v>
      </c>
      <c r="J21767">
        <v>5</v>
      </c>
    </row>
    <row r="21768" spans="1:10" x14ac:dyDescent="0.25">
      <c r="A21768" t="s">
        <v>235</v>
      </c>
      <c r="B21768" s="1" t="str">
        <f>HYPERLINK("http://freemavens.co.uk","freemavens.co.uk")</f>
        <v>freemavens.co.uk</v>
      </c>
      <c r="C21768" t="s">
        <v>506</v>
      </c>
      <c r="D21768" t="s">
        <v>880</v>
      </c>
      <c r="F21768">
        <v>9.4088874552633996E-9</v>
      </c>
      <c r="G21768">
        <v>7433411</v>
      </c>
      <c r="H21768">
        <v>12559705</v>
      </c>
      <c r="I21768">
        <v>16717227</v>
      </c>
      <c r="J21768">
        <v>11</v>
      </c>
    </row>
    <row r="21769" spans="1:10" x14ac:dyDescent="0.25">
      <c r="A21769" t="s">
        <v>235</v>
      </c>
      <c r="B21769" s="1" t="str">
        <f>HYPERLINK("http://glamorgantelecom.co.uk","glamorgantelecom.co.uk")</f>
        <v>glamorgantelecom.co.uk</v>
      </c>
      <c r="C21769" t="s">
        <v>506</v>
      </c>
      <c r="D21769" t="s">
        <v>880</v>
      </c>
      <c r="F21769">
        <v>4.6453788178636903E-9</v>
      </c>
      <c r="G21769">
        <v>44428729</v>
      </c>
      <c r="H21769">
        <v>12325720</v>
      </c>
      <c r="I21769">
        <v>20312946</v>
      </c>
      <c r="J21769">
        <v>11</v>
      </c>
    </row>
    <row r="21770" spans="1:10" x14ac:dyDescent="0.25">
      <c r="A21770" t="s">
        <v>235</v>
      </c>
      <c r="B21770" s="1" t="str">
        <f>HYPERLINK("http://globalautocare.co.uk","globalautocare.co.uk")</f>
        <v>globalautocare.co.uk</v>
      </c>
      <c r="C21770" t="s">
        <v>506</v>
      </c>
      <c r="D21770" t="s">
        <v>880</v>
      </c>
      <c r="F21770">
        <v>4.8893158337373799E-9</v>
      </c>
      <c r="G21770">
        <v>32787549</v>
      </c>
      <c r="H21770">
        <v>12148232</v>
      </c>
      <c r="I21770">
        <v>24671874</v>
      </c>
      <c r="J21770">
        <v>7</v>
      </c>
    </row>
    <row r="21771" spans="1:10" x14ac:dyDescent="0.25">
      <c r="A21771" t="s">
        <v>235</v>
      </c>
      <c r="B21771" s="1" t="str">
        <f>HYPERLINK("http://gradweb.co.uk","gradweb.co.uk")</f>
        <v>gradweb.co.uk</v>
      </c>
      <c r="C21771" t="s">
        <v>506</v>
      </c>
      <c r="D21771" t="s">
        <v>880</v>
      </c>
      <c r="F21771">
        <v>8.9329983691124299E-9</v>
      </c>
      <c r="G21771">
        <v>8093918</v>
      </c>
      <c r="H21771">
        <v>12465503</v>
      </c>
      <c r="I21771">
        <v>17812274</v>
      </c>
      <c r="J21771">
        <v>10</v>
      </c>
    </row>
    <row r="21772" spans="1:10" x14ac:dyDescent="0.25">
      <c r="A21772" t="s">
        <v>235</v>
      </c>
      <c r="B21772" s="1" t="str">
        <f>HYPERLINK("http://halifax.co.uk","halifax.co.uk")</f>
        <v>halifax.co.uk</v>
      </c>
      <c r="C21772" t="s">
        <v>506</v>
      </c>
      <c r="D21772" t="s">
        <v>880</v>
      </c>
      <c r="E21772">
        <v>30647</v>
      </c>
      <c r="F21772">
        <v>5.8547301657969802E-7</v>
      </c>
      <c r="G21772">
        <v>65283</v>
      </c>
      <c r="H21772">
        <v>17267844</v>
      </c>
      <c r="I21772">
        <v>31628</v>
      </c>
      <c r="J21772">
        <v>3</v>
      </c>
    </row>
    <row r="21773" spans="1:10" x14ac:dyDescent="0.25">
      <c r="A21773" t="s">
        <v>235</v>
      </c>
      <c r="B21773" s="1" t="str">
        <f>HYPERLINK("http://harrowdenturf.co.uk","harrowdenturf.co.uk")</f>
        <v>harrowdenturf.co.uk</v>
      </c>
      <c r="C21773" t="s">
        <v>506</v>
      </c>
      <c r="D21773" t="s">
        <v>880</v>
      </c>
      <c r="F21773">
        <v>7.1782693379623603E-9</v>
      </c>
      <c r="G21773">
        <v>11801216</v>
      </c>
      <c r="H21773">
        <v>13070127</v>
      </c>
      <c r="I21773">
        <v>12247277</v>
      </c>
      <c r="J21773">
        <v>16</v>
      </c>
    </row>
    <row r="21774" spans="1:10" x14ac:dyDescent="0.25">
      <c r="A21774" t="s">
        <v>235</v>
      </c>
      <c r="B21774" s="1" t="str">
        <f>HYPERLINK("http://hfspfg.co.uk","hfspfg.co.uk")</f>
        <v>hfspfg.co.uk</v>
      </c>
      <c r="C21774" t="s">
        <v>506</v>
      </c>
      <c r="D21774" t="s">
        <v>880</v>
      </c>
      <c r="J21774">
        <v>14</v>
      </c>
    </row>
    <row r="21775" spans="1:10" x14ac:dyDescent="0.25">
      <c r="A21775" t="s">
        <v>235</v>
      </c>
      <c r="B21775" s="1" t="str">
        <f>HYPERLINK("http://iam-sold.co.uk","iam-sold.co.uk")</f>
        <v>iam-sold.co.uk</v>
      </c>
      <c r="C21775" t="s">
        <v>506</v>
      </c>
      <c r="D21775" t="s">
        <v>880</v>
      </c>
      <c r="F21775">
        <v>9.4152231691888195E-9</v>
      </c>
      <c r="G21775">
        <v>7425600</v>
      </c>
      <c r="H21775">
        <v>14132606</v>
      </c>
      <c r="I21775">
        <v>1997592</v>
      </c>
      <c r="J21775">
        <v>12</v>
      </c>
    </row>
    <row r="21776" spans="1:10" x14ac:dyDescent="0.25">
      <c r="A21776" t="s">
        <v>235</v>
      </c>
      <c r="B21776" s="1" t="str">
        <f>HYPERLINK("http://iamsold.co.uk","iamsold.co.uk")</f>
        <v>iamsold.co.uk</v>
      </c>
      <c r="C21776" t="s">
        <v>506</v>
      </c>
      <c r="D21776" t="s">
        <v>880</v>
      </c>
      <c r="E21776">
        <v>502493</v>
      </c>
      <c r="F21776">
        <v>2.9633265042194599E-8</v>
      </c>
      <c r="G21776">
        <v>1737377</v>
      </c>
      <c r="H21776">
        <v>12870740</v>
      </c>
      <c r="I21776">
        <v>14064067</v>
      </c>
      <c r="J21776">
        <v>9</v>
      </c>
    </row>
    <row r="21777" spans="1:10" x14ac:dyDescent="0.25">
      <c r="A21777" t="s">
        <v>235</v>
      </c>
      <c r="B21777" s="1" t="str">
        <f>HYPERLINK("http://informedfa.co.uk","informedfa.co.uk")</f>
        <v>informedfa.co.uk</v>
      </c>
      <c r="C21777" t="s">
        <v>506</v>
      </c>
      <c r="D21777" t="s">
        <v>880</v>
      </c>
      <c r="F21777">
        <v>4.70301340782093E-9</v>
      </c>
      <c r="G21777">
        <v>41081230</v>
      </c>
      <c r="H21777">
        <v>10775946</v>
      </c>
      <c r="I21777">
        <v>39047546</v>
      </c>
      <c r="J21777">
        <v>15</v>
      </c>
    </row>
    <row r="21778" spans="1:10" x14ac:dyDescent="0.25">
      <c r="A21778" t="s">
        <v>235</v>
      </c>
      <c r="B21778" s="1" t="str">
        <f>HYPERLINK("http://itslimited.co.uk","itslimited.co.uk")</f>
        <v>itslimited.co.uk</v>
      </c>
      <c r="C21778" t="s">
        <v>506</v>
      </c>
      <c r="D21778" t="s">
        <v>880</v>
      </c>
      <c r="F21778">
        <v>7.5411260023516794E-9</v>
      </c>
      <c r="G21778">
        <v>10924010</v>
      </c>
      <c r="H21778">
        <v>13186036</v>
      </c>
      <c r="I21778">
        <v>11619618</v>
      </c>
      <c r="J21778">
        <v>8</v>
      </c>
    </row>
    <row r="21779" spans="1:10" x14ac:dyDescent="0.25">
      <c r="A21779" t="s">
        <v>235</v>
      </c>
      <c r="B21779" s="1" t="str">
        <f>HYPERLINK("http://ixis.co.uk","ixis.co.uk")</f>
        <v>ixis.co.uk</v>
      </c>
      <c r="C21779" t="s">
        <v>506</v>
      </c>
      <c r="D21779" t="s">
        <v>880</v>
      </c>
      <c r="F21779">
        <v>1.4122258457743101E-7</v>
      </c>
      <c r="G21779">
        <v>275781</v>
      </c>
      <c r="H21779">
        <v>13040965</v>
      </c>
      <c r="I21779">
        <v>12622030</v>
      </c>
      <c r="J21779">
        <v>8</v>
      </c>
    </row>
    <row r="21780" spans="1:10" x14ac:dyDescent="0.25">
      <c r="A21780" t="s">
        <v>235</v>
      </c>
      <c r="B21780" s="1" t="str">
        <f>HYPERLINK("http://keycom.co.uk","keycom.co.uk")</f>
        <v>keycom.co.uk</v>
      </c>
      <c r="C21780" t="s">
        <v>506</v>
      </c>
      <c r="D21780" t="s">
        <v>880</v>
      </c>
      <c r="E21780">
        <v>424193</v>
      </c>
      <c r="F21780">
        <v>1.1175964633674201E-8</v>
      </c>
      <c r="G21780">
        <v>5729850</v>
      </c>
      <c r="H21780">
        <v>12747155</v>
      </c>
      <c r="I21780">
        <v>15068243</v>
      </c>
      <c r="J21780">
        <v>8</v>
      </c>
    </row>
    <row r="21781" spans="1:10" x14ac:dyDescent="0.25">
      <c r="A21781" t="s">
        <v>235</v>
      </c>
      <c r="B21781" s="1" t="str">
        <f>HYPERLINK("http://ldc.co.uk","ldc.co.uk")</f>
        <v>ldc.co.uk</v>
      </c>
      <c r="C21781" t="s">
        <v>506</v>
      </c>
      <c r="D21781" t="s">
        <v>880</v>
      </c>
      <c r="E21781">
        <v>851273</v>
      </c>
      <c r="F21781">
        <v>7.6214738513293298E-8</v>
      </c>
      <c r="G21781">
        <v>550974</v>
      </c>
      <c r="H21781">
        <v>14182471</v>
      </c>
      <c r="I21781">
        <v>1776912</v>
      </c>
      <c r="J21781">
        <v>4</v>
      </c>
    </row>
    <row r="21782" spans="1:10" x14ac:dyDescent="0.25">
      <c r="A21782" t="s">
        <v>235</v>
      </c>
      <c r="B21782" s="1" t="str">
        <f>HYPERLINK("http://ldclandscape.co.uk","ldclandscape.co.uk")</f>
        <v>ldclandscape.co.uk</v>
      </c>
      <c r="C21782" t="s">
        <v>506</v>
      </c>
      <c r="D21782" t="s">
        <v>880</v>
      </c>
      <c r="F21782">
        <v>4.6346057218242901E-9</v>
      </c>
      <c r="G21782">
        <v>45119556</v>
      </c>
      <c r="H21782">
        <v>12447269</v>
      </c>
      <c r="I21782">
        <v>18060759</v>
      </c>
      <c r="J21782">
        <v>3</v>
      </c>
    </row>
    <row r="21783" spans="1:10" x14ac:dyDescent="0.25">
      <c r="A21783" t="s">
        <v>235</v>
      </c>
      <c r="B21783" s="1" t="str">
        <f>HYPERLINK("http://leafish.co.uk","leafish.co.uk")</f>
        <v>leafish.co.uk</v>
      </c>
      <c r="C21783" t="s">
        <v>506</v>
      </c>
      <c r="D21783" t="s">
        <v>880</v>
      </c>
      <c r="J21783">
        <v>12</v>
      </c>
    </row>
    <row r="21784" spans="1:10" x14ac:dyDescent="0.25">
      <c r="A21784" t="s">
        <v>235</v>
      </c>
      <c r="B21784" s="1" t="str">
        <f>HYPERLINK("http://lex.co.uk","lex.co.uk")</f>
        <v>lex.co.uk</v>
      </c>
      <c r="C21784" t="s">
        <v>506</v>
      </c>
      <c r="D21784" t="s">
        <v>880</v>
      </c>
      <c r="F21784">
        <v>4.5670847541654402E-9</v>
      </c>
      <c r="G21784">
        <v>50456469</v>
      </c>
      <c r="H21784">
        <v>10802017</v>
      </c>
      <c r="I21784">
        <v>38101231</v>
      </c>
      <c r="J21784">
        <v>4</v>
      </c>
    </row>
    <row r="21785" spans="1:10" x14ac:dyDescent="0.25">
      <c r="A21785" t="s">
        <v>235</v>
      </c>
      <c r="B21785" s="1" t="str">
        <f>HYPERLINK("http://linleyandsimpson.co.uk","linleyandsimpson.co.uk")</f>
        <v>linleyandsimpson.co.uk</v>
      </c>
      <c r="C21785" t="s">
        <v>506</v>
      </c>
      <c r="D21785" t="s">
        <v>880</v>
      </c>
      <c r="F21785">
        <v>1.28805217673156E-8</v>
      </c>
      <c r="G21785">
        <v>4688787</v>
      </c>
      <c r="H21785">
        <v>13057955</v>
      </c>
      <c r="I21785">
        <v>12549813</v>
      </c>
      <c r="J21785">
        <v>8</v>
      </c>
    </row>
    <row r="21786" spans="1:10" x14ac:dyDescent="0.25">
      <c r="A21786" t="s">
        <v>235</v>
      </c>
      <c r="B21786" s="1" t="str">
        <f>HYPERLINK("http://lloydsbank.co.uk","lloydsbank.co.uk")</f>
        <v>lloydsbank.co.uk</v>
      </c>
      <c r="C21786" t="s">
        <v>506</v>
      </c>
      <c r="D21786" t="s">
        <v>880</v>
      </c>
      <c r="E21786">
        <v>10133</v>
      </c>
      <c r="F21786">
        <v>2.4032632055905299E-8</v>
      </c>
      <c r="G21786">
        <v>2159785</v>
      </c>
      <c r="H21786">
        <v>13970420</v>
      </c>
      <c r="I21786">
        <v>4075889</v>
      </c>
      <c r="J21786">
        <v>4</v>
      </c>
    </row>
    <row r="21787" spans="1:10" x14ac:dyDescent="0.25">
      <c r="A21787" t="s">
        <v>235</v>
      </c>
      <c r="B21787" s="1" t="str">
        <f>HYPERLINK("http://lloydsbankacademy.co.uk","lloydsbankacademy.co.uk")</f>
        <v>lloydsbankacademy.co.uk</v>
      </c>
      <c r="C21787" t="s">
        <v>506</v>
      </c>
      <c r="D21787" t="s">
        <v>880</v>
      </c>
      <c r="F21787">
        <v>3.6806534888749099E-8</v>
      </c>
      <c r="G21787">
        <v>1420395</v>
      </c>
      <c r="H21787">
        <v>13343121</v>
      </c>
      <c r="I21787">
        <v>10662838</v>
      </c>
      <c r="J21787">
        <v>3</v>
      </c>
    </row>
    <row r="21788" spans="1:10" x14ac:dyDescent="0.25">
      <c r="A21788" t="s">
        <v>235</v>
      </c>
      <c r="B21788" s="1" t="str">
        <f>HYPERLINK("http://lloydsbankcommercialfinance.co.uk","lloydsbankcommercialfinance.co.uk")</f>
        <v>lloydsbankcommercialfinance.co.uk</v>
      </c>
      <c r="C21788" t="s">
        <v>506</v>
      </c>
      <c r="D21788" t="s">
        <v>880</v>
      </c>
      <c r="F21788">
        <v>9.2993489249154194E-9</v>
      </c>
      <c r="G21788">
        <v>7573367</v>
      </c>
      <c r="H21788">
        <v>12505599</v>
      </c>
      <c r="I21788">
        <v>17288842</v>
      </c>
      <c r="J21788">
        <v>3</v>
      </c>
    </row>
    <row r="21789" spans="1:10" x14ac:dyDescent="0.25">
      <c r="A21789" t="s">
        <v>235</v>
      </c>
      <c r="B21789" s="1" t="str">
        <f>HYPERLINK("http://mba.co.uk","mba.co.uk")</f>
        <v>mba.co.uk</v>
      </c>
      <c r="C21789" t="s">
        <v>506</v>
      </c>
      <c r="D21789" t="s">
        <v>880</v>
      </c>
      <c r="F21789">
        <v>9.9699343666728798E-9</v>
      </c>
      <c r="G21789">
        <v>6785771</v>
      </c>
      <c r="H21789">
        <v>13953333</v>
      </c>
      <c r="I21789">
        <v>4151094</v>
      </c>
      <c r="J21789">
        <v>10</v>
      </c>
    </row>
    <row r="21790" spans="1:10" x14ac:dyDescent="0.25">
      <c r="A21790" t="s">
        <v>235</v>
      </c>
      <c r="B21790" s="1" t="str">
        <f>HYPERLINK("http://mbna.co.uk","mbna.co.uk")</f>
        <v>mbna.co.uk</v>
      </c>
      <c r="C21790" t="s">
        <v>506</v>
      </c>
      <c r="D21790" t="s">
        <v>880</v>
      </c>
      <c r="E21790">
        <v>86215</v>
      </c>
      <c r="F21790">
        <v>1.17085842495661E-7</v>
      </c>
      <c r="G21790">
        <v>339451</v>
      </c>
      <c r="H21790">
        <v>16891964</v>
      </c>
      <c r="I21790">
        <v>134754</v>
      </c>
      <c r="J21790">
        <v>4</v>
      </c>
    </row>
    <row r="21791" spans="1:10" x14ac:dyDescent="0.25">
      <c r="A21791" t="s">
        <v>235</v>
      </c>
      <c r="B21791" s="1" t="str">
        <f>HYPERLINK("http://minicam.co.uk","minicam.co.uk")</f>
        <v>minicam.co.uk</v>
      </c>
      <c r="C21791" t="s">
        <v>506</v>
      </c>
      <c r="D21791" t="s">
        <v>880</v>
      </c>
      <c r="F21791">
        <v>1.02608428327122E-8</v>
      </c>
      <c r="G21791">
        <v>6488263</v>
      </c>
      <c r="H21791">
        <v>12869721</v>
      </c>
      <c r="I21791">
        <v>14077523</v>
      </c>
      <c r="J21791">
        <v>9</v>
      </c>
    </row>
    <row r="21792" spans="1:10" x14ac:dyDescent="0.25">
      <c r="A21792" t="s">
        <v>235</v>
      </c>
      <c r="B21792" s="1" t="str">
        <f>HYPERLINK("http://mosaic-fs.co.uk","mosaic-fs.co.uk")</f>
        <v>mosaic-fs.co.uk</v>
      </c>
      <c r="C21792" t="s">
        <v>506</v>
      </c>
      <c r="D21792" t="s">
        <v>880</v>
      </c>
      <c r="F21792">
        <v>5.5649845599818901E-9</v>
      </c>
      <c r="G21792">
        <v>20226028</v>
      </c>
      <c r="H21792">
        <v>11143273</v>
      </c>
      <c r="I21792">
        <v>31805213</v>
      </c>
      <c r="J21792">
        <v>10</v>
      </c>
    </row>
    <row r="21793" spans="1:10" x14ac:dyDescent="0.25">
      <c r="A21793" t="s">
        <v>235</v>
      </c>
      <c r="B21793" s="1" t="str">
        <f>HYPERLINK("http://motability.co.uk","motability.co.uk")</f>
        <v>motability.co.uk</v>
      </c>
      <c r="C21793" t="s">
        <v>506</v>
      </c>
      <c r="D21793" t="s">
        <v>880</v>
      </c>
      <c r="E21793">
        <v>139042</v>
      </c>
      <c r="F21793">
        <v>1.6960097524306301E-7</v>
      </c>
      <c r="G21793">
        <v>228733</v>
      </c>
      <c r="H21793">
        <v>14306304</v>
      </c>
      <c r="I21793">
        <v>1350147</v>
      </c>
      <c r="J21793">
        <v>8</v>
      </c>
    </row>
    <row r="21794" spans="1:10" x14ac:dyDescent="0.25">
      <c r="A21794" t="s">
        <v>235</v>
      </c>
      <c r="B21794" s="1" t="str">
        <f>HYPERLINK("http://motabilityoperations.co.uk","motabilityoperations.co.uk")</f>
        <v>motabilityoperations.co.uk</v>
      </c>
      <c r="C21794" t="s">
        <v>506</v>
      </c>
      <c r="D21794" t="s">
        <v>880</v>
      </c>
      <c r="E21794">
        <v>406086</v>
      </c>
      <c r="F21794">
        <v>4.09667625625087E-8</v>
      </c>
      <c r="G21794">
        <v>1266275</v>
      </c>
      <c r="H21794">
        <v>13773180</v>
      </c>
      <c r="I21794">
        <v>6638328</v>
      </c>
      <c r="J21794">
        <v>5</v>
      </c>
    </row>
    <row r="21795" spans="1:10" x14ac:dyDescent="0.25">
      <c r="A21795" t="s">
        <v>235</v>
      </c>
      <c r="B21795" s="1" t="str">
        <f>HYPERLINK("http://nationwide.co.uk","nationwide.co.uk")</f>
        <v>nationwide.co.uk</v>
      </c>
      <c r="C21795" t="s">
        <v>506</v>
      </c>
      <c r="D21795" t="s">
        <v>880</v>
      </c>
      <c r="E21795">
        <v>17896</v>
      </c>
      <c r="F21795">
        <v>1.20814361475872E-6</v>
      </c>
      <c r="G21795">
        <v>32218</v>
      </c>
      <c r="H21795">
        <v>17297776</v>
      </c>
      <c r="I21795">
        <v>28148</v>
      </c>
      <c r="J21795">
        <v>7</v>
      </c>
    </row>
    <row r="21796" spans="1:10" x14ac:dyDescent="0.25">
      <c r="A21796" t="s">
        <v>235</v>
      </c>
      <c r="B21796" s="1" t="str">
        <f>HYPERLINK("http://nationwidebranches.co.uk","nationwidebranches.co.uk")</f>
        <v>nationwidebranches.co.uk</v>
      </c>
      <c r="C21796" t="s">
        <v>506</v>
      </c>
      <c r="D21796" t="s">
        <v>880</v>
      </c>
      <c r="F21796">
        <v>3.0871912931828799E-8</v>
      </c>
      <c r="G21796">
        <v>1668724</v>
      </c>
      <c r="H21796">
        <v>13245250</v>
      </c>
      <c r="I21796">
        <v>11147767</v>
      </c>
      <c r="J21796">
        <v>8</v>
      </c>
    </row>
    <row r="21797" spans="1:10" x14ac:dyDescent="0.25">
      <c r="A21797" t="s">
        <v>235</v>
      </c>
      <c r="B21797" s="1" t="str">
        <f>HYPERLINK("http://neilson.co.uk","neilson.co.uk")</f>
        <v>neilson.co.uk</v>
      </c>
      <c r="C21797" t="s">
        <v>506</v>
      </c>
      <c r="D21797" t="s">
        <v>880</v>
      </c>
      <c r="E21797">
        <v>411904</v>
      </c>
      <c r="F21797">
        <v>5.7221054650431998E-8</v>
      </c>
      <c r="G21797">
        <v>779783</v>
      </c>
      <c r="H21797">
        <v>14420407</v>
      </c>
      <c r="I21797">
        <v>1089597</v>
      </c>
      <c r="J21797">
        <v>9</v>
      </c>
    </row>
    <row r="21798" spans="1:10" x14ac:dyDescent="0.25">
      <c r="A21798" t="s">
        <v>235</v>
      </c>
      <c r="B21798" s="1" t="str">
        <f>HYPERLINK("http://ninegroup.co.uk","ninegroup.co.uk")</f>
        <v>ninegroup.co.uk</v>
      </c>
      <c r="C21798" t="s">
        <v>506</v>
      </c>
      <c r="D21798" t="s">
        <v>880</v>
      </c>
      <c r="F21798">
        <v>4.9568961257203003E-9</v>
      </c>
      <c r="G21798">
        <v>30595775</v>
      </c>
      <c r="H21798">
        <v>10600650</v>
      </c>
      <c r="I21798">
        <v>44877924</v>
      </c>
      <c r="J21798">
        <v>15</v>
      </c>
    </row>
    <row r="21799" spans="1:10" x14ac:dyDescent="0.25">
      <c r="A21799" t="s">
        <v>235</v>
      </c>
      <c r="B21799" s="1" t="str">
        <f>HYPERLINK("http://ninetelecom.co.uk","ninetelecom.co.uk")</f>
        <v>ninetelecom.co.uk</v>
      </c>
      <c r="C21799" t="s">
        <v>506</v>
      </c>
      <c r="D21799" t="s">
        <v>880</v>
      </c>
      <c r="F21799">
        <v>5.4785082083792099E-9</v>
      </c>
      <c r="G21799">
        <v>21144773</v>
      </c>
      <c r="H21799">
        <v>12232582</v>
      </c>
      <c r="I21799">
        <v>22434933</v>
      </c>
      <c r="J21799">
        <v>16</v>
      </c>
    </row>
    <row r="21800" spans="1:10" x14ac:dyDescent="0.25">
      <c r="A21800" t="s">
        <v>235</v>
      </c>
      <c r="B21800" s="1" t="str">
        <f>HYPERLINK("http://octagon.co.uk","octagon.co.uk")</f>
        <v>octagon.co.uk</v>
      </c>
      <c r="C21800" t="s">
        <v>506</v>
      </c>
      <c r="D21800" t="s">
        <v>880</v>
      </c>
      <c r="F21800">
        <v>9.7006629413975098E-9</v>
      </c>
      <c r="G21800">
        <v>7079715</v>
      </c>
      <c r="H21800">
        <v>14373394</v>
      </c>
      <c r="I21800">
        <v>1282423</v>
      </c>
      <c r="J21800">
        <v>7</v>
      </c>
    </row>
    <row r="21801" spans="1:10" x14ac:dyDescent="0.25">
      <c r="A21801" t="s">
        <v>235</v>
      </c>
      <c r="B21801" s="1" t="str">
        <f>HYPERLINK("http://octdev.co.uk","octdev.co.uk")</f>
        <v>octdev.co.uk</v>
      </c>
      <c r="C21801" t="s">
        <v>506</v>
      </c>
      <c r="D21801" t="s">
        <v>880</v>
      </c>
      <c r="F21801">
        <v>4.4573856469312198E-9</v>
      </c>
      <c r="G21801">
        <v>68612339</v>
      </c>
      <c r="H21801">
        <v>9871132</v>
      </c>
      <c r="I21801">
        <v>61966474</v>
      </c>
      <c r="J21801">
        <v>8</v>
      </c>
    </row>
    <row r="21802" spans="1:10" x14ac:dyDescent="0.25">
      <c r="A21802" t="s">
        <v>235</v>
      </c>
      <c r="B21802" s="1" t="str">
        <f>HYPERLINK("http://olive.co.uk","olive.co.uk")</f>
        <v>olive.co.uk</v>
      </c>
      <c r="C21802" t="s">
        <v>506</v>
      </c>
      <c r="D21802" t="s">
        <v>880</v>
      </c>
      <c r="F21802">
        <v>1.92118579066243E-8</v>
      </c>
      <c r="G21802">
        <v>2796758</v>
      </c>
      <c r="H21802">
        <v>13369441</v>
      </c>
      <c r="I21802">
        <v>10470443</v>
      </c>
      <c r="J21802">
        <v>11</v>
      </c>
    </row>
    <row r="21803" spans="1:10" x14ac:dyDescent="0.25">
      <c r="A21803" t="s">
        <v>235</v>
      </c>
      <c r="B21803" s="1" t="str">
        <f>HYPERLINK("http://onecom.co.uk","onecom.co.uk")</f>
        <v>onecom.co.uk</v>
      </c>
      <c r="C21803" t="s">
        <v>506</v>
      </c>
      <c r="D21803" t="s">
        <v>880</v>
      </c>
      <c r="F21803">
        <v>3.02797350591025E-8</v>
      </c>
      <c r="G21803">
        <v>1699861</v>
      </c>
      <c r="H21803">
        <v>13212374</v>
      </c>
      <c r="I21803">
        <v>11396329</v>
      </c>
      <c r="J21803">
        <v>8</v>
      </c>
    </row>
    <row r="21804" spans="1:10" x14ac:dyDescent="0.25">
      <c r="A21804" t="s">
        <v>235</v>
      </c>
      <c r="B21804" s="1" t="str">
        <f>HYPERLINK("http://pamgroup.co.uk","pamgroup.co.uk")</f>
        <v>pamgroup.co.uk</v>
      </c>
      <c r="C21804" t="s">
        <v>506</v>
      </c>
      <c r="D21804" t="s">
        <v>880</v>
      </c>
      <c r="F21804">
        <v>1.1551091662439799E-8</v>
      </c>
      <c r="G21804">
        <v>5467823</v>
      </c>
      <c r="H21804">
        <v>12706250</v>
      </c>
      <c r="I21804">
        <v>15322117</v>
      </c>
      <c r="J21804">
        <v>8</v>
      </c>
    </row>
    <row r="21805" spans="1:10" x14ac:dyDescent="0.25">
      <c r="A21805" t="s">
        <v>235</v>
      </c>
      <c r="B21805" s="1" t="str">
        <f>HYPERLINK("http://parkwaytelecom.co.uk","parkwaytelecom.co.uk")</f>
        <v>parkwaytelecom.co.uk</v>
      </c>
      <c r="C21805" t="s">
        <v>506</v>
      </c>
      <c r="D21805" t="s">
        <v>880</v>
      </c>
      <c r="F21805">
        <v>4.4601777767329102E-9</v>
      </c>
      <c r="G21805">
        <v>67701333</v>
      </c>
      <c r="H21805">
        <v>10966273</v>
      </c>
      <c r="I21805">
        <v>34218246</v>
      </c>
      <c r="J21805">
        <v>11</v>
      </c>
    </row>
    <row r="21806" spans="1:10" x14ac:dyDescent="0.25">
      <c r="A21806" t="s">
        <v>235</v>
      </c>
      <c r="B21806" s="1" t="str">
        <f>HYPERLINK("http://pfgl.co.uk","pfgl.co.uk")</f>
        <v>pfgl.co.uk</v>
      </c>
      <c r="C21806" t="s">
        <v>506</v>
      </c>
      <c r="D21806" t="s">
        <v>880</v>
      </c>
      <c r="F21806">
        <v>1.04178304343787E-8</v>
      </c>
      <c r="G21806">
        <v>6342703</v>
      </c>
      <c r="H21806">
        <v>12242078</v>
      </c>
      <c r="I21806">
        <v>22194093</v>
      </c>
      <c r="J21806">
        <v>13</v>
      </c>
    </row>
    <row r="21807" spans="1:10" x14ac:dyDescent="0.25">
      <c r="A21807" t="s">
        <v>235</v>
      </c>
      <c r="B21807" s="1" t="str">
        <f>HYPERLINK("http://ramcotubular.co.uk","ramcotubular.co.uk")</f>
        <v>ramcotubular.co.uk</v>
      </c>
      <c r="C21807" t="s">
        <v>506</v>
      </c>
      <c r="D21807" t="s">
        <v>880</v>
      </c>
      <c r="F21807">
        <v>4.5016713700488602E-9</v>
      </c>
      <c r="G21807">
        <v>58703341</v>
      </c>
      <c r="H21807">
        <v>8587098</v>
      </c>
      <c r="I21807">
        <v>70896605</v>
      </c>
      <c r="J21807">
        <v>8</v>
      </c>
    </row>
    <row r="21808" spans="1:10" x14ac:dyDescent="0.25">
      <c r="A21808" t="s">
        <v>235</v>
      </c>
      <c r="B21808" s="1" t="str">
        <f>HYPERLINK("http://rcib.co.uk","rcib.co.uk")</f>
        <v>rcib.co.uk</v>
      </c>
      <c r="C21808" t="s">
        <v>506</v>
      </c>
      <c r="D21808" t="s">
        <v>880</v>
      </c>
      <c r="F21808">
        <v>1.3850037400707801E-8</v>
      </c>
      <c r="G21808">
        <v>4260512</v>
      </c>
      <c r="H21808">
        <v>13671905</v>
      </c>
      <c r="I21808">
        <v>9545399</v>
      </c>
      <c r="J21808">
        <v>6</v>
      </c>
    </row>
    <row r="21809" spans="1:10" x14ac:dyDescent="0.25">
      <c r="A21809" t="s">
        <v>235</v>
      </c>
      <c r="B21809" s="1" t="str">
        <f>HYPERLINK("http://savanti.co.uk","savanti.co.uk")</f>
        <v>savanti.co.uk</v>
      </c>
      <c r="C21809" t="s">
        <v>506</v>
      </c>
      <c r="D21809" t="s">
        <v>880</v>
      </c>
      <c r="F21809">
        <v>1.0311671744768601E-8</v>
      </c>
      <c r="G21809">
        <v>6440038</v>
      </c>
      <c r="H21809">
        <v>13335031</v>
      </c>
      <c r="I21809">
        <v>10691677</v>
      </c>
      <c r="J21809">
        <v>9</v>
      </c>
    </row>
    <row r="21810" spans="1:10" x14ac:dyDescent="0.25">
      <c r="A21810" t="s">
        <v>235</v>
      </c>
      <c r="B21810" s="1" t="str">
        <f>HYPERLINK("http://schroderspw.co.uk","schroderspw.co.uk")</f>
        <v>schroderspw.co.uk</v>
      </c>
      <c r="C21810" t="s">
        <v>506</v>
      </c>
      <c r="D21810" t="s">
        <v>880</v>
      </c>
      <c r="F21810">
        <v>1.1267233900659199E-8</v>
      </c>
      <c r="G21810">
        <v>5665267</v>
      </c>
      <c r="H21810">
        <v>12256608</v>
      </c>
      <c r="I21810">
        <v>21856378</v>
      </c>
      <c r="J21810">
        <v>4</v>
      </c>
    </row>
    <row r="21811" spans="1:10" x14ac:dyDescent="0.25">
      <c r="A21811" t="s">
        <v>235</v>
      </c>
      <c r="B21811" s="1" t="str">
        <f>HYPERLINK("http://scottishwidows.co.uk","scottishwidows.co.uk")</f>
        <v>scottishwidows.co.uk</v>
      </c>
      <c r="C21811" t="s">
        <v>506</v>
      </c>
      <c r="D21811" t="s">
        <v>880</v>
      </c>
      <c r="E21811">
        <v>94646</v>
      </c>
      <c r="F21811">
        <v>1.3469033767279401E-7</v>
      </c>
      <c r="G21811">
        <v>289814</v>
      </c>
      <c r="H21811">
        <v>14524428</v>
      </c>
      <c r="I21811">
        <v>797385</v>
      </c>
      <c r="J21811">
        <v>3</v>
      </c>
    </row>
    <row r="21812" spans="1:10" x14ac:dyDescent="0.25">
      <c r="A21812" t="s">
        <v>235</v>
      </c>
      <c r="B21812" s="1" t="str">
        <f>HYPERLINK("http://smartteachers.co.uk","smartteachers.co.uk")</f>
        <v>smartteachers.co.uk</v>
      </c>
      <c r="C21812" t="s">
        <v>506</v>
      </c>
      <c r="D21812" t="s">
        <v>880</v>
      </c>
      <c r="F21812">
        <v>6.5706221283129399E-9</v>
      </c>
      <c r="G21812">
        <v>13791481</v>
      </c>
      <c r="H21812">
        <v>12952252</v>
      </c>
      <c r="I21812">
        <v>13200908</v>
      </c>
      <c r="J21812">
        <v>7</v>
      </c>
    </row>
    <row r="21813" spans="1:10" x14ac:dyDescent="0.25">
      <c r="A21813" t="s">
        <v>235</v>
      </c>
      <c r="B21813" s="1" t="str">
        <f>HYPERLINK("http://spearheadturf.co.uk","spearheadturf.co.uk")</f>
        <v>spearheadturf.co.uk</v>
      </c>
      <c r="C21813" t="s">
        <v>506</v>
      </c>
      <c r="D21813" t="s">
        <v>880</v>
      </c>
      <c r="F21813">
        <v>4.4729717618791001E-9</v>
      </c>
      <c r="G21813">
        <v>63854706</v>
      </c>
      <c r="H21813">
        <v>12421060</v>
      </c>
      <c r="I21813">
        <v>18434509</v>
      </c>
      <c r="J21813">
        <v>17</v>
      </c>
    </row>
    <row r="21814" spans="1:10" x14ac:dyDescent="0.25">
      <c r="A21814" t="s">
        <v>235</v>
      </c>
      <c r="B21814" s="1" t="str">
        <f>HYPERLINK("http://stmarkhomes.co.uk","stmarkhomes.co.uk")</f>
        <v>stmarkhomes.co.uk</v>
      </c>
      <c r="C21814" t="s">
        <v>506</v>
      </c>
      <c r="D21814" t="s">
        <v>880</v>
      </c>
      <c r="F21814">
        <v>4.9083139231277499E-9</v>
      </c>
      <c r="G21814">
        <v>32225314</v>
      </c>
      <c r="H21814">
        <v>12820986</v>
      </c>
      <c r="I21814">
        <v>14501642</v>
      </c>
      <c r="J21814">
        <v>10</v>
      </c>
    </row>
    <row r="21815" spans="1:10" x14ac:dyDescent="0.25">
      <c r="A21815" t="s">
        <v>235</v>
      </c>
      <c r="B21815" s="1" t="str">
        <f>HYPERLINK("http://themortgageworks.co.uk","themortgageworks.co.uk")</f>
        <v>themortgageworks.co.uk</v>
      </c>
      <c r="C21815" t="s">
        <v>506</v>
      </c>
      <c r="D21815" t="s">
        <v>880</v>
      </c>
      <c r="E21815">
        <v>830621</v>
      </c>
      <c r="F21815">
        <v>1.2764479725701101E-8</v>
      </c>
      <c r="G21815">
        <v>4747227</v>
      </c>
      <c r="H21815">
        <v>13763910</v>
      </c>
      <c r="I21815">
        <v>7501630</v>
      </c>
      <c r="J21815">
        <v>8</v>
      </c>
    </row>
    <row r="21816" spans="1:10" x14ac:dyDescent="0.25">
      <c r="A21816" t="s">
        <v>235</v>
      </c>
      <c r="B21816" s="1" t="str">
        <f>HYPERLINK("http://tmwdirect.co.uk","tmwdirect.co.uk")</f>
        <v>tmwdirect.co.uk</v>
      </c>
      <c r="C21816" t="s">
        <v>506</v>
      </c>
      <c r="D21816" t="s">
        <v>880</v>
      </c>
      <c r="F21816">
        <v>4.69919779030898E-9</v>
      </c>
      <c r="G21816">
        <v>41286234</v>
      </c>
      <c r="H21816">
        <v>12266297</v>
      </c>
      <c r="I21816">
        <v>21611176</v>
      </c>
      <c r="J21816">
        <v>11</v>
      </c>
    </row>
    <row r="21817" spans="1:10" x14ac:dyDescent="0.25">
      <c r="A21817" t="s">
        <v>235</v>
      </c>
      <c r="B21817" s="1" t="str">
        <f>HYPERLINK("http://visionforeducation.co.uk","visionforeducation.co.uk")</f>
        <v>visionforeducation.co.uk</v>
      </c>
      <c r="C21817" t="s">
        <v>506</v>
      </c>
      <c r="D21817" t="s">
        <v>880</v>
      </c>
      <c r="F21817">
        <v>6.8798617289859199E-9</v>
      </c>
      <c r="G21817">
        <v>12697230</v>
      </c>
      <c r="H21817">
        <v>12927426</v>
      </c>
      <c r="I21817">
        <v>13381210</v>
      </c>
      <c r="J21817">
        <v>7</v>
      </c>
    </row>
    <row r="21818" spans="1:10" x14ac:dyDescent="0.25">
      <c r="A21818" t="s">
        <v>235</v>
      </c>
      <c r="B21818" s="1" t="str">
        <f>HYPERLINK("http://wcctv.co.uk","wcctv.co.uk")</f>
        <v>wcctv.co.uk</v>
      </c>
      <c r="C21818" t="s">
        <v>506</v>
      </c>
      <c r="D21818" t="s">
        <v>880</v>
      </c>
      <c r="F21818">
        <v>4.2110592537939099E-8</v>
      </c>
      <c r="G21818">
        <v>1160443</v>
      </c>
      <c r="H21818">
        <v>14584387</v>
      </c>
      <c r="I21818">
        <v>703133</v>
      </c>
      <c r="J21818">
        <v>3</v>
      </c>
    </row>
    <row r="21819" spans="1:10" x14ac:dyDescent="0.25">
      <c r="A21819" t="s">
        <v>235</v>
      </c>
      <c r="B21819" s="1" t="str">
        <f>HYPERLINK("http://wifinity.co.uk","wifinity.co.uk")</f>
        <v>wifinity.co.uk</v>
      </c>
      <c r="C21819" t="s">
        <v>506</v>
      </c>
      <c r="D21819" t="s">
        <v>880</v>
      </c>
      <c r="F21819">
        <v>2.5786916762328102E-8</v>
      </c>
      <c r="G21819">
        <v>1998937</v>
      </c>
      <c r="H21819">
        <v>12903769</v>
      </c>
      <c r="I21819">
        <v>13835911</v>
      </c>
      <c r="J21819">
        <v>5</v>
      </c>
    </row>
    <row r="21820" spans="1:10" x14ac:dyDescent="0.25">
      <c r="A21820" t="s">
        <v>235</v>
      </c>
      <c r="B21820" s="1" t="str">
        <f>HYPERLINK("http://wishcommunications.co.uk","wishcommunications.co.uk")</f>
        <v>wishcommunications.co.uk</v>
      </c>
      <c r="C21820" t="s">
        <v>506</v>
      </c>
      <c r="D21820" t="s">
        <v>880</v>
      </c>
      <c r="F21820">
        <v>4.4438540453065902E-9</v>
      </c>
      <c r="G21820">
        <v>78350622</v>
      </c>
      <c r="H21820">
        <v>10472143</v>
      </c>
      <c r="I21820">
        <v>51227567</v>
      </c>
      <c r="J21820">
        <v>12</v>
      </c>
    </row>
    <row r="21821" spans="1:10" x14ac:dyDescent="0.25">
      <c r="A21821" t="s">
        <v>235</v>
      </c>
      <c r="B21821" s="1" t="str">
        <f>HYPERLINK("http://fluency.net.uk","fluency.net.uk")</f>
        <v>fluency.net.uk</v>
      </c>
      <c r="C21821" t="s">
        <v>506</v>
      </c>
      <c r="D21821" t="s">
        <v>880</v>
      </c>
      <c r="E21821">
        <v>67340</v>
      </c>
      <c r="F21821">
        <v>1.29165252932244E-8</v>
      </c>
      <c r="G21821">
        <v>4671581</v>
      </c>
      <c r="H21821">
        <v>12979066</v>
      </c>
      <c r="I21821">
        <v>12996956</v>
      </c>
      <c r="J21821">
        <v>9</v>
      </c>
    </row>
    <row r="21822" spans="1:10" x14ac:dyDescent="0.25">
      <c r="A21822" t="s">
        <v>235</v>
      </c>
      <c r="B21822" s="1" t="str">
        <f>HYPERLINK("http://lloydsbankfoundation.org.uk","lloydsbankfoundation.org.uk")</f>
        <v>lloydsbankfoundation.org.uk</v>
      </c>
      <c r="C21822" t="s">
        <v>506</v>
      </c>
      <c r="D21822" t="s">
        <v>880</v>
      </c>
      <c r="E21822">
        <v>927697</v>
      </c>
      <c r="F21822">
        <v>1.31736063686557E-7</v>
      </c>
      <c r="G21822">
        <v>296750</v>
      </c>
      <c r="H21822">
        <v>14287654</v>
      </c>
      <c r="I21822">
        <v>1369360</v>
      </c>
      <c r="J21822">
        <v>3</v>
      </c>
    </row>
    <row r="21823" spans="1:10" x14ac:dyDescent="0.25">
      <c r="A21823" t="s">
        <v>235</v>
      </c>
      <c r="B21823" s="1" t="str">
        <f>HYPERLINK("http://motability.org.uk","motability.org.uk")</f>
        <v>motability.org.uk</v>
      </c>
      <c r="C21823" t="s">
        <v>506</v>
      </c>
      <c r="D21823" t="s">
        <v>880</v>
      </c>
      <c r="F21823">
        <v>5.0985423545541399E-8</v>
      </c>
      <c r="G21823">
        <v>899182</v>
      </c>
      <c r="H21823">
        <v>14006467</v>
      </c>
      <c r="I21823">
        <v>4005265</v>
      </c>
      <c r="J21823">
        <v>9</v>
      </c>
    </row>
    <row r="21824" spans="1:10" x14ac:dyDescent="0.25">
      <c r="A21824" t="s">
        <v>235</v>
      </c>
      <c r="B21824" s="1" t="str">
        <f>HYPERLINK("http://multiplex.org.uk","multiplex.org.uk")</f>
        <v>multiplex.org.uk</v>
      </c>
      <c r="C21824" t="s">
        <v>506</v>
      </c>
      <c r="D21824" t="s">
        <v>880</v>
      </c>
      <c r="F21824">
        <v>4.4446123583878397E-9</v>
      </c>
      <c r="G21824">
        <v>76421787</v>
      </c>
      <c r="H21824">
        <v>7960549</v>
      </c>
      <c r="I21824">
        <v>75301785</v>
      </c>
      <c r="J21824">
        <v>14</v>
      </c>
    </row>
    <row r="21825" spans="1:10" x14ac:dyDescent="0.25">
      <c r="A21825" t="s">
        <v>235</v>
      </c>
      <c r="B21825" s="1" t="str">
        <f>HYPERLINK("http://minicam.us","minicam.us")</f>
        <v>minicam.us</v>
      </c>
      <c r="C21825" t="s">
        <v>522</v>
      </c>
      <c r="D21825" t="s">
        <v>891</v>
      </c>
      <c r="F21825">
        <v>5.3919995710716298E-9</v>
      </c>
      <c r="G21825">
        <v>22220619</v>
      </c>
      <c r="H21825">
        <v>13273883</v>
      </c>
      <c r="I21825">
        <v>10940515</v>
      </c>
      <c r="J21825">
        <v>10</v>
      </c>
    </row>
    <row r="21826" spans="1:10" x14ac:dyDescent="0.25">
      <c r="A21826" t="s">
        <v>236</v>
      </c>
      <c r="B21826" s="1" t="str">
        <f>HYPERLINK("http://lockheedmartin.com.au","lockheedmartin.com.au")</f>
        <v>lockheedmartin.com.au</v>
      </c>
      <c r="C21826" t="s">
        <v>420</v>
      </c>
      <c r="D21826" t="s">
        <v>802</v>
      </c>
      <c r="F21826">
        <v>2.9755141003589301E-8</v>
      </c>
      <c r="G21826">
        <v>1729605</v>
      </c>
      <c r="H21826">
        <v>14827660</v>
      </c>
      <c r="I21826">
        <v>508661</v>
      </c>
      <c r="J21826">
        <v>2</v>
      </c>
    </row>
    <row r="21827" spans="1:10" x14ac:dyDescent="0.25">
      <c r="A21827" t="s">
        <v>236</v>
      </c>
      <c r="B21827" s="1" t="str">
        <f>HYPERLINK("http://lockheedmartin.ca","lockheedmartin.ca")</f>
        <v>lockheedmartin.ca</v>
      </c>
      <c r="C21827" t="s">
        <v>428</v>
      </c>
      <c r="D21827" t="s">
        <v>809</v>
      </c>
      <c r="F21827">
        <v>4.8794242804680298E-8</v>
      </c>
      <c r="G21827">
        <v>949867</v>
      </c>
      <c r="H21827">
        <v>14828434</v>
      </c>
      <c r="I21827">
        <v>507859</v>
      </c>
      <c r="J21827">
        <v>2</v>
      </c>
    </row>
    <row r="21828" spans="1:10" x14ac:dyDescent="0.25">
      <c r="A21828" t="s">
        <v>236</v>
      </c>
      <c r="B21828" s="1" t="str">
        <f>HYPERLINK("http://lockheed.on.ca","lockheed.on.ca")</f>
        <v>lockheed.on.ca</v>
      </c>
      <c r="C21828" t="s">
        <v>428</v>
      </c>
      <c r="D21828" t="s">
        <v>809</v>
      </c>
      <c r="J21828">
        <v>3</v>
      </c>
    </row>
    <row r="21829" spans="1:10" x14ac:dyDescent="0.25">
      <c r="A21829" t="s">
        <v>236</v>
      </c>
      <c r="B21829" s="1" t="str">
        <f>HYPERLINK("http://ascentflighttraining.com","ascentflighttraining.com")</f>
        <v>ascentflighttraining.com</v>
      </c>
      <c r="C21829" t="s">
        <v>433</v>
      </c>
      <c r="F21829">
        <v>1.7190416007475199E-8</v>
      </c>
      <c r="G21829">
        <v>3228065</v>
      </c>
      <c r="H21829">
        <v>14576713</v>
      </c>
      <c r="I21829">
        <v>720188</v>
      </c>
      <c r="J21829">
        <v>7</v>
      </c>
    </row>
    <row r="21830" spans="1:10" x14ac:dyDescent="0.25">
      <c r="A21830" t="s">
        <v>236</v>
      </c>
      <c r="B21830" s="1" t="str">
        <f>HYPERLINK("http://astrotechspaceoperations.com","astrotechspaceoperations.com")</f>
        <v>astrotechspaceoperations.com</v>
      </c>
      <c r="C21830" t="s">
        <v>433</v>
      </c>
      <c r="F21830">
        <v>1.14849471260932E-8</v>
      </c>
      <c r="G21830">
        <v>5515640</v>
      </c>
      <c r="H21830">
        <v>12433501</v>
      </c>
      <c r="I21830">
        <v>18245264</v>
      </c>
      <c r="J21830">
        <v>4</v>
      </c>
    </row>
    <row r="21831" spans="1:10" x14ac:dyDescent="0.25">
      <c r="A21831" t="s">
        <v>236</v>
      </c>
      <c r="B21831" s="1" t="str">
        <f>HYPERLINK("http://dercoaerospace.com","dercoaerospace.com")</f>
        <v>dercoaerospace.com</v>
      </c>
      <c r="C21831" t="s">
        <v>433</v>
      </c>
      <c r="F21831">
        <v>1.3807637791423101E-8</v>
      </c>
      <c r="G21831">
        <v>4278252</v>
      </c>
      <c r="H21831">
        <v>13822720</v>
      </c>
      <c r="I21831">
        <v>6136077</v>
      </c>
      <c r="J21831">
        <v>4</v>
      </c>
    </row>
    <row r="21832" spans="1:10" x14ac:dyDescent="0.25">
      <c r="A21832" t="s">
        <v>236</v>
      </c>
      <c r="B21832" s="1" t="str">
        <f>HYPERLINK("http://enflite.com","enflite.com")</f>
        <v>enflite.com</v>
      </c>
      <c r="C21832" t="s">
        <v>433</v>
      </c>
      <c r="F21832">
        <v>4.7653801643270399E-9</v>
      </c>
      <c r="G21832">
        <v>37575945</v>
      </c>
      <c r="H21832">
        <v>12317983</v>
      </c>
      <c r="I21832">
        <v>20454622</v>
      </c>
      <c r="J21832">
        <v>5</v>
      </c>
    </row>
    <row r="21833" spans="1:10" x14ac:dyDescent="0.25">
      <c r="A21833" t="s">
        <v>236</v>
      </c>
      <c r="B21833" s="1" t="str">
        <f>HYPERLINK("http://gyrocamsystems.com","gyrocamsystems.com")</f>
        <v>gyrocamsystems.com</v>
      </c>
      <c r="C21833" t="s">
        <v>433</v>
      </c>
      <c r="F21833">
        <v>1.2441781558717999E-8</v>
      </c>
      <c r="G21833">
        <v>4916678</v>
      </c>
      <c r="H21833">
        <v>13779763</v>
      </c>
      <c r="I21833">
        <v>6482625</v>
      </c>
      <c r="J21833">
        <v>4</v>
      </c>
    </row>
    <row r="21834" spans="1:10" x14ac:dyDescent="0.25">
      <c r="A21834" t="s">
        <v>236</v>
      </c>
      <c r="B21834" s="1" t="str">
        <f>HYPERLINK("http://lifeport.com","lifeport.com")</f>
        <v>lifeport.com</v>
      </c>
      <c r="C21834" t="s">
        <v>433</v>
      </c>
      <c r="F21834">
        <v>1.24649840943895E-8</v>
      </c>
      <c r="G21834">
        <v>4904231</v>
      </c>
      <c r="H21834">
        <v>14075588</v>
      </c>
      <c r="I21834">
        <v>2905399</v>
      </c>
      <c r="J21834">
        <v>4</v>
      </c>
    </row>
    <row r="21835" spans="1:10" x14ac:dyDescent="0.25">
      <c r="A21835" t="s">
        <v>236</v>
      </c>
      <c r="B21835" s="1" t="str">
        <f>HYPERLINK("http://lmco.com","lmco.com")</f>
        <v>lmco.com</v>
      </c>
      <c r="C21835" t="s">
        <v>433</v>
      </c>
      <c r="E21835">
        <v>8931</v>
      </c>
      <c r="F21835">
        <v>2.6065556216469799E-7</v>
      </c>
      <c r="G21835">
        <v>143493</v>
      </c>
      <c r="H21835">
        <v>14924255</v>
      </c>
      <c r="I21835">
        <v>450118</v>
      </c>
      <c r="J21835">
        <v>2</v>
      </c>
    </row>
    <row r="21836" spans="1:10" x14ac:dyDescent="0.25">
      <c r="A21836" t="s">
        <v>236</v>
      </c>
      <c r="B21836" s="1" t="str">
        <f>HYPERLINK("http://lmco-ite.com","lmco-ite.com")</f>
        <v>lmco-ite.com</v>
      </c>
      <c r="C21836" t="s">
        <v>433</v>
      </c>
      <c r="J21836">
        <v>2</v>
      </c>
    </row>
    <row r="21837" spans="1:10" x14ac:dyDescent="0.25">
      <c r="A21837" t="s">
        <v>236</v>
      </c>
      <c r="B21837" s="1" t="str">
        <f>HYPERLINK("http://lockheedmartin.com","lockheedmartin.com")</f>
        <v>lockheedmartin.com</v>
      </c>
      <c r="C21837" t="s">
        <v>433</v>
      </c>
      <c r="E21837">
        <v>9860</v>
      </c>
      <c r="F21837">
        <v>4.2690481386256398E-6</v>
      </c>
      <c r="G21837">
        <v>8359</v>
      </c>
      <c r="H21837">
        <v>17639408</v>
      </c>
      <c r="I21837">
        <v>8628</v>
      </c>
      <c r="J21837">
        <v>1</v>
      </c>
    </row>
    <row r="21838" spans="1:10" x14ac:dyDescent="0.25">
      <c r="A21838" t="s">
        <v>236</v>
      </c>
      <c r="B21838" s="1" t="str">
        <f>HYPERLINK("http://lockheedmartinjobs.com","lockheedmartinjobs.com")</f>
        <v>lockheedmartinjobs.com</v>
      </c>
      <c r="C21838" t="s">
        <v>433</v>
      </c>
      <c r="E21838">
        <v>140238</v>
      </c>
      <c r="F21838">
        <v>2.87163905653985E-7</v>
      </c>
      <c r="G21838">
        <v>129460</v>
      </c>
      <c r="H21838">
        <v>14421713</v>
      </c>
      <c r="I21838">
        <v>1086638</v>
      </c>
      <c r="J21838">
        <v>4</v>
      </c>
    </row>
    <row r="21839" spans="1:10" x14ac:dyDescent="0.25">
      <c r="A21839" t="s">
        <v>236</v>
      </c>
      <c r="B21839" s="1" t="str">
        <f>HYPERLINK("http://sikorsky.com","sikorsky.com")</f>
        <v>sikorsky.com</v>
      </c>
      <c r="C21839" t="s">
        <v>433</v>
      </c>
      <c r="E21839">
        <v>176813</v>
      </c>
      <c r="F21839">
        <v>1.6794499339577399E-7</v>
      </c>
      <c r="G21839">
        <v>231041</v>
      </c>
      <c r="H21839">
        <v>14943635</v>
      </c>
      <c r="I21839">
        <v>442668</v>
      </c>
      <c r="J21839">
        <v>3</v>
      </c>
    </row>
    <row r="21840" spans="1:10" x14ac:dyDescent="0.25">
      <c r="A21840" t="s">
        <v>236</v>
      </c>
      <c r="B21840" s="1" t="str">
        <f>HYPERLINK("http://ulalaunch.com","ulalaunch.com")</f>
        <v>ulalaunch.com</v>
      </c>
      <c r="C21840" t="s">
        <v>433</v>
      </c>
      <c r="E21840">
        <v>71921</v>
      </c>
      <c r="F21840">
        <v>5.5232835300320404E-7</v>
      </c>
      <c r="G21840">
        <v>70091</v>
      </c>
      <c r="H21840">
        <v>17350850</v>
      </c>
      <c r="I21840">
        <v>23003</v>
      </c>
      <c r="J21840">
        <v>3</v>
      </c>
    </row>
    <row r="21841" spans="1:10" x14ac:dyDescent="0.25">
      <c r="A21841" t="s">
        <v>236</v>
      </c>
      <c r="B21841" s="1" t="str">
        <f>HYPERLINK("http://zai.com","zai.com")</f>
        <v>zai.com</v>
      </c>
      <c r="C21841" t="s">
        <v>433</v>
      </c>
      <c r="F21841">
        <v>7.7437072076199604E-9</v>
      </c>
      <c r="G21841">
        <v>10479583</v>
      </c>
      <c r="H21841">
        <v>12847907</v>
      </c>
      <c r="I21841">
        <v>14302821</v>
      </c>
      <c r="J21841">
        <v>3</v>
      </c>
    </row>
    <row r="21842" spans="1:10" x14ac:dyDescent="0.25">
      <c r="A21842" t="s">
        <v>236</v>
      </c>
      <c r="B21842" s="1" t="str">
        <f>HYPERLINK("http://f-35.fi","f-35.fi")</f>
        <v>f-35.fi</v>
      </c>
      <c r="C21842" t="s">
        <v>445</v>
      </c>
      <c r="D21842" t="s">
        <v>823</v>
      </c>
      <c r="J21842">
        <v>2</v>
      </c>
    </row>
    <row r="21843" spans="1:10" x14ac:dyDescent="0.25">
      <c r="A21843" t="s">
        <v>236</v>
      </c>
      <c r="B21843" s="1" t="str">
        <f>HYPERLINK("http://f35.fi","f35.fi")</f>
        <v>f35.fi</v>
      </c>
      <c r="C21843" t="s">
        <v>445</v>
      </c>
      <c r="D21843" t="s">
        <v>823</v>
      </c>
      <c r="J21843">
        <v>2</v>
      </c>
    </row>
    <row r="21844" spans="1:10" x14ac:dyDescent="0.25">
      <c r="A21844" t="s">
        <v>236</v>
      </c>
      <c r="B21844" s="1" t="str">
        <f>HYPERLINK("http://lockheed.fi","lockheed.fi")</f>
        <v>lockheed.fi</v>
      </c>
      <c r="C21844" t="s">
        <v>445</v>
      </c>
      <c r="D21844" t="s">
        <v>823</v>
      </c>
      <c r="J21844">
        <v>2</v>
      </c>
    </row>
    <row r="21845" spans="1:10" x14ac:dyDescent="0.25">
      <c r="A21845" t="s">
        <v>236</v>
      </c>
      <c r="B21845" s="1" t="str">
        <f>HYPERLINK("http://lockheed-martin.fi","lockheed-martin.fi")</f>
        <v>lockheed-martin.fi</v>
      </c>
      <c r="C21845" t="s">
        <v>445</v>
      </c>
      <c r="D21845" t="s">
        <v>823</v>
      </c>
      <c r="J21845">
        <v>2</v>
      </c>
    </row>
    <row r="21846" spans="1:10" x14ac:dyDescent="0.25">
      <c r="A21846" t="s">
        <v>236</v>
      </c>
      <c r="B21846" s="1" t="str">
        <f>HYPERLINK("http://lockheedmartin.fi","lockheedmartin.fi")</f>
        <v>lockheedmartin.fi</v>
      </c>
      <c r="C21846" t="s">
        <v>445</v>
      </c>
      <c r="D21846" t="s">
        <v>823</v>
      </c>
      <c r="J21846">
        <v>2</v>
      </c>
    </row>
    <row r="21847" spans="1:10" x14ac:dyDescent="0.25">
      <c r="A21847" t="s">
        <v>236</v>
      </c>
      <c r="B21847" s="1" t="str">
        <f>HYPERLINK("http://pzlmielec.com.pl","pzlmielec.com.pl")</f>
        <v>pzlmielec.com.pl</v>
      </c>
      <c r="C21847" t="s">
        <v>486</v>
      </c>
      <c r="D21847" t="s">
        <v>860</v>
      </c>
      <c r="F21847">
        <v>5.6664874667966203E-9</v>
      </c>
      <c r="G21847">
        <v>19247045</v>
      </c>
      <c r="H21847">
        <v>14072727</v>
      </c>
      <c r="I21847">
        <v>3053139</v>
      </c>
      <c r="J21847">
        <v>4</v>
      </c>
    </row>
    <row r="21848" spans="1:10" x14ac:dyDescent="0.25">
      <c r="A21848" t="s">
        <v>236</v>
      </c>
      <c r="B21848" s="1" t="str">
        <f>HYPERLINK("http://pzlmielec.pl","pzlmielec.pl")</f>
        <v>pzlmielec.pl</v>
      </c>
      <c r="C21848" t="s">
        <v>486</v>
      </c>
      <c r="D21848" t="s">
        <v>860</v>
      </c>
      <c r="F21848">
        <v>3.0241329549986998E-8</v>
      </c>
      <c r="G21848">
        <v>1701846</v>
      </c>
      <c r="H21848">
        <v>14684990</v>
      </c>
      <c r="I21848">
        <v>605629</v>
      </c>
      <c r="J21848">
        <v>5</v>
      </c>
    </row>
    <row r="21849" spans="1:10" x14ac:dyDescent="0.25">
      <c r="A21849" t="s">
        <v>236</v>
      </c>
      <c r="B21849" s="1" t="str">
        <f>HYPERLINK("http://awe.co.uk","awe.co.uk")</f>
        <v>awe.co.uk</v>
      </c>
      <c r="C21849" t="s">
        <v>506</v>
      </c>
      <c r="D21849" t="s">
        <v>880</v>
      </c>
      <c r="E21849">
        <v>556155</v>
      </c>
      <c r="F21849">
        <v>9.5546397280408005E-8</v>
      </c>
      <c r="G21849">
        <v>423854</v>
      </c>
      <c r="H21849">
        <v>14866571</v>
      </c>
      <c r="I21849">
        <v>481267</v>
      </c>
      <c r="J21849">
        <v>6</v>
      </c>
    </row>
    <row r="21850" spans="1:10" x14ac:dyDescent="0.25">
      <c r="A21850" t="s">
        <v>236</v>
      </c>
      <c r="B21850" s="1" t="str">
        <f>HYPERLINK("http://lockheedmartin.co.uk","lockheedmartin.co.uk")</f>
        <v>lockheedmartin.co.uk</v>
      </c>
      <c r="C21850" t="s">
        <v>506</v>
      </c>
      <c r="D21850" t="s">
        <v>880</v>
      </c>
      <c r="F21850">
        <v>6.4092250729424695E-8</v>
      </c>
      <c r="G21850">
        <v>676028</v>
      </c>
      <c r="H21850">
        <v>14631260</v>
      </c>
      <c r="I21850">
        <v>644688</v>
      </c>
      <c r="J21850">
        <v>2</v>
      </c>
    </row>
    <row r="21851" spans="1:10" x14ac:dyDescent="0.25">
      <c r="A21851" t="s">
        <v>237</v>
      </c>
      <c r="B21851" s="1" t="str">
        <f>HYPERLINK("http://russellinvestments.com.au","russellinvestments.com.au")</f>
        <v>russellinvestments.com.au</v>
      </c>
      <c r="C21851" t="s">
        <v>420</v>
      </c>
      <c r="D21851" t="s">
        <v>802</v>
      </c>
      <c r="F21851">
        <v>4.1633757229408801E-8</v>
      </c>
      <c r="G21851">
        <v>1190616</v>
      </c>
      <c r="H21851">
        <v>16751200</v>
      </c>
      <c r="I21851">
        <v>286509</v>
      </c>
      <c r="J21851">
        <v>8</v>
      </c>
    </row>
    <row r="21852" spans="1:10" x14ac:dyDescent="0.25">
      <c r="A21852" t="s">
        <v>237</v>
      </c>
      <c r="B21852" s="1" t="str">
        <f>HYPERLINK("http://refinitiv.cn","refinitiv.cn")</f>
        <v>refinitiv.cn</v>
      </c>
      <c r="C21852" t="s">
        <v>431</v>
      </c>
      <c r="D21852" t="s">
        <v>812</v>
      </c>
      <c r="F21852">
        <v>1.26943248421941E-8</v>
      </c>
      <c r="G21852">
        <v>4782535</v>
      </c>
      <c r="H21852">
        <v>13091156</v>
      </c>
      <c r="I21852">
        <v>12142025</v>
      </c>
      <c r="J21852">
        <v>4</v>
      </c>
    </row>
    <row r="21853" spans="1:10" x14ac:dyDescent="0.25">
      <c r="A21853" t="s">
        <v>237</v>
      </c>
      <c r="B21853" s="1" t="str">
        <f>HYPERLINK("http://beyond-ratings.com","beyond-ratings.com")</f>
        <v>beyond-ratings.com</v>
      </c>
      <c r="C21853" t="s">
        <v>433</v>
      </c>
      <c r="F21853">
        <v>1.29947485871132E-8</v>
      </c>
      <c r="G21853">
        <v>4634184</v>
      </c>
      <c r="H21853">
        <v>13358978</v>
      </c>
      <c r="I21853">
        <v>10590968</v>
      </c>
      <c r="J21853">
        <v>3</v>
      </c>
    </row>
    <row r="21854" spans="1:10" x14ac:dyDescent="0.25">
      <c r="A21854" t="s">
        <v>237</v>
      </c>
      <c r="B21854" s="1" t="str">
        <f>HYPERLINK("http://bonddesk.com","bonddesk.com")</f>
        <v>bonddesk.com</v>
      </c>
      <c r="C21854" t="s">
        <v>433</v>
      </c>
      <c r="E21854">
        <v>188140</v>
      </c>
      <c r="F21854">
        <v>3.38796463133923E-8</v>
      </c>
      <c r="G21854">
        <v>1527744</v>
      </c>
      <c r="H21854">
        <v>13527535</v>
      </c>
      <c r="I21854">
        <v>9923056</v>
      </c>
      <c r="J21854">
        <v>7</v>
      </c>
    </row>
    <row r="21855" spans="1:10" x14ac:dyDescent="0.25">
      <c r="A21855" t="s">
        <v>237</v>
      </c>
      <c r="B21855" s="1" t="str">
        <f>HYPERLINK("http://bonddeskgroup.com","bonddeskgroup.com")</f>
        <v>bonddeskgroup.com</v>
      </c>
      <c r="C21855" t="s">
        <v>433</v>
      </c>
      <c r="F21855">
        <v>8.3198154589625906E-9</v>
      </c>
      <c r="G21855">
        <v>9212034</v>
      </c>
      <c r="H21855">
        <v>13950607</v>
      </c>
      <c r="I21855">
        <v>4172345</v>
      </c>
      <c r="J21855">
        <v>10</v>
      </c>
    </row>
    <row r="21856" spans="1:10" x14ac:dyDescent="0.25">
      <c r="A21856" t="s">
        <v>237</v>
      </c>
      <c r="B21856" s="1" t="str">
        <f>HYPERLINK("http://curveglobalmarkets.com","curveglobalmarkets.com")</f>
        <v>curveglobalmarkets.com</v>
      </c>
      <c r="C21856" t="s">
        <v>433</v>
      </c>
      <c r="J21856">
        <v>4</v>
      </c>
    </row>
    <row r="21857" spans="1:10" x14ac:dyDescent="0.25">
      <c r="A21857" t="s">
        <v>237</v>
      </c>
      <c r="B21857" s="1" t="str">
        <f>HYPERLINK("http://ftse.com","ftse.com")</f>
        <v>ftse.com</v>
      </c>
      <c r="C21857" t="s">
        <v>433</v>
      </c>
      <c r="E21857">
        <v>158950</v>
      </c>
      <c r="F21857">
        <v>6.3083707312185202E-7</v>
      </c>
      <c r="G21857">
        <v>60808</v>
      </c>
      <c r="H21857">
        <v>14979751</v>
      </c>
      <c r="I21857">
        <v>431042</v>
      </c>
      <c r="J21857">
        <v>2</v>
      </c>
    </row>
    <row r="21858" spans="1:10" x14ac:dyDescent="0.25">
      <c r="A21858" t="s">
        <v>237</v>
      </c>
      <c r="B21858" s="1" t="str">
        <f>HYPERLINK("http://ftserussell.com","ftserussell.com")</f>
        <v>ftserussell.com</v>
      </c>
      <c r="C21858" t="s">
        <v>433</v>
      </c>
      <c r="E21858">
        <v>40470</v>
      </c>
      <c r="F21858">
        <v>2.3410665660289401E-6</v>
      </c>
      <c r="G21858">
        <v>15821</v>
      </c>
      <c r="H21858">
        <v>15217916</v>
      </c>
      <c r="I21858">
        <v>393628</v>
      </c>
      <c r="J21858">
        <v>3</v>
      </c>
    </row>
    <row r="21859" spans="1:10" x14ac:dyDescent="0.25">
      <c r="A21859" t="s">
        <v>237</v>
      </c>
      <c r="B21859" s="1" t="str">
        <f>HYPERLINK("http://giact.com","giact.com")</f>
        <v>giact.com</v>
      </c>
      <c r="C21859" t="s">
        <v>433</v>
      </c>
      <c r="E21859">
        <v>360652</v>
      </c>
      <c r="F21859">
        <v>1.31385665552697E-7</v>
      </c>
      <c r="G21859">
        <v>297611</v>
      </c>
      <c r="H21859">
        <v>13634947</v>
      </c>
      <c r="I21859">
        <v>9614894</v>
      </c>
      <c r="J21859">
        <v>3</v>
      </c>
    </row>
    <row r="21860" spans="1:10" x14ac:dyDescent="0.25">
      <c r="A21860" t="s">
        <v>237</v>
      </c>
      <c r="B21860" s="1" t="str">
        <f>HYPERLINK("http://globaldataconsortium.com","globaldataconsortium.com")</f>
        <v>globaldataconsortium.com</v>
      </c>
      <c r="C21860" t="s">
        <v>433</v>
      </c>
      <c r="F21860">
        <v>2.03382641108811E-7</v>
      </c>
      <c r="G21860">
        <v>186918</v>
      </c>
      <c r="H21860">
        <v>13730310</v>
      </c>
      <c r="I21860">
        <v>9458076</v>
      </c>
      <c r="J21860">
        <v>3</v>
      </c>
    </row>
    <row r="21861" spans="1:10" x14ac:dyDescent="0.25">
      <c r="A21861" t="s">
        <v>237</v>
      </c>
      <c r="B21861" s="1" t="str">
        <f>HYPERLINK("http://lch.com","lch.com")</f>
        <v>lch.com</v>
      </c>
      <c r="C21861" t="s">
        <v>433</v>
      </c>
      <c r="E21861">
        <v>522994</v>
      </c>
      <c r="F21861">
        <v>2.7034224998558798E-7</v>
      </c>
      <c r="G21861">
        <v>137757</v>
      </c>
      <c r="H21861">
        <v>14637797</v>
      </c>
      <c r="I21861">
        <v>639028</v>
      </c>
      <c r="J21861">
        <v>3</v>
      </c>
    </row>
    <row r="21862" spans="1:10" x14ac:dyDescent="0.25">
      <c r="A21862" t="s">
        <v>237</v>
      </c>
      <c r="B21862" s="1" t="str">
        <f>HYPERLINK("http://lchclearnet.com","lchclearnet.com")</f>
        <v>lchclearnet.com</v>
      </c>
      <c r="C21862" t="s">
        <v>433</v>
      </c>
      <c r="E21862">
        <v>965909</v>
      </c>
      <c r="F21862">
        <v>7.8588370634918699E-8</v>
      </c>
      <c r="G21862">
        <v>531940</v>
      </c>
      <c r="H21862">
        <v>14724429</v>
      </c>
      <c r="I21862">
        <v>576091</v>
      </c>
      <c r="J21862">
        <v>2</v>
      </c>
    </row>
    <row r="21863" spans="1:10" x14ac:dyDescent="0.25">
      <c r="A21863" t="s">
        <v>237</v>
      </c>
      <c r="B21863" s="1" t="str">
        <f>HYPERLINK("http://lipperweb.com","lipperweb.com")</f>
        <v>lipperweb.com</v>
      </c>
      <c r="C21863" t="s">
        <v>433</v>
      </c>
      <c r="E21863">
        <v>250465</v>
      </c>
      <c r="F21863">
        <v>1.01416033389328E-7</v>
      </c>
      <c r="G21863">
        <v>396399</v>
      </c>
      <c r="H21863">
        <v>14569503</v>
      </c>
      <c r="I21863">
        <v>736267</v>
      </c>
      <c r="J21863">
        <v>3</v>
      </c>
    </row>
    <row r="21864" spans="1:10" x14ac:dyDescent="0.25">
      <c r="A21864" t="s">
        <v>237</v>
      </c>
      <c r="B21864" s="1" t="str">
        <f>HYPERLINK("http://londonstockexchange.com","londonstockexchange.com")</f>
        <v>londonstockexchange.com</v>
      </c>
      <c r="C21864" t="s">
        <v>433</v>
      </c>
      <c r="E21864">
        <v>13888</v>
      </c>
      <c r="F21864">
        <v>3.1173292510753598E-6</v>
      </c>
      <c r="G21864">
        <v>12648</v>
      </c>
      <c r="H21864">
        <v>17438536</v>
      </c>
      <c r="I21864">
        <v>16770</v>
      </c>
      <c r="J21864">
        <v>2</v>
      </c>
    </row>
    <row r="21865" spans="1:10" x14ac:dyDescent="0.25">
      <c r="A21865" t="s">
        <v>237</v>
      </c>
      <c r="B21865" s="1" t="str">
        <f>HYPERLINK("http://lseg.com","lseg.com")</f>
        <v>lseg.com</v>
      </c>
      <c r="C21865" t="s">
        <v>433</v>
      </c>
      <c r="E21865">
        <v>31430</v>
      </c>
      <c r="F21865">
        <v>1.4675763291771101E-6</v>
      </c>
      <c r="G21865">
        <v>26729</v>
      </c>
      <c r="H21865">
        <v>15313184</v>
      </c>
      <c r="I21865">
        <v>385099</v>
      </c>
      <c r="J21865">
        <v>1</v>
      </c>
    </row>
    <row r="21866" spans="1:10" x14ac:dyDescent="0.25">
      <c r="A21866" t="s">
        <v>237</v>
      </c>
      <c r="B21866" s="1" t="str">
        <f>HYPERLINK("http://maystreet.com","maystreet.com")</f>
        <v>maystreet.com</v>
      </c>
      <c r="C21866" t="s">
        <v>433</v>
      </c>
      <c r="F21866">
        <v>6.1176459032206696E-8</v>
      </c>
      <c r="G21866">
        <v>719924</v>
      </c>
      <c r="H21866">
        <v>13724230</v>
      </c>
      <c r="I21866">
        <v>9466305</v>
      </c>
      <c r="J21866">
        <v>3</v>
      </c>
    </row>
    <row r="21867" spans="1:10" x14ac:dyDescent="0.25">
      <c r="A21867" t="s">
        <v>237</v>
      </c>
      <c r="B21867" s="1" t="str">
        <f>HYPERLINK("http://mergent.com","mergent.com")</f>
        <v>mergent.com</v>
      </c>
      <c r="C21867" t="s">
        <v>433</v>
      </c>
      <c r="E21867">
        <v>752359</v>
      </c>
      <c r="F21867">
        <v>1.21116070560846E-7</v>
      </c>
      <c r="G21867">
        <v>326098</v>
      </c>
      <c r="H21867">
        <v>14266427</v>
      </c>
      <c r="I21867">
        <v>1407045</v>
      </c>
      <c r="J21867">
        <v>3</v>
      </c>
    </row>
    <row r="21868" spans="1:10" x14ac:dyDescent="0.25">
      <c r="A21868" t="s">
        <v>237</v>
      </c>
      <c r="B21868" s="1" t="str">
        <f>HYPERLINK("http://mergentonline.com","mergentonline.com")</f>
        <v>mergentonline.com</v>
      </c>
      <c r="C21868" t="s">
        <v>433</v>
      </c>
      <c r="E21868">
        <v>696708</v>
      </c>
      <c r="F21868">
        <v>1.08088039633715E-7</v>
      </c>
      <c r="G21868">
        <v>370315</v>
      </c>
      <c r="H21868">
        <v>16915258</v>
      </c>
      <c r="I21868">
        <v>130150</v>
      </c>
      <c r="J21868">
        <v>6</v>
      </c>
    </row>
    <row r="21869" spans="1:10" x14ac:dyDescent="0.25">
      <c r="A21869" t="s">
        <v>237</v>
      </c>
      <c r="B21869" s="1" t="str">
        <f>HYPERLINK("http://milleniumit.com","milleniumit.com")</f>
        <v>milleniumit.com</v>
      </c>
      <c r="C21869" t="s">
        <v>433</v>
      </c>
      <c r="F21869">
        <v>5.58543988945246E-9</v>
      </c>
      <c r="G21869">
        <v>20001532</v>
      </c>
      <c r="H21869">
        <v>13063791</v>
      </c>
      <c r="I21869">
        <v>12304114</v>
      </c>
      <c r="J21869">
        <v>3</v>
      </c>
    </row>
    <row r="21870" spans="1:10" x14ac:dyDescent="0.25">
      <c r="A21870" t="s">
        <v>237</v>
      </c>
      <c r="B21870" s="1" t="str">
        <f>HYPERLINK("http://quantile.com","quantile.com")</f>
        <v>quantile.com</v>
      </c>
      <c r="C21870" t="s">
        <v>433</v>
      </c>
      <c r="F21870">
        <v>1.9182757245639001E-8</v>
      </c>
      <c r="G21870">
        <v>2801565</v>
      </c>
      <c r="H21870">
        <v>12525310</v>
      </c>
      <c r="I21870">
        <v>17093248</v>
      </c>
      <c r="J21870">
        <v>3</v>
      </c>
    </row>
    <row r="21871" spans="1:10" x14ac:dyDescent="0.25">
      <c r="A21871" t="s">
        <v>237</v>
      </c>
      <c r="B21871" s="1" t="str">
        <f>HYPERLINK("http://quantiletechnologies.com","quantiletechnologies.com")</f>
        <v>quantiletechnologies.com</v>
      </c>
      <c r="C21871" t="s">
        <v>433</v>
      </c>
      <c r="F21871">
        <v>6.1638314517972201E-9</v>
      </c>
      <c r="G21871">
        <v>15726364</v>
      </c>
      <c r="H21871">
        <v>12236937</v>
      </c>
      <c r="I21871">
        <v>22332652</v>
      </c>
      <c r="J21871">
        <v>5</v>
      </c>
    </row>
    <row r="21872" spans="1:10" x14ac:dyDescent="0.25">
      <c r="A21872" t="s">
        <v>237</v>
      </c>
      <c r="B21872" s="1" t="str">
        <f>HYPERLINK("http://redflaggroup.com","redflaggroup.com")</f>
        <v>redflaggroup.com</v>
      </c>
      <c r="C21872" t="s">
        <v>433</v>
      </c>
      <c r="F21872">
        <v>2.0609376397536101E-8</v>
      </c>
      <c r="G21872">
        <v>2569255</v>
      </c>
      <c r="H21872">
        <v>14147412</v>
      </c>
      <c r="I21872">
        <v>1890164</v>
      </c>
      <c r="J21872">
        <v>3</v>
      </c>
    </row>
    <row r="21873" spans="1:10" x14ac:dyDescent="0.25">
      <c r="A21873" t="s">
        <v>237</v>
      </c>
      <c r="B21873" s="1" t="str">
        <f>HYPERLINK("http://redi.com","redi.com")</f>
        <v>redi.com</v>
      </c>
      <c r="C21873" t="s">
        <v>433</v>
      </c>
      <c r="E21873">
        <v>150977</v>
      </c>
      <c r="F21873">
        <v>2.5577585559472401E-8</v>
      </c>
      <c r="G21873">
        <v>2016100</v>
      </c>
      <c r="H21873">
        <v>14157929</v>
      </c>
      <c r="I21873">
        <v>1846808</v>
      </c>
      <c r="J21873">
        <v>3</v>
      </c>
    </row>
    <row r="21874" spans="1:10" x14ac:dyDescent="0.25">
      <c r="A21874" t="s">
        <v>237</v>
      </c>
      <c r="B21874" s="1" t="str">
        <f>HYPERLINK("http://refinitiv.com","refinitiv.com")</f>
        <v>refinitiv.com</v>
      </c>
      <c r="C21874" t="s">
        <v>433</v>
      </c>
      <c r="E21874">
        <v>8097</v>
      </c>
      <c r="F21874">
        <v>3.3160581888736199E-6</v>
      </c>
      <c r="G21874">
        <v>12121</v>
      </c>
      <c r="H21874">
        <v>17509444</v>
      </c>
      <c r="I21874">
        <v>13266</v>
      </c>
      <c r="J21874">
        <v>3</v>
      </c>
    </row>
    <row r="21875" spans="1:10" x14ac:dyDescent="0.25">
      <c r="A21875" t="s">
        <v>237</v>
      </c>
      <c r="B21875" s="1" t="str">
        <f>HYPERLINK("http://russell.com","russell.com")</f>
        <v>russell.com</v>
      </c>
      <c r="C21875" t="s">
        <v>433</v>
      </c>
      <c r="E21875">
        <v>122734</v>
      </c>
      <c r="F21875">
        <v>1.61273982581019E-7</v>
      </c>
      <c r="G21875">
        <v>240705</v>
      </c>
      <c r="H21875">
        <v>14643405</v>
      </c>
      <c r="I21875">
        <v>634777</v>
      </c>
      <c r="J21875">
        <v>6</v>
      </c>
    </row>
    <row r="21876" spans="1:10" x14ac:dyDescent="0.25">
      <c r="A21876" t="s">
        <v>237</v>
      </c>
      <c r="B21876" s="1" t="str">
        <f>HYPERLINK("http://russellinvestments.com","russellinvestments.com")</f>
        <v>russellinvestments.com</v>
      </c>
      <c r="C21876" t="s">
        <v>433</v>
      </c>
      <c r="E21876">
        <v>167273</v>
      </c>
      <c r="F21876">
        <v>2.6519835583572297E-7</v>
      </c>
      <c r="G21876">
        <v>140628</v>
      </c>
      <c r="H21876">
        <v>17122780</v>
      </c>
      <c r="I21876">
        <v>58861</v>
      </c>
      <c r="J21876">
        <v>7</v>
      </c>
    </row>
    <row r="21877" spans="1:10" x14ac:dyDescent="0.25">
      <c r="A21877" t="s">
        <v>237</v>
      </c>
      <c r="B21877" s="1" t="str">
        <f>HYPERLINK("http://tm3.com","tm3.com")</f>
        <v>tm3.com</v>
      </c>
      <c r="C21877" t="s">
        <v>433</v>
      </c>
      <c r="F21877">
        <v>1.62521986762506E-8</v>
      </c>
      <c r="G21877">
        <v>3482418</v>
      </c>
      <c r="H21877">
        <v>13334985</v>
      </c>
      <c r="I21877">
        <v>10695493</v>
      </c>
      <c r="J21877">
        <v>3</v>
      </c>
    </row>
    <row r="21878" spans="1:10" x14ac:dyDescent="0.25">
      <c r="A21878" t="s">
        <v>237</v>
      </c>
      <c r="B21878" s="1" t="str">
        <f>HYPERLINK("http://tradeweb.com","tradeweb.com")</f>
        <v>tradeweb.com</v>
      </c>
      <c r="C21878" t="s">
        <v>433</v>
      </c>
      <c r="E21878">
        <v>150105</v>
      </c>
      <c r="F21878">
        <v>3.2016129362067198E-7</v>
      </c>
      <c r="G21878">
        <v>116211</v>
      </c>
      <c r="H21878">
        <v>14495172</v>
      </c>
      <c r="I21878">
        <v>877425</v>
      </c>
      <c r="J21878">
        <v>5</v>
      </c>
    </row>
    <row r="21879" spans="1:10" x14ac:dyDescent="0.25">
      <c r="A21879" t="s">
        <v>237</v>
      </c>
      <c r="B21879" s="1" t="str">
        <f>HYPERLINK("http://world-check.com","world-check.com")</f>
        <v>world-check.com</v>
      </c>
      <c r="C21879" t="s">
        <v>433</v>
      </c>
      <c r="E21879">
        <v>44731</v>
      </c>
      <c r="F21879">
        <v>2.4592213881057402E-8</v>
      </c>
      <c r="G21879">
        <v>2106104</v>
      </c>
      <c r="H21879">
        <v>14497518</v>
      </c>
      <c r="I21879">
        <v>865749</v>
      </c>
      <c r="J21879">
        <v>3</v>
      </c>
    </row>
    <row r="21880" spans="1:10" x14ac:dyDescent="0.25">
      <c r="A21880" t="s">
        <v>237</v>
      </c>
      <c r="B21880" s="1" t="str">
        <f>HYPERLINK("http://yieldbook.com","yieldbook.com")</f>
        <v>yieldbook.com</v>
      </c>
      <c r="C21880" t="s">
        <v>433</v>
      </c>
      <c r="E21880">
        <v>675325</v>
      </c>
      <c r="F21880">
        <v>1.0035122107593199E-7</v>
      </c>
      <c r="G21880">
        <v>400831</v>
      </c>
      <c r="H21880">
        <v>14482291</v>
      </c>
      <c r="I21880">
        <v>1023596</v>
      </c>
      <c r="J21880">
        <v>3</v>
      </c>
    </row>
    <row r="21881" spans="1:10" x14ac:dyDescent="0.25">
      <c r="A21881" t="s">
        <v>237</v>
      </c>
      <c r="B21881" s="1" t="str">
        <f>HYPERLINK("http://aguirrenewman.es","aguirrenewman.es")</f>
        <v>aguirrenewman.es</v>
      </c>
      <c r="C21881" t="s">
        <v>443</v>
      </c>
      <c r="D21881" t="s">
        <v>822</v>
      </c>
      <c r="F21881">
        <v>1.26817301016091E-8</v>
      </c>
      <c r="G21881">
        <v>4788769</v>
      </c>
      <c r="H21881">
        <v>13781872</v>
      </c>
      <c r="I21881">
        <v>6452086</v>
      </c>
      <c r="J21881">
        <v>8</v>
      </c>
    </row>
    <row r="21882" spans="1:10" x14ac:dyDescent="0.25">
      <c r="A21882" t="s">
        <v>237</v>
      </c>
      <c r="B21882" s="1" t="str">
        <f>HYPERLINK("http://savills-aguirrenewman.es","savills-aguirrenewman.es")</f>
        <v>savills-aguirrenewman.es</v>
      </c>
      <c r="C21882" t="s">
        <v>443</v>
      </c>
      <c r="D21882" t="s">
        <v>822</v>
      </c>
      <c r="F21882">
        <v>3.6203644733779702E-8</v>
      </c>
      <c r="G21882">
        <v>1440379</v>
      </c>
      <c r="H21882">
        <v>12801552</v>
      </c>
      <c r="I21882">
        <v>14631541</v>
      </c>
      <c r="J21882">
        <v>5</v>
      </c>
    </row>
    <row r="21883" spans="1:10" x14ac:dyDescent="0.25">
      <c r="A21883" t="s">
        <v>237</v>
      </c>
      <c r="B21883" s="1" t="str">
        <f>HYPERLINK("http://eikon.fi","eikon.fi")</f>
        <v>eikon.fi</v>
      </c>
      <c r="C21883" t="s">
        <v>445</v>
      </c>
      <c r="D21883" t="s">
        <v>823</v>
      </c>
      <c r="J21883">
        <v>4</v>
      </c>
    </row>
    <row r="21884" spans="1:10" x14ac:dyDescent="0.25">
      <c r="A21884" t="s">
        <v>237</v>
      </c>
      <c r="B21884" s="1" t="str">
        <f>HYPERLINK("http://lseg.fi","lseg.fi")</f>
        <v>lseg.fi</v>
      </c>
      <c r="C21884" t="s">
        <v>445</v>
      </c>
      <c r="D21884" t="s">
        <v>823</v>
      </c>
      <c r="J21884">
        <v>2</v>
      </c>
    </row>
    <row r="21885" spans="1:10" x14ac:dyDescent="0.25">
      <c r="A21885" t="s">
        <v>237</v>
      </c>
      <c r="B21885" s="1" t="str">
        <f>HYPERLINK("http://worldcheck.fi","worldcheck.fi")</f>
        <v>worldcheck.fi</v>
      </c>
      <c r="C21885" t="s">
        <v>445</v>
      </c>
      <c r="D21885" t="s">
        <v>823</v>
      </c>
      <c r="J21885">
        <v>4</v>
      </c>
    </row>
    <row r="21886" spans="1:10" x14ac:dyDescent="0.25">
      <c r="A21886" t="s">
        <v>237</v>
      </c>
      <c r="B21886" s="1" t="str">
        <f>HYPERLINK("http://lseg.group","lseg.group")</f>
        <v>lseg.group</v>
      </c>
      <c r="C21886" t="s">
        <v>602</v>
      </c>
      <c r="F21886">
        <v>7.6799142052070894E-9</v>
      </c>
      <c r="G21886">
        <v>10623630</v>
      </c>
      <c r="H21886">
        <v>12424717</v>
      </c>
      <c r="I21886">
        <v>18378595</v>
      </c>
      <c r="J21886">
        <v>2</v>
      </c>
    </row>
    <row r="21887" spans="1:10" x14ac:dyDescent="0.25">
      <c r="A21887" t="s">
        <v>237</v>
      </c>
      <c r="B21887" s="1" t="str">
        <f>HYPERLINK("http://refinitiv.co.jp","refinitiv.co.jp")</f>
        <v>refinitiv.co.jp</v>
      </c>
      <c r="C21887" t="s">
        <v>461</v>
      </c>
      <c r="D21887" t="s">
        <v>837</v>
      </c>
      <c r="F21887">
        <v>8.2223283839909892E-9</v>
      </c>
      <c r="G21887">
        <v>9462584</v>
      </c>
      <c r="H21887">
        <v>12267281</v>
      </c>
      <c r="I21887">
        <v>21588372</v>
      </c>
      <c r="J21887">
        <v>4</v>
      </c>
    </row>
    <row r="21888" spans="1:10" x14ac:dyDescent="0.25">
      <c r="A21888" t="s">
        <v>237</v>
      </c>
      <c r="B21888" s="1" t="str">
        <f>HYPERLINK("http://refinitiv.ru","refinitiv.ru")</f>
        <v>refinitiv.ru</v>
      </c>
      <c r="C21888" t="s">
        <v>493</v>
      </c>
      <c r="D21888" t="s">
        <v>867</v>
      </c>
      <c r="F21888">
        <v>3.1514949424459501E-8</v>
      </c>
      <c r="G21888">
        <v>1637165</v>
      </c>
      <c r="H21888">
        <v>13816944</v>
      </c>
      <c r="I21888">
        <v>6159641</v>
      </c>
      <c r="J21888">
        <v>4</v>
      </c>
    </row>
    <row r="21889" spans="1:10" x14ac:dyDescent="0.25">
      <c r="A21889" t="s">
        <v>237</v>
      </c>
      <c r="B21889" s="1" t="str">
        <f>HYPERLINK("http://reuterspensionfund.co.uk","reuterspensionfund.co.uk")</f>
        <v>reuterspensionfund.co.uk</v>
      </c>
      <c r="C21889" t="s">
        <v>506</v>
      </c>
      <c r="D21889" t="s">
        <v>880</v>
      </c>
      <c r="F21889">
        <v>4.5720201769984102E-9</v>
      </c>
      <c r="G21889">
        <v>50000023</v>
      </c>
      <c r="H21889">
        <v>10741284</v>
      </c>
      <c r="I21889">
        <v>40379217</v>
      </c>
      <c r="J21889">
        <v>3</v>
      </c>
    </row>
    <row r="21890" spans="1:10" x14ac:dyDescent="0.25">
      <c r="A21890" t="s">
        <v>238</v>
      </c>
      <c r="B21890" s="1" t="str">
        <f>HYPERLINK("http://capsugel.com.cn","capsugel.com.cn")</f>
        <v>capsugel.com.cn</v>
      </c>
      <c r="C21890" t="s">
        <v>431</v>
      </c>
      <c r="D21890" t="s">
        <v>812</v>
      </c>
      <c r="F21890">
        <v>1.8050781254607702E-8</v>
      </c>
      <c r="G21890">
        <v>3020131</v>
      </c>
      <c r="H21890">
        <v>13747538</v>
      </c>
      <c r="I21890">
        <v>9422283</v>
      </c>
      <c r="J21890">
        <v>3</v>
      </c>
    </row>
    <row r="21891" spans="1:10" x14ac:dyDescent="0.25">
      <c r="A21891" t="s">
        <v>238</v>
      </c>
      <c r="B21891" s="1" t="str">
        <f>HYPERLINK("http://algonomics.com","algonomics.com")</f>
        <v>algonomics.com</v>
      </c>
      <c r="C21891" t="s">
        <v>433</v>
      </c>
      <c r="F21891">
        <v>8.4834071147198805E-9</v>
      </c>
      <c r="G21891">
        <v>8877147</v>
      </c>
      <c r="H21891">
        <v>12966246</v>
      </c>
      <c r="I21891">
        <v>13085252</v>
      </c>
      <c r="J21891">
        <v>5</v>
      </c>
    </row>
    <row r="21892" spans="1:10" x14ac:dyDescent="0.25">
      <c r="A21892" t="s">
        <v>238</v>
      </c>
      <c r="B21892" s="1" t="str">
        <f>HYPERLINK("http://amaxa.com","amaxa.com")</f>
        <v>amaxa.com</v>
      </c>
      <c r="C21892" t="s">
        <v>433</v>
      </c>
      <c r="F21892">
        <v>2.0781032095275199E-8</v>
      </c>
      <c r="G21892">
        <v>2545603</v>
      </c>
      <c r="H21892">
        <v>13406649</v>
      </c>
      <c r="I21892">
        <v>10354086</v>
      </c>
      <c r="J21892">
        <v>5</v>
      </c>
    </row>
    <row r="21893" spans="1:10" x14ac:dyDescent="0.25">
      <c r="A21893" t="s">
        <v>238</v>
      </c>
      <c r="B21893" s="1" t="str">
        <f>HYPERLINK("http://bacthera.com","bacthera.com")</f>
        <v>bacthera.com</v>
      </c>
      <c r="C21893" t="s">
        <v>433</v>
      </c>
      <c r="F21893">
        <v>8.5745403691407697E-9</v>
      </c>
      <c r="G21893">
        <v>8702876</v>
      </c>
      <c r="H21893">
        <v>12142792</v>
      </c>
      <c r="I21893">
        <v>24809438</v>
      </c>
      <c r="J21893">
        <v>3</v>
      </c>
    </row>
    <row r="21894" spans="1:10" x14ac:dyDescent="0.25">
      <c r="A21894" t="s">
        <v>238</v>
      </c>
      <c r="B21894" s="1" t="str">
        <f>HYPERLINK("http://capsugel.com","capsugel.com")</f>
        <v>capsugel.com</v>
      </c>
      <c r="C21894" t="s">
        <v>433</v>
      </c>
      <c r="E21894">
        <v>696902</v>
      </c>
      <c r="F21894">
        <v>9.6062228277189305E-8</v>
      </c>
      <c r="G21894">
        <v>421243</v>
      </c>
      <c r="H21894">
        <v>14509240</v>
      </c>
      <c r="I21894">
        <v>826591</v>
      </c>
      <c r="J21894">
        <v>3</v>
      </c>
    </row>
    <row r="21895" spans="1:10" x14ac:dyDescent="0.25">
      <c r="A21895" t="s">
        <v>238</v>
      </c>
      <c r="B21895" s="1" t="str">
        <f>HYPERLINK("http://capsugel-jp.com","capsugel-jp.com")</f>
        <v>capsugel-jp.com</v>
      </c>
      <c r="C21895" t="s">
        <v>433</v>
      </c>
      <c r="F21895">
        <v>1.6085378838308799E-8</v>
      </c>
      <c r="G21895">
        <v>3524284</v>
      </c>
      <c r="H21895">
        <v>13741416</v>
      </c>
      <c r="I21895">
        <v>9428338</v>
      </c>
      <c r="J21895">
        <v>3</v>
      </c>
    </row>
    <row r="21896" spans="1:10" x14ac:dyDescent="0.25">
      <c r="A21896" t="s">
        <v>238</v>
      </c>
      <c r="B21896" s="1" t="str">
        <f>HYPERLINK("http://lonza.com","lonza.com")</f>
        <v>lonza.com</v>
      </c>
      <c r="C21896" t="s">
        <v>433</v>
      </c>
      <c r="E21896">
        <v>73011</v>
      </c>
      <c r="F21896">
        <v>7.6002947670791002E-7</v>
      </c>
      <c r="G21896">
        <v>51379</v>
      </c>
      <c r="H21896">
        <v>15487993</v>
      </c>
      <c r="I21896">
        <v>377065</v>
      </c>
      <c r="J21896">
        <v>1</v>
      </c>
    </row>
    <row r="21897" spans="1:10" x14ac:dyDescent="0.25">
      <c r="A21897" t="s">
        <v>238</v>
      </c>
      <c r="B21897" s="1" t="str">
        <f>HYPERLINK("http://lonzabiologics.com","lonzabiologics.com")</f>
        <v>lonzabiologics.com</v>
      </c>
      <c r="C21897" t="s">
        <v>433</v>
      </c>
      <c r="F21897">
        <v>5.9276463650386497E-9</v>
      </c>
      <c r="G21897">
        <v>17167741</v>
      </c>
      <c r="H21897">
        <v>11369626</v>
      </c>
      <c r="I21897">
        <v>30328945</v>
      </c>
      <c r="J21897">
        <v>3</v>
      </c>
    </row>
    <row r="21898" spans="1:10" x14ac:dyDescent="0.25">
      <c r="A21898" t="s">
        <v>238</v>
      </c>
      <c r="B21898" s="1" t="str">
        <f>HYPERLINK("http://micro-macinazione.com","micro-macinazione.com")</f>
        <v>micro-macinazione.com</v>
      </c>
      <c r="C21898" t="s">
        <v>433</v>
      </c>
      <c r="F21898">
        <v>4.9238986828321897E-9</v>
      </c>
      <c r="G21898">
        <v>31563277</v>
      </c>
      <c r="H21898">
        <v>12172158</v>
      </c>
      <c r="I21898">
        <v>24015185</v>
      </c>
      <c r="J21898">
        <v>3</v>
      </c>
    </row>
    <row r="21899" spans="1:10" x14ac:dyDescent="0.25">
      <c r="A21899" t="s">
        <v>238</v>
      </c>
      <c r="B21899" s="1" t="str">
        <f>HYPERLINK("http://modatp.com","modatp.com")</f>
        <v>modatp.com</v>
      </c>
      <c r="C21899" t="s">
        <v>433</v>
      </c>
      <c r="F21899">
        <v>5.6984331740184099E-9</v>
      </c>
      <c r="G21899">
        <v>18975113</v>
      </c>
      <c r="H21899">
        <v>13935563</v>
      </c>
      <c r="I21899">
        <v>4527181</v>
      </c>
      <c r="J21899">
        <v>5</v>
      </c>
    </row>
    <row r="21900" spans="1:10" x14ac:dyDescent="0.25">
      <c r="A21900" t="s">
        <v>238</v>
      </c>
      <c r="B21900" s="1" t="str">
        <f>HYPERLINK("http://octaneco.com","octaneco.com")</f>
        <v>octaneco.com</v>
      </c>
      <c r="C21900" t="s">
        <v>433</v>
      </c>
      <c r="F21900">
        <v>1.06059796240701E-8</v>
      </c>
      <c r="G21900">
        <v>6178498</v>
      </c>
      <c r="H21900">
        <v>12659078</v>
      </c>
      <c r="I21900">
        <v>15727500</v>
      </c>
      <c r="J21900">
        <v>3</v>
      </c>
    </row>
    <row r="21901" spans="1:10" x14ac:dyDescent="0.25">
      <c r="A21901" t="s">
        <v>238</v>
      </c>
      <c r="B21901" s="1" t="str">
        <f>HYPERLINK("http://xcelience.com","xcelience.com")</f>
        <v>xcelience.com</v>
      </c>
      <c r="C21901" t="s">
        <v>433</v>
      </c>
      <c r="F21901">
        <v>8.5261004251027597E-9</v>
      </c>
      <c r="G21901">
        <v>8794652</v>
      </c>
      <c r="H21901">
        <v>13968135</v>
      </c>
      <c r="I21901">
        <v>4081795</v>
      </c>
      <c r="J21901">
        <v>4</v>
      </c>
    </row>
    <row r="21902" spans="1:10" x14ac:dyDescent="0.25">
      <c r="A21902" t="s">
        <v>238</v>
      </c>
      <c r="B21902" s="1" t="str">
        <f>HYPERLINK("http://archwater.fr","archwater.fr")</f>
        <v>archwater.fr</v>
      </c>
      <c r="C21902" t="s">
        <v>446</v>
      </c>
      <c r="D21902" t="s">
        <v>824</v>
      </c>
      <c r="F21902">
        <v>6.8693785835178697E-9</v>
      </c>
      <c r="G21902">
        <v>12730837</v>
      </c>
      <c r="H21902">
        <v>10765564</v>
      </c>
      <c r="I21902">
        <v>39423132</v>
      </c>
      <c r="J21902">
        <v>4</v>
      </c>
    </row>
    <row r="21903" spans="1:10" x14ac:dyDescent="0.25">
      <c r="A21903" t="s">
        <v>238</v>
      </c>
      <c r="B21903" s="1" t="str">
        <f>HYPERLINK("http://lonza.co.jp","lonza.co.jp")</f>
        <v>lonza.co.jp</v>
      </c>
      <c r="C21903" t="s">
        <v>461</v>
      </c>
      <c r="D21903" t="s">
        <v>837</v>
      </c>
      <c r="F21903">
        <v>6.6258824788894597E-9</v>
      </c>
      <c r="G21903">
        <v>13575480</v>
      </c>
      <c r="H21903">
        <v>11103284</v>
      </c>
      <c r="I21903">
        <v>32228387</v>
      </c>
      <c r="J21903">
        <v>2</v>
      </c>
    </row>
    <row r="21904" spans="1:10" x14ac:dyDescent="0.25">
      <c r="A21904" t="s">
        <v>238</v>
      </c>
      <c r="B21904" s="1" t="str">
        <f>HYPERLINK("http://pharmacell.nl","pharmacell.nl")</f>
        <v>pharmacell.nl</v>
      </c>
      <c r="C21904" t="s">
        <v>477</v>
      </c>
      <c r="D21904" t="s">
        <v>852</v>
      </c>
      <c r="F21904">
        <v>1.32946406726016E-8</v>
      </c>
      <c r="G21904">
        <v>4495745</v>
      </c>
      <c r="H21904">
        <v>14066518</v>
      </c>
      <c r="I21904">
        <v>3730862</v>
      </c>
      <c r="J21904">
        <v>3</v>
      </c>
    </row>
    <row r="21905" spans="1:10" x14ac:dyDescent="0.25">
      <c r="A21905" t="s">
        <v>238</v>
      </c>
      <c r="B21905" s="1" t="str">
        <f>HYPERLINK("http://capsugel.ru","capsugel.ru")</f>
        <v>capsugel.ru</v>
      </c>
      <c r="C21905" t="s">
        <v>493</v>
      </c>
      <c r="D21905" t="s">
        <v>867</v>
      </c>
      <c r="F21905">
        <v>1.3023241031660101E-8</v>
      </c>
      <c r="G21905">
        <v>4620781</v>
      </c>
      <c r="H21905">
        <v>13737822</v>
      </c>
      <c r="I21905">
        <v>9444209</v>
      </c>
      <c r="J21905">
        <v>4</v>
      </c>
    </row>
    <row r="21906" spans="1:10" x14ac:dyDescent="0.25">
      <c r="A21906" t="s">
        <v>239</v>
      </c>
      <c r="B21906" s="1" t="str">
        <f>HYPERLINK("http://buildingsupplies.ca","buildingsupplies.ca")</f>
        <v>buildingsupplies.ca</v>
      </c>
      <c r="C21906" t="s">
        <v>428</v>
      </c>
      <c r="D21906" t="s">
        <v>809</v>
      </c>
      <c r="F21906">
        <v>6.4312675046893703E-9</v>
      </c>
      <c r="G21906">
        <v>14375713</v>
      </c>
      <c r="H21906">
        <v>12868425</v>
      </c>
      <c r="I21906">
        <v>14096565</v>
      </c>
      <c r="J21906">
        <v>4</v>
      </c>
    </row>
    <row r="21907" spans="1:10" x14ac:dyDescent="0.25">
      <c r="A21907" t="s">
        <v>239</v>
      </c>
      <c r="B21907" s="1" t="str">
        <f>HYPERLINK("http://le485.ca","le485.ca")</f>
        <v>le485.ca</v>
      </c>
      <c r="C21907" t="s">
        <v>428</v>
      </c>
      <c r="D21907" t="s">
        <v>809</v>
      </c>
      <c r="J21907">
        <v>4</v>
      </c>
    </row>
    <row r="21908" spans="1:10" x14ac:dyDescent="0.25">
      <c r="A21908" t="s">
        <v>239</v>
      </c>
      <c r="B21908" s="1" t="str">
        <f>HYPERLINK("http://lowes.ca","lowes.ca")</f>
        <v>lowes.ca</v>
      </c>
      <c r="C21908" t="s">
        <v>428</v>
      </c>
      <c r="D21908" t="s">
        <v>809</v>
      </c>
      <c r="E21908">
        <v>31251</v>
      </c>
      <c r="F21908">
        <v>5.5383076856665203E-7</v>
      </c>
      <c r="G21908">
        <v>69940</v>
      </c>
      <c r="H21908">
        <v>17251964</v>
      </c>
      <c r="I21908">
        <v>33731</v>
      </c>
      <c r="J21908">
        <v>2</v>
      </c>
    </row>
    <row r="21909" spans="1:10" x14ac:dyDescent="0.25">
      <c r="A21909" t="s">
        <v>239</v>
      </c>
      <c r="B21909" s="1" t="str">
        <f>HYPERLINK("http://lowescanada.ca","lowescanada.ca")</f>
        <v>lowescanada.ca</v>
      </c>
      <c r="C21909" t="s">
        <v>428</v>
      </c>
      <c r="D21909" t="s">
        <v>809</v>
      </c>
      <c r="F21909">
        <v>4.7400875684701801E-8</v>
      </c>
      <c r="G21909">
        <v>982913</v>
      </c>
      <c r="H21909">
        <v>13562288</v>
      </c>
      <c r="I21909">
        <v>9845021</v>
      </c>
      <c r="J21909">
        <v>4</v>
      </c>
    </row>
    <row r="21910" spans="1:10" x14ac:dyDescent="0.25">
      <c r="A21910" t="s">
        <v>239</v>
      </c>
      <c r="B21910" s="1" t="str">
        <f>HYPERLINK("http://rona.ca","rona.ca")</f>
        <v>rona.ca</v>
      </c>
      <c r="C21910" t="s">
        <v>428</v>
      </c>
      <c r="D21910" t="s">
        <v>809</v>
      </c>
      <c r="E21910">
        <v>24522</v>
      </c>
      <c r="F21910">
        <v>4.8685665557076695E-7</v>
      </c>
      <c r="G21910">
        <v>78247</v>
      </c>
      <c r="H21910">
        <v>15377535</v>
      </c>
      <c r="I21910">
        <v>381301</v>
      </c>
      <c r="J21910">
        <v>3</v>
      </c>
    </row>
    <row r="21911" spans="1:10" x14ac:dyDescent="0.25">
      <c r="A21911" t="s">
        <v>239</v>
      </c>
      <c r="B21911" s="1" t="str">
        <f>HYPERLINK("http://ronadagenais.ca","ronadagenais.ca")</f>
        <v>ronadagenais.ca</v>
      </c>
      <c r="C21911" t="s">
        <v>428</v>
      </c>
      <c r="D21911" t="s">
        <v>809</v>
      </c>
      <c r="J21911">
        <v>5</v>
      </c>
    </row>
    <row r="21912" spans="1:10" x14ac:dyDescent="0.25">
      <c r="A21912" t="s">
        <v>239</v>
      </c>
      <c r="B21912" s="1" t="str">
        <f>HYPERLINK("http://fraservalleyrona.com","fraservalleyrona.com")</f>
        <v>fraservalleyrona.com</v>
      </c>
      <c r="C21912" t="s">
        <v>433</v>
      </c>
      <c r="F21912">
        <v>5.0975445328006998E-9</v>
      </c>
      <c r="G21912">
        <v>27130083</v>
      </c>
      <c r="H21912">
        <v>7169792</v>
      </c>
      <c r="I21912">
        <v>76485229</v>
      </c>
      <c r="J21912">
        <v>4</v>
      </c>
    </row>
    <row r="21913" spans="1:10" x14ac:dyDescent="0.25">
      <c r="A21913" t="s">
        <v>239</v>
      </c>
      <c r="B21913" s="1" t="str">
        <f>HYPERLINK("http://lablumber.com","lablumber.com")</f>
        <v>lablumber.com</v>
      </c>
      <c r="C21913" t="s">
        <v>433</v>
      </c>
      <c r="J21913">
        <v>5</v>
      </c>
    </row>
    <row r="21914" spans="1:10" x14ac:dyDescent="0.25">
      <c r="A21914" t="s">
        <v>239</v>
      </c>
      <c r="B21914" s="1" t="str">
        <f>HYPERLINK("http://lowes.com","lowes.com")</f>
        <v>lowes.com</v>
      </c>
      <c r="C21914" t="s">
        <v>433</v>
      </c>
      <c r="E21914">
        <v>1371</v>
      </c>
      <c r="F21914">
        <v>7.6643582660075706E-6</v>
      </c>
      <c r="G21914">
        <v>4385</v>
      </c>
      <c r="H21914">
        <v>17809258</v>
      </c>
      <c r="I21914">
        <v>5472</v>
      </c>
      <c r="J21914">
        <v>1</v>
      </c>
    </row>
    <row r="21915" spans="1:10" x14ac:dyDescent="0.25">
      <c r="A21915" t="s">
        <v>239</v>
      </c>
      <c r="B21915" s="1" t="str">
        <f>HYPERLINK("http://renodepot.com","renodepot.com")</f>
        <v>renodepot.com</v>
      </c>
      <c r="C21915" t="s">
        <v>433</v>
      </c>
      <c r="E21915">
        <v>90973</v>
      </c>
      <c r="F21915">
        <v>1.58073049640471E-7</v>
      </c>
      <c r="G21915">
        <v>245604</v>
      </c>
      <c r="H21915">
        <v>15100766</v>
      </c>
      <c r="I21915">
        <v>406409</v>
      </c>
      <c r="J21915">
        <v>3</v>
      </c>
    </row>
    <row r="21916" spans="1:10" x14ac:dyDescent="0.25">
      <c r="A21916" t="s">
        <v>239</v>
      </c>
      <c r="B21916" s="1" t="str">
        <f>HYPERLINK("http://rochgauthierfils.com","rochgauthierfils.com")</f>
        <v>rochgauthierfils.com</v>
      </c>
      <c r="C21916" t="s">
        <v>433</v>
      </c>
      <c r="F21916">
        <v>4.4529894539249697E-9</v>
      </c>
      <c r="G21916">
        <v>70350875</v>
      </c>
      <c r="H21916">
        <v>9330389</v>
      </c>
      <c r="I21916">
        <v>68218549</v>
      </c>
      <c r="J21916">
        <v>4</v>
      </c>
    </row>
    <row r="21917" spans="1:10" x14ac:dyDescent="0.25">
      <c r="A21917" t="s">
        <v>239</v>
      </c>
      <c r="B21917" s="1" t="str">
        <f>HYPERLINK("http://ronabelanger.com","ronabelanger.com")</f>
        <v>ronabelanger.com</v>
      </c>
      <c r="C21917" t="s">
        <v>433</v>
      </c>
      <c r="F21917">
        <v>4.44525182619741E-9</v>
      </c>
      <c r="G21917">
        <v>75480591</v>
      </c>
      <c r="H21917">
        <v>10403159</v>
      </c>
      <c r="I21917">
        <v>54197435</v>
      </c>
      <c r="J21917">
        <v>4</v>
      </c>
    </row>
    <row r="21918" spans="1:10" x14ac:dyDescent="0.25">
      <c r="A21918" t="s">
        <v>240</v>
      </c>
      <c r="B21918" s="1" t="str">
        <f>HYPERLINK("http://lululemon.app","lululemon.app")</f>
        <v>lululemon.app</v>
      </c>
      <c r="C21918" t="s">
        <v>587</v>
      </c>
      <c r="E21918">
        <v>296042</v>
      </c>
      <c r="F21918">
        <v>4.4447793069239097E-9</v>
      </c>
      <c r="G21918">
        <v>76101137</v>
      </c>
      <c r="H21918">
        <v>10355505</v>
      </c>
      <c r="I21918">
        <v>55756280</v>
      </c>
      <c r="J21918">
        <v>3</v>
      </c>
    </row>
    <row r="21919" spans="1:10" x14ac:dyDescent="0.25">
      <c r="A21919" t="s">
        <v>240</v>
      </c>
      <c r="B21919" s="1" t="str">
        <f>HYPERLINK("http://lululemon.com.au","lululemon.com.au")</f>
        <v>lululemon.com.au</v>
      </c>
      <c r="C21919" t="s">
        <v>420</v>
      </c>
      <c r="D21919" t="s">
        <v>802</v>
      </c>
      <c r="E21919">
        <v>147935</v>
      </c>
      <c r="F21919">
        <v>1.05920914888124E-7</v>
      </c>
      <c r="G21919">
        <v>378110</v>
      </c>
      <c r="H21919">
        <v>14679574</v>
      </c>
      <c r="I21919">
        <v>609118</v>
      </c>
      <c r="J21919">
        <v>2</v>
      </c>
    </row>
    <row r="21920" spans="1:10" x14ac:dyDescent="0.25">
      <c r="A21920" t="s">
        <v>240</v>
      </c>
      <c r="B21920" s="1" t="str">
        <f>HYPERLINK("http://lululemon.ca","lululemon.ca")</f>
        <v>lululemon.ca</v>
      </c>
      <c r="C21920" t="s">
        <v>428</v>
      </c>
      <c r="D21920" t="s">
        <v>809</v>
      </c>
      <c r="F21920">
        <v>6.2341615694796799E-9</v>
      </c>
      <c r="G21920">
        <v>15354466</v>
      </c>
      <c r="H21920">
        <v>12313626</v>
      </c>
      <c r="I21920">
        <v>20544365</v>
      </c>
      <c r="J21920">
        <v>2</v>
      </c>
    </row>
    <row r="21921" spans="1:10" x14ac:dyDescent="0.25">
      <c r="A21921" t="s">
        <v>240</v>
      </c>
      <c r="B21921" s="1" t="str">
        <f>HYPERLINK("http://lululemon.cn","lululemon.cn")</f>
        <v>lululemon.cn</v>
      </c>
      <c r="C21921" t="s">
        <v>431</v>
      </c>
      <c r="D21921" t="s">
        <v>812</v>
      </c>
      <c r="F21921">
        <v>3.4501453781295099E-8</v>
      </c>
      <c r="G21921">
        <v>1503593</v>
      </c>
      <c r="H21921">
        <v>13625289</v>
      </c>
      <c r="I21921">
        <v>9621759</v>
      </c>
      <c r="J21921">
        <v>2</v>
      </c>
    </row>
    <row r="21922" spans="1:10" x14ac:dyDescent="0.25">
      <c r="A21922" t="s">
        <v>240</v>
      </c>
      <c r="B21922" s="1" t="str">
        <f>HYPERLINK("http://mirror.co","mirror.co")</f>
        <v>mirror.co</v>
      </c>
      <c r="C21922" t="s">
        <v>432</v>
      </c>
      <c r="E21922">
        <v>89386</v>
      </c>
      <c r="F21922">
        <v>7.3071409322845096E-7</v>
      </c>
      <c r="G21922">
        <v>53226</v>
      </c>
      <c r="H21922">
        <v>15232177</v>
      </c>
      <c r="I21922">
        <v>392075</v>
      </c>
      <c r="J21922">
        <v>3</v>
      </c>
    </row>
    <row r="21923" spans="1:10" x14ac:dyDescent="0.25">
      <c r="A21923" t="s">
        <v>240</v>
      </c>
      <c r="B21923" s="1" t="str">
        <f>HYPERLINK("http://318queen.com","318queen.com")</f>
        <v>318queen.com</v>
      </c>
      <c r="C21923" t="s">
        <v>433</v>
      </c>
      <c r="F21923">
        <v>5.2087450080977999E-9</v>
      </c>
      <c r="G21923">
        <v>24946593</v>
      </c>
      <c r="H21923">
        <v>13933736</v>
      </c>
      <c r="I21923">
        <v>4677375</v>
      </c>
      <c r="J21923">
        <v>4</v>
      </c>
    </row>
    <row r="21924" spans="1:10" x14ac:dyDescent="0.25">
      <c r="A21924" t="s">
        <v>240</v>
      </c>
      <c r="B21924" s="1" t="str">
        <f>HYPERLINK("http://lllapps.com","lllapps.com")</f>
        <v>lllapps.com</v>
      </c>
      <c r="C21924" t="s">
        <v>433</v>
      </c>
      <c r="E21924">
        <v>45847</v>
      </c>
      <c r="F21924">
        <v>3.8501172773707797E-8</v>
      </c>
      <c r="G21924">
        <v>1339610</v>
      </c>
      <c r="H21924">
        <v>12612830</v>
      </c>
      <c r="I21924">
        <v>16219995</v>
      </c>
      <c r="J21924">
        <v>3</v>
      </c>
    </row>
    <row r="21925" spans="1:10" x14ac:dyDescent="0.25">
      <c r="A21925" t="s">
        <v>240</v>
      </c>
      <c r="B21925" s="1" t="str">
        <f>HYPERLINK("http://lllext.com","lllext.com")</f>
        <v>lllext.com</v>
      </c>
      <c r="C21925" t="s">
        <v>433</v>
      </c>
      <c r="E21925">
        <v>77213</v>
      </c>
      <c r="F21925">
        <v>4.44380996400719E-9</v>
      </c>
      <c r="G21925">
        <v>79622806</v>
      </c>
      <c r="H21925">
        <v>10351910</v>
      </c>
      <c r="I21925">
        <v>56126783</v>
      </c>
      <c r="J21925">
        <v>3</v>
      </c>
    </row>
    <row r="21926" spans="1:10" x14ac:dyDescent="0.25">
      <c r="A21926" t="s">
        <v>240</v>
      </c>
      <c r="B21926" s="1" t="str">
        <f>HYPERLINK("http://lllint.com","lllint.com")</f>
        <v>lllint.com</v>
      </c>
      <c r="C21926" t="s">
        <v>433</v>
      </c>
      <c r="F21926">
        <v>4.4448334986516097E-9</v>
      </c>
      <c r="G21926">
        <v>76014256</v>
      </c>
      <c r="H21926">
        <v>10367523</v>
      </c>
      <c r="I21926">
        <v>54940901</v>
      </c>
      <c r="J21926">
        <v>3</v>
      </c>
    </row>
    <row r="21927" spans="1:10" x14ac:dyDescent="0.25">
      <c r="A21927" t="s">
        <v>240</v>
      </c>
      <c r="B21927" s="1" t="str">
        <f>HYPERLINK("http://lululemon.com","lululemon.com")</f>
        <v>lululemon.com</v>
      </c>
      <c r="C21927" t="s">
        <v>433</v>
      </c>
      <c r="E21927">
        <v>4931</v>
      </c>
      <c r="F21927">
        <v>3.5112840542958802E-6</v>
      </c>
      <c r="G21927">
        <v>11644</v>
      </c>
      <c r="H21927">
        <v>17755848</v>
      </c>
      <c r="I21927">
        <v>6268</v>
      </c>
      <c r="J21927">
        <v>1</v>
      </c>
    </row>
    <row r="21928" spans="1:10" x14ac:dyDescent="0.25">
      <c r="A21928" t="s">
        <v>240</v>
      </c>
      <c r="B21928" s="1" t="str">
        <f>HYPERLINK("http://lululemon.de","lululemon.de")</f>
        <v>lululemon.de</v>
      </c>
      <c r="C21928" t="s">
        <v>436</v>
      </c>
      <c r="D21928" t="s">
        <v>815</v>
      </c>
      <c r="E21928">
        <v>344958</v>
      </c>
      <c r="F21928">
        <v>5.7087780504960198E-8</v>
      </c>
      <c r="G21928">
        <v>781915</v>
      </c>
      <c r="H21928">
        <v>14044939</v>
      </c>
      <c r="I21928">
        <v>3901982</v>
      </c>
      <c r="J21928">
        <v>2</v>
      </c>
    </row>
    <row r="21929" spans="1:10" x14ac:dyDescent="0.25">
      <c r="A21929" t="s">
        <v>240</v>
      </c>
      <c r="B21929" s="1" t="str">
        <f>HYPERLINK("http://lululemon.es","lululemon.es")</f>
        <v>lululemon.es</v>
      </c>
      <c r="C21929" t="s">
        <v>443</v>
      </c>
      <c r="D21929" t="s">
        <v>822</v>
      </c>
      <c r="F21929">
        <v>3.57365818376956E-8</v>
      </c>
      <c r="G21929">
        <v>1457947</v>
      </c>
      <c r="H21929">
        <v>12504540</v>
      </c>
      <c r="I21929">
        <v>17300505</v>
      </c>
      <c r="J21929">
        <v>2</v>
      </c>
    </row>
    <row r="21930" spans="1:10" x14ac:dyDescent="0.25">
      <c r="A21930" t="s">
        <v>240</v>
      </c>
      <c r="B21930" s="1" t="str">
        <f>HYPERLINK("http://ivivva.fi","ivivva.fi")</f>
        <v>ivivva.fi</v>
      </c>
      <c r="C21930" t="s">
        <v>445</v>
      </c>
      <c r="D21930" t="s">
        <v>823</v>
      </c>
      <c r="J21930">
        <v>4</v>
      </c>
    </row>
    <row r="21931" spans="1:10" x14ac:dyDescent="0.25">
      <c r="A21931" t="s">
        <v>240</v>
      </c>
      <c r="B21931" s="1" t="str">
        <f>HYPERLINK("http://lululemon.fi","lululemon.fi")</f>
        <v>lululemon.fi</v>
      </c>
      <c r="C21931" t="s">
        <v>445</v>
      </c>
      <c r="D21931" t="s">
        <v>823</v>
      </c>
      <c r="J21931">
        <v>4</v>
      </c>
    </row>
    <row r="21932" spans="1:10" x14ac:dyDescent="0.25">
      <c r="A21932" t="s">
        <v>240</v>
      </c>
      <c r="B21932" s="1" t="str">
        <f>HYPERLINK("http://lululemon.fr","lululemon.fr")</f>
        <v>lululemon.fr</v>
      </c>
      <c r="C21932" t="s">
        <v>446</v>
      </c>
      <c r="D21932" t="s">
        <v>824</v>
      </c>
      <c r="F21932">
        <v>4.4104984183598903E-8</v>
      </c>
      <c r="G21932">
        <v>1078096</v>
      </c>
      <c r="H21932">
        <v>13571459</v>
      </c>
      <c r="I21932">
        <v>9719142</v>
      </c>
      <c r="J21932">
        <v>2</v>
      </c>
    </row>
    <row r="21933" spans="1:10" x14ac:dyDescent="0.25">
      <c r="A21933" t="s">
        <v>240</v>
      </c>
      <c r="B21933" s="1" t="str">
        <f>HYPERLINK("http://lululemon.com.hk","lululemon.com.hk")</f>
        <v>lululemon.com.hk</v>
      </c>
      <c r="C21933" t="s">
        <v>450</v>
      </c>
      <c r="D21933" t="s">
        <v>827</v>
      </c>
      <c r="E21933">
        <v>124068</v>
      </c>
      <c r="F21933">
        <v>6.2434675407030104E-8</v>
      </c>
      <c r="G21933">
        <v>703026</v>
      </c>
      <c r="H21933">
        <v>14260596</v>
      </c>
      <c r="I21933">
        <v>1419053</v>
      </c>
      <c r="J21933">
        <v>2</v>
      </c>
    </row>
    <row r="21934" spans="1:10" x14ac:dyDescent="0.25">
      <c r="A21934" t="s">
        <v>240</v>
      </c>
      <c r="B21934" s="1" t="str">
        <f>HYPERLINK("http://lululemon.co.jp","lululemon.co.jp")</f>
        <v>lululemon.co.jp</v>
      </c>
      <c r="C21934" t="s">
        <v>461</v>
      </c>
      <c r="D21934" t="s">
        <v>837</v>
      </c>
      <c r="F21934">
        <v>7.1357140770684494E-8</v>
      </c>
      <c r="G21934">
        <v>592347</v>
      </c>
      <c r="H21934">
        <v>13554734</v>
      </c>
      <c r="I21934">
        <v>9885406</v>
      </c>
      <c r="J21934">
        <v>2</v>
      </c>
    </row>
    <row r="21935" spans="1:10" x14ac:dyDescent="0.25">
      <c r="A21935" t="s">
        <v>240</v>
      </c>
      <c r="B21935" s="1" t="str">
        <f>HYPERLINK("http://lululemon.co.kr","lululemon.co.kr")</f>
        <v>lululemon.co.kr</v>
      </c>
      <c r="C21935" t="s">
        <v>463</v>
      </c>
      <c r="D21935" t="s">
        <v>839</v>
      </c>
      <c r="E21935">
        <v>418647</v>
      </c>
      <c r="F21935">
        <v>4.5649502440737701E-8</v>
      </c>
      <c r="G21935">
        <v>1030281</v>
      </c>
      <c r="H21935">
        <v>14095937</v>
      </c>
      <c r="I21935">
        <v>2726855</v>
      </c>
      <c r="J21935">
        <v>2</v>
      </c>
    </row>
    <row r="21936" spans="1:10" x14ac:dyDescent="0.25">
      <c r="A21936" t="s">
        <v>240</v>
      </c>
      <c r="B21936" s="1" t="str">
        <f>HYPERLINK("http://lululemon.co.nz","lululemon.co.nz")</f>
        <v>lululemon.co.nz</v>
      </c>
      <c r="C21936" t="s">
        <v>479</v>
      </c>
      <c r="D21936" t="s">
        <v>854</v>
      </c>
      <c r="E21936">
        <v>478370</v>
      </c>
      <c r="F21936">
        <v>5.6127587963627597E-8</v>
      </c>
      <c r="G21936">
        <v>797675</v>
      </c>
      <c r="H21936">
        <v>13785898</v>
      </c>
      <c r="I21936">
        <v>6394376</v>
      </c>
      <c r="J21936">
        <v>2</v>
      </c>
    </row>
    <row r="21937" spans="1:10" x14ac:dyDescent="0.25">
      <c r="A21937" t="s">
        <v>240</v>
      </c>
      <c r="B21937" s="1" t="str">
        <f>HYPERLINK("http://lululemon.co.uk","lululemon.co.uk")</f>
        <v>lululemon.co.uk</v>
      </c>
      <c r="C21937" t="s">
        <v>506</v>
      </c>
      <c r="D21937" t="s">
        <v>880</v>
      </c>
      <c r="E21937">
        <v>50522</v>
      </c>
      <c r="F21937">
        <v>1.45179957471079E-7</v>
      </c>
      <c r="G21937">
        <v>268127</v>
      </c>
      <c r="H21937">
        <v>14543126</v>
      </c>
      <c r="I21937">
        <v>772272</v>
      </c>
      <c r="J21937">
        <v>2</v>
      </c>
    </row>
    <row r="21938" spans="1:10" x14ac:dyDescent="0.25">
      <c r="A21938" t="s">
        <v>241</v>
      </c>
      <c r="B21938" s="1" t="str">
        <f>HYPERLINK("http://lzlj.com.cn","lzlj.com.cn")</f>
        <v>lzlj.com.cn</v>
      </c>
      <c r="C21938" t="s">
        <v>431</v>
      </c>
      <c r="D21938" t="s">
        <v>812</v>
      </c>
      <c r="F21938">
        <v>1.5918080339669301E-8</v>
      </c>
      <c r="G21938">
        <v>3567902</v>
      </c>
      <c r="H21938">
        <v>13509292</v>
      </c>
      <c r="I21938">
        <v>9958956</v>
      </c>
      <c r="J21938">
        <v>4</v>
      </c>
    </row>
    <row r="21939" spans="1:10" x14ac:dyDescent="0.25">
      <c r="A21939" t="s">
        <v>241</v>
      </c>
      <c r="B21939" s="1" t="str">
        <f>HYPERLINK("http://lzlj.com","lzlj.com")</f>
        <v>lzlj.com</v>
      </c>
      <c r="C21939" t="s">
        <v>433</v>
      </c>
      <c r="E21939">
        <v>378563</v>
      </c>
      <c r="F21939">
        <v>2.5344455131288102E-7</v>
      </c>
      <c r="G21939">
        <v>147576</v>
      </c>
      <c r="H21939">
        <v>14462164</v>
      </c>
      <c r="I21939">
        <v>1046268</v>
      </c>
      <c r="J21939">
        <v>1</v>
      </c>
    </row>
    <row r="21940" spans="1:10" x14ac:dyDescent="0.25">
      <c r="A21940" t="s">
        <v>1634</v>
      </c>
      <c r="B21940" s="1" t="str">
        <f>HYPERLINK("http://andeavorlogistics.com","andeavorlogistics.com")</f>
        <v>andeavorlogistics.com</v>
      </c>
      <c r="C21940" t="s">
        <v>433</v>
      </c>
      <c r="F21940">
        <v>1.17145688221242E-8</v>
      </c>
      <c r="G21940">
        <v>5357134</v>
      </c>
      <c r="H21940">
        <v>13168630</v>
      </c>
      <c r="I21940">
        <v>11730289</v>
      </c>
      <c r="J21940">
        <v>3</v>
      </c>
    </row>
    <row r="21941" spans="1:10" x14ac:dyDescent="0.25">
      <c r="A21941" t="s">
        <v>1634</v>
      </c>
      <c r="B21941" s="1" t="str">
        <f>HYPERLINK("http://mapl.com","mapl.com")</f>
        <v>mapl.com</v>
      </c>
      <c r="C21941" t="s">
        <v>433</v>
      </c>
      <c r="F21941">
        <v>1.13606942076607E-8</v>
      </c>
      <c r="G21941">
        <v>5600894</v>
      </c>
      <c r="H21941">
        <v>12736049</v>
      </c>
      <c r="I21941">
        <v>15162516</v>
      </c>
      <c r="J21941">
        <v>3</v>
      </c>
    </row>
    <row r="21942" spans="1:10" x14ac:dyDescent="0.25">
      <c r="A21942" t="s">
        <v>1634</v>
      </c>
      <c r="B21942" s="1" t="str">
        <f>HYPERLINK("http://markwest.com","markwest.com")</f>
        <v>markwest.com</v>
      </c>
      <c r="C21942" t="s">
        <v>433</v>
      </c>
      <c r="E21942">
        <v>189944</v>
      </c>
      <c r="F21942">
        <v>2.72710619295209E-8</v>
      </c>
      <c r="G21942">
        <v>1885289</v>
      </c>
      <c r="H21942">
        <v>13368677</v>
      </c>
      <c r="I21942">
        <v>10472884</v>
      </c>
      <c r="J21942">
        <v>3</v>
      </c>
    </row>
    <row r="21943" spans="1:10" x14ac:dyDescent="0.25">
      <c r="A21943" t="s">
        <v>1634</v>
      </c>
      <c r="B21943" s="1" t="str">
        <f>HYPERLINK("http://mplx.com","mplx.com")</f>
        <v>mplx.com</v>
      </c>
      <c r="C21943" t="s">
        <v>433</v>
      </c>
      <c r="F21943">
        <v>6.7474973720069797E-8</v>
      </c>
      <c r="G21943">
        <v>633219</v>
      </c>
      <c r="H21943">
        <v>13927018</v>
      </c>
      <c r="I21943">
        <v>5930869</v>
      </c>
      <c r="J21943">
        <v>1</v>
      </c>
    </row>
    <row r="21944" spans="1:10" x14ac:dyDescent="0.25">
      <c r="A21944" t="s">
        <v>1634</v>
      </c>
      <c r="B21944" s="1" t="str">
        <f>HYPERLINK("http://pinoakterminals.com","pinoakterminals.com")</f>
        <v>pinoakterminals.com</v>
      </c>
      <c r="C21944" t="s">
        <v>433</v>
      </c>
      <c r="F21944">
        <v>1.27176112350008E-8</v>
      </c>
      <c r="G21944">
        <v>4770596</v>
      </c>
      <c r="H21944">
        <v>12364204</v>
      </c>
      <c r="I21944">
        <v>19512346</v>
      </c>
      <c r="J21944">
        <v>3</v>
      </c>
    </row>
    <row r="21945" spans="1:10" x14ac:dyDescent="0.25">
      <c r="A21945" t="s">
        <v>242</v>
      </c>
      <c r="B21945" s="1" t="str">
        <f>HYPERLINK("http://rcanalytics.com.au","rcanalytics.com.au")</f>
        <v>rcanalytics.com.au</v>
      </c>
      <c r="C21945" t="s">
        <v>420</v>
      </c>
      <c r="D21945" t="s">
        <v>802</v>
      </c>
      <c r="J21945">
        <v>4</v>
      </c>
    </row>
    <row r="21946" spans="1:10" x14ac:dyDescent="0.25">
      <c r="A21946" t="s">
        <v>242</v>
      </c>
      <c r="B21946" s="1" t="str">
        <f>HYPERLINK("http://barra.com","barra.com")</f>
        <v>barra.com</v>
      </c>
      <c r="C21946" t="s">
        <v>433</v>
      </c>
      <c r="E21946">
        <v>245264</v>
      </c>
      <c r="F21946">
        <v>1.6742432103246001E-8</v>
      </c>
      <c r="G21946">
        <v>3347849</v>
      </c>
      <c r="H21946">
        <v>13047433</v>
      </c>
      <c r="I21946">
        <v>12599280</v>
      </c>
      <c r="J21946">
        <v>3</v>
      </c>
    </row>
    <row r="21947" spans="1:10" x14ac:dyDescent="0.25">
      <c r="A21947" t="s">
        <v>242</v>
      </c>
      <c r="B21947" s="1" t="str">
        <f>HYPERLINK("http://datscha.com","datscha.com")</f>
        <v>datscha.com</v>
      </c>
      <c r="C21947" t="s">
        <v>433</v>
      </c>
      <c r="F21947">
        <v>2.4500996577082499E-8</v>
      </c>
      <c r="G21947">
        <v>2114522</v>
      </c>
      <c r="H21947">
        <v>13531405</v>
      </c>
      <c r="I21947">
        <v>9917316</v>
      </c>
      <c r="J21947">
        <v>3</v>
      </c>
    </row>
    <row r="21948" spans="1:10" x14ac:dyDescent="0.25">
      <c r="A21948" t="s">
        <v>242</v>
      </c>
      <c r="B21948" s="1" t="str">
        <f>HYPERLINK("http://investorforce.com","investorforce.com")</f>
        <v>investorforce.com</v>
      </c>
      <c r="C21948" t="s">
        <v>433</v>
      </c>
      <c r="F21948">
        <v>5.8498700454814103E-9</v>
      </c>
      <c r="G21948">
        <v>17710797</v>
      </c>
      <c r="H21948">
        <v>12119119</v>
      </c>
      <c r="I21948">
        <v>25428375</v>
      </c>
      <c r="J21948">
        <v>4</v>
      </c>
    </row>
    <row r="21949" spans="1:10" x14ac:dyDescent="0.25">
      <c r="A21949" t="s">
        <v>242</v>
      </c>
      <c r="B21949" s="1" t="str">
        <f>HYPERLINK("http://ipd.com","ipd.com")</f>
        <v>ipd.com</v>
      </c>
      <c r="C21949" t="s">
        <v>433</v>
      </c>
      <c r="F21949">
        <v>6.9458707065729898E-8</v>
      </c>
      <c r="G21949">
        <v>611284</v>
      </c>
      <c r="H21949">
        <v>14171376</v>
      </c>
      <c r="I21949">
        <v>1801696</v>
      </c>
      <c r="J21949">
        <v>3</v>
      </c>
    </row>
    <row r="21950" spans="1:10" x14ac:dyDescent="0.25">
      <c r="A21950" t="s">
        <v>242</v>
      </c>
      <c r="B21950" s="1" t="str">
        <f>HYPERLINK("http://msci.com","msci.com")</f>
        <v>msci.com</v>
      </c>
      <c r="C21950" t="s">
        <v>433</v>
      </c>
      <c r="E21950">
        <v>16720</v>
      </c>
      <c r="F21950">
        <v>3.6686622487540198E-6</v>
      </c>
      <c r="G21950">
        <v>11305</v>
      </c>
      <c r="H21950">
        <v>17516660</v>
      </c>
      <c r="I21950">
        <v>12927</v>
      </c>
      <c r="J21950">
        <v>1</v>
      </c>
    </row>
    <row r="21951" spans="1:10" x14ac:dyDescent="0.25">
      <c r="A21951" t="s">
        <v>242</v>
      </c>
      <c r="B21951" s="1" t="str">
        <f>HYPERLINK("http://rcanalytics.com","rcanalytics.com")</f>
        <v>rcanalytics.com</v>
      </c>
      <c r="C21951" t="s">
        <v>433</v>
      </c>
      <c r="E21951">
        <v>283839</v>
      </c>
      <c r="F21951">
        <v>1.4710278129274E-7</v>
      </c>
      <c r="G21951">
        <v>264676</v>
      </c>
      <c r="H21951">
        <v>14310992</v>
      </c>
      <c r="I21951">
        <v>1341363</v>
      </c>
      <c r="J21951">
        <v>3</v>
      </c>
    </row>
    <row r="21952" spans="1:10" x14ac:dyDescent="0.25">
      <c r="A21952" t="s">
        <v>242</v>
      </c>
      <c r="B21952" s="1" t="str">
        <f>HYPERLINK("http://riskmetrics.com","riskmetrics.com")</f>
        <v>riskmetrics.com</v>
      </c>
      <c r="C21952" t="s">
        <v>433</v>
      </c>
      <c r="E21952">
        <v>512683</v>
      </c>
      <c r="F21952">
        <v>5.0096442570598103E-8</v>
      </c>
      <c r="G21952">
        <v>919064</v>
      </c>
      <c r="H21952">
        <v>14533529</v>
      </c>
      <c r="I21952">
        <v>783019</v>
      </c>
      <c r="J21952">
        <v>4</v>
      </c>
    </row>
    <row r="21953" spans="1:10" x14ac:dyDescent="0.25">
      <c r="A21953" t="s">
        <v>242</v>
      </c>
      <c r="B21953" s="1" t="str">
        <f>HYPERLINK("http://datscha.fi","datscha.fi")</f>
        <v>datscha.fi</v>
      </c>
      <c r="C21953" t="s">
        <v>445</v>
      </c>
      <c r="D21953" t="s">
        <v>823</v>
      </c>
      <c r="F21953">
        <v>7.0539779687539698E-9</v>
      </c>
      <c r="G21953">
        <v>12144511</v>
      </c>
      <c r="H21953">
        <v>10503316</v>
      </c>
      <c r="I21953">
        <v>50430403</v>
      </c>
      <c r="J21953">
        <v>2</v>
      </c>
    </row>
    <row r="21954" spans="1:10" x14ac:dyDescent="0.25">
      <c r="A21954" t="s">
        <v>242</v>
      </c>
      <c r="B21954" s="1" t="str">
        <f>HYPERLINK("http://rcanalytics.fi","rcanalytics.fi")</f>
        <v>rcanalytics.fi</v>
      </c>
      <c r="C21954" t="s">
        <v>445</v>
      </c>
      <c r="D21954" t="s">
        <v>823</v>
      </c>
      <c r="J21954">
        <v>2</v>
      </c>
    </row>
    <row r="21955" spans="1:10" x14ac:dyDescent="0.25">
      <c r="A21955" t="s">
        <v>242</v>
      </c>
      <c r="B21955" s="1" t="str">
        <f>HYPERLINK("http://datscha.se","datscha.se")</f>
        <v>datscha.se</v>
      </c>
      <c r="C21955" t="s">
        <v>495</v>
      </c>
      <c r="D21955" t="s">
        <v>869</v>
      </c>
      <c r="F21955">
        <v>2.66754571702677E-8</v>
      </c>
      <c r="G21955">
        <v>1929457</v>
      </c>
      <c r="H21955">
        <v>12457615</v>
      </c>
      <c r="I21955">
        <v>17905477</v>
      </c>
      <c r="J21955">
        <v>3</v>
      </c>
    </row>
    <row r="21956" spans="1:10" x14ac:dyDescent="0.25">
      <c r="A21956" t="s">
        <v>242</v>
      </c>
      <c r="B21956" s="1" t="str">
        <f>HYPERLINK("http://datscha.co.uk","datscha.co.uk")</f>
        <v>datscha.co.uk</v>
      </c>
      <c r="C21956" t="s">
        <v>506</v>
      </c>
      <c r="D21956" t="s">
        <v>880</v>
      </c>
      <c r="F21956">
        <v>1.6909420561021199E-8</v>
      </c>
      <c r="G21956">
        <v>3304840</v>
      </c>
      <c r="H21956">
        <v>12499099</v>
      </c>
      <c r="I21956">
        <v>17369048</v>
      </c>
      <c r="J21956">
        <v>3</v>
      </c>
    </row>
    <row r="21957" spans="1:10" x14ac:dyDescent="0.25">
      <c r="A21957" t="s">
        <v>243</v>
      </c>
      <c r="B21957" s="1" t="str">
        <f>HYPERLINK("http://macquarie.aero","macquarie.aero")</f>
        <v>macquarie.aero</v>
      </c>
      <c r="C21957" t="s">
        <v>601</v>
      </c>
      <c r="F21957">
        <v>8.9783102323086695E-9</v>
      </c>
      <c r="G21957">
        <v>8024388</v>
      </c>
      <c r="H21957">
        <v>12298974</v>
      </c>
      <c r="I21957">
        <v>20860610</v>
      </c>
      <c r="J21957">
        <v>2</v>
      </c>
    </row>
    <row r="21958" spans="1:10" x14ac:dyDescent="0.25">
      <c r="A21958" t="s">
        <v>243</v>
      </c>
      <c r="B21958" s="1" t="str">
        <f>HYPERLINK("http://lallalwindfarms.com.au","lallalwindfarms.com.au")</f>
        <v>lallalwindfarms.com.au</v>
      </c>
      <c r="C21958" t="s">
        <v>420</v>
      </c>
      <c r="D21958" t="s">
        <v>802</v>
      </c>
      <c r="F21958">
        <v>6.6568282057607897E-9</v>
      </c>
      <c r="G21958">
        <v>13460224</v>
      </c>
      <c r="H21958">
        <v>11769211</v>
      </c>
      <c r="I21958">
        <v>29824136</v>
      </c>
      <c r="J21958">
        <v>5</v>
      </c>
    </row>
    <row r="21959" spans="1:10" x14ac:dyDescent="0.25">
      <c r="A21959" t="s">
        <v>243</v>
      </c>
      <c r="B21959" s="1" t="str">
        <f>HYPERLINK("http://macquarie.com.au","macquarie.com.au")</f>
        <v>macquarie.com.au</v>
      </c>
      <c r="C21959" t="s">
        <v>420</v>
      </c>
      <c r="D21959" t="s">
        <v>802</v>
      </c>
      <c r="E21959">
        <v>67357</v>
      </c>
      <c r="F21959">
        <v>1.9367421299182401E-7</v>
      </c>
      <c r="G21959">
        <v>199041</v>
      </c>
      <c r="H21959">
        <v>14934724</v>
      </c>
      <c r="I21959">
        <v>445911</v>
      </c>
      <c r="J21959">
        <v>2</v>
      </c>
    </row>
    <row r="21960" spans="1:10" x14ac:dyDescent="0.25">
      <c r="A21960" t="s">
        <v>243</v>
      </c>
      <c r="B21960" s="1" t="str">
        <f>HYPERLINK("http://macquarie.ca","macquarie.ca")</f>
        <v>macquarie.ca</v>
      </c>
      <c r="C21960" t="s">
        <v>428</v>
      </c>
      <c r="D21960" t="s">
        <v>809</v>
      </c>
      <c r="F21960">
        <v>8.0729678252303407E-9</v>
      </c>
      <c r="G21960">
        <v>9789430</v>
      </c>
      <c r="H21960">
        <v>10887666</v>
      </c>
      <c r="I21960">
        <v>36162791</v>
      </c>
      <c r="J21960">
        <v>2</v>
      </c>
    </row>
    <row r="21961" spans="1:10" x14ac:dyDescent="0.25">
      <c r="A21961" t="s">
        <v>243</v>
      </c>
      <c r="B21961" s="1" t="str">
        <f>HYPERLINK("http://macquarie.cn","macquarie.cn")</f>
        <v>macquarie.cn</v>
      </c>
      <c r="C21961" t="s">
        <v>431</v>
      </c>
      <c r="D21961" t="s">
        <v>812</v>
      </c>
      <c r="F21961">
        <v>7.3282447897849603E-9</v>
      </c>
      <c r="G21961">
        <v>11411718</v>
      </c>
      <c r="H21961">
        <v>12605416</v>
      </c>
      <c r="I21961">
        <v>16270713</v>
      </c>
      <c r="J21961">
        <v>2</v>
      </c>
    </row>
    <row r="21962" spans="1:10" x14ac:dyDescent="0.25">
      <c r="A21962" t="s">
        <v>243</v>
      </c>
      <c r="B21962" s="1" t="str">
        <f>HYPERLINK("http://mira.co","mira.co")</f>
        <v>mira.co</v>
      </c>
      <c r="C21962" t="s">
        <v>432</v>
      </c>
      <c r="F21962">
        <v>1.4895591187241399E-8</v>
      </c>
      <c r="G21962">
        <v>3874015</v>
      </c>
      <c r="H21962">
        <v>13336895</v>
      </c>
      <c r="I21962">
        <v>10681004</v>
      </c>
      <c r="J21962">
        <v>4</v>
      </c>
    </row>
    <row r="21963" spans="1:10" x14ac:dyDescent="0.25">
      <c r="A21963" t="s">
        <v>243</v>
      </c>
      <c r="B21963" s="1" t="str">
        <f>HYPERLINK("http://aberdeenairport.com","aberdeenairport.com")</f>
        <v>aberdeenairport.com</v>
      </c>
      <c r="C21963" t="s">
        <v>433</v>
      </c>
      <c r="E21963">
        <v>300102</v>
      </c>
      <c r="F21963">
        <v>1.34026788539917E-7</v>
      </c>
      <c r="G21963">
        <v>291311</v>
      </c>
      <c r="H21963">
        <v>14680913</v>
      </c>
      <c r="I21963">
        <v>608472</v>
      </c>
      <c r="J21963">
        <v>8</v>
      </c>
    </row>
    <row r="21964" spans="1:10" x14ac:dyDescent="0.25">
      <c r="A21964" t="s">
        <v>243</v>
      </c>
      <c r="B21964" s="1" t="str">
        <f>HYPERLINK("http://altafiber.com","altafiber.com")</f>
        <v>altafiber.com</v>
      </c>
      <c r="C21964" t="s">
        <v>433</v>
      </c>
      <c r="E21964">
        <v>319216</v>
      </c>
      <c r="F21964">
        <v>7.3319499776310295E-8</v>
      </c>
      <c r="G21964">
        <v>574887</v>
      </c>
      <c r="H21964">
        <v>14459210</v>
      </c>
      <c r="I21964">
        <v>1047771</v>
      </c>
      <c r="J21964">
        <v>7</v>
      </c>
    </row>
    <row r="21965" spans="1:10" x14ac:dyDescent="0.25">
      <c r="A21965" t="s">
        <v>243</v>
      </c>
      <c r="B21965" s="1" t="str">
        <f>HYPERLINK("http://arqiva.com","arqiva.com")</f>
        <v>arqiva.com</v>
      </c>
      <c r="C21965" t="s">
        <v>433</v>
      </c>
      <c r="E21965">
        <v>373312</v>
      </c>
      <c r="F21965">
        <v>1.5395328637125201E-7</v>
      </c>
      <c r="G21965">
        <v>252291</v>
      </c>
      <c r="H21965">
        <v>15144636</v>
      </c>
      <c r="I21965">
        <v>400741</v>
      </c>
      <c r="J21965">
        <v>7</v>
      </c>
    </row>
    <row r="21966" spans="1:10" x14ac:dyDescent="0.25">
      <c r="A21966" t="s">
        <v>243</v>
      </c>
      <c r="B21966" s="1" t="str">
        <f>HYPERLINK("http://cadentgas.com","cadentgas.com")</f>
        <v>cadentgas.com</v>
      </c>
      <c r="C21966" t="s">
        <v>433</v>
      </c>
      <c r="E21966">
        <v>462866</v>
      </c>
      <c r="F21966">
        <v>1.8755211479463901E-7</v>
      </c>
      <c r="G21966">
        <v>205491</v>
      </c>
      <c r="H21966">
        <v>16977794</v>
      </c>
      <c r="I21966">
        <v>99321</v>
      </c>
      <c r="J21966">
        <v>6</v>
      </c>
    </row>
    <row r="21967" spans="1:10" x14ac:dyDescent="0.25">
      <c r="A21967" t="s">
        <v>243</v>
      </c>
      <c r="B21967" s="1" t="str">
        <f>HYPERLINK("http://cbts.com","cbts.com")</f>
        <v>cbts.com</v>
      </c>
      <c r="C21967" t="s">
        <v>433</v>
      </c>
      <c r="E21967">
        <v>594683</v>
      </c>
      <c r="F21967">
        <v>1.5743260059739101E-7</v>
      </c>
      <c r="G21967">
        <v>246679</v>
      </c>
      <c r="H21967">
        <v>14278575</v>
      </c>
      <c r="I21967">
        <v>1385277</v>
      </c>
      <c r="J21967">
        <v>8</v>
      </c>
    </row>
    <row r="21968" spans="1:10" x14ac:dyDescent="0.25">
      <c r="A21968" t="s">
        <v>243</v>
      </c>
      <c r="B21968" s="1" t="str">
        <f>HYPERLINK("http://cbts-ehcs.com","cbts-ehcs.com")</f>
        <v>cbts-ehcs.com</v>
      </c>
      <c r="C21968" t="s">
        <v>433</v>
      </c>
      <c r="E21968">
        <v>142490</v>
      </c>
      <c r="F21968">
        <v>4.6411107950594501E-9</v>
      </c>
      <c r="G21968">
        <v>44714407</v>
      </c>
      <c r="H21968">
        <v>11153608</v>
      </c>
      <c r="I21968">
        <v>31689013</v>
      </c>
      <c r="J21968">
        <v>12</v>
      </c>
    </row>
    <row r="21969" spans="1:10" x14ac:dyDescent="0.25">
      <c r="A21969" t="s">
        <v>243</v>
      </c>
      <c r="B21969" s="1" t="str">
        <f>HYPERLINK("http://cerogeneration.com","cerogeneration.com")</f>
        <v>cerogeneration.com</v>
      </c>
      <c r="C21969" t="s">
        <v>433</v>
      </c>
      <c r="F21969">
        <v>1.5462963140861701E-8</v>
      </c>
      <c r="G21969">
        <v>3695221</v>
      </c>
      <c r="H21969">
        <v>12852888</v>
      </c>
      <c r="I21969">
        <v>14248437</v>
      </c>
      <c r="J21969">
        <v>5</v>
      </c>
    </row>
    <row r="21970" spans="1:10" x14ac:dyDescent="0.25">
      <c r="A21970" t="s">
        <v>243</v>
      </c>
      <c r="B21970" s="1" t="str">
        <f>HYPERLINK("http://ch4mail.com","ch4mail.com")</f>
        <v>ch4mail.com</v>
      </c>
      <c r="C21970" t="s">
        <v>433</v>
      </c>
      <c r="J21970">
        <v>13</v>
      </c>
    </row>
    <row r="21971" spans="1:10" x14ac:dyDescent="0.25">
      <c r="A21971" t="s">
        <v>243</v>
      </c>
      <c r="B21971" s="1" t="str">
        <f>HYPERLINK("http://chempark.com","chempark.com")</f>
        <v>chempark.com</v>
      </c>
      <c r="C21971" t="s">
        <v>433</v>
      </c>
      <c r="F21971">
        <v>6.9327371159611196E-9</v>
      </c>
      <c r="G21971">
        <v>12517310</v>
      </c>
      <c r="H21971">
        <v>13934594</v>
      </c>
      <c r="I21971">
        <v>4588594</v>
      </c>
      <c r="J21971">
        <v>7</v>
      </c>
    </row>
    <row r="21972" spans="1:10" x14ac:dyDescent="0.25">
      <c r="A21972" t="s">
        <v>243</v>
      </c>
      <c r="B21972" s="1" t="str">
        <f>HYPERLINK("http://cinbell.com","cinbell.com")</f>
        <v>cinbell.com</v>
      </c>
      <c r="C21972" t="s">
        <v>433</v>
      </c>
      <c r="E21972">
        <v>137090</v>
      </c>
      <c r="F21972">
        <v>2.4647835244384401E-8</v>
      </c>
      <c r="G21972">
        <v>2101055</v>
      </c>
      <c r="H21972">
        <v>13773764</v>
      </c>
      <c r="I21972">
        <v>6623045</v>
      </c>
      <c r="J21972">
        <v>9</v>
      </c>
    </row>
    <row r="21973" spans="1:10" x14ac:dyDescent="0.25">
      <c r="A21973" t="s">
        <v>243</v>
      </c>
      <c r="B21973" s="1" t="str">
        <f>HYPERLINK("http://cincinnatibell.com","cincinnatibell.com")</f>
        <v>cincinnatibell.com</v>
      </c>
      <c r="C21973" t="s">
        <v>433</v>
      </c>
      <c r="E21973">
        <v>260298</v>
      </c>
      <c r="F21973">
        <v>3.3718691599057099E-7</v>
      </c>
      <c r="G21973">
        <v>110645</v>
      </c>
      <c r="H21973">
        <v>15219734</v>
      </c>
      <c r="I21973">
        <v>393417</v>
      </c>
      <c r="J21973">
        <v>5</v>
      </c>
    </row>
    <row r="21974" spans="1:10" x14ac:dyDescent="0.25">
      <c r="A21974" t="s">
        <v>243</v>
      </c>
      <c r="B21974" s="1" t="str">
        <f>HYPERLINK("http://cleco.com","cleco.com")</f>
        <v>cleco.com</v>
      </c>
      <c r="C21974" t="s">
        <v>433</v>
      </c>
      <c r="E21974">
        <v>303863</v>
      </c>
      <c r="F21974">
        <v>8.4483040089586601E-8</v>
      </c>
      <c r="G21974">
        <v>489038</v>
      </c>
      <c r="H21974">
        <v>13888503</v>
      </c>
      <c r="I21974">
        <v>5965323</v>
      </c>
      <c r="J21974">
        <v>4</v>
      </c>
    </row>
    <row r="21975" spans="1:10" x14ac:dyDescent="0.25">
      <c r="A21975" t="s">
        <v>243</v>
      </c>
      <c r="B21975" s="1" t="str">
        <f>HYPERLINK("http://currenta.com","currenta.com")</f>
        <v>currenta.com</v>
      </c>
      <c r="C21975" t="s">
        <v>433</v>
      </c>
      <c r="F21975">
        <v>1.4490201472220799E-8</v>
      </c>
      <c r="G21975">
        <v>4025939</v>
      </c>
      <c r="H21975">
        <v>12456968</v>
      </c>
      <c r="I21975">
        <v>17912796</v>
      </c>
      <c r="J21975">
        <v>5</v>
      </c>
    </row>
    <row r="21976" spans="1:10" x14ac:dyDescent="0.25">
      <c r="A21976" t="s">
        <v>243</v>
      </c>
      <c r="B21976" s="1" t="str">
        <f>HYPERLINK("http://d4r7.com","d4r7.com")</f>
        <v>d4r7.com</v>
      </c>
      <c r="C21976" t="s">
        <v>433</v>
      </c>
      <c r="F21976">
        <v>2.3724295159436399E-8</v>
      </c>
      <c r="G21976">
        <v>2191005</v>
      </c>
      <c r="H21976">
        <v>12982733</v>
      </c>
      <c r="I21976">
        <v>12937265</v>
      </c>
      <c r="J21976">
        <v>7</v>
      </c>
    </row>
    <row r="21977" spans="1:10" x14ac:dyDescent="0.25">
      <c r="A21977" t="s">
        <v>243</v>
      </c>
      <c r="B21977" s="1" t="str">
        <f>HYPERLINK("http://delawarefunds.com","delawarefunds.com")</f>
        <v>delawarefunds.com</v>
      </c>
      <c r="C21977" t="s">
        <v>433</v>
      </c>
      <c r="F21977">
        <v>7.1677835488714306E-8</v>
      </c>
      <c r="G21977">
        <v>589447</v>
      </c>
      <c r="H21977">
        <v>13695317</v>
      </c>
      <c r="I21977">
        <v>9526434</v>
      </c>
      <c r="J21977">
        <v>4</v>
      </c>
    </row>
    <row r="21978" spans="1:10" x14ac:dyDescent="0.25">
      <c r="A21978" t="s">
        <v>243</v>
      </c>
      <c r="B21978" s="1" t="str">
        <f>HYPERLINK("http://duquesnelight.com","duquesnelight.com")</f>
        <v>duquesnelight.com</v>
      </c>
      <c r="C21978" t="s">
        <v>433</v>
      </c>
      <c r="E21978">
        <v>256240</v>
      </c>
      <c r="F21978">
        <v>1.5207911335899401E-7</v>
      </c>
      <c r="G21978">
        <v>255394</v>
      </c>
      <c r="H21978">
        <v>13980803</v>
      </c>
      <c r="I21978">
        <v>4049880</v>
      </c>
      <c r="J21978">
        <v>6</v>
      </c>
    </row>
    <row r="21979" spans="1:10" x14ac:dyDescent="0.25">
      <c r="A21979" t="s">
        <v>243</v>
      </c>
      <c r="B21979" s="1" t="str">
        <f>HYPERLINK("http://energetics-uk.com","energetics-uk.com")</f>
        <v>energetics-uk.com</v>
      </c>
      <c r="C21979" t="s">
        <v>433</v>
      </c>
      <c r="F21979">
        <v>1.22285416857569E-8</v>
      </c>
      <c r="G21979">
        <v>5034333</v>
      </c>
      <c r="H21979">
        <v>13252112</v>
      </c>
      <c r="I21979">
        <v>11073276</v>
      </c>
      <c r="J21979">
        <v>7</v>
      </c>
    </row>
    <row r="21980" spans="1:10" x14ac:dyDescent="0.25">
      <c r="A21980" t="s">
        <v>243</v>
      </c>
      <c r="B21980" s="1" t="str">
        <f>HYPERLINK("http://excellgroup.com","excellgroup.com")</f>
        <v>excellgroup.com</v>
      </c>
      <c r="C21980" t="s">
        <v>433</v>
      </c>
      <c r="F21980">
        <v>1.73074509146139E-8</v>
      </c>
      <c r="G21980">
        <v>3197402</v>
      </c>
      <c r="H21980">
        <v>13415875</v>
      </c>
      <c r="I21980">
        <v>10314428</v>
      </c>
      <c r="J21980">
        <v>13</v>
      </c>
    </row>
    <row r="21981" spans="1:10" x14ac:dyDescent="0.25">
      <c r="A21981" t="s">
        <v>243</v>
      </c>
      <c r="B21981" s="1" t="str">
        <f>HYPERLINK("http://federicoskauai.com","federicoskauai.com")</f>
        <v>federicoskauai.com</v>
      </c>
      <c r="C21981" t="s">
        <v>433</v>
      </c>
      <c r="F21981">
        <v>5.7690127008786297E-9</v>
      </c>
      <c r="G21981">
        <v>18334228</v>
      </c>
      <c r="H21981">
        <v>12248683</v>
      </c>
      <c r="I21981">
        <v>22039622</v>
      </c>
      <c r="J21981">
        <v>9</v>
      </c>
    </row>
    <row r="21982" spans="1:10" x14ac:dyDescent="0.25">
      <c r="A21982" t="s">
        <v>243</v>
      </c>
      <c r="B21982" s="1" t="str">
        <f>HYPERLINK("http://formatopia.com","formatopia.com")</f>
        <v>formatopia.com</v>
      </c>
      <c r="C21982" t="s">
        <v>433</v>
      </c>
      <c r="J21982">
        <v>8</v>
      </c>
    </row>
    <row r="21983" spans="1:10" x14ac:dyDescent="0.25">
      <c r="A21983" t="s">
        <v>243</v>
      </c>
      <c r="B21983" s="1" t="str">
        <f>HYPERLINK("http://galloperwindfarm.com","galloperwindfarm.com")</f>
        <v>galloperwindfarm.com</v>
      </c>
      <c r="C21983" t="s">
        <v>433</v>
      </c>
      <c r="F21983">
        <v>1.8670388132623299E-8</v>
      </c>
      <c r="G21983">
        <v>2894687</v>
      </c>
      <c r="H21983">
        <v>13186077</v>
      </c>
      <c r="I21983">
        <v>11619409</v>
      </c>
      <c r="J21983">
        <v>8</v>
      </c>
    </row>
    <row r="21984" spans="1:10" x14ac:dyDescent="0.25">
      <c r="A21984" t="s">
        <v>243</v>
      </c>
      <c r="B21984" s="1" t="str">
        <f>HYPERLINK("http://geminixp1.com","geminixp1.com")</f>
        <v>geminixp1.com</v>
      </c>
      <c r="C21984" t="s">
        <v>433</v>
      </c>
      <c r="J21984">
        <v>11</v>
      </c>
    </row>
    <row r="21985" spans="1:10" x14ac:dyDescent="0.25">
      <c r="A21985" t="s">
        <v>243</v>
      </c>
      <c r="B21985" s="1" t="str">
        <f>HYPERLINK("http://glidwindfarms.com","glidwindfarms.com")</f>
        <v>glidwindfarms.com</v>
      </c>
      <c r="C21985" t="s">
        <v>433</v>
      </c>
      <c r="F21985">
        <v>4.4718278648046098E-9</v>
      </c>
      <c r="G21985">
        <v>64125028</v>
      </c>
      <c r="H21985">
        <v>10137222</v>
      </c>
      <c r="I21985">
        <v>59531910</v>
      </c>
      <c r="J21985">
        <v>8</v>
      </c>
    </row>
    <row r="21986" spans="1:10" x14ac:dyDescent="0.25">
      <c r="A21986" t="s">
        <v>243</v>
      </c>
      <c r="B21986" s="1" t="str">
        <f>HYPERLINK("http://greeninvestmentbank.com","greeninvestmentbank.com")</f>
        <v>greeninvestmentbank.com</v>
      </c>
      <c r="C21986" t="s">
        <v>433</v>
      </c>
      <c r="F21986">
        <v>7.2356209838808105E-8</v>
      </c>
      <c r="G21986">
        <v>583286</v>
      </c>
      <c r="H21986">
        <v>14206508</v>
      </c>
      <c r="I21986">
        <v>1710508</v>
      </c>
      <c r="J21986">
        <v>4</v>
      </c>
    </row>
    <row r="21987" spans="1:10" x14ac:dyDescent="0.25">
      <c r="A21987" t="s">
        <v>243</v>
      </c>
      <c r="B21987" s="1" t="str">
        <f>HYPERLINK("http://greeninvestmentgroup.com","greeninvestmentgroup.com")</f>
        <v>greeninvestmentgroup.com</v>
      </c>
      <c r="C21987" t="s">
        <v>433</v>
      </c>
      <c r="F21987">
        <v>1.11915358410764E-7</v>
      </c>
      <c r="G21987">
        <v>357019</v>
      </c>
      <c r="H21987">
        <v>14358940</v>
      </c>
      <c r="I21987">
        <v>1305078</v>
      </c>
      <c r="J21987">
        <v>4</v>
      </c>
    </row>
    <row r="21988" spans="1:10" x14ac:dyDescent="0.25">
      <c r="A21988" t="s">
        <v>243</v>
      </c>
      <c r="B21988" s="1" t="str">
        <f>HYPERLINK("http://hawaiiantel.com","hawaiiantel.com")</f>
        <v>hawaiiantel.com</v>
      </c>
      <c r="C21988" t="s">
        <v>433</v>
      </c>
      <c r="E21988">
        <v>87082</v>
      </c>
      <c r="F21988">
        <v>1.4727147698720999E-7</v>
      </c>
      <c r="G21988">
        <v>264377</v>
      </c>
      <c r="H21988">
        <v>14186402</v>
      </c>
      <c r="I21988">
        <v>1768363</v>
      </c>
      <c r="J21988">
        <v>6</v>
      </c>
    </row>
    <row r="21989" spans="1:10" x14ac:dyDescent="0.25">
      <c r="A21989" t="s">
        <v>243</v>
      </c>
      <c r="B21989" s="1" t="str">
        <f>HYPERLINK("http://jwgray.com","jwgray.com")</f>
        <v>jwgray.com</v>
      </c>
      <c r="C21989" t="s">
        <v>433</v>
      </c>
      <c r="F21989">
        <v>4.4443082218113496E-9</v>
      </c>
      <c r="G21989">
        <v>76991603</v>
      </c>
      <c r="H21989">
        <v>10124853</v>
      </c>
      <c r="I21989">
        <v>59627392</v>
      </c>
      <c r="J21989">
        <v>11</v>
      </c>
    </row>
    <row r="21990" spans="1:10" x14ac:dyDescent="0.25">
      <c r="A21990" t="s">
        <v>243</v>
      </c>
      <c r="B21990" s="1" t="str">
        <f>HYPERLINK("http://kcom.com","kcom.com")</f>
        <v>kcom.com</v>
      </c>
      <c r="C21990" t="s">
        <v>433</v>
      </c>
      <c r="E21990">
        <v>36082</v>
      </c>
      <c r="F21990">
        <v>3.5273348204013601E-7</v>
      </c>
      <c r="G21990">
        <v>106005</v>
      </c>
      <c r="H21990">
        <v>14595062</v>
      </c>
      <c r="I21990">
        <v>690828</v>
      </c>
      <c r="J21990">
        <v>4</v>
      </c>
    </row>
    <row r="21991" spans="1:10" x14ac:dyDescent="0.25">
      <c r="A21991" t="s">
        <v>243</v>
      </c>
      <c r="B21991" s="1" t="str">
        <f>HYPERLINK("http://lastmile-uk.com","lastmile-uk.com")</f>
        <v>lastmile-uk.com</v>
      </c>
      <c r="C21991" t="s">
        <v>433</v>
      </c>
      <c r="F21991">
        <v>5.22306687613739E-9</v>
      </c>
      <c r="G21991">
        <v>24693144</v>
      </c>
      <c r="H21991">
        <v>10619721</v>
      </c>
      <c r="I21991">
        <v>44262298</v>
      </c>
      <c r="J21991">
        <v>4</v>
      </c>
    </row>
    <row r="21992" spans="1:10" x14ac:dyDescent="0.25">
      <c r="A21992" t="s">
        <v>243</v>
      </c>
      <c r="B21992" s="1" t="str">
        <f>HYPERLINK("http://macquarie.com","macquarie.com")</f>
        <v>macquarie.com</v>
      </c>
      <c r="C21992" t="s">
        <v>433</v>
      </c>
      <c r="E21992">
        <v>36828</v>
      </c>
      <c r="F21992">
        <v>2.8240260777099398E-6</v>
      </c>
      <c r="G21992">
        <v>13624</v>
      </c>
      <c r="H21992">
        <v>17496792</v>
      </c>
      <c r="I21992">
        <v>13848</v>
      </c>
      <c r="J21992">
        <v>1</v>
      </c>
    </row>
    <row r="21993" spans="1:10" x14ac:dyDescent="0.25">
      <c r="A21993" t="s">
        <v>243</v>
      </c>
      <c r="B21993" s="1" t="str">
        <f>HYPERLINK("http://mpfireprotection.com","mpfireprotection.com")</f>
        <v>mpfireprotection.com</v>
      </c>
      <c r="C21993" t="s">
        <v>433</v>
      </c>
      <c r="F21993">
        <v>4.7470348345851102E-9</v>
      </c>
      <c r="G21993">
        <v>38462846</v>
      </c>
      <c r="H21993">
        <v>12165998</v>
      </c>
      <c r="I21993">
        <v>24173458</v>
      </c>
      <c r="J21993">
        <v>11</v>
      </c>
    </row>
    <row r="21994" spans="1:10" x14ac:dyDescent="0.25">
      <c r="A21994" t="s">
        <v>243</v>
      </c>
      <c r="B21994" s="1" t="str">
        <f>HYPERLINK("http://pendrich.com","pendrich.com")</f>
        <v>pendrich.com</v>
      </c>
      <c r="C21994" t="s">
        <v>433</v>
      </c>
      <c r="F21994">
        <v>4.6755839358946702E-9</v>
      </c>
      <c r="G21994">
        <v>42617708</v>
      </c>
      <c r="H21994">
        <v>10775720</v>
      </c>
      <c r="I21994">
        <v>39053371</v>
      </c>
      <c r="J21994">
        <v>11</v>
      </c>
    </row>
    <row r="21995" spans="1:10" x14ac:dyDescent="0.25">
      <c r="A21995" t="s">
        <v>243</v>
      </c>
      <c r="B21995" s="1" t="str">
        <f>HYPERLINK("http://pizzakauai.com","pizzakauai.com")</f>
        <v>pizzakauai.com</v>
      </c>
      <c r="C21995" t="s">
        <v>433</v>
      </c>
      <c r="F21995">
        <v>4.9819298447762299E-9</v>
      </c>
      <c r="G21995">
        <v>29947348</v>
      </c>
      <c r="H21995">
        <v>13936186</v>
      </c>
      <c r="I21995">
        <v>4502827</v>
      </c>
      <c r="J21995">
        <v>9</v>
      </c>
    </row>
    <row r="21996" spans="1:10" x14ac:dyDescent="0.25">
      <c r="A21996" t="s">
        <v>243</v>
      </c>
      <c r="B21996" s="1" t="str">
        <f>HYPERLINK("http://smart421.com","smart421.com")</f>
        <v>smart421.com</v>
      </c>
      <c r="C21996" t="s">
        <v>433</v>
      </c>
      <c r="F21996">
        <v>1.0485347936077799E-8</v>
      </c>
      <c r="G21996">
        <v>6282230</v>
      </c>
      <c r="H21996">
        <v>13774347</v>
      </c>
      <c r="I21996">
        <v>6607632</v>
      </c>
      <c r="J21996">
        <v>11</v>
      </c>
    </row>
    <row r="21997" spans="1:10" x14ac:dyDescent="0.25">
      <c r="A21997" t="s">
        <v>243</v>
      </c>
      <c r="B21997" s="1" t="str">
        <f>HYPERLINK("http://southamptonairport.com","southamptonairport.com")</f>
        <v>southamptonairport.com</v>
      </c>
      <c r="C21997" t="s">
        <v>433</v>
      </c>
      <c r="E21997">
        <v>305133</v>
      </c>
      <c r="F21997">
        <v>8.5641228685909002E-8</v>
      </c>
      <c r="G21997">
        <v>480992</v>
      </c>
      <c r="H21997">
        <v>14841639</v>
      </c>
      <c r="I21997">
        <v>496581</v>
      </c>
      <c r="J21997">
        <v>7</v>
      </c>
    </row>
    <row r="21998" spans="1:10" x14ac:dyDescent="0.25">
      <c r="A21998" t="s">
        <v>243</v>
      </c>
      <c r="B21998" s="1" t="str">
        <f>HYPERLINK("http://systemmetrics.com","systemmetrics.com")</f>
        <v>systemmetrics.com</v>
      </c>
      <c r="C21998" t="s">
        <v>433</v>
      </c>
      <c r="E21998">
        <v>126240</v>
      </c>
      <c r="F21998">
        <v>8.8759583318714802E-9</v>
      </c>
      <c r="G21998">
        <v>8182793</v>
      </c>
      <c r="H21998">
        <v>10845417</v>
      </c>
      <c r="I21998">
        <v>36975206</v>
      </c>
      <c r="J21998">
        <v>9</v>
      </c>
    </row>
    <row r="21999" spans="1:10" x14ac:dyDescent="0.25">
      <c r="A21999" t="s">
        <v>243</v>
      </c>
      <c r="B21999" s="1" t="str">
        <f>HYPERLINK("http://trinityfireandsecurity.com","trinityfireandsecurity.com")</f>
        <v>trinityfireandsecurity.com</v>
      </c>
      <c r="C21999" t="s">
        <v>433</v>
      </c>
      <c r="F21999">
        <v>7.9698507804584602E-9</v>
      </c>
      <c r="G21999">
        <v>9976627</v>
      </c>
      <c r="H21999">
        <v>12411806</v>
      </c>
      <c r="I21999">
        <v>18583467</v>
      </c>
      <c r="J21999">
        <v>11</v>
      </c>
    </row>
    <row r="22000" spans="1:10" x14ac:dyDescent="0.25">
      <c r="A22000" t="s">
        <v>243</v>
      </c>
      <c r="B22000" s="1" t="str">
        <f>HYPERLINK("http://voneus.com","voneus.com")</f>
        <v>voneus.com</v>
      </c>
      <c r="C22000" t="s">
        <v>433</v>
      </c>
      <c r="F22000">
        <v>2.6704180480372799E-8</v>
      </c>
      <c r="G22000">
        <v>1927292</v>
      </c>
      <c r="H22000">
        <v>12701108</v>
      </c>
      <c r="I22000">
        <v>15348714</v>
      </c>
      <c r="J22000">
        <v>8</v>
      </c>
    </row>
    <row r="22001" spans="1:10" x14ac:dyDescent="0.25">
      <c r="A22001" t="s">
        <v>243</v>
      </c>
      <c r="B22001" s="1" t="str">
        <f>HYPERLINK("http://wavecomsolutions.com","wavecomsolutions.com")</f>
        <v>wavecomsolutions.com</v>
      </c>
      <c r="C22001" t="s">
        <v>433</v>
      </c>
      <c r="F22001">
        <v>7.4710183943379905E-9</v>
      </c>
      <c r="G22001">
        <v>11078454</v>
      </c>
      <c r="H22001">
        <v>12262640</v>
      </c>
      <c r="I22001">
        <v>21692305</v>
      </c>
      <c r="J22001">
        <v>10</v>
      </c>
    </row>
    <row r="22002" spans="1:10" x14ac:dyDescent="0.25">
      <c r="A22002" t="s">
        <v>243</v>
      </c>
      <c r="B22002" s="1" t="str">
        <f>HYPERLINK("http://wavenetuk.com","wavenetuk.com")</f>
        <v>wavenetuk.com</v>
      </c>
      <c r="C22002" t="s">
        <v>433</v>
      </c>
      <c r="E22002">
        <v>759850</v>
      </c>
      <c r="F22002">
        <v>6.29660278211004E-8</v>
      </c>
      <c r="G22002">
        <v>692996</v>
      </c>
      <c r="H22002">
        <v>13431077</v>
      </c>
      <c r="I22002">
        <v>10279977</v>
      </c>
      <c r="J22002">
        <v>8</v>
      </c>
    </row>
    <row r="22003" spans="1:10" x14ac:dyDescent="0.25">
      <c r="A22003" t="s">
        <v>243</v>
      </c>
      <c r="B22003" s="1" t="str">
        <f>HYPERLINK("http://xoserve.com","xoserve.com")</f>
        <v>xoserve.com</v>
      </c>
      <c r="C22003" t="s">
        <v>433</v>
      </c>
      <c r="F22003">
        <v>4.0714954068770198E-8</v>
      </c>
      <c r="G22003">
        <v>1272876</v>
      </c>
      <c r="H22003">
        <v>13739618</v>
      </c>
      <c r="I22003">
        <v>9431369</v>
      </c>
      <c r="J22003">
        <v>11</v>
      </c>
    </row>
    <row r="22004" spans="1:10" x14ac:dyDescent="0.25">
      <c r="A22004" t="s">
        <v>243</v>
      </c>
      <c r="B22004" s="1" t="str">
        <f>HYPERLINK("http://cra.cz","cra.cz")</f>
        <v>cra.cz</v>
      </c>
      <c r="C22004" t="s">
        <v>435</v>
      </c>
      <c r="D22004" t="s">
        <v>814</v>
      </c>
      <c r="E22004">
        <v>14670</v>
      </c>
      <c r="F22004">
        <v>1.4997755078242901E-7</v>
      </c>
      <c r="G22004">
        <v>259074</v>
      </c>
      <c r="H22004">
        <v>14977040</v>
      </c>
      <c r="I22004">
        <v>431887</v>
      </c>
      <c r="J22004">
        <v>6</v>
      </c>
    </row>
    <row r="22005" spans="1:10" x14ac:dyDescent="0.25">
      <c r="A22005" t="s">
        <v>243</v>
      </c>
      <c r="B22005" s="1" t="str">
        <f>HYPERLINK("http://digitv.cz","digitv.cz")</f>
        <v>digitv.cz</v>
      </c>
      <c r="C22005" t="s">
        <v>435</v>
      </c>
      <c r="D22005" t="s">
        <v>814</v>
      </c>
      <c r="F22005">
        <v>7.6788062595116298E-9</v>
      </c>
      <c r="G22005">
        <v>10625865</v>
      </c>
      <c r="H22005">
        <v>13777429</v>
      </c>
      <c r="I22005">
        <v>6537448</v>
      </c>
      <c r="J22005">
        <v>8</v>
      </c>
    </row>
    <row r="22006" spans="1:10" x14ac:dyDescent="0.25">
      <c r="A22006" t="s">
        <v>243</v>
      </c>
      <c r="B22006" s="1" t="str">
        <f>HYPERLINK("http://jested.cz","jested.cz")</f>
        <v>jested.cz</v>
      </c>
      <c r="C22006" t="s">
        <v>435</v>
      </c>
      <c r="D22006" t="s">
        <v>814</v>
      </c>
      <c r="F22006">
        <v>4.5414804962936201E-8</v>
      </c>
      <c r="G22006">
        <v>1037046</v>
      </c>
      <c r="H22006">
        <v>14533073</v>
      </c>
      <c r="I22006">
        <v>783605</v>
      </c>
      <c r="J22006">
        <v>7</v>
      </c>
    </row>
    <row r="22007" spans="1:10" x14ac:dyDescent="0.25">
      <c r="A22007" t="s">
        <v>243</v>
      </c>
      <c r="B22007" s="1" t="str">
        <f>HYPERLINK("http://radiokomunikace.cz","radiokomunikace.cz")</f>
        <v>radiokomunikace.cz</v>
      </c>
      <c r="C22007" t="s">
        <v>435</v>
      </c>
      <c r="D22007" t="s">
        <v>814</v>
      </c>
      <c r="F22007">
        <v>4.2589861041770502E-8</v>
      </c>
      <c r="G22007">
        <v>1136064</v>
      </c>
      <c r="H22007">
        <v>14244068</v>
      </c>
      <c r="I22007">
        <v>1473811</v>
      </c>
      <c r="J22007">
        <v>9</v>
      </c>
    </row>
    <row r="22008" spans="1:10" x14ac:dyDescent="0.25">
      <c r="A22008" t="s">
        <v>243</v>
      </c>
      <c r="B22008" s="1" t="str">
        <f>HYPERLINK("http://chempark.de","chempark.de")</f>
        <v>chempark.de</v>
      </c>
      <c r="C22008" t="s">
        <v>436</v>
      </c>
      <c r="D22008" t="s">
        <v>815</v>
      </c>
      <c r="F22008">
        <v>6.1718907689859597E-8</v>
      </c>
      <c r="G22008">
        <v>712808</v>
      </c>
      <c r="H22008">
        <v>14535887</v>
      </c>
      <c r="I22008">
        <v>780297</v>
      </c>
      <c r="J22008">
        <v>6</v>
      </c>
    </row>
    <row r="22009" spans="1:10" x14ac:dyDescent="0.25">
      <c r="A22009" t="s">
        <v>243</v>
      </c>
      <c r="B22009" s="1" t="str">
        <f>HYPERLINK("http://currenta.de","currenta.de")</f>
        <v>currenta.de</v>
      </c>
      <c r="C22009" t="s">
        <v>436</v>
      </c>
      <c r="D22009" t="s">
        <v>815</v>
      </c>
      <c r="E22009">
        <v>574179</v>
      </c>
      <c r="F22009">
        <v>9.4647952380776104E-8</v>
      </c>
      <c r="G22009">
        <v>428587</v>
      </c>
      <c r="H22009">
        <v>14400800</v>
      </c>
      <c r="I22009">
        <v>1153919</v>
      </c>
      <c r="J22009">
        <v>4</v>
      </c>
    </row>
    <row r="22010" spans="1:10" x14ac:dyDescent="0.25">
      <c r="A22010" t="s">
        <v>243</v>
      </c>
      <c r="B22010" s="1" t="str">
        <f>HYPERLINK("http://currenta-info-buerrig.de","currenta-info-buerrig.de")</f>
        <v>currenta-info-buerrig.de</v>
      </c>
      <c r="C22010" t="s">
        <v>436</v>
      </c>
      <c r="D22010" t="s">
        <v>815</v>
      </c>
      <c r="F22010">
        <v>7.7611070841812893E-9</v>
      </c>
      <c r="G22010">
        <v>10412008</v>
      </c>
      <c r="H22010">
        <v>14071869</v>
      </c>
      <c r="I22010">
        <v>3262205</v>
      </c>
      <c r="J22010">
        <v>6</v>
      </c>
    </row>
    <row r="22011" spans="1:10" x14ac:dyDescent="0.25">
      <c r="A22011" t="s">
        <v>243</v>
      </c>
      <c r="B22011" s="1" t="str">
        <f>HYPERLINK("http://adept.education","adept.education")</f>
        <v>adept.education</v>
      </c>
      <c r="C22011" t="s">
        <v>634</v>
      </c>
      <c r="F22011">
        <v>1.3048500509656499E-8</v>
      </c>
      <c r="G22011">
        <v>4608134</v>
      </c>
      <c r="H22011">
        <v>12237554</v>
      </c>
      <c r="I22011">
        <v>22321406</v>
      </c>
      <c r="J22011">
        <v>12</v>
      </c>
    </row>
    <row r="22012" spans="1:10" x14ac:dyDescent="0.25">
      <c r="A22012" t="s">
        <v>243</v>
      </c>
      <c r="B22012" s="1" t="str">
        <f>HYPERLINK("http://avantpark.fi","avantpark.fi")</f>
        <v>avantpark.fi</v>
      </c>
      <c r="C22012" t="s">
        <v>445</v>
      </c>
      <c r="D22012" t="s">
        <v>823</v>
      </c>
      <c r="J22012">
        <v>10</v>
      </c>
    </row>
    <row r="22013" spans="1:10" x14ac:dyDescent="0.25">
      <c r="A22013" t="s">
        <v>243</v>
      </c>
      <c r="B22013" s="1" t="str">
        <f>HYPERLINK("http://macquarie.kr","macquarie.kr")</f>
        <v>macquarie.kr</v>
      </c>
      <c r="C22013" t="s">
        <v>463</v>
      </c>
      <c r="D22013" t="s">
        <v>839</v>
      </c>
      <c r="F22013">
        <v>7.1514211183824398E-9</v>
      </c>
      <c r="G22013">
        <v>11873125</v>
      </c>
      <c r="H22013">
        <v>12264123</v>
      </c>
      <c r="I22013">
        <v>21654170</v>
      </c>
      <c r="J22013">
        <v>2</v>
      </c>
    </row>
    <row r="22014" spans="1:10" x14ac:dyDescent="0.25">
      <c r="A22014" t="s">
        <v>243</v>
      </c>
      <c r="B22014" s="1" t="str">
        <f>HYPERLINK("http://valueinvest.lu","valueinvest.lu")</f>
        <v>valueinvest.lu</v>
      </c>
      <c r="C22014" t="s">
        <v>547</v>
      </c>
      <c r="D22014" t="s">
        <v>904</v>
      </c>
      <c r="F22014">
        <v>7.0370865903692402E-9</v>
      </c>
      <c r="G22014">
        <v>12202019</v>
      </c>
      <c r="H22014">
        <v>12272313</v>
      </c>
      <c r="I22014">
        <v>21472656</v>
      </c>
      <c r="J22014">
        <v>4</v>
      </c>
    </row>
    <row r="22015" spans="1:10" x14ac:dyDescent="0.25">
      <c r="A22015" t="s">
        <v>243</v>
      </c>
      <c r="B22015" s="1" t="str">
        <f>HYPERLINK("http://cbts.net","cbts.net")</f>
        <v>cbts.net</v>
      </c>
      <c r="C22015" t="s">
        <v>474</v>
      </c>
      <c r="F22015">
        <v>3.39691874806516E-8</v>
      </c>
      <c r="G22015">
        <v>1524113</v>
      </c>
      <c r="H22015">
        <v>13407138</v>
      </c>
      <c r="I22015">
        <v>10348961</v>
      </c>
      <c r="J22015">
        <v>9</v>
      </c>
    </row>
    <row r="22016" spans="1:10" x14ac:dyDescent="0.25">
      <c r="A22016" t="s">
        <v>243</v>
      </c>
      <c r="B22016" s="1" t="str">
        <f>HYPERLINK("http://cincinnatibell.net","cincinnatibell.net")</f>
        <v>cincinnatibell.net</v>
      </c>
      <c r="C22016" t="s">
        <v>474</v>
      </c>
      <c r="E22016">
        <v>426043</v>
      </c>
      <c r="F22016">
        <v>1.26287799612691E-7</v>
      </c>
      <c r="G22016">
        <v>312307</v>
      </c>
      <c r="H22016">
        <v>17096610</v>
      </c>
      <c r="I22016">
        <v>64546</v>
      </c>
      <c r="J22016">
        <v>6</v>
      </c>
    </row>
    <row r="22017" spans="1:10" x14ac:dyDescent="0.25">
      <c r="A22017" t="s">
        <v>243</v>
      </c>
      <c r="B22017" s="1" t="str">
        <f>HYPERLINK("http://hawaiiantel.net","hawaiiantel.net")</f>
        <v>hawaiiantel.net</v>
      </c>
      <c r="C22017" t="s">
        <v>474</v>
      </c>
      <c r="E22017">
        <v>139495</v>
      </c>
      <c r="F22017">
        <v>1.0709993567191599E-7</v>
      </c>
      <c r="G22017">
        <v>373814</v>
      </c>
      <c r="H22017">
        <v>16996320</v>
      </c>
      <c r="I22017">
        <v>94482</v>
      </c>
      <c r="J22017">
        <v>7</v>
      </c>
    </row>
    <row r="22018" spans="1:10" x14ac:dyDescent="0.25">
      <c r="A22018" t="s">
        <v>243</v>
      </c>
      <c r="B22018" s="1" t="str">
        <f>HYPERLINK("http://hawaiiplantationvillage.org","hawaiiplantationvillage.org")</f>
        <v>hawaiiplantationvillage.org</v>
      </c>
      <c r="C22018" t="s">
        <v>481</v>
      </c>
      <c r="F22018">
        <v>2.3425936526496801E-8</v>
      </c>
      <c r="G22018">
        <v>2222729</v>
      </c>
      <c r="H22018">
        <v>14529811</v>
      </c>
      <c r="I22018">
        <v>787956</v>
      </c>
      <c r="J22018">
        <v>9</v>
      </c>
    </row>
    <row r="22019" spans="1:10" x14ac:dyDescent="0.25">
      <c r="A22019" t="s">
        <v>243</v>
      </c>
      <c r="B22019" s="1" t="str">
        <f>HYPERLINK("http://connect-tv.tv","connect-tv.tv")</f>
        <v>connect-tv.tv</v>
      </c>
      <c r="C22019" t="s">
        <v>535</v>
      </c>
      <c r="D22019" t="s">
        <v>897</v>
      </c>
      <c r="F22019">
        <v>9.1848888928806502E-9</v>
      </c>
      <c r="G22019">
        <v>7730119</v>
      </c>
      <c r="H22019">
        <v>13215690</v>
      </c>
      <c r="I22019">
        <v>11362692</v>
      </c>
      <c r="J22019">
        <v>11</v>
      </c>
    </row>
    <row r="22020" spans="1:10" x14ac:dyDescent="0.25">
      <c r="A22020" t="s">
        <v>243</v>
      </c>
      <c r="B22020" s="1" t="str">
        <f>HYPERLINK("http://macquarie.tw","macquarie.tw")</f>
        <v>macquarie.tw</v>
      </c>
      <c r="C22020" t="s">
        <v>504</v>
      </c>
      <c r="D22020" t="s">
        <v>878</v>
      </c>
      <c r="F22020">
        <v>6.89824179841573E-9</v>
      </c>
      <c r="G22020">
        <v>12640156</v>
      </c>
      <c r="H22020">
        <v>12277210</v>
      </c>
      <c r="I22020">
        <v>21366512</v>
      </c>
      <c r="J22020">
        <v>2</v>
      </c>
    </row>
    <row r="22021" spans="1:10" x14ac:dyDescent="0.25">
      <c r="A22021" t="s">
        <v>243</v>
      </c>
      <c r="B22021" s="1" t="str">
        <f>HYPERLINK("http://adept.co.uk","adept.co.uk")</f>
        <v>adept.co.uk</v>
      </c>
      <c r="C22021" t="s">
        <v>506</v>
      </c>
      <c r="D22021" t="s">
        <v>880</v>
      </c>
      <c r="E22021">
        <v>834022</v>
      </c>
      <c r="F22021">
        <v>4.0372720582177799E-8</v>
      </c>
      <c r="G22021">
        <v>1282085</v>
      </c>
      <c r="H22021">
        <v>13952962</v>
      </c>
      <c r="I22021">
        <v>4153341</v>
      </c>
      <c r="J22021">
        <v>11</v>
      </c>
    </row>
    <row r="22022" spans="1:10" x14ac:dyDescent="0.25">
      <c r="A22022" t="s">
        <v>243</v>
      </c>
      <c r="B22022" s="1" t="str">
        <f>HYPERLINK("http://adept-telecom.co.uk","adept-telecom.co.uk")</f>
        <v>adept-telecom.co.uk</v>
      </c>
      <c r="C22022" t="s">
        <v>506</v>
      </c>
      <c r="D22022" t="s">
        <v>880</v>
      </c>
      <c r="F22022">
        <v>6.03715031900258E-9</v>
      </c>
      <c r="G22022">
        <v>16457860</v>
      </c>
      <c r="H22022">
        <v>12253577</v>
      </c>
      <c r="I22022">
        <v>21928783</v>
      </c>
      <c r="J22022">
        <v>14</v>
      </c>
    </row>
    <row r="22023" spans="1:10" x14ac:dyDescent="0.25">
      <c r="A22023" t="s">
        <v>243</v>
      </c>
      <c r="B22023" s="1" t="str">
        <f>HYPERLINK("http://agsairports.co.uk","agsairports.co.uk")</f>
        <v>agsairports.co.uk</v>
      </c>
      <c r="C22023" t="s">
        <v>506</v>
      </c>
      <c r="D22023" t="s">
        <v>880</v>
      </c>
      <c r="F22023">
        <v>1.2990534083646E-8</v>
      </c>
      <c r="G22023">
        <v>4636149</v>
      </c>
      <c r="H22023">
        <v>13587452</v>
      </c>
      <c r="I22023">
        <v>9673789</v>
      </c>
      <c r="J22023">
        <v>4</v>
      </c>
    </row>
    <row r="22024" spans="1:10" x14ac:dyDescent="0.25">
      <c r="A22024" t="s">
        <v>243</v>
      </c>
      <c r="B22024" s="1" t="str">
        <f>HYPERLINK("http://anchor.co.uk","anchor.co.uk")</f>
        <v>anchor.co.uk</v>
      </c>
      <c r="C22024" t="s">
        <v>506</v>
      </c>
      <c r="D22024" t="s">
        <v>880</v>
      </c>
      <c r="E22024">
        <v>216799</v>
      </c>
      <c r="F22024">
        <v>8.7725359063187594E-9</v>
      </c>
      <c r="G22024">
        <v>8355453</v>
      </c>
      <c r="H22024">
        <v>13250211</v>
      </c>
      <c r="I22024">
        <v>11085096</v>
      </c>
      <c r="J22024">
        <v>14</v>
      </c>
    </row>
    <row r="22025" spans="1:10" x14ac:dyDescent="0.25">
      <c r="A22025" t="s">
        <v>243</v>
      </c>
      <c r="B22025" s="1" t="str">
        <f>HYPERLINK("http://arqiva.co.uk","arqiva.co.uk")</f>
        <v>arqiva.co.uk</v>
      </c>
      <c r="C22025" t="s">
        <v>506</v>
      </c>
      <c r="D22025" t="s">
        <v>880</v>
      </c>
      <c r="F22025">
        <v>8.4998376823270707E-9</v>
      </c>
      <c r="G22025">
        <v>8846126</v>
      </c>
      <c r="H22025">
        <v>11164625</v>
      </c>
      <c r="I22025">
        <v>31585340</v>
      </c>
      <c r="J22025">
        <v>8</v>
      </c>
    </row>
    <row r="22026" spans="1:10" x14ac:dyDescent="0.25">
      <c r="A22026" t="s">
        <v>243</v>
      </c>
      <c r="B22026" s="1" t="str">
        <f>HYPERLINK("http://biocow.co.uk","biocow.co.uk")</f>
        <v>biocow.co.uk</v>
      </c>
      <c r="C22026" t="s">
        <v>506</v>
      </c>
      <c r="D22026" t="s">
        <v>880</v>
      </c>
      <c r="F22026">
        <v>7.3058161201403502E-9</v>
      </c>
      <c r="G22026">
        <v>11465505</v>
      </c>
      <c r="H22026">
        <v>12236319</v>
      </c>
      <c r="I22026">
        <v>22344834</v>
      </c>
      <c r="J22026">
        <v>11</v>
      </c>
    </row>
    <row r="22027" spans="1:10" x14ac:dyDescent="0.25">
      <c r="A22027" t="s">
        <v>243</v>
      </c>
      <c r="B22027" s="1" t="str">
        <f>HYPERLINK("http://capitalmeters.co.uk","capitalmeters.co.uk")</f>
        <v>capitalmeters.co.uk</v>
      </c>
      <c r="C22027" t="s">
        <v>506</v>
      </c>
      <c r="D22027" t="s">
        <v>880</v>
      </c>
      <c r="J22027">
        <v>4</v>
      </c>
    </row>
    <row r="22028" spans="1:10" x14ac:dyDescent="0.25">
      <c r="A22028" t="s">
        <v>243</v>
      </c>
      <c r="B22028" s="1" t="str">
        <f>HYPERLINK("http://ecs-group.co.uk","ecs-group.co.uk")</f>
        <v>ecs-group.co.uk</v>
      </c>
      <c r="C22028" t="s">
        <v>506</v>
      </c>
      <c r="D22028" t="s">
        <v>880</v>
      </c>
      <c r="F22028">
        <v>5.4477082672143704E-9</v>
      </c>
      <c r="G22028">
        <v>21525114</v>
      </c>
      <c r="H22028">
        <v>12812569</v>
      </c>
      <c r="I22028">
        <v>14574280</v>
      </c>
      <c r="J22028">
        <v>10</v>
      </c>
    </row>
    <row r="22029" spans="1:10" x14ac:dyDescent="0.25">
      <c r="A22029" t="s">
        <v>243</v>
      </c>
      <c r="B22029" s="1" t="str">
        <f>HYPERLINK("http://guardianelectrical.co.uk","guardianelectrical.co.uk")</f>
        <v>guardianelectrical.co.uk</v>
      </c>
      <c r="C22029" t="s">
        <v>506</v>
      </c>
      <c r="D22029" t="s">
        <v>880</v>
      </c>
      <c r="F22029">
        <v>4.7312127211458196E-9</v>
      </c>
      <c r="G22029">
        <v>39283188</v>
      </c>
      <c r="H22029">
        <v>12126074</v>
      </c>
      <c r="I22029">
        <v>25252633</v>
      </c>
      <c r="J22029">
        <v>11</v>
      </c>
    </row>
    <row r="22030" spans="1:10" x14ac:dyDescent="0.25">
      <c r="A22030" t="s">
        <v>243</v>
      </c>
      <c r="B22030" s="1" t="str">
        <f>HYPERLINK("http://icosawater.co.uk","icosawater.co.uk")</f>
        <v>icosawater.co.uk</v>
      </c>
      <c r="C22030" t="s">
        <v>506</v>
      </c>
      <c r="D22030" t="s">
        <v>880</v>
      </c>
      <c r="F22030">
        <v>7.1598223861095503E-9</v>
      </c>
      <c r="G22030">
        <v>11850225</v>
      </c>
      <c r="H22030">
        <v>13354618</v>
      </c>
      <c r="I22030">
        <v>10602058</v>
      </c>
      <c r="J22030">
        <v>10</v>
      </c>
    </row>
    <row r="22031" spans="1:10" x14ac:dyDescent="0.25">
      <c r="A22031" t="s">
        <v>243</v>
      </c>
      <c r="B22031" s="1" t="str">
        <f>HYPERLINK("http://localgeneration.co.uk","localgeneration.co.uk")</f>
        <v>localgeneration.co.uk</v>
      </c>
      <c r="C22031" t="s">
        <v>506</v>
      </c>
      <c r="D22031" t="s">
        <v>880</v>
      </c>
      <c r="F22031">
        <v>4.6403054846434601E-9</v>
      </c>
      <c r="G22031">
        <v>44764118</v>
      </c>
      <c r="H22031">
        <v>10969825</v>
      </c>
      <c r="I22031">
        <v>34147670</v>
      </c>
      <c r="J22031">
        <v>14</v>
      </c>
    </row>
    <row r="22032" spans="1:10" x14ac:dyDescent="0.25">
      <c r="A22032" t="s">
        <v>243</v>
      </c>
      <c r="B22032" s="1" t="str">
        <f>HYPERLINK("http://macquarie.co.uk","macquarie.co.uk")</f>
        <v>macquarie.co.uk</v>
      </c>
      <c r="C22032" t="s">
        <v>506</v>
      </c>
      <c r="D22032" t="s">
        <v>880</v>
      </c>
      <c r="F22032">
        <v>1.14905187219001E-8</v>
      </c>
      <c r="G22032">
        <v>5512040</v>
      </c>
      <c r="H22032">
        <v>13772617</v>
      </c>
      <c r="I22032">
        <v>6655321</v>
      </c>
      <c r="J22032">
        <v>2</v>
      </c>
    </row>
    <row r="22033" spans="1:10" x14ac:dyDescent="0.25">
      <c r="A22033" t="s">
        <v>243</v>
      </c>
      <c r="B22033" s="1" t="str">
        <f>HYPERLINK("http://ogl.co.uk","ogl.co.uk")</f>
        <v>ogl.co.uk</v>
      </c>
      <c r="C22033" t="s">
        <v>506</v>
      </c>
      <c r="D22033" t="s">
        <v>880</v>
      </c>
      <c r="F22033">
        <v>6.3099082886205396E-8</v>
      </c>
      <c r="G22033">
        <v>690610</v>
      </c>
      <c r="H22033">
        <v>13840110</v>
      </c>
      <c r="I22033">
        <v>6074042</v>
      </c>
      <c r="J22033">
        <v>13</v>
      </c>
    </row>
    <row r="22034" spans="1:10" x14ac:dyDescent="0.25">
      <c r="A22034" t="s">
        <v>243</v>
      </c>
      <c r="B22034" s="1" t="str">
        <f>HYPERLINK("http://parkingeye.co.uk","parkingeye.co.uk")</f>
        <v>parkingeye.co.uk</v>
      </c>
      <c r="C22034" t="s">
        <v>506</v>
      </c>
      <c r="D22034" t="s">
        <v>880</v>
      </c>
      <c r="E22034">
        <v>810231</v>
      </c>
      <c r="F22034">
        <v>1.3841677380526801E-8</v>
      </c>
      <c r="G22034">
        <v>4263834</v>
      </c>
      <c r="H22034">
        <v>13428540</v>
      </c>
      <c r="I22034">
        <v>10284621</v>
      </c>
      <c r="J22034">
        <v>10</v>
      </c>
    </row>
    <row r="22035" spans="1:10" x14ac:dyDescent="0.25">
      <c r="A22035" t="s">
        <v>243</v>
      </c>
      <c r="B22035" s="1" t="str">
        <f>HYPERLINK("http://ptsg.co.uk","ptsg.co.uk")</f>
        <v>ptsg.co.uk</v>
      </c>
      <c r="C22035" t="s">
        <v>506</v>
      </c>
      <c r="D22035" t="s">
        <v>880</v>
      </c>
      <c r="F22035">
        <v>3.18170901702497E-8</v>
      </c>
      <c r="G22035">
        <v>1623258</v>
      </c>
      <c r="H22035">
        <v>13326004</v>
      </c>
      <c r="I22035">
        <v>10731044</v>
      </c>
      <c r="J22035">
        <v>8</v>
      </c>
    </row>
    <row r="22036" spans="1:10" x14ac:dyDescent="0.25">
      <c r="A22036" t="s">
        <v>243</v>
      </c>
      <c r="B22036" s="1" t="str">
        <f>HYPERLINK("http://sheringhamshoal.co.uk","sheringhamshoal.co.uk")</f>
        <v>sheringhamshoal.co.uk</v>
      </c>
      <c r="C22036" t="s">
        <v>506</v>
      </c>
      <c r="D22036" t="s">
        <v>880</v>
      </c>
      <c r="F22036">
        <v>1.06818532194665E-8</v>
      </c>
      <c r="G22036">
        <v>6115359</v>
      </c>
      <c r="H22036">
        <v>14073801</v>
      </c>
      <c r="I22036">
        <v>2971216</v>
      </c>
      <c r="J22036">
        <v>5</v>
      </c>
    </row>
    <row r="22037" spans="1:10" x14ac:dyDescent="0.25">
      <c r="A22037" t="s">
        <v>243</v>
      </c>
      <c r="B22037" s="1" t="str">
        <f>HYPERLINK("http://tecompliance.co.uk","tecompliance.co.uk")</f>
        <v>tecompliance.co.uk</v>
      </c>
      <c r="C22037" t="s">
        <v>506</v>
      </c>
      <c r="D22037" t="s">
        <v>880</v>
      </c>
      <c r="F22037">
        <v>5.0871159355104899E-9</v>
      </c>
      <c r="G22037">
        <v>27351920</v>
      </c>
      <c r="H22037">
        <v>10834070</v>
      </c>
      <c r="I22037">
        <v>37303563</v>
      </c>
      <c r="J22037">
        <v>11</v>
      </c>
    </row>
    <row r="22038" spans="1:10" x14ac:dyDescent="0.25">
      <c r="A22038" t="s">
        <v>243</v>
      </c>
      <c r="B22038" s="1" t="str">
        <f>HYPERLINK("http://townley.co.uk","townley.co.uk")</f>
        <v>townley.co.uk</v>
      </c>
      <c r="C22038" t="s">
        <v>506</v>
      </c>
      <c r="D22038" t="s">
        <v>880</v>
      </c>
      <c r="F22038">
        <v>4.5487663156492901E-9</v>
      </c>
      <c r="G22038">
        <v>52317031</v>
      </c>
      <c r="H22038">
        <v>8435482</v>
      </c>
      <c r="I22038">
        <v>72684270</v>
      </c>
      <c r="J22038">
        <v>10</v>
      </c>
    </row>
    <row r="22039" spans="1:10" x14ac:dyDescent="0.25">
      <c r="A22039" t="s">
        <v>243</v>
      </c>
      <c r="B22039" s="1" t="str">
        <f>HYPERLINK("http://ukpowerdistribution.co.uk","ukpowerdistribution.co.uk")</f>
        <v>ukpowerdistribution.co.uk</v>
      </c>
      <c r="C22039" t="s">
        <v>506</v>
      </c>
      <c r="D22039" t="s">
        <v>880</v>
      </c>
      <c r="F22039">
        <v>5.7292624885840197E-9</v>
      </c>
      <c r="G22039">
        <v>18670958</v>
      </c>
      <c r="H22039">
        <v>10761777</v>
      </c>
      <c r="I22039">
        <v>39544677</v>
      </c>
      <c r="J22039">
        <v>10</v>
      </c>
    </row>
    <row r="22040" spans="1:10" x14ac:dyDescent="0.25">
      <c r="A22040" t="s">
        <v>243</v>
      </c>
      <c r="B22040" s="1" t="str">
        <f>HYPERLINK("http://ukpowersolutions.co.uk","ukpowersolutions.co.uk")</f>
        <v>ukpowersolutions.co.uk</v>
      </c>
      <c r="C22040" t="s">
        <v>506</v>
      </c>
      <c r="D22040" t="s">
        <v>880</v>
      </c>
      <c r="F22040">
        <v>6.0315937753656699E-9</v>
      </c>
      <c r="G22040">
        <v>16490749</v>
      </c>
      <c r="H22040">
        <v>12376698</v>
      </c>
      <c r="I22040">
        <v>19279882</v>
      </c>
      <c r="J22040">
        <v>8</v>
      </c>
    </row>
    <row r="22041" spans="1:10" x14ac:dyDescent="0.25">
      <c r="A22041" t="s">
        <v>243</v>
      </c>
      <c r="B22041" s="1" t="str">
        <f>HYPERLINK("http://uksprinklersltd.co.uk","uksprinklersltd.co.uk")</f>
        <v>uksprinklersltd.co.uk</v>
      </c>
      <c r="C22041" t="s">
        <v>506</v>
      </c>
      <c r="D22041" t="s">
        <v>880</v>
      </c>
      <c r="F22041">
        <v>4.53918544019122E-9</v>
      </c>
      <c r="G22041">
        <v>53428419</v>
      </c>
      <c r="H22041">
        <v>9666975</v>
      </c>
      <c r="I22041">
        <v>63752751</v>
      </c>
      <c r="J22041">
        <v>11</v>
      </c>
    </row>
    <row r="22042" spans="1:10" x14ac:dyDescent="0.25">
      <c r="A22042" t="s">
        <v>1635</v>
      </c>
      <c r="B22042" s="1" t="str">
        <f>HYPERLINK("http://manulife.ca","manulife.ca")</f>
        <v>manulife.ca</v>
      </c>
      <c r="C22042" t="s">
        <v>428</v>
      </c>
      <c r="D22042" t="s">
        <v>809</v>
      </c>
      <c r="E22042">
        <v>50016</v>
      </c>
      <c r="F22042">
        <v>5.7417838488183497E-7</v>
      </c>
      <c r="G22042">
        <v>66528</v>
      </c>
      <c r="H22042">
        <v>17177646</v>
      </c>
      <c r="I22042">
        <v>46043</v>
      </c>
      <c r="J22042">
        <v>2</v>
      </c>
    </row>
    <row r="22043" spans="1:10" x14ac:dyDescent="0.25">
      <c r="A22043" t="s">
        <v>1635</v>
      </c>
      <c r="B22043" s="1" t="str">
        <f>HYPERLINK("http://manulifebank.ca","manulifebank.ca")</f>
        <v>manulifebank.ca</v>
      </c>
      <c r="C22043" t="s">
        <v>428</v>
      </c>
      <c r="D22043" t="s">
        <v>809</v>
      </c>
      <c r="E22043">
        <v>265945</v>
      </c>
      <c r="F22043">
        <v>2.14037459212564E-7</v>
      </c>
      <c r="G22043">
        <v>176360</v>
      </c>
      <c r="H22043">
        <v>16818890</v>
      </c>
      <c r="I22043">
        <v>186259</v>
      </c>
      <c r="J22043">
        <v>3</v>
      </c>
    </row>
    <row r="22044" spans="1:10" x14ac:dyDescent="0.25">
      <c r="A22044" t="s">
        <v>1635</v>
      </c>
      <c r="B22044" s="1" t="str">
        <f>HYPERLINK("http://manulifeim.ca","manulifeim.ca")</f>
        <v>manulifeim.ca</v>
      </c>
      <c r="C22044" t="s">
        <v>428</v>
      </c>
      <c r="D22044" t="s">
        <v>809</v>
      </c>
      <c r="F22044">
        <v>1.8665488997419199E-8</v>
      </c>
      <c r="G22044">
        <v>2895628</v>
      </c>
      <c r="H22044">
        <v>12406879</v>
      </c>
      <c r="I22044">
        <v>18658938</v>
      </c>
      <c r="J22044">
        <v>7</v>
      </c>
    </row>
    <row r="22045" spans="1:10" x14ac:dyDescent="0.25">
      <c r="A22045" t="s">
        <v>1635</v>
      </c>
      <c r="B22045" s="1" t="str">
        <f>HYPERLINK("http://manulifesecurities.ca","manulifesecurities.ca")</f>
        <v>manulifesecurities.ca</v>
      </c>
      <c r="C22045" t="s">
        <v>428</v>
      </c>
      <c r="D22045" t="s">
        <v>809</v>
      </c>
      <c r="F22045">
        <v>6.7755822267631499E-8</v>
      </c>
      <c r="G22045">
        <v>630257</v>
      </c>
      <c r="H22045">
        <v>13166918</v>
      </c>
      <c r="I22045">
        <v>11736685</v>
      </c>
      <c r="J22045">
        <v>3</v>
      </c>
    </row>
    <row r="22046" spans="1:10" x14ac:dyDescent="0.25">
      <c r="A22046" t="s">
        <v>1635</v>
      </c>
      <c r="B22046" s="1" t="str">
        <f>HYPERLINK("http://onemorethingtodo.ca","onemorethingtodo.ca")</f>
        <v>onemorethingtodo.ca</v>
      </c>
      <c r="C22046" t="s">
        <v>428</v>
      </c>
      <c r="D22046" t="s">
        <v>809</v>
      </c>
      <c r="F22046">
        <v>4.4948613880631398E-9</v>
      </c>
      <c r="G22046">
        <v>59721685</v>
      </c>
      <c r="H22046">
        <v>7784010.5</v>
      </c>
      <c r="I22046">
        <v>75670110</v>
      </c>
      <c r="J22046">
        <v>3</v>
      </c>
    </row>
    <row r="22047" spans="1:10" x14ac:dyDescent="0.25">
      <c r="A22047" t="s">
        <v>1635</v>
      </c>
      <c r="B22047" s="1" t="str">
        <f>HYPERLINK("http://alumniathome.com","alumniathome.com")</f>
        <v>alumniathome.com</v>
      </c>
      <c r="C22047" t="s">
        <v>433</v>
      </c>
      <c r="F22047">
        <v>4.5651349160791899E-9</v>
      </c>
      <c r="G22047">
        <v>50667457</v>
      </c>
      <c r="H22047">
        <v>9569145</v>
      </c>
      <c r="I22047">
        <v>64739538</v>
      </c>
      <c r="J22047">
        <v>3</v>
      </c>
    </row>
    <row r="22048" spans="1:10" x14ac:dyDescent="0.25">
      <c r="A22048" t="s">
        <v>1635</v>
      </c>
      <c r="B22048" s="1" t="str">
        <f>HYPERLINK("http://hancockagriculture.com","hancockagriculture.com")</f>
        <v>hancockagriculture.com</v>
      </c>
      <c r="C22048" t="s">
        <v>433</v>
      </c>
      <c r="F22048">
        <v>1.9355886352769901E-8</v>
      </c>
      <c r="G22048">
        <v>2770093</v>
      </c>
      <c r="H22048">
        <v>13021876</v>
      </c>
      <c r="I22048">
        <v>12705549</v>
      </c>
      <c r="J22048">
        <v>3</v>
      </c>
    </row>
    <row r="22049" spans="1:10" x14ac:dyDescent="0.25">
      <c r="A22049" t="s">
        <v>1635</v>
      </c>
      <c r="B22049" s="1" t="str">
        <f>HYPERLINK("http://jhancock.com","jhancock.com")</f>
        <v>jhancock.com</v>
      </c>
      <c r="C22049" t="s">
        <v>433</v>
      </c>
      <c r="E22049">
        <v>211340</v>
      </c>
      <c r="F22049">
        <v>6.9435630441239296E-8</v>
      </c>
      <c r="G22049">
        <v>611519</v>
      </c>
      <c r="H22049">
        <v>14163070</v>
      </c>
      <c r="I22049">
        <v>1830720</v>
      </c>
      <c r="J22049">
        <v>4</v>
      </c>
    </row>
    <row r="22050" spans="1:10" x14ac:dyDescent="0.25">
      <c r="A22050" t="s">
        <v>1635</v>
      </c>
      <c r="B22050" s="1" t="str">
        <f>HYPERLINK("http://jhinvestments.com","jhinvestments.com")</f>
        <v>jhinvestments.com</v>
      </c>
      <c r="C22050" t="s">
        <v>433</v>
      </c>
      <c r="E22050">
        <v>333827</v>
      </c>
      <c r="F22050">
        <v>2.0525028960442501E-7</v>
      </c>
      <c r="G22050">
        <v>185050</v>
      </c>
      <c r="H22050">
        <v>14337623</v>
      </c>
      <c r="I22050">
        <v>1318167</v>
      </c>
      <c r="J22050">
        <v>3</v>
      </c>
    </row>
    <row r="22051" spans="1:10" x14ac:dyDescent="0.25">
      <c r="A22051" t="s">
        <v>1635</v>
      </c>
      <c r="B22051" s="1" t="str">
        <f>HYPERLINK("http://johnhancock.com","johnhancock.com")</f>
        <v>johnhancock.com</v>
      </c>
      <c r="C22051" t="s">
        <v>433</v>
      </c>
      <c r="E22051">
        <v>45537</v>
      </c>
      <c r="F22051">
        <v>6.2692264727593398E-7</v>
      </c>
      <c r="G22051">
        <v>61139</v>
      </c>
      <c r="H22051">
        <v>17112094</v>
      </c>
      <c r="I22051">
        <v>61671</v>
      </c>
      <c r="J22051">
        <v>3</v>
      </c>
    </row>
    <row r="22052" spans="1:10" x14ac:dyDescent="0.25">
      <c r="A22052" t="s">
        <v>1635</v>
      </c>
      <c r="B22052" s="1" t="str">
        <f>HYPERLINK("http://johnhancockfinancialnetwork.com","johnhancockfinancialnetwork.com")</f>
        <v>johnhancockfinancialnetwork.com</v>
      </c>
      <c r="C22052" t="s">
        <v>433</v>
      </c>
      <c r="F22052">
        <v>1.0360882845281E-8</v>
      </c>
      <c r="G22052">
        <v>6394818</v>
      </c>
      <c r="H22052">
        <v>13934184</v>
      </c>
      <c r="I22052">
        <v>4620085</v>
      </c>
      <c r="J22052">
        <v>3</v>
      </c>
    </row>
    <row r="22053" spans="1:10" x14ac:dyDescent="0.25">
      <c r="A22053" t="s">
        <v>1635</v>
      </c>
      <c r="B22053" s="1" t="str">
        <f>HYPERLINK("http://johnhancocknewyork.com","johnhancocknewyork.com")</f>
        <v>johnhancocknewyork.com</v>
      </c>
      <c r="C22053" t="s">
        <v>433</v>
      </c>
      <c r="F22053">
        <v>4.4702786060315603E-9</v>
      </c>
      <c r="G22053">
        <v>64500384</v>
      </c>
      <c r="H22053">
        <v>10110440</v>
      </c>
      <c r="I22053">
        <v>59802578</v>
      </c>
      <c r="J22053">
        <v>3</v>
      </c>
    </row>
    <row r="22054" spans="1:10" x14ac:dyDescent="0.25">
      <c r="A22054" t="s">
        <v>1635</v>
      </c>
      <c r="B22054" s="1" t="str">
        <f>HYPERLINK("http://klikmami.com","klikmami.com")</f>
        <v>klikmami.com</v>
      </c>
      <c r="C22054" t="s">
        <v>433</v>
      </c>
      <c r="F22054">
        <v>1.5808200074844201E-8</v>
      </c>
      <c r="G22054">
        <v>3597180</v>
      </c>
      <c r="H22054">
        <v>13763958</v>
      </c>
      <c r="I22054">
        <v>7468360</v>
      </c>
      <c r="J22054">
        <v>3</v>
      </c>
    </row>
    <row r="22055" spans="1:10" x14ac:dyDescent="0.25">
      <c r="A22055" t="s">
        <v>1635</v>
      </c>
      <c r="B22055" s="1" t="str">
        <f>HYPERLINK("http://kurtismycfo.com","kurtismycfo.com")</f>
        <v>kurtismycfo.com</v>
      </c>
      <c r="C22055" t="s">
        <v>433</v>
      </c>
      <c r="F22055">
        <v>1.31859110945365E-8</v>
      </c>
      <c r="G22055">
        <v>4544504</v>
      </c>
      <c r="H22055">
        <v>13892532</v>
      </c>
      <c r="I22055">
        <v>5959648</v>
      </c>
      <c r="J22055">
        <v>5</v>
      </c>
    </row>
    <row r="22056" spans="1:10" x14ac:dyDescent="0.25">
      <c r="A22056" t="s">
        <v>1635</v>
      </c>
      <c r="B22056" s="1" t="str">
        <f>HYPERLINK("http://manulife.com","manulife.com")</f>
        <v>manulife.com</v>
      </c>
      <c r="C22056" t="s">
        <v>433</v>
      </c>
      <c r="E22056">
        <v>38435</v>
      </c>
      <c r="F22056">
        <v>7.0151946068174002E-7</v>
      </c>
      <c r="G22056">
        <v>55151</v>
      </c>
      <c r="H22056">
        <v>15107918</v>
      </c>
      <c r="I22056">
        <v>405404</v>
      </c>
      <c r="J22056">
        <v>1</v>
      </c>
    </row>
    <row r="22057" spans="1:10" x14ac:dyDescent="0.25">
      <c r="A22057" t="s">
        <v>1635</v>
      </c>
      <c r="B22057" s="1" t="str">
        <f>HYPERLINK("http://manulife-indonesia.com","manulife-indonesia.com")</f>
        <v>manulife-indonesia.com</v>
      </c>
      <c r="C22057" t="s">
        <v>433</v>
      </c>
      <c r="F22057">
        <v>1.2438933601546001E-8</v>
      </c>
      <c r="G22057">
        <v>4918263</v>
      </c>
      <c r="H22057">
        <v>14237899</v>
      </c>
      <c r="I22057">
        <v>1538081</v>
      </c>
      <c r="J22057">
        <v>3</v>
      </c>
    </row>
    <row r="22058" spans="1:10" x14ac:dyDescent="0.25">
      <c r="A22058" t="s">
        <v>1635</v>
      </c>
      <c r="B22058" s="1" t="str">
        <f>HYPERLINK("http://manulife-sinochem.com","manulife-sinochem.com")</f>
        <v>manulife-sinochem.com</v>
      </c>
      <c r="C22058" t="s">
        <v>433</v>
      </c>
      <c r="E22058">
        <v>965651</v>
      </c>
      <c r="F22058">
        <v>2.5906105051194801E-8</v>
      </c>
      <c r="G22058">
        <v>1989180</v>
      </c>
      <c r="H22058">
        <v>14095051</v>
      </c>
      <c r="I22058">
        <v>2730325</v>
      </c>
      <c r="J22058">
        <v>3</v>
      </c>
    </row>
    <row r="22059" spans="1:10" x14ac:dyDescent="0.25">
      <c r="A22059" t="s">
        <v>1635</v>
      </c>
      <c r="B22059" s="1" t="str">
        <f>HYPERLINK("http://manulifeam.com","manulifeam.com")</f>
        <v>manulifeam.com</v>
      </c>
      <c r="C22059" t="s">
        <v>433</v>
      </c>
      <c r="F22059">
        <v>4.8830198563277199E-8</v>
      </c>
      <c r="G22059">
        <v>949049</v>
      </c>
      <c r="H22059">
        <v>14387754</v>
      </c>
      <c r="I22059">
        <v>1174617</v>
      </c>
      <c r="J22059">
        <v>3</v>
      </c>
    </row>
    <row r="22060" spans="1:10" x14ac:dyDescent="0.25">
      <c r="A22060" t="s">
        <v>1635</v>
      </c>
      <c r="B22060" s="1" t="str">
        <f>HYPERLINK("http://manulifebank.com","manulifebank.com")</f>
        <v>manulifebank.com</v>
      </c>
      <c r="C22060" t="s">
        <v>433</v>
      </c>
      <c r="F22060">
        <v>6.5248025400038296E-8</v>
      </c>
      <c r="G22060">
        <v>659680</v>
      </c>
      <c r="H22060">
        <v>13677260</v>
      </c>
      <c r="I22060">
        <v>9538390</v>
      </c>
      <c r="J22060">
        <v>4</v>
      </c>
    </row>
    <row r="22061" spans="1:10" x14ac:dyDescent="0.25">
      <c r="A22061" t="s">
        <v>1635</v>
      </c>
      <c r="B22061" s="1" t="str">
        <f>HYPERLINK("http://manulifeim.com","manulifeim.com")</f>
        <v>manulifeim.com</v>
      </c>
      <c r="C22061" t="s">
        <v>433</v>
      </c>
      <c r="E22061">
        <v>241171</v>
      </c>
      <c r="F22061">
        <v>2.98788011604298E-7</v>
      </c>
      <c r="G22061">
        <v>124465</v>
      </c>
      <c r="H22061">
        <v>14558673</v>
      </c>
      <c r="I22061">
        <v>748283</v>
      </c>
      <c r="J22061">
        <v>6</v>
      </c>
    </row>
    <row r="22062" spans="1:10" x14ac:dyDescent="0.25">
      <c r="A22062" t="s">
        <v>1635</v>
      </c>
      <c r="B22062" s="1" t="str">
        <f>HYPERLINK("http://manuliferealestate.com","manuliferealestate.com")</f>
        <v>manuliferealestate.com</v>
      </c>
      <c r="C22062" t="s">
        <v>433</v>
      </c>
      <c r="F22062">
        <v>1.37970652881631E-8</v>
      </c>
      <c r="G22062">
        <v>4282684</v>
      </c>
      <c r="H22062">
        <v>13009639</v>
      </c>
      <c r="I22062">
        <v>12753651</v>
      </c>
      <c r="J22062">
        <v>4</v>
      </c>
    </row>
    <row r="22063" spans="1:10" x14ac:dyDescent="0.25">
      <c r="A22063" t="s">
        <v>1635</v>
      </c>
      <c r="B22063" s="1" t="str">
        <f>HYPERLINK("http://mfcteda.com","mfcteda.com")</f>
        <v>mfcteda.com</v>
      </c>
      <c r="C22063" t="s">
        <v>433</v>
      </c>
      <c r="F22063">
        <v>7.8515401213072896E-8</v>
      </c>
      <c r="G22063">
        <v>532465</v>
      </c>
      <c r="H22063">
        <v>12655012</v>
      </c>
      <c r="I22063">
        <v>15768039</v>
      </c>
      <c r="J22063">
        <v>3</v>
      </c>
    </row>
    <row r="22064" spans="1:10" x14ac:dyDescent="0.25">
      <c r="A22064" t="s">
        <v>1635</v>
      </c>
      <c r="B22064" s="1" t="str">
        <f>HYPERLINK("http://uppercanadacapital.com","uppercanadacapital.com")</f>
        <v>uppercanadacapital.com</v>
      </c>
      <c r="C22064" t="s">
        <v>433</v>
      </c>
      <c r="F22064">
        <v>4.69242330170808E-9</v>
      </c>
      <c r="G22064">
        <v>41666295</v>
      </c>
      <c r="H22064">
        <v>10023481</v>
      </c>
      <c r="I22064">
        <v>60659198</v>
      </c>
      <c r="J22064">
        <v>5</v>
      </c>
    </row>
    <row r="22065" spans="1:10" x14ac:dyDescent="0.25">
      <c r="A22065" t="s">
        <v>1635</v>
      </c>
      <c r="B22065" s="1" t="str">
        <f>HYPERLINK("http://manulifeam.fi","manulifeam.fi")</f>
        <v>manulifeam.fi</v>
      </c>
      <c r="C22065" t="s">
        <v>445</v>
      </c>
      <c r="D22065" t="s">
        <v>823</v>
      </c>
      <c r="J22065">
        <v>4</v>
      </c>
    </row>
    <row r="22066" spans="1:10" x14ac:dyDescent="0.25">
      <c r="A22066" t="s">
        <v>1635</v>
      </c>
      <c r="B22066" s="1" t="str">
        <f>HYPERLINK("http://manulife.com.hk","manulife.com.hk")</f>
        <v>manulife.com.hk</v>
      </c>
      <c r="C22066" t="s">
        <v>450</v>
      </c>
      <c r="D22066" t="s">
        <v>827</v>
      </c>
      <c r="E22066">
        <v>132939</v>
      </c>
      <c r="F22066">
        <v>1.4720312126167999E-7</v>
      </c>
      <c r="G22066">
        <v>264484</v>
      </c>
      <c r="H22066">
        <v>14335597</v>
      </c>
      <c r="I22066">
        <v>1319825</v>
      </c>
      <c r="J22066">
        <v>2</v>
      </c>
    </row>
    <row r="22067" spans="1:10" x14ac:dyDescent="0.25">
      <c r="A22067" t="s">
        <v>1635</v>
      </c>
      <c r="B22067" s="1" t="str">
        <f>HYPERLINK("http://manulife.co.id","manulife.co.id")</f>
        <v>manulife.co.id</v>
      </c>
      <c r="C22067" t="s">
        <v>454</v>
      </c>
      <c r="D22067" t="s">
        <v>831</v>
      </c>
      <c r="F22067">
        <v>6.2789687379093101E-8</v>
      </c>
      <c r="G22067">
        <v>698446</v>
      </c>
      <c r="H22067">
        <v>12746877</v>
      </c>
      <c r="I22067">
        <v>15071806</v>
      </c>
      <c r="J22067">
        <v>2</v>
      </c>
    </row>
    <row r="22068" spans="1:10" x14ac:dyDescent="0.25">
      <c r="A22068" t="s">
        <v>1635</v>
      </c>
      <c r="B22068" s="1" t="str">
        <f>HYPERLINK("http://manulife.co.jp","manulife.co.jp")</f>
        <v>manulife.co.jp</v>
      </c>
      <c r="C22068" t="s">
        <v>461</v>
      </c>
      <c r="D22068" t="s">
        <v>837</v>
      </c>
      <c r="E22068">
        <v>526833</v>
      </c>
      <c r="F22068">
        <v>1.3031293492650601E-7</v>
      </c>
      <c r="G22068">
        <v>300324</v>
      </c>
      <c r="H22068">
        <v>14205825</v>
      </c>
      <c r="I22068">
        <v>1711685</v>
      </c>
      <c r="J22068">
        <v>2</v>
      </c>
    </row>
    <row r="22069" spans="1:10" x14ac:dyDescent="0.25">
      <c r="A22069" t="s">
        <v>1635</v>
      </c>
      <c r="B22069" s="1" t="str">
        <f>HYPERLINK("http://manulifeim.co.jp","manulifeim.co.jp")</f>
        <v>manulifeim.co.jp</v>
      </c>
      <c r="C22069" t="s">
        <v>461</v>
      </c>
      <c r="D22069" t="s">
        <v>837</v>
      </c>
      <c r="F22069">
        <v>5.0600155814432803E-9</v>
      </c>
      <c r="G22069">
        <v>28001940</v>
      </c>
      <c r="H22069">
        <v>12096249</v>
      </c>
      <c r="I22069">
        <v>26069748</v>
      </c>
      <c r="J22069">
        <v>7</v>
      </c>
    </row>
    <row r="22070" spans="1:10" x14ac:dyDescent="0.25">
      <c r="A22070" t="s">
        <v>1635</v>
      </c>
      <c r="B22070" s="1" t="str">
        <f>HYPERLINK("http://manulife.com.kh","manulife.com.kh")</f>
        <v>manulife.com.kh</v>
      </c>
      <c r="C22070" t="s">
        <v>512</v>
      </c>
      <c r="D22070" t="s">
        <v>886</v>
      </c>
      <c r="F22070">
        <v>2.5924288505757401E-8</v>
      </c>
      <c r="G22070">
        <v>1987803</v>
      </c>
      <c r="H22070">
        <v>13211085</v>
      </c>
      <c r="I22070">
        <v>11404696</v>
      </c>
      <c r="J22070">
        <v>2</v>
      </c>
    </row>
    <row r="22071" spans="1:10" x14ac:dyDescent="0.25">
      <c r="A22071" t="s">
        <v>1635</v>
      </c>
      <c r="B22071" s="1" t="str">
        <f>HYPERLINK("http://manulife.com.mm","manulife.com.mm")</f>
        <v>manulife.com.mm</v>
      </c>
      <c r="C22071" t="s">
        <v>513</v>
      </c>
      <c r="D22071" t="s">
        <v>887</v>
      </c>
      <c r="F22071">
        <v>1.14412692054571E-8</v>
      </c>
      <c r="G22071">
        <v>5545360</v>
      </c>
      <c r="H22071">
        <v>12208268</v>
      </c>
      <c r="I22071">
        <v>23068940</v>
      </c>
      <c r="J22071">
        <v>2</v>
      </c>
    </row>
    <row r="22072" spans="1:10" x14ac:dyDescent="0.25">
      <c r="A22072" t="s">
        <v>1635</v>
      </c>
      <c r="B22072" s="1" t="str">
        <f>HYPERLINK("http://manulife.com.my","manulife.com.my")</f>
        <v>manulife.com.my</v>
      </c>
      <c r="C22072" t="s">
        <v>472</v>
      </c>
      <c r="D22072" t="s">
        <v>848</v>
      </c>
      <c r="F22072">
        <v>2.1305676088110301E-8</v>
      </c>
      <c r="G22072">
        <v>2473498</v>
      </c>
      <c r="H22072">
        <v>13883143</v>
      </c>
      <c r="I22072">
        <v>5974909</v>
      </c>
      <c r="J22072">
        <v>2</v>
      </c>
    </row>
    <row r="22073" spans="1:10" x14ac:dyDescent="0.25">
      <c r="A22073" t="s">
        <v>1635</v>
      </c>
      <c r="B22073" s="1" t="str">
        <f>HYPERLINK("http://manulifeinvestment.com.my","manulifeinvestment.com.my")</f>
        <v>manulifeinvestment.com.my</v>
      </c>
      <c r="C22073" t="s">
        <v>472</v>
      </c>
      <c r="D22073" t="s">
        <v>848</v>
      </c>
      <c r="F22073">
        <v>1.3976930363949099E-8</v>
      </c>
      <c r="G22073">
        <v>4211450</v>
      </c>
      <c r="H22073">
        <v>12330651</v>
      </c>
      <c r="I22073">
        <v>20202117</v>
      </c>
      <c r="J22073">
        <v>3</v>
      </c>
    </row>
    <row r="22074" spans="1:10" x14ac:dyDescent="0.25">
      <c r="A22074" t="s">
        <v>1635</v>
      </c>
      <c r="B22074" s="1" t="str">
        <f>HYPERLINK("http://manulife.com.ph","manulife.com.ph")</f>
        <v>manulife.com.ph</v>
      </c>
      <c r="C22074" t="s">
        <v>484</v>
      </c>
      <c r="D22074" t="s">
        <v>858</v>
      </c>
      <c r="E22074">
        <v>629614</v>
      </c>
      <c r="F22074">
        <v>1.6278181259642699E-7</v>
      </c>
      <c r="G22074">
        <v>238442</v>
      </c>
      <c r="H22074">
        <v>14145796</v>
      </c>
      <c r="I22074">
        <v>1898388</v>
      </c>
      <c r="J22074">
        <v>2</v>
      </c>
    </row>
    <row r="22075" spans="1:10" x14ac:dyDescent="0.25">
      <c r="A22075" t="s">
        <v>1635</v>
      </c>
      <c r="B22075" s="1" t="str">
        <f>HYPERLINK("http://manulife.pub","manulife.pub")</f>
        <v>manulife.pub</v>
      </c>
      <c r="C22075" t="s">
        <v>770</v>
      </c>
      <c r="F22075">
        <v>9.8692032861142506E-9</v>
      </c>
      <c r="G22075">
        <v>6892628</v>
      </c>
      <c r="H22075">
        <v>11142625</v>
      </c>
      <c r="I22075">
        <v>31811163</v>
      </c>
      <c r="J22075">
        <v>3</v>
      </c>
    </row>
    <row r="22076" spans="1:10" x14ac:dyDescent="0.25">
      <c r="A22076" t="s">
        <v>1635</v>
      </c>
      <c r="B22076" s="1" t="str">
        <f>HYPERLINK("http://manulife.com.sg","manulife.com.sg")</f>
        <v>manulife.com.sg</v>
      </c>
      <c r="C22076" t="s">
        <v>496</v>
      </c>
      <c r="D22076" t="s">
        <v>870</v>
      </c>
      <c r="E22076">
        <v>690929</v>
      </c>
      <c r="F22076">
        <v>4.3781893335588402E-8</v>
      </c>
      <c r="G22076">
        <v>1089103</v>
      </c>
      <c r="H22076">
        <v>13890435</v>
      </c>
      <c r="I22076">
        <v>5962487</v>
      </c>
      <c r="J22076">
        <v>2</v>
      </c>
    </row>
    <row r="22077" spans="1:10" x14ac:dyDescent="0.25">
      <c r="A22077" t="s">
        <v>1635</v>
      </c>
      <c r="B22077" s="1" t="str">
        <f>HYPERLINK("http://manulifeam.com.sg","manulifeam.com.sg")</f>
        <v>manulifeam.com.sg</v>
      </c>
      <c r="C22077" t="s">
        <v>496</v>
      </c>
      <c r="D22077" t="s">
        <v>870</v>
      </c>
      <c r="F22077">
        <v>1.2237158968270799E-8</v>
      </c>
      <c r="G22077">
        <v>5029491</v>
      </c>
      <c r="H22077">
        <v>13232059</v>
      </c>
      <c r="I22077">
        <v>11269977</v>
      </c>
      <c r="J22077">
        <v>4</v>
      </c>
    </row>
    <row r="22078" spans="1:10" x14ac:dyDescent="0.25">
      <c r="A22078" t="s">
        <v>1635</v>
      </c>
      <c r="B22078" s="1" t="str">
        <f>HYPERLINK("http://manulife.sg","manulife.sg")</f>
        <v>manulife.sg</v>
      </c>
      <c r="C22078" t="s">
        <v>496</v>
      </c>
      <c r="D22078" t="s">
        <v>870</v>
      </c>
      <c r="F22078">
        <v>6.4129303217209797E-9</v>
      </c>
      <c r="G22078">
        <v>14457624</v>
      </c>
      <c r="H22078">
        <v>13558790</v>
      </c>
      <c r="I22078">
        <v>9864263</v>
      </c>
      <c r="J22078">
        <v>3</v>
      </c>
    </row>
    <row r="22079" spans="1:10" x14ac:dyDescent="0.25">
      <c r="A22079" t="s">
        <v>1635</v>
      </c>
      <c r="B22079" s="1" t="str">
        <f>HYPERLINK("http://manulife.com.vn","manulife.com.vn")</f>
        <v>manulife.com.vn</v>
      </c>
      <c r="C22079" t="s">
        <v>509</v>
      </c>
      <c r="D22079" t="s">
        <v>883</v>
      </c>
      <c r="E22079">
        <v>210170</v>
      </c>
      <c r="F22079">
        <v>2.0890105259350601E-7</v>
      </c>
      <c r="G22079">
        <v>181216</v>
      </c>
      <c r="H22079">
        <v>14314645</v>
      </c>
      <c r="I22079">
        <v>1336845</v>
      </c>
      <c r="J22079">
        <v>2</v>
      </c>
    </row>
    <row r="22080" spans="1:10" x14ac:dyDescent="0.25">
      <c r="A22080" t="s">
        <v>1636</v>
      </c>
      <c r="B22080" s="1" t="str">
        <f>HYPERLINK("http://bellstores.com","bellstores.com")</f>
        <v>bellstores.com</v>
      </c>
      <c r="C22080" t="s">
        <v>433</v>
      </c>
      <c r="F22080">
        <v>1.58311317067501E-8</v>
      </c>
      <c r="G22080">
        <v>3590891</v>
      </c>
      <c r="H22080">
        <v>13116819</v>
      </c>
      <c r="I22080">
        <v>12005839</v>
      </c>
      <c r="J22080">
        <v>3</v>
      </c>
    </row>
    <row r="22081" spans="1:10" x14ac:dyDescent="0.25">
      <c r="A22081" t="s">
        <v>1636</v>
      </c>
      <c r="B22081" s="1" t="str">
        <f>HYPERLINK("http://bloomfieldmarathon.com","bloomfieldmarathon.com")</f>
        <v>bloomfieldmarathon.com</v>
      </c>
      <c r="C22081" t="s">
        <v>433</v>
      </c>
      <c r="J22081">
        <v>3</v>
      </c>
    </row>
    <row r="22082" spans="1:10" x14ac:dyDescent="0.25">
      <c r="A22082" t="s">
        <v>1636</v>
      </c>
      <c r="B22082" s="1" t="str">
        <f>HYPERLINK("http://bluelagooncafesc.com","bluelagooncafesc.com")</f>
        <v>bluelagooncafesc.com</v>
      </c>
      <c r="C22082" t="s">
        <v>433</v>
      </c>
      <c r="F22082">
        <v>4.8442430585428302E-9</v>
      </c>
      <c r="G22082">
        <v>34332999</v>
      </c>
      <c r="H22082">
        <v>11200415</v>
      </c>
      <c r="I22082">
        <v>31250451</v>
      </c>
      <c r="J22082">
        <v>3</v>
      </c>
    </row>
    <row r="22083" spans="1:10" x14ac:dyDescent="0.25">
      <c r="A22083" t="s">
        <v>1636</v>
      </c>
      <c r="B22083" s="1" t="str">
        <f>HYPERLINK("http://bricksstation.com","bricksstation.com")</f>
        <v>bricksstation.com</v>
      </c>
      <c r="C22083" t="s">
        <v>433</v>
      </c>
      <c r="F22083">
        <v>4.5955195946495296E-9</v>
      </c>
      <c r="G22083">
        <v>47957691</v>
      </c>
      <c r="H22083">
        <v>10755066</v>
      </c>
      <c r="I22083">
        <v>39822021</v>
      </c>
      <c r="J22083">
        <v>3</v>
      </c>
    </row>
    <row r="22084" spans="1:10" x14ac:dyDescent="0.25">
      <c r="A22084" t="s">
        <v>1636</v>
      </c>
      <c r="B22084" s="1" t="str">
        <f>HYPERLINK("http://grandrivermarathon.com","grandrivermarathon.com")</f>
        <v>grandrivermarathon.com</v>
      </c>
      <c r="C22084" t="s">
        <v>433</v>
      </c>
      <c r="F22084">
        <v>4.7787722868891397E-9</v>
      </c>
      <c r="G22084">
        <v>37007370</v>
      </c>
      <c r="H22084">
        <v>9590642</v>
      </c>
      <c r="I22084">
        <v>64502205</v>
      </c>
      <c r="J22084">
        <v>3</v>
      </c>
    </row>
    <row r="22085" spans="1:10" x14ac:dyDescent="0.25">
      <c r="A22085" t="s">
        <v>1636</v>
      </c>
      <c r="B22085" s="1" t="str">
        <f>HYPERLINK("http://harrysautoservice.com","harrysautoservice.com")</f>
        <v>harrysautoservice.com</v>
      </c>
      <c r="C22085" t="s">
        <v>433</v>
      </c>
      <c r="F22085">
        <v>4.7768564517243201E-9</v>
      </c>
      <c r="G22085">
        <v>37085324</v>
      </c>
      <c r="H22085">
        <v>12466317</v>
      </c>
      <c r="I22085">
        <v>17799970</v>
      </c>
      <c r="J22085">
        <v>3</v>
      </c>
    </row>
    <row r="22086" spans="1:10" x14ac:dyDescent="0.25">
      <c r="A22086" t="s">
        <v>1636</v>
      </c>
      <c r="B22086" s="1" t="str">
        <f>HYPERLINK("http://iwhcompanies.com","iwhcompanies.com")</f>
        <v>iwhcompanies.com</v>
      </c>
      <c r="C22086" t="s">
        <v>433</v>
      </c>
      <c r="F22086">
        <v>1.0602866082727399E-8</v>
      </c>
      <c r="G22086">
        <v>6181234</v>
      </c>
      <c r="H22086">
        <v>10024314</v>
      </c>
      <c r="I22086">
        <v>60652962</v>
      </c>
      <c r="J22086">
        <v>3</v>
      </c>
    </row>
    <row r="22087" spans="1:10" x14ac:dyDescent="0.25">
      <c r="A22087" t="s">
        <v>1636</v>
      </c>
      <c r="B22087" s="1" t="str">
        <f>HYPERLINK("http://marathonbrand.com","marathonbrand.com")</f>
        <v>marathonbrand.com</v>
      </c>
      <c r="C22087" t="s">
        <v>433</v>
      </c>
      <c r="F22087">
        <v>2.87698143190124E-8</v>
      </c>
      <c r="G22087">
        <v>1788943</v>
      </c>
      <c r="H22087">
        <v>14100296</v>
      </c>
      <c r="I22087">
        <v>2706413</v>
      </c>
      <c r="J22087">
        <v>3</v>
      </c>
    </row>
    <row r="22088" spans="1:10" x14ac:dyDescent="0.25">
      <c r="A22088" t="s">
        <v>1636</v>
      </c>
      <c r="B22088" s="1" t="str">
        <f>HYPERLINK("http://marathonpetroleum.com","marathonpetroleum.com")</f>
        <v>marathonpetroleum.com</v>
      </c>
      <c r="C22088" t="s">
        <v>433</v>
      </c>
      <c r="E22088">
        <v>108887</v>
      </c>
      <c r="F22088">
        <v>4.1234145984242302E-7</v>
      </c>
      <c r="G22088">
        <v>91239</v>
      </c>
      <c r="H22088">
        <v>14877758</v>
      </c>
      <c r="I22088">
        <v>474067</v>
      </c>
      <c r="J22088">
        <v>1</v>
      </c>
    </row>
    <row r="22089" spans="1:10" x14ac:dyDescent="0.25">
      <c r="A22089" t="s">
        <v>1636</v>
      </c>
      <c r="B22089" s="1" t="str">
        <f>HYPERLINK("http://mymarathon.com","mymarathon.com")</f>
        <v>mymarathon.com</v>
      </c>
      <c r="C22089" t="s">
        <v>433</v>
      </c>
      <c r="J22089">
        <v>3</v>
      </c>
    </row>
    <row r="22090" spans="1:10" x14ac:dyDescent="0.25">
      <c r="A22090" t="s">
        <v>1636</v>
      </c>
      <c r="B22090" s="1" t="str">
        <f>HYPERLINK("http://mymarathonstation.com","mymarathonstation.com")</f>
        <v>mymarathonstation.com</v>
      </c>
      <c r="C22090" t="s">
        <v>433</v>
      </c>
      <c r="F22090">
        <v>2.0291863707534999E-8</v>
      </c>
      <c r="G22090">
        <v>2615333</v>
      </c>
      <c r="H22090">
        <v>13350306</v>
      </c>
      <c r="I22090">
        <v>10614289</v>
      </c>
      <c r="J22090">
        <v>3</v>
      </c>
    </row>
    <row r="22091" spans="1:10" x14ac:dyDescent="0.25">
      <c r="A22091" t="s">
        <v>1636</v>
      </c>
      <c r="B22091" s="1" t="str">
        <f>HYPERLINK("http://nowatsketruckandtrailer.com","nowatsketruckandtrailer.com")</f>
        <v>nowatsketruckandtrailer.com</v>
      </c>
      <c r="C22091" t="s">
        <v>433</v>
      </c>
      <c r="J22091">
        <v>3</v>
      </c>
    </row>
    <row r="22092" spans="1:10" x14ac:dyDescent="0.25">
      <c r="A22092" t="s">
        <v>1636</v>
      </c>
      <c r="B22092" s="1" t="str">
        <f>HYPERLINK("http://nttsales.com","nttsales.com")</f>
        <v>nttsales.com</v>
      </c>
      <c r="C22092" t="s">
        <v>433</v>
      </c>
      <c r="J22092">
        <v>3</v>
      </c>
    </row>
    <row r="22093" spans="1:10" x14ac:dyDescent="0.25">
      <c r="A22093" t="s">
        <v>1636</v>
      </c>
      <c r="B22093" s="1" t="str">
        <f>HYPERLINK("http://tesoros.com","tesoros.com")</f>
        <v>tesoros.com</v>
      </c>
      <c r="C22093" t="s">
        <v>433</v>
      </c>
      <c r="F22093">
        <v>2.8027276623443201E-8</v>
      </c>
      <c r="G22093">
        <v>1835575</v>
      </c>
      <c r="H22093">
        <v>14567524</v>
      </c>
      <c r="I22093">
        <v>738365</v>
      </c>
      <c r="J22093">
        <v>3</v>
      </c>
    </row>
    <row r="22094" spans="1:10" x14ac:dyDescent="0.25">
      <c r="A22094" t="s">
        <v>1636</v>
      </c>
      <c r="B22094" s="1" t="str">
        <f>HYPERLINK("http://wirelessgiant.com","wirelessgiant.com")</f>
        <v>wirelessgiant.com</v>
      </c>
      <c r="C22094" t="s">
        <v>433</v>
      </c>
      <c r="F22094">
        <v>5.3104619014706701E-9</v>
      </c>
      <c r="G22094">
        <v>23341564</v>
      </c>
      <c r="H22094">
        <v>12379156</v>
      </c>
      <c r="I22094">
        <v>19224750</v>
      </c>
      <c r="J22094">
        <v>6</v>
      </c>
    </row>
    <row r="22095" spans="1:10" x14ac:dyDescent="0.25">
      <c r="A22095" t="s">
        <v>1636</v>
      </c>
      <c r="B22095" s="1" t="str">
        <f>HYPERLINK("http://wnr.com","wnr.com")</f>
        <v>wnr.com</v>
      </c>
      <c r="C22095" t="s">
        <v>433</v>
      </c>
      <c r="F22095">
        <v>3.5961304595861398E-8</v>
      </c>
      <c r="G22095">
        <v>1448882</v>
      </c>
      <c r="H22095">
        <v>14136152</v>
      </c>
      <c r="I22095">
        <v>1964160</v>
      </c>
      <c r="J22095">
        <v>3</v>
      </c>
    </row>
    <row r="22096" spans="1:10" x14ac:dyDescent="0.25">
      <c r="A22096" t="s">
        <v>1636</v>
      </c>
      <c r="B22096" s="1" t="str">
        <f>HYPERLINK("http://wnrl.com","wnrl.com")</f>
        <v>wnrl.com</v>
      </c>
      <c r="C22096" t="s">
        <v>433</v>
      </c>
      <c r="F22096">
        <v>5.2833124521833196E-9</v>
      </c>
      <c r="G22096">
        <v>23741980</v>
      </c>
      <c r="H22096">
        <v>13238214</v>
      </c>
      <c r="I22096">
        <v>11230840</v>
      </c>
      <c r="J22096">
        <v>7</v>
      </c>
    </row>
    <row r="22097" spans="1:10" x14ac:dyDescent="0.25">
      <c r="A22097" t="s">
        <v>244</v>
      </c>
      <c r="B22097" s="1" t="str">
        <f>HYPERLINK("http://hotelritzaltagracia.com.ar","hotelritzaltagracia.com.ar")</f>
        <v>hotelritzaltagracia.com.ar</v>
      </c>
      <c r="C22097" t="s">
        <v>418</v>
      </c>
      <c r="D22097" t="s">
        <v>800</v>
      </c>
      <c r="F22097">
        <v>4.6393359590576498E-9</v>
      </c>
      <c r="G22097">
        <v>44826532</v>
      </c>
      <c r="H22097">
        <v>10530635</v>
      </c>
      <c r="I22097">
        <v>48235030</v>
      </c>
      <c r="J22097">
        <v>4</v>
      </c>
    </row>
    <row r="22098" spans="1:10" x14ac:dyDescent="0.25">
      <c r="A22098" t="s">
        <v>244</v>
      </c>
      <c r="B22098" s="1" t="str">
        <f>HYPERLINK("http://sheraton-pilar.com.ar","sheraton-pilar.com.ar")</f>
        <v>sheraton-pilar.com.ar</v>
      </c>
      <c r="C22098" t="s">
        <v>418</v>
      </c>
      <c r="D22098" t="s">
        <v>800</v>
      </c>
      <c r="F22098">
        <v>4.49422029727895E-9</v>
      </c>
      <c r="G22098">
        <v>59820388</v>
      </c>
      <c r="H22098">
        <v>10721871</v>
      </c>
      <c r="I22098">
        <v>41676947</v>
      </c>
      <c r="J22098">
        <v>4</v>
      </c>
    </row>
    <row r="22099" spans="1:10" x14ac:dyDescent="0.25">
      <c r="A22099" t="s">
        <v>244</v>
      </c>
      <c r="B22099" s="1" t="str">
        <f>HYPERLINK("http://marriott.com.au","marriott.com.au")</f>
        <v>marriott.com.au</v>
      </c>
      <c r="C22099" t="s">
        <v>420</v>
      </c>
      <c r="D22099" t="s">
        <v>802</v>
      </c>
      <c r="E22099">
        <v>231566</v>
      </c>
      <c r="F22099">
        <v>1.0813061087297E-7</v>
      </c>
      <c r="G22099">
        <v>370159</v>
      </c>
      <c r="H22099">
        <v>14585800</v>
      </c>
      <c r="I22099">
        <v>701201</v>
      </c>
      <c r="J22099">
        <v>2</v>
      </c>
    </row>
    <row r="22100" spans="1:10" x14ac:dyDescent="0.25">
      <c r="A22100" t="s">
        <v>244</v>
      </c>
      <c r="B22100" s="1" t="str">
        <f>HYPERLINK("http://pieronesydneyharbour.com.au","pieronesydneyharbour.com.au")</f>
        <v>pieronesydneyharbour.com.au</v>
      </c>
      <c r="C22100" t="s">
        <v>420</v>
      </c>
      <c r="D22100" t="s">
        <v>802</v>
      </c>
      <c r="F22100">
        <v>2.7474372587959501E-8</v>
      </c>
      <c r="G22100">
        <v>1871168</v>
      </c>
      <c r="H22100">
        <v>13996760</v>
      </c>
      <c r="I22100">
        <v>4019180</v>
      </c>
      <c r="J22100">
        <v>5</v>
      </c>
    </row>
    <row r="22101" spans="1:10" x14ac:dyDescent="0.25">
      <c r="A22101" t="s">
        <v>244</v>
      </c>
      <c r="B22101" s="1" t="str">
        <f>HYPERLINK("http://carlton.be","carlton.be")</f>
        <v>carlton.be</v>
      </c>
      <c r="C22101" t="s">
        <v>421</v>
      </c>
      <c r="D22101" t="s">
        <v>803</v>
      </c>
      <c r="F22101">
        <v>4.4538362787117497E-9</v>
      </c>
      <c r="G22101">
        <v>69999847</v>
      </c>
      <c r="H22101">
        <v>11980154</v>
      </c>
      <c r="I22101">
        <v>28508935</v>
      </c>
      <c r="J22101">
        <v>5</v>
      </c>
    </row>
    <row r="22102" spans="1:10" x14ac:dyDescent="0.25">
      <c r="A22102" t="s">
        <v>244</v>
      </c>
      <c r="B22102" s="1" t="str">
        <f>HYPERLINK("http://thedominican.be","thedominican.be")</f>
        <v>thedominican.be</v>
      </c>
      <c r="C22102" t="s">
        <v>421</v>
      </c>
      <c r="D22102" t="s">
        <v>803</v>
      </c>
      <c r="F22102">
        <v>1.65159633458571E-8</v>
      </c>
      <c r="G22102">
        <v>3409753</v>
      </c>
      <c r="H22102">
        <v>13537045</v>
      </c>
      <c r="I22102">
        <v>9911533</v>
      </c>
      <c r="J22102">
        <v>5</v>
      </c>
    </row>
    <row r="22103" spans="1:10" x14ac:dyDescent="0.25">
      <c r="A22103" t="s">
        <v>244</v>
      </c>
      <c r="B22103" s="1" t="str">
        <f>HYPERLINK("http://marriott.com.br","marriott.com.br")</f>
        <v>marriott.com.br</v>
      </c>
      <c r="C22103" t="s">
        <v>425</v>
      </c>
      <c r="D22103" t="s">
        <v>806</v>
      </c>
      <c r="E22103">
        <v>384447</v>
      </c>
      <c r="F22103">
        <v>4.8290096458927899E-8</v>
      </c>
      <c r="G22103">
        <v>961921</v>
      </c>
      <c r="H22103">
        <v>13827375</v>
      </c>
      <c r="I22103">
        <v>6118696</v>
      </c>
      <c r="J22103">
        <v>2</v>
      </c>
    </row>
    <row r="22104" spans="1:10" x14ac:dyDescent="0.25">
      <c r="A22104" t="s">
        <v>244</v>
      </c>
      <c r="B22104" s="1" t="str">
        <f>HYPERLINK("http://ritzlagoadaanta.com.br","ritzlagoadaanta.com.br")</f>
        <v>ritzlagoadaanta.com.br</v>
      </c>
      <c r="C22104" t="s">
        <v>425</v>
      </c>
      <c r="D22104" t="s">
        <v>806</v>
      </c>
      <c r="F22104">
        <v>6.7046550994963301E-9</v>
      </c>
      <c r="G22104">
        <v>13286850</v>
      </c>
      <c r="H22104">
        <v>13293546</v>
      </c>
      <c r="I22104">
        <v>10860630</v>
      </c>
      <c r="J22104">
        <v>4</v>
      </c>
    </row>
    <row r="22105" spans="1:10" x14ac:dyDescent="0.25">
      <c r="A22105" t="s">
        <v>244</v>
      </c>
      <c r="B22105" s="1" t="str">
        <f>HYPERLINK("http://civichotel.ca","civichotel.ca")</f>
        <v>civichotel.ca</v>
      </c>
      <c r="C22105" t="s">
        <v>428</v>
      </c>
      <c r="D22105" t="s">
        <v>809</v>
      </c>
      <c r="F22105">
        <v>1.07451990037729E-8</v>
      </c>
      <c r="G22105">
        <v>6063759</v>
      </c>
      <c r="H22105">
        <v>12455469</v>
      </c>
      <c r="I22105">
        <v>17928764</v>
      </c>
      <c r="J22105">
        <v>5</v>
      </c>
    </row>
    <row r="22106" spans="1:10" x14ac:dyDescent="0.25">
      <c r="A22106" t="s">
        <v>244</v>
      </c>
      <c r="B22106" s="1" t="str">
        <f>HYPERLINK("http://mmtla.ca","mmtla.ca")</f>
        <v>mmtla.ca</v>
      </c>
      <c r="C22106" t="s">
        <v>428</v>
      </c>
      <c r="D22106" t="s">
        <v>809</v>
      </c>
      <c r="F22106">
        <v>4.4452529443743801E-9</v>
      </c>
      <c r="G22106">
        <v>75479705</v>
      </c>
      <c r="H22106">
        <v>10597912</v>
      </c>
      <c r="I22106">
        <v>45023281</v>
      </c>
      <c r="J22106">
        <v>4</v>
      </c>
    </row>
    <row r="22107" spans="1:10" x14ac:dyDescent="0.25">
      <c r="A22107" t="s">
        <v>244</v>
      </c>
      <c r="B22107" s="1" t="str">
        <f>HYPERLINK("http://thedorian.ca","thedorian.ca")</f>
        <v>thedorian.ca</v>
      </c>
      <c r="C22107" t="s">
        <v>428</v>
      </c>
      <c r="D22107" t="s">
        <v>809</v>
      </c>
      <c r="F22107">
        <v>6.4470040958768101E-9</v>
      </c>
      <c r="G22107">
        <v>14307796</v>
      </c>
      <c r="H22107">
        <v>12533470</v>
      </c>
      <c r="I22107">
        <v>17005899</v>
      </c>
      <c r="J22107">
        <v>5</v>
      </c>
    </row>
    <row r="22108" spans="1:10" x14ac:dyDescent="0.25">
      <c r="A22108" t="s">
        <v>244</v>
      </c>
      <c r="B22108" s="1" t="str">
        <f>HYPERLINK("http://marriott.com.cn","marriott.com.cn")</f>
        <v>marriott.com.cn</v>
      </c>
      <c r="C22108" t="s">
        <v>431</v>
      </c>
      <c r="D22108" t="s">
        <v>812</v>
      </c>
      <c r="E22108">
        <v>89134</v>
      </c>
      <c r="F22108">
        <v>2.7471282368728198E-7</v>
      </c>
      <c r="G22108">
        <v>135409</v>
      </c>
      <c r="H22108">
        <v>14492733</v>
      </c>
      <c r="I22108">
        <v>892718</v>
      </c>
      <c r="J22108">
        <v>2</v>
      </c>
    </row>
    <row r="22109" spans="1:10" x14ac:dyDescent="0.25">
      <c r="A22109" t="s">
        <v>244</v>
      </c>
      <c r="B22109" s="1" t="str">
        <f>HYPERLINK("http://ritzcarlton.cn","ritzcarlton.cn")</f>
        <v>ritzcarlton.cn</v>
      </c>
      <c r="C22109" t="s">
        <v>431</v>
      </c>
      <c r="D22109" t="s">
        <v>812</v>
      </c>
      <c r="F22109">
        <v>7.1082522421140397E-9</v>
      </c>
      <c r="G22109">
        <v>11991251</v>
      </c>
      <c r="H22109">
        <v>12386088</v>
      </c>
      <c r="I22109">
        <v>19107652</v>
      </c>
      <c r="J22109">
        <v>4</v>
      </c>
    </row>
    <row r="22110" spans="1:10" x14ac:dyDescent="0.25">
      <c r="A22110" t="s">
        <v>244</v>
      </c>
      <c r="B22110" s="1" t="str">
        <f>HYPERLINK("http://3eleven.com","3eleven.com")</f>
        <v>3eleven.com</v>
      </c>
      <c r="C22110" t="s">
        <v>433</v>
      </c>
      <c r="F22110">
        <v>4.6435509611541501E-9</v>
      </c>
      <c r="G22110">
        <v>44543562</v>
      </c>
      <c r="H22110">
        <v>11119558</v>
      </c>
      <c r="I22110">
        <v>32052597</v>
      </c>
      <c r="J22110">
        <v>4</v>
      </c>
    </row>
    <row r="22111" spans="1:10" x14ac:dyDescent="0.25">
      <c r="A22111" t="s">
        <v>244</v>
      </c>
      <c r="B22111" s="1" t="str">
        <f>HYPERLINK("http://aayafit.com","aayafit.com")</f>
        <v>aayafit.com</v>
      </c>
      <c r="C22111" t="s">
        <v>433</v>
      </c>
      <c r="F22111">
        <v>4.9163995444970701E-9</v>
      </c>
      <c r="G22111">
        <v>31823353</v>
      </c>
      <c r="H22111">
        <v>14071865</v>
      </c>
      <c r="I22111">
        <v>3279582</v>
      </c>
      <c r="J22111">
        <v>4</v>
      </c>
    </row>
    <row r="22112" spans="1:10" x14ac:dyDescent="0.25">
      <c r="A22112" t="s">
        <v>244</v>
      </c>
      <c r="B22112" s="1" t="str">
        <f>HYPERLINK("http://ac-hotels.com","ac-hotels.com")</f>
        <v>ac-hotels.com</v>
      </c>
      <c r="C22112" t="s">
        <v>433</v>
      </c>
      <c r="E22112">
        <v>718281</v>
      </c>
      <c r="F22112">
        <v>8.8075870252930595E-8</v>
      </c>
      <c r="G22112">
        <v>465306</v>
      </c>
      <c r="H22112">
        <v>14378231</v>
      </c>
      <c r="I22112">
        <v>1205422</v>
      </c>
      <c r="J22112">
        <v>3</v>
      </c>
    </row>
    <row r="22113" spans="1:10" x14ac:dyDescent="0.25">
      <c r="A22113" t="s">
        <v>244</v>
      </c>
      <c r="B22113" s="1" t="str">
        <f>HYPERLINK("http://ackrakow.com","ackrakow.com")</f>
        <v>ackrakow.com</v>
      </c>
      <c r="C22113" t="s">
        <v>433</v>
      </c>
      <c r="F22113">
        <v>6.7113446075076802E-9</v>
      </c>
      <c r="G22113">
        <v>13263480</v>
      </c>
      <c r="H22113">
        <v>12244374</v>
      </c>
      <c r="I22113">
        <v>22139741</v>
      </c>
      <c r="J22113">
        <v>4</v>
      </c>
    </row>
    <row r="22114" spans="1:10" x14ac:dyDescent="0.25">
      <c r="A22114" t="s">
        <v>244</v>
      </c>
      <c r="B22114" s="1" t="str">
        <f>HYPERLINK("http://aloftashevilledowntown.com","aloftashevilledowntown.com")</f>
        <v>aloftashevilledowntown.com</v>
      </c>
      <c r="C22114" t="s">
        <v>433</v>
      </c>
      <c r="F22114">
        <v>1.76945972884116E-8</v>
      </c>
      <c r="G22114">
        <v>3097891</v>
      </c>
      <c r="H22114">
        <v>13145095</v>
      </c>
      <c r="I22114">
        <v>11851700</v>
      </c>
      <c r="J22114">
        <v>3</v>
      </c>
    </row>
    <row r="22115" spans="1:10" x14ac:dyDescent="0.25">
      <c r="A22115" t="s">
        <v>244</v>
      </c>
      <c r="B22115" s="1" t="str">
        <f>HYPERLINK("http://aloftbirminghamsohosquare.com","aloftbirminghamsohosquare.com")</f>
        <v>aloftbirminghamsohosquare.com</v>
      </c>
      <c r="C22115" t="s">
        <v>433</v>
      </c>
      <c r="F22115">
        <v>1.04444780064639E-8</v>
      </c>
      <c r="G22115">
        <v>6318667</v>
      </c>
      <c r="H22115">
        <v>13967727</v>
      </c>
      <c r="I22115">
        <v>4082978</v>
      </c>
      <c r="J22115">
        <v>3</v>
      </c>
    </row>
    <row r="22116" spans="1:10" x14ac:dyDescent="0.25">
      <c r="A22116" t="s">
        <v>244</v>
      </c>
      <c r="B22116" s="1" t="str">
        <f>HYPERLINK("http://aloftbolingbrook.com","aloftbolingbrook.com")</f>
        <v>aloftbolingbrook.com</v>
      </c>
      <c r="C22116" t="s">
        <v>433</v>
      </c>
      <c r="F22116">
        <v>5.2252988945822398E-9</v>
      </c>
      <c r="G22116">
        <v>24657265</v>
      </c>
      <c r="H22116">
        <v>12636029</v>
      </c>
      <c r="I22116">
        <v>15906141</v>
      </c>
      <c r="J22116">
        <v>4</v>
      </c>
    </row>
    <row r="22117" spans="1:10" x14ac:dyDescent="0.25">
      <c r="A22117" t="s">
        <v>244</v>
      </c>
      <c r="B22117" s="1" t="str">
        <f>HYPERLINK("http://aloftchesapeake.com","aloftchesapeake.com")</f>
        <v>aloftchesapeake.com</v>
      </c>
      <c r="C22117" t="s">
        <v>433</v>
      </c>
      <c r="F22117">
        <v>4.9532530666084601E-9</v>
      </c>
      <c r="G22117">
        <v>30692212</v>
      </c>
      <c r="H22117">
        <v>12235468</v>
      </c>
      <c r="I22117">
        <v>22363199</v>
      </c>
      <c r="J22117">
        <v>4</v>
      </c>
    </row>
    <row r="22118" spans="1:10" x14ac:dyDescent="0.25">
      <c r="A22118" t="s">
        <v>244</v>
      </c>
      <c r="B22118" s="1" t="str">
        <f>HYPERLINK("http://aloftdallaslovefield.com","aloftdallaslovefield.com")</f>
        <v>aloftdallaslovefield.com</v>
      </c>
      <c r="C22118" t="s">
        <v>433</v>
      </c>
      <c r="F22118">
        <v>4.6840929236853604E-9</v>
      </c>
      <c r="G22118">
        <v>42104318</v>
      </c>
      <c r="H22118">
        <v>10442240</v>
      </c>
      <c r="I22118">
        <v>52312085</v>
      </c>
      <c r="J22118">
        <v>3</v>
      </c>
    </row>
    <row r="22119" spans="1:10" x14ac:dyDescent="0.25">
      <c r="A22119" t="s">
        <v>244</v>
      </c>
      <c r="B22119" s="1" t="str">
        <f>HYPERLINK("http://aloftgreenbay.com","aloftgreenbay.com")</f>
        <v>aloftgreenbay.com</v>
      </c>
      <c r="C22119" t="s">
        <v>433</v>
      </c>
      <c r="F22119">
        <v>5.8618803087941497E-9</v>
      </c>
      <c r="G22119">
        <v>17624861</v>
      </c>
      <c r="H22119">
        <v>12304175</v>
      </c>
      <c r="I22119">
        <v>20749682</v>
      </c>
      <c r="J22119">
        <v>4</v>
      </c>
    </row>
    <row r="22120" spans="1:10" x14ac:dyDescent="0.25">
      <c r="A22120" t="s">
        <v>244</v>
      </c>
      <c r="B22120" s="1" t="str">
        <f>HYPERLINK("http://aloftgreenvilledowntown.com","aloftgreenvilledowntown.com")</f>
        <v>aloftgreenvilledowntown.com</v>
      </c>
      <c r="C22120" t="s">
        <v>433</v>
      </c>
      <c r="F22120">
        <v>9.0947223490983894E-9</v>
      </c>
      <c r="G22120">
        <v>7854115</v>
      </c>
      <c r="H22120">
        <v>14006956</v>
      </c>
      <c r="I22120">
        <v>4004627</v>
      </c>
      <c r="J22120">
        <v>4</v>
      </c>
    </row>
    <row r="22121" spans="1:10" x14ac:dyDescent="0.25">
      <c r="A22121" t="s">
        <v>244</v>
      </c>
      <c r="B22121" s="1" t="str">
        <f>HYPERLINK("http://aloftharlem.com","aloftharlem.com")</f>
        <v>aloftharlem.com</v>
      </c>
      <c r="C22121" t="s">
        <v>433</v>
      </c>
      <c r="F22121">
        <v>1.53767934978894E-8</v>
      </c>
      <c r="G22121">
        <v>3722497</v>
      </c>
      <c r="H22121">
        <v>14180358</v>
      </c>
      <c r="I22121">
        <v>1780828</v>
      </c>
      <c r="J22121">
        <v>4</v>
      </c>
    </row>
    <row r="22122" spans="1:10" x14ac:dyDescent="0.25">
      <c r="A22122" t="s">
        <v>244</v>
      </c>
      <c r="B22122" s="1" t="str">
        <f>HYPERLINK("http://alofthotels.com","alofthotels.com")</f>
        <v>alofthotels.com</v>
      </c>
      <c r="C22122" t="s">
        <v>433</v>
      </c>
      <c r="E22122">
        <v>986481</v>
      </c>
      <c r="F22122">
        <v>7.1999576966568004E-8</v>
      </c>
      <c r="G22122">
        <v>586542</v>
      </c>
      <c r="H22122">
        <v>14065526</v>
      </c>
      <c r="I22122">
        <v>3737816</v>
      </c>
      <c r="J22122">
        <v>3</v>
      </c>
    </row>
    <row r="22123" spans="1:10" x14ac:dyDescent="0.25">
      <c r="A22123" t="s">
        <v>244</v>
      </c>
      <c r="B22123" s="1" t="str">
        <f>HYPERLINK("http://alofthoustondowntown.com","alofthoustondowntown.com")</f>
        <v>alofthoustondowntown.com</v>
      </c>
      <c r="C22123" t="s">
        <v>433</v>
      </c>
      <c r="F22123">
        <v>4.9110383535787298E-9</v>
      </c>
      <c r="G22123">
        <v>32147664</v>
      </c>
      <c r="H22123">
        <v>13933810</v>
      </c>
      <c r="I22123">
        <v>4666922</v>
      </c>
      <c r="J22123">
        <v>4</v>
      </c>
    </row>
    <row r="22124" spans="1:10" x14ac:dyDescent="0.25">
      <c r="A22124" t="s">
        <v>244</v>
      </c>
      <c r="B22124" s="1" t="str">
        <f>HYPERLINK("http://aloftkualalumpursentral.com","aloftkualalumpursentral.com")</f>
        <v>aloftkualalumpursentral.com</v>
      </c>
      <c r="C22124" t="s">
        <v>433</v>
      </c>
      <c r="F22124">
        <v>7.1862221011946201E-8</v>
      </c>
      <c r="G22124">
        <v>587767</v>
      </c>
      <c r="H22124">
        <v>14198555</v>
      </c>
      <c r="I22124">
        <v>1728388</v>
      </c>
      <c r="J22124">
        <v>4</v>
      </c>
    </row>
    <row r="22125" spans="1:10" x14ac:dyDescent="0.25">
      <c r="A22125" t="s">
        <v>244</v>
      </c>
      <c r="B22125" s="1" t="str">
        <f>HYPERLINK("http://aloftmanhattandowntown.com","aloftmanhattandowntown.com")</f>
        <v>aloftmanhattandowntown.com</v>
      </c>
      <c r="C22125" t="s">
        <v>433</v>
      </c>
      <c r="F22125">
        <v>7.12732878612817E-9</v>
      </c>
      <c r="G22125">
        <v>11939359</v>
      </c>
      <c r="H22125">
        <v>12393667</v>
      </c>
      <c r="I22125">
        <v>18959045</v>
      </c>
      <c r="J22125">
        <v>4</v>
      </c>
    </row>
    <row r="22126" spans="1:10" x14ac:dyDescent="0.25">
      <c r="A22126" t="s">
        <v>244</v>
      </c>
      <c r="B22126" s="1" t="str">
        <f>HYPERLINK("http://aloftmilwaukeedowntown.com","aloftmilwaukeedowntown.com")</f>
        <v>aloftmilwaukeedowntown.com</v>
      </c>
      <c r="C22126" t="s">
        <v>433</v>
      </c>
      <c r="F22126">
        <v>7.9137036339254004E-9</v>
      </c>
      <c r="G22126">
        <v>10084993</v>
      </c>
      <c r="H22126">
        <v>13770562</v>
      </c>
      <c r="I22126">
        <v>6724373</v>
      </c>
      <c r="J22126">
        <v>4</v>
      </c>
    </row>
    <row r="22127" spans="1:10" x14ac:dyDescent="0.25">
      <c r="A22127" t="s">
        <v>244</v>
      </c>
      <c r="B22127" s="1" t="str">
        <f>HYPERLINK("http://aloftminneapolis.com","aloftminneapolis.com")</f>
        <v>aloftminneapolis.com</v>
      </c>
      <c r="C22127" t="s">
        <v>433</v>
      </c>
      <c r="F22127">
        <v>1.3727679392285101E-8</v>
      </c>
      <c r="G22127">
        <v>4310074</v>
      </c>
      <c r="H22127">
        <v>13797659</v>
      </c>
      <c r="I22127">
        <v>6295652</v>
      </c>
      <c r="J22127">
        <v>4</v>
      </c>
    </row>
    <row r="22128" spans="1:10" x14ac:dyDescent="0.25">
      <c r="A22128" t="s">
        <v>244</v>
      </c>
      <c r="B22128" s="1" t="str">
        <f>HYPERLINK("http://aloftnewportlevee.com","aloftnewportlevee.com")</f>
        <v>aloftnewportlevee.com</v>
      </c>
      <c r="C22128" t="s">
        <v>433</v>
      </c>
      <c r="F22128">
        <v>6.9937886265181697E-9</v>
      </c>
      <c r="G22128">
        <v>12330023</v>
      </c>
      <c r="H22128">
        <v>12219752</v>
      </c>
      <c r="I22128">
        <v>22792374</v>
      </c>
      <c r="J22128">
        <v>4</v>
      </c>
    </row>
    <row r="22129" spans="1:10" x14ac:dyDescent="0.25">
      <c r="A22129" t="s">
        <v>244</v>
      </c>
      <c r="B22129" s="1" t="str">
        <f>HYPERLINK("http://aloftnewyorklaguardiaairport.com","aloftnewyorklaguardiaairport.com")</f>
        <v>aloftnewyorklaguardiaairport.com</v>
      </c>
      <c r="C22129" t="s">
        <v>433</v>
      </c>
      <c r="F22129">
        <v>8.7252135449920697E-9</v>
      </c>
      <c r="G22129">
        <v>8434332</v>
      </c>
      <c r="H22129">
        <v>11824949</v>
      </c>
      <c r="I22129">
        <v>29810459</v>
      </c>
      <c r="J22129">
        <v>4</v>
      </c>
    </row>
    <row r="22130" spans="1:10" x14ac:dyDescent="0.25">
      <c r="A22130" t="s">
        <v>244</v>
      </c>
      <c r="B22130" s="1" t="str">
        <f>HYPERLINK("http://aloftsanjosecupertino.com","aloftsanjosecupertino.com")</f>
        <v>aloftsanjosecupertino.com</v>
      </c>
      <c r="C22130" t="s">
        <v>433</v>
      </c>
      <c r="F22130">
        <v>4.5862276307499002E-9</v>
      </c>
      <c r="G22130">
        <v>48733646</v>
      </c>
      <c r="H22130">
        <v>9768573</v>
      </c>
      <c r="I22130">
        <v>62830758</v>
      </c>
      <c r="J22130">
        <v>4</v>
      </c>
    </row>
    <row r="22131" spans="1:10" x14ac:dyDescent="0.25">
      <c r="A22131" t="s">
        <v>244</v>
      </c>
      <c r="B22131" s="1" t="str">
        <f>HYPERLINK("http://aloftsarasota.com","aloftsarasota.com")</f>
        <v>aloftsarasota.com</v>
      </c>
      <c r="C22131" t="s">
        <v>433</v>
      </c>
      <c r="F22131">
        <v>1.08923590610193E-8</v>
      </c>
      <c r="G22131">
        <v>5948230</v>
      </c>
      <c r="H22131">
        <v>13351315</v>
      </c>
      <c r="I22131">
        <v>10611250</v>
      </c>
      <c r="J22131">
        <v>3</v>
      </c>
    </row>
    <row r="22132" spans="1:10" x14ac:dyDescent="0.25">
      <c r="A22132" t="s">
        <v>244</v>
      </c>
      <c r="B22132" s="1" t="str">
        <f>HYPERLINK("http://aloftscottsdale.com","aloftscottsdale.com")</f>
        <v>aloftscottsdale.com</v>
      </c>
      <c r="C22132" t="s">
        <v>433</v>
      </c>
      <c r="F22132">
        <v>4.9641906803042599E-9</v>
      </c>
      <c r="G22132">
        <v>30397231</v>
      </c>
      <c r="H22132">
        <v>11195274</v>
      </c>
      <c r="I22132">
        <v>31310732</v>
      </c>
      <c r="J22132">
        <v>3</v>
      </c>
    </row>
    <row r="22133" spans="1:10" x14ac:dyDescent="0.25">
      <c r="A22133" t="s">
        <v>244</v>
      </c>
      <c r="B22133" s="1" t="str">
        <f>HYPERLINK("http://aloftsfoairport.com","aloftsfoairport.com")</f>
        <v>aloftsfoairport.com</v>
      </c>
      <c r="C22133" t="s">
        <v>433</v>
      </c>
      <c r="J22133">
        <v>3</v>
      </c>
    </row>
    <row r="22134" spans="1:10" x14ac:dyDescent="0.25">
      <c r="A22134" t="s">
        <v>244</v>
      </c>
      <c r="B22134" s="1" t="str">
        <f>HYPERLINK("http://aloftstuttgarthotel.com","aloftstuttgarthotel.com")</f>
        <v>aloftstuttgarthotel.com</v>
      </c>
      <c r="C22134" t="s">
        <v>433</v>
      </c>
      <c r="F22134">
        <v>7.6848706058773308E-9</v>
      </c>
      <c r="G22134">
        <v>10613777</v>
      </c>
      <c r="H22134">
        <v>13774121</v>
      </c>
      <c r="I22134">
        <v>6614152</v>
      </c>
      <c r="J22134">
        <v>4</v>
      </c>
    </row>
    <row r="22135" spans="1:10" x14ac:dyDescent="0.25">
      <c r="A22135" t="s">
        <v>244</v>
      </c>
      <c r="B22135" s="1" t="str">
        <f>HYPERLINK("http://alofttallahassee.com","alofttallahassee.com")</f>
        <v>alofttallahassee.com</v>
      </c>
      <c r="C22135" t="s">
        <v>433</v>
      </c>
      <c r="F22135">
        <v>8.7347478365352797E-9</v>
      </c>
      <c r="G22135">
        <v>8418651</v>
      </c>
      <c r="H22135">
        <v>13785413</v>
      </c>
      <c r="I22135">
        <v>6401783</v>
      </c>
      <c r="J22135">
        <v>4</v>
      </c>
    </row>
    <row r="22136" spans="1:10" x14ac:dyDescent="0.25">
      <c r="A22136" t="s">
        <v>244</v>
      </c>
      <c r="B22136" s="1" t="str">
        <f>HYPERLINK("http://altarea.com","altarea.com")</f>
        <v>altarea.com</v>
      </c>
      <c r="C22136" t="s">
        <v>433</v>
      </c>
      <c r="F22136">
        <v>8.3254869289221797E-8</v>
      </c>
      <c r="G22136">
        <v>499547</v>
      </c>
      <c r="H22136">
        <v>13461308</v>
      </c>
      <c r="I22136">
        <v>10153118</v>
      </c>
      <c r="J22136">
        <v>6</v>
      </c>
    </row>
    <row r="22137" spans="1:10" x14ac:dyDescent="0.25">
      <c r="A22137" t="s">
        <v>244</v>
      </c>
      <c r="B22137" s="1" t="str">
        <f>HYPERLINK("http://altareacogedim.com","altareacogedim.com")</f>
        <v>altareacogedim.com</v>
      </c>
      <c r="C22137" t="s">
        <v>433</v>
      </c>
      <c r="F22137">
        <v>4.5867071008844403E-8</v>
      </c>
      <c r="G22137">
        <v>1024167</v>
      </c>
      <c r="H22137">
        <v>13777159</v>
      </c>
      <c r="I22137">
        <v>6541929</v>
      </c>
      <c r="J22137">
        <v>4</v>
      </c>
    </row>
    <row r="22138" spans="1:10" x14ac:dyDescent="0.25">
      <c r="A22138" t="s">
        <v>244</v>
      </c>
      <c r="B22138" s="1" t="str">
        <f>HYPERLINK("http://altareit.com","altareit.com")</f>
        <v>altareit.com</v>
      </c>
      <c r="C22138" t="s">
        <v>433</v>
      </c>
      <c r="F22138">
        <v>9.0947850590890505E-9</v>
      </c>
      <c r="G22138">
        <v>7854043</v>
      </c>
      <c r="H22138">
        <v>14080127</v>
      </c>
      <c r="I22138">
        <v>2823411</v>
      </c>
      <c r="J22138">
        <v>7</v>
      </c>
    </row>
    <row r="22139" spans="1:10" x14ac:dyDescent="0.25">
      <c r="A22139" t="s">
        <v>244</v>
      </c>
      <c r="B22139" s="1" t="str">
        <f>HYPERLINK("http://arabellagolf.com","arabellagolf.com")</f>
        <v>arabellagolf.com</v>
      </c>
      <c r="C22139" t="s">
        <v>433</v>
      </c>
      <c r="F22139">
        <v>9.1236495041055094E-9</v>
      </c>
      <c r="G22139">
        <v>7814383</v>
      </c>
      <c r="H22139">
        <v>12048777</v>
      </c>
      <c r="I22139">
        <v>27284872</v>
      </c>
      <c r="J22139">
        <v>6</v>
      </c>
    </row>
    <row r="22140" spans="1:10" x14ac:dyDescent="0.25">
      <c r="A22140" t="s">
        <v>244</v>
      </c>
      <c r="B22140" s="1" t="str">
        <f>HYPERLINK("http://bjcvh.com","bjcvh.com")</f>
        <v>bjcvh.com</v>
      </c>
      <c r="C22140" t="s">
        <v>433</v>
      </c>
      <c r="J22140">
        <v>4</v>
      </c>
    </row>
    <row r="22141" spans="1:10" x14ac:dyDescent="0.25">
      <c r="A22141" t="s">
        <v>244</v>
      </c>
      <c r="B22141" s="1" t="str">
        <f>HYPERLINK("http://bulgarihotels.com","bulgarihotels.com")</f>
        <v>bulgarihotels.com</v>
      </c>
      <c r="C22141" t="s">
        <v>433</v>
      </c>
      <c r="E22141">
        <v>84228</v>
      </c>
      <c r="F22141">
        <v>3.7678197929537801E-7</v>
      </c>
      <c r="G22141">
        <v>99350</v>
      </c>
      <c r="H22141">
        <v>15389048</v>
      </c>
      <c r="I22141">
        <v>380725</v>
      </c>
      <c r="J22141">
        <v>3</v>
      </c>
    </row>
    <row r="22142" spans="1:10" x14ac:dyDescent="0.25">
      <c r="A22142" t="s">
        <v>244</v>
      </c>
      <c r="B22142" s="1" t="str">
        <f>HYPERLINK("http://bunkbedhotel.com","bunkbedhotel.com")</f>
        <v>bunkbedhotel.com</v>
      </c>
      <c r="C22142" t="s">
        <v>433</v>
      </c>
      <c r="J22142">
        <v>5</v>
      </c>
    </row>
    <row r="22143" spans="1:10" x14ac:dyDescent="0.25">
      <c r="A22143" t="s">
        <v>244</v>
      </c>
      <c r="B22143" s="1" t="str">
        <f>HYPERLINK("http://camelbackinn.com","camelbackinn.com")</f>
        <v>camelbackinn.com</v>
      </c>
      <c r="C22143" t="s">
        <v>433</v>
      </c>
      <c r="F22143">
        <v>1.9634710824888098E-8</v>
      </c>
      <c r="G22143">
        <v>2721860</v>
      </c>
      <c r="H22143">
        <v>14267224</v>
      </c>
      <c r="I22143">
        <v>1405597</v>
      </c>
      <c r="J22143">
        <v>3</v>
      </c>
    </row>
    <row r="22144" spans="1:10" x14ac:dyDescent="0.25">
      <c r="A22144" t="s">
        <v>244</v>
      </c>
      <c r="B22144" s="1" t="str">
        <f>HYPERLINK("http://castillosonvidamallorca.com","castillosonvidamallorca.com")</f>
        <v>castillosonvidamallorca.com</v>
      </c>
      <c r="C22144" t="s">
        <v>433</v>
      </c>
      <c r="F22144">
        <v>1.1226340772283199E-8</v>
      </c>
      <c r="G22144">
        <v>5694736</v>
      </c>
      <c r="H22144">
        <v>13767941</v>
      </c>
      <c r="I22144">
        <v>6904633</v>
      </c>
      <c r="J22144">
        <v>4</v>
      </c>
    </row>
    <row r="22145" spans="1:10" x14ac:dyDescent="0.25">
      <c r="A22145" t="s">
        <v>244</v>
      </c>
      <c r="B22145" s="1" t="str">
        <f>HYPERLINK("http://citizenhotel.com","citizenhotel.com")</f>
        <v>citizenhotel.com</v>
      </c>
      <c r="C22145" t="s">
        <v>433</v>
      </c>
      <c r="F22145">
        <v>6.0536820707441201E-9</v>
      </c>
      <c r="G22145">
        <v>16361134</v>
      </c>
      <c r="H22145">
        <v>13773696</v>
      </c>
      <c r="I22145">
        <v>6624525</v>
      </c>
      <c r="J22145">
        <v>5</v>
      </c>
    </row>
    <row r="22146" spans="1:10" x14ac:dyDescent="0.25">
      <c r="A22146" t="s">
        <v>244</v>
      </c>
      <c r="B22146" s="1" t="str">
        <f>HYPERLINK("http://com-hotel.com","com-hotel.com")</f>
        <v>com-hotel.com</v>
      </c>
      <c r="C22146" t="s">
        <v>433</v>
      </c>
      <c r="E22146">
        <v>140474</v>
      </c>
      <c r="F22146">
        <v>1.4528293424323299E-7</v>
      </c>
      <c r="G22146">
        <v>267938</v>
      </c>
      <c r="H22146">
        <v>14740382</v>
      </c>
      <c r="I22146">
        <v>567594</v>
      </c>
      <c r="J22146">
        <v>4</v>
      </c>
    </row>
    <row r="22147" spans="1:10" x14ac:dyDescent="0.25">
      <c r="A22147" t="s">
        <v>244</v>
      </c>
      <c r="B22147" s="1" t="str">
        <f>HYPERLINK("http://courtyard.com","courtyard.com")</f>
        <v>courtyard.com</v>
      </c>
      <c r="C22147" t="s">
        <v>433</v>
      </c>
      <c r="E22147">
        <v>755640</v>
      </c>
      <c r="F22147">
        <v>3.8654822052256401E-8</v>
      </c>
      <c r="G22147">
        <v>1333888</v>
      </c>
      <c r="H22147">
        <v>14202650</v>
      </c>
      <c r="I22147">
        <v>1717876</v>
      </c>
      <c r="J22147">
        <v>3</v>
      </c>
    </row>
    <row r="22148" spans="1:10" x14ac:dyDescent="0.25">
      <c r="A22148" t="s">
        <v>244</v>
      </c>
      <c r="B22148" s="1" t="str">
        <f>HYPERLINK("http://courtyardcherrycreek.com","courtyardcherrycreek.com")</f>
        <v>courtyardcherrycreek.com</v>
      </c>
      <c r="C22148" t="s">
        <v>433</v>
      </c>
      <c r="F22148">
        <v>6.32148573869339E-9</v>
      </c>
      <c r="G22148">
        <v>14930302</v>
      </c>
      <c r="H22148">
        <v>12495359</v>
      </c>
      <c r="I22148">
        <v>17424524</v>
      </c>
      <c r="J22148">
        <v>4</v>
      </c>
    </row>
    <row r="22149" spans="1:10" x14ac:dyDescent="0.25">
      <c r="A22149" t="s">
        <v>244</v>
      </c>
      <c r="B22149" s="1" t="str">
        <f>HYPERLINK("http://courtyardmarriottmontreal.com","courtyardmarriottmontreal.com")</f>
        <v>courtyardmarriottmontreal.com</v>
      </c>
      <c r="C22149" t="s">
        <v>433</v>
      </c>
      <c r="F22149">
        <v>5.2117406453262102E-9</v>
      </c>
      <c r="G22149">
        <v>24894529</v>
      </c>
      <c r="H22149">
        <v>11103094</v>
      </c>
      <c r="I22149">
        <v>32230152</v>
      </c>
      <c r="J22149">
        <v>3</v>
      </c>
    </row>
    <row r="22150" spans="1:10" x14ac:dyDescent="0.25">
      <c r="A22150" t="s">
        <v>244</v>
      </c>
      <c r="B22150" s="1" t="str">
        <f>HYPERLINK("http://courtyardpioneersquare.com","courtyardpioneersquare.com")</f>
        <v>courtyardpioneersquare.com</v>
      </c>
      <c r="C22150" t="s">
        <v>433</v>
      </c>
      <c r="F22150">
        <v>5.05173571154108E-9</v>
      </c>
      <c r="G22150">
        <v>28180368</v>
      </c>
      <c r="H22150">
        <v>14071792</v>
      </c>
      <c r="I22150">
        <v>3383540</v>
      </c>
      <c r="J22150">
        <v>3</v>
      </c>
    </row>
    <row r="22151" spans="1:10" x14ac:dyDescent="0.25">
      <c r="A22151" t="s">
        <v>244</v>
      </c>
      <c r="B22151" s="1" t="str">
        <f>HYPERLINK("http://courtyardportlandcitycenter.com","courtyardportlandcitycenter.com")</f>
        <v>courtyardportlandcitycenter.com</v>
      </c>
      <c r="C22151" t="s">
        <v>433</v>
      </c>
      <c r="F22151">
        <v>6.3524402578477902E-9</v>
      </c>
      <c r="G22151">
        <v>14750222</v>
      </c>
      <c r="H22151">
        <v>11157761</v>
      </c>
      <c r="I22151">
        <v>31649438</v>
      </c>
      <c r="J22151">
        <v>4</v>
      </c>
    </row>
    <row r="22152" spans="1:10" x14ac:dyDescent="0.25">
      <c r="A22152" t="s">
        <v>244</v>
      </c>
      <c r="B22152" s="1" t="str">
        <f>HYPERLINK("http://courtyardsunnyvale.com","courtyardsunnyvale.com")</f>
        <v>courtyardsunnyvale.com</v>
      </c>
      <c r="C22152" t="s">
        <v>433</v>
      </c>
      <c r="F22152">
        <v>4.9177156582879404E-9</v>
      </c>
      <c r="G22152">
        <v>31765821</v>
      </c>
      <c r="H22152">
        <v>12200930</v>
      </c>
      <c r="I22152">
        <v>23296816</v>
      </c>
      <c r="J22152">
        <v>4</v>
      </c>
    </row>
    <row r="22153" spans="1:10" x14ac:dyDescent="0.25">
      <c r="A22153" t="s">
        <v>244</v>
      </c>
      <c r="B22153" s="1" t="str">
        <f>HYPERLINK("http://danielihotelvenice.com","danielihotelvenice.com")</f>
        <v>danielihotelvenice.com</v>
      </c>
      <c r="C22153" t="s">
        <v>433</v>
      </c>
      <c r="F22153">
        <v>2.3390550925548802E-8</v>
      </c>
      <c r="G22153">
        <v>2226829</v>
      </c>
      <c r="H22153">
        <v>14544857</v>
      </c>
      <c r="I22153">
        <v>770005</v>
      </c>
      <c r="J22153">
        <v>5</v>
      </c>
    </row>
    <row r="22154" spans="1:10" x14ac:dyDescent="0.25">
      <c r="A22154" t="s">
        <v>244</v>
      </c>
      <c r="B22154" s="1" t="str">
        <f>HYPERLINK("http://deltahotellondon.com","deltahotellondon.com")</f>
        <v>deltahotellondon.com</v>
      </c>
      <c r="C22154" t="s">
        <v>433</v>
      </c>
      <c r="F22154">
        <v>5.3407791137705401E-9</v>
      </c>
      <c r="G22154">
        <v>22924250</v>
      </c>
      <c r="H22154">
        <v>12436147</v>
      </c>
      <c r="I22154">
        <v>18199364</v>
      </c>
      <c r="J22154">
        <v>4</v>
      </c>
    </row>
    <row r="22155" spans="1:10" x14ac:dyDescent="0.25">
      <c r="A22155" t="s">
        <v>244</v>
      </c>
      <c r="B22155" s="1" t="str">
        <f>HYPERLINK("http://deltahotels.com","deltahotels.com")</f>
        <v>deltahotels.com</v>
      </c>
      <c r="C22155" t="s">
        <v>433</v>
      </c>
      <c r="E22155">
        <v>259422</v>
      </c>
      <c r="F22155">
        <v>1.9388304930268599E-7</v>
      </c>
      <c r="G22155">
        <v>198846</v>
      </c>
      <c r="H22155">
        <v>14791782</v>
      </c>
      <c r="I22155">
        <v>550601</v>
      </c>
      <c r="J22155">
        <v>4</v>
      </c>
    </row>
    <row r="22156" spans="1:10" x14ac:dyDescent="0.25">
      <c r="A22156" t="s">
        <v>244</v>
      </c>
      <c r="B22156" s="1" t="str">
        <f>HYPERLINK("http://desertspringsresort.com","desertspringsresort.com")</f>
        <v>desertspringsresort.com</v>
      </c>
      <c r="C22156" t="s">
        <v>433</v>
      </c>
      <c r="F22156">
        <v>2.1034396284516199E-8</v>
      </c>
      <c r="G22156">
        <v>2511313</v>
      </c>
      <c r="H22156">
        <v>14592118</v>
      </c>
      <c r="I22156">
        <v>693878</v>
      </c>
      <c r="J22156">
        <v>4</v>
      </c>
    </row>
    <row r="22157" spans="1:10" x14ac:dyDescent="0.25">
      <c r="A22157" t="s">
        <v>244</v>
      </c>
      <c r="B22157" s="1" t="str">
        <f>HYPERLINK("http://designhotels.com","designhotels.com")</f>
        <v>designhotels.com</v>
      </c>
      <c r="C22157" t="s">
        <v>433</v>
      </c>
      <c r="E22157">
        <v>93269</v>
      </c>
      <c r="F22157">
        <v>4.0561921691396302E-7</v>
      </c>
      <c r="G22157">
        <v>92622</v>
      </c>
      <c r="H22157">
        <v>15196016</v>
      </c>
      <c r="I22157">
        <v>395966</v>
      </c>
      <c r="J22157">
        <v>4</v>
      </c>
    </row>
    <row r="22158" spans="1:10" x14ac:dyDescent="0.25">
      <c r="A22158" t="s">
        <v>244</v>
      </c>
      <c r="B22158" s="1" t="str">
        <f>HYPERLINK("http://domesresorts.com","domesresorts.com")</f>
        <v>domesresorts.com</v>
      </c>
      <c r="C22158" t="s">
        <v>433</v>
      </c>
      <c r="F22158">
        <v>6.0705318007044405E-8</v>
      </c>
      <c r="G22158">
        <v>726107</v>
      </c>
      <c r="H22158">
        <v>14248416</v>
      </c>
      <c r="I22158">
        <v>1453253</v>
      </c>
      <c r="J22158">
        <v>5</v>
      </c>
    </row>
    <row r="22159" spans="1:10" x14ac:dyDescent="0.25">
      <c r="A22159" t="s">
        <v>244</v>
      </c>
      <c r="B22159" s="1" t="str">
        <f>HYPERLINK("http://editionhotels.com","editionhotels.com")</f>
        <v>editionhotels.com</v>
      </c>
      <c r="C22159" t="s">
        <v>433</v>
      </c>
      <c r="E22159">
        <v>81792</v>
      </c>
      <c r="F22159">
        <v>4.9445474271015097E-7</v>
      </c>
      <c r="G22159">
        <v>77207</v>
      </c>
      <c r="H22159">
        <v>15471283</v>
      </c>
      <c r="I22159">
        <v>377544</v>
      </c>
      <c r="J22159">
        <v>3</v>
      </c>
    </row>
    <row r="22160" spans="1:10" x14ac:dyDescent="0.25">
      <c r="A22160" t="s">
        <v>244</v>
      </c>
      <c r="B22160" s="1" t="str">
        <f>HYPERLINK("http://eleganthotelsgroup.com","eleganthotelsgroup.com")</f>
        <v>eleganthotelsgroup.com</v>
      </c>
      <c r="C22160" t="s">
        <v>433</v>
      </c>
      <c r="F22160">
        <v>6.5685304371399504E-9</v>
      </c>
      <c r="G22160">
        <v>13799824</v>
      </c>
      <c r="H22160">
        <v>13564527</v>
      </c>
      <c r="I22160">
        <v>9838882</v>
      </c>
      <c r="J22160">
        <v>3</v>
      </c>
    </row>
    <row r="22161" spans="1:10" x14ac:dyDescent="0.25">
      <c r="A22161" t="s">
        <v>244</v>
      </c>
      <c r="B22161" s="1" t="str">
        <f>HYPERLINK("http://elementarundelmills.com","elementarundelmills.com")</f>
        <v>elementarundelmills.com</v>
      </c>
      <c r="C22161" t="s">
        <v>433</v>
      </c>
      <c r="F22161">
        <v>4.8663437110499103E-9</v>
      </c>
      <c r="G22161">
        <v>33546349</v>
      </c>
      <c r="H22161">
        <v>12549605</v>
      </c>
      <c r="I22161">
        <v>16828102</v>
      </c>
      <c r="J22161">
        <v>4</v>
      </c>
    </row>
    <row r="22162" spans="1:10" x14ac:dyDescent="0.25">
      <c r="A22162" t="s">
        <v>244</v>
      </c>
      <c r="B22162" s="1" t="str">
        <f>HYPERLINK("http://elementhotelshub.com","elementhotelshub.com")</f>
        <v>elementhotelshub.com</v>
      </c>
      <c r="C22162" t="s">
        <v>433</v>
      </c>
      <c r="F22162">
        <v>5.6067615935088601E-9</v>
      </c>
      <c r="G22162">
        <v>19792808</v>
      </c>
      <c r="H22162">
        <v>13273272</v>
      </c>
      <c r="I22162">
        <v>10946810</v>
      </c>
      <c r="J22162">
        <v>5</v>
      </c>
    </row>
    <row r="22163" spans="1:10" x14ac:dyDescent="0.25">
      <c r="A22163" t="s">
        <v>244</v>
      </c>
      <c r="B22163" s="1" t="str">
        <f>HYPERLINK("http://elementkualalumpur.com","elementkualalumpur.com")</f>
        <v>elementkualalumpur.com</v>
      </c>
      <c r="C22163" t="s">
        <v>433</v>
      </c>
      <c r="F22163">
        <v>1.41373687022816E-8</v>
      </c>
      <c r="G22163">
        <v>4151960</v>
      </c>
      <c r="H22163">
        <v>13972856</v>
      </c>
      <c r="I22163">
        <v>4068741</v>
      </c>
      <c r="J22163">
        <v>4</v>
      </c>
    </row>
    <row r="22164" spans="1:10" x14ac:dyDescent="0.25">
      <c r="A22164" t="s">
        <v>244</v>
      </c>
      <c r="B22164" s="1" t="str">
        <f>HYPERLINK("http://fairfieldinn.com","fairfieldinn.com")</f>
        <v>fairfieldinn.com</v>
      </c>
      <c r="C22164" t="s">
        <v>433</v>
      </c>
      <c r="E22164">
        <v>965368</v>
      </c>
      <c r="F22164">
        <v>1.10069915441531E-7</v>
      </c>
      <c r="G22164">
        <v>363344</v>
      </c>
      <c r="H22164">
        <v>13700855</v>
      </c>
      <c r="I22164">
        <v>9513876</v>
      </c>
      <c r="J22164">
        <v>5</v>
      </c>
    </row>
    <row r="22165" spans="1:10" x14ac:dyDescent="0.25">
      <c r="A22165" t="s">
        <v>244</v>
      </c>
      <c r="B22165" s="1" t="str">
        <f>HYPERLINK("http://fairfieldmadisoncottonmill.com","fairfieldmadisoncottonmill.com")</f>
        <v>fairfieldmadisoncottonmill.com</v>
      </c>
      <c r="C22165" t="s">
        <v>433</v>
      </c>
      <c r="J22165">
        <v>5</v>
      </c>
    </row>
    <row r="22166" spans="1:10" x14ac:dyDescent="0.25">
      <c r="A22166" t="s">
        <v>244</v>
      </c>
      <c r="B22166" s="1" t="str">
        <f>HYPERLINK("http://flyslm.com","flyslm.com")</f>
        <v>flyslm.com</v>
      </c>
      <c r="C22166" t="s">
        <v>433</v>
      </c>
      <c r="E22166">
        <v>615961</v>
      </c>
      <c r="F22166">
        <v>1.01250091837572E-7</v>
      </c>
      <c r="G22166">
        <v>397078</v>
      </c>
      <c r="H22166">
        <v>14425723</v>
      </c>
      <c r="I22166">
        <v>1079847</v>
      </c>
      <c r="J22166">
        <v>4</v>
      </c>
    </row>
    <row r="22167" spans="1:10" x14ac:dyDescent="0.25">
      <c r="A22167" t="s">
        <v>244</v>
      </c>
      <c r="B22167" s="1" t="str">
        <f>HYPERLINK("http://fourpoints.com","fourpoints.com")</f>
        <v>fourpoints.com</v>
      </c>
      <c r="C22167" t="s">
        <v>433</v>
      </c>
      <c r="E22167">
        <v>607446</v>
      </c>
      <c r="F22167">
        <v>7.8877687686356398E-8</v>
      </c>
      <c r="G22167">
        <v>529911</v>
      </c>
      <c r="H22167">
        <v>14013997</v>
      </c>
      <c r="I22167">
        <v>3998314</v>
      </c>
      <c r="J22167">
        <v>3</v>
      </c>
    </row>
    <row r="22168" spans="1:10" x14ac:dyDescent="0.25">
      <c r="A22168" t="s">
        <v>244</v>
      </c>
      <c r="B22168" s="1" t="str">
        <f>HYPERLINK("http://fourpointsasheville.com","fourpointsasheville.com")</f>
        <v>fourpointsasheville.com</v>
      </c>
      <c r="C22168" t="s">
        <v>433</v>
      </c>
      <c r="F22168">
        <v>4.54793398417457E-9</v>
      </c>
      <c r="G22168">
        <v>52424302</v>
      </c>
      <c r="H22168">
        <v>9446268</v>
      </c>
      <c r="I22168">
        <v>66580318</v>
      </c>
      <c r="J22168">
        <v>3</v>
      </c>
    </row>
    <row r="22169" spans="1:10" x14ac:dyDescent="0.25">
      <c r="A22169" t="s">
        <v>244</v>
      </c>
      <c r="B22169" s="1" t="str">
        <f>HYPERLINK("http://fourpointsbarcelona.com","fourpointsbarcelona.com")</f>
        <v>fourpointsbarcelona.com</v>
      </c>
      <c r="C22169" t="s">
        <v>433</v>
      </c>
      <c r="J22169">
        <v>3</v>
      </c>
    </row>
    <row r="22170" spans="1:10" x14ac:dyDescent="0.25">
      <c r="A22170" t="s">
        <v>244</v>
      </c>
      <c r="B22170" s="1" t="str">
        <f>HYPERLINK("http://fourpointsbostonnewton.com","fourpointsbostonnewton.com")</f>
        <v>fourpointsbostonnewton.com</v>
      </c>
      <c r="C22170" t="s">
        <v>433</v>
      </c>
      <c r="J22170">
        <v>3</v>
      </c>
    </row>
    <row r="22171" spans="1:10" x14ac:dyDescent="0.25">
      <c r="A22171" t="s">
        <v>244</v>
      </c>
      <c r="B22171" s="1" t="str">
        <f>HYPERLINK("http://fourpointsbuffalogrove.com","fourpointsbuffalogrove.com")</f>
        <v>fourpointsbuffalogrove.com</v>
      </c>
      <c r="C22171" t="s">
        <v>433</v>
      </c>
      <c r="F22171">
        <v>5.3591715990476698E-9</v>
      </c>
      <c r="G22171">
        <v>22680608</v>
      </c>
      <c r="H22171">
        <v>10986355</v>
      </c>
      <c r="I22171">
        <v>33816267</v>
      </c>
      <c r="J22171">
        <v>4</v>
      </c>
    </row>
    <row r="22172" spans="1:10" x14ac:dyDescent="0.25">
      <c r="A22172" t="s">
        <v>244</v>
      </c>
      <c r="B22172" s="1" t="str">
        <f>HYPERLINK("http://fourpointscharlottelakenorman.com","fourpointscharlottelakenorman.com")</f>
        <v>fourpointscharlottelakenorman.com</v>
      </c>
      <c r="C22172" t="s">
        <v>433</v>
      </c>
      <c r="F22172">
        <v>4.56576892154986E-9</v>
      </c>
      <c r="G22172">
        <v>50596288</v>
      </c>
      <c r="H22172">
        <v>10943215</v>
      </c>
      <c r="I22172">
        <v>34746200</v>
      </c>
      <c r="J22172">
        <v>3</v>
      </c>
    </row>
    <row r="22173" spans="1:10" x14ac:dyDescent="0.25">
      <c r="A22173" t="s">
        <v>244</v>
      </c>
      <c r="B22173" s="1" t="str">
        <f>HYPERLINK("http://fourpointsdowntownseattlecenter.com","fourpointsdowntownseattlecenter.com")</f>
        <v>fourpointsdowntownseattlecenter.com</v>
      </c>
      <c r="C22173" t="s">
        <v>433</v>
      </c>
      <c r="F22173">
        <v>4.6649609849670196E-9</v>
      </c>
      <c r="G22173">
        <v>43234271</v>
      </c>
      <c r="H22173">
        <v>9111121</v>
      </c>
      <c r="I22173">
        <v>68798720</v>
      </c>
      <c r="J22173">
        <v>4</v>
      </c>
    </row>
    <row r="22174" spans="1:10" x14ac:dyDescent="0.25">
      <c r="A22174" t="s">
        <v>244</v>
      </c>
      <c r="B22174" s="1" t="str">
        <f>HYPERLINK("http://fourpointsedmundston.com","fourpointsedmundston.com")</f>
        <v>fourpointsedmundston.com</v>
      </c>
      <c r="C22174" t="s">
        <v>433</v>
      </c>
      <c r="F22174">
        <v>7.5750563731414304E-9</v>
      </c>
      <c r="G22174">
        <v>10847726</v>
      </c>
      <c r="H22174">
        <v>12719042</v>
      </c>
      <c r="I22174">
        <v>15256771</v>
      </c>
      <c r="J22174">
        <v>4</v>
      </c>
    </row>
    <row r="22175" spans="1:10" x14ac:dyDescent="0.25">
      <c r="A22175" t="s">
        <v>244</v>
      </c>
      <c r="B22175" s="1" t="str">
        <f>HYPERLINK("http://fourpointshakodate.com","fourpointshakodate.com")</f>
        <v>fourpointshakodate.com</v>
      </c>
      <c r="C22175" t="s">
        <v>433</v>
      </c>
      <c r="F22175">
        <v>6.4759643790968504E-9</v>
      </c>
      <c r="G22175">
        <v>14179790</v>
      </c>
      <c r="H22175">
        <v>12533341</v>
      </c>
      <c r="I22175">
        <v>17006814</v>
      </c>
      <c r="J22175">
        <v>3</v>
      </c>
    </row>
    <row r="22176" spans="1:10" x14ac:dyDescent="0.25">
      <c r="A22176" t="s">
        <v>244</v>
      </c>
      <c r="B22176" s="1" t="str">
        <f>HYPERLINK("http://fourpointshalifax.com","fourpointshalifax.com")</f>
        <v>fourpointshalifax.com</v>
      </c>
      <c r="C22176" t="s">
        <v>433</v>
      </c>
      <c r="F22176">
        <v>7.1995838167498098E-9</v>
      </c>
      <c r="G22176">
        <v>11741251</v>
      </c>
      <c r="H22176">
        <v>12805905</v>
      </c>
      <c r="I22176">
        <v>14611983</v>
      </c>
      <c r="J22176">
        <v>4</v>
      </c>
    </row>
    <row r="22177" spans="1:10" x14ac:dyDescent="0.25">
      <c r="A22177" t="s">
        <v>244</v>
      </c>
      <c r="B22177" s="1" t="str">
        <f>HYPERLINK("http://fourpointsjuneau.com","fourpointsjuneau.com")</f>
        <v>fourpointsjuneau.com</v>
      </c>
      <c r="C22177" t="s">
        <v>433</v>
      </c>
      <c r="F22177">
        <v>4.70394712979861E-9</v>
      </c>
      <c r="G22177">
        <v>41036434</v>
      </c>
      <c r="H22177">
        <v>12509760</v>
      </c>
      <c r="I22177">
        <v>17248577</v>
      </c>
      <c r="J22177">
        <v>4</v>
      </c>
    </row>
    <row r="22178" spans="1:10" x14ac:dyDescent="0.25">
      <c r="A22178" t="s">
        <v>244</v>
      </c>
      <c r="B22178" s="1" t="str">
        <f>HYPERLINK("http://fourpointsljubljana.com","fourpointsljubljana.com")</f>
        <v>fourpointsljubljana.com</v>
      </c>
      <c r="C22178" t="s">
        <v>433</v>
      </c>
      <c r="F22178">
        <v>4.5197056629796497E-9</v>
      </c>
      <c r="G22178">
        <v>56262964</v>
      </c>
      <c r="H22178">
        <v>11607021</v>
      </c>
      <c r="I22178">
        <v>29920154</v>
      </c>
      <c r="J22178">
        <v>4</v>
      </c>
    </row>
    <row r="22179" spans="1:10" x14ac:dyDescent="0.25">
      <c r="A22179" t="s">
        <v>244</v>
      </c>
      <c r="B22179" s="1" t="str">
        <f>HYPERLINK("http://fourpointslosangeleswestside.com","fourpointslosangeleswestside.com")</f>
        <v>fourpointslosangeleswestside.com</v>
      </c>
      <c r="C22179" t="s">
        <v>433</v>
      </c>
      <c r="F22179">
        <v>6.72814956515027E-9</v>
      </c>
      <c r="G22179">
        <v>13203462</v>
      </c>
      <c r="H22179">
        <v>12181346</v>
      </c>
      <c r="I22179">
        <v>23788058</v>
      </c>
      <c r="J22179">
        <v>4</v>
      </c>
    </row>
    <row r="22180" spans="1:10" x14ac:dyDescent="0.25">
      <c r="A22180" t="s">
        <v>244</v>
      </c>
      <c r="B22180" s="1" t="str">
        <f>HYPERLINK("http://fourpointsmilwaukeeairport.com","fourpointsmilwaukeeairport.com")</f>
        <v>fourpointsmilwaukeeairport.com</v>
      </c>
      <c r="C22180" t="s">
        <v>433</v>
      </c>
      <c r="F22180">
        <v>4.8763480735733399E-9</v>
      </c>
      <c r="G22180">
        <v>33198323</v>
      </c>
      <c r="H22180">
        <v>12161378</v>
      </c>
      <c r="I22180">
        <v>24327985</v>
      </c>
      <c r="J22180">
        <v>4</v>
      </c>
    </row>
    <row r="22181" spans="1:10" x14ac:dyDescent="0.25">
      <c r="A22181" t="s">
        <v>244</v>
      </c>
      <c r="B22181" s="1" t="str">
        <f>HYPERLINK("http://fourpointsmilwaukeenorth.com","fourpointsmilwaukeenorth.com")</f>
        <v>fourpointsmilwaukeenorth.com</v>
      </c>
      <c r="C22181" t="s">
        <v>433</v>
      </c>
      <c r="F22181">
        <v>5.63982105496049E-9</v>
      </c>
      <c r="G22181">
        <v>19485813</v>
      </c>
      <c r="H22181">
        <v>12378230</v>
      </c>
      <c r="I22181">
        <v>19259276</v>
      </c>
      <c r="J22181">
        <v>4</v>
      </c>
    </row>
    <row r="22182" spans="1:10" x14ac:dyDescent="0.25">
      <c r="A22182" t="s">
        <v>244</v>
      </c>
      <c r="B22182" s="1" t="str">
        <f>HYPERLINK("http://fourpointsmississaugameadowvale.com","fourpointsmississaugameadowvale.com")</f>
        <v>fourpointsmississaugameadowvale.com</v>
      </c>
      <c r="C22182" t="s">
        <v>433</v>
      </c>
      <c r="F22182">
        <v>5.0595373455673898E-9</v>
      </c>
      <c r="G22182">
        <v>28011967</v>
      </c>
      <c r="H22182">
        <v>11177983</v>
      </c>
      <c r="I22182">
        <v>31455504</v>
      </c>
      <c r="J22182">
        <v>4</v>
      </c>
    </row>
    <row r="22183" spans="1:10" x14ac:dyDescent="0.25">
      <c r="A22183" t="s">
        <v>244</v>
      </c>
      <c r="B22183" s="1" t="str">
        <f>HYPERLINK("http://fourpointsnewyorkdowntown.com","fourpointsnewyorkdowntown.com")</f>
        <v>fourpointsnewyorkdowntown.com</v>
      </c>
      <c r="C22183" t="s">
        <v>433</v>
      </c>
      <c r="F22183">
        <v>5.3919637164077896E-9</v>
      </c>
      <c r="G22183">
        <v>22221131</v>
      </c>
      <c r="H22183">
        <v>10986838</v>
      </c>
      <c r="I22183">
        <v>33807807</v>
      </c>
      <c r="J22183">
        <v>4</v>
      </c>
    </row>
    <row r="22184" spans="1:10" x14ac:dyDescent="0.25">
      <c r="A22184" t="s">
        <v>244</v>
      </c>
      <c r="B22184" s="1" t="str">
        <f>HYPERLINK("http://fourpointsniagarafallsfallsview.com","fourpointsniagarafallsfallsview.com")</f>
        <v>fourpointsniagarafallsfallsview.com</v>
      </c>
      <c r="C22184" t="s">
        <v>433</v>
      </c>
      <c r="F22184">
        <v>2.9505117889291702E-8</v>
      </c>
      <c r="G22184">
        <v>1746954</v>
      </c>
      <c r="H22184">
        <v>13746048</v>
      </c>
      <c r="I22184">
        <v>9423476</v>
      </c>
      <c r="J22184">
        <v>4</v>
      </c>
    </row>
    <row r="22185" spans="1:10" x14ac:dyDescent="0.25">
      <c r="A22185" t="s">
        <v>244</v>
      </c>
      <c r="B22185" s="1" t="str">
        <f>HYPERLINK("http://fourpointssohovillage.com","fourpointssohovillage.com")</f>
        <v>fourpointssohovillage.com</v>
      </c>
      <c r="C22185" t="s">
        <v>433</v>
      </c>
      <c r="F22185">
        <v>8.7975802827346402E-9</v>
      </c>
      <c r="G22185">
        <v>8314728</v>
      </c>
      <c r="H22185">
        <v>13775641</v>
      </c>
      <c r="I22185">
        <v>6574165</v>
      </c>
      <c r="J22185">
        <v>4</v>
      </c>
    </row>
    <row r="22186" spans="1:10" x14ac:dyDescent="0.25">
      <c r="A22186" t="s">
        <v>244</v>
      </c>
      <c r="B22186" s="1" t="str">
        <f>HYPERLINK("http://fourpointstallahasseedowntown.com","fourpointstallahasseedowntown.com")</f>
        <v>fourpointstallahasseedowntown.com</v>
      </c>
      <c r="C22186" t="s">
        <v>433</v>
      </c>
      <c r="F22186">
        <v>6.8006827881640403E-9</v>
      </c>
      <c r="G22186">
        <v>12958603</v>
      </c>
      <c r="H22186">
        <v>12646292</v>
      </c>
      <c r="I22186">
        <v>15824481</v>
      </c>
      <c r="J22186">
        <v>4</v>
      </c>
    </row>
    <row r="22187" spans="1:10" x14ac:dyDescent="0.25">
      <c r="A22187" t="s">
        <v>244</v>
      </c>
      <c r="B22187" s="1" t="str">
        <f>HYPERLINK("http://fpt1.com","fpt1.com")</f>
        <v>fpt1.com</v>
      </c>
      <c r="C22187" t="s">
        <v>433</v>
      </c>
      <c r="J22187">
        <v>3</v>
      </c>
    </row>
    <row r="22188" spans="1:10" x14ac:dyDescent="0.25">
      <c r="A22188" t="s">
        <v>244</v>
      </c>
      <c r="B22188" s="1" t="str">
        <f>HYPERLINK("http://galaxyhotelsystems.com","galaxyhotelsystems.com")</f>
        <v>galaxyhotelsystems.com</v>
      </c>
      <c r="C22188" t="s">
        <v>433</v>
      </c>
      <c r="F22188">
        <v>6.0062018857790803E-9</v>
      </c>
      <c r="G22188">
        <v>16645354</v>
      </c>
      <c r="H22188">
        <v>13375040</v>
      </c>
      <c r="I22188">
        <v>10446713</v>
      </c>
      <c r="J22188">
        <v>3</v>
      </c>
    </row>
    <row r="22189" spans="1:10" x14ac:dyDescent="0.25">
      <c r="A22189" t="s">
        <v>244</v>
      </c>
      <c r="B22189" s="1" t="str">
        <f>HYPERLINK("http://gaylordhotels.com","gaylordhotels.com")</f>
        <v>gaylordhotels.com</v>
      </c>
      <c r="C22189" t="s">
        <v>433</v>
      </c>
      <c r="E22189">
        <v>137951</v>
      </c>
      <c r="F22189">
        <v>1.6526736981064201E-7</v>
      </c>
      <c r="G22189">
        <v>234874</v>
      </c>
      <c r="H22189">
        <v>15282642</v>
      </c>
      <c r="I22189">
        <v>387477</v>
      </c>
      <c r="J22189">
        <v>5</v>
      </c>
    </row>
    <row r="22190" spans="1:10" x14ac:dyDescent="0.25">
      <c r="A22190" t="s">
        <v>244</v>
      </c>
      <c r="B22190" s="1" t="str">
        <f>HYPERLINK("http://gunterhotel.com","gunterhotel.com")</f>
        <v>gunterhotel.com</v>
      </c>
      <c r="C22190" t="s">
        <v>433</v>
      </c>
      <c r="F22190">
        <v>5.3066181605678203E-9</v>
      </c>
      <c r="G22190">
        <v>23396321</v>
      </c>
      <c r="H22190">
        <v>13766414</v>
      </c>
      <c r="I22190">
        <v>7007557</v>
      </c>
      <c r="J22190">
        <v>3</v>
      </c>
    </row>
    <row r="22191" spans="1:10" x14ac:dyDescent="0.25">
      <c r="A22191" t="s">
        <v>244</v>
      </c>
      <c r="B22191" s="1" t="str">
        <f>HYPERLINK("http://herzliya-marina.com","herzliya-marina.com")</f>
        <v>herzliya-marina.com</v>
      </c>
      <c r="C22191" t="s">
        <v>433</v>
      </c>
      <c r="F22191">
        <v>4.5611995218822799E-9</v>
      </c>
      <c r="G22191">
        <v>51053731</v>
      </c>
      <c r="H22191">
        <v>10675720</v>
      </c>
      <c r="I22191">
        <v>42839202</v>
      </c>
      <c r="J22191">
        <v>4</v>
      </c>
    </row>
    <row r="22192" spans="1:10" x14ac:dyDescent="0.25">
      <c r="A22192" t="s">
        <v>244</v>
      </c>
      <c r="B22192" s="1" t="str">
        <f>HYPERLINK("http://hi-lo-hotel.com","hi-lo-hotel.com")</f>
        <v>hi-lo-hotel.com</v>
      </c>
      <c r="C22192" t="s">
        <v>433</v>
      </c>
      <c r="F22192">
        <v>1.2478691899784801E-8</v>
      </c>
      <c r="G22192">
        <v>4896721</v>
      </c>
      <c r="H22192">
        <v>14082694</v>
      </c>
      <c r="I22192">
        <v>2798606</v>
      </c>
      <c r="J22192">
        <v>4</v>
      </c>
    </row>
    <row r="22193" spans="1:10" x14ac:dyDescent="0.25">
      <c r="A22193" t="s">
        <v>244</v>
      </c>
      <c r="B22193" s="1" t="str">
        <f>HYPERLINK("http://hosthotels.com","hosthotels.com")</f>
        <v>hosthotels.com</v>
      </c>
      <c r="C22193" t="s">
        <v>433</v>
      </c>
      <c r="E22193">
        <v>542650</v>
      </c>
      <c r="F22193">
        <v>1.00849697983834E-7</v>
      </c>
      <c r="G22193">
        <v>398722</v>
      </c>
      <c r="H22193">
        <v>14523693</v>
      </c>
      <c r="I22193">
        <v>798586</v>
      </c>
      <c r="J22193">
        <v>4</v>
      </c>
    </row>
    <row r="22194" spans="1:10" x14ac:dyDescent="0.25">
      <c r="A22194" t="s">
        <v>244</v>
      </c>
      <c r="B22194" s="1" t="str">
        <f>HYPERLINK("http://hostmarriott.com","hostmarriott.com")</f>
        <v>hostmarriott.com</v>
      </c>
      <c r="C22194" t="s">
        <v>433</v>
      </c>
      <c r="F22194">
        <v>5.2833635900211596E-9</v>
      </c>
      <c r="G22194">
        <v>23741286</v>
      </c>
      <c r="H22194">
        <v>12388942</v>
      </c>
      <c r="I22194">
        <v>19067941</v>
      </c>
      <c r="J22194">
        <v>6</v>
      </c>
    </row>
    <row r="22195" spans="1:10" x14ac:dyDescent="0.25">
      <c r="A22195" t="s">
        <v>244</v>
      </c>
      <c r="B22195" s="1" t="str">
        <f>HYPERLINK("http://hotelacbologna.com","hotelacbologna.com")</f>
        <v>hotelacbologna.com</v>
      </c>
      <c r="C22195" t="s">
        <v>433</v>
      </c>
      <c r="F22195">
        <v>4.4449990607012703E-9</v>
      </c>
      <c r="G22195">
        <v>75796100</v>
      </c>
      <c r="H22195">
        <v>10357582</v>
      </c>
      <c r="I22195">
        <v>55578138</v>
      </c>
      <c r="J22195">
        <v>4</v>
      </c>
    </row>
    <row r="22196" spans="1:10" x14ac:dyDescent="0.25">
      <c r="A22196" t="s">
        <v>244</v>
      </c>
      <c r="B22196" s="1" t="str">
        <f>HYPERLINK("http://hotelacbrescia.com","hotelacbrescia.com")</f>
        <v>hotelacbrescia.com</v>
      </c>
      <c r="C22196" t="s">
        <v>433</v>
      </c>
      <c r="F22196">
        <v>4.4637933622413001E-9</v>
      </c>
      <c r="G22196">
        <v>66603169</v>
      </c>
      <c r="H22196">
        <v>11129361</v>
      </c>
      <c r="I22196">
        <v>31953800</v>
      </c>
      <c r="J22196">
        <v>4</v>
      </c>
    </row>
    <row r="22197" spans="1:10" x14ac:dyDescent="0.25">
      <c r="A22197" t="s">
        <v>244</v>
      </c>
      <c r="B22197" s="1" t="str">
        <f>HYPERLINK("http://hotelacfirenze.com","hotelacfirenze.com")</f>
        <v>hotelacfirenze.com</v>
      </c>
      <c r="C22197" t="s">
        <v>433</v>
      </c>
      <c r="F22197">
        <v>4.4853952881747496E-9</v>
      </c>
      <c r="G22197">
        <v>61320954</v>
      </c>
      <c r="H22197">
        <v>11145775</v>
      </c>
      <c r="I22197">
        <v>31780908</v>
      </c>
      <c r="J22197">
        <v>5</v>
      </c>
    </row>
    <row r="22198" spans="1:10" x14ac:dyDescent="0.25">
      <c r="A22198" t="s">
        <v>244</v>
      </c>
      <c r="B22198" s="1" t="str">
        <f>HYPERLINK("http://hotelacgenova.com","hotelacgenova.com")</f>
        <v>hotelacgenova.com</v>
      </c>
      <c r="C22198" t="s">
        <v>433</v>
      </c>
      <c r="F22198">
        <v>4.8385199754611201E-9</v>
      </c>
      <c r="G22198">
        <v>34529492</v>
      </c>
      <c r="H22198">
        <v>12110505</v>
      </c>
      <c r="I22198">
        <v>25712114</v>
      </c>
      <c r="J22198">
        <v>4</v>
      </c>
    </row>
    <row r="22199" spans="1:10" x14ac:dyDescent="0.25">
      <c r="A22199" t="s">
        <v>244</v>
      </c>
      <c r="B22199" s="1" t="str">
        <f>HYPERLINK("http://hotelacpisa.com","hotelacpisa.com")</f>
        <v>hotelacpisa.com</v>
      </c>
      <c r="C22199" t="s">
        <v>433</v>
      </c>
      <c r="J22199">
        <v>4</v>
      </c>
    </row>
    <row r="22200" spans="1:10" x14ac:dyDescent="0.25">
      <c r="A22200" t="s">
        <v>244</v>
      </c>
      <c r="B22200" s="1" t="str">
        <f>HYPERLINK("http://hotelactorino.com","hotelactorino.com")</f>
        <v>hotelactorino.com</v>
      </c>
      <c r="C22200" t="s">
        <v>433</v>
      </c>
      <c r="F22200">
        <v>4.6925044145951902E-9</v>
      </c>
      <c r="G22200">
        <v>41661969</v>
      </c>
      <c r="H22200">
        <v>11406299</v>
      </c>
      <c r="I22200">
        <v>30206308</v>
      </c>
      <c r="J22200">
        <v>4</v>
      </c>
    </row>
    <row r="22201" spans="1:10" x14ac:dyDescent="0.25">
      <c r="A22201" t="s">
        <v>244</v>
      </c>
      <c r="B22201" s="1" t="str">
        <f>HYPERLINK("http://hotelacvicenza.com","hotelacvicenza.com")</f>
        <v>hotelacvicenza.com</v>
      </c>
      <c r="C22201" t="s">
        <v>433</v>
      </c>
      <c r="F22201">
        <v>4.6346921221984002E-9</v>
      </c>
      <c r="G22201">
        <v>45113178</v>
      </c>
      <c r="H22201">
        <v>10903530</v>
      </c>
      <c r="I22201">
        <v>35753086</v>
      </c>
      <c r="J22201">
        <v>5</v>
      </c>
    </row>
    <row r="22202" spans="1:10" x14ac:dyDescent="0.25">
      <c r="A22202" t="s">
        <v>244</v>
      </c>
      <c r="B22202" s="1" t="str">
        <f>HYPERLINK("http://hotelartsbarcelona.com","hotelartsbarcelona.com")</f>
        <v>hotelartsbarcelona.com</v>
      </c>
      <c r="C22202" t="s">
        <v>433</v>
      </c>
      <c r="E22202">
        <v>454436</v>
      </c>
      <c r="F22202">
        <v>9.1576257113259798E-8</v>
      </c>
      <c r="G22202">
        <v>444978</v>
      </c>
      <c r="H22202">
        <v>14644432</v>
      </c>
      <c r="I22202">
        <v>633793</v>
      </c>
      <c r="J22202">
        <v>3</v>
      </c>
    </row>
    <row r="22203" spans="1:10" x14ac:dyDescent="0.25">
      <c r="A22203" t="s">
        <v>244</v>
      </c>
      <c r="B22203" s="1" t="str">
        <f>HYPERLINK("http://hotelclio.com","hotelclio.com")</f>
        <v>hotelclio.com</v>
      </c>
      <c r="C22203" t="s">
        <v>433</v>
      </c>
      <c r="J22203">
        <v>3</v>
      </c>
    </row>
    <row r="22204" spans="1:10" x14ac:dyDescent="0.25">
      <c r="A22204" t="s">
        <v>244</v>
      </c>
      <c r="B22204" s="1" t="str">
        <f>HYPERLINK("http://hotelco51.com","hotelco51.com")</f>
        <v>hotelco51.com</v>
      </c>
      <c r="C22204" t="s">
        <v>433</v>
      </c>
      <c r="F22204">
        <v>6.3587650329005799E-9</v>
      </c>
      <c r="G22204">
        <v>14719001</v>
      </c>
      <c r="H22204">
        <v>12193591</v>
      </c>
      <c r="I22204">
        <v>23495669</v>
      </c>
      <c r="J22204">
        <v>5</v>
      </c>
    </row>
    <row r="22205" spans="1:10" x14ac:dyDescent="0.25">
      <c r="A22205" t="s">
        <v>244</v>
      </c>
      <c r="B22205" s="1" t="str">
        <f>HYPERLINK("http://hotelinfirenze.com","hotelinfirenze.com")</f>
        <v>hotelinfirenze.com</v>
      </c>
      <c r="C22205" t="s">
        <v>433</v>
      </c>
      <c r="F22205">
        <v>9.1919305452399502E-9</v>
      </c>
      <c r="G22205">
        <v>7720758</v>
      </c>
      <c r="H22205">
        <v>14124358</v>
      </c>
      <c r="I22205">
        <v>2147367</v>
      </c>
      <c r="J22205">
        <v>5</v>
      </c>
    </row>
    <row r="22206" spans="1:10" x14ac:dyDescent="0.25">
      <c r="A22206" t="s">
        <v>244</v>
      </c>
      <c r="B22206" s="1" t="str">
        <f>HYPERLINK("http://hotelpdn.com","hotelpdn.com")</f>
        <v>hotelpdn.com</v>
      </c>
      <c r="C22206" t="s">
        <v>433</v>
      </c>
      <c r="F22206">
        <v>1.5470531152358899E-8</v>
      </c>
      <c r="G22206">
        <v>3692966</v>
      </c>
      <c r="H22206">
        <v>13412000</v>
      </c>
      <c r="I22206">
        <v>10330368</v>
      </c>
      <c r="J22206">
        <v>3</v>
      </c>
    </row>
    <row r="22207" spans="1:10" x14ac:dyDescent="0.25">
      <c r="A22207" t="s">
        <v>244</v>
      </c>
      <c r="B22207" s="1" t="str">
        <f>HYPERLINK("http://hotelpur.com","hotelpur.com")</f>
        <v>hotelpur.com</v>
      </c>
      <c r="C22207" t="s">
        <v>433</v>
      </c>
      <c r="F22207">
        <v>1.0490968339688701E-8</v>
      </c>
      <c r="G22207">
        <v>6277480</v>
      </c>
      <c r="H22207">
        <v>13817689</v>
      </c>
      <c r="I22207">
        <v>6156538</v>
      </c>
      <c r="J22207">
        <v>3</v>
      </c>
    </row>
    <row r="22208" spans="1:10" x14ac:dyDescent="0.25">
      <c r="A22208" t="s">
        <v>244</v>
      </c>
      <c r="B22208" s="1" t="str">
        <f>HYPERLINK("http://hotelviumilan.com","hotelviumilan.com")</f>
        <v>hotelviumilan.com</v>
      </c>
      <c r="C22208" t="s">
        <v>433</v>
      </c>
      <c r="F22208">
        <v>1.6686750556240801E-8</v>
      </c>
      <c r="G22208">
        <v>3362120</v>
      </c>
      <c r="H22208">
        <v>13306561</v>
      </c>
      <c r="I22208">
        <v>10796036</v>
      </c>
      <c r="J22208">
        <v>5</v>
      </c>
    </row>
    <row r="22209" spans="1:10" x14ac:dyDescent="0.25">
      <c r="A22209" t="s">
        <v>244</v>
      </c>
      <c r="B22209" s="1" t="str">
        <f>HYPERLINK("http://icdallas.com","icdallas.com")</f>
        <v>icdallas.com</v>
      </c>
      <c r="C22209" t="s">
        <v>433</v>
      </c>
      <c r="F22209">
        <v>7.6641538335920307E-9</v>
      </c>
      <c r="G22209">
        <v>10655814</v>
      </c>
      <c r="H22209">
        <v>12996114</v>
      </c>
      <c r="I22209">
        <v>12818128</v>
      </c>
      <c r="J22209">
        <v>4</v>
      </c>
    </row>
    <row r="22210" spans="1:10" x14ac:dyDescent="0.25">
      <c r="A22210" t="s">
        <v>244</v>
      </c>
      <c r="B22210" s="1" t="str">
        <f>HYPERLINK("http://ilg.com","ilg.com")</f>
        <v>ilg.com</v>
      </c>
      <c r="C22210" t="s">
        <v>433</v>
      </c>
      <c r="F22210">
        <v>3.7542110028559299E-8</v>
      </c>
      <c r="G22210">
        <v>1378482</v>
      </c>
      <c r="H22210">
        <v>13856879</v>
      </c>
      <c r="I22210">
        <v>6043658</v>
      </c>
      <c r="J22210">
        <v>2</v>
      </c>
    </row>
    <row r="22211" spans="1:10" x14ac:dyDescent="0.25">
      <c r="A22211" t="s">
        <v>244</v>
      </c>
      <c r="B22211" s="1" t="str">
        <f>HYPERLINK("http://innatthemissionsjc.com","innatthemissionsjc.com")</f>
        <v>innatthemissionsjc.com</v>
      </c>
      <c r="C22211" t="s">
        <v>433</v>
      </c>
      <c r="F22211">
        <v>1.24596627687635E-8</v>
      </c>
      <c r="G22211">
        <v>4907094</v>
      </c>
      <c r="H22211">
        <v>13283422</v>
      </c>
      <c r="I22211">
        <v>10902608</v>
      </c>
      <c r="J22211">
        <v>4</v>
      </c>
    </row>
    <row r="22212" spans="1:10" x14ac:dyDescent="0.25">
      <c r="A22212" t="s">
        <v>244</v>
      </c>
      <c r="B22212" s="1" t="str">
        <f>HYPERLINK("http://jwmarriottaustin.com","jwmarriottaustin.com")</f>
        <v>jwmarriottaustin.com</v>
      </c>
      <c r="C22212" t="s">
        <v>433</v>
      </c>
      <c r="F22212">
        <v>6.8498453007935797E-8</v>
      </c>
      <c r="G22212">
        <v>621551</v>
      </c>
      <c r="H22212">
        <v>14200873</v>
      </c>
      <c r="I22212">
        <v>1721951</v>
      </c>
      <c r="J22212">
        <v>4</v>
      </c>
    </row>
    <row r="22213" spans="1:10" x14ac:dyDescent="0.25">
      <c r="A22213" t="s">
        <v>244</v>
      </c>
      <c r="B22213" s="1" t="str">
        <f>HYPERLINK("http://jwmarriotthongkong.com","jwmarriotthongkong.com")</f>
        <v>jwmarriotthongkong.com</v>
      </c>
      <c r="C22213" t="s">
        <v>433</v>
      </c>
      <c r="F22213">
        <v>8.9004847874752093E-9</v>
      </c>
      <c r="G22213">
        <v>8143248</v>
      </c>
      <c r="H22213">
        <v>12348990</v>
      </c>
      <c r="I22213">
        <v>19781795</v>
      </c>
      <c r="J22213">
        <v>3</v>
      </c>
    </row>
    <row r="22214" spans="1:10" x14ac:dyDescent="0.25">
      <c r="A22214" t="s">
        <v>244</v>
      </c>
      <c r="B22214" s="1" t="str">
        <f>HYPERLINK("http://jwmarriottmedan.com","jwmarriottmedan.com")</f>
        <v>jwmarriottmedan.com</v>
      </c>
      <c r="C22214" t="s">
        <v>433</v>
      </c>
      <c r="F22214">
        <v>5.5554874481950702E-9</v>
      </c>
      <c r="G22214">
        <v>20320534</v>
      </c>
      <c r="H22214">
        <v>12826860</v>
      </c>
      <c r="I22214">
        <v>14454189</v>
      </c>
      <c r="J22214">
        <v>4</v>
      </c>
    </row>
    <row r="22215" spans="1:10" x14ac:dyDescent="0.25">
      <c r="A22215" t="s">
        <v>244</v>
      </c>
      <c r="B22215" s="1" t="str">
        <f>HYPERLINK("http://jwmarriottsingapore.com","jwmarriottsingapore.com")</f>
        <v>jwmarriottsingapore.com</v>
      </c>
      <c r="C22215" t="s">
        <v>433</v>
      </c>
      <c r="F22215">
        <v>6.4733779131612997E-9</v>
      </c>
      <c r="G22215">
        <v>14190489</v>
      </c>
      <c r="H22215">
        <v>13941214</v>
      </c>
      <c r="I22215">
        <v>4351822</v>
      </c>
      <c r="J22215">
        <v>4</v>
      </c>
    </row>
    <row r="22216" spans="1:10" x14ac:dyDescent="0.25">
      <c r="A22216" t="s">
        <v>244</v>
      </c>
      <c r="B22216" s="1" t="str">
        <f>HYPERLINK("http://jwmarriottstarrpass.com","jwmarriottstarrpass.com")</f>
        <v>jwmarriottstarrpass.com</v>
      </c>
      <c r="C22216" t="s">
        <v>433</v>
      </c>
      <c r="F22216">
        <v>1.27743635199772E-8</v>
      </c>
      <c r="G22216">
        <v>4742305</v>
      </c>
      <c r="H22216">
        <v>14129006</v>
      </c>
      <c r="I22216">
        <v>2052612</v>
      </c>
      <c r="J22216">
        <v>4</v>
      </c>
    </row>
    <row r="22217" spans="1:10" x14ac:dyDescent="0.25">
      <c r="A22217" t="s">
        <v>244</v>
      </c>
      <c r="B22217" s="1" t="str">
        <f>HYPERLINK("http://kanehideshj.com","kanehideshj.com")</f>
        <v>kanehideshj.com</v>
      </c>
      <c r="C22217" t="s">
        <v>433</v>
      </c>
      <c r="F22217">
        <v>1.8720396138332801E-8</v>
      </c>
      <c r="G22217">
        <v>2885710</v>
      </c>
      <c r="H22217">
        <v>14155990</v>
      </c>
      <c r="I22217">
        <v>1857399</v>
      </c>
      <c r="J22217">
        <v>6</v>
      </c>
    </row>
    <row r="22218" spans="1:10" x14ac:dyDescent="0.25">
      <c r="A22218" t="s">
        <v>244</v>
      </c>
      <c r="B22218" s="1" t="str">
        <f>HYPERLINK("http://klrenaissance.com","klrenaissance.com")</f>
        <v>klrenaissance.com</v>
      </c>
      <c r="C22218" t="s">
        <v>433</v>
      </c>
      <c r="F22218">
        <v>8.0002195145633296E-9</v>
      </c>
      <c r="G22218">
        <v>9920147</v>
      </c>
      <c r="H22218">
        <v>13763989</v>
      </c>
      <c r="I22218">
        <v>7443578</v>
      </c>
      <c r="J22218">
        <v>4</v>
      </c>
    </row>
    <row r="22219" spans="1:10" x14ac:dyDescent="0.25">
      <c r="A22219" t="s">
        <v>244</v>
      </c>
      <c r="B22219" s="1" t="str">
        <f>HYPERLINK("http://lacasernechanzy.com","lacasernechanzy.com")</f>
        <v>lacasernechanzy.com</v>
      </c>
      <c r="C22219" t="s">
        <v>433</v>
      </c>
      <c r="F22219">
        <v>1.27008437107294E-8</v>
      </c>
      <c r="G22219">
        <v>4779212</v>
      </c>
      <c r="H22219">
        <v>12947957</v>
      </c>
      <c r="I22219">
        <v>13225963</v>
      </c>
      <c r="J22219">
        <v>5</v>
      </c>
    </row>
    <row r="22220" spans="1:10" x14ac:dyDescent="0.25">
      <c r="A22220" t="s">
        <v>244</v>
      </c>
      <c r="B22220" s="1" t="str">
        <f>HYPERLINK("http://laconcharesort.com","laconcharesort.com")</f>
        <v>laconcharesort.com</v>
      </c>
      <c r="C22220" t="s">
        <v>433</v>
      </c>
      <c r="F22220">
        <v>7.3396047547980305E-8</v>
      </c>
      <c r="G22220">
        <v>574246</v>
      </c>
      <c r="H22220">
        <v>14356258</v>
      </c>
      <c r="I22220">
        <v>1306349</v>
      </c>
      <c r="J22220">
        <v>4</v>
      </c>
    </row>
    <row r="22221" spans="1:10" x14ac:dyDescent="0.25">
      <c r="A22221" t="s">
        <v>244</v>
      </c>
      <c r="B22221" s="1" t="str">
        <f>HYPERLINK("http://laconchaweddings.com","laconchaweddings.com")</f>
        <v>laconchaweddings.com</v>
      </c>
      <c r="C22221" t="s">
        <v>433</v>
      </c>
      <c r="F22221">
        <v>6.3512070325572399E-9</v>
      </c>
      <c r="G22221">
        <v>14756393</v>
      </c>
      <c r="H22221">
        <v>12307255</v>
      </c>
      <c r="I22221">
        <v>20692658</v>
      </c>
      <c r="J22221">
        <v>7</v>
      </c>
    </row>
    <row r="22222" spans="1:10" x14ac:dyDescent="0.25">
      <c r="A22222" t="s">
        <v>244</v>
      </c>
      <c r="B22222" s="1" t="str">
        <f>HYPERLINK("http://lemeridien.com","lemeridien.com")</f>
        <v>lemeridien.com</v>
      </c>
      <c r="C22222" t="s">
        <v>433</v>
      </c>
      <c r="E22222">
        <v>294786</v>
      </c>
      <c r="F22222">
        <v>7.6262111389283694E-8</v>
      </c>
      <c r="G22222">
        <v>550591</v>
      </c>
      <c r="H22222">
        <v>14260541</v>
      </c>
      <c r="I22222">
        <v>1419178</v>
      </c>
      <c r="J22222">
        <v>3</v>
      </c>
    </row>
    <row r="22223" spans="1:10" x14ac:dyDescent="0.25">
      <c r="A22223" t="s">
        <v>244</v>
      </c>
      <c r="B22223" s="1" t="str">
        <f>HYPERLINK("http://lemeridien-dubai.com","lemeridien-dubai.com")</f>
        <v>lemeridien-dubai.com</v>
      </c>
      <c r="C22223" t="s">
        <v>433</v>
      </c>
      <c r="F22223">
        <v>1.7460342635320499E-8</v>
      </c>
      <c r="G22223">
        <v>3155642</v>
      </c>
      <c r="H22223">
        <v>12906407</v>
      </c>
      <c r="I22223">
        <v>13818097</v>
      </c>
      <c r="J22223">
        <v>4</v>
      </c>
    </row>
    <row r="22224" spans="1:10" x14ac:dyDescent="0.25">
      <c r="A22224" t="s">
        <v>244</v>
      </c>
      <c r="B22224" s="1" t="str">
        <f>HYPERLINK("http://lemeridien-taipei.com","lemeridien-taipei.com")</f>
        <v>lemeridien-taipei.com</v>
      </c>
      <c r="C22224" t="s">
        <v>433</v>
      </c>
      <c r="F22224">
        <v>4.9626195450634197E-8</v>
      </c>
      <c r="G22224">
        <v>930777</v>
      </c>
      <c r="H22224">
        <v>14330172</v>
      </c>
      <c r="I22224">
        <v>1323393</v>
      </c>
      <c r="J22224">
        <v>4</v>
      </c>
    </row>
    <row r="22225" spans="1:10" x14ac:dyDescent="0.25">
      <c r="A22225" t="s">
        <v>244</v>
      </c>
      <c r="B22225" s="1" t="str">
        <f>HYPERLINK("http://lemeridiencolumbus.com","lemeridiencolumbus.com")</f>
        <v>lemeridiencolumbus.com</v>
      </c>
      <c r="C22225" t="s">
        <v>433</v>
      </c>
      <c r="F22225">
        <v>1.4027940773486401E-8</v>
      </c>
      <c r="G22225">
        <v>4192230</v>
      </c>
      <c r="H22225">
        <v>13380346</v>
      </c>
      <c r="I22225">
        <v>10425939</v>
      </c>
      <c r="J22225">
        <v>4</v>
      </c>
    </row>
    <row r="22226" spans="1:10" x14ac:dyDescent="0.25">
      <c r="A22226" t="s">
        <v>244</v>
      </c>
      <c r="B22226" s="1" t="str">
        <f>HYPERLINK("http://lemeridienistanbuletilerhotel.com","lemeridienistanbuletilerhotel.com")</f>
        <v>lemeridienistanbuletilerhotel.com</v>
      </c>
      <c r="C22226" t="s">
        <v>433</v>
      </c>
      <c r="F22226">
        <v>4.7455467727327499E-9</v>
      </c>
      <c r="G22226">
        <v>38537149</v>
      </c>
      <c r="H22226">
        <v>10661334</v>
      </c>
      <c r="I22226">
        <v>43398193</v>
      </c>
      <c r="J22226">
        <v>4</v>
      </c>
    </row>
    <row r="22227" spans="1:10" x14ac:dyDescent="0.25">
      <c r="A22227" t="s">
        <v>244</v>
      </c>
      <c r="B22227" s="1" t="str">
        <f>HYPERLINK("http://lemeridienperimeter.com","lemeridienperimeter.com")</f>
        <v>lemeridienperimeter.com</v>
      </c>
      <c r="C22227" t="s">
        <v>433</v>
      </c>
      <c r="J22227">
        <v>3</v>
      </c>
    </row>
    <row r="22228" spans="1:10" x14ac:dyDescent="0.25">
      <c r="A22228" t="s">
        <v>244</v>
      </c>
      <c r="B22228" s="1" t="str">
        <f>HYPERLINK("http://lemeridientampa.com","lemeridientampa.com")</f>
        <v>lemeridientampa.com</v>
      </c>
      <c r="C22228" t="s">
        <v>433</v>
      </c>
      <c r="F22228">
        <v>2.4896601764265199E-8</v>
      </c>
      <c r="G22228">
        <v>2076783</v>
      </c>
      <c r="H22228">
        <v>14177530</v>
      </c>
      <c r="I22228">
        <v>1786768</v>
      </c>
      <c r="J22228">
        <v>4</v>
      </c>
    </row>
    <row r="22229" spans="1:10" x14ac:dyDescent="0.25">
      <c r="A22229" t="s">
        <v>244</v>
      </c>
      <c r="B22229" s="1" t="str">
        <f>HYPERLINK("http://leparchamp.com","leparchamp.com")</f>
        <v>leparchamp.com</v>
      </c>
      <c r="C22229" t="s">
        <v>433</v>
      </c>
      <c r="J22229">
        <v>4</v>
      </c>
    </row>
    <row r="22230" spans="1:10" x14ac:dyDescent="0.25">
      <c r="A22230" t="s">
        <v>244</v>
      </c>
      <c r="B22230" s="1" t="str">
        <f>HYPERLINK("http://londonermacao.com","londonermacao.com")</f>
        <v>londonermacao.com</v>
      </c>
      <c r="C22230" t="s">
        <v>433</v>
      </c>
      <c r="E22230">
        <v>736515</v>
      </c>
      <c r="F22230">
        <v>1.14266121854868E-7</v>
      </c>
      <c r="G22230">
        <v>348553</v>
      </c>
      <c r="H22230">
        <v>14207050</v>
      </c>
      <c r="I22230">
        <v>1709437</v>
      </c>
      <c r="J22230">
        <v>4</v>
      </c>
    </row>
    <row r="22231" spans="1:10" x14ac:dyDescent="0.25">
      <c r="A22231" t="s">
        <v>244</v>
      </c>
      <c r="B22231" s="1" t="str">
        <f>HYPERLINK("http://ltdhospitality.com","ltdhospitality.com")</f>
        <v>ltdhospitality.com</v>
      </c>
      <c r="C22231" t="s">
        <v>433</v>
      </c>
      <c r="F22231">
        <v>7.6512974218403697E-9</v>
      </c>
      <c r="G22231">
        <v>10683085</v>
      </c>
      <c r="H22231">
        <v>12774745</v>
      </c>
      <c r="I22231">
        <v>14803377</v>
      </c>
      <c r="J22231">
        <v>3</v>
      </c>
    </row>
    <row r="22232" spans="1:10" x14ac:dyDescent="0.25">
      <c r="A22232" t="s">
        <v>244</v>
      </c>
      <c r="B22232" s="1" t="str">
        <f>HYPERLINK("http://ltdmanagement.com","ltdmanagement.com")</f>
        <v>ltdmanagement.com</v>
      </c>
      <c r="C22232" t="s">
        <v>433</v>
      </c>
      <c r="F22232">
        <v>4.4565485308781698E-9</v>
      </c>
      <c r="G22232">
        <v>68915398</v>
      </c>
      <c r="H22232">
        <v>9383893</v>
      </c>
      <c r="I22232">
        <v>67503057</v>
      </c>
      <c r="J22232">
        <v>4</v>
      </c>
    </row>
    <row r="22233" spans="1:10" x14ac:dyDescent="0.25">
      <c r="A22233" t="s">
        <v>244</v>
      </c>
      <c r="B22233" s="1" t="str">
        <f>HYPERLINK("http://luxurycollection.com","luxurycollection.com")</f>
        <v>luxurycollection.com</v>
      </c>
      <c r="C22233" t="s">
        <v>433</v>
      </c>
      <c r="E22233">
        <v>742307</v>
      </c>
      <c r="F22233">
        <v>2.2215331312599701E-7</v>
      </c>
      <c r="G22233">
        <v>169674</v>
      </c>
      <c r="H22233">
        <v>13614743</v>
      </c>
      <c r="I22233">
        <v>9631271</v>
      </c>
      <c r="J22233">
        <v>3</v>
      </c>
    </row>
    <row r="22234" spans="1:10" x14ac:dyDescent="0.25">
      <c r="A22234" t="s">
        <v>244</v>
      </c>
      <c r="B22234" s="1" t="str">
        <f>HYPERLINK("http://mariott.com","mariott.com")</f>
        <v>mariott.com</v>
      </c>
      <c r="C22234" t="s">
        <v>433</v>
      </c>
      <c r="F22234">
        <v>3.0108684721052202E-8</v>
      </c>
      <c r="G22234">
        <v>1709089</v>
      </c>
      <c r="H22234">
        <v>14160870</v>
      </c>
      <c r="I22234">
        <v>1837172</v>
      </c>
      <c r="J22234">
        <v>4</v>
      </c>
    </row>
    <row r="22235" spans="1:10" x14ac:dyDescent="0.25">
      <c r="A22235" t="s">
        <v>244</v>
      </c>
      <c r="B22235" s="1" t="str">
        <f>HYPERLINK("http://marmorosch.com","marmorosch.com")</f>
        <v>marmorosch.com</v>
      </c>
      <c r="C22235" t="s">
        <v>433</v>
      </c>
      <c r="F22235">
        <v>1.9691547605120301E-8</v>
      </c>
      <c r="G22235">
        <v>2710549</v>
      </c>
      <c r="H22235">
        <v>13597880</v>
      </c>
      <c r="I22235">
        <v>9653747</v>
      </c>
      <c r="J22235">
        <v>5</v>
      </c>
    </row>
    <row r="22236" spans="1:10" x14ac:dyDescent="0.25">
      <c r="A22236" t="s">
        <v>244</v>
      </c>
      <c r="B22236" s="1" t="str">
        <f>HYPERLINK("http://marriot.com","marriot.com")</f>
        <v>marriot.com</v>
      </c>
      <c r="C22236" t="s">
        <v>433</v>
      </c>
      <c r="E22236">
        <v>494079</v>
      </c>
      <c r="F22236">
        <v>6.59936222905083E-8</v>
      </c>
      <c r="G22236">
        <v>650407</v>
      </c>
      <c r="H22236">
        <v>14140064</v>
      </c>
      <c r="I22236">
        <v>1936457</v>
      </c>
      <c r="J22236">
        <v>3</v>
      </c>
    </row>
    <row r="22237" spans="1:10" x14ac:dyDescent="0.25">
      <c r="A22237" t="s">
        <v>244</v>
      </c>
      <c r="B22237" s="1" t="str">
        <f>HYPERLINK("http://marriott.com","marriott.com")</f>
        <v>marriott.com</v>
      </c>
      <c r="C22237" t="s">
        <v>433</v>
      </c>
      <c r="E22237">
        <v>464</v>
      </c>
      <c r="F22237">
        <v>5.4070966240730001E-5</v>
      </c>
      <c r="G22237">
        <v>481</v>
      </c>
      <c r="H22237">
        <v>18651128</v>
      </c>
      <c r="I22237">
        <v>1141</v>
      </c>
      <c r="J22237">
        <v>1</v>
      </c>
    </row>
    <row r="22238" spans="1:10" x14ac:dyDescent="0.25">
      <c r="A22238" t="s">
        <v>244</v>
      </c>
      <c r="B22238" s="1" t="str">
        <f>HYPERLINK("http://marriott-sabes.com","marriott-sabes.com")</f>
        <v>marriott-sabes.com</v>
      </c>
      <c r="C22238" t="s">
        <v>433</v>
      </c>
      <c r="J22238">
        <v>3</v>
      </c>
    </row>
    <row r="22239" spans="1:10" x14ac:dyDescent="0.25">
      <c r="A22239" t="s">
        <v>244</v>
      </c>
      <c r="B22239" s="1" t="str">
        <f>HYPERLINK("http://marriottbonvoy.com","marriottbonvoy.com")</f>
        <v>marriottbonvoy.com</v>
      </c>
      <c r="C22239" t="s">
        <v>433</v>
      </c>
      <c r="E22239">
        <v>176256</v>
      </c>
      <c r="F22239">
        <v>2.66850496197309E-7</v>
      </c>
      <c r="G22239">
        <v>139651</v>
      </c>
      <c r="H22239">
        <v>14925385</v>
      </c>
      <c r="I22239">
        <v>449622</v>
      </c>
      <c r="J22239">
        <v>3</v>
      </c>
    </row>
    <row r="22240" spans="1:10" x14ac:dyDescent="0.25">
      <c r="A22240" t="s">
        <v>244</v>
      </c>
      <c r="B22240" s="1" t="str">
        <f>HYPERLINK("http://marriottbonvoyevents.com","marriottbonvoyevents.com")</f>
        <v>marriottbonvoyevents.com</v>
      </c>
      <c r="C22240" t="s">
        <v>433</v>
      </c>
      <c r="F22240">
        <v>6.41983084081305E-8</v>
      </c>
      <c r="G22240">
        <v>674664</v>
      </c>
      <c r="H22240">
        <v>13148174</v>
      </c>
      <c r="I22240">
        <v>11835573</v>
      </c>
      <c r="J22240">
        <v>6</v>
      </c>
    </row>
    <row r="22241" spans="1:10" x14ac:dyDescent="0.25">
      <c r="A22241" t="s">
        <v>244</v>
      </c>
      <c r="B22241" s="1" t="str">
        <f>HYPERLINK("http://marriottcourtyardgreenville.com","marriottcourtyardgreenville.com")</f>
        <v>marriottcourtyardgreenville.com</v>
      </c>
      <c r="C22241" t="s">
        <v>433</v>
      </c>
      <c r="F22241">
        <v>5.1556238275827801E-9</v>
      </c>
      <c r="G22241">
        <v>25977013</v>
      </c>
      <c r="H22241">
        <v>12423629</v>
      </c>
      <c r="I22241">
        <v>18393172</v>
      </c>
      <c r="J22241">
        <v>4</v>
      </c>
    </row>
    <row r="22242" spans="1:10" x14ac:dyDescent="0.25">
      <c r="A22242" t="s">
        <v>244</v>
      </c>
      <c r="B22242" s="1" t="str">
        <f>HYPERLINK("http://marriottcourtyardphoenix.com","marriottcourtyardphoenix.com")</f>
        <v>marriottcourtyardphoenix.com</v>
      </c>
      <c r="C22242" t="s">
        <v>433</v>
      </c>
      <c r="J22242">
        <v>3</v>
      </c>
    </row>
    <row r="22243" spans="1:10" x14ac:dyDescent="0.25">
      <c r="A22243" t="s">
        <v>244</v>
      </c>
      <c r="B22243" s="1" t="str">
        <f>HYPERLINK("http://marriottfremont.com","marriottfremont.com")</f>
        <v>marriottfremont.com</v>
      </c>
      <c r="C22243" t="s">
        <v>433</v>
      </c>
      <c r="F22243">
        <v>4.5158270334631602E-8</v>
      </c>
      <c r="G22243">
        <v>1044798</v>
      </c>
      <c r="H22243">
        <v>16868544</v>
      </c>
      <c r="I22243">
        <v>151918</v>
      </c>
      <c r="J22243">
        <v>4</v>
      </c>
    </row>
    <row r="22244" spans="1:10" x14ac:dyDescent="0.25">
      <c r="A22244" t="s">
        <v>244</v>
      </c>
      <c r="B22244" s="1" t="str">
        <f>HYPERLINK("http://marriotthoteles.com","marriotthoteles.com")</f>
        <v>marriotthoteles.com</v>
      </c>
      <c r="C22244" t="s">
        <v>433</v>
      </c>
      <c r="F22244">
        <v>6.5303099078966904E-9</v>
      </c>
      <c r="G22244">
        <v>13953259</v>
      </c>
      <c r="H22244">
        <v>13763811</v>
      </c>
      <c r="I22244">
        <v>7600356</v>
      </c>
      <c r="J22244">
        <v>3</v>
      </c>
    </row>
    <row r="22245" spans="1:10" x14ac:dyDescent="0.25">
      <c r="A22245" t="s">
        <v>244</v>
      </c>
      <c r="B22245" s="1" t="str">
        <f>HYPERLINK("http://marriotthotels.com","marriotthotels.com")</f>
        <v>marriotthotels.com</v>
      </c>
      <c r="C22245" t="s">
        <v>433</v>
      </c>
      <c r="E22245">
        <v>383386</v>
      </c>
      <c r="F22245">
        <v>8.6090913928287298E-8</v>
      </c>
      <c r="G22245">
        <v>477934</v>
      </c>
      <c r="H22245">
        <v>14402600</v>
      </c>
      <c r="I22245">
        <v>1151941</v>
      </c>
      <c r="J22245">
        <v>3</v>
      </c>
    </row>
    <row r="22246" spans="1:10" x14ac:dyDescent="0.25">
      <c r="A22246" t="s">
        <v>244</v>
      </c>
      <c r="B22246" s="1" t="str">
        <f>HYPERLINK("http://marriottonthefalls.com","marriottonthefalls.com")</f>
        <v>marriottonthefalls.com</v>
      </c>
      <c r="C22246" t="s">
        <v>433</v>
      </c>
      <c r="F22246">
        <v>3.9045305660999297E-8</v>
      </c>
      <c r="G22246">
        <v>1320899</v>
      </c>
      <c r="H22246">
        <v>14573924</v>
      </c>
      <c r="I22246">
        <v>731980</v>
      </c>
      <c r="J22246">
        <v>4</v>
      </c>
    </row>
    <row r="22247" spans="1:10" x14ac:dyDescent="0.25">
      <c r="A22247" t="s">
        <v>244</v>
      </c>
      <c r="B22247" s="1" t="str">
        <f>HYPERLINK("http://marriottprovidence.com","marriottprovidence.com")</f>
        <v>marriottprovidence.com</v>
      </c>
      <c r="C22247" t="s">
        <v>433</v>
      </c>
      <c r="F22247">
        <v>1.2400444073647101E-8</v>
      </c>
      <c r="G22247">
        <v>4939081</v>
      </c>
      <c r="H22247">
        <v>13787577</v>
      </c>
      <c r="I22247">
        <v>6372827</v>
      </c>
      <c r="J22247">
        <v>3</v>
      </c>
    </row>
    <row r="22248" spans="1:10" x14ac:dyDescent="0.25">
      <c r="A22248" t="s">
        <v>244</v>
      </c>
      <c r="B22248" s="1" t="str">
        <f>HYPERLINK("http://marriottstlouisgrand.com","marriottstlouisgrand.com")</f>
        <v>marriottstlouisgrand.com</v>
      </c>
      <c r="C22248" t="s">
        <v>433</v>
      </c>
      <c r="F22248">
        <v>4.4470023967367402E-9</v>
      </c>
      <c r="G22248">
        <v>73846365</v>
      </c>
      <c r="H22248">
        <v>9690959</v>
      </c>
      <c r="I22248">
        <v>63542426</v>
      </c>
      <c r="J22248">
        <v>4</v>
      </c>
    </row>
    <row r="22249" spans="1:10" x14ac:dyDescent="0.25">
      <c r="A22249" t="s">
        <v>244</v>
      </c>
      <c r="B22249" s="1" t="str">
        <f>HYPERLINK("http://marriottwalnutcreek.com","marriottwalnutcreek.com")</f>
        <v>marriottwalnutcreek.com</v>
      </c>
      <c r="C22249" t="s">
        <v>433</v>
      </c>
      <c r="F22249">
        <v>3.0784310966433E-8</v>
      </c>
      <c r="G22249">
        <v>1673306</v>
      </c>
      <c r="H22249">
        <v>12496660</v>
      </c>
      <c r="I22249">
        <v>17405007</v>
      </c>
      <c r="J22249">
        <v>4</v>
      </c>
    </row>
    <row r="22250" spans="1:10" x14ac:dyDescent="0.25">
      <c r="A22250" t="s">
        <v>244</v>
      </c>
      <c r="B22250" s="1" t="str">
        <f>HYPERLINK("http://marriottwestchase.com","marriottwestchase.com")</f>
        <v>marriottwestchase.com</v>
      </c>
      <c r="C22250" t="s">
        <v>433</v>
      </c>
      <c r="F22250">
        <v>5.1574776093652003E-9</v>
      </c>
      <c r="G22250">
        <v>25945688</v>
      </c>
      <c r="H22250">
        <v>12199049</v>
      </c>
      <c r="I22250">
        <v>23340692</v>
      </c>
      <c r="J22250">
        <v>3</v>
      </c>
    </row>
    <row r="22251" spans="1:10" x14ac:dyDescent="0.25">
      <c r="A22251" t="s">
        <v>244</v>
      </c>
      <c r="B22251" s="1" t="str">
        <f>HYPERLINK("http://mediterraneonapoli.com","mediterraneonapoli.com")</f>
        <v>mediterraneonapoli.com</v>
      </c>
      <c r="C22251" t="s">
        <v>433</v>
      </c>
      <c r="F22251">
        <v>1.05227108186324E-8</v>
      </c>
      <c r="G22251">
        <v>6250056</v>
      </c>
      <c r="H22251">
        <v>12356467</v>
      </c>
      <c r="I22251">
        <v>19653064</v>
      </c>
      <c r="J22251">
        <v>4</v>
      </c>
    </row>
    <row r="22252" spans="1:10" x14ac:dyDescent="0.25">
      <c r="A22252" t="s">
        <v>244</v>
      </c>
      <c r="B22252" s="1" t="str">
        <f>HYPERLINK("http://meeting-in-frankfurt.com","meeting-in-frankfurt.com")</f>
        <v>meeting-in-frankfurt.com</v>
      </c>
      <c r="C22252" t="s">
        <v>433</v>
      </c>
      <c r="F22252">
        <v>6.7910534696007402E-9</v>
      </c>
      <c r="G22252">
        <v>12990657</v>
      </c>
      <c r="H22252">
        <v>11368296</v>
      </c>
      <c r="I22252">
        <v>30334724</v>
      </c>
      <c r="J22252">
        <v>3</v>
      </c>
    </row>
    <row r="22253" spans="1:10" x14ac:dyDescent="0.25">
      <c r="A22253" t="s">
        <v>244</v>
      </c>
      <c r="B22253" s="1" t="str">
        <f>HYPERLINK("http://melvillemarriott.com","melvillemarriott.com")</f>
        <v>melvillemarriott.com</v>
      </c>
      <c r="C22253" t="s">
        <v>433</v>
      </c>
      <c r="F22253">
        <v>5.5485478041046997E-9</v>
      </c>
      <c r="G22253">
        <v>20392259</v>
      </c>
      <c r="H22253">
        <v>10693651</v>
      </c>
      <c r="I22253">
        <v>42434873</v>
      </c>
      <c r="J22253">
        <v>4</v>
      </c>
    </row>
    <row r="22254" spans="1:10" x14ac:dyDescent="0.25">
      <c r="A22254" t="s">
        <v>244</v>
      </c>
      <c r="B22254" s="1" t="str">
        <f>HYPERLINK("http://metropolpalace.com","metropolpalace.com")</f>
        <v>metropolpalace.com</v>
      </c>
      <c r="C22254" t="s">
        <v>433</v>
      </c>
      <c r="F22254">
        <v>3.30861348148324E-8</v>
      </c>
      <c r="G22254">
        <v>1561585</v>
      </c>
      <c r="H22254">
        <v>14251489</v>
      </c>
      <c r="I22254">
        <v>1444054</v>
      </c>
      <c r="J22254">
        <v>3</v>
      </c>
    </row>
    <row r="22255" spans="1:10" x14ac:dyDescent="0.25">
      <c r="A22255" t="s">
        <v>244</v>
      </c>
      <c r="B22255" s="1" t="str">
        <f>HYPERLINK("http://midtowncrossing.com","midtowncrossing.com")</f>
        <v>midtowncrossing.com</v>
      </c>
      <c r="C22255" t="s">
        <v>433</v>
      </c>
      <c r="F22255">
        <v>2.20099437421653E-8</v>
      </c>
      <c r="G22255">
        <v>2384979</v>
      </c>
      <c r="H22255">
        <v>14095816</v>
      </c>
      <c r="I22255">
        <v>2727742</v>
      </c>
      <c r="J22255">
        <v>4</v>
      </c>
    </row>
    <row r="22256" spans="1:10" x14ac:dyDescent="0.25">
      <c r="A22256" t="s">
        <v>244</v>
      </c>
      <c r="B22256" s="1" t="str">
        <f>HYPERLINK("http://montecarloresortsegypt.com","montecarloresortsegypt.com")</f>
        <v>montecarloresortsegypt.com</v>
      </c>
      <c r="C22256" t="s">
        <v>433</v>
      </c>
      <c r="F22256">
        <v>4.7495682730506203E-9</v>
      </c>
      <c r="G22256">
        <v>38345523</v>
      </c>
      <c r="H22256">
        <v>10871785</v>
      </c>
      <c r="I22256">
        <v>36469326</v>
      </c>
      <c r="J22256">
        <v>3</v>
      </c>
    </row>
    <row r="22257" spans="1:10" x14ac:dyDescent="0.25">
      <c r="A22257" t="s">
        <v>244</v>
      </c>
      <c r="B22257" s="1" t="str">
        <f>HYPERLINK("http://moxyberlinostbahnhof.com","moxyberlinostbahnhof.com")</f>
        <v>moxyberlinostbahnhof.com</v>
      </c>
      <c r="C22257" t="s">
        <v>433</v>
      </c>
      <c r="F22257">
        <v>4.4770280141706197E-9</v>
      </c>
      <c r="G22257">
        <v>62972310</v>
      </c>
      <c r="H22257">
        <v>10899841</v>
      </c>
      <c r="I22257">
        <v>35839775</v>
      </c>
      <c r="J22257">
        <v>4</v>
      </c>
    </row>
    <row r="22258" spans="1:10" x14ac:dyDescent="0.25">
      <c r="A22258" t="s">
        <v>244</v>
      </c>
      <c r="B22258" s="1" t="str">
        <f>HYPERLINK("http://moxykatowice.com","moxykatowice.com")</f>
        <v>moxykatowice.com</v>
      </c>
      <c r="C22258" t="s">
        <v>433</v>
      </c>
      <c r="F22258">
        <v>6.7125164624453103E-9</v>
      </c>
      <c r="G22258">
        <v>13259428</v>
      </c>
      <c r="H22258">
        <v>12104764</v>
      </c>
      <c r="I22258">
        <v>25855108</v>
      </c>
      <c r="J22258">
        <v>5</v>
      </c>
    </row>
    <row r="22259" spans="1:10" x14ac:dyDescent="0.25">
      <c r="A22259" t="s">
        <v>244</v>
      </c>
      <c r="B22259" s="1" t="str">
        <f>HYPERLINK("http://moxysimmern.com","moxysimmern.com")</f>
        <v>moxysimmern.com</v>
      </c>
      <c r="C22259" t="s">
        <v>433</v>
      </c>
      <c r="F22259">
        <v>7.1027611237536799E-9</v>
      </c>
      <c r="G22259">
        <v>12007720</v>
      </c>
      <c r="H22259">
        <v>10754339</v>
      </c>
      <c r="I22259">
        <v>39851054</v>
      </c>
      <c r="J22259">
        <v>5</v>
      </c>
    </row>
    <row r="22260" spans="1:10" x14ac:dyDescent="0.25">
      <c r="A22260" t="s">
        <v>244</v>
      </c>
      <c r="B22260" s="1" t="str">
        <f>HYPERLINK("http://nfcourtyard.com","nfcourtyard.com")</f>
        <v>nfcourtyard.com</v>
      </c>
      <c r="C22260" t="s">
        <v>433</v>
      </c>
      <c r="F22260">
        <v>1.1428733162679901E-8</v>
      </c>
      <c r="G22260">
        <v>5555012</v>
      </c>
      <c r="H22260">
        <v>13829828</v>
      </c>
      <c r="I22260">
        <v>6112008</v>
      </c>
      <c r="J22260">
        <v>4</v>
      </c>
    </row>
    <row r="22261" spans="1:10" x14ac:dyDescent="0.25">
      <c r="A22261" t="s">
        <v>244</v>
      </c>
      <c r="B22261" s="1" t="str">
        <f>HYPERLINK("http://niagarafallsmarriott.com","niagarafallsmarriott.com")</f>
        <v>niagarafallsmarriott.com</v>
      </c>
      <c r="C22261" t="s">
        <v>433</v>
      </c>
      <c r="F22261">
        <v>5.35844046130846E-8</v>
      </c>
      <c r="G22261">
        <v>848779</v>
      </c>
      <c r="H22261">
        <v>14127072</v>
      </c>
      <c r="I22261">
        <v>2089391</v>
      </c>
      <c r="J22261">
        <v>4</v>
      </c>
    </row>
    <row r="22262" spans="1:10" x14ac:dyDescent="0.25">
      <c r="A22262" t="s">
        <v>244</v>
      </c>
      <c r="B22262" s="1" t="str">
        <f>HYPERLINK("http://orientbankhotel.com","orientbankhotel.com")</f>
        <v>orientbankhotel.com</v>
      </c>
      <c r="C22262" t="s">
        <v>433</v>
      </c>
      <c r="F22262">
        <v>6.3046583431308502E-9</v>
      </c>
      <c r="G22262">
        <v>15009312</v>
      </c>
      <c r="H22262">
        <v>14087497</v>
      </c>
      <c r="I22262">
        <v>2763440</v>
      </c>
      <c r="J22262">
        <v>5</v>
      </c>
    </row>
    <row r="22263" spans="1:10" x14ac:dyDescent="0.25">
      <c r="A22263" t="s">
        <v>244</v>
      </c>
      <c r="B22263" s="1" t="str">
        <f>HYPERLINK("http://pakuwonimperialballroom.com","pakuwonimperialballroom.com")</f>
        <v>pakuwonimperialballroom.com</v>
      </c>
      <c r="C22263" t="s">
        <v>433</v>
      </c>
      <c r="F22263">
        <v>6.4856779139987696E-9</v>
      </c>
      <c r="G22263">
        <v>14137957</v>
      </c>
      <c r="H22263">
        <v>12922173</v>
      </c>
      <c r="I22263">
        <v>13416172</v>
      </c>
      <c r="J22263">
        <v>5</v>
      </c>
    </row>
    <row r="22264" spans="1:10" x14ac:dyDescent="0.25">
      <c r="A22264" t="s">
        <v>244</v>
      </c>
      <c r="B22264" s="1" t="str">
        <f>HYPERLINK("http://perrylanehotel.com","perrylanehotel.com")</f>
        <v>perrylanehotel.com</v>
      </c>
      <c r="C22264" t="s">
        <v>433</v>
      </c>
      <c r="F22264">
        <v>5.8187428618463503E-8</v>
      </c>
      <c r="G22264">
        <v>764429</v>
      </c>
      <c r="H22264">
        <v>13600086</v>
      </c>
      <c r="I22264">
        <v>9650392</v>
      </c>
      <c r="J22264">
        <v>3</v>
      </c>
    </row>
    <row r="22265" spans="1:10" x14ac:dyDescent="0.25">
      <c r="A22265" t="s">
        <v>244</v>
      </c>
      <c r="B22265" s="1" t="str">
        <f>HYPERLINK("http://philadelphiasheraton.com","philadelphiasheraton.com")</f>
        <v>philadelphiasheraton.com</v>
      </c>
      <c r="C22265" t="s">
        <v>433</v>
      </c>
      <c r="F22265">
        <v>2.2166599517553198E-8</v>
      </c>
      <c r="G22265">
        <v>2366657</v>
      </c>
      <c r="H22265">
        <v>13325537</v>
      </c>
      <c r="I22265">
        <v>10732124</v>
      </c>
      <c r="J22265">
        <v>4</v>
      </c>
    </row>
    <row r="22266" spans="1:10" x14ac:dyDescent="0.25">
      <c r="A22266" t="s">
        <v>244</v>
      </c>
      <c r="B22266" s="1" t="str">
        <f>HYPERLINK("http://princess-kaiulani.com","princess-kaiulani.com")</f>
        <v>princess-kaiulani.com</v>
      </c>
      <c r="C22266" t="s">
        <v>433</v>
      </c>
      <c r="F22266">
        <v>1.1895331351295299E-8</v>
      </c>
      <c r="G22266">
        <v>5242167</v>
      </c>
      <c r="H22266">
        <v>14379880</v>
      </c>
      <c r="I22266">
        <v>1197141</v>
      </c>
      <c r="J22266">
        <v>4</v>
      </c>
    </row>
    <row r="22267" spans="1:10" x14ac:dyDescent="0.25">
      <c r="A22267" t="s">
        <v>244</v>
      </c>
      <c r="B22267" s="1" t="str">
        <f>HYPERLINK("http://proteahotels.com","proteahotels.com")</f>
        <v>proteahotels.com</v>
      </c>
      <c r="C22267" t="s">
        <v>433</v>
      </c>
      <c r="E22267">
        <v>636398</v>
      </c>
      <c r="F22267">
        <v>3.5009280440416901E-8</v>
      </c>
      <c r="G22267">
        <v>1483949</v>
      </c>
      <c r="H22267">
        <v>14952343</v>
      </c>
      <c r="I22267">
        <v>439749</v>
      </c>
      <c r="J22267">
        <v>5</v>
      </c>
    </row>
    <row r="22268" spans="1:10" x14ac:dyDescent="0.25">
      <c r="A22268" t="s">
        <v>244</v>
      </c>
      <c r="B22268" s="1" t="str">
        <f>HYPERLINK("http://putrajayamarriott.com","putrajayamarriott.com")</f>
        <v>putrajayamarriott.com</v>
      </c>
      <c r="C22268" t="s">
        <v>433</v>
      </c>
      <c r="F22268">
        <v>9.4127655206952708E-9</v>
      </c>
      <c r="G22268">
        <v>7428553</v>
      </c>
      <c r="H22268">
        <v>13763758</v>
      </c>
      <c r="I22268">
        <v>7656930</v>
      </c>
      <c r="J22268">
        <v>4</v>
      </c>
    </row>
    <row r="22269" spans="1:10" x14ac:dyDescent="0.25">
      <c r="A22269" t="s">
        <v>244</v>
      </c>
      <c r="B22269" s="1" t="str">
        <f>HYPERLINK("http://relishbistroseattle.com","relishbistroseattle.com")</f>
        <v>relishbistroseattle.com</v>
      </c>
      <c r="C22269" t="s">
        <v>433</v>
      </c>
      <c r="F22269">
        <v>8.0288840098368299E-9</v>
      </c>
      <c r="G22269">
        <v>9868248</v>
      </c>
      <c r="H22269">
        <v>12827888</v>
      </c>
      <c r="I22269">
        <v>14447580</v>
      </c>
      <c r="J22269">
        <v>5</v>
      </c>
    </row>
    <row r="22270" spans="1:10" x14ac:dyDescent="0.25">
      <c r="A22270" t="s">
        <v>244</v>
      </c>
      <c r="B22270" s="1" t="str">
        <f>HYPERLINK("http://renaissanceamsterdam.com","renaissanceamsterdam.com")</f>
        <v>renaissanceamsterdam.com</v>
      </c>
      <c r="C22270" t="s">
        <v>433</v>
      </c>
      <c r="F22270">
        <v>1.06835298716881E-8</v>
      </c>
      <c r="G22270">
        <v>6114102</v>
      </c>
      <c r="H22270">
        <v>10957823</v>
      </c>
      <c r="I22270">
        <v>34409073</v>
      </c>
      <c r="J22270">
        <v>4</v>
      </c>
    </row>
    <row r="22271" spans="1:10" x14ac:dyDescent="0.25">
      <c r="A22271" t="s">
        <v>244</v>
      </c>
      <c r="B22271" s="1" t="str">
        <f>HYPERLINK("http://renaissanceasheville.com","renaissanceasheville.com")</f>
        <v>renaissanceasheville.com</v>
      </c>
      <c r="C22271" t="s">
        <v>433</v>
      </c>
      <c r="F22271">
        <v>2.1313188187910799E-8</v>
      </c>
      <c r="G22271">
        <v>2472542</v>
      </c>
      <c r="H22271">
        <v>13977974</v>
      </c>
      <c r="I22271">
        <v>4056645</v>
      </c>
      <c r="J22271">
        <v>4</v>
      </c>
    </row>
    <row r="22272" spans="1:10" x14ac:dyDescent="0.25">
      <c r="A22272" t="s">
        <v>244</v>
      </c>
      <c r="B22272" s="1" t="str">
        <f>HYPERLINK("http://renaissancehotels.com","renaissancehotels.com")</f>
        <v>renaissancehotels.com</v>
      </c>
      <c r="C22272" t="s">
        <v>433</v>
      </c>
      <c r="E22272">
        <v>711706</v>
      </c>
      <c r="F22272">
        <v>6.8792187244569304E-8</v>
      </c>
      <c r="G22272">
        <v>618221</v>
      </c>
      <c r="H22272">
        <v>14450079</v>
      </c>
      <c r="I22272">
        <v>1053555</v>
      </c>
      <c r="J22272">
        <v>3</v>
      </c>
    </row>
    <row r="22273" spans="1:10" x14ac:dyDescent="0.25">
      <c r="A22273" t="s">
        <v>244</v>
      </c>
      <c r="B22273" s="1" t="str">
        <f>HYPERLINK("http://renaissancelasvegas.com","renaissancelasvegas.com")</f>
        <v>renaissancelasvegas.com</v>
      </c>
      <c r="C22273" t="s">
        <v>433</v>
      </c>
      <c r="F22273">
        <v>2.2956133218777E-8</v>
      </c>
      <c r="G22273">
        <v>2276819</v>
      </c>
      <c r="H22273">
        <v>14285181</v>
      </c>
      <c r="I22273">
        <v>1372471</v>
      </c>
      <c r="J22273">
        <v>4</v>
      </c>
    </row>
    <row r="22274" spans="1:10" x14ac:dyDescent="0.25">
      <c r="A22274" t="s">
        <v>244</v>
      </c>
      <c r="B22274" s="1" t="str">
        <f>HYPERLINK("http://renaissanceseaworldorlando.com","renaissanceseaworldorlando.com")</f>
        <v>renaissanceseaworldorlando.com</v>
      </c>
      <c r="C22274" t="s">
        <v>433</v>
      </c>
      <c r="F22274">
        <v>1.00767521545386E-8</v>
      </c>
      <c r="G22274">
        <v>6673970</v>
      </c>
      <c r="H22274">
        <v>13796497</v>
      </c>
      <c r="I22274">
        <v>6303284</v>
      </c>
      <c r="J22274">
        <v>4</v>
      </c>
    </row>
    <row r="22275" spans="1:10" x14ac:dyDescent="0.25">
      <c r="A22275" t="s">
        <v>244</v>
      </c>
      <c r="B22275" s="1" t="str">
        <f>HYPERLINK("http://renhotels.com","renhotels.com")</f>
        <v>renhotels.com</v>
      </c>
      <c r="C22275" t="s">
        <v>433</v>
      </c>
      <c r="F22275">
        <v>1.8151616575342698E-8</v>
      </c>
      <c r="G22275">
        <v>2999415</v>
      </c>
      <c r="H22275">
        <v>13855043</v>
      </c>
      <c r="I22275">
        <v>6046003</v>
      </c>
      <c r="J22275">
        <v>4</v>
      </c>
    </row>
    <row r="22276" spans="1:10" x14ac:dyDescent="0.25">
      <c r="A22276" t="s">
        <v>244</v>
      </c>
      <c r="B22276" s="1" t="str">
        <f>HYPERLINK("http://residenceinn.com","residenceinn.com")</f>
        <v>residenceinn.com</v>
      </c>
      <c r="C22276" t="s">
        <v>433</v>
      </c>
      <c r="F22276">
        <v>3.9421649357421101E-8</v>
      </c>
      <c r="G22276">
        <v>1309337</v>
      </c>
      <c r="H22276">
        <v>14181835</v>
      </c>
      <c r="I22276">
        <v>1778032</v>
      </c>
      <c r="J22276">
        <v>4</v>
      </c>
    </row>
    <row r="22277" spans="1:10" x14ac:dyDescent="0.25">
      <c r="A22277" t="s">
        <v>244</v>
      </c>
      <c r="B22277" s="1" t="str">
        <f>HYPERLINK("http://residenceinntorontoairport.com","residenceinntorontoairport.com")</f>
        <v>residenceinntorontoairport.com</v>
      </c>
      <c r="C22277" t="s">
        <v>433</v>
      </c>
      <c r="F22277">
        <v>6.1783364749736403E-9</v>
      </c>
      <c r="G22277">
        <v>15648696</v>
      </c>
      <c r="H22277">
        <v>11250601</v>
      </c>
      <c r="I22277">
        <v>30894790</v>
      </c>
      <c r="J22277">
        <v>4</v>
      </c>
    </row>
    <row r="22278" spans="1:10" x14ac:dyDescent="0.25">
      <c r="A22278" t="s">
        <v>244</v>
      </c>
      <c r="B22278" s="1" t="str">
        <f>HYPERLINK("http://ritz-carlton.com","ritz-carlton.com")</f>
        <v>ritz-carlton.com</v>
      </c>
      <c r="C22278" t="s">
        <v>433</v>
      </c>
      <c r="F22278">
        <v>9.5210458205579092E-9</v>
      </c>
      <c r="G22278">
        <v>7297498</v>
      </c>
      <c r="H22278">
        <v>13158103</v>
      </c>
      <c r="I22278">
        <v>11794072</v>
      </c>
      <c r="J22278">
        <v>4</v>
      </c>
    </row>
    <row r="22279" spans="1:10" x14ac:dyDescent="0.25">
      <c r="A22279" t="s">
        <v>244</v>
      </c>
      <c r="B22279" s="1" t="str">
        <f>HYPERLINK("http://ritz-inn.com","ritz-inn.com")</f>
        <v>ritz-inn.com</v>
      </c>
      <c r="C22279" t="s">
        <v>433</v>
      </c>
      <c r="J22279">
        <v>4</v>
      </c>
    </row>
    <row r="22280" spans="1:10" x14ac:dyDescent="0.25">
      <c r="A22280" t="s">
        <v>244</v>
      </c>
      <c r="B22280" s="1" t="str">
        <f>HYPERLINK("http://ritzcarlton.com","ritzcarlton.com")</f>
        <v>ritzcarlton.com</v>
      </c>
      <c r="C22280" t="s">
        <v>433</v>
      </c>
      <c r="E22280">
        <v>4853</v>
      </c>
      <c r="F22280">
        <v>3.3331302007413001E-6</v>
      </c>
      <c r="G22280">
        <v>12060</v>
      </c>
      <c r="H22280">
        <v>17761874</v>
      </c>
      <c r="I22280">
        <v>6158</v>
      </c>
      <c r="J22280">
        <v>3</v>
      </c>
    </row>
    <row r="22281" spans="1:10" x14ac:dyDescent="0.25">
      <c r="A22281" t="s">
        <v>244</v>
      </c>
      <c r="B22281" s="1" t="str">
        <f>HYPERLINK("http://ritzgardenhotelmanjung.com","ritzgardenhotelmanjung.com")</f>
        <v>ritzgardenhotelmanjung.com</v>
      </c>
      <c r="C22281" t="s">
        <v>433</v>
      </c>
      <c r="F22281">
        <v>4.4830650776131198E-9</v>
      </c>
      <c r="G22281">
        <v>61752634</v>
      </c>
      <c r="H22281">
        <v>11206180</v>
      </c>
      <c r="I22281">
        <v>31193502</v>
      </c>
      <c r="J22281">
        <v>4</v>
      </c>
    </row>
    <row r="22282" spans="1:10" x14ac:dyDescent="0.25">
      <c r="A22282" t="s">
        <v>244</v>
      </c>
      <c r="B22282" s="1" t="str">
        <f>HYPERLINK("http://seashorerealtync.com","seashorerealtync.com")</f>
        <v>seashorerealtync.com</v>
      </c>
      <c r="C22282" t="s">
        <v>433</v>
      </c>
      <c r="F22282">
        <v>5.8974867149249698E-9</v>
      </c>
      <c r="G22282">
        <v>17377044</v>
      </c>
      <c r="H22282">
        <v>12220913</v>
      </c>
      <c r="I22282">
        <v>22768762</v>
      </c>
      <c r="J22282">
        <v>4</v>
      </c>
    </row>
    <row r="22283" spans="1:10" x14ac:dyDescent="0.25">
      <c r="A22283" t="s">
        <v>244</v>
      </c>
      <c r="B22283" s="1" t="str">
        <f>HYPERLINK("http://sheraton.com","sheraton.com")</f>
        <v>sheraton.com</v>
      </c>
      <c r="C22283" t="s">
        <v>433</v>
      </c>
      <c r="E22283">
        <v>92109</v>
      </c>
      <c r="F22283">
        <v>2.8631512043376803E-7</v>
      </c>
      <c r="G22283">
        <v>129813</v>
      </c>
      <c r="H22283">
        <v>14708058</v>
      </c>
      <c r="I22283">
        <v>585425</v>
      </c>
      <c r="J22283">
        <v>3</v>
      </c>
    </row>
    <row r="22284" spans="1:10" x14ac:dyDescent="0.25">
      <c r="A22284" t="s">
        <v>244</v>
      </c>
      <c r="B22284" s="1" t="str">
        <f>HYPERLINK("http://sheraton-doha.com","sheraton-doha.com")</f>
        <v>sheraton-doha.com</v>
      </c>
      <c r="C22284" t="s">
        <v>433</v>
      </c>
      <c r="F22284">
        <v>6.1566520811764299E-9</v>
      </c>
      <c r="G22284">
        <v>15765744</v>
      </c>
      <c r="H22284">
        <v>13763636</v>
      </c>
      <c r="I22284">
        <v>8090953</v>
      </c>
      <c r="J22284">
        <v>4</v>
      </c>
    </row>
    <row r="22285" spans="1:10" x14ac:dyDescent="0.25">
      <c r="A22285" t="s">
        <v>244</v>
      </c>
      <c r="B22285" s="1" t="str">
        <f>HYPERLINK("http://sheraton-waikiki.com","sheraton-waikiki.com")</f>
        <v>sheraton-waikiki.com</v>
      </c>
      <c r="C22285" t="s">
        <v>433</v>
      </c>
      <c r="F22285">
        <v>4.0270228528198697E-8</v>
      </c>
      <c r="G22285">
        <v>1284914</v>
      </c>
      <c r="H22285">
        <v>14237671</v>
      </c>
      <c r="I22285">
        <v>1543873</v>
      </c>
      <c r="J22285">
        <v>4</v>
      </c>
    </row>
    <row r="22286" spans="1:10" x14ac:dyDescent="0.25">
      <c r="A22286" t="s">
        <v>244</v>
      </c>
      <c r="B22286" s="1" t="str">
        <f>HYPERLINK("http://sheratonakron.com","sheratonakron.com")</f>
        <v>sheratonakron.com</v>
      </c>
      <c r="C22286" t="s">
        <v>433</v>
      </c>
      <c r="F22286">
        <v>1.1582046355847599E-8</v>
      </c>
      <c r="G22286">
        <v>5446006</v>
      </c>
      <c r="H22286">
        <v>12416060</v>
      </c>
      <c r="I22286">
        <v>18526612</v>
      </c>
      <c r="J22286">
        <v>4</v>
      </c>
    </row>
    <row r="22287" spans="1:10" x14ac:dyDescent="0.25">
      <c r="A22287" t="s">
        <v>244</v>
      </c>
      <c r="B22287" s="1" t="str">
        <f>HYPERLINK("http://sheratonalbuquerqueuptown.com","sheratonalbuquerqueuptown.com")</f>
        <v>sheratonalbuquerqueuptown.com</v>
      </c>
      <c r="C22287" t="s">
        <v>433</v>
      </c>
      <c r="F22287">
        <v>7.8172698756077703E-9</v>
      </c>
      <c r="G22287">
        <v>10282677</v>
      </c>
      <c r="H22287">
        <v>12586502</v>
      </c>
      <c r="I22287">
        <v>16444217</v>
      </c>
      <c r="J22287">
        <v>4</v>
      </c>
    </row>
    <row r="22288" spans="1:10" x14ac:dyDescent="0.25">
      <c r="A22288" t="s">
        <v>244</v>
      </c>
      <c r="B22288" s="1" t="str">
        <f>HYPERLINK("http://sheratonanchorage.com","sheratonanchorage.com")</f>
        <v>sheratonanchorage.com</v>
      </c>
      <c r="C22288" t="s">
        <v>433</v>
      </c>
      <c r="F22288">
        <v>3.87493583699048E-8</v>
      </c>
      <c r="G22288">
        <v>1330530</v>
      </c>
      <c r="H22288">
        <v>13195463</v>
      </c>
      <c r="I22288">
        <v>11578504</v>
      </c>
      <c r="J22288">
        <v>3</v>
      </c>
    </row>
    <row r="22289" spans="1:10" x14ac:dyDescent="0.25">
      <c r="A22289" t="s">
        <v>244</v>
      </c>
      <c r="B22289" s="1" t="str">
        <f>HYPERLINK("http://sheratonannarbor.com","sheratonannarbor.com")</f>
        <v>sheratonannarbor.com</v>
      </c>
      <c r="C22289" t="s">
        <v>433</v>
      </c>
      <c r="F22289">
        <v>1.3995739690647399E-8</v>
      </c>
      <c r="G22289">
        <v>4204354</v>
      </c>
      <c r="H22289">
        <v>13526666</v>
      </c>
      <c r="I22289">
        <v>9931226</v>
      </c>
      <c r="J22289">
        <v>3</v>
      </c>
    </row>
    <row r="22290" spans="1:10" x14ac:dyDescent="0.25">
      <c r="A22290" t="s">
        <v>244</v>
      </c>
      <c r="B22290" s="1" t="str">
        <f>HYPERLINK("http://sheratonbakuairport.com","sheratonbakuairport.com")</f>
        <v>sheratonbakuairport.com</v>
      </c>
      <c r="C22290" t="s">
        <v>433</v>
      </c>
      <c r="F22290">
        <v>8.9742186065028606E-9</v>
      </c>
      <c r="G22290">
        <v>8030370</v>
      </c>
      <c r="H22290">
        <v>12199874</v>
      </c>
      <c r="I22290">
        <v>23320415</v>
      </c>
      <c r="J22290">
        <v>5</v>
      </c>
    </row>
    <row r="22291" spans="1:10" x14ac:dyDescent="0.25">
      <c r="A22291" t="s">
        <v>244</v>
      </c>
      <c r="B22291" s="1" t="str">
        <f>HYPERLINK("http://sheratonbalikuta.com","sheratonbalikuta.com")</f>
        <v>sheratonbalikuta.com</v>
      </c>
      <c r="C22291" t="s">
        <v>433</v>
      </c>
      <c r="F22291">
        <v>8.4135257851449292E-9</v>
      </c>
      <c r="G22291">
        <v>9015254</v>
      </c>
      <c r="H22291">
        <v>13769255</v>
      </c>
      <c r="I22291">
        <v>6801526</v>
      </c>
      <c r="J22291">
        <v>4</v>
      </c>
    </row>
    <row r="22292" spans="1:10" x14ac:dyDescent="0.25">
      <c r="A22292" t="s">
        <v>244</v>
      </c>
      <c r="B22292" s="1" t="str">
        <f>HYPERLINK("http://sheratonbrookhollow.com","sheratonbrookhollow.com")</f>
        <v>sheratonbrookhollow.com</v>
      </c>
      <c r="C22292" t="s">
        <v>433</v>
      </c>
      <c r="F22292">
        <v>8.4401809563552803E-9</v>
      </c>
      <c r="G22292">
        <v>8961925</v>
      </c>
      <c r="H22292">
        <v>12246321</v>
      </c>
      <c r="I22292">
        <v>22089589</v>
      </c>
      <c r="J22292">
        <v>4</v>
      </c>
    </row>
    <row r="22293" spans="1:10" x14ac:dyDescent="0.25">
      <c r="A22293" t="s">
        <v>244</v>
      </c>
      <c r="B22293" s="1" t="str">
        <f>HYPERLINK("http://sheratonbrooklyn.com","sheratonbrooklyn.com")</f>
        <v>sheratonbrooklyn.com</v>
      </c>
      <c r="C22293" t="s">
        <v>433</v>
      </c>
      <c r="F22293">
        <v>9.3659392588735707E-9</v>
      </c>
      <c r="G22293">
        <v>7487841</v>
      </c>
      <c r="H22293">
        <v>13291980</v>
      </c>
      <c r="I22293">
        <v>10870767</v>
      </c>
      <c r="J22293">
        <v>4</v>
      </c>
    </row>
    <row r="22294" spans="1:10" x14ac:dyDescent="0.25">
      <c r="A22294" t="s">
        <v>244</v>
      </c>
      <c r="B22294" s="1" t="str">
        <f>HYPERLINK("http://sheratonbuckscounty.com","sheratonbuckscounty.com")</f>
        <v>sheratonbuckscounty.com</v>
      </c>
      <c r="C22294" t="s">
        <v>433</v>
      </c>
      <c r="F22294">
        <v>6.9939959198351897E-9</v>
      </c>
      <c r="G22294">
        <v>12329425</v>
      </c>
      <c r="H22294">
        <v>13767861</v>
      </c>
      <c r="I22294">
        <v>6909620</v>
      </c>
      <c r="J22294">
        <v>4</v>
      </c>
    </row>
    <row r="22295" spans="1:10" x14ac:dyDescent="0.25">
      <c r="A22295" t="s">
        <v>244</v>
      </c>
      <c r="B22295" s="1" t="str">
        <f>HYPERLINK("http://sheratonbwiairport.com","sheratonbwiairport.com")</f>
        <v>sheratonbwiairport.com</v>
      </c>
      <c r="C22295" t="s">
        <v>433</v>
      </c>
      <c r="F22295">
        <v>6.1979098256703498E-9</v>
      </c>
      <c r="G22295">
        <v>15547379</v>
      </c>
      <c r="H22295">
        <v>13112575</v>
      </c>
      <c r="I22295">
        <v>12026789</v>
      </c>
      <c r="J22295">
        <v>4</v>
      </c>
    </row>
    <row r="22296" spans="1:10" x14ac:dyDescent="0.25">
      <c r="A22296" t="s">
        <v>244</v>
      </c>
      <c r="B22296" s="1" t="str">
        <f>HYPERLINK("http://sheratoncascaisresort.com","sheratoncascaisresort.com")</f>
        <v>sheratoncascaisresort.com</v>
      </c>
      <c r="C22296" t="s">
        <v>433</v>
      </c>
      <c r="F22296">
        <v>1.37313057828577E-8</v>
      </c>
      <c r="G22296">
        <v>4308610</v>
      </c>
      <c r="H22296">
        <v>13775819</v>
      </c>
      <c r="I22296">
        <v>6569447</v>
      </c>
      <c r="J22296">
        <v>4</v>
      </c>
    </row>
    <row r="22297" spans="1:10" x14ac:dyDescent="0.25">
      <c r="A22297" t="s">
        <v>244</v>
      </c>
      <c r="B22297" s="1" t="str">
        <f>HYPERLINK("http://sheratoncavalier.com","sheratoncavalier.com")</f>
        <v>sheratoncavalier.com</v>
      </c>
      <c r="C22297" t="s">
        <v>433</v>
      </c>
      <c r="F22297">
        <v>5.32946871970046E-9</v>
      </c>
      <c r="G22297">
        <v>23073473</v>
      </c>
      <c r="H22297">
        <v>13764214</v>
      </c>
      <c r="I22297">
        <v>7334201</v>
      </c>
      <c r="J22297">
        <v>4</v>
      </c>
    </row>
    <row r="22298" spans="1:10" x14ac:dyDescent="0.25">
      <c r="A22298" t="s">
        <v>244</v>
      </c>
      <c r="B22298" s="1" t="str">
        <f>HYPERLINK("http://sheratoncharlottehotel.com","sheratoncharlottehotel.com")</f>
        <v>sheratoncharlottehotel.com</v>
      </c>
      <c r="C22298" t="s">
        <v>433</v>
      </c>
      <c r="F22298">
        <v>8.61750548803328E-9</v>
      </c>
      <c r="G22298">
        <v>8625441</v>
      </c>
      <c r="H22298">
        <v>13962866</v>
      </c>
      <c r="I22298">
        <v>4099987</v>
      </c>
      <c r="J22298">
        <v>3</v>
      </c>
    </row>
    <row r="22299" spans="1:10" x14ac:dyDescent="0.25">
      <c r="A22299" t="s">
        <v>244</v>
      </c>
      <c r="B22299" s="1" t="str">
        <f>HYPERLINK("http://sheratonchicago.com","sheratonchicago.com")</f>
        <v>sheratonchicago.com</v>
      </c>
      <c r="C22299" t="s">
        <v>433</v>
      </c>
      <c r="F22299">
        <v>3.6249350015300602E-7</v>
      </c>
      <c r="G22299">
        <v>103161</v>
      </c>
      <c r="H22299">
        <v>14478858</v>
      </c>
      <c r="I22299">
        <v>1029004</v>
      </c>
      <c r="J22299">
        <v>4</v>
      </c>
    </row>
    <row r="22300" spans="1:10" x14ac:dyDescent="0.25">
      <c r="A22300" t="s">
        <v>244</v>
      </c>
      <c r="B22300" s="1" t="str">
        <f>HYPERLINK("http://sheratoncolumbuscapitolsquare.com","sheratoncolumbuscapitolsquare.com")</f>
        <v>sheratoncolumbuscapitolsquare.com</v>
      </c>
      <c r="C22300" t="s">
        <v>433</v>
      </c>
      <c r="F22300">
        <v>9.9919634474294901E-9</v>
      </c>
      <c r="G22300">
        <v>6763903</v>
      </c>
      <c r="H22300">
        <v>12973303</v>
      </c>
      <c r="I22300">
        <v>13027963</v>
      </c>
      <c r="J22300">
        <v>3</v>
      </c>
    </row>
    <row r="22301" spans="1:10" x14ac:dyDescent="0.25">
      <c r="A22301" t="s">
        <v>244</v>
      </c>
      <c r="B22301" s="1" t="str">
        <f>HYPERLINK("http://sheratondubaicreek.com","sheratondubaicreek.com")</f>
        <v>sheratondubaicreek.com</v>
      </c>
      <c r="C22301" t="s">
        <v>433</v>
      </c>
      <c r="F22301">
        <v>1.4990702228186801E-8</v>
      </c>
      <c r="G22301">
        <v>3842891</v>
      </c>
      <c r="H22301">
        <v>13134357</v>
      </c>
      <c r="I22301">
        <v>11919950</v>
      </c>
      <c r="J22301">
        <v>4</v>
      </c>
    </row>
    <row r="22302" spans="1:10" x14ac:dyDescent="0.25">
      <c r="A22302" t="s">
        <v>244</v>
      </c>
      <c r="B22302" s="1" t="str">
        <f>HYPERLINK("http://sheratonduesseldorfairport.com","sheratonduesseldorfairport.com")</f>
        <v>sheratonduesseldorfairport.com</v>
      </c>
      <c r="C22302" t="s">
        <v>433</v>
      </c>
      <c r="F22302">
        <v>1.39023764245371E-8</v>
      </c>
      <c r="G22302">
        <v>4240087</v>
      </c>
      <c r="H22302">
        <v>12393195</v>
      </c>
      <c r="I22302">
        <v>18981859</v>
      </c>
      <c r="J22302">
        <v>4</v>
      </c>
    </row>
    <row r="22303" spans="1:10" x14ac:dyDescent="0.25">
      <c r="A22303" t="s">
        <v>244</v>
      </c>
      <c r="B22303" s="1" t="str">
        <f>HYPERLINK("http://sheratonframingham.com","sheratonframingham.com")</f>
        <v>sheratonframingham.com</v>
      </c>
      <c r="C22303" t="s">
        <v>433</v>
      </c>
      <c r="F22303">
        <v>7.6776826761312195E-9</v>
      </c>
      <c r="G22303">
        <v>10628248</v>
      </c>
      <c r="H22303">
        <v>13934533</v>
      </c>
      <c r="I22303">
        <v>4592375</v>
      </c>
      <c r="J22303">
        <v>4</v>
      </c>
    </row>
    <row r="22304" spans="1:10" x14ac:dyDescent="0.25">
      <c r="A22304" t="s">
        <v>244</v>
      </c>
      <c r="B22304" s="1" t="str">
        <f>HYPERLINK("http://sheratongatewaytorontoairport.com","sheratongatewaytorontoairport.com")</f>
        <v>sheratongatewaytorontoairport.com</v>
      </c>
      <c r="C22304" t="s">
        <v>433</v>
      </c>
      <c r="F22304">
        <v>5.3218340416579601E-9</v>
      </c>
      <c r="G22304">
        <v>23183737</v>
      </c>
      <c r="H22304">
        <v>12371467</v>
      </c>
      <c r="I22304">
        <v>19382783</v>
      </c>
      <c r="J22304">
        <v>4</v>
      </c>
    </row>
    <row r="22305" spans="1:10" x14ac:dyDescent="0.25">
      <c r="A22305" t="s">
        <v>244</v>
      </c>
      <c r="B22305" s="1" t="str">
        <f>HYPERLINK("http://sheratongrandlosangeles.com","sheratongrandlosangeles.com")</f>
        <v>sheratongrandlosangeles.com</v>
      </c>
      <c r="C22305" t="s">
        <v>433</v>
      </c>
      <c r="F22305">
        <v>9.9920869406326393E-9</v>
      </c>
      <c r="G22305">
        <v>6763790</v>
      </c>
      <c r="H22305">
        <v>13164289</v>
      </c>
      <c r="I22305">
        <v>11748438</v>
      </c>
      <c r="J22305">
        <v>4</v>
      </c>
    </row>
    <row r="22306" spans="1:10" x14ac:dyDescent="0.25">
      <c r="A22306" t="s">
        <v>244</v>
      </c>
      <c r="B22306" s="1" t="str">
        <f>HYPERLINK("http://sheratonguildford.com","sheratonguildford.com")</f>
        <v>sheratonguildford.com</v>
      </c>
      <c r="C22306" t="s">
        <v>433</v>
      </c>
      <c r="F22306">
        <v>1.05751164784181E-8</v>
      </c>
      <c r="G22306">
        <v>6204947</v>
      </c>
      <c r="H22306">
        <v>13859204</v>
      </c>
      <c r="I22306">
        <v>6024826</v>
      </c>
      <c r="J22306">
        <v>4</v>
      </c>
    </row>
    <row r="22307" spans="1:10" x14ac:dyDescent="0.25">
      <c r="A22307" t="s">
        <v>244</v>
      </c>
      <c r="B22307" s="1" t="str">
        <f>HYPERLINK("http://sheratonhotels.com","sheratonhotels.com")</f>
        <v>sheratonhotels.com</v>
      </c>
      <c r="C22307" t="s">
        <v>433</v>
      </c>
      <c r="F22307">
        <v>6.3541008412847697E-9</v>
      </c>
      <c r="G22307">
        <v>14742553</v>
      </c>
      <c r="H22307">
        <v>12198681</v>
      </c>
      <c r="I22307">
        <v>23347850</v>
      </c>
      <c r="J22307">
        <v>3</v>
      </c>
    </row>
    <row r="22308" spans="1:10" x14ac:dyDescent="0.25">
      <c r="A22308" t="s">
        <v>244</v>
      </c>
      <c r="B22308" s="1" t="str">
        <f>HYPERLINK("http://sheratoninnerharbor.com","sheratoninnerharbor.com")</f>
        <v>sheratoninnerharbor.com</v>
      </c>
      <c r="C22308" t="s">
        <v>433</v>
      </c>
      <c r="F22308">
        <v>2.6618657808584399E-8</v>
      </c>
      <c r="G22308">
        <v>1933871</v>
      </c>
      <c r="H22308">
        <v>13774379</v>
      </c>
      <c r="I22308">
        <v>6606851</v>
      </c>
      <c r="J22308">
        <v>4</v>
      </c>
    </row>
    <row r="22309" spans="1:10" x14ac:dyDescent="0.25">
      <c r="A22309" t="s">
        <v>244</v>
      </c>
      <c r="B22309" s="1" t="str">
        <f>HYPERLINK("http://sheratonlaguardiaeast.com","sheratonlaguardiaeast.com")</f>
        <v>sheratonlaguardiaeast.com</v>
      </c>
      <c r="C22309" t="s">
        <v>433</v>
      </c>
      <c r="F22309">
        <v>9.2887106033756298E-9</v>
      </c>
      <c r="G22309">
        <v>7587375</v>
      </c>
      <c r="H22309">
        <v>12427294</v>
      </c>
      <c r="I22309">
        <v>18342477</v>
      </c>
      <c r="J22309">
        <v>4</v>
      </c>
    </row>
    <row r="22310" spans="1:10" x14ac:dyDescent="0.25">
      <c r="A22310" t="s">
        <v>244</v>
      </c>
      <c r="B22310" s="1" t="str">
        <f>HYPERLINK("http://sheratonlax.com","sheratonlax.com")</f>
        <v>sheratonlax.com</v>
      </c>
      <c r="C22310" t="s">
        <v>433</v>
      </c>
      <c r="F22310">
        <v>3.2652163953639603E-8</v>
      </c>
      <c r="G22310">
        <v>1582535</v>
      </c>
      <c r="H22310">
        <v>13935921</v>
      </c>
      <c r="I22310">
        <v>4511215</v>
      </c>
      <c r="J22310">
        <v>3</v>
      </c>
    </row>
    <row r="22311" spans="1:10" x14ac:dyDescent="0.25">
      <c r="A22311" t="s">
        <v>244</v>
      </c>
      <c r="B22311" s="1" t="str">
        <f>HYPERLINK("http://sheratonmelbourne.com","sheratonmelbourne.com")</f>
        <v>sheratonmelbourne.com</v>
      </c>
      <c r="C22311" t="s">
        <v>433</v>
      </c>
      <c r="F22311">
        <v>5.1365575084919904E-9</v>
      </c>
      <c r="G22311">
        <v>26330620</v>
      </c>
      <c r="H22311">
        <v>11407779</v>
      </c>
      <c r="I22311">
        <v>30202776</v>
      </c>
      <c r="J22311">
        <v>4</v>
      </c>
    </row>
    <row r="22312" spans="1:10" x14ac:dyDescent="0.25">
      <c r="A22312" t="s">
        <v>244</v>
      </c>
      <c r="B22312" s="1" t="str">
        <f>HYPERLINK("http://sheratonmemphisdowntown.com","sheratonmemphisdowntown.com")</f>
        <v>sheratonmemphisdowntown.com</v>
      </c>
      <c r="C22312" t="s">
        <v>433</v>
      </c>
      <c r="F22312">
        <v>1.5309418009210199E-8</v>
      </c>
      <c r="G22312">
        <v>3742954</v>
      </c>
      <c r="H22312">
        <v>13084558</v>
      </c>
      <c r="I22312">
        <v>12165378</v>
      </c>
      <c r="J22312">
        <v>3</v>
      </c>
    </row>
    <row r="22313" spans="1:10" x14ac:dyDescent="0.25">
      <c r="A22313" t="s">
        <v>244</v>
      </c>
      <c r="B22313" s="1" t="str">
        <f>HYPERLINK("http://sheratonmissionvalley.com","sheratonmissionvalley.com")</f>
        <v>sheratonmissionvalley.com</v>
      </c>
      <c r="C22313" t="s">
        <v>433</v>
      </c>
      <c r="F22313">
        <v>7.0597492818055796E-9</v>
      </c>
      <c r="G22313">
        <v>12127727</v>
      </c>
      <c r="H22313">
        <v>12896421</v>
      </c>
      <c r="I22313">
        <v>13895704</v>
      </c>
      <c r="J22313">
        <v>4</v>
      </c>
    </row>
    <row r="22314" spans="1:10" x14ac:dyDescent="0.25">
      <c r="A22314" t="s">
        <v>244</v>
      </c>
      <c r="B22314" s="1" t="str">
        <f>HYPERLINK("http://sheratonmontrealairport.com","sheratonmontrealairport.com")</f>
        <v>sheratonmontrealairport.com</v>
      </c>
      <c r="C22314" t="s">
        <v>433</v>
      </c>
      <c r="F22314">
        <v>6.3568052858478598E-9</v>
      </c>
      <c r="G22314">
        <v>14729276</v>
      </c>
      <c r="H22314">
        <v>13940059</v>
      </c>
      <c r="I22314">
        <v>4378264</v>
      </c>
      <c r="J22314">
        <v>4</v>
      </c>
    </row>
    <row r="22315" spans="1:10" x14ac:dyDescent="0.25">
      <c r="A22315" t="s">
        <v>244</v>
      </c>
      <c r="B22315" s="1" t="str">
        <f>HYPERLINK("http://sheratonmoscowairport.com","sheratonmoscowairport.com")</f>
        <v>sheratonmoscowairport.com</v>
      </c>
      <c r="C22315" t="s">
        <v>433</v>
      </c>
      <c r="F22315">
        <v>4.48269436056762E-9</v>
      </c>
      <c r="G22315">
        <v>61819782</v>
      </c>
      <c r="H22315">
        <v>10354486</v>
      </c>
      <c r="I22315">
        <v>55813775</v>
      </c>
      <c r="J22315">
        <v>4</v>
      </c>
    </row>
    <row r="22316" spans="1:10" x14ac:dyDescent="0.25">
      <c r="A22316" t="s">
        <v>244</v>
      </c>
      <c r="B22316" s="1" t="str">
        <f>HYPERLINK("http://sheratonnashvilledowntown.com","sheratonnashvilledowntown.com")</f>
        <v>sheratonnashvilledowntown.com</v>
      </c>
      <c r="C22316" t="s">
        <v>433</v>
      </c>
      <c r="F22316">
        <v>2.0145015009102601E-8</v>
      </c>
      <c r="G22316">
        <v>2637015</v>
      </c>
      <c r="H22316">
        <v>14203822</v>
      </c>
      <c r="I22316">
        <v>1715366</v>
      </c>
      <c r="J22316">
        <v>4</v>
      </c>
    </row>
    <row r="22317" spans="1:10" x14ac:dyDescent="0.25">
      <c r="A22317" t="s">
        <v>244</v>
      </c>
      <c r="B22317" s="1" t="str">
        <f>HYPERLINK("http://sheratonneworleans.com","sheratonneworleans.com")</f>
        <v>sheratonneworleans.com</v>
      </c>
      <c r="C22317" t="s">
        <v>433</v>
      </c>
      <c r="F22317">
        <v>2.48858849140066E-8</v>
      </c>
      <c r="G22317">
        <v>2077694</v>
      </c>
      <c r="H22317">
        <v>13836424</v>
      </c>
      <c r="I22317">
        <v>6085658</v>
      </c>
      <c r="J22317">
        <v>4</v>
      </c>
    </row>
    <row r="22318" spans="1:10" x14ac:dyDescent="0.25">
      <c r="A22318" t="s">
        <v>244</v>
      </c>
      <c r="B22318" s="1" t="str">
        <f>HYPERLINK("http://sheratonnewyork.com","sheratonnewyork.com")</f>
        <v>sheratonnewyork.com</v>
      </c>
      <c r="C22318" t="s">
        <v>433</v>
      </c>
      <c r="F22318">
        <v>4.7072893477200697E-8</v>
      </c>
      <c r="G22318">
        <v>991241</v>
      </c>
      <c r="H22318">
        <v>13969497</v>
      </c>
      <c r="I22318">
        <v>4078087</v>
      </c>
      <c r="J22318">
        <v>4</v>
      </c>
    </row>
    <row r="22319" spans="1:10" x14ac:dyDescent="0.25">
      <c r="A22319" t="s">
        <v>244</v>
      </c>
      <c r="B22319" s="1" t="str">
        <f>HYPERLINK("http://sheratonoffenbach.com","sheratonoffenbach.com")</f>
        <v>sheratonoffenbach.com</v>
      </c>
      <c r="C22319" t="s">
        <v>433</v>
      </c>
      <c r="F22319">
        <v>9.8426689914275298E-9</v>
      </c>
      <c r="G22319">
        <v>6923683</v>
      </c>
      <c r="H22319">
        <v>12545548</v>
      </c>
      <c r="I22319">
        <v>16865971</v>
      </c>
      <c r="J22319">
        <v>4</v>
      </c>
    </row>
    <row r="22320" spans="1:10" x14ac:dyDescent="0.25">
      <c r="A22320" t="s">
        <v>244</v>
      </c>
      <c r="B22320" s="1" t="str">
        <f>HYPERLINK("http://sheratonokc.com","sheratonokc.com")</f>
        <v>sheratonokc.com</v>
      </c>
      <c r="C22320" t="s">
        <v>433</v>
      </c>
      <c r="F22320">
        <v>9.1947278426897805E-9</v>
      </c>
      <c r="G22320">
        <v>7717036</v>
      </c>
      <c r="H22320">
        <v>12503065</v>
      </c>
      <c r="I22320">
        <v>17315349</v>
      </c>
      <c r="J22320">
        <v>3</v>
      </c>
    </row>
    <row r="22321" spans="1:10" x14ac:dyDescent="0.25">
      <c r="A22321" t="s">
        <v>244</v>
      </c>
      <c r="B22321" s="1" t="str">
        <f>HYPERLINK("http://sheratonovisad.com","sheratonovisad.com")</f>
        <v>sheratonovisad.com</v>
      </c>
      <c r="C22321" t="s">
        <v>433</v>
      </c>
      <c r="J22321">
        <v>3</v>
      </c>
    </row>
    <row r="22322" spans="1:10" x14ac:dyDescent="0.25">
      <c r="A22322" t="s">
        <v>244</v>
      </c>
      <c r="B22322" s="1" t="str">
        <f>HYPERLINK("http://sheratonparkway.com","sheratonparkway.com")</f>
        <v>sheratonparkway.com</v>
      </c>
      <c r="C22322" t="s">
        <v>433</v>
      </c>
      <c r="F22322">
        <v>1.4206514314982699E-8</v>
      </c>
      <c r="G22322">
        <v>4126653</v>
      </c>
      <c r="H22322">
        <v>13771456</v>
      </c>
      <c r="I22322">
        <v>6693435</v>
      </c>
      <c r="J22322">
        <v>4</v>
      </c>
    </row>
    <row r="22323" spans="1:10" x14ac:dyDescent="0.25">
      <c r="A22323" t="s">
        <v>244</v>
      </c>
      <c r="B22323" s="1" t="str">
        <f>HYPERLINK("http://sheratonparsippany.com","sheratonparsippany.com")</f>
        <v>sheratonparsippany.com</v>
      </c>
      <c r="C22323" t="s">
        <v>433</v>
      </c>
      <c r="F22323">
        <v>7.5789600005967993E-9</v>
      </c>
      <c r="G22323">
        <v>10839397</v>
      </c>
      <c r="H22323">
        <v>13015143</v>
      </c>
      <c r="I22323">
        <v>12731560</v>
      </c>
      <c r="J22323">
        <v>4</v>
      </c>
    </row>
    <row r="22324" spans="1:10" x14ac:dyDescent="0.25">
      <c r="A22324" t="s">
        <v>244</v>
      </c>
      <c r="B22324" s="1" t="str">
        <f>HYPERLINK("http://sheratonphoenixdowntown.com","sheratonphoenixdowntown.com")</f>
        <v>sheratonphoenixdowntown.com</v>
      </c>
      <c r="C22324" t="s">
        <v>433</v>
      </c>
      <c r="F22324">
        <v>2.2352028705702102E-8</v>
      </c>
      <c r="G22324">
        <v>2345046</v>
      </c>
      <c r="H22324">
        <v>13398061</v>
      </c>
      <c r="I22324">
        <v>10372261</v>
      </c>
      <c r="J22324">
        <v>4</v>
      </c>
    </row>
    <row r="22325" spans="1:10" x14ac:dyDescent="0.25">
      <c r="A22325" t="s">
        <v>244</v>
      </c>
      <c r="B22325" s="1" t="str">
        <f>HYPERLINK("http://sheratonpleasanton.com","sheratonpleasanton.com")</f>
        <v>sheratonpleasanton.com</v>
      </c>
      <c r="C22325" t="s">
        <v>433</v>
      </c>
      <c r="F22325">
        <v>5.1395040505871402E-9</v>
      </c>
      <c r="G22325">
        <v>26275175</v>
      </c>
      <c r="H22325">
        <v>12116988</v>
      </c>
      <c r="I22325">
        <v>25487992</v>
      </c>
      <c r="J22325">
        <v>4</v>
      </c>
    </row>
    <row r="22326" spans="1:10" x14ac:dyDescent="0.25">
      <c r="A22326" t="s">
        <v>244</v>
      </c>
      <c r="B22326" s="1" t="str">
        <f>HYPERLINK("http://sheratonporto.com","sheratonporto.com")</f>
        <v>sheratonporto.com</v>
      </c>
      <c r="C22326" t="s">
        <v>433</v>
      </c>
      <c r="F22326">
        <v>9.7804323612952508E-9</v>
      </c>
      <c r="G22326">
        <v>6989895</v>
      </c>
      <c r="H22326">
        <v>14125587</v>
      </c>
      <c r="I22326">
        <v>2116513</v>
      </c>
      <c r="J22326">
        <v>4</v>
      </c>
    </row>
    <row r="22327" spans="1:10" x14ac:dyDescent="0.25">
      <c r="A22327" t="s">
        <v>244</v>
      </c>
      <c r="B22327" s="1" t="str">
        <f>HYPERLINK("http://sheratonreston.com","sheratonreston.com")</f>
        <v>sheratonreston.com</v>
      </c>
      <c r="C22327" t="s">
        <v>433</v>
      </c>
      <c r="F22327">
        <v>6.4087342880010903E-9</v>
      </c>
      <c r="G22327">
        <v>14476765</v>
      </c>
      <c r="H22327">
        <v>13765589</v>
      </c>
      <c r="I22327">
        <v>7086740</v>
      </c>
      <c r="J22327">
        <v>4</v>
      </c>
    </row>
    <row r="22328" spans="1:10" x14ac:dyDescent="0.25">
      <c r="A22328" t="s">
        <v>244</v>
      </c>
      <c r="B22328" s="1" t="str">
        <f>HYPERLINK("http://sheratonsandiegomarina.com","sheratonsandiegomarina.com")</f>
        <v>sheratonsandiegomarina.com</v>
      </c>
      <c r="C22328" t="s">
        <v>433</v>
      </c>
      <c r="F22328">
        <v>4.4501326462496196E-9</v>
      </c>
      <c r="G22328">
        <v>71846878</v>
      </c>
      <c r="H22328">
        <v>10366789</v>
      </c>
      <c r="I22328">
        <v>54968805</v>
      </c>
      <c r="J22328">
        <v>4</v>
      </c>
    </row>
    <row r="22329" spans="1:10" x14ac:dyDescent="0.25">
      <c r="A22329" t="s">
        <v>244</v>
      </c>
      <c r="B22329" s="1" t="str">
        <f>HYPERLINK("http://sheratonseattle.com","sheratonseattle.com")</f>
        <v>sheratonseattle.com</v>
      </c>
      <c r="C22329" t="s">
        <v>433</v>
      </c>
      <c r="F22329">
        <v>4.8028332660919002E-8</v>
      </c>
      <c r="G22329">
        <v>967938</v>
      </c>
      <c r="H22329">
        <v>14214428</v>
      </c>
      <c r="I22329">
        <v>1695767</v>
      </c>
      <c r="J22329">
        <v>4</v>
      </c>
    </row>
    <row r="22330" spans="1:10" x14ac:dyDescent="0.25">
      <c r="A22330" t="s">
        <v>244</v>
      </c>
      <c r="B22330" s="1" t="str">
        <f>HYPERLINK("http://sheratonspringfield.com","sheratonspringfield.com")</f>
        <v>sheratonspringfield.com</v>
      </c>
      <c r="C22330" t="s">
        <v>433</v>
      </c>
      <c r="F22330">
        <v>8.5492859984531503E-9</v>
      </c>
      <c r="G22330">
        <v>8751065</v>
      </c>
      <c r="H22330">
        <v>12818388</v>
      </c>
      <c r="I22330">
        <v>14521764</v>
      </c>
      <c r="J22330">
        <v>3</v>
      </c>
    </row>
    <row r="22331" spans="1:10" x14ac:dyDescent="0.25">
      <c r="A22331" t="s">
        <v>244</v>
      </c>
      <c r="B22331" s="1" t="str">
        <f>HYPERLINK("http://sheratontampaeast.com","sheratontampaeast.com")</f>
        <v>sheratontampaeast.com</v>
      </c>
      <c r="C22331" t="s">
        <v>433</v>
      </c>
      <c r="F22331">
        <v>5.07732544425802E-9</v>
      </c>
      <c r="G22331">
        <v>27570666</v>
      </c>
      <c r="H22331">
        <v>11296378</v>
      </c>
      <c r="I22331">
        <v>30625655</v>
      </c>
      <c r="J22331">
        <v>4</v>
      </c>
    </row>
    <row r="22332" spans="1:10" x14ac:dyDescent="0.25">
      <c r="A22332" t="s">
        <v>244</v>
      </c>
      <c r="B22332" s="1" t="str">
        <f>HYPERLINK("http://sheratontoronto.com","sheratontoronto.com")</f>
        <v>sheratontoronto.com</v>
      </c>
      <c r="C22332" t="s">
        <v>433</v>
      </c>
      <c r="F22332">
        <v>5.5702747237050503E-8</v>
      </c>
      <c r="G22332">
        <v>805013</v>
      </c>
      <c r="H22332">
        <v>14461329</v>
      </c>
      <c r="I22332">
        <v>1046665</v>
      </c>
      <c r="J22332">
        <v>4</v>
      </c>
    </row>
    <row r="22333" spans="1:10" x14ac:dyDescent="0.25">
      <c r="A22333" t="s">
        <v>244</v>
      </c>
      <c r="B22333" s="1" t="str">
        <f>HYPERLINK("http://sheratontorontoairport.com","sheratontorontoairport.com")</f>
        <v>sheratontorontoairport.com</v>
      </c>
      <c r="C22333" t="s">
        <v>433</v>
      </c>
      <c r="F22333">
        <v>1.56030916415433E-8</v>
      </c>
      <c r="G22333">
        <v>3654276</v>
      </c>
      <c r="H22333">
        <v>12586957</v>
      </c>
      <c r="I22333">
        <v>16440814</v>
      </c>
      <c r="J22333">
        <v>4</v>
      </c>
    </row>
    <row r="22334" spans="1:10" x14ac:dyDescent="0.25">
      <c r="A22334" t="s">
        <v>244</v>
      </c>
      <c r="B22334" s="1" t="str">
        <f>HYPERLINK("http://sheratonvancouver.com","sheratonvancouver.com")</f>
        <v>sheratonvancouver.com</v>
      </c>
      <c r="C22334" t="s">
        <v>433</v>
      </c>
      <c r="F22334">
        <v>3.1924658223566703E-8</v>
      </c>
      <c r="G22334">
        <v>1618407</v>
      </c>
      <c r="H22334">
        <v>14129768</v>
      </c>
      <c r="I22334">
        <v>2040938</v>
      </c>
      <c r="J22334">
        <v>4</v>
      </c>
    </row>
    <row r="22335" spans="1:10" x14ac:dyDescent="0.25">
      <c r="A22335" t="s">
        <v>244</v>
      </c>
      <c r="B22335" s="1" t="str">
        <f>HYPERLINK("http://sheratonvirginiabeach.com","sheratonvirginiabeach.com")</f>
        <v>sheratonvirginiabeach.com</v>
      </c>
      <c r="C22335" t="s">
        <v>433</v>
      </c>
      <c r="F22335">
        <v>7.1769237909831904E-9</v>
      </c>
      <c r="G22335">
        <v>11804651</v>
      </c>
      <c r="H22335">
        <v>12426825</v>
      </c>
      <c r="I22335">
        <v>18351482</v>
      </c>
      <c r="J22335">
        <v>4</v>
      </c>
    </row>
    <row r="22336" spans="1:10" x14ac:dyDescent="0.25">
      <c r="A22336" t="s">
        <v>244</v>
      </c>
      <c r="B22336" s="1" t="str">
        <f>HYPERLINK("http://sherriton.com","sherriton.com")</f>
        <v>sherriton.com</v>
      </c>
      <c r="C22336" t="s">
        <v>433</v>
      </c>
      <c r="J22336">
        <v>3</v>
      </c>
    </row>
    <row r="22337" spans="1:10" x14ac:dyDescent="0.25">
      <c r="A22337" t="s">
        <v>244</v>
      </c>
      <c r="B22337" s="1" t="str">
        <f>HYPERLINK("http://singh3@marriott.com","singh3@marriott.com")</f>
        <v>singh3@marriott.com</v>
      </c>
      <c r="C22337" t="s">
        <v>433</v>
      </c>
      <c r="J22337">
        <v>4</v>
      </c>
    </row>
    <row r="22338" spans="1:10" x14ac:dyDescent="0.25">
      <c r="A22338" t="s">
        <v>244</v>
      </c>
      <c r="B22338" s="1" t="str">
        <f>HYPERLINK("http://sofiahotelbalkan.com","sofiahotelbalkan.com")</f>
        <v>sofiahotelbalkan.com</v>
      </c>
      <c r="C22338" t="s">
        <v>433</v>
      </c>
      <c r="F22338">
        <v>4.8545953590276403E-9</v>
      </c>
      <c r="G22338">
        <v>33987700</v>
      </c>
      <c r="H22338">
        <v>10081601</v>
      </c>
      <c r="I22338">
        <v>60026746</v>
      </c>
      <c r="J22338">
        <v>4</v>
      </c>
    </row>
    <row r="22339" spans="1:10" x14ac:dyDescent="0.25">
      <c r="A22339" t="s">
        <v>244</v>
      </c>
      <c r="B22339" s="1" t="str">
        <f>HYPERLINK("http://sonmuntanergolf.com","sonmuntanergolf.com")</f>
        <v>sonmuntanergolf.com</v>
      </c>
      <c r="C22339" t="s">
        <v>433</v>
      </c>
      <c r="F22339">
        <v>1.37350906104086E-8</v>
      </c>
      <c r="G22339">
        <v>4307105</v>
      </c>
      <c r="H22339">
        <v>12321299</v>
      </c>
      <c r="I22339">
        <v>20390528</v>
      </c>
      <c r="J22339">
        <v>8</v>
      </c>
    </row>
    <row r="22340" spans="1:10" x14ac:dyDescent="0.25">
      <c r="A22340" t="s">
        <v>244</v>
      </c>
      <c r="B22340" s="1" t="str">
        <f>HYPERLINK("http://sonquintgolf.com","sonquintgolf.com")</f>
        <v>sonquintgolf.com</v>
      </c>
      <c r="C22340" t="s">
        <v>433</v>
      </c>
      <c r="F22340">
        <v>9.9504387496684907E-9</v>
      </c>
      <c r="G22340">
        <v>6805901</v>
      </c>
      <c r="H22340">
        <v>12305189</v>
      </c>
      <c r="I22340">
        <v>20731004</v>
      </c>
      <c r="J22340">
        <v>8</v>
      </c>
    </row>
    <row r="22341" spans="1:10" x14ac:dyDescent="0.25">
      <c r="A22341" t="s">
        <v>244</v>
      </c>
      <c r="B22341" s="1" t="str">
        <f>HYPERLINK("http://sonvidagolf.com","sonvidagolf.com")</f>
        <v>sonvidagolf.com</v>
      </c>
      <c r="C22341" t="s">
        <v>433</v>
      </c>
      <c r="F22341">
        <v>1.6641645033274899E-8</v>
      </c>
      <c r="G22341">
        <v>3378850</v>
      </c>
      <c r="H22341">
        <v>14073576</v>
      </c>
      <c r="I22341">
        <v>2984611</v>
      </c>
      <c r="J22341">
        <v>4</v>
      </c>
    </row>
    <row r="22342" spans="1:10" x14ac:dyDescent="0.25">
      <c r="A22342" t="s">
        <v>244</v>
      </c>
      <c r="B22342" s="1" t="str">
        <f>HYPERLINK("http://springhillsuites.com","springhillsuites.com")</f>
        <v>springhillsuites.com</v>
      </c>
      <c r="C22342" t="s">
        <v>433</v>
      </c>
      <c r="F22342">
        <v>2.8888768532723701E-8</v>
      </c>
      <c r="G22342">
        <v>1781828</v>
      </c>
      <c r="H22342">
        <v>13284216</v>
      </c>
      <c r="I22342">
        <v>10900340</v>
      </c>
      <c r="J22342">
        <v>4</v>
      </c>
    </row>
    <row r="22343" spans="1:10" x14ac:dyDescent="0.25">
      <c r="A22343" t="s">
        <v>244</v>
      </c>
      <c r="B22343" s="1" t="str">
        <f>HYPERLINK("http://starwood.com","starwood.com")</f>
        <v>starwood.com</v>
      </c>
      <c r="C22343" t="s">
        <v>433</v>
      </c>
      <c r="E22343">
        <v>377635</v>
      </c>
      <c r="F22343">
        <v>1.08491401734746E-7</v>
      </c>
      <c r="G22343">
        <v>368836</v>
      </c>
      <c r="H22343">
        <v>14657229</v>
      </c>
      <c r="I22343">
        <v>622306</v>
      </c>
      <c r="J22343">
        <v>5</v>
      </c>
    </row>
    <row r="22344" spans="1:10" x14ac:dyDescent="0.25">
      <c r="A22344" t="s">
        <v>244</v>
      </c>
      <c r="B22344" s="1" t="str">
        <f>HYPERLINK("http://starwoodhotels.com","starwoodhotels.com")</f>
        <v>starwoodhotels.com</v>
      </c>
      <c r="C22344" t="s">
        <v>433</v>
      </c>
      <c r="E22344">
        <v>8921</v>
      </c>
      <c r="F22344">
        <v>2.8602655380276299E-6</v>
      </c>
      <c r="G22344">
        <v>13472</v>
      </c>
      <c r="H22344">
        <v>17751172</v>
      </c>
      <c r="I22344">
        <v>6342</v>
      </c>
      <c r="J22344">
        <v>3</v>
      </c>
    </row>
    <row r="22345" spans="1:10" x14ac:dyDescent="0.25">
      <c r="A22345" t="s">
        <v>244</v>
      </c>
      <c r="B22345" s="1" t="str">
        <f>HYPERLINK("http://staystarwood.com","staystarwood.com")</f>
        <v>staystarwood.com</v>
      </c>
      <c r="C22345" t="s">
        <v>433</v>
      </c>
      <c r="J22345">
        <v>4</v>
      </c>
    </row>
    <row r="22346" spans="1:10" x14ac:dyDescent="0.25">
      <c r="A22346" t="s">
        <v>244</v>
      </c>
      <c r="B22346" s="1" t="str">
        <f>HYPERLINK("http://stgilesnewyork.com","stgilesnewyork.com")</f>
        <v>stgilesnewyork.com</v>
      </c>
      <c r="C22346" t="s">
        <v>433</v>
      </c>
      <c r="F22346">
        <v>8.2172927612574202E-9</v>
      </c>
      <c r="G22346">
        <v>9542212</v>
      </c>
      <c r="H22346">
        <v>13149666</v>
      </c>
      <c r="I22346">
        <v>11828901</v>
      </c>
      <c r="J22346">
        <v>3</v>
      </c>
    </row>
    <row r="22347" spans="1:10" x14ac:dyDescent="0.25">
      <c r="A22347" t="s">
        <v>244</v>
      </c>
      <c r="B22347" s="1" t="str">
        <f>HYPERLINK("http://stregis.com","stregis.com")</f>
        <v>stregis.com</v>
      </c>
      <c r="C22347" t="s">
        <v>433</v>
      </c>
      <c r="E22347">
        <v>390169</v>
      </c>
      <c r="F22347">
        <v>1.41971804737063E-7</v>
      </c>
      <c r="G22347">
        <v>274204</v>
      </c>
      <c r="H22347">
        <v>14575428</v>
      </c>
      <c r="I22347">
        <v>730636</v>
      </c>
      <c r="J22347">
        <v>3</v>
      </c>
    </row>
    <row r="22348" spans="1:10" x14ac:dyDescent="0.25">
      <c r="A22348" t="s">
        <v>244</v>
      </c>
      <c r="B22348" s="1" t="str">
        <f>HYPERLINK("http://stregishotel.com","stregishotel.com")</f>
        <v>stregishotel.com</v>
      </c>
      <c r="C22348" t="s">
        <v>433</v>
      </c>
      <c r="F22348">
        <v>1.48833893831444E-8</v>
      </c>
      <c r="G22348">
        <v>3878197</v>
      </c>
      <c r="H22348">
        <v>14127919</v>
      </c>
      <c r="I22348">
        <v>2077328</v>
      </c>
      <c r="J22348">
        <v>4</v>
      </c>
    </row>
    <row r="22349" spans="1:10" x14ac:dyDescent="0.25">
      <c r="A22349" t="s">
        <v>244</v>
      </c>
      <c r="B22349" s="1" t="str">
        <f>HYPERLINK("http://stregismoscow.com","stregismoscow.com")</f>
        <v>stregismoscow.com</v>
      </c>
      <c r="C22349" t="s">
        <v>433</v>
      </c>
      <c r="F22349">
        <v>2.50433141227803E-8</v>
      </c>
      <c r="G22349">
        <v>2063016</v>
      </c>
      <c r="H22349">
        <v>13498095</v>
      </c>
      <c r="I22349">
        <v>9975925</v>
      </c>
      <c r="J22349">
        <v>4</v>
      </c>
    </row>
    <row r="22350" spans="1:10" x14ac:dyDescent="0.25">
      <c r="A22350" t="s">
        <v>244</v>
      </c>
      <c r="B22350" s="1" t="str">
        <f>HYPERLINK("http://stregisnewyork.com","stregisnewyork.com")</f>
        <v>stregisnewyork.com</v>
      </c>
      <c r="C22350" t="s">
        <v>433</v>
      </c>
      <c r="F22350">
        <v>4.4215590103168698E-8</v>
      </c>
      <c r="G22350">
        <v>1074357</v>
      </c>
      <c r="H22350">
        <v>14788899</v>
      </c>
      <c r="I22350">
        <v>551545</v>
      </c>
      <c r="J22350">
        <v>4</v>
      </c>
    </row>
    <row r="22351" spans="1:10" x14ac:dyDescent="0.25">
      <c r="A22351" t="s">
        <v>244</v>
      </c>
      <c r="B22351" s="1" t="str">
        <f>HYPERLINK("http://stregisrome.com","stregisrome.com")</f>
        <v>stregisrome.com</v>
      </c>
      <c r="C22351" t="s">
        <v>433</v>
      </c>
      <c r="F22351">
        <v>1.3043458519458801E-8</v>
      </c>
      <c r="G22351">
        <v>4610503</v>
      </c>
      <c r="H22351">
        <v>13846132</v>
      </c>
      <c r="I22351">
        <v>6060813</v>
      </c>
      <c r="J22351">
        <v>5</v>
      </c>
    </row>
    <row r="22352" spans="1:10" x14ac:dyDescent="0.25">
      <c r="A22352" t="s">
        <v>244</v>
      </c>
      <c r="B22352" s="1" t="str">
        <f>HYPERLINK("http://stregiswashingtondc.com","stregiswashingtondc.com")</f>
        <v>stregiswashingtondc.com</v>
      </c>
      <c r="C22352" t="s">
        <v>433</v>
      </c>
      <c r="F22352">
        <v>1.8167154239293401E-8</v>
      </c>
      <c r="G22352">
        <v>2996250</v>
      </c>
      <c r="H22352">
        <v>13799125</v>
      </c>
      <c r="I22352">
        <v>6287389</v>
      </c>
      <c r="J22352">
        <v>4</v>
      </c>
    </row>
    <row r="22353" spans="1:10" x14ac:dyDescent="0.25">
      <c r="A22353" t="s">
        <v>244</v>
      </c>
      <c r="B22353" s="1" t="str">
        <f>HYPERLINK("http://suihotels.com","suihotels.com")</f>
        <v>suihotels.com</v>
      </c>
      <c r="C22353" t="s">
        <v>433</v>
      </c>
      <c r="F22353">
        <v>2.77459311983119E-8</v>
      </c>
      <c r="G22353">
        <v>1853352</v>
      </c>
      <c r="H22353">
        <v>13517330</v>
      </c>
      <c r="I22353">
        <v>9941782</v>
      </c>
      <c r="J22353">
        <v>3</v>
      </c>
    </row>
    <row r="22354" spans="1:10" x14ac:dyDescent="0.25">
      <c r="A22354" t="s">
        <v>244</v>
      </c>
      <c r="B22354" s="1" t="str">
        <f>HYPERLINK("http://telegraafhotel.com","telegraafhotel.com")</f>
        <v>telegraafhotel.com</v>
      </c>
      <c r="C22354" t="s">
        <v>433</v>
      </c>
      <c r="F22354">
        <v>3.4490929773213802E-8</v>
      </c>
      <c r="G22354">
        <v>1504015</v>
      </c>
      <c r="H22354">
        <v>14517629</v>
      </c>
      <c r="I22354">
        <v>809466</v>
      </c>
      <c r="J22354">
        <v>5</v>
      </c>
    </row>
    <row r="22355" spans="1:10" x14ac:dyDescent="0.25">
      <c r="A22355" t="s">
        <v>244</v>
      </c>
      <c r="B22355" s="1" t="str">
        <f>HYPERLINK("http://terratempe.com","terratempe.com")</f>
        <v>terratempe.com</v>
      </c>
      <c r="C22355" t="s">
        <v>433</v>
      </c>
      <c r="F22355">
        <v>1.1831734470306E-8</v>
      </c>
      <c r="G22355">
        <v>5281889</v>
      </c>
      <c r="H22355">
        <v>13313397</v>
      </c>
      <c r="I22355">
        <v>10767196</v>
      </c>
      <c r="J22355">
        <v>3</v>
      </c>
    </row>
    <row r="22356" spans="1:10" x14ac:dyDescent="0.25">
      <c r="A22356" t="s">
        <v>244</v>
      </c>
      <c r="B22356" s="1" t="str">
        <f>HYPERLINK("http://the-westin-sendai.com","the-westin-sendai.com")</f>
        <v>the-westin-sendai.com</v>
      </c>
      <c r="C22356" t="s">
        <v>433</v>
      </c>
      <c r="F22356">
        <v>2.6330072350736099E-8</v>
      </c>
      <c r="G22356">
        <v>1955694</v>
      </c>
      <c r="H22356">
        <v>13001487</v>
      </c>
      <c r="I22356">
        <v>12788931</v>
      </c>
      <c r="J22356">
        <v>4</v>
      </c>
    </row>
    <row r="22357" spans="1:10" x14ac:dyDescent="0.25">
      <c r="A22357" t="s">
        <v>244</v>
      </c>
      <c r="B22357" s="1" t="str">
        <f>HYPERLINK("http://thealoftraleigh.com","thealoftraleigh.com")</f>
        <v>thealoftraleigh.com</v>
      </c>
      <c r="C22357" t="s">
        <v>433</v>
      </c>
      <c r="F22357">
        <v>6.0861477841544403E-9</v>
      </c>
      <c r="G22357">
        <v>16171221</v>
      </c>
      <c r="H22357">
        <v>13935068</v>
      </c>
      <c r="I22357">
        <v>4554479</v>
      </c>
      <c r="J22357">
        <v>4</v>
      </c>
    </row>
    <row r="22358" spans="1:10" x14ac:dyDescent="0.25">
      <c r="A22358" t="s">
        <v>244</v>
      </c>
      <c r="B22358" s="1" t="str">
        <f>HYPERLINK("http://theblackstonehotel.com","theblackstonehotel.com")</f>
        <v>theblackstonehotel.com</v>
      </c>
      <c r="C22358" t="s">
        <v>433</v>
      </c>
      <c r="F22358">
        <v>8.6161563706553199E-8</v>
      </c>
      <c r="G22358">
        <v>477443</v>
      </c>
      <c r="H22358">
        <v>13999892</v>
      </c>
      <c r="I22358">
        <v>4013623</v>
      </c>
      <c r="J22358">
        <v>3</v>
      </c>
    </row>
    <row r="22359" spans="1:10" x14ac:dyDescent="0.25">
      <c r="A22359" t="s">
        <v>244</v>
      </c>
      <c r="B22359" s="1" t="str">
        <f>HYPERLINK("http://theburgesshotel.com","theburgesshotel.com")</f>
        <v>theburgesshotel.com</v>
      </c>
      <c r="C22359" t="s">
        <v>433</v>
      </c>
      <c r="F22359">
        <v>1.03064909809112E-8</v>
      </c>
      <c r="G22359">
        <v>6444901</v>
      </c>
      <c r="H22359">
        <v>13275679</v>
      </c>
      <c r="I22359">
        <v>10931424</v>
      </c>
      <c r="J22359">
        <v>3</v>
      </c>
    </row>
    <row r="22360" spans="1:10" x14ac:dyDescent="0.25">
      <c r="A22360" t="s">
        <v>244</v>
      </c>
      <c r="B22360" s="1" t="str">
        <f>HYPERLINK("http://thegrittipalace.com","thegrittipalace.com")</f>
        <v>thegrittipalace.com</v>
      </c>
      <c r="C22360" t="s">
        <v>433</v>
      </c>
      <c r="F22360">
        <v>2.9758988622601299E-8</v>
      </c>
      <c r="G22360">
        <v>1729385</v>
      </c>
      <c r="H22360">
        <v>14553299</v>
      </c>
      <c r="I22360">
        <v>755542</v>
      </c>
      <c r="J22360">
        <v>5</v>
      </c>
    </row>
    <row r="22361" spans="1:10" x14ac:dyDescent="0.25">
      <c r="A22361" t="s">
        <v>244</v>
      </c>
      <c r="B22361" s="1" t="str">
        <f>HYPERLINK("http://theguildhotel.com","theguildhotel.com")</f>
        <v>theguildhotel.com</v>
      </c>
      <c r="C22361" t="s">
        <v>433</v>
      </c>
      <c r="F22361">
        <v>1.6959467140051799E-8</v>
      </c>
      <c r="G22361">
        <v>3293105</v>
      </c>
      <c r="H22361">
        <v>13519869</v>
      </c>
      <c r="I22361">
        <v>9938670</v>
      </c>
      <c r="J22361">
        <v>4</v>
      </c>
    </row>
    <row r="22362" spans="1:10" x14ac:dyDescent="0.25">
      <c r="A22362" t="s">
        <v>244</v>
      </c>
      <c r="B22362" s="1" t="str">
        <f>HYPERLINK("http://thehotelwashington.com","thehotelwashington.com")</f>
        <v>thehotelwashington.com</v>
      </c>
      <c r="C22362" t="s">
        <v>433</v>
      </c>
      <c r="F22362">
        <v>6.4737470699283406E-8</v>
      </c>
      <c r="G22362">
        <v>666785</v>
      </c>
      <c r="H22362">
        <v>13061012</v>
      </c>
      <c r="I22362">
        <v>12330501</v>
      </c>
      <c r="J22362">
        <v>4</v>
      </c>
    </row>
    <row r="22363" spans="1:10" x14ac:dyDescent="0.25">
      <c r="A22363" t="s">
        <v>244</v>
      </c>
      <c r="B22363" s="1" t="str">
        <f>HYPERLINK("http://theinsigniahotel.com","theinsigniahotel.com")</f>
        <v>theinsigniahotel.com</v>
      </c>
      <c r="C22363" t="s">
        <v>433</v>
      </c>
      <c r="F22363">
        <v>6.3270857772997704E-9</v>
      </c>
      <c r="G22363">
        <v>14904220</v>
      </c>
      <c r="H22363">
        <v>11284000</v>
      </c>
      <c r="I22363">
        <v>30689034</v>
      </c>
      <c r="J22363">
        <v>3</v>
      </c>
    </row>
    <row r="22364" spans="1:10" x14ac:dyDescent="0.25">
      <c r="A22364" t="s">
        <v>244</v>
      </c>
      <c r="B22364" s="1" t="str">
        <f>HYPERLINK("http://thelagunabali.com","thelagunabali.com")</f>
        <v>thelagunabali.com</v>
      </c>
      <c r="C22364" t="s">
        <v>433</v>
      </c>
      <c r="F22364">
        <v>1.06707348351665E-8</v>
      </c>
      <c r="G22364">
        <v>6124419</v>
      </c>
      <c r="H22364">
        <v>13772897</v>
      </c>
      <c r="I22364">
        <v>6645857</v>
      </c>
      <c r="J22364">
        <v>5</v>
      </c>
    </row>
    <row r="22365" spans="1:10" x14ac:dyDescent="0.25">
      <c r="A22365" t="s">
        <v>244</v>
      </c>
      <c r="B22365" s="1" t="str">
        <f>HYPERLINK("http://thelodgeatsonoma.com","thelodgeatsonoma.com")</f>
        <v>thelodgeatsonoma.com</v>
      </c>
      <c r="C22365" t="s">
        <v>433</v>
      </c>
      <c r="F22365">
        <v>1.9617622349010899E-8</v>
      </c>
      <c r="G22365">
        <v>2725277</v>
      </c>
      <c r="H22365">
        <v>14213704</v>
      </c>
      <c r="I22365">
        <v>1697078</v>
      </c>
      <c r="J22365">
        <v>3</v>
      </c>
    </row>
    <row r="22366" spans="1:10" x14ac:dyDescent="0.25">
      <c r="A22366" t="s">
        <v>244</v>
      </c>
      <c r="B22366" s="1" t="str">
        <f>HYPERLINK("http://theoaklanderhotel.com","theoaklanderhotel.com")</f>
        <v>theoaklanderhotel.com</v>
      </c>
      <c r="C22366" t="s">
        <v>433</v>
      </c>
      <c r="F22366">
        <v>1.1598721809599999E-8</v>
      </c>
      <c r="G22366">
        <v>5433835</v>
      </c>
      <c r="H22366">
        <v>13783169</v>
      </c>
      <c r="I22366">
        <v>6429124</v>
      </c>
      <c r="J22366">
        <v>5</v>
      </c>
    </row>
    <row r="22367" spans="1:10" x14ac:dyDescent="0.25">
      <c r="A22367" t="s">
        <v>244</v>
      </c>
      <c r="B22367" s="1" t="str">
        <f>HYPERLINK("http://theritztower.com","theritztower.com")</f>
        <v>theritztower.com</v>
      </c>
      <c r="C22367" t="s">
        <v>433</v>
      </c>
      <c r="F22367">
        <v>4.8018095234791803E-9</v>
      </c>
      <c r="G22367">
        <v>36017993</v>
      </c>
      <c r="H22367">
        <v>11500619</v>
      </c>
      <c r="I22367">
        <v>30030202</v>
      </c>
      <c r="J22367">
        <v>4</v>
      </c>
    </row>
    <row r="22368" spans="1:10" x14ac:dyDescent="0.25">
      <c r="A22368" t="s">
        <v>244</v>
      </c>
      <c r="B22368" s="1" t="str">
        <f>HYPERLINK("http://thewestinedmonton.com","thewestinedmonton.com")</f>
        <v>thewestinedmonton.com</v>
      </c>
      <c r="C22368" t="s">
        <v>433</v>
      </c>
      <c r="F22368">
        <v>1.25489964495927E-8</v>
      </c>
      <c r="G22368">
        <v>4859832</v>
      </c>
      <c r="H22368">
        <v>13771807</v>
      </c>
      <c r="I22368">
        <v>6681306</v>
      </c>
      <c r="J22368">
        <v>4</v>
      </c>
    </row>
    <row r="22369" spans="1:10" x14ac:dyDescent="0.25">
      <c r="A22369" t="s">
        <v>244</v>
      </c>
      <c r="B22369" s="1" t="str">
        <f>HYPERLINK("http://thewestinkualalumpur.com","thewestinkualalumpur.com")</f>
        <v>thewestinkualalumpur.com</v>
      </c>
      <c r="C22369" t="s">
        <v>433</v>
      </c>
      <c r="F22369">
        <v>2.1475126805047899E-8</v>
      </c>
      <c r="G22369">
        <v>2452134</v>
      </c>
      <c r="H22369">
        <v>13827117</v>
      </c>
      <c r="I22369">
        <v>6119496</v>
      </c>
      <c r="J22369">
        <v>4</v>
      </c>
    </row>
    <row r="22370" spans="1:10" x14ac:dyDescent="0.25">
      <c r="A22370" t="s">
        <v>244</v>
      </c>
      <c r="B22370" s="1" t="str">
        <f>HYPERLINK("http://thewestinottawa.com","thewestinottawa.com")</f>
        <v>thewestinottawa.com</v>
      </c>
      <c r="C22370" t="s">
        <v>433</v>
      </c>
      <c r="F22370">
        <v>2.0468232131988899E-8</v>
      </c>
      <c r="G22370">
        <v>2589115</v>
      </c>
      <c r="H22370">
        <v>13182354</v>
      </c>
      <c r="I22370">
        <v>11677815</v>
      </c>
      <c r="J22370">
        <v>4</v>
      </c>
    </row>
    <row r="22371" spans="1:10" x14ac:dyDescent="0.25">
      <c r="A22371" t="s">
        <v>244</v>
      </c>
      <c r="B22371" s="1" t="str">
        <f>HYPERLINK("http://thewestinsingapore.com","thewestinsingapore.com")</f>
        <v>thewestinsingapore.com</v>
      </c>
      <c r="C22371" t="s">
        <v>433</v>
      </c>
      <c r="F22371">
        <v>8.5941250952559596E-9</v>
      </c>
      <c r="G22371">
        <v>8667020</v>
      </c>
      <c r="H22371">
        <v>13771950</v>
      </c>
      <c r="I22371">
        <v>6675867</v>
      </c>
      <c r="J22371">
        <v>4</v>
      </c>
    </row>
    <row r="22372" spans="1:10" x14ac:dyDescent="0.25">
      <c r="A22372" t="s">
        <v>244</v>
      </c>
      <c r="B22372" s="1" t="str">
        <f>HYPERLINK("http://tokyo-marriott.com","tokyo-marriott.com")</f>
        <v>tokyo-marriott.com</v>
      </c>
      <c r="C22372" t="s">
        <v>433</v>
      </c>
      <c r="F22372">
        <v>3.8035750248849403E-8</v>
      </c>
      <c r="G22372">
        <v>1360659</v>
      </c>
      <c r="H22372">
        <v>13857249</v>
      </c>
      <c r="I22372">
        <v>6033535</v>
      </c>
      <c r="J22372">
        <v>3</v>
      </c>
    </row>
    <row r="22373" spans="1:10" x14ac:dyDescent="0.25">
      <c r="A22373" t="s">
        <v>244</v>
      </c>
      <c r="B22373" s="1" t="str">
        <f>HYPERLINK("http://towneplacesuites.com","towneplacesuites.com")</f>
        <v>towneplacesuites.com</v>
      </c>
      <c r="C22373" t="s">
        <v>433</v>
      </c>
      <c r="F22373">
        <v>1.20095550838763E-8</v>
      </c>
      <c r="G22373">
        <v>5169180</v>
      </c>
      <c r="H22373">
        <v>13840674</v>
      </c>
      <c r="I22373">
        <v>6072402</v>
      </c>
      <c r="J22373">
        <v>4</v>
      </c>
    </row>
    <row r="22374" spans="1:10" x14ac:dyDescent="0.25">
      <c r="A22374" t="s">
        <v>244</v>
      </c>
      <c r="B22374" s="1" t="str">
        <f>HYPERLINK("http://universityarms.com","universityarms.com")</f>
        <v>universityarms.com</v>
      </c>
      <c r="C22374" t="s">
        <v>433</v>
      </c>
      <c r="F22374">
        <v>5.1657895279907498E-8</v>
      </c>
      <c r="G22374">
        <v>885074</v>
      </c>
      <c r="H22374">
        <v>14167147</v>
      </c>
      <c r="I22374">
        <v>1816338</v>
      </c>
      <c r="J22374">
        <v>3</v>
      </c>
    </row>
    <row r="22375" spans="1:10" x14ac:dyDescent="0.25">
      <c r="A22375" t="s">
        <v>244</v>
      </c>
      <c r="B22375" s="1" t="str">
        <f>HYPERLINK("http://vertigohoteldijon.com","vertigohoteldijon.com")</f>
        <v>vertigohoteldijon.com</v>
      </c>
      <c r="C22375" t="s">
        <v>433</v>
      </c>
      <c r="F22375">
        <v>4.6782517974033399E-8</v>
      </c>
      <c r="G22375">
        <v>998480</v>
      </c>
      <c r="H22375">
        <v>13559952</v>
      </c>
      <c r="I22375">
        <v>9853309</v>
      </c>
      <c r="J22375">
        <v>6</v>
      </c>
    </row>
    <row r="22376" spans="1:10" x14ac:dyDescent="0.25">
      <c r="A22376" t="s">
        <v>244</v>
      </c>
      <c r="B22376" s="1" t="str">
        <f>HYPERLINK("http://viewlineresortsnowmass.com","viewlineresortsnowmass.com")</f>
        <v>viewlineresortsnowmass.com</v>
      </c>
      <c r="C22376" t="s">
        <v>433</v>
      </c>
      <c r="F22376">
        <v>1.91638693281621E-8</v>
      </c>
      <c r="G22376">
        <v>2804743</v>
      </c>
      <c r="H22376">
        <v>13602111</v>
      </c>
      <c r="I22376">
        <v>9647614</v>
      </c>
      <c r="J22376">
        <v>5</v>
      </c>
    </row>
    <row r="22377" spans="1:10" x14ac:dyDescent="0.25">
      <c r="A22377" t="s">
        <v>244</v>
      </c>
      <c r="B22377" s="1" t="str">
        <f>HYPERLINK("http://warnercentermarriott.com","warnercentermarriott.com")</f>
        <v>warnercentermarriott.com</v>
      </c>
      <c r="C22377" t="s">
        <v>433</v>
      </c>
      <c r="F22377">
        <v>6.92778734498983E-9</v>
      </c>
      <c r="G22377">
        <v>12532494</v>
      </c>
      <c r="H22377">
        <v>13933459</v>
      </c>
      <c r="I22377">
        <v>4737535</v>
      </c>
      <c r="J22377">
        <v>4</v>
      </c>
    </row>
    <row r="22378" spans="1:10" x14ac:dyDescent="0.25">
      <c r="A22378" t="s">
        <v>244</v>
      </c>
      <c r="B22378" s="1" t="str">
        <f>HYPERLINK("http://wbellevue.com","wbellevue.com")</f>
        <v>wbellevue.com</v>
      </c>
      <c r="C22378" t="s">
        <v>433</v>
      </c>
      <c r="F22378">
        <v>9.6820555100057601E-9</v>
      </c>
      <c r="G22378">
        <v>7102166</v>
      </c>
      <c r="H22378">
        <v>13287865</v>
      </c>
      <c r="I22378">
        <v>10886077</v>
      </c>
      <c r="J22378">
        <v>4</v>
      </c>
    </row>
    <row r="22379" spans="1:10" x14ac:dyDescent="0.25">
      <c r="A22379" t="s">
        <v>244</v>
      </c>
      <c r="B22379" s="1" t="str">
        <f>HYPERLINK("http://wchicago-lakeshore.com","wchicago-lakeshore.com")</f>
        <v>wchicago-lakeshore.com</v>
      </c>
      <c r="C22379" t="s">
        <v>433</v>
      </c>
      <c r="F22379">
        <v>1.5637439562751601E-8</v>
      </c>
      <c r="G22379">
        <v>3644824</v>
      </c>
      <c r="H22379">
        <v>14220209</v>
      </c>
      <c r="I22379">
        <v>1686495</v>
      </c>
      <c r="J22379">
        <v>4</v>
      </c>
    </row>
    <row r="22380" spans="1:10" x14ac:dyDescent="0.25">
      <c r="A22380" t="s">
        <v>244</v>
      </c>
      <c r="B22380" s="1" t="str">
        <f>HYPERLINK("http://westdrift.com","westdrift.com")</f>
        <v>westdrift.com</v>
      </c>
      <c r="C22380" t="s">
        <v>433</v>
      </c>
      <c r="F22380">
        <v>1.6064954474279202E-8</v>
      </c>
      <c r="G22380">
        <v>3529543</v>
      </c>
      <c r="H22380">
        <v>13545169</v>
      </c>
      <c r="I22380">
        <v>9901510</v>
      </c>
      <c r="J22380">
        <v>4</v>
      </c>
    </row>
    <row r="22381" spans="1:10" x14ac:dyDescent="0.25">
      <c r="A22381" t="s">
        <v>244</v>
      </c>
      <c r="B22381" s="1" t="str">
        <f>HYPERLINK("http://westin.com","westin.com")</f>
        <v>westin.com</v>
      </c>
      <c r="C22381" t="s">
        <v>433</v>
      </c>
      <c r="E22381">
        <v>117280</v>
      </c>
      <c r="F22381">
        <v>2.47967699683521E-7</v>
      </c>
      <c r="G22381">
        <v>150890</v>
      </c>
      <c r="H22381">
        <v>16996770</v>
      </c>
      <c r="I22381">
        <v>94372</v>
      </c>
      <c r="J22381">
        <v>3</v>
      </c>
    </row>
    <row r="22382" spans="1:10" x14ac:dyDescent="0.25">
      <c r="A22382" t="s">
        <v>244</v>
      </c>
      <c r="B22382" s="1" t="str">
        <f>HYPERLINK("http://westin-berlin.com","westin-berlin.com")</f>
        <v>westin-berlin.com</v>
      </c>
      <c r="C22382" t="s">
        <v>433</v>
      </c>
      <c r="F22382">
        <v>1.90264049673739E-8</v>
      </c>
      <c r="G22382">
        <v>2831532</v>
      </c>
      <c r="H22382">
        <v>13217809</v>
      </c>
      <c r="I22382">
        <v>11350735</v>
      </c>
      <c r="J22382">
        <v>4</v>
      </c>
    </row>
    <row r="22383" spans="1:10" x14ac:dyDescent="0.25">
      <c r="A22383" t="s">
        <v>244</v>
      </c>
      <c r="B22383" s="1" t="str">
        <f>HYPERLINK("http://westin-cayman.com","westin-cayman.com")</f>
        <v>westin-cayman.com</v>
      </c>
      <c r="C22383" t="s">
        <v>433</v>
      </c>
      <c r="J22383">
        <v>3</v>
      </c>
    </row>
    <row r="22384" spans="1:10" x14ac:dyDescent="0.25">
      <c r="A22384" t="s">
        <v>244</v>
      </c>
      <c r="B22384" s="1" t="str">
        <f>HYPERLINK("http://westinalexandria.com","westinalexandria.com")</f>
        <v>westinalexandria.com</v>
      </c>
      <c r="C22384" t="s">
        <v>433</v>
      </c>
      <c r="F22384">
        <v>2.0369756851272699E-8</v>
      </c>
      <c r="G22384">
        <v>2603932</v>
      </c>
      <c r="H22384">
        <v>13084943</v>
      </c>
      <c r="I22384">
        <v>12163798</v>
      </c>
      <c r="J22384">
        <v>6</v>
      </c>
    </row>
    <row r="22385" spans="1:10" x14ac:dyDescent="0.25">
      <c r="A22385" t="s">
        <v>244</v>
      </c>
      <c r="B22385" s="1" t="str">
        <f>HYPERLINK("http://westinaustinatthedomain.com","westinaustinatthedomain.com")</f>
        <v>westinaustinatthedomain.com</v>
      </c>
      <c r="C22385" t="s">
        <v>433</v>
      </c>
      <c r="F22385">
        <v>7.8526980395930602E-9</v>
      </c>
      <c r="G22385">
        <v>10207853</v>
      </c>
      <c r="H22385">
        <v>13773926</v>
      </c>
      <c r="I22385">
        <v>6618736</v>
      </c>
      <c r="J22385">
        <v>3</v>
      </c>
    </row>
    <row r="22386" spans="1:10" x14ac:dyDescent="0.25">
      <c r="A22386" t="s">
        <v>244</v>
      </c>
      <c r="B22386" s="1" t="str">
        <f>HYPERLINK("http://westinaustindowntown.com","westinaustindowntown.com")</f>
        <v>westinaustindowntown.com</v>
      </c>
      <c r="C22386" t="s">
        <v>433</v>
      </c>
      <c r="F22386">
        <v>1.3949942341843299E-8</v>
      </c>
      <c r="G22386">
        <v>4221877</v>
      </c>
      <c r="H22386">
        <v>13805763</v>
      </c>
      <c r="I22386">
        <v>6235329</v>
      </c>
      <c r="J22386">
        <v>3</v>
      </c>
    </row>
    <row r="22387" spans="1:10" x14ac:dyDescent="0.25">
      <c r="A22387" t="s">
        <v>244</v>
      </c>
      <c r="B22387" s="1" t="str">
        <f>HYPERLINK("http://westinbwi.com","westinbwi.com")</f>
        <v>westinbwi.com</v>
      </c>
      <c r="C22387" t="s">
        <v>433</v>
      </c>
      <c r="F22387">
        <v>1.0059828687995901E-8</v>
      </c>
      <c r="G22387">
        <v>6695675</v>
      </c>
      <c r="H22387">
        <v>13065288</v>
      </c>
      <c r="I22387">
        <v>12291429</v>
      </c>
      <c r="J22387">
        <v>4</v>
      </c>
    </row>
    <row r="22388" spans="1:10" x14ac:dyDescent="0.25">
      <c r="A22388" t="s">
        <v>244</v>
      </c>
      <c r="B22388" s="1" t="str">
        <f>HYPERLINK("http://westincalgary.com","westincalgary.com")</f>
        <v>westincalgary.com</v>
      </c>
      <c r="C22388" t="s">
        <v>433</v>
      </c>
      <c r="F22388">
        <v>1.18619146665761E-8</v>
      </c>
      <c r="G22388">
        <v>5263156</v>
      </c>
      <c r="H22388">
        <v>12707910</v>
      </c>
      <c r="I22388">
        <v>15314567</v>
      </c>
      <c r="J22388">
        <v>4</v>
      </c>
    </row>
    <row r="22389" spans="1:10" x14ac:dyDescent="0.25">
      <c r="A22389" t="s">
        <v>244</v>
      </c>
      <c r="B22389" s="1" t="str">
        <f>HYPERLINK("http://westincharlottehotel.com","westincharlottehotel.com")</f>
        <v>westincharlottehotel.com</v>
      </c>
      <c r="C22389" t="s">
        <v>433</v>
      </c>
      <c r="F22389">
        <v>1.74465033500619E-8</v>
      </c>
      <c r="G22389">
        <v>3160829</v>
      </c>
      <c r="H22389">
        <v>13965825</v>
      </c>
      <c r="I22389">
        <v>4089457</v>
      </c>
      <c r="J22389">
        <v>4</v>
      </c>
    </row>
    <row r="22390" spans="1:10" x14ac:dyDescent="0.25">
      <c r="A22390" t="s">
        <v>244</v>
      </c>
      <c r="B22390" s="1" t="str">
        <f>HYPERLINK("http://westincolumbus.com","westincolumbus.com")</f>
        <v>westincolumbus.com</v>
      </c>
      <c r="C22390" t="s">
        <v>433</v>
      </c>
      <c r="F22390">
        <v>1.1264978264008E-8</v>
      </c>
      <c r="G22390">
        <v>5666822</v>
      </c>
      <c r="H22390">
        <v>13447000</v>
      </c>
      <c r="I22390">
        <v>10215716</v>
      </c>
      <c r="J22390">
        <v>4</v>
      </c>
    </row>
    <row r="22391" spans="1:10" x14ac:dyDescent="0.25">
      <c r="A22391" t="s">
        <v>244</v>
      </c>
      <c r="B22391" s="1" t="str">
        <f>HYPERLINK("http://westingrandfrankfurt.com","westingrandfrankfurt.com")</f>
        <v>westingrandfrankfurt.com</v>
      </c>
      <c r="C22391" t="s">
        <v>433</v>
      </c>
      <c r="F22391">
        <v>2.5756632631195799E-8</v>
      </c>
      <c r="G22391">
        <v>2001359</v>
      </c>
      <c r="H22391">
        <v>13253201</v>
      </c>
      <c r="I22391">
        <v>11068194</v>
      </c>
      <c r="J22391">
        <v>4</v>
      </c>
    </row>
    <row r="22392" spans="1:10" x14ac:dyDescent="0.25">
      <c r="A22392" t="s">
        <v>244</v>
      </c>
      <c r="B22392" s="1" t="str">
        <f>HYPERLINK("http://westinharbourcastletoronto.com","westinharbourcastletoronto.com")</f>
        <v>westinharbourcastletoronto.com</v>
      </c>
      <c r="C22392" t="s">
        <v>433</v>
      </c>
      <c r="F22392">
        <v>3.82163458592561E-8</v>
      </c>
      <c r="G22392">
        <v>1354415</v>
      </c>
      <c r="H22392">
        <v>13860297</v>
      </c>
      <c r="I22392">
        <v>6021923</v>
      </c>
      <c r="J22392">
        <v>3</v>
      </c>
    </row>
    <row r="22393" spans="1:10" x14ac:dyDescent="0.25">
      <c r="A22393" t="s">
        <v>244</v>
      </c>
      <c r="B22393" s="1" t="str">
        <f>HYPERLINK("http://westinhuntsville.com","westinhuntsville.com")</f>
        <v>westinhuntsville.com</v>
      </c>
      <c r="C22393" t="s">
        <v>433</v>
      </c>
      <c r="F22393">
        <v>5.05829656094126E-8</v>
      </c>
      <c r="G22393">
        <v>907821</v>
      </c>
      <c r="H22393">
        <v>16757801</v>
      </c>
      <c r="I22393">
        <v>232512</v>
      </c>
      <c r="J22393">
        <v>3</v>
      </c>
    </row>
    <row r="22394" spans="1:10" x14ac:dyDescent="0.25">
      <c r="A22394" t="s">
        <v>244</v>
      </c>
      <c r="B22394" s="1" t="str">
        <f>HYPERLINK("http://westinlangkawi.com","westinlangkawi.com")</f>
        <v>westinlangkawi.com</v>
      </c>
      <c r="C22394" t="s">
        <v>433</v>
      </c>
      <c r="F22394">
        <v>8.6615458762298096E-9</v>
      </c>
      <c r="G22394">
        <v>8546953</v>
      </c>
      <c r="H22394">
        <v>13777237</v>
      </c>
      <c r="I22394">
        <v>6540667</v>
      </c>
      <c r="J22394">
        <v>4</v>
      </c>
    </row>
    <row r="22395" spans="1:10" x14ac:dyDescent="0.25">
      <c r="A22395" t="s">
        <v>244</v>
      </c>
      <c r="B22395" s="1" t="str">
        <f>HYPERLINK("http://westinleipzig.com","westinleipzig.com")</f>
        <v>westinleipzig.com</v>
      </c>
      <c r="C22395" t="s">
        <v>433</v>
      </c>
      <c r="F22395">
        <v>1.1964748162611401E-8</v>
      </c>
      <c r="G22395">
        <v>5198338</v>
      </c>
      <c r="H22395">
        <v>13949314</v>
      </c>
      <c r="I22395">
        <v>4184669</v>
      </c>
      <c r="J22395">
        <v>4</v>
      </c>
    </row>
    <row r="22396" spans="1:10" x14ac:dyDescent="0.25">
      <c r="A22396" t="s">
        <v>244</v>
      </c>
      <c r="B22396" s="1" t="str">
        <f>HYPERLINK("http://westinmalta.com","westinmalta.com")</f>
        <v>westinmalta.com</v>
      </c>
      <c r="C22396" t="s">
        <v>433</v>
      </c>
      <c r="F22396">
        <v>1.12114688287685E-8</v>
      </c>
      <c r="G22396">
        <v>5705028</v>
      </c>
      <c r="H22396">
        <v>14376534</v>
      </c>
      <c r="I22396">
        <v>1216425</v>
      </c>
      <c r="J22396">
        <v>4</v>
      </c>
    </row>
    <row r="22397" spans="1:10" x14ac:dyDescent="0.25">
      <c r="A22397" t="s">
        <v>244</v>
      </c>
      <c r="B22397" s="1" t="str">
        <f>HYPERLINK("http://westinmelbourne.com","westinmelbourne.com")</f>
        <v>westinmelbourne.com</v>
      </c>
      <c r="C22397" t="s">
        <v>433</v>
      </c>
      <c r="F22397">
        <v>9.3432023013290407E-9</v>
      </c>
      <c r="G22397">
        <v>7517183</v>
      </c>
      <c r="H22397">
        <v>13272602</v>
      </c>
      <c r="I22397">
        <v>10949054</v>
      </c>
      <c r="J22397">
        <v>4</v>
      </c>
    </row>
    <row r="22398" spans="1:10" x14ac:dyDescent="0.25">
      <c r="A22398" t="s">
        <v>244</v>
      </c>
      <c r="B22398" s="1" t="str">
        <f>HYPERLINK("http://westinnashville.com","westinnashville.com")</f>
        <v>westinnashville.com</v>
      </c>
      <c r="C22398" t="s">
        <v>433</v>
      </c>
      <c r="F22398">
        <v>1.26758394445343E-8</v>
      </c>
      <c r="G22398">
        <v>4791748</v>
      </c>
      <c r="H22398">
        <v>12926120</v>
      </c>
      <c r="I22398">
        <v>13388866</v>
      </c>
      <c r="J22398">
        <v>4</v>
      </c>
    </row>
    <row r="22399" spans="1:10" x14ac:dyDescent="0.25">
      <c r="A22399" t="s">
        <v>244</v>
      </c>
      <c r="B22399" s="1" t="str">
        <f>HYPERLINK("http://westinnewyorkgrandcentral.com","westinnewyorkgrandcentral.com")</f>
        <v>westinnewyorkgrandcentral.com</v>
      </c>
      <c r="C22399" t="s">
        <v>433</v>
      </c>
      <c r="F22399">
        <v>1.3546209601070899E-8</v>
      </c>
      <c r="G22399">
        <v>4384351</v>
      </c>
      <c r="H22399">
        <v>14132589</v>
      </c>
      <c r="I22399">
        <v>1997777</v>
      </c>
      <c r="J22399">
        <v>4</v>
      </c>
    </row>
    <row r="22400" spans="1:10" x14ac:dyDescent="0.25">
      <c r="A22400" t="s">
        <v>244</v>
      </c>
      <c r="B22400" s="1" t="str">
        <f>HYPERLINK("http://westinohare.com","westinohare.com")</f>
        <v>westinohare.com</v>
      </c>
      <c r="C22400" t="s">
        <v>433</v>
      </c>
      <c r="F22400">
        <v>1.2137228890292499E-8</v>
      </c>
      <c r="G22400">
        <v>5087086</v>
      </c>
      <c r="H22400">
        <v>13080533</v>
      </c>
      <c r="I22400">
        <v>12187061</v>
      </c>
      <c r="J22400">
        <v>3</v>
      </c>
    </row>
    <row r="22401" spans="1:10" x14ac:dyDescent="0.25">
      <c r="A22401" t="s">
        <v>244</v>
      </c>
      <c r="B22401" s="1" t="str">
        <f>HYPERLINK("http://westinosaka.com","westinosaka.com")</f>
        <v>westinosaka.com</v>
      </c>
      <c r="C22401" t="s">
        <v>433</v>
      </c>
      <c r="F22401">
        <v>1.2024999353694701E-8</v>
      </c>
      <c r="G22401">
        <v>5159733</v>
      </c>
      <c r="H22401">
        <v>13130165</v>
      </c>
      <c r="I22401">
        <v>11940394</v>
      </c>
      <c r="J22401">
        <v>6</v>
      </c>
    </row>
    <row r="22402" spans="1:10" x14ac:dyDescent="0.25">
      <c r="A22402" t="s">
        <v>244</v>
      </c>
      <c r="B22402" s="1" t="str">
        <f>HYPERLINK("http://westinpalacemadrid.com","westinpalacemadrid.com")</f>
        <v>westinpalacemadrid.com</v>
      </c>
      <c r="C22402" t="s">
        <v>433</v>
      </c>
      <c r="F22402">
        <v>4.50478765959943E-8</v>
      </c>
      <c r="G22402">
        <v>1048029</v>
      </c>
      <c r="H22402">
        <v>14517534</v>
      </c>
      <c r="I22402">
        <v>809633</v>
      </c>
      <c r="J22402">
        <v>3</v>
      </c>
    </row>
    <row r="22403" spans="1:10" x14ac:dyDescent="0.25">
      <c r="A22403" t="s">
        <v>244</v>
      </c>
      <c r="B22403" s="1" t="str">
        <f>HYPERLINK("http://westinphoenixdowntown.com","westinphoenixdowntown.com")</f>
        <v>westinphoenixdowntown.com</v>
      </c>
      <c r="C22403" t="s">
        <v>433</v>
      </c>
      <c r="F22403">
        <v>1.20217859699113E-8</v>
      </c>
      <c r="G22403">
        <v>5161717</v>
      </c>
      <c r="H22403">
        <v>13398529</v>
      </c>
      <c r="I22403">
        <v>10371329</v>
      </c>
      <c r="J22403">
        <v>4</v>
      </c>
    </row>
    <row r="22404" spans="1:10" x14ac:dyDescent="0.25">
      <c r="A22404" t="s">
        <v>244</v>
      </c>
      <c r="B22404" s="1" t="str">
        <f>HYPERLINK("http://westinpittsburgh.com","westinpittsburgh.com")</f>
        <v>westinpittsburgh.com</v>
      </c>
      <c r="C22404" t="s">
        <v>433</v>
      </c>
      <c r="F22404">
        <v>1.9209250527255402E-8</v>
      </c>
      <c r="G22404">
        <v>2797170</v>
      </c>
      <c r="H22404">
        <v>13815640</v>
      </c>
      <c r="I22404">
        <v>6166870</v>
      </c>
      <c r="J22404">
        <v>4</v>
      </c>
    </row>
    <row r="22405" spans="1:10" x14ac:dyDescent="0.25">
      <c r="A22405" t="s">
        <v>244</v>
      </c>
      <c r="B22405" s="1" t="str">
        <f>HYPERLINK("http://westinreston.com","westinreston.com")</f>
        <v>westinreston.com</v>
      </c>
      <c r="C22405" t="s">
        <v>433</v>
      </c>
      <c r="F22405">
        <v>5.8517892659987698E-9</v>
      </c>
      <c r="G22405">
        <v>17697171</v>
      </c>
      <c r="H22405">
        <v>13763982</v>
      </c>
      <c r="I22405">
        <v>7449305</v>
      </c>
      <c r="J22405">
        <v>4</v>
      </c>
    </row>
    <row r="22406" spans="1:10" x14ac:dyDescent="0.25">
      <c r="A22406" t="s">
        <v>244</v>
      </c>
      <c r="B22406" s="1" t="str">
        <f>HYPERLINK("http://westinrichmond.com","westinrichmond.com")</f>
        <v>westinrichmond.com</v>
      </c>
      <c r="C22406" t="s">
        <v>433</v>
      </c>
      <c r="F22406">
        <v>1.1274141775001801E-8</v>
      </c>
      <c r="G22406">
        <v>5660502</v>
      </c>
      <c r="H22406">
        <v>13292052</v>
      </c>
      <c r="I22406">
        <v>10870588</v>
      </c>
      <c r="J22406">
        <v>4</v>
      </c>
    </row>
    <row r="22407" spans="1:10" x14ac:dyDescent="0.25">
      <c r="A22407" t="s">
        <v>244</v>
      </c>
      <c r="B22407" s="1" t="str">
        <f>HYPERLINK("http://westinriverwalksanantonio.com","westinriverwalksanantonio.com")</f>
        <v>westinriverwalksanantonio.com</v>
      </c>
      <c r="C22407" t="s">
        <v>433</v>
      </c>
      <c r="F22407">
        <v>1.4807369538201701E-8</v>
      </c>
      <c r="G22407">
        <v>3904706</v>
      </c>
      <c r="H22407">
        <v>13396423</v>
      </c>
      <c r="I22407">
        <v>10376607</v>
      </c>
      <c r="J22407">
        <v>4</v>
      </c>
    </row>
    <row r="22408" spans="1:10" x14ac:dyDescent="0.25">
      <c r="A22408" t="s">
        <v>244</v>
      </c>
      <c r="B22408" s="1" t="str">
        <f>HYPERLINK("http://westinsanjose.com","westinsanjose.com")</f>
        <v>westinsanjose.com</v>
      </c>
      <c r="C22408" t="s">
        <v>433</v>
      </c>
      <c r="F22408">
        <v>3.3706238956926698E-8</v>
      </c>
      <c r="G22408">
        <v>1534713</v>
      </c>
      <c r="H22408">
        <v>13235227</v>
      </c>
      <c r="I22408">
        <v>11247337</v>
      </c>
      <c r="J22408">
        <v>3</v>
      </c>
    </row>
    <row r="22409" spans="1:10" x14ac:dyDescent="0.25">
      <c r="A22409" t="s">
        <v>244</v>
      </c>
      <c r="B22409" s="1" t="str">
        <f>HYPERLINK("http://westinsavannah.com","westinsavannah.com")</f>
        <v>westinsavannah.com</v>
      </c>
      <c r="C22409" t="s">
        <v>433</v>
      </c>
      <c r="F22409">
        <v>5.3237761245470502E-8</v>
      </c>
      <c r="G22409">
        <v>855122</v>
      </c>
      <c r="H22409">
        <v>14502903</v>
      </c>
      <c r="I22409">
        <v>844540</v>
      </c>
      <c r="J22409">
        <v>4</v>
      </c>
    </row>
    <row r="22410" spans="1:10" x14ac:dyDescent="0.25">
      <c r="A22410" t="s">
        <v>244</v>
      </c>
      <c r="B22410" s="1" t="str">
        <f>HYPERLINK("http://westinseattle.com","westinseattle.com")</f>
        <v>westinseattle.com</v>
      </c>
      <c r="C22410" t="s">
        <v>433</v>
      </c>
      <c r="F22410">
        <v>4.2810744648479203E-8</v>
      </c>
      <c r="G22410">
        <v>1126390</v>
      </c>
      <c r="H22410">
        <v>14815613</v>
      </c>
      <c r="I22410">
        <v>524265</v>
      </c>
      <c r="J22410">
        <v>4</v>
      </c>
    </row>
    <row r="22411" spans="1:10" x14ac:dyDescent="0.25">
      <c r="A22411" t="s">
        <v>244</v>
      </c>
      <c r="B22411" s="1" t="str">
        <f>HYPERLINK("http://westinsydney.com","westinsydney.com")</f>
        <v>westinsydney.com</v>
      </c>
      <c r="C22411" t="s">
        <v>433</v>
      </c>
      <c r="F22411">
        <v>1.8566974583831301E-8</v>
      </c>
      <c r="G22411">
        <v>2913222</v>
      </c>
      <c r="H22411">
        <v>13270384</v>
      </c>
      <c r="I22411">
        <v>10958166</v>
      </c>
      <c r="J22411">
        <v>4</v>
      </c>
    </row>
    <row r="22412" spans="1:10" x14ac:dyDescent="0.25">
      <c r="A22412" t="s">
        <v>244</v>
      </c>
      <c r="B22412" s="1" t="str">
        <f>HYPERLINK("http://westintokyoshop.com","westintokyoshop.com")</f>
        <v>westintokyoshop.com</v>
      </c>
      <c r="C22412" t="s">
        <v>433</v>
      </c>
      <c r="F22412">
        <v>2.2244548528409401E-8</v>
      </c>
      <c r="G22412">
        <v>2357400</v>
      </c>
      <c r="H22412">
        <v>13157547</v>
      </c>
      <c r="I22412">
        <v>11796269</v>
      </c>
      <c r="J22412">
        <v>5</v>
      </c>
    </row>
    <row r="22413" spans="1:10" x14ac:dyDescent="0.25">
      <c r="A22413" t="s">
        <v>244</v>
      </c>
      <c r="B22413" s="1" t="str">
        <f>HYPERLINK("http://westintorontoairport.com","westintorontoairport.com")</f>
        <v>westintorontoairport.com</v>
      </c>
      <c r="C22413" t="s">
        <v>433</v>
      </c>
      <c r="F22413">
        <v>6.1723077971941201E-9</v>
      </c>
      <c r="G22413">
        <v>15680680</v>
      </c>
      <c r="H22413">
        <v>12188534</v>
      </c>
      <c r="I22413">
        <v>23616380</v>
      </c>
      <c r="J22413">
        <v>4</v>
      </c>
    </row>
    <row r="22414" spans="1:10" x14ac:dyDescent="0.25">
      <c r="A22414" t="s">
        <v>244</v>
      </c>
      <c r="B22414" s="1" t="str">
        <f>HYPERLINK("http://westinvegas.com","westinvegas.com")</f>
        <v>westinvegas.com</v>
      </c>
      <c r="C22414" t="s">
        <v>433</v>
      </c>
      <c r="F22414">
        <v>9.6710385310809394E-9</v>
      </c>
      <c r="G22414">
        <v>7114804</v>
      </c>
      <c r="H22414">
        <v>12846837</v>
      </c>
      <c r="I22414">
        <v>14311258</v>
      </c>
      <c r="J22414">
        <v>4</v>
      </c>
    </row>
    <row r="22415" spans="1:10" x14ac:dyDescent="0.25">
      <c r="A22415" t="s">
        <v>244</v>
      </c>
      <c r="B22415" s="1" t="str">
        <f>HYPERLINK("http://wfrenchquarter.com","wfrenchquarter.com")</f>
        <v>wfrenchquarter.com</v>
      </c>
      <c r="C22415" t="s">
        <v>433</v>
      </c>
      <c r="F22415">
        <v>8.6673467977833004E-9</v>
      </c>
      <c r="G22415">
        <v>8537073</v>
      </c>
      <c r="H22415">
        <v>13966225</v>
      </c>
      <c r="I22415">
        <v>4088292</v>
      </c>
      <c r="J22415">
        <v>4</v>
      </c>
    </row>
    <row r="22416" spans="1:10" x14ac:dyDescent="0.25">
      <c r="A22416" t="s">
        <v>244</v>
      </c>
      <c r="B22416" s="1" t="str">
        <f>HYPERLINK("http://whotels.com","whotels.com")</f>
        <v>whotels.com</v>
      </c>
      <c r="C22416" t="s">
        <v>433</v>
      </c>
      <c r="E22416">
        <v>324680</v>
      </c>
      <c r="F22416">
        <v>1.1483601496661101E-7</v>
      </c>
      <c r="G22416">
        <v>346685</v>
      </c>
      <c r="H22416">
        <v>14764703</v>
      </c>
      <c r="I22416">
        <v>559341</v>
      </c>
      <c r="J22416">
        <v>3</v>
      </c>
    </row>
    <row r="22417" spans="1:10" x14ac:dyDescent="0.25">
      <c r="A22417" t="s">
        <v>244</v>
      </c>
      <c r="B22417" s="1" t="str">
        <f>HYPERLINK("http://williamsburgsuiteshotel.com","williamsburgsuiteshotel.com")</f>
        <v>williamsburgsuiteshotel.com</v>
      </c>
      <c r="C22417" t="s">
        <v>433</v>
      </c>
      <c r="F22417">
        <v>5.7642878839404103E-9</v>
      </c>
      <c r="G22417">
        <v>18372685</v>
      </c>
      <c r="H22417">
        <v>12380907</v>
      </c>
      <c r="I22417">
        <v>19192696</v>
      </c>
      <c r="J22417">
        <v>4</v>
      </c>
    </row>
    <row r="22418" spans="1:10" x14ac:dyDescent="0.25">
      <c r="A22418" t="s">
        <v>244</v>
      </c>
      <c r="B22418" s="1" t="str">
        <f>HYPERLINK("http://wminneapolishotel.com","wminneapolishotel.com")</f>
        <v>wminneapolishotel.com</v>
      </c>
      <c r="C22418" t="s">
        <v>433</v>
      </c>
      <c r="F22418">
        <v>1.3931056837136301E-8</v>
      </c>
      <c r="G22418">
        <v>4229068</v>
      </c>
      <c r="H22418">
        <v>13938035</v>
      </c>
      <c r="I22418">
        <v>4447422</v>
      </c>
      <c r="J22418">
        <v>4</v>
      </c>
    </row>
    <row r="22419" spans="1:10" x14ac:dyDescent="0.25">
      <c r="A22419" t="s">
        <v>244</v>
      </c>
      <c r="B22419" s="1" t="str">
        <f>HYPERLINK("http://wmontrealhotel.com","wmontrealhotel.com")</f>
        <v>wmontrealhotel.com</v>
      </c>
      <c r="C22419" t="s">
        <v>433</v>
      </c>
      <c r="F22419">
        <v>1.4780353648800199E-8</v>
      </c>
      <c r="G22419">
        <v>3913902</v>
      </c>
      <c r="H22419">
        <v>13247783</v>
      </c>
      <c r="I22419">
        <v>11101442</v>
      </c>
      <c r="J22419">
        <v>4</v>
      </c>
    </row>
    <row r="22420" spans="1:10" x14ac:dyDescent="0.25">
      <c r="A22420" t="s">
        <v>244</v>
      </c>
      <c r="B22420" s="1" t="str">
        <f>HYPERLINK("http://wnewyork.com","wnewyork.com")</f>
        <v>wnewyork.com</v>
      </c>
      <c r="C22420" t="s">
        <v>433</v>
      </c>
      <c r="F22420">
        <v>1.6165030406405001E-8</v>
      </c>
      <c r="G22420">
        <v>3504198</v>
      </c>
      <c r="H22420">
        <v>13966765</v>
      </c>
      <c r="I22420">
        <v>4086382</v>
      </c>
      <c r="J22420">
        <v>4</v>
      </c>
    </row>
    <row r="22421" spans="1:10" x14ac:dyDescent="0.25">
      <c r="A22421" t="s">
        <v>244</v>
      </c>
      <c r="B22421" s="1" t="str">
        <f>HYPERLINK("http://courtyardpragueflora.cz","courtyardpragueflora.cz")</f>
        <v>courtyardpragueflora.cz</v>
      </c>
      <c r="C22421" t="s">
        <v>435</v>
      </c>
      <c r="D22421" t="s">
        <v>814</v>
      </c>
      <c r="F22421">
        <v>4.9935238277159598E-9</v>
      </c>
      <c r="G22421">
        <v>29578530</v>
      </c>
      <c r="H22421">
        <v>9397180</v>
      </c>
      <c r="I22421">
        <v>67311833</v>
      </c>
      <c r="J22421">
        <v>4</v>
      </c>
    </row>
    <row r="22422" spans="1:10" x14ac:dyDescent="0.25">
      <c r="A22422" t="s">
        <v>244</v>
      </c>
      <c r="B22422" s="1" t="str">
        <f>HYPERLINK("http://marriottprague.cz","marriottprague.cz")</f>
        <v>marriottprague.cz</v>
      </c>
      <c r="C22422" t="s">
        <v>435</v>
      </c>
      <c r="D22422" t="s">
        <v>814</v>
      </c>
      <c r="F22422">
        <v>1.15689349031195E-8</v>
      </c>
      <c r="G22422">
        <v>5454727</v>
      </c>
      <c r="H22422">
        <v>12381137</v>
      </c>
      <c r="I22422">
        <v>19186337</v>
      </c>
      <c r="J22422">
        <v>5</v>
      </c>
    </row>
    <row r="22423" spans="1:10" x14ac:dyDescent="0.25">
      <c r="A22423" t="s">
        <v>244</v>
      </c>
      <c r="B22423" s="1" t="str">
        <f>HYPERLINK("http://baum-hotels.de","baum-hotels.de")</f>
        <v>baum-hotels.de</v>
      </c>
      <c r="C22423" t="s">
        <v>436</v>
      </c>
      <c r="D22423" t="s">
        <v>815</v>
      </c>
      <c r="F22423">
        <v>4.9476414255508801E-9</v>
      </c>
      <c r="G22423">
        <v>30853309</v>
      </c>
      <c r="H22423">
        <v>9347045</v>
      </c>
      <c r="I22423">
        <v>68028388</v>
      </c>
      <c r="J22423">
        <v>4</v>
      </c>
    </row>
    <row r="22424" spans="1:10" x14ac:dyDescent="0.25">
      <c r="A22424" t="s">
        <v>244</v>
      </c>
      <c r="B22424" s="1" t="str">
        <f>HYPERLINK("http://carlton-nuernberg.de","carlton-nuernberg.de")</f>
        <v>carlton-nuernberg.de</v>
      </c>
      <c r="C22424" t="s">
        <v>436</v>
      </c>
      <c r="D22424" t="s">
        <v>815</v>
      </c>
      <c r="F22424">
        <v>1.5458005649967999E-8</v>
      </c>
      <c r="G22424">
        <v>3696665</v>
      </c>
      <c r="H22424">
        <v>13764550</v>
      </c>
      <c r="I22424">
        <v>7239196</v>
      </c>
      <c r="J22424">
        <v>4</v>
      </c>
    </row>
    <row r="22425" spans="1:10" x14ac:dyDescent="0.25">
      <c r="A22425" t="s">
        <v>244</v>
      </c>
      <c r="B22425" s="1" t="str">
        <f>HYPERLINK("http://cosmo-hotel.de","cosmo-hotel.de")</f>
        <v>cosmo-hotel.de</v>
      </c>
      <c r="C22425" t="s">
        <v>436</v>
      </c>
      <c r="D22425" t="s">
        <v>815</v>
      </c>
      <c r="F22425">
        <v>1.89448778223055E-8</v>
      </c>
      <c r="G22425">
        <v>2845358</v>
      </c>
      <c r="H22425">
        <v>13835840</v>
      </c>
      <c r="I22425">
        <v>6088347</v>
      </c>
      <c r="J22425">
        <v>5</v>
      </c>
    </row>
    <row r="22426" spans="1:10" x14ac:dyDescent="0.25">
      <c r="A22426" t="s">
        <v>244</v>
      </c>
      <c r="B22426" s="1" t="str">
        <f>HYPERLINK("http://courtyard-by-marriott-gelsenkirchen.de","courtyard-by-marriott-gelsenkirchen.de")</f>
        <v>courtyard-by-marriott-gelsenkirchen.de</v>
      </c>
      <c r="C22426" t="s">
        <v>436</v>
      </c>
      <c r="D22426" t="s">
        <v>815</v>
      </c>
      <c r="F22426">
        <v>4.44380395335525E-9</v>
      </c>
      <c r="G22426">
        <v>84291956</v>
      </c>
      <c r="H22426">
        <v>0</v>
      </c>
      <c r="I22426">
        <v>85316252</v>
      </c>
      <c r="J22426">
        <v>4</v>
      </c>
    </row>
    <row r="22427" spans="1:10" x14ac:dyDescent="0.25">
      <c r="A22427" t="s">
        <v>244</v>
      </c>
      <c r="B22427" s="1" t="str">
        <f>HYPERLINK("http://courtyardwolfsburg.de","courtyardwolfsburg.de")</f>
        <v>courtyardwolfsburg.de</v>
      </c>
      <c r="C22427" t="s">
        <v>436</v>
      </c>
      <c r="D22427" t="s">
        <v>815</v>
      </c>
      <c r="F22427">
        <v>6.30423279574352E-9</v>
      </c>
      <c r="G22427">
        <v>15011261</v>
      </c>
      <c r="H22427">
        <v>10598678</v>
      </c>
      <c r="I22427">
        <v>44973295</v>
      </c>
      <c r="J22427">
        <v>4</v>
      </c>
    </row>
    <row r="22428" spans="1:10" x14ac:dyDescent="0.25">
      <c r="A22428" t="s">
        <v>244</v>
      </c>
      <c r="B22428" s="1" t="str">
        <f>HYPERLINK("http://emotionspa.de","emotionspa.de")</f>
        <v>emotionspa.de</v>
      </c>
      <c r="C22428" t="s">
        <v>436</v>
      </c>
      <c r="D22428" t="s">
        <v>815</v>
      </c>
      <c r="F22428">
        <v>7.1801312769577401E-9</v>
      </c>
      <c r="G22428">
        <v>11796115</v>
      </c>
      <c r="H22428">
        <v>13167086</v>
      </c>
      <c r="I22428">
        <v>11736046</v>
      </c>
      <c r="J22428">
        <v>3</v>
      </c>
    </row>
    <row r="22429" spans="1:10" x14ac:dyDescent="0.25">
      <c r="A22429" t="s">
        <v>244</v>
      </c>
      <c r="B22429" s="1" t="str">
        <f>HYPERLINK("http://esplanade.de","esplanade.de")</f>
        <v>esplanade.de</v>
      </c>
      <c r="C22429" t="s">
        <v>436</v>
      </c>
      <c r="D22429" t="s">
        <v>815</v>
      </c>
      <c r="F22429">
        <v>1.94390907042721E-8</v>
      </c>
      <c r="G22429">
        <v>2756778</v>
      </c>
      <c r="H22429">
        <v>14073612</v>
      </c>
      <c r="I22429">
        <v>2982546</v>
      </c>
      <c r="J22429">
        <v>4</v>
      </c>
    </row>
    <row r="22430" spans="1:10" x14ac:dyDescent="0.25">
      <c r="A22430" t="s">
        <v>244</v>
      </c>
      <c r="B22430" s="1" t="str">
        <f>HYPERLINK("http://koelnmarriott.de","koelnmarriott.de")</f>
        <v>koelnmarriott.de</v>
      </c>
      <c r="C22430" t="s">
        <v>436</v>
      </c>
      <c r="D22430" t="s">
        <v>815</v>
      </c>
      <c r="F22430">
        <v>5.9470100884736197E-9</v>
      </c>
      <c r="G22430">
        <v>17041643</v>
      </c>
      <c r="H22430">
        <v>12348076</v>
      </c>
      <c r="I22430">
        <v>19795880</v>
      </c>
      <c r="J22430">
        <v>3</v>
      </c>
    </row>
    <row r="22431" spans="1:10" x14ac:dyDescent="0.25">
      <c r="A22431" t="s">
        <v>244</v>
      </c>
      <c r="B22431" s="1" t="str">
        <f>HYPERLINK("http://lemeridien-stuttgart.de","lemeridien-stuttgart.de")</f>
        <v>lemeridien-stuttgart.de</v>
      </c>
      <c r="C22431" t="s">
        <v>436</v>
      </c>
      <c r="D22431" t="s">
        <v>815</v>
      </c>
      <c r="F22431">
        <v>4.9149690356504204E-9</v>
      </c>
      <c r="G22431">
        <v>32037250</v>
      </c>
      <c r="H22431">
        <v>12228111</v>
      </c>
      <c r="I22431">
        <v>22553303</v>
      </c>
      <c r="J22431">
        <v>4</v>
      </c>
    </row>
    <row r="22432" spans="1:10" x14ac:dyDescent="0.25">
      <c r="A22432" t="s">
        <v>244</v>
      </c>
      <c r="B22432" s="1" t="str">
        <f>HYPERLINK("http://marriot.de","marriot.de")</f>
        <v>marriot.de</v>
      </c>
      <c r="C22432" t="s">
        <v>436</v>
      </c>
      <c r="D22432" t="s">
        <v>815</v>
      </c>
      <c r="F22432">
        <v>4.6269901373959099E-9</v>
      </c>
      <c r="G22432">
        <v>45641522</v>
      </c>
      <c r="H22432">
        <v>10163832</v>
      </c>
      <c r="I22432">
        <v>59369172</v>
      </c>
      <c r="J22432">
        <v>3</v>
      </c>
    </row>
    <row r="22433" spans="1:10" x14ac:dyDescent="0.25">
      <c r="A22433" t="s">
        <v>244</v>
      </c>
      <c r="B22433" s="1" t="str">
        <f>HYPERLINK("http://marriott.de","marriott.de")</f>
        <v>marriott.de</v>
      </c>
      <c r="C22433" t="s">
        <v>436</v>
      </c>
      <c r="D22433" t="s">
        <v>815</v>
      </c>
      <c r="E22433">
        <v>91892</v>
      </c>
      <c r="F22433">
        <v>7.6822692667989499E-7</v>
      </c>
      <c r="G22433">
        <v>50874</v>
      </c>
      <c r="H22433">
        <v>14978631</v>
      </c>
      <c r="I22433">
        <v>431410</v>
      </c>
      <c r="J22433">
        <v>2</v>
      </c>
    </row>
    <row r="22434" spans="1:10" x14ac:dyDescent="0.25">
      <c r="A22434" t="s">
        <v>244</v>
      </c>
      <c r="B22434" s="1" t="str">
        <f>HYPERLINK("http://moxy-frankfurt.de","moxy-frankfurt.de")</f>
        <v>moxy-frankfurt.de</v>
      </c>
      <c r="C22434" t="s">
        <v>436</v>
      </c>
      <c r="D22434" t="s">
        <v>815</v>
      </c>
      <c r="F22434">
        <v>7.6346030268946094E-8</v>
      </c>
      <c r="G22434">
        <v>549864</v>
      </c>
      <c r="H22434">
        <v>12874589</v>
      </c>
      <c r="I22434">
        <v>14038164</v>
      </c>
      <c r="J22434">
        <v>5</v>
      </c>
    </row>
    <row r="22435" spans="1:10" x14ac:dyDescent="0.25">
      <c r="A22435" t="s">
        <v>244</v>
      </c>
      <c r="B22435" s="1" t="str">
        <f>HYPERLINK("http://restaurant-creme-bruehle.de","restaurant-creme-bruehle.de")</f>
        <v>restaurant-creme-bruehle.de</v>
      </c>
      <c r="C22435" t="s">
        <v>436</v>
      </c>
      <c r="D22435" t="s">
        <v>815</v>
      </c>
      <c r="F22435">
        <v>4.4906811778825301E-9</v>
      </c>
      <c r="G22435">
        <v>60414086</v>
      </c>
      <c r="H22435">
        <v>12018614</v>
      </c>
      <c r="I22435">
        <v>27892766</v>
      </c>
      <c r="J22435">
        <v>5</v>
      </c>
    </row>
    <row r="22436" spans="1:10" x14ac:dyDescent="0.25">
      <c r="A22436" t="s">
        <v>244</v>
      </c>
      <c r="B22436" s="1" t="str">
        <f>HYPERLINK("http://w-barcelona.es","w-barcelona.es")</f>
        <v>w-barcelona.es</v>
      </c>
      <c r="C22436" t="s">
        <v>443</v>
      </c>
      <c r="D22436" t="s">
        <v>822</v>
      </c>
      <c r="F22436">
        <v>1.3199415769642801E-8</v>
      </c>
      <c r="G22436">
        <v>4538411</v>
      </c>
      <c r="H22436">
        <v>14386577</v>
      </c>
      <c r="I22436">
        <v>1176993</v>
      </c>
      <c r="J22436">
        <v>3</v>
      </c>
    </row>
    <row r="22437" spans="1:10" x14ac:dyDescent="0.25">
      <c r="A22437" t="s">
        <v>244</v>
      </c>
      <c r="B22437" s="1" t="str">
        <f>HYPERLINK("http://bonvoy.fi","bonvoy.fi")</f>
        <v>bonvoy.fi</v>
      </c>
      <c r="C22437" t="s">
        <v>445</v>
      </c>
      <c r="D22437" t="s">
        <v>823</v>
      </c>
      <c r="J22437">
        <v>2</v>
      </c>
    </row>
    <row r="22438" spans="1:10" x14ac:dyDescent="0.25">
      <c r="A22438" t="s">
        <v>244</v>
      </c>
      <c r="B22438" s="1" t="str">
        <f>HYPERLINK("http://achoteljuanlespins.fr","achoteljuanlespins.fr")</f>
        <v>achoteljuanlespins.fr</v>
      </c>
      <c r="C22438" t="s">
        <v>446</v>
      </c>
      <c r="D22438" t="s">
        <v>824</v>
      </c>
      <c r="F22438">
        <v>5.67863983841845E-9</v>
      </c>
      <c r="G22438">
        <v>19142118</v>
      </c>
      <c r="H22438">
        <v>11578880</v>
      </c>
      <c r="I22438">
        <v>29947058</v>
      </c>
      <c r="J22438">
        <v>3</v>
      </c>
    </row>
    <row r="22439" spans="1:10" x14ac:dyDescent="0.25">
      <c r="A22439" t="s">
        <v>244</v>
      </c>
      <c r="B22439" s="1" t="str">
        <f>HYPERLINK("http://marriott.fr","marriott.fr")</f>
        <v>marriott.fr</v>
      </c>
      <c r="C22439" t="s">
        <v>446</v>
      </c>
      <c r="D22439" t="s">
        <v>824</v>
      </c>
      <c r="E22439">
        <v>163229</v>
      </c>
      <c r="F22439">
        <v>4.5315481613190702E-7</v>
      </c>
      <c r="G22439">
        <v>83432</v>
      </c>
      <c r="H22439">
        <v>14555324</v>
      </c>
      <c r="I22439">
        <v>752665</v>
      </c>
      <c r="J22439">
        <v>2</v>
      </c>
    </row>
    <row r="22440" spans="1:10" x14ac:dyDescent="0.25">
      <c r="A22440" t="s">
        <v>244</v>
      </c>
      <c r="B22440" s="1" t="str">
        <f>HYPERLINK("http://thewestinparis.fr","thewestinparis.fr")</f>
        <v>thewestinparis.fr</v>
      </c>
      <c r="C22440" t="s">
        <v>446</v>
      </c>
      <c r="D22440" t="s">
        <v>824</v>
      </c>
      <c r="F22440">
        <v>1.69596015230878E-8</v>
      </c>
      <c r="G22440">
        <v>3293069</v>
      </c>
      <c r="H22440">
        <v>14220748</v>
      </c>
      <c r="I22440">
        <v>1685798</v>
      </c>
      <c r="J22440">
        <v>4</v>
      </c>
    </row>
    <row r="22441" spans="1:10" x14ac:dyDescent="0.25">
      <c r="A22441" t="s">
        <v>244</v>
      </c>
      <c r="B22441" s="1" t="str">
        <f>HYPERLINK("http://hotelcaminoreal.com.gt","hotelcaminoreal.com.gt")</f>
        <v>hotelcaminoreal.com.gt</v>
      </c>
      <c r="C22441" t="s">
        <v>448</v>
      </c>
      <c r="D22441" t="s">
        <v>826</v>
      </c>
      <c r="F22441">
        <v>1.9453873105737501E-8</v>
      </c>
      <c r="G22441">
        <v>2753247</v>
      </c>
      <c r="H22441">
        <v>13359082</v>
      </c>
      <c r="I22441">
        <v>10590739</v>
      </c>
      <c r="J22441">
        <v>4</v>
      </c>
    </row>
    <row r="22442" spans="1:10" x14ac:dyDescent="0.25">
      <c r="A22442" t="s">
        <v>244</v>
      </c>
      <c r="B22442" s="1" t="str">
        <f>HYPERLINK("http://fourpointskecskemet.hu","fourpointskecskemet.hu")</f>
        <v>fourpointskecskemet.hu</v>
      </c>
      <c r="C22442" t="s">
        <v>453</v>
      </c>
      <c r="D22442" t="s">
        <v>830</v>
      </c>
      <c r="F22442">
        <v>1.10883443095528E-8</v>
      </c>
      <c r="G22442">
        <v>5794062</v>
      </c>
      <c r="H22442">
        <v>12269820</v>
      </c>
      <c r="I22442">
        <v>21527371</v>
      </c>
      <c r="J22442">
        <v>4</v>
      </c>
    </row>
    <row r="22443" spans="1:10" x14ac:dyDescent="0.25">
      <c r="A22443" t="s">
        <v>244</v>
      </c>
      <c r="B22443" s="1" t="str">
        <f>HYPERLINK("http://savannahhotel.co.in","savannahhotel.co.in")</f>
        <v>savannahhotel.co.in</v>
      </c>
      <c r="C22443" t="s">
        <v>457</v>
      </c>
      <c r="D22443" t="s">
        <v>834</v>
      </c>
      <c r="F22443">
        <v>4.4802650300355703E-9</v>
      </c>
      <c r="G22443">
        <v>62282471</v>
      </c>
      <c r="H22443">
        <v>10417231</v>
      </c>
      <c r="I22443">
        <v>53971282</v>
      </c>
      <c r="J22443">
        <v>4</v>
      </c>
    </row>
    <row r="22444" spans="1:10" x14ac:dyDescent="0.25">
      <c r="A22444" t="s">
        <v>244</v>
      </c>
      <c r="B22444" s="1" t="str">
        <f>HYPERLINK("http://tidesrestaurant.is","tidesrestaurant.is")</f>
        <v>tidesrestaurant.is</v>
      </c>
      <c r="C22444" t="s">
        <v>594</v>
      </c>
      <c r="D22444" t="s">
        <v>929</v>
      </c>
      <c r="F22444">
        <v>1.50132100303951E-8</v>
      </c>
      <c r="G22444">
        <v>3835373</v>
      </c>
      <c r="H22444">
        <v>13691041</v>
      </c>
      <c r="I22444">
        <v>9528720</v>
      </c>
      <c r="J22444">
        <v>5</v>
      </c>
    </row>
    <row r="22445" spans="1:10" x14ac:dyDescent="0.25">
      <c r="A22445" t="s">
        <v>244</v>
      </c>
      <c r="B22445" s="1" t="str">
        <f>HYPERLINK("http://marriott.it","marriott.it")</f>
        <v>marriott.it</v>
      </c>
      <c r="C22445" t="s">
        <v>459</v>
      </c>
      <c r="D22445" t="s">
        <v>835</v>
      </c>
      <c r="E22445">
        <v>325918</v>
      </c>
      <c r="F22445">
        <v>1.5457382099086999E-7</v>
      </c>
      <c r="G22445">
        <v>251277</v>
      </c>
      <c r="H22445">
        <v>14454923</v>
      </c>
      <c r="I22445">
        <v>1050185</v>
      </c>
      <c r="J22445">
        <v>2</v>
      </c>
    </row>
    <row r="22446" spans="1:10" x14ac:dyDescent="0.25">
      <c r="A22446" t="s">
        <v>244</v>
      </c>
      <c r="B22446" s="1" t="str">
        <f>HYPERLINK("http://ristorantedoney.it","ristorantedoney.it")</f>
        <v>ristorantedoney.it</v>
      </c>
      <c r="C22446" t="s">
        <v>459</v>
      </c>
      <c r="D22446" t="s">
        <v>835</v>
      </c>
      <c r="F22446">
        <v>6.1363965714393603E-9</v>
      </c>
      <c r="G22446">
        <v>15881058</v>
      </c>
      <c r="H22446">
        <v>13764239</v>
      </c>
      <c r="I22446">
        <v>7324312</v>
      </c>
      <c r="J22446">
        <v>5</v>
      </c>
    </row>
    <row r="22447" spans="1:10" x14ac:dyDescent="0.25">
      <c r="A22447" t="s">
        <v>244</v>
      </c>
      <c r="B22447" s="1" t="str">
        <f>HYPERLINK("http://straf.it","straf.it")</f>
        <v>straf.it</v>
      </c>
      <c r="C22447" t="s">
        <v>459</v>
      </c>
      <c r="D22447" t="s">
        <v>835</v>
      </c>
      <c r="F22447">
        <v>2.04381851615556E-8</v>
      </c>
      <c r="G22447">
        <v>2593387</v>
      </c>
      <c r="H22447">
        <v>13813549</v>
      </c>
      <c r="I22447">
        <v>6180233</v>
      </c>
      <c r="J22447">
        <v>5</v>
      </c>
    </row>
    <row r="22448" spans="1:10" x14ac:dyDescent="0.25">
      <c r="A22448" t="s">
        <v>244</v>
      </c>
      <c r="B22448" s="1" t="str">
        <f>HYPERLINK("http://westinpalacemilan.it","westinpalacemilan.it")</f>
        <v>westinpalacemilan.it</v>
      </c>
      <c r="C22448" t="s">
        <v>459</v>
      </c>
      <c r="D22448" t="s">
        <v>835</v>
      </c>
      <c r="F22448">
        <v>7.0476778705486698E-9</v>
      </c>
      <c r="G22448">
        <v>12171856</v>
      </c>
      <c r="H22448">
        <v>14120016</v>
      </c>
      <c r="I22448">
        <v>2397448</v>
      </c>
      <c r="J22448">
        <v>4</v>
      </c>
    </row>
    <row r="22449" spans="1:10" x14ac:dyDescent="0.25">
      <c r="A22449" t="s">
        <v>244</v>
      </c>
      <c r="B22449" s="1" t="str">
        <f>HYPERLINK("http://marriott.co.jp","marriott.co.jp")</f>
        <v>marriott.co.jp</v>
      </c>
      <c r="C22449" t="s">
        <v>461</v>
      </c>
      <c r="D22449" t="s">
        <v>837</v>
      </c>
      <c r="E22449">
        <v>70544</v>
      </c>
      <c r="F22449">
        <v>4.8121402328528704E-7</v>
      </c>
      <c r="G22449">
        <v>79050</v>
      </c>
      <c r="H22449">
        <v>15247635</v>
      </c>
      <c r="I22449">
        <v>390533</v>
      </c>
      <c r="J22449">
        <v>2</v>
      </c>
    </row>
    <row r="22450" spans="1:10" x14ac:dyDescent="0.25">
      <c r="A22450" t="s">
        <v>244</v>
      </c>
      <c r="B22450" s="1" t="str">
        <f>HYPERLINK("http://ritz-carlton.co.jp","ritz-carlton.co.jp")</f>
        <v>ritz-carlton.co.jp</v>
      </c>
      <c r="C22450" t="s">
        <v>461</v>
      </c>
      <c r="D22450" t="s">
        <v>837</v>
      </c>
      <c r="E22450">
        <v>828022</v>
      </c>
      <c r="F22450">
        <v>7.2513825357464603E-8</v>
      </c>
      <c r="G22450">
        <v>581920</v>
      </c>
      <c r="H22450">
        <v>14390867</v>
      </c>
      <c r="I22450">
        <v>1167559</v>
      </c>
      <c r="J22450">
        <v>5</v>
      </c>
    </row>
    <row r="22451" spans="1:10" x14ac:dyDescent="0.25">
      <c r="A22451" t="s">
        <v>244</v>
      </c>
      <c r="B22451" s="1" t="str">
        <f>HYPERLINK("http://sheraton-kobe.co.jp","sheraton-kobe.co.jp")</f>
        <v>sheraton-kobe.co.jp</v>
      </c>
      <c r="C22451" t="s">
        <v>461</v>
      </c>
      <c r="D22451" t="s">
        <v>837</v>
      </c>
      <c r="F22451">
        <v>3.81796260101747E-8</v>
      </c>
      <c r="G22451">
        <v>1355687</v>
      </c>
      <c r="H22451">
        <v>13833714</v>
      </c>
      <c r="I22451">
        <v>6098175</v>
      </c>
      <c r="J22451">
        <v>3</v>
      </c>
    </row>
    <row r="22452" spans="1:10" x14ac:dyDescent="0.25">
      <c r="A22452" t="s">
        <v>244</v>
      </c>
      <c r="B22452" s="1" t="str">
        <f>HYPERLINK("http://yokohamabay-sheraton.co.jp","yokohamabay-sheraton.co.jp")</f>
        <v>yokohamabay-sheraton.co.jp</v>
      </c>
      <c r="C22452" t="s">
        <v>461</v>
      </c>
      <c r="D22452" t="s">
        <v>837</v>
      </c>
      <c r="F22452">
        <v>4.5189926569809399E-8</v>
      </c>
      <c r="G22452">
        <v>1043865</v>
      </c>
      <c r="H22452">
        <v>13589868</v>
      </c>
      <c r="I22452">
        <v>9668734</v>
      </c>
      <c r="J22452">
        <v>3</v>
      </c>
    </row>
    <row r="22453" spans="1:10" x14ac:dyDescent="0.25">
      <c r="A22453" t="s">
        <v>244</v>
      </c>
      <c r="B22453" s="1" t="str">
        <f>HYPERLINK("http://ritz-carlton.jp","ritz-carlton.jp")</f>
        <v>ritz-carlton.jp</v>
      </c>
      <c r="C22453" t="s">
        <v>461</v>
      </c>
      <c r="D22453" t="s">
        <v>837</v>
      </c>
      <c r="F22453">
        <v>2.6615155822062999E-8</v>
      </c>
      <c r="G22453">
        <v>1934134</v>
      </c>
      <c r="H22453">
        <v>14104285</v>
      </c>
      <c r="I22453">
        <v>2693845</v>
      </c>
      <c r="J22453">
        <v>5</v>
      </c>
    </row>
    <row r="22454" spans="1:10" x14ac:dyDescent="0.25">
      <c r="A22454" t="s">
        <v>244</v>
      </c>
      <c r="B22454" s="1" t="str">
        <f>HYPERLINK("http://ritzcarlton-kyoto.jp","ritzcarlton-kyoto.jp")</f>
        <v>ritzcarlton-kyoto.jp</v>
      </c>
      <c r="C22454" t="s">
        <v>461</v>
      </c>
      <c r="D22454" t="s">
        <v>837</v>
      </c>
      <c r="F22454">
        <v>2.22838316432479E-8</v>
      </c>
      <c r="G22454">
        <v>2352879</v>
      </c>
      <c r="H22454">
        <v>14494802</v>
      </c>
      <c r="I22454">
        <v>879583</v>
      </c>
      <c r="J22454">
        <v>5</v>
      </c>
    </row>
    <row r="22455" spans="1:10" x14ac:dyDescent="0.25">
      <c r="A22455" t="s">
        <v>244</v>
      </c>
      <c r="B22455" s="1" t="str">
        <f>HYPERLINK("http://marriott.co.kr","marriott.co.kr")</f>
        <v>marriott.co.kr</v>
      </c>
      <c r="C22455" t="s">
        <v>463</v>
      </c>
      <c r="D22455" t="s">
        <v>839</v>
      </c>
      <c r="E22455">
        <v>88680</v>
      </c>
      <c r="F22455">
        <v>8.9702508492454495E-8</v>
      </c>
      <c r="G22455">
        <v>455153</v>
      </c>
      <c r="H22455">
        <v>14128245</v>
      </c>
      <c r="I22455">
        <v>2065951</v>
      </c>
      <c r="J22455">
        <v>2</v>
      </c>
    </row>
    <row r="22456" spans="1:10" x14ac:dyDescent="0.25">
      <c r="A22456" t="s">
        <v>244</v>
      </c>
      <c r="B22456" s="1" t="str">
        <f>HYPERLINK("http://designhotels.me","designhotels.me")</f>
        <v>designhotels.me</v>
      </c>
      <c r="C22456" t="s">
        <v>470</v>
      </c>
      <c r="D22456" t="s">
        <v>846</v>
      </c>
      <c r="F22456">
        <v>9.1493155021173998E-9</v>
      </c>
      <c r="G22456">
        <v>7779294</v>
      </c>
      <c r="H22456">
        <v>13166974</v>
      </c>
      <c r="I22456">
        <v>11736471</v>
      </c>
      <c r="J22456">
        <v>5</v>
      </c>
    </row>
    <row r="22457" spans="1:10" x14ac:dyDescent="0.25">
      <c r="A22457" t="s">
        <v>244</v>
      </c>
      <c r="B22457" s="1" t="str">
        <f>HYPERLINK("http://fenat.net","fenat.net")</f>
        <v>fenat.net</v>
      </c>
      <c r="C22457" t="s">
        <v>474</v>
      </c>
      <c r="F22457">
        <v>5.7225714012614604E-9</v>
      </c>
      <c r="G22457">
        <v>18726940</v>
      </c>
      <c r="H22457">
        <v>10594683</v>
      </c>
      <c r="I22457">
        <v>45271490</v>
      </c>
      <c r="J22457">
        <v>4</v>
      </c>
    </row>
    <row r="22458" spans="1:10" x14ac:dyDescent="0.25">
      <c r="A22458" t="s">
        <v>244</v>
      </c>
      <c r="B22458" s="1" t="str">
        <f>HYPERLINK("http://belairhotel.nl","belairhotel.nl")</f>
        <v>belairhotel.nl</v>
      </c>
      <c r="C22458" t="s">
        <v>477</v>
      </c>
      <c r="D22458" t="s">
        <v>852</v>
      </c>
      <c r="F22458">
        <v>5.5531868913609399E-9</v>
      </c>
      <c r="G22458">
        <v>20345740</v>
      </c>
      <c r="H22458">
        <v>12357956</v>
      </c>
      <c r="I22458">
        <v>19625617</v>
      </c>
      <c r="J22458">
        <v>4</v>
      </c>
    </row>
    <row r="22459" spans="1:10" x14ac:dyDescent="0.25">
      <c r="A22459" t="s">
        <v>244</v>
      </c>
      <c r="B22459" s="1" t="str">
        <f>HYPERLINK("http://moxyamsterdam.nl","moxyamsterdam.nl")</f>
        <v>moxyamsterdam.nl</v>
      </c>
      <c r="C22459" t="s">
        <v>477</v>
      </c>
      <c r="D22459" t="s">
        <v>852</v>
      </c>
      <c r="F22459">
        <v>7.42187519377146E-9</v>
      </c>
      <c r="G22459">
        <v>11190953</v>
      </c>
      <c r="H22459">
        <v>12308182</v>
      </c>
      <c r="I22459">
        <v>20673738</v>
      </c>
      <c r="J22459">
        <v>5</v>
      </c>
    </row>
    <row r="22460" spans="1:10" x14ac:dyDescent="0.25">
      <c r="A22460" t="s">
        <v>244</v>
      </c>
      <c r="B22460" s="1" t="str">
        <f>HYPERLINK("http://bjcc.org","bjcc.org")</f>
        <v>bjcc.org</v>
      </c>
      <c r="C22460" t="s">
        <v>481</v>
      </c>
      <c r="E22460">
        <v>789355</v>
      </c>
      <c r="F22460">
        <v>6.7782141255613394E-8</v>
      </c>
      <c r="G22460">
        <v>629985</v>
      </c>
      <c r="H22460">
        <v>14575318</v>
      </c>
      <c r="I22460">
        <v>730752</v>
      </c>
      <c r="J22460">
        <v>3</v>
      </c>
    </row>
    <row r="22461" spans="1:10" x14ac:dyDescent="0.25">
      <c r="A22461" t="s">
        <v>244</v>
      </c>
      <c r="B22461" s="1" t="str">
        <f>HYPERLINK("http://sheratonpanama.com.pa","sheratonpanama.com.pa")</f>
        <v>sheratonpanama.com.pa</v>
      </c>
      <c r="C22461" t="s">
        <v>482</v>
      </c>
      <c r="D22461" t="s">
        <v>856</v>
      </c>
      <c r="F22461">
        <v>5.9239557618947999E-9</v>
      </c>
      <c r="G22461">
        <v>17193933</v>
      </c>
      <c r="H22461">
        <v>12403947</v>
      </c>
      <c r="I22461">
        <v>18707576</v>
      </c>
      <c r="J22461">
        <v>4</v>
      </c>
    </row>
    <row r="22462" spans="1:10" x14ac:dyDescent="0.25">
      <c r="A22462" t="s">
        <v>244</v>
      </c>
      <c r="B22462" s="1" t="str">
        <f>HYPERLINK("http://acmarriottwroclaw.pl","acmarriottwroclaw.pl")</f>
        <v>acmarriottwroclaw.pl</v>
      </c>
      <c r="C22462" t="s">
        <v>486</v>
      </c>
      <c r="D22462" t="s">
        <v>860</v>
      </c>
      <c r="F22462">
        <v>6.3315173669887802E-9</v>
      </c>
      <c r="G22462">
        <v>14881389</v>
      </c>
      <c r="H22462">
        <v>11639538</v>
      </c>
      <c r="I22462">
        <v>29891129</v>
      </c>
      <c r="J22462">
        <v>3</v>
      </c>
    </row>
    <row r="22463" spans="1:10" x14ac:dyDescent="0.25">
      <c r="A22463" t="s">
        <v>244</v>
      </c>
      <c r="B22463" s="1" t="str">
        <f>HYPERLINK("http://sheratongrandkrakow.com.pl","sheratongrandkrakow.com.pl")</f>
        <v>sheratongrandkrakow.com.pl</v>
      </c>
      <c r="C22463" t="s">
        <v>486</v>
      </c>
      <c r="D22463" t="s">
        <v>860</v>
      </c>
      <c r="F22463">
        <v>5.6041325202193499E-9</v>
      </c>
      <c r="G22463">
        <v>19818611</v>
      </c>
      <c r="H22463">
        <v>10612388</v>
      </c>
      <c r="I22463">
        <v>44509581</v>
      </c>
      <c r="J22463">
        <v>4</v>
      </c>
    </row>
    <row r="22464" spans="1:10" x14ac:dyDescent="0.25">
      <c r="A22464" t="s">
        <v>244</v>
      </c>
      <c r="B22464" s="1" t="str">
        <f>HYPERLINK("http://marriott.pl","marriott.pl")</f>
        <v>marriott.pl</v>
      </c>
      <c r="C22464" t="s">
        <v>486</v>
      </c>
      <c r="D22464" t="s">
        <v>860</v>
      </c>
      <c r="F22464">
        <v>1.1128286248383001E-8</v>
      </c>
      <c r="G22464">
        <v>5764873</v>
      </c>
      <c r="H22464">
        <v>12826887</v>
      </c>
      <c r="I22464">
        <v>14453028</v>
      </c>
      <c r="J22464">
        <v>2</v>
      </c>
    </row>
    <row r="22465" spans="1:10" x14ac:dyDescent="0.25">
      <c r="A22465" t="s">
        <v>244</v>
      </c>
      <c r="B22465" s="1" t="str">
        <f>HYPERLINK("http://meraspahotel.pl","meraspahotel.pl")</f>
        <v>meraspahotel.pl</v>
      </c>
      <c r="C22465" t="s">
        <v>486</v>
      </c>
      <c r="D22465" t="s">
        <v>860</v>
      </c>
      <c r="F22465">
        <v>6.6099880558671603E-9</v>
      </c>
      <c r="G22465">
        <v>13638985</v>
      </c>
      <c r="H22465">
        <v>14120923</v>
      </c>
      <c r="I22465">
        <v>2320696</v>
      </c>
      <c r="J22465">
        <v>3</v>
      </c>
    </row>
    <row r="22466" spans="1:10" x14ac:dyDescent="0.25">
      <c r="A22466" t="s">
        <v>244</v>
      </c>
      <c r="B22466" s="1" t="str">
        <f>HYPERLINK("http://moxykatowice.pl","moxykatowice.pl")</f>
        <v>moxykatowice.pl</v>
      </c>
      <c r="C22466" t="s">
        <v>486</v>
      </c>
      <c r="D22466" t="s">
        <v>860</v>
      </c>
      <c r="F22466">
        <v>4.9382818329646998E-9</v>
      </c>
      <c r="G22466">
        <v>31140329</v>
      </c>
      <c r="H22466">
        <v>9508783</v>
      </c>
      <c r="I22466">
        <v>65603897</v>
      </c>
      <c r="J22466">
        <v>5</v>
      </c>
    </row>
    <row r="22467" spans="1:10" x14ac:dyDescent="0.25">
      <c r="A22467" t="s">
        <v>244</v>
      </c>
      <c r="B22467" s="1" t="str">
        <f>HYPERLINK("http://sheratonwarsaw.pl","sheratonwarsaw.pl")</f>
        <v>sheratonwarsaw.pl</v>
      </c>
      <c r="C22467" t="s">
        <v>486</v>
      </c>
      <c r="D22467" t="s">
        <v>860</v>
      </c>
      <c r="F22467">
        <v>9.0127417874580293E-9</v>
      </c>
      <c r="G22467">
        <v>7972810</v>
      </c>
      <c r="H22467">
        <v>11741662</v>
      </c>
      <c r="I22467">
        <v>29835171</v>
      </c>
      <c r="J22467">
        <v>4</v>
      </c>
    </row>
    <row r="22468" spans="1:10" x14ac:dyDescent="0.25">
      <c r="A22468" t="s">
        <v>244</v>
      </c>
      <c r="B22468" s="1" t="str">
        <f>HYPERLINK("http://warszawacourtyard.pl","warszawacourtyard.pl")</f>
        <v>warszawacourtyard.pl</v>
      </c>
      <c r="C22468" t="s">
        <v>486</v>
      </c>
      <c r="D22468" t="s">
        <v>860</v>
      </c>
      <c r="F22468">
        <v>1.1165421520908399E-8</v>
      </c>
      <c r="G22468">
        <v>5738023</v>
      </c>
      <c r="H22468">
        <v>10990150</v>
      </c>
      <c r="I22468">
        <v>33744978</v>
      </c>
      <c r="J22468">
        <v>4</v>
      </c>
    </row>
    <row r="22469" spans="1:10" x14ac:dyDescent="0.25">
      <c r="A22469" t="s">
        <v>244</v>
      </c>
      <c r="B22469" s="1" t="str">
        <f>HYPERLINK("http://westin.pl","westin.pl")</f>
        <v>westin.pl</v>
      </c>
      <c r="C22469" t="s">
        <v>486</v>
      </c>
      <c r="D22469" t="s">
        <v>860</v>
      </c>
      <c r="F22469">
        <v>2.09737792828848E-8</v>
      </c>
      <c r="G22469">
        <v>2519301</v>
      </c>
      <c r="H22469">
        <v>14068353</v>
      </c>
      <c r="I22469">
        <v>3723718</v>
      </c>
      <c r="J22469">
        <v>3</v>
      </c>
    </row>
    <row r="22470" spans="1:10" x14ac:dyDescent="0.25">
      <c r="A22470" t="s">
        <v>244</v>
      </c>
      <c r="B22470" s="1" t="str">
        <f>HYPERLINK("http://marriott.pt","marriott.pt")</f>
        <v>marriott.pt</v>
      </c>
      <c r="C22470" t="s">
        <v>488</v>
      </c>
      <c r="D22470" t="s">
        <v>862</v>
      </c>
      <c r="F22470">
        <v>3.7450481927701499E-8</v>
      </c>
      <c r="G22470">
        <v>1382135</v>
      </c>
      <c r="H22470">
        <v>14150458</v>
      </c>
      <c r="I22470">
        <v>1877045</v>
      </c>
      <c r="J22470">
        <v>2</v>
      </c>
    </row>
    <row r="22471" spans="1:10" x14ac:dyDescent="0.25">
      <c r="A22471" t="s">
        <v>244</v>
      </c>
      <c r="B22471" s="1" t="str">
        <f>HYPERLINK("http://fourpointskaluga.ru","fourpointskaluga.ru")</f>
        <v>fourpointskaluga.ru</v>
      </c>
      <c r="C22471" t="s">
        <v>493</v>
      </c>
      <c r="D22471" t="s">
        <v>867</v>
      </c>
      <c r="F22471">
        <v>6.2511511656823802E-9</v>
      </c>
      <c r="G22471">
        <v>15269562</v>
      </c>
      <c r="H22471">
        <v>10608693</v>
      </c>
      <c r="I22471">
        <v>44606690</v>
      </c>
      <c r="J22471">
        <v>4</v>
      </c>
    </row>
    <row r="22472" spans="1:10" x14ac:dyDescent="0.25">
      <c r="A22472" t="s">
        <v>244</v>
      </c>
      <c r="B22472" s="1" t="str">
        <f>HYPERLINK("http://marriottmoscowroyalaurora.ru","marriottmoscowroyalaurora.ru")</f>
        <v>marriottmoscowroyalaurora.ru</v>
      </c>
      <c r="C22472" t="s">
        <v>493</v>
      </c>
      <c r="D22472" t="s">
        <v>867</v>
      </c>
      <c r="F22472">
        <v>7.3696082100148196E-9</v>
      </c>
      <c r="G22472">
        <v>11314696</v>
      </c>
      <c r="H22472">
        <v>11195679</v>
      </c>
      <c r="I22472">
        <v>31307897</v>
      </c>
      <c r="J22472">
        <v>3</v>
      </c>
    </row>
    <row r="22473" spans="1:10" x14ac:dyDescent="0.25">
      <c r="A22473" t="s">
        <v>244</v>
      </c>
      <c r="B22473" s="1" t="str">
        <f>HYPERLINK("http://marriottmoscowtverskaya.ru","marriottmoscowtverskaya.ru")</f>
        <v>marriottmoscowtverskaya.ru</v>
      </c>
      <c r="C22473" t="s">
        <v>493</v>
      </c>
      <c r="D22473" t="s">
        <v>867</v>
      </c>
      <c r="F22473">
        <v>6.1280942260504501E-9</v>
      </c>
      <c r="G22473">
        <v>15935580</v>
      </c>
      <c r="H22473">
        <v>11638807</v>
      </c>
      <c r="I22473">
        <v>29893804</v>
      </c>
      <c r="J22473">
        <v>4</v>
      </c>
    </row>
    <row r="22474" spans="1:10" x14ac:dyDescent="0.25">
      <c r="A22474" t="s">
        <v>244</v>
      </c>
      <c r="B22474" s="1" t="str">
        <f>HYPERLINK("http://sheratonpalace.ru","sheratonpalace.ru")</f>
        <v>sheratonpalace.ru</v>
      </c>
      <c r="C22474" t="s">
        <v>493</v>
      </c>
      <c r="D22474" t="s">
        <v>867</v>
      </c>
      <c r="F22474">
        <v>1.10143702172006E-8</v>
      </c>
      <c r="G22474">
        <v>5849011</v>
      </c>
      <c r="H22474">
        <v>12220817</v>
      </c>
      <c r="I22474">
        <v>22770489</v>
      </c>
      <c r="J22474">
        <v>4</v>
      </c>
    </row>
    <row r="22475" spans="1:10" x14ac:dyDescent="0.25">
      <c r="A22475" t="s">
        <v>244</v>
      </c>
      <c r="B22475" s="1" t="str">
        <f>HYPERLINK("http://riverview.com.sg","riverview.com.sg")</f>
        <v>riverview.com.sg</v>
      </c>
      <c r="C22475" t="s">
        <v>496</v>
      </c>
      <c r="D22475" t="s">
        <v>870</v>
      </c>
      <c r="F22475">
        <v>9.9507399718568893E-9</v>
      </c>
      <c r="G22475">
        <v>6805623</v>
      </c>
      <c r="H22475">
        <v>13827293</v>
      </c>
      <c r="I22475">
        <v>6118964</v>
      </c>
      <c r="J22475">
        <v>4</v>
      </c>
    </row>
    <row r="22476" spans="1:10" x14ac:dyDescent="0.25">
      <c r="A22476" t="s">
        <v>244</v>
      </c>
      <c r="B22476" s="1" t="str">
        <f>HYPERLINK("http://bulgariresortdubai-ilcioccolato.shop","bulgariresortdubai-ilcioccolato.shop")</f>
        <v>bulgariresortdubai-ilcioccolato.shop</v>
      </c>
      <c r="C22476" t="s">
        <v>708</v>
      </c>
      <c r="F22476">
        <v>1.5487413691323199E-8</v>
      </c>
      <c r="G22476">
        <v>3688324</v>
      </c>
      <c r="H22476">
        <v>11188544</v>
      </c>
      <c r="I22476">
        <v>31364031</v>
      </c>
      <c r="J22476">
        <v>6</v>
      </c>
    </row>
    <row r="22477" spans="1:10" x14ac:dyDescent="0.25">
      <c r="A22477" t="s">
        <v>244</v>
      </c>
      <c r="B22477" s="1" t="str">
        <f>HYPERLINK("http://ritzcarltonosaka.shop","ritzcarltonosaka.shop")</f>
        <v>ritzcarltonosaka.shop</v>
      </c>
      <c r="C22477" t="s">
        <v>708</v>
      </c>
      <c r="F22477">
        <v>1.13394282223503E-8</v>
      </c>
      <c r="G22477">
        <v>5615452</v>
      </c>
      <c r="H22477">
        <v>12424960</v>
      </c>
      <c r="I22477">
        <v>18375931</v>
      </c>
      <c r="J22477">
        <v>6</v>
      </c>
    </row>
    <row r="22478" spans="1:10" x14ac:dyDescent="0.25">
      <c r="A22478" t="s">
        <v>244</v>
      </c>
      <c r="B22478" s="1" t="str">
        <f>HYPERLINK("http://westinosaka.shop","westinosaka.shop")</f>
        <v>westinosaka.shop</v>
      </c>
      <c r="C22478" t="s">
        <v>708</v>
      </c>
      <c r="F22478">
        <v>5.3237819518312399E-9</v>
      </c>
      <c r="G22478">
        <v>23151921</v>
      </c>
      <c r="H22478">
        <v>10029090</v>
      </c>
      <c r="I22478">
        <v>60612599</v>
      </c>
      <c r="J22478">
        <v>5</v>
      </c>
    </row>
    <row r="22479" spans="1:10" x14ac:dyDescent="0.25">
      <c r="A22479" t="s">
        <v>244</v>
      </c>
      <c r="B22479" s="1" t="str">
        <f>HYPERLINK("http://sheratonbratislava.sk","sheratonbratislava.sk")</f>
        <v>sheratonbratislava.sk</v>
      </c>
      <c r="C22479" t="s">
        <v>498</v>
      </c>
      <c r="D22479" t="s">
        <v>872</v>
      </c>
      <c r="F22479">
        <v>8.8046767258828201E-9</v>
      </c>
      <c r="G22479">
        <v>8297325</v>
      </c>
      <c r="H22479">
        <v>12297989</v>
      </c>
      <c r="I22479">
        <v>20887461</v>
      </c>
      <c r="J22479">
        <v>4</v>
      </c>
    </row>
    <row r="22480" spans="1:10" x14ac:dyDescent="0.25">
      <c r="A22480" t="s">
        <v>244</v>
      </c>
      <c r="B22480" s="1" t="str">
        <f>HYPERLINK("http://sangpo.store","sangpo.store")</f>
        <v>sangpo.store</v>
      </c>
      <c r="C22480" t="s">
        <v>559</v>
      </c>
      <c r="J22480">
        <v>4</v>
      </c>
    </row>
    <row r="22481" spans="1:10" x14ac:dyDescent="0.25">
      <c r="A22481" t="s">
        <v>244</v>
      </c>
      <c r="B22481" s="1" t="str">
        <f>HYPERLINK("http://marriott.com.tr","marriott.com.tr")</f>
        <v>marriott.com.tr</v>
      </c>
      <c r="C22481" t="s">
        <v>502</v>
      </c>
      <c r="D22481" t="s">
        <v>876</v>
      </c>
      <c r="F22481">
        <v>6.35196435692203E-9</v>
      </c>
      <c r="G22481">
        <v>14752656</v>
      </c>
      <c r="H22481">
        <v>12865085</v>
      </c>
      <c r="I22481">
        <v>14160891</v>
      </c>
      <c r="J22481">
        <v>2</v>
      </c>
    </row>
    <row r="22482" spans="1:10" x14ac:dyDescent="0.25">
      <c r="A22482" t="s">
        <v>244</v>
      </c>
      <c r="B22482" s="1" t="str">
        <f>HYPERLINK("http://proteaebb.co.ug","proteaebb.co.ug")</f>
        <v>proteaebb.co.ug</v>
      </c>
      <c r="C22482" t="s">
        <v>677</v>
      </c>
      <c r="D22482" t="s">
        <v>995</v>
      </c>
      <c r="J22482">
        <v>7</v>
      </c>
    </row>
    <row r="22483" spans="1:10" x14ac:dyDescent="0.25">
      <c r="A22483" t="s">
        <v>244</v>
      </c>
      <c r="B22483" s="1" t="str">
        <f>HYPERLINK("http://hotelxenia.co.uk","hotelxenia.co.uk")</f>
        <v>hotelxenia.co.uk</v>
      </c>
      <c r="C22483" t="s">
        <v>506</v>
      </c>
      <c r="D22483" t="s">
        <v>880</v>
      </c>
      <c r="F22483">
        <v>7.8844368009004704E-9</v>
      </c>
      <c r="G22483">
        <v>10142426</v>
      </c>
      <c r="H22483">
        <v>13015096</v>
      </c>
      <c r="I22483">
        <v>12731717</v>
      </c>
      <c r="J22483">
        <v>5</v>
      </c>
    </row>
    <row r="22484" spans="1:10" x14ac:dyDescent="0.25">
      <c r="A22484" t="s">
        <v>244</v>
      </c>
      <c r="B22484" s="1" t="str">
        <f>HYPERLINK("http://marriott.co.uk","marriott.co.uk")</f>
        <v>marriott.co.uk</v>
      </c>
      <c r="C22484" t="s">
        <v>506</v>
      </c>
      <c r="D22484" t="s">
        <v>880</v>
      </c>
      <c r="E22484">
        <v>23418</v>
      </c>
      <c r="F22484">
        <v>6.4480305546828102E-7</v>
      </c>
      <c r="G22484">
        <v>59601</v>
      </c>
      <c r="H22484">
        <v>15271257</v>
      </c>
      <c r="I22484">
        <v>388406</v>
      </c>
      <c r="J22484">
        <v>2</v>
      </c>
    </row>
    <row r="22485" spans="1:10" x14ac:dyDescent="0.25">
      <c r="A22485" t="s">
        <v>244</v>
      </c>
      <c r="B22485" s="1" t="str">
        <f>HYPERLINK("http://marriottgolf.co.uk","marriottgolf.co.uk")</f>
        <v>marriottgolf.co.uk</v>
      </c>
      <c r="C22485" t="s">
        <v>506</v>
      </c>
      <c r="D22485" t="s">
        <v>880</v>
      </c>
      <c r="F22485">
        <v>8.8140779473005403E-9</v>
      </c>
      <c r="G22485">
        <v>8281821</v>
      </c>
      <c r="H22485">
        <v>13800895</v>
      </c>
      <c r="I22485">
        <v>6276951</v>
      </c>
      <c r="J22485">
        <v>5</v>
      </c>
    </row>
    <row r="22486" spans="1:10" x14ac:dyDescent="0.25">
      <c r="A22486" t="s">
        <v>244</v>
      </c>
      <c r="B22486" s="1" t="str">
        <f>HYPERLINK("http://ring.wien","ring.wien")</f>
        <v>ring.wien</v>
      </c>
      <c r="C22486" t="s">
        <v>1675</v>
      </c>
      <c r="F22486">
        <v>4.44380395335525E-9</v>
      </c>
      <c r="G22486">
        <v>86523146</v>
      </c>
      <c r="H22486">
        <v>0</v>
      </c>
      <c r="I22486">
        <v>88007173</v>
      </c>
      <c r="J22486">
        <v>4</v>
      </c>
    </row>
    <row r="22487" spans="1:10" x14ac:dyDescent="0.25">
      <c r="A22487" t="s">
        <v>244</v>
      </c>
      <c r="B22487" s="1" t="str">
        <f>HYPERLINK("http://phtygervalley.co.za","phtygervalley.co.za")</f>
        <v>phtygervalley.co.za</v>
      </c>
      <c r="C22487" t="s">
        <v>510</v>
      </c>
      <c r="D22487" t="s">
        <v>884</v>
      </c>
      <c r="J22487">
        <v>7</v>
      </c>
    </row>
    <row r="22488" spans="1:10" x14ac:dyDescent="0.25">
      <c r="A22488" t="s">
        <v>244</v>
      </c>
      <c r="B22488" s="1" t="str">
        <f>HYPERLINK("http://proteahilton.co.za","proteahilton.co.za")</f>
        <v>proteahilton.co.za</v>
      </c>
      <c r="C22488" t="s">
        <v>510</v>
      </c>
      <c r="D22488" t="s">
        <v>884</v>
      </c>
      <c r="J22488">
        <v>7</v>
      </c>
    </row>
    <row r="22489" spans="1:10" x14ac:dyDescent="0.25">
      <c r="A22489" t="s">
        <v>244</v>
      </c>
      <c r="B22489" s="1" t="str">
        <f>HYPERLINK("http://thepark.co.za","thepark.co.za")</f>
        <v>thepark.co.za</v>
      </c>
      <c r="C22489" t="s">
        <v>510</v>
      </c>
      <c r="D22489" t="s">
        <v>884</v>
      </c>
      <c r="F22489">
        <v>5.02602465524728E-9</v>
      </c>
      <c r="G22489">
        <v>28761787</v>
      </c>
      <c r="H22489">
        <v>12270191</v>
      </c>
      <c r="I22489">
        <v>21520582</v>
      </c>
      <c r="J22489">
        <v>7</v>
      </c>
    </row>
    <row r="22490" spans="1:10" x14ac:dyDescent="0.25">
      <c r="A22490" t="s">
        <v>245</v>
      </c>
      <c r="B22490" s="1" t="str">
        <f>HYPERLINK("http://pymetrics.ai","pymetrics.ai")</f>
        <v>pymetrics.ai</v>
      </c>
      <c r="C22490" t="s">
        <v>524</v>
      </c>
      <c r="D22490" t="s">
        <v>892</v>
      </c>
      <c r="E22490">
        <v>639342</v>
      </c>
      <c r="F22490">
        <v>9.3615310028021496E-7</v>
      </c>
      <c r="G22490">
        <v>41042</v>
      </c>
      <c r="H22490">
        <v>14348382</v>
      </c>
      <c r="I22490">
        <v>1310667</v>
      </c>
      <c r="J22490">
        <v>4</v>
      </c>
    </row>
    <row r="22491" spans="1:10" x14ac:dyDescent="0.25">
      <c r="A22491" t="s">
        <v>245</v>
      </c>
      <c r="B22491" s="1" t="str">
        <f>HYPERLINK("http://marsh.com.ar","marsh.com.ar")</f>
        <v>marsh.com.ar</v>
      </c>
      <c r="C22491" t="s">
        <v>418</v>
      </c>
      <c r="D22491" t="s">
        <v>800</v>
      </c>
      <c r="F22491">
        <v>4.4720082404233202E-9</v>
      </c>
      <c r="G22491">
        <v>64079504</v>
      </c>
      <c r="H22491">
        <v>8590529</v>
      </c>
      <c r="I22491">
        <v>70864774</v>
      </c>
      <c r="J22491">
        <v>4</v>
      </c>
    </row>
    <row r="22492" spans="1:10" x14ac:dyDescent="0.25">
      <c r="A22492" t="s">
        <v>245</v>
      </c>
      <c r="B22492" s="1" t="str">
        <f>HYPERLINK("http://mercer.com.ar","mercer.com.ar")</f>
        <v>mercer.com.ar</v>
      </c>
      <c r="C22492" t="s">
        <v>418</v>
      </c>
      <c r="D22492" t="s">
        <v>800</v>
      </c>
      <c r="F22492">
        <v>1.8243478936662599E-8</v>
      </c>
      <c r="G22492">
        <v>2978459</v>
      </c>
      <c r="H22492">
        <v>13766712</v>
      </c>
      <c r="I22492">
        <v>6980499</v>
      </c>
      <c r="J22492">
        <v>4</v>
      </c>
    </row>
    <row r="22493" spans="1:10" x14ac:dyDescent="0.25">
      <c r="A22493" t="s">
        <v>245</v>
      </c>
      <c r="B22493" s="1" t="str">
        <f>HYPERLINK("http://mercer.at","mercer.at")</f>
        <v>mercer.at</v>
      </c>
      <c r="C22493" t="s">
        <v>419</v>
      </c>
      <c r="D22493" t="s">
        <v>801</v>
      </c>
      <c r="F22493">
        <v>3.7708697037915097E-8</v>
      </c>
      <c r="G22493">
        <v>1372335</v>
      </c>
      <c r="H22493">
        <v>14099292</v>
      </c>
      <c r="I22493">
        <v>2711962</v>
      </c>
      <c r="J22493">
        <v>4</v>
      </c>
    </row>
    <row r="22494" spans="1:10" x14ac:dyDescent="0.25">
      <c r="A22494" t="s">
        <v>245</v>
      </c>
      <c r="B22494" s="1" t="str">
        <f>HYPERLINK("http://mercer.com.au","mercer.com.au")</f>
        <v>mercer.com.au</v>
      </c>
      <c r="C22494" t="s">
        <v>420</v>
      </c>
      <c r="D22494" t="s">
        <v>802</v>
      </c>
      <c r="E22494">
        <v>554914</v>
      </c>
      <c r="F22494">
        <v>1.13443787194109E-7</v>
      </c>
      <c r="G22494">
        <v>351519</v>
      </c>
      <c r="H22494">
        <v>14873644</v>
      </c>
      <c r="I22494">
        <v>476576</v>
      </c>
      <c r="J22494">
        <v>3</v>
      </c>
    </row>
    <row r="22495" spans="1:10" x14ac:dyDescent="0.25">
      <c r="A22495" t="s">
        <v>245</v>
      </c>
      <c r="B22495" s="1" t="str">
        <f>HYPERLINK("http://pillar.com.au","pillar.com.au")</f>
        <v>pillar.com.au</v>
      </c>
      <c r="C22495" t="s">
        <v>420</v>
      </c>
      <c r="D22495" t="s">
        <v>802</v>
      </c>
      <c r="F22495">
        <v>5.6868440412223198E-9</v>
      </c>
      <c r="G22495">
        <v>19072175</v>
      </c>
      <c r="H22495">
        <v>13055538</v>
      </c>
      <c r="I22495">
        <v>12567091</v>
      </c>
      <c r="J22495">
        <v>5</v>
      </c>
    </row>
    <row r="22496" spans="1:10" x14ac:dyDescent="0.25">
      <c r="A22496" t="s">
        <v>245</v>
      </c>
      <c r="B22496" s="1" t="str">
        <f>HYPERLINK("http://recovre.com.au","recovre.com.au")</f>
        <v>recovre.com.au</v>
      </c>
      <c r="C22496" t="s">
        <v>420</v>
      </c>
      <c r="D22496" t="s">
        <v>802</v>
      </c>
      <c r="F22496">
        <v>9.6817503312330695E-9</v>
      </c>
      <c r="G22496">
        <v>7102503</v>
      </c>
      <c r="H22496">
        <v>12463452</v>
      </c>
      <c r="I22496">
        <v>17833035</v>
      </c>
      <c r="J22496">
        <v>3</v>
      </c>
    </row>
    <row r="22497" spans="1:10" x14ac:dyDescent="0.25">
      <c r="A22497" t="s">
        <v>245</v>
      </c>
      <c r="B22497" s="1" t="str">
        <f>HYPERLINK("http://marsh.be","marsh.be")</f>
        <v>marsh.be</v>
      </c>
      <c r="C22497" t="s">
        <v>421</v>
      </c>
      <c r="D22497" t="s">
        <v>803</v>
      </c>
      <c r="F22497">
        <v>2.0713031849459801E-8</v>
      </c>
      <c r="G22497">
        <v>2555043</v>
      </c>
      <c r="H22497">
        <v>12973995</v>
      </c>
      <c r="I22497">
        <v>13022980</v>
      </c>
      <c r="J22497">
        <v>4</v>
      </c>
    </row>
    <row r="22498" spans="1:10" x14ac:dyDescent="0.25">
      <c r="A22498" t="s">
        <v>245</v>
      </c>
      <c r="B22498" s="1" t="str">
        <f>HYPERLINK("http://mercer.be","mercer.be")</f>
        <v>mercer.be</v>
      </c>
      <c r="C22498" t="s">
        <v>421</v>
      </c>
      <c r="D22498" t="s">
        <v>803</v>
      </c>
      <c r="F22498">
        <v>2.0831664599781899E-8</v>
      </c>
      <c r="G22498">
        <v>2538564</v>
      </c>
      <c r="H22498">
        <v>12438865</v>
      </c>
      <c r="I22498">
        <v>18157763</v>
      </c>
      <c r="J22498">
        <v>4</v>
      </c>
    </row>
    <row r="22499" spans="1:10" x14ac:dyDescent="0.25">
      <c r="A22499" t="s">
        <v>245</v>
      </c>
      <c r="B22499" s="1" t="str">
        <f>HYPERLINK("http://jltbrasil.com.br","jltbrasil.com.br")</f>
        <v>jltbrasil.com.br</v>
      </c>
      <c r="C22499" t="s">
        <v>425</v>
      </c>
      <c r="D22499" t="s">
        <v>806</v>
      </c>
      <c r="J22499">
        <v>6</v>
      </c>
    </row>
    <row r="22500" spans="1:10" x14ac:dyDescent="0.25">
      <c r="A22500" t="s">
        <v>245</v>
      </c>
      <c r="B22500" s="1" t="str">
        <f>HYPERLINK("http://mercer.com.br","mercer.com.br")</f>
        <v>mercer.com.br</v>
      </c>
      <c r="C22500" t="s">
        <v>425</v>
      </c>
      <c r="D22500" t="s">
        <v>806</v>
      </c>
      <c r="F22500">
        <v>2.0332761104577501E-8</v>
      </c>
      <c r="G22500">
        <v>2609215</v>
      </c>
      <c r="H22500">
        <v>14073565</v>
      </c>
      <c r="I22500">
        <v>2985157</v>
      </c>
      <c r="J22500">
        <v>4</v>
      </c>
    </row>
    <row r="22501" spans="1:10" x14ac:dyDescent="0.25">
      <c r="A22501" t="s">
        <v>245</v>
      </c>
      <c r="B22501" s="1" t="str">
        <f>HYPERLINK("http://mercerhr.com.br","mercerhr.com.br")</f>
        <v>mercerhr.com.br</v>
      </c>
      <c r="C22501" t="s">
        <v>425</v>
      </c>
      <c r="D22501" t="s">
        <v>806</v>
      </c>
      <c r="J22501">
        <v>3</v>
      </c>
    </row>
    <row r="22502" spans="1:10" x14ac:dyDescent="0.25">
      <c r="A22502" t="s">
        <v>245</v>
      </c>
      <c r="B22502" s="1" t="str">
        <f>HYPERLINK("http://marsh.ca","marsh.ca")</f>
        <v>marsh.ca</v>
      </c>
      <c r="C22502" t="s">
        <v>428</v>
      </c>
      <c r="D22502" t="s">
        <v>809</v>
      </c>
      <c r="F22502">
        <v>2.0459965932481199E-8</v>
      </c>
      <c r="G22502">
        <v>2590292</v>
      </c>
      <c r="H22502">
        <v>13284997</v>
      </c>
      <c r="I22502">
        <v>10895317</v>
      </c>
      <c r="J22502">
        <v>4</v>
      </c>
    </row>
    <row r="22503" spans="1:10" x14ac:dyDescent="0.25">
      <c r="A22503" t="s">
        <v>245</v>
      </c>
      <c r="B22503" s="1" t="str">
        <f>HYPERLINK("http://mercer.ca","mercer.ca")</f>
        <v>mercer.ca</v>
      </c>
      <c r="C22503" t="s">
        <v>428</v>
      </c>
      <c r="D22503" t="s">
        <v>809</v>
      </c>
      <c r="E22503">
        <v>296978</v>
      </c>
      <c r="F22503">
        <v>1.1602674343835399E-7</v>
      </c>
      <c r="G22503">
        <v>342755</v>
      </c>
      <c r="H22503">
        <v>13947765</v>
      </c>
      <c r="I22503">
        <v>4203855</v>
      </c>
      <c r="J22503">
        <v>4</v>
      </c>
    </row>
    <row r="22504" spans="1:10" x14ac:dyDescent="0.25">
      <c r="A22504" t="s">
        <v>245</v>
      </c>
      <c r="B22504" s="1" t="str">
        <f>HYPERLINK("http://mercer.ch","mercer.ch")</f>
        <v>mercer.ch</v>
      </c>
      <c r="C22504" t="s">
        <v>429</v>
      </c>
      <c r="D22504" t="s">
        <v>810</v>
      </c>
      <c r="F22504">
        <v>3.3830834470743398E-8</v>
      </c>
      <c r="G22504">
        <v>1529629</v>
      </c>
      <c r="H22504">
        <v>14383417</v>
      </c>
      <c r="I22504">
        <v>1185860</v>
      </c>
      <c r="J22504">
        <v>4</v>
      </c>
    </row>
    <row r="22505" spans="1:10" x14ac:dyDescent="0.25">
      <c r="A22505" t="s">
        <v>245</v>
      </c>
      <c r="B22505" s="1" t="str">
        <f>HYPERLINK("http://oliverwyman.ch","oliverwyman.ch")</f>
        <v>oliverwyman.ch</v>
      </c>
      <c r="C22505" t="s">
        <v>429</v>
      </c>
      <c r="D22505" t="s">
        <v>810</v>
      </c>
      <c r="F22505">
        <v>9.9088237455305401E-9</v>
      </c>
      <c r="G22505">
        <v>6850442</v>
      </c>
      <c r="H22505">
        <v>12516628</v>
      </c>
      <c r="I22505">
        <v>17181007</v>
      </c>
      <c r="J22505">
        <v>4</v>
      </c>
    </row>
    <row r="22506" spans="1:10" x14ac:dyDescent="0.25">
      <c r="A22506" t="s">
        <v>245</v>
      </c>
      <c r="B22506" s="1" t="str">
        <f>HYPERLINK("http://marsh.cl","marsh.cl")</f>
        <v>marsh.cl</v>
      </c>
      <c r="C22506" t="s">
        <v>430</v>
      </c>
      <c r="D22506" t="s">
        <v>811</v>
      </c>
      <c r="F22506">
        <v>6.75320466137162E-9</v>
      </c>
      <c r="G22506">
        <v>13118279</v>
      </c>
      <c r="H22506">
        <v>11138693</v>
      </c>
      <c r="I22506">
        <v>31849946</v>
      </c>
      <c r="J22506">
        <v>4</v>
      </c>
    </row>
    <row r="22507" spans="1:10" x14ac:dyDescent="0.25">
      <c r="A22507" t="s">
        <v>245</v>
      </c>
      <c r="B22507" s="1" t="str">
        <f>HYPERLINK("http://mercer.cl","mercer.cl")</f>
        <v>mercer.cl</v>
      </c>
      <c r="C22507" t="s">
        <v>430</v>
      </c>
      <c r="D22507" t="s">
        <v>811</v>
      </c>
      <c r="F22507">
        <v>1.8232568555719099E-8</v>
      </c>
      <c r="G22507">
        <v>2980607</v>
      </c>
      <c r="H22507">
        <v>12431824</v>
      </c>
      <c r="I22507">
        <v>18274711</v>
      </c>
      <c r="J22507">
        <v>4</v>
      </c>
    </row>
    <row r="22508" spans="1:10" x14ac:dyDescent="0.25">
      <c r="A22508" t="s">
        <v>245</v>
      </c>
      <c r="B22508" s="1" t="str">
        <f>HYPERLINK("http://mercer.com.cn","mercer.com.cn")</f>
        <v>mercer.com.cn</v>
      </c>
      <c r="C22508" t="s">
        <v>431</v>
      </c>
      <c r="D22508" t="s">
        <v>812</v>
      </c>
      <c r="F22508">
        <v>2.5130603191925699E-8</v>
      </c>
      <c r="G22508">
        <v>2055357</v>
      </c>
      <c r="H22508">
        <v>13570285</v>
      </c>
      <c r="I22508">
        <v>9725441</v>
      </c>
      <c r="J22508">
        <v>3</v>
      </c>
    </row>
    <row r="22509" spans="1:10" x14ac:dyDescent="0.25">
      <c r="A22509" t="s">
        <v>245</v>
      </c>
      <c r="B22509" s="1" t="str">
        <f>HYPERLINK("http://oliverwyman.cn","oliverwyman.cn")</f>
        <v>oliverwyman.cn</v>
      </c>
      <c r="C22509" t="s">
        <v>431</v>
      </c>
      <c r="D22509" t="s">
        <v>812</v>
      </c>
      <c r="F22509">
        <v>7.5708469670072904E-9</v>
      </c>
      <c r="G22509">
        <v>10862098</v>
      </c>
      <c r="H22509">
        <v>11557977</v>
      </c>
      <c r="I22509">
        <v>29962873</v>
      </c>
      <c r="J22509">
        <v>4</v>
      </c>
    </row>
    <row r="22510" spans="1:10" x14ac:dyDescent="0.25">
      <c r="A22510" t="s">
        <v>245</v>
      </c>
      <c r="B22510" s="1" t="str">
        <f>HYPERLINK("http://positiveageing.co","positiveageing.co")</f>
        <v>positiveageing.co</v>
      </c>
      <c r="C22510" t="s">
        <v>432</v>
      </c>
      <c r="F22510">
        <v>4.4516636769096803E-9</v>
      </c>
      <c r="G22510">
        <v>71048388</v>
      </c>
      <c r="H22510">
        <v>10430588</v>
      </c>
      <c r="I22510">
        <v>53632454</v>
      </c>
      <c r="J22510">
        <v>3</v>
      </c>
    </row>
    <row r="22511" spans="1:10" x14ac:dyDescent="0.25">
      <c r="A22511" t="s">
        <v>245</v>
      </c>
      <c r="B22511" s="1" t="str">
        <f>HYPERLINK("http://666333666.com","666333666.com")</f>
        <v>666333666.com</v>
      </c>
      <c r="C22511" t="s">
        <v>433</v>
      </c>
      <c r="F22511">
        <v>4.5469185336052701E-9</v>
      </c>
      <c r="G22511">
        <v>52522096</v>
      </c>
      <c r="H22511">
        <v>8385566.5</v>
      </c>
      <c r="I22511">
        <v>73462689</v>
      </c>
      <c r="J22511">
        <v>4</v>
      </c>
    </row>
    <row r="22512" spans="1:10" x14ac:dyDescent="0.25">
      <c r="A22512" t="s">
        <v>245</v>
      </c>
      <c r="B22512" s="1" t="str">
        <f>HYPERLINK("http://8works.com","8works.com")</f>
        <v>8works.com</v>
      </c>
      <c r="C22512" t="s">
        <v>433</v>
      </c>
      <c r="F22512">
        <v>4.7671207580209597E-9</v>
      </c>
      <c r="G22512">
        <v>37499535</v>
      </c>
      <c r="H22512">
        <v>10849503</v>
      </c>
      <c r="I22512">
        <v>36871354</v>
      </c>
      <c r="J22512">
        <v>3</v>
      </c>
    </row>
    <row r="22513" spans="1:10" x14ac:dyDescent="0.25">
      <c r="A22513" t="s">
        <v>245</v>
      </c>
      <c r="B22513" s="1" t="str">
        <f>HYPERLINK("http://altius-associates.com","altius-associates.com")</f>
        <v>altius-associates.com</v>
      </c>
      <c r="C22513" t="s">
        <v>433</v>
      </c>
      <c r="F22513">
        <v>6.39348354384987E-9</v>
      </c>
      <c r="G22513">
        <v>14553196</v>
      </c>
      <c r="H22513">
        <v>14120510</v>
      </c>
      <c r="I22513">
        <v>2346343</v>
      </c>
      <c r="J22513">
        <v>3</v>
      </c>
    </row>
    <row r="22514" spans="1:10" x14ac:dyDescent="0.25">
      <c r="A22514" t="s">
        <v>245</v>
      </c>
      <c r="B22514" s="1" t="str">
        <f>HYPERLINK("http://cavokgroup.com","cavokgroup.com")</f>
        <v>cavokgroup.com</v>
      </c>
      <c r="C22514" t="s">
        <v>433</v>
      </c>
      <c r="F22514">
        <v>7.8440299508432902E-9</v>
      </c>
      <c r="G22514">
        <v>10227104</v>
      </c>
      <c r="H22514">
        <v>12352522</v>
      </c>
      <c r="I22514">
        <v>19727023</v>
      </c>
      <c r="J22514">
        <v>5</v>
      </c>
    </row>
    <row r="22515" spans="1:10" x14ac:dyDescent="0.25">
      <c r="A22515" t="s">
        <v>245</v>
      </c>
      <c r="B22515" s="1" t="str">
        <f>HYPERLINK("http://chamberlainzhang.com","chamberlainzhang.com")</f>
        <v>chamberlainzhang.com</v>
      </c>
      <c r="C22515" t="s">
        <v>433</v>
      </c>
      <c r="F22515">
        <v>4.6804545151775902E-9</v>
      </c>
      <c r="G22515">
        <v>42307503</v>
      </c>
      <c r="H22515">
        <v>10540344</v>
      </c>
      <c r="I22515">
        <v>47258883</v>
      </c>
      <c r="J22515">
        <v>6</v>
      </c>
    </row>
    <row r="22516" spans="1:10" x14ac:dyDescent="0.25">
      <c r="A22516" t="s">
        <v>245</v>
      </c>
      <c r="B22516" s="1" t="str">
        <f>HYPERLINK("http://cmg-change.com","cmg-change.com")</f>
        <v>cmg-change.com</v>
      </c>
      <c r="C22516" t="s">
        <v>433</v>
      </c>
      <c r="F22516">
        <v>1.15715960967577E-8</v>
      </c>
      <c r="G22516">
        <v>5452924</v>
      </c>
      <c r="H22516">
        <v>11808037</v>
      </c>
      <c r="I22516">
        <v>29814041</v>
      </c>
      <c r="J22516">
        <v>8</v>
      </c>
    </row>
    <row r="22517" spans="1:10" x14ac:dyDescent="0.25">
      <c r="A22517" t="s">
        <v>245</v>
      </c>
      <c r="B22517" s="1" t="str">
        <f>HYPERLINK("http://darwin.com","darwin.com")</f>
        <v>darwin.com</v>
      </c>
      <c r="C22517" t="s">
        <v>433</v>
      </c>
      <c r="F22517">
        <v>2.9351104323489399E-8</v>
      </c>
      <c r="G22517">
        <v>1755463</v>
      </c>
      <c r="H22517">
        <v>14258508</v>
      </c>
      <c r="I22517">
        <v>1424871</v>
      </c>
      <c r="J22517">
        <v>6</v>
      </c>
    </row>
    <row r="22518" spans="1:10" x14ac:dyDescent="0.25">
      <c r="A22518" t="s">
        <v>245</v>
      </c>
      <c r="B22518" s="1" t="str">
        <f>HYPERLINK("http://delimamarsh.com","delimamarsh.com")</f>
        <v>delimamarsh.com</v>
      </c>
      <c r="C22518" t="s">
        <v>433</v>
      </c>
      <c r="F22518">
        <v>4.4615512658443201E-9</v>
      </c>
      <c r="G22518">
        <v>67272757</v>
      </c>
      <c r="H22518">
        <v>8602071</v>
      </c>
      <c r="I22518">
        <v>70760063</v>
      </c>
      <c r="J22518">
        <v>3</v>
      </c>
    </row>
    <row r="22519" spans="1:10" x14ac:dyDescent="0.25">
      <c r="A22519" t="s">
        <v>245</v>
      </c>
      <c r="B22519" s="1" t="str">
        <f>HYPERLINK("http://evolveintelligence.com","evolveintelligence.com")</f>
        <v>evolveintelligence.com</v>
      </c>
      <c r="C22519" t="s">
        <v>433</v>
      </c>
      <c r="F22519">
        <v>6.3137226270404097E-9</v>
      </c>
      <c r="G22519">
        <v>14966146</v>
      </c>
      <c r="H22519">
        <v>11478414</v>
      </c>
      <c r="I22519">
        <v>30067395</v>
      </c>
      <c r="J22519">
        <v>3</v>
      </c>
    </row>
    <row r="22520" spans="1:10" x14ac:dyDescent="0.25">
      <c r="A22520" t="s">
        <v>245</v>
      </c>
      <c r="B22520" s="1" t="str">
        <f>HYPERLINK("http://guycarp.com","guycarp.com")</f>
        <v>guycarp.com</v>
      </c>
      <c r="C22520" t="s">
        <v>433</v>
      </c>
      <c r="E22520">
        <v>68189</v>
      </c>
      <c r="F22520">
        <v>3.1153220283184298E-7</v>
      </c>
      <c r="G22520">
        <v>119366</v>
      </c>
      <c r="H22520">
        <v>14928273</v>
      </c>
      <c r="I22520">
        <v>448439</v>
      </c>
      <c r="J22520">
        <v>3</v>
      </c>
    </row>
    <row r="22521" spans="1:10" x14ac:dyDescent="0.25">
      <c r="A22521" t="s">
        <v>245</v>
      </c>
      <c r="B22521" s="1" t="str">
        <f>HYPERLINK("http://j-affinity.com","j-affinity.com")</f>
        <v>j-affinity.com</v>
      </c>
      <c r="C22521" t="s">
        <v>433</v>
      </c>
      <c r="F22521">
        <v>4.6445819036649597E-9</v>
      </c>
      <c r="G22521">
        <v>44479225</v>
      </c>
      <c r="H22521">
        <v>11995546</v>
      </c>
      <c r="I22521">
        <v>28296918</v>
      </c>
      <c r="J22521">
        <v>3</v>
      </c>
    </row>
    <row r="22522" spans="1:10" x14ac:dyDescent="0.25">
      <c r="A22522" t="s">
        <v>245</v>
      </c>
      <c r="B22522" s="1" t="str">
        <f>HYPERLINK("http://jlt.com","jlt.com")</f>
        <v>jlt.com</v>
      </c>
      <c r="C22522" t="s">
        <v>433</v>
      </c>
      <c r="F22522">
        <v>3.6943456486954902E-7</v>
      </c>
      <c r="G22522">
        <v>101326</v>
      </c>
      <c r="H22522">
        <v>14367506</v>
      </c>
      <c r="I22522">
        <v>1301235</v>
      </c>
      <c r="J22522">
        <v>3</v>
      </c>
    </row>
    <row r="22523" spans="1:10" x14ac:dyDescent="0.25">
      <c r="A22523" t="s">
        <v>245</v>
      </c>
      <c r="B22523" s="1" t="str">
        <f>HYPERLINK("http://jltcanada.com","jltcanada.com")</f>
        <v>jltcanada.com</v>
      </c>
      <c r="C22523" t="s">
        <v>433</v>
      </c>
      <c r="F22523">
        <v>6.2351437177156597E-9</v>
      </c>
      <c r="G22523">
        <v>15349427</v>
      </c>
      <c r="H22523">
        <v>13933063</v>
      </c>
      <c r="I22523">
        <v>5070783</v>
      </c>
      <c r="J22523">
        <v>7</v>
      </c>
    </row>
    <row r="22524" spans="1:10" x14ac:dyDescent="0.25">
      <c r="A22524" t="s">
        <v>245</v>
      </c>
      <c r="B22524" s="1" t="str">
        <f>HYPERLINK("http://jltemployeebenefits.com","jltemployeebenefits.com")</f>
        <v>jltemployeebenefits.com</v>
      </c>
      <c r="C22524" t="s">
        <v>433</v>
      </c>
      <c r="F22524">
        <v>1.0735594682859599E-8</v>
      </c>
      <c r="G22524">
        <v>6071305</v>
      </c>
      <c r="H22524">
        <v>12435858</v>
      </c>
      <c r="I22524">
        <v>18203921</v>
      </c>
      <c r="J22524">
        <v>4</v>
      </c>
    </row>
    <row r="22525" spans="1:10" x14ac:dyDescent="0.25">
      <c r="A22525" t="s">
        <v>245</v>
      </c>
      <c r="B22525" s="1" t="str">
        <f>HYPERLINK("http://jltgroup.com","jltgroup.com")</f>
        <v>jltgroup.com</v>
      </c>
      <c r="C22525" t="s">
        <v>433</v>
      </c>
      <c r="F22525">
        <v>2.0055197837871899E-8</v>
      </c>
      <c r="G22525">
        <v>2650853</v>
      </c>
      <c r="H22525">
        <v>14398320</v>
      </c>
      <c r="I22525">
        <v>1156789</v>
      </c>
      <c r="J22525">
        <v>3</v>
      </c>
    </row>
    <row r="22526" spans="1:10" x14ac:dyDescent="0.25">
      <c r="A22526" t="s">
        <v>245</v>
      </c>
      <c r="B22526" s="1" t="str">
        <f>HYPERLINK("http://jltperu.com","jltperu.com")</f>
        <v>jltperu.com</v>
      </c>
      <c r="C22526" t="s">
        <v>433</v>
      </c>
      <c r="F22526">
        <v>4.5702424886049304E-9</v>
      </c>
      <c r="G22526">
        <v>50163081</v>
      </c>
      <c r="H22526">
        <v>10723860</v>
      </c>
      <c r="I22526">
        <v>41454561</v>
      </c>
      <c r="J22526">
        <v>6</v>
      </c>
    </row>
    <row r="22527" spans="1:10" x14ac:dyDescent="0.25">
      <c r="A22527" t="s">
        <v>245</v>
      </c>
      <c r="B22527" s="1" t="str">
        <f>HYPERLINK("http://jltre.com","jltre.com")</f>
        <v>jltre.com</v>
      </c>
      <c r="C22527" t="s">
        <v>433</v>
      </c>
      <c r="F22527">
        <v>1.0308288341194699E-8</v>
      </c>
      <c r="G22527">
        <v>6443281</v>
      </c>
      <c r="H22527">
        <v>12889311</v>
      </c>
      <c r="I22527">
        <v>13942042</v>
      </c>
      <c r="J22527">
        <v>3</v>
      </c>
    </row>
    <row r="22528" spans="1:10" x14ac:dyDescent="0.25">
      <c r="A22528" t="s">
        <v>245</v>
      </c>
      <c r="B22528" s="1" t="str">
        <f>HYPERLINK("http://jltspecialty.com","jltspecialty.com")</f>
        <v>jltspecialty.com</v>
      </c>
      <c r="C22528" t="s">
        <v>433</v>
      </c>
      <c r="F22528">
        <v>2.1960110700676399E-8</v>
      </c>
      <c r="G22528">
        <v>2390965</v>
      </c>
      <c r="H22528">
        <v>13476005</v>
      </c>
      <c r="I22528">
        <v>10020232</v>
      </c>
      <c r="J22528">
        <v>3</v>
      </c>
    </row>
    <row r="22529" spans="1:10" x14ac:dyDescent="0.25">
      <c r="A22529" t="s">
        <v>245</v>
      </c>
      <c r="B22529" s="1" t="str">
        <f>HYPERLINK("http://magitaliagroup.com","magitaliagroup.com")</f>
        <v>magitaliagroup.com</v>
      </c>
      <c r="C22529" t="s">
        <v>433</v>
      </c>
      <c r="F22529">
        <v>1.28994505014751E-8</v>
      </c>
      <c r="G22529">
        <v>4679670</v>
      </c>
      <c r="H22529">
        <v>12369248</v>
      </c>
      <c r="I22529">
        <v>19422570</v>
      </c>
      <c r="J22529">
        <v>6</v>
      </c>
    </row>
    <row r="22530" spans="1:10" x14ac:dyDescent="0.25">
      <c r="A22530" t="s">
        <v>245</v>
      </c>
      <c r="B22530" s="1" t="str">
        <f>HYPERLINK("http://maglondon.com","maglondon.com")</f>
        <v>maglondon.com</v>
      </c>
      <c r="C22530" t="s">
        <v>433</v>
      </c>
      <c r="F22530">
        <v>4.58224139798732E-9</v>
      </c>
      <c r="G22530">
        <v>49101781</v>
      </c>
      <c r="H22530">
        <v>9409720</v>
      </c>
      <c r="I22530">
        <v>67122270</v>
      </c>
      <c r="J22530">
        <v>3</v>
      </c>
    </row>
    <row r="22531" spans="1:10" x14ac:dyDescent="0.25">
      <c r="A22531" t="s">
        <v>245</v>
      </c>
      <c r="B22531" s="1" t="str">
        <f>HYPERLINK("http://marsh.com","marsh.com")</f>
        <v>marsh.com</v>
      </c>
      <c r="C22531" t="s">
        <v>433</v>
      </c>
      <c r="E22531">
        <v>23579</v>
      </c>
      <c r="F22531">
        <v>1.78964158670903E-6</v>
      </c>
      <c r="G22531">
        <v>22342</v>
      </c>
      <c r="H22531">
        <v>15195503</v>
      </c>
      <c r="I22531">
        <v>396007</v>
      </c>
      <c r="J22531">
        <v>3</v>
      </c>
    </row>
    <row r="22532" spans="1:10" x14ac:dyDescent="0.25">
      <c r="A22532" t="s">
        <v>245</v>
      </c>
      <c r="B22532" s="1" t="str">
        <f>HYPERLINK("http://marsh-jp.com","marsh-jp.com")</f>
        <v>marsh-jp.com</v>
      </c>
      <c r="C22532" t="s">
        <v>433</v>
      </c>
      <c r="F22532">
        <v>4.7569364339403798E-9</v>
      </c>
      <c r="G22532">
        <v>38018246</v>
      </c>
      <c r="H22532">
        <v>10792716</v>
      </c>
      <c r="I22532">
        <v>38395608</v>
      </c>
      <c r="J22532">
        <v>3</v>
      </c>
    </row>
    <row r="22533" spans="1:10" x14ac:dyDescent="0.25">
      <c r="A22533" t="s">
        <v>245</v>
      </c>
      <c r="B22533" s="1" t="str">
        <f>HYPERLINK("http://marsh-mbj.com","marsh-mbj.com")</f>
        <v>marsh-mbj.com</v>
      </c>
      <c r="C22533" t="s">
        <v>433</v>
      </c>
      <c r="F22533">
        <v>9.5387395512186794E-9</v>
      </c>
      <c r="G22533">
        <v>7276149</v>
      </c>
      <c r="H22533">
        <v>14071841</v>
      </c>
      <c r="I22533">
        <v>3298374</v>
      </c>
      <c r="J22533">
        <v>7</v>
      </c>
    </row>
    <row r="22534" spans="1:10" x14ac:dyDescent="0.25">
      <c r="A22534" t="s">
        <v>245</v>
      </c>
      <c r="B22534" s="1" t="str">
        <f>HYPERLINK("http://marshmac.com","marshmac.com")</f>
        <v>marshmac.com</v>
      </c>
      <c r="C22534" t="s">
        <v>433</v>
      </c>
      <c r="F22534">
        <v>8.0554505825593895E-9</v>
      </c>
      <c r="G22534">
        <v>9820274</v>
      </c>
      <c r="H22534">
        <v>12689513</v>
      </c>
      <c r="I22534">
        <v>15423234</v>
      </c>
      <c r="J22534">
        <v>3</v>
      </c>
    </row>
    <row r="22535" spans="1:10" x14ac:dyDescent="0.25">
      <c r="A22535" t="s">
        <v>245</v>
      </c>
      <c r="B22535" s="1" t="str">
        <f>HYPERLINK("http://marshmclennan.com","marshmclennan.com")</f>
        <v>marshmclennan.com</v>
      </c>
      <c r="C22535" t="s">
        <v>433</v>
      </c>
      <c r="E22535">
        <v>73428</v>
      </c>
      <c r="F22535">
        <v>5.0812372098069201E-7</v>
      </c>
      <c r="G22535">
        <v>75374</v>
      </c>
      <c r="H22535">
        <v>14699288</v>
      </c>
      <c r="I22535">
        <v>594824</v>
      </c>
      <c r="J22535">
        <v>4</v>
      </c>
    </row>
    <row r="22536" spans="1:10" x14ac:dyDescent="0.25">
      <c r="A22536" t="s">
        <v>245</v>
      </c>
      <c r="B22536" s="1" t="str">
        <f>HYPERLINK("http://marshmma.com","marshmma.com")</f>
        <v>marshmma.com</v>
      </c>
      <c r="C22536" t="s">
        <v>433</v>
      </c>
      <c r="E22536">
        <v>245453</v>
      </c>
      <c r="F22536">
        <v>3.9095733484330697E-7</v>
      </c>
      <c r="G22536">
        <v>95887</v>
      </c>
      <c r="H22536">
        <v>14245983</v>
      </c>
      <c r="I22536">
        <v>1463554</v>
      </c>
      <c r="J22536">
        <v>3</v>
      </c>
    </row>
    <row r="22537" spans="1:10" x14ac:dyDescent="0.25">
      <c r="A22537" t="s">
        <v>245</v>
      </c>
      <c r="B22537" s="1" t="str">
        <f>HYPERLINK("http://mercer.com","mercer.com")</f>
        <v>mercer.com</v>
      </c>
      <c r="C22537" t="s">
        <v>433</v>
      </c>
      <c r="E22537">
        <v>14077</v>
      </c>
      <c r="F22537">
        <v>2.8906138946704301E-6</v>
      </c>
      <c r="G22537">
        <v>13356</v>
      </c>
      <c r="H22537">
        <v>15918765</v>
      </c>
      <c r="I22537">
        <v>367038</v>
      </c>
      <c r="J22537">
        <v>3</v>
      </c>
    </row>
    <row r="22538" spans="1:10" x14ac:dyDescent="0.25">
      <c r="A22538" t="s">
        <v>245</v>
      </c>
      <c r="B22538" s="1" t="str">
        <f>HYPERLINK("http://mettl.com","mettl.com")</f>
        <v>mettl.com</v>
      </c>
      <c r="C22538" t="s">
        <v>433</v>
      </c>
      <c r="E22538">
        <v>35317</v>
      </c>
      <c r="F22538">
        <v>8.2365569489847797E-7</v>
      </c>
      <c r="G22538">
        <v>48024</v>
      </c>
      <c r="H22538">
        <v>17091152</v>
      </c>
      <c r="I22538">
        <v>65665</v>
      </c>
      <c r="J22538">
        <v>3</v>
      </c>
    </row>
    <row r="22539" spans="1:10" x14ac:dyDescent="0.25">
      <c r="A22539" t="s">
        <v>245</v>
      </c>
      <c r="B22539" s="1" t="str">
        <f>HYPERLINK("http://mma-west.com","mma-west.com")</f>
        <v>mma-west.com</v>
      </c>
      <c r="C22539" t="s">
        <v>433</v>
      </c>
      <c r="F22539">
        <v>1.6380069433591398E-8</v>
      </c>
      <c r="G22539">
        <v>3450928</v>
      </c>
      <c r="H22539">
        <v>13415378</v>
      </c>
      <c r="I22539">
        <v>10315513</v>
      </c>
      <c r="J22539">
        <v>6</v>
      </c>
    </row>
    <row r="22540" spans="1:10" x14ac:dyDescent="0.25">
      <c r="A22540" t="s">
        <v>245</v>
      </c>
      <c r="B22540" s="1" t="str">
        <f>HYPERLINK("http://mmc.com","mmc.com")</f>
        <v>mmc.com</v>
      </c>
      <c r="C22540" t="s">
        <v>433</v>
      </c>
      <c r="E22540">
        <v>6202</v>
      </c>
      <c r="F22540">
        <v>6.1190751414559497E-7</v>
      </c>
      <c r="G22540">
        <v>62532</v>
      </c>
      <c r="H22540">
        <v>15091211</v>
      </c>
      <c r="I22540">
        <v>407867</v>
      </c>
      <c r="J22540">
        <v>1</v>
      </c>
    </row>
    <row r="22541" spans="1:10" x14ac:dyDescent="0.25">
      <c r="A22541" t="s">
        <v>245</v>
      </c>
      <c r="B22541" s="1" t="str">
        <f>HYPERLINK("http://nera.com","nera.com")</f>
        <v>nera.com</v>
      </c>
      <c r="C22541" t="s">
        <v>433</v>
      </c>
      <c r="E22541">
        <v>247746</v>
      </c>
      <c r="F22541">
        <v>1.21297155954678E-6</v>
      </c>
      <c r="G22541">
        <v>32049</v>
      </c>
      <c r="H22541">
        <v>14765614</v>
      </c>
      <c r="I22541">
        <v>559112</v>
      </c>
      <c r="J22541">
        <v>3</v>
      </c>
    </row>
    <row r="22542" spans="1:10" x14ac:dyDescent="0.25">
      <c r="A22542" t="s">
        <v>245</v>
      </c>
      <c r="B22542" s="1" t="str">
        <f>HYPERLINK("http://oliverwyman.com","oliverwyman.com")</f>
        <v>oliverwyman.com</v>
      </c>
      <c r="C22542" t="s">
        <v>433</v>
      </c>
      <c r="E22542">
        <v>28653</v>
      </c>
      <c r="F22542">
        <v>2.24663611229333E-6</v>
      </c>
      <c r="G22542">
        <v>16401</v>
      </c>
      <c r="H22542">
        <v>15996670</v>
      </c>
      <c r="I22542">
        <v>366435</v>
      </c>
      <c r="J22542">
        <v>3</v>
      </c>
    </row>
    <row r="22543" spans="1:10" x14ac:dyDescent="0.25">
      <c r="A22543" t="s">
        <v>245</v>
      </c>
      <c r="B22543" s="1" t="str">
        <f>HYPERLINK("http://oliverwymanforum.com","oliverwymanforum.com")</f>
        <v>oliverwymanforum.com</v>
      </c>
      <c r="C22543" t="s">
        <v>433</v>
      </c>
      <c r="E22543">
        <v>858406</v>
      </c>
      <c r="F22543">
        <v>1.5080364161614601E-7</v>
      </c>
      <c r="G22543">
        <v>257587</v>
      </c>
      <c r="H22543">
        <v>14310645</v>
      </c>
      <c r="I22543">
        <v>1341925</v>
      </c>
      <c r="J22543">
        <v>4</v>
      </c>
    </row>
    <row r="22544" spans="1:10" x14ac:dyDescent="0.25">
      <c r="A22544" t="s">
        <v>245</v>
      </c>
      <c r="B22544" s="1" t="str">
        <f>HYPERLINK("http://oliverwymangroup.com","oliverwymangroup.com")</f>
        <v>oliverwymangroup.com</v>
      </c>
      <c r="C22544" t="s">
        <v>433</v>
      </c>
      <c r="F22544">
        <v>1.0324670095111701E-8</v>
      </c>
      <c r="G22544">
        <v>6428082</v>
      </c>
      <c r="H22544">
        <v>13239363</v>
      </c>
      <c r="I22544">
        <v>11224383</v>
      </c>
      <c r="J22544">
        <v>8</v>
      </c>
    </row>
    <row r="22545" spans="1:10" x14ac:dyDescent="0.25">
      <c r="A22545" t="s">
        <v>245</v>
      </c>
      <c r="B22545" s="1" t="str">
        <f>HYPERLINK("http://pymetrics.com","pymetrics.com")</f>
        <v>pymetrics.com</v>
      </c>
      <c r="C22545" t="s">
        <v>433</v>
      </c>
      <c r="E22545">
        <v>168423</v>
      </c>
      <c r="F22545">
        <v>1.7249673918773499E-6</v>
      </c>
      <c r="G22545">
        <v>23130</v>
      </c>
      <c r="H22545">
        <v>15297588</v>
      </c>
      <c r="I22545">
        <v>386278</v>
      </c>
      <c r="J22545">
        <v>3</v>
      </c>
    </row>
    <row r="22546" spans="1:10" x14ac:dyDescent="0.25">
      <c r="A22546" t="s">
        <v>245</v>
      </c>
      <c r="B22546" s="1" t="str">
        <f>HYPERLINK("http://recruitment-software.com","recruitment-software.com")</f>
        <v>recruitment-software.com</v>
      </c>
      <c r="C22546" t="s">
        <v>433</v>
      </c>
      <c r="J22546">
        <v>10</v>
      </c>
    </row>
    <row r="22547" spans="1:10" x14ac:dyDescent="0.25">
      <c r="A22547" t="s">
        <v>245</v>
      </c>
      <c r="B22547" s="1" t="str">
        <f>HYPERLINK("http://sbjuk.com","sbjuk.com")</f>
        <v>sbjuk.com</v>
      </c>
      <c r="C22547" t="s">
        <v>433</v>
      </c>
      <c r="J22547">
        <v>3</v>
      </c>
    </row>
    <row r="22548" spans="1:10" x14ac:dyDescent="0.25">
      <c r="A22548" t="s">
        <v>245</v>
      </c>
      <c r="B22548" s="1" t="str">
        <f>HYPERLINK("http://smeinsurance.com","smeinsurance.com")</f>
        <v>smeinsurance.com</v>
      </c>
      <c r="C22548" t="s">
        <v>433</v>
      </c>
      <c r="F22548">
        <v>1.5022964082738999E-8</v>
      </c>
      <c r="G22548">
        <v>3832105</v>
      </c>
      <c r="H22548">
        <v>12928036</v>
      </c>
      <c r="I22548">
        <v>13378264</v>
      </c>
      <c r="J22548">
        <v>3</v>
      </c>
    </row>
    <row r="22549" spans="1:10" x14ac:dyDescent="0.25">
      <c r="A22549" t="s">
        <v>245</v>
      </c>
      <c r="B22549" s="1" t="str">
        <f>HYPERLINK("http://strategymanage.com","strategymanage.com")</f>
        <v>strategymanage.com</v>
      </c>
      <c r="C22549" t="s">
        <v>433</v>
      </c>
      <c r="F22549">
        <v>1.9613839642364301E-8</v>
      </c>
      <c r="G22549">
        <v>2725870</v>
      </c>
      <c r="H22549">
        <v>12463061</v>
      </c>
      <c r="I22549">
        <v>17838335</v>
      </c>
      <c r="J22549">
        <v>6</v>
      </c>
    </row>
    <row r="22550" spans="1:10" x14ac:dyDescent="0.25">
      <c r="A22550" t="s">
        <v>245</v>
      </c>
      <c r="B22550" s="1" t="str">
        <f>HYPERLINK("http://thomsons.com","thomsons.com")</f>
        <v>thomsons.com</v>
      </c>
      <c r="C22550" t="s">
        <v>433</v>
      </c>
      <c r="F22550">
        <v>5.0515523582100097E-8</v>
      </c>
      <c r="G22550">
        <v>909382</v>
      </c>
      <c r="H22550">
        <v>14051412</v>
      </c>
      <c r="I22550">
        <v>3893955</v>
      </c>
      <c r="J22550">
        <v>3</v>
      </c>
    </row>
    <row r="22551" spans="1:10" x14ac:dyDescent="0.25">
      <c r="A22551" t="s">
        <v>245</v>
      </c>
      <c r="B22551" s="1" t="str">
        <f>HYPERLINK("http://torrenttechnologies.com","torrenttechnologies.com")</f>
        <v>torrenttechnologies.com</v>
      </c>
      <c r="C22551" t="s">
        <v>433</v>
      </c>
      <c r="F22551">
        <v>4.4656164621492196E-9</v>
      </c>
      <c r="G22551">
        <v>66072311</v>
      </c>
      <c r="H22551">
        <v>10485778</v>
      </c>
      <c r="I22551">
        <v>50816987</v>
      </c>
      <c r="J22551">
        <v>3</v>
      </c>
    </row>
    <row r="22552" spans="1:10" x14ac:dyDescent="0.25">
      <c r="A22552" t="s">
        <v>245</v>
      </c>
      <c r="B22552" s="1" t="str">
        <f>HYPERLINK("http://vezinainc.com","vezinainc.com")</f>
        <v>vezinainc.com</v>
      </c>
      <c r="C22552" t="s">
        <v>433</v>
      </c>
      <c r="F22552">
        <v>7.0701858052017603E-9</v>
      </c>
      <c r="G22552">
        <v>12098443</v>
      </c>
      <c r="H22552">
        <v>11035876</v>
      </c>
      <c r="I22552">
        <v>32983511</v>
      </c>
      <c r="J22552">
        <v>3</v>
      </c>
    </row>
    <row r="22553" spans="1:10" x14ac:dyDescent="0.25">
      <c r="A22553" t="s">
        <v>245</v>
      </c>
      <c r="B22553" s="1" t="str">
        <f>HYPERLINK("http://marsh.de","marsh.de")</f>
        <v>marsh.de</v>
      </c>
      <c r="C22553" t="s">
        <v>436</v>
      </c>
      <c r="D22553" t="s">
        <v>815</v>
      </c>
      <c r="F22553">
        <v>1.06516324936074E-8</v>
      </c>
      <c r="G22553">
        <v>6140168</v>
      </c>
      <c r="H22553">
        <v>13944150</v>
      </c>
      <c r="I22553">
        <v>4305200</v>
      </c>
      <c r="J22553">
        <v>5</v>
      </c>
    </row>
    <row r="22554" spans="1:10" x14ac:dyDescent="0.25">
      <c r="A22554" t="s">
        <v>245</v>
      </c>
      <c r="B22554" s="1" t="str">
        <f>HYPERLINK("http://mercer.de","mercer.de")</f>
        <v>mercer.de</v>
      </c>
      <c r="C22554" t="s">
        <v>436</v>
      </c>
      <c r="D22554" t="s">
        <v>815</v>
      </c>
      <c r="F22554">
        <v>1.2576131890346E-7</v>
      </c>
      <c r="G22554">
        <v>313686</v>
      </c>
      <c r="H22554">
        <v>14128747</v>
      </c>
      <c r="I22554">
        <v>2056283</v>
      </c>
      <c r="J22554">
        <v>3</v>
      </c>
    </row>
    <row r="22555" spans="1:10" x14ac:dyDescent="0.25">
      <c r="A22555" t="s">
        <v>245</v>
      </c>
      <c r="B22555" s="1" t="str">
        <f>HYPERLINK("http://oliverwyman.de","oliverwyman.de")</f>
        <v>oliverwyman.de</v>
      </c>
      <c r="C22555" t="s">
        <v>436</v>
      </c>
      <c r="D22555" t="s">
        <v>815</v>
      </c>
      <c r="E22555">
        <v>637974</v>
      </c>
      <c r="F22555">
        <v>1.45710453552486E-7</v>
      </c>
      <c r="G22555">
        <v>267159</v>
      </c>
      <c r="H22555">
        <v>14833455</v>
      </c>
      <c r="I22555">
        <v>503141</v>
      </c>
      <c r="J22555">
        <v>3</v>
      </c>
    </row>
    <row r="22556" spans="1:10" x14ac:dyDescent="0.25">
      <c r="A22556" t="s">
        <v>245</v>
      </c>
      <c r="B22556" s="1" t="str">
        <f>HYPERLINK("http://marsh.dk","marsh.dk")</f>
        <v>marsh.dk</v>
      </c>
      <c r="C22556" t="s">
        <v>437</v>
      </c>
      <c r="D22556" t="s">
        <v>816</v>
      </c>
      <c r="F22556">
        <v>5.5927276450529397E-9</v>
      </c>
      <c r="G22556">
        <v>19927279</v>
      </c>
      <c r="H22556">
        <v>12447488</v>
      </c>
      <c r="I22556">
        <v>18058235</v>
      </c>
      <c r="J22556">
        <v>5</v>
      </c>
    </row>
    <row r="22557" spans="1:10" x14ac:dyDescent="0.25">
      <c r="A22557" t="s">
        <v>245</v>
      </c>
      <c r="B22557" s="1" t="str">
        <f>HYPERLINK("http://mercer.dk","mercer.dk")</f>
        <v>mercer.dk</v>
      </c>
      <c r="C22557" t="s">
        <v>437</v>
      </c>
      <c r="D22557" t="s">
        <v>816</v>
      </c>
      <c r="F22557">
        <v>1.9874018080161199E-8</v>
      </c>
      <c r="G22557">
        <v>2678807</v>
      </c>
      <c r="H22557">
        <v>12413280</v>
      </c>
      <c r="I22557">
        <v>18560688</v>
      </c>
      <c r="J22557">
        <v>4</v>
      </c>
    </row>
    <row r="22558" spans="1:10" x14ac:dyDescent="0.25">
      <c r="A22558" t="s">
        <v>245</v>
      </c>
      <c r="B22558" s="1" t="str">
        <f>HYPERLINK("http://marsh.es","marsh.es")</f>
        <v>marsh.es</v>
      </c>
      <c r="C22558" t="s">
        <v>443</v>
      </c>
      <c r="D22558" t="s">
        <v>822</v>
      </c>
      <c r="F22558">
        <v>6.24160966208228E-9</v>
      </c>
      <c r="G22558">
        <v>15316948</v>
      </c>
      <c r="H22558">
        <v>12260428</v>
      </c>
      <c r="I22558">
        <v>21763266</v>
      </c>
      <c r="J22558">
        <v>4</v>
      </c>
    </row>
    <row r="22559" spans="1:10" x14ac:dyDescent="0.25">
      <c r="A22559" t="s">
        <v>245</v>
      </c>
      <c r="B22559" s="1" t="str">
        <f>HYPERLINK("http://mercer.es","mercer.es")</f>
        <v>mercer.es</v>
      </c>
      <c r="C22559" t="s">
        <v>443</v>
      </c>
      <c r="D22559" t="s">
        <v>822</v>
      </c>
      <c r="F22559">
        <v>7.1792844307348806E-8</v>
      </c>
      <c r="G22559">
        <v>588420</v>
      </c>
      <c r="H22559">
        <v>16833248</v>
      </c>
      <c r="I22559">
        <v>165616</v>
      </c>
      <c r="J22559">
        <v>4</v>
      </c>
    </row>
    <row r="22560" spans="1:10" x14ac:dyDescent="0.25">
      <c r="A22560" t="s">
        <v>245</v>
      </c>
      <c r="B22560" s="1" t="str">
        <f>HYPERLINK("http://oliverwyman.es","oliverwyman.es")</f>
        <v>oliverwyman.es</v>
      </c>
      <c r="C22560" t="s">
        <v>443</v>
      </c>
      <c r="D22560" t="s">
        <v>822</v>
      </c>
      <c r="F22560">
        <v>1.22135165122909E-8</v>
      </c>
      <c r="G22560">
        <v>5042815</v>
      </c>
      <c r="H22560">
        <v>13573455</v>
      </c>
      <c r="I22560">
        <v>9710046</v>
      </c>
      <c r="J22560">
        <v>4</v>
      </c>
    </row>
    <row r="22561" spans="1:10" x14ac:dyDescent="0.25">
      <c r="A22561" t="s">
        <v>245</v>
      </c>
      <c r="B22561" s="1" t="str">
        <f>HYPERLINK("http://marsh.fi","marsh.fi")</f>
        <v>marsh.fi</v>
      </c>
      <c r="C22561" t="s">
        <v>445</v>
      </c>
      <c r="D22561" t="s">
        <v>823</v>
      </c>
      <c r="F22561">
        <v>5.3886659919414598E-9</v>
      </c>
      <c r="G22561">
        <v>22268288</v>
      </c>
      <c r="H22561">
        <v>10288926</v>
      </c>
      <c r="I22561">
        <v>58507731</v>
      </c>
      <c r="J22561">
        <v>2</v>
      </c>
    </row>
    <row r="22562" spans="1:10" x14ac:dyDescent="0.25">
      <c r="A22562" t="s">
        <v>245</v>
      </c>
      <c r="B22562" s="1" t="str">
        <f>HYPERLINK("http://mercer.fi","mercer.fi")</f>
        <v>mercer.fi</v>
      </c>
      <c r="C22562" t="s">
        <v>445</v>
      </c>
      <c r="D22562" t="s">
        <v>823</v>
      </c>
      <c r="F22562">
        <v>1.8112506187587599E-8</v>
      </c>
      <c r="G22562">
        <v>3007292</v>
      </c>
      <c r="H22562">
        <v>12406410</v>
      </c>
      <c r="I22562">
        <v>18664325</v>
      </c>
      <c r="J22562">
        <v>4</v>
      </c>
    </row>
    <row r="22563" spans="1:10" x14ac:dyDescent="0.25">
      <c r="A22563" t="s">
        <v>245</v>
      </c>
      <c r="B22563" s="1" t="str">
        <f>HYPERLINK("http://merceradvisorportal.fi","merceradvisorportal.fi")</f>
        <v>merceradvisorportal.fi</v>
      </c>
      <c r="C22563" t="s">
        <v>445</v>
      </c>
      <c r="D22563" t="s">
        <v>823</v>
      </c>
      <c r="J22563">
        <v>4</v>
      </c>
    </row>
    <row r="22564" spans="1:10" x14ac:dyDescent="0.25">
      <c r="A22564" t="s">
        <v>245</v>
      </c>
      <c r="B22564" s="1" t="str">
        <f>HYPERLINK("http://mercerhr.fi","mercerhr.fi")</f>
        <v>mercerhr.fi</v>
      </c>
      <c r="C22564" t="s">
        <v>445</v>
      </c>
      <c r="D22564" t="s">
        <v>823</v>
      </c>
      <c r="J22564">
        <v>4</v>
      </c>
    </row>
    <row r="22565" spans="1:10" x14ac:dyDescent="0.25">
      <c r="A22565" t="s">
        <v>245</v>
      </c>
      <c r="B22565" s="1" t="str">
        <f>HYPERLINK("http://merceric.fi","merceric.fi")</f>
        <v>merceric.fi</v>
      </c>
      <c r="C22565" t="s">
        <v>445</v>
      </c>
      <c r="D22565" t="s">
        <v>823</v>
      </c>
      <c r="J22565">
        <v>4</v>
      </c>
    </row>
    <row r="22566" spans="1:10" x14ac:dyDescent="0.25">
      <c r="A22566" t="s">
        <v>245</v>
      </c>
      <c r="B22566" s="1" t="str">
        <f>HYPERLINK("http://mercerinsight.fi","mercerinsight.fi")</f>
        <v>mercerinsight.fi</v>
      </c>
      <c r="C22566" t="s">
        <v>445</v>
      </c>
      <c r="D22566" t="s">
        <v>823</v>
      </c>
      <c r="J22566">
        <v>4</v>
      </c>
    </row>
    <row r="22567" spans="1:10" x14ac:dyDescent="0.25">
      <c r="A22567" t="s">
        <v>245</v>
      </c>
      <c r="B22567" s="1" t="str">
        <f>HYPERLINK("http://merceronline.fi","merceronline.fi")</f>
        <v>merceronline.fi</v>
      </c>
      <c r="C22567" t="s">
        <v>445</v>
      </c>
      <c r="D22567" t="s">
        <v>823</v>
      </c>
      <c r="J22567">
        <v>4</v>
      </c>
    </row>
    <row r="22568" spans="1:10" x14ac:dyDescent="0.25">
      <c r="A22568" t="s">
        <v>245</v>
      </c>
      <c r="B22568" s="1" t="str">
        <f>HYPERLINK("http://mercerwealthsolutions.fi","mercerwealthsolutions.fi")</f>
        <v>mercerwealthsolutions.fi</v>
      </c>
      <c r="C22568" t="s">
        <v>445</v>
      </c>
      <c r="D22568" t="s">
        <v>823</v>
      </c>
      <c r="J22568">
        <v>5</v>
      </c>
    </row>
    <row r="22569" spans="1:10" x14ac:dyDescent="0.25">
      <c r="A22569" t="s">
        <v>245</v>
      </c>
      <c r="B22569" s="1" t="str">
        <f>HYPERLINK("http://mercer.fr","mercer.fr")</f>
        <v>mercer.fr</v>
      </c>
      <c r="C22569" t="s">
        <v>446</v>
      </c>
      <c r="D22569" t="s">
        <v>824</v>
      </c>
      <c r="F22569">
        <v>6.5965432297921195E-8</v>
      </c>
      <c r="G22569">
        <v>650720</v>
      </c>
      <c r="H22569">
        <v>14501562</v>
      </c>
      <c r="I22569">
        <v>849187</v>
      </c>
      <c r="J22569">
        <v>4</v>
      </c>
    </row>
    <row r="22570" spans="1:10" x14ac:dyDescent="0.25">
      <c r="A22570" t="s">
        <v>245</v>
      </c>
      <c r="B22570" s="1" t="str">
        <f>HYPERLINK("http://oliverwyman.fr","oliverwyman.fr")</f>
        <v>oliverwyman.fr</v>
      </c>
      <c r="C22570" t="s">
        <v>446</v>
      </c>
      <c r="D22570" t="s">
        <v>824</v>
      </c>
      <c r="F22570">
        <v>2.7483737561541699E-8</v>
      </c>
      <c r="G22570">
        <v>1870523</v>
      </c>
      <c r="H22570">
        <v>12808312</v>
      </c>
      <c r="I22570">
        <v>14597487</v>
      </c>
      <c r="J22570">
        <v>3</v>
      </c>
    </row>
    <row r="22571" spans="1:10" x14ac:dyDescent="0.25">
      <c r="A22571" t="s">
        <v>245</v>
      </c>
      <c r="B22571" s="1" t="str">
        <f>HYPERLINK("http://mercer.com.hk","mercer.com.hk")</f>
        <v>mercer.com.hk</v>
      </c>
      <c r="C22571" t="s">
        <v>450</v>
      </c>
      <c r="D22571" t="s">
        <v>827</v>
      </c>
      <c r="F22571">
        <v>2.4360286584720799E-8</v>
      </c>
      <c r="G22571">
        <v>2127833</v>
      </c>
      <c r="H22571">
        <v>13943791</v>
      </c>
      <c r="I22571">
        <v>4309356</v>
      </c>
      <c r="J22571">
        <v>4</v>
      </c>
    </row>
    <row r="22572" spans="1:10" x14ac:dyDescent="0.25">
      <c r="A22572" t="s">
        <v>245</v>
      </c>
      <c r="B22572" s="1" t="str">
        <f>HYPERLINK("http://marsh.hu","marsh.hu")</f>
        <v>marsh.hu</v>
      </c>
      <c r="C22572" t="s">
        <v>453</v>
      </c>
      <c r="D22572" t="s">
        <v>830</v>
      </c>
      <c r="F22572">
        <v>4.9296401888665497E-9</v>
      </c>
      <c r="G22572">
        <v>31389374</v>
      </c>
      <c r="H22572">
        <v>12290834</v>
      </c>
      <c r="I22572">
        <v>21094597</v>
      </c>
      <c r="J22572">
        <v>3</v>
      </c>
    </row>
    <row r="22573" spans="1:10" x14ac:dyDescent="0.25">
      <c r="A22573" t="s">
        <v>245</v>
      </c>
      <c r="B22573" s="1" t="str">
        <f>HYPERLINK("http://marsh.co.id","marsh.co.id")</f>
        <v>marsh.co.id</v>
      </c>
      <c r="C22573" t="s">
        <v>454</v>
      </c>
      <c r="D22573" t="s">
        <v>831</v>
      </c>
      <c r="J22573">
        <v>3</v>
      </c>
    </row>
    <row r="22574" spans="1:10" x14ac:dyDescent="0.25">
      <c r="A22574" t="s">
        <v>245</v>
      </c>
      <c r="B22574" s="1" t="str">
        <f>HYPERLINK("http://mercer.co.id","mercer.co.id")</f>
        <v>mercer.co.id</v>
      </c>
      <c r="C22574" t="s">
        <v>454</v>
      </c>
      <c r="D22574" t="s">
        <v>831</v>
      </c>
      <c r="F22574">
        <v>1.79091095577926E-8</v>
      </c>
      <c r="G22574">
        <v>3051541</v>
      </c>
      <c r="H22574">
        <v>12406409</v>
      </c>
      <c r="I22574">
        <v>18664335</v>
      </c>
      <c r="J22574">
        <v>4</v>
      </c>
    </row>
    <row r="22575" spans="1:10" x14ac:dyDescent="0.25">
      <c r="A22575" t="s">
        <v>245</v>
      </c>
      <c r="B22575" s="1" t="str">
        <f>HYPERLINK("http://marsh.ie","marsh.ie")</f>
        <v>marsh.ie</v>
      </c>
      <c r="C22575" t="s">
        <v>455</v>
      </c>
      <c r="D22575" t="s">
        <v>832</v>
      </c>
      <c r="F22575">
        <v>4.7017339398835903E-9</v>
      </c>
      <c r="G22575">
        <v>41144894</v>
      </c>
      <c r="H22575">
        <v>12071938</v>
      </c>
      <c r="I22575">
        <v>26750614</v>
      </c>
      <c r="J22575">
        <v>4</v>
      </c>
    </row>
    <row r="22576" spans="1:10" x14ac:dyDescent="0.25">
      <c r="A22576" t="s">
        <v>245</v>
      </c>
      <c r="B22576" s="1" t="str">
        <f>HYPERLINK("http://mercer.ie","mercer.ie")</f>
        <v>mercer.ie</v>
      </c>
      <c r="C22576" t="s">
        <v>455</v>
      </c>
      <c r="D22576" t="s">
        <v>832</v>
      </c>
      <c r="F22576">
        <v>4.3043252305868002E-8</v>
      </c>
      <c r="G22576">
        <v>1116927</v>
      </c>
      <c r="H22576">
        <v>14212951</v>
      </c>
      <c r="I22576">
        <v>1698457</v>
      </c>
      <c r="J22576">
        <v>4</v>
      </c>
    </row>
    <row r="22577" spans="1:10" x14ac:dyDescent="0.25">
      <c r="A22577" t="s">
        <v>245</v>
      </c>
      <c r="B22577" s="1" t="str">
        <f>HYPERLINK("http://mercerhr.ie","mercerhr.ie")</f>
        <v>mercerhr.ie</v>
      </c>
      <c r="C22577" t="s">
        <v>455</v>
      </c>
      <c r="D22577" t="s">
        <v>832</v>
      </c>
      <c r="J22577">
        <v>3</v>
      </c>
    </row>
    <row r="22578" spans="1:10" x14ac:dyDescent="0.25">
      <c r="A22578" t="s">
        <v>245</v>
      </c>
      <c r="B22578" s="1" t="str">
        <f>HYPERLINK("http://mercer.co.in","mercer.co.in")</f>
        <v>mercer.co.in</v>
      </c>
      <c r="C22578" t="s">
        <v>457</v>
      </c>
      <c r="D22578" t="s">
        <v>834</v>
      </c>
      <c r="F22578">
        <v>2.6888964634913999E-8</v>
      </c>
      <c r="G22578">
        <v>1913020</v>
      </c>
      <c r="H22578">
        <v>13939724</v>
      </c>
      <c r="I22578">
        <v>4385760</v>
      </c>
      <c r="J22578">
        <v>4</v>
      </c>
    </row>
    <row r="22579" spans="1:10" x14ac:dyDescent="0.25">
      <c r="A22579" t="s">
        <v>245</v>
      </c>
      <c r="B22579" s="1" t="str">
        <f>HYPERLINK("http://marsh.it","marsh.it")</f>
        <v>marsh.it</v>
      </c>
      <c r="C22579" t="s">
        <v>459</v>
      </c>
      <c r="D22579" t="s">
        <v>835</v>
      </c>
      <c r="F22579">
        <v>2.2176511181909699E-8</v>
      </c>
      <c r="G22579">
        <v>2365267</v>
      </c>
      <c r="H22579">
        <v>12099645</v>
      </c>
      <c r="I22579">
        <v>25977327</v>
      </c>
      <c r="J22579">
        <v>4</v>
      </c>
    </row>
    <row r="22580" spans="1:10" x14ac:dyDescent="0.25">
      <c r="A22580" t="s">
        <v>245</v>
      </c>
      <c r="B22580" s="1" t="str">
        <f>HYPERLINK("http://mercer.it","mercer.it")</f>
        <v>mercer.it</v>
      </c>
      <c r="C22580" t="s">
        <v>459</v>
      </c>
      <c r="D22580" t="s">
        <v>835</v>
      </c>
      <c r="F22580">
        <v>3.1029376554914002E-8</v>
      </c>
      <c r="G22580">
        <v>1660900</v>
      </c>
      <c r="H22580">
        <v>12795780</v>
      </c>
      <c r="I22580">
        <v>14657250</v>
      </c>
      <c r="J22580">
        <v>4</v>
      </c>
    </row>
    <row r="22581" spans="1:10" x14ac:dyDescent="0.25">
      <c r="A22581" t="s">
        <v>245</v>
      </c>
      <c r="B22581" s="1" t="str">
        <f>HYPERLINK("http://mercer.co.jp","mercer.co.jp")</f>
        <v>mercer.co.jp</v>
      </c>
      <c r="C22581" t="s">
        <v>461</v>
      </c>
      <c r="D22581" t="s">
        <v>837</v>
      </c>
      <c r="F22581">
        <v>4.5471362677213502E-8</v>
      </c>
      <c r="G22581">
        <v>1035394</v>
      </c>
      <c r="H22581">
        <v>14402061</v>
      </c>
      <c r="I22581">
        <v>1152486</v>
      </c>
      <c r="J22581">
        <v>3</v>
      </c>
    </row>
    <row r="22582" spans="1:10" x14ac:dyDescent="0.25">
      <c r="A22582" t="s">
        <v>245</v>
      </c>
      <c r="B22582" s="1" t="str">
        <f>HYPERLINK("http://nera.jp","nera.jp")</f>
        <v>nera.jp</v>
      </c>
      <c r="C22582" t="s">
        <v>461</v>
      </c>
      <c r="D22582" t="s">
        <v>837</v>
      </c>
      <c r="F22582">
        <v>6.9832421442157797E-9</v>
      </c>
      <c r="G22582">
        <v>12361546</v>
      </c>
      <c r="H22582">
        <v>12269586</v>
      </c>
      <c r="I22582">
        <v>21531704</v>
      </c>
      <c r="J22582">
        <v>4</v>
      </c>
    </row>
    <row r="22583" spans="1:10" x14ac:dyDescent="0.25">
      <c r="A22583" t="s">
        <v>245</v>
      </c>
      <c r="B22583" s="1" t="str">
        <f>HYPERLINK("http://mercer.co.kr","mercer.co.kr")</f>
        <v>mercer.co.kr</v>
      </c>
      <c r="C22583" t="s">
        <v>463</v>
      </c>
      <c r="D22583" t="s">
        <v>839</v>
      </c>
      <c r="F22583">
        <v>1.8060116841534001E-8</v>
      </c>
      <c r="G22583">
        <v>3018244</v>
      </c>
      <c r="H22583">
        <v>12431005</v>
      </c>
      <c r="I22583">
        <v>18288459</v>
      </c>
      <c r="J22583">
        <v>4</v>
      </c>
    </row>
    <row r="22584" spans="1:10" x14ac:dyDescent="0.25">
      <c r="A22584" t="s">
        <v>245</v>
      </c>
      <c r="B22584" s="1" t="str">
        <f>HYPERLINK("http://moo.la","moo.la")</f>
        <v>moo.la</v>
      </c>
      <c r="C22584" t="s">
        <v>595</v>
      </c>
      <c r="D22584" t="s">
        <v>930</v>
      </c>
      <c r="F22584">
        <v>7.8169750466839397E-9</v>
      </c>
      <c r="G22584">
        <v>10283228</v>
      </c>
      <c r="H22584">
        <v>13410490</v>
      </c>
      <c r="I22584">
        <v>10339197</v>
      </c>
      <c r="J22584">
        <v>3</v>
      </c>
    </row>
    <row r="22585" spans="1:10" x14ac:dyDescent="0.25">
      <c r="A22585" t="s">
        <v>245</v>
      </c>
      <c r="B22585" s="1" t="str">
        <f>HYPERLINK("http://marsh.com.mx","marsh.com.mx")</f>
        <v>marsh.com.mx</v>
      </c>
      <c r="C22585" t="s">
        <v>471</v>
      </c>
      <c r="D22585" t="s">
        <v>847</v>
      </c>
      <c r="F22585">
        <v>6.8453214202871696E-9</v>
      </c>
      <c r="G22585">
        <v>12810291</v>
      </c>
      <c r="H22585">
        <v>11097939</v>
      </c>
      <c r="I22585">
        <v>32301298</v>
      </c>
      <c r="J22585">
        <v>3</v>
      </c>
    </row>
    <row r="22586" spans="1:10" x14ac:dyDescent="0.25">
      <c r="A22586" t="s">
        <v>245</v>
      </c>
      <c r="B22586" s="1" t="str">
        <f>HYPERLINK("http://marsh.com.my","marsh.com.my")</f>
        <v>marsh.com.my</v>
      </c>
      <c r="C22586" t="s">
        <v>472</v>
      </c>
      <c r="D22586" t="s">
        <v>848</v>
      </c>
      <c r="F22586">
        <v>4.9218823269544602E-9</v>
      </c>
      <c r="G22586">
        <v>31628536</v>
      </c>
      <c r="H22586">
        <v>10903624</v>
      </c>
      <c r="I22586">
        <v>35751113</v>
      </c>
      <c r="J22586">
        <v>3</v>
      </c>
    </row>
    <row r="22587" spans="1:10" x14ac:dyDescent="0.25">
      <c r="A22587" t="s">
        <v>245</v>
      </c>
      <c r="B22587" s="1" t="str">
        <f>HYPERLINK("http://ishift.net","ishift.net")</f>
        <v>ishift.net</v>
      </c>
      <c r="C22587" t="s">
        <v>474</v>
      </c>
      <c r="F22587">
        <v>4.98783246014978E-9</v>
      </c>
      <c r="G22587">
        <v>29732535</v>
      </c>
      <c r="H22587">
        <v>10885197</v>
      </c>
      <c r="I22587">
        <v>36236486</v>
      </c>
      <c r="J22587">
        <v>7</v>
      </c>
    </row>
    <row r="22588" spans="1:10" x14ac:dyDescent="0.25">
      <c r="A22588" t="s">
        <v>245</v>
      </c>
      <c r="B22588" s="1" t="str">
        <f>HYPERLINK("http://lshift.net","lshift.net")</f>
        <v>lshift.net</v>
      </c>
      <c r="C22588" t="s">
        <v>474</v>
      </c>
      <c r="F22588">
        <v>4.24447003210822E-7</v>
      </c>
      <c r="G22588">
        <v>88746</v>
      </c>
      <c r="H22588">
        <v>14743325</v>
      </c>
      <c r="I22588">
        <v>566301</v>
      </c>
      <c r="J22588">
        <v>6</v>
      </c>
    </row>
    <row r="22589" spans="1:10" x14ac:dyDescent="0.25">
      <c r="A22589" t="s">
        <v>245</v>
      </c>
      <c r="B22589" s="1" t="str">
        <f>HYPERLINK("http://marshmma.net","marshmma.net")</f>
        <v>marshmma.net</v>
      </c>
      <c r="C22589" t="s">
        <v>474</v>
      </c>
      <c r="F22589">
        <v>1.12194255291853E-8</v>
      </c>
      <c r="G22589">
        <v>5699484</v>
      </c>
      <c r="H22589">
        <v>10598917</v>
      </c>
      <c r="I22589">
        <v>44961964</v>
      </c>
      <c r="J22589">
        <v>4</v>
      </c>
    </row>
    <row r="22590" spans="1:10" x14ac:dyDescent="0.25">
      <c r="A22590" t="s">
        <v>245</v>
      </c>
      <c r="B22590" s="1" t="str">
        <f>HYPERLINK("http://tzfz.net","tzfz.net")</f>
        <v>tzfz.net</v>
      </c>
      <c r="C22590" t="s">
        <v>474</v>
      </c>
      <c r="F22590">
        <v>6.3945135156401598E-9</v>
      </c>
      <c r="G22590">
        <v>14547611</v>
      </c>
      <c r="H22590">
        <v>13461149</v>
      </c>
      <c r="I22590">
        <v>10163689</v>
      </c>
      <c r="J22590">
        <v>6</v>
      </c>
    </row>
    <row r="22591" spans="1:10" x14ac:dyDescent="0.25">
      <c r="A22591" t="s">
        <v>245</v>
      </c>
      <c r="B22591" s="1" t="str">
        <f>HYPERLINK("http://marsh.nl","marsh.nl")</f>
        <v>marsh.nl</v>
      </c>
      <c r="C22591" t="s">
        <v>477</v>
      </c>
      <c r="D22591" t="s">
        <v>852</v>
      </c>
      <c r="F22591">
        <v>5.61658794972497E-9</v>
      </c>
      <c r="G22591">
        <v>19699921</v>
      </c>
      <c r="H22591">
        <v>11279468</v>
      </c>
      <c r="I22591">
        <v>30710373</v>
      </c>
      <c r="J22591">
        <v>4</v>
      </c>
    </row>
    <row r="22592" spans="1:10" x14ac:dyDescent="0.25">
      <c r="A22592" t="s">
        <v>245</v>
      </c>
      <c r="B22592" s="1" t="str">
        <f>HYPERLINK("http://mercer.nl","mercer.nl")</f>
        <v>mercer.nl</v>
      </c>
      <c r="C22592" t="s">
        <v>477</v>
      </c>
      <c r="D22592" t="s">
        <v>852</v>
      </c>
      <c r="F22592">
        <v>5.18819433343683E-8</v>
      </c>
      <c r="G22592">
        <v>880517</v>
      </c>
      <c r="H22592">
        <v>13802561</v>
      </c>
      <c r="I22592">
        <v>6268597</v>
      </c>
      <c r="J22592">
        <v>4</v>
      </c>
    </row>
    <row r="22593" spans="1:10" x14ac:dyDescent="0.25">
      <c r="A22593" t="s">
        <v>245</v>
      </c>
      <c r="B22593" s="1" t="str">
        <f>HYPERLINK("http://mercer.no","mercer.no")</f>
        <v>mercer.no</v>
      </c>
      <c r="C22593" t="s">
        <v>478</v>
      </c>
      <c r="D22593" t="s">
        <v>853</v>
      </c>
      <c r="F22593">
        <v>2.2630927073967701E-8</v>
      </c>
      <c r="G22593">
        <v>2314131</v>
      </c>
      <c r="H22593">
        <v>13237864</v>
      </c>
      <c r="I22593">
        <v>11234320</v>
      </c>
      <c r="J22593">
        <v>3</v>
      </c>
    </row>
    <row r="22594" spans="1:10" x14ac:dyDescent="0.25">
      <c r="A22594" t="s">
        <v>245</v>
      </c>
      <c r="B22594" s="1" t="str">
        <f>HYPERLINK("http://marsh.co.nz","marsh.co.nz")</f>
        <v>marsh.co.nz</v>
      </c>
      <c r="C22594" t="s">
        <v>479</v>
      </c>
      <c r="D22594" t="s">
        <v>854</v>
      </c>
      <c r="F22594">
        <v>1.06493412238642E-8</v>
      </c>
      <c r="G22594">
        <v>6142058</v>
      </c>
      <c r="H22594">
        <v>12469066</v>
      </c>
      <c r="I22594">
        <v>17768784</v>
      </c>
      <c r="J22594">
        <v>4</v>
      </c>
    </row>
    <row r="22595" spans="1:10" x14ac:dyDescent="0.25">
      <c r="A22595" t="s">
        <v>245</v>
      </c>
      <c r="B22595" s="1" t="str">
        <f>HYPERLINK("http://mercer.co.nz","mercer.co.nz")</f>
        <v>mercer.co.nz</v>
      </c>
      <c r="C22595" t="s">
        <v>479</v>
      </c>
      <c r="D22595" t="s">
        <v>854</v>
      </c>
      <c r="F22595">
        <v>2.1803069824479701E-8</v>
      </c>
      <c r="G22595">
        <v>2410144</v>
      </c>
      <c r="H22595">
        <v>14072628</v>
      </c>
      <c r="I22595">
        <v>3064627</v>
      </c>
      <c r="J22595">
        <v>4</v>
      </c>
    </row>
    <row r="22596" spans="1:10" x14ac:dyDescent="0.25">
      <c r="A22596" t="s">
        <v>245</v>
      </c>
      <c r="B22596" s="1" t="str">
        <f>HYPERLINK("http://mercerfinancialservices.co.nz","mercerfinancialservices.co.nz")</f>
        <v>mercerfinancialservices.co.nz</v>
      </c>
      <c r="C22596" t="s">
        <v>479</v>
      </c>
      <c r="D22596" t="s">
        <v>854</v>
      </c>
      <c r="F22596">
        <v>6.9492387720817898E-9</v>
      </c>
      <c r="G22596">
        <v>12465975</v>
      </c>
      <c r="H22596">
        <v>12307737</v>
      </c>
      <c r="I22596">
        <v>20682346</v>
      </c>
      <c r="J22596">
        <v>3</v>
      </c>
    </row>
    <row r="22597" spans="1:10" x14ac:dyDescent="0.25">
      <c r="A22597" t="s">
        <v>245</v>
      </c>
      <c r="B22597" s="1" t="str">
        <f>HYPERLINK("http://balancedscorecard.org","balancedscorecard.org")</f>
        <v>balancedscorecard.org</v>
      </c>
      <c r="C22597" t="s">
        <v>481</v>
      </c>
      <c r="E22597">
        <v>229630</v>
      </c>
      <c r="F22597">
        <v>2.3525798294239201E-7</v>
      </c>
      <c r="G22597">
        <v>159296</v>
      </c>
      <c r="H22597">
        <v>14981847</v>
      </c>
      <c r="I22597">
        <v>430458</v>
      </c>
      <c r="J22597">
        <v>6</v>
      </c>
    </row>
    <row r="22598" spans="1:10" x14ac:dyDescent="0.25">
      <c r="A22598" t="s">
        <v>245</v>
      </c>
      <c r="B22598" s="1" t="str">
        <f>HYPERLINK("http://kpi.org","kpi.org")</f>
        <v>kpi.org</v>
      </c>
      <c r="C22598" t="s">
        <v>481</v>
      </c>
      <c r="E22598">
        <v>404300</v>
      </c>
      <c r="F22598">
        <v>3.4743389830289997E-7</v>
      </c>
      <c r="G22598">
        <v>107555</v>
      </c>
      <c r="H22598">
        <v>14519294</v>
      </c>
      <c r="I22598">
        <v>806796</v>
      </c>
      <c r="J22598">
        <v>7</v>
      </c>
    </row>
    <row r="22599" spans="1:10" x14ac:dyDescent="0.25">
      <c r="A22599" t="s">
        <v>245</v>
      </c>
      <c r="B22599" s="1" t="str">
        <f>HYPERLINK("http://perils.org","perils.org")</f>
        <v>perils.org</v>
      </c>
      <c r="C22599" t="s">
        <v>481</v>
      </c>
      <c r="F22599">
        <v>2.09832154616251E-8</v>
      </c>
      <c r="G22599">
        <v>2518048</v>
      </c>
      <c r="H22599">
        <v>14439786</v>
      </c>
      <c r="I22599">
        <v>1064557</v>
      </c>
      <c r="J22599">
        <v>3</v>
      </c>
    </row>
    <row r="22600" spans="1:10" x14ac:dyDescent="0.25">
      <c r="A22600" t="s">
        <v>245</v>
      </c>
      <c r="B22600" s="1" t="str">
        <f>HYPERLINK("http://mercer.com.ph","mercer.com.ph")</f>
        <v>mercer.com.ph</v>
      </c>
      <c r="C22600" t="s">
        <v>484</v>
      </c>
      <c r="D22600" t="s">
        <v>858</v>
      </c>
      <c r="F22600">
        <v>1.7880850635522499E-8</v>
      </c>
      <c r="G22600">
        <v>3057587</v>
      </c>
      <c r="H22600">
        <v>12406407</v>
      </c>
      <c r="I22600">
        <v>18664366</v>
      </c>
      <c r="J22600">
        <v>4</v>
      </c>
    </row>
    <row r="22601" spans="1:10" x14ac:dyDescent="0.25">
      <c r="A22601" t="s">
        <v>245</v>
      </c>
      <c r="B22601" s="1" t="str">
        <f>HYPERLINK("http://mercer.com.pl","mercer.com.pl")</f>
        <v>mercer.com.pl</v>
      </c>
      <c r="C22601" t="s">
        <v>486</v>
      </c>
      <c r="D22601" t="s">
        <v>860</v>
      </c>
      <c r="F22601">
        <v>2.0744463912218001E-8</v>
      </c>
      <c r="G22601">
        <v>2550618</v>
      </c>
      <c r="H22601">
        <v>12594021</v>
      </c>
      <c r="I22601">
        <v>16381288</v>
      </c>
      <c r="J22601">
        <v>4</v>
      </c>
    </row>
    <row r="22602" spans="1:10" x14ac:dyDescent="0.25">
      <c r="A22602" t="s">
        <v>245</v>
      </c>
      <c r="B22602" s="1" t="str">
        <f>HYPERLINK("http://mettl.pro","mettl.pro")</f>
        <v>mettl.pro</v>
      </c>
      <c r="C22602" t="s">
        <v>574</v>
      </c>
      <c r="F22602">
        <v>6.5336766120528697E-9</v>
      </c>
      <c r="G22602">
        <v>13938827</v>
      </c>
      <c r="H22602">
        <v>12041843</v>
      </c>
      <c r="I22602">
        <v>27425132</v>
      </c>
      <c r="J22602">
        <v>4</v>
      </c>
    </row>
    <row r="22603" spans="1:10" x14ac:dyDescent="0.25">
      <c r="A22603" t="s">
        <v>245</v>
      </c>
      <c r="B22603" s="1" t="str">
        <f>HYPERLINK("http://marsh.pt","marsh.pt")</f>
        <v>marsh.pt</v>
      </c>
      <c r="C22603" t="s">
        <v>488</v>
      </c>
      <c r="D22603" t="s">
        <v>862</v>
      </c>
      <c r="F22603">
        <v>4.8960742603989897E-9</v>
      </c>
      <c r="G22603">
        <v>32581630</v>
      </c>
      <c r="H22603">
        <v>12234003</v>
      </c>
      <c r="I22603">
        <v>22403979</v>
      </c>
      <c r="J22603">
        <v>3</v>
      </c>
    </row>
    <row r="22604" spans="1:10" x14ac:dyDescent="0.25">
      <c r="A22604" t="s">
        <v>245</v>
      </c>
      <c r="B22604" s="1" t="str">
        <f>HYPERLINK("http://mercer.pt","mercer.pt")</f>
        <v>mercer.pt</v>
      </c>
      <c r="C22604" t="s">
        <v>488</v>
      </c>
      <c r="D22604" t="s">
        <v>862</v>
      </c>
      <c r="F22604">
        <v>2.6383386067849701E-8</v>
      </c>
      <c r="G22604">
        <v>1951625</v>
      </c>
      <c r="H22604">
        <v>13773602</v>
      </c>
      <c r="I22604">
        <v>6627223</v>
      </c>
      <c r="J22604">
        <v>4</v>
      </c>
    </row>
    <row r="22605" spans="1:10" x14ac:dyDescent="0.25">
      <c r="A22605" t="s">
        <v>245</v>
      </c>
      <c r="B22605" s="1" t="str">
        <f>HYPERLINK("http://marsh.ru","marsh.ru")</f>
        <v>marsh.ru</v>
      </c>
      <c r="C22605" t="s">
        <v>493</v>
      </c>
      <c r="D22605" t="s">
        <v>867</v>
      </c>
      <c r="F22605">
        <v>5.7238371573629198E-9</v>
      </c>
      <c r="G22605">
        <v>18716470</v>
      </c>
      <c r="H22605">
        <v>12035641</v>
      </c>
      <c r="I22605">
        <v>27544765</v>
      </c>
      <c r="J22605">
        <v>4</v>
      </c>
    </row>
    <row r="22606" spans="1:10" x14ac:dyDescent="0.25">
      <c r="A22606" t="s">
        <v>245</v>
      </c>
      <c r="B22606" s="1" t="str">
        <f>HYPERLINK("http://marsh.se","marsh.se")</f>
        <v>marsh.se</v>
      </c>
      <c r="C22606" t="s">
        <v>495</v>
      </c>
      <c r="D22606" t="s">
        <v>869</v>
      </c>
      <c r="F22606">
        <v>5.6879429025048197E-9</v>
      </c>
      <c r="G22606">
        <v>19062754</v>
      </c>
      <c r="H22606">
        <v>12411360</v>
      </c>
      <c r="I22606">
        <v>18589995</v>
      </c>
      <c r="J22606">
        <v>4</v>
      </c>
    </row>
    <row r="22607" spans="1:10" x14ac:dyDescent="0.25">
      <c r="A22607" t="s">
        <v>245</v>
      </c>
      <c r="B22607" s="1" t="str">
        <f>HYPERLINK("http://mercer.com.sg","mercer.com.sg")</f>
        <v>mercer.com.sg</v>
      </c>
      <c r="C22607" t="s">
        <v>496</v>
      </c>
      <c r="D22607" t="s">
        <v>870</v>
      </c>
      <c r="F22607">
        <v>5.0865890012441801E-8</v>
      </c>
      <c r="G22607">
        <v>901743</v>
      </c>
      <c r="H22607">
        <v>13148104</v>
      </c>
      <c r="I22607">
        <v>11835822</v>
      </c>
      <c r="J22607">
        <v>3</v>
      </c>
    </row>
    <row r="22608" spans="1:10" x14ac:dyDescent="0.25">
      <c r="A22608" t="s">
        <v>245</v>
      </c>
      <c r="B22608" s="1" t="str">
        <f>HYPERLINK("http://mercer.com.tr","mercer.com.tr")</f>
        <v>mercer.com.tr</v>
      </c>
      <c r="C22608" t="s">
        <v>502</v>
      </c>
      <c r="D22608" t="s">
        <v>876</v>
      </c>
      <c r="F22608">
        <v>2.3102495777892701E-8</v>
      </c>
      <c r="G22608">
        <v>2259819</v>
      </c>
      <c r="H22608">
        <v>12414759</v>
      </c>
      <c r="I22608">
        <v>18541870</v>
      </c>
      <c r="J22608">
        <v>4</v>
      </c>
    </row>
    <row r="22609" spans="1:10" x14ac:dyDescent="0.25">
      <c r="A22609" t="s">
        <v>245</v>
      </c>
      <c r="B22609" s="1" t="str">
        <f>HYPERLINK("http://mercer.com.tw","mercer.com.tw")</f>
        <v>mercer.com.tw</v>
      </c>
      <c r="C22609" t="s">
        <v>504</v>
      </c>
      <c r="D22609" t="s">
        <v>878</v>
      </c>
      <c r="F22609">
        <v>1.86603523321531E-8</v>
      </c>
      <c r="G22609">
        <v>2896581</v>
      </c>
      <c r="H22609">
        <v>12523719</v>
      </c>
      <c r="I22609">
        <v>17114598</v>
      </c>
      <c r="J22609">
        <v>4</v>
      </c>
    </row>
    <row r="22610" spans="1:10" x14ac:dyDescent="0.25">
      <c r="A22610" t="s">
        <v>245</v>
      </c>
      <c r="B22610" s="1" t="str">
        <f>HYPERLINK("http://central-group.co.uk","central-group.co.uk")</f>
        <v>central-group.co.uk</v>
      </c>
      <c r="C22610" t="s">
        <v>506</v>
      </c>
      <c r="D22610" t="s">
        <v>880</v>
      </c>
      <c r="J22610">
        <v>3</v>
      </c>
    </row>
    <row r="22611" spans="1:10" x14ac:dyDescent="0.25">
      <c r="A22611" t="s">
        <v>245</v>
      </c>
      <c r="B22611" s="1" t="str">
        <f>HYPERLINK("http://marshcommercial.co.uk","marshcommercial.co.uk")</f>
        <v>marshcommercial.co.uk</v>
      </c>
      <c r="C22611" t="s">
        <v>506</v>
      </c>
      <c r="D22611" t="s">
        <v>880</v>
      </c>
      <c r="E22611">
        <v>393741</v>
      </c>
      <c r="F22611">
        <v>8.3555600473186104E-8</v>
      </c>
      <c r="G22611">
        <v>496580</v>
      </c>
      <c r="H22611">
        <v>13654233</v>
      </c>
      <c r="I22611">
        <v>9604289</v>
      </c>
      <c r="J22611">
        <v>4</v>
      </c>
    </row>
    <row r="22612" spans="1:10" x14ac:dyDescent="0.25">
      <c r="A22612" t="s">
        <v>245</v>
      </c>
      <c r="B22612" s="1" t="str">
        <f>HYPERLINK("http://mercer.us","mercer.us")</f>
        <v>mercer.us</v>
      </c>
      <c r="C22612" t="s">
        <v>522</v>
      </c>
      <c r="D22612" t="s">
        <v>891</v>
      </c>
      <c r="E22612">
        <v>142878</v>
      </c>
      <c r="F22612">
        <v>2.0855282652173899E-6</v>
      </c>
      <c r="G22612">
        <v>17547</v>
      </c>
      <c r="H22612">
        <v>15416867</v>
      </c>
      <c r="I22612">
        <v>379490</v>
      </c>
      <c r="J22612">
        <v>4</v>
      </c>
    </row>
    <row r="22613" spans="1:10" x14ac:dyDescent="0.25">
      <c r="A22613" t="s">
        <v>246</v>
      </c>
      <c r="B22613" s="1" t="str">
        <f>HYPERLINK("http://mastercard.ae","mastercard.ae")</f>
        <v>mastercard.ae</v>
      </c>
      <c r="C22613" t="s">
        <v>417</v>
      </c>
      <c r="D22613" t="s">
        <v>799</v>
      </c>
      <c r="F22613">
        <v>4.4613266246887197E-8</v>
      </c>
      <c r="G22613">
        <v>1061514</v>
      </c>
      <c r="H22613">
        <v>13315235</v>
      </c>
      <c r="I22613">
        <v>10761364</v>
      </c>
      <c r="J22613">
        <v>2</v>
      </c>
    </row>
    <row r="22614" spans="1:10" x14ac:dyDescent="0.25">
      <c r="A22614" t="s">
        <v>246</v>
      </c>
      <c r="B22614" s="1" t="str">
        <f>HYPERLINK("http://mastercard.com.ar","mastercard.com.ar")</f>
        <v>mastercard.com.ar</v>
      </c>
      <c r="C22614" t="s">
        <v>418</v>
      </c>
      <c r="D22614" t="s">
        <v>800</v>
      </c>
      <c r="F22614">
        <v>1.8439163710541699E-7</v>
      </c>
      <c r="G22614">
        <v>209122</v>
      </c>
      <c r="H22614">
        <v>13599429</v>
      </c>
      <c r="I22614">
        <v>9651360</v>
      </c>
      <c r="J22614">
        <v>2</v>
      </c>
    </row>
    <row r="22615" spans="1:10" x14ac:dyDescent="0.25">
      <c r="A22615" t="s">
        <v>246</v>
      </c>
      <c r="B22615" s="1" t="str">
        <f>HYPERLINK("http://mastercard.at","mastercard.at")</f>
        <v>mastercard.at</v>
      </c>
      <c r="C22615" t="s">
        <v>419</v>
      </c>
      <c r="D22615" t="s">
        <v>801</v>
      </c>
      <c r="F22615">
        <v>1.5368958685545899E-7</v>
      </c>
      <c r="G22615">
        <v>252740</v>
      </c>
      <c r="H22615">
        <v>14109913</v>
      </c>
      <c r="I22615">
        <v>2676335</v>
      </c>
      <c r="J22615">
        <v>2</v>
      </c>
    </row>
    <row r="22616" spans="1:10" x14ac:dyDescent="0.25">
      <c r="A22616" t="s">
        <v>246</v>
      </c>
      <c r="B22616" s="1" t="str">
        <f>HYPERLINK("http://mastercard.com.au","mastercard.com.au")</f>
        <v>mastercard.com.au</v>
      </c>
      <c r="C22616" t="s">
        <v>420</v>
      </c>
      <c r="D22616" t="s">
        <v>802</v>
      </c>
      <c r="E22616">
        <v>39250</v>
      </c>
      <c r="F22616">
        <v>1.53881397665662E-7</v>
      </c>
      <c r="G22616">
        <v>252411</v>
      </c>
      <c r="H22616">
        <v>14205035</v>
      </c>
      <c r="I22616">
        <v>1713065</v>
      </c>
      <c r="J22616">
        <v>2</v>
      </c>
    </row>
    <row r="22617" spans="1:10" x14ac:dyDescent="0.25">
      <c r="A22617" t="s">
        <v>246</v>
      </c>
      <c r="B22617" s="1" t="str">
        <f>HYPERLINK("http://mastercard.be","mastercard.be")</f>
        <v>mastercard.be</v>
      </c>
      <c r="C22617" t="s">
        <v>421</v>
      </c>
      <c r="D22617" t="s">
        <v>803</v>
      </c>
      <c r="F22617">
        <v>7.30906388665144E-8</v>
      </c>
      <c r="G22617">
        <v>576904</v>
      </c>
      <c r="H22617">
        <v>13761628</v>
      </c>
      <c r="I22617">
        <v>9413433</v>
      </c>
      <c r="J22617">
        <v>2</v>
      </c>
    </row>
    <row r="22618" spans="1:10" x14ac:dyDescent="0.25">
      <c r="A22618" t="s">
        <v>246</v>
      </c>
      <c r="B22618" s="1" t="str">
        <f>HYPERLINK("http://mastercard.bg","mastercard.bg")</f>
        <v>mastercard.bg</v>
      </c>
      <c r="C22618" t="s">
        <v>422</v>
      </c>
      <c r="D22618" t="s">
        <v>804</v>
      </c>
      <c r="F22618">
        <v>6.8750405547364394E-8</v>
      </c>
      <c r="G22618">
        <v>618670</v>
      </c>
      <c r="H22618">
        <v>14384619</v>
      </c>
      <c r="I22618">
        <v>1182079</v>
      </c>
      <c r="J22618">
        <v>2</v>
      </c>
    </row>
    <row r="22619" spans="1:10" x14ac:dyDescent="0.25">
      <c r="A22619" t="s">
        <v>246</v>
      </c>
      <c r="B22619" s="1" t="str">
        <f>HYPERLINK("http://mastercard.com.bh","mastercard.com.bh")</f>
        <v>mastercard.com.bh</v>
      </c>
      <c r="C22619" t="s">
        <v>580</v>
      </c>
      <c r="D22619" t="s">
        <v>922</v>
      </c>
      <c r="F22619">
        <v>1.25657794206792E-8</v>
      </c>
      <c r="G22619">
        <v>4850107</v>
      </c>
      <c r="H22619">
        <v>12247023</v>
      </c>
      <c r="I22619">
        <v>22072972</v>
      </c>
      <c r="J22619">
        <v>2</v>
      </c>
    </row>
    <row r="22620" spans="1:10" x14ac:dyDescent="0.25">
      <c r="A22620" t="s">
        <v>246</v>
      </c>
      <c r="B22620" s="1" t="str">
        <f>HYPERLINK("http://mastercard.com.br","mastercard.com.br")</f>
        <v>mastercard.com.br</v>
      </c>
      <c r="C22620" t="s">
        <v>425</v>
      </c>
      <c r="D22620" t="s">
        <v>806</v>
      </c>
      <c r="E22620">
        <v>359815</v>
      </c>
      <c r="F22620">
        <v>8.3361913323320501E-8</v>
      </c>
      <c r="G22620">
        <v>498510</v>
      </c>
      <c r="H22620">
        <v>14615686</v>
      </c>
      <c r="I22620">
        <v>666511</v>
      </c>
      <c r="J22620">
        <v>2</v>
      </c>
    </row>
    <row r="22621" spans="1:10" x14ac:dyDescent="0.25">
      <c r="A22621" t="s">
        <v>246</v>
      </c>
      <c r="B22621" s="1" t="str">
        <f>HYPERLINK("http://mastercard.by","mastercard.by")</f>
        <v>mastercard.by</v>
      </c>
      <c r="C22621" t="s">
        <v>427</v>
      </c>
      <c r="D22621" t="s">
        <v>808</v>
      </c>
      <c r="F22621">
        <v>3.2326117923550901E-8</v>
      </c>
      <c r="G22621">
        <v>1598436</v>
      </c>
      <c r="H22621">
        <v>12870744</v>
      </c>
      <c r="I22621">
        <v>14064025</v>
      </c>
      <c r="J22621">
        <v>2</v>
      </c>
    </row>
    <row r="22622" spans="1:10" x14ac:dyDescent="0.25">
      <c r="A22622" t="s">
        <v>246</v>
      </c>
      <c r="B22622" s="1" t="str">
        <f>HYPERLINK("http://mastercard.ca","mastercard.ca")</f>
        <v>mastercard.ca</v>
      </c>
      <c r="C22622" t="s">
        <v>428</v>
      </c>
      <c r="D22622" t="s">
        <v>809</v>
      </c>
      <c r="E22622">
        <v>160301</v>
      </c>
      <c r="F22622">
        <v>7.5631657127675599E-7</v>
      </c>
      <c r="G22622">
        <v>51570</v>
      </c>
      <c r="H22622">
        <v>14799516</v>
      </c>
      <c r="I22622">
        <v>548461</v>
      </c>
      <c r="J22622">
        <v>2</v>
      </c>
    </row>
    <row r="22623" spans="1:10" x14ac:dyDescent="0.25">
      <c r="A22623" t="s">
        <v>246</v>
      </c>
      <c r="B22623" s="1" t="str">
        <f>HYPERLINK("http://mastercard.ch","mastercard.ch")</f>
        <v>mastercard.ch</v>
      </c>
      <c r="C22623" t="s">
        <v>429</v>
      </c>
      <c r="D22623" t="s">
        <v>810</v>
      </c>
      <c r="E22623">
        <v>458178</v>
      </c>
      <c r="F22623">
        <v>2.3277918931692301E-7</v>
      </c>
      <c r="G22623">
        <v>161209</v>
      </c>
      <c r="H22623">
        <v>14087312</v>
      </c>
      <c r="I22623">
        <v>2764470</v>
      </c>
      <c r="J22623">
        <v>2</v>
      </c>
    </row>
    <row r="22624" spans="1:10" x14ac:dyDescent="0.25">
      <c r="A22624" t="s">
        <v>246</v>
      </c>
      <c r="B22624" s="1" t="str">
        <f>HYPERLINK("http://mastercard.cl","mastercard.cl")</f>
        <v>mastercard.cl</v>
      </c>
      <c r="C22624" t="s">
        <v>430</v>
      </c>
      <c r="D22624" t="s">
        <v>811</v>
      </c>
      <c r="F22624">
        <v>2.2367375388242999E-8</v>
      </c>
      <c r="G22624">
        <v>2343371</v>
      </c>
      <c r="H22624">
        <v>12916451</v>
      </c>
      <c r="I22624">
        <v>13513052</v>
      </c>
      <c r="J22624">
        <v>2</v>
      </c>
    </row>
    <row r="22625" spans="1:10" x14ac:dyDescent="0.25">
      <c r="A22625" t="s">
        <v>246</v>
      </c>
      <c r="B22625" s="1" t="str">
        <f>HYPERLINK("http://mastercard.com.cn","mastercard.com.cn")</f>
        <v>mastercard.com.cn</v>
      </c>
      <c r="C22625" t="s">
        <v>431</v>
      </c>
      <c r="D22625" t="s">
        <v>812</v>
      </c>
      <c r="F22625">
        <v>1.5159559573739E-7</v>
      </c>
      <c r="G22625">
        <v>256208</v>
      </c>
      <c r="H22625">
        <v>14100280</v>
      </c>
      <c r="I22625">
        <v>2706465</v>
      </c>
      <c r="J22625">
        <v>2</v>
      </c>
    </row>
    <row r="22626" spans="1:10" x14ac:dyDescent="0.25">
      <c r="A22626" t="s">
        <v>246</v>
      </c>
      <c r="B22626" s="1" t="str">
        <f>HYPERLINK("http://mastercard.com.co","mastercard.com.co")</f>
        <v>mastercard.com.co</v>
      </c>
      <c r="C22626" t="s">
        <v>432</v>
      </c>
      <c r="F22626">
        <v>2.5491771393357999E-8</v>
      </c>
      <c r="G22626">
        <v>2023396</v>
      </c>
      <c r="H22626">
        <v>12841244</v>
      </c>
      <c r="I22626">
        <v>14341314</v>
      </c>
      <c r="J22626">
        <v>2</v>
      </c>
    </row>
    <row r="22627" spans="1:10" x14ac:dyDescent="0.25">
      <c r="A22627" t="s">
        <v>246</v>
      </c>
      <c r="B22627" s="1" t="str">
        <f>HYPERLINK("http://mastercard.co","mastercard.co")</f>
        <v>mastercard.co</v>
      </c>
      <c r="C22627" t="s">
        <v>432</v>
      </c>
      <c r="F22627">
        <v>4.7472056988083302E-9</v>
      </c>
      <c r="G22627">
        <v>38455352</v>
      </c>
      <c r="H22627">
        <v>12084434</v>
      </c>
      <c r="I22627">
        <v>26454060</v>
      </c>
      <c r="J22627">
        <v>3</v>
      </c>
    </row>
    <row r="22628" spans="1:10" x14ac:dyDescent="0.25">
      <c r="A22628" t="s">
        <v>246</v>
      </c>
      <c r="B22628" s="1" t="str">
        <f>HYPERLINK("http://accessprepaidworldwide.com","accessprepaidworldwide.com")</f>
        <v>accessprepaidworldwide.com</v>
      </c>
      <c r="C22628" t="s">
        <v>433</v>
      </c>
      <c r="F22628">
        <v>4.6190284613377799E-9</v>
      </c>
      <c r="G22628">
        <v>46201388</v>
      </c>
      <c r="H22628">
        <v>10815256</v>
      </c>
      <c r="I22628">
        <v>37733247</v>
      </c>
      <c r="J22628">
        <v>4</v>
      </c>
    </row>
    <row r="22629" spans="1:10" x14ac:dyDescent="0.25">
      <c r="A22629" t="s">
        <v>246</v>
      </c>
      <c r="B22629" s="1" t="str">
        <f>HYPERLINK("http://datacash.com","datacash.com")</f>
        <v>datacash.com</v>
      </c>
      <c r="C22629" t="s">
        <v>433</v>
      </c>
      <c r="E22629">
        <v>178082</v>
      </c>
      <c r="F22629">
        <v>6.9684118634725802E-8</v>
      </c>
      <c r="G22629">
        <v>608968</v>
      </c>
      <c r="H22629">
        <v>13927047</v>
      </c>
      <c r="I22629">
        <v>5930853</v>
      </c>
      <c r="J22629">
        <v>3</v>
      </c>
    </row>
    <row r="22630" spans="1:10" x14ac:dyDescent="0.25">
      <c r="A22630" t="s">
        <v>246</v>
      </c>
      <c r="B22630" s="1" t="str">
        <f>HYPERLINK("http://dynamicyield.com","dynamicyield.com")</f>
        <v>dynamicyield.com</v>
      </c>
      <c r="C22630" t="s">
        <v>433</v>
      </c>
      <c r="E22630">
        <v>3839</v>
      </c>
      <c r="F22630">
        <v>9.3996748935737499E-6</v>
      </c>
      <c r="G22630">
        <v>3601</v>
      </c>
      <c r="H22630">
        <v>17615874</v>
      </c>
      <c r="I22630">
        <v>9225</v>
      </c>
      <c r="J22630">
        <v>3</v>
      </c>
    </row>
    <row r="22631" spans="1:10" x14ac:dyDescent="0.25">
      <c r="A22631" t="s">
        <v>246</v>
      </c>
      <c r="B22631" s="1" t="str">
        <f>HYPERLINK("http://ekata.com","ekata.com")</f>
        <v>ekata.com</v>
      </c>
      <c r="C22631" t="s">
        <v>433</v>
      </c>
      <c r="E22631">
        <v>152307</v>
      </c>
      <c r="F22631">
        <v>3.5848042443895902E-7</v>
      </c>
      <c r="G22631">
        <v>104298</v>
      </c>
      <c r="H22631">
        <v>16857438</v>
      </c>
      <c r="I22631">
        <v>155954</v>
      </c>
      <c r="J22631">
        <v>3</v>
      </c>
    </row>
    <row r="22632" spans="1:10" x14ac:dyDescent="0.25">
      <c r="A22632" t="s">
        <v>246</v>
      </c>
      <c r="B22632" s="1" t="str">
        <f>HYPERLINK("http://electracard.com","electracard.com")</f>
        <v>electracard.com</v>
      </c>
      <c r="C22632" t="s">
        <v>433</v>
      </c>
      <c r="F22632">
        <v>1.36723372783791E-8</v>
      </c>
      <c r="G22632">
        <v>4332250</v>
      </c>
      <c r="H22632">
        <v>14074124</v>
      </c>
      <c r="I22632">
        <v>2955768</v>
      </c>
      <c r="J22632">
        <v>4</v>
      </c>
    </row>
    <row r="22633" spans="1:10" x14ac:dyDescent="0.25">
      <c r="A22633" t="s">
        <v>246</v>
      </c>
      <c r="B22633" s="1" t="str">
        <f>HYPERLINK("http://finicity.com","finicity.com")</f>
        <v>finicity.com</v>
      </c>
      <c r="C22633" t="s">
        <v>433</v>
      </c>
      <c r="E22633">
        <v>45235</v>
      </c>
      <c r="F22633">
        <v>5.4556408158752805E-7</v>
      </c>
      <c r="G22633">
        <v>70852</v>
      </c>
      <c r="H22633">
        <v>14571597</v>
      </c>
      <c r="I22633">
        <v>734218</v>
      </c>
      <c r="J22633">
        <v>3</v>
      </c>
    </row>
    <row r="22634" spans="1:10" x14ac:dyDescent="0.25">
      <c r="A22634" t="s">
        <v>246</v>
      </c>
      <c r="B22634" s="1" t="str">
        <f>HYPERLINK("http://go2vocalink.com","go2vocalink.com")</f>
        <v>go2vocalink.com</v>
      </c>
      <c r="C22634" t="s">
        <v>433</v>
      </c>
      <c r="J22634">
        <v>6</v>
      </c>
    </row>
    <row r="22635" spans="1:10" x14ac:dyDescent="0.25">
      <c r="A22635" t="s">
        <v>246</v>
      </c>
      <c r="B22635" s="1" t="str">
        <f>HYPERLINK("http://homesend.com","homesend.com")</f>
        <v>homesend.com</v>
      </c>
      <c r="C22635" t="s">
        <v>433</v>
      </c>
      <c r="F22635">
        <v>1.082027453658E-8</v>
      </c>
      <c r="G22635">
        <v>6004799</v>
      </c>
      <c r="H22635">
        <v>13147074</v>
      </c>
      <c r="I22635">
        <v>11839990</v>
      </c>
      <c r="J22635">
        <v>4</v>
      </c>
    </row>
    <row r="22636" spans="1:10" x14ac:dyDescent="0.25">
      <c r="A22636" t="s">
        <v>246</v>
      </c>
      <c r="B22636" s="1" t="str">
        <f>HYPERLINK("http://mastercard.com","mastercard.com")</f>
        <v>mastercard.com</v>
      </c>
      <c r="C22636" t="s">
        <v>433</v>
      </c>
      <c r="E22636">
        <v>1580</v>
      </c>
      <c r="F22636">
        <v>1.6760739772432401E-5</v>
      </c>
      <c r="G22636">
        <v>2002</v>
      </c>
      <c r="H22636">
        <v>18346446</v>
      </c>
      <c r="I22636">
        <v>2178</v>
      </c>
      <c r="J22636">
        <v>1</v>
      </c>
    </row>
    <row r="22637" spans="1:10" x14ac:dyDescent="0.25">
      <c r="A22637" t="s">
        <v>246</v>
      </c>
      <c r="B22637" s="1" t="str">
        <f>HYPERLINK("http://medicalpenisextender.com","medicalpenisextender.com")</f>
        <v>medicalpenisextender.com</v>
      </c>
      <c r="C22637" t="s">
        <v>433</v>
      </c>
      <c r="F22637">
        <v>4.4566395946408001E-9</v>
      </c>
      <c r="G22637">
        <v>68882927</v>
      </c>
      <c r="H22637">
        <v>10347782</v>
      </c>
      <c r="I22637">
        <v>56613574</v>
      </c>
      <c r="J22637">
        <v>4</v>
      </c>
    </row>
    <row r="22638" spans="1:10" x14ac:dyDescent="0.25">
      <c r="A22638" t="s">
        <v>246</v>
      </c>
      <c r="B22638" s="1" t="str">
        <f>HYPERLINK("http://riskrecon.com","riskrecon.com")</f>
        <v>riskrecon.com</v>
      </c>
      <c r="C22638" t="s">
        <v>433</v>
      </c>
      <c r="E22638">
        <v>452977</v>
      </c>
      <c r="F22638">
        <v>1.94706370896476E-7</v>
      </c>
      <c r="G22638">
        <v>198016</v>
      </c>
      <c r="H22638">
        <v>14064473</v>
      </c>
      <c r="I22638">
        <v>3742470</v>
      </c>
      <c r="J22638">
        <v>4</v>
      </c>
    </row>
    <row r="22639" spans="1:10" x14ac:dyDescent="0.25">
      <c r="A22639" t="s">
        <v>246</v>
      </c>
      <c r="B22639" s="1" t="str">
        <f>HYPERLINK("http://transfast.com","transfast.com")</f>
        <v>transfast.com</v>
      </c>
      <c r="C22639" t="s">
        <v>433</v>
      </c>
      <c r="E22639">
        <v>697782</v>
      </c>
      <c r="F22639">
        <v>4.1932821629816597E-8</v>
      </c>
      <c r="G22639">
        <v>1170184</v>
      </c>
      <c r="H22639">
        <v>14115344</v>
      </c>
      <c r="I22639">
        <v>2663713</v>
      </c>
      <c r="J22639">
        <v>3</v>
      </c>
    </row>
    <row r="22640" spans="1:10" x14ac:dyDescent="0.25">
      <c r="A22640" t="s">
        <v>246</v>
      </c>
      <c r="B22640" s="1" t="str">
        <f>HYPERLINK("http://transfastinc.com","transfastinc.com")</f>
        <v>transfastinc.com</v>
      </c>
      <c r="C22640" t="s">
        <v>433</v>
      </c>
      <c r="F22640">
        <v>4.4456726694363601E-9</v>
      </c>
      <c r="G22640">
        <v>75041861</v>
      </c>
      <c r="H22640">
        <v>8991913</v>
      </c>
      <c r="I22640">
        <v>68878360</v>
      </c>
      <c r="J22640">
        <v>3</v>
      </c>
    </row>
    <row r="22641" spans="1:10" x14ac:dyDescent="0.25">
      <c r="A22641" t="s">
        <v>246</v>
      </c>
      <c r="B22641" s="1" t="str">
        <f>HYPERLINK("http://transfastwmt.com","transfastwmt.com")</f>
        <v>transfastwmt.com</v>
      </c>
      <c r="C22641" t="s">
        <v>433</v>
      </c>
      <c r="J22641">
        <v>3</v>
      </c>
    </row>
    <row r="22642" spans="1:10" x14ac:dyDescent="0.25">
      <c r="A22642" t="s">
        <v>246</v>
      </c>
      <c r="B22642" s="1" t="str">
        <f>HYPERLINK("http://truaxis.com","truaxis.com")</f>
        <v>truaxis.com</v>
      </c>
      <c r="C22642" t="s">
        <v>433</v>
      </c>
      <c r="F22642">
        <v>1.12272706559407E-8</v>
      </c>
      <c r="G22642">
        <v>5694052</v>
      </c>
      <c r="H22642">
        <v>13832555</v>
      </c>
      <c r="I22642">
        <v>6101825</v>
      </c>
      <c r="J22642">
        <v>6</v>
      </c>
    </row>
    <row r="22643" spans="1:10" x14ac:dyDescent="0.25">
      <c r="A22643" t="s">
        <v>246</v>
      </c>
      <c r="B22643" s="1" t="str">
        <f>HYPERLINK("http://vocalink.com","vocalink.com")</f>
        <v>vocalink.com</v>
      </c>
      <c r="C22643" t="s">
        <v>433</v>
      </c>
      <c r="E22643">
        <v>488115</v>
      </c>
      <c r="F22643">
        <v>1.2914841327753699E-7</v>
      </c>
      <c r="G22643">
        <v>303390</v>
      </c>
      <c r="H22643">
        <v>13931824</v>
      </c>
      <c r="I22643">
        <v>5928363</v>
      </c>
      <c r="J22643">
        <v>5</v>
      </c>
    </row>
    <row r="22644" spans="1:10" x14ac:dyDescent="0.25">
      <c r="A22644" t="s">
        <v>246</v>
      </c>
      <c r="B22644" s="1" t="str">
        <f>HYPERLINK("http://vocalinks.com","vocalinks.com")</f>
        <v>vocalinks.com</v>
      </c>
      <c r="C22644" t="s">
        <v>433</v>
      </c>
      <c r="F22644">
        <v>1.2630902248541901E-8</v>
      </c>
      <c r="G22644">
        <v>4815244</v>
      </c>
      <c r="H22644">
        <v>13830536</v>
      </c>
      <c r="I22644">
        <v>6109338</v>
      </c>
      <c r="J22644">
        <v>9</v>
      </c>
    </row>
    <row r="22645" spans="1:10" x14ac:dyDescent="0.25">
      <c r="A22645" t="s">
        <v>246</v>
      </c>
      <c r="B22645" s="1" t="str">
        <f>HYPERLINK("http://mastercard.cz","mastercard.cz")</f>
        <v>mastercard.cz</v>
      </c>
      <c r="C22645" t="s">
        <v>435</v>
      </c>
      <c r="D22645" t="s">
        <v>814</v>
      </c>
      <c r="F22645">
        <v>2.0241697061147801E-7</v>
      </c>
      <c r="G22645">
        <v>187906</v>
      </c>
      <c r="H22645">
        <v>13322695</v>
      </c>
      <c r="I22645">
        <v>10739217</v>
      </c>
      <c r="J22645">
        <v>2</v>
      </c>
    </row>
    <row r="22646" spans="1:10" x14ac:dyDescent="0.25">
      <c r="A22646" t="s">
        <v>246</v>
      </c>
      <c r="B22646" s="1" t="str">
        <f>HYPERLINK("http://mastercard.de","mastercard.de")</f>
        <v>mastercard.de</v>
      </c>
      <c r="C22646" t="s">
        <v>436</v>
      </c>
      <c r="D22646" t="s">
        <v>815</v>
      </c>
      <c r="E22646">
        <v>61269</v>
      </c>
      <c r="F22646">
        <v>2.98300003042376E-6</v>
      </c>
      <c r="G22646">
        <v>13032</v>
      </c>
      <c r="H22646">
        <v>14877919</v>
      </c>
      <c r="I22646">
        <v>473967</v>
      </c>
      <c r="J22646">
        <v>2</v>
      </c>
    </row>
    <row r="22647" spans="1:10" x14ac:dyDescent="0.25">
      <c r="A22647" t="s">
        <v>246</v>
      </c>
      <c r="B22647" s="1" t="str">
        <f>HYPERLINK("http://mastercard.dk","mastercard.dk")</f>
        <v>mastercard.dk</v>
      </c>
      <c r="C22647" t="s">
        <v>437</v>
      </c>
      <c r="D22647" t="s">
        <v>816</v>
      </c>
      <c r="F22647">
        <v>7.5348410737099994E-8</v>
      </c>
      <c r="G22647">
        <v>558004</v>
      </c>
      <c r="H22647">
        <v>14086302</v>
      </c>
      <c r="I22647">
        <v>2771088</v>
      </c>
      <c r="J22647">
        <v>2</v>
      </c>
    </row>
    <row r="22648" spans="1:10" x14ac:dyDescent="0.25">
      <c r="A22648" t="s">
        <v>246</v>
      </c>
      <c r="B22648" s="1" t="str">
        <f>HYPERLINK("http://mastercard.com.eg","mastercard.com.eg")</f>
        <v>mastercard.com.eg</v>
      </c>
      <c r="C22648" t="s">
        <v>442</v>
      </c>
      <c r="D22648" t="s">
        <v>821</v>
      </c>
      <c r="F22648">
        <v>1.6152851551468398E-8</v>
      </c>
      <c r="G22648">
        <v>3507237</v>
      </c>
      <c r="H22648">
        <v>12840948</v>
      </c>
      <c r="I22648">
        <v>14342612</v>
      </c>
      <c r="J22648">
        <v>2</v>
      </c>
    </row>
    <row r="22649" spans="1:10" x14ac:dyDescent="0.25">
      <c r="A22649" t="s">
        <v>246</v>
      </c>
      <c r="B22649" s="1" t="str">
        <f>HYPERLINK("http://mastercard.es","mastercard.es")</f>
        <v>mastercard.es</v>
      </c>
      <c r="C22649" t="s">
        <v>443</v>
      </c>
      <c r="D22649" t="s">
        <v>822</v>
      </c>
      <c r="E22649">
        <v>759858</v>
      </c>
      <c r="F22649">
        <v>2.3296631417276399E-7</v>
      </c>
      <c r="G22649">
        <v>161044</v>
      </c>
      <c r="H22649">
        <v>13526607</v>
      </c>
      <c r="I22649">
        <v>9931284</v>
      </c>
      <c r="J22649">
        <v>2</v>
      </c>
    </row>
    <row r="22650" spans="1:10" x14ac:dyDescent="0.25">
      <c r="A22650" t="s">
        <v>246</v>
      </c>
      <c r="B22650" s="1" t="str">
        <f>HYPERLINK("http://cirrus.fi","cirrus.fi")</f>
        <v>cirrus.fi</v>
      </c>
      <c r="C22650" t="s">
        <v>445</v>
      </c>
      <c r="D22650" t="s">
        <v>823</v>
      </c>
      <c r="J22650">
        <v>4</v>
      </c>
    </row>
    <row r="22651" spans="1:10" x14ac:dyDescent="0.25">
      <c r="A22651" t="s">
        <v>246</v>
      </c>
      <c r="B22651" s="1" t="str">
        <f>HYPERLINK("http://mastercard.fi","mastercard.fi")</f>
        <v>mastercard.fi</v>
      </c>
      <c r="C22651" t="s">
        <v>445</v>
      </c>
      <c r="D22651" t="s">
        <v>823</v>
      </c>
      <c r="E22651">
        <v>141484</v>
      </c>
      <c r="F22651">
        <v>1.0563531428608E-7</v>
      </c>
      <c r="G22651">
        <v>379209</v>
      </c>
      <c r="H22651">
        <v>12838460</v>
      </c>
      <c r="I22651">
        <v>14361486</v>
      </c>
      <c r="J22651">
        <v>2</v>
      </c>
    </row>
    <row r="22652" spans="1:10" x14ac:dyDescent="0.25">
      <c r="A22652" t="s">
        <v>246</v>
      </c>
      <c r="B22652" s="1" t="str">
        <f>HYPERLINK("http://mastercardworldwide.fi","mastercardworldwide.fi")</f>
        <v>mastercardworldwide.fi</v>
      </c>
      <c r="C22652" t="s">
        <v>445</v>
      </c>
      <c r="D22652" t="s">
        <v>823</v>
      </c>
      <c r="J22652">
        <v>4</v>
      </c>
    </row>
    <row r="22653" spans="1:10" x14ac:dyDescent="0.25">
      <c r="A22653" t="s">
        <v>246</v>
      </c>
      <c r="B22653" s="1" t="str">
        <f>HYPERLINK("http://masterpass.fi","masterpass.fi")</f>
        <v>masterpass.fi</v>
      </c>
      <c r="C22653" t="s">
        <v>445</v>
      </c>
      <c r="D22653" t="s">
        <v>823</v>
      </c>
      <c r="F22653">
        <v>4.4438335000452598E-9</v>
      </c>
      <c r="G22653">
        <v>78967952</v>
      </c>
      <c r="H22653">
        <v>10480218</v>
      </c>
      <c r="I22653">
        <v>51032794</v>
      </c>
      <c r="J22653">
        <v>4</v>
      </c>
    </row>
    <row r="22654" spans="1:10" x14ac:dyDescent="0.25">
      <c r="A22654" t="s">
        <v>246</v>
      </c>
      <c r="B22654" s="1" t="str">
        <f>HYPERLINK("http://priceless.fi","priceless.fi")</f>
        <v>priceless.fi</v>
      </c>
      <c r="C22654" t="s">
        <v>445</v>
      </c>
      <c r="D22654" t="s">
        <v>823</v>
      </c>
      <c r="J22654">
        <v>4</v>
      </c>
    </row>
    <row r="22655" spans="1:10" x14ac:dyDescent="0.25">
      <c r="A22655" t="s">
        <v>246</v>
      </c>
      <c r="B22655" s="1" t="str">
        <f>HYPERLINK("http://pricelesscities.fi","pricelesscities.fi")</f>
        <v>pricelesscities.fi</v>
      </c>
      <c r="C22655" t="s">
        <v>445</v>
      </c>
      <c r="D22655" t="s">
        <v>823</v>
      </c>
      <c r="J22655">
        <v>4</v>
      </c>
    </row>
    <row r="22656" spans="1:10" x14ac:dyDescent="0.25">
      <c r="A22656" t="s">
        <v>246</v>
      </c>
      <c r="B22656" s="1" t="str">
        <f>HYPERLINK("http://securecode.fi","securecode.fi")</f>
        <v>securecode.fi</v>
      </c>
      <c r="C22656" t="s">
        <v>445</v>
      </c>
      <c r="D22656" t="s">
        <v>823</v>
      </c>
      <c r="J22656">
        <v>4</v>
      </c>
    </row>
    <row r="22657" spans="1:10" x14ac:dyDescent="0.25">
      <c r="A22657" t="s">
        <v>246</v>
      </c>
      <c r="B22657" s="1" t="str">
        <f>HYPERLINK("http://spiir.fi","spiir.fi")</f>
        <v>spiir.fi</v>
      </c>
      <c r="C22657" t="s">
        <v>445</v>
      </c>
      <c r="D22657" t="s">
        <v>823</v>
      </c>
      <c r="J22657">
        <v>4</v>
      </c>
    </row>
    <row r="22658" spans="1:10" x14ac:dyDescent="0.25">
      <c r="A22658" t="s">
        <v>246</v>
      </c>
      <c r="B22658" s="1" t="str">
        <f>HYPERLINK("http://mastercard.fr","mastercard.fr")</f>
        <v>mastercard.fr</v>
      </c>
      <c r="C22658" t="s">
        <v>446</v>
      </c>
      <c r="D22658" t="s">
        <v>824</v>
      </c>
      <c r="E22658">
        <v>336553</v>
      </c>
      <c r="F22658">
        <v>2.1682572641282901E-7</v>
      </c>
      <c r="G22658">
        <v>173957</v>
      </c>
      <c r="H22658">
        <v>13368094</v>
      </c>
      <c r="I22658">
        <v>10474915</v>
      </c>
      <c r="J22658">
        <v>2</v>
      </c>
    </row>
    <row r="22659" spans="1:10" x14ac:dyDescent="0.25">
      <c r="A22659" t="s">
        <v>246</v>
      </c>
      <c r="B22659" s="1" t="str">
        <f>HYPERLINK("http://mastercard.gr","mastercard.gr")</f>
        <v>mastercard.gr</v>
      </c>
      <c r="C22659" t="s">
        <v>447</v>
      </c>
      <c r="D22659" t="s">
        <v>825</v>
      </c>
      <c r="F22659">
        <v>4.5139669660508698E-8</v>
      </c>
      <c r="G22659">
        <v>1045344</v>
      </c>
      <c r="H22659">
        <v>13294654</v>
      </c>
      <c r="I22659">
        <v>10855029</v>
      </c>
      <c r="J22659">
        <v>2</v>
      </c>
    </row>
    <row r="22660" spans="1:10" x14ac:dyDescent="0.25">
      <c r="A22660" t="s">
        <v>246</v>
      </c>
      <c r="B22660" s="1" t="str">
        <f>HYPERLINK("http://mastercard.com.hk","mastercard.com.hk")</f>
        <v>mastercard.com.hk</v>
      </c>
      <c r="C22660" t="s">
        <v>450</v>
      </c>
      <c r="D22660" t="s">
        <v>827</v>
      </c>
      <c r="F22660">
        <v>6.9924785113572295E-8</v>
      </c>
      <c r="G22660">
        <v>606121</v>
      </c>
      <c r="H22660">
        <v>13373443</v>
      </c>
      <c r="I22660">
        <v>10453975</v>
      </c>
      <c r="J22660">
        <v>2</v>
      </c>
    </row>
    <row r="22661" spans="1:10" x14ac:dyDescent="0.25">
      <c r="A22661" t="s">
        <v>246</v>
      </c>
      <c r="B22661" s="1" t="str">
        <f>HYPERLINK("http://mastercard.hr","mastercard.hr")</f>
        <v>mastercard.hr</v>
      </c>
      <c r="C22661" t="s">
        <v>452</v>
      </c>
      <c r="D22661" t="s">
        <v>829</v>
      </c>
      <c r="E22661">
        <v>638151</v>
      </c>
      <c r="F22661">
        <v>4.5324345877763702E-7</v>
      </c>
      <c r="G22661">
        <v>83417</v>
      </c>
      <c r="H22661">
        <v>13161921</v>
      </c>
      <c r="I22661">
        <v>11776687</v>
      </c>
      <c r="J22661">
        <v>2</v>
      </c>
    </row>
    <row r="22662" spans="1:10" x14ac:dyDescent="0.25">
      <c r="A22662" t="s">
        <v>246</v>
      </c>
      <c r="B22662" s="1" t="str">
        <f>HYPERLINK("http://mastercard.hu","mastercard.hu")</f>
        <v>mastercard.hu</v>
      </c>
      <c r="C22662" t="s">
        <v>453</v>
      </c>
      <c r="D22662" t="s">
        <v>830</v>
      </c>
      <c r="F22662">
        <v>9.41266106970512E-8</v>
      </c>
      <c r="G22662">
        <v>431276</v>
      </c>
      <c r="H22662">
        <v>14444605</v>
      </c>
      <c r="I22662">
        <v>1058384</v>
      </c>
      <c r="J22662">
        <v>2</v>
      </c>
    </row>
    <row r="22663" spans="1:10" x14ac:dyDescent="0.25">
      <c r="A22663" t="s">
        <v>246</v>
      </c>
      <c r="B22663" s="1" t="str">
        <f>HYPERLINK("http://mastercard.co.id","mastercard.co.id")</f>
        <v>mastercard.co.id</v>
      </c>
      <c r="C22663" t="s">
        <v>454</v>
      </c>
      <c r="D22663" t="s">
        <v>831</v>
      </c>
      <c r="F22663">
        <v>1.2314517203339601E-8</v>
      </c>
      <c r="G22663">
        <v>4986405</v>
      </c>
      <c r="H22663">
        <v>13942435</v>
      </c>
      <c r="I22663">
        <v>4330481</v>
      </c>
      <c r="J22663">
        <v>2</v>
      </c>
    </row>
    <row r="22664" spans="1:10" x14ac:dyDescent="0.25">
      <c r="A22664" t="s">
        <v>246</v>
      </c>
      <c r="B22664" s="1" t="str">
        <f>HYPERLINK("http://mastercard.ie","mastercard.ie")</f>
        <v>mastercard.ie</v>
      </c>
      <c r="C22664" t="s">
        <v>455</v>
      </c>
      <c r="D22664" t="s">
        <v>832</v>
      </c>
      <c r="F22664">
        <v>5.4511126921223502E-8</v>
      </c>
      <c r="G22664">
        <v>827670</v>
      </c>
      <c r="H22664">
        <v>14288810</v>
      </c>
      <c r="I22664">
        <v>1368010</v>
      </c>
      <c r="J22664">
        <v>2</v>
      </c>
    </row>
    <row r="22665" spans="1:10" x14ac:dyDescent="0.25">
      <c r="A22665" t="s">
        <v>246</v>
      </c>
      <c r="B22665" s="1" t="str">
        <f>HYPERLINK("http://mastercard.co.il","mastercard.co.il")</f>
        <v>mastercard.co.il</v>
      </c>
      <c r="C22665" t="s">
        <v>456</v>
      </c>
      <c r="D22665" t="s">
        <v>833</v>
      </c>
      <c r="F22665">
        <v>8.0286244043718395E-9</v>
      </c>
      <c r="G22665">
        <v>9868723</v>
      </c>
      <c r="H22665">
        <v>13037557</v>
      </c>
      <c r="I22665">
        <v>12632799</v>
      </c>
      <c r="J22665">
        <v>2</v>
      </c>
    </row>
    <row r="22666" spans="1:10" x14ac:dyDescent="0.25">
      <c r="A22666" t="s">
        <v>246</v>
      </c>
      <c r="B22666" s="1" t="str">
        <f>HYPERLINK("http://mastercard.co.in","mastercard.co.in")</f>
        <v>mastercard.co.in</v>
      </c>
      <c r="C22666" t="s">
        <v>457</v>
      </c>
      <c r="D22666" t="s">
        <v>834</v>
      </c>
      <c r="E22666">
        <v>79932</v>
      </c>
      <c r="F22666">
        <v>1.7372592606899599E-7</v>
      </c>
      <c r="G22666">
        <v>223251</v>
      </c>
      <c r="H22666">
        <v>13544434</v>
      </c>
      <c r="I22666">
        <v>9902119</v>
      </c>
      <c r="J22666">
        <v>2</v>
      </c>
    </row>
    <row r="22667" spans="1:10" x14ac:dyDescent="0.25">
      <c r="A22667" t="s">
        <v>246</v>
      </c>
      <c r="B22667" s="1" t="str">
        <f>HYPERLINK("http://mastercard.it","mastercard.it")</f>
        <v>mastercard.it</v>
      </c>
      <c r="C22667" t="s">
        <v>459</v>
      </c>
      <c r="D22667" t="s">
        <v>835</v>
      </c>
      <c r="E22667">
        <v>795963</v>
      </c>
      <c r="F22667">
        <v>1.70285413854816E-7</v>
      </c>
      <c r="G22667">
        <v>227799</v>
      </c>
      <c r="H22667">
        <v>13173246</v>
      </c>
      <c r="I22667">
        <v>11714108</v>
      </c>
      <c r="J22667">
        <v>2</v>
      </c>
    </row>
    <row r="22668" spans="1:10" x14ac:dyDescent="0.25">
      <c r="A22668" t="s">
        <v>246</v>
      </c>
      <c r="B22668" s="1" t="str">
        <f>HYPERLINK("http://mastercard.jo","mastercard.jo")</f>
        <v>mastercard.jo</v>
      </c>
      <c r="C22668" t="s">
        <v>519</v>
      </c>
      <c r="D22668" t="s">
        <v>889</v>
      </c>
      <c r="F22668">
        <v>1.8638308147503899E-8</v>
      </c>
      <c r="G22668">
        <v>2900438</v>
      </c>
      <c r="H22668">
        <v>12678560</v>
      </c>
      <c r="I22668">
        <v>15514902</v>
      </c>
      <c r="J22668">
        <v>2</v>
      </c>
    </row>
    <row r="22669" spans="1:10" x14ac:dyDescent="0.25">
      <c r="A22669" t="s">
        <v>246</v>
      </c>
      <c r="B22669" s="1" t="str">
        <f>HYPERLINK("http://mastercard.co.jp","mastercard.co.jp")</f>
        <v>mastercard.co.jp</v>
      </c>
      <c r="C22669" t="s">
        <v>461</v>
      </c>
      <c r="D22669" t="s">
        <v>837</v>
      </c>
      <c r="E22669">
        <v>330035</v>
      </c>
      <c r="F22669">
        <v>5.5434823020243301E-7</v>
      </c>
      <c r="G22669">
        <v>69870</v>
      </c>
      <c r="H22669">
        <v>14187327</v>
      </c>
      <c r="I22669">
        <v>1766478</v>
      </c>
      <c r="J22669">
        <v>2</v>
      </c>
    </row>
    <row r="22670" spans="1:10" x14ac:dyDescent="0.25">
      <c r="A22670" t="s">
        <v>246</v>
      </c>
      <c r="B22670" s="1" t="str">
        <f>HYPERLINK("http://mastercard.ke","mastercard.ke")</f>
        <v>mastercard.ke</v>
      </c>
      <c r="C22670" t="s">
        <v>462</v>
      </c>
      <c r="D22670" t="s">
        <v>838</v>
      </c>
      <c r="F22670">
        <v>5.4848588635032004E-9</v>
      </c>
      <c r="G22670">
        <v>21072697</v>
      </c>
      <c r="H22670">
        <v>11035764</v>
      </c>
      <c r="I22670">
        <v>32984777</v>
      </c>
      <c r="J22670">
        <v>2</v>
      </c>
    </row>
    <row r="22671" spans="1:10" x14ac:dyDescent="0.25">
      <c r="A22671" t="s">
        <v>246</v>
      </c>
      <c r="B22671" s="1" t="str">
        <f>HYPERLINK("http://mastercard.co.kr","mastercard.co.kr")</f>
        <v>mastercard.co.kr</v>
      </c>
      <c r="C22671" t="s">
        <v>463</v>
      </c>
      <c r="D22671" t="s">
        <v>839</v>
      </c>
      <c r="F22671">
        <v>3.2534140529734998E-8</v>
      </c>
      <c r="G22671">
        <v>1588152</v>
      </c>
      <c r="H22671">
        <v>13808693</v>
      </c>
      <c r="I22671">
        <v>6219228</v>
      </c>
      <c r="J22671">
        <v>2</v>
      </c>
    </row>
    <row r="22672" spans="1:10" x14ac:dyDescent="0.25">
      <c r="A22672" t="s">
        <v>246</v>
      </c>
      <c r="B22672" s="1" t="str">
        <f>HYPERLINK("http://mastercard.com.kw","mastercard.com.kw")</f>
        <v>mastercard.com.kw</v>
      </c>
      <c r="C22672" t="s">
        <v>464</v>
      </c>
      <c r="D22672" t="s">
        <v>840</v>
      </c>
      <c r="F22672">
        <v>1.0385717633165101E-8</v>
      </c>
      <c r="G22672">
        <v>6371918</v>
      </c>
      <c r="H22672">
        <v>12677831</v>
      </c>
      <c r="I22672">
        <v>15519981</v>
      </c>
      <c r="J22672">
        <v>2</v>
      </c>
    </row>
    <row r="22673" spans="1:10" x14ac:dyDescent="0.25">
      <c r="A22673" t="s">
        <v>246</v>
      </c>
      <c r="B22673" s="1" t="str">
        <f>HYPERLINK("http://mastercard.kz","mastercard.kz")</f>
        <v>mastercard.kz</v>
      </c>
      <c r="C22673" t="s">
        <v>465</v>
      </c>
      <c r="D22673" t="s">
        <v>841</v>
      </c>
      <c r="F22673">
        <v>3.4291333871557803E-8</v>
      </c>
      <c r="G22673">
        <v>1511803</v>
      </c>
      <c r="H22673">
        <v>12882231</v>
      </c>
      <c r="I22673">
        <v>13989004</v>
      </c>
      <c r="J22673">
        <v>2</v>
      </c>
    </row>
    <row r="22674" spans="1:10" x14ac:dyDescent="0.25">
      <c r="A22674" t="s">
        <v>246</v>
      </c>
      <c r="B22674" s="1" t="str">
        <f>HYPERLINK("http://mastercard.com.lb","mastercard.com.lb")</f>
        <v>mastercard.com.lb</v>
      </c>
      <c r="C22674" t="s">
        <v>612</v>
      </c>
      <c r="D22674" t="s">
        <v>938</v>
      </c>
      <c r="F22674">
        <v>1.3484881245006599E-8</v>
      </c>
      <c r="G22674">
        <v>4410099</v>
      </c>
      <c r="H22674">
        <v>12742188</v>
      </c>
      <c r="I22674">
        <v>15118087</v>
      </c>
      <c r="J22674">
        <v>2</v>
      </c>
    </row>
    <row r="22675" spans="1:10" x14ac:dyDescent="0.25">
      <c r="A22675" t="s">
        <v>246</v>
      </c>
      <c r="B22675" s="1" t="str">
        <f>HYPERLINK("http://mastercard.md","mastercard.md")</f>
        <v>mastercard.md</v>
      </c>
      <c r="C22675" t="s">
        <v>571</v>
      </c>
      <c r="D22675" t="s">
        <v>918</v>
      </c>
      <c r="F22675">
        <v>3.6156666019959097E-8</v>
      </c>
      <c r="G22675">
        <v>1442047</v>
      </c>
      <c r="H22675">
        <v>13060061</v>
      </c>
      <c r="I22675">
        <v>12355843</v>
      </c>
      <c r="J22675">
        <v>2</v>
      </c>
    </row>
    <row r="22676" spans="1:10" x14ac:dyDescent="0.25">
      <c r="A22676" t="s">
        <v>246</v>
      </c>
      <c r="B22676" s="1" t="str">
        <f>HYPERLINK("http://mastercard.com.mx","mastercard.com.mx")</f>
        <v>mastercard.com.mx</v>
      </c>
      <c r="C22676" t="s">
        <v>471</v>
      </c>
      <c r="D22676" t="s">
        <v>847</v>
      </c>
      <c r="E22676">
        <v>473969</v>
      </c>
      <c r="F22676">
        <v>1.1689350013854201E-7</v>
      </c>
      <c r="G22676">
        <v>340087</v>
      </c>
      <c r="H22676">
        <v>13941748</v>
      </c>
      <c r="I22676">
        <v>4342164</v>
      </c>
      <c r="J22676">
        <v>2</v>
      </c>
    </row>
    <row r="22677" spans="1:10" x14ac:dyDescent="0.25">
      <c r="A22677" t="s">
        <v>246</v>
      </c>
      <c r="B22677" s="1" t="str">
        <f>HYPERLINK("http://mastercard.com.my","mastercard.com.my")</f>
        <v>mastercard.com.my</v>
      </c>
      <c r="C22677" t="s">
        <v>472</v>
      </c>
      <c r="D22677" t="s">
        <v>848</v>
      </c>
      <c r="F22677">
        <v>1.3310633104037E-8</v>
      </c>
      <c r="G22677">
        <v>4488570</v>
      </c>
      <c r="H22677">
        <v>12353000</v>
      </c>
      <c r="I22677">
        <v>19718662</v>
      </c>
      <c r="J22677">
        <v>2</v>
      </c>
    </row>
    <row r="22678" spans="1:10" x14ac:dyDescent="0.25">
      <c r="A22678" t="s">
        <v>246</v>
      </c>
      <c r="B22678" s="1" t="str">
        <f>HYPERLINK("http://mastercard.com.ng","mastercard.com.ng")</f>
        <v>mastercard.com.ng</v>
      </c>
      <c r="C22678" t="s">
        <v>475</v>
      </c>
      <c r="D22678" t="s">
        <v>850</v>
      </c>
      <c r="F22678">
        <v>1.2178113604024601E-8</v>
      </c>
      <c r="G22678">
        <v>5063239</v>
      </c>
      <c r="H22678">
        <v>13109695</v>
      </c>
      <c r="I22678">
        <v>12039056</v>
      </c>
      <c r="J22678">
        <v>2</v>
      </c>
    </row>
    <row r="22679" spans="1:10" x14ac:dyDescent="0.25">
      <c r="A22679" t="s">
        <v>246</v>
      </c>
      <c r="B22679" s="1" t="str">
        <f>HYPERLINK("http://mastercard.nl","mastercard.nl")</f>
        <v>mastercard.nl</v>
      </c>
      <c r="C22679" t="s">
        <v>477</v>
      </c>
      <c r="D22679" t="s">
        <v>852</v>
      </c>
      <c r="E22679">
        <v>85922</v>
      </c>
      <c r="F22679">
        <v>2.3756883715405199E-7</v>
      </c>
      <c r="G22679">
        <v>157674</v>
      </c>
      <c r="H22679">
        <v>14180586</v>
      </c>
      <c r="I22679">
        <v>1780378</v>
      </c>
      <c r="J22679">
        <v>2</v>
      </c>
    </row>
    <row r="22680" spans="1:10" x14ac:dyDescent="0.25">
      <c r="A22680" t="s">
        <v>246</v>
      </c>
      <c r="B22680" s="1" t="str">
        <f>HYPERLINK("http://mastercard.no","mastercard.no")</f>
        <v>mastercard.no</v>
      </c>
      <c r="C22680" t="s">
        <v>478</v>
      </c>
      <c r="D22680" t="s">
        <v>853</v>
      </c>
      <c r="F22680">
        <v>1.36553229374563E-7</v>
      </c>
      <c r="G22680">
        <v>285503</v>
      </c>
      <c r="H22680">
        <v>13246159</v>
      </c>
      <c r="I22680">
        <v>11122198</v>
      </c>
      <c r="J22680">
        <v>2</v>
      </c>
    </row>
    <row r="22681" spans="1:10" x14ac:dyDescent="0.25">
      <c r="A22681" t="s">
        <v>246</v>
      </c>
      <c r="B22681" s="1" t="str">
        <f>HYPERLINK("http://mastercard.co.nz","mastercard.co.nz")</f>
        <v>mastercard.co.nz</v>
      </c>
      <c r="C22681" t="s">
        <v>479</v>
      </c>
      <c r="D22681" t="s">
        <v>854</v>
      </c>
      <c r="F22681">
        <v>2.0834225037826401E-7</v>
      </c>
      <c r="G22681">
        <v>181829</v>
      </c>
      <c r="H22681">
        <v>13427225</v>
      </c>
      <c r="I22681">
        <v>10291326</v>
      </c>
      <c r="J22681">
        <v>2</v>
      </c>
    </row>
    <row r="22682" spans="1:10" x14ac:dyDescent="0.25">
      <c r="A22682" t="s">
        <v>246</v>
      </c>
      <c r="B22682" s="1" t="str">
        <f>HYPERLINK("http://mastercard.om","mastercard.om")</f>
        <v>mastercard.om</v>
      </c>
      <c r="C22682" t="s">
        <v>480</v>
      </c>
      <c r="D22682" t="s">
        <v>855</v>
      </c>
      <c r="F22682">
        <v>7.8568695883661103E-9</v>
      </c>
      <c r="G22682">
        <v>10199047</v>
      </c>
      <c r="H22682">
        <v>10537961</v>
      </c>
      <c r="I22682">
        <v>47404399</v>
      </c>
      <c r="J22682">
        <v>2</v>
      </c>
    </row>
    <row r="22683" spans="1:10" x14ac:dyDescent="0.25">
      <c r="A22683" t="s">
        <v>246</v>
      </c>
      <c r="B22683" s="1" t="str">
        <f>HYPERLINK("http://mastercard.com.pe","mastercard.com.pe")</f>
        <v>mastercard.com.pe</v>
      </c>
      <c r="C22683" t="s">
        <v>483</v>
      </c>
      <c r="D22683" t="s">
        <v>857</v>
      </c>
      <c r="F22683">
        <v>3.1303240988269699E-8</v>
      </c>
      <c r="G22683">
        <v>1647378</v>
      </c>
      <c r="H22683">
        <v>12772997</v>
      </c>
      <c r="I22683">
        <v>14820038</v>
      </c>
      <c r="J22683">
        <v>2</v>
      </c>
    </row>
    <row r="22684" spans="1:10" x14ac:dyDescent="0.25">
      <c r="A22684" t="s">
        <v>246</v>
      </c>
      <c r="B22684" s="1" t="str">
        <f>HYPERLINK("http://mastercard.com.ph","mastercard.com.ph")</f>
        <v>mastercard.com.ph</v>
      </c>
      <c r="C22684" t="s">
        <v>484</v>
      </c>
      <c r="D22684" t="s">
        <v>858</v>
      </c>
      <c r="F22684">
        <v>1.5860141779789099E-8</v>
      </c>
      <c r="G22684">
        <v>3583100</v>
      </c>
      <c r="H22684">
        <v>12376272</v>
      </c>
      <c r="I22684">
        <v>19286828</v>
      </c>
      <c r="J22684">
        <v>2</v>
      </c>
    </row>
    <row r="22685" spans="1:10" x14ac:dyDescent="0.25">
      <c r="A22685" t="s">
        <v>246</v>
      </c>
      <c r="B22685" s="1" t="str">
        <f>HYPERLINK("http://mastercard.pl","mastercard.pl")</f>
        <v>mastercard.pl</v>
      </c>
      <c r="C22685" t="s">
        <v>486</v>
      </c>
      <c r="D22685" t="s">
        <v>860</v>
      </c>
      <c r="E22685">
        <v>491815</v>
      </c>
      <c r="F22685">
        <v>2.33771722234814E-7</v>
      </c>
      <c r="G22685">
        <v>160395</v>
      </c>
      <c r="H22685">
        <v>14264710</v>
      </c>
      <c r="I22685">
        <v>1410167</v>
      </c>
      <c r="J22685">
        <v>2</v>
      </c>
    </row>
    <row r="22686" spans="1:10" x14ac:dyDescent="0.25">
      <c r="A22686" t="s">
        <v>246</v>
      </c>
      <c r="B22686" s="1" t="str">
        <f>HYPERLINK("http://mastercard.pt","mastercard.pt")</f>
        <v>mastercard.pt</v>
      </c>
      <c r="C22686" t="s">
        <v>488</v>
      </c>
      <c r="D22686" t="s">
        <v>862</v>
      </c>
      <c r="F22686">
        <v>4.9789853233474303E-8</v>
      </c>
      <c r="G22686">
        <v>926442</v>
      </c>
      <c r="H22686">
        <v>13197675</v>
      </c>
      <c r="I22686">
        <v>11567968</v>
      </c>
      <c r="J22686">
        <v>2</v>
      </c>
    </row>
    <row r="22687" spans="1:10" x14ac:dyDescent="0.25">
      <c r="A22687" t="s">
        <v>246</v>
      </c>
      <c r="B22687" s="1" t="str">
        <f>HYPERLINK("http://mastercard.qa","mastercard.qa")</f>
        <v>mastercard.qa</v>
      </c>
      <c r="C22687" t="s">
        <v>490</v>
      </c>
      <c r="D22687" t="s">
        <v>864</v>
      </c>
      <c r="F22687">
        <v>1.08849710918715E-8</v>
      </c>
      <c r="G22687">
        <v>5954067</v>
      </c>
      <c r="H22687">
        <v>12988045</v>
      </c>
      <c r="I22687">
        <v>12879927</v>
      </c>
      <c r="J22687">
        <v>2</v>
      </c>
    </row>
    <row r="22688" spans="1:10" x14ac:dyDescent="0.25">
      <c r="A22688" t="s">
        <v>246</v>
      </c>
      <c r="B22688" s="1" t="str">
        <f>HYPERLINK("http://mastercard.ro","mastercard.ro")</f>
        <v>mastercard.ro</v>
      </c>
      <c r="C22688" t="s">
        <v>491</v>
      </c>
      <c r="D22688" t="s">
        <v>865</v>
      </c>
      <c r="F22688">
        <v>9.6560206749439603E-8</v>
      </c>
      <c r="G22688">
        <v>418714</v>
      </c>
      <c r="H22688">
        <v>12942939</v>
      </c>
      <c r="I22688">
        <v>13269314</v>
      </c>
      <c r="J22688">
        <v>2</v>
      </c>
    </row>
    <row r="22689" spans="1:10" x14ac:dyDescent="0.25">
      <c r="A22689" t="s">
        <v>246</v>
      </c>
      <c r="B22689" s="1" t="str">
        <f>HYPERLINK("http://mastercard.rs","mastercard.rs")</f>
        <v>mastercard.rs</v>
      </c>
      <c r="C22689" t="s">
        <v>492</v>
      </c>
      <c r="D22689" t="s">
        <v>866</v>
      </c>
      <c r="E22689">
        <v>925887</v>
      </c>
      <c r="F22689">
        <v>3.0477438772800801E-7</v>
      </c>
      <c r="G22689">
        <v>121970</v>
      </c>
      <c r="H22689">
        <v>13276503</v>
      </c>
      <c r="I22689">
        <v>10927123</v>
      </c>
      <c r="J22689">
        <v>2</v>
      </c>
    </row>
    <row r="22690" spans="1:10" x14ac:dyDescent="0.25">
      <c r="A22690" t="s">
        <v>246</v>
      </c>
      <c r="B22690" s="1" t="str">
        <f>HYPERLINK("http://mastercard.ru","mastercard.ru")</f>
        <v>mastercard.ru</v>
      </c>
      <c r="C22690" t="s">
        <v>493</v>
      </c>
      <c r="D22690" t="s">
        <v>867</v>
      </c>
      <c r="E22690">
        <v>105580</v>
      </c>
      <c r="F22690">
        <v>8.4732206995351699E-7</v>
      </c>
      <c r="G22690">
        <v>46946</v>
      </c>
      <c r="H22690">
        <v>14305834</v>
      </c>
      <c r="I22690">
        <v>1350683</v>
      </c>
      <c r="J22690">
        <v>2</v>
      </c>
    </row>
    <row r="22691" spans="1:10" x14ac:dyDescent="0.25">
      <c r="A22691" t="s">
        <v>246</v>
      </c>
      <c r="B22691" s="1" t="str">
        <f>HYPERLINK("http://mastercard.com.sa","mastercard.com.sa")</f>
        <v>mastercard.com.sa</v>
      </c>
      <c r="C22691" t="s">
        <v>494</v>
      </c>
      <c r="D22691" t="s">
        <v>868</v>
      </c>
      <c r="F22691">
        <v>1.42455020884372E-8</v>
      </c>
      <c r="G22691">
        <v>4112731</v>
      </c>
      <c r="H22691">
        <v>12316788</v>
      </c>
      <c r="I22691">
        <v>20476193</v>
      </c>
      <c r="J22691">
        <v>2</v>
      </c>
    </row>
    <row r="22692" spans="1:10" x14ac:dyDescent="0.25">
      <c r="A22692" t="s">
        <v>246</v>
      </c>
      <c r="B22692" s="1" t="str">
        <f>HYPERLINK("http://mastercard.se","mastercard.se")</f>
        <v>mastercard.se</v>
      </c>
      <c r="C22692" t="s">
        <v>495</v>
      </c>
      <c r="D22692" t="s">
        <v>869</v>
      </c>
      <c r="F22692">
        <v>1.4556315930860501E-7</v>
      </c>
      <c r="G22692">
        <v>267444</v>
      </c>
      <c r="H22692">
        <v>14388835</v>
      </c>
      <c r="I22692">
        <v>1172058</v>
      </c>
      <c r="J22692">
        <v>2</v>
      </c>
    </row>
    <row r="22693" spans="1:10" x14ac:dyDescent="0.25">
      <c r="A22693" t="s">
        <v>246</v>
      </c>
      <c r="B22693" s="1" t="str">
        <f>HYPERLINK("http://mastercard.com.sg","mastercard.com.sg")</f>
        <v>mastercard.com.sg</v>
      </c>
      <c r="C22693" t="s">
        <v>496</v>
      </c>
      <c r="D22693" t="s">
        <v>870</v>
      </c>
      <c r="F22693">
        <v>5.78752343716377E-8</v>
      </c>
      <c r="G22693">
        <v>769507</v>
      </c>
      <c r="H22693">
        <v>13325259</v>
      </c>
      <c r="I22693">
        <v>10732777</v>
      </c>
      <c r="J22693">
        <v>2</v>
      </c>
    </row>
    <row r="22694" spans="1:10" x14ac:dyDescent="0.25">
      <c r="A22694" t="s">
        <v>246</v>
      </c>
      <c r="B22694" s="1" t="str">
        <f>HYPERLINK("http://dataca.sh","dataca.sh")</f>
        <v>dataca.sh</v>
      </c>
      <c r="C22694" t="s">
        <v>665</v>
      </c>
      <c r="D22694" t="s">
        <v>984</v>
      </c>
      <c r="F22694">
        <v>4.7108668268767704E-9</v>
      </c>
      <c r="G22694">
        <v>40700428</v>
      </c>
      <c r="H22694">
        <v>11330046</v>
      </c>
      <c r="I22694">
        <v>30463887</v>
      </c>
      <c r="J22694">
        <v>7</v>
      </c>
    </row>
    <row r="22695" spans="1:10" x14ac:dyDescent="0.25">
      <c r="A22695" t="s">
        <v>246</v>
      </c>
      <c r="B22695" s="1" t="str">
        <f>HYPERLINK("http://mastercard.si","mastercard.si")</f>
        <v>mastercard.si</v>
      </c>
      <c r="C22695" t="s">
        <v>497</v>
      </c>
      <c r="D22695" t="s">
        <v>871</v>
      </c>
      <c r="F22695">
        <v>5.1106668499394303E-8</v>
      </c>
      <c r="G22695">
        <v>896614</v>
      </c>
      <c r="H22695">
        <v>12839997</v>
      </c>
      <c r="I22695">
        <v>14353941</v>
      </c>
      <c r="J22695">
        <v>2</v>
      </c>
    </row>
    <row r="22696" spans="1:10" x14ac:dyDescent="0.25">
      <c r="A22696" t="s">
        <v>246</v>
      </c>
      <c r="B22696" s="1" t="str">
        <f>HYPERLINK("http://mastercard.sk","mastercard.sk")</f>
        <v>mastercard.sk</v>
      </c>
      <c r="C22696" t="s">
        <v>498</v>
      </c>
      <c r="D22696" t="s">
        <v>872</v>
      </c>
      <c r="F22696">
        <v>2.7908089441058499E-8</v>
      </c>
      <c r="G22696">
        <v>1843043</v>
      </c>
      <c r="H22696">
        <v>12468879</v>
      </c>
      <c r="I22696">
        <v>17770413</v>
      </c>
      <c r="J22696">
        <v>2</v>
      </c>
    </row>
    <row r="22697" spans="1:10" x14ac:dyDescent="0.25">
      <c r="A22697" t="s">
        <v>246</v>
      </c>
      <c r="B22697" s="1" t="str">
        <f>HYPERLINK("http://mastercard.co.th","mastercard.co.th")</f>
        <v>mastercard.co.th</v>
      </c>
      <c r="C22697" t="s">
        <v>500</v>
      </c>
      <c r="D22697" t="s">
        <v>874</v>
      </c>
      <c r="F22697">
        <v>1.3983135241636001E-8</v>
      </c>
      <c r="G22697">
        <v>4209075</v>
      </c>
      <c r="H22697">
        <v>13027326</v>
      </c>
      <c r="I22697">
        <v>12682837</v>
      </c>
      <c r="J22697">
        <v>2</v>
      </c>
    </row>
    <row r="22698" spans="1:10" x14ac:dyDescent="0.25">
      <c r="A22698" t="s">
        <v>246</v>
      </c>
      <c r="B22698" s="1" t="str">
        <f>HYPERLINK("http://mastercard.com.tr","mastercard.com.tr")</f>
        <v>mastercard.com.tr</v>
      </c>
      <c r="C22698" t="s">
        <v>502</v>
      </c>
      <c r="D22698" t="s">
        <v>876</v>
      </c>
      <c r="F22698">
        <v>8.0708479758235096E-8</v>
      </c>
      <c r="G22698">
        <v>517416</v>
      </c>
      <c r="H22698">
        <v>14078006</v>
      </c>
      <c r="I22698">
        <v>2854356</v>
      </c>
      <c r="J22698">
        <v>2</v>
      </c>
    </row>
    <row r="22699" spans="1:10" x14ac:dyDescent="0.25">
      <c r="A22699" t="s">
        <v>246</v>
      </c>
      <c r="B22699" s="1" t="str">
        <f>HYPERLINK("http://mastercard.com.tw","mastercard.com.tw")</f>
        <v>mastercard.com.tw</v>
      </c>
      <c r="C22699" t="s">
        <v>504</v>
      </c>
      <c r="D22699" t="s">
        <v>878</v>
      </c>
      <c r="F22699">
        <v>1.7153281500495799E-8</v>
      </c>
      <c r="G22699">
        <v>3249138</v>
      </c>
      <c r="H22699">
        <v>14078504</v>
      </c>
      <c r="I22699">
        <v>2845772</v>
      </c>
      <c r="J22699">
        <v>2</v>
      </c>
    </row>
    <row r="22700" spans="1:10" x14ac:dyDescent="0.25">
      <c r="A22700" t="s">
        <v>246</v>
      </c>
      <c r="B22700" s="1" t="str">
        <f>HYPERLINK("http://mastercard.ua","mastercard.ua")</f>
        <v>mastercard.ua</v>
      </c>
      <c r="C22700" t="s">
        <v>505</v>
      </c>
      <c r="D22700" t="s">
        <v>879</v>
      </c>
      <c r="E22700">
        <v>513204</v>
      </c>
      <c r="F22700">
        <v>2.0715864261620099E-7</v>
      </c>
      <c r="G22700">
        <v>183182</v>
      </c>
      <c r="H22700">
        <v>14291341</v>
      </c>
      <c r="I22700">
        <v>1365261</v>
      </c>
      <c r="J22700">
        <v>2</v>
      </c>
    </row>
    <row r="22701" spans="1:10" x14ac:dyDescent="0.25">
      <c r="A22701" t="s">
        <v>246</v>
      </c>
      <c r="B22701" s="1" t="str">
        <f>HYPERLINK("http://link.co.uk","link.co.uk")</f>
        <v>link.co.uk</v>
      </c>
      <c r="C22701" t="s">
        <v>506</v>
      </c>
      <c r="D22701" t="s">
        <v>880</v>
      </c>
      <c r="E22701">
        <v>477859</v>
      </c>
      <c r="F22701">
        <v>1.2866508521067701E-7</v>
      </c>
      <c r="G22701">
        <v>304653</v>
      </c>
      <c r="H22701">
        <v>14438935</v>
      </c>
      <c r="I22701">
        <v>1065709</v>
      </c>
      <c r="J22701">
        <v>8</v>
      </c>
    </row>
    <row r="22702" spans="1:10" x14ac:dyDescent="0.25">
      <c r="A22702" t="s">
        <v>246</v>
      </c>
      <c r="B22702" s="1" t="str">
        <f>HYPERLINK("http://mastercard.co.uk","mastercard.co.uk")</f>
        <v>mastercard.co.uk</v>
      </c>
      <c r="C22702" t="s">
        <v>506</v>
      </c>
      <c r="D22702" t="s">
        <v>880</v>
      </c>
      <c r="E22702">
        <v>26523</v>
      </c>
      <c r="F22702">
        <v>8.7804272750874301E-7</v>
      </c>
      <c r="G22702">
        <v>45689</v>
      </c>
      <c r="H22702">
        <v>14683742</v>
      </c>
      <c r="I22702">
        <v>606460</v>
      </c>
      <c r="J22702">
        <v>2</v>
      </c>
    </row>
    <row r="22703" spans="1:10" x14ac:dyDescent="0.25">
      <c r="A22703" t="s">
        <v>246</v>
      </c>
      <c r="B22703" s="1" t="str">
        <f>HYPERLINK("http://springb0ard.co.uk","springb0ard.co.uk")</f>
        <v>springb0ard.co.uk</v>
      </c>
      <c r="C22703" t="s">
        <v>506</v>
      </c>
      <c r="D22703" t="s">
        <v>880</v>
      </c>
      <c r="J22703">
        <v>6</v>
      </c>
    </row>
    <row r="22704" spans="1:10" x14ac:dyDescent="0.25">
      <c r="A22704" t="s">
        <v>246</v>
      </c>
      <c r="B22704" s="1" t="str">
        <f>HYPERLINK("http://voca.co.uk","voca.co.uk")</f>
        <v>voca.co.uk</v>
      </c>
      <c r="C22704" t="s">
        <v>506</v>
      </c>
      <c r="D22704" t="s">
        <v>880</v>
      </c>
      <c r="F22704">
        <v>4.5414240083255698E-9</v>
      </c>
      <c r="G22704">
        <v>53175328</v>
      </c>
      <c r="H22704">
        <v>13763634</v>
      </c>
      <c r="I22704">
        <v>8552215</v>
      </c>
      <c r="J22704">
        <v>6</v>
      </c>
    </row>
    <row r="22705" spans="1:10" x14ac:dyDescent="0.25">
      <c r="A22705" t="s">
        <v>246</v>
      </c>
      <c r="B22705" s="1" t="str">
        <f>HYPERLINK("http://mastercard.us","mastercard.us")</f>
        <v>mastercard.us</v>
      </c>
      <c r="C22705" t="s">
        <v>522</v>
      </c>
      <c r="D22705" t="s">
        <v>891</v>
      </c>
      <c r="E22705">
        <v>11451</v>
      </c>
      <c r="F22705">
        <v>8.0682282614138696E-6</v>
      </c>
      <c r="G22705">
        <v>4159</v>
      </c>
      <c r="H22705">
        <v>17752284</v>
      </c>
      <c r="I22705">
        <v>6322</v>
      </c>
      <c r="J22705">
        <v>2</v>
      </c>
    </row>
    <row r="22706" spans="1:10" x14ac:dyDescent="0.25">
      <c r="A22706" t="s">
        <v>246</v>
      </c>
      <c r="B22706" s="1" t="str">
        <f>HYPERLINK("http://mastercard.co.ve","mastercard.co.ve")</f>
        <v>mastercard.co.ve</v>
      </c>
      <c r="C22706" t="s">
        <v>508</v>
      </c>
      <c r="D22706" t="s">
        <v>882</v>
      </c>
      <c r="F22706">
        <v>3.0389445308849998E-8</v>
      </c>
      <c r="G22706">
        <v>1694148</v>
      </c>
      <c r="H22706">
        <v>12847901</v>
      </c>
      <c r="I22706">
        <v>14302895</v>
      </c>
      <c r="J22706">
        <v>2</v>
      </c>
    </row>
    <row r="22707" spans="1:10" x14ac:dyDescent="0.25">
      <c r="A22707" t="s">
        <v>246</v>
      </c>
      <c r="B22707" s="1" t="str">
        <f>HYPERLINK("http://transfast.ws","transfast.ws")</f>
        <v>transfast.ws</v>
      </c>
      <c r="C22707" t="s">
        <v>536</v>
      </c>
      <c r="D22707" t="s">
        <v>898</v>
      </c>
      <c r="F22707">
        <v>4.44380395335525E-9</v>
      </c>
      <c r="G22707">
        <v>86540402</v>
      </c>
      <c r="H22707">
        <v>0</v>
      </c>
      <c r="I22707">
        <v>88025927</v>
      </c>
      <c r="J22707">
        <v>3</v>
      </c>
    </row>
    <row r="22708" spans="1:10" x14ac:dyDescent="0.25">
      <c r="A22708" t="s">
        <v>246</v>
      </c>
      <c r="B22708" s="1" t="str">
        <f>HYPERLINK("http://mastercard.co.za","mastercard.co.za")</f>
        <v>mastercard.co.za</v>
      </c>
      <c r="C22708" t="s">
        <v>510</v>
      </c>
      <c r="D22708" t="s">
        <v>884</v>
      </c>
      <c r="F22708">
        <v>2.8330615108630599E-8</v>
      </c>
      <c r="G22708">
        <v>1816438</v>
      </c>
      <c r="H22708">
        <v>13121423</v>
      </c>
      <c r="I22708">
        <v>11987696</v>
      </c>
      <c r="J22708">
        <v>2</v>
      </c>
    </row>
    <row r="22709" spans="1:10" x14ac:dyDescent="0.25">
      <c r="A22709" t="s">
        <v>247</v>
      </c>
      <c r="B22709" s="1" t="str">
        <f>HYPERLINK("http://mcdonalds.com.ar","mcdonalds.com.ar")</f>
        <v>mcdonalds.com.ar</v>
      </c>
      <c r="C22709" t="s">
        <v>418</v>
      </c>
      <c r="D22709" t="s">
        <v>800</v>
      </c>
      <c r="E22709">
        <v>497296</v>
      </c>
      <c r="F22709">
        <v>2.28937938472348E-7</v>
      </c>
      <c r="G22709">
        <v>164260</v>
      </c>
      <c r="H22709">
        <v>14583659</v>
      </c>
      <c r="I22709">
        <v>704250</v>
      </c>
      <c r="J22709">
        <v>2</v>
      </c>
    </row>
    <row r="22710" spans="1:10" x14ac:dyDescent="0.25">
      <c r="A22710" t="s">
        <v>247</v>
      </c>
      <c r="B22710" s="1" t="str">
        <f>HYPERLINK("http://mcdonalds.at","mcdonalds.at")</f>
        <v>mcdonalds.at</v>
      </c>
      <c r="C22710" t="s">
        <v>419</v>
      </c>
      <c r="D22710" t="s">
        <v>801</v>
      </c>
      <c r="E22710">
        <v>263540</v>
      </c>
      <c r="F22710">
        <v>3.36626875720834E-7</v>
      </c>
      <c r="G22710">
        <v>110806</v>
      </c>
      <c r="H22710">
        <v>14746701</v>
      </c>
      <c r="I22710">
        <v>564972</v>
      </c>
      <c r="J22710">
        <v>2</v>
      </c>
    </row>
    <row r="22711" spans="1:10" x14ac:dyDescent="0.25">
      <c r="A22711" t="s">
        <v>247</v>
      </c>
      <c r="B22711" s="1" t="str">
        <f>HYPERLINK("http://mcdonalds.com.au","mcdonalds.com.au")</f>
        <v>mcdonalds.com.au</v>
      </c>
      <c r="C22711" t="s">
        <v>420</v>
      </c>
      <c r="D22711" t="s">
        <v>802</v>
      </c>
      <c r="E22711">
        <v>81585</v>
      </c>
      <c r="F22711">
        <v>2.3677561255034999E-7</v>
      </c>
      <c r="G22711">
        <v>158211</v>
      </c>
      <c r="H22711">
        <v>17273874</v>
      </c>
      <c r="I22711">
        <v>30874</v>
      </c>
      <c r="J22711">
        <v>2</v>
      </c>
    </row>
    <row r="22712" spans="1:10" x14ac:dyDescent="0.25">
      <c r="A22712" t="s">
        <v>247</v>
      </c>
      <c r="B22712" s="1" t="str">
        <f>HYPERLINK("http://mcdonalds.az","mcdonalds.az")</f>
        <v>mcdonalds.az</v>
      </c>
      <c r="C22712" t="s">
        <v>561</v>
      </c>
      <c r="D22712" t="s">
        <v>911</v>
      </c>
      <c r="F22712">
        <v>3.7678479189303703E-8</v>
      </c>
      <c r="G22712">
        <v>1373445</v>
      </c>
      <c r="H22712">
        <v>14114304</v>
      </c>
      <c r="I22712">
        <v>2665668</v>
      </c>
      <c r="J22712">
        <v>2</v>
      </c>
    </row>
    <row r="22713" spans="1:10" x14ac:dyDescent="0.25">
      <c r="A22713" t="s">
        <v>247</v>
      </c>
      <c r="B22713" s="1" t="str">
        <f>HYPERLINK("http://mcdonalds.be","mcdonalds.be")</f>
        <v>mcdonalds.be</v>
      </c>
      <c r="C22713" t="s">
        <v>421</v>
      </c>
      <c r="D22713" t="s">
        <v>803</v>
      </c>
      <c r="E22713">
        <v>579160</v>
      </c>
      <c r="F22713">
        <v>9.6700832277358701E-8</v>
      </c>
      <c r="G22713">
        <v>417998</v>
      </c>
      <c r="H22713">
        <v>14505155</v>
      </c>
      <c r="I22713">
        <v>837152</v>
      </c>
      <c r="J22713">
        <v>2</v>
      </c>
    </row>
    <row r="22714" spans="1:10" x14ac:dyDescent="0.25">
      <c r="A22714" t="s">
        <v>247</v>
      </c>
      <c r="B22714" s="1" t="str">
        <f>HYPERLINK("http://mcdonalds.com.br","mcdonalds.com.br")</f>
        <v>mcdonalds.com.br</v>
      </c>
      <c r="C22714" t="s">
        <v>425</v>
      </c>
      <c r="D22714" t="s">
        <v>806</v>
      </c>
      <c r="E22714">
        <v>221977</v>
      </c>
      <c r="F22714">
        <v>2.3511550405318999E-7</v>
      </c>
      <c r="G22714">
        <v>159397</v>
      </c>
      <c r="H22714">
        <v>14793282</v>
      </c>
      <c r="I22714">
        <v>550151</v>
      </c>
      <c r="J22714">
        <v>2</v>
      </c>
    </row>
    <row r="22715" spans="1:10" x14ac:dyDescent="0.25">
      <c r="A22715" t="s">
        <v>247</v>
      </c>
      <c r="B22715" s="1" t="str">
        <f>HYPERLINK("http://mcdonalds.by","mcdonalds.by")</f>
        <v>mcdonalds.by</v>
      </c>
      <c r="C22715" t="s">
        <v>427</v>
      </c>
      <c r="D22715" t="s">
        <v>808</v>
      </c>
      <c r="F22715">
        <v>4.5274623252364602E-8</v>
      </c>
      <c r="G22715">
        <v>1041225</v>
      </c>
      <c r="H22715">
        <v>14579429</v>
      </c>
      <c r="I22715">
        <v>712607</v>
      </c>
      <c r="J22715">
        <v>2</v>
      </c>
    </row>
    <row r="22716" spans="1:10" x14ac:dyDescent="0.25">
      <c r="A22716" t="s">
        <v>247</v>
      </c>
      <c r="B22716" s="1" t="str">
        <f>HYPERLINK("http://mcdonalds.ca","mcdonalds.ca")</f>
        <v>mcdonalds.ca</v>
      </c>
      <c r="C22716" t="s">
        <v>428</v>
      </c>
      <c r="D22716" t="s">
        <v>809</v>
      </c>
      <c r="E22716">
        <v>119942</v>
      </c>
      <c r="F22716">
        <v>4.7628319394263E-7</v>
      </c>
      <c r="G22716">
        <v>79781</v>
      </c>
      <c r="H22716">
        <v>14800612</v>
      </c>
      <c r="I22716">
        <v>548178</v>
      </c>
      <c r="J22716">
        <v>2</v>
      </c>
    </row>
    <row r="22717" spans="1:10" x14ac:dyDescent="0.25">
      <c r="A22717" t="s">
        <v>247</v>
      </c>
      <c r="B22717" s="1" t="str">
        <f>HYPERLINK("http://mcdonalds.ch","mcdonalds.ch")</f>
        <v>mcdonalds.ch</v>
      </c>
      <c r="C22717" t="s">
        <v>429</v>
      </c>
      <c r="D22717" t="s">
        <v>810</v>
      </c>
      <c r="E22717">
        <v>787923</v>
      </c>
      <c r="F22717">
        <v>1.5153644698817401E-7</v>
      </c>
      <c r="G22717">
        <v>256304</v>
      </c>
      <c r="H22717">
        <v>14843135</v>
      </c>
      <c r="I22717">
        <v>495550</v>
      </c>
      <c r="J22717">
        <v>2</v>
      </c>
    </row>
    <row r="22718" spans="1:10" x14ac:dyDescent="0.25">
      <c r="A22718" t="s">
        <v>247</v>
      </c>
      <c r="B22718" s="1" t="str">
        <f>HYPERLINK("http://mcdonalds.com.co","mcdonalds.com.co")</f>
        <v>mcdonalds.com.co</v>
      </c>
      <c r="C22718" t="s">
        <v>432</v>
      </c>
      <c r="F22718">
        <v>2.01974908736954E-8</v>
      </c>
      <c r="G22718">
        <v>2629399</v>
      </c>
      <c r="H22718">
        <v>14382075</v>
      </c>
      <c r="I22718">
        <v>1189681</v>
      </c>
      <c r="J22718">
        <v>2</v>
      </c>
    </row>
    <row r="22719" spans="1:10" x14ac:dyDescent="0.25">
      <c r="A22719" t="s">
        <v>247</v>
      </c>
      <c r="B22719" s="1" t="str">
        <f>HYPERLINK("http://macdonalds.com","macdonalds.com")</f>
        <v>macdonalds.com</v>
      </c>
      <c r="C22719" t="s">
        <v>433</v>
      </c>
      <c r="F22719">
        <v>6.5479030537112797E-9</v>
      </c>
      <c r="G22719">
        <v>13881383</v>
      </c>
      <c r="H22719">
        <v>13768938</v>
      </c>
      <c r="I22719">
        <v>6828652</v>
      </c>
      <c r="J22719">
        <v>3</v>
      </c>
    </row>
    <row r="22720" spans="1:10" x14ac:dyDescent="0.25">
      <c r="A22720" t="s">
        <v>247</v>
      </c>
      <c r="B22720" s="1" t="str">
        <f>HYPERLINK("http://macdonaldsmexico.com","macdonaldsmexico.com")</f>
        <v>macdonaldsmexico.com</v>
      </c>
      <c r="C22720" t="s">
        <v>433</v>
      </c>
      <c r="J22720">
        <v>3</v>
      </c>
    </row>
    <row r="22721" spans="1:10" x14ac:dyDescent="0.25">
      <c r="A22721" t="s">
        <v>247</v>
      </c>
      <c r="B22721" s="1" t="str">
        <f>HYPERLINK("http://mcdonalds.com","mcdonalds.com")</f>
        <v>mcdonalds.com</v>
      </c>
      <c r="C22721" t="s">
        <v>433</v>
      </c>
      <c r="E22721">
        <v>3195</v>
      </c>
      <c r="F22721">
        <v>8.0520331475726504E-6</v>
      </c>
      <c r="G22721">
        <v>4166</v>
      </c>
      <c r="H22721">
        <v>17947848</v>
      </c>
      <c r="I22721">
        <v>4071</v>
      </c>
      <c r="J22721">
        <v>1</v>
      </c>
    </row>
    <row r="22722" spans="1:10" x14ac:dyDescent="0.25">
      <c r="A22722" t="s">
        <v>247</v>
      </c>
      <c r="B22722" s="1" t="str">
        <f>HYPERLINK("http://mcdonaldscantabria.com","mcdonaldscantabria.com")</f>
        <v>mcdonaldscantabria.com</v>
      </c>
      <c r="C22722" t="s">
        <v>433</v>
      </c>
      <c r="F22722">
        <v>4.4890659024604504E-9</v>
      </c>
      <c r="G22722">
        <v>60666925</v>
      </c>
      <c r="H22722">
        <v>8527413</v>
      </c>
      <c r="I22722">
        <v>71777847</v>
      </c>
      <c r="J22722">
        <v>4</v>
      </c>
    </row>
    <row r="22723" spans="1:10" x14ac:dyDescent="0.25">
      <c r="A22723" t="s">
        <v>247</v>
      </c>
      <c r="B22723" s="1" t="str">
        <f>HYPERLINK("http://mcdonals.com","mcdonals.com")</f>
        <v>mcdonals.com</v>
      </c>
      <c r="C22723" t="s">
        <v>433</v>
      </c>
      <c r="F22723">
        <v>6.2767730137290601E-9</v>
      </c>
      <c r="G22723">
        <v>15142789</v>
      </c>
      <c r="H22723">
        <v>12108993</v>
      </c>
      <c r="I22723">
        <v>25762422</v>
      </c>
      <c r="J22723">
        <v>3</v>
      </c>
    </row>
    <row r="22724" spans="1:10" x14ac:dyDescent="0.25">
      <c r="A22724" t="s">
        <v>247</v>
      </c>
      <c r="B22724" s="1" t="str">
        <f>HYPERLINK("http://mxmcd.com","mxmcd.com")</f>
        <v>mxmcd.com</v>
      </c>
      <c r="C22724" t="s">
        <v>433</v>
      </c>
      <c r="J22724">
        <v>3</v>
      </c>
    </row>
    <row r="22725" spans="1:10" x14ac:dyDescent="0.25">
      <c r="A22725" t="s">
        <v>247</v>
      </c>
      <c r="B22725" s="1" t="str">
        <f>HYPERLINK("http://mcdonalds.com.cy","mcdonalds.com.cy")</f>
        <v>mcdonalds.com.cy</v>
      </c>
      <c r="C22725" t="s">
        <v>610</v>
      </c>
      <c r="D22725" t="s">
        <v>937</v>
      </c>
      <c r="F22725">
        <v>2.6289384182728E-8</v>
      </c>
      <c r="G22725">
        <v>1958794</v>
      </c>
      <c r="H22725">
        <v>14084328</v>
      </c>
      <c r="I22725">
        <v>2788029</v>
      </c>
      <c r="J22725">
        <v>2</v>
      </c>
    </row>
    <row r="22726" spans="1:10" x14ac:dyDescent="0.25">
      <c r="A22726" t="s">
        <v>247</v>
      </c>
      <c r="B22726" s="1" t="str">
        <f>HYPERLINK("http://mcdonalds.de","mcdonalds.de")</f>
        <v>mcdonalds.de</v>
      </c>
      <c r="C22726" t="s">
        <v>436</v>
      </c>
      <c r="D22726" t="s">
        <v>815</v>
      </c>
      <c r="E22726">
        <v>107237</v>
      </c>
      <c r="F22726">
        <v>5.6056705587583896E-7</v>
      </c>
      <c r="G22726">
        <v>69252</v>
      </c>
      <c r="H22726">
        <v>17246296</v>
      </c>
      <c r="I22726">
        <v>34462</v>
      </c>
      <c r="J22726">
        <v>2</v>
      </c>
    </row>
    <row r="22727" spans="1:10" x14ac:dyDescent="0.25">
      <c r="A22727" t="s">
        <v>247</v>
      </c>
      <c r="B22727" s="1" t="str">
        <f>HYPERLINK("http://mcdonalds.dk","mcdonalds.dk")</f>
        <v>mcdonalds.dk</v>
      </c>
      <c r="C22727" t="s">
        <v>437</v>
      </c>
      <c r="D22727" t="s">
        <v>816</v>
      </c>
      <c r="F22727">
        <v>3.0419076745313601E-8</v>
      </c>
      <c r="G22727">
        <v>1692488</v>
      </c>
      <c r="H22727">
        <v>14246273</v>
      </c>
      <c r="I22727">
        <v>1462332</v>
      </c>
      <c r="J22727">
        <v>2</v>
      </c>
    </row>
    <row r="22728" spans="1:10" x14ac:dyDescent="0.25">
      <c r="A22728" t="s">
        <v>247</v>
      </c>
      <c r="B22728" s="1" t="str">
        <f>HYPERLINK("http://mcdonalds.ee","mcdonalds.ee")</f>
        <v>mcdonalds.ee</v>
      </c>
      <c r="C22728" t="s">
        <v>441</v>
      </c>
      <c r="D22728" t="s">
        <v>820</v>
      </c>
      <c r="F22728">
        <v>1.81561064379185E-8</v>
      </c>
      <c r="G22728">
        <v>2998502</v>
      </c>
      <c r="H22728">
        <v>14238156</v>
      </c>
      <c r="I22728">
        <v>1532252</v>
      </c>
      <c r="J22728">
        <v>4</v>
      </c>
    </row>
    <row r="22729" spans="1:10" x14ac:dyDescent="0.25">
      <c r="A22729" t="s">
        <v>247</v>
      </c>
      <c r="B22729" s="1" t="str">
        <f>HYPERLINK("http://mcdonalds.es","mcdonalds.es")</f>
        <v>mcdonalds.es</v>
      </c>
      <c r="C22729" t="s">
        <v>443</v>
      </c>
      <c r="D22729" t="s">
        <v>822</v>
      </c>
      <c r="E22729">
        <v>237546</v>
      </c>
      <c r="F22729">
        <v>2.5130703959508501E-7</v>
      </c>
      <c r="G22729">
        <v>148856</v>
      </c>
      <c r="H22729">
        <v>17081868</v>
      </c>
      <c r="I22729">
        <v>67884</v>
      </c>
      <c r="J22729">
        <v>2</v>
      </c>
    </row>
    <row r="22730" spans="1:10" x14ac:dyDescent="0.25">
      <c r="A22730" t="s">
        <v>247</v>
      </c>
      <c r="B22730" s="1" t="str">
        <f>HYPERLINK("http://bigmac.fi","bigmac.fi")</f>
        <v>bigmac.fi</v>
      </c>
      <c r="C22730" t="s">
        <v>445</v>
      </c>
      <c r="D22730" t="s">
        <v>823</v>
      </c>
      <c r="J22730">
        <v>4</v>
      </c>
    </row>
    <row r="22731" spans="1:10" x14ac:dyDescent="0.25">
      <c r="A22731" t="s">
        <v>247</v>
      </c>
      <c r="B22731" s="1" t="str">
        <f>HYPERLINK("http://foodfolk.fi","foodfolk.fi")</f>
        <v>foodfolk.fi</v>
      </c>
      <c r="C22731" t="s">
        <v>445</v>
      </c>
      <c r="D22731" t="s">
        <v>823</v>
      </c>
      <c r="J22731">
        <v>4</v>
      </c>
    </row>
    <row r="22732" spans="1:10" x14ac:dyDescent="0.25">
      <c r="A22732" t="s">
        <v>247</v>
      </c>
      <c r="B22732" s="1" t="str">
        <f>HYPERLINK("http://foodfolksuomi.fi","foodfolksuomi.fi")</f>
        <v>foodfolksuomi.fi</v>
      </c>
      <c r="C22732" t="s">
        <v>445</v>
      </c>
      <c r="D22732" t="s">
        <v>823</v>
      </c>
      <c r="J22732">
        <v>4</v>
      </c>
    </row>
    <row r="22733" spans="1:10" x14ac:dyDescent="0.25">
      <c r="A22733" t="s">
        <v>247</v>
      </c>
      <c r="B22733" s="1" t="str">
        <f>HYPERLINK("http://mcdlearning.fi","mcdlearning.fi")</f>
        <v>mcdlearning.fi</v>
      </c>
      <c r="C22733" t="s">
        <v>445</v>
      </c>
      <c r="D22733" t="s">
        <v>823</v>
      </c>
      <c r="J22733">
        <v>4</v>
      </c>
    </row>
    <row r="22734" spans="1:10" x14ac:dyDescent="0.25">
      <c r="A22734" t="s">
        <v>247</v>
      </c>
      <c r="B22734" s="1" t="str">
        <f>HYPERLINK("http://mcdonalds.fi","mcdonalds.fi")</f>
        <v>mcdonalds.fi</v>
      </c>
      <c r="C22734" t="s">
        <v>445</v>
      </c>
      <c r="D22734" t="s">
        <v>823</v>
      </c>
      <c r="F22734">
        <v>5.6330745965976898E-8</v>
      </c>
      <c r="G22734">
        <v>794235</v>
      </c>
      <c r="H22734">
        <v>15052081</v>
      </c>
      <c r="I22734">
        <v>414201</v>
      </c>
      <c r="J22734">
        <v>2</v>
      </c>
    </row>
    <row r="22735" spans="1:10" x14ac:dyDescent="0.25">
      <c r="A22735" t="s">
        <v>247</v>
      </c>
      <c r="B22735" s="1" t="str">
        <f>HYPERLINK("http://mcdonaldsfinland.fi","mcdonaldsfinland.fi")</f>
        <v>mcdonaldsfinland.fi</v>
      </c>
      <c r="C22735" t="s">
        <v>445</v>
      </c>
      <c r="D22735" t="s">
        <v>823</v>
      </c>
      <c r="J22735">
        <v>4</v>
      </c>
    </row>
    <row r="22736" spans="1:10" x14ac:dyDescent="0.25">
      <c r="A22736" t="s">
        <v>247</v>
      </c>
      <c r="B22736" s="1" t="str">
        <f>HYPERLINK("http://mcdonaldssuomi.fi","mcdonaldssuomi.fi")</f>
        <v>mcdonaldssuomi.fi</v>
      </c>
      <c r="C22736" t="s">
        <v>445</v>
      </c>
      <c r="D22736" t="s">
        <v>823</v>
      </c>
      <c r="J22736">
        <v>4</v>
      </c>
    </row>
    <row r="22737" spans="1:10" x14ac:dyDescent="0.25">
      <c r="A22737" t="s">
        <v>247</v>
      </c>
      <c r="B22737" s="1" t="str">
        <f>HYPERLINK("http://mcfeedback.fi","mcfeedback.fi")</f>
        <v>mcfeedback.fi</v>
      </c>
      <c r="C22737" t="s">
        <v>445</v>
      </c>
      <c r="D22737" t="s">
        <v>823</v>
      </c>
      <c r="F22737">
        <v>1.20739993566817E-8</v>
      </c>
      <c r="G22737">
        <v>5129037</v>
      </c>
      <c r="H22737">
        <v>12483903</v>
      </c>
      <c r="I22737">
        <v>17561610</v>
      </c>
      <c r="J22737">
        <v>4</v>
      </c>
    </row>
    <row r="22738" spans="1:10" x14ac:dyDescent="0.25">
      <c r="A22738" t="s">
        <v>247</v>
      </c>
      <c r="B22738" s="1" t="str">
        <f>HYPERLINK("http://mchome.fi","mchome.fi")</f>
        <v>mchome.fi</v>
      </c>
      <c r="C22738" t="s">
        <v>445</v>
      </c>
      <c r="D22738" t="s">
        <v>823</v>
      </c>
      <c r="J22738">
        <v>5</v>
      </c>
    </row>
    <row r="22739" spans="1:10" x14ac:dyDescent="0.25">
      <c r="A22739" t="s">
        <v>247</v>
      </c>
      <c r="B22739" s="1" t="str">
        <f>HYPERLINK("http://mymcdonaldsrewards.fi","mymcdonaldsrewards.fi")</f>
        <v>mymcdonaldsrewards.fi</v>
      </c>
      <c r="C22739" t="s">
        <v>445</v>
      </c>
      <c r="D22739" t="s">
        <v>823</v>
      </c>
      <c r="J22739">
        <v>4</v>
      </c>
    </row>
    <row r="22740" spans="1:10" x14ac:dyDescent="0.25">
      <c r="A22740" t="s">
        <v>247</v>
      </c>
      <c r="B22740" s="1" t="str">
        <f>HYPERLINK("http://mymrewards.fi","mymrewards.fi")</f>
        <v>mymrewards.fi</v>
      </c>
      <c r="C22740" t="s">
        <v>445</v>
      </c>
      <c r="D22740" t="s">
        <v>823</v>
      </c>
      <c r="J22740">
        <v>4</v>
      </c>
    </row>
    <row r="22741" spans="1:10" x14ac:dyDescent="0.25">
      <c r="A22741" t="s">
        <v>247</v>
      </c>
      <c r="B22741" s="1" t="str">
        <f>HYPERLINK("http://ourlounge.fi","ourlounge.fi")</f>
        <v>ourlounge.fi</v>
      </c>
      <c r="C22741" t="s">
        <v>445</v>
      </c>
      <c r="D22741" t="s">
        <v>823</v>
      </c>
      <c r="J22741">
        <v>4</v>
      </c>
    </row>
    <row r="22742" spans="1:10" x14ac:dyDescent="0.25">
      <c r="A22742" t="s">
        <v>247</v>
      </c>
      <c r="B22742" s="1" t="str">
        <f>HYPERLINK("http://mcdonalds.fr","mcdonalds.fr")</f>
        <v>mcdonalds.fr</v>
      </c>
      <c r="C22742" t="s">
        <v>446</v>
      </c>
      <c r="D22742" t="s">
        <v>824</v>
      </c>
      <c r="E22742">
        <v>93958</v>
      </c>
      <c r="F22742">
        <v>4.6649800286486999E-7</v>
      </c>
      <c r="G22742">
        <v>81218</v>
      </c>
      <c r="H22742">
        <v>17131326</v>
      </c>
      <c r="I22742">
        <v>56453</v>
      </c>
      <c r="J22742">
        <v>3</v>
      </c>
    </row>
    <row r="22743" spans="1:10" x14ac:dyDescent="0.25">
      <c r="A22743" t="s">
        <v>247</v>
      </c>
      <c r="B22743" s="1" t="str">
        <f>HYPERLINK("http://mcdonalds.com.hk","mcdonalds.com.hk")</f>
        <v>mcdonalds.com.hk</v>
      </c>
      <c r="C22743" t="s">
        <v>450</v>
      </c>
      <c r="D22743" t="s">
        <v>827</v>
      </c>
      <c r="E22743">
        <v>281225</v>
      </c>
      <c r="F22743">
        <v>1.3528174510279399E-7</v>
      </c>
      <c r="G22743">
        <v>288477</v>
      </c>
      <c r="H22743">
        <v>17221504</v>
      </c>
      <c r="I22743">
        <v>38200</v>
      </c>
      <c r="J22743">
        <v>2</v>
      </c>
    </row>
    <row r="22744" spans="1:10" x14ac:dyDescent="0.25">
      <c r="A22744" t="s">
        <v>247</v>
      </c>
      <c r="B22744" s="1" t="str">
        <f>HYPERLINK("http://mcdonalds.ie","mcdonalds.ie")</f>
        <v>mcdonalds.ie</v>
      </c>
      <c r="C22744" t="s">
        <v>455</v>
      </c>
      <c r="D22744" t="s">
        <v>832</v>
      </c>
      <c r="F22744">
        <v>5.00870103805312E-8</v>
      </c>
      <c r="G22744">
        <v>919261</v>
      </c>
      <c r="H22744">
        <v>14629370</v>
      </c>
      <c r="I22744">
        <v>646574</v>
      </c>
      <c r="J22744">
        <v>2</v>
      </c>
    </row>
    <row r="22745" spans="1:10" x14ac:dyDescent="0.25">
      <c r="A22745" t="s">
        <v>247</v>
      </c>
      <c r="B22745" s="1" t="str">
        <f>HYPERLINK("http://mcdonalds.co.il","mcdonalds.co.il")</f>
        <v>mcdonalds.co.il</v>
      </c>
      <c r="C22745" t="s">
        <v>456</v>
      </c>
      <c r="D22745" t="s">
        <v>833</v>
      </c>
      <c r="E22745">
        <v>938342</v>
      </c>
      <c r="F22745">
        <v>2.8254005847239499E-8</v>
      </c>
      <c r="G22745">
        <v>1821664</v>
      </c>
      <c r="H22745">
        <v>14519373</v>
      </c>
      <c r="I22745">
        <v>806683</v>
      </c>
      <c r="J22745">
        <v>2</v>
      </c>
    </row>
    <row r="22746" spans="1:10" x14ac:dyDescent="0.25">
      <c r="A22746" t="s">
        <v>247</v>
      </c>
      <c r="B22746" s="1" t="str">
        <f>HYPERLINK("http://mcd-holdings.co.jp","mcd-holdings.co.jp")</f>
        <v>mcd-holdings.co.jp</v>
      </c>
      <c r="C22746" t="s">
        <v>461</v>
      </c>
      <c r="D22746" t="s">
        <v>837</v>
      </c>
      <c r="E22746">
        <v>674884</v>
      </c>
      <c r="F22746">
        <v>2.0040774998260501E-7</v>
      </c>
      <c r="G22746">
        <v>190093</v>
      </c>
      <c r="H22746">
        <v>14809687</v>
      </c>
      <c r="I22746">
        <v>536385</v>
      </c>
      <c r="J22746">
        <v>4</v>
      </c>
    </row>
    <row r="22747" spans="1:10" x14ac:dyDescent="0.25">
      <c r="A22747" t="s">
        <v>247</v>
      </c>
      <c r="B22747" s="1" t="str">
        <f>HYPERLINK("http://mcdonalds.co.jp","mcdonalds.co.jp")</f>
        <v>mcdonalds.co.jp</v>
      </c>
      <c r="C22747" t="s">
        <v>461</v>
      </c>
      <c r="D22747" t="s">
        <v>837</v>
      </c>
      <c r="E22747">
        <v>30447</v>
      </c>
      <c r="F22747">
        <v>8.60380686701335E-7</v>
      </c>
      <c r="G22747">
        <v>46394</v>
      </c>
      <c r="H22747">
        <v>17285912</v>
      </c>
      <c r="I22747">
        <v>29502</v>
      </c>
      <c r="J22747">
        <v>2</v>
      </c>
    </row>
    <row r="22748" spans="1:10" x14ac:dyDescent="0.25">
      <c r="A22748" t="s">
        <v>247</v>
      </c>
      <c r="B22748" s="1" t="str">
        <f>HYPERLINK("http://mcd.lt","mcd.lt")</f>
        <v>mcd.lt</v>
      </c>
      <c r="C22748" t="s">
        <v>467</v>
      </c>
      <c r="D22748" t="s">
        <v>843</v>
      </c>
      <c r="F22748">
        <v>1.8595684437429001E-8</v>
      </c>
      <c r="G22748">
        <v>2908103</v>
      </c>
      <c r="H22748">
        <v>14075022</v>
      </c>
      <c r="I22748">
        <v>2921539</v>
      </c>
      <c r="J22748">
        <v>4</v>
      </c>
    </row>
    <row r="22749" spans="1:10" x14ac:dyDescent="0.25">
      <c r="A22749" t="s">
        <v>247</v>
      </c>
      <c r="B22749" s="1" t="str">
        <f>HYPERLINK("http://mcdonalds.lv","mcdonalds.lv")</f>
        <v>mcdonalds.lv</v>
      </c>
      <c r="C22749" t="s">
        <v>468</v>
      </c>
      <c r="D22749" t="s">
        <v>844</v>
      </c>
      <c r="F22749">
        <v>2.34854162716333E-8</v>
      </c>
      <c r="G22749">
        <v>2216368</v>
      </c>
      <c r="H22749">
        <v>14078010</v>
      </c>
      <c r="I22749">
        <v>2854292</v>
      </c>
      <c r="J22749">
        <v>4</v>
      </c>
    </row>
    <row r="22750" spans="1:10" x14ac:dyDescent="0.25">
      <c r="A22750" t="s">
        <v>247</v>
      </c>
      <c r="B22750" s="1" t="str">
        <f>HYPERLINK("http://mcdonalds.com.mt","mcdonalds.com.mt")</f>
        <v>mcdonalds.com.mt</v>
      </c>
      <c r="C22750" t="s">
        <v>597</v>
      </c>
      <c r="D22750" t="s">
        <v>932</v>
      </c>
      <c r="F22750">
        <v>2.74064451414943E-8</v>
      </c>
      <c r="G22750">
        <v>1875720</v>
      </c>
      <c r="H22750">
        <v>14080164</v>
      </c>
      <c r="I22750">
        <v>2823022</v>
      </c>
      <c r="J22750">
        <v>2</v>
      </c>
    </row>
    <row r="22751" spans="1:10" x14ac:dyDescent="0.25">
      <c r="A22751" t="s">
        <v>247</v>
      </c>
      <c r="B22751" s="1" t="str">
        <f>HYPERLINK("http://-mcdonalds.com.mx","-mcdonalds.com.mx")</f>
        <v>-mcdonalds.com.mx</v>
      </c>
      <c r="C22751" t="s">
        <v>471</v>
      </c>
      <c r="D22751" t="s">
        <v>847</v>
      </c>
      <c r="J22751">
        <v>3</v>
      </c>
    </row>
    <row r="22752" spans="1:10" x14ac:dyDescent="0.25">
      <c r="A22752" t="s">
        <v>247</v>
      </c>
      <c r="B22752" s="1" t="str">
        <f>HYPERLINK("http://macdonals.com.mx","macdonals.com.mx")</f>
        <v>macdonals.com.mx</v>
      </c>
      <c r="C22752" t="s">
        <v>471</v>
      </c>
      <c r="D22752" t="s">
        <v>847</v>
      </c>
      <c r="J22752">
        <v>3</v>
      </c>
    </row>
    <row r="22753" spans="1:10" x14ac:dyDescent="0.25">
      <c r="A22753" t="s">
        <v>247</v>
      </c>
      <c r="B22753" s="1" t="str">
        <f>HYPERLINK("http://mcdoalds.com.mx","mcdoalds.com.mx")</f>
        <v>mcdoalds.com.mx</v>
      </c>
      <c r="C22753" t="s">
        <v>471</v>
      </c>
      <c r="D22753" t="s">
        <v>847</v>
      </c>
      <c r="J22753">
        <v>3</v>
      </c>
    </row>
    <row r="22754" spans="1:10" x14ac:dyDescent="0.25">
      <c r="A22754" t="s">
        <v>247</v>
      </c>
      <c r="B22754" s="1" t="str">
        <f>HYPERLINK("http://mcdonal.com.mx","mcdonal.com.mx")</f>
        <v>mcdonal.com.mx</v>
      </c>
      <c r="C22754" t="s">
        <v>471</v>
      </c>
      <c r="D22754" t="s">
        <v>847</v>
      </c>
      <c r="J22754">
        <v>3</v>
      </c>
    </row>
    <row r="22755" spans="1:10" x14ac:dyDescent="0.25">
      <c r="A22755" t="s">
        <v>247</v>
      </c>
      <c r="B22755" s="1" t="str">
        <f>HYPERLINK("http://mcdonald.com.mx","mcdonald.com.mx")</f>
        <v>mcdonald.com.mx</v>
      </c>
      <c r="C22755" t="s">
        <v>471</v>
      </c>
      <c r="D22755" t="s">
        <v>847</v>
      </c>
      <c r="J22755">
        <v>3</v>
      </c>
    </row>
    <row r="22756" spans="1:10" x14ac:dyDescent="0.25">
      <c r="A22756" t="s">
        <v>247</v>
      </c>
      <c r="B22756" s="1" t="str">
        <f>HYPERLINK("http://mcdonalds.com.mx","mcdonalds.com.mx")</f>
        <v>mcdonalds.com.mx</v>
      </c>
      <c r="C22756" t="s">
        <v>471</v>
      </c>
      <c r="D22756" t="s">
        <v>847</v>
      </c>
      <c r="E22756">
        <v>758027</v>
      </c>
      <c r="F22756">
        <v>5.9789423867367806E-8</v>
      </c>
      <c r="G22756">
        <v>738870</v>
      </c>
      <c r="H22756">
        <v>14726477</v>
      </c>
      <c r="I22756">
        <v>575210</v>
      </c>
      <c r="J22756">
        <v>3</v>
      </c>
    </row>
    <row r="22757" spans="1:10" x14ac:dyDescent="0.25">
      <c r="A22757" t="s">
        <v>247</v>
      </c>
      <c r="B22757" s="1" t="str">
        <f>HYPERLINK("http://mcdonals.com.mx","mcdonals.com.mx")</f>
        <v>mcdonals.com.mx</v>
      </c>
      <c r="C22757" t="s">
        <v>471</v>
      </c>
      <c r="D22757" t="s">
        <v>847</v>
      </c>
      <c r="J22757">
        <v>3</v>
      </c>
    </row>
    <row r="22758" spans="1:10" x14ac:dyDescent="0.25">
      <c r="A22758" t="s">
        <v>247</v>
      </c>
      <c r="B22758" s="1" t="str">
        <f>HYPERLINK("http://mcdonlds.com.mx","mcdonlds.com.mx")</f>
        <v>mcdonlds.com.mx</v>
      </c>
      <c r="C22758" t="s">
        <v>471</v>
      </c>
      <c r="D22758" t="s">
        <v>847</v>
      </c>
      <c r="J22758">
        <v>3</v>
      </c>
    </row>
    <row r="22759" spans="1:10" x14ac:dyDescent="0.25">
      <c r="A22759" t="s">
        <v>247</v>
      </c>
      <c r="B22759" s="1" t="str">
        <f>HYPERLINK("http://mcdonls.com.mx","mcdonls.com.mx")</f>
        <v>mcdonls.com.mx</v>
      </c>
      <c r="C22759" t="s">
        <v>471</v>
      </c>
      <c r="D22759" t="s">
        <v>847</v>
      </c>
      <c r="J22759">
        <v>3</v>
      </c>
    </row>
    <row r="22760" spans="1:10" x14ac:dyDescent="0.25">
      <c r="A22760" t="s">
        <v>247</v>
      </c>
      <c r="B22760" s="1" t="str">
        <f>HYPERLINK("http://mcdonaldscom.mx","mcdonaldscom.mx")</f>
        <v>mcdonaldscom.mx</v>
      </c>
      <c r="C22760" t="s">
        <v>471</v>
      </c>
      <c r="D22760" t="s">
        <v>847</v>
      </c>
      <c r="J22760">
        <v>3</v>
      </c>
    </row>
    <row r="22761" spans="1:10" x14ac:dyDescent="0.25">
      <c r="A22761" t="s">
        <v>247</v>
      </c>
      <c r="B22761" s="1" t="str">
        <f>HYPERLINK("http://mcdonalds.nl","mcdonalds.nl")</f>
        <v>mcdonalds.nl</v>
      </c>
      <c r="C22761" t="s">
        <v>477</v>
      </c>
      <c r="D22761" t="s">
        <v>852</v>
      </c>
      <c r="E22761">
        <v>399143</v>
      </c>
      <c r="F22761">
        <v>9.5321041846774298E-8</v>
      </c>
      <c r="G22761">
        <v>425048</v>
      </c>
      <c r="H22761">
        <v>15240264</v>
      </c>
      <c r="I22761">
        <v>391292</v>
      </c>
      <c r="J22761">
        <v>2</v>
      </c>
    </row>
    <row r="22762" spans="1:10" x14ac:dyDescent="0.25">
      <c r="A22762" t="s">
        <v>247</v>
      </c>
      <c r="B22762" s="1" t="str">
        <f>HYPERLINK("http://mcdonalds.no","mcdonalds.no")</f>
        <v>mcdonalds.no</v>
      </c>
      <c r="C22762" t="s">
        <v>478</v>
      </c>
      <c r="D22762" t="s">
        <v>853</v>
      </c>
      <c r="F22762">
        <v>2.4227957414890201E-8</v>
      </c>
      <c r="G22762">
        <v>2140766</v>
      </c>
      <c r="H22762">
        <v>14244003</v>
      </c>
      <c r="I22762">
        <v>1474168</v>
      </c>
      <c r="J22762">
        <v>2</v>
      </c>
    </row>
    <row r="22763" spans="1:10" x14ac:dyDescent="0.25">
      <c r="A22763" t="s">
        <v>247</v>
      </c>
      <c r="B22763" s="1" t="str">
        <f>HYPERLINK("http://mcdonalds.co.nz","mcdonalds.co.nz")</f>
        <v>mcdonalds.co.nz</v>
      </c>
      <c r="C22763" t="s">
        <v>479</v>
      </c>
      <c r="D22763" t="s">
        <v>854</v>
      </c>
      <c r="E22763">
        <v>476230</v>
      </c>
      <c r="F22763">
        <v>4.1329496256997603E-8</v>
      </c>
      <c r="G22763">
        <v>1215637</v>
      </c>
      <c r="H22763">
        <v>14616726</v>
      </c>
      <c r="I22763">
        <v>664508</v>
      </c>
      <c r="J22763">
        <v>2</v>
      </c>
    </row>
    <row r="22764" spans="1:10" x14ac:dyDescent="0.25">
      <c r="A22764" t="s">
        <v>247</v>
      </c>
      <c r="B22764" s="1" t="str">
        <f>HYPERLINK("http://mcdonalds.pl","mcdonalds.pl")</f>
        <v>mcdonalds.pl</v>
      </c>
      <c r="C22764" t="s">
        <v>486</v>
      </c>
      <c r="D22764" t="s">
        <v>860</v>
      </c>
      <c r="E22764">
        <v>208860</v>
      </c>
      <c r="F22764">
        <v>2.9069793828090499E-7</v>
      </c>
      <c r="G22764">
        <v>128026</v>
      </c>
      <c r="H22764">
        <v>14715246</v>
      </c>
      <c r="I22764">
        <v>580835</v>
      </c>
      <c r="J22764">
        <v>2</v>
      </c>
    </row>
    <row r="22765" spans="1:10" x14ac:dyDescent="0.25">
      <c r="A22765" t="s">
        <v>247</v>
      </c>
      <c r="B22765" s="1" t="str">
        <f>HYPERLINK("http://mcdonalds.pt","mcdonalds.pt")</f>
        <v>mcdonalds.pt</v>
      </c>
      <c r="C22765" t="s">
        <v>488</v>
      </c>
      <c r="D22765" t="s">
        <v>862</v>
      </c>
      <c r="E22765">
        <v>615446</v>
      </c>
      <c r="F22765">
        <v>2.7603685147683999E-7</v>
      </c>
      <c r="G22765">
        <v>134765</v>
      </c>
      <c r="H22765">
        <v>15116246</v>
      </c>
      <c r="I22765">
        <v>404273</v>
      </c>
      <c r="J22765">
        <v>2</v>
      </c>
    </row>
    <row r="22766" spans="1:10" x14ac:dyDescent="0.25">
      <c r="A22766" t="s">
        <v>247</v>
      </c>
      <c r="B22766" s="1" t="str">
        <f>HYPERLINK("http://mcdonalds.rs","mcdonalds.rs")</f>
        <v>mcdonalds.rs</v>
      </c>
      <c r="C22766" t="s">
        <v>492</v>
      </c>
      <c r="D22766" t="s">
        <v>866</v>
      </c>
      <c r="F22766">
        <v>2.5526436567568601E-8</v>
      </c>
      <c r="G22766">
        <v>2020533</v>
      </c>
      <c r="H22766">
        <v>14490297</v>
      </c>
      <c r="I22766">
        <v>913299</v>
      </c>
      <c r="J22766">
        <v>2</v>
      </c>
    </row>
    <row r="22767" spans="1:10" x14ac:dyDescent="0.25">
      <c r="A22767" t="s">
        <v>247</v>
      </c>
      <c r="B22767" s="1" t="str">
        <f>HYPERLINK("http://mcdonalds.ru","mcdonalds.ru")</f>
        <v>mcdonalds.ru</v>
      </c>
      <c r="C22767" t="s">
        <v>493</v>
      </c>
      <c r="D22767" t="s">
        <v>867</v>
      </c>
      <c r="E22767">
        <v>142613</v>
      </c>
      <c r="F22767">
        <v>2.9724169509210699E-7</v>
      </c>
      <c r="G22767">
        <v>125130</v>
      </c>
      <c r="H22767">
        <v>14700252</v>
      </c>
      <c r="I22767">
        <v>592791</v>
      </c>
      <c r="J22767">
        <v>2</v>
      </c>
    </row>
    <row r="22768" spans="1:10" x14ac:dyDescent="0.25">
      <c r="A22768" t="s">
        <v>247</v>
      </c>
      <c r="B22768" s="1" t="str">
        <f>HYPERLINK("http://mcdonalds.se","mcdonalds.se")</f>
        <v>mcdonalds.se</v>
      </c>
      <c r="C22768" t="s">
        <v>495</v>
      </c>
      <c r="D22768" t="s">
        <v>869</v>
      </c>
      <c r="E22768">
        <v>847947</v>
      </c>
      <c r="F22768">
        <v>5.7850941378798697E-8</v>
      </c>
      <c r="G22768">
        <v>769885</v>
      </c>
      <c r="H22768">
        <v>14494431</v>
      </c>
      <c r="I22768">
        <v>881745</v>
      </c>
      <c r="J22768">
        <v>2</v>
      </c>
    </row>
    <row r="22769" spans="1:10" x14ac:dyDescent="0.25">
      <c r="A22769" t="s">
        <v>247</v>
      </c>
      <c r="B22769" s="1" t="str">
        <f>HYPERLINK("http://mcd.com.tw","mcd.com.tw")</f>
        <v>mcd.com.tw</v>
      </c>
      <c r="C22769" t="s">
        <v>504</v>
      </c>
      <c r="D22769" t="s">
        <v>878</v>
      </c>
      <c r="F22769">
        <v>4.4438146397628802E-9</v>
      </c>
      <c r="G22769">
        <v>79486949</v>
      </c>
      <c r="H22769">
        <v>10355653</v>
      </c>
      <c r="I22769">
        <v>55690587</v>
      </c>
      <c r="J22769">
        <v>5</v>
      </c>
    </row>
    <row r="22770" spans="1:10" x14ac:dyDescent="0.25">
      <c r="A22770" t="s">
        <v>247</v>
      </c>
      <c r="B22770" s="1" t="str">
        <f>HYPERLINK("http://mcdapp.com.tw","mcdapp.com.tw")</f>
        <v>mcdapp.com.tw</v>
      </c>
      <c r="C22770" t="s">
        <v>504</v>
      </c>
      <c r="D22770" t="s">
        <v>878</v>
      </c>
      <c r="J22770">
        <v>5</v>
      </c>
    </row>
    <row r="22771" spans="1:10" x14ac:dyDescent="0.25">
      <c r="A22771" t="s">
        <v>247</v>
      </c>
      <c r="B22771" s="1" t="str">
        <f>HYPERLINK("http://mcdonalds.com.tw","mcdonalds.com.tw")</f>
        <v>mcdonalds.com.tw</v>
      </c>
      <c r="C22771" t="s">
        <v>504</v>
      </c>
      <c r="D22771" t="s">
        <v>878</v>
      </c>
      <c r="E22771">
        <v>440229</v>
      </c>
      <c r="F22771">
        <v>7.0859006145043005E-8</v>
      </c>
      <c r="G22771">
        <v>597051</v>
      </c>
      <c r="H22771">
        <v>14698222</v>
      </c>
      <c r="I22771">
        <v>598342</v>
      </c>
      <c r="J22771">
        <v>2</v>
      </c>
    </row>
    <row r="22772" spans="1:10" x14ac:dyDescent="0.25">
      <c r="A22772" t="s">
        <v>247</v>
      </c>
      <c r="B22772" s="1" t="str">
        <f>HYPERLINK("http://mcdonalds.ua","mcdonalds.ua")</f>
        <v>mcdonalds.ua</v>
      </c>
      <c r="C22772" t="s">
        <v>505</v>
      </c>
      <c r="D22772" t="s">
        <v>879</v>
      </c>
      <c r="E22772">
        <v>852346</v>
      </c>
      <c r="F22772">
        <v>4.2065859149518202E-8</v>
      </c>
      <c r="G22772">
        <v>1162825</v>
      </c>
      <c r="H22772">
        <v>14408650</v>
      </c>
      <c r="I22772">
        <v>1146547</v>
      </c>
      <c r="J22772">
        <v>2</v>
      </c>
    </row>
    <row r="22773" spans="1:10" x14ac:dyDescent="0.25">
      <c r="A22773" t="s">
        <v>247</v>
      </c>
      <c r="B22773" s="1" t="str">
        <f>HYPERLINK("http://mcdonalds.co.uk","mcdonalds.co.uk")</f>
        <v>mcdonalds.co.uk</v>
      </c>
      <c r="C22773" t="s">
        <v>506</v>
      </c>
      <c r="D22773" t="s">
        <v>880</v>
      </c>
      <c r="E22773">
        <v>124273</v>
      </c>
      <c r="F22773">
        <v>2.8120938925402001E-7</v>
      </c>
      <c r="G22773">
        <v>132229</v>
      </c>
      <c r="H22773">
        <v>15390312</v>
      </c>
      <c r="I22773">
        <v>380674</v>
      </c>
      <c r="J22773">
        <v>2</v>
      </c>
    </row>
    <row r="22774" spans="1:10" x14ac:dyDescent="0.25">
      <c r="A22774" t="s">
        <v>247</v>
      </c>
      <c r="B22774" s="1" t="str">
        <f>HYPERLINK("http://mcdonalds.co.za","mcdonalds.co.za")</f>
        <v>mcdonalds.co.za</v>
      </c>
      <c r="C22774" t="s">
        <v>510</v>
      </c>
      <c r="D22774" t="s">
        <v>884</v>
      </c>
      <c r="E22774">
        <v>457629</v>
      </c>
      <c r="F22774">
        <v>3.8020278552439098E-8</v>
      </c>
      <c r="G22774">
        <v>1361176</v>
      </c>
      <c r="H22774">
        <v>14359507</v>
      </c>
      <c r="I22774">
        <v>1304812</v>
      </c>
      <c r="J22774">
        <v>2</v>
      </c>
    </row>
    <row r="22775" spans="1:10" x14ac:dyDescent="0.25">
      <c r="A22775" t="s">
        <v>1637</v>
      </c>
      <c r="B22775" s="1" t="str">
        <f>HYPERLINK("http://capsulepharmacy.ca","capsulepharmacy.ca")</f>
        <v>capsulepharmacy.ca</v>
      </c>
      <c r="C22775" t="s">
        <v>428</v>
      </c>
      <c r="D22775" t="s">
        <v>809</v>
      </c>
      <c r="F22775">
        <v>6.1952640824666199E-9</v>
      </c>
      <c r="G22775">
        <v>15561093</v>
      </c>
      <c r="H22775">
        <v>13151257</v>
      </c>
      <c r="I22775">
        <v>11822183</v>
      </c>
      <c r="J22775">
        <v>4</v>
      </c>
    </row>
    <row r="22776" spans="1:10" x14ac:dyDescent="0.25">
      <c r="A22776" t="s">
        <v>1637</v>
      </c>
      <c r="B22776" s="1" t="str">
        <f>HYPERLINK("http://cooksrx.ca","cooksrx.ca")</f>
        <v>cooksrx.ca</v>
      </c>
      <c r="C22776" t="s">
        <v>428</v>
      </c>
      <c r="D22776" t="s">
        <v>809</v>
      </c>
      <c r="F22776">
        <v>5.0453759577737397E-9</v>
      </c>
      <c r="G22776">
        <v>28325220</v>
      </c>
      <c r="H22776">
        <v>12060921</v>
      </c>
      <c r="I22776">
        <v>26996686</v>
      </c>
      <c r="J22776">
        <v>4</v>
      </c>
    </row>
    <row r="22777" spans="1:10" x14ac:dyDescent="0.25">
      <c r="A22777" t="s">
        <v>1637</v>
      </c>
      <c r="B22777" s="1" t="str">
        <f>HYPERLINK("http://derryvillagepharmacy.ca","derryvillagepharmacy.ca")</f>
        <v>derryvillagepharmacy.ca</v>
      </c>
      <c r="C22777" t="s">
        <v>428</v>
      </c>
      <c r="D22777" t="s">
        <v>809</v>
      </c>
      <c r="F22777">
        <v>4.4718524147290704E-9</v>
      </c>
      <c r="G22777">
        <v>64119064</v>
      </c>
      <c r="H22777">
        <v>9646608</v>
      </c>
      <c r="I22777">
        <v>63925287</v>
      </c>
      <c r="J22777">
        <v>4</v>
      </c>
    </row>
    <row r="22778" spans="1:10" x14ac:dyDescent="0.25">
      <c r="A22778" t="s">
        <v>1637</v>
      </c>
      <c r="B22778" s="1" t="str">
        <f>HYPERLINK("http://guardian-ida-pharmacies.ca","guardian-ida-pharmacies.ca")</f>
        <v>guardian-ida-pharmacies.ca</v>
      </c>
      <c r="C22778" t="s">
        <v>428</v>
      </c>
      <c r="D22778" t="s">
        <v>809</v>
      </c>
      <c r="F22778">
        <v>1.27082827907552E-7</v>
      </c>
      <c r="G22778">
        <v>310310</v>
      </c>
      <c r="H22778">
        <v>16973676</v>
      </c>
      <c r="I22778">
        <v>101424</v>
      </c>
      <c r="J22778">
        <v>3</v>
      </c>
    </row>
    <row r="22779" spans="1:10" x14ac:dyDescent="0.25">
      <c r="A22779" t="s">
        <v>1637</v>
      </c>
      <c r="B22779" s="1" t="str">
        <f>HYPERLINK("http://guardian-ida-remedysrx.ca","guardian-ida-remedysrx.ca")</f>
        <v>guardian-ida-remedysrx.ca</v>
      </c>
      <c r="C22779" t="s">
        <v>428</v>
      </c>
      <c r="D22779" t="s">
        <v>809</v>
      </c>
      <c r="E22779">
        <v>612672</v>
      </c>
      <c r="F22779">
        <v>2.26044437144819E-7</v>
      </c>
      <c r="G22779">
        <v>166677</v>
      </c>
      <c r="H22779">
        <v>14041567</v>
      </c>
      <c r="I22779">
        <v>3907111</v>
      </c>
      <c r="J22779">
        <v>4</v>
      </c>
    </row>
    <row r="22780" spans="1:10" x14ac:dyDescent="0.25">
      <c r="A22780" t="s">
        <v>1637</v>
      </c>
      <c r="B22780" s="1" t="str">
        <f>HYPERLINK("http://guardian-pharmacy.ca","guardian-pharmacy.ca")</f>
        <v>guardian-pharmacy.ca</v>
      </c>
      <c r="C22780" t="s">
        <v>428</v>
      </c>
      <c r="D22780" t="s">
        <v>809</v>
      </c>
      <c r="F22780">
        <v>3.4985272348509502E-8</v>
      </c>
      <c r="G22780">
        <v>1484793</v>
      </c>
      <c r="H22780">
        <v>12504918</v>
      </c>
      <c r="I22780">
        <v>17296860</v>
      </c>
      <c r="J22780">
        <v>4</v>
      </c>
    </row>
    <row r="22781" spans="1:10" x14ac:dyDescent="0.25">
      <c r="A22781" t="s">
        <v>1637</v>
      </c>
      <c r="B22781" s="1" t="str">
        <f>HYPERLINK("http://ida-pharmacy.ca","ida-pharmacy.ca")</f>
        <v>ida-pharmacy.ca</v>
      </c>
      <c r="C22781" t="s">
        <v>428</v>
      </c>
      <c r="D22781" t="s">
        <v>809</v>
      </c>
      <c r="F22781">
        <v>1.22998102304826E-8</v>
      </c>
      <c r="G22781">
        <v>4994330</v>
      </c>
      <c r="H22781">
        <v>12321510</v>
      </c>
      <c r="I22781">
        <v>20385017</v>
      </c>
      <c r="J22781">
        <v>4</v>
      </c>
    </row>
    <row r="22782" spans="1:10" x14ac:dyDescent="0.25">
      <c r="A22782" t="s">
        <v>1637</v>
      </c>
      <c r="B22782" s="1" t="str">
        <f>HYPERLINK("http://mckesson.ca","mckesson.ca")</f>
        <v>mckesson.ca</v>
      </c>
      <c r="C22782" t="s">
        <v>428</v>
      </c>
      <c r="D22782" t="s">
        <v>809</v>
      </c>
      <c r="E22782">
        <v>228271</v>
      </c>
      <c r="F22782">
        <v>1.34488018397255E-7</v>
      </c>
      <c r="G22782">
        <v>290267</v>
      </c>
      <c r="H22782">
        <v>14425455</v>
      </c>
      <c r="I22782">
        <v>1080233</v>
      </c>
      <c r="J22782">
        <v>2</v>
      </c>
    </row>
    <row r="22783" spans="1:10" x14ac:dyDescent="0.25">
      <c r="A22783" t="s">
        <v>1637</v>
      </c>
      <c r="B22783" s="1" t="str">
        <f>HYPERLINK("http://medspharmacy.ca","medspharmacy.ca")</f>
        <v>medspharmacy.ca</v>
      </c>
      <c r="C22783" t="s">
        <v>428</v>
      </c>
      <c r="D22783" t="s">
        <v>809</v>
      </c>
      <c r="F22783">
        <v>7.2003145989277102E-9</v>
      </c>
      <c r="G22783">
        <v>11739343</v>
      </c>
      <c r="H22783">
        <v>12967878</v>
      </c>
      <c r="I22783">
        <v>13064870</v>
      </c>
      <c r="J22783">
        <v>4</v>
      </c>
    </row>
    <row r="22784" spans="1:10" x14ac:dyDescent="0.25">
      <c r="A22784" t="s">
        <v>1637</v>
      </c>
      <c r="B22784" s="1" t="str">
        <f>HYPERLINK("http://myownpharmacy.ca","myownpharmacy.ca")</f>
        <v>myownpharmacy.ca</v>
      </c>
      <c r="C22784" t="s">
        <v>428</v>
      </c>
      <c r="D22784" t="s">
        <v>809</v>
      </c>
      <c r="F22784">
        <v>4.5738050146883297E-9</v>
      </c>
      <c r="G22784">
        <v>49846019</v>
      </c>
      <c r="H22784">
        <v>12110410</v>
      </c>
      <c r="I22784">
        <v>25714484</v>
      </c>
      <c r="J22784">
        <v>4</v>
      </c>
    </row>
    <row r="22785" spans="1:10" x14ac:dyDescent="0.25">
      <c r="A22785" t="s">
        <v>1637</v>
      </c>
      <c r="B22785" s="1" t="str">
        <f>HYPERLINK("http://remedys.ca","remedys.ca")</f>
        <v>remedys.ca</v>
      </c>
      <c r="C22785" t="s">
        <v>428</v>
      </c>
      <c r="D22785" t="s">
        <v>809</v>
      </c>
      <c r="F22785">
        <v>4.7972664436752701E-8</v>
      </c>
      <c r="G22785">
        <v>969580</v>
      </c>
      <c r="H22785">
        <v>14403563</v>
      </c>
      <c r="I22785">
        <v>1151000</v>
      </c>
      <c r="J22785">
        <v>3</v>
      </c>
    </row>
    <row r="22786" spans="1:10" x14ac:dyDescent="0.25">
      <c r="A22786" t="s">
        <v>1637</v>
      </c>
      <c r="B22786" s="1" t="str">
        <f>HYPERLINK("http://rexall.ca","rexall.ca")</f>
        <v>rexall.ca</v>
      </c>
      <c r="C22786" t="s">
        <v>428</v>
      </c>
      <c r="D22786" t="s">
        <v>809</v>
      </c>
      <c r="E22786">
        <v>170349</v>
      </c>
      <c r="F22786">
        <v>2.6442341353885899E-7</v>
      </c>
      <c r="G22786">
        <v>141093</v>
      </c>
      <c r="H22786">
        <v>14348245</v>
      </c>
      <c r="I22786">
        <v>1310772</v>
      </c>
      <c r="J22786">
        <v>3</v>
      </c>
    </row>
    <row r="22787" spans="1:10" x14ac:dyDescent="0.25">
      <c r="A22787" t="s">
        <v>1637</v>
      </c>
      <c r="B22787" s="1" t="str">
        <f>HYPERLINK("http://unicarepharmacy.ca","unicarepharmacy.ca")</f>
        <v>unicarepharmacy.ca</v>
      </c>
      <c r="C22787" t="s">
        <v>428</v>
      </c>
      <c r="D22787" t="s">
        <v>809</v>
      </c>
      <c r="J22787">
        <v>4</v>
      </c>
    </row>
    <row r="22788" spans="1:10" x14ac:dyDescent="0.25">
      <c r="A22788" t="s">
        <v>1637</v>
      </c>
      <c r="B22788" s="1" t="str">
        <f>HYPERLINK("http://angusguardianpharmacy.com","angusguardianpharmacy.com")</f>
        <v>angusguardianpharmacy.com</v>
      </c>
      <c r="C22788" t="s">
        <v>433</v>
      </c>
      <c r="F22788">
        <v>4.5803419989782898E-9</v>
      </c>
      <c r="G22788">
        <v>49260982</v>
      </c>
      <c r="H22788">
        <v>9360754</v>
      </c>
      <c r="I22788">
        <v>67832731</v>
      </c>
      <c r="J22788">
        <v>4</v>
      </c>
    </row>
    <row r="22789" spans="1:10" x14ac:dyDescent="0.25">
      <c r="A22789" t="s">
        <v>1637</v>
      </c>
      <c r="B22789" s="1" t="str">
        <f>HYPERLINK("http://badenvillagepharmacy.com","badenvillagepharmacy.com")</f>
        <v>badenvillagepharmacy.com</v>
      </c>
      <c r="C22789" t="s">
        <v>433</v>
      </c>
      <c r="F22789">
        <v>4.6646020688318201E-9</v>
      </c>
      <c r="G22789">
        <v>43253739</v>
      </c>
      <c r="H22789">
        <v>9817802</v>
      </c>
      <c r="I22789">
        <v>62446234</v>
      </c>
      <c r="J22789">
        <v>8</v>
      </c>
    </row>
    <row r="22790" spans="1:10" x14ac:dyDescent="0.25">
      <c r="A22790" t="s">
        <v>1637</v>
      </c>
      <c r="B22790" s="1" t="str">
        <f>HYPERLINK("http://bentonmedicalpharmacy.com","bentonmedicalpharmacy.com")</f>
        <v>bentonmedicalpharmacy.com</v>
      </c>
      <c r="C22790" t="s">
        <v>433</v>
      </c>
      <c r="J22790">
        <v>8</v>
      </c>
    </row>
    <row r="22791" spans="1:10" x14ac:dyDescent="0.25">
      <c r="A22791" t="s">
        <v>1637</v>
      </c>
      <c r="B22791" s="1" t="str">
        <f>HYPERLINK("http://ccc-exton.com","ccc-exton.com")</f>
        <v>ccc-exton.com</v>
      </c>
      <c r="C22791" t="s">
        <v>433</v>
      </c>
      <c r="J22791">
        <v>8</v>
      </c>
    </row>
    <row r="22792" spans="1:10" x14ac:dyDescent="0.25">
      <c r="A22792" t="s">
        <v>1637</v>
      </c>
      <c r="B22792" s="1" t="str">
        <f>HYPERLINK("http://extonroc.com","extonroc.com")</f>
        <v>extonroc.com</v>
      </c>
      <c r="C22792" t="s">
        <v>433</v>
      </c>
      <c r="J22792">
        <v>7</v>
      </c>
    </row>
    <row r="22793" spans="1:10" x14ac:dyDescent="0.25">
      <c r="A22793" t="s">
        <v>1637</v>
      </c>
      <c r="B22793" s="1" t="str">
        <f>HYPERLINK("http://ezhpharmacy.com","ezhpharmacy.com")</f>
        <v>ezhpharmacy.com</v>
      </c>
      <c r="C22793" t="s">
        <v>433</v>
      </c>
      <c r="F22793">
        <v>4.5360400043640804E-9</v>
      </c>
      <c r="G22793">
        <v>53804892</v>
      </c>
      <c r="H22793">
        <v>9867757</v>
      </c>
      <c r="I22793">
        <v>62004786</v>
      </c>
      <c r="J22793">
        <v>4</v>
      </c>
    </row>
    <row r="22794" spans="1:10" x14ac:dyDescent="0.25">
      <c r="A22794" t="s">
        <v>1637</v>
      </c>
      <c r="B22794" s="1" t="str">
        <f>HYPERLINK("http://fallowfieldpharmasave.com","fallowfieldpharmasave.com")</f>
        <v>fallowfieldpharmasave.com</v>
      </c>
      <c r="C22794" t="s">
        <v>433</v>
      </c>
      <c r="F22794">
        <v>5.4310282419510304E-9</v>
      </c>
      <c r="G22794">
        <v>21727185</v>
      </c>
      <c r="H22794">
        <v>10570142</v>
      </c>
      <c r="I22794">
        <v>46086529</v>
      </c>
      <c r="J22794">
        <v>8</v>
      </c>
    </row>
    <row r="22795" spans="1:10" x14ac:dyDescent="0.25">
      <c r="A22795" t="s">
        <v>1637</v>
      </c>
      <c r="B22795" s="1" t="str">
        <f>HYPERLINK("http://goodhealthpharmasave.com","goodhealthpharmasave.com")</f>
        <v>goodhealthpharmasave.com</v>
      </c>
      <c r="C22795" t="s">
        <v>433</v>
      </c>
      <c r="F22795">
        <v>4.44380395335525E-9</v>
      </c>
      <c r="G22795">
        <v>81806455</v>
      </c>
      <c r="H22795">
        <v>0</v>
      </c>
      <c r="I22795">
        <v>82269268</v>
      </c>
      <c r="J22795">
        <v>8</v>
      </c>
    </row>
    <row r="22796" spans="1:10" x14ac:dyDescent="0.25">
      <c r="A22796" t="s">
        <v>1637</v>
      </c>
      <c r="B22796" s="1" t="str">
        <f>HYPERLINK("http://healthmart.com","healthmart.com")</f>
        <v>healthmart.com</v>
      </c>
      <c r="C22796" t="s">
        <v>433</v>
      </c>
      <c r="E22796">
        <v>252116</v>
      </c>
      <c r="F22796">
        <v>5.5262793612674696E-7</v>
      </c>
      <c r="G22796">
        <v>70050</v>
      </c>
      <c r="H22796">
        <v>17194750</v>
      </c>
      <c r="I22796">
        <v>42753</v>
      </c>
      <c r="J22796">
        <v>3</v>
      </c>
    </row>
    <row r="22797" spans="1:10" x14ac:dyDescent="0.25">
      <c r="A22797" t="s">
        <v>1637</v>
      </c>
      <c r="B22797" s="1" t="str">
        <f>HYPERLINK("http://idapharmacy.com","idapharmacy.com")</f>
        <v>idapharmacy.com</v>
      </c>
      <c r="C22797" t="s">
        <v>433</v>
      </c>
      <c r="F22797">
        <v>6.4233119237520397E-9</v>
      </c>
      <c r="G22797">
        <v>14411467</v>
      </c>
      <c r="H22797">
        <v>12032113</v>
      </c>
      <c r="I22797">
        <v>27617762</v>
      </c>
      <c r="J22797">
        <v>4</v>
      </c>
    </row>
    <row r="22798" spans="1:10" x14ac:dyDescent="0.25">
      <c r="A22798" t="s">
        <v>1637</v>
      </c>
      <c r="B22798" s="1" t="str">
        <f>HYPERLINK("http://lilvillage.com","lilvillage.com")</f>
        <v>lilvillage.com</v>
      </c>
      <c r="C22798" t="s">
        <v>433</v>
      </c>
      <c r="F22798">
        <v>4.44380395335525E-9</v>
      </c>
      <c r="G22798">
        <v>82426506</v>
      </c>
      <c r="H22798">
        <v>0</v>
      </c>
      <c r="I22798">
        <v>83033402</v>
      </c>
      <c r="J22798">
        <v>4</v>
      </c>
    </row>
    <row r="22799" spans="1:10" x14ac:dyDescent="0.25">
      <c r="A22799" t="s">
        <v>1637</v>
      </c>
      <c r="B22799" s="1" t="str">
        <f>HYPERLINK("http://lorrainespharmacy.com","lorrainespharmacy.com")</f>
        <v>lorrainespharmacy.com</v>
      </c>
      <c r="C22799" t="s">
        <v>433</v>
      </c>
      <c r="F22799">
        <v>5.3765629462758803E-9</v>
      </c>
      <c r="G22799">
        <v>22461195</v>
      </c>
      <c r="H22799">
        <v>10547105</v>
      </c>
      <c r="I22799">
        <v>46819333</v>
      </c>
      <c r="J22799">
        <v>8</v>
      </c>
    </row>
    <row r="22800" spans="1:10" x14ac:dyDescent="0.25">
      <c r="A22800" t="s">
        <v>1637</v>
      </c>
      <c r="B22800" s="1" t="str">
        <f>HYPERLINK("http://mckesson.com","mckesson.com")</f>
        <v>mckesson.com</v>
      </c>
      <c r="C22800" t="s">
        <v>433</v>
      </c>
      <c r="E22800">
        <v>11189</v>
      </c>
      <c r="F22800">
        <v>2.7136925008937501E-6</v>
      </c>
      <c r="G22800">
        <v>14055</v>
      </c>
      <c r="H22800">
        <v>17540308</v>
      </c>
      <c r="I22800">
        <v>11647</v>
      </c>
      <c r="J22800">
        <v>1</v>
      </c>
    </row>
    <row r="22801" spans="1:10" x14ac:dyDescent="0.25">
      <c r="A22801" t="s">
        <v>1637</v>
      </c>
      <c r="B22801" s="1" t="str">
        <f>HYPERLINK("http://mckessonventures.com","mckessonventures.com")</f>
        <v>mckessonventures.com</v>
      </c>
      <c r="C22801" t="s">
        <v>433</v>
      </c>
      <c r="F22801">
        <v>7.7512383484737195E-9</v>
      </c>
      <c r="G22801">
        <v>10464427</v>
      </c>
      <c r="H22801">
        <v>12458937</v>
      </c>
      <c r="I22801">
        <v>17891922</v>
      </c>
      <c r="J22801">
        <v>4</v>
      </c>
    </row>
    <row r="22802" spans="1:10" x14ac:dyDescent="0.25">
      <c r="A22802" t="s">
        <v>1637</v>
      </c>
      <c r="B22802" s="1" t="str">
        <f>HYPERLINK("http://miracleprescriptions.com","miracleprescriptions.com")</f>
        <v>miracleprescriptions.com</v>
      </c>
      <c r="C22802" t="s">
        <v>433</v>
      </c>
      <c r="F22802">
        <v>4.44380395335525E-9</v>
      </c>
      <c r="G22802">
        <v>82653584</v>
      </c>
      <c r="H22802">
        <v>0</v>
      </c>
      <c r="I22802">
        <v>83308419</v>
      </c>
      <c r="J22802">
        <v>4</v>
      </c>
    </row>
    <row r="22803" spans="1:10" x14ac:dyDescent="0.25">
      <c r="A22803" t="s">
        <v>1637</v>
      </c>
      <c r="B22803" s="1" t="str">
        <f>HYPERLINK("http://oakbaypharmasave.com","oakbaypharmasave.com")</f>
        <v>oakbaypharmasave.com</v>
      </c>
      <c r="C22803" t="s">
        <v>433</v>
      </c>
      <c r="F22803">
        <v>5.7634430175642802E-9</v>
      </c>
      <c r="G22803">
        <v>18379049</v>
      </c>
      <c r="H22803">
        <v>11052214</v>
      </c>
      <c r="I22803">
        <v>32772037</v>
      </c>
      <c r="J22803">
        <v>8</v>
      </c>
    </row>
    <row r="22804" spans="1:10" x14ac:dyDescent="0.25">
      <c r="A22804" t="s">
        <v>1637</v>
      </c>
      <c r="B22804" s="1" t="str">
        <f>HYPERLINK("http://parksvillepharmasave.com","parksvillepharmasave.com")</f>
        <v>parksvillepharmasave.com</v>
      </c>
      <c r="C22804" t="s">
        <v>433</v>
      </c>
      <c r="F22804">
        <v>9.0790156197974196E-9</v>
      </c>
      <c r="G22804">
        <v>7876101</v>
      </c>
      <c r="H22804">
        <v>13228060</v>
      </c>
      <c r="I22804">
        <v>11293015</v>
      </c>
      <c r="J22804">
        <v>8</v>
      </c>
    </row>
    <row r="22805" spans="1:10" x14ac:dyDescent="0.25">
      <c r="A22805" t="s">
        <v>1637</v>
      </c>
      <c r="B22805" s="1" t="str">
        <f>HYPERLINK("http://pharmasave.com","pharmasave.com")</f>
        <v>pharmasave.com</v>
      </c>
      <c r="C22805" t="s">
        <v>433</v>
      </c>
      <c r="E22805">
        <v>299582</v>
      </c>
      <c r="F22805">
        <v>2.5514353442188101E-7</v>
      </c>
      <c r="G22805">
        <v>146610</v>
      </c>
      <c r="H22805">
        <v>14608716</v>
      </c>
      <c r="I22805">
        <v>679761</v>
      </c>
      <c r="J22805">
        <v>8</v>
      </c>
    </row>
    <row r="22806" spans="1:10" x14ac:dyDescent="0.25">
      <c r="A22806" t="s">
        <v>1637</v>
      </c>
      <c r="B22806" s="1" t="str">
        <f>HYPERLINK("http://pharmasavebramcity.com","pharmasavebramcity.com")</f>
        <v>pharmasavebramcity.com</v>
      </c>
      <c r="C22806" t="s">
        <v>433</v>
      </c>
      <c r="F22806">
        <v>4.7139451598048803E-9</v>
      </c>
      <c r="G22806">
        <v>40517794</v>
      </c>
      <c r="H22806">
        <v>10619420</v>
      </c>
      <c r="I22806">
        <v>44304314</v>
      </c>
      <c r="J22806">
        <v>8</v>
      </c>
    </row>
    <row r="22807" spans="1:10" x14ac:dyDescent="0.25">
      <c r="A22807" t="s">
        <v>1637</v>
      </c>
      <c r="B22807" s="1" t="str">
        <f>HYPERLINK("http://pharmasavehuroncrossing.com","pharmasavehuroncrossing.com")</f>
        <v>pharmasavehuroncrossing.com</v>
      </c>
      <c r="C22807" t="s">
        <v>433</v>
      </c>
      <c r="J22807">
        <v>8</v>
      </c>
    </row>
    <row r="22808" spans="1:10" x14ac:dyDescent="0.25">
      <c r="A22808" t="s">
        <v>1637</v>
      </c>
      <c r="B22808" s="1" t="str">
        <f>HYPERLINK("http://pharmasavelaurelwood.com","pharmasavelaurelwood.com")</f>
        <v>pharmasavelaurelwood.com</v>
      </c>
      <c r="C22808" t="s">
        <v>433</v>
      </c>
      <c r="J22808">
        <v>8</v>
      </c>
    </row>
    <row r="22809" spans="1:10" x14ac:dyDescent="0.25">
      <c r="A22809" t="s">
        <v>1637</v>
      </c>
      <c r="B22809" s="1" t="str">
        <f>HYPERLINK("http://pharmasavemetrotown.com","pharmasavemetrotown.com")</f>
        <v>pharmasavemetrotown.com</v>
      </c>
      <c r="C22809" t="s">
        <v>433</v>
      </c>
      <c r="J22809">
        <v>8</v>
      </c>
    </row>
    <row r="22810" spans="1:10" x14ac:dyDescent="0.25">
      <c r="A22810" t="s">
        <v>1637</v>
      </c>
      <c r="B22810" s="1" t="str">
        <f>HYPERLINK("http://pharmasavemidhurst.com","pharmasavemidhurst.com")</f>
        <v>pharmasavemidhurst.com</v>
      </c>
      <c r="C22810" t="s">
        <v>433</v>
      </c>
      <c r="F22810">
        <v>5.0780274361115901E-9</v>
      </c>
      <c r="G22810">
        <v>27554119</v>
      </c>
      <c r="H22810">
        <v>10373589</v>
      </c>
      <c r="I22810">
        <v>54747775</v>
      </c>
      <c r="J22810">
        <v>8</v>
      </c>
    </row>
    <row r="22811" spans="1:10" x14ac:dyDescent="0.25">
      <c r="A22811" t="s">
        <v>1637</v>
      </c>
      <c r="B22811" s="1" t="str">
        <f>HYPERLINK("http://pharmasavewestkelowna.com","pharmasavewestkelowna.com")</f>
        <v>pharmasavewestkelowna.com</v>
      </c>
      <c r="C22811" t="s">
        <v>433</v>
      </c>
      <c r="F22811">
        <v>4.7134063539480498E-9</v>
      </c>
      <c r="G22811">
        <v>40582639</v>
      </c>
      <c r="H22811">
        <v>8532681</v>
      </c>
      <c r="I22811">
        <v>71653997</v>
      </c>
      <c r="J22811">
        <v>8</v>
      </c>
    </row>
    <row r="22812" spans="1:10" x14ac:dyDescent="0.25">
      <c r="A22812" t="s">
        <v>1637</v>
      </c>
      <c r="B22812" s="1" t="str">
        <f>HYPERLINK("http://rainbowrivermedical.com","rainbowrivermedical.com")</f>
        <v>rainbowrivermedical.com</v>
      </c>
      <c r="C22812" t="s">
        <v>433</v>
      </c>
      <c r="F22812">
        <v>4.4850071944849701E-9</v>
      </c>
      <c r="G22812">
        <v>61396492</v>
      </c>
      <c r="H22812">
        <v>11986552</v>
      </c>
      <c r="I22812">
        <v>28419384</v>
      </c>
      <c r="J22812">
        <v>4</v>
      </c>
    </row>
    <row r="22813" spans="1:10" x14ac:dyDescent="0.25">
      <c r="A22813" t="s">
        <v>1637</v>
      </c>
      <c r="B22813" s="1" t="str">
        <f>HYPERLINK("http://relayhealth.com","relayhealth.com")</f>
        <v>relayhealth.com</v>
      </c>
      <c r="C22813" t="s">
        <v>433</v>
      </c>
      <c r="E22813">
        <v>69338</v>
      </c>
      <c r="F22813">
        <v>1.04651724802028E-7</v>
      </c>
      <c r="G22813">
        <v>382984</v>
      </c>
      <c r="H22813">
        <v>14676502</v>
      </c>
      <c r="I22813">
        <v>610785</v>
      </c>
      <c r="J22813">
        <v>2</v>
      </c>
    </row>
    <row r="22814" spans="1:10" x14ac:dyDescent="0.25">
      <c r="A22814" t="s">
        <v>1637</v>
      </c>
      <c r="B22814" s="1" t="str">
        <f>HYPERLINK("http://rexall.com","rexall.com")</f>
        <v>rexall.com</v>
      </c>
      <c r="C22814" t="s">
        <v>433</v>
      </c>
      <c r="F22814">
        <v>1.45640280320111E-8</v>
      </c>
      <c r="G22814">
        <v>3989939</v>
      </c>
      <c r="H22814">
        <v>12718170</v>
      </c>
      <c r="I22814">
        <v>15260593</v>
      </c>
      <c r="J22814">
        <v>6</v>
      </c>
    </row>
    <row r="22815" spans="1:10" x14ac:dyDescent="0.25">
      <c r="A22815" t="s">
        <v>1637</v>
      </c>
      <c r="B22815" s="1" t="str">
        <f>HYPERLINK("http://strandherdpharmacy.com","strandherdpharmacy.com")</f>
        <v>strandherdpharmacy.com</v>
      </c>
      <c r="C22815" t="s">
        <v>433</v>
      </c>
      <c r="F22815">
        <v>4.5003038784418301E-9</v>
      </c>
      <c r="G22815">
        <v>58897886</v>
      </c>
      <c r="H22815">
        <v>10724475</v>
      </c>
      <c r="I22815">
        <v>41397752</v>
      </c>
      <c r="J22815">
        <v>4</v>
      </c>
    </row>
    <row r="22816" spans="1:10" x14ac:dyDescent="0.25">
      <c r="A22816" t="s">
        <v>1637</v>
      </c>
      <c r="B22816" s="1" t="str">
        <f>HYPERLINK("http://usoncology.com","usoncology.com")</f>
        <v>usoncology.com</v>
      </c>
      <c r="C22816" t="s">
        <v>433</v>
      </c>
      <c r="E22816">
        <v>80539</v>
      </c>
      <c r="F22816">
        <v>1.3432063672332001E-7</v>
      </c>
      <c r="G22816">
        <v>290677</v>
      </c>
      <c r="H22816">
        <v>14334184</v>
      </c>
      <c r="I22816">
        <v>1320656</v>
      </c>
      <c r="J22816">
        <v>3</v>
      </c>
    </row>
    <row r="22817" spans="1:10" x14ac:dyDescent="0.25">
      <c r="A22817" t="s">
        <v>1637</v>
      </c>
      <c r="B22817" s="1" t="str">
        <f>HYPERLINK("http://vantageoncology.com","vantageoncology.com")</f>
        <v>vantageoncology.com</v>
      </c>
      <c r="C22817" t="s">
        <v>433</v>
      </c>
      <c r="F22817">
        <v>9.5984781508551992E-9</v>
      </c>
      <c r="G22817">
        <v>7202356</v>
      </c>
      <c r="H22817">
        <v>13772650</v>
      </c>
      <c r="I22817">
        <v>6652870</v>
      </c>
      <c r="J22817">
        <v>7</v>
      </c>
    </row>
    <row r="22818" spans="1:10" x14ac:dyDescent="0.25">
      <c r="A22818" t="s">
        <v>1637</v>
      </c>
      <c r="B22818" s="1" t="str">
        <f>HYPERLINK("http://westonvillagebia.com","westonvillagebia.com")</f>
        <v>westonvillagebia.com</v>
      </c>
      <c r="C22818" t="s">
        <v>433</v>
      </c>
      <c r="F22818">
        <v>2.3771503254232499E-8</v>
      </c>
      <c r="G22818">
        <v>2186186</v>
      </c>
      <c r="H22818">
        <v>14142975</v>
      </c>
      <c r="I22818">
        <v>1916470</v>
      </c>
      <c r="J22818">
        <v>8</v>
      </c>
    </row>
    <row r="22819" spans="1:10" x14ac:dyDescent="0.25">
      <c r="A22819" t="s">
        <v>1637</v>
      </c>
      <c r="B22819" s="1" t="str">
        <f>HYPERLINK("http://windfieldspharmacy.com","windfieldspharmacy.com")</f>
        <v>windfieldspharmacy.com</v>
      </c>
      <c r="C22819" t="s">
        <v>433</v>
      </c>
      <c r="F22819">
        <v>4.9189524632130802E-9</v>
      </c>
      <c r="G22819">
        <v>31723651</v>
      </c>
      <c r="H22819">
        <v>11035994</v>
      </c>
      <c r="I22819">
        <v>32981994</v>
      </c>
      <c r="J22819">
        <v>4</v>
      </c>
    </row>
    <row r="22820" spans="1:10" x14ac:dyDescent="0.25">
      <c r="A22820" t="s">
        <v>1637</v>
      </c>
      <c r="B22820" s="1" t="str">
        <f>HYPERLINK("http://yorksuperpharmacy.com","yorksuperpharmacy.com")</f>
        <v>yorksuperpharmacy.com</v>
      </c>
      <c r="C22820" t="s">
        <v>433</v>
      </c>
      <c r="F22820">
        <v>4.5035623612672799E-9</v>
      </c>
      <c r="G22820">
        <v>58420009</v>
      </c>
      <c r="H22820">
        <v>10731060</v>
      </c>
      <c r="I22820">
        <v>40880807</v>
      </c>
      <c r="J22820">
        <v>4</v>
      </c>
    </row>
    <row r="22821" spans="1:10" x14ac:dyDescent="0.25">
      <c r="A22821" t="s">
        <v>1637</v>
      </c>
      <c r="B22821" s="1" t="str">
        <f>HYPERLINK("http://mckesson.eu","mckesson.eu")</f>
        <v>mckesson.eu</v>
      </c>
      <c r="C22821" t="s">
        <v>444</v>
      </c>
      <c r="E22821">
        <v>87408</v>
      </c>
      <c r="F22821">
        <v>5.00233959170699E-8</v>
      </c>
      <c r="G22821">
        <v>920747</v>
      </c>
      <c r="H22821">
        <v>13614115</v>
      </c>
      <c r="I22821">
        <v>9631894</v>
      </c>
      <c r="J22821">
        <v>2</v>
      </c>
    </row>
    <row r="22822" spans="1:10" x14ac:dyDescent="0.25">
      <c r="A22822" t="s">
        <v>1637</v>
      </c>
      <c r="B22822" s="1" t="str">
        <f>HYPERLINK("http://dittapotek.no","dittapotek.no")</f>
        <v>dittapotek.no</v>
      </c>
      <c r="C22822" t="s">
        <v>478</v>
      </c>
      <c r="D22822" t="s">
        <v>853</v>
      </c>
      <c r="F22822">
        <v>5.3818932569426401E-8</v>
      </c>
      <c r="G22822">
        <v>844549</v>
      </c>
      <c r="H22822">
        <v>14390575</v>
      </c>
      <c r="I22822">
        <v>1168150</v>
      </c>
      <c r="J22822">
        <v>4</v>
      </c>
    </row>
    <row r="22823" spans="1:10" x14ac:dyDescent="0.25">
      <c r="A22823" t="s">
        <v>1637</v>
      </c>
      <c r="B22823" s="1" t="str">
        <f>HYPERLINK("http://nmd.no","nmd.no")</f>
        <v>nmd.no</v>
      </c>
      <c r="C22823" t="s">
        <v>478</v>
      </c>
      <c r="D22823" t="s">
        <v>853</v>
      </c>
      <c r="F22823">
        <v>1.12205543745595E-8</v>
      </c>
      <c r="G22823">
        <v>5698710</v>
      </c>
      <c r="H22823">
        <v>14072773</v>
      </c>
      <c r="I22823">
        <v>3046423</v>
      </c>
      <c r="J22823">
        <v>3</v>
      </c>
    </row>
    <row r="22824" spans="1:10" x14ac:dyDescent="0.25">
      <c r="A22824" t="s">
        <v>1637</v>
      </c>
      <c r="B22824" s="1" t="str">
        <f>HYPERLINK("http://vitusapotek.no","vitusapotek.no")</f>
        <v>vitusapotek.no</v>
      </c>
      <c r="C22824" t="s">
        <v>478</v>
      </c>
      <c r="D22824" t="s">
        <v>853</v>
      </c>
      <c r="E22824">
        <v>233497</v>
      </c>
      <c r="F22824">
        <v>1.17518492674769E-7</v>
      </c>
      <c r="G22824">
        <v>338082</v>
      </c>
      <c r="H22824">
        <v>14494195</v>
      </c>
      <c r="I22824">
        <v>883104</v>
      </c>
      <c r="J22824">
        <v>4</v>
      </c>
    </row>
    <row r="22825" spans="1:10" x14ac:dyDescent="0.25">
      <c r="A22825" t="s">
        <v>1637</v>
      </c>
      <c r="B22825" s="1" t="str">
        <f>HYPERLINK("http://kemofarmacija.si","kemofarmacija.si")</f>
        <v>kemofarmacija.si</v>
      </c>
      <c r="C22825" t="s">
        <v>497</v>
      </c>
      <c r="D22825" t="s">
        <v>871</v>
      </c>
      <c r="F22825">
        <v>1.2826963631291E-8</v>
      </c>
      <c r="G22825">
        <v>4715369</v>
      </c>
      <c r="H22825">
        <v>10949357</v>
      </c>
      <c r="I22825">
        <v>34599022</v>
      </c>
      <c r="J22825">
        <v>4</v>
      </c>
    </row>
    <row r="22826" spans="1:10" x14ac:dyDescent="0.25">
      <c r="A22826" t="s">
        <v>1637</v>
      </c>
      <c r="B22826" s="1" t="str">
        <f>HYPERLINK("http://mckesson.co.uk","mckesson.co.uk")</f>
        <v>mckesson.co.uk</v>
      </c>
      <c r="C22826" t="s">
        <v>506</v>
      </c>
      <c r="D22826" t="s">
        <v>880</v>
      </c>
      <c r="E22826">
        <v>609700</v>
      </c>
      <c r="F22826">
        <v>5.2208765662926196E-9</v>
      </c>
      <c r="G22826">
        <v>24729579</v>
      </c>
      <c r="H22826">
        <v>12349510</v>
      </c>
      <c r="I22826">
        <v>19773334</v>
      </c>
      <c r="J22826">
        <v>6</v>
      </c>
    </row>
    <row r="22827" spans="1:10" x14ac:dyDescent="0.25">
      <c r="A22827" t="s">
        <v>248</v>
      </c>
      <c r="B22827" s="1" t="str">
        <f>HYPERLINK("http://medtronic.at","medtronic.at")</f>
        <v>medtronic.at</v>
      </c>
      <c r="C22827" t="s">
        <v>419</v>
      </c>
      <c r="D22827" t="s">
        <v>801</v>
      </c>
      <c r="F22827">
        <v>1.09323211902496E-8</v>
      </c>
      <c r="G22827">
        <v>5917638</v>
      </c>
      <c r="H22827">
        <v>14072990</v>
      </c>
      <c r="I22827">
        <v>3026266</v>
      </c>
      <c r="J22827">
        <v>3</v>
      </c>
    </row>
    <row r="22828" spans="1:10" x14ac:dyDescent="0.25">
      <c r="A22828" t="s">
        <v>248</v>
      </c>
      <c r="B22828" s="1" t="str">
        <f>HYPERLINK("http://medtronic-diabetes.at","medtronic-diabetes.at")</f>
        <v>medtronic-diabetes.at</v>
      </c>
      <c r="C22828" t="s">
        <v>419</v>
      </c>
      <c r="D22828" t="s">
        <v>801</v>
      </c>
      <c r="F22828">
        <v>9.5301326947665003E-9</v>
      </c>
      <c r="G22828">
        <v>7286730</v>
      </c>
      <c r="H22828">
        <v>12405916</v>
      </c>
      <c r="I22828">
        <v>18672690</v>
      </c>
      <c r="J22828">
        <v>5</v>
      </c>
    </row>
    <row r="22829" spans="1:10" x14ac:dyDescent="0.25">
      <c r="A22829" t="s">
        <v>248</v>
      </c>
      <c r="B22829" s="1" t="str">
        <f>HYPERLINK("http://medtronic.com.au","medtronic.com.au")</f>
        <v>medtronic.com.au</v>
      </c>
      <c r="C22829" t="s">
        <v>420</v>
      </c>
      <c r="D22829" t="s">
        <v>802</v>
      </c>
      <c r="F22829">
        <v>1.1692183684227501E-8</v>
      </c>
      <c r="G22829">
        <v>5371387</v>
      </c>
      <c r="H22829">
        <v>12662785</v>
      </c>
      <c r="I22829">
        <v>15695417</v>
      </c>
      <c r="J22829">
        <v>2</v>
      </c>
    </row>
    <row r="22830" spans="1:10" x14ac:dyDescent="0.25">
      <c r="A22830" t="s">
        <v>248</v>
      </c>
      <c r="B22830" s="1" t="str">
        <f>HYPERLINK("http://medtronic.be","medtronic.be")</f>
        <v>medtronic.be</v>
      </c>
      <c r="C22830" t="s">
        <v>421</v>
      </c>
      <c r="D22830" t="s">
        <v>803</v>
      </c>
      <c r="F22830">
        <v>1.01974706793031E-8</v>
      </c>
      <c r="G22830">
        <v>6549531</v>
      </c>
      <c r="H22830">
        <v>13934946</v>
      </c>
      <c r="I22830">
        <v>4561054</v>
      </c>
      <c r="J22830">
        <v>2</v>
      </c>
    </row>
    <row r="22831" spans="1:10" x14ac:dyDescent="0.25">
      <c r="A22831" t="s">
        <v>248</v>
      </c>
      <c r="B22831" s="1" t="str">
        <f>HYPERLINK("http://medtronic-diabetes.be","medtronic-diabetes.be")</f>
        <v>medtronic-diabetes.be</v>
      </c>
      <c r="C22831" t="s">
        <v>421</v>
      </c>
      <c r="D22831" t="s">
        <v>803</v>
      </c>
      <c r="F22831">
        <v>1.14231472998648E-8</v>
      </c>
      <c r="G22831">
        <v>5558771</v>
      </c>
      <c r="H22831">
        <v>12556801</v>
      </c>
      <c r="I22831">
        <v>16757847</v>
      </c>
      <c r="J22831">
        <v>5</v>
      </c>
    </row>
    <row r="22832" spans="1:10" x14ac:dyDescent="0.25">
      <c r="A22832" t="s">
        <v>248</v>
      </c>
      <c r="B22832" s="1" t="str">
        <f>HYPERLINK("http://medtronicdiabetes.com.br","medtronicdiabetes.com.br")</f>
        <v>medtronicdiabetes.com.br</v>
      </c>
      <c r="C22832" t="s">
        <v>425</v>
      </c>
      <c r="D22832" t="s">
        <v>806</v>
      </c>
      <c r="F22832">
        <v>8.1558437331108804E-9</v>
      </c>
      <c r="G22832">
        <v>9646253</v>
      </c>
      <c r="H22832">
        <v>13765229</v>
      </c>
      <c r="I22832">
        <v>7126945</v>
      </c>
      <c r="J22832">
        <v>4</v>
      </c>
    </row>
    <row r="22833" spans="1:10" x14ac:dyDescent="0.25">
      <c r="A22833" t="s">
        <v>248</v>
      </c>
      <c r="B22833" s="1" t="str">
        <f>HYPERLINK("http://medtronic.ca","medtronic.ca")</f>
        <v>medtronic.ca</v>
      </c>
      <c r="C22833" t="s">
        <v>428</v>
      </c>
      <c r="D22833" t="s">
        <v>809</v>
      </c>
      <c r="F22833">
        <v>1.6823103956814E-8</v>
      </c>
      <c r="G22833">
        <v>3327733</v>
      </c>
      <c r="H22833">
        <v>12586257</v>
      </c>
      <c r="I22833">
        <v>16445902</v>
      </c>
      <c r="J22833">
        <v>2</v>
      </c>
    </row>
    <row r="22834" spans="1:10" x14ac:dyDescent="0.25">
      <c r="A22834" t="s">
        <v>248</v>
      </c>
      <c r="B22834" s="1" t="str">
        <f>HYPERLINK("http://medtronic.ch","medtronic.ch")</f>
        <v>medtronic.ch</v>
      </c>
      <c r="C22834" t="s">
        <v>429</v>
      </c>
      <c r="D22834" t="s">
        <v>810</v>
      </c>
      <c r="F22834">
        <v>2.1451539187591399E-8</v>
      </c>
      <c r="G22834">
        <v>2455022</v>
      </c>
      <c r="H22834">
        <v>14083870</v>
      </c>
      <c r="I22834">
        <v>2790817</v>
      </c>
      <c r="J22834">
        <v>4</v>
      </c>
    </row>
    <row r="22835" spans="1:10" x14ac:dyDescent="0.25">
      <c r="A22835" t="s">
        <v>248</v>
      </c>
      <c r="B22835" s="1" t="str">
        <f>HYPERLINK("http://medtronic-diabetes.ch","medtronic-diabetes.ch")</f>
        <v>medtronic-diabetes.ch</v>
      </c>
      <c r="C22835" t="s">
        <v>429</v>
      </c>
      <c r="D22835" t="s">
        <v>810</v>
      </c>
      <c r="F22835">
        <v>1.8458368142390001E-8</v>
      </c>
      <c r="G22835">
        <v>2934210</v>
      </c>
      <c r="H22835">
        <v>13068022</v>
      </c>
      <c r="I22835">
        <v>12266115</v>
      </c>
      <c r="J22835">
        <v>5</v>
      </c>
    </row>
    <row r="22836" spans="1:10" x14ac:dyDescent="0.25">
      <c r="A22836" t="s">
        <v>248</v>
      </c>
      <c r="B22836" s="1" t="str">
        <f>HYPERLINK("http://medtronic.co","medtronic.co")</f>
        <v>medtronic.co</v>
      </c>
      <c r="C22836" t="s">
        <v>432</v>
      </c>
      <c r="F22836">
        <v>6.4897731541243401E-9</v>
      </c>
      <c r="G22836">
        <v>14120938</v>
      </c>
      <c r="H22836">
        <v>12388160</v>
      </c>
      <c r="I22836">
        <v>19080127</v>
      </c>
      <c r="J22836">
        <v>2</v>
      </c>
    </row>
    <row r="22837" spans="1:10" x14ac:dyDescent="0.25">
      <c r="A22837" t="s">
        <v>248</v>
      </c>
      <c r="B22837" s="1" t="str">
        <f>HYPERLINK("http://affera.com","affera.com")</f>
        <v>affera.com</v>
      </c>
      <c r="C22837" t="s">
        <v>433</v>
      </c>
      <c r="F22837">
        <v>1.30667425751894E-8</v>
      </c>
      <c r="G22837">
        <v>4599348</v>
      </c>
      <c r="H22837">
        <v>13178781</v>
      </c>
      <c r="I22837">
        <v>11688396</v>
      </c>
      <c r="J22837">
        <v>3</v>
      </c>
    </row>
    <row r="22838" spans="1:10" x14ac:dyDescent="0.25">
      <c r="A22838" t="s">
        <v>248</v>
      </c>
      <c r="B22838" s="1" t="str">
        <f>HYPERLINK("http://aircraftmedical.com","aircraftmedical.com")</f>
        <v>aircraftmedical.com</v>
      </c>
      <c r="C22838" t="s">
        <v>433</v>
      </c>
      <c r="F22838">
        <v>8.4418194406397697E-9</v>
      </c>
      <c r="G22838">
        <v>8958777</v>
      </c>
      <c r="H22838">
        <v>13828403</v>
      </c>
      <c r="I22838">
        <v>6115725</v>
      </c>
      <c r="J22838">
        <v>3</v>
      </c>
    </row>
    <row r="22839" spans="1:10" x14ac:dyDescent="0.25">
      <c r="A22839" t="s">
        <v>248</v>
      </c>
      <c r="B22839" s="1" t="str">
        <f>HYPERLINK("http://avenumedical.com","avenumedical.com")</f>
        <v>avenumedical.com</v>
      </c>
      <c r="C22839" t="s">
        <v>433</v>
      </c>
      <c r="F22839">
        <v>1.34731929819796E-8</v>
      </c>
      <c r="G22839">
        <v>4415188</v>
      </c>
      <c r="H22839">
        <v>13946538</v>
      </c>
      <c r="I22839">
        <v>4218524</v>
      </c>
      <c r="J22839">
        <v>3</v>
      </c>
    </row>
    <row r="22840" spans="1:10" x14ac:dyDescent="0.25">
      <c r="A22840" t="s">
        <v>248</v>
      </c>
      <c r="B22840" s="1" t="str">
        <f>HYPERLINK("http://cardioinsight.com","cardioinsight.com")</f>
        <v>cardioinsight.com</v>
      </c>
      <c r="C22840" t="s">
        <v>433</v>
      </c>
      <c r="F22840">
        <v>9.7719833609339697E-9</v>
      </c>
      <c r="G22840">
        <v>6999144</v>
      </c>
      <c r="H22840">
        <v>13164806</v>
      </c>
      <c r="I22840">
        <v>11745093</v>
      </c>
      <c r="J22840">
        <v>3</v>
      </c>
    </row>
    <row r="22841" spans="1:10" x14ac:dyDescent="0.25">
      <c r="A22841" t="s">
        <v>248</v>
      </c>
      <c r="B22841" s="1" t="str">
        <f>HYPERLINK("http://companionmedical.com","companionmedical.com")</f>
        <v>companionmedical.com</v>
      </c>
      <c r="C22841" t="s">
        <v>433</v>
      </c>
      <c r="F22841">
        <v>5.9738546842881993E-8</v>
      </c>
      <c r="G22841">
        <v>739555</v>
      </c>
      <c r="H22841">
        <v>13834451</v>
      </c>
      <c r="I22841">
        <v>6096287</v>
      </c>
      <c r="J22841">
        <v>3</v>
      </c>
    </row>
    <row r="22842" spans="1:10" x14ac:dyDescent="0.25">
      <c r="A22842" t="s">
        <v>248</v>
      </c>
      <c r="B22842" s="1" t="str">
        <f>HYPERLINK("http://digitalsurgery.com","digitalsurgery.com")</f>
        <v>digitalsurgery.com</v>
      </c>
      <c r="C22842" t="s">
        <v>433</v>
      </c>
      <c r="F22842">
        <v>1.48314526941497E-8</v>
      </c>
      <c r="G22842">
        <v>3896388</v>
      </c>
      <c r="H22842">
        <v>13620043</v>
      </c>
      <c r="I22842">
        <v>9626139</v>
      </c>
      <c r="J22842">
        <v>3</v>
      </c>
    </row>
    <row r="22843" spans="1:10" x14ac:dyDescent="0.25">
      <c r="A22843" t="s">
        <v>248</v>
      </c>
      <c r="B22843" s="1" t="str">
        <f>HYPERLINK("http://givenimaging.com","givenimaging.com")</f>
        <v>givenimaging.com</v>
      </c>
      <c r="C22843" t="s">
        <v>433</v>
      </c>
      <c r="F22843">
        <v>9.3790804475811507E-8</v>
      </c>
      <c r="G22843">
        <v>433049</v>
      </c>
      <c r="H22843">
        <v>14636099</v>
      </c>
      <c r="I22843">
        <v>640434</v>
      </c>
      <c r="J22843">
        <v>3</v>
      </c>
    </row>
    <row r="22844" spans="1:10" x14ac:dyDescent="0.25">
      <c r="A22844" t="s">
        <v>248</v>
      </c>
      <c r="B22844" s="1" t="str">
        <f>HYPERLINK("http://goklue.com","goklue.com")</f>
        <v>goklue.com</v>
      </c>
      <c r="C22844" t="s">
        <v>433</v>
      </c>
      <c r="F22844">
        <v>1.3751267209265499E-8</v>
      </c>
      <c r="G22844">
        <v>4300716</v>
      </c>
      <c r="H22844">
        <v>13065836</v>
      </c>
      <c r="I22844">
        <v>12287999</v>
      </c>
      <c r="J22844">
        <v>3</v>
      </c>
    </row>
    <row r="22845" spans="1:10" x14ac:dyDescent="0.25">
      <c r="A22845" t="s">
        <v>248</v>
      </c>
      <c r="B22845" s="1" t="str">
        <f>HYPERLINK("http://hetsystems.com","hetsystems.com")</f>
        <v>hetsystems.com</v>
      </c>
      <c r="C22845" t="s">
        <v>433</v>
      </c>
      <c r="F22845">
        <v>4.8559163370012698E-9</v>
      </c>
      <c r="G22845">
        <v>33944821</v>
      </c>
      <c r="H22845">
        <v>10641144</v>
      </c>
      <c r="I22845">
        <v>43741183</v>
      </c>
      <c r="J22845">
        <v>3</v>
      </c>
    </row>
    <row r="22846" spans="1:10" x14ac:dyDescent="0.25">
      <c r="A22846" t="s">
        <v>248</v>
      </c>
      <c r="B22846" s="1" t="str">
        <f>HYPERLINK("http://intersect.com","intersect.com")</f>
        <v>intersect.com</v>
      </c>
      <c r="C22846" t="s">
        <v>433</v>
      </c>
      <c r="F22846">
        <v>3.25625333247261E-8</v>
      </c>
      <c r="G22846">
        <v>1586781</v>
      </c>
      <c r="H22846">
        <v>14183493</v>
      </c>
      <c r="I22846">
        <v>1774864</v>
      </c>
      <c r="J22846">
        <v>4</v>
      </c>
    </row>
    <row r="22847" spans="1:10" x14ac:dyDescent="0.25">
      <c r="A22847" t="s">
        <v>248</v>
      </c>
      <c r="B22847" s="1" t="str">
        <f>HYPERLINK("http://intersectent.com","intersectent.com")</f>
        <v>intersectent.com</v>
      </c>
      <c r="C22847" t="s">
        <v>433</v>
      </c>
      <c r="F22847">
        <v>5.1118582452997199E-8</v>
      </c>
      <c r="G22847">
        <v>896349</v>
      </c>
      <c r="H22847">
        <v>13312516</v>
      </c>
      <c r="I22847">
        <v>10769948</v>
      </c>
      <c r="J22847">
        <v>3</v>
      </c>
    </row>
    <row r="22848" spans="1:10" x14ac:dyDescent="0.25">
      <c r="A22848" t="s">
        <v>248</v>
      </c>
      <c r="B22848" s="1" t="str">
        <f>HYPERLINK("http://invatec.com","invatec.com")</f>
        <v>invatec.com</v>
      </c>
      <c r="C22848" t="s">
        <v>433</v>
      </c>
      <c r="F22848">
        <v>4.6028882078564298E-9</v>
      </c>
      <c r="G22848">
        <v>47383498</v>
      </c>
      <c r="H22848">
        <v>10936541</v>
      </c>
      <c r="I22848">
        <v>34920496</v>
      </c>
      <c r="J22848">
        <v>3</v>
      </c>
    </row>
    <row r="22849" spans="1:10" x14ac:dyDescent="0.25">
      <c r="A22849" t="s">
        <v>248</v>
      </c>
      <c r="B22849" s="1" t="str">
        <f>HYPERLINK("http://kangdi-china.com","kangdi-china.com")</f>
        <v>kangdi-china.com</v>
      </c>
      <c r="C22849" t="s">
        <v>433</v>
      </c>
      <c r="F22849">
        <v>4.7087491716463203E-9</v>
      </c>
      <c r="G22849">
        <v>40804126</v>
      </c>
      <c r="H22849">
        <v>10463131</v>
      </c>
      <c r="I22849">
        <v>51612002</v>
      </c>
      <c r="J22849">
        <v>3</v>
      </c>
    </row>
    <row r="22850" spans="1:10" x14ac:dyDescent="0.25">
      <c r="A22850" t="s">
        <v>248</v>
      </c>
      <c r="B22850" s="1" t="str">
        <f>HYPERLINK("http://kanghui-med.com","kanghui-med.com")</f>
        <v>kanghui-med.com</v>
      </c>
      <c r="C22850" t="s">
        <v>433</v>
      </c>
      <c r="F22850">
        <v>7.9589349417074997E-9</v>
      </c>
      <c r="G22850">
        <v>9996891</v>
      </c>
      <c r="H22850">
        <v>10904096</v>
      </c>
      <c r="I22850">
        <v>35741878</v>
      </c>
      <c r="J22850">
        <v>3</v>
      </c>
    </row>
    <row r="22851" spans="1:10" x14ac:dyDescent="0.25">
      <c r="A22851" t="s">
        <v>248</v>
      </c>
      <c r="B22851" s="1" t="str">
        <f>HYPERLINK("http://mazorrobotics.com","mazorrobotics.com")</f>
        <v>mazorrobotics.com</v>
      </c>
      <c r="C22851" t="s">
        <v>433</v>
      </c>
      <c r="E22851">
        <v>568442</v>
      </c>
      <c r="F22851">
        <v>3.1832264979854399E-8</v>
      </c>
      <c r="G22851">
        <v>1622561</v>
      </c>
      <c r="H22851">
        <v>14167704</v>
      </c>
      <c r="I22851">
        <v>1814772</v>
      </c>
      <c r="J22851">
        <v>3</v>
      </c>
    </row>
    <row r="22852" spans="1:10" x14ac:dyDescent="0.25">
      <c r="A22852" t="s">
        <v>248</v>
      </c>
      <c r="B22852" s="1" t="str">
        <f>HYPERLINK("http://medicrea.com","medicrea.com")</f>
        <v>medicrea.com</v>
      </c>
      <c r="C22852" t="s">
        <v>433</v>
      </c>
      <c r="F22852">
        <v>2.10876676930724E-8</v>
      </c>
      <c r="G22852">
        <v>2504355</v>
      </c>
      <c r="H22852">
        <v>13329520</v>
      </c>
      <c r="I22852">
        <v>10722505</v>
      </c>
      <c r="J22852">
        <v>3</v>
      </c>
    </row>
    <row r="22853" spans="1:10" x14ac:dyDescent="0.25">
      <c r="A22853" t="s">
        <v>248</v>
      </c>
      <c r="B22853" s="1" t="str">
        <f>HYPERLINK("http://medina-medical.com","medina-medical.com")</f>
        <v>medina-medical.com</v>
      </c>
      <c r="C22853" t="s">
        <v>433</v>
      </c>
      <c r="F22853">
        <v>4.9395770947915497E-9</v>
      </c>
      <c r="G22853">
        <v>31103301</v>
      </c>
      <c r="H22853">
        <v>12643373</v>
      </c>
      <c r="I22853">
        <v>15845658</v>
      </c>
      <c r="J22853">
        <v>3</v>
      </c>
    </row>
    <row r="22854" spans="1:10" x14ac:dyDescent="0.25">
      <c r="A22854" t="s">
        <v>248</v>
      </c>
      <c r="B22854" s="1" t="str">
        <f>HYPERLINK("http://medtroni.com","medtroni.com")</f>
        <v>medtroni.com</v>
      </c>
      <c r="C22854" t="s">
        <v>433</v>
      </c>
      <c r="J22854">
        <v>3</v>
      </c>
    </row>
    <row r="22855" spans="1:10" x14ac:dyDescent="0.25">
      <c r="A22855" t="s">
        <v>248</v>
      </c>
      <c r="B22855" s="1" t="str">
        <f>HYPERLINK("http://medtronic.com","medtronic.com")</f>
        <v>medtronic.com</v>
      </c>
      <c r="C22855" t="s">
        <v>433</v>
      </c>
      <c r="E22855">
        <v>5021</v>
      </c>
      <c r="F22855">
        <v>4.5569314236422904E-6</v>
      </c>
      <c r="G22855">
        <v>7730</v>
      </c>
      <c r="H22855">
        <v>17764352</v>
      </c>
      <c r="I22855">
        <v>6111</v>
      </c>
      <c r="J22855">
        <v>1</v>
      </c>
    </row>
    <row r="22856" spans="1:10" x14ac:dyDescent="0.25">
      <c r="A22856" t="s">
        <v>248</v>
      </c>
      <c r="B22856" s="1" t="str">
        <f>HYPERLINK("http://medtronic-diabetes.com","medtronic-diabetes.com")</f>
        <v>medtronic-diabetes.com</v>
      </c>
      <c r="C22856" t="s">
        <v>433</v>
      </c>
      <c r="E22856">
        <v>441124</v>
      </c>
      <c r="F22856">
        <v>1.7895222853669199E-7</v>
      </c>
      <c r="G22856">
        <v>215944</v>
      </c>
      <c r="H22856">
        <v>14585194</v>
      </c>
      <c r="I22856">
        <v>702040</v>
      </c>
      <c r="J22856">
        <v>5</v>
      </c>
    </row>
    <row r="22857" spans="1:10" x14ac:dyDescent="0.25">
      <c r="A22857" t="s">
        <v>248</v>
      </c>
      <c r="B22857" s="1" t="str">
        <f>HYPERLINK("http://medtronicdiabetes.com","medtronicdiabetes.com")</f>
        <v>medtronicdiabetes.com</v>
      </c>
      <c r="C22857" t="s">
        <v>433</v>
      </c>
      <c r="E22857">
        <v>154278</v>
      </c>
      <c r="F22857">
        <v>4.7858938477945696E-7</v>
      </c>
      <c r="G22857">
        <v>79415</v>
      </c>
      <c r="H22857">
        <v>17250852</v>
      </c>
      <c r="I22857">
        <v>33859</v>
      </c>
      <c r="J22857">
        <v>3</v>
      </c>
    </row>
    <row r="22858" spans="1:10" x14ac:dyDescent="0.25">
      <c r="A22858" t="s">
        <v>248</v>
      </c>
      <c r="B22858" s="1" t="str">
        <f>HYPERLINK("http://medtronicdms.com","medtronicdms.com")</f>
        <v>medtronicdms.com</v>
      </c>
      <c r="C22858" t="s">
        <v>433</v>
      </c>
      <c r="J22858">
        <v>3</v>
      </c>
    </row>
    <row r="22859" spans="1:10" x14ac:dyDescent="0.25">
      <c r="A22859" t="s">
        <v>248</v>
      </c>
      <c r="B22859" s="1" t="str">
        <f>HYPERLINK("http://medtronicendovascular.com","medtronicendovascular.com")</f>
        <v>medtronicendovascular.com</v>
      </c>
      <c r="C22859" t="s">
        <v>433</v>
      </c>
      <c r="F22859">
        <v>9.5358993959078907E-9</v>
      </c>
      <c r="G22859">
        <v>7280138</v>
      </c>
      <c r="H22859">
        <v>13069581</v>
      </c>
      <c r="I22859">
        <v>12250587</v>
      </c>
      <c r="J22859">
        <v>5</v>
      </c>
    </row>
    <row r="22860" spans="1:10" x14ac:dyDescent="0.25">
      <c r="A22860" t="s">
        <v>248</v>
      </c>
      <c r="B22860" s="1" t="str">
        <f>HYPERLINK("http://medtronicneurosurgery.com","medtronicneurosurgery.com")</f>
        <v>medtronicneurosurgery.com</v>
      </c>
      <c r="C22860" t="s">
        <v>433</v>
      </c>
      <c r="F22860">
        <v>6.49841395281006E-9</v>
      </c>
      <c r="G22860">
        <v>14084717</v>
      </c>
      <c r="H22860">
        <v>12383404</v>
      </c>
      <c r="I22860">
        <v>19148038</v>
      </c>
      <c r="J22860">
        <v>4</v>
      </c>
    </row>
    <row r="22861" spans="1:10" x14ac:dyDescent="0.25">
      <c r="A22861" t="s">
        <v>248</v>
      </c>
      <c r="B22861" s="1" t="str">
        <f>HYPERLINK("http://nayamed.com","nayamed.com")</f>
        <v>nayamed.com</v>
      </c>
      <c r="C22861" t="s">
        <v>433</v>
      </c>
      <c r="F22861">
        <v>4.8023472555501003E-9</v>
      </c>
      <c r="G22861">
        <v>35997529</v>
      </c>
      <c r="H22861">
        <v>12699251</v>
      </c>
      <c r="I22861">
        <v>15360411</v>
      </c>
      <c r="J22861">
        <v>3</v>
      </c>
    </row>
    <row r="22862" spans="1:10" x14ac:dyDescent="0.25">
      <c r="A22862" t="s">
        <v>248</v>
      </c>
      <c r="B22862" s="1" t="str">
        <f>HYPERLINK("http://sapheoninc.com","sapheoninc.com")</f>
        <v>sapheoninc.com</v>
      </c>
      <c r="C22862" t="s">
        <v>433</v>
      </c>
      <c r="F22862">
        <v>7.7139928540347495E-9</v>
      </c>
      <c r="G22862">
        <v>10542227</v>
      </c>
      <c r="H22862">
        <v>13945838</v>
      </c>
      <c r="I22862">
        <v>4230848</v>
      </c>
      <c r="J22862">
        <v>9</v>
      </c>
    </row>
    <row r="22863" spans="1:10" x14ac:dyDescent="0.25">
      <c r="A22863" t="s">
        <v>248</v>
      </c>
      <c r="B22863" s="1" t="str">
        <f>HYPERLINK("http://sierrainst.com","sierrainst.com")</f>
        <v>sierrainst.com</v>
      </c>
      <c r="C22863" t="s">
        <v>433</v>
      </c>
      <c r="F22863">
        <v>6.79619593957313E-9</v>
      </c>
      <c r="G22863">
        <v>12973617</v>
      </c>
      <c r="H22863">
        <v>12464681</v>
      </c>
      <c r="I22863">
        <v>17820803</v>
      </c>
      <c r="J22863">
        <v>3</v>
      </c>
    </row>
    <row r="22864" spans="1:10" x14ac:dyDescent="0.25">
      <c r="A22864" t="s">
        <v>248</v>
      </c>
      <c r="B22864" s="1" t="str">
        <f>HYPERLINK("http://sonarmed.com","sonarmed.com")</f>
        <v>sonarmed.com</v>
      </c>
      <c r="C22864" t="s">
        <v>433</v>
      </c>
      <c r="F22864">
        <v>9.7014361300129502E-9</v>
      </c>
      <c r="G22864">
        <v>7078826</v>
      </c>
      <c r="H22864">
        <v>13335282</v>
      </c>
      <c r="I22864">
        <v>10687866</v>
      </c>
      <c r="J22864">
        <v>3</v>
      </c>
    </row>
    <row r="22865" spans="1:10" x14ac:dyDescent="0.25">
      <c r="A22865" t="s">
        <v>248</v>
      </c>
      <c r="B22865" s="1" t="str">
        <f>HYPERLINK("http://sophono.com","sophono.com")</f>
        <v>sophono.com</v>
      </c>
      <c r="C22865" t="s">
        <v>433</v>
      </c>
      <c r="F22865">
        <v>1.11117959284852E-8</v>
      </c>
      <c r="G22865">
        <v>5776798</v>
      </c>
      <c r="H22865">
        <v>12920833</v>
      </c>
      <c r="I22865">
        <v>13429230</v>
      </c>
      <c r="J22865">
        <v>3</v>
      </c>
    </row>
    <row r="22866" spans="1:10" x14ac:dyDescent="0.25">
      <c r="A22866" t="s">
        <v>248</v>
      </c>
      <c r="B22866" s="1" t="str">
        <f>HYPERLINK("http://titanspine.com","titanspine.com")</f>
        <v>titanspine.com</v>
      </c>
      <c r="C22866" t="s">
        <v>433</v>
      </c>
      <c r="F22866">
        <v>1.25304705831417E-8</v>
      </c>
      <c r="G22866">
        <v>4869453</v>
      </c>
      <c r="H22866">
        <v>13372225</v>
      </c>
      <c r="I22866">
        <v>10460188</v>
      </c>
      <c r="J22866">
        <v>3</v>
      </c>
    </row>
    <row r="22867" spans="1:10" x14ac:dyDescent="0.25">
      <c r="A22867" t="s">
        <v>248</v>
      </c>
      <c r="B22867" s="1" t="str">
        <f>HYPERLINK("http://vascularmedcure.com","vascularmedcure.com")</f>
        <v>vascularmedcure.com</v>
      </c>
      <c r="C22867" t="s">
        <v>433</v>
      </c>
      <c r="F22867">
        <v>4.5650631131915696E-9</v>
      </c>
      <c r="G22867">
        <v>50673199</v>
      </c>
      <c r="H22867">
        <v>10493046</v>
      </c>
      <c r="I22867">
        <v>50573574</v>
      </c>
      <c r="J22867">
        <v>3</v>
      </c>
    </row>
    <row r="22868" spans="1:10" x14ac:dyDescent="0.25">
      <c r="A22868" t="s">
        <v>248</v>
      </c>
      <c r="B22868" s="1" t="str">
        <f>HYPERLINK("http://visualaseinc.com","visualaseinc.com")</f>
        <v>visualaseinc.com</v>
      </c>
      <c r="C22868" t="s">
        <v>433</v>
      </c>
      <c r="F22868">
        <v>1.54552804505735E-8</v>
      </c>
      <c r="G22868">
        <v>3697459</v>
      </c>
      <c r="H22868">
        <v>14095346</v>
      </c>
      <c r="I22868">
        <v>2729334</v>
      </c>
      <c r="J22868">
        <v>3</v>
      </c>
    </row>
    <row r="22869" spans="1:10" x14ac:dyDescent="0.25">
      <c r="A22869" t="s">
        <v>248</v>
      </c>
      <c r="B22869" s="1" t="str">
        <f>HYPERLINK("http://medtronic-diabetes.cz","medtronic-diabetes.cz")</f>
        <v>medtronic-diabetes.cz</v>
      </c>
      <c r="C22869" t="s">
        <v>435</v>
      </c>
      <c r="D22869" t="s">
        <v>814</v>
      </c>
      <c r="F22869">
        <v>7.6189655712760797E-9</v>
      </c>
      <c r="G22869">
        <v>10755664</v>
      </c>
      <c r="H22869">
        <v>12130154</v>
      </c>
      <c r="I22869">
        <v>25135429</v>
      </c>
      <c r="J22869">
        <v>5</v>
      </c>
    </row>
    <row r="22870" spans="1:10" x14ac:dyDescent="0.25">
      <c r="A22870" t="s">
        <v>248</v>
      </c>
      <c r="B22870" s="1" t="str">
        <f>HYPERLINK("http://intersectent.de","intersectent.de")</f>
        <v>intersectent.de</v>
      </c>
      <c r="C22870" t="s">
        <v>436</v>
      </c>
      <c r="D22870" t="s">
        <v>815</v>
      </c>
      <c r="F22870">
        <v>6.0741944208636997E-9</v>
      </c>
      <c r="G22870">
        <v>16241085</v>
      </c>
      <c r="H22870">
        <v>10545596</v>
      </c>
      <c r="I22870">
        <v>46934636</v>
      </c>
      <c r="J22870">
        <v>4</v>
      </c>
    </row>
    <row r="22871" spans="1:10" x14ac:dyDescent="0.25">
      <c r="A22871" t="s">
        <v>248</v>
      </c>
      <c r="B22871" s="1" t="str">
        <f>HYPERLINK("http://medtronic.de","medtronic.de")</f>
        <v>medtronic.de</v>
      </c>
      <c r="C22871" t="s">
        <v>436</v>
      </c>
      <c r="D22871" t="s">
        <v>815</v>
      </c>
      <c r="F22871">
        <v>4.0263094224231199E-8</v>
      </c>
      <c r="G22871">
        <v>1285096</v>
      </c>
      <c r="H22871">
        <v>14128995</v>
      </c>
      <c r="I22871">
        <v>2052751</v>
      </c>
      <c r="J22871">
        <v>2</v>
      </c>
    </row>
    <row r="22872" spans="1:10" x14ac:dyDescent="0.25">
      <c r="A22872" t="s">
        <v>248</v>
      </c>
      <c r="B22872" s="1" t="str">
        <f>HYPERLINK("http://medtronic-diabetes.de","medtronic-diabetes.de")</f>
        <v>medtronic-diabetes.de</v>
      </c>
      <c r="C22872" t="s">
        <v>436</v>
      </c>
      <c r="D22872" t="s">
        <v>815</v>
      </c>
      <c r="F22872">
        <v>1.46378625747532E-8</v>
      </c>
      <c r="G22872">
        <v>3962788</v>
      </c>
      <c r="H22872">
        <v>13958311</v>
      </c>
      <c r="I22872">
        <v>4122974</v>
      </c>
      <c r="J22872">
        <v>6</v>
      </c>
    </row>
    <row r="22873" spans="1:10" x14ac:dyDescent="0.25">
      <c r="A22873" t="s">
        <v>248</v>
      </c>
      <c r="B22873" s="1" t="str">
        <f>HYPERLINK("http://medtronic.dk","medtronic.dk")</f>
        <v>medtronic.dk</v>
      </c>
      <c r="C22873" t="s">
        <v>437</v>
      </c>
      <c r="D22873" t="s">
        <v>816</v>
      </c>
      <c r="F22873">
        <v>1.2718016577033499E-8</v>
      </c>
      <c r="G22873">
        <v>4770387</v>
      </c>
      <c r="H22873">
        <v>13717931</v>
      </c>
      <c r="I22873">
        <v>9488080</v>
      </c>
      <c r="J22873">
        <v>3</v>
      </c>
    </row>
    <row r="22874" spans="1:10" x14ac:dyDescent="0.25">
      <c r="A22874" t="s">
        <v>248</v>
      </c>
      <c r="B22874" s="1" t="str">
        <f>HYPERLINK("http://medtronic.es","medtronic.es")</f>
        <v>medtronic.es</v>
      </c>
      <c r="C22874" t="s">
        <v>443</v>
      </c>
      <c r="D22874" t="s">
        <v>822</v>
      </c>
      <c r="F22874">
        <v>1.9422762293809202E-8</v>
      </c>
      <c r="G22874">
        <v>2759387</v>
      </c>
      <c r="H22874">
        <v>14207500</v>
      </c>
      <c r="I22874">
        <v>1708564</v>
      </c>
      <c r="J22874">
        <v>3</v>
      </c>
    </row>
    <row r="22875" spans="1:10" x14ac:dyDescent="0.25">
      <c r="A22875" t="s">
        <v>248</v>
      </c>
      <c r="B22875" s="1" t="str">
        <f>HYPERLINK("http://medtronic-diabetes.es","medtronic-diabetes.es")</f>
        <v>medtronic-diabetes.es</v>
      </c>
      <c r="C22875" t="s">
        <v>443</v>
      </c>
      <c r="D22875" t="s">
        <v>822</v>
      </c>
      <c r="F22875">
        <v>7.2609833297624102E-9</v>
      </c>
      <c r="G22875">
        <v>11576390</v>
      </c>
      <c r="H22875">
        <v>13763873</v>
      </c>
      <c r="I22875">
        <v>7530391</v>
      </c>
      <c r="J22875">
        <v>6</v>
      </c>
    </row>
    <row r="22876" spans="1:10" x14ac:dyDescent="0.25">
      <c r="A22876" t="s">
        <v>248</v>
      </c>
      <c r="B22876" s="1" t="str">
        <f>HYPERLINK("http://medtronic.eu","medtronic.eu")</f>
        <v>medtronic.eu</v>
      </c>
      <c r="C22876" t="s">
        <v>444</v>
      </c>
      <c r="F22876">
        <v>2.8385153638502199E-8</v>
      </c>
      <c r="G22876">
        <v>1813035</v>
      </c>
      <c r="H22876">
        <v>13458336</v>
      </c>
      <c r="I22876">
        <v>10176903</v>
      </c>
      <c r="J22876">
        <v>2</v>
      </c>
    </row>
    <row r="22877" spans="1:10" x14ac:dyDescent="0.25">
      <c r="A22877" t="s">
        <v>248</v>
      </c>
      <c r="B22877" s="1" t="str">
        <f>HYPERLINK("http://diabetes360.fi","diabetes360.fi")</f>
        <v>diabetes360.fi</v>
      </c>
      <c r="C22877" t="s">
        <v>445</v>
      </c>
      <c r="D22877" t="s">
        <v>823</v>
      </c>
      <c r="F22877">
        <v>4.4443914642997904E-9</v>
      </c>
      <c r="G22877">
        <v>76829451</v>
      </c>
      <c r="H22877">
        <v>8737755</v>
      </c>
      <c r="I22877">
        <v>69705673</v>
      </c>
      <c r="J22877">
        <v>4</v>
      </c>
    </row>
    <row r="22878" spans="1:10" x14ac:dyDescent="0.25">
      <c r="A22878" t="s">
        <v>248</v>
      </c>
      <c r="B22878" s="1" t="str">
        <f>HYPERLINK("http://e-drg.fi","e-drg.fi")</f>
        <v>e-drg.fi</v>
      </c>
      <c r="C22878" t="s">
        <v>445</v>
      </c>
      <c r="D22878" t="s">
        <v>823</v>
      </c>
      <c r="J22878">
        <v>4</v>
      </c>
    </row>
    <row r="22879" spans="1:10" x14ac:dyDescent="0.25">
      <c r="A22879" t="s">
        <v>248</v>
      </c>
      <c r="B22879" s="1" t="str">
        <f>HYPERLINK("http://effipath.fi","effipath.fi")</f>
        <v>effipath.fi</v>
      </c>
      <c r="C22879" t="s">
        <v>445</v>
      </c>
      <c r="D22879" t="s">
        <v>823</v>
      </c>
      <c r="J22879">
        <v>7</v>
      </c>
    </row>
    <row r="22880" spans="1:10" x14ac:dyDescent="0.25">
      <c r="A22880" t="s">
        <v>248</v>
      </c>
      <c r="B22880" s="1" t="str">
        <f>HYPERLINK("http://hospitalsolutions.fi","hospitalsolutions.fi")</f>
        <v>hospitalsolutions.fi</v>
      </c>
      <c r="C22880" t="s">
        <v>445</v>
      </c>
      <c r="D22880" t="s">
        <v>823</v>
      </c>
      <c r="F22880">
        <v>4.4443914642997904E-9</v>
      </c>
      <c r="G22880">
        <v>76829880</v>
      </c>
      <c r="H22880">
        <v>8737755</v>
      </c>
      <c r="I22880">
        <v>69706133</v>
      </c>
      <c r="J22880">
        <v>4</v>
      </c>
    </row>
    <row r="22881" spans="1:10" x14ac:dyDescent="0.25">
      <c r="A22881" t="s">
        <v>248</v>
      </c>
      <c r="B22881" s="1" t="str">
        <f>HYPERLINK("http://juniorcup.fi","juniorcup.fi")</f>
        <v>juniorcup.fi</v>
      </c>
      <c r="C22881" t="s">
        <v>445</v>
      </c>
      <c r="D22881" t="s">
        <v>823</v>
      </c>
      <c r="J22881">
        <v>4</v>
      </c>
    </row>
    <row r="22882" spans="1:10" x14ac:dyDescent="0.25">
      <c r="A22882" t="s">
        <v>248</v>
      </c>
      <c r="B22882" s="1" t="str">
        <f>HYPERLINK("http://juniorcup-diabetes.fi","juniorcup-diabetes.fi")</f>
        <v>juniorcup-diabetes.fi</v>
      </c>
      <c r="C22882" t="s">
        <v>445</v>
      </c>
      <c r="D22882" t="s">
        <v>823</v>
      </c>
      <c r="F22882">
        <v>4.4443914642997904E-9</v>
      </c>
      <c r="G22882">
        <v>76830039</v>
      </c>
      <c r="H22882">
        <v>8737755</v>
      </c>
      <c r="I22882">
        <v>69706296</v>
      </c>
      <c r="J22882">
        <v>4</v>
      </c>
    </row>
    <row r="22883" spans="1:10" x14ac:dyDescent="0.25">
      <c r="A22883" t="s">
        <v>248</v>
      </c>
      <c r="B22883" s="1" t="str">
        <f>HYPERLINK("http://lenny-diabetes.fi","lenny-diabetes.fi")</f>
        <v>lenny-diabetes.fi</v>
      </c>
      <c r="C22883" t="s">
        <v>445</v>
      </c>
      <c r="D22883" t="s">
        <v>823</v>
      </c>
      <c r="F22883">
        <v>4.4443914642997904E-9</v>
      </c>
      <c r="G22883">
        <v>76830365</v>
      </c>
      <c r="H22883">
        <v>8737755</v>
      </c>
      <c r="I22883">
        <v>69706639</v>
      </c>
      <c r="J22883">
        <v>4</v>
      </c>
    </row>
    <row r="22884" spans="1:10" x14ac:dyDescent="0.25">
      <c r="A22884" t="s">
        <v>248</v>
      </c>
      <c r="B22884" s="1" t="str">
        <f>HYPERLINK("http://lungai.fi","lungai.fi")</f>
        <v>lungai.fi</v>
      </c>
      <c r="C22884" t="s">
        <v>445</v>
      </c>
      <c r="D22884" t="s">
        <v>823</v>
      </c>
      <c r="J22884">
        <v>7</v>
      </c>
    </row>
    <row r="22885" spans="1:10" x14ac:dyDescent="0.25">
      <c r="A22885" t="s">
        <v>248</v>
      </c>
      <c r="B22885" s="1" t="str">
        <f>HYPERLINK("http://meditronic.fi","meditronic.fi")</f>
        <v>meditronic.fi</v>
      </c>
      <c r="C22885" t="s">
        <v>445</v>
      </c>
      <c r="D22885" t="s">
        <v>823</v>
      </c>
      <c r="J22885">
        <v>3</v>
      </c>
    </row>
    <row r="22886" spans="1:10" x14ac:dyDescent="0.25">
      <c r="A22886" t="s">
        <v>248</v>
      </c>
      <c r="B22886" s="1" t="str">
        <f>HYPERLINK("http://medtronic.fi","medtronic.fi")</f>
        <v>medtronic.fi</v>
      </c>
      <c r="C22886" t="s">
        <v>445</v>
      </c>
      <c r="D22886" t="s">
        <v>823</v>
      </c>
      <c r="F22886">
        <v>5.7294857739873201E-9</v>
      </c>
      <c r="G22886">
        <v>18669151</v>
      </c>
      <c r="H22886">
        <v>13763638</v>
      </c>
      <c r="I22886">
        <v>7994164</v>
      </c>
      <c r="J22886">
        <v>3</v>
      </c>
    </row>
    <row r="22887" spans="1:10" x14ac:dyDescent="0.25">
      <c r="A22887" t="s">
        <v>248</v>
      </c>
      <c r="B22887" s="1" t="str">
        <f>HYPERLINK("http://medtronic-diabetes.fi","medtronic-diabetes.fi")</f>
        <v>medtronic-diabetes.fi</v>
      </c>
      <c r="C22887" t="s">
        <v>445</v>
      </c>
      <c r="D22887" t="s">
        <v>823</v>
      </c>
      <c r="F22887">
        <v>8.9358768263630007E-9</v>
      </c>
      <c r="G22887">
        <v>8089716</v>
      </c>
      <c r="H22887">
        <v>14236115</v>
      </c>
      <c r="I22887">
        <v>1608046</v>
      </c>
      <c r="J22887">
        <v>4</v>
      </c>
    </row>
    <row r="22888" spans="1:10" x14ac:dyDescent="0.25">
      <c r="A22888" t="s">
        <v>248</v>
      </c>
      <c r="B22888" s="1" t="str">
        <f>HYPERLINK("http://medtronicacademy.fi","medtronicacademy.fi")</f>
        <v>medtronicacademy.fi</v>
      </c>
      <c r="C22888" t="s">
        <v>445</v>
      </c>
      <c r="D22888" t="s">
        <v>823</v>
      </c>
      <c r="F22888">
        <v>4.4443914642997904E-9</v>
      </c>
      <c r="G22888">
        <v>76830504</v>
      </c>
      <c r="H22888">
        <v>8737755</v>
      </c>
      <c r="I22888">
        <v>69706784</v>
      </c>
      <c r="J22888">
        <v>4</v>
      </c>
    </row>
    <row r="22889" spans="1:10" x14ac:dyDescent="0.25">
      <c r="A22889" t="s">
        <v>248</v>
      </c>
      <c r="B22889" s="1" t="str">
        <f>HYPERLINK("http://medtronicplc.fi","medtronicplc.fi")</f>
        <v>medtronicplc.fi</v>
      </c>
      <c r="C22889" t="s">
        <v>445</v>
      </c>
      <c r="D22889" t="s">
        <v>823</v>
      </c>
      <c r="F22889">
        <v>4.4443914642997904E-9</v>
      </c>
      <c r="G22889">
        <v>76830505</v>
      </c>
      <c r="H22889">
        <v>8737755</v>
      </c>
      <c r="I22889">
        <v>69706785</v>
      </c>
      <c r="J22889">
        <v>4</v>
      </c>
    </row>
    <row r="22890" spans="1:10" x14ac:dyDescent="0.25">
      <c r="A22890" t="s">
        <v>248</v>
      </c>
      <c r="B22890" s="1" t="str">
        <f>HYPERLINK("http://osteo-tech.fi","osteo-tech.fi")</f>
        <v>osteo-tech.fi</v>
      </c>
      <c r="C22890" t="s">
        <v>445</v>
      </c>
      <c r="D22890" t="s">
        <v>823</v>
      </c>
      <c r="F22890">
        <v>5.7515169027001002E-9</v>
      </c>
      <c r="G22890">
        <v>18485236</v>
      </c>
      <c r="H22890">
        <v>10043321</v>
      </c>
      <c r="I22890">
        <v>60476215</v>
      </c>
      <c r="J22890">
        <v>3</v>
      </c>
    </row>
    <row r="22891" spans="1:10" x14ac:dyDescent="0.25">
      <c r="A22891" t="s">
        <v>248</v>
      </c>
      <c r="B22891" s="1" t="str">
        <f>HYPERLINK("http://virtualpancreas.fi","virtualpancreas.fi")</f>
        <v>virtualpancreas.fi</v>
      </c>
      <c r="C22891" t="s">
        <v>445</v>
      </c>
      <c r="D22891" t="s">
        <v>823</v>
      </c>
      <c r="F22891">
        <v>4.4443914642997904E-9</v>
      </c>
      <c r="G22891">
        <v>76831626</v>
      </c>
      <c r="H22891">
        <v>8737755</v>
      </c>
      <c r="I22891">
        <v>69707948</v>
      </c>
      <c r="J22891">
        <v>4</v>
      </c>
    </row>
    <row r="22892" spans="1:10" x14ac:dyDescent="0.25">
      <c r="A22892" t="s">
        <v>248</v>
      </c>
      <c r="B22892" s="1" t="str">
        <f>HYPERLINK("http://medtronic.fr","medtronic.fr")</f>
        <v>medtronic.fr</v>
      </c>
      <c r="C22892" t="s">
        <v>446</v>
      </c>
      <c r="D22892" t="s">
        <v>824</v>
      </c>
      <c r="F22892">
        <v>2.7094353640653E-8</v>
      </c>
      <c r="G22892">
        <v>1898106</v>
      </c>
      <c r="H22892">
        <v>13801171</v>
      </c>
      <c r="I22892">
        <v>6275534</v>
      </c>
      <c r="J22892">
        <v>2</v>
      </c>
    </row>
    <row r="22893" spans="1:10" x14ac:dyDescent="0.25">
      <c r="A22893" t="s">
        <v>248</v>
      </c>
      <c r="B22893" s="1" t="str">
        <f>HYPERLINK("http://medtronic-diabetes.gr","medtronic-diabetes.gr")</f>
        <v>medtronic-diabetes.gr</v>
      </c>
      <c r="C22893" t="s">
        <v>447</v>
      </c>
      <c r="D22893" t="s">
        <v>825</v>
      </c>
      <c r="F22893">
        <v>7.2052525537277698E-9</v>
      </c>
      <c r="G22893">
        <v>11726271</v>
      </c>
      <c r="H22893">
        <v>12125897</v>
      </c>
      <c r="I22893">
        <v>25258615</v>
      </c>
      <c r="J22893">
        <v>6</v>
      </c>
    </row>
    <row r="22894" spans="1:10" x14ac:dyDescent="0.25">
      <c r="A22894" t="s">
        <v>248</v>
      </c>
      <c r="B22894" s="1" t="str">
        <f>HYPERLINK("http://medtronic.com.hk","medtronic.com.hk")</f>
        <v>medtronic.com.hk</v>
      </c>
      <c r="C22894" t="s">
        <v>450</v>
      </c>
      <c r="D22894" t="s">
        <v>827</v>
      </c>
      <c r="F22894">
        <v>9.1042442316392003E-9</v>
      </c>
      <c r="G22894">
        <v>7841111</v>
      </c>
      <c r="H22894">
        <v>13470150</v>
      </c>
      <c r="I22894">
        <v>10037137</v>
      </c>
      <c r="J22894">
        <v>2</v>
      </c>
    </row>
    <row r="22895" spans="1:10" x14ac:dyDescent="0.25">
      <c r="A22895" t="s">
        <v>248</v>
      </c>
      <c r="B22895" s="1" t="str">
        <f>HYPERLINK("http://medtronic-diabetes.hr","medtronic-diabetes.hr")</f>
        <v>medtronic-diabetes.hr</v>
      </c>
      <c r="C22895" t="s">
        <v>452</v>
      </c>
      <c r="D22895" t="s">
        <v>829</v>
      </c>
      <c r="F22895">
        <v>4.7096801581467598E-9</v>
      </c>
      <c r="G22895">
        <v>40757980</v>
      </c>
      <c r="H22895">
        <v>10435810</v>
      </c>
      <c r="I22895">
        <v>52710908</v>
      </c>
      <c r="J22895">
        <v>6</v>
      </c>
    </row>
    <row r="22896" spans="1:10" x14ac:dyDescent="0.25">
      <c r="A22896" t="s">
        <v>248</v>
      </c>
      <c r="B22896" s="1" t="str">
        <f>HYPERLINK("http://medtronic-diabetes.hu","medtronic-diabetes.hu")</f>
        <v>medtronic-diabetes.hu</v>
      </c>
      <c r="C22896" t="s">
        <v>453</v>
      </c>
      <c r="D22896" t="s">
        <v>830</v>
      </c>
      <c r="F22896">
        <v>7.3223867723508604E-9</v>
      </c>
      <c r="G22896">
        <v>11425537</v>
      </c>
      <c r="H22896">
        <v>12185017</v>
      </c>
      <c r="I22896">
        <v>23696448</v>
      </c>
      <c r="J22896">
        <v>5</v>
      </c>
    </row>
    <row r="22897" spans="1:10" x14ac:dyDescent="0.25">
      <c r="A22897" t="s">
        <v>248</v>
      </c>
      <c r="B22897" s="1" t="str">
        <f>HYPERLINK("http://medtronic.ie","medtronic.ie")</f>
        <v>medtronic.ie</v>
      </c>
      <c r="C22897" t="s">
        <v>455</v>
      </c>
      <c r="D22897" t="s">
        <v>832</v>
      </c>
      <c r="F22897">
        <v>1.40297498403452E-8</v>
      </c>
      <c r="G22897">
        <v>4191506</v>
      </c>
      <c r="H22897">
        <v>13721372</v>
      </c>
      <c r="I22897">
        <v>9471844</v>
      </c>
      <c r="J22897">
        <v>4</v>
      </c>
    </row>
    <row r="22898" spans="1:10" x14ac:dyDescent="0.25">
      <c r="A22898" t="s">
        <v>248</v>
      </c>
      <c r="B22898" s="1" t="str">
        <f>HYPERLINK("http://medtronic-diabetes.ie","medtronic-diabetes.ie")</f>
        <v>medtronic-diabetes.ie</v>
      </c>
      <c r="C22898" t="s">
        <v>455</v>
      </c>
      <c r="D22898" t="s">
        <v>832</v>
      </c>
      <c r="F22898">
        <v>7.1219398690459402E-9</v>
      </c>
      <c r="G22898">
        <v>11954030</v>
      </c>
      <c r="H22898">
        <v>12126286</v>
      </c>
      <c r="I22898">
        <v>25248198</v>
      </c>
      <c r="J22898">
        <v>5</v>
      </c>
    </row>
    <row r="22899" spans="1:10" x14ac:dyDescent="0.25">
      <c r="A22899" t="s">
        <v>248</v>
      </c>
      <c r="B22899" s="1" t="str">
        <f>HYPERLINK("http://medtronic.co.il","medtronic.co.il")</f>
        <v>medtronic.co.il</v>
      </c>
      <c r="C22899" t="s">
        <v>456</v>
      </c>
      <c r="D22899" t="s">
        <v>833</v>
      </c>
      <c r="F22899">
        <v>4.9963137271457198E-9</v>
      </c>
      <c r="G22899">
        <v>29502463</v>
      </c>
      <c r="H22899">
        <v>11957270</v>
      </c>
      <c r="I22899">
        <v>29016627</v>
      </c>
      <c r="J22899">
        <v>4</v>
      </c>
    </row>
    <row r="22900" spans="1:10" x14ac:dyDescent="0.25">
      <c r="A22900" t="s">
        <v>248</v>
      </c>
      <c r="B22900" s="1" t="str">
        <f>HYPERLINK("http://medtronic-diabetes.co.il","medtronic-diabetes.co.il")</f>
        <v>medtronic-diabetes.co.il</v>
      </c>
      <c r="C22900" t="s">
        <v>456</v>
      </c>
      <c r="D22900" t="s">
        <v>833</v>
      </c>
      <c r="F22900">
        <v>7.3611701231804299E-9</v>
      </c>
      <c r="G22900">
        <v>11334919</v>
      </c>
      <c r="H22900">
        <v>12171633</v>
      </c>
      <c r="I22900">
        <v>24030747</v>
      </c>
      <c r="J22900">
        <v>6</v>
      </c>
    </row>
    <row r="22901" spans="1:10" x14ac:dyDescent="0.25">
      <c r="A22901" t="s">
        <v>248</v>
      </c>
      <c r="B22901" s="1" t="str">
        <f>HYPERLINK("http://medtronic.it","medtronic.it")</f>
        <v>medtronic.it</v>
      </c>
      <c r="C22901" t="s">
        <v>459</v>
      </c>
      <c r="D22901" t="s">
        <v>835</v>
      </c>
      <c r="F22901">
        <v>1.15171501598268E-8</v>
      </c>
      <c r="G22901">
        <v>5491791</v>
      </c>
      <c r="H22901">
        <v>12563851</v>
      </c>
      <c r="I22901">
        <v>16678873</v>
      </c>
      <c r="J22901">
        <v>3</v>
      </c>
    </row>
    <row r="22902" spans="1:10" x14ac:dyDescent="0.25">
      <c r="A22902" t="s">
        <v>248</v>
      </c>
      <c r="B22902" s="1" t="str">
        <f>HYPERLINK("http://ngc.it","ngc.it")</f>
        <v>ngc.it</v>
      </c>
      <c r="C22902" t="s">
        <v>459</v>
      </c>
      <c r="D22902" t="s">
        <v>835</v>
      </c>
      <c r="F22902">
        <v>4.7099813069901099E-9</v>
      </c>
      <c r="G22902">
        <v>40743462</v>
      </c>
      <c r="H22902">
        <v>11962705</v>
      </c>
      <c r="I22902">
        <v>28858293</v>
      </c>
      <c r="J22902">
        <v>3</v>
      </c>
    </row>
    <row r="22903" spans="1:10" x14ac:dyDescent="0.25">
      <c r="A22903" t="s">
        <v>248</v>
      </c>
      <c r="B22903" s="1" t="str">
        <f>HYPERLINK("http://covidien.co.jp","covidien.co.jp")</f>
        <v>covidien.co.jp</v>
      </c>
      <c r="C22903" t="s">
        <v>461</v>
      </c>
      <c r="D22903" t="s">
        <v>837</v>
      </c>
      <c r="F22903">
        <v>1.4987313610358E-8</v>
      </c>
      <c r="G22903">
        <v>3844129</v>
      </c>
      <c r="H22903">
        <v>13773482</v>
      </c>
      <c r="I22903">
        <v>6630654</v>
      </c>
      <c r="J22903">
        <v>3</v>
      </c>
    </row>
    <row r="22904" spans="1:10" x14ac:dyDescent="0.25">
      <c r="A22904" t="s">
        <v>248</v>
      </c>
      <c r="B22904" s="1" t="str">
        <f>HYPERLINK("http://givenimaging.co.jp","givenimaging.co.jp")</f>
        <v>givenimaging.co.jp</v>
      </c>
      <c r="C22904" t="s">
        <v>461</v>
      </c>
      <c r="D22904" t="s">
        <v>837</v>
      </c>
      <c r="F22904">
        <v>6.1812223854724798E-9</v>
      </c>
      <c r="G22904">
        <v>15633303</v>
      </c>
      <c r="H22904">
        <v>12615308</v>
      </c>
      <c r="I22904">
        <v>16137882</v>
      </c>
      <c r="J22904">
        <v>5</v>
      </c>
    </row>
    <row r="22905" spans="1:10" x14ac:dyDescent="0.25">
      <c r="A22905" t="s">
        <v>248</v>
      </c>
      <c r="B22905" s="1" t="str">
        <f>HYPERLINK("http://medtronic.me","medtronic.me")</f>
        <v>medtronic.me</v>
      </c>
      <c r="C22905" t="s">
        <v>470</v>
      </c>
      <c r="D22905" t="s">
        <v>846</v>
      </c>
      <c r="F22905">
        <v>8.3533630409527695E-9</v>
      </c>
      <c r="G22905">
        <v>9139213</v>
      </c>
      <c r="H22905">
        <v>12618404</v>
      </c>
      <c r="I22905">
        <v>16103686</v>
      </c>
      <c r="J22905">
        <v>2</v>
      </c>
    </row>
    <row r="22906" spans="1:10" x14ac:dyDescent="0.25">
      <c r="A22906" t="s">
        <v>248</v>
      </c>
      <c r="B22906" s="1" t="str">
        <f>HYPERLINK("http://circulite.net","circulite.net")</f>
        <v>circulite.net</v>
      </c>
      <c r="C22906" t="s">
        <v>474</v>
      </c>
      <c r="F22906">
        <v>1.0355412849051301E-8</v>
      </c>
      <c r="G22906">
        <v>6399725</v>
      </c>
      <c r="H22906">
        <v>13821740</v>
      </c>
      <c r="I22906">
        <v>6139666</v>
      </c>
      <c r="J22906">
        <v>3</v>
      </c>
    </row>
    <row r="22907" spans="1:10" x14ac:dyDescent="0.25">
      <c r="A22907" t="s">
        <v>248</v>
      </c>
      <c r="B22907" s="1" t="str">
        <f>HYPERLINK("http://ev3.net","ev3.net")</f>
        <v>ev3.net</v>
      </c>
      <c r="C22907" t="s">
        <v>474</v>
      </c>
      <c r="F22907">
        <v>1.46744712487486E-8</v>
      </c>
      <c r="G22907">
        <v>3949871</v>
      </c>
      <c r="H22907">
        <v>12598674</v>
      </c>
      <c r="I22907">
        <v>16339603</v>
      </c>
      <c r="J22907">
        <v>4</v>
      </c>
    </row>
    <row r="22908" spans="1:10" x14ac:dyDescent="0.25">
      <c r="A22908" t="s">
        <v>248</v>
      </c>
      <c r="B22908" s="1" t="str">
        <f>HYPERLINK("http://medtroniccarelink.net","medtroniccarelink.net")</f>
        <v>medtroniccarelink.net</v>
      </c>
      <c r="C22908" t="s">
        <v>474</v>
      </c>
      <c r="E22908">
        <v>337910</v>
      </c>
      <c r="F22908">
        <v>7.1186688932253398E-9</v>
      </c>
      <c r="G22908">
        <v>11962850</v>
      </c>
      <c r="H22908">
        <v>12498586</v>
      </c>
      <c r="I22908">
        <v>17375689</v>
      </c>
      <c r="J22908">
        <v>4</v>
      </c>
    </row>
    <row r="22909" spans="1:10" x14ac:dyDescent="0.25">
      <c r="A22909" t="s">
        <v>248</v>
      </c>
      <c r="B22909" s="1" t="str">
        <f>HYPERLINK("http://medtronic.nl","medtronic.nl")</f>
        <v>medtronic.nl</v>
      </c>
      <c r="C22909" t="s">
        <v>477</v>
      </c>
      <c r="D22909" t="s">
        <v>852</v>
      </c>
      <c r="F22909">
        <v>2.0189378017412199E-8</v>
      </c>
      <c r="G22909">
        <v>2630611</v>
      </c>
      <c r="H22909">
        <v>13939750</v>
      </c>
      <c r="I22909">
        <v>4385020</v>
      </c>
      <c r="J22909">
        <v>3</v>
      </c>
    </row>
    <row r="22910" spans="1:10" x14ac:dyDescent="0.25">
      <c r="A22910" t="s">
        <v>248</v>
      </c>
      <c r="B22910" s="1" t="str">
        <f>HYPERLINK("http://medtronic-diabetes.nl","medtronic-diabetes.nl")</f>
        <v>medtronic-diabetes.nl</v>
      </c>
      <c r="C22910" t="s">
        <v>477</v>
      </c>
      <c r="D22910" t="s">
        <v>852</v>
      </c>
      <c r="F22910">
        <v>1.75395928090586E-8</v>
      </c>
      <c r="G22910">
        <v>3133031</v>
      </c>
      <c r="H22910">
        <v>13765734</v>
      </c>
      <c r="I22910">
        <v>7069905</v>
      </c>
      <c r="J22910">
        <v>5</v>
      </c>
    </row>
    <row r="22911" spans="1:10" x14ac:dyDescent="0.25">
      <c r="A22911" t="s">
        <v>248</v>
      </c>
      <c r="B22911" s="1" t="str">
        <f>HYPERLINK("http://obesitaskliniek.nl","obesitaskliniek.nl")</f>
        <v>obesitaskliniek.nl</v>
      </c>
      <c r="C22911" t="s">
        <v>477</v>
      </c>
      <c r="D22911" t="s">
        <v>852</v>
      </c>
      <c r="F22911">
        <v>4.43536127259618E-8</v>
      </c>
      <c r="G22911">
        <v>1069767</v>
      </c>
      <c r="H22911">
        <v>14553996</v>
      </c>
      <c r="I22911">
        <v>754555</v>
      </c>
      <c r="J22911">
        <v>3</v>
      </c>
    </row>
    <row r="22912" spans="1:10" x14ac:dyDescent="0.25">
      <c r="A22912" t="s">
        <v>248</v>
      </c>
      <c r="B22912" s="1" t="str">
        <f>HYPERLINK("http://medtronic.no","medtronic.no")</f>
        <v>medtronic.no</v>
      </c>
      <c r="C22912" t="s">
        <v>478</v>
      </c>
      <c r="D22912" t="s">
        <v>853</v>
      </c>
      <c r="F22912">
        <v>5.8662652046887397E-9</v>
      </c>
      <c r="G22912">
        <v>17594559</v>
      </c>
      <c r="H22912">
        <v>9584321</v>
      </c>
      <c r="I22912">
        <v>64578091</v>
      </c>
      <c r="J22912">
        <v>3</v>
      </c>
    </row>
    <row r="22913" spans="1:10" x14ac:dyDescent="0.25">
      <c r="A22913" t="s">
        <v>248</v>
      </c>
      <c r="B22913" s="1" t="str">
        <f>HYPERLINK("http://medtronic-diabetes.no","medtronic-diabetes.no")</f>
        <v>medtronic-diabetes.no</v>
      </c>
      <c r="C22913" t="s">
        <v>478</v>
      </c>
      <c r="D22913" t="s">
        <v>853</v>
      </c>
      <c r="F22913">
        <v>7.9323647385015302E-9</v>
      </c>
      <c r="G22913">
        <v>10048891</v>
      </c>
      <c r="H22913">
        <v>12188798</v>
      </c>
      <c r="I22913">
        <v>23610114</v>
      </c>
      <c r="J22913">
        <v>6</v>
      </c>
    </row>
    <row r="22914" spans="1:10" x14ac:dyDescent="0.25">
      <c r="A22914" t="s">
        <v>248</v>
      </c>
      <c r="B22914" s="1" t="str">
        <f>HYPERLINK("http://medtronic.pl","medtronic.pl")</f>
        <v>medtronic.pl</v>
      </c>
      <c r="C22914" t="s">
        <v>486</v>
      </c>
      <c r="D22914" t="s">
        <v>860</v>
      </c>
      <c r="F22914">
        <v>6.7668234038755499E-9</v>
      </c>
      <c r="G22914">
        <v>13072338</v>
      </c>
      <c r="H22914">
        <v>12237252</v>
      </c>
      <c r="I22914">
        <v>22327079</v>
      </c>
      <c r="J22914">
        <v>4</v>
      </c>
    </row>
    <row r="22915" spans="1:10" x14ac:dyDescent="0.25">
      <c r="A22915" t="s">
        <v>248</v>
      </c>
      <c r="B22915" s="1" t="str">
        <f>HYPERLINK("http://medtronic-diabetes.com.pt","medtronic-diabetes.com.pt")</f>
        <v>medtronic-diabetes.com.pt</v>
      </c>
      <c r="C22915" t="s">
        <v>488</v>
      </c>
      <c r="D22915" t="s">
        <v>862</v>
      </c>
      <c r="F22915">
        <v>5.5471298202659697E-9</v>
      </c>
      <c r="G22915">
        <v>20406401</v>
      </c>
      <c r="H22915">
        <v>13763810</v>
      </c>
      <c r="I22915">
        <v>7606429</v>
      </c>
      <c r="J22915">
        <v>6</v>
      </c>
    </row>
    <row r="22916" spans="1:10" x14ac:dyDescent="0.25">
      <c r="A22916" t="s">
        <v>248</v>
      </c>
      <c r="B22916" s="1" t="str">
        <f>HYPERLINK("http://medtronic.pt","medtronic.pt")</f>
        <v>medtronic.pt</v>
      </c>
      <c r="C22916" t="s">
        <v>488</v>
      </c>
      <c r="D22916" t="s">
        <v>862</v>
      </c>
      <c r="F22916">
        <v>7.29910646498077E-9</v>
      </c>
      <c r="G22916">
        <v>11482093</v>
      </c>
      <c r="H22916">
        <v>13823025</v>
      </c>
      <c r="I22916">
        <v>6135038</v>
      </c>
      <c r="J22916">
        <v>3</v>
      </c>
    </row>
    <row r="22917" spans="1:10" x14ac:dyDescent="0.25">
      <c r="A22917" t="s">
        <v>248</v>
      </c>
      <c r="B22917" s="1" t="str">
        <f>HYPERLINK("http://medtronic-diabetes.ro","medtronic-diabetes.ro")</f>
        <v>medtronic-diabetes.ro</v>
      </c>
      <c r="C22917" t="s">
        <v>491</v>
      </c>
      <c r="D22917" t="s">
        <v>865</v>
      </c>
      <c r="F22917">
        <v>5.7497215786725499E-9</v>
      </c>
      <c r="G22917">
        <v>18499444</v>
      </c>
      <c r="H22917">
        <v>12218859</v>
      </c>
      <c r="I22917">
        <v>22813331</v>
      </c>
      <c r="J22917">
        <v>6</v>
      </c>
    </row>
    <row r="22918" spans="1:10" x14ac:dyDescent="0.25">
      <c r="A22918" t="s">
        <v>248</v>
      </c>
      <c r="B22918" s="1" t="str">
        <f>HYPERLINK("http://medtronic.ru","medtronic.ru")</f>
        <v>medtronic.ru</v>
      </c>
      <c r="C22918" t="s">
        <v>493</v>
      </c>
      <c r="D22918" t="s">
        <v>867</v>
      </c>
      <c r="F22918">
        <v>1.44768780213399E-8</v>
      </c>
      <c r="G22918">
        <v>4030484</v>
      </c>
      <c r="H22918">
        <v>12875142</v>
      </c>
      <c r="I22918">
        <v>14034937</v>
      </c>
      <c r="J22918">
        <v>2</v>
      </c>
    </row>
    <row r="22919" spans="1:10" x14ac:dyDescent="0.25">
      <c r="A22919" t="s">
        <v>248</v>
      </c>
      <c r="B22919" s="1" t="str">
        <f>HYPERLINK("http://medtronic-diabetes.ru","medtronic-diabetes.ru")</f>
        <v>medtronic-diabetes.ru</v>
      </c>
      <c r="C22919" t="s">
        <v>493</v>
      </c>
      <c r="D22919" t="s">
        <v>867</v>
      </c>
      <c r="F22919">
        <v>1.7319671905956301E-8</v>
      </c>
      <c r="G22919">
        <v>3194343</v>
      </c>
      <c r="H22919">
        <v>13135587</v>
      </c>
      <c r="I22919">
        <v>11910154</v>
      </c>
      <c r="J22919">
        <v>6</v>
      </c>
    </row>
    <row r="22920" spans="1:10" x14ac:dyDescent="0.25">
      <c r="A22920" t="s">
        <v>248</v>
      </c>
      <c r="B22920" s="1" t="str">
        <f>HYPERLINK("http://medtronic.se","medtronic.se")</f>
        <v>medtronic.se</v>
      </c>
      <c r="C22920" t="s">
        <v>495</v>
      </c>
      <c r="D22920" t="s">
        <v>869</v>
      </c>
      <c r="F22920">
        <v>8.9462366306003197E-9</v>
      </c>
      <c r="G22920">
        <v>8072878</v>
      </c>
      <c r="H22920">
        <v>14236078</v>
      </c>
      <c r="I22920">
        <v>1613472</v>
      </c>
      <c r="J22920">
        <v>3</v>
      </c>
    </row>
    <row r="22921" spans="1:10" x14ac:dyDescent="0.25">
      <c r="A22921" t="s">
        <v>248</v>
      </c>
      <c r="B22921" s="1" t="str">
        <f>HYPERLINK("http://medtronic-diabetes.se","medtronic-diabetes.se")</f>
        <v>medtronic-diabetes.se</v>
      </c>
      <c r="C22921" t="s">
        <v>495</v>
      </c>
      <c r="D22921" t="s">
        <v>869</v>
      </c>
      <c r="F22921">
        <v>1.0649603378203599E-8</v>
      </c>
      <c r="G22921">
        <v>6141841</v>
      </c>
      <c r="H22921">
        <v>13765238</v>
      </c>
      <c r="I22921">
        <v>7126102</v>
      </c>
      <c r="J22921">
        <v>5</v>
      </c>
    </row>
    <row r="22922" spans="1:10" x14ac:dyDescent="0.25">
      <c r="A22922" t="s">
        <v>248</v>
      </c>
      <c r="B22922" s="1" t="str">
        <f>HYPERLINK("http://medtronic.sk","medtronic.sk")</f>
        <v>medtronic.sk</v>
      </c>
      <c r="C22922" t="s">
        <v>498</v>
      </c>
      <c r="D22922" t="s">
        <v>872</v>
      </c>
      <c r="F22922">
        <v>6.0917966788704999E-9</v>
      </c>
      <c r="G22922">
        <v>16139015</v>
      </c>
      <c r="H22922">
        <v>12191094</v>
      </c>
      <c r="I22922">
        <v>23561566</v>
      </c>
      <c r="J22922">
        <v>3</v>
      </c>
    </row>
    <row r="22923" spans="1:10" x14ac:dyDescent="0.25">
      <c r="A22923" t="s">
        <v>248</v>
      </c>
      <c r="B22923" s="1" t="str">
        <f>HYPERLINK("http://medtronic-diabetes.sk","medtronic-diabetes.sk")</f>
        <v>medtronic-diabetes.sk</v>
      </c>
      <c r="C22923" t="s">
        <v>498</v>
      </c>
      <c r="D22923" t="s">
        <v>872</v>
      </c>
      <c r="F22923">
        <v>9.4079016529162301E-9</v>
      </c>
      <c r="G22923">
        <v>7434624</v>
      </c>
      <c r="H22923">
        <v>12440669</v>
      </c>
      <c r="I22923">
        <v>18136634</v>
      </c>
      <c r="J22923">
        <v>6</v>
      </c>
    </row>
    <row r="22924" spans="1:10" x14ac:dyDescent="0.25">
      <c r="A22924" t="s">
        <v>248</v>
      </c>
      <c r="B22924" s="1" t="str">
        <f>HYPERLINK("http://medtronic.com.tr","medtronic.com.tr")</f>
        <v>medtronic.com.tr</v>
      </c>
      <c r="C22924" t="s">
        <v>502</v>
      </c>
      <c r="D22924" t="s">
        <v>876</v>
      </c>
      <c r="F22924">
        <v>7.42528015462146E-9</v>
      </c>
      <c r="G22924">
        <v>11182964</v>
      </c>
      <c r="H22924">
        <v>12383002</v>
      </c>
      <c r="I22924">
        <v>19155746</v>
      </c>
      <c r="J22924">
        <v>3</v>
      </c>
    </row>
    <row r="22925" spans="1:10" x14ac:dyDescent="0.25">
      <c r="A22925" t="s">
        <v>248</v>
      </c>
      <c r="B22925" s="1" t="str">
        <f>HYPERLINK("http://medtronic-diabetes.com.tr","medtronic-diabetes.com.tr")</f>
        <v>medtronic-diabetes.com.tr</v>
      </c>
      <c r="C22925" t="s">
        <v>502</v>
      </c>
      <c r="D22925" t="s">
        <v>876</v>
      </c>
      <c r="F22925">
        <v>6.2479831107841798E-9</v>
      </c>
      <c r="G22925">
        <v>15285095</v>
      </c>
      <c r="H22925">
        <v>12125877</v>
      </c>
      <c r="I22925">
        <v>25259855</v>
      </c>
      <c r="J22925">
        <v>6</v>
      </c>
    </row>
    <row r="22926" spans="1:10" x14ac:dyDescent="0.25">
      <c r="A22926" t="s">
        <v>248</v>
      </c>
      <c r="B22926" s="1" t="str">
        <f>HYPERLINK("http://medtronic.co.uk","medtronic.co.uk")</f>
        <v>medtronic.co.uk</v>
      </c>
      <c r="C22926" t="s">
        <v>506</v>
      </c>
      <c r="D22926" t="s">
        <v>880</v>
      </c>
      <c r="F22926">
        <v>1.5112739475404799E-8</v>
      </c>
      <c r="G22926">
        <v>3803669</v>
      </c>
      <c r="H22926">
        <v>13789128</v>
      </c>
      <c r="I22926">
        <v>6357969</v>
      </c>
      <c r="J22926">
        <v>2</v>
      </c>
    </row>
    <row r="22927" spans="1:10" x14ac:dyDescent="0.25">
      <c r="A22927" t="s">
        <v>248</v>
      </c>
      <c r="B22927" s="1" t="str">
        <f>HYPERLINK("http://medtronic-diabetes.co.uk","medtronic-diabetes.co.uk")</f>
        <v>medtronic-diabetes.co.uk</v>
      </c>
      <c r="C22927" t="s">
        <v>506</v>
      </c>
      <c r="D22927" t="s">
        <v>880</v>
      </c>
      <c r="F22927">
        <v>3.07746895687643E-8</v>
      </c>
      <c r="G22927">
        <v>1673814</v>
      </c>
      <c r="H22927">
        <v>14199266</v>
      </c>
      <c r="I22927">
        <v>1726670</v>
      </c>
      <c r="J22927">
        <v>5</v>
      </c>
    </row>
    <row r="22928" spans="1:10" x14ac:dyDescent="0.25">
      <c r="A22928" t="s">
        <v>248</v>
      </c>
      <c r="B22928" s="1" t="str">
        <f>HYPERLINK("http://zephyrtech.us","zephyrtech.us")</f>
        <v>zephyrtech.us</v>
      </c>
      <c r="C22928" t="s">
        <v>522</v>
      </c>
      <c r="D22928" t="s">
        <v>891</v>
      </c>
      <c r="J22928">
        <v>4</v>
      </c>
    </row>
    <row r="22929" spans="1:10" x14ac:dyDescent="0.25">
      <c r="A22929" t="s">
        <v>249</v>
      </c>
      <c r="B22929" s="1" t="str">
        <f>HYPERLINK("http://dianping.com","dianping.com")</f>
        <v>dianping.com</v>
      </c>
      <c r="C22929" t="s">
        <v>433</v>
      </c>
      <c r="E22929">
        <v>3843</v>
      </c>
      <c r="F22929">
        <v>1.6511831182862299E-6</v>
      </c>
      <c r="G22929">
        <v>23956</v>
      </c>
      <c r="H22929">
        <v>17481132</v>
      </c>
      <c r="I22929">
        <v>14559</v>
      </c>
      <c r="J22929">
        <v>3</v>
      </c>
    </row>
    <row r="22930" spans="1:10" x14ac:dyDescent="0.25">
      <c r="A22930" t="s">
        <v>249</v>
      </c>
      <c r="B22930" s="1" t="str">
        <f>HYPERLINK("http://meituan.com","meituan.com")</f>
        <v>meituan.com</v>
      </c>
      <c r="C22930" t="s">
        <v>433</v>
      </c>
      <c r="E22930">
        <v>1444</v>
      </c>
      <c r="F22930">
        <v>2.5550870802087899E-6</v>
      </c>
      <c r="G22930">
        <v>14761</v>
      </c>
      <c r="H22930">
        <v>15455489</v>
      </c>
      <c r="I22930">
        <v>378070</v>
      </c>
      <c r="J22930">
        <v>1</v>
      </c>
    </row>
    <row r="22931" spans="1:10" x14ac:dyDescent="0.25">
      <c r="A22931" t="s">
        <v>249</v>
      </c>
      <c r="B22931" s="1" t="str">
        <f>HYPERLINK("http://meituan.net","meituan.net")</f>
        <v>meituan.net</v>
      </c>
      <c r="C22931" t="s">
        <v>474</v>
      </c>
      <c r="E22931">
        <v>12956</v>
      </c>
      <c r="F22931">
        <v>2.02535509956424E-6</v>
      </c>
      <c r="G22931">
        <v>18023</v>
      </c>
      <c r="H22931">
        <v>14126645</v>
      </c>
      <c r="I22931">
        <v>2096495</v>
      </c>
      <c r="J22931">
        <v>2</v>
      </c>
    </row>
    <row r="22932" spans="1:10" x14ac:dyDescent="0.25">
      <c r="A22932" t="s">
        <v>1638</v>
      </c>
      <c r="B22932" s="1" t="str">
        <f>HYPERLINK("http://mercadolibre.com.ar","mercadolibre.com.ar")</f>
        <v>mercadolibre.com.ar</v>
      </c>
      <c r="C22932" t="s">
        <v>418</v>
      </c>
      <c r="D22932" t="s">
        <v>800</v>
      </c>
      <c r="E22932">
        <v>1293</v>
      </c>
      <c r="F22932">
        <v>2.5448077771401801E-6</v>
      </c>
      <c r="G22932">
        <v>14815</v>
      </c>
      <c r="H22932">
        <v>17529808</v>
      </c>
      <c r="I22932">
        <v>12081</v>
      </c>
      <c r="J22932">
        <v>2</v>
      </c>
    </row>
    <row r="22933" spans="1:10" x14ac:dyDescent="0.25">
      <c r="A22933" t="s">
        <v>1638</v>
      </c>
      <c r="B22933" s="1" t="str">
        <f>HYPERLINK("http://sprayette.com.ar","sprayette.com.ar")</f>
        <v>sprayette.com.ar</v>
      </c>
      <c r="C22933" t="s">
        <v>418</v>
      </c>
      <c r="D22933" t="s">
        <v>800</v>
      </c>
      <c r="F22933">
        <v>4.44442021045157E-9</v>
      </c>
      <c r="G22933">
        <v>76797925</v>
      </c>
      <c r="H22933">
        <v>10629381</v>
      </c>
      <c r="I22933">
        <v>44010341</v>
      </c>
      <c r="J22933">
        <v>5</v>
      </c>
    </row>
    <row r="22934" spans="1:10" x14ac:dyDescent="0.25">
      <c r="A22934" t="s">
        <v>1638</v>
      </c>
      <c r="B22934" s="1" t="str">
        <f>HYPERLINK("http://mercadolibre.com.bo","mercadolibre.com.bo")</f>
        <v>mercadolibre.com.bo</v>
      </c>
      <c r="C22934" t="s">
        <v>424</v>
      </c>
      <c r="D22934" t="s">
        <v>805</v>
      </c>
      <c r="E22934">
        <v>519807</v>
      </c>
      <c r="F22934">
        <v>7.3039865350546594E-8</v>
      </c>
      <c r="G22934">
        <v>577356</v>
      </c>
      <c r="H22934">
        <v>12784548</v>
      </c>
      <c r="I22934">
        <v>14719578</v>
      </c>
      <c r="J22934">
        <v>2</v>
      </c>
    </row>
    <row r="22935" spans="1:10" x14ac:dyDescent="0.25">
      <c r="A22935" t="s">
        <v>1638</v>
      </c>
      <c r="B22935" s="1" t="str">
        <f>HYPERLINK("http://mercadolivre.com.br","mercadolivre.com.br")</f>
        <v>mercadolivre.com.br</v>
      </c>
      <c r="C22935" t="s">
        <v>425</v>
      </c>
      <c r="D22935" t="s">
        <v>806</v>
      </c>
      <c r="E22935">
        <v>1796</v>
      </c>
      <c r="F22935">
        <v>1.38618683655402E-6</v>
      </c>
      <c r="G22935">
        <v>28132</v>
      </c>
      <c r="H22935">
        <v>17744408</v>
      </c>
      <c r="I22935">
        <v>6461</v>
      </c>
      <c r="J22935">
        <v>3</v>
      </c>
    </row>
    <row r="22936" spans="1:10" x14ac:dyDescent="0.25">
      <c r="A22936" t="s">
        <v>1638</v>
      </c>
      <c r="B22936" s="1" t="str">
        <f>HYPERLINK("http://mercadolibre.cl","mercadolibre.cl")</f>
        <v>mercadolibre.cl</v>
      </c>
      <c r="C22936" t="s">
        <v>430</v>
      </c>
      <c r="D22936" t="s">
        <v>811</v>
      </c>
      <c r="E22936">
        <v>7323</v>
      </c>
      <c r="F22936">
        <v>6.8486188096801201E-7</v>
      </c>
      <c r="G22936">
        <v>56405</v>
      </c>
      <c r="H22936">
        <v>17223692</v>
      </c>
      <c r="I22936">
        <v>37878</v>
      </c>
      <c r="J22936">
        <v>2</v>
      </c>
    </row>
    <row r="22937" spans="1:10" x14ac:dyDescent="0.25">
      <c r="A22937" t="s">
        <v>1638</v>
      </c>
      <c r="B22937" s="1" t="str">
        <f>HYPERLINK("http://mercadolibre.com.co","mercadolibre.com.co")</f>
        <v>mercadolibre.com.co</v>
      </c>
      <c r="C22937" t="s">
        <v>432</v>
      </c>
      <c r="E22937">
        <v>4558</v>
      </c>
      <c r="F22937">
        <v>4.5160159202242001E-7</v>
      </c>
      <c r="G22937">
        <v>83664</v>
      </c>
      <c r="H22937">
        <v>15098501</v>
      </c>
      <c r="I22937">
        <v>406703</v>
      </c>
      <c r="J22937">
        <v>2</v>
      </c>
    </row>
    <row r="22938" spans="1:10" x14ac:dyDescent="0.25">
      <c r="A22938" t="s">
        <v>1638</v>
      </c>
      <c r="B22938" s="1" t="str">
        <f>HYPERLINK("http://lamanotecno.com","lamanotecno.com")</f>
        <v>lamanotecno.com</v>
      </c>
      <c r="C22938" t="s">
        <v>433</v>
      </c>
      <c r="E22938">
        <v>655448</v>
      </c>
      <c r="F22938">
        <v>4.4525907146061903E-9</v>
      </c>
      <c r="G22938">
        <v>70583599</v>
      </c>
      <c r="H22938">
        <v>10358476</v>
      </c>
      <c r="I22938">
        <v>55445413</v>
      </c>
      <c r="J22938">
        <v>5</v>
      </c>
    </row>
    <row r="22939" spans="1:10" x14ac:dyDescent="0.25">
      <c r="A22939" t="s">
        <v>1638</v>
      </c>
      <c r="B22939" s="1" t="str">
        <f>HYPERLINK("http://mercadolibre.com","mercadolibre.com")</f>
        <v>mercadolibre.com</v>
      </c>
      <c r="C22939" t="s">
        <v>433</v>
      </c>
      <c r="E22939">
        <v>2096</v>
      </c>
      <c r="F22939">
        <v>1.9635678869920398E-6</v>
      </c>
      <c r="G22939">
        <v>18657</v>
      </c>
      <c r="H22939">
        <v>17377582</v>
      </c>
      <c r="I22939">
        <v>20854</v>
      </c>
      <c r="J22939">
        <v>1</v>
      </c>
    </row>
    <row r="22940" spans="1:10" x14ac:dyDescent="0.25">
      <c r="A22940" t="s">
        <v>1638</v>
      </c>
      <c r="B22940" s="1" t="str">
        <f>HYPERLINK("http://mercadolivre.com","mercadolivre.com")</f>
        <v>mercadolivre.com</v>
      </c>
      <c r="C22940" t="s">
        <v>433</v>
      </c>
      <c r="E22940">
        <v>9793</v>
      </c>
      <c r="F22940">
        <v>1.3810142721740701E-7</v>
      </c>
      <c r="G22940">
        <v>282123</v>
      </c>
      <c r="H22940">
        <v>14634168</v>
      </c>
      <c r="I22940">
        <v>642102</v>
      </c>
      <c r="J22940">
        <v>3</v>
      </c>
    </row>
    <row r="22941" spans="1:10" x14ac:dyDescent="0.25">
      <c r="A22941" t="s">
        <v>1638</v>
      </c>
      <c r="B22941" s="1" t="str">
        <f>HYPERLINK("http://mlstatic.com","mlstatic.com")</f>
        <v>mlstatic.com</v>
      </c>
      <c r="C22941" t="s">
        <v>433</v>
      </c>
      <c r="E22941">
        <v>9753</v>
      </c>
      <c r="F22941">
        <v>3.1859594800679702E-6</v>
      </c>
      <c r="G22941">
        <v>12479</v>
      </c>
      <c r="H22941">
        <v>15718916</v>
      </c>
      <c r="I22941">
        <v>369374</v>
      </c>
      <c r="J22941">
        <v>2</v>
      </c>
    </row>
    <row r="22942" spans="1:10" x14ac:dyDescent="0.25">
      <c r="A22942" t="s">
        <v>1638</v>
      </c>
      <c r="B22942" s="1" t="str">
        <f>HYPERLINK("http://shippingml.com","shippingml.com")</f>
        <v>shippingml.com</v>
      </c>
      <c r="C22942" t="s">
        <v>433</v>
      </c>
      <c r="J22942">
        <v>2</v>
      </c>
    </row>
    <row r="22943" spans="1:10" x14ac:dyDescent="0.25">
      <c r="A22943" t="s">
        <v>1638</v>
      </c>
      <c r="B22943" s="1" t="str">
        <f>HYPERLINK("http://mercadolibre.co.cr","mercadolibre.co.cr")</f>
        <v>mercadolibre.co.cr</v>
      </c>
      <c r="C22943" t="s">
        <v>434</v>
      </c>
      <c r="D22943" t="s">
        <v>813</v>
      </c>
      <c r="E22943">
        <v>78910</v>
      </c>
      <c r="F22943">
        <v>9.0958375064070998E-8</v>
      </c>
      <c r="G22943">
        <v>448248</v>
      </c>
      <c r="H22943">
        <v>13003020</v>
      </c>
      <c r="I22943">
        <v>12782328</v>
      </c>
      <c r="J22943">
        <v>2</v>
      </c>
    </row>
    <row r="22944" spans="1:10" x14ac:dyDescent="0.25">
      <c r="A22944" t="s">
        <v>1638</v>
      </c>
      <c r="B22944" s="1" t="str">
        <f>HYPERLINK("http://mercadolibre.com.do","mercadolibre.com.do")</f>
        <v>mercadolibre.com.do</v>
      </c>
      <c r="C22944" t="s">
        <v>438</v>
      </c>
      <c r="D22944" t="s">
        <v>817</v>
      </c>
      <c r="E22944">
        <v>145935</v>
      </c>
      <c r="F22944">
        <v>7.9857595762690594E-8</v>
      </c>
      <c r="G22944">
        <v>523090</v>
      </c>
      <c r="H22944">
        <v>14124875</v>
      </c>
      <c r="I22944">
        <v>2134097</v>
      </c>
      <c r="J22944">
        <v>2</v>
      </c>
    </row>
    <row r="22945" spans="1:10" x14ac:dyDescent="0.25">
      <c r="A22945" t="s">
        <v>1638</v>
      </c>
      <c r="B22945" s="1" t="str">
        <f>HYPERLINK("http://mercadolibre.com.ec","mercadolibre.com.ec")</f>
        <v>mercadolibre.com.ec</v>
      </c>
      <c r="C22945" t="s">
        <v>440</v>
      </c>
      <c r="D22945" t="s">
        <v>819</v>
      </c>
      <c r="E22945">
        <v>50079</v>
      </c>
      <c r="F22945">
        <v>1.06621236098261E-7</v>
      </c>
      <c r="G22945">
        <v>375493</v>
      </c>
      <c r="H22945">
        <v>14651388</v>
      </c>
      <c r="I22945">
        <v>626731</v>
      </c>
      <c r="J22945">
        <v>2</v>
      </c>
    </row>
    <row r="22946" spans="1:10" x14ac:dyDescent="0.25">
      <c r="A22946" t="s">
        <v>1638</v>
      </c>
      <c r="B22946" s="1" t="str">
        <f>HYPERLINK("http://mercadolibre.com.gt","mercadolibre.com.gt")</f>
        <v>mercadolibre.com.gt</v>
      </c>
      <c r="C22946" t="s">
        <v>448</v>
      </c>
      <c r="D22946" t="s">
        <v>826</v>
      </c>
      <c r="E22946">
        <v>412219</v>
      </c>
      <c r="F22946">
        <v>7.3234413007979496E-8</v>
      </c>
      <c r="G22946">
        <v>575656</v>
      </c>
      <c r="H22946">
        <v>12779301</v>
      </c>
      <c r="I22946">
        <v>14773156</v>
      </c>
      <c r="J22946">
        <v>2</v>
      </c>
    </row>
    <row r="22947" spans="1:10" x14ac:dyDescent="0.25">
      <c r="A22947" t="s">
        <v>1638</v>
      </c>
      <c r="B22947" s="1" t="str">
        <f>HYPERLINK("http://mercadolibre.com.hn","mercadolibre.com.hn")</f>
        <v>mercadolibre.com.hn</v>
      </c>
      <c r="C22947" t="s">
        <v>451</v>
      </c>
      <c r="D22947" t="s">
        <v>828</v>
      </c>
      <c r="E22947">
        <v>451888</v>
      </c>
      <c r="F22947">
        <v>7.3227894103072301E-8</v>
      </c>
      <c r="G22947">
        <v>575711</v>
      </c>
      <c r="H22947">
        <v>12784555</v>
      </c>
      <c r="I22947">
        <v>14719550</v>
      </c>
      <c r="J22947">
        <v>2</v>
      </c>
    </row>
    <row r="22948" spans="1:10" x14ac:dyDescent="0.25">
      <c r="A22948" t="s">
        <v>1638</v>
      </c>
      <c r="B22948" s="1" t="str">
        <f>HYPERLINK("http://mercadolibre.com.mx","mercadolibre.com.mx")</f>
        <v>mercadolibre.com.mx</v>
      </c>
      <c r="C22948" t="s">
        <v>471</v>
      </c>
      <c r="D22948" t="s">
        <v>847</v>
      </c>
      <c r="E22948">
        <v>956</v>
      </c>
      <c r="F22948">
        <v>1.2538474645132299E-6</v>
      </c>
      <c r="G22948">
        <v>31095</v>
      </c>
      <c r="H22948">
        <v>15430730</v>
      </c>
      <c r="I22948">
        <v>378923</v>
      </c>
      <c r="J22948">
        <v>2</v>
      </c>
    </row>
    <row r="22949" spans="1:10" x14ac:dyDescent="0.25">
      <c r="A22949" t="s">
        <v>1638</v>
      </c>
      <c r="B22949" s="1" t="str">
        <f>HYPERLINK("http://mercadolibre.com.ni","mercadolibre.com.ni")</f>
        <v>mercadolibre.com.ni</v>
      </c>
      <c r="C22949" t="s">
        <v>476</v>
      </c>
      <c r="D22949" t="s">
        <v>851</v>
      </c>
      <c r="E22949">
        <v>400210</v>
      </c>
      <c r="F22949">
        <v>7.2296056568248205E-8</v>
      </c>
      <c r="G22949">
        <v>583827</v>
      </c>
      <c r="H22949">
        <v>12779652</v>
      </c>
      <c r="I22949">
        <v>14762671</v>
      </c>
      <c r="J22949">
        <v>2</v>
      </c>
    </row>
    <row r="22950" spans="1:10" x14ac:dyDescent="0.25">
      <c r="A22950" t="s">
        <v>1638</v>
      </c>
      <c r="B22950" s="1" t="str">
        <f>HYPERLINK("http://mercadolibre.com.pa","mercadolibre.com.pa")</f>
        <v>mercadolibre.com.pa</v>
      </c>
      <c r="C22950" t="s">
        <v>482</v>
      </c>
      <c r="D22950" t="s">
        <v>856</v>
      </c>
      <c r="E22950">
        <v>466540</v>
      </c>
      <c r="F22950">
        <v>7.6196890827794396E-8</v>
      </c>
      <c r="G22950">
        <v>551095</v>
      </c>
      <c r="H22950">
        <v>12830142</v>
      </c>
      <c r="I22950">
        <v>14428463</v>
      </c>
      <c r="J22950">
        <v>2</v>
      </c>
    </row>
    <row r="22951" spans="1:10" x14ac:dyDescent="0.25">
      <c r="A22951" t="s">
        <v>1638</v>
      </c>
      <c r="B22951" s="1" t="str">
        <f>HYPERLINK("http://mercadolibre.com.pe","mercadolibre.com.pe")</f>
        <v>mercadolibre.com.pe</v>
      </c>
      <c r="C22951" t="s">
        <v>483</v>
      </c>
      <c r="D22951" t="s">
        <v>857</v>
      </c>
      <c r="E22951">
        <v>11170</v>
      </c>
      <c r="F22951">
        <v>2.53083405455362E-7</v>
      </c>
      <c r="G22951">
        <v>147772</v>
      </c>
      <c r="H22951">
        <v>15333149</v>
      </c>
      <c r="I22951">
        <v>383812</v>
      </c>
      <c r="J22951">
        <v>2</v>
      </c>
    </row>
    <row r="22952" spans="1:10" x14ac:dyDescent="0.25">
      <c r="A22952" t="s">
        <v>1638</v>
      </c>
      <c r="B22952" s="1" t="str">
        <f>HYPERLINK("http://mercadolibre.com.py","mercadolibre.com.py")</f>
        <v>mercadolibre.com.py</v>
      </c>
      <c r="C22952" t="s">
        <v>489</v>
      </c>
      <c r="D22952" t="s">
        <v>863</v>
      </c>
      <c r="E22952">
        <v>410639</v>
      </c>
      <c r="F22952">
        <v>7.3151268137078502E-8</v>
      </c>
      <c r="G22952">
        <v>576363</v>
      </c>
      <c r="H22952">
        <v>12773978</v>
      </c>
      <c r="I22952">
        <v>14811550</v>
      </c>
      <c r="J22952">
        <v>2</v>
      </c>
    </row>
    <row r="22953" spans="1:10" x14ac:dyDescent="0.25">
      <c r="A22953" t="s">
        <v>1638</v>
      </c>
      <c r="B22953" s="1" t="str">
        <f>HYPERLINK("http://mercadolibre.com.sv","mercadolibre.com.sv")</f>
        <v>mercadolibre.com.sv</v>
      </c>
      <c r="C22953" t="s">
        <v>499</v>
      </c>
      <c r="D22953" t="s">
        <v>873</v>
      </c>
      <c r="E22953">
        <v>340751</v>
      </c>
      <c r="F22953">
        <v>7.1999667165741206E-8</v>
      </c>
      <c r="G22953">
        <v>586538</v>
      </c>
      <c r="H22953">
        <v>12779482</v>
      </c>
      <c r="I22953">
        <v>14771783</v>
      </c>
      <c r="J22953">
        <v>2</v>
      </c>
    </row>
    <row r="22954" spans="1:10" x14ac:dyDescent="0.25">
      <c r="A22954" t="s">
        <v>1638</v>
      </c>
      <c r="B22954" s="1" t="str">
        <f>HYPERLINK("http://mercadolibre.com.uy","mercadolibre.com.uy")</f>
        <v>mercadolibre.com.uy</v>
      </c>
      <c r="C22954" t="s">
        <v>507</v>
      </c>
      <c r="D22954" t="s">
        <v>881</v>
      </c>
      <c r="E22954">
        <v>12511</v>
      </c>
      <c r="F22954">
        <v>2.9540525557085999E-7</v>
      </c>
      <c r="G22954">
        <v>125932</v>
      </c>
      <c r="H22954">
        <v>17211246</v>
      </c>
      <c r="I22954">
        <v>39830</v>
      </c>
      <c r="J22954">
        <v>2</v>
      </c>
    </row>
    <row r="22955" spans="1:10" x14ac:dyDescent="0.25">
      <c r="A22955" t="s">
        <v>1638</v>
      </c>
      <c r="B22955" s="1" t="str">
        <f>HYPERLINK("http://mercadolibre.com.ve","mercadolibre.com.ve")</f>
        <v>mercadolibre.com.ve</v>
      </c>
      <c r="C22955" t="s">
        <v>508</v>
      </c>
      <c r="D22955" t="s">
        <v>882</v>
      </c>
      <c r="E22955">
        <v>4121</v>
      </c>
      <c r="F22955">
        <v>4.1315937208076102E-7</v>
      </c>
      <c r="G22955">
        <v>91081</v>
      </c>
      <c r="H22955">
        <v>17214908</v>
      </c>
      <c r="I22955">
        <v>39231</v>
      </c>
      <c r="J22955">
        <v>2</v>
      </c>
    </row>
    <row r="22956" spans="1:10" x14ac:dyDescent="0.25">
      <c r="A22956" t="s">
        <v>1639</v>
      </c>
      <c r="B22956" s="1" t="str">
        <f>HYPERLINK("http://here.ai","here.ai")</f>
        <v>here.ai</v>
      </c>
      <c r="C22956" t="s">
        <v>524</v>
      </c>
      <c r="D22956" t="s">
        <v>892</v>
      </c>
      <c r="F22956">
        <v>8.4837489786961001E-9</v>
      </c>
      <c r="G22956">
        <v>8876462</v>
      </c>
      <c r="H22956">
        <v>12507411</v>
      </c>
      <c r="I22956">
        <v>17271192</v>
      </c>
      <c r="J22956">
        <v>5</v>
      </c>
    </row>
    <row r="22957" spans="1:10" x14ac:dyDescent="0.25">
      <c r="A22957" t="s">
        <v>1639</v>
      </c>
      <c r="B22957" s="1" t="str">
        <f>HYPERLINK("http://mercedes-benz.am","mercedes-benz.am")</f>
        <v>mercedes-benz.am</v>
      </c>
      <c r="C22957" t="s">
        <v>565</v>
      </c>
      <c r="D22957" t="s">
        <v>913</v>
      </c>
      <c r="F22957">
        <v>1.0130606771468E-8</v>
      </c>
      <c r="G22957">
        <v>6616193</v>
      </c>
      <c r="H22957">
        <v>14073198</v>
      </c>
      <c r="I22957">
        <v>3010128</v>
      </c>
      <c r="J22957">
        <v>3</v>
      </c>
    </row>
    <row r="22958" spans="1:10" x14ac:dyDescent="0.25">
      <c r="A22958" t="s">
        <v>1639</v>
      </c>
      <c r="B22958" s="1" t="str">
        <f>HYPERLINK("http://mbfs.app","mbfs.app")</f>
        <v>mbfs.app</v>
      </c>
      <c r="C22958" t="s">
        <v>587</v>
      </c>
      <c r="F22958">
        <v>8.8532855645134802E-9</v>
      </c>
      <c r="G22958">
        <v>8218986</v>
      </c>
      <c r="H22958">
        <v>10995693</v>
      </c>
      <c r="I22958">
        <v>33652847</v>
      </c>
      <c r="J22958">
        <v>4</v>
      </c>
    </row>
    <row r="22959" spans="1:10" x14ac:dyDescent="0.25">
      <c r="A22959" t="s">
        <v>1639</v>
      </c>
      <c r="B22959" s="1" t="str">
        <f>HYPERLINK("http://mercedes-benz.com.ar","mercedes-benz.com.ar")</f>
        <v>mercedes-benz.com.ar</v>
      </c>
      <c r="C22959" t="s">
        <v>418</v>
      </c>
      <c r="D22959" t="s">
        <v>800</v>
      </c>
      <c r="F22959">
        <v>8.9139168588325701E-8</v>
      </c>
      <c r="G22959">
        <v>458537</v>
      </c>
      <c r="H22959">
        <v>14501978</v>
      </c>
      <c r="I22959">
        <v>847762</v>
      </c>
      <c r="J22959">
        <v>3</v>
      </c>
    </row>
    <row r="22960" spans="1:10" x14ac:dyDescent="0.25">
      <c r="A22960" t="s">
        <v>1639</v>
      </c>
      <c r="B22960" s="1" t="str">
        <f>HYPERLINK("http://mercedes-benz.art","mercedes-benz.art")</f>
        <v>mercedes-benz.art</v>
      </c>
      <c r="C22960" t="s">
        <v>692</v>
      </c>
      <c r="F22960">
        <v>3.7385820723671E-8</v>
      </c>
      <c r="G22960">
        <v>1384719</v>
      </c>
      <c r="H22960">
        <v>13178567</v>
      </c>
      <c r="I22960">
        <v>11689015</v>
      </c>
      <c r="J22960">
        <v>3</v>
      </c>
    </row>
    <row r="22961" spans="1:10" x14ac:dyDescent="0.25">
      <c r="A22961" t="s">
        <v>1639</v>
      </c>
      <c r="B22961" s="1" t="str">
        <f>HYPERLINK("http://evobus.at","evobus.at")</f>
        <v>evobus.at</v>
      </c>
      <c r="C22961" t="s">
        <v>419</v>
      </c>
      <c r="D22961" t="s">
        <v>801</v>
      </c>
      <c r="F22961">
        <v>7.3696596374555304E-9</v>
      </c>
      <c r="G22961">
        <v>11314569</v>
      </c>
      <c r="H22961">
        <v>11263012</v>
      </c>
      <c r="I22961">
        <v>30812066</v>
      </c>
      <c r="J22961">
        <v>4</v>
      </c>
    </row>
    <row r="22962" spans="1:10" x14ac:dyDescent="0.25">
      <c r="A22962" t="s">
        <v>1639</v>
      </c>
      <c r="B22962" s="1" t="str">
        <f>HYPERLINK("http://mercedes-benz.at","mercedes-benz.at")</f>
        <v>mercedes-benz.at</v>
      </c>
      <c r="C22962" t="s">
        <v>419</v>
      </c>
      <c r="D22962" t="s">
        <v>801</v>
      </c>
      <c r="E22962">
        <v>594264</v>
      </c>
      <c r="F22962">
        <v>1.8856786313914801E-7</v>
      </c>
      <c r="G22962">
        <v>204345</v>
      </c>
      <c r="H22962">
        <v>14391584</v>
      </c>
      <c r="I22962">
        <v>1166290</v>
      </c>
      <c r="J22962">
        <v>3</v>
      </c>
    </row>
    <row r="22963" spans="1:10" x14ac:dyDescent="0.25">
      <c r="A22963" t="s">
        <v>1639</v>
      </c>
      <c r="B22963" s="1" t="str">
        <f>HYPERLINK("http://mercedes-benz-g.at","mercedes-benz-g.at")</f>
        <v>mercedes-benz-g.at</v>
      </c>
      <c r="C22963" t="s">
        <v>419</v>
      </c>
      <c r="D22963" t="s">
        <v>801</v>
      </c>
      <c r="F22963">
        <v>6.8524646948265403E-9</v>
      </c>
      <c r="G22963">
        <v>12787542</v>
      </c>
      <c r="H22963">
        <v>12549376</v>
      </c>
      <c r="I22963">
        <v>16829873</v>
      </c>
      <c r="J22963">
        <v>3</v>
      </c>
    </row>
    <row r="22964" spans="1:10" x14ac:dyDescent="0.25">
      <c r="A22964" t="s">
        <v>1639</v>
      </c>
      <c r="B22964" s="1" t="str">
        <f>HYPERLINK("http://mbaup.com.au","mbaup.com.au")</f>
        <v>mbaup.com.au</v>
      </c>
      <c r="C22964" t="s">
        <v>420</v>
      </c>
      <c r="D22964" t="s">
        <v>802</v>
      </c>
      <c r="F22964">
        <v>4.4779622350557001E-9</v>
      </c>
      <c r="G22964">
        <v>62778983</v>
      </c>
      <c r="H22964">
        <v>9427509</v>
      </c>
      <c r="I22964">
        <v>66862098</v>
      </c>
      <c r="J22964">
        <v>3</v>
      </c>
    </row>
    <row r="22965" spans="1:10" x14ac:dyDescent="0.25">
      <c r="A22965" t="s">
        <v>1639</v>
      </c>
      <c r="B22965" s="1" t="str">
        <f>HYPERLINK("http://mercedes-benz.com.au","mercedes-benz.com.au")</f>
        <v>mercedes-benz.com.au</v>
      </c>
      <c r="C22965" t="s">
        <v>420</v>
      </c>
      <c r="D22965" t="s">
        <v>802</v>
      </c>
      <c r="E22965">
        <v>201060</v>
      </c>
      <c r="F22965">
        <v>1.06455344755311E-7</v>
      </c>
      <c r="G22965">
        <v>376129</v>
      </c>
      <c r="H22965">
        <v>14716820</v>
      </c>
      <c r="I22965">
        <v>579905</v>
      </c>
      <c r="J22965">
        <v>3</v>
      </c>
    </row>
    <row r="22966" spans="1:10" x14ac:dyDescent="0.25">
      <c r="A22966" t="s">
        <v>1639</v>
      </c>
      <c r="B22966" s="1" t="str">
        <f>HYPERLINK("http://mercedes-benz.ba","mercedes-benz.ba")</f>
        <v>mercedes-benz.ba</v>
      </c>
      <c r="C22966" t="s">
        <v>526</v>
      </c>
      <c r="D22966" t="s">
        <v>893</v>
      </c>
      <c r="F22966">
        <v>5.3689635681583999E-8</v>
      </c>
      <c r="G22966">
        <v>846907</v>
      </c>
      <c r="H22966">
        <v>12502676</v>
      </c>
      <c r="I22966">
        <v>17319021</v>
      </c>
      <c r="J22966">
        <v>3</v>
      </c>
    </row>
    <row r="22967" spans="1:10" x14ac:dyDescent="0.25">
      <c r="A22967" t="s">
        <v>1639</v>
      </c>
      <c r="B22967" s="1" t="str">
        <f>HYPERLINK("http://athloncarlease.be","athloncarlease.be")</f>
        <v>athloncarlease.be</v>
      </c>
      <c r="C22967" t="s">
        <v>421</v>
      </c>
      <c r="D22967" t="s">
        <v>803</v>
      </c>
      <c r="F22967">
        <v>4.4591262463280296E-9</v>
      </c>
      <c r="G22967">
        <v>68024578</v>
      </c>
      <c r="H22967">
        <v>10785981</v>
      </c>
      <c r="I22967">
        <v>38660937</v>
      </c>
      <c r="J22967">
        <v>3</v>
      </c>
    </row>
    <row r="22968" spans="1:10" x14ac:dyDescent="0.25">
      <c r="A22968" t="s">
        <v>1639</v>
      </c>
      <c r="B22968" s="1" t="str">
        <f>HYPERLINK("http://daimlerchrysler.be","daimlerchrysler.be")</f>
        <v>daimlerchrysler.be</v>
      </c>
      <c r="C22968" t="s">
        <v>421</v>
      </c>
      <c r="D22968" t="s">
        <v>803</v>
      </c>
      <c r="F22968">
        <v>4.50762355956658E-9</v>
      </c>
      <c r="G22968">
        <v>57843194</v>
      </c>
      <c r="H22968">
        <v>10960658</v>
      </c>
      <c r="I22968">
        <v>34339882</v>
      </c>
      <c r="J22968">
        <v>3</v>
      </c>
    </row>
    <row r="22969" spans="1:10" x14ac:dyDescent="0.25">
      <c r="A22969" t="s">
        <v>1639</v>
      </c>
      <c r="B22969" s="1" t="str">
        <f>HYPERLINK("http://dtfs.be","dtfs.be")</f>
        <v>dtfs.be</v>
      </c>
      <c r="C22969" t="s">
        <v>421</v>
      </c>
      <c r="D22969" t="s">
        <v>803</v>
      </c>
      <c r="F22969">
        <v>7.3135388498934E-9</v>
      </c>
      <c r="G22969">
        <v>11446701</v>
      </c>
      <c r="H22969">
        <v>10922868</v>
      </c>
      <c r="I22969">
        <v>35216040</v>
      </c>
      <c r="J22969">
        <v>3</v>
      </c>
    </row>
    <row r="22970" spans="1:10" x14ac:dyDescent="0.25">
      <c r="A22970" t="s">
        <v>1639</v>
      </c>
      <c r="B22970" s="1" t="str">
        <f>HYPERLINK("http://mbfs.be","mbfs.be")</f>
        <v>mbfs.be</v>
      </c>
      <c r="C22970" t="s">
        <v>421</v>
      </c>
      <c r="D22970" t="s">
        <v>803</v>
      </c>
      <c r="F22970">
        <v>4.4450939964596203E-9</v>
      </c>
      <c r="G22970">
        <v>75660801</v>
      </c>
      <c r="H22970">
        <v>10483025</v>
      </c>
      <c r="I22970">
        <v>50904196</v>
      </c>
      <c r="J22970">
        <v>3</v>
      </c>
    </row>
    <row r="22971" spans="1:10" x14ac:dyDescent="0.25">
      <c r="A22971" t="s">
        <v>1639</v>
      </c>
      <c r="B22971" s="1" t="str">
        <f>HYPERLINK("http://mercedes.be","mercedes.be")</f>
        <v>mercedes.be</v>
      </c>
      <c r="C22971" t="s">
        <v>421</v>
      </c>
      <c r="D22971" t="s">
        <v>803</v>
      </c>
      <c r="F22971">
        <v>6.0668259410687702E-9</v>
      </c>
      <c r="G22971">
        <v>16285422</v>
      </c>
      <c r="H22971">
        <v>14238082</v>
      </c>
      <c r="I22971">
        <v>1533778</v>
      </c>
      <c r="J22971">
        <v>3</v>
      </c>
    </row>
    <row r="22972" spans="1:10" x14ac:dyDescent="0.25">
      <c r="A22972" t="s">
        <v>1639</v>
      </c>
      <c r="B22972" s="1" t="str">
        <f>HYPERLINK("http://mercedes-benz.be","mercedes-benz.be")</f>
        <v>mercedes-benz.be</v>
      </c>
      <c r="C22972" t="s">
        <v>421</v>
      </c>
      <c r="D22972" t="s">
        <v>803</v>
      </c>
      <c r="E22972">
        <v>239904</v>
      </c>
      <c r="F22972">
        <v>1.5883380460056601E-7</v>
      </c>
      <c r="G22972">
        <v>244452</v>
      </c>
      <c r="H22972">
        <v>13793083</v>
      </c>
      <c r="I22972">
        <v>6324842</v>
      </c>
      <c r="J22972">
        <v>3</v>
      </c>
    </row>
    <row r="22973" spans="1:10" x14ac:dyDescent="0.25">
      <c r="A22973" t="s">
        <v>1639</v>
      </c>
      <c r="B22973" s="1" t="str">
        <f>HYPERLINK("http://mercedes-benz.bg","mercedes-benz.bg")</f>
        <v>mercedes-benz.bg</v>
      </c>
      <c r="C22973" t="s">
        <v>422</v>
      </c>
      <c r="D22973" t="s">
        <v>804</v>
      </c>
      <c r="F22973">
        <v>7.2035937806519196E-8</v>
      </c>
      <c r="G22973">
        <v>586185</v>
      </c>
      <c r="H22973">
        <v>14074609</v>
      </c>
      <c r="I22973">
        <v>2936815</v>
      </c>
      <c r="J22973">
        <v>3</v>
      </c>
    </row>
    <row r="22974" spans="1:10" x14ac:dyDescent="0.25">
      <c r="A22974" t="s">
        <v>1639</v>
      </c>
      <c r="B22974" s="1" t="str">
        <f>HYPERLINK("http://mercedes-benz.com.bn","mercedes-benz.com.bn")</f>
        <v>mercedes-benz.com.bn</v>
      </c>
      <c r="C22974" t="s">
        <v>511</v>
      </c>
      <c r="D22974" t="s">
        <v>885</v>
      </c>
      <c r="F22974">
        <v>8.8315125862064203E-9</v>
      </c>
      <c r="G22974">
        <v>8253754</v>
      </c>
      <c r="H22974">
        <v>12402666</v>
      </c>
      <c r="I22974">
        <v>18737994</v>
      </c>
      <c r="J22974">
        <v>3</v>
      </c>
    </row>
    <row r="22975" spans="1:10" x14ac:dyDescent="0.25">
      <c r="A22975" t="s">
        <v>1639</v>
      </c>
      <c r="B22975" s="1" t="str">
        <f>HYPERLINK("http://bancomercedes-benz.com.br","bancomercedes-benz.com.br")</f>
        <v>bancomercedes-benz.com.br</v>
      </c>
      <c r="C22975" t="s">
        <v>425</v>
      </c>
      <c r="D22975" t="s">
        <v>806</v>
      </c>
      <c r="F22975">
        <v>1.6508108463992399E-8</v>
      </c>
      <c r="G22975">
        <v>3411672</v>
      </c>
      <c r="H22975">
        <v>14363826</v>
      </c>
      <c r="I22975">
        <v>1302866</v>
      </c>
      <c r="J22975">
        <v>4</v>
      </c>
    </row>
    <row r="22976" spans="1:10" x14ac:dyDescent="0.25">
      <c r="A22976" t="s">
        <v>1639</v>
      </c>
      <c r="B22976" s="1" t="str">
        <f>HYPERLINK("http://mercedes-benz.com.br","mercedes-benz.com.br")</f>
        <v>mercedes-benz.com.br</v>
      </c>
      <c r="C22976" t="s">
        <v>425</v>
      </c>
      <c r="D22976" t="s">
        <v>806</v>
      </c>
      <c r="E22976">
        <v>357261</v>
      </c>
      <c r="F22976">
        <v>9.4593749829085096E-8</v>
      </c>
      <c r="G22976">
        <v>428866</v>
      </c>
      <c r="H22976">
        <v>14385542</v>
      </c>
      <c r="I22976">
        <v>1179643</v>
      </c>
      <c r="J22976">
        <v>3</v>
      </c>
    </row>
    <row r="22977" spans="1:10" x14ac:dyDescent="0.25">
      <c r="A22977" t="s">
        <v>1639</v>
      </c>
      <c r="B22977" s="1" t="str">
        <f>HYPERLINK("http://mercedes-benz.by","mercedes-benz.by")</f>
        <v>mercedes-benz.by</v>
      </c>
      <c r="C22977" t="s">
        <v>427</v>
      </c>
      <c r="D22977" t="s">
        <v>808</v>
      </c>
      <c r="F22977">
        <v>1.6171979112468999E-8</v>
      </c>
      <c r="G22977">
        <v>3502492</v>
      </c>
      <c r="H22977">
        <v>13773023</v>
      </c>
      <c r="I22977">
        <v>6642297</v>
      </c>
      <c r="J22977">
        <v>3</v>
      </c>
    </row>
    <row r="22978" spans="1:10" x14ac:dyDescent="0.25">
      <c r="A22978" t="s">
        <v>1639</v>
      </c>
      <c r="B22978" s="1" t="str">
        <f>HYPERLINK("http://mercedes-benz.ca","mercedes-benz.ca")</f>
        <v>mercedes-benz.ca</v>
      </c>
      <c r="C22978" t="s">
        <v>428</v>
      </c>
      <c r="D22978" t="s">
        <v>809</v>
      </c>
      <c r="E22978">
        <v>163759</v>
      </c>
      <c r="F22978">
        <v>2.5539008828781E-7</v>
      </c>
      <c r="G22978">
        <v>146470</v>
      </c>
      <c r="H22978">
        <v>17057886</v>
      </c>
      <c r="I22978">
        <v>74613</v>
      </c>
      <c r="J22978">
        <v>3</v>
      </c>
    </row>
    <row r="22979" spans="1:10" x14ac:dyDescent="0.25">
      <c r="A22979" t="s">
        <v>1639</v>
      </c>
      <c r="B22979" s="1" t="str">
        <f>HYPERLINK("http://mercedes-benz.ch","mercedes-benz.ch")</f>
        <v>mercedes-benz.ch</v>
      </c>
      <c r="C22979" t="s">
        <v>429</v>
      </c>
      <c r="D22979" t="s">
        <v>810</v>
      </c>
      <c r="E22979">
        <v>516304</v>
      </c>
      <c r="F22979">
        <v>2.3893776256051E-7</v>
      </c>
      <c r="G22979">
        <v>156667</v>
      </c>
      <c r="H22979">
        <v>14244060</v>
      </c>
      <c r="I22979">
        <v>1473854</v>
      </c>
      <c r="J22979">
        <v>3</v>
      </c>
    </row>
    <row r="22980" spans="1:10" x14ac:dyDescent="0.25">
      <c r="A22980" t="s">
        <v>1639</v>
      </c>
      <c r="B22980" s="1" t="str">
        <f>HYPERLINK("http://mercedes-benz.ci","mercedes-benz.ci")</f>
        <v>mercedes-benz.ci</v>
      </c>
      <c r="C22980" t="s">
        <v>539</v>
      </c>
      <c r="D22980" t="s">
        <v>899</v>
      </c>
      <c r="F22980">
        <v>4.7945021100509196E-9</v>
      </c>
      <c r="G22980">
        <v>36304496</v>
      </c>
      <c r="H22980">
        <v>9609143</v>
      </c>
      <c r="I22980">
        <v>64306729</v>
      </c>
      <c r="J22980">
        <v>3</v>
      </c>
    </row>
    <row r="22981" spans="1:10" x14ac:dyDescent="0.25">
      <c r="A22981" t="s">
        <v>1639</v>
      </c>
      <c r="B22981" s="1" t="str">
        <f>HYPERLINK("http://daimler.com.cn","daimler.com.cn")</f>
        <v>daimler.com.cn</v>
      </c>
      <c r="C22981" t="s">
        <v>431</v>
      </c>
      <c r="D22981" t="s">
        <v>812</v>
      </c>
      <c r="F22981">
        <v>8.8579820406682305E-9</v>
      </c>
      <c r="G22981">
        <v>8211482</v>
      </c>
      <c r="H22981">
        <v>12396843</v>
      </c>
      <c r="I22981">
        <v>18897976</v>
      </c>
      <c r="J22981">
        <v>2</v>
      </c>
    </row>
    <row r="22982" spans="1:10" x14ac:dyDescent="0.25">
      <c r="A22982" t="s">
        <v>1639</v>
      </c>
      <c r="B22982" s="1" t="str">
        <f>HYPERLINK("http://mercedes-benz.com.cn","mercedes-benz.com.cn")</f>
        <v>mercedes-benz.com.cn</v>
      </c>
      <c r="C22982" t="s">
        <v>431</v>
      </c>
      <c r="D22982" t="s">
        <v>812</v>
      </c>
      <c r="E22982">
        <v>60373</v>
      </c>
      <c r="F22982">
        <v>4.20169466099254E-7</v>
      </c>
      <c r="G22982">
        <v>89615</v>
      </c>
      <c r="H22982">
        <v>15109586</v>
      </c>
      <c r="I22982">
        <v>405173</v>
      </c>
      <c r="J22982">
        <v>3</v>
      </c>
    </row>
    <row r="22983" spans="1:10" x14ac:dyDescent="0.25">
      <c r="A22983" t="s">
        <v>1639</v>
      </c>
      <c r="B22983" s="1" t="str">
        <f>HYPERLINK("http://mercedes-benz-finance.com.cn","mercedes-benz-finance.com.cn")</f>
        <v>mercedes-benz-finance.com.cn</v>
      </c>
      <c r="C22983" t="s">
        <v>431</v>
      </c>
      <c r="D22983" t="s">
        <v>812</v>
      </c>
      <c r="F22983">
        <v>5.9609056858118004E-9</v>
      </c>
      <c r="G22983">
        <v>16939942</v>
      </c>
      <c r="H22983">
        <v>13565686</v>
      </c>
      <c r="I22983">
        <v>9785020</v>
      </c>
      <c r="J22983">
        <v>3</v>
      </c>
    </row>
    <row r="22984" spans="1:10" x14ac:dyDescent="0.25">
      <c r="A22984" t="s">
        <v>1639</v>
      </c>
      <c r="B22984" s="1" t="str">
        <f>HYPERLINK("http://hereapi.cn","hereapi.cn")</f>
        <v>hereapi.cn</v>
      </c>
      <c r="C22984" t="s">
        <v>431</v>
      </c>
      <c r="D22984" t="s">
        <v>812</v>
      </c>
      <c r="F22984">
        <v>1.28802187748897E-8</v>
      </c>
      <c r="G22984">
        <v>4688921</v>
      </c>
      <c r="H22984">
        <v>12507417</v>
      </c>
      <c r="I22984">
        <v>17271109</v>
      </c>
      <c r="J22984">
        <v>6</v>
      </c>
    </row>
    <row r="22985" spans="1:10" x14ac:dyDescent="0.25">
      <c r="A22985" t="s">
        <v>1639</v>
      </c>
      <c r="B22985" s="1" t="str">
        <f>HYPERLINK("http://hereolp.cn","hereolp.cn")</f>
        <v>hereolp.cn</v>
      </c>
      <c r="C22985" t="s">
        <v>431</v>
      </c>
      <c r="D22985" t="s">
        <v>812</v>
      </c>
      <c r="F22985">
        <v>8.4837489786960802E-9</v>
      </c>
      <c r="G22985">
        <v>8876470</v>
      </c>
      <c r="H22985">
        <v>12507411</v>
      </c>
      <c r="I22985">
        <v>17271197</v>
      </c>
      <c r="J22985">
        <v>6</v>
      </c>
    </row>
    <row r="22986" spans="1:10" x14ac:dyDescent="0.25">
      <c r="A22986" t="s">
        <v>1639</v>
      </c>
      <c r="B22986" s="1" t="str">
        <f>HYPERLINK("http://smart.cn","smart.cn")</f>
        <v>smart.cn</v>
      </c>
      <c r="C22986" t="s">
        <v>431</v>
      </c>
      <c r="D22986" t="s">
        <v>812</v>
      </c>
      <c r="E22986">
        <v>635948</v>
      </c>
      <c r="F22986">
        <v>2.6384100502165099E-8</v>
      </c>
      <c r="G22986">
        <v>1951575</v>
      </c>
      <c r="H22986">
        <v>12350635</v>
      </c>
      <c r="I22986">
        <v>19756876</v>
      </c>
      <c r="J22986">
        <v>4</v>
      </c>
    </row>
    <row r="22987" spans="1:10" x14ac:dyDescent="0.25">
      <c r="A22987" t="s">
        <v>1639</v>
      </c>
      <c r="B22987" s="1" t="str">
        <f>HYPERLINK("http://daimler.com.co","daimler.com.co")</f>
        <v>daimler.com.co</v>
      </c>
      <c r="C22987" t="s">
        <v>432</v>
      </c>
      <c r="F22987">
        <v>9.1754452545352807E-9</v>
      </c>
      <c r="G22987">
        <v>7742932</v>
      </c>
      <c r="H22987">
        <v>13123091</v>
      </c>
      <c r="I22987">
        <v>11980962</v>
      </c>
      <c r="J22987">
        <v>4</v>
      </c>
    </row>
    <row r="22988" spans="1:10" x14ac:dyDescent="0.25">
      <c r="A22988" t="s">
        <v>1639</v>
      </c>
      <c r="B22988" s="1" t="str">
        <f>HYPERLINK("http://allianceparts.com","allianceparts.com")</f>
        <v>allianceparts.com</v>
      </c>
      <c r="C22988" t="s">
        <v>433</v>
      </c>
      <c r="F22988">
        <v>5.4497388212004597E-8</v>
      </c>
      <c r="G22988">
        <v>827944</v>
      </c>
      <c r="H22988">
        <v>13291665</v>
      </c>
      <c r="I22988">
        <v>10871648</v>
      </c>
      <c r="J22988">
        <v>5</v>
      </c>
    </row>
    <row r="22989" spans="1:10" x14ac:dyDescent="0.25">
      <c r="A22989" t="s">
        <v>1639</v>
      </c>
      <c r="B22989" s="1" t="str">
        <f>HYPERLINK("http://alltime-stars.com","alltime-stars.com")</f>
        <v>alltime-stars.com</v>
      </c>
      <c r="C22989" t="s">
        <v>433</v>
      </c>
      <c r="F22989">
        <v>2.1963197408183099E-8</v>
      </c>
      <c r="G22989">
        <v>2390580</v>
      </c>
      <c r="H22989">
        <v>12980503</v>
      </c>
      <c r="I22989">
        <v>12981591</v>
      </c>
      <c r="J22989">
        <v>3</v>
      </c>
    </row>
    <row r="22990" spans="1:10" x14ac:dyDescent="0.25">
      <c r="A22990" t="s">
        <v>1639</v>
      </c>
      <c r="B22990" s="1" t="str">
        <f>HYPERLINK("http://athlon.com","athlon.com")</f>
        <v>athlon.com</v>
      </c>
      <c r="C22990" t="s">
        <v>433</v>
      </c>
      <c r="E22990">
        <v>245147</v>
      </c>
      <c r="F22990">
        <v>1.88862921047633E-7</v>
      </c>
      <c r="G22990">
        <v>204030</v>
      </c>
      <c r="H22990">
        <v>14486128</v>
      </c>
      <c r="I22990">
        <v>973208</v>
      </c>
      <c r="J22990">
        <v>3</v>
      </c>
    </row>
    <row r="22991" spans="1:10" x14ac:dyDescent="0.25">
      <c r="A22991" t="s">
        <v>1639</v>
      </c>
      <c r="B22991" s="1" t="str">
        <f>HYPERLINK("http://athloncarlease.com","athloncarlease.com")</f>
        <v>athloncarlease.com</v>
      </c>
      <c r="C22991" t="s">
        <v>433</v>
      </c>
      <c r="F22991">
        <v>1.7805332146196401E-8</v>
      </c>
      <c r="G22991">
        <v>3073721</v>
      </c>
      <c r="H22991">
        <v>14499085</v>
      </c>
      <c r="I22991">
        <v>858732</v>
      </c>
      <c r="J22991">
        <v>3</v>
      </c>
    </row>
    <row r="22992" spans="1:10" x14ac:dyDescent="0.25">
      <c r="A22992" t="s">
        <v>1639</v>
      </c>
      <c r="B22992" s="1" t="str">
        <f>HYPERLINK("http://bharatbenz.com","bharatbenz.com")</f>
        <v>bharatbenz.com</v>
      </c>
      <c r="C22992" t="s">
        <v>433</v>
      </c>
      <c r="F22992">
        <v>3.3991250014385501E-8</v>
      </c>
      <c r="G22992">
        <v>1523315</v>
      </c>
      <c r="H22992">
        <v>14419583</v>
      </c>
      <c r="I22992">
        <v>1091428</v>
      </c>
      <c r="J22992">
        <v>3</v>
      </c>
    </row>
    <row r="22993" spans="1:10" x14ac:dyDescent="0.25">
      <c r="A22993" t="s">
        <v>1639</v>
      </c>
      <c r="B22993" s="1" t="str">
        <f>HYPERLINK("http://chauffeur-prive.com","chauffeur-prive.com")</f>
        <v>chauffeur-prive.com</v>
      </c>
      <c r="C22993" t="s">
        <v>433</v>
      </c>
      <c r="F22993">
        <v>7.2775142923533297E-8</v>
      </c>
      <c r="G22993">
        <v>579654</v>
      </c>
      <c r="H22993">
        <v>14055483</v>
      </c>
      <c r="I22993">
        <v>3890445</v>
      </c>
      <c r="J22993">
        <v>4</v>
      </c>
    </row>
    <row r="22994" spans="1:10" x14ac:dyDescent="0.25">
      <c r="A22994" t="s">
        <v>1639</v>
      </c>
      <c r="B22994" s="1" t="str">
        <f>HYPERLINK("http://daimler.com","daimler.com")</f>
        <v>daimler.com</v>
      </c>
      <c r="C22994" t="s">
        <v>433</v>
      </c>
      <c r="E22994">
        <v>4233</v>
      </c>
      <c r="F22994">
        <v>2.9216781815406301E-6</v>
      </c>
      <c r="G22994">
        <v>13240</v>
      </c>
      <c r="H22994">
        <v>17757106</v>
      </c>
      <c r="I22994">
        <v>6246</v>
      </c>
      <c r="J22994">
        <v>1</v>
      </c>
    </row>
    <row r="22995" spans="1:10" x14ac:dyDescent="0.25">
      <c r="A22995" t="s">
        <v>1639</v>
      </c>
      <c r="B22995" s="1" t="str">
        <f>HYPERLINK("http://daimler-financialservices.com","daimler-financialservices.com")</f>
        <v>daimler-financialservices.com</v>
      </c>
      <c r="C22995" t="s">
        <v>433</v>
      </c>
      <c r="F22995">
        <v>1.17369031531602E-7</v>
      </c>
      <c r="G22995">
        <v>338542</v>
      </c>
      <c r="H22995">
        <v>14404870</v>
      </c>
      <c r="I22995">
        <v>1149841</v>
      </c>
      <c r="J22995">
        <v>3</v>
      </c>
    </row>
    <row r="22996" spans="1:10" x14ac:dyDescent="0.25">
      <c r="A22996" t="s">
        <v>1639</v>
      </c>
      <c r="B22996" s="1" t="str">
        <f>HYPERLINK("http://daimler-fleetmanagement.com","daimler-fleetmanagement.com")</f>
        <v>daimler-fleetmanagement.com</v>
      </c>
      <c r="C22996" t="s">
        <v>433</v>
      </c>
      <c r="F22996">
        <v>4.8568010931238498E-9</v>
      </c>
      <c r="G22996">
        <v>33915961</v>
      </c>
      <c r="H22996">
        <v>11109524</v>
      </c>
      <c r="I22996">
        <v>32165576</v>
      </c>
      <c r="J22996">
        <v>3</v>
      </c>
    </row>
    <row r="22997" spans="1:10" x14ac:dyDescent="0.25">
      <c r="A22997" t="s">
        <v>1639</v>
      </c>
      <c r="B22997" s="1" t="str">
        <f>HYPERLINK("http://daimler-indiacv.com","daimler-indiacv.com")</f>
        <v>daimler-indiacv.com</v>
      </c>
      <c r="C22997" t="s">
        <v>433</v>
      </c>
      <c r="F22997">
        <v>8.4922908792145701E-9</v>
      </c>
      <c r="G22997">
        <v>8860099</v>
      </c>
      <c r="H22997">
        <v>12265590</v>
      </c>
      <c r="I22997">
        <v>21624575</v>
      </c>
      <c r="J22997">
        <v>3</v>
      </c>
    </row>
    <row r="22998" spans="1:10" x14ac:dyDescent="0.25">
      <c r="A22998" t="s">
        <v>1639</v>
      </c>
      <c r="B22998" s="1" t="str">
        <f>HYPERLINK("http://daimler-mobility.com","daimler-mobility.com")</f>
        <v>daimler-mobility.com</v>
      </c>
      <c r="C22998" t="s">
        <v>433</v>
      </c>
      <c r="F22998">
        <v>6.6808804463941998E-8</v>
      </c>
      <c r="G22998">
        <v>640740</v>
      </c>
      <c r="H22998">
        <v>14197062</v>
      </c>
      <c r="I22998">
        <v>1732190</v>
      </c>
      <c r="J22998">
        <v>3</v>
      </c>
    </row>
    <row r="22999" spans="1:10" x14ac:dyDescent="0.25">
      <c r="A22999" t="s">
        <v>1639</v>
      </c>
      <c r="B22999" s="1" t="str">
        <f>HYPERLINK("http://daimler-protics.com","daimler-protics.com")</f>
        <v>daimler-protics.com</v>
      </c>
      <c r="C22999" t="s">
        <v>433</v>
      </c>
      <c r="F22999">
        <v>1.63474843427359E-8</v>
      </c>
      <c r="G22999">
        <v>3459168</v>
      </c>
      <c r="H22999">
        <v>13390199</v>
      </c>
      <c r="I22999">
        <v>10391484</v>
      </c>
      <c r="J22999">
        <v>3</v>
      </c>
    </row>
    <row r="23000" spans="1:10" x14ac:dyDescent="0.25">
      <c r="A23000" t="s">
        <v>1639</v>
      </c>
      <c r="B23000" s="1" t="str">
        <f>HYPERLINK("http://daimler-trucksnorthamerica.com","daimler-trucksnorthamerica.com")</f>
        <v>daimler-trucksnorthamerica.com</v>
      </c>
      <c r="C23000" t="s">
        <v>433</v>
      </c>
      <c r="E23000">
        <v>214268</v>
      </c>
      <c r="F23000">
        <v>2.2260890743841399E-7</v>
      </c>
      <c r="G23000">
        <v>169311</v>
      </c>
      <c r="H23000">
        <v>14694001</v>
      </c>
      <c r="I23000">
        <v>600412</v>
      </c>
      <c r="J23000">
        <v>3</v>
      </c>
    </row>
    <row r="23001" spans="1:10" x14ac:dyDescent="0.25">
      <c r="A23001" t="s">
        <v>1639</v>
      </c>
      <c r="B23001" s="1" t="str">
        <f>HYPERLINK("http://daimler-tss.com","daimler-tss.com")</f>
        <v>daimler-tss.com</v>
      </c>
      <c r="C23001" t="s">
        <v>433</v>
      </c>
      <c r="F23001">
        <v>2.2398331025499599E-8</v>
      </c>
      <c r="G23001">
        <v>2339888</v>
      </c>
      <c r="H23001">
        <v>13582434</v>
      </c>
      <c r="I23001">
        <v>9683893</v>
      </c>
      <c r="J23001">
        <v>6</v>
      </c>
    </row>
    <row r="23002" spans="1:10" x14ac:dyDescent="0.25">
      <c r="A23002" t="s">
        <v>1639</v>
      </c>
      <c r="B23002" s="1" t="str">
        <f>HYPERLINK("http://daimlercareer.com","daimlercareer.com")</f>
        <v>daimlercareer.com</v>
      </c>
      <c r="C23002" t="s">
        <v>433</v>
      </c>
      <c r="F23002">
        <v>4.4438280024404001E-9</v>
      </c>
      <c r="G23002">
        <v>79060850</v>
      </c>
      <c r="H23002">
        <v>10343855</v>
      </c>
      <c r="I23002">
        <v>57603673</v>
      </c>
      <c r="J23002">
        <v>3</v>
      </c>
    </row>
    <row r="23003" spans="1:10" x14ac:dyDescent="0.25">
      <c r="A23003" t="s">
        <v>1639</v>
      </c>
      <c r="B23003" s="1" t="str">
        <f>HYPERLINK("http://daimlertruck.com","daimlertruck.com")</f>
        <v>daimlertruck.com</v>
      </c>
      <c r="C23003" t="s">
        <v>433</v>
      </c>
      <c r="E23003">
        <v>111824</v>
      </c>
      <c r="F23003">
        <v>6.22544324724984E-7</v>
      </c>
      <c r="G23003">
        <v>61548</v>
      </c>
      <c r="H23003">
        <v>14880585</v>
      </c>
      <c r="I23003">
        <v>472480</v>
      </c>
      <c r="J23003">
        <v>3</v>
      </c>
    </row>
    <row r="23004" spans="1:10" x14ac:dyDescent="0.25">
      <c r="A23004" t="s">
        <v>1639</v>
      </c>
      <c r="B23004" s="1" t="str">
        <f>HYPERLINK("http://demanddetroit.com","demanddetroit.com")</f>
        <v>demanddetroit.com</v>
      </c>
      <c r="C23004" t="s">
        <v>433</v>
      </c>
      <c r="E23004">
        <v>379394</v>
      </c>
      <c r="F23004">
        <v>1.2759324400784499E-7</v>
      </c>
      <c r="G23004">
        <v>307749</v>
      </c>
      <c r="H23004">
        <v>14111617</v>
      </c>
      <c r="I23004">
        <v>2672095</v>
      </c>
      <c r="J23004">
        <v>3</v>
      </c>
    </row>
    <row r="23005" spans="1:10" x14ac:dyDescent="0.25">
      <c r="A23005" t="s">
        <v>1639</v>
      </c>
      <c r="B23005" s="1" t="str">
        <f>HYPERLINK("http://demler.com","demler.com")</f>
        <v>demler.com</v>
      </c>
      <c r="C23005" t="s">
        <v>433</v>
      </c>
      <c r="J23005">
        <v>3</v>
      </c>
    </row>
    <row r="23006" spans="1:10" x14ac:dyDescent="0.25">
      <c r="A23006" t="s">
        <v>1639</v>
      </c>
      <c r="B23006" s="1" t="str">
        <f>HYPERLINK("http://denza.com","denza.com")</f>
        <v>denza.com</v>
      </c>
      <c r="C23006" t="s">
        <v>433</v>
      </c>
      <c r="F23006">
        <v>5.3633910146657998E-8</v>
      </c>
      <c r="G23006">
        <v>847872</v>
      </c>
      <c r="H23006">
        <v>14377549</v>
      </c>
      <c r="I23006">
        <v>1209383</v>
      </c>
      <c r="J23006">
        <v>4</v>
      </c>
    </row>
    <row r="23007" spans="1:10" x14ac:dyDescent="0.25">
      <c r="A23007" t="s">
        <v>1639</v>
      </c>
      <c r="B23007" s="1" t="str">
        <f>HYPERLINK("http://detroitdiesel.com","detroitdiesel.com")</f>
        <v>detroitdiesel.com</v>
      </c>
      <c r="C23007" t="s">
        <v>433</v>
      </c>
      <c r="E23007">
        <v>852552</v>
      </c>
      <c r="F23007">
        <v>2.6922840323153499E-8</v>
      </c>
      <c r="G23007">
        <v>1910506</v>
      </c>
      <c r="H23007">
        <v>14451195</v>
      </c>
      <c r="I23007">
        <v>1052716</v>
      </c>
      <c r="J23007">
        <v>4</v>
      </c>
    </row>
    <row r="23008" spans="1:10" x14ac:dyDescent="0.25">
      <c r="A23008" t="s">
        <v>1639</v>
      </c>
      <c r="B23008" s="1" t="str">
        <f>HYPERLINK("http://evobus.com","evobus.com")</f>
        <v>evobus.com</v>
      </c>
      <c r="C23008" t="s">
        <v>433</v>
      </c>
      <c r="E23008">
        <v>578134</v>
      </c>
      <c r="F23008">
        <v>1.53491074836284E-7</v>
      </c>
      <c r="G23008">
        <v>253067</v>
      </c>
      <c r="H23008">
        <v>14573346</v>
      </c>
      <c r="I23008">
        <v>732534</v>
      </c>
      <c r="J23008">
        <v>3</v>
      </c>
    </row>
    <row r="23009" spans="1:10" x14ac:dyDescent="0.25">
      <c r="A23009" t="s">
        <v>1639</v>
      </c>
      <c r="B23009" s="1" t="str">
        <f>HYPERLINK("http://free-now.com","free-now.com")</f>
        <v>free-now.com</v>
      </c>
      <c r="C23009" t="s">
        <v>433</v>
      </c>
      <c r="E23009">
        <v>62345</v>
      </c>
      <c r="F23009">
        <v>7.9097199438293701E-7</v>
      </c>
      <c r="G23009">
        <v>49668</v>
      </c>
      <c r="H23009">
        <v>17328210</v>
      </c>
      <c r="I23009">
        <v>25062</v>
      </c>
      <c r="J23009">
        <v>3</v>
      </c>
    </row>
    <row r="23010" spans="1:10" x14ac:dyDescent="0.25">
      <c r="A23010" t="s">
        <v>1639</v>
      </c>
      <c r="B23010" s="1" t="str">
        <f>HYPERLINK("http://freightliner.com","freightliner.com")</f>
        <v>freightliner.com</v>
      </c>
      <c r="C23010" t="s">
        <v>433</v>
      </c>
      <c r="E23010">
        <v>50698</v>
      </c>
      <c r="F23010">
        <v>3.0719074539021197E-7</v>
      </c>
      <c r="G23010">
        <v>121033</v>
      </c>
      <c r="H23010">
        <v>15086752</v>
      </c>
      <c r="I23010">
        <v>408536</v>
      </c>
      <c r="J23010">
        <v>5</v>
      </c>
    </row>
    <row r="23011" spans="1:10" x14ac:dyDescent="0.25">
      <c r="A23011" t="s">
        <v>1639</v>
      </c>
      <c r="B23011" s="1" t="str">
        <f>HYPERLINK("http://freightlinersprinterusa.com","freightlinersprinterusa.com")</f>
        <v>freightlinersprinterusa.com</v>
      </c>
      <c r="C23011" t="s">
        <v>433</v>
      </c>
      <c r="F23011">
        <v>5.9486078038801401E-8</v>
      </c>
      <c r="G23011">
        <v>743065</v>
      </c>
      <c r="H23011">
        <v>14127107</v>
      </c>
      <c r="I23011">
        <v>2088754</v>
      </c>
      <c r="J23011">
        <v>3</v>
      </c>
    </row>
    <row r="23012" spans="1:10" x14ac:dyDescent="0.25">
      <c r="A23012" t="s">
        <v>1639</v>
      </c>
      <c r="B23012" s="1" t="str">
        <f>HYPERLINK("http://freightlinertrucks.com","freightlinertrucks.com")</f>
        <v>freightlinertrucks.com</v>
      </c>
      <c r="C23012" t="s">
        <v>433</v>
      </c>
      <c r="E23012">
        <v>662996</v>
      </c>
      <c r="F23012">
        <v>8.7567099528058995E-8</v>
      </c>
      <c r="G23012">
        <v>468486</v>
      </c>
      <c r="H23012">
        <v>14523338</v>
      </c>
      <c r="I23012">
        <v>799184</v>
      </c>
      <c r="J23012">
        <v>3</v>
      </c>
    </row>
    <row r="23013" spans="1:10" x14ac:dyDescent="0.25">
      <c r="A23013" t="s">
        <v>1639</v>
      </c>
      <c r="B23013" s="1" t="str">
        <f>HYPERLINK("http://fujianbenz.com","fujianbenz.com")</f>
        <v>fujianbenz.com</v>
      </c>
      <c r="C23013" t="s">
        <v>433</v>
      </c>
      <c r="E23013">
        <v>611498</v>
      </c>
      <c r="F23013">
        <v>2.1121633884686799E-8</v>
      </c>
      <c r="G23013">
        <v>2499819</v>
      </c>
      <c r="H23013">
        <v>10664896</v>
      </c>
      <c r="I23013">
        <v>43155276</v>
      </c>
      <c r="J23013">
        <v>3</v>
      </c>
    </row>
    <row r="23014" spans="1:10" x14ac:dyDescent="0.25">
      <c r="A23014" t="s">
        <v>1639</v>
      </c>
      <c r="B23014" s="1" t="str">
        <f>HYPERLINK("http://here.com","here.com")</f>
        <v>here.com</v>
      </c>
      <c r="C23014" t="s">
        <v>433</v>
      </c>
      <c r="E23014">
        <v>1110</v>
      </c>
      <c r="F23014">
        <v>1.64259381402968E-5</v>
      </c>
      <c r="G23014">
        <v>2041</v>
      </c>
      <c r="H23014">
        <v>18009870</v>
      </c>
      <c r="I23014">
        <v>3621</v>
      </c>
      <c r="J23014">
        <v>4</v>
      </c>
    </row>
    <row r="23015" spans="1:10" x14ac:dyDescent="0.25">
      <c r="A23015" t="s">
        <v>1639</v>
      </c>
      <c r="B23015" s="1" t="str">
        <f>HYPERLINK("http://hereapi.com","hereapi.com")</f>
        <v>hereapi.com</v>
      </c>
      <c r="C23015" t="s">
        <v>433</v>
      </c>
      <c r="E23015">
        <v>3588</v>
      </c>
      <c r="F23015">
        <v>2.0047451313632901E-7</v>
      </c>
      <c r="G23015">
        <v>190007</v>
      </c>
      <c r="H23015">
        <v>13717916</v>
      </c>
      <c r="I23015">
        <v>9488220</v>
      </c>
      <c r="J23015">
        <v>6</v>
      </c>
    </row>
    <row r="23016" spans="1:10" x14ac:dyDescent="0.25">
      <c r="A23016" t="s">
        <v>1639</v>
      </c>
      <c r="B23016" s="1" t="str">
        <f>HYPERLINK("http://herepromoshop.com","herepromoshop.com")</f>
        <v>herepromoshop.com</v>
      </c>
      <c r="C23016" t="s">
        <v>433</v>
      </c>
      <c r="J23016">
        <v>6</v>
      </c>
    </row>
    <row r="23017" spans="1:10" x14ac:dyDescent="0.25">
      <c r="A23017" t="s">
        <v>1639</v>
      </c>
      <c r="B23017" s="1" t="str">
        <f>HYPERLINK("http://hwaag.com","hwaag.com")</f>
        <v>hwaag.com</v>
      </c>
      <c r="C23017" t="s">
        <v>433</v>
      </c>
      <c r="F23017">
        <v>3.1029972761893098E-8</v>
      </c>
      <c r="G23017">
        <v>1660869</v>
      </c>
      <c r="H23017">
        <v>14126309</v>
      </c>
      <c r="I23017">
        <v>2102405</v>
      </c>
      <c r="J23017">
        <v>4</v>
      </c>
    </row>
    <row r="23018" spans="1:10" x14ac:dyDescent="0.25">
      <c r="A23018" t="s">
        <v>1639</v>
      </c>
      <c r="B23018" s="1" t="str">
        <f>HYPERLINK("http://kapten.com","kapten.com")</f>
        <v>kapten.com</v>
      </c>
      <c r="C23018" t="s">
        <v>433</v>
      </c>
      <c r="F23018">
        <v>4.73256656643745E-8</v>
      </c>
      <c r="G23018">
        <v>984763</v>
      </c>
      <c r="H23018">
        <v>14103393</v>
      </c>
      <c r="I23018">
        <v>2696139</v>
      </c>
      <c r="J23018">
        <v>6</v>
      </c>
    </row>
    <row r="23019" spans="1:10" x14ac:dyDescent="0.25">
      <c r="A23019" t="s">
        <v>1639</v>
      </c>
      <c r="B23019" s="1" t="str">
        <f>HYPERLINK("http://mb-manhattan.com","mb-manhattan.com")</f>
        <v>mb-manhattan.com</v>
      </c>
      <c r="C23019" t="s">
        <v>433</v>
      </c>
      <c r="F23019">
        <v>4.73136395941433E-9</v>
      </c>
      <c r="G23019">
        <v>39275826</v>
      </c>
      <c r="H23019">
        <v>12126454</v>
      </c>
      <c r="I23019">
        <v>25244594</v>
      </c>
      <c r="J23019">
        <v>3</v>
      </c>
    </row>
    <row r="23020" spans="1:10" x14ac:dyDescent="0.25">
      <c r="A23020" t="s">
        <v>1639</v>
      </c>
      <c r="B23020" s="1" t="str">
        <f>HYPERLINK("http://mbfs.com","mbfs.com")</f>
        <v>mbfs.com</v>
      </c>
      <c r="C23020" t="s">
        <v>433</v>
      </c>
      <c r="E23020">
        <v>185099</v>
      </c>
      <c r="F23020">
        <v>8.6083159501821095E-8</v>
      </c>
      <c r="G23020">
        <v>477995</v>
      </c>
      <c r="H23020">
        <v>14269164</v>
      </c>
      <c r="I23020">
        <v>1402349</v>
      </c>
      <c r="J23020">
        <v>3</v>
      </c>
    </row>
    <row r="23021" spans="1:10" x14ac:dyDescent="0.25">
      <c r="A23021" t="s">
        <v>1639</v>
      </c>
      <c r="B23021" s="1" t="str">
        <f>HYPERLINK("http://mbrdna.com","mbrdna.com")</f>
        <v>mbrdna.com</v>
      </c>
      <c r="C23021" t="s">
        <v>433</v>
      </c>
      <c r="F23021">
        <v>1.2030508172321599E-7</v>
      </c>
      <c r="G23021">
        <v>328497</v>
      </c>
      <c r="H23021">
        <v>14199660</v>
      </c>
      <c r="I23021">
        <v>1725351</v>
      </c>
      <c r="J23021">
        <v>3</v>
      </c>
    </row>
    <row r="23022" spans="1:10" x14ac:dyDescent="0.25">
      <c r="A23022" t="s">
        <v>1639</v>
      </c>
      <c r="B23022" s="1" t="str">
        <f>HYPERLINK("http://mbusa.com","mbusa.com")</f>
        <v>mbusa.com</v>
      </c>
      <c r="C23022" t="s">
        <v>433</v>
      </c>
      <c r="E23022">
        <v>14302</v>
      </c>
      <c r="F23022">
        <v>1.6077173749712101E-6</v>
      </c>
      <c r="G23022">
        <v>24491</v>
      </c>
      <c r="H23022">
        <v>15742244</v>
      </c>
      <c r="I23022">
        <v>369033</v>
      </c>
      <c r="J23022">
        <v>3</v>
      </c>
    </row>
    <row r="23023" spans="1:10" x14ac:dyDescent="0.25">
      <c r="A23023" t="s">
        <v>1639</v>
      </c>
      <c r="B23023" s="1" t="str">
        <f>HYPERLINK("http://mbusi.com","mbusi.com")</f>
        <v>mbusi.com</v>
      </c>
      <c r="C23023" t="s">
        <v>433</v>
      </c>
      <c r="E23023">
        <v>954214</v>
      </c>
      <c r="F23023">
        <v>5.4437694420670002E-8</v>
      </c>
      <c r="G23023">
        <v>829121</v>
      </c>
      <c r="H23023">
        <v>14945850</v>
      </c>
      <c r="I23023">
        <v>441877</v>
      </c>
      <c r="J23023">
        <v>3</v>
      </c>
    </row>
    <row r="23024" spans="1:10" x14ac:dyDescent="0.25">
      <c r="A23024" t="s">
        <v>1639</v>
      </c>
      <c r="B23024" s="1" t="str">
        <f>HYPERLINK("http://mbvans.com","mbvans.com")</f>
        <v>mbvans.com</v>
      </c>
      <c r="C23024" t="s">
        <v>433</v>
      </c>
      <c r="E23024">
        <v>207757</v>
      </c>
      <c r="F23024">
        <v>2.04830745386647E-7</v>
      </c>
      <c r="G23024">
        <v>185469</v>
      </c>
      <c r="H23024">
        <v>14459277</v>
      </c>
      <c r="I23024">
        <v>1047744</v>
      </c>
      <c r="J23024">
        <v>3</v>
      </c>
    </row>
    <row r="23025" spans="1:10" x14ac:dyDescent="0.25">
      <c r="A23025" t="s">
        <v>1639</v>
      </c>
      <c r="B23025" s="1" t="str">
        <f>HYPERLINK("http://mbvcharleston.com","mbvcharleston.com")</f>
        <v>mbvcharleston.com</v>
      </c>
      <c r="C23025" t="s">
        <v>433</v>
      </c>
      <c r="F23025">
        <v>1.8341062319638201E-8</v>
      </c>
      <c r="G23025">
        <v>2959514</v>
      </c>
      <c r="H23025">
        <v>12745333</v>
      </c>
      <c r="I23025">
        <v>15089377</v>
      </c>
      <c r="J23025">
        <v>3</v>
      </c>
    </row>
    <row r="23026" spans="1:10" x14ac:dyDescent="0.25">
      <c r="A23026" t="s">
        <v>1639</v>
      </c>
      <c r="B23026" s="1" t="str">
        <f>HYPERLINK("http://mercedes-amg.com","mercedes-amg.com")</f>
        <v>mercedes-amg.com</v>
      </c>
      <c r="C23026" t="s">
        <v>433</v>
      </c>
      <c r="E23026">
        <v>79582</v>
      </c>
      <c r="F23026">
        <v>4.43094865215681E-7</v>
      </c>
      <c r="G23026">
        <v>85128</v>
      </c>
      <c r="H23026">
        <v>15353209</v>
      </c>
      <c r="I23026">
        <v>382637</v>
      </c>
      <c r="J23026">
        <v>3</v>
      </c>
    </row>
    <row r="23027" spans="1:10" x14ac:dyDescent="0.25">
      <c r="A23027" t="s">
        <v>1639</v>
      </c>
      <c r="B23027" s="1" t="str">
        <f>HYPERLINK("http://mercedes-amg-hpp.com","mercedes-amg-hpp.com")</f>
        <v>mercedes-amg-hpp.com</v>
      </c>
      <c r="C23027" t="s">
        <v>433</v>
      </c>
      <c r="F23027">
        <v>1.9315506844642399E-8</v>
      </c>
      <c r="G23027">
        <v>2779633</v>
      </c>
      <c r="H23027">
        <v>14421285</v>
      </c>
      <c r="I23027">
        <v>1087794</v>
      </c>
      <c r="J23027">
        <v>3</v>
      </c>
    </row>
    <row r="23028" spans="1:10" x14ac:dyDescent="0.25">
      <c r="A23028" t="s">
        <v>1639</v>
      </c>
      <c r="B23028" s="1" t="str">
        <f>HYPERLINK("http://mercedes-benz.com","mercedes-benz.com")</f>
        <v>mercedes-benz.com</v>
      </c>
      <c r="C23028" t="s">
        <v>433</v>
      </c>
      <c r="E23028">
        <v>4413</v>
      </c>
      <c r="F23028">
        <v>6.0792906215711104E-6</v>
      </c>
      <c r="G23028">
        <v>5664</v>
      </c>
      <c r="H23028">
        <v>17787158</v>
      </c>
      <c r="I23028">
        <v>5783</v>
      </c>
      <c r="J23028">
        <v>2</v>
      </c>
    </row>
    <row r="23029" spans="1:10" x14ac:dyDescent="0.25">
      <c r="A23029" t="s">
        <v>1639</v>
      </c>
      <c r="B23029" s="1" t="str">
        <f>HYPERLINK("http://mercedes-benz-bus.com","mercedes-benz-bus.com")</f>
        <v>mercedes-benz-bus.com</v>
      </c>
      <c r="C23029" t="s">
        <v>433</v>
      </c>
      <c r="E23029">
        <v>506220</v>
      </c>
      <c r="F23029">
        <v>1.31651625480967E-7</v>
      </c>
      <c r="G23029">
        <v>296976</v>
      </c>
      <c r="H23029">
        <v>14452999</v>
      </c>
      <c r="I23029">
        <v>1051421</v>
      </c>
      <c r="J23029">
        <v>3</v>
      </c>
    </row>
    <row r="23030" spans="1:10" x14ac:dyDescent="0.25">
      <c r="A23030" t="s">
        <v>1639</v>
      </c>
      <c r="B23030" s="1" t="str">
        <f>HYPERLINK("http://mercedes-benz-classic.com","mercedes-benz-classic.com")</f>
        <v>mercedes-benz-classic.com</v>
      </c>
      <c r="C23030" t="s">
        <v>433</v>
      </c>
      <c r="E23030">
        <v>456245</v>
      </c>
      <c r="F23030">
        <v>1.02585294694068E-7</v>
      </c>
      <c r="G23030">
        <v>391363</v>
      </c>
      <c r="H23030">
        <v>15040297</v>
      </c>
      <c r="I23030">
        <v>416502</v>
      </c>
      <c r="J23030">
        <v>3</v>
      </c>
    </row>
    <row r="23031" spans="1:10" x14ac:dyDescent="0.25">
      <c r="A23031" t="s">
        <v>1639</v>
      </c>
      <c r="B23031" s="1" t="str">
        <f>HYPERLINK("http://mercedes-benz-energy.com","mercedes-benz-energy.com")</f>
        <v>mercedes-benz-energy.com</v>
      </c>
      <c r="C23031" t="s">
        <v>433</v>
      </c>
      <c r="F23031">
        <v>9.3761426575344696E-9</v>
      </c>
      <c r="G23031">
        <v>7475526</v>
      </c>
      <c r="H23031">
        <v>12955942</v>
      </c>
      <c r="I23031">
        <v>13185318</v>
      </c>
      <c r="J23031">
        <v>3</v>
      </c>
    </row>
    <row r="23032" spans="1:10" x14ac:dyDescent="0.25">
      <c r="A23032" t="s">
        <v>1639</v>
      </c>
      <c r="B23032" s="1" t="str">
        <f>HYPERLINK("http://mercedes-benz-finansalhizmetler.com","mercedes-benz-finansalhizmetler.com")</f>
        <v>mercedes-benz-finansalhizmetler.com</v>
      </c>
      <c r="C23032" t="s">
        <v>433</v>
      </c>
      <c r="F23032">
        <v>1.1630424285002499E-8</v>
      </c>
      <c r="G23032">
        <v>5412585</v>
      </c>
      <c r="H23032">
        <v>11630160</v>
      </c>
      <c r="I23032">
        <v>29898703</v>
      </c>
      <c r="J23032">
        <v>3</v>
      </c>
    </row>
    <row r="23033" spans="1:10" x14ac:dyDescent="0.25">
      <c r="A23033" t="s">
        <v>1639</v>
      </c>
      <c r="B23033" s="1" t="str">
        <f>HYPERLINK("http://mercedes-benz-mobility.com","mercedes-benz-mobility.com")</f>
        <v>mercedes-benz-mobility.com</v>
      </c>
      <c r="C23033" t="s">
        <v>433</v>
      </c>
      <c r="E23033">
        <v>888350</v>
      </c>
      <c r="F23033">
        <v>1.7635309249252399E-7</v>
      </c>
      <c r="G23033">
        <v>219543</v>
      </c>
      <c r="H23033">
        <v>13568687</v>
      </c>
      <c r="I23033">
        <v>9734570</v>
      </c>
      <c r="J23033">
        <v>3</v>
      </c>
    </row>
    <row r="23034" spans="1:10" x14ac:dyDescent="0.25">
      <c r="A23034" t="s">
        <v>1639</v>
      </c>
      <c r="B23034" s="1" t="str">
        <f>HYPERLINK("http://mercedesamgf1.com","mercedesamgf1.com")</f>
        <v>mercedesamgf1.com</v>
      </c>
      <c r="C23034" t="s">
        <v>433</v>
      </c>
      <c r="E23034">
        <v>62007</v>
      </c>
      <c r="F23034">
        <v>3.9673922670720998E-7</v>
      </c>
      <c r="G23034">
        <v>94592</v>
      </c>
      <c r="H23034">
        <v>15394700</v>
      </c>
      <c r="I23034">
        <v>380492</v>
      </c>
      <c r="J23034">
        <v>3</v>
      </c>
    </row>
    <row r="23035" spans="1:10" x14ac:dyDescent="0.25">
      <c r="A23035" t="s">
        <v>1639</v>
      </c>
      <c r="B23035" s="1" t="str">
        <f>HYPERLINK("http://mercedesbenzme.com","mercedesbenzme.com")</f>
        <v>mercedesbenzme.com</v>
      </c>
      <c r="C23035" t="s">
        <v>433</v>
      </c>
      <c r="F23035">
        <v>1.8672824242350401E-8</v>
      </c>
      <c r="G23035">
        <v>2894218</v>
      </c>
      <c r="H23035">
        <v>13767331</v>
      </c>
      <c r="I23035">
        <v>6940352</v>
      </c>
      <c r="J23035">
        <v>3</v>
      </c>
    </row>
    <row r="23036" spans="1:10" x14ac:dyDescent="0.25">
      <c r="A23036" t="s">
        <v>1639</v>
      </c>
      <c r="B23036" s="1" t="str">
        <f>HYPERLINK("http://mfbm-bus.com","mfbm-bus.com")</f>
        <v>mfbm-bus.com</v>
      </c>
      <c r="C23036" t="s">
        <v>433</v>
      </c>
      <c r="F23036">
        <v>6.2243107944767701E-9</v>
      </c>
      <c r="G23036">
        <v>15403484</v>
      </c>
      <c r="H23036">
        <v>14078899</v>
      </c>
      <c r="I23036">
        <v>2839651</v>
      </c>
      <c r="J23036">
        <v>4</v>
      </c>
    </row>
    <row r="23037" spans="1:10" x14ac:dyDescent="0.25">
      <c r="A23037" t="s">
        <v>1639</v>
      </c>
      <c r="B23037" s="1" t="str">
        <f>HYPERLINK("http://mitfuso.com","mitfuso.com")</f>
        <v>mitfuso.com</v>
      </c>
      <c r="C23037" t="s">
        <v>433</v>
      </c>
      <c r="F23037">
        <v>2.81384307375764E-8</v>
      </c>
      <c r="G23037">
        <v>1828669</v>
      </c>
      <c r="H23037">
        <v>14081479</v>
      </c>
      <c r="I23037">
        <v>2809645</v>
      </c>
      <c r="J23037">
        <v>4</v>
      </c>
    </row>
    <row r="23038" spans="1:10" x14ac:dyDescent="0.25">
      <c r="A23038" t="s">
        <v>1639</v>
      </c>
      <c r="B23038" s="1" t="str">
        <f>HYPERLINK("http://mitsubishi-fuso.com","mitsubishi-fuso.com")</f>
        <v>mitsubishi-fuso.com</v>
      </c>
      <c r="C23038" t="s">
        <v>433</v>
      </c>
      <c r="E23038">
        <v>266573</v>
      </c>
      <c r="F23038">
        <v>1.54882657058476E-7</v>
      </c>
      <c r="G23038">
        <v>250763</v>
      </c>
      <c r="H23038">
        <v>14352440</v>
      </c>
      <c r="I23038">
        <v>1308296</v>
      </c>
      <c r="J23038">
        <v>3</v>
      </c>
    </row>
    <row r="23039" spans="1:10" x14ac:dyDescent="0.25">
      <c r="A23039" t="s">
        <v>1639</v>
      </c>
      <c r="B23039" s="1" t="str">
        <f>HYPERLINK("http://navigation.com","navigation.com")</f>
        <v>navigation.com</v>
      </c>
      <c r="C23039" t="s">
        <v>433</v>
      </c>
      <c r="E23039">
        <v>129201</v>
      </c>
      <c r="F23039">
        <v>8.2971257581306497E-7</v>
      </c>
      <c r="G23039">
        <v>47745</v>
      </c>
      <c r="H23039">
        <v>14695821</v>
      </c>
      <c r="I23039">
        <v>599466</v>
      </c>
      <c r="J23039">
        <v>6</v>
      </c>
    </row>
    <row r="23040" spans="1:10" x14ac:dyDescent="0.25">
      <c r="A23040" t="s">
        <v>1639</v>
      </c>
      <c r="B23040" s="1" t="str">
        <f>HYPERLINK("http://setra-bus.com","setra-bus.com")</f>
        <v>setra-bus.com</v>
      </c>
      <c r="C23040" t="s">
        <v>433</v>
      </c>
      <c r="E23040">
        <v>839824</v>
      </c>
      <c r="F23040">
        <v>7.2791704293282001E-8</v>
      </c>
      <c r="G23040">
        <v>579489</v>
      </c>
      <c r="H23040">
        <v>14238531</v>
      </c>
      <c r="I23040">
        <v>1525103</v>
      </c>
      <c r="J23040">
        <v>4</v>
      </c>
    </row>
    <row r="23041" spans="1:10" x14ac:dyDescent="0.25">
      <c r="A23041" t="s">
        <v>1639</v>
      </c>
      <c r="B23041" s="1" t="str">
        <f>HYPERLINK("http://smart.com","smart.com")</f>
        <v>smart.com</v>
      </c>
      <c r="C23041" t="s">
        <v>433</v>
      </c>
      <c r="E23041">
        <v>44148</v>
      </c>
      <c r="F23041">
        <v>7.9150723032040804E-7</v>
      </c>
      <c r="G23041">
        <v>49644</v>
      </c>
      <c r="H23041">
        <v>17253638</v>
      </c>
      <c r="I23041">
        <v>33514</v>
      </c>
      <c r="J23041">
        <v>3</v>
      </c>
    </row>
    <row r="23042" spans="1:10" x14ac:dyDescent="0.25">
      <c r="A23042" t="s">
        <v>1639</v>
      </c>
      <c r="B23042" s="1" t="str">
        <f>HYPERLINK("http://tengshiauto.com","tengshiauto.com")</f>
        <v>tengshiauto.com</v>
      </c>
      <c r="C23042" t="s">
        <v>433</v>
      </c>
      <c r="F23042">
        <v>1.41896527495778E-8</v>
      </c>
      <c r="G23042">
        <v>4132636</v>
      </c>
      <c r="H23042">
        <v>10820040</v>
      </c>
      <c r="I23042">
        <v>37623711</v>
      </c>
      <c r="J23042">
        <v>3</v>
      </c>
    </row>
    <row r="23043" spans="1:10" x14ac:dyDescent="0.25">
      <c r="A23043" t="s">
        <v>1639</v>
      </c>
      <c r="B23043" s="1" t="str">
        <f>HYPERLINK("http://thomasbuiltbuses.com","thomasbuiltbuses.com")</f>
        <v>thomasbuiltbuses.com</v>
      </c>
      <c r="C23043" t="s">
        <v>433</v>
      </c>
      <c r="E23043">
        <v>850252</v>
      </c>
      <c r="F23043">
        <v>8.8657811096368303E-8</v>
      </c>
      <c r="G23043">
        <v>461483</v>
      </c>
      <c r="H23043">
        <v>14182695</v>
      </c>
      <c r="I23043">
        <v>1776515</v>
      </c>
      <c r="J23043">
        <v>6</v>
      </c>
    </row>
    <row r="23044" spans="1:10" x14ac:dyDescent="0.25">
      <c r="A23044" t="s">
        <v>1639</v>
      </c>
      <c r="B23044" s="1" t="str">
        <f>HYPERLINK("http://thomasbus.com","thomasbus.com")</f>
        <v>thomasbus.com</v>
      </c>
      <c r="C23044" t="s">
        <v>433</v>
      </c>
      <c r="F23044">
        <v>7.2677330223717497E-8</v>
      </c>
      <c r="G23044">
        <v>580490</v>
      </c>
      <c r="H23044">
        <v>14253552</v>
      </c>
      <c r="I23044">
        <v>1438696</v>
      </c>
      <c r="J23044">
        <v>3</v>
      </c>
    </row>
    <row r="23045" spans="1:10" x14ac:dyDescent="0.25">
      <c r="A23045" t="s">
        <v>1639</v>
      </c>
      <c r="B23045" s="1" t="str">
        <f>HYPERLINK("http://truckstore.com","truckstore.com")</f>
        <v>truckstore.com</v>
      </c>
      <c r="C23045" t="s">
        <v>433</v>
      </c>
      <c r="F23045">
        <v>6.1714767921353096E-8</v>
      </c>
      <c r="G23045">
        <v>712853</v>
      </c>
      <c r="H23045">
        <v>13573973</v>
      </c>
      <c r="I23045">
        <v>9708073</v>
      </c>
      <c r="J23045">
        <v>3</v>
      </c>
    </row>
    <row r="23046" spans="1:10" x14ac:dyDescent="0.25">
      <c r="A23046" t="s">
        <v>1639</v>
      </c>
      <c r="B23046" s="1" t="str">
        <f>HYPERLINK("http://westernstartrucks.com","westernstartrucks.com")</f>
        <v>westernstartrucks.com</v>
      </c>
      <c r="C23046" t="s">
        <v>433</v>
      </c>
      <c r="E23046">
        <v>834492</v>
      </c>
      <c r="F23046">
        <v>9.7615197080327699E-8</v>
      </c>
      <c r="G23046">
        <v>413632</v>
      </c>
      <c r="H23046">
        <v>14937155</v>
      </c>
      <c r="I23046">
        <v>444983</v>
      </c>
      <c r="J23046">
        <v>4</v>
      </c>
    </row>
    <row r="23047" spans="1:10" x14ac:dyDescent="0.25">
      <c r="A23047" t="s">
        <v>1639</v>
      </c>
      <c r="B23047" s="1" t="str">
        <f>HYPERLINK("http://xlifilm.com","xlifilm.com")</f>
        <v>xlifilm.com</v>
      </c>
      <c r="C23047" t="s">
        <v>433</v>
      </c>
      <c r="F23047">
        <v>4.44380395335525E-9</v>
      </c>
      <c r="G23047">
        <v>84054466</v>
      </c>
      <c r="H23047">
        <v>0</v>
      </c>
      <c r="I23047">
        <v>85018447</v>
      </c>
      <c r="J23047">
        <v>5</v>
      </c>
    </row>
    <row r="23048" spans="1:10" x14ac:dyDescent="0.25">
      <c r="A23048" t="s">
        <v>1639</v>
      </c>
      <c r="B23048" s="1" t="str">
        <f>HYPERLINK("http://yasa.com","yasa.com")</f>
        <v>yasa.com</v>
      </c>
      <c r="C23048" t="s">
        <v>433</v>
      </c>
      <c r="E23048">
        <v>949638</v>
      </c>
      <c r="F23048">
        <v>5.1551324827904601E-8</v>
      </c>
      <c r="G23048">
        <v>887226</v>
      </c>
      <c r="H23048">
        <v>14412382</v>
      </c>
      <c r="I23048">
        <v>1142828</v>
      </c>
      <c r="J23048">
        <v>5</v>
      </c>
    </row>
    <row r="23049" spans="1:10" x14ac:dyDescent="0.25">
      <c r="A23049" t="s">
        <v>1639</v>
      </c>
      <c r="B23049" s="1" t="str">
        <f>HYPERLINK("http://yasamotors.com","yasamotors.com")</f>
        <v>yasamotors.com</v>
      </c>
      <c r="C23049" t="s">
        <v>433</v>
      </c>
      <c r="F23049">
        <v>1.50253128963668E-8</v>
      </c>
      <c r="G23049">
        <v>3831412</v>
      </c>
      <c r="H23049">
        <v>14581551</v>
      </c>
      <c r="I23049">
        <v>708098</v>
      </c>
      <c r="J23049">
        <v>8</v>
      </c>
    </row>
    <row r="23050" spans="1:10" x14ac:dyDescent="0.25">
      <c r="A23050" t="s">
        <v>1639</v>
      </c>
      <c r="B23050" s="1" t="str">
        <f>HYPERLINK("http://mercedes-benz.cr","mercedes-benz.cr")</f>
        <v>mercedes-benz.cr</v>
      </c>
      <c r="C23050" t="s">
        <v>434</v>
      </c>
      <c r="D23050" t="s">
        <v>813</v>
      </c>
      <c r="F23050">
        <v>9.7448202273095693E-9</v>
      </c>
      <c r="G23050">
        <v>7029824</v>
      </c>
      <c r="H23050">
        <v>12396827</v>
      </c>
      <c r="I23050">
        <v>18898170</v>
      </c>
      <c r="J23050">
        <v>3</v>
      </c>
    </row>
    <row r="23051" spans="1:10" x14ac:dyDescent="0.25">
      <c r="A23051" t="s">
        <v>1639</v>
      </c>
      <c r="B23051" s="1" t="str">
        <f>HYPERLINK("http://mcvcomercial.cu","mcvcomercial.cu")</f>
        <v>mcvcomercial.cu</v>
      </c>
      <c r="C23051" t="s">
        <v>592</v>
      </c>
      <c r="D23051" t="s">
        <v>927</v>
      </c>
      <c r="J23051">
        <v>4</v>
      </c>
    </row>
    <row r="23052" spans="1:10" x14ac:dyDescent="0.25">
      <c r="A23052" t="s">
        <v>1639</v>
      </c>
      <c r="B23052" s="1" t="str">
        <f>HYPERLINK("http://mercedes-benz.com.cy","mercedes-benz.com.cy")</f>
        <v>mercedes-benz.com.cy</v>
      </c>
      <c r="C23052" t="s">
        <v>610</v>
      </c>
      <c r="D23052" t="s">
        <v>937</v>
      </c>
      <c r="F23052">
        <v>5.5919380211872502E-8</v>
      </c>
      <c r="G23052">
        <v>801243</v>
      </c>
      <c r="H23052">
        <v>14238072</v>
      </c>
      <c r="I23052">
        <v>1534039</v>
      </c>
      <c r="J23052">
        <v>3</v>
      </c>
    </row>
    <row r="23053" spans="1:10" x14ac:dyDescent="0.25">
      <c r="A23053" t="s">
        <v>1639</v>
      </c>
      <c r="B23053" s="1" t="str">
        <f>HYPERLINK("http://dcfs.cz","dcfs.cz")</f>
        <v>dcfs.cz</v>
      </c>
      <c r="C23053" t="s">
        <v>435</v>
      </c>
      <c r="D23053" t="s">
        <v>814</v>
      </c>
      <c r="J23053">
        <v>5</v>
      </c>
    </row>
    <row r="23054" spans="1:10" x14ac:dyDescent="0.25">
      <c r="A23054" t="s">
        <v>1639</v>
      </c>
      <c r="B23054" s="1" t="str">
        <f>HYPERLINK("http://evobus.cz","evobus.cz")</f>
        <v>evobus.cz</v>
      </c>
      <c r="C23054" t="s">
        <v>435</v>
      </c>
      <c r="D23054" t="s">
        <v>814</v>
      </c>
      <c r="F23054">
        <v>7.0815238480818903E-9</v>
      </c>
      <c r="G23054">
        <v>12067277</v>
      </c>
      <c r="H23054">
        <v>14072385</v>
      </c>
      <c r="I23054">
        <v>3100532</v>
      </c>
      <c r="J23054">
        <v>4</v>
      </c>
    </row>
    <row r="23055" spans="1:10" x14ac:dyDescent="0.25">
      <c r="A23055" t="s">
        <v>1639</v>
      </c>
      <c r="B23055" s="1" t="str">
        <f>HYPERLINK("http://mercedes-benz.cz","mercedes-benz.cz")</f>
        <v>mercedes-benz.cz</v>
      </c>
      <c r="C23055" t="s">
        <v>435</v>
      </c>
      <c r="D23055" t="s">
        <v>814</v>
      </c>
      <c r="E23055">
        <v>941523</v>
      </c>
      <c r="F23055">
        <v>1.47814592486898E-7</v>
      </c>
      <c r="G23055">
        <v>263377</v>
      </c>
      <c r="H23055">
        <v>14079460</v>
      </c>
      <c r="I23055">
        <v>2832550</v>
      </c>
      <c r="J23055">
        <v>3</v>
      </c>
    </row>
    <row r="23056" spans="1:10" x14ac:dyDescent="0.25">
      <c r="A23056" t="s">
        <v>1639</v>
      </c>
      <c r="B23056" s="1" t="str">
        <f>HYPERLINK("http://accumotive.de","accumotive.de")</f>
        <v>accumotive.de</v>
      </c>
      <c r="C23056" t="s">
        <v>436</v>
      </c>
      <c r="D23056" t="s">
        <v>815</v>
      </c>
      <c r="F23056">
        <v>2.56203181398558E-8</v>
      </c>
      <c r="G23056">
        <v>2012608</v>
      </c>
      <c r="H23056">
        <v>14074636</v>
      </c>
      <c r="I23056">
        <v>2935063</v>
      </c>
      <c r="J23056">
        <v>3</v>
      </c>
    </row>
    <row r="23057" spans="1:10" x14ac:dyDescent="0.25">
      <c r="A23057" t="s">
        <v>1639</v>
      </c>
      <c r="B23057" s="1" t="str">
        <f>HYPERLINK("http://automuseum-stuttgart.de","automuseum-stuttgart.de")</f>
        <v>automuseum-stuttgart.de</v>
      </c>
      <c r="C23057" t="s">
        <v>436</v>
      </c>
      <c r="D23057" t="s">
        <v>815</v>
      </c>
      <c r="F23057">
        <v>1.2617948026392901E-8</v>
      </c>
      <c r="G23057">
        <v>4821767</v>
      </c>
      <c r="H23057">
        <v>14074757</v>
      </c>
      <c r="I23057">
        <v>2930460</v>
      </c>
      <c r="J23057">
        <v>4</v>
      </c>
    </row>
    <row r="23058" spans="1:10" x14ac:dyDescent="0.25">
      <c r="A23058" t="s">
        <v>1639</v>
      </c>
      <c r="B23058" s="1" t="str">
        <f>HYPERLINK("http://cinteo.de","cinteo.de")</f>
        <v>cinteo.de</v>
      </c>
      <c r="C23058" t="s">
        <v>436</v>
      </c>
      <c r="D23058" t="s">
        <v>815</v>
      </c>
      <c r="F23058">
        <v>5.9755168885515398E-9</v>
      </c>
      <c r="G23058">
        <v>16846413</v>
      </c>
      <c r="H23058">
        <v>9643834</v>
      </c>
      <c r="I23058">
        <v>63947984</v>
      </c>
      <c r="J23058">
        <v>6</v>
      </c>
    </row>
    <row r="23059" spans="1:10" x14ac:dyDescent="0.25">
      <c r="A23059" t="s">
        <v>1639</v>
      </c>
      <c r="B23059" s="1" t="str">
        <f>HYPERLINK("http://daimler.de","daimler.de")</f>
        <v>daimler.de</v>
      </c>
      <c r="C23059" t="s">
        <v>436</v>
      </c>
      <c r="D23059" t="s">
        <v>815</v>
      </c>
      <c r="F23059">
        <v>1.00449206510133E-7</v>
      </c>
      <c r="G23059">
        <v>400366</v>
      </c>
      <c r="H23059">
        <v>14760969</v>
      </c>
      <c r="I23059">
        <v>560367</v>
      </c>
      <c r="J23059">
        <v>2</v>
      </c>
    </row>
    <row r="23060" spans="1:10" x14ac:dyDescent="0.25">
      <c r="A23060" t="s">
        <v>1639</v>
      </c>
      <c r="B23060" s="1" t="str">
        <f>HYPERLINK("http://daimler-fleetmanagement.de","daimler-fleetmanagement.de")</f>
        <v>daimler-fleetmanagement.de</v>
      </c>
      <c r="C23060" t="s">
        <v>436</v>
      </c>
      <c r="D23060" t="s">
        <v>815</v>
      </c>
      <c r="F23060">
        <v>1.4511496895808599E-8</v>
      </c>
      <c r="G23060">
        <v>4009309</v>
      </c>
      <c r="H23060">
        <v>10838494</v>
      </c>
      <c r="I23060">
        <v>37207907</v>
      </c>
      <c r="J23060">
        <v>3</v>
      </c>
    </row>
    <row r="23061" spans="1:10" x14ac:dyDescent="0.25">
      <c r="A23061" t="s">
        <v>1639</v>
      </c>
      <c r="B23061" s="1" t="str">
        <f>HYPERLINK("http://daimler-protics.de","daimler-protics.de")</f>
        <v>daimler-protics.de</v>
      </c>
      <c r="C23061" t="s">
        <v>436</v>
      </c>
      <c r="D23061" t="s">
        <v>815</v>
      </c>
      <c r="F23061">
        <v>6.7236738810975199E-9</v>
      </c>
      <c r="G23061">
        <v>13218740</v>
      </c>
      <c r="H23061">
        <v>10843793</v>
      </c>
      <c r="I23061">
        <v>37017996</v>
      </c>
      <c r="J23061">
        <v>6</v>
      </c>
    </row>
    <row r="23062" spans="1:10" x14ac:dyDescent="0.25">
      <c r="A23062" t="s">
        <v>1639</v>
      </c>
      <c r="B23062" s="1" t="str">
        <f>HYPERLINK("http://daimler-tss.de","daimler-tss.de")</f>
        <v>daimler-tss.de</v>
      </c>
      <c r="C23062" t="s">
        <v>436</v>
      </c>
      <c r="D23062" t="s">
        <v>815</v>
      </c>
      <c r="F23062">
        <v>2.24174447253583E-8</v>
      </c>
      <c r="G23062">
        <v>2337799</v>
      </c>
      <c r="H23062">
        <v>12995647</v>
      </c>
      <c r="I23062">
        <v>12820251</v>
      </c>
      <c r="J23062">
        <v>3</v>
      </c>
    </row>
    <row r="23063" spans="1:10" x14ac:dyDescent="0.25">
      <c r="A23063" t="s">
        <v>1639</v>
      </c>
      <c r="B23063" s="1" t="str">
        <f>HYPERLINK("http://evobus.de","evobus.de")</f>
        <v>evobus.de</v>
      </c>
      <c r="C23063" t="s">
        <v>436</v>
      </c>
      <c r="D23063" t="s">
        <v>815</v>
      </c>
      <c r="F23063">
        <v>1.7490133346798899E-8</v>
      </c>
      <c r="G23063">
        <v>3148435</v>
      </c>
      <c r="H23063">
        <v>14073180</v>
      </c>
      <c r="I23063">
        <v>3011485</v>
      </c>
      <c r="J23063">
        <v>4</v>
      </c>
    </row>
    <row r="23064" spans="1:10" x14ac:dyDescent="0.25">
      <c r="A23064" t="s">
        <v>1639</v>
      </c>
      <c r="B23064" s="1" t="str">
        <f>HYPERLINK("http://mbatc.de","mbatc.de")</f>
        <v>mbatc.de</v>
      </c>
      <c r="C23064" t="s">
        <v>436</v>
      </c>
      <c r="D23064" t="s">
        <v>815</v>
      </c>
      <c r="F23064">
        <v>5.6365839731262403E-9</v>
      </c>
      <c r="G23064">
        <v>19514994</v>
      </c>
      <c r="H23064">
        <v>11286116</v>
      </c>
      <c r="I23064">
        <v>30678125</v>
      </c>
      <c r="J23064">
        <v>3</v>
      </c>
    </row>
    <row r="23065" spans="1:10" x14ac:dyDescent="0.25">
      <c r="A23065" t="s">
        <v>1639</v>
      </c>
      <c r="B23065" s="1" t="str">
        <f>HYPERLINK("http://mbc-werkstatt.de","mbc-werkstatt.de")</f>
        <v>mbc-werkstatt.de</v>
      </c>
      <c r="C23065" t="s">
        <v>436</v>
      </c>
      <c r="D23065" t="s">
        <v>815</v>
      </c>
      <c r="F23065">
        <v>4.5975665653476001E-9</v>
      </c>
      <c r="G23065">
        <v>47797849</v>
      </c>
      <c r="H23065">
        <v>10352637</v>
      </c>
      <c r="I23065">
        <v>56038780</v>
      </c>
      <c r="J23065">
        <v>4</v>
      </c>
    </row>
    <row r="23066" spans="1:10" x14ac:dyDescent="0.25">
      <c r="A23066" t="s">
        <v>1639</v>
      </c>
      <c r="B23066" s="1" t="str">
        <f>HYPERLINK("http://mdc-power.de","mdc-power.de")</f>
        <v>mdc-power.de</v>
      </c>
      <c r="C23066" t="s">
        <v>436</v>
      </c>
      <c r="D23066" t="s">
        <v>815</v>
      </c>
      <c r="F23066">
        <v>1.3257531877916499E-8</v>
      </c>
      <c r="G23066">
        <v>4512301</v>
      </c>
      <c r="H23066">
        <v>12986105</v>
      </c>
      <c r="I23066">
        <v>12900072</v>
      </c>
      <c r="J23066">
        <v>3</v>
      </c>
    </row>
    <row r="23067" spans="1:10" x14ac:dyDescent="0.25">
      <c r="A23067" t="s">
        <v>1639</v>
      </c>
      <c r="B23067" s="1" t="str">
        <f>HYPERLINK("http://mercedes-benz.de","mercedes-benz.de")</f>
        <v>mercedes-benz.de</v>
      </c>
      <c r="C23067" t="s">
        <v>436</v>
      </c>
      <c r="D23067" t="s">
        <v>815</v>
      </c>
      <c r="E23067">
        <v>37525</v>
      </c>
      <c r="F23067">
        <v>1.54909310156839E-6</v>
      </c>
      <c r="G23067">
        <v>25330</v>
      </c>
      <c r="H23067">
        <v>17220076</v>
      </c>
      <c r="I23067">
        <v>38435</v>
      </c>
      <c r="J23067">
        <v>3</v>
      </c>
    </row>
    <row r="23068" spans="1:10" x14ac:dyDescent="0.25">
      <c r="A23068" t="s">
        <v>1639</v>
      </c>
      <c r="B23068" s="1" t="str">
        <f>HYPERLINK("http://mercedes-benz-bank.de","mercedes-benz-bank.de")</f>
        <v>mercedes-benz-bank.de</v>
      </c>
      <c r="C23068" t="s">
        <v>436</v>
      </c>
      <c r="D23068" t="s">
        <v>815</v>
      </c>
      <c r="E23068">
        <v>352142</v>
      </c>
      <c r="F23068">
        <v>1.2967016036500899E-7</v>
      </c>
      <c r="G23068">
        <v>301935</v>
      </c>
      <c r="H23068">
        <v>13370621</v>
      </c>
      <c r="I23068">
        <v>10466601</v>
      </c>
      <c r="J23068">
        <v>3</v>
      </c>
    </row>
    <row r="23069" spans="1:10" x14ac:dyDescent="0.25">
      <c r="A23069" t="s">
        <v>1639</v>
      </c>
      <c r="B23069" s="1" t="str">
        <f>HYPERLINK("http://mercedes-benz-dortmund.de","mercedes-benz-dortmund.de")</f>
        <v>mercedes-benz-dortmund.de</v>
      </c>
      <c r="C23069" t="s">
        <v>436</v>
      </c>
      <c r="D23069" t="s">
        <v>815</v>
      </c>
      <c r="F23069">
        <v>2.4693581220366498E-8</v>
      </c>
      <c r="G23069">
        <v>2094926</v>
      </c>
      <c r="H23069">
        <v>12669481</v>
      </c>
      <c r="I23069">
        <v>15629000</v>
      </c>
      <c r="J23069">
        <v>4</v>
      </c>
    </row>
    <row r="23070" spans="1:10" x14ac:dyDescent="0.25">
      <c r="A23070" t="s">
        <v>1639</v>
      </c>
      <c r="B23070" s="1" t="str">
        <f>HYPERLINK("http://mercedes-benz-hamburg-luebeck.de","mercedes-benz-hamburg-luebeck.de")</f>
        <v>mercedes-benz-hamburg-luebeck.de</v>
      </c>
      <c r="C23070" t="s">
        <v>436</v>
      </c>
      <c r="D23070" t="s">
        <v>815</v>
      </c>
      <c r="F23070">
        <v>4.3494016152746997E-8</v>
      </c>
      <c r="G23070">
        <v>1099750</v>
      </c>
      <c r="H23070">
        <v>13364406</v>
      </c>
      <c r="I23070">
        <v>10492000</v>
      </c>
      <c r="J23070">
        <v>4</v>
      </c>
    </row>
    <row r="23071" spans="1:10" x14ac:dyDescent="0.25">
      <c r="A23071" t="s">
        <v>1639</v>
      </c>
      <c r="B23071" s="1" t="str">
        <f>HYPERLINK("http://mercedes-benz-nuernberg.de","mercedes-benz-nuernberg.de")</f>
        <v>mercedes-benz-nuernberg.de</v>
      </c>
      <c r="C23071" t="s">
        <v>436</v>
      </c>
      <c r="D23071" t="s">
        <v>815</v>
      </c>
      <c r="F23071">
        <v>3.6371809426925601E-8</v>
      </c>
      <c r="G23071">
        <v>1434791</v>
      </c>
      <c r="H23071">
        <v>13401862</v>
      </c>
      <c r="I23071">
        <v>10364200</v>
      </c>
      <c r="J23071">
        <v>3</v>
      </c>
    </row>
    <row r="23072" spans="1:10" x14ac:dyDescent="0.25">
      <c r="A23072" t="s">
        <v>1639</v>
      </c>
      <c r="B23072" s="1" t="str">
        <f>HYPERLINK("http://mercedes-benz.dk","mercedes-benz.dk")</f>
        <v>mercedes-benz.dk</v>
      </c>
      <c r="C23072" t="s">
        <v>437</v>
      </c>
      <c r="D23072" t="s">
        <v>816</v>
      </c>
      <c r="F23072">
        <v>1.0529962079653499E-7</v>
      </c>
      <c r="G23072">
        <v>380432</v>
      </c>
      <c r="H23072">
        <v>14385151</v>
      </c>
      <c r="I23072">
        <v>1180586</v>
      </c>
      <c r="J23072">
        <v>3</v>
      </c>
    </row>
    <row r="23073" spans="1:10" x14ac:dyDescent="0.25">
      <c r="A23073" t="s">
        <v>1639</v>
      </c>
      <c r="B23073" s="1" t="str">
        <f>HYPERLINK("http://mercedes-benz.ee","mercedes-benz.ee")</f>
        <v>mercedes-benz.ee</v>
      </c>
      <c r="C23073" t="s">
        <v>441</v>
      </c>
      <c r="D23073" t="s">
        <v>820</v>
      </c>
      <c r="F23073">
        <v>6.0377180764121501E-8</v>
      </c>
      <c r="G23073">
        <v>730435</v>
      </c>
      <c r="H23073">
        <v>12578793</v>
      </c>
      <c r="I23073">
        <v>16525434</v>
      </c>
      <c r="J23073">
        <v>3</v>
      </c>
    </row>
    <row r="23074" spans="1:10" x14ac:dyDescent="0.25">
      <c r="A23074" t="s">
        <v>1639</v>
      </c>
      <c r="B23074" s="1" t="str">
        <f>HYPERLINK("http://mercedes-benz.com.eg","mercedes-benz.com.eg")</f>
        <v>mercedes-benz.com.eg</v>
      </c>
      <c r="C23074" t="s">
        <v>442</v>
      </c>
      <c r="D23074" t="s">
        <v>821</v>
      </c>
      <c r="F23074">
        <v>2.2722789574041402E-8</v>
      </c>
      <c r="G23074">
        <v>2304273</v>
      </c>
      <c r="H23074">
        <v>14073859</v>
      </c>
      <c r="I23074">
        <v>2967928</v>
      </c>
      <c r="J23074">
        <v>3</v>
      </c>
    </row>
    <row r="23075" spans="1:10" x14ac:dyDescent="0.25">
      <c r="A23075" t="s">
        <v>1639</v>
      </c>
      <c r="B23075" s="1" t="str">
        <f>HYPERLINK("http://mercedes-benz.es","mercedes-benz.es")</f>
        <v>mercedes-benz.es</v>
      </c>
      <c r="C23075" t="s">
        <v>443</v>
      </c>
      <c r="D23075" t="s">
        <v>822</v>
      </c>
      <c r="E23075">
        <v>151899</v>
      </c>
      <c r="F23075">
        <v>2.9214271901149602E-7</v>
      </c>
      <c r="G23075">
        <v>127390</v>
      </c>
      <c r="H23075">
        <v>14570532</v>
      </c>
      <c r="I23075">
        <v>735241</v>
      </c>
      <c r="J23075">
        <v>3</v>
      </c>
    </row>
    <row r="23076" spans="1:10" x14ac:dyDescent="0.25">
      <c r="A23076" t="s">
        <v>1639</v>
      </c>
      <c r="B23076" s="1" t="str">
        <f>HYPERLINK("http://actros.fi","actros.fi")</f>
        <v>actros.fi</v>
      </c>
      <c r="C23076" t="s">
        <v>445</v>
      </c>
      <c r="D23076" t="s">
        <v>823</v>
      </c>
      <c r="J23076">
        <v>6</v>
      </c>
    </row>
    <row r="23077" spans="1:10" x14ac:dyDescent="0.25">
      <c r="A23077" t="s">
        <v>1639</v>
      </c>
      <c r="B23077" s="1" t="str">
        <f>HYPERLINK("http://atego.fi","atego.fi")</f>
        <v>atego.fi</v>
      </c>
      <c r="C23077" t="s">
        <v>445</v>
      </c>
      <c r="D23077" t="s">
        <v>823</v>
      </c>
      <c r="J23077">
        <v>6</v>
      </c>
    </row>
    <row r="23078" spans="1:10" x14ac:dyDescent="0.25">
      <c r="A23078" t="s">
        <v>1639</v>
      </c>
      <c r="B23078" s="1" t="str">
        <f>HYPERLINK("http://athloncarplaza.fi","athloncarplaza.fi")</f>
        <v>athloncarplaza.fi</v>
      </c>
      <c r="C23078" t="s">
        <v>445</v>
      </c>
      <c r="D23078" t="s">
        <v>823</v>
      </c>
      <c r="J23078">
        <v>2</v>
      </c>
    </row>
    <row r="23079" spans="1:10" x14ac:dyDescent="0.25">
      <c r="A23079" t="s">
        <v>1639</v>
      </c>
      <c r="B23079" s="1" t="str">
        <f>HYPERLINK("http://axor.fi","axor.fi")</f>
        <v>axor.fi</v>
      </c>
      <c r="C23079" t="s">
        <v>445</v>
      </c>
      <c r="D23079" t="s">
        <v>823</v>
      </c>
      <c r="J23079">
        <v>6</v>
      </c>
    </row>
    <row r="23080" spans="1:10" x14ac:dyDescent="0.25">
      <c r="A23080" t="s">
        <v>1639</v>
      </c>
      <c r="B23080" s="1" t="str">
        <f>HYPERLINK("http://car2gether.fi","car2gether.fi")</f>
        <v>car2gether.fi</v>
      </c>
      <c r="C23080" t="s">
        <v>445</v>
      </c>
      <c r="D23080" t="s">
        <v>823</v>
      </c>
      <c r="J23080">
        <v>2</v>
      </c>
    </row>
    <row r="23081" spans="1:10" x14ac:dyDescent="0.25">
      <c r="A23081" t="s">
        <v>1639</v>
      </c>
      <c r="B23081" s="1" t="str">
        <f>HYPERLINK("http://car2go.fi","car2go.fi")</f>
        <v>car2go.fi</v>
      </c>
      <c r="C23081" t="s">
        <v>445</v>
      </c>
      <c r="D23081" t="s">
        <v>823</v>
      </c>
      <c r="J23081">
        <v>2</v>
      </c>
    </row>
    <row r="23082" spans="1:10" x14ac:dyDescent="0.25">
      <c r="A23082" t="s">
        <v>1639</v>
      </c>
      <c r="B23082" s="1" t="str">
        <f>HYPERLINK("http://citan.fi","citan.fi")</f>
        <v>citan.fi</v>
      </c>
      <c r="C23082" t="s">
        <v>445</v>
      </c>
      <c r="D23082" t="s">
        <v>823</v>
      </c>
      <c r="J23082">
        <v>2</v>
      </c>
    </row>
    <row r="23083" spans="1:10" x14ac:dyDescent="0.25">
      <c r="A23083" t="s">
        <v>1639</v>
      </c>
      <c r="B23083" s="1" t="str">
        <f>HYPERLINK("http://daimler-ag.fi","daimler-ag.fi")</f>
        <v>daimler-ag.fi</v>
      </c>
      <c r="C23083" t="s">
        <v>445</v>
      </c>
      <c r="D23083" t="s">
        <v>823</v>
      </c>
      <c r="J23083">
        <v>6</v>
      </c>
    </row>
    <row r="23084" spans="1:10" x14ac:dyDescent="0.25">
      <c r="A23084" t="s">
        <v>1639</v>
      </c>
      <c r="B23084" s="1" t="str">
        <f>HYPERLINK("http://daimler-truck.fi","daimler-truck.fi")</f>
        <v>daimler-truck.fi</v>
      </c>
      <c r="C23084" t="s">
        <v>445</v>
      </c>
      <c r="D23084" t="s">
        <v>823</v>
      </c>
      <c r="J23084">
        <v>6</v>
      </c>
    </row>
    <row r="23085" spans="1:10" x14ac:dyDescent="0.25">
      <c r="A23085" t="s">
        <v>1639</v>
      </c>
      <c r="B23085" s="1" t="str">
        <f>HYPERLINK("http://daimler-trucks.fi","daimler-trucks.fi")</f>
        <v>daimler-trucks.fi</v>
      </c>
      <c r="C23085" t="s">
        <v>445</v>
      </c>
      <c r="D23085" t="s">
        <v>823</v>
      </c>
      <c r="J23085">
        <v>6</v>
      </c>
    </row>
    <row r="23086" spans="1:10" x14ac:dyDescent="0.25">
      <c r="A23086" t="s">
        <v>1639</v>
      </c>
      <c r="B23086" s="1" t="str">
        <f>HYPERLINK("http://daimlertruck.fi","daimlertruck.fi")</f>
        <v>daimlertruck.fi</v>
      </c>
      <c r="C23086" t="s">
        <v>445</v>
      </c>
      <c r="D23086" t="s">
        <v>823</v>
      </c>
      <c r="J23086">
        <v>6</v>
      </c>
    </row>
    <row r="23087" spans="1:10" x14ac:dyDescent="0.25">
      <c r="A23087" t="s">
        <v>1639</v>
      </c>
      <c r="B23087" s="1" t="str">
        <f>HYPERLINK("http://daimlertrucks.fi","daimlertrucks.fi")</f>
        <v>daimlertrucks.fi</v>
      </c>
      <c r="C23087" t="s">
        <v>445</v>
      </c>
      <c r="D23087" t="s">
        <v>823</v>
      </c>
      <c r="J23087">
        <v>6</v>
      </c>
    </row>
    <row r="23088" spans="1:10" x14ac:dyDescent="0.25">
      <c r="A23088" t="s">
        <v>1639</v>
      </c>
      <c r="B23088" s="1" t="str">
        <f>HYPERLINK("http://evobus.fi","evobus.fi")</f>
        <v>evobus.fi</v>
      </c>
      <c r="C23088" t="s">
        <v>445</v>
      </c>
      <c r="D23088" t="s">
        <v>823</v>
      </c>
      <c r="J23088">
        <v>6</v>
      </c>
    </row>
    <row r="23089" spans="1:10" x14ac:dyDescent="0.25">
      <c r="A23089" t="s">
        <v>1639</v>
      </c>
      <c r="B23089" s="1" t="str">
        <f>HYPERLINK("http://fleetboard.fi","fleetboard.fi")</f>
        <v>fleetboard.fi</v>
      </c>
      <c r="C23089" t="s">
        <v>445</v>
      </c>
      <c r="D23089" t="s">
        <v>823</v>
      </c>
      <c r="J23089">
        <v>6</v>
      </c>
    </row>
    <row r="23090" spans="1:10" x14ac:dyDescent="0.25">
      <c r="A23090" t="s">
        <v>1639</v>
      </c>
      <c r="B23090" s="1" t="str">
        <f>HYPERLINK("http://fuelduel.fi","fuelduel.fi")</f>
        <v>fuelduel.fi</v>
      </c>
      <c r="C23090" t="s">
        <v>445</v>
      </c>
      <c r="D23090" t="s">
        <v>823</v>
      </c>
      <c r="F23090">
        <v>4.8077109927647104E-9</v>
      </c>
      <c r="G23090">
        <v>35785498</v>
      </c>
      <c r="H23090">
        <v>10345385</v>
      </c>
      <c r="I23090">
        <v>56978807</v>
      </c>
      <c r="J23090">
        <v>6</v>
      </c>
    </row>
    <row r="23091" spans="1:10" x14ac:dyDescent="0.25">
      <c r="A23091" t="s">
        <v>1639</v>
      </c>
      <c r="B23091" s="1" t="str">
        <f>HYPERLINK("http://fuso.fi","fuso.fi")</f>
        <v>fuso.fi</v>
      </c>
      <c r="C23091" t="s">
        <v>445</v>
      </c>
      <c r="D23091" t="s">
        <v>823</v>
      </c>
      <c r="F23091">
        <v>4.46020750117086E-9</v>
      </c>
      <c r="G23091">
        <v>67693773</v>
      </c>
      <c r="H23091">
        <v>10597773</v>
      </c>
      <c r="I23091">
        <v>45030869</v>
      </c>
      <c r="J23091">
        <v>6</v>
      </c>
    </row>
    <row r="23092" spans="1:10" x14ac:dyDescent="0.25">
      <c r="A23092" t="s">
        <v>1639</v>
      </c>
      <c r="B23092" s="1" t="str">
        <f>HYPERLINK("http://fuso-trucks.fi","fuso-trucks.fi")</f>
        <v>fuso-trucks.fi</v>
      </c>
      <c r="C23092" t="s">
        <v>445</v>
      </c>
      <c r="D23092" t="s">
        <v>823</v>
      </c>
      <c r="F23092">
        <v>8.3507689051928304E-9</v>
      </c>
      <c r="G23092">
        <v>9144745</v>
      </c>
      <c r="H23092">
        <v>10657803</v>
      </c>
      <c r="I23092">
        <v>43477687</v>
      </c>
      <c r="J23092">
        <v>6</v>
      </c>
    </row>
    <row r="23093" spans="1:10" x14ac:dyDescent="0.25">
      <c r="A23093" t="s">
        <v>1639</v>
      </c>
      <c r="B23093" s="1" t="str">
        <f>HYPERLINK("http://maybach.fi","maybach.fi")</f>
        <v>maybach.fi</v>
      </c>
      <c r="C23093" t="s">
        <v>445</v>
      </c>
      <c r="D23093" t="s">
        <v>823</v>
      </c>
      <c r="J23093">
        <v>2</v>
      </c>
    </row>
    <row r="23094" spans="1:10" x14ac:dyDescent="0.25">
      <c r="A23094" t="s">
        <v>1639</v>
      </c>
      <c r="B23094" s="1" t="str">
        <f>HYPERLINK("http://mercedes.fi","mercedes.fi")</f>
        <v>mercedes.fi</v>
      </c>
      <c r="C23094" t="s">
        <v>445</v>
      </c>
      <c r="D23094" t="s">
        <v>823</v>
      </c>
      <c r="J23094">
        <v>2</v>
      </c>
    </row>
    <row r="23095" spans="1:10" x14ac:dyDescent="0.25">
      <c r="A23095" t="s">
        <v>1639</v>
      </c>
      <c r="B23095" s="1" t="str">
        <f>HYPERLINK("http://mercedes-benz.fi","mercedes-benz.fi")</f>
        <v>mercedes-benz.fi</v>
      </c>
      <c r="C23095" t="s">
        <v>445</v>
      </c>
      <c r="D23095" t="s">
        <v>823</v>
      </c>
      <c r="F23095">
        <v>9.9252314424639502E-8</v>
      </c>
      <c r="G23095">
        <v>405795</v>
      </c>
      <c r="H23095">
        <v>14268926</v>
      </c>
      <c r="I23095">
        <v>1402774</v>
      </c>
      <c r="J23095">
        <v>2</v>
      </c>
    </row>
    <row r="23096" spans="1:10" x14ac:dyDescent="0.25">
      <c r="A23096" t="s">
        <v>1639</v>
      </c>
      <c r="B23096" s="1" t="str">
        <f>HYPERLINK("http://mercedes-benz-bus.fi","mercedes-benz-bus.fi")</f>
        <v>mercedes-benz-bus.fi</v>
      </c>
      <c r="C23096" t="s">
        <v>445</v>
      </c>
      <c r="D23096" t="s">
        <v>823</v>
      </c>
      <c r="J23096">
        <v>2</v>
      </c>
    </row>
    <row r="23097" spans="1:10" x14ac:dyDescent="0.25">
      <c r="A23097" t="s">
        <v>1639</v>
      </c>
      <c r="B23097" s="1" t="str">
        <f>HYPERLINK("http://mercedes-benz-trucks.fi","mercedes-benz-trucks.fi")</f>
        <v>mercedes-benz-trucks.fi</v>
      </c>
      <c r="C23097" t="s">
        <v>445</v>
      </c>
      <c r="D23097" t="s">
        <v>823</v>
      </c>
      <c r="J23097">
        <v>2</v>
      </c>
    </row>
    <row r="23098" spans="1:10" x14ac:dyDescent="0.25">
      <c r="A23098" t="s">
        <v>1639</v>
      </c>
      <c r="B23098" s="1" t="str">
        <f>HYPERLINK("http://mercedes-pay.fi","mercedes-pay.fi")</f>
        <v>mercedes-pay.fi</v>
      </c>
      <c r="C23098" t="s">
        <v>445</v>
      </c>
      <c r="D23098" t="s">
        <v>823</v>
      </c>
      <c r="J23098">
        <v>2</v>
      </c>
    </row>
    <row r="23099" spans="1:10" x14ac:dyDescent="0.25">
      <c r="A23099" t="s">
        <v>1639</v>
      </c>
      <c r="B23099" s="1" t="str">
        <f>HYPERLINK("http://mercedesbenz.fi","mercedesbenz.fi")</f>
        <v>mercedesbenz.fi</v>
      </c>
      <c r="C23099" t="s">
        <v>445</v>
      </c>
      <c r="D23099" t="s">
        <v>823</v>
      </c>
      <c r="J23099">
        <v>2</v>
      </c>
    </row>
    <row r="23100" spans="1:10" x14ac:dyDescent="0.25">
      <c r="A23100" t="s">
        <v>1639</v>
      </c>
      <c r="B23100" s="1" t="str">
        <f>HYPERLINK("http://mercedesjamina.fi","mercedesjamina.fi")</f>
        <v>mercedesjamina.fi</v>
      </c>
      <c r="C23100" t="s">
        <v>445</v>
      </c>
      <c r="D23100" t="s">
        <v>823</v>
      </c>
      <c r="J23100">
        <v>2</v>
      </c>
    </row>
    <row r="23101" spans="1:10" x14ac:dyDescent="0.25">
      <c r="A23101" t="s">
        <v>1639</v>
      </c>
      <c r="B23101" s="1" t="str">
        <f>HYPERLINK("http://mercedespay.fi","mercedespay.fi")</f>
        <v>mercedespay.fi</v>
      </c>
      <c r="C23101" t="s">
        <v>445</v>
      </c>
      <c r="D23101" t="s">
        <v>823</v>
      </c>
      <c r="J23101">
        <v>2</v>
      </c>
    </row>
    <row r="23102" spans="1:10" x14ac:dyDescent="0.25">
      <c r="A23102" t="s">
        <v>1639</v>
      </c>
      <c r="B23102" s="1" t="str">
        <f>HYPERLINK("http://mitsubishifuso.fi","mitsubishifuso.fi")</f>
        <v>mitsubishifuso.fi</v>
      </c>
      <c r="C23102" t="s">
        <v>445</v>
      </c>
      <c r="D23102" t="s">
        <v>823</v>
      </c>
      <c r="F23102">
        <v>4.4668885777481099E-9</v>
      </c>
      <c r="G23102">
        <v>65661507</v>
      </c>
      <c r="H23102">
        <v>10594716</v>
      </c>
      <c r="I23102">
        <v>45267651</v>
      </c>
      <c r="J23102">
        <v>6</v>
      </c>
    </row>
    <row r="23103" spans="1:10" x14ac:dyDescent="0.25">
      <c r="A23103" t="s">
        <v>1639</v>
      </c>
      <c r="B23103" s="1" t="str">
        <f>HYPERLINK("http://moovel.fi","moovel.fi")</f>
        <v>moovel.fi</v>
      </c>
      <c r="C23103" t="s">
        <v>445</v>
      </c>
      <c r="D23103" t="s">
        <v>823</v>
      </c>
      <c r="J23103">
        <v>2</v>
      </c>
    </row>
    <row r="23104" spans="1:10" x14ac:dyDescent="0.25">
      <c r="A23104" t="s">
        <v>1639</v>
      </c>
      <c r="B23104" s="1" t="str">
        <f>HYPERLINK("http://myathlon.fi","myathlon.fi")</f>
        <v>myathlon.fi</v>
      </c>
      <c r="C23104" t="s">
        <v>445</v>
      </c>
      <c r="D23104" t="s">
        <v>823</v>
      </c>
      <c r="J23104">
        <v>2</v>
      </c>
    </row>
    <row r="23105" spans="1:10" x14ac:dyDescent="0.25">
      <c r="A23105" t="s">
        <v>1639</v>
      </c>
      <c r="B23105" s="1" t="str">
        <f>HYPERLINK("http://new-v-class.fi","new-v-class.fi")</f>
        <v>new-v-class.fi</v>
      </c>
      <c r="C23105" t="s">
        <v>445</v>
      </c>
      <c r="D23105" t="s">
        <v>823</v>
      </c>
      <c r="J23105">
        <v>2</v>
      </c>
    </row>
    <row r="23106" spans="1:10" x14ac:dyDescent="0.25">
      <c r="A23106" t="s">
        <v>1639</v>
      </c>
      <c r="B23106" s="1" t="str">
        <f>HYPERLINK("http://omniplus-on.fi","omniplus-on.fi")</f>
        <v>omniplus-on.fi</v>
      </c>
      <c r="C23106" t="s">
        <v>445</v>
      </c>
      <c r="D23106" t="s">
        <v>823</v>
      </c>
      <c r="J23106">
        <v>6</v>
      </c>
    </row>
    <row r="23107" spans="1:10" x14ac:dyDescent="0.25">
      <c r="A23107" t="s">
        <v>1639</v>
      </c>
      <c r="B23107" s="1" t="str">
        <f>HYPERLINK("http://omnipluson.fi","omnipluson.fi")</f>
        <v>omnipluson.fi</v>
      </c>
      <c r="C23107" t="s">
        <v>445</v>
      </c>
      <c r="D23107" t="s">
        <v>823</v>
      </c>
      <c r="J23107">
        <v>6</v>
      </c>
    </row>
    <row r="23108" spans="1:10" x14ac:dyDescent="0.25">
      <c r="A23108" t="s">
        <v>1639</v>
      </c>
      <c r="B23108" s="1" t="str">
        <f>HYPERLINK("http://selectrucks.fi","selectrucks.fi")</f>
        <v>selectrucks.fi</v>
      </c>
      <c r="C23108" t="s">
        <v>445</v>
      </c>
      <c r="D23108" t="s">
        <v>823</v>
      </c>
      <c r="F23108">
        <v>4.44380395335525E-9</v>
      </c>
      <c r="G23108">
        <v>87710514</v>
      </c>
      <c r="H23108">
        <v>0</v>
      </c>
      <c r="I23108">
        <v>85898457</v>
      </c>
      <c r="J23108">
        <v>6</v>
      </c>
    </row>
    <row r="23109" spans="1:10" x14ac:dyDescent="0.25">
      <c r="A23109" t="s">
        <v>1639</v>
      </c>
      <c r="B23109" s="1" t="str">
        <f>HYPERLINK("http://servicecardportal.fi","servicecardportal.fi")</f>
        <v>servicecardportal.fi</v>
      </c>
      <c r="C23109" t="s">
        <v>445</v>
      </c>
      <c r="D23109" t="s">
        <v>823</v>
      </c>
      <c r="J23109">
        <v>6</v>
      </c>
    </row>
    <row r="23110" spans="1:10" x14ac:dyDescent="0.25">
      <c r="A23110" t="s">
        <v>1639</v>
      </c>
      <c r="B23110" s="1" t="str">
        <f>HYPERLINK("http://setra.fi","setra.fi")</f>
        <v>setra.fi</v>
      </c>
      <c r="C23110" t="s">
        <v>445</v>
      </c>
      <c r="D23110" t="s">
        <v>823</v>
      </c>
      <c r="F23110">
        <v>4.46020750117086E-9</v>
      </c>
      <c r="G23110">
        <v>67693696</v>
      </c>
      <c r="H23110">
        <v>10597773</v>
      </c>
      <c r="I23110">
        <v>45031018</v>
      </c>
      <c r="J23110">
        <v>6</v>
      </c>
    </row>
    <row r="23111" spans="1:10" x14ac:dyDescent="0.25">
      <c r="A23111" t="s">
        <v>1639</v>
      </c>
      <c r="B23111" s="1" t="str">
        <f>HYPERLINK("http://smart.fi","smart.fi")</f>
        <v>smart.fi</v>
      </c>
      <c r="C23111" t="s">
        <v>445</v>
      </c>
      <c r="D23111" t="s">
        <v>823</v>
      </c>
      <c r="F23111">
        <v>5.7081634465822201E-9</v>
      </c>
      <c r="G23111">
        <v>18854955</v>
      </c>
      <c r="H23111">
        <v>14073212</v>
      </c>
      <c r="I23111">
        <v>3009165</v>
      </c>
      <c r="J23111">
        <v>2</v>
      </c>
    </row>
    <row r="23112" spans="1:10" x14ac:dyDescent="0.25">
      <c r="A23112" t="s">
        <v>1639</v>
      </c>
      <c r="B23112" s="1" t="str">
        <f>HYPERLINK("http://sprinter.fi","sprinter.fi")</f>
        <v>sprinter.fi</v>
      </c>
      <c r="C23112" t="s">
        <v>445</v>
      </c>
      <c r="D23112" t="s">
        <v>823</v>
      </c>
      <c r="J23112">
        <v>2</v>
      </c>
    </row>
    <row r="23113" spans="1:10" x14ac:dyDescent="0.25">
      <c r="A23113" t="s">
        <v>1639</v>
      </c>
      <c r="B23113" s="1" t="str">
        <f>HYPERLINK("http://truckstore.fi","truckstore.fi")</f>
        <v>truckstore.fi</v>
      </c>
      <c r="C23113" t="s">
        <v>445</v>
      </c>
      <c r="D23113" t="s">
        <v>823</v>
      </c>
      <c r="J23113">
        <v>6</v>
      </c>
    </row>
    <row r="23114" spans="1:10" x14ac:dyDescent="0.25">
      <c r="A23114" t="s">
        <v>1639</v>
      </c>
      <c r="B23114" s="1" t="str">
        <f>HYPERLINK("http://vansolution.fi","vansolution.fi")</f>
        <v>vansolution.fi</v>
      </c>
      <c r="C23114" t="s">
        <v>445</v>
      </c>
      <c r="D23114" t="s">
        <v>823</v>
      </c>
      <c r="J23114">
        <v>2</v>
      </c>
    </row>
    <row r="23115" spans="1:10" x14ac:dyDescent="0.25">
      <c r="A23115" t="s">
        <v>1639</v>
      </c>
      <c r="B23115" s="1" t="str">
        <f>HYPERLINK("http://vito.fi","vito.fi")</f>
        <v>vito.fi</v>
      </c>
      <c r="C23115" t="s">
        <v>445</v>
      </c>
      <c r="D23115" t="s">
        <v>823</v>
      </c>
      <c r="J23115">
        <v>2</v>
      </c>
    </row>
    <row r="23116" spans="1:10" x14ac:dyDescent="0.25">
      <c r="A23116" t="s">
        <v>1639</v>
      </c>
      <c r="B23116" s="1" t="str">
        <f>HYPERLINK("http://athloncarlease.fr","athloncarlease.fr")</f>
        <v>athloncarlease.fr</v>
      </c>
      <c r="C23116" t="s">
        <v>446</v>
      </c>
      <c r="D23116" t="s">
        <v>824</v>
      </c>
      <c r="J23116">
        <v>5</v>
      </c>
    </row>
    <row r="23117" spans="1:10" x14ac:dyDescent="0.25">
      <c r="A23117" t="s">
        <v>1639</v>
      </c>
      <c r="B23117" s="1" t="str">
        <f>HYPERLINK("http://evobus.fr","evobus.fr")</f>
        <v>evobus.fr</v>
      </c>
      <c r="C23117" t="s">
        <v>446</v>
      </c>
      <c r="D23117" t="s">
        <v>824</v>
      </c>
      <c r="F23117">
        <v>7.85134249624218E-9</v>
      </c>
      <c r="G23117">
        <v>10211803</v>
      </c>
      <c r="H23117">
        <v>12094151</v>
      </c>
      <c r="I23117">
        <v>26116646</v>
      </c>
      <c r="J23117">
        <v>4</v>
      </c>
    </row>
    <row r="23118" spans="1:10" x14ac:dyDescent="0.25">
      <c r="A23118" t="s">
        <v>1639</v>
      </c>
      <c r="B23118" s="1" t="str">
        <f>HYPERLINK("http://mercedes.fr","mercedes.fr")</f>
        <v>mercedes.fr</v>
      </c>
      <c r="C23118" t="s">
        <v>446</v>
      </c>
      <c r="D23118" t="s">
        <v>824</v>
      </c>
      <c r="F23118">
        <v>3.89337946614524E-8</v>
      </c>
      <c r="G23118">
        <v>1324407</v>
      </c>
      <c r="H23118">
        <v>14082923</v>
      </c>
      <c r="I23118">
        <v>2796914</v>
      </c>
      <c r="J23118">
        <v>3</v>
      </c>
    </row>
    <row r="23119" spans="1:10" x14ac:dyDescent="0.25">
      <c r="A23119" t="s">
        <v>1639</v>
      </c>
      <c r="B23119" s="1" t="str">
        <f>HYPERLINK("http://mercedes-benz.fr","mercedes-benz.fr")</f>
        <v>mercedes-benz.fr</v>
      </c>
      <c r="C23119" t="s">
        <v>446</v>
      </c>
      <c r="D23119" t="s">
        <v>824</v>
      </c>
      <c r="E23119">
        <v>158625</v>
      </c>
      <c r="F23119">
        <v>2.8375047969022701E-7</v>
      </c>
      <c r="G23119">
        <v>131001</v>
      </c>
      <c r="H23119">
        <v>14423217</v>
      </c>
      <c r="I23119">
        <v>1083521</v>
      </c>
      <c r="J23119">
        <v>3</v>
      </c>
    </row>
    <row r="23120" spans="1:10" x14ac:dyDescent="0.25">
      <c r="A23120" t="s">
        <v>1639</v>
      </c>
      <c r="B23120" s="1" t="str">
        <f>HYPERLINK("http://mercedes-benz-mag.fr","mercedes-benz-mag.fr")</f>
        <v>mercedes-benz-mag.fr</v>
      </c>
      <c r="C23120" t="s">
        <v>446</v>
      </c>
      <c r="D23120" t="s">
        <v>824</v>
      </c>
      <c r="F23120">
        <v>1.3489419524762E-8</v>
      </c>
      <c r="G23120">
        <v>4408122</v>
      </c>
      <c r="H23120">
        <v>12662261</v>
      </c>
      <c r="I23120">
        <v>15704110</v>
      </c>
      <c r="J23120">
        <v>3</v>
      </c>
    </row>
    <row r="23121" spans="1:10" x14ac:dyDescent="0.25">
      <c r="A23121" t="s">
        <v>1639</v>
      </c>
      <c r="B23121" s="1" t="str">
        <f>HYPERLINK("http://mercedes-benz.gr","mercedes-benz.gr")</f>
        <v>mercedes-benz.gr</v>
      </c>
      <c r="C23121" t="s">
        <v>447</v>
      </c>
      <c r="D23121" t="s">
        <v>825</v>
      </c>
      <c r="F23121">
        <v>9.8481272328505199E-8</v>
      </c>
      <c r="G23121">
        <v>409490</v>
      </c>
      <c r="H23121">
        <v>14600550</v>
      </c>
      <c r="I23121">
        <v>685848</v>
      </c>
      <c r="J23121">
        <v>3</v>
      </c>
    </row>
    <row r="23122" spans="1:10" x14ac:dyDescent="0.25">
      <c r="A23122" t="s">
        <v>1639</v>
      </c>
      <c r="B23122" s="1" t="str">
        <f>HYPERLINK("http://mercedes-benz.com.hk","mercedes-benz.com.hk")</f>
        <v>mercedes-benz.com.hk</v>
      </c>
      <c r="C23122" t="s">
        <v>450</v>
      </c>
      <c r="D23122" t="s">
        <v>827</v>
      </c>
      <c r="F23122">
        <v>6.8636182662558997E-8</v>
      </c>
      <c r="G23122">
        <v>619930</v>
      </c>
      <c r="H23122">
        <v>13784858</v>
      </c>
      <c r="I23122">
        <v>6407932</v>
      </c>
      <c r="J23122">
        <v>3</v>
      </c>
    </row>
    <row r="23123" spans="1:10" x14ac:dyDescent="0.25">
      <c r="A23123" t="s">
        <v>1639</v>
      </c>
      <c r="B23123" s="1" t="str">
        <f>HYPERLINK("http://mercedes-benz.hr","mercedes-benz.hr")</f>
        <v>mercedes-benz.hr</v>
      </c>
      <c r="C23123" t="s">
        <v>452</v>
      </c>
      <c r="D23123" t="s">
        <v>829</v>
      </c>
      <c r="F23123">
        <v>9.7981659497385903E-8</v>
      </c>
      <c r="G23123">
        <v>411831</v>
      </c>
      <c r="H23123">
        <v>14170840</v>
      </c>
      <c r="I23123">
        <v>1803198</v>
      </c>
      <c r="J23123">
        <v>3</v>
      </c>
    </row>
    <row r="23124" spans="1:10" x14ac:dyDescent="0.25">
      <c r="A23124" t="s">
        <v>1639</v>
      </c>
      <c r="B23124" s="1" t="str">
        <f>HYPERLINK("http://mercedes-benz.hu","mercedes-benz.hu")</f>
        <v>mercedes-benz.hu</v>
      </c>
      <c r="C23124" t="s">
        <v>453</v>
      </c>
      <c r="D23124" t="s">
        <v>830</v>
      </c>
      <c r="E23124">
        <v>922233</v>
      </c>
      <c r="F23124">
        <v>1.1411696911878899E-7</v>
      </c>
      <c r="G23124">
        <v>349060</v>
      </c>
      <c r="H23124">
        <v>14823757</v>
      </c>
      <c r="I23124">
        <v>513111</v>
      </c>
      <c r="J23124">
        <v>3</v>
      </c>
    </row>
    <row r="23125" spans="1:10" x14ac:dyDescent="0.25">
      <c r="A23125" t="s">
        <v>1639</v>
      </c>
      <c r="B23125" s="1" t="str">
        <f>HYPERLINK("http://mercedes-benz.co.id","mercedes-benz.co.id")</f>
        <v>mercedes-benz.co.id</v>
      </c>
      <c r="C23125" t="s">
        <v>454</v>
      </c>
      <c r="D23125" t="s">
        <v>831</v>
      </c>
      <c r="F23125">
        <v>9.5693521013360998E-8</v>
      </c>
      <c r="G23125">
        <v>423126</v>
      </c>
      <c r="H23125">
        <v>14821142</v>
      </c>
      <c r="I23125">
        <v>516365</v>
      </c>
      <c r="J23125">
        <v>3</v>
      </c>
    </row>
    <row r="23126" spans="1:10" x14ac:dyDescent="0.25">
      <c r="A23126" t="s">
        <v>1639</v>
      </c>
      <c r="B23126" s="1" t="str">
        <f>HYPERLINK("http://mercedes-benz.ie","mercedes-benz.ie")</f>
        <v>mercedes-benz.ie</v>
      </c>
      <c r="C23126" t="s">
        <v>455</v>
      </c>
      <c r="D23126" t="s">
        <v>832</v>
      </c>
      <c r="F23126">
        <v>8.8361585473635305E-8</v>
      </c>
      <c r="G23126">
        <v>463365</v>
      </c>
      <c r="H23126">
        <v>14577262</v>
      </c>
      <c r="I23126">
        <v>718361</v>
      </c>
      <c r="J23126">
        <v>3</v>
      </c>
    </row>
    <row r="23127" spans="1:10" x14ac:dyDescent="0.25">
      <c r="A23127" t="s">
        <v>1639</v>
      </c>
      <c r="B23127" s="1" t="str">
        <f>HYPERLINK("http://mercedes-benz.co.in","mercedes-benz.co.in")</f>
        <v>mercedes-benz.co.in</v>
      </c>
      <c r="C23127" t="s">
        <v>457</v>
      </c>
      <c r="D23127" t="s">
        <v>834</v>
      </c>
      <c r="E23127">
        <v>187785</v>
      </c>
      <c r="F23127">
        <v>1.2699791184806101E-7</v>
      </c>
      <c r="G23127">
        <v>310530</v>
      </c>
      <c r="H23127">
        <v>14868251</v>
      </c>
      <c r="I23127">
        <v>480157</v>
      </c>
      <c r="J23127">
        <v>3</v>
      </c>
    </row>
    <row r="23128" spans="1:10" x14ac:dyDescent="0.25">
      <c r="A23128" t="s">
        <v>1639</v>
      </c>
      <c r="B23128" s="1" t="str">
        <f>HYPERLINK("http://mercedes-benzbubhandari.in","mercedes-benzbubhandari.in")</f>
        <v>mercedes-benzbubhandari.in</v>
      </c>
      <c r="C23128" t="s">
        <v>457</v>
      </c>
      <c r="D23128" t="s">
        <v>834</v>
      </c>
      <c r="J23128">
        <v>6</v>
      </c>
    </row>
    <row r="23129" spans="1:10" x14ac:dyDescent="0.25">
      <c r="A23129" t="s">
        <v>1639</v>
      </c>
      <c r="B23129" s="1" t="str">
        <f>HYPERLINK("http://mbition.io","mbition.io")</f>
        <v>mbition.io</v>
      </c>
      <c r="C23129" t="s">
        <v>518</v>
      </c>
      <c r="F23129">
        <v>4.6647337829207098E-8</v>
      </c>
      <c r="G23129">
        <v>1001954</v>
      </c>
      <c r="H23129">
        <v>13828794</v>
      </c>
      <c r="I23129">
        <v>6114656</v>
      </c>
      <c r="J23129">
        <v>3</v>
      </c>
    </row>
    <row r="23130" spans="1:10" x14ac:dyDescent="0.25">
      <c r="A23130" t="s">
        <v>1639</v>
      </c>
      <c r="B23130" s="1" t="str">
        <f>HYPERLINK("http://mercedes-benz.io","mercedes-benz.io")</f>
        <v>mercedes-benz.io</v>
      </c>
      <c r="C23130" t="s">
        <v>518</v>
      </c>
      <c r="E23130">
        <v>329317</v>
      </c>
      <c r="F23130">
        <v>5.6455197640147802E-8</v>
      </c>
      <c r="G23130">
        <v>792199</v>
      </c>
      <c r="H23130">
        <v>14225968</v>
      </c>
      <c r="I23130">
        <v>1679199</v>
      </c>
      <c r="J23130">
        <v>3</v>
      </c>
    </row>
    <row r="23131" spans="1:10" x14ac:dyDescent="0.25">
      <c r="A23131" t="s">
        <v>1639</v>
      </c>
      <c r="B23131" s="1" t="str">
        <f>HYPERLINK("http://mercedes-benz.is","mercedes-benz.is")</f>
        <v>mercedes-benz.is</v>
      </c>
      <c r="C23131" t="s">
        <v>594</v>
      </c>
      <c r="D23131" t="s">
        <v>929</v>
      </c>
      <c r="F23131">
        <v>5.3019887572793598E-8</v>
      </c>
      <c r="G23131">
        <v>858985</v>
      </c>
      <c r="H23131">
        <v>12505223</v>
      </c>
      <c r="I23131">
        <v>17293658</v>
      </c>
      <c r="J23131">
        <v>3</v>
      </c>
    </row>
    <row r="23132" spans="1:10" x14ac:dyDescent="0.25">
      <c r="A23132" t="s">
        <v>1639</v>
      </c>
      <c r="B23132" s="1" t="str">
        <f>HYPERLINK("http://athloncarlease.it","athloncarlease.it")</f>
        <v>athloncarlease.it</v>
      </c>
      <c r="C23132" t="s">
        <v>459</v>
      </c>
      <c r="D23132" t="s">
        <v>835</v>
      </c>
      <c r="F23132">
        <v>4.6308928688613202E-9</v>
      </c>
      <c r="G23132">
        <v>45385111</v>
      </c>
      <c r="H23132">
        <v>10430658</v>
      </c>
      <c r="I23132">
        <v>53414006</v>
      </c>
      <c r="J23132">
        <v>5</v>
      </c>
    </row>
    <row r="23133" spans="1:10" x14ac:dyDescent="0.25">
      <c r="A23133" t="s">
        <v>1639</v>
      </c>
      <c r="B23133" s="1" t="str">
        <f>HYPERLINK("http://mercedes-benz.it","mercedes-benz.it")</f>
        <v>mercedes-benz.it</v>
      </c>
      <c r="C23133" t="s">
        <v>459</v>
      </c>
      <c r="D23133" t="s">
        <v>835</v>
      </c>
      <c r="E23133">
        <v>224049</v>
      </c>
      <c r="F23133">
        <v>2.32203596483869E-7</v>
      </c>
      <c r="G23133">
        <v>161672</v>
      </c>
      <c r="H23133">
        <v>14561469</v>
      </c>
      <c r="I23133">
        <v>744890</v>
      </c>
      <c r="J23133">
        <v>3</v>
      </c>
    </row>
    <row r="23134" spans="1:10" x14ac:dyDescent="0.25">
      <c r="A23134" t="s">
        <v>1639</v>
      </c>
      <c r="B23134" s="1" t="str">
        <f>HYPERLINK("http://mercedesbenzroma.it","mercedesbenzroma.it")</f>
        <v>mercedesbenzroma.it</v>
      </c>
      <c r="C23134" t="s">
        <v>459</v>
      </c>
      <c r="D23134" t="s">
        <v>835</v>
      </c>
      <c r="F23134">
        <v>7.9863451313623895E-9</v>
      </c>
      <c r="G23134">
        <v>9945839</v>
      </c>
      <c r="H23134">
        <v>12856889</v>
      </c>
      <c r="I23134">
        <v>14221653</v>
      </c>
      <c r="J23134">
        <v>3</v>
      </c>
    </row>
    <row r="23135" spans="1:10" x14ac:dyDescent="0.25">
      <c r="A23135" t="s">
        <v>1639</v>
      </c>
      <c r="B23135" s="1" t="str">
        <f>HYPERLINK("http://mercedes-benz.co.jp","mercedes-benz.co.jp")</f>
        <v>mercedes-benz.co.jp</v>
      </c>
      <c r="C23135" t="s">
        <v>461</v>
      </c>
      <c r="D23135" t="s">
        <v>837</v>
      </c>
      <c r="E23135">
        <v>264698</v>
      </c>
      <c r="F23135">
        <v>3.2399832636634901E-7</v>
      </c>
      <c r="G23135">
        <v>114911</v>
      </c>
      <c r="H23135">
        <v>14639730</v>
      </c>
      <c r="I23135">
        <v>637578</v>
      </c>
      <c r="J23135">
        <v>3</v>
      </c>
    </row>
    <row r="23136" spans="1:10" x14ac:dyDescent="0.25">
      <c r="A23136" t="s">
        <v>1639</v>
      </c>
      <c r="B23136" s="1" t="str">
        <f>HYPERLINK("http://mercedes-benz.jp","mercedes-benz.jp")</f>
        <v>mercedes-benz.jp</v>
      </c>
      <c r="C23136" t="s">
        <v>461</v>
      </c>
      <c r="D23136" t="s">
        <v>837</v>
      </c>
      <c r="E23136">
        <v>743751</v>
      </c>
      <c r="F23136">
        <v>1.63628811970598E-7</v>
      </c>
      <c r="G23136">
        <v>237205</v>
      </c>
      <c r="H23136">
        <v>14221818</v>
      </c>
      <c r="I23136">
        <v>1684404</v>
      </c>
      <c r="J23136">
        <v>3</v>
      </c>
    </row>
    <row r="23137" spans="1:10" x14ac:dyDescent="0.25">
      <c r="A23137" t="s">
        <v>1639</v>
      </c>
      <c r="B23137" s="1" t="str">
        <f>HYPERLINK("http://mercedes-benz.co.kr","mercedes-benz.co.kr")</f>
        <v>mercedes-benz.co.kr</v>
      </c>
      <c r="C23137" t="s">
        <v>463</v>
      </c>
      <c r="D23137" t="s">
        <v>839</v>
      </c>
      <c r="E23137">
        <v>444836</v>
      </c>
      <c r="F23137">
        <v>1.18377651493808E-7</v>
      </c>
      <c r="G23137">
        <v>334584</v>
      </c>
      <c r="H23137">
        <v>14112702</v>
      </c>
      <c r="I23137">
        <v>2669035</v>
      </c>
      <c r="J23137">
        <v>3</v>
      </c>
    </row>
    <row r="23138" spans="1:10" x14ac:dyDescent="0.25">
      <c r="A23138" t="s">
        <v>1639</v>
      </c>
      <c r="B23138" s="1" t="str">
        <f>HYPERLINK("http://mercedes-benz-financial.co.kr","mercedes-benz-financial.co.kr")</f>
        <v>mercedes-benz-financial.co.kr</v>
      </c>
      <c r="C23138" t="s">
        <v>463</v>
      </c>
      <c r="D23138" t="s">
        <v>839</v>
      </c>
      <c r="F23138">
        <v>8.5923710937738902E-9</v>
      </c>
      <c r="G23138">
        <v>8670193</v>
      </c>
      <c r="H23138">
        <v>12940046</v>
      </c>
      <c r="I23138">
        <v>13290956</v>
      </c>
      <c r="J23138">
        <v>3</v>
      </c>
    </row>
    <row r="23139" spans="1:10" x14ac:dyDescent="0.25">
      <c r="A23139" t="s">
        <v>1639</v>
      </c>
      <c r="B23139" s="1" t="str">
        <f>HYPERLINK("http://heremaps.kr","heremaps.kr")</f>
        <v>heremaps.kr</v>
      </c>
      <c r="C23139" t="s">
        <v>463</v>
      </c>
      <c r="D23139" t="s">
        <v>839</v>
      </c>
      <c r="F23139">
        <v>5.4113136049873303E-9</v>
      </c>
      <c r="G23139">
        <v>21969692</v>
      </c>
      <c r="H23139">
        <v>10530088</v>
      </c>
      <c r="I23139">
        <v>48317627</v>
      </c>
      <c r="J23139">
        <v>6</v>
      </c>
    </row>
    <row r="23140" spans="1:10" x14ac:dyDescent="0.25">
      <c r="A23140" t="s">
        <v>1639</v>
      </c>
      <c r="B23140" s="1" t="str">
        <f>HYPERLINK("http://setra-bus.link","setra-bus.link")</f>
        <v>setra-bus.link</v>
      </c>
      <c r="C23140" t="s">
        <v>546</v>
      </c>
      <c r="F23140">
        <v>4.6215025734719499E-9</v>
      </c>
      <c r="G23140">
        <v>46030532</v>
      </c>
      <c r="H23140">
        <v>10856931</v>
      </c>
      <c r="I23140">
        <v>36725374</v>
      </c>
      <c r="J23140">
        <v>5</v>
      </c>
    </row>
    <row r="23141" spans="1:10" x14ac:dyDescent="0.25">
      <c r="A23141" t="s">
        <v>1639</v>
      </c>
      <c r="B23141" s="1" t="str">
        <f>HYPERLINK("http://mercedes-benz.com.lk","mercedes-benz.com.lk")</f>
        <v>mercedes-benz.com.lk</v>
      </c>
      <c r="C23141" t="s">
        <v>466</v>
      </c>
      <c r="D23141" t="s">
        <v>842</v>
      </c>
      <c r="F23141">
        <v>5.3990283942966302E-9</v>
      </c>
      <c r="G23141">
        <v>22126674</v>
      </c>
      <c r="H23141">
        <v>10531605</v>
      </c>
      <c r="I23141">
        <v>48112877</v>
      </c>
      <c r="J23141">
        <v>4</v>
      </c>
    </row>
    <row r="23142" spans="1:10" x14ac:dyDescent="0.25">
      <c r="A23142" t="s">
        <v>1639</v>
      </c>
      <c r="B23142" s="1" t="str">
        <f>HYPERLINK("http://mercedes-benz.lk","mercedes-benz.lk")</f>
        <v>mercedes-benz.lk</v>
      </c>
      <c r="C23142" t="s">
        <v>466</v>
      </c>
      <c r="D23142" t="s">
        <v>842</v>
      </c>
      <c r="F23142">
        <v>1.32704962556679E-8</v>
      </c>
      <c r="G23142">
        <v>4506481</v>
      </c>
      <c r="H23142">
        <v>12475834</v>
      </c>
      <c r="I23142">
        <v>17638224</v>
      </c>
      <c r="J23142">
        <v>3</v>
      </c>
    </row>
    <row r="23143" spans="1:10" x14ac:dyDescent="0.25">
      <c r="A23143" t="s">
        <v>1639</v>
      </c>
      <c r="B23143" s="1" t="str">
        <f>HYPERLINK("http://mercedes-benz.lt","mercedes-benz.lt")</f>
        <v>mercedes-benz.lt</v>
      </c>
      <c r="C23143" t="s">
        <v>467</v>
      </c>
      <c r="D23143" t="s">
        <v>843</v>
      </c>
      <c r="F23143">
        <v>6.9959958912330498E-8</v>
      </c>
      <c r="G23143">
        <v>605711</v>
      </c>
      <c r="H23143">
        <v>12544498</v>
      </c>
      <c r="I23143">
        <v>16891599</v>
      </c>
      <c r="J23143">
        <v>3</v>
      </c>
    </row>
    <row r="23144" spans="1:10" x14ac:dyDescent="0.25">
      <c r="A23144" t="s">
        <v>1639</v>
      </c>
      <c r="B23144" s="1" t="str">
        <f>HYPERLINK("http://silberauto.lt","silberauto.lt")</f>
        <v>silberauto.lt</v>
      </c>
      <c r="C23144" t="s">
        <v>467</v>
      </c>
      <c r="D23144" t="s">
        <v>843</v>
      </c>
      <c r="F23144">
        <v>8.9919524720010498E-9</v>
      </c>
      <c r="G23144">
        <v>8003472</v>
      </c>
      <c r="H23144">
        <v>12204381</v>
      </c>
      <c r="I23144">
        <v>23204512</v>
      </c>
      <c r="J23144">
        <v>5</v>
      </c>
    </row>
    <row r="23145" spans="1:10" x14ac:dyDescent="0.25">
      <c r="A23145" t="s">
        <v>1639</v>
      </c>
      <c r="B23145" s="1" t="str">
        <f>HYPERLINK("http://athloncarlease.lu","athloncarlease.lu")</f>
        <v>athloncarlease.lu</v>
      </c>
      <c r="C23145" t="s">
        <v>547</v>
      </c>
      <c r="D23145" t="s">
        <v>904</v>
      </c>
      <c r="F23145">
        <v>4.62527603648913E-9</v>
      </c>
      <c r="G23145">
        <v>45755290</v>
      </c>
      <c r="H23145">
        <v>10633218</v>
      </c>
      <c r="I23145">
        <v>43910772</v>
      </c>
      <c r="J23145">
        <v>5</v>
      </c>
    </row>
    <row r="23146" spans="1:10" x14ac:dyDescent="0.25">
      <c r="A23146" t="s">
        <v>1639</v>
      </c>
      <c r="B23146" s="1" t="str">
        <f>HYPERLINK("http://mercedes-benz.lu","mercedes-benz.lu")</f>
        <v>mercedes-benz.lu</v>
      </c>
      <c r="C23146" t="s">
        <v>547</v>
      </c>
      <c r="D23146" t="s">
        <v>904</v>
      </c>
      <c r="F23146">
        <v>6.0496357421176094E-8</v>
      </c>
      <c r="G23146">
        <v>728852</v>
      </c>
      <c r="H23146">
        <v>12659041</v>
      </c>
      <c r="I23146">
        <v>15727737</v>
      </c>
      <c r="J23146">
        <v>3</v>
      </c>
    </row>
    <row r="23147" spans="1:10" x14ac:dyDescent="0.25">
      <c r="A23147" t="s">
        <v>1639</v>
      </c>
      <c r="B23147" s="1" t="str">
        <f>HYPERLINK("http://mercedes-benz.lv","mercedes-benz.lv")</f>
        <v>mercedes-benz.lv</v>
      </c>
      <c r="C23147" t="s">
        <v>468</v>
      </c>
      <c r="D23147" t="s">
        <v>844</v>
      </c>
      <c r="F23147">
        <v>5.6880485930741603E-8</v>
      </c>
      <c r="G23147">
        <v>785285</v>
      </c>
      <c r="H23147">
        <v>14073439</v>
      </c>
      <c r="I23147">
        <v>2994736</v>
      </c>
      <c r="J23147">
        <v>3</v>
      </c>
    </row>
    <row r="23148" spans="1:10" x14ac:dyDescent="0.25">
      <c r="A23148" t="s">
        <v>1639</v>
      </c>
      <c r="B23148" s="1" t="str">
        <f>HYPERLINK("http://mercedes-benz.ma","mercedes-benz.ma")</f>
        <v>mercedes-benz.ma</v>
      </c>
      <c r="C23148" t="s">
        <v>469</v>
      </c>
      <c r="D23148" t="s">
        <v>845</v>
      </c>
      <c r="F23148">
        <v>5.8591735339489903E-8</v>
      </c>
      <c r="G23148">
        <v>757819</v>
      </c>
      <c r="H23148">
        <v>16751209</v>
      </c>
      <c r="I23148">
        <v>271779</v>
      </c>
      <c r="J23148">
        <v>3</v>
      </c>
    </row>
    <row r="23149" spans="1:10" x14ac:dyDescent="0.25">
      <c r="A23149" t="s">
        <v>1639</v>
      </c>
      <c r="B23149" s="1" t="str">
        <f>HYPERLINK("http://mercedes-benz.com.mk","mercedes-benz.com.mk")</f>
        <v>mercedes-benz.com.mk</v>
      </c>
      <c r="C23149" t="s">
        <v>531</v>
      </c>
      <c r="D23149" t="s">
        <v>895</v>
      </c>
      <c r="F23149">
        <v>9.0934419148151002E-9</v>
      </c>
      <c r="G23149">
        <v>7855903</v>
      </c>
      <c r="H23149">
        <v>12426046</v>
      </c>
      <c r="I23149">
        <v>18362666</v>
      </c>
      <c r="J23149">
        <v>3</v>
      </c>
    </row>
    <row r="23150" spans="1:10" x14ac:dyDescent="0.25">
      <c r="A23150" t="s">
        <v>1639</v>
      </c>
      <c r="B23150" s="1" t="str">
        <f>HYPERLINK("http://mercedes-benz.mn","mercedes-benz.mn")</f>
        <v>mercedes-benz.mn</v>
      </c>
      <c r="C23150" t="s">
        <v>652</v>
      </c>
      <c r="D23150" t="s">
        <v>971</v>
      </c>
      <c r="F23150">
        <v>9.5398175142584806E-9</v>
      </c>
      <c r="G23150">
        <v>7274835</v>
      </c>
      <c r="H23150">
        <v>12421065</v>
      </c>
      <c r="I23150">
        <v>18434403</v>
      </c>
      <c r="J23150">
        <v>3</v>
      </c>
    </row>
    <row r="23151" spans="1:10" x14ac:dyDescent="0.25">
      <c r="A23151" t="s">
        <v>1639</v>
      </c>
      <c r="B23151" s="1" t="str">
        <f>HYPERLINK("http://mercedes-benz.com.mt","mercedes-benz.com.mt")</f>
        <v>mercedes-benz.com.mt</v>
      </c>
      <c r="C23151" t="s">
        <v>597</v>
      </c>
      <c r="D23151" t="s">
        <v>932</v>
      </c>
      <c r="F23151">
        <v>5.2790717821667201E-8</v>
      </c>
      <c r="G23151">
        <v>863132</v>
      </c>
      <c r="H23151">
        <v>12522283</v>
      </c>
      <c r="I23151">
        <v>17125679</v>
      </c>
      <c r="J23151">
        <v>3</v>
      </c>
    </row>
    <row r="23152" spans="1:10" x14ac:dyDescent="0.25">
      <c r="A23152" t="s">
        <v>1639</v>
      </c>
      <c r="B23152" s="1" t="str">
        <f>HYPERLINK("http://daimler.com.mx","daimler.com.mx")</f>
        <v>daimler.com.mx</v>
      </c>
      <c r="C23152" t="s">
        <v>471</v>
      </c>
      <c r="D23152" t="s">
        <v>847</v>
      </c>
      <c r="F23152">
        <v>8.0010410842567494E-9</v>
      </c>
      <c r="G23152">
        <v>9918779</v>
      </c>
      <c r="H23152">
        <v>14073176</v>
      </c>
      <c r="I23152">
        <v>3011800</v>
      </c>
      <c r="J23152">
        <v>3</v>
      </c>
    </row>
    <row r="23153" spans="1:10" x14ac:dyDescent="0.25">
      <c r="A23153" t="s">
        <v>1639</v>
      </c>
      <c r="B23153" s="1" t="str">
        <f>HYPERLINK("http://mercedes-benz.com.mx","mercedes-benz.com.mx")</f>
        <v>mercedes-benz.com.mx</v>
      </c>
      <c r="C23153" t="s">
        <v>471</v>
      </c>
      <c r="D23153" t="s">
        <v>847</v>
      </c>
      <c r="E23153">
        <v>427357</v>
      </c>
      <c r="F23153">
        <v>1.05074157915782E-7</v>
      </c>
      <c r="G23153">
        <v>381328</v>
      </c>
      <c r="H23153">
        <v>14206817</v>
      </c>
      <c r="I23153">
        <v>1709962</v>
      </c>
      <c r="J23153">
        <v>3</v>
      </c>
    </row>
    <row r="23154" spans="1:10" x14ac:dyDescent="0.25">
      <c r="A23154" t="s">
        <v>1639</v>
      </c>
      <c r="B23154" s="1" t="str">
        <f>HYPERLINK("http://mercedes-benz.com.my","mercedes-benz.com.my")</f>
        <v>mercedes-benz.com.my</v>
      </c>
      <c r="C23154" t="s">
        <v>472</v>
      </c>
      <c r="D23154" t="s">
        <v>848</v>
      </c>
      <c r="E23154">
        <v>676311</v>
      </c>
      <c r="F23154">
        <v>8.2914341495201206E-8</v>
      </c>
      <c r="G23154">
        <v>503099</v>
      </c>
      <c r="H23154">
        <v>14317159</v>
      </c>
      <c r="I23154">
        <v>1334481</v>
      </c>
      <c r="J23154">
        <v>3</v>
      </c>
    </row>
    <row r="23155" spans="1:10" x14ac:dyDescent="0.25">
      <c r="A23155" t="s">
        <v>1639</v>
      </c>
      <c r="B23155" s="1" t="str">
        <f>HYPERLINK("http://mercedes-benz.net","mercedes-benz.net")</f>
        <v>mercedes-benz.net</v>
      </c>
      <c r="C23155" t="s">
        <v>474</v>
      </c>
      <c r="F23155">
        <v>1.13455044109495E-7</v>
      </c>
      <c r="G23155">
        <v>351461</v>
      </c>
      <c r="H23155">
        <v>12444544</v>
      </c>
      <c r="I23155">
        <v>18089950</v>
      </c>
      <c r="J23155">
        <v>3</v>
      </c>
    </row>
    <row r="23156" spans="1:10" x14ac:dyDescent="0.25">
      <c r="A23156" t="s">
        <v>1639</v>
      </c>
      <c r="B23156" s="1" t="str">
        <f>HYPERLINK("http://mercedes-benz.com.ng","mercedes-benz.com.ng")</f>
        <v>mercedes-benz.com.ng</v>
      </c>
      <c r="C23156" t="s">
        <v>475</v>
      </c>
      <c r="D23156" t="s">
        <v>850</v>
      </c>
      <c r="F23156">
        <v>8.8481006711101992E-9</v>
      </c>
      <c r="G23156">
        <v>8227442</v>
      </c>
      <c r="H23156">
        <v>12396919</v>
      </c>
      <c r="I23156">
        <v>18896829</v>
      </c>
      <c r="J23156">
        <v>3</v>
      </c>
    </row>
    <row r="23157" spans="1:10" x14ac:dyDescent="0.25">
      <c r="A23157" t="s">
        <v>1639</v>
      </c>
      <c r="B23157" s="1" t="str">
        <f>HYPERLINK("http://athlonservicecenter.nl","athlonservicecenter.nl")</f>
        <v>athlonservicecenter.nl</v>
      </c>
      <c r="C23157" t="s">
        <v>477</v>
      </c>
      <c r="D23157" t="s">
        <v>852</v>
      </c>
      <c r="F23157">
        <v>4.4490948089144802E-9</v>
      </c>
      <c r="G23157">
        <v>72433987</v>
      </c>
      <c r="H23157">
        <v>11033535</v>
      </c>
      <c r="I23157">
        <v>33033392</v>
      </c>
      <c r="J23157">
        <v>5</v>
      </c>
    </row>
    <row r="23158" spans="1:10" x14ac:dyDescent="0.25">
      <c r="A23158" t="s">
        <v>1639</v>
      </c>
      <c r="B23158" s="1" t="str">
        <f>HYPERLINK("http://dtfs.nl","dtfs.nl")</f>
        <v>dtfs.nl</v>
      </c>
      <c r="C23158" t="s">
        <v>477</v>
      </c>
      <c r="D23158" t="s">
        <v>852</v>
      </c>
      <c r="F23158">
        <v>7.82901438502813E-9</v>
      </c>
      <c r="G23158">
        <v>10257681</v>
      </c>
      <c r="H23158">
        <v>10924752</v>
      </c>
      <c r="I23158">
        <v>35177219</v>
      </c>
      <c r="J23158">
        <v>4</v>
      </c>
    </row>
    <row r="23159" spans="1:10" x14ac:dyDescent="0.25">
      <c r="A23159" t="s">
        <v>1639</v>
      </c>
      <c r="B23159" s="1" t="str">
        <f>HYPERLINK("http://frieslandlease.nl","frieslandlease.nl")</f>
        <v>frieslandlease.nl</v>
      </c>
      <c r="C23159" t="s">
        <v>477</v>
      </c>
      <c r="D23159" t="s">
        <v>852</v>
      </c>
      <c r="F23159">
        <v>3.2225500900136103E-8</v>
      </c>
      <c r="G23159">
        <v>1604614</v>
      </c>
      <c r="H23159">
        <v>12368486</v>
      </c>
      <c r="I23159">
        <v>19441830</v>
      </c>
      <c r="J23159">
        <v>3</v>
      </c>
    </row>
    <row r="23160" spans="1:10" x14ac:dyDescent="0.25">
      <c r="A23160" t="s">
        <v>1639</v>
      </c>
      <c r="B23160" s="1" t="str">
        <f>HYPERLINK("http://mercedes-benz.nl","mercedes-benz.nl")</f>
        <v>mercedes-benz.nl</v>
      </c>
      <c r="C23160" t="s">
        <v>477</v>
      </c>
      <c r="D23160" t="s">
        <v>852</v>
      </c>
      <c r="E23160">
        <v>259814</v>
      </c>
      <c r="F23160">
        <v>1.80442339842201E-7</v>
      </c>
      <c r="G23160">
        <v>214100</v>
      </c>
      <c r="H23160">
        <v>14329930</v>
      </c>
      <c r="I23160">
        <v>1323564</v>
      </c>
      <c r="J23160">
        <v>3</v>
      </c>
    </row>
    <row r="23161" spans="1:10" x14ac:dyDescent="0.25">
      <c r="A23161" t="s">
        <v>1639</v>
      </c>
      <c r="B23161" s="1" t="str">
        <f>HYPERLINK("http://zuidlease.nl","zuidlease.nl")</f>
        <v>zuidlease.nl</v>
      </c>
      <c r="C23161" t="s">
        <v>477</v>
      </c>
      <c r="D23161" t="s">
        <v>852</v>
      </c>
      <c r="F23161">
        <v>2.5530788227327802E-8</v>
      </c>
      <c r="G23161">
        <v>2020141</v>
      </c>
      <c r="H23161">
        <v>12314484</v>
      </c>
      <c r="I23161">
        <v>20523758</v>
      </c>
      <c r="J23161">
        <v>3</v>
      </c>
    </row>
    <row r="23162" spans="1:10" x14ac:dyDescent="0.25">
      <c r="A23162" t="s">
        <v>1639</v>
      </c>
      <c r="B23162" s="1" t="str">
        <f>HYPERLINK("http://mercedes-benz.no","mercedes-benz.no")</f>
        <v>mercedes-benz.no</v>
      </c>
      <c r="C23162" t="s">
        <v>478</v>
      </c>
      <c r="D23162" t="s">
        <v>853</v>
      </c>
      <c r="F23162">
        <v>7.9172666626789898E-8</v>
      </c>
      <c r="G23162">
        <v>527840</v>
      </c>
      <c r="H23162">
        <v>14265080</v>
      </c>
      <c r="I23162">
        <v>1409480</v>
      </c>
      <c r="J23162">
        <v>3</v>
      </c>
    </row>
    <row r="23163" spans="1:10" x14ac:dyDescent="0.25">
      <c r="A23163" t="s">
        <v>1639</v>
      </c>
      <c r="B23163" s="1" t="str">
        <f>HYPERLINK("http://mercedes-benz.co.nz","mercedes-benz.co.nz")</f>
        <v>mercedes-benz.co.nz</v>
      </c>
      <c r="C23163" t="s">
        <v>479</v>
      </c>
      <c r="D23163" t="s">
        <v>854</v>
      </c>
      <c r="F23163">
        <v>5.8429902889301999E-8</v>
      </c>
      <c r="G23163">
        <v>760337</v>
      </c>
      <c r="H23163">
        <v>14238861</v>
      </c>
      <c r="I23163">
        <v>1519974</v>
      </c>
      <c r="J23163">
        <v>3</v>
      </c>
    </row>
    <row r="23164" spans="1:10" x14ac:dyDescent="0.25">
      <c r="A23164" t="s">
        <v>1639</v>
      </c>
      <c r="B23164" s="1" t="str">
        <f>HYPERLINK("http://mercedes-benz.com.pa","mercedes-benz.com.pa")</f>
        <v>mercedes-benz.com.pa</v>
      </c>
      <c r="C23164" t="s">
        <v>482</v>
      </c>
      <c r="D23164" t="s">
        <v>856</v>
      </c>
      <c r="F23164">
        <v>8.9520651518541301E-9</v>
      </c>
      <c r="G23164">
        <v>8064123</v>
      </c>
      <c r="H23164">
        <v>12396828</v>
      </c>
      <c r="I23164">
        <v>18898158</v>
      </c>
      <c r="J23164">
        <v>3</v>
      </c>
    </row>
    <row r="23165" spans="1:10" x14ac:dyDescent="0.25">
      <c r="A23165" t="s">
        <v>1639</v>
      </c>
      <c r="B23165" s="1" t="str">
        <f>HYPERLINK("http://mercedes-benz.com.pe","mercedes-benz.com.pe")</f>
        <v>mercedes-benz.com.pe</v>
      </c>
      <c r="C23165" t="s">
        <v>483</v>
      </c>
      <c r="D23165" t="s">
        <v>857</v>
      </c>
      <c r="F23165">
        <v>2.1331844159215101E-8</v>
      </c>
      <c r="G23165">
        <v>2470208</v>
      </c>
      <c r="H23165">
        <v>12401871</v>
      </c>
      <c r="I23165">
        <v>18751684</v>
      </c>
      <c r="J23165">
        <v>3</v>
      </c>
    </row>
    <row r="23166" spans="1:10" x14ac:dyDescent="0.25">
      <c r="A23166" t="s">
        <v>1639</v>
      </c>
      <c r="B23166" s="1" t="str">
        <f>HYPERLINK("http://mercedes-benz.ph","mercedes-benz.ph")</f>
        <v>mercedes-benz.ph</v>
      </c>
      <c r="C23166" t="s">
        <v>484</v>
      </c>
      <c r="D23166" t="s">
        <v>858</v>
      </c>
      <c r="F23166">
        <v>2.02052740386482E-8</v>
      </c>
      <c r="G23166">
        <v>2628302</v>
      </c>
      <c r="H23166">
        <v>12547731</v>
      </c>
      <c r="I23166">
        <v>16843507</v>
      </c>
      <c r="J23166">
        <v>3</v>
      </c>
    </row>
    <row r="23167" spans="1:10" x14ac:dyDescent="0.25">
      <c r="A23167" t="s">
        <v>1639</v>
      </c>
      <c r="B23167" s="1" t="str">
        <f>HYPERLINK("http://athloncarlease.pl","athloncarlease.pl")</f>
        <v>athloncarlease.pl</v>
      </c>
      <c r="C23167" t="s">
        <v>486</v>
      </c>
      <c r="D23167" t="s">
        <v>860</v>
      </c>
      <c r="F23167">
        <v>4.5846242999846098E-9</v>
      </c>
      <c r="G23167">
        <v>48870540</v>
      </c>
      <c r="H23167">
        <v>10599702</v>
      </c>
      <c r="I23167">
        <v>44915936</v>
      </c>
      <c r="J23167">
        <v>5</v>
      </c>
    </row>
    <row r="23168" spans="1:10" x14ac:dyDescent="0.25">
      <c r="A23168" t="s">
        <v>1639</v>
      </c>
      <c r="B23168" s="1" t="str">
        <f>HYPERLINK("http://autoidea.pl","autoidea.pl")</f>
        <v>autoidea.pl</v>
      </c>
      <c r="C23168" t="s">
        <v>486</v>
      </c>
      <c r="D23168" t="s">
        <v>860</v>
      </c>
      <c r="F23168">
        <v>6.88283310775739E-9</v>
      </c>
      <c r="G23168">
        <v>12688036</v>
      </c>
      <c r="H23168">
        <v>11107203</v>
      </c>
      <c r="I23168">
        <v>32190494</v>
      </c>
      <c r="J23168">
        <v>5</v>
      </c>
    </row>
    <row r="23169" spans="1:10" x14ac:dyDescent="0.25">
      <c r="A23169" t="s">
        <v>1639</v>
      </c>
      <c r="B23169" s="1" t="str">
        <f>HYPERLINK("http://daimler.pl","daimler.pl")</f>
        <v>daimler.pl</v>
      </c>
      <c r="C23169" t="s">
        <v>486</v>
      </c>
      <c r="D23169" t="s">
        <v>860</v>
      </c>
      <c r="F23169">
        <v>1.5024995332258701E-8</v>
      </c>
      <c r="G23169">
        <v>3831507</v>
      </c>
      <c r="H23169">
        <v>12487539</v>
      </c>
      <c r="I23169">
        <v>17518246</v>
      </c>
      <c r="J23169">
        <v>2</v>
      </c>
    </row>
    <row r="23170" spans="1:10" x14ac:dyDescent="0.25">
      <c r="A23170" t="s">
        <v>1639</v>
      </c>
      <c r="B23170" s="1" t="str">
        <f>HYPERLINK("http://mercedes-benz.pl","mercedes-benz.pl")</f>
        <v>mercedes-benz.pl</v>
      </c>
      <c r="C23170" t="s">
        <v>486</v>
      </c>
      <c r="D23170" t="s">
        <v>860</v>
      </c>
      <c r="E23170">
        <v>280330</v>
      </c>
      <c r="F23170">
        <v>1.8682809788648501E-7</v>
      </c>
      <c r="G23170">
        <v>206269</v>
      </c>
      <c r="H23170">
        <v>14146926</v>
      </c>
      <c r="I23170">
        <v>1892648</v>
      </c>
      <c r="J23170">
        <v>3</v>
      </c>
    </row>
    <row r="23171" spans="1:10" x14ac:dyDescent="0.25">
      <c r="A23171" t="s">
        <v>1639</v>
      </c>
      <c r="B23171" s="1" t="str">
        <f>HYPERLINK("http://mercedes-benz-bank.pl","mercedes-benz-bank.pl")</f>
        <v>mercedes-benz-bank.pl</v>
      </c>
      <c r="C23171" t="s">
        <v>486</v>
      </c>
      <c r="D23171" t="s">
        <v>860</v>
      </c>
      <c r="F23171">
        <v>4.4563818559500603E-9</v>
      </c>
      <c r="G23171">
        <v>68977837</v>
      </c>
      <c r="H23171">
        <v>8717215</v>
      </c>
      <c r="I23171">
        <v>69826982</v>
      </c>
      <c r="J23171">
        <v>3</v>
      </c>
    </row>
    <row r="23172" spans="1:10" x14ac:dyDescent="0.25">
      <c r="A23172" t="s">
        <v>1639</v>
      </c>
      <c r="B23172" s="1" t="str">
        <f>HYPERLINK("http://zasadaauto.pl","zasadaauto.pl")</f>
        <v>zasadaauto.pl</v>
      </c>
      <c r="C23172" t="s">
        <v>486</v>
      </c>
      <c r="D23172" t="s">
        <v>860</v>
      </c>
      <c r="F23172">
        <v>2.01748738572644E-8</v>
      </c>
      <c r="G23172">
        <v>2632632</v>
      </c>
      <c r="H23172">
        <v>12702949</v>
      </c>
      <c r="I23172">
        <v>15339080</v>
      </c>
      <c r="J23172">
        <v>5</v>
      </c>
    </row>
    <row r="23173" spans="1:10" x14ac:dyDescent="0.25">
      <c r="A23173" t="s">
        <v>1639</v>
      </c>
      <c r="B23173" s="1" t="str">
        <f>HYPERLINK("http://mercedes-benz.pt","mercedes-benz.pt")</f>
        <v>mercedes-benz.pt</v>
      </c>
      <c r="C23173" t="s">
        <v>488</v>
      </c>
      <c r="D23173" t="s">
        <v>862</v>
      </c>
      <c r="E23173">
        <v>642876</v>
      </c>
      <c r="F23173">
        <v>1.0967220517666701E-7</v>
      </c>
      <c r="G23173">
        <v>364742</v>
      </c>
      <c r="H23173">
        <v>14603249</v>
      </c>
      <c r="I23173">
        <v>683620</v>
      </c>
      <c r="J23173">
        <v>3</v>
      </c>
    </row>
    <row r="23174" spans="1:10" x14ac:dyDescent="0.25">
      <c r="A23174" t="s">
        <v>1639</v>
      </c>
      <c r="B23174" s="1" t="str">
        <f>HYPERLINK("http://mercedes-benz.ro","mercedes-benz.ro")</f>
        <v>mercedes-benz.ro</v>
      </c>
      <c r="C23174" t="s">
        <v>491</v>
      </c>
      <c r="D23174" t="s">
        <v>865</v>
      </c>
      <c r="E23174">
        <v>718078</v>
      </c>
      <c r="F23174">
        <v>1.09472877729893E-7</v>
      </c>
      <c r="G23174">
        <v>365450</v>
      </c>
      <c r="H23174">
        <v>14689586</v>
      </c>
      <c r="I23174">
        <v>602821</v>
      </c>
      <c r="J23174">
        <v>3</v>
      </c>
    </row>
    <row r="23175" spans="1:10" x14ac:dyDescent="0.25">
      <c r="A23175" t="s">
        <v>1639</v>
      </c>
      <c r="B23175" s="1" t="str">
        <f>HYPERLINK("http://stcu.ro","stcu.ro")</f>
        <v>stcu.ro</v>
      </c>
      <c r="C23175" t="s">
        <v>491</v>
      </c>
      <c r="D23175" t="s">
        <v>865</v>
      </c>
      <c r="F23175">
        <v>1.24054522458189E-8</v>
      </c>
      <c r="G23175">
        <v>4936351</v>
      </c>
      <c r="H23175">
        <v>12401016</v>
      </c>
      <c r="I23175">
        <v>18764501</v>
      </c>
      <c r="J23175">
        <v>3</v>
      </c>
    </row>
    <row r="23176" spans="1:10" x14ac:dyDescent="0.25">
      <c r="A23176" t="s">
        <v>1639</v>
      </c>
      <c r="B23176" s="1" t="str">
        <f>HYPERLINK("http://mercedes-benz.rs","mercedes-benz.rs")</f>
        <v>mercedes-benz.rs</v>
      </c>
      <c r="C23176" t="s">
        <v>492</v>
      </c>
      <c r="D23176" t="s">
        <v>866</v>
      </c>
      <c r="F23176">
        <v>6.2640853184398498E-8</v>
      </c>
      <c r="G23176">
        <v>700372</v>
      </c>
      <c r="H23176">
        <v>12519389</v>
      </c>
      <c r="I23176">
        <v>17157977</v>
      </c>
      <c r="J23176">
        <v>3</v>
      </c>
    </row>
    <row r="23177" spans="1:10" x14ac:dyDescent="0.25">
      <c r="A23177" t="s">
        <v>1639</v>
      </c>
      <c r="B23177" s="1" t="str">
        <f>HYPERLINK("http://daimler.ru","daimler.ru")</f>
        <v>daimler.ru</v>
      </c>
      <c r="C23177" t="s">
        <v>493</v>
      </c>
      <c r="D23177" t="s">
        <v>867</v>
      </c>
      <c r="F23177">
        <v>1.20079975404879E-8</v>
      </c>
      <c r="G23177">
        <v>5170156</v>
      </c>
      <c r="H23177">
        <v>12564629</v>
      </c>
      <c r="I23177">
        <v>16670813</v>
      </c>
      <c r="J23177">
        <v>2</v>
      </c>
    </row>
    <row r="23178" spans="1:10" x14ac:dyDescent="0.25">
      <c r="A23178" t="s">
        <v>1639</v>
      </c>
      <c r="B23178" s="1" t="str">
        <f>HYPERLINK("http://fusotrucks.ru","fusotrucks.ru")</f>
        <v>fusotrucks.ru</v>
      </c>
      <c r="C23178" t="s">
        <v>493</v>
      </c>
      <c r="D23178" t="s">
        <v>867</v>
      </c>
      <c r="E23178">
        <v>905544</v>
      </c>
      <c r="F23178">
        <v>2.0947593480330099E-8</v>
      </c>
      <c r="G23178">
        <v>2523043</v>
      </c>
      <c r="H23178">
        <v>11420312</v>
      </c>
      <c r="I23178">
        <v>30172175</v>
      </c>
      <c r="J23178">
        <v>7</v>
      </c>
    </row>
    <row r="23179" spans="1:10" x14ac:dyDescent="0.25">
      <c r="A23179" t="s">
        <v>1639</v>
      </c>
      <c r="B23179" s="1" t="str">
        <f>HYPERLINK("http://mbbr.ru","mbbr.ru")</f>
        <v>mbbr.ru</v>
      </c>
      <c r="C23179" t="s">
        <v>493</v>
      </c>
      <c r="D23179" t="s">
        <v>867</v>
      </c>
      <c r="F23179">
        <v>2.8743099886843701E-8</v>
      </c>
      <c r="G23179">
        <v>1790592</v>
      </c>
      <c r="H23179">
        <v>12647165</v>
      </c>
      <c r="I23179">
        <v>15819545</v>
      </c>
      <c r="J23179">
        <v>3</v>
      </c>
    </row>
    <row r="23180" spans="1:10" x14ac:dyDescent="0.25">
      <c r="A23180" t="s">
        <v>1639</v>
      </c>
      <c r="B23180" s="1" t="str">
        <f>HYPERLINK("http://mercedes-benz.ru","mercedes-benz.ru")</f>
        <v>mercedes-benz.ru</v>
      </c>
      <c r="C23180" t="s">
        <v>493</v>
      </c>
      <c r="D23180" t="s">
        <v>867</v>
      </c>
      <c r="E23180">
        <v>185317</v>
      </c>
      <c r="F23180">
        <v>3.67651936523519E-7</v>
      </c>
      <c r="G23180">
        <v>101805</v>
      </c>
      <c r="H23180">
        <v>14758230</v>
      </c>
      <c r="I23180">
        <v>561141</v>
      </c>
      <c r="J23180">
        <v>3</v>
      </c>
    </row>
    <row r="23181" spans="1:10" x14ac:dyDescent="0.25">
      <c r="A23181" t="s">
        <v>1639</v>
      </c>
      <c r="B23181" s="1" t="str">
        <f>HYPERLINK("http://daimlerchryslerservices.se","daimlerchryslerservices.se")</f>
        <v>daimlerchryslerservices.se</v>
      </c>
      <c r="C23181" t="s">
        <v>495</v>
      </c>
      <c r="D23181" t="s">
        <v>869</v>
      </c>
      <c r="J23181">
        <v>3</v>
      </c>
    </row>
    <row r="23182" spans="1:10" x14ac:dyDescent="0.25">
      <c r="A23182" t="s">
        <v>1639</v>
      </c>
      <c r="B23182" s="1" t="str">
        <f>HYPERLINK("http://evobus.se","evobus.se")</f>
        <v>evobus.se</v>
      </c>
      <c r="C23182" t="s">
        <v>495</v>
      </c>
      <c r="D23182" t="s">
        <v>869</v>
      </c>
      <c r="F23182">
        <v>8.5786063456656808E-9</v>
      </c>
      <c r="G23182">
        <v>8695351</v>
      </c>
      <c r="H23182">
        <v>12390615</v>
      </c>
      <c r="I23182">
        <v>19021766</v>
      </c>
      <c r="J23182">
        <v>4</v>
      </c>
    </row>
    <row r="23183" spans="1:10" x14ac:dyDescent="0.25">
      <c r="A23183" t="s">
        <v>1639</v>
      </c>
      <c r="B23183" s="1" t="str">
        <f>HYPERLINK("http://mercedes-benz.se","mercedes-benz.se")</f>
        <v>mercedes-benz.se</v>
      </c>
      <c r="C23183" t="s">
        <v>495</v>
      </c>
      <c r="D23183" t="s">
        <v>869</v>
      </c>
      <c r="E23183">
        <v>513816</v>
      </c>
      <c r="F23183">
        <v>1.2082279036892499E-7</v>
      </c>
      <c r="G23183">
        <v>326975</v>
      </c>
      <c r="H23183">
        <v>14500853</v>
      </c>
      <c r="I23183">
        <v>851800</v>
      </c>
      <c r="J23183">
        <v>3</v>
      </c>
    </row>
    <row r="23184" spans="1:10" x14ac:dyDescent="0.25">
      <c r="A23184" t="s">
        <v>1639</v>
      </c>
      <c r="B23184" s="1" t="str">
        <f>HYPERLINK("http://mercedes-benz-malmo.se","mercedes-benz-malmo.se")</f>
        <v>mercedes-benz-malmo.se</v>
      </c>
      <c r="C23184" t="s">
        <v>495</v>
      </c>
      <c r="D23184" t="s">
        <v>869</v>
      </c>
      <c r="F23184">
        <v>9.4204890757357301E-9</v>
      </c>
      <c r="G23184">
        <v>7418914</v>
      </c>
      <c r="H23184">
        <v>12398006</v>
      </c>
      <c r="I23184">
        <v>18883559</v>
      </c>
      <c r="J23184">
        <v>3</v>
      </c>
    </row>
    <row r="23185" spans="1:10" x14ac:dyDescent="0.25">
      <c r="A23185" t="s">
        <v>1639</v>
      </c>
      <c r="B23185" s="1" t="str">
        <f>HYPERLINK("http://mercedes-benz.com.sg","mercedes-benz.com.sg")</f>
        <v>mercedes-benz.com.sg</v>
      </c>
      <c r="C23185" t="s">
        <v>496</v>
      </c>
      <c r="D23185" t="s">
        <v>870</v>
      </c>
      <c r="F23185">
        <v>6.58779773848725E-8</v>
      </c>
      <c r="G23185">
        <v>651774</v>
      </c>
      <c r="H23185">
        <v>13622261</v>
      </c>
      <c r="I23185">
        <v>9624203</v>
      </c>
      <c r="J23185">
        <v>3</v>
      </c>
    </row>
    <row r="23186" spans="1:10" x14ac:dyDescent="0.25">
      <c r="A23186" t="s">
        <v>1639</v>
      </c>
      <c r="B23186" s="1" t="str">
        <f>HYPERLINK("http://mercedes-benz.si","mercedes-benz.si")</f>
        <v>mercedes-benz.si</v>
      </c>
      <c r="C23186" t="s">
        <v>497</v>
      </c>
      <c r="D23186" t="s">
        <v>871</v>
      </c>
      <c r="F23186">
        <v>6.7352931847372497E-8</v>
      </c>
      <c r="G23186">
        <v>634612</v>
      </c>
      <c r="H23186">
        <v>12636853</v>
      </c>
      <c r="I23186">
        <v>15898362</v>
      </c>
      <c r="J23186">
        <v>3</v>
      </c>
    </row>
    <row r="23187" spans="1:10" x14ac:dyDescent="0.25">
      <c r="A23187" t="s">
        <v>1639</v>
      </c>
      <c r="B23187" s="1" t="str">
        <f>HYPERLINK("http://mbfs.sk","mbfs.sk")</f>
        <v>mbfs.sk</v>
      </c>
      <c r="C23187" t="s">
        <v>498</v>
      </c>
      <c r="D23187" t="s">
        <v>872</v>
      </c>
      <c r="J23187">
        <v>3</v>
      </c>
    </row>
    <row r="23188" spans="1:10" x14ac:dyDescent="0.25">
      <c r="A23188" t="s">
        <v>1639</v>
      </c>
      <c r="B23188" s="1" t="str">
        <f>HYPERLINK("http://mercedes-benz.sk","mercedes-benz.sk")</f>
        <v>mercedes-benz.sk</v>
      </c>
      <c r="C23188" t="s">
        <v>498</v>
      </c>
      <c r="D23188" t="s">
        <v>872</v>
      </c>
      <c r="F23188">
        <v>1.0872221861505899E-7</v>
      </c>
      <c r="G23188">
        <v>367990</v>
      </c>
      <c r="H23188">
        <v>14080581</v>
      </c>
      <c r="I23188">
        <v>2818592</v>
      </c>
      <c r="J23188">
        <v>3</v>
      </c>
    </row>
    <row r="23189" spans="1:10" x14ac:dyDescent="0.25">
      <c r="A23189" t="s">
        <v>1639</v>
      </c>
      <c r="B23189" s="1" t="str">
        <f>HYPERLINK("http://mercedes-benz.social","mercedes-benz.social")</f>
        <v>mercedes-benz.social</v>
      </c>
      <c r="C23189" t="s">
        <v>737</v>
      </c>
      <c r="F23189">
        <v>5.7546278055361301E-9</v>
      </c>
      <c r="G23189">
        <v>18460270</v>
      </c>
      <c r="H23189">
        <v>12106203</v>
      </c>
      <c r="I23189">
        <v>25820332</v>
      </c>
      <c r="J23189">
        <v>4</v>
      </c>
    </row>
    <row r="23190" spans="1:10" x14ac:dyDescent="0.25">
      <c r="A23190" t="s">
        <v>1639</v>
      </c>
      <c r="B23190" s="1" t="str">
        <f>HYPERLINK("http://mercedes-benz.co.th","mercedes-benz.co.th")</f>
        <v>mercedes-benz.co.th</v>
      </c>
      <c r="C23190" t="s">
        <v>500</v>
      </c>
      <c r="D23190" t="s">
        <v>874</v>
      </c>
      <c r="E23190">
        <v>682562</v>
      </c>
      <c r="F23190">
        <v>9.4826571255737403E-8</v>
      </c>
      <c r="G23190">
        <v>427706</v>
      </c>
      <c r="H23190">
        <v>14601653</v>
      </c>
      <c r="I23190">
        <v>684890</v>
      </c>
      <c r="J23190">
        <v>3</v>
      </c>
    </row>
    <row r="23191" spans="1:10" x14ac:dyDescent="0.25">
      <c r="A23191" t="s">
        <v>1639</v>
      </c>
      <c r="B23191" s="1" t="str">
        <f>HYPERLINK("http://mercedes-benz-leasing.co.th","mercedes-benz-leasing.co.th")</f>
        <v>mercedes-benz-leasing.co.th</v>
      </c>
      <c r="C23191" t="s">
        <v>500</v>
      </c>
      <c r="D23191" t="s">
        <v>874</v>
      </c>
      <c r="J23191">
        <v>4</v>
      </c>
    </row>
    <row r="23192" spans="1:10" x14ac:dyDescent="0.25">
      <c r="A23192" t="s">
        <v>1639</v>
      </c>
      <c r="B23192" s="1" t="str">
        <f>HYPERLINK("http://mercedes-benz.tn","mercedes-benz.tn")</f>
        <v>mercedes-benz.tn</v>
      </c>
      <c r="C23192" t="s">
        <v>501</v>
      </c>
      <c r="D23192" t="s">
        <v>875</v>
      </c>
      <c r="F23192">
        <v>8.5449127060024295E-9</v>
      </c>
      <c r="G23192">
        <v>8759627</v>
      </c>
      <c r="H23192">
        <v>12396821</v>
      </c>
      <c r="I23192">
        <v>18898275</v>
      </c>
      <c r="J23192">
        <v>3</v>
      </c>
    </row>
    <row r="23193" spans="1:10" x14ac:dyDescent="0.25">
      <c r="A23193" t="s">
        <v>1639</v>
      </c>
      <c r="B23193" s="1" t="str">
        <f>HYPERLINK("http://mercedes-benz.com.tr","mercedes-benz.com.tr")</f>
        <v>mercedes-benz.com.tr</v>
      </c>
      <c r="C23193" t="s">
        <v>502</v>
      </c>
      <c r="D23193" t="s">
        <v>876</v>
      </c>
      <c r="E23193">
        <v>199602</v>
      </c>
      <c r="F23193">
        <v>1.2325980957085799E-7</v>
      </c>
      <c r="G23193">
        <v>320164</v>
      </c>
      <c r="H23193">
        <v>14760900</v>
      </c>
      <c r="I23193">
        <v>560382</v>
      </c>
      <c r="J23193">
        <v>3</v>
      </c>
    </row>
    <row r="23194" spans="1:10" x14ac:dyDescent="0.25">
      <c r="A23194" t="s">
        <v>1639</v>
      </c>
      <c r="B23194" s="1" t="str">
        <f>HYPERLINK("http://mercedes-benz.com.tw","mercedes-benz.com.tw")</f>
        <v>mercedes-benz.com.tw</v>
      </c>
      <c r="C23194" t="s">
        <v>504</v>
      </c>
      <c r="D23194" t="s">
        <v>878</v>
      </c>
      <c r="E23194">
        <v>440131</v>
      </c>
      <c r="F23194">
        <v>7.9060709596796795E-8</v>
      </c>
      <c r="G23194">
        <v>528619</v>
      </c>
      <c r="H23194">
        <v>14308763</v>
      </c>
      <c r="I23194">
        <v>1345640</v>
      </c>
      <c r="J23194">
        <v>3</v>
      </c>
    </row>
    <row r="23195" spans="1:10" x14ac:dyDescent="0.25">
      <c r="A23195" t="s">
        <v>1639</v>
      </c>
      <c r="B23195" s="1" t="str">
        <f>HYPERLINK("http://mercedes-benz.com.ua","mercedes-benz.com.ua")</f>
        <v>mercedes-benz.com.ua</v>
      </c>
      <c r="C23195" t="s">
        <v>505</v>
      </c>
      <c r="D23195" t="s">
        <v>879</v>
      </c>
      <c r="F23195">
        <v>6.8255076035940199E-9</v>
      </c>
      <c r="G23195">
        <v>12876655</v>
      </c>
      <c r="H23195">
        <v>11015528</v>
      </c>
      <c r="I23195">
        <v>33324465</v>
      </c>
      <c r="J23195">
        <v>4</v>
      </c>
    </row>
    <row r="23196" spans="1:10" x14ac:dyDescent="0.25">
      <c r="A23196" t="s">
        <v>1639</v>
      </c>
      <c r="B23196" s="1" t="str">
        <f>HYPERLINK("http://mercedes-benz.in.ua","mercedes-benz.in.ua")</f>
        <v>mercedes-benz.in.ua</v>
      </c>
      <c r="C23196" t="s">
        <v>505</v>
      </c>
      <c r="D23196" t="s">
        <v>879</v>
      </c>
      <c r="F23196">
        <v>1.5069619035911E-8</v>
      </c>
      <c r="G23196">
        <v>3817415</v>
      </c>
      <c r="H23196">
        <v>12833743</v>
      </c>
      <c r="I23196">
        <v>14392956</v>
      </c>
      <c r="J23196">
        <v>4</v>
      </c>
    </row>
    <row r="23197" spans="1:10" x14ac:dyDescent="0.25">
      <c r="A23197" t="s">
        <v>1639</v>
      </c>
      <c r="B23197" s="1" t="str">
        <f>HYPERLINK("http://mercedes-benz.kh.ua","mercedes-benz.kh.ua")</f>
        <v>mercedes-benz.kh.ua</v>
      </c>
      <c r="C23197" t="s">
        <v>505</v>
      </c>
      <c r="D23197" t="s">
        <v>879</v>
      </c>
      <c r="F23197">
        <v>7.1890720304994004E-9</v>
      </c>
      <c r="G23197">
        <v>11772846</v>
      </c>
      <c r="H23197">
        <v>12410160</v>
      </c>
      <c r="I23197">
        <v>18607059</v>
      </c>
      <c r="J23197">
        <v>4</v>
      </c>
    </row>
    <row r="23198" spans="1:10" x14ac:dyDescent="0.25">
      <c r="A23198" t="s">
        <v>1639</v>
      </c>
      <c r="B23198" s="1" t="str">
        <f>HYPERLINK("http://mercedes-benz.kiev.ua","mercedes-benz.kiev.ua")</f>
        <v>mercedes-benz.kiev.ua</v>
      </c>
      <c r="C23198" t="s">
        <v>505</v>
      </c>
      <c r="D23198" t="s">
        <v>879</v>
      </c>
      <c r="F23198">
        <v>1.12618267717117E-8</v>
      </c>
      <c r="G23198">
        <v>5669256</v>
      </c>
      <c r="H23198">
        <v>14073455</v>
      </c>
      <c r="I23198">
        <v>2993729</v>
      </c>
      <c r="J23198">
        <v>4</v>
      </c>
    </row>
    <row r="23199" spans="1:10" x14ac:dyDescent="0.25">
      <c r="A23199" t="s">
        <v>1639</v>
      </c>
      <c r="B23199" s="1" t="str">
        <f>HYPERLINK("http://mercedes-benz.ks.ua","mercedes-benz.ks.ua")</f>
        <v>mercedes-benz.ks.ua</v>
      </c>
      <c r="C23199" t="s">
        <v>505</v>
      </c>
      <c r="D23199" t="s">
        <v>879</v>
      </c>
      <c r="F23199">
        <v>5.1065779547607099E-9</v>
      </c>
      <c r="G23199">
        <v>26919725</v>
      </c>
      <c r="H23199">
        <v>10698516</v>
      </c>
      <c r="I23199">
        <v>42342652</v>
      </c>
      <c r="J23199">
        <v>4</v>
      </c>
    </row>
    <row r="23200" spans="1:10" x14ac:dyDescent="0.25">
      <c r="A23200" t="s">
        <v>1639</v>
      </c>
      <c r="B23200" s="1" t="str">
        <f>HYPERLINK("http://mercedes-benz.lviv.ua","mercedes-benz.lviv.ua")</f>
        <v>mercedes-benz.lviv.ua</v>
      </c>
      <c r="C23200" t="s">
        <v>505</v>
      </c>
      <c r="D23200" t="s">
        <v>879</v>
      </c>
      <c r="F23200">
        <v>5.8760500083894703E-9</v>
      </c>
      <c r="G23200">
        <v>17524876</v>
      </c>
      <c r="H23200">
        <v>12204667</v>
      </c>
      <c r="I23200">
        <v>23198206</v>
      </c>
      <c r="J23200">
        <v>4</v>
      </c>
    </row>
    <row r="23201" spans="1:10" x14ac:dyDescent="0.25">
      <c r="A23201" t="s">
        <v>1639</v>
      </c>
      <c r="B23201" s="1" t="str">
        <f>HYPERLINK("http://mercedes-benz.ua","mercedes-benz.ua")</f>
        <v>mercedes-benz.ua</v>
      </c>
      <c r="C23201" t="s">
        <v>505</v>
      </c>
      <c r="D23201" t="s">
        <v>879</v>
      </c>
      <c r="F23201">
        <v>7.6493047814280996E-8</v>
      </c>
      <c r="G23201">
        <v>548465</v>
      </c>
      <c r="H23201">
        <v>14080205</v>
      </c>
      <c r="I23201">
        <v>2822553</v>
      </c>
      <c r="J23201">
        <v>3</v>
      </c>
    </row>
    <row r="23202" spans="1:10" x14ac:dyDescent="0.25">
      <c r="A23202" t="s">
        <v>1639</v>
      </c>
      <c r="B23202" s="1" t="str">
        <f>HYPERLINK("http://mercedes-benz.od.ua","mercedes-benz.od.ua")</f>
        <v>mercedes-benz.od.ua</v>
      </c>
      <c r="C23202" t="s">
        <v>505</v>
      </c>
      <c r="D23202" t="s">
        <v>879</v>
      </c>
      <c r="F23202">
        <v>5.6332111276784098E-9</v>
      </c>
      <c r="G23202">
        <v>19546275</v>
      </c>
      <c r="H23202">
        <v>12815764</v>
      </c>
      <c r="I23202">
        <v>14533659</v>
      </c>
      <c r="J23202">
        <v>4</v>
      </c>
    </row>
    <row r="23203" spans="1:10" x14ac:dyDescent="0.25">
      <c r="A23203" t="s">
        <v>1639</v>
      </c>
      <c r="B23203" s="1" t="str">
        <f>HYPERLINK("http://evobus.co.uk","evobus.co.uk")</f>
        <v>evobus.co.uk</v>
      </c>
      <c r="C23203" t="s">
        <v>506</v>
      </c>
      <c r="D23203" t="s">
        <v>880</v>
      </c>
      <c r="F23203">
        <v>5.7687736037846698E-9</v>
      </c>
      <c r="G23203">
        <v>18336306</v>
      </c>
      <c r="H23203">
        <v>12088551</v>
      </c>
      <c r="I23203">
        <v>26291387</v>
      </c>
      <c r="J23203">
        <v>6</v>
      </c>
    </row>
    <row r="23204" spans="1:10" x14ac:dyDescent="0.25">
      <c r="A23204" t="s">
        <v>1639</v>
      </c>
      <c r="B23204" s="1" t="str">
        <f>HYPERLINK("http://mercedes-benz.co.uk","mercedes-benz.co.uk")</f>
        <v>mercedes-benz.co.uk</v>
      </c>
      <c r="C23204" t="s">
        <v>506</v>
      </c>
      <c r="D23204" t="s">
        <v>880</v>
      </c>
      <c r="E23204">
        <v>72245</v>
      </c>
      <c r="F23204">
        <v>3.6631992383078701E-7</v>
      </c>
      <c r="G23204">
        <v>102164</v>
      </c>
      <c r="H23204">
        <v>15667454</v>
      </c>
      <c r="I23204">
        <v>370426</v>
      </c>
      <c r="J23204">
        <v>3</v>
      </c>
    </row>
    <row r="23205" spans="1:10" x14ac:dyDescent="0.25">
      <c r="A23205" t="s">
        <v>1639</v>
      </c>
      <c r="B23205" s="1" t="str">
        <f>HYPERLINK("http://mercedes-benzretailgroup.co.uk","mercedes-benzretailgroup.co.uk")</f>
        <v>mercedes-benzretailgroup.co.uk</v>
      </c>
      <c r="C23205" t="s">
        <v>506</v>
      </c>
      <c r="D23205" t="s">
        <v>880</v>
      </c>
      <c r="F23205">
        <v>1.0289512005302701E-8</v>
      </c>
      <c r="G23205">
        <v>6460720</v>
      </c>
      <c r="H23205">
        <v>12516737</v>
      </c>
      <c r="I23205">
        <v>17179666</v>
      </c>
      <c r="J23205">
        <v>3</v>
      </c>
    </row>
    <row r="23206" spans="1:10" x14ac:dyDescent="0.25">
      <c r="A23206" t="s">
        <v>1639</v>
      </c>
      <c r="B23206" s="1" t="str">
        <f>HYPERLINK("http://thesmart.co.uk","thesmart.co.uk")</f>
        <v>thesmart.co.uk</v>
      </c>
      <c r="C23206" t="s">
        <v>506</v>
      </c>
      <c r="D23206" t="s">
        <v>880</v>
      </c>
      <c r="F23206">
        <v>1.6451515100620902E-8</v>
      </c>
      <c r="G23206">
        <v>3426002</v>
      </c>
      <c r="H23206">
        <v>14129234</v>
      </c>
      <c r="I23206">
        <v>2049554</v>
      </c>
      <c r="J23206">
        <v>2</v>
      </c>
    </row>
    <row r="23207" spans="1:10" x14ac:dyDescent="0.25">
      <c r="A23207" t="s">
        <v>1639</v>
      </c>
      <c r="B23207" s="1" t="str">
        <f>HYPERLINK("http://mercedes-benz.com.vn","mercedes-benz.com.vn")</f>
        <v>mercedes-benz.com.vn</v>
      </c>
      <c r="C23207" t="s">
        <v>509</v>
      </c>
      <c r="D23207" t="s">
        <v>883</v>
      </c>
      <c r="E23207">
        <v>653880</v>
      </c>
      <c r="F23207">
        <v>1.9188753886141299E-7</v>
      </c>
      <c r="G23207">
        <v>200872</v>
      </c>
      <c r="H23207">
        <v>14437428</v>
      </c>
      <c r="I23207">
        <v>1067178</v>
      </c>
      <c r="J23207">
        <v>3</v>
      </c>
    </row>
    <row r="23208" spans="1:10" x14ac:dyDescent="0.25">
      <c r="A23208" t="s">
        <v>1639</v>
      </c>
      <c r="B23208" s="1" t="str">
        <f>HYPERLINK("http://here.xyz","here.xyz")</f>
        <v>here.xyz</v>
      </c>
      <c r="C23208" t="s">
        <v>585</v>
      </c>
      <c r="F23208">
        <v>2.0069990773239401E-8</v>
      </c>
      <c r="G23208">
        <v>2648690</v>
      </c>
      <c r="H23208">
        <v>13783219</v>
      </c>
      <c r="I23208">
        <v>6428551</v>
      </c>
      <c r="J23208">
        <v>5</v>
      </c>
    </row>
    <row r="23209" spans="1:10" x14ac:dyDescent="0.25">
      <c r="A23209" t="s">
        <v>1639</v>
      </c>
      <c r="B23209" s="1" t="str">
        <f>HYPERLINK("http://mercedes-benz.co.za","mercedes-benz.co.za")</f>
        <v>mercedes-benz.co.za</v>
      </c>
      <c r="C23209" t="s">
        <v>510</v>
      </c>
      <c r="D23209" t="s">
        <v>884</v>
      </c>
      <c r="E23209">
        <v>502003</v>
      </c>
      <c r="F23209">
        <v>7.31279202356811E-8</v>
      </c>
      <c r="G23209">
        <v>576564</v>
      </c>
      <c r="H23209">
        <v>14145124</v>
      </c>
      <c r="I23209">
        <v>1902012</v>
      </c>
      <c r="J23209">
        <v>3</v>
      </c>
    </row>
    <row r="23210" spans="1:10" x14ac:dyDescent="0.25">
      <c r="A23210" t="s">
        <v>1639</v>
      </c>
      <c r="B23210" s="1" t="str">
        <f>HYPERLINK("http://mercedes-benzsa.co.za","mercedes-benzsa.co.za")</f>
        <v>mercedes-benzsa.co.za</v>
      </c>
      <c r="C23210" t="s">
        <v>510</v>
      </c>
      <c r="D23210" t="s">
        <v>884</v>
      </c>
      <c r="F23210">
        <v>6.5417823478958097E-9</v>
      </c>
      <c r="G23210">
        <v>13905981</v>
      </c>
      <c r="H23210">
        <v>14071798</v>
      </c>
      <c r="I23210">
        <v>3325367</v>
      </c>
      <c r="J23210">
        <v>4</v>
      </c>
    </row>
    <row r="23211" spans="1:10" x14ac:dyDescent="0.25">
      <c r="A23211" t="s">
        <v>1639</v>
      </c>
      <c r="B23211" s="1" t="str">
        <f>HYPERLINK("http://truckstore.co.za","truckstore.co.za")</f>
        <v>truckstore.co.za</v>
      </c>
      <c r="C23211" t="s">
        <v>510</v>
      </c>
      <c r="D23211" t="s">
        <v>884</v>
      </c>
      <c r="F23211">
        <v>1.19320282914035E-8</v>
      </c>
      <c r="G23211">
        <v>5217938</v>
      </c>
      <c r="H23211">
        <v>12081055</v>
      </c>
      <c r="I23211">
        <v>26543416</v>
      </c>
      <c r="J23211">
        <v>4</v>
      </c>
    </row>
    <row r="23212" spans="1:10" x14ac:dyDescent="0.25">
      <c r="A23212" t="s">
        <v>250</v>
      </c>
      <c r="B23212" s="1" t="str">
        <f>HYPERLINK("http://elastec.com.ar","elastec.com.ar")</f>
        <v>elastec.com.ar</v>
      </c>
      <c r="C23212" t="s">
        <v>418</v>
      </c>
      <c r="D23212" t="s">
        <v>800</v>
      </c>
      <c r="J23212">
        <v>3</v>
      </c>
    </row>
    <row r="23213" spans="1:10" x14ac:dyDescent="0.25">
      <c r="A23213" t="s">
        <v>250</v>
      </c>
      <c r="B23213" s="1" t="str">
        <f>HYPERLINK("http://intervet-argentina.com.ar","intervet-argentina.com.ar")</f>
        <v>intervet-argentina.com.ar</v>
      </c>
      <c r="C23213" t="s">
        <v>418</v>
      </c>
      <c r="D23213" t="s">
        <v>800</v>
      </c>
      <c r="F23213">
        <v>5.14564082188772E-9</v>
      </c>
      <c r="G23213">
        <v>26162656</v>
      </c>
      <c r="H23213">
        <v>8446566</v>
      </c>
      <c r="I23213">
        <v>72611346</v>
      </c>
      <c r="J23213">
        <v>3</v>
      </c>
    </row>
    <row r="23214" spans="1:10" x14ac:dyDescent="0.25">
      <c r="A23214" t="s">
        <v>250</v>
      </c>
      <c r="B23214" s="1" t="str">
        <f>HYPERLINK("http://msd.com.ar","msd.com.ar")</f>
        <v>msd.com.ar</v>
      </c>
      <c r="C23214" t="s">
        <v>418</v>
      </c>
      <c r="D23214" t="s">
        <v>800</v>
      </c>
      <c r="F23214">
        <v>4.2079073361471002E-8</v>
      </c>
      <c r="G23214">
        <v>1162114</v>
      </c>
      <c r="H23214">
        <v>13943705</v>
      </c>
      <c r="I23214">
        <v>4310419</v>
      </c>
      <c r="J23214">
        <v>3</v>
      </c>
    </row>
    <row r="23215" spans="1:10" x14ac:dyDescent="0.25">
      <c r="A23215" t="s">
        <v>250</v>
      </c>
      <c r="B23215" s="1" t="str">
        <f>HYPERLINK("http://intervet.at","intervet.at")</f>
        <v>intervet.at</v>
      </c>
      <c r="C23215" t="s">
        <v>419</v>
      </c>
      <c r="D23215" t="s">
        <v>801</v>
      </c>
      <c r="F23215">
        <v>4.5161018668689299E-9</v>
      </c>
      <c r="G23215">
        <v>56713343</v>
      </c>
      <c r="H23215">
        <v>8446565</v>
      </c>
      <c r="I23215">
        <v>72611352</v>
      </c>
      <c r="J23215">
        <v>3</v>
      </c>
    </row>
    <row r="23216" spans="1:10" x14ac:dyDescent="0.25">
      <c r="A23216" t="s">
        <v>250</v>
      </c>
      <c r="B23216" s="1" t="str">
        <f>HYPERLINK("http://msd.at","msd.at")</f>
        <v>msd.at</v>
      </c>
      <c r="C23216" t="s">
        <v>419</v>
      </c>
      <c r="D23216" t="s">
        <v>801</v>
      </c>
      <c r="F23216">
        <v>7.0779101559941305E-8</v>
      </c>
      <c r="G23216">
        <v>597827</v>
      </c>
      <c r="H23216">
        <v>13406701</v>
      </c>
      <c r="I23216">
        <v>10353993</v>
      </c>
      <c r="J23216">
        <v>3</v>
      </c>
    </row>
    <row r="23217" spans="1:10" x14ac:dyDescent="0.25">
      <c r="A23217" t="s">
        <v>250</v>
      </c>
      <c r="B23217" s="1" t="str">
        <f>HYPERLINK("http://msd-tiergesundheit.at","msd-tiergesundheit.at")</f>
        <v>msd-tiergesundheit.at</v>
      </c>
      <c r="C23217" t="s">
        <v>419</v>
      </c>
      <c r="D23217" t="s">
        <v>801</v>
      </c>
      <c r="F23217">
        <v>2.67025203988201E-8</v>
      </c>
      <c r="G23217">
        <v>1927405</v>
      </c>
      <c r="H23217">
        <v>12328842</v>
      </c>
      <c r="I23217">
        <v>20227632</v>
      </c>
      <c r="J23217">
        <v>4</v>
      </c>
    </row>
    <row r="23218" spans="1:10" x14ac:dyDescent="0.25">
      <c r="A23218" t="s">
        <v>250</v>
      </c>
      <c r="B23218" s="1" t="str">
        <f>HYPERLINK("http://allflex.com.au","allflex.com.au")</f>
        <v>allflex.com.au</v>
      </c>
      <c r="C23218" t="s">
        <v>420</v>
      </c>
      <c r="D23218" t="s">
        <v>802</v>
      </c>
      <c r="F23218">
        <v>6.4741188821490698E-9</v>
      </c>
      <c r="G23218">
        <v>14187451</v>
      </c>
      <c r="H23218">
        <v>13050445</v>
      </c>
      <c r="I23218">
        <v>12582211</v>
      </c>
      <c r="J23218">
        <v>3</v>
      </c>
    </row>
    <row r="23219" spans="1:10" x14ac:dyDescent="0.25">
      <c r="A23219" t="s">
        <v>250</v>
      </c>
      <c r="B23219" s="1" t="str">
        <f>HYPERLINK("http://intervet.com.au","intervet.com.au")</f>
        <v>intervet.com.au</v>
      </c>
      <c r="C23219" t="s">
        <v>420</v>
      </c>
      <c r="D23219" t="s">
        <v>802</v>
      </c>
      <c r="F23219">
        <v>4.5161018668689299E-9</v>
      </c>
      <c r="G23219">
        <v>56713344</v>
      </c>
      <c r="H23219">
        <v>8446565</v>
      </c>
      <c r="I23219">
        <v>72611353</v>
      </c>
      <c r="J23219">
        <v>3</v>
      </c>
    </row>
    <row r="23220" spans="1:10" x14ac:dyDescent="0.25">
      <c r="A23220" t="s">
        <v>250</v>
      </c>
      <c r="B23220" s="1" t="str">
        <f>HYPERLINK("http://msd-animal-health.com.au","msd-animal-health.com.au")</f>
        <v>msd-animal-health.com.au</v>
      </c>
      <c r="C23220" t="s">
        <v>420</v>
      </c>
      <c r="D23220" t="s">
        <v>802</v>
      </c>
      <c r="F23220">
        <v>2.51132760775015E-8</v>
      </c>
      <c r="G23220">
        <v>2056907</v>
      </c>
      <c r="H23220">
        <v>12417126</v>
      </c>
      <c r="I23220">
        <v>18506689</v>
      </c>
      <c r="J23220">
        <v>4</v>
      </c>
    </row>
    <row r="23221" spans="1:10" x14ac:dyDescent="0.25">
      <c r="A23221" t="s">
        <v>250</v>
      </c>
      <c r="B23221" s="1" t="str">
        <f>HYPERLINK("http://schering-plough.com.au","schering-plough.com.au")</f>
        <v>schering-plough.com.au</v>
      </c>
      <c r="C23221" t="s">
        <v>420</v>
      </c>
      <c r="D23221" t="s">
        <v>802</v>
      </c>
      <c r="F23221">
        <v>4.8729287592723701E-9</v>
      </c>
      <c r="G23221">
        <v>33308597</v>
      </c>
      <c r="H23221">
        <v>10812178</v>
      </c>
      <c r="I23221">
        <v>37813039</v>
      </c>
      <c r="J23221">
        <v>3</v>
      </c>
    </row>
    <row r="23222" spans="1:10" x14ac:dyDescent="0.25">
      <c r="A23222" t="s">
        <v>250</v>
      </c>
      <c r="B23222" s="1" t="str">
        <f>HYPERLINK("http://merck.be","merck.be")</f>
        <v>merck.be</v>
      </c>
      <c r="C23222" t="s">
        <v>421</v>
      </c>
      <c r="D23222" t="s">
        <v>803</v>
      </c>
      <c r="F23222">
        <v>6.1220567092009004E-9</v>
      </c>
      <c r="G23222">
        <v>15968688</v>
      </c>
      <c r="H23222">
        <v>10812008</v>
      </c>
      <c r="I23222">
        <v>37817898</v>
      </c>
      <c r="J23222">
        <v>8</v>
      </c>
    </row>
    <row r="23223" spans="1:10" x14ac:dyDescent="0.25">
      <c r="A23223" t="s">
        <v>250</v>
      </c>
      <c r="B23223" s="1" t="str">
        <f>HYPERLINK("http://msd-animal-health.be","msd-animal-health.be")</f>
        <v>msd-animal-health.be</v>
      </c>
      <c r="C23223" t="s">
        <v>421</v>
      </c>
      <c r="D23223" t="s">
        <v>803</v>
      </c>
      <c r="F23223">
        <v>3.1072676433950899E-8</v>
      </c>
      <c r="G23223">
        <v>1658799</v>
      </c>
      <c r="H23223">
        <v>12291622</v>
      </c>
      <c r="I23223">
        <v>21070036</v>
      </c>
      <c r="J23223">
        <v>3</v>
      </c>
    </row>
    <row r="23224" spans="1:10" x14ac:dyDescent="0.25">
      <c r="A23224" t="s">
        <v>250</v>
      </c>
      <c r="B23224" s="1" t="str">
        <f>HYPERLINK("http://allflex.com.br","allflex.com.br")</f>
        <v>allflex.com.br</v>
      </c>
      <c r="C23224" t="s">
        <v>425</v>
      </c>
      <c r="D23224" t="s">
        <v>806</v>
      </c>
      <c r="F23224">
        <v>4.93147123972914E-9</v>
      </c>
      <c r="G23224">
        <v>31337476</v>
      </c>
      <c r="H23224">
        <v>13763664</v>
      </c>
      <c r="I23224">
        <v>7853840</v>
      </c>
      <c r="J23224">
        <v>5</v>
      </c>
    </row>
    <row r="23225" spans="1:10" x14ac:dyDescent="0.25">
      <c r="A23225" t="s">
        <v>250</v>
      </c>
      <c r="B23225" s="1" t="str">
        <f>HYPERLINK("http://msd-saude-animal.com.br","msd-saude-animal.com.br")</f>
        <v>msd-saude-animal.com.br</v>
      </c>
      <c r="C23225" t="s">
        <v>425</v>
      </c>
      <c r="D23225" t="s">
        <v>806</v>
      </c>
      <c r="F23225">
        <v>7.4060585256205305E-8</v>
      </c>
      <c r="G23225">
        <v>568470</v>
      </c>
      <c r="H23225">
        <v>13780552</v>
      </c>
      <c r="I23225">
        <v>6470214</v>
      </c>
      <c r="J23225">
        <v>3</v>
      </c>
    </row>
    <row r="23226" spans="1:10" x14ac:dyDescent="0.25">
      <c r="A23226" t="s">
        <v>250</v>
      </c>
      <c r="B23226" s="1" t="str">
        <f>HYPERLINK("http://msdonline.com.br","msdonline.com.br")</f>
        <v>msdonline.com.br</v>
      </c>
      <c r="C23226" t="s">
        <v>425</v>
      </c>
      <c r="D23226" t="s">
        <v>806</v>
      </c>
      <c r="F23226">
        <v>4.4144740066752098E-8</v>
      </c>
      <c r="G23226">
        <v>1076790</v>
      </c>
      <c r="H23226">
        <v>14248162</v>
      </c>
      <c r="I23226">
        <v>1454774</v>
      </c>
      <c r="J23226">
        <v>3</v>
      </c>
    </row>
    <row r="23227" spans="1:10" x14ac:dyDescent="0.25">
      <c r="A23227" t="s">
        <v>250</v>
      </c>
      <c r="B23227" s="1" t="str">
        <f>HYPERLINK("http://allflex.by","allflex.by")</f>
        <v>allflex.by</v>
      </c>
      <c r="C23227" t="s">
        <v>427</v>
      </c>
      <c r="D23227" t="s">
        <v>808</v>
      </c>
      <c r="F23227">
        <v>4.8063009428476101E-9</v>
      </c>
      <c r="G23227">
        <v>35840724</v>
      </c>
      <c r="H23227">
        <v>10174269</v>
      </c>
      <c r="I23227">
        <v>59307230</v>
      </c>
      <c r="J23227">
        <v>5</v>
      </c>
    </row>
    <row r="23228" spans="1:10" x14ac:dyDescent="0.25">
      <c r="A23228" t="s">
        <v>250</v>
      </c>
      <c r="B23228" s="1" t="str">
        <f>HYPERLINK("http://emdserono.ca","emdserono.ca")</f>
        <v>emdserono.ca</v>
      </c>
      <c r="C23228" t="s">
        <v>428</v>
      </c>
      <c r="D23228" t="s">
        <v>809</v>
      </c>
      <c r="F23228">
        <v>3.6022440494351699E-8</v>
      </c>
      <c r="G23228">
        <v>1446719</v>
      </c>
      <c r="H23228">
        <v>13341959</v>
      </c>
      <c r="I23228">
        <v>10666130</v>
      </c>
      <c r="J23228">
        <v>7</v>
      </c>
    </row>
    <row r="23229" spans="1:10" x14ac:dyDescent="0.25">
      <c r="A23229" t="s">
        <v>250</v>
      </c>
      <c r="B23229" s="1" t="str">
        <f>HYPERLINK("http://intervet.ca","intervet.ca")</f>
        <v>intervet.ca</v>
      </c>
      <c r="C23229" t="s">
        <v>428</v>
      </c>
      <c r="D23229" t="s">
        <v>809</v>
      </c>
      <c r="F23229">
        <v>5.3402095554763004E-9</v>
      </c>
      <c r="G23229">
        <v>22931567</v>
      </c>
      <c r="H23229">
        <v>13765467</v>
      </c>
      <c r="I23229">
        <v>7100610</v>
      </c>
      <c r="J23229">
        <v>3</v>
      </c>
    </row>
    <row r="23230" spans="1:10" x14ac:dyDescent="0.25">
      <c r="A23230" t="s">
        <v>250</v>
      </c>
      <c r="B23230" s="1" t="str">
        <f>HYPERLINK("http://merck.ca","merck.ca")</f>
        <v>merck.ca</v>
      </c>
      <c r="C23230" t="s">
        <v>428</v>
      </c>
      <c r="D23230" t="s">
        <v>809</v>
      </c>
      <c r="E23230">
        <v>939108</v>
      </c>
      <c r="F23230">
        <v>1.5230287313134101E-7</v>
      </c>
      <c r="G23230">
        <v>254983</v>
      </c>
      <c r="H23230">
        <v>14866073</v>
      </c>
      <c r="I23230">
        <v>481526</v>
      </c>
      <c r="J23230">
        <v>2</v>
      </c>
    </row>
    <row r="23231" spans="1:10" x14ac:dyDescent="0.25">
      <c r="A23231" t="s">
        <v>250</v>
      </c>
      <c r="B23231" s="1" t="str">
        <f>HYPERLINK("http://merck-animal-health.ca","merck-animal-health.ca")</f>
        <v>merck-animal-health.ca</v>
      </c>
      <c r="C23231" t="s">
        <v>428</v>
      </c>
      <c r="D23231" t="s">
        <v>809</v>
      </c>
      <c r="F23231">
        <v>4.12321369858875E-8</v>
      </c>
      <c r="G23231">
        <v>1228768</v>
      </c>
      <c r="H23231">
        <v>13806089</v>
      </c>
      <c r="I23231">
        <v>6233340</v>
      </c>
      <c r="J23231">
        <v>4</v>
      </c>
    </row>
    <row r="23232" spans="1:10" x14ac:dyDescent="0.25">
      <c r="A23232" t="s">
        <v>250</v>
      </c>
      <c r="B23232" s="1" t="str">
        <f>HYPERLINK("http://msd.ch","msd.ch")</f>
        <v>msd.ch</v>
      </c>
      <c r="C23232" t="s">
        <v>429</v>
      </c>
      <c r="D23232" t="s">
        <v>810</v>
      </c>
      <c r="F23232">
        <v>6.9108389004886699E-8</v>
      </c>
      <c r="G23232">
        <v>614859</v>
      </c>
      <c r="H23232">
        <v>13959370</v>
      </c>
      <c r="I23232">
        <v>4118762</v>
      </c>
      <c r="J23232">
        <v>3</v>
      </c>
    </row>
    <row r="23233" spans="1:10" x14ac:dyDescent="0.25">
      <c r="A23233" t="s">
        <v>250</v>
      </c>
      <c r="B23233" s="1" t="str">
        <f>HYPERLINK("http://msd-animal-health.ch","msd-animal-health.ch")</f>
        <v>msd-animal-health.ch</v>
      </c>
      <c r="C23233" t="s">
        <v>429</v>
      </c>
      <c r="D23233" t="s">
        <v>810</v>
      </c>
      <c r="F23233">
        <v>2.2282282576081601E-8</v>
      </c>
      <c r="G23233">
        <v>2353072</v>
      </c>
      <c r="H23233">
        <v>12586541</v>
      </c>
      <c r="I23233">
        <v>16443985</v>
      </c>
      <c r="J23233">
        <v>3</v>
      </c>
    </row>
    <row r="23234" spans="1:10" x14ac:dyDescent="0.25">
      <c r="A23234" t="s">
        <v>250</v>
      </c>
      <c r="B23234" s="1" t="str">
        <f>HYPERLINK("http://intervet.cl","intervet.cl")</f>
        <v>intervet.cl</v>
      </c>
      <c r="C23234" t="s">
        <v>430</v>
      </c>
      <c r="D23234" t="s">
        <v>811</v>
      </c>
      <c r="F23234">
        <v>4.7171059294885099E-9</v>
      </c>
      <c r="G23234">
        <v>40358555</v>
      </c>
      <c r="H23234">
        <v>12208171</v>
      </c>
      <c r="I23234">
        <v>23071311</v>
      </c>
      <c r="J23234">
        <v>3</v>
      </c>
    </row>
    <row r="23235" spans="1:10" x14ac:dyDescent="0.25">
      <c r="A23235" t="s">
        <v>250</v>
      </c>
      <c r="B23235" s="1" t="str">
        <f>HYPERLINK("http://msdchile.cl","msdchile.cl")</f>
        <v>msdchile.cl</v>
      </c>
      <c r="C23235" t="s">
        <v>430</v>
      </c>
      <c r="D23235" t="s">
        <v>811</v>
      </c>
      <c r="F23235">
        <v>3.7370074362762698E-8</v>
      </c>
      <c r="G23235">
        <v>1385351</v>
      </c>
      <c r="H23235">
        <v>12921138</v>
      </c>
      <c r="I23235">
        <v>13427150</v>
      </c>
      <c r="J23235">
        <v>3</v>
      </c>
    </row>
    <row r="23236" spans="1:10" x14ac:dyDescent="0.25">
      <c r="A23236" t="s">
        <v>250</v>
      </c>
      <c r="B23236" s="1" t="str">
        <f>HYPERLINK("http://msd-animal-health.com.cn","msd-animal-health.com.cn")</f>
        <v>msd-animal-health.com.cn</v>
      </c>
      <c r="C23236" t="s">
        <v>431</v>
      </c>
      <c r="D23236" t="s">
        <v>812</v>
      </c>
      <c r="F23236">
        <v>2.1475346213732899E-8</v>
      </c>
      <c r="G23236">
        <v>2452102</v>
      </c>
      <c r="H23236">
        <v>12153447</v>
      </c>
      <c r="I23236">
        <v>24542948</v>
      </c>
      <c r="J23236">
        <v>3</v>
      </c>
    </row>
    <row r="23237" spans="1:10" x14ac:dyDescent="0.25">
      <c r="A23237" t="s">
        <v>250</v>
      </c>
      <c r="B23237" s="1" t="str">
        <f>HYPERLINK("http://sigmaaldrich.cn","sigmaaldrich.cn")</f>
        <v>sigmaaldrich.cn</v>
      </c>
      <c r="C23237" t="s">
        <v>431</v>
      </c>
      <c r="D23237" t="s">
        <v>812</v>
      </c>
      <c r="E23237">
        <v>80618</v>
      </c>
      <c r="F23237">
        <v>8.8615071472710303E-8</v>
      </c>
      <c r="G23237">
        <v>461765</v>
      </c>
      <c r="H23237">
        <v>13328739</v>
      </c>
      <c r="I23237">
        <v>10724430</v>
      </c>
      <c r="J23237">
        <v>7</v>
      </c>
    </row>
    <row r="23238" spans="1:10" x14ac:dyDescent="0.25">
      <c r="A23238" t="s">
        <v>250</v>
      </c>
      <c r="B23238" s="1" t="str">
        <f>HYPERLINK("http://merck.com.co","merck.com.co")</f>
        <v>merck.com.co</v>
      </c>
      <c r="C23238" t="s">
        <v>432</v>
      </c>
      <c r="F23238">
        <v>4.7906215037830698E-9</v>
      </c>
      <c r="G23238">
        <v>36465201</v>
      </c>
      <c r="H23238">
        <v>12017319</v>
      </c>
      <c r="I23238">
        <v>27917754</v>
      </c>
      <c r="J23238">
        <v>8</v>
      </c>
    </row>
    <row r="23239" spans="1:10" x14ac:dyDescent="0.25">
      <c r="A23239" t="s">
        <v>250</v>
      </c>
      <c r="B23239" s="1" t="str">
        <f>HYPERLINK("http://msd.com.co","msd.com.co")</f>
        <v>msd.com.co</v>
      </c>
      <c r="C23239" t="s">
        <v>432</v>
      </c>
      <c r="F23239">
        <v>4.8913628557053598E-8</v>
      </c>
      <c r="G23239">
        <v>947204</v>
      </c>
      <c r="H23239">
        <v>14489182</v>
      </c>
      <c r="I23239">
        <v>924920</v>
      </c>
      <c r="J23239">
        <v>3</v>
      </c>
    </row>
    <row r="23240" spans="1:10" x14ac:dyDescent="0.25">
      <c r="A23240" t="s">
        <v>250</v>
      </c>
      <c r="B23240" s="1" t="str">
        <f>HYPERLINK("http://acceleron.com","acceleron.com")</f>
        <v>acceleron.com</v>
      </c>
      <c r="C23240" t="s">
        <v>433</v>
      </c>
      <c r="J23240">
        <v>7</v>
      </c>
    </row>
    <row r="23241" spans="1:10" x14ac:dyDescent="0.25">
      <c r="A23241" t="s">
        <v>250</v>
      </c>
      <c r="B23241" s="1" t="str">
        <f>HYPERLINK("http://acceleronpharma.com","acceleronpharma.com")</f>
        <v>acceleronpharma.com</v>
      </c>
      <c r="C23241" t="s">
        <v>433</v>
      </c>
      <c r="F23241">
        <v>5.39677679252097E-8</v>
      </c>
      <c r="G23241">
        <v>839779</v>
      </c>
      <c r="H23241">
        <v>14517827</v>
      </c>
      <c r="I23241">
        <v>809123</v>
      </c>
      <c r="J23241">
        <v>3</v>
      </c>
    </row>
    <row r="23242" spans="1:10" x14ac:dyDescent="0.25">
      <c r="A23242" t="s">
        <v>250</v>
      </c>
      <c r="B23242" s="1" t="str">
        <f>HYPERLINK("http://afferentpharma.com","afferentpharma.com")</f>
        <v>afferentpharma.com</v>
      </c>
      <c r="C23242" t="s">
        <v>433</v>
      </c>
      <c r="F23242">
        <v>8.1005379365694092E-9</v>
      </c>
      <c r="G23242">
        <v>9740610</v>
      </c>
      <c r="H23242">
        <v>13767961</v>
      </c>
      <c r="I23242">
        <v>6903521</v>
      </c>
      <c r="J23242">
        <v>3</v>
      </c>
    </row>
    <row r="23243" spans="1:10" x14ac:dyDescent="0.25">
      <c r="A23243" t="s">
        <v>250</v>
      </c>
      <c r="B23243" s="1" t="str">
        <f>HYPERLINK("http://agrident.com","agrident.com")</f>
        <v>agrident.com</v>
      </c>
      <c r="C23243" t="s">
        <v>433</v>
      </c>
      <c r="F23243">
        <v>1.0602639621281E-8</v>
      </c>
      <c r="G23243">
        <v>6181435</v>
      </c>
      <c r="H23243">
        <v>12419041</v>
      </c>
      <c r="I23243">
        <v>18475121</v>
      </c>
      <c r="J23243">
        <v>3</v>
      </c>
    </row>
    <row r="23244" spans="1:10" x14ac:dyDescent="0.25">
      <c r="A23244" t="s">
        <v>250</v>
      </c>
      <c r="B23244" s="1" t="str">
        <f>HYPERLINK("http://allflex-canada.com","allflex-canada.com")</f>
        <v>allflex-canada.com</v>
      </c>
      <c r="C23244" t="s">
        <v>433</v>
      </c>
      <c r="J23244">
        <v>3</v>
      </c>
    </row>
    <row r="23245" spans="1:10" x14ac:dyDescent="0.25">
      <c r="A23245" t="s">
        <v>250</v>
      </c>
      <c r="B23245" s="1" t="str">
        <f>HYPERLINK("http://allflex-group.com","allflex-group.com")</f>
        <v>allflex-group.com</v>
      </c>
      <c r="C23245" t="s">
        <v>433</v>
      </c>
      <c r="F23245">
        <v>5.0388898953237496E-9</v>
      </c>
      <c r="G23245">
        <v>28466480</v>
      </c>
      <c r="H23245">
        <v>14072723</v>
      </c>
      <c r="I23245">
        <v>3053602</v>
      </c>
      <c r="J23245">
        <v>3</v>
      </c>
    </row>
    <row r="23246" spans="1:10" x14ac:dyDescent="0.25">
      <c r="A23246" t="s">
        <v>250</v>
      </c>
      <c r="B23246" s="1" t="str">
        <f>HYPERLINK("http://allflexusa.com","allflexusa.com")</f>
        <v>allflexusa.com</v>
      </c>
      <c r="C23246" t="s">
        <v>433</v>
      </c>
      <c r="F23246">
        <v>2.3511147351719299E-8</v>
      </c>
      <c r="G23246">
        <v>2213418</v>
      </c>
      <c r="H23246">
        <v>13552163</v>
      </c>
      <c r="I23246">
        <v>9888071</v>
      </c>
      <c r="J23246">
        <v>3</v>
      </c>
    </row>
    <row r="23247" spans="1:10" x14ac:dyDescent="0.25">
      <c r="A23247" t="s">
        <v>250</v>
      </c>
      <c r="B23247" s="1" t="str">
        <f>HYPERLINK("http://arqule.com","arqule.com")</f>
        <v>arqule.com</v>
      </c>
      <c r="C23247" t="s">
        <v>433</v>
      </c>
      <c r="F23247">
        <v>2.5416282066352301E-8</v>
      </c>
      <c r="G23247">
        <v>2029765</v>
      </c>
      <c r="H23247">
        <v>14159821</v>
      </c>
      <c r="I23247">
        <v>1840246</v>
      </c>
      <c r="J23247">
        <v>3</v>
      </c>
    </row>
    <row r="23248" spans="1:10" x14ac:dyDescent="0.25">
      <c r="A23248" t="s">
        <v>250</v>
      </c>
      <c r="B23248" s="1" t="str">
        <f>HYPERLINK("http://az-em.com","az-em.com")</f>
        <v>az-em.com</v>
      </c>
      <c r="C23248" t="s">
        <v>433</v>
      </c>
      <c r="E23248">
        <v>582009</v>
      </c>
      <c r="F23248">
        <v>9.0926525542476502E-9</v>
      </c>
      <c r="G23248">
        <v>7856973</v>
      </c>
      <c r="H23248">
        <v>13197209</v>
      </c>
      <c r="I23248">
        <v>11569715</v>
      </c>
      <c r="J23248">
        <v>8</v>
      </c>
    </row>
    <row r="23249" spans="1:10" x14ac:dyDescent="0.25">
      <c r="A23249" t="s">
        <v>250</v>
      </c>
      <c r="B23249" s="1" t="str">
        <f>HYPERLINK("http://bioreliance.com","bioreliance.com")</f>
        <v>bioreliance.com</v>
      </c>
      <c r="C23249" t="s">
        <v>433</v>
      </c>
      <c r="F23249">
        <v>2.61741044637624E-8</v>
      </c>
      <c r="G23249">
        <v>1968035</v>
      </c>
      <c r="H23249">
        <v>13780404</v>
      </c>
      <c r="I23249">
        <v>6472649</v>
      </c>
      <c r="J23249">
        <v>10</v>
      </c>
    </row>
    <row r="23250" spans="1:10" x14ac:dyDescent="0.25">
      <c r="A23250" t="s">
        <v>250</v>
      </c>
      <c r="B23250" s="1" t="str">
        <f>HYPERLINK("http://cellmarque.com","cellmarque.com")</f>
        <v>cellmarque.com</v>
      </c>
      <c r="C23250" t="s">
        <v>433</v>
      </c>
      <c r="F23250">
        <v>4.35107468525626E-8</v>
      </c>
      <c r="G23250">
        <v>1099056</v>
      </c>
      <c r="H23250">
        <v>13590919</v>
      </c>
      <c r="I23250">
        <v>9666944</v>
      </c>
      <c r="J23250">
        <v>10</v>
      </c>
    </row>
    <row r="23251" spans="1:10" x14ac:dyDescent="0.25">
      <c r="A23251" t="s">
        <v>250</v>
      </c>
      <c r="B23251" s="1" t="str">
        <f>HYPERLINK("http://cerilliant.com","cerilliant.com")</f>
        <v>cerilliant.com</v>
      </c>
      <c r="C23251" t="s">
        <v>433</v>
      </c>
      <c r="F23251">
        <v>3.6705279640161101E-8</v>
      </c>
      <c r="G23251">
        <v>1423744</v>
      </c>
      <c r="H23251">
        <v>13953109</v>
      </c>
      <c r="I23251">
        <v>4152420</v>
      </c>
      <c r="J23251">
        <v>9</v>
      </c>
    </row>
    <row r="23252" spans="1:10" x14ac:dyDescent="0.25">
      <c r="A23252" t="s">
        <v>250</v>
      </c>
      <c r="B23252" s="1" t="str">
        <f>HYPERLINK("http://cherokee-pharma.com","cherokee-pharma.com")</f>
        <v>cherokee-pharma.com</v>
      </c>
      <c r="C23252" t="s">
        <v>433</v>
      </c>
      <c r="F23252">
        <v>4.7537510070233796E-9</v>
      </c>
      <c r="G23252">
        <v>38156539</v>
      </c>
      <c r="H23252">
        <v>10850578</v>
      </c>
      <c r="I23252">
        <v>36841633</v>
      </c>
      <c r="J23252">
        <v>3</v>
      </c>
    </row>
    <row r="23253" spans="1:10" x14ac:dyDescent="0.25">
      <c r="A23253" t="s">
        <v>250</v>
      </c>
      <c r="B23253" s="1" t="str">
        <f>HYPERLINK("http://cis-theriak.com","cis-theriak.com")</f>
        <v>cis-theriak.com</v>
      </c>
      <c r="C23253" t="s">
        <v>433</v>
      </c>
      <c r="J23253">
        <v>3</v>
      </c>
    </row>
    <row r="23254" spans="1:10" x14ac:dyDescent="0.25">
      <c r="A23254" t="s">
        <v>250</v>
      </c>
      <c r="B23254" s="1" t="str">
        <f>HYPERLINK("http://comsort.com","comsort.com")</f>
        <v>comsort.com</v>
      </c>
      <c r="C23254" t="s">
        <v>433</v>
      </c>
      <c r="F23254">
        <v>4.9183576965102504E-9</v>
      </c>
      <c r="G23254">
        <v>31743413</v>
      </c>
      <c r="H23254">
        <v>10434783</v>
      </c>
      <c r="I23254">
        <v>52788382</v>
      </c>
      <c r="J23254">
        <v>4</v>
      </c>
    </row>
    <row r="23255" spans="1:10" x14ac:dyDescent="0.25">
      <c r="A23255" t="s">
        <v>250</v>
      </c>
      <c r="B23255" s="1" t="str">
        <f>HYPERLINK("http://cubist.com","cubist.com")</f>
        <v>cubist.com</v>
      </c>
      <c r="C23255" t="s">
        <v>433</v>
      </c>
      <c r="F23255">
        <v>4.2352660073787601E-8</v>
      </c>
      <c r="G23255">
        <v>1147330</v>
      </c>
      <c r="H23255">
        <v>14598635</v>
      </c>
      <c r="I23255">
        <v>687524</v>
      </c>
      <c r="J23255">
        <v>5</v>
      </c>
    </row>
    <row r="23256" spans="1:10" x14ac:dyDescent="0.25">
      <c r="A23256" t="s">
        <v>250</v>
      </c>
      <c r="B23256" s="1" t="str">
        <f>HYPERLINK("http://cuidatutiroides.com","cuidatutiroides.com")</f>
        <v>cuidatutiroides.com</v>
      </c>
      <c r="C23256" t="s">
        <v>433</v>
      </c>
      <c r="F23256">
        <v>7.3537797369610504E-9</v>
      </c>
      <c r="G23256">
        <v>11352223</v>
      </c>
      <c r="H23256">
        <v>14121975</v>
      </c>
      <c r="I23256">
        <v>2230337</v>
      </c>
      <c r="J23256">
        <v>4</v>
      </c>
    </row>
    <row r="23257" spans="1:10" x14ac:dyDescent="0.25">
      <c r="A23257" t="s">
        <v>250</v>
      </c>
      <c r="B23257" s="1" t="str">
        <f>HYPERLINK("http://emdmillipore.com","emdmillipore.com")</f>
        <v>emdmillipore.com</v>
      </c>
      <c r="C23257" t="s">
        <v>433</v>
      </c>
      <c r="E23257">
        <v>134474</v>
      </c>
      <c r="F23257">
        <v>4.1687622277193402E-7</v>
      </c>
      <c r="G23257">
        <v>90325</v>
      </c>
      <c r="H23257">
        <v>15273977</v>
      </c>
      <c r="I23257">
        <v>388179</v>
      </c>
      <c r="J23257">
        <v>5</v>
      </c>
    </row>
    <row r="23258" spans="1:10" x14ac:dyDescent="0.25">
      <c r="A23258" t="s">
        <v>250</v>
      </c>
      <c r="B23258" s="1" t="str">
        <f>HYPERLINK("http://emdserono.com","emdserono.com")</f>
        <v>emdserono.com</v>
      </c>
      <c r="C23258" t="s">
        <v>433</v>
      </c>
      <c r="E23258">
        <v>347757</v>
      </c>
      <c r="F23258">
        <v>5.6497889480221398E-7</v>
      </c>
      <c r="G23258">
        <v>67788</v>
      </c>
      <c r="H23258">
        <v>14708400</v>
      </c>
      <c r="I23258">
        <v>585199</v>
      </c>
      <c r="J23258">
        <v>6</v>
      </c>
    </row>
    <row r="23259" spans="1:10" x14ac:dyDescent="0.25">
      <c r="A23259" t="s">
        <v>250</v>
      </c>
      <c r="B23259" s="1" t="str">
        <f>HYPERLINK("http://healthcareservicesandsolutions.com","healthcareservicesandsolutions.com")</f>
        <v>healthcareservicesandsolutions.com</v>
      </c>
      <c r="C23259" t="s">
        <v>433</v>
      </c>
      <c r="F23259">
        <v>6.0451014336482E-9</v>
      </c>
      <c r="G23259">
        <v>16411410</v>
      </c>
      <c r="H23259">
        <v>13278451</v>
      </c>
      <c r="I23259">
        <v>10920227</v>
      </c>
      <c r="J23259">
        <v>3</v>
      </c>
    </row>
    <row r="23260" spans="1:10" x14ac:dyDescent="0.25">
      <c r="A23260" t="s">
        <v>250</v>
      </c>
      <c r="B23260" s="1" t="str">
        <f>HYPERLINK("http://idenix.com","idenix.com")</f>
        <v>idenix.com</v>
      </c>
      <c r="C23260" t="s">
        <v>433</v>
      </c>
      <c r="F23260">
        <v>2.2475606779379399E-8</v>
      </c>
      <c r="G23260">
        <v>2331246</v>
      </c>
      <c r="H23260">
        <v>13824150</v>
      </c>
      <c r="I23260">
        <v>6130277</v>
      </c>
      <c r="J23260">
        <v>5</v>
      </c>
    </row>
    <row r="23261" spans="1:10" x14ac:dyDescent="0.25">
      <c r="A23261" t="s">
        <v>250</v>
      </c>
      <c r="B23261" s="1" t="str">
        <f>HYPERLINK("http://identigen.com","identigen.com")</f>
        <v>identigen.com</v>
      </c>
      <c r="C23261" t="s">
        <v>433</v>
      </c>
      <c r="F23261">
        <v>2.0052243189065501E-8</v>
      </c>
      <c r="G23261">
        <v>2651273</v>
      </c>
      <c r="H23261">
        <v>13821505</v>
      </c>
      <c r="I23261">
        <v>6140885</v>
      </c>
      <c r="J23261">
        <v>3</v>
      </c>
    </row>
    <row r="23262" spans="1:10" x14ac:dyDescent="0.25">
      <c r="A23262" t="s">
        <v>250</v>
      </c>
      <c r="B23262" s="1" t="str">
        <f>HYPERLINK("http://immunedesign.com","immunedesign.com")</f>
        <v>immunedesign.com</v>
      </c>
      <c r="C23262" t="s">
        <v>433</v>
      </c>
      <c r="F23262">
        <v>2.6863879297789E-8</v>
      </c>
      <c r="G23262">
        <v>1914826</v>
      </c>
      <c r="H23262">
        <v>14114369</v>
      </c>
      <c r="I23262">
        <v>2665527</v>
      </c>
      <c r="J23262">
        <v>3</v>
      </c>
    </row>
    <row r="23263" spans="1:10" x14ac:dyDescent="0.25">
      <c r="A23263" t="s">
        <v>250</v>
      </c>
      <c r="B23263" s="1" t="str">
        <f>HYPERLINK("http://intervet.com","intervet.com")</f>
        <v>intervet.com</v>
      </c>
      <c r="C23263" t="s">
        <v>433</v>
      </c>
      <c r="F23263">
        <v>2.93743342682868E-8</v>
      </c>
      <c r="G23263">
        <v>1754181</v>
      </c>
      <c r="H23263">
        <v>14708494</v>
      </c>
      <c r="I23263">
        <v>585121</v>
      </c>
      <c r="J23263">
        <v>3</v>
      </c>
    </row>
    <row r="23264" spans="1:10" x14ac:dyDescent="0.25">
      <c r="A23264" t="s">
        <v>250</v>
      </c>
      <c r="B23264" s="1" t="str">
        <f>HYPERLINK("http://knottcountyhrc.com","knottcountyhrc.com")</f>
        <v>knottcountyhrc.com</v>
      </c>
      <c r="C23264" t="s">
        <v>433</v>
      </c>
      <c r="J23264">
        <v>6</v>
      </c>
    </row>
    <row r="23265" spans="1:10" x14ac:dyDescent="0.25">
      <c r="A23265" t="s">
        <v>250</v>
      </c>
      <c r="B23265" s="1" t="str">
        <f>HYPERLINK("http://m-ventures.com","m-ventures.com")</f>
        <v>m-ventures.com</v>
      </c>
      <c r="C23265" t="s">
        <v>433</v>
      </c>
      <c r="F23265">
        <v>6.0745232360253303E-8</v>
      </c>
      <c r="G23265">
        <v>725594</v>
      </c>
      <c r="H23265">
        <v>14143439</v>
      </c>
      <c r="I23265">
        <v>1913684</v>
      </c>
      <c r="J23265">
        <v>7</v>
      </c>
    </row>
    <row r="23266" spans="1:10" x14ac:dyDescent="0.25">
      <c r="A23266" t="s">
        <v>250</v>
      </c>
      <c r="B23266" s="1" t="str">
        <f>HYPERLINK("http://merck.com","merck.com")</f>
        <v>merck.com</v>
      </c>
      <c r="C23266" t="s">
        <v>433</v>
      </c>
      <c r="E23266">
        <v>8776</v>
      </c>
      <c r="F23266">
        <v>4.2050312998070298E-6</v>
      </c>
      <c r="G23266">
        <v>8559</v>
      </c>
      <c r="H23266">
        <v>17540694</v>
      </c>
      <c r="I23266">
        <v>11631</v>
      </c>
      <c r="J23266">
        <v>1</v>
      </c>
    </row>
    <row r="23267" spans="1:10" x14ac:dyDescent="0.25">
      <c r="A23267" t="s">
        <v>250</v>
      </c>
      <c r="B23267" s="1" t="str">
        <f>HYPERLINK("http://merck-animal-health.com","merck-animal-health.com")</f>
        <v>merck-animal-health.com</v>
      </c>
      <c r="C23267" t="s">
        <v>433</v>
      </c>
      <c r="E23267">
        <v>398214</v>
      </c>
      <c r="F23267">
        <v>2.57103034605299E-7</v>
      </c>
      <c r="G23267">
        <v>145499</v>
      </c>
      <c r="H23267">
        <v>17070894</v>
      </c>
      <c r="I23267">
        <v>70709</v>
      </c>
      <c r="J23267">
        <v>3</v>
      </c>
    </row>
    <row r="23268" spans="1:10" x14ac:dyDescent="0.25">
      <c r="A23268" t="s">
        <v>250</v>
      </c>
      <c r="B23268" s="1" t="str">
        <f>HYPERLINK("http://merck-animal-health-usa.com","merck-animal-health-usa.com")</f>
        <v>merck-animal-health-usa.com</v>
      </c>
      <c r="C23268" t="s">
        <v>433</v>
      </c>
      <c r="E23268">
        <v>201186</v>
      </c>
      <c r="F23268">
        <v>4.38922865048179E-7</v>
      </c>
      <c r="G23268">
        <v>85876</v>
      </c>
      <c r="H23268">
        <v>17194990</v>
      </c>
      <c r="I23268">
        <v>42707</v>
      </c>
      <c r="J23268">
        <v>5</v>
      </c>
    </row>
    <row r="23269" spans="1:10" x14ac:dyDescent="0.25">
      <c r="A23269" t="s">
        <v>250</v>
      </c>
      <c r="B23269" s="1" t="str">
        <f>HYPERLINK("http://merck-consumer-health.com","merck-consumer-health.com")</f>
        <v>merck-consumer-health.com</v>
      </c>
      <c r="C23269" t="s">
        <v>433</v>
      </c>
      <c r="F23269">
        <v>8.3033721750866198E-9</v>
      </c>
      <c r="G23269">
        <v>9249451</v>
      </c>
      <c r="H23269">
        <v>13210987</v>
      </c>
      <c r="I23269">
        <v>11405621</v>
      </c>
      <c r="J23269">
        <v>6</v>
      </c>
    </row>
    <row r="23270" spans="1:10" x14ac:dyDescent="0.25">
      <c r="A23270" t="s">
        <v>250</v>
      </c>
      <c r="B23270" s="1" t="str">
        <f>HYPERLINK("http://merckghifund.com","merckghifund.com")</f>
        <v>merckghifund.com</v>
      </c>
      <c r="C23270" t="s">
        <v>433</v>
      </c>
      <c r="F23270">
        <v>3.03662935791477E-8</v>
      </c>
      <c r="G23270">
        <v>1695371</v>
      </c>
      <c r="H23270">
        <v>13283216</v>
      </c>
      <c r="I23270">
        <v>10903220</v>
      </c>
      <c r="J23270">
        <v>3</v>
      </c>
    </row>
    <row r="23271" spans="1:10" x14ac:dyDescent="0.25">
      <c r="A23271" t="s">
        <v>250</v>
      </c>
      <c r="B23271" s="1" t="str">
        <f>HYPERLINK("http://merckgroup.com","merckgroup.com")</f>
        <v>merckgroup.com</v>
      </c>
      <c r="C23271" t="s">
        <v>433</v>
      </c>
      <c r="E23271">
        <v>12635</v>
      </c>
      <c r="F23271">
        <v>1.6719357424214801E-6</v>
      </c>
      <c r="G23271">
        <v>23730</v>
      </c>
      <c r="H23271">
        <v>16048187</v>
      </c>
      <c r="I23271">
        <v>366137</v>
      </c>
      <c r="J23271">
        <v>4</v>
      </c>
    </row>
    <row r="23272" spans="1:10" x14ac:dyDescent="0.25">
      <c r="A23272" t="s">
        <v>250</v>
      </c>
      <c r="B23272" s="1" t="str">
        <f>HYPERLINK("http://merckk.com","merckk.com")</f>
        <v>merckk.com</v>
      </c>
      <c r="C23272" t="s">
        <v>433</v>
      </c>
      <c r="J23272">
        <v>4</v>
      </c>
    </row>
    <row r="23273" spans="1:10" x14ac:dyDescent="0.25">
      <c r="A23273" t="s">
        <v>250</v>
      </c>
      <c r="B23273" s="1" t="str">
        <f>HYPERLINK("http://merckserono.com","merckserono.com")</f>
        <v>merckserono.com</v>
      </c>
      <c r="C23273" t="s">
        <v>433</v>
      </c>
      <c r="F23273">
        <v>3.4121161650360698E-8</v>
      </c>
      <c r="G23273">
        <v>1518342</v>
      </c>
      <c r="H23273">
        <v>14521973</v>
      </c>
      <c r="I23273">
        <v>801631</v>
      </c>
      <c r="J23273">
        <v>5</v>
      </c>
    </row>
    <row r="23274" spans="1:10" x14ac:dyDescent="0.25">
      <c r="A23274" t="s">
        <v>250</v>
      </c>
      <c r="B23274" s="1" t="str">
        <f>HYPERLINK("http://millipore.com","millipore.com")</f>
        <v>millipore.com</v>
      </c>
      <c r="C23274" t="s">
        <v>433</v>
      </c>
      <c r="E23274">
        <v>162073</v>
      </c>
      <c r="F23274">
        <v>1.53135750034904E-7</v>
      </c>
      <c r="G23274">
        <v>253645</v>
      </c>
      <c r="H23274">
        <v>15068578</v>
      </c>
      <c r="I23274">
        <v>411368</v>
      </c>
      <c r="J23274">
        <v>7</v>
      </c>
    </row>
    <row r="23275" spans="1:10" x14ac:dyDescent="0.25">
      <c r="A23275" t="s">
        <v>250</v>
      </c>
      <c r="B23275" s="1" t="str">
        <f>HYPERLINK("http://milliporesigma.com","milliporesigma.com")</f>
        <v>milliporesigma.com</v>
      </c>
      <c r="C23275" t="s">
        <v>433</v>
      </c>
      <c r="F23275">
        <v>2.7403495871220899E-8</v>
      </c>
      <c r="G23275">
        <v>1875941</v>
      </c>
      <c r="H23275">
        <v>13254244</v>
      </c>
      <c r="I23275">
        <v>11063459</v>
      </c>
      <c r="J23275">
        <v>8</v>
      </c>
    </row>
    <row r="23276" spans="1:10" x14ac:dyDescent="0.25">
      <c r="A23276" t="s">
        <v>250</v>
      </c>
      <c r="B23276" s="1" t="str">
        <f>HYPERLINK("http://msd.com","msd.com")</f>
        <v>msd.com</v>
      </c>
      <c r="C23276" t="s">
        <v>433</v>
      </c>
      <c r="E23276">
        <v>107887</v>
      </c>
      <c r="F23276">
        <v>7.7426183124016303E-7</v>
      </c>
      <c r="G23276">
        <v>50571</v>
      </c>
      <c r="H23276">
        <v>17095774</v>
      </c>
      <c r="I23276">
        <v>64717</v>
      </c>
      <c r="J23276">
        <v>3</v>
      </c>
    </row>
    <row r="23277" spans="1:10" x14ac:dyDescent="0.25">
      <c r="A23277" t="s">
        <v>250</v>
      </c>
      <c r="B23277" s="1" t="str">
        <f>HYPERLINK("http://msd-animal-health.com","msd-animal-health.com")</f>
        <v>msd-animal-health.com</v>
      </c>
      <c r="C23277" t="s">
        <v>433</v>
      </c>
      <c r="E23277">
        <v>340003</v>
      </c>
      <c r="F23277">
        <v>1.83574011619336E-7</v>
      </c>
      <c r="G23277">
        <v>210083</v>
      </c>
      <c r="H23277">
        <v>14136235</v>
      </c>
      <c r="I23277">
        <v>1963432</v>
      </c>
      <c r="J23277">
        <v>3</v>
      </c>
    </row>
    <row r="23278" spans="1:10" x14ac:dyDescent="0.25">
      <c r="A23278" t="s">
        <v>250</v>
      </c>
      <c r="B23278" s="1" t="str">
        <f>HYPERLINK("http://msd-forum.com","msd-forum.com")</f>
        <v>msd-forum.com</v>
      </c>
      <c r="C23278" t="s">
        <v>433</v>
      </c>
      <c r="J23278">
        <v>4</v>
      </c>
    </row>
    <row r="23279" spans="1:10" x14ac:dyDescent="0.25">
      <c r="A23279" t="s">
        <v>250</v>
      </c>
      <c r="B23279" s="1" t="str">
        <f>HYPERLINK("http://msd-france.com","msd-france.com")</f>
        <v>msd-france.com</v>
      </c>
      <c r="C23279" t="s">
        <v>433</v>
      </c>
      <c r="F23279">
        <v>8.2543510580782894E-8</v>
      </c>
      <c r="G23279">
        <v>505457</v>
      </c>
      <c r="H23279">
        <v>13617880</v>
      </c>
      <c r="I23279">
        <v>9628114</v>
      </c>
      <c r="J23279">
        <v>3</v>
      </c>
    </row>
    <row r="23280" spans="1:10" x14ac:dyDescent="0.25">
      <c r="A23280" t="s">
        <v>250</v>
      </c>
      <c r="B23280" s="1" t="str">
        <f>HYPERLINK("http://msd-hayvan-sagligi.com","msd-hayvan-sagligi.com")</f>
        <v>msd-hayvan-sagligi.com</v>
      </c>
      <c r="C23280" t="s">
        <v>433</v>
      </c>
      <c r="F23280">
        <v>2.1130784374741901E-8</v>
      </c>
      <c r="G23280">
        <v>2498645</v>
      </c>
      <c r="H23280">
        <v>12178635</v>
      </c>
      <c r="I23280">
        <v>23847045</v>
      </c>
      <c r="J23280">
        <v>6</v>
      </c>
    </row>
    <row r="23281" spans="1:10" x14ac:dyDescent="0.25">
      <c r="A23281" t="s">
        <v>250</v>
      </c>
      <c r="B23281" s="1" t="str">
        <f>HYPERLINK("http://msd-indonesia.com","msd-indonesia.com")</f>
        <v>msd-indonesia.com</v>
      </c>
      <c r="C23281" t="s">
        <v>433</v>
      </c>
      <c r="F23281">
        <v>3.3152752180804099E-8</v>
      </c>
      <c r="G23281">
        <v>1558454</v>
      </c>
      <c r="H23281">
        <v>12555852</v>
      </c>
      <c r="I23281">
        <v>16764800</v>
      </c>
      <c r="J23281">
        <v>3</v>
      </c>
    </row>
    <row r="23282" spans="1:10" x14ac:dyDescent="0.25">
      <c r="A23282" t="s">
        <v>250</v>
      </c>
      <c r="B23282" s="1" t="str">
        <f>HYPERLINK("http://msd-ireland.com","msd-ireland.com")</f>
        <v>msd-ireland.com</v>
      </c>
      <c r="C23282" t="s">
        <v>433</v>
      </c>
      <c r="F23282">
        <v>8.07012325563738E-8</v>
      </c>
      <c r="G23282">
        <v>517453</v>
      </c>
      <c r="H23282">
        <v>13460183</v>
      </c>
      <c r="I23282">
        <v>10167360</v>
      </c>
      <c r="J23282">
        <v>6</v>
      </c>
    </row>
    <row r="23283" spans="1:10" x14ac:dyDescent="0.25">
      <c r="A23283" t="s">
        <v>250</v>
      </c>
      <c r="B23283" s="1" t="str">
        <f>HYPERLINK("http://msd-malaysia.com","msd-malaysia.com")</f>
        <v>msd-malaysia.com</v>
      </c>
      <c r="C23283" t="s">
        <v>433</v>
      </c>
      <c r="F23283">
        <v>3.4471178019853402E-8</v>
      </c>
      <c r="G23283">
        <v>1504762</v>
      </c>
      <c r="H23283">
        <v>12472016</v>
      </c>
      <c r="I23283">
        <v>17679113</v>
      </c>
      <c r="J23283">
        <v>3</v>
      </c>
    </row>
    <row r="23284" spans="1:10" x14ac:dyDescent="0.25">
      <c r="A23284" t="s">
        <v>250</v>
      </c>
      <c r="B23284" s="1" t="str">
        <f>HYPERLINK("http://msd-newzealand.com","msd-newzealand.com")</f>
        <v>msd-newzealand.com</v>
      </c>
      <c r="C23284" t="s">
        <v>433</v>
      </c>
      <c r="F23284">
        <v>4.2923474367414503E-8</v>
      </c>
      <c r="G23284">
        <v>1121786</v>
      </c>
      <c r="H23284">
        <v>12443120</v>
      </c>
      <c r="I23284">
        <v>18106168</v>
      </c>
      <c r="J23284">
        <v>3</v>
      </c>
    </row>
    <row r="23285" spans="1:10" x14ac:dyDescent="0.25">
      <c r="A23285" t="s">
        <v>250</v>
      </c>
      <c r="B23285" s="1" t="str">
        <f>HYPERLINK("http://msd-thailand.com","msd-thailand.com")</f>
        <v>msd-thailand.com</v>
      </c>
      <c r="C23285" t="s">
        <v>433</v>
      </c>
      <c r="F23285">
        <v>3.3590759135246199E-8</v>
      </c>
      <c r="G23285">
        <v>1539478</v>
      </c>
      <c r="H23285">
        <v>12438741</v>
      </c>
      <c r="I23285">
        <v>18159777</v>
      </c>
      <c r="J23285">
        <v>3</v>
      </c>
    </row>
    <row r="23286" spans="1:10" x14ac:dyDescent="0.25">
      <c r="A23286" t="s">
        <v>250</v>
      </c>
      <c r="B23286" s="1" t="str">
        <f>HYPERLINK("http://msd-uk.com","msd-uk.com")</f>
        <v>msd-uk.com</v>
      </c>
      <c r="C23286" t="s">
        <v>433</v>
      </c>
      <c r="F23286">
        <v>1.00249621630289E-7</v>
      </c>
      <c r="G23286">
        <v>401265</v>
      </c>
      <c r="H23286">
        <v>14182983</v>
      </c>
      <c r="I23286">
        <v>1776005</v>
      </c>
      <c r="J23286">
        <v>4</v>
      </c>
    </row>
    <row r="23287" spans="1:10" x14ac:dyDescent="0.25">
      <c r="A23287" t="s">
        <v>250</v>
      </c>
      <c r="B23287" s="1" t="str">
        <f>HYPERLINK("http://msd-vietnam.com","msd-vietnam.com")</f>
        <v>msd-vietnam.com</v>
      </c>
      <c r="C23287" t="s">
        <v>433</v>
      </c>
      <c r="F23287">
        <v>3.3952101155034903E-8</v>
      </c>
      <c r="G23287">
        <v>1524789</v>
      </c>
      <c r="H23287">
        <v>12251483</v>
      </c>
      <c r="I23287">
        <v>21974637</v>
      </c>
      <c r="J23287">
        <v>3</v>
      </c>
    </row>
    <row r="23288" spans="1:10" x14ac:dyDescent="0.25">
      <c r="A23288" t="s">
        <v>250</v>
      </c>
      <c r="B23288" s="1" t="str">
        <f>HYPERLINK("http://mslifelinespro.com","mslifelinespro.com")</f>
        <v>mslifelinespro.com</v>
      </c>
      <c r="C23288" t="s">
        <v>433</v>
      </c>
      <c r="F23288">
        <v>5.3268535389404901E-9</v>
      </c>
      <c r="G23288">
        <v>23110602</v>
      </c>
      <c r="H23288">
        <v>10357375</v>
      </c>
      <c r="I23288">
        <v>55585215</v>
      </c>
      <c r="J23288">
        <v>6</v>
      </c>
    </row>
    <row r="23289" spans="1:10" x14ac:dyDescent="0.25">
      <c r="A23289" t="s">
        <v>250</v>
      </c>
      <c r="B23289" s="1" t="str">
        <f>HYPERLINK("http://oncoimmune.com","oncoimmune.com")</f>
        <v>oncoimmune.com</v>
      </c>
      <c r="C23289" t="s">
        <v>433</v>
      </c>
      <c r="F23289">
        <v>1.9492915615968699E-8</v>
      </c>
      <c r="G23289">
        <v>2745522</v>
      </c>
      <c r="H23289">
        <v>13425939</v>
      </c>
      <c r="I23289">
        <v>10293527</v>
      </c>
      <c r="J23289">
        <v>3</v>
      </c>
    </row>
    <row r="23290" spans="1:10" x14ac:dyDescent="0.25">
      <c r="A23290" t="s">
        <v>250</v>
      </c>
      <c r="B23290" s="1" t="str">
        <f>HYPERLINK("http://osid.com","osid.com")</f>
        <v>osid.com</v>
      </c>
      <c r="C23290" t="s">
        <v>433</v>
      </c>
      <c r="F23290">
        <v>5.1162020048670604E-9</v>
      </c>
      <c r="G23290">
        <v>26731084</v>
      </c>
      <c r="H23290">
        <v>10892424</v>
      </c>
      <c r="I23290">
        <v>36020704</v>
      </c>
      <c r="J23290">
        <v>5</v>
      </c>
    </row>
    <row r="23291" spans="1:10" x14ac:dyDescent="0.25">
      <c r="A23291" t="s">
        <v>250</v>
      </c>
      <c r="B23291" s="1" t="str">
        <f>HYPERLINK("http://pelotontherapeutics.com","pelotontherapeutics.com")</f>
        <v>pelotontherapeutics.com</v>
      </c>
      <c r="C23291" t="s">
        <v>433</v>
      </c>
      <c r="F23291">
        <v>1.8675596937618401E-8</v>
      </c>
      <c r="G23291">
        <v>2893710</v>
      </c>
      <c r="H23291">
        <v>13371657</v>
      </c>
      <c r="I23291">
        <v>10462291</v>
      </c>
      <c r="J23291">
        <v>3</v>
      </c>
    </row>
    <row r="23292" spans="1:10" x14ac:dyDescent="0.25">
      <c r="A23292" t="s">
        <v>250</v>
      </c>
      <c r="B23292" s="1" t="str">
        <f>HYPERLINK("http://poultrysense.com","poultrysense.com")</f>
        <v>poultrysense.com</v>
      </c>
      <c r="C23292" t="s">
        <v>433</v>
      </c>
      <c r="F23292">
        <v>4.7707360642861698E-9</v>
      </c>
      <c r="G23292">
        <v>37346425</v>
      </c>
      <c r="H23292">
        <v>9862198</v>
      </c>
      <c r="I23292">
        <v>62046525</v>
      </c>
      <c r="J23292">
        <v>3</v>
      </c>
    </row>
    <row r="23293" spans="1:10" x14ac:dyDescent="0.25">
      <c r="A23293" t="s">
        <v>250</v>
      </c>
      <c r="B23293" s="1" t="str">
        <f>HYPERLINK("http://rigontec.com","rigontec.com")</f>
        <v>rigontec.com</v>
      </c>
      <c r="C23293" t="s">
        <v>433</v>
      </c>
      <c r="F23293">
        <v>5.8236244609235097E-9</v>
      </c>
      <c r="G23293">
        <v>17911179</v>
      </c>
      <c r="H23293">
        <v>13238385</v>
      </c>
      <c r="I23293">
        <v>11229263</v>
      </c>
      <c r="J23293">
        <v>3</v>
      </c>
    </row>
    <row r="23294" spans="1:10" x14ac:dyDescent="0.25">
      <c r="A23294" t="s">
        <v>250</v>
      </c>
      <c r="B23294" s="1" t="str">
        <f>HYPERLINK("http://sanfersaludanimal.com","sanfersaludanimal.com")</f>
        <v>sanfersaludanimal.com</v>
      </c>
      <c r="C23294" t="s">
        <v>433</v>
      </c>
      <c r="F23294">
        <v>5.4208164092714402E-9</v>
      </c>
      <c r="G23294">
        <v>21851795</v>
      </c>
      <c r="H23294">
        <v>12370736</v>
      </c>
      <c r="I23294">
        <v>19395708</v>
      </c>
      <c r="J23294">
        <v>4</v>
      </c>
    </row>
    <row r="23295" spans="1:10" x14ac:dyDescent="0.25">
      <c r="A23295" t="s">
        <v>250</v>
      </c>
      <c r="B23295" s="1" t="str">
        <f>HYPERLINK("http://scrdairy.com","scrdairy.com")</f>
        <v>scrdairy.com</v>
      </c>
      <c r="C23295" t="s">
        <v>433</v>
      </c>
      <c r="E23295">
        <v>292126</v>
      </c>
      <c r="F23295">
        <v>3.4648728654600999E-8</v>
      </c>
      <c r="G23295">
        <v>1497676</v>
      </c>
      <c r="H23295">
        <v>14257452</v>
      </c>
      <c r="I23295">
        <v>1428022</v>
      </c>
      <c r="J23295">
        <v>3</v>
      </c>
    </row>
    <row r="23296" spans="1:10" x14ac:dyDescent="0.25">
      <c r="A23296" t="s">
        <v>250</v>
      </c>
      <c r="B23296" s="1" t="str">
        <f>HYPERLINK("http://sial.com","sial.com")</f>
        <v>sial.com</v>
      </c>
      <c r="C23296" t="s">
        <v>433</v>
      </c>
      <c r="E23296">
        <v>109568</v>
      </c>
      <c r="F23296">
        <v>4.4154040691533301E-8</v>
      </c>
      <c r="G23296">
        <v>1076471</v>
      </c>
      <c r="H23296">
        <v>13965540</v>
      </c>
      <c r="I23296">
        <v>4090282</v>
      </c>
      <c r="J23296">
        <v>9</v>
      </c>
    </row>
    <row r="23297" spans="1:10" x14ac:dyDescent="0.25">
      <c r="A23297" t="s">
        <v>250</v>
      </c>
      <c r="B23297" s="1" t="str">
        <f>HYPERLINK("http://sigma-aldrich.com","sigma-aldrich.com")</f>
        <v>sigma-aldrich.com</v>
      </c>
      <c r="C23297" t="s">
        <v>433</v>
      </c>
      <c r="E23297">
        <v>661386</v>
      </c>
      <c r="F23297">
        <v>8.9969678128117996E-8</v>
      </c>
      <c r="G23297">
        <v>453630</v>
      </c>
      <c r="H23297">
        <v>14624449</v>
      </c>
      <c r="I23297">
        <v>652345</v>
      </c>
      <c r="J23297">
        <v>8</v>
      </c>
    </row>
    <row r="23298" spans="1:10" x14ac:dyDescent="0.25">
      <c r="A23298" t="s">
        <v>250</v>
      </c>
      <c r="B23298" s="1" t="str">
        <f>HYPERLINK("http://sigma-aldrich-sea.com","sigma-aldrich-sea.com")</f>
        <v>sigma-aldrich-sea.com</v>
      </c>
      <c r="C23298" t="s">
        <v>433</v>
      </c>
      <c r="J23298">
        <v>7</v>
      </c>
    </row>
    <row r="23299" spans="1:10" x14ac:dyDescent="0.25">
      <c r="A23299" t="s">
        <v>250</v>
      </c>
      <c r="B23299" s="1" t="str">
        <f>HYPERLINK("http://sigmaaldrich.com","sigmaaldrich.com")</f>
        <v>sigmaaldrich.com</v>
      </c>
      <c r="C23299" t="s">
        <v>433</v>
      </c>
      <c r="E23299">
        <v>10218</v>
      </c>
      <c r="F23299">
        <v>1.7341147627367099E-6</v>
      </c>
      <c r="G23299">
        <v>23041</v>
      </c>
      <c r="H23299">
        <v>17510502</v>
      </c>
      <c r="I23299">
        <v>13210</v>
      </c>
      <c r="J23299">
        <v>6</v>
      </c>
    </row>
    <row r="23300" spans="1:10" x14ac:dyDescent="0.25">
      <c r="A23300" t="s">
        <v>250</v>
      </c>
      <c r="B23300" s="1" t="str">
        <f>HYPERLINK("http://sigmaaldrihc.com","sigmaaldrihc.com")</f>
        <v>sigmaaldrihc.com</v>
      </c>
      <c r="C23300" t="s">
        <v>433</v>
      </c>
      <c r="J23300">
        <v>8</v>
      </c>
    </row>
    <row r="23301" spans="1:10" x14ac:dyDescent="0.25">
      <c r="A23301" t="s">
        <v>250</v>
      </c>
      <c r="B23301" s="1" t="str">
        <f>HYPERLINK("http://singulair.com","singulair.com")</f>
        <v>singulair.com</v>
      </c>
      <c r="C23301" t="s">
        <v>433</v>
      </c>
      <c r="F23301">
        <v>1.9296960783940399E-8</v>
      </c>
      <c r="G23301">
        <v>2782572</v>
      </c>
      <c r="H23301">
        <v>14124238</v>
      </c>
      <c r="I23301">
        <v>2150384</v>
      </c>
      <c r="J23301">
        <v>4</v>
      </c>
    </row>
    <row r="23302" spans="1:10" x14ac:dyDescent="0.25">
      <c r="A23302" t="s">
        <v>250</v>
      </c>
      <c r="B23302" s="1" t="str">
        <f>HYPERLINK("http://surepetcare.com","surepetcare.com")</f>
        <v>surepetcare.com</v>
      </c>
      <c r="C23302" t="s">
        <v>433</v>
      </c>
      <c r="E23302">
        <v>224632</v>
      </c>
      <c r="F23302">
        <v>2.3046773275037799E-7</v>
      </c>
      <c r="G23302">
        <v>163073</v>
      </c>
      <c r="H23302">
        <v>16882868</v>
      </c>
      <c r="I23302">
        <v>138428</v>
      </c>
      <c r="J23302">
        <v>3</v>
      </c>
    </row>
    <row r="23303" spans="1:10" x14ac:dyDescent="0.25">
      <c r="A23303" t="s">
        <v>250</v>
      </c>
      <c r="B23303" s="1" t="str">
        <f>HYPERLINK("http://themisbio.com","themisbio.com")</f>
        <v>themisbio.com</v>
      </c>
      <c r="C23303" t="s">
        <v>433</v>
      </c>
      <c r="F23303">
        <v>4.4392790002687197E-8</v>
      </c>
      <c r="G23303">
        <v>1068476</v>
      </c>
      <c r="H23303">
        <v>13878276</v>
      </c>
      <c r="I23303">
        <v>5986329</v>
      </c>
      <c r="J23303">
        <v>3</v>
      </c>
    </row>
    <row r="23304" spans="1:10" x14ac:dyDescent="0.25">
      <c r="A23304" t="s">
        <v>250</v>
      </c>
      <c r="B23304" s="1" t="str">
        <f>HYPERLINK("http://tilostherapeutics.com","tilostherapeutics.com")</f>
        <v>tilostherapeutics.com</v>
      </c>
      <c r="C23304" t="s">
        <v>433</v>
      </c>
      <c r="F23304">
        <v>5.7333301886041297E-9</v>
      </c>
      <c r="G23304">
        <v>18636329</v>
      </c>
      <c r="H23304">
        <v>11086343</v>
      </c>
      <c r="I23304">
        <v>32424323</v>
      </c>
      <c r="J23304">
        <v>3</v>
      </c>
    </row>
    <row r="23305" spans="1:10" x14ac:dyDescent="0.25">
      <c r="A23305" t="s">
        <v>250</v>
      </c>
      <c r="B23305" s="1" t="str">
        <f>HYPERLINK("http://triusrx.com","triusrx.com")</f>
        <v>triusrx.com</v>
      </c>
      <c r="C23305" t="s">
        <v>433</v>
      </c>
      <c r="F23305">
        <v>9.0393237779431906E-9</v>
      </c>
      <c r="G23305">
        <v>7933314</v>
      </c>
      <c r="H23305">
        <v>13772329</v>
      </c>
      <c r="I23305">
        <v>6664305</v>
      </c>
      <c r="J23305">
        <v>5</v>
      </c>
    </row>
    <row r="23306" spans="1:10" x14ac:dyDescent="0.25">
      <c r="A23306" t="s">
        <v>250</v>
      </c>
      <c r="B23306" s="1" t="str">
        <f>HYPERLINK("http://velosbio.com","velosbio.com")</f>
        <v>velosbio.com</v>
      </c>
      <c r="C23306" t="s">
        <v>433</v>
      </c>
      <c r="F23306">
        <v>1.79117269219676E-8</v>
      </c>
      <c r="G23306">
        <v>3051021</v>
      </c>
      <c r="H23306">
        <v>13463854</v>
      </c>
      <c r="I23306">
        <v>10144927</v>
      </c>
      <c r="J23306">
        <v>3</v>
      </c>
    </row>
    <row r="23307" spans="1:10" x14ac:dyDescent="0.25">
      <c r="A23307" t="s">
        <v>250</v>
      </c>
      <c r="B23307" s="1" t="str">
        <f>HYPERLINK("http://versummaterials.com","versummaterials.com")</f>
        <v>versummaterials.com</v>
      </c>
      <c r="C23307" t="s">
        <v>433</v>
      </c>
      <c r="F23307">
        <v>2.0725987515768498E-8</v>
      </c>
      <c r="G23307">
        <v>2553221</v>
      </c>
      <c r="H23307">
        <v>14501656</v>
      </c>
      <c r="I23307">
        <v>848863</v>
      </c>
      <c r="J23307">
        <v>8</v>
      </c>
    </row>
    <row r="23308" spans="1:10" x14ac:dyDescent="0.25">
      <c r="A23308" t="s">
        <v>250</v>
      </c>
      <c r="B23308" s="1" t="str">
        <f>HYPERLINK("http://viralytics.com","viralytics.com")</f>
        <v>viralytics.com</v>
      </c>
      <c r="C23308" t="s">
        <v>433</v>
      </c>
      <c r="F23308">
        <v>8.3496540732708605E-9</v>
      </c>
      <c r="G23308">
        <v>9147068</v>
      </c>
      <c r="H23308">
        <v>14073254</v>
      </c>
      <c r="I23308">
        <v>3006380</v>
      </c>
      <c r="J23308">
        <v>3</v>
      </c>
    </row>
    <row r="23309" spans="1:10" x14ac:dyDescent="0.25">
      <c r="A23309" t="s">
        <v>250</v>
      </c>
      <c r="B23309" s="1" t="str">
        <f>HYPERLINK("http://msd.co.cr","msd.co.cr")</f>
        <v>msd.co.cr</v>
      </c>
      <c r="C23309" t="s">
        <v>434</v>
      </c>
      <c r="D23309" t="s">
        <v>813</v>
      </c>
      <c r="F23309">
        <v>4.0946986684809698E-8</v>
      </c>
      <c r="G23309">
        <v>1266832</v>
      </c>
      <c r="H23309">
        <v>14073186</v>
      </c>
      <c r="I23309">
        <v>3011053</v>
      </c>
      <c r="J23309">
        <v>3</v>
      </c>
    </row>
    <row r="23310" spans="1:10" x14ac:dyDescent="0.25">
      <c r="A23310" t="s">
        <v>250</v>
      </c>
      <c r="B23310" s="1" t="str">
        <f>HYPERLINK("http://msd.cz","msd.cz")</f>
        <v>msd.cz</v>
      </c>
      <c r="C23310" t="s">
        <v>435</v>
      </c>
      <c r="D23310" t="s">
        <v>814</v>
      </c>
      <c r="F23310">
        <v>9.3854624148759395E-8</v>
      </c>
      <c r="G23310">
        <v>432707</v>
      </c>
      <c r="H23310">
        <v>13346305</v>
      </c>
      <c r="I23310">
        <v>10648897</v>
      </c>
      <c r="J23310">
        <v>3</v>
      </c>
    </row>
    <row r="23311" spans="1:10" x14ac:dyDescent="0.25">
      <c r="A23311" t="s">
        <v>250</v>
      </c>
      <c r="B23311" s="1" t="str">
        <f>HYPERLINK("http://msd-animal-health.cz","msd-animal-health.cz")</f>
        <v>msd-animal-health.cz</v>
      </c>
      <c r="C23311" t="s">
        <v>435</v>
      </c>
      <c r="D23311" t="s">
        <v>814</v>
      </c>
      <c r="F23311">
        <v>2.27978074742132E-8</v>
      </c>
      <c r="G23311">
        <v>2294199</v>
      </c>
      <c r="H23311">
        <v>12144181</v>
      </c>
      <c r="I23311">
        <v>24778941</v>
      </c>
      <c r="J23311">
        <v>3</v>
      </c>
    </row>
    <row r="23312" spans="1:10" x14ac:dyDescent="0.25">
      <c r="A23312" t="s">
        <v>250</v>
      </c>
      <c r="B23312" s="1" t="str">
        <f>HYPERLINK("http://msdit.cz","msdit.cz")</f>
        <v>msdit.cz</v>
      </c>
      <c r="C23312" t="s">
        <v>435</v>
      </c>
      <c r="D23312" t="s">
        <v>814</v>
      </c>
      <c r="F23312">
        <v>1.6618116888806998E-8</v>
      </c>
      <c r="G23312">
        <v>3384476</v>
      </c>
      <c r="H23312">
        <v>13772214</v>
      </c>
      <c r="I23312">
        <v>6667706</v>
      </c>
      <c r="J23312">
        <v>3</v>
      </c>
    </row>
    <row r="23313" spans="1:10" x14ac:dyDescent="0.25">
      <c r="A23313" t="s">
        <v>250</v>
      </c>
      <c r="B23313" s="1" t="str">
        <f>HYPERLINK("http://intervet.de","intervet.de")</f>
        <v>intervet.de</v>
      </c>
      <c r="C23313" t="s">
        <v>436</v>
      </c>
      <c r="D23313" t="s">
        <v>815</v>
      </c>
      <c r="F23313">
        <v>1.7894876045569201E-8</v>
      </c>
      <c r="G23313">
        <v>3054561</v>
      </c>
      <c r="H23313">
        <v>14238132</v>
      </c>
      <c r="I23313">
        <v>1532770</v>
      </c>
      <c r="J23313">
        <v>6</v>
      </c>
    </row>
    <row r="23314" spans="1:10" x14ac:dyDescent="0.25">
      <c r="A23314" t="s">
        <v>250</v>
      </c>
      <c r="B23314" s="1" t="str">
        <f>HYPERLINK("http://merck.de","merck.de")</f>
        <v>merck.de</v>
      </c>
      <c r="C23314" t="s">
        <v>436</v>
      </c>
      <c r="D23314" t="s">
        <v>815</v>
      </c>
      <c r="E23314">
        <v>193371</v>
      </c>
      <c r="F23314">
        <v>2.84297144065874E-7</v>
      </c>
      <c r="G23314">
        <v>130754</v>
      </c>
      <c r="H23314">
        <v>17316998</v>
      </c>
      <c r="I23314">
        <v>26120</v>
      </c>
      <c r="J23314">
        <v>6</v>
      </c>
    </row>
    <row r="23315" spans="1:10" x14ac:dyDescent="0.25">
      <c r="A23315" t="s">
        <v>250</v>
      </c>
      <c r="B23315" s="1" t="str">
        <f>HYPERLINK("http://msd.de","msd.de")</f>
        <v>msd.de</v>
      </c>
      <c r="C23315" t="s">
        <v>436</v>
      </c>
      <c r="D23315" t="s">
        <v>815</v>
      </c>
      <c r="E23315">
        <v>607754</v>
      </c>
      <c r="F23315">
        <v>2.34250287363408E-7</v>
      </c>
      <c r="G23315">
        <v>160065</v>
      </c>
      <c r="H23315">
        <v>14306678</v>
      </c>
      <c r="I23315">
        <v>1349742</v>
      </c>
      <c r="J23315">
        <v>3</v>
      </c>
    </row>
    <row r="23316" spans="1:10" x14ac:dyDescent="0.25">
      <c r="A23316" t="s">
        <v>250</v>
      </c>
      <c r="B23316" s="1" t="str">
        <f>HYPERLINK("http://msd-tiergesundheit.de","msd-tiergesundheit.de")</f>
        <v>msd-tiergesundheit.de</v>
      </c>
      <c r="C23316" t="s">
        <v>436</v>
      </c>
      <c r="D23316" t="s">
        <v>815</v>
      </c>
      <c r="E23316">
        <v>755763</v>
      </c>
      <c r="F23316">
        <v>1.19269566139414E-7</v>
      </c>
      <c r="G23316">
        <v>331655</v>
      </c>
      <c r="H23316">
        <v>14692565</v>
      </c>
      <c r="I23316">
        <v>601148</v>
      </c>
      <c r="J23316">
        <v>3</v>
      </c>
    </row>
    <row r="23317" spans="1:10" x14ac:dyDescent="0.25">
      <c r="A23317" t="s">
        <v>250</v>
      </c>
      <c r="B23317" s="1" t="str">
        <f>HYPERLINK("http://msd.dk","msd.dk")</f>
        <v>msd.dk</v>
      </c>
      <c r="C23317" t="s">
        <v>437</v>
      </c>
      <c r="D23317" t="s">
        <v>816</v>
      </c>
      <c r="F23317">
        <v>3.81141373963711E-8</v>
      </c>
      <c r="G23317">
        <v>1358018</v>
      </c>
      <c r="H23317">
        <v>12291942</v>
      </c>
      <c r="I23317">
        <v>21060677</v>
      </c>
      <c r="J23317">
        <v>3</v>
      </c>
    </row>
    <row r="23318" spans="1:10" x14ac:dyDescent="0.25">
      <c r="A23318" t="s">
        <v>250</v>
      </c>
      <c r="B23318" s="1" t="str">
        <f>HYPERLINK("http://msd-animal-health.dk","msd-animal-health.dk")</f>
        <v>msd-animal-health.dk</v>
      </c>
      <c r="C23318" t="s">
        <v>437</v>
      </c>
      <c r="D23318" t="s">
        <v>816</v>
      </c>
      <c r="F23318">
        <v>2.5141629285753399E-8</v>
      </c>
      <c r="G23318">
        <v>2054348</v>
      </c>
      <c r="H23318">
        <v>12209823</v>
      </c>
      <c r="I23318">
        <v>23032386</v>
      </c>
      <c r="J23318">
        <v>3</v>
      </c>
    </row>
    <row r="23319" spans="1:10" x14ac:dyDescent="0.25">
      <c r="A23319" t="s">
        <v>250</v>
      </c>
      <c r="B23319" s="1" t="str">
        <f>HYPERLINK("http://msd.com.ec","msd.com.ec")</f>
        <v>msd.com.ec</v>
      </c>
      <c r="C23319" t="s">
        <v>440</v>
      </c>
      <c r="D23319" t="s">
        <v>819</v>
      </c>
      <c r="F23319">
        <v>3.69550643302361E-8</v>
      </c>
      <c r="G23319">
        <v>1405166</v>
      </c>
      <c r="H23319">
        <v>13768089</v>
      </c>
      <c r="I23319">
        <v>6896988</v>
      </c>
      <c r="J23319">
        <v>3</v>
      </c>
    </row>
    <row r="23320" spans="1:10" x14ac:dyDescent="0.25">
      <c r="A23320" t="s">
        <v>250</v>
      </c>
      <c r="B23320" s="1" t="str">
        <f>HYPERLINK("http://msd.ee","msd.ee")</f>
        <v>msd.ee</v>
      </c>
      <c r="C23320" t="s">
        <v>441</v>
      </c>
      <c r="D23320" t="s">
        <v>820</v>
      </c>
      <c r="F23320">
        <v>3.6700695845831898E-8</v>
      </c>
      <c r="G23320">
        <v>1423896</v>
      </c>
      <c r="H23320">
        <v>12258343</v>
      </c>
      <c r="I23320">
        <v>21809600</v>
      </c>
      <c r="J23320">
        <v>3</v>
      </c>
    </row>
    <row r="23321" spans="1:10" x14ac:dyDescent="0.25">
      <c r="A23321" t="s">
        <v>250</v>
      </c>
      <c r="B23321" s="1" t="str">
        <f>HYPERLINK("http://intervet.com.eg","intervet.com.eg")</f>
        <v>intervet.com.eg</v>
      </c>
      <c r="C23321" t="s">
        <v>442</v>
      </c>
      <c r="D23321" t="s">
        <v>821</v>
      </c>
      <c r="F23321">
        <v>4.8083892613418001E-9</v>
      </c>
      <c r="G23321">
        <v>35759103</v>
      </c>
      <c r="H23321">
        <v>13933062</v>
      </c>
      <c r="I23321">
        <v>5202440</v>
      </c>
      <c r="J23321">
        <v>3</v>
      </c>
    </row>
    <row r="23322" spans="1:10" x14ac:dyDescent="0.25">
      <c r="A23322" t="s">
        <v>250</v>
      </c>
      <c r="B23322" s="1" t="str">
        <f>HYPERLINK("http://merck.es","merck.es")</f>
        <v>merck.es</v>
      </c>
      <c r="C23322" t="s">
        <v>443</v>
      </c>
      <c r="D23322" t="s">
        <v>822</v>
      </c>
      <c r="F23322">
        <v>2.4221372690159499E-8</v>
      </c>
      <c r="G23322">
        <v>2141450</v>
      </c>
      <c r="H23322">
        <v>14135049</v>
      </c>
      <c r="I23322">
        <v>1973296</v>
      </c>
      <c r="J23322">
        <v>5</v>
      </c>
    </row>
    <row r="23323" spans="1:10" x14ac:dyDescent="0.25">
      <c r="A23323" t="s">
        <v>250</v>
      </c>
      <c r="B23323" s="1" t="str">
        <f>HYPERLINK("http://msd.es","msd.es")</f>
        <v>msd.es</v>
      </c>
      <c r="C23323" t="s">
        <v>443</v>
      </c>
      <c r="D23323" t="s">
        <v>822</v>
      </c>
      <c r="E23323">
        <v>391942</v>
      </c>
      <c r="F23323">
        <v>1.60018699945932E-7</v>
      </c>
      <c r="G23323">
        <v>242572</v>
      </c>
      <c r="H23323">
        <v>14508922</v>
      </c>
      <c r="I23323">
        <v>827331</v>
      </c>
      <c r="J23323">
        <v>3</v>
      </c>
    </row>
    <row r="23324" spans="1:10" x14ac:dyDescent="0.25">
      <c r="A23324" t="s">
        <v>250</v>
      </c>
      <c r="B23324" s="1" t="str">
        <f>HYPERLINK("http://msd-animal-health.es","msd-animal-health.es")</f>
        <v>msd-animal-health.es</v>
      </c>
      <c r="C23324" t="s">
        <v>443</v>
      </c>
      <c r="D23324" t="s">
        <v>822</v>
      </c>
      <c r="F23324">
        <v>9.3417402355482904E-8</v>
      </c>
      <c r="G23324">
        <v>435138</v>
      </c>
      <c r="H23324">
        <v>16832734</v>
      </c>
      <c r="I23324">
        <v>166217</v>
      </c>
      <c r="J23324">
        <v>3</v>
      </c>
    </row>
    <row r="23325" spans="1:10" x14ac:dyDescent="0.25">
      <c r="A23325" t="s">
        <v>250</v>
      </c>
      <c r="B23325" s="1" t="str">
        <f>HYPERLINK("http://mcmbv.eu","mcmbv.eu")</f>
        <v>mcmbv.eu</v>
      </c>
      <c r="C23325" t="s">
        <v>444</v>
      </c>
      <c r="F23325">
        <v>4.6898459299657598E-9</v>
      </c>
      <c r="G23325">
        <v>41797108</v>
      </c>
      <c r="H23325">
        <v>12203052</v>
      </c>
      <c r="I23325">
        <v>23241747</v>
      </c>
      <c r="J23325">
        <v>3</v>
      </c>
    </row>
    <row r="23326" spans="1:10" x14ac:dyDescent="0.25">
      <c r="A23326" t="s">
        <v>250</v>
      </c>
      <c r="B23326" s="1" t="str">
        <f>HYPERLINK("http://adveva.fi","adveva.fi")</f>
        <v>adveva.fi</v>
      </c>
      <c r="C23326" t="s">
        <v>445</v>
      </c>
      <c r="D23326" t="s">
        <v>823</v>
      </c>
      <c r="J23326">
        <v>6</v>
      </c>
    </row>
    <row r="23327" spans="1:10" x14ac:dyDescent="0.25">
      <c r="A23327" t="s">
        <v>250</v>
      </c>
      <c r="B23327" s="1" t="str">
        <f>HYPERLINK("http://aikarokottaa.fi","aikarokottaa.fi")</f>
        <v>aikarokottaa.fi</v>
      </c>
      <c r="C23327" t="s">
        <v>445</v>
      </c>
      <c r="D23327" t="s">
        <v>823</v>
      </c>
      <c r="F23327">
        <v>4.7863677517879496E-9</v>
      </c>
      <c r="G23327">
        <v>36696294</v>
      </c>
      <c r="H23327">
        <v>10344859</v>
      </c>
      <c r="I23327">
        <v>57084121</v>
      </c>
      <c r="J23327">
        <v>4</v>
      </c>
    </row>
    <row r="23328" spans="1:10" x14ac:dyDescent="0.25">
      <c r="A23328" t="s">
        <v>250</v>
      </c>
      <c r="B23328" s="1" t="str">
        <f>HYPERLINK("http://axilur.fi","axilur.fi")</f>
        <v>axilur.fi</v>
      </c>
      <c r="C23328" t="s">
        <v>445</v>
      </c>
      <c r="D23328" t="s">
        <v>823</v>
      </c>
      <c r="J23328">
        <v>2</v>
      </c>
    </row>
    <row r="23329" spans="1:10" x14ac:dyDescent="0.25">
      <c r="A23329" t="s">
        <v>250</v>
      </c>
      <c r="B23329" s="1" t="str">
        <f>HYPERLINK("http://bravecto.fi","bravecto.fi")</f>
        <v>bravecto.fi</v>
      </c>
      <c r="C23329" t="s">
        <v>445</v>
      </c>
      <c r="D23329" t="s">
        <v>823</v>
      </c>
      <c r="J23329">
        <v>2</v>
      </c>
    </row>
    <row r="23330" spans="1:10" x14ac:dyDescent="0.25">
      <c r="A23330" t="s">
        <v>250</v>
      </c>
      <c r="B23330" s="1" t="str">
        <f>HYPERLINK("http://bravovets.fi","bravovets.fi")</f>
        <v>bravovets.fi</v>
      </c>
      <c r="C23330" t="s">
        <v>445</v>
      </c>
      <c r="D23330" t="s">
        <v>823</v>
      </c>
      <c r="J23330">
        <v>2</v>
      </c>
    </row>
    <row r="23331" spans="1:10" x14ac:dyDescent="0.25">
      <c r="A23331" t="s">
        <v>250</v>
      </c>
      <c r="B23331" s="1" t="str">
        <f>HYPERLINK("http://bridion.fi","bridion.fi")</f>
        <v>bridion.fi</v>
      </c>
      <c r="C23331" t="s">
        <v>445</v>
      </c>
      <c r="D23331" t="s">
        <v>823</v>
      </c>
      <c r="J23331">
        <v>2</v>
      </c>
    </row>
    <row r="23332" spans="1:10" x14ac:dyDescent="0.25">
      <c r="A23332" t="s">
        <v>250</v>
      </c>
      <c r="B23332" s="1" t="str">
        <f>HYPERLINK("http://btkandms.fi","btkandms.fi")</f>
        <v>btkandms.fi</v>
      </c>
      <c r="C23332" t="s">
        <v>445</v>
      </c>
      <c r="D23332" t="s">
        <v>823</v>
      </c>
      <c r="J23332">
        <v>6</v>
      </c>
    </row>
    <row r="23333" spans="1:10" x14ac:dyDescent="0.25">
      <c r="A23333" t="s">
        <v>250</v>
      </c>
      <c r="B23333" s="1" t="str">
        <f>HYPERLINK("http://cladribine.fi","cladribine.fi")</f>
        <v>cladribine.fi</v>
      </c>
      <c r="C23333" t="s">
        <v>445</v>
      </c>
      <c r="D23333" t="s">
        <v>823</v>
      </c>
      <c r="J23333">
        <v>6</v>
      </c>
    </row>
    <row r="23334" spans="1:10" x14ac:dyDescent="0.25">
      <c r="A23334" t="s">
        <v>250</v>
      </c>
      <c r="B23334" s="1" t="str">
        <f>HYPERLINK("http://cladribinetablets.fi","cladribinetablets.fi")</f>
        <v>cladribinetablets.fi</v>
      </c>
      <c r="C23334" t="s">
        <v>445</v>
      </c>
      <c r="D23334" t="s">
        <v>823</v>
      </c>
      <c r="J23334">
        <v>6</v>
      </c>
    </row>
    <row r="23335" spans="1:10" x14ac:dyDescent="0.25">
      <c r="A23335" t="s">
        <v>250</v>
      </c>
      <c r="B23335" s="1" t="str">
        <f>HYPERLINK("http://cubicin.fi","cubicin.fi")</f>
        <v>cubicin.fi</v>
      </c>
      <c r="C23335" t="s">
        <v>445</v>
      </c>
      <c r="D23335" t="s">
        <v>823</v>
      </c>
      <c r="J23335">
        <v>2</v>
      </c>
    </row>
    <row r="23336" spans="1:10" x14ac:dyDescent="0.25">
      <c r="A23336" t="s">
        <v>250</v>
      </c>
      <c r="B23336" s="1" t="str">
        <f>HYPERLINK("http://dutrebis.fi","dutrebis.fi")</f>
        <v>dutrebis.fi</v>
      </c>
      <c r="C23336" t="s">
        <v>445</v>
      </c>
      <c r="D23336" t="s">
        <v>823</v>
      </c>
      <c r="J23336">
        <v>2</v>
      </c>
    </row>
    <row r="23337" spans="1:10" x14ac:dyDescent="0.25">
      <c r="A23337" t="s">
        <v>250</v>
      </c>
      <c r="B23337" s="1" t="str">
        <f>HYPERLINK("http://essex.fi","essex.fi")</f>
        <v>essex.fi</v>
      </c>
      <c r="C23337" t="s">
        <v>445</v>
      </c>
      <c r="D23337" t="s">
        <v>823</v>
      </c>
      <c r="F23337">
        <v>4.4867075796906002E-9</v>
      </c>
      <c r="G23337">
        <v>61073858</v>
      </c>
      <c r="H23337">
        <v>10532172</v>
      </c>
      <c r="I23337">
        <v>48042761</v>
      </c>
      <c r="J23337">
        <v>2</v>
      </c>
    </row>
    <row r="23338" spans="1:10" x14ac:dyDescent="0.25">
      <c r="A23338" t="s">
        <v>250</v>
      </c>
      <c r="B23338" s="1" t="str">
        <f>HYPERLINK("http://exspot.fi","exspot.fi")</f>
        <v>exspot.fi</v>
      </c>
      <c r="C23338" t="s">
        <v>445</v>
      </c>
      <c r="D23338" t="s">
        <v>823</v>
      </c>
      <c r="F23338">
        <v>5.0866697809786304E-9</v>
      </c>
      <c r="G23338">
        <v>27364537</v>
      </c>
      <c r="H23338">
        <v>13763782</v>
      </c>
      <c r="I23338">
        <v>7631494</v>
      </c>
      <c r="J23338">
        <v>2</v>
      </c>
    </row>
    <row r="23339" spans="1:10" x14ac:dyDescent="0.25">
      <c r="A23339" t="s">
        <v>250</v>
      </c>
      <c r="B23339" s="1" t="str">
        <f>HYPERLINK("http://herpeszoster.fi","herpeszoster.fi")</f>
        <v>herpeszoster.fi</v>
      </c>
      <c r="C23339" t="s">
        <v>445</v>
      </c>
      <c r="D23339" t="s">
        <v>823</v>
      </c>
      <c r="J23339">
        <v>4</v>
      </c>
    </row>
    <row r="23340" spans="1:10" x14ac:dyDescent="0.25">
      <c r="A23340" t="s">
        <v>250</v>
      </c>
      <c r="B23340" s="1" t="str">
        <f>HYPERLINK("http://hpvvirus.fi","hpvvirus.fi")</f>
        <v>hpvvirus.fi</v>
      </c>
      <c r="C23340" t="s">
        <v>445</v>
      </c>
      <c r="D23340" t="s">
        <v>823</v>
      </c>
      <c r="J23340">
        <v>4</v>
      </c>
    </row>
    <row r="23341" spans="1:10" x14ac:dyDescent="0.25">
      <c r="A23341" t="s">
        <v>250</v>
      </c>
      <c r="B23341" s="1" t="str">
        <f>HYPERLINK("http://idal.fi","idal.fi")</f>
        <v>idal.fi</v>
      </c>
      <c r="C23341" t="s">
        <v>445</v>
      </c>
      <c r="D23341" t="s">
        <v>823</v>
      </c>
      <c r="J23341">
        <v>4</v>
      </c>
    </row>
    <row r="23342" spans="1:10" x14ac:dyDescent="0.25">
      <c r="A23342" t="s">
        <v>250</v>
      </c>
      <c r="B23342" s="1" t="str">
        <f>HYPERLINK("http://idal-id.fi","idal-id.fi")</f>
        <v>idal-id.fi</v>
      </c>
      <c r="C23342" t="s">
        <v>445</v>
      </c>
      <c r="D23342" t="s">
        <v>823</v>
      </c>
      <c r="J23342">
        <v>4</v>
      </c>
    </row>
    <row r="23343" spans="1:10" x14ac:dyDescent="0.25">
      <c r="A23343" t="s">
        <v>250</v>
      </c>
      <c r="B23343" s="1" t="str">
        <f>HYPERLINK("http://ihmisenpapilloomavirus.fi","ihmisenpapilloomavirus.fi")</f>
        <v>ihmisenpapilloomavirus.fi</v>
      </c>
      <c r="C23343" t="s">
        <v>445</v>
      </c>
      <c r="D23343" t="s">
        <v>823</v>
      </c>
      <c r="J23343">
        <v>4</v>
      </c>
    </row>
    <row r="23344" spans="1:10" x14ac:dyDescent="0.25">
      <c r="A23344" t="s">
        <v>250</v>
      </c>
      <c r="B23344" s="1" t="str">
        <f>HYPERLINK("http://isentress.fi","isentress.fi")</f>
        <v>isentress.fi</v>
      </c>
      <c r="C23344" t="s">
        <v>445</v>
      </c>
      <c r="D23344" t="s">
        <v>823</v>
      </c>
      <c r="J23344">
        <v>2</v>
      </c>
    </row>
    <row r="23345" spans="1:10" x14ac:dyDescent="0.25">
      <c r="A23345" t="s">
        <v>250</v>
      </c>
      <c r="B23345" s="1" t="str">
        <f>HYPERLINK("http://janumet.fi","janumet.fi")</f>
        <v>janumet.fi</v>
      </c>
      <c r="C23345" t="s">
        <v>445</v>
      </c>
      <c r="D23345" t="s">
        <v>823</v>
      </c>
      <c r="J23345">
        <v>2</v>
      </c>
    </row>
    <row r="23346" spans="1:10" x14ac:dyDescent="0.25">
      <c r="A23346" t="s">
        <v>250</v>
      </c>
      <c r="B23346" s="1" t="str">
        <f>HYPERLINK("http://januvia.fi","januvia.fi")</f>
        <v>januvia.fi</v>
      </c>
      <c r="C23346" t="s">
        <v>445</v>
      </c>
      <c r="D23346" t="s">
        <v>823</v>
      </c>
      <c r="J23346">
        <v>2</v>
      </c>
    </row>
    <row r="23347" spans="1:10" x14ac:dyDescent="0.25">
      <c r="A23347" t="s">
        <v>250</v>
      </c>
      <c r="B23347" s="1" t="str">
        <f>HYPERLINK("http://kennelyska.fi","kennelyska.fi")</f>
        <v>kennelyska.fi</v>
      </c>
      <c r="C23347" t="s">
        <v>445</v>
      </c>
      <c r="D23347" t="s">
        <v>823</v>
      </c>
      <c r="F23347">
        <v>5.1215409406144998E-9</v>
      </c>
      <c r="G23347">
        <v>26627102</v>
      </c>
      <c r="H23347">
        <v>14236065</v>
      </c>
      <c r="I23347">
        <v>1660444</v>
      </c>
      <c r="J23347">
        <v>2</v>
      </c>
    </row>
    <row r="23348" spans="1:10" x14ac:dyDescent="0.25">
      <c r="A23348" t="s">
        <v>250</v>
      </c>
      <c r="B23348" s="1" t="str">
        <f>HYPERLINK("http://keytruda.fi","keytruda.fi")</f>
        <v>keytruda.fi</v>
      </c>
      <c r="C23348" t="s">
        <v>445</v>
      </c>
      <c r="D23348" t="s">
        <v>823</v>
      </c>
      <c r="J23348">
        <v>2</v>
      </c>
    </row>
    <row r="23349" spans="1:10" x14ac:dyDescent="0.25">
      <c r="A23349" t="s">
        <v>250</v>
      </c>
      <c r="B23349" s="1" t="str">
        <f>HYPERLINK("http://kissaflunssa.fi","kissaflunssa.fi")</f>
        <v>kissaflunssa.fi</v>
      </c>
      <c r="C23349" t="s">
        <v>445</v>
      </c>
      <c r="D23349" t="s">
        <v>823</v>
      </c>
      <c r="J23349">
        <v>2</v>
      </c>
    </row>
    <row r="23350" spans="1:10" x14ac:dyDescent="0.25">
      <c r="A23350" t="s">
        <v>250</v>
      </c>
      <c r="B23350" s="1" t="str">
        <f>HYPERLINK("http://koiratpunkkejavastaan.fi","koiratpunkkejavastaan.fi")</f>
        <v>koiratpunkkejavastaan.fi</v>
      </c>
      <c r="C23350" t="s">
        <v>445</v>
      </c>
      <c r="D23350" t="s">
        <v>823</v>
      </c>
      <c r="F23350">
        <v>6.7703777133879596E-9</v>
      </c>
      <c r="G23350">
        <v>13059891</v>
      </c>
      <c r="H23350">
        <v>10720260</v>
      </c>
      <c r="I23350">
        <v>41941730</v>
      </c>
      <c r="J23350">
        <v>2</v>
      </c>
    </row>
    <row r="23351" spans="1:10" x14ac:dyDescent="0.25">
      <c r="A23351" t="s">
        <v>250</v>
      </c>
      <c r="B23351" s="1" t="str">
        <f>HYPERLINK("http://lagevrio.fi","lagevrio.fi")</f>
        <v>lagevrio.fi</v>
      </c>
      <c r="C23351" t="s">
        <v>445</v>
      </c>
      <c r="D23351" t="s">
        <v>823</v>
      </c>
      <c r="J23351">
        <v>4</v>
      </c>
    </row>
    <row r="23352" spans="1:10" x14ac:dyDescent="0.25">
      <c r="A23352" t="s">
        <v>250</v>
      </c>
      <c r="B23352" s="1" t="str">
        <f>HYPERLINK("http://makeacovidplan.fi","makeacovidplan.fi")</f>
        <v>makeacovidplan.fi</v>
      </c>
      <c r="C23352" t="s">
        <v>445</v>
      </c>
      <c r="D23352" t="s">
        <v>823</v>
      </c>
      <c r="J23352">
        <v>4</v>
      </c>
    </row>
    <row r="23353" spans="1:10" x14ac:dyDescent="0.25">
      <c r="A23353" t="s">
        <v>250</v>
      </c>
      <c r="B23353" s="1" t="str">
        <f>HYPERLINK("http://mavanclad.fi","mavanclad.fi")</f>
        <v>mavanclad.fi</v>
      </c>
      <c r="C23353" t="s">
        <v>445</v>
      </c>
      <c r="D23353" t="s">
        <v>823</v>
      </c>
      <c r="J23353">
        <v>6</v>
      </c>
    </row>
    <row r="23354" spans="1:10" x14ac:dyDescent="0.25">
      <c r="A23354" t="s">
        <v>250</v>
      </c>
      <c r="B23354" s="1" t="str">
        <f>HYPERLINK("http://mavenclad.fi","mavenclad.fi")</f>
        <v>mavenclad.fi</v>
      </c>
      <c r="C23354" t="s">
        <v>445</v>
      </c>
      <c r="D23354" t="s">
        <v>823</v>
      </c>
      <c r="J23354">
        <v>6</v>
      </c>
    </row>
    <row r="23355" spans="1:10" x14ac:dyDescent="0.25">
      <c r="A23355" t="s">
        <v>250</v>
      </c>
      <c r="B23355" s="1" t="str">
        <f>HYPERLINK("http://merck-kasvu.fi","merck-kasvu.fi")</f>
        <v>merck-kasvu.fi</v>
      </c>
      <c r="C23355" t="s">
        <v>445</v>
      </c>
      <c r="D23355" t="s">
        <v>823</v>
      </c>
      <c r="J23355">
        <v>6</v>
      </c>
    </row>
    <row r="23356" spans="1:10" x14ac:dyDescent="0.25">
      <c r="A23356" t="s">
        <v>250</v>
      </c>
      <c r="B23356" s="1" t="str">
        <f>HYPERLINK("http://merck-ms.fi","merck-ms.fi")</f>
        <v>merck-ms.fi</v>
      </c>
      <c r="C23356" t="s">
        <v>445</v>
      </c>
      <c r="D23356" t="s">
        <v>823</v>
      </c>
      <c r="J23356">
        <v>6</v>
      </c>
    </row>
    <row r="23357" spans="1:10" x14ac:dyDescent="0.25">
      <c r="A23357" t="s">
        <v>250</v>
      </c>
      <c r="B23357" s="1" t="str">
        <f>HYPERLINK("http://merck-neurologia.fi","merck-neurologia.fi")</f>
        <v>merck-neurologia.fi</v>
      </c>
      <c r="C23357" t="s">
        <v>445</v>
      </c>
      <c r="D23357" t="s">
        <v>823</v>
      </c>
      <c r="J23357">
        <v>6</v>
      </c>
    </row>
    <row r="23358" spans="1:10" x14ac:dyDescent="0.25">
      <c r="A23358" t="s">
        <v>250</v>
      </c>
      <c r="B23358" s="1" t="str">
        <f>HYPERLINK("http://merck-neurology.fi","merck-neurology.fi")</f>
        <v>merck-neurology.fi</v>
      </c>
      <c r="C23358" t="s">
        <v>445</v>
      </c>
      <c r="D23358" t="s">
        <v>823</v>
      </c>
      <c r="J23358">
        <v>6</v>
      </c>
    </row>
    <row r="23359" spans="1:10" x14ac:dyDescent="0.25">
      <c r="A23359" t="s">
        <v>250</v>
      </c>
      <c r="B23359" s="1" t="str">
        <f>HYPERLINK("http://merck-oncology.fi","merck-oncology.fi")</f>
        <v>merck-oncology.fi</v>
      </c>
      <c r="C23359" t="s">
        <v>445</v>
      </c>
      <c r="D23359" t="s">
        <v>823</v>
      </c>
      <c r="J23359">
        <v>6</v>
      </c>
    </row>
    <row r="23360" spans="1:10" x14ac:dyDescent="0.25">
      <c r="A23360" t="s">
        <v>250</v>
      </c>
      <c r="B23360" s="1" t="str">
        <f>HYPERLINK("http://merck-onkologia.fi","merck-onkologia.fi")</f>
        <v>merck-onkologia.fi</v>
      </c>
      <c r="C23360" t="s">
        <v>445</v>
      </c>
      <c r="D23360" t="s">
        <v>823</v>
      </c>
      <c r="J23360">
        <v>6</v>
      </c>
    </row>
    <row r="23361" spans="1:10" x14ac:dyDescent="0.25">
      <c r="A23361" t="s">
        <v>250</v>
      </c>
      <c r="B23361" s="1" t="str">
        <f>HYPERLINK("http://merckkasvu.fi","merckkasvu.fi")</f>
        <v>merckkasvu.fi</v>
      </c>
      <c r="C23361" t="s">
        <v>445</v>
      </c>
      <c r="D23361" t="s">
        <v>823</v>
      </c>
      <c r="J23361">
        <v>6</v>
      </c>
    </row>
    <row r="23362" spans="1:10" x14ac:dyDescent="0.25">
      <c r="A23362" t="s">
        <v>250</v>
      </c>
      <c r="B23362" s="1" t="str">
        <f>HYPERLINK("http://merckms.fi","merckms.fi")</f>
        <v>merckms.fi</v>
      </c>
      <c r="C23362" t="s">
        <v>445</v>
      </c>
      <c r="D23362" t="s">
        <v>823</v>
      </c>
      <c r="J23362">
        <v>6</v>
      </c>
    </row>
    <row r="23363" spans="1:10" x14ac:dyDescent="0.25">
      <c r="A23363" t="s">
        <v>250</v>
      </c>
      <c r="B23363" s="1" t="str">
        <f>HYPERLINK("http://merckneurologia.fi","merckneurologia.fi")</f>
        <v>merckneurologia.fi</v>
      </c>
      <c r="C23363" t="s">
        <v>445</v>
      </c>
      <c r="D23363" t="s">
        <v>823</v>
      </c>
      <c r="J23363">
        <v>6</v>
      </c>
    </row>
    <row r="23364" spans="1:10" x14ac:dyDescent="0.25">
      <c r="A23364" t="s">
        <v>250</v>
      </c>
      <c r="B23364" s="1" t="str">
        <f>HYPERLINK("http://merckneurology.fi","merckneurology.fi")</f>
        <v>merckneurology.fi</v>
      </c>
      <c r="C23364" t="s">
        <v>445</v>
      </c>
      <c r="D23364" t="s">
        <v>823</v>
      </c>
      <c r="J23364">
        <v>6</v>
      </c>
    </row>
    <row r="23365" spans="1:10" x14ac:dyDescent="0.25">
      <c r="A23365" t="s">
        <v>250</v>
      </c>
      <c r="B23365" s="1" t="str">
        <f>HYPERLINK("http://merckoncology.fi","merckoncology.fi")</f>
        <v>merckoncology.fi</v>
      </c>
      <c r="C23365" t="s">
        <v>445</v>
      </c>
      <c r="D23365" t="s">
        <v>823</v>
      </c>
      <c r="J23365">
        <v>6</v>
      </c>
    </row>
    <row r="23366" spans="1:10" x14ac:dyDescent="0.25">
      <c r="A23366" t="s">
        <v>250</v>
      </c>
      <c r="B23366" s="1" t="str">
        <f>HYPERLINK("http://merckonkologia.fi","merckonkologia.fi")</f>
        <v>merckonkologia.fi</v>
      </c>
      <c r="C23366" t="s">
        <v>445</v>
      </c>
      <c r="D23366" t="s">
        <v>823</v>
      </c>
      <c r="J23366">
        <v>6</v>
      </c>
    </row>
    <row r="23367" spans="1:10" x14ac:dyDescent="0.25">
      <c r="A23367" t="s">
        <v>250</v>
      </c>
      <c r="B23367" s="1" t="str">
        <f>HYPERLINK("http://minundiabetes.fi","minundiabetes.fi")</f>
        <v>minundiabetes.fi</v>
      </c>
      <c r="C23367" t="s">
        <v>445</v>
      </c>
      <c r="D23367" t="s">
        <v>823</v>
      </c>
      <c r="J23367">
        <v>2</v>
      </c>
    </row>
    <row r="23368" spans="1:10" x14ac:dyDescent="0.25">
      <c r="A23368" t="s">
        <v>250</v>
      </c>
      <c r="B23368" s="1" t="str">
        <f>HYPERLINK("http://msd.fi","msd.fi")</f>
        <v>msd.fi</v>
      </c>
      <c r="C23368" t="s">
        <v>445</v>
      </c>
      <c r="D23368" t="s">
        <v>823</v>
      </c>
      <c r="F23368">
        <v>4.6473232157093599E-8</v>
      </c>
      <c r="G23368">
        <v>1006534</v>
      </c>
      <c r="H23368">
        <v>14079385</v>
      </c>
      <c r="I23368">
        <v>2833470</v>
      </c>
      <c r="J23368">
        <v>2</v>
      </c>
    </row>
    <row r="23369" spans="1:10" x14ac:dyDescent="0.25">
      <c r="A23369" t="s">
        <v>250</v>
      </c>
      <c r="B23369" s="1" t="str">
        <f>HYPERLINK("http://msd-animal-health.fi","msd-animal-health.fi")</f>
        <v>msd-animal-health.fi</v>
      </c>
      <c r="C23369" t="s">
        <v>445</v>
      </c>
      <c r="D23369" t="s">
        <v>823</v>
      </c>
      <c r="F23369">
        <v>2.9420180625603201E-8</v>
      </c>
      <c r="G23369">
        <v>1751669</v>
      </c>
      <c r="H23369">
        <v>13766012</v>
      </c>
      <c r="I23369">
        <v>7044937</v>
      </c>
      <c r="J23369">
        <v>2</v>
      </c>
    </row>
    <row r="23370" spans="1:10" x14ac:dyDescent="0.25">
      <c r="A23370" t="s">
        <v>250</v>
      </c>
      <c r="B23370" s="1" t="str">
        <f>HYPERLINK("http://msd-remote.fi","msd-remote.fi")</f>
        <v>msd-remote.fi</v>
      </c>
      <c r="C23370" t="s">
        <v>445</v>
      </c>
      <c r="D23370" t="s">
        <v>823</v>
      </c>
      <c r="J23370">
        <v>4</v>
      </c>
    </row>
    <row r="23371" spans="1:10" x14ac:dyDescent="0.25">
      <c r="A23371" t="s">
        <v>250</v>
      </c>
      <c r="B23371" s="1" t="str">
        <f>HYPERLINK("http://msdinfo.fi","msdinfo.fi")</f>
        <v>msdinfo.fi</v>
      </c>
      <c r="C23371" t="s">
        <v>445</v>
      </c>
      <c r="D23371" t="s">
        <v>823</v>
      </c>
      <c r="F23371">
        <v>5.5189250613868804E-9</v>
      </c>
      <c r="G23371">
        <v>20699598</v>
      </c>
      <c r="H23371">
        <v>10944288</v>
      </c>
      <c r="I23371">
        <v>34721793</v>
      </c>
      <c r="J23371">
        <v>2</v>
      </c>
    </row>
    <row r="23372" spans="1:10" x14ac:dyDescent="0.25">
      <c r="A23372" t="s">
        <v>250</v>
      </c>
      <c r="B23372" s="1" t="str">
        <f>HYPERLINK("http://msdinsight.fi","msdinsight.fi")</f>
        <v>msdinsight.fi</v>
      </c>
      <c r="C23372" t="s">
        <v>445</v>
      </c>
      <c r="D23372" t="s">
        <v>823</v>
      </c>
      <c r="F23372">
        <v>5.6245686238660199E-9</v>
      </c>
      <c r="G23372">
        <v>19626967</v>
      </c>
      <c r="H23372">
        <v>10596919</v>
      </c>
      <c r="I23372">
        <v>45080715</v>
      </c>
      <c r="J23372">
        <v>2</v>
      </c>
    </row>
    <row r="23373" spans="1:10" x14ac:dyDescent="0.25">
      <c r="A23373" t="s">
        <v>250</v>
      </c>
      <c r="B23373" s="1" t="str">
        <f>HYPERLINK("http://msdmanuals.fi","msdmanuals.fi")</f>
        <v>msdmanuals.fi</v>
      </c>
      <c r="C23373" t="s">
        <v>445</v>
      </c>
      <c r="D23373" t="s">
        <v>823</v>
      </c>
      <c r="J23373">
        <v>2</v>
      </c>
    </row>
    <row r="23374" spans="1:10" x14ac:dyDescent="0.25">
      <c r="A23374" t="s">
        <v>250</v>
      </c>
      <c r="B23374" s="1" t="str">
        <f>HYPERLINK("http://nobivac.fi","nobivac.fi")</f>
        <v>nobivac.fi</v>
      </c>
      <c r="C23374" t="s">
        <v>445</v>
      </c>
      <c r="D23374" t="s">
        <v>823</v>
      </c>
      <c r="J23374">
        <v>2</v>
      </c>
    </row>
    <row r="23375" spans="1:10" x14ac:dyDescent="0.25">
      <c r="A23375" t="s">
        <v>250</v>
      </c>
      <c r="B23375" s="1" t="str">
        <f>HYPERLINK("http://parempaaelamaa.fi","parempaaelamaa.fi")</f>
        <v>parempaaelamaa.fi</v>
      </c>
      <c r="C23375" t="s">
        <v>445</v>
      </c>
      <c r="D23375" t="s">
        <v>823</v>
      </c>
      <c r="F23375">
        <v>1.4751659257925199E-8</v>
      </c>
      <c r="G23375">
        <v>3923389</v>
      </c>
      <c r="H23375">
        <v>14239986</v>
      </c>
      <c r="I23375">
        <v>1505686</v>
      </c>
      <c r="J23375">
        <v>4</v>
      </c>
    </row>
    <row r="23376" spans="1:10" x14ac:dyDescent="0.25">
      <c r="A23376" t="s">
        <v>250</v>
      </c>
      <c r="B23376" s="1" t="str">
        <f>HYPERLINK("http://parvo.fi","parvo.fi")</f>
        <v>parvo.fi</v>
      </c>
      <c r="C23376" t="s">
        <v>445</v>
      </c>
      <c r="D23376" t="s">
        <v>823</v>
      </c>
      <c r="J23376">
        <v>2</v>
      </c>
    </row>
    <row r="23377" spans="1:10" x14ac:dyDescent="0.25">
      <c r="A23377" t="s">
        <v>250</v>
      </c>
      <c r="B23377" s="1" t="str">
        <f>HYPERLINK("http://penikkatauti.fi","penikkatauti.fi")</f>
        <v>penikkatauti.fi</v>
      </c>
      <c r="C23377" t="s">
        <v>445</v>
      </c>
      <c r="D23377" t="s">
        <v>823</v>
      </c>
      <c r="F23377">
        <v>4.6325025188269503E-9</v>
      </c>
      <c r="G23377">
        <v>45283949</v>
      </c>
      <c r="H23377">
        <v>13763633</v>
      </c>
      <c r="I23377">
        <v>9130563</v>
      </c>
      <c r="J23377">
        <v>2</v>
      </c>
    </row>
    <row r="23378" spans="1:10" x14ac:dyDescent="0.25">
      <c r="A23378" t="s">
        <v>250</v>
      </c>
      <c r="B23378" s="1" t="str">
        <f>HYPERLINK("http://punkitpois.fi","punkitpois.fi")</f>
        <v>punkitpois.fi</v>
      </c>
      <c r="C23378" t="s">
        <v>445</v>
      </c>
      <c r="D23378" t="s">
        <v>823</v>
      </c>
      <c r="J23378">
        <v>2</v>
      </c>
    </row>
    <row r="23379" spans="1:10" x14ac:dyDescent="0.25">
      <c r="A23379" t="s">
        <v>250</v>
      </c>
      <c r="B23379" s="1" t="str">
        <f>HYPERLINK("http://rabies.fi","rabies.fi")</f>
        <v>rabies.fi</v>
      </c>
      <c r="C23379" t="s">
        <v>445</v>
      </c>
      <c r="D23379" t="s">
        <v>823</v>
      </c>
      <c r="F23379">
        <v>4.5351870912546899E-9</v>
      </c>
      <c r="G23379">
        <v>54086909</v>
      </c>
      <c r="H23379">
        <v>13763633</v>
      </c>
      <c r="I23379">
        <v>9131049</v>
      </c>
      <c r="J23379">
        <v>2</v>
      </c>
    </row>
    <row r="23380" spans="1:10" x14ac:dyDescent="0.25">
      <c r="A23380" t="s">
        <v>250</v>
      </c>
      <c r="B23380" s="1" t="str">
        <f>HYPERLINK("http://rokotuskone.fi","rokotuskone.fi")</f>
        <v>rokotuskone.fi</v>
      </c>
      <c r="C23380" t="s">
        <v>445</v>
      </c>
      <c r="D23380" t="s">
        <v>823</v>
      </c>
      <c r="F23380">
        <v>4.65241396694674E-9</v>
      </c>
      <c r="G23380">
        <v>43999153</v>
      </c>
      <c r="H23380">
        <v>9386994</v>
      </c>
      <c r="I23380">
        <v>67461553</v>
      </c>
      <c r="J23380">
        <v>2</v>
      </c>
    </row>
    <row r="23381" spans="1:10" x14ac:dyDescent="0.25">
      <c r="A23381" t="s">
        <v>250</v>
      </c>
      <c r="B23381" s="1" t="str">
        <f>HYPERLINK("http://scalibor.fi","scalibor.fi")</f>
        <v>scalibor.fi</v>
      </c>
      <c r="C23381" t="s">
        <v>445</v>
      </c>
      <c r="D23381" t="s">
        <v>823</v>
      </c>
      <c r="F23381">
        <v>5.0314250636210503E-9</v>
      </c>
      <c r="G23381">
        <v>28636041</v>
      </c>
      <c r="H23381">
        <v>13763781</v>
      </c>
      <c r="I23381">
        <v>7633535</v>
      </c>
      <c r="J23381">
        <v>2</v>
      </c>
    </row>
    <row r="23382" spans="1:10" x14ac:dyDescent="0.25">
      <c r="A23382" t="s">
        <v>250</v>
      </c>
      <c r="B23382" s="1" t="str">
        <f>HYPERLINK("http://schering-plough.fi","schering-plough.fi")</f>
        <v>schering-plough.fi</v>
      </c>
      <c r="C23382" t="s">
        <v>445</v>
      </c>
      <c r="D23382" t="s">
        <v>823</v>
      </c>
      <c r="F23382">
        <v>4.9163486943717898E-9</v>
      </c>
      <c r="G23382">
        <v>31904698</v>
      </c>
      <c r="H23382">
        <v>14071789</v>
      </c>
      <c r="I23382">
        <v>3635935</v>
      </c>
      <c r="J23382">
        <v>4</v>
      </c>
    </row>
    <row r="23383" spans="1:10" x14ac:dyDescent="0.25">
      <c r="A23383" t="s">
        <v>250</v>
      </c>
      <c r="B23383" s="1" t="str">
        <f>HYPERLINK("http://sensehub.fi","sensehub.fi")</f>
        <v>sensehub.fi</v>
      </c>
      <c r="C23383" t="s">
        <v>445</v>
      </c>
      <c r="D23383" t="s">
        <v>823</v>
      </c>
      <c r="J23383">
        <v>4</v>
      </c>
    </row>
    <row r="23384" spans="1:10" x14ac:dyDescent="0.25">
      <c r="A23384" t="s">
        <v>250</v>
      </c>
      <c r="B23384" s="1" t="str">
        <f>HYPERLINK("http://tervetuloapentu.fi","tervetuloapentu.fi")</f>
        <v>tervetuloapentu.fi</v>
      </c>
      <c r="C23384" t="s">
        <v>445</v>
      </c>
      <c r="D23384" t="s">
        <v>823</v>
      </c>
      <c r="F23384">
        <v>4.44380395335525E-9</v>
      </c>
      <c r="G23384">
        <v>84784885</v>
      </c>
      <c r="H23384">
        <v>0</v>
      </c>
      <c r="I23384">
        <v>85900547</v>
      </c>
      <c r="J23384">
        <v>2</v>
      </c>
    </row>
    <row r="23385" spans="1:10" x14ac:dyDescent="0.25">
      <c r="A23385" t="s">
        <v>250</v>
      </c>
      <c r="B23385" s="1" t="str">
        <f>HYPERLINK("http://vaxelis.fi","vaxelis.fi")</f>
        <v>vaxelis.fi</v>
      </c>
      <c r="C23385" t="s">
        <v>445</v>
      </c>
      <c r="D23385" t="s">
        <v>823</v>
      </c>
      <c r="J23385">
        <v>2</v>
      </c>
    </row>
    <row r="23386" spans="1:10" x14ac:dyDescent="0.25">
      <c r="A23386" t="s">
        <v>250</v>
      </c>
      <c r="B23386" s="1" t="str">
        <f>HYPERLINK("http://vyoruusu.fi","vyoruusu.fi")</f>
        <v>vyoruusu.fi</v>
      </c>
      <c r="C23386" t="s">
        <v>445</v>
      </c>
      <c r="D23386" t="s">
        <v>823</v>
      </c>
      <c r="J23386">
        <v>4</v>
      </c>
    </row>
    <row r="23387" spans="1:10" x14ac:dyDescent="0.25">
      <c r="A23387" t="s">
        <v>250</v>
      </c>
      <c r="B23387" s="1" t="str">
        <f>HYPERLINK("http://yhdeksanelamaa.fi","yhdeksanelamaa.fi")</f>
        <v>yhdeksanelamaa.fi</v>
      </c>
      <c r="C23387" t="s">
        <v>445</v>
      </c>
      <c r="D23387" t="s">
        <v>823</v>
      </c>
      <c r="F23387">
        <v>4.65241396694675E-9</v>
      </c>
      <c r="G23387">
        <v>43999152</v>
      </c>
      <c r="H23387">
        <v>9386994</v>
      </c>
      <c r="I23387">
        <v>67461554</v>
      </c>
      <c r="J23387">
        <v>2</v>
      </c>
    </row>
    <row r="23388" spans="1:10" x14ac:dyDescent="0.25">
      <c r="A23388" t="s">
        <v>250</v>
      </c>
      <c r="B23388" s="1" t="str">
        <f>HYPERLINK("http://yhdeksnelm.fi","yhdeksnelm.fi")</f>
        <v>yhdeksnelm.fi</v>
      </c>
      <c r="C23388" t="s">
        <v>445</v>
      </c>
      <c r="D23388" t="s">
        <v>823</v>
      </c>
      <c r="J23388">
        <v>2</v>
      </c>
    </row>
    <row r="23389" spans="1:10" x14ac:dyDescent="0.25">
      <c r="A23389" t="s">
        <v>250</v>
      </c>
      <c r="B23389" s="1" t="str">
        <f>HYPERLINK("http://zostavax.fi","zostavax.fi")</f>
        <v>zostavax.fi</v>
      </c>
      <c r="C23389" t="s">
        <v>445</v>
      </c>
      <c r="D23389" t="s">
        <v>823</v>
      </c>
      <c r="J23389">
        <v>4</v>
      </c>
    </row>
    <row r="23390" spans="1:10" x14ac:dyDescent="0.25">
      <c r="A23390" t="s">
        <v>250</v>
      </c>
      <c r="B23390" s="1" t="str">
        <f>HYPERLINK("http://zostervax.fi","zostervax.fi")</f>
        <v>zostervax.fi</v>
      </c>
      <c r="C23390" t="s">
        <v>445</v>
      </c>
      <c r="D23390" t="s">
        <v>823</v>
      </c>
      <c r="J23390">
        <v>4</v>
      </c>
    </row>
    <row r="23391" spans="1:10" x14ac:dyDescent="0.25">
      <c r="A23391" t="s">
        <v>250</v>
      </c>
      <c r="B23391" s="1" t="str">
        <f>HYPERLINK("http://zylkene.fi","zylkene.fi")</f>
        <v>zylkene.fi</v>
      </c>
      <c r="C23391" t="s">
        <v>445</v>
      </c>
      <c r="D23391" t="s">
        <v>823</v>
      </c>
      <c r="F23391">
        <v>4.5688106299662202E-9</v>
      </c>
      <c r="G23391">
        <v>50300373</v>
      </c>
      <c r="H23391">
        <v>13763633</v>
      </c>
      <c r="I23391">
        <v>9133554</v>
      </c>
      <c r="J23391">
        <v>2</v>
      </c>
    </row>
    <row r="23392" spans="1:10" x14ac:dyDescent="0.25">
      <c r="A23392" t="s">
        <v>250</v>
      </c>
      <c r="B23392" s="1" t="str">
        <f>HYPERLINK("http://merck.fr","merck.fr")</f>
        <v>merck.fr</v>
      </c>
      <c r="C23392" t="s">
        <v>446</v>
      </c>
      <c r="D23392" t="s">
        <v>824</v>
      </c>
      <c r="F23392">
        <v>2.0162969061248598E-8</v>
      </c>
      <c r="G23392">
        <v>2634322</v>
      </c>
      <c r="H23392">
        <v>14098399</v>
      </c>
      <c r="I23392">
        <v>2717753</v>
      </c>
      <c r="J23392">
        <v>7</v>
      </c>
    </row>
    <row r="23393" spans="1:10" x14ac:dyDescent="0.25">
      <c r="A23393" t="s">
        <v>250</v>
      </c>
      <c r="B23393" s="1" t="str">
        <f>HYPERLINK("http://allflex.global","allflex.global")</f>
        <v>allflex.global</v>
      </c>
      <c r="C23393" t="s">
        <v>517</v>
      </c>
      <c r="E23393">
        <v>819586</v>
      </c>
      <c r="F23393">
        <v>5.67201075440225E-8</v>
      </c>
      <c r="G23393">
        <v>787870</v>
      </c>
      <c r="H23393">
        <v>13450001</v>
      </c>
      <c r="I23393">
        <v>10209562</v>
      </c>
      <c r="J23393">
        <v>4</v>
      </c>
    </row>
    <row r="23394" spans="1:10" x14ac:dyDescent="0.25">
      <c r="A23394" t="s">
        <v>250</v>
      </c>
      <c r="B23394" s="1" t="str">
        <f>HYPERLINK("http://msd.gr","msd.gr")</f>
        <v>msd.gr</v>
      </c>
      <c r="C23394" t="s">
        <v>447</v>
      </c>
      <c r="D23394" t="s">
        <v>825</v>
      </c>
      <c r="F23394">
        <v>5.2111619313269502E-8</v>
      </c>
      <c r="G23394">
        <v>876001</v>
      </c>
      <c r="H23394">
        <v>14241673</v>
      </c>
      <c r="I23394">
        <v>1489909</v>
      </c>
      <c r="J23394">
        <v>3</v>
      </c>
    </row>
    <row r="23395" spans="1:10" x14ac:dyDescent="0.25">
      <c r="A23395" t="s">
        <v>250</v>
      </c>
      <c r="B23395" s="1" t="str">
        <f>HYPERLINK("http://msd-animal-health.gr","msd-animal-health.gr")</f>
        <v>msd-animal-health.gr</v>
      </c>
      <c r="C23395" t="s">
        <v>447</v>
      </c>
      <c r="D23395" t="s">
        <v>825</v>
      </c>
      <c r="F23395">
        <v>1.96826852537757E-8</v>
      </c>
      <c r="G23395">
        <v>2711918</v>
      </c>
      <c r="H23395">
        <v>12143709</v>
      </c>
      <c r="I23395">
        <v>24788270</v>
      </c>
      <c r="J23395">
        <v>3</v>
      </c>
    </row>
    <row r="23396" spans="1:10" x14ac:dyDescent="0.25">
      <c r="A23396" t="s">
        <v>250</v>
      </c>
      <c r="B23396" s="1" t="str">
        <f>HYPERLINK("http://msd.com.hk","msd.com.hk")</f>
        <v>msd.com.hk</v>
      </c>
      <c r="C23396" t="s">
        <v>450</v>
      </c>
      <c r="D23396" t="s">
        <v>827</v>
      </c>
      <c r="F23396">
        <v>3.5264671233470202E-8</v>
      </c>
      <c r="G23396">
        <v>1474664</v>
      </c>
      <c r="H23396">
        <v>14073284</v>
      </c>
      <c r="I23396">
        <v>3004624</v>
      </c>
      <c r="J23396">
        <v>3</v>
      </c>
    </row>
    <row r="23397" spans="1:10" x14ac:dyDescent="0.25">
      <c r="A23397" t="s">
        <v>250</v>
      </c>
      <c r="B23397" s="1" t="str">
        <f>HYPERLINK("http://msd.hr","msd.hr")</f>
        <v>msd.hr</v>
      </c>
      <c r="C23397" t="s">
        <v>452</v>
      </c>
      <c r="D23397" t="s">
        <v>829</v>
      </c>
      <c r="F23397">
        <v>3.7014859340425601E-8</v>
      </c>
      <c r="G23397">
        <v>1401463</v>
      </c>
      <c r="H23397">
        <v>12227926</v>
      </c>
      <c r="I23397">
        <v>22557412</v>
      </c>
      <c r="J23397">
        <v>3</v>
      </c>
    </row>
    <row r="23398" spans="1:10" x14ac:dyDescent="0.25">
      <c r="A23398" t="s">
        <v>250</v>
      </c>
      <c r="B23398" s="1" t="str">
        <f>HYPERLINK("http://msd-animal-health.hr","msd-animal-health.hr")</f>
        <v>msd-animal-health.hr</v>
      </c>
      <c r="C23398" t="s">
        <v>452</v>
      </c>
      <c r="D23398" t="s">
        <v>829</v>
      </c>
      <c r="F23398">
        <v>1.8124008331260299E-8</v>
      </c>
      <c r="G23398">
        <v>3004976</v>
      </c>
      <c r="H23398">
        <v>12139982</v>
      </c>
      <c r="I23398">
        <v>24881569</v>
      </c>
      <c r="J23398">
        <v>3</v>
      </c>
    </row>
    <row r="23399" spans="1:10" x14ac:dyDescent="0.25">
      <c r="A23399" t="s">
        <v>250</v>
      </c>
      <c r="B23399" s="1" t="str">
        <f>HYPERLINK("http://intervet.hu","intervet.hu")</f>
        <v>intervet.hu</v>
      </c>
      <c r="C23399" t="s">
        <v>453</v>
      </c>
      <c r="D23399" t="s">
        <v>830</v>
      </c>
      <c r="F23399">
        <v>5.4447197511214403E-9</v>
      </c>
      <c r="G23399">
        <v>21561913</v>
      </c>
      <c r="H23399">
        <v>12266905</v>
      </c>
      <c r="I23399">
        <v>21596514</v>
      </c>
      <c r="J23399">
        <v>3</v>
      </c>
    </row>
    <row r="23400" spans="1:10" x14ac:dyDescent="0.25">
      <c r="A23400" t="s">
        <v>250</v>
      </c>
      <c r="B23400" s="1" t="str">
        <f>HYPERLINK("http://msd.hu","msd.hu")</f>
        <v>msd.hu</v>
      </c>
      <c r="C23400" t="s">
        <v>453</v>
      </c>
      <c r="D23400" t="s">
        <v>830</v>
      </c>
      <c r="F23400">
        <v>4.7091654018462299E-8</v>
      </c>
      <c r="G23400">
        <v>990793</v>
      </c>
      <c r="H23400">
        <v>13765174</v>
      </c>
      <c r="I23400">
        <v>7133410</v>
      </c>
      <c r="J23400">
        <v>3</v>
      </c>
    </row>
    <row r="23401" spans="1:10" x14ac:dyDescent="0.25">
      <c r="A23401" t="s">
        <v>250</v>
      </c>
      <c r="B23401" s="1" t="str">
        <f>HYPERLINK("http://msd-animal-health.hu","msd-animal-health.hu")</f>
        <v>msd-animal-health.hu</v>
      </c>
      <c r="C23401" t="s">
        <v>453</v>
      </c>
      <c r="D23401" t="s">
        <v>830</v>
      </c>
      <c r="F23401">
        <v>2.2577793854993901E-8</v>
      </c>
      <c r="G23401">
        <v>2319875</v>
      </c>
      <c r="H23401">
        <v>12288846</v>
      </c>
      <c r="I23401">
        <v>21138023</v>
      </c>
      <c r="J23401">
        <v>3</v>
      </c>
    </row>
    <row r="23402" spans="1:10" x14ac:dyDescent="0.25">
      <c r="A23402" t="s">
        <v>250</v>
      </c>
      <c r="B23402" s="1" t="str">
        <f>HYPERLINK("http://merck.co.id","merck.co.id")</f>
        <v>merck.co.id</v>
      </c>
      <c r="C23402" t="s">
        <v>454</v>
      </c>
      <c r="D23402" t="s">
        <v>831</v>
      </c>
      <c r="F23402">
        <v>7.0338856618829502E-9</v>
      </c>
      <c r="G23402">
        <v>12212635</v>
      </c>
      <c r="H23402">
        <v>12257518</v>
      </c>
      <c r="I23402">
        <v>21835543</v>
      </c>
      <c r="J23402">
        <v>8</v>
      </c>
    </row>
    <row r="23403" spans="1:10" x14ac:dyDescent="0.25">
      <c r="A23403" t="s">
        <v>250</v>
      </c>
      <c r="B23403" s="1" t="str">
        <f>HYPERLINK("http://msd-animal-health.ie","msd-animal-health.ie")</f>
        <v>msd-animal-health.ie</v>
      </c>
      <c r="C23403" t="s">
        <v>455</v>
      </c>
      <c r="D23403" t="s">
        <v>832</v>
      </c>
      <c r="F23403">
        <v>4.1094487870472199E-8</v>
      </c>
      <c r="G23403">
        <v>1263046</v>
      </c>
      <c r="H23403">
        <v>14089288</v>
      </c>
      <c r="I23403">
        <v>2754604</v>
      </c>
      <c r="J23403">
        <v>3</v>
      </c>
    </row>
    <row r="23404" spans="1:10" x14ac:dyDescent="0.25">
      <c r="A23404" t="s">
        <v>250</v>
      </c>
      <c r="B23404" s="1" t="str">
        <f>HYPERLINK("http://msd.co.il","msd.co.il")</f>
        <v>msd.co.il</v>
      </c>
      <c r="C23404" t="s">
        <v>456</v>
      </c>
      <c r="D23404" t="s">
        <v>833</v>
      </c>
      <c r="F23404">
        <v>3.38468643564878E-8</v>
      </c>
      <c r="G23404">
        <v>1529018</v>
      </c>
      <c r="H23404">
        <v>12270981</v>
      </c>
      <c r="I23404">
        <v>21503466</v>
      </c>
      <c r="J23404">
        <v>4</v>
      </c>
    </row>
    <row r="23405" spans="1:10" x14ac:dyDescent="0.25">
      <c r="A23405" t="s">
        <v>250</v>
      </c>
      <c r="B23405" s="1" t="str">
        <f>HYPERLINK("http://msd-animal-health.co.il","msd-animal-health.co.il")</f>
        <v>msd-animal-health.co.il</v>
      </c>
      <c r="C23405" t="s">
        <v>456</v>
      </c>
      <c r="D23405" t="s">
        <v>833</v>
      </c>
      <c r="F23405">
        <v>1.85837243322345E-8</v>
      </c>
      <c r="G23405">
        <v>2910266</v>
      </c>
      <c r="H23405">
        <v>12139986</v>
      </c>
      <c r="I23405">
        <v>24881499</v>
      </c>
      <c r="J23405">
        <v>4</v>
      </c>
    </row>
    <row r="23406" spans="1:10" x14ac:dyDescent="0.25">
      <c r="A23406" t="s">
        <v>250</v>
      </c>
      <c r="B23406" s="1" t="str">
        <f>HYPERLINK("http://univadis.co.il","univadis.co.il")</f>
        <v>univadis.co.il</v>
      </c>
      <c r="C23406" t="s">
        <v>456</v>
      </c>
      <c r="D23406" t="s">
        <v>833</v>
      </c>
      <c r="F23406">
        <v>6.7521697133809403E-9</v>
      </c>
      <c r="G23406">
        <v>13121721</v>
      </c>
      <c r="H23406">
        <v>12230914</v>
      </c>
      <c r="I23406">
        <v>22480460</v>
      </c>
      <c r="J23406">
        <v>3</v>
      </c>
    </row>
    <row r="23407" spans="1:10" x14ac:dyDescent="0.25">
      <c r="A23407" t="s">
        <v>250</v>
      </c>
      <c r="B23407" s="1" t="str">
        <f>HYPERLINK("http://intervet.co.in","intervet.co.in")</f>
        <v>intervet.co.in</v>
      </c>
      <c r="C23407" t="s">
        <v>457</v>
      </c>
      <c r="D23407" t="s">
        <v>834</v>
      </c>
      <c r="F23407">
        <v>4.8995016181599703E-9</v>
      </c>
      <c r="G23407">
        <v>32480155</v>
      </c>
      <c r="H23407">
        <v>12463500</v>
      </c>
      <c r="I23407">
        <v>17832314</v>
      </c>
      <c r="J23407">
        <v>3</v>
      </c>
    </row>
    <row r="23408" spans="1:10" x14ac:dyDescent="0.25">
      <c r="A23408" t="s">
        <v>250</v>
      </c>
      <c r="B23408" s="1" t="str">
        <f>HYPERLINK("http://merck.co.in","merck.co.in")</f>
        <v>merck.co.in</v>
      </c>
      <c r="C23408" t="s">
        <v>457</v>
      </c>
      <c r="D23408" t="s">
        <v>834</v>
      </c>
      <c r="F23408">
        <v>8.2746408538894398E-9</v>
      </c>
      <c r="G23408">
        <v>9317570</v>
      </c>
      <c r="H23408">
        <v>12903952</v>
      </c>
      <c r="I23408">
        <v>13834876</v>
      </c>
      <c r="J23408">
        <v>5</v>
      </c>
    </row>
    <row r="23409" spans="1:10" x14ac:dyDescent="0.25">
      <c r="A23409" t="s">
        <v>250</v>
      </c>
      <c r="B23409" s="1" t="str">
        <f>HYPERLINK("http://msd-animal-health.co.in","msd-animal-health.co.in")</f>
        <v>msd-animal-health.co.in</v>
      </c>
      <c r="C23409" t="s">
        <v>457</v>
      </c>
      <c r="D23409" t="s">
        <v>834</v>
      </c>
      <c r="F23409">
        <v>2.2551510049771899E-8</v>
      </c>
      <c r="G23409">
        <v>2322833</v>
      </c>
      <c r="H23409">
        <v>12903852</v>
      </c>
      <c r="I23409">
        <v>13835393</v>
      </c>
      <c r="J23409">
        <v>3</v>
      </c>
    </row>
    <row r="23410" spans="1:10" x14ac:dyDescent="0.25">
      <c r="A23410" t="s">
        <v>250</v>
      </c>
      <c r="B23410" s="1" t="str">
        <f>HYPERLINK("http://msdindia.in","msdindia.in")</f>
        <v>msdindia.in</v>
      </c>
      <c r="C23410" t="s">
        <v>457</v>
      </c>
      <c r="D23410" t="s">
        <v>834</v>
      </c>
      <c r="F23410">
        <v>3.8536759926569098E-8</v>
      </c>
      <c r="G23410">
        <v>1338287</v>
      </c>
      <c r="H23410">
        <v>12419314</v>
      </c>
      <c r="I23410">
        <v>18470020</v>
      </c>
      <c r="J23410">
        <v>4</v>
      </c>
    </row>
    <row r="23411" spans="1:10" x14ac:dyDescent="0.25">
      <c r="A23411" t="s">
        <v>250</v>
      </c>
      <c r="B23411" s="1" t="str">
        <f>HYPERLINK("http://vence.io","vence.io")</f>
        <v>vence.io</v>
      </c>
      <c r="C23411" t="s">
        <v>518</v>
      </c>
      <c r="F23411">
        <v>4.2388286868374201E-8</v>
      </c>
      <c r="G23411">
        <v>1145548</v>
      </c>
      <c r="H23411">
        <v>13934255</v>
      </c>
      <c r="I23411">
        <v>4613638</v>
      </c>
      <c r="J23411">
        <v>3</v>
      </c>
    </row>
    <row r="23412" spans="1:10" x14ac:dyDescent="0.25">
      <c r="A23412" t="s">
        <v>250</v>
      </c>
      <c r="B23412" s="1" t="str">
        <f>HYPERLINK("http://merckserono.it","merckserono.it")</f>
        <v>merckserono.it</v>
      </c>
      <c r="C23412" t="s">
        <v>459</v>
      </c>
      <c r="D23412" t="s">
        <v>835</v>
      </c>
      <c r="F23412">
        <v>8.7801973730981905E-9</v>
      </c>
      <c r="G23412">
        <v>8342838</v>
      </c>
      <c r="H23412">
        <v>14074859</v>
      </c>
      <c r="I23412">
        <v>2926961</v>
      </c>
      <c r="J23412">
        <v>6</v>
      </c>
    </row>
    <row r="23413" spans="1:10" x14ac:dyDescent="0.25">
      <c r="A23413" t="s">
        <v>250</v>
      </c>
      <c r="B23413" s="1" t="str">
        <f>HYPERLINK("http://msd-animal-health.it","msd-animal-health.it")</f>
        <v>msd-animal-health.it</v>
      </c>
      <c r="C23413" t="s">
        <v>459</v>
      </c>
      <c r="D23413" t="s">
        <v>835</v>
      </c>
      <c r="F23413">
        <v>5.1003808229001197E-8</v>
      </c>
      <c r="G23413">
        <v>898815</v>
      </c>
      <c r="H23413">
        <v>13939763</v>
      </c>
      <c r="I23413">
        <v>4384700</v>
      </c>
      <c r="J23413">
        <v>3</v>
      </c>
    </row>
    <row r="23414" spans="1:10" x14ac:dyDescent="0.25">
      <c r="A23414" t="s">
        <v>250</v>
      </c>
      <c r="B23414" s="1" t="str">
        <f>HYPERLINK("http://msd-italia.it","msd-italia.it")</f>
        <v>msd-italia.it</v>
      </c>
      <c r="C23414" t="s">
        <v>459</v>
      </c>
      <c r="D23414" t="s">
        <v>835</v>
      </c>
      <c r="F23414">
        <v>8.5157474400764902E-8</v>
      </c>
      <c r="G23414">
        <v>484355</v>
      </c>
      <c r="H23414">
        <v>14557093</v>
      </c>
      <c r="I23414">
        <v>750297</v>
      </c>
      <c r="J23414">
        <v>3</v>
      </c>
    </row>
    <row r="23415" spans="1:10" x14ac:dyDescent="0.25">
      <c r="A23415" t="s">
        <v>250</v>
      </c>
      <c r="B23415" s="1" t="str">
        <f>HYPERLINK("http://vree.it","vree.it")</f>
        <v>vree.it</v>
      </c>
      <c r="C23415" t="s">
        <v>459</v>
      </c>
      <c r="D23415" t="s">
        <v>835</v>
      </c>
      <c r="F23415">
        <v>1.34496817025691E-8</v>
      </c>
      <c r="G23415">
        <v>4426736</v>
      </c>
      <c r="H23415">
        <v>12745863</v>
      </c>
      <c r="I23415">
        <v>15085834</v>
      </c>
      <c r="J23415">
        <v>3</v>
      </c>
    </row>
    <row r="23416" spans="1:10" x14ac:dyDescent="0.25">
      <c r="A23416" t="s">
        <v>250</v>
      </c>
      <c r="B23416" s="1" t="str">
        <f>HYPERLINK("http://merck.co.jp","merck.co.jp")</f>
        <v>merck.co.jp</v>
      </c>
      <c r="C23416" t="s">
        <v>461</v>
      </c>
      <c r="D23416" t="s">
        <v>837</v>
      </c>
      <c r="F23416">
        <v>1.27167051755515E-8</v>
      </c>
      <c r="G23416">
        <v>4771172</v>
      </c>
      <c r="H23416">
        <v>13387629</v>
      </c>
      <c r="I23416">
        <v>10399243</v>
      </c>
      <c r="J23416">
        <v>3</v>
      </c>
    </row>
    <row r="23417" spans="1:10" x14ac:dyDescent="0.25">
      <c r="A23417" t="s">
        <v>250</v>
      </c>
      <c r="B23417" s="1" t="str">
        <f>HYPERLINK("http://msd.co.jp","msd.co.jp")</f>
        <v>msd.co.jp</v>
      </c>
      <c r="C23417" t="s">
        <v>461</v>
      </c>
      <c r="D23417" t="s">
        <v>837</v>
      </c>
      <c r="E23417">
        <v>808973</v>
      </c>
      <c r="F23417">
        <v>1.6188881085558001E-7</v>
      </c>
      <c r="G23417">
        <v>239784</v>
      </c>
      <c r="H23417">
        <v>14323241</v>
      </c>
      <c r="I23417">
        <v>1329220</v>
      </c>
      <c r="J23417">
        <v>3</v>
      </c>
    </row>
    <row r="23418" spans="1:10" x14ac:dyDescent="0.25">
      <c r="A23418" t="s">
        <v>250</v>
      </c>
      <c r="B23418" s="1" t="str">
        <f>HYPERLINK("http://msd-animal-health.jp","msd-animal-health.jp")</f>
        <v>msd-animal-health.jp</v>
      </c>
      <c r="C23418" t="s">
        <v>461</v>
      </c>
      <c r="D23418" t="s">
        <v>837</v>
      </c>
      <c r="F23418">
        <v>3.3908664303151598E-8</v>
      </c>
      <c r="G23418">
        <v>1526554</v>
      </c>
      <c r="H23418">
        <v>14075425</v>
      </c>
      <c r="I23418">
        <v>2909423</v>
      </c>
      <c r="J23418">
        <v>3</v>
      </c>
    </row>
    <row r="23419" spans="1:10" x14ac:dyDescent="0.25">
      <c r="A23419" t="s">
        <v>250</v>
      </c>
      <c r="B23419" s="1" t="str">
        <f>HYPERLINK("http://msd-animal-health.co.kr","msd-animal-health.co.kr")</f>
        <v>msd-animal-health.co.kr</v>
      </c>
      <c r="C23419" t="s">
        <v>463</v>
      </c>
      <c r="D23419" t="s">
        <v>839</v>
      </c>
      <c r="F23419">
        <v>2.0498653567950999E-8</v>
      </c>
      <c r="G23419">
        <v>2584851</v>
      </c>
      <c r="H23419">
        <v>12148689</v>
      </c>
      <c r="I23419">
        <v>24655100</v>
      </c>
      <c r="J23419">
        <v>3</v>
      </c>
    </row>
    <row r="23420" spans="1:10" x14ac:dyDescent="0.25">
      <c r="A23420" t="s">
        <v>250</v>
      </c>
      <c r="B23420" s="1" t="str">
        <f>HYPERLINK("http://msd.lt","msd.lt")</f>
        <v>msd.lt</v>
      </c>
      <c r="C23420" t="s">
        <v>467</v>
      </c>
      <c r="D23420" t="s">
        <v>843</v>
      </c>
      <c r="F23420">
        <v>3.4863752554516102E-8</v>
      </c>
      <c r="G23420">
        <v>1489500</v>
      </c>
      <c r="H23420">
        <v>12220915</v>
      </c>
      <c r="I23420">
        <v>22768733</v>
      </c>
      <c r="J23420">
        <v>3</v>
      </c>
    </row>
    <row r="23421" spans="1:10" x14ac:dyDescent="0.25">
      <c r="A23421" t="s">
        <v>250</v>
      </c>
      <c r="B23421" s="1" t="str">
        <f>HYPERLINK("http://msd.lv","msd.lv")</f>
        <v>msd.lv</v>
      </c>
      <c r="C23421" t="s">
        <v>468</v>
      </c>
      <c r="D23421" t="s">
        <v>844</v>
      </c>
      <c r="F23421">
        <v>3.4326395410788701E-8</v>
      </c>
      <c r="G23421">
        <v>1510444</v>
      </c>
      <c r="H23421">
        <v>12222199</v>
      </c>
      <c r="I23421">
        <v>22739768</v>
      </c>
      <c r="J23421">
        <v>3</v>
      </c>
    </row>
    <row r="23422" spans="1:10" x14ac:dyDescent="0.25">
      <c r="A23422" t="s">
        <v>250</v>
      </c>
      <c r="B23422" s="1" t="str">
        <f>HYPERLINK("http://msdpacientiem.lv","msdpacientiem.lv")</f>
        <v>msdpacientiem.lv</v>
      </c>
      <c r="C23422" t="s">
        <v>468</v>
      </c>
      <c r="D23422" t="s">
        <v>844</v>
      </c>
      <c r="F23422">
        <v>5.2614129870499797E-9</v>
      </c>
      <c r="G23422">
        <v>24083023</v>
      </c>
      <c r="H23422">
        <v>13933286</v>
      </c>
      <c r="I23422">
        <v>4802759</v>
      </c>
      <c r="J23422">
        <v>3</v>
      </c>
    </row>
    <row r="23423" spans="1:10" x14ac:dyDescent="0.25">
      <c r="A23423" t="s">
        <v>250</v>
      </c>
      <c r="B23423" s="1" t="str">
        <f>HYPERLINK("http://intervet.ma","intervet.ma")</f>
        <v>intervet.ma</v>
      </c>
      <c r="C23423" t="s">
        <v>469</v>
      </c>
      <c r="D23423" t="s">
        <v>845</v>
      </c>
      <c r="F23423">
        <v>4.4641127775640798E-9</v>
      </c>
      <c r="G23423">
        <v>66501373</v>
      </c>
      <c r="H23423">
        <v>10730343</v>
      </c>
      <c r="I23423">
        <v>40920254</v>
      </c>
      <c r="J23423">
        <v>3</v>
      </c>
    </row>
    <row r="23424" spans="1:10" x14ac:dyDescent="0.25">
      <c r="A23424" t="s">
        <v>250</v>
      </c>
      <c r="B23424" s="1" t="str">
        <f>HYPERLINK("http://msd.com.mx","msd.com.mx")</f>
        <v>msd.com.mx</v>
      </c>
      <c r="C23424" t="s">
        <v>471</v>
      </c>
      <c r="D23424" t="s">
        <v>847</v>
      </c>
      <c r="F23424">
        <v>8.0973500819509294E-8</v>
      </c>
      <c r="G23424">
        <v>515581</v>
      </c>
      <c r="H23424">
        <v>17028500</v>
      </c>
      <c r="I23424">
        <v>84708</v>
      </c>
      <c r="J23424">
        <v>3</v>
      </c>
    </row>
    <row r="23425" spans="1:10" x14ac:dyDescent="0.25">
      <c r="A23425" t="s">
        <v>250</v>
      </c>
      <c r="B23425" s="1" t="str">
        <f>HYPERLINK("http://sanfersaludanimal.com.mx","sanfersaludanimal.com.mx")</f>
        <v>sanfersaludanimal.com.mx</v>
      </c>
      <c r="C23425" t="s">
        <v>471</v>
      </c>
      <c r="D23425" t="s">
        <v>847</v>
      </c>
      <c r="F23425">
        <v>5.3605380589727904E-9</v>
      </c>
      <c r="G23425">
        <v>22662776</v>
      </c>
      <c r="H23425">
        <v>12363413</v>
      </c>
      <c r="I23425">
        <v>19524731</v>
      </c>
      <c r="J23425">
        <v>5</v>
      </c>
    </row>
    <row r="23426" spans="1:10" x14ac:dyDescent="0.25">
      <c r="A23426" t="s">
        <v>250</v>
      </c>
      <c r="B23426" s="1" t="str">
        <f>HYPERLINK("http://msd-animal-health.my","msd-animal-health.my")</f>
        <v>msd-animal-health.my</v>
      </c>
      <c r="C23426" t="s">
        <v>472</v>
      </c>
      <c r="D23426" t="s">
        <v>848</v>
      </c>
      <c r="F23426">
        <v>1.8500897042373702E-8</v>
      </c>
      <c r="G23426">
        <v>2925429</v>
      </c>
      <c r="H23426">
        <v>12139988</v>
      </c>
      <c r="I23426">
        <v>24881472</v>
      </c>
      <c r="J23426">
        <v>3</v>
      </c>
    </row>
    <row r="23427" spans="1:10" x14ac:dyDescent="0.25">
      <c r="A23427" t="s">
        <v>250</v>
      </c>
      <c r="B23427" s="1" t="str">
        <f>HYPERLINK("http://cellmarque.net","cellmarque.net")</f>
        <v>cellmarque.net</v>
      </c>
      <c r="C23427" t="s">
        <v>474</v>
      </c>
      <c r="E23427">
        <v>756856</v>
      </c>
      <c r="F23427">
        <v>5.8662760006699697E-9</v>
      </c>
      <c r="G23427">
        <v>17594480</v>
      </c>
      <c r="H23427">
        <v>10441494</v>
      </c>
      <c r="I23427">
        <v>52342061</v>
      </c>
      <c r="J23427">
        <v>11</v>
      </c>
    </row>
    <row r="23428" spans="1:10" x14ac:dyDescent="0.25">
      <c r="A23428" t="s">
        <v>250</v>
      </c>
      <c r="B23428" s="1" t="str">
        <f>HYPERLINK("http://vertexexpress.net","vertexexpress.net")</f>
        <v>vertexexpress.net</v>
      </c>
      <c r="C23428" t="s">
        <v>474</v>
      </c>
      <c r="F23428">
        <v>5.2792024352667003E-9</v>
      </c>
      <c r="G23428">
        <v>23802145</v>
      </c>
      <c r="H23428">
        <v>12626935</v>
      </c>
      <c r="I23428">
        <v>16014125</v>
      </c>
      <c r="J23428">
        <v>3</v>
      </c>
    </row>
    <row r="23429" spans="1:10" x14ac:dyDescent="0.25">
      <c r="A23429" t="s">
        <v>250</v>
      </c>
      <c r="B23429" s="1" t="str">
        <f>HYPERLINK("http://msd.nl","msd.nl")</f>
        <v>msd.nl</v>
      </c>
      <c r="C23429" t="s">
        <v>477</v>
      </c>
      <c r="D23429" t="s">
        <v>852</v>
      </c>
      <c r="F23429">
        <v>8.2332045670881001E-8</v>
      </c>
      <c r="G23429">
        <v>506738</v>
      </c>
      <c r="H23429">
        <v>14247383</v>
      </c>
      <c r="I23429">
        <v>1457610</v>
      </c>
      <c r="J23429">
        <v>3</v>
      </c>
    </row>
    <row r="23430" spans="1:10" x14ac:dyDescent="0.25">
      <c r="A23430" t="s">
        <v>250</v>
      </c>
      <c r="B23430" s="1" t="str">
        <f>HYPERLINK("http://msd-animal-health.nl","msd-animal-health.nl")</f>
        <v>msd-animal-health.nl</v>
      </c>
      <c r="C23430" t="s">
        <v>477</v>
      </c>
      <c r="D23430" t="s">
        <v>852</v>
      </c>
      <c r="F23430">
        <v>3.0812412204258101E-8</v>
      </c>
      <c r="G23430">
        <v>1671705</v>
      </c>
      <c r="H23430">
        <v>13049985</v>
      </c>
      <c r="I23430">
        <v>12589778</v>
      </c>
      <c r="J23430">
        <v>3</v>
      </c>
    </row>
    <row r="23431" spans="1:10" x14ac:dyDescent="0.25">
      <c r="A23431" t="s">
        <v>250</v>
      </c>
      <c r="B23431" s="1" t="str">
        <f>HYPERLINK("http://my-msd-animal-health.nl","my-msd-animal-health.nl")</f>
        <v>my-msd-animal-health.nl</v>
      </c>
      <c r="C23431" t="s">
        <v>477</v>
      </c>
      <c r="D23431" t="s">
        <v>852</v>
      </c>
      <c r="F23431">
        <v>6.8416641438018794E-8</v>
      </c>
      <c r="G23431">
        <v>623436</v>
      </c>
      <c r="H23431">
        <v>14076781</v>
      </c>
      <c r="I23431">
        <v>2879998</v>
      </c>
      <c r="J23431">
        <v>6</v>
      </c>
    </row>
    <row r="23432" spans="1:10" x14ac:dyDescent="0.25">
      <c r="A23432" t="s">
        <v>250</v>
      </c>
      <c r="B23432" s="1" t="str">
        <f>HYPERLINK("http://msd.no","msd.no")</f>
        <v>msd.no</v>
      </c>
      <c r="C23432" t="s">
        <v>478</v>
      </c>
      <c r="D23432" t="s">
        <v>853</v>
      </c>
      <c r="F23432">
        <v>4.84685043256444E-8</v>
      </c>
      <c r="G23432">
        <v>957332</v>
      </c>
      <c r="H23432">
        <v>14073782</v>
      </c>
      <c r="I23432">
        <v>2972188</v>
      </c>
      <c r="J23432">
        <v>3</v>
      </c>
    </row>
    <row r="23433" spans="1:10" x14ac:dyDescent="0.25">
      <c r="A23433" t="s">
        <v>250</v>
      </c>
      <c r="B23433" s="1" t="str">
        <f>HYPERLINK("http://msd-animal-health.no","msd-animal-health.no")</f>
        <v>msd-animal-health.no</v>
      </c>
      <c r="C23433" t="s">
        <v>478</v>
      </c>
      <c r="D23433" t="s">
        <v>853</v>
      </c>
      <c r="F23433">
        <v>2.89564923434351E-8</v>
      </c>
      <c r="G23433">
        <v>1778014</v>
      </c>
      <c r="H23433">
        <v>13354944</v>
      </c>
      <c r="I23433">
        <v>10601239</v>
      </c>
      <c r="J23433">
        <v>3</v>
      </c>
    </row>
    <row r="23434" spans="1:10" x14ac:dyDescent="0.25">
      <c r="A23434" t="s">
        <v>250</v>
      </c>
      <c r="B23434" s="1" t="str">
        <f>HYPERLINK("http://osid.no","osid.no")</f>
        <v>osid.no</v>
      </c>
      <c r="C23434" t="s">
        <v>478</v>
      </c>
      <c r="D23434" t="s">
        <v>853</v>
      </c>
      <c r="F23434">
        <v>1.4432736649868001E-8</v>
      </c>
      <c r="G23434">
        <v>4045812</v>
      </c>
      <c r="H23434">
        <v>13468989</v>
      </c>
      <c r="I23434">
        <v>10042111</v>
      </c>
      <c r="J23434">
        <v>4</v>
      </c>
    </row>
    <row r="23435" spans="1:10" x14ac:dyDescent="0.25">
      <c r="A23435" t="s">
        <v>250</v>
      </c>
      <c r="B23435" s="1" t="str">
        <f>HYPERLINK("http://msd-animal-health.co.nz","msd-animal-health.co.nz")</f>
        <v>msd-animal-health.co.nz</v>
      </c>
      <c r="C23435" t="s">
        <v>479</v>
      </c>
      <c r="D23435" t="s">
        <v>854</v>
      </c>
      <c r="F23435">
        <v>2.27716628666044E-8</v>
      </c>
      <c r="G23435">
        <v>2298951</v>
      </c>
      <c r="H23435">
        <v>13939030</v>
      </c>
      <c r="I23435">
        <v>4406012</v>
      </c>
      <c r="J23435">
        <v>4</v>
      </c>
    </row>
    <row r="23436" spans="1:10" x14ac:dyDescent="0.25">
      <c r="A23436" t="s">
        <v>250</v>
      </c>
      <c r="B23436" s="1" t="str">
        <f>HYPERLINK("http://abmaxis.org","abmaxis.org")</f>
        <v>abmaxis.org</v>
      </c>
      <c r="C23436" t="s">
        <v>481</v>
      </c>
      <c r="F23436">
        <v>4.4548428126437398E-9</v>
      </c>
      <c r="G23436">
        <v>69582294</v>
      </c>
      <c r="H23436">
        <v>9911748</v>
      </c>
      <c r="I23436">
        <v>61534733</v>
      </c>
      <c r="J23436">
        <v>3</v>
      </c>
    </row>
    <row r="23437" spans="1:10" x14ac:dyDescent="0.25">
      <c r="A23437" t="s">
        <v>250</v>
      </c>
      <c r="B23437" s="1" t="str">
        <f>HYPERLINK("http://merck.org","merck.org")</f>
        <v>merck.org</v>
      </c>
      <c r="C23437" t="s">
        <v>481</v>
      </c>
      <c r="F23437">
        <v>4.5711775521718202E-9</v>
      </c>
      <c r="G23437">
        <v>50082108</v>
      </c>
      <c r="H23437">
        <v>8791385</v>
      </c>
      <c r="I23437">
        <v>69438669</v>
      </c>
      <c r="J23437">
        <v>6</v>
      </c>
    </row>
    <row r="23438" spans="1:10" x14ac:dyDescent="0.25">
      <c r="A23438" t="s">
        <v>250</v>
      </c>
      <c r="B23438" s="1" t="str">
        <f>HYPERLINK("http://msd.com.pe","msd.com.pe")</f>
        <v>msd.com.pe</v>
      </c>
      <c r="C23438" t="s">
        <v>483</v>
      </c>
      <c r="D23438" t="s">
        <v>857</v>
      </c>
      <c r="F23438">
        <v>3.6141990262382601E-8</v>
      </c>
      <c r="G23438">
        <v>1442544</v>
      </c>
      <c r="H23438">
        <v>12389927</v>
      </c>
      <c r="I23438">
        <v>19046150</v>
      </c>
      <c r="J23438">
        <v>3</v>
      </c>
    </row>
    <row r="23439" spans="1:10" x14ac:dyDescent="0.25">
      <c r="A23439" t="s">
        <v>250</v>
      </c>
      <c r="B23439" s="1" t="str">
        <f>HYPERLINK("http://msd-animal-health.com.pe","msd-animal-health.com.pe")</f>
        <v>msd-animal-health.com.pe</v>
      </c>
      <c r="C23439" t="s">
        <v>483</v>
      </c>
      <c r="D23439" t="s">
        <v>857</v>
      </c>
      <c r="F23439">
        <v>2.078702710938E-8</v>
      </c>
      <c r="G23439">
        <v>2544835</v>
      </c>
      <c r="H23439">
        <v>12247535</v>
      </c>
      <c r="I23439">
        <v>22061993</v>
      </c>
      <c r="J23439">
        <v>3</v>
      </c>
    </row>
    <row r="23440" spans="1:10" x14ac:dyDescent="0.25">
      <c r="A23440" t="s">
        <v>250</v>
      </c>
      <c r="B23440" s="1" t="str">
        <f>HYPERLINK("http://schering-plough.com.pe","schering-plough.com.pe")</f>
        <v>schering-plough.com.pe</v>
      </c>
      <c r="C23440" t="s">
        <v>483</v>
      </c>
      <c r="D23440" t="s">
        <v>857</v>
      </c>
      <c r="J23440">
        <v>3</v>
      </c>
    </row>
    <row r="23441" spans="1:10" x14ac:dyDescent="0.25">
      <c r="A23441" t="s">
        <v>250</v>
      </c>
      <c r="B23441" s="1" t="str">
        <f>HYPERLINK("http://intervet.ph","intervet.ph")</f>
        <v>intervet.ph</v>
      </c>
      <c r="C23441" t="s">
        <v>484</v>
      </c>
      <c r="D23441" t="s">
        <v>858</v>
      </c>
      <c r="J23441">
        <v>3</v>
      </c>
    </row>
    <row r="23442" spans="1:10" x14ac:dyDescent="0.25">
      <c r="A23442" t="s">
        <v>250</v>
      </c>
      <c r="B23442" s="1" t="str">
        <f>HYPERLINK("http://msd-animal-health.ph","msd-animal-health.ph")</f>
        <v>msd-animal-health.ph</v>
      </c>
      <c r="C23442" t="s">
        <v>484</v>
      </c>
      <c r="D23442" t="s">
        <v>858</v>
      </c>
      <c r="F23442">
        <v>2.0166720109013201E-8</v>
      </c>
      <c r="G23442">
        <v>2633779</v>
      </c>
      <c r="H23442">
        <v>12226562</v>
      </c>
      <c r="I23442">
        <v>22610450</v>
      </c>
      <c r="J23442">
        <v>3</v>
      </c>
    </row>
    <row r="23443" spans="1:10" x14ac:dyDescent="0.25">
      <c r="A23443" t="s">
        <v>250</v>
      </c>
      <c r="B23443" s="1" t="str">
        <f>HYPERLINK("http://msd.pl","msd.pl")</f>
        <v>msd.pl</v>
      </c>
      <c r="C23443" t="s">
        <v>486</v>
      </c>
      <c r="D23443" t="s">
        <v>860</v>
      </c>
      <c r="F23443">
        <v>8.7246775602380098E-8</v>
      </c>
      <c r="G23443">
        <v>470425</v>
      </c>
      <c r="H23443">
        <v>16872722</v>
      </c>
      <c r="I23443">
        <v>144867</v>
      </c>
      <c r="J23443">
        <v>3</v>
      </c>
    </row>
    <row r="23444" spans="1:10" x14ac:dyDescent="0.25">
      <c r="A23444" t="s">
        <v>250</v>
      </c>
      <c r="B23444" s="1" t="str">
        <f>HYPERLINK("http://msd-animal-health.pl","msd-animal-health.pl")</f>
        <v>msd-animal-health.pl</v>
      </c>
      <c r="C23444" t="s">
        <v>486</v>
      </c>
      <c r="D23444" t="s">
        <v>860</v>
      </c>
      <c r="F23444">
        <v>2.5744180323496801E-8</v>
      </c>
      <c r="G23444">
        <v>2002417</v>
      </c>
      <c r="H23444">
        <v>12183805</v>
      </c>
      <c r="I23444">
        <v>23721686</v>
      </c>
      <c r="J23444">
        <v>3</v>
      </c>
    </row>
    <row r="23445" spans="1:10" x14ac:dyDescent="0.25">
      <c r="A23445" t="s">
        <v>250</v>
      </c>
      <c r="B23445" s="1" t="str">
        <f>HYPERLINK("http://msd.pt","msd.pt")</f>
        <v>msd.pt</v>
      </c>
      <c r="C23445" t="s">
        <v>488</v>
      </c>
      <c r="D23445" t="s">
        <v>862</v>
      </c>
      <c r="F23445">
        <v>6.0803625347502198E-8</v>
      </c>
      <c r="G23445">
        <v>724799</v>
      </c>
      <c r="H23445">
        <v>14080270</v>
      </c>
      <c r="I23445">
        <v>2821848</v>
      </c>
      <c r="J23445">
        <v>3</v>
      </c>
    </row>
    <row r="23446" spans="1:10" x14ac:dyDescent="0.25">
      <c r="A23446" t="s">
        <v>250</v>
      </c>
      <c r="B23446" s="1" t="str">
        <f>HYPERLINK("http://msd-animal-health.pt","msd-animal-health.pt")</f>
        <v>msd-animal-health.pt</v>
      </c>
      <c r="C23446" t="s">
        <v>488</v>
      </c>
      <c r="D23446" t="s">
        <v>862</v>
      </c>
      <c r="F23446">
        <v>2.0888635812216699E-8</v>
      </c>
      <c r="G23446">
        <v>2530904</v>
      </c>
      <c r="H23446">
        <v>12152104</v>
      </c>
      <c r="I23446">
        <v>24572272</v>
      </c>
      <c r="J23446">
        <v>3</v>
      </c>
    </row>
    <row r="23447" spans="1:10" x14ac:dyDescent="0.25">
      <c r="A23447" t="s">
        <v>250</v>
      </c>
      <c r="B23447" s="1" t="str">
        <f>HYPERLINK("http://intervet.ro","intervet.ro")</f>
        <v>intervet.ro</v>
      </c>
      <c r="C23447" t="s">
        <v>491</v>
      </c>
      <c r="D23447" t="s">
        <v>865</v>
      </c>
      <c r="F23447">
        <v>5.0240644438541199E-9</v>
      </c>
      <c r="G23447">
        <v>28806201</v>
      </c>
      <c r="H23447">
        <v>8832198</v>
      </c>
      <c r="I23447">
        <v>69256489</v>
      </c>
      <c r="J23447">
        <v>3</v>
      </c>
    </row>
    <row r="23448" spans="1:10" x14ac:dyDescent="0.25">
      <c r="A23448" t="s">
        <v>250</v>
      </c>
      <c r="B23448" s="1" t="str">
        <f>HYPERLINK("http://merck.ro","merck.ro")</f>
        <v>merck.ro</v>
      </c>
      <c r="C23448" t="s">
        <v>491</v>
      </c>
      <c r="D23448" t="s">
        <v>865</v>
      </c>
      <c r="F23448">
        <v>4.7139509114391701E-9</v>
      </c>
      <c r="G23448">
        <v>40517461</v>
      </c>
      <c r="H23448">
        <v>2.0009769999999998</v>
      </c>
      <c r="I23448">
        <v>77973790</v>
      </c>
      <c r="J23448">
        <v>3</v>
      </c>
    </row>
    <row r="23449" spans="1:10" x14ac:dyDescent="0.25">
      <c r="A23449" t="s">
        <v>250</v>
      </c>
      <c r="B23449" s="1" t="str">
        <f>HYPERLINK("http://msd.ro","msd.ro")</f>
        <v>msd.ro</v>
      </c>
      <c r="C23449" t="s">
        <v>491</v>
      </c>
      <c r="D23449" t="s">
        <v>865</v>
      </c>
      <c r="F23449">
        <v>3.8064577710288502E-8</v>
      </c>
      <c r="G23449">
        <v>1359712</v>
      </c>
      <c r="H23449">
        <v>12325202</v>
      </c>
      <c r="I23449">
        <v>20321462</v>
      </c>
      <c r="J23449">
        <v>3</v>
      </c>
    </row>
    <row r="23450" spans="1:10" x14ac:dyDescent="0.25">
      <c r="A23450" t="s">
        <v>250</v>
      </c>
      <c r="B23450" s="1" t="str">
        <f>HYPERLINK("http://msd-animal-health.ro","msd-animal-health.ro")</f>
        <v>msd-animal-health.ro</v>
      </c>
      <c r="C23450" t="s">
        <v>491</v>
      </c>
      <c r="D23450" t="s">
        <v>865</v>
      </c>
      <c r="F23450">
        <v>2.0357806720743498E-8</v>
      </c>
      <c r="G23450">
        <v>2605708</v>
      </c>
      <c r="H23450">
        <v>14071894</v>
      </c>
      <c r="I23450">
        <v>3234026</v>
      </c>
      <c r="J23450">
        <v>3</v>
      </c>
    </row>
    <row r="23451" spans="1:10" x14ac:dyDescent="0.25">
      <c r="A23451" t="s">
        <v>250</v>
      </c>
      <c r="B23451" s="1" t="str">
        <f>HYPERLINK("http://msd.rs","msd.rs")</f>
        <v>msd.rs</v>
      </c>
      <c r="C23451" t="s">
        <v>492</v>
      </c>
      <c r="D23451" t="s">
        <v>866</v>
      </c>
      <c r="F23451">
        <v>3.4458601913268898E-8</v>
      </c>
      <c r="G23451">
        <v>1505264</v>
      </c>
      <c r="H23451">
        <v>12179454</v>
      </c>
      <c r="I23451">
        <v>23827009</v>
      </c>
      <c r="J23451">
        <v>3</v>
      </c>
    </row>
    <row r="23452" spans="1:10" x14ac:dyDescent="0.25">
      <c r="A23452" t="s">
        <v>250</v>
      </c>
      <c r="B23452" s="1" t="str">
        <f>HYPERLINK("http://msd.ru","msd.ru")</f>
        <v>msd.ru</v>
      </c>
      <c r="C23452" t="s">
        <v>493</v>
      </c>
      <c r="D23452" t="s">
        <v>867</v>
      </c>
      <c r="F23452">
        <v>8.5721635095707594E-8</v>
      </c>
      <c r="G23452">
        <v>480399</v>
      </c>
      <c r="H23452">
        <v>13305170</v>
      </c>
      <c r="I23452">
        <v>10802520</v>
      </c>
      <c r="J23452">
        <v>3</v>
      </c>
    </row>
    <row r="23453" spans="1:10" x14ac:dyDescent="0.25">
      <c r="A23453" t="s">
        <v>250</v>
      </c>
      <c r="B23453" s="1" t="str">
        <f>HYPERLINK("http://msd-animal-health.ru","msd-animal-health.ru")</f>
        <v>msd-animal-health.ru</v>
      </c>
      <c r="C23453" t="s">
        <v>493</v>
      </c>
      <c r="D23453" t="s">
        <v>867</v>
      </c>
      <c r="F23453">
        <v>5.5285720605679597E-8</v>
      </c>
      <c r="G23453">
        <v>812453</v>
      </c>
      <c r="H23453">
        <v>13198460</v>
      </c>
      <c r="I23453">
        <v>11562420</v>
      </c>
      <c r="J23453">
        <v>3</v>
      </c>
    </row>
    <row r="23454" spans="1:10" x14ac:dyDescent="0.25">
      <c r="A23454" t="s">
        <v>250</v>
      </c>
      <c r="B23454" s="1" t="str">
        <f>HYPERLINK("http://intervet.se","intervet.se")</f>
        <v>intervet.se</v>
      </c>
      <c r="C23454" t="s">
        <v>495</v>
      </c>
      <c r="D23454" t="s">
        <v>869</v>
      </c>
      <c r="F23454">
        <v>4.5701749171675398E-9</v>
      </c>
      <c r="G23454">
        <v>50169276</v>
      </c>
      <c r="H23454">
        <v>13763635</v>
      </c>
      <c r="I23454">
        <v>8259979</v>
      </c>
      <c r="J23454">
        <v>3</v>
      </c>
    </row>
    <row r="23455" spans="1:10" x14ac:dyDescent="0.25">
      <c r="A23455" t="s">
        <v>250</v>
      </c>
      <c r="B23455" s="1" t="str">
        <f>HYPERLINK("http://msd.se","msd.se")</f>
        <v>msd.se</v>
      </c>
      <c r="C23455" t="s">
        <v>495</v>
      </c>
      <c r="D23455" t="s">
        <v>869</v>
      </c>
      <c r="F23455">
        <v>4.7216685932109797E-8</v>
      </c>
      <c r="G23455">
        <v>987575</v>
      </c>
      <c r="H23455">
        <v>14243325</v>
      </c>
      <c r="I23455">
        <v>1478133</v>
      </c>
      <c r="J23455">
        <v>3</v>
      </c>
    </row>
    <row r="23456" spans="1:10" x14ac:dyDescent="0.25">
      <c r="A23456" t="s">
        <v>250</v>
      </c>
      <c r="B23456" s="1" t="str">
        <f>HYPERLINK("http://msd-animal-health.se","msd-animal-health.se")</f>
        <v>msd-animal-health.se</v>
      </c>
      <c r="C23456" t="s">
        <v>495</v>
      </c>
      <c r="D23456" t="s">
        <v>869</v>
      </c>
      <c r="F23456">
        <v>2.4285429750317001E-8</v>
      </c>
      <c r="G23456">
        <v>2135169</v>
      </c>
      <c r="H23456">
        <v>12452350</v>
      </c>
      <c r="I23456">
        <v>17968196</v>
      </c>
      <c r="J23456">
        <v>3</v>
      </c>
    </row>
    <row r="23457" spans="1:10" x14ac:dyDescent="0.25">
      <c r="A23457" t="s">
        <v>250</v>
      </c>
      <c r="B23457" s="1" t="str">
        <f>HYPERLINK("http://pneumo.se","pneumo.se")</f>
        <v>pneumo.se</v>
      </c>
      <c r="C23457" t="s">
        <v>495</v>
      </c>
      <c r="D23457" t="s">
        <v>869</v>
      </c>
      <c r="F23457">
        <v>5.0178296073334501E-9</v>
      </c>
      <c r="G23457">
        <v>28953002</v>
      </c>
      <c r="H23457">
        <v>10729213</v>
      </c>
      <c r="I23457">
        <v>40996858</v>
      </c>
      <c r="J23457">
        <v>5</v>
      </c>
    </row>
    <row r="23458" spans="1:10" x14ac:dyDescent="0.25">
      <c r="A23458" t="s">
        <v>250</v>
      </c>
      <c r="B23458" s="1" t="str">
        <f>HYPERLINK("http://stallmastaren.se","stallmastaren.se")</f>
        <v>stallmastaren.se</v>
      </c>
      <c r="C23458" t="s">
        <v>495</v>
      </c>
      <c r="D23458" t="s">
        <v>869</v>
      </c>
      <c r="F23458">
        <v>1.25045896168737E-8</v>
      </c>
      <c r="G23458">
        <v>4883062</v>
      </c>
      <c r="H23458">
        <v>12468611</v>
      </c>
      <c r="I23458">
        <v>17774474</v>
      </c>
      <c r="J23458">
        <v>6</v>
      </c>
    </row>
    <row r="23459" spans="1:10" x14ac:dyDescent="0.25">
      <c r="A23459" t="s">
        <v>250</v>
      </c>
      <c r="B23459" s="1" t="str">
        <f>HYPERLINK("http://msd.si","msd.si")</f>
        <v>msd.si</v>
      </c>
      <c r="C23459" t="s">
        <v>497</v>
      </c>
      <c r="D23459" t="s">
        <v>871</v>
      </c>
      <c r="F23459">
        <v>3.5767457101883203E-8</v>
      </c>
      <c r="G23459">
        <v>1455967</v>
      </c>
      <c r="H23459">
        <v>12330124</v>
      </c>
      <c r="I23459">
        <v>20209958</v>
      </c>
      <c r="J23459">
        <v>3</v>
      </c>
    </row>
    <row r="23460" spans="1:10" x14ac:dyDescent="0.25">
      <c r="A23460" t="s">
        <v>250</v>
      </c>
      <c r="B23460" s="1" t="str">
        <f>HYPERLINK("http://msd.sk","msd.sk")</f>
        <v>msd.sk</v>
      </c>
      <c r="C23460" t="s">
        <v>498</v>
      </c>
      <c r="D23460" t="s">
        <v>872</v>
      </c>
      <c r="F23460">
        <v>3.85574684126181E-8</v>
      </c>
      <c r="G23460">
        <v>1337517</v>
      </c>
      <c r="H23460">
        <v>12409031</v>
      </c>
      <c r="I23460">
        <v>18620282</v>
      </c>
      <c r="J23460">
        <v>3</v>
      </c>
    </row>
    <row r="23461" spans="1:10" x14ac:dyDescent="0.25">
      <c r="A23461" t="s">
        <v>250</v>
      </c>
      <c r="B23461" s="1" t="str">
        <f>HYPERLINK("http://intervet.com.tr","intervet.com.tr")</f>
        <v>intervet.com.tr</v>
      </c>
      <c r="C23461" t="s">
        <v>502</v>
      </c>
      <c r="D23461" t="s">
        <v>876</v>
      </c>
      <c r="F23461">
        <v>4.5064571413090599E-9</v>
      </c>
      <c r="G23461">
        <v>58003457</v>
      </c>
      <c r="H23461">
        <v>10509157</v>
      </c>
      <c r="I23461">
        <v>49869348</v>
      </c>
      <c r="J23461">
        <v>3</v>
      </c>
    </row>
    <row r="23462" spans="1:10" x14ac:dyDescent="0.25">
      <c r="A23462" t="s">
        <v>250</v>
      </c>
      <c r="B23462" s="1" t="str">
        <f>HYPERLINK("http://msd.com.tr","msd.com.tr")</f>
        <v>msd.com.tr</v>
      </c>
      <c r="C23462" t="s">
        <v>502</v>
      </c>
      <c r="D23462" t="s">
        <v>876</v>
      </c>
      <c r="F23462">
        <v>3.7587859572874902E-8</v>
      </c>
      <c r="G23462">
        <v>1376733</v>
      </c>
      <c r="H23462">
        <v>14375156</v>
      </c>
      <c r="I23462">
        <v>1229066</v>
      </c>
      <c r="J23462">
        <v>3</v>
      </c>
    </row>
    <row r="23463" spans="1:10" x14ac:dyDescent="0.25">
      <c r="A23463" t="s">
        <v>250</v>
      </c>
      <c r="B23463" s="1" t="str">
        <f>HYPERLINK("http://msd.com.tw","msd.com.tw")</f>
        <v>msd.com.tw</v>
      </c>
      <c r="C23463" t="s">
        <v>504</v>
      </c>
      <c r="D23463" t="s">
        <v>878</v>
      </c>
      <c r="F23463">
        <v>3.4160054604305201E-8</v>
      </c>
      <c r="G23463">
        <v>1516790</v>
      </c>
      <c r="H23463">
        <v>13764660</v>
      </c>
      <c r="I23463">
        <v>7216482</v>
      </c>
      <c r="J23463">
        <v>3</v>
      </c>
    </row>
    <row r="23464" spans="1:10" x14ac:dyDescent="0.25">
      <c r="A23464" t="s">
        <v>250</v>
      </c>
      <c r="B23464" s="1" t="str">
        <f>HYPERLINK("http://msd-animal-health.com.ua","msd-animal-health.com.ua")</f>
        <v>msd-animal-health.com.ua</v>
      </c>
      <c r="C23464" t="s">
        <v>505</v>
      </c>
      <c r="D23464" t="s">
        <v>879</v>
      </c>
      <c r="F23464">
        <v>1.8951123816491101E-8</v>
      </c>
      <c r="G23464">
        <v>2844297</v>
      </c>
      <c r="H23464">
        <v>12139989</v>
      </c>
      <c r="I23464">
        <v>24881459</v>
      </c>
      <c r="J23464">
        <v>4</v>
      </c>
    </row>
    <row r="23465" spans="1:10" x14ac:dyDescent="0.25">
      <c r="A23465" t="s">
        <v>250</v>
      </c>
      <c r="B23465" s="1" t="str">
        <f>HYPERLINK("http://msd.ua","msd.ua")</f>
        <v>msd.ua</v>
      </c>
      <c r="C23465" t="s">
        <v>505</v>
      </c>
      <c r="D23465" t="s">
        <v>879</v>
      </c>
      <c r="F23465">
        <v>4.4962217400919701E-8</v>
      </c>
      <c r="G23465">
        <v>1050758</v>
      </c>
      <c r="H23465">
        <v>13405006</v>
      </c>
      <c r="I23465">
        <v>10357285</v>
      </c>
      <c r="J23465">
        <v>3</v>
      </c>
    </row>
    <row r="23466" spans="1:10" x14ac:dyDescent="0.25">
      <c r="A23466" t="s">
        <v>250</v>
      </c>
      <c r="B23466" s="1" t="str">
        <f>HYPERLINK("http://allflex.co.uk","allflex.co.uk")</f>
        <v>allflex.co.uk</v>
      </c>
      <c r="C23466" t="s">
        <v>506</v>
      </c>
      <c r="D23466" t="s">
        <v>880</v>
      </c>
      <c r="F23466">
        <v>1.2458665239479499E-8</v>
      </c>
      <c r="G23466">
        <v>4907629</v>
      </c>
      <c r="H23466">
        <v>12264354</v>
      </c>
      <c r="I23466">
        <v>21650189</v>
      </c>
      <c r="J23466">
        <v>5</v>
      </c>
    </row>
    <row r="23467" spans="1:10" x14ac:dyDescent="0.25">
      <c r="A23467" t="s">
        <v>250</v>
      </c>
      <c r="B23467" s="1" t="str">
        <f>HYPERLINK("http://intervet.co.uk","intervet.co.uk")</f>
        <v>intervet.co.uk</v>
      </c>
      <c r="C23467" t="s">
        <v>506</v>
      </c>
      <c r="D23467" t="s">
        <v>880</v>
      </c>
      <c r="F23467">
        <v>5.4442488880638298E-9</v>
      </c>
      <c r="G23467">
        <v>21567312</v>
      </c>
      <c r="H23467">
        <v>14074055</v>
      </c>
      <c r="I23467">
        <v>2958515</v>
      </c>
      <c r="J23467">
        <v>5</v>
      </c>
    </row>
    <row r="23468" spans="1:10" x14ac:dyDescent="0.25">
      <c r="A23468" t="s">
        <v>250</v>
      </c>
      <c r="B23468" s="1" t="str">
        <f>HYPERLINK("http://merck.co.uk","merck.co.uk")</f>
        <v>merck.co.uk</v>
      </c>
      <c r="C23468" t="s">
        <v>506</v>
      </c>
      <c r="D23468" t="s">
        <v>880</v>
      </c>
      <c r="F23468">
        <v>1.3018890067487699E-8</v>
      </c>
      <c r="G23468">
        <v>4622759</v>
      </c>
      <c r="H23468">
        <v>13509414</v>
      </c>
      <c r="I23468">
        <v>9958778</v>
      </c>
      <c r="J23468">
        <v>5</v>
      </c>
    </row>
    <row r="23469" spans="1:10" x14ac:dyDescent="0.25">
      <c r="A23469" t="s">
        <v>250</v>
      </c>
      <c r="B23469" s="1" t="str">
        <f>HYPERLINK("http://msd-animal-health.co.uk","msd-animal-health.co.uk")</f>
        <v>msd-animal-health.co.uk</v>
      </c>
      <c r="C23469" t="s">
        <v>506</v>
      </c>
      <c r="D23469" t="s">
        <v>880</v>
      </c>
      <c r="F23469">
        <v>4.52376182579728E-8</v>
      </c>
      <c r="G23469">
        <v>1042342</v>
      </c>
      <c r="H23469">
        <v>13817935</v>
      </c>
      <c r="I23469">
        <v>6155507</v>
      </c>
      <c r="J23469">
        <v>4</v>
      </c>
    </row>
    <row r="23470" spans="1:10" x14ac:dyDescent="0.25">
      <c r="A23470" t="s">
        <v>250</v>
      </c>
      <c r="B23470" s="1" t="str">
        <f>HYPERLINK("http://spmsd.co.uk","spmsd.co.uk")</f>
        <v>spmsd.co.uk</v>
      </c>
      <c r="C23470" t="s">
        <v>506</v>
      </c>
      <c r="D23470" t="s">
        <v>880</v>
      </c>
      <c r="F23470">
        <v>7.2258334410818402E-9</v>
      </c>
      <c r="G23470">
        <v>11668261</v>
      </c>
      <c r="H23470">
        <v>13996569</v>
      </c>
      <c r="I23470">
        <v>4019466</v>
      </c>
      <c r="J23470">
        <v>3</v>
      </c>
    </row>
    <row r="23471" spans="1:10" x14ac:dyDescent="0.25">
      <c r="A23471" t="s">
        <v>250</v>
      </c>
      <c r="B23471" s="1" t="str">
        <f>HYPERLINK("http://intervet.com.ve","intervet.com.ve")</f>
        <v>intervet.com.ve</v>
      </c>
      <c r="C23471" t="s">
        <v>508</v>
      </c>
      <c r="D23471" t="s">
        <v>882</v>
      </c>
      <c r="F23471">
        <v>4.5463312210189004E-9</v>
      </c>
      <c r="G23471">
        <v>52583752</v>
      </c>
      <c r="H23471">
        <v>8855943</v>
      </c>
      <c r="I23471">
        <v>69150309</v>
      </c>
      <c r="J23471">
        <v>3</v>
      </c>
    </row>
    <row r="23472" spans="1:10" x14ac:dyDescent="0.25">
      <c r="A23472" t="s">
        <v>250</v>
      </c>
      <c r="B23472" s="1" t="str">
        <f>HYPERLINK("http://msd.com.ve","msd.com.ve")</f>
        <v>msd.com.ve</v>
      </c>
      <c r="C23472" t="s">
        <v>508</v>
      </c>
      <c r="D23472" t="s">
        <v>882</v>
      </c>
      <c r="F23472">
        <v>3.5537347231071101E-8</v>
      </c>
      <c r="G23472">
        <v>1464945</v>
      </c>
      <c r="H23472">
        <v>12412212</v>
      </c>
      <c r="I23472">
        <v>18574346</v>
      </c>
      <c r="J23472">
        <v>4</v>
      </c>
    </row>
    <row r="23473" spans="1:10" x14ac:dyDescent="0.25">
      <c r="A23473" t="s">
        <v>250</v>
      </c>
      <c r="B23473" s="1" t="str">
        <f>HYPERLINK("http://msd.co.za","msd.co.za")</f>
        <v>msd.co.za</v>
      </c>
      <c r="C23473" t="s">
        <v>510</v>
      </c>
      <c r="D23473" t="s">
        <v>884</v>
      </c>
      <c r="F23473">
        <v>4.2155295746928298E-8</v>
      </c>
      <c r="G23473">
        <v>1158059</v>
      </c>
      <c r="H23473">
        <v>13218664</v>
      </c>
      <c r="I23473">
        <v>11345715</v>
      </c>
      <c r="J23473">
        <v>3</v>
      </c>
    </row>
    <row r="23474" spans="1:10" x14ac:dyDescent="0.25">
      <c r="A23474" t="s">
        <v>250</v>
      </c>
      <c r="B23474" s="1" t="str">
        <f>HYPERLINK("http://msd-animal-health.co.za","msd-animal-health.co.za")</f>
        <v>msd-animal-health.co.za</v>
      </c>
      <c r="C23474" t="s">
        <v>510</v>
      </c>
      <c r="D23474" t="s">
        <v>884</v>
      </c>
      <c r="F23474">
        <v>2.23955813642242E-8</v>
      </c>
      <c r="G23474">
        <v>2340225</v>
      </c>
      <c r="H23474">
        <v>12347688</v>
      </c>
      <c r="I23474">
        <v>19802049</v>
      </c>
      <c r="J23474">
        <v>4</v>
      </c>
    </row>
    <row r="23475" spans="1:10" x14ac:dyDescent="0.25">
      <c r="A23475" t="s">
        <v>251</v>
      </c>
      <c r="B23475" s="1" t="str">
        <f>HYPERLINK("http://metlife.ae","metlife.ae")</f>
        <v>metlife.ae</v>
      </c>
      <c r="C23475" t="s">
        <v>417</v>
      </c>
      <c r="D23475" t="s">
        <v>799</v>
      </c>
      <c r="E23475">
        <v>648205</v>
      </c>
      <c r="F23475">
        <v>4.1439354000670001E-8</v>
      </c>
      <c r="G23475">
        <v>1205079</v>
      </c>
      <c r="H23475">
        <v>13000599</v>
      </c>
      <c r="I23475">
        <v>12793195</v>
      </c>
      <c r="J23475">
        <v>2</v>
      </c>
    </row>
    <row r="23476" spans="1:10" x14ac:dyDescent="0.25">
      <c r="A23476" t="s">
        <v>251</v>
      </c>
      <c r="B23476" s="1" t="str">
        <f>HYPERLINK("http://metlifealico.ae","metlifealico.ae")</f>
        <v>metlifealico.ae</v>
      </c>
      <c r="C23476" t="s">
        <v>417</v>
      </c>
      <c r="D23476" t="s">
        <v>799</v>
      </c>
      <c r="F23476">
        <v>9.2876032679648296E-9</v>
      </c>
      <c r="G23476">
        <v>7588774</v>
      </c>
      <c r="H23476">
        <v>12238167</v>
      </c>
      <c r="I23476">
        <v>22305116</v>
      </c>
      <c r="J23476">
        <v>2</v>
      </c>
    </row>
    <row r="23477" spans="1:10" x14ac:dyDescent="0.25">
      <c r="A23477" t="s">
        <v>251</v>
      </c>
      <c r="B23477" s="1" t="str">
        <f>HYPERLINK("http://metlife.com.ar","metlife.com.ar")</f>
        <v>metlife.com.ar</v>
      </c>
      <c r="C23477" t="s">
        <v>418</v>
      </c>
      <c r="D23477" t="s">
        <v>800</v>
      </c>
      <c r="F23477">
        <v>2.80735807263721E-8</v>
      </c>
      <c r="G23477">
        <v>1832748</v>
      </c>
      <c r="H23477">
        <v>12437607</v>
      </c>
      <c r="I23477">
        <v>18174316</v>
      </c>
      <c r="J23477">
        <v>2</v>
      </c>
    </row>
    <row r="23478" spans="1:10" x14ac:dyDescent="0.25">
      <c r="A23478" t="s">
        <v>251</v>
      </c>
      <c r="B23478" s="1" t="str">
        <f>HYPERLINK("http://metlife.ar","metlife.ar")</f>
        <v>metlife.ar</v>
      </c>
      <c r="C23478" t="s">
        <v>418</v>
      </c>
      <c r="D23478" t="s">
        <v>800</v>
      </c>
      <c r="J23478">
        <v>2</v>
      </c>
    </row>
    <row r="23479" spans="1:10" x14ac:dyDescent="0.25">
      <c r="A23479" t="s">
        <v>251</v>
      </c>
      <c r="B23479" s="1" t="str">
        <f>HYPERLINK("http://metlife.com.au","metlife.com.au")</f>
        <v>metlife.com.au</v>
      </c>
      <c r="C23479" t="s">
        <v>420</v>
      </c>
      <c r="D23479" t="s">
        <v>802</v>
      </c>
      <c r="F23479">
        <v>7.1739923846396499E-8</v>
      </c>
      <c r="G23479">
        <v>588905</v>
      </c>
      <c r="H23479">
        <v>16776997</v>
      </c>
      <c r="I23479">
        <v>218067</v>
      </c>
      <c r="J23479">
        <v>2</v>
      </c>
    </row>
    <row r="23480" spans="1:10" x14ac:dyDescent="0.25">
      <c r="A23480" t="s">
        <v>251</v>
      </c>
      <c r="B23480" s="1" t="str">
        <f>HYPERLINK("http://metlife.com.bd","metlife.com.bd")</f>
        <v>metlife.com.bd</v>
      </c>
      <c r="C23480" t="s">
        <v>603</v>
      </c>
      <c r="D23480" t="s">
        <v>934</v>
      </c>
      <c r="E23480">
        <v>498296</v>
      </c>
      <c r="F23480">
        <v>3.6984658040875401E-8</v>
      </c>
      <c r="G23480">
        <v>1403206</v>
      </c>
      <c r="H23480">
        <v>12470367</v>
      </c>
      <c r="I23480">
        <v>17744539</v>
      </c>
      <c r="J23480">
        <v>2</v>
      </c>
    </row>
    <row r="23481" spans="1:10" x14ac:dyDescent="0.25">
      <c r="A23481" t="s">
        <v>251</v>
      </c>
      <c r="B23481" s="1" t="str">
        <f>HYPERLINK("http://metlife.bg","metlife.bg")</f>
        <v>metlife.bg</v>
      </c>
      <c r="C23481" t="s">
        <v>422</v>
      </c>
      <c r="D23481" t="s">
        <v>804</v>
      </c>
      <c r="F23481">
        <v>2.4156393677621502E-8</v>
      </c>
      <c r="G23481">
        <v>2147787</v>
      </c>
      <c r="H23481">
        <v>13768611</v>
      </c>
      <c r="I23481">
        <v>6865311</v>
      </c>
      <c r="J23481">
        <v>2</v>
      </c>
    </row>
    <row r="23482" spans="1:10" x14ac:dyDescent="0.25">
      <c r="A23482" t="s">
        <v>251</v>
      </c>
      <c r="B23482" s="1" t="str">
        <f>HYPERLINK("http://metlife.com.br","metlife.com.br")</f>
        <v>metlife.com.br</v>
      </c>
      <c r="C23482" t="s">
        <v>425</v>
      </c>
      <c r="D23482" t="s">
        <v>806</v>
      </c>
      <c r="E23482">
        <v>462228</v>
      </c>
      <c r="F23482">
        <v>5.1295412216590298E-8</v>
      </c>
      <c r="G23482">
        <v>892644</v>
      </c>
      <c r="H23482">
        <v>14732817</v>
      </c>
      <c r="I23482">
        <v>570995</v>
      </c>
      <c r="J23482">
        <v>2</v>
      </c>
    </row>
    <row r="23483" spans="1:10" x14ac:dyDescent="0.25">
      <c r="A23483" t="s">
        <v>251</v>
      </c>
      <c r="B23483" s="1" t="str">
        <f>HYPERLINK("http://metlife.cl","metlife.cl")</f>
        <v>metlife.cl</v>
      </c>
      <c r="C23483" t="s">
        <v>430</v>
      </c>
      <c r="D23483" t="s">
        <v>811</v>
      </c>
      <c r="E23483">
        <v>307229</v>
      </c>
      <c r="F23483">
        <v>3.7407918797009703E-8</v>
      </c>
      <c r="G23483">
        <v>1383834</v>
      </c>
      <c r="H23483">
        <v>12998562</v>
      </c>
      <c r="I23483">
        <v>12804802</v>
      </c>
      <c r="J23483">
        <v>2</v>
      </c>
    </row>
    <row r="23484" spans="1:10" x14ac:dyDescent="0.25">
      <c r="A23484" t="s">
        <v>251</v>
      </c>
      <c r="B23484" s="1" t="str">
        <f>HYPERLINK("http://provida.cl","provida.cl")</f>
        <v>provida.cl</v>
      </c>
      <c r="C23484" t="s">
        <v>430</v>
      </c>
      <c r="D23484" t="s">
        <v>811</v>
      </c>
      <c r="E23484">
        <v>265790</v>
      </c>
      <c r="F23484">
        <v>4.9832010421052199E-8</v>
      </c>
      <c r="G23484">
        <v>925379</v>
      </c>
      <c r="H23484">
        <v>13346312</v>
      </c>
      <c r="I23484">
        <v>10648873</v>
      </c>
      <c r="J23484">
        <v>3</v>
      </c>
    </row>
    <row r="23485" spans="1:10" x14ac:dyDescent="0.25">
      <c r="A23485" t="s">
        <v>251</v>
      </c>
      <c r="B23485" s="1" t="str">
        <f>HYPERLINK("http://metlife.com.cn","metlife.com.cn")</f>
        <v>metlife.com.cn</v>
      </c>
      <c r="C23485" t="s">
        <v>431</v>
      </c>
      <c r="D23485" t="s">
        <v>812</v>
      </c>
      <c r="E23485">
        <v>624762</v>
      </c>
      <c r="F23485">
        <v>5.87371842999663E-8</v>
      </c>
      <c r="G23485">
        <v>755611</v>
      </c>
      <c r="H23485">
        <v>12641656</v>
      </c>
      <c r="I23485">
        <v>15857445</v>
      </c>
      <c r="J23485">
        <v>2</v>
      </c>
    </row>
    <row r="23486" spans="1:10" x14ac:dyDescent="0.25">
      <c r="A23486" t="s">
        <v>251</v>
      </c>
      <c r="B23486" s="1" t="str">
        <f>HYPERLINK("http://metlife.cn","metlife.cn")</f>
        <v>metlife.cn</v>
      </c>
      <c r="C23486" t="s">
        <v>431</v>
      </c>
      <c r="D23486" t="s">
        <v>812</v>
      </c>
      <c r="J23486">
        <v>2</v>
      </c>
    </row>
    <row r="23487" spans="1:10" x14ac:dyDescent="0.25">
      <c r="A23487" t="s">
        <v>251</v>
      </c>
      <c r="B23487" s="1" t="str">
        <f>HYPERLINK("http://metlife.com.co","metlife.com.co")</f>
        <v>metlife.com.co</v>
      </c>
      <c r="C23487" t="s">
        <v>432</v>
      </c>
      <c r="F23487">
        <v>2.9932124335023599E-8</v>
      </c>
      <c r="G23487">
        <v>1718854</v>
      </c>
      <c r="H23487">
        <v>12508182</v>
      </c>
      <c r="I23487">
        <v>17262346</v>
      </c>
      <c r="J23487">
        <v>2</v>
      </c>
    </row>
    <row r="23488" spans="1:10" x14ac:dyDescent="0.25">
      <c r="A23488" t="s">
        <v>251</v>
      </c>
      <c r="B23488" s="1" t="str">
        <f>HYPERLINK("http://affirmativeim.com","affirmativeim.com")</f>
        <v>affirmativeim.com</v>
      </c>
      <c r="C23488" t="s">
        <v>433</v>
      </c>
      <c r="F23488">
        <v>2.53523993302374E-8</v>
      </c>
      <c r="G23488">
        <v>2035196</v>
      </c>
      <c r="H23488">
        <v>13741249</v>
      </c>
      <c r="I23488">
        <v>9428571</v>
      </c>
      <c r="J23488">
        <v>3</v>
      </c>
    </row>
    <row r="23489" spans="1:10" x14ac:dyDescent="0.25">
      <c r="A23489" t="s">
        <v>251</v>
      </c>
      <c r="B23489" s="1" t="str">
        <f>HYPERLINK("http://ammetlife.com","ammetlife.com")</f>
        <v>ammetlife.com</v>
      </c>
      <c r="C23489" t="s">
        <v>433</v>
      </c>
      <c r="E23489">
        <v>398429</v>
      </c>
      <c r="F23489">
        <v>4.8538518134222502E-8</v>
      </c>
      <c r="G23489">
        <v>955601</v>
      </c>
      <c r="H23489">
        <v>12624436</v>
      </c>
      <c r="I23489">
        <v>16041220</v>
      </c>
      <c r="J23489">
        <v>2</v>
      </c>
    </row>
    <row r="23490" spans="1:10" x14ac:dyDescent="0.25">
      <c r="A23490" t="s">
        <v>251</v>
      </c>
      <c r="B23490" s="1" t="str">
        <f>HYPERLINK("http://ammetlifetakaful.com","ammetlifetakaful.com")</f>
        <v>ammetlifetakaful.com</v>
      </c>
      <c r="C23490" t="s">
        <v>433</v>
      </c>
      <c r="F23490">
        <v>1.1496780014804299E-8</v>
      </c>
      <c r="G23490">
        <v>5507844</v>
      </c>
      <c r="H23490">
        <v>10775039</v>
      </c>
      <c r="I23490">
        <v>39074918</v>
      </c>
      <c r="J23490">
        <v>3</v>
      </c>
    </row>
    <row r="23491" spans="1:10" x14ac:dyDescent="0.25">
      <c r="A23491" t="s">
        <v>251</v>
      </c>
      <c r="B23491" s="1" t="str">
        <f>HYPERLINK("http://davisvision.com","davisvision.com")</f>
        <v>davisvision.com</v>
      </c>
      <c r="C23491" t="s">
        <v>433</v>
      </c>
      <c r="E23491">
        <v>83732</v>
      </c>
      <c r="F23491">
        <v>2.3855267844867399E-7</v>
      </c>
      <c r="G23491">
        <v>156949</v>
      </c>
      <c r="H23491">
        <v>14225118</v>
      </c>
      <c r="I23491">
        <v>1680242</v>
      </c>
      <c r="J23491">
        <v>5</v>
      </c>
    </row>
    <row r="23492" spans="1:10" x14ac:dyDescent="0.25">
      <c r="A23492" t="s">
        <v>251</v>
      </c>
      <c r="B23492" s="1" t="str">
        <f>HYPERLINK("http://investmet.com","investmet.com")</f>
        <v>investmet.com</v>
      </c>
      <c r="C23492" t="s">
        <v>433</v>
      </c>
      <c r="F23492">
        <v>5.4675650445635201E-9</v>
      </c>
      <c r="G23492">
        <v>21272245</v>
      </c>
      <c r="H23492">
        <v>10465040</v>
      </c>
      <c r="I23492">
        <v>51503188</v>
      </c>
      <c r="J23492">
        <v>2</v>
      </c>
    </row>
    <row r="23493" spans="1:10" x14ac:dyDescent="0.25">
      <c r="A23493" t="s">
        <v>251</v>
      </c>
      <c r="B23493" s="1" t="str">
        <f>HYPERLINK("http://metauto-agent.com","metauto-agent.com")</f>
        <v>metauto-agent.com</v>
      </c>
      <c r="C23493" t="s">
        <v>433</v>
      </c>
      <c r="F23493">
        <v>5.0164937644374998E-9</v>
      </c>
      <c r="G23493">
        <v>28983403</v>
      </c>
      <c r="H23493">
        <v>10346444</v>
      </c>
      <c r="I23493">
        <v>56833274</v>
      </c>
      <c r="J23493">
        <v>2</v>
      </c>
    </row>
    <row r="23494" spans="1:10" x14ac:dyDescent="0.25">
      <c r="A23494" t="s">
        <v>251</v>
      </c>
      <c r="B23494" s="1" t="str">
        <f>HYPERLINK("http://metlife.com","metlife.com")</f>
        <v>metlife.com</v>
      </c>
      <c r="C23494" t="s">
        <v>433</v>
      </c>
      <c r="E23494">
        <v>2145</v>
      </c>
      <c r="F23494">
        <v>3.5971607109890601E-6</v>
      </c>
      <c r="G23494">
        <v>11449</v>
      </c>
      <c r="H23494">
        <v>17454156</v>
      </c>
      <c r="I23494">
        <v>15932</v>
      </c>
      <c r="J23494">
        <v>1</v>
      </c>
    </row>
    <row r="23495" spans="1:10" x14ac:dyDescent="0.25">
      <c r="A23495" t="s">
        <v>251</v>
      </c>
      <c r="B23495" s="1" t="str">
        <f>HYPERLINK("http://metlifeautoquote.com","metlifeautoquote.com")</f>
        <v>metlifeautoquote.com</v>
      </c>
      <c r="C23495" t="s">
        <v>433</v>
      </c>
      <c r="F23495">
        <v>7.7636591155058395E-9</v>
      </c>
      <c r="G23495">
        <v>10405988</v>
      </c>
      <c r="H23495">
        <v>12226046</v>
      </c>
      <c r="I23495">
        <v>22626747</v>
      </c>
      <c r="J23495">
        <v>2</v>
      </c>
    </row>
    <row r="23496" spans="1:10" x14ac:dyDescent="0.25">
      <c r="A23496" t="s">
        <v>251</v>
      </c>
      <c r="B23496" s="1" t="str">
        <f>HYPERLINK("http://metlifeexpat.com","metlifeexpat.com")</f>
        <v>metlifeexpat.com</v>
      </c>
      <c r="C23496" t="s">
        <v>433</v>
      </c>
      <c r="F23496">
        <v>1.0598480288710499E-8</v>
      </c>
      <c r="G23496">
        <v>6185468</v>
      </c>
      <c r="H23496">
        <v>12515267</v>
      </c>
      <c r="I23496">
        <v>17191888</v>
      </c>
      <c r="J23496">
        <v>2</v>
      </c>
    </row>
    <row r="23497" spans="1:10" x14ac:dyDescent="0.25">
      <c r="A23497" t="s">
        <v>251</v>
      </c>
      <c r="B23497" s="1" t="str">
        <f>HYPERLINK("http://metlifegvul.com","metlifegvul.com")</f>
        <v>metlifegvul.com</v>
      </c>
      <c r="C23497" t="s">
        <v>433</v>
      </c>
      <c r="J23497">
        <v>2</v>
      </c>
    </row>
    <row r="23498" spans="1:10" x14ac:dyDescent="0.25">
      <c r="A23498" t="s">
        <v>251</v>
      </c>
      <c r="B23498" s="1" t="str">
        <f>HYPERLINK("http://metlifegvulenroll.com","metlifegvulenroll.com")</f>
        <v>metlifegvulenroll.com</v>
      </c>
      <c r="C23498" t="s">
        <v>433</v>
      </c>
      <c r="J23498">
        <v>2</v>
      </c>
    </row>
    <row r="23499" spans="1:10" x14ac:dyDescent="0.25">
      <c r="A23499" t="s">
        <v>251</v>
      </c>
      <c r="B23499" s="1" t="str">
        <f>HYPERLINK("http://metlifeinvestors.com","metlifeinvestors.com")</f>
        <v>metlifeinvestors.com</v>
      </c>
      <c r="C23499" t="s">
        <v>433</v>
      </c>
      <c r="F23499">
        <v>1.2494719968227399E-8</v>
      </c>
      <c r="G23499">
        <v>4888176</v>
      </c>
      <c r="H23499">
        <v>12347851</v>
      </c>
      <c r="I23499">
        <v>19799314</v>
      </c>
      <c r="J23499">
        <v>2</v>
      </c>
    </row>
    <row r="23500" spans="1:10" x14ac:dyDescent="0.25">
      <c r="A23500" t="s">
        <v>251</v>
      </c>
      <c r="B23500" s="1" t="str">
        <f>HYPERLINK("http://metlink.com","metlink.com")</f>
        <v>metlink.com</v>
      </c>
      <c r="C23500" t="s">
        <v>433</v>
      </c>
      <c r="E23500">
        <v>440137</v>
      </c>
      <c r="F23500">
        <v>9.33816928297927E-9</v>
      </c>
      <c r="G23500">
        <v>7524020</v>
      </c>
      <c r="H23500">
        <v>12287961</v>
      </c>
      <c r="I23500">
        <v>21154535</v>
      </c>
      <c r="J23500">
        <v>2</v>
      </c>
    </row>
    <row r="23501" spans="1:10" x14ac:dyDescent="0.25">
      <c r="A23501" t="s">
        <v>251</v>
      </c>
      <c r="B23501" s="1" t="str">
        <f>HYPERLINK("http://pnbmetlife.com","pnbmetlife.com")</f>
        <v>pnbmetlife.com</v>
      </c>
      <c r="C23501" t="s">
        <v>433</v>
      </c>
      <c r="E23501">
        <v>258796</v>
      </c>
      <c r="F23501">
        <v>9.6733598962682295E-8</v>
      </c>
      <c r="G23501">
        <v>417839</v>
      </c>
      <c r="H23501">
        <v>14273479</v>
      </c>
      <c r="I23501">
        <v>1393766</v>
      </c>
      <c r="J23501">
        <v>3</v>
      </c>
    </row>
    <row r="23502" spans="1:10" x14ac:dyDescent="0.25">
      <c r="A23502" t="s">
        <v>251</v>
      </c>
      <c r="B23502" s="1" t="str">
        <f>HYPERLINK("http://superiorvision.com","superiorvision.com")</f>
        <v>superiorvision.com</v>
      </c>
      <c r="C23502" t="s">
        <v>433</v>
      </c>
      <c r="E23502">
        <v>263024</v>
      </c>
      <c r="F23502">
        <v>1.89005879631343E-7</v>
      </c>
      <c r="G23502">
        <v>203875</v>
      </c>
      <c r="H23502">
        <v>16773162</v>
      </c>
      <c r="I23502">
        <v>221316</v>
      </c>
      <c r="J23502">
        <v>3</v>
      </c>
    </row>
    <row r="23503" spans="1:10" x14ac:dyDescent="0.25">
      <c r="A23503" t="s">
        <v>251</v>
      </c>
      <c r="B23503" s="1" t="str">
        <f>HYPERLINK("http://versanthealt.com","versanthealt.com")</f>
        <v>versanthealt.com</v>
      </c>
      <c r="C23503" t="s">
        <v>433</v>
      </c>
      <c r="J23503">
        <v>7</v>
      </c>
    </row>
    <row r="23504" spans="1:10" x14ac:dyDescent="0.25">
      <c r="A23504" t="s">
        <v>251</v>
      </c>
      <c r="B23504" s="1" t="str">
        <f>HYPERLINK("http://versanthealth.com","versanthealth.com")</f>
        <v>versanthealth.com</v>
      </c>
      <c r="C23504" t="s">
        <v>433</v>
      </c>
      <c r="E23504">
        <v>208752</v>
      </c>
      <c r="F23504">
        <v>6.7737662119262397E-8</v>
      </c>
      <c r="G23504">
        <v>630437</v>
      </c>
      <c r="H23504">
        <v>13941369</v>
      </c>
      <c r="I23504">
        <v>4348803</v>
      </c>
      <c r="J23504">
        <v>5</v>
      </c>
    </row>
    <row r="23505" spans="1:10" x14ac:dyDescent="0.25">
      <c r="A23505" t="s">
        <v>251</v>
      </c>
      <c r="B23505" s="1" t="str">
        <f>HYPERLINK("http://metlife.com.cy","metlife.com.cy")</f>
        <v>metlife.com.cy</v>
      </c>
      <c r="C23505" t="s">
        <v>610</v>
      </c>
      <c r="D23505" t="s">
        <v>937</v>
      </c>
      <c r="E23505">
        <v>501728</v>
      </c>
      <c r="F23505">
        <v>2.1346413603157601E-8</v>
      </c>
      <c r="G23505">
        <v>2468420</v>
      </c>
      <c r="H23505">
        <v>12361872</v>
      </c>
      <c r="I23505">
        <v>19550813</v>
      </c>
      <c r="J23505">
        <v>2</v>
      </c>
    </row>
    <row r="23506" spans="1:10" x14ac:dyDescent="0.25">
      <c r="A23506" t="s">
        <v>251</v>
      </c>
      <c r="B23506" s="1" t="str">
        <f>HYPERLINK("http://metlife.cz","metlife.cz")</f>
        <v>metlife.cz</v>
      </c>
      <c r="C23506" t="s">
        <v>435</v>
      </c>
      <c r="D23506" t="s">
        <v>814</v>
      </c>
      <c r="F23506">
        <v>4.0853589817116301E-8</v>
      </c>
      <c r="G23506">
        <v>1269288</v>
      </c>
      <c r="H23506">
        <v>13770128</v>
      </c>
      <c r="I23506">
        <v>6743569</v>
      </c>
      <c r="J23506">
        <v>2</v>
      </c>
    </row>
    <row r="23507" spans="1:10" x14ac:dyDescent="0.25">
      <c r="A23507" t="s">
        <v>251</v>
      </c>
      <c r="B23507" s="1" t="str">
        <f>HYPERLINK("http://metlife.eg","metlife.eg")</f>
        <v>metlife.eg</v>
      </c>
      <c r="C23507" t="s">
        <v>442</v>
      </c>
      <c r="D23507" t="s">
        <v>821</v>
      </c>
      <c r="F23507">
        <v>2.1492880145357399E-8</v>
      </c>
      <c r="G23507">
        <v>2449990</v>
      </c>
      <c r="H23507">
        <v>12364018</v>
      </c>
      <c r="I23507">
        <v>19515562</v>
      </c>
      <c r="J23507">
        <v>2</v>
      </c>
    </row>
    <row r="23508" spans="1:10" x14ac:dyDescent="0.25">
      <c r="A23508" t="s">
        <v>251</v>
      </c>
      <c r="B23508" s="1" t="str">
        <f>HYPERLINK("http://metlife.es","metlife.es")</f>
        <v>metlife.es</v>
      </c>
      <c r="C23508" t="s">
        <v>443</v>
      </c>
      <c r="D23508" t="s">
        <v>822</v>
      </c>
      <c r="F23508">
        <v>4.0832350210128397E-8</v>
      </c>
      <c r="G23508">
        <v>1269859</v>
      </c>
      <c r="H23508">
        <v>12925373</v>
      </c>
      <c r="I23508">
        <v>13392977</v>
      </c>
      <c r="J23508">
        <v>2</v>
      </c>
    </row>
    <row r="23509" spans="1:10" x14ac:dyDescent="0.25">
      <c r="A23509" t="s">
        <v>251</v>
      </c>
      <c r="B23509" s="1" t="str">
        <f>HYPERLINK("http://metlife.eu","metlife.eu")</f>
        <v>metlife.eu</v>
      </c>
      <c r="C23509" t="s">
        <v>444</v>
      </c>
      <c r="F23509">
        <v>8.0824783285453803E-9</v>
      </c>
      <c r="G23509">
        <v>9773074</v>
      </c>
      <c r="H23509">
        <v>10542033</v>
      </c>
      <c r="I23509">
        <v>47139595</v>
      </c>
      <c r="J23509">
        <v>2</v>
      </c>
    </row>
    <row r="23510" spans="1:10" x14ac:dyDescent="0.25">
      <c r="A23510" t="s">
        <v>251</v>
      </c>
      <c r="B23510" s="1" t="str">
        <f>HYPERLINK("http://metlife.fr","metlife.fr")</f>
        <v>metlife.fr</v>
      </c>
      <c r="C23510" t="s">
        <v>446</v>
      </c>
      <c r="D23510" t="s">
        <v>824</v>
      </c>
      <c r="F23510">
        <v>6.4042400438109403E-8</v>
      </c>
      <c r="G23510">
        <v>676708</v>
      </c>
      <c r="H23510">
        <v>14087763</v>
      </c>
      <c r="I23510">
        <v>2761906</v>
      </c>
      <c r="J23510">
        <v>2</v>
      </c>
    </row>
    <row r="23511" spans="1:10" x14ac:dyDescent="0.25">
      <c r="A23511" t="s">
        <v>251</v>
      </c>
      <c r="B23511" s="1" t="str">
        <f>HYPERLINK("http://metlife.gr","metlife.gr")</f>
        <v>metlife.gr</v>
      </c>
      <c r="C23511" t="s">
        <v>447</v>
      </c>
      <c r="D23511" t="s">
        <v>825</v>
      </c>
      <c r="F23511">
        <v>2.3912757766523401E-8</v>
      </c>
      <c r="G23511">
        <v>2171561</v>
      </c>
      <c r="H23511">
        <v>12634248</v>
      </c>
      <c r="I23511">
        <v>15939662</v>
      </c>
      <c r="J23511">
        <v>2</v>
      </c>
    </row>
    <row r="23512" spans="1:10" x14ac:dyDescent="0.25">
      <c r="A23512" t="s">
        <v>251</v>
      </c>
      <c r="B23512" s="1" t="str">
        <f>HYPERLINK("http://metlife.hu","metlife.hu")</f>
        <v>metlife.hu</v>
      </c>
      <c r="C23512" t="s">
        <v>453</v>
      </c>
      <c r="D23512" t="s">
        <v>830</v>
      </c>
      <c r="F23512">
        <v>4.7459571818608998E-8</v>
      </c>
      <c r="G23512">
        <v>981507</v>
      </c>
      <c r="H23512">
        <v>12598424</v>
      </c>
      <c r="I23512">
        <v>16341237</v>
      </c>
      <c r="J23512">
        <v>2</v>
      </c>
    </row>
    <row r="23513" spans="1:10" x14ac:dyDescent="0.25">
      <c r="A23513" t="s">
        <v>251</v>
      </c>
      <c r="B23513" s="1" t="str">
        <f>HYPERLINK("http://pnbmetlife.co.in","pnbmetlife.co.in")</f>
        <v>pnbmetlife.co.in</v>
      </c>
      <c r="C23513" t="s">
        <v>457</v>
      </c>
      <c r="D23513" t="s">
        <v>834</v>
      </c>
      <c r="E23513">
        <v>822572</v>
      </c>
      <c r="F23513">
        <v>9.0988894742480498E-9</v>
      </c>
      <c r="G23513">
        <v>7848480</v>
      </c>
      <c r="H23513">
        <v>13125881</v>
      </c>
      <c r="I23513">
        <v>11959121</v>
      </c>
      <c r="J23513">
        <v>4</v>
      </c>
    </row>
    <row r="23514" spans="1:10" x14ac:dyDescent="0.25">
      <c r="A23514" t="s">
        <v>251</v>
      </c>
      <c r="B23514" s="1" t="str">
        <f>HYPERLINK("http://metlife.it","metlife.it")</f>
        <v>metlife.it</v>
      </c>
      <c r="C23514" t="s">
        <v>459</v>
      </c>
      <c r="D23514" t="s">
        <v>835</v>
      </c>
      <c r="F23514">
        <v>6.5599117583430899E-8</v>
      </c>
      <c r="G23514">
        <v>655193</v>
      </c>
      <c r="H23514">
        <v>13946861</v>
      </c>
      <c r="I23514">
        <v>4214048</v>
      </c>
      <c r="J23514">
        <v>2</v>
      </c>
    </row>
    <row r="23515" spans="1:10" x14ac:dyDescent="0.25">
      <c r="A23515" t="s">
        <v>251</v>
      </c>
      <c r="B23515" s="1" t="str">
        <f>HYPERLINK("http://metlife.jo","metlife.jo")</f>
        <v>metlife.jo</v>
      </c>
      <c r="C23515" t="s">
        <v>519</v>
      </c>
      <c r="D23515" t="s">
        <v>889</v>
      </c>
      <c r="F23515">
        <v>1.93425989960467E-8</v>
      </c>
      <c r="G23515">
        <v>2775298</v>
      </c>
      <c r="H23515">
        <v>12331875</v>
      </c>
      <c r="I23515">
        <v>20171591</v>
      </c>
      <c r="J23515">
        <v>2</v>
      </c>
    </row>
    <row r="23516" spans="1:10" x14ac:dyDescent="0.25">
      <c r="A23516" t="s">
        <v>251</v>
      </c>
      <c r="B23516" s="1" t="str">
        <f>HYPERLINK("http://metlife.co.jp","metlife.co.jp")</f>
        <v>metlife.co.jp</v>
      </c>
      <c r="C23516" t="s">
        <v>461</v>
      </c>
      <c r="D23516" t="s">
        <v>837</v>
      </c>
      <c r="E23516">
        <v>93160</v>
      </c>
      <c r="F23516">
        <v>3.0970413569194798E-7</v>
      </c>
      <c r="G23516">
        <v>120087</v>
      </c>
      <c r="H23516">
        <v>14425486</v>
      </c>
      <c r="I23516">
        <v>1080189</v>
      </c>
      <c r="J23516">
        <v>2</v>
      </c>
    </row>
    <row r="23517" spans="1:10" x14ac:dyDescent="0.25">
      <c r="A23517" t="s">
        <v>251</v>
      </c>
      <c r="B23517" s="1" t="str">
        <f>HYPERLINK("http://metlife.co.kr","metlife.co.kr")</f>
        <v>metlife.co.kr</v>
      </c>
      <c r="C23517" t="s">
        <v>463</v>
      </c>
      <c r="D23517" t="s">
        <v>839</v>
      </c>
      <c r="F23517">
        <v>3.9197986570354598E-8</v>
      </c>
      <c r="G23517">
        <v>1316074</v>
      </c>
      <c r="H23517">
        <v>14079473</v>
      </c>
      <c r="I23517">
        <v>2832400</v>
      </c>
      <c r="J23517">
        <v>2</v>
      </c>
    </row>
    <row r="23518" spans="1:10" x14ac:dyDescent="0.25">
      <c r="A23518" t="s">
        <v>251</v>
      </c>
      <c r="B23518" s="1" t="str">
        <f>HYPERLINK("http://metlife.com.lb","metlife.com.lb")</f>
        <v>metlife.com.lb</v>
      </c>
      <c r="C23518" t="s">
        <v>612</v>
      </c>
      <c r="D23518" t="s">
        <v>938</v>
      </c>
      <c r="F23518">
        <v>1.9321050996730001E-8</v>
      </c>
      <c r="G23518">
        <v>2778710</v>
      </c>
      <c r="H23518">
        <v>12333021</v>
      </c>
      <c r="I23518">
        <v>20144345</v>
      </c>
      <c r="J23518">
        <v>2</v>
      </c>
    </row>
    <row r="23519" spans="1:10" x14ac:dyDescent="0.25">
      <c r="A23519" t="s">
        <v>251</v>
      </c>
      <c r="B23519" s="1" t="str">
        <f>HYPERLINK("http://metlife.com.mx","metlife.com.mx")</f>
        <v>metlife.com.mx</v>
      </c>
      <c r="C23519" t="s">
        <v>471</v>
      </c>
      <c r="D23519" t="s">
        <v>847</v>
      </c>
      <c r="E23519">
        <v>349999</v>
      </c>
      <c r="F23519">
        <v>4.0699729282448897E-8</v>
      </c>
      <c r="G23519">
        <v>1273277</v>
      </c>
      <c r="H23519">
        <v>14081141</v>
      </c>
      <c r="I23519">
        <v>2813111</v>
      </c>
      <c r="J23519">
        <v>2</v>
      </c>
    </row>
    <row r="23520" spans="1:10" x14ac:dyDescent="0.25">
      <c r="A23520" t="s">
        <v>251</v>
      </c>
      <c r="B23520" s="1" t="str">
        <f>HYPERLINK("http://metlifeacambay.com.mx","metlifeacambay.com.mx")</f>
        <v>metlifeacambay.com.mx</v>
      </c>
      <c r="C23520" t="s">
        <v>471</v>
      </c>
      <c r="D23520" t="s">
        <v>847</v>
      </c>
      <c r="J23520">
        <v>6</v>
      </c>
    </row>
    <row r="23521" spans="1:10" x14ac:dyDescent="0.25">
      <c r="A23521" t="s">
        <v>251</v>
      </c>
      <c r="B23521" s="1" t="str">
        <f>HYPERLINK("http://metlifeafore.com.mx","metlifeafore.com.mx")</f>
        <v>metlifeafore.com.mx</v>
      </c>
      <c r="C23521" t="s">
        <v>471</v>
      </c>
      <c r="D23521" t="s">
        <v>847</v>
      </c>
      <c r="F23521">
        <v>6.0062133929235802E-9</v>
      </c>
      <c r="G23521">
        <v>16645260</v>
      </c>
      <c r="H23521">
        <v>12320424</v>
      </c>
      <c r="I23521">
        <v>20412493</v>
      </c>
      <c r="J23521">
        <v>4</v>
      </c>
    </row>
    <row r="23522" spans="1:10" x14ac:dyDescent="0.25">
      <c r="A23522" t="s">
        <v>251</v>
      </c>
      <c r="B23522" s="1" t="str">
        <f>HYPERLINK("http://metlifemas.com.mx","metlifemas.com.mx")</f>
        <v>metlifemas.com.mx</v>
      </c>
      <c r="C23522" t="s">
        <v>471</v>
      </c>
      <c r="D23522" t="s">
        <v>847</v>
      </c>
      <c r="F23522">
        <v>5.59375009427941E-9</v>
      </c>
      <c r="G23522">
        <v>19917647</v>
      </c>
      <c r="H23522">
        <v>13558658</v>
      </c>
      <c r="I23522">
        <v>9880227</v>
      </c>
      <c r="J23522">
        <v>2</v>
      </c>
    </row>
    <row r="23523" spans="1:10" x14ac:dyDescent="0.25">
      <c r="A23523" t="s">
        <v>251</v>
      </c>
      <c r="B23523" s="1" t="str">
        <f>HYPERLINK("http://safeguard.net","safeguard.net")</f>
        <v>safeguard.net</v>
      </c>
      <c r="C23523" t="s">
        <v>474</v>
      </c>
      <c r="F23523">
        <v>1.21451165197676E-8</v>
      </c>
      <c r="G23523">
        <v>5082448</v>
      </c>
      <c r="H23523">
        <v>12451451</v>
      </c>
      <c r="I23523">
        <v>17978906</v>
      </c>
      <c r="J23523">
        <v>3</v>
      </c>
    </row>
    <row r="23524" spans="1:10" x14ac:dyDescent="0.25">
      <c r="A23524" t="s">
        <v>251</v>
      </c>
      <c r="B23524" s="1" t="str">
        <f>HYPERLINK("http://metlife.com.np","metlife.com.np")</f>
        <v>metlife.com.np</v>
      </c>
      <c r="C23524" t="s">
        <v>604</v>
      </c>
      <c r="D23524" t="s">
        <v>935</v>
      </c>
      <c r="F23524">
        <v>2.3541402456940402E-8</v>
      </c>
      <c r="G23524">
        <v>2210186</v>
      </c>
      <c r="H23524">
        <v>14074699</v>
      </c>
      <c r="I23524">
        <v>2932578</v>
      </c>
      <c r="J23524">
        <v>2</v>
      </c>
    </row>
    <row r="23525" spans="1:10" x14ac:dyDescent="0.25">
      <c r="A23525" t="s">
        <v>251</v>
      </c>
      <c r="B23525" s="1" t="str">
        <f>HYPERLINK("http://crowdspirit.org","crowdspirit.org")</f>
        <v>crowdspirit.org</v>
      </c>
      <c r="C23525" t="s">
        <v>481</v>
      </c>
      <c r="F23525">
        <v>5.8042171283882E-9</v>
      </c>
      <c r="G23525">
        <v>18055274</v>
      </c>
      <c r="H23525">
        <v>14121771</v>
      </c>
      <c r="I23525">
        <v>2238807</v>
      </c>
      <c r="J23525">
        <v>5</v>
      </c>
    </row>
    <row r="23526" spans="1:10" x14ac:dyDescent="0.25">
      <c r="A23526" t="s">
        <v>251</v>
      </c>
      <c r="B23526" s="1" t="str">
        <f>HYPERLINK("http://metlife.org","metlife.org")</f>
        <v>metlife.org</v>
      </c>
      <c r="C23526" t="s">
        <v>481</v>
      </c>
      <c r="F23526">
        <v>8.4377849855035104E-8</v>
      </c>
      <c r="G23526">
        <v>489824</v>
      </c>
      <c r="H23526">
        <v>13573680</v>
      </c>
      <c r="I23526">
        <v>9709115</v>
      </c>
      <c r="J23526">
        <v>2</v>
      </c>
    </row>
    <row r="23527" spans="1:10" x14ac:dyDescent="0.25">
      <c r="A23527" t="s">
        <v>251</v>
      </c>
      <c r="B23527" s="1" t="str">
        <f>HYPERLINK("http://eklientmetlife.pl","eklientmetlife.pl")</f>
        <v>eklientmetlife.pl</v>
      </c>
      <c r="C23527" t="s">
        <v>486</v>
      </c>
      <c r="D23527" t="s">
        <v>860</v>
      </c>
      <c r="F23527">
        <v>6.0487424426848604E-9</v>
      </c>
      <c r="G23527">
        <v>16389724</v>
      </c>
      <c r="H23527">
        <v>10635176</v>
      </c>
      <c r="I23527">
        <v>43868350</v>
      </c>
      <c r="J23527">
        <v>2</v>
      </c>
    </row>
    <row r="23528" spans="1:10" x14ac:dyDescent="0.25">
      <c r="A23528" t="s">
        <v>251</v>
      </c>
      <c r="B23528" s="1" t="str">
        <f>HYPERLINK("http://eroszczeniemetlife.pl","eroszczeniemetlife.pl")</f>
        <v>eroszczeniemetlife.pl</v>
      </c>
      <c r="C23528" t="s">
        <v>486</v>
      </c>
      <c r="D23528" t="s">
        <v>860</v>
      </c>
      <c r="F23528">
        <v>1.06027381185412E-8</v>
      </c>
      <c r="G23528">
        <v>6181353</v>
      </c>
      <c r="H23528">
        <v>10865156</v>
      </c>
      <c r="I23528">
        <v>36587499</v>
      </c>
      <c r="J23528">
        <v>2</v>
      </c>
    </row>
    <row r="23529" spans="1:10" x14ac:dyDescent="0.25">
      <c r="A23529" t="s">
        <v>251</v>
      </c>
      <c r="B23529" s="1" t="str">
        <f>HYPERLINK("http://metlife.pl","metlife.pl")</f>
        <v>metlife.pl</v>
      </c>
      <c r="C23529" t="s">
        <v>486</v>
      </c>
      <c r="D23529" t="s">
        <v>860</v>
      </c>
      <c r="F23529">
        <v>4.9837476238651498E-8</v>
      </c>
      <c r="G23529">
        <v>925226</v>
      </c>
      <c r="H23529">
        <v>14240468</v>
      </c>
      <c r="I23529">
        <v>1500843</v>
      </c>
      <c r="J23529">
        <v>2</v>
      </c>
    </row>
    <row r="23530" spans="1:10" x14ac:dyDescent="0.25">
      <c r="A23530" t="s">
        <v>251</v>
      </c>
      <c r="B23530" s="1" t="str">
        <f>HYPERLINK("http://metlifeonline.pl","metlifeonline.pl")</f>
        <v>metlifeonline.pl</v>
      </c>
      <c r="C23530" t="s">
        <v>486</v>
      </c>
      <c r="D23530" t="s">
        <v>860</v>
      </c>
      <c r="F23530">
        <v>5.2002656462633503E-9</v>
      </c>
      <c r="G23530">
        <v>25109458</v>
      </c>
      <c r="H23530">
        <v>10595581</v>
      </c>
      <c r="I23530">
        <v>45177435</v>
      </c>
      <c r="J23530">
        <v>2</v>
      </c>
    </row>
    <row r="23531" spans="1:10" x14ac:dyDescent="0.25">
      <c r="A23531" t="s">
        <v>251</v>
      </c>
      <c r="B23531" s="1" t="str">
        <f>HYPERLINK("http://metlife.com.pt","metlife.com.pt")</f>
        <v>metlife.com.pt</v>
      </c>
      <c r="C23531" t="s">
        <v>488</v>
      </c>
      <c r="D23531" t="s">
        <v>862</v>
      </c>
      <c r="F23531">
        <v>4.7431478665974698E-9</v>
      </c>
      <c r="G23531">
        <v>38649319</v>
      </c>
      <c r="H23531">
        <v>10346224</v>
      </c>
      <c r="I23531">
        <v>56868153</v>
      </c>
      <c r="J23531">
        <v>3</v>
      </c>
    </row>
    <row r="23532" spans="1:10" x14ac:dyDescent="0.25">
      <c r="A23532" t="s">
        <v>251</v>
      </c>
      <c r="B23532" s="1" t="str">
        <f>HYPERLINK("http://metlife.pt","metlife.pt")</f>
        <v>metlife.pt</v>
      </c>
      <c r="C23532" t="s">
        <v>488</v>
      </c>
      <c r="D23532" t="s">
        <v>862</v>
      </c>
      <c r="F23532">
        <v>3.6138571977666103E-8</v>
      </c>
      <c r="G23532">
        <v>1442666</v>
      </c>
      <c r="H23532">
        <v>13768583</v>
      </c>
      <c r="I23532">
        <v>6866581</v>
      </c>
      <c r="J23532">
        <v>2</v>
      </c>
    </row>
    <row r="23533" spans="1:10" x14ac:dyDescent="0.25">
      <c r="A23533" t="s">
        <v>251</v>
      </c>
      <c r="B23533" s="1" t="str">
        <f>HYPERLINK("http://metropolitanlife.ro","metropolitanlife.ro")</f>
        <v>metropolitanlife.ro</v>
      </c>
      <c r="C23533" t="s">
        <v>491</v>
      </c>
      <c r="D23533" t="s">
        <v>865</v>
      </c>
      <c r="F23533">
        <v>4.0314971856749403E-8</v>
      </c>
      <c r="G23533">
        <v>1283690</v>
      </c>
      <c r="H23533">
        <v>12677816</v>
      </c>
      <c r="I23533">
        <v>15520073</v>
      </c>
      <c r="J23533">
        <v>2</v>
      </c>
    </row>
    <row r="23534" spans="1:10" x14ac:dyDescent="0.25">
      <c r="A23534" t="s">
        <v>251</v>
      </c>
      <c r="B23534" s="1" t="str">
        <f>HYPERLINK("http://metlife.sk","metlife.sk")</f>
        <v>metlife.sk</v>
      </c>
      <c r="C23534" t="s">
        <v>498</v>
      </c>
      <c r="D23534" t="s">
        <v>872</v>
      </c>
      <c r="F23534">
        <v>4.3100458044096498E-8</v>
      </c>
      <c r="G23534">
        <v>1114670</v>
      </c>
      <c r="H23534">
        <v>12621148</v>
      </c>
      <c r="I23534">
        <v>16081964</v>
      </c>
      <c r="J23534">
        <v>2</v>
      </c>
    </row>
    <row r="23535" spans="1:10" x14ac:dyDescent="0.25">
      <c r="A23535" t="s">
        <v>251</v>
      </c>
      <c r="B23535" s="1" t="str">
        <f>HYPERLINK("http://metlife.com.tr","metlife.com.tr")</f>
        <v>metlife.com.tr</v>
      </c>
      <c r="C23535" t="s">
        <v>502</v>
      </c>
      <c r="D23535" t="s">
        <v>876</v>
      </c>
      <c r="E23535">
        <v>206140</v>
      </c>
      <c r="F23535">
        <v>3.5127666758453102E-8</v>
      </c>
      <c r="G23535">
        <v>1479695</v>
      </c>
      <c r="H23535">
        <v>12949340</v>
      </c>
      <c r="I23535">
        <v>13215551</v>
      </c>
      <c r="J23535">
        <v>2</v>
      </c>
    </row>
    <row r="23536" spans="1:10" x14ac:dyDescent="0.25">
      <c r="A23536" t="s">
        <v>251</v>
      </c>
      <c r="B23536" s="1" t="str">
        <f>HYPERLINK("http://metlife.ua","metlife.ua")</f>
        <v>metlife.ua</v>
      </c>
      <c r="C23536" t="s">
        <v>505</v>
      </c>
      <c r="D23536" t="s">
        <v>879</v>
      </c>
      <c r="F23536">
        <v>4.1794640972353797E-8</v>
      </c>
      <c r="G23536">
        <v>1178595</v>
      </c>
      <c r="H23536">
        <v>13434526</v>
      </c>
      <c r="I23536">
        <v>10273150</v>
      </c>
      <c r="J23536">
        <v>2</v>
      </c>
    </row>
    <row r="23537" spans="1:10" x14ac:dyDescent="0.25">
      <c r="A23537" t="s">
        <v>251</v>
      </c>
      <c r="B23537" s="1" t="str">
        <f>HYPERLINK("http://metlife.co.uk","metlife.co.uk")</f>
        <v>metlife.co.uk</v>
      </c>
      <c r="C23537" t="s">
        <v>506</v>
      </c>
      <c r="D23537" t="s">
        <v>880</v>
      </c>
      <c r="E23537">
        <v>840859</v>
      </c>
      <c r="F23537">
        <v>1.2412561452897799E-7</v>
      </c>
      <c r="G23537">
        <v>317891</v>
      </c>
      <c r="H23537">
        <v>13884854</v>
      </c>
      <c r="I23537">
        <v>5971601</v>
      </c>
      <c r="J23537">
        <v>2</v>
      </c>
    </row>
    <row r="23538" spans="1:10" x14ac:dyDescent="0.25">
      <c r="A23538" t="s">
        <v>251</v>
      </c>
      <c r="B23538" s="1" t="str">
        <f>HYPERLINK("http://metlife.com.uy","metlife.com.uy")</f>
        <v>metlife.com.uy</v>
      </c>
      <c r="C23538" t="s">
        <v>507</v>
      </c>
      <c r="D23538" t="s">
        <v>881</v>
      </c>
      <c r="F23538">
        <v>2.1712316703675001E-8</v>
      </c>
      <c r="G23538">
        <v>2422262</v>
      </c>
      <c r="H23538">
        <v>12346613</v>
      </c>
      <c r="I23538">
        <v>19824255</v>
      </c>
      <c r="J23538">
        <v>2</v>
      </c>
    </row>
    <row r="23539" spans="1:10" x14ac:dyDescent="0.25">
      <c r="A23539" t="s">
        <v>251</v>
      </c>
      <c r="B23539" s="1" t="str">
        <f>HYPERLINK("http://bidvmetlife.vn","bidvmetlife.vn")</f>
        <v>bidvmetlife.vn</v>
      </c>
      <c r="C23539" t="s">
        <v>509</v>
      </c>
      <c r="D23539" t="s">
        <v>883</v>
      </c>
      <c r="F23539">
        <v>5.4637187766967504E-9</v>
      </c>
      <c r="G23539">
        <v>21316343</v>
      </c>
      <c r="H23539">
        <v>10334926</v>
      </c>
      <c r="I23539">
        <v>58309021</v>
      </c>
      <c r="J23539">
        <v>3</v>
      </c>
    </row>
    <row r="23540" spans="1:10" x14ac:dyDescent="0.25">
      <c r="A23540" t="s">
        <v>251</v>
      </c>
      <c r="B23540" s="1" t="str">
        <f>HYPERLINK("http://bidvmetlife.com.vn","bidvmetlife.com.vn")</f>
        <v>bidvmetlife.com.vn</v>
      </c>
      <c r="C23540" t="s">
        <v>509</v>
      </c>
      <c r="D23540" t="s">
        <v>883</v>
      </c>
      <c r="E23540">
        <v>83936</v>
      </c>
      <c r="F23540">
        <v>5.9994978676745101E-8</v>
      </c>
      <c r="G23540">
        <v>735838</v>
      </c>
      <c r="H23540">
        <v>13746818</v>
      </c>
      <c r="I23540">
        <v>9422798</v>
      </c>
      <c r="J23540">
        <v>2</v>
      </c>
    </row>
    <row r="23541" spans="1:10" x14ac:dyDescent="0.25">
      <c r="A23541" t="s">
        <v>252</v>
      </c>
      <c r="B23541" s="1" t="str">
        <f>HYPERLINK("http://remotedesignjobs.co","remotedesignjobs.co")</f>
        <v>remotedesignjobs.co</v>
      </c>
      <c r="C23541" t="s">
        <v>432</v>
      </c>
      <c r="F23541">
        <v>1.1498903677733701E-8</v>
      </c>
      <c r="G23541">
        <v>5506510</v>
      </c>
      <c r="H23541">
        <v>12785213</v>
      </c>
      <c r="I23541">
        <v>14715429</v>
      </c>
      <c r="J23541">
        <v>3</v>
      </c>
    </row>
    <row r="23542" spans="1:10" x14ac:dyDescent="0.25">
      <c r="A23542" t="s">
        <v>252</v>
      </c>
      <c r="B23542" s="1" t="str">
        <f>HYPERLINK("http://abilityjobs.com","abilityjobs.com")</f>
        <v>abilityjobs.com</v>
      </c>
      <c r="C23542" t="s">
        <v>433</v>
      </c>
      <c r="E23542">
        <v>580105</v>
      </c>
      <c r="F23542">
        <v>2.1174683343784999E-7</v>
      </c>
      <c r="G23542">
        <v>178423</v>
      </c>
      <c r="H23542">
        <v>14190460</v>
      </c>
      <c r="I23542">
        <v>1753891</v>
      </c>
      <c r="J23542">
        <v>3</v>
      </c>
    </row>
    <row r="23543" spans="1:10" x14ac:dyDescent="0.25">
      <c r="A23543" t="s">
        <v>252</v>
      </c>
      <c r="B23543" s="1" t="str">
        <f>HYPERLINK("http://beatgames.com","beatgames.com")</f>
        <v>beatgames.com</v>
      </c>
      <c r="C23543" t="s">
        <v>433</v>
      </c>
      <c r="F23543">
        <v>1.10115517155911E-8</v>
      </c>
      <c r="G23543">
        <v>5851275</v>
      </c>
      <c r="H23543">
        <v>13285715</v>
      </c>
      <c r="I23543">
        <v>10892708</v>
      </c>
      <c r="J23543">
        <v>3</v>
      </c>
    </row>
    <row r="23544" spans="1:10" x14ac:dyDescent="0.25">
      <c r="A23544" t="s">
        <v>252</v>
      </c>
      <c r="B23544" s="1" t="str">
        <f>HYPERLINK("http://beatsaber.com","beatsaber.com")</f>
        <v>beatsaber.com</v>
      </c>
      <c r="C23544" t="s">
        <v>433</v>
      </c>
      <c r="E23544">
        <v>231779</v>
      </c>
      <c r="F23544">
        <v>1.3683450647570999E-6</v>
      </c>
      <c r="G23544">
        <v>28457</v>
      </c>
      <c r="H23544">
        <v>14797914</v>
      </c>
      <c r="I23544">
        <v>548863</v>
      </c>
      <c r="J23544">
        <v>6</v>
      </c>
    </row>
    <row r="23545" spans="1:10" x14ac:dyDescent="0.25">
      <c r="A23545" t="s">
        <v>252</v>
      </c>
      <c r="B23545" s="1" t="str">
        <f>HYPERLINK("http://calibra.com","calibra.com")</f>
        <v>calibra.com</v>
      </c>
      <c r="C23545" t="s">
        <v>433</v>
      </c>
      <c r="E23545">
        <v>714809</v>
      </c>
      <c r="F23545">
        <v>3.57188709156293E-7</v>
      </c>
      <c r="G23545">
        <v>104666</v>
      </c>
      <c r="H23545">
        <v>14556905</v>
      </c>
      <c r="I23545">
        <v>750539</v>
      </c>
      <c r="J23545">
        <v>3</v>
      </c>
    </row>
    <row r="23546" spans="1:10" x14ac:dyDescent="0.25">
      <c r="A23546" t="s">
        <v>252</v>
      </c>
      <c r="B23546" s="1" t="str">
        <f>HYPERLINK("http://careerdrill.com","careerdrill.com")</f>
        <v>careerdrill.com</v>
      </c>
      <c r="C23546" t="s">
        <v>433</v>
      </c>
      <c r="F23546">
        <v>6.5336396150743501E-9</v>
      </c>
      <c r="G23546">
        <v>13938963</v>
      </c>
      <c r="H23546">
        <v>13158857</v>
      </c>
      <c r="I23546">
        <v>11791709</v>
      </c>
      <c r="J23546">
        <v>6</v>
      </c>
    </row>
    <row r="23547" spans="1:10" x14ac:dyDescent="0.25">
      <c r="A23547" t="s">
        <v>252</v>
      </c>
      <c r="B23547" s="1" t="str">
        <f>HYPERLINK("http://cbdprosusa.com","cbdprosusa.com")</f>
        <v>cbdprosusa.com</v>
      </c>
      <c r="C23547" t="s">
        <v>433</v>
      </c>
      <c r="F23547">
        <v>5.3391177525356603E-9</v>
      </c>
      <c r="G23547">
        <v>22946059</v>
      </c>
      <c r="H23547">
        <v>11093826</v>
      </c>
      <c r="I23547">
        <v>32344712</v>
      </c>
      <c r="J23547">
        <v>6</v>
      </c>
    </row>
    <row r="23548" spans="1:10" x14ac:dyDescent="0.25">
      <c r="A23548" t="s">
        <v>252</v>
      </c>
      <c r="B23548" s="1" t="str">
        <f>HYPERLINK("http://downpourinteractive.com","downpourinteractive.com")</f>
        <v>downpourinteractive.com</v>
      </c>
      <c r="C23548" t="s">
        <v>433</v>
      </c>
      <c r="F23548">
        <v>7.0873546473581105E-7</v>
      </c>
      <c r="G23548">
        <v>54689</v>
      </c>
      <c r="H23548">
        <v>13656369</v>
      </c>
      <c r="I23548">
        <v>9603204</v>
      </c>
      <c r="J23548">
        <v>3</v>
      </c>
    </row>
    <row r="23549" spans="1:10" x14ac:dyDescent="0.25">
      <c r="A23549" t="s">
        <v>252</v>
      </c>
      <c r="B23549" s="1" t="str">
        <f>HYPERLINK("http://facebook.com","facebook.com")</f>
        <v>facebook.com</v>
      </c>
      <c r="C23549" t="s">
        <v>433</v>
      </c>
      <c r="E23549">
        <v>4</v>
      </c>
      <c r="F23549">
        <v>1.0997228404192601E-2</v>
      </c>
      <c r="G23549">
        <v>3</v>
      </c>
      <c r="H23549">
        <v>29783728</v>
      </c>
      <c r="I23549">
        <v>2</v>
      </c>
      <c r="J23549">
        <v>1</v>
      </c>
    </row>
    <row r="23550" spans="1:10" x14ac:dyDescent="0.25">
      <c r="A23550" t="s">
        <v>252</v>
      </c>
      <c r="B23550" s="1" t="str">
        <f>HYPERLINK("http://fb.com","fb.com")</f>
        <v>fb.com</v>
      </c>
      <c r="C23550" t="s">
        <v>433</v>
      </c>
      <c r="E23550">
        <v>410</v>
      </c>
      <c r="F23550">
        <v>7.0040838839997995E-4</v>
      </c>
      <c r="G23550">
        <v>49</v>
      </c>
      <c r="H23550">
        <v>19687268</v>
      </c>
      <c r="I23550">
        <v>108</v>
      </c>
      <c r="J23550">
        <v>2</v>
      </c>
    </row>
    <row r="23551" spans="1:10" x14ac:dyDescent="0.25">
      <c r="A23551" t="s">
        <v>252</v>
      </c>
      <c r="B23551" s="1" t="str">
        <f>HYPERLINK("http://instagram.com","instagram.com")</f>
        <v>instagram.com</v>
      </c>
      <c r="C23551" t="s">
        <v>433</v>
      </c>
      <c r="E23551">
        <v>10</v>
      </c>
      <c r="F23551">
        <v>5.4843636530953503E-3</v>
      </c>
      <c r="G23551">
        <v>8</v>
      </c>
      <c r="H23551">
        <v>25487994</v>
      </c>
      <c r="I23551">
        <v>6</v>
      </c>
      <c r="J23551">
        <v>3</v>
      </c>
    </row>
    <row r="23552" spans="1:10" x14ac:dyDescent="0.25">
      <c r="A23552" t="s">
        <v>252</v>
      </c>
      <c r="B23552" s="1" t="str">
        <f>HYPERLINK("http://internshipers.com","internshipers.com")</f>
        <v>internshipers.com</v>
      </c>
      <c r="C23552" t="s">
        <v>433</v>
      </c>
      <c r="F23552">
        <v>5.15531009857885E-9</v>
      </c>
      <c r="G23552">
        <v>25982402</v>
      </c>
      <c r="H23552">
        <v>13443680</v>
      </c>
      <c r="I23552">
        <v>10228225</v>
      </c>
      <c r="J23552">
        <v>5</v>
      </c>
    </row>
    <row r="23553" spans="1:10" x14ac:dyDescent="0.25">
      <c r="A23553" t="s">
        <v>252</v>
      </c>
      <c r="B23553" s="1" t="str">
        <f>HYPERLINK("http://internshiphive.com","internshiphive.com")</f>
        <v>internshiphive.com</v>
      </c>
      <c r="C23553" t="s">
        <v>433</v>
      </c>
      <c r="F23553">
        <v>4.4600765783540601E-9</v>
      </c>
      <c r="G23553">
        <v>67732592</v>
      </c>
      <c r="H23553">
        <v>10644591</v>
      </c>
      <c r="I23553">
        <v>43686226</v>
      </c>
      <c r="J23553">
        <v>3</v>
      </c>
    </row>
    <row r="23554" spans="1:10" x14ac:dyDescent="0.25">
      <c r="A23554" t="s">
        <v>252</v>
      </c>
      <c r="B23554" s="1" t="str">
        <f>HYPERLINK("http://jobsrytr.com","jobsrytr.com")</f>
        <v>jobsrytr.com</v>
      </c>
      <c r="C23554" t="s">
        <v>433</v>
      </c>
      <c r="F23554">
        <v>1.9233421603223701E-8</v>
      </c>
      <c r="G23554">
        <v>2793161</v>
      </c>
      <c r="H23554">
        <v>13352492</v>
      </c>
      <c r="I23554">
        <v>10608026</v>
      </c>
      <c r="J23554">
        <v>5</v>
      </c>
    </row>
    <row r="23555" spans="1:10" x14ac:dyDescent="0.25">
      <c r="A23555" t="s">
        <v>252</v>
      </c>
      <c r="B23555" s="1" t="str">
        <f>HYPERLINK("http://mapillary.com","mapillary.com")</f>
        <v>mapillary.com</v>
      </c>
      <c r="C23555" t="s">
        <v>433</v>
      </c>
      <c r="E23555">
        <v>69628</v>
      </c>
      <c r="F23555">
        <v>8.4549180720105304E-7</v>
      </c>
      <c r="G23555">
        <v>47040</v>
      </c>
      <c r="H23555">
        <v>17382512</v>
      </c>
      <c r="I23555">
        <v>20468</v>
      </c>
      <c r="J23555">
        <v>3</v>
      </c>
    </row>
    <row r="23556" spans="1:10" x14ac:dyDescent="0.25">
      <c r="A23556" t="s">
        <v>252</v>
      </c>
      <c r="B23556" s="1" t="str">
        <f>HYPERLINK("http://meta.com","meta.com")</f>
        <v>meta.com</v>
      </c>
      <c r="C23556" t="s">
        <v>433</v>
      </c>
      <c r="E23556">
        <v>4989</v>
      </c>
      <c r="F23556">
        <v>3.8719551049685698E-4</v>
      </c>
      <c r="G23556">
        <v>79</v>
      </c>
      <c r="H23556">
        <v>18450338</v>
      </c>
      <c r="I23556">
        <v>1793</v>
      </c>
      <c r="J23556">
        <v>2</v>
      </c>
    </row>
    <row r="23557" spans="1:10" x14ac:dyDescent="0.25">
      <c r="A23557" t="s">
        <v>252</v>
      </c>
      <c r="B23557" s="1" t="str">
        <f>HYPERLINK("http://novi.com","novi.com")</f>
        <v>novi.com</v>
      </c>
      <c r="C23557" t="s">
        <v>433</v>
      </c>
      <c r="E23557">
        <v>68085</v>
      </c>
      <c r="F23557">
        <v>6.4387834863821699E-6</v>
      </c>
      <c r="G23557">
        <v>5277</v>
      </c>
      <c r="H23557">
        <v>14954328</v>
      </c>
      <c r="I23557">
        <v>439095</v>
      </c>
      <c r="J23557">
        <v>3</v>
      </c>
    </row>
    <row r="23558" spans="1:10" x14ac:dyDescent="0.25">
      <c r="A23558" t="s">
        <v>252</v>
      </c>
      <c r="B23558" s="1" t="str">
        <f>HYPERLINK("http://onavo.com","onavo.com")</f>
        <v>onavo.com</v>
      </c>
      <c r="C23558" t="s">
        <v>433</v>
      </c>
      <c r="E23558">
        <v>187036</v>
      </c>
      <c r="F23558">
        <v>1.9085908075539899E-7</v>
      </c>
      <c r="G23558">
        <v>201910</v>
      </c>
      <c r="H23558">
        <v>15106342</v>
      </c>
      <c r="I23558">
        <v>405625</v>
      </c>
      <c r="J23558">
        <v>3</v>
      </c>
    </row>
    <row r="23559" spans="1:10" x14ac:dyDescent="0.25">
      <c r="A23559" t="s">
        <v>252</v>
      </c>
      <c r="B23559" s="1" t="str">
        <f>HYPERLINK("http://osbadmin.com","osbadmin.com")</f>
        <v>osbadmin.com</v>
      </c>
      <c r="C23559" t="s">
        <v>433</v>
      </c>
      <c r="J23559">
        <v>5</v>
      </c>
    </row>
    <row r="23560" spans="1:10" x14ac:dyDescent="0.25">
      <c r="A23560" t="s">
        <v>252</v>
      </c>
      <c r="B23560" s="1" t="str">
        <f>HYPERLINK("http://parse.com","parse.com")</f>
        <v>parse.com</v>
      </c>
      <c r="C23560" t="s">
        <v>433</v>
      </c>
      <c r="E23560">
        <v>48138</v>
      </c>
      <c r="F23560">
        <v>1.47188019788303E-6</v>
      </c>
      <c r="G23560">
        <v>26644</v>
      </c>
      <c r="H23560">
        <v>17409058</v>
      </c>
      <c r="I23560">
        <v>18583</v>
      </c>
      <c r="J23560">
        <v>3</v>
      </c>
    </row>
    <row r="23561" spans="1:10" x14ac:dyDescent="0.25">
      <c r="A23561" t="s">
        <v>252</v>
      </c>
      <c r="B23561" s="1" t="str">
        <f>HYPERLINK("http://playgiga.com","playgiga.com")</f>
        <v>playgiga.com</v>
      </c>
      <c r="C23561" t="s">
        <v>433</v>
      </c>
      <c r="F23561">
        <v>3.1487286549027898E-8</v>
      </c>
      <c r="G23561">
        <v>1638504</v>
      </c>
      <c r="H23561">
        <v>13927771</v>
      </c>
      <c r="I23561">
        <v>5930465</v>
      </c>
      <c r="J23561">
        <v>3</v>
      </c>
    </row>
    <row r="23562" spans="1:10" x14ac:dyDescent="0.25">
      <c r="A23562" t="s">
        <v>252</v>
      </c>
      <c r="B23562" s="1" t="str">
        <f>HYPERLINK("http://privatecore.com","privatecore.com")</f>
        <v>privatecore.com</v>
      </c>
      <c r="C23562" t="s">
        <v>433</v>
      </c>
      <c r="F23562">
        <v>4.3672710426039001E-8</v>
      </c>
      <c r="G23562">
        <v>1092980</v>
      </c>
      <c r="H23562">
        <v>13594515</v>
      </c>
      <c r="I23562">
        <v>9659576</v>
      </c>
      <c r="J23562">
        <v>3</v>
      </c>
    </row>
    <row r="23563" spans="1:10" x14ac:dyDescent="0.25">
      <c r="A23563" t="s">
        <v>252</v>
      </c>
      <c r="B23563" s="1" t="str">
        <f>HYPERLINK("http://readyatdawn.com","readyatdawn.com")</f>
        <v>readyatdawn.com</v>
      </c>
      <c r="C23563" t="s">
        <v>433</v>
      </c>
      <c r="E23563">
        <v>194583</v>
      </c>
      <c r="F23563">
        <v>9.8426822921547702E-7</v>
      </c>
      <c r="G23563">
        <v>38855</v>
      </c>
      <c r="H23563">
        <v>14954196</v>
      </c>
      <c r="I23563">
        <v>439149</v>
      </c>
      <c r="J23563">
        <v>4</v>
      </c>
    </row>
    <row r="23564" spans="1:10" x14ac:dyDescent="0.25">
      <c r="A23564" t="s">
        <v>252</v>
      </c>
      <c r="B23564" s="1" t="str">
        <f>HYPERLINK("http://sanzaru.com","sanzaru.com")</f>
        <v>sanzaru.com</v>
      </c>
      <c r="C23564" t="s">
        <v>433</v>
      </c>
      <c r="F23564">
        <v>7.1393077706873101E-7</v>
      </c>
      <c r="G23564">
        <v>54357</v>
      </c>
      <c r="H23564">
        <v>14283943</v>
      </c>
      <c r="I23564">
        <v>1374189</v>
      </c>
      <c r="J23564">
        <v>3</v>
      </c>
    </row>
    <row r="23565" spans="1:10" x14ac:dyDescent="0.25">
      <c r="A23565" t="s">
        <v>252</v>
      </c>
      <c r="B23565" s="1" t="str">
        <f>HYPERLINK("http://skylaroseco.com","skylaroseco.com")</f>
        <v>skylaroseco.com</v>
      </c>
      <c r="C23565" t="s">
        <v>433</v>
      </c>
      <c r="F23565">
        <v>1.7537961488616301E-8</v>
      </c>
      <c r="G23565">
        <v>3134813</v>
      </c>
      <c r="H23565">
        <v>13527089</v>
      </c>
      <c r="I23565">
        <v>9929221</v>
      </c>
      <c r="J23565">
        <v>6</v>
      </c>
    </row>
    <row r="23566" spans="1:10" x14ac:dyDescent="0.25">
      <c r="A23566" t="s">
        <v>252</v>
      </c>
      <c r="B23566" s="1" t="str">
        <f>HYPERLINK("http://threeivseven.com","threeivseven.com")</f>
        <v>threeivseven.com</v>
      </c>
      <c r="C23566" t="s">
        <v>433</v>
      </c>
      <c r="F23566">
        <v>4.4978546974984404E-9</v>
      </c>
      <c r="G23566">
        <v>59262281</v>
      </c>
      <c r="H23566">
        <v>10923098</v>
      </c>
      <c r="I23566">
        <v>35211395</v>
      </c>
      <c r="J23566">
        <v>6</v>
      </c>
    </row>
    <row r="23567" spans="1:10" x14ac:dyDescent="0.25">
      <c r="A23567" t="s">
        <v>252</v>
      </c>
      <c r="B23567" s="1" t="str">
        <f>HYPERLINK("http://tt-scientific-corp.com","tt-scientific-corp.com")</f>
        <v>tt-scientific-corp.com</v>
      </c>
      <c r="C23567" t="s">
        <v>433</v>
      </c>
      <c r="F23567">
        <v>4.5116302301920697E-9</v>
      </c>
      <c r="G23567">
        <v>57293071</v>
      </c>
      <c r="H23567">
        <v>12162572</v>
      </c>
      <c r="I23567">
        <v>24292827</v>
      </c>
      <c r="J23567">
        <v>6</v>
      </c>
    </row>
    <row r="23568" spans="1:10" x14ac:dyDescent="0.25">
      <c r="A23568" t="s">
        <v>252</v>
      </c>
      <c r="B23568" s="1" t="str">
        <f>HYPERLINK("http://ttscientific.com","ttscientific.com")</f>
        <v>ttscientific.com</v>
      </c>
      <c r="C23568" t="s">
        <v>433</v>
      </c>
      <c r="F23568">
        <v>7.0243849008317797E-9</v>
      </c>
      <c r="G23568">
        <v>12240852</v>
      </c>
      <c r="H23568">
        <v>12922056</v>
      </c>
      <c r="I23568">
        <v>13417239</v>
      </c>
      <c r="J23568">
        <v>6</v>
      </c>
    </row>
    <row r="23569" spans="1:10" x14ac:dyDescent="0.25">
      <c r="A23569" t="s">
        <v>252</v>
      </c>
      <c r="B23569" s="1" t="str">
        <f>HYPERLINK("http://wearebettertogetherbrands.com","wearebettertogetherbrands.com")</f>
        <v>wearebettertogetherbrands.com</v>
      </c>
      <c r="C23569" t="s">
        <v>433</v>
      </c>
      <c r="F23569">
        <v>4.4985474858790004E-9</v>
      </c>
      <c r="G23569">
        <v>59155763</v>
      </c>
      <c r="H23569">
        <v>10202675</v>
      </c>
      <c r="I23569">
        <v>59014773</v>
      </c>
      <c r="J23569">
        <v>6</v>
      </c>
    </row>
    <row r="23570" spans="1:10" x14ac:dyDescent="0.25">
      <c r="A23570" t="s">
        <v>252</v>
      </c>
      <c r="B23570" s="1" t="str">
        <f>HYPERLINK("http://whatsapp.com","whatsapp.com")</f>
        <v>whatsapp.com</v>
      </c>
      <c r="C23570" t="s">
        <v>433</v>
      </c>
      <c r="E23570">
        <v>38</v>
      </c>
      <c r="F23570">
        <v>1.2966780971651101E-3</v>
      </c>
      <c r="G23570">
        <v>30</v>
      </c>
      <c r="H23570">
        <v>20328172</v>
      </c>
      <c r="I23570">
        <v>42</v>
      </c>
      <c r="J23570">
        <v>3</v>
      </c>
    </row>
    <row r="23571" spans="1:10" x14ac:dyDescent="0.25">
      <c r="A23571" t="s">
        <v>252</v>
      </c>
      <c r="B23571" s="1" t="str">
        <f>HYPERLINK("http://wojobz.com","wojobz.com")</f>
        <v>wojobz.com</v>
      </c>
      <c r="C23571" t="s">
        <v>433</v>
      </c>
      <c r="F23571">
        <v>1.04904129927493E-8</v>
      </c>
      <c r="G23571">
        <v>6277997</v>
      </c>
      <c r="H23571">
        <v>12442503</v>
      </c>
      <c r="I23571">
        <v>18116629</v>
      </c>
      <c r="J23571">
        <v>5</v>
      </c>
    </row>
    <row r="23572" spans="1:10" x14ac:dyDescent="0.25">
      <c r="A23572" t="s">
        <v>252</v>
      </c>
      <c r="B23572" s="1" t="str">
        <f>HYPERLINK("http://workplace.com","workplace.com")</f>
        <v>workplace.com</v>
      </c>
      <c r="C23572" t="s">
        <v>433</v>
      </c>
      <c r="E23572">
        <v>4561</v>
      </c>
      <c r="F23572">
        <v>3.4095638002271599E-4</v>
      </c>
      <c r="G23572">
        <v>94</v>
      </c>
      <c r="H23572">
        <v>18418122</v>
      </c>
      <c r="I23572">
        <v>1908</v>
      </c>
      <c r="J23572">
        <v>3</v>
      </c>
    </row>
    <row r="23573" spans="1:10" x14ac:dyDescent="0.25">
      <c r="A23573" t="s">
        <v>252</v>
      </c>
      <c r="B23573" s="1" t="str">
        <f>HYPERLINK("http://horizonworlds.fi","horizonworlds.fi")</f>
        <v>horizonworlds.fi</v>
      </c>
      <c r="C23573" t="s">
        <v>445</v>
      </c>
      <c r="D23573" t="s">
        <v>823</v>
      </c>
      <c r="J23573">
        <v>4</v>
      </c>
    </row>
    <row r="23574" spans="1:10" x14ac:dyDescent="0.25">
      <c r="A23574" t="s">
        <v>252</v>
      </c>
      <c r="B23574" s="1" t="str">
        <f>HYPERLINK("http://msngr.fi","msngr.fi")</f>
        <v>msngr.fi</v>
      </c>
      <c r="C23574" t="s">
        <v>445</v>
      </c>
      <c r="D23574" t="s">
        <v>823</v>
      </c>
      <c r="J23574">
        <v>4</v>
      </c>
    </row>
    <row r="23575" spans="1:10" x14ac:dyDescent="0.25">
      <c r="A23575" t="s">
        <v>252</v>
      </c>
      <c r="B23575" s="1" t="str">
        <f>HYPERLINK("http://x-wi.fi","x-wi.fi")</f>
        <v>x-wi.fi</v>
      </c>
      <c r="C23575" t="s">
        <v>445</v>
      </c>
      <c r="D23575" t="s">
        <v>823</v>
      </c>
      <c r="J23575">
        <v>4</v>
      </c>
    </row>
    <row r="23576" spans="1:10" x14ac:dyDescent="0.25">
      <c r="A23576" t="s">
        <v>252</v>
      </c>
      <c r="B23576" s="1" t="str">
        <f>HYPERLINK("http://scape.io","scape.io")</f>
        <v>scape.io</v>
      </c>
      <c r="C23576" t="s">
        <v>518</v>
      </c>
      <c r="F23576">
        <v>3.27840706348432E-8</v>
      </c>
      <c r="G23576">
        <v>1575820</v>
      </c>
      <c r="H23576">
        <v>14505595</v>
      </c>
      <c r="I23576">
        <v>835897</v>
      </c>
      <c r="J23576">
        <v>6</v>
      </c>
    </row>
    <row r="23577" spans="1:10" x14ac:dyDescent="0.25">
      <c r="A23577" t="s">
        <v>252</v>
      </c>
      <c r="B23577" s="1" t="str">
        <f>HYPERLINK("http://fb.me","fb.me")</f>
        <v>fb.me</v>
      </c>
      <c r="C23577" t="s">
        <v>470</v>
      </c>
      <c r="D23577" t="s">
        <v>846</v>
      </c>
      <c r="E23577">
        <v>662</v>
      </c>
      <c r="F23577">
        <v>3.9665770974804502E-4</v>
      </c>
      <c r="G23577">
        <v>76</v>
      </c>
      <c r="H23577">
        <v>19193934</v>
      </c>
      <c r="I23577">
        <v>376</v>
      </c>
      <c r="J23577">
        <v>3</v>
      </c>
    </row>
    <row r="23578" spans="1:10" x14ac:dyDescent="0.25">
      <c r="A23578" t="s">
        <v>252</v>
      </c>
      <c r="B23578" s="1" t="str">
        <f>HYPERLINK("http://facebook.net","facebook.net")</f>
        <v>facebook.net</v>
      </c>
      <c r="C23578" t="s">
        <v>474</v>
      </c>
      <c r="E23578">
        <v>414</v>
      </c>
      <c r="F23578">
        <v>3.6736118761149299E-4</v>
      </c>
      <c r="G23578">
        <v>90</v>
      </c>
      <c r="H23578">
        <v>19108200</v>
      </c>
      <c r="I23578">
        <v>448</v>
      </c>
      <c r="J23578">
        <v>2</v>
      </c>
    </row>
    <row r="23579" spans="1:10" x14ac:dyDescent="0.25">
      <c r="A23579" t="s">
        <v>252</v>
      </c>
      <c r="B23579" s="1" t="str">
        <f>HYPERLINK("http://whatsapp.net","whatsapp.net")</f>
        <v>whatsapp.net</v>
      </c>
      <c r="C23579" t="s">
        <v>474</v>
      </c>
      <c r="E23579">
        <v>213</v>
      </c>
      <c r="F23579">
        <v>6.5244099255828604E-6</v>
      </c>
      <c r="G23579">
        <v>5211</v>
      </c>
      <c r="H23579">
        <v>14816759</v>
      </c>
      <c r="I23579">
        <v>522527</v>
      </c>
      <c r="J23579">
        <v>4</v>
      </c>
    </row>
    <row r="23580" spans="1:10" x14ac:dyDescent="0.25">
      <c r="A23580" t="s">
        <v>252</v>
      </c>
      <c r="B23580" s="1" t="str">
        <f>HYPERLINK("http://amchamchina.org","amchamchina.org")</f>
        <v>amchamchina.org</v>
      </c>
      <c r="C23580" t="s">
        <v>481</v>
      </c>
      <c r="E23580">
        <v>439426</v>
      </c>
      <c r="F23580">
        <v>2.99396481266164E-7</v>
      </c>
      <c r="G23580">
        <v>124227</v>
      </c>
      <c r="H23580">
        <v>15054934</v>
      </c>
      <c r="I23580">
        <v>413708</v>
      </c>
      <c r="J23580">
        <v>5</v>
      </c>
    </row>
    <row r="23581" spans="1:10" x14ac:dyDescent="0.25">
      <c r="A23581" t="s">
        <v>252</v>
      </c>
      <c r="B23581" s="1" t="str">
        <f>HYPERLINK("http://meta.org","meta.org")</f>
        <v>meta.org</v>
      </c>
      <c r="C23581" t="s">
        <v>481</v>
      </c>
      <c r="E23581">
        <v>894264</v>
      </c>
      <c r="F23581">
        <v>1.4080084457310801E-7</v>
      </c>
      <c r="G23581">
        <v>276610</v>
      </c>
      <c r="H23581">
        <v>14620575</v>
      </c>
      <c r="I23581">
        <v>658451</v>
      </c>
      <c r="J23581">
        <v>4</v>
      </c>
    </row>
    <row r="23582" spans="1:10" x14ac:dyDescent="0.25">
      <c r="A23582" t="s">
        <v>252</v>
      </c>
      <c r="B23582" s="1" t="str">
        <f>HYPERLINK("http://metinalista.si","metinalista.si")</f>
        <v>metinalista.si</v>
      </c>
      <c r="C23582" t="s">
        <v>497</v>
      </c>
      <c r="D23582" t="s">
        <v>871</v>
      </c>
      <c r="F23582">
        <v>4.2449720734738901E-8</v>
      </c>
      <c r="G23582">
        <v>1142513</v>
      </c>
      <c r="H23582">
        <v>14525505</v>
      </c>
      <c r="I23582">
        <v>795658</v>
      </c>
      <c r="J23582">
        <v>3</v>
      </c>
    </row>
    <row r="23583" spans="1:10" x14ac:dyDescent="0.25">
      <c r="A23583" t="s">
        <v>252</v>
      </c>
      <c r="B23583" s="1" t="str">
        <f>HYPERLINK("http://uanews.org.ua","uanews.org.ua")</f>
        <v>uanews.org.ua</v>
      </c>
      <c r="C23583" t="s">
        <v>505</v>
      </c>
      <c r="D23583" t="s">
        <v>879</v>
      </c>
      <c r="E23583">
        <v>515948</v>
      </c>
      <c r="F23583">
        <v>1.71913611582937E-8</v>
      </c>
      <c r="G23583">
        <v>3227793</v>
      </c>
      <c r="H23583">
        <v>13796272</v>
      </c>
      <c r="I23583">
        <v>6304592</v>
      </c>
      <c r="J23583">
        <v>3</v>
      </c>
    </row>
    <row r="23584" spans="1:10" x14ac:dyDescent="0.25">
      <c r="A23584" t="s">
        <v>253</v>
      </c>
      <c r="B23584" s="1" t="str">
        <f>HYPERLINK("http://actel.com","actel.com")</f>
        <v>actel.com</v>
      </c>
      <c r="C23584" t="s">
        <v>433</v>
      </c>
      <c r="E23584">
        <v>286477</v>
      </c>
      <c r="F23584">
        <v>1.15348536623269E-7</v>
      </c>
      <c r="G23584">
        <v>344996</v>
      </c>
      <c r="H23584">
        <v>14711529</v>
      </c>
      <c r="I23584">
        <v>582975</v>
      </c>
      <c r="J23584">
        <v>6</v>
      </c>
    </row>
    <row r="23585" spans="1:10" x14ac:dyDescent="0.25">
      <c r="A23585" t="s">
        <v>253</v>
      </c>
      <c r="B23585" s="1" t="str">
        <f>HYPERLINK("http://actelme.com","actelme.com")</f>
        <v>actelme.com</v>
      </c>
      <c r="C23585" t="s">
        <v>433</v>
      </c>
      <c r="F23585">
        <v>4.5647175318440001E-9</v>
      </c>
      <c r="G23585">
        <v>50708806</v>
      </c>
      <c r="H23585">
        <v>12267577</v>
      </c>
      <c r="I23585">
        <v>21583469</v>
      </c>
      <c r="J23585">
        <v>9</v>
      </c>
    </row>
    <row r="23586" spans="1:10" x14ac:dyDescent="0.25">
      <c r="A23586" t="s">
        <v>253</v>
      </c>
      <c r="B23586" s="1" t="str">
        <f>HYPERLINK("http://atmel.com","atmel.com")</f>
        <v>atmel.com</v>
      </c>
      <c r="C23586" t="s">
        <v>433</v>
      </c>
      <c r="E23586">
        <v>20433</v>
      </c>
      <c r="F23586">
        <v>2.2145030980213098E-6</v>
      </c>
      <c r="G23586">
        <v>16582</v>
      </c>
      <c r="H23586">
        <v>17717312</v>
      </c>
      <c r="I23586">
        <v>6971</v>
      </c>
      <c r="J23586">
        <v>6</v>
      </c>
    </row>
    <row r="23587" spans="1:10" x14ac:dyDescent="0.25">
      <c r="A23587" t="s">
        <v>253</v>
      </c>
      <c r="B23587" s="1" t="str">
        <f>HYPERLINK("http://gabotronics.com","gabotronics.com")</f>
        <v>gabotronics.com</v>
      </c>
      <c r="C23587" t="s">
        <v>433</v>
      </c>
      <c r="F23587">
        <v>2.6244098959240498E-8</v>
      </c>
      <c r="G23587">
        <v>1962270</v>
      </c>
      <c r="H23587">
        <v>14500437</v>
      </c>
      <c r="I23587">
        <v>853342</v>
      </c>
      <c r="J23587">
        <v>5</v>
      </c>
    </row>
    <row r="23588" spans="1:10" x14ac:dyDescent="0.25">
      <c r="A23588" t="s">
        <v>253</v>
      </c>
      <c r="B23588" s="1" t="str">
        <f>HYPERLINK("http://ident-technology.com","ident-technology.com")</f>
        <v>ident-technology.com</v>
      </c>
      <c r="C23588" t="s">
        <v>433</v>
      </c>
      <c r="F23588">
        <v>9.0947283427913095E-9</v>
      </c>
      <c r="G23588">
        <v>7854108</v>
      </c>
      <c r="H23588">
        <v>14272087</v>
      </c>
      <c r="I23588">
        <v>1395779</v>
      </c>
      <c r="J23588">
        <v>4</v>
      </c>
    </row>
    <row r="23589" spans="1:10" x14ac:dyDescent="0.25">
      <c r="A23589" t="s">
        <v>253</v>
      </c>
      <c r="B23589" s="1" t="str">
        <f>HYPERLINK("http://microchip.com","microchip.com")</f>
        <v>microchip.com</v>
      </c>
      <c r="C23589" t="s">
        <v>433</v>
      </c>
      <c r="E23589">
        <v>7274</v>
      </c>
      <c r="F23589">
        <v>3.0138157002250101E-6</v>
      </c>
      <c r="G23589">
        <v>12946</v>
      </c>
      <c r="H23589">
        <v>17613230</v>
      </c>
      <c r="I23589">
        <v>9294</v>
      </c>
      <c r="J23589">
        <v>1</v>
      </c>
    </row>
    <row r="23590" spans="1:10" x14ac:dyDescent="0.25">
      <c r="A23590" t="s">
        <v>253</v>
      </c>
      <c r="B23590" s="1" t="str">
        <f>HYPERLINK("http://microchipdirect.com","microchipdirect.com")</f>
        <v>microchipdirect.com</v>
      </c>
      <c r="C23590" t="s">
        <v>433</v>
      </c>
      <c r="E23590">
        <v>197147</v>
      </c>
      <c r="F23590">
        <v>1.9327609493531301E-7</v>
      </c>
      <c r="G23590">
        <v>199437</v>
      </c>
      <c r="H23590">
        <v>14941947</v>
      </c>
      <c r="I23590">
        <v>443284</v>
      </c>
      <c r="J23590">
        <v>3</v>
      </c>
    </row>
    <row r="23591" spans="1:10" x14ac:dyDescent="0.25">
      <c r="A23591" t="s">
        <v>253</v>
      </c>
      <c r="B23591" s="1" t="str">
        <f>HYPERLINK("http://microsemi.com","microsemi.com")</f>
        <v>microsemi.com</v>
      </c>
      <c r="C23591" t="s">
        <v>433</v>
      </c>
      <c r="E23591">
        <v>55435</v>
      </c>
      <c r="F23591">
        <v>8.8023565573472402E-7</v>
      </c>
      <c r="G23591">
        <v>45606</v>
      </c>
      <c r="H23591">
        <v>17411924</v>
      </c>
      <c r="I23591">
        <v>18379</v>
      </c>
      <c r="J23591">
        <v>3</v>
      </c>
    </row>
    <row r="23592" spans="1:10" x14ac:dyDescent="0.25">
      <c r="A23592" t="s">
        <v>253</v>
      </c>
      <c r="B23592" s="1" t="str">
        <f>HYPERLINK("http://mmt-technology.com","mmt-technology.com")</f>
        <v>mmt-technology.com</v>
      </c>
      <c r="C23592" t="s">
        <v>433</v>
      </c>
      <c r="F23592">
        <v>4.4438176373351598E-9</v>
      </c>
      <c r="G23592">
        <v>79272877</v>
      </c>
      <c r="H23592">
        <v>10349427</v>
      </c>
      <c r="I23592">
        <v>56433662</v>
      </c>
      <c r="J23592">
        <v>3</v>
      </c>
    </row>
    <row r="23593" spans="1:10" x14ac:dyDescent="0.25">
      <c r="A23593" t="s">
        <v>253</v>
      </c>
      <c r="B23593" s="1" t="str">
        <f>HYPERLINK("http://sst.com","sst.com")</f>
        <v>sst.com</v>
      </c>
      <c r="C23593" t="s">
        <v>433</v>
      </c>
      <c r="E23593">
        <v>353997</v>
      </c>
      <c r="F23593">
        <v>4.72731585370433E-8</v>
      </c>
      <c r="G23593">
        <v>986050</v>
      </c>
      <c r="H23593">
        <v>14518662</v>
      </c>
      <c r="I23593">
        <v>807845</v>
      </c>
      <c r="J23593">
        <v>5</v>
      </c>
    </row>
    <row r="23594" spans="1:10" x14ac:dyDescent="0.25">
      <c r="A23594" t="s">
        <v>253</v>
      </c>
      <c r="B23594" s="1" t="str">
        <f>HYPERLINK("http://zarlink.com","zarlink.com")</f>
        <v>zarlink.com</v>
      </c>
      <c r="C23594" t="s">
        <v>433</v>
      </c>
      <c r="F23594">
        <v>2.70295685262158E-8</v>
      </c>
      <c r="G23594">
        <v>1902813</v>
      </c>
      <c r="H23594">
        <v>14513465</v>
      </c>
      <c r="I23594">
        <v>817162</v>
      </c>
      <c r="J23594">
        <v>6</v>
      </c>
    </row>
    <row r="23595" spans="1:10" x14ac:dyDescent="0.25">
      <c r="A23595" t="s">
        <v>254</v>
      </c>
      <c r="B23595" s="1" t="str">
        <f>HYPERLINK("http://displaytech-us.com","displaytech-us.com")</f>
        <v>displaytech-us.com</v>
      </c>
      <c r="C23595" t="s">
        <v>433</v>
      </c>
      <c r="F23595">
        <v>2.0359369549094298E-8</v>
      </c>
      <c r="G23595">
        <v>2605488</v>
      </c>
      <c r="H23595">
        <v>14080034</v>
      </c>
      <c r="I23595">
        <v>2824686</v>
      </c>
      <c r="J23595">
        <v>3</v>
      </c>
    </row>
    <row r="23596" spans="1:10" x14ac:dyDescent="0.25">
      <c r="A23596" t="s">
        <v>254</v>
      </c>
      <c r="B23596" s="1" t="str">
        <f>HYPERLINK("http://elpida.com","elpida.com")</f>
        <v>elpida.com</v>
      </c>
      <c r="C23596" t="s">
        <v>433</v>
      </c>
      <c r="E23596">
        <v>823516</v>
      </c>
      <c r="F23596">
        <v>6.3491975881846702E-8</v>
      </c>
      <c r="G23596">
        <v>684301</v>
      </c>
      <c r="H23596">
        <v>14541203</v>
      </c>
      <c r="I23596">
        <v>774617</v>
      </c>
      <c r="J23596">
        <v>3</v>
      </c>
    </row>
    <row r="23597" spans="1:10" x14ac:dyDescent="0.25">
      <c r="A23597" t="s">
        <v>254</v>
      </c>
      <c r="B23597" s="1" t="str">
        <f>HYPERLINK("http://micron.com","micron.com")</f>
        <v>micron.com</v>
      </c>
      <c r="C23597" t="s">
        <v>433</v>
      </c>
      <c r="E23597">
        <v>12140</v>
      </c>
      <c r="F23597">
        <v>2.2160438049752201E-6</v>
      </c>
      <c r="G23597">
        <v>16572</v>
      </c>
      <c r="H23597">
        <v>16182665</v>
      </c>
      <c r="I23597">
        <v>365616</v>
      </c>
      <c r="J23597">
        <v>1</v>
      </c>
    </row>
    <row r="23598" spans="1:10" x14ac:dyDescent="0.25">
      <c r="A23598" t="s">
        <v>254</v>
      </c>
      <c r="B23598" s="1" t="str">
        <f>HYPERLINK("http://micronbrands.com","micronbrands.com")</f>
        <v>micronbrands.com</v>
      </c>
      <c r="C23598" t="s">
        <v>433</v>
      </c>
      <c r="F23598">
        <v>1.28547726140252E-8</v>
      </c>
      <c r="G23598">
        <v>4701925</v>
      </c>
      <c r="H23598">
        <v>12199002</v>
      </c>
      <c r="I23598">
        <v>23341522</v>
      </c>
      <c r="J23598">
        <v>2</v>
      </c>
    </row>
    <row r="23599" spans="1:10" x14ac:dyDescent="0.25">
      <c r="A23599" t="s">
        <v>254</v>
      </c>
      <c r="B23599" s="1" t="str">
        <f>HYPERLINK("http://numonyx.com","numonyx.com")</f>
        <v>numonyx.com</v>
      </c>
      <c r="C23599" t="s">
        <v>433</v>
      </c>
      <c r="F23599">
        <v>4.3342092751090301E-8</v>
      </c>
      <c r="G23599">
        <v>1105298</v>
      </c>
      <c r="H23599">
        <v>14507076</v>
      </c>
      <c r="I23599">
        <v>831684</v>
      </c>
      <c r="J23599">
        <v>6</v>
      </c>
    </row>
    <row r="23600" spans="1:10" x14ac:dyDescent="0.25">
      <c r="A23600" t="s">
        <v>254</v>
      </c>
      <c r="B23600" s="1" t="str">
        <f>HYPERLINK("http://tidalsys.com","tidalsys.com")</f>
        <v>tidalsys.com</v>
      </c>
      <c r="C23600" t="s">
        <v>433</v>
      </c>
      <c r="F23600">
        <v>5.2542183023333902E-8</v>
      </c>
      <c r="G23600">
        <v>867814</v>
      </c>
      <c r="H23600">
        <v>12949199</v>
      </c>
      <c r="I23600">
        <v>13216236</v>
      </c>
      <c r="J23600">
        <v>4</v>
      </c>
    </row>
    <row r="23601" spans="1:10" x14ac:dyDescent="0.25">
      <c r="A23601" t="s">
        <v>254</v>
      </c>
      <c r="B23601" s="1" t="str">
        <f>HYPERLINK("http://virtensys.com","virtensys.com")</f>
        <v>virtensys.com</v>
      </c>
      <c r="C23601" t="s">
        <v>433</v>
      </c>
      <c r="F23601">
        <v>8.8877471471634103E-9</v>
      </c>
      <c r="G23601">
        <v>8164202</v>
      </c>
      <c r="H23601">
        <v>13042588</v>
      </c>
      <c r="I23601">
        <v>12616349</v>
      </c>
      <c r="J23601">
        <v>4</v>
      </c>
    </row>
    <row r="23602" spans="1:10" x14ac:dyDescent="0.25">
      <c r="A23602" t="s">
        <v>254</v>
      </c>
      <c r="B23602" s="1" t="str">
        <f>HYPERLINK("http://intelligenceaccelerated.fi","intelligenceaccelerated.fi")</f>
        <v>intelligenceaccelerated.fi</v>
      </c>
      <c r="C23602" t="s">
        <v>445</v>
      </c>
      <c r="D23602" t="s">
        <v>823</v>
      </c>
      <c r="J23602">
        <v>2</v>
      </c>
    </row>
    <row r="23603" spans="1:10" x14ac:dyDescent="0.25">
      <c r="A23603" t="s">
        <v>255</v>
      </c>
      <c r="B23603" s="1" t="str">
        <f>HYPERLINK("http://microsoft.com.ar","microsoft.com.ar")</f>
        <v>microsoft.com.ar</v>
      </c>
      <c r="C23603" t="s">
        <v>418</v>
      </c>
      <c r="D23603" t="s">
        <v>800</v>
      </c>
      <c r="F23603">
        <v>1.8696587271413999E-8</v>
      </c>
      <c r="G23603">
        <v>2889950</v>
      </c>
      <c r="H23603">
        <v>14311813</v>
      </c>
      <c r="I23603">
        <v>1340159</v>
      </c>
      <c r="J23603">
        <v>2</v>
      </c>
    </row>
    <row r="23604" spans="1:10" x14ac:dyDescent="0.25">
      <c r="A23604" t="s">
        <v>255</v>
      </c>
      <c r="B23604" s="1" t="str">
        <f>HYPERLINK("http://microsoft.com.au","microsoft.com.au")</f>
        <v>microsoft.com.au</v>
      </c>
      <c r="C23604" t="s">
        <v>420</v>
      </c>
      <c r="D23604" t="s">
        <v>802</v>
      </c>
      <c r="F23604">
        <v>5.4972806583098701E-8</v>
      </c>
      <c r="G23604">
        <v>818151</v>
      </c>
      <c r="H23604">
        <v>14760402</v>
      </c>
      <c r="I23604">
        <v>560516</v>
      </c>
      <c r="J23604">
        <v>2</v>
      </c>
    </row>
    <row r="23605" spans="1:10" x14ac:dyDescent="0.25">
      <c r="A23605" t="s">
        <v>255</v>
      </c>
      <c r="B23605" s="1" t="str">
        <f>HYPERLINK("http://microsoft.be","microsoft.be")</f>
        <v>microsoft.be</v>
      </c>
      <c r="C23605" t="s">
        <v>421</v>
      </c>
      <c r="D23605" t="s">
        <v>803</v>
      </c>
      <c r="F23605">
        <v>4.3826662590387302E-8</v>
      </c>
      <c r="G23605">
        <v>1087536</v>
      </c>
      <c r="H23605">
        <v>14252774</v>
      </c>
      <c r="I23605">
        <v>1440579</v>
      </c>
      <c r="J23605">
        <v>2</v>
      </c>
    </row>
    <row r="23606" spans="1:10" x14ac:dyDescent="0.25">
      <c r="A23606" t="s">
        <v>255</v>
      </c>
      <c r="B23606" s="1" t="str">
        <f>HYPERLINK("http://nuance.be","nuance.be")</f>
        <v>nuance.be</v>
      </c>
      <c r="C23606" t="s">
        <v>421</v>
      </c>
      <c r="D23606" t="s">
        <v>803</v>
      </c>
      <c r="F23606">
        <v>9.5664145511588801E-9</v>
      </c>
      <c r="G23606">
        <v>7243407</v>
      </c>
      <c r="H23606">
        <v>12595739</v>
      </c>
      <c r="I23606">
        <v>16365124</v>
      </c>
      <c r="J23606">
        <v>4</v>
      </c>
    </row>
    <row r="23607" spans="1:10" x14ac:dyDescent="0.25">
      <c r="A23607" t="s">
        <v>255</v>
      </c>
      <c r="B23607" s="1" t="str">
        <f>HYPERLINK("http://digitawise.bg","digitawise.bg")</f>
        <v>digitawise.bg</v>
      </c>
      <c r="C23607" t="s">
        <v>422</v>
      </c>
      <c r="D23607" t="s">
        <v>804</v>
      </c>
      <c r="F23607">
        <v>5.6087892593896098E-9</v>
      </c>
      <c r="G23607">
        <v>19773522</v>
      </c>
      <c r="H23607">
        <v>9491560</v>
      </c>
      <c r="I23607">
        <v>65845387</v>
      </c>
      <c r="J23607">
        <v>6</v>
      </c>
    </row>
    <row r="23608" spans="1:10" x14ac:dyDescent="0.25">
      <c r="A23608" t="s">
        <v>255</v>
      </c>
      <c r="B23608" s="1" t="str">
        <f>HYPERLINK("http://github.blog","github.blog")</f>
        <v>github.blog</v>
      </c>
      <c r="C23608" t="s">
        <v>581</v>
      </c>
      <c r="E23608">
        <v>8868</v>
      </c>
      <c r="F23608">
        <v>1.2344013620537601E-5</v>
      </c>
      <c r="G23608">
        <v>2803</v>
      </c>
      <c r="H23608">
        <v>18355512</v>
      </c>
      <c r="I23608">
        <v>2140</v>
      </c>
      <c r="J23608">
        <v>4</v>
      </c>
    </row>
    <row r="23609" spans="1:10" x14ac:dyDescent="0.25">
      <c r="A23609" t="s">
        <v>255</v>
      </c>
      <c r="B23609" s="1" t="str">
        <f>HYPERLINK("http://microsoft.com.br","microsoft.com.br")</f>
        <v>microsoft.com.br</v>
      </c>
      <c r="C23609" t="s">
        <v>425</v>
      </c>
      <c r="D23609" t="s">
        <v>806</v>
      </c>
      <c r="F23609">
        <v>9.6128009197728094E-8</v>
      </c>
      <c r="G23609">
        <v>420916</v>
      </c>
      <c r="H23609">
        <v>14251635</v>
      </c>
      <c r="I23609">
        <v>1443523</v>
      </c>
      <c r="J23609">
        <v>2</v>
      </c>
    </row>
    <row r="23610" spans="1:10" x14ac:dyDescent="0.25">
      <c r="A23610" t="s">
        <v>255</v>
      </c>
      <c r="B23610" s="1" t="str">
        <f>HYPERLINK("http://microsoft.ca","microsoft.ca")</f>
        <v>microsoft.ca</v>
      </c>
      <c r="C23610" t="s">
        <v>428</v>
      </c>
      <c r="D23610" t="s">
        <v>809</v>
      </c>
      <c r="F23610">
        <v>7.6950497485662699E-8</v>
      </c>
      <c r="G23610">
        <v>544434</v>
      </c>
      <c r="H23610">
        <v>14436994</v>
      </c>
      <c r="I23610">
        <v>1067583</v>
      </c>
      <c r="J23610">
        <v>2</v>
      </c>
    </row>
    <row r="23611" spans="1:10" x14ac:dyDescent="0.25">
      <c r="A23611" t="s">
        <v>255</v>
      </c>
      <c r="B23611" s="1" t="str">
        <f>HYPERLINK("http://microsoft.ch","microsoft.ch")</f>
        <v>microsoft.ch</v>
      </c>
      <c r="C23611" t="s">
        <v>429</v>
      </c>
      <c r="D23611" t="s">
        <v>810</v>
      </c>
      <c r="F23611">
        <v>5.8951759642727902E-8</v>
      </c>
      <c r="G23611">
        <v>752334</v>
      </c>
      <c r="H23611">
        <v>13919262</v>
      </c>
      <c r="I23611">
        <v>5935633</v>
      </c>
      <c r="J23611">
        <v>2</v>
      </c>
    </row>
    <row r="23612" spans="1:10" x14ac:dyDescent="0.25">
      <c r="A23612" t="s">
        <v>255</v>
      </c>
      <c r="B23612" s="1" t="str">
        <f>HYPERLINK("http://plotly.cloud","plotly.cloud")</f>
        <v>plotly.cloud</v>
      </c>
      <c r="C23612" t="s">
        <v>516</v>
      </c>
      <c r="F23612">
        <v>1.05306700118807E-8</v>
      </c>
      <c r="G23612">
        <v>6243261</v>
      </c>
      <c r="H23612">
        <v>11939125</v>
      </c>
      <c r="I23612">
        <v>29215411</v>
      </c>
      <c r="J23612">
        <v>7</v>
      </c>
    </row>
    <row r="23613" spans="1:10" x14ac:dyDescent="0.25">
      <c r="A23613" t="s">
        <v>255</v>
      </c>
      <c r="B23613" s="1" t="str">
        <f>HYPERLINK("http://microsoft.cm","microsoft.cm")</f>
        <v>microsoft.cm</v>
      </c>
      <c r="C23613" t="s">
        <v>541</v>
      </c>
      <c r="D23613" t="s">
        <v>900</v>
      </c>
      <c r="F23613">
        <v>1.8884661095716299E-8</v>
      </c>
      <c r="G23613">
        <v>2856199</v>
      </c>
      <c r="H23613">
        <v>13806828</v>
      </c>
      <c r="I23613">
        <v>6229374</v>
      </c>
      <c r="J23613">
        <v>2</v>
      </c>
    </row>
    <row r="23614" spans="1:10" x14ac:dyDescent="0.25">
      <c r="A23614" t="s">
        <v>255</v>
      </c>
      <c r="B23614" s="1" t="str">
        <f>HYPERLINK("http://microsoft.com.cn","microsoft.com.cn")</f>
        <v>microsoft.com.cn</v>
      </c>
      <c r="C23614" t="s">
        <v>431</v>
      </c>
      <c r="D23614" t="s">
        <v>812</v>
      </c>
      <c r="F23614">
        <v>4.5137959609026999E-8</v>
      </c>
      <c r="G23614">
        <v>1045389</v>
      </c>
      <c r="H23614">
        <v>13832886</v>
      </c>
      <c r="I23614">
        <v>6100541</v>
      </c>
      <c r="J23614">
        <v>2</v>
      </c>
    </row>
    <row r="23615" spans="1:10" x14ac:dyDescent="0.25">
      <c r="A23615" t="s">
        <v>255</v>
      </c>
      <c r="B23615" s="1" t="str">
        <f>HYPERLINK("http://msra.cn","msra.cn")</f>
        <v>msra.cn</v>
      </c>
      <c r="C23615" t="s">
        <v>431</v>
      </c>
      <c r="D23615" t="s">
        <v>812</v>
      </c>
      <c r="E23615">
        <v>279109</v>
      </c>
      <c r="F23615">
        <v>2.9813749898093099E-7</v>
      </c>
      <c r="G23615">
        <v>124736</v>
      </c>
      <c r="H23615">
        <v>17378162</v>
      </c>
      <c r="I23615">
        <v>20810</v>
      </c>
      <c r="J23615">
        <v>3</v>
      </c>
    </row>
    <row r="23616" spans="1:10" x14ac:dyDescent="0.25">
      <c r="A23616" t="s">
        <v>255</v>
      </c>
      <c r="B23616" s="1" t="str">
        <f>HYPERLINK("http://github.co","github.co")</f>
        <v>github.co</v>
      </c>
      <c r="C23616" t="s">
        <v>432</v>
      </c>
      <c r="E23616">
        <v>354889</v>
      </c>
      <c r="F23616">
        <v>6.9893702127167695E-7</v>
      </c>
      <c r="G23616">
        <v>55306</v>
      </c>
      <c r="H23616">
        <v>15047681</v>
      </c>
      <c r="I23616">
        <v>415102</v>
      </c>
      <c r="J23616">
        <v>4</v>
      </c>
    </row>
    <row r="23617" spans="1:10" x14ac:dyDescent="0.25">
      <c r="A23617" t="s">
        <v>255</v>
      </c>
      <c r="B23617" s="1" t="str">
        <f>HYPERLINK("http://343industries.com","343industries.com")</f>
        <v>343industries.com</v>
      </c>
      <c r="C23617" t="s">
        <v>433</v>
      </c>
      <c r="E23617">
        <v>506531</v>
      </c>
      <c r="F23617">
        <v>1.12354427423866E-7</v>
      </c>
      <c r="G23617">
        <v>355479</v>
      </c>
      <c r="H23617">
        <v>14442962</v>
      </c>
      <c r="I23617">
        <v>1060137</v>
      </c>
      <c r="J23617">
        <v>4</v>
      </c>
    </row>
    <row r="23618" spans="1:10" x14ac:dyDescent="0.25">
      <c r="A23618" t="s">
        <v>255</v>
      </c>
      <c r="B23618" s="1" t="str">
        <f>HYPERLINK("http://adallom.com","adallom.com")</f>
        <v>adallom.com</v>
      </c>
      <c r="C23618" t="s">
        <v>433</v>
      </c>
      <c r="F23618">
        <v>2.06208186079902E-7</v>
      </c>
      <c r="G23618">
        <v>184114</v>
      </c>
      <c r="H23618">
        <v>14531855</v>
      </c>
      <c r="I23618">
        <v>785136</v>
      </c>
      <c r="J23618">
        <v>3</v>
      </c>
    </row>
    <row r="23619" spans="1:10" x14ac:dyDescent="0.25">
      <c r="A23619" t="s">
        <v>255</v>
      </c>
      <c r="B23619" s="1" t="str">
        <f>HYPERLINK("http://adecn.com","adecn.com")</f>
        <v>adecn.com</v>
      </c>
      <c r="C23619" t="s">
        <v>433</v>
      </c>
      <c r="F23619">
        <v>1.63935395343253E-8</v>
      </c>
      <c r="G23619">
        <v>3447723</v>
      </c>
      <c r="H23619">
        <v>14173428</v>
      </c>
      <c r="I23619">
        <v>1796029</v>
      </c>
      <c r="J23619">
        <v>5</v>
      </c>
    </row>
    <row r="23620" spans="1:10" x14ac:dyDescent="0.25">
      <c r="A23620" t="s">
        <v>255</v>
      </c>
      <c r="B23620" s="1" t="str">
        <f>HYPERLINK("http://aeoncomputadoras.com","aeoncomputadoras.com")</f>
        <v>aeoncomputadoras.com</v>
      </c>
      <c r="C23620" t="s">
        <v>433</v>
      </c>
      <c r="E23620">
        <v>623802</v>
      </c>
      <c r="F23620">
        <v>4.5795411542240098E-9</v>
      </c>
      <c r="G23620">
        <v>49327203</v>
      </c>
      <c r="H23620">
        <v>9650625</v>
      </c>
      <c r="I23620">
        <v>63892725</v>
      </c>
      <c r="J23620">
        <v>6</v>
      </c>
    </row>
    <row r="23621" spans="1:10" x14ac:dyDescent="0.25">
      <c r="A23621" t="s">
        <v>255</v>
      </c>
      <c r="B23621" s="1" t="str">
        <f>HYPERLINK("http://ageofempires.com","ageofempires.com")</f>
        <v>ageofempires.com</v>
      </c>
      <c r="C23621" t="s">
        <v>433</v>
      </c>
      <c r="E23621">
        <v>34234</v>
      </c>
      <c r="F23621">
        <v>5.2359163878135105E-7</v>
      </c>
      <c r="G23621">
        <v>73407</v>
      </c>
      <c r="H23621">
        <v>17268134</v>
      </c>
      <c r="I23621">
        <v>31588</v>
      </c>
      <c r="J23621">
        <v>4</v>
      </c>
    </row>
    <row r="23622" spans="1:10" x14ac:dyDescent="0.25">
      <c r="A23622" t="s">
        <v>255</v>
      </c>
      <c r="B23622" s="1" t="str">
        <f>HYPERLINK("http://altvr.com","altvr.com")</f>
        <v>altvr.com</v>
      </c>
      <c r="C23622" t="s">
        <v>433</v>
      </c>
      <c r="E23622">
        <v>114152</v>
      </c>
      <c r="F23622">
        <v>1.0811221956973699E-6</v>
      </c>
      <c r="G23622">
        <v>35623</v>
      </c>
      <c r="H23622">
        <v>17387588</v>
      </c>
      <c r="I23622">
        <v>20096</v>
      </c>
      <c r="J23622">
        <v>3</v>
      </c>
    </row>
    <row r="23623" spans="1:10" x14ac:dyDescent="0.25">
      <c r="A23623" t="s">
        <v>255</v>
      </c>
      <c r="B23623" s="1" t="str">
        <f>HYPERLINK("http://arkane-studios.com","arkane-studios.com")</f>
        <v>arkane-studios.com</v>
      </c>
      <c r="C23623" t="s">
        <v>433</v>
      </c>
      <c r="E23623">
        <v>476813</v>
      </c>
      <c r="F23623">
        <v>1.66345054787462E-7</v>
      </c>
      <c r="G23623">
        <v>233308</v>
      </c>
      <c r="H23623">
        <v>14668228</v>
      </c>
      <c r="I23623">
        <v>615577</v>
      </c>
      <c r="J23623">
        <v>3</v>
      </c>
    </row>
    <row r="23624" spans="1:10" x14ac:dyDescent="0.25">
      <c r="A23624" t="s">
        <v>255</v>
      </c>
      <c r="B23624" s="1" t="str">
        <f>HYPERLINK("http://azure.com","azure.com")</f>
        <v>azure.com</v>
      </c>
      <c r="C23624" t="s">
        <v>433</v>
      </c>
      <c r="E23624">
        <v>21</v>
      </c>
      <c r="F23624">
        <v>1.7321620536312499E-5</v>
      </c>
      <c r="G23624">
        <v>1926</v>
      </c>
      <c r="H23624">
        <v>18649724</v>
      </c>
      <c r="I23624">
        <v>1143</v>
      </c>
      <c r="J23624">
        <v>4</v>
      </c>
    </row>
    <row r="23625" spans="1:10" x14ac:dyDescent="0.25">
      <c r="A23625" t="s">
        <v>255</v>
      </c>
      <c r="B23625" s="1" t="str">
        <f>HYPERLINK("http://battlecrystudios.com","battlecrystudios.com")</f>
        <v>battlecrystudios.com</v>
      </c>
      <c r="C23625" t="s">
        <v>433</v>
      </c>
      <c r="F23625">
        <v>7.2590577507720499E-9</v>
      </c>
      <c r="G23625">
        <v>11581438</v>
      </c>
      <c r="H23625">
        <v>14074186</v>
      </c>
      <c r="I23625">
        <v>2953026</v>
      </c>
      <c r="J23625">
        <v>4</v>
      </c>
    </row>
    <row r="23626" spans="1:10" x14ac:dyDescent="0.25">
      <c r="A23626" t="s">
        <v>255</v>
      </c>
      <c r="B23626" s="1" t="str">
        <f>HYPERLINK("http://beritabung.com","beritabung.com")</f>
        <v>beritabung.com</v>
      </c>
      <c r="C23626" t="s">
        <v>433</v>
      </c>
      <c r="F23626">
        <v>4.6275525965303502E-9</v>
      </c>
      <c r="G23626">
        <v>45602239</v>
      </c>
      <c r="H23626">
        <v>13763658</v>
      </c>
      <c r="I23626">
        <v>7876059</v>
      </c>
      <c r="J23626">
        <v>6</v>
      </c>
    </row>
    <row r="23627" spans="1:10" x14ac:dyDescent="0.25">
      <c r="A23627" t="s">
        <v>255</v>
      </c>
      <c r="B23627" s="1" t="str">
        <f>HYPERLINK("http://bethesdagamestudios.com","bethesdagamestudios.com")</f>
        <v>bethesdagamestudios.com</v>
      </c>
      <c r="C23627" t="s">
        <v>433</v>
      </c>
      <c r="E23627">
        <v>734555</v>
      </c>
      <c r="F23627">
        <v>1.1546860572630099E-6</v>
      </c>
      <c r="G23627">
        <v>33591</v>
      </c>
      <c r="H23627">
        <v>16932486</v>
      </c>
      <c r="I23627">
        <v>117259</v>
      </c>
      <c r="J23627">
        <v>4</v>
      </c>
    </row>
    <row r="23628" spans="1:10" x14ac:dyDescent="0.25">
      <c r="A23628" t="s">
        <v>255</v>
      </c>
      <c r="B23628" s="1" t="str">
        <f>HYPERLINK("http://bethsoft.com","bethsoft.com")</f>
        <v>bethsoft.com</v>
      </c>
      <c r="C23628" t="s">
        <v>433</v>
      </c>
      <c r="E23628">
        <v>41023</v>
      </c>
      <c r="F23628">
        <v>2.4414840176454198E-6</v>
      </c>
      <c r="G23628">
        <v>15244</v>
      </c>
      <c r="H23628">
        <v>17895864</v>
      </c>
      <c r="I23628">
        <v>4509</v>
      </c>
      <c r="J23628">
        <v>4</v>
      </c>
    </row>
    <row r="23629" spans="1:10" x14ac:dyDescent="0.25">
      <c r="A23629" t="s">
        <v>255</v>
      </c>
      <c r="B23629" s="1" t="str">
        <f>HYPERLINK("http://canesta.com","canesta.com")</f>
        <v>canesta.com</v>
      </c>
      <c r="C23629" t="s">
        <v>433</v>
      </c>
      <c r="F23629">
        <v>6.9444264040208801E-8</v>
      </c>
      <c r="G23629">
        <v>611437</v>
      </c>
      <c r="H23629">
        <v>13890971</v>
      </c>
      <c r="I23629">
        <v>5961745</v>
      </c>
      <c r="J23629">
        <v>3</v>
      </c>
    </row>
    <row r="23630" spans="1:10" x14ac:dyDescent="0.25">
      <c r="A23630" t="s">
        <v>255</v>
      </c>
      <c r="B23630" s="1" t="str">
        <f>HYPERLINK("http://caviumnetworks.com","caviumnetworks.com")</f>
        <v>caviumnetworks.com</v>
      </c>
      <c r="C23630" t="s">
        <v>433</v>
      </c>
      <c r="E23630">
        <v>276632</v>
      </c>
      <c r="F23630">
        <v>2.4252077058738399E-8</v>
      </c>
      <c r="G23630">
        <v>2138324</v>
      </c>
      <c r="H23630">
        <v>14176458</v>
      </c>
      <c r="I23630">
        <v>1788877</v>
      </c>
      <c r="J23630">
        <v>8</v>
      </c>
    </row>
    <row r="23631" spans="1:10" x14ac:dyDescent="0.25">
      <c r="A23631" t="s">
        <v>255</v>
      </c>
      <c r="B23631" s="1" t="str">
        <f>HYPERLINK("http://clever-cloud.com","clever-cloud.com")</f>
        <v>clever-cloud.com</v>
      </c>
      <c r="C23631" t="s">
        <v>433</v>
      </c>
      <c r="E23631">
        <v>78370</v>
      </c>
      <c r="F23631">
        <v>1.4581869085204501E-6</v>
      </c>
      <c r="G23631">
        <v>26874</v>
      </c>
      <c r="H23631">
        <v>14716644</v>
      </c>
      <c r="I23631">
        <v>580009</v>
      </c>
      <c r="J23631">
        <v>6</v>
      </c>
    </row>
    <row r="23632" spans="1:10" x14ac:dyDescent="0.25">
      <c r="A23632" t="s">
        <v>255</v>
      </c>
      <c r="B23632" s="1" t="str">
        <f>HYPERLINK("http://compulsiongames.com","compulsiongames.com")</f>
        <v>compulsiongames.com</v>
      </c>
      <c r="C23632" t="s">
        <v>433</v>
      </c>
      <c r="E23632">
        <v>661195</v>
      </c>
      <c r="F23632">
        <v>1.03022330529382E-7</v>
      </c>
      <c r="G23632">
        <v>389589</v>
      </c>
      <c r="H23632">
        <v>14872295</v>
      </c>
      <c r="I23632">
        <v>477461</v>
      </c>
      <c r="J23632">
        <v>4</v>
      </c>
    </row>
    <row r="23633" spans="1:10" x14ac:dyDescent="0.25">
      <c r="A23633" t="s">
        <v>255</v>
      </c>
      <c r="B23633" s="1" t="str">
        <f>HYPERLINK("http://connectifier.com","connectifier.com")</f>
        <v>connectifier.com</v>
      </c>
      <c r="C23633" t="s">
        <v>433</v>
      </c>
      <c r="F23633">
        <v>1.3264290412785101E-6</v>
      </c>
      <c r="G23633">
        <v>29275</v>
      </c>
      <c r="H23633">
        <v>15026477</v>
      </c>
      <c r="I23633">
        <v>419448</v>
      </c>
      <c r="J23633">
        <v>4</v>
      </c>
    </row>
    <row r="23634" spans="1:10" x14ac:dyDescent="0.25">
      <c r="A23634" t="s">
        <v>255</v>
      </c>
      <c r="B23634" s="1" t="str">
        <f>HYPERLINK("http://correototal.com","correototal.com")</f>
        <v>correototal.com</v>
      </c>
      <c r="C23634" t="s">
        <v>433</v>
      </c>
      <c r="E23634">
        <v>326286</v>
      </c>
      <c r="F23634">
        <v>7.2211649688859201E-8</v>
      </c>
      <c r="G23634">
        <v>584554</v>
      </c>
      <c r="H23634">
        <v>13942495</v>
      </c>
      <c r="I23634">
        <v>4329664</v>
      </c>
      <c r="J23634">
        <v>3</v>
      </c>
    </row>
    <row r="23635" spans="1:10" x14ac:dyDescent="0.25">
      <c r="A23635" t="s">
        <v>255</v>
      </c>
      <c r="B23635" s="1" t="str">
        <f>HYPERLINK("http://cyberx-labs.com","cyberx-labs.com")</f>
        <v>cyberx-labs.com</v>
      </c>
      <c r="C23635" t="s">
        <v>433</v>
      </c>
      <c r="E23635">
        <v>866244</v>
      </c>
      <c r="F23635">
        <v>1.40256670849014E-7</v>
      </c>
      <c r="G23635">
        <v>277720</v>
      </c>
      <c r="H23635">
        <v>15098263</v>
      </c>
      <c r="I23635">
        <v>406733</v>
      </c>
      <c r="J23635">
        <v>3</v>
      </c>
    </row>
    <row r="23636" spans="1:10" x14ac:dyDescent="0.25">
      <c r="A23636" t="s">
        <v>255</v>
      </c>
      <c r="B23636" s="1" t="str">
        <f>HYPERLINK("http://danger.com","danger.com")</f>
        <v>danger.com</v>
      </c>
      <c r="C23636" t="s">
        <v>433</v>
      </c>
      <c r="E23636">
        <v>452820</v>
      </c>
      <c r="F23636">
        <v>1.63025647189547E-7</v>
      </c>
      <c r="G23636">
        <v>238080</v>
      </c>
      <c r="H23636">
        <v>17046880</v>
      </c>
      <c r="I23636">
        <v>77378</v>
      </c>
      <c r="J23636">
        <v>3</v>
      </c>
    </row>
    <row r="23637" spans="1:10" x14ac:dyDescent="0.25">
      <c r="A23637" t="s">
        <v>255</v>
      </c>
      <c r="B23637" s="1" t="str">
        <f>HYPERLINK("http://digitawise.com","digitawise.com")</f>
        <v>digitawise.com</v>
      </c>
      <c r="C23637" t="s">
        <v>433</v>
      </c>
      <c r="F23637">
        <v>3.7191031579058297E-8</v>
      </c>
      <c r="G23637">
        <v>1392836</v>
      </c>
      <c r="H23637">
        <v>13314365</v>
      </c>
      <c r="I23637">
        <v>10764220</v>
      </c>
      <c r="J23637">
        <v>5</v>
      </c>
    </row>
    <row r="23638" spans="1:10" x14ac:dyDescent="0.25">
      <c r="A23638" t="s">
        <v>255</v>
      </c>
      <c r="B23638" s="1" t="str">
        <f>HYPERLINK("http://digitechnologie.com","digitechnologie.com")</f>
        <v>digitechnologie.com</v>
      </c>
      <c r="C23638" t="s">
        <v>433</v>
      </c>
      <c r="F23638">
        <v>2.3841127882034201E-8</v>
      </c>
      <c r="G23638">
        <v>2178971</v>
      </c>
      <c r="H23638">
        <v>13062313</v>
      </c>
      <c r="I23638">
        <v>12315851</v>
      </c>
      <c r="J23638">
        <v>4</v>
      </c>
    </row>
    <row r="23639" spans="1:10" x14ac:dyDescent="0.25">
      <c r="A23639" t="s">
        <v>255</v>
      </c>
      <c r="B23639" s="1" t="str">
        <f>HYPERLINK("http://doublefine.com","doublefine.com")</f>
        <v>doublefine.com</v>
      </c>
      <c r="C23639" t="s">
        <v>433</v>
      </c>
      <c r="E23639">
        <v>127078</v>
      </c>
      <c r="F23639">
        <v>4.3244940089650399E-7</v>
      </c>
      <c r="G23639">
        <v>87127</v>
      </c>
      <c r="H23639">
        <v>17281232</v>
      </c>
      <c r="I23639">
        <v>30018</v>
      </c>
      <c r="J23639">
        <v>4</v>
      </c>
    </row>
    <row r="23640" spans="1:10" x14ac:dyDescent="0.25">
      <c r="A23640" t="s">
        <v>255</v>
      </c>
      <c r="B23640" s="1" t="str">
        <f>HYPERLINK("http://due.com","due.com")</f>
        <v>due.com</v>
      </c>
      <c r="C23640" t="s">
        <v>433</v>
      </c>
      <c r="E23640">
        <v>40271</v>
      </c>
      <c r="F23640">
        <v>2.64871851492987E-6</v>
      </c>
      <c r="G23640">
        <v>14342</v>
      </c>
      <c r="H23640">
        <v>15887295</v>
      </c>
      <c r="I23640">
        <v>367254</v>
      </c>
      <c r="J23640">
        <v>8</v>
      </c>
    </row>
    <row r="23641" spans="1:10" x14ac:dyDescent="0.25">
      <c r="A23641" t="s">
        <v>255</v>
      </c>
      <c r="B23641" s="1" t="str">
        <f>HYPERLINK("http://ecopy.com","ecopy.com")</f>
        <v>ecopy.com</v>
      </c>
      <c r="C23641" t="s">
        <v>433</v>
      </c>
      <c r="F23641">
        <v>1.19009925480762E-8</v>
      </c>
      <c r="G23641">
        <v>5238690</v>
      </c>
      <c r="H23641">
        <v>13792352</v>
      </c>
      <c r="I23641">
        <v>6330396</v>
      </c>
      <c r="J23641">
        <v>6</v>
      </c>
    </row>
    <row r="23642" spans="1:10" x14ac:dyDescent="0.25">
      <c r="A23642" t="s">
        <v>255</v>
      </c>
      <c r="B23642" s="1" t="str">
        <f>HYPERLINK("http://equitrac.com","equitrac.com")</f>
        <v>equitrac.com</v>
      </c>
      <c r="C23642" t="s">
        <v>433</v>
      </c>
      <c r="F23642">
        <v>1.9638640270561401E-8</v>
      </c>
      <c r="G23642">
        <v>2721238</v>
      </c>
      <c r="H23642">
        <v>13545136</v>
      </c>
      <c r="I23642">
        <v>9901535</v>
      </c>
      <c r="J23642">
        <v>8</v>
      </c>
    </row>
    <row r="23643" spans="1:10" x14ac:dyDescent="0.25">
      <c r="A23643" t="s">
        <v>255</v>
      </c>
      <c r="B23643" s="1" t="str">
        <f>HYPERLINK("http://fastsearch.com","fastsearch.com")</f>
        <v>fastsearch.com</v>
      </c>
      <c r="C23643" t="s">
        <v>433</v>
      </c>
      <c r="E23643">
        <v>798991</v>
      </c>
      <c r="F23643">
        <v>1.6748719589524499E-7</v>
      </c>
      <c r="G23643">
        <v>231675</v>
      </c>
      <c r="H23643">
        <v>14756677</v>
      </c>
      <c r="I23643">
        <v>561601</v>
      </c>
      <c r="J23643">
        <v>3</v>
      </c>
    </row>
    <row r="23644" spans="1:10" x14ac:dyDescent="0.25">
      <c r="A23644" t="s">
        <v>255</v>
      </c>
      <c r="B23644" s="1" t="str">
        <f>HYPERLINK("http://github.com","github.com")</f>
        <v>github.com</v>
      </c>
      <c r="C23644" t="s">
        <v>433</v>
      </c>
      <c r="E23644">
        <v>33</v>
      </c>
      <c r="F23644">
        <v>1.4848199629360201E-3</v>
      </c>
      <c r="G23644">
        <v>22</v>
      </c>
      <c r="H23644">
        <v>20400328</v>
      </c>
      <c r="I23644">
        <v>39</v>
      </c>
      <c r="J23644">
        <v>3</v>
      </c>
    </row>
    <row r="23645" spans="1:10" x14ac:dyDescent="0.25">
      <c r="A23645" t="s">
        <v>255</v>
      </c>
      <c r="B23645" s="1" t="str">
        <f>HYPERLINK("http://goodsciencestudios.com","goodsciencestudios.com")</f>
        <v>goodsciencestudios.com</v>
      </c>
      <c r="C23645" t="s">
        <v>433</v>
      </c>
      <c r="J23645">
        <v>3</v>
      </c>
    </row>
    <row r="23646" spans="1:10" x14ac:dyDescent="0.25">
      <c r="A23646" t="s">
        <v>255</v>
      </c>
      <c r="B23646" s="1" t="str">
        <f>HYPERLINK("http://greenbutton.com","greenbutton.com")</f>
        <v>greenbutton.com</v>
      </c>
      <c r="C23646" t="s">
        <v>433</v>
      </c>
      <c r="F23646">
        <v>2.5312149994443199E-8</v>
      </c>
      <c r="G23646">
        <v>2038571</v>
      </c>
      <c r="H23646">
        <v>14596969</v>
      </c>
      <c r="I23646">
        <v>689016</v>
      </c>
      <c r="J23646">
        <v>3</v>
      </c>
    </row>
    <row r="23647" spans="1:10" x14ac:dyDescent="0.25">
      <c r="A23647" t="s">
        <v>255</v>
      </c>
      <c r="B23647" s="1" t="str">
        <f>HYPERLINK("http://growstorenearme.com","growstorenearme.com")</f>
        <v>growstorenearme.com</v>
      </c>
      <c r="C23647" t="s">
        <v>433</v>
      </c>
      <c r="F23647">
        <v>4.44380395335525E-9</v>
      </c>
      <c r="G23647">
        <v>81837327</v>
      </c>
      <c r="H23647">
        <v>0</v>
      </c>
      <c r="I23647">
        <v>82306558</v>
      </c>
      <c r="J23647">
        <v>4</v>
      </c>
    </row>
    <row r="23648" spans="1:10" x14ac:dyDescent="0.25">
      <c r="A23648" t="s">
        <v>255</v>
      </c>
      <c r="B23648" s="1" t="str">
        <f>HYPERLINK("http://halowaypoint.com","halowaypoint.com")</f>
        <v>halowaypoint.com</v>
      </c>
      <c r="C23648" t="s">
        <v>433</v>
      </c>
      <c r="E23648">
        <v>18915</v>
      </c>
      <c r="F23648">
        <v>1.4774711433246401E-6</v>
      </c>
      <c r="G23648">
        <v>26548</v>
      </c>
      <c r="H23648">
        <v>17607610</v>
      </c>
      <c r="I23648">
        <v>9458</v>
      </c>
      <c r="J23648">
        <v>6</v>
      </c>
    </row>
    <row r="23649" spans="1:10" x14ac:dyDescent="0.25">
      <c r="A23649" t="s">
        <v>255</v>
      </c>
      <c r="B23649" s="1" t="str">
        <f>HYPERLINK("http://havok.com","havok.com")</f>
        <v>havok.com</v>
      </c>
      <c r="C23649" t="s">
        <v>433</v>
      </c>
      <c r="E23649">
        <v>327751</v>
      </c>
      <c r="F23649">
        <v>3.01760881330587E-7</v>
      </c>
      <c r="G23649">
        <v>123235</v>
      </c>
      <c r="H23649">
        <v>15263252</v>
      </c>
      <c r="I23649">
        <v>389088</v>
      </c>
      <c r="J23649">
        <v>3</v>
      </c>
    </row>
    <row r="23650" spans="1:10" x14ac:dyDescent="0.25">
      <c r="A23650" t="s">
        <v>255</v>
      </c>
      <c r="B23650" s="1" t="str">
        <f>HYPERLINK("http://idsoftware.com","idsoftware.com")</f>
        <v>idsoftware.com</v>
      </c>
      <c r="C23650" t="s">
        <v>433</v>
      </c>
      <c r="E23650">
        <v>51945</v>
      </c>
      <c r="F23650">
        <v>6.8885470794622401E-7</v>
      </c>
      <c r="G23650">
        <v>56080</v>
      </c>
      <c r="H23650">
        <v>17399286</v>
      </c>
      <c r="I23650">
        <v>19215</v>
      </c>
      <c r="J23650">
        <v>3</v>
      </c>
    </row>
    <row r="23651" spans="1:10" x14ac:dyDescent="0.25">
      <c r="A23651" t="s">
        <v>255</v>
      </c>
      <c r="B23651" s="1" t="str">
        <f>HYPERLINK("http://intentional.com","intentional.com")</f>
        <v>intentional.com</v>
      </c>
      <c r="C23651" t="s">
        <v>433</v>
      </c>
      <c r="F23651">
        <v>2.5916883507992101E-8</v>
      </c>
      <c r="G23651">
        <v>1988355</v>
      </c>
      <c r="H23651">
        <v>14478011</v>
      </c>
      <c r="I23651">
        <v>1029848</v>
      </c>
      <c r="J23651">
        <v>3</v>
      </c>
    </row>
    <row r="23652" spans="1:10" x14ac:dyDescent="0.25">
      <c r="A23652" t="s">
        <v>255</v>
      </c>
      <c r="B23652" s="1" t="str">
        <f>HYPERLINK("http://inxile-entertainment.com","inxile-entertainment.com")</f>
        <v>inxile-entertainment.com</v>
      </c>
      <c r="C23652" t="s">
        <v>433</v>
      </c>
      <c r="E23652">
        <v>167145</v>
      </c>
      <c r="F23652">
        <v>9.1759343674696503E-7</v>
      </c>
      <c r="G23652">
        <v>42165</v>
      </c>
      <c r="H23652">
        <v>15329323</v>
      </c>
      <c r="I23652">
        <v>384075</v>
      </c>
      <c r="J23652">
        <v>4</v>
      </c>
    </row>
    <row r="23653" spans="1:10" x14ac:dyDescent="0.25">
      <c r="A23653" t="s">
        <v>255</v>
      </c>
      <c r="B23653" s="1" t="str">
        <f>HYPERLINK("http://iotransition.com","iotransition.com")</f>
        <v>iotransition.com</v>
      </c>
      <c r="C23653" t="s">
        <v>433</v>
      </c>
      <c r="J23653">
        <v>7</v>
      </c>
    </row>
    <row r="23654" spans="1:10" x14ac:dyDescent="0.25">
      <c r="A23654" t="s">
        <v>255</v>
      </c>
      <c r="B23654" s="1" t="str">
        <f>HYPERLINK("http://irreverentsalesgirl.com","irreverentsalesgirl.com")</f>
        <v>irreverentsalesgirl.com</v>
      </c>
      <c r="C23654" t="s">
        <v>433</v>
      </c>
      <c r="F23654">
        <v>1.66378944654652E-8</v>
      </c>
      <c r="G23654">
        <v>3379802</v>
      </c>
      <c r="H23654">
        <v>13386533</v>
      </c>
      <c r="I23654">
        <v>10407314</v>
      </c>
      <c r="J23654">
        <v>6</v>
      </c>
    </row>
    <row r="23655" spans="1:10" x14ac:dyDescent="0.25">
      <c r="A23655" t="s">
        <v>255</v>
      </c>
      <c r="B23655" s="1" t="str">
        <f>HYPERLINK("http://jclarity.com","jclarity.com")</f>
        <v>jclarity.com</v>
      </c>
      <c r="C23655" t="s">
        <v>433</v>
      </c>
      <c r="F23655">
        <v>1.1616605510682601E-7</v>
      </c>
      <c r="G23655">
        <v>342342</v>
      </c>
      <c r="H23655">
        <v>14582762</v>
      </c>
      <c r="I23655">
        <v>705866</v>
      </c>
      <c r="J23655">
        <v>6</v>
      </c>
    </row>
    <row r="23656" spans="1:10" x14ac:dyDescent="0.25">
      <c r="A23656" t="s">
        <v>255</v>
      </c>
      <c r="B23656" s="1" t="str">
        <f>HYPERLINK("http://jsdelivr.com","jsdelivr.com")</f>
        <v>jsdelivr.com</v>
      </c>
      <c r="C23656" t="s">
        <v>433</v>
      </c>
      <c r="E23656">
        <v>36485</v>
      </c>
      <c r="F23656">
        <v>8.0822388207350793E-5</v>
      </c>
      <c r="G23656">
        <v>328</v>
      </c>
      <c r="H23656">
        <v>17951416</v>
      </c>
      <c r="I23656">
        <v>4042</v>
      </c>
      <c r="J23656">
        <v>6</v>
      </c>
    </row>
    <row r="23657" spans="1:10" x14ac:dyDescent="0.25">
      <c r="A23657" t="s">
        <v>255</v>
      </c>
      <c r="B23657" s="1" t="str">
        <f>HYPERLINK("http://khartoumnewsagency.com","khartoumnewsagency.com")</f>
        <v>khartoumnewsagency.com</v>
      </c>
      <c r="C23657" t="s">
        <v>433</v>
      </c>
      <c r="F23657">
        <v>4.4495924939134497E-9</v>
      </c>
      <c r="G23657">
        <v>72155930</v>
      </c>
      <c r="H23657">
        <v>11112114</v>
      </c>
      <c r="I23657">
        <v>32137382</v>
      </c>
      <c r="J23657">
        <v>4</v>
      </c>
    </row>
    <row r="23658" spans="1:10" x14ac:dyDescent="0.25">
      <c r="A23658" t="s">
        <v>255</v>
      </c>
      <c r="B23658" s="1" t="str">
        <f>HYPERLINK("http://krdinal.com","krdinal.com")</f>
        <v>krdinal.com</v>
      </c>
      <c r="C23658" t="s">
        <v>433</v>
      </c>
      <c r="J23658">
        <v>6</v>
      </c>
    </row>
    <row r="23659" spans="1:10" x14ac:dyDescent="0.25">
      <c r="A23659" t="s">
        <v>255</v>
      </c>
      <c r="B23659" s="1" t="str">
        <f>HYPERLINK("http://lab-rh.com","lab-rh.com")</f>
        <v>lab-rh.com</v>
      </c>
      <c r="C23659" t="s">
        <v>433</v>
      </c>
      <c r="F23659">
        <v>8.4060530480892E-8</v>
      </c>
      <c r="G23659">
        <v>492233</v>
      </c>
      <c r="H23659">
        <v>13970389</v>
      </c>
      <c r="I23659">
        <v>4075950</v>
      </c>
      <c r="J23659">
        <v>6</v>
      </c>
    </row>
    <row r="23660" spans="1:10" x14ac:dyDescent="0.25">
      <c r="A23660" t="s">
        <v>255</v>
      </c>
      <c r="B23660" s="1" t="str">
        <f>HYPERLINK("http://laptask.com","laptask.com")</f>
        <v>laptask.com</v>
      </c>
      <c r="C23660" t="s">
        <v>433</v>
      </c>
      <c r="F23660">
        <v>5.1043343989107401E-9</v>
      </c>
      <c r="G23660">
        <v>26964847</v>
      </c>
      <c r="H23660">
        <v>12409268</v>
      </c>
      <c r="I23660">
        <v>18617325</v>
      </c>
      <c r="J23660">
        <v>7</v>
      </c>
    </row>
    <row r="23661" spans="1:10" x14ac:dyDescent="0.25">
      <c r="A23661" t="s">
        <v>255</v>
      </c>
      <c r="B23661" s="1" t="str">
        <f>HYPERLINK("http://linkedin.com","linkedin.com")</f>
        <v>linkedin.com</v>
      </c>
      <c r="C23661" t="s">
        <v>433</v>
      </c>
      <c r="E23661">
        <v>13</v>
      </c>
      <c r="F23661">
        <v>3.3489498699951002E-3</v>
      </c>
      <c r="G23661">
        <v>12</v>
      </c>
      <c r="H23661">
        <v>23337268</v>
      </c>
      <c r="I23661">
        <v>10</v>
      </c>
      <c r="J23661">
        <v>3</v>
      </c>
    </row>
    <row r="23662" spans="1:10" x14ac:dyDescent="0.25">
      <c r="A23662" t="s">
        <v>255</v>
      </c>
      <c r="B23662" s="1" t="str">
        <f>HYPERLINK("http://live.com","live.com")</f>
        <v>live.com</v>
      </c>
      <c r="C23662" t="s">
        <v>433</v>
      </c>
      <c r="E23662">
        <v>23</v>
      </c>
      <c r="F23662">
        <v>1.2927819060270601E-4</v>
      </c>
      <c r="G23662">
        <v>204</v>
      </c>
      <c r="H23662">
        <v>19750586</v>
      </c>
      <c r="I23662">
        <v>97</v>
      </c>
      <c r="J23662">
        <v>6</v>
      </c>
    </row>
    <row r="23663" spans="1:10" x14ac:dyDescent="0.25">
      <c r="A23663" t="s">
        <v>255</v>
      </c>
      <c r="B23663" s="1" t="str">
        <f>HYPERLINK("http://lumenisity.com","lumenisity.com")</f>
        <v>lumenisity.com</v>
      </c>
      <c r="C23663" t="s">
        <v>433</v>
      </c>
      <c r="F23663">
        <v>3.8991276279275098E-8</v>
      </c>
      <c r="G23663">
        <v>1322522</v>
      </c>
      <c r="H23663">
        <v>13846708</v>
      </c>
      <c r="I23663">
        <v>6059813</v>
      </c>
      <c r="J23663">
        <v>6</v>
      </c>
    </row>
    <row r="23664" spans="1:10" x14ac:dyDescent="0.25">
      <c r="A23664" t="s">
        <v>255</v>
      </c>
      <c r="B23664" s="1" t="str">
        <f>HYPERLINK("http://lynda.com","lynda.com")</f>
        <v>lynda.com</v>
      </c>
      <c r="C23664" t="s">
        <v>433</v>
      </c>
      <c r="E23664">
        <v>8775</v>
      </c>
      <c r="F23664">
        <v>6.6478935847634799E-6</v>
      </c>
      <c r="G23664">
        <v>5088</v>
      </c>
      <c r="H23664">
        <v>18270544</v>
      </c>
      <c r="I23664">
        <v>2464</v>
      </c>
      <c r="J23664">
        <v>4</v>
      </c>
    </row>
    <row r="23665" spans="1:10" x14ac:dyDescent="0.25">
      <c r="A23665" t="s">
        <v>255</v>
      </c>
      <c r="B23665" s="1" t="str">
        <f>HYPERLINK("http://machinegames.com","machinegames.com")</f>
        <v>machinegames.com</v>
      </c>
      <c r="C23665" t="s">
        <v>433</v>
      </c>
      <c r="F23665">
        <v>3.8249827975086597E-8</v>
      </c>
      <c r="G23665">
        <v>1353303</v>
      </c>
      <c r="H23665">
        <v>14106543</v>
      </c>
      <c r="I23665">
        <v>2686650</v>
      </c>
      <c r="J23665">
        <v>3</v>
      </c>
    </row>
    <row r="23666" spans="1:10" x14ac:dyDescent="0.25">
      <c r="A23666" t="s">
        <v>255</v>
      </c>
      <c r="B23666" s="1" t="str">
        <f>HYPERLINK("http://maluuba.com","maluuba.com")</f>
        <v>maluuba.com</v>
      </c>
      <c r="C23666" t="s">
        <v>433</v>
      </c>
      <c r="F23666">
        <v>8.3641803071173494E-8</v>
      </c>
      <c r="G23666">
        <v>495749</v>
      </c>
      <c r="H23666">
        <v>14966879</v>
      </c>
      <c r="I23666">
        <v>435099</v>
      </c>
      <c r="J23666">
        <v>3</v>
      </c>
    </row>
    <row r="23667" spans="1:10" x14ac:dyDescent="0.25">
      <c r="A23667" t="s">
        <v>255</v>
      </c>
      <c r="B23667" s="1" t="str">
        <f>HYPERLINK("http://metaswitch.com","metaswitch.com")</f>
        <v>metaswitch.com</v>
      </c>
      <c r="C23667" t="s">
        <v>433</v>
      </c>
      <c r="E23667">
        <v>83820</v>
      </c>
      <c r="F23667">
        <v>4.2021026525863001E-7</v>
      </c>
      <c r="G23667">
        <v>89607</v>
      </c>
      <c r="H23667">
        <v>17257000</v>
      </c>
      <c r="I23667">
        <v>33056</v>
      </c>
      <c r="J23667">
        <v>4</v>
      </c>
    </row>
    <row r="23668" spans="1:10" x14ac:dyDescent="0.25">
      <c r="A23668" t="s">
        <v>255</v>
      </c>
      <c r="B23668" s="1" t="str">
        <f>HYPERLINK("http://microsoft.com","microsoft.com")</f>
        <v>microsoft.com</v>
      </c>
      <c r="C23668" t="s">
        <v>433</v>
      </c>
      <c r="E23668">
        <v>6</v>
      </c>
      <c r="F23668">
        <v>1.08039644720388E-3</v>
      </c>
      <c r="G23668">
        <v>35</v>
      </c>
      <c r="H23668">
        <v>20823002</v>
      </c>
      <c r="I23668">
        <v>23</v>
      </c>
      <c r="J23668">
        <v>1</v>
      </c>
    </row>
    <row r="23669" spans="1:10" x14ac:dyDescent="0.25">
      <c r="A23669" t="s">
        <v>255</v>
      </c>
      <c r="B23669" s="1" t="str">
        <f>HYPERLINK("http://microsoftpressstore.com","microsoftpressstore.com")</f>
        <v>microsoftpressstore.com</v>
      </c>
      <c r="C23669" t="s">
        <v>433</v>
      </c>
      <c r="E23669">
        <v>192407</v>
      </c>
      <c r="F23669">
        <v>2.6683712719047302E-7</v>
      </c>
      <c r="G23669">
        <v>139661</v>
      </c>
      <c r="H23669">
        <v>15257922</v>
      </c>
      <c r="I23669">
        <v>389581</v>
      </c>
      <c r="J23669">
        <v>3</v>
      </c>
    </row>
    <row r="23670" spans="1:10" x14ac:dyDescent="0.25">
      <c r="A23670" t="s">
        <v>255</v>
      </c>
      <c r="B23670" s="1" t="str">
        <f>HYPERLINK("http://mojang.com","mojang.com")</f>
        <v>mojang.com</v>
      </c>
      <c r="C23670" t="s">
        <v>433</v>
      </c>
      <c r="E23670">
        <v>10150</v>
      </c>
      <c r="F23670">
        <v>2.0337493865421302E-6</v>
      </c>
      <c r="G23670">
        <v>17952</v>
      </c>
      <c r="H23670">
        <v>17683732</v>
      </c>
      <c r="I23670">
        <v>7643</v>
      </c>
      <c r="J23670">
        <v>3</v>
      </c>
    </row>
    <row r="23671" spans="1:10" x14ac:dyDescent="0.25">
      <c r="A23671" t="s">
        <v>255</v>
      </c>
      <c r="B23671" s="1" t="str">
        <f>HYPERLINK("http://msopentech.com","msopentech.com")</f>
        <v>msopentech.com</v>
      </c>
      <c r="C23671" t="s">
        <v>433</v>
      </c>
      <c r="E23671">
        <v>733980</v>
      </c>
      <c r="F23671">
        <v>5.1555767614133198E-7</v>
      </c>
      <c r="G23671">
        <v>74435</v>
      </c>
      <c r="H23671">
        <v>15873487</v>
      </c>
      <c r="I23671">
        <v>367372</v>
      </c>
      <c r="J23671">
        <v>4</v>
      </c>
    </row>
    <row r="23672" spans="1:10" x14ac:dyDescent="0.25">
      <c r="A23672" t="s">
        <v>255</v>
      </c>
      <c r="B23672" s="1" t="str">
        <f>HYPERLINK("http://mumbo.com","mumbo.com")</f>
        <v>mumbo.com</v>
      </c>
      <c r="C23672" t="s">
        <v>433</v>
      </c>
      <c r="F23672">
        <v>4.4447860633052803E-9</v>
      </c>
      <c r="G23672">
        <v>76074798</v>
      </c>
      <c r="H23672">
        <v>10344974</v>
      </c>
      <c r="I23672">
        <v>57053638</v>
      </c>
      <c r="J23672">
        <v>5</v>
      </c>
    </row>
    <row r="23673" spans="1:10" x14ac:dyDescent="0.25">
      <c r="A23673" t="s">
        <v>255</v>
      </c>
      <c r="B23673" s="1" t="str">
        <f>HYPERLINK("http://nuance.com","nuance.com")</f>
        <v>nuance.com</v>
      </c>
      <c r="C23673" t="s">
        <v>433</v>
      </c>
      <c r="E23673">
        <v>4223</v>
      </c>
      <c r="F23673">
        <v>5.9686905471196703E-6</v>
      </c>
      <c r="G23673">
        <v>5772</v>
      </c>
      <c r="H23673">
        <v>18177232</v>
      </c>
      <c r="I23673">
        <v>2824</v>
      </c>
      <c r="J23673">
        <v>3</v>
      </c>
    </row>
    <row r="23674" spans="1:10" x14ac:dyDescent="0.25">
      <c r="A23674" t="s">
        <v>255</v>
      </c>
      <c r="B23674" s="1" t="str">
        <f>HYPERLINK("http://opencloud.com","opencloud.com")</f>
        <v>opencloud.com</v>
      </c>
      <c r="C23674" t="s">
        <v>433</v>
      </c>
      <c r="F23674">
        <v>2.0388415049718502E-8</v>
      </c>
      <c r="G23674">
        <v>2601332</v>
      </c>
      <c r="H23674">
        <v>14123453</v>
      </c>
      <c r="I23674">
        <v>2174048</v>
      </c>
      <c r="J23674">
        <v>7</v>
      </c>
    </row>
    <row r="23675" spans="1:10" x14ac:dyDescent="0.25">
      <c r="A23675" t="s">
        <v>255</v>
      </c>
      <c r="B23675" s="1" t="str">
        <f>HYPERLINK("http://outlook.com","outlook.com")</f>
        <v>outlook.com</v>
      </c>
      <c r="C23675" t="s">
        <v>433</v>
      </c>
      <c r="E23675">
        <v>73</v>
      </c>
      <c r="F23675">
        <v>1.20964555414796E-4</v>
      </c>
      <c r="G23675">
        <v>220</v>
      </c>
      <c r="H23675">
        <v>19677792</v>
      </c>
      <c r="I23675">
        <v>119</v>
      </c>
      <c r="J23675">
        <v>6</v>
      </c>
    </row>
    <row r="23676" spans="1:10" x14ac:dyDescent="0.25">
      <c r="A23676" t="s">
        <v>255</v>
      </c>
      <c r="B23676" s="1" t="str">
        <f>HYPERLINK("http://perceptivepixel.com","perceptivepixel.com")</f>
        <v>perceptivepixel.com</v>
      </c>
      <c r="C23676" t="s">
        <v>433</v>
      </c>
      <c r="E23676">
        <v>991731</v>
      </c>
      <c r="F23676">
        <v>7.3175286181618697E-8</v>
      </c>
      <c r="G23676">
        <v>576144</v>
      </c>
      <c r="H23676">
        <v>14764516</v>
      </c>
      <c r="I23676">
        <v>559395</v>
      </c>
      <c r="J23676">
        <v>3</v>
      </c>
    </row>
    <row r="23677" spans="1:10" x14ac:dyDescent="0.25">
      <c r="A23677" t="s">
        <v>255</v>
      </c>
      <c r="B23677" s="1" t="str">
        <f>HYPERLINK("http://persay.com","persay.com")</f>
        <v>persay.com</v>
      </c>
      <c r="C23677" t="s">
        <v>433</v>
      </c>
      <c r="F23677">
        <v>6.9655865057686301E-9</v>
      </c>
      <c r="G23677">
        <v>12415125</v>
      </c>
      <c r="H23677">
        <v>14075256</v>
      </c>
      <c r="I23677">
        <v>2913999</v>
      </c>
      <c r="J23677">
        <v>4</v>
      </c>
    </row>
    <row r="23678" spans="1:10" x14ac:dyDescent="0.25">
      <c r="A23678" t="s">
        <v>255</v>
      </c>
      <c r="B23678" s="1" t="str">
        <f>HYPERLINK("http://playground-games.com","playground-games.com")</f>
        <v>playground-games.com</v>
      </c>
      <c r="C23678" t="s">
        <v>433</v>
      </c>
      <c r="E23678">
        <v>592733</v>
      </c>
      <c r="F23678">
        <v>1.11267038263339E-7</v>
      </c>
      <c r="G23678">
        <v>359258</v>
      </c>
      <c r="H23678">
        <v>14768610</v>
      </c>
      <c r="I23678">
        <v>558176</v>
      </c>
      <c r="J23678">
        <v>4</v>
      </c>
    </row>
    <row r="23679" spans="1:10" x14ac:dyDescent="0.25">
      <c r="A23679" t="s">
        <v>255</v>
      </c>
      <c r="B23679" s="1" t="str">
        <f>HYPERLINK("http://plotly.com","plotly.com")</f>
        <v>plotly.com</v>
      </c>
      <c r="C23679" t="s">
        <v>433</v>
      </c>
      <c r="E23679">
        <v>25919</v>
      </c>
      <c r="F23679">
        <v>5.39940708207077E-6</v>
      </c>
      <c r="G23679">
        <v>6414</v>
      </c>
      <c r="H23679">
        <v>16879094</v>
      </c>
      <c r="I23679">
        <v>140040</v>
      </c>
      <c r="J23679">
        <v>6</v>
      </c>
    </row>
    <row r="23680" spans="1:10" x14ac:dyDescent="0.25">
      <c r="A23680" t="s">
        <v>255</v>
      </c>
      <c r="B23680" s="1" t="str">
        <f>HYPERLINK("http://powerset.com","powerset.com")</f>
        <v>powerset.com</v>
      </c>
      <c r="C23680" t="s">
        <v>433</v>
      </c>
      <c r="E23680">
        <v>414354</v>
      </c>
      <c r="F23680">
        <v>4.4290598182479401E-7</v>
      </c>
      <c r="G23680">
        <v>85156</v>
      </c>
      <c r="H23680">
        <v>14925758</v>
      </c>
      <c r="I23680">
        <v>449477</v>
      </c>
      <c r="J23680">
        <v>3</v>
      </c>
    </row>
    <row r="23681" spans="1:10" x14ac:dyDescent="0.25">
      <c r="A23681" t="s">
        <v>255</v>
      </c>
      <c r="B23681" s="1" t="str">
        <f>HYPERLINK("http://pullpanda.com","pullpanda.com")</f>
        <v>pullpanda.com</v>
      </c>
      <c r="C23681" t="s">
        <v>433</v>
      </c>
      <c r="F23681">
        <v>3.1206235712677799E-8</v>
      </c>
      <c r="G23681">
        <v>1652159</v>
      </c>
      <c r="H23681">
        <v>13486324</v>
      </c>
      <c r="I23681">
        <v>9994544</v>
      </c>
      <c r="J23681">
        <v>4</v>
      </c>
    </row>
    <row r="23682" spans="1:10" x14ac:dyDescent="0.25">
      <c r="A23682" t="s">
        <v>255</v>
      </c>
      <c r="B23682" s="1" t="str">
        <f>HYPERLINK("http://revolutionanalytics.com","revolutionanalytics.com")</f>
        <v>revolutionanalytics.com</v>
      </c>
      <c r="C23682" t="s">
        <v>433</v>
      </c>
      <c r="E23682">
        <v>181833</v>
      </c>
      <c r="F23682">
        <v>5.7907255635609505E-7</v>
      </c>
      <c r="G23682">
        <v>65984</v>
      </c>
      <c r="H23682">
        <v>17352906</v>
      </c>
      <c r="I23682">
        <v>22831</v>
      </c>
      <c r="J23682">
        <v>3</v>
      </c>
    </row>
    <row r="23683" spans="1:10" x14ac:dyDescent="0.25">
      <c r="A23683" t="s">
        <v>255</v>
      </c>
      <c r="B23683" s="1" t="str">
        <f>HYPERLINK("http://rpath.com","rpath.com")</f>
        <v>rpath.com</v>
      </c>
      <c r="C23683" t="s">
        <v>433</v>
      </c>
      <c r="E23683">
        <v>914926</v>
      </c>
      <c r="F23683">
        <v>2.2564403392261499E-7</v>
      </c>
      <c r="G23683">
        <v>167003</v>
      </c>
      <c r="H23683">
        <v>17089160</v>
      </c>
      <c r="I23683">
        <v>66153</v>
      </c>
      <c r="J23683">
        <v>5</v>
      </c>
    </row>
    <row r="23684" spans="1:10" x14ac:dyDescent="0.25">
      <c r="A23684" t="s">
        <v>255</v>
      </c>
      <c r="B23684" s="1" t="str">
        <f>HYPERLINK("http://semmle.com","semmle.com")</f>
        <v>semmle.com</v>
      </c>
      <c r="C23684" t="s">
        <v>433</v>
      </c>
      <c r="E23684">
        <v>30835</v>
      </c>
      <c r="F23684">
        <v>2.25409239104981E-7</v>
      </c>
      <c r="G23684">
        <v>167166</v>
      </c>
      <c r="H23684">
        <v>14928815</v>
      </c>
      <c r="I23684">
        <v>448242</v>
      </c>
      <c r="J23684">
        <v>3</v>
      </c>
    </row>
    <row r="23685" spans="1:10" x14ac:dyDescent="0.25">
      <c r="A23685" t="s">
        <v>255</v>
      </c>
      <c r="B23685" s="1" t="str">
        <f>HYPERLINK("http://skype.com","skype.com")</f>
        <v>skype.com</v>
      </c>
      <c r="C23685" t="s">
        <v>433</v>
      </c>
      <c r="E23685">
        <v>99</v>
      </c>
      <c r="F23685">
        <v>6.3554894200947197E-5</v>
      </c>
      <c r="G23685">
        <v>407</v>
      </c>
      <c r="H23685">
        <v>18652648</v>
      </c>
      <c r="I23685">
        <v>1132</v>
      </c>
      <c r="J23685">
        <v>3</v>
      </c>
    </row>
    <row r="23686" spans="1:10" x14ac:dyDescent="0.25">
      <c r="A23686" t="s">
        <v>255</v>
      </c>
      <c r="B23686" s="1" t="str">
        <f>HYPERLINK("http://skypeworklife.com","skypeworklife.com")</f>
        <v>skypeworklife.com</v>
      </c>
      <c r="C23686" t="s">
        <v>433</v>
      </c>
      <c r="J23686">
        <v>6</v>
      </c>
    </row>
    <row r="23687" spans="1:10" x14ac:dyDescent="0.25">
      <c r="A23687" t="s">
        <v>255</v>
      </c>
      <c r="B23687" s="1" t="str">
        <f>HYPERLINK("http://sparkypants.com","sparkypants.com")</f>
        <v>sparkypants.com</v>
      </c>
      <c r="C23687" t="s">
        <v>433</v>
      </c>
      <c r="F23687">
        <v>1.0532009266673E-8</v>
      </c>
      <c r="G23687">
        <v>6242188</v>
      </c>
      <c r="H23687">
        <v>13239507</v>
      </c>
      <c r="I23687">
        <v>11223822</v>
      </c>
      <c r="J23687">
        <v>4</v>
      </c>
    </row>
    <row r="23688" spans="1:10" x14ac:dyDescent="0.25">
      <c r="A23688" t="s">
        <v>255</v>
      </c>
      <c r="B23688" s="1" t="str">
        <f>HYPERLINK("http://startupleadership.com","startupleadership.com")</f>
        <v>startupleadership.com</v>
      </c>
      <c r="C23688" t="s">
        <v>433</v>
      </c>
      <c r="F23688">
        <v>6.4606891161139395E-8</v>
      </c>
      <c r="G23688">
        <v>669456</v>
      </c>
      <c r="H23688">
        <v>14093740</v>
      </c>
      <c r="I23688">
        <v>2734519</v>
      </c>
      <c r="J23688">
        <v>6</v>
      </c>
    </row>
    <row r="23689" spans="1:10" x14ac:dyDescent="0.25">
      <c r="A23689" t="s">
        <v>255</v>
      </c>
      <c r="B23689" s="1" t="str">
        <f>HYPERLINK("http://swiftkey.com","swiftkey.com")</f>
        <v>swiftkey.com</v>
      </c>
      <c r="C23689" t="s">
        <v>433</v>
      </c>
      <c r="E23689">
        <v>4736</v>
      </c>
      <c r="F23689">
        <v>7.9696102793616202E-7</v>
      </c>
      <c r="G23689">
        <v>49396</v>
      </c>
      <c r="H23689">
        <v>15630806</v>
      </c>
      <c r="I23689">
        <v>371237</v>
      </c>
      <c r="J23689">
        <v>3</v>
      </c>
    </row>
    <row r="23690" spans="1:10" x14ac:dyDescent="0.25">
      <c r="A23690" t="s">
        <v>255</v>
      </c>
      <c r="B23690" s="1" t="str">
        <f>HYPERLINK("http://sybari.com","sybari.com")</f>
        <v>sybari.com</v>
      </c>
      <c r="C23690" t="s">
        <v>433</v>
      </c>
      <c r="F23690">
        <v>1.5556338569353001E-8</v>
      </c>
      <c r="G23690">
        <v>3668461</v>
      </c>
      <c r="H23690">
        <v>14076073</v>
      </c>
      <c r="I23690">
        <v>2894767</v>
      </c>
      <c r="J23690">
        <v>7</v>
      </c>
    </row>
    <row r="23691" spans="1:10" x14ac:dyDescent="0.25">
      <c r="A23691" t="s">
        <v>255</v>
      </c>
      <c r="B23691" s="1" t="str">
        <f>HYPERLINK("http://sysinternals.com","sysinternals.com")</f>
        <v>sysinternals.com</v>
      </c>
      <c r="C23691" t="s">
        <v>433</v>
      </c>
      <c r="E23691">
        <v>22426</v>
      </c>
      <c r="F23691">
        <v>2.7538385925644098E-6</v>
      </c>
      <c r="G23691">
        <v>13891</v>
      </c>
      <c r="H23691">
        <v>17528196</v>
      </c>
      <c r="I23691">
        <v>12155</v>
      </c>
      <c r="J23691">
        <v>3</v>
      </c>
    </row>
    <row r="23692" spans="1:10" x14ac:dyDescent="0.25">
      <c r="A23692" t="s">
        <v>255</v>
      </c>
      <c r="B23692" s="1" t="str">
        <f>HYPERLINK("http://tangogameworks.com","tangogameworks.com")</f>
        <v>tangogameworks.com</v>
      </c>
      <c r="C23692" t="s">
        <v>433</v>
      </c>
      <c r="F23692">
        <v>4.3248165078910702E-8</v>
      </c>
      <c r="G23692">
        <v>1109006</v>
      </c>
      <c r="H23692">
        <v>14299791</v>
      </c>
      <c r="I23692">
        <v>1356747</v>
      </c>
      <c r="J23692">
        <v>3</v>
      </c>
    </row>
    <row r="23693" spans="1:10" x14ac:dyDescent="0.25">
      <c r="A23693" t="s">
        <v>255</v>
      </c>
      <c r="B23693" s="1" t="str">
        <f>HYPERLINK("http://tellme.com","tellme.com")</f>
        <v>tellme.com</v>
      </c>
      <c r="C23693" t="s">
        <v>433</v>
      </c>
      <c r="E23693">
        <v>25785</v>
      </c>
      <c r="F23693">
        <v>1.67090906608866E-7</v>
      </c>
      <c r="G23693">
        <v>232241</v>
      </c>
      <c r="H23693">
        <v>17193588</v>
      </c>
      <c r="I23693">
        <v>42959</v>
      </c>
      <c r="J23693">
        <v>3</v>
      </c>
    </row>
    <row r="23694" spans="1:10" x14ac:dyDescent="0.25">
      <c r="A23694" t="s">
        <v>255</v>
      </c>
      <c r="B23694" s="1" t="str">
        <f>HYPERLINK("http://thecoalitionstudio.com","thecoalitionstudio.com")</f>
        <v>thecoalitionstudio.com</v>
      </c>
      <c r="C23694" t="s">
        <v>433</v>
      </c>
      <c r="E23694">
        <v>898554</v>
      </c>
      <c r="F23694">
        <v>1.3960021276621201E-7</v>
      </c>
      <c r="G23694">
        <v>279085</v>
      </c>
      <c r="H23694">
        <v>14129303</v>
      </c>
      <c r="I23694">
        <v>2047888</v>
      </c>
      <c r="J23694">
        <v>3</v>
      </c>
    </row>
    <row r="23695" spans="1:10" x14ac:dyDescent="0.25">
      <c r="A23695" t="s">
        <v>255</v>
      </c>
      <c r="B23695" s="1" t="str">
        <f>HYPERLINK("http://theglobetoday.com","theglobetoday.com")</f>
        <v>theglobetoday.com</v>
      </c>
      <c r="C23695" t="s">
        <v>433</v>
      </c>
      <c r="F23695">
        <v>5.0196978757686002E-9</v>
      </c>
      <c r="G23695">
        <v>28908290</v>
      </c>
      <c r="H23695">
        <v>13933063</v>
      </c>
      <c r="I23695">
        <v>5085738</v>
      </c>
      <c r="J23695">
        <v>4</v>
      </c>
    </row>
    <row r="23696" spans="1:10" x14ac:dyDescent="0.25">
      <c r="A23696" t="s">
        <v>255</v>
      </c>
      <c r="B23696" s="1" t="str">
        <f>HYPERLINK("http://theinitiative.com","theinitiative.com")</f>
        <v>theinitiative.com</v>
      </c>
      <c r="C23696" t="s">
        <v>433</v>
      </c>
      <c r="F23696">
        <v>1.5788717279097299E-8</v>
      </c>
      <c r="G23696">
        <v>3602655</v>
      </c>
      <c r="H23696">
        <v>13094732</v>
      </c>
      <c r="I23696">
        <v>12126275</v>
      </c>
      <c r="J23696">
        <v>4</v>
      </c>
    </row>
    <row r="23697" spans="1:10" x14ac:dyDescent="0.25">
      <c r="A23697" t="s">
        <v>255</v>
      </c>
      <c r="B23697" s="1" t="str">
        <f>HYPERLINK("http://turn10studios.com","turn10studios.com")</f>
        <v>turn10studios.com</v>
      </c>
      <c r="C23697" t="s">
        <v>433</v>
      </c>
      <c r="F23697">
        <v>2.32552757211556E-8</v>
      </c>
      <c r="G23697">
        <v>2243731</v>
      </c>
      <c r="H23697">
        <v>14078117</v>
      </c>
      <c r="I23697">
        <v>2852398</v>
      </c>
      <c r="J23697">
        <v>3</v>
      </c>
    </row>
    <row r="23698" spans="1:10" x14ac:dyDescent="0.25">
      <c r="A23698" t="s">
        <v>255</v>
      </c>
      <c r="B23698" s="1" t="str">
        <f>HYPERLINK("http://ukweedfarm.com","ukweedfarm.com")</f>
        <v>ukweedfarm.com</v>
      </c>
      <c r="C23698" t="s">
        <v>433</v>
      </c>
      <c r="F23698">
        <v>2.3864732610408E-8</v>
      </c>
      <c r="G23698">
        <v>2176377</v>
      </c>
      <c r="H23698">
        <v>13780675</v>
      </c>
      <c r="I23698">
        <v>6468529</v>
      </c>
      <c r="J23698">
        <v>4</v>
      </c>
    </row>
    <row r="23699" spans="1:10" x14ac:dyDescent="0.25">
      <c r="A23699" t="s">
        <v>255</v>
      </c>
      <c r="B23699" s="1" t="str">
        <f>HYPERLINK("http://undeadlabs.com","undeadlabs.com")</f>
        <v>undeadlabs.com</v>
      </c>
      <c r="C23699" t="s">
        <v>433</v>
      </c>
      <c r="E23699">
        <v>511303</v>
      </c>
      <c r="F23699">
        <v>7.7927409713565206E-8</v>
      </c>
      <c r="G23699">
        <v>536851</v>
      </c>
      <c r="H23699">
        <v>14856653</v>
      </c>
      <c r="I23699">
        <v>486722</v>
      </c>
      <c r="J23699">
        <v>4</v>
      </c>
    </row>
    <row r="23700" spans="1:10" x14ac:dyDescent="0.25">
      <c r="A23700" t="s">
        <v>255</v>
      </c>
      <c r="B23700" s="1" t="str">
        <f>HYPERLINK("http://volometrix.com","volometrix.com")</f>
        <v>volometrix.com</v>
      </c>
      <c r="C23700" t="s">
        <v>433</v>
      </c>
      <c r="F23700">
        <v>4.68130029272942E-8</v>
      </c>
      <c r="G23700">
        <v>997690</v>
      </c>
      <c r="H23700">
        <v>14500363</v>
      </c>
      <c r="I23700">
        <v>853628</v>
      </c>
      <c r="J23700">
        <v>3</v>
      </c>
    </row>
    <row r="23701" spans="1:10" x14ac:dyDescent="0.25">
      <c r="A23701" t="s">
        <v>255</v>
      </c>
      <c r="B23701" s="1" t="str">
        <f>HYPERLINK("http://wavesat.com","wavesat.com")</f>
        <v>wavesat.com</v>
      </c>
      <c r="C23701" t="s">
        <v>433</v>
      </c>
      <c r="F23701">
        <v>9.6311614391541597E-9</v>
      </c>
      <c r="G23701">
        <v>7161860</v>
      </c>
      <c r="H23701">
        <v>13953793</v>
      </c>
      <c r="I23701">
        <v>4148518</v>
      </c>
      <c r="J23701">
        <v>7</v>
      </c>
    </row>
    <row r="23702" spans="1:10" x14ac:dyDescent="0.25">
      <c r="A23702" t="s">
        <v>255</v>
      </c>
      <c r="B23702" s="1" t="str">
        <f>HYPERLINK("http://wesabe.com","wesabe.com")</f>
        <v>wesabe.com</v>
      </c>
      <c r="C23702" t="s">
        <v>433</v>
      </c>
      <c r="E23702">
        <v>756331</v>
      </c>
      <c r="F23702">
        <v>1.0734374774483799E-6</v>
      </c>
      <c r="G23702">
        <v>35842</v>
      </c>
      <c r="H23702">
        <v>15955257</v>
      </c>
      <c r="I23702">
        <v>366749</v>
      </c>
      <c r="J23702">
        <v>7</v>
      </c>
    </row>
    <row r="23703" spans="1:10" x14ac:dyDescent="0.25">
      <c r="A23703" t="s">
        <v>255</v>
      </c>
      <c r="B23703" s="1" t="str">
        <f>HYPERLINK("http://windows.com","windows.com")</f>
        <v>windows.com</v>
      </c>
      <c r="C23703" t="s">
        <v>433</v>
      </c>
      <c r="E23703">
        <v>277</v>
      </c>
      <c r="F23703">
        <v>2.2204089158287499E-5</v>
      </c>
      <c r="G23703">
        <v>1324</v>
      </c>
      <c r="H23703">
        <v>18841194</v>
      </c>
      <c r="I23703">
        <v>727</v>
      </c>
      <c r="J23703">
        <v>4</v>
      </c>
    </row>
    <row r="23704" spans="1:10" x14ac:dyDescent="0.25">
      <c r="A23704" t="s">
        <v>255</v>
      </c>
      <c r="B23704" s="1" t="str">
        <f>HYPERLINK("http://winternals.com","winternals.com")</f>
        <v>winternals.com</v>
      </c>
      <c r="C23704" t="s">
        <v>433</v>
      </c>
      <c r="E23704">
        <v>765263</v>
      </c>
      <c r="F23704">
        <v>4.1177833348276598E-8</v>
      </c>
      <c r="G23704">
        <v>1260886</v>
      </c>
      <c r="H23704">
        <v>14492364</v>
      </c>
      <c r="I23704">
        <v>895453</v>
      </c>
      <c r="J23704">
        <v>7</v>
      </c>
    </row>
    <row r="23705" spans="1:10" x14ac:dyDescent="0.25">
      <c r="A23705" t="s">
        <v>255</v>
      </c>
      <c r="B23705" s="1" t="str">
        <f>HYPERLINK("http://xamarin.com","xamarin.com")</f>
        <v>xamarin.com</v>
      </c>
      <c r="C23705" t="s">
        <v>433</v>
      </c>
      <c r="E23705">
        <v>31898</v>
      </c>
      <c r="F23705">
        <v>1.8607228821330299E-6</v>
      </c>
      <c r="G23705">
        <v>20102</v>
      </c>
      <c r="H23705">
        <v>17674524</v>
      </c>
      <c r="I23705">
        <v>7846</v>
      </c>
      <c r="J23705">
        <v>3</v>
      </c>
    </row>
    <row r="23706" spans="1:10" x14ac:dyDescent="0.25">
      <c r="A23706" t="s">
        <v>255</v>
      </c>
      <c r="B23706" s="1" t="str">
        <f>HYPERLINK("http://xbox.com","xbox.com")</f>
        <v>xbox.com</v>
      </c>
      <c r="C23706" t="s">
        <v>433</v>
      </c>
      <c r="E23706">
        <v>921</v>
      </c>
      <c r="F23706">
        <v>2.1971990563144802E-5</v>
      </c>
      <c r="G23706">
        <v>1335</v>
      </c>
      <c r="H23706">
        <v>18543958</v>
      </c>
      <c r="I23706">
        <v>1439</v>
      </c>
      <c r="J23706">
        <v>3</v>
      </c>
    </row>
    <row r="23707" spans="1:10" x14ac:dyDescent="0.25">
      <c r="A23707" t="s">
        <v>255</v>
      </c>
      <c r="B23707" s="1" t="str">
        <f>HYPERLINK("http://yadata.com","yadata.com")</f>
        <v>yadata.com</v>
      </c>
      <c r="C23707" t="s">
        <v>433</v>
      </c>
      <c r="F23707">
        <v>5.3265596789559501E-9</v>
      </c>
      <c r="G23707">
        <v>23114800</v>
      </c>
      <c r="H23707">
        <v>13198996</v>
      </c>
      <c r="I23707">
        <v>11556483</v>
      </c>
      <c r="J23707">
        <v>6</v>
      </c>
    </row>
    <row r="23708" spans="1:10" x14ac:dyDescent="0.25">
      <c r="A23708" t="s">
        <v>255</v>
      </c>
      <c r="B23708" s="1" t="str">
        <f>HYPERLINK("http://yammer.com","yammer.com")</f>
        <v>yammer.com</v>
      </c>
      <c r="C23708" t="s">
        <v>433</v>
      </c>
      <c r="E23708">
        <v>6013</v>
      </c>
      <c r="F23708">
        <v>3.9857861990227704E-6</v>
      </c>
      <c r="G23708">
        <v>9493</v>
      </c>
      <c r="H23708">
        <v>17871318</v>
      </c>
      <c r="I23708">
        <v>4739</v>
      </c>
      <c r="J23708">
        <v>3</v>
      </c>
    </row>
    <row r="23709" spans="1:10" x14ac:dyDescent="0.25">
      <c r="A23709" t="s">
        <v>255</v>
      </c>
      <c r="B23709" s="1" t="str">
        <f>HYPERLINK("http://zenimax.com","zenimax.com")</f>
        <v>zenimax.com</v>
      </c>
      <c r="C23709" t="s">
        <v>433</v>
      </c>
      <c r="E23709">
        <v>201075</v>
      </c>
      <c r="F23709">
        <v>3.3511885695899501E-7</v>
      </c>
      <c r="G23709">
        <v>111254</v>
      </c>
      <c r="H23709">
        <v>17418446</v>
      </c>
      <c r="I23709">
        <v>17974</v>
      </c>
      <c r="J23709">
        <v>3</v>
      </c>
    </row>
    <row r="23710" spans="1:10" x14ac:dyDescent="0.25">
      <c r="A23710" t="s">
        <v>255</v>
      </c>
      <c r="B23710" s="1" t="str">
        <f>HYPERLINK("http://zenimaxonline.com","zenimaxonline.com")</f>
        <v>zenimaxonline.com</v>
      </c>
      <c r="C23710" t="s">
        <v>433</v>
      </c>
      <c r="F23710">
        <v>4.0721648241172699E-8</v>
      </c>
      <c r="G23710">
        <v>1272706</v>
      </c>
      <c r="H23710">
        <v>13999472</v>
      </c>
      <c r="I23710">
        <v>4014275</v>
      </c>
      <c r="J23710">
        <v>3</v>
      </c>
    </row>
    <row r="23711" spans="1:10" x14ac:dyDescent="0.25">
      <c r="A23711" t="s">
        <v>255</v>
      </c>
      <c r="B23711" s="1" t="str">
        <f>HYPERLINK("http://github.community","github.community")</f>
        <v>github.community</v>
      </c>
      <c r="C23711" t="s">
        <v>629</v>
      </c>
      <c r="E23711">
        <v>278878</v>
      </c>
      <c r="F23711">
        <v>7.4460958646097405E-7</v>
      </c>
      <c r="G23711">
        <v>52297</v>
      </c>
      <c r="H23711">
        <v>15422342</v>
      </c>
      <c r="I23711">
        <v>379245</v>
      </c>
      <c r="J23711">
        <v>4</v>
      </c>
    </row>
    <row r="23712" spans="1:10" x14ac:dyDescent="0.25">
      <c r="A23712" t="s">
        <v>255</v>
      </c>
      <c r="B23712" s="1" t="str">
        <f>HYPERLINK("http://microsoft.cz","microsoft.cz")</f>
        <v>microsoft.cz</v>
      </c>
      <c r="C23712" t="s">
        <v>435</v>
      </c>
      <c r="D23712" t="s">
        <v>814</v>
      </c>
      <c r="F23712">
        <v>1.1866152662071E-7</v>
      </c>
      <c r="G23712">
        <v>333649</v>
      </c>
      <c r="H23712">
        <v>14359653</v>
      </c>
      <c r="I23712">
        <v>1304741</v>
      </c>
      <c r="J23712">
        <v>2</v>
      </c>
    </row>
    <row r="23713" spans="1:10" x14ac:dyDescent="0.25">
      <c r="A23713" t="s">
        <v>255</v>
      </c>
      <c r="B23713" s="1" t="str">
        <f>HYPERLINK("http://flynex.de","flynex.de")</f>
        <v>flynex.de</v>
      </c>
      <c r="C23713" t="s">
        <v>436</v>
      </c>
      <c r="D23713" t="s">
        <v>815</v>
      </c>
      <c r="F23713">
        <v>3.3843142889883E-8</v>
      </c>
      <c r="G23713">
        <v>1529141</v>
      </c>
      <c r="H23713">
        <v>14127155</v>
      </c>
      <c r="I23713">
        <v>2088050</v>
      </c>
      <c r="J23713">
        <v>6</v>
      </c>
    </row>
    <row r="23714" spans="1:10" x14ac:dyDescent="0.25">
      <c r="A23714" t="s">
        <v>255</v>
      </c>
      <c r="B23714" s="1" t="str">
        <f>HYPERLINK("http://microsoft.de","microsoft.de")</f>
        <v>microsoft.de</v>
      </c>
      <c r="C23714" t="s">
        <v>436</v>
      </c>
      <c r="D23714" t="s">
        <v>815</v>
      </c>
      <c r="E23714">
        <v>248376</v>
      </c>
      <c r="F23714">
        <v>5.8203064311420501E-7</v>
      </c>
      <c r="G23714">
        <v>65646</v>
      </c>
      <c r="H23714">
        <v>14738274</v>
      </c>
      <c r="I23714">
        <v>568501</v>
      </c>
      <c r="J23714">
        <v>2</v>
      </c>
    </row>
    <row r="23715" spans="1:10" x14ac:dyDescent="0.25">
      <c r="A23715" t="s">
        <v>255</v>
      </c>
      <c r="B23715" s="1" t="str">
        <f>HYPERLINK("http://nuance.de","nuance.de")</f>
        <v>nuance.de</v>
      </c>
      <c r="C23715" t="s">
        <v>436</v>
      </c>
      <c r="D23715" t="s">
        <v>815</v>
      </c>
      <c r="E23715">
        <v>531340</v>
      </c>
      <c r="F23715">
        <v>7.3657256645478094E-8</v>
      </c>
      <c r="G23715">
        <v>571972</v>
      </c>
      <c r="H23715">
        <v>14506297</v>
      </c>
      <c r="I23715">
        <v>833808</v>
      </c>
      <c r="J23715">
        <v>4</v>
      </c>
    </row>
    <row r="23716" spans="1:10" x14ac:dyDescent="0.25">
      <c r="A23716" t="s">
        <v>255</v>
      </c>
      <c r="B23716" s="1" t="str">
        <f>HYPERLINK("http://github.dev","github.dev")</f>
        <v>github.dev</v>
      </c>
      <c r="C23716" t="s">
        <v>527</v>
      </c>
      <c r="E23716">
        <v>26003</v>
      </c>
      <c r="F23716">
        <v>5.1824526372524204E-7</v>
      </c>
      <c r="G23716">
        <v>74103</v>
      </c>
      <c r="H23716">
        <v>14723210</v>
      </c>
      <c r="I23716">
        <v>576635</v>
      </c>
      <c r="J23716">
        <v>4</v>
      </c>
    </row>
    <row r="23717" spans="1:10" x14ac:dyDescent="0.25">
      <c r="A23717" t="s">
        <v>255</v>
      </c>
      <c r="B23717" s="1" t="str">
        <f>HYPERLINK("http://microsoft.dk","microsoft.dk")</f>
        <v>microsoft.dk</v>
      </c>
      <c r="C23717" t="s">
        <v>437</v>
      </c>
      <c r="D23717" t="s">
        <v>816</v>
      </c>
      <c r="F23717">
        <v>3.7954089096862402E-8</v>
      </c>
      <c r="G23717">
        <v>1363532</v>
      </c>
      <c r="H23717">
        <v>13807347</v>
      </c>
      <c r="I23717">
        <v>6226891</v>
      </c>
      <c r="J23717">
        <v>2</v>
      </c>
    </row>
    <row r="23718" spans="1:10" x14ac:dyDescent="0.25">
      <c r="A23718" t="s">
        <v>255</v>
      </c>
      <c r="B23718" s="1" t="str">
        <f>HYPERLINK("http://iniciocorreo.email","iniciocorreo.email")</f>
        <v>iniciocorreo.email</v>
      </c>
      <c r="C23718" t="s">
        <v>736</v>
      </c>
      <c r="F23718">
        <v>4.7473711523416096E-9</v>
      </c>
      <c r="G23718">
        <v>38446515</v>
      </c>
      <c r="H23718">
        <v>12396099</v>
      </c>
      <c r="I23718">
        <v>18917698</v>
      </c>
      <c r="J23718">
        <v>5</v>
      </c>
    </row>
    <row r="23719" spans="1:10" x14ac:dyDescent="0.25">
      <c r="A23719" t="s">
        <v>255</v>
      </c>
      <c r="B23719" s="1" t="str">
        <f>HYPERLINK("http://microsoft.es","microsoft.es")</f>
        <v>microsoft.es</v>
      </c>
      <c r="C23719" t="s">
        <v>443</v>
      </c>
      <c r="D23719" t="s">
        <v>822</v>
      </c>
      <c r="F23719">
        <v>4.99093495152023E-8</v>
      </c>
      <c r="G23719">
        <v>923452</v>
      </c>
      <c r="H23719">
        <v>14412385</v>
      </c>
      <c r="I23719">
        <v>1142826</v>
      </c>
      <c r="J23719">
        <v>2</v>
      </c>
    </row>
    <row r="23720" spans="1:10" x14ac:dyDescent="0.25">
      <c r="A23720" t="s">
        <v>255</v>
      </c>
      <c r="B23720" s="1" t="str">
        <f>HYPERLINK("http://nuance.es","nuance.es")</f>
        <v>nuance.es</v>
      </c>
      <c r="C23720" t="s">
        <v>443</v>
      </c>
      <c r="D23720" t="s">
        <v>822</v>
      </c>
      <c r="F23720">
        <v>1.6854478158598601E-8</v>
      </c>
      <c r="G23720">
        <v>3320176</v>
      </c>
      <c r="H23720">
        <v>13774262</v>
      </c>
      <c r="I23720">
        <v>6610674</v>
      </c>
      <c r="J23720">
        <v>4</v>
      </c>
    </row>
    <row r="23721" spans="1:10" x14ac:dyDescent="0.25">
      <c r="A23721" t="s">
        <v>255</v>
      </c>
      <c r="B23721" s="1" t="str">
        <f>HYPERLINK("http://microsoft.eu","microsoft.eu")</f>
        <v>microsoft.eu</v>
      </c>
      <c r="C23721" t="s">
        <v>444</v>
      </c>
      <c r="F23721">
        <v>4.0260595157609398E-8</v>
      </c>
      <c r="G23721">
        <v>1285153</v>
      </c>
      <c r="H23721">
        <v>14409710</v>
      </c>
      <c r="I23721">
        <v>1145769</v>
      </c>
      <c r="J23721">
        <v>2</v>
      </c>
    </row>
    <row r="23722" spans="1:10" x14ac:dyDescent="0.25">
      <c r="A23722" t="s">
        <v>255</v>
      </c>
      <c r="B23722" s="1" t="str">
        <f>HYPERLINK("http://1drive.fi","1drive.fi")</f>
        <v>1drive.fi</v>
      </c>
      <c r="C23722" t="s">
        <v>445</v>
      </c>
      <c r="D23722" t="s">
        <v>823</v>
      </c>
      <c r="J23722">
        <v>4</v>
      </c>
    </row>
    <row r="23723" spans="1:10" x14ac:dyDescent="0.25">
      <c r="A23723" t="s">
        <v>255</v>
      </c>
      <c r="B23723" s="1" t="str">
        <f>HYPERLINK("http://axapta.fi","axapta.fi")</f>
        <v>axapta.fi</v>
      </c>
      <c r="C23723" t="s">
        <v>445</v>
      </c>
      <c r="D23723" t="s">
        <v>823</v>
      </c>
      <c r="J23723">
        <v>6</v>
      </c>
    </row>
    <row r="23724" spans="1:10" x14ac:dyDescent="0.25">
      <c r="A23724" t="s">
        <v>255</v>
      </c>
      <c r="B23724" s="1" t="str">
        <f>HYPERLINK("http://azure.fi","azure.fi")</f>
        <v>azure.fi</v>
      </c>
      <c r="C23724" t="s">
        <v>445</v>
      </c>
      <c r="D23724" t="s">
        <v>823</v>
      </c>
      <c r="J23724">
        <v>4</v>
      </c>
    </row>
    <row r="23725" spans="1:10" x14ac:dyDescent="0.25">
      <c r="A23725" t="s">
        <v>255</v>
      </c>
      <c r="B23725" s="1" t="str">
        <f>HYPERLINK("http://bing.fi","bing.fi")</f>
        <v>bing.fi</v>
      </c>
      <c r="C23725" t="s">
        <v>445</v>
      </c>
      <c r="D23725" t="s">
        <v>823</v>
      </c>
      <c r="F23725">
        <v>5.5908991135716602E-9</v>
      </c>
      <c r="G23725">
        <v>19944901</v>
      </c>
      <c r="H23725">
        <v>13763727</v>
      </c>
      <c r="I23725">
        <v>7726055</v>
      </c>
      <c r="J23725">
        <v>6</v>
      </c>
    </row>
    <row r="23726" spans="1:10" x14ac:dyDescent="0.25">
      <c r="A23726" t="s">
        <v>255</v>
      </c>
      <c r="B23726" s="1" t="str">
        <f>HYPERLINK("http://bingads.fi","bingads.fi")</f>
        <v>bingads.fi</v>
      </c>
      <c r="C23726" t="s">
        <v>445</v>
      </c>
      <c r="D23726" t="s">
        <v>823</v>
      </c>
      <c r="J23726">
        <v>4</v>
      </c>
    </row>
    <row r="23727" spans="1:10" x14ac:dyDescent="0.25">
      <c r="A23727" t="s">
        <v>255</v>
      </c>
      <c r="B23727" s="1" t="str">
        <f>HYPERLINK("http://bingnetwork.fi","bingnetwork.fi")</f>
        <v>bingnetwork.fi</v>
      </c>
      <c r="C23727" t="s">
        <v>445</v>
      </c>
      <c r="D23727" t="s">
        <v>823</v>
      </c>
      <c r="J23727">
        <v>4</v>
      </c>
    </row>
    <row r="23728" spans="1:10" x14ac:dyDescent="0.25">
      <c r="A23728" t="s">
        <v>255</v>
      </c>
      <c r="B23728" s="1" t="str">
        <f>HYPERLINK("http://bingyahoonetwork.fi","bingyahoonetwork.fi")</f>
        <v>bingyahoonetwork.fi</v>
      </c>
      <c r="C23728" t="s">
        <v>445</v>
      </c>
      <c r="D23728" t="s">
        <v>823</v>
      </c>
      <c r="J23728">
        <v>4</v>
      </c>
    </row>
    <row r="23729" spans="1:10" x14ac:dyDescent="0.25">
      <c r="A23729" t="s">
        <v>255</v>
      </c>
      <c r="B23729" s="1" t="str">
        <f>HYPERLINK("http://buildmypinnedsite.fi","buildmypinnedsite.fi")</f>
        <v>buildmypinnedsite.fi</v>
      </c>
      <c r="C23729" t="s">
        <v>445</v>
      </c>
      <c r="D23729" t="s">
        <v>823</v>
      </c>
      <c r="J23729">
        <v>4</v>
      </c>
    </row>
    <row r="23730" spans="1:10" x14ac:dyDescent="0.25">
      <c r="A23730" t="s">
        <v>255</v>
      </c>
      <c r="B23730" s="1" t="str">
        <f>HYPERLINK("http://businesscentral.fi","businesscentral.fi")</f>
        <v>businesscentral.fi</v>
      </c>
      <c r="C23730" t="s">
        <v>445</v>
      </c>
      <c r="D23730" t="s">
        <v>823</v>
      </c>
      <c r="J23730">
        <v>2</v>
      </c>
    </row>
    <row r="23731" spans="1:10" x14ac:dyDescent="0.25">
      <c r="A23731" t="s">
        <v>255</v>
      </c>
      <c r="B23731" s="1" t="str">
        <f>HYPERLINK("http://contoso.fi","contoso.fi")</f>
        <v>contoso.fi</v>
      </c>
      <c r="C23731" t="s">
        <v>445</v>
      </c>
      <c r="D23731" t="s">
        <v>823</v>
      </c>
      <c r="J23731">
        <v>4</v>
      </c>
    </row>
    <row r="23732" spans="1:10" x14ac:dyDescent="0.25">
      <c r="A23732" t="s">
        <v>255</v>
      </c>
      <c r="B23732" s="1" t="str">
        <f>HYPERLINK("http://dataverse.fi","dataverse.fi")</f>
        <v>dataverse.fi</v>
      </c>
      <c r="C23732" t="s">
        <v>445</v>
      </c>
      <c r="D23732" t="s">
        <v>823</v>
      </c>
      <c r="J23732">
        <v>2</v>
      </c>
    </row>
    <row r="23733" spans="1:10" x14ac:dyDescent="0.25">
      <c r="A23733" t="s">
        <v>255</v>
      </c>
      <c r="B23733" s="1" t="str">
        <f>HYPERLINK("http://devti.fi","devti.fi")</f>
        <v>devti.fi</v>
      </c>
      <c r="C23733" t="s">
        <v>445</v>
      </c>
      <c r="D23733" t="s">
        <v>823</v>
      </c>
      <c r="J23733">
        <v>2</v>
      </c>
    </row>
    <row r="23734" spans="1:10" x14ac:dyDescent="0.25">
      <c r="A23734" t="s">
        <v>255</v>
      </c>
      <c r="B23734" s="1" t="str">
        <f>HYPERLINK("http://dynamics365businesscentral.fi","dynamics365businesscentral.fi")</f>
        <v>dynamics365businesscentral.fi</v>
      </c>
      <c r="C23734" t="s">
        <v>445</v>
      </c>
      <c r="D23734" t="s">
        <v>823</v>
      </c>
      <c r="J23734">
        <v>2</v>
      </c>
    </row>
    <row r="23735" spans="1:10" x14ac:dyDescent="0.25">
      <c r="A23735" t="s">
        <v>255</v>
      </c>
      <c r="B23735" s="1" t="str">
        <f>HYPERLINK("http://dynamics365commerce.fi","dynamics365commerce.fi")</f>
        <v>dynamics365commerce.fi</v>
      </c>
      <c r="C23735" t="s">
        <v>445</v>
      </c>
      <c r="D23735" t="s">
        <v>823</v>
      </c>
      <c r="J23735">
        <v>4</v>
      </c>
    </row>
    <row r="23736" spans="1:10" x14ac:dyDescent="0.25">
      <c r="A23736" t="s">
        <v>255</v>
      </c>
      <c r="B23736" s="1" t="str">
        <f>HYPERLINK("http://dynamics365connectedstore.fi","dynamics365connectedstore.fi")</f>
        <v>dynamics365connectedstore.fi</v>
      </c>
      <c r="C23736" t="s">
        <v>445</v>
      </c>
      <c r="D23736" t="s">
        <v>823</v>
      </c>
      <c r="J23736">
        <v>4</v>
      </c>
    </row>
    <row r="23737" spans="1:10" x14ac:dyDescent="0.25">
      <c r="A23737" t="s">
        <v>255</v>
      </c>
      <c r="B23737" s="1" t="str">
        <f>HYPERLINK("http://dynamics365customervoice.fi","dynamics365customervoice.fi")</f>
        <v>dynamics365customervoice.fi</v>
      </c>
      <c r="C23737" t="s">
        <v>445</v>
      </c>
      <c r="D23737" t="s">
        <v>823</v>
      </c>
      <c r="J23737">
        <v>2</v>
      </c>
    </row>
    <row r="23738" spans="1:10" x14ac:dyDescent="0.25">
      <c r="A23738" t="s">
        <v>255</v>
      </c>
      <c r="B23738" s="1" t="str">
        <f>HYPERLINK("http://dynamics365finance.fi","dynamics365finance.fi")</f>
        <v>dynamics365finance.fi</v>
      </c>
      <c r="C23738" t="s">
        <v>445</v>
      </c>
      <c r="D23738" t="s">
        <v>823</v>
      </c>
      <c r="J23738">
        <v>4</v>
      </c>
    </row>
    <row r="23739" spans="1:10" x14ac:dyDescent="0.25">
      <c r="A23739" t="s">
        <v>255</v>
      </c>
      <c r="B23739" s="1" t="str">
        <f>HYPERLINK("http://dynamics365productinsights.fi","dynamics365productinsights.fi")</f>
        <v>dynamics365productinsights.fi</v>
      </c>
      <c r="C23739" t="s">
        <v>445</v>
      </c>
      <c r="D23739" t="s">
        <v>823</v>
      </c>
      <c r="J23739">
        <v>4</v>
      </c>
    </row>
    <row r="23740" spans="1:10" x14ac:dyDescent="0.25">
      <c r="A23740" t="s">
        <v>255</v>
      </c>
      <c r="B23740" s="1" t="str">
        <f>HYPERLINK("http://dynamics365supplychainmanagement.fi","dynamics365supplychainmanagement.fi")</f>
        <v>dynamics365supplychainmanagement.fi</v>
      </c>
      <c r="C23740" t="s">
        <v>445</v>
      </c>
      <c r="D23740" t="s">
        <v>823</v>
      </c>
      <c r="J23740">
        <v>4</v>
      </c>
    </row>
    <row r="23741" spans="1:10" x14ac:dyDescent="0.25">
      <c r="A23741" t="s">
        <v>255</v>
      </c>
      <c r="B23741" s="1" t="str">
        <f>HYPERLINK("http://dynamicsbusinesscentral.fi","dynamicsbusinesscentral.fi")</f>
        <v>dynamicsbusinesscentral.fi</v>
      </c>
      <c r="C23741" t="s">
        <v>445</v>
      </c>
      <c r="D23741" t="s">
        <v>823</v>
      </c>
      <c r="J23741">
        <v>2</v>
      </c>
    </row>
    <row r="23742" spans="1:10" x14ac:dyDescent="0.25">
      <c r="A23742" t="s">
        <v>255</v>
      </c>
      <c r="B23742" s="1" t="str">
        <f>HYPERLINK("http://dynamicscommerce.fi","dynamicscommerce.fi")</f>
        <v>dynamicscommerce.fi</v>
      </c>
      <c r="C23742" t="s">
        <v>445</v>
      </c>
      <c r="D23742" t="s">
        <v>823</v>
      </c>
      <c r="J23742">
        <v>4</v>
      </c>
    </row>
    <row r="23743" spans="1:10" x14ac:dyDescent="0.25">
      <c r="A23743" t="s">
        <v>255</v>
      </c>
      <c r="B23743" s="1" t="str">
        <f>HYPERLINK("http://dynamicsconnectedstore.fi","dynamicsconnectedstore.fi")</f>
        <v>dynamicsconnectedstore.fi</v>
      </c>
      <c r="C23743" t="s">
        <v>445</v>
      </c>
      <c r="D23743" t="s">
        <v>823</v>
      </c>
      <c r="J23743">
        <v>4</v>
      </c>
    </row>
    <row r="23744" spans="1:10" x14ac:dyDescent="0.25">
      <c r="A23744" t="s">
        <v>255</v>
      </c>
      <c r="B23744" s="1" t="str">
        <f>HYPERLINK("http://dynamicscustomervoice.fi","dynamicscustomervoice.fi")</f>
        <v>dynamicscustomervoice.fi</v>
      </c>
      <c r="C23744" t="s">
        <v>445</v>
      </c>
      <c r="D23744" t="s">
        <v>823</v>
      </c>
      <c r="J23744">
        <v>2</v>
      </c>
    </row>
    <row r="23745" spans="1:10" x14ac:dyDescent="0.25">
      <c r="A23745" t="s">
        <v>255</v>
      </c>
      <c r="B23745" s="1" t="str">
        <f>HYPERLINK("http://dynamicsfinance.fi","dynamicsfinance.fi")</f>
        <v>dynamicsfinance.fi</v>
      </c>
      <c r="C23745" t="s">
        <v>445</v>
      </c>
      <c r="D23745" t="s">
        <v>823</v>
      </c>
      <c r="J23745">
        <v>4</v>
      </c>
    </row>
    <row r="23746" spans="1:10" x14ac:dyDescent="0.25">
      <c r="A23746" t="s">
        <v>255</v>
      </c>
      <c r="B23746" s="1" t="str">
        <f>HYPERLINK("http://dynamicsproductinsights.fi","dynamicsproductinsights.fi")</f>
        <v>dynamicsproductinsights.fi</v>
      </c>
      <c r="C23746" t="s">
        <v>445</v>
      </c>
      <c r="D23746" t="s">
        <v>823</v>
      </c>
      <c r="J23746">
        <v>4</v>
      </c>
    </row>
    <row r="23747" spans="1:10" x14ac:dyDescent="0.25">
      <c r="A23747" t="s">
        <v>255</v>
      </c>
      <c r="B23747" s="1" t="str">
        <f>HYPERLINK("http://dynamicssupplychainmanagement.fi","dynamicssupplychainmanagement.fi")</f>
        <v>dynamicssupplychainmanagement.fi</v>
      </c>
      <c r="C23747" t="s">
        <v>445</v>
      </c>
      <c r="D23747" t="s">
        <v>823</v>
      </c>
      <c r="J23747">
        <v>4</v>
      </c>
    </row>
    <row r="23748" spans="1:10" x14ac:dyDescent="0.25">
      <c r="A23748" t="s">
        <v>255</v>
      </c>
      <c r="B23748" s="1" t="str">
        <f>HYPERLINK("http://forefront.fi","forefront.fi")</f>
        <v>forefront.fi</v>
      </c>
      <c r="C23748" t="s">
        <v>445</v>
      </c>
      <c r="D23748" t="s">
        <v>823</v>
      </c>
      <c r="J23748">
        <v>4</v>
      </c>
    </row>
    <row r="23749" spans="1:10" x14ac:dyDescent="0.25">
      <c r="A23749" t="s">
        <v>255</v>
      </c>
      <c r="B23749" s="1" t="str">
        <f>HYPERLINK("http://gamesforwindows.fi","gamesforwindows.fi")</f>
        <v>gamesforwindows.fi</v>
      </c>
      <c r="C23749" t="s">
        <v>445</v>
      </c>
      <c r="D23749" t="s">
        <v>823</v>
      </c>
      <c r="J23749">
        <v>6</v>
      </c>
    </row>
    <row r="23750" spans="1:10" x14ac:dyDescent="0.25">
      <c r="A23750" t="s">
        <v>255</v>
      </c>
      <c r="B23750" s="1" t="str">
        <f>HYPERLINK("http://github.fi","github.fi")</f>
        <v>github.fi</v>
      </c>
      <c r="C23750" t="s">
        <v>445</v>
      </c>
      <c r="D23750" t="s">
        <v>823</v>
      </c>
      <c r="J23750">
        <v>5</v>
      </c>
    </row>
    <row r="23751" spans="1:10" x14ac:dyDescent="0.25">
      <c r="A23751" t="s">
        <v>255</v>
      </c>
      <c r="B23751" s="1" t="str">
        <f>HYPERLINK("http://groovemusic.fi","groovemusic.fi")</f>
        <v>groovemusic.fi</v>
      </c>
      <c r="C23751" t="s">
        <v>445</v>
      </c>
      <c r="D23751" t="s">
        <v>823</v>
      </c>
      <c r="J23751">
        <v>4</v>
      </c>
    </row>
    <row r="23752" spans="1:10" x14ac:dyDescent="0.25">
      <c r="A23752" t="s">
        <v>255</v>
      </c>
      <c r="B23752" s="1" t="str">
        <f>HYPERLINK("http://halo2.fi","halo2.fi")</f>
        <v>halo2.fi</v>
      </c>
      <c r="C23752" t="s">
        <v>445</v>
      </c>
      <c r="D23752" t="s">
        <v>823</v>
      </c>
      <c r="J23752">
        <v>6</v>
      </c>
    </row>
    <row r="23753" spans="1:10" x14ac:dyDescent="0.25">
      <c r="A23753" t="s">
        <v>255</v>
      </c>
      <c r="B23753" s="1" t="str">
        <f>HYPERLINK("http://hololens.fi","hololens.fi")</f>
        <v>hololens.fi</v>
      </c>
      <c r="C23753" t="s">
        <v>445</v>
      </c>
      <c r="D23753" t="s">
        <v>823</v>
      </c>
      <c r="J23753">
        <v>4</v>
      </c>
    </row>
    <row r="23754" spans="1:10" x14ac:dyDescent="0.25">
      <c r="A23754" t="s">
        <v>255</v>
      </c>
      <c r="B23754" s="1" t="str">
        <f>HYPERLINK("http://hotmail.fi","hotmail.fi")</f>
        <v>hotmail.fi</v>
      </c>
      <c r="C23754" t="s">
        <v>445</v>
      </c>
      <c r="D23754" t="s">
        <v>823</v>
      </c>
      <c r="F23754">
        <v>7.2230107152427604E-9</v>
      </c>
      <c r="G23754">
        <v>11675502</v>
      </c>
      <c r="H23754">
        <v>14119944</v>
      </c>
      <c r="I23754">
        <v>2413477</v>
      </c>
      <c r="J23754">
        <v>6</v>
      </c>
    </row>
    <row r="23755" spans="1:10" x14ac:dyDescent="0.25">
      <c r="A23755" t="s">
        <v>255</v>
      </c>
      <c r="B23755" s="1" t="str">
        <f>HYPERLINK("http://hotmail-int.fi","hotmail-int.fi")</f>
        <v>hotmail-int.fi</v>
      </c>
      <c r="C23755" t="s">
        <v>445</v>
      </c>
      <c r="D23755" t="s">
        <v>823</v>
      </c>
      <c r="J23755">
        <v>4</v>
      </c>
    </row>
    <row r="23756" spans="1:10" x14ac:dyDescent="0.25">
      <c r="A23756" t="s">
        <v>255</v>
      </c>
      <c r="B23756" s="1" t="str">
        <f>HYPERLINK("http://iegallery.fi","iegallery.fi")</f>
        <v>iegallery.fi</v>
      </c>
      <c r="C23756" t="s">
        <v>445</v>
      </c>
      <c r="D23756" t="s">
        <v>823</v>
      </c>
      <c r="J23756">
        <v>4</v>
      </c>
    </row>
    <row r="23757" spans="1:10" x14ac:dyDescent="0.25">
      <c r="A23757" t="s">
        <v>255</v>
      </c>
      <c r="B23757" s="1" t="str">
        <f>HYPERLINK("http://jumpahead.fi","jumpahead.fi")</f>
        <v>jumpahead.fi</v>
      </c>
      <c r="C23757" t="s">
        <v>445</v>
      </c>
      <c r="D23757" t="s">
        <v>823</v>
      </c>
      <c r="J23757">
        <v>4</v>
      </c>
    </row>
    <row r="23758" spans="1:10" x14ac:dyDescent="0.25">
      <c r="A23758" t="s">
        <v>255</v>
      </c>
      <c r="B23758" s="1" t="str">
        <f>HYPERLINK("http://kinect.fi","kinect.fi")</f>
        <v>kinect.fi</v>
      </c>
      <c r="C23758" t="s">
        <v>445</v>
      </c>
      <c r="D23758" t="s">
        <v>823</v>
      </c>
      <c r="J23758">
        <v>4</v>
      </c>
    </row>
    <row r="23759" spans="1:10" x14ac:dyDescent="0.25">
      <c r="A23759" t="s">
        <v>255</v>
      </c>
      <c r="B23759" s="1" t="str">
        <f>HYPERLINK("http://kinectforwindows.fi","kinectforwindows.fi")</f>
        <v>kinectforwindows.fi</v>
      </c>
      <c r="C23759" t="s">
        <v>445</v>
      </c>
      <c r="D23759" t="s">
        <v>823</v>
      </c>
      <c r="J23759">
        <v>4</v>
      </c>
    </row>
    <row r="23760" spans="1:10" x14ac:dyDescent="0.25">
      <c r="A23760" t="s">
        <v>255</v>
      </c>
      <c r="B23760" s="1" t="str">
        <f>HYPERLINK("http://kinectone.fi","kinectone.fi")</f>
        <v>kinectone.fi</v>
      </c>
      <c r="C23760" t="s">
        <v>445</v>
      </c>
      <c r="D23760" t="s">
        <v>823</v>
      </c>
      <c r="J23760">
        <v>4</v>
      </c>
    </row>
    <row r="23761" spans="1:10" x14ac:dyDescent="0.25">
      <c r="A23761" t="s">
        <v>255</v>
      </c>
      <c r="B23761" s="1" t="str">
        <f>HYPERLINK("http://liftlondon.fi","liftlondon.fi")</f>
        <v>liftlondon.fi</v>
      </c>
      <c r="C23761" t="s">
        <v>445</v>
      </c>
      <c r="D23761" t="s">
        <v>823</v>
      </c>
      <c r="J23761">
        <v>6</v>
      </c>
    </row>
    <row r="23762" spans="1:10" x14ac:dyDescent="0.25">
      <c r="A23762" t="s">
        <v>255</v>
      </c>
      <c r="B23762" s="1" t="str">
        <f>HYPERLINK("http://linkedin.fi","linkedin.fi")</f>
        <v>linkedin.fi</v>
      </c>
      <c r="C23762" t="s">
        <v>445</v>
      </c>
      <c r="D23762" t="s">
        <v>823</v>
      </c>
      <c r="F23762">
        <v>5.10574100021316E-9</v>
      </c>
      <c r="G23762">
        <v>26935960</v>
      </c>
      <c r="H23762">
        <v>12141115</v>
      </c>
      <c r="I23762">
        <v>24855250</v>
      </c>
      <c r="J23762">
        <v>4</v>
      </c>
    </row>
    <row r="23763" spans="1:10" x14ac:dyDescent="0.25">
      <c r="A23763" t="s">
        <v>255</v>
      </c>
      <c r="B23763" s="1" t="str">
        <f>HYPERLINK("http://live-int.fi","live-int.fi")</f>
        <v>live-int.fi</v>
      </c>
      <c r="C23763" t="s">
        <v>445</v>
      </c>
      <c r="D23763" t="s">
        <v>823</v>
      </c>
      <c r="J23763">
        <v>4</v>
      </c>
    </row>
    <row r="23764" spans="1:10" x14ac:dyDescent="0.25">
      <c r="A23764" t="s">
        <v>255</v>
      </c>
      <c r="B23764" s="1" t="str">
        <f>HYPERLINK("http://livemail.fi","livemail.fi")</f>
        <v>livemail.fi</v>
      </c>
      <c r="C23764" t="s">
        <v>445</v>
      </c>
      <c r="D23764" t="s">
        <v>823</v>
      </c>
      <c r="J23764">
        <v>4</v>
      </c>
    </row>
    <row r="23765" spans="1:10" x14ac:dyDescent="0.25">
      <c r="A23765" t="s">
        <v>255</v>
      </c>
      <c r="B23765" s="1" t="str">
        <f>HYPERLINK("http://lynda.fi","lynda.fi")</f>
        <v>lynda.fi</v>
      </c>
      <c r="C23765" t="s">
        <v>445</v>
      </c>
      <c r="D23765" t="s">
        <v>823</v>
      </c>
      <c r="J23765">
        <v>4</v>
      </c>
    </row>
    <row r="23766" spans="1:10" x14ac:dyDescent="0.25">
      <c r="A23766" t="s">
        <v>255</v>
      </c>
      <c r="B23766" s="1" t="str">
        <f>HYPERLINK("http://lynda-com.fi","lynda-com.fi")</f>
        <v>lynda-com.fi</v>
      </c>
      <c r="C23766" t="s">
        <v>445</v>
      </c>
      <c r="D23766" t="s">
        <v>823</v>
      </c>
      <c r="J23766">
        <v>4</v>
      </c>
    </row>
    <row r="23767" spans="1:10" x14ac:dyDescent="0.25">
      <c r="A23767" t="s">
        <v>255</v>
      </c>
      <c r="B23767" s="1" t="str">
        <f>HYPERLINK("http://lynda-training.fi","lynda-training.fi")</f>
        <v>lynda-training.fi</v>
      </c>
      <c r="C23767" t="s">
        <v>445</v>
      </c>
      <c r="D23767" t="s">
        <v>823</v>
      </c>
      <c r="J23767">
        <v>4</v>
      </c>
    </row>
    <row r="23768" spans="1:10" x14ac:dyDescent="0.25">
      <c r="A23768" t="s">
        <v>255</v>
      </c>
      <c r="B23768" s="1" t="str">
        <f>HYPERLINK("http://lyndacampus.fi","lyndacampus.fi")</f>
        <v>lyndacampus.fi</v>
      </c>
      <c r="C23768" t="s">
        <v>445</v>
      </c>
      <c r="D23768" t="s">
        <v>823</v>
      </c>
      <c r="J23768">
        <v>4</v>
      </c>
    </row>
    <row r="23769" spans="1:10" x14ac:dyDescent="0.25">
      <c r="A23769" t="s">
        <v>255</v>
      </c>
      <c r="B23769" s="1" t="str">
        <f>HYPERLINK("http://lyndadotcom.fi","lyndadotcom.fi")</f>
        <v>lyndadotcom.fi</v>
      </c>
      <c r="C23769" t="s">
        <v>445</v>
      </c>
      <c r="D23769" t="s">
        <v>823</v>
      </c>
      <c r="J23769">
        <v>4</v>
      </c>
    </row>
    <row r="23770" spans="1:10" x14ac:dyDescent="0.25">
      <c r="A23770" t="s">
        <v>255</v>
      </c>
      <c r="B23770" s="1" t="str">
        <f>HYPERLINK("http://lyndakiosk.fi","lyndakiosk.fi")</f>
        <v>lyndakiosk.fi</v>
      </c>
      <c r="C23770" t="s">
        <v>445</v>
      </c>
      <c r="D23770" t="s">
        <v>823</v>
      </c>
      <c r="J23770">
        <v>4</v>
      </c>
    </row>
    <row r="23771" spans="1:10" x14ac:dyDescent="0.25">
      <c r="A23771" t="s">
        <v>255</v>
      </c>
      <c r="B23771" s="1" t="str">
        <f>HYPERLINK("http://lyndalearning.fi","lyndalearning.fi")</f>
        <v>lyndalearning.fi</v>
      </c>
      <c r="C23771" t="s">
        <v>445</v>
      </c>
      <c r="D23771" t="s">
        <v>823</v>
      </c>
      <c r="J23771">
        <v>4</v>
      </c>
    </row>
    <row r="23772" spans="1:10" x14ac:dyDescent="0.25">
      <c r="A23772" t="s">
        <v>255</v>
      </c>
      <c r="B23772" s="1" t="str">
        <f>HYPERLINK("http://lyndalearningonline.fi","lyndalearningonline.fi")</f>
        <v>lyndalearningonline.fi</v>
      </c>
      <c r="C23772" t="s">
        <v>445</v>
      </c>
      <c r="D23772" t="s">
        <v>823</v>
      </c>
      <c r="J23772">
        <v>4</v>
      </c>
    </row>
    <row r="23773" spans="1:10" x14ac:dyDescent="0.25">
      <c r="A23773" t="s">
        <v>255</v>
      </c>
      <c r="B23773" s="1" t="str">
        <f>HYPERLINK("http://lyndaonline.fi","lyndaonline.fi")</f>
        <v>lyndaonline.fi</v>
      </c>
      <c r="C23773" t="s">
        <v>445</v>
      </c>
      <c r="D23773" t="s">
        <v>823</v>
      </c>
      <c r="J23773">
        <v>4</v>
      </c>
    </row>
    <row r="23774" spans="1:10" x14ac:dyDescent="0.25">
      <c r="A23774" t="s">
        <v>255</v>
      </c>
      <c r="B23774" s="1" t="str">
        <f>HYPERLINK("http://lyndaonline-training.fi","lyndaonline-training.fi")</f>
        <v>lyndaonline-training.fi</v>
      </c>
      <c r="C23774" t="s">
        <v>445</v>
      </c>
      <c r="D23774" t="s">
        <v>823</v>
      </c>
      <c r="J23774">
        <v>4</v>
      </c>
    </row>
    <row r="23775" spans="1:10" x14ac:dyDescent="0.25">
      <c r="A23775" t="s">
        <v>255</v>
      </c>
      <c r="B23775" s="1" t="str">
        <f>HYPERLINK("http://lyndaonlinetraining.fi","lyndaonlinetraining.fi")</f>
        <v>lyndaonlinetraining.fi</v>
      </c>
      <c r="C23775" t="s">
        <v>445</v>
      </c>
      <c r="D23775" t="s">
        <v>823</v>
      </c>
      <c r="J23775">
        <v>4</v>
      </c>
    </row>
    <row r="23776" spans="1:10" x14ac:dyDescent="0.25">
      <c r="A23776" t="s">
        <v>255</v>
      </c>
      <c r="B23776" s="1" t="str">
        <f>HYPERLINK("http://lyndapro.fi","lyndapro.fi")</f>
        <v>lyndapro.fi</v>
      </c>
      <c r="C23776" t="s">
        <v>445</v>
      </c>
      <c r="D23776" t="s">
        <v>823</v>
      </c>
      <c r="J23776">
        <v>4</v>
      </c>
    </row>
    <row r="23777" spans="1:10" x14ac:dyDescent="0.25">
      <c r="A23777" t="s">
        <v>255</v>
      </c>
      <c r="B23777" s="1" t="str">
        <f>HYPERLINK("http://lyndastore.fi","lyndastore.fi")</f>
        <v>lyndastore.fi</v>
      </c>
      <c r="C23777" t="s">
        <v>445</v>
      </c>
      <c r="D23777" t="s">
        <v>823</v>
      </c>
      <c r="J23777">
        <v>4</v>
      </c>
    </row>
    <row r="23778" spans="1:10" x14ac:dyDescent="0.25">
      <c r="A23778" t="s">
        <v>255</v>
      </c>
      <c r="B23778" s="1" t="str">
        <f>HYPERLINK("http://lyndastraining.fi","lyndastraining.fi")</f>
        <v>lyndastraining.fi</v>
      </c>
      <c r="C23778" t="s">
        <v>445</v>
      </c>
      <c r="D23778" t="s">
        <v>823</v>
      </c>
      <c r="J23778">
        <v>4</v>
      </c>
    </row>
    <row r="23779" spans="1:10" x14ac:dyDescent="0.25">
      <c r="A23779" t="s">
        <v>255</v>
      </c>
      <c r="B23779" s="1" t="str">
        <f>HYPERLINK("http://lyndatraining.fi","lyndatraining.fi")</f>
        <v>lyndatraining.fi</v>
      </c>
      <c r="C23779" t="s">
        <v>445</v>
      </c>
      <c r="D23779" t="s">
        <v>823</v>
      </c>
      <c r="J23779">
        <v>4</v>
      </c>
    </row>
    <row r="23780" spans="1:10" x14ac:dyDescent="0.25">
      <c r="A23780" t="s">
        <v>255</v>
      </c>
      <c r="B23780" s="1" t="str">
        <f>HYPERLINK("http://lyndatv.fi","lyndatv.fi")</f>
        <v>lyndatv.fi</v>
      </c>
      <c r="C23780" t="s">
        <v>445</v>
      </c>
      <c r="D23780" t="s">
        <v>823</v>
      </c>
      <c r="J23780">
        <v>4</v>
      </c>
    </row>
    <row r="23781" spans="1:10" x14ac:dyDescent="0.25">
      <c r="A23781" t="s">
        <v>255</v>
      </c>
      <c r="B23781" s="1" t="str">
        <f>HYPERLINK("http://mactopia.fi","mactopia.fi")</f>
        <v>mactopia.fi</v>
      </c>
      <c r="C23781" t="s">
        <v>445</v>
      </c>
      <c r="D23781" t="s">
        <v>823</v>
      </c>
      <c r="J23781">
        <v>6</v>
      </c>
    </row>
    <row r="23782" spans="1:10" x14ac:dyDescent="0.25">
      <c r="A23782" t="s">
        <v>255</v>
      </c>
      <c r="B23782" s="1" t="str">
        <f>HYPERLINK("http://microsoft.fi","microsoft.fi")</f>
        <v>microsoft.fi</v>
      </c>
      <c r="C23782" t="s">
        <v>445</v>
      </c>
      <c r="D23782" t="s">
        <v>823</v>
      </c>
      <c r="F23782">
        <v>3.0900683920883601E-8</v>
      </c>
      <c r="G23782">
        <v>1667263</v>
      </c>
      <c r="H23782">
        <v>14471527</v>
      </c>
      <c r="I23782">
        <v>1041586</v>
      </c>
      <c r="J23782">
        <v>2</v>
      </c>
    </row>
    <row r="23783" spans="1:10" x14ac:dyDescent="0.25">
      <c r="A23783" t="s">
        <v>255</v>
      </c>
      <c r="B23783" s="1" t="str">
        <f>HYPERLINK("http://microsoftadvertising.fi","microsoftadvertising.fi")</f>
        <v>microsoftadvertising.fi</v>
      </c>
      <c r="C23783" t="s">
        <v>445</v>
      </c>
      <c r="D23783" t="s">
        <v>823</v>
      </c>
      <c r="J23783">
        <v>4</v>
      </c>
    </row>
    <row r="23784" spans="1:10" x14ac:dyDescent="0.25">
      <c r="A23784" t="s">
        <v>255</v>
      </c>
      <c r="B23784" s="1" t="str">
        <f>HYPERLINK("http://microsoftaudienceads.fi","microsoftaudienceads.fi")</f>
        <v>microsoftaudienceads.fi</v>
      </c>
      <c r="C23784" t="s">
        <v>445</v>
      </c>
      <c r="D23784" t="s">
        <v>823</v>
      </c>
      <c r="J23784">
        <v>2</v>
      </c>
    </row>
    <row r="23785" spans="1:10" x14ac:dyDescent="0.25">
      <c r="A23785" t="s">
        <v>255</v>
      </c>
      <c r="B23785" s="1" t="str">
        <f>HYPERLINK("http://microsoftaudiencenetwork.fi","microsoftaudiencenetwork.fi")</f>
        <v>microsoftaudiencenetwork.fi</v>
      </c>
      <c r="C23785" t="s">
        <v>445</v>
      </c>
      <c r="D23785" t="s">
        <v>823</v>
      </c>
      <c r="J23785">
        <v>2</v>
      </c>
    </row>
    <row r="23786" spans="1:10" x14ac:dyDescent="0.25">
      <c r="A23786" t="s">
        <v>255</v>
      </c>
      <c r="B23786" s="1" t="str">
        <f>HYPERLINK("http://microsoftazure.fi","microsoftazure.fi")</f>
        <v>microsoftazure.fi</v>
      </c>
      <c r="C23786" t="s">
        <v>445</v>
      </c>
      <c r="D23786" t="s">
        <v>823</v>
      </c>
      <c r="J23786">
        <v>4</v>
      </c>
    </row>
    <row r="23787" spans="1:10" x14ac:dyDescent="0.25">
      <c r="A23787" t="s">
        <v>255</v>
      </c>
      <c r="B23787" s="1" t="str">
        <f>HYPERLINK("http://microsoftband.fi","microsoftband.fi")</f>
        <v>microsoftband.fi</v>
      </c>
      <c r="C23787" t="s">
        <v>445</v>
      </c>
      <c r="D23787" t="s">
        <v>823</v>
      </c>
      <c r="J23787">
        <v>4</v>
      </c>
    </row>
    <row r="23788" spans="1:10" x14ac:dyDescent="0.25">
      <c r="A23788" t="s">
        <v>255</v>
      </c>
      <c r="B23788" s="1" t="str">
        <f>HYPERLINK("http://microsoftcenter.fi","microsoftcenter.fi")</f>
        <v>microsoftcenter.fi</v>
      </c>
      <c r="C23788" t="s">
        <v>445</v>
      </c>
      <c r="D23788" t="s">
        <v>823</v>
      </c>
      <c r="J23788">
        <v>4</v>
      </c>
    </row>
    <row r="23789" spans="1:10" x14ac:dyDescent="0.25">
      <c r="A23789" t="s">
        <v>255</v>
      </c>
      <c r="B23789" s="1" t="str">
        <f>HYPERLINK("http://microsoftdataflex.fi","microsoftdataflex.fi")</f>
        <v>microsoftdataflex.fi</v>
      </c>
      <c r="C23789" t="s">
        <v>445</v>
      </c>
      <c r="D23789" t="s">
        <v>823</v>
      </c>
      <c r="J23789">
        <v>2</v>
      </c>
    </row>
    <row r="23790" spans="1:10" x14ac:dyDescent="0.25">
      <c r="A23790" t="s">
        <v>255</v>
      </c>
      <c r="B23790" s="1" t="str">
        <f>HYPERLINK("http://microsoftdataverse.fi","microsoftdataverse.fi")</f>
        <v>microsoftdataverse.fi</v>
      </c>
      <c r="C23790" t="s">
        <v>445</v>
      </c>
      <c r="D23790" t="s">
        <v>823</v>
      </c>
      <c r="J23790">
        <v>2</v>
      </c>
    </row>
    <row r="23791" spans="1:10" x14ac:dyDescent="0.25">
      <c r="A23791" t="s">
        <v>255</v>
      </c>
      <c r="B23791" s="1" t="str">
        <f>HYPERLINK("http://microsoftedge.fi","microsoftedge.fi")</f>
        <v>microsoftedge.fi</v>
      </c>
      <c r="C23791" t="s">
        <v>445</v>
      </c>
      <c r="D23791" t="s">
        <v>823</v>
      </c>
      <c r="J23791">
        <v>4</v>
      </c>
    </row>
    <row r="23792" spans="1:10" x14ac:dyDescent="0.25">
      <c r="A23792" t="s">
        <v>255</v>
      </c>
      <c r="B23792" s="1" t="str">
        <f>HYPERLINK("http://microsoftforefront.fi","microsoftforefront.fi")</f>
        <v>microsoftforefront.fi</v>
      </c>
      <c r="C23792" t="s">
        <v>445</v>
      </c>
      <c r="D23792" t="s">
        <v>823</v>
      </c>
      <c r="J23792">
        <v>4</v>
      </c>
    </row>
    <row r="23793" spans="1:10" x14ac:dyDescent="0.25">
      <c r="A23793" t="s">
        <v>255</v>
      </c>
      <c r="B23793" s="1" t="str">
        <f>HYPERLINK("http://microsoftgroove.fi","microsoftgroove.fi")</f>
        <v>microsoftgroove.fi</v>
      </c>
      <c r="C23793" t="s">
        <v>445</v>
      </c>
      <c r="D23793" t="s">
        <v>823</v>
      </c>
      <c r="J23793">
        <v>4</v>
      </c>
    </row>
    <row r="23794" spans="1:10" x14ac:dyDescent="0.25">
      <c r="A23794" t="s">
        <v>255</v>
      </c>
      <c r="B23794" s="1" t="str">
        <f>HYPERLINK("http://microsofthealth.fi","microsofthealth.fi")</f>
        <v>microsofthealth.fi</v>
      </c>
      <c r="C23794" t="s">
        <v>445</v>
      </c>
      <c r="D23794" t="s">
        <v>823</v>
      </c>
      <c r="J23794">
        <v>4</v>
      </c>
    </row>
    <row r="23795" spans="1:10" x14ac:dyDescent="0.25">
      <c r="A23795" t="s">
        <v>255</v>
      </c>
      <c r="B23795" s="1" t="str">
        <f>HYPERLINK("http://microsofthup.fi","microsofthup.fi")</f>
        <v>microsofthup.fi</v>
      </c>
      <c r="C23795" t="s">
        <v>445</v>
      </c>
      <c r="D23795" t="s">
        <v>823</v>
      </c>
      <c r="J23795">
        <v>4</v>
      </c>
    </row>
    <row r="23796" spans="1:10" x14ac:dyDescent="0.25">
      <c r="A23796" t="s">
        <v>255</v>
      </c>
      <c r="B23796" s="1" t="str">
        <f>HYPERLINK("http://microsoftignite.fi","microsoftignite.fi")</f>
        <v>microsoftignite.fi</v>
      </c>
      <c r="C23796" t="s">
        <v>445</v>
      </c>
      <c r="D23796" t="s">
        <v>823</v>
      </c>
      <c r="J23796">
        <v>4</v>
      </c>
    </row>
    <row r="23797" spans="1:10" x14ac:dyDescent="0.25">
      <c r="A23797" t="s">
        <v>255</v>
      </c>
      <c r="B23797" s="1" t="str">
        <f>HYPERLINK("http://microsoftnews.fi","microsoftnews.fi")</f>
        <v>microsoftnews.fi</v>
      </c>
      <c r="C23797" t="s">
        <v>445</v>
      </c>
      <c r="D23797" t="s">
        <v>823</v>
      </c>
      <c r="J23797">
        <v>2</v>
      </c>
    </row>
    <row r="23798" spans="1:10" x14ac:dyDescent="0.25">
      <c r="A23798" t="s">
        <v>255</v>
      </c>
      <c r="B23798" s="1" t="str">
        <f>HYPERLINK("http://microsoftonline.fi","microsoftonline.fi")</f>
        <v>microsoftonline.fi</v>
      </c>
      <c r="C23798" t="s">
        <v>445</v>
      </c>
      <c r="D23798" t="s">
        <v>823</v>
      </c>
      <c r="J23798">
        <v>4</v>
      </c>
    </row>
    <row r="23799" spans="1:10" x14ac:dyDescent="0.25">
      <c r="A23799" t="s">
        <v>255</v>
      </c>
      <c r="B23799" s="1" t="str">
        <f>HYPERLINK("http://microsoftpowerautomate.fi","microsoftpowerautomate.fi")</f>
        <v>microsoftpowerautomate.fi</v>
      </c>
      <c r="C23799" t="s">
        <v>445</v>
      </c>
      <c r="D23799" t="s">
        <v>823</v>
      </c>
      <c r="J23799">
        <v>2</v>
      </c>
    </row>
    <row r="23800" spans="1:10" x14ac:dyDescent="0.25">
      <c r="A23800" t="s">
        <v>255</v>
      </c>
      <c r="B23800" s="1" t="str">
        <f>HYPERLINK("http://microsoftpowerpages.fi","microsoftpowerpages.fi")</f>
        <v>microsoftpowerpages.fi</v>
      </c>
      <c r="C23800" t="s">
        <v>445</v>
      </c>
      <c r="D23800" t="s">
        <v>823</v>
      </c>
      <c r="J23800">
        <v>2</v>
      </c>
    </row>
    <row r="23801" spans="1:10" x14ac:dyDescent="0.25">
      <c r="A23801" t="s">
        <v>255</v>
      </c>
      <c r="B23801" s="1" t="str">
        <f>HYPERLINK("http://microsoftpowerplatform.fi","microsoftpowerplatform.fi")</f>
        <v>microsoftpowerplatform.fi</v>
      </c>
      <c r="C23801" t="s">
        <v>445</v>
      </c>
      <c r="D23801" t="s">
        <v>823</v>
      </c>
      <c r="J23801">
        <v>2</v>
      </c>
    </row>
    <row r="23802" spans="1:10" x14ac:dyDescent="0.25">
      <c r="A23802" t="s">
        <v>255</v>
      </c>
      <c r="B23802" s="1" t="str">
        <f>HYPERLINK("http://microsoftpowerquery.fi","microsoftpowerquery.fi")</f>
        <v>microsoftpowerquery.fi</v>
      </c>
      <c r="C23802" t="s">
        <v>445</v>
      </c>
      <c r="D23802" t="s">
        <v>823</v>
      </c>
      <c r="J23802">
        <v>2</v>
      </c>
    </row>
    <row r="23803" spans="1:10" x14ac:dyDescent="0.25">
      <c r="A23803" t="s">
        <v>255</v>
      </c>
      <c r="B23803" s="1" t="str">
        <f>HYPERLINK("http://microsoftpowervirtualagent.fi","microsoftpowervirtualagent.fi")</f>
        <v>microsoftpowervirtualagent.fi</v>
      </c>
      <c r="C23803" t="s">
        <v>445</v>
      </c>
      <c r="D23803" t="s">
        <v>823</v>
      </c>
      <c r="J23803">
        <v>2</v>
      </c>
    </row>
    <row r="23804" spans="1:10" x14ac:dyDescent="0.25">
      <c r="A23804" t="s">
        <v>255</v>
      </c>
      <c r="B23804" s="1" t="str">
        <f>HYPERLINK("http://microsoftpowervirtualagents.fi","microsoftpowervirtualagents.fi")</f>
        <v>microsoftpowervirtualagents.fi</v>
      </c>
      <c r="C23804" t="s">
        <v>445</v>
      </c>
      <c r="D23804" t="s">
        <v>823</v>
      </c>
      <c r="J23804">
        <v>2</v>
      </c>
    </row>
    <row r="23805" spans="1:10" x14ac:dyDescent="0.25">
      <c r="A23805" t="s">
        <v>255</v>
      </c>
      <c r="B23805" s="1" t="str">
        <f>HYPERLINK("http://microsoftreactor.fi","microsoftreactor.fi")</f>
        <v>microsoftreactor.fi</v>
      </c>
      <c r="C23805" t="s">
        <v>445</v>
      </c>
      <c r="D23805" t="s">
        <v>823</v>
      </c>
      <c r="J23805">
        <v>2</v>
      </c>
    </row>
    <row r="23806" spans="1:10" x14ac:dyDescent="0.25">
      <c r="A23806" t="s">
        <v>255</v>
      </c>
      <c r="B23806" s="1" t="str">
        <f>HYPERLINK("http://microsoftsmartglass.fi","microsoftsmartglass.fi")</f>
        <v>microsoftsmartglass.fi</v>
      </c>
      <c r="C23806" t="s">
        <v>445</v>
      </c>
      <c r="D23806" t="s">
        <v>823</v>
      </c>
      <c r="J23806">
        <v>4</v>
      </c>
    </row>
    <row r="23807" spans="1:10" x14ac:dyDescent="0.25">
      <c r="A23807" t="s">
        <v>255</v>
      </c>
      <c r="B23807" s="1" t="str">
        <f>HYPERLINK("http://microsoftstart.fi","microsoftstart.fi")</f>
        <v>microsoftstart.fi</v>
      </c>
      <c r="C23807" t="s">
        <v>445</v>
      </c>
      <c r="D23807" t="s">
        <v>823</v>
      </c>
      <c r="J23807">
        <v>2</v>
      </c>
    </row>
    <row r="23808" spans="1:10" x14ac:dyDescent="0.25">
      <c r="A23808" t="s">
        <v>255</v>
      </c>
      <c r="B23808" s="1" t="str">
        <f>HYPERLINK("http://microsoftstore.fi","microsoftstore.fi")</f>
        <v>microsoftstore.fi</v>
      </c>
      <c r="C23808" t="s">
        <v>445</v>
      </c>
      <c r="D23808" t="s">
        <v>823</v>
      </c>
      <c r="F23808">
        <v>5.40348956183065E-9</v>
      </c>
      <c r="G23808">
        <v>22069830</v>
      </c>
      <c r="H23808">
        <v>12438826</v>
      </c>
      <c r="I23808">
        <v>18158425</v>
      </c>
      <c r="J23808">
        <v>4</v>
      </c>
    </row>
    <row r="23809" spans="1:10" x14ac:dyDescent="0.25">
      <c r="A23809" t="s">
        <v>255</v>
      </c>
      <c r="B23809" s="1" t="str">
        <f>HYPERLINK("http://microsoftsurface.fi","microsoftsurface.fi")</f>
        <v>microsoftsurface.fi</v>
      </c>
      <c r="C23809" t="s">
        <v>445</v>
      </c>
      <c r="D23809" t="s">
        <v>823</v>
      </c>
      <c r="J23809">
        <v>4</v>
      </c>
    </row>
    <row r="23810" spans="1:10" x14ac:dyDescent="0.25">
      <c r="A23810" t="s">
        <v>255</v>
      </c>
      <c r="B23810" s="1" t="str">
        <f>HYPERLINK("http://microsoftuutiset.fi","microsoftuutiset.fi")</f>
        <v>microsoftuutiset.fi</v>
      </c>
      <c r="C23810" t="s">
        <v>445</v>
      </c>
      <c r="D23810" t="s">
        <v>823</v>
      </c>
      <c r="J23810">
        <v>2</v>
      </c>
    </row>
    <row r="23811" spans="1:10" x14ac:dyDescent="0.25">
      <c r="A23811" t="s">
        <v>255</v>
      </c>
      <c r="B23811" s="1" t="str">
        <f>HYPERLINK("http://microsoftwindowsmobile.fi","microsoftwindowsmobile.fi")</f>
        <v>microsoftwindowsmobile.fi</v>
      </c>
      <c r="C23811" t="s">
        <v>445</v>
      </c>
      <c r="D23811" t="s">
        <v>823</v>
      </c>
      <c r="J23811">
        <v>4</v>
      </c>
    </row>
    <row r="23812" spans="1:10" x14ac:dyDescent="0.25">
      <c r="A23812" t="s">
        <v>255</v>
      </c>
      <c r="B23812" s="1" t="str">
        <f>HYPERLINK("http://msdn.fi","msdn.fi")</f>
        <v>msdn.fi</v>
      </c>
      <c r="C23812" t="s">
        <v>445</v>
      </c>
      <c r="D23812" t="s">
        <v>823</v>
      </c>
      <c r="J23812">
        <v>4</v>
      </c>
    </row>
    <row r="23813" spans="1:10" x14ac:dyDescent="0.25">
      <c r="A23813" t="s">
        <v>255</v>
      </c>
      <c r="B23813" s="1" t="str">
        <f>HYPERLINK("http://msgamestudios.fi","msgamestudios.fi")</f>
        <v>msgamestudios.fi</v>
      </c>
      <c r="C23813" t="s">
        <v>445</v>
      </c>
      <c r="D23813" t="s">
        <v>823</v>
      </c>
      <c r="J23813">
        <v>4</v>
      </c>
    </row>
    <row r="23814" spans="1:10" x14ac:dyDescent="0.25">
      <c r="A23814" t="s">
        <v>255</v>
      </c>
      <c r="B23814" s="1" t="str">
        <f>HYPERLINK("http://msn.fi","msn.fi")</f>
        <v>msn.fi</v>
      </c>
      <c r="C23814" t="s">
        <v>445</v>
      </c>
      <c r="D23814" t="s">
        <v>823</v>
      </c>
      <c r="F23814">
        <v>1.22816726917384E-8</v>
      </c>
      <c r="G23814">
        <v>5004361</v>
      </c>
      <c r="H23814">
        <v>14270895</v>
      </c>
      <c r="I23814">
        <v>1397562</v>
      </c>
      <c r="J23814">
        <v>6</v>
      </c>
    </row>
    <row r="23815" spans="1:10" x14ac:dyDescent="0.25">
      <c r="A23815" t="s">
        <v>255</v>
      </c>
      <c r="B23815" s="1" t="str">
        <f>HYPERLINK("http://o365filtering.fi","o365filtering.fi")</f>
        <v>o365filtering.fi</v>
      </c>
      <c r="C23815" t="s">
        <v>445</v>
      </c>
      <c r="D23815" t="s">
        <v>823</v>
      </c>
      <c r="J23815">
        <v>2</v>
      </c>
    </row>
    <row r="23816" spans="1:10" x14ac:dyDescent="0.25">
      <c r="A23816" t="s">
        <v>255</v>
      </c>
      <c r="B23816" s="1" t="str">
        <f>HYPERLINK("http://office.fi","office.fi")</f>
        <v>office.fi</v>
      </c>
      <c r="C23816" t="s">
        <v>445</v>
      </c>
      <c r="D23816" t="s">
        <v>823</v>
      </c>
      <c r="F23816">
        <v>4.7068370232519996E-9</v>
      </c>
      <c r="G23816">
        <v>40893235</v>
      </c>
      <c r="H23816">
        <v>10722708</v>
      </c>
      <c r="I23816">
        <v>41580093</v>
      </c>
      <c r="J23816">
        <v>6</v>
      </c>
    </row>
    <row r="23817" spans="1:10" x14ac:dyDescent="0.25">
      <c r="A23817" t="s">
        <v>255</v>
      </c>
      <c r="B23817" s="1" t="str">
        <f>HYPERLINK("http://office365.fi","office365.fi")</f>
        <v>office365.fi</v>
      </c>
      <c r="C23817" t="s">
        <v>445</v>
      </c>
      <c r="D23817" t="s">
        <v>823</v>
      </c>
      <c r="F23817">
        <v>5.2377274917421396E-9</v>
      </c>
      <c r="G23817">
        <v>24450682</v>
      </c>
      <c r="H23817">
        <v>9330326</v>
      </c>
      <c r="I23817">
        <v>68218974</v>
      </c>
      <c r="J23817">
        <v>4</v>
      </c>
    </row>
    <row r="23818" spans="1:10" x14ac:dyDescent="0.25">
      <c r="A23818" t="s">
        <v>255</v>
      </c>
      <c r="B23818" s="1" t="str">
        <f>HYPERLINK("http://onedrive.fi","onedrive.fi")</f>
        <v>onedrive.fi</v>
      </c>
      <c r="C23818" t="s">
        <v>445</v>
      </c>
      <c r="D23818" t="s">
        <v>823</v>
      </c>
      <c r="J23818">
        <v>2</v>
      </c>
    </row>
    <row r="23819" spans="1:10" x14ac:dyDescent="0.25">
      <c r="A23819" t="s">
        <v>255</v>
      </c>
      <c r="B23819" s="1" t="str">
        <f>HYPERLINK("http://onedriveforbusiness.fi","onedriveforbusiness.fi")</f>
        <v>onedriveforbusiness.fi</v>
      </c>
      <c r="C23819" t="s">
        <v>445</v>
      </c>
      <c r="D23819" t="s">
        <v>823</v>
      </c>
      <c r="J23819">
        <v>4</v>
      </c>
    </row>
    <row r="23820" spans="1:10" x14ac:dyDescent="0.25">
      <c r="A23820" t="s">
        <v>255</v>
      </c>
      <c r="B23820" s="1" t="str">
        <f>HYPERLINK("http://pinmysite.fi","pinmysite.fi")</f>
        <v>pinmysite.fi</v>
      </c>
      <c r="C23820" t="s">
        <v>445</v>
      </c>
      <c r="D23820" t="s">
        <v>823</v>
      </c>
      <c r="J23820">
        <v>4</v>
      </c>
    </row>
    <row r="23821" spans="1:10" x14ac:dyDescent="0.25">
      <c r="A23821" t="s">
        <v>255</v>
      </c>
      <c r="B23821" s="1" t="str">
        <f>HYPERLINK("http://power-pages.fi","power-pages.fi")</f>
        <v>power-pages.fi</v>
      </c>
      <c r="C23821" t="s">
        <v>445</v>
      </c>
      <c r="D23821" t="s">
        <v>823</v>
      </c>
      <c r="J23821">
        <v>2</v>
      </c>
    </row>
    <row r="23822" spans="1:10" x14ac:dyDescent="0.25">
      <c r="A23822" t="s">
        <v>255</v>
      </c>
      <c r="B23822" s="1" t="str">
        <f>HYPERLINK("http://powerautomate.fi","powerautomate.fi")</f>
        <v>powerautomate.fi</v>
      </c>
      <c r="C23822" t="s">
        <v>445</v>
      </c>
      <c r="D23822" t="s">
        <v>823</v>
      </c>
      <c r="J23822">
        <v>2</v>
      </c>
    </row>
    <row r="23823" spans="1:10" x14ac:dyDescent="0.25">
      <c r="A23823" t="s">
        <v>255</v>
      </c>
      <c r="B23823" s="1" t="str">
        <f>HYPERLINK("http://powerautomatedesktop.fi","powerautomatedesktop.fi")</f>
        <v>powerautomatedesktop.fi</v>
      </c>
      <c r="C23823" t="s">
        <v>445</v>
      </c>
      <c r="D23823" t="s">
        <v>823</v>
      </c>
      <c r="J23823">
        <v>2</v>
      </c>
    </row>
    <row r="23824" spans="1:10" x14ac:dyDescent="0.25">
      <c r="A23824" t="s">
        <v>255</v>
      </c>
      <c r="B23824" s="1" t="str">
        <f>HYPERLINK("http://powerpages.fi","powerpages.fi")</f>
        <v>powerpages.fi</v>
      </c>
      <c r="C23824" t="s">
        <v>445</v>
      </c>
      <c r="D23824" t="s">
        <v>823</v>
      </c>
      <c r="J23824">
        <v>2</v>
      </c>
    </row>
    <row r="23825" spans="1:10" x14ac:dyDescent="0.25">
      <c r="A23825" t="s">
        <v>255</v>
      </c>
      <c r="B23825" s="1" t="str">
        <f>HYPERLINK("http://powerquery.fi","powerquery.fi")</f>
        <v>powerquery.fi</v>
      </c>
      <c r="C23825" t="s">
        <v>445</v>
      </c>
      <c r="D23825" t="s">
        <v>823</v>
      </c>
      <c r="J23825">
        <v>2</v>
      </c>
    </row>
    <row r="23826" spans="1:10" x14ac:dyDescent="0.25">
      <c r="A23826" t="s">
        <v>255</v>
      </c>
      <c r="B23826" s="1" t="str">
        <f>HYPERLINK("http://powervirtualagent.fi","powervirtualagent.fi")</f>
        <v>powervirtualagent.fi</v>
      </c>
      <c r="C23826" t="s">
        <v>445</v>
      </c>
      <c r="D23826" t="s">
        <v>823</v>
      </c>
      <c r="J23826">
        <v>2</v>
      </c>
    </row>
    <row r="23827" spans="1:10" x14ac:dyDescent="0.25">
      <c r="A23827" t="s">
        <v>255</v>
      </c>
      <c r="B23827" s="1" t="str">
        <f>HYPERLINK("http://powervirtualagents.fi","powervirtualagents.fi")</f>
        <v>powervirtualagents.fi</v>
      </c>
      <c r="C23827" t="s">
        <v>445</v>
      </c>
      <c r="D23827" t="s">
        <v>823</v>
      </c>
      <c r="J23827">
        <v>2</v>
      </c>
    </row>
    <row r="23828" spans="1:10" x14ac:dyDescent="0.25">
      <c r="A23828" t="s">
        <v>255</v>
      </c>
      <c r="B23828" s="1" t="str">
        <f>HYPERLINK("http://productinsights.fi","productinsights.fi")</f>
        <v>productinsights.fi</v>
      </c>
      <c r="C23828" t="s">
        <v>445</v>
      </c>
      <c r="D23828" t="s">
        <v>823</v>
      </c>
      <c r="J23828">
        <v>4</v>
      </c>
    </row>
    <row r="23829" spans="1:10" x14ac:dyDescent="0.25">
      <c r="A23829" t="s">
        <v>255</v>
      </c>
      <c r="B23829" s="1" t="str">
        <f>HYPERLINK("http://reactormicrosoft.fi","reactormicrosoft.fi")</f>
        <v>reactormicrosoft.fi</v>
      </c>
      <c r="C23829" t="s">
        <v>445</v>
      </c>
      <c r="D23829" t="s">
        <v>823</v>
      </c>
      <c r="J23829">
        <v>2</v>
      </c>
    </row>
    <row r="23830" spans="1:10" x14ac:dyDescent="0.25">
      <c r="A23830" t="s">
        <v>255</v>
      </c>
      <c r="B23830" s="1" t="str">
        <f>HYPERLINK("http://seaofthieves.fi","seaofthieves.fi")</f>
        <v>seaofthieves.fi</v>
      </c>
      <c r="C23830" t="s">
        <v>445</v>
      </c>
      <c r="D23830" t="s">
        <v>823</v>
      </c>
      <c r="J23830">
        <v>2</v>
      </c>
    </row>
    <row r="23831" spans="1:10" x14ac:dyDescent="0.25">
      <c r="A23831" t="s">
        <v>255</v>
      </c>
      <c r="B23831" s="1" t="str">
        <f>HYPERLINK("http://silverlight.fi","silverlight.fi")</f>
        <v>silverlight.fi</v>
      </c>
      <c r="C23831" t="s">
        <v>445</v>
      </c>
      <c r="D23831" t="s">
        <v>823</v>
      </c>
      <c r="J23831">
        <v>4</v>
      </c>
    </row>
    <row r="23832" spans="1:10" x14ac:dyDescent="0.25">
      <c r="A23832" t="s">
        <v>255</v>
      </c>
      <c r="B23832" s="1" t="str">
        <f>HYPERLINK("http://skype.fi","skype.fi")</f>
        <v>skype.fi</v>
      </c>
      <c r="C23832" t="s">
        <v>445</v>
      </c>
      <c r="D23832" t="s">
        <v>823</v>
      </c>
      <c r="F23832">
        <v>4.7101023997190903E-9</v>
      </c>
      <c r="G23832">
        <v>40737448</v>
      </c>
      <c r="H23832">
        <v>13763738</v>
      </c>
      <c r="I23832">
        <v>7712764</v>
      </c>
      <c r="J23832">
        <v>6</v>
      </c>
    </row>
    <row r="23833" spans="1:10" x14ac:dyDescent="0.25">
      <c r="A23833" t="s">
        <v>255</v>
      </c>
      <c r="B23833" s="1" t="str">
        <f>HYPERLINK("http://supplychainmanagement.fi","supplychainmanagement.fi")</f>
        <v>supplychainmanagement.fi</v>
      </c>
      <c r="C23833" t="s">
        <v>445</v>
      </c>
      <c r="D23833" t="s">
        <v>823</v>
      </c>
      <c r="J23833">
        <v>4</v>
      </c>
    </row>
    <row r="23834" spans="1:10" x14ac:dyDescent="0.25">
      <c r="A23834" t="s">
        <v>255</v>
      </c>
      <c r="B23834" s="1" t="str">
        <f>HYPERLINK("http://surfacehub.fi","surfacehub.fi")</f>
        <v>surfacehub.fi</v>
      </c>
      <c r="C23834" t="s">
        <v>445</v>
      </c>
      <c r="D23834" t="s">
        <v>823</v>
      </c>
      <c r="J23834">
        <v>4</v>
      </c>
    </row>
    <row r="23835" spans="1:10" x14ac:dyDescent="0.25">
      <c r="A23835" t="s">
        <v>255</v>
      </c>
      <c r="B23835" s="1" t="str">
        <f>HYPERLINK("http://turbopump.fi","turbopump.fi")</f>
        <v>turbopump.fi</v>
      </c>
      <c r="C23835" t="s">
        <v>445</v>
      </c>
      <c r="D23835" t="s">
        <v>823</v>
      </c>
      <c r="F23835">
        <v>1.6753847698059601E-8</v>
      </c>
      <c r="G23835">
        <v>3344930</v>
      </c>
      <c r="H23835">
        <v>13804282</v>
      </c>
      <c r="I23835">
        <v>6251437</v>
      </c>
      <c r="J23835">
        <v>2</v>
      </c>
    </row>
    <row r="23836" spans="1:10" x14ac:dyDescent="0.25">
      <c r="A23836" t="s">
        <v>255</v>
      </c>
      <c r="B23836" s="1" t="str">
        <f>HYPERLINK("http://virtualshinygoals.fi","virtualshinygoals.fi")</f>
        <v>virtualshinygoals.fi</v>
      </c>
      <c r="C23836" t="s">
        <v>445</v>
      </c>
      <c r="D23836" t="s">
        <v>823</v>
      </c>
      <c r="J23836">
        <v>4</v>
      </c>
    </row>
    <row r="23837" spans="1:10" x14ac:dyDescent="0.25">
      <c r="A23837" t="s">
        <v>255</v>
      </c>
      <c r="B23837" s="1" t="str">
        <f>HYPERLINK("http://windows.fi","windows.fi")</f>
        <v>windows.fi</v>
      </c>
      <c r="C23837" t="s">
        <v>445</v>
      </c>
      <c r="D23837" t="s">
        <v>823</v>
      </c>
      <c r="F23837">
        <v>4.4515304803410998E-9</v>
      </c>
      <c r="G23837">
        <v>71107837</v>
      </c>
      <c r="H23837">
        <v>10723931</v>
      </c>
      <c r="I23837">
        <v>41447358</v>
      </c>
      <c r="J23837">
        <v>6</v>
      </c>
    </row>
    <row r="23838" spans="1:10" x14ac:dyDescent="0.25">
      <c r="A23838" t="s">
        <v>255</v>
      </c>
      <c r="B23838" s="1" t="str">
        <f>HYPERLINK("http://windows10.fi","windows10.fi")</f>
        <v>windows10.fi</v>
      </c>
      <c r="C23838" t="s">
        <v>445</v>
      </c>
      <c r="D23838" t="s">
        <v>823</v>
      </c>
      <c r="J23838">
        <v>4</v>
      </c>
    </row>
    <row r="23839" spans="1:10" x14ac:dyDescent="0.25">
      <c r="A23839" t="s">
        <v>255</v>
      </c>
      <c r="B23839" s="1" t="str">
        <f>HYPERLINK("http://windows8.fi","windows8.fi")</f>
        <v>windows8.fi</v>
      </c>
      <c r="C23839" t="s">
        <v>445</v>
      </c>
      <c r="D23839" t="s">
        <v>823</v>
      </c>
      <c r="J23839">
        <v>4</v>
      </c>
    </row>
    <row r="23840" spans="1:10" x14ac:dyDescent="0.25">
      <c r="A23840" t="s">
        <v>255</v>
      </c>
      <c r="B23840" s="1" t="str">
        <f>HYPERLINK("http://windowsazure.fi","windowsazure.fi")</f>
        <v>windowsazure.fi</v>
      </c>
      <c r="C23840" t="s">
        <v>445</v>
      </c>
      <c r="D23840" t="s">
        <v>823</v>
      </c>
      <c r="J23840">
        <v>4</v>
      </c>
    </row>
    <row r="23841" spans="1:10" x14ac:dyDescent="0.25">
      <c r="A23841" t="s">
        <v>255</v>
      </c>
      <c r="B23841" s="1" t="str">
        <f>HYPERLINK("http://windowsintune.fi","windowsintune.fi")</f>
        <v>windowsintune.fi</v>
      </c>
      <c r="C23841" t="s">
        <v>445</v>
      </c>
      <c r="D23841" t="s">
        <v>823</v>
      </c>
      <c r="J23841">
        <v>4</v>
      </c>
    </row>
    <row r="23842" spans="1:10" x14ac:dyDescent="0.25">
      <c r="A23842" t="s">
        <v>255</v>
      </c>
      <c r="B23842" s="1" t="str">
        <f>HYPERLINK("http://windowslive.fi","windowslive.fi")</f>
        <v>windowslive.fi</v>
      </c>
      <c r="C23842" t="s">
        <v>445</v>
      </c>
      <c r="D23842" t="s">
        <v>823</v>
      </c>
      <c r="J23842">
        <v>4</v>
      </c>
    </row>
    <row r="23843" spans="1:10" x14ac:dyDescent="0.25">
      <c r="A23843" t="s">
        <v>255</v>
      </c>
      <c r="B23843" s="1" t="str">
        <f>HYPERLINK("http://windowsmarketplace.fi","windowsmarketplace.fi")</f>
        <v>windowsmarketplace.fi</v>
      </c>
      <c r="C23843" t="s">
        <v>445</v>
      </c>
      <c r="D23843" t="s">
        <v>823</v>
      </c>
      <c r="J23843">
        <v>6</v>
      </c>
    </row>
    <row r="23844" spans="1:10" x14ac:dyDescent="0.25">
      <c r="A23844" t="s">
        <v>255</v>
      </c>
      <c r="B23844" s="1" t="str">
        <f>HYPERLINK("http://windowsmobile.fi","windowsmobile.fi")</f>
        <v>windowsmobile.fi</v>
      </c>
      <c r="C23844" t="s">
        <v>445</v>
      </c>
      <c r="D23844" t="s">
        <v>823</v>
      </c>
      <c r="F23844">
        <v>4.53518709125468E-9</v>
      </c>
      <c r="G23844">
        <v>54329136</v>
      </c>
      <c r="H23844">
        <v>13763633</v>
      </c>
      <c r="I23844">
        <v>9133308</v>
      </c>
      <c r="J23844">
        <v>4</v>
      </c>
    </row>
    <row r="23845" spans="1:10" x14ac:dyDescent="0.25">
      <c r="A23845" t="s">
        <v>255</v>
      </c>
      <c r="B23845" s="1" t="str">
        <f>HYPERLINK("http://windowsphone.fi","windowsphone.fi")</f>
        <v>windowsphone.fi</v>
      </c>
      <c r="C23845" t="s">
        <v>445</v>
      </c>
      <c r="D23845" t="s">
        <v>823</v>
      </c>
      <c r="F23845">
        <v>4.4492885400463603E-9</v>
      </c>
      <c r="G23845">
        <v>72319710</v>
      </c>
      <c r="H23845">
        <v>10593611</v>
      </c>
      <c r="I23845">
        <v>45447900</v>
      </c>
      <c r="J23845">
        <v>4</v>
      </c>
    </row>
    <row r="23846" spans="1:10" x14ac:dyDescent="0.25">
      <c r="A23846" t="s">
        <v>255</v>
      </c>
      <c r="B23846" s="1" t="str">
        <f>HYPERLINK("http://windowsphone7.fi","windowsphone7.fi")</f>
        <v>windowsphone7.fi</v>
      </c>
      <c r="C23846" t="s">
        <v>445</v>
      </c>
      <c r="D23846" t="s">
        <v>823</v>
      </c>
      <c r="J23846">
        <v>6</v>
      </c>
    </row>
    <row r="23847" spans="1:10" x14ac:dyDescent="0.25">
      <c r="A23847" t="s">
        <v>255</v>
      </c>
      <c r="B23847" s="1" t="str">
        <f>HYPERLINK("http://windowsphones.fi","windowsphones.fi")</f>
        <v>windowsphones.fi</v>
      </c>
      <c r="C23847" t="s">
        <v>445</v>
      </c>
      <c r="D23847" t="s">
        <v>823</v>
      </c>
      <c r="J23847">
        <v>4</v>
      </c>
    </row>
    <row r="23848" spans="1:10" x14ac:dyDescent="0.25">
      <c r="A23848" t="s">
        <v>255</v>
      </c>
      <c r="B23848" s="1" t="str">
        <f>HYPERLINK("http://windowsstore.fi","windowsstore.fi")</f>
        <v>windowsstore.fi</v>
      </c>
      <c r="C23848" t="s">
        <v>445</v>
      </c>
      <c r="D23848" t="s">
        <v>823</v>
      </c>
      <c r="J23848">
        <v>6</v>
      </c>
    </row>
    <row r="23849" spans="1:10" x14ac:dyDescent="0.25">
      <c r="A23849" t="s">
        <v>255</v>
      </c>
      <c r="B23849" s="1" t="str">
        <f>HYPERLINK("http://windowsupdate.fi","windowsupdate.fi")</f>
        <v>windowsupdate.fi</v>
      </c>
      <c r="C23849" t="s">
        <v>445</v>
      </c>
      <c r="D23849" t="s">
        <v>823</v>
      </c>
      <c r="J23849">
        <v>6</v>
      </c>
    </row>
    <row r="23850" spans="1:10" x14ac:dyDescent="0.25">
      <c r="A23850" t="s">
        <v>255</v>
      </c>
      <c r="B23850" s="1" t="str">
        <f>HYPERLINK("http://xbox.fi","xbox.fi")</f>
        <v>xbox.fi</v>
      </c>
      <c r="C23850" t="s">
        <v>445</v>
      </c>
      <c r="D23850" t="s">
        <v>823</v>
      </c>
      <c r="J23850">
        <v>6</v>
      </c>
    </row>
    <row r="23851" spans="1:10" x14ac:dyDescent="0.25">
      <c r="A23851" t="s">
        <v>255</v>
      </c>
      <c r="B23851" s="1" t="str">
        <f>HYPERLINK("http://xbox360.fi","xbox360.fi")</f>
        <v>xbox360.fi</v>
      </c>
      <c r="C23851" t="s">
        <v>445</v>
      </c>
      <c r="D23851" t="s">
        <v>823</v>
      </c>
      <c r="J23851">
        <v>4</v>
      </c>
    </row>
    <row r="23852" spans="1:10" x14ac:dyDescent="0.25">
      <c r="A23852" t="s">
        <v>255</v>
      </c>
      <c r="B23852" s="1" t="str">
        <f>HYPERLINK("http://xboxfitness.fi","xboxfitness.fi")</f>
        <v>xboxfitness.fi</v>
      </c>
      <c r="C23852" t="s">
        <v>445</v>
      </c>
      <c r="D23852" t="s">
        <v>823</v>
      </c>
      <c r="J23852">
        <v>4</v>
      </c>
    </row>
    <row r="23853" spans="1:10" x14ac:dyDescent="0.25">
      <c r="A23853" t="s">
        <v>255</v>
      </c>
      <c r="B23853" s="1" t="str">
        <f>HYPERLINK("http://xboxgames.fi","xboxgames.fi")</f>
        <v>xboxgames.fi</v>
      </c>
      <c r="C23853" t="s">
        <v>445</v>
      </c>
      <c r="D23853" t="s">
        <v>823</v>
      </c>
      <c r="J23853">
        <v>4</v>
      </c>
    </row>
    <row r="23854" spans="1:10" x14ac:dyDescent="0.25">
      <c r="A23854" t="s">
        <v>255</v>
      </c>
      <c r="B23854" s="1" t="str">
        <f>HYPERLINK("http://xboxgamestudios.fi","xboxgamestudios.fi")</f>
        <v>xboxgamestudios.fi</v>
      </c>
      <c r="C23854" t="s">
        <v>445</v>
      </c>
      <c r="D23854" t="s">
        <v>823</v>
      </c>
      <c r="J23854">
        <v>2</v>
      </c>
    </row>
    <row r="23855" spans="1:10" x14ac:dyDescent="0.25">
      <c r="A23855" t="s">
        <v>255</v>
      </c>
      <c r="B23855" s="1" t="str">
        <f>HYPERLINK("http://xboxgold.fi","xboxgold.fi")</f>
        <v>xboxgold.fi</v>
      </c>
      <c r="C23855" t="s">
        <v>445</v>
      </c>
      <c r="D23855" t="s">
        <v>823</v>
      </c>
      <c r="J23855">
        <v>4</v>
      </c>
    </row>
    <row r="23856" spans="1:10" x14ac:dyDescent="0.25">
      <c r="A23856" t="s">
        <v>255</v>
      </c>
      <c r="B23856" s="1" t="str">
        <f>HYPERLINK("http://xboxlive.fi","xboxlive.fi")</f>
        <v>xboxlive.fi</v>
      </c>
      <c r="C23856" t="s">
        <v>445</v>
      </c>
      <c r="D23856" t="s">
        <v>823</v>
      </c>
      <c r="J23856">
        <v>6</v>
      </c>
    </row>
    <row r="23857" spans="1:10" x14ac:dyDescent="0.25">
      <c r="A23857" t="s">
        <v>255</v>
      </c>
      <c r="B23857" s="1" t="str">
        <f>HYPERLINK("http://xboxmusic.fi","xboxmusic.fi")</f>
        <v>xboxmusic.fi</v>
      </c>
      <c r="C23857" t="s">
        <v>445</v>
      </c>
      <c r="D23857" t="s">
        <v>823</v>
      </c>
      <c r="J23857">
        <v>4</v>
      </c>
    </row>
    <row r="23858" spans="1:10" x14ac:dyDescent="0.25">
      <c r="A23858" t="s">
        <v>255</v>
      </c>
      <c r="B23858" s="1" t="str">
        <f>HYPERLINK("http://xboxone.fi","xboxone.fi")</f>
        <v>xboxone.fi</v>
      </c>
      <c r="C23858" t="s">
        <v>445</v>
      </c>
      <c r="D23858" t="s">
        <v>823</v>
      </c>
      <c r="J23858">
        <v>4</v>
      </c>
    </row>
    <row r="23859" spans="1:10" x14ac:dyDescent="0.25">
      <c r="A23859" t="s">
        <v>255</v>
      </c>
      <c r="B23859" s="1" t="str">
        <f>HYPERLINK("http://xboxoriginals.fi","xboxoriginals.fi")</f>
        <v>xboxoriginals.fi</v>
      </c>
      <c r="C23859" t="s">
        <v>445</v>
      </c>
      <c r="D23859" t="s">
        <v>823</v>
      </c>
      <c r="J23859">
        <v>4</v>
      </c>
    </row>
    <row r="23860" spans="1:10" x14ac:dyDescent="0.25">
      <c r="A23860" t="s">
        <v>255</v>
      </c>
      <c r="B23860" s="1" t="str">
        <f>HYPERLINK("http://xboxsmartglass.fi","xboxsmartglass.fi")</f>
        <v>xboxsmartglass.fi</v>
      </c>
      <c r="C23860" t="s">
        <v>445</v>
      </c>
      <c r="D23860" t="s">
        <v>823</v>
      </c>
      <c r="J23860">
        <v>4</v>
      </c>
    </row>
    <row r="23861" spans="1:10" x14ac:dyDescent="0.25">
      <c r="A23861" t="s">
        <v>255</v>
      </c>
      <c r="B23861" s="1" t="str">
        <f>HYPERLINK("http://xboxsports.fi","xboxsports.fi")</f>
        <v>xboxsports.fi</v>
      </c>
      <c r="C23861" t="s">
        <v>445</v>
      </c>
      <c r="D23861" t="s">
        <v>823</v>
      </c>
      <c r="J23861">
        <v>4</v>
      </c>
    </row>
    <row r="23862" spans="1:10" x14ac:dyDescent="0.25">
      <c r="A23862" t="s">
        <v>255</v>
      </c>
      <c r="B23862" s="1" t="str">
        <f>HYPERLINK("http://xboxvideo.fi","xboxvideo.fi")</f>
        <v>xboxvideo.fi</v>
      </c>
      <c r="C23862" t="s">
        <v>445</v>
      </c>
      <c r="D23862" t="s">
        <v>823</v>
      </c>
      <c r="J23862">
        <v>4</v>
      </c>
    </row>
    <row r="23863" spans="1:10" x14ac:dyDescent="0.25">
      <c r="A23863" t="s">
        <v>255</v>
      </c>
      <c r="B23863" s="1" t="str">
        <f>HYPERLINK("http://yahoobingnetwork.fi","yahoobingnetwork.fi")</f>
        <v>yahoobingnetwork.fi</v>
      </c>
      <c r="C23863" t="s">
        <v>445</v>
      </c>
      <c r="D23863" t="s">
        <v>823</v>
      </c>
      <c r="J23863">
        <v>4</v>
      </c>
    </row>
    <row r="23864" spans="1:10" x14ac:dyDescent="0.25">
      <c r="A23864" t="s">
        <v>255</v>
      </c>
      <c r="B23864" s="1" t="str">
        <f>HYPERLINK("http://zune.fi","zune.fi")</f>
        <v>zune.fi</v>
      </c>
      <c r="C23864" t="s">
        <v>445</v>
      </c>
      <c r="D23864" t="s">
        <v>823</v>
      </c>
      <c r="J23864">
        <v>4</v>
      </c>
    </row>
    <row r="23865" spans="1:10" x14ac:dyDescent="0.25">
      <c r="A23865" t="s">
        <v>255</v>
      </c>
      <c r="B23865" s="1" t="str">
        <f>HYPERLINK("http://microsoft.fr","microsoft.fr")</f>
        <v>microsoft.fr</v>
      </c>
      <c r="C23865" t="s">
        <v>446</v>
      </c>
      <c r="D23865" t="s">
        <v>824</v>
      </c>
      <c r="E23865">
        <v>392158</v>
      </c>
      <c r="F23865">
        <v>3.0107797130149999E-7</v>
      </c>
      <c r="G23865">
        <v>123531</v>
      </c>
      <c r="H23865">
        <v>14993022</v>
      </c>
      <c r="I23865">
        <v>427558</v>
      </c>
      <c r="J23865">
        <v>2</v>
      </c>
    </row>
    <row r="23866" spans="1:10" x14ac:dyDescent="0.25">
      <c r="A23866" t="s">
        <v>255</v>
      </c>
      <c r="B23866" s="1" t="str">
        <f>HYPERLINK("http://nuance.fr","nuance.fr")</f>
        <v>nuance.fr</v>
      </c>
      <c r="C23866" t="s">
        <v>446</v>
      </c>
      <c r="D23866" t="s">
        <v>824</v>
      </c>
      <c r="F23866">
        <v>6.1541197691720094E-8</v>
      </c>
      <c r="G23866">
        <v>715054</v>
      </c>
      <c r="H23866">
        <v>14788235</v>
      </c>
      <c r="I23866">
        <v>551755</v>
      </c>
      <c r="J23866">
        <v>4</v>
      </c>
    </row>
    <row r="23867" spans="1:10" x14ac:dyDescent="0.25">
      <c r="A23867" t="s">
        <v>255</v>
      </c>
      <c r="B23867" s="1" t="str">
        <f>HYPERLINK("http://startupleadership.fr","startupleadership.fr")</f>
        <v>startupleadership.fr</v>
      </c>
      <c r="C23867" t="s">
        <v>446</v>
      </c>
      <c r="D23867" t="s">
        <v>824</v>
      </c>
      <c r="F23867">
        <v>1.47996107650421E-8</v>
      </c>
      <c r="G23867">
        <v>3907237</v>
      </c>
      <c r="H23867">
        <v>14018102</v>
      </c>
      <c r="I23867">
        <v>3992046</v>
      </c>
      <c r="J23867">
        <v>7</v>
      </c>
    </row>
    <row r="23868" spans="1:10" x14ac:dyDescent="0.25">
      <c r="A23868" t="s">
        <v>255</v>
      </c>
      <c r="B23868" s="1" t="str">
        <f>HYPERLINK("http://obsidian.garden","obsidian.garden")</f>
        <v>obsidian.garden</v>
      </c>
      <c r="C23868" t="s">
        <v>1676</v>
      </c>
      <c r="F23868">
        <v>5.3172884772545902E-9</v>
      </c>
      <c r="G23868">
        <v>23246880</v>
      </c>
      <c r="H23868">
        <v>12512424</v>
      </c>
      <c r="I23868">
        <v>17222589</v>
      </c>
      <c r="J23868">
        <v>6</v>
      </c>
    </row>
    <row r="23869" spans="1:10" x14ac:dyDescent="0.25">
      <c r="A23869" t="s">
        <v>255</v>
      </c>
      <c r="B23869" s="1" t="str">
        <f>HYPERLINK("http://microsoft.hu","microsoft.hu")</f>
        <v>microsoft.hu</v>
      </c>
      <c r="C23869" t="s">
        <v>453</v>
      </c>
      <c r="D23869" t="s">
        <v>830</v>
      </c>
      <c r="F23869">
        <v>3.2928339963426101E-8</v>
      </c>
      <c r="G23869">
        <v>1569170</v>
      </c>
      <c r="H23869">
        <v>14101941</v>
      </c>
      <c r="I23869">
        <v>2700206</v>
      </c>
      <c r="J23869">
        <v>2</v>
      </c>
    </row>
    <row r="23870" spans="1:10" x14ac:dyDescent="0.25">
      <c r="A23870" t="s">
        <v>255</v>
      </c>
      <c r="B23870" s="1" t="str">
        <f>HYPERLINK("http://github.icu","github.icu")</f>
        <v>github.icu</v>
      </c>
      <c r="C23870" t="s">
        <v>1677</v>
      </c>
      <c r="F23870">
        <v>5.0683399833009401E-9</v>
      </c>
      <c r="G23870">
        <v>27825299</v>
      </c>
      <c r="H23870">
        <v>10347305</v>
      </c>
      <c r="I23870">
        <v>56683236</v>
      </c>
      <c r="J23870">
        <v>5</v>
      </c>
    </row>
    <row r="23871" spans="1:10" x14ac:dyDescent="0.25">
      <c r="A23871" t="s">
        <v>255</v>
      </c>
      <c r="B23871" s="1" t="str">
        <f>HYPERLINK("http://microsoft.ie","microsoft.ie")</f>
        <v>microsoft.ie</v>
      </c>
      <c r="C23871" t="s">
        <v>455</v>
      </c>
      <c r="D23871" t="s">
        <v>832</v>
      </c>
      <c r="F23871">
        <v>9.9609734518810305E-8</v>
      </c>
      <c r="G23871">
        <v>404233</v>
      </c>
      <c r="H23871">
        <v>13857860</v>
      </c>
      <c r="I23871">
        <v>6029304</v>
      </c>
      <c r="J23871">
        <v>2</v>
      </c>
    </row>
    <row r="23872" spans="1:10" x14ac:dyDescent="0.25">
      <c r="A23872" t="s">
        <v>255</v>
      </c>
      <c r="B23872" s="1" t="str">
        <f>HYPERLINK("http://github.in","github.in")</f>
        <v>github.in</v>
      </c>
      <c r="C23872" t="s">
        <v>457</v>
      </c>
      <c r="D23872" t="s">
        <v>834</v>
      </c>
      <c r="F23872">
        <v>2.1054041896747901E-7</v>
      </c>
      <c r="G23872">
        <v>179546</v>
      </c>
      <c r="H23872">
        <v>13590635</v>
      </c>
      <c r="I23872">
        <v>9667427</v>
      </c>
      <c r="J23872">
        <v>4</v>
      </c>
    </row>
    <row r="23873" spans="1:10" x14ac:dyDescent="0.25">
      <c r="A23873" t="s">
        <v>255</v>
      </c>
      <c r="B23873" s="1" t="str">
        <f>HYPERLINK("http://microsoft.net.in","microsoft.net.in")</f>
        <v>microsoft.net.in</v>
      </c>
      <c r="C23873" t="s">
        <v>457</v>
      </c>
      <c r="D23873" t="s">
        <v>834</v>
      </c>
      <c r="F23873">
        <v>1.89974595699939E-8</v>
      </c>
      <c r="G23873">
        <v>2836462</v>
      </c>
      <c r="H23873">
        <v>13818465</v>
      </c>
      <c r="I23873">
        <v>6152468</v>
      </c>
      <c r="J23873">
        <v>2</v>
      </c>
    </row>
    <row r="23874" spans="1:10" x14ac:dyDescent="0.25">
      <c r="A23874" t="s">
        <v>255</v>
      </c>
      <c r="B23874" s="1" t="str">
        <f>HYPERLINK("http://atom.io","atom.io")</f>
        <v>atom.io</v>
      </c>
      <c r="C23874" t="s">
        <v>518</v>
      </c>
      <c r="E23874">
        <v>7393</v>
      </c>
      <c r="F23874">
        <v>1.36328201939066E-5</v>
      </c>
      <c r="G23874">
        <v>2591</v>
      </c>
      <c r="H23874">
        <v>18486126</v>
      </c>
      <c r="I23874">
        <v>1640</v>
      </c>
      <c r="J23874">
        <v>5</v>
      </c>
    </row>
    <row r="23875" spans="1:10" x14ac:dyDescent="0.25">
      <c r="A23875" t="s">
        <v>255</v>
      </c>
      <c r="B23875" s="1" t="str">
        <f>HYPERLINK("http://clevercloud-staging.cleverapps.io","clevercloud-staging.cleverapps.io")</f>
        <v>clevercloud-staging.cleverapps.io</v>
      </c>
      <c r="C23875" t="s">
        <v>518</v>
      </c>
      <c r="J23875">
        <v>6</v>
      </c>
    </row>
    <row r="23876" spans="1:10" x14ac:dyDescent="0.25">
      <c r="A23876" t="s">
        <v>255</v>
      </c>
      <c r="B23876" s="1" t="str">
        <f>HYPERLINK("http://easybase.io","easybase.io")</f>
        <v>easybase.io</v>
      </c>
      <c r="C23876" t="s">
        <v>518</v>
      </c>
      <c r="F23876">
        <v>1.5742820724445799E-8</v>
      </c>
      <c r="G23876">
        <v>3615339</v>
      </c>
      <c r="H23876">
        <v>13026028</v>
      </c>
      <c r="I23876">
        <v>12688745</v>
      </c>
      <c r="J23876">
        <v>5</v>
      </c>
    </row>
    <row r="23877" spans="1:10" x14ac:dyDescent="0.25">
      <c r="A23877" t="s">
        <v>255</v>
      </c>
      <c r="B23877" s="1" t="str">
        <f>HYPERLINK("http://flynex.io","flynex.io")</f>
        <v>flynex.io</v>
      </c>
      <c r="C23877" t="s">
        <v>518</v>
      </c>
      <c r="F23877">
        <v>5.5547855388427802E-8</v>
      </c>
      <c r="G23877">
        <v>807755</v>
      </c>
      <c r="H23877">
        <v>13398055</v>
      </c>
      <c r="I23877">
        <v>10372280</v>
      </c>
      <c r="J23877">
        <v>6</v>
      </c>
    </row>
    <row r="23878" spans="1:10" x14ac:dyDescent="0.25">
      <c r="A23878" t="s">
        <v>255</v>
      </c>
      <c r="B23878" s="1" t="str">
        <f>HYPERLINK("http://github.io","github.io")</f>
        <v>github.io</v>
      </c>
      <c r="C23878" t="s">
        <v>518</v>
      </c>
      <c r="F23878">
        <v>4.83188910250007E-4</v>
      </c>
      <c r="G23878">
        <v>69</v>
      </c>
      <c r="H23878">
        <v>20167766</v>
      </c>
      <c r="I23878">
        <v>50</v>
      </c>
      <c r="J23878">
        <v>4</v>
      </c>
    </row>
    <row r="23879" spans="1:10" x14ac:dyDescent="0.25">
      <c r="A23879" t="s">
        <v>255</v>
      </c>
      <c r="B23879" s="1" t="str">
        <f>HYPERLINK("http://microsoft.io","microsoft.io")</f>
        <v>microsoft.io</v>
      </c>
      <c r="C23879" t="s">
        <v>518</v>
      </c>
      <c r="F23879">
        <v>8.8238538764684899E-8</v>
      </c>
      <c r="G23879">
        <v>464344</v>
      </c>
      <c r="H23879">
        <v>14560321</v>
      </c>
      <c r="I23879">
        <v>746225</v>
      </c>
      <c r="J23879">
        <v>2</v>
      </c>
    </row>
    <row r="23880" spans="1:10" x14ac:dyDescent="0.25">
      <c r="A23880" t="s">
        <v>255</v>
      </c>
      <c r="B23880" s="1" t="str">
        <f>HYPERLINK("http://mover.io","mover.io")</f>
        <v>mover.io</v>
      </c>
      <c r="C23880" t="s">
        <v>518</v>
      </c>
      <c r="E23880">
        <v>215968</v>
      </c>
      <c r="F23880">
        <v>2.5281181611254E-7</v>
      </c>
      <c r="G23880">
        <v>147933</v>
      </c>
      <c r="H23880">
        <v>16986884</v>
      </c>
      <c r="I23880">
        <v>96828</v>
      </c>
      <c r="J23880">
        <v>3</v>
      </c>
    </row>
    <row r="23881" spans="1:10" x14ac:dyDescent="0.25">
      <c r="A23881" t="s">
        <v>255</v>
      </c>
      <c r="B23881" s="1" t="str">
        <f>HYPERLINK("http://nixtla.io","nixtla.io")</f>
        <v>nixtla.io</v>
      </c>
      <c r="C23881" t="s">
        <v>518</v>
      </c>
      <c r="F23881">
        <v>6.1208243576288197E-9</v>
      </c>
      <c r="G23881">
        <v>15975250</v>
      </c>
      <c r="H23881">
        <v>12870197</v>
      </c>
      <c r="I23881">
        <v>14068583</v>
      </c>
      <c r="J23881">
        <v>6</v>
      </c>
    </row>
    <row r="23882" spans="1:10" x14ac:dyDescent="0.25">
      <c r="A23882" t="s">
        <v>255</v>
      </c>
      <c r="B23882" s="1" t="str">
        <f>HYPERLINK("http://prospectone.io","prospectone.io")</f>
        <v>prospectone.io</v>
      </c>
      <c r="C23882" t="s">
        <v>518</v>
      </c>
      <c r="F23882">
        <v>6.1369869206451603E-6</v>
      </c>
      <c r="G23882">
        <v>5609</v>
      </c>
      <c r="H23882">
        <v>13386850</v>
      </c>
      <c r="I23882">
        <v>10406527</v>
      </c>
      <c r="J23882">
        <v>6</v>
      </c>
    </row>
    <row r="23883" spans="1:10" x14ac:dyDescent="0.25">
      <c r="A23883" t="s">
        <v>255</v>
      </c>
      <c r="B23883" s="1" t="str">
        <f>HYPERLINK("http://microsoft.it","microsoft.it")</f>
        <v>microsoft.it</v>
      </c>
      <c r="C23883" t="s">
        <v>459</v>
      </c>
      <c r="D23883" t="s">
        <v>835</v>
      </c>
      <c r="F23883">
        <v>4.4710621047131002E-8</v>
      </c>
      <c r="G23883">
        <v>1058444</v>
      </c>
      <c r="H23883">
        <v>14475613</v>
      </c>
      <c r="I23883">
        <v>1032709</v>
      </c>
      <c r="J23883">
        <v>2</v>
      </c>
    </row>
    <row r="23884" spans="1:10" x14ac:dyDescent="0.25">
      <c r="A23884" t="s">
        <v>255</v>
      </c>
      <c r="B23884" s="1" t="str">
        <f>HYPERLINK("http://nuance.it","nuance.it")</f>
        <v>nuance.it</v>
      </c>
      <c r="C23884" t="s">
        <v>459</v>
      </c>
      <c r="D23884" t="s">
        <v>835</v>
      </c>
      <c r="F23884">
        <v>1.1853222660249599E-8</v>
      </c>
      <c r="G23884">
        <v>5268347</v>
      </c>
      <c r="H23884">
        <v>14074895</v>
      </c>
      <c r="I23884">
        <v>2925750</v>
      </c>
      <c r="J23884">
        <v>4</v>
      </c>
    </row>
    <row r="23885" spans="1:10" x14ac:dyDescent="0.25">
      <c r="A23885" t="s">
        <v>255</v>
      </c>
      <c r="B23885" s="1" t="str">
        <f>HYPERLINK("http://github.co.jp","github.co.jp")</f>
        <v>github.co.jp</v>
      </c>
      <c r="C23885" t="s">
        <v>461</v>
      </c>
      <c r="D23885" t="s">
        <v>837</v>
      </c>
      <c r="E23885">
        <v>552759</v>
      </c>
      <c r="F23885">
        <v>2.28626633983821E-7</v>
      </c>
      <c r="G23885">
        <v>164509</v>
      </c>
      <c r="H23885">
        <v>14928658</v>
      </c>
      <c r="I23885">
        <v>448297</v>
      </c>
      <c r="J23885">
        <v>4</v>
      </c>
    </row>
    <row r="23886" spans="1:10" x14ac:dyDescent="0.25">
      <c r="A23886" t="s">
        <v>255</v>
      </c>
      <c r="B23886" s="1" t="str">
        <f>HYPERLINK("http://github.jp","github.jp")</f>
        <v>github.jp</v>
      </c>
      <c r="C23886" t="s">
        <v>461</v>
      </c>
      <c r="D23886" t="s">
        <v>837</v>
      </c>
      <c r="F23886">
        <v>1.7724203885177E-8</v>
      </c>
      <c r="G23886">
        <v>3091309</v>
      </c>
      <c r="H23886">
        <v>12560335</v>
      </c>
      <c r="I23886">
        <v>16710330</v>
      </c>
      <c r="J23886">
        <v>4</v>
      </c>
    </row>
    <row r="23887" spans="1:10" x14ac:dyDescent="0.25">
      <c r="A23887" t="s">
        <v>255</v>
      </c>
      <c r="B23887" s="1" t="str">
        <f>HYPERLINK("http://startupleadership.jp","startupleadership.jp")</f>
        <v>startupleadership.jp</v>
      </c>
      <c r="C23887" t="s">
        <v>461</v>
      </c>
      <c r="D23887" t="s">
        <v>837</v>
      </c>
      <c r="F23887">
        <v>1.3039095441570201E-8</v>
      </c>
      <c r="G23887">
        <v>4612511</v>
      </c>
      <c r="H23887">
        <v>13111493</v>
      </c>
      <c r="I23887">
        <v>12030775</v>
      </c>
      <c r="J23887">
        <v>7</v>
      </c>
    </row>
    <row r="23888" spans="1:10" x14ac:dyDescent="0.25">
      <c r="A23888" t="s">
        <v>255</v>
      </c>
      <c r="B23888" s="1" t="str">
        <f>HYPERLINK("http://microsoft.co.ke","microsoft.co.ke")</f>
        <v>microsoft.co.ke</v>
      </c>
      <c r="C23888" t="s">
        <v>462</v>
      </c>
      <c r="D23888" t="s">
        <v>838</v>
      </c>
      <c r="F23888">
        <v>1.6963670901664699E-8</v>
      </c>
      <c r="G23888">
        <v>3291942</v>
      </c>
      <c r="H23888">
        <v>14100041</v>
      </c>
      <c r="I23888">
        <v>2707921</v>
      </c>
      <c r="J23888">
        <v>2</v>
      </c>
    </row>
    <row r="23889" spans="1:10" x14ac:dyDescent="0.25">
      <c r="A23889" t="s">
        <v>255</v>
      </c>
      <c r="B23889" s="1" t="str">
        <f>HYPERLINK("http://lift.london","lift.london")</f>
        <v>lift.london</v>
      </c>
      <c r="C23889" t="s">
        <v>702</v>
      </c>
      <c r="F23889">
        <v>2.48220720656381E-8</v>
      </c>
      <c r="G23889">
        <v>2083319</v>
      </c>
      <c r="H23889">
        <v>14646571</v>
      </c>
      <c r="I23889">
        <v>632088</v>
      </c>
      <c r="J23889">
        <v>4</v>
      </c>
    </row>
    <row r="23890" spans="1:10" x14ac:dyDescent="0.25">
      <c r="A23890" t="s">
        <v>255</v>
      </c>
      <c r="B23890" s="1" t="str">
        <f>HYPERLINK("http://plot.ly","plot.ly")</f>
        <v>plot.ly</v>
      </c>
      <c r="C23890" t="s">
        <v>583</v>
      </c>
      <c r="D23890" t="s">
        <v>923</v>
      </c>
      <c r="E23890">
        <v>9964</v>
      </c>
      <c r="F23890">
        <v>9.5438758420636796E-6</v>
      </c>
      <c r="G23890">
        <v>3533</v>
      </c>
      <c r="H23890">
        <v>18820390</v>
      </c>
      <c r="I23890">
        <v>766</v>
      </c>
      <c r="J23890">
        <v>5</v>
      </c>
    </row>
    <row r="23891" spans="1:10" x14ac:dyDescent="0.25">
      <c r="A23891" t="s">
        <v>255</v>
      </c>
      <c r="B23891" s="1" t="str">
        <f>HYPERLINK("http://obsidian.md","obsidian.md")</f>
        <v>obsidian.md</v>
      </c>
      <c r="C23891" t="s">
        <v>571</v>
      </c>
      <c r="D23891" t="s">
        <v>918</v>
      </c>
      <c r="E23891">
        <v>13520</v>
      </c>
      <c r="F23891">
        <v>1.9231387391192299E-6</v>
      </c>
      <c r="G23891">
        <v>19078</v>
      </c>
      <c r="H23891">
        <v>17679672</v>
      </c>
      <c r="I23891">
        <v>7740</v>
      </c>
      <c r="J23891">
        <v>5</v>
      </c>
    </row>
    <row r="23892" spans="1:10" x14ac:dyDescent="0.25">
      <c r="A23892" t="s">
        <v>255</v>
      </c>
      <c r="B23892" s="1" t="str">
        <f>HYPERLINK("http://nubot.me","nubot.me")</f>
        <v>nubot.me</v>
      </c>
      <c r="C23892" t="s">
        <v>470</v>
      </c>
      <c r="D23892" t="s">
        <v>846</v>
      </c>
      <c r="F23892">
        <v>5.4427161856570298E-9</v>
      </c>
      <c r="G23892">
        <v>21585899</v>
      </c>
      <c r="H23892">
        <v>12644587</v>
      </c>
      <c r="I23892">
        <v>15837461</v>
      </c>
      <c r="J23892">
        <v>7</v>
      </c>
    </row>
    <row r="23893" spans="1:10" x14ac:dyDescent="0.25">
      <c r="A23893" t="s">
        <v>255</v>
      </c>
      <c r="B23893" s="1" t="str">
        <f>HYPERLINK("http://xbox.mobi","xbox.mobi")</f>
        <v>xbox.mobi</v>
      </c>
      <c r="C23893" t="s">
        <v>532</v>
      </c>
      <c r="F23893">
        <v>1.12447455560489E-8</v>
      </c>
      <c r="G23893">
        <v>5681866</v>
      </c>
      <c r="H23893">
        <v>12782673</v>
      </c>
      <c r="I23893">
        <v>14732917</v>
      </c>
      <c r="J23893">
        <v>4</v>
      </c>
    </row>
    <row r="23894" spans="1:10" x14ac:dyDescent="0.25">
      <c r="A23894" t="s">
        <v>255</v>
      </c>
      <c r="B23894" s="1" t="str">
        <f>HYPERLINK("http://aka.ms","aka.ms")</f>
        <v>aka.ms</v>
      </c>
      <c r="C23894" t="s">
        <v>653</v>
      </c>
      <c r="D23894" t="s">
        <v>972</v>
      </c>
      <c r="E23894">
        <v>2254</v>
      </c>
      <c r="F23894">
        <v>2.70982854581454E-5</v>
      </c>
      <c r="G23894">
        <v>1082</v>
      </c>
      <c r="H23894">
        <v>18513036</v>
      </c>
      <c r="I23894">
        <v>1536</v>
      </c>
      <c r="J23894">
        <v>3</v>
      </c>
    </row>
    <row r="23895" spans="1:10" x14ac:dyDescent="0.25">
      <c r="A23895" t="s">
        <v>255</v>
      </c>
      <c r="B23895" s="1" t="str">
        <f>HYPERLINK("http://microsoft.com.mx","microsoft.com.mx")</f>
        <v>microsoft.com.mx</v>
      </c>
      <c r="C23895" t="s">
        <v>471</v>
      </c>
      <c r="D23895" t="s">
        <v>847</v>
      </c>
      <c r="F23895">
        <v>5.2109975673949998E-9</v>
      </c>
      <c r="G23895">
        <v>24907155</v>
      </c>
      <c r="H23895">
        <v>10537981</v>
      </c>
      <c r="I23895">
        <v>47403401</v>
      </c>
      <c r="J23895">
        <v>2</v>
      </c>
    </row>
    <row r="23896" spans="1:10" x14ac:dyDescent="0.25">
      <c r="A23896" t="s">
        <v>255</v>
      </c>
      <c r="B23896" s="1" t="str">
        <f>HYPERLINK("http://bethesda.net","bethesda.net")</f>
        <v>bethesda.net</v>
      </c>
      <c r="C23896" t="s">
        <v>474</v>
      </c>
      <c r="E23896">
        <v>6416</v>
      </c>
      <c r="F23896">
        <v>5.6761776141924402E-6</v>
      </c>
      <c r="G23896">
        <v>6116</v>
      </c>
      <c r="H23896">
        <v>17982782</v>
      </c>
      <c r="I23896">
        <v>3797</v>
      </c>
      <c r="J23896">
        <v>3</v>
      </c>
    </row>
    <row r="23897" spans="1:10" x14ac:dyDescent="0.25">
      <c r="A23897" t="s">
        <v>255</v>
      </c>
      <c r="B23897" s="1" t="str">
        <f>HYPERLINK("http://forzamotorsport.net","forzamotorsport.net")</f>
        <v>forzamotorsport.net</v>
      </c>
      <c r="C23897" t="s">
        <v>474</v>
      </c>
      <c r="E23897">
        <v>24954</v>
      </c>
      <c r="F23897">
        <v>9.1816458056211097E-7</v>
      </c>
      <c r="G23897">
        <v>42122</v>
      </c>
      <c r="H23897">
        <v>15631992</v>
      </c>
      <c r="I23897">
        <v>371215</v>
      </c>
      <c r="J23897">
        <v>5</v>
      </c>
    </row>
    <row r="23898" spans="1:10" x14ac:dyDescent="0.25">
      <c r="A23898" t="s">
        <v>255</v>
      </c>
      <c r="B23898" s="1" t="str">
        <f>HYPERLINK("http://github.net","github.net")</f>
        <v>github.net</v>
      </c>
      <c r="C23898" t="s">
        <v>474</v>
      </c>
      <c r="E23898">
        <v>24257</v>
      </c>
      <c r="F23898">
        <v>7.6048771758958493E-9</v>
      </c>
      <c r="G23898">
        <v>10784231</v>
      </c>
      <c r="H23898">
        <v>14071917</v>
      </c>
      <c r="I23898">
        <v>3227186</v>
      </c>
      <c r="J23898">
        <v>5</v>
      </c>
    </row>
    <row r="23899" spans="1:10" x14ac:dyDescent="0.25">
      <c r="A23899" t="s">
        <v>255</v>
      </c>
      <c r="B23899" s="1" t="str">
        <f>HYPERLINK("http://groove.net","groove.net")</f>
        <v>groove.net</v>
      </c>
      <c r="C23899" t="s">
        <v>474</v>
      </c>
      <c r="E23899">
        <v>753650</v>
      </c>
      <c r="F23899">
        <v>1.0624346728637301E-7</v>
      </c>
      <c r="G23899">
        <v>376891</v>
      </c>
      <c r="H23899">
        <v>14817454</v>
      </c>
      <c r="I23899">
        <v>521515</v>
      </c>
      <c r="J23899">
        <v>6</v>
      </c>
    </row>
    <row r="23900" spans="1:10" x14ac:dyDescent="0.25">
      <c r="A23900" t="s">
        <v>255</v>
      </c>
      <c r="B23900" s="1" t="str">
        <f>HYPERLINK("http://inxile.net","inxile.net")</f>
        <v>inxile.net</v>
      </c>
      <c r="C23900" t="s">
        <v>474</v>
      </c>
      <c r="E23900">
        <v>309763</v>
      </c>
      <c r="F23900">
        <v>1.36578386696102E-8</v>
      </c>
      <c r="G23900">
        <v>4338179</v>
      </c>
      <c r="H23900">
        <v>11162542</v>
      </c>
      <c r="I23900">
        <v>31604983</v>
      </c>
      <c r="J23900">
        <v>7</v>
      </c>
    </row>
    <row r="23901" spans="1:10" x14ac:dyDescent="0.25">
      <c r="A23901" t="s">
        <v>255</v>
      </c>
      <c r="B23901" s="1" t="str">
        <f>HYPERLINK("http://jsdelivr.net","jsdelivr.net")</f>
        <v>jsdelivr.net</v>
      </c>
      <c r="C23901" t="s">
        <v>474</v>
      </c>
      <c r="E23901">
        <v>1022</v>
      </c>
      <c r="F23901">
        <v>1.2976506702472601E-3</v>
      </c>
      <c r="G23901">
        <v>29</v>
      </c>
      <c r="H23901">
        <v>20564226</v>
      </c>
      <c r="I23901">
        <v>32</v>
      </c>
      <c r="J23901">
        <v>7</v>
      </c>
    </row>
    <row r="23902" spans="1:10" x14ac:dyDescent="0.25">
      <c r="A23902" t="s">
        <v>255</v>
      </c>
      <c r="B23902" s="1" t="str">
        <f>HYPERLINK("http://launchworks.net","launchworks.net")</f>
        <v>launchworks.net</v>
      </c>
      <c r="C23902" t="s">
        <v>474</v>
      </c>
      <c r="J23902">
        <v>3</v>
      </c>
    </row>
    <row r="23903" spans="1:10" x14ac:dyDescent="0.25">
      <c r="A23903" t="s">
        <v>255</v>
      </c>
      <c r="B23903" s="1" t="str">
        <f>HYPERLINK("http://live.net","live.net")</f>
        <v>live.net</v>
      </c>
      <c r="C23903" t="s">
        <v>474</v>
      </c>
      <c r="E23903">
        <v>1213</v>
      </c>
      <c r="F23903">
        <v>8.0025355947045707E-6</v>
      </c>
      <c r="G23903">
        <v>4196</v>
      </c>
      <c r="H23903">
        <v>17524502</v>
      </c>
      <c r="I23903">
        <v>12303</v>
      </c>
      <c r="J23903">
        <v>7</v>
      </c>
    </row>
    <row r="23904" spans="1:10" x14ac:dyDescent="0.25">
      <c r="A23904" t="s">
        <v>255</v>
      </c>
      <c r="B23904" s="1" t="str">
        <f>HYPERLINK("http://microsoft.net","microsoft.net")</f>
        <v>microsoft.net</v>
      </c>
      <c r="C23904" t="s">
        <v>474</v>
      </c>
      <c r="E23904">
        <v>13023</v>
      </c>
      <c r="F23904">
        <v>1.7982201867938E-7</v>
      </c>
      <c r="G23904">
        <v>214832</v>
      </c>
      <c r="H23904">
        <v>14186658</v>
      </c>
      <c r="I23904">
        <v>1767874</v>
      </c>
      <c r="J23904">
        <v>2</v>
      </c>
    </row>
    <row r="23905" spans="1:10" x14ac:dyDescent="0.25">
      <c r="A23905" t="s">
        <v>255</v>
      </c>
      <c r="B23905" s="1" t="str">
        <f>HYPERLINK("http://minecraft.net","minecraft.net")</f>
        <v>minecraft.net</v>
      </c>
      <c r="C23905" t="s">
        <v>474</v>
      </c>
      <c r="E23905">
        <v>1857</v>
      </c>
      <c r="F23905">
        <v>9.06499417899007E-6</v>
      </c>
      <c r="G23905">
        <v>3721</v>
      </c>
      <c r="H23905">
        <v>18229130</v>
      </c>
      <c r="I23905">
        <v>2623</v>
      </c>
      <c r="J23905">
        <v>5</v>
      </c>
    </row>
    <row r="23906" spans="1:10" x14ac:dyDescent="0.25">
      <c r="A23906" t="s">
        <v>255</v>
      </c>
      <c r="B23906" s="1" t="str">
        <f>HYPERLINK("http://obsidian.net","obsidian.net")</f>
        <v>obsidian.net</v>
      </c>
      <c r="C23906" t="s">
        <v>474</v>
      </c>
      <c r="E23906">
        <v>46964</v>
      </c>
      <c r="F23906">
        <v>7.7690839064527697E-7</v>
      </c>
      <c r="G23906">
        <v>50419</v>
      </c>
      <c r="H23906">
        <v>17639064</v>
      </c>
      <c r="I23906">
        <v>8640</v>
      </c>
      <c r="J23906">
        <v>4</v>
      </c>
    </row>
    <row r="23907" spans="1:10" x14ac:dyDescent="0.25">
      <c r="A23907" t="s">
        <v>255</v>
      </c>
      <c r="B23907" s="1" t="str">
        <f>HYPERLINK("http://plotly.net","plotly.net")</f>
        <v>plotly.net</v>
      </c>
      <c r="C23907" t="s">
        <v>474</v>
      </c>
      <c r="F23907">
        <v>2.8153390620045401E-8</v>
      </c>
      <c r="G23907">
        <v>1827703</v>
      </c>
      <c r="H23907">
        <v>13661249</v>
      </c>
      <c r="I23907">
        <v>9586171</v>
      </c>
      <c r="J23907">
        <v>7</v>
      </c>
    </row>
    <row r="23908" spans="1:10" x14ac:dyDescent="0.25">
      <c r="A23908" t="s">
        <v>255</v>
      </c>
      <c r="B23908" s="1" t="str">
        <f>HYPERLINK("http://revotech.net","revotech.net")</f>
        <v>revotech.net</v>
      </c>
      <c r="C23908" t="s">
        <v>474</v>
      </c>
      <c r="F23908">
        <v>4.44380395335525E-9</v>
      </c>
      <c r="G23908">
        <v>85564318</v>
      </c>
      <c r="H23908">
        <v>0</v>
      </c>
      <c r="I23908">
        <v>86853009</v>
      </c>
      <c r="J23908">
        <v>4</v>
      </c>
    </row>
    <row r="23909" spans="1:10" x14ac:dyDescent="0.25">
      <c r="A23909" t="s">
        <v>255</v>
      </c>
      <c r="B23909" s="1" t="str">
        <f>HYPERLINK("http://trinigy.net","trinigy.net")</f>
        <v>trinigy.net</v>
      </c>
      <c r="C23909" t="s">
        <v>474</v>
      </c>
      <c r="F23909">
        <v>1.89208945055326E-8</v>
      </c>
      <c r="G23909">
        <v>2849784</v>
      </c>
      <c r="H23909">
        <v>14700088</v>
      </c>
      <c r="I23909">
        <v>593025</v>
      </c>
      <c r="J23909">
        <v>7</v>
      </c>
    </row>
    <row r="23910" spans="1:10" x14ac:dyDescent="0.25">
      <c r="A23910" t="s">
        <v>255</v>
      </c>
      <c r="B23910" s="1" t="str">
        <f>HYPERLINK("http://windows.net","windows.net")</f>
        <v>windows.net</v>
      </c>
      <c r="C23910" t="s">
        <v>474</v>
      </c>
      <c r="E23910">
        <v>56</v>
      </c>
      <c r="F23910">
        <v>1.16480067861591E-4</v>
      </c>
      <c r="G23910">
        <v>231</v>
      </c>
      <c r="H23910">
        <v>19367222</v>
      </c>
      <c r="I23910">
        <v>238</v>
      </c>
      <c r="J23910">
        <v>5</v>
      </c>
    </row>
    <row r="23911" spans="1:10" x14ac:dyDescent="0.25">
      <c r="A23911" t="s">
        <v>255</v>
      </c>
      <c r="B23911" s="1" t="str">
        <f>HYPERLINK("http://microsoft.nl","microsoft.nl")</f>
        <v>microsoft.nl</v>
      </c>
      <c r="C23911" t="s">
        <v>477</v>
      </c>
      <c r="D23911" t="s">
        <v>852</v>
      </c>
      <c r="E23911">
        <v>795524</v>
      </c>
      <c r="F23911">
        <v>1.5630793913624299E-7</v>
      </c>
      <c r="G23911">
        <v>248471</v>
      </c>
      <c r="H23911">
        <v>14559946</v>
      </c>
      <c r="I23911">
        <v>746653</v>
      </c>
      <c r="J23911">
        <v>2</v>
      </c>
    </row>
    <row r="23912" spans="1:10" x14ac:dyDescent="0.25">
      <c r="A23912" t="s">
        <v>255</v>
      </c>
      <c r="B23912" s="1" t="str">
        <f>HYPERLINK("http://xbox-bsd.nl","xbox-bsd.nl")</f>
        <v>xbox-bsd.nl</v>
      </c>
      <c r="C23912" t="s">
        <v>477</v>
      </c>
      <c r="D23912" t="s">
        <v>852</v>
      </c>
      <c r="F23912">
        <v>5.62162408026645E-9</v>
      </c>
      <c r="G23912">
        <v>19653633</v>
      </c>
      <c r="H23912">
        <v>12571228</v>
      </c>
      <c r="I23912">
        <v>16614704</v>
      </c>
      <c r="J23912">
        <v>5</v>
      </c>
    </row>
    <row r="23913" spans="1:10" x14ac:dyDescent="0.25">
      <c r="A23913" t="s">
        <v>255</v>
      </c>
      <c r="B23913" s="1" t="str">
        <f>HYPERLINK("http://microsoft.no","microsoft.no")</f>
        <v>microsoft.no</v>
      </c>
      <c r="C23913" t="s">
        <v>478</v>
      </c>
      <c r="D23913" t="s">
        <v>853</v>
      </c>
      <c r="F23913">
        <v>2.2127627502483001E-8</v>
      </c>
      <c r="G23913">
        <v>2371237</v>
      </c>
      <c r="H23913">
        <v>13323920</v>
      </c>
      <c r="I23913">
        <v>10736036</v>
      </c>
      <c r="J23913">
        <v>2</v>
      </c>
    </row>
    <row r="23914" spans="1:10" x14ac:dyDescent="0.25">
      <c r="A23914" t="s">
        <v>255</v>
      </c>
      <c r="B23914" s="1" t="str">
        <f>HYPERLINK("http://microsoft.co.nz","microsoft.co.nz")</f>
        <v>microsoft.co.nz</v>
      </c>
      <c r="C23914" t="s">
        <v>479</v>
      </c>
      <c r="D23914" t="s">
        <v>854</v>
      </c>
      <c r="F23914">
        <v>6.9956373378332597E-9</v>
      </c>
      <c r="G23914">
        <v>12324743</v>
      </c>
      <c r="H23914">
        <v>13945247</v>
      </c>
      <c r="I23914">
        <v>4284002</v>
      </c>
      <c r="J23914">
        <v>2</v>
      </c>
    </row>
    <row r="23915" spans="1:10" x14ac:dyDescent="0.25">
      <c r="A23915" t="s">
        <v>255</v>
      </c>
      <c r="B23915" s="1" t="str">
        <f>HYPERLINK("http://ateosdemadrid.org","ateosdemadrid.org")</f>
        <v>ateosdemadrid.org</v>
      </c>
      <c r="C23915" t="s">
        <v>481</v>
      </c>
      <c r="F23915">
        <v>4.8901587110475898E-9</v>
      </c>
      <c r="G23915">
        <v>32761328</v>
      </c>
      <c r="H23915">
        <v>13933063</v>
      </c>
      <c r="I23915">
        <v>5104725</v>
      </c>
      <c r="J23915">
        <v>8</v>
      </c>
    </row>
    <row r="23916" spans="1:10" x14ac:dyDescent="0.25">
      <c r="A23916" t="s">
        <v>255</v>
      </c>
      <c r="B23916" s="1" t="str">
        <f>HYPERLINK("http://github.org","github.org")</f>
        <v>github.org</v>
      </c>
      <c r="C23916" t="s">
        <v>481</v>
      </c>
      <c r="E23916">
        <v>971245</v>
      </c>
      <c r="F23916">
        <v>4.26898743590274E-7</v>
      </c>
      <c r="G23916">
        <v>88241</v>
      </c>
      <c r="H23916">
        <v>17321444</v>
      </c>
      <c r="I23916">
        <v>25702</v>
      </c>
      <c r="J23916">
        <v>4</v>
      </c>
    </row>
    <row r="23917" spans="1:10" x14ac:dyDescent="0.25">
      <c r="A23917" t="s">
        <v>255</v>
      </c>
      <c r="B23917" s="1" t="str">
        <f>HYPERLINK("http://projectcalico.org","projectcalico.org")</f>
        <v>projectcalico.org</v>
      </c>
      <c r="C23917" t="s">
        <v>481</v>
      </c>
      <c r="E23917">
        <v>127460</v>
      </c>
      <c r="F23917">
        <v>8.8550680645643604E-7</v>
      </c>
      <c r="G23917">
        <v>45403</v>
      </c>
      <c r="H23917">
        <v>17360656</v>
      </c>
      <c r="I23917">
        <v>22164</v>
      </c>
      <c r="J23917">
        <v>7</v>
      </c>
    </row>
    <row r="23918" spans="1:10" x14ac:dyDescent="0.25">
      <c r="A23918" t="s">
        <v>255</v>
      </c>
      <c r="B23918" s="1" t="str">
        <f>HYPERLINK("http://voidlinux.org","voidlinux.org")</f>
        <v>voidlinux.org</v>
      </c>
      <c r="C23918" t="s">
        <v>481</v>
      </c>
      <c r="E23918">
        <v>304559</v>
      </c>
      <c r="F23918">
        <v>3.1553279381089602E-7</v>
      </c>
      <c r="G23918">
        <v>117822</v>
      </c>
      <c r="H23918">
        <v>15071256</v>
      </c>
      <c r="I23918">
        <v>410961</v>
      </c>
      <c r="J23918">
        <v>5</v>
      </c>
    </row>
    <row r="23919" spans="1:10" x14ac:dyDescent="0.25">
      <c r="A23919" t="s">
        <v>255</v>
      </c>
      <c r="B23919" s="1" t="str">
        <f>HYPERLINK("http://microsoft.com.ph","microsoft.com.ph")</f>
        <v>microsoft.com.ph</v>
      </c>
      <c r="C23919" t="s">
        <v>484</v>
      </c>
      <c r="D23919" t="s">
        <v>858</v>
      </c>
      <c r="F23919">
        <v>4.6250190043997302E-9</v>
      </c>
      <c r="G23919">
        <v>45773506</v>
      </c>
      <c r="H23919">
        <v>12100431</v>
      </c>
      <c r="I23919">
        <v>25954718</v>
      </c>
      <c r="J23919">
        <v>2</v>
      </c>
    </row>
    <row r="23920" spans="1:10" x14ac:dyDescent="0.25">
      <c r="A23920" t="s">
        <v>255</v>
      </c>
      <c r="B23920" s="1" t="str">
        <f>HYPERLINK("http://prospectone.pl","prospectone.pl")</f>
        <v>prospectone.pl</v>
      </c>
      <c r="C23920" t="s">
        <v>486</v>
      </c>
      <c r="D23920" t="s">
        <v>860</v>
      </c>
      <c r="F23920">
        <v>5.5963534870474603E-9</v>
      </c>
      <c r="G23920">
        <v>19893094</v>
      </c>
      <c r="H23920">
        <v>10794564</v>
      </c>
      <c r="I23920">
        <v>38336555</v>
      </c>
      <c r="J23920">
        <v>6</v>
      </c>
    </row>
    <row r="23921" spans="1:10" x14ac:dyDescent="0.25">
      <c r="A23921" t="s">
        <v>255</v>
      </c>
      <c r="B23921" s="1" t="str">
        <f>HYPERLINK("http://microsoft.pt","microsoft.pt")</f>
        <v>microsoft.pt</v>
      </c>
      <c r="C23921" t="s">
        <v>488</v>
      </c>
      <c r="D23921" t="s">
        <v>862</v>
      </c>
      <c r="F23921">
        <v>3.2930395690735398E-8</v>
      </c>
      <c r="G23921">
        <v>1569080</v>
      </c>
      <c r="H23921">
        <v>14101786</v>
      </c>
      <c r="I23921">
        <v>2700674</v>
      </c>
      <c r="J23921">
        <v>2</v>
      </c>
    </row>
    <row r="23922" spans="1:10" x14ac:dyDescent="0.25">
      <c r="A23922" t="s">
        <v>255</v>
      </c>
      <c r="B23922" s="1" t="str">
        <f>HYPERLINK("http://github.red","github.red")</f>
        <v>github.red</v>
      </c>
      <c r="C23922" t="s">
        <v>748</v>
      </c>
      <c r="F23922">
        <v>1.4804500762897899E-8</v>
      </c>
      <c r="G23922">
        <v>3905692</v>
      </c>
      <c r="H23922">
        <v>13600439</v>
      </c>
      <c r="I23922">
        <v>9649852</v>
      </c>
      <c r="J23922">
        <v>4</v>
      </c>
    </row>
    <row r="23923" spans="1:10" x14ac:dyDescent="0.25">
      <c r="A23923" t="s">
        <v>255</v>
      </c>
      <c r="B23923" s="1" t="str">
        <f>HYPERLINK("http://github.reviews","github.reviews")</f>
        <v>github.reviews</v>
      </c>
      <c r="C23923" t="s">
        <v>1678</v>
      </c>
      <c r="F23923">
        <v>1.4543768799417999E-8</v>
      </c>
      <c r="G23923">
        <v>3997425</v>
      </c>
      <c r="H23923">
        <v>13661155</v>
      </c>
      <c r="I23923">
        <v>9594714</v>
      </c>
      <c r="J23923">
        <v>4</v>
      </c>
    </row>
    <row r="23924" spans="1:10" x14ac:dyDescent="0.25">
      <c r="A23924" t="s">
        <v>255</v>
      </c>
      <c r="B23924" s="1" t="str">
        <f>HYPERLINK("http://microsoft.ro","microsoft.ro")</f>
        <v>microsoft.ro</v>
      </c>
      <c r="C23924" t="s">
        <v>491</v>
      </c>
      <c r="D23924" t="s">
        <v>865</v>
      </c>
      <c r="F23924">
        <v>1.1791963784221501E-8</v>
      </c>
      <c r="G23924">
        <v>5307075</v>
      </c>
      <c r="H23924">
        <v>14275935</v>
      </c>
      <c r="I23924">
        <v>1390488</v>
      </c>
      <c r="J23924">
        <v>2</v>
      </c>
    </row>
    <row r="23925" spans="1:10" x14ac:dyDescent="0.25">
      <c r="A23925" t="s">
        <v>255</v>
      </c>
      <c r="B23925" s="1" t="str">
        <f>HYPERLINK("http://obsidian.rocks","obsidian.rocks")</f>
        <v>obsidian.rocks</v>
      </c>
      <c r="C23925" t="s">
        <v>727</v>
      </c>
      <c r="F23925">
        <v>7.14426742761497E-9</v>
      </c>
      <c r="G23925">
        <v>11892319</v>
      </c>
      <c r="H23925">
        <v>12985172</v>
      </c>
      <c r="I23925">
        <v>12905724</v>
      </c>
      <c r="J23925">
        <v>6</v>
      </c>
    </row>
    <row r="23926" spans="1:10" x14ac:dyDescent="0.25">
      <c r="A23926" t="s">
        <v>255</v>
      </c>
      <c r="B23926" s="1" t="str">
        <f>HYPERLINK("http://microsoft.ru","microsoft.ru")</f>
        <v>microsoft.ru</v>
      </c>
      <c r="C23926" t="s">
        <v>493</v>
      </c>
      <c r="D23926" t="s">
        <v>867</v>
      </c>
      <c r="E23926">
        <v>357434</v>
      </c>
      <c r="F23926">
        <v>7.5651667483134204E-8</v>
      </c>
      <c r="G23926">
        <v>555635</v>
      </c>
      <c r="H23926">
        <v>14117542</v>
      </c>
      <c r="I23926">
        <v>2659953</v>
      </c>
      <c r="J23926">
        <v>2</v>
      </c>
    </row>
    <row r="23927" spans="1:10" x14ac:dyDescent="0.25">
      <c r="A23927" t="s">
        <v>255</v>
      </c>
      <c r="B23927" s="1" t="str">
        <f>HYPERLINK("http://skydustry.ru","skydustry.ru")</f>
        <v>skydustry.ru</v>
      </c>
      <c r="C23927" t="s">
        <v>493</v>
      </c>
      <c r="D23927" t="s">
        <v>867</v>
      </c>
      <c r="F23927">
        <v>4.4711580111008299E-9</v>
      </c>
      <c r="G23927">
        <v>64291360</v>
      </c>
      <c r="H23927">
        <v>10511804</v>
      </c>
      <c r="I23927">
        <v>49460165</v>
      </c>
      <c r="J23927">
        <v>4</v>
      </c>
    </row>
    <row r="23928" spans="1:10" x14ac:dyDescent="0.25">
      <c r="A23928" t="s">
        <v>255</v>
      </c>
      <c r="B23928" s="1" t="str">
        <f>HYPERLINK("http://startupleadership.ru","startupleadership.ru")</f>
        <v>startupleadership.ru</v>
      </c>
      <c r="C23928" t="s">
        <v>493</v>
      </c>
      <c r="D23928" t="s">
        <v>867</v>
      </c>
      <c r="F23928">
        <v>1.27427836743146E-8</v>
      </c>
      <c r="G23928">
        <v>4758117</v>
      </c>
      <c r="H23928">
        <v>12905888</v>
      </c>
      <c r="I23928">
        <v>13822136</v>
      </c>
      <c r="J23928">
        <v>7</v>
      </c>
    </row>
    <row r="23929" spans="1:10" x14ac:dyDescent="0.25">
      <c r="A23929" t="s">
        <v>255</v>
      </c>
      <c r="B23929" s="1" t="str">
        <f>HYPERLINK("http://microsoft.se","microsoft.se")</f>
        <v>microsoft.se</v>
      </c>
      <c r="C23929" t="s">
        <v>495</v>
      </c>
      <c r="D23929" t="s">
        <v>869</v>
      </c>
      <c r="F23929">
        <v>6.8372175012439894E-8</v>
      </c>
      <c r="G23929">
        <v>623887</v>
      </c>
      <c r="H23929">
        <v>14523355</v>
      </c>
      <c r="I23929">
        <v>799150</v>
      </c>
      <c r="J23929">
        <v>2</v>
      </c>
    </row>
    <row r="23930" spans="1:10" x14ac:dyDescent="0.25">
      <c r="A23930" t="s">
        <v>255</v>
      </c>
      <c r="B23930" s="1" t="str">
        <f>HYPERLINK("http://nuance.se","nuance.se")</f>
        <v>nuance.se</v>
      </c>
      <c r="C23930" t="s">
        <v>495</v>
      </c>
      <c r="D23930" t="s">
        <v>869</v>
      </c>
      <c r="F23930">
        <v>1.04280685535175E-8</v>
      </c>
      <c r="G23930">
        <v>6333301</v>
      </c>
      <c r="H23930">
        <v>12601372</v>
      </c>
      <c r="I23930">
        <v>16311153</v>
      </c>
      <c r="J23930">
        <v>4</v>
      </c>
    </row>
    <row r="23931" spans="1:10" x14ac:dyDescent="0.25">
      <c r="A23931" t="s">
        <v>255</v>
      </c>
      <c r="B23931" s="1" t="str">
        <f>HYPERLINK("http://cdnjs.site","cdnjs.site")</f>
        <v>cdnjs.site</v>
      </c>
      <c r="C23931" t="s">
        <v>558</v>
      </c>
      <c r="F23931">
        <v>4.44380395335525E-9</v>
      </c>
      <c r="G23931">
        <v>86371221</v>
      </c>
      <c r="H23931">
        <v>0</v>
      </c>
      <c r="I23931">
        <v>87821077</v>
      </c>
      <c r="J23931">
        <v>4</v>
      </c>
    </row>
    <row r="23932" spans="1:10" x14ac:dyDescent="0.25">
      <c r="A23932" t="s">
        <v>255</v>
      </c>
      <c r="B23932" s="1" t="str">
        <f>HYPERLINK("http://mineserv.top","mineserv.top")</f>
        <v>mineserv.top</v>
      </c>
      <c r="C23932" t="s">
        <v>606</v>
      </c>
      <c r="F23932">
        <v>1.68307882165438E-8</v>
      </c>
      <c r="G23932">
        <v>3325860</v>
      </c>
      <c r="H23932">
        <v>14078176</v>
      </c>
      <c r="I23932">
        <v>2851217</v>
      </c>
      <c r="J23932">
        <v>4</v>
      </c>
    </row>
    <row r="23933" spans="1:10" x14ac:dyDescent="0.25">
      <c r="A23933" t="s">
        <v>255</v>
      </c>
      <c r="B23933" s="1" t="str">
        <f>HYPERLINK("http://ssh.town","ssh.town")</f>
        <v>ssh.town</v>
      </c>
      <c r="C23933" t="s">
        <v>1679</v>
      </c>
      <c r="F23933">
        <v>1.13392977352305E-8</v>
      </c>
      <c r="G23933">
        <v>5615535</v>
      </c>
      <c r="H23933">
        <v>11092929</v>
      </c>
      <c r="I23933">
        <v>32352971</v>
      </c>
      <c r="J23933">
        <v>4</v>
      </c>
    </row>
    <row r="23934" spans="1:10" x14ac:dyDescent="0.25">
      <c r="A23934" t="s">
        <v>255</v>
      </c>
      <c r="B23934" s="1" t="str">
        <f>HYPERLINK("http://microsoft.com.tr","microsoft.com.tr")</f>
        <v>microsoft.com.tr</v>
      </c>
      <c r="C23934" t="s">
        <v>502</v>
      </c>
      <c r="D23934" t="s">
        <v>876</v>
      </c>
      <c r="F23934">
        <v>2.1035685412357701E-8</v>
      </c>
      <c r="G23934">
        <v>2511142</v>
      </c>
      <c r="H23934">
        <v>14490155</v>
      </c>
      <c r="I23934">
        <v>914706</v>
      </c>
      <c r="J23934">
        <v>2</v>
      </c>
    </row>
    <row r="23935" spans="1:10" x14ac:dyDescent="0.25">
      <c r="A23935" t="s">
        <v>255</v>
      </c>
      <c r="B23935" s="1" t="str">
        <f>HYPERLINK("http://microsoft.com.tw","microsoft.com.tw")</f>
        <v>microsoft.com.tw</v>
      </c>
      <c r="C23935" t="s">
        <v>504</v>
      </c>
      <c r="D23935" t="s">
        <v>878</v>
      </c>
      <c r="F23935">
        <v>4.9207864296081198E-9</v>
      </c>
      <c r="G23935">
        <v>31663942</v>
      </c>
      <c r="H23935">
        <v>12201730</v>
      </c>
      <c r="I23935">
        <v>23273537</v>
      </c>
      <c r="J23935">
        <v>2</v>
      </c>
    </row>
    <row r="23936" spans="1:10" x14ac:dyDescent="0.25">
      <c r="A23936" t="s">
        <v>255</v>
      </c>
      <c r="B23936" s="1" t="str">
        <f>HYPERLINK("http://microsoft.co.uk","microsoft.co.uk")</f>
        <v>microsoft.co.uk</v>
      </c>
      <c r="C23936" t="s">
        <v>506</v>
      </c>
      <c r="D23936" t="s">
        <v>880</v>
      </c>
      <c r="F23936">
        <v>1.93194054321104E-8</v>
      </c>
      <c r="G23936">
        <v>2778971</v>
      </c>
      <c r="H23936">
        <v>14137951</v>
      </c>
      <c r="I23936">
        <v>1950789</v>
      </c>
      <c r="J23936">
        <v>2</v>
      </c>
    </row>
    <row r="23937" spans="1:10" x14ac:dyDescent="0.25">
      <c r="A23937" t="s">
        <v>255</v>
      </c>
      <c r="B23937" s="1" t="str">
        <f>HYPERLINK("http://nuance.co.uk","nuance.co.uk")</f>
        <v>nuance.co.uk</v>
      </c>
      <c r="C23937" t="s">
        <v>506</v>
      </c>
      <c r="D23937" t="s">
        <v>880</v>
      </c>
      <c r="E23937">
        <v>745091</v>
      </c>
      <c r="F23937">
        <v>1.2550706249426699E-7</v>
      </c>
      <c r="G23937">
        <v>314327</v>
      </c>
      <c r="H23937">
        <v>14372703</v>
      </c>
      <c r="I23937">
        <v>1283847</v>
      </c>
      <c r="J23937">
        <v>4</v>
      </c>
    </row>
    <row r="23938" spans="1:10" x14ac:dyDescent="0.25">
      <c r="A23938" t="s">
        <v>255</v>
      </c>
      <c r="B23938" s="1" t="str">
        <f>HYPERLINK("http://rare.co.uk","rare.co.uk")</f>
        <v>rare.co.uk</v>
      </c>
      <c r="C23938" t="s">
        <v>506</v>
      </c>
      <c r="D23938" t="s">
        <v>880</v>
      </c>
      <c r="E23938">
        <v>255445</v>
      </c>
      <c r="F23938">
        <v>1.7525359027211599E-7</v>
      </c>
      <c r="G23938">
        <v>221271</v>
      </c>
      <c r="H23938">
        <v>15099865</v>
      </c>
      <c r="I23938">
        <v>406515</v>
      </c>
      <c r="J23938">
        <v>3</v>
      </c>
    </row>
    <row r="23939" spans="1:10" x14ac:dyDescent="0.25">
      <c r="A23939" t="s">
        <v>255</v>
      </c>
      <c r="B23939" s="1" t="str">
        <f>HYPERLINK("http://microsoft.us","microsoft.us")</f>
        <v>microsoft.us</v>
      </c>
      <c r="C23939" t="s">
        <v>522</v>
      </c>
      <c r="D23939" t="s">
        <v>891</v>
      </c>
      <c r="E23939">
        <v>6232</v>
      </c>
      <c r="F23939">
        <v>1.6619310765707501E-7</v>
      </c>
      <c r="G23939">
        <v>233499</v>
      </c>
      <c r="H23939">
        <v>14557859</v>
      </c>
      <c r="I23939">
        <v>749353</v>
      </c>
      <c r="J23939">
        <v>2</v>
      </c>
    </row>
    <row r="23940" spans="1:10" x14ac:dyDescent="0.25">
      <c r="A23940" t="s">
        <v>255</v>
      </c>
      <c r="B23940" s="1" t="str">
        <f>HYPERLINK("http://m12.vc","m12.vc")</f>
        <v>m12.vc</v>
      </c>
      <c r="C23940" t="s">
        <v>520</v>
      </c>
      <c r="D23940" t="s">
        <v>890</v>
      </c>
      <c r="E23940">
        <v>256262</v>
      </c>
      <c r="F23940">
        <v>3.4519603718420898E-7</v>
      </c>
      <c r="G23940">
        <v>108192</v>
      </c>
      <c r="H23940">
        <v>14344463</v>
      </c>
      <c r="I23940">
        <v>1313287</v>
      </c>
      <c r="J23940">
        <v>4</v>
      </c>
    </row>
    <row r="23941" spans="1:10" x14ac:dyDescent="0.25">
      <c r="A23941" t="s">
        <v>256</v>
      </c>
      <c r="B23941" s="1" t="str">
        <f>HYPERLINK("http://midea.com.ar","midea.com.ar")</f>
        <v>midea.com.ar</v>
      </c>
      <c r="C23941" t="s">
        <v>418</v>
      </c>
      <c r="D23941" t="s">
        <v>800</v>
      </c>
      <c r="F23941">
        <v>2.0004473666199999E-8</v>
      </c>
      <c r="G23941">
        <v>2658529</v>
      </c>
      <c r="H23941">
        <v>14074350</v>
      </c>
      <c r="I23941">
        <v>2946250</v>
      </c>
      <c r="J23941">
        <v>2</v>
      </c>
    </row>
    <row r="23942" spans="1:10" x14ac:dyDescent="0.25">
      <c r="A23942" t="s">
        <v>256</v>
      </c>
      <c r="B23942" s="1" t="str">
        <f>HYPERLINK("http://midea.net.au","midea.net.au")</f>
        <v>midea.net.au</v>
      </c>
      <c r="C23942" t="s">
        <v>420</v>
      </c>
      <c r="D23942" t="s">
        <v>802</v>
      </c>
      <c r="F23942">
        <v>1.00719490645657E-8</v>
      </c>
      <c r="G23942">
        <v>6680013</v>
      </c>
      <c r="H23942">
        <v>12563643</v>
      </c>
      <c r="I23942">
        <v>16680375</v>
      </c>
      <c r="J23942">
        <v>2</v>
      </c>
    </row>
    <row r="23943" spans="1:10" x14ac:dyDescent="0.25">
      <c r="A23943" t="s">
        <v>256</v>
      </c>
      <c r="B23943" s="1" t="str">
        <f>HYPERLINK("http://kuka.be","kuka.be")</f>
        <v>kuka.be</v>
      </c>
      <c r="C23943" t="s">
        <v>421</v>
      </c>
      <c r="D23943" t="s">
        <v>803</v>
      </c>
      <c r="F23943">
        <v>4.5298111542704904E-9</v>
      </c>
      <c r="G23943">
        <v>55077149</v>
      </c>
      <c r="H23943">
        <v>12059190</v>
      </c>
      <c r="I23943">
        <v>27032505</v>
      </c>
      <c r="J23943">
        <v>6</v>
      </c>
    </row>
    <row r="23944" spans="1:10" x14ac:dyDescent="0.25">
      <c r="A23944" t="s">
        <v>256</v>
      </c>
      <c r="B23944" s="1" t="str">
        <f>HYPERLINK("http://kukasystems.com.br","kukasystems.com.br")</f>
        <v>kukasystems.com.br</v>
      </c>
      <c r="C23944" t="s">
        <v>425</v>
      </c>
      <c r="D23944" t="s">
        <v>806</v>
      </c>
      <c r="J23944">
        <v>6</v>
      </c>
    </row>
    <row r="23945" spans="1:10" x14ac:dyDescent="0.25">
      <c r="A23945" t="s">
        <v>256</v>
      </c>
      <c r="B23945" s="1" t="str">
        <f>HYPERLINK("http://mideadobrasil.com.br","mideadobrasil.com.br")</f>
        <v>mideadobrasil.com.br</v>
      </c>
      <c r="C23945" t="s">
        <v>425</v>
      </c>
      <c r="D23945" t="s">
        <v>806</v>
      </c>
      <c r="F23945">
        <v>1.39701257976279E-8</v>
      </c>
      <c r="G23945">
        <v>4213977</v>
      </c>
      <c r="H23945">
        <v>13993068</v>
      </c>
      <c r="I23945">
        <v>4028742</v>
      </c>
      <c r="J23945">
        <v>4</v>
      </c>
    </row>
    <row r="23946" spans="1:10" x14ac:dyDescent="0.25">
      <c r="A23946" t="s">
        <v>256</v>
      </c>
      <c r="B23946" s="1" t="str">
        <f>HYPERLINK("http://midea.com.cn","midea.com.cn")</f>
        <v>midea.com.cn</v>
      </c>
      <c r="C23946" t="s">
        <v>431</v>
      </c>
      <c r="D23946" t="s">
        <v>812</v>
      </c>
      <c r="E23946">
        <v>6520</v>
      </c>
      <c r="F23946">
        <v>1.5621670563315601E-7</v>
      </c>
      <c r="G23946">
        <v>248612</v>
      </c>
      <c r="H23946">
        <v>13880595</v>
      </c>
      <c r="I23946">
        <v>5982965</v>
      </c>
      <c r="J23946">
        <v>2</v>
      </c>
    </row>
    <row r="23947" spans="1:10" x14ac:dyDescent="0.25">
      <c r="A23947" t="s">
        <v>256</v>
      </c>
      <c r="B23947" s="1" t="str">
        <f>HYPERLINK("http://midea.cn","midea.cn")</f>
        <v>midea.cn</v>
      </c>
      <c r="C23947" t="s">
        <v>431</v>
      </c>
      <c r="D23947" t="s">
        <v>812</v>
      </c>
      <c r="E23947">
        <v>311430</v>
      </c>
      <c r="F23947">
        <v>1.3162584771300199E-7</v>
      </c>
      <c r="G23947">
        <v>297034</v>
      </c>
      <c r="H23947">
        <v>14086789</v>
      </c>
      <c r="I23947">
        <v>2767560</v>
      </c>
      <c r="J23947">
        <v>2</v>
      </c>
    </row>
    <row r="23948" spans="1:10" x14ac:dyDescent="0.25">
      <c r="A23948" t="s">
        <v>256</v>
      </c>
      <c r="B23948" s="1" t="str">
        <f>HYPERLINK("http://ergotrans.com","ergotrans.com")</f>
        <v>ergotrans.com</v>
      </c>
      <c r="C23948" t="s">
        <v>433</v>
      </c>
      <c r="F23948">
        <v>4.47409316733767E-9</v>
      </c>
      <c r="G23948">
        <v>63611121</v>
      </c>
      <c r="H23948">
        <v>9840560</v>
      </c>
      <c r="I23948">
        <v>62248379</v>
      </c>
      <c r="J23948">
        <v>4</v>
      </c>
    </row>
    <row r="23949" spans="1:10" x14ac:dyDescent="0.25">
      <c r="A23949" t="s">
        <v>256</v>
      </c>
      <c r="B23949" s="1" t="str">
        <f>HYPERLINK("http://kuka.com","kuka.com")</f>
        <v>kuka.com</v>
      </c>
      <c r="C23949" t="s">
        <v>433</v>
      </c>
      <c r="E23949">
        <v>40042</v>
      </c>
      <c r="F23949">
        <v>1.6238153013950701E-6</v>
      </c>
      <c r="G23949">
        <v>24274</v>
      </c>
      <c r="H23949">
        <v>15993289</v>
      </c>
      <c r="I23949">
        <v>366464</v>
      </c>
      <c r="J23949">
        <v>3</v>
      </c>
    </row>
    <row r="23950" spans="1:10" x14ac:dyDescent="0.25">
      <c r="A23950" t="s">
        <v>256</v>
      </c>
      <c r="B23950" s="1" t="str">
        <f>HYPERLINK("http://kuka-industries.com","kuka-industries.com")</f>
        <v>kuka-industries.com</v>
      </c>
      <c r="C23950" t="s">
        <v>433</v>
      </c>
      <c r="F23950">
        <v>8.7992098650742398E-9</v>
      </c>
      <c r="G23950">
        <v>8311425</v>
      </c>
      <c r="H23950">
        <v>12554521</v>
      </c>
      <c r="I23950">
        <v>16779642</v>
      </c>
      <c r="J23950">
        <v>5</v>
      </c>
    </row>
    <row r="23951" spans="1:10" x14ac:dyDescent="0.25">
      <c r="A23951" t="s">
        <v>256</v>
      </c>
      <c r="B23951" s="1" t="str">
        <f>HYPERLINK("http://kuka-robotics.com","kuka-robotics.com")</f>
        <v>kuka-robotics.com</v>
      </c>
      <c r="C23951" t="s">
        <v>433</v>
      </c>
      <c r="E23951">
        <v>424866</v>
      </c>
      <c r="F23951">
        <v>1.44109616648506E-7</v>
      </c>
      <c r="G23951">
        <v>270215</v>
      </c>
      <c r="H23951">
        <v>15082809</v>
      </c>
      <c r="I23951">
        <v>409148</v>
      </c>
      <c r="J23951">
        <v>4</v>
      </c>
    </row>
    <row r="23952" spans="1:10" x14ac:dyDescent="0.25">
      <c r="A23952" t="s">
        <v>256</v>
      </c>
      <c r="B23952" s="1" t="str">
        <f>HYPERLINK("http://kuka-systems.com","kuka-systems.com")</f>
        <v>kuka-systems.com</v>
      </c>
      <c r="C23952" t="s">
        <v>433</v>
      </c>
      <c r="F23952">
        <v>2.6453229902212901E-8</v>
      </c>
      <c r="G23952">
        <v>1946364</v>
      </c>
      <c r="H23952">
        <v>14260768</v>
      </c>
      <c r="I23952">
        <v>1418653</v>
      </c>
      <c r="J23952">
        <v>4</v>
      </c>
    </row>
    <row r="23953" spans="1:10" x14ac:dyDescent="0.25">
      <c r="A23953" t="s">
        <v>256</v>
      </c>
      <c r="B23953" s="1" t="str">
        <f>HYPERLINK("http://midea.com","midea.com")</f>
        <v>midea.com</v>
      </c>
      <c r="C23953" t="s">
        <v>433</v>
      </c>
      <c r="E23953">
        <v>19358</v>
      </c>
      <c r="F23953">
        <v>1.0114824754430701E-6</v>
      </c>
      <c r="G23953">
        <v>37836</v>
      </c>
      <c r="H23953">
        <v>17561894</v>
      </c>
      <c r="I23953">
        <v>10870</v>
      </c>
      <c r="J23953">
        <v>1</v>
      </c>
    </row>
    <row r="23954" spans="1:10" x14ac:dyDescent="0.25">
      <c r="A23954" t="s">
        <v>256</v>
      </c>
      <c r="B23954" s="1" t="str">
        <f>HYPERLINK("http://midea-group.com","midea-group.com")</f>
        <v>midea-group.com</v>
      </c>
      <c r="C23954" t="s">
        <v>433</v>
      </c>
      <c r="E23954">
        <v>748662</v>
      </c>
      <c r="F23954">
        <v>9.3382616927921199E-8</v>
      </c>
      <c r="G23954">
        <v>435323</v>
      </c>
      <c r="H23954">
        <v>14272829</v>
      </c>
      <c r="I23954">
        <v>1394663</v>
      </c>
      <c r="J23954">
        <v>5</v>
      </c>
    </row>
    <row r="23955" spans="1:10" x14ac:dyDescent="0.25">
      <c r="A23955" t="s">
        <v>256</v>
      </c>
      <c r="B23955" s="1" t="str">
        <f>HYPERLINK("http://powerautomationsystems.com","powerautomationsystems.com")</f>
        <v>powerautomationsystems.com</v>
      </c>
      <c r="C23955" t="s">
        <v>433</v>
      </c>
      <c r="F23955">
        <v>5.5768549816525097E-9</v>
      </c>
      <c r="G23955">
        <v>20086984</v>
      </c>
      <c r="H23955">
        <v>12378233</v>
      </c>
      <c r="I23955">
        <v>19259249</v>
      </c>
      <c r="J23955">
        <v>7</v>
      </c>
    </row>
    <row r="23956" spans="1:10" x14ac:dyDescent="0.25">
      <c r="A23956" t="s">
        <v>256</v>
      </c>
      <c r="B23956" s="1" t="str">
        <f>HYPERLINK("http://reisrobotics.com","reisrobotics.com")</f>
        <v>reisrobotics.com</v>
      </c>
      <c r="C23956" t="s">
        <v>433</v>
      </c>
      <c r="F23956">
        <v>9.6876554238944799E-9</v>
      </c>
      <c r="G23956">
        <v>7094816</v>
      </c>
      <c r="H23956">
        <v>12525719</v>
      </c>
      <c r="I23956">
        <v>17089357</v>
      </c>
      <c r="J23956">
        <v>5</v>
      </c>
    </row>
    <row r="23957" spans="1:10" x14ac:dyDescent="0.25">
      <c r="A23957" t="s">
        <v>256</v>
      </c>
      <c r="B23957" s="1" t="str">
        <f>HYPERLINK("http://swisslog.com","swisslog.com")</f>
        <v>swisslog.com</v>
      </c>
      <c r="C23957" t="s">
        <v>433</v>
      </c>
      <c r="E23957">
        <v>157049</v>
      </c>
      <c r="F23957">
        <v>1.9296804323523601E-7</v>
      </c>
      <c r="G23957">
        <v>199716</v>
      </c>
      <c r="H23957">
        <v>14491401</v>
      </c>
      <c r="I23957">
        <v>903454</v>
      </c>
      <c r="J23957">
        <v>4</v>
      </c>
    </row>
    <row r="23958" spans="1:10" x14ac:dyDescent="0.25">
      <c r="A23958" t="s">
        <v>256</v>
      </c>
      <c r="B23958" s="1" t="str">
        <f>HYPERLINK("http://tecnilab.com","tecnilab.com")</f>
        <v>tecnilab.com</v>
      </c>
      <c r="C23958" t="s">
        <v>433</v>
      </c>
      <c r="F23958">
        <v>4.8864646480449197E-9</v>
      </c>
      <c r="G23958">
        <v>32877731</v>
      </c>
      <c r="H23958">
        <v>12157484</v>
      </c>
      <c r="I23958">
        <v>24432635</v>
      </c>
      <c r="J23958">
        <v>5</v>
      </c>
    </row>
    <row r="23959" spans="1:10" x14ac:dyDescent="0.25">
      <c r="A23959" t="s">
        <v>256</v>
      </c>
      <c r="B23959" s="1" t="str">
        <f>HYPERLINK("http://midea.es","midea.es")</f>
        <v>midea.es</v>
      </c>
      <c r="C23959" t="s">
        <v>443</v>
      </c>
      <c r="D23959" t="s">
        <v>822</v>
      </c>
      <c r="F23959">
        <v>6.8739361734253902E-8</v>
      </c>
      <c r="G23959">
        <v>618795</v>
      </c>
      <c r="H23959">
        <v>12613812</v>
      </c>
      <c r="I23959">
        <v>16157594</v>
      </c>
      <c r="J23959">
        <v>2</v>
      </c>
    </row>
    <row r="23960" spans="1:10" x14ac:dyDescent="0.25">
      <c r="A23960" t="s">
        <v>256</v>
      </c>
      <c r="B23960" s="1" t="str">
        <f>HYPERLINK("http://kuka.fi","kuka.fi")</f>
        <v>kuka.fi</v>
      </c>
      <c r="C23960" t="s">
        <v>445</v>
      </c>
      <c r="D23960" t="s">
        <v>823</v>
      </c>
      <c r="F23960">
        <v>4.5116569514872103E-9</v>
      </c>
      <c r="G23960">
        <v>57289984</v>
      </c>
      <c r="H23960">
        <v>10509327</v>
      </c>
      <c r="I23960">
        <v>49820189</v>
      </c>
      <c r="J23960">
        <v>4</v>
      </c>
    </row>
    <row r="23961" spans="1:10" x14ac:dyDescent="0.25">
      <c r="A23961" t="s">
        <v>256</v>
      </c>
      <c r="B23961" s="1" t="str">
        <f>HYPERLINK("http://kuka-robotics.fi","kuka-robotics.fi")</f>
        <v>kuka-robotics.fi</v>
      </c>
      <c r="C23961" t="s">
        <v>445</v>
      </c>
      <c r="D23961" t="s">
        <v>823</v>
      </c>
      <c r="J23961">
        <v>4</v>
      </c>
    </row>
    <row r="23962" spans="1:10" x14ac:dyDescent="0.25">
      <c r="A23962" t="s">
        <v>256</v>
      </c>
      <c r="B23962" s="1" t="str">
        <f>HYPERLINK("http://midea.fr","midea.fr")</f>
        <v>midea.fr</v>
      </c>
      <c r="C23962" t="s">
        <v>446</v>
      </c>
      <c r="D23962" t="s">
        <v>824</v>
      </c>
      <c r="F23962">
        <v>1.0083389904437401E-8</v>
      </c>
      <c r="G23962">
        <v>6666643</v>
      </c>
      <c r="H23962">
        <v>12529023</v>
      </c>
      <c r="I23962">
        <v>17045661</v>
      </c>
      <c r="J23962">
        <v>3</v>
      </c>
    </row>
    <row r="23963" spans="1:10" x14ac:dyDescent="0.25">
      <c r="A23963" t="s">
        <v>256</v>
      </c>
      <c r="B23963" s="1" t="str">
        <f>HYPERLINK("http://midea.com.ge","midea.com.ge")</f>
        <v>midea.com.ge</v>
      </c>
      <c r="C23963" t="s">
        <v>637</v>
      </c>
      <c r="D23963" t="s">
        <v>958</v>
      </c>
      <c r="F23963">
        <v>4.5392881397588201E-9</v>
      </c>
      <c r="G23963">
        <v>53417564</v>
      </c>
      <c r="H23963">
        <v>12048436</v>
      </c>
      <c r="I23963">
        <v>27290837</v>
      </c>
      <c r="J23963">
        <v>2</v>
      </c>
    </row>
    <row r="23964" spans="1:10" x14ac:dyDescent="0.25">
      <c r="A23964" t="s">
        <v>256</v>
      </c>
      <c r="B23964" s="1" t="str">
        <f>HYPERLINK("http://tbcl.co.jp","tbcl.co.jp")</f>
        <v>tbcl.co.jp</v>
      </c>
      <c r="C23964" t="s">
        <v>461</v>
      </c>
      <c r="D23964" t="s">
        <v>837</v>
      </c>
      <c r="F23964">
        <v>5.5564627524695896E-9</v>
      </c>
      <c r="G23964">
        <v>20310678</v>
      </c>
      <c r="H23964">
        <v>12554204</v>
      </c>
      <c r="I23964">
        <v>16781984</v>
      </c>
      <c r="J23964">
        <v>6</v>
      </c>
    </row>
    <row r="23965" spans="1:10" x14ac:dyDescent="0.25">
      <c r="A23965" t="s">
        <v>256</v>
      </c>
      <c r="B23965" s="1" t="str">
        <f>HYPERLINK("http://kuka.com.mx","kuka.com.mx")</f>
        <v>kuka.com.mx</v>
      </c>
      <c r="C23965" t="s">
        <v>471</v>
      </c>
      <c r="D23965" t="s">
        <v>847</v>
      </c>
      <c r="J23965">
        <v>5</v>
      </c>
    </row>
    <row r="23966" spans="1:10" x14ac:dyDescent="0.25">
      <c r="A23966" t="s">
        <v>256</v>
      </c>
      <c r="B23966" s="1" t="str">
        <f>HYPERLINK("http://kuka.no","kuka.no")</f>
        <v>kuka.no</v>
      </c>
      <c r="C23966" t="s">
        <v>478</v>
      </c>
      <c r="D23966" t="s">
        <v>853</v>
      </c>
      <c r="F23966">
        <v>5.1741874570481098E-9</v>
      </c>
      <c r="G23966">
        <v>25650571</v>
      </c>
      <c r="H23966">
        <v>10940842</v>
      </c>
      <c r="I23966">
        <v>34808044</v>
      </c>
      <c r="J23966">
        <v>6</v>
      </c>
    </row>
    <row r="23967" spans="1:10" x14ac:dyDescent="0.25">
      <c r="A23967" t="s">
        <v>256</v>
      </c>
      <c r="B23967" s="1" t="str">
        <f>HYPERLINK("http://midea.com.sg","midea.com.sg")</f>
        <v>midea.com.sg</v>
      </c>
      <c r="C23967" t="s">
        <v>496</v>
      </c>
      <c r="D23967" t="s">
        <v>870</v>
      </c>
      <c r="F23967">
        <v>1.2125370929287101E-8</v>
      </c>
      <c r="G23967">
        <v>5094301</v>
      </c>
      <c r="H23967">
        <v>12347535</v>
      </c>
      <c r="I23967">
        <v>19805564</v>
      </c>
      <c r="J23967">
        <v>2</v>
      </c>
    </row>
    <row r="23968" spans="1:10" x14ac:dyDescent="0.25">
      <c r="A23968" t="s">
        <v>257</v>
      </c>
      <c r="B23968" s="1" t="str">
        <f>HYPERLINK("http://inpex.com.au","inpex.com.au")</f>
        <v>inpex.com.au</v>
      </c>
      <c r="C23968" t="s">
        <v>420</v>
      </c>
      <c r="D23968" t="s">
        <v>802</v>
      </c>
      <c r="F23968">
        <v>3.79956448589065E-8</v>
      </c>
      <c r="G23968">
        <v>1362045</v>
      </c>
      <c r="H23968">
        <v>14511927</v>
      </c>
      <c r="I23968">
        <v>820311</v>
      </c>
      <c r="J23968">
        <v>7</v>
      </c>
    </row>
    <row r="23969" spans="1:10" x14ac:dyDescent="0.25">
      <c r="A23969" t="s">
        <v>257</v>
      </c>
      <c r="B23969" s="1" t="str">
        <f>HYPERLINK("http://riverina.com.au","riverina.com.au")</f>
        <v>riverina.com.au</v>
      </c>
      <c r="C23969" t="s">
        <v>420</v>
      </c>
      <c r="D23969" t="s">
        <v>802</v>
      </c>
      <c r="F23969">
        <v>6.93503324387333E-9</v>
      </c>
      <c r="G23969">
        <v>12510008</v>
      </c>
      <c r="H23969">
        <v>12239498</v>
      </c>
      <c r="I23969">
        <v>22265437</v>
      </c>
      <c r="J23969">
        <v>4</v>
      </c>
    </row>
    <row r="23970" spans="1:10" x14ac:dyDescent="0.25">
      <c r="A23970" t="s">
        <v>257</v>
      </c>
      <c r="B23970" s="1" t="str">
        <f>HYPERLINK("http://cermaq.ca","cermaq.ca")</f>
        <v>cermaq.ca</v>
      </c>
      <c r="C23970" t="s">
        <v>428</v>
      </c>
      <c r="D23970" t="s">
        <v>809</v>
      </c>
      <c r="F23970">
        <v>1.3080887204038E-8</v>
      </c>
      <c r="G23970">
        <v>4592766</v>
      </c>
      <c r="H23970">
        <v>12583160</v>
      </c>
      <c r="I23970">
        <v>16474522</v>
      </c>
      <c r="J23970">
        <v>4</v>
      </c>
    </row>
    <row r="23971" spans="1:10" x14ac:dyDescent="0.25">
      <c r="A23971" t="s">
        <v>257</v>
      </c>
      <c r="B23971" s="1" t="str">
        <f>HYPERLINK("http://muji.ca","muji.ca")</f>
        <v>muji.ca</v>
      </c>
      <c r="C23971" t="s">
        <v>428</v>
      </c>
      <c r="D23971" t="s">
        <v>809</v>
      </c>
      <c r="E23971">
        <v>648502</v>
      </c>
      <c r="F23971">
        <v>3.9488880594575802E-8</v>
      </c>
      <c r="G23971">
        <v>1307255</v>
      </c>
      <c r="H23971">
        <v>14137722</v>
      </c>
      <c r="I23971">
        <v>1952358</v>
      </c>
      <c r="J23971">
        <v>11</v>
      </c>
    </row>
    <row r="23972" spans="1:10" x14ac:dyDescent="0.25">
      <c r="A23972" t="s">
        <v>257</v>
      </c>
      <c r="B23972" s="1" t="str">
        <f>HYPERLINK("http://cermaq.cl","cermaq.cl")</f>
        <v>cermaq.cl</v>
      </c>
      <c r="C23972" t="s">
        <v>430</v>
      </c>
      <c r="D23972" t="s">
        <v>811</v>
      </c>
      <c r="F23972">
        <v>7.6812349511275405E-9</v>
      </c>
      <c r="G23972">
        <v>10621070</v>
      </c>
      <c r="H23972">
        <v>12830130</v>
      </c>
      <c r="I23972">
        <v>14428515</v>
      </c>
      <c r="J23972">
        <v>4</v>
      </c>
    </row>
    <row r="23973" spans="1:10" x14ac:dyDescent="0.25">
      <c r="A23973" t="s">
        <v>257</v>
      </c>
      <c r="B23973" s="1" t="str">
        <f>HYPERLINK("http://chinalawson.com.cn","chinalawson.com.cn")</f>
        <v>chinalawson.com.cn</v>
      </c>
      <c r="C23973" t="s">
        <v>431</v>
      </c>
      <c r="D23973" t="s">
        <v>812</v>
      </c>
      <c r="E23973">
        <v>650624</v>
      </c>
      <c r="F23973">
        <v>3.2579566298959801E-8</v>
      </c>
      <c r="G23973">
        <v>1585981</v>
      </c>
      <c r="H23973">
        <v>14077636</v>
      </c>
      <c r="I23973">
        <v>2861423</v>
      </c>
      <c r="J23973">
        <v>5</v>
      </c>
    </row>
    <row r="23974" spans="1:10" x14ac:dyDescent="0.25">
      <c r="A23974" t="s">
        <v>257</v>
      </c>
      <c r="B23974" s="1" t="str">
        <f>HYPERLINK("http://gmmc.com.cn","gmmc.com.cn")</f>
        <v>gmmc.com.cn</v>
      </c>
      <c r="C23974" t="s">
        <v>431</v>
      </c>
      <c r="D23974" t="s">
        <v>812</v>
      </c>
      <c r="E23974">
        <v>710311</v>
      </c>
      <c r="F23974">
        <v>8.1157262345939294E-8</v>
      </c>
      <c r="G23974">
        <v>514348</v>
      </c>
      <c r="H23974">
        <v>14083811</v>
      </c>
      <c r="I23974">
        <v>2791181</v>
      </c>
      <c r="J23974">
        <v>3</v>
      </c>
    </row>
    <row r="23975" spans="1:10" x14ac:dyDescent="0.25">
      <c r="A23975" t="s">
        <v>257</v>
      </c>
      <c r="B23975" s="1" t="str">
        <f>HYPERLINK("http://lawson.com.cn","lawson.com.cn")</f>
        <v>lawson.com.cn</v>
      </c>
      <c r="C23975" t="s">
        <v>431</v>
      </c>
      <c r="D23975" t="s">
        <v>812</v>
      </c>
      <c r="F23975">
        <v>2.1345680202465199E-8</v>
      </c>
      <c r="G23975">
        <v>2468551</v>
      </c>
      <c r="H23975">
        <v>14077755</v>
      </c>
      <c r="I23975">
        <v>2859295</v>
      </c>
      <c r="J23975">
        <v>4</v>
      </c>
    </row>
    <row r="23976" spans="1:10" x14ac:dyDescent="0.25">
      <c r="A23976" t="s">
        <v>257</v>
      </c>
      <c r="B23976" s="1" t="str">
        <f>HYPERLINK("http://muji.com.cn","muji.com.cn")</f>
        <v>muji.com.cn</v>
      </c>
      <c r="C23976" t="s">
        <v>431</v>
      </c>
      <c r="D23976" t="s">
        <v>812</v>
      </c>
      <c r="E23976">
        <v>504816</v>
      </c>
      <c r="F23976">
        <v>3.9203490381571999E-8</v>
      </c>
      <c r="G23976">
        <v>1315899</v>
      </c>
      <c r="H23976">
        <v>14320422</v>
      </c>
      <c r="I23976">
        <v>1331690</v>
      </c>
      <c r="J23976">
        <v>11</v>
      </c>
    </row>
    <row r="23977" spans="1:10" x14ac:dyDescent="0.25">
      <c r="A23977" t="s">
        <v>257</v>
      </c>
      <c r="B23977" s="1" t="str">
        <f>HYPERLINK("http://agrexinc.com","agrexinc.com")</f>
        <v>agrexinc.com</v>
      </c>
      <c r="C23977" t="s">
        <v>433</v>
      </c>
      <c r="F23977">
        <v>1.2541327996843001E-8</v>
      </c>
      <c r="G23977">
        <v>4863905</v>
      </c>
      <c r="H23977">
        <v>13200516</v>
      </c>
      <c r="I23977">
        <v>11549482</v>
      </c>
      <c r="J23977">
        <v>4</v>
      </c>
    </row>
    <row r="23978" spans="1:10" x14ac:dyDescent="0.25">
      <c r="A23978" t="s">
        <v>257</v>
      </c>
      <c r="B23978" s="1" t="str">
        <f>HYPERLINK("http://astomos.com","astomos.com")</f>
        <v>astomos.com</v>
      </c>
      <c r="C23978" t="s">
        <v>433</v>
      </c>
      <c r="F23978">
        <v>2.4248950599897402E-8</v>
      </c>
      <c r="G23978">
        <v>2138614</v>
      </c>
      <c r="H23978">
        <v>14264349</v>
      </c>
      <c r="I23978">
        <v>1410801</v>
      </c>
      <c r="J23978">
        <v>4</v>
      </c>
    </row>
    <row r="23979" spans="1:10" x14ac:dyDescent="0.25">
      <c r="A23979" t="s">
        <v>257</v>
      </c>
      <c r="B23979" s="1" t="str">
        <f>HYPERLINK("http://betm.com","betm.com")</f>
        <v>betm.com</v>
      </c>
      <c r="C23979" t="s">
        <v>433</v>
      </c>
      <c r="F23979">
        <v>9.5697636169052802E-9</v>
      </c>
      <c r="G23979">
        <v>7239489</v>
      </c>
      <c r="H23979">
        <v>11226116</v>
      </c>
      <c r="I23979">
        <v>31051394</v>
      </c>
      <c r="J23979">
        <v>4</v>
      </c>
    </row>
    <row r="23980" spans="1:10" x14ac:dyDescent="0.25">
      <c r="A23980" t="s">
        <v>257</v>
      </c>
      <c r="B23980" s="1" t="str">
        <f>HYPERLINK("http://bluetransmission.com","bluetransmission.com")</f>
        <v>bluetransmission.com</v>
      </c>
      <c r="C23980" t="s">
        <v>433</v>
      </c>
      <c r="F23980">
        <v>5.6335854123913603E-9</v>
      </c>
      <c r="G23980">
        <v>19542939</v>
      </c>
      <c r="H23980">
        <v>11166169</v>
      </c>
      <c r="I23980">
        <v>31572918</v>
      </c>
      <c r="J23980">
        <v>7</v>
      </c>
    </row>
    <row r="23981" spans="1:10" x14ac:dyDescent="0.25">
      <c r="A23981" t="s">
        <v>257</v>
      </c>
      <c r="B23981" s="1" t="str">
        <f>HYPERLINK("http://cantak.com","cantak.com")</f>
        <v>cantak.com</v>
      </c>
      <c r="C23981" t="s">
        <v>433</v>
      </c>
      <c r="F23981">
        <v>6.3643577166307101E-9</v>
      </c>
      <c r="G23981">
        <v>14692251</v>
      </c>
      <c r="H23981">
        <v>12342546</v>
      </c>
      <c r="I23981">
        <v>19904720</v>
      </c>
      <c r="J23981">
        <v>4</v>
      </c>
    </row>
    <row r="23982" spans="1:10" x14ac:dyDescent="0.25">
      <c r="A23982" t="s">
        <v>257</v>
      </c>
      <c r="B23982" s="1" t="str">
        <f>HYPERLINK("http://cermaq.com","cermaq.com")</f>
        <v>cermaq.com</v>
      </c>
      <c r="C23982" t="s">
        <v>433</v>
      </c>
      <c r="F23982">
        <v>4.7232412366611299E-8</v>
      </c>
      <c r="G23982">
        <v>987184</v>
      </c>
      <c r="H23982">
        <v>14504874</v>
      </c>
      <c r="I23982">
        <v>838060</v>
      </c>
      <c r="J23982">
        <v>3</v>
      </c>
    </row>
    <row r="23983" spans="1:10" x14ac:dyDescent="0.25">
      <c r="A23983" t="s">
        <v>257</v>
      </c>
      <c r="B23983" s="1" t="str">
        <f>HYPERLINK("http://cermarq.com","cermarq.com")</f>
        <v>cermarq.com</v>
      </c>
      <c r="C23983" t="s">
        <v>433</v>
      </c>
      <c r="J23983">
        <v>5</v>
      </c>
    </row>
    <row r="23984" spans="1:10" x14ac:dyDescent="0.25">
      <c r="A23984" t="s">
        <v>257</v>
      </c>
      <c r="B23984" s="1" t="str">
        <f>HYPERLINK("http://chiyodacorp.com","chiyodacorp.com")</f>
        <v>chiyodacorp.com</v>
      </c>
      <c r="C23984" t="s">
        <v>433</v>
      </c>
      <c r="E23984">
        <v>753892</v>
      </c>
      <c r="F23984">
        <v>8.6798815046111493E-8</v>
      </c>
      <c r="G23984">
        <v>473274</v>
      </c>
      <c r="H23984">
        <v>14183061</v>
      </c>
      <c r="I23984">
        <v>1775879</v>
      </c>
      <c r="J23984">
        <v>2</v>
      </c>
    </row>
    <row r="23985" spans="1:10" x14ac:dyDescent="0.25">
      <c r="A23985" t="s">
        <v>257</v>
      </c>
      <c r="B23985" s="1" t="str">
        <f>HYPERLINK("http://dgc-us.com","dgc-us.com")</f>
        <v>dgc-us.com</v>
      </c>
      <c r="C23985" t="s">
        <v>433</v>
      </c>
      <c r="F23985">
        <v>1.35614681991885E-8</v>
      </c>
      <c r="G23985">
        <v>4377957</v>
      </c>
      <c r="H23985">
        <v>13369923</v>
      </c>
      <c r="I23985">
        <v>10468956</v>
      </c>
      <c r="J23985">
        <v>3</v>
      </c>
    </row>
    <row r="23986" spans="1:10" x14ac:dyDescent="0.25">
      <c r="A23986" t="s">
        <v>257</v>
      </c>
      <c r="B23986" s="1" t="str">
        <f>HYPERLINK("http://dia-realty.com","dia-realty.com")</f>
        <v>dia-realty.com</v>
      </c>
      <c r="C23986" t="s">
        <v>433</v>
      </c>
      <c r="F23986">
        <v>4.4493622975506201E-9</v>
      </c>
      <c r="G23986">
        <v>72283924</v>
      </c>
      <c r="H23986">
        <v>10380105</v>
      </c>
      <c r="I23986">
        <v>54587028</v>
      </c>
      <c r="J23986">
        <v>4</v>
      </c>
    </row>
    <row r="23987" spans="1:10" x14ac:dyDescent="0.25">
      <c r="A23987" t="s">
        <v>257</v>
      </c>
      <c r="B23987" s="1" t="str">
        <f>HYPERLINK("http://diamondtransmissioncorp.com","diamondtransmissioncorp.com")</f>
        <v>diamondtransmissioncorp.com</v>
      </c>
      <c r="C23987" t="s">
        <v>433</v>
      </c>
      <c r="F23987">
        <v>5.0672846879306901E-9</v>
      </c>
      <c r="G23987">
        <v>27849033</v>
      </c>
      <c r="H23987">
        <v>10157675</v>
      </c>
      <c r="I23987">
        <v>59398946</v>
      </c>
      <c r="J23987">
        <v>3</v>
      </c>
    </row>
    <row r="23988" spans="1:10" x14ac:dyDescent="0.25">
      <c r="A23988" t="s">
        <v>257</v>
      </c>
      <c r="B23988" s="1" t="str">
        <f>HYPERLINK("http://edibleoilsltd.com","edibleoilsltd.com")</f>
        <v>edibleoilsltd.com</v>
      </c>
      <c r="C23988" t="s">
        <v>433</v>
      </c>
      <c r="F23988">
        <v>4.9001250527122601E-9</v>
      </c>
      <c r="G23988">
        <v>32462462</v>
      </c>
      <c r="H23988">
        <v>10701621</v>
      </c>
      <c r="I23988">
        <v>42288535</v>
      </c>
      <c r="J23988">
        <v>5</v>
      </c>
    </row>
    <row r="23989" spans="1:10" x14ac:dyDescent="0.25">
      <c r="A23989" t="s">
        <v>257</v>
      </c>
      <c r="B23989" s="1" t="str">
        <f>HYPERLINK("http://elfc.com","elfc.com")</f>
        <v>elfc.com</v>
      </c>
      <c r="C23989" t="s">
        <v>433</v>
      </c>
      <c r="F23989">
        <v>1.9240474147167099E-8</v>
      </c>
      <c r="G23989">
        <v>2791846</v>
      </c>
      <c r="H23989">
        <v>12754550</v>
      </c>
      <c r="I23989">
        <v>14991802</v>
      </c>
      <c r="J23989">
        <v>6</v>
      </c>
    </row>
    <row r="23990" spans="1:10" x14ac:dyDescent="0.25">
      <c r="A23990" t="s">
        <v>257</v>
      </c>
      <c r="B23990" s="1" t="str">
        <f>HYPERLINK("http://hitachicapitalamerica.com","hitachicapitalamerica.com")</f>
        <v>hitachicapitalamerica.com</v>
      </c>
      <c r="C23990" t="s">
        <v>433</v>
      </c>
      <c r="F23990">
        <v>1.19790698991681E-8</v>
      </c>
      <c r="G23990">
        <v>5189436</v>
      </c>
      <c r="H23990">
        <v>13606898</v>
      </c>
      <c r="I23990">
        <v>9640401</v>
      </c>
      <c r="J23990">
        <v>6</v>
      </c>
    </row>
    <row r="23991" spans="1:10" x14ac:dyDescent="0.25">
      <c r="A23991" t="s">
        <v>257</v>
      </c>
      <c r="B23991" s="1" t="str">
        <f>HYPERLINK("http://indianapackerscorp.com","indianapackerscorp.com")</f>
        <v>indianapackerscorp.com</v>
      </c>
      <c r="C23991" t="s">
        <v>433</v>
      </c>
      <c r="F23991">
        <v>2.0290650729026299E-8</v>
      </c>
      <c r="G23991">
        <v>2615519</v>
      </c>
      <c r="H23991">
        <v>13994035</v>
      </c>
      <c r="I23991">
        <v>4024580</v>
      </c>
      <c r="J23991">
        <v>7</v>
      </c>
    </row>
    <row r="23992" spans="1:10" x14ac:dyDescent="0.25">
      <c r="A23992" t="s">
        <v>257</v>
      </c>
      <c r="B23992" s="1" t="str">
        <f>HYPERLINK("http://inpac.com","inpac.com")</f>
        <v>inpac.com</v>
      </c>
      <c r="C23992" t="s">
        <v>433</v>
      </c>
      <c r="F23992">
        <v>5.6556747105603403E-9</v>
      </c>
      <c r="G23992">
        <v>19341869</v>
      </c>
      <c r="H23992">
        <v>13933065</v>
      </c>
      <c r="I23992">
        <v>5000212</v>
      </c>
      <c r="J23992">
        <v>4</v>
      </c>
    </row>
    <row r="23993" spans="1:10" x14ac:dyDescent="0.25">
      <c r="A23993" t="s">
        <v>257</v>
      </c>
      <c r="B23993" s="1" t="str">
        <f>HYPERLINK("http://mastardrecords.com","mastardrecords.com")</f>
        <v>mastardrecords.com</v>
      </c>
      <c r="C23993" t="s">
        <v>433</v>
      </c>
      <c r="F23993">
        <v>1.9262699799783598E-8</v>
      </c>
      <c r="G23993">
        <v>2788201</v>
      </c>
      <c r="H23993">
        <v>13945902</v>
      </c>
      <c r="I23993">
        <v>4229420</v>
      </c>
      <c r="J23993">
        <v>6</v>
      </c>
    </row>
    <row r="23994" spans="1:10" x14ac:dyDescent="0.25">
      <c r="A23994" t="s">
        <v>257</v>
      </c>
      <c r="B23994" s="1" t="str">
        <f>HYPERLINK("http://mc-dream.com","mc-dream.com")</f>
        <v>mc-dream.com</v>
      </c>
      <c r="C23994" t="s">
        <v>433</v>
      </c>
      <c r="F23994">
        <v>9.8433729809936699E-9</v>
      </c>
      <c r="G23994">
        <v>6922994</v>
      </c>
      <c r="H23994">
        <v>12636430</v>
      </c>
      <c r="I23994">
        <v>15903398</v>
      </c>
      <c r="J23994">
        <v>3</v>
      </c>
    </row>
    <row r="23995" spans="1:10" x14ac:dyDescent="0.25">
      <c r="A23995" t="s">
        <v>257</v>
      </c>
      <c r="B23995" s="1" t="str">
        <f>HYPERLINK("http://mc-ene.com","mc-ene.com")</f>
        <v>mc-ene.com</v>
      </c>
      <c r="C23995" t="s">
        <v>433</v>
      </c>
      <c r="F23995">
        <v>8.8413842183846595E-9</v>
      </c>
      <c r="G23995">
        <v>8238241</v>
      </c>
      <c r="H23995">
        <v>12575815</v>
      </c>
      <c r="I23995">
        <v>16556478</v>
      </c>
      <c r="J23995">
        <v>3</v>
      </c>
    </row>
    <row r="23996" spans="1:10" x14ac:dyDescent="0.25">
      <c r="A23996" t="s">
        <v>257</v>
      </c>
      <c r="B23996" s="1" t="str">
        <f>HYPERLINK("http://mcapgroup.com","mcapgroup.com")</f>
        <v>mcapgroup.com</v>
      </c>
      <c r="C23996" t="s">
        <v>433</v>
      </c>
      <c r="F23996">
        <v>4.7855066810900099E-9</v>
      </c>
      <c r="G23996">
        <v>36729835</v>
      </c>
      <c r="H23996">
        <v>10948458</v>
      </c>
      <c r="I23996">
        <v>34622108</v>
      </c>
      <c r="J23996">
        <v>3</v>
      </c>
    </row>
    <row r="23997" spans="1:10" x14ac:dyDescent="0.25">
      <c r="A23997" t="s">
        <v>257</v>
      </c>
      <c r="B23997" s="1" t="str">
        <f>HYPERLINK("http://mclogi.com","mclogi.com")</f>
        <v>mclogi.com</v>
      </c>
      <c r="C23997" t="s">
        <v>433</v>
      </c>
      <c r="F23997">
        <v>1.3163009934215899E-8</v>
      </c>
      <c r="G23997">
        <v>4554901</v>
      </c>
      <c r="H23997">
        <v>11467727</v>
      </c>
      <c r="I23997">
        <v>30087335</v>
      </c>
      <c r="J23997">
        <v>2</v>
      </c>
    </row>
    <row r="23998" spans="1:10" x14ac:dyDescent="0.25">
      <c r="A23998" t="s">
        <v>257</v>
      </c>
      <c r="B23998" s="1" t="str">
        <f>HYPERLINK("http://mhimex.com","mhimex.com")</f>
        <v>mhimex.com</v>
      </c>
      <c r="C23998" t="s">
        <v>433</v>
      </c>
      <c r="J23998">
        <v>4</v>
      </c>
    </row>
    <row r="23999" spans="1:10" x14ac:dyDescent="0.25">
      <c r="A23999" t="s">
        <v>257</v>
      </c>
      <c r="B23999" s="1" t="str">
        <f>HYPERLINK("http://mitsubishi-autolease.com","mitsubishi-autolease.com")</f>
        <v>mitsubishi-autolease.com</v>
      </c>
      <c r="C23999" t="s">
        <v>433</v>
      </c>
      <c r="F23999">
        <v>2.525385318368E-8</v>
      </c>
      <c r="G23999">
        <v>2043719</v>
      </c>
      <c r="H23999">
        <v>12880121</v>
      </c>
      <c r="I23999">
        <v>13999915</v>
      </c>
      <c r="J23999">
        <v>3</v>
      </c>
    </row>
    <row r="24000" spans="1:10" x14ac:dyDescent="0.25">
      <c r="A24000" t="s">
        <v>257</v>
      </c>
      <c r="B24000" s="1" t="str">
        <f>HYPERLINK("http://mitsubishi-hc-capital.com","mitsubishi-hc-capital.com")</f>
        <v>mitsubishi-hc-capital.com</v>
      </c>
      <c r="C24000" t="s">
        <v>433</v>
      </c>
      <c r="F24000">
        <v>5.6820758191347799E-8</v>
      </c>
      <c r="G24000">
        <v>786256</v>
      </c>
      <c r="H24000">
        <v>14183586</v>
      </c>
      <c r="I24000">
        <v>1774689</v>
      </c>
      <c r="J24000">
        <v>3</v>
      </c>
    </row>
    <row r="24001" spans="1:10" x14ac:dyDescent="0.25">
      <c r="A24001" t="s">
        <v>257</v>
      </c>
      <c r="B24001" s="1" t="str">
        <f>HYPERLINK("http://mitsubishi-shokuhin.com","mitsubishi-shokuhin.com")</f>
        <v>mitsubishi-shokuhin.com</v>
      </c>
      <c r="C24001" t="s">
        <v>433</v>
      </c>
      <c r="E24001">
        <v>979563</v>
      </c>
      <c r="F24001">
        <v>7.4565980122412104E-8</v>
      </c>
      <c r="G24001">
        <v>564255</v>
      </c>
      <c r="H24001">
        <v>14302299</v>
      </c>
      <c r="I24001">
        <v>1354673</v>
      </c>
      <c r="J24001">
        <v>3</v>
      </c>
    </row>
    <row r="24002" spans="1:10" x14ac:dyDescent="0.25">
      <c r="A24002" t="s">
        <v>257</v>
      </c>
      <c r="B24002" s="1" t="str">
        <f>HYPERLINK("http://mitsubishi-world.com","mitsubishi-world.com")</f>
        <v>mitsubishi-world.com</v>
      </c>
      <c r="C24002" t="s">
        <v>433</v>
      </c>
      <c r="F24002">
        <v>1.1327128695563199E-8</v>
      </c>
      <c r="G24002">
        <v>5623868</v>
      </c>
      <c r="H24002">
        <v>13237664</v>
      </c>
      <c r="I24002">
        <v>11235025</v>
      </c>
      <c r="J24002">
        <v>4</v>
      </c>
    </row>
    <row r="24003" spans="1:10" x14ac:dyDescent="0.25">
      <c r="A24003" t="s">
        <v>257</v>
      </c>
      <c r="B24003" s="1" t="str">
        <f>HYPERLINK("http://mitsubishicorp.com","mitsubishicorp.com")</f>
        <v>mitsubishicorp.com</v>
      </c>
      <c r="C24003" t="s">
        <v>433</v>
      </c>
      <c r="E24003">
        <v>91503</v>
      </c>
      <c r="F24003">
        <v>5.2075746140304899E-7</v>
      </c>
      <c r="G24003">
        <v>73764</v>
      </c>
      <c r="H24003">
        <v>15227776</v>
      </c>
      <c r="I24003">
        <v>392520</v>
      </c>
      <c r="J24003">
        <v>1</v>
      </c>
    </row>
    <row r="24004" spans="1:10" x14ac:dyDescent="0.25">
      <c r="A24004" t="s">
        <v>257</v>
      </c>
      <c r="B24004" s="1" t="str">
        <f>HYPERLINK("http://mitsubishicorprtm.com","mitsubishicorprtm.com")</f>
        <v>mitsubishicorprtm.com</v>
      </c>
      <c r="C24004" t="s">
        <v>433</v>
      </c>
      <c r="F24004">
        <v>1.0352674987183899E-8</v>
      </c>
      <c r="G24004">
        <v>6402236</v>
      </c>
      <c r="H24004">
        <v>12372304</v>
      </c>
      <c r="I24004">
        <v>19369444</v>
      </c>
      <c r="J24004">
        <v>4</v>
      </c>
    </row>
    <row r="24005" spans="1:10" x14ac:dyDescent="0.25">
      <c r="A24005" t="s">
        <v>257</v>
      </c>
      <c r="B24005" s="1" t="str">
        <f>HYPERLINK("http://morayeast.com","morayeast.com")</f>
        <v>morayeast.com</v>
      </c>
      <c r="C24005" t="s">
        <v>433</v>
      </c>
      <c r="F24005">
        <v>1.5953891689696898E-8</v>
      </c>
      <c r="G24005">
        <v>3558337</v>
      </c>
      <c r="H24005">
        <v>14490640</v>
      </c>
      <c r="I24005">
        <v>909934</v>
      </c>
      <c r="J24005">
        <v>3</v>
      </c>
    </row>
    <row r="24006" spans="1:10" x14ac:dyDescent="0.25">
      <c r="A24006" t="s">
        <v>257</v>
      </c>
      <c r="B24006" s="1" t="str">
        <f>HYPERLINK("http://morayoffshore.com","morayoffshore.com")</f>
        <v>morayoffshore.com</v>
      </c>
      <c r="C24006" t="s">
        <v>433</v>
      </c>
      <c r="F24006">
        <v>1.07728754224891E-8</v>
      </c>
      <c r="G24006">
        <v>6042208</v>
      </c>
      <c r="H24006">
        <v>13449419</v>
      </c>
      <c r="I24006">
        <v>10210605</v>
      </c>
      <c r="J24006">
        <v>6</v>
      </c>
    </row>
    <row r="24007" spans="1:10" x14ac:dyDescent="0.25">
      <c r="A24007" t="s">
        <v>257</v>
      </c>
      <c r="B24007" s="1" t="str">
        <f>HYPERLINK("http://mtlomx.com","mtlomx.com")</f>
        <v>mtlomx.com</v>
      </c>
      <c r="C24007" t="s">
        <v>433</v>
      </c>
      <c r="J24007">
        <v>6</v>
      </c>
    </row>
    <row r="24008" spans="1:10" x14ac:dyDescent="0.25">
      <c r="A24008" t="s">
        <v>257</v>
      </c>
      <c r="B24008" s="1" t="str">
        <f>HYPERLINK("http://muji.com","muji.com")</f>
        <v>muji.com</v>
      </c>
      <c r="C24008" t="s">
        <v>433</v>
      </c>
      <c r="E24008">
        <v>16428</v>
      </c>
      <c r="F24008">
        <v>3.43166794995929E-6</v>
      </c>
      <c r="G24008">
        <v>11821</v>
      </c>
      <c r="H24008">
        <v>16930546</v>
      </c>
      <c r="I24008">
        <v>118298</v>
      </c>
      <c r="J24008">
        <v>10</v>
      </c>
    </row>
    <row r="24009" spans="1:10" x14ac:dyDescent="0.25">
      <c r="A24009" t="s">
        <v>257</v>
      </c>
      <c r="B24009" s="1" t="str">
        <f>HYPERLINK("http://princescareers.com","princescareers.com")</f>
        <v>princescareers.com</v>
      </c>
      <c r="C24009" t="s">
        <v>433</v>
      </c>
      <c r="F24009">
        <v>5.5790547269527099E-9</v>
      </c>
      <c r="G24009">
        <v>20064710</v>
      </c>
      <c r="H24009">
        <v>12225959</v>
      </c>
      <c r="I24009">
        <v>22629316</v>
      </c>
      <c r="J24009">
        <v>6</v>
      </c>
    </row>
    <row r="24010" spans="1:10" x14ac:dyDescent="0.25">
      <c r="A24010" t="s">
        <v>257</v>
      </c>
      <c r="B24010" s="1" t="str">
        <f>HYPERLINK("http://princesgroup.com","princesgroup.com")</f>
        <v>princesgroup.com</v>
      </c>
      <c r="C24010" t="s">
        <v>433</v>
      </c>
      <c r="F24010">
        <v>2.2366814136643499E-8</v>
      </c>
      <c r="G24010">
        <v>2343429</v>
      </c>
      <c r="H24010">
        <v>13776964</v>
      </c>
      <c r="I24010">
        <v>6545216</v>
      </c>
      <c r="J24010">
        <v>4</v>
      </c>
    </row>
    <row r="24011" spans="1:10" x14ac:dyDescent="0.25">
      <c r="A24011" t="s">
        <v>257</v>
      </c>
      <c r="B24011" s="1" t="str">
        <f>HYPERLINK("http://ryque-compass.com","ryque-compass.com")</f>
        <v>ryque-compass.com</v>
      </c>
      <c r="C24011" t="s">
        <v>433</v>
      </c>
      <c r="J24011">
        <v>4</v>
      </c>
    </row>
    <row r="24012" spans="1:10" x14ac:dyDescent="0.25">
      <c r="A24012" t="s">
        <v>257</v>
      </c>
      <c r="B24012" s="1" t="str">
        <f>HYPERLINK("http://seijoishii.com","seijoishii.com")</f>
        <v>seijoishii.com</v>
      </c>
      <c r="C24012" t="s">
        <v>433</v>
      </c>
      <c r="E24012">
        <v>620328</v>
      </c>
      <c r="F24012">
        <v>9.03876515835995E-8</v>
      </c>
      <c r="G24012">
        <v>451337</v>
      </c>
      <c r="H24012">
        <v>13975394</v>
      </c>
      <c r="I24012">
        <v>4062736</v>
      </c>
      <c r="J24012">
        <v>6</v>
      </c>
    </row>
    <row r="24013" spans="1:10" x14ac:dyDescent="0.25">
      <c r="A24013" t="s">
        <v>257</v>
      </c>
      <c r="B24013" s="1" t="str">
        <f>HYPERLINK("http://thfoods.com","thfoods.com")</f>
        <v>thfoods.com</v>
      </c>
      <c r="C24013" t="s">
        <v>433</v>
      </c>
      <c r="F24013">
        <v>1.9397086590433302E-8</v>
      </c>
      <c r="G24013">
        <v>2763416</v>
      </c>
      <c r="H24013">
        <v>12459911</v>
      </c>
      <c r="I24013">
        <v>17877165</v>
      </c>
      <c r="J24013">
        <v>5</v>
      </c>
    </row>
    <row r="24014" spans="1:10" x14ac:dyDescent="0.25">
      <c r="A24014" t="s">
        <v>257</v>
      </c>
      <c r="B24014" s="1" t="str">
        <f>HYPERLINK("http://toyotires.com","toyotires.com")</f>
        <v>toyotires.com</v>
      </c>
      <c r="C24014" t="s">
        <v>433</v>
      </c>
      <c r="E24014">
        <v>86076</v>
      </c>
      <c r="F24014">
        <v>2.6879498858764102E-7</v>
      </c>
      <c r="G24014">
        <v>138591</v>
      </c>
      <c r="H24014">
        <v>14525898</v>
      </c>
      <c r="I24014">
        <v>795058</v>
      </c>
      <c r="J24014">
        <v>6</v>
      </c>
    </row>
    <row r="24015" spans="1:10" x14ac:dyDescent="0.25">
      <c r="A24015" t="s">
        <v>257</v>
      </c>
      <c r="B24015" s="1" t="str">
        <f>HYPERLINK("http://triland.com","triland.com")</f>
        <v>triland.com</v>
      </c>
      <c r="C24015" t="s">
        <v>433</v>
      </c>
      <c r="F24015">
        <v>8.9674322908795602E-9</v>
      </c>
      <c r="G24015">
        <v>8040450</v>
      </c>
      <c r="H24015">
        <v>12389430</v>
      </c>
      <c r="I24015">
        <v>19060365</v>
      </c>
      <c r="J24015">
        <v>4</v>
      </c>
    </row>
    <row r="24016" spans="1:10" x14ac:dyDescent="0.25">
      <c r="A24016" t="s">
        <v>257</v>
      </c>
      <c r="B24016" s="1" t="str">
        <f>HYPERLINK("http://trilandamericas.com","trilandamericas.com")</f>
        <v>trilandamericas.com</v>
      </c>
      <c r="C24016" t="s">
        <v>433</v>
      </c>
      <c r="J24016">
        <v>5</v>
      </c>
    </row>
    <row r="24017" spans="1:10" x14ac:dyDescent="0.25">
      <c r="A24017" t="s">
        <v>257</v>
      </c>
      <c r="B24017" s="1" t="str">
        <f>HYPERLINK("http://trilandusa.com","trilandusa.com")</f>
        <v>trilandusa.com</v>
      </c>
      <c r="C24017" t="s">
        <v>433</v>
      </c>
      <c r="J24017">
        <v>4</v>
      </c>
    </row>
    <row r="24018" spans="1:10" x14ac:dyDescent="0.25">
      <c r="A24018" t="s">
        <v>257</v>
      </c>
      <c r="B24018" s="1" t="str">
        <f>HYPERLINK("http://unicarriers.com","unicarriers.com")</f>
        <v>unicarriers.com</v>
      </c>
      <c r="C24018" t="s">
        <v>433</v>
      </c>
      <c r="F24018">
        <v>4.44380395335525E-9</v>
      </c>
      <c r="G24018">
        <v>83849366</v>
      </c>
      <c r="H24018">
        <v>0</v>
      </c>
      <c r="I24018">
        <v>84763238</v>
      </c>
      <c r="J24018">
        <v>6</v>
      </c>
    </row>
    <row r="24019" spans="1:10" x14ac:dyDescent="0.25">
      <c r="A24019" t="s">
        <v>257</v>
      </c>
      <c r="B24019" s="1" t="str">
        <f>HYPERLINK("http://unicarriersamericas.com","unicarriersamericas.com")</f>
        <v>unicarriersamericas.com</v>
      </c>
      <c r="C24019" t="s">
        <v>433</v>
      </c>
      <c r="F24019">
        <v>2.47928020572822E-8</v>
      </c>
      <c r="G24019">
        <v>2086048</v>
      </c>
      <c r="H24019">
        <v>14074046</v>
      </c>
      <c r="I24019">
        <v>2958903</v>
      </c>
      <c r="J24019">
        <v>4</v>
      </c>
    </row>
    <row r="24020" spans="1:10" x14ac:dyDescent="0.25">
      <c r="A24020" t="s">
        <v>257</v>
      </c>
      <c r="B24020" s="1" t="str">
        <f>HYPERLINK("http://ushinomiya.com","ushinomiya.com")</f>
        <v>ushinomiya.com</v>
      </c>
      <c r="C24020" t="s">
        <v>433</v>
      </c>
      <c r="F24020">
        <v>4.51334960602715E-9</v>
      </c>
      <c r="G24020">
        <v>57064300</v>
      </c>
      <c r="H24020">
        <v>9458524</v>
      </c>
      <c r="I24020">
        <v>66378420</v>
      </c>
      <c r="J24020">
        <v>5</v>
      </c>
    </row>
    <row r="24021" spans="1:10" x14ac:dyDescent="0.25">
      <c r="A24021" t="s">
        <v>257</v>
      </c>
      <c r="B24021" s="1" t="str">
        <f>HYPERLINK("http://muji.eu","muji.eu")</f>
        <v>muji.eu</v>
      </c>
      <c r="C24021" t="s">
        <v>444</v>
      </c>
      <c r="E24021">
        <v>98763</v>
      </c>
      <c r="F24021">
        <v>2.3350283451193499E-7</v>
      </c>
      <c r="G24021">
        <v>160598</v>
      </c>
      <c r="H24021">
        <v>14748802</v>
      </c>
      <c r="I24021">
        <v>564232</v>
      </c>
      <c r="J24021">
        <v>6</v>
      </c>
    </row>
    <row r="24022" spans="1:10" x14ac:dyDescent="0.25">
      <c r="A24022" t="s">
        <v>257</v>
      </c>
      <c r="B24022" s="1" t="str">
        <f>HYPERLINK("http://mujionline.eu","mujionline.eu")</f>
        <v>mujionline.eu</v>
      </c>
      <c r="C24022" t="s">
        <v>444</v>
      </c>
      <c r="F24022">
        <v>2.0940256186566501E-8</v>
      </c>
      <c r="G24022">
        <v>2524037</v>
      </c>
      <c r="H24022">
        <v>14009277</v>
      </c>
      <c r="I24022">
        <v>4002179</v>
      </c>
      <c r="J24022">
        <v>10</v>
      </c>
    </row>
    <row r="24023" spans="1:10" x14ac:dyDescent="0.25">
      <c r="A24023" t="s">
        <v>257</v>
      </c>
      <c r="B24023" s="1" t="str">
        <f>HYPERLINK("http://princes.eu","princes.eu")</f>
        <v>princes.eu</v>
      </c>
      <c r="C24023" t="s">
        <v>444</v>
      </c>
      <c r="F24023">
        <v>1.21270712009491E-8</v>
      </c>
      <c r="G24023">
        <v>5093346</v>
      </c>
      <c r="H24023">
        <v>14121501</v>
      </c>
      <c r="I24023">
        <v>2251404</v>
      </c>
      <c r="J24023">
        <v>4</v>
      </c>
    </row>
    <row r="24024" spans="1:10" x14ac:dyDescent="0.25">
      <c r="A24024" t="s">
        <v>257</v>
      </c>
      <c r="B24024" s="1" t="str">
        <f>HYPERLINK("http://muji.fi","muji.fi")</f>
        <v>muji.fi</v>
      </c>
      <c r="C24024" t="s">
        <v>445</v>
      </c>
      <c r="D24024" t="s">
        <v>823</v>
      </c>
      <c r="J24024">
        <v>11</v>
      </c>
    </row>
    <row r="24025" spans="1:10" x14ac:dyDescent="0.25">
      <c r="A24025" t="s">
        <v>257</v>
      </c>
      <c r="B24025" s="1" t="str">
        <f>HYPERLINK("http://princes.fi","princes.fi")</f>
        <v>princes.fi</v>
      </c>
      <c r="C24025" t="s">
        <v>445</v>
      </c>
      <c r="D24025" t="s">
        <v>823</v>
      </c>
      <c r="J24025">
        <v>5</v>
      </c>
    </row>
    <row r="24026" spans="1:10" x14ac:dyDescent="0.25">
      <c r="A24026" t="s">
        <v>257</v>
      </c>
      <c r="B24026" s="1" t="str">
        <f>HYPERLINK("http://hitachi-capital.com.hk","hitachi-capital.com.hk")</f>
        <v>hitachi-capital.com.hk</v>
      </c>
      <c r="C24026" t="s">
        <v>450</v>
      </c>
      <c r="D24026" t="s">
        <v>827</v>
      </c>
      <c r="F24026">
        <v>5.5374240274069501E-9</v>
      </c>
      <c r="G24026">
        <v>20506950</v>
      </c>
      <c r="H24026">
        <v>10694321</v>
      </c>
      <c r="I24026">
        <v>42419089</v>
      </c>
      <c r="J24026">
        <v>6</v>
      </c>
    </row>
    <row r="24027" spans="1:10" x14ac:dyDescent="0.25">
      <c r="A24027" t="s">
        <v>257</v>
      </c>
      <c r="B24027" s="1" t="str">
        <f>HYPERLINK("http://hitachi-capital-mgt.com.hk","hitachi-capital-mgt.com.hk")</f>
        <v>hitachi-capital-mgt.com.hk</v>
      </c>
      <c r="C24027" t="s">
        <v>450</v>
      </c>
      <c r="D24027" t="s">
        <v>827</v>
      </c>
      <c r="J24027">
        <v>6</v>
      </c>
    </row>
    <row r="24028" spans="1:10" x14ac:dyDescent="0.25">
      <c r="A24028" t="s">
        <v>257</v>
      </c>
      <c r="B24028" s="1" t="str">
        <f>HYPERLINK("http://muji.com.hk","muji.com.hk")</f>
        <v>muji.com.hk</v>
      </c>
      <c r="C24028" t="s">
        <v>450</v>
      </c>
      <c r="D24028" t="s">
        <v>827</v>
      </c>
      <c r="E24028">
        <v>915317</v>
      </c>
      <c r="F24028">
        <v>6.5018103122541299E-8</v>
      </c>
      <c r="G24028">
        <v>662755</v>
      </c>
      <c r="H24028">
        <v>14295210</v>
      </c>
      <c r="I24028">
        <v>1361147</v>
      </c>
      <c r="J24028">
        <v>11</v>
      </c>
    </row>
    <row r="24029" spans="1:10" x14ac:dyDescent="0.25">
      <c r="A24029" t="s">
        <v>257</v>
      </c>
      <c r="B24029" s="1" t="str">
        <f>HYPERLINK("http://inpex.co.id","inpex.co.id")</f>
        <v>inpex.co.id</v>
      </c>
      <c r="C24029" t="s">
        <v>454</v>
      </c>
      <c r="D24029" t="s">
        <v>831</v>
      </c>
      <c r="F24029">
        <v>5.0079790137687497E-9</v>
      </c>
      <c r="G24029">
        <v>29212699</v>
      </c>
      <c r="H24029">
        <v>12094955</v>
      </c>
      <c r="I24029">
        <v>26099415</v>
      </c>
      <c r="J24029">
        <v>7</v>
      </c>
    </row>
    <row r="24030" spans="1:10" x14ac:dyDescent="0.25">
      <c r="A24030" t="s">
        <v>257</v>
      </c>
      <c r="B24030" s="1" t="str">
        <f>HYPERLINK("http://ktb.co.id","ktb.co.id")</f>
        <v>ktb.co.id</v>
      </c>
      <c r="C24030" t="s">
        <v>454</v>
      </c>
      <c r="D24030" t="s">
        <v>831</v>
      </c>
      <c r="F24030">
        <v>1.5631739548373299E-8</v>
      </c>
      <c r="G24030">
        <v>3646414</v>
      </c>
      <c r="H24030">
        <v>14699033</v>
      </c>
      <c r="I24030">
        <v>595783</v>
      </c>
      <c r="J24030">
        <v>3</v>
      </c>
    </row>
    <row r="24031" spans="1:10" x14ac:dyDescent="0.25">
      <c r="A24031" t="s">
        <v>257</v>
      </c>
      <c r="B24031" s="1" t="str">
        <f>HYPERLINK("http://sinsai.info","sinsai.info")</f>
        <v>sinsai.info</v>
      </c>
      <c r="C24031" t="s">
        <v>458</v>
      </c>
      <c r="F24031">
        <v>7.96592447746978E-8</v>
      </c>
      <c r="G24031">
        <v>524424</v>
      </c>
      <c r="H24031">
        <v>17081372</v>
      </c>
      <c r="I24031">
        <v>68008</v>
      </c>
      <c r="J24031">
        <v>5</v>
      </c>
    </row>
    <row r="24032" spans="1:10" x14ac:dyDescent="0.25">
      <c r="A24032" t="s">
        <v>257</v>
      </c>
      <c r="B24032" s="1" t="str">
        <f>HYPERLINK("http://muji.it","muji.it")</f>
        <v>muji.it</v>
      </c>
      <c r="C24032" t="s">
        <v>459</v>
      </c>
      <c r="D24032" t="s">
        <v>835</v>
      </c>
      <c r="F24032">
        <v>5.1356827163529697E-9</v>
      </c>
      <c r="G24032">
        <v>26346763</v>
      </c>
      <c r="H24032">
        <v>13770925</v>
      </c>
      <c r="I24032">
        <v>6711255</v>
      </c>
      <c r="J24032">
        <v>10</v>
      </c>
    </row>
    <row r="24033" spans="1:10" x14ac:dyDescent="0.25">
      <c r="A24033" t="s">
        <v>257</v>
      </c>
      <c r="B24033" s="1" t="str">
        <f>HYPERLINK("http://astomos.jp","astomos.jp")</f>
        <v>astomos.jp</v>
      </c>
      <c r="C24033" t="s">
        <v>461</v>
      </c>
      <c r="D24033" t="s">
        <v>837</v>
      </c>
      <c r="F24033">
        <v>2.34501226191249E-8</v>
      </c>
      <c r="G24033">
        <v>2220157</v>
      </c>
      <c r="H24033">
        <v>12595090</v>
      </c>
      <c r="I24033">
        <v>16374889</v>
      </c>
      <c r="J24033">
        <v>3</v>
      </c>
    </row>
    <row r="24034" spans="1:10" x14ac:dyDescent="0.25">
      <c r="A24034" t="s">
        <v>257</v>
      </c>
      <c r="B24034" s="1" t="str">
        <f>HYPERLINK("http://99plus.co.jp","99plus.co.jp")</f>
        <v>99plus.co.jp</v>
      </c>
      <c r="C24034" t="s">
        <v>461</v>
      </c>
      <c r="D24034" t="s">
        <v>837</v>
      </c>
      <c r="F24034">
        <v>8.8110488209377604E-9</v>
      </c>
      <c r="G24034">
        <v>8286597</v>
      </c>
      <c r="H24034">
        <v>14176323</v>
      </c>
      <c r="I24034">
        <v>1789114</v>
      </c>
      <c r="J24034">
        <v>5</v>
      </c>
    </row>
    <row r="24035" spans="1:10" x14ac:dyDescent="0.25">
      <c r="A24035" t="s">
        <v>257</v>
      </c>
      <c r="B24035" s="1" t="str">
        <f>HYPERLINK("http://chiyoda.co.jp","chiyoda.co.jp")</f>
        <v>chiyoda.co.jp</v>
      </c>
      <c r="C24035" t="s">
        <v>461</v>
      </c>
      <c r="D24035" t="s">
        <v>837</v>
      </c>
      <c r="E24035">
        <v>710598</v>
      </c>
      <c r="F24035">
        <v>1.12078072498993E-8</v>
      </c>
      <c r="G24035">
        <v>5707657</v>
      </c>
      <c r="H24035">
        <v>13167196</v>
      </c>
      <c r="I24035">
        <v>11735707</v>
      </c>
      <c r="J24035">
        <v>2</v>
      </c>
    </row>
    <row r="24036" spans="1:10" x14ac:dyDescent="0.25">
      <c r="A24036" t="s">
        <v>257</v>
      </c>
      <c r="B24036" s="1" t="str">
        <f>HYPERLINK("http://foodlink.co.jp","foodlink.co.jp")</f>
        <v>foodlink.co.jp</v>
      </c>
      <c r="C24036" t="s">
        <v>461</v>
      </c>
      <c r="D24036" t="s">
        <v>837</v>
      </c>
      <c r="F24036">
        <v>5.1688312164563999E-9</v>
      </c>
      <c r="G24036">
        <v>25744703</v>
      </c>
      <c r="H24036">
        <v>12016160</v>
      </c>
      <c r="I24036">
        <v>27942735</v>
      </c>
      <c r="J24036">
        <v>3</v>
      </c>
    </row>
    <row r="24037" spans="1:10" x14ac:dyDescent="0.25">
      <c r="A24037" t="s">
        <v>257</v>
      </c>
      <c r="B24037" s="1" t="str">
        <f>HYPERLINK("http://hokutou.co.jp","hokutou.co.jp")</f>
        <v>hokutou.co.jp</v>
      </c>
      <c r="C24037" t="s">
        <v>461</v>
      </c>
      <c r="D24037" t="s">
        <v>837</v>
      </c>
      <c r="F24037">
        <v>9.5849408592280398E-9</v>
      </c>
      <c r="G24037">
        <v>7222191</v>
      </c>
      <c r="H24037">
        <v>12790209</v>
      </c>
      <c r="I24037">
        <v>14687276</v>
      </c>
      <c r="J24037">
        <v>6</v>
      </c>
    </row>
    <row r="24038" spans="1:10" x14ac:dyDescent="0.25">
      <c r="A24038" t="s">
        <v>257</v>
      </c>
      <c r="B24038" s="1" t="str">
        <f>HYPERLINK("http://inpex.co.jp","inpex.co.jp")</f>
        <v>inpex.co.jp</v>
      </c>
      <c r="C24038" t="s">
        <v>461</v>
      </c>
      <c r="D24038" t="s">
        <v>837</v>
      </c>
      <c r="E24038">
        <v>447376</v>
      </c>
      <c r="F24038">
        <v>1.57823263179597E-7</v>
      </c>
      <c r="G24038">
        <v>246030</v>
      </c>
      <c r="H24038">
        <v>14657073</v>
      </c>
      <c r="I24038">
        <v>622416</v>
      </c>
      <c r="J24038">
        <v>6</v>
      </c>
    </row>
    <row r="24039" spans="1:10" x14ac:dyDescent="0.25">
      <c r="A24039" t="s">
        <v>257</v>
      </c>
      <c r="B24039" s="1" t="str">
        <f>HYPERLINK("http://jodco.co.jp","jodco.co.jp")</f>
        <v>jodco.co.jp</v>
      </c>
      <c r="C24039" t="s">
        <v>461</v>
      </c>
      <c r="D24039" t="s">
        <v>837</v>
      </c>
      <c r="F24039">
        <v>9.3159261247927405E-9</v>
      </c>
      <c r="G24039">
        <v>7552032</v>
      </c>
      <c r="H24039">
        <v>11001057</v>
      </c>
      <c r="I24039">
        <v>33567877</v>
      </c>
      <c r="J24039">
        <v>9</v>
      </c>
    </row>
    <row r="24040" spans="1:10" x14ac:dyDescent="0.25">
      <c r="A24040" t="s">
        <v>257</v>
      </c>
      <c r="B24040" s="1" t="str">
        <f>HYPERLINK("http://lawson.co.jp","lawson.co.jp")</f>
        <v>lawson.co.jp</v>
      </c>
      <c r="C24040" t="s">
        <v>461</v>
      </c>
      <c r="D24040" t="s">
        <v>837</v>
      </c>
      <c r="E24040">
        <v>23101</v>
      </c>
      <c r="F24040">
        <v>1.4919162222330999E-6</v>
      </c>
      <c r="G24040">
        <v>26275</v>
      </c>
      <c r="H24040">
        <v>15624063</v>
      </c>
      <c r="I24040">
        <v>371397</v>
      </c>
      <c r="J24040">
        <v>3</v>
      </c>
    </row>
    <row r="24041" spans="1:10" x14ac:dyDescent="0.25">
      <c r="A24041" t="s">
        <v>257</v>
      </c>
      <c r="B24041" s="1" t="str">
        <f>HYPERLINK("http://ltf.co.jp","ltf.co.jp")</f>
        <v>ltf.co.jp</v>
      </c>
      <c r="C24041" t="s">
        <v>461</v>
      </c>
      <c r="D24041" t="s">
        <v>837</v>
      </c>
      <c r="F24041">
        <v>6.9558064916434996E-9</v>
      </c>
      <c r="G24041">
        <v>12445746</v>
      </c>
      <c r="H24041">
        <v>12860259</v>
      </c>
      <c r="I24041">
        <v>14199111</v>
      </c>
      <c r="J24041">
        <v>6</v>
      </c>
    </row>
    <row r="24042" spans="1:10" x14ac:dyDescent="0.25">
      <c r="A24042" t="s">
        <v>257</v>
      </c>
      <c r="B24042" s="1" t="str">
        <f>HYPERLINK("http://mccml.co.jp","mccml.co.jp")</f>
        <v>mccml.co.jp</v>
      </c>
      <c r="C24042" t="s">
        <v>461</v>
      </c>
      <c r="D24042" t="s">
        <v>837</v>
      </c>
      <c r="F24042">
        <v>5.5473316375534901E-9</v>
      </c>
      <c r="G24042">
        <v>20404169</v>
      </c>
      <c r="H24042">
        <v>12473545</v>
      </c>
      <c r="I24042">
        <v>17660499</v>
      </c>
      <c r="J24042">
        <v>3</v>
      </c>
    </row>
    <row r="24043" spans="1:10" x14ac:dyDescent="0.25">
      <c r="A24043" t="s">
        <v>257</v>
      </c>
      <c r="B24043" s="1" t="str">
        <f>HYPERLINK("http://mcft.co.jp","mcft.co.jp")</f>
        <v>mcft.co.jp</v>
      </c>
      <c r="C24043" t="s">
        <v>461</v>
      </c>
      <c r="D24043" t="s">
        <v>837</v>
      </c>
      <c r="F24043">
        <v>5.6964486475298403E-9</v>
      </c>
      <c r="G24043">
        <v>18991835</v>
      </c>
      <c r="H24043">
        <v>14075040</v>
      </c>
      <c r="I24043">
        <v>2920478</v>
      </c>
      <c r="J24043">
        <v>3</v>
      </c>
    </row>
    <row r="24044" spans="1:10" x14ac:dyDescent="0.25">
      <c r="A24044" t="s">
        <v>257</v>
      </c>
      <c r="B24044" s="1" t="str">
        <f>HYPERLINK("http://mcmachinery.co.jp","mcmachinery.co.jp")</f>
        <v>mcmachinery.co.jp</v>
      </c>
      <c r="C24044" t="s">
        <v>461</v>
      </c>
      <c r="D24044" t="s">
        <v>837</v>
      </c>
      <c r="F24044">
        <v>5.9774915882909498E-9</v>
      </c>
      <c r="G24044">
        <v>16834148</v>
      </c>
      <c r="H24044">
        <v>10865759</v>
      </c>
      <c r="I24044">
        <v>36579097</v>
      </c>
      <c r="J24044">
        <v>3</v>
      </c>
    </row>
    <row r="24045" spans="1:10" x14ac:dyDescent="0.25">
      <c r="A24045" t="s">
        <v>257</v>
      </c>
      <c r="B24045" s="1" t="str">
        <f>HYPERLINK("http://mcplas.co.jp","mcplas.co.jp")</f>
        <v>mcplas.co.jp</v>
      </c>
      <c r="C24045" t="s">
        <v>461</v>
      </c>
      <c r="D24045" t="s">
        <v>837</v>
      </c>
      <c r="F24045">
        <v>6.9488390213670503E-9</v>
      </c>
      <c r="G24045">
        <v>12467222</v>
      </c>
      <c r="H24045">
        <v>12219506</v>
      </c>
      <c r="I24045">
        <v>22797223</v>
      </c>
      <c r="J24045">
        <v>3</v>
      </c>
    </row>
    <row r="24046" spans="1:10" x14ac:dyDescent="0.25">
      <c r="A24046" t="s">
        <v>257</v>
      </c>
      <c r="B24046" s="1" t="str">
        <f>HYPERLINK("http://mcud.co.jp","mcud.co.jp")</f>
        <v>mcud.co.jp</v>
      </c>
      <c r="C24046" t="s">
        <v>461</v>
      </c>
      <c r="D24046" t="s">
        <v>837</v>
      </c>
      <c r="F24046">
        <v>8.5263649068477206E-9</v>
      </c>
      <c r="G24046">
        <v>8794164</v>
      </c>
      <c r="H24046">
        <v>14093981</v>
      </c>
      <c r="I24046">
        <v>2733779</v>
      </c>
      <c r="J24046">
        <v>3</v>
      </c>
    </row>
    <row r="24047" spans="1:10" x14ac:dyDescent="0.25">
      <c r="A24047" t="s">
        <v>257</v>
      </c>
      <c r="B24047" s="1" t="str">
        <f>HYPERLINK("http://mitsui-sugar.co.jp","mitsui-sugar.co.jp")</f>
        <v>mitsui-sugar.co.jp</v>
      </c>
      <c r="C24047" t="s">
        <v>461</v>
      </c>
      <c r="D24047" t="s">
        <v>837</v>
      </c>
      <c r="F24047">
        <v>3.3961983757185702E-8</v>
      </c>
      <c r="G24047">
        <v>1524411</v>
      </c>
      <c r="H24047">
        <v>14115095</v>
      </c>
      <c r="I24047">
        <v>2664138</v>
      </c>
      <c r="J24047">
        <v>3</v>
      </c>
    </row>
    <row r="24048" spans="1:10" x14ac:dyDescent="0.25">
      <c r="A24048" t="s">
        <v>257</v>
      </c>
      <c r="B24048" s="1" t="str">
        <f>HYPERLINK("http://mmts.co.jp","mmts.co.jp")</f>
        <v>mmts.co.jp</v>
      </c>
      <c r="C24048" t="s">
        <v>461</v>
      </c>
      <c r="D24048" t="s">
        <v>837</v>
      </c>
      <c r="F24048">
        <v>1.05448371976379E-8</v>
      </c>
      <c r="G24048">
        <v>6231318</v>
      </c>
      <c r="H24048">
        <v>12263633</v>
      </c>
      <c r="I24048">
        <v>21663883</v>
      </c>
      <c r="J24048">
        <v>3</v>
      </c>
    </row>
    <row r="24049" spans="1:10" x14ac:dyDescent="0.25">
      <c r="A24049" t="s">
        <v>257</v>
      </c>
      <c r="B24049" s="1" t="str">
        <f>HYPERLINK("http://mskfm.co.jp","mskfm.co.jp")</f>
        <v>mskfm.co.jp</v>
      </c>
      <c r="C24049" t="s">
        <v>461</v>
      </c>
      <c r="D24049" t="s">
        <v>837</v>
      </c>
      <c r="F24049">
        <v>1.5322120839438002E-8</v>
      </c>
      <c r="G24049">
        <v>3739037</v>
      </c>
      <c r="H24049">
        <v>14100542</v>
      </c>
      <c r="I24049">
        <v>2705344</v>
      </c>
      <c r="J24049">
        <v>3</v>
      </c>
    </row>
    <row r="24050" spans="1:10" x14ac:dyDescent="0.25">
      <c r="A24050" t="s">
        <v>257</v>
      </c>
      <c r="B24050" s="1" t="str">
        <f>HYPERLINK("http://mtlo.co.jp","mtlo.co.jp")</f>
        <v>mtlo.co.jp</v>
      </c>
      <c r="C24050" t="s">
        <v>461</v>
      </c>
      <c r="D24050" t="s">
        <v>837</v>
      </c>
      <c r="F24050">
        <v>2.68745254288146E-8</v>
      </c>
      <c r="G24050">
        <v>1914031</v>
      </c>
      <c r="H24050">
        <v>14406838</v>
      </c>
      <c r="I24050">
        <v>1148114</v>
      </c>
      <c r="J24050">
        <v>4</v>
      </c>
    </row>
    <row r="24051" spans="1:10" x14ac:dyDescent="0.25">
      <c r="A24051" t="s">
        <v>257</v>
      </c>
      <c r="B24051" s="1" t="str">
        <f>HYPERLINK("http://ndtcorp.co.jp","ndtcorp.co.jp")</f>
        <v>ndtcorp.co.jp</v>
      </c>
      <c r="C24051" t="s">
        <v>461</v>
      </c>
      <c r="D24051" t="s">
        <v>837</v>
      </c>
      <c r="F24051">
        <v>6.5009673084685503E-9</v>
      </c>
      <c r="G24051">
        <v>14074212</v>
      </c>
      <c r="H24051">
        <v>10377375</v>
      </c>
      <c r="I24051">
        <v>54661361</v>
      </c>
      <c r="J24051">
        <v>4</v>
      </c>
    </row>
    <row r="24052" spans="1:10" x14ac:dyDescent="0.25">
      <c r="A24052" t="s">
        <v>257</v>
      </c>
      <c r="B24052" s="1" t="str">
        <f>HYPERLINK("http://nisshoku.co.jp","nisshoku.co.jp")</f>
        <v>nisshoku.co.jp</v>
      </c>
      <c r="C24052" t="s">
        <v>461</v>
      </c>
      <c r="D24052" t="s">
        <v>837</v>
      </c>
      <c r="F24052">
        <v>2.0327162043905601E-8</v>
      </c>
      <c r="G24052">
        <v>2610034</v>
      </c>
      <c r="H24052">
        <v>14096692</v>
      </c>
      <c r="I24052">
        <v>2724349</v>
      </c>
      <c r="J24052">
        <v>3</v>
      </c>
    </row>
    <row r="24053" spans="1:10" x14ac:dyDescent="0.25">
      <c r="A24053" t="s">
        <v>257</v>
      </c>
      <c r="B24053" s="1" t="str">
        <f>HYPERLINK("http://nittofuji.co.jp","nittofuji.co.jp")</f>
        <v>nittofuji.co.jp</v>
      </c>
      <c r="C24053" t="s">
        <v>461</v>
      </c>
      <c r="D24053" t="s">
        <v>837</v>
      </c>
      <c r="F24053">
        <v>2.1834635732146199E-8</v>
      </c>
      <c r="G24053">
        <v>2405683</v>
      </c>
      <c r="H24053">
        <v>14098218</v>
      </c>
      <c r="I24053">
        <v>2718367</v>
      </c>
      <c r="J24053">
        <v>3</v>
      </c>
    </row>
    <row r="24054" spans="1:10" x14ac:dyDescent="0.25">
      <c r="A24054" t="s">
        <v>257</v>
      </c>
      <c r="B24054" s="1" t="str">
        <f>HYPERLINK("http://poplar-cvs.co.jp","poplar-cvs.co.jp")</f>
        <v>poplar-cvs.co.jp</v>
      </c>
      <c r="C24054" t="s">
        <v>461</v>
      </c>
      <c r="D24054" t="s">
        <v>837</v>
      </c>
      <c r="F24054">
        <v>8.3715690776694597E-8</v>
      </c>
      <c r="G24054">
        <v>495084</v>
      </c>
      <c r="H24054">
        <v>14217594</v>
      </c>
      <c r="I24054">
        <v>1690246</v>
      </c>
      <c r="J24054">
        <v>5</v>
      </c>
    </row>
    <row r="24055" spans="1:10" x14ac:dyDescent="0.25">
      <c r="A24055" t="s">
        <v>257</v>
      </c>
      <c r="B24055" s="1" t="str">
        <f>HYPERLINK("http://rental.co.jp","rental.co.jp")</f>
        <v>rental.co.jp</v>
      </c>
      <c r="C24055" t="s">
        <v>461</v>
      </c>
      <c r="D24055" t="s">
        <v>837</v>
      </c>
      <c r="F24055">
        <v>3.2076756714066302E-8</v>
      </c>
      <c r="G24055">
        <v>1611827</v>
      </c>
      <c r="H24055">
        <v>14139525</v>
      </c>
      <c r="I24055">
        <v>1940065</v>
      </c>
      <c r="J24055">
        <v>4</v>
      </c>
    </row>
    <row r="24056" spans="1:10" x14ac:dyDescent="0.25">
      <c r="A24056" t="s">
        <v>257</v>
      </c>
      <c r="B24056" s="1" t="str">
        <f>HYPERLINK("http://seicomart.co.jp","seicomart.co.jp")</f>
        <v>seicomart.co.jp</v>
      </c>
      <c r="C24056" t="s">
        <v>461</v>
      </c>
      <c r="D24056" t="s">
        <v>837</v>
      </c>
      <c r="E24056">
        <v>422008</v>
      </c>
      <c r="F24056">
        <v>2.8831314368361301E-7</v>
      </c>
      <c r="G24056">
        <v>128959</v>
      </c>
      <c r="H24056">
        <v>16983878</v>
      </c>
      <c r="I24056">
        <v>97644</v>
      </c>
      <c r="J24056">
        <v>7</v>
      </c>
    </row>
    <row r="24057" spans="1:10" x14ac:dyDescent="0.25">
      <c r="A24057" t="s">
        <v>257</v>
      </c>
      <c r="B24057" s="1" t="str">
        <f>HYPERLINK("http://seijoishii.co.jp","seijoishii.co.jp")</f>
        <v>seijoishii.co.jp</v>
      </c>
      <c r="C24057" t="s">
        <v>461</v>
      </c>
      <c r="D24057" t="s">
        <v>837</v>
      </c>
      <c r="E24057">
        <v>369326</v>
      </c>
      <c r="F24057">
        <v>2.1865304361328599E-7</v>
      </c>
      <c r="G24057">
        <v>172409</v>
      </c>
      <c r="H24057">
        <v>14567060</v>
      </c>
      <c r="I24057">
        <v>738998</v>
      </c>
      <c r="J24057">
        <v>5</v>
      </c>
    </row>
    <row r="24058" spans="1:10" x14ac:dyDescent="0.25">
      <c r="A24058" t="s">
        <v>257</v>
      </c>
      <c r="B24058" s="1" t="str">
        <f>HYPERLINK("http://sg-partners.co.jp","sg-partners.co.jp")</f>
        <v>sg-partners.co.jp</v>
      </c>
      <c r="C24058" t="s">
        <v>461</v>
      </c>
      <c r="D24058" t="s">
        <v>837</v>
      </c>
      <c r="F24058">
        <v>5.9378967769420502E-9</v>
      </c>
      <c r="G24058">
        <v>17099959</v>
      </c>
      <c r="H24058">
        <v>9928984</v>
      </c>
      <c r="I24058">
        <v>61408461</v>
      </c>
      <c r="J24058">
        <v>4</v>
      </c>
    </row>
    <row r="24059" spans="1:10" x14ac:dyDescent="0.25">
      <c r="A24059" t="s">
        <v>257</v>
      </c>
      <c r="B24059" s="1" t="str">
        <f>HYPERLINK("http://three-f.co.jp","three-f.co.jp")</f>
        <v>three-f.co.jp</v>
      </c>
      <c r="C24059" t="s">
        <v>461</v>
      </c>
      <c r="D24059" t="s">
        <v>837</v>
      </c>
      <c r="F24059">
        <v>6.8080683230230094E-8</v>
      </c>
      <c r="G24059">
        <v>626855</v>
      </c>
      <c r="H24059">
        <v>14298874</v>
      </c>
      <c r="I24059">
        <v>1357563</v>
      </c>
      <c r="J24059">
        <v>7</v>
      </c>
    </row>
    <row r="24060" spans="1:10" x14ac:dyDescent="0.25">
      <c r="A24060" t="s">
        <v>257</v>
      </c>
      <c r="B24060" s="1" t="str">
        <f>HYPERLINK("http://toyo-rubber.co.jp","toyo-rubber.co.jp")</f>
        <v>toyo-rubber.co.jp</v>
      </c>
      <c r="C24060" t="s">
        <v>461</v>
      </c>
      <c r="D24060" t="s">
        <v>837</v>
      </c>
      <c r="E24060">
        <v>651370</v>
      </c>
      <c r="F24060">
        <v>6.3177748542139597E-8</v>
      </c>
      <c r="G24060">
        <v>689230</v>
      </c>
      <c r="H24060">
        <v>14413882</v>
      </c>
      <c r="I24060">
        <v>1141672</v>
      </c>
      <c r="J24060">
        <v>2</v>
      </c>
    </row>
    <row r="24061" spans="1:10" x14ac:dyDescent="0.25">
      <c r="A24061" t="s">
        <v>257</v>
      </c>
      <c r="B24061" s="1" t="str">
        <f>HYPERLINK("http://toyotires.co.jp","toyotires.co.jp")</f>
        <v>toyotires.co.jp</v>
      </c>
      <c r="C24061" t="s">
        <v>461</v>
      </c>
      <c r="D24061" t="s">
        <v>837</v>
      </c>
      <c r="E24061">
        <v>629691</v>
      </c>
      <c r="F24061">
        <v>6.0668810444366704E-8</v>
      </c>
      <c r="G24061">
        <v>726648</v>
      </c>
      <c r="H24061">
        <v>14132746</v>
      </c>
      <c r="I24061">
        <v>1996137</v>
      </c>
      <c r="J24061">
        <v>3</v>
      </c>
    </row>
    <row r="24062" spans="1:10" x14ac:dyDescent="0.25">
      <c r="A24062" t="s">
        <v>257</v>
      </c>
      <c r="B24062" s="1" t="str">
        <f>HYPERLINK("http://lawson.jp","lawson.jp")</f>
        <v>lawson.jp</v>
      </c>
      <c r="C24062" t="s">
        <v>461</v>
      </c>
      <c r="D24062" t="s">
        <v>837</v>
      </c>
      <c r="E24062">
        <v>272613</v>
      </c>
      <c r="F24062">
        <v>1.02528037011375E-7</v>
      </c>
      <c r="G24062">
        <v>391596</v>
      </c>
      <c r="H24062">
        <v>14585621</v>
      </c>
      <c r="I24062">
        <v>701455</v>
      </c>
      <c r="J24062">
        <v>4</v>
      </c>
    </row>
    <row r="24063" spans="1:10" x14ac:dyDescent="0.25">
      <c r="A24063" t="s">
        <v>257</v>
      </c>
      <c r="B24063" s="1" t="str">
        <f>HYPERLINK("http://locoplace.jp","locoplace.jp")</f>
        <v>locoplace.jp</v>
      </c>
      <c r="C24063" t="s">
        <v>461</v>
      </c>
      <c r="D24063" t="s">
        <v>837</v>
      </c>
      <c r="E24063">
        <v>627916</v>
      </c>
      <c r="F24063">
        <v>1.30150902011557E-7</v>
      </c>
      <c r="G24063">
        <v>300700</v>
      </c>
      <c r="H24063">
        <v>17076434</v>
      </c>
      <c r="I24063">
        <v>69222</v>
      </c>
      <c r="J24063">
        <v>5</v>
      </c>
    </row>
    <row r="24064" spans="1:10" x14ac:dyDescent="0.25">
      <c r="A24064" t="s">
        <v>257</v>
      </c>
      <c r="B24064" s="1" t="str">
        <f>HYPERLINK("http://mclogi.jp","mclogi.jp")</f>
        <v>mclogi.jp</v>
      </c>
      <c r="C24064" t="s">
        <v>461</v>
      </c>
      <c r="D24064" t="s">
        <v>837</v>
      </c>
      <c r="F24064">
        <v>9.3048387979858693E-9</v>
      </c>
      <c r="G24064">
        <v>7566114</v>
      </c>
      <c r="H24064">
        <v>11098597</v>
      </c>
      <c r="I24064">
        <v>32294554</v>
      </c>
      <c r="J24064">
        <v>3</v>
      </c>
    </row>
    <row r="24065" spans="1:10" x14ac:dyDescent="0.25">
      <c r="A24065" t="s">
        <v>257</v>
      </c>
      <c r="B24065" s="1" t="str">
        <f>HYPERLINK("http://ryohin-keikaku.jp","ryohin-keikaku.jp")</f>
        <v>ryohin-keikaku.jp</v>
      </c>
      <c r="C24065" t="s">
        <v>461</v>
      </c>
      <c r="D24065" t="s">
        <v>837</v>
      </c>
      <c r="E24065">
        <v>475756</v>
      </c>
      <c r="F24065">
        <v>1.9973281895042299E-7</v>
      </c>
      <c r="G24065">
        <v>190966</v>
      </c>
      <c r="H24065">
        <v>14918356</v>
      </c>
      <c r="I24065">
        <v>452927</v>
      </c>
      <c r="J24065">
        <v>9</v>
      </c>
    </row>
    <row r="24066" spans="1:10" x14ac:dyDescent="0.25">
      <c r="A24066" t="s">
        <v>257</v>
      </c>
      <c r="B24066" s="1" t="str">
        <f>HYPERLINK("http://seijoishii.jp","seijoishii.jp")</f>
        <v>seijoishii.jp</v>
      </c>
      <c r="C24066" t="s">
        <v>461</v>
      </c>
      <c r="D24066" t="s">
        <v>837</v>
      </c>
      <c r="F24066">
        <v>1.00131550051594E-8</v>
      </c>
      <c r="G24066">
        <v>6742604</v>
      </c>
      <c r="H24066">
        <v>11431297</v>
      </c>
      <c r="I24066">
        <v>30152215</v>
      </c>
      <c r="J24066">
        <v>6</v>
      </c>
    </row>
    <row r="24067" spans="1:10" x14ac:dyDescent="0.25">
      <c r="A24067" t="s">
        <v>257</v>
      </c>
      <c r="B24067" s="1" t="str">
        <f>HYPERLINK("http://takanocorp.jp","takanocorp.jp")</f>
        <v>takanocorp.jp</v>
      </c>
      <c r="C24067" t="s">
        <v>461</v>
      </c>
      <c r="D24067" t="s">
        <v>837</v>
      </c>
      <c r="F24067">
        <v>5.1713801251792703E-9</v>
      </c>
      <c r="G24067">
        <v>25699685</v>
      </c>
      <c r="H24067">
        <v>10799825</v>
      </c>
      <c r="I24067">
        <v>38169059</v>
      </c>
      <c r="J24067">
        <v>5</v>
      </c>
    </row>
    <row r="24068" spans="1:10" x14ac:dyDescent="0.25">
      <c r="A24068" t="s">
        <v>257</v>
      </c>
      <c r="B24068" s="1" t="str">
        <f>HYPERLINK("http://toyotires.jp","toyotires.jp")</f>
        <v>toyotires.jp</v>
      </c>
      <c r="C24068" t="s">
        <v>461</v>
      </c>
      <c r="D24068" t="s">
        <v>837</v>
      </c>
      <c r="E24068">
        <v>660000</v>
      </c>
      <c r="F24068">
        <v>9.4444295120519798E-8</v>
      </c>
      <c r="G24068">
        <v>429615</v>
      </c>
      <c r="H24068">
        <v>13869846</v>
      </c>
      <c r="I24068">
        <v>6000198</v>
      </c>
      <c r="J24068">
        <v>4</v>
      </c>
    </row>
    <row r="24069" spans="1:10" x14ac:dyDescent="0.25">
      <c r="A24069" t="s">
        <v>257</v>
      </c>
      <c r="B24069" s="1" t="str">
        <f>HYPERLINK("http://muji.lu","muji.lu")</f>
        <v>muji.lu</v>
      </c>
      <c r="C24069" t="s">
        <v>547</v>
      </c>
      <c r="D24069" t="s">
        <v>904</v>
      </c>
      <c r="F24069">
        <v>2.0989110358915099E-8</v>
      </c>
      <c r="G24069">
        <v>2517238</v>
      </c>
      <c r="H24069">
        <v>13885811</v>
      </c>
      <c r="I24069">
        <v>5970024</v>
      </c>
      <c r="J24069">
        <v>11</v>
      </c>
    </row>
    <row r="24070" spans="1:10" x14ac:dyDescent="0.25">
      <c r="A24070" t="s">
        <v>257</v>
      </c>
      <c r="B24070" s="1" t="str">
        <f>HYPERLINK("http://ge0.me","ge0.me")</f>
        <v>ge0.me</v>
      </c>
      <c r="C24070" t="s">
        <v>470</v>
      </c>
      <c r="D24070" t="s">
        <v>846</v>
      </c>
      <c r="F24070">
        <v>5.0120079821190902E-8</v>
      </c>
      <c r="G24070">
        <v>918493</v>
      </c>
      <c r="H24070">
        <v>14028903</v>
      </c>
      <c r="I24070">
        <v>3969830</v>
      </c>
      <c r="J24070">
        <v>6</v>
      </c>
    </row>
    <row r="24071" spans="1:10" x14ac:dyDescent="0.25">
      <c r="A24071" t="s">
        <v>257</v>
      </c>
      <c r="B24071" s="1" t="str">
        <f>HYPERLINK("http://mitsubishi.com.mx","mitsubishi.com.mx")</f>
        <v>mitsubishi.com.mx</v>
      </c>
      <c r="C24071" t="s">
        <v>471</v>
      </c>
      <c r="D24071" t="s">
        <v>847</v>
      </c>
      <c r="F24071">
        <v>4.5181349159918302E-9</v>
      </c>
      <c r="G24071">
        <v>56453559</v>
      </c>
      <c r="H24071">
        <v>10488545</v>
      </c>
      <c r="I24071">
        <v>50672432</v>
      </c>
      <c r="J24071">
        <v>4</v>
      </c>
    </row>
    <row r="24072" spans="1:10" x14ac:dyDescent="0.25">
      <c r="A24072" t="s">
        <v>257</v>
      </c>
      <c r="B24072" s="1" t="str">
        <f>HYPERLINK("http://mitsubishi-hc-capital.my","mitsubishi-hc-capital.my")</f>
        <v>mitsubishi-hc-capital.my</v>
      </c>
      <c r="C24072" t="s">
        <v>472</v>
      </c>
      <c r="D24072" t="s">
        <v>848</v>
      </c>
      <c r="F24072">
        <v>5.4370545660337499E-9</v>
      </c>
      <c r="G24072">
        <v>21654314</v>
      </c>
      <c r="H24072">
        <v>10567610</v>
      </c>
      <c r="I24072">
        <v>46166046</v>
      </c>
      <c r="J24072">
        <v>4</v>
      </c>
    </row>
    <row r="24073" spans="1:10" x14ac:dyDescent="0.25">
      <c r="A24073" t="s">
        <v>257</v>
      </c>
      <c r="B24073" s="1" t="str">
        <f>HYPERLINK("http://muji.net","muji.net")</f>
        <v>muji.net</v>
      </c>
      <c r="C24073" t="s">
        <v>474</v>
      </c>
      <c r="E24073">
        <v>56993</v>
      </c>
      <c r="F24073">
        <v>9.0783829405123799E-7</v>
      </c>
      <c r="G24073">
        <v>43021</v>
      </c>
      <c r="H24073">
        <v>17452078</v>
      </c>
      <c r="I24073">
        <v>16051</v>
      </c>
      <c r="J24073">
        <v>10</v>
      </c>
    </row>
    <row r="24074" spans="1:10" x14ac:dyDescent="0.25">
      <c r="A24074" t="s">
        <v>257</v>
      </c>
      <c r="B24074" s="1" t="str">
        <f>HYPERLINK("http://cermaq.no","cermaq.no")</f>
        <v>cermaq.no</v>
      </c>
      <c r="C24074" t="s">
        <v>478</v>
      </c>
      <c r="D24074" t="s">
        <v>853</v>
      </c>
      <c r="F24074">
        <v>1.35494982252108E-8</v>
      </c>
      <c r="G24074">
        <v>4383017</v>
      </c>
      <c r="H24074">
        <v>13769865</v>
      </c>
      <c r="I24074">
        <v>6758300</v>
      </c>
      <c r="J24074">
        <v>3</v>
      </c>
    </row>
    <row r="24075" spans="1:10" x14ac:dyDescent="0.25">
      <c r="A24075" t="s">
        <v>257</v>
      </c>
      <c r="B24075" s="1" t="str">
        <f>HYPERLINK("http://chiyodacorp.com.sg","chiyodacorp.com.sg")</f>
        <v>chiyodacorp.com.sg</v>
      </c>
      <c r="C24075" t="s">
        <v>496</v>
      </c>
      <c r="D24075" t="s">
        <v>870</v>
      </c>
      <c r="F24075">
        <v>9.1244419231400598E-9</v>
      </c>
      <c r="G24075">
        <v>7813302</v>
      </c>
      <c r="H24075">
        <v>12192850</v>
      </c>
      <c r="I24075">
        <v>23516367</v>
      </c>
      <c r="J24075">
        <v>3</v>
      </c>
    </row>
    <row r="24076" spans="1:10" x14ac:dyDescent="0.25">
      <c r="A24076" t="s">
        <v>257</v>
      </c>
      <c r="B24076" s="1" t="str">
        <f>HYPERLINK("http://hitachi-capital.com.sg","hitachi-capital.com.sg")</f>
        <v>hitachi-capital.com.sg</v>
      </c>
      <c r="C24076" t="s">
        <v>496</v>
      </c>
      <c r="D24076" t="s">
        <v>870</v>
      </c>
      <c r="F24076">
        <v>5.2890709882265503E-9</v>
      </c>
      <c r="G24076">
        <v>23656731</v>
      </c>
      <c r="H24076">
        <v>11919388</v>
      </c>
      <c r="I24076">
        <v>29380392</v>
      </c>
      <c r="J24076">
        <v>6</v>
      </c>
    </row>
    <row r="24077" spans="1:10" x14ac:dyDescent="0.25">
      <c r="A24077" t="s">
        <v>257</v>
      </c>
      <c r="B24077" s="1" t="str">
        <f>HYPERLINK("http://muji.tw","muji.tw")</f>
        <v>muji.tw</v>
      </c>
      <c r="C24077" t="s">
        <v>504</v>
      </c>
      <c r="D24077" t="s">
        <v>878</v>
      </c>
      <c r="E24077">
        <v>468719</v>
      </c>
      <c r="F24077">
        <v>4.43309925598257E-8</v>
      </c>
      <c r="G24077">
        <v>1070508</v>
      </c>
      <c r="H24077">
        <v>14156023</v>
      </c>
      <c r="I24077">
        <v>1857169</v>
      </c>
      <c r="J24077">
        <v>11</v>
      </c>
    </row>
    <row r="24078" spans="1:10" x14ac:dyDescent="0.25">
      <c r="A24078" t="s">
        <v>257</v>
      </c>
      <c r="B24078" s="1" t="str">
        <f>HYPERLINK("http://mitsubishi-cars.co.uk","mitsubishi-cars.co.uk")</f>
        <v>mitsubishi-cars.co.uk</v>
      </c>
      <c r="C24078" t="s">
        <v>506</v>
      </c>
      <c r="D24078" t="s">
        <v>880</v>
      </c>
      <c r="E24078">
        <v>627195</v>
      </c>
      <c r="F24078">
        <v>1.33490920157288E-7</v>
      </c>
      <c r="G24078">
        <v>292584</v>
      </c>
      <c r="H24078">
        <v>14855096</v>
      </c>
      <c r="I24078">
        <v>487669</v>
      </c>
      <c r="J24078">
        <v>4</v>
      </c>
    </row>
    <row r="24079" spans="1:10" x14ac:dyDescent="0.25">
      <c r="A24079" t="s">
        <v>257</v>
      </c>
      <c r="B24079" s="1" t="str">
        <f>HYPERLINK("http://muji.co.uk","muji.co.uk")</f>
        <v>muji.co.uk</v>
      </c>
      <c r="C24079" t="s">
        <v>506</v>
      </c>
      <c r="D24079" t="s">
        <v>880</v>
      </c>
      <c r="F24079">
        <v>9.7963629974989007E-9</v>
      </c>
      <c r="G24079">
        <v>6972759</v>
      </c>
      <c r="H24079">
        <v>14160587</v>
      </c>
      <c r="I24079">
        <v>1837986</v>
      </c>
      <c r="J24079">
        <v>10</v>
      </c>
    </row>
    <row r="24080" spans="1:10" x14ac:dyDescent="0.25">
      <c r="A24080" t="s">
        <v>257</v>
      </c>
      <c r="B24080" s="1" t="str">
        <f>HYPERLINK("http://princes.co.uk","princes.co.uk")</f>
        <v>princes.co.uk</v>
      </c>
      <c r="C24080" t="s">
        <v>506</v>
      </c>
      <c r="D24080" t="s">
        <v>880</v>
      </c>
      <c r="E24080">
        <v>641528</v>
      </c>
      <c r="F24080">
        <v>3.03668918337535E-8</v>
      </c>
      <c r="G24080">
        <v>1695343</v>
      </c>
      <c r="H24080">
        <v>14159842</v>
      </c>
      <c r="I24080">
        <v>1840180</v>
      </c>
      <c r="J24080">
        <v>2</v>
      </c>
    </row>
    <row r="24081" spans="1:10" x14ac:dyDescent="0.25">
      <c r="A24081" t="s">
        <v>257</v>
      </c>
      <c r="B24081" s="1" t="str">
        <f>HYPERLINK("http://muji.us","muji.us")</f>
        <v>muji.us</v>
      </c>
      <c r="C24081" t="s">
        <v>522</v>
      </c>
      <c r="D24081" t="s">
        <v>891</v>
      </c>
      <c r="E24081">
        <v>85826</v>
      </c>
      <c r="F24081">
        <v>3.14406189163422E-7</v>
      </c>
      <c r="G24081">
        <v>118238</v>
      </c>
      <c r="H24081">
        <v>15232096</v>
      </c>
      <c r="I24081">
        <v>392084</v>
      </c>
      <c r="J24081">
        <v>11</v>
      </c>
    </row>
    <row r="24082" spans="1:10" x14ac:dyDescent="0.25">
      <c r="A24082" t="s">
        <v>258</v>
      </c>
      <c r="B24082" s="1" t="str">
        <f>HYPERLINK("http://consumax.com.ar","consumax.com.ar")</f>
        <v>consumax.com.ar</v>
      </c>
      <c r="C24082" t="s">
        <v>418</v>
      </c>
      <c r="D24082" t="s">
        <v>800</v>
      </c>
      <c r="F24082">
        <v>7.5063223168352295E-9</v>
      </c>
      <c r="G24082">
        <v>10999635</v>
      </c>
      <c r="H24082">
        <v>12216372</v>
      </c>
      <c r="I24082">
        <v>22874111</v>
      </c>
      <c r="J24082">
        <v>8</v>
      </c>
    </row>
    <row r="24083" spans="1:10" x14ac:dyDescent="0.25">
      <c r="A24083" t="s">
        <v>258</v>
      </c>
      <c r="B24083" s="1" t="str">
        <f>HYPERLINK("http://avex.com","avex.com")</f>
        <v>avex.com</v>
      </c>
      <c r="C24083" t="s">
        <v>433</v>
      </c>
      <c r="E24083">
        <v>410320</v>
      </c>
      <c r="F24083">
        <v>1.2147194950026299E-6</v>
      </c>
      <c r="G24083">
        <v>32002</v>
      </c>
      <c r="H24083">
        <v>17539996</v>
      </c>
      <c r="I24083">
        <v>11659</v>
      </c>
      <c r="J24083">
        <v>5</v>
      </c>
    </row>
    <row r="24084" spans="1:10" x14ac:dyDescent="0.25">
      <c r="A24084" t="s">
        <v>258</v>
      </c>
      <c r="B24084" s="1" t="str">
        <f>HYPERLINK("http://avex-club.com","avex-club.com")</f>
        <v>avex-club.com</v>
      </c>
      <c r="C24084" t="s">
        <v>433</v>
      </c>
      <c r="F24084">
        <v>8.0058225201332803E-9</v>
      </c>
      <c r="G24084">
        <v>9910181</v>
      </c>
      <c r="H24084">
        <v>12252875</v>
      </c>
      <c r="I24084">
        <v>21943859</v>
      </c>
      <c r="J24084">
        <v>6</v>
      </c>
    </row>
    <row r="24085" spans="1:10" x14ac:dyDescent="0.25">
      <c r="A24085" t="s">
        <v>258</v>
      </c>
      <c r="B24085" s="1" t="str">
        <f>HYPERLINK("http://avex-io.com","avex-io.com")</f>
        <v>avex-io.com</v>
      </c>
      <c r="C24085" t="s">
        <v>433</v>
      </c>
      <c r="F24085">
        <v>1.0990441002390201E-8</v>
      </c>
      <c r="G24085">
        <v>5868300</v>
      </c>
      <c r="H24085">
        <v>13502051</v>
      </c>
      <c r="I24085">
        <v>9967616</v>
      </c>
      <c r="J24085">
        <v>7</v>
      </c>
    </row>
    <row r="24086" spans="1:10" x14ac:dyDescent="0.25">
      <c r="A24086" t="s">
        <v>258</v>
      </c>
      <c r="B24086" s="1" t="str">
        <f>HYPERLINK("http://avexcreatoragency.com","avexcreatoragency.com")</f>
        <v>avexcreatoragency.com</v>
      </c>
      <c r="C24086" t="s">
        <v>433</v>
      </c>
      <c r="F24086">
        <v>2.4022573497384499E-8</v>
      </c>
      <c r="G24086">
        <v>2160744</v>
      </c>
      <c r="H24086">
        <v>12711429</v>
      </c>
      <c r="I24086">
        <v>15294078</v>
      </c>
      <c r="J24086">
        <v>5</v>
      </c>
    </row>
    <row r="24087" spans="1:10" x14ac:dyDescent="0.25">
      <c r="A24087" t="s">
        <v>258</v>
      </c>
      <c r="B24087" s="1" t="str">
        <f>HYPERLINK("http://bailliegifford.com","bailliegifford.com")</f>
        <v>bailliegifford.com</v>
      </c>
      <c r="C24087" t="s">
        <v>433</v>
      </c>
      <c r="E24087">
        <v>152353</v>
      </c>
      <c r="F24087">
        <v>3.3721776108984503E-7</v>
      </c>
      <c r="G24087">
        <v>110635</v>
      </c>
      <c r="H24087">
        <v>14641875</v>
      </c>
      <c r="I24087">
        <v>635955</v>
      </c>
      <c r="J24087">
        <v>2</v>
      </c>
    </row>
    <row r="24088" spans="1:10" x14ac:dyDescent="0.25">
      <c r="A24088" t="s">
        <v>258</v>
      </c>
      <c r="B24088" s="1" t="str">
        <f>HYPERLINK("http://binylrecords.com","binylrecords.com")</f>
        <v>binylrecords.com</v>
      </c>
      <c r="C24088" t="s">
        <v>433</v>
      </c>
      <c r="F24088">
        <v>8.6745771018572496E-9</v>
      </c>
      <c r="G24088">
        <v>8522075</v>
      </c>
      <c r="H24088">
        <v>14108184</v>
      </c>
      <c r="I24088">
        <v>2680752</v>
      </c>
      <c r="J24088">
        <v>7</v>
      </c>
    </row>
    <row r="24089" spans="1:10" x14ac:dyDescent="0.25">
      <c r="A24089" t="s">
        <v>258</v>
      </c>
      <c r="B24089" s="1" t="str">
        <f>HYPERLINK("http://eitplc.com","eitplc.com")</f>
        <v>eitplc.com</v>
      </c>
      <c r="C24089" t="s">
        <v>433</v>
      </c>
      <c r="J24089">
        <v>5</v>
      </c>
    </row>
    <row r="24090" spans="1:10" x14ac:dyDescent="0.25">
      <c r="A24090" t="s">
        <v>258</v>
      </c>
      <c r="B24090" s="1" t="str">
        <f>HYPERLINK("http://japan-d2.com","japan-d2.com")</f>
        <v>japan-d2.com</v>
      </c>
      <c r="C24090" t="s">
        <v>433</v>
      </c>
      <c r="F24090">
        <v>2.98182074358097E-8</v>
      </c>
      <c r="G24090">
        <v>1726003</v>
      </c>
      <c r="H24090">
        <v>13396116</v>
      </c>
      <c r="I24090">
        <v>10377224</v>
      </c>
      <c r="J24090">
        <v>3</v>
      </c>
    </row>
    <row r="24091" spans="1:10" x14ac:dyDescent="0.25">
      <c r="A24091" t="s">
        <v>258</v>
      </c>
      <c r="B24091" s="1" t="str">
        <f>HYPERLINK("http://kabu.com","kabu.com")</f>
        <v>kabu.com</v>
      </c>
      <c r="C24091" t="s">
        <v>433</v>
      </c>
      <c r="E24091">
        <v>180165</v>
      </c>
      <c r="F24091">
        <v>2.99243381540474E-7</v>
      </c>
      <c r="G24091">
        <v>124292</v>
      </c>
      <c r="H24091">
        <v>15043785</v>
      </c>
      <c r="I24091">
        <v>415831</v>
      </c>
      <c r="J24091">
        <v>3</v>
      </c>
    </row>
    <row r="24092" spans="1:10" x14ac:dyDescent="0.25">
      <c r="A24092" t="s">
        <v>258</v>
      </c>
      <c r="B24092" s="1" t="str">
        <f>HYPERLINK("http://krungsri.com","krungsri.com")</f>
        <v>krungsri.com</v>
      </c>
      <c r="C24092" t="s">
        <v>433</v>
      </c>
      <c r="E24092">
        <v>89299</v>
      </c>
      <c r="F24092">
        <v>7.12298949640844E-7</v>
      </c>
      <c r="G24092">
        <v>54466</v>
      </c>
      <c r="H24092">
        <v>15090997</v>
      </c>
      <c r="I24092">
        <v>407891</v>
      </c>
      <c r="J24092">
        <v>3</v>
      </c>
    </row>
    <row r="24093" spans="1:10" x14ac:dyDescent="0.25">
      <c r="A24093" t="s">
        <v>258</v>
      </c>
      <c r="B24093" s="1" t="str">
        <f>HYPERLINK("http://krungsriasset.com","krungsriasset.com")</f>
        <v>krungsriasset.com</v>
      </c>
      <c r="C24093" t="s">
        <v>433</v>
      </c>
      <c r="E24093">
        <v>666488</v>
      </c>
      <c r="F24093">
        <v>2.7162171095686599E-8</v>
      </c>
      <c r="G24093">
        <v>1893286</v>
      </c>
      <c r="H24093">
        <v>13764595</v>
      </c>
      <c r="I24093">
        <v>7229084</v>
      </c>
      <c r="J24093">
        <v>4</v>
      </c>
    </row>
    <row r="24094" spans="1:10" x14ac:dyDescent="0.25">
      <c r="A24094" t="s">
        <v>258</v>
      </c>
      <c r="B24094" s="1" t="str">
        <f>HYPERLINK("http://krungsriauto.com","krungsriauto.com")</f>
        <v>krungsriauto.com</v>
      </c>
      <c r="C24094" t="s">
        <v>433</v>
      </c>
      <c r="F24094">
        <v>2.3577865959634798E-8</v>
      </c>
      <c r="G24094">
        <v>2206301</v>
      </c>
      <c r="H24094">
        <v>12596740</v>
      </c>
      <c r="I24094">
        <v>16355793</v>
      </c>
      <c r="J24094">
        <v>6</v>
      </c>
    </row>
    <row r="24095" spans="1:10" x14ac:dyDescent="0.25">
      <c r="A24095" t="s">
        <v>258</v>
      </c>
      <c r="B24095" s="1" t="str">
        <f>HYPERLINK("http://krungsrisecurities.com","krungsrisecurities.com")</f>
        <v>krungsrisecurities.com</v>
      </c>
      <c r="C24095" t="s">
        <v>433</v>
      </c>
      <c r="F24095">
        <v>1.47006587263011E-8</v>
      </c>
      <c r="G24095">
        <v>3940818</v>
      </c>
      <c r="H24095">
        <v>13764516</v>
      </c>
      <c r="I24095">
        <v>7246541</v>
      </c>
      <c r="J24095">
        <v>4</v>
      </c>
    </row>
    <row r="24096" spans="1:10" x14ac:dyDescent="0.25">
      <c r="A24096" t="s">
        <v>258</v>
      </c>
      <c r="B24096" s="1" t="str">
        <f>HYPERLINK("http://mhccna.com","mhccna.com")</f>
        <v>mhccna.com</v>
      </c>
      <c r="C24096" t="s">
        <v>433</v>
      </c>
      <c r="F24096">
        <v>6.3094512417233197E-8</v>
      </c>
      <c r="G24096">
        <v>690687</v>
      </c>
      <c r="H24096">
        <v>13223177</v>
      </c>
      <c r="I24096">
        <v>11319263</v>
      </c>
      <c r="J24096">
        <v>6</v>
      </c>
    </row>
    <row r="24097" spans="1:10" x14ac:dyDescent="0.25">
      <c r="A24097" t="s">
        <v>258</v>
      </c>
      <c r="B24097" s="1" t="str">
        <f>HYPERLINK("http://mufgamericas.com","mufgamericas.com")</f>
        <v>mufgamericas.com</v>
      </c>
      <c r="C24097" t="s">
        <v>433</v>
      </c>
      <c r="E24097">
        <v>301412</v>
      </c>
      <c r="F24097">
        <v>1.15240140196278E-7</v>
      </c>
      <c r="G24097">
        <v>345333</v>
      </c>
      <c r="H24097">
        <v>14235095</v>
      </c>
      <c r="I24097">
        <v>1668599</v>
      </c>
      <c r="J24097">
        <v>5</v>
      </c>
    </row>
    <row r="24098" spans="1:10" x14ac:dyDescent="0.25">
      <c r="A24098" t="s">
        <v>258</v>
      </c>
      <c r="B24098" s="1" t="str">
        <f>HYPERLINK("http://mufgemea.com","mufgemea.com")</f>
        <v>mufgemea.com</v>
      </c>
      <c r="C24098" t="s">
        <v>433</v>
      </c>
      <c r="F24098">
        <v>3.4623640412710898E-8</v>
      </c>
      <c r="G24098">
        <v>1498694</v>
      </c>
      <c r="H24098">
        <v>14110105</v>
      </c>
      <c r="I24098">
        <v>2675937</v>
      </c>
      <c r="J24098">
        <v>3</v>
      </c>
    </row>
    <row r="24099" spans="1:10" x14ac:dyDescent="0.25">
      <c r="A24099" t="s">
        <v>258</v>
      </c>
      <c r="B24099" s="1" t="str">
        <f>HYPERLINK("http://mufgsecurities.com","mufgsecurities.com")</f>
        <v>mufgsecurities.com</v>
      </c>
      <c r="C24099" t="s">
        <v>433</v>
      </c>
      <c r="E24099">
        <v>710890</v>
      </c>
      <c r="F24099">
        <v>8.1587279514178196E-9</v>
      </c>
      <c r="G24099">
        <v>9641324</v>
      </c>
      <c r="H24099">
        <v>12307380</v>
      </c>
      <c r="I24099">
        <v>20689609</v>
      </c>
      <c r="J24099">
        <v>4</v>
      </c>
    </row>
    <row r="24100" spans="1:10" x14ac:dyDescent="0.25">
      <c r="A24100" t="s">
        <v>258</v>
      </c>
      <c r="B24100" s="1" t="str">
        <f>HYPERLINK("http://outlet-rera.com","outlet-rera.com")</f>
        <v>outlet-rera.com</v>
      </c>
      <c r="C24100" t="s">
        <v>433</v>
      </c>
      <c r="F24100">
        <v>2.8678301497754601E-8</v>
      </c>
      <c r="G24100">
        <v>1794477</v>
      </c>
      <c r="H24100">
        <v>13863636</v>
      </c>
      <c r="I24100">
        <v>6014338</v>
      </c>
      <c r="J24100">
        <v>4</v>
      </c>
    </row>
    <row r="24101" spans="1:10" x14ac:dyDescent="0.25">
      <c r="A24101" t="s">
        <v>258</v>
      </c>
      <c r="B24101" s="1" t="str">
        <f>HYPERLINK("http://p9dt.com","p9dt.com")</f>
        <v>p9dt.com</v>
      </c>
      <c r="C24101" t="s">
        <v>433</v>
      </c>
      <c r="F24101">
        <v>1.68751706256831E-8</v>
      </c>
      <c r="G24101">
        <v>3315167</v>
      </c>
      <c r="H24101">
        <v>13579165</v>
      </c>
      <c r="I24101">
        <v>9692183</v>
      </c>
      <c r="J24101">
        <v>6</v>
      </c>
    </row>
    <row r="24102" spans="1:10" x14ac:dyDescent="0.25">
      <c r="A24102" t="s">
        <v>258</v>
      </c>
      <c r="B24102" s="1" t="str">
        <f>HYPERLINK("http://p9ft.com","p9ft.com")</f>
        <v>p9ft.com</v>
      </c>
      <c r="C24102" t="s">
        <v>433</v>
      </c>
      <c r="F24102">
        <v>6.3816324590460604E-9</v>
      </c>
      <c r="G24102">
        <v>14608896</v>
      </c>
      <c r="H24102">
        <v>12733841</v>
      </c>
      <c r="I24102">
        <v>15178738</v>
      </c>
      <c r="J24102">
        <v>4</v>
      </c>
    </row>
    <row r="24103" spans="1:10" x14ac:dyDescent="0.25">
      <c r="A24103" t="s">
        <v>258</v>
      </c>
      <c r="B24103" s="1" t="str">
        <f>HYPERLINK("http://sumai1.com","sumai1.com")</f>
        <v>sumai1.com</v>
      </c>
      <c r="C24103" t="s">
        <v>433</v>
      </c>
      <c r="F24103">
        <v>2.6991577063101601E-8</v>
      </c>
      <c r="G24103">
        <v>1905542</v>
      </c>
      <c r="H24103">
        <v>14126770</v>
      </c>
      <c r="I24103">
        <v>2094160</v>
      </c>
      <c r="J24103">
        <v>3</v>
      </c>
    </row>
    <row r="24104" spans="1:10" x14ac:dyDescent="0.25">
      <c r="A24104" t="s">
        <v>258</v>
      </c>
      <c r="B24104" s="1" t="str">
        <f>HYPERLINK("http://xgalx.com","xgalx.com")</f>
        <v>xgalx.com</v>
      </c>
      <c r="C24104" t="s">
        <v>433</v>
      </c>
      <c r="F24104">
        <v>8.3090952774102203E-8</v>
      </c>
      <c r="G24104">
        <v>501943</v>
      </c>
      <c r="H24104">
        <v>13349990</v>
      </c>
      <c r="I24104">
        <v>10615312</v>
      </c>
      <c r="J24104">
        <v>5</v>
      </c>
    </row>
    <row r="24105" spans="1:10" x14ac:dyDescent="0.25">
      <c r="A24105" t="s">
        <v>258</v>
      </c>
      <c r="B24105" s="1" t="str">
        <f>HYPERLINK("http://danamon.co.id","danamon.co.id")</f>
        <v>danamon.co.id</v>
      </c>
      <c r="C24105" t="s">
        <v>454</v>
      </c>
      <c r="D24105" t="s">
        <v>831</v>
      </c>
      <c r="E24105">
        <v>70552</v>
      </c>
      <c r="F24105">
        <v>1.7731524582949901E-7</v>
      </c>
      <c r="G24105">
        <v>218137</v>
      </c>
      <c r="H24105">
        <v>17080036</v>
      </c>
      <c r="I24105">
        <v>68340</v>
      </c>
      <c r="J24105">
        <v>3</v>
      </c>
    </row>
    <row r="24106" spans="1:10" x14ac:dyDescent="0.25">
      <c r="A24106" t="s">
        <v>258</v>
      </c>
      <c r="B24106" s="1" t="str">
        <f>HYPERLINK("http://avex.jp","avex.jp")</f>
        <v>avex.jp</v>
      </c>
      <c r="C24106" t="s">
        <v>461</v>
      </c>
      <c r="D24106" t="s">
        <v>837</v>
      </c>
      <c r="E24106">
        <v>63829</v>
      </c>
      <c r="F24106">
        <v>3.0282458758536201E-6</v>
      </c>
      <c r="G24106">
        <v>12908</v>
      </c>
      <c r="H24106">
        <v>16638262</v>
      </c>
      <c r="I24106">
        <v>364805</v>
      </c>
      <c r="J24106">
        <v>5</v>
      </c>
    </row>
    <row r="24107" spans="1:10" x14ac:dyDescent="0.25">
      <c r="A24107" t="s">
        <v>258</v>
      </c>
      <c r="B24107" s="1" t="str">
        <f>HYPERLINK("http://avex-management.jp","avex-management.jp")</f>
        <v>avex-management.jp</v>
      </c>
      <c r="C24107" t="s">
        <v>461</v>
      </c>
      <c r="D24107" t="s">
        <v>837</v>
      </c>
      <c r="E24107">
        <v>805488</v>
      </c>
      <c r="F24107">
        <v>1.0266149762778299E-7</v>
      </c>
      <c r="G24107">
        <v>391039</v>
      </c>
      <c r="H24107">
        <v>14331271</v>
      </c>
      <c r="I24107">
        <v>1322536</v>
      </c>
      <c r="J24107">
        <v>5</v>
      </c>
    </row>
    <row r="24108" spans="1:10" x14ac:dyDescent="0.25">
      <c r="A24108" t="s">
        <v>258</v>
      </c>
      <c r="B24108" s="1" t="str">
        <f>HYPERLINK("http://avexmovie.jp","avexmovie.jp")</f>
        <v>avexmovie.jp</v>
      </c>
      <c r="C24108" t="s">
        <v>461</v>
      </c>
      <c r="D24108" t="s">
        <v>837</v>
      </c>
      <c r="F24108">
        <v>3.1546940710569301E-8</v>
      </c>
      <c r="G24108">
        <v>1635658</v>
      </c>
      <c r="H24108">
        <v>14526490</v>
      </c>
      <c r="I24108">
        <v>794176</v>
      </c>
      <c r="J24108">
        <v>5</v>
      </c>
    </row>
    <row r="24109" spans="1:10" x14ac:dyDescent="0.25">
      <c r="A24109" t="s">
        <v>258</v>
      </c>
      <c r="B24109" s="1" t="str">
        <f>HYPERLINK("http://avexnet.jp","avexnet.jp")</f>
        <v>avexnet.jp</v>
      </c>
      <c r="C24109" t="s">
        <v>461</v>
      </c>
      <c r="D24109" t="s">
        <v>837</v>
      </c>
      <c r="E24109">
        <v>502349</v>
      </c>
      <c r="F24109">
        <v>1.6216032012849301E-7</v>
      </c>
      <c r="G24109">
        <v>239352</v>
      </c>
      <c r="H24109">
        <v>14944099</v>
      </c>
      <c r="I24109">
        <v>442525</v>
      </c>
      <c r="J24109">
        <v>5</v>
      </c>
    </row>
    <row r="24110" spans="1:10" x14ac:dyDescent="0.25">
      <c r="A24110" t="s">
        <v>258</v>
      </c>
      <c r="B24110" s="1" t="str">
        <f>HYPERLINK("http://avex.co.jp","avex.co.jp")</f>
        <v>avex.co.jp</v>
      </c>
      <c r="C24110" t="s">
        <v>461</v>
      </c>
      <c r="D24110" t="s">
        <v>837</v>
      </c>
      <c r="E24110">
        <v>555047</v>
      </c>
      <c r="F24110">
        <v>1.33523447682123E-7</v>
      </c>
      <c r="G24110">
        <v>292501</v>
      </c>
      <c r="H24110">
        <v>17093802</v>
      </c>
      <c r="I24110">
        <v>65093</v>
      </c>
      <c r="J24110">
        <v>4</v>
      </c>
    </row>
    <row r="24111" spans="1:10" x14ac:dyDescent="0.25">
      <c r="A24111" t="s">
        <v>258</v>
      </c>
      <c r="B24111" s="1" t="str">
        <f>HYPERLINK("http://avex-pictures.co.jp","avex-pictures.co.jp")</f>
        <v>avex-pictures.co.jp</v>
      </c>
      <c r="C24111" t="s">
        <v>461</v>
      </c>
      <c r="D24111" t="s">
        <v>837</v>
      </c>
      <c r="F24111">
        <v>3.8851618289634201E-8</v>
      </c>
      <c r="G24111">
        <v>1327190</v>
      </c>
      <c r="H24111">
        <v>14428059</v>
      </c>
      <c r="I24111">
        <v>1077117</v>
      </c>
      <c r="J24111">
        <v>5</v>
      </c>
    </row>
    <row r="24112" spans="1:10" x14ac:dyDescent="0.25">
      <c r="A24112" t="s">
        <v>258</v>
      </c>
      <c r="B24112" s="1" t="str">
        <f>HYPERLINK("http://botlease.co.jp","botlease.co.jp")</f>
        <v>botlease.co.jp</v>
      </c>
      <c r="C24112" t="s">
        <v>461</v>
      </c>
      <c r="D24112" t="s">
        <v>837</v>
      </c>
      <c r="F24112">
        <v>1.0287718198726E-8</v>
      </c>
      <c r="G24112">
        <v>6462488</v>
      </c>
      <c r="H24112">
        <v>14081193</v>
      </c>
      <c r="I24112">
        <v>2812635</v>
      </c>
      <c r="J24112">
        <v>3</v>
      </c>
    </row>
    <row r="24113" spans="1:10" x14ac:dyDescent="0.25">
      <c r="A24113" t="s">
        <v>258</v>
      </c>
      <c r="B24113" s="1" t="str">
        <f>HYPERLINK("http://daido.co.jp","daido.co.jp")</f>
        <v>daido.co.jp</v>
      </c>
      <c r="C24113" t="s">
        <v>461</v>
      </c>
      <c r="D24113" t="s">
        <v>837</v>
      </c>
      <c r="E24113">
        <v>247168</v>
      </c>
      <c r="F24113">
        <v>7.2861650247368794E-8</v>
      </c>
      <c r="G24113">
        <v>578851</v>
      </c>
      <c r="H24113">
        <v>14580012</v>
      </c>
      <c r="I24113">
        <v>711269</v>
      </c>
      <c r="J24113">
        <v>3</v>
      </c>
    </row>
    <row r="24114" spans="1:10" x14ac:dyDescent="0.25">
      <c r="A24114" t="s">
        <v>258</v>
      </c>
      <c r="B24114" s="1" t="str">
        <f>HYPERLINK("http://dcj-net.co.jp","dcj-net.co.jp")</f>
        <v>dcj-net.co.jp</v>
      </c>
      <c r="C24114" t="s">
        <v>461</v>
      </c>
      <c r="D24114" t="s">
        <v>837</v>
      </c>
      <c r="F24114">
        <v>5.7115150347783003E-9</v>
      </c>
      <c r="G24114">
        <v>18824739</v>
      </c>
      <c r="H24114">
        <v>14073557</v>
      </c>
      <c r="I24114">
        <v>2985958</v>
      </c>
      <c r="J24114">
        <v>2</v>
      </c>
    </row>
    <row r="24115" spans="1:10" x14ac:dyDescent="0.25">
      <c r="A24115" t="s">
        <v>258</v>
      </c>
      <c r="B24115" s="1" t="str">
        <f>HYPERLINK("http://east-ghd.co.jp","east-ghd.co.jp")</f>
        <v>east-ghd.co.jp</v>
      </c>
      <c r="C24115" t="s">
        <v>461</v>
      </c>
      <c r="D24115" t="s">
        <v>837</v>
      </c>
      <c r="F24115">
        <v>6.5008500317681096E-9</v>
      </c>
      <c r="G24115">
        <v>14074705</v>
      </c>
      <c r="H24115">
        <v>12759099</v>
      </c>
      <c r="I24115">
        <v>14960058</v>
      </c>
      <c r="J24115">
        <v>6</v>
      </c>
    </row>
    <row r="24116" spans="1:10" x14ac:dyDescent="0.25">
      <c r="A24116" t="s">
        <v>258</v>
      </c>
      <c r="B24116" s="1" t="str">
        <f>HYPERLINK("http://kabu.co.jp","kabu.co.jp")</f>
        <v>kabu.co.jp</v>
      </c>
      <c r="C24116" t="s">
        <v>461</v>
      </c>
      <c r="D24116" t="s">
        <v>837</v>
      </c>
      <c r="E24116">
        <v>137944</v>
      </c>
      <c r="F24116">
        <v>2.0366387520176101E-8</v>
      </c>
      <c r="G24116">
        <v>2604421</v>
      </c>
      <c r="H24116">
        <v>13345821</v>
      </c>
      <c r="I24116">
        <v>10650264</v>
      </c>
      <c r="J24116">
        <v>2</v>
      </c>
    </row>
    <row r="24117" spans="1:10" x14ac:dyDescent="0.25">
      <c r="A24117" t="s">
        <v>258</v>
      </c>
      <c r="B24117" s="1" t="str">
        <f>HYPERLINK("http://mastertrust.co.jp","mastertrust.co.jp")</f>
        <v>mastertrust.co.jp</v>
      </c>
      <c r="C24117" t="s">
        <v>461</v>
      </c>
      <c r="D24117" t="s">
        <v>837</v>
      </c>
      <c r="F24117">
        <v>1.32595162897689E-8</v>
      </c>
      <c r="G24117">
        <v>4511326</v>
      </c>
      <c r="H24117">
        <v>14119461</v>
      </c>
      <c r="I24117">
        <v>2657209</v>
      </c>
      <c r="J24117">
        <v>3</v>
      </c>
    </row>
    <row r="24118" spans="1:10" x14ac:dyDescent="0.25">
      <c r="A24118" t="s">
        <v>258</v>
      </c>
      <c r="B24118" s="1" t="str">
        <f>HYPERLINK("http://mu-iv.co.jp","mu-iv.co.jp")</f>
        <v>mu-iv.co.jp</v>
      </c>
      <c r="C24118" t="s">
        <v>461</v>
      </c>
      <c r="D24118" t="s">
        <v>837</v>
      </c>
      <c r="F24118">
        <v>7.7294434590905205E-9</v>
      </c>
      <c r="G24118">
        <v>10508669</v>
      </c>
      <c r="H24118">
        <v>12295157</v>
      </c>
      <c r="I24118">
        <v>20961247</v>
      </c>
      <c r="J24118">
        <v>3</v>
      </c>
    </row>
    <row r="24119" spans="1:10" x14ac:dyDescent="0.25">
      <c r="A24119" t="s">
        <v>258</v>
      </c>
      <c r="B24119" s="1" t="str">
        <f>HYPERLINK("http://mufr.co.jp","mufr.co.jp")</f>
        <v>mufr.co.jp</v>
      </c>
      <c r="C24119" t="s">
        <v>461</v>
      </c>
      <c r="D24119" t="s">
        <v>837</v>
      </c>
      <c r="F24119">
        <v>9.0781841892106807E-9</v>
      </c>
      <c r="G24119">
        <v>7877235</v>
      </c>
      <c r="H24119">
        <v>12426477</v>
      </c>
      <c r="I24119">
        <v>18356916</v>
      </c>
      <c r="J24119">
        <v>3</v>
      </c>
    </row>
    <row r="24120" spans="1:10" x14ac:dyDescent="0.25">
      <c r="A24120" t="s">
        <v>258</v>
      </c>
      <c r="B24120" s="1" t="str">
        <f>HYPERLINK("http://tokura.co.jp","tokura.co.jp")</f>
        <v>tokura.co.jp</v>
      </c>
      <c r="C24120" t="s">
        <v>461</v>
      </c>
      <c r="D24120" t="s">
        <v>837</v>
      </c>
      <c r="F24120">
        <v>1.3674600914503899E-8</v>
      </c>
      <c r="G24120">
        <v>4331343</v>
      </c>
      <c r="H24120">
        <v>13363973</v>
      </c>
      <c r="I24120">
        <v>10494682</v>
      </c>
      <c r="J24120">
        <v>3</v>
      </c>
    </row>
    <row r="24121" spans="1:10" x14ac:dyDescent="0.25">
      <c r="A24121" t="s">
        <v>258</v>
      </c>
      <c r="B24121" s="1" t="str">
        <f>HYPERLINK("http://tokyo-card.co.jp","tokyo-card.co.jp")</f>
        <v>tokyo-card.co.jp</v>
      </c>
      <c r="C24121" t="s">
        <v>461</v>
      </c>
      <c r="D24121" t="s">
        <v>837</v>
      </c>
      <c r="E24121">
        <v>595345</v>
      </c>
      <c r="F24121">
        <v>3.5050018433636703E-8</v>
      </c>
      <c r="G24121">
        <v>1482480</v>
      </c>
      <c r="H24121">
        <v>14303639</v>
      </c>
      <c r="I24121">
        <v>1353128</v>
      </c>
      <c r="J24121">
        <v>3</v>
      </c>
    </row>
    <row r="24122" spans="1:10" x14ac:dyDescent="0.25">
      <c r="A24122" t="s">
        <v>258</v>
      </c>
      <c r="B24122" s="1" t="str">
        <f>HYPERLINK("http://jss-ltd.jp","jss-ltd.jp")</f>
        <v>jss-ltd.jp</v>
      </c>
      <c r="C24122" t="s">
        <v>461</v>
      </c>
      <c r="D24122" t="s">
        <v>837</v>
      </c>
      <c r="F24122">
        <v>8.7207557707807505E-9</v>
      </c>
      <c r="G24122">
        <v>8441877</v>
      </c>
      <c r="H24122">
        <v>12666429</v>
      </c>
      <c r="I24122">
        <v>15653047</v>
      </c>
      <c r="J24122">
        <v>3</v>
      </c>
    </row>
    <row r="24123" spans="1:10" x14ac:dyDescent="0.25">
      <c r="A24123" t="s">
        <v>258</v>
      </c>
      <c r="B24123" s="1" t="str">
        <f>HYPERLINK("http://kamitsubaki.jp","kamitsubaki.jp")</f>
        <v>kamitsubaki.jp</v>
      </c>
      <c r="C24123" t="s">
        <v>461</v>
      </c>
      <c r="D24123" t="s">
        <v>837</v>
      </c>
      <c r="F24123">
        <v>5.43143625763453E-8</v>
      </c>
      <c r="G24123">
        <v>831700</v>
      </c>
      <c r="H24123">
        <v>14610956</v>
      </c>
      <c r="I24123">
        <v>676752</v>
      </c>
      <c r="J24123">
        <v>8</v>
      </c>
    </row>
    <row r="24124" spans="1:10" x14ac:dyDescent="0.25">
      <c r="A24124" t="s">
        <v>258</v>
      </c>
      <c r="B24124" s="1" t="str">
        <f>HYPERLINK("http://mufg.jp","mufg.jp")</f>
        <v>mufg.jp</v>
      </c>
      <c r="C24124" t="s">
        <v>461</v>
      </c>
      <c r="D24124" t="s">
        <v>837</v>
      </c>
      <c r="E24124">
        <v>7660</v>
      </c>
      <c r="F24124">
        <v>2.8773012692463199E-6</v>
      </c>
      <c r="G24124">
        <v>13415</v>
      </c>
      <c r="H24124">
        <v>17567350</v>
      </c>
      <c r="I24124">
        <v>10705</v>
      </c>
      <c r="J24124">
        <v>2</v>
      </c>
    </row>
    <row r="24125" spans="1:10" x14ac:dyDescent="0.25">
      <c r="A24125" t="s">
        <v>258</v>
      </c>
      <c r="B24125" s="1" t="str">
        <f>HYPERLINK("http://mulb.jp","mulb.jp")</f>
        <v>mulb.jp</v>
      </c>
      <c r="C24125" t="s">
        <v>461</v>
      </c>
      <c r="D24125" t="s">
        <v>837</v>
      </c>
      <c r="J24125">
        <v>5</v>
      </c>
    </row>
    <row r="24126" spans="1:10" x14ac:dyDescent="0.25">
      <c r="A24126" t="s">
        <v>258</v>
      </c>
      <c r="B24126" s="1" t="str">
        <f>HYPERLINK("http://murc.jp","murc.jp")</f>
        <v>murc.jp</v>
      </c>
      <c r="C24126" t="s">
        <v>461</v>
      </c>
      <c r="D24126" t="s">
        <v>837</v>
      </c>
      <c r="E24126">
        <v>147368</v>
      </c>
      <c r="F24126">
        <v>3.0369040263360602E-7</v>
      </c>
      <c r="G24126">
        <v>122429</v>
      </c>
      <c r="H24126">
        <v>14605918</v>
      </c>
      <c r="I24126">
        <v>681662</v>
      </c>
      <c r="J24126">
        <v>3</v>
      </c>
    </row>
    <row r="24127" spans="1:10" x14ac:dyDescent="0.25">
      <c r="A24127" t="s">
        <v>258</v>
      </c>
      <c r="B24127" s="1" t="str">
        <f>HYPERLINK("http://avexnet.or.jp","avexnet.or.jp")</f>
        <v>avexnet.or.jp</v>
      </c>
      <c r="C24127" t="s">
        <v>461</v>
      </c>
      <c r="D24127" t="s">
        <v>837</v>
      </c>
      <c r="E24127">
        <v>116511</v>
      </c>
      <c r="F24127">
        <v>2.2658122234586899E-6</v>
      </c>
      <c r="G24127">
        <v>16280</v>
      </c>
      <c r="H24127">
        <v>17981974</v>
      </c>
      <c r="I24127">
        <v>3803</v>
      </c>
      <c r="J24127">
        <v>6</v>
      </c>
    </row>
    <row r="24128" spans="1:10" x14ac:dyDescent="0.25">
      <c r="A24128" t="s">
        <v>258</v>
      </c>
      <c r="B24128" s="1" t="str">
        <f>HYPERLINK("http://thinkr.jp","thinkr.jp")</f>
        <v>thinkr.jp</v>
      </c>
      <c r="C24128" t="s">
        <v>461</v>
      </c>
      <c r="D24128" t="s">
        <v>837</v>
      </c>
      <c r="F24128">
        <v>9.1829351784937105E-8</v>
      </c>
      <c r="G24128">
        <v>443606</v>
      </c>
      <c r="H24128">
        <v>14023988</v>
      </c>
      <c r="I24128">
        <v>3977353</v>
      </c>
      <c r="J24128">
        <v>5</v>
      </c>
    </row>
    <row r="24129" spans="1:10" x14ac:dyDescent="0.25">
      <c r="A24129" t="s">
        <v>258</v>
      </c>
      <c r="B24129" s="1" t="str">
        <f>HYPERLINK("http://ygex.jp","ygex.jp")</f>
        <v>ygex.jp</v>
      </c>
      <c r="C24129" t="s">
        <v>461</v>
      </c>
      <c r="D24129" t="s">
        <v>837</v>
      </c>
      <c r="E24129">
        <v>445098</v>
      </c>
      <c r="F24129">
        <v>1.1334997525592301E-7</v>
      </c>
      <c r="G24129">
        <v>352150</v>
      </c>
      <c r="H24129">
        <v>14681411</v>
      </c>
      <c r="I24129">
        <v>608115</v>
      </c>
      <c r="J24129">
        <v>5</v>
      </c>
    </row>
    <row r="24130" spans="1:10" x14ac:dyDescent="0.25">
      <c r="A24130" t="s">
        <v>258</v>
      </c>
      <c r="B24130" s="1" t="str">
        <f>HYPERLINK("http://kamitsubaki.studio","kamitsubaki.studio")</f>
        <v>kamitsubaki.studio</v>
      </c>
      <c r="C24130" t="s">
        <v>773</v>
      </c>
      <c r="F24130">
        <v>4.8597247478588001E-9</v>
      </c>
      <c r="G24130">
        <v>33821945</v>
      </c>
      <c r="H24130">
        <v>10784241</v>
      </c>
      <c r="I24130">
        <v>38741351</v>
      </c>
      <c r="J24130">
        <v>9</v>
      </c>
    </row>
    <row r="24131" spans="1:10" x14ac:dyDescent="0.25">
      <c r="A24131" t="s">
        <v>258</v>
      </c>
      <c r="B24131" s="1" t="str">
        <f>HYPERLINK("http://livestar.tokyo","livestar.tokyo")</f>
        <v>livestar.tokyo</v>
      </c>
      <c r="C24131" t="s">
        <v>765</v>
      </c>
      <c r="F24131">
        <v>2.6029375481149599E-8</v>
      </c>
      <c r="G24131">
        <v>1979349</v>
      </c>
      <c r="H24131">
        <v>13003329</v>
      </c>
      <c r="I24131">
        <v>12780566</v>
      </c>
      <c r="J24131">
        <v>8</v>
      </c>
    </row>
    <row r="24132" spans="1:10" x14ac:dyDescent="0.25">
      <c r="A24132" t="s">
        <v>258</v>
      </c>
      <c r="B24132" s="1" t="str">
        <f>HYPERLINK("http://avex.com.tw","avex.com.tw")</f>
        <v>avex.com.tw</v>
      </c>
      <c r="C24132" t="s">
        <v>504</v>
      </c>
      <c r="D24132" t="s">
        <v>878</v>
      </c>
      <c r="E24132">
        <v>806595</v>
      </c>
      <c r="F24132">
        <v>5.3348667567357597E-8</v>
      </c>
      <c r="G24132">
        <v>853187</v>
      </c>
      <c r="H24132">
        <v>14905268</v>
      </c>
      <c r="I24132">
        <v>460782</v>
      </c>
      <c r="J24132">
        <v>5</v>
      </c>
    </row>
    <row r="24133" spans="1:10" x14ac:dyDescent="0.25">
      <c r="A24133" t="s">
        <v>258</v>
      </c>
      <c r="B24133" s="1" t="str">
        <f>HYPERLINK("http://independentinvestmenttrust.co.uk","independentinvestmenttrust.co.uk")</f>
        <v>independentinvestmenttrust.co.uk</v>
      </c>
      <c r="C24133" t="s">
        <v>506</v>
      </c>
      <c r="D24133" t="s">
        <v>880</v>
      </c>
      <c r="F24133">
        <v>4.9235620534864399E-9</v>
      </c>
      <c r="G24133">
        <v>31573289</v>
      </c>
      <c r="H24133">
        <v>14119763</v>
      </c>
      <c r="I24133">
        <v>2458820</v>
      </c>
      <c r="J24133">
        <v>5</v>
      </c>
    </row>
    <row r="24134" spans="1:10" x14ac:dyDescent="0.25">
      <c r="A24134" t="s">
        <v>1640</v>
      </c>
      <c r="B24134" s="1" t="str">
        <f>HYPERLINK("http://awexp.com.au","awexp.com.au")</f>
        <v>awexp.com.au</v>
      </c>
      <c r="C24134" t="s">
        <v>420</v>
      </c>
      <c r="D24134" t="s">
        <v>802</v>
      </c>
      <c r="F24134">
        <v>1.4990735504046702E-8</v>
      </c>
      <c r="G24134">
        <v>3842882</v>
      </c>
      <c r="H24134">
        <v>12775648</v>
      </c>
      <c r="I24134">
        <v>14796437</v>
      </c>
      <c r="J24134">
        <v>4</v>
      </c>
    </row>
    <row r="24135" spans="1:10" x14ac:dyDescent="0.25">
      <c r="A24135" t="s">
        <v>1640</v>
      </c>
      <c r="B24135" s="1" t="str">
        <f>HYPERLINK("http://mitsui.com.au","mitsui.com.au")</f>
        <v>mitsui.com.au</v>
      </c>
      <c r="C24135" t="s">
        <v>420</v>
      </c>
      <c r="D24135" t="s">
        <v>802</v>
      </c>
      <c r="F24135">
        <v>5.62773536328215E-9</v>
      </c>
      <c r="G24135">
        <v>19598642</v>
      </c>
      <c r="H24135">
        <v>13933063</v>
      </c>
      <c r="I24135">
        <v>5051850</v>
      </c>
      <c r="J24135">
        <v>4</v>
      </c>
    </row>
    <row r="24136" spans="1:10" x14ac:dyDescent="0.25">
      <c r="A24136" t="s">
        <v>1640</v>
      </c>
      <c r="B24136" s="1" t="str">
        <f>HYPERLINK("http://blsc.biz","blsc.biz")</f>
        <v>blsc.biz</v>
      </c>
      <c r="C24136" t="s">
        <v>423</v>
      </c>
      <c r="F24136">
        <v>6.5147090472224597E-9</v>
      </c>
      <c r="G24136">
        <v>14017460</v>
      </c>
      <c r="H24136">
        <v>14077926</v>
      </c>
      <c r="I24136">
        <v>2856069</v>
      </c>
      <c r="J24136">
        <v>3</v>
      </c>
    </row>
    <row r="24137" spans="1:10" x14ac:dyDescent="0.25">
      <c r="A24137" t="s">
        <v>1640</v>
      </c>
      <c r="B24137" s="1" t="str">
        <f>HYPERLINK("http://centro-atlantica.com.br","centro-atlantica.com.br")</f>
        <v>centro-atlantica.com.br</v>
      </c>
      <c r="C24137" t="s">
        <v>425</v>
      </c>
      <c r="D24137" t="s">
        <v>806</v>
      </c>
      <c r="F24137">
        <v>5.32060470071611E-9</v>
      </c>
      <c r="G24137">
        <v>23200173</v>
      </c>
      <c r="H24137">
        <v>14072087</v>
      </c>
      <c r="I24137">
        <v>3167200</v>
      </c>
      <c r="J24137">
        <v>6</v>
      </c>
    </row>
    <row r="24138" spans="1:10" x14ac:dyDescent="0.25">
      <c r="A24138" t="s">
        <v>1640</v>
      </c>
      <c r="B24138" s="1" t="str">
        <f>HYPERLINK("http://ecogenbrasil.com.br","ecogenbrasil.com.br")</f>
        <v>ecogenbrasil.com.br</v>
      </c>
      <c r="C24138" t="s">
        <v>425</v>
      </c>
      <c r="D24138" t="s">
        <v>806</v>
      </c>
      <c r="F24138">
        <v>5.95262233290252E-9</v>
      </c>
      <c r="G24138">
        <v>17006090</v>
      </c>
      <c r="H24138">
        <v>11061551</v>
      </c>
      <c r="I24138">
        <v>32666180</v>
      </c>
      <c r="J24138">
        <v>3</v>
      </c>
    </row>
    <row r="24139" spans="1:10" x14ac:dyDescent="0.25">
      <c r="A24139" t="s">
        <v>1640</v>
      </c>
      <c r="B24139" s="1" t="str">
        <f>HYPERLINK("http://mitsui.com.br","mitsui.com.br")</f>
        <v>mitsui.com.br</v>
      </c>
      <c r="C24139" t="s">
        <v>425</v>
      </c>
      <c r="D24139" t="s">
        <v>806</v>
      </c>
      <c r="F24139">
        <v>4.53690136539236E-9</v>
      </c>
      <c r="G24139">
        <v>53698281</v>
      </c>
      <c r="H24139">
        <v>12034794</v>
      </c>
      <c r="I24139">
        <v>27559097</v>
      </c>
      <c r="J24139">
        <v>5</v>
      </c>
    </row>
    <row r="24140" spans="1:10" x14ac:dyDescent="0.25">
      <c r="A24140" t="s">
        <v>1640</v>
      </c>
      <c r="B24140" s="1" t="str">
        <f>HYPERLINK("http://mitsuigas.com.br","mitsuigas.com.br")</f>
        <v>mitsuigas.com.br</v>
      </c>
      <c r="C24140" t="s">
        <v>425</v>
      </c>
      <c r="D24140" t="s">
        <v>806</v>
      </c>
      <c r="F24140">
        <v>5.9701894693368E-9</v>
      </c>
      <c r="G24140">
        <v>16880677</v>
      </c>
      <c r="H24140">
        <v>12126181</v>
      </c>
      <c r="I24140">
        <v>25250615</v>
      </c>
      <c r="J24140">
        <v>5</v>
      </c>
    </row>
    <row r="24141" spans="1:10" x14ac:dyDescent="0.25">
      <c r="A24141" t="s">
        <v>1640</v>
      </c>
      <c r="B24141" s="1" t="str">
        <f>HYPERLINK("http://ourofinoagro.com.br","ourofinoagro.com.br")</f>
        <v>ourofinoagro.com.br</v>
      </c>
      <c r="C24141" t="s">
        <v>425</v>
      </c>
      <c r="D24141" t="s">
        <v>806</v>
      </c>
      <c r="F24141">
        <v>7.5958739076793795E-9</v>
      </c>
      <c r="G24141">
        <v>10803537</v>
      </c>
      <c r="H24141">
        <v>13066486</v>
      </c>
      <c r="I24141">
        <v>12283728</v>
      </c>
      <c r="J24141">
        <v>3</v>
      </c>
    </row>
    <row r="24142" spans="1:10" x14ac:dyDescent="0.25">
      <c r="A24142" t="s">
        <v>1640</v>
      </c>
      <c r="B24142" s="1" t="str">
        <f>HYPERLINK("http://supervia.com.br","supervia.com.br")</f>
        <v>supervia.com.br</v>
      </c>
      <c r="C24142" t="s">
        <v>425</v>
      </c>
      <c r="D24142" t="s">
        <v>806</v>
      </c>
      <c r="F24142">
        <v>2.7146452581988399E-8</v>
      </c>
      <c r="G24142">
        <v>1894409</v>
      </c>
      <c r="H24142">
        <v>14581341</v>
      </c>
      <c r="I24142">
        <v>708532</v>
      </c>
      <c r="J24142">
        <v>4</v>
      </c>
    </row>
    <row r="24143" spans="1:10" x14ac:dyDescent="0.25">
      <c r="A24143" t="s">
        <v>1640</v>
      </c>
      <c r="B24143" s="1" t="str">
        <f>HYPERLINK("http://vli-logistica.com.br","vli-logistica.com.br")</f>
        <v>vli-logistica.com.br</v>
      </c>
      <c r="C24143" t="s">
        <v>425</v>
      </c>
      <c r="D24143" t="s">
        <v>806</v>
      </c>
      <c r="F24143">
        <v>2.5672693012976402E-8</v>
      </c>
      <c r="G24143">
        <v>2008372</v>
      </c>
      <c r="H24143">
        <v>14311690</v>
      </c>
      <c r="I24143">
        <v>1340332</v>
      </c>
      <c r="J24143">
        <v>3</v>
      </c>
    </row>
    <row r="24144" spans="1:10" x14ac:dyDescent="0.25">
      <c r="A24144" t="s">
        <v>1640</v>
      </c>
      <c r="B24144" s="1" t="str">
        <f>HYPERLINK("http://toyota.cl","toyota.cl")</f>
        <v>toyota.cl</v>
      </c>
      <c r="C24144" t="s">
        <v>430</v>
      </c>
      <c r="D24144" t="s">
        <v>811</v>
      </c>
      <c r="F24144">
        <v>1.8309003344930401E-8</v>
      </c>
      <c r="G24144">
        <v>2965632</v>
      </c>
      <c r="H24144">
        <v>14239048</v>
      </c>
      <c r="I24144">
        <v>1517480</v>
      </c>
      <c r="J24144">
        <v>3</v>
      </c>
    </row>
    <row r="24145" spans="1:10" x14ac:dyDescent="0.25">
      <c r="A24145" t="s">
        <v>1640</v>
      </c>
      <c r="B24145" s="1" t="str">
        <f>HYPERLINK("http://mitsuichemicals.cn","mitsuichemicals.cn")</f>
        <v>mitsuichemicals.cn</v>
      </c>
      <c r="C24145" t="s">
        <v>431</v>
      </c>
      <c r="D24145" t="s">
        <v>812</v>
      </c>
      <c r="F24145">
        <v>1.68047041387196E-8</v>
      </c>
      <c r="G24145">
        <v>3332188</v>
      </c>
      <c r="H24145">
        <v>12180309</v>
      </c>
      <c r="I24145">
        <v>23809784</v>
      </c>
      <c r="J24145">
        <v>8</v>
      </c>
    </row>
    <row r="24146" spans="1:10" x14ac:dyDescent="0.25">
      <c r="A24146" t="s">
        <v>1640</v>
      </c>
      <c r="B24146" s="1" t="str">
        <f>HYPERLINK("http://arrk.com","arrk.com")</f>
        <v>arrk.com</v>
      </c>
      <c r="C24146" t="s">
        <v>433</v>
      </c>
      <c r="E24146">
        <v>838777</v>
      </c>
      <c r="F24146">
        <v>6.0537543303976797E-8</v>
      </c>
      <c r="G24146">
        <v>728297</v>
      </c>
      <c r="H24146">
        <v>13498225</v>
      </c>
      <c r="I24146">
        <v>9975751</v>
      </c>
      <c r="J24146">
        <v>8</v>
      </c>
    </row>
    <row r="24147" spans="1:10" x14ac:dyDescent="0.25">
      <c r="A24147" t="s">
        <v>1640</v>
      </c>
      <c r="B24147" s="1" t="str">
        <f>HYPERLINK("http://bafindia.com","bafindia.com")</f>
        <v>bafindia.com</v>
      </c>
      <c r="C24147" t="s">
        <v>433</v>
      </c>
      <c r="F24147">
        <v>1.07126111886567E-8</v>
      </c>
      <c r="G24147">
        <v>6089552</v>
      </c>
      <c r="H24147">
        <v>12500287</v>
      </c>
      <c r="I24147">
        <v>17355401</v>
      </c>
      <c r="J24147">
        <v>4</v>
      </c>
    </row>
    <row r="24148" spans="1:10" x14ac:dyDescent="0.25">
      <c r="A24148" t="s">
        <v>1640</v>
      </c>
      <c r="B24148" s="1" t="str">
        <f>HYPERLINK("http://certisusa.com","certisusa.com")</f>
        <v>certisusa.com</v>
      </c>
      <c r="C24148" t="s">
        <v>433</v>
      </c>
      <c r="F24148">
        <v>2.80044814004807E-8</v>
      </c>
      <c r="G24148">
        <v>1837058</v>
      </c>
      <c r="H24148">
        <v>14327693</v>
      </c>
      <c r="I24148">
        <v>1325594</v>
      </c>
      <c r="J24148">
        <v>3</v>
      </c>
    </row>
    <row r="24149" spans="1:10" x14ac:dyDescent="0.25">
      <c r="A24149" t="s">
        <v>1640</v>
      </c>
      <c r="B24149" s="1" t="str">
        <f>HYPERLINK("http://dispolok.com","dispolok.com")</f>
        <v>dispolok.com</v>
      </c>
      <c r="C24149" t="s">
        <v>433</v>
      </c>
      <c r="F24149">
        <v>5.7056867337197904E-9</v>
      </c>
      <c r="G24149">
        <v>18877739</v>
      </c>
      <c r="H24149">
        <v>12293457</v>
      </c>
      <c r="I24149">
        <v>21000609</v>
      </c>
      <c r="J24149">
        <v>7</v>
      </c>
    </row>
    <row r="24150" spans="1:10" x14ac:dyDescent="0.25">
      <c r="A24150" t="s">
        <v>1640</v>
      </c>
      <c r="B24150" s="1" t="str">
        <f>HYPERLINK("http://ellisontechnologies.com","ellisontechnologies.com")</f>
        <v>ellisontechnologies.com</v>
      </c>
      <c r="C24150" t="s">
        <v>433</v>
      </c>
      <c r="F24150">
        <v>2.1282785088435799E-8</v>
      </c>
      <c r="G24150">
        <v>2476377</v>
      </c>
      <c r="H24150">
        <v>13284259</v>
      </c>
      <c r="I24150">
        <v>10900210</v>
      </c>
      <c r="J24150">
        <v>3</v>
      </c>
    </row>
    <row r="24151" spans="1:10" x14ac:dyDescent="0.25">
      <c r="A24151" t="s">
        <v>1640</v>
      </c>
      <c r="B24151" s="1" t="str">
        <f>HYPERLINK("http://euro-mit-staal.com","euro-mit-staal.com")</f>
        <v>euro-mit-staal.com</v>
      </c>
      <c r="C24151" t="s">
        <v>433</v>
      </c>
      <c r="F24151">
        <v>4.8790015058353199E-9</v>
      </c>
      <c r="G24151">
        <v>33115934</v>
      </c>
      <c r="H24151">
        <v>11382535</v>
      </c>
      <c r="I24151">
        <v>30275843</v>
      </c>
      <c r="J24151">
        <v>3</v>
      </c>
    </row>
    <row r="24152" spans="1:10" x14ac:dyDescent="0.25">
      <c r="A24152" t="s">
        <v>1640</v>
      </c>
      <c r="B24152" s="1" t="str">
        <f>HYPERLINK("http://forseepower.com","forseepower.com")</f>
        <v>forseepower.com</v>
      </c>
      <c r="C24152" t="s">
        <v>433</v>
      </c>
      <c r="F24152">
        <v>3.9347114466525E-8</v>
      </c>
      <c r="G24152">
        <v>1311535</v>
      </c>
      <c r="H24152">
        <v>13589075</v>
      </c>
      <c r="I24152">
        <v>9670224</v>
      </c>
      <c r="J24152">
        <v>3</v>
      </c>
    </row>
    <row r="24153" spans="1:10" x14ac:dyDescent="0.25">
      <c r="A24153" t="s">
        <v>1640</v>
      </c>
      <c r="B24153" s="1" t="str">
        <f>HYPERLINK("http://gegroup.com","gegroup.com")</f>
        <v>gegroup.com</v>
      </c>
      <c r="C24153" t="s">
        <v>433</v>
      </c>
      <c r="F24153">
        <v>1.9275039319935301E-8</v>
      </c>
      <c r="G24153">
        <v>2786173</v>
      </c>
      <c r="H24153">
        <v>12535920</v>
      </c>
      <c r="I24153">
        <v>16978953</v>
      </c>
      <c r="J24153">
        <v>9</v>
      </c>
    </row>
    <row r="24154" spans="1:10" x14ac:dyDescent="0.25">
      <c r="A24154" t="s">
        <v>1640</v>
      </c>
      <c r="B24154" s="1" t="str">
        <f>HYPERLINK("http://hinomexico.com","hinomexico.com")</f>
        <v>hinomexico.com</v>
      </c>
      <c r="C24154" t="s">
        <v>433</v>
      </c>
      <c r="F24154">
        <v>4.9163176477356802E-9</v>
      </c>
      <c r="G24154">
        <v>31944794</v>
      </c>
      <c r="H24154">
        <v>12262335</v>
      </c>
      <c r="I24154">
        <v>21701738</v>
      </c>
      <c r="J24154">
        <v>3</v>
      </c>
    </row>
    <row r="24155" spans="1:10" x14ac:dyDescent="0.25">
      <c r="A24155" t="s">
        <v>1640</v>
      </c>
      <c r="B24155" s="1" t="str">
        <f>HYPERLINK("http://ibismaterials.com","ibismaterials.com")</f>
        <v>ibismaterials.com</v>
      </c>
      <c r="C24155" t="s">
        <v>433</v>
      </c>
      <c r="F24155">
        <v>5.1922073209658904E-9</v>
      </c>
      <c r="G24155">
        <v>25300675</v>
      </c>
      <c r="H24155">
        <v>12829081</v>
      </c>
      <c r="I24155">
        <v>14435639</v>
      </c>
      <c r="J24155">
        <v>7</v>
      </c>
    </row>
    <row r="24156" spans="1:10" x14ac:dyDescent="0.25">
      <c r="A24156" t="s">
        <v>1640</v>
      </c>
      <c r="B24156" s="1" t="str">
        <f>HYPERLINK("http://iterm.com","iterm.com")</f>
        <v>iterm.com</v>
      </c>
      <c r="C24156" t="s">
        <v>433</v>
      </c>
      <c r="F24156">
        <v>1.6657497147022699E-8</v>
      </c>
      <c r="G24156">
        <v>3375128</v>
      </c>
      <c r="H24156">
        <v>13953946</v>
      </c>
      <c r="I24156">
        <v>4147671</v>
      </c>
      <c r="J24156">
        <v>3</v>
      </c>
    </row>
    <row r="24157" spans="1:10" x14ac:dyDescent="0.25">
      <c r="A24157" t="s">
        <v>1640</v>
      </c>
      <c r="B24157" s="1" t="str">
        <f>HYPERLINK("http://mbcl.com","mbcl.com")</f>
        <v>mbcl.com</v>
      </c>
      <c r="C24157" t="s">
        <v>433</v>
      </c>
      <c r="F24157">
        <v>7.1192093707908998E-9</v>
      </c>
      <c r="G24157">
        <v>11961416</v>
      </c>
      <c r="H24157">
        <v>13219711</v>
      </c>
      <c r="I24157">
        <v>11338108</v>
      </c>
      <c r="J24157">
        <v>4</v>
      </c>
    </row>
    <row r="24158" spans="1:10" x14ac:dyDescent="0.25">
      <c r="A24158" t="s">
        <v>1640</v>
      </c>
      <c r="B24158" s="1" t="str">
        <f>HYPERLINK("http://mbclme.com","mbclme.com")</f>
        <v>mbclme.com</v>
      </c>
      <c r="C24158" t="s">
        <v>433</v>
      </c>
      <c r="F24158">
        <v>5.6465734579761698E-9</v>
      </c>
      <c r="G24158">
        <v>19422907</v>
      </c>
      <c r="H24158">
        <v>10357931</v>
      </c>
      <c r="I24158">
        <v>55557517</v>
      </c>
      <c r="J24158">
        <v>6</v>
      </c>
    </row>
    <row r="24159" spans="1:10" x14ac:dyDescent="0.25">
      <c r="A24159" t="s">
        <v>1640</v>
      </c>
      <c r="B24159" s="1" t="str">
        <f>HYPERLINK("http://mbk-packaging.com","mbk-packaging.com")</f>
        <v>mbk-packaging.com</v>
      </c>
      <c r="C24159" t="s">
        <v>433</v>
      </c>
      <c r="F24159">
        <v>6.18852022416082E-9</v>
      </c>
      <c r="G24159">
        <v>15596325</v>
      </c>
      <c r="H24159">
        <v>14072624</v>
      </c>
      <c r="I24159">
        <v>3065368</v>
      </c>
      <c r="J24159">
        <v>3</v>
      </c>
    </row>
    <row r="24160" spans="1:10" x14ac:dyDescent="0.25">
      <c r="A24160" t="s">
        <v>1640</v>
      </c>
      <c r="B24160" s="1" t="str">
        <f>HYPERLINK("http://mcbs-job.com","mcbs-job.com")</f>
        <v>mcbs-job.com</v>
      </c>
      <c r="C24160" t="s">
        <v>433</v>
      </c>
      <c r="J24160">
        <v>7</v>
      </c>
    </row>
    <row r="24161" spans="1:10" x14ac:dyDescent="0.25">
      <c r="A24161" t="s">
        <v>1640</v>
      </c>
      <c r="B24161" s="1" t="str">
        <f>HYPERLINK("http://mci-shayukai.com","mci-shayukai.com")</f>
        <v>mci-shayukai.com</v>
      </c>
      <c r="C24161" t="s">
        <v>433</v>
      </c>
      <c r="F24161">
        <v>4.6618595660043804E-9</v>
      </c>
      <c r="G24161">
        <v>43406174</v>
      </c>
      <c r="H24161">
        <v>11919087</v>
      </c>
      <c r="I24161">
        <v>29381243</v>
      </c>
      <c r="J24161">
        <v>7</v>
      </c>
    </row>
    <row r="24162" spans="1:10" x14ac:dyDescent="0.25">
      <c r="A24162" t="s">
        <v>1640</v>
      </c>
      <c r="B24162" s="1" t="str">
        <f>HYPERLINK("http://mitsui.com","mitsui.com")</f>
        <v>mitsui.com</v>
      </c>
      <c r="C24162" t="s">
        <v>433</v>
      </c>
      <c r="E24162">
        <v>75837</v>
      </c>
      <c r="F24162">
        <v>6.1189070326391997E-7</v>
      </c>
      <c r="G24162">
        <v>62535</v>
      </c>
      <c r="H24162">
        <v>17257118</v>
      </c>
      <c r="I24162">
        <v>33045</v>
      </c>
      <c r="J24162">
        <v>1</v>
      </c>
    </row>
    <row r="24163" spans="1:10" x14ac:dyDescent="0.25">
      <c r="A24163" t="s">
        <v>1640</v>
      </c>
      <c r="B24163" s="1" t="str">
        <f>HYPERLINK("http://mitsui-agro.com","mitsui-agro.com")</f>
        <v>mitsui-agro.com</v>
      </c>
      <c r="C24163" t="s">
        <v>433</v>
      </c>
      <c r="F24163">
        <v>2.8831224743896601E-8</v>
      </c>
      <c r="G24163">
        <v>1785200</v>
      </c>
      <c r="H24163">
        <v>14103553</v>
      </c>
      <c r="I24163">
        <v>2695737</v>
      </c>
      <c r="J24163">
        <v>7</v>
      </c>
    </row>
    <row r="24164" spans="1:10" x14ac:dyDescent="0.25">
      <c r="A24164" t="s">
        <v>1640</v>
      </c>
      <c r="B24164" s="1" t="str">
        <f>HYPERLINK("http://mitsui-ai.com","mitsui-ai.com")</f>
        <v>mitsui-ai.com</v>
      </c>
      <c r="C24164" t="s">
        <v>433</v>
      </c>
      <c r="F24164">
        <v>8.4079110950989595E-9</v>
      </c>
      <c r="G24164">
        <v>9026757</v>
      </c>
      <c r="H24164">
        <v>12146336</v>
      </c>
      <c r="I24164">
        <v>24717351</v>
      </c>
      <c r="J24164">
        <v>4</v>
      </c>
    </row>
    <row r="24165" spans="1:10" x14ac:dyDescent="0.25">
      <c r="A24165" t="s">
        <v>1640</v>
      </c>
      <c r="B24165" s="1" t="str">
        <f>HYPERLINK("http://mitsui-am.com","mitsui-am.com")</f>
        <v>mitsui-am.com</v>
      </c>
      <c r="C24165" t="s">
        <v>433</v>
      </c>
      <c r="F24165">
        <v>7.5874463320388495E-9</v>
      </c>
      <c r="G24165">
        <v>10821392</v>
      </c>
      <c r="H24165">
        <v>14072626</v>
      </c>
      <c r="I24165">
        <v>3064921</v>
      </c>
      <c r="J24165">
        <v>3</v>
      </c>
    </row>
    <row r="24166" spans="1:10" x14ac:dyDescent="0.25">
      <c r="A24166" t="s">
        <v>1640</v>
      </c>
      <c r="B24166" s="1" t="str">
        <f>HYPERLINK("http://mitsui-ep.com","mitsui-ep.com")</f>
        <v>mitsui-ep.com</v>
      </c>
      <c r="C24166" t="s">
        <v>433</v>
      </c>
      <c r="F24166">
        <v>6.1849564221659198E-9</v>
      </c>
      <c r="G24166">
        <v>15614438</v>
      </c>
      <c r="H24166">
        <v>12221798</v>
      </c>
      <c r="I24166">
        <v>22752100</v>
      </c>
      <c r="J24166">
        <v>4</v>
      </c>
    </row>
    <row r="24167" spans="1:10" x14ac:dyDescent="0.25">
      <c r="A24167" t="s">
        <v>1640</v>
      </c>
      <c r="B24167" s="1" t="str">
        <f>HYPERLINK("http://mitsui-kinzoku.com","mitsui-kinzoku.com")</f>
        <v>mitsui-kinzoku.com</v>
      </c>
      <c r="C24167" t="s">
        <v>433</v>
      </c>
      <c r="F24167">
        <v>4.0602637735008502E-8</v>
      </c>
      <c r="G24167">
        <v>1275821</v>
      </c>
      <c r="H24167">
        <v>14271771</v>
      </c>
      <c r="I24167">
        <v>1396230</v>
      </c>
      <c r="J24167">
        <v>5</v>
      </c>
    </row>
    <row r="24168" spans="1:10" x14ac:dyDescent="0.25">
      <c r="A24168" t="s">
        <v>1640</v>
      </c>
      <c r="B24168" s="1" t="str">
        <f>HYPERLINK("http://mitsuiautofinance.com","mitsuiautofinance.com")</f>
        <v>mitsuiautofinance.com</v>
      </c>
      <c r="C24168" t="s">
        <v>433</v>
      </c>
      <c r="J24168">
        <v>3</v>
      </c>
    </row>
    <row r="24169" spans="1:10" x14ac:dyDescent="0.25">
      <c r="A24169" t="s">
        <v>1640</v>
      </c>
      <c r="B24169" s="1" t="str">
        <f>HYPERLINK("http://mitsuiautomotriz.com","mitsuiautomotriz.com")</f>
        <v>mitsuiautomotriz.com</v>
      </c>
      <c r="C24169" t="s">
        <v>433</v>
      </c>
      <c r="F24169">
        <v>6.9086349065277498E-9</v>
      </c>
      <c r="G24169">
        <v>12594372</v>
      </c>
      <c r="H24169">
        <v>11484973</v>
      </c>
      <c r="I24169">
        <v>30057450</v>
      </c>
      <c r="J24169">
        <v>3</v>
      </c>
    </row>
    <row r="24170" spans="1:10" x14ac:dyDescent="0.25">
      <c r="A24170" t="s">
        <v>1640</v>
      </c>
      <c r="B24170" s="1" t="str">
        <f>HYPERLINK("http://mitsuibussancommodities.com","mitsuibussancommodities.com")</f>
        <v>mitsuibussancommodities.com</v>
      </c>
      <c r="C24170" t="s">
        <v>433</v>
      </c>
      <c r="F24170">
        <v>1.41500664899633E-8</v>
      </c>
      <c r="G24170">
        <v>4147298</v>
      </c>
      <c r="H24170">
        <v>13780462</v>
      </c>
      <c r="I24170">
        <v>6471817</v>
      </c>
      <c r="J24170">
        <v>4</v>
      </c>
    </row>
    <row r="24171" spans="1:10" x14ac:dyDescent="0.25">
      <c r="A24171" t="s">
        <v>1640</v>
      </c>
      <c r="B24171" s="1" t="str">
        <f>HYPERLINK("http://mitsuichem.com","mitsuichem.com")</f>
        <v>mitsuichem.com</v>
      </c>
      <c r="C24171" t="s">
        <v>433</v>
      </c>
      <c r="E24171">
        <v>613862</v>
      </c>
      <c r="F24171">
        <v>1.3251478418706199E-7</v>
      </c>
      <c r="G24171">
        <v>294906</v>
      </c>
      <c r="H24171">
        <v>14681812</v>
      </c>
      <c r="I24171">
        <v>607811</v>
      </c>
      <c r="J24171">
        <v>4</v>
      </c>
    </row>
    <row r="24172" spans="1:10" x14ac:dyDescent="0.25">
      <c r="A24172" t="s">
        <v>1640</v>
      </c>
      <c r="B24172" s="1" t="str">
        <f>HYPERLINK("http://mitsuichemicals.com","mitsuichemicals.com")</f>
        <v>mitsuichemicals.com</v>
      </c>
      <c r="C24172" t="s">
        <v>433</v>
      </c>
      <c r="E24172">
        <v>143548</v>
      </c>
      <c r="F24172">
        <v>2.7710023010947599E-7</v>
      </c>
      <c r="G24172">
        <v>134240</v>
      </c>
      <c r="H24172">
        <v>14548913</v>
      </c>
      <c r="I24172">
        <v>762223</v>
      </c>
      <c r="J24172">
        <v>7</v>
      </c>
    </row>
    <row r="24173" spans="1:10" x14ac:dyDescent="0.25">
      <c r="A24173" t="s">
        <v>1640</v>
      </c>
      <c r="B24173" s="1" t="str">
        <f>HYPERLINK("http://mitsuifoods.com","mitsuifoods.com")</f>
        <v>mitsuifoods.com</v>
      </c>
      <c r="C24173" t="s">
        <v>433</v>
      </c>
      <c r="F24173">
        <v>6.1452611220884002E-9</v>
      </c>
      <c r="G24173">
        <v>15831361</v>
      </c>
      <c r="H24173">
        <v>11409457</v>
      </c>
      <c r="I24173">
        <v>30198102</v>
      </c>
      <c r="J24173">
        <v>4</v>
      </c>
    </row>
    <row r="24174" spans="1:10" x14ac:dyDescent="0.25">
      <c r="A24174" t="s">
        <v>1640</v>
      </c>
      <c r="B24174" s="1" t="str">
        <f>HYPERLINK("http://mitsuipr.com","mitsuipr.com")</f>
        <v>mitsuipr.com</v>
      </c>
      <c r="C24174" t="s">
        <v>433</v>
      </c>
      <c r="F24174">
        <v>3.6566454167449901E-8</v>
      </c>
      <c r="G24174">
        <v>1428272</v>
      </c>
      <c r="H24174">
        <v>14455780</v>
      </c>
      <c r="I24174">
        <v>1049689</v>
      </c>
      <c r="J24174">
        <v>3</v>
      </c>
    </row>
    <row r="24175" spans="1:10" x14ac:dyDescent="0.25">
      <c r="A24175" t="s">
        <v>1640</v>
      </c>
      <c r="B24175" s="1" t="str">
        <f>HYPERLINK("http://mokmbs.com","mokmbs.com")</f>
        <v>mokmbs.com</v>
      </c>
      <c r="C24175" t="s">
        <v>433</v>
      </c>
      <c r="F24175">
        <v>9.4513655532628202E-9</v>
      </c>
      <c r="G24175">
        <v>7381087</v>
      </c>
      <c r="H24175">
        <v>10831151</v>
      </c>
      <c r="I24175">
        <v>37367657</v>
      </c>
      <c r="J24175">
        <v>3</v>
      </c>
    </row>
    <row r="24176" spans="1:10" x14ac:dyDescent="0.25">
      <c r="A24176" t="s">
        <v>1640</v>
      </c>
      <c r="B24176" s="1" t="str">
        <f>HYPERLINK("http://novusint.com","novusint.com")</f>
        <v>novusint.com</v>
      </c>
      <c r="C24176" t="s">
        <v>433</v>
      </c>
      <c r="E24176">
        <v>424685</v>
      </c>
      <c r="F24176">
        <v>7.1576026476368994E-8</v>
      </c>
      <c r="G24176">
        <v>590330</v>
      </c>
      <c r="H24176">
        <v>14276426</v>
      </c>
      <c r="I24176">
        <v>1389513</v>
      </c>
      <c r="J24176">
        <v>3</v>
      </c>
    </row>
    <row r="24177" spans="1:10" x14ac:dyDescent="0.25">
      <c r="A24177" t="s">
        <v>1640</v>
      </c>
      <c r="B24177" s="1" t="str">
        <f>HYPERLINK("http://ourofinoagrociencia.com","ourofinoagrociencia.com")</f>
        <v>ourofinoagrociencia.com</v>
      </c>
      <c r="C24177" t="s">
        <v>433</v>
      </c>
      <c r="F24177">
        <v>4.5352114853058E-9</v>
      </c>
      <c r="G24177">
        <v>53918687</v>
      </c>
      <c r="H24177">
        <v>10509241</v>
      </c>
      <c r="I24177">
        <v>49845870</v>
      </c>
      <c r="J24177">
        <v>6</v>
      </c>
    </row>
    <row r="24178" spans="1:10" x14ac:dyDescent="0.25">
      <c r="A24178" t="s">
        <v>1640</v>
      </c>
      <c r="B24178" s="1" t="str">
        <f>HYPERLINK("http://paitonenergy.com","paitonenergy.com")</f>
        <v>paitonenergy.com</v>
      </c>
      <c r="C24178" t="s">
        <v>433</v>
      </c>
      <c r="F24178">
        <v>7.7062191930034401E-9</v>
      </c>
      <c r="G24178">
        <v>10558518</v>
      </c>
      <c r="H24178">
        <v>12351331</v>
      </c>
      <c r="I24178">
        <v>19745226</v>
      </c>
      <c r="J24178">
        <v>3</v>
      </c>
    </row>
    <row r="24179" spans="1:10" x14ac:dyDescent="0.25">
      <c r="A24179" t="s">
        <v>1640</v>
      </c>
      <c r="B24179" s="1" t="str">
        <f>HYPERLINK("http://plalloy.com","plalloy.com")</f>
        <v>plalloy.com</v>
      </c>
      <c r="C24179" t="s">
        <v>433</v>
      </c>
      <c r="F24179">
        <v>5.2598660971668104E-9</v>
      </c>
      <c r="G24179">
        <v>24105892</v>
      </c>
      <c r="H24179">
        <v>12237119</v>
      </c>
      <c r="I24179">
        <v>22329509</v>
      </c>
      <c r="J24179">
        <v>4</v>
      </c>
    </row>
    <row r="24180" spans="1:10" x14ac:dyDescent="0.25">
      <c r="A24180" t="s">
        <v>1640</v>
      </c>
      <c r="B24180" s="1" t="str">
        <f>HYPERLINK("http://portek.com","portek.com")</f>
        <v>portek.com</v>
      </c>
      <c r="C24180" t="s">
        <v>433</v>
      </c>
      <c r="E24180">
        <v>642057</v>
      </c>
      <c r="F24180">
        <v>1.6462712635015E-8</v>
      </c>
      <c r="G24180">
        <v>3423148</v>
      </c>
      <c r="H24180">
        <v>14083867</v>
      </c>
      <c r="I24180">
        <v>2790833</v>
      </c>
      <c r="J24180">
        <v>3</v>
      </c>
    </row>
    <row r="24181" spans="1:10" x14ac:dyDescent="0.25">
      <c r="A24181" t="s">
        <v>1640</v>
      </c>
      <c r="B24181" s="1" t="str">
        <f>HYPERLINK("http://regencysteelasia.com","regencysteelasia.com")</f>
        <v>regencysteelasia.com</v>
      </c>
      <c r="C24181" t="s">
        <v>433</v>
      </c>
      <c r="F24181">
        <v>4.5299769875833597E-9</v>
      </c>
      <c r="G24181">
        <v>55060510</v>
      </c>
      <c r="H24181">
        <v>10897487</v>
      </c>
      <c r="I24181">
        <v>35895863</v>
      </c>
      <c r="J24181">
        <v>6</v>
      </c>
    </row>
    <row r="24182" spans="1:10" x14ac:dyDescent="0.25">
      <c r="A24182" t="s">
        <v>1640</v>
      </c>
      <c r="B24182" s="1" t="str">
        <f>HYPERLINK("http://relia-group.com","relia-group.com")</f>
        <v>relia-group.com</v>
      </c>
      <c r="C24182" t="s">
        <v>433</v>
      </c>
      <c r="F24182">
        <v>3.7117859671167599E-8</v>
      </c>
      <c r="G24182">
        <v>1396021</v>
      </c>
      <c r="H24182">
        <v>13475294</v>
      </c>
      <c r="I24182">
        <v>10022024</v>
      </c>
      <c r="J24182">
        <v>3</v>
      </c>
    </row>
    <row r="24183" spans="1:10" x14ac:dyDescent="0.25">
      <c r="A24183" t="s">
        <v>1640</v>
      </c>
      <c r="B24183" s="1" t="str">
        <f>HYPERLINK("http://smb-kenzai.com","smb-kenzai.com")</f>
        <v>smb-kenzai.com</v>
      </c>
      <c r="C24183" t="s">
        <v>433</v>
      </c>
      <c r="F24183">
        <v>1.27237978568222E-8</v>
      </c>
      <c r="G24183">
        <v>4767469</v>
      </c>
      <c r="H24183">
        <v>14086402</v>
      </c>
      <c r="I24183">
        <v>2770399</v>
      </c>
      <c r="J24183">
        <v>3</v>
      </c>
    </row>
    <row r="24184" spans="1:10" x14ac:dyDescent="0.25">
      <c r="A24184" t="s">
        <v>1640</v>
      </c>
      <c r="B24184" s="1" t="str">
        <f>HYPERLINK("http://touchfocus.com","touchfocus.com")</f>
        <v>touchfocus.com</v>
      </c>
      <c r="C24184" t="s">
        <v>433</v>
      </c>
      <c r="F24184">
        <v>9.1448979321239006E-9</v>
      </c>
      <c r="G24184">
        <v>7785327</v>
      </c>
      <c r="H24184">
        <v>13258960</v>
      </c>
      <c r="I24184">
        <v>11045024</v>
      </c>
      <c r="J24184">
        <v>7</v>
      </c>
    </row>
    <row r="24185" spans="1:10" x14ac:dyDescent="0.25">
      <c r="A24185" t="s">
        <v>1640</v>
      </c>
      <c r="B24185" s="1" t="str">
        <f>HYPERLINK("http://toyosenpaku.com","toyosenpaku.com")</f>
        <v>toyosenpaku.com</v>
      </c>
      <c r="C24185" t="s">
        <v>433</v>
      </c>
      <c r="F24185">
        <v>1.1484829514542001E-8</v>
      </c>
      <c r="G24185">
        <v>5515736</v>
      </c>
      <c r="H24185">
        <v>14089128</v>
      </c>
      <c r="I24185">
        <v>2755304</v>
      </c>
      <c r="J24185">
        <v>3</v>
      </c>
    </row>
    <row r="24186" spans="1:10" x14ac:dyDescent="0.25">
      <c r="A24186" t="s">
        <v>1640</v>
      </c>
      <c r="B24186" s="1" t="str">
        <f>HYPERLINK("http://vli-logistica.com","vli-logistica.com")</f>
        <v>vli-logistica.com</v>
      </c>
      <c r="C24186" t="s">
        <v>433</v>
      </c>
      <c r="F24186">
        <v>9.2545878062848092E-9</v>
      </c>
      <c r="G24186">
        <v>7632457</v>
      </c>
      <c r="H24186">
        <v>14240206</v>
      </c>
      <c r="I24186">
        <v>1503374</v>
      </c>
      <c r="J24186">
        <v>3</v>
      </c>
    </row>
    <row r="24187" spans="1:10" x14ac:dyDescent="0.25">
      <c r="A24187" t="s">
        <v>1640</v>
      </c>
      <c r="B24187" s="1" t="str">
        <f>HYPERLINK("http://wholeyou.com","wholeyou.com")</f>
        <v>wholeyou.com</v>
      </c>
      <c r="C24187" t="s">
        <v>433</v>
      </c>
      <c r="F24187">
        <v>1.7672373672639498E-8</v>
      </c>
      <c r="G24187">
        <v>3102692</v>
      </c>
      <c r="H24187">
        <v>12501789</v>
      </c>
      <c r="I24187">
        <v>17343066</v>
      </c>
      <c r="J24187">
        <v>7</v>
      </c>
    </row>
    <row r="24188" spans="1:10" x14ac:dyDescent="0.25">
      <c r="A24188" t="s">
        <v>1640</v>
      </c>
      <c r="B24188" s="1" t="str">
        <f>HYPERLINK("http://yamaha-motor-india.com","yamaha-motor-india.com")</f>
        <v>yamaha-motor-india.com</v>
      </c>
      <c r="C24188" t="s">
        <v>433</v>
      </c>
      <c r="E24188">
        <v>152291</v>
      </c>
      <c r="F24188">
        <v>7.3296222100520796E-8</v>
      </c>
      <c r="G24188">
        <v>575118</v>
      </c>
      <c r="H24188">
        <v>15346279</v>
      </c>
      <c r="I24188">
        <v>383029</v>
      </c>
      <c r="J24188">
        <v>3</v>
      </c>
    </row>
    <row r="24189" spans="1:10" x14ac:dyDescent="0.25">
      <c r="A24189" t="s">
        <v>1640</v>
      </c>
      <c r="B24189" s="1" t="str">
        <f>HYPERLINK("http://spiess-urania.de","spiess-urania.de")</f>
        <v>spiess-urania.de</v>
      </c>
      <c r="C24189" t="s">
        <v>436</v>
      </c>
      <c r="D24189" t="s">
        <v>815</v>
      </c>
      <c r="F24189">
        <v>4.44380395335525E-9</v>
      </c>
      <c r="G24189">
        <v>84551581</v>
      </c>
      <c r="H24189">
        <v>0</v>
      </c>
      <c r="I24189">
        <v>85625440</v>
      </c>
      <c r="J24189">
        <v>4</v>
      </c>
    </row>
    <row r="24190" spans="1:10" x14ac:dyDescent="0.25">
      <c r="A24190" t="s">
        <v>1640</v>
      </c>
      <c r="B24190" s="1" t="str">
        <f>HYPERLINK("http://mrce.eu","mrce.eu")</f>
        <v>mrce.eu</v>
      </c>
      <c r="C24190" t="s">
        <v>444</v>
      </c>
      <c r="F24190">
        <v>4.1479456410296602E-8</v>
      </c>
      <c r="G24190">
        <v>1202032</v>
      </c>
      <c r="H24190">
        <v>14682531</v>
      </c>
      <c r="I24190">
        <v>607322</v>
      </c>
      <c r="J24190">
        <v>4</v>
      </c>
    </row>
    <row r="24191" spans="1:10" x14ac:dyDescent="0.25">
      <c r="A24191" t="s">
        <v>1640</v>
      </c>
      <c r="B24191" s="1" t="str">
        <f>HYPERLINK("http://hexagongroup.fi","hexagongroup.fi")</f>
        <v>hexagongroup.fi</v>
      </c>
      <c r="C24191" t="s">
        <v>445</v>
      </c>
      <c r="D24191" t="s">
        <v>823</v>
      </c>
      <c r="J24191">
        <v>4</v>
      </c>
    </row>
    <row r="24192" spans="1:10" x14ac:dyDescent="0.25">
      <c r="A24192" t="s">
        <v>1640</v>
      </c>
      <c r="B24192" s="1" t="str">
        <f>HYPERLINK("http://baf.co.id","baf.co.id")</f>
        <v>baf.co.id</v>
      </c>
      <c r="C24192" t="s">
        <v>454</v>
      </c>
      <c r="D24192" t="s">
        <v>831</v>
      </c>
      <c r="F24192">
        <v>5.7397691829212198E-9</v>
      </c>
      <c r="G24192">
        <v>18582180</v>
      </c>
      <c r="H24192">
        <v>10609421</v>
      </c>
      <c r="I24192">
        <v>44589157</v>
      </c>
      <c r="J24192">
        <v>3</v>
      </c>
    </row>
    <row r="24193" spans="1:10" x14ac:dyDescent="0.25">
      <c r="A24193" t="s">
        <v>1640</v>
      </c>
      <c r="B24193" s="1" t="str">
        <f>HYPERLINK("http://mitsui.it","mitsui.it")</f>
        <v>mitsui.it</v>
      </c>
      <c r="C24193" t="s">
        <v>459</v>
      </c>
      <c r="D24193" t="s">
        <v>835</v>
      </c>
      <c r="F24193">
        <v>4.4695935674565499E-9</v>
      </c>
      <c r="G24193">
        <v>64667173</v>
      </c>
      <c r="H24193">
        <v>10951888</v>
      </c>
      <c r="I24193">
        <v>34538931</v>
      </c>
      <c r="J24193">
        <v>4</v>
      </c>
    </row>
    <row r="24194" spans="1:10" x14ac:dyDescent="0.25">
      <c r="A24194" t="s">
        <v>1640</v>
      </c>
      <c r="B24194" s="1" t="str">
        <f>HYPERLINK("http://amazon-aluminium.jp","amazon-aluminium.jp")</f>
        <v>amazon-aluminium.jp</v>
      </c>
      <c r="C24194" t="s">
        <v>461</v>
      </c>
      <c r="D24194" t="s">
        <v>837</v>
      </c>
      <c r="F24194">
        <v>5.1741675300695399E-9</v>
      </c>
      <c r="G24194">
        <v>25650904</v>
      </c>
      <c r="H24194">
        <v>14071790</v>
      </c>
      <c r="I24194">
        <v>3521141</v>
      </c>
      <c r="J24194">
        <v>3</v>
      </c>
    </row>
    <row r="24195" spans="1:10" x14ac:dyDescent="0.25">
      <c r="A24195" t="s">
        <v>1640</v>
      </c>
      <c r="B24195" s="1" t="str">
        <f>HYPERLINK("http://aramark-uniform.co.jp","aramark-uniform.co.jp")</f>
        <v>aramark-uniform.co.jp</v>
      </c>
      <c r="C24195" t="s">
        <v>461</v>
      </c>
      <c r="D24195" t="s">
        <v>837</v>
      </c>
      <c r="E24195">
        <v>635681</v>
      </c>
      <c r="F24195">
        <v>8.3298753732263597E-9</v>
      </c>
      <c r="G24195">
        <v>9189482</v>
      </c>
      <c r="H24195">
        <v>12247392</v>
      </c>
      <c r="I24195">
        <v>22064822</v>
      </c>
      <c r="J24195">
        <v>3</v>
      </c>
    </row>
    <row r="24196" spans="1:10" x14ac:dyDescent="0.25">
      <c r="A24196" t="s">
        <v>1640</v>
      </c>
      <c r="B24196" s="1" t="str">
        <f>HYPERLINK("http://arrk.co.jp","arrk.co.jp")</f>
        <v>arrk.co.jp</v>
      </c>
      <c r="C24196" t="s">
        <v>461</v>
      </c>
      <c r="D24196" t="s">
        <v>837</v>
      </c>
      <c r="F24196">
        <v>1.23606658097282E-8</v>
      </c>
      <c r="G24196">
        <v>4960654</v>
      </c>
      <c r="H24196">
        <v>14089022</v>
      </c>
      <c r="I24196">
        <v>2755776</v>
      </c>
      <c r="J24196">
        <v>7</v>
      </c>
    </row>
    <row r="24197" spans="1:10" x14ac:dyDescent="0.25">
      <c r="A24197" t="s">
        <v>1640</v>
      </c>
      <c r="B24197" s="1" t="str">
        <f>HYPERLINK("http://bfsci.co.jp","bfsci.co.jp")</f>
        <v>bfsci.co.jp</v>
      </c>
      <c r="C24197" t="s">
        <v>461</v>
      </c>
      <c r="D24197" t="s">
        <v>837</v>
      </c>
      <c r="F24197">
        <v>1.06631937013097E-8</v>
      </c>
      <c r="G24197">
        <v>6130534</v>
      </c>
      <c r="H24197">
        <v>14076620</v>
      </c>
      <c r="I24197">
        <v>2883218</v>
      </c>
      <c r="J24197">
        <v>3</v>
      </c>
    </row>
    <row r="24198" spans="1:10" x14ac:dyDescent="0.25">
      <c r="A24198" t="s">
        <v>1640</v>
      </c>
      <c r="B24198" s="1" t="str">
        <f>HYPERLINK("http://eneos-globe.co.jp","eneos-globe.co.jp")</f>
        <v>eneos-globe.co.jp</v>
      </c>
      <c r="C24198" t="s">
        <v>461</v>
      </c>
      <c r="D24198" t="s">
        <v>837</v>
      </c>
      <c r="F24198">
        <v>9.0770348539070598E-9</v>
      </c>
      <c r="G24198">
        <v>7878861</v>
      </c>
      <c r="H24198">
        <v>12164010</v>
      </c>
      <c r="I24198">
        <v>24255797</v>
      </c>
      <c r="J24198">
        <v>3</v>
      </c>
    </row>
    <row r="24199" spans="1:10" x14ac:dyDescent="0.25">
      <c r="A24199" t="s">
        <v>1640</v>
      </c>
      <c r="B24199" s="1" t="str">
        <f>HYPERLINK("http://feed-one.co.jp","feed-one.co.jp")</f>
        <v>feed-one.co.jp</v>
      </c>
      <c r="C24199" t="s">
        <v>461</v>
      </c>
      <c r="D24199" t="s">
        <v>837</v>
      </c>
      <c r="F24199">
        <v>1.8686151187647399E-8</v>
      </c>
      <c r="G24199">
        <v>2891820</v>
      </c>
      <c r="H24199">
        <v>14087511</v>
      </c>
      <c r="I24199">
        <v>2763301</v>
      </c>
      <c r="J24199">
        <v>3</v>
      </c>
    </row>
    <row r="24200" spans="1:10" x14ac:dyDescent="0.25">
      <c r="A24200" t="s">
        <v>1640</v>
      </c>
      <c r="B24200" s="1" t="str">
        <f>HYPERLINK("http://honshuchemical.co.jp","honshuchemical.co.jp")</f>
        <v>honshuchemical.co.jp</v>
      </c>
      <c r="C24200" t="s">
        <v>461</v>
      </c>
      <c r="D24200" t="s">
        <v>837</v>
      </c>
      <c r="F24200">
        <v>1.09714345243132E-8</v>
      </c>
      <c r="G24200">
        <v>5883126</v>
      </c>
      <c r="H24200">
        <v>13210540</v>
      </c>
      <c r="I24200">
        <v>11411463</v>
      </c>
      <c r="J24200">
        <v>3</v>
      </c>
    </row>
    <row r="24201" spans="1:10" x14ac:dyDescent="0.25">
      <c r="A24201" t="s">
        <v>1640</v>
      </c>
      <c r="B24201" s="1" t="str">
        <f>HYPERLINK("http://ititan.co.jp","ititan.co.jp")</f>
        <v>ititan.co.jp</v>
      </c>
      <c r="C24201" t="s">
        <v>461</v>
      </c>
      <c r="D24201" t="s">
        <v>837</v>
      </c>
      <c r="F24201">
        <v>6.1198653827096898E-9</v>
      </c>
      <c r="G24201">
        <v>15980588</v>
      </c>
      <c r="H24201">
        <v>14071795</v>
      </c>
      <c r="I24201">
        <v>3340403</v>
      </c>
      <c r="J24201">
        <v>3</v>
      </c>
    </row>
    <row r="24202" spans="1:10" x14ac:dyDescent="0.25">
      <c r="A24202" t="s">
        <v>1640</v>
      </c>
      <c r="B24202" s="1" t="str">
        <f>HYPERLINK("http://j-comp.co.jp","j-comp.co.jp")</f>
        <v>j-comp.co.jp</v>
      </c>
      <c r="C24202" t="s">
        <v>461</v>
      </c>
      <c r="D24202" t="s">
        <v>837</v>
      </c>
      <c r="F24202">
        <v>8.4627650576721397E-9</v>
      </c>
      <c r="G24202">
        <v>8917073</v>
      </c>
      <c r="H24202">
        <v>14104761</v>
      </c>
      <c r="I24202">
        <v>2692605</v>
      </c>
      <c r="J24202">
        <v>7</v>
      </c>
    </row>
    <row r="24203" spans="1:10" x14ac:dyDescent="0.25">
      <c r="A24203" t="s">
        <v>1640</v>
      </c>
      <c r="B24203" s="1" t="str">
        <f>HYPERLINK("http://jamitsuilease.co.jp","jamitsuilease.co.jp")</f>
        <v>jamitsuilease.co.jp</v>
      </c>
      <c r="C24203" t="s">
        <v>461</v>
      </c>
      <c r="D24203" t="s">
        <v>837</v>
      </c>
      <c r="F24203">
        <v>5.6864979173282503E-8</v>
      </c>
      <c r="G24203">
        <v>785540</v>
      </c>
      <c r="H24203">
        <v>13492021</v>
      </c>
      <c r="I24203">
        <v>9984681</v>
      </c>
      <c r="J24203">
        <v>3</v>
      </c>
    </row>
    <row r="24204" spans="1:10" x14ac:dyDescent="0.25">
      <c r="A24204" t="s">
        <v>1640</v>
      </c>
      <c r="B24204" s="1" t="str">
        <f>HYPERLINK("http://kyowa-ind.co.jp","kyowa-ind.co.jp")</f>
        <v>kyowa-ind.co.jp</v>
      </c>
      <c r="C24204" t="s">
        <v>461</v>
      </c>
      <c r="D24204" t="s">
        <v>837</v>
      </c>
      <c r="F24204">
        <v>6.1488334862723199E-9</v>
      </c>
      <c r="G24204">
        <v>15809936</v>
      </c>
      <c r="H24204">
        <v>12343418</v>
      </c>
      <c r="I24204">
        <v>19884269</v>
      </c>
      <c r="J24204">
        <v>7</v>
      </c>
    </row>
    <row r="24205" spans="1:10" x14ac:dyDescent="0.25">
      <c r="A24205" t="s">
        <v>1640</v>
      </c>
      <c r="B24205" s="1" t="str">
        <f>HYPERLINK("http://mb-chemicals.co.jp","mb-chemicals.co.jp")</f>
        <v>mb-chemicals.co.jp</v>
      </c>
      <c r="C24205" t="s">
        <v>461</v>
      </c>
      <c r="D24205" t="s">
        <v>837</v>
      </c>
      <c r="F24205">
        <v>6.7815460722192004E-9</v>
      </c>
      <c r="G24205">
        <v>13022265</v>
      </c>
      <c r="H24205">
        <v>14072726</v>
      </c>
      <c r="I24205">
        <v>3053250</v>
      </c>
      <c r="J24205">
        <v>3</v>
      </c>
    </row>
    <row r="24206" spans="1:10" x14ac:dyDescent="0.25">
      <c r="A24206" t="s">
        <v>1640</v>
      </c>
      <c r="B24206" s="1" t="str">
        <f>HYPERLINK("http://mc-tohcello.co.jp","mc-tohcello.co.jp")</f>
        <v>mc-tohcello.co.jp</v>
      </c>
      <c r="C24206" t="s">
        <v>461</v>
      </c>
      <c r="D24206" t="s">
        <v>837</v>
      </c>
      <c r="F24206">
        <v>1.10021400448059E-8</v>
      </c>
      <c r="G24206">
        <v>5858454</v>
      </c>
      <c r="H24206">
        <v>12963058</v>
      </c>
      <c r="I24206">
        <v>13150598</v>
      </c>
      <c r="J24206">
        <v>7</v>
      </c>
    </row>
    <row r="24207" spans="1:10" x14ac:dyDescent="0.25">
      <c r="A24207" t="s">
        <v>1640</v>
      </c>
      <c r="B24207" s="1" t="str">
        <f>HYPERLINK("http://mcbs.co.jp","mcbs.co.jp")</f>
        <v>mcbs.co.jp</v>
      </c>
      <c r="C24207" t="s">
        <v>461</v>
      </c>
      <c r="D24207" t="s">
        <v>837</v>
      </c>
      <c r="F24207">
        <v>5.2752232949626298E-9</v>
      </c>
      <c r="G24207">
        <v>23859744</v>
      </c>
      <c r="H24207">
        <v>10843450</v>
      </c>
      <c r="I24207">
        <v>37026220</v>
      </c>
      <c r="J24207">
        <v>7</v>
      </c>
    </row>
    <row r="24208" spans="1:10" x14ac:dyDescent="0.25">
      <c r="A24208" t="s">
        <v>1640</v>
      </c>
      <c r="B24208" s="1" t="str">
        <f>HYPERLINK("http://mcbs07.co.jp","mcbs07.co.jp")</f>
        <v>mcbs07.co.jp</v>
      </c>
      <c r="C24208" t="s">
        <v>461</v>
      </c>
      <c r="D24208" t="s">
        <v>837</v>
      </c>
      <c r="F24208">
        <v>5.7277324439950203E-9</v>
      </c>
      <c r="G24208">
        <v>18683951</v>
      </c>
      <c r="H24208">
        <v>14071791</v>
      </c>
      <c r="I24208">
        <v>3450501</v>
      </c>
      <c r="J24208">
        <v>7</v>
      </c>
    </row>
    <row r="24209" spans="1:10" x14ac:dyDescent="0.25">
      <c r="A24209" t="s">
        <v>1640</v>
      </c>
      <c r="B24209" s="1" t="str">
        <f>HYPERLINK("http://mcos.co.jp","mcos.co.jp")</f>
        <v>mcos.co.jp</v>
      </c>
      <c r="C24209" t="s">
        <v>461</v>
      </c>
      <c r="D24209" t="s">
        <v>837</v>
      </c>
      <c r="F24209">
        <v>5.20879497024897E-9</v>
      </c>
      <c r="G24209">
        <v>24945679</v>
      </c>
      <c r="H24209">
        <v>10753486</v>
      </c>
      <c r="I24209">
        <v>39885095</v>
      </c>
      <c r="J24209">
        <v>7</v>
      </c>
    </row>
    <row r="24210" spans="1:10" x14ac:dyDescent="0.25">
      <c r="A24210" t="s">
        <v>1640</v>
      </c>
      <c r="B24210" s="1" t="str">
        <f>HYPERLINK("http://mes.co.jp","mes.co.jp")</f>
        <v>mes.co.jp</v>
      </c>
      <c r="C24210" t="s">
        <v>461</v>
      </c>
      <c r="D24210" t="s">
        <v>837</v>
      </c>
      <c r="E24210">
        <v>359922</v>
      </c>
      <c r="F24210">
        <v>6.6610937334614605E-8</v>
      </c>
      <c r="G24210">
        <v>642963</v>
      </c>
      <c r="H24210">
        <v>14582342</v>
      </c>
      <c r="I24210">
        <v>706564</v>
      </c>
      <c r="J24210">
        <v>4</v>
      </c>
    </row>
    <row r="24211" spans="1:10" x14ac:dyDescent="0.25">
      <c r="A24211" t="s">
        <v>1640</v>
      </c>
      <c r="B24211" s="1" t="str">
        <f>HYPERLINK("http://mif-ltd.co.jp","mif-ltd.co.jp")</f>
        <v>mif-ltd.co.jp</v>
      </c>
      <c r="C24211" t="s">
        <v>461</v>
      </c>
      <c r="D24211" t="s">
        <v>837</v>
      </c>
      <c r="F24211">
        <v>1.31893920948062E-8</v>
      </c>
      <c r="G24211">
        <v>4542904</v>
      </c>
      <c r="H24211">
        <v>14072238</v>
      </c>
      <c r="I24211">
        <v>3130155</v>
      </c>
      <c r="J24211">
        <v>3</v>
      </c>
    </row>
    <row r="24212" spans="1:10" x14ac:dyDescent="0.25">
      <c r="A24212" t="s">
        <v>1640</v>
      </c>
      <c r="B24212" s="1" t="str">
        <f>HYPERLINK("http://mitsui.co.jp","mitsui.co.jp")</f>
        <v>mitsui.co.jp</v>
      </c>
      <c r="C24212" t="s">
        <v>461</v>
      </c>
      <c r="D24212" t="s">
        <v>837</v>
      </c>
      <c r="E24212">
        <v>102996</v>
      </c>
      <c r="F24212">
        <v>5.61428028464726E-8</v>
      </c>
      <c r="G24212">
        <v>797406</v>
      </c>
      <c r="H24212">
        <v>14553504</v>
      </c>
      <c r="I24212">
        <v>755219</v>
      </c>
      <c r="J24212">
        <v>2</v>
      </c>
    </row>
    <row r="24213" spans="1:10" x14ac:dyDescent="0.25">
      <c r="A24213" t="s">
        <v>1640</v>
      </c>
      <c r="B24213" s="1" t="str">
        <f>HYPERLINK("http://mitsui-agro.co.jp","mitsui-agro.co.jp")</f>
        <v>mitsui-agro.co.jp</v>
      </c>
      <c r="C24213" t="s">
        <v>461</v>
      </c>
      <c r="D24213" t="s">
        <v>837</v>
      </c>
      <c r="F24213">
        <v>4.51792821790152E-9</v>
      </c>
      <c r="G24213">
        <v>56476617</v>
      </c>
      <c r="H24213">
        <v>7612348</v>
      </c>
      <c r="I24213">
        <v>76209209</v>
      </c>
      <c r="J24213">
        <v>3</v>
      </c>
    </row>
    <row r="24214" spans="1:10" x14ac:dyDescent="0.25">
      <c r="A24214" t="s">
        <v>1640</v>
      </c>
      <c r="B24214" s="1" t="str">
        <f>HYPERLINK("http://mitsui-chem.co.jp","mitsui-chem.co.jp")</f>
        <v>mitsui-chem.co.jp</v>
      </c>
      <c r="C24214" t="s">
        <v>461</v>
      </c>
      <c r="D24214" t="s">
        <v>837</v>
      </c>
      <c r="E24214">
        <v>637187</v>
      </c>
      <c r="F24214">
        <v>1.7601296836203001E-8</v>
      </c>
      <c r="G24214">
        <v>3118682</v>
      </c>
      <c r="H24214">
        <v>14098315</v>
      </c>
      <c r="I24214">
        <v>2718033</v>
      </c>
      <c r="J24214">
        <v>7</v>
      </c>
    </row>
    <row r="24215" spans="1:10" x14ac:dyDescent="0.25">
      <c r="A24215" t="s">
        <v>1640</v>
      </c>
      <c r="B24215" s="1" t="str">
        <f>HYPERLINK("http://mitsui-kinzoku.co.jp","mitsui-kinzoku.co.jp")</f>
        <v>mitsui-kinzoku.co.jp</v>
      </c>
      <c r="C24215" t="s">
        <v>461</v>
      </c>
      <c r="D24215" t="s">
        <v>837</v>
      </c>
      <c r="E24215">
        <v>309931</v>
      </c>
      <c r="F24215">
        <v>5.6392065437756498E-8</v>
      </c>
      <c r="G24215">
        <v>793251</v>
      </c>
      <c r="H24215">
        <v>14311352</v>
      </c>
      <c r="I24215">
        <v>1340788</v>
      </c>
      <c r="J24215">
        <v>4</v>
      </c>
    </row>
    <row r="24216" spans="1:10" x14ac:dyDescent="0.25">
      <c r="A24216" t="s">
        <v>1640</v>
      </c>
      <c r="B24216" s="1" t="str">
        <f>HYPERLINK("http://mitsui-norin.co.jp","mitsui-norin.co.jp")</f>
        <v>mitsui-norin.co.jp</v>
      </c>
      <c r="C24216" t="s">
        <v>461</v>
      </c>
      <c r="D24216" t="s">
        <v>837</v>
      </c>
      <c r="F24216">
        <v>1.1136205070889E-7</v>
      </c>
      <c r="G24216">
        <v>358945</v>
      </c>
      <c r="H24216">
        <v>13496335</v>
      </c>
      <c r="I24216">
        <v>9978605</v>
      </c>
      <c r="J24216">
        <v>3</v>
      </c>
    </row>
    <row r="24217" spans="1:10" x14ac:dyDescent="0.25">
      <c r="A24217" t="s">
        <v>1640</v>
      </c>
      <c r="B24217" s="1" t="str">
        <f>HYPERLINK("http://mitsuifoods.co.jp","mitsuifoods.co.jp")</f>
        <v>mitsuifoods.co.jp</v>
      </c>
      <c r="C24217" t="s">
        <v>461</v>
      </c>
      <c r="D24217" t="s">
        <v>837</v>
      </c>
      <c r="E24217">
        <v>784079</v>
      </c>
      <c r="F24217">
        <v>1.4118199190525099E-8</v>
      </c>
      <c r="G24217">
        <v>4159009</v>
      </c>
      <c r="H24217">
        <v>14083806</v>
      </c>
      <c r="I24217">
        <v>2791209</v>
      </c>
      <c r="J24217">
        <v>3</v>
      </c>
    </row>
    <row r="24218" spans="1:10" x14ac:dyDescent="0.25">
      <c r="A24218" t="s">
        <v>1640</v>
      </c>
      <c r="B24218" s="1" t="str">
        <f>HYPERLINK("http://mkf.co.jp","mkf.co.jp")</f>
        <v>mkf.co.jp</v>
      </c>
      <c r="C24218" t="s">
        <v>461</v>
      </c>
      <c r="D24218" t="s">
        <v>837</v>
      </c>
      <c r="F24218">
        <v>7.4230293788984803E-9</v>
      </c>
      <c r="G24218">
        <v>11188433</v>
      </c>
      <c r="H24218">
        <v>14072348</v>
      </c>
      <c r="I24218">
        <v>3112007</v>
      </c>
      <c r="J24218">
        <v>7</v>
      </c>
    </row>
    <row r="24219" spans="1:10" x14ac:dyDescent="0.25">
      <c r="A24219" t="s">
        <v>1640</v>
      </c>
      <c r="B24219" s="1" t="str">
        <f>HYPERLINK("http://mki.co.jp","mki.co.jp")</f>
        <v>mki.co.jp</v>
      </c>
      <c r="C24219" t="s">
        <v>461</v>
      </c>
      <c r="D24219" t="s">
        <v>837</v>
      </c>
      <c r="E24219">
        <v>728010</v>
      </c>
      <c r="F24219">
        <v>1.4508256872739499E-7</v>
      </c>
      <c r="G24219">
        <v>268287</v>
      </c>
      <c r="H24219">
        <v>14522283</v>
      </c>
      <c r="I24219">
        <v>801062</v>
      </c>
      <c r="J24219">
        <v>4</v>
      </c>
    </row>
    <row r="24220" spans="1:10" x14ac:dyDescent="0.25">
      <c r="A24220" t="s">
        <v>1640</v>
      </c>
      <c r="B24220" s="1" t="str">
        <f>HYPERLINK("http://moeco.co.jp","moeco.co.jp")</f>
        <v>moeco.co.jp</v>
      </c>
      <c r="C24220" t="s">
        <v>461</v>
      </c>
      <c r="D24220" t="s">
        <v>837</v>
      </c>
      <c r="F24220">
        <v>1.1040553312558599E-8</v>
      </c>
      <c r="G24220">
        <v>5829311</v>
      </c>
      <c r="H24220">
        <v>14698926</v>
      </c>
      <c r="I24220">
        <v>596065</v>
      </c>
      <c r="J24220">
        <v>4</v>
      </c>
    </row>
    <row r="24221" spans="1:10" x14ac:dyDescent="0.25">
      <c r="A24221" t="s">
        <v>1640</v>
      </c>
      <c r="B24221" s="1" t="str">
        <f>HYPERLINK("http://taiyokenki.co.jp","taiyokenki.co.jp")</f>
        <v>taiyokenki.co.jp</v>
      </c>
      <c r="C24221" t="s">
        <v>461</v>
      </c>
      <c r="D24221" t="s">
        <v>837</v>
      </c>
      <c r="F24221">
        <v>1.47316586190583E-8</v>
      </c>
      <c r="G24221">
        <v>3930188</v>
      </c>
      <c r="H24221">
        <v>13769027</v>
      </c>
      <c r="I24221">
        <v>6820213</v>
      </c>
      <c r="J24221">
        <v>3</v>
      </c>
    </row>
    <row r="24222" spans="1:10" x14ac:dyDescent="0.25">
      <c r="A24222" t="s">
        <v>1640</v>
      </c>
      <c r="B24222" s="1" t="str">
        <f>HYPERLINK("http://tiact.co.jp","tiact.co.jp")</f>
        <v>tiact.co.jp</v>
      </c>
      <c r="C24222" t="s">
        <v>461</v>
      </c>
      <c r="D24222" t="s">
        <v>837</v>
      </c>
      <c r="F24222">
        <v>1.08825955585426E-8</v>
      </c>
      <c r="G24222">
        <v>5955908</v>
      </c>
      <c r="H24222">
        <v>14414926</v>
      </c>
      <c r="I24222">
        <v>1124500</v>
      </c>
      <c r="J24222">
        <v>3</v>
      </c>
    </row>
    <row r="24223" spans="1:10" x14ac:dyDescent="0.25">
      <c r="A24223" t="s">
        <v>1640</v>
      </c>
      <c r="B24223" s="1" t="str">
        <f>HYPERLINK("http://twellv.co.jp","twellv.co.jp")</f>
        <v>twellv.co.jp</v>
      </c>
      <c r="C24223" t="s">
        <v>461</v>
      </c>
      <c r="D24223" t="s">
        <v>837</v>
      </c>
      <c r="E24223">
        <v>272812</v>
      </c>
      <c r="F24223">
        <v>1.9946671386286001E-7</v>
      </c>
      <c r="G24223">
        <v>191341</v>
      </c>
      <c r="H24223">
        <v>14484884</v>
      </c>
      <c r="I24223">
        <v>1020967</v>
      </c>
      <c r="J24223">
        <v>3</v>
      </c>
    </row>
    <row r="24224" spans="1:10" x14ac:dyDescent="0.25">
      <c r="A24224" t="s">
        <v>1640</v>
      </c>
      <c r="B24224" s="1" t="str">
        <f>HYPERLINK("http://mdp.jp","mdp.jp")</f>
        <v>mdp.jp</v>
      </c>
      <c r="C24224" t="s">
        <v>461</v>
      </c>
      <c r="D24224" t="s">
        <v>837</v>
      </c>
      <c r="F24224">
        <v>9.1357666901716202E-9</v>
      </c>
      <c r="G24224">
        <v>7797876</v>
      </c>
      <c r="H24224">
        <v>12398338</v>
      </c>
      <c r="I24224">
        <v>18879087</v>
      </c>
      <c r="J24224">
        <v>7</v>
      </c>
    </row>
    <row r="24225" spans="1:10" x14ac:dyDescent="0.25">
      <c r="A24225" t="s">
        <v>1640</v>
      </c>
      <c r="B24225" s="1" t="str">
        <f>HYPERLINK("http://mitsuipr.jp","mitsuipr.jp")</f>
        <v>mitsuipr.jp</v>
      </c>
      <c r="C24225" t="s">
        <v>461</v>
      </c>
      <c r="D24225" t="s">
        <v>837</v>
      </c>
      <c r="F24225">
        <v>4.7970026583817499E-9</v>
      </c>
      <c r="G24225">
        <v>36204868</v>
      </c>
      <c r="H24225">
        <v>10704541</v>
      </c>
      <c r="I24225">
        <v>42245981</v>
      </c>
      <c r="J24225">
        <v>4</v>
      </c>
    </row>
    <row r="24226" spans="1:10" x14ac:dyDescent="0.25">
      <c r="A24226" t="s">
        <v>1640</v>
      </c>
      <c r="B24226" s="1" t="str">
        <f>HYPERLINK("http://mki-financialservices.jp","mki-financialservices.jp")</f>
        <v>mki-financialservices.jp</v>
      </c>
      <c r="C24226" t="s">
        <v>461</v>
      </c>
      <c r="D24226" t="s">
        <v>837</v>
      </c>
      <c r="J24226">
        <v>5</v>
      </c>
    </row>
    <row r="24227" spans="1:10" x14ac:dyDescent="0.25">
      <c r="A24227" t="s">
        <v>1640</v>
      </c>
      <c r="B24227" s="1" t="str">
        <f>HYPERLINK("http://nonrot.jp","nonrot.jp")</f>
        <v>nonrot.jp</v>
      </c>
      <c r="C24227" t="s">
        <v>461</v>
      </c>
      <c r="D24227" t="s">
        <v>837</v>
      </c>
      <c r="F24227">
        <v>7.8383617002482004E-9</v>
      </c>
      <c r="G24227">
        <v>10238431</v>
      </c>
      <c r="H24227">
        <v>13775830</v>
      </c>
      <c r="I24227">
        <v>6569179</v>
      </c>
      <c r="J24227">
        <v>7</v>
      </c>
    </row>
    <row r="24228" spans="1:10" x14ac:dyDescent="0.25">
      <c r="A24228" t="s">
        <v>1640</v>
      </c>
      <c r="B24228" s="1" t="str">
        <f>HYPERLINK("http://prifoods.jp","prifoods.jp")</f>
        <v>prifoods.jp</v>
      </c>
      <c r="C24228" t="s">
        <v>461</v>
      </c>
      <c r="D24228" t="s">
        <v>837</v>
      </c>
      <c r="F24228">
        <v>1.23173025974233E-8</v>
      </c>
      <c r="G24228">
        <v>4984884</v>
      </c>
      <c r="H24228">
        <v>12672717</v>
      </c>
      <c r="I24228">
        <v>15578109</v>
      </c>
      <c r="J24228">
        <v>3</v>
      </c>
    </row>
    <row r="24229" spans="1:10" x14ac:dyDescent="0.25">
      <c r="A24229" t="s">
        <v>1640</v>
      </c>
      <c r="B24229" s="1" t="str">
        <f>HYPERLINK("http://qvc.jp","qvc.jp")</f>
        <v>qvc.jp</v>
      </c>
      <c r="C24229" t="s">
        <v>461</v>
      </c>
      <c r="D24229" t="s">
        <v>837</v>
      </c>
      <c r="E24229">
        <v>178746</v>
      </c>
      <c r="F24229">
        <v>2.2261929613310901E-7</v>
      </c>
      <c r="G24229">
        <v>169304</v>
      </c>
      <c r="H24229">
        <v>14727871</v>
      </c>
      <c r="I24229">
        <v>574098</v>
      </c>
      <c r="J24229">
        <v>3</v>
      </c>
    </row>
    <row r="24230" spans="1:10" x14ac:dyDescent="0.25">
      <c r="A24230" t="s">
        <v>1640</v>
      </c>
      <c r="B24230" s="1" t="str">
        <f>HYPERLINK("http://sun-rex.jp","sun-rex.jp")</f>
        <v>sun-rex.jp</v>
      </c>
      <c r="C24230" t="s">
        <v>461</v>
      </c>
      <c r="D24230" t="s">
        <v>837</v>
      </c>
      <c r="F24230">
        <v>7.38788796283506E-9</v>
      </c>
      <c r="G24230">
        <v>11271385</v>
      </c>
      <c r="H24230">
        <v>14071792</v>
      </c>
      <c r="I24230">
        <v>3400931</v>
      </c>
      <c r="J24230">
        <v>7</v>
      </c>
    </row>
    <row r="24231" spans="1:10" x14ac:dyDescent="0.25">
      <c r="A24231" t="s">
        <v>1640</v>
      </c>
      <c r="B24231" s="1" t="str">
        <f>HYPERLINK("http://twellv.jp","twellv.jp")</f>
        <v>twellv.jp</v>
      </c>
      <c r="C24231" t="s">
        <v>461</v>
      </c>
      <c r="D24231" t="s">
        <v>837</v>
      </c>
      <c r="F24231">
        <v>4.4957231127745899E-9</v>
      </c>
      <c r="G24231">
        <v>59583500</v>
      </c>
      <c r="H24231">
        <v>11239375</v>
      </c>
      <c r="I24231">
        <v>30969991</v>
      </c>
      <c r="J24231">
        <v>4</v>
      </c>
    </row>
    <row r="24232" spans="1:10" x14ac:dyDescent="0.25">
      <c r="A24232" t="s">
        <v>1640</v>
      </c>
      <c r="B24232" s="1" t="str">
        <f>HYPERLINK("http://himex.com.mx","himex.com.mx")</f>
        <v>himex.com.mx</v>
      </c>
      <c r="C24232" t="s">
        <v>471</v>
      </c>
      <c r="D24232" t="s">
        <v>847</v>
      </c>
      <c r="J24232">
        <v>4</v>
      </c>
    </row>
    <row r="24233" spans="1:10" x14ac:dyDescent="0.25">
      <c r="A24233" t="s">
        <v>1640</v>
      </c>
      <c r="B24233" s="1" t="str">
        <f>HYPERLINK("http://hinomexico.com.mx","hinomexico.com.mx")</f>
        <v>hinomexico.com.mx</v>
      </c>
      <c r="C24233" t="s">
        <v>471</v>
      </c>
      <c r="D24233" t="s">
        <v>847</v>
      </c>
      <c r="J24233">
        <v>4</v>
      </c>
    </row>
    <row r="24234" spans="1:10" x14ac:dyDescent="0.25">
      <c r="A24234" t="s">
        <v>1640</v>
      </c>
      <c r="B24234" s="1" t="str">
        <f>HYPERLINK("http://mpa.mx","mpa.mx")</f>
        <v>mpa.mx</v>
      </c>
      <c r="C24234" t="s">
        <v>471</v>
      </c>
      <c r="D24234" t="s">
        <v>847</v>
      </c>
      <c r="F24234">
        <v>4.44380395335525E-9</v>
      </c>
      <c r="G24234">
        <v>85391107</v>
      </c>
      <c r="H24234">
        <v>0</v>
      </c>
      <c r="I24234">
        <v>86633744</v>
      </c>
      <c r="J24234">
        <v>3</v>
      </c>
    </row>
    <row r="24235" spans="1:10" x14ac:dyDescent="0.25">
      <c r="A24235" t="s">
        <v>1640</v>
      </c>
      <c r="B24235" s="1" t="str">
        <f>HYPERLINK("http://subaru.mx","subaru.mx")</f>
        <v>subaru.mx</v>
      </c>
      <c r="C24235" t="s">
        <v>471</v>
      </c>
      <c r="D24235" t="s">
        <v>847</v>
      </c>
      <c r="J24235">
        <v>5</v>
      </c>
    </row>
    <row r="24236" spans="1:10" x14ac:dyDescent="0.25">
      <c r="A24236" t="s">
        <v>1640</v>
      </c>
      <c r="B24236" s="1" t="str">
        <f>HYPERLINK("http://conpas-y.net","conpas-y.net")</f>
        <v>conpas-y.net</v>
      </c>
      <c r="C24236" t="s">
        <v>474</v>
      </c>
      <c r="F24236">
        <v>6.1249262948290499E-9</v>
      </c>
      <c r="G24236">
        <v>15952716</v>
      </c>
      <c r="H24236">
        <v>10801335</v>
      </c>
      <c r="I24236">
        <v>38120532</v>
      </c>
      <c r="J24236">
        <v>10</v>
      </c>
    </row>
    <row r="24237" spans="1:10" x14ac:dyDescent="0.25">
      <c r="A24237" t="s">
        <v>1640</v>
      </c>
      <c r="B24237" s="1" t="str">
        <f>HYPERLINK("http://hexagon.no","hexagon.no")</f>
        <v>hexagon.no</v>
      </c>
      <c r="C24237" t="s">
        <v>478</v>
      </c>
      <c r="D24237" t="s">
        <v>853</v>
      </c>
      <c r="F24237">
        <v>1.6316612604001601E-8</v>
      </c>
      <c r="G24237">
        <v>3466654</v>
      </c>
      <c r="H24237">
        <v>12944384</v>
      </c>
      <c r="I24237">
        <v>13248729</v>
      </c>
      <c r="J24237">
        <v>3</v>
      </c>
    </row>
    <row r="24238" spans="1:10" x14ac:dyDescent="0.25">
      <c r="A24238" t="s">
        <v>1640</v>
      </c>
      <c r="B24238" s="1" t="str">
        <f>HYPERLINK("http://kmmp.com.pe","kmmp.com.pe")</f>
        <v>kmmp.com.pe</v>
      </c>
      <c r="C24238" t="s">
        <v>483</v>
      </c>
      <c r="D24238" t="s">
        <v>857</v>
      </c>
      <c r="F24238">
        <v>8.5806203227304292E-9</v>
      </c>
      <c r="G24238">
        <v>8691751</v>
      </c>
      <c r="H24238">
        <v>12467848</v>
      </c>
      <c r="I24238">
        <v>17781905</v>
      </c>
      <c r="J24238">
        <v>3</v>
      </c>
    </row>
    <row r="24239" spans="1:10" x14ac:dyDescent="0.25">
      <c r="A24239" t="s">
        <v>1640</v>
      </c>
      <c r="B24239" s="1" t="str">
        <f>HYPERLINK("http://regencysteelasia.com.sg","regencysteelasia.com.sg")</f>
        <v>regencysteelasia.com.sg</v>
      </c>
      <c r="C24239" t="s">
        <v>496</v>
      </c>
      <c r="D24239" t="s">
        <v>870</v>
      </c>
      <c r="J24239">
        <v>3</v>
      </c>
    </row>
    <row r="24240" spans="1:10" x14ac:dyDescent="0.25">
      <c r="A24240" t="s">
        <v>1640</v>
      </c>
      <c r="B24240" s="1" t="str">
        <f>HYPERLINK("http://mitsui.com.tw","mitsui.com.tw")</f>
        <v>mitsui.com.tw</v>
      </c>
      <c r="C24240" t="s">
        <v>504</v>
      </c>
      <c r="D24240" t="s">
        <v>878</v>
      </c>
      <c r="F24240">
        <v>4.7335682659706003E-9</v>
      </c>
      <c r="G24240">
        <v>39168864</v>
      </c>
      <c r="H24240">
        <v>12543449</v>
      </c>
      <c r="I24240">
        <v>16900320</v>
      </c>
      <c r="J24240">
        <v>3</v>
      </c>
    </row>
    <row r="24241" spans="1:10" x14ac:dyDescent="0.25">
      <c r="A24241" t="s">
        <v>1641</v>
      </c>
      <c r="B24241" s="1" t="str">
        <f>HYPERLINK("http://mizuho.ch","mizuho.ch")</f>
        <v>mizuho.ch</v>
      </c>
      <c r="C24241" t="s">
        <v>429</v>
      </c>
      <c r="D24241" t="s">
        <v>810</v>
      </c>
      <c r="F24241">
        <v>4.4498493102670601E-9</v>
      </c>
      <c r="G24241">
        <v>72009375</v>
      </c>
      <c r="H24241">
        <v>8547868</v>
      </c>
      <c r="I24241">
        <v>71426254</v>
      </c>
      <c r="J24241">
        <v>4</v>
      </c>
    </row>
    <row r="24242" spans="1:10" x14ac:dyDescent="0.25">
      <c r="A24242" t="s">
        <v>1641</v>
      </c>
      <c r="B24242" s="1" t="str">
        <f>HYPERLINK("http://diamusa.com","diamusa.com")</f>
        <v>diamusa.com</v>
      </c>
      <c r="C24242" t="s">
        <v>433</v>
      </c>
      <c r="J24242">
        <v>4</v>
      </c>
    </row>
    <row r="24243" spans="1:10" x14ac:dyDescent="0.25">
      <c r="A24243" t="s">
        <v>1641</v>
      </c>
      <c r="B24243" s="1" t="str">
        <f>HYPERLINK("http://ffrontier.com","ffrontier.com")</f>
        <v>ffrontier.com</v>
      </c>
      <c r="C24243" t="s">
        <v>433</v>
      </c>
      <c r="E24243">
        <v>800215</v>
      </c>
      <c r="F24243">
        <v>2.3327570855201499E-8</v>
      </c>
      <c r="G24243">
        <v>2236129</v>
      </c>
      <c r="H24243">
        <v>12412937</v>
      </c>
      <c r="I24243">
        <v>18564801</v>
      </c>
      <c r="J24243">
        <v>2</v>
      </c>
    </row>
    <row r="24244" spans="1:10" x14ac:dyDescent="0.25">
      <c r="A24244" t="s">
        <v>1641</v>
      </c>
      <c r="B24244" s="1" t="str">
        <f>HYPERLINK("http://mizuho-emea.com","mizuho-emea.com")</f>
        <v>mizuho-emea.com</v>
      </c>
      <c r="C24244" t="s">
        <v>433</v>
      </c>
      <c r="F24244">
        <v>1.0667126229499799E-8</v>
      </c>
      <c r="G24244">
        <v>6127421</v>
      </c>
      <c r="H24244">
        <v>13021511</v>
      </c>
      <c r="I24244">
        <v>12706848</v>
      </c>
      <c r="J24244">
        <v>2</v>
      </c>
    </row>
    <row r="24245" spans="1:10" x14ac:dyDescent="0.25">
      <c r="A24245" t="s">
        <v>1641</v>
      </c>
      <c r="B24245" s="1" t="str">
        <f>HYPERLINK("http://mizuho-fg.com","mizuho-fg.com")</f>
        <v>mizuho-fg.com</v>
      </c>
      <c r="C24245" t="s">
        <v>433</v>
      </c>
      <c r="F24245">
        <v>4.6431941931451102E-8</v>
      </c>
      <c r="G24245">
        <v>1007616</v>
      </c>
      <c r="H24245">
        <v>14092279</v>
      </c>
      <c r="I24245">
        <v>2740157</v>
      </c>
      <c r="J24245">
        <v>2</v>
      </c>
    </row>
    <row r="24246" spans="1:10" x14ac:dyDescent="0.25">
      <c r="A24246" t="s">
        <v>1641</v>
      </c>
      <c r="B24246" s="1" t="str">
        <f>HYPERLINK("http://mizuho-sc.com","mizuho-sc.com")</f>
        <v>mizuho-sc.com</v>
      </c>
      <c r="C24246" t="s">
        <v>433</v>
      </c>
      <c r="E24246">
        <v>146042</v>
      </c>
      <c r="F24246">
        <v>1.6418975305892699E-7</v>
      </c>
      <c r="G24246">
        <v>236401</v>
      </c>
      <c r="H24246">
        <v>14224052</v>
      </c>
      <c r="I24246">
        <v>1681556</v>
      </c>
      <c r="J24246">
        <v>2</v>
      </c>
    </row>
    <row r="24247" spans="1:10" x14ac:dyDescent="0.25">
      <c r="A24247" t="s">
        <v>1641</v>
      </c>
      <c r="B24247" s="1" t="str">
        <f>HYPERLINK("http://mizuhoamericas.com","mizuhoamericas.com")</f>
        <v>mizuhoamericas.com</v>
      </c>
      <c r="C24247" t="s">
        <v>433</v>
      </c>
      <c r="F24247">
        <v>6.7469893992296904E-8</v>
      </c>
      <c r="G24247">
        <v>633278</v>
      </c>
      <c r="H24247">
        <v>13436633</v>
      </c>
      <c r="I24247">
        <v>10268177</v>
      </c>
      <c r="J24247">
        <v>4</v>
      </c>
    </row>
    <row r="24248" spans="1:10" x14ac:dyDescent="0.25">
      <c r="A24248" t="s">
        <v>1641</v>
      </c>
      <c r="B24248" s="1" t="str">
        <f>HYPERLINK("http://mizuhobank.com","mizuhobank.com")</f>
        <v>mizuhobank.com</v>
      </c>
      <c r="C24248" t="s">
        <v>433</v>
      </c>
      <c r="E24248">
        <v>814459</v>
      </c>
      <c r="F24248">
        <v>1.12650403656169E-7</v>
      </c>
      <c r="G24248">
        <v>354435</v>
      </c>
      <c r="H24248">
        <v>14279886</v>
      </c>
      <c r="I24248">
        <v>1381535</v>
      </c>
      <c r="J24248">
        <v>3</v>
      </c>
    </row>
    <row r="24249" spans="1:10" x14ac:dyDescent="0.25">
      <c r="A24249" t="s">
        <v>1641</v>
      </c>
      <c r="B24249" s="1" t="str">
        <f>HYPERLINK("http://mizuhocbk.com","mizuhocbk.com")</f>
        <v>mizuhocbk.com</v>
      </c>
      <c r="C24249" t="s">
        <v>433</v>
      </c>
      <c r="F24249">
        <v>1.4226965539936299E-8</v>
      </c>
      <c r="G24249">
        <v>4119374</v>
      </c>
      <c r="H24249">
        <v>14129747</v>
      </c>
      <c r="I24249">
        <v>2041236</v>
      </c>
      <c r="J24249">
        <v>3</v>
      </c>
    </row>
    <row r="24250" spans="1:10" x14ac:dyDescent="0.25">
      <c r="A24250" t="s">
        <v>1641</v>
      </c>
      <c r="B24250" s="1" t="str">
        <f>HYPERLINK("http://mizuhogroup.com","mizuhogroup.com")</f>
        <v>mizuhogroup.com</v>
      </c>
      <c r="C24250" t="s">
        <v>433</v>
      </c>
      <c r="E24250">
        <v>150404</v>
      </c>
      <c r="F24250">
        <v>3.5557596348131602E-7</v>
      </c>
      <c r="G24250">
        <v>105109</v>
      </c>
      <c r="H24250">
        <v>14207649</v>
      </c>
      <c r="I24250">
        <v>1708272</v>
      </c>
      <c r="J24250">
        <v>3</v>
      </c>
    </row>
    <row r="24251" spans="1:10" x14ac:dyDescent="0.25">
      <c r="A24251" t="s">
        <v>1641</v>
      </c>
      <c r="B24251" s="1" t="str">
        <f>HYPERLINK("http://mizuhosecurities.com","mizuhosecurities.com")</f>
        <v>mizuhosecurities.com</v>
      </c>
      <c r="C24251" t="s">
        <v>433</v>
      </c>
      <c r="F24251">
        <v>1.53959461327376E-8</v>
      </c>
      <c r="G24251">
        <v>3716891</v>
      </c>
      <c r="H24251">
        <v>13862605</v>
      </c>
      <c r="I24251">
        <v>6016712</v>
      </c>
      <c r="J24251">
        <v>4</v>
      </c>
    </row>
    <row r="24252" spans="1:10" x14ac:dyDescent="0.25">
      <c r="A24252" t="s">
        <v>1641</v>
      </c>
      <c r="B24252" s="1" t="str">
        <f>HYPERLINK("http://onemizuho.eu","onemizuho.eu")</f>
        <v>onemizuho.eu</v>
      </c>
      <c r="C24252" t="s">
        <v>444</v>
      </c>
      <c r="F24252">
        <v>4.5047880312871396E-9</v>
      </c>
      <c r="G24252">
        <v>58240429</v>
      </c>
      <c r="H24252">
        <v>10783309</v>
      </c>
      <c r="I24252">
        <v>38785626</v>
      </c>
      <c r="J24252">
        <v>3</v>
      </c>
    </row>
    <row r="24253" spans="1:10" x14ac:dyDescent="0.25">
      <c r="A24253" t="s">
        <v>1641</v>
      </c>
      <c r="B24253" s="1" t="str">
        <f>HYPERLINK("http://mizuhobank.co.id","mizuhobank.co.id")</f>
        <v>mizuhobank.co.id</v>
      </c>
      <c r="C24253" t="s">
        <v>454</v>
      </c>
      <c r="D24253" t="s">
        <v>831</v>
      </c>
      <c r="F24253">
        <v>7.0668597764591996E-9</v>
      </c>
      <c r="G24253">
        <v>12107627</v>
      </c>
      <c r="H24253">
        <v>14071897</v>
      </c>
      <c r="I24253">
        <v>3231912</v>
      </c>
      <c r="J24253">
        <v>3</v>
      </c>
    </row>
    <row r="24254" spans="1:10" x14ac:dyDescent="0.25">
      <c r="A24254" t="s">
        <v>1641</v>
      </c>
      <c r="B24254" s="1" t="str">
        <f>HYPERLINK("http://am-one.jp","am-one.jp")</f>
        <v>am-one.jp</v>
      </c>
      <c r="C24254" t="s">
        <v>461</v>
      </c>
      <c r="D24254" t="s">
        <v>837</v>
      </c>
      <c r="F24254">
        <v>5.6055899080985398E-9</v>
      </c>
      <c r="G24254">
        <v>19804449</v>
      </c>
      <c r="H24254">
        <v>10715951</v>
      </c>
      <c r="I24254">
        <v>42068301</v>
      </c>
      <c r="J24254">
        <v>4</v>
      </c>
    </row>
    <row r="24255" spans="1:10" x14ac:dyDescent="0.25">
      <c r="A24255" t="s">
        <v>1641</v>
      </c>
      <c r="B24255" s="1" t="str">
        <f>HYPERLINK("http://am-one.co.jp","am-one.co.jp")</f>
        <v>am-one.co.jp</v>
      </c>
      <c r="C24255" t="s">
        <v>461</v>
      </c>
      <c r="D24255" t="s">
        <v>837</v>
      </c>
      <c r="E24255">
        <v>82480</v>
      </c>
      <c r="F24255">
        <v>1.35520486940339E-7</v>
      </c>
      <c r="G24255">
        <v>287963</v>
      </c>
      <c r="H24255">
        <v>14652904</v>
      </c>
      <c r="I24255">
        <v>625619</v>
      </c>
      <c r="J24255">
        <v>3</v>
      </c>
    </row>
    <row r="24256" spans="1:10" x14ac:dyDescent="0.25">
      <c r="A24256" t="s">
        <v>1641</v>
      </c>
      <c r="B24256" s="1" t="str">
        <f>HYPERLINK("http://dcplan.co.jp","dcplan.co.jp")</f>
        <v>dcplan.co.jp</v>
      </c>
      <c r="C24256" t="s">
        <v>461</v>
      </c>
      <c r="D24256" t="s">
        <v>837</v>
      </c>
      <c r="E24256">
        <v>405216</v>
      </c>
      <c r="F24256">
        <v>2.1545462343057E-8</v>
      </c>
      <c r="G24256">
        <v>2443386</v>
      </c>
      <c r="H24256">
        <v>11352744</v>
      </c>
      <c r="I24256">
        <v>30383272</v>
      </c>
      <c r="J24256">
        <v>3</v>
      </c>
    </row>
    <row r="24257" spans="1:10" x14ac:dyDescent="0.25">
      <c r="A24257" t="s">
        <v>1641</v>
      </c>
      <c r="B24257" s="1" t="str">
        <f>HYPERLINK("http://jscore.co.jp","jscore.co.jp")</f>
        <v>jscore.co.jp</v>
      </c>
      <c r="C24257" t="s">
        <v>461</v>
      </c>
      <c r="D24257" t="s">
        <v>837</v>
      </c>
      <c r="F24257">
        <v>7.1944359979164903E-8</v>
      </c>
      <c r="G24257">
        <v>587039</v>
      </c>
      <c r="H24257">
        <v>16885184</v>
      </c>
      <c r="I24257">
        <v>137092</v>
      </c>
      <c r="J24257">
        <v>3</v>
      </c>
    </row>
    <row r="24258" spans="1:10" x14ac:dyDescent="0.25">
      <c r="A24258" t="s">
        <v>1641</v>
      </c>
      <c r="B24258" s="1" t="str">
        <f>HYPERLINK("http://mizuho-factor.co.jp","mizuho-factor.co.jp")</f>
        <v>mizuho-factor.co.jp</v>
      </c>
      <c r="C24258" t="s">
        <v>461</v>
      </c>
      <c r="D24258" t="s">
        <v>837</v>
      </c>
      <c r="F24258">
        <v>5.0596664305700099E-8</v>
      </c>
      <c r="G24258">
        <v>907504</v>
      </c>
      <c r="H24258">
        <v>13323120</v>
      </c>
      <c r="I24258">
        <v>10738094</v>
      </c>
      <c r="J24258">
        <v>3</v>
      </c>
    </row>
    <row r="24259" spans="1:10" x14ac:dyDescent="0.25">
      <c r="A24259" t="s">
        <v>1641</v>
      </c>
      <c r="B24259" s="1" t="str">
        <f>HYPERLINK("http://mizuho-fg.co.jp","mizuho-fg.co.jp")</f>
        <v>mizuho-fg.co.jp</v>
      </c>
      <c r="C24259" t="s">
        <v>461</v>
      </c>
      <c r="D24259" t="s">
        <v>837</v>
      </c>
      <c r="E24259">
        <v>340333</v>
      </c>
      <c r="F24259">
        <v>3.2707069048483202E-7</v>
      </c>
      <c r="G24259">
        <v>113873</v>
      </c>
      <c r="H24259">
        <v>14524448</v>
      </c>
      <c r="I24259">
        <v>797350</v>
      </c>
      <c r="J24259">
        <v>1</v>
      </c>
    </row>
    <row r="24260" spans="1:10" x14ac:dyDescent="0.25">
      <c r="A24260" t="s">
        <v>1641</v>
      </c>
      <c r="B24260" s="1" t="str">
        <f>HYPERLINK("http://mizuho-realtyone.co.jp","mizuho-realtyone.co.jp")</f>
        <v>mizuho-realtyone.co.jp</v>
      </c>
      <c r="C24260" t="s">
        <v>461</v>
      </c>
      <c r="D24260" t="s">
        <v>837</v>
      </c>
      <c r="F24260">
        <v>5.6235345970822802E-9</v>
      </c>
      <c r="G24260">
        <v>19636237</v>
      </c>
      <c r="H24260">
        <v>10949225</v>
      </c>
      <c r="I24260">
        <v>34602058</v>
      </c>
      <c r="J24260">
        <v>3</v>
      </c>
    </row>
    <row r="24261" spans="1:10" x14ac:dyDescent="0.25">
      <c r="A24261" t="s">
        <v>1641</v>
      </c>
      <c r="B24261" s="1" t="str">
        <f>HYPERLINK("http://mizuho-ri.co.jp","mizuho-ri.co.jp")</f>
        <v>mizuho-ri.co.jp</v>
      </c>
      <c r="C24261" t="s">
        <v>461</v>
      </c>
      <c r="D24261" t="s">
        <v>837</v>
      </c>
      <c r="E24261">
        <v>475541</v>
      </c>
      <c r="F24261">
        <v>7.5666163291689698E-8</v>
      </c>
      <c r="G24261">
        <v>555523</v>
      </c>
      <c r="H24261">
        <v>14599792</v>
      </c>
      <c r="I24261">
        <v>686505</v>
      </c>
      <c r="J24261">
        <v>2</v>
      </c>
    </row>
    <row r="24262" spans="1:10" x14ac:dyDescent="0.25">
      <c r="A24262" t="s">
        <v>1641</v>
      </c>
      <c r="B24262" s="1" t="str">
        <f>HYPERLINK("http://mizuho-tb.co.jp","mizuho-tb.co.jp")</f>
        <v>mizuho-tb.co.jp</v>
      </c>
      <c r="C24262" t="s">
        <v>461</v>
      </c>
      <c r="D24262" t="s">
        <v>837</v>
      </c>
      <c r="E24262">
        <v>501297</v>
      </c>
      <c r="F24262">
        <v>9.7064477550486896E-8</v>
      </c>
      <c r="G24262">
        <v>416245</v>
      </c>
      <c r="H24262">
        <v>14147770</v>
      </c>
      <c r="I24262">
        <v>1888558</v>
      </c>
      <c r="J24262">
        <v>2</v>
      </c>
    </row>
    <row r="24263" spans="1:10" x14ac:dyDescent="0.25">
      <c r="A24263" t="s">
        <v>1641</v>
      </c>
      <c r="B24263" s="1" t="str">
        <f>HYPERLINK("http://mizuho-vc.co.jp","mizuho-vc.co.jp")</f>
        <v>mizuho-vc.co.jp</v>
      </c>
      <c r="C24263" t="s">
        <v>461</v>
      </c>
      <c r="D24263" t="s">
        <v>837</v>
      </c>
      <c r="F24263">
        <v>1.6179225777735201E-8</v>
      </c>
      <c r="G24263">
        <v>3500694</v>
      </c>
      <c r="H24263">
        <v>14087615</v>
      </c>
      <c r="I24263">
        <v>2762742</v>
      </c>
      <c r="J24263">
        <v>3</v>
      </c>
    </row>
    <row r="24264" spans="1:10" x14ac:dyDescent="0.25">
      <c r="A24264" t="s">
        <v>1641</v>
      </c>
      <c r="B24264" s="1" t="str">
        <f>HYPERLINK("http://mizuhobank.co.jp","mizuhobank.co.jp")</f>
        <v>mizuhobank.co.jp</v>
      </c>
      <c r="C24264" t="s">
        <v>461</v>
      </c>
      <c r="D24264" t="s">
        <v>837</v>
      </c>
      <c r="E24264">
        <v>15614</v>
      </c>
      <c r="F24264">
        <v>1.13400133203538E-6</v>
      </c>
      <c r="G24264">
        <v>34058</v>
      </c>
      <c r="H24264">
        <v>15313790</v>
      </c>
      <c r="I24264">
        <v>385061</v>
      </c>
      <c r="J24264">
        <v>2</v>
      </c>
    </row>
    <row r="24265" spans="1:10" x14ac:dyDescent="0.25">
      <c r="A24265" t="s">
        <v>1641</v>
      </c>
      <c r="B24265" s="1" t="str">
        <f>HYPERLINK("http://mizuho-ir.ne.jp","mizuho-ir.ne.jp")</f>
        <v>mizuho-ir.ne.jp</v>
      </c>
      <c r="C24265" t="s">
        <v>461</v>
      </c>
      <c r="D24265" t="s">
        <v>837</v>
      </c>
      <c r="E24265">
        <v>403250</v>
      </c>
      <c r="J24265">
        <v>4</v>
      </c>
    </row>
    <row r="24266" spans="1:10" x14ac:dyDescent="0.25">
      <c r="A24266" t="s">
        <v>1641</v>
      </c>
      <c r="B24266" s="1" t="str">
        <f>HYPERLINK("http://mizuho.lu","mizuho.lu")</f>
        <v>mizuho.lu</v>
      </c>
      <c r="C24266" t="s">
        <v>547</v>
      </c>
      <c r="D24266" t="s">
        <v>904</v>
      </c>
      <c r="F24266">
        <v>8.8446914903946894E-9</v>
      </c>
      <c r="G24266">
        <v>8232812</v>
      </c>
      <c r="H24266">
        <v>11347267</v>
      </c>
      <c r="I24266">
        <v>30399095</v>
      </c>
      <c r="J24266">
        <v>3</v>
      </c>
    </row>
    <row r="24267" spans="1:10" x14ac:dyDescent="0.25">
      <c r="A24267" t="s">
        <v>1641</v>
      </c>
      <c r="B24267" s="1" t="str">
        <f>HYPERLINK("http://am-one-int.co.uk","am-one-int.co.uk")</f>
        <v>am-one-int.co.uk</v>
      </c>
      <c r="C24267" t="s">
        <v>506</v>
      </c>
      <c r="D24267" t="s">
        <v>880</v>
      </c>
      <c r="F24267">
        <v>9.66789852881461E-9</v>
      </c>
      <c r="G24267">
        <v>7118509</v>
      </c>
      <c r="H24267">
        <v>12928458</v>
      </c>
      <c r="I24267">
        <v>13375925</v>
      </c>
      <c r="J24267">
        <v>4</v>
      </c>
    </row>
    <row r="24268" spans="1:10" x14ac:dyDescent="0.25">
      <c r="A24268" t="s">
        <v>259</v>
      </c>
      <c r="B24268" s="1" t="str">
        <f>HYPERLINK("http://modernatax.com","modernatax.com")</f>
        <v>modernatax.com</v>
      </c>
      <c r="C24268" t="s">
        <v>433</v>
      </c>
      <c r="J24268">
        <v>3</v>
      </c>
    </row>
    <row r="24269" spans="1:10" x14ac:dyDescent="0.25">
      <c r="A24269" t="s">
        <v>259</v>
      </c>
      <c r="B24269" s="1" t="str">
        <f>HYPERLINK("http://modernatx.com","modernatx.com")</f>
        <v>modernatx.com</v>
      </c>
      <c r="C24269" t="s">
        <v>433</v>
      </c>
      <c r="E24269">
        <v>14795</v>
      </c>
      <c r="F24269">
        <v>2.6190683987371799E-6</v>
      </c>
      <c r="G24269">
        <v>14475</v>
      </c>
      <c r="H24269">
        <v>17598442</v>
      </c>
      <c r="I24269">
        <v>9703</v>
      </c>
      <c r="J24269">
        <v>1</v>
      </c>
    </row>
    <row r="24270" spans="1:10" x14ac:dyDescent="0.25">
      <c r="A24270" t="s">
        <v>259</v>
      </c>
      <c r="B24270" s="1" t="str">
        <f>HYPERLINK("http://modernatx.fi","modernatx.fi")</f>
        <v>modernatx.fi</v>
      </c>
      <c r="C24270" t="s">
        <v>445</v>
      </c>
      <c r="D24270" t="s">
        <v>823</v>
      </c>
      <c r="J24270">
        <v>3</v>
      </c>
    </row>
    <row r="24271" spans="1:10" x14ac:dyDescent="0.25">
      <c r="A24271" t="s">
        <v>259</v>
      </c>
      <c r="B24271" s="1" t="str">
        <f>HYPERLINK("http://spikevax.fi","spikevax.fi")</f>
        <v>spikevax.fi</v>
      </c>
      <c r="C24271" t="s">
        <v>445</v>
      </c>
      <c r="D24271" t="s">
        <v>823</v>
      </c>
      <c r="J24271">
        <v>3</v>
      </c>
    </row>
    <row r="24272" spans="1:10" x14ac:dyDescent="0.25">
      <c r="A24272" t="s">
        <v>259</v>
      </c>
      <c r="B24272" s="1" t="str">
        <f>HYPERLINK("http://moderna.fr","moderna.fr")</f>
        <v>moderna.fr</v>
      </c>
      <c r="C24272" t="s">
        <v>446</v>
      </c>
      <c r="D24272" t="s">
        <v>824</v>
      </c>
      <c r="F24272">
        <v>1.20556658299414E-8</v>
      </c>
      <c r="G24272">
        <v>5140952</v>
      </c>
      <c r="H24272">
        <v>12396568</v>
      </c>
      <c r="I24272">
        <v>18902145</v>
      </c>
      <c r="J24272">
        <v>3</v>
      </c>
    </row>
    <row r="24273" spans="1:10" x14ac:dyDescent="0.25">
      <c r="A24273" t="s">
        <v>260</v>
      </c>
      <c r="B24273" s="1" t="str">
        <f>HYPERLINK("http://kraftfoods.com.ar","kraftfoods.com.ar")</f>
        <v>kraftfoods.com.ar</v>
      </c>
      <c r="C24273" t="s">
        <v>418</v>
      </c>
      <c r="D24273" t="s">
        <v>800</v>
      </c>
      <c r="F24273">
        <v>4.9455993221502496E-9</v>
      </c>
      <c r="G24273">
        <v>30908469</v>
      </c>
      <c r="H24273">
        <v>11329406</v>
      </c>
      <c r="I24273">
        <v>30466890</v>
      </c>
      <c r="J24273">
        <v>3</v>
      </c>
    </row>
    <row r="24274" spans="1:10" x14ac:dyDescent="0.25">
      <c r="A24274" t="s">
        <v>260</v>
      </c>
      <c r="B24274" s="1" t="str">
        <f>HYPERLINK("http://cadbury.com.au","cadbury.com.au")</f>
        <v>cadbury.com.au</v>
      </c>
      <c r="C24274" t="s">
        <v>420</v>
      </c>
      <c r="D24274" t="s">
        <v>802</v>
      </c>
      <c r="E24274">
        <v>182512</v>
      </c>
      <c r="F24274">
        <v>1.00388610667819E-7</v>
      </c>
      <c r="G24274">
        <v>400652</v>
      </c>
      <c r="H24274">
        <v>14989939</v>
      </c>
      <c r="I24274">
        <v>428315</v>
      </c>
      <c r="J24274">
        <v>3</v>
      </c>
    </row>
    <row r="24275" spans="1:10" x14ac:dyDescent="0.25">
      <c r="A24275" t="s">
        <v>260</v>
      </c>
      <c r="B24275" s="1" t="str">
        <f>HYPERLINK("http://clifbar.com.au","clifbar.com.au")</f>
        <v>clifbar.com.au</v>
      </c>
      <c r="C24275" t="s">
        <v>420</v>
      </c>
      <c r="D24275" t="s">
        <v>802</v>
      </c>
      <c r="F24275">
        <v>1.34078793833278E-8</v>
      </c>
      <c r="G24275">
        <v>4444429</v>
      </c>
      <c r="H24275">
        <v>13933662</v>
      </c>
      <c r="I24275">
        <v>4690062</v>
      </c>
      <c r="J24275">
        <v>4</v>
      </c>
    </row>
    <row r="24276" spans="1:10" x14ac:dyDescent="0.25">
      <c r="A24276" t="s">
        <v>260</v>
      </c>
      <c r="B24276" s="1" t="str">
        <f>HYPERLINK("http://mondelezinternational.com.au","mondelezinternational.com.au")</f>
        <v>mondelezinternational.com.au</v>
      </c>
      <c r="C24276" t="s">
        <v>420</v>
      </c>
      <c r="D24276" t="s">
        <v>802</v>
      </c>
      <c r="F24276">
        <v>1.6062003580534398E-8</v>
      </c>
      <c r="G24276">
        <v>3530291</v>
      </c>
      <c r="H24276">
        <v>13765641</v>
      </c>
      <c r="I24276">
        <v>7081877</v>
      </c>
      <c r="J24276">
        <v>2</v>
      </c>
    </row>
    <row r="24277" spans="1:10" x14ac:dyDescent="0.25">
      <c r="A24277" t="s">
        <v>260</v>
      </c>
      <c r="B24277" s="1" t="str">
        <f>HYPERLINK("http://clifbar.be","clifbar.be")</f>
        <v>clifbar.be</v>
      </c>
      <c r="C24277" t="s">
        <v>421</v>
      </c>
      <c r="D24277" t="s">
        <v>803</v>
      </c>
      <c r="F24277">
        <v>1.0834931070914599E-8</v>
      </c>
      <c r="G24277">
        <v>5992535</v>
      </c>
      <c r="H24277">
        <v>12238217</v>
      </c>
      <c r="I24277">
        <v>22303673</v>
      </c>
      <c r="J24277">
        <v>4</v>
      </c>
    </row>
    <row r="24278" spans="1:10" x14ac:dyDescent="0.25">
      <c r="A24278" t="s">
        <v>260</v>
      </c>
      <c r="B24278" s="1" t="str">
        <f>HYPERLINK("http://kraftfoods.be","kraftfoods.be")</f>
        <v>kraftfoods.be</v>
      </c>
      <c r="C24278" t="s">
        <v>421</v>
      </c>
      <c r="D24278" t="s">
        <v>803</v>
      </c>
      <c r="F24278">
        <v>4.54886320990252E-9</v>
      </c>
      <c r="G24278">
        <v>52307166</v>
      </c>
      <c r="H24278">
        <v>11069193</v>
      </c>
      <c r="I24278">
        <v>32587343</v>
      </c>
      <c r="J24278">
        <v>3</v>
      </c>
    </row>
    <row r="24279" spans="1:10" x14ac:dyDescent="0.25">
      <c r="A24279" t="s">
        <v>260</v>
      </c>
      <c r="B24279" s="1" t="str">
        <f>HYPERLINK("http://lacta.com.br","lacta.com.br")</f>
        <v>lacta.com.br</v>
      </c>
      <c r="C24279" t="s">
        <v>425</v>
      </c>
      <c r="D24279" t="s">
        <v>806</v>
      </c>
      <c r="F24279">
        <v>1.5803654529494701E-8</v>
      </c>
      <c r="G24279">
        <v>3598524</v>
      </c>
      <c r="H24279">
        <v>14245743</v>
      </c>
      <c r="I24279">
        <v>1464647</v>
      </c>
      <c r="J24279">
        <v>3</v>
      </c>
    </row>
    <row r="24280" spans="1:10" x14ac:dyDescent="0.25">
      <c r="A24280" t="s">
        <v>260</v>
      </c>
      <c r="B24280" s="1" t="str">
        <f>HYPERLINK("http://clifbar.ca","clifbar.ca")</f>
        <v>clifbar.ca</v>
      </c>
      <c r="C24280" t="s">
        <v>428</v>
      </c>
      <c r="D24280" t="s">
        <v>809</v>
      </c>
      <c r="F24280">
        <v>4.4667308478729103E-8</v>
      </c>
      <c r="G24280">
        <v>1059780</v>
      </c>
      <c r="H24280">
        <v>14128471</v>
      </c>
      <c r="I24280">
        <v>2060680</v>
      </c>
      <c r="J24280">
        <v>4</v>
      </c>
    </row>
    <row r="24281" spans="1:10" x14ac:dyDescent="0.25">
      <c r="A24281" t="s">
        <v>260</v>
      </c>
      <c r="B24281" s="1" t="str">
        <f>HYPERLINK("http://enjoylifefoods.ca","enjoylifefoods.ca")</f>
        <v>enjoylifefoods.ca</v>
      </c>
      <c r="C24281" t="s">
        <v>428</v>
      </c>
      <c r="D24281" t="s">
        <v>809</v>
      </c>
      <c r="F24281">
        <v>9.6807066576437799E-9</v>
      </c>
      <c r="G24281">
        <v>7103614</v>
      </c>
      <c r="H24281">
        <v>14127865</v>
      </c>
      <c r="I24281">
        <v>2078059</v>
      </c>
      <c r="J24281">
        <v>4</v>
      </c>
    </row>
    <row r="24282" spans="1:10" x14ac:dyDescent="0.25">
      <c r="A24282" t="s">
        <v>260</v>
      </c>
      <c r="B24282" s="1" t="str">
        <f>HYPERLINK("http://philadelphia.ch","philadelphia.ch")</f>
        <v>philadelphia.ch</v>
      </c>
      <c r="C24282" t="s">
        <v>429</v>
      </c>
      <c r="D24282" t="s">
        <v>810</v>
      </c>
      <c r="F24282">
        <v>6.1305672914553498E-9</v>
      </c>
      <c r="G24282">
        <v>15922274</v>
      </c>
      <c r="H24282">
        <v>14122854</v>
      </c>
      <c r="I24282">
        <v>2195776</v>
      </c>
      <c r="J24282">
        <v>2</v>
      </c>
    </row>
    <row r="24283" spans="1:10" x14ac:dyDescent="0.25">
      <c r="A24283" t="s">
        <v>260</v>
      </c>
      <c r="B24283" s="1" t="str">
        <f>HYPERLINK("http://cadbury.com","cadbury.com")</f>
        <v>cadbury.com</v>
      </c>
      <c r="C24283" t="s">
        <v>433</v>
      </c>
      <c r="F24283">
        <v>1.53002426436721E-7</v>
      </c>
      <c r="G24283">
        <v>253852</v>
      </c>
      <c r="H24283">
        <v>14861594</v>
      </c>
      <c r="I24283">
        <v>483913</v>
      </c>
      <c r="J24283">
        <v>3</v>
      </c>
    </row>
    <row r="24284" spans="1:10" x14ac:dyDescent="0.25">
      <c r="A24284" t="s">
        <v>260</v>
      </c>
      <c r="B24284" s="1" t="str">
        <f>HYPERLINK("http://clifbar.com","clifbar.com")</f>
        <v>clifbar.com</v>
      </c>
      <c r="C24284" t="s">
        <v>433</v>
      </c>
      <c r="E24284">
        <v>49799</v>
      </c>
      <c r="F24284">
        <v>9.8038947971113606E-7</v>
      </c>
      <c r="G24284">
        <v>38999</v>
      </c>
      <c r="H24284">
        <v>17454152</v>
      </c>
      <c r="I24284">
        <v>15933</v>
      </c>
      <c r="J24284">
        <v>3</v>
      </c>
    </row>
    <row r="24285" spans="1:10" x14ac:dyDescent="0.25">
      <c r="A24285" t="s">
        <v>260</v>
      </c>
      <c r="B24285" s="1" t="str">
        <f>HYPERLINK("http://cotedor.com","cotedor.com")</f>
        <v>cotedor.com</v>
      </c>
      <c r="C24285" t="s">
        <v>433</v>
      </c>
      <c r="F24285">
        <v>1.9644743484586E-8</v>
      </c>
      <c r="G24285">
        <v>2720285</v>
      </c>
      <c r="H24285">
        <v>14489777</v>
      </c>
      <c r="I24285">
        <v>918581</v>
      </c>
      <c r="J24285">
        <v>3</v>
      </c>
    </row>
    <row r="24286" spans="1:10" x14ac:dyDescent="0.25">
      <c r="A24286" t="s">
        <v>260</v>
      </c>
      <c r="B24286" s="1" t="str">
        <f>HYPERLINK("http://daiwa-can.com","daiwa-can.com")</f>
        <v>daiwa-can.com</v>
      </c>
      <c r="C24286" t="s">
        <v>433</v>
      </c>
      <c r="F24286">
        <v>4.9992470347385201E-9</v>
      </c>
      <c r="G24286">
        <v>29430293</v>
      </c>
      <c r="H24286">
        <v>12338044</v>
      </c>
      <c r="I24286">
        <v>20051150</v>
      </c>
      <c r="J24286">
        <v>7</v>
      </c>
    </row>
    <row r="24287" spans="1:10" x14ac:dyDescent="0.25">
      <c r="A24287" t="s">
        <v>260</v>
      </c>
      <c r="B24287" s="1" t="str">
        <f>HYPERLINK("http://dongsuh.com","dongsuh.com")</f>
        <v>dongsuh.com</v>
      </c>
      <c r="C24287" t="s">
        <v>433</v>
      </c>
      <c r="F24287">
        <v>1.6645850294817501E-8</v>
      </c>
      <c r="G24287">
        <v>3377873</v>
      </c>
      <c r="H24287">
        <v>14375522</v>
      </c>
      <c r="I24287">
        <v>1224978</v>
      </c>
      <c r="J24287">
        <v>4</v>
      </c>
    </row>
    <row r="24288" spans="1:10" x14ac:dyDescent="0.25">
      <c r="A24288" t="s">
        <v>260</v>
      </c>
      <c r="B24288" s="1" t="str">
        <f>HYPERLINK("http://enjoylifefoods.com","enjoylifefoods.com")</f>
        <v>enjoylifefoods.com</v>
      </c>
      <c r="C24288" t="s">
        <v>433</v>
      </c>
      <c r="E24288">
        <v>218045</v>
      </c>
      <c r="F24288">
        <v>2.6067454808839302E-7</v>
      </c>
      <c r="G24288">
        <v>143483</v>
      </c>
      <c r="H24288">
        <v>15026474</v>
      </c>
      <c r="I24288">
        <v>419451</v>
      </c>
      <c r="J24288">
        <v>3</v>
      </c>
    </row>
    <row r="24289" spans="1:10" x14ac:dyDescent="0.25">
      <c r="A24289" t="s">
        <v>260</v>
      </c>
      <c r="B24289" s="1" t="str">
        <f>HYPERLINK("http://giveandgo.com","giveandgo.com")</f>
        <v>giveandgo.com</v>
      </c>
      <c r="C24289" t="s">
        <v>433</v>
      </c>
      <c r="F24289">
        <v>1.57460154419635E-8</v>
      </c>
      <c r="G24289">
        <v>3614510</v>
      </c>
      <c r="H24289">
        <v>13400187</v>
      </c>
      <c r="I24289">
        <v>10367764</v>
      </c>
      <c r="J24289">
        <v>3</v>
      </c>
    </row>
    <row r="24290" spans="1:10" x14ac:dyDescent="0.25">
      <c r="A24290" t="s">
        <v>260</v>
      </c>
      <c r="B24290" s="1" t="str">
        <f>HYPERLINK("http://greenandblacks.com","greenandblacks.com")</f>
        <v>greenandblacks.com</v>
      </c>
      <c r="C24290" t="s">
        <v>433</v>
      </c>
      <c r="E24290">
        <v>550658</v>
      </c>
      <c r="F24290">
        <v>1.16419913706036E-7</v>
      </c>
      <c r="G24290">
        <v>341570</v>
      </c>
      <c r="H24290">
        <v>14176920</v>
      </c>
      <c r="I24290">
        <v>1787928</v>
      </c>
      <c r="J24290">
        <v>6</v>
      </c>
    </row>
    <row r="24291" spans="1:10" x14ac:dyDescent="0.25">
      <c r="A24291" t="s">
        <v>260</v>
      </c>
      <c r="B24291" s="1" t="str">
        <f>HYPERLINK("http://grenade.com","grenade.com")</f>
        <v>grenade.com</v>
      </c>
      <c r="C24291" t="s">
        <v>433</v>
      </c>
      <c r="E24291">
        <v>529805</v>
      </c>
      <c r="F24291">
        <v>6.0793162231667004E-8</v>
      </c>
      <c r="G24291">
        <v>724942</v>
      </c>
      <c r="H24291">
        <v>14188141</v>
      </c>
      <c r="I24291">
        <v>1764851</v>
      </c>
      <c r="J24291">
        <v>3</v>
      </c>
    </row>
    <row r="24292" spans="1:10" x14ac:dyDescent="0.25">
      <c r="A24292" t="s">
        <v>260</v>
      </c>
      <c r="B24292" s="1" t="str">
        <f>HYPERLINK("http://hukitchen.com","hukitchen.com")</f>
        <v>hukitchen.com</v>
      </c>
      <c r="C24292" t="s">
        <v>433</v>
      </c>
      <c r="E24292">
        <v>242419</v>
      </c>
      <c r="F24292">
        <v>1.5936775402362299E-7</v>
      </c>
      <c r="G24292">
        <v>243582</v>
      </c>
      <c r="H24292">
        <v>14836288</v>
      </c>
      <c r="I24292">
        <v>500685</v>
      </c>
      <c r="J24292">
        <v>3</v>
      </c>
    </row>
    <row r="24293" spans="1:10" x14ac:dyDescent="0.25">
      <c r="A24293" t="s">
        <v>260</v>
      </c>
      <c r="B24293" s="1" t="str">
        <f>HYPERLINK("http://mdlz.com","mdlz.com")</f>
        <v>mdlz.com</v>
      </c>
      <c r="C24293" t="s">
        <v>433</v>
      </c>
      <c r="E24293">
        <v>47966</v>
      </c>
      <c r="F24293">
        <v>2.36156226004486E-8</v>
      </c>
      <c r="G24293">
        <v>2202294</v>
      </c>
      <c r="H24293">
        <v>12813390</v>
      </c>
      <c r="I24293">
        <v>14546919</v>
      </c>
      <c r="J24293">
        <v>2</v>
      </c>
    </row>
    <row r="24294" spans="1:10" x14ac:dyDescent="0.25">
      <c r="A24294" t="s">
        <v>260</v>
      </c>
      <c r="B24294" s="1" t="str">
        <f>HYPERLINK("http://mondelez.com","mondelez.com")</f>
        <v>mondelez.com</v>
      </c>
      <c r="C24294" t="s">
        <v>433</v>
      </c>
      <c r="F24294">
        <v>8.7571009534986003E-9</v>
      </c>
      <c r="G24294">
        <v>8380749</v>
      </c>
      <c r="H24294">
        <v>14376932</v>
      </c>
      <c r="I24294">
        <v>1213683</v>
      </c>
      <c r="J24294">
        <v>4</v>
      </c>
    </row>
    <row r="24295" spans="1:10" x14ac:dyDescent="0.25">
      <c r="A24295" t="s">
        <v>260</v>
      </c>
      <c r="B24295" s="1" t="str">
        <f>HYPERLINK("http://mondelezinternacional.com","mondelezinternacional.com")</f>
        <v>mondelezinternacional.com</v>
      </c>
      <c r="C24295" t="s">
        <v>433</v>
      </c>
      <c r="F24295">
        <v>4.5772876766558796E-9</v>
      </c>
      <c r="G24295">
        <v>49529664</v>
      </c>
      <c r="H24295">
        <v>12202893</v>
      </c>
      <c r="I24295">
        <v>23245978</v>
      </c>
      <c r="J24295">
        <v>4</v>
      </c>
    </row>
    <row r="24296" spans="1:10" x14ac:dyDescent="0.25">
      <c r="A24296" t="s">
        <v>260</v>
      </c>
      <c r="B24296" s="1" t="str">
        <f>HYPERLINK("http://mondelezinternational.com","mondelezinternational.com")</f>
        <v>mondelezinternational.com</v>
      </c>
      <c r="C24296" t="s">
        <v>433</v>
      </c>
      <c r="E24296">
        <v>24356</v>
      </c>
      <c r="F24296">
        <v>2.2631472367643098E-6</v>
      </c>
      <c r="G24296">
        <v>16301</v>
      </c>
      <c r="H24296">
        <v>17479278</v>
      </c>
      <c r="I24296">
        <v>14646</v>
      </c>
      <c r="J24296">
        <v>1</v>
      </c>
    </row>
    <row r="24297" spans="1:10" x14ac:dyDescent="0.25">
      <c r="A24297" t="s">
        <v>260</v>
      </c>
      <c r="B24297" s="1" t="str">
        <f>HYPERLINK("http://nabisco.com","nabisco.com")</f>
        <v>nabisco.com</v>
      </c>
      <c r="C24297" t="s">
        <v>433</v>
      </c>
      <c r="E24297">
        <v>217129</v>
      </c>
      <c r="F24297">
        <v>6.7951546941450194E-8</v>
      </c>
      <c r="G24297">
        <v>628194</v>
      </c>
      <c r="H24297">
        <v>14378619</v>
      </c>
      <c r="I24297">
        <v>1203194</v>
      </c>
      <c r="J24297">
        <v>3</v>
      </c>
    </row>
    <row r="24298" spans="1:10" x14ac:dyDescent="0.25">
      <c r="A24298" t="s">
        <v>260</v>
      </c>
      <c r="B24298" s="1" t="str">
        <f>HYPERLINK("http://opavia-lu.com","opavia-lu.com")</f>
        <v>opavia-lu.com</v>
      </c>
      <c r="C24298" t="s">
        <v>433</v>
      </c>
      <c r="F24298">
        <v>6.2962916583281604E-9</v>
      </c>
      <c r="G24298">
        <v>15050181</v>
      </c>
      <c r="H24298">
        <v>14071942</v>
      </c>
      <c r="I24298">
        <v>3218513</v>
      </c>
      <c r="J24298">
        <v>3</v>
      </c>
    </row>
    <row r="24299" spans="1:10" x14ac:dyDescent="0.25">
      <c r="A24299" t="s">
        <v>260</v>
      </c>
      <c r="B24299" s="1" t="str">
        <f>HYPERLINK("http://rssl.com","rssl.com")</f>
        <v>rssl.com</v>
      </c>
      <c r="C24299" t="s">
        <v>433</v>
      </c>
      <c r="F24299">
        <v>3.2160706130497898E-8</v>
      </c>
      <c r="G24299">
        <v>1608181</v>
      </c>
      <c r="H24299">
        <v>13008529</v>
      </c>
      <c r="I24299">
        <v>12757813</v>
      </c>
      <c r="J24299">
        <v>3</v>
      </c>
    </row>
    <row r="24300" spans="1:10" x14ac:dyDescent="0.25">
      <c r="A24300" t="s">
        <v>260</v>
      </c>
      <c r="B24300" s="1" t="str">
        <f>HYPERLINK("http://snackmindful.com","snackmindful.com")</f>
        <v>snackmindful.com</v>
      </c>
      <c r="C24300" t="s">
        <v>433</v>
      </c>
      <c r="F24300">
        <v>3.3292041087266398E-8</v>
      </c>
      <c r="G24300">
        <v>1552244</v>
      </c>
      <c r="H24300">
        <v>12972155</v>
      </c>
      <c r="I24300">
        <v>13033906</v>
      </c>
      <c r="J24300">
        <v>2</v>
      </c>
    </row>
    <row r="24301" spans="1:10" x14ac:dyDescent="0.25">
      <c r="A24301" t="s">
        <v>260</v>
      </c>
      <c r="B24301" s="1" t="str">
        <f>HYPERLINK("http://snackworks.com","snackworks.com")</f>
        <v>snackworks.com</v>
      </c>
      <c r="C24301" t="s">
        <v>433</v>
      </c>
      <c r="E24301">
        <v>80466</v>
      </c>
      <c r="F24301">
        <v>4.85913886429414E-7</v>
      </c>
      <c r="G24301">
        <v>78379</v>
      </c>
      <c r="H24301">
        <v>15316501</v>
      </c>
      <c r="I24301">
        <v>384883</v>
      </c>
      <c r="J24301">
        <v>4</v>
      </c>
    </row>
    <row r="24302" spans="1:10" x14ac:dyDescent="0.25">
      <c r="A24302" t="s">
        <v>260</v>
      </c>
      <c r="B24302" s="1" t="str">
        <f>HYPERLINK("http://stimorol.com","stimorol.com")</f>
        <v>stimorol.com</v>
      </c>
      <c r="C24302" t="s">
        <v>433</v>
      </c>
      <c r="F24302">
        <v>4.7625989022837701E-9</v>
      </c>
      <c r="G24302">
        <v>37702504</v>
      </c>
      <c r="H24302">
        <v>12259656</v>
      </c>
      <c r="I24302">
        <v>21780945</v>
      </c>
      <c r="J24302">
        <v>3</v>
      </c>
    </row>
    <row r="24303" spans="1:10" x14ac:dyDescent="0.25">
      <c r="A24303" t="s">
        <v>260</v>
      </c>
      <c r="B24303" s="1" t="str">
        <f>HYPERLINK("http://tatesbakeshop.com","tatesbakeshop.com")</f>
        <v>tatesbakeshop.com</v>
      </c>
      <c r="C24303" t="s">
        <v>433</v>
      </c>
      <c r="E24303">
        <v>222711</v>
      </c>
      <c r="F24303">
        <v>7.3042820633835902E-8</v>
      </c>
      <c r="G24303">
        <v>577328</v>
      </c>
      <c r="H24303">
        <v>14404455</v>
      </c>
      <c r="I24303">
        <v>1150187</v>
      </c>
      <c r="J24303">
        <v>3</v>
      </c>
    </row>
    <row r="24304" spans="1:10" x14ac:dyDescent="0.25">
      <c r="A24304" t="s">
        <v>260</v>
      </c>
      <c r="B24304" s="1" t="str">
        <f>HYPERLINK("http://clifbar.de","clifbar.de")</f>
        <v>clifbar.de</v>
      </c>
      <c r="C24304" t="s">
        <v>436</v>
      </c>
      <c r="D24304" t="s">
        <v>815</v>
      </c>
      <c r="F24304">
        <v>3.3882424417834697E-8</v>
      </c>
      <c r="G24304">
        <v>1527635</v>
      </c>
      <c r="H24304">
        <v>13940269</v>
      </c>
      <c r="I24304">
        <v>4373346</v>
      </c>
      <c r="J24304">
        <v>4</v>
      </c>
    </row>
    <row r="24305" spans="1:10" x14ac:dyDescent="0.25">
      <c r="A24305" t="s">
        <v>260</v>
      </c>
      <c r="B24305" s="1" t="str">
        <f>HYPERLINK("http://mdlzafh.dk","mdlzafh.dk")</f>
        <v>mdlzafh.dk</v>
      </c>
      <c r="C24305" t="s">
        <v>437</v>
      </c>
      <c r="D24305" t="s">
        <v>816</v>
      </c>
      <c r="J24305">
        <v>3</v>
      </c>
    </row>
    <row r="24306" spans="1:10" x14ac:dyDescent="0.25">
      <c r="A24306" t="s">
        <v>260</v>
      </c>
      <c r="B24306" s="1" t="str">
        <f>HYPERLINK("http://stimorol.dk","stimorol.dk")</f>
        <v>stimorol.dk</v>
      </c>
      <c r="C24306" t="s">
        <v>437</v>
      </c>
      <c r="D24306" t="s">
        <v>816</v>
      </c>
      <c r="J24306">
        <v>3</v>
      </c>
    </row>
    <row r="24307" spans="1:10" x14ac:dyDescent="0.25">
      <c r="A24307" t="s">
        <v>260</v>
      </c>
      <c r="B24307" s="1" t="str">
        <f>HYPERLINK("http://mondelezinternational.ee","mondelezinternational.ee")</f>
        <v>mondelezinternational.ee</v>
      </c>
      <c r="C24307" t="s">
        <v>441</v>
      </c>
      <c r="D24307" t="s">
        <v>820</v>
      </c>
      <c r="J24307">
        <v>3</v>
      </c>
    </row>
    <row r="24308" spans="1:10" x14ac:dyDescent="0.25">
      <c r="A24308" t="s">
        <v>260</v>
      </c>
      <c r="B24308" s="1" t="str">
        <f>HYPERLINK("http://clifbar.es","clifbar.es")</f>
        <v>clifbar.es</v>
      </c>
      <c r="C24308" t="s">
        <v>443</v>
      </c>
      <c r="D24308" t="s">
        <v>822</v>
      </c>
      <c r="F24308">
        <v>1.19622684464774E-8</v>
      </c>
      <c r="G24308">
        <v>5199820</v>
      </c>
      <c r="H24308">
        <v>13933427</v>
      </c>
      <c r="I24308">
        <v>4746386</v>
      </c>
      <c r="J24308">
        <v>4</v>
      </c>
    </row>
    <row r="24309" spans="1:10" x14ac:dyDescent="0.25">
      <c r="A24309" t="s">
        <v>260</v>
      </c>
      <c r="B24309" s="1" t="str">
        <f>HYPERLINK("http://bassetts.fi","bassetts.fi")</f>
        <v>bassetts.fi</v>
      </c>
      <c r="C24309" t="s">
        <v>445</v>
      </c>
      <c r="D24309" t="s">
        <v>823</v>
      </c>
      <c r="J24309">
        <v>4</v>
      </c>
    </row>
    <row r="24310" spans="1:10" x14ac:dyDescent="0.25">
      <c r="A24310" t="s">
        <v>260</v>
      </c>
      <c r="B24310" s="1" t="str">
        <f>HYPERLINK("http://belvita.fi","belvita.fi")</f>
        <v>belvita.fi</v>
      </c>
      <c r="C24310" t="s">
        <v>445</v>
      </c>
      <c r="D24310" t="s">
        <v>823</v>
      </c>
      <c r="J24310">
        <v>4</v>
      </c>
    </row>
    <row r="24311" spans="1:10" x14ac:dyDescent="0.25">
      <c r="A24311" t="s">
        <v>260</v>
      </c>
      <c r="B24311" s="1" t="str">
        <f>HYPERLINK("http://clifbar.fi","clifbar.fi")</f>
        <v>clifbar.fi</v>
      </c>
      <c r="C24311" t="s">
        <v>445</v>
      </c>
      <c r="D24311" t="s">
        <v>823</v>
      </c>
      <c r="F24311">
        <v>1.07382970001464E-8</v>
      </c>
      <c r="G24311">
        <v>6069280</v>
      </c>
      <c r="H24311">
        <v>12227773</v>
      </c>
      <c r="I24311">
        <v>22562934</v>
      </c>
      <c r="J24311">
        <v>4</v>
      </c>
    </row>
    <row r="24312" spans="1:10" x14ac:dyDescent="0.25">
      <c r="A24312" t="s">
        <v>260</v>
      </c>
      <c r="B24312" s="1" t="str">
        <f>HYPERLINK("http://cracotte.fi","cracotte.fi")</f>
        <v>cracotte.fi</v>
      </c>
      <c r="C24312" t="s">
        <v>445</v>
      </c>
      <c r="D24312" t="s">
        <v>823</v>
      </c>
      <c r="J24312">
        <v>4</v>
      </c>
    </row>
    <row r="24313" spans="1:10" x14ac:dyDescent="0.25">
      <c r="A24313" t="s">
        <v>260</v>
      </c>
      <c r="B24313" s="1" t="str">
        <f>HYPERLINK("http://hello-joy.fi","hello-joy.fi")</f>
        <v>hello-joy.fi</v>
      </c>
      <c r="C24313" t="s">
        <v>445</v>
      </c>
      <c r="D24313" t="s">
        <v>823</v>
      </c>
      <c r="J24313">
        <v>4</v>
      </c>
    </row>
    <row r="24314" spans="1:10" x14ac:dyDescent="0.25">
      <c r="A24314" t="s">
        <v>260</v>
      </c>
      <c r="B24314" s="1" t="str">
        <f>HYPERLINK("http://keksihylly.fi","keksihylly.fi")</f>
        <v>keksihylly.fi</v>
      </c>
      <c r="C24314" t="s">
        <v>445</v>
      </c>
      <c r="D24314" t="s">
        <v>823</v>
      </c>
      <c r="F24314">
        <v>6.2298716710978204E-9</v>
      </c>
      <c r="G24314">
        <v>15375676</v>
      </c>
      <c r="H24314">
        <v>14485310</v>
      </c>
      <c r="I24314">
        <v>1002253</v>
      </c>
      <c r="J24314">
        <v>4</v>
      </c>
    </row>
    <row r="24315" spans="1:10" x14ac:dyDescent="0.25">
      <c r="A24315" t="s">
        <v>260</v>
      </c>
      <c r="B24315" s="1" t="str">
        <f>HYPERLINK("http://marabou.fi","marabou.fi")</f>
        <v>marabou.fi</v>
      </c>
      <c r="C24315" t="s">
        <v>445</v>
      </c>
      <c r="D24315" t="s">
        <v>823</v>
      </c>
      <c r="F24315">
        <v>1.22139445411919E-8</v>
      </c>
      <c r="G24315">
        <v>5042568</v>
      </c>
      <c r="H24315">
        <v>14236070</v>
      </c>
      <c r="I24315">
        <v>1627049</v>
      </c>
      <c r="J24315">
        <v>4</v>
      </c>
    </row>
    <row r="24316" spans="1:10" x14ac:dyDescent="0.25">
      <c r="A24316" t="s">
        <v>260</v>
      </c>
      <c r="B24316" s="1" t="str">
        <f>HYPERLINK("http://maraboupremium.fi","maraboupremium.fi")</f>
        <v>maraboupremium.fi</v>
      </c>
      <c r="C24316" t="s">
        <v>445</v>
      </c>
      <c r="D24316" t="s">
        <v>823</v>
      </c>
      <c r="F24316">
        <v>5.7103983393479799E-9</v>
      </c>
      <c r="G24316">
        <v>18834588</v>
      </c>
      <c r="H24316">
        <v>14236065</v>
      </c>
      <c r="I24316">
        <v>1660495</v>
      </c>
      <c r="J24316">
        <v>4</v>
      </c>
    </row>
    <row r="24317" spans="1:10" x14ac:dyDescent="0.25">
      <c r="A24317" t="s">
        <v>260</v>
      </c>
      <c r="B24317" s="1" t="str">
        <f>HYPERLINK("http://mdlz.fi","mdlz.fi")</f>
        <v>mdlz.fi</v>
      </c>
      <c r="C24317" t="s">
        <v>445</v>
      </c>
      <c r="D24317" t="s">
        <v>823</v>
      </c>
      <c r="J24317">
        <v>4</v>
      </c>
    </row>
    <row r="24318" spans="1:10" x14ac:dyDescent="0.25">
      <c r="A24318" t="s">
        <v>260</v>
      </c>
      <c r="B24318" s="1" t="str">
        <f>HYPERLINK("http://mondelez.fi","mondelez.fi")</f>
        <v>mondelez.fi</v>
      </c>
      <c r="C24318" t="s">
        <v>445</v>
      </c>
      <c r="D24318" t="s">
        <v>823</v>
      </c>
      <c r="J24318">
        <v>4</v>
      </c>
    </row>
    <row r="24319" spans="1:10" x14ac:dyDescent="0.25">
      <c r="A24319" t="s">
        <v>260</v>
      </c>
      <c r="B24319" s="1" t="str">
        <f>HYPERLINK("http://mondelezinternational.fi","mondelezinternational.fi")</f>
        <v>mondelezinternational.fi</v>
      </c>
      <c r="C24319" t="s">
        <v>445</v>
      </c>
      <c r="D24319" t="s">
        <v>823</v>
      </c>
      <c r="F24319">
        <v>7.4337838373895798E-9</v>
      </c>
      <c r="G24319">
        <v>11164031</v>
      </c>
      <c r="H24319">
        <v>14071791</v>
      </c>
      <c r="I24319">
        <v>3443455</v>
      </c>
      <c r="J24319">
        <v>4</v>
      </c>
    </row>
    <row r="24320" spans="1:10" x14ac:dyDescent="0.25">
      <c r="A24320" t="s">
        <v>260</v>
      </c>
      <c r="B24320" s="1" t="str">
        <f>HYPERLINK("http://mondelezintl.fi","mondelezintl.fi")</f>
        <v>mondelezintl.fi</v>
      </c>
      <c r="C24320" t="s">
        <v>445</v>
      </c>
      <c r="D24320" t="s">
        <v>823</v>
      </c>
      <c r="J24320">
        <v>4</v>
      </c>
    </row>
    <row r="24321" spans="1:10" x14ac:dyDescent="0.25">
      <c r="A24321" t="s">
        <v>260</v>
      </c>
      <c r="B24321" s="1" t="str">
        <f>HYPERLINK("http://mondelizbrands.fi","mondelizbrands.fi")</f>
        <v>mondelizbrands.fi</v>
      </c>
      <c r="C24321" t="s">
        <v>445</v>
      </c>
      <c r="D24321" t="s">
        <v>823</v>
      </c>
      <c r="J24321">
        <v>4</v>
      </c>
    </row>
    <row r="24322" spans="1:10" x14ac:dyDescent="0.25">
      <c r="A24322" t="s">
        <v>260</v>
      </c>
      <c r="B24322" s="1" t="str">
        <f>HYPERLINK("http://oboy.fi","oboy.fi")</f>
        <v>oboy.fi</v>
      </c>
      <c r="C24322" t="s">
        <v>445</v>
      </c>
      <c r="D24322" t="s">
        <v>823</v>
      </c>
      <c r="F24322">
        <v>4.44380395335525E-9</v>
      </c>
      <c r="G24322">
        <v>84779472</v>
      </c>
      <c r="H24322">
        <v>0</v>
      </c>
      <c r="I24322">
        <v>85894159</v>
      </c>
      <c r="J24322">
        <v>4</v>
      </c>
    </row>
    <row r="24323" spans="1:10" x14ac:dyDescent="0.25">
      <c r="A24323" t="s">
        <v>260</v>
      </c>
      <c r="B24323" s="1" t="str">
        <f>HYPERLINK("http://oreo.fi","oreo.fi")</f>
        <v>oreo.fi</v>
      </c>
      <c r="C24323" t="s">
        <v>445</v>
      </c>
      <c r="D24323" t="s">
        <v>823</v>
      </c>
      <c r="J24323">
        <v>4</v>
      </c>
    </row>
    <row r="24324" spans="1:10" x14ac:dyDescent="0.25">
      <c r="A24324" t="s">
        <v>260</v>
      </c>
      <c r="B24324" s="1" t="str">
        <f>HYPERLINK("http://otakuitti.fi","otakuitti.fi")</f>
        <v>otakuitti.fi</v>
      </c>
      <c r="C24324" t="s">
        <v>445</v>
      </c>
      <c r="D24324" t="s">
        <v>823</v>
      </c>
      <c r="J24324">
        <v>4</v>
      </c>
    </row>
    <row r="24325" spans="1:10" x14ac:dyDescent="0.25">
      <c r="A24325" t="s">
        <v>260</v>
      </c>
      <c r="B24325" s="1" t="str">
        <f>HYPERLINK("http://philadelphia.fi","philadelphia.fi")</f>
        <v>philadelphia.fi</v>
      </c>
      <c r="C24325" t="s">
        <v>445</v>
      </c>
      <c r="D24325" t="s">
        <v>823</v>
      </c>
      <c r="F24325">
        <v>5.2752142766835799E-9</v>
      </c>
      <c r="G24325">
        <v>23859857</v>
      </c>
      <c r="H24325">
        <v>14119733</v>
      </c>
      <c r="I24325">
        <v>2507570</v>
      </c>
      <c r="J24325">
        <v>4</v>
      </c>
    </row>
    <row r="24326" spans="1:10" x14ac:dyDescent="0.25">
      <c r="A24326" t="s">
        <v>260</v>
      </c>
      <c r="B24326" s="1" t="str">
        <f>HYPERLINK("http://philly.fi","philly.fi")</f>
        <v>philly.fi</v>
      </c>
      <c r="C24326" t="s">
        <v>445</v>
      </c>
      <c r="D24326" t="s">
        <v>823</v>
      </c>
      <c r="J24326">
        <v>4</v>
      </c>
    </row>
    <row r="24327" spans="1:10" x14ac:dyDescent="0.25">
      <c r="A24327" t="s">
        <v>260</v>
      </c>
      <c r="B24327" s="1" t="str">
        <f>HYPERLINK("http://roses.fi","roses.fi")</f>
        <v>roses.fi</v>
      </c>
      <c r="C24327" t="s">
        <v>445</v>
      </c>
      <c r="D24327" t="s">
        <v>823</v>
      </c>
      <c r="J24327">
        <v>4</v>
      </c>
    </row>
    <row r="24328" spans="1:10" x14ac:dyDescent="0.25">
      <c r="A24328" t="s">
        <v>260</v>
      </c>
      <c r="B24328" s="1" t="str">
        <f>HYPERLINK("http://tuc.fi","tuc.fi")</f>
        <v>tuc.fi</v>
      </c>
      <c r="C24328" t="s">
        <v>445</v>
      </c>
      <c r="D24328" t="s">
        <v>823</v>
      </c>
      <c r="J24328">
        <v>4</v>
      </c>
    </row>
    <row r="24329" spans="1:10" x14ac:dyDescent="0.25">
      <c r="A24329" t="s">
        <v>260</v>
      </c>
      <c r="B24329" s="1" t="str">
        <f>HYPERLINK("http://unelmapiv.fi","unelmapiv.fi")</f>
        <v>unelmapiv.fi</v>
      </c>
      <c r="C24329" t="s">
        <v>445</v>
      </c>
      <c r="D24329" t="s">
        <v>823</v>
      </c>
      <c r="J24329">
        <v>4</v>
      </c>
    </row>
    <row r="24330" spans="1:10" x14ac:dyDescent="0.25">
      <c r="A24330" t="s">
        <v>260</v>
      </c>
      <c r="B24330" s="1" t="str">
        <f>HYPERLINK("http://apero-belin.fr","apero-belin.fr")</f>
        <v>apero-belin.fr</v>
      </c>
      <c r="C24330" t="s">
        <v>446</v>
      </c>
      <c r="D24330" t="s">
        <v>824</v>
      </c>
      <c r="F24330">
        <v>4.7567789496475498E-9</v>
      </c>
      <c r="G24330">
        <v>38025919</v>
      </c>
      <c r="H24330">
        <v>13769768</v>
      </c>
      <c r="I24330">
        <v>6769456</v>
      </c>
      <c r="J24330">
        <v>3</v>
      </c>
    </row>
    <row r="24331" spans="1:10" x14ac:dyDescent="0.25">
      <c r="A24331" t="s">
        <v>260</v>
      </c>
      <c r="B24331" s="1" t="str">
        <f>HYPERLINK("http://clifbar.fr","clifbar.fr")</f>
        <v>clifbar.fr</v>
      </c>
      <c r="C24331" t="s">
        <v>446</v>
      </c>
      <c r="D24331" t="s">
        <v>824</v>
      </c>
      <c r="F24331">
        <v>1.4035594782185E-8</v>
      </c>
      <c r="G24331">
        <v>4189346</v>
      </c>
      <c r="H24331">
        <v>13944193</v>
      </c>
      <c r="I24331">
        <v>4304723</v>
      </c>
      <c r="J24331">
        <v>4</v>
      </c>
    </row>
    <row r="24332" spans="1:10" x14ac:dyDescent="0.25">
      <c r="A24332" t="s">
        <v>260</v>
      </c>
      <c r="B24332" s="1" t="str">
        <f>HYPERLINK("http://lu.fr","lu.fr")</f>
        <v>lu.fr</v>
      </c>
      <c r="C24332" t="s">
        <v>446</v>
      </c>
      <c r="D24332" t="s">
        <v>824</v>
      </c>
      <c r="F24332">
        <v>4.2570132854353898E-8</v>
      </c>
      <c r="G24332">
        <v>1136959</v>
      </c>
      <c r="H24332">
        <v>14491596</v>
      </c>
      <c r="I24332">
        <v>901659</v>
      </c>
      <c r="J24332">
        <v>2</v>
      </c>
    </row>
    <row r="24333" spans="1:10" x14ac:dyDescent="0.25">
      <c r="A24333" t="s">
        <v>260</v>
      </c>
      <c r="B24333" s="1" t="str">
        <f>HYPERLINK("http://lu-france.fr","lu-france.fr")</f>
        <v>lu-france.fr</v>
      </c>
      <c r="C24333" t="s">
        <v>446</v>
      </c>
      <c r="D24333" t="s">
        <v>824</v>
      </c>
      <c r="F24333">
        <v>1.15165129072878E-8</v>
      </c>
      <c r="G24333">
        <v>5492246</v>
      </c>
      <c r="H24333">
        <v>14238465</v>
      </c>
      <c r="I24333">
        <v>1526382</v>
      </c>
      <c r="J24333">
        <v>3</v>
      </c>
    </row>
    <row r="24334" spans="1:10" x14ac:dyDescent="0.25">
      <c r="A24334" t="s">
        <v>260</v>
      </c>
      <c r="B24334" s="1" t="str">
        <f>HYPERLINK("http://cadbury.ie","cadbury.ie")</f>
        <v>cadbury.ie</v>
      </c>
      <c r="C24334" t="s">
        <v>455</v>
      </c>
      <c r="D24334" t="s">
        <v>832</v>
      </c>
      <c r="F24334">
        <v>2.3410199680789301E-8</v>
      </c>
      <c r="G24334">
        <v>2224563</v>
      </c>
      <c r="H24334">
        <v>14377000</v>
      </c>
      <c r="I24334">
        <v>1213149</v>
      </c>
      <c r="J24334">
        <v>3</v>
      </c>
    </row>
    <row r="24335" spans="1:10" x14ac:dyDescent="0.25">
      <c r="A24335" t="s">
        <v>260</v>
      </c>
      <c r="B24335" s="1" t="str">
        <f>HYPERLINK("http://clifbar.it","clifbar.it")</f>
        <v>clifbar.it</v>
      </c>
      <c r="C24335" t="s">
        <v>459</v>
      </c>
      <c r="D24335" t="s">
        <v>835</v>
      </c>
      <c r="F24335">
        <v>1.0699468719862E-8</v>
      </c>
      <c r="G24335">
        <v>6101245</v>
      </c>
      <c r="H24335">
        <v>12241219</v>
      </c>
      <c r="I24335">
        <v>22228419</v>
      </c>
      <c r="J24335">
        <v>4</v>
      </c>
    </row>
    <row r="24336" spans="1:10" x14ac:dyDescent="0.25">
      <c r="A24336" t="s">
        <v>260</v>
      </c>
      <c r="B24336" s="1" t="str">
        <f>HYPERLINK("http://saiwa.it","saiwa.it")</f>
        <v>saiwa.it</v>
      </c>
      <c r="C24336" t="s">
        <v>459</v>
      </c>
      <c r="D24336" t="s">
        <v>835</v>
      </c>
      <c r="F24336">
        <v>5.7178972561288399E-9</v>
      </c>
      <c r="G24336">
        <v>18768346</v>
      </c>
      <c r="H24336">
        <v>13933067</v>
      </c>
      <c r="I24336">
        <v>4978470</v>
      </c>
      <c r="J24336">
        <v>3</v>
      </c>
    </row>
    <row r="24337" spans="1:10" x14ac:dyDescent="0.25">
      <c r="A24337" t="s">
        <v>260</v>
      </c>
      <c r="B24337" s="1" t="str">
        <f>HYPERLINK("http://dongsuh.co.kr","dongsuh.co.kr")</f>
        <v>dongsuh.co.kr</v>
      </c>
      <c r="C24337" t="s">
        <v>463</v>
      </c>
      <c r="D24337" t="s">
        <v>839</v>
      </c>
      <c r="F24337">
        <v>2.1881727705638001E-8</v>
      </c>
      <c r="G24337">
        <v>2400234</v>
      </c>
      <c r="H24337">
        <v>14074778</v>
      </c>
      <c r="I24337">
        <v>2929780</v>
      </c>
      <c r="J24337">
        <v>3</v>
      </c>
    </row>
    <row r="24338" spans="1:10" x14ac:dyDescent="0.25">
      <c r="A24338" t="s">
        <v>260</v>
      </c>
      <c r="B24338" s="1" t="str">
        <f>HYPERLINK("http://kentgida.net","kentgida.net")</f>
        <v>kentgida.net</v>
      </c>
      <c r="C24338" t="s">
        <v>474</v>
      </c>
      <c r="F24338">
        <v>4.4630670995786696E-9</v>
      </c>
      <c r="G24338">
        <v>66801444</v>
      </c>
      <c r="H24338">
        <v>10535542</v>
      </c>
      <c r="I24338">
        <v>47653446</v>
      </c>
      <c r="J24338">
        <v>3</v>
      </c>
    </row>
    <row r="24339" spans="1:10" x14ac:dyDescent="0.25">
      <c r="A24339" t="s">
        <v>260</v>
      </c>
      <c r="B24339" s="1" t="str">
        <f>HYPERLINK("http://clifbar.nl","clifbar.nl")</f>
        <v>clifbar.nl</v>
      </c>
      <c r="C24339" t="s">
        <v>477</v>
      </c>
      <c r="D24339" t="s">
        <v>852</v>
      </c>
      <c r="F24339">
        <v>1.26784834986974E-8</v>
      </c>
      <c r="G24339">
        <v>4790356</v>
      </c>
      <c r="H24339">
        <v>13763718</v>
      </c>
      <c r="I24339">
        <v>7753039</v>
      </c>
      <c r="J24339">
        <v>4</v>
      </c>
    </row>
    <row r="24340" spans="1:10" x14ac:dyDescent="0.25">
      <c r="A24340" t="s">
        <v>260</v>
      </c>
      <c r="B24340" s="1" t="str">
        <f>HYPERLINK("http://mondelezinternational.nl","mondelezinternational.nl")</f>
        <v>mondelezinternational.nl</v>
      </c>
      <c r="C24340" t="s">
        <v>477</v>
      </c>
      <c r="D24340" t="s">
        <v>852</v>
      </c>
      <c r="F24340">
        <v>1.5135820677519998E-8</v>
      </c>
      <c r="G24340">
        <v>3796229</v>
      </c>
      <c r="H24340">
        <v>12308043</v>
      </c>
      <c r="I24340">
        <v>20676279</v>
      </c>
      <c r="J24340">
        <v>3</v>
      </c>
    </row>
    <row r="24341" spans="1:10" x14ac:dyDescent="0.25">
      <c r="A24341" t="s">
        <v>260</v>
      </c>
      <c r="B24341" s="1" t="str">
        <f>HYPERLINK("http://freia.no","freia.no")</f>
        <v>freia.no</v>
      </c>
      <c r="C24341" t="s">
        <v>478</v>
      </c>
      <c r="D24341" t="s">
        <v>853</v>
      </c>
      <c r="F24341">
        <v>3.3929658735449502E-8</v>
      </c>
      <c r="G24341">
        <v>1525670</v>
      </c>
      <c r="H24341">
        <v>14496293</v>
      </c>
      <c r="I24341">
        <v>871567</v>
      </c>
      <c r="J24341">
        <v>3</v>
      </c>
    </row>
    <row r="24342" spans="1:10" x14ac:dyDescent="0.25">
      <c r="A24342" t="s">
        <v>260</v>
      </c>
      <c r="B24342" s="1" t="str">
        <f>HYPERLINK("http://cadbury.co.nz","cadbury.co.nz")</f>
        <v>cadbury.co.nz</v>
      </c>
      <c r="C24342" t="s">
        <v>479</v>
      </c>
      <c r="D24342" t="s">
        <v>854</v>
      </c>
      <c r="E24342">
        <v>747801</v>
      </c>
      <c r="F24342">
        <v>2.8958323104465001E-8</v>
      </c>
      <c r="G24342">
        <v>1777913</v>
      </c>
      <c r="H24342">
        <v>14506064</v>
      </c>
      <c r="I24342">
        <v>834504</v>
      </c>
      <c r="J24342">
        <v>4</v>
      </c>
    </row>
    <row r="24343" spans="1:10" x14ac:dyDescent="0.25">
      <c r="A24343" t="s">
        <v>260</v>
      </c>
      <c r="B24343" s="1" t="str">
        <f>HYPERLINK("http://clifbar.co.nz","clifbar.co.nz")</f>
        <v>clifbar.co.nz</v>
      </c>
      <c r="C24343" t="s">
        <v>479</v>
      </c>
      <c r="D24343" t="s">
        <v>854</v>
      </c>
      <c r="F24343">
        <v>1.08489964046294E-8</v>
      </c>
      <c r="G24343">
        <v>5981637</v>
      </c>
      <c r="H24343">
        <v>12248518</v>
      </c>
      <c r="I24343">
        <v>22043454</v>
      </c>
      <c r="J24343">
        <v>4</v>
      </c>
    </row>
    <row r="24344" spans="1:10" x14ac:dyDescent="0.25">
      <c r="A24344" t="s">
        <v>260</v>
      </c>
      <c r="B24344" s="1" t="str">
        <f>HYPERLINK("http://clifbar.pt","clifbar.pt")</f>
        <v>clifbar.pt</v>
      </c>
      <c r="C24344" t="s">
        <v>488</v>
      </c>
      <c r="D24344" t="s">
        <v>862</v>
      </c>
      <c r="F24344">
        <v>1.03332638657758E-8</v>
      </c>
      <c r="G24344">
        <v>6419992</v>
      </c>
      <c r="H24344">
        <v>12227757</v>
      </c>
      <c r="I24344">
        <v>22563185</v>
      </c>
      <c r="J24344">
        <v>4</v>
      </c>
    </row>
    <row r="24345" spans="1:10" x14ac:dyDescent="0.25">
      <c r="A24345" t="s">
        <v>260</v>
      </c>
      <c r="B24345" s="1" t="str">
        <f>HYPERLINK("http://clifbar.se","clifbar.se")</f>
        <v>clifbar.se</v>
      </c>
      <c r="C24345" t="s">
        <v>495</v>
      </c>
      <c r="D24345" t="s">
        <v>869</v>
      </c>
      <c r="F24345">
        <v>1.15080480915712E-8</v>
      </c>
      <c r="G24345">
        <v>5498438</v>
      </c>
      <c r="H24345">
        <v>13933298</v>
      </c>
      <c r="I24345">
        <v>4793769</v>
      </c>
      <c r="J24345">
        <v>4</v>
      </c>
    </row>
    <row r="24346" spans="1:10" x14ac:dyDescent="0.25">
      <c r="A24346" t="s">
        <v>260</v>
      </c>
      <c r="B24346" s="1" t="str">
        <f>HYPERLINK("http://mondelezinternational.se","mondelezinternational.se")</f>
        <v>mondelezinternational.se</v>
      </c>
      <c r="C24346" t="s">
        <v>495</v>
      </c>
      <c r="D24346" t="s">
        <v>869</v>
      </c>
      <c r="F24346">
        <v>8.8060730291680904E-9</v>
      </c>
      <c r="G24346">
        <v>8294716</v>
      </c>
      <c r="H24346">
        <v>13935606</v>
      </c>
      <c r="I24346">
        <v>4525447</v>
      </c>
      <c r="J24346">
        <v>3</v>
      </c>
    </row>
    <row r="24347" spans="1:10" x14ac:dyDescent="0.25">
      <c r="A24347" t="s">
        <v>260</v>
      </c>
      <c r="B24347" s="1" t="str">
        <f>HYPERLINK("http://cadbury.co.uk","cadbury.co.uk")</f>
        <v>cadbury.co.uk</v>
      </c>
      <c r="C24347" t="s">
        <v>506</v>
      </c>
      <c r="D24347" t="s">
        <v>880</v>
      </c>
      <c r="E24347">
        <v>76868</v>
      </c>
      <c r="F24347">
        <v>3.5187927732727598E-7</v>
      </c>
      <c r="G24347">
        <v>106257</v>
      </c>
      <c r="H24347">
        <v>15147129</v>
      </c>
      <c r="I24347">
        <v>400453</v>
      </c>
      <c r="J24347">
        <v>3</v>
      </c>
    </row>
    <row r="24348" spans="1:10" x14ac:dyDescent="0.25">
      <c r="A24348" t="s">
        <v>260</v>
      </c>
      <c r="B24348" s="1" t="str">
        <f>HYPERLINK("http://clifbar.co.uk","clifbar.co.uk")</f>
        <v>clifbar.co.uk</v>
      </c>
      <c r="C24348" t="s">
        <v>506</v>
      </c>
      <c r="D24348" t="s">
        <v>880</v>
      </c>
      <c r="F24348">
        <v>3.2327289769130803E-8</v>
      </c>
      <c r="G24348">
        <v>1598368</v>
      </c>
      <c r="H24348">
        <v>14177738</v>
      </c>
      <c r="I24348">
        <v>1786239</v>
      </c>
      <c r="J24348">
        <v>4</v>
      </c>
    </row>
    <row r="24349" spans="1:10" x14ac:dyDescent="0.25">
      <c r="A24349" t="s">
        <v>260</v>
      </c>
      <c r="B24349" s="1" t="str">
        <f>HYPERLINK("http://ejackson.co.uk","ejackson.co.uk")</f>
        <v>ejackson.co.uk</v>
      </c>
      <c r="C24349" t="s">
        <v>506</v>
      </c>
      <c r="D24349" t="s">
        <v>880</v>
      </c>
      <c r="F24349">
        <v>5.0244257198763702E-9</v>
      </c>
      <c r="G24349">
        <v>28798322</v>
      </c>
      <c r="H24349">
        <v>12073412</v>
      </c>
      <c r="I24349">
        <v>26718297</v>
      </c>
      <c r="J24349">
        <v>3</v>
      </c>
    </row>
    <row r="24350" spans="1:10" x14ac:dyDescent="0.25">
      <c r="A24350" t="s">
        <v>260</v>
      </c>
      <c r="B24350" s="1" t="str">
        <f>HYPERLINK("http://greenandblacks.co.uk","greenandblacks.co.uk")</f>
        <v>greenandblacks.co.uk</v>
      </c>
      <c r="C24350" t="s">
        <v>506</v>
      </c>
      <c r="D24350" t="s">
        <v>880</v>
      </c>
      <c r="E24350">
        <v>650847</v>
      </c>
      <c r="F24350">
        <v>6.3414684115805995E-8</v>
      </c>
      <c r="G24350">
        <v>685453</v>
      </c>
      <c r="H24350">
        <v>14747811</v>
      </c>
      <c r="I24350">
        <v>564565</v>
      </c>
      <c r="J24350">
        <v>3</v>
      </c>
    </row>
    <row r="24351" spans="1:10" x14ac:dyDescent="0.25">
      <c r="A24351" t="s">
        <v>261</v>
      </c>
      <c r="B24351" s="1" t="str">
        <f>HYPERLINK("http://monsterenergy.cn","monsterenergy.cn")</f>
        <v>monsterenergy.cn</v>
      </c>
      <c r="C24351" t="s">
        <v>431</v>
      </c>
      <c r="D24351" t="s">
        <v>812</v>
      </c>
      <c r="F24351">
        <v>1.2069355701721601E-8</v>
      </c>
      <c r="G24351">
        <v>5131727</v>
      </c>
      <c r="H24351">
        <v>13813301</v>
      </c>
      <c r="I24351">
        <v>6181587</v>
      </c>
      <c r="J24351">
        <v>4</v>
      </c>
    </row>
    <row r="24352" spans="1:10" x14ac:dyDescent="0.25">
      <c r="A24352" t="s">
        <v>261</v>
      </c>
      <c r="B24352" s="1" t="str">
        <f>HYPERLINK("http://drinknos.com","drinknos.com")</f>
        <v>drinknos.com</v>
      </c>
      <c r="C24352" t="s">
        <v>433</v>
      </c>
      <c r="E24352">
        <v>981406</v>
      </c>
      <c r="F24352">
        <v>5.4212182801420297E-8</v>
      </c>
      <c r="G24352">
        <v>833828</v>
      </c>
      <c r="H24352">
        <v>14264840</v>
      </c>
      <c r="I24352">
        <v>1409926</v>
      </c>
      <c r="J24352">
        <v>6</v>
      </c>
    </row>
    <row r="24353" spans="1:10" x14ac:dyDescent="0.25">
      <c r="A24353" t="s">
        <v>261</v>
      </c>
      <c r="B24353" s="1" t="str">
        <f>HYPERLINK("http://monsterbevcorp.com","monsterbevcorp.com")</f>
        <v>monsterbevcorp.com</v>
      </c>
      <c r="C24353" t="s">
        <v>433</v>
      </c>
      <c r="E24353">
        <v>685161</v>
      </c>
      <c r="F24353">
        <v>1.10917247900468E-7</v>
      </c>
      <c r="G24353">
        <v>360438</v>
      </c>
      <c r="H24353">
        <v>14547090</v>
      </c>
      <c r="I24353">
        <v>765689</v>
      </c>
      <c r="J24353">
        <v>1</v>
      </c>
    </row>
    <row r="24354" spans="1:10" x14ac:dyDescent="0.25">
      <c r="A24354" t="s">
        <v>261</v>
      </c>
      <c r="B24354" s="1" t="str">
        <f>HYPERLINK("http://monsterenergy.com","monsterenergy.com")</f>
        <v>monsterenergy.com</v>
      </c>
      <c r="C24354" t="s">
        <v>433</v>
      </c>
      <c r="E24354">
        <v>26681</v>
      </c>
      <c r="F24354">
        <v>9.3216524337440303E-7</v>
      </c>
      <c r="G24354">
        <v>41257</v>
      </c>
      <c r="H24354">
        <v>15400033</v>
      </c>
      <c r="I24354">
        <v>380228</v>
      </c>
      <c r="J24354">
        <v>3</v>
      </c>
    </row>
    <row r="24355" spans="1:10" x14ac:dyDescent="0.25">
      <c r="A24355" t="s">
        <v>261</v>
      </c>
      <c r="B24355" s="1" t="str">
        <f>HYPERLINK("http://oskarblues.com","oskarblues.com")</f>
        <v>oskarblues.com</v>
      </c>
      <c r="C24355" t="s">
        <v>433</v>
      </c>
      <c r="E24355">
        <v>200161</v>
      </c>
      <c r="F24355">
        <v>3.03778239253578E-7</v>
      </c>
      <c r="G24355">
        <v>122391</v>
      </c>
      <c r="H24355">
        <v>17132702</v>
      </c>
      <c r="I24355">
        <v>56107</v>
      </c>
      <c r="J24355">
        <v>3</v>
      </c>
    </row>
    <row r="24356" spans="1:10" x14ac:dyDescent="0.25">
      <c r="A24356" t="s">
        <v>261</v>
      </c>
      <c r="B24356" s="1" t="str">
        <f>HYPERLINK("http://burn.fi","burn.fi")</f>
        <v>burn.fi</v>
      </c>
      <c r="C24356" t="s">
        <v>445</v>
      </c>
      <c r="D24356" t="s">
        <v>823</v>
      </c>
      <c r="J24356">
        <v>2</v>
      </c>
    </row>
    <row r="24357" spans="1:10" x14ac:dyDescent="0.25">
      <c r="A24357" t="s">
        <v>261</v>
      </c>
      <c r="B24357" s="1" t="str">
        <f>HYPERLINK("http://sellyourmother.fi","sellyourmother.fi")</f>
        <v>sellyourmother.fi</v>
      </c>
      <c r="C24357" t="s">
        <v>445</v>
      </c>
      <c r="D24357" t="s">
        <v>823</v>
      </c>
      <c r="J24357">
        <v>2</v>
      </c>
    </row>
    <row r="24358" spans="1:10" x14ac:dyDescent="0.25">
      <c r="A24358" t="s">
        <v>261</v>
      </c>
      <c r="B24358" s="1" t="str">
        <f>HYPERLINK("http://monsterenergyeuropelimited.co.uk","monsterenergyeuropelimited.co.uk")</f>
        <v>monsterenergyeuropelimited.co.uk</v>
      </c>
      <c r="C24358" t="s">
        <v>506</v>
      </c>
      <c r="D24358" t="s">
        <v>880</v>
      </c>
      <c r="F24358">
        <v>4.8138474354505402E-9</v>
      </c>
      <c r="G24358">
        <v>35512054</v>
      </c>
      <c r="H24358">
        <v>11157583</v>
      </c>
      <c r="I24358">
        <v>31650993</v>
      </c>
      <c r="J24358">
        <v>3</v>
      </c>
    </row>
    <row r="24359" spans="1:10" x14ac:dyDescent="0.25">
      <c r="A24359" t="s">
        <v>262</v>
      </c>
      <c r="B24359" s="1" t="str">
        <f>HYPERLINK("http://kompany.at","kompany.at")</f>
        <v>kompany.at</v>
      </c>
      <c r="C24359" t="s">
        <v>419</v>
      </c>
      <c r="D24359" t="s">
        <v>801</v>
      </c>
      <c r="F24359">
        <v>2.8701974235903E-8</v>
      </c>
      <c r="G24359">
        <v>1793071</v>
      </c>
      <c r="H24359">
        <v>13964807</v>
      </c>
      <c r="I24359">
        <v>4092610</v>
      </c>
      <c r="J24359">
        <v>4</v>
      </c>
    </row>
    <row r="24360" spans="1:10" x14ac:dyDescent="0.25">
      <c r="A24360" t="s">
        <v>262</v>
      </c>
      <c r="B24360" s="1" t="str">
        <f>HYPERLINK("http://kompany.com.au","kompany.com.au")</f>
        <v>kompany.com.au</v>
      </c>
      <c r="C24360" t="s">
        <v>420</v>
      </c>
      <c r="D24360" t="s">
        <v>802</v>
      </c>
      <c r="F24360">
        <v>8.0876665666065903E-9</v>
      </c>
      <c r="G24360">
        <v>9763674</v>
      </c>
      <c r="H24360">
        <v>12217106</v>
      </c>
      <c r="I24360">
        <v>22854122</v>
      </c>
      <c r="J24360">
        <v>4</v>
      </c>
    </row>
    <row r="24361" spans="1:10" x14ac:dyDescent="0.25">
      <c r="A24361" t="s">
        <v>262</v>
      </c>
      <c r="B24361" s="1" t="str">
        <f>HYPERLINK("http://csi.ca","csi.ca")</f>
        <v>csi.ca</v>
      </c>
      <c r="C24361" t="s">
        <v>428</v>
      </c>
      <c r="D24361" t="s">
        <v>809</v>
      </c>
      <c r="E24361">
        <v>336670</v>
      </c>
      <c r="F24361">
        <v>2.15164538357849E-7</v>
      </c>
      <c r="G24361">
        <v>175371</v>
      </c>
      <c r="H24361">
        <v>14715887</v>
      </c>
      <c r="I24361">
        <v>580458</v>
      </c>
      <c r="J24361">
        <v>2</v>
      </c>
    </row>
    <row r="24362" spans="1:10" x14ac:dyDescent="0.25">
      <c r="A24362" t="s">
        <v>262</v>
      </c>
      <c r="B24362" s="1" t="str">
        <f>HYPERLINK("http://kompany.ca","kompany.ca")</f>
        <v>kompany.ca</v>
      </c>
      <c r="C24362" t="s">
        <v>428</v>
      </c>
      <c r="D24362" t="s">
        <v>809</v>
      </c>
      <c r="F24362">
        <v>8.0065346389649903E-9</v>
      </c>
      <c r="G24362">
        <v>9908863</v>
      </c>
      <c r="H24362">
        <v>13066076</v>
      </c>
      <c r="I24362">
        <v>12286630</v>
      </c>
      <c r="J24362">
        <v>4</v>
      </c>
    </row>
    <row r="24363" spans="1:10" x14ac:dyDescent="0.25">
      <c r="A24363" t="s">
        <v>262</v>
      </c>
      <c r="B24363" s="1" t="str">
        <f>HYPERLINK("http://kompany.ch","kompany.ch")</f>
        <v>kompany.ch</v>
      </c>
      <c r="C24363" t="s">
        <v>429</v>
      </c>
      <c r="D24363" t="s">
        <v>810</v>
      </c>
      <c r="F24363">
        <v>8.6293370947765801E-9</v>
      </c>
      <c r="G24363">
        <v>8603558</v>
      </c>
      <c r="H24363">
        <v>14072554</v>
      </c>
      <c r="I24363">
        <v>3074545</v>
      </c>
      <c r="J24363">
        <v>4</v>
      </c>
    </row>
    <row r="24364" spans="1:10" x14ac:dyDescent="0.25">
      <c r="A24364" t="s">
        <v>262</v>
      </c>
      <c r="B24364" s="1" t="str">
        <f>HYPERLINK("http://hwind.co","hwind.co")</f>
        <v>hwind.co</v>
      </c>
      <c r="C24364" t="s">
        <v>432</v>
      </c>
      <c r="F24364">
        <v>1.3002701646621701E-8</v>
      </c>
      <c r="G24364">
        <v>4630473</v>
      </c>
      <c r="H24364">
        <v>13241861</v>
      </c>
      <c r="I24364">
        <v>11208180</v>
      </c>
      <c r="J24364">
        <v>6</v>
      </c>
    </row>
    <row r="24365" spans="1:10" x14ac:dyDescent="0.25">
      <c r="A24365" t="s">
        <v>262</v>
      </c>
      <c r="B24365" s="1" t="str">
        <f>HYPERLINK("http://427mt.com","427mt.com")</f>
        <v>427mt.com</v>
      </c>
      <c r="C24365" t="s">
        <v>433</v>
      </c>
      <c r="F24365">
        <v>1.4805014036314699E-7</v>
      </c>
      <c r="G24365">
        <v>262667</v>
      </c>
      <c r="H24365">
        <v>14657687</v>
      </c>
      <c r="I24365">
        <v>621989</v>
      </c>
      <c r="J24365">
        <v>4</v>
      </c>
    </row>
    <row r="24366" spans="1:10" x14ac:dyDescent="0.25">
      <c r="A24366" t="s">
        <v>262</v>
      </c>
      <c r="B24366" s="1" t="str">
        <f>HYPERLINK("http://bvdep.com","bvdep.com")</f>
        <v>bvdep.com</v>
      </c>
      <c r="C24366" t="s">
        <v>433</v>
      </c>
      <c r="E24366">
        <v>268751</v>
      </c>
      <c r="F24366">
        <v>1.82661393155188E-7</v>
      </c>
      <c r="G24366">
        <v>211128</v>
      </c>
      <c r="H24366">
        <v>14944817</v>
      </c>
      <c r="I24366">
        <v>442252</v>
      </c>
      <c r="J24366">
        <v>3</v>
      </c>
    </row>
    <row r="24367" spans="1:10" x14ac:dyDescent="0.25">
      <c r="A24367" t="s">
        <v>262</v>
      </c>
      <c r="B24367" s="1" t="str">
        <f>HYPERLINK("http://bvdinfo.com","bvdinfo.com")</f>
        <v>bvdinfo.com</v>
      </c>
      <c r="C24367" t="s">
        <v>433</v>
      </c>
      <c r="E24367">
        <v>80970</v>
      </c>
      <c r="F24367">
        <v>6.2030003532910495E-7</v>
      </c>
      <c r="G24367">
        <v>61755</v>
      </c>
      <c r="H24367">
        <v>15420143</v>
      </c>
      <c r="I24367">
        <v>379347</v>
      </c>
      <c r="J24367">
        <v>3</v>
      </c>
    </row>
    <row r="24368" spans="1:10" x14ac:dyDescent="0.25">
      <c r="A24368" t="s">
        <v>262</v>
      </c>
      <c r="B24368" s="1" t="str">
        <f>HYPERLINK("http://cortera.com","cortera.com")</f>
        <v>cortera.com</v>
      </c>
      <c r="C24368" t="s">
        <v>433</v>
      </c>
      <c r="E24368">
        <v>100510</v>
      </c>
      <c r="F24368">
        <v>1.75305366313538E-7</v>
      </c>
      <c r="G24368">
        <v>221212</v>
      </c>
      <c r="H24368">
        <v>15000295</v>
      </c>
      <c r="I24368">
        <v>425766</v>
      </c>
      <c r="J24368">
        <v>3</v>
      </c>
    </row>
    <row r="24369" spans="1:10" x14ac:dyDescent="0.25">
      <c r="A24369" t="s">
        <v>262</v>
      </c>
      <c r="B24369" s="1" t="str">
        <f>HYPERLINK("http://exevo.com","exevo.com")</f>
        <v>exevo.com</v>
      </c>
      <c r="C24369" t="s">
        <v>433</v>
      </c>
      <c r="F24369">
        <v>4.4630081165740501E-9</v>
      </c>
      <c r="G24369">
        <v>66815811</v>
      </c>
      <c r="H24369">
        <v>11871030</v>
      </c>
      <c r="I24369">
        <v>29667810</v>
      </c>
      <c r="J24369">
        <v>3</v>
      </c>
    </row>
    <row r="24370" spans="1:10" x14ac:dyDescent="0.25">
      <c r="A24370" t="s">
        <v>262</v>
      </c>
      <c r="B24370" s="1" t="str">
        <f>HYPERLINK("http://ggy.com","ggy.com")</f>
        <v>ggy.com</v>
      </c>
      <c r="C24370" t="s">
        <v>433</v>
      </c>
      <c r="F24370">
        <v>1.37652489133103E-8</v>
      </c>
      <c r="G24370">
        <v>4295140</v>
      </c>
      <c r="H24370">
        <v>12875214</v>
      </c>
      <c r="I24370">
        <v>14034108</v>
      </c>
      <c r="J24370">
        <v>3</v>
      </c>
    </row>
    <row r="24371" spans="1:10" x14ac:dyDescent="0.25">
      <c r="A24371" t="s">
        <v>262</v>
      </c>
      <c r="B24371" s="1" t="str">
        <f>HYPERLINK("http://icraindonesia.com","icraindonesia.com")</f>
        <v>icraindonesia.com</v>
      </c>
      <c r="C24371" t="s">
        <v>433</v>
      </c>
      <c r="F24371">
        <v>4.73383956763162E-9</v>
      </c>
      <c r="G24371">
        <v>39155345</v>
      </c>
      <c r="H24371">
        <v>10988258</v>
      </c>
      <c r="I24371">
        <v>33781242</v>
      </c>
      <c r="J24371">
        <v>3</v>
      </c>
    </row>
    <row r="24372" spans="1:10" x14ac:dyDescent="0.25">
      <c r="A24372" t="s">
        <v>262</v>
      </c>
      <c r="B24372" s="1" t="str">
        <f>HYPERLINK("http://kisrating.com","kisrating.com")</f>
        <v>kisrating.com</v>
      </c>
      <c r="C24372" t="s">
        <v>433</v>
      </c>
      <c r="F24372">
        <v>5.80677571805216E-8</v>
      </c>
      <c r="G24372">
        <v>766580</v>
      </c>
      <c r="H24372">
        <v>13289565</v>
      </c>
      <c r="I24372">
        <v>10877990</v>
      </c>
      <c r="J24372">
        <v>3</v>
      </c>
    </row>
    <row r="24373" spans="1:10" x14ac:dyDescent="0.25">
      <c r="A24373" t="s">
        <v>262</v>
      </c>
      <c r="B24373" s="1" t="str">
        <f>HYPERLINK("http://kmv.com","kmv.com")</f>
        <v>kmv.com</v>
      </c>
      <c r="C24373" t="s">
        <v>433</v>
      </c>
      <c r="F24373">
        <v>1.2555710765441E-8</v>
      </c>
      <c r="G24373">
        <v>4856377</v>
      </c>
      <c r="H24373">
        <v>14092575</v>
      </c>
      <c r="I24373">
        <v>2739002</v>
      </c>
      <c r="J24373">
        <v>5</v>
      </c>
    </row>
    <row r="24374" spans="1:10" x14ac:dyDescent="0.25">
      <c r="A24374" t="s">
        <v>262</v>
      </c>
      <c r="B24374" s="1" t="str">
        <f>HYPERLINK("http://kompany.com","kompany.com")</f>
        <v>kompany.com</v>
      </c>
      <c r="C24374" t="s">
        <v>433</v>
      </c>
      <c r="E24374">
        <v>547023</v>
      </c>
      <c r="F24374">
        <v>1.7269766249917001E-7</v>
      </c>
      <c r="G24374">
        <v>224612</v>
      </c>
      <c r="H24374">
        <v>14695566</v>
      </c>
      <c r="I24374">
        <v>599621</v>
      </c>
      <c r="J24374">
        <v>3</v>
      </c>
    </row>
    <row r="24375" spans="1:10" x14ac:dyDescent="0.25">
      <c r="A24375" t="s">
        <v>262</v>
      </c>
      <c r="B24375" s="1" t="str">
        <f>HYPERLINK("http://lavalobe.com","lavalobe.com")</f>
        <v>lavalobe.com</v>
      </c>
      <c r="C24375" t="s">
        <v>433</v>
      </c>
      <c r="F24375">
        <v>4.5979083685599301E-9</v>
      </c>
      <c r="G24375">
        <v>47771997</v>
      </c>
      <c r="H24375">
        <v>12224371</v>
      </c>
      <c r="I24375">
        <v>22672564</v>
      </c>
      <c r="J24375">
        <v>6</v>
      </c>
    </row>
    <row r="24376" spans="1:10" x14ac:dyDescent="0.25">
      <c r="A24376" t="s">
        <v>262</v>
      </c>
      <c r="B24376" s="1" t="str">
        <f>HYPERLINK("http://moodys.com","moodys.com")</f>
        <v>moodys.com</v>
      </c>
      <c r="C24376" t="s">
        <v>433</v>
      </c>
      <c r="E24376">
        <v>6856</v>
      </c>
      <c r="F24376">
        <v>3.5539650493675199E-6</v>
      </c>
      <c r="G24376">
        <v>11539</v>
      </c>
      <c r="H24376">
        <v>17505116</v>
      </c>
      <c r="I24376">
        <v>13462</v>
      </c>
      <c r="J24376">
        <v>1</v>
      </c>
    </row>
    <row r="24377" spans="1:10" x14ac:dyDescent="0.25">
      <c r="A24377" t="s">
        <v>262</v>
      </c>
      <c r="B24377" s="1" t="str">
        <f>HYPERLINK("http://moodysanalytics.com","moodysanalytics.com")</f>
        <v>moodysanalytics.com</v>
      </c>
      <c r="C24377" t="s">
        <v>433</v>
      </c>
      <c r="E24377">
        <v>16115</v>
      </c>
      <c r="F24377">
        <v>5.0047586441568902E-6</v>
      </c>
      <c r="G24377">
        <v>6943</v>
      </c>
      <c r="H24377">
        <v>17570250</v>
      </c>
      <c r="I24377">
        <v>10617</v>
      </c>
      <c r="J24377">
        <v>2</v>
      </c>
    </row>
    <row r="24378" spans="1:10" x14ac:dyDescent="0.25">
      <c r="A24378" t="s">
        <v>262</v>
      </c>
      <c r="B24378" s="1" t="str">
        <f>HYPERLINK("http://omega-performance.com","omega-performance.com")</f>
        <v>omega-performance.com</v>
      </c>
      <c r="C24378" t="s">
        <v>433</v>
      </c>
      <c r="F24378">
        <v>3.98149425943231E-8</v>
      </c>
      <c r="G24378">
        <v>1297664</v>
      </c>
      <c r="H24378">
        <v>13972930</v>
      </c>
      <c r="I24378">
        <v>4068506</v>
      </c>
      <c r="J24378">
        <v>3</v>
      </c>
    </row>
    <row r="24379" spans="1:10" x14ac:dyDescent="0.25">
      <c r="A24379" t="s">
        <v>262</v>
      </c>
      <c r="B24379" s="1" t="str">
        <f>HYPERLINK("http://passfort.com","passfort.com")</f>
        <v>passfort.com</v>
      </c>
      <c r="C24379" t="s">
        <v>433</v>
      </c>
      <c r="F24379">
        <v>7.7923325952226197E-8</v>
      </c>
      <c r="G24379">
        <v>536894</v>
      </c>
      <c r="H24379">
        <v>13810711</v>
      </c>
      <c r="I24379">
        <v>6210583</v>
      </c>
      <c r="J24379">
        <v>3</v>
      </c>
    </row>
    <row r="24380" spans="1:10" x14ac:dyDescent="0.25">
      <c r="A24380" t="s">
        <v>262</v>
      </c>
      <c r="B24380" s="1" t="str">
        <f>HYPERLINK("http://realxdata.com","realxdata.com")</f>
        <v>realxdata.com</v>
      </c>
      <c r="C24380" t="s">
        <v>433</v>
      </c>
      <c r="F24380">
        <v>1.7065560663795101E-8</v>
      </c>
      <c r="G24380">
        <v>3268418</v>
      </c>
      <c r="H24380">
        <v>12803112</v>
      </c>
      <c r="I24380">
        <v>14625033</v>
      </c>
      <c r="J24380">
        <v>3</v>
      </c>
    </row>
    <row r="24381" spans="1:10" x14ac:dyDescent="0.25">
      <c r="A24381" t="s">
        <v>262</v>
      </c>
      <c r="B24381" s="1" t="str">
        <f>HYPERLINK("http://realxdeal.com","realxdeal.com")</f>
        <v>realxdeal.com</v>
      </c>
      <c r="C24381" t="s">
        <v>433</v>
      </c>
      <c r="F24381">
        <v>5.3504118636193597E-9</v>
      </c>
      <c r="G24381">
        <v>22798273</v>
      </c>
      <c r="H24381">
        <v>9787101</v>
      </c>
      <c r="I24381">
        <v>62690521</v>
      </c>
      <c r="J24381">
        <v>5</v>
      </c>
    </row>
    <row r="24382" spans="1:10" x14ac:dyDescent="0.25">
      <c r="A24382" t="s">
        <v>262</v>
      </c>
      <c r="B24382" s="1" t="str">
        <f>HYPERLINK("http://riskfirst.com","riskfirst.com")</f>
        <v>riskfirst.com</v>
      </c>
      <c r="C24382" t="s">
        <v>433</v>
      </c>
      <c r="F24382">
        <v>1.60041420957521E-8</v>
      </c>
      <c r="G24382">
        <v>3545084</v>
      </c>
      <c r="H24382">
        <v>12865726</v>
      </c>
      <c r="I24382">
        <v>14156880</v>
      </c>
      <c r="J24382">
        <v>3</v>
      </c>
    </row>
    <row r="24383" spans="1:10" x14ac:dyDescent="0.25">
      <c r="A24383" t="s">
        <v>262</v>
      </c>
      <c r="B24383" s="1" t="str">
        <f>HYPERLINK("http://rms.com","rms.com")</f>
        <v>rms.com</v>
      </c>
      <c r="C24383" t="s">
        <v>433</v>
      </c>
      <c r="E24383">
        <v>146719</v>
      </c>
      <c r="F24383">
        <v>3.6117469850575802E-7</v>
      </c>
      <c r="G24383">
        <v>103522</v>
      </c>
      <c r="H24383">
        <v>15061320</v>
      </c>
      <c r="I24383">
        <v>412593</v>
      </c>
      <c r="J24383">
        <v>3</v>
      </c>
    </row>
    <row r="24384" spans="1:10" x14ac:dyDescent="0.25">
      <c r="A24384" t="s">
        <v>262</v>
      </c>
      <c r="B24384" s="1" t="str">
        <f>HYPERLINK("http://vigeo-eiris.com","vigeo-eiris.com")</f>
        <v>vigeo-eiris.com</v>
      </c>
      <c r="C24384" t="s">
        <v>433</v>
      </c>
      <c r="E24384">
        <v>783829</v>
      </c>
      <c r="F24384">
        <v>2.88015101264937E-7</v>
      </c>
      <c r="G24384">
        <v>129081</v>
      </c>
      <c r="H24384">
        <v>14572482</v>
      </c>
      <c r="I24384">
        <v>733399</v>
      </c>
      <c r="J24384">
        <v>3</v>
      </c>
    </row>
    <row r="24385" spans="1:10" x14ac:dyDescent="0.25">
      <c r="A24385" t="s">
        <v>262</v>
      </c>
      <c r="B24385" s="1" t="str">
        <f>HYPERLINK("http://webequitysolutions.com","webequitysolutions.com")</f>
        <v>webequitysolutions.com</v>
      </c>
      <c r="C24385" t="s">
        <v>433</v>
      </c>
      <c r="F24385">
        <v>6.6950847798428098E-9</v>
      </c>
      <c r="G24385">
        <v>13320391</v>
      </c>
      <c r="H24385">
        <v>12195707</v>
      </c>
      <c r="I24385">
        <v>23434555</v>
      </c>
      <c r="J24385">
        <v>3</v>
      </c>
    </row>
    <row r="24386" spans="1:10" x14ac:dyDescent="0.25">
      <c r="A24386" t="s">
        <v>262</v>
      </c>
      <c r="B24386" s="1" t="str">
        <f>HYPERLINK("http://kompany.de","kompany.de")</f>
        <v>kompany.de</v>
      </c>
      <c r="C24386" t="s">
        <v>436</v>
      </c>
      <c r="D24386" t="s">
        <v>815</v>
      </c>
      <c r="F24386">
        <v>1.9326455090833801E-8</v>
      </c>
      <c r="G24386">
        <v>2777821</v>
      </c>
      <c r="H24386">
        <v>14375264</v>
      </c>
      <c r="I24386">
        <v>1227769</v>
      </c>
      <c r="J24386">
        <v>4</v>
      </c>
    </row>
    <row r="24387" spans="1:10" x14ac:dyDescent="0.25">
      <c r="A24387" t="s">
        <v>262</v>
      </c>
      <c r="B24387" s="1" t="str">
        <f>HYPERLINK("http://moodys.de","moodys.de")</f>
        <v>moodys.de</v>
      </c>
      <c r="C24387" t="s">
        <v>436</v>
      </c>
      <c r="D24387" t="s">
        <v>815</v>
      </c>
      <c r="F24387">
        <v>4.6616053354035103E-9</v>
      </c>
      <c r="G24387">
        <v>43420434</v>
      </c>
      <c r="H24387">
        <v>10723568</v>
      </c>
      <c r="I24387">
        <v>41485462</v>
      </c>
      <c r="J24387">
        <v>3</v>
      </c>
    </row>
    <row r="24388" spans="1:10" x14ac:dyDescent="0.25">
      <c r="A24388" t="s">
        <v>262</v>
      </c>
      <c r="B24388" s="1" t="str">
        <f>HYPERLINK("http://bogard.dk","bogard.dk")</f>
        <v>bogard.dk</v>
      </c>
      <c r="C24388" t="s">
        <v>437</v>
      </c>
      <c r="D24388" t="s">
        <v>816</v>
      </c>
      <c r="F24388">
        <v>5.5255352414251803E-9</v>
      </c>
      <c r="G24388">
        <v>20629607</v>
      </c>
      <c r="H24388">
        <v>9463213</v>
      </c>
      <c r="I24388">
        <v>66307077</v>
      </c>
      <c r="J24388">
        <v>5</v>
      </c>
    </row>
    <row r="24389" spans="1:10" x14ac:dyDescent="0.25">
      <c r="A24389" t="s">
        <v>262</v>
      </c>
      <c r="B24389" s="1" t="str">
        <f>HYPERLINK("http://bogard.fi","bogard.fi")</f>
        <v>bogard.fi</v>
      </c>
      <c r="C24389" t="s">
        <v>445</v>
      </c>
      <c r="D24389" t="s">
        <v>823</v>
      </c>
      <c r="F24389">
        <v>5.6033596587862598E-9</v>
      </c>
      <c r="G24389">
        <v>19825698</v>
      </c>
      <c r="H24389">
        <v>9463213</v>
      </c>
      <c r="I24389">
        <v>66307078</v>
      </c>
      <c r="J24389">
        <v>4</v>
      </c>
    </row>
    <row r="24390" spans="1:10" x14ac:dyDescent="0.25">
      <c r="A24390" t="s">
        <v>262</v>
      </c>
      <c r="B24390" s="1" t="str">
        <f>HYPERLINK("http://kompany.gg","kompany.gg")</f>
        <v>kompany.gg</v>
      </c>
      <c r="C24390" t="s">
        <v>639</v>
      </c>
      <c r="D24390" t="s">
        <v>960</v>
      </c>
      <c r="F24390">
        <v>8.2727491419786403E-9</v>
      </c>
      <c r="G24390">
        <v>9321842</v>
      </c>
      <c r="H24390">
        <v>12217453</v>
      </c>
      <c r="I24390">
        <v>22846354</v>
      </c>
      <c r="J24390">
        <v>4</v>
      </c>
    </row>
    <row r="24391" spans="1:10" x14ac:dyDescent="0.25">
      <c r="A24391" t="s">
        <v>262</v>
      </c>
      <c r="B24391" s="1" t="str">
        <f>HYPERLINK("http://kompany.ie","kompany.ie")</f>
        <v>kompany.ie</v>
      </c>
      <c r="C24391" t="s">
        <v>455</v>
      </c>
      <c r="D24391" t="s">
        <v>832</v>
      </c>
      <c r="F24391">
        <v>7.8892956614280903E-9</v>
      </c>
      <c r="G24391">
        <v>10132801</v>
      </c>
      <c r="H24391">
        <v>12219771</v>
      </c>
      <c r="I24391">
        <v>22792105</v>
      </c>
      <c r="J24391">
        <v>4</v>
      </c>
    </row>
    <row r="24392" spans="1:10" x14ac:dyDescent="0.25">
      <c r="A24392" t="s">
        <v>262</v>
      </c>
      <c r="B24392" s="1" t="str">
        <f>HYPERLINK("http://midroog.co.il","midroog.co.il")</f>
        <v>midroog.co.il</v>
      </c>
      <c r="C24392" t="s">
        <v>456</v>
      </c>
      <c r="D24392" t="s">
        <v>833</v>
      </c>
      <c r="F24392">
        <v>3.0817465565544301E-8</v>
      </c>
      <c r="G24392">
        <v>1671445</v>
      </c>
      <c r="H24392">
        <v>14485303</v>
      </c>
      <c r="I24392">
        <v>1010333</v>
      </c>
      <c r="J24392">
        <v>3</v>
      </c>
    </row>
    <row r="24393" spans="1:10" x14ac:dyDescent="0.25">
      <c r="A24393" t="s">
        <v>262</v>
      </c>
      <c r="B24393" s="1" t="str">
        <f>HYPERLINK("http://moodys.co.in","moodys.co.in")</f>
        <v>moodys.co.in</v>
      </c>
      <c r="C24393" t="s">
        <v>457</v>
      </c>
      <c r="D24393" t="s">
        <v>834</v>
      </c>
      <c r="F24393">
        <v>4.5330522276594697E-9</v>
      </c>
      <c r="G24393">
        <v>54728030</v>
      </c>
      <c r="H24393">
        <v>12287194</v>
      </c>
      <c r="I24393">
        <v>21171238</v>
      </c>
      <c r="J24393">
        <v>2</v>
      </c>
    </row>
    <row r="24394" spans="1:10" x14ac:dyDescent="0.25">
      <c r="A24394" t="s">
        <v>262</v>
      </c>
      <c r="B24394" s="1" t="str">
        <f>HYPERLINK("http://icra.in","icra.in")</f>
        <v>icra.in</v>
      </c>
      <c r="C24394" t="s">
        <v>457</v>
      </c>
      <c r="D24394" t="s">
        <v>834</v>
      </c>
      <c r="E24394">
        <v>351999</v>
      </c>
      <c r="F24394">
        <v>1.89454411533255E-7</v>
      </c>
      <c r="G24394">
        <v>203394</v>
      </c>
      <c r="H24394">
        <v>14869799</v>
      </c>
      <c r="I24394">
        <v>479121</v>
      </c>
      <c r="J24394">
        <v>3</v>
      </c>
    </row>
    <row r="24395" spans="1:10" x14ac:dyDescent="0.25">
      <c r="A24395" t="s">
        <v>262</v>
      </c>
      <c r="B24395" s="1" t="str">
        <f>HYPERLINK("http://moodys.io","moodys.io")</f>
        <v>moodys.io</v>
      </c>
      <c r="C24395" t="s">
        <v>518</v>
      </c>
      <c r="E24395">
        <v>234006</v>
      </c>
      <c r="F24395">
        <v>7.9621751571930695E-7</v>
      </c>
      <c r="G24395">
        <v>49425</v>
      </c>
      <c r="H24395">
        <v>16956662</v>
      </c>
      <c r="I24395">
        <v>106463</v>
      </c>
      <c r="J24395">
        <v>2</v>
      </c>
    </row>
    <row r="24396" spans="1:10" x14ac:dyDescent="0.25">
      <c r="A24396" t="s">
        <v>262</v>
      </c>
      <c r="B24396" s="1" t="str">
        <f>HYPERLINK("http://realxdata.io","realxdata.io")</f>
        <v>realxdata.io</v>
      </c>
      <c r="C24396" t="s">
        <v>518</v>
      </c>
      <c r="F24396">
        <v>5.8221268460687396E-9</v>
      </c>
      <c r="G24396">
        <v>17922236</v>
      </c>
      <c r="H24396">
        <v>9816844</v>
      </c>
      <c r="I24396">
        <v>62455923</v>
      </c>
      <c r="J24396">
        <v>4</v>
      </c>
    </row>
    <row r="24397" spans="1:10" x14ac:dyDescent="0.25">
      <c r="A24397" t="s">
        <v>262</v>
      </c>
      <c r="B24397" s="1" t="str">
        <f>HYPERLINK("http://bvdinfo.it","bvdinfo.it")</f>
        <v>bvdinfo.it</v>
      </c>
      <c r="C24397" t="s">
        <v>459</v>
      </c>
      <c r="D24397" t="s">
        <v>835</v>
      </c>
      <c r="F24397">
        <v>5.6493491869182903E-9</v>
      </c>
      <c r="G24397">
        <v>19398210</v>
      </c>
      <c r="H24397">
        <v>13763635</v>
      </c>
      <c r="I24397">
        <v>8231655</v>
      </c>
      <c r="J24397">
        <v>3</v>
      </c>
    </row>
    <row r="24398" spans="1:10" x14ac:dyDescent="0.25">
      <c r="A24398" t="s">
        <v>262</v>
      </c>
      <c r="B24398" s="1" t="str">
        <f>HYPERLINK("http://kompany.it","kompany.it")</f>
        <v>kompany.it</v>
      </c>
      <c r="C24398" t="s">
        <v>459</v>
      </c>
      <c r="D24398" t="s">
        <v>835</v>
      </c>
      <c r="F24398">
        <v>7.8893668805880694E-9</v>
      </c>
      <c r="G24398">
        <v>10132656</v>
      </c>
      <c r="H24398">
        <v>12240089</v>
      </c>
      <c r="I24398">
        <v>22253859</v>
      </c>
      <c r="J24398">
        <v>4</v>
      </c>
    </row>
    <row r="24399" spans="1:10" x14ac:dyDescent="0.25">
      <c r="A24399" t="s">
        <v>262</v>
      </c>
      <c r="B24399" s="1" t="str">
        <f>HYPERLINK("http://moodys.co.jp","moodys.co.jp")</f>
        <v>moodys.co.jp</v>
      </c>
      <c r="C24399" t="s">
        <v>461</v>
      </c>
      <c r="D24399" t="s">
        <v>837</v>
      </c>
      <c r="F24399">
        <v>3.5769353120544201E-8</v>
      </c>
      <c r="G24399">
        <v>1455885</v>
      </c>
      <c r="H24399">
        <v>14114742</v>
      </c>
      <c r="I24399">
        <v>2664791</v>
      </c>
      <c r="J24399">
        <v>2</v>
      </c>
    </row>
    <row r="24400" spans="1:10" x14ac:dyDescent="0.25">
      <c r="A24400" t="s">
        <v>262</v>
      </c>
      <c r="B24400" s="1" t="str">
        <f>HYPERLINK("http://bond.co.kr","bond.co.kr")</f>
        <v>bond.co.kr</v>
      </c>
      <c r="C24400" t="s">
        <v>463</v>
      </c>
      <c r="D24400" t="s">
        <v>839</v>
      </c>
      <c r="F24400">
        <v>1.46881678727489E-8</v>
      </c>
      <c r="G24400">
        <v>3945225</v>
      </c>
      <c r="H24400">
        <v>12300515</v>
      </c>
      <c r="I24400">
        <v>20821850</v>
      </c>
      <c r="J24400">
        <v>3</v>
      </c>
    </row>
    <row r="24401" spans="1:10" x14ac:dyDescent="0.25">
      <c r="A24401" t="s">
        <v>262</v>
      </c>
      <c r="B24401" s="1" t="str">
        <f>HYPERLINK("http://kispricing.kr","kispricing.kr")</f>
        <v>kispricing.kr</v>
      </c>
      <c r="C24401" t="s">
        <v>463</v>
      </c>
      <c r="D24401" t="s">
        <v>839</v>
      </c>
      <c r="J24401">
        <v>4</v>
      </c>
    </row>
    <row r="24402" spans="1:10" x14ac:dyDescent="0.25">
      <c r="A24402" t="s">
        <v>262</v>
      </c>
      <c r="B24402" s="1" t="str">
        <f>HYPERLINK("http://kompany.com.mt","kompany.com.mt")</f>
        <v>kompany.com.mt</v>
      </c>
      <c r="C24402" t="s">
        <v>597</v>
      </c>
      <c r="D24402" t="s">
        <v>932</v>
      </c>
      <c r="F24402">
        <v>9.7639352721755598E-9</v>
      </c>
      <c r="G24402">
        <v>7008026</v>
      </c>
      <c r="H24402">
        <v>14072465</v>
      </c>
      <c r="I24402">
        <v>3088569</v>
      </c>
      <c r="J24402">
        <v>4</v>
      </c>
    </row>
    <row r="24403" spans="1:10" x14ac:dyDescent="0.25">
      <c r="A24403" t="s">
        <v>262</v>
      </c>
      <c r="B24403" s="1" t="str">
        <f>HYPERLINK("http://moodys.com.mx","moodys.com.mx")</f>
        <v>moodys.com.mx</v>
      </c>
      <c r="C24403" t="s">
        <v>471</v>
      </c>
      <c r="D24403" t="s">
        <v>847</v>
      </c>
      <c r="F24403">
        <v>5.4390385674098902E-9</v>
      </c>
      <c r="G24403">
        <v>21629243</v>
      </c>
      <c r="H24403">
        <v>14071866</v>
      </c>
      <c r="I24403">
        <v>3277084</v>
      </c>
      <c r="J24403">
        <v>3</v>
      </c>
    </row>
    <row r="24404" spans="1:10" x14ac:dyDescent="0.25">
      <c r="A24404" t="s">
        <v>262</v>
      </c>
      <c r="B24404" s="1" t="str">
        <f>HYPERLINK("http://kompany.net","kompany.net")</f>
        <v>kompany.net</v>
      </c>
      <c r="C24404" t="s">
        <v>474</v>
      </c>
      <c r="F24404">
        <v>8.7734956990799595E-9</v>
      </c>
      <c r="G24404">
        <v>8353924</v>
      </c>
      <c r="H24404">
        <v>14072092</v>
      </c>
      <c r="I24404">
        <v>3164957</v>
      </c>
      <c r="J24404">
        <v>4</v>
      </c>
    </row>
    <row r="24405" spans="1:10" x14ac:dyDescent="0.25">
      <c r="A24405" t="s">
        <v>262</v>
      </c>
      <c r="B24405" s="1" t="str">
        <f>HYPERLINK("http://moodysanalytics.net","moodysanalytics.net")</f>
        <v>moodysanalytics.net</v>
      </c>
      <c r="C24405" t="s">
        <v>474</v>
      </c>
      <c r="F24405">
        <v>1.21364709470865E-8</v>
      </c>
      <c r="G24405">
        <v>5087582</v>
      </c>
      <c r="H24405">
        <v>12283188</v>
      </c>
      <c r="I24405">
        <v>21246824</v>
      </c>
      <c r="J24405">
        <v>4</v>
      </c>
    </row>
    <row r="24406" spans="1:10" x14ac:dyDescent="0.25">
      <c r="A24406" t="s">
        <v>262</v>
      </c>
      <c r="B24406" s="1" t="str">
        <f>HYPERLINK("http://kompany.co.nz","kompany.co.nz")</f>
        <v>kompany.co.nz</v>
      </c>
      <c r="C24406" t="s">
        <v>479</v>
      </c>
      <c r="D24406" t="s">
        <v>854</v>
      </c>
      <c r="F24406">
        <v>8.0983841677830001E-9</v>
      </c>
      <c r="G24406">
        <v>9744372</v>
      </c>
      <c r="H24406">
        <v>12222820</v>
      </c>
      <c r="I24406">
        <v>22712617</v>
      </c>
      <c r="J24406">
        <v>4</v>
      </c>
    </row>
    <row r="24407" spans="1:10" x14ac:dyDescent="0.25">
      <c r="A24407" t="s">
        <v>262</v>
      </c>
      <c r="B24407" s="1" t="str">
        <f>HYPERLINK("http://bogard.se","bogard.se")</f>
        <v>bogard.se</v>
      </c>
      <c r="C24407" t="s">
        <v>495</v>
      </c>
      <c r="D24407" t="s">
        <v>869</v>
      </c>
      <c r="F24407">
        <v>2.7017938914729998E-8</v>
      </c>
      <c r="G24407">
        <v>1903590</v>
      </c>
      <c r="H24407">
        <v>12266016</v>
      </c>
      <c r="I24407">
        <v>21617634</v>
      </c>
      <c r="J24407">
        <v>5</v>
      </c>
    </row>
    <row r="24408" spans="1:10" x14ac:dyDescent="0.25">
      <c r="A24408" t="s">
        <v>262</v>
      </c>
      <c r="B24408" s="1" t="str">
        <f>HYPERLINK("http://kompany.co.uk","kompany.co.uk")</f>
        <v>kompany.co.uk</v>
      </c>
      <c r="C24408" t="s">
        <v>506</v>
      </c>
      <c r="D24408" t="s">
        <v>880</v>
      </c>
      <c r="F24408">
        <v>9.5285517033757405E-9</v>
      </c>
      <c r="G24408">
        <v>7288582</v>
      </c>
      <c r="H24408">
        <v>13940172</v>
      </c>
      <c r="I24408">
        <v>4375707</v>
      </c>
      <c r="J24408">
        <v>4</v>
      </c>
    </row>
    <row r="24409" spans="1:10" x14ac:dyDescent="0.25">
      <c r="A24409" t="s">
        <v>263</v>
      </c>
      <c r="B24409" s="1" t="str">
        <f>HYPERLINK("http://eatonvance.at","eatonvance.at")</f>
        <v>eatonvance.at</v>
      </c>
      <c r="C24409" t="s">
        <v>419</v>
      </c>
      <c r="D24409" t="s">
        <v>801</v>
      </c>
      <c r="F24409">
        <v>7.3302403695021402E-9</v>
      </c>
      <c r="G24409">
        <v>11406983</v>
      </c>
      <c r="H24409">
        <v>10710174</v>
      </c>
      <c r="I24409">
        <v>42155058</v>
      </c>
      <c r="J24409">
        <v>5</v>
      </c>
    </row>
    <row r="24410" spans="1:10" x14ac:dyDescent="0.25">
      <c r="A24410" t="s">
        <v>263</v>
      </c>
      <c r="B24410" s="1" t="str">
        <f>HYPERLINK("http://eatonvance.com.au","eatonvance.com.au")</f>
        <v>eatonvance.com.au</v>
      </c>
      <c r="C24410" t="s">
        <v>420</v>
      </c>
      <c r="D24410" t="s">
        <v>802</v>
      </c>
      <c r="F24410">
        <v>7.3302403695021203E-9</v>
      </c>
      <c r="G24410">
        <v>11406985</v>
      </c>
      <c r="H24410">
        <v>10710174</v>
      </c>
      <c r="I24410">
        <v>42155059</v>
      </c>
      <c r="J24410">
        <v>5</v>
      </c>
    </row>
    <row r="24411" spans="1:10" x14ac:dyDescent="0.25">
      <c r="A24411" t="s">
        <v>263</v>
      </c>
      <c r="B24411" s="1" t="str">
        <f>HYPERLINK("http://morganstanley.com.au","morganstanley.com.au")</f>
        <v>morganstanley.com.au</v>
      </c>
      <c r="C24411" t="s">
        <v>420</v>
      </c>
      <c r="D24411" t="s">
        <v>802</v>
      </c>
      <c r="F24411">
        <v>3.4055550233203503E-8</v>
      </c>
      <c r="G24411">
        <v>1520857</v>
      </c>
      <c r="H24411">
        <v>13409742</v>
      </c>
      <c r="I24411">
        <v>10340902</v>
      </c>
      <c r="J24411">
        <v>2</v>
      </c>
    </row>
    <row r="24412" spans="1:10" x14ac:dyDescent="0.25">
      <c r="A24412" t="s">
        <v>263</v>
      </c>
      <c r="B24412" s="1" t="str">
        <f>HYPERLINK("http://morganstanleysmithbarney.com.au","morganstanleysmithbarney.com.au")</f>
        <v>morganstanleysmithbarney.com.au</v>
      </c>
      <c r="C24412" t="s">
        <v>420</v>
      </c>
      <c r="D24412" t="s">
        <v>802</v>
      </c>
      <c r="J24412">
        <v>4</v>
      </c>
    </row>
    <row r="24413" spans="1:10" x14ac:dyDescent="0.25">
      <c r="A24413" t="s">
        <v>263</v>
      </c>
      <c r="B24413" s="1" t="str">
        <f>HYPERLINK("http://morganstanley.com.br","morganstanley.com.br")</f>
        <v>morganstanley.com.br</v>
      </c>
      <c r="C24413" t="s">
        <v>425</v>
      </c>
      <c r="D24413" t="s">
        <v>806</v>
      </c>
      <c r="F24413">
        <v>9.5868593266608301E-9</v>
      </c>
      <c r="G24413">
        <v>7219969</v>
      </c>
      <c r="H24413">
        <v>12600257</v>
      </c>
      <c r="I24413">
        <v>16324234</v>
      </c>
      <c r="J24413">
        <v>2</v>
      </c>
    </row>
    <row r="24414" spans="1:10" x14ac:dyDescent="0.25">
      <c r="A24414" t="s">
        <v>263</v>
      </c>
      <c r="B24414" s="1" t="str">
        <f>HYPERLINK("http://eatonvance.ch","eatonvance.ch")</f>
        <v>eatonvance.ch</v>
      </c>
      <c r="C24414" t="s">
        <v>429</v>
      </c>
      <c r="D24414" t="s">
        <v>810</v>
      </c>
      <c r="F24414">
        <v>7.7762332020035401E-9</v>
      </c>
      <c r="G24414">
        <v>10377248</v>
      </c>
      <c r="H24414">
        <v>11138331</v>
      </c>
      <c r="I24414">
        <v>31853341</v>
      </c>
      <c r="J24414">
        <v>5</v>
      </c>
    </row>
    <row r="24415" spans="1:10" x14ac:dyDescent="0.25">
      <c r="A24415" t="s">
        <v>263</v>
      </c>
      <c r="B24415" s="1" t="str">
        <f>HYPERLINK("http://atlcap.com","atlcap.com")</f>
        <v>atlcap.com</v>
      </c>
      <c r="C24415" t="s">
        <v>433</v>
      </c>
      <c r="F24415">
        <v>1.53753213545293E-8</v>
      </c>
      <c r="G24415">
        <v>3722940</v>
      </c>
      <c r="H24415">
        <v>13812616</v>
      </c>
      <c r="I24415">
        <v>6186168</v>
      </c>
      <c r="J24415">
        <v>4</v>
      </c>
    </row>
    <row r="24416" spans="1:10" x14ac:dyDescent="0.25">
      <c r="A24416" t="s">
        <v>263</v>
      </c>
      <c r="B24416" s="1" t="str">
        <f>HYPERLINK("http://calvert.com","calvert.com")</f>
        <v>calvert.com</v>
      </c>
      <c r="C24416" t="s">
        <v>433</v>
      </c>
      <c r="E24416">
        <v>298260</v>
      </c>
      <c r="F24416">
        <v>2.5343204890638002E-7</v>
      </c>
      <c r="G24416">
        <v>147581</v>
      </c>
      <c r="H24416">
        <v>14741627</v>
      </c>
      <c r="I24416">
        <v>567039</v>
      </c>
      <c r="J24416">
        <v>7</v>
      </c>
    </row>
    <row r="24417" spans="1:10" x14ac:dyDescent="0.25">
      <c r="A24417" t="s">
        <v>263</v>
      </c>
      <c r="B24417" s="1" t="str">
        <f>HYPERLINK("http://eatonvance.com","eatonvance.com")</f>
        <v>eatonvance.com</v>
      </c>
      <c r="C24417" t="s">
        <v>433</v>
      </c>
      <c r="E24417">
        <v>201783</v>
      </c>
      <c r="F24417">
        <v>1.7318614532289099E-7</v>
      </c>
      <c r="G24417">
        <v>223990</v>
      </c>
      <c r="H24417">
        <v>14458920</v>
      </c>
      <c r="I24417">
        <v>1047929</v>
      </c>
      <c r="J24417">
        <v>4</v>
      </c>
    </row>
    <row r="24418" spans="1:10" x14ac:dyDescent="0.25">
      <c r="A24418" t="s">
        <v>263</v>
      </c>
      <c r="B24418" s="1" t="str">
        <f>HYPERLINK("http://eatonvancecounsel.com","eatonvancecounsel.com")</f>
        <v>eatonvancecounsel.com</v>
      </c>
      <c r="C24418" t="s">
        <v>433</v>
      </c>
      <c r="F24418">
        <v>9.3799040641446697E-9</v>
      </c>
      <c r="G24418">
        <v>7470999</v>
      </c>
      <c r="H24418">
        <v>12288131</v>
      </c>
      <c r="I24418">
        <v>21151952</v>
      </c>
      <c r="J24418">
        <v>4</v>
      </c>
    </row>
    <row r="24419" spans="1:10" x14ac:dyDescent="0.25">
      <c r="A24419" t="s">
        <v>263</v>
      </c>
      <c r="B24419" s="1" t="str">
        <f>HYPERLINK("http://etrade.com","etrade.com")</f>
        <v>etrade.com</v>
      </c>
      <c r="C24419" t="s">
        <v>433</v>
      </c>
      <c r="E24419">
        <v>4626</v>
      </c>
      <c r="F24419">
        <v>1.62952644749527E-6</v>
      </c>
      <c r="G24419">
        <v>24209</v>
      </c>
      <c r="H24419">
        <v>17274784</v>
      </c>
      <c r="I24419">
        <v>30757</v>
      </c>
      <c r="J24419">
        <v>3</v>
      </c>
    </row>
    <row r="24420" spans="1:10" x14ac:dyDescent="0.25">
      <c r="A24420" t="s">
        <v>263</v>
      </c>
      <c r="B24420" s="1" t="str">
        <f>HYPERLINK("http://mesawestcapital.com","mesawestcapital.com")</f>
        <v>mesawestcapital.com</v>
      </c>
      <c r="C24420" t="s">
        <v>433</v>
      </c>
      <c r="F24420">
        <v>1.23857368125187E-8</v>
      </c>
      <c r="G24420">
        <v>4947089</v>
      </c>
      <c r="H24420">
        <v>13230599</v>
      </c>
      <c r="I24420">
        <v>11275364</v>
      </c>
      <c r="J24420">
        <v>4</v>
      </c>
    </row>
    <row r="24421" spans="1:10" x14ac:dyDescent="0.25">
      <c r="A24421" t="s">
        <v>263</v>
      </c>
      <c r="B24421" s="1" t="str">
        <f>HYPERLINK("http://morganstanley.com","morganstanley.com")</f>
        <v>morganstanley.com</v>
      </c>
      <c r="C24421" t="s">
        <v>433</v>
      </c>
      <c r="E24421">
        <v>6402</v>
      </c>
      <c r="F24421">
        <v>7.2937613020097696E-6</v>
      </c>
      <c r="G24421">
        <v>4620</v>
      </c>
      <c r="H24421">
        <v>17936466</v>
      </c>
      <c r="I24421">
        <v>4156</v>
      </c>
      <c r="J24421">
        <v>1</v>
      </c>
    </row>
    <row r="24422" spans="1:10" x14ac:dyDescent="0.25">
      <c r="A24422" t="s">
        <v>263</v>
      </c>
      <c r="B24422" s="1" t="str">
        <f>HYPERLINK("http://morganstanleychina.com","morganstanleychina.com")</f>
        <v>morganstanleychina.com</v>
      </c>
      <c r="C24422" t="s">
        <v>433</v>
      </c>
      <c r="F24422">
        <v>1.88310728383618E-8</v>
      </c>
      <c r="G24422">
        <v>2865892</v>
      </c>
      <c r="H24422">
        <v>12605835</v>
      </c>
      <c r="I24422">
        <v>16268198</v>
      </c>
      <c r="J24422">
        <v>4</v>
      </c>
    </row>
    <row r="24423" spans="1:10" x14ac:dyDescent="0.25">
      <c r="A24423" t="s">
        <v>263</v>
      </c>
      <c r="B24423" s="1" t="str">
        <f>HYPERLINK("http://morganstanleyclientserv.com","morganstanleyclientserv.com")</f>
        <v>morganstanleyclientserv.com</v>
      </c>
      <c r="C24423" t="s">
        <v>433</v>
      </c>
      <c r="E24423">
        <v>40408</v>
      </c>
      <c r="F24423">
        <v>1.5867259145227899E-7</v>
      </c>
      <c r="G24423">
        <v>244690</v>
      </c>
      <c r="H24423">
        <v>16997390</v>
      </c>
      <c r="I24423">
        <v>94229</v>
      </c>
      <c r="J24423">
        <v>4</v>
      </c>
    </row>
    <row r="24424" spans="1:10" x14ac:dyDescent="0.25">
      <c r="A24424" t="s">
        <v>263</v>
      </c>
      <c r="B24424" s="1" t="str">
        <f>HYPERLINK("http://morganstanleymufg.com","morganstanleymufg.com")</f>
        <v>morganstanleymufg.com</v>
      </c>
      <c r="C24424" t="s">
        <v>433</v>
      </c>
      <c r="F24424">
        <v>8.5172648435812194E-9</v>
      </c>
      <c r="G24424">
        <v>8811270</v>
      </c>
      <c r="H24424">
        <v>13943771</v>
      </c>
      <c r="I24424">
        <v>4309573</v>
      </c>
      <c r="J24424">
        <v>3</v>
      </c>
    </row>
    <row r="24425" spans="1:10" x14ac:dyDescent="0.25">
      <c r="A24425" t="s">
        <v>263</v>
      </c>
      <c r="B24425" s="1" t="str">
        <f>HYPERLINK("http://msdw.com","msdw.com")</f>
        <v>msdw.com</v>
      </c>
      <c r="C24425" t="s">
        <v>433</v>
      </c>
      <c r="F24425">
        <v>3.78257472986544E-8</v>
      </c>
      <c r="G24425">
        <v>1368101</v>
      </c>
      <c r="H24425">
        <v>13667029</v>
      </c>
      <c r="I24425">
        <v>9560332</v>
      </c>
      <c r="J24425">
        <v>4</v>
      </c>
    </row>
    <row r="24426" spans="1:10" x14ac:dyDescent="0.25">
      <c r="A24426" t="s">
        <v>263</v>
      </c>
      <c r="B24426" s="1" t="str">
        <f>HYPERLINK("http://optionease.com","optionease.com")</f>
        <v>optionease.com</v>
      </c>
      <c r="C24426" t="s">
        <v>433</v>
      </c>
      <c r="F24426">
        <v>7.24392890623089E-9</v>
      </c>
      <c r="G24426">
        <v>11620987</v>
      </c>
      <c r="H24426">
        <v>12943803</v>
      </c>
      <c r="I24426">
        <v>13264772</v>
      </c>
      <c r="J24426">
        <v>4</v>
      </c>
    </row>
    <row r="24427" spans="1:10" x14ac:dyDescent="0.25">
      <c r="A24427" t="s">
        <v>263</v>
      </c>
      <c r="B24427" s="1" t="str">
        <f>HYPERLINK("http://parametricportfolio.com","parametricportfolio.com")</f>
        <v>parametricportfolio.com</v>
      </c>
      <c r="C24427" t="s">
        <v>433</v>
      </c>
      <c r="F24427">
        <v>1.0830142277692799E-7</v>
      </c>
      <c r="G24427">
        <v>369533</v>
      </c>
      <c r="H24427">
        <v>13505748</v>
      </c>
      <c r="I24427">
        <v>9963034</v>
      </c>
      <c r="J24427">
        <v>4</v>
      </c>
    </row>
    <row r="24428" spans="1:10" x14ac:dyDescent="0.25">
      <c r="A24428" t="s">
        <v>263</v>
      </c>
      <c r="B24428" s="1" t="str">
        <f>HYPERLINK("http://paraport.com","paraport.com")</f>
        <v>paraport.com</v>
      </c>
      <c r="C24428" t="s">
        <v>433</v>
      </c>
      <c r="E24428">
        <v>953597</v>
      </c>
      <c r="F24428">
        <v>7.2479974893366499E-9</v>
      </c>
      <c r="G24428">
        <v>11610807</v>
      </c>
      <c r="H24428">
        <v>12765230</v>
      </c>
      <c r="I24428">
        <v>14920543</v>
      </c>
      <c r="J24428">
        <v>5</v>
      </c>
    </row>
    <row r="24429" spans="1:10" x14ac:dyDescent="0.25">
      <c r="A24429" t="s">
        <v>263</v>
      </c>
      <c r="B24429" s="1" t="str">
        <f>HYPERLINK("http://saxononline.com","saxononline.com")</f>
        <v>saxononline.com</v>
      </c>
      <c r="C24429" t="s">
        <v>433</v>
      </c>
      <c r="F24429">
        <v>5.59124503262476E-9</v>
      </c>
      <c r="G24429">
        <v>19941597</v>
      </c>
      <c r="H24429">
        <v>13009431</v>
      </c>
      <c r="I24429">
        <v>12754438</v>
      </c>
      <c r="J24429">
        <v>4</v>
      </c>
    </row>
    <row r="24430" spans="1:10" x14ac:dyDescent="0.25">
      <c r="A24430" t="s">
        <v>263</v>
      </c>
      <c r="B24430" s="1" t="str">
        <f>HYPERLINK("http://solium.com","solium.com")</f>
        <v>solium.com</v>
      </c>
      <c r="C24430" t="s">
        <v>433</v>
      </c>
      <c r="E24430">
        <v>81114</v>
      </c>
      <c r="F24430">
        <v>7.0330574104002199E-8</v>
      </c>
      <c r="G24430">
        <v>602167</v>
      </c>
      <c r="H24430">
        <v>14202404</v>
      </c>
      <c r="I24430">
        <v>1718403</v>
      </c>
      <c r="J24430">
        <v>4</v>
      </c>
    </row>
    <row r="24431" spans="1:10" x14ac:dyDescent="0.25">
      <c r="A24431" t="s">
        <v>263</v>
      </c>
      <c r="B24431" s="1" t="str">
        <f>HYPERLINK("http://soliumfinancial.com","soliumfinancial.com")</f>
        <v>soliumfinancial.com</v>
      </c>
      <c r="C24431" t="s">
        <v>433</v>
      </c>
      <c r="F24431">
        <v>4.5059675921105196E-9</v>
      </c>
      <c r="G24431">
        <v>58079140</v>
      </c>
      <c r="H24431">
        <v>12229156</v>
      </c>
      <c r="I24431">
        <v>22526261</v>
      </c>
      <c r="J24431">
        <v>4</v>
      </c>
    </row>
    <row r="24432" spans="1:10" x14ac:dyDescent="0.25">
      <c r="A24432" t="s">
        <v>263</v>
      </c>
      <c r="B24432" s="1" t="str">
        <f>HYPERLINK("http://therealtyway.com","therealtyway.com")</f>
        <v>therealtyway.com</v>
      </c>
      <c r="C24432" t="s">
        <v>433</v>
      </c>
      <c r="F24432">
        <v>4.7172306553504499E-9</v>
      </c>
      <c r="G24432">
        <v>40352935</v>
      </c>
      <c r="H24432">
        <v>10601504</v>
      </c>
      <c r="I24432">
        <v>44845921</v>
      </c>
      <c r="J24432">
        <v>4</v>
      </c>
    </row>
    <row r="24433" spans="1:10" x14ac:dyDescent="0.25">
      <c r="A24433" t="s">
        <v>263</v>
      </c>
      <c r="B24433" s="1" t="str">
        <f>HYPERLINK("http://wemakeitdrain.com","wemakeitdrain.com")</f>
        <v>wemakeitdrain.com</v>
      </c>
      <c r="C24433" t="s">
        <v>433</v>
      </c>
      <c r="F24433">
        <v>4.44380395335525E-9</v>
      </c>
      <c r="G24433">
        <v>83972855</v>
      </c>
      <c r="H24433">
        <v>0</v>
      </c>
      <c r="I24433">
        <v>84913369</v>
      </c>
      <c r="J24433">
        <v>3</v>
      </c>
    </row>
    <row r="24434" spans="1:10" x14ac:dyDescent="0.25">
      <c r="A24434" t="s">
        <v>263</v>
      </c>
      <c r="B24434" s="1" t="str">
        <f>HYPERLINK("http://eatonvance.de","eatonvance.de")</f>
        <v>eatonvance.de</v>
      </c>
      <c r="C24434" t="s">
        <v>436</v>
      </c>
      <c r="D24434" t="s">
        <v>815</v>
      </c>
      <c r="F24434">
        <v>7.5818083639443004E-9</v>
      </c>
      <c r="G24434">
        <v>10833304</v>
      </c>
      <c r="H24434">
        <v>10881758</v>
      </c>
      <c r="I24434">
        <v>36306698</v>
      </c>
      <c r="J24434">
        <v>5</v>
      </c>
    </row>
    <row r="24435" spans="1:10" x14ac:dyDescent="0.25">
      <c r="A24435" t="s">
        <v>263</v>
      </c>
      <c r="B24435" s="1" t="str">
        <f>HYPERLINK("http://eatonvance.dk","eatonvance.dk")</f>
        <v>eatonvance.dk</v>
      </c>
      <c r="C24435" t="s">
        <v>437</v>
      </c>
      <c r="D24435" t="s">
        <v>816</v>
      </c>
      <c r="F24435">
        <v>7.3302397087367697E-9</v>
      </c>
      <c r="G24435">
        <v>11406987</v>
      </c>
      <c r="H24435">
        <v>10710174</v>
      </c>
      <c r="I24435">
        <v>42155065</v>
      </c>
      <c r="J24435">
        <v>5</v>
      </c>
    </row>
    <row r="24436" spans="1:10" x14ac:dyDescent="0.25">
      <c r="A24436" t="s">
        <v>263</v>
      </c>
      <c r="B24436" s="1" t="str">
        <f>HYPERLINK("http://eatonvance.fi","eatonvance.fi")</f>
        <v>eatonvance.fi</v>
      </c>
      <c r="C24436" t="s">
        <v>445</v>
      </c>
      <c r="D24436" t="s">
        <v>823</v>
      </c>
      <c r="F24436">
        <v>7.6103343001937694E-9</v>
      </c>
      <c r="G24436">
        <v>10772995</v>
      </c>
      <c r="H24436">
        <v>10934324</v>
      </c>
      <c r="I24436">
        <v>34981557</v>
      </c>
      <c r="J24436">
        <v>5</v>
      </c>
    </row>
    <row r="24437" spans="1:10" x14ac:dyDescent="0.25">
      <c r="A24437" t="s">
        <v>263</v>
      </c>
      <c r="B24437" s="1" t="str">
        <f>HYPERLINK("http://morganstanley.co.jp","morganstanley.co.jp")</f>
        <v>morganstanley.co.jp</v>
      </c>
      <c r="C24437" t="s">
        <v>461</v>
      </c>
      <c r="D24437" t="s">
        <v>837</v>
      </c>
      <c r="F24437">
        <v>4.7279332162922601E-8</v>
      </c>
      <c r="G24437">
        <v>985919</v>
      </c>
      <c r="H24437">
        <v>14152827</v>
      </c>
      <c r="I24437">
        <v>1868143</v>
      </c>
      <c r="J24437">
        <v>2</v>
      </c>
    </row>
    <row r="24438" spans="1:10" x14ac:dyDescent="0.25">
      <c r="A24438" t="s">
        <v>263</v>
      </c>
      <c r="B24438" s="1" t="str">
        <f>HYPERLINK("http://eatonvance.jp","eatonvance.jp")</f>
        <v>eatonvance.jp</v>
      </c>
      <c r="C24438" t="s">
        <v>461</v>
      </c>
      <c r="D24438" t="s">
        <v>837</v>
      </c>
      <c r="F24438">
        <v>1.1218443951131901E-8</v>
      </c>
      <c r="G24438">
        <v>5700162</v>
      </c>
      <c r="H24438">
        <v>12489274</v>
      </c>
      <c r="I24438">
        <v>17498623</v>
      </c>
      <c r="J24438">
        <v>5</v>
      </c>
    </row>
    <row r="24439" spans="1:10" x14ac:dyDescent="0.25">
      <c r="A24439" t="s">
        <v>263</v>
      </c>
      <c r="B24439" s="1" t="str">
        <f>HYPERLINK("http://etrade.net","etrade.net")</f>
        <v>etrade.net</v>
      </c>
      <c r="C24439" t="s">
        <v>474</v>
      </c>
      <c r="E24439">
        <v>85561</v>
      </c>
      <c r="F24439">
        <v>2.8633892659215499E-7</v>
      </c>
      <c r="G24439">
        <v>129802</v>
      </c>
      <c r="H24439">
        <v>14236044</v>
      </c>
      <c r="I24439">
        <v>1667601</v>
      </c>
      <c r="J24439">
        <v>4</v>
      </c>
    </row>
    <row r="24440" spans="1:10" x14ac:dyDescent="0.25">
      <c r="A24440" t="s">
        <v>263</v>
      </c>
      <c r="B24440" s="1" t="str">
        <f>HYPERLINK("http://eatonvance.nl","eatonvance.nl")</f>
        <v>eatonvance.nl</v>
      </c>
      <c r="C24440" t="s">
        <v>477</v>
      </c>
      <c r="D24440" t="s">
        <v>852</v>
      </c>
      <c r="F24440">
        <v>7.5119390957601503E-9</v>
      </c>
      <c r="G24440">
        <v>10987146</v>
      </c>
      <c r="H24440">
        <v>10711018</v>
      </c>
      <c r="I24440">
        <v>42142240</v>
      </c>
      <c r="J24440">
        <v>5</v>
      </c>
    </row>
    <row r="24441" spans="1:10" x14ac:dyDescent="0.25">
      <c r="A24441" t="s">
        <v>263</v>
      </c>
      <c r="B24441" s="1" t="str">
        <f>HYPERLINK("http://eatonvance.no","eatonvance.no")</f>
        <v>eatonvance.no</v>
      </c>
      <c r="C24441" t="s">
        <v>478</v>
      </c>
      <c r="D24441" t="s">
        <v>853</v>
      </c>
      <c r="F24441">
        <v>7.3302397087367697E-9</v>
      </c>
      <c r="G24441">
        <v>11406988</v>
      </c>
      <c r="H24441">
        <v>10710174</v>
      </c>
      <c r="I24441">
        <v>42155075</v>
      </c>
      <c r="J24441">
        <v>5</v>
      </c>
    </row>
    <row r="24442" spans="1:10" x14ac:dyDescent="0.25">
      <c r="A24442" t="s">
        <v>263</v>
      </c>
      <c r="B24442" s="1" t="str">
        <f>HYPERLINK("http://morganstanley.ru","morganstanley.ru")</f>
        <v>morganstanley.ru</v>
      </c>
      <c r="C24442" t="s">
        <v>493</v>
      </c>
      <c r="D24442" t="s">
        <v>867</v>
      </c>
      <c r="F24442">
        <v>1.6646494452045199E-8</v>
      </c>
      <c r="G24442">
        <v>3377704</v>
      </c>
      <c r="H24442">
        <v>12969573</v>
      </c>
      <c r="I24442">
        <v>13054743</v>
      </c>
      <c r="J24442">
        <v>4</v>
      </c>
    </row>
    <row r="24443" spans="1:10" x14ac:dyDescent="0.25">
      <c r="A24443" t="s">
        <v>263</v>
      </c>
      <c r="B24443" s="1" t="str">
        <f>HYPERLINK("http://eatonvance.se","eatonvance.se")</f>
        <v>eatonvance.se</v>
      </c>
      <c r="C24443" t="s">
        <v>495</v>
      </c>
      <c r="D24443" t="s">
        <v>869</v>
      </c>
      <c r="F24443">
        <v>7.3302397087367697E-9</v>
      </c>
      <c r="G24443">
        <v>11406989</v>
      </c>
      <c r="H24443">
        <v>10710174</v>
      </c>
      <c r="I24443">
        <v>42155076</v>
      </c>
      <c r="J24443">
        <v>5</v>
      </c>
    </row>
    <row r="24444" spans="1:10" x14ac:dyDescent="0.25">
      <c r="A24444" t="s">
        <v>263</v>
      </c>
      <c r="B24444" s="1" t="str">
        <f>HYPERLINK("http://eatonvance.sg","eatonvance.sg")</f>
        <v>eatonvance.sg</v>
      </c>
      <c r="C24444" t="s">
        <v>496</v>
      </c>
      <c r="D24444" t="s">
        <v>870</v>
      </c>
      <c r="F24444">
        <v>7.3302397087367697E-9</v>
      </c>
      <c r="G24444">
        <v>11406990</v>
      </c>
      <c r="H24444">
        <v>10710174</v>
      </c>
      <c r="I24444">
        <v>42155077</v>
      </c>
      <c r="J24444">
        <v>5</v>
      </c>
    </row>
    <row r="24445" spans="1:10" x14ac:dyDescent="0.25">
      <c r="A24445" t="s">
        <v>263</v>
      </c>
      <c r="B24445" s="1" t="str">
        <f>HYPERLINK("http://eatonvance.co.uk","eatonvance.co.uk")</f>
        <v>eatonvance.co.uk</v>
      </c>
      <c r="C24445" t="s">
        <v>506</v>
      </c>
      <c r="D24445" t="s">
        <v>880</v>
      </c>
      <c r="F24445">
        <v>1.16756548077674E-8</v>
      </c>
      <c r="G24445">
        <v>5381927</v>
      </c>
      <c r="H24445">
        <v>13164176</v>
      </c>
      <c r="I24445">
        <v>11748945</v>
      </c>
      <c r="J24445">
        <v>5</v>
      </c>
    </row>
    <row r="24446" spans="1:10" x14ac:dyDescent="0.25">
      <c r="A24446" t="s">
        <v>263</v>
      </c>
      <c r="B24446" s="1" t="str">
        <f>HYPERLINK("http://great-sthelenhotel.co.uk","great-sthelenhotel.co.uk")</f>
        <v>great-sthelenhotel.co.uk</v>
      </c>
      <c r="C24446" t="s">
        <v>506</v>
      </c>
      <c r="D24446" t="s">
        <v>880</v>
      </c>
      <c r="J24446">
        <v>4</v>
      </c>
    </row>
    <row r="24447" spans="1:10" x14ac:dyDescent="0.25">
      <c r="A24447" t="s">
        <v>264</v>
      </c>
      <c r="B24447" s="1" t="str">
        <f>HYPERLINK("http://tetron.at","tetron.at")</f>
        <v>tetron.at</v>
      </c>
      <c r="C24447" t="s">
        <v>419</v>
      </c>
      <c r="D24447" t="s">
        <v>801</v>
      </c>
      <c r="F24447">
        <v>8.3341350429101303E-9</v>
      </c>
      <c r="G24447">
        <v>9180245</v>
      </c>
      <c r="H24447">
        <v>12418092</v>
      </c>
      <c r="I24447">
        <v>18491153</v>
      </c>
      <c r="J24447">
        <v>4</v>
      </c>
    </row>
    <row r="24448" spans="1:10" x14ac:dyDescent="0.25">
      <c r="A24448" t="s">
        <v>264</v>
      </c>
      <c r="B24448" s="1" t="str">
        <f>HYPERLINK("http://motorolasolutions.com.au","motorolasolutions.com.au")</f>
        <v>motorolasolutions.com.au</v>
      </c>
      <c r="C24448" t="s">
        <v>420</v>
      </c>
      <c r="D24448" t="s">
        <v>802</v>
      </c>
      <c r="F24448">
        <v>6.7043454247489901E-9</v>
      </c>
      <c r="G24448">
        <v>13287928</v>
      </c>
      <c r="H24448">
        <v>12408012</v>
      </c>
      <c r="I24448">
        <v>18637532</v>
      </c>
      <c r="J24448">
        <v>2</v>
      </c>
    </row>
    <row r="24449" spans="1:10" x14ac:dyDescent="0.25">
      <c r="A24449" t="s">
        <v>264</v>
      </c>
      <c r="B24449" s="1" t="str">
        <f>HYPERLINK("http://motorolasolutions.com.br","motorolasolutions.com.br")</f>
        <v>motorolasolutions.com.br</v>
      </c>
      <c r="C24449" t="s">
        <v>425</v>
      </c>
      <c r="D24449" t="s">
        <v>806</v>
      </c>
      <c r="F24449">
        <v>6.3648916307680702E-9</v>
      </c>
      <c r="G24449">
        <v>14689863</v>
      </c>
      <c r="H24449">
        <v>12298806</v>
      </c>
      <c r="I24449">
        <v>20863797</v>
      </c>
      <c r="J24449">
        <v>2</v>
      </c>
    </row>
    <row r="24450" spans="1:10" x14ac:dyDescent="0.25">
      <c r="A24450" t="s">
        <v>264</v>
      </c>
      <c r="B24450" s="1" t="str">
        <f>HYPERLINK("http://interexport.cl","interexport.cl")</f>
        <v>interexport.cl</v>
      </c>
      <c r="C24450" t="s">
        <v>430</v>
      </c>
      <c r="D24450" t="s">
        <v>811</v>
      </c>
      <c r="F24450">
        <v>5.9539395025070898E-9</v>
      </c>
      <c r="G24450">
        <v>16997451</v>
      </c>
      <c r="H24450">
        <v>12298812</v>
      </c>
      <c r="I24450">
        <v>20863667</v>
      </c>
      <c r="J24450">
        <v>3</v>
      </c>
    </row>
    <row r="24451" spans="1:10" x14ac:dyDescent="0.25">
      <c r="A24451" t="s">
        <v>264</v>
      </c>
      <c r="B24451" s="1" t="str">
        <f>HYPERLINK("http://abslcccrs.cloud","abslcccrs.cloud")</f>
        <v>abslcccrs.cloud</v>
      </c>
      <c r="C24451" t="s">
        <v>516</v>
      </c>
      <c r="J24451">
        <v>2</v>
      </c>
    </row>
    <row r="24452" spans="1:10" x14ac:dyDescent="0.25">
      <c r="A24452" t="s">
        <v>264</v>
      </c>
      <c r="B24452" s="1" t="str">
        <f>HYPERLINK("http://avigilon.com","avigilon.com")</f>
        <v>avigilon.com</v>
      </c>
      <c r="C24452" t="s">
        <v>433</v>
      </c>
      <c r="E24452">
        <v>72523</v>
      </c>
      <c r="F24452">
        <v>3.5880360485707501E-7</v>
      </c>
      <c r="G24452">
        <v>104191</v>
      </c>
      <c r="H24452">
        <v>15028401</v>
      </c>
      <c r="I24452">
        <v>419013</v>
      </c>
      <c r="J24452">
        <v>3</v>
      </c>
    </row>
    <row r="24453" spans="1:10" x14ac:dyDescent="0.25">
      <c r="A24453" t="s">
        <v>264</v>
      </c>
      <c r="B24453" s="1" t="str">
        <f>HYPERLINK("http://avtecinc.com","avtecinc.com")</f>
        <v>avtecinc.com</v>
      </c>
      <c r="C24453" t="s">
        <v>433</v>
      </c>
      <c r="F24453">
        <v>5.2027006753899797E-8</v>
      </c>
      <c r="G24453">
        <v>877686</v>
      </c>
      <c r="H24453">
        <v>13264879</v>
      </c>
      <c r="I24453">
        <v>11012189</v>
      </c>
      <c r="J24453">
        <v>3</v>
      </c>
    </row>
    <row r="24454" spans="1:10" x14ac:dyDescent="0.25">
      <c r="A24454" t="s">
        <v>264</v>
      </c>
      <c r="B24454" s="1" t="str">
        <f>HYPERLINK("http://commandcentral.com","commandcentral.com")</f>
        <v>commandcentral.com</v>
      </c>
      <c r="C24454" t="s">
        <v>433</v>
      </c>
      <c r="E24454">
        <v>137136</v>
      </c>
      <c r="F24454">
        <v>1.5639248283856502E-8</v>
      </c>
      <c r="G24454">
        <v>3644287</v>
      </c>
      <c r="H24454">
        <v>12995008</v>
      </c>
      <c r="I24454">
        <v>12824841</v>
      </c>
      <c r="J24454">
        <v>2</v>
      </c>
    </row>
    <row r="24455" spans="1:10" x14ac:dyDescent="0.25">
      <c r="A24455" t="s">
        <v>264</v>
      </c>
      <c r="B24455" s="1" t="str">
        <f>HYPERLINK("http://edesix.com","edesix.com")</f>
        <v>edesix.com</v>
      </c>
      <c r="C24455" t="s">
        <v>433</v>
      </c>
      <c r="F24455">
        <v>1.13819464129028E-8</v>
      </c>
      <c r="G24455">
        <v>5586407</v>
      </c>
      <c r="H24455">
        <v>13058620</v>
      </c>
      <c r="I24455">
        <v>12522811</v>
      </c>
      <c r="J24455">
        <v>3</v>
      </c>
    </row>
    <row r="24456" spans="1:10" x14ac:dyDescent="0.25">
      <c r="A24456" t="s">
        <v>264</v>
      </c>
      <c r="B24456" s="1" t="str">
        <f>HYPERLINK("http://envysion.com","envysion.com")</f>
        <v>envysion.com</v>
      </c>
      <c r="C24456" t="s">
        <v>433</v>
      </c>
      <c r="E24456">
        <v>123030</v>
      </c>
      <c r="F24456">
        <v>5.6961195257004198E-8</v>
      </c>
      <c r="G24456">
        <v>784006</v>
      </c>
      <c r="H24456">
        <v>13899767</v>
      </c>
      <c r="I24456">
        <v>5951407</v>
      </c>
      <c r="J24456">
        <v>3</v>
      </c>
    </row>
    <row r="24457" spans="1:10" x14ac:dyDescent="0.25">
      <c r="A24457" t="s">
        <v>264</v>
      </c>
      <c r="B24457" s="1" t="str">
        <f>HYPERLINK("http://guardiandigitalcommunications.com","guardiandigitalcommunications.com")</f>
        <v>guardiandigitalcommunications.com</v>
      </c>
      <c r="C24457" t="s">
        <v>433</v>
      </c>
      <c r="J24457">
        <v>3</v>
      </c>
    </row>
    <row r="24458" spans="1:10" x14ac:dyDescent="0.25">
      <c r="A24458" t="s">
        <v>264</v>
      </c>
      <c r="B24458" s="1" t="str">
        <f>HYPERLINK("http://indigovision.com","indigovision.com")</f>
        <v>indigovision.com</v>
      </c>
      <c r="C24458" t="s">
        <v>433</v>
      </c>
      <c r="E24458">
        <v>969325</v>
      </c>
      <c r="F24458">
        <v>5.7035036106634499E-8</v>
      </c>
      <c r="G24458">
        <v>782823</v>
      </c>
      <c r="H24458">
        <v>13805403</v>
      </c>
      <c r="I24458">
        <v>6238082</v>
      </c>
      <c r="J24458">
        <v>6</v>
      </c>
    </row>
    <row r="24459" spans="1:10" x14ac:dyDescent="0.25">
      <c r="A24459" t="s">
        <v>264</v>
      </c>
      <c r="B24459" s="1" t="str">
        <f>HYPERLINK("http://kodiaknetworks.com","kodiaknetworks.com")</f>
        <v>kodiaknetworks.com</v>
      </c>
      <c r="C24459" t="s">
        <v>433</v>
      </c>
      <c r="E24459">
        <v>350401</v>
      </c>
      <c r="F24459">
        <v>7.9498190022375801E-9</v>
      </c>
      <c r="G24459">
        <v>10014063</v>
      </c>
      <c r="H24459">
        <v>13765974</v>
      </c>
      <c r="I24459">
        <v>7048220</v>
      </c>
      <c r="J24459">
        <v>5</v>
      </c>
    </row>
    <row r="24460" spans="1:10" x14ac:dyDescent="0.25">
      <c r="A24460" t="s">
        <v>264</v>
      </c>
      <c r="B24460" s="1" t="str">
        <f>HYPERLINK("http://kodiakptt.com","kodiakptt.com")</f>
        <v>kodiakptt.com</v>
      </c>
      <c r="C24460" t="s">
        <v>433</v>
      </c>
      <c r="F24460">
        <v>1.8193839265403201E-8</v>
      </c>
      <c r="G24460">
        <v>2989081</v>
      </c>
      <c r="H24460">
        <v>12918318</v>
      </c>
      <c r="I24460">
        <v>13483476</v>
      </c>
      <c r="J24460">
        <v>3</v>
      </c>
    </row>
    <row r="24461" spans="1:10" x14ac:dyDescent="0.25">
      <c r="A24461" t="s">
        <v>264</v>
      </c>
      <c r="B24461" s="1" t="str">
        <f>HYPERLINK("http://motorolasolutions.com","motorolasolutions.com")</f>
        <v>motorolasolutions.com</v>
      </c>
      <c r="C24461" t="s">
        <v>433</v>
      </c>
      <c r="E24461">
        <v>16018</v>
      </c>
      <c r="F24461">
        <v>2.0128349019597598E-6</v>
      </c>
      <c r="G24461">
        <v>18173</v>
      </c>
      <c r="H24461">
        <v>17590548</v>
      </c>
      <c r="I24461">
        <v>9965</v>
      </c>
      <c r="J24461">
        <v>1</v>
      </c>
    </row>
    <row r="24462" spans="1:10" x14ac:dyDescent="0.25">
      <c r="A24462" t="s">
        <v>264</v>
      </c>
      <c r="B24462" s="1" t="str">
        <f>HYPERLINK("http://msiwoc.com","msiwoc.com")</f>
        <v>msiwoc.com</v>
      </c>
      <c r="C24462" t="s">
        <v>433</v>
      </c>
      <c r="F24462">
        <v>4.4438151229601298E-9</v>
      </c>
      <c r="G24462">
        <v>79457002</v>
      </c>
      <c r="H24462">
        <v>10355901</v>
      </c>
      <c r="I24462">
        <v>55665976</v>
      </c>
      <c r="J24462">
        <v>4</v>
      </c>
    </row>
    <row r="24463" spans="1:10" x14ac:dyDescent="0.25">
      <c r="A24463" t="s">
        <v>264</v>
      </c>
      <c r="B24463" s="1" t="str">
        <f>HYPERLINK("http://openpath.com","openpath.com")</f>
        <v>openpath.com</v>
      </c>
      <c r="C24463" t="s">
        <v>433</v>
      </c>
      <c r="E24463">
        <v>67721</v>
      </c>
      <c r="F24463">
        <v>3.4963766732408201E-7</v>
      </c>
      <c r="G24463">
        <v>106920</v>
      </c>
      <c r="H24463">
        <v>16978142</v>
      </c>
      <c r="I24463">
        <v>99219</v>
      </c>
      <c r="J24463">
        <v>3</v>
      </c>
    </row>
    <row r="24464" spans="1:10" x14ac:dyDescent="0.25">
      <c r="A24464" t="s">
        <v>264</v>
      </c>
      <c r="B24464" s="1" t="str">
        <f>HYPERLINK("http://pelco.com","pelco.com")</f>
        <v>pelco.com</v>
      </c>
      <c r="C24464" t="s">
        <v>433</v>
      </c>
      <c r="E24464">
        <v>121352</v>
      </c>
      <c r="F24464">
        <v>3.0079578464426702E-7</v>
      </c>
      <c r="G24464">
        <v>123654</v>
      </c>
      <c r="H24464">
        <v>17111508</v>
      </c>
      <c r="I24464">
        <v>61768</v>
      </c>
      <c r="J24464">
        <v>3</v>
      </c>
    </row>
    <row r="24465" spans="1:10" x14ac:dyDescent="0.25">
      <c r="A24465" t="s">
        <v>264</v>
      </c>
      <c r="B24465" s="1" t="str">
        <f>HYPERLINK("http://ravemobilesafety.com","ravemobilesafety.com")</f>
        <v>ravemobilesafety.com</v>
      </c>
      <c r="C24465" t="s">
        <v>433</v>
      </c>
      <c r="E24465">
        <v>375230</v>
      </c>
      <c r="F24465">
        <v>2.8788696696111799E-7</v>
      </c>
      <c r="G24465">
        <v>129149</v>
      </c>
      <c r="H24465">
        <v>16976580</v>
      </c>
      <c r="I24465">
        <v>99749</v>
      </c>
      <c r="J24465">
        <v>3</v>
      </c>
    </row>
    <row r="24466" spans="1:10" x14ac:dyDescent="0.25">
      <c r="A24466" t="s">
        <v>264</v>
      </c>
      <c r="B24466" s="1" t="str">
        <f>HYPERLINK("http://redcloudsecurity.com","redcloudsecurity.com")</f>
        <v>redcloudsecurity.com</v>
      </c>
      <c r="C24466" t="s">
        <v>433</v>
      </c>
      <c r="F24466">
        <v>6.1822135376041003E-9</v>
      </c>
      <c r="G24466">
        <v>15628225</v>
      </c>
      <c r="H24466">
        <v>13774852</v>
      </c>
      <c r="I24466">
        <v>6595059</v>
      </c>
      <c r="J24466">
        <v>7</v>
      </c>
    </row>
    <row r="24467" spans="1:10" x14ac:dyDescent="0.25">
      <c r="A24467" t="s">
        <v>264</v>
      </c>
      <c r="B24467" s="1" t="str">
        <f>HYPERLINK("http://rhomobile.com","rhomobile.com")</f>
        <v>rhomobile.com</v>
      </c>
      <c r="C24467" t="s">
        <v>433</v>
      </c>
      <c r="E24467">
        <v>398793</v>
      </c>
      <c r="F24467">
        <v>2.7518708565179601E-7</v>
      </c>
      <c r="G24467">
        <v>135173</v>
      </c>
      <c r="H24467">
        <v>14692645</v>
      </c>
      <c r="I24467">
        <v>601112</v>
      </c>
      <c r="J24467">
        <v>5</v>
      </c>
    </row>
    <row r="24468" spans="1:10" x14ac:dyDescent="0.25">
      <c r="A24468" t="s">
        <v>264</v>
      </c>
      <c r="B24468" s="1" t="str">
        <f>HYPERLINK("http://twistpair.com","twistpair.com")</f>
        <v>twistpair.com</v>
      </c>
      <c r="C24468" t="s">
        <v>433</v>
      </c>
      <c r="F24468">
        <v>2.0800057510296199E-8</v>
      </c>
      <c r="G24468">
        <v>2542980</v>
      </c>
      <c r="H24468">
        <v>13820614</v>
      </c>
      <c r="I24468">
        <v>6144478</v>
      </c>
      <c r="J24468">
        <v>5</v>
      </c>
    </row>
    <row r="24469" spans="1:10" x14ac:dyDescent="0.25">
      <c r="A24469" t="s">
        <v>264</v>
      </c>
      <c r="B24469" s="1" t="str">
        <f>HYPERLINK("http://vestapublicsafety.com","vestapublicsafety.com")</f>
        <v>vestapublicsafety.com</v>
      </c>
      <c r="C24469" t="s">
        <v>433</v>
      </c>
      <c r="F24469">
        <v>2.0818268492982001E-8</v>
      </c>
      <c r="G24469">
        <v>2540380</v>
      </c>
      <c r="H24469">
        <v>14419193</v>
      </c>
      <c r="I24469">
        <v>1092398</v>
      </c>
      <c r="J24469">
        <v>4</v>
      </c>
    </row>
    <row r="24470" spans="1:10" x14ac:dyDescent="0.25">
      <c r="A24470" t="s">
        <v>264</v>
      </c>
      <c r="B24470" s="1" t="str">
        <f>HYPERLINK("http://videoiq.com","videoiq.com")</f>
        <v>videoiq.com</v>
      </c>
      <c r="C24470" t="s">
        <v>433</v>
      </c>
      <c r="F24470">
        <v>1.6396586951712E-8</v>
      </c>
      <c r="G24470">
        <v>3446975</v>
      </c>
      <c r="H24470">
        <v>13825665</v>
      </c>
      <c r="I24470">
        <v>6124483</v>
      </c>
      <c r="J24470">
        <v>7</v>
      </c>
    </row>
    <row r="24471" spans="1:10" x14ac:dyDescent="0.25">
      <c r="A24471" t="s">
        <v>264</v>
      </c>
      <c r="B24471" s="1" t="str">
        <f>HYPERLINK("http://vigilantsolutions.com","vigilantsolutions.com")</f>
        <v>vigilantsolutions.com</v>
      </c>
      <c r="C24471" t="s">
        <v>433</v>
      </c>
      <c r="E24471">
        <v>257880</v>
      </c>
      <c r="F24471">
        <v>6.7994397702695003E-8</v>
      </c>
      <c r="G24471">
        <v>627750</v>
      </c>
      <c r="H24471">
        <v>14276167</v>
      </c>
      <c r="I24471">
        <v>1390212</v>
      </c>
      <c r="J24471">
        <v>4</v>
      </c>
    </row>
    <row r="24472" spans="1:10" x14ac:dyDescent="0.25">
      <c r="A24472" t="s">
        <v>264</v>
      </c>
      <c r="B24472" s="1" t="str">
        <f>HYPERLINK("http://watchguardvideo.com","watchguardvideo.com")</f>
        <v>watchguardvideo.com</v>
      </c>
      <c r="C24472" t="s">
        <v>433</v>
      </c>
      <c r="F24472">
        <v>2.06743325063321E-8</v>
      </c>
      <c r="G24472">
        <v>2560311</v>
      </c>
      <c r="H24472">
        <v>13515836</v>
      </c>
      <c r="I24472">
        <v>9943438</v>
      </c>
      <c r="J24472">
        <v>3</v>
      </c>
    </row>
    <row r="24473" spans="1:10" x14ac:dyDescent="0.25">
      <c r="A24473" t="s">
        <v>264</v>
      </c>
      <c r="B24473" s="1" t="str">
        <f>HYPERLINK("http://motorolasolutions.de","motorolasolutions.de")</f>
        <v>motorolasolutions.de</v>
      </c>
      <c r="C24473" t="s">
        <v>436</v>
      </c>
      <c r="D24473" t="s">
        <v>815</v>
      </c>
      <c r="F24473">
        <v>1.2362041621138601E-8</v>
      </c>
      <c r="G24473">
        <v>4959937</v>
      </c>
      <c r="H24473">
        <v>13266422</v>
      </c>
      <c r="I24473">
        <v>11006708</v>
      </c>
      <c r="J24473">
        <v>2</v>
      </c>
    </row>
    <row r="24474" spans="1:10" x14ac:dyDescent="0.25">
      <c r="A24474" t="s">
        <v>264</v>
      </c>
      <c r="B24474" s="1" t="str">
        <f>HYPERLINK("http://motorolasolutions.es","motorolasolutions.es")</f>
        <v>motorolasolutions.es</v>
      </c>
      <c r="C24474" t="s">
        <v>443</v>
      </c>
      <c r="D24474" t="s">
        <v>822</v>
      </c>
      <c r="F24474">
        <v>5.8851768823070496E-9</v>
      </c>
      <c r="G24474">
        <v>17460846</v>
      </c>
      <c r="H24474">
        <v>12298804</v>
      </c>
      <c r="I24474">
        <v>20863893</v>
      </c>
      <c r="J24474">
        <v>2</v>
      </c>
    </row>
    <row r="24475" spans="1:10" x14ac:dyDescent="0.25">
      <c r="A24475" t="s">
        <v>264</v>
      </c>
      <c r="B24475" s="1" t="str">
        <f>HYPERLINK("http://avigilon.fi","avigilon.fi")</f>
        <v>avigilon.fi</v>
      </c>
      <c r="C24475" t="s">
        <v>445</v>
      </c>
      <c r="D24475" t="s">
        <v>823</v>
      </c>
      <c r="J24475">
        <v>2</v>
      </c>
    </row>
    <row r="24476" spans="1:10" x14ac:dyDescent="0.25">
      <c r="A24476" t="s">
        <v>264</v>
      </c>
      <c r="B24476" s="1" t="str">
        <f>HYPERLINK("http://pelco.fi","pelco.fi")</f>
        <v>pelco.fi</v>
      </c>
      <c r="C24476" t="s">
        <v>445</v>
      </c>
      <c r="D24476" t="s">
        <v>823</v>
      </c>
      <c r="F24476">
        <v>4.7330634859793296E-9</v>
      </c>
      <c r="G24476">
        <v>39192174</v>
      </c>
      <c r="H24476">
        <v>13933061</v>
      </c>
      <c r="I24476">
        <v>5478097</v>
      </c>
      <c r="J24476">
        <v>2</v>
      </c>
    </row>
    <row r="24477" spans="1:10" x14ac:dyDescent="0.25">
      <c r="A24477" t="s">
        <v>264</v>
      </c>
      <c r="B24477" s="1" t="str">
        <f>HYPERLINK("http://calipsa.io","calipsa.io")</f>
        <v>calipsa.io</v>
      </c>
      <c r="C24477" t="s">
        <v>518</v>
      </c>
      <c r="E24477">
        <v>246493</v>
      </c>
      <c r="F24477">
        <v>2.6951179145285799E-8</v>
      </c>
      <c r="G24477">
        <v>1908533</v>
      </c>
      <c r="H24477">
        <v>13907952</v>
      </c>
      <c r="I24477">
        <v>5944076</v>
      </c>
      <c r="J24477">
        <v>5</v>
      </c>
    </row>
    <row r="24478" spans="1:10" x14ac:dyDescent="0.25">
      <c r="A24478" t="s">
        <v>264</v>
      </c>
      <c r="B24478" s="1" t="str">
        <f>HYPERLINK("http://motorolasolutions.co.kr","motorolasolutions.co.kr")</f>
        <v>motorolasolutions.co.kr</v>
      </c>
      <c r="C24478" t="s">
        <v>463</v>
      </c>
      <c r="D24478" t="s">
        <v>839</v>
      </c>
      <c r="F24478">
        <v>4.44380395335525E-9</v>
      </c>
      <c r="G24478">
        <v>85301933</v>
      </c>
      <c r="H24478">
        <v>0</v>
      </c>
      <c r="I24478">
        <v>86523285</v>
      </c>
      <c r="J24478">
        <v>2</v>
      </c>
    </row>
    <row r="24479" spans="1:10" x14ac:dyDescent="0.25">
      <c r="A24479" t="s">
        <v>264</v>
      </c>
      <c r="B24479" s="1" t="str">
        <f>HYPERLINK("http://kodiakdc.net","kodiakdc.net")</f>
        <v>kodiakdc.net</v>
      </c>
      <c r="C24479" t="s">
        <v>474</v>
      </c>
      <c r="J24479">
        <v>4</v>
      </c>
    </row>
    <row r="24480" spans="1:10" x14ac:dyDescent="0.25">
      <c r="A24480" t="s">
        <v>264</v>
      </c>
      <c r="B24480" s="1" t="str">
        <f>HYPERLINK("http://vaasinternational.net","vaasinternational.net")</f>
        <v>vaasinternational.net</v>
      </c>
      <c r="C24480" t="s">
        <v>474</v>
      </c>
      <c r="F24480">
        <v>8.7027414822159598E-9</v>
      </c>
      <c r="G24480">
        <v>8472951</v>
      </c>
      <c r="H24480">
        <v>13407429</v>
      </c>
      <c r="I24480">
        <v>10347522</v>
      </c>
      <c r="J24480">
        <v>3</v>
      </c>
    </row>
    <row r="24481" spans="1:10" x14ac:dyDescent="0.25">
      <c r="A24481" t="s">
        <v>264</v>
      </c>
      <c r="B24481" s="1" t="str">
        <f>HYPERLINK("http://motorolasolutions.ru","motorolasolutions.ru")</f>
        <v>motorolasolutions.ru</v>
      </c>
      <c r="C24481" t="s">
        <v>493</v>
      </c>
      <c r="D24481" t="s">
        <v>867</v>
      </c>
      <c r="F24481">
        <v>6.4740378949707703E-9</v>
      </c>
      <c r="G24481">
        <v>14187765</v>
      </c>
      <c r="H24481">
        <v>12301135</v>
      </c>
      <c r="I24481">
        <v>20808464</v>
      </c>
      <c r="J24481">
        <v>2</v>
      </c>
    </row>
    <row r="24482" spans="1:10" x14ac:dyDescent="0.25">
      <c r="A24482" t="s">
        <v>264</v>
      </c>
      <c r="B24482" s="1" t="str">
        <f>HYPERLINK("http://airwavesolutions.co.uk","airwavesolutions.co.uk")</f>
        <v>airwavesolutions.co.uk</v>
      </c>
      <c r="C24482" t="s">
        <v>506</v>
      </c>
      <c r="D24482" t="s">
        <v>880</v>
      </c>
      <c r="F24482">
        <v>2.1440895919165201E-8</v>
      </c>
      <c r="G24482">
        <v>2456354</v>
      </c>
      <c r="H24482">
        <v>14269163</v>
      </c>
      <c r="I24482">
        <v>1402351</v>
      </c>
      <c r="J24482">
        <v>3</v>
      </c>
    </row>
    <row r="24483" spans="1:10" x14ac:dyDescent="0.25">
      <c r="A24483" t="s">
        <v>265</v>
      </c>
      <c r="B24483" s="1" t="str">
        <f>HYPERLINK("http://das.at","das.at")</f>
        <v>das.at</v>
      </c>
      <c r="C24483" t="s">
        <v>419</v>
      </c>
      <c r="D24483" t="s">
        <v>801</v>
      </c>
      <c r="F24483">
        <v>6.5411650095887694E-8</v>
      </c>
      <c r="G24483">
        <v>657550</v>
      </c>
      <c r="H24483">
        <v>12943585</v>
      </c>
      <c r="I24483">
        <v>13266111</v>
      </c>
      <c r="J24483">
        <v>4</v>
      </c>
    </row>
    <row r="24484" spans="1:10" x14ac:dyDescent="0.25">
      <c r="A24484" t="s">
        <v>265</v>
      </c>
      <c r="B24484" s="1" t="str">
        <f>HYPERLINK("http://ergo-austria.at","ergo-austria.at")</f>
        <v>ergo-austria.at</v>
      </c>
      <c r="C24484" t="s">
        <v>419</v>
      </c>
      <c r="D24484" t="s">
        <v>801</v>
      </c>
      <c r="E24484">
        <v>851132</v>
      </c>
      <c r="F24484">
        <v>1.24911026164916E-8</v>
      </c>
      <c r="G24484">
        <v>4890135</v>
      </c>
      <c r="H24484">
        <v>12259895</v>
      </c>
      <c r="I24484">
        <v>21776422</v>
      </c>
      <c r="J24484">
        <v>3</v>
      </c>
    </row>
    <row r="24485" spans="1:10" x14ac:dyDescent="0.25">
      <c r="A24485" t="s">
        <v>265</v>
      </c>
      <c r="B24485" s="1" t="str">
        <f>HYPERLINK("http://ergo-industrial.at","ergo-industrial.at")</f>
        <v>ergo-industrial.at</v>
      </c>
      <c r="C24485" t="s">
        <v>419</v>
      </c>
      <c r="D24485" t="s">
        <v>801</v>
      </c>
      <c r="F24485">
        <v>5.2376276170762503E-9</v>
      </c>
      <c r="G24485">
        <v>24452233</v>
      </c>
      <c r="H24485">
        <v>10352593</v>
      </c>
      <c r="I24485">
        <v>56041041</v>
      </c>
      <c r="J24485">
        <v>2</v>
      </c>
    </row>
    <row r="24486" spans="1:10" x14ac:dyDescent="0.25">
      <c r="A24486" t="s">
        <v>265</v>
      </c>
      <c r="B24486" s="1" t="str">
        <f>HYPERLINK("http://ergo-versicherung.at","ergo-versicherung.at")</f>
        <v>ergo-versicherung.at</v>
      </c>
      <c r="C24486" t="s">
        <v>419</v>
      </c>
      <c r="D24486" t="s">
        <v>801</v>
      </c>
      <c r="F24486">
        <v>8.5897263076283502E-8</v>
      </c>
      <c r="G24486">
        <v>479226</v>
      </c>
      <c r="H24486">
        <v>13207688</v>
      </c>
      <c r="I24486">
        <v>11520287</v>
      </c>
      <c r="J24486">
        <v>4</v>
      </c>
    </row>
    <row r="24487" spans="1:10" x14ac:dyDescent="0.25">
      <c r="A24487" t="s">
        <v>265</v>
      </c>
      <c r="B24487" s="1" t="str">
        <f>HYPERLINK("http://advia.be","advia.be")</f>
        <v>advia.be</v>
      </c>
      <c r="C24487" t="s">
        <v>421</v>
      </c>
      <c r="D24487" t="s">
        <v>803</v>
      </c>
      <c r="F24487">
        <v>5.18668902122949E-9</v>
      </c>
      <c r="G24487">
        <v>25401804</v>
      </c>
      <c r="H24487">
        <v>10593909</v>
      </c>
      <c r="I24487">
        <v>45397257</v>
      </c>
      <c r="J24487">
        <v>4</v>
      </c>
    </row>
    <row r="24488" spans="1:10" x14ac:dyDescent="0.25">
      <c r="A24488" t="s">
        <v>265</v>
      </c>
      <c r="B24488" s="1" t="str">
        <f>HYPERLINK("http://das.be","das.be")</f>
        <v>das.be</v>
      </c>
      <c r="C24488" t="s">
        <v>421</v>
      </c>
      <c r="D24488" t="s">
        <v>803</v>
      </c>
      <c r="E24488">
        <v>943336</v>
      </c>
      <c r="F24488">
        <v>1.29944948154068E-7</v>
      </c>
      <c r="G24488">
        <v>301230</v>
      </c>
      <c r="H24488">
        <v>13942516</v>
      </c>
      <c r="I24488">
        <v>4329300</v>
      </c>
      <c r="J24488">
        <v>3</v>
      </c>
    </row>
    <row r="24489" spans="1:10" x14ac:dyDescent="0.25">
      <c r="A24489" t="s">
        <v>265</v>
      </c>
      <c r="B24489" s="1" t="str">
        <f>HYPERLINK("http://dkv.be","dkv.be")</f>
        <v>dkv.be</v>
      </c>
      <c r="C24489" t="s">
        <v>421</v>
      </c>
      <c r="D24489" t="s">
        <v>803</v>
      </c>
      <c r="E24489">
        <v>370121</v>
      </c>
      <c r="F24489">
        <v>2.05980664586602E-7</v>
      </c>
      <c r="G24489">
        <v>184360</v>
      </c>
      <c r="H24489">
        <v>13954850</v>
      </c>
      <c r="I24489">
        <v>4141778</v>
      </c>
      <c r="J24489">
        <v>3</v>
      </c>
    </row>
    <row r="24490" spans="1:10" x14ac:dyDescent="0.25">
      <c r="A24490" t="s">
        <v>265</v>
      </c>
      <c r="B24490" s="1" t="str">
        <f>HYPERLINK("http://dkvagence.be","dkvagence.be")</f>
        <v>dkvagence.be</v>
      </c>
      <c r="C24490" t="s">
        <v>421</v>
      </c>
      <c r="D24490" t="s">
        <v>803</v>
      </c>
      <c r="F24490">
        <v>1.0402172848344601E-8</v>
      </c>
      <c r="G24490">
        <v>6356964</v>
      </c>
      <c r="H24490">
        <v>10442395</v>
      </c>
      <c r="I24490">
        <v>52308153</v>
      </c>
      <c r="J24490">
        <v>5</v>
      </c>
    </row>
    <row r="24491" spans="1:10" x14ac:dyDescent="0.25">
      <c r="A24491" t="s">
        <v>265</v>
      </c>
      <c r="B24491" s="1" t="str">
        <f>HYPERLINK("http://ergo.be","ergo.be")</f>
        <v>ergo.be</v>
      </c>
      <c r="C24491" t="s">
        <v>421</v>
      </c>
      <c r="D24491" t="s">
        <v>803</v>
      </c>
      <c r="F24491">
        <v>2.5166532195471401E-8</v>
      </c>
      <c r="G24491">
        <v>2051856</v>
      </c>
      <c r="H24491">
        <v>14071905</v>
      </c>
      <c r="I24491">
        <v>3229655</v>
      </c>
      <c r="J24491">
        <v>3</v>
      </c>
    </row>
    <row r="24492" spans="1:10" x14ac:dyDescent="0.25">
      <c r="A24492" t="s">
        <v>265</v>
      </c>
      <c r="B24492" s="1" t="str">
        <f>HYPERLINK("http://das.ca","das.ca")</f>
        <v>das.ca</v>
      </c>
      <c r="C24492" t="s">
        <v>428</v>
      </c>
      <c r="D24492" t="s">
        <v>809</v>
      </c>
      <c r="F24492">
        <v>1.93541896512849E-8</v>
      </c>
      <c r="G24492">
        <v>2770412</v>
      </c>
      <c r="H24492">
        <v>13025951</v>
      </c>
      <c r="I24492">
        <v>12690988</v>
      </c>
      <c r="J24492">
        <v>5</v>
      </c>
    </row>
    <row r="24493" spans="1:10" x14ac:dyDescent="0.25">
      <c r="A24493" t="s">
        <v>265</v>
      </c>
      <c r="B24493" s="1" t="str">
        <f>HYPERLINK("http://templeinsurance.ca","templeinsurance.ca")</f>
        <v>templeinsurance.ca</v>
      </c>
      <c r="C24493" t="s">
        <v>428</v>
      </c>
      <c r="D24493" t="s">
        <v>809</v>
      </c>
      <c r="F24493">
        <v>5.1485127201059901E-9</v>
      </c>
      <c r="G24493">
        <v>26111573</v>
      </c>
      <c r="H24493">
        <v>10585006</v>
      </c>
      <c r="I24493">
        <v>45723293</v>
      </c>
      <c r="J24493">
        <v>4</v>
      </c>
    </row>
    <row r="24494" spans="1:10" x14ac:dyDescent="0.25">
      <c r="A24494" t="s">
        <v>265</v>
      </c>
      <c r="B24494" s="1" t="str">
        <f>HYPERLINK("http://dkvfamedic.cat","dkvfamedic.cat")</f>
        <v>dkvfamedic.cat</v>
      </c>
      <c r="C24494" t="s">
        <v>591</v>
      </c>
      <c r="F24494">
        <v>5.0208746192835501E-9</v>
      </c>
      <c r="G24494">
        <v>28881153</v>
      </c>
      <c r="H24494">
        <v>9343692</v>
      </c>
      <c r="I24494">
        <v>68065674</v>
      </c>
      <c r="J24494">
        <v>5</v>
      </c>
    </row>
    <row r="24495" spans="1:10" x14ac:dyDescent="0.25">
      <c r="A24495" t="s">
        <v>265</v>
      </c>
      <c r="B24495" s="1" t="str">
        <f>HYPERLINK("http://ergo-industrial.ch","ergo-industrial.ch")</f>
        <v>ergo-industrial.ch</v>
      </c>
      <c r="C24495" t="s">
        <v>429</v>
      </c>
      <c r="D24495" t="s">
        <v>810</v>
      </c>
      <c r="F24495">
        <v>4.56636064277884E-9</v>
      </c>
      <c r="G24495">
        <v>50539336</v>
      </c>
      <c r="H24495">
        <v>8451378</v>
      </c>
      <c r="I24495">
        <v>72533958</v>
      </c>
      <c r="J24495">
        <v>2</v>
      </c>
    </row>
    <row r="24496" spans="1:10" x14ac:dyDescent="0.25">
      <c r="A24496" t="s">
        <v>265</v>
      </c>
      <c r="B24496" s="1" t="str">
        <f>HYPERLINK("http://acc-ergo.com","acc-ergo.com")</f>
        <v>acc-ergo.com</v>
      </c>
      <c r="C24496" t="s">
        <v>433</v>
      </c>
      <c r="F24496">
        <v>4.4438099640082497E-9</v>
      </c>
      <c r="G24496">
        <v>79608585</v>
      </c>
      <c r="H24496">
        <v>10351910</v>
      </c>
      <c r="I24496">
        <v>56115213</v>
      </c>
      <c r="J24496">
        <v>2</v>
      </c>
    </row>
    <row r="24497" spans="1:10" x14ac:dyDescent="0.25">
      <c r="A24497" t="s">
        <v>265</v>
      </c>
      <c r="B24497" s="1" t="str">
        <f>HYPERLINK("http://allfinanzinc.com","allfinanzinc.com")</f>
        <v>allfinanzinc.com</v>
      </c>
      <c r="C24497" t="s">
        <v>433</v>
      </c>
      <c r="F24497">
        <v>4.7606394403771702E-9</v>
      </c>
      <c r="G24497">
        <v>37790785</v>
      </c>
      <c r="H24497">
        <v>12857961</v>
      </c>
      <c r="I24497">
        <v>14211738</v>
      </c>
      <c r="J24497">
        <v>5</v>
      </c>
    </row>
    <row r="24498" spans="1:10" x14ac:dyDescent="0.25">
      <c r="A24498" t="s">
        <v>265</v>
      </c>
      <c r="B24498" s="1" t="str">
        <f>HYPERLINK("http://americanalternativeinsurancecorporation.com","americanalternativeinsurancecorporation.com")</f>
        <v>americanalternativeinsurancecorporation.com</v>
      </c>
      <c r="C24498" t="s">
        <v>433</v>
      </c>
      <c r="F24498">
        <v>1.3049772081017601E-8</v>
      </c>
      <c r="G24498">
        <v>4607522</v>
      </c>
      <c r="H24498">
        <v>12825744</v>
      </c>
      <c r="I24498">
        <v>14459938</v>
      </c>
      <c r="J24498">
        <v>3</v>
      </c>
    </row>
    <row r="24499" spans="1:10" x14ac:dyDescent="0.25">
      <c r="A24499" t="s">
        <v>265</v>
      </c>
      <c r="B24499" s="1" t="str">
        <f>HYPERLINK("http://amig.com","amig.com")</f>
        <v>amig.com</v>
      </c>
      <c r="C24499" t="s">
        <v>433</v>
      </c>
      <c r="E24499">
        <v>120715</v>
      </c>
      <c r="F24499">
        <v>5.0855313020055804E-7</v>
      </c>
      <c r="G24499">
        <v>75317</v>
      </c>
      <c r="H24499">
        <v>14159693</v>
      </c>
      <c r="I24499">
        <v>1840646</v>
      </c>
      <c r="J24499">
        <v>3</v>
      </c>
    </row>
    <row r="24500" spans="1:10" x14ac:dyDescent="0.25">
      <c r="A24500" t="s">
        <v>265</v>
      </c>
      <c r="B24500" s="1" t="str">
        <f>HYPERLINK("http://amre.com","amre.com")</f>
        <v>amre.com</v>
      </c>
      <c r="C24500" t="s">
        <v>433</v>
      </c>
      <c r="F24500">
        <v>6.33001788888328E-9</v>
      </c>
      <c r="G24500">
        <v>14888116</v>
      </c>
      <c r="H24500">
        <v>13786804</v>
      </c>
      <c r="I24500">
        <v>6381157</v>
      </c>
      <c r="J24500">
        <v>3</v>
      </c>
    </row>
    <row r="24501" spans="1:10" x14ac:dyDescent="0.25">
      <c r="A24501" t="s">
        <v>265</v>
      </c>
      <c r="B24501" s="1" t="str">
        <f>HYPERLINK("http://bellandclements.com","bellandclements.com")</f>
        <v>bellandclements.com</v>
      </c>
      <c r="C24501" t="s">
        <v>433</v>
      </c>
      <c r="F24501">
        <v>1.08347524629017E-8</v>
      </c>
      <c r="G24501">
        <v>5992779</v>
      </c>
      <c r="H24501">
        <v>12476716</v>
      </c>
      <c r="I24501">
        <v>17629438</v>
      </c>
      <c r="J24501">
        <v>3</v>
      </c>
    </row>
    <row r="24502" spans="1:10" x14ac:dyDescent="0.25">
      <c r="A24502" t="s">
        <v>265</v>
      </c>
      <c r="B24502" s="1" t="str">
        <f>HYPERLINK("http://biico.com","biico.com")</f>
        <v>biico.com</v>
      </c>
      <c r="C24502" t="s">
        <v>433</v>
      </c>
      <c r="F24502">
        <v>1.3522640872785499E-8</v>
      </c>
      <c r="G24502">
        <v>4394517</v>
      </c>
      <c r="H24502">
        <v>13236039</v>
      </c>
      <c r="I24502">
        <v>11241830</v>
      </c>
      <c r="J24502">
        <v>4</v>
      </c>
    </row>
    <row r="24503" spans="1:10" x14ac:dyDescent="0.25">
      <c r="A24503" t="s">
        <v>265</v>
      </c>
      <c r="B24503" s="1" t="str">
        <f>HYPERLINK("http://dkv.com","dkv.com")</f>
        <v>dkv.com</v>
      </c>
      <c r="C24503" t="s">
        <v>433</v>
      </c>
      <c r="E24503">
        <v>286537</v>
      </c>
      <c r="F24503">
        <v>3.7885863691438802E-7</v>
      </c>
      <c r="G24503">
        <v>98752</v>
      </c>
      <c r="H24503">
        <v>14598375</v>
      </c>
      <c r="I24503">
        <v>687754</v>
      </c>
      <c r="J24503">
        <v>3</v>
      </c>
    </row>
    <row r="24504" spans="1:10" x14ac:dyDescent="0.25">
      <c r="A24504" t="s">
        <v>265</v>
      </c>
      <c r="B24504" s="1" t="str">
        <f>HYPERLINK("http://dkvseguros.com","dkvseguros.com")</f>
        <v>dkvseguros.com</v>
      </c>
      <c r="C24504" t="s">
        <v>433</v>
      </c>
      <c r="E24504">
        <v>234239</v>
      </c>
      <c r="F24504">
        <v>2.1593795640074101E-7</v>
      </c>
      <c r="G24504">
        <v>174698</v>
      </c>
      <c r="H24504">
        <v>14595784</v>
      </c>
      <c r="I24504">
        <v>690148</v>
      </c>
      <c r="J24504">
        <v>3</v>
      </c>
    </row>
    <row r="24505" spans="1:10" x14ac:dyDescent="0.25">
      <c r="A24505" t="s">
        <v>265</v>
      </c>
      <c r="B24505" s="1" t="str">
        <f>HYPERLINK("http://ergo.com","ergo.com")</f>
        <v>ergo.com</v>
      </c>
      <c r="C24505" t="s">
        <v>433</v>
      </c>
      <c r="E24505">
        <v>115980</v>
      </c>
      <c r="F24505">
        <v>4.1493979222302501E-7</v>
      </c>
      <c r="G24505">
        <v>90713</v>
      </c>
      <c r="H24505">
        <v>15029624</v>
      </c>
      <c r="I24505">
        <v>418744</v>
      </c>
      <c r="J24505">
        <v>2</v>
      </c>
    </row>
    <row r="24506" spans="1:10" x14ac:dyDescent="0.25">
      <c r="A24506" t="s">
        <v>265</v>
      </c>
      <c r="B24506" s="1" t="str">
        <f>HYPERLINK("http://ergoseguros.com","ergoseguros.com")</f>
        <v>ergoseguros.com</v>
      </c>
      <c r="C24506" t="s">
        <v>433</v>
      </c>
      <c r="F24506">
        <v>7.1006421535312798E-9</v>
      </c>
      <c r="G24506">
        <v>12013351</v>
      </c>
      <c r="H24506">
        <v>13763846</v>
      </c>
      <c r="I24506">
        <v>7558998</v>
      </c>
      <c r="J24506">
        <v>3</v>
      </c>
    </row>
    <row r="24507" spans="1:10" x14ac:dyDescent="0.25">
      <c r="A24507" t="s">
        <v>265</v>
      </c>
      <c r="B24507" s="1" t="str">
        <f>HYPERLINK("http://euro-center.com","euro-center.com")</f>
        <v>euro-center.com</v>
      </c>
      <c r="C24507" t="s">
        <v>433</v>
      </c>
      <c r="F24507">
        <v>8.7175981882841897E-8</v>
      </c>
      <c r="G24507">
        <v>470873</v>
      </c>
      <c r="H24507">
        <v>13773961</v>
      </c>
      <c r="I24507">
        <v>6617855</v>
      </c>
      <c r="J24507">
        <v>3</v>
      </c>
    </row>
    <row r="24508" spans="1:10" x14ac:dyDescent="0.25">
      <c r="A24508" t="s">
        <v>265</v>
      </c>
      <c r="B24508" s="1" t="str">
        <f>HYPERLINK("http://global-aero.com","global-aero.com")</f>
        <v>global-aero.com</v>
      </c>
      <c r="C24508" t="s">
        <v>433</v>
      </c>
      <c r="E24508">
        <v>826797</v>
      </c>
      <c r="F24508">
        <v>6.58001913809055E-8</v>
      </c>
      <c r="G24508">
        <v>652760</v>
      </c>
      <c r="H24508">
        <v>14227383</v>
      </c>
      <c r="I24508">
        <v>1677638</v>
      </c>
      <c r="J24508">
        <v>6</v>
      </c>
    </row>
    <row r="24509" spans="1:10" x14ac:dyDescent="0.25">
      <c r="A24509" t="s">
        <v>265</v>
      </c>
      <c r="B24509" s="1" t="str">
        <f>HYPERLINK("http://globality-health.com","globality-health.com")</f>
        <v>globality-health.com</v>
      </c>
      <c r="C24509" t="s">
        <v>433</v>
      </c>
      <c r="F24509">
        <v>1.14002860937817E-7</v>
      </c>
      <c r="G24509">
        <v>349424</v>
      </c>
      <c r="H24509">
        <v>16752552</v>
      </c>
      <c r="I24509">
        <v>252638</v>
      </c>
      <c r="J24509">
        <v>5</v>
      </c>
    </row>
    <row r="24510" spans="1:10" x14ac:dyDescent="0.25">
      <c r="A24510" t="s">
        <v>265</v>
      </c>
      <c r="B24510" s="1" t="str">
        <f>HYPERLINK("http://heacockclassic.com","heacockclassic.com")</f>
        <v>heacockclassic.com</v>
      </c>
      <c r="C24510" t="s">
        <v>433</v>
      </c>
      <c r="F24510">
        <v>4.01897665606221E-8</v>
      </c>
      <c r="G24510">
        <v>1287065</v>
      </c>
      <c r="H24510">
        <v>14854951</v>
      </c>
      <c r="I24510">
        <v>487760</v>
      </c>
      <c r="J24510">
        <v>6</v>
      </c>
    </row>
    <row r="24511" spans="1:10" x14ac:dyDescent="0.25">
      <c r="A24511" t="s">
        <v>265</v>
      </c>
      <c r="B24511" s="1" t="str">
        <f>HYPERLINK("http://hsb.com","hsb.com")</f>
        <v>hsb.com</v>
      </c>
      <c r="C24511" t="s">
        <v>433</v>
      </c>
      <c r="E24511">
        <v>590805</v>
      </c>
      <c r="F24511">
        <v>1.6352151219909899E-7</v>
      </c>
      <c r="G24511">
        <v>237343</v>
      </c>
      <c r="H24511">
        <v>14635274</v>
      </c>
      <c r="I24511">
        <v>641155</v>
      </c>
      <c r="J24511">
        <v>3</v>
      </c>
    </row>
    <row r="24512" spans="1:10" x14ac:dyDescent="0.25">
      <c r="A24512" t="s">
        <v>265</v>
      </c>
      <c r="B24512" s="1" t="str">
        <f>HYPERLINK("http://hsbct.com","hsbct.com")</f>
        <v>hsbct.com</v>
      </c>
      <c r="C24512" t="s">
        <v>433</v>
      </c>
      <c r="F24512">
        <v>5.2088966641833002E-9</v>
      </c>
      <c r="G24512">
        <v>24944055</v>
      </c>
      <c r="H24512">
        <v>10711061</v>
      </c>
      <c r="I24512">
        <v>42141562</v>
      </c>
      <c r="J24512">
        <v>4</v>
      </c>
    </row>
    <row r="24513" spans="1:10" x14ac:dyDescent="0.25">
      <c r="A24513" t="s">
        <v>265</v>
      </c>
      <c r="B24513" s="1" t="str">
        <f>HYPERLINK("http://hsbeil.com","hsbeil.com")</f>
        <v>hsbeil.com</v>
      </c>
      <c r="C24513" t="s">
        <v>433</v>
      </c>
      <c r="F24513">
        <v>7.1457570066746298E-9</v>
      </c>
      <c r="G24513">
        <v>11888428</v>
      </c>
      <c r="H24513">
        <v>12434490</v>
      </c>
      <c r="I24513">
        <v>18222384</v>
      </c>
      <c r="J24513">
        <v>4</v>
      </c>
    </row>
    <row r="24514" spans="1:10" x14ac:dyDescent="0.25">
      <c r="A24514" t="s">
        <v>265</v>
      </c>
      <c r="B24514" s="1" t="str">
        <f>HYPERLINK("http://htcwaterfront.com","htcwaterfront.com")</f>
        <v>htcwaterfront.com</v>
      </c>
      <c r="C24514" t="s">
        <v>433</v>
      </c>
      <c r="F24514">
        <v>5.98450870077394E-9</v>
      </c>
      <c r="G24514">
        <v>16790396</v>
      </c>
      <c r="H24514">
        <v>10347659</v>
      </c>
      <c r="I24514">
        <v>56631181</v>
      </c>
      <c r="J24514">
        <v>3</v>
      </c>
    </row>
    <row r="24515" spans="1:10" x14ac:dyDescent="0.25">
      <c r="A24515" t="s">
        <v>265</v>
      </c>
      <c r="B24515" s="1" t="str">
        <f>HYPERLINK("http://itergo.com","itergo.com")</f>
        <v>itergo.com</v>
      </c>
      <c r="C24515" t="s">
        <v>433</v>
      </c>
      <c r="F24515">
        <v>8.1356555879427907E-9</v>
      </c>
      <c r="G24515">
        <v>9680455</v>
      </c>
      <c r="H24515">
        <v>11616535</v>
      </c>
      <c r="I24515">
        <v>29913318</v>
      </c>
      <c r="J24515">
        <v>3</v>
      </c>
    </row>
    <row r="24516" spans="1:10" x14ac:dyDescent="0.25">
      <c r="A24516" t="s">
        <v>265</v>
      </c>
      <c r="B24516" s="1" t="str">
        <f>HYPERLINK("http://koeln-assekuranz.com","koeln-assekuranz.com")</f>
        <v>koeln-assekuranz.com</v>
      </c>
      <c r="C24516" t="s">
        <v>433</v>
      </c>
      <c r="F24516">
        <v>1.5180795895290502E-8</v>
      </c>
      <c r="G24516">
        <v>3781796</v>
      </c>
      <c r="H24516">
        <v>12693772</v>
      </c>
      <c r="I24516">
        <v>15393911</v>
      </c>
      <c r="J24516">
        <v>3</v>
      </c>
    </row>
    <row r="24517" spans="1:10" x14ac:dyDescent="0.25">
      <c r="A24517" t="s">
        <v>265</v>
      </c>
      <c r="B24517" s="1" t="str">
        <f>HYPERLINK("http://mdisgroup.com","mdisgroup.com")</f>
        <v>mdisgroup.com</v>
      </c>
      <c r="C24517" t="s">
        <v>433</v>
      </c>
      <c r="F24517">
        <v>4.4475635431250796E-9</v>
      </c>
      <c r="G24517">
        <v>73432569</v>
      </c>
      <c r="H24517">
        <v>10394218</v>
      </c>
      <c r="I24517">
        <v>54330075</v>
      </c>
      <c r="J24517">
        <v>7</v>
      </c>
    </row>
    <row r="24518" spans="1:10" x14ac:dyDescent="0.25">
      <c r="A24518" t="s">
        <v>265</v>
      </c>
      <c r="B24518" s="1" t="str">
        <f>HYPERLINK("http://meag.com","meag.com")</f>
        <v>meag.com</v>
      </c>
      <c r="C24518" t="s">
        <v>433</v>
      </c>
      <c r="F24518">
        <v>8.5392619672609802E-8</v>
      </c>
      <c r="G24518">
        <v>482762</v>
      </c>
      <c r="H24518">
        <v>13841398</v>
      </c>
      <c r="I24518">
        <v>6070388</v>
      </c>
      <c r="J24518">
        <v>3</v>
      </c>
    </row>
    <row r="24519" spans="1:10" x14ac:dyDescent="0.25">
      <c r="A24519" t="s">
        <v>265</v>
      </c>
      <c r="B24519" s="1" t="str">
        <f>HYPERLINK("http://medvirginia.com","medvirginia.com")</f>
        <v>medvirginia.com</v>
      </c>
      <c r="C24519" t="s">
        <v>433</v>
      </c>
      <c r="F24519">
        <v>6.6153690258334397E-9</v>
      </c>
      <c r="G24519">
        <v>13618041</v>
      </c>
      <c r="H24519">
        <v>12469141</v>
      </c>
      <c r="I24519">
        <v>17768136</v>
      </c>
      <c r="J24519">
        <v>3</v>
      </c>
    </row>
    <row r="24520" spans="1:10" x14ac:dyDescent="0.25">
      <c r="A24520" t="s">
        <v>265</v>
      </c>
      <c r="B24520" s="1" t="str">
        <f>HYPERLINK("http://meshify.com","meshify.com")</f>
        <v>meshify.com</v>
      </c>
      <c r="C24520" t="s">
        <v>433</v>
      </c>
      <c r="E24520">
        <v>549922</v>
      </c>
      <c r="F24520">
        <v>4.9375442157144298E-8</v>
      </c>
      <c r="G24520">
        <v>937288</v>
      </c>
      <c r="H24520">
        <v>13881883</v>
      </c>
      <c r="I24520">
        <v>5977632</v>
      </c>
      <c r="J24520">
        <v>3</v>
      </c>
    </row>
    <row r="24521" spans="1:10" x14ac:dyDescent="0.25">
      <c r="A24521" t="s">
        <v>265</v>
      </c>
      <c r="B24521" s="1" t="str">
        <f>HYPERLINK("http://midlandcompany.com","midlandcompany.com")</f>
        <v>midlandcompany.com</v>
      </c>
      <c r="C24521" t="s">
        <v>433</v>
      </c>
      <c r="F24521">
        <v>6.2205259603257396E-9</v>
      </c>
      <c r="G24521">
        <v>15422752</v>
      </c>
      <c r="H24521">
        <v>12878803</v>
      </c>
      <c r="I24521">
        <v>14009703</v>
      </c>
      <c r="J24521">
        <v>3</v>
      </c>
    </row>
    <row r="24522" spans="1:10" x14ac:dyDescent="0.25">
      <c r="A24522" t="s">
        <v>265</v>
      </c>
      <c r="B24522" s="1" t="str">
        <f>HYPERLINK("http://mroc.com","mroc.com")</f>
        <v>mroc.com</v>
      </c>
      <c r="C24522" t="s">
        <v>433</v>
      </c>
      <c r="F24522">
        <v>5.9455910804077998E-9</v>
      </c>
      <c r="G24522">
        <v>17050601</v>
      </c>
      <c r="H24522">
        <v>10788944</v>
      </c>
      <c r="I24522">
        <v>38538281</v>
      </c>
      <c r="J24522">
        <v>4</v>
      </c>
    </row>
    <row r="24523" spans="1:10" x14ac:dyDescent="0.25">
      <c r="A24523" t="s">
        <v>265</v>
      </c>
      <c r="B24523" s="1" t="str">
        <f>HYPERLINK("http://munichre.com","munichre.com")</f>
        <v>munichre.com</v>
      </c>
      <c r="C24523" t="s">
        <v>433</v>
      </c>
      <c r="E24523">
        <v>25783</v>
      </c>
      <c r="F24523">
        <v>1.76256550198624E-6</v>
      </c>
      <c r="G24523">
        <v>22661</v>
      </c>
      <c r="H24523">
        <v>17517110</v>
      </c>
      <c r="I24523">
        <v>12884</v>
      </c>
      <c r="J24523">
        <v>1</v>
      </c>
    </row>
    <row r="24524" spans="1:10" x14ac:dyDescent="0.25">
      <c r="A24524" t="s">
        <v>265</v>
      </c>
      <c r="B24524" s="1" t="str">
        <f>HYPERLINK("http://munichreamerica.com","munichreamerica.com")</f>
        <v>munichreamerica.com</v>
      </c>
      <c r="C24524" t="s">
        <v>433</v>
      </c>
      <c r="E24524">
        <v>166899</v>
      </c>
      <c r="F24524">
        <v>6.0339735623011104E-8</v>
      </c>
      <c r="G24524">
        <v>730970</v>
      </c>
      <c r="H24524">
        <v>13870082</v>
      </c>
      <c r="I24524">
        <v>5999715</v>
      </c>
      <c r="J24524">
        <v>3</v>
      </c>
    </row>
    <row r="24525" spans="1:10" x14ac:dyDescent="0.25">
      <c r="A24525" t="s">
        <v>265</v>
      </c>
      <c r="B24525" s="1" t="str">
        <f>HYPERLINK("http://neokami.com","neokami.com")</f>
        <v>neokami.com</v>
      </c>
      <c r="C24525" t="s">
        <v>433</v>
      </c>
      <c r="F24525">
        <v>9.3755643717578494E-9</v>
      </c>
      <c r="G24525">
        <v>7476225</v>
      </c>
      <c r="H24525">
        <v>13244024</v>
      </c>
      <c r="I24525">
        <v>11159381</v>
      </c>
      <c r="J24525">
        <v>4</v>
      </c>
    </row>
    <row r="24526" spans="1:10" x14ac:dyDescent="0.25">
      <c r="A24526" t="s">
        <v>265</v>
      </c>
      <c r="B24526" s="1" t="str">
        <f>HYPERLINK("http://newre.com","newre.com")</f>
        <v>newre.com</v>
      </c>
      <c r="C24526" t="s">
        <v>433</v>
      </c>
      <c r="F24526">
        <v>1.24980872146611E-8</v>
      </c>
      <c r="G24526">
        <v>4886450</v>
      </c>
      <c r="H24526">
        <v>12913004</v>
      </c>
      <c r="I24526">
        <v>13531621</v>
      </c>
      <c r="J24526">
        <v>3</v>
      </c>
    </row>
    <row r="24527" spans="1:10" x14ac:dyDescent="0.25">
      <c r="A24527" t="s">
        <v>265</v>
      </c>
      <c r="B24527" s="1" t="str">
        <f>HYPERLINK("http://premierguarantee.com","premierguarantee.com")</f>
        <v>premierguarantee.com</v>
      </c>
      <c r="C24527" t="s">
        <v>433</v>
      </c>
      <c r="F24527">
        <v>1.4246186502895201E-8</v>
      </c>
      <c r="G24527">
        <v>4112495</v>
      </c>
      <c r="H24527">
        <v>11708478</v>
      </c>
      <c r="I24527">
        <v>29849112</v>
      </c>
      <c r="J24527">
        <v>4</v>
      </c>
    </row>
    <row r="24528" spans="1:10" x14ac:dyDescent="0.25">
      <c r="A24528" t="s">
        <v>265</v>
      </c>
      <c r="B24528" s="1" t="str">
        <f>HYPERLINK("http://roanokebrokers.com","roanokebrokers.com")</f>
        <v>roanokebrokers.com</v>
      </c>
      <c r="C24528" t="s">
        <v>433</v>
      </c>
      <c r="F24528">
        <v>4.7309596564155796E-9</v>
      </c>
      <c r="G24528">
        <v>39295577</v>
      </c>
      <c r="H24528">
        <v>10588823</v>
      </c>
      <c r="I24528">
        <v>45655662</v>
      </c>
      <c r="J24528">
        <v>3</v>
      </c>
    </row>
    <row r="24529" spans="1:10" x14ac:dyDescent="0.25">
      <c r="A24529" t="s">
        <v>265</v>
      </c>
      <c r="B24529" s="1" t="str">
        <f>HYPERLINK("http://roanoketrade.com","roanoketrade.com")</f>
        <v>roanoketrade.com</v>
      </c>
      <c r="C24529" t="s">
        <v>433</v>
      </c>
      <c r="F24529">
        <v>2.6612111224959701E-8</v>
      </c>
      <c r="G24529">
        <v>1934350</v>
      </c>
      <c r="H24529">
        <v>12961167</v>
      </c>
      <c r="I24529">
        <v>13162895</v>
      </c>
      <c r="J24529">
        <v>3</v>
      </c>
    </row>
    <row r="24530" spans="1:10" x14ac:dyDescent="0.25">
      <c r="A24530" t="s">
        <v>265</v>
      </c>
      <c r="B24530" s="1" t="str">
        <f>HYPERLINK("http://schollmeier.com","schollmeier.com")</f>
        <v>schollmeier.com</v>
      </c>
      <c r="C24530" t="s">
        <v>433</v>
      </c>
      <c r="F24530">
        <v>4.6176936603867204E-9</v>
      </c>
      <c r="G24530">
        <v>46296080</v>
      </c>
      <c r="H24530">
        <v>9424139</v>
      </c>
      <c r="I24530">
        <v>66909072</v>
      </c>
      <c r="J24530">
        <v>4</v>
      </c>
    </row>
    <row r="24531" spans="1:10" x14ac:dyDescent="0.25">
      <c r="A24531" t="s">
        <v>265</v>
      </c>
      <c r="B24531" s="1" t="str">
        <f>HYPERLINK("http://solomononline.com","solomononline.com")</f>
        <v>solomononline.com</v>
      </c>
      <c r="C24531" t="s">
        <v>433</v>
      </c>
      <c r="F24531">
        <v>1.96552471834577E-8</v>
      </c>
      <c r="G24531">
        <v>2718323</v>
      </c>
      <c r="H24531">
        <v>13286063</v>
      </c>
      <c r="I24531">
        <v>10891660</v>
      </c>
      <c r="J24531">
        <v>3</v>
      </c>
    </row>
    <row r="24532" spans="1:10" x14ac:dyDescent="0.25">
      <c r="A24532" t="s">
        <v>265</v>
      </c>
      <c r="B24532" s="1" t="str">
        <f>HYPERLINK("http://viwis.com","viwis.com")</f>
        <v>viwis.com</v>
      </c>
      <c r="C24532" t="s">
        <v>433</v>
      </c>
      <c r="F24532">
        <v>1.97583907683883E-8</v>
      </c>
      <c r="G24532">
        <v>2699744</v>
      </c>
      <c r="H24532">
        <v>10016033</v>
      </c>
      <c r="I24532">
        <v>60715051</v>
      </c>
      <c r="J24532">
        <v>4</v>
      </c>
    </row>
    <row r="24533" spans="1:10" x14ac:dyDescent="0.25">
      <c r="A24533" t="s">
        <v>265</v>
      </c>
      <c r="B24533" s="1" t="str">
        <f>HYPERLINK("http://premierguarantee.com.cy","premierguarantee.com.cy")</f>
        <v>premierguarantee.com.cy</v>
      </c>
      <c r="C24533" t="s">
        <v>610</v>
      </c>
      <c r="D24533" t="s">
        <v>937</v>
      </c>
      <c r="F24533">
        <v>4.6209488228338004E-9</v>
      </c>
      <c r="G24533">
        <v>46066505</v>
      </c>
      <c r="H24533">
        <v>7731590</v>
      </c>
      <c r="I24533">
        <v>75845835</v>
      </c>
      <c r="J24533">
        <v>4</v>
      </c>
    </row>
    <row r="24534" spans="1:10" x14ac:dyDescent="0.25">
      <c r="A24534" t="s">
        <v>265</v>
      </c>
      <c r="B24534" s="1" t="str">
        <f>HYPERLINK("http://das.cz","das.cz")</f>
        <v>das.cz</v>
      </c>
      <c r="C24534" t="s">
        <v>435</v>
      </c>
      <c r="D24534" t="s">
        <v>814</v>
      </c>
      <c r="F24534">
        <v>6.0313758622639906E-8</v>
      </c>
      <c r="G24534">
        <v>731337</v>
      </c>
      <c r="H24534">
        <v>14073643</v>
      </c>
      <c r="I24534">
        <v>2980761</v>
      </c>
      <c r="J24534">
        <v>5</v>
      </c>
    </row>
    <row r="24535" spans="1:10" x14ac:dyDescent="0.25">
      <c r="A24535" t="s">
        <v>265</v>
      </c>
      <c r="B24535" s="1" t="str">
        <f>HYPERLINK("http://ervpojistovna.cz","ervpojistovna.cz")</f>
        <v>ervpojistovna.cz</v>
      </c>
      <c r="C24535" t="s">
        <v>435</v>
      </c>
      <c r="D24535" t="s">
        <v>814</v>
      </c>
      <c r="F24535">
        <v>1.7965665783910099E-7</v>
      </c>
      <c r="G24535">
        <v>215038</v>
      </c>
      <c r="H24535">
        <v>13786777</v>
      </c>
      <c r="I24535">
        <v>6381470</v>
      </c>
      <c r="J24535">
        <v>4</v>
      </c>
    </row>
    <row r="24536" spans="1:10" x14ac:dyDescent="0.25">
      <c r="A24536" t="s">
        <v>265</v>
      </c>
      <c r="B24536" s="1" t="str">
        <f>HYPERLINK("http://etics.cz","etics.cz")</f>
        <v>etics.cz</v>
      </c>
      <c r="C24536" t="s">
        <v>435</v>
      </c>
      <c r="D24536" t="s">
        <v>814</v>
      </c>
      <c r="F24536">
        <v>4.5866130005306296E-9</v>
      </c>
      <c r="G24536">
        <v>48701054</v>
      </c>
      <c r="H24536">
        <v>10356580</v>
      </c>
      <c r="I24536">
        <v>55616134</v>
      </c>
      <c r="J24536">
        <v>3</v>
      </c>
    </row>
    <row r="24537" spans="1:10" x14ac:dyDescent="0.25">
      <c r="A24537" t="s">
        <v>265</v>
      </c>
      <c r="B24537" s="1" t="str">
        <f>HYPERLINK("http://anova.de","anova.de")</f>
        <v>anova.de</v>
      </c>
      <c r="C24537" t="s">
        <v>436</v>
      </c>
      <c r="D24537" t="s">
        <v>815</v>
      </c>
      <c r="F24537">
        <v>1.3919504331953E-8</v>
      </c>
      <c r="G24537">
        <v>4233560</v>
      </c>
      <c r="H24537">
        <v>13772791</v>
      </c>
      <c r="I24537">
        <v>6648665</v>
      </c>
      <c r="J24537">
        <v>3</v>
      </c>
    </row>
    <row r="24538" spans="1:10" x14ac:dyDescent="0.25">
      <c r="A24538" t="s">
        <v>265</v>
      </c>
      <c r="B24538" s="1" t="str">
        <f>HYPERLINK("http://dkv-impulse.de","dkv-impulse.de")</f>
        <v>dkv-impulse.de</v>
      </c>
      <c r="C24538" t="s">
        <v>436</v>
      </c>
      <c r="D24538" t="s">
        <v>815</v>
      </c>
      <c r="F24538">
        <v>8.0631607833750998E-9</v>
      </c>
      <c r="G24538">
        <v>9806449</v>
      </c>
      <c r="H24538">
        <v>10780972</v>
      </c>
      <c r="I24538">
        <v>38895929</v>
      </c>
      <c r="J24538">
        <v>2</v>
      </c>
    </row>
    <row r="24539" spans="1:10" x14ac:dyDescent="0.25">
      <c r="A24539" t="s">
        <v>265</v>
      </c>
      <c r="B24539" s="1" t="str">
        <f>HYPERLINK("http://dkv-rc.de","dkv-rc.de")</f>
        <v>dkv-rc.de</v>
      </c>
      <c r="C24539" t="s">
        <v>436</v>
      </c>
      <c r="D24539" t="s">
        <v>815</v>
      </c>
      <c r="F24539">
        <v>1.7140695957342101E-8</v>
      </c>
      <c r="G24539">
        <v>3251830</v>
      </c>
      <c r="H24539">
        <v>12674876</v>
      </c>
      <c r="I24539">
        <v>15560036</v>
      </c>
      <c r="J24539">
        <v>3</v>
      </c>
    </row>
    <row r="24540" spans="1:10" x14ac:dyDescent="0.25">
      <c r="A24540" t="s">
        <v>265</v>
      </c>
      <c r="B24540" s="1" t="str">
        <f>HYPERLINK("http://dkv-rt.de","dkv-rt.de")</f>
        <v>dkv-rt.de</v>
      </c>
      <c r="C24540" t="s">
        <v>436</v>
      </c>
      <c r="D24540" t="s">
        <v>815</v>
      </c>
      <c r="F24540">
        <v>1.3082912053727199E-8</v>
      </c>
      <c r="G24540">
        <v>4591889</v>
      </c>
      <c r="H24540">
        <v>12581050</v>
      </c>
      <c r="I24540">
        <v>16497270</v>
      </c>
      <c r="J24540">
        <v>3</v>
      </c>
    </row>
    <row r="24541" spans="1:10" x14ac:dyDescent="0.25">
      <c r="A24541" t="s">
        <v>265</v>
      </c>
      <c r="B24541" s="1" t="str">
        <f>HYPERLINK("http://ergo.de","ergo.de")</f>
        <v>ergo.de</v>
      </c>
      <c r="C24541" t="s">
        <v>436</v>
      </c>
      <c r="D24541" t="s">
        <v>815</v>
      </c>
      <c r="E24541">
        <v>66675</v>
      </c>
      <c r="F24541">
        <v>1.22027665402236E-6</v>
      </c>
      <c r="G24541">
        <v>31854</v>
      </c>
      <c r="H24541">
        <v>17196978</v>
      </c>
      <c r="I24541">
        <v>42347</v>
      </c>
      <c r="J24541">
        <v>2</v>
      </c>
    </row>
    <row r="24542" spans="1:10" x14ac:dyDescent="0.25">
      <c r="A24542" t="s">
        <v>265</v>
      </c>
      <c r="B24542" s="1" t="str">
        <f>HYPERLINK("http://ergo-gourmet.de","ergo-gourmet.de")</f>
        <v>ergo-gourmet.de</v>
      </c>
      <c r="C24542" t="s">
        <v>436</v>
      </c>
      <c r="D24542" t="s">
        <v>815</v>
      </c>
      <c r="F24542">
        <v>8.0130320028037607E-9</v>
      </c>
      <c r="G24542">
        <v>9896860</v>
      </c>
      <c r="H24542">
        <v>11051986</v>
      </c>
      <c r="I24542">
        <v>32774783</v>
      </c>
      <c r="J24542">
        <v>3</v>
      </c>
    </row>
    <row r="24543" spans="1:10" x14ac:dyDescent="0.25">
      <c r="A24543" t="s">
        <v>265</v>
      </c>
      <c r="B24543" s="1" t="str">
        <f>HYPERLINK("http://ergodirekt.de","ergodirekt.de")</f>
        <v>ergodirekt.de</v>
      </c>
      <c r="C24543" t="s">
        <v>436</v>
      </c>
      <c r="D24543" t="s">
        <v>815</v>
      </c>
      <c r="E24543">
        <v>566304</v>
      </c>
      <c r="F24543">
        <v>1.0984087930903E-7</v>
      </c>
      <c r="G24543">
        <v>364160</v>
      </c>
      <c r="H24543">
        <v>14361930</v>
      </c>
      <c r="I24543">
        <v>1303720</v>
      </c>
      <c r="J24543">
        <v>3</v>
      </c>
    </row>
    <row r="24544" spans="1:10" x14ac:dyDescent="0.25">
      <c r="A24544" t="s">
        <v>265</v>
      </c>
      <c r="B24544" s="1" t="str">
        <f>HYPERLINK("http://erv.de","erv.de")</f>
        <v>erv.de</v>
      </c>
      <c r="C24544" t="s">
        <v>436</v>
      </c>
      <c r="D24544" t="s">
        <v>815</v>
      </c>
      <c r="E24544">
        <v>188321</v>
      </c>
      <c r="F24544">
        <v>9.05203030807966E-8</v>
      </c>
      <c r="G24544">
        <v>450633</v>
      </c>
      <c r="H24544">
        <v>13044135</v>
      </c>
      <c r="I24544">
        <v>12611985</v>
      </c>
      <c r="J24544">
        <v>2</v>
      </c>
    </row>
    <row r="24545" spans="1:10" x14ac:dyDescent="0.25">
      <c r="A24545" t="s">
        <v>265</v>
      </c>
      <c r="B24545" s="1" t="str">
        <f>HYPERLINK("http://flexitel.de","flexitel.de")</f>
        <v>flexitel.de</v>
      </c>
      <c r="C24545" t="s">
        <v>436</v>
      </c>
      <c r="D24545" t="s">
        <v>815</v>
      </c>
      <c r="F24545">
        <v>4.7487403228375997E-9</v>
      </c>
      <c r="G24545">
        <v>38382084</v>
      </c>
      <c r="H24545">
        <v>11930944</v>
      </c>
      <c r="I24545">
        <v>29305926</v>
      </c>
      <c r="J24545">
        <v>3</v>
      </c>
    </row>
    <row r="24546" spans="1:10" x14ac:dyDescent="0.25">
      <c r="A24546" t="s">
        <v>265</v>
      </c>
      <c r="B24546" s="1" t="str">
        <f>HYPERLINK("http://godentis.de","godentis.de")</f>
        <v>godentis.de</v>
      </c>
      <c r="C24546" t="s">
        <v>436</v>
      </c>
      <c r="D24546" t="s">
        <v>815</v>
      </c>
      <c r="F24546">
        <v>6.9268470270621607E-8</v>
      </c>
      <c r="G24546">
        <v>613241</v>
      </c>
      <c r="H24546">
        <v>12649973</v>
      </c>
      <c r="I24546">
        <v>15798317</v>
      </c>
      <c r="J24546">
        <v>5</v>
      </c>
    </row>
    <row r="24547" spans="1:10" x14ac:dyDescent="0.25">
      <c r="A24547" t="s">
        <v>265</v>
      </c>
      <c r="B24547" s="1" t="str">
        <f>HYPERLINK("http://gomedus-koeln.de","gomedus-koeln.de")</f>
        <v>gomedus-koeln.de</v>
      </c>
      <c r="C24547" t="s">
        <v>436</v>
      </c>
      <c r="D24547" t="s">
        <v>815</v>
      </c>
      <c r="J24547">
        <v>3</v>
      </c>
    </row>
    <row r="24548" spans="1:10" x14ac:dyDescent="0.25">
      <c r="A24548" t="s">
        <v>265</v>
      </c>
      <c r="B24548" s="1" t="str">
        <f>HYPERLINK("http://ideenkapital.de","ideenkapital.de")</f>
        <v>ideenkapital.de</v>
      </c>
      <c r="C24548" t="s">
        <v>436</v>
      </c>
      <c r="D24548" t="s">
        <v>815</v>
      </c>
      <c r="F24548">
        <v>6.1222965678215703E-9</v>
      </c>
      <c r="G24548">
        <v>15967051</v>
      </c>
      <c r="H24548">
        <v>10920960</v>
      </c>
      <c r="I24548">
        <v>35260982</v>
      </c>
      <c r="J24548">
        <v>3</v>
      </c>
    </row>
    <row r="24549" spans="1:10" x14ac:dyDescent="0.25">
      <c r="A24549" t="s">
        <v>265</v>
      </c>
      <c r="B24549" s="1" t="str">
        <f>HYPERLINK("http://janus-media.de","janus-media.de")</f>
        <v>janus-media.de</v>
      </c>
      <c r="C24549" t="s">
        <v>436</v>
      </c>
      <c r="D24549" t="s">
        <v>815</v>
      </c>
      <c r="F24549">
        <v>2.0513483901703701E-8</v>
      </c>
      <c r="G24549">
        <v>2582773</v>
      </c>
      <c r="H24549">
        <v>13763636</v>
      </c>
      <c r="I24549">
        <v>8100316</v>
      </c>
      <c r="J24549">
        <v>3</v>
      </c>
    </row>
    <row r="24550" spans="1:10" x14ac:dyDescent="0.25">
      <c r="A24550" t="s">
        <v>265</v>
      </c>
      <c r="B24550" s="1" t="str">
        <f>HYPERLINK("http://kqfs.de","kqfs.de")</f>
        <v>kqfs.de</v>
      </c>
      <c r="C24550" t="s">
        <v>436</v>
      </c>
      <c r="D24550" t="s">
        <v>815</v>
      </c>
      <c r="F24550">
        <v>4.4966688124477497E-9</v>
      </c>
      <c r="G24550">
        <v>59442725</v>
      </c>
      <c r="H24550">
        <v>12225597</v>
      </c>
      <c r="I24550">
        <v>22637830</v>
      </c>
      <c r="J24550">
        <v>3</v>
      </c>
    </row>
    <row r="24551" spans="1:10" x14ac:dyDescent="0.25">
      <c r="A24551" t="s">
        <v>265</v>
      </c>
      <c r="B24551" s="1" t="str">
        <f>HYPERLINK("http://krissmayr.de","krissmayr.de")</f>
        <v>krissmayr.de</v>
      </c>
      <c r="C24551" t="s">
        <v>436</v>
      </c>
      <c r="D24551" t="s">
        <v>815</v>
      </c>
      <c r="F24551">
        <v>4.44380395335525E-9</v>
      </c>
      <c r="G24551">
        <v>84426012</v>
      </c>
      <c r="H24551">
        <v>0</v>
      </c>
      <c r="I24551">
        <v>85475933</v>
      </c>
      <c r="J24551">
        <v>4</v>
      </c>
    </row>
    <row r="24552" spans="1:10" x14ac:dyDescent="0.25">
      <c r="A24552" t="s">
        <v>265</v>
      </c>
      <c r="B24552" s="1" t="str">
        <f>HYPERLINK("http://krissmayr@ergo.de","krissmayr@ergo.de")</f>
        <v>krissmayr@ergo.de</v>
      </c>
      <c r="C24552" t="s">
        <v>436</v>
      </c>
      <c r="D24552" t="s">
        <v>815</v>
      </c>
      <c r="J24552">
        <v>4</v>
      </c>
    </row>
    <row r="24553" spans="1:10" x14ac:dyDescent="0.25">
      <c r="A24553" t="s">
        <v>265</v>
      </c>
      <c r="B24553" s="1" t="str">
        <f>HYPERLINK("http://longial.de","longial.de")</f>
        <v>longial.de</v>
      </c>
      <c r="C24553" t="s">
        <v>436</v>
      </c>
      <c r="D24553" t="s">
        <v>815</v>
      </c>
      <c r="F24553">
        <v>1.7732538014797499E-8</v>
      </c>
      <c r="G24553">
        <v>3089365</v>
      </c>
      <c r="H24553">
        <v>13141743</v>
      </c>
      <c r="I24553">
        <v>11871824</v>
      </c>
      <c r="J24553">
        <v>3</v>
      </c>
    </row>
    <row r="24554" spans="1:10" x14ac:dyDescent="0.25">
      <c r="A24554" t="s">
        <v>265</v>
      </c>
      <c r="B24554" s="1" t="str">
        <f>HYPERLINK("http://munichre.de","munichre.de")</f>
        <v>munichre.de</v>
      </c>
      <c r="C24554" t="s">
        <v>436</v>
      </c>
      <c r="D24554" t="s">
        <v>815</v>
      </c>
      <c r="F24554">
        <v>1.08303827988494E-8</v>
      </c>
      <c r="G24554">
        <v>5996180</v>
      </c>
      <c r="H24554">
        <v>14073018</v>
      </c>
      <c r="I24554">
        <v>3024145</v>
      </c>
      <c r="J24554">
        <v>4</v>
      </c>
    </row>
    <row r="24555" spans="1:10" x14ac:dyDescent="0.25">
      <c r="A24555" t="s">
        <v>265</v>
      </c>
      <c r="B24555" s="1" t="str">
        <f>HYPERLINK("http://s-s-vm.de","s-s-vm.de")</f>
        <v>s-s-vm.de</v>
      </c>
      <c r="C24555" t="s">
        <v>436</v>
      </c>
      <c r="D24555" t="s">
        <v>815</v>
      </c>
      <c r="F24555">
        <v>5.3570307331426302E-9</v>
      </c>
      <c r="G24555">
        <v>22708810</v>
      </c>
      <c r="H24555">
        <v>9816575</v>
      </c>
      <c r="I24555">
        <v>62457987</v>
      </c>
      <c r="J24555">
        <v>3</v>
      </c>
    </row>
    <row r="24556" spans="1:10" x14ac:dyDescent="0.25">
      <c r="A24556" t="s">
        <v>265</v>
      </c>
      <c r="B24556" s="1" t="str">
        <f>HYPERLINK("http://schlosshohenkammer.de","schlosshohenkammer.de")</f>
        <v>schlosshohenkammer.de</v>
      </c>
      <c r="C24556" t="s">
        <v>436</v>
      </c>
      <c r="D24556" t="s">
        <v>815</v>
      </c>
      <c r="F24556">
        <v>4.9990852604362203E-8</v>
      </c>
      <c r="G24556">
        <v>921534</v>
      </c>
      <c r="H24556">
        <v>13419213</v>
      </c>
      <c r="I24556">
        <v>10306902</v>
      </c>
      <c r="J24556">
        <v>3</v>
      </c>
    </row>
    <row r="24557" spans="1:10" x14ac:dyDescent="0.25">
      <c r="A24557" t="s">
        <v>265</v>
      </c>
      <c r="B24557" s="1" t="str">
        <f>HYPERLINK("http://tas-ass.de","tas-ass.de")</f>
        <v>tas-ass.de</v>
      </c>
      <c r="C24557" t="s">
        <v>436</v>
      </c>
      <c r="D24557" t="s">
        <v>815</v>
      </c>
      <c r="F24557">
        <v>5.0445948163621699E-9</v>
      </c>
      <c r="G24557">
        <v>28341485</v>
      </c>
      <c r="H24557">
        <v>9997645</v>
      </c>
      <c r="I24557">
        <v>60836418</v>
      </c>
      <c r="J24557">
        <v>5</v>
      </c>
    </row>
    <row r="24558" spans="1:10" x14ac:dyDescent="0.25">
      <c r="A24558" t="s">
        <v>265</v>
      </c>
      <c r="B24558" s="1" t="str">
        <f>HYPERLINK("http://trusted-documents.de","trusted-documents.de")</f>
        <v>trusted-documents.de</v>
      </c>
      <c r="C24558" t="s">
        <v>436</v>
      </c>
      <c r="D24558" t="s">
        <v>815</v>
      </c>
      <c r="J24558">
        <v>3</v>
      </c>
    </row>
    <row r="24559" spans="1:10" x14ac:dyDescent="0.25">
      <c r="A24559" t="s">
        <v>265</v>
      </c>
      <c r="B24559" s="1" t="str">
        <f>HYPERLINK("http://viwis.de","viwis.de")</f>
        <v>viwis.de</v>
      </c>
      <c r="C24559" t="s">
        <v>436</v>
      </c>
      <c r="D24559" t="s">
        <v>815</v>
      </c>
      <c r="F24559">
        <v>1.7090956164383102E-8</v>
      </c>
      <c r="G24559">
        <v>3262689</v>
      </c>
      <c r="H24559">
        <v>12498601</v>
      </c>
      <c r="I24559">
        <v>17374290</v>
      </c>
      <c r="J24559">
        <v>3</v>
      </c>
    </row>
    <row r="24560" spans="1:10" x14ac:dyDescent="0.25">
      <c r="A24560" t="s">
        <v>265</v>
      </c>
      <c r="B24560" s="1" t="str">
        <f>HYPERLINK("http://vorsorge-leben.de","vorsorge-leben.de")</f>
        <v>vorsorge-leben.de</v>
      </c>
      <c r="C24560" t="s">
        <v>436</v>
      </c>
      <c r="D24560" t="s">
        <v>815</v>
      </c>
      <c r="F24560">
        <v>4.8062605427619402E-9</v>
      </c>
      <c r="G24560">
        <v>35842473</v>
      </c>
      <c r="H24560">
        <v>12052342</v>
      </c>
      <c r="I24560">
        <v>27184777</v>
      </c>
      <c r="J24560">
        <v>3</v>
      </c>
    </row>
    <row r="24561" spans="1:10" x14ac:dyDescent="0.25">
      <c r="A24561" t="s">
        <v>265</v>
      </c>
      <c r="B24561" s="1" t="str">
        <f>HYPERLINK("http://welivit.de","welivit.de")</f>
        <v>welivit.de</v>
      </c>
      <c r="C24561" t="s">
        <v>436</v>
      </c>
      <c r="D24561" t="s">
        <v>815</v>
      </c>
      <c r="F24561">
        <v>6.0598444310613998E-9</v>
      </c>
      <c r="G24561">
        <v>16326023</v>
      </c>
      <c r="H24561">
        <v>10138802</v>
      </c>
      <c r="I24561">
        <v>59523202</v>
      </c>
      <c r="J24561">
        <v>4</v>
      </c>
    </row>
    <row r="24562" spans="1:10" x14ac:dyDescent="0.25">
      <c r="A24562" t="s">
        <v>265</v>
      </c>
      <c r="B24562" s="1" t="str">
        <f>HYPERLINK("http://welivit-newenergy.de","welivit-newenergy.de")</f>
        <v>welivit-newenergy.de</v>
      </c>
      <c r="C24562" t="s">
        <v>436</v>
      </c>
      <c r="D24562" t="s">
        <v>815</v>
      </c>
      <c r="J24562">
        <v>5</v>
      </c>
    </row>
    <row r="24563" spans="1:10" x14ac:dyDescent="0.25">
      <c r="A24563" t="s">
        <v>265</v>
      </c>
      <c r="B24563" s="1" t="str">
        <f>HYPERLINK("http://europaeiske.dk","europaeiske.dk")</f>
        <v>europaeiske.dk</v>
      </c>
      <c r="C24563" t="s">
        <v>437</v>
      </c>
      <c r="D24563" t="s">
        <v>816</v>
      </c>
      <c r="F24563">
        <v>9.8832000508533006E-8</v>
      </c>
      <c r="G24563">
        <v>407701</v>
      </c>
      <c r="H24563">
        <v>13942433</v>
      </c>
      <c r="I24563">
        <v>4330514</v>
      </c>
      <c r="J24563">
        <v>3</v>
      </c>
    </row>
    <row r="24564" spans="1:10" x14ac:dyDescent="0.25">
      <c r="A24564" t="s">
        <v>265</v>
      </c>
      <c r="B24564" s="1" t="str">
        <f>HYPERLINK("http://ergo.ee","ergo.ee")</f>
        <v>ergo.ee</v>
      </c>
      <c r="C24564" t="s">
        <v>441</v>
      </c>
      <c r="D24564" t="s">
        <v>820</v>
      </c>
      <c r="E24564">
        <v>793410</v>
      </c>
      <c r="F24564">
        <v>6.6207141247386005E-8</v>
      </c>
      <c r="G24564">
        <v>647855</v>
      </c>
      <c r="H24564">
        <v>14159967</v>
      </c>
      <c r="I24564">
        <v>1839812</v>
      </c>
      <c r="J24564">
        <v>3</v>
      </c>
    </row>
    <row r="24565" spans="1:10" x14ac:dyDescent="0.25">
      <c r="A24565" t="s">
        <v>265</v>
      </c>
      <c r="B24565" s="1" t="str">
        <f>HYPERLINK("http://dkv.es","dkv.es")</f>
        <v>dkv.es</v>
      </c>
      <c r="C24565" t="s">
        <v>443</v>
      </c>
      <c r="D24565" t="s">
        <v>822</v>
      </c>
      <c r="E24565">
        <v>211928</v>
      </c>
      <c r="F24565">
        <v>2.0083442055990699E-7</v>
      </c>
      <c r="G24565">
        <v>189599</v>
      </c>
      <c r="H24565">
        <v>17052292</v>
      </c>
      <c r="I24565">
        <v>75906</v>
      </c>
      <c r="J24565">
        <v>5</v>
      </c>
    </row>
    <row r="24566" spans="1:10" x14ac:dyDescent="0.25">
      <c r="A24566" t="s">
        <v>265</v>
      </c>
      <c r="B24566" s="1" t="str">
        <f>HYPERLINK("http://premierguarantee.es","premierguarantee.es")</f>
        <v>premierguarantee.es</v>
      </c>
      <c r="C24566" t="s">
        <v>443</v>
      </c>
      <c r="D24566" t="s">
        <v>822</v>
      </c>
      <c r="F24566">
        <v>5.0047580137271902E-9</v>
      </c>
      <c r="G24566">
        <v>29296324</v>
      </c>
      <c r="H24566">
        <v>12259762</v>
      </c>
      <c r="I24566">
        <v>21778920</v>
      </c>
      <c r="J24566">
        <v>4</v>
      </c>
    </row>
    <row r="24567" spans="1:10" x14ac:dyDescent="0.25">
      <c r="A24567" t="s">
        <v>265</v>
      </c>
      <c r="B24567" s="1" t="str">
        <f>HYPERLINK("http://ergo-industrial.eu","ergo-industrial.eu")</f>
        <v>ergo-industrial.eu</v>
      </c>
      <c r="C24567" t="s">
        <v>444</v>
      </c>
      <c r="F24567">
        <v>4.9278755523112704E-9</v>
      </c>
      <c r="G24567">
        <v>31442503</v>
      </c>
      <c r="H24567">
        <v>8299438.5</v>
      </c>
      <c r="I24567">
        <v>74384139</v>
      </c>
      <c r="J24567">
        <v>2</v>
      </c>
    </row>
    <row r="24568" spans="1:10" x14ac:dyDescent="0.25">
      <c r="A24568" t="s">
        <v>265</v>
      </c>
      <c r="B24568" s="1" t="str">
        <f>HYPERLINK("http://htcwaterfront.fi","htcwaterfront.fi")</f>
        <v>htcwaterfront.fi</v>
      </c>
      <c r="C24568" t="s">
        <v>445</v>
      </c>
      <c r="D24568" t="s">
        <v>823</v>
      </c>
      <c r="F24568">
        <v>1.0551703725362999E-8</v>
      </c>
      <c r="G24568">
        <v>6225014</v>
      </c>
      <c r="H24568">
        <v>10386468</v>
      </c>
      <c r="I24568">
        <v>54440389</v>
      </c>
      <c r="J24568">
        <v>2</v>
      </c>
    </row>
    <row r="24569" spans="1:10" x14ac:dyDescent="0.25">
      <c r="A24569" t="s">
        <v>265</v>
      </c>
      <c r="B24569" s="1" t="str">
        <f>HYPERLINK("http://ergo-industrial.fr","ergo-industrial.fr")</f>
        <v>ergo-industrial.fr</v>
      </c>
      <c r="C24569" t="s">
        <v>446</v>
      </c>
      <c r="D24569" t="s">
        <v>824</v>
      </c>
      <c r="F24569">
        <v>9.14897261943633E-9</v>
      </c>
      <c r="G24569">
        <v>7779721</v>
      </c>
      <c r="H24569">
        <v>14071990</v>
      </c>
      <c r="I24569">
        <v>3194218</v>
      </c>
      <c r="J24569">
        <v>2</v>
      </c>
    </row>
    <row r="24570" spans="1:10" x14ac:dyDescent="0.25">
      <c r="A24570" t="s">
        <v>265</v>
      </c>
      <c r="B24570" s="1" t="str">
        <f>HYPERLINK("http://mednet.com.gr","mednet.com.gr")</f>
        <v>mednet.com.gr</v>
      </c>
      <c r="C24570" t="s">
        <v>447</v>
      </c>
      <c r="D24570" t="s">
        <v>825</v>
      </c>
      <c r="F24570">
        <v>6.0685495638756197E-9</v>
      </c>
      <c r="G24570">
        <v>16274293</v>
      </c>
      <c r="H24570">
        <v>12112193</v>
      </c>
      <c r="I24570">
        <v>25669115</v>
      </c>
      <c r="J24570">
        <v>3</v>
      </c>
    </row>
    <row r="24571" spans="1:10" x14ac:dyDescent="0.25">
      <c r="A24571" t="s">
        <v>265</v>
      </c>
      <c r="B24571" s="1" t="str">
        <f>HYPERLINK("http://ergohellas.gr","ergohellas.gr")</f>
        <v>ergohellas.gr</v>
      </c>
      <c r="C24571" t="s">
        <v>447</v>
      </c>
      <c r="D24571" t="s">
        <v>825</v>
      </c>
      <c r="F24571">
        <v>4.2730969777079898E-8</v>
      </c>
      <c r="G24571">
        <v>1129899</v>
      </c>
      <c r="H24571">
        <v>14126215</v>
      </c>
      <c r="I24571">
        <v>2104069</v>
      </c>
      <c r="J24571">
        <v>4</v>
      </c>
    </row>
    <row r="24572" spans="1:10" x14ac:dyDescent="0.25">
      <c r="A24572" t="s">
        <v>265</v>
      </c>
      <c r="B24572" s="1" t="str">
        <f>HYPERLINK("http://das.hu","das.hu")</f>
        <v>das.hu</v>
      </c>
      <c r="C24572" t="s">
        <v>453</v>
      </c>
      <c r="D24572" t="s">
        <v>830</v>
      </c>
      <c r="F24572">
        <v>3.16648379986781E-8</v>
      </c>
      <c r="G24572">
        <v>1630162</v>
      </c>
      <c r="H24572">
        <v>14238684</v>
      </c>
      <c r="I24572">
        <v>1522747</v>
      </c>
      <c r="J24572">
        <v>4</v>
      </c>
    </row>
    <row r="24573" spans="1:10" x14ac:dyDescent="0.25">
      <c r="A24573" t="s">
        <v>265</v>
      </c>
      <c r="B24573" s="1" t="str">
        <f>HYPERLINK("http://relayr.io","relayr.io")</f>
        <v>relayr.io</v>
      </c>
      <c r="C24573" t="s">
        <v>518</v>
      </c>
      <c r="E24573">
        <v>400661</v>
      </c>
      <c r="F24573">
        <v>2.6413594124608099E-7</v>
      </c>
      <c r="G24573">
        <v>141273</v>
      </c>
      <c r="H24573">
        <v>16924660</v>
      </c>
      <c r="I24573">
        <v>123486</v>
      </c>
      <c r="J24573">
        <v>3</v>
      </c>
    </row>
    <row r="24574" spans="1:10" x14ac:dyDescent="0.25">
      <c r="A24574" t="s">
        <v>265</v>
      </c>
      <c r="B24574" s="1" t="str">
        <f>HYPERLINK("http://ergoitalia.it","ergoitalia.it")</f>
        <v>ergoitalia.it</v>
      </c>
      <c r="C24574" t="s">
        <v>459</v>
      </c>
      <c r="D24574" t="s">
        <v>835</v>
      </c>
      <c r="F24574">
        <v>7.2445991710662902E-9</v>
      </c>
      <c r="G24574">
        <v>11619357</v>
      </c>
      <c r="H24574">
        <v>13938376</v>
      </c>
      <c r="I24574">
        <v>4431515</v>
      </c>
      <c r="J24574">
        <v>5</v>
      </c>
    </row>
    <row r="24575" spans="1:10" x14ac:dyDescent="0.25">
      <c r="A24575" t="s">
        <v>265</v>
      </c>
      <c r="B24575" s="1" t="str">
        <f>HYPERLINK("http://ergo.lt","ergo.lt")</f>
        <v>ergo.lt</v>
      </c>
      <c r="C24575" t="s">
        <v>467</v>
      </c>
      <c r="D24575" t="s">
        <v>843</v>
      </c>
      <c r="F24575">
        <v>5.3736000701383302E-8</v>
      </c>
      <c r="G24575">
        <v>846075</v>
      </c>
      <c r="H24575">
        <v>13996738</v>
      </c>
      <c r="I24575">
        <v>4019211</v>
      </c>
      <c r="J24575">
        <v>4</v>
      </c>
    </row>
    <row r="24576" spans="1:10" x14ac:dyDescent="0.25">
      <c r="A24576" t="s">
        <v>265</v>
      </c>
      <c r="B24576" s="1" t="str">
        <f>HYPERLINK("http://das.lu","das.lu")</f>
        <v>das.lu</v>
      </c>
      <c r="C24576" t="s">
        <v>547</v>
      </c>
      <c r="D24576" t="s">
        <v>904</v>
      </c>
      <c r="F24576">
        <v>4.5373524955683098E-9</v>
      </c>
      <c r="G24576">
        <v>53647409</v>
      </c>
      <c r="H24576">
        <v>9980730</v>
      </c>
      <c r="I24576">
        <v>60979748</v>
      </c>
      <c r="J24576">
        <v>4</v>
      </c>
    </row>
    <row r="24577" spans="1:10" x14ac:dyDescent="0.25">
      <c r="A24577" t="s">
        <v>265</v>
      </c>
      <c r="B24577" s="1" t="str">
        <f>HYPERLINK("http://ergo.lu","ergo.lu")</f>
        <v>ergo.lu</v>
      </c>
      <c r="C24577" t="s">
        <v>547</v>
      </c>
      <c r="D24577" t="s">
        <v>904</v>
      </c>
      <c r="F24577">
        <v>5.7485398481293803E-9</v>
      </c>
      <c r="G24577">
        <v>18509093</v>
      </c>
      <c r="H24577">
        <v>10516306</v>
      </c>
      <c r="I24577">
        <v>49193818</v>
      </c>
      <c r="J24577">
        <v>4</v>
      </c>
    </row>
    <row r="24578" spans="1:10" x14ac:dyDescent="0.25">
      <c r="A24578" t="s">
        <v>265</v>
      </c>
      <c r="B24578" s="1" t="str">
        <f>HYPERLINK("http://ergo.lv","ergo.lv")</f>
        <v>ergo.lv</v>
      </c>
      <c r="C24578" t="s">
        <v>468</v>
      </c>
      <c r="D24578" t="s">
        <v>844</v>
      </c>
      <c r="F24578">
        <v>5.4805396171798499E-8</v>
      </c>
      <c r="G24578">
        <v>821480</v>
      </c>
      <c r="H24578">
        <v>12288091</v>
      </c>
      <c r="I24578">
        <v>21152479</v>
      </c>
      <c r="J24578">
        <v>4</v>
      </c>
    </row>
    <row r="24579" spans="1:10" x14ac:dyDescent="0.25">
      <c r="A24579" t="s">
        <v>265</v>
      </c>
      <c r="B24579" s="1" t="str">
        <f>HYPERLINK("http://providincare.net","providincare.net")</f>
        <v>providincare.net</v>
      </c>
      <c r="C24579" t="s">
        <v>474</v>
      </c>
      <c r="J24579">
        <v>4</v>
      </c>
    </row>
    <row r="24580" spans="1:10" x14ac:dyDescent="0.25">
      <c r="A24580" t="s">
        <v>265</v>
      </c>
      <c r="B24580" s="1" t="str">
        <f>HYPERLINK("http://bosincasso.nl","bosincasso.nl")</f>
        <v>bosincasso.nl</v>
      </c>
      <c r="C24580" t="s">
        <v>477</v>
      </c>
      <c r="D24580" t="s">
        <v>852</v>
      </c>
      <c r="F24580">
        <v>2.3177213779548199E-8</v>
      </c>
      <c r="G24580">
        <v>2251743</v>
      </c>
      <c r="H24580">
        <v>13122438</v>
      </c>
      <c r="I24580">
        <v>11983795</v>
      </c>
      <c r="J24580">
        <v>4</v>
      </c>
    </row>
    <row r="24581" spans="1:10" x14ac:dyDescent="0.25">
      <c r="A24581" t="s">
        <v>265</v>
      </c>
      <c r="B24581" s="1" t="str">
        <f>HYPERLINK("http://cannock.nl","cannock.nl")</f>
        <v>cannock.nl</v>
      </c>
      <c r="C24581" t="s">
        <v>477</v>
      </c>
      <c r="D24581" t="s">
        <v>852</v>
      </c>
      <c r="F24581">
        <v>1.9280285346827199E-8</v>
      </c>
      <c r="G24581">
        <v>2785310</v>
      </c>
      <c r="H24581">
        <v>12441489</v>
      </c>
      <c r="I24581">
        <v>18127302</v>
      </c>
      <c r="J24581">
        <v>7</v>
      </c>
    </row>
    <row r="24582" spans="1:10" x14ac:dyDescent="0.25">
      <c r="A24582" t="s">
        <v>265</v>
      </c>
      <c r="B24582" s="1" t="str">
        <f>HYPERLINK("http://ccc.nl","ccc.nl")</f>
        <v>ccc.nl</v>
      </c>
      <c r="C24582" t="s">
        <v>477</v>
      </c>
      <c r="D24582" t="s">
        <v>852</v>
      </c>
      <c r="F24582">
        <v>1.37476960862626E-8</v>
      </c>
      <c r="G24582">
        <v>4302101</v>
      </c>
      <c r="H24582">
        <v>12687626</v>
      </c>
      <c r="I24582">
        <v>15438951</v>
      </c>
      <c r="J24582">
        <v>4</v>
      </c>
    </row>
    <row r="24583" spans="1:10" x14ac:dyDescent="0.25">
      <c r="A24583" t="s">
        <v>265</v>
      </c>
      <c r="B24583" s="1" t="str">
        <f>HYPERLINK("http://dasholding.nl","dasholding.nl")</f>
        <v>dasholding.nl</v>
      </c>
      <c r="C24583" t="s">
        <v>477</v>
      </c>
      <c r="D24583" t="s">
        <v>852</v>
      </c>
      <c r="F24583">
        <v>5.7399695737960298E-9</v>
      </c>
      <c r="G24583">
        <v>18580590</v>
      </c>
      <c r="H24583">
        <v>10815674</v>
      </c>
      <c r="I24583">
        <v>37723755</v>
      </c>
      <c r="J24583">
        <v>3</v>
      </c>
    </row>
    <row r="24584" spans="1:10" x14ac:dyDescent="0.25">
      <c r="A24584" t="s">
        <v>265</v>
      </c>
      <c r="B24584" s="1" t="str">
        <f>HYPERLINK("http://ergo-industrial.nl","ergo-industrial.nl")</f>
        <v>ergo-industrial.nl</v>
      </c>
      <c r="C24584" t="s">
        <v>477</v>
      </c>
      <c r="D24584" t="s">
        <v>852</v>
      </c>
      <c r="F24584">
        <v>4.44380395335525E-9</v>
      </c>
      <c r="G24584">
        <v>85663930</v>
      </c>
      <c r="H24584">
        <v>0</v>
      </c>
      <c r="I24584">
        <v>86976627</v>
      </c>
      <c r="J24584">
        <v>2</v>
      </c>
    </row>
    <row r="24585" spans="1:10" x14ac:dyDescent="0.25">
      <c r="A24585" t="s">
        <v>265</v>
      </c>
      <c r="B24585" s="1" t="str">
        <f>HYPERLINK("http://lavg.nl","lavg.nl")</f>
        <v>lavg.nl</v>
      </c>
      <c r="C24585" t="s">
        <v>477</v>
      </c>
      <c r="D24585" t="s">
        <v>852</v>
      </c>
      <c r="F24585">
        <v>3.48284852272919E-8</v>
      </c>
      <c r="G24585">
        <v>1490870</v>
      </c>
      <c r="H24585">
        <v>13837406</v>
      </c>
      <c r="I24585">
        <v>6082343</v>
      </c>
      <c r="J24585">
        <v>4</v>
      </c>
    </row>
    <row r="24586" spans="1:10" x14ac:dyDescent="0.25">
      <c r="A24586" t="s">
        <v>265</v>
      </c>
      <c r="B24586" s="1" t="str">
        <f>HYPERLINK("http://vanarkelgdw.nl","vanarkelgdw.nl")</f>
        <v>vanarkelgdw.nl</v>
      </c>
      <c r="C24586" t="s">
        <v>477</v>
      </c>
      <c r="D24586" t="s">
        <v>852</v>
      </c>
      <c r="F24586">
        <v>4.4820958728733E-9</v>
      </c>
      <c r="G24586">
        <v>61940170</v>
      </c>
      <c r="H24586">
        <v>11033537</v>
      </c>
      <c r="I24586">
        <v>33027465</v>
      </c>
      <c r="J24586">
        <v>7</v>
      </c>
    </row>
    <row r="24587" spans="1:10" x14ac:dyDescent="0.25">
      <c r="A24587" t="s">
        <v>265</v>
      </c>
      <c r="B24587" s="1" t="str">
        <f>HYPERLINK("http://vanarkelgerechtsdeurwaarders.nl","vanarkelgerechtsdeurwaarders.nl")</f>
        <v>vanarkelgerechtsdeurwaarders.nl</v>
      </c>
      <c r="C24587" t="s">
        <v>477</v>
      </c>
      <c r="D24587" t="s">
        <v>852</v>
      </c>
      <c r="F24587">
        <v>5.7557032734844501E-9</v>
      </c>
      <c r="G24587">
        <v>18451534</v>
      </c>
      <c r="H24587">
        <v>12352517</v>
      </c>
      <c r="I24587">
        <v>19727093</v>
      </c>
      <c r="J24587">
        <v>4</v>
      </c>
    </row>
    <row r="24588" spans="1:10" x14ac:dyDescent="0.25">
      <c r="A24588" t="s">
        <v>265</v>
      </c>
      <c r="B24588" s="1" t="str">
        <f>HYPERLINK("http://atena.pl","atena.pl")</f>
        <v>atena.pl</v>
      </c>
      <c r="C24588" t="s">
        <v>486</v>
      </c>
      <c r="D24588" t="s">
        <v>860</v>
      </c>
      <c r="F24588">
        <v>2.5606085603229299E-8</v>
      </c>
      <c r="G24588">
        <v>2013720</v>
      </c>
      <c r="H24588">
        <v>13809805</v>
      </c>
      <c r="I24588">
        <v>6214190</v>
      </c>
      <c r="J24588">
        <v>4</v>
      </c>
    </row>
    <row r="24589" spans="1:10" x14ac:dyDescent="0.25">
      <c r="A24589" t="s">
        <v>265</v>
      </c>
      <c r="B24589" s="1" t="str">
        <f>HYPERLINK("http://das.pl","das.pl")</f>
        <v>das.pl</v>
      </c>
      <c r="C24589" t="s">
        <v>486</v>
      </c>
      <c r="D24589" t="s">
        <v>860</v>
      </c>
      <c r="F24589">
        <v>9.1467303399444401E-9</v>
      </c>
      <c r="G24589">
        <v>7782777</v>
      </c>
      <c r="H24589">
        <v>10753262</v>
      </c>
      <c r="I24589">
        <v>39893221</v>
      </c>
      <c r="J24589">
        <v>3</v>
      </c>
    </row>
    <row r="24590" spans="1:10" x14ac:dyDescent="0.25">
      <c r="A24590" t="s">
        <v>265</v>
      </c>
      <c r="B24590" s="1" t="str">
        <f>HYPERLINK("http://ergohestia.pl","ergohestia.pl")</f>
        <v>ergohestia.pl</v>
      </c>
      <c r="C24590" t="s">
        <v>486</v>
      </c>
      <c r="D24590" t="s">
        <v>860</v>
      </c>
      <c r="E24590">
        <v>156482</v>
      </c>
      <c r="F24590">
        <v>1.6299768220979799E-7</v>
      </c>
      <c r="G24590">
        <v>238126</v>
      </c>
      <c r="H24590">
        <v>14447717</v>
      </c>
      <c r="I24590">
        <v>1055458</v>
      </c>
      <c r="J24590">
        <v>3</v>
      </c>
    </row>
    <row r="24591" spans="1:10" x14ac:dyDescent="0.25">
      <c r="A24591" t="s">
        <v>265</v>
      </c>
      <c r="B24591" s="1" t="str">
        <f>HYPERLINK("http://ergo.ro","ergo.ro")</f>
        <v>ergo.ro</v>
      </c>
      <c r="C24591" t="s">
        <v>491</v>
      </c>
      <c r="D24591" t="s">
        <v>865</v>
      </c>
      <c r="F24591">
        <v>1.4810740295579999E-8</v>
      </c>
      <c r="G24591">
        <v>3903614</v>
      </c>
      <c r="H24591">
        <v>12276366</v>
      </c>
      <c r="I24591">
        <v>21383803</v>
      </c>
      <c r="J24591">
        <v>4</v>
      </c>
    </row>
    <row r="24592" spans="1:10" x14ac:dyDescent="0.25">
      <c r="A24592" t="s">
        <v>265</v>
      </c>
      <c r="B24592" s="1" t="str">
        <f>HYPERLINK("http://mednet.com.sa","mednet.com.sa")</f>
        <v>mednet.com.sa</v>
      </c>
      <c r="C24592" t="s">
        <v>494</v>
      </c>
      <c r="D24592" t="s">
        <v>868</v>
      </c>
      <c r="F24592">
        <v>4.7164160050333503E-9</v>
      </c>
      <c r="G24592">
        <v>40392333</v>
      </c>
      <c r="H24592">
        <v>10361989</v>
      </c>
      <c r="I24592">
        <v>55115546</v>
      </c>
      <c r="J24592">
        <v>2</v>
      </c>
    </row>
    <row r="24593" spans="1:10" x14ac:dyDescent="0.25">
      <c r="A24593" t="s">
        <v>265</v>
      </c>
      <c r="B24593" s="1" t="str">
        <f>HYPERLINK("http://ergo.com.sg","ergo.com.sg")</f>
        <v>ergo.com.sg</v>
      </c>
      <c r="C24593" t="s">
        <v>496</v>
      </c>
      <c r="D24593" t="s">
        <v>870</v>
      </c>
      <c r="F24593">
        <v>1.0160406597286399E-8</v>
      </c>
      <c r="G24593">
        <v>6585934</v>
      </c>
      <c r="H24593">
        <v>12621962</v>
      </c>
      <c r="I24593">
        <v>16076767</v>
      </c>
      <c r="J24593">
        <v>3</v>
      </c>
    </row>
    <row r="24594" spans="1:10" x14ac:dyDescent="0.25">
      <c r="A24594" t="s">
        <v>265</v>
      </c>
      <c r="B24594" s="1" t="str">
        <f>HYPERLINK("http://das.co.uk","das.co.uk")</f>
        <v>das.co.uk</v>
      </c>
      <c r="C24594" t="s">
        <v>506</v>
      </c>
      <c r="D24594" t="s">
        <v>880</v>
      </c>
      <c r="E24594">
        <v>891367</v>
      </c>
      <c r="F24594">
        <v>1.9537290096554002E-8</v>
      </c>
      <c r="G24594">
        <v>2738528</v>
      </c>
      <c r="H24594">
        <v>13839700</v>
      </c>
      <c r="I24594">
        <v>6075059</v>
      </c>
      <c r="J24594">
        <v>2</v>
      </c>
    </row>
    <row r="24595" spans="1:10" x14ac:dyDescent="0.25">
      <c r="A24595" t="s">
        <v>265</v>
      </c>
      <c r="B24595" s="1" t="str">
        <f>HYPERLINK("http://dasinsurance.co.uk","dasinsurance.co.uk")</f>
        <v>dasinsurance.co.uk</v>
      </c>
      <c r="C24595" t="s">
        <v>506</v>
      </c>
      <c r="D24595" t="s">
        <v>880</v>
      </c>
      <c r="F24595">
        <v>7.5438173661845597E-9</v>
      </c>
      <c r="G24595">
        <v>10918302</v>
      </c>
      <c r="H24595">
        <v>12570179</v>
      </c>
      <c r="I24595">
        <v>16624503</v>
      </c>
      <c r="J24595">
        <v>5</v>
      </c>
    </row>
    <row r="24596" spans="1:10" x14ac:dyDescent="0.25">
      <c r="A24596" t="s">
        <v>265</v>
      </c>
      <c r="B24596" s="1" t="str">
        <f>HYPERLINK("http://daslaw.co.uk","daslaw.co.uk")</f>
        <v>daslaw.co.uk</v>
      </c>
      <c r="C24596" t="s">
        <v>506</v>
      </c>
      <c r="D24596" t="s">
        <v>880</v>
      </c>
      <c r="E24596">
        <v>585789</v>
      </c>
      <c r="F24596">
        <v>1.3271322072937299E-8</v>
      </c>
      <c r="G24596">
        <v>4506107</v>
      </c>
      <c r="H24596">
        <v>13579016</v>
      </c>
      <c r="I24596">
        <v>9692544</v>
      </c>
      <c r="J24596">
        <v>2</v>
      </c>
    </row>
    <row r="24597" spans="1:10" x14ac:dyDescent="0.25">
      <c r="A24597" t="s">
        <v>265</v>
      </c>
      <c r="B24597" s="1" t="str">
        <f>HYPERLINK("http://ergo-travel.co.uk","ergo-travel.co.uk")</f>
        <v>ergo-travel.co.uk</v>
      </c>
      <c r="C24597" t="s">
        <v>506</v>
      </c>
      <c r="D24597" t="s">
        <v>880</v>
      </c>
      <c r="J24597">
        <v>4</v>
      </c>
    </row>
    <row r="24598" spans="1:10" x14ac:dyDescent="0.25">
      <c r="A24598" t="s">
        <v>265</v>
      </c>
      <c r="B24598" s="1" t="str">
        <f>HYPERLINK("http://jrpunderwriting.co.uk","jrpunderwriting.co.uk")</f>
        <v>jrpunderwriting.co.uk</v>
      </c>
      <c r="C24598" t="s">
        <v>506</v>
      </c>
      <c r="D24598" t="s">
        <v>880</v>
      </c>
      <c r="F24598">
        <v>4.6975579283045702E-9</v>
      </c>
      <c r="G24598">
        <v>41370344</v>
      </c>
      <c r="H24598">
        <v>11200414</v>
      </c>
      <c r="I24598">
        <v>31252302</v>
      </c>
      <c r="J24598">
        <v>3</v>
      </c>
    </row>
    <row r="24599" spans="1:10" x14ac:dyDescent="0.25">
      <c r="A24599" t="s">
        <v>265</v>
      </c>
      <c r="B24599" s="1" t="str">
        <f>HYPERLINK("http://pgplatinum.co.uk","pgplatinum.co.uk")</f>
        <v>pgplatinum.co.uk</v>
      </c>
      <c r="C24599" t="s">
        <v>506</v>
      </c>
      <c r="D24599" t="s">
        <v>880</v>
      </c>
      <c r="J24599">
        <v>4</v>
      </c>
    </row>
    <row r="24600" spans="1:10" x14ac:dyDescent="0.25">
      <c r="A24600" t="s">
        <v>265</v>
      </c>
      <c r="B24600" s="1" t="str">
        <f>HYPERLINK("http://pgsurveyors.co.uk","pgsurveyors.co.uk")</f>
        <v>pgsurveyors.co.uk</v>
      </c>
      <c r="C24600" t="s">
        <v>506</v>
      </c>
      <c r="D24600" t="s">
        <v>880</v>
      </c>
      <c r="F24600">
        <v>4.69868603534673E-9</v>
      </c>
      <c r="G24600">
        <v>41312757</v>
      </c>
      <c r="H24600">
        <v>7148127</v>
      </c>
      <c r="I24600">
        <v>76523157</v>
      </c>
      <c r="J24600">
        <v>4</v>
      </c>
    </row>
    <row r="24601" spans="1:10" x14ac:dyDescent="0.25">
      <c r="A24601" t="s">
        <v>265</v>
      </c>
      <c r="B24601" s="1" t="str">
        <f>HYPERLINK("http://premierguarantee.co.uk","premierguarantee.co.uk")</f>
        <v>premierguarantee.co.uk</v>
      </c>
      <c r="C24601" t="s">
        <v>506</v>
      </c>
      <c r="D24601" t="s">
        <v>880</v>
      </c>
      <c r="F24601">
        <v>9.9984942253889407E-9</v>
      </c>
      <c r="G24601">
        <v>6757284</v>
      </c>
      <c r="H24601">
        <v>11307213</v>
      </c>
      <c r="I24601">
        <v>30574074</v>
      </c>
      <c r="J24601">
        <v>4</v>
      </c>
    </row>
    <row r="24602" spans="1:10" x14ac:dyDescent="0.25">
      <c r="A24602" t="s">
        <v>265</v>
      </c>
      <c r="B24602" s="1" t="str">
        <f>HYPERLINK("http://tlul.co.uk","tlul.co.uk")</f>
        <v>tlul.co.uk</v>
      </c>
      <c r="C24602" t="s">
        <v>506</v>
      </c>
      <c r="D24602" t="s">
        <v>880</v>
      </c>
      <c r="J24602">
        <v>3</v>
      </c>
    </row>
    <row r="24603" spans="1:10" x14ac:dyDescent="0.25">
      <c r="A24603" t="s">
        <v>265</v>
      </c>
      <c r="B24603" s="1" t="str">
        <f>HYPERLINK("http://mdgroup.uk","mdgroup.uk")</f>
        <v>mdgroup.uk</v>
      </c>
      <c r="C24603" t="s">
        <v>506</v>
      </c>
      <c r="D24603" t="s">
        <v>880</v>
      </c>
      <c r="F24603">
        <v>6.48959558872751E-9</v>
      </c>
      <c r="G24603">
        <v>14121680</v>
      </c>
      <c r="H24603">
        <v>12259073</v>
      </c>
      <c r="I24603">
        <v>21794559</v>
      </c>
      <c r="J24603">
        <v>4</v>
      </c>
    </row>
    <row r="24604" spans="1:10" x14ac:dyDescent="0.25">
      <c r="A24604" t="s">
        <v>266</v>
      </c>
      <c r="B24604" s="1" t="str">
        <f>HYPERLINK("http://murata.com.cn","murata.com.cn")</f>
        <v>murata.com.cn</v>
      </c>
      <c r="C24604" t="s">
        <v>431</v>
      </c>
      <c r="D24604" t="s">
        <v>812</v>
      </c>
      <c r="F24604">
        <v>5.4347132864159804E-9</v>
      </c>
      <c r="G24604">
        <v>21683310</v>
      </c>
      <c r="H24604">
        <v>11948275</v>
      </c>
      <c r="I24604">
        <v>29153727</v>
      </c>
      <c r="J24604">
        <v>2</v>
      </c>
    </row>
    <row r="24605" spans="1:10" x14ac:dyDescent="0.25">
      <c r="A24605" t="s">
        <v>266</v>
      </c>
      <c r="B24605" s="1" t="str">
        <f>HYPERLINK("http://ceoessence.com","ceoessence.com")</f>
        <v>ceoessence.com</v>
      </c>
      <c r="C24605" t="s">
        <v>433</v>
      </c>
      <c r="F24605">
        <v>4.6615344780380002E-9</v>
      </c>
      <c r="G24605">
        <v>43424980</v>
      </c>
      <c r="H24605">
        <v>11937867</v>
      </c>
      <c r="I24605">
        <v>29224534</v>
      </c>
      <c r="J24605">
        <v>4</v>
      </c>
    </row>
    <row r="24606" spans="1:10" x14ac:dyDescent="0.25">
      <c r="A24606" t="s">
        <v>266</v>
      </c>
      <c r="B24606" s="1" t="str">
        <f>HYPERLINK("http://miraisens.com","miraisens.com")</f>
        <v>miraisens.com</v>
      </c>
      <c r="C24606" t="s">
        <v>433</v>
      </c>
      <c r="F24606">
        <v>2.0333613042562301E-8</v>
      </c>
      <c r="G24606">
        <v>2609096</v>
      </c>
      <c r="H24606">
        <v>13094878</v>
      </c>
      <c r="I24606">
        <v>12125826</v>
      </c>
      <c r="J24606">
        <v>3</v>
      </c>
    </row>
    <row r="24607" spans="1:10" x14ac:dyDescent="0.25">
      <c r="A24607" t="s">
        <v>266</v>
      </c>
      <c r="B24607" s="1" t="str">
        <f>HYPERLINK("http://murata.com","murata.com")</f>
        <v>murata.com</v>
      </c>
      <c r="C24607" t="s">
        <v>433</v>
      </c>
      <c r="E24607">
        <v>34405</v>
      </c>
      <c r="F24607">
        <v>8.3751705082101097E-7</v>
      </c>
      <c r="G24607">
        <v>47387</v>
      </c>
      <c r="H24607">
        <v>15490136</v>
      </c>
      <c r="I24607">
        <v>376998</v>
      </c>
      <c r="J24607">
        <v>1</v>
      </c>
    </row>
    <row r="24608" spans="1:10" x14ac:dyDescent="0.25">
      <c r="A24608" t="s">
        <v>266</v>
      </c>
      <c r="B24608" s="1" t="str">
        <f>HYPERLINK("http://murata-ps.com","murata-ps.com")</f>
        <v>murata-ps.com</v>
      </c>
      <c r="C24608" t="s">
        <v>433</v>
      </c>
      <c r="E24608">
        <v>640402</v>
      </c>
      <c r="F24608">
        <v>6.45794344045331E-8</v>
      </c>
      <c r="G24608">
        <v>669792</v>
      </c>
      <c r="H24608">
        <v>14501576</v>
      </c>
      <c r="I24608">
        <v>849145</v>
      </c>
      <c r="J24608">
        <v>3</v>
      </c>
    </row>
    <row r="24609" spans="1:10" x14ac:dyDescent="0.25">
      <c r="A24609" t="s">
        <v>266</v>
      </c>
      <c r="B24609" s="1" t="str">
        <f>HYPERLINK("http://murataamericas.com","murataamericas.com")</f>
        <v>murataamericas.com</v>
      </c>
      <c r="C24609" t="s">
        <v>433</v>
      </c>
      <c r="F24609">
        <v>9.8866689041632908E-9</v>
      </c>
      <c r="G24609">
        <v>6873528</v>
      </c>
      <c r="H24609">
        <v>12274678</v>
      </c>
      <c r="I24609">
        <v>21421394</v>
      </c>
      <c r="J24609">
        <v>3</v>
      </c>
    </row>
    <row r="24610" spans="1:10" x14ac:dyDescent="0.25">
      <c r="A24610" t="s">
        <v>266</v>
      </c>
      <c r="B24610" s="1" t="str">
        <f>HYPERLINK("http://psemi.com","psemi.com")</f>
        <v>psemi.com</v>
      </c>
      <c r="C24610" t="s">
        <v>433</v>
      </c>
      <c r="E24610">
        <v>338834</v>
      </c>
      <c r="F24610">
        <v>6.1619055115517194E-8</v>
      </c>
      <c r="G24610">
        <v>714093</v>
      </c>
      <c r="H24610">
        <v>14019900</v>
      </c>
      <c r="I24610">
        <v>3989884</v>
      </c>
      <c r="J24610">
        <v>3</v>
      </c>
    </row>
    <row r="24611" spans="1:10" x14ac:dyDescent="0.25">
      <c r="A24611" t="s">
        <v>266</v>
      </c>
      <c r="B24611" s="1" t="str">
        <f>HYPERLINK("http://resonant.com","resonant.com")</f>
        <v>resonant.com</v>
      </c>
      <c r="C24611" t="s">
        <v>433</v>
      </c>
      <c r="E24611">
        <v>612804</v>
      </c>
      <c r="F24611">
        <v>2.2757955150734499E-8</v>
      </c>
      <c r="G24611">
        <v>2300454</v>
      </c>
      <c r="H24611">
        <v>13326651</v>
      </c>
      <c r="I24611">
        <v>10729396</v>
      </c>
      <c r="J24611">
        <v>3</v>
      </c>
    </row>
    <row r="24612" spans="1:10" x14ac:dyDescent="0.25">
      <c r="A24612" t="s">
        <v>266</v>
      </c>
      <c r="B24612" s="1" t="str">
        <f>HYPERLINK("http://rfm.com","rfm.com")</f>
        <v>rfm.com</v>
      </c>
      <c r="C24612" t="s">
        <v>433</v>
      </c>
      <c r="F24612">
        <v>1.67187696680114E-8</v>
      </c>
      <c r="G24612">
        <v>3353943</v>
      </c>
      <c r="H24612">
        <v>13815306</v>
      </c>
      <c r="I24612">
        <v>6169007</v>
      </c>
      <c r="J24612">
        <v>4</v>
      </c>
    </row>
    <row r="24613" spans="1:10" x14ac:dyDescent="0.25">
      <c r="A24613" t="s">
        <v>266</v>
      </c>
      <c r="B24613" s="1" t="str">
        <f>HYPERLINK("http://viosmedical.com","viosmedical.com")</f>
        <v>viosmedical.com</v>
      </c>
      <c r="C24613" t="s">
        <v>433</v>
      </c>
      <c r="F24613">
        <v>2.05340808957205E-8</v>
      </c>
      <c r="G24613">
        <v>2579955</v>
      </c>
      <c r="H24613">
        <v>13253827</v>
      </c>
      <c r="I24613">
        <v>11065440</v>
      </c>
      <c r="J24613">
        <v>3</v>
      </c>
    </row>
    <row r="24614" spans="1:10" x14ac:dyDescent="0.25">
      <c r="A24614" t="s">
        <v>266</v>
      </c>
      <c r="B24614" s="1" t="str">
        <f>HYPERLINK("http://murata.fi","murata.fi")</f>
        <v>murata.fi</v>
      </c>
      <c r="C24614" t="s">
        <v>445</v>
      </c>
      <c r="D24614" t="s">
        <v>823</v>
      </c>
      <c r="E24614">
        <v>914973</v>
      </c>
      <c r="F24614">
        <v>6.0225720687579396E-9</v>
      </c>
      <c r="G24614">
        <v>16543445</v>
      </c>
      <c r="H24614">
        <v>10793399</v>
      </c>
      <c r="I24614">
        <v>38374139</v>
      </c>
      <c r="J24614">
        <v>2</v>
      </c>
    </row>
    <row r="24615" spans="1:10" x14ac:dyDescent="0.25">
      <c r="A24615" t="s">
        <v>266</v>
      </c>
      <c r="B24615" s="1" t="str">
        <f>HYPERLINK("http://muratamems.fi","muratamems.fi")</f>
        <v>muratamems.fi</v>
      </c>
      <c r="C24615" t="s">
        <v>445</v>
      </c>
      <c r="D24615" t="s">
        <v>823</v>
      </c>
      <c r="F24615">
        <v>5.8824821317878197E-9</v>
      </c>
      <c r="G24615">
        <v>17479633</v>
      </c>
      <c r="H24615">
        <v>12215828</v>
      </c>
      <c r="I24615">
        <v>22885312</v>
      </c>
      <c r="J24615">
        <v>2</v>
      </c>
    </row>
    <row r="24616" spans="1:10" x14ac:dyDescent="0.25">
      <c r="A24616" t="s">
        <v>266</v>
      </c>
      <c r="B24616" s="1" t="str">
        <f>HYPERLINK("http://murata.co.jp","murata.co.jp")</f>
        <v>murata.co.jp</v>
      </c>
      <c r="C24616" t="s">
        <v>461</v>
      </c>
      <c r="D24616" t="s">
        <v>837</v>
      </c>
      <c r="E24616">
        <v>182622</v>
      </c>
      <c r="F24616">
        <v>1.4167228487266101E-7</v>
      </c>
      <c r="G24616">
        <v>274842</v>
      </c>
      <c r="H24616">
        <v>14450893</v>
      </c>
      <c r="I24616">
        <v>1052947</v>
      </c>
      <c r="J24616">
        <v>2</v>
      </c>
    </row>
    <row r="24617" spans="1:10" x14ac:dyDescent="0.25">
      <c r="A24617" t="s">
        <v>267</v>
      </c>
      <c r="B24617" s="1" t="str">
        <f>HYPERLINK("http://muyuanfoods.com","muyuanfoods.com")</f>
        <v>muyuanfoods.com</v>
      </c>
      <c r="C24617" t="s">
        <v>433</v>
      </c>
      <c r="E24617">
        <v>600218</v>
      </c>
      <c r="F24617">
        <v>6.1022551068598898E-8</v>
      </c>
      <c r="G24617">
        <v>722007</v>
      </c>
      <c r="H24617">
        <v>13411670</v>
      </c>
      <c r="I24617">
        <v>10331252</v>
      </c>
      <c r="J24617">
        <v>1</v>
      </c>
    </row>
    <row r="24618" spans="1:10" x14ac:dyDescent="0.25">
      <c r="A24618" t="s">
        <v>268</v>
      </c>
      <c r="B24618" s="1" t="str">
        <f>HYPERLINK("http://lukoil.az","lukoil.az")</f>
        <v>lukoil.az</v>
      </c>
      <c r="C24618" t="s">
        <v>561</v>
      </c>
      <c r="D24618" t="s">
        <v>911</v>
      </c>
      <c r="F24618">
        <v>1.4726030030883999E-8</v>
      </c>
      <c r="G24618">
        <v>3931977</v>
      </c>
      <c r="H24618">
        <v>12110597</v>
      </c>
      <c r="I24618">
        <v>25710366</v>
      </c>
      <c r="J24618">
        <v>2</v>
      </c>
    </row>
    <row r="24619" spans="1:10" x14ac:dyDescent="0.25">
      <c r="A24619" t="s">
        <v>268</v>
      </c>
      <c r="B24619" s="1" t="str">
        <f>HYPERLINK("http://lukoil.be","lukoil.be")</f>
        <v>lukoil.be</v>
      </c>
      <c r="C24619" t="s">
        <v>421</v>
      </c>
      <c r="D24619" t="s">
        <v>803</v>
      </c>
      <c r="F24619">
        <v>3.1123097037090098E-8</v>
      </c>
      <c r="G24619">
        <v>1656353</v>
      </c>
      <c r="H24619">
        <v>14099562</v>
      </c>
      <c r="I24619">
        <v>2710519</v>
      </c>
      <c r="J24619">
        <v>3</v>
      </c>
    </row>
    <row r="24620" spans="1:10" x14ac:dyDescent="0.25">
      <c r="A24620" t="s">
        <v>268</v>
      </c>
      <c r="B24620" s="1" t="str">
        <f>HYPERLINK("http://lukoil.bg","lukoil.bg")</f>
        <v>lukoil.bg</v>
      </c>
      <c r="C24620" t="s">
        <v>422</v>
      </c>
      <c r="D24620" t="s">
        <v>804</v>
      </c>
      <c r="F24620">
        <v>4.8453066609040497E-8</v>
      </c>
      <c r="G24620">
        <v>957668</v>
      </c>
      <c r="H24620">
        <v>14427214</v>
      </c>
      <c r="I24620">
        <v>1078043</v>
      </c>
      <c r="J24620">
        <v>2</v>
      </c>
    </row>
    <row r="24621" spans="1:10" x14ac:dyDescent="0.25">
      <c r="A24621" t="s">
        <v>268</v>
      </c>
      <c r="B24621" s="1" t="str">
        <f>HYPERLINK("http://lukoil.by","lukoil.by")</f>
        <v>lukoil.by</v>
      </c>
      <c r="C24621" t="s">
        <v>427</v>
      </c>
      <c r="D24621" t="s">
        <v>808</v>
      </c>
      <c r="F24621">
        <v>1.91123593001451E-8</v>
      </c>
      <c r="G24621">
        <v>2815732</v>
      </c>
      <c r="H24621">
        <v>14073380</v>
      </c>
      <c r="I24621">
        <v>2998759</v>
      </c>
      <c r="J24621">
        <v>2</v>
      </c>
    </row>
    <row r="24622" spans="1:10" x14ac:dyDescent="0.25">
      <c r="A24622" t="s">
        <v>268</v>
      </c>
      <c r="B24622" s="1" t="str">
        <f>HYPERLINK("http://litasco.ch","litasco.ch")</f>
        <v>litasco.ch</v>
      </c>
      <c r="C24622" t="s">
        <v>429</v>
      </c>
      <c r="D24622" t="s">
        <v>810</v>
      </c>
      <c r="F24622">
        <v>4.44380395335525E-9</v>
      </c>
      <c r="G24622">
        <v>86647209</v>
      </c>
      <c r="H24622">
        <v>0</v>
      </c>
      <c r="I24622">
        <v>80242434</v>
      </c>
      <c r="J24622">
        <v>7</v>
      </c>
    </row>
    <row r="24623" spans="1:10" x14ac:dyDescent="0.25">
      <c r="A24623" t="s">
        <v>268</v>
      </c>
      <c r="B24623" s="1" t="str">
        <f>HYPERLINK("http://lukoil.ch","lukoil.ch")</f>
        <v>lukoil.ch</v>
      </c>
      <c r="C24623" t="s">
        <v>429</v>
      </c>
      <c r="D24623" t="s">
        <v>810</v>
      </c>
      <c r="J24623">
        <v>5</v>
      </c>
    </row>
    <row r="24624" spans="1:10" x14ac:dyDescent="0.25">
      <c r="A24624" t="s">
        <v>268</v>
      </c>
      <c r="B24624" s="1" t="str">
        <f>HYPERLINK("http://litasco.com","litasco.com")</f>
        <v>litasco.com</v>
      </c>
      <c r="C24624" t="s">
        <v>433</v>
      </c>
      <c r="F24624">
        <v>2.17193075080066E-8</v>
      </c>
      <c r="G24624">
        <v>2421381</v>
      </c>
      <c r="H24624">
        <v>14242068</v>
      </c>
      <c r="I24624">
        <v>1486935</v>
      </c>
      <c r="J24624">
        <v>4</v>
      </c>
    </row>
    <row r="24625" spans="1:10" x14ac:dyDescent="0.25">
      <c r="A24625" t="s">
        <v>268</v>
      </c>
      <c r="B24625" s="1" t="str">
        <f>HYPERLINK("http://lukoil.com","lukoil.com")</f>
        <v>lukoil.com</v>
      </c>
      <c r="C24625" t="s">
        <v>433</v>
      </c>
      <c r="E24625">
        <v>22542</v>
      </c>
      <c r="F24625">
        <v>2.8939056874486401E-7</v>
      </c>
      <c r="G24625">
        <v>128529</v>
      </c>
      <c r="H24625">
        <v>14875498</v>
      </c>
      <c r="I24625">
        <v>475476</v>
      </c>
      <c r="J24625">
        <v>2</v>
      </c>
    </row>
    <row r="24626" spans="1:10" x14ac:dyDescent="0.25">
      <c r="A24626" t="s">
        <v>268</v>
      </c>
      <c r="B24626" s="1" t="str">
        <f>HYPERLINK("http://lukoil-az.com","lukoil-az.com")</f>
        <v>lukoil-az.com</v>
      </c>
      <c r="C24626" t="s">
        <v>433</v>
      </c>
      <c r="J24626">
        <v>3</v>
      </c>
    </row>
    <row r="24627" spans="1:10" x14ac:dyDescent="0.25">
      <c r="A24627" t="s">
        <v>268</v>
      </c>
      <c r="B24627" s="1" t="str">
        <f>HYPERLINK("http://lukoilamericas.com","lukoilamericas.com")</f>
        <v>lukoilamericas.com</v>
      </c>
      <c r="C24627" t="s">
        <v>433</v>
      </c>
      <c r="F24627">
        <v>1.9166307896299801E-8</v>
      </c>
      <c r="G24627">
        <v>2804355</v>
      </c>
      <c r="H24627">
        <v>14089736</v>
      </c>
      <c r="I24627">
        <v>2752416</v>
      </c>
      <c r="J24627">
        <v>3</v>
      </c>
    </row>
    <row r="24628" spans="1:10" x14ac:dyDescent="0.25">
      <c r="A24628" t="s">
        <v>268</v>
      </c>
      <c r="B24628" s="1" t="str">
        <f>HYPERLINK("http://lukoiloverseas.com","lukoiloverseas.com")</f>
        <v>lukoiloverseas.com</v>
      </c>
      <c r="C24628" t="s">
        <v>433</v>
      </c>
      <c r="J24628">
        <v>4</v>
      </c>
    </row>
    <row r="24629" spans="1:10" x14ac:dyDescent="0.25">
      <c r="A24629" t="s">
        <v>268</v>
      </c>
      <c r="B24629" s="1" t="str">
        <f>HYPERLINK("http://teboilitavayla.com","teboilitavayla.com")</f>
        <v>teboilitavayla.com</v>
      </c>
      <c r="C24629" t="s">
        <v>433</v>
      </c>
      <c r="F24629">
        <v>6.15014722557203E-9</v>
      </c>
      <c r="G24629">
        <v>15801310</v>
      </c>
      <c r="H24629">
        <v>13763634</v>
      </c>
      <c r="I24629">
        <v>8422577</v>
      </c>
      <c r="J24629">
        <v>4</v>
      </c>
    </row>
    <row r="24630" spans="1:10" x14ac:dyDescent="0.25">
      <c r="A24630" t="s">
        <v>268</v>
      </c>
      <c r="B24630" s="1" t="str">
        <f>HYPERLINK("http://aviapoint.fi","aviapoint.fi")</f>
        <v>aviapoint.fi</v>
      </c>
      <c r="C24630" t="s">
        <v>445</v>
      </c>
      <c r="D24630" t="s">
        <v>823</v>
      </c>
      <c r="J24630">
        <v>6</v>
      </c>
    </row>
    <row r="24631" spans="1:10" x14ac:dyDescent="0.25">
      <c r="A24631" t="s">
        <v>268</v>
      </c>
      <c r="B24631" s="1" t="str">
        <f>HYPERLINK("http://iloveteboil.fi","iloveteboil.fi")</f>
        <v>iloveteboil.fi</v>
      </c>
      <c r="C24631" t="s">
        <v>445</v>
      </c>
      <c r="D24631" t="s">
        <v>823</v>
      </c>
      <c r="J24631">
        <v>6</v>
      </c>
    </row>
    <row r="24632" spans="1:10" x14ac:dyDescent="0.25">
      <c r="A24632" t="s">
        <v>268</v>
      </c>
      <c r="B24632" s="1" t="str">
        <f>HYPERLINK("http://lukoil.fi","lukoil.fi")</f>
        <v>lukoil.fi</v>
      </c>
      <c r="C24632" t="s">
        <v>445</v>
      </c>
      <c r="D24632" t="s">
        <v>823</v>
      </c>
      <c r="J24632">
        <v>6</v>
      </c>
    </row>
    <row r="24633" spans="1:10" x14ac:dyDescent="0.25">
      <c r="A24633" t="s">
        <v>268</v>
      </c>
      <c r="B24633" s="1" t="str">
        <f>HYPERLINK("http://teboil.fi","teboil.fi")</f>
        <v>teboil.fi</v>
      </c>
      <c r="C24633" t="s">
        <v>445</v>
      </c>
      <c r="D24633" t="s">
        <v>823</v>
      </c>
      <c r="F24633">
        <v>9.0654896291592594E-8</v>
      </c>
      <c r="G24633">
        <v>449886</v>
      </c>
      <c r="H24633">
        <v>14529181</v>
      </c>
      <c r="I24633">
        <v>788913</v>
      </c>
      <c r="J24633">
        <v>3</v>
      </c>
    </row>
    <row r="24634" spans="1:10" x14ac:dyDescent="0.25">
      <c r="A24634" t="s">
        <v>268</v>
      </c>
      <c r="B24634" s="1" t="str">
        <f>HYPERLINK("http://teboil-lubricants.fi","teboil-lubricants.fi")</f>
        <v>teboil-lubricants.fi</v>
      </c>
      <c r="C24634" t="s">
        <v>445</v>
      </c>
      <c r="D24634" t="s">
        <v>823</v>
      </c>
      <c r="J24634">
        <v>7</v>
      </c>
    </row>
    <row r="24635" spans="1:10" x14ac:dyDescent="0.25">
      <c r="A24635" t="s">
        <v>268</v>
      </c>
      <c r="B24635" s="1" t="str">
        <f>HYPERLINK("http://teboil-voiteluaineet.fi","teboil-voiteluaineet.fi")</f>
        <v>teboil-voiteluaineet.fi</v>
      </c>
      <c r="C24635" t="s">
        <v>445</v>
      </c>
      <c r="D24635" t="s">
        <v>823</v>
      </c>
      <c r="F24635">
        <v>6.9662671969345201E-9</v>
      </c>
      <c r="G24635">
        <v>12413056</v>
      </c>
      <c r="H24635">
        <v>10876823</v>
      </c>
      <c r="I24635">
        <v>36379166</v>
      </c>
      <c r="J24635">
        <v>7</v>
      </c>
    </row>
    <row r="24636" spans="1:10" x14ac:dyDescent="0.25">
      <c r="A24636" t="s">
        <v>268</v>
      </c>
      <c r="B24636" s="1" t="str">
        <f>HYPERLINK("http://teboilavia.fi","teboilavia.fi")</f>
        <v>teboilavia.fi</v>
      </c>
      <c r="C24636" t="s">
        <v>445</v>
      </c>
      <c r="D24636" t="s">
        <v>823</v>
      </c>
      <c r="F24636">
        <v>5.9828236232753699E-9</v>
      </c>
      <c r="G24636">
        <v>16800987</v>
      </c>
      <c r="H24636">
        <v>10917599</v>
      </c>
      <c r="I24636">
        <v>35459447</v>
      </c>
      <c r="J24636">
        <v>4</v>
      </c>
    </row>
    <row r="24637" spans="1:10" x14ac:dyDescent="0.25">
      <c r="A24637" t="s">
        <v>268</v>
      </c>
      <c r="B24637" s="1" t="str">
        <f>HYPERLINK("http://teboildiamond.fi","teboildiamond.fi")</f>
        <v>teboildiamond.fi</v>
      </c>
      <c r="C24637" t="s">
        <v>445</v>
      </c>
      <c r="D24637" t="s">
        <v>823</v>
      </c>
      <c r="F24637">
        <v>7.0154356859054001E-9</v>
      </c>
      <c r="G24637">
        <v>12266723</v>
      </c>
      <c r="H24637">
        <v>10810076</v>
      </c>
      <c r="I24637">
        <v>37868044</v>
      </c>
      <c r="J24637">
        <v>6</v>
      </c>
    </row>
    <row r="24638" spans="1:10" x14ac:dyDescent="0.25">
      <c r="A24638" t="s">
        <v>268</v>
      </c>
      <c r="B24638" s="1" t="str">
        <f>HYPERLINK("http://lukoil.ge","lukoil.ge")</f>
        <v>lukoil.ge</v>
      </c>
      <c r="C24638" t="s">
        <v>637</v>
      </c>
      <c r="D24638" t="s">
        <v>958</v>
      </c>
      <c r="F24638">
        <v>7.4323092911528303E-9</v>
      </c>
      <c r="G24638">
        <v>11167276</v>
      </c>
      <c r="H24638">
        <v>11147657</v>
      </c>
      <c r="I24638">
        <v>31761843</v>
      </c>
      <c r="J24638">
        <v>3</v>
      </c>
    </row>
    <row r="24639" spans="1:10" x14ac:dyDescent="0.25">
      <c r="A24639" t="s">
        <v>268</v>
      </c>
      <c r="B24639" s="1" t="str">
        <f>HYPERLINK("http://lukoil.hr","lukoil.hr")</f>
        <v>lukoil.hr</v>
      </c>
      <c r="C24639" t="s">
        <v>452</v>
      </c>
      <c r="D24639" t="s">
        <v>829</v>
      </c>
      <c r="F24639">
        <v>8.9118919678190504E-9</v>
      </c>
      <c r="G24639">
        <v>8125814</v>
      </c>
      <c r="H24639">
        <v>14071806</v>
      </c>
      <c r="I24639">
        <v>3313331</v>
      </c>
      <c r="J24639">
        <v>2</v>
      </c>
    </row>
    <row r="24640" spans="1:10" x14ac:dyDescent="0.25">
      <c r="A24640" t="s">
        <v>268</v>
      </c>
      <c r="B24640" s="1" t="str">
        <f>HYPERLINK("http://lukoil.hu","lukoil.hu")</f>
        <v>lukoil.hu</v>
      </c>
      <c r="C24640" t="s">
        <v>453</v>
      </c>
      <c r="D24640" t="s">
        <v>830</v>
      </c>
      <c r="F24640">
        <v>8.4648470600353106E-9</v>
      </c>
      <c r="G24640">
        <v>8913247</v>
      </c>
      <c r="H24640">
        <v>14374856</v>
      </c>
      <c r="I24640">
        <v>1232940</v>
      </c>
      <c r="J24640">
        <v>3</v>
      </c>
    </row>
    <row r="24641" spans="1:10" x14ac:dyDescent="0.25">
      <c r="A24641" t="s">
        <v>268</v>
      </c>
      <c r="B24641" s="1" t="str">
        <f>HYPERLINK("http://lukoil.it","lukoil.it")</f>
        <v>lukoil.it</v>
      </c>
      <c r="C24641" t="s">
        <v>459</v>
      </c>
      <c r="D24641" t="s">
        <v>835</v>
      </c>
      <c r="F24641">
        <v>1.6949818101526399E-8</v>
      </c>
      <c r="G24641">
        <v>3295412</v>
      </c>
      <c r="H24641">
        <v>13764537</v>
      </c>
      <c r="I24641">
        <v>7242450</v>
      </c>
      <c r="J24641">
        <v>2</v>
      </c>
    </row>
    <row r="24642" spans="1:10" x14ac:dyDescent="0.25">
      <c r="A24642" t="s">
        <v>268</v>
      </c>
      <c r="B24642" s="1" t="str">
        <f>HYPERLINK("http://lukoil.md","lukoil.md")</f>
        <v>lukoil.md</v>
      </c>
      <c r="C24642" t="s">
        <v>571</v>
      </c>
      <c r="D24642" t="s">
        <v>918</v>
      </c>
      <c r="E24642">
        <v>934794</v>
      </c>
      <c r="F24642">
        <v>1.8743832584636101E-8</v>
      </c>
      <c r="G24642">
        <v>2881576</v>
      </c>
      <c r="H24642">
        <v>14076040</v>
      </c>
      <c r="I24642">
        <v>2895344</v>
      </c>
      <c r="J24642">
        <v>2</v>
      </c>
    </row>
    <row r="24643" spans="1:10" x14ac:dyDescent="0.25">
      <c r="A24643" t="s">
        <v>268</v>
      </c>
      <c r="B24643" s="1" t="str">
        <f>HYPERLINK("http://lukoil.co.me","lukoil.co.me")</f>
        <v>lukoil.co.me</v>
      </c>
      <c r="C24643" t="s">
        <v>470</v>
      </c>
      <c r="D24643" t="s">
        <v>846</v>
      </c>
      <c r="F24643">
        <v>2.9300085685785001E-8</v>
      </c>
      <c r="G24643">
        <v>1758355</v>
      </c>
      <c r="H24643">
        <v>14031600</v>
      </c>
      <c r="I24643">
        <v>3926243</v>
      </c>
      <c r="J24643">
        <v>2</v>
      </c>
    </row>
    <row r="24644" spans="1:10" x14ac:dyDescent="0.25">
      <c r="A24644" t="s">
        <v>268</v>
      </c>
      <c r="B24644" s="1" t="str">
        <f>HYPERLINK("http://lukoil.com.mk","lukoil.com.mk")</f>
        <v>lukoil.com.mk</v>
      </c>
      <c r="C24644" t="s">
        <v>531</v>
      </c>
      <c r="D24644" t="s">
        <v>895</v>
      </c>
      <c r="F24644">
        <v>1.73893529014537E-8</v>
      </c>
      <c r="G24644">
        <v>3177604</v>
      </c>
      <c r="H24644">
        <v>12135213</v>
      </c>
      <c r="I24644">
        <v>24995228</v>
      </c>
      <c r="J24644">
        <v>2</v>
      </c>
    </row>
    <row r="24645" spans="1:10" x14ac:dyDescent="0.25">
      <c r="A24645" t="s">
        <v>268</v>
      </c>
      <c r="B24645" s="1" t="str">
        <f>HYPERLINK("http://lukoil.nl","lukoil.nl")</f>
        <v>lukoil.nl</v>
      </c>
      <c r="C24645" t="s">
        <v>477</v>
      </c>
      <c r="D24645" t="s">
        <v>852</v>
      </c>
      <c r="F24645">
        <v>1.7198223600997498E-8</v>
      </c>
      <c r="G24645">
        <v>3225914</v>
      </c>
      <c r="H24645">
        <v>12205818</v>
      </c>
      <c r="I24645">
        <v>23170509</v>
      </c>
      <c r="J24645">
        <v>3</v>
      </c>
    </row>
    <row r="24646" spans="1:10" x14ac:dyDescent="0.25">
      <c r="A24646" t="s">
        <v>268</v>
      </c>
      <c r="B24646" s="1" t="str">
        <f>HYPERLINK("http://lukoil.ro","lukoil.ro")</f>
        <v>lukoil.ro</v>
      </c>
      <c r="C24646" t="s">
        <v>491</v>
      </c>
      <c r="D24646" t="s">
        <v>865</v>
      </c>
      <c r="F24646">
        <v>2.6632107767940999E-8</v>
      </c>
      <c r="G24646">
        <v>1932813</v>
      </c>
      <c r="H24646">
        <v>14127643</v>
      </c>
      <c r="I24646">
        <v>2080964</v>
      </c>
      <c r="J24646">
        <v>2</v>
      </c>
    </row>
    <row r="24647" spans="1:10" x14ac:dyDescent="0.25">
      <c r="A24647" t="s">
        <v>268</v>
      </c>
      <c r="B24647" s="1" t="str">
        <f>HYPERLINK("http://lukoil.rs","lukoil.rs")</f>
        <v>lukoil.rs</v>
      </c>
      <c r="C24647" t="s">
        <v>492</v>
      </c>
      <c r="D24647" t="s">
        <v>866</v>
      </c>
      <c r="F24647">
        <v>4.3496126411762497E-8</v>
      </c>
      <c r="G24647">
        <v>1099658</v>
      </c>
      <c r="H24647">
        <v>14259663</v>
      </c>
      <c r="I24647">
        <v>1421318</v>
      </c>
      <c r="J24647">
        <v>2</v>
      </c>
    </row>
    <row r="24648" spans="1:10" x14ac:dyDescent="0.25">
      <c r="A24648" t="s">
        <v>268</v>
      </c>
      <c r="B24648" s="1" t="str">
        <f>HYPERLINK("http://eka.ru","eka.ru")</f>
        <v>eka.ru</v>
      </c>
      <c r="C24648" t="s">
        <v>493</v>
      </c>
      <c r="D24648" t="s">
        <v>867</v>
      </c>
      <c r="E24648">
        <v>87140</v>
      </c>
      <c r="F24648">
        <v>9.2164893504740197E-8</v>
      </c>
      <c r="G24648">
        <v>441731</v>
      </c>
      <c r="H24648">
        <v>14231106</v>
      </c>
      <c r="I24648">
        <v>1673521</v>
      </c>
      <c r="J24648">
        <v>4</v>
      </c>
    </row>
    <row r="24649" spans="1:10" x14ac:dyDescent="0.25">
      <c r="A24649" t="s">
        <v>268</v>
      </c>
      <c r="B24649" s="1" t="str">
        <f>HYPERLINK("http://kds-ganp.ru","kds-ganp.ru")</f>
        <v>kds-ganp.ru</v>
      </c>
      <c r="C24649" t="s">
        <v>493</v>
      </c>
      <c r="D24649" t="s">
        <v>867</v>
      </c>
      <c r="F24649">
        <v>6.7516157081555597E-9</v>
      </c>
      <c r="G24649">
        <v>13123632</v>
      </c>
      <c r="H24649">
        <v>12025348</v>
      </c>
      <c r="I24649">
        <v>27771787</v>
      </c>
      <c r="J24649">
        <v>3</v>
      </c>
    </row>
    <row r="24650" spans="1:10" x14ac:dyDescent="0.25">
      <c r="A24650" t="s">
        <v>268</v>
      </c>
      <c r="B24650" s="1" t="str">
        <f>HYPERLINK("http://kdsclub.ru","kdsclub.ru")</f>
        <v>kdsclub.ru</v>
      </c>
      <c r="C24650" t="s">
        <v>493</v>
      </c>
      <c r="D24650" t="s">
        <v>867</v>
      </c>
      <c r="F24650">
        <v>7.3414949005714403E-9</v>
      </c>
      <c r="G24650">
        <v>11380487</v>
      </c>
      <c r="H24650">
        <v>12879461</v>
      </c>
      <c r="I24650">
        <v>14005689</v>
      </c>
      <c r="J24650">
        <v>3</v>
      </c>
    </row>
    <row r="24651" spans="1:10" x14ac:dyDescent="0.25">
      <c r="A24651" t="s">
        <v>268</v>
      </c>
      <c r="B24651" s="1" t="str">
        <f>HYPERLINK("http://licard.ru","licard.ru")</f>
        <v>licard.ru</v>
      </c>
      <c r="C24651" t="s">
        <v>493</v>
      </c>
      <c r="D24651" t="s">
        <v>867</v>
      </c>
      <c r="E24651">
        <v>40143</v>
      </c>
      <c r="F24651">
        <v>3.9207434015642403E-8</v>
      </c>
      <c r="G24651">
        <v>1315760</v>
      </c>
      <c r="H24651">
        <v>12713321</v>
      </c>
      <c r="I24651">
        <v>15283665</v>
      </c>
      <c r="J24651">
        <v>3</v>
      </c>
    </row>
    <row r="24652" spans="1:10" x14ac:dyDescent="0.25">
      <c r="A24652" t="s">
        <v>268</v>
      </c>
      <c r="B24652" s="1" t="str">
        <f>HYPERLINK("http://lukoil.ru","lukoil.ru")</f>
        <v>lukoil.ru</v>
      </c>
      <c r="C24652" t="s">
        <v>493</v>
      </c>
      <c r="D24652" t="s">
        <v>867</v>
      </c>
      <c r="E24652">
        <v>42583</v>
      </c>
      <c r="F24652">
        <v>7.4108328482922505E-7</v>
      </c>
      <c r="G24652">
        <v>52517</v>
      </c>
      <c r="H24652">
        <v>17139080</v>
      </c>
      <c r="I24652">
        <v>54596</v>
      </c>
      <c r="J24652">
        <v>1</v>
      </c>
    </row>
    <row r="24653" spans="1:10" x14ac:dyDescent="0.25">
      <c r="A24653" t="s">
        <v>268</v>
      </c>
      <c r="B24653" s="1" t="str">
        <f>HYPERLINK("http://lukoil-ural.ru","lukoil-ural.ru")</f>
        <v>lukoil-ural.ru</v>
      </c>
      <c r="C24653" t="s">
        <v>493</v>
      </c>
      <c r="D24653" t="s">
        <v>867</v>
      </c>
      <c r="F24653">
        <v>6.6057839597147304E-9</v>
      </c>
      <c r="G24653">
        <v>13655125</v>
      </c>
      <c r="H24653">
        <v>12146106</v>
      </c>
      <c r="I24653">
        <v>24721768</v>
      </c>
      <c r="J24653">
        <v>3</v>
      </c>
    </row>
    <row r="24654" spans="1:10" x14ac:dyDescent="0.25">
      <c r="A24654" t="s">
        <v>268</v>
      </c>
      <c r="B24654" s="1" t="str">
        <f>HYPERLINK("http://unigas-azs.ru","unigas-azs.ru")</f>
        <v>unigas-azs.ru</v>
      </c>
      <c r="C24654" t="s">
        <v>493</v>
      </c>
      <c r="D24654" t="s">
        <v>867</v>
      </c>
      <c r="F24654">
        <v>1.7854960572779601E-8</v>
      </c>
      <c r="G24654">
        <v>3062916</v>
      </c>
      <c r="H24654">
        <v>10132742</v>
      </c>
      <c r="I24654">
        <v>59561302</v>
      </c>
      <c r="J24654">
        <v>3</v>
      </c>
    </row>
    <row r="24655" spans="1:10" x14ac:dyDescent="0.25">
      <c r="A24655" t="s">
        <v>268</v>
      </c>
      <c r="B24655" s="1" t="str">
        <f>HYPERLINK("http://lukoil.sk","lukoil.sk")</f>
        <v>lukoil.sk</v>
      </c>
      <c r="C24655" t="s">
        <v>498</v>
      </c>
      <c r="D24655" t="s">
        <v>872</v>
      </c>
      <c r="F24655">
        <v>5.4750669943181502E-9</v>
      </c>
      <c r="G24655">
        <v>21186970</v>
      </c>
      <c r="H24655">
        <v>12295566</v>
      </c>
      <c r="I24655">
        <v>20954362</v>
      </c>
      <c r="J24655">
        <v>3</v>
      </c>
    </row>
    <row r="24656" spans="1:10" x14ac:dyDescent="0.25">
      <c r="A24656" t="s">
        <v>268</v>
      </c>
      <c r="B24656" s="1" t="str">
        <f>HYPERLINK("http://lukoil.com.tr","lukoil.com.tr")</f>
        <v>lukoil.com.tr</v>
      </c>
      <c r="C24656" t="s">
        <v>502</v>
      </c>
      <c r="D24656" t="s">
        <v>876</v>
      </c>
      <c r="F24656">
        <v>2.38764290280673E-8</v>
      </c>
      <c r="G24656">
        <v>2175195</v>
      </c>
      <c r="H24656">
        <v>12218942</v>
      </c>
      <c r="I24656">
        <v>22811624</v>
      </c>
      <c r="J24656">
        <v>2</v>
      </c>
    </row>
    <row r="24657" spans="1:10" x14ac:dyDescent="0.25">
      <c r="A24657" t="s">
        <v>268</v>
      </c>
      <c r="B24657" s="1" t="str">
        <f>HYPERLINK("http://dsnews.com.ua","dsnews.com.ua")</f>
        <v>dsnews.com.ua</v>
      </c>
      <c r="C24657" t="s">
        <v>505</v>
      </c>
      <c r="D24657" t="s">
        <v>879</v>
      </c>
      <c r="F24657">
        <v>1.1498155719381799E-8</v>
      </c>
      <c r="G24657">
        <v>5506989</v>
      </c>
      <c r="H24657">
        <v>14374547</v>
      </c>
      <c r="I24657">
        <v>1238003</v>
      </c>
      <c r="J24657">
        <v>3</v>
      </c>
    </row>
    <row r="24658" spans="1:10" x14ac:dyDescent="0.25">
      <c r="A24658" t="s">
        <v>269</v>
      </c>
      <c r="B24658" s="1" t="str">
        <f>HYPERLINK("http://bashneft.com","bashneft.com")</f>
        <v>bashneft.com</v>
      </c>
      <c r="C24658" t="s">
        <v>433</v>
      </c>
      <c r="F24658">
        <v>1.67268989487391E-8</v>
      </c>
      <c r="G24658">
        <v>3352002</v>
      </c>
      <c r="H24658">
        <v>14075848</v>
      </c>
      <c r="I24658">
        <v>2899449</v>
      </c>
      <c r="J24658">
        <v>3</v>
      </c>
    </row>
    <row r="24659" spans="1:10" x14ac:dyDescent="0.25">
      <c r="A24659" t="s">
        <v>269</v>
      </c>
      <c r="B24659" s="1" t="str">
        <f>HYPERLINK("http://lisnpz.com","lisnpz.com")</f>
        <v>lisnpz.com</v>
      </c>
      <c r="C24659" t="s">
        <v>433</v>
      </c>
      <c r="F24659">
        <v>5.9041302297457503E-9</v>
      </c>
      <c r="G24659">
        <v>17331066</v>
      </c>
      <c r="H24659">
        <v>14071840</v>
      </c>
      <c r="I24659">
        <v>3299719</v>
      </c>
      <c r="J24659">
        <v>3</v>
      </c>
    </row>
    <row r="24660" spans="1:10" x14ac:dyDescent="0.25">
      <c r="A24660" t="s">
        <v>269</v>
      </c>
      <c r="B24660" s="1" t="str">
        <f>HYPERLINK("http://rosneft.com","rosneft.com")</f>
        <v>rosneft.com</v>
      </c>
      <c r="C24660" t="s">
        <v>433</v>
      </c>
      <c r="E24660">
        <v>221904</v>
      </c>
      <c r="F24660">
        <v>2.5784201412106E-7</v>
      </c>
      <c r="G24660">
        <v>145073</v>
      </c>
      <c r="H24660">
        <v>14960381</v>
      </c>
      <c r="I24660">
        <v>437167</v>
      </c>
      <c r="J24660">
        <v>2</v>
      </c>
    </row>
    <row r="24661" spans="1:10" x14ac:dyDescent="0.25">
      <c r="A24661" t="s">
        <v>269</v>
      </c>
      <c r="B24661" s="1" t="str">
        <f>HYPERLINK("http://yungjsc.com","yungjsc.com")</f>
        <v>yungjsc.com</v>
      </c>
      <c r="C24661" t="s">
        <v>433</v>
      </c>
      <c r="E24661">
        <v>113381</v>
      </c>
      <c r="F24661">
        <v>2.4922332564453902E-8</v>
      </c>
      <c r="G24661">
        <v>2074435</v>
      </c>
      <c r="H24661">
        <v>14117076</v>
      </c>
      <c r="I24661">
        <v>2660730</v>
      </c>
      <c r="J24661">
        <v>3</v>
      </c>
    </row>
    <row r="24662" spans="1:10" x14ac:dyDescent="0.25">
      <c r="A24662" t="s">
        <v>269</v>
      </c>
      <c r="B24662" s="1" t="str">
        <f>HYPERLINK("http://rosneft.de","rosneft.de")</f>
        <v>rosneft.de</v>
      </c>
      <c r="C24662" t="s">
        <v>436</v>
      </c>
      <c r="D24662" t="s">
        <v>815</v>
      </c>
      <c r="F24662">
        <v>2.4295958153634701E-8</v>
      </c>
      <c r="G24662">
        <v>2134180</v>
      </c>
      <c r="H24662">
        <v>14080586</v>
      </c>
      <c r="I24662">
        <v>2818541</v>
      </c>
      <c r="J24662">
        <v>4</v>
      </c>
    </row>
    <row r="24663" spans="1:10" x14ac:dyDescent="0.25">
      <c r="A24663" t="s">
        <v>269</v>
      </c>
      <c r="B24663" s="1" t="str">
        <f>HYPERLINK("http://anhp.ru","anhp.ru")</f>
        <v>anhp.ru</v>
      </c>
      <c r="C24663" t="s">
        <v>493</v>
      </c>
      <c r="D24663" t="s">
        <v>867</v>
      </c>
      <c r="F24663">
        <v>4.47623699090349E-9</v>
      </c>
      <c r="G24663">
        <v>63140791</v>
      </c>
      <c r="H24663">
        <v>10678114</v>
      </c>
      <c r="I24663">
        <v>42792780</v>
      </c>
      <c r="J24663">
        <v>3</v>
      </c>
    </row>
    <row r="24664" spans="1:10" x14ac:dyDescent="0.25">
      <c r="A24664" t="s">
        <v>269</v>
      </c>
      <c r="B24664" s="1" t="str">
        <f>HYPERLINK("http://bashneft.ru","bashneft.ru")</f>
        <v>bashneft.ru</v>
      </c>
      <c r="C24664" t="s">
        <v>493</v>
      </c>
      <c r="D24664" t="s">
        <v>867</v>
      </c>
      <c r="E24664">
        <v>56004</v>
      </c>
      <c r="F24664">
        <v>1.3128442821599501E-7</v>
      </c>
      <c r="G24664">
        <v>297889</v>
      </c>
      <c r="H24664">
        <v>14452066</v>
      </c>
      <c r="I24664">
        <v>1052058</v>
      </c>
      <c r="J24664">
        <v>4</v>
      </c>
    </row>
    <row r="24665" spans="1:10" x14ac:dyDescent="0.25">
      <c r="A24665" t="s">
        <v>269</v>
      </c>
      <c r="B24665" s="1" t="str">
        <f>HYPERLINK("http://bashneft-azs.ru","bashneft-azs.ru")</f>
        <v>bashneft-azs.ru</v>
      </c>
      <c r="C24665" t="s">
        <v>493</v>
      </c>
      <c r="D24665" t="s">
        <v>867</v>
      </c>
      <c r="F24665">
        <v>3.92789675159535E-8</v>
      </c>
      <c r="G24665">
        <v>1313558</v>
      </c>
      <c r="H24665">
        <v>14053782</v>
      </c>
      <c r="I24665">
        <v>3891803</v>
      </c>
      <c r="J24665">
        <v>4</v>
      </c>
    </row>
    <row r="24666" spans="1:10" x14ac:dyDescent="0.25">
      <c r="A24666" t="s">
        <v>269</v>
      </c>
      <c r="B24666" s="1" t="str">
        <f>HYPERLINK("http://bnp-azs.ru","bnp-azs.ru")</f>
        <v>bnp-azs.ru</v>
      </c>
      <c r="C24666" t="s">
        <v>493</v>
      </c>
      <c r="D24666" t="s">
        <v>867</v>
      </c>
      <c r="F24666">
        <v>4.8597709505521298E-9</v>
      </c>
      <c r="G24666">
        <v>33820496</v>
      </c>
      <c r="H24666">
        <v>10832244</v>
      </c>
      <c r="I24666">
        <v>37341749</v>
      </c>
      <c r="J24666">
        <v>4</v>
      </c>
    </row>
    <row r="24667" spans="1:10" x14ac:dyDescent="0.25">
      <c r="A24667" t="s">
        <v>269</v>
      </c>
      <c r="B24667" s="1" t="str">
        <f>HYPERLINK("http://reestrrn.ru","reestrrn.ru")</f>
        <v>reestrrn.ru</v>
      </c>
      <c r="C24667" t="s">
        <v>493</v>
      </c>
      <c r="D24667" t="s">
        <v>867</v>
      </c>
      <c r="F24667">
        <v>4.08827811946007E-8</v>
      </c>
      <c r="G24667">
        <v>1268521</v>
      </c>
      <c r="H24667">
        <v>12952782</v>
      </c>
      <c r="I24667">
        <v>13198662</v>
      </c>
      <c r="J24667">
        <v>3</v>
      </c>
    </row>
    <row r="24668" spans="1:10" x14ac:dyDescent="0.25">
      <c r="A24668" t="s">
        <v>269</v>
      </c>
      <c r="B24668" s="1" t="str">
        <f>HYPERLINK("http://ros-neft.ru","ros-neft.ru")</f>
        <v>ros-neft.ru</v>
      </c>
      <c r="C24668" t="s">
        <v>493</v>
      </c>
      <c r="D24668" t="s">
        <v>867</v>
      </c>
      <c r="F24668">
        <v>4.4581455445089503E-9</v>
      </c>
      <c r="G24668">
        <v>68345542</v>
      </c>
      <c r="H24668">
        <v>7895600</v>
      </c>
      <c r="I24668">
        <v>75415860</v>
      </c>
      <c r="J24668">
        <v>3</v>
      </c>
    </row>
    <row r="24669" spans="1:10" x14ac:dyDescent="0.25">
      <c r="A24669" t="s">
        <v>269</v>
      </c>
      <c r="B24669" s="1" t="str">
        <f>HYPERLINK("http://rosneft.ru","rosneft.ru")</f>
        <v>rosneft.ru</v>
      </c>
      <c r="C24669" t="s">
        <v>493</v>
      </c>
      <c r="D24669" t="s">
        <v>867</v>
      </c>
      <c r="E24669">
        <v>6187</v>
      </c>
      <c r="F24669">
        <v>8.3470279893805703E-7</v>
      </c>
      <c r="G24669">
        <v>47521</v>
      </c>
      <c r="H24669">
        <v>17230472</v>
      </c>
      <c r="I24669">
        <v>36825</v>
      </c>
      <c r="J24669">
        <v>1</v>
      </c>
    </row>
    <row r="24670" spans="1:10" x14ac:dyDescent="0.25">
      <c r="A24670" t="s">
        <v>269</v>
      </c>
      <c r="B24670" s="1" t="str">
        <f>HYPERLINK("http://rosneft-azs.ru","rosneft-azs.ru")</f>
        <v>rosneft-azs.ru</v>
      </c>
      <c r="C24670" t="s">
        <v>493</v>
      </c>
      <c r="D24670" t="s">
        <v>867</v>
      </c>
      <c r="E24670">
        <v>198201</v>
      </c>
      <c r="F24670">
        <v>6.0778259437917797E-8</v>
      </c>
      <c r="G24670">
        <v>725152</v>
      </c>
      <c r="H24670">
        <v>14040600</v>
      </c>
      <c r="I24670">
        <v>3908184</v>
      </c>
      <c r="J24670">
        <v>3</v>
      </c>
    </row>
    <row r="24671" spans="1:10" x14ac:dyDescent="0.25">
      <c r="A24671" t="s">
        <v>269</v>
      </c>
      <c r="B24671" s="1" t="str">
        <f>HYPERLINK("http://saratov-npz.ru","saratov-npz.ru")</f>
        <v>saratov-npz.ru</v>
      </c>
      <c r="C24671" t="s">
        <v>493</v>
      </c>
      <c r="D24671" t="s">
        <v>867</v>
      </c>
      <c r="F24671">
        <v>1.2321880313512301E-8</v>
      </c>
      <c r="G24671">
        <v>4982348</v>
      </c>
      <c r="H24671">
        <v>13148504</v>
      </c>
      <c r="I24671">
        <v>11834302</v>
      </c>
      <c r="J24671">
        <v>3</v>
      </c>
    </row>
    <row r="24672" spans="1:10" x14ac:dyDescent="0.25">
      <c r="A24672" t="s">
        <v>269</v>
      </c>
      <c r="B24672" s="1" t="str">
        <f>HYPERLINK("http://snhp.ru","snhp.ru")</f>
        <v>snhp.ru</v>
      </c>
      <c r="C24672" t="s">
        <v>493</v>
      </c>
      <c r="D24672" t="s">
        <v>867</v>
      </c>
      <c r="F24672">
        <v>4.5016750754895699E-9</v>
      </c>
      <c r="G24672">
        <v>58702999</v>
      </c>
      <c r="H24672">
        <v>10600399</v>
      </c>
      <c r="I24672">
        <v>44886827</v>
      </c>
      <c r="J24672">
        <v>3</v>
      </c>
    </row>
    <row r="24673" spans="1:10" x14ac:dyDescent="0.25">
      <c r="A24673" t="s">
        <v>269</v>
      </c>
      <c r="B24673" s="1" t="str">
        <f>HYPERLINK("http://udmurtneft.ru","udmurtneft.ru")</f>
        <v>udmurtneft.ru</v>
      </c>
      <c r="C24673" t="s">
        <v>493</v>
      </c>
      <c r="D24673" t="s">
        <v>867</v>
      </c>
      <c r="E24673">
        <v>407769</v>
      </c>
      <c r="F24673">
        <v>1.8293442935861E-8</v>
      </c>
      <c r="G24673">
        <v>2968706</v>
      </c>
      <c r="H24673">
        <v>14106584</v>
      </c>
      <c r="I24673">
        <v>2686492</v>
      </c>
      <c r="J24673">
        <v>3</v>
      </c>
    </row>
    <row r="24674" spans="1:10" x14ac:dyDescent="0.25">
      <c r="A24674" t="s">
        <v>269</v>
      </c>
      <c r="B24674" s="1" t="str">
        <f>HYPERLINK("http://vnipineft.ru","vnipineft.ru")</f>
        <v>vnipineft.ru</v>
      </c>
      <c r="C24674" t="s">
        <v>493</v>
      </c>
      <c r="D24674" t="s">
        <v>867</v>
      </c>
      <c r="F24674">
        <v>1.9084725997334699E-8</v>
      </c>
      <c r="G24674">
        <v>2820495</v>
      </c>
      <c r="H24674">
        <v>12979266</v>
      </c>
      <c r="I24674">
        <v>12995905</v>
      </c>
      <c r="J24674">
        <v>3</v>
      </c>
    </row>
    <row r="24675" spans="1:10" x14ac:dyDescent="0.25">
      <c r="A24675" t="s">
        <v>270</v>
      </c>
      <c r="B24675" s="1" t="str">
        <f>HYPERLINK("http://nvidia.be","nvidia.be")</f>
        <v>nvidia.be</v>
      </c>
      <c r="C24675" t="s">
        <v>421</v>
      </c>
      <c r="D24675" t="s">
        <v>803</v>
      </c>
      <c r="F24675">
        <v>8.7398436461438095E-9</v>
      </c>
      <c r="G24675">
        <v>8409896</v>
      </c>
      <c r="H24675">
        <v>13175757</v>
      </c>
      <c r="I24675">
        <v>11701151</v>
      </c>
      <c r="J24675">
        <v>2</v>
      </c>
    </row>
    <row r="24676" spans="1:10" x14ac:dyDescent="0.25">
      <c r="A24676" t="s">
        <v>270</v>
      </c>
      <c r="B24676" s="1" t="str">
        <f>HYPERLINK("http://nvidia.com.br","nvidia.com.br")</f>
        <v>nvidia.com.br</v>
      </c>
      <c r="C24676" t="s">
        <v>425</v>
      </c>
      <c r="D24676" t="s">
        <v>806</v>
      </c>
      <c r="E24676">
        <v>185495</v>
      </c>
      <c r="F24676">
        <v>1.4640211664279E-7</v>
      </c>
      <c r="G24676">
        <v>265904</v>
      </c>
      <c r="H24676">
        <v>14682476</v>
      </c>
      <c r="I24676">
        <v>607361</v>
      </c>
      <c r="J24676">
        <v>2</v>
      </c>
    </row>
    <row r="24677" spans="1:10" x14ac:dyDescent="0.25">
      <c r="A24677" t="s">
        <v>270</v>
      </c>
      <c r="B24677" s="1" t="str">
        <f>HYPERLINK("http://nvidia.ca","nvidia.ca")</f>
        <v>nvidia.ca</v>
      </c>
      <c r="C24677" t="s">
        <v>428</v>
      </c>
      <c r="D24677" t="s">
        <v>809</v>
      </c>
      <c r="F24677">
        <v>4.1882067071603701E-8</v>
      </c>
      <c r="G24677">
        <v>1173149</v>
      </c>
      <c r="H24677">
        <v>14342259</v>
      </c>
      <c r="I24677">
        <v>1314803</v>
      </c>
      <c r="J24677">
        <v>2</v>
      </c>
    </row>
    <row r="24678" spans="1:10" x14ac:dyDescent="0.25">
      <c r="A24678" t="s">
        <v>270</v>
      </c>
      <c r="B24678" s="1" t="str">
        <f>HYPERLINK("http://nvidia.cn","nvidia.cn")</f>
        <v>nvidia.cn</v>
      </c>
      <c r="C24678" t="s">
        <v>431</v>
      </c>
      <c r="D24678" t="s">
        <v>812</v>
      </c>
      <c r="E24678">
        <v>2967</v>
      </c>
      <c r="F24678">
        <v>9.7836358175939209E-7</v>
      </c>
      <c r="G24678">
        <v>39077</v>
      </c>
      <c r="H24678">
        <v>14933907</v>
      </c>
      <c r="I24678">
        <v>446235</v>
      </c>
      <c r="J24678">
        <v>2</v>
      </c>
    </row>
    <row r="24679" spans="1:10" x14ac:dyDescent="0.25">
      <c r="A24679" t="s">
        <v>270</v>
      </c>
      <c r="B24679" s="1" t="str">
        <f>HYPERLINK("http://brightcomputing.com","brightcomputing.com")</f>
        <v>brightcomputing.com</v>
      </c>
      <c r="C24679" t="s">
        <v>433</v>
      </c>
      <c r="E24679">
        <v>896331</v>
      </c>
      <c r="F24679">
        <v>1.23138694756761E-7</v>
      </c>
      <c r="G24679">
        <v>320503</v>
      </c>
      <c r="H24679">
        <v>14267892</v>
      </c>
      <c r="I24679">
        <v>1404554</v>
      </c>
      <c r="J24679">
        <v>3</v>
      </c>
    </row>
    <row r="24680" spans="1:10" x14ac:dyDescent="0.25">
      <c r="A24680" t="s">
        <v>270</v>
      </c>
      <c r="B24680" s="1" t="str">
        <f>HYPERLINK("http://cumulusnetworks.com","cumulusnetworks.com")</f>
        <v>cumulusnetworks.com</v>
      </c>
      <c r="C24680" t="s">
        <v>433</v>
      </c>
      <c r="E24680">
        <v>504733</v>
      </c>
      <c r="F24680">
        <v>6.9204190630987904E-7</v>
      </c>
      <c r="G24680">
        <v>55808</v>
      </c>
      <c r="H24680">
        <v>15101040</v>
      </c>
      <c r="I24680">
        <v>406367</v>
      </c>
      <c r="J24680">
        <v>3</v>
      </c>
    </row>
    <row r="24681" spans="1:10" x14ac:dyDescent="0.25">
      <c r="A24681" t="s">
        <v>270</v>
      </c>
      <c r="B24681" s="1" t="str">
        <f>HYPERLINK("http://icerasemi.com","icerasemi.com")</f>
        <v>icerasemi.com</v>
      </c>
      <c r="C24681" t="s">
        <v>433</v>
      </c>
      <c r="F24681">
        <v>1.4595522190394101E-8</v>
      </c>
      <c r="G24681">
        <v>3978458</v>
      </c>
      <c r="H24681">
        <v>13893400</v>
      </c>
      <c r="I24681">
        <v>5958419</v>
      </c>
      <c r="J24681">
        <v>3</v>
      </c>
    </row>
    <row r="24682" spans="1:10" x14ac:dyDescent="0.25">
      <c r="A24682" t="s">
        <v>270</v>
      </c>
      <c r="B24682" s="1" t="str">
        <f>HYPERLINK("http://iptronics.com","iptronics.com")</f>
        <v>iptronics.com</v>
      </c>
      <c r="C24682" t="s">
        <v>433</v>
      </c>
      <c r="F24682">
        <v>6.7448935717339698E-9</v>
      </c>
      <c r="G24682">
        <v>13146313</v>
      </c>
      <c r="H24682">
        <v>14072578</v>
      </c>
      <c r="I24682">
        <v>3070833</v>
      </c>
      <c r="J24682">
        <v>6</v>
      </c>
    </row>
    <row r="24683" spans="1:10" x14ac:dyDescent="0.25">
      <c r="A24683" t="s">
        <v>270</v>
      </c>
      <c r="B24683" s="1" t="str">
        <f>HYPERLINK("http://kotura.com","kotura.com")</f>
        <v>kotura.com</v>
      </c>
      <c r="C24683" t="s">
        <v>433</v>
      </c>
      <c r="F24683">
        <v>1.7551143279419102E-8</v>
      </c>
      <c r="G24683">
        <v>3130086</v>
      </c>
      <c r="H24683">
        <v>13404539</v>
      </c>
      <c r="I24683">
        <v>10358667</v>
      </c>
      <c r="J24683">
        <v>3</v>
      </c>
    </row>
    <row r="24684" spans="1:10" x14ac:dyDescent="0.25">
      <c r="A24684" t="s">
        <v>270</v>
      </c>
      <c r="B24684" s="1" t="str">
        <f>HYPERLINK("http://mellanox.com","mellanox.com")</f>
        <v>mellanox.com</v>
      </c>
      <c r="C24684" t="s">
        <v>433</v>
      </c>
      <c r="E24684">
        <v>90268</v>
      </c>
      <c r="F24684">
        <v>2.1174109047350099E-6</v>
      </c>
      <c r="G24684">
        <v>17286</v>
      </c>
      <c r="H24684">
        <v>17555330</v>
      </c>
      <c r="I24684">
        <v>11106</v>
      </c>
      <c r="J24684">
        <v>3</v>
      </c>
    </row>
    <row r="24685" spans="1:10" x14ac:dyDescent="0.25">
      <c r="A24685" t="s">
        <v>270</v>
      </c>
      <c r="B24685" s="1" t="str">
        <f>HYPERLINK("http://mentalimages.com","mentalimages.com")</f>
        <v>mentalimages.com</v>
      </c>
      <c r="C24685" t="s">
        <v>433</v>
      </c>
      <c r="F24685">
        <v>3.5581326867631502E-8</v>
      </c>
      <c r="G24685">
        <v>1463446</v>
      </c>
      <c r="H24685">
        <v>14577817</v>
      </c>
      <c r="I24685">
        <v>716783</v>
      </c>
      <c r="J24685">
        <v>3</v>
      </c>
    </row>
    <row r="24686" spans="1:10" x14ac:dyDescent="0.25">
      <c r="A24686" t="s">
        <v>270</v>
      </c>
      <c r="B24686" s="1" t="str">
        <f>HYPERLINK("http://nvidia.com","nvidia.com")</f>
        <v>nvidia.com</v>
      </c>
      <c r="C24686" t="s">
        <v>433</v>
      </c>
      <c r="E24686">
        <v>462</v>
      </c>
      <c r="F24686">
        <v>3.3658237230285501E-5</v>
      </c>
      <c r="G24686">
        <v>884</v>
      </c>
      <c r="H24686">
        <v>19329334</v>
      </c>
      <c r="I24686">
        <v>261</v>
      </c>
      <c r="J24686">
        <v>1</v>
      </c>
    </row>
    <row r="24687" spans="1:10" x14ac:dyDescent="0.25">
      <c r="A24687" t="s">
        <v>270</v>
      </c>
      <c r="B24687" s="1" t="str">
        <f>HYPERLINK("http://nvidia-arc.com","nvidia-arc.com")</f>
        <v>nvidia-arc.com</v>
      </c>
      <c r="C24687" t="s">
        <v>433</v>
      </c>
      <c r="F24687">
        <v>5.4370153770736702E-8</v>
      </c>
      <c r="G24687">
        <v>830510</v>
      </c>
      <c r="H24687">
        <v>14686165</v>
      </c>
      <c r="I24687">
        <v>604830</v>
      </c>
      <c r="J24687">
        <v>3</v>
      </c>
    </row>
    <row r="24688" spans="1:10" x14ac:dyDescent="0.25">
      <c r="A24688" t="s">
        <v>270</v>
      </c>
      <c r="B24688" s="1" t="str">
        <f>HYPERLINK("http://optigot.com","optigot.com")</f>
        <v>optigot.com</v>
      </c>
      <c r="C24688" t="s">
        <v>433</v>
      </c>
      <c r="F24688">
        <v>4.6283743416596201E-9</v>
      </c>
      <c r="G24688">
        <v>45547429</v>
      </c>
      <c r="H24688">
        <v>10256028</v>
      </c>
      <c r="I24688">
        <v>58628094</v>
      </c>
      <c r="J24688">
        <v>3</v>
      </c>
    </row>
    <row r="24689" spans="1:10" x14ac:dyDescent="0.25">
      <c r="A24689" t="s">
        <v>270</v>
      </c>
      <c r="B24689" s="1" t="str">
        <f>HYPERLINK("http://swiftstack.com","swiftstack.com")</f>
        <v>swiftstack.com</v>
      </c>
      <c r="C24689" t="s">
        <v>433</v>
      </c>
      <c r="F24689">
        <v>3.2520656139932802E-7</v>
      </c>
      <c r="G24689">
        <v>114517</v>
      </c>
      <c r="H24689">
        <v>14394491</v>
      </c>
      <c r="I24689">
        <v>1161782</v>
      </c>
      <c r="J24689">
        <v>3</v>
      </c>
    </row>
    <row r="24690" spans="1:10" x14ac:dyDescent="0.25">
      <c r="A24690" t="s">
        <v>270</v>
      </c>
      <c r="B24690" s="1" t="str">
        <f>HYPERLINK("http://titan-ic.com","titan-ic.com")</f>
        <v>titan-ic.com</v>
      </c>
      <c r="C24690" t="s">
        <v>433</v>
      </c>
      <c r="F24690">
        <v>7.1104658686115696E-9</v>
      </c>
      <c r="G24690">
        <v>11985021</v>
      </c>
      <c r="H24690">
        <v>14074500</v>
      </c>
      <c r="I24690">
        <v>2941099</v>
      </c>
      <c r="J24690">
        <v>3</v>
      </c>
    </row>
    <row r="24691" spans="1:10" x14ac:dyDescent="0.25">
      <c r="A24691" t="s">
        <v>270</v>
      </c>
      <c r="B24691" s="1" t="str">
        <f>HYPERLINK("http://nvidia.cz","nvidia.cz")</f>
        <v>nvidia.cz</v>
      </c>
      <c r="C24691" t="s">
        <v>435</v>
      </c>
      <c r="D24691" t="s">
        <v>814</v>
      </c>
      <c r="F24691">
        <v>1.1512798440712001E-8</v>
      </c>
      <c r="G24691">
        <v>5494837</v>
      </c>
      <c r="H24691">
        <v>13198119</v>
      </c>
      <c r="I24691">
        <v>11565069</v>
      </c>
      <c r="J24691">
        <v>2</v>
      </c>
    </row>
    <row r="24692" spans="1:10" x14ac:dyDescent="0.25">
      <c r="A24692" t="s">
        <v>270</v>
      </c>
      <c r="B24692" s="1" t="str">
        <f>HYPERLINK("http://nvidia.de","nvidia.de")</f>
        <v>nvidia.de</v>
      </c>
      <c r="C24692" t="s">
        <v>436</v>
      </c>
      <c r="D24692" t="s">
        <v>815</v>
      </c>
      <c r="E24692">
        <v>112197</v>
      </c>
      <c r="F24692">
        <v>4.3324794646845301E-7</v>
      </c>
      <c r="G24692">
        <v>86961</v>
      </c>
      <c r="H24692">
        <v>15008161</v>
      </c>
      <c r="I24692">
        <v>423790</v>
      </c>
      <c r="J24692">
        <v>2</v>
      </c>
    </row>
    <row r="24693" spans="1:10" x14ac:dyDescent="0.25">
      <c r="A24693" t="s">
        <v>270</v>
      </c>
      <c r="B24693" s="1" t="str">
        <f>HYPERLINK("http://nvidia.dk","nvidia.dk")</f>
        <v>nvidia.dk</v>
      </c>
      <c r="C24693" t="s">
        <v>437</v>
      </c>
      <c r="D24693" t="s">
        <v>816</v>
      </c>
      <c r="F24693">
        <v>8.3714339919506396E-9</v>
      </c>
      <c r="G24693">
        <v>9101923</v>
      </c>
      <c r="H24693">
        <v>13175651</v>
      </c>
      <c r="I24693">
        <v>11701658</v>
      </c>
      <c r="J24693">
        <v>2</v>
      </c>
    </row>
    <row r="24694" spans="1:10" x14ac:dyDescent="0.25">
      <c r="A24694" t="s">
        <v>270</v>
      </c>
      <c r="B24694" s="1" t="str">
        <f>HYPERLINK("http://nvidia.es","nvidia.es")</f>
        <v>nvidia.es</v>
      </c>
      <c r="C24694" t="s">
        <v>443</v>
      </c>
      <c r="D24694" t="s">
        <v>822</v>
      </c>
      <c r="E24694">
        <v>219328</v>
      </c>
      <c r="F24694">
        <v>1.86610234072832E-7</v>
      </c>
      <c r="G24694">
        <v>206481</v>
      </c>
      <c r="H24694">
        <v>14936502</v>
      </c>
      <c r="I24694">
        <v>445228</v>
      </c>
      <c r="J24694">
        <v>2</v>
      </c>
    </row>
    <row r="24695" spans="1:10" x14ac:dyDescent="0.25">
      <c r="A24695" t="s">
        <v>270</v>
      </c>
      <c r="B24695" s="1" t="str">
        <f>HYPERLINK("http://nvidia.eu","nvidia.eu")</f>
        <v>nvidia.eu</v>
      </c>
      <c r="C24695" t="s">
        <v>444</v>
      </c>
      <c r="E24695">
        <v>322481</v>
      </c>
      <c r="F24695">
        <v>1.5521877336931399E-7</v>
      </c>
      <c r="G24695">
        <v>250166</v>
      </c>
      <c r="H24695">
        <v>14076930</v>
      </c>
      <c r="I24695">
        <v>2876235</v>
      </c>
      <c r="J24695">
        <v>2</v>
      </c>
    </row>
    <row r="24696" spans="1:10" x14ac:dyDescent="0.25">
      <c r="A24696" t="s">
        <v>270</v>
      </c>
      <c r="B24696" s="1" t="str">
        <f>HYPERLINK("http://cuda.fi","cuda.fi")</f>
        <v>cuda.fi</v>
      </c>
      <c r="C24696" t="s">
        <v>445</v>
      </c>
      <c r="D24696" t="s">
        <v>823</v>
      </c>
      <c r="J24696">
        <v>2</v>
      </c>
    </row>
    <row r="24697" spans="1:10" x14ac:dyDescent="0.25">
      <c r="A24697" t="s">
        <v>270</v>
      </c>
      <c r="B24697" s="1" t="str">
        <f>HYPERLINK("http://cudazone.fi","cudazone.fi")</f>
        <v>cudazone.fi</v>
      </c>
      <c r="C24697" t="s">
        <v>445</v>
      </c>
      <c r="D24697" t="s">
        <v>823</v>
      </c>
      <c r="J24697">
        <v>2</v>
      </c>
    </row>
    <row r="24698" spans="1:10" x14ac:dyDescent="0.25">
      <c r="A24698" t="s">
        <v>270</v>
      </c>
      <c r="B24698" s="1" t="str">
        <f>HYPERLINK("http://geforce.fi","geforce.fi")</f>
        <v>geforce.fi</v>
      </c>
      <c r="C24698" t="s">
        <v>445</v>
      </c>
      <c r="D24698" t="s">
        <v>823</v>
      </c>
      <c r="J24698">
        <v>2</v>
      </c>
    </row>
    <row r="24699" spans="1:10" x14ac:dyDescent="0.25">
      <c r="A24699" t="s">
        <v>270</v>
      </c>
      <c r="B24699" s="1" t="str">
        <f>HYPERLINK("http://geforcenow.fi","geforcenow.fi")</f>
        <v>geforcenow.fi</v>
      </c>
      <c r="C24699" t="s">
        <v>445</v>
      </c>
      <c r="D24699" t="s">
        <v>823</v>
      </c>
      <c r="J24699">
        <v>4</v>
      </c>
    </row>
    <row r="24700" spans="1:10" x14ac:dyDescent="0.25">
      <c r="A24700" t="s">
        <v>270</v>
      </c>
      <c r="B24700" s="1" t="str">
        <f>HYPERLINK("http://gputechconf.fi","gputechconf.fi")</f>
        <v>gputechconf.fi</v>
      </c>
      <c r="C24700" t="s">
        <v>445</v>
      </c>
      <c r="D24700" t="s">
        <v>823</v>
      </c>
      <c r="J24700">
        <v>4</v>
      </c>
    </row>
    <row r="24701" spans="1:10" x14ac:dyDescent="0.25">
      <c r="A24701" t="s">
        <v>270</v>
      </c>
      <c r="B24701" s="1" t="str">
        <f>HYPERLINK("http://gtceurope.fi","gtceurope.fi")</f>
        <v>gtceurope.fi</v>
      </c>
      <c r="C24701" t="s">
        <v>445</v>
      </c>
      <c r="D24701" t="s">
        <v>823</v>
      </c>
      <c r="J24701">
        <v>4</v>
      </c>
    </row>
    <row r="24702" spans="1:10" x14ac:dyDescent="0.25">
      <c r="A24702" t="s">
        <v>270</v>
      </c>
      <c r="B24702" s="1" t="str">
        <f>HYPERLINK("http://nvidia.fi","nvidia.fi")</f>
        <v>nvidia.fi</v>
      </c>
      <c r="C24702" t="s">
        <v>445</v>
      </c>
      <c r="D24702" t="s">
        <v>823</v>
      </c>
      <c r="F24702">
        <v>8.1587484947692205E-9</v>
      </c>
      <c r="G24702">
        <v>9641300</v>
      </c>
      <c r="H24702">
        <v>13175557</v>
      </c>
      <c r="I24702">
        <v>11702209</v>
      </c>
      <c r="J24702">
        <v>2</v>
      </c>
    </row>
    <row r="24703" spans="1:10" x14ac:dyDescent="0.25">
      <c r="A24703" t="s">
        <v>270</v>
      </c>
      <c r="B24703" s="1" t="str">
        <f>HYPERLINK("http://nvidiashield.fi","nvidiashield.fi")</f>
        <v>nvidiashield.fi</v>
      </c>
      <c r="C24703" t="s">
        <v>445</v>
      </c>
      <c r="D24703" t="s">
        <v>823</v>
      </c>
      <c r="J24703">
        <v>2</v>
      </c>
    </row>
    <row r="24704" spans="1:10" x14ac:dyDescent="0.25">
      <c r="A24704" t="s">
        <v>270</v>
      </c>
      <c r="B24704" s="1" t="str">
        <f>HYPERLINK("http://purevideo.fi","purevideo.fi")</f>
        <v>purevideo.fi</v>
      </c>
      <c r="C24704" t="s">
        <v>445</v>
      </c>
      <c r="D24704" t="s">
        <v>823</v>
      </c>
      <c r="J24704">
        <v>2</v>
      </c>
    </row>
    <row r="24705" spans="1:10" x14ac:dyDescent="0.25">
      <c r="A24705" t="s">
        <v>270</v>
      </c>
      <c r="B24705" s="1" t="str">
        <f>HYPERLINK("http://quadro.fi","quadro.fi")</f>
        <v>quadro.fi</v>
      </c>
      <c r="C24705" t="s">
        <v>445</v>
      </c>
      <c r="D24705" t="s">
        <v>823</v>
      </c>
      <c r="J24705">
        <v>2</v>
      </c>
    </row>
    <row r="24706" spans="1:10" x14ac:dyDescent="0.25">
      <c r="A24706" t="s">
        <v>270</v>
      </c>
      <c r="B24706" s="1" t="str">
        <f>HYPERLINK("http://tesla.fi","tesla.fi")</f>
        <v>tesla.fi</v>
      </c>
      <c r="C24706" t="s">
        <v>445</v>
      </c>
      <c r="D24706" t="s">
        <v>823</v>
      </c>
      <c r="F24706">
        <v>4.4654289983536997E-9</v>
      </c>
      <c r="G24706">
        <v>66120739</v>
      </c>
      <c r="H24706">
        <v>7177463</v>
      </c>
      <c r="I24706">
        <v>76464789</v>
      </c>
      <c r="J24706">
        <v>2</v>
      </c>
    </row>
    <row r="24707" spans="1:10" x14ac:dyDescent="0.25">
      <c r="A24707" t="s">
        <v>270</v>
      </c>
      <c r="B24707" s="1" t="str">
        <f>HYPERLINK("http://nvidia.fr","nvidia.fr")</f>
        <v>nvidia.fr</v>
      </c>
      <c r="C24707" t="s">
        <v>446</v>
      </c>
      <c r="D24707" t="s">
        <v>824</v>
      </c>
      <c r="E24707">
        <v>240855</v>
      </c>
      <c r="F24707">
        <v>2.6363592008190498E-7</v>
      </c>
      <c r="G24707">
        <v>141644</v>
      </c>
      <c r="H24707">
        <v>14838133</v>
      </c>
      <c r="I24707">
        <v>499208</v>
      </c>
      <c r="J24707">
        <v>2</v>
      </c>
    </row>
    <row r="24708" spans="1:10" x14ac:dyDescent="0.25">
      <c r="A24708" t="s">
        <v>270</v>
      </c>
      <c r="B24708" s="1" t="str">
        <f>HYPERLINK("http://nvidia.co.in","nvidia.co.in")</f>
        <v>nvidia.co.in</v>
      </c>
      <c r="C24708" t="s">
        <v>457</v>
      </c>
      <c r="D24708" t="s">
        <v>834</v>
      </c>
      <c r="F24708">
        <v>1.6018979440799899E-8</v>
      </c>
      <c r="G24708">
        <v>3541202</v>
      </c>
      <c r="H24708">
        <v>13944358</v>
      </c>
      <c r="I24708">
        <v>4302921</v>
      </c>
      <c r="J24708">
        <v>2</v>
      </c>
    </row>
    <row r="24709" spans="1:10" x14ac:dyDescent="0.25">
      <c r="A24709" t="s">
        <v>270</v>
      </c>
      <c r="B24709" s="1" t="str">
        <f>HYPERLINK("http://nvidia.in","nvidia.in")</f>
        <v>nvidia.in</v>
      </c>
      <c r="C24709" t="s">
        <v>457</v>
      </c>
      <c r="D24709" t="s">
        <v>834</v>
      </c>
      <c r="E24709">
        <v>387623</v>
      </c>
      <c r="F24709">
        <v>1.75446910671443E-7</v>
      </c>
      <c r="G24709">
        <v>221025</v>
      </c>
      <c r="H24709">
        <v>15144657</v>
      </c>
      <c r="I24709">
        <v>400738</v>
      </c>
      <c r="J24709">
        <v>2</v>
      </c>
    </row>
    <row r="24710" spans="1:10" x14ac:dyDescent="0.25">
      <c r="A24710" t="s">
        <v>270</v>
      </c>
      <c r="B24710" s="1" t="str">
        <f>HYPERLINK("http://nvidia.it","nvidia.it")</f>
        <v>nvidia.it</v>
      </c>
      <c r="C24710" t="s">
        <v>459</v>
      </c>
      <c r="D24710" t="s">
        <v>835</v>
      </c>
      <c r="E24710">
        <v>331724</v>
      </c>
      <c r="F24710">
        <v>1.2767325056479301E-7</v>
      </c>
      <c r="G24710">
        <v>307498</v>
      </c>
      <c r="H24710">
        <v>14831654</v>
      </c>
      <c r="I24710">
        <v>504825</v>
      </c>
      <c r="J24710">
        <v>2</v>
      </c>
    </row>
    <row r="24711" spans="1:10" x14ac:dyDescent="0.25">
      <c r="A24711" t="s">
        <v>270</v>
      </c>
      <c r="B24711" s="1" t="str">
        <f>HYPERLINK("http://nvidia.co.jp","nvidia.co.jp")</f>
        <v>nvidia.co.jp</v>
      </c>
      <c r="C24711" t="s">
        <v>461</v>
      </c>
      <c r="D24711" t="s">
        <v>837</v>
      </c>
      <c r="E24711">
        <v>213535</v>
      </c>
      <c r="F24711">
        <v>3.8781997206194902E-7</v>
      </c>
      <c r="G24711">
        <v>96612</v>
      </c>
      <c r="H24711">
        <v>17118300</v>
      </c>
      <c r="I24711">
        <v>60313</v>
      </c>
      <c r="J24711">
        <v>2</v>
      </c>
    </row>
    <row r="24712" spans="1:10" x14ac:dyDescent="0.25">
      <c r="A24712" t="s">
        <v>270</v>
      </c>
      <c r="B24712" s="1" t="str">
        <f>HYPERLINK("http://nvidia.jp","nvidia.jp")</f>
        <v>nvidia.jp</v>
      </c>
      <c r="C24712" t="s">
        <v>461</v>
      </c>
      <c r="D24712" t="s">
        <v>837</v>
      </c>
      <c r="F24712">
        <v>8.9220985246576092E-9</v>
      </c>
      <c r="G24712">
        <v>8110319</v>
      </c>
      <c r="H24712">
        <v>13383279</v>
      </c>
      <c r="I24712">
        <v>10416615</v>
      </c>
      <c r="J24712">
        <v>2</v>
      </c>
    </row>
    <row r="24713" spans="1:10" x14ac:dyDescent="0.25">
      <c r="A24713" t="s">
        <v>270</v>
      </c>
      <c r="B24713" s="1" t="str">
        <f>HYPERLINK("http://nvidia.co.kr","nvidia.co.kr")</f>
        <v>nvidia.co.kr</v>
      </c>
      <c r="C24713" t="s">
        <v>463</v>
      </c>
      <c r="D24713" t="s">
        <v>839</v>
      </c>
      <c r="E24713">
        <v>170513</v>
      </c>
      <c r="F24713">
        <v>2.16348793896521E-7</v>
      </c>
      <c r="G24713">
        <v>174337</v>
      </c>
      <c r="H24713">
        <v>14736343</v>
      </c>
      <c r="I24713">
        <v>569324</v>
      </c>
      <c r="J24713">
        <v>2</v>
      </c>
    </row>
    <row r="24714" spans="1:10" x14ac:dyDescent="0.25">
      <c r="A24714" t="s">
        <v>270</v>
      </c>
      <c r="B24714" s="1" t="str">
        <f>HYPERLINK("http://nvidia.com.mx","nvidia.com.mx")</f>
        <v>nvidia.com.mx</v>
      </c>
      <c r="C24714" t="s">
        <v>471</v>
      </c>
      <c r="D24714" t="s">
        <v>847</v>
      </c>
      <c r="F24714">
        <v>8.8967261070956899E-9</v>
      </c>
      <c r="G24714">
        <v>8149249</v>
      </c>
      <c r="H24714">
        <v>13177291</v>
      </c>
      <c r="I24714">
        <v>11693626</v>
      </c>
      <c r="J24714">
        <v>2</v>
      </c>
    </row>
    <row r="24715" spans="1:10" x14ac:dyDescent="0.25">
      <c r="A24715" t="s">
        <v>270</v>
      </c>
      <c r="B24715" s="1" t="str">
        <f>HYPERLINK("http://nvidia.nl","nvidia.nl")</f>
        <v>nvidia.nl</v>
      </c>
      <c r="C24715" t="s">
        <v>477</v>
      </c>
      <c r="D24715" t="s">
        <v>852</v>
      </c>
      <c r="F24715">
        <v>9.6810362507955095E-9</v>
      </c>
      <c r="G24715">
        <v>7103240</v>
      </c>
      <c r="H24715">
        <v>13177006</v>
      </c>
      <c r="I24715">
        <v>11694557</v>
      </c>
      <c r="J24715">
        <v>2</v>
      </c>
    </row>
    <row r="24716" spans="1:10" x14ac:dyDescent="0.25">
      <c r="A24716" t="s">
        <v>270</v>
      </c>
      <c r="B24716" s="1" t="str">
        <f>HYPERLINK("http://nvidia.no","nvidia.no")</f>
        <v>nvidia.no</v>
      </c>
      <c r="C24716" t="s">
        <v>478</v>
      </c>
      <c r="D24716" t="s">
        <v>853</v>
      </c>
      <c r="F24716">
        <v>8.1387452444835705E-9</v>
      </c>
      <c r="G24716">
        <v>9675139</v>
      </c>
      <c r="H24716">
        <v>13175580</v>
      </c>
      <c r="I24716">
        <v>11702090</v>
      </c>
      <c r="J24716">
        <v>2</v>
      </c>
    </row>
    <row r="24717" spans="1:10" x14ac:dyDescent="0.25">
      <c r="A24717" t="s">
        <v>270</v>
      </c>
      <c r="B24717" s="1" t="str">
        <f>HYPERLINK("http://nvidia.pl","nvidia.pl")</f>
        <v>nvidia.pl</v>
      </c>
      <c r="C24717" t="s">
        <v>486</v>
      </c>
      <c r="D24717" t="s">
        <v>860</v>
      </c>
      <c r="E24717">
        <v>366541</v>
      </c>
      <c r="F24717">
        <v>6.8152244648310295E-8</v>
      </c>
      <c r="G24717">
        <v>626140</v>
      </c>
      <c r="H24717">
        <v>14245723</v>
      </c>
      <c r="I24717">
        <v>1464741</v>
      </c>
      <c r="J24717">
        <v>2</v>
      </c>
    </row>
    <row r="24718" spans="1:10" x14ac:dyDescent="0.25">
      <c r="A24718" t="s">
        <v>270</v>
      </c>
      <c r="B24718" s="1" t="str">
        <f>HYPERLINK("http://nvidia.ro","nvidia.ro")</f>
        <v>nvidia.ro</v>
      </c>
      <c r="C24718" t="s">
        <v>491</v>
      </c>
      <c r="D24718" t="s">
        <v>865</v>
      </c>
      <c r="F24718">
        <v>8.1540415075126294E-9</v>
      </c>
      <c r="G24718">
        <v>9649224</v>
      </c>
      <c r="H24718">
        <v>13174648</v>
      </c>
      <c r="I24718">
        <v>11709918</v>
      </c>
      <c r="J24718">
        <v>2</v>
      </c>
    </row>
    <row r="24719" spans="1:10" x14ac:dyDescent="0.25">
      <c r="A24719" t="s">
        <v>270</v>
      </c>
      <c r="B24719" s="1" t="str">
        <f>HYPERLINK("http://nvidia.ru","nvidia.ru")</f>
        <v>nvidia.ru</v>
      </c>
      <c r="C24719" t="s">
        <v>493</v>
      </c>
      <c r="D24719" t="s">
        <v>867</v>
      </c>
      <c r="E24719">
        <v>79687</v>
      </c>
      <c r="F24719">
        <v>2.9862773886370898E-7</v>
      </c>
      <c r="G24719">
        <v>124529</v>
      </c>
      <c r="H24719">
        <v>15148166</v>
      </c>
      <c r="I24719">
        <v>400342</v>
      </c>
      <c r="J24719">
        <v>2</v>
      </c>
    </row>
    <row r="24720" spans="1:10" x14ac:dyDescent="0.25">
      <c r="A24720" t="s">
        <v>270</v>
      </c>
      <c r="B24720" s="1" t="str">
        <f>HYPERLINK("http://nvidia.se","nvidia.se")</f>
        <v>nvidia.se</v>
      </c>
      <c r="C24720" t="s">
        <v>495</v>
      </c>
      <c r="D24720" t="s">
        <v>869</v>
      </c>
      <c r="F24720">
        <v>8.7629592176910597E-9</v>
      </c>
      <c r="G24720">
        <v>8370856</v>
      </c>
      <c r="H24720">
        <v>14075012</v>
      </c>
      <c r="I24720">
        <v>2921889</v>
      </c>
      <c r="J24720">
        <v>2</v>
      </c>
    </row>
    <row r="24721" spans="1:10" x14ac:dyDescent="0.25">
      <c r="A24721" t="s">
        <v>270</v>
      </c>
      <c r="B24721" s="1" t="str">
        <f>HYPERLINK("http://nvidia.co.th","nvidia.co.th")</f>
        <v>nvidia.co.th</v>
      </c>
      <c r="C24721" t="s">
        <v>500</v>
      </c>
      <c r="D24721" t="s">
        <v>874</v>
      </c>
      <c r="F24721">
        <v>9.2223444633844304E-9</v>
      </c>
      <c r="G24721">
        <v>7680116</v>
      </c>
      <c r="H24721">
        <v>13178124</v>
      </c>
      <c r="I24721">
        <v>11690306</v>
      </c>
      <c r="J24721">
        <v>2</v>
      </c>
    </row>
    <row r="24722" spans="1:10" x14ac:dyDescent="0.25">
      <c r="A24722" t="s">
        <v>270</v>
      </c>
      <c r="B24722" s="1" t="str">
        <f>HYPERLINK("http://nvidia.com.tr","nvidia.com.tr")</f>
        <v>nvidia.com.tr</v>
      </c>
      <c r="C24722" t="s">
        <v>502</v>
      </c>
      <c r="D24722" t="s">
        <v>876</v>
      </c>
      <c r="E24722">
        <v>622558</v>
      </c>
      <c r="F24722">
        <v>1.9339813712585399E-8</v>
      </c>
      <c r="G24722">
        <v>2775747</v>
      </c>
      <c r="H24722">
        <v>14076619</v>
      </c>
      <c r="I24722">
        <v>2883235</v>
      </c>
      <c r="J24722">
        <v>2</v>
      </c>
    </row>
    <row r="24723" spans="1:10" x14ac:dyDescent="0.25">
      <c r="A24723" t="s">
        <v>270</v>
      </c>
      <c r="B24723" s="1" t="str">
        <f>HYPERLINK("http://nvidia.com.tw","nvidia.com.tw")</f>
        <v>nvidia.com.tw</v>
      </c>
      <c r="C24723" t="s">
        <v>504</v>
      </c>
      <c r="D24723" t="s">
        <v>878</v>
      </c>
      <c r="E24723">
        <v>397202</v>
      </c>
      <c r="F24723">
        <v>1.54031624168469E-7</v>
      </c>
      <c r="G24723">
        <v>252170</v>
      </c>
      <c r="H24723">
        <v>14993179</v>
      </c>
      <c r="I24723">
        <v>427521</v>
      </c>
      <c r="J24723">
        <v>2</v>
      </c>
    </row>
    <row r="24724" spans="1:10" x14ac:dyDescent="0.25">
      <c r="A24724" t="s">
        <v>270</v>
      </c>
      <c r="B24724" s="1" t="str">
        <f>HYPERLINK("http://nvidia.co.uk","nvidia.co.uk")</f>
        <v>nvidia.co.uk</v>
      </c>
      <c r="C24724" t="s">
        <v>506</v>
      </c>
      <c r="D24724" t="s">
        <v>880</v>
      </c>
      <c r="E24724">
        <v>109495</v>
      </c>
      <c r="F24724">
        <v>4.7494085371361098E-7</v>
      </c>
      <c r="G24724">
        <v>79976</v>
      </c>
      <c r="H24724">
        <v>15003120</v>
      </c>
      <c r="I24724">
        <v>425024</v>
      </c>
      <c r="J24724">
        <v>2</v>
      </c>
    </row>
    <row r="24725" spans="1:10" x14ac:dyDescent="0.25">
      <c r="A24725" t="s">
        <v>271</v>
      </c>
      <c r="B24725" s="1" t="str">
        <f>HYPERLINK("http://nxp.com.cn","nxp.com.cn")</f>
        <v>nxp.com.cn</v>
      </c>
      <c r="C24725" t="s">
        <v>431</v>
      </c>
      <c r="D24725" t="s">
        <v>812</v>
      </c>
      <c r="E24725">
        <v>338181</v>
      </c>
      <c r="F24725">
        <v>4.8851085924668602E-8</v>
      </c>
      <c r="G24725">
        <v>948500</v>
      </c>
      <c r="H24725">
        <v>14094400</v>
      </c>
      <c r="I24725">
        <v>2732349</v>
      </c>
      <c r="J24725">
        <v>2</v>
      </c>
    </row>
    <row r="24726" spans="1:10" x14ac:dyDescent="0.25">
      <c r="A24726" t="s">
        <v>271</v>
      </c>
      <c r="B24726" s="1" t="str">
        <f>HYPERLINK("http://amphion.com","amphion.com")</f>
        <v>amphion.com</v>
      </c>
      <c r="C24726" t="s">
        <v>433</v>
      </c>
      <c r="F24726">
        <v>4.70972556872184E-9</v>
      </c>
      <c r="G24726">
        <v>40755928</v>
      </c>
      <c r="H24726">
        <v>12233302</v>
      </c>
      <c r="I24726">
        <v>22418287</v>
      </c>
      <c r="J24726">
        <v>5</v>
      </c>
    </row>
    <row r="24727" spans="1:10" x14ac:dyDescent="0.25">
      <c r="A24727" t="s">
        <v>271</v>
      </c>
      <c r="B24727" s="1" t="str">
        <f>HYPERLINK("http://athena-scs.com","athena-scs.com")</f>
        <v>athena-scs.com</v>
      </c>
      <c r="C24727" t="s">
        <v>433</v>
      </c>
      <c r="F24727">
        <v>5.4356627340274197E-8</v>
      </c>
      <c r="G24727">
        <v>830852</v>
      </c>
      <c r="H24727">
        <v>13723917</v>
      </c>
      <c r="I24727">
        <v>9466779</v>
      </c>
      <c r="J24727">
        <v>5</v>
      </c>
    </row>
    <row r="24728" spans="1:10" x14ac:dyDescent="0.25">
      <c r="A24728" t="s">
        <v>271</v>
      </c>
      <c r="B24728" s="1" t="str">
        <f>HYPERLINK("http://cognivue.com","cognivue.com")</f>
        <v>cognivue.com</v>
      </c>
      <c r="C24728" t="s">
        <v>433</v>
      </c>
      <c r="F24728">
        <v>3.85689428021539E-8</v>
      </c>
      <c r="G24728">
        <v>1337077</v>
      </c>
      <c r="H24728">
        <v>13893255</v>
      </c>
      <c r="I24728">
        <v>5958635</v>
      </c>
      <c r="J24728">
        <v>7</v>
      </c>
    </row>
    <row r="24729" spans="1:10" x14ac:dyDescent="0.25">
      <c r="A24729" t="s">
        <v>271</v>
      </c>
      <c r="B24729" s="1" t="str">
        <f>HYPERLINK("http://freescale.com","freescale.com")</f>
        <v>freescale.com</v>
      </c>
      <c r="C24729" t="s">
        <v>433</v>
      </c>
      <c r="E24729">
        <v>41663</v>
      </c>
      <c r="F24729">
        <v>8.6566867193100196E-7</v>
      </c>
      <c r="G24729">
        <v>46185</v>
      </c>
      <c r="H24729">
        <v>17369422</v>
      </c>
      <c r="I24729">
        <v>21480</v>
      </c>
      <c r="J24729">
        <v>4</v>
      </c>
    </row>
    <row r="24730" spans="1:10" x14ac:dyDescent="0.25">
      <c r="A24730" t="s">
        <v>271</v>
      </c>
      <c r="B24730" s="1" t="str">
        <f>HYPERLINK("http://intoto.com","intoto.com")</f>
        <v>intoto.com</v>
      </c>
      <c r="C24730" t="s">
        <v>433</v>
      </c>
      <c r="F24730">
        <v>4.4764879414890103E-9</v>
      </c>
      <c r="G24730">
        <v>63091363</v>
      </c>
      <c r="H24730">
        <v>12333140</v>
      </c>
      <c r="I24730">
        <v>20142177</v>
      </c>
      <c r="J24730">
        <v>4</v>
      </c>
    </row>
    <row r="24731" spans="1:10" x14ac:dyDescent="0.25">
      <c r="A24731" t="s">
        <v>271</v>
      </c>
      <c r="B24731" s="1" t="str">
        <f>HYPERLINK("http://jennic.com","jennic.com")</f>
        <v>jennic.com</v>
      </c>
      <c r="C24731" t="s">
        <v>433</v>
      </c>
      <c r="F24731">
        <v>2.7258995736821799E-8</v>
      </c>
      <c r="G24731">
        <v>1886147</v>
      </c>
      <c r="H24731">
        <v>14817856</v>
      </c>
      <c r="I24731">
        <v>520940</v>
      </c>
      <c r="J24731">
        <v>5</v>
      </c>
    </row>
    <row r="24732" spans="1:10" x14ac:dyDescent="0.25">
      <c r="A24732" t="s">
        <v>271</v>
      </c>
      <c r="B24732" s="1" t="str">
        <f>HYPERLINK("http://nxp.com","nxp.com")</f>
        <v>nxp.com</v>
      </c>
      <c r="C24732" t="s">
        <v>433</v>
      </c>
      <c r="E24732">
        <v>6328</v>
      </c>
      <c r="F24732">
        <v>3.36392491809081E-6</v>
      </c>
      <c r="G24732">
        <v>11976</v>
      </c>
      <c r="H24732">
        <v>17703266</v>
      </c>
      <c r="I24732">
        <v>7247</v>
      </c>
      <c r="J24732">
        <v>1</v>
      </c>
    </row>
    <row r="24733" spans="1:10" x14ac:dyDescent="0.25">
      <c r="A24733" t="s">
        <v>271</v>
      </c>
      <c r="B24733" s="1" t="str">
        <f>HYPERLINK("http://ssmc.com","ssmc.com")</f>
        <v>ssmc.com</v>
      </c>
      <c r="C24733" t="s">
        <v>433</v>
      </c>
      <c r="F24733">
        <v>1.27834152974883E-8</v>
      </c>
      <c r="G24733">
        <v>4737706</v>
      </c>
      <c r="H24733">
        <v>14092631</v>
      </c>
      <c r="I24733">
        <v>2738797</v>
      </c>
      <c r="J24733">
        <v>4</v>
      </c>
    </row>
    <row r="24734" spans="1:10" x14ac:dyDescent="0.25">
      <c r="A24734" t="s">
        <v>271</v>
      </c>
      <c r="B24734" s="1" t="str">
        <f>HYPERLINK("http://zenverge.com","zenverge.com")</f>
        <v>zenverge.com</v>
      </c>
      <c r="C24734" t="s">
        <v>433</v>
      </c>
      <c r="F24734">
        <v>7.8403449268307002E-9</v>
      </c>
      <c r="G24734">
        <v>10234436</v>
      </c>
      <c r="H24734">
        <v>13325150</v>
      </c>
      <c r="I24734">
        <v>10733062</v>
      </c>
      <c r="J24734">
        <v>7</v>
      </c>
    </row>
    <row r="24735" spans="1:10" x14ac:dyDescent="0.25">
      <c r="A24735" t="s">
        <v>271</v>
      </c>
      <c r="B24735" s="1" t="str">
        <f>HYPERLINK("http://nxp.jp","nxp.jp")</f>
        <v>nxp.jp</v>
      </c>
      <c r="C24735" t="s">
        <v>461</v>
      </c>
      <c r="D24735" t="s">
        <v>837</v>
      </c>
      <c r="F24735">
        <v>2.1283968764465E-8</v>
      </c>
      <c r="G24735">
        <v>2476259</v>
      </c>
      <c r="H24735">
        <v>14090698</v>
      </c>
      <c r="I24735">
        <v>2748363</v>
      </c>
      <c r="J24735">
        <v>2</v>
      </c>
    </row>
    <row r="24736" spans="1:10" x14ac:dyDescent="0.25">
      <c r="A24736" t="s">
        <v>271</v>
      </c>
      <c r="B24736" s="1" t="str">
        <f>HYPERLINK("http://nxp.co.kr","nxp.co.kr")</f>
        <v>nxp.co.kr</v>
      </c>
      <c r="C24736" t="s">
        <v>463</v>
      </c>
      <c r="D24736" t="s">
        <v>839</v>
      </c>
      <c r="F24736">
        <v>7.2563198302286198E-9</v>
      </c>
      <c r="G24736">
        <v>11589737</v>
      </c>
      <c r="H24736">
        <v>12354982</v>
      </c>
      <c r="I24736">
        <v>19679595</v>
      </c>
      <c r="J24736">
        <v>2</v>
      </c>
    </row>
    <row r="24737" spans="1:10" x14ac:dyDescent="0.25">
      <c r="A24737" t="s">
        <v>271</v>
      </c>
      <c r="B24737" s="1" t="str">
        <f>HYPERLINK("http://mifare.net","mifare.net")</f>
        <v>mifare.net</v>
      </c>
      <c r="C24737" t="s">
        <v>474</v>
      </c>
      <c r="E24737">
        <v>52245</v>
      </c>
      <c r="F24737">
        <v>5.5501517722924097E-7</v>
      </c>
      <c r="G24737">
        <v>69794</v>
      </c>
      <c r="H24737">
        <v>17528000</v>
      </c>
      <c r="I24737">
        <v>12161</v>
      </c>
      <c r="J24737">
        <v>5</v>
      </c>
    </row>
    <row r="24738" spans="1:10" x14ac:dyDescent="0.25">
      <c r="A24738" t="s">
        <v>271</v>
      </c>
      <c r="B24738" s="1" t="str">
        <f>HYPERLINK("http://catena.nl","catena.nl")</f>
        <v>catena.nl</v>
      </c>
      <c r="C24738" t="s">
        <v>477</v>
      </c>
      <c r="D24738" t="s">
        <v>852</v>
      </c>
      <c r="F24738">
        <v>1.4234514831312301E-8</v>
      </c>
      <c r="G24738">
        <v>4116735</v>
      </c>
      <c r="H24738">
        <v>13721448</v>
      </c>
      <c r="I24738">
        <v>9471649</v>
      </c>
      <c r="J24738">
        <v>4</v>
      </c>
    </row>
    <row r="24739" spans="1:10" x14ac:dyDescent="0.25">
      <c r="A24739" t="s">
        <v>272</v>
      </c>
      <c r="B24739" s="1" t="str">
        <f>HYPERLINK("http://olx.com.ar","olx.com.ar")</f>
        <v>olx.com.ar</v>
      </c>
      <c r="C24739" t="s">
        <v>418</v>
      </c>
      <c r="D24739" t="s">
        <v>800</v>
      </c>
      <c r="E24739">
        <v>188271</v>
      </c>
      <c r="F24739">
        <v>1.01959300002115E-7</v>
      </c>
      <c r="G24739">
        <v>394079</v>
      </c>
      <c r="H24739">
        <v>16938922</v>
      </c>
      <c r="I24739">
        <v>114880</v>
      </c>
      <c r="J24739">
        <v>6</v>
      </c>
    </row>
    <row r="24740" spans="1:10" x14ac:dyDescent="0.25">
      <c r="A24740" t="s">
        <v>272</v>
      </c>
      <c r="B24740" s="1" t="str">
        <f>HYPERLINK("http://olx.autos","olx.autos")</f>
        <v>olx.autos</v>
      </c>
      <c r="C24740" t="s">
        <v>1680</v>
      </c>
      <c r="F24740">
        <v>6.92521189010742E-9</v>
      </c>
      <c r="G24740">
        <v>12540432</v>
      </c>
      <c r="H24740">
        <v>12119436</v>
      </c>
      <c r="I24740">
        <v>25418570</v>
      </c>
      <c r="J24740">
        <v>8</v>
      </c>
    </row>
    <row r="24741" spans="1:10" x14ac:dyDescent="0.25">
      <c r="A24741" t="s">
        <v>272</v>
      </c>
      <c r="B24741" s="1" t="str">
        <f>HYPERLINK("http://edigital.bg","edigital.bg")</f>
        <v>edigital.bg</v>
      </c>
      <c r="C24741" t="s">
        <v>422</v>
      </c>
      <c r="D24741" t="s">
        <v>804</v>
      </c>
      <c r="F24741">
        <v>7.2519656274518101E-9</v>
      </c>
      <c r="G24741">
        <v>11600754</v>
      </c>
      <c r="H24741">
        <v>12152385</v>
      </c>
      <c r="I24741">
        <v>24566344</v>
      </c>
      <c r="J24741">
        <v>6</v>
      </c>
    </row>
    <row r="24742" spans="1:10" x14ac:dyDescent="0.25">
      <c r="A24742" t="s">
        <v>272</v>
      </c>
      <c r="B24742" s="1" t="str">
        <f>HYPERLINK("http://emag.bg","emag.bg")</f>
        <v>emag.bg</v>
      </c>
      <c r="C24742" t="s">
        <v>422</v>
      </c>
      <c r="D24742" t="s">
        <v>804</v>
      </c>
      <c r="E24742">
        <v>27392</v>
      </c>
      <c r="F24742">
        <v>1.99231780060318E-7</v>
      </c>
      <c r="G24742">
        <v>191659</v>
      </c>
      <c r="H24742">
        <v>16887120</v>
      </c>
      <c r="I24742">
        <v>136385</v>
      </c>
      <c r="J24742">
        <v>4</v>
      </c>
    </row>
    <row r="24743" spans="1:10" x14ac:dyDescent="0.25">
      <c r="A24743" t="s">
        <v>272</v>
      </c>
      <c r="B24743" s="1" t="str">
        <f>HYPERLINK("http://olx.bg","olx.bg")</f>
        <v>olx.bg</v>
      </c>
      <c r="C24743" t="s">
        <v>422</v>
      </c>
      <c r="D24743" t="s">
        <v>804</v>
      </c>
      <c r="E24743">
        <v>17149</v>
      </c>
      <c r="F24743">
        <v>1.1755439355149799E-7</v>
      </c>
      <c r="G24743">
        <v>337975</v>
      </c>
      <c r="H24743">
        <v>14705099</v>
      </c>
      <c r="I24743">
        <v>587812</v>
      </c>
      <c r="J24743">
        <v>5</v>
      </c>
    </row>
    <row r="24744" spans="1:10" x14ac:dyDescent="0.25">
      <c r="A24744" t="s">
        <v>272</v>
      </c>
      <c r="B24744" s="1" t="str">
        <f>HYPERLINK("http://ifood.com.br","ifood.com.br")</f>
        <v>ifood.com.br</v>
      </c>
      <c r="C24744" t="s">
        <v>425</v>
      </c>
      <c r="D24744" t="s">
        <v>806</v>
      </c>
      <c r="E24744">
        <v>4839</v>
      </c>
      <c r="F24744">
        <v>1.6524114853390998E-5</v>
      </c>
      <c r="G24744">
        <v>2029</v>
      </c>
      <c r="H24744">
        <v>17590312</v>
      </c>
      <c r="I24744">
        <v>9977</v>
      </c>
      <c r="J24744">
        <v>5</v>
      </c>
    </row>
    <row r="24745" spans="1:10" x14ac:dyDescent="0.25">
      <c r="A24745" t="s">
        <v>272</v>
      </c>
      <c r="B24745" s="1" t="str">
        <f>HYPERLINK("http://netcook.com.br","netcook.com.br")</f>
        <v>netcook.com.br</v>
      </c>
      <c r="C24745" t="s">
        <v>425</v>
      </c>
      <c r="D24745" t="s">
        <v>806</v>
      </c>
      <c r="J24745">
        <v>9</v>
      </c>
    </row>
    <row r="24746" spans="1:10" x14ac:dyDescent="0.25">
      <c r="A24746" t="s">
        <v>272</v>
      </c>
      <c r="B24746" s="1" t="str">
        <f>HYPERLINK("http://olx.com.br","olx.com.br")</f>
        <v>olx.com.br</v>
      </c>
      <c r="C24746" t="s">
        <v>425</v>
      </c>
      <c r="D24746" t="s">
        <v>806</v>
      </c>
      <c r="E24746">
        <v>3084</v>
      </c>
      <c r="F24746">
        <v>3.0049223812689102E-7</v>
      </c>
      <c r="G24746">
        <v>123763</v>
      </c>
      <c r="H24746">
        <v>17579734</v>
      </c>
      <c r="I24746">
        <v>10311</v>
      </c>
      <c r="J24746">
        <v>5</v>
      </c>
    </row>
    <row r="24747" spans="1:10" x14ac:dyDescent="0.25">
      <c r="A24747" t="s">
        <v>272</v>
      </c>
      <c r="B24747" s="1" t="str">
        <f>HYPERLINK("http://payu.com.br","payu.com.br")</f>
        <v>payu.com.br</v>
      </c>
      <c r="C24747" t="s">
        <v>425</v>
      </c>
      <c r="D24747" t="s">
        <v>806</v>
      </c>
      <c r="F24747">
        <v>4.3485962777918001E-8</v>
      </c>
      <c r="G24747">
        <v>1100039</v>
      </c>
      <c r="H24747">
        <v>12684966</v>
      </c>
      <c r="I24747">
        <v>15457595</v>
      </c>
      <c r="J24747">
        <v>4</v>
      </c>
    </row>
    <row r="24748" spans="1:10" x14ac:dyDescent="0.25">
      <c r="A24748" t="s">
        <v>272</v>
      </c>
      <c r="B24748" s="1" t="str">
        <f>HYPERLINK("http://sympla.com.br","sympla.com.br")</f>
        <v>sympla.com.br</v>
      </c>
      <c r="C24748" t="s">
        <v>425</v>
      </c>
      <c r="D24748" t="s">
        <v>806</v>
      </c>
      <c r="E24748">
        <v>16035</v>
      </c>
      <c r="F24748">
        <v>6.3322119533399302E-6</v>
      </c>
      <c r="G24748">
        <v>5383</v>
      </c>
      <c r="H24748">
        <v>18652872</v>
      </c>
      <c r="I24748">
        <v>1129</v>
      </c>
      <c r="J24748">
        <v>7</v>
      </c>
    </row>
    <row r="24749" spans="1:10" x14ac:dyDescent="0.25">
      <c r="A24749" t="s">
        <v>272</v>
      </c>
      <c r="B24749" s="1" t="str">
        <f>HYPERLINK("http://olx.cc","olx.cc")</f>
        <v>olx.cc</v>
      </c>
      <c r="C24749" t="s">
        <v>569</v>
      </c>
      <c r="D24749" t="s">
        <v>916</v>
      </c>
      <c r="F24749">
        <v>4.7955028476066901E-9</v>
      </c>
      <c r="G24749">
        <v>36262916</v>
      </c>
      <c r="H24749">
        <v>12676759</v>
      </c>
      <c r="I24749">
        <v>15532197</v>
      </c>
      <c r="J24749">
        <v>6</v>
      </c>
    </row>
    <row r="24750" spans="1:10" x14ac:dyDescent="0.25">
      <c r="A24750" t="s">
        <v>272</v>
      </c>
      <c r="B24750" s="1" t="str">
        <f>HYPERLINK("http://ifood.com.co","ifood.com.co")</f>
        <v>ifood.com.co</v>
      </c>
      <c r="C24750" t="s">
        <v>432</v>
      </c>
      <c r="E24750">
        <v>5717</v>
      </c>
      <c r="F24750">
        <v>1.0143914717413699E-7</v>
      </c>
      <c r="G24750">
        <v>396301</v>
      </c>
      <c r="H24750">
        <v>16925144</v>
      </c>
      <c r="I24750">
        <v>122989</v>
      </c>
      <c r="J24750">
        <v>6</v>
      </c>
    </row>
    <row r="24751" spans="1:10" x14ac:dyDescent="0.25">
      <c r="A24751" t="s">
        <v>272</v>
      </c>
      <c r="B24751" s="1" t="str">
        <f>HYPERLINK("http://olx.com.co","olx.com.co")</f>
        <v>olx.com.co</v>
      </c>
      <c r="C24751" t="s">
        <v>432</v>
      </c>
      <c r="E24751">
        <v>96480</v>
      </c>
      <c r="F24751">
        <v>5.5359236821371702E-8</v>
      </c>
      <c r="G24751">
        <v>811083</v>
      </c>
      <c r="H24751">
        <v>14549219</v>
      </c>
      <c r="I24751">
        <v>761701</v>
      </c>
      <c r="J24751">
        <v>5</v>
      </c>
    </row>
    <row r="24752" spans="1:10" x14ac:dyDescent="0.25">
      <c r="A24752" t="s">
        <v>272</v>
      </c>
      <c r="B24752" s="1" t="str">
        <f>HYPERLINK("http://wibmo.co","wibmo.co")</f>
        <v>wibmo.co</v>
      </c>
      <c r="C24752" t="s">
        <v>432</v>
      </c>
      <c r="F24752">
        <v>3.6138984927283798E-8</v>
      </c>
      <c r="G24752">
        <v>1442655</v>
      </c>
      <c r="H24752">
        <v>13587817</v>
      </c>
      <c r="I24752">
        <v>9673157</v>
      </c>
      <c r="J24752">
        <v>5</v>
      </c>
    </row>
    <row r="24753" spans="1:10" x14ac:dyDescent="0.25">
      <c r="A24753" t="s">
        <v>272</v>
      </c>
      <c r="B24753" s="1" t="str">
        <f>HYPERLINK("http://24.com","24.com")</f>
        <v>24.com</v>
      </c>
      <c r="C24753" t="s">
        <v>433</v>
      </c>
      <c r="E24753">
        <v>114720</v>
      </c>
      <c r="F24753">
        <v>1.13511532325574E-7</v>
      </c>
      <c r="G24753">
        <v>351225</v>
      </c>
      <c r="H24753">
        <v>17050306</v>
      </c>
      <c r="I24753">
        <v>76393</v>
      </c>
      <c r="J24753">
        <v>7</v>
      </c>
    </row>
    <row r="24754" spans="1:10" x14ac:dyDescent="0.25">
      <c r="A24754" t="s">
        <v>272</v>
      </c>
      <c r="B24754" s="1" t="str">
        <f>HYPERLINK("http://citruspay.com","citruspay.com")</f>
        <v>citruspay.com</v>
      </c>
      <c r="C24754" t="s">
        <v>433</v>
      </c>
      <c r="E24754">
        <v>117716</v>
      </c>
      <c r="F24754">
        <v>5.1612246838902698E-7</v>
      </c>
      <c r="G24754">
        <v>74366</v>
      </c>
      <c r="H24754">
        <v>13682913</v>
      </c>
      <c r="I24754">
        <v>9533846</v>
      </c>
      <c r="J24754">
        <v>2</v>
      </c>
    </row>
    <row r="24755" spans="1:10" x14ac:dyDescent="0.25">
      <c r="A24755" t="s">
        <v>272</v>
      </c>
      <c r="B24755" s="1" t="str">
        <f>HYPERLINK("http://cobboc.com","cobboc.com")</f>
        <v>cobboc.com</v>
      </c>
      <c r="C24755" t="s">
        <v>433</v>
      </c>
      <c r="F24755">
        <v>4.4488321371311303E-9</v>
      </c>
      <c r="G24755">
        <v>72613512</v>
      </c>
      <c r="H24755">
        <v>10482898</v>
      </c>
      <c r="I24755">
        <v>50929115</v>
      </c>
      <c r="J24755">
        <v>6</v>
      </c>
    </row>
    <row r="24756" spans="1:10" x14ac:dyDescent="0.25">
      <c r="A24756" t="s">
        <v>272</v>
      </c>
      <c r="B24756" s="1" t="str">
        <f>HYPERLINK("http://dieburger.com","dieburger.com")</f>
        <v>dieburger.com</v>
      </c>
      <c r="C24756" t="s">
        <v>433</v>
      </c>
      <c r="F24756">
        <v>2.46684432716665E-8</v>
      </c>
      <c r="G24756">
        <v>2097312</v>
      </c>
      <c r="H24756">
        <v>14508005</v>
      </c>
      <c r="I24756">
        <v>829419</v>
      </c>
      <c r="J24756">
        <v>4</v>
      </c>
    </row>
    <row r="24757" spans="1:10" x14ac:dyDescent="0.25">
      <c r="A24757" t="s">
        <v>272</v>
      </c>
      <c r="B24757" s="1" t="str">
        <f>HYPERLINK("http://eashmart.com","eashmart.com")</f>
        <v>eashmart.com</v>
      </c>
      <c r="C24757" t="s">
        <v>433</v>
      </c>
      <c r="F24757">
        <v>6.6895868440062804E-9</v>
      </c>
      <c r="G24757">
        <v>13339922</v>
      </c>
      <c r="H24757">
        <v>12355493</v>
      </c>
      <c r="I24757">
        <v>19671260</v>
      </c>
      <c r="J24757">
        <v>6</v>
      </c>
    </row>
    <row r="24758" spans="1:10" x14ac:dyDescent="0.25">
      <c r="A24758" t="s">
        <v>272</v>
      </c>
      <c r="B24758" s="1" t="str">
        <f>HYPERLINK("http://fin24.com","fin24.com")</f>
        <v>fin24.com</v>
      </c>
      <c r="C24758" t="s">
        <v>433</v>
      </c>
      <c r="E24758">
        <v>53440</v>
      </c>
      <c r="F24758">
        <v>5.3519104657134797E-7</v>
      </c>
      <c r="G24758">
        <v>72063</v>
      </c>
      <c r="H24758">
        <v>17290944</v>
      </c>
      <c r="I24758">
        <v>28896</v>
      </c>
      <c r="J24758">
        <v>7</v>
      </c>
    </row>
    <row r="24759" spans="1:10" x14ac:dyDescent="0.25">
      <c r="A24759" t="s">
        <v>272</v>
      </c>
      <c r="B24759" s="1" t="str">
        <f>HYPERLINK("http://lucianomestrichmotta.com","lucianomestrichmotta.com")</f>
        <v>lucianomestrichmotta.com</v>
      </c>
      <c r="C24759" t="s">
        <v>433</v>
      </c>
      <c r="F24759">
        <v>4.5265599347206797E-9</v>
      </c>
      <c r="G24759">
        <v>55430304</v>
      </c>
      <c r="H24759">
        <v>10699661</v>
      </c>
      <c r="I24759">
        <v>42320840</v>
      </c>
      <c r="J24759">
        <v>10</v>
      </c>
    </row>
    <row r="24760" spans="1:10" x14ac:dyDescent="0.25">
      <c r="A24760" t="s">
        <v>272</v>
      </c>
      <c r="B24760" s="1" t="str">
        <f>HYPERLINK("http://naspers.com","naspers.com")</f>
        <v>naspers.com</v>
      </c>
      <c r="C24760" t="s">
        <v>433</v>
      </c>
      <c r="E24760">
        <v>69733</v>
      </c>
      <c r="F24760">
        <v>2.5125959923943198E-7</v>
      </c>
      <c r="G24760">
        <v>148871</v>
      </c>
      <c r="H24760">
        <v>15250099</v>
      </c>
      <c r="I24760">
        <v>390257</v>
      </c>
      <c r="J24760">
        <v>1</v>
      </c>
    </row>
    <row r="24761" spans="1:10" x14ac:dyDescent="0.25">
      <c r="A24761" t="s">
        <v>272</v>
      </c>
      <c r="B24761" s="1" t="str">
        <f>HYPERLINK("http://netwerk24.com","netwerk24.com")</f>
        <v>netwerk24.com</v>
      </c>
      <c r="C24761" t="s">
        <v>433</v>
      </c>
      <c r="E24761">
        <v>57851</v>
      </c>
      <c r="F24761">
        <v>1.8331813478108001E-7</v>
      </c>
      <c r="G24761">
        <v>210364</v>
      </c>
      <c r="H24761">
        <v>15596482</v>
      </c>
      <c r="I24761">
        <v>372611</v>
      </c>
      <c r="J24761">
        <v>4</v>
      </c>
    </row>
    <row r="24762" spans="1:10" x14ac:dyDescent="0.25">
      <c r="A24762" t="s">
        <v>272</v>
      </c>
      <c r="B24762" s="1" t="str">
        <f>HYPERLINK("http://news24.com","news24.com")</f>
        <v>news24.com</v>
      </c>
      <c r="C24762" t="s">
        <v>433</v>
      </c>
      <c r="E24762">
        <v>3669</v>
      </c>
      <c r="F24762">
        <v>4.1516183732884501E-6</v>
      </c>
      <c r="G24762">
        <v>8742</v>
      </c>
      <c r="H24762">
        <v>17778562</v>
      </c>
      <c r="I24762">
        <v>5907</v>
      </c>
      <c r="J24762">
        <v>4</v>
      </c>
    </row>
    <row r="24763" spans="1:10" x14ac:dyDescent="0.25">
      <c r="A24763" t="s">
        <v>272</v>
      </c>
      <c r="B24763" s="1" t="str">
        <f>HYPERLINK("http://olx.com","olx.com")</f>
        <v>olx.com</v>
      </c>
      <c r="C24763" t="s">
        <v>433</v>
      </c>
      <c r="E24763">
        <v>15189</v>
      </c>
      <c r="F24763">
        <v>4.1773122138769699E-7</v>
      </c>
      <c r="G24763">
        <v>90149</v>
      </c>
      <c r="H24763">
        <v>15240974</v>
      </c>
      <c r="I24763">
        <v>391222</v>
      </c>
      <c r="J24763">
        <v>4</v>
      </c>
    </row>
    <row r="24764" spans="1:10" x14ac:dyDescent="0.25">
      <c r="A24764" t="s">
        <v>272</v>
      </c>
      <c r="B24764" s="1" t="str">
        <f>HYPERLINK("http://olxgroup.com","olxgroup.com")</f>
        <v>olxgroup.com</v>
      </c>
      <c r="C24764" t="s">
        <v>433</v>
      </c>
      <c r="E24764">
        <v>61213</v>
      </c>
      <c r="F24764">
        <v>2.4407034129300898E-7</v>
      </c>
      <c r="G24764">
        <v>153290</v>
      </c>
      <c r="H24764">
        <v>14334917</v>
      </c>
      <c r="I24764">
        <v>1320235</v>
      </c>
      <c r="J24764">
        <v>4</v>
      </c>
    </row>
    <row r="24765" spans="1:10" x14ac:dyDescent="0.25">
      <c r="A24765" t="s">
        <v>272</v>
      </c>
      <c r="B24765" s="1" t="str">
        <f>HYPERLINK("http://payu.com","payu.com")</f>
        <v>payu.com</v>
      </c>
      <c r="C24765" t="s">
        <v>433</v>
      </c>
      <c r="E24765">
        <v>9595</v>
      </c>
      <c r="F24765">
        <v>4.6719363126315398E-6</v>
      </c>
      <c r="G24765">
        <v>7528</v>
      </c>
      <c r="H24765">
        <v>17619632</v>
      </c>
      <c r="I24765">
        <v>9126</v>
      </c>
      <c r="J24765">
        <v>3</v>
      </c>
    </row>
    <row r="24766" spans="1:10" x14ac:dyDescent="0.25">
      <c r="A24766" t="s">
        <v>272</v>
      </c>
      <c r="B24766" s="1" t="str">
        <f>HYPERLINK("http://payuindia.com","payuindia.com")</f>
        <v>payuindia.com</v>
      </c>
      <c r="C24766" t="s">
        <v>433</v>
      </c>
      <c r="F24766">
        <v>4.4438486064592198E-9</v>
      </c>
      <c r="G24766">
        <v>78530200</v>
      </c>
      <c r="H24766">
        <v>10541462</v>
      </c>
      <c r="I24766">
        <v>47179699</v>
      </c>
      <c r="J24766">
        <v>2</v>
      </c>
    </row>
    <row r="24767" spans="1:10" x14ac:dyDescent="0.25">
      <c r="A24767" t="s">
        <v>272</v>
      </c>
      <c r="B24767" s="1" t="str">
        <f>HYPERLINK("http://payulatam.com","payulatam.com")</f>
        <v>payulatam.com</v>
      </c>
      <c r="C24767" t="s">
        <v>433</v>
      </c>
      <c r="E24767">
        <v>27830</v>
      </c>
      <c r="F24767">
        <v>9.3702108021672504E-7</v>
      </c>
      <c r="G24767">
        <v>40996</v>
      </c>
      <c r="H24767">
        <v>15115048</v>
      </c>
      <c r="I24767">
        <v>404446</v>
      </c>
      <c r="J24767">
        <v>7</v>
      </c>
    </row>
    <row r="24768" spans="1:10" x14ac:dyDescent="0.25">
      <c r="A24768" t="s">
        <v>272</v>
      </c>
      <c r="B24768" s="1" t="str">
        <f>HYPERLINK("http://payumoney.com","payumoney.com")</f>
        <v>payumoney.com</v>
      </c>
      <c r="C24768" t="s">
        <v>433</v>
      </c>
      <c r="E24768">
        <v>43175</v>
      </c>
      <c r="F24768">
        <v>2.7516035338941501E-6</v>
      </c>
      <c r="G24768">
        <v>13905</v>
      </c>
      <c r="H24768">
        <v>17507070</v>
      </c>
      <c r="I24768">
        <v>13382</v>
      </c>
      <c r="J24768">
        <v>2</v>
      </c>
    </row>
    <row r="24769" spans="1:10" x14ac:dyDescent="0.25">
      <c r="A24769" t="s">
        <v>272</v>
      </c>
      <c r="B24769" s="1" t="str">
        <f>HYPERLINK("http://prosus.com","prosus.com")</f>
        <v>prosus.com</v>
      </c>
      <c r="C24769" t="s">
        <v>433</v>
      </c>
      <c r="E24769">
        <v>71276</v>
      </c>
      <c r="F24769">
        <v>2.29143500882453E-7</v>
      </c>
      <c r="G24769">
        <v>164099</v>
      </c>
      <c r="H24769">
        <v>14603805</v>
      </c>
      <c r="I24769">
        <v>683191</v>
      </c>
      <c r="J24769">
        <v>3</v>
      </c>
    </row>
    <row r="24770" spans="1:10" x14ac:dyDescent="0.25">
      <c r="A24770" t="s">
        <v>272</v>
      </c>
      <c r="B24770" s="1" t="str">
        <f>HYPERLINK("http://reddotpayment.com","reddotpayment.com")</f>
        <v>reddotpayment.com</v>
      </c>
      <c r="C24770" t="s">
        <v>433</v>
      </c>
      <c r="E24770">
        <v>341564</v>
      </c>
      <c r="F24770">
        <v>1.37910205270234E-7</v>
      </c>
      <c r="G24770">
        <v>282548</v>
      </c>
      <c r="H24770">
        <v>16866270</v>
      </c>
      <c r="I24770">
        <v>154276</v>
      </c>
      <c r="J24770">
        <v>3</v>
      </c>
    </row>
    <row r="24771" spans="1:10" x14ac:dyDescent="0.25">
      <c r="A24771" t="s">
        <v>272</v>
      </c>
      <c r="B24771" s="1" t="str">
        <f>HYPERLINK("http://snl24.com","snl24.com")</f>
        <v>snl24.com</v>
      </c>
      <c r="C24771" t="s">
        <v>433</v>
      </c>
      <c r="E24771">
        <v>50321</v>
      </c>
      <c r="F24771">
        <v>2.1452119959334099E-7</v>
      </c>
      <c r="G24771">
        <v>175951</v>
      </c>
      <c r="H24771">
        <v>14177916</v>
      </c>
      <c r="I24771">
        <v>1785859</v>
      </c>
      <c r="J24771">
        <v>5</v>
      </c>
    </row>
    <row r="24772" spans="1:10" x14ac:dyDescent="0.25">
      <c r="A24772" t="s">
        <v>272</v>
      </c>
      <c r="B24772" s="1" t="str">
        <f>HYPERLINK("http://sympla.com","sympla.com")</f>
        <v>sympla.com</v>
      </c>
      <c r="C24772" t="s">
        <v>433</v>
      </c>
      <c r="F24772">
        <v>8.0276925379058696E-8</v>
      </c>
      <c r="G24772">
        <v>520317</v>
      </c>
      <c r="H24772">
        <v>17103738</v>
      </c>
      <c r="I24772">
        <v>63168</v>
      </c>
      <c r="J24772">
        <v>8</v>
      </c>
    </row>
    <row r="24773" spans="1:10" x14ac:dyDescent="0.25">
      <c r="A24773" t="s">
        <v>272</v>
      </c>
      <c r="B24773" s="1" t="str">
        <f>HYPERLINK("http://wibmo.com","wibmo.com")</f>
        <v>wibmo.com</v>
      </c>
      <c r="C24773" t="s">
        <v>433</v>
      </c>
      <c r="E24773">
        <v>12258</v>
      </c>
      <c r="F24773">
        <v>7.9959736452514406E-9</v>
      </c>
      <c r="G24773">
        <v>9928013</v>
      </c>
      <c r="H24773">
        <v>12283023</v>
      </c>
      <c r="I24773">
        <v>21249475</v>
      </c>
      <c r="J24773">
        <v>8</v>
      </c>
    </row>
    <row r="24774" spans="1:10" x14ac:dyDescent="0.25">
      <c r="A24774" t="s">
        <v>272</v>
      </c>
      <c r="B24774" s="1" t="str">
        <f>HYPERLINK("http://zooz.com","zooz.com")</f>
        <v>zooz.com</v>
      </c>
      <c r="C24774" t="s">
        <v>433</v>
      </c>
      <c r="E24774">
        <v>102921</v>
      </c>
      <c r="F24774">
        <v>1.99088670984328E-7</v>
      </c>
      <c r="G24774">
        <v>191898</v>
      </c>
      <c r="H24774">
        <v>14200491</v>
      </c>
      <c r="I24774">
        <v>1723249</v>
      </c>
      <c r="J24774">
        <v>5</v>
      </c>
    </row>
    <row r="24775" spans="1:10" x14ac:dyDescent="0.25">
      <c r="A24775" t="s">
        <v>272</v>
      </c>
      <c r="B24775" s="1" t="str">
        <f>HYPERLINK("http://edigital.cz","edigital.cz")</f>
        <v>edigital.cz</v>
      </c>
      <c r="C24775" t="s">
        <v>435</v>
      </c>
      <c r="D24775" t="s">
        <v>814</v>
      </c>
      <c r="F24775">
        <v>1.1012190437836499E-8</v>
      </c>
      <c r="G24775">
        <v>5850735</v>
      </c>
      <c r="H24775">
        <v>13763701</v>
      </c>
      <c r="I24775">
        <v>7765529</v>
      </c>
      <c r="J24775">
        <v>6</v>
      </c>
    </row>
    <row r="24776" spans="1:10" x14ac:dyDescent="0.25">
      <c r="A24776" t="s">
        <v>272</v>
      </c>
      <c r="B24776" s="1" t="str">
        <f>HYPERLINK("http://payu.cz","payu.cz")</f>
        <v>payu.cz</v>
      </c>
      <c r="C24776" t="s">
        <v>435</v>
      </c>
      <c r="D24776" t="s">
        <v>814</v>
      </c>
      <c r="F24776">
        <v>1.33744227247604E-7</v>
      </c>
      <c r="G24776">
        <v>291969</v>
      </c>
      <c r="H24776">
        <v>12583193</v>
      </c>
      <c r="I24776">
        <v>16474215</v>
      </c>
      <c r="J24776">
        <v>4</v>
      </c>
    </row>
    <row r="24777" spans="1:10" x14ac:dyDescent="0.25">
      <c r="A24777" t="s">
        <v>272</v>
      </c>
      <c r="B24777" s="1" t="str">
        <f>HYPERLINK("http://olx.com.ec","olx.com.ec")</f>
        <v>olx.com.ec</v>
      </c>
      <c r="C24777" t="s">
        <v>440</v>
      </c>
      <c r="D24777" t="s">
        <v>819</v>
      </c>
      <c r="F24777">
        <v>5.4050966202234001E-8</v>
      </c>
      <c r="G24777">
        <v>837596</v>
      </c>
      <c r="H24777">
        <v>14655683</v>
      </c>
      <c r="I24777">
        <v>623476</v>
      </c>
      <c r="J24777">
        <v>6</v>
      </c>
    </row>
    <row r="24778" spans="1:10" x14ac:dyDescent="0.25">
      <c r="A24778" t="s">
        <v>272</v>
      </c>
      <c r="B24778" s="1" t="str">
        <f>HYPERLINK("http://edigital.hr","edigital.hr")</f>
        <v>edigital.hr</v>
      </c>
      <c r="C24778" t="s">
        <v>452</v>
      </c>
      <c r="D24778" t="s">
        <v>829</v>
      </c>
      <c r="E24778">
        <v>736086</v>
      </c>
      <c r="F24778">
        <v>1.2759140279277099E-8</v>
      </c>
      <c r="G24778">
        <v>4749920</v>
      </c>
      <c r="H24778">
        <v>12602758</v>
      </c>
      <c r="I24778">
        <v>16301521</v>
      </c>
      <c r="J24778">
        <v>6</v>
      </c>
    </row>
    <row r="24779" spans="1:10" x14ac:dyDescent="0.25">
      <c r="A24779" t="s">
        <v>272</v>
      </c>
      <c r="B24779" s="1" t="str">
        <f>HYPERLINK("http://edigital.hu","edigital.hu")</f>
        <v>edigital.hu</v>
      </c>
      <c r="C24779" t="s">
        <v>453</v>
      </c>
      <c r="D24779" t="s">
        <v>830</v>
      </c>
      <c r="E24779">
        <v>356195</v>
      </c>
      <c r="F24779">
        <v>2.1973158633015E-7</v>
      </c>
      <c r="G24779">
        <v>171548</v>
      </c>
      <c r="H24779">
        <v>13860584</v>
      </c>
      <c r="I24779">
        <v>6021192</v>
      </c>
      <c r="J24779">
        <v>5</v>
      </c>
    </row>
    <row r="24780" spans="1:10" x14ac:dyDescent="0.25">
      <c r="A24780" t="s">
        <v>272</v>
      </c>
      <c r="B24780" s="1" t="str">
        <f>HYPERLINK("http://emag.hu","emag.hu")</f>
        <v>emag.hu</v>
      </c>
      <c r="C24780" t="s">
        <v>453</v>
      </c>
      <c r="D24780" t="s">
        <v>830</v>
      </c>
      <c r="E24780">
        <v>27807</v>
      </c>
      <c r="F24780">
        <v>2.8660355135784501E-7</v>
      </c>
      <c r="G24780">
        <v>129704</v>
      </c>
      <c r="H24780">
        <v>14851595</v>
      </c>
      <c r="I24780">
        <v>489955</v>
      </c>
      <c r="J24780">
        <v>4</v>
      </c>
    </row>
    <row r="24781" spans="1:10" x14ac:dyDescent="0.25">
      <c r="A24781" t="s">
        <v>272</v>
      </c>
      <c r="B24781" s="1" t="str">
        <f>HYPERLINK("http://sameday.hu","sameday.hu")</f>
        <v>sameday.hu</v>
      </c>
      <c r="C24781" t="s">
        <v>453</v>
      </c>
      <c r="D24781" t="s">
        <v>830</v>
      </c>
      <c r="E24781">
        <v>503851</v>
      </c>
      <c r="F24781">
        <v>2.6351939051172599E-8</v>
      </c>
      <c r="G24781">
        <v>1953967</v>
      </c>
      <c r="H24781">
        <v>12454583</v>
      </c>
      <c r="I24781">
        <v>17939452</v>
      </c>
      <c r="J24781">
        <v>8</v>
      </c>
    </row>
    <row r="24782" spans="1:10" x14ac:dyDescent="0.25">
      <c r="A24782" t="s">
        <v>272</v>
      </c>
      <c r="B24782" s="1" t="str">
        <f>HYPERLINK("http://olx.co.id","olx.co.id")</f>
        <v>olx.co.id</v>
      </c>
      <c r="C24782" t="s">
        <v>454</v>
      </c>
      <c r="D24782" t="s">
        <v>831</v>
      </c>
      <c r="E24782">
        <v>27162</v>
      </c>
      <c r="F24782">
        <v>2.4814075356415399E-7</v>
      </c>
      <c r="G24782">
        <v>150787</v>
      </c>
      <c r="H24782">
        <v>17245462</v>
      </c>
      <c r="I24782">
        <v>34609</v>
      </c>
      <c r="J24782">
        <v>7</v>
      </c>
    </row>
    <row r="24783" spans="1:10" x14ac:dyDescent="0.25">
      <c r="A24783" t="s">
        <v>272</v>
      </c>
      <c r="B24783" s="1" t="str">
        <f>HYPERLINK("http://ntech.ie","ntech.ie")</f>
        <v>ntech.ie</v>
      </c>
      <c r="C24783" t="s">
        <v>455</v>
      </c>
      <c r="D24783" t="s">
        <v>832</v>
      </c>
      <c r="F24783">
        <v>6.2531859199436004E-9</v>
      </c>
      <c r="G24783">
        <v>15258880</v>
      </c>
      <c r="H24783">
        <v>13070338</v>
      </c>
      <c r="I24783">
        <v>12246084</v>
      </c>
      <c r="J24783">
        <v>7</v>
      </c>
    </row>
    <row r="24784" spans="1:10" x14ac:dyDescent="0.25">
      <c r="A24784" t="s">
        <v>272</v>
      </c>
      <c r="B24784" s="1" t="str">
        <f>HYPERLINK("http://blazecard.in","blazecard.in")</f>
        <v>blazecard.in</v>
      </c>
      <c r="C24784" t="s">
        <v>457</v>
      </c>
      <c r="D24784" t="s">
        <v>834</v>
      </c>
      <c r="J24784">
        <v>2</v>
      </c>
    </row>
    <row r="24785" spans="1:10" x14ac:dyDescent="0.25">
      <c r="A24785" t="s">
        <v>272</v>
      </c>
      <c r="B24785" s="1" t="str">
        <f>HYPERLINK("http://blazepay.in","blazepay.in")</f>
        <v>blazepay.in</v>
      </c>
      <c r="C24785" t="s">
        <v>457</v>
      </c>
      <c r="D24785" t="s">
        <v>834</v>
      </c>
      <c r="E24785">
        <v>405778</v>
      </c>
      <c r="F24785">
        <v>4.4439082371152802E-9</v>
      </c>
      <c r="G24785">
        <v>77912908</v>
      </c>
      <c r="H24785">
        <v>10540953</v>
      </c>
      <c r="I24785">
        <v>47223143</v>
      </c>
      <c r="J24785">
        <v>2</v>
      </c>
    </row>
    <row r="24786" spans="1:10" x14ac:dyDescent="0.25">
      <c r="A24786" t="s">
        <v>272</v>
      </c>
      <c r="B24786" s="1" t="str">
        <f>HYPERLINK("http://printstop.co.in","printstop.co.in")</f>
        <v>printstop.co.in</v>
      </c>
      <c r="C24786" t="s">
        <v>457</v>
      </c>
      <c r="D24786" t="s">
        <v>834</v>
      </c>
      <c r="E24786">
        <v>300193</v>
      </c>
      <c r="F24786">
        <v>1.09787939849709E-7</v>
      </c>
      <c r="G24786">
        <v>364346</v>
      </c>
      <c r="H24786">
        <v>14538643</v>
      </c>
      <c r="I24786">
        <v>777242</v>
      </c>
      <c r="J24786">
        <v>6</v>
      </c>
    </row>
    <row r="24787" spans="1:10" x14ac:dyDescent="0.25">
      <c r="A24787" t="s">
        <v>272</v>
      </c>
      <c r="B24787" s="1" t="str">
        <f>HYPERLINK("http://pspro.co.in","pspro.co.in")</f>
        <v>pspro.co.in</v>
      </c>
      <c r="C24787" t="s">
        <v>457</v>
      </c>
      <c r="D24787" t="s">
        <v>834</v>
      </c>
      <c r="F24787">
        <v>8.7938270831018006E-9</v>
      </c>
      <c r="G24787">
        <v>8320796</v>
      </c>
      <c r="H24787">
        <v>10765844</v>
      </c>
      <c r="I24787">
        <v>39414953</v>
      </c>
      <c r="J24787">
        <v>4</v>
      </c>
    </row>
    <row r="24788" spans="1:10" x14ac:dyDescent="0.25">
      <c r="A24788" t="s">
        <v>272</v>
      </c>
      <c r="B24788" s="1" t="str">
        <f>HYPERLINK("http://lazypay.in","lazypay.in")</f>
        <v>lazypay.in</v>
      </c>
      <c r="C24788" t="s">
        <v>457</v>
      </c>
      <c r="D24788" t="s">
        <v>834</v>
      </c>
      <c r="E24788">
        <v>251837</v>
      </c>
      <c r="F24788">
        <v>9.6200027479657506E-8</v>
      </c>
      <c r="G24788">
        <v>420541</v>
      </c>
      <c r="H24788">
        <v>14264487</v>
      </c>
      <c r="I24788">
        <v>1410581</v>
      </c>
      <c r="J24788">
        <v>2</v>
      </c>
    </row>
    <row r="24789" spans="1:10" x14ac:dyDescent="0.25">
      <c r="A24789" t="s">
        <v>272</v>
      </c>
      <c r="B24789" s="1" t="str">
        <f>HYPERLINK("http://olx.in","olx.in")</f>
        <v>olx.in</v>
      </c>
      <c r="C24789" t="s">
        <v>457</v>
      </c>
      <c r="D24789" t="s">
        <v>834</v>
      </c>
      <c r="E24789">
        <v>5789</v>
      </c>
      <c r="F24789">
        <v>5.6646323798559202E-7</v>
      </c>
      <c r="G24789">
        <v>67544</v>
      </c>
      <c r="H24789">
        <v>17151852</v>
      </c>
      <c r="I24789">
        <v>51868</v>
      </c>
      <c r="J24789">
        <v>6</v>
      </c>
    </row>
    <row r="24790" spans="1:10" x14ac:dyDescent="0.25">
      <c r="A24790" t="s">
        <v>272</v>
      </c>
      <c r="B24790" s="1" t="str">
        <f>HYPERLINK("http://payu.in","payu.in")</f>
        <v>payu.in</v>
      </c>
      <c r="C24790" t="s">
        <v>457</v>
      </c>
      <c r="D24790" t="s">
        <v>834</v>
      </c>
      <c r="E24790">
        <v>3285</v>
      </c>
      <c r="F24790">
        <v>1.2485140863320501E-6</v>
      </c>
      <c r="G24790">
        <v>31209</v>
      </c>
      <c r="H24790">
        <v>15271366</v>
      </c>
      <c r="I24790">
        <v>388389</v>
      </c>
      <c r="J24790">
        <v>2</v>
      </c>
    </row>
    <row r="24791" spans="1:10" x14ac:dyDescent="0.25">
      <c r="A24791" t="s">
        <v>272</v>
      </c>
      <c r="B24791" s="1" t="str">
        <f>HYPERLINK("http://payubiz.in","payubiz.in")</f>
        <v>payubiz.in</v>
      </c>
      <c r="C24791" t="s">
        <v>457</v>
      </c>
      <c r="D24791" t="s">
        <v>834</v>
      </c>
      <c r="E24791">
        <v>118697</v>
      </c>
      <c r="F24791">
        <v>6.8175294891316499E-8</v>
      </c>
      <c r="G24791">
        <v>625911</v>
      </c>
      <c r="H24791">
        <v>13452306</v>
      </c>
      <c r="I24791">
        <v>10205047</v>
      </c>
      <c r="J24791">
        <v>2</v>
      </c>
    </row>
    <row r="24792" spans="1:10" x14ac:dyDescent="0.25">
      <c r="A24792" t="s">
        <v>272</v>
      </c>
      <c r="B24792" s="1" t="str">
        <f>HYPERLINK("http://payufin.in","payufin.in")</f>
        <v>payufin.in</v>
      </c>
      <c r="C24792" t="s">
        <v>457</v>
      </c>
      <c r="D24792" t="s">
        <v>834</v>
      </c>
      <c r="F24792">
        <v>2.4535385831879202E-8</v>
      </c>
      <c r="G24792">
        <v>2111308</v>
      </c>
      <c r="H24792">
        <v>13664134</v>
      </c>
      <c r="I24792">
        <v>9564823</v>
      </c>
      <c r="J24792">
        <v>2</v>
      </c>
    </row>
    <row r="24793" spans="1:10" x14ac:dyDescent="0.25">
      <c r="A24793" t="s">
        <v>272</v>
      </c>
      <c r="B24793" s="1" t="str">
        <f>HYPERLINK("http://pmny.in","pmny.in")</f>
        <v>pmny.in</v>
      </c>
      <c r="C24793" t="s">
        <v>457</v>
      </c>
      <c r="D24793" t="s">
        <v>834</v>
      </c>
      <c r="E24793">
        <v>304158</v>
      </c>
      <c r="F24793">
        <v>5.1690636278433702E-7</v>
      </c>
      <c r="G24793">
        <v>74285</v>
      </c>
      <c r="H24793">
        <v>14041786</v>
      </c>
      <c r="I24793">
        <v>3906880</v>
      </c>
      <c r="J24793">
        <v>2</v>
      </c>
    </row>
    <row r="24794" spans="1:10" x14ac:dyDescent="0.25">
      <c r="A24794" t="s">
        <v>272</v>
      </c>
      <c r="B24794" s="1" t="str">
        <f>HYPERLINK("http://prosus.it","prosus.it")</f>
        <v>prosus.it</v>
      </c>
      <c r="C24794" t="s">
        <v>459</v>
      </c>
      <c r="D24794" t="s">
        <v>835</v>
      </c>
      <c r="F24794">
        <v>7.4473965473765101E-9</v>
      </c>
      <c r="G24794">
        <v>11132986</v>
      </c>
      <c r="H24794">
        <v>12398206</v>
      </c>
      <c r="I24794">
        <v>18881382</v>
      </c>
      <c r="J24794">
        <v>5</v>
      </c>
    </row>
    <row r="24795" spans="1:10" x14ac:dyDescent="0.25">
      <c r="A24795" t="s">
        <v>272</v>
      </c>
      <c r="B24795" s="1" t="str">
        <f>HYPERLINK("http://olx.kz","olx.kz")</f>
        <v>olx.kz</v>
      </c>
      <c r="C24795" t="s">
        <v>465</v>
      </c>
      <c r="D24795" t="s">
        <v>841</v>
      </c>
      <c r="E24795">
        <v>10821</v>
      </c>
      <c r="F24795">
        <v>8.5463925523345894E-8</v>
      </c>
      <c r="G24795">
        <v>482278</v>
      </c>
      <c r="H24795">
        <v>14094950</v>
      </c>
      <c r="I24795">
        <v>2730646</v>
      </c>
      <c r="J24795">
        <v>5</v>
      </c>
    </row>
    <row r="24796" spans="1:10" x14ac:dyDescent="0.25">
      <c r="A24796" t="s">
        <v>272</v>
      </c>
      <c r="B24796" s="1" t="str">
        <f>HYPERLINK("http://emag.net","emag.net")</f>
        <v>emag.net</v>
      </c>
      <c r="C24796" t="s">
        <v>474</v>
      </c>
      <c r="E24796">
        <v>283828</v>
      </c>
      <c r="F24796">
        <v>4.7121506926032598E-8</v>
      </c>
      <c r="G24796">
        <v>990055</v>
      </c>
      <c r="H24796">
        <v>12357235</v>
      </c>
      <c r="I24796">
        <v>19639976</v>
      </c>
      <c r="J24796">
        <v>5</v>
      </c>
    </row>
    <row r="24797" spans="1:10" x14ac:dyDescent="0.25">
      <c r="A24797" t="s">
        <v>272</v>
      </c>
      <c r="B24797" s="1" t="str">
        <f>HYPERLINK("http://news24.com.ng","news24.com.ng")</f>
        <v>news24.com.ng</v>
      </c>
      <c r="C24797" t="s">
        <v>475</v>
      </c>
      <c r="D24797" t="s">
        <v>850</v>
      </c>
      <c r="F24797">
        <v>3.5133979555200502E-8</v>
      </c>
      <c r="G24797">
        <v>1479457</v>
      </c>
      <c r="H24797">
        <v>14697754</v>
      </c>
      <c r="I24797">
        <v>598550</v>
      </c>
      <c r="J24797">
        <v>5</v>
      </c>
    </row>
    <row r="24798" spans="1:10" x14ac:dyDescent="0.25">
      <c r="A24798" t="s">
        <v>272</v>
      </c>
      <c r="B24798" s="1" t="str">
        <f>HYPERLINK("http://payu.com.ng","payu.com.ng")</f>
        <v>payu.com.ng</v>
      </c>
      <c r="C24798" t="s">
        <v>475</v>
      </c>
      <c r="D24798" t="s">
        <v>850</v>
      </c>
      <c r="F24798">
        <v>2.4306589470536601E-8</v>
      </c>
      <c r="G24798">
        <v>2133217</v>
      </c>
      <c r="H24798">
        <v>12583472</v>
      </c>
      <c r="I24798">
        <v>16471912</v>
      </c>
      <c r="J24798">
        <v>4</v>
      </c>
    </row>
    <row r="24799" spans="1:10" x14ac:dyDescent="0.25">
      <c r="A24799" t="s">
        <v>272</v>
      </c>
      <c r="B24799" s="1" t="str">
        <f>HYPERLINK("http://olx.com.pe","olx.com.pe")</f>
        <v>olx.com.pe</v>
      </c>
      <c r="C24799" t="s">
        <v>483</v>
      </c>
      <c r="D24799" t="s">
        <v>857</v>
      </c>
      <c r="E24799">
        <v>584182</v>
      </c>
      <c r="F24799">
        <v>4.82281733391185E-8</v>
      </c>
      <c r="G24799">
        <v>963327</v>
      </c>
      <c r="H24799">
        <v>14149528</v>
      </c>
      <c r="I24799">
        <v>1880968</v>
      </c>
      <c r="J24799">
        <v>5</v>
      </c>
    </row>
    <row r="24800" spans="1:10" x14ac:dyDescent="0.25">
      <c r="A24800" t="s">
        <v>272</v>
      </c>
      <c r="B24800" s="1" t="str">
        <f>HYPERLINK("http://olx.com.pk","olx.com.pk")</f>
        <v>olx.com.pk</v>
      </c>
      <c r="C24800" t="s">
        <v>485</v>
      </c>
      <c r="D24800" t="s">
        <v>859</v>
      </c>
      <c r="E24800">
        <v>8532</v>
      </c>
      <c r="F24800">
        <v>1.00694255241654E-7</v>
      </c>
      <c r="G24800">
        <v>399377</v>
      </c>
      <c r="H24800">
        <v>14390578</v>
      </c>
      <c r="I24800">
        <v>1168142</v>
      </c>
      <c r="J24800">
        <v>5</v>
      </c>
    </row>
    <row r="24801" spans="1:10" x14ac:dyDescent="0.25">
      <c r="A24801" t="s">
        <v>272</v>
      </c>
      <c r="B24801" s="1" t="str">
        <f>HYPERLINK("http://fixly.pl","fixly.pl")</f>
        <v>fixly.pl</v>
      </c>
      <c r="C24801" t="s">
        <v>486</v>
      </c>
      <c r="D24801" t="s">
        <v>860</v>
      </c>
      <c r="E24801">
        <v>148369</v>
      </c>
      <c r="F24801">
        <v>2.18883569070533E-7</v>
      </c>
      <c r="G24801">
        <v>172218</v>
      </c>
      <c r="H24801">
        <v>14277289</v>
      </c>
      <c r="I24801">
        <v>1387997</v>
      </c>
      <c r="J24801">
        <v>5</v>
      </c>
    </row>
    <row r="24802" spans="1:10" x14ac:dyDescent="0.25">
      <c r="A24802" t="s">
        <v>272</v>
      </c>
      <c r="B24802" s="1" t="str">
        <f>HYPERLINK("http://olx.pl","olx.pl")</f>
        <v>olx.pl</v>
      </c>
      <c r="C24802" t="s">
        <v>486</v>
      </c>
      <c r="D24802" t="s">
        <v>860</v>
      </c>
      <c r="E24802">
        <v>2725</v>
      </c>
      <c r="F24802">
        <v>1.42006516168959E-6</v>
      </c>
      <c r="G24802">
        <v>27573</v>
      </c>
      <c r="H24802">
        <v>17520490</v>
      </c>
      <c r="I24802">
        <v>12672</v>
      </c>
      <c r="J24802">
        <v>4</v>
      </c>
    </row>
    <row r="24803" spans="1:10" x14ac:dyDescent="0.25">
      <c r="A24803" t="s">
        <v>272</v>
      </c>
      <c r="B24803" s="1" t="str">
        <f>HYPERLINK("http://payu.pl","payu.pl")</f>
        <v>payu.pl</v>
      </c>
      <c r="C24803" t="s">
        <v>486</v>
      </c>
      <c r="D24803" t="s">
        <v>860</v>
      </c>
      <c r="E24803">
        <v>267453</v>
      </c>
      <c r="F24803">
        <v>1.69391745321645E-6</v>
      </c>
      <c r="G24803">
        <v>23476</v>
      </c>
      <c r="H24803">
        <v>17257514</v>
      </c>
      <c r="I24803">
        <v>32985</v>
      </c>
      <c r="J24803">
        <v>4</v>
      </c>
    </row>
    <row r="24804" spans="1:10" x14ac:dyDescent="0.25">
      <c r="A24804" t="s">
        <v>272</v>
      </c>
      <c r="B24804" s="1" t="str">
        <f>HYPERLINK("http://olx.pt","olx.pt")</f>
        <v>olx.pt</v>
      </c>
      <c r="C24804" t="s">
        <v>488</v>
      </c>
      <c r="D24804" t="s">
        <v>862</v>
      </c>
      <c r="E24804">
        <v>14844</v>
      </c>
      <c r="F24804">
        <v>1.9469131147159999E-7</v>
      </c>
      <c r="G24804">
        <v>198029</v>
      </c>
      <c r="H24804">
        <v>17172832</v>
      </c>
      <c r="I24804">
        <v>47109</v>
      </c>
      <c r="J24804">
        <v>5</v>
      </c>
    </row>
    <row r="24805" spans="1:10" x14ac:dyDescent="0.25">
      <c r="A24805" t="s">
        <v>272</v>
      </c>
      <c r="B24805" s="1" t="str">
        <f>HYPERLINK("http://edigital.ro","edigital.ro")</f>
        <v>edigital.ro</v>
      </c>
      <c r="C24805" t="s">
        <v>491</v>
      </c>
      <c r="D24805" t="s">
        <v>865</v>
      </c>
      <c r="F24805">
        <v>1.13251299959586E-8</v>
      </c>
      <c r="G24805">
        <v>5625236</v>
      </c>
      <c r="H24805">
        <v>12783253</v>
      </c>
      <c r="I24805">
        <v>14727398</v>
      </c>
      <c r="J24805">
        <v>6</v>
      </c>
    </row>
    <row r="24806" spans="1:10" x14ac:dyDescent="0.25">
      <c r="A24806" t="s">
        <v>272</v>
      </c>
      <c r="B24806" s="1" t="str">
        <f>HYPERLINK("http://emag.ro","emag.ro")</f>
        <v>emag.ro</v>
      </c>
      <c r="C24806" t="s">
        <v>491</v>
      </c>
      <c r="D24806" t="s">
        <v>865</v>
      </c>
      <c r="E24806">
        <v>5678</v>
      </c>
      <c r="F24806">
        <v>1.33372575787487E-6</v>
      </c>
      <c r="G24806">
        <v>29130</v>
      </c>
      <c r="H24806">
        <v>17580386</v>
      </c>
      <c r="I24806">
        <v>10292</v>
      </c>
      <c r="J24806">
        <v>4</v>
      </c>
    </row>
    <row r="24807" spans="1:10" x14ac:dyDescent="0.25">
      <c r="A24807" t="s">
        <v>272</v>
      </c>
      <c r="B24807" s="1" t="str">
        <f>HYPERLINK("http://olx.ro","olx.ro")</f>
        <v>olx.ro</v>
      </c>
      <c r="C24807" t="s">
        <v>491</v>
      </c>
      <c r="D24807" t="s">
        <v>865</v>
      </c>
      <c r="E24807">
        <v>7092</v>
      </c>
      <c r="F24807">
        <v>2.41896054464066E-7</v>
      </c>
      <c r="G24807">
        <v>154666</v>
      </c>
      <c r="H24807">
        <v>17219002</v>
      </c>
      <c r="I24807">
        <v>38613</v>
      </c>
      <c r="J24807">
        <v>5</v>
      </c>
    </row>
    <row r="24808" spans="1:10" x14ac:dyDescent="0.25">
      <c r="A24808" t="s">
        <v>272</v>
      </c>
      <c r="B24808" s="1" t="str">
        <f>HYPERLINK("http://payu.ro","payu.ro")</f>
        <v>payu.ro</v>
      </c>
      <c r="C24808" t="s">
        <v>491</v>
      </c>
      <c r="D24808" t="s">
        <v>865</v>
      </c>
      <c r="E24808">
        <v>80115</v>
      </c>
      <c r="F24808">
        <v>3.54970112253416E-7</v>
      </c>
      <c r="G24808">
        <v>105302</v>
      </c>
      <c r="H24808">
        <v>16929832</v>
      </c>
      <c r="I24808">
        <v>118713</v>
      </c>
      <c r="J24808">
        <v>4</v>
      </c>
    </row>
    <row r="24809" spans="1:10" x14ac:dyDescent="0.25">
      <c r="A24809" t="s">
        <v>272</v>
      </c>
      <c r="B24809" s="1" t="str">
        <f>HYPERLINK("http://sameday.ro","sameday.ro")</f>
        <v>sameday.ro</v>
      </c>
      <c r="C24809" t="s">
        <v>491</v>
      </c>
      <c r="D24809" t="s">
        <v>865</v>
      </c>
      <c r="E24809">
        <v>84445</v>
      </c>
      <c r="F24809">
        <v>2.2975687879515201E-7</v>
      </c>
      <c r="G24809">
        <v>163632</v>
      </c>
      <c r="H24809">
        <v>14600789</v>
      </c>
      <c r="I24809">
        <v>685642</v>
      </c>
      <c r="J24809">
        <v>8</v>
      </c>
    </row>
    <row r="24810" spans="1:10" x14ac:dyDescent="0.25">
      <c r="A24810" t="s">
        <v>272</v>
      </c>
      <c r="B24810" s="1" t="str">
        <f>HYPERLINK("http://payu.ru","payu.ru")</f>
        <v>payu.ru</v>
      </c>
      <c r="C24810" t="s">
        <v>493</v>
      </c>
      <c r="D24810" t="s">
        <v>867</v>
      </c>
      <c r="E24810">
        <v>157806</v>
      </c>
      <c r="F24810">
        <v>1.8690961463060801E-7</v>
      </c>
      <c r="G24810">
        <v>206169</v>
      </c>
      <c r="H24810">
        <v>16773259</v>
      </c>
      <c r="I24810">
        <v>221267</v>
      </c>
      <c r="J24810">
        <v>4</v>
      </c>
    </row>
    <row r="24811" spans="1:10" x14ac:dyDescent="0.25">
      <c r="A24811" t="s">
        <v>272</v>
      </c>
      <c r="B24811" s="1" t="str">
        <f>HYPERLINK("http://edigital.si","edigital.si")</f>
        <v>edigital.si</v>
      </c>
      <c r="C24811" t="s">
        <v>497</v>
      </c>
      <c r="D24811" t="s">
        <v>871</v>
      </c>
      <c r="F24811">
        <v>7.2978608525797602E-9</v>
      </c>
      <c r="G24811">
        <v>11486223</v>
      </c>
      <c r="H24811">
        <v>12845240</v>
      </c>
      <c r="I24811">
        <v>14318795</v>
      </c>
      <c r="J24811">
        <v>6</v>
      </c>
    </row>
    <row r="24812" spans="1:10" x14ac:dyDescent="0.25">
      <c r="A24812" t="s">
        <v>272</v>
      </c>
      <c r="B24812" s="1" t="str">
        <f>HYPERLINK("http://edigital.sk","edigital.sk")</f>
        <v>edigital.sk</v>
      </c>
      <c r="C24812" t="s">
        <v>498</v>
      </c>
      <c r="D24812" t="s">
        <v>872</v>
      </c>
      <c r="F24812">
        <v>7.6287427715142794E-9</v>
      </c>
      <c r="G24812">
        <v>10732286</v>
      </c>
      <c r="H24812">
        <v>12445427</v>
      </c>
      <c r="I24812">
        <v>18080721</v>
      </c>
      <c r="J24812">
        <v>6</v>
      </c>
    </row>
    <row r="24813" spans="1:10" x14ac:dyDescent="0.25">
      <c r="A24813" t="s">
        <v>272</v>
      </c>
      <c r="B24813" s="1" t="str">
        <f>HYPERLINK("http://payu.com.tr","payu.com.tr")</f>
        <v>payu.com.tr</v>
      </c>
      <c r="C24813" t="s">
        <v>502</v>
      </c>
      <c r="D24813" t="s">
        <v>876</v>
      </c>
      <c r="F24813">
        <v>5.2561053758110499E-8</v>
      </c>
      <c r="G24813">
        <v>867435</v>
      </c>
      <c r="H24813">
        <v>12978608</v>
      </c>
      <c r="I24813">
        <v>12998950</v>
      </c>
      <c r="J24813">
        <v>4</v>
      </c>
    </row>
    <row r="24814" spans="1:10" x14ac:dyDescent="0.25">
      <c r="A24814" t="s">
        <v>272</v>
      </c>
      <c r="B24814" s="1" t="str">
        <f>HYPERLINK("http://olx.ua","olx.ua")</f>
        <v>olx.ua</v>
      </c>
      <c r="C24814" t="s">
        <v>505</v>
      </c>
      <c r="D24814" t="s">
        <v>879</v>
      </c>
      <c r="E24814">
        <v>2503</v>
      </c>
      <c r="F24814">
        <v>5.7938588030462803E-7</v>
      </c>
      <c r="G24814">
        <v>65941</v>
      </c>
      <c r="H24814">
        <v>17375268</v>
      </c>
      <c r="I24814">
        <v>21035</v>
      </c>
      <c r="J24814">
        <v>4</v>
      </c>
    </row>
    <row r="24815" spans="1:10" x14ac:dyDescent="0.25">
      <c r="A24815" t="s">
        <v>272</v>
      </c>
      <c r="B24815" s="1" t="str">
        <f>HYPERLINK("http://olx.uz","olx.uz")</f>
        <v>olx.uz</v>
      </c>
      <c r="C24815" t="s">
        <v>560</v>
      </c>
      <c r="D24815" t="s">
        <v>910</v>
      </c>
      <c r="E24815">
        <v>9606</v>
      </c>
      <c r="F24815">
        <v>7.7635011258300295E-8</v>
      </c>
      <c r="G24815">
        <v>539051</v>
      </c>
      <c r="H24815">
        <v>16881040</v>
      </c>
      <c r="I24815">
        <v>139092</v>
      </c>
      <c r="J24815">
        <v>5</v>
      </c>
    </row>
    <row r="24816" spans="1:10" x14ac:dyDescent="0.25">
      <c r="A24816" t="s">
        <v>272</v>
      </c>
      <c r="B24816" s="1" t="str">
        <f>HYPERLINK("http://beeld.co.za","beeld.co.za")</f>
        <v>beeld.co.za</v>
      </c>
      <c r="C24816" t="s">
        <v>510</v>
      </c>
      <c r="D24816" t="s">
        <v>884</v>
      </c>
      <c r="F24816">
        <v>5.49313818676068E-9</v>
      </c>
      <c r="G24816">
        <v>20977683</v>
      </c>
      <c r="H24816">
        <v>14374238</v>
      </c>
      <c r="I24816">
        <v>1244961</v>
      </c>
      <c r="J24816">
        <v>4</v>
      </c>
    </row>
    <row r="24817" spans="1:10" x14ac:dyDescent="0.25">
      <c r="A24817" t="s">
        <v>272</v>
      </c>
      <c r="B24817" s="1" t="str">
        <f>HYPERLINK("http://citizen.co.za","citizen.co.za")</f>
        <v>citizen.co.za</v>
      </c>
      <c r="C24817" t="s">
        <v>510</v>
      </c>
      <c r="D24817" t="s">
        <v>884</v>
      </c>
      <c r="E24817">
        <v>26442</v>
      </c>
      <c r="F24817">
        <v>7.3529011033946697E-7</v>
      </c>
      <c r="G24817">
        <v>52958</v>
      </c>
      <c r="H24817">
        <v>17368570</v>
      </c>
      <c r="I24817">
        <v>21549</v>
      </c>
      <c r="J24817">
        <v>4</v>
      </c>
    </row>
    <row r="24818" spans="1:10" x14ac:dyDescent="0.25">
      <c r="A24818" t="s">
        <v>272</v>
      </c>
      <c r="B24818" s="1" t="str">
        <f>HYPERLINK("http://citypress.co.za","citypress.co.za")</f>
        <v>citypress.co.za</v>
      </c>
      <c r="C24818" t="s">
        <v>510</v>
      </c>
      <c r="D24818" t="s">
        <v>884</v>
      </c>
      <c r="E24818">
        <v>451188</v>
      </c>
      <c r="F24818">
        <v>1.4113172705608601E-7</v>
      </c>
      <c r="G24818">
        <v>275967</v>
      </c>
      <c r="H24818">
        <v>15099114</v>
      </c>
      <c r="I24818">
        <v>406622</v>
      </c>
      <c r="J24818">
        <v>4</v>
      </c>
    </row>
    <row r="24819" spans="1:10" x14ac:dyDescent="0.25">
      <c r="A24819" t="s">
        <v>272</v>
      </c>
      <c r="B24819" s="1" t="str">
        <f>HYPERLINK("http://dailysun.co.za","dailysun.co.za")</f>
        <v>dailysun.co.za</v>
      </c>
      <c r="C24819" t="s">
        <v>510</v>
      </c>
      <c r="D24819" t="s">
        <v>884</v>
      </c>
      <c r="E24819">
        <v>343696</v>
      </c>
      <c r="F24819">
        <v>6.9637448309422195E-8</v>
      </c>
      <c r="G24819">
        <v>609442</v>
      </c>
      <c r="H24819">
        <v>14551879</v>
      </c>
      <c r="I24819">
        <v>757541</v>
      </c>
      <c r="J24819">
        <v>4</v>
      </c>
    </row>
    <row r="24820" spans="1:10" x14ac:dyDescent="0.25">
      <c r="A24820" t="s">
        <v>272</v>
      </c>
      <c r="B24820" s="1" t="str">
        <f>HYPERLINK("http://news24.co.za","news24.co.za")</f>
        <v>news24.co.za</v>
      </c>
      <c r="C24820" t="s">
        <v>510</v>
      </c>
      <c r="D24820" t="s">
        <v>884</v>
      </c>
      <c r="F24820">
        <v>1.5704080061258E-8</v>
      </c>
      <c r="G24820">
        <v>3626324</v>
      </c>
      <c r="H24820">
        <v>14162358</v>
      </c>
      <c r="I24820">
        <v>1832868</v>
      </c>
      <c r="J24820">
        <v>5</v>
      </c>
    </row>
    <row r="24821" spans="1:10" x14ac:dyDescent="0.25">
      <c r="A24821" t="s">
        <v>272</v>
      </c>
      <c r="B24821" s="1" t="str">
        <f>HYPERLINK("http://olx.co.za","olx.co.za")</f>
        <v>olx.co.za</v>
      </c>
      <c r="C24821" t="s">
        <v>510</v>
      </c>
      <c r="D24821" t="s">
        <v>884</v>
      </c>
      <c r="E24821">
        <v>263923</v>
      </c>
      <c r="F24821">
        <v>8.0699396652240099E-8</v>
      </c>
      <c r="G24821">
        <v>517469</v>
      </c>
      <c r="H24821">
        <v>14666266</v>
      </c>
      <c r="I24821">
        <v>616950</v>
      </c>
      <c r="J24821">
        <v>7</v>
      </c>
    </row>
    <row r="24822" spans="1:10" x14ac:dyDescent="0.25">
      <c r="A24822" t="s">
        <v>272</v>
      </c>
      <c r="B24822" s="1" t="str">
        <f>HYPERLINK("http://rapport.co.za","rapport.co.za")</f>
        <v>rapport.co.za</v>
      </c>
      <c r="C24822" t="s">
        <v>510</v>
      </c>
      <c r="D24822" t="s">
        <v>884</v>
      </c>
      <c r="F24822">
        <v>1.9718359225289999E-8</v>
      </c>
      <c r="G24822">
        <v>2706177</v>
      </c>
      <c r="H24822">
        <v>14813061</v>
      </c>
      <c r="I24822">
        <v>528887</v>
      </c>
      <c r="J24822">
        <v>4</v>
      </c>
    </row>
    <row r="24823" spans="1:10" x14ac:dyDescent="0.25">
      <c r="A24823" t="s">
        <v>272</v>
      </c>
      <c r="B24823" s="1" t="str">
        <f>HYPERLINK("http://thecitizen.co.za","thecitizen.co.za")</f>
        <v>thecitizen.co.za</v>
      </c>
      <c r="C24823" t="s">
        <v>510</v>
      </c>
      <c r="D24823" t="s">
        <v>884</v>
      </c>
      <c r="F24823">
        <v>5.3660932352160803E-9</v>
      </c>
      <c r="G24823">
        <v>22590535</v>
      </c>
      <c r="H24823">
        <v>14119938</v>
      </c>
      <c r="I24823">
        <v>2416674</v>
      </c>
      <c r="J24823">
        <v>8</v>
      </c>
    </row>
    <row r="24824" spans="1:10" x14ac:dyDescent="0.25">
      <c r="A24824" t="s">
        <v>272</v>
      </c>
      <c r="B24824" s="1" t="str">
        <f>HYPERLINK("http://witness.co.za","witness.co.za")</f>
        <v>witness.co.za</v>
      </c>
      <c r="C24824" t="s">
        <v>510</v>
      </c>
      <c r="D24824" t="s">
        <v>884</v>
      </c>
      <c r="E24824">
        <v>882151</v>
      </c>
      <c r="F24824">
        <v>7.2239765718152197E-8</v>
      </c>
      <c r="G24824">
        <v>584306</v>
      </c>
      <c r="H24824">
        <v>17131820</v>
      </c>
      <c r="I24824">
        <v>56317</v>
      </c>
      <c r="J24824">
        <v>6</v>
      </c>
    </row>
    <row r="24825" spans="1:10" x14ac:dyDescent="0.25">
      <c r="A24825" t="s">
        <v>273</v>
      </c>
      <c r="B24825" s="1" t="str">
        <f>HYPERLINK("http://jbwere.com.au","jbwere.com.au")</f>
        <v>jbwere.com.au</v>
      </c>
      <c r="C24825" t="s">
        <v>420</v>
      </c>
      <c r="D24825" t="s">
        <v>802</v>
      </c>
      <c r="E24825">
        <v>20926</v>
      </c>
      <c r="F24825">
        <v>1.91918006410306E-8</v>
      </c>
      <c r="G24825">
        <v>2799992</v>
      </c>
      <c r="H24825">
        <v>13460633</v>
      </c>
      <c r="I24825">
        <v>10165781</v>
      </c>
      <c r="J24825">
        <v>4</v>
      </c>
    </row>
    <row r="24826" spans="1:10" x14ac:dyDescent="0.25">
      <c r="A24826" t="s">
        <v>273</v>
      </c>
      <c r="B24826" s="1" t="str">
        <f>HYPERLINK("http://nab.com.au","nab.com.au")</f>
        <v>nab.com.au</v>
      </c>
      <c r="C24826" t="s">
        <v>420</v>
      </c>
      <c r="D24826" t="s">
        <v>802</v>
      </c>
      <c r="E24826">
        <v>3329</v>
      </c>
      <c r="F24826">
        <v>1.4904980845090799E-6</v>
      </c>
      <c r="G24826">
        <v>26293</v>
      </c>
      <c r="H24826">
        <v>17767580</v>
      </c>
      <c r="I24826">
        <v>6057</v>
      </c>
      <c r="J24826">
        <v>1</v>
      </c>
    </row>
    <row r="24827" spans="1:10" x14ac:dyDescent="0.25">
      <c r="A24827" t="s">
        <v>273</v>
      </c>
      <c r="B24827" s="1" t="str">
        <f>HYPERLINK("http://nab.co","nab.co")</f>
        <v>nab.co</v>
      </c>
      <c r="C24827" t="s">
        <v>432</v>
      </c>
      <c r="F24827">
        <v>5.1947730211764796E-9</v>
      </c>
      <c r="G24827">
        <v>25256331</v>
      </c>
      <c r="H24827">
        <v>12260832</v>
      </c>
      <c r="I24827">
        <v>21746820</v>
      </c>
      <c r="J24827">
        <v>2</v>
      </c>
    </row>
    <row r="24828" spans="1:10" x14ac:dyDescent="0.25">
      <c r="A24828" t="s">
        <v>273</v>
      </c>
      <c r="B24828" s="1" t="str">
        <f>HYPERLINK("http://jbwere.com","jbwere.com")</f>
        <v>jbwere.com</v>
      </c>
      <c r="C24828" t="s">
        <v>433</v>
      </c>
      <c r="F24828">
        <v>4.7260327645257301E-9</v>
      </c>
      <c r="G24828">
        <v>39540402</v>
      </c>
      <c r="H24828">
        <v>10945410</v>
      </c>
      <c r="I24828">
        <v>34690853</v>
      </c>
      <c r="J24828">
        <v>7</v>
      </c>
    </row>
    <row r="24829" spans="1:10" x14ac:dyDescent="0.25">
      <c r="A24829" t="s">
        <v>273</v>
      </c>
      <c r="B24829" s="1" t="str">
        <f>HYPERLINK("http://nab.com","nab.com")</f>
        <v>nab.com</v>
      </c>
      <c r="C24829" t="s">
        <v>433</v>
      </c>
      <c r="F24829">
        <v>9.2286243505603599E-9</v>
      </c>
      <c r="G24829">
        <v>7671955</v>
      </c>
      <c r="H24829">
        <v>14126428</v>
      </c>
      <c r="I24829">
        <v>2100299</v>
      </c>
      <c r="J24829">
        <v>2</v>
      </c>
    </row>
    <row r="24830" spans="1:10" x14ac:dyDescent="0.25">
      <c r="A24830" t="s">
        <v>273</v>
      </c>
      <c r="B24830" s="1" t="str">
        <f>HYPERLINK("http://nabgroup.com","nabgroup.com")</f>
        <v>nabgroup.com</v>
      </c>
      <c r="C24830" t="s">
        <v>433</v>
      </c>
      <c r="E24830">
        <v>632425</v>
      </c>
      <c r="F24830">
        <v>3.8603682267254198E-8</v>
      </c>
      <c r="G24830">
        <v>1335801</v>
      </c>
      <c r="H24830">
        <v>14539128</v>
      </c>
      <c r="I24830">
        <v>776731</v>
      </c>
      <c r="J24830">
        <v>2</v>
      </c>
    </row>
    <row r="24831" spans="1:10" x14ac:dyDescent="0.25">
      <c r="A24831" t="s">
        <v>273</v>
      </c>
      <c r="B24831" s="1" t="str">
        <f>HYPERLINK("http://bnzras.net","bnzras.net")</f>
        <v>bnzras.net</v>
      </c>
      <c r="C24831" t="s">
        <v>474</v>
      </c>
      <c r="F24831">
        <v>4.4438097996714899E-9</v>
      </c>
      <c r="G24831">
        <v>79698561</v>
      </c>
      <c r="H24831">
        <v>9692421</v>
      </c>
      <c r="I24831">
        <v>63522089</v>
      </c>
      <c r="J24831">
        <v>2</v>
      </c>
    </row>
    <row r="24832" spans="1:10" x14ac:dyDescent="0.25">
      <c r="A24832" t="s">
        <v>273</v>
      </c>
      <c r="B24832" s="1" t="str">
        <f>HYPERLINK("http://bnz.co.nz","bnz.co.nz")</f>
        <v>bnz.co.nz</v>
      </c>
      <c r="C24832" t="s">
        <v>479</v>
      </c>
      <c r="D24832" t="s">
        <v>854</v>
      </c>
      <c r="E24832">
        <v>61593</v>
      </c>
      <c r="F24832">
        <v>3.2758707086188101E-7</v>
      </c>
      <c r="G24832">
        <v>113694</v>
      </c>
      <c r="H24832">
        <v>15218746</v>
      </c>
      <c r="I24832">
        <v>393529</v>
      </c>
      <c r="J24832">
        <v>3</v>
      </c>
    </row>
    <row r="24833" spans="1:10" x14ac:dyDescent="0.25">
      <c r="A24833" t="s">
        <v>273</v>
      </c>
      <c r="B24833" s="1" t="str">
        <f>HYPERLINK("http://jbwere.co.nz","jbwere.co.nz")</f>
        <v>jbwere.co.nz</v>
      </c>
      <c r="C24833" t="s">
        <v>479</v>
      </c>
      <c r="D24833" t="s">
        <v>854</v>
      </c>
      <c r="E24833">
        <v>70157</v>
      </c>
      <c r="F24833">
        <v>1.21081510068814E-8</v>
      </c>
      <c r="G24833">
        <v>5105716</v>
      </c>
      <c r="H24833">
        <v>13945653</v>
      </c>
      <c r="I24833">
        <v>4235649</v>
      </c>
      <c r="J24833">
        <v>4</v>
      </c>
    </row>
    <row r="24834" spans="1:10" x14ac:dyDescent="0.25">
      <c r="A24834" t="s">
        <v>274</v>
      </c>
      <c r="B24834" s="1" t="str">
        <f>HYPERLINK("http://elia.be","elia.be")</f>
        <v>elia.be</v>
      </c>
      <c r="C24834" t="s">
        <v>421</v>
      </c>
      <c r="D24834" t="s">
        <v>803</v>
      </c>
      <c r="E24834">
        <v>143068</v>
      </c>
      <c r="F24834">
        <v>3.2385492110168402E-7</v>
      </c>
      <c r="G24834">
        <v>114967</v>
      </c>
      <c r="H24834">
        <v>17165112</v>
      </c>
      <c r="I24834">
        <v>48826</v>
      </c>
      <c r="J24834">
        <v>7</v>
      </c>
    </row>
    <row r="24835" spans="1:10" x14ac:dyDescent="0.25">
      <c r="A24835" t="s">
        <v>274</v>
      </c>
      <c r="B24835" s="1" t="str">
        <f>HYPERLINK("http://planfederaldedeveloppementelia.be","planfederaldedeveloppementelia.be")</f>
        <v>planfederaldedeveloppementelia.be</v>
      </c>
      <c r="C24835" t="s">
        <v>421</v>
      </c>
      <c r="D24835" t="s">
        <v>803</v>
      </c>
      <c r="F24835">
        <v>7.9600177283599093E-9</v>
      </c>
      <c r="G24835">
        <v>9994922</v>
      </c>
      <c r="H24835">
        <v>12098898</v>
      </c>
      <c r="I24835">
        <v>25997808</v>
      </c>
      <c r="J24835">
        <v>8</v>
      </c>
    </row>
    <row r="24836" spans="1:10" x14ac:dyDescent="0.25">
      <c r="A24836" t="s">
        <v>274</v>
      </c>
      <c r="B24836" s="1" t="str">
        <f>HYPERLINK("http://bci.ca","bci.ca")</f>
        <v>bci.ca</v>
      </c>
      <c r="C24836" t="s">
        <v>428</v>
      </c>
      <c r="D24836" t="s">
        <v>809</v>
      </c>
      <c r="F24836">
        <v>1.0574952015667E-7</v>
      </c>
      <c r="G24836">
        <v>378773</v>
      </c>
      <c r="H24836">
        <v>14346184</v>
      </c>
      <c r="I24836">
        <v>1312100</v>
      </c>
      <c r="J24836">
        <v>4</v>
      </c>
    </row>
    <row r="24837" spans="1:10" x14ac:dyDescent="0.25">
      <c r="A24837" t="s">
        <v>274</v>
      </c>
      <c r="B24837" s="1" t="str">
        <f>HYPERLINK("http://50hertz.com","50hertz.com")</f>
        <v>50hertz.com</v>
      </c>
      <c r="C24837" t="s">
        <v>433</v>
      </c>
      <c r="E24837">
        <v>313953</v>
      </c>
      <c r="F24837">
        <v>2.9170206016463198E-7</v>
      </c>
      <c r="G24837">
        <v>127583</v>
      </c>
      <c r="H24837">
        <v>15095595</v>
      </c>
      <c r="I24837">
        <v>407123</v>
      </c>
      <c r="J24837">
        <v>8</v>
      </c>
    </row>
    <row r="24838" spans="1:10" x14ac:dyDescent="0.25">
      <c r="A24838" t="s">
        <v>274</v>
      </c>
      <c r="B24838" s="1" t="str">
        <f>HYPERLINK("http://bcimc.com","bcimc.com")</f>
        <v>bcimc.com</v>
      </c>
      <c r="C24838" t="s">
        <v>433</v>
      </c>
      <c r="F24838">
        <v>2.91947745893198E-8</v>
      </c>
      <c r="G24838">
        <v>1764248</v>
      </c>
      <c r="H24838">
        <v>13844552</v>
      </c>
      <c r="I24838">
        <v>6063670</v>
      </c>
      <c r="J24838">
        <v>7</v>
      </c>
    </row>
    <row r="24839" spans="1:10" x14ac:dyDescent="0.25">
      <c r="A24839" t="s">
        <v>274</v>
      </c>
      <c r="B24839" s="1" t="str">
        <f>HYPERLINK("http://britned.com","britned.com")</f>
        <v>britned.com</v>
      </c>
      <c r="C24839" t="s">
        <v>433</v>
      </c>
      <c r="F24839">
        <v>1.6480069275085399E-8</v>
      </c>
      <c r="G24839">
        <v>3418773</v>
      </c>
      <c r="H24839">
        <v>13352381</v>
      </c>
      <c r="I24839">
        <v>10608316</v>
      </c>
      <c r="J24839">
        <v>4</v>
      </c>
    </row>
    <row r="24840" spans="1:10" x14ac:dyDescent="0.25">
      <c r="A24840" t="s">
        <v>274</v>
      </c>
      <c r="B24840" s="1" t="str">
        <f>HYPERLINK("http://eg-international.com","eg-international.com")</f>
        <v>eg-international.com</v>
      </c>
      <c r="C24840" t="s">
        <v>433</v>
      </c>
      <c r="F24840">
        <v>4.4526893838900104E-9</v>
      </c>
      <c r="G24840">
        <v>70541722</v>
      </c>
      <c r="H24840">
        <v>11916361</v>
      </c>
      <c r="I24840">
        <v>29396193</v>
      </c>
      <c r="J24840">
        <v>8</v>
      </c>
    </row>
    <row r="24841" spans="1:10" x14ac:dyDescent="0.25">
      <c r="A24841" t="s">
        <v>274</v>
      </c>
      <c r="B24841" s="1" t="str">
        <f>HYPERLINK("http://elexon.com","elexon.com")</f>
        <v>elexon.com</v>
      </c>
      <c r="C24841" t="s">
        <v>433</v>
      </c>
      <c r="F24841">
        <v>1.72508595987123E-8</v>
      </c>
      <c r="G24841">
        <v>3211344</v>
      </c>
      <c r="H24841">
        <v>12276370</v>
      </c>
      <c r="I24841">
        <v>21383733</v>
      </c>
      <c r="J24841">
        <v>7</v>
      </c>
    </row>
    <row r="24842" spans="1:10" x14ac:dyDescent="0.25">
      <c r="A24842" t="s">
        <v>274</v>
      </c>
      <c r="B24842" s="1" t="str">
        <f>HYPERLINK("http://eurogrid.com","eurogrid.com")</f>
        <v>eurogrid.com</v>
      </c>
      <c r="C24842" t="s">
        <v>433</v>
      </c>
      <c r="F24842">
        <v>9.13507161955273E-9</v>
      </c>
      <c r="G24842">
        <v>7798817</v>
      </c>
      <c r="H24842">
        <v>14072184</v>
      </c>
      <c r="I24842">
        <v>3142114</v>
      </c>
      <c r="J24842">
        <v>8</v>
      </c>
    </row>
    <row r="24843" spans="1:10" x14ac:dyDescent="0.25">
      <c r="A24843" t="s">
        <v>274</v>
      </c>
      <c r="B24843" s="1" t="str">
        <f>HYPERLINK("http://geronimoenergy.com","geronimoenergy.com")</f>
        <v>geronimoenergy.com</v>
      </c>
      <c r="C24843" t="s">
        <v>433</v>
      </c>
      <c r="F24843">
        <v>4.3205704776330103E-8</v>
      </c>
      <c r="G24843">
        <v>1110632</v>
      </c>
      <c r="H24843">
        <v>13465797</v>
      </c>
      <c r="I24843">
        <v>10059541</v>
      </c>
      <c r="J24843">
        <v>6</v>
      </c>
    </row>
    <row r="24844" spans="1:10" x14ac:dyDescent="0.25">
      <c r="A24844" t="s">
        <v>274</v>
      </c>
      <c r="B24844" s="1" t="str">
        <f>HYPERLINK("http://metro-westrealty.com","metro-westrealty.com")</f>
        <v>metro-westrealty.com</v>
      </c>
      <c r="C24844" t="s">
        <v>433</v>
      </c>
      <c r="F24844">
        <v>4.4507696445627398E-9</v>
      </c>
      <c r="G24844">
        <v>71525369</v>
      </c>
      <c r="H24844">
        <v>10346737</v>
      </c>
      <c r="I24844">
        <v>56797486</v>
      </c>
      <c r="J24844">
        <v>3</v>
      </c>
    </row>
    <row r="24845" spans="1:10" x14ac:dyDescent="0.25">
      <c r="A24845" t="s">
        <v>274</v>
      </c>
      <c r="B24845" s="1" t="str">
        <f>HYPERLINK("http://nationalgas.com","nationalgas.com")</f>
        <v>nationalgas.com</v>
      </c>
      <c r="C24845" t="s">
        <v>433</v>
      </c>
      <c r="F24845">
        <v>6.1259838529343698E-9</v>
      </c>
      <c r="G24845">
        <v>15946815</v>
      </c>
      <c r="H24845">
        <v>12253281</v>
      </c>
      <c r="I24845">
        <v>21934619</v>
      </c>
      <c r="J24845">
        <v>3</v>
      </c>
    </row>
    <row r="24846" spans="1:10" x14ac:dyDescent="0.25">
      <c r="A24846" t="s">
        <v>274</v>
      </c>
      <c r="B24846" s="1" t="str">
        <f>HYPERLINK("http://nationalgrid.com","nationalgrid.com")</f>
        <v>nationalgrid.com</v>
      </c>
      <c r="C24846" t="s">
        <v>433</v>
      </c>
      <c r="E24846">
        <v>20326</v>
      </c>
      <c r="F24846">
        <v>1.20419709860127E-6</v>
      </c>
      <c r="G24846">
        <v>32413</v>
      </c>
      <c r="H24846">
        <v>17455350</v>
      </c>
      <c r="I24846">
        <v>15867</v>
      </c>
      <c r="J24846">
        <v>1</v>
      </c>
    </row>
    <row r="24847" spans="1:10" x14ac:dyDescent="0.25">
      <c r="A24847" t="s">
        <v>274</v>
      </c>
      <c r="B24847" s="1" t="str">
        <f>HYPERLINK("http://nationalgrideso.com","nationalgrideso.com")</f>
        <v>nationalgrideso.com</v>
      </c>
      <c r="C24847" t="s">
        <v>433</v>
      </c>
      <c r="E24847">
        <v>193593</v>
      </c>
      <c r="F24847">
        <v>3.8435509629939701E-7</v>
      </c>
      <c r="G24847">
        <v>97415</v>
      </c>
      <c r="H24847">
        <v>14857892</v>
      </c>
      <c r="I24847">
        <v>486001</v>
      </c>
      <c r="J24847">
        <v>3</v>
      </c>
    </row>
    <row r="24848" spans="1:10" x14ac:dyDescent="0.25">
      <c r="A24848" t="s">
        <v>274</v>
      </c>
      <c r="B24848" s="1" t="str">
        <f>HYPERLINK("http://nationalgridrenewables.com","nationalgridrenewables.com")</f>
        <v>nationalgridrenewables.com</v>
      </c>
      <c r="C24848" t="s">
        <v>433</v>
      </c>
      <c r="F24848">
        <v>6.9480309214783197E-8</v>
      </c>
      <c r="G24848">
        <v>611049</v>
      </c>
      <c r="H24848">
        <v>13670696</v>
      </c>
      <c r="I24848">
        <v>9556147</v>
      </c>
      <c r="J24848">
        <v>3</v>
      </c>
    </row>
    <row r="24849" spans="1:10" x14ac:dyDescent="0.25">
      <c r="A24849" t="s">
        <v>274</v>
      </c>
      <c r="B24849" s="1" t="str">
        <f>HYPERLINK("http://nationalgridus.com","nationalgridus.com")</f>
        <v>nationalgridus.com</v>
      </c>
      <c r="C24849" t="s">
        <v>433</v>
      </c>
      <c r="E24849">
        <v>32312</v>
      </c>
      <c r="F24849">
        <v>1.00101724589643E-6</v>
      </c>
      <c r="G24849">
        <v>38226</v>
      </c>
      <c r="H24849">
        <v>17309428</v>
      </c>
      <c r="I24849">
        <v>26856</v>
      </c>
      <c r="J24849">
        <v>3</v>
      </c>
    </row>
    <row r="24850" spans="1:10" x14ac:dyDescent="0.25">
      <c r="A24850" t="s">
        <v>274</v>
      </c>
      <c r="B24850" s="1" t="str">
        <f>HYPERLINK("http://northsealink.com","northsealink.com")</f>
        <v>northsealink.com</v>
      </c>
      <c r="C24850" t="s">
        <v>433</v>
      </c>
      <c r="F24850">
        <v>2.1169337948702902E-8</v>
      </c>
      <c r="G24850">
        <v>2491612</v>
      </c>
      <c r="H24850">
        <v>14045002</v>
      </c>
      <c r="I24850">
        <v>3901845</v>
      </c>
      <c r="J24850">
        <v>3</v>
      </c>
    </row>
    <row r="24851" spans="1:10" x14ac:dyDescent="0.25">
      <c r="A24851" t="s">
        <v>274</v>
      </c>
      <c r="B24851" s="1" t="str">
        <f>HYPERLINK("http://coreso.eu","coreso.eu")</f>
        <v>coreso.eu</v>
      </c>
      <c r="C24851" t="s">
        <v>444</v>
      </c>
      <c r="F24851">
        <v>3.9552352254908499E-8</v>
      </c>
      <c r="G24851">
        <v>1305383</v>
      </c>
      <c r="H24851">
        <v>14297387</v>
      </c>
      <c r="I24851">
        <v>1359027</v>
      </c>
      <c r="J24851">
        <v>7</v>
      </c>
    </row>
    <row r="24852" spans="1:10" x14ac:dyDescent="0.25">
      <c r="A24852" t="s">
        <v>274</v>
      </c>
      <c r="B24852" s="1" t="str">
        <f>HYPERLINK("http://eliagroup.eu","eliagroup.eu")</f>
        <v>eliagroup.eu</v>
      </c>
      <c r="C24852" t="s">
        <v>444</v>
      </c>
      <c r="F24852">
        <v>8.6419855574460795E-8</v>
      </c>
      <c r="G24852">
        <v>475813</v>
      </c>
      <c r="H24852">
        <v>14332045</v>
      </c>
      <c r="I24852">
        <v>1322019</v>
      </c>
      <c r="J24852">
        <v>9</v>
      </c>
    </row>
    <row r="24853" spans="1:10" x14ac:dyDescent="0.25">
      <c r="A24853" t="s">
        <v>274</v>
      </c>
      <c r="B24853" s="1" t="str">
        <f>HYPERLINK("http://corporg.net","corporg.net")</f>
        <v>corporg.net</v>
      </c>
      <c r="C24853" t="s">
        <v>474</v>
      </c>
      <c r="E24853">
        <v>435885</v>
      </c>
      <c r="F24853">
        <v>5.1309614213656201E-9</v>
      </c>
      <c r="G24853">
        <v>26438001</v>
      </c>
      <c r="H24853">
        <v>11985493</v>
      </c>
      <c r="I24853">
        <v>28432506</v>
      </c>
      <c r="J24853">
        <v>2</v>
      </c>
    </row>
    <row r="24854" spans="1:10" x14ac:dyDescent="0.25">
      <c r="A24854" t="s">
        <v>274</v>
      </c>
      <c r="B24854" s="1" t="str">
        <f>HYPERLINK("http://eurogrid-int.net","eurogrid-int.net")</f>
        <v>eurogrid-int.net</v>
      </c>
      <c r="C24854" t="s">
        <v>474</v>
      </c>
      <c r="F24854">
        <v>5.75324355068276E-9</v>
      </c>
      <c r="G24854">
        <v>18471173</v>
      </c>
      <c r="H24854">
        <v>10720721</v>
      </c>
      <c r="I24854">
        <v>41861991</v>
      </c>
      <c r="J24854">
        <v>8</v>
      </c>
    </row>
    <row r="24855" spans="1:10" x14ac:dyDescent="0.25">
      <c r="A24855" t="s">
        <v>274</v>
      </c>
      <c r="B24855" s="1" t="str">
        <f>HYPERLINK("http://ngrid.net","ngrid.net")</f>
        <v>ngrid.net</v>
      </c>
      <c r="C24855" t="s">
        <v>474</v>
      </c>
      <c r="E24855">
        <v>161458</v>
      </c>
      <c r="F24855">
        <v>7.1289248676194001E-9</v>
      </c>
      <c r="G24855">
        <v>11934979</v>
      </c>
      <c r="H24855">
        <v>12154650</v>
      </c>
      <c r="I24855">
        <v>24502694</v>
      </c>
      <c r="J24855">
        <v>2</v>
      </c>
    </row>
    <row r="24856" spans="1:10" x14ac:dyDescent="0.25">
      <c r="A24856" t="s">
        <v>274</v>
      </c>
      <c r="B24856" s="1" t="str">
        <f>HYPERLINK("http://elexon.co.uk","elexon.co.uk")</f>
        <v>elexon.co.uk</v>
      </c>
      <c r="C24856" t="s">
        <v>506</v>
      </c>
      <c r="D24856" t="s">
        <v>880</v>
      </c>
      <c r="E24856">
        <v>697614</v>
      </c>
      <c r="F24856">
        <v>1.3122964136258501E-7</v>
      </c>
      <c r="G24856">
        <v>298018</v>
      </c>
      <c r="H24856">
        <v>14528744</v>
      </c>
      <c r="I24856">
        <v>789564</v>
      </c>
      <c r="J24856">
        <v>6</v>
      </c>
    </row>
    <row r="24857" spans="1:10" x14ac:dyDescent="0.25">
      <c r="A24857" t="s">
        <v>274</v>
      </c>
      <c r="B24857" s="1" t="str">
        <f>HYPERLINK("http://emrsettlement.co.uk","emrsettlement.co.uk")</f>
        <v>emrsettlement.co.uk</v>
      </c>
      <c r="C24857" t="s">
        <v>506</v>
      </c>
      <c r="D24857" t="s">
        <v>880</v>
      </c>
      <c r="F24857">
        <v>3.8285949743799301E-8</v>
      </c>
      <c r="G24857">
        <v>1352134</v>
      </c>
      <c r="H24857">
        <v>14126221</v>
      </c>
      <c r="I24857">
        <v>2103961</v>
      </c>
      <c r="J24857">
        <v>7</v>
      </c>
    </row>
    <row r="24858" spans="1:10" x14ac:dyDescent="0.25">
      <c r="A24858" t="s">
        <v>274</v>
      </c>
      <c r="B24858" s="1" t="str">
        <f>HYPERLINK("http://natgrid.co.uk","natgrid.co.uk")</f>
        <v>natgrid.co.uk</v>
      </c>
      <c r="C24858" t="s">
        <v>506</v>
      </c>
      <c r="D24858" t="s">
        <v>880</v>
      </c>
      <c r="F24858">
        <v>9.2523702062173108E-9</v>
      </c>
      <c r="G24858">
        <v>7635329</v>
      </c>
      <c r="H24858">
        <v>13772740</v>
      </c>
      <c r="I24858">
        <v>6650231</v>
      </c>
      <c r="J24858">
        <v>2</v>
      </c>
    </row>
    <row r="24859" spans="1:10" x14ac:dyDescent="0.25">
      <c r="A24859" t="s">
        <v>274</v>
      </c>
      <c r="B24859" s="1" t="str">
        <f>HYPERLINK("http://nationalgrid.co.uk","nationalgrid.co.uk")</f>
        <v>nationalgrid.co.uk</v>
      </c>
      <c r="C24859" t="s">
        <v>506</v>
      </c>
      <c r="D24859" t="s">
        <v>880</v>
      </c>
      <c r="E24859">
        <v>240772</v>
      </c>
      <c r="F24859">
        <v>4.11230826199933E-8</v>
      </c>
      <c r="G24859">
        <v>1262325</v>
      </c>
      <c r="H24859">
        <v>14204582</v>
      </c>
      <c r="I24859">
        <v>1713920</v>
      </c>
      <c r="J24859">
        <v>2</v>
      </c>
    </row>
    <row r="24860" spans="1:10" x14ac:dyDescent="0.25">
      <c r="A24860" t="s">
        <v>274</v>
      </c>
      <c r="B24860" s="1" t="str">
        <f>HYPERLINK("http://westernpower.co.uk","westernpower.co.uk")</f>
        <v>westernpower.co.uk</v>
      </c>
      <c r="C24860" t="s">
        <v>506</v>
      </c>
      <c r="D24860" t="s">
        <v>880</v>
      </c>
      <c r="E24860">
        <v>333813</v>
      </c>
      <c r="F24860">
        <v>2.0277342110277199E-7</v>
      </c>
      <c r="G24860">
        <v>187544</v>
      </c>
      <c r="H24860">
        <v>14904603</v>
      </c>
      <c r="I24860">
        <v>461043</v>
      </c>
      <c r="J24860">
        <v>2</v>
      </c>
    </row>
    <row r="24861" spans="1:10" x14ac:dyDescent="0.25">
      <c r="A24861" t="s">
        <v>274</v>
      </c>
      <c r="B24861" s="1" t="str">
        <f>HYPERLINK("http://awelamantawe.org.uk","awelamantawe.org.uk")</f>
        <v>awelamantawe.org.uk</v>
      </c>
      <c r="C24861" t="s">
        <v>506</v>
      </c>
      <c r="D24861" t="s">
        <v>880</v>
      </c>
      <c r="F24861">
        <v>7.3713300358894498E-9</v>
      </c>
      <c r="G24861">
        <v>11310817</v>
      </c>
      <c r="H24861">
        <v>14120471</v>
      </c>
      <c r="I24861">
        <v>2349419</v>
      </c>
      <c r="J24861">
        <v>3</v>
      </c>
    </row>
    <row r="24862" spans="1:10" x14ac:dyDescent="0.25">
      <c r="A24862" t="s">
        <v>1642</v>
      </c>
      <c r="B24862" s="1" t="str">
        <f>HYPERLINK("http://neste.be","neste.be")</f>
        <v>neste.be</v>
      </c>
      <c r="C24862" t="s">
        <v>421</v>
      </c>
      <c r="D24862" t="s">
        <v>803</v>
      </c>
      <c r="F24862">
        <v>9.7314307937911703E-9</v>
      </c>
      <c r="G24862">
        <v>7044899</v>
      </c>
      <c r="H24862">
        <v>11198268</v>
      </c>
      <c r="I24862">
        <v>31286740</v>
      </c>
      <c r="J24862">
        <v>2</v>
      </c>
    </row>
    <row r="24863" spans="1:10" x14ac:dyDescent="0.25">
      <c r="A24863" t="s">
        <v>1642</v>
      </c>
      <c r="B24863" s="1" t="str">
        <f>HYPERLINK("http://neste.ca","neste.ca")</f>
        <v>neste.ca</v>
      </c>
      <c r="C24863" t="s">
        <v>428</v>
      </c>
      <c r="D24863" t="s">
        <v>809</v>
      </c>
      <c r="J24863">
        <v>2</v>
      </c>
    </row>
    <row r="24864" spans="1:10" x14ac:dyDescent="0.25">
      <c r="A24864" t="s">
        <v>1642</v>
      </c>
      <c r="B24864" s="1" t="str">
        <f>HYPERLINK("http://neste.com","neste.com")</f>
        <v>neste.com</v>
      </c>
      <c r="C24864" t="s">
        <v>433</v>
      </c>
      <c r="E24864">
        <v>78435</v>
      </c>
      <c r="F24864">
        <v>6.1905297488945301E-7</v>
      </c>
      <c r="G24864">
        <v>61861</v>
      </c>
      <c r="H24864">
        <v>15274709</v>
      </c>
      <c r="I24864">
        <v>388112</v>
      </c>
      <c r="J24864">
        <v>1</v>
      </c>
    </row>
    <row r="24865" spans="1:10" x14ac:dyDescent="0.25">
      <c r="A24865" t="s">
        <v>1642</v>
      </c>
      <c r="B24865" s="1" t="str">
        <f>HYPERLINK("http://nestejacobs.com","nestejacobs.com")</f>
        <v>nestejacobs.com</v>
      </c>
      <c r="C24865" t="s">
        <v>433</v>
      </c>
      <c r="F24865">
        <v>9.2502256634935096E-9</v>
      </c>
      <c r="G24865">
        <v>7638186</v>
      </c>
      <c r="H24865">
        <v>14072463</v>
      </c>
      <c r="I24865">
        <v>3088823</v>
      </c>
      <c r="J24865">
        <v>4</v>
      </c>
    </row>
    <row r="24866" spans="1:10" x14ac:dyDescent="0.25">
      <c r="A24866" t="s">
        <v>1642</v>
      </c>
      <c r="B24866" s="1" t="str">
        <f>HYPERLINK("http://nesteoil.com","nesteoil.com")</f>
        <v>nesteoil.com</v>
      </c>
      <c r="C24866" t="s">
        <v>433</v>
      </c>
      <c r="E24866">
        <v>72652</v>
      </c>
      <c r="F24866">
        <v>7.1413892344957303E-8</v>
      </c>
      <c r="G24866">
        <v>591805</v>
      </c>
      <c r="H24866">
        <v>14711957</v>
      </c>
      <c r="I24866">
        <v>582679</v>
      </c>
      <c r="J24866">
        <v>2</v>
      </c>
    </row>
    <row r="24867" spans="1:10" x14ac:dyDescent="0.25">
      <c r="A24867" t="s">
        <v>1642</v>
      </c>
      <c r="B24867" s="1" t="str">
        <f>HYPERLINK("http://neste.de","neste.de")</f>
        <v>neste.de</v>
      </c>
      <c r="C24867" t="s">
        <v>436</v>
      </c>
      <c r="D24867" t="s">
        <v>815</v>
      </c>
      <c r="F24867">
        <v>6.2728269395884301E-8</v>
      </c>
      <c r="G24867">
        <v>699267</v>
      </c>
      <c r="H24867">
        <v>13148754</v>
      </c>
      <c r="I24867">
        <v>11832889</v>
      </c>
      <c r="J24867">
        <v>2</v>
      </c>
    </row>
    <row r="24868" spans="1:10" x14ac:dyDescent="0.25">
      <c r="A24868" t="s">
        <v>1642</v>
      </c>
      <c r="B24868" s="1" t="str">
        <f>HYPERLINK("http://neste.ee","neste.ee")</f>
        <v>neste.ee</v>
      </c>
      <c r="C24868" t="s">
        <v>441</v>
      </c>
      <c r="D24868" t="s">
        <v>820</v>
      </c>
      <c r="F24868">
        <v>3.3227815800929502E-8</v>
      </c>
      <c r="G24868">
        <v>1555093</v>
      </c>
      <c r="H24868">
        <v>14236782</v>
      </c>
      <c r="I24868">
        <v>1570295</v>
      </c>
      <c r="J24868">
        <v>2</v>
      </c>
    </row>
    <row r="24869" spans="1:10" x14ac:dyDescent="0.25">
      <c r="A24869" t="s">
        <v>1642</v>
      </c>
      <c r="B24869" s="1" t="str">
        <f>HYPERLINK("http://ainoasuuntaoneteenpain.fi","ainoasuuntaoneteenpain.fi")</f>
        <v>ainoasuuntaoneteenpain.fi</v>
      </c>
      <c r="C24869" t="s">
        <v>445</v>
      </c>
      <c r="D24869" t="s">
        <v>823</v>
      </c>
      <c r="J24869">
        <v>2</v>
      </c>
    </row>
    <row r="24870" spans="1:10" x14ac:dyDescent="0.25">
      <c r="A24870" t="s">
        <v>1642</v>
      </c>
      <c r="B24870" s="1" t="str">
        <f>HYPERLINK("http://ainoasuuntaoneteenpin.fi","ainoasuuntaoneteenpin.fi")</f>
        <v>ainoasuuntaoneteenpin.fi</v>
      </c>
      <c r="C24870" t="s">
        <v>445</v>
      </c>
      <c r="D24870" t="s">
        <v>823</v>
      </c>
      <c r="J24870">
        <v>2</v>
      </c>
    </row>
    <row r="24871" spans="1:10" x14ac:dyDescent="0.25">
      <c r="A24871" t="s">
        <v>1642</v>
      </c>
      <c r="B24871" s="1" t="str">
        <f>HYPERLINK("http://automaattiasema.fi","automaattiasema.fi")</f>
        <v>automaattiasema.fi</v>
      </c>
      <c r="C24871" t="s">
        <v>445</v>
      </c>
      <c r="D24871" t="s">
        <v>823</v>
      </c>
      <c r="J24871">
        <v>2</v>
      </c>
    </row>
    <row r="24872" spans="1:10" x14ac:dyDescent="0.25">
      <c r="A24872" t="s">
        <v>1642</v>
      </c>
      <c r="B24872" s="1" t="str">
        <f>HYPERLINK("http://d-asema.fi","d-asema.fi")</f>
        <v>d-asema.fi</v>
      </c>
      <c r="C24872" t="s">
        <v>445</v>
      </c>
      <c r="D24872" t="s">
        <v>823</v>
      </c>
      <c r="J24872">
        <v>2</v>
      </c>
    </row>
    <row r="24873" spans="1:10" x14ac:dyDescent="0.25">
      <c r="A24873" t="s">
        <v>1642</v>
      </c>
      <c r="B24873" s="1" t="str">
        <f>HYPERLINK("http://diesel-asema.fi","diesel-asema.fi")</f>
        <v>diesel-asema.fi</v>
      </c>
      <c r="C24873" t="s">
        <v>445</v>
      </c>
      <c r="D24873" t="s">
        <v>823</v>
      </c>
      <c r="J24873">
        <v>2</v>
      </c>
    </row>
    <row r="24874" spans="1:10" x14ac:dyDescent="0.25">
      <c r="A24874" t="s">
        <v>1642</v>
      </c>
      <c r="B24874" s="1" t="str">
        <f>HYPERLINK("http://energiaextra.fi","energiaextra.fi")</f>
        <v>energiaextra.fi</v>
      </c>
      <c r="C24874" t="s">
        <v>445</v>
      </c>
      <c r="D24874" t="s">
        <v>823</v>
      </c>
      <c r="J24874">
        <v>2</v>
      </c>
    </row>
    <row r="24875" spans="1:10" x14ac:dyDescent="0.25">
      <c r="A24875" t="s">
        <v>1642</v>
      </c>
      <c r="B24875" s="1" t="str">
        <f>HYPERLINK("http://futura.fi","futura.fi")</f>
        <v>futura.fi</v>
      </c>
      <c r="C24875" t="s">
        <v>445</v>
      </c>
      <c r="D24875" t="s">
        <v>823</v>
      </c>
      <c r="J24875">
        <v>2</v>
      </c>
    </row>
    <row r="24876" spans="1:10" x14ac:dyDescent="0.25">
      <c r="A24876" t="s">
        <v>1642</v>
      </c>
      <c r="B24876" s="1" t="str">
        <f>HYPERLINK("http://huoltoasema.fi","huoltoasema.fi")</f>
        <v>huoltoasema.fi</v>
      </c>
      <c r="C24876" t="s">
        <v>445</v>
      </c>
      <c r="D24876" t="s">
        <v>823</v>
      </c>
      <c r="J24876">
        <v>2</v>
      </c>
    </row>
    <row r="24877" spans="1:10" x14ac:dyDescent="0.25">
      <c r="A24877" t="s">
        <v>1642</v>
      </c>
      <c r="B24877" s="1" t="str">
        <f>HYPERLINK("http://kaukovalvonta.fi","kaukovalvonta.fi")</f>
        <v>kaukovalvonta.fi</v>
      </c>
      <c r="C24877" t="s">
        <v>445</v>
      </c>
      <c r="D24877" t="s">
        <v>823</v>
      </c>
      <c r="J24877">
        <v>2</v>
      </c>
    </row>
    <row r="24878" spans="1:10" x14ac:dyDescent="0.25">
      <c r="A24878" t="s">
        <v>1642</v>
      </c>
      <c r="B24878" s="1" t="str">
        <f>HYPERLINK("http://kilpilahti.fi","kilpilahti.fi")</f>
        <v>kilpilahti.fi</v>
      </c>
      <c r="C24878" t="s">
        <v>445</v>
      </c>
      <c r="D24878" t="s">
        <v>823</v>
      </c>
      <c r="F24878">
        <v>1.10486588119192E-8</v>
      </c>
      <c r="G24878">
        <v>5823155</v>
      </c>
      <c r="H24878">
        <v>14075338</v>
      </c>
      <c r="I24878">
        <v>2911797</v>
      </c>
      <c r="J24878">
        <v>2</v>
      </c>
    </row>
    <row r="24879" spans="1:10" x14ac:dyDescent="0.25">
      <c r="A24879" t="s">
        <v>1642</v>
      </c>
      <c r="B24879" s="1" t="str">
        <f>HYPERLINK("http://kotkacontrol.fi","kotkacontrol.fi")</f>
        <v>kotkacontrol.fi</v>
      </c>
      <c r="C24879" t="s">
        <v>445</v>
      </c>
      <c r="D24879" t="s">
        <v>823</v>
      </c>
      <c r="J24879">
        <v>2</v>
      </c>
    </row>
    <row r="24880" spans="1:10" x14ac:dyDescent="0.25">
      <c r="A24880" t="s">
        <v>1642</v>
      </c>
      <c r="B24880" s="1" t="str">
        <f>HYPERLINK("http://lammitysjarjestelmat.fi","lammitysjarjestelmat.fi")</f>
        <v>lammitysjarjestelmat.fi</v>
      </c>
      <c r="C24880" t="s">
        <v>445</v>
      </c>
      <c r="D24880" t="s">
        <v>823</v>
      </c>
      <c r="J24880">
        <v>2</v>
      </c>
    </row>
    <row r="24881" spans="1:10" x14ac:dyDescent="0.25">
      <c r="A24881" t="s">
        <v>1642</v>
      </c>
      <c r="B24881" s="1" t="str">
        <f>HYPERLINK("http://lammityskauppa.fi","lammityskauppa.fi")</f>
        <v>lammityskauppa.fi</v>
      </c>
      <c r="C24881" t="s">
        <v>445</v>
      </c>
      <c r="D24881" t="s">
        <v>823</v>
      </c>
      <c r="J24881">
        <v>2</v>
      </c>
    </row>
    <row r="24882" spans="1:10" x14ac:dyDescent="0.25">
      <c r="A24882" t="s">
        <v>1642</v>
      </c>
      <c r="B24882" s="1" t="str">
        <f>HYPERLINK("http://liikennepalvelu.fi","liikennepalvelu.fi")</f>
        <v>liikennepalvelu.fi</v>
      </c>
      <c r="C24882" t="s">
        <v>445</v>
      </c>
      <c r="D24882" t="s">
        <v>823</v>
      </c>
      <c r="J24882">
        <v>2</v>
      </c>
    </row>
    <row r="24883" spans="1:10" x14ac:dyDescent="0.25">
      <c r="A24883" t="s">
        <v>1642</v>
      </c>
      <c r="B24883" s="1" t="str">
        <f>HYPERLINK("http://myneste.fi","myneste.fi")</f>
        <v>myneste.fi</v>
      </c>
      <c r="C24883" t="s">
        <v>445</v>
      </c>
      <c r="D24883" t="s">
        <v>823</v>
      </c>
      <c r="J24883">
        <v>2</v>
      </c>
    </row>
    <row r="24884" spans="1:10" x14ac:dyDescent="0.25">
      <c r="A24884" t="s">
        <v>1642</v>
      </c>
      <c r="B24884" s="1" t="str">
        <f>HYPERLINK("http://napcon.fi","napcon.fi")</f>
        <v>napcon.fi</v>
      </c>
      <c r="C24884" t="s">
        <v>445</v>
      </c>
      <c r="D24884" t="s">
        <v>823</v>
      </c>
      <c r="F24884">
        <v>4.4461855635114504E-9</v>
      </c>
      <c r="G24884">
        <v>74533990</v>
      </c>
      <c r="H24884">
        <v>1.0003663</v>
      </c>
      <c r="I24884">
        <v>79365857</v>
      </c>
      <c r="J24884">
        <v>2</v>
      </c>
    </row>
    <row r="24885" spans="1:10" x14ac:dyDescent="0.25">
      <c r="A24885" t="s">
        <v>1642</v>
      </c>
      <c r="B24885" s="1" t="str">
        <f>HYPERLINK("http://napcongames.fi","napcongames.fi")</f>
        <v>napcongames.fi</v>
      </c>
      <c r="C24885" t="s">
        <v>445</v>
      </c>
      <c r="D24885" t="s">
        <v>823</v>
      </c>
      <c r="J24885">
        <v>2</v>
      </c>
    </row>
    <row r="24886" spans="1:10" x14ac:dyDescent="0.25">
      <c r="A24886" t="s">
        <v>1642</v>
      </c>
      <c r="B24886" s="1" t="str">
        <f>HYPERLINK("http://napconsuite.fi","napconsuite.fi")</f>
        <v>napconsuite.fi</v>
      </c>
      <c r="C24886" t="s">
        <v>445</v>
      </c>
      <c r="D24886" t="s">
        <v>823</v>
      </c>
      <c r="J24886">
        <v>2</v>
      </c>
    </row>
    <row r="24887" spans="1:10" x14ac:dyDescent="0.25">
      <c r="A24887" t="s">
        <v>1642</v>
      </c>
      <c r="B24887" s="1" t="str">
        <f>HYPERLINK("http://navidom.fi","navidom.fi")</f>
        <v>navidom.fi</v>
      </c>
      <c r="C24887" t="s">
        <v>445</v>
      </c>
      <c r="D24887" t="s">
        <v>823</v>
      </c>
      <c r="F24887">
        <v>4.6355011065384797E-9</v>
      </c>
      <c r="G24887">
        <v>45062609</v>
      </c>
      <c r="H24887">
        <v>10665311</v>
      </c>
      <c r="I24887">
        <v>43135356</v>
      </c>
      <c r="J24887">
        <v>2</v>
      </c>
    </row>
    <row r="24888" spans="1:10" x14ac:dyDescent="0.25">
      <c r="A24888" t="s">
        <v>1642</v>
      </c>
      <c r="B24888" s="1" t="str">
        <f>HYPERLINK("http://nesinfra.fi","nesinfra.fi")</f>
        <v>nesinfra.fi</v>
      </c>
      <c r="C24888" t="s">
        <v>445</v>
      </c>
      <c r="D24888" t="s">
        <v>823</v>
      </c>
      <c r="J24888">
        <v>2</v>
      </c>
    </row>
    <row r="24889" spans="1:10" x14ac:dyDescent="0.25">
      <c r="A24889" t="s">
        <v>1642</v>
      </c>
      <c r="B24889" s="1" t="str">
        <f>HYPERLINK("http://neste.fi","neste.fi")</f>
        <v>neste.fi</v>
      </c>
      <c r="C24889" t="s">
        <v>445</v>
      </c>
      <c r="D24889" t="s">
        <v>823</v>
      </c>
      <c r="E24889">
        <v>401149</v>
      </c>
      <c r="F24889">
        <v>2.3614377868260701E-7</v>
      </c>
      <c r="G24889">
        <v>158629</v>
      </c>
      <c r="H24889">
        <v>17111692</v>
      </c>
      <c r="I24889">
        <v>61741</v>
      </c>
      <c r="J24889">
        <v>2</v>
      </c>
    </row>
    <row r="24890" spans="1:10" x14ac:dyDescent="0.25">
      <c r="A24890" t="s">
        <v>1642</v>
      </c>
      <c r="B24890" s="1" t="str">
        <f>HYPERLINK("http://neste-engineering.fi","neste-engineering.fi")</f>
        <v>neste-engineering.fi</v>
      </c>
      <c r="C24890" t="s">
        <v>445</v>
      </c>
      <c r="D24890" t="s">
        <v>823</v>
      </c>
      <c r="J24890">
        <v>2</v>
      </c>
    </row>
    <row r="24891" spans="1:10" x14ac:dyDescent="0.25">
      <c r="A24891" t="s">
        <v>1642</v>
      </c>
      <c r="B24891" s="1" t="str">
        <f>HYPERLINK("http://nesteagm.fi","nesteagm.fi")</f>
        <v>nesteagm.fi</v>
      </c>
      <c r="C24891" t="s">
        <v>445</v>
      </c>
      <c r="D24891" t="s">
        <v>823</v>
      </c>
      <c r="F24891">
        <v>5.4884429763467603E-9</v>
      </c>
      <c r="G24891">
        <v>21031668</v>
      </c>
      <c r="H24891">
        <v>12151979</v>
      </c>
      <c r="I24891">
        <v>24574318</v>
      </c>
      <c r="J24891">
        <v>2</v>
      </c>
    </row>
    <row r="24892" spans="1:10" x14ac:dyDescent="0.25">
      <c r="A24892" t="s">
        <v>1642</v>
      </c>
      <c r="B24892" s="1" t="str">
        <f>HYPERLINK("http://nesteasema.fi","nesteasema.fi")</f>
        <v>nesteasema.fi</v>
      </c>
      <c r="C24892" t="s">
        <v>445</v>
      </c>
      <c r="D24892" t="s">
        <v>823</v>
      </c>
      <c r="J24892">
        <v>2</v>
      </c>
    </row>
    <row r="24893" spans="1:10" x14ac:dyDescent="0.25">
      <c r="A24893" t="s">
        <v>1642</v>
      </c>
      <c r="B24893" s="1" t="str">
        <f>HYPERLINK("http://nesteauditointi.fi","nesteauditointi.fi")</f>
        <v>nesteauditointi.fi</v>
      </c>
      <c r="C24893" t="s">
        <v>445</v>
      </c>
      <c r="D24893" t="s">
        <v>823</v>
      </c>
      <c r="J24893">
        <v>2</v>
      </c>
    </row>
    <row r="24894" spans="1:10" x14ac:dyDescent="0.25">
      <c r="A24894" t="s">
        <v>1642</v>
      </c>
      <c r="B24894" s="1" t="str">
        <f>HYPERLINK("http://nesteengineering.fi","nesteengineering.fi")</f>
        <v>nesteengineering.fi</v>
      </c>
      <c r="C24894" t="s">
        <v>445</v>
      </c>
      <c r="D24894" t="s">
        <v>823</v>
      </c>
      <c r="J24894">
        <v>2</v>
      </c>
    </row>
    <row r="24895" spans="1:10" x14ac:dyDescent="0.25">
      <c r="A24895" t="s">
        <v>1642</v>
      </c>
      <c r="B24895" s="1" t="str">
        <f>HYPERLINK("http://nesteengineeringsolutions.fi","nesteengineeringsolutions.fi")</f>
        <v>nesteengineeringsolutions.fi</v>
      </c>
      <c r="C24895" t="s">
        <v>445</v>
      </c>
      <c r="D24895" t="s">
        <v>823</v>
      </c>
      <c r="J24895">
        <v>2</v>
      </c>
    </row>
    <row r="24896" spans="1:10" x14ac:dyDescent="0.25">
      <c r="A24896" t="s">
        <v>1642</v>
      </c>
      <c r="B24896" s="1" t="str">
        <f>HYPERLINK("http://nestegreendiesel.fi","nestegreendiesel.fi")</f>
        <v>nestegreendiesel.fi</v>
      </c>
      <c r="C24896" t="s">
        <v>445</v>
      </c>
      <c r="D24896" t="s">
        <v>823</v>
      </c>
      <c r="J24896">
        <v>2</v>
      </c>
    </row>
    <row r="24897" spans="1:10" x14ac:dyDescent="0.25">
      <c r="A24897" t="s">
        <v>1642</v>
      </c>
      <c r="B24897" s="1" t="str">
        <f>HYPERLINK("http://nestegroup.fi","nestegroup.fi")</f>
        <v>nestegroup.fi</v>
      </c>
      <c r="C24897" t="s">
        <v>445</v>
      </c>
      <c r="D24897" t="s">
        <v>823</v>
      </c>
      <c r="J24897">
        <v>2</v>
      </c>
    </row>
    <row r="24898" spans="1:10" x14ac:dyDescent="0.25">
      <c r="A24898" t="s">
        <v>1642</v>
      </c>
      <c r="B24898" s="1" t="str">
        <f>HYPERLINK("http://nesteinfo.fi","nesteinfo.fi")</f>
        <v>nesteinfo.fi</v>
      </c>
      <c r="C24898" t="s">
        <v>445</v>
      </c>
      <c r="D24898" t="s">
        <v>823</v>
      </c>
      <c r="J24898">
        <v>2</v>
      </c>
    </row>
    <row r="24899" spans="1:10" x14ac:dyDescent="0.25">
      <c r="A24899" t="s">
        <v>1642</v>
      </c>
      <c r="B24899" s="1" t="str">
        <f>HYPERLINK("http://nestejacobs.fi","nestejacobs.fi")</f>
        <v>nestejacobs.fi</v>
      </c>
      <c r="C24899" t="s">
        <v>445</v>
      </c>
      <c r="D24899" t="s">
        <v>823</v>
      </c>
      <c r="J24899">
        <v>2</v>
      </c>
    </row>
    <row r="24900" spans="1:10" x14ac:dyDescent="0.25">
      <c r="A24900" t="s">
        <v>1642</v>
      </c>
      <c r="B24900" s="1" t="str">
        <f>HYPERLINK("http://nestekuhmo.fi","nestekuhmo.fi")</f>
        <v>nestekuhmo.fi</v>
      </c>
      <c r="C24900" t="s">
        <v>445</v>
      </c>
      <c r="D24900" t="s">
        <v>823</v>
      </c>
      <c r="F24900">
        <v>4.7387285249066901E-9</v>
      </c>
      <c r="G24900">
        <v>38862321</v>
      </c>
      <c r="H24900">
        <v>8737013</v>
      </c>
      <c r="I24900">
        <v>69711815</v>
      </c>
      <c r="J24900">
        <v>2</v>
      </c>
    </row>
    <row r="24901" spans="1:10" x14ac:dyDescent="0.25">
      <c r="A24901" t="s">
        <v>1642</v>
      </c>
      <c r="B24901" s="1" t="str">
        <f>HYPERLINK("http://nesteljy.fi","nesteljy.fi")</f>
        <v>nesteljy.fi</v>
      </c>
      <c r="C24901" t="s">
        <v>445</v>
      </c>
      <c r="D24901" t="s">
        <v>823</v>
      </c>
      <c r="J24901">
        <v>2</v>
      </c>
    </row>
    <row r="24902" spans="1:10" x14ac:dyDescent="0.25">
      <c r="A24902" t="s">
        <v>1642</v>
      </c>
      <c r="B24902" s="1" t="str">
        <f>HYPERLINK("http://nestelubeservice.fi","nestelubeservice.fi")</f>
        <v>nestelubeservice.fi</v>
      </c>
      <c r="C24902" t="s">
        <v>445</v>
      </c>
      <c r="D24902" t="s">
        <v>823</v>
      </c>
      <c r="J24902">
        <v>2</v>
      </c>
    </row>
    <row r="24903" spans="1:10" x14ac:dyDescent="0.25">
      <c r="A24903" t="s">
        <v>1642</v>
      </c>
      <c r="B24903" s="1" t="str">
        <f>HYPERLINK("http://nestemarkkinointi.fi","nestemarkkinointi.fi")</f>
        <v>nestemarkkinointi.fi</v>
      </c>
      <c r="C24903" t="s">
        <v>445</v>
      </c>
      <c r="D24903" t="s">
        <v>823</v>
      </c>
      <c r="J24903">
        <v>2</v>
      </c>
    </row>
    <row r="24904" spans="1:10" x14ac:dyDescent="0.25">
      <c r="A24904" t="s">
        <v>1642</v>
      </c>
      <c r="B24904" s="1" t="str">
        <f>HYPERLINK("http://nesteoil.fi","nesteoil.fi")</f>
        <v>nesteoil.fi</v>
      </c>
      <c r="C24904" t="s">
        <v>445</v>
      </c>
      <c r="D24904" t="s">
        <v>823</v>
      </c>
      <c r="F24904">
        <v>1.9442767965771001E-8</v>
      </c>
      <c r="G24904">
        <v>2756157</v>
      </c>
      <c r="H24904">
        <v>14486981</v>
      </c>
      <c r="I24904">
        <v>955141</v>
      </c>
      <c r="J24904">
        <v>2</v>
      </c>
    </row>
    <row r="24905" spans="1:10" x14ac:dyDescent="0.25">
      <c r="A24905" t="s">
        <v>1642</v>
      </c>
      <c r="B24905" s="1" t="str">
        <f>HYPERLINK("http://nesteoil-urapolut.fi","nesteoil-urapolut.fi")</f>
        <v>nesteoil-urapolut.fi</v>
      </c>
      <c r="C24905" t="s">
        <v>445</v>
      </c>
      <c r="D24905" t="s">
        <v>823</v>
      </c>
      <c r="F24905">
        <v>5.0363659225624898E-9</v>
      </c>
      <c r="G24905">
        <v>28524396</v>
      </c>
      <c r="H24905">
        <v>11125866</v>
      </c>
      <c r="I24905">
        <v>31991967</v>
      </c>
      <c r="J24905">
        <v>2</v>
      </c>
    </row>
    <row r="24906" spans="1:10" x14ac:dyDescent="0.25">
      <c r="A24906" t="s">
        <v>1642</v>
      </c>
      <c r="B24906" s="1" t="str">
        <f>HYPERLINK("http://nesteoilasema.fi","nesteoilasema.fi")</f>
        <v>nesteoilasema.fi</v>
      </c>
      <c r="C24906" t="s">
        <v>445</v>
      </c>
      <c r="D24906" t="s">
        <v>823</v>
      </c>
      <c r="J24906">
        <v>2</v>
      </c>
    </row>
    <row r="24907" spans="1:10" x14ac:dyDescent="0.25">
      <c r="A24907" t="s">
        <v>1642</v>
      </c>
      <c r="B24907" s="1" t="str">
        <f>HYPERLINK("http://nesteoilasemat.fi","nesteoilasemat.fi")</f>
        <v>nesteoilasemat.fi</v>
      </c>
      <c r="C24907" t="s">
        <v>445</v>
      </c>
      <c r="D24907" t="s">
        <v>823</v>
      </c>
      <c r="J24907">
        <v>2</v>
      </c>
    </row>
    <row r="24908" spans="1:10" x14ac:dyDescent="0.25">
      <c r="A24908" t="s">
        <v>1642</v>
      </c>
      <c r="B24908" s="1" t="str">
        <f>HYPERLINK("http://nesteprodiesel.fi","nesteprodiesel.fi")</f>
        <v>nesteprodiesel.fi</v>
      </c>
      <c r="C24908" t="s">
        <v>445</v>
      </c>
      <c r="D24908" t="s">
        <v>823</v>
      </c>
      <c r="J24908">
        <v>2</v>
      </c>
    </row>
    <row r="24909" spans="1:10" x14ac:dyDescent="0.25">
      <c r="A24909" t="s">
        <v>1642</v>
      </c>
      <c r="B24909" s="1" t="str">
        <f>HYPERLINK("http://nesteshipping.fi","nesteshipping.fi")</f>
        <v>nesteshipping.fi</v>
      </c>
      <c r="C24909" t="s">
        <v>445</v>
      </c>
      <c r="D24909" t="s">
        <v>823</v>
      </c>
      <c r="J24909">
        <v>2</v>
      </c>
    </row>
    <row r="24910" spans="1:10" x14ac:dyDescent="0.25">
      <c r="A24910" t="s">
        <v>1642</v>
      </c>
      <c r="B24910" s="1" t="str">
        <f>HYPERLINK("http://nesteverkosto.fi","nesteverkosto.fi")</f>
        <v>nesteverkosto.fi</v>
      </c>
      <c r="C24910" t="s">
        <v>445</v>
      </c>
      <c r="D24910" t="s">
        <v>823</v>
      </c>
      <c r="J24910">
        <v>2</v>
      </c>
    </row>
    <row r="24911" spans="1:10" x14ac:dyDescent="0.25">
      <c r="A24911" t="s">
        <v>1642</v>
      </c>
      <c r="B24911" s="1" t="str">
        <f>HYPERLINK("http://nexbtl.fi","nexbtl.fi")</f>
        <v>nexbtl.fi</v>
      </c>
      <c r="C24911" t="s">
        <v>445</v>
      </c>
      <c r="D24911" t="s">
        <v>823</v>
      </c>
      <c r="J24911">
        <v>2</v>
      </c>
    </row>
    <row r="24912" spans="1:10" x14ac:dyDescent="0.25">
      <c r="A24912" t="s">
        <v>1642</v>
      </c>
      <c r="B24912" s="1" t="str">
        <f>HYPERLINK("http://oljylampo.fi","oljylampo.fi")</f>
        <v>oljylampo.fi</v>
      </c>
      <c r="C24912" t="s">
        <v>445</v>
      </c>
      <c r="D24912" t="s">
        <v>823</v>
      </c>
      <c r="J24912">
        <v>2</v>
      </c>
    </row>
    <row r="24913" spans="1:10" x14ac:dyDescent="0.25">
      <c r="A24913" t="s">
        <v>1642</v>
      </c>
      <c r="B24913" s="1" t="str">
        <f>HYPERLINK("http://oljytilaus.fi","oljytilaus.fi")</f>
        <v>oljytilaus.fi</v>
      </c>
      <c r="C24913" t="s">
        <v>445</v>
      </c>
      <c r="D24913" t="s">
        <v>823</v>
      </c>
      <c r="J24913">
        <v>2</v>
      </c>
    </row>
    <row r="24914" spans="1:10" x14ac:dyDescent="0.25">
      <c r="A24914" t="s">
        <v>1642</v>
      </c>
      <c r="B24914" s="1" t="str">
        <f>HYPERLINK("http://omaneste.fi","omaneste.fi")</f>
        <v>omaneste.fi</v>
      </c>
      <c r="C24914" t="s">
        <v>445</v>
      </c>
      <c r="D24914" t="s">
        <v>823</v>
      </c>
      <c r="J24914">
        <v>2</v>
      </c>
    </row>
    <row r="24915" spans="1:10" x14ac:dyDescent="0.25">
      <c r="A24915" t="s">
        <v>1642</v>
      </c>
      <c r="B24915" s="1" t="str">
        <f>HYPERLINK("http://pikapesu.fi","pikapesu.fi")</f>
        <v>pikapesu.fi</v>
      </c>
      <c r="C24915" t="s">
        <v>445</v>
      </c>
      <c r="D24915" t="s">
        <v>823</v>
      </c>
      <c r="J24915">
        <v>2</v>
      </c>
    </row>
    <row r="24916" spans="1:10" x14ac:dyDescent="0.25">
      <c r="A24916" t="s">
        <v>1642</v>
      </c>
      <c r="B24916" s="1" t="str">
        <f>HYPERLINK("http://polttoaine.fi","polttoaine.fi")</f>
        <v>polttoaine.fi</v>
      </c>
      <c r="C24916" t="s">
        <v>445</v>
      </c>
      <c r="D24916" t="s">
        <v>823</v>
      </c>
      <c r="J24916">
        <v>2</v>
      </c>
    </row>
    <row r="24917" spans="1:10" x14ac:dyDescent="0.25">
      <c r="A24917" t="s">
        <v>1642</v>
      </c>
      <c r="B24917" s="1" t="str">
        <f>HYPERLINK("http://polttoneste.fi","polttoneste.fi")</f>
        <v>polttoneste.fi</v>
      </c>
      <c r="C24917" t="s">
        <v>445</v>
      </c>
      <c r="D24917" t="s">
        <v>823</v>
      </c>
      <c r="J24917">
        <v>2</v>
      </c>
    </row>
    <row r="24918" spans="1:10" x14ac:dyDescent="0.25">
      <c r="A24918" t="s">
        <v>1642</v>
      </c>
      <c r="B24918" s="1" t="str">
        <f>HYPERLINK("http://prodiesel.fi","prodiesel.fi")</f>
        <v>prodiesel.fi</v>
      </c>
      <c r="C24918" t="s">
        <v>445</v>
      </c>
      <c r="D24918" t="s">
        <v>823</v>
      </c>
      <c r="J24918">
        <v>2</v>
      </c>
    </row>
    <row r="24919" spans="1:10" x14ac:dyDescent="0.25">
      <c r="A24919" t="s">
        <v>1642</v>
      </c>
      <c r="B24919" s="1" t="str">
        <f>HYPERLINK("http://rintekno.fi","rintekno.fi")</f>
        <v>rintekno.fi</v>
      </c>
      <c r="C24919" t="s">
        <v>445</v>
      </c>
      <c r="D24919" t="s">
        <v>823</v>
      </c>
      <c r="F24919">
        <v>4.5190858252544799E-9</v>
      </c>
      <c r="G24919">
        <v>56342762</v>
      </c>
      <c r="H24919">
        <v>12320822</v>
      </c>
      <c r="I24919">
        <v>20405205</v>
      </c>
      <c r="J24919">
        <v>2</v>
      </c>
    </row>
    <row r="24920" spans="1:10" x14ac:dyDescent="0.25">
      <c r="A24920" t="s">
        <v>1642</v>
      </c>
      <c r="B24920" s="1" t="str">
        <f>HYPERLINK("http://systecon.fi","systecon.fi")</f>
        <v>systecon.fi</v>
      </c>
      <c r="C24920" t="s">
        <v>445</v>
      </c>
      <c r="D24920" t="s">
        <v>823</v>
      </c>
      <c r="J24920">
        <v>2</v>
      </c>
    </row>
    <row r="24921" spans="1:10" x14ac:dyDescent="0.25">
      <c r="A24921" t="s">
        <v>1642</v>
      </c>
      <c r="B24921" s="1" t="str">
        <f>HYPERLINK("http://tankkaus.fi","tankkaus.fi")</f>
        <v>tankkaus.fi</v>
      </c>
      <c r="C24921" t="s">
        <v>445</v>
      </c>
      <c r="D24921" t="s">
        <v>823</v>
      </c>
      <c r="J24921">
        <v>2</v>
      </c>
    </row>
    <row r="24922" spans="1:10" x14ac:dyDescent="0.25">
      <c r="A24922" t="s">
        <v>1642</v>
      </c>
      <c r="B24922" s="1" t="str">
        <f>HYPERLINK("http://tehokaasu.fi","tehokaasu.fi")</f>
        <v>tehokaasu.fi</v>
      </c>
      <c r="C24922" t="s">
        <v>445</v>
      </c>
      <c r="D24922" t="s">
        <v>823</v>
      </c>
      <c r="F24922">
        <v>5.0587331535644802E-9</v>
      </c>
      <c r="G24922">
        <v>28029365</v>
      </c>
      <c r="H24922">
        <v>10382263</v>
      </c>
      <c r="I24922">
        <v>54534772</v>
      </c>
      <c r="J24922">
        <v>2</v>
      </c>
    </row>
    <row r="24923" spans="1:10" x14ac:dyDescent="0.25">
      <c r="A24923" t="s">
        <v>1642</v>
      </c>
      <c r="B24923" s="1" t="str">
        <f>HYPERLINK("http://thermera.fi","thermera.fi")</f>
        <v>thermera.fi</v>
      </c>
      <c r="C24923" t="s">
        <v>445</v>
      </c>
      <c r="D24923" t="s">
        <v>823</v>
      </c>
      <c r="J24923">
        <v>2</v>
      </c>
    </row>
    <row r="24924" spans="1:10" x14ac:dyDescent="0.25">
      <c r="A24924" t="s">
        <v>1642</v>
      </c>
      <c r="B24924" s="1" t="str">
        <f>HYPERLINK("http://totuusbiopolttoaineista.fi","totuusbiopolttoaineista.fi")</f>
        <v>totuusbiopolttoaineista.fi</v>
      </c>
      <c r="C24924" t="s">
        <v>445</v>
      </c>
      <c r="D24924" t="s">
        <v>823</v>
      </c>
      <c r="J24924">
        <v>2</v>
      </c>
    </row>
    <row r="24925" spans="1:10" x14ac:dyDescent="0.25">
      <c r="A24925" t="s">
        <v>1642</v>
      </c>
      <c r="B24925" s="1" t="str">
        <f>HYPERLINK("http://turbolxe.fi","turbolxe.fi")</f>
        <v>turbolxe.fi</v>
      </c>
      <c r="C24925" t="s">
        <v>445</v>
      </c>
      <c r="D24925" t="s">
        <v>823</v>
      </c>
      <c r="J24925">
        <v>2</v>
      </c>
    </row>
    <row r="24926" spans="1:10" x14ac:dyDescent="0.25">
      <c r="A24926" t="s">
        <v>1642</v>
      </c>
      <c r="B24926" s="1" t="str">
        <f>HYPERLINK("http://voiteluaine.fi","voiteluaine.fi")</f>
        <v>voiteluaine.fi</v>
      </c>
      <c r="C24926" t="s">
        <v>445</v>
      </c>
      <c r="D24926" t="s">
        <v>823</v>
      </c>
      <c r="J24926">
        <v>2</v>
      </c>
    </row>
    <row r="24927" spans="1:10" x14ac:dyDescent="0.25">
      <c r="A24927" t="s">
        <v>1642</v>
      </c>
      <c r="B24927" s="1" t="str">
        <f>HYPERLINK("http://voltera.fi","voltera.fi")</f>
        <v>voltera.fi</v>
      </c>
      <c r="C24927" t="s">
        <v>445</v>
      </c>
      <c r="D24927" t="s">
        <v>823</v>
      </c>
      <c r="J24927">
        <v>2</v>
      </c>
    </row>
    <row r="24928" spans="1:10" x14ac:dyDescent="0.25">
      <c r="A24928" t="s">
        <v>1642</v>
      </c>
      <c r="B24928" s="1" t="str">
        <f>HYPERLINK("http://winningculture.fi","winningculture.fi")</f>
        <v>winningculture.fi</v>
      </c>
      <c r="C24928" t="s">
        <v>445</v>
      </c>
      <c r="D24928" t="s">
        <v>823</v>
      </c>
      <c r="J24928">
        <v>2</v>
      </c>
    </row>
    <row r="24929" spans="1:10" x14ac:dyDescent="0.25">
      <c r="A24929" t="s">
        <v>1642</v>
      </c>
      <c r="B24929" s="1" t="str">
        <f>HYPERLINK("http://neste.lt","neste.lt")</f>
        <v>neste.lt</v>
      </c>
      <c r="C24929" t="s">
        <v>467</v>
      </c>
      <c r="D24929" t="s">
        <v>843</v>
      </c>
      <c r="F24929">
        <v>2.7637371078543599E-8</v>
      </c>
      <c r="G24929">
        <v>1860360</v>
      </c>
      <c r="H24929">
        <v>12446970</v>
      </c>
      <c r="I24929">
        <v>18064342</v>
      </c>
      <c r="J24929">
        <v>2</v>
      </c>
    </row>
    <row r="24930" spans="1:10" x14ac:dyDescent="0.25">
      <c r="A24930" t="s">
        <v>1642</v>
      </c>
      <c r="B24930" s="1" t="str">
        <f>HYPERLINK("http://neste.lv","neste.lv")</f>
        <v>neste.lv</v>
      </c>
      <c r="C24930" t="s">
        <v>468</v>
      </c>
      <c r="D24930" t="s">
        <v>844</v>
      </c>
      <c r="E24930">
        <v>809940</v>
      </c>
      <c r="F24930">
        <v>3.3924274993586099E-8</v>
      </c>
      <c r="G24930">
        <v>1525894</v>
      </c>
      <c r="H24930">
        <v>14072216</v>
      </c>
      <c r="I24930">
        <v>3134239</v>
      </c>
      <c r="J24930">
        <v>2</v>
      </c>
    </row>
    <row r="24931" spans="1:10" x14ac:dyDescent="0.25">
      <c r="A24931" t="s">
        <v>1642</v>
      </c>
      <c r="B24931" s="1" t="str">
        <f>HYPERLINK("http://neste.nl","neste.nl")</f>
        <v>neste.nl</v>
      </c>
      <c r="C24931" t="s">
        <v>477</v>
      </c>
      <c r="D24931" t="s">
        <v>852</v>
      </c>
      <c r="F24931">
        <v>4.5255597225958803E-8</v>
      </c>
      <c r="G24931">
        <v>1041788</v>
      </c>
      <c r="H24931">
        <v>13846321</v>
      </c>
      <c r="I24931">
        <v>6060484</v>
      </c>
      <c r="J24931">
        <v>2</v>
      </c>
    </row>
    <row r="24932" spans="1:10" x14ac:dyDescent="0.25">
      <c r="A24932" t="s">
        <v>1642</v>
      </c>
      <c r="B24932" s="1" t="str">
        <f>HYPERLINK("http://neste.ru","neste.ru")</f>
        <v>neste.ru</v>
      </c>
      <c r="C24932" t="s">
        <v>493</v>
      </c>
      <c r="D24932" t="s">
        <v>867</v>
      </c>
      <c r="F24932">
        <v>3.35624108315057E-8</v>
      </c>
      <c r="G24932">
        <v>1540626</v>
      </c>
      <c r="H24932">
        <v>14077842</v>
      </c>
      <c r="I24932">
        <v>2857770</v>
      </c>
      <c r="J24932">
        <v>2</v>
      </c>
    </row>
    <row r="24933" spans="1:10" x14ac:dyDescent="0.25">
      <c r="A24933" t="s">
        <v>1642</v>
      </c>
      <c r="B24933" s="1" t="str">
        <f>HYPERLINK("http://neste-lub.ru","neste-lub.ru")</f>
        <v>neste-lub.ru</v>
      </c>
      <c r="C24933" t="s">
        <v>493</v>
      </c>
      <c r="D24933" t="s">
        <v>867</v>
      </c>
      <c r="F24933">
        <v>9.6560819450125999E-9</v>
      </c>
      <c r="G24933">
        <v>7133042</v>
      </c>
      <c r="H24933">
        <v>11185653</v>
      </c>
      <c r="I24933">
        <v>31387925</v>
      </c>
      <c r="J24933">
        <v>2</v>
      </c>
    </row>
    <row r="24934" spans="1:10" x14ac:dyDescent="0.25">
      <c r="A24934" t="s">
        <v>1642</v>
      </c>
      <c r="B24934" s="1" t="str">
        <f>HYPERLINK("http://neste.se","neste.se")</f>
        <v>neste.se</v>
      </c>
      <c r="C24934" t="s">
        <v>495</v>
      </c>
      <c r="D24934" t="s">
        <v>869</v>
      </c>
      <c r="F24934">
        <v>4.0965337704232299E-8</v>
      </c>
      <c r="G24934">
        <v>1266312</v>
      </c>
      <c r="H24934">
        <v>13828438</v>
      </c>
      <c r="I24934">
        <v>6115618</v>
      </c>
      <c r="J24934">
        <v>2</v>
      </c>
    </row>
    <row r="24935" spans="1:10" x14ac:dyDescent="0.25">
      <c r="A24935" t="s">
        <v>1642</v>
      </c>
      <c r="B24935" s="1" t="str">
        <f>HYPERLINK("http://nestemy.se","nestemy.se")</f>
        <v>nestemy.se</v>
      </c>
      <c r="C24935" t="s">
        <v>495</v>
      </c>
      <c r="D24935" t="s">
        <v>869</v>
      </c>
      <c r="F24935">
        <v>4.7600953235488798E-9</v>
      </c>
      <c r="G24935">
        <v>37817601</v>
      </c>
      <c r="H24935">
        <v>10611879</v>
      </c>
      <c r="I24935">
        <v>44525099</v>
      </c>
      <c r="J24935">
        <v>2</v>
      </c>
    </row>
    <row r="24936" spans="1:10" x14ac:dyDescent="0.25">
      <c r="A24936" t="s">
        <v>1642</v>
      </c>
      <c r="B24936" s="1" t="str">
        <f>HYPERLINK("http://neste.sg","neste.sg")</f>
        <v>neste.sg</v>
      </c>
      <c r="C24936" t="s">
        <v>496</v>
      </c>
      <c r="D24936" t="s">
        <v>870</v>
      </c>
      <c r="F24936">
        <v>8.9181295498274104E-9</v>
      </c>
      <c r="G24936">
        <v>8116357</v>
      </c>
      <c r="H24936">
        <v>12639371</v>
      </c>
      <c r="I24936">
        <v>15881642</v>
      </c>
      <c r="J24936">
        <v>2</v>
      </c>
    </row>
    <row r="24937" spans="1:10" x14ac:dyDescent="0.25">
      <c r="A24937" t="s">
        <v>1642</v>
      </c>
      <c r="B24937" s="1" t="str">
        <f>HYPERLINK("http://neste.ua","neste.ua")</f>
        <v>neste.ua</v>
      </c>
      <c r="C24937" t="s">
        <v>505</v>
      </c>
      <c r="D24937" t="s">
        <v>879</v>
      </c>
      <c r="F24937">
        <v>5.5899119100718098E-9</v>
      </c>
      <c r="G24937">
        <v>19956347</v>
      </c>
      <c r="H24937">
        <v>11126120</v>
      </c>
      <c r="I24937">
        <v>31988229</v>
      </c>
      <c r="J24937">
        <v>2</v>
      </c>
    </row>
    <row r="24938" spans="1:10" x14ac:dyDescent="0.25">
      <c r="A24938" t="s">
        <v>1642</v>
      </c>
      <c r="B24938" s="1" t="str">
        <f>HYPERLINK("http://neste.us","neste.us")</f>
        <v>neste.us</v>
      </c>
      <c r="C24938" t="s">
        <v>522</v>
      </c>
      <c r="D24938" t="s">
        <v>891</v>
      </c>
      <c r="F24938">
        <v>9.1200536965822497E-8</v>
      </c>
      <c r="G24938">
        <v>447007</v>
      </c>
      <c r="H24938">
        <v>13609119</v>
      </c>
      <c r="I24938">
        <v>9637627</v>
      </c>
      <c r="J24938">
        <v>2</v>
      </c>
    </row>
    <row r="24939" spans="1:10" x14ac:dyDescent="0.25">
      <c r="A24939" t="s">
        <v>275</v>
      </c>
      <c r="B24939" s="1" t="str">
        <f>HYPERLINK("http://dolce-gusto.com.ar","dolce-gusto.com.ar")</f>
        <v>dolce-gusto.com.ar</v>
      </c>
      <c r="C24939" t="s">
        <v>418</v>
      </c>
      <c r="D24939" t="s">
        <v>800</v>
      </c>
      <c r="F24939">
        <v>3.15923893151859E-8</v>
      </c>
      <c r="G24939">
        <v>1633597</v>
      </c>
      <c r="H24939">
        <v>13597444</v>
      </c>
      <c r="I24939">
        <v>9654512</v>
      </c>
      <c r="J24939">
        <v>4</v>
      </c>
    </row>
    <row r="24940" spans="1:10" x14ac:dyDescent="0.25">
      <c r="A24940" t="s">
        <v>275</v>
      </c>
      <c r="B24940" s="1" t="str">
        <f>HYPERLINK("http://froneri.com.ar","froneri.com.ar")</f>
        <v>froneri.com.ar</v>
      </c>
      <c r="C24940" t="s">
        <v>418</v>
      </c>
      <c r="D24940" t="s">
        <v>800</v>
      </c>
      <c r="F24940">
        <v>1.1320400231144799E-8</v>
      </c>
      <c r="G24940">
        <v>5628530</v>
      </c>
      <c r="H24940">
        <v>10987163</v>
      </c>
      <c r="I24940">
        <v>33801692</v>
      </c>
      <c r="J24940">
        <v>4</v>
      </c>
    </row>
    <row r="24941" spans="1:10" x14ac:dyDescent="0.25">
      <c r="A24941" t="s">
        <v>275</v>
      </c>
      <c r="B24941" s="1" t="str">
        <f>HYPERLINK("http://nestle.com.ar","nestle.com.ar")</f>
        <v>nestle.com.ar</v>
      </c>
      <c r="C24941" t="s">
        <v>418</v>
      </c>
      <c r="D24941" t="s">
        <v>800</v>
      </c>
      <c r="E24941">
        <v>822034</v>
      </c>
      <c r="F24941">
        <v>1.02348287004823E-7</v>
      </c>
      <c r="G24941">
        <v>392351</v>
      </c>
      <c r="H24941">
        <v>14421853</v>
      </c>
      <c r="I24941">
        <v>1086347</v>
      </c>
      <c r="J24941">
        <v>2</v>
      </c>
    </row>
    <row r="24942" spans="1:10" x14ac:dyDescent="0.25">
      <c r="A24942" t="s">
        <v>275</v>
      </c>
      <c r="B24942" s="1" t="str">
        <f>HYPERLINK("http://dolce-gusto.at","dolce-gusto.at")</f>
        <v>dolce-gusto.at</v>
      </c>
      <c r="C24942" t="s">
        <v>419</v>
      </c>
      <c r="D24942" t="s">
        <v>801</v>
      </c>
      <c r="F24942">
        <v>1.7148024283154201E-8</v>
      </c>
      <c r="G24942">
        <v>3250254</v>
      </c>
      <c r="H24942">
        <v>12401935</v>
      </c>
      <c r="I24942">
        <v>18750507</v>
      </c>
      <c r="J24942">
        <v>4</v>
      </c>
    </row>
    <row r="24943" spans="1:10" x14ac:dyDescent="0.25">
      <c r="A24943" t="s">
        <v>275</v>
      </c>
      <c r="B24943" s="1" t="str">
        <f>HYPERLINK("http://froneri.at","froneri.at")</f>
        <v>froneri.at</v>
      </c>
      <c r="C24943" t="s">
        <v>419</v>
      </c>
      <c r="D24943" t="s">
        <v>801</v>
      </c>
      <c r="F24943">
        <v>1.8252098610505401E-8</v>
      </c>
      <c r="G24943">
        <v>2976802</v>
      </c>
      <c r="H24943">
        <v>12554942</v>
      </c>
      <c r="I24943">
        <v>16775652</v>
      </c>
      <c r="J24943">
        <v>4</v>
      </c>
    </row>
    <row r="24944" spans="1:10" x14ac:dyDescent="0.25">
      <c r="A24944" t="s">
        <v>275</v>
      </c>
      <c r="B24944" s="1" t="str">
        <f>HYPERLINK("http://maggi.at","maggi.at")</f>
        <v>maggi.at</v>
      </c>
      <c r="C24944" t="s">
        <v>419</v>
      </c>
      <c r="D24944" t="s">
        <v>801</v>
      </c>
      <c r="F24944">
        <v>1.7104872835717201E-8</v>
      </c>
      <c r="G24944">
        <v>3259697</v>
      </c>
      <c r="H24944">
        <v>13773507</v>
      </c>
      <c r="I24944">
        <v>6630029</v>
      </c>
      <c r="J24944">
        <v>3</v>
      </c>
    </row>
    <row r="24945" spans="1:10" x14ac:dyDescent="0.25">
      <c r="A24945" t="s">
        <v>275</v>
      </c>
      <c r="B24945" s="1" t="str">
        <f>HYPERLINK("http://nespresso.at","nespresso.at")</f>
        <v>nespresso.at</v>
      </c>
      <c r="C24945" t="s">
        <v>419</v>
      </c>
      <c r="D24945" t="s">
        <v>801</v>
      </c>
      <c r="F24945">
        <v>1.8046448275351501E-8</v>
      </c>
      <c r="G24945">
        <v>3021057</v>
      </c>
      <c r="H24945">
        <v>13363148</v>
      </c>
      <c r="I24945">
        <v>10498676</v>
      </c>
      <c r="J24945">
        <v>4</v>
      </c>
    </row>
    <row r="24946" spans="1:10" x14ac:dyDescent="0.25">
      <c r="A24946" t="s">
        <v>275</v>
      </c>
      <c r="B24946" s="1" t="str">
        <f>HYPERLINK("http://nestle.at","nestle.at")</f>
        <v>nestle.at</v>
      </c>
      <c r="C24946" t="s">
        <v>419</v>
      </c>
      <c r="D24946" t="s">
        <v>801</v>
      </c>
      <c r="F24946">
        <v>6.97044588817871E-8</v>
      </c>
      <c r="G24946">
        <v>608769</v>
      </c>
      <c r="H24946">
        <v>14238064</v>
      </c>
      <c r="I24946">
        <v>1534170</v>
      </c>
      <c r="J24946">
        <v>2</v>
      </c>
    </row>
    <row r="24947" spans="1:10" x14ac:dyDescent="0.25">
      <c r="A24947" t="s">
        <v>275</v>
      </c>
      <c r="B24947" s="1" t="str">
        <f>HYPERLINK("http://nestlehealthscience.at","nestlehealthscience.at")</f>
        <v>nestlehealthscience.at</v>
      </c>
      <c r="C24947" t="s">
        <v>419</v>
      </c>
      <c r="D24947" t="s">
        <v>801</v>
      </c>
      <c r="F24947">
        <v>9.5051146315474707E-9</v>
      </c>
      <c r="G24947">
        <v>7316511</v>
      </c>
      <c r="H24947">
        <v>10993496</v>
      </c>
      <c r="I24947">
        <v>33688471</v>
      </c>
      <c r="J24947">
        <v>6</v>
      </c>
    </row>
    <row r="24948" spans="1:10" x14ac:dyDescent="0.25">
      <c r="A24948" t="s">
        <v>275</v>
      </c>
      <c r="B24948" s="1" t="str">
        <f>HYPERLINK("http://purina.at","purina.at")</f>
        <v>purina.at</v>
      </c>
      <c r="C24948" t="s">
        <v>419</v>
      </c>
      <c r="D24948" t="s">
        <v>801</v>
      </c>
      <c r="F24948">
        <v>3.4175774664044299E-8</v>
      </c>
      <c r="G24948">
        <v>1516190</v>
      </c>
      <c r="H24948">
        <v>12705649</v>
      </c>
      <c r="I24948">
        <v>15324942</v>
      </c>
      <c r="J24948">
        <v>4</v>
      </c>
    </row>
    <row r="24949" spans="1:10" x14ac:dyDescent="0.25">
      <c r="A24949" t="s">
        <v>275</v>
      </c>
      <c r="B24949" s="1" t="str">
        <f>HYPERLINK("http://dolce-gusto.com.au","dolce-gusto.com.au")</f>
        <v>dolce-gusto.com.au</v>
      </c>
      <c r="C24949" t="s">
        <v>420</v>
      </c>
      <c r="D24949" t="s">
        <v>802</v>
      </c>
      <c r="F24949">
        <v>1.2888982076014401E-8</v>
      </c>
      <c r="G24949">
        <v>4684617</v>
      </c>
      <c r="H24949">
        <v>13058660</v>
      </c>
      <c r="I24949">
        <v>12517545</v>
      </c>
      <c r="J24949">
        <v>4</v>
      </c>
    </row>
    <row r="24950" spans="1:10" x14ac:dyDescent="0.25">
      <c r="A24950" t="s">
        <v>275</v>
      </c>
      <c r="B24950" s="1" t="str">
        <f>HYPERLINK("http://maggi.com.au","maggi.com.au")</f>
        <v>maggi.com.au</v>
      </c>
      <c r="C24950" t="s">
        <v>420</v>
      </c>
      <c r="D24950" t="s">
        <v>802</v>
      </c>
      <c r="F24950">
        <v>1.7217845686999299E-8</v>
      </c>
      <c r="G24950">
        <v>3220215</v>
      </c>
      <c r="H24950">
        <v>14582692</v>
      </c>
      <c r="I24950">
        <v>705975</v>
      </c>
      <c r="J24950">
        <v>3</v>
      </c>
    </row>
    <row r="24951" spans="1:10" x14ac:dyDescent="0.25">
      <c r="A24951" t="s">
        <v>275</v>
      </c>
      <c r="B24951" s="1" t="str">
        <f>HYPERLINK("http://nespresso.com.au","nespresso.com.au")</f>
        <v>nespresso.com.au</v>
      </c>
      <c r="C24951" t="s">
        <v>420</v>
      </c>
      <c r="D24951" t="s">
        <v>802</v>
      </c>
      <c r="F24951">
        <v>1.54586936451362E-8</v>
      </c>
      <c r="G24951">
        <v>3696447</v>
      </c>
      <c r="H24951">
        <v>12495155</v>
      </c>
      <c r="I24951">
        <v>17426495</v>
      </c>
      <c r="J24951">
        <v>4</v>
      </c>
    </row>
    <row r="24952" spans="1:10" x14ac:dyDescent="0.25">
      <c r="A24952" t="s">
        <v>275</v>
      </c>
      <c r="B24952" s="1" t="str">
        <f>HYPERLINK("http://nestle.com.au","nestle.com.au")</f>
        <v>nestle.com.au</v>
      </c>
      <c r="C24952" t="s">
        <v>420</v>
      </c>
      <c r="D24952" t="s">
        <v>802</v>
      </c>
      <c r="E24952">
        <v>486102</v>
      </c>
      <c r="F24952">
        <v>2.08154929867139E-7</v>
      </c>
      <c r="G24952">
        <v>182039</v>
      </c>
      <c r="H24952">
        <v>17167062</v>
      </c>
      <c r="I24952">
        <v>48359</v>
      </c>
      <c r="J24952">
        <v>2</v>
      </c>
    </row>
    <row r="24953" spans="1:10" x14ac:dyDescent="0.25">
      <c r="A24953" t="s">
        <v>275</v>
      </c>
      <c r="B24953" s="1" t="str">
        <f>HYPERLINK("http://nestlehealthscience.com.au","nestlehealthscience.com.au")</f>
        <v>nestlehealthscience.com.au</v>
      </c>
      <c r="C24953" t="s">
        <v>420</v>
      </c>
      <c r="D24953" t="s">
        <v>802</v>
      </c>
      <c r="F24953">
        <v>9.1589799400202501E-9</v>
      </c>
      <c r="G24953">
        <v>7766198</v>
      </c>
      <c r="H24953">
        <v>12579397</v>
      </c>
      <c r="I24953">
        <v>16519133</v>
      </c>
      <c r="J24953">
        <v>6</v>
      </c>
    </row>
    <row r="24954" spans="1:10" x14ac:dyDescent="0.25">
      <c r="A24954" t="s">
        <v>275</v>
      </c>
      <c r="B24954" s="1" t="str">
        <f>HYPERLINK("http://purina.com.au","purina.com.au")</f>
        <v>purina.com.au</v>
      </c>
      <c r="C24954" t="s">
        <v>420</v>
      </c>
      <c r="D24954" t="s">
        <v>802</v>
      </c>
      <c r="E24954">
        <v>332559</v>
      </c>
      <c r="F24954">
        <v>1.6180699871199999E-7</v>
      </c>
      <c r="G24954">
        <v>239904</v>
      </c>
      <c r="H24954">
        <v>15018263</v>
      </c>
      <c r="I24954">
        <v>421367</v>
      </c>
      <c r="J24954">
        <v>4</v>
      </c>
    </row>
    <row r="24955" spans="1:10" x14ac:dyDescent="0.25">
      <c r="A24955" t="s">
        <v>275</v>
      </c>
      <c r="B24955" s="1" t="str">
        <f>HYPERLINK("http://uncletobys.com.au","uncletobys.com.au")</f>
        <v>uncletobys.com.au</v>
      </c>
      <c r="C24955" t="s">
        <v>420</v>
      </c>
      <c r="D24955" t="s">
        <v>802</v>
      </c>
      <c r="F24955">
        <v>2.3414528030173001E-8</v>
      </c>
      <c r="G24955">
        <v>2224053</v>
      </c>
      <c r="H24955">
        <v>14616662</v>
      </c>
      <c r="I24955">
        <v>664606</v>
      </c>
      <c r="J24955">
        <v>3</v>
      </c>
    </row>
    <row r="24956" spans="1:10" x14ac:dyDescent="0.25">
      <c r="A24956" t="s">
        <v>275</v>
      </c>
      <c r="B24956" s="1" t="str">
        <f>HYPERLINK("http://nestle.ba","nestle.ba")</f>
        <v>nestle.ba</v>
      </c>
      <c r="C24956" t="s">
        <v>526</v>
      </c>
      <c r="D24956" t="s">
        <v>893</v>
      </c>
      <c r="F24956">
        <v>5.5213600261425601E-8</v>
      </c>
      <c r="G24956">
        <v>813756</v>
      </c>
      <c r="H24956">
        <v>12685698</v>
      </c>
      <c r="I24956">
        <v>15452048</v>
      </c>
      <c r="J24956">
        <v>2</v>
      </c>
    </row>
    <row r="24957" spans="1:10" x14ac:dyDescent="0.25">
      <c r="A24957" t="s">
        <v>275</v>
      </c>
      <c r="B24957" s="1" t="str">
        <f>HYPERLINK("http://nestle.com.bd","nestle.com.bd")</f>
        <v>nestle.com.bd</v>
      </c>
      <c r="C24957" t="s">
        <v>603</v>
      </c>
      <c r="D24957" t="s">
        <v>934</v>
      </c>
      <c r="F24957">
        <v>4.4040485164678698E-8</v>
      </c>
      <c r="G24957">
        <v>1080242</v>
      </c>
      <c r="H24957">
        <v>12451314</v>
      </c>
      <c r="I24957">
        <v>17981187</v>
      </c>
      <c r="J24957">
        <v>2</v>
      </c>
    </row>
    <row r="24958" spans="1:10" x14ac:dyDescent="0.25">
      <c r="A24958" t="s">
        <v>275</v>
      </c>
      <c r="B24958" s="1" t="str">
        <f>HYPERLINK("http://dolce-gusto.be","dolce-gusto.be")</f>
        <v>dolce-gusto.be</v>
      </c>
      <c r="C24958" t="s">
        <v>421</v>
      </c>
      <c r="D24958" t="s">
        <v>803</v>
      </c>
      <c r="E24958">
        <v>921591</v>
      </c>
      <c r="F24958">
        <v>9.3112270298717796E-8</v>
      </c>
      <c r="G24958">
        <v>436742</v>
      </c>
      <c r="H24958">
        <v>14060278</v>
      </c>
      <c r="I24958">
        <v>3886762</v>
      </c>
      <c r="J24958">
        <v>3</v>
      </c>
    </row>
    <row r="24959" spans="1:10" x14ac:dyDescent="0.25">
      <c r="A24959" t="s">
        <v>275</v>
      </c>
      <c r="B24959" s="1" t="str">
        <f>HYPERLINK("http://nespresso.be","nespresso.be")</f>
        <v>nespresso.be</v>
      </c>
      <c r="C24959" t="s">
        <v>421</v>
      </c>
      <c r="D24959" t="s">
        <v>803</v>
      </c>
      <c r="F24959">
        <v>5.1332239032849102E-9</v>
      </c>
      <c r="G24959">
        <v>26394890</v>
      </c>
      <c r="H24959">
        <v>13765844</v>
      </c>
      <c r="I24959">
        <v>7059133</v>
      </c>
      <c r="J24959">
        <v>4</v>
      </c>
    </row>
    <row r="24960" spans="1:10" x14ac:dyDescent="0.25">
      <c r="A24960" t="s">
        <v>275</v>
      </c>
      <c r="B24960" s="1" t="str">
        <f>HYPERLINK("http://nestle.be","nestle.be")</f>
        <v>nestle.be</v>
      </c>
      <c r="C24960" t="s">
        <v>421</v>
      </c>
      <c r="D24960" t="s">
        <v>803</v>
      </c>
      <c r="F24960">
        <v>8.9665076473377505E-8</v>
      </c>
      <c r="G24960">
        <v>455370</v>
      </c>
      <c r="H24960">
        <v>14491309</v>
      </c>
      <c r="I24960">
        <v>904165</v>
      </c>
      <c r="J24960">
        <v>2</v>
      </c>
    </row>
    <row r="24961" spans="1:10" x14ac:dyDescent="0.25">
      <c r="A24961" t="s">
        <v>275</v>
      </c>
      <c r="B24961" s="1" t="str">
        <f>HYPERLINK("http://nestlehealthscience.be","nestlehealthscience.be")</f>
        <v>nestlehealthscience.be</v>
      </c>
      <c r="C24961" t="s">
        <v>421</v>
      </c>
      <c r="D24961" t="s">
        <v>803</v>
      </c>
      <c r="F24961">
        <v>7.0670665647734302E-9</v>
      </c>
      <c r="G24961">
        <v>12107046</v>
      </c>
      <c r="H24961">
        <v>10815258</v>
      </c>
      <c r="I24961">
        <v>37733214</v>
      </c>
      <c r="J24961">
        <v>6</v>
      </c>
    </row>
    <row r="24962" spans="1:10" x14ac:dyDescent="0.25">
      <c r="A24962" t="s">
        <v>275</v>
      </c>
      <c r="B24962" s="1" t="str">
        <f>HYPERLINK("http://purina.be","purina.be")</f>
        <v>purina.be</v>
      </c>
      <c r="C24962" t="s">
        <v>421</v>
      </c>
      <c r="D24962" t="s">
        <v>803</v>
      </c>
      <c r="F24962">
        <v>4.31950925797437E-8</v>
      </c>
      <c r="G24962">
        <v>1111019</v>
      </c>
      <c r="H24962">
        <v>12532382</v>
      </c>
      <c r="I24962">
        <v>17013624</v>
      </c>
      <c r="J24962">
        <v>5</v>
      </c>
    </row>
    <row r="24963" spans="1:10" x14ac:dyDescent="0.25">
      <c r="A24963" t="s">
        <v>275</v>
      </c>
      <c r="B24963" s="1" t="str">
        <f>HYPERLINK("http://dolce-gusto.bg","dolce-gusto.bg")</f>
        <v>dolce-gusto.bg</v>
      </c>
      <c r="C24963" t="s">
        <v>422</v>
      </c>
      <c r="D24963" t="s">
        <v>804</v>
      </c>
      <c r="F24963">
        <v>2.1963221918853401E-8</v>
      </c>
      <c r="G24963">
        <v>2390579</v>
      </c>
      <c r="H24963">
        <v>12502099</v>
      </c>
      <c r="I24963">
        <v>17340364</v>
      </c>
      <c r="J24963">
        <v>4</v>
      </c>
    </row>
    <row r="24964" spans="1:10" x14ac:dyDescent="0.25">
      <c r="A24964" t="s">
        <v>275</v>
      </c>
      <c r="B24964" s="1" t="str">
        <f>HYPERLINK("http://nespresso.bg","nespresso.bg")</f>
        <v>nespresso.bg</v>
      </c>
      <c r="C24964" t="s">
        <v>422</v>
      </c>
      <c r="D24964" t="s">
        <v>804</v>
      </c>
      <c r="F24964">
        <v>1.07549497717437E-8</v>
      </c>
      <c r="G24964">
        <v>6056187</v>
      </c>
      <c r="H24964">
        <v>12497940</v>
      </c>
      <c r="I24964">
        <v>17381601</v>
      </c>
      <c r="J24964">
        <v>4</v>
      </c>
    </row>
    <row r="24965" spans="1:10" x14ac:dyDescent="0.25">
      <c r="A24965" t="s">
        <v>275</v>
      </c>
      <c r="B24965" s="1" t="str">
        <f>HYPERLINK("http://nestle.bg","nestle.bg")</f>
        <v>nestle.bg</v>
      </c>
      <c r="C24965" t="s">
        <v>422</v>
      </c>
      <c r="D24965" t="s">
        <v>804</v>
      </c>
      <c r="F24965">
        <v>9.4413397907271903E-8</v>
      </c>
      <c r="G24965">
        <v>429793</v>
      </c>
      <c r="H24965">
        <v>14512015</v>
      </c>
      <c r="I24965">
        <v>820118</v>
      </c>
      <c r="J24965">
        <v>2</v>
      </c>
    </row>
    <row r="24966" spans="1:10" x14ac:dyDescent="0.25">
      <c r="A24966" t="s">
        <v>275</v>
      </c>
      <c r="B24966" s="1" t="str">
        <f>HYPERLINK("http://purina.bg","purina.bg")</f>
        <v>purina.bg</v>
      </c>
      <c r="C24966" t="s">
        <v>422</v>
      </c>
      <c r="D24966" t="s">
        <v>804</v>
      </c>
      <c r="F24966">
        <v>1.95889353149125E-8</v>
      </c>
      <c r="G24966">
        <v>2729822</v>
      </c>
      <c r="H24966">
        <v>14073588</v>
      </c>
      <c r="I24966">
        <v>2983961</v>
      </c>
      <c r="J24966">
        <v>4</v>
      </c>
    </row>
    <row r="24967" spans="1:10" x14ac:dyDescent="0.25">
      <c r="A24967" t="s">
        <v>275</v>
      </c>
      <c r="B24967" s="1" t="str">
        <f>HYPERLINK("http://nestle.com.bo","nestle.com.bo")</f>
        <v>nestle.com.bo</v>
      </c>
      <c r="C24967" t="s">
        <v>424</v>
      </c>
      <c r="D24967" t="s">
        <v>805</v>
      </c>
      <c r="F24967">
        <v>4.09627155056727E-8</v>
      </c>
      <c r="G24967">
        <v>1266395</v>
      </c>
      <c r="H24967">
        <v>14073350</v>
      </c>
      <c r="I24967">
        <v>3000437</v>
      </c>
      <c r="J24967">
        <v>2</v>
      </c>
    </row>
    <row r="24968" spans="1:10" x14ac:dyDescent="0.25">
      <c r="A24968" t="s">
        <v>275</v>
      </c>
      <c r="B24968" s="1" t="str">
        <f>HYPERLINK("http://froneri.com.br","froneri.com.br")</f>
        <v>froneri.com.br</v>
      </c>
      <c r="C24968" t="s">
        <v>425</v>
      </c>
      <c r="D24968" t="s">
        <v>806</v>
      </c>
      <c r="F24968">
        <v>1.16736002273479E-8</v>
      </c>
      <c r="G24968">
        <v>5383270</v>
      </c>
      <c r="H24968">
        <v>11026474</v>
      </c>
      <c r="I24968">
        <v>33159959</v>
      </c>
      <c r="J24968">
        <v>4</v>
      </c>
    </row>
    <row r="24969" spans="1:10" x14ac:dyDescent="0.25">
      <c r="A24969" t="s">
        <v>275</v>
      </c>
      <c r="B24969" s="1" t="str">
        <f>HYPERLINK("http://garoto.com.br","garoto.com.br")</f>
        <v>garoto.com.br</v>
      </c>
      <c r="C24969" t="s">
        <v>425</v>
      </c>
      <c r="D24969" t="s">
        <v>806</v>
      </c>
      <c r="F24969">
        <v>1.73713169511573E-8</v>
      </c>
      <c r="G24969">
        <v>3181951</v>
      </c>
      <c r="H24969">
        <v>14149418</v>
      </c>
      <c r="I24969">
        <v>1881427</v>
      </c>
      <c r="J24969">
        <v>3</v>
      </c>
    </row>
    <row r="24970" spans="1:10" x14ac:dyDescent="0.25">
      <c r="A24970" t="s">
        <v>275</v>
      </c>
      <c r="B24970" s="1" t="str">
        <f>HYPERLINK("http://nestle.com.br","nestle.com.br")</f>
        <v>nestle.com.br</v>
      </c>
      <c r="C24970" t="s">
        <v>425</v>
      </c>
      <c r="D24970" t="s">
        <v>806</v>
      </c>
      <c r="E24970">
        <v>227351</v>
      </c>
      <c r="F24970">
        <v>1.0322110801022E-7</v>
      </c>
      <c r="G24970">
        <v>388781</v>
      </c>
      <c r="H24970">
        <v>15017486</v>
      </c>
      <c r="I24970">
        <v>421545</v>
      </c>
      <c r="J24970">
        <v>2</v>
      </c>
    </row>
    <row r="24971" spans="1:10" x14ac:dyDescent="0.25">
      <c r="A24971" t="s">
        <v>275</v>
      </c>
      <c r="B24971" s="1" t="str">
        <f>HYPERLINK("http://nestlehealthscience.com.br","nestlehealthscience.com.br")</f>
        <v>nestlehealthscience.com.br</v>
      </c>
      <c r="C24971" t="s">
        <v>425</v>
      </c>
      <c r="D24971" t="s">
        <v>806</v>
      </c>
      <c r="F24971">
        <v>7.1583147373584201E-9</v>
      </c>
      <c r="G24971">
        <v>11854732</v>
      </c>
      <c r="H24971">
        <v>11105278</v>
      </c>
      <c r="I24971">
        <v>32209747</v>
      </c>
      <c r="J24971">
        <v>6</v>
      </c>
    </row>
    <row r="24972" spans="1:10" x14ac:dyDescent="0.25">
      <c r="A24972" t="s">
        <v>275</v>
      </c>
      <c r="B24972" s="1" t="str">
        <f>HYPERLINK("http://puravida.com.br","puravida.com.br")</f>
        <v>puravida.com.br</v>
      </c>
      <c r="C24972" t="s">
        <v>425</v>
      </c>
      <c r="D24972" t="s">
        <v>806</v>
      </c>
      <c r="E24972">
        <v>640605</v>
      </c>
      <c r="F24972">
        <v>2.1303141585004901E-8</v>
      </c>
      <c r="G24972">
        <v>2473791</v>
      </c>
      <c r="H24972">
        <v>13824844</v>
      </c>
      <c r="I24972">
        <v>6127682</v>
      </c>
      <c r="J24972">
        <v>3</v>
      </c>
    </row>
    <row r="24973" spans="1:10" x14ac:dyDescent="0.25">
      <c r="A24973" t="s">
        <v>275</v>
      </c>
      <c r="B24973" s="1" t="str">
        <f>HYPERLINK("http://bodyfortress.ca","bodyfortress.ca")</f>
        <v>bodyfortress.ca</v>
      </c>
      <c r="C24973" t="s">
        <v>428</v>
      </c>
      <c r="D24973" t="s">
        <v>809</v>
      </c>
      <c r="J24973">
        <v>4</v>
      </c>
    </row>
    <row r="24974" spans="1:10" x14ac:dyDescent="0.25">
      <c r="A24974" t="s">
        <v>275</v>
      </c>
      <c r="B24974" s="1" t="str">
        <f>HYPERLINK("http://nespresso.ca","nespresso.ca")</f>
        <v>nespresso.ca</v>
      </c>
      <c r="C24974" t="s">
        <v>428</v>
      </c>
      <c r="D24974" t="s">
        <v>809</v>
      </c>
      <c r="F24974">
        <v>1.36801260612882E-8</v>
      </c>
      <c r="G24974">
        <v>4329085</v>
      </c>
      <c r="H24974">
        <v>12469150</v>
      </c>
      <c r="I24974">
        <v>17768049</v>
      </c>
      <c r="J24974">
        <v>4</v>
      </c>
    </row>
    <row r="24975" spans="1:10" x14ac:dyDescent="0.25">
      <c r="A24975" t="s">
        <v>275</v>
      </c>
      <c r="B24975" s="1" t="str">
        <f>HYPERLINK("http://nestle.ca","nestle.ca")</f>
        <v>nestle.ca</v>
      </c>
      <c r="C24975" t="s">
        <v>428</v>
      </c>
      <c r="D24975" t="s">
        <v>809</v>
      </c>
      <c r="E24975">
        <v>473618</v>
      </c>
      <c r="F24975">
        <v>1.3002603831502501E-7</v>
      </c>
      <c r="G24975">
        <v>301005</v>
      </c>
      <c r="H24975">
        <v>14854824</v>
      </c>
      <c r="I24975">
        <v>487844</v>
      </c>
      <c r="J24975">
        <v>2</v>
      </c>
    </row>
    <row r="24976" spans="1:10" x14ac:dyDescent="0.25">
      <c r="A24976" t="s">
        <v>275</v>
      </c>
      <c r="B24976" s="1" t="str">
        <f>HYPERLINK("http://nestlehealthscience.ca","nestlehealthscience.ca")</f>
        <v>nestlehealthscience.ca</v>
      </c>
      <c r="C24976" t="s">
        <v>428</v>
      </c>
      <c r="D24976" t="s">
        <v>809</v>
      </c>
      <c r="F24976">
        <v>1.7309544800999199E-8</v>
      </c>
      <c r="G24976">
        <v>3196895</v>
      </c>
      <c r="H24976">
        <v>13422305</v>
      </c>
      <c r="I24976">
        <v>10300851</v>
      </c>
      <c r="J24976">
        <v>6</v>
      </c>
    </row>
    <row r="24977" spans="1:10" x14ac:dyDescent="0.25">
      <c r="A24977" t="s">
        <v>275</v>
      </c>
      <c r="B24977" s="1" t="str">
        <f>HYPERLINK("http://purina.ca","purina.ca")</f>
        <v>purina.ca</v>
      </c>
      <c r="C24977" t="s">
        <v>428</v>
      </c>
      <c r="D24977" t="s">
        <v>809</v>
      </c>
      <c r="E24977">
        <v>348902</v>
      </c>
      <c r="F24977">
        <v>1.06840007487782E-7</v>
      </c>
      <c r="G24977">
        <v>374707</v>
      </c>
      <c r="H24977">
        <v>14593002</v>
      </c>
      <c r="I24977">
        <v>692917</v>
      </c>
      <c r="J24977">
        <v>4</v>
      </c>
    </row>
    <row r="24978" spans="1:10" x14ac:dyDescent="0.25">
      <c r="A24978" t="s">
        <v>275</v>
      </c>
      <c r="B24978" s="1" t="str">
        <f>HYPERLINK("http://cailler.ch","cailler.ch")</f>
        <v>cailler.ch</v>
      </c>
      <c r="C24978" t="s">
        <v>429</v>
      </c>
      <c r="D24978" t="s">
        <v>810</v>
      </c>
      <c r="E24978">
        <v>489327</v>
      </c>
      <c r="F24978">
        <v>1.50709271912948E-7</v>
      </c>
      <c r="G24978">
        <v>257759</v>
      </c>
      <c r="H24978">
        <v>15089820</v>
      </c>
      <c r="I24978">
        <v>408063</v>
      </c>
      <c r="J24978">
        <v>3</v>
      </c>
    </row>
    <row r="24979" spans="1:10" x14ac:dyDescent="0.25">
      <c r="A24979" t="s">
        <v>275</v>
      </c>
      <c r="B24979" s="1" t="str">
        <f>HYPERLINK("http://dolce-gusto.ch","dolce-gusto.ch")</f>
        <v>dolce-gusto.ch</v>
      </c>
      <c r="C24979" t="s">
        <v>429</v>
      </c>
      <c r="D24979" t="s">
        <v>810</v>
      </c>
      <c r="F24979">
        <v>1.39491127643398E-8</v>
      </c>
      <c r="G24979">
        <v>4222225</v>
      </c>
      <c r="H24979">
        <v>12517864</v>
      </c>
      <c r="I24979">
        <v>17170343</v>
      </c>
      <c r="J24979">
        <v>4</v>
      </c>
    </row>
    <row r="24980" spans="1:10" x14ac:dyDescent="0.25">
      <c r="A24980" t="s">
        <v>275</v>
      </c>
      <c r="B24980" s="1" t="str">
        <f>HYPERLINK("http://nestle.ch","nestle.ch")</f>
        <v>nestle.ch</v>
      </c>
      <c r="C24980" t="s">
        <v>429</v>
      </c>
      <c r="D24980" t="s">
        <v>810</v>
      </c>
      <c r="E24980">
        <v>487738</v>
      </c>
      <c r="F24980">
        <v>2.0307709237895299E-7</v>
      </c>
      <c r="G24980">
        <v>187260</v>
      </c>
      <c r="H24980">
        <v>14644414</v>
      </c>
      <c r="I24980">
        <v>633809</v>
      </c>
      <c r="J24980">
        <v>2</v>
      </c>
    </row>
    <row r="24981" spans="1:10" x14ac:dyDescent="0.25">
      <c r="A24981" t="s">
        <v>275</v>
      </c>
      <c r="B24981" s="1" t="str">
        <f>HYPERLINK("http://nestle-shop.ch","nestle-shop.ch")</f>
        <v>nestle-shop.ch</v>
      </c>
      <c r="C24981" t="s">
        <v>429</v>
      </c>
      <c r="D24981" t="s">
        <v>810</v>
      </c>
      <c r="F24981">
        <v>6.3227935951682901E-9</v>
      </c>
      <c r="G24981">
        <v>14924350</v>
      </c>
      <c r="H24981">
        <v>12369812</v>
      </c>
      <c r="I24981">
        <v>19415746</v>
      </c>
      <c r="J24981">
        <v>3</v>
      </c>
    </row>
    <row r="24982" spans="1:10" x14ac:dyDescent="0.25">
      <c r="A24982" t="s">
        <v>275</v>
      </c>
      <c r="B24982" s="1" t="str">
        <f>HYPERLINK("http://nestlehealthscience.ch","nestlehealthscience.ch")</f>
        <v>nestlehealthscience.ch</v>
      </c>
      <c r="C24982" t="s">
        <v>429</v>
      </c>
      <c r="D24982" t="s">
        <v>810</v>
      </c>
      <c r="F24982">
        <v>1.8640682777348701E-8</v>
      </c>
      <c r="G24982">
        <v>2900008</v>
      </c>
      <c r="H24982">
        <v>12312481</v>
      </c>
      <c r="I24982">
        <v>20564723</v>
      </c>
      <c r="J24982">
        <v>6</v>
      </c>
    </row>
    <row r="24983" spans="1:10" x14ac:dyDescent="0.25">
      <c r="A24983" t="s">
        <v>275</v>
      </c>
      <c r="B24983" s="1" t="str">
        <f>HYPERLINK("http://purina.ch","purina.ch")</f>
        <v>purina.ch</v>
      </c>
      <c r="C24983" t="s">
        <v>429</v>
      </c>
      <c r="D24983" t="s">
        <v>810</v>
      </c>
      <c r="F24983">
        <v>4.23025553358793E-8</v>
      </c>
      <c r="G24983">
        <v>1149755</v>
      </c>
      <c r="H24983">
        <v>13804243</v>
      </c>
      <c r="I24983">
        <v>6258617</v>
      </c>
      <c r="J24983">
        <v>4</v>
      </c>
    </row>
    <row r="24984" spans="1:10" x14ac:dyDescent="0.25">
      <c r="A24984" t="s">
        <v>275</v>
      </c>
      <c r="B24984" s="1" t="str">
        <f>HYPERLINK("http://dolce-gusto.cl","dolce-gusto.cl")</f>
        <v>dolce-gusto.cl</v>
      </c>
      <c r="C24984" t="s">
        <v>430</v>
      </c>
      <c r="D24984" t="s">
        <v>811</v>
      </c>
      <c r="F24984">
        <v>2.93977538840825E-8</v>
      </c>
      <c r="G24984">
        <v>1752927</v>
      </c>
      <c r="H24984">
        <v>12261433</v>
      </c>
      <c r="I24984">
        <v>21731475</v>
      </c>
      <c r="J24984">
        <v>4</v>
      </c>
    </row>
    <row r="24985" spans="1:10" x14ac:dyDescent="0.25">
      <c r="A24985" t="s">
        <v>275</v>
      </c>
      <c r="B24985" s="1" t="str">
        <f>HYPERLINK("http://maggi.cl","maggi.cl")</f>
        <v>maggi.cl</v>
      </c>
      <c r="C24985" t="s">
        <v>430</v>
      </c>
      <c r="D24985" t="s">
        <v>811</v>
      </c>
      <c r="F24985">
        <v>9.4159163383494807E-9</v>
      </c>
      <c r="G24985">
        <v>7424400</v>
      </c>
      <c r="H24985">
        <v>12352505</v>
      </c>
      <c r="I24985">
        <v>19727220</v>
      </c>
      <c r="J24985">
        <v>3</v>
      </c>
    </row>
    <row r="24986" spans="1:10" x14ac:dyDescent="0.25">
      <c r="A24986" t="s">
        <v>275</v>
      </c>
      <c r="B24986" s="1" t="str">
        <f>HYPERLINK("http://nestle.cl","nestle.cl")</f>
        <v>nestle.cl</v>
      </c>
      <c r="C24986" t="s">
        <v>430</v>
      </c>
      <c r="D24986" t="s">
        <v>811</v>
      </c>
      <c r="F24986">
        <v>1.4042815066239401E-7</v>
      </c>
      <c r="G24986">
        <v>277351</v>
      </c>
      <c r="H24986">
        <v>17139746</v>
      </c>
      <c r="I24986">
        <v>54385</v>
      </c>
      <c r="J24986">
        <v>2</v>
      </c>
    </row>
    <row r="24987" spans="1:10" x14ac:dyDescent="0.25">
      <c r="A24987" t="s">
        <v>275</v>
      </c>
      <c r="B24987" s="1" t="str">
        <f>HYPERLINK("http://haoji.com.cn","haoji.com.cn")</f>
        <v>haoji.com.cn</v>
      </c>
      <c r="C24987" t="s">
        <v>431</v>
      </c>
      <c r="D24987" t="s">
        <v>812</v>
      </c>
      <c r="F24987">
        <v>5.2340516527618798E-9</v>
      </c>
      <c r="G24987">
        <v>24509357</v>
      </c>
      <c r="H24987">
        <v>10531373</v>
      </c>
      <c r="I24987">
        <v>48142035</v>
      </c>
      <c r="J24987">
        <v>3</v>
      </c>
    </row>
    <row r="24988" spans="1:10" x14ac:dyDescent="0.25">
      <c r="A24988" t="s">
        <v>275</v>
      </c>
      <c r="B24988" s="1" t="str">
        <f>HYPERLINK("http://nestle.com.cn","nestle.com.cn")</f>
        <v>nestle.com.cn</v>
      </c>
      <c r="C24988" t="s">
        <v>431</v>
      </c>
      <c r="D24988" t="s">
        <v>812</v>
      </c>
      <c r="E24988">
        <v>340870</v>
      </c>
      <c r="F24988">
        <v>9.6908658309053604E-8</v>
      </c>
      <c r="G24988">
        <v>416970</v>
      </c>
      <c r="H24988">
        <v>14108805</v>
      </c>
      <c r="I24988">
        <v>2678951</v>
      </c>
      <c r="J24988">
        <v>2</v>
      </c>
    </row>
    <row r="24989" spans="1:10" x14ac:dyDescent="0.25">
      <c r="A24989" t="s">
        <v>275</v>
      </c>
      <c r="B24989" s="1" t="str">
        <f>HYPERLINK("http://nestlehealthscience.cn","nestlehealthscience.cn")</f>
        <v>nestlehealthscience.cn</v>
      </c>
      <c r="C24989" t="s">
        <v>431</v>
      </c>
      <c r="D24989" t="s">
        <v>812</v>
      </c>
      <c r="F24989">
        <v>4.8753014687604198E-9</v>
      </c>
      <c r="G24989">
        <v>33231658</v>
      </c>
      <c r="H24989">
        <v>10632862</v>
      </c>
      <c r="I24989">
        <v>43917837</v>
      </c>
      <c r="J24989">
        <v>6</v>
      </c>
    </row>
    <row r="24990" spans="1:10" x14ac:dyDescent="0.25">
      <c r="A24990" t="s">
        <v>275</v>
      </c>
      <c r="B24990" s="1" t="str">
        <f>HYPERLINK("http://dolce-gusto.com.co","dolce-gusto.com.co")</f>
        <v>dolce-gusto.com.co</v>
      </c>
      <c r="C24990" t="s">
        <v>432</v>
      </c>
      <c r="F24990">
        <v>1.8507187097917199E-8</v>
      </c>
      <c r="G24990">
        <v>2924249</v>
      </c>
      <c r="H24990">
        <v>12183334</v>
      </c>
      <c r="I24990">
        <v>23730362</v>
      </c>
      <c r="J24990">
        <v>4</v>
      </c>
    </row>
    <row r="24991" spans="1:10" x14ac:dyDescent="0.25">
      <c r="A24991" t="s">
        <v>275</v>
      </c>
      <c r="B24991" s="1" t="str">
        <f>HYPERLINK("http://maggi.com.co","maggi.com.co")</f>
        <v>maggi.com.co</v>
      </c>
      <c r="C24991" t="s">
        <v>432</v>
      </c>
      <c r="F24991">
        <v>9.4134542185212593E-9</v>
      </c>
      <c r="G24991">
        <v>7427694</v>
      </c>
      <c r="H24991">
        <v>13772428</v>
      </c>
      <c r="I24991">
        <v>6660968</v>
      </c>
      <c r="J24991">
        <v>3</v>
      </c>
    </row>
    <row r="24992" spans="1:10" x14ac:dyDescent="0.25">
      <c r="A24992" t="s">
        <v>275</v>
      </c>
      <c r="B24992" s="1" t="str">
        <f>HYPERLINK("http://nestle.com.co","nestle.com.co")</f>
        <v>nestle.com.co</v>
      </c>
      <c r="C24992" t="s">
        <v>432</v>
      </c>
      <c r="F24992">
        <v>7.3853605830822699E-8</v>
      </c>
      <c r="G24992">
        <v>570262</v>
      </c>
      <c r="H24992">
        <v>14545347</v>
      </c>
      <c r="I24992">
        <v>769382</v>
      </c>
      <c r="J24992">
        <v>2</v>
      </c>
    </row>
    <row r="24993" spans="1:10" x14ac:dyDescent="0.25">
      <c r="A24993" t="s">
        <v>275</v>
      </c>
      <c r="B24993" s="1" t="str">
        <f>HYPERLINK("http://purina.com.co","purina.com.co")</f>
        <v>purina.com.co</v>
      </c>
      <c r="C24993" t="s">
        <v>432</v>
      </c>
      <c r="F24993">
        <v>6.5807284656840696E-9</v>
      </c>
      <c r="G24993">
        <v>13751041</v>
      </c>
      <c r="H24993">
        <v>12360169</v>
      </c>
      <c r="I24993">
        <v>19581760</v>
      </c>
      <c r="J24993">
        <v>3</v>
      </c>
    </row>
    <row r="24994" spans="1:10" x14ac:dyDescent="0.25">
      <c r="A24994" t="s">
        <v>275</v>
      </c>
      <c r="B24994" s="1" t="str">
        <f>HYPERLINK("http://nestle.co","nestle.co")</f>
        <v>nestle.co</v>
      </c>
      <c r="C24994" t="s">
        <v>432</v>
      </c>
      <c r="F24994">
        <v>5.2341004632506804E-9</v>
      </c>
      <c r="G24994">
        <v>24508668</v>
      </c>
      <c r="H24994">
        <v>10832933</v>
      </c>
      <c r="I24994">
        <v>37326625</v>
      </c>
      <c r="J24994">
        <v>3</v>
      </c>
    </row>
    <row r="24995" spans="1:10" x14ac:dyDescent="0.25">
      <c r="A24995" t="s">
        <v>275</v>
      </c>
      <c r="B24995" s="1" t="str">
        <f>HYPERLINK("http://acquapanna.com","acquapanna.com")</f>
        <v>acquapanna.com</v>
      </c>
      <c r="C24995" t="s">
        <v>433</v>
      </c>
      <c r="E24995">
        <v>997622</v>
      </c>
      <c r="F24995">
        <v>8.3516075360985205E-8</v>
      </c>
      <c r="G24995">
        <v>496969</v>
      </c>
      <c r="H24995">
        <v>14542005</v>
      </c>
      <c r="I24995">
        <v>773847</v>
      </c>
      <c r="J24995">
        <v>3</v>
      </c>
    </row>
    <row r="24996" spans="1:10" x14ac:dyDescent="0.25">
      <c r="A24996" t="s">
        <v>275</v>
      </c>
      <c r="B24996" s="1" t="str">
        <f>HYPERLINK("http://alpo.com","alpo.com")</f>
        <v>alpo.com</v>
      </c>
      <c r="C24996" t="s">
        <v>433</v>
      </c>
      <c r="F24996">
        <v>1.10047808118736E-8</v>
      </c>
      <c r="G24996">
        <v>5856408</v>
      </c>
      <c r="H24996">
        <v>14125153</v>
      </c>
      <c r="I24996">
        <v>2127457</v>
      </c>
      <c r="J24996">
        <v>4</v>
      </c>
    </row>
    <row r="24997" spans="1:10" x14ac:dyDescent="0.25">
      <c r="A24997" t="s">
        <v>275</v>
      </c>
      <c r="B24997" s="1" t="str">
        <f>HYPERLINK("http://atrium-innovations.com","atrium-innovations.com")</f>
        <v>atrium-innovations.com</v>
      </c>
      <c r="C24997" t="s">
        <v>433</v>
      </c>
      <c r="F24997">
        <v>2.66466613271128E-8</v>
      </c>
      <c r="G24997">
        <v>1931699</v>
      </c>
      <c r="H24997">
        <v>13865776</v>
      </c>
      <c r="I24997">
        <v>6007903</v>
      </c>
      <c r="J24997">
        <v>3</v>
      </c>
    </row>
    <row r="24998" spans="1:10" x14ac:dyDescent="0.25">
      <c r="A24998" t="s">
        <v>275</v>
      </c>
      <c r="B24998" s="1" t="str">
        <f>HYPERLINK("http://beneful.com","beneful.com")</f>
        <v>beneful.com</v>
      </c>
      <c r="C24998" t="s">
        <v>433</v>
      </c>
      <c r="F24998">
        <v>5.7598031130386803E-8</v>
      </c>
      <c r="G24998">
        <v>773826</v>
      </c>
      <c r="H24998">
        <v>14213777</v>
      </c>
      <c r="I24998">
        <v>1696959</v>
      </c>
      <c r="J24998">
        <v>4</v>
      </c>
    </row>
    <row r="24999" spans="1:10" x14ac:dyDescent="0.25">
      <c r="A24999" t="s">
        <v>275</v>
      </c>
      <c r="B24999" s="1" t="str">
        <f>HYPERLINK("http://bluetriton.com","bluetriton.com")</f>
        <v>bluetriton.com</v>
      </c>
      <c r="C24999" t="s">
        <v>433</v>
      </c>
      <c r="E24999">
        <v>245083</v>
      </c>
      <c r="F24999">
        <v>2.34065013682944E-7</v>
      </c>
      <c r="G24999">
        <v>160202</v>
      </c>
      <c r="H24999">
        <v>14146134</v>
      </c>
      <c r="I24999">
        <v>1896602</v>
      </c>
      <c r="J24999">
        <v>3</v>
      </c>
    </row>
    <row r="25000" spans="1:10" x14ac:dyDescent="0.25">
      <c r="A25000" t="s">
        <v>275</v>
      </c>
      <c r="B25000" s="1" t="str">
        <f>HYPERLINK("http://bodyfortress.com","bodyfortress.com")</f>
        <v>bodyfortress.com</v>
      </c>
      <c r="C25000" t="s">
        <v>433</v>
      </c>
      <c r="F25000">
        <v>1.3801710423258E-8</v>
      </c>
      <c r="G25000">
        <v>4280809</v>
      </c>
      <c r="H25000">
        <v>13769130</v>
      </c>
      <c r="I25000">
        <v>6809716</v>
      </c>
      <c r="J25000">
        <v>4</v>
      </c>
    </row>
    <row r="25001" spans="1:10" x14ac:dyDescent="0.25">
      <c r="A25001" t="s">
        <v>275</v>
      </c>
      <c r="B25001" s="1" t="str">
        <f>HYPERLINK("http://bountifulcompany.com","bountifulcompany.com")</f>
        <v>bountifulcompany.com</v>
      </c>
      <c r="C25001" t="s">
        <v>433</v>
      </c>
      <c r="E25001">
        <v>999299</v>
      </c>
      <c r="F25001">
        <v>1.03992406742403E-7</v>
      </c>
      <c r="G25001">
        <v>385632</v>
      </c>
      <c r="H25001">
        <v>13484005</v>
      </c>
      <c r="I25001">
        <v>9998963</v>
      </c>
      <c r="J25001">
        <v>4</v>
      </c>
    </row>
    <row r="25002" spans="1:10" x14ac:dyDescent="0.25">
      <c r="A25002" t="s">
        <v>275</v>
      </c>
      <c r="B25002" s="1" t="str">
        <f>HYPERLINK("http://buitoni.com","buitoni.com")</f>
        <v>buitoni.com</v>
      </c>
      <c r="C25002" t="s">
        <v>433</v>
      </c>
      <c r="F25002">
        <v>5.3364024131609903E-8</v>
      </c>
      <c r="G25002">
        <v>852890</v>
      </c>
      <c r="H25002">
        <v>14684828</v>
      </c>
      <c r="I25002">
        <v>605729</v>
      </c>
      <c r="J25002">
        <v>5</v>
      </c>
    </row>
    <row r="25003" spans="1:10" x14ac:dyDescent="0.25">
      <c r="A25003" t="s">
        <v>275</v>
      </c>
      <c r="B25003" s="1" t="str">
        <f>HYPERLINK("http://dolcegusto-me.com","dolcegusto-me.com")</f>
        <v>dolcegusto-me.com</v>
      </c>
      <c r="C25003" t="s">
        <v>433</v>
      </c>
      <c r="F25003">
        <v>1.8409790609720299E-8</v>
      </c>
      <c r="G25003">
        <v>2943643</v>
      </c>
      <c r="H25003">
        <v>14073318</v>
      </c>
      <c r="I25003">
        <v>3002329</v>
      </c>
      <c r="J25003">
        <v>3</v>
      </c>
    </row>
    <row r="25004" spans="1:10" x14ac:dyDescent="0.25">
      <c r="A25004" t="s">
        <v>275</v>
      </c>
      <c r="B25004" s="1" t="str">
        <f>HYPERLINK("http://dreyers.com","dreyers.com")</f>
        <v>dreyers.com</v>
      </c>
      <c r="C25004" t="s">
        <v>433</v>
      </c>
      <c r="E25004">
        <v>442738</v>
      </c>
      <c r="F25004">
        <v>4.9938382860823302E-8</v>
      </c>
      <c r="G25004">
        <v>922803</v>
      </c>
      <c r="H25004">
        <v>14211867</v>
      </c>
      <c r="I25004">
        <v>1700460</v>
      </c>
      <c r="J25004">
        <v>3</v>
      </c>
    </row>
    <row r="25005" spans="1:10" x14ac:dyDescent="0.25">
      <c r="A25005" t="s">
        <v>275</v>
      </c>
      <c r="B25005" s="1" t="str">
        <f>HYPERLINK("http://froneri.com","froneri.com")</f>
        <v>froneri.com</v>
      </c>
      <c r="C25005" t="s">
        <v>433</v>
      </c>
      <c r="E25005">
        <v>642243</v>
      </c>
      <c r="F25005">
        <v>6.9948529233702596E-8</v>
      </c>
      <c r="G25005">
        <v>605865</v>
      </c>
      <c r="H25005">
        <v>14436677</v>
      </c>
      <c r="I25005">
        <v>1067896</v>
      </c>
      <c r="J25005">
        <v>3</v>
      </c>
    </row>
    <row r="25006" spans="1:10" x14ac:dyDescent="0.25">
      <c r="A25006" t="s">
        <v>275</v>
      </c>
      <c r="B25006" s="1" t="str">
        <f>HYPERLINK("http://galdermanordic.com","galdermanordic.com")</f>
        <v>galdermanordic.com</v>
      </c>
      <c r="C25006" t="s">
        <v>433</v>
      </c>
      <c r="F25006">
        <v>1.1197448770193999E-8</v>
      </c>
      <c r="G25006">
        <v>5714932</v>
      </c>
      <c r="H25006">
        <v>14072702</v>
      </c>
      <c r="I25006">
        <v>3055447</v>
      </c>
      <c r="J25006">
        <v>4</v>
      </c>
    </row>
    <row r="25007" spans="1:10" x14ac:dyDescent="0.25">
      <c r="A25007" t="s">
        <v>275</v>
      </c>
      <c r="B25007" s="1" t="str">
        <f>HYPERLINK("http://gerber.com","gerber.com")</f>
        <v>gerber.com</v>
      </c>
      <c r="C25007" t="s">
        <v>433</v>
      </c>
      <c r="E25007">
        <v>71065</v>
      </c>
      <c r="F25007">
        <v>4.7108113645197599E-7</v>
      </c>
      <c r="G25007">
        <v>80556</v>
      </c>
      <c r="H25007">
        <v>15461761</v>
      </c>
      <c r="I25007">
        <v>377852</v>
      </c>
      <c r="J25007">
        <v>3</v>
      </c>
    </row>
    <row r="25008" spans="1:10" x14ac:dyDescent="0.25">
      <c r="A25008" t="s">
        <v>275</v>
      </c>
      <c r="B25008" s="1" t="str">
        <f>HYPERLINK("http://goodnes.com","goodnes.com")</f>
        <v>goodnes.com</v>
      </c>
      <c r="C25008" t="s">
        <v>433</v>
      </c>
      <c r="E25008">
        <v>56681</v>
      </c>
      <c r="F25008">
        <v>6.3170272988490895E-7</v>
      </c>
      <c r="G25008">
        <v>60731</v>
      </c>
      <c r="H25008">
        <v>15063355</v>
      </c>
      <c r="I25008">
        <v>412216</v>
      </c>
      <c r="J25008">
        <v>3</v>
      </c>
    </row>
    <row r="25009" spans="1:10" x14ac:dyDescent="0.25">
      <c r="A25009" t="s">
        <v>275</v>
      </c>
      <c r="B25009" s="1" t="str">
        <f>HYPERLINK("http://haagendazs.com","haagendazs.com")</f>
        <v>haagendazs.com</v>
      </c>
      <c r="C25009" t="s">
        <v>433</v>
      </c>
      <c r="E25009">
        <v>721079</v>
      </c>
      <c r="F25009">
        <v>5.5512727605898401E-8</v>
      </c>
      <c r="G25009">
        <v>808375</v>
      </c>
      <c r="H25009">
        <v>14963648</v>
      </c>
      <c r="I25009">
        <v>436104</v>
      </c>
      <c r="J25009">
        <v>4</v>
      </c>
    </row>
    <row r="25010" spans="1:10" x14ac:dyDescent="0.25">
      <c r="A25010" t="s">
        <v>275</v>
      </c>
      <c r="B25010" s="1" t="str">
        <f>HYPERLINK("http://hsufuchifoods.com","hsufuchifoods.com")</f>
        <v>hsufuchifoods.com</v>
      </c>
      <c r="C25010" t="s">
        <v>433</v>
      </c>
      <c r="F25010">
        <v>1.32964121538561E-8</v>
      </c>
      <c r="G25010">
        <v>4495030</v>
      </c>
      <c r="H25010">
        <v>12446625</v>
      </c>
      <c r="I25010">
        <v>18068335</v>
      </c>
      <c r="J25010">
        <v>3</v>
      </c>
    </row>
    <row r="25011" spans="1:10" x14ac:dyDescent="0.25">
      <c r="A25011" t="s">
        <v>275</v>
      </c>
      <c r="B25011" s="1" t="str">
        <f>HYPERLINK("http://lafetechocolat.com","lafetechocolat.com")</f>
        <v>lafetechocolat.com</v>
      </c>
      <c r="C25011" t="s">
        <v>433</v>
      </c>
      <c r="F25011">
        <v>1.67832897204494E-8</v>
      </c>
      <c r="G25011">
        <v>3337379</v>
      </c>
      <c r="H25011">
        <v>12934269</v>
      </c>
      <c r="I25011">
        <v>13347269</v>
      </c>
      <c r="J25011">
        <v>3</v>
      </c>
    </row>
    <row r="25012" spans="1:10" x14ac:dyDescent="0.25">
      <c r="A25012" t="s">
        <v>275</v>
      </c>
      <c r="B25012" s="1" t="str">
        <f>HYPERLINK("http://maggicentroamerica.com","maggicentroamerica.com")</f>
        <v>maggicentroamerica.com</v>
      </c>
      <c r="C25012" t="s">
        <v>433</v>
      </c>
      <c r="F25012">
        <v>8.5682155731299198E-9</v>
      </c>
      <c r="G25012">
        <v>8714105</v>
      </c>
      <c r="H25012">
        <v>13336807</v>
      </c>
      <c r="I25012">
        <v>10681300</v>
      </c>
      <c r="J25012">
        <v>3</v>
      </c>
    </row>
    <row r="25013" spans="1:10" x14ac:dyDescent="0.25">
      <c r="A25013" t="s">
        <v>275</v>
      </c>
      <c r="B25013" s="1" t="str">
        <f>HYPERLINK("http://maggime.com","maggime.com")</f>
        <v>maggime.com</v>
      </c>
      <c r="C25013" t="s">
        <v>433</v>
      </c>
      <c r="F25013">
        <v>2.3103763905005298E-8</v>
      </c>
      <c r="G25013">
        <v>2259695</v>
      </c>
      <c r="H25013">
        <v>14419867</v>
      </c>
      <c r="I25013">
        <v>1090776</v>
      </c>
      <c r="J25013">
        <v>3</v>
      </c>
    </row>
    <row r="25014" spans="1:10" x14ac:dyDescent="0.25">
      <c r="A25014" t="s">
        <v>275</v>
      </c>
      <c r="B25014" s="1" t="str">
        <f>HYPERLINK("http://mindfulchef.com","mindfulchef.com")</f>
        <v>mindfulchef.com</v>
      </c>
      <c r="C25014" t="s">
        <v>433</v>
      </c>
      <c r="E25014">
        <v>318525</v>
      </c>
      <c r="F25014">
        <v>5.2475425889098604E-7</v>
      </c>
      <c r="G25014">
        <v>73282</v>
      </c>
      <c r="H25014">
        <v>14731962</v>
      </c>
      <c r="I25014">
        <v>571453</v>
      </c>
      <c r="J25014">
        <v>3</v>
      </c>
    </row>
    <row r="25015" spans="1:10" x14ac:dyDescent="0.25">
      <c r="A25015" t="s">
        <v>275</v>
      </c>
      <c r="B25015" s="1" t="str">
        <f>HYPERLINK("http://naturesbounty.com","naturesbounty.com")</f>
        <v>naturesbounty.com</v>
      </c>
      <c r="C25015" t="s">
        <v>433</v>
      </c>
      <c r="E25015">
        <v>338464</v>
      </c>
      <c r="F25015">
        <v>9.0781268898663804E-8</v>
      </c>
      <c r="G25015">
        <v>449175</v>
      </c>
      <c r="H25015">
        <v>14323250</v>
      </c>
      <c r="I25015">
        <v>1329209</v>
      </c>
      <c r="J25015">
        <v>8</v>
      </c>
    </row>
    <row r="25016" spans="1:10" x14ac:dyDescent="0.25">
      <c r="A25016" t="s">
        <v>275</v>
      </c>
      <c r="B25016" s="1" t="str">
        <f>HYPERLINK("http://naturesbountyco.com","naturesbountyco.com")</f>
        <v>naturesbountyco.com</v>
      </c>
      <c r="C25016" t="s">
        <v>433</v>
      </c>
      <c r="F25016">
        <v>3.5555399213965103E-8</v>
      </c>
      <c r="G25016">
        <v>1464310</v>
      </c>
      <c r="H25016">
        <v>13986814</v>
      </c>
      <c r="I25016">
        <v>4038218</v>
      </c>
      <c r="J25016">
        <v>3</v>
      </c>
    </row>
    <row r="25017" spans="1:10" x14ac:dyDescent="0.25">
      <c r="A25017" t="s">
        <v>275</v>
      </c>
      <c r="B25017" s="1" t="str">
        <f>HYPERLINK("http://nbty.com","nbty.com")</f>
        <v>nbty.com</v>
      </c>
      <c r="C25017" t="s">
        <v>433</v>
      </c>
      <c r="F25017">
        <v>6.7349164244074095E-8</v>
      </c>
      <c r="G25017">
        <v>634648</v>
      </c>
      <c r="H25017">
        <v>16844158</v>
      </c>
      <c r="I25017">
        <v>159573</v>
      </c>
      <c r="J25017">
        <v>4</v>
      </c>
    </row>
    <row r="25018" spans="1:10" x14ac:dyDescent="0.25">
      <c r="A25018" t="s">
        <v>275</v>
      </c>
      <c r="B25018" s="1" t="str">
        <f>HYPERLINK("http://nespresso.com","nespresso.com")</f>
        <v>nespresso.com</v>
      </c>
      <c r="C25018" t="s">
        <v>433</v>
      </c>
      <c r="E25018">
        <v>7066</v>
      </c>
      <c r="F25018">
        <v>3.7049829200112998E-6</v>
      </c>
      <c r="G25018">
        <v>11218</v>
      </c>
      <c r="H25018">
        <v>17915378</v>
      </c>
      <c r="I25018">
        <v>4321</v>
      </c>
      <c r="J25018">
        <v>3</v>
      </c>
    </row>
    <row r="25019" spans="1:10" x14ac:dyDescent="0.25">
      <c r="A25019" t="s">
        <v>275</v>
      </c>
      <c r="B25019" s="1" t="str">
        <f>HYPERLINK("http://nestea.com","nestea.com")</f>
        <v>nestea.com</v>
      </c>
      <c r="C25019" t="s">
        <v>433</v>
      </c>
      <c r="F25019">
        <v>2.7316409193472701E-8</v>
      </c>
      <c r="G25019">
        <v>1882002</v>
      </c>
      <c r="H25019">
        <v>14502815</v>
      </c>
      <c r="I25019">
        <v>844904</v>
      </c>
      <c r="J25019">
        <v>3</v>
      </c>
    </row>
    <row r="25020" spans="1:10" x14ac:dyDescent="0.25">
      <c r="A25020" t="s">
        <v>275</v>
      </c>
      <c r="B25020" s="1" t="str">
        <f>HYPERLINK("http://nestle.com","nestle.com")</f>
        <v>nestle.com</v>
      </c>
      <c r="C25020" t="s">
        <v>433</v>
      </c>
      <c r="E25020">
        <v>5705</v>
      </c>
      <c r="F25020">
        <v>3.5963799761479701E-6</v>
      </c>
      <c r="G25020">
        <v>11453</v>
      </c>
      <c r="H25020">
        <v>17660804</v>
      </c>
      <c r="I25020">
        <v>8145</v>
      </c>
      <c r="J25020">
        <v>1</v>
      </c>
    </row>
    <row r="25021" spans="1:10" x14ac:dyDescent="0.25">
      <c r="A25021" t="s">
        <v>275</v>
      </c>
      <c r="B25021" s="1" t="str">
        <f>HYPERLINK("http://nestle-centroamerica.com","nestle-centroamerica.com")</f>
        <v>nestle-centroamerica.com</v>
      </c>
      <c r="C25021" t="s">
        <v>433</v>
      </c>
      <c r="F25021">
        <v>7.3509568725585994E-8</v>
      </c>
      <c r="G25021">
        <v>573276</v>
      </c>
      <c r="H25021">
        <v>14589157</v>
      </c>
      <c r="I25021">
        <v>697224</v>
      </c>
      <c r="J25021">
        <v>5</v>
      </c>
    </row>
    <row r="25022" spans="1:10" x14ac:dyDescent="0.25">
      <c r="A25022" t="s">
        <v>275</v>
      </c>
      <c r="B25022" s="1" t="str">
        <f>HYPERLINK("http://nestle-family.com","nestle-family.com")</f>
        <v>nestle-family.com</v>
      </c>
      <c r="C25022" t="s">
        <v>433</v>
      </c>
      <c r="E25022">
        <v>466445</v>
      </c>
      <c r="F25022">
        <v>1.06784831261024E-7</v>
      </c>
      <c r="G25022">
        <v>374904</v>
      </c>
      <c r="H25022">
        <v>17142564</v>
      </c>
      <c r="I25022">
        <v>53722</v>
      </c>
      <c r="J25022">
        <v>3</v>
      </c>
    </row>
    <row r="25023" spans="1:10" x14ac:dyDescent="0.25">
      <c r="A25023" t="s">
        <v>275</v>
      </c>
      <c r="B25023" s="1" t="str">
        <f>HYPERLINK("http://nestle-me.com","nestle-me.com")</f>
        <v>nestle-me.com</v>
      </c>
      <c r="C25023" t="s">
        <v>433</v>
      </c>
      <c r="F25023">
        <v>3.0977816631815999E-8</v>
      </c>
      <c r="G25023">
        <v>1663420</v>
      </c>
      <c r="H25023">
        <v>14083535</v>
      </c>
      <c r="I25023">
        <v>2792895</v>
      </c>
      <c r="J25023">
        <v>3</v>
      </c>
    </row>
    <row r="25024" spans="1:10" x14ac:dyDescent="0.25">
      <c r="A25024" t="s">
        <v>275</v>
      </c>
      <c r="B25024" s="1" t="str">
        <f>HYPERLINK("http://nestle-nespresso.com","nestle-nespresso.com")</f>
        <v>nestle-nespresso.com</v>
      </c>
      <c r="C25024" t="s">
        <v>433</v>
      </c>
      <c r="E25024">
        <v>325449</v>
      </c>
      <c r="F25024">
        <v>2.2903710288811501E-7</v>
      </c>
      <c r="G25024">
        <v>164193</v>
      </c>
      <c r="H25024">
        <v>14914368</v>
      </c>
      <c r="I25024">
        <v>455180</v>
      </c>
      <c r="J25024">
        <v>3</v>
      </c>
    </row>
    <row r="25025" spans="1:10" x14ac:dyDescent="0.25">
      <c r="A25025" t="s">
        <v>275</v>
      </c>
      <c r="B25025" s="1" t="str">
        <f>HYPERLINK("http://nestle-nordic.com","nestle-nordic.com")</f>
        <v>nestle-nordic.com</v>
      </c>
      <c r="C25025" t="s">
        <v>433</v>
      </c>
      <c r="F25025">
        <v>1.0699770125703001E-8</v>
      </c>
      <c r="G25025">
        <v>6100016</v>
      </c>
      <c r="H25025">
        <v>14498459</v>
      </c>
      <c r="I25025">
        <v>861433</v>
      </c>
      <c r="J25025">
        <v>3</v>
      </c>
    </row>
    <row r="25026" spans="1:10" x14ac:dyDescent="0.25">
      <c r="A25026" t="s">
        <v>275</v>
      </c>
      <c r="B25026" s="1" t="str">
        <f>HYPERLINK("http://nestle-nutrition.com","nestle-nutrition.com")</f>
        <v>nestle-nutrition.com</v>
      </c>
      <c r="C25026" t="s">
        <v>433</v>
      </c>
      <c r="F25026">
        <v>1.7454721923434601E-8</v>
      </c>
      <c r="G25026">
        <v>3157176</v>
      </c>
      <c r="H25026">
        <v>14157130</v>
      </c>
      <c r="I25026">
        <v>1850074</v>
      </c>
      <c r="J25026">
        <v>5</v>
      </c>
    </row>
    <row r="25027" spans="1:10" x14ac:dyDescent="0.25">
      <c r="A25027" t="s">
        <v>275</v>
      </c>
      <c r="B25027" s="1" t="str">
        <f>HYPERLINK("http://nestle-waters.com","nestle-waters.com")</f>
        <v>nestle-waters.com</v>
      </c>
      <c r="C25027" t="s">
        <v>433</v>
      </c>
      <c r="E25027">
        <v>530746</v>
      </c>
      <c r="F25027">
        <v>1.49320388262649E-7</v>
      </c>
      <c r="G25027">
        <v>260233</v>
      </c>
      <c r="H25027">
        <v>15096515</v>
      </c>
      <c r="I25027">
        <v>407002</v>
      </c>
      <c r="J25027">
        <v>3</v>
      </c>
    </row>
    <row r="25028" spans="1:10" x14ac:dyDescent="0.25">
      <c r="A25028" t="s">
        <v>275</v>
      </c>
      <c r="B25028" s="1" t="str">
        <f>HYPERLINK("http://nestle-watersna.com","nestle-watersna.com")</f>
        <v>nestle-watersna.com</v>
      </c>
      <c r="C25028" t="s">
        <v>433</v>
      </c>
      <c r="E25028">
        <v>369628</v>
      </c>
      <c r="F25028">
        <v>2.2555161648357099E-7</v>
      </c>
      <c r="G25028">
        <v>167071</v>
      </c>
      <c r="H25028">
        <v>14677649</v>
      </c>
      <c r="I25028">
        <v>610175</v>
      </c>
      <c r="J25028">
        <v>4</v>
      </c>
    </row>
    <row r="25029" spans="1:10" x14ac:dyDescent="0.25">
      <c r="A25029" t="s">
        <v>275</v>
      </c>
      <c r="B25029" s="1" t="str">
        <f>HYPERLINK("http://nestlebaby.com","nestlebaby.com")</f>
        <v>nestlebaby.com</v>
      </c>
      <c r="C25029" t="s">
        <v>433</v>
      </c>
      <c r="F25029">
        <v>1.7819227221762601E-8</v>
      </c>
      <c r="G25029">
        <v>3070600</v>
      </c>
      <c r="H25029">
        <v>14492015</v>
      </c>
      <c r="I25029">
        <v>898282</v>
      </c>
      <c r="J25029">
        <v>3</v>
      </c>
    </row>
    <row r="25030" spans="1:10" x14ac:dyDescent="0.25">
      <c r="A25030" t="s">
        <v>275</v>
      </c>
      <c r="B25030" s="1" t="str">
        <f>HYPERLINK("http://nestlehealthscience.com","nestlehealthscience.com")</f>
        <v>nestlehealthscience.com</v>
      </c>
      <c r="C25030" t="s">
        <v>433</v>
      </c>
      <c r="E25030">
        <v>547136</v>
      </c>
      <c r="F25030">
        <v>1.3251652876530801E-7</v>
      </c>
      <c r="G25030">
        <v>294897</v>
      </c>
      <c r="H25030">
        <v>14260348</v>
      </c>
      <c r="I25030">
        <v>1419614</v>
      </c>
      <c r="J25030">
        <v>5</v>
      </c>
    </row>
    <row r="25031" spans="1:10" x14ac:dyDescent="0.25">
      <c r="A25031" t="s">
        <v>275</v>
      </c>
      <c r="B25031" s="1" t="str">
        <f>HYPERLINK("http://nestlejobs.com","nestlejobs.com")</f>
        <v>nestlejobs.com</v>
      </c>
      <c r="C25031" t="s">
        <v>433</v>
      </c>
      <c r="E25031">
        <v>337891</v>
      </c>
      <c r="F25031">
        <v>1.6362396421797701E-7</v>
      </c>
      <c r="G25031">
        <v>237211</v>
      </c>
      <c r="H25031">
        <v>13798249</v>
      </c>
      <c r="I25031">
        <v>6292379</v>
      </c>
      <c r="J25031">
        <v>7</v>
      </c>
    </row>
    <row r="25032" spans="1:10" x14ac:dyDescent="0.25">
      <c r="A25032" t="s">
        <v>275</v>
      </c>
      <c r="B25032" s="1" t="str">
        <f>HYPERLINK("http://nestlepurinacareers.com","nestlepurinacareers.com")</f>
        <v>nestlepurinacareers.com</v>
      </c>
      <c r="C25032" t="s">
        <v>433</v>
      </c>
      <c r="E25032">
        <v>540207</v>
      </c>
      <c r="F25032">
        <v>6.8874565853648205E-8</v>
      </c>
      <c r="G25032">
        <v>617314</v>
      </c>
      <c r="H25032">
        <v>14205376</v>
      </c>
      <c r="I25032">
        <v>1712421</v>
      </c>
      <c r="J25032">
        <v>6</v>
      </c>
    </row>
    <row r="25033" spans="1:10" x14ac:dyDescent="0.25">
      <c r="A25033" t="s">
        <v>275</v>
      </c>
      <c r="B25033" s="1" t="str">
        <f>HYPERLINK("http://nestletravelretail.com","nestletravelretail.com")</f>
        <v>nestletravelretail.com</v>
      </c>
      <c r="C25033" t="s">
        <v>433</v>
      </c>
      <c r="F25033">
        <v>7.0177761799734902E-9</v>
      </c>
      <c r="G25033">
        <v>12259838</v>
      </c>
      <c r="H25033">
        <v>11547892</v>
      </c>
      <c r="I25033">
        <v>29971622</v>
      </c>
      <c r="J25033">
        <v>4</v>
      </c>
    </row>
    <row r="25034" spans="1:10" x14ac:dyDescent="0.25">
      <c r="A25034" t="s">
        <v>275</v>
      </c>
      <c r="B25034" s="1" t="str">
        <f>HYPERLINK("http://nestleusa.com","nestleusa.com")</f>
        <v>nestleusa.com</v>
      </c>
      <c r="C25034" t="s">
        <v>433</v>
      </c>
      <c r="E25034">
        <v>95812</v>
      </c>
      <c r="F25034">
        <v>6.3635773069767196E-7</v>
      </c>
      <c r="G25034">
        <v>60332</v>
      </c>
      <c r="H25034">
        <v>15104063</v>
      </c>
      <c r="I25034">
        <v>405919</v>
      </c>
      <c r="J25034">
        <v>3</v>
      </c>
    </row>
    <row r="25035" spans="1:10" x14ac:dyDescent="0.25">
      <c r="A25035" t="s">
        <v>275</v>
      </c>
      <c r="B25035" s="1" t="str">
        <f>HYPERLINK("http://niotp.com","niotp.com")</f>
        <v>niotp.com</v>
      </c>
      <c r="C25035" t="s">
        <v>433</v>
      </c>
      <c r="F25035">
        <v>4.4438586812020596E-9</v>
      </c>
      <c r="G25035">
        <v>78285461</v>
      </c>
      <c r="H25035">
        <v>10543047</v>
      </c>
      <c r="I25035">
        <v>47044960</v>
      </c>
      <c r="J25035">
        <v>3</v>
      </c>
    </row>
    <row r="25036" spans="1:10" x14ac:dyDescent="0.25">
      <c r="A25036" t="s">
        <v>275</v>
      </c>
      <c r="B25036" s="1" t="str">
        <f>HYPERLINK("http://orgain.com","orgain.com")</f>
        <v>orgain.com</v>
      </c>
      <c r="C25036" t="s">
        <v>433</v>
      </c>
      <c r="E25036">
        <v>175703</v>
      </c>
      <c r="F25036">
        <v>3.5223895286880301E-7</v>
      </c>
      <c r="G25036">
        <v>106153</v>
      </c>
      <c r="H25036">
        <v>17253558</v>
      </c>
      <c r="I25036">
        <v>33521</v>
      </c>
      <c r="J25036">
        <v>3</v>
      </c>
    </row>
    <row r="25037" spans="1:10" x14ac:dyDescent="0.25">
      <c r="A25037" t="s">
        <v>275</v>
      </c>
      <c r="B25037" s="1" t="str">
        <f>HYPERLINK("http://osteobiflex.com","osteobiflex.com")</f>
        <v>osteobiflex.com</v>
      </c>
      <c r="C25037" t="s">
        <v>433</v>
      </c>
      <c r="F25037">
        <v>2.5903849707990599E-8</v>
      </c>
      <c r="G25037">
        <v>1989408</v>
      </c>
      <c r="H25037">
        <v>14197213</v>
      </c>
      <c r="I25037">
        <v>1731811</v>
      </c>
      <c r="J25037">
        <v>4</v>
      </c>
    </row>
    <row r="25038" spans="1:10" x14ac:dyDescent="0.25">
      <c r="A25038" t="s">
        <v>275</v>
      </c>
      <c r="B25038" s="1" t="str">
        <f>HYPERLINK("http://osteobiflexedge.com","osteobiflexedge.com")</f>
        <v>osteobiflexedge.com</v>
      </c>
      <c r="C25038" t="s">
        <v>433</v>
      </c>
      <c r="F25038">
        <v>4.4808009216996101E-9</v>
      </c>
      <c r="G25038">
        <v>62178145</v>
      </c>
      <c r="H25038">
        <v>9856977</v>
      </c>
      <c r="I25038">
        <v>62100191</v>
      </c>
      <c r="J25038">
        <v>4</v>
      </c>
    </row>
    <row r="25039" spans="1:10" x14ac:dyDescent="0.25">
      <c r="A25039" t="s">
        <v>275</v>
      </c>
      <c r="B25039" s="1" t="str">
        <f>HYPERLINK("http://personanutrition.com","personanutrition.com")</f>
        <v>personanutrition.com</v>
      </c>
      <c r="C25039" t="s">
        <v>433</v>
      </c>
      <c r="E25039">
        <v>172453</v>
      </c>
      <c r="F25039">
        <v>1.2766322839033399E-7</v>
      </c>
      <c r="G25039">
        <v>307530</v>
      </c>
      <c r="H25039">
        <v>14444129</v>
      </c>
      <c r="I25039">
        <v>1058876</v>
      </c>
      <c r="J25039">
        <v>3</v>
      </c>
    </row>
    <row r="25040" spans="1:10" x14ac:dyDescent="0.25">
      <c r="A25040" t="s">
        <v>275</v>
      </c>
      <c r="B25040" s="1" t="str">
        <f>HYPERLINK("http://perugina.com","perugina.com")</f>
        <v>perugina.com</v>
      </c>
      <c r="C25040" t="s">
        <v>433</v>
      </c>
      <c r="E25040">
        <v>846273</v>
      </c>
      <c r="F25040">
        <v>6.3168736626704097E-8</v>
      </c>
      <c r="G25040">
        <v>689367</v>
      </c>
      <c r="H25040">
        <v>14638863</v>
      </c>
      <c r="I25040">
        <v>638219</v>
      </c>
      <c r="J25040">
        <v>3</v>
      </c>
    </row>
    <row r="25041" spans="1:10" x14ac:dyDescent="0.25">
      <c r="A25041" t="s">
        <v>275</v>
      </c>
      <c r="B25041" s="1" t="str">
        <f>HYPERLINK("http://polandspring.com","polandspring.com")</f>
        <v>polandspring.com</v>
      </c>
      <c r="C25041" t="s">
        <v>433</v>
      </c>
      <c r="E25041">
        <v>584879</v>
      </c>
      <c r="F25041">
        <v>9.5496146626081303E-8</v>
      </c>
      <c r="G25041">
        <v>424100</v>
      </c>
      <c r="H25041">
        <v>14330086</v>
      </c>
      <c r="I25041">
        <v>1323447</v>
      </c>
      <c r="J25041">
        <v>4</v>
      </c>
    </row>
    <row r="25042" spans="1:10" x14ac:dyDescent="0.25">
      <c r="A25042" t="s">
        <v>275</v>
      </c>
      <c r="B25042" s="1" t="str">
        <f>HYPERLINK("http://productosdelcafe.com","productosdelcafe.com")</f>
        <v>productosdelcafe.com</v>
      </c>
      <c r="C25042" t="s">
        <v>433</v>
      </c>
      <c r="F25042">
        <v>1.29714433094933E-8</v>
      </c>
      <c r="G25042">
        <v>4645495</v>
      </c>
      <c r="H25042">
        <v>14124098</v>
      </c>
      <c r="I25042">
        <v>2154145</v>
      </c>
      <c r="J25042">
        <v>4</v>
      </c>
    </row>
    <row r="25043" spans="1:10" x14ac:dyDescent="0.25">
      <c r="A25043" t="s">
        <v>275</v>
      </c>
      <c r="B25043" s="1" t="str">
        <f>HYPERLINK("http://pureencapsulations.com","pureencapsulations.com")</f>
        <v>pureencapsulations.com</v>
      </c>
      <c r="C25043" t="s">
        <v>433</v>
      </c>
      <c r="E25043">
        <v>459543</v>
      </c>
      <c r="F25043">
        <v>1.4937344822882E-7</v>
      </c>
      <c r="G25043">
        <v>260136</v>
      </c>
      <c r="H25043">
        <v>14374883</v>
      </c>
      <c r="I25043">
        <v>1232564</v>
      </c>
      <c r="J25043">
        <v>3</v>
      </c>
    </row>
    <row r="25044" spans="1:10" x14ac:dyDescent="0.25">
      <c r="A25044" t="s">
        <v>275</v>
      </c>
      <c r="B25044" s="1" t="str">
        <f>HYPERLINK("http://pureforyou.com","pureforyou.com")</f>
        <v>pureforyou.com</v>
      </c>
      <c r="C25044" t="s">
        <v>433</v>
      </c>
      <c r="E25044">
        <v>706477</v>
      </c>
      <c r="F25044">
        <v>3.6171049140395201E-8</v>
      </c>
      <c r="G25044">
        <v>1441544</v>
      </c>
      <c r="H25044">
        <v>12983103</v>
      </c>
      <c r="I25044">
        <v>12934348</v>
      </c>
      <c r="J25044">
        <v>6</v>
      </c>
    </row>
    <row r="25045" spans="1:10" x14ac:dyDescent="0.25">
      <c r="A25045" t="s">
        <v>275</v>
      </c>
      <c r="B25045" s="1" t="str">
        <f>HYPERLINK("http://purina.com","purina.com")</f>
        <v>purina.com</v>
      </c>
      <c r="C25045" t="s">
        <v>433</v>
      </c>
      <c r="E25045">
        <v>24244</v>
      </c>
      <c r="F25045">
        <v>2.8788647069622698E-6</v>
      </c>
      <c r="G25045">
        <v>13407</v>
      </c>
      <c r="H25045">
        <v>17391808</v>
      </c>
      <c r="I25045">
        <v>19792</v>
      </c>
      <c r="J25045">
        <v>3</v>
      </c>
    </row>
    <row r="25046" spans="1:10" x14ac:dyDescent="0.25">
      <c r="A25046" t="s">
        <v>275</v>
      </c>
      <c r="B25046" s="1" t="str">
        <f>HYPERLINK("http://purinaone.com","purinaone.com")</f>
        <v>purinaone.com</v>
      </c>
      <c r="C25046" t="s">
        <v>433</v>
      </c>
      <c r="E25046">
        <v>873135</v>
      </c>
      <c r="F25046">
        <v>8.6437523500839504E-8</v>
      </c>
      <c r="G25046">
        <v>475703</v>
      </c>
      <c r="H25046">
        <v>17034130</v>
      </c>
      <c r="I25046">
        <v>81951</v>
      </c>
      <c r="J25046">
        <v>4</v>
      </c>
    </row>
    <row r="25047" spans="1:10" x14ac:dyDescent="0.25">
      <c r="A25047" t="s">
        <v>275</v>
      </c>
      <c r="B25047" s="1" t="str">
        <f>HYPERLINK("http://readyrefresh.com","readyrefresh.com")</f>
        <v>readyrefresh.com</v>
      </c>
      <c r="C25047" t="s">
        <v>433</v>
      </c>
      <c r="E25047">
        <v>85148</v>
      </c>
      <c r="F25047">
        <v>1.2742436309035E-7</v>
      </c>
      <c r="G25047">
        <v>308318</v>
      </c>
      <c r="H25047">
        <v>14303377</v>
      </c>
      <c r="I25047">
        <v>1353445</v>
      </c>
      <c r="J25047">
        <v>4</v>
      </c>
    </row>
    <row r="25048" spans="1:10" x14ac:dyDescent="0.25">
      <c r="A25048" t="s">
        <v>275</v>
      </c>
      <c r="B25048" s="1" t="str">
        <f>HYPERLINK("http://roaricecream.com","roaricecream.com")</f>
        <v>roaricecream.com</v>
      </c>
      <c r="C25048" t="s">
        <v>433</v>
      </c>
      <c r="F25048">
        <v>1.1354929354741601E-8</v>
      </c>
      <c r="G25048">
        <v>5604823</v>
      </c>
      <c r="H25048">
        <v>12826637</v>
      </c>
      <c r="I25048">
        <v>14455770</v>
      </c>
      <c r="J25048">
        <v>8</v>
      </c>
    </row>
    <row r="25049" spans="1:10" x14ac:dyDescent="0.25">
      <c r="A25049" t="s">
        <v>275</v>
      </c>
      <c r="B25049" s="1" t="str">
        <f>HYPERLINK("http://sanpellegrino.com","sanpellegrino.com")</f>
        <v>sanpellegrino.com</v>
      </c>
      <c r="C25049" t="s">
        <v>433</v>
      </c>
      <c r="E25049">
        <v>84396</v>
      </c>
      <c r="F25049">
        <v>3.36325156378617E-7</v>
      </c>
      <c r="G25049">
        <v>110888</v>
      </c>
      <c r="H25049">
        <v>15462196</v>
      </c>
      <c r="I25049">
        <v>377837</v>
      </c>
      <c r="J25049">
        <v>3</v>
      </c>
    </row>
    <row r="25050" spans="1:10" x14ac:dyDescent="0.25">
      <c r="A25050" t="s">
        <v>275</v>
      </c>
      <c r="B25050" s="1" t="str">
        <f>HYPERLINK("http://simplycook.com","simplycook.com")</f>
        <v>simplycook.com</v>
      </c>
      <c r="C25050" t="s">
        <v>433</v>
      </c>
      <c r="E25050">
        <v>417744</v>
      </c>
      <c r="F25050">
        <v>5.8030622511415303E-8</v>
      </c>
      <c r="G25050">
        <v>767172</v>
      </c>
      <c r="H25050">
        <v>14711849</v>
      </c>
      <c r="I25050">
        <v>582755</v>
      </c>
      <c r="J25050">
        <v>6</v>
      </c>
    </row>
    <row r="25051" spans="1:10" x14ac:dyDescent="0.25">
      <c r="A25051" t="s">
        <v>275</v>
      </c>
      <c r="B25051" s="1" t="str">
        <f>HYPERLINK("http://stouffers.com","stouffers.com")</f>
        <v>stouffers.com</v>
      </c>
      <c r="C25051" t="s">
        <v>433</v>
      </c>
      <c r="E25051">
        <v>912271</v>
      </c>
      <c r="F25051">
        <v>5.7856905499950397E-8</v>
      </c>
      <c r="G25051">
        <v>769800</v>
      </c>
      <c r="H25051">
        <v>14545110</v>
      </c>
      <c r="I25051">
        <v>769658</v>
      </c>
      <c r="J25051">
        <v>5</v>
      </c>
    </row>
    <row r="25052" spans="1:10" x14ac:dyDescent="0.25">
      <c r="A25052" t="s">
        <v>275</v>
      </c>
      <c r="B25052" s="1" t="str">
        <f>HYPERLINK("http://sweetearthfoods.com","sweetearthfoods.com")</f>
        <v>sweetearthfoods.com</v>
      </c>
      <c r="C25052" t="s">
        <v>433</v>
      </c>
      <c r="F25052">
        <v>6.7250434673584405E-8</v>
      </c>
      <c r="G25052">
        <v>635774</v>
      </c>
      <c r="H25052">
        <v>14439254</v>
      </c>
      <c r="I25052">
        <v>1065341</v>
      </c>
      <c r="J25052">
        <v>3</v>
      </c>
    </row>
    <row r="25053" spans="1:10" x14ac:dyDescent="0.25">
      <c r="A25053" t="s">
        <v>275</v>
      </c>
      <c r="B25053" s="1" t="str">
        <f>HYPERLINK("http://tails.com","tails.com")</f>
        <v>tails.com</v>
      </c>
      <c r="C25053" t="s">
        <v>433</v>
      </c>
      <c r="E25053">
        <v>209452</v>
      </c>
      <c r="F25053">
        <v>6.1394637479994802E-7</v>
      </c>
      <c r="G25053">
        <v>62343</v>
      </c>
      <c r="H25053">
        <v>14541764</v>
      </c>
      <c r="I25053">
        <v>774071</v>
      </c>
      <c r="J25053">
        <v>4</v>
      </c>
    </row>
    <row r="25054" spans="1:10" x14ac:dyDescent="0.25">
      <c r="A25054" t="s">
        <v>275</v>
      </c>
      <c r="B25054" s="1" t="str">
        <f>HYPERLINK("http://terra-fertil.com","terra-fertil.com")</f>
        <v>terra-fertil.com</v>
      </c>
      <c r="C25054" t="s">
        <v>433</v>
      </c>
      <c r="F25054">
        <v>4.53518709125468E-9</v>
      </c>
      <c r="G25054">
        <v>54271249</v>
      </c>
      <c r="H25054">
        <v>13763633</v>
      </c>
      <c r="I25054">
        <v>9022674</v>
      </c>
      <c r="J25054">
        <v>5</v>
      </c>
    </row>
    <row r="25055" spans="1:10" x14ac:dyDescent="0.25">
      <c r="A25055" t="s">
        <v>275</v>
      </c>
      <c r="B25055" s="1" t="str">
        <f>HYPERLINK("http://terracanis.com","terracanis.com")</f>
        <v>terracanis.com</v>
      </c>
      <c r="C25055" t="s">
        <v>433</v>
      </c>
      <c r="F25055">
        <v>4.90488432226616E-8</v>
      </c>
      <c r="G25055">
        <v>944242</v>
      </c>
      <c r="H25055">
        <v>13764461</v>
      </c>
      <c r="I25055">
        <v>7262100</v>
      </c>
      <c r="J25055">
        <v>4</v>
      </c>
    </row>
    <row r="25056" spans="1:10" x14ac:dyDescent="0.25">
      <c r="A25056" t="s">
        <v>275</v>
      </c>
      <c r="B25056" s="1" t="str">
        <f>HYPERLINK("http://terrafertil.com","terrafertil.com")</f>
        <v>terrafertil.com</v>
      </c>
      <c r="C25056" t="s">
        <v>433</v>
      </c>
      <c r="F25056">
        <v>7.9844167237452793E-9</v>
      </c>
      <c r="G25056">
        <v>9949344</v>
      </c>
      <c r="H25056">
        <v>13763672</v>
      </c>
      <c r="I25056">
        <v>7835329</v>
      </c>
      <c r="J25056">
        <v>3</v>
      </c>
    </row>
    <row r="25057" spans="1:10" x14ac:dyDescent="0.25">
      <c r="A25057" t="s">
        <v>275</v>
      </c>
      <c r="B25057" s="1" t="str">
        <f>HYPERLINK("http://froneri.uk.com","froneri.uk.com")</f>
        <v>froneri.uk.com</v>
      </c>
      <c r="C25057" t="s">
        <v>433</v>
      </c>
      <c r="J25057">
        <v>6</v>
      </c>
    </row>
    <row r="25058" spans="1:10" x14ac:dyDescent="0.25">
      <c r="A25058" t="s">
        <v>275</v>
      </c>
      <c r="B25058" s="1" t="str">
        <f>HYPERLINK("http://vitafloweb.com","vitafloweb.com")</f>
        <v>vitafloweb.com</v>
      </c>
      <c r="C25058" t="s">
        <v>433</v>
      </c>
      <c r="F25058">
        <v>1.0196163394650701E-8</v>
      </c>
      <c r="G25058">
        <v>6550739</v>
      </c>
      <c r="H25058">
        <v>11402355</v>
      </c>
      <c r="I25058">
        <v>30217284</v>
      </c>
      <c r="J25058">
        <v>8</v>
      </c>
    </row>
    <row r="25059" spans="1:10" x14ac:dyDescent="0.25">
      <c r="A25059" t="s">
        <v>275</v>
      </c>
      <c r="B25059" s="1" t="str">
        <f>HYPERLINK("http://vitalproteins.com","vitalproteins.com")</f>
        <v>vitalproteins.com</v>
      </c>
      <c r="C25059" t="s">
        <v>433</v>
      </c>
      <c r="E25059">
        <v>105043</v>
      </c>
      <c r="F25059">
        <v>5.1413859823274403E-7</v>
      </c>
      <c r="G25059">
        <v>74599</v>
      </c>
      <c r="H25059">
        <v>15176486</v>
      </c>
      <c r="I25059">
        <v>397625</v>
      </c>
      <c r="J25059">
        <v>3</v>
      </c>
    </row>
    <row r="25060" spans="1:10" x14ac:dyDescent="0.25">
      <c r="A25060" t="s">
        <v>275</v>
      </c>
      <c r="B25060" s="1" t="str">
        <f>HYPERLINK("http://wyeth.com","wyeth.com")</f>
        <v>wyeth.com</v>
      </c>
      <c r="C25060" t="s">
        <v>433</v>
      </c>
      <c r="E25060">
        <v>55591</v>
      </c>
      <c r="F25060">
        <v>7.6040139043076495E-8</v>
      </c>
      <c r="G25060">
        <v>552366</v>
      </c>
      <c r="H25060">
        <v>14872991</v>
      </c>
      <c r="I25060">
        <v>476990</v>
      </c>
      <c r="J25060">
        <v>3</v>
      </c>
    </row>
    <row r="25061" spans="1:10" x14ac:dyDescent="0.25">
      <c r="A25061" t="s">
        <v>275</v>
      </c>
      <c r="B25061" s="1" t="str">
        <f>HYPERLINK("http://wyethnutrition.com","wyethnutrition.com")</f>
        <v>wyethnutrition.com</v>
      </c>
      <c r="C25061" t="s">
        <v>433</v>
      </c>
      <c r="F25061">
        <v>2.1769904908199001E-8</v>
      </c>
      <c r="G25061">
        <v>2414811</v>
      </c>
      <c r="H25061">
        <v>12533844</v>
      </c>
      <c r="I25061">
        <v>16996752</v>
      </c>
      <c r="J25061">
        <v>5</v>
      </c>
    </row>
    <row r="25062" spans="1:10" x14ac:dyDescent="0.25">
      <c r="A25062" t="s">
        <v>275</v>
      </c>
      <c r="B25062" s="1" t="str">
        <f>HYPERLINK("http://dolce-gusto.co.cr","dolce-gusto.co.cr")</f>
        <v>dolce-gusto.co.cr</v>
      </c>
      <c r="C25062" t="s">
        <v>434</v>
      </c>
      <c r="D25062" t="s">
        <v>813</v>
      </c>
      <c r="F25062">
        <v>1.6060125610634899E-8</v>
      </c>
      <c r="G25062">
        <v>3530778</v>
      </c>
      <c r="H25062">
        <v>12107252</v>
      </c>
      <c r="I25062">
        <v>25800102</v>
      </c>
      <c r="J25062">
        <v>4</v>
      </c>
    </row>
    <row r="25063" spans="1:10" x14ac:dyDescent="0.25">
      <c r="A25063" t="s">
        <v>275</v>
      </c>
      <c r="B25063" s="1" t="str">
        <f>HYPERLINK("http://nespresso.com.cy","nespresso.com.cy")</f>
        <v>nespresso.com.cy</v>
      </c>
      <c r="C25063" t="s">
        <v>610</v>
      </c>
      <c r="D25063" t="s">
        <v>937</v>
      </c>
      <c r="F25063">
        <v>1.39944196786125E-8</v>
      </c>
      <c r="G25063">
        <v>4204835</v>
      </c>
      <c r="H25063">
        <v>13252855</v>
      </c>
      <c r="I25063">
        <v>11069654</v>
      </c>
      <c r="J25063">
        <v>4</v>
      </c>
    </row>
    <row r="25064" spans="1:10" x14ac:dyDescent="0.25">
      <c r="A25064" t="s">
        <v>275</v>
      </c>
      <c r="B25064" s="1" t="str">
        <f>HYPERLINK("http://dolce-gusto.cz","dolce-gusto.cz")</f>
        <v>dolce-gusto.cz</v>
      </c>
      <c r="C25064" t="s">
        <v>435</v>
      </c>
      <c r="D25064" t="s">
        <v>814</v>
      </c>
      <c r="F25064">
        <v>3.1061581213499498E-8</v>
      </c>
      <c r="G25064">
        <v>1659333</v>
      </c>
      <c r="H25064">
        <v>13114151</v>
      </c>
      <c r="I25064">
        <v>12020735</v>
      </c>
      <c r="J25064">
        <v>3</v>
      </c>
    </row>
    <row r="25065" spans="1:10" x14ac:dyDescent="0.25">
      <c r="A25065" t="s">
        <v>275</v>
      </c>
      <c r="B25065" s="1" t="str">
        <f>HYPERLINK("http://froneri.cz","froneri.cz")</f>
        <v>froneri.cz</v>
      </c>
      <c r="C25065" t="s">
        <v>435</v>
      </c>
      <c r="D25065" t="s">
        <v>814</v>
      </c>
      <c r="F25065">
        <v>9.0238850585482805E-9</v>
      </c>
      <c r="G25065">
        <v>7956457</v>
      </c>
      <c r="H25065">
        <v>10880269</v>
      </c>
      <c r="I25065">
        <v>36326358</v>
      </c>
      <c r="J25065">
        <v>5</v>
      </c>
    </row>
    <row r="25066" spans="1:10" x14ac:dyDescent="0.25">
      <c r="A25066" t="s">
        <v>275</v>
      </c>
      <c r="B25066" s="1" t="str">
        <f>HYPERLINK("http://maggi.cz","maggi.cz")</f>
        <v>maggi.cz</v>
      </c>
      <c r="C25066" t="s">
        <v>435</v>
      </c>
      <c r="D25066" t="s">
        <v>814</v>
      </c>
      <c r="F25066">
        <v>1.05794958659696E-8</v>
      </c>
      <c r="G25066">
        <v>6201274</v>
      </c>
      <c r="H25066">
        <v>12360530</v>
      </c>
      <c r="I25066">
        <v>19575319</v>
      </c>
      <c r="J25066">
        <v>3</v>
      </c>
    </row>
    <row r="25067" spans="1:10" x14ac:dyDescent="0.25">
      <c r="A25067" t="s">
        <v>275</v>
      </c>
      <c r="B25067" s="1" t="str">
        <f>HYPERLINK("http://nespresso.cz","nespresso.cz")</f>
        <v>nespresso.cz</v>
      </c>
      <c r="C25067" t="s">
        <v>435</v>
      </c>
      <c r="D25067" t="s">
        <v>814</v>
      </c>
      <c r="F25067">
        <v>1.8423980915724401E-8</v>
      </c>
      <c r="G25067">
        <v>2941000</v>
      </c>
      <c r="H25067">
        <v>12495417</v>
      </c>
      <c r="I25067">
        <v>17424129</v>
      </c>
      <c r="J25067">
        <v>4</v>
      </c>
    </row>
    <row r="25068" spans="1:10" x14ac:dyDescent="0.25">
      <c r="A25068" t="s">
        <v>275</v>
      </c>
      <c r="B25068" s="1" t="str">
        <f>HYPERLINK("http://nestle.cz","nestle.cz")</f>
        <v>nestle.cz</v>
      </c>
      <c r="C25068" t="s">
        <v>435</v>
      </c>
      <c r="D25068" t="s">
        <v>814</v>
      </c>
      <c r="F25068">
        <v>1.6643885322230901E-7</v>
      </c>
      <c r="G25068">
        <v>233183</v>
      </c>
      <c r="H25068">
        <v>14276987</v>
      </c>
      <c r="I25068">
        <v>1388526</v>
      </c>
      <c r="J25068">
        <v>2</v>
      </c>
    </row>
    <row r="25069" spans="1:10" x14ac:dyDescent="0.25">
      <c r="A25069" t="s">
        <v>275</v>
      </c>
      <c r="B25069" s="1" t="str">
        <f>HYPERLINK("http://nestlehealthscience.cz","nestlehealthscience.cz")</f>
        <v>nestlehealthscience.cz</v>
      </c>
      <c r="C25069" t="s">
        <v>435</v>
      </c>
      <c r="D25069" t="s">
        <v>814</v>
      </c>
      <c r="F25069">
        <v>2.8135043341322898E-8</v>
      </c>
      <c r="G25069">
        <v>1828881</v>
      </c>
      <c r="H25069">
        <v>12761926</v>
      </c>
      <c r="I25069">
        <v>14940191</v>
      </c>
      <c r="J25069">
        <v>6</v>
      </c>
    </row>
    <row r="25070" spans="1:10" x14ac:dyDescent="0.25">
      <c r="A25070" t="s">
        <v>275</v>
      </c>
      <c r="B25070" s="1" t="str">
        <f>HYPERLINK("http://purina.cz","purina.cz")</f>
        <v>purina.cz</v>
      </c>
      <c r="C25070" t="s">
        <v>435</v>
      </c>
      <c r="D25070" t="s">
        <v>814</v>
      </c>
      <c r="F25070">
        <v>5.9098694521633402E-8</v>
      </c>
      <c r="G25070">
        <v>750107</v>
      </c>
      <c r="H25070">
        <v>12560648</v>
      </c>
      <c r="I25070">
        <v>16707309</v>
      </c>
      <c r="J25070">
        <v>4</v>
      </c>
    </row>
    <row r="25071" spans="1:10" x14ac:dyDescent="0.25">
      <c r="A25071" t="s">
        <v>275</v>
      </c>
      <c r="B25071" s="1" t="str">
        <f>HYPERLINK("http://babyservice.de","babyservice.de")</f>
        <v>babyservice.de</v>
      </c>
      <c r="C25071" t="s">
        <v>436</v>
      </c>
      <c r="D25071" t="s">
        <v>815</v>
      </c>
      <c r="F25071">
        <v>2.7504037017618799E-8</v>
      </c>
      <c r="G25071">
        <v>1869225</v>
      </c>
      <c r="H25071">
        <v>14489080</v>
      </c>
      <c r="I25071">
        <v>926110</v>
      </c>
      <c r="J25071">
        <v>3</v>
      </c>
    </row>
    <row r="25072" spans="1:10" x14ac:dyDescent="0.25">
      <c r="A25072" t="s">
        <v>275</v>
      </c>
      <c r="B25072" s="1" t="str">
        <f>HYPERLINK("http://beneful.de","beneful.de")</f>
        <v>beneful.de</v>
      </c>
      <c r="C25072" t="s">
        <v>436</v>
      </c>
      <c r="D25072" t="s">
        <v>815</v>
      </c>
      <c r="F25072">
        <v>6.13555123789158E-9</v>
      </c>
      <c r="G25072">
        <v>15885755</v>
      </c>
      <c r="H25072">
        <v>12505266</v>
      </c>
      <c r="I25072">
        <v>17292947</v>
      </c>
      <c r="J25072">
        <v>3</v>
      </c>
    </row>
    <row r="25073" spans="1:10" x14ac:dyDescent="0.25">
      <c r="A25073" t="s">
        <v>275</v>
      </c>
      <c r="B25073" s="1" t="str">
        <f>HYPERLINK("http://dolce-gusto.de","dolce-gusto.de")</f>
        <v>dolce-gusto.de</v>
      </c>
      <c r="C25073" t="s">
        <v>436</v>
      </c>
      <c r="D25073" t="s">
        <v>815</v>
      </c>
      <c r="F25073">
        <v>8.1698941504878601E-8</v>
      </c>
      <c r="G25073">
        <v>510829</v>
      </c>
      <c r="H25073">
        <v>16933020</v>
      </c>
      <c r="I25073">
        <v>117017</v>
      </c>
      <c r="J25073">
        <v>3</v>
      </c>
    </row>
    <row r="25074" spans="1:10" x14ac:dyDescent="0.25">
      <c r="A25074" t="s">
        <v>275</v>
      </c>
      <c r="B25074" s="1" t="str">
        <f>HYPERLINK("http://froneri.de","froneri.de")</f>
        <v>froneri.de</v>
      </c>
      <c r="C25074" t="s">
        <v>436</v>
      </c>
      <c r="D25074" t="s">
        <v>815</v>
      </c>
      <c r="F25074">
        <v>2.9921068996415601E-8</v>
      </c>
      <c r="G25074">
        <v>1719852</v>
      </c>
      <c r="H25074">
        <v>12907966</v>
      </c>
      <c r="I25074">
        <v>13808342</v>
      </c>
      <c r="J25074">
        <v>4</v>
      </c>
    </row>
    <row r="25075" spans="1:10" x14ac:dyDescent="0.25">
      <c r="A25075" t="s">
        <v>275</v>
      </c>
      <c r="B25075" s="1" t="str">
        <f>HYPERLINK("http://haagen-dasz.de","haagen-dasz.de")</f>
        <v>haagen-dasz.de</v>
      </c>
      <c r="C25075" t="s">
        <v>436</v>
      </c>
      <c r="D25075" t="s">
        <v>815</v>
      </c>
      <c r="J25075">
        <v>5</v>
      </c>
    </row>
    <row r="25076" spans="1:10" x14ac:dyDescent="0.25">
      <c r="A25076" t="s">
        <v>275</v>
      </c>
      <c r="B25076" s="1" t="str">
        <f>HYPERLINK("http://hertaland.de","hertaland.de")</f>
        <v>hertaland.de</v>
      </c>
      <c r="C25076" t="s">
        <v>436</v>
      </c>
      <c r="D25076" t="s">
        <v>815</v>
      </c>
      <c r="F25076">
        <v>5.93874328224862E-9</v>
      </c>
      <c r="G25076">
        <v>17094552</v>
      </c>
      <c r="H25076">
        <v>14071794</v>
      </c>
      <c r="I25076">
        <v>3348786</v>
      </c>
      <c r="J25076">
        <v>3</v>
      </c>
    </row>
    <row r="25077" spans="1:10" x14ac:dyDescent="0.25">
      <c r="A25077" t="s">
        <v>275</v>
      </c>
      <c r="B25077" s="1" t="str">
        <f>HYPERLINK("http://katzenwiefelix.de","katzenwiefelix.de")</f>
        <v>katzenwiefelix.de</v>
      </c>
      <c r="C25077" t="s">
        <v>436</v>
      </c>
      <c r="D25077" t="s">
        <v>815</v>
      </c>
      <c r="F25077">
        <v>7.4594252038107192E-9</v>
      </c>
      <c r="G25077">
        <v>11104235</v>
      </c>
      <c r="H25077">
        <v>13768939</v>
      </c>
      <c r="I25077">
        <v>6828414</v>
      </c>
      <c r="J25077">
        <v>3</v>
      </c>
    </row>
    <row r="25078" spans="1:10" x14ac:dyDescent="0.25">
      <c r="A25078" t="s">
        <v>275</v>
      </c>
      <c r="B25078" s="1" t="str">
        <f>HYPERLINK("http://maggi.de","maggi.de")</f>
        <v>maggi.de</v>
      </c>
      <c r="C25078" t="s">
        <v>436</v>
      </c>
      <c r="D25078" t="s">
        <v>815</v>
      </c>
      <c r="E25078">
        <v>359144</v>
      </c>
      <c r="F25078">
        <v>8.6194625823631506E-8</v>
      </c>
      <c r="G25078">
        <v>477252</v>
      </c>
      <c r="H25078">
        <v>14997340</v>
      </c>
      <c r="I25078">
        <v>426486</v>
      </c>
      <c r="J25078">
        <v>3</v>
      </c>
    </row>
    <row r="25079" spans="1:10" x14ac:dyDescent="0.25">
      <c r="A25079" t="s">
        <v>275</v>
      </c>
      <c r="B25079" s="1" t="str">
        <f>HYPERLINK("http://mein-onlinedokument.de","mein-onlinedokument.de")</f>
        <v>mein-onlinedokument.de</v>
      </c>
      <c r="C25079" t="s">
        <v>436</v>
      </c>
      <c r="D25079" t="s">
        <v>815</v>
      </c>
      <c r="J25079">
        <v>3</v>
      </c>
    </row>
    <row r="25080" spans="1:10" x14ac:dyDescent="0.25">
      <c r="A25080" t="s">
        <v>275</v>
      </c>
      <c r="B25080" s="1" t="str">
        <f>HYPERLINK("http://nespresso.de","nespresso.de")</f>
        <v>nespresso.de</v>
      </c>
      <c r="C25080" t="s">
        <v>436</v>
      </c>
      <c r="D25080" t="s">
        <v>815</v>
      </c>
      <c r="F25080">
        <v>9.4539386325749401E-9</v>
      </c>
      <c r="G25080">
        <v>7377958</v>
      </c>
      <c r="H25080">
        <v>12906346</v>
      </c>
      <c r="I25080">
        <v>13818425</v>
      </c>
      <c r="J25080">
        <v>4</v>
      </c>
    </row>
    <row r="25081" spans="1:10" x14ac:dyDescent="0.25">
      <c r="A25081" t="s">
        <v>275</v>
      </c>
      <c r="B25081" s="1" t="str">
        <f>HYPERLINK("http://nestle.de","nestle.de")</f>
        <v>nestle.de</v>
      </c>
      <c r="C25081" t="s">
        <v>436</v>
      </c>
      <c r="D25081" t="s">
        <v>815</v>
      </c>
      <c r="E25081">
        <v>190439</v>
      </c>
      <c r="F25081">
        <v>4.00458027335676E-7</v>
      </c>
      <c r="G25081">
        <v>93727</v>
      </c>
      <c r="H25081">
        <v>14802966</v>
      </c>
      <c r="I25081">
        <v>547580</v>
      </c>
      <c r="J25081">
        <v>2</v>
      </c>
    </row>
    <row r="25082" spans="1:10" x14ac:dyDescent="0.25">
      <c r="A25082" t="s">
        <v>275</v>
      </c>
      <c r="B25082" s="1" t="str">
        <f>HYPERLINK("http://nestle-cerealien.de","nestle-cerealien.de")</f>
        <v>nestle-cerealien.de</v>
      </c>
      <c r="C25082" t="s">
        <v>436</v>
      </c>
      <c r="D25082" t="s">
        <v>815</v>
      </c>
      <c r="F25082">
        <v>6.5918901885527196E-9</v>
      </c>
      <c r="G25082">
        <v>13707867</v>
      </c>
      <c r="H25082">
        <v>12133926</v>
      </c>
      <c r="I25082">
        <v>25028854</v>
      </c>
      <c r="J25082">
        <v>3</v>
      </c>
    </row>
    <row r="25083" spans="1:10" x14ac:dyDescent="0.25">
      <c r="A25083" t="s">
        <v>275</v>
      </c>
      <c r="B25083" s="1" t="str">
        <f>HYPERLINK("http://nestle-marktplatz.de","nestle-marktplatz.de")</f>
        <v>nestle-marktplatz.de</v>
      </c>
      <c r="C25083" t="s">
        <v>436</v>
      </c>
      <c r="D25083" t="s">
        <v>815</v>
      </c>
      <c r="E25083">
        <v>813781</v>
      </c>
      <c r="F25083">
        <v>1.3287201618449E-7</v>
      </c>
      <c r="G25083">
        <v>294060</v>
      </c>
      <c r="H25083">
        <v>14991809</v>
      </c>
      <c r="I25083">
        <v>427845</v>
      </c>
      <c r="J25083">
        <v>3</v>
      </c>
    </row>
    <row r="25084" spans="1:10" x14ac:dyDescent="0.25">
      <c r="A25084" t="s">
        <v>275</v>
      </c>
      <c r="B25084" s="1" t="str">
        <f>HYPERLINK("http://nestle-waters.de","nestle-waters.de")</f>
        <v>nestle-waters.de</v>
      </c>
      <c r="C25084" t="s">
        <v>436</v>
      </c>
      <c r="D25084" t="s">
        <v>815</v>
      </c>
      <c r="F25084">
        <v>4.98893845465664E-9</v>
      </c>
      <c r="G25084">
        <v>29699756</v>
      </c>
      <c r="H25084">
        <v>14071790</v>
      </c>
      <c r="I25084">
        <v>3505355</v>
      </c>
      <c r="J25084">
        <v>3</v>
      </c>
    </row>
    <row r="25085" spans="1:10" x14ac:dyDescent="0.25">
      <c r="A25085" t="s">
        <v>275</v>
      </c>
      <c r="B25085" s="1" t="str">
        <f>HYPERLINK("http://nestlehealthscience.de","nestlehealthscience.de")</f>
        <v>nestlehealthscience.de</v>
      </c>
      <c r="C25085" t="s">
        <v>436</v>
      </c>
      <c r="D25085" t="s">
        <v>815</v>
      </c>
      <c r="F25085">
        <v>3.0288129084917797E-8</v>
      </c>
      <c r="G25085">
        <v>1699417</v>
      </c>
      <c r="H25085">
        <v>13940002</v>
      </c>
      <c r="I25085">
        <v>4379455</v>
      </c>
      <c r="J25085">
        <v>6</v>
      </c>
    </row>
    <row r="25086" spans="1:10" x14ac:dyDescent="0.25">
      <c r="A25086" t="s">
        <v>275</v>
      </c>
      <c r="B25086" s="1" t="str">
        <f>HYPERLINK("http://original-wagner.de","original-wagner.de")</f>
        <v>original-wagner.de</v>
      </c>
      <c r="C25086" t="s">
        <v>436</v>
      </c>
      <c r="D25086" t="s">
        <v>815</v>
      </c>
      <c r="F25086">
        <v>1.5065298809583101E-8</v>
      </c>
      <c r="G25086">
        <v>3818696</v>
      </c>
      <c r="H25086">
        <v>13783105</v>
      </c>
      <c r="I25086">
        <v>6429896</v>
      </c>
      <c r="J25086">
        <v>3</v>
      </c>
    </row>
    <row r="25087" spans="1:10" x14ac:dyDescent="0.25">
      <c r="A25087" t="s">
        <v>275</v>
      </c>
      <c r="B25087" s="1" t="str">
        <f>HYPERLINK("http://purina.de","purina.de")</f>
        <v>purina.de</v>
      </c>
      <c r="C25087" t="s">
        <v>436</v>
      </c>
      <c r="D25087" t="s">
        <v>815</v>
      </c>
      <c r="E25087">
        <v>429436</v>
      </c>
      <c r="F25087">
        <v>1.65915298533562E-7</v>
      </c>
      <c r="G25087">
        <v>233910</v>
      </c>
      <c r="H25087">
        <v>14571480</v>
      </c>
      <c r="I25087">
        <v>734317</v>
      </c>
      <c r="J25087">
        <v>3</v>
      </c>
    </row>
    <row r="25088" spans="1:10" x14ac:dyDescent="0.25">
      <c r="A25088" t="s">
        <v>275</v>
      </c>
      <c r="B25088" s="1" t="str">
        <f>HYPERLINK("http://terracanis.de","terracanis.de")</f>
        <v>terracanis.de</v>
      </c>
      <c r="C25088" t="s">
        <v>436</v>
      </c>
      <c r="D25088" t="s">
        <v>815</v>
      </c>
      <c r="F25088">
        <v>2.9485821900999199E-8</v>
      </c>
      <c r="G25088">
        <v>1748029</v>
      </c>
      <c r="H25088">
        <v>14190730</v>
      </c>
      <c r="I25088">
        <v>1752683</v>
      </c>
      <c r="J25088">
        <v>3</v>
      </c>
    </row>
    <row r="25089" spans="1:10" x14ac:dyDescent="0.25">
      <c r="A25089" t="s">
        <v>275</v>
      </c>
      <c r="B25089" s="1" t="str">
        <f>HYPERLINK("http://vitalproteins.de","vitalproteins.de")</f>
        <v>vitalproteins.de</v>
      </c>
      <c r="C25089" t="s">
        <v>436</v>
      </c>
      <c r="D25089" t="s">
        <v>815</v>
      </c>
      <c r="F25089">
        <v>6.5651214885864604E-9</v>
      </c>
      <c r="G25089">
        <v>13813050</v>
      </c>
      <c r="H25089">
        <v>12591479</v>
      </c>
      <c r="I25089">
        <v>16402426</v>
      </c>
      <c r="J25089">
        <v>5</v>
      </c>
    </row>
    <row r="25090" spans="1:10" x14ac:dyDescent="0.25">
      <c r="A25090" t="s">
        <v>275</v>
      </c>
      <c r="B25090" s="1" t="str">
        <f>HYPERLINK("http://wagner-pizza.de","wagner-pizza.de")</f>
        <v>wagner-pizza.de</v>
      </c>
      <c r="C25090" t="s">
        <v>436</v>
      </c>
      <c r="D25090" t="s">
        <v>815</v>
      </c>
      <c r="F25090">
        <v>1.10013733768044E-8</v>
      </c>
      <c r="G25090">
        <v>5859057</v>
      </c>
      <c r="H25090">
        <v>14133231</v>
      </c>
      <c r="I25090">
        <v>1990850</v>
      </c>
      <c r="J25090">
        <v>6</v>
      </c>
    </row>
    <row r="25091" spans="1:10" x14ac:dyDescent="0.25">
      <c r="A25091" t="s">
        <v>275</v>
      </c>
      <c r="B25091" s="1" t="str">
        <f>HYPERLINK("http://dolce-gusto.dk","dolce-gusto.dk")</f>
        <v>dolce-gusto.dk</v>
      </c>
      <c r="C25091" t="s">
        <v>437</v>
      </c>
      <c r="D25091" t="s">
        <v>816</v>
      </c>
      <c r="F25091">
        <v>1.8493737046335298E-8</v>
      </c>
      <c r="G25091">
        <v>2926836</v>
      </c>
      <c r="H25091">
        <v>13763769</v>
      </c>
      <c r="I25091">
        <v>7643929</v>
      </c>
      <c r="J25091">
        <v>4</v>
      </c>
    </row>
    <row r="25092" spans="1:10" x14ac:dyDescent="0.25">
      <c r="A25092" t="s">
        <v>275</v>
      </c>
      <c r="B25092" s="1" t="str">
        <f>HYPERLINK("http://halsanskok.dk","halsanskok.dk")</f>
        <v>halsanskok.dk</v>
      </c>
      <c r="C25092" t="s">
        <v>437</v>
      </c>
      <c r="D25092" t="s">
        <v>816</v>
      </c>
      <c r="F25092">
        <v>1.1095127245633799E-8</v>
      </c>
      <c r="G25092">
        <v>5789069</v>
      </c>
      <c r="H25092">
        <v>10752284</v>
      </c>
      <c r="I25092">
        <v>39997301</v>
      </c>
      <c r="J25092">
        <v>5</v>
      </c>
    </row>
    <row r="25093" spans="1:10" x14ac:dyDescent="0.25">
      <c r="A25093" t="s">
        <v>275</v>
      </c>
      <c r="B25093" s="1" t="str">
        <f>HYPERLINK("http://nespresso.dk","nespresso.dk")</f>
        <v>nespresso.dk</v>
      </c>
      <c r="C25093" t="s">
        <v>437</v>
      </c>
      <c r="D25093" t="s">
        <v>816</v>
      </c>
      <c r="F25093">
        <v>5.3989243682416502E-9</v>
      </c>
      <c r="G25093">
        <v>22127908</v>
      </c>
      <c r="H25093">
        <v>10753100</v>
      </c>
      <c r="I25093">
        <v>39899174</v>
      </c>
      <c r="J25093">
        <v>4</v>
      </c>
    </row>
    <row r="25094" spans="1:10" x14ac:dyDescent="0.25">
      <c r="A25094" t="s">
        <v>275</v>
      </c>
      <c r="B25094" s="1" t="str">
        <f>HYPERLINK("http://nestle.dk","nestle.dk")</f>
        <v>nestle.dk</v>
      </c>
      <c r="C25094" t="s">
        <v>437</v>
      </c>
      <c r="D25094" t="s">
        <v>816</v>
      </c>
      <c r="F25094">
        <v>5.6710683915360897E-8</v>
      </c>
      <c r="G25094">
        <v>788032</v>
      </c>
      <c r="H25094">
        <v>14491862</v>
      </c>
      <c r="I25094">
        <v>899471</v>
      </c>
      <c r="J25094">
        <v>2</v>
      </c>
    </row>
    <row r="25095" spans="1:10" x14ac:dyDescent="0.25">
      <c r="A25095" t="s">
        <v>275</v>
      </c>
      <c r="B25095" s="1" t="str">
        <f>HYPERLINK("http://nestlehealthscience.dk","nestlehealthscience.dk")</f>
        <v>nestlehealthscience.dk</v>
      </c>
      <c r="C25095" t="s">
        <v>437</v>
      </c>
      <c r="D25095" t="s">
        <v>816</v>
      </c>
      <c r="F25095">
        <v>1.15152276483224E-8</v>
      </c>
      <c r="G25095">
        <v>5493176</v>
      </c>
      <c r="H25095">
        <v>12058301</v>
      </c>
      <c r="I25095">
        <v>27048221</v>
      </c>
      <c r="J25095">
        <v>6</v>
      </c>
    </row>
    <row r="25096" spans="1:10" x14ac:dyDescent="0.25">
      <c r="A25096" t="s">
        <v>275</v>
      </c>
      <c r="B25096" s="1" t="str">
        <f>HYPERLINK("http://nestlenan.dk","nestlenan.dk")</f>
        <v>nestlenan.dk</v>
      </c>
      <c r="C25096" t="s">
        <v>437</v>
      </c>
      <c r="D25096" t="s">
        <v>816</v>
      </c>
      <c r="F25096">
        <v>6.3588319749674296E-9</v>
      </c>
      <c r="G25096">
        <v>14718667</v>
      </c>
      <c r="H25096">
        <v>8112411.5</v>
      </c>
      <c r="I25096">
        <v>74994043</v>
      </c>
      <c r="J25096">
        <v>5</v>
      </c>
    </row>
    <row r="25097" spans="1:10" x14ac:dyDescent="0.25">
      <c r="A25097" t="s">
        <v>275</v>
      </c>
      <c r="B25097" s="1" t="str">
        <f>HYPERLINK("http://nespresso.com.do","nespresso.com.do")</f>
        <v>nespresso.com.do</v>
      </c>
      <c r="C25097" t="s">
        <v>438</v>
      </c>
      <c r="D25097" t="s">
        <v>817</v>
      </c>
      <c r="F25097">
        <v>4.6344919670459896E-9</v>
      </c>
      <c r="G25097">
        <v>45126569</v>
      </c>
      <c r="H25097">
        <v>10752535</v>
      </c>
      <c r="I25097">
        <v>39985200</v>
      </c>
      <c r="J25097">
        <v>4</v>
      </c>
    </row>
    <row r="25098" spans="1:10" x14ac:dyDescent="0.25">
      <c r="A25098" t="s">
        <v>275</v>
      </c>
      <c r="B25098" s="1" t="str">
        <f>HYPERLINK("http://dolce-gusto.do","dolce-gusto.do")</f>
        <v>dolce-gusto.do</v>
      </c>
      <c r="C25098" t="s">
        <v>438</v>
      </c>
      <c r="D25098" t="s">
        <v>817</v>
      </c>
      <c r="F25098">
        <v>1.56866199674457E-8</v>
      </c>
      <c r="G25098">
        <v>3631193</v>
      </c>
      <c r="H25098">
        <v>12154670</v>
      </c>
      <c r="I25098">
        <v>24502265</v>
      </c>
      <c r="J25098">
        <v>4</v>
      </c>
    </row>
    <row r="25099" spans="1:10" x14ac:dyDescent="0.25">
      <c r="A25099" t="s">
        <v>275</v>
      </c>
      <c r="B25099" s="1" t="str">
        <f>HYPERLINK("http://nestle.do","nestle.do")</f>
        <v>nestle.do</v>
      </c>
      <c r="C25099" t="s">
        <v>438</v>
      </c>
      <c r="D25099" t="s">
        <v>817</v>
      </c>
      <c r="F25099">
        <v>4.2593529761236301E-8</v>
      </c>
      <c r="G25099">
        <v>1135879</v>
      </c>
      <c r="H25099">
        <v>12449573</v>
      </c>
      <c r="I25099">
        <v>18002349</v>
      </c>
      <c r="J25099">
        <v>2</v>
      </c>
    </row>
    <row r="25100" spans="1:10" x14ac:dyDescent="0.25">
      <c r="A25100" t="s">
        <v>275</v>
      </c>
      <c r="B25100" s="1" t="str">
        <f>HYPERLINK("http://dolce-gusto.com.ec","dolce-gusto.com.ec")</f>
        <v>dolce-gusto.com.ec</v>
      </c>
      <c r="C25100" t="s">
        <v>440</v>
      </c>
      <c r="D25100" t="s">
        <v>819</v>
      </c>
      <c r="F25100">
        <v>2.3363503979011298E-8</v>
      </c>
      <c r="G25100">
        <v>2232212</v>
      </c>
      <c r="H25100">
        <v>13671078</v>
      </c>
      <c r="I25100">
        <v>9547442</v>
      </c>
      <c r="J25100">
        <v>4</v>
      </c>
    </row>
    <row r="25101" spans="1:10" x14ac:dyDescent="0.25">
      <c r="A25101" t="s">
        <v>275</v>
      </c>
      <c r="B25101" s="1" t="str">
        <f>HYPERLINK("http://nestle.com.ec","nestle.com.ec")</f>
        <v>nestle.com.ec</v>
      </c>
      <c r="C25101" t="s">
        <v>440</v>
      </c>
      <c r="D25101" t="s">
        <v>819</v>
      </c>
      <c r="F25101">
        <v>5.5188417713026103E-8</v>
      </c>
      <c r="G25101">
        <v>814243</v>
      </c>
      <c r="H25101">
        <v>14728397</v>
      </c>
      <c r="I25101">
        <v>573605</v>
      </c>
      <c r="J25101">
        <v>2</v>
      </c>
    </row>
    <row r="25102" spans="1:10" x14ac:dyDescent="0.25">
      <c r="A25102" t="s">
        <v>275</v>
      </c>
      <c r="B25102" s="1" t="str">
        <f>HYPERLINK("http://nestle.ec","nestle.ec")</f>
        <v>nestle.ec</v>
      </c>
      <c r="C25102" t="s">
        <v>440</v>
      </c>
      <c r="D25102" t="s">
        <v>819</v>
      </c>
      <c r="F25102">
        <v>4.9732586712460702E-9</v>
      </c>
      <c r="G25102">
        <v>30163895</v>
      </c>
      <c r="H25102">
        <v>10843736</v>
      </c>
      <c r="I25102">
        <v>37019230</v>
      </c>
      <c r="J25102">
        <v>3</v>
      </c>
    </row>
    <row r="25103" spans="1:10" x14ac:dyDescent="0.25">
      <c r="A25103" t="s">
        <v>275</v>
      </c>
      <c r="B25103" s="1" t="str">
        <f>HYPERLINK("http://dolce-gusto.ee","dolce-gusto.ee")</f>
        <v>dolce-gusto.ee</v>
      </c>
      <c r="C25103" t="s">
        <v>441</v>
      </c>
      <c r="D25103" t="s">
        <v>820</v>
      </c>
      <c r="F25103">
        <v>1.6010155331500501E-8</v>
      </c>
      <c r="G25103">
        <v>3543501</v>
      </c>
      <c r="H25103">
        <v>12130828</v>
      </c>
      <c r="I25103">
        <v>25114189</v>
      </c>
      <c r="J25103">
        <v>4</v>
      </c>
    </row>
    <row r="25104" spans="1:10" x14ac:dyDescent="0.25">
      <c r="A25104" t="s">
        <v>275</v>
      </c>
      <c r="B25104" s="1" t="str">
        <f>HYPERLINK("http://froneri.ee","froneri.ee")</f>
        <v>froneri.ee</v>
      </c>
      <c r="C25104" t="s">
        <v>441</v>
      </c>
      <c r="D25104" t="s">
        <v>820</v>
      </c>
      <c r="F25104">
        <v>7.1200920959567799E-9</v>
      </c>
      <c r="G25104">
        <v>11959026</v>
      </c>
      <c r="H25104">
        <v>9939603</v>
      </c>
      <c r="I25104">
        <v>61339491</v>
      </c>
      <c r="J25104">
        <v>5</v>
      </c>
    </row>
    <row r="25105" spans="1:10" x14ac:dyDescent="0.25">
      <c r="A25105" t="s">
        <v>275</v>
      </c>
      <c r="B25105" s="1" t="str">
        <f>HYPERLINK("http://nespresso.ee","nespresso.ee")</f>
        <v>nespresso.ee</v>
      </c>
      <c r="C25105" t="s">
        <v>441</v>
      </c>
      <c r="D25105" t="s">
        <v>820</v>
      </c>
      <c r="F25105">
        <v>6.2822731488635802E-9</v>
      </c>
      <c r="G25105">
        <v>15116599</v>
      </c>
      <c r="H25105">
        <v>11037282</v>
      </c>
      <c r="I25105">
        <v>32964464</v>
      </c>
      <c r="J25105">
        <v>4</v>
      </c>
    </row>
    <row r="25106" spans="1:10" x14ac:dyDescent="0.25">
      <c r="A25106" t="s">
        <v>275</v>
      </c>
      <c r="B25106" s="1" t="str">
        <f>HYPERLINK("http://nestle.ee","nestle.ee")</f>
        <v>nestle.ee</v>
      </c>
      <c r="C25106" t="s">
        <v>441</v>
      </c>
      <c r="D25106" t="s">
        <v>820</v>
      </c>
      <c r="F25106">
        <v>4.4078123999862098E-8</v>
      </c>
      <c r="G25106">
        <v>1078995</v>
      </c>
      <c r="H25106">
        <v>13943586</v>
      </c>
      <c r="I25106">
        <v>4311975</v>
      </c>
      <c r="J25106">
        <v>3</v>
      </c>
    </row>
    <row r="25107" spans="1:10" x14ac:dyDescent="0.25">
      <c r="A25107" t="s">
        <v>275</v>
      </c>
      <c r="B25107" s="1" t="str">
        <f>HYPERLINK("http://purina.ee","purina.ee")</f>
        <v>purina.ee</v>
      </c>
      <c r="C25107" t="s">
        <v>441</v>
      </c>
      <c r="D25107" t="s">
        <v>820</v>
      </c>
      <c r="F25107">
        <v>1.3808344799328501E-8</v>
      </c>
      <c r="G25107">
        <v>4277966</v>
      </c>
      <c r="H25107">
        <v>14073872</v>
      </c>
      <c r="I25107">
        <v>2967085</v>
      </c>
      <c r="J25107">
        <v>5</v>
      </c>
    </row>
    <row r="25108" spans="1:10" x14ac:dyDescent="0.25">
      <c r="A25108" t="s">
        <v>275</v>
      </c>
      <c r="B25108" s="1" t="str">
        <f>HYPERLINK("http://froneri.eg","froneri.eg")</f>
        <v>froneri.eg</v>
      </c>
      <c r="C25108" t="s">
        <v>442</v>
      </c>
      <c r="D25108" t="s">
        <v>821</v>
      </c>
      <c r="F25108">
        <v>1.0600528880647099E-8</v>
      </c>
      <c r="G25108">
        <v>6183206</v>
      </c>
      <c r="H25108">
        <v>10950327</v>
      </c>
      <c r="I25108">
        <v>34576231</v>
      </c>
      <c r="J25108">
        <v>4</v>
      </c>
    </row>
    <row r="25109" spans="1:10" x14ac:dyDescent="0.25">
      <c r="A25109" t="s">
        <v>275</v>
      </c>
      <c r="B25109" s="1" t="str">
        <f>HYPERLINK("http://dolce-gusto.es","dolce-gusto.es")</f>
        <v>dolce-gusto.es</v>
      </c>
      <c r="C25109" t="s">
        <v>443</v>
      </c>
      <c r="D25109" t="s">
        <v>822</v>
      </c>
      <c r="E25109">
        <v>481824</v>
      </c>
      <c r="F25109">
        <v>3.5755624957911597E-8</v>
      </c>
      <c r="G25109">
        <v>1456415</v>
      </c>
      <c r="H25109">
        <v>14488954</v>
      </c>
      <c r="I25109">
        <v>927473</v>
      </c>
      <c r="J25109">
        <v>3</v>
      </c>
    </row>
    <row r="25110" spans="1:10" x14ac:dyDescent="0.25">
      <c r="A25110" t="s">
        <v>275</v>
      </c>
      <c r="B25110" s="1" t="str">
        <f>HYPERLINK("http://maggi.es","maggi.es")</f>
        <v>maggi.es</v>
      </c>
      <c r="C25110" t="s">
        <v>443</v>
      </c>
      <c r="D25110" t="s">
        <v>822</v>
      </c>
      <c r="F25110">
        <v>5.1905736503123597E-9</v>
      </c>
      <c r="G25110">
        <v>25327640</v>
      </c>
      <c r="H25110">
        <v>13765872</v>
      </c>
      <c r="I25110">
        <v>7056886</v>
      </c>
      <c r="J25110">
        <v>3</v>
      </c>
    </row>
    <row r="25111" spans="1:10" x14ac:dyDescent="0.25">
      <c r="A25111" t="s">
        <v>275</v>
      </c>
      <c r="B25111" s="1" t="str">
        <f>HYPERLINK("http://nespresso.es","nespresso.es")</f>
        <v>nespresso.es</v>
      </c>
      <c r="C25111" t="s">
        <v>443</v>
      </c>
      <c r="D25111" t="s">
        <v>822</v>
      </c>
      <c r="F25111">
        <v>1.3873376907429399E-8</v>
      </c>
      <c r="G25111">
        <v>4251499</v>
      </c>
      <c r="H25111">
        <v>13766862</v>
      </c>
      <c r="I25111">
        <v>6970499</v>
      </c>
      <c r="J25111">
        <v>4</v>
      </c>
    </row>
    <row r="25112" spans="1:10" x14ac:dyDescent="0.25">
      <c r="A25112" t="s">
        <v>275</v>
      </c>
      <c r="B25112" s="1" t="str">
        <f>HYPERLINK("http://nestle.es","nestle.es")</f>
        <v>nestle.es</v>
      </c>
      <c r="C25112" t="s">
        <v>443</v>
      </c>
      <c r="D25112" t="s">
        <v>822</v>
      </c>
      <c r="E25112">
        <v>269770</v>
      </c>
      <c r="F25112">
        <v>4.8220221698630698E-7</v>
      </c>
      <c r="G25112">
        <v>78904</v>
      </c>
      <c r="H25112">
        <v>17241882</v>
      </c>
      <c r="I25112">
        <v>35111</v>
      </c>
      <c r="J25112">
        <v>2</v>
      </c>
    </row>
    <row r="25113" spans="1:10" x14ac:dyDescent="0.25">
      <c r="A25113" t="s">
        <v>275</v>
      </c>
      <c r="B25113" s="1" t="str">
        <f>HYPERLINK("http://nestlehealthscience.es","nestlehealthscience.es")</f>
        <v>nestlehealthscience.es</v>
      </c>
      <c r="C25113" t="s">
        <v>443</v>
      </c>
      <c r="D25113" t="s">
        <v>822</v>
      </c>
      <c r="F25113">
        <v>5.9889752138964797E-8</v>
      </c>
      <c r="G25113">
        <v>737378</v>
      </c>
      <c r="H25113">
        <v>14333435</v>
      </c>
      <c r="I25113">
        <v>1321080</v>
      </c>
      <c r="J25113">
        <v>6</v>
      </c>
    </row>
    <row r="25114" spans="1:10" x14ac:dyDescent="0.25">
      <c r="A25114" t="s">
        <v>275</v>
      </c>
      <c r="B25114" s="1" t="str">
        <f>HYPERLINK("http://purina.es","purina.es")</f>
        <v>purina.es</v>
      </c>
      <c r="C25114" t="s">
        <v>443</v>
      </c>
      <c r="D25114" t="s">
        <v>822</v>
      </c>
      <c r="E25114">
        <v>451981</v>
      </c>
      <c r="F25114">
        <v>7.6297846833107603E-8</v>
      </c>
      <c r="G25114">
        <v>550275</v>
      </c>
      <c r="H25114">
        <v>14553980</v>
      </c>
      <c r="I25114">
        <v>754568</v>
      </c>
      <c r="J25114">
        <v>5</v>
      </c>
    </row>
    <row r="25115" spans="1:10" x14ac:dyDescent="0.25">
      <c r="A25115" t="s">
        <v>275</v>
      </c>
      <c r="B25115" s="1" t="str">
        <f>HYPERLINK("http://acquavera.eu","acquavera.eu")</f>
        <v>acquavera.eu</v>
      </c>
      <c r="C25115" t="s">
        <v>444</v>
      </c>
      <c r="F25115">
        <v>1.6525629669921901E-8</v>
      </c>
      <c r="G25115">
        <v>3407483</v>
      </c>
      <c r="H25115">
        <v>11107066</v>
      </c>
      <c r="I25115">
        <v>32191694</v>
      </c>
      <c r="J25115">
        <v>3</v>
      </c>
    </row>
    <row r="25116" spans="1:10" x14ac:dyDescent="0.25">
      <c r="A25116" t="s">
        <v>275</v>
      </c>
      <c r="B25116" s="1" t="str">
        <f>HYPERLINK("http://purina.eu","purina.eu")</f>
        <v>purina.eu</v>
      </c>
      <c r="C25116" t="s">
        <v>444</v>
      </c>
      <c r="E25116">
        <v>959902</v>
      </c>
      <c r="F25116">
        <v>8.4053218671520496E-8</v>
      </c>
      <c r="G25116">
        <v>492293</v>
      </c>
      <c r="H25116">
        <v>13847287</v>
      </c>
      <c r="I25116">
        <v>6058749</v>
      </c>
      <c r="J25116">
        <v>4</v>
      </c>
    </row>
    <row r="25117" spans="1:10" x14ac:dyDescent="0.25">
      <c r="A25117" t="s">
        <v>275</v>
      </c>
      <c r="B25117" s="1" t="str">
        <f>HYPERLINK("http://acquapanna.fi","acquapanna.fi")</f>
        <v>acquapanna.fi</v>
      </c>
      <c r="C25117" t="s">
        <v>445</v>
      </c>
      <c r="D25117" t="s">
        <v>823</v>
      </c>
      <c r="J25117">
        <v>2</v>
      </c>
    </row>
    <row r="25118" spans="1:10" x14ac:dyDescent="0.25">
      <c r="A25118" t="s">
        <v>275</v>
      </c>
      <c r="B25118" s="1" t="str">
        <f>HYPERLINK("http://aftereightkampanja.fi","aftereightkampanja.fi")</f>
        <v>aftereightkampanja.fi</v>
      </c>
      <c r="C25118" t="s">
        <v>445</v>
      </c>
      <c r="D25118" t="s">
        <v>823</v>
      </c>
      <c r="J25118">
        <v>4</v>
      </c>
    </row>
    <row r="25119" spans="1:10" x14ac:dyDescent="0.25">
      <c r="A25119" t="s">
        <v>275</v>
      </c>
      <c r="B25119" s="1" t="str">
        <f>HYPERLINK("http://aimmune.fi","aimmune.fi")</f>
        <v>aimmune.fi</v>
      </c>
      <c r="C25119" t="s">
        <v>445</v>
      </c>
      <c r="D25119" t="s">
        <v>823</v>
      </c>
      <c r="J25119">
        <v>4</v>
      </c>
    </row>
    <row r="25120" spans="1:10" x14ac:dyDescent="0.25">
      <c r="A25120" t="s">
        <v>275</v>
      </c>
      <c r="B25120" s="1" t="str">
        <f>HYPERLINK("http://aino-jaatelo.fi","aino-jaatelo.fi")</f>
        <v>aino-jaatelo.fi</v>
      </c>
      <c r="C25120" t="s">
        <v>445</v>
      </c>
      <c r="D25120" t="s">
        <v>823</v>
      </c>
      <c r="J25120">
        <v>4</v>
      </c>
    </row>
    <row r="25121" spans="1:10" x14ac:dyDescent="0.25">
      <c r="A25121" t="s">
        <v>275</v>
      </c>
      <c r="B25121" s="1" t="str">
        <f>HYPERLINK("http://aino-jtel.fi","aino-jtel.fi")</f>
        <v>aino-jtel.fi</v>
      </c>
      <c r="C25121" t="s">
        <v>445</v>
      </c>
      <c r="D25121" t="s">
        <v>823</v>
      </c>
      <c r="J25121">
        <v>4</v>
      </c>
    </row>
    <row r="25122" spans="1:10" x14ac:dyDescent="0.25">
      <c r="A25122" t="s">
        <v>275</v>
      </c>
      <c r="B25122" s="1" t="str">
        <f>HYPERLINK("http://babynes.fi","babynes.fi")</f>
        <v>babynes.fi</v>
      </c>
      <c r="C25122" t="s">
        <v>445</v>
      </c>
      <c r="D25122" t="s">
        <v>823</v>
      </c>
      <c r="J25122">
        <v>4</v>
      </c>
    </row>
    <row r="25123" spans="1:10" x14ac:dyDescent="0.25">
      <c r="A25123" t="s">
        <v>275</v>
      </c>
      <c r="B25123" s="1" t="str">
        <f>HYPERLINK("http://bonakampanja.fi","bonakampanja.fi")</f>
        <v>bonakampanja.fi</v>
      </c>
      <c r="C25123" t="s">
        <v>445</v>
      </c>
      <c r="D25123" t="s">
        <v>823</v>
      </c>
      <c r="F25123">
        <v>4.4665603814354698E-9</v>
      </c>
      <c r="G25123">
        <v>65752197</v>
      </c>
      <c r="H25123">
        <v>10529035</v>
      </c>
      <c r="I25123">
        <v>48535228</v>
      </c>
      <c r="J25123">
        <v>4</v>
      </c>
    </row>
    <row r="25124" spans="1:10" x14ac:dyDescent="0.25">
      <c r="A25124" t="s">
        <v>275</v>
      </c>
      <c r="B25124" s="1" t="str">
        <f>HYPERLINK("http://buitoni.fi","buitoni.fi")</f>
        <v>buitoni.fi</v>
      </c>
      <c r="C25124" t="s">
        <v>445</v>
      </c>
      <c r="D25124" t="s">
        <v>823</v>
      </c>
      <c r="J25124">
        <v>4</v>
      </c>
    </row>
    <row r="25125" spans="1:10" x14ac:dyDescent="0.25">
      <c r="A25125" t="s">
        <v>275</v>
      </c>
      <c r="B25125" s="1" t="str">
        <f>HYPERLINK("http://cheerios.fi","cheerios.fi")</f>
        <v>cheerios.fi</v>
      </c>
      <c r="C25125" t="s">
        <v>445</v>
      </c>
      <c r="D25125" t="s">
        <v>823</v>
      </c>
      <c r="J25125">
        <v>4</v>
      </c>
    </row>
    <row r="25126" spans="1:10" x14ac:dyDescent="0.25">
      <c r="A25126" t="s">
        <v>275</v>
      </c>
      <c r="B25126" s="1" t="str">
        <f>HYPERLINK("http://chef-professional.fi","chef-professional.fi")</f>
        <v>chef-professional.fi</v>
      </c>
      <c r="C25126" t="s">
        <v>445</v>
      </c>
      <c r="D25126" t="s">
        <v>823</v>
      </c>
      <c r="J25126">
        <v>4</v>
      </c>
    </row>
    <row r="25127" spans="1:10" x14ac:dyDescent="0.25">
      <c r="A25127" t="s">
        <v>275</v>
      </c>
      <c r="B25127" s="1" t="str">
        <f>HYPERLINK("http://classic-jaatelo.fi","classic-jaatelo.fi")</f>
        <v>classic-jaatelo.fi</v>
      </c>
      <c r="C25127" t="s">
        <v>445</v>
      </c>
      <c r="D25127" t="s">
        <v>823</v>
      </c>
      <c r="J25127">
        <v>4</v>
      </c>
    </row>
    <row r="25128" spans="1:10" x14ac:dyDescent="0.25">
      <c r="A25128" t="s">
        <v>275</v>
      </c>
      <c r="B25128" s="1" t="str">
        <f>HYPERLINK("http://classic-jtel.fi","classic-jtel.fi")</f>
        <v>classic-jtel.fi</v>
      </c>
      <c r="C25128" t="s">
        <v>445</v>
      </c>
      <c r="D25128" t="s">
        <v>823</v>
      </c>
      <c r="J25128">
        <v>4</v>
      </c>
    </row>
    <row r="25129" spans="1:10" x14ac:dyDescent="0.25">
      <c r="A25129" t="s">
        <v>275</v>
      </c>
      <c r="B25129" s="1" t="str">
        <f>HYPERLINK("http://coffee-mate.fi","coffee-mate.fi")</f>
        <v>coffee-mate.fi</v>
      </c>
      <c r="C25129" t="s">
        <v>445</v>
      </c>
      <c r="D25129" t="s">
        <v>823</v>
      </c>
      <c r="J25129">
        <v>4</v>
      </c>
    </row>
    <row r="25130" spans="1:10" x14ac:dyDescent="0.25">
      <c r="A25130" t="s">
        <v>275</v>
      </c>
      <c r="B25130" s="1" t="str">
        <f>HYPERLINK("http://crunch.fi","crunch.fi")</f>
        <v>crunch.fi</v>
      </c>
      <c r="C25130" t="s">
        <v>445</v>
      </c>
      <c r="D25130" t="s">
        <v>823</v>
      </c>
      <c r="J25130">
        <v>4</v>
      </c>
    </row>
    <row r="25131" spans="1:10" x14ac:dyDescent="0.25">
      <c r="A25131" t="s">
        <v>275</v>
      </c>
      <c r="B25131" s="1" t="str">
        <f>HYPERLINK("http://dogchow.fi","dogchow.fi")</f>
        <v>dogchow.fi</v>
      </c>
      <c r="C25131" t="s">
        <v>445</v>
      </c>
      <c r="D25131" t="s">
        <v>823</v>
      </c>
      <c r="J25131">
        <v>4</v>
      </c>
    </row>
    <row r="25132" spans="1:10" x14ac:dyDescent="0.25">
      <c r="A25132" t="s">
        <v>275</v>
      </c>
      <c r="B25132" s="1" t="str">
        <f>HYPERLINK("http://dolce-gusto.fi","dolce-gusto.fi")</f>
        <v>dolce-gusto.fi</v>
      </c>
      <c r="C25132" t="s">
        <v>445</v>
      </c>
      <c r="D25132" t="s">
        <v>823</v>
      </c>
      <c r="F25132">
        <v>1.68568947391182E-8</v>
      </c>
      <c r="G25132">
        <v>3319583</v>
      </c>
      <c r="H25132">
        <v>13763859</v>
      </c>
      <c r="I25132">
        <v>7548834</v>
      </c>
      <c r="J25132">
        <v>4</v>
      </c>
    </row>
    <row r="25133" spans="1:10" x14ac:dyDescent="0.25">
      <c r="A25133" t="s">
        <v>275</v>
      </c>
      <c r="B25133" s="1" t="str">
        <f>HYPERLINK("http://dolcegusto.fi","dolcegusto.fi")</f>
        <v>dolcegusto.fi</v>
      </c>
      <c r="C25133" t="s">
        <v>445</v>
      </c>
      <c r="D25133" t="s">
        <v>823</v>
      </c>
      <c r="J25133">
        <v>4</v>
      </c>
    </row>
    <row r="25134" spans="1:10" x14ac:dyDescent="0.25">
      <c r="A25134" t="s">
        <v>275</v>
      </c>
      <c r="B25134" s="1" t="str">
        <f>HYPERLINK("http://froneri.fi","froneri.fi")</f>
        <v>froneri.fi</v>
      </c>
      <c r="C25134" t="s">
        <v>445</v>
      </c>
      <c r="D25134" t="s">
        <v>823</v>
      </c>
      <c r="F25134">
        <v>1.06763764553137E-8</v>
      </c>
      <c r="G25134">
        <v>6119823</v>
      </c>
      <c r="H25134">
        <v>10836475</v>
      </c>
      <c r="I25134">
        <v>37252684</v>
      </c>
      <c r="J25134">
        <v>7</v>
      </c>
    </row>
    <row r="25135" spans="1:10" x14ac:dyDescent="0.25">
      <c r="A25135" t="s">
        <v>275</v>
      </c>
      <c r="B25135" s="1" t="str">
        <f>HYPERLINK("http://gardengourmet.fi","gardengourmet.fi")</f>
        <v>gardengourmet.fi</v>
      </c>
      <c r="C25135" t="s">
        <v>445</v>
      </c>
      <c r="D25135" t="s">
        <v>823</v>
      </c>
      <c r="J25135">
        <v>4</v>
      </c>
    </row>
    <row r="25136" spans="1:10" x14ac:dyDescent="0.25">
      <c r="A25136" t="s">
        <v>275</v>
      </c>
      <c r="B25136" s="1" t="str">
        <f>HYPERLINK("http://gourmetkampanja.fi","gourmetkampanja.fi")</f>
        <v>gourmetkampanja.fi</v>
      </c>
      <c r="C25136" t="s">
        <v>445</v>
      </c>
      <c r="D25136" t="s">
        <v>823</v>
      </c>
      <c r="J25136">
        <v>4</v>
      </c>
    </row>
    <row r="25137" spans="1:10" x14ac:dyDescent="0.25">
      <c r="A25137" t="s">
        <v>275</v>
      </c>
      <c r="B25137" s="1" t="str">
        <f>HYPERLINK("http://halsankok.fi","halsankok.fi")</f>
        <v>halsankok.fi</v>
      </c>
      <c r="C25137" t="s">
        <v>445</v>
      </c>
      <c r="D25137" t="s">
        <v>823</v>
      </c>
      <c r="F25137">
        <v>4.53518709125468E-9</v>
      </c>
      <c r="G25137">
        <v>54326012</v>
      </c>
      <c r="H25137">
        <v>13763633</v>
      </c>
      <c r="I25137">
        <v>9127146</v>
      </c>
      <c r="J25137">
        <v>4</v>
      </c>
    </row>
    <row r="25138" spans="1:10" x14ac:dyDescent="0.25">
      <c r="A25138" t="s">
        <v>275</v>
      </c>
      <c r="B25138" s="1" t="str">
        <f>HYPERLINK("http://halsanskok.fi","halsanskok.fi")</f>
        <v>halsanskok.fi</v>
      </c>
      <c r="C25138" t="s">
        <v>445</v>
      </c>
      <c r="D25138" t="s">
        <v>823</v>
      </c>
      <c r="F25138">
        <v>1.1606042092519801E-8</v>
      </c>
      <c r="G25138">
        <v>5429064</v>
      </c>
      <c r="H25138">
        <v>14119746</v>
      </c>
      <c r="I25138">
        <v>2464445</v>
      </c>
      <c r="J25138">
        <v>4</v>
      </c>
    </row>
    <row r="25139" spans="1:10" x14ac:dyDescent="0.25">
      <c r="A25139" t="s">
        <v>275</v>
      </c>
      <c r="B25139" s="1" t="str">
        <f>HYPERLINK("http://hlsanskk.fi","hlsanskk.fi")</f>
        <v>hlsanskk.fi</v>
      </c>
      <c r="C25139" t="s">
        <v>445</v>
      </c>
      <c r="D25139" t="s">
        <v>823</v>
      </c>
      <c r="J25139">
        <v>4</v>
      </c>
    </row>
    <row r="25140" spans="1:10" x14ac:dyDescent="0.25">
      <c r="A25140" t="s">
        <v>275</v>
      </c>
      <c r="B25140" s="1" t="str">
        <f>HYPERLINK("http://hyvatevaat.fi","hyvatevaat.fi")</f>
        <v>hyvatevaat.fi</v>
      </c>
      <c r="C25140" t="s">
        <v>445</v>
      </c>
      <c r="D25140" t="s">
        <v>823</v>
      </c>
      <c r="F25140">
        <v>9.9707677284162902E-9</v>
      </c>
      <c r="G25140">
        <v>6784982</v>
      </c>
      <c r="H25140">
        <v>10804176</v>
      </c>
      <c r="I25140">
        <v>38034665</v>
      </c>
      <c r="J25140">
        <v>4</v>
      </c>
    </row>
    <row r="25141" spans="1:10" x14ac:dyDescent="0.25">
      <c r="A25141" t="s">
        <v>275</v>
      </c>
      <c r="B25141" s="1" t="str">
        <f>HYPERLINK("http://hyvtevt.fi","hyvtevt.fi")</f>
        <v>hyvtevt.fi</v>
      </c>
      <c r="C25141" t="s">
        <v>445</v>
      </c>
      <c r="D25141" t="s">
        <v>823</v>
      </c>
      <c r="J25141">
        <v>4</v>
      </c>
    </row>
    <row r="25142" spans="1:10" x14ac:dyDescent="0.25">
      <c r="A25142" t="s">
        <v>275</v>
      </c>
      <c r="B25142" s="1" t="str">
        <f>HYPERLINK("http://ihavepku.fi","ihavepku.fi")</f>
        <v>ihavepku.fi</v>
      </c>
      <c r="C25142" t="s">
        <v>445</v>
      </c>
      <c r="D25142" t="s">
        <v>823</v>
      </c>
      <c r="J25142">
        <v>4</v>
      </c>
    </row>
    <row r="25143" spans="1:10" x14ac:dyDescent="0.25">
      <c r="A25143" t="s">
        <v>275</v>
      </c>
      <c r="B25143" s="1" t="str">
        <f>HYPERLINK("http://jaateloakatemia.fi","jaateloakatemia.fi")</f>
        <v>jaateloakatemia.fi</v>
      </c>
      <c r="C25143" t="s">
        <v>445</v>
      </c>
      <c r="D25143" t="s">
        <v>823</v>
      </c>
      <c r="J25143">
        <v>4</v>
      </c>
    </row>
    <row r="25144" spans="1:10" x14ac:dyDescent="0.25">
      <c r="A25144" t="s">
        <v>275</v>
      </c>
      <c r="B25144" s="1" t="str">
        <f>HYPERLINK("http://kaffeknappen.fi","kaffeknappen.fi")</f>
        <v>kaffeknappen.fi</v>
      </c>
      <c r="C25144" t="s">
        <v>445</v>
      </c>
      <c r="D25144" t="s">
        <v>823</v>
      </c>
      <c r="J25144">
        <v>4</v>
      </c>
    </row>
    <row r="25145" spans="1:10" x14ac:dyDescent="0.25">
      <c r="A25145" t="s">
        <v>275</v>
      </c>
      <c r="B25145" s="1" t="str">
        <f>HYPERLINK("http://kitkat.fi","kitkat.fi")</f>
        <v>kitkat.fi</v>
      </c>
      <c r="C25145" t="s">
        <v>445</v>
      </c>
      <c r="D25145" t="s">
        <v>823</v>
      </c>
      <c r="J25145">
        <v>4</v>
      </c>
    </row>
    <row r="25146" spans="1:10" x14ac:dyDescent="0.25">
      <c r="A25146" t="s">
        <v>275</v>
      </c>
      <c r="B25146" s="1" t="str">
        <f>HYPERLINK("http://kotijaatelo.fi","kotijaatelo.fi")</f>
        <v>kotijaatelo.fi</v>
      </c>
      <c r="C25146" t="s">
        <v>445</v>
      </c>
      <c r="D25146" t="s">
        <v>823</v>
      </c>
      <c r="F25146">
        <v>5.22558881530766E-9</v>
      </c>
      <c r="G25146">
        <v>24650340</v>
      </c>
      <c r="H25146">
        <v>14236066</v>
      </c>
      <c r="I25146">
        <v>1652476</v>
      </c>
      <c r="J25146">
        <v>8</v>
      </c>
    </row>
    <row r="25147" spans="1:10" x14ac:dyDescent="0.25">
      <c r="A25147" t="s">
        <v>275</v>
      </c>
      <c r="B25147" s="1" t="str">
        <f>HYPERLINK("http://latzandrobbie.fi","latzandrobbie.fi")</f>
        <v>latzandrobbie.fi</v>
      </c>
      <c r="C25147" t="s">
        <v>445</v>
      </c>
      <c r="D25147" t="s">
        <v>823</v>
      </c>
      <c r="J25147">
        <v>4</v>
      </c>
    </row>
    <row r="25148" spans="1:10" x14ac:dyDescent="0.25">
      <c r="A25148" t="s">
        <v>275</v>
      </c>
      <c r="B25148" s="1" t="str">
        <f>HYPERLINK("http://latzkampanja.fi","latzkampanja.fi")</f>
        <v>latzkampanja.fi</v>
      </c>
      <c r="C25148" t="s">
        <v>445</v>
      </c>
      <c r="D25148" t="s">
        <v>823</v>
      </c>
      <c r="J25148">
        <v>4</v>
      </c>
    </row>
    <row r="25149" spans="1:10" x14ac:dyDescent="0.25">
      <c r="A25149" t="s">
        <v>275</v>
      </c>
      <c r="B25149" s="1" t="str">
        <f>HYPERLINK("http://lilyskitchen.fi","lilyskitchen.fi")</f>
        <v>lilyskitchen.fi</v>
      </c>
      <c r="C25149" t="s">
        <v>445</v>
      </c>
      <c r="D25149" t="s">
        <v>823</v>
      </c>
      <c r="J25149">
        <v>4</v>
      </c>
    </row>
    <row r="25150" spans="1:10" x14ac:dyDescent="0.25">
      <c r="A25150" t="s">
        <v>275</v>
      </c>
      <c r="B25150" s="1" t="str">
        <f>HYPERLINK("http://maggi.fi","maggi.fi")</f>
        <v>maggi.fi</v>
      </c>
      <c r="C25150" t="s">
        <v>445</v>
      </c>
      <c r="D25150" t="s">
        <v>823</v>
      </c>
      <c r="F25150">
        <v>5.01455192985429E-9</v>
      </c>
      <c r="G25150">
        <v>29028186</v>
      </c>
      <c r="H25150">
        <v>13767589</v>
      </c>
      <c r="I25150">
        <v>6924123</v>
      </c>
      <c r="J25150">
        <v>4</v>
      </c>
    </row>
    <row r="25151" spans="1:10" x14ac:dyDescent="0.25">
      <c r="A25151" t="s">
        <v>275</v>
      </c>
      <c r="B25151" s="1" t="str">
        <f>HYPERLINK("http://maggi-reseptit.fi","maggi-reseptit.fi")</f>
        <v>maggi-reseptit.fi</v>
      </c>
      <c r="C25151" t="s">
        <v>445</v>
      </c>
      <c r="D25151" t="s">
        <v>823</v>
      </c>
      <c r="J25151">
        <v>4</v>
      </c>
    </row>
    <row r="25152" spans="1:10" x14ac:dyDescent="0.25">
      <c r="A25152" t="s">
        <v>275</v>
      </c>
      <c r="B25152" s="1" t="str">
        <f>HYPERLINK("http://meritene.fi","meritene.fi")</f>
        <v>meritene.fi</v>
      </c>
      <c r="C25152" t="s">
        <v>445</v>
      </c>
      <c r="D25152" t="s">
        <v>823</v>
      </c>
      <c r="J25152">
        <v>4</v>
      </c>
    </row>
    <row r="25153" spans="1:10" x14ac:dyDescent="0.25">
      <c r="A25153" t="s">
        <v>275</v>
      </c>
      <c r="B25153" s="1" t="str">
        <f>HYPERLINK("http://mezeast.fi","mezeast.fi")</f>
        <v>mezeast.fi</v>
      </c>
      <c r="C25153" t="s">
        <v>445</v>
      </c>
      <c r="D25153" t="s">
        <v>823</v>
      </c>
      <c r="J25153">
        <v>4</v>
      </c>
    </row>
    <row r="25154" spans="1:10" x14ac:dyDescent="0.25">
      <c r="A25154" t="s">
        <v>275</v>
      </c>
      <c r="B25154" s="1" t="str">
        <f>HYPERLINK("http://minami-nutrition.fi","minami-nutrition.fi")</f>
        <v>minami-nutrition.fi</v>
      </c>
      <c r="C25154" t="s">
        <v>445</v>
      </c>
      <c r="D25154" t="s">
        <v>823</v>
      </c>
      <c r="J25154">
        <v>4</v>
      </c>
    </row>
    <row r="25155" spans="1:10" x14ac:dyDescent="0.25">
      <c r="A25155" t="s">
        <v>275</v>
      </c>
      <c r="B25155" s="1" t="str">
        <f>HYPERLINK("http://mindfulchef.fi","mindfulchef.fi")</f>
        <v>mindfulchef.fi</v>
      </c>
      <c r="C25155" t="s">
        <v>445</v>
      </c>
      <c r="D25155" t="s">
        <v>823</v>
      </c>
      <c r="J25155">
        <v>4</v>
      </c>
    </row>
    <row r="25156" spans="1:10" x14ac:dyDescent="0.25">
      <c r="A25156" t="s">
        <v>275</v>
      </c>
      <c r="B25156" s="1" t="str">
        <f>HYPERLINK("http://movenpick.fi","movenpick.fi")</f>
        <v>movenpick.fi</v>
      </c>
      <c r="C25156" t="s">
        <v>445</v>
      </c>
      <c r="D25156" t="s">
        <v>823</v>
      </c>
      <c r="J25156">
        <v>4</v>
      </c>
    </row>
    <row r="25157" spans="1:10" x14ac:dyDescent="0.25">
      <c r="A25157" t="s">
        <v>275</v>
      </c>
      <c r="B25157" s="1" t="str">
        <f>HYPERLINK("http://mybabynes.fi","mybabynes.fi")</f>
        <v>mybabynes.fi</v>
      </c>
      <c r="C25157" t="s">
        <v>445</v>
      </c>
      <c r="D25157" t="s">
        <v>823</v>
      </c>
      <c r="J25157">
        <v>4</v>
      </c>
    </row>
    <row r="25158" spans="1:10" x14ac:dyDescent="0.25">
      <c r="A25158" t="s">
        <v>275</v>
      </c>
      <c r="B25158" s="1" t="str">
        <f>HYPERLINK("http://nan.fi","nan.fi")</f>
        <v>nan.fi</v>
      </c>
      <c r="C25158" t="s">
        <v>445</v>
      </c>
      <c r="D25158" t="s">
        <v>823</v>
      </c>
      <c r="J25158">
        <v>4</v>
      </c>
    </row>
    <row r="25159" spans="1:10" x14ac:dyDescent="0.25">
      <c r="A25159" t="s">
        <v>275</v>
      </c>
      <c r="B25159" s="1" t="str">
        <f>HYPERLINK("http://naturesbounty.fi","naturesbounty.fi")</f>
        <v>naturesbounty.fi</v>
      </c>
      <c r="C25159" t="s">
        <v>445</v>
      </c>
      <c r="D25159" t="s">
        <v>823</v>
      </c>
      <c r="J25159">
        <v>4</v>
      </c>
    </row>
    <row r="25160" spans="1:10" x14ac:dyDescent="0.25">
      <c r="A25160" t="s">
        <v>275</v>
      </c>
      <c r="B25160" s="1" t="str">
        <f>HYPERLINK("http://nescafe.fi","nescafe.fi")</f>
        <v>nescafe.fi</v>
      </c>
      <c r="C25160" t="s">
        <v>445</v>
      </c>
      <c r="D25160" t="s">
        <v>823</v>
      </c>
      <c r="F25160">
        <v>9.3278585813213292E-9</v>
      </c>
      <c r="G25160">
        <v>7536986</v>
      </c>
      <c r="H25160">
        <v>13776395</v>
      </c>
      <c r="I25160">
        <v>6556037</v>
      </c>
      <c r="J25160">
        <v>4</v>
      </c>
    </row>
    <row r="25161" spans="1:10" x14ac:dyDescent="0.25">
      <c r="A25161" t="s">
        <v>275</v>
      </c>
      <c r="B25161" s="1" t="str">
        <f>HYPERLINK("http://nescafe-alegria.fi","nescafe-alegria.fi")</f>
        <v>nescafe-alegria.fi</v>
      </c>
      <c r="C25161" t="s">
        <v>445</v>
      </c>
      <c r="D25161" t="s">
        <v>823</v>
      </c>
      <c r="J25161">
        <v>4</v>
      </c>
    </row>
    <row r="25162" spans="1:10" x14ac:dyDescent="0.25">
      <c r="A25162" t="s">
        <v>275</v>
      </c>
      <c r="B25162" s="1" t="str">
        <f>HYPERLINK("http://nescafe-dolce-gusto.fi","nescafe-dolce-gusto.fi")</f>
        <v>nescafe-dolce-gusto.fi</v>
      </c>
      <c r="C25162" t="s">
        <v>445</v>
      </c>
      <c r="D25162" t="s">
        <v>823</v>
      </c>
      <c r="J25162">
        <v>4</v>
      </c>
    </row>
    <row r="25163" spans="1:10" x14ac:dyDescent="0.25">
      <c r="A25163" t="s">
        <v>275</v>
      </c>
      <c r="B25163" s="1" t="str">
        <f>HYPERLINK("http://nescafe-milano.fi","nescafe-milano.fi")</f>
        <v>nescafe-milano.fi</v>
      </c>
      <c r="C25163" t="s">
        <v>445</v>
      </c>
      <c r="D25163" t="s">
        <v>823</v>
      </c>
      <c r="J25163">
        <v>4</v>
      </c>
    </row>
    <row r="25164" spans="1:10" x14ac:dyDescent="0.25">
      <c r="A25164" t="s">
        <v>275</v>
      </c>
      <c r="B25164" s="1" t="str">
        <f>HYPERLINK("http://nescafedolcegusto.fi","nescafedolcegusto.fi")</f>
        <v>nescafedolcegusto.fi</v>
      </c>
      <c r="C25164" t="s">
        <v>445</v>
      </c>
      <c r="D25164" t="s">
        <v>823</v>
      </c>
      <c r="J25164">
        <v>4</v>
      </c>
    </row>
    <row r="25165" spans="1:10" x14ac:dyDescent="0.25">
      <c r="A25165" t="s">
        <v>275</v>
      </c>
      <c r="B25165" s="1" t="str">
        <f>HYPERLINK("http://nespresso.fi","nespresso.fi")</f>
        <v>nespresso.fi</v>
      </c>
      <c r="C25165" t="s">
        <v>445</v>
      </c>
      <c r="D25165" t="s">
        <v>823</v>
      </c>
      <c r="F25165">
        <v>4.57391135217952E-9</v>
      </c>
      <c r="G25165">
        <v>49837569</v>
      </c>
      <c r="H25165">
        <v>13763634</v>
      </c>
      <c r="I25165">
        <v>8462044</v>
      </c>
      <c r="J25165">
        <v>4</v>
      </c>
    </row>
    <row r="25166" spans="1:10" x14ac:dyDescent="0.25">
      <c r="A25166" t="s">
        <v>275</v>
      </c>
      <c r="B25166" s="1" t="str">
        <f>HYPERLINK("http://nespresso-pro.fi","nespresso-pro.fi")</f>
        <v>nespresso-pro.fi</v>
      </c>
      <c r="C25166" t="s">
        <v>445</v>
      </c>
      <c r="D25166" t="s">
        <v>823</v>
      </c>
      <c r="J25166">
        <v>4</v>
      </c>
    </row>
    <row r="25167" spans="1:10" x14ac:dyDescent="0.25">
      <c r="A25167" t="s">
        <v>275</v>
      </c>
      <c r="B25167" s="1" t="str">
        <f>HYPERLINK("http://nespressopro.fi","nespressopro.fi")</f>
        <v>nespressopro.fi</v>
      </c>
      <c r="C25167" t="s">
        <v>445</v>
      </c>
      <c r="D25167" t="s">
        <v>823</v>
      </c>
      <c r="J25167">
        <v>6</v>
      </c>
    </row>
    <row r="25168" spans="1:10" x14ac:dyDescent="0.25">
      <c r="A25168" t="s">
        <v>275</v>
      </c>
      <c r="B25168" s="1" t="str">
        <f>HYPERLINK("http://nesquik.fi","nesquik.fi")</f>
        <v>nesquik.fi</v>
      </c>
      <c r="C25168" t="s">
        <v>445</v>
      </c>
      <c r="D25168" t="s">
        <v>823</v>
      </c>
      <c r="J25168">
        <v>4</v>
      </c>
    </row>
    <row r="25169" spans="1:10" x14ac:dyDescent="0.25">
      <c r="A25169" t="s">
        <v>275</v>
      </c>
      <c r="B25169" s="1" t="str">
        <f>HYPERLINK("http://nestea.fi","nestea.fi")</f>
        <v>nestea.fi</v>
      </c>
      <c r="C25169" t="s">
        <v>445</v>
      </c>
      <c r="D25169" t="s">
        <v>823</v>
      </c>
      <c r="J25169">
        <v>4</v>
      </c>
    </row>
    <row r="25170" spans="1:10" x14ac:dyDescent="0.25">
      <c r="A25170" t="s">
        <v>275</v>
      </c>
      <c r="B25170" s="1" t="str">
        <f>HYPERLINK("http://nestle.fi","nestle.fi")</f>
        <v>nestle.fi</v>
      </c>
      <c r="C25170" t="s">
        <v>445</v>
      </c>
      <c r="D25170" t="s">
        <v>823</v>
      </c>
      <c r="F25170">
        <v>6.0017750974330294E-8</v>
      </c>
      <c r="G25170">
        <v>735553</v>
      </c>
      <c r="H25170">
        <v>14490352</v>
      </c>
      <c r="I25170">
        <v>912728</v>
      </c>
      <c r="J25170">
        <v>2</v>
      </c>
    </row>
    <row r="25171" spans="1:10" x14ac:dyDescent="0.25">
      <c r="A25171" t="s">
        <v>275</v>
      </c>
      <c r="B25171" s="1" t="str">
        <f>HYPERLINK("http://nestle-cereals.fi","nestle-cereals.fi")</f>
        <v>nestle-cereals.fi</v>
      </c>
      <c r="C25171" t="s">
        <v>445</v>
      </c>
      <c r="D25171" t="s">
        <v>823</v>
      </c>
      <c r="F25171">
        <v>4.6649742232602096E-9</v>
      </c>
      <c r="G25171">
        <v>43233547</v>
      </c>
      <c r="H25171">
        <v>13763634</v>
      </c>
      <c r="I25171">
        <v>8462047</v>
      </c>
      <c r="J25171">
        <v>4</v>
      </c>
    </row>
    <row r="25172" spans="1:10" x14ac:dyDescent="0.25">
      <c r="A25172" t="s">
        <v>275</v>
      </c>
      <c r="B25172" s="1" t="str">
        <f>HYPERLINK("http://nestlebaby.fi","nestlebaby.fi")</f>
        <v>nestlebaby.fi</v>
      </c>
      <c r="C25172" t="s">
        <v>445</v>
      </c>
      <c r="D25172" t="s">
        <v>823</v>
      </c>
      <c r="J25172">
        <v>4</v>
      </c>
    </row>
    <row r="25173" spans="1:10" x14ac:dyDescent="0.25">
      <c r="A25173" t="s">
        <v>275</v>
      </c>
      <c r="B25173" s="1" t="str">
        <f>HYPERLINK("http://nestlebabyandyou.fi","nestlebabyandyou.fi")</f>
        <v>nestlebabyandyou.fi</v>
      </c>
      <c r="C25173" t="s">
        <v>445</v>
      </c>
      <c r="D25173" t="s">
        <v>823</v>
      </c>
      <c r="J25173">
        <v>4</v>
      </c>
    </row>
    <row r="25174" spans="1:10" x14ac:dyDescent="0.25">
      <c r="A25174" t="s">
        <v>275</v>
      </c>
      <c r="B25174" s="1" t="str">
        <f>HYPERLINK("http://nestlebona.fi","nestlebona.fi")</f>
        <v>nestlebona.fi</v>
      </c>
      <c r="C25174" t="s">
        <v>445</v>
      </c>
      <c r="D25174" t="s">
        <v>823</v>
      </c>
      <c r="F25174">
        <v>5.0415029570276704E-9</v>
      </c>
      <c r="G25174">
        <v>28408810</v>
      </c>
      <c r="H25174">
        <v>13763634</v>
      </c>
      <c r="I25174">
        <v>8462048</v>
      </c>
      <c r="J25174">
        <v>4</v>
      </c>
    </row>
    <row r="25175" spans="1:10" x14ac:dyDescent="0.25">
      <c r="A25175" t="s">
        <v>275</v>
      </c>
      <c r="B25175" s="1" t="str">
        <f>HYPERLINK("http://nestlefitness.fi","nestlefitness.fi")</f>
        <v>nestlefitness.fi</v>
      </c>
      <c r="C25175" t="s">
        <v>445</v>
      </c>
      <c r="D25175" t="s">
        <v>823</v>
      </c>
      <c r="F25175">
        <v>4.8660287831131496E-9</v>
      </c>
      <c r="G25175">
        <v>33557122</v>
      </c>
      <c r="H25175">
        <v>12406891</v>
      </c>
      <c r="I25175">
        <v>18658521</v>
      </c>
      <c r="J25175">
        <v>4</v>
      </c>
    </row>
    <row r="25176" spans="1:10" x14ac:dyDescent="0.25">
      <c r="A25176" t="s">
        <v>275</v>
      </c>
      <c r="B25176" s="1" t="str">
        <f>HYPERLINK("http://nestlehealthscience.fi","nestlehealthscience.fi")</f>
        <v>nestlehealthscience.fi</v>
      </c>
      <c r="C25176" t="s">
        <v>445</v>
      </c>
      <c r="D25176" t="s">
        <v>823</v>
      </c>
      <c r="F25176">
        <v>6.28250580341722E-9</v>
      </c>
      <c r="G25176">
        <v>15115539</v>
      </c>
      <c r="H25176">
        <v>10810951</v>
      </c>
      <c r="I25176">
        <v>37846248</v>
      </c>
      <c r="J25176">
        <v>4</v>
      </c>
    </row>
    <row r="25177" spans="1:10" x14ac:dyDescent="0.25">
      <c r="A25177" t="s">
        <v>275</v>
      </c>
      <c r="B25177" s="1" t="str">
        <f>HYPERLINK("http://nestlenan.fi","nestlenan.fi")</f>
        <v>nestlenan.fi</v>
      </c>
      <c r="C25177" t="s">
        <v>445</v>
      </c>
      <c r="D25177" t="s">
        <v>823</v>
      </c>
      <c r="F25177">
        <v>6.3588319198634597E-9</v>
      </c>
      <c r="G25177">
        <v>14718668</v>
      </c>
      <c r="H25177">
        <v>8112411.5</v>
      </c>
      <c r="I25177">
        <v>74994044</v>
      </c>
      <c r="J25177">
        <v>4</v>
      </c>
    </row>
    <row r="25178" spans="1:10" x14ac:dyDescent="0.25">
      <c r="A25178" t="s">
        <v>275</v>
      </c>
      <c r="B25178" s="1" t="str">
        <f>HYPERLINK("http://nestlenutrition.fi","nestlenutrition.fi")</f>
        <v>nestlenutrition.fi</v>
      </c>
      <c r="C25178" t="s">
        <v>445</v>
      </c>
      <c r="D25178" t="s">
        <v>823</v>
      </c>
      <c r="J25178">
        <v>4</v>
      </c>
    </row>
    <row r="25179" spans="1:10" x14ac:dyDescent="0.25">
      <c r="A25179" t="s">
        <v>275</v>
      </c>
      <c r="B25179" s="1" t="str">
        <f>HYPERLINK("http://nestleprofessional.fi","nestleprofessional.fi")</f>
        <v>nestleprofessional.fi</v>
      </c>
      <c r="C25179" t="s">
        <v>445</v>
      </c>
      <c r="D25179" t="s">
        <v>823</v>
      </c>
      <c r="J25179">
        <v>4</v>
      </c>
    </row>
    <row r="25180" spans="1:10" x14ac:dyDescent="0.25">
      <c r="A25180" t="s">
        <v>275</v>
      </c>
      <c r="B25180" s="1" t="str">
        <f>HYPERLINK("http://nestleprofessionalfood.fi","nestleprofessionalfood.fi")</f>
        <v>nestleprofessionalfood.fi</v>
      </c>
      <c r="C25180" t="s">
        <v>445</v>
      </c>
      <c r="D25180" t="s">
        <v>823</v>
      </c>
      <c r="F25180">
        <v>1.0050695472525E-8</v>
      </c>
      <c r="G25180">
        <v>6704859</v>
      </c>
      <c r="H25180">
        <v>12722781</v>
      </c>
      <c r="I25180">
        <v>15239650</v>
      </c>
      <c r="J25180">
        <v>4</v>
      </c>
    </row>
    <row r="25181" spans="1:10" x14ac:dyDescent="0.25">
      <c r="A25181" t="s">
        <v>275</v>
      </c>
      <c r="B25181" s="1" t="str">
        <f>HYPERLINK("http://nido.fi","nido.fi")</f>
        <v>nido.fi</v>
      </c>
      <c r="C25181" t="s">
        <v>445</v>
      </c>
      <c r="D25181" t="s">
        <v>823</v>
      </c>
      <c r="J25181">
        <v>4</v>
      </c>
    </row>
    <row r="25182" spans="1:10" x14ac:dyDescent="0.25">
      <c r="A25182" t="s">
        <v>275</v>
      </c>
      <c r="B25182" s="1" t="str">
        <f>HYPERLINK("http://nutritiondevelopment.fi","nutritiondevelopment.fi")</f>
        <v>nutritiondevelopment.fi</v>
      </c>
      <c r="C25182" t="s">
        <v>445</v>
      </c>
      <c r="D25182" t="s">
        <v>823</v>
      </c>
      <c r="J25182">
        <v>4</v>
      </c>
    </row>
    <row r="25183" spans="1:10" x14ac:dyDescent="0.25">
      <c r="A25183" t="s">
        <v>275</v>
      </c>
      <c r="B25183" s="1" t="str">
        <f>HYPERLINK("http://nutritionsshopen.fi","nutritionsshopen.fi")</f>
        <v>nutritionsshopen.fi</v>
      </c>
      <c r="C25183" t="s">
        <v>445</v>
      </c>
      <c r="D25183" t="s">
        <v>823</v>
      </c>
      <c r="J25183">
        <v>4</v>
      </c>
    </row>
    <row r="25184" spans="1:10" x14ac:dyDescent="0.25">
      <c r="A25184" t="s">
        <v>275</v>
      </c>
      <c r="B25184" s="1" t="str">
        <f>HYPERLINK("http://nuunlife.fi","nuunlife.fi")</f>
        <v>nuunlife.fi</v>
      </c>
      <c r="C25184" t="s">
        <v>445</v>
      </c>
      <c r="D25184" t="s">
        <v>823</v>
      </c>
      <c r="J25184">
        <v>4</v>
      </c>
    </row>
    <row r="25185" spans="1:10" x14ac:dyDescent="0.25">
      <c r="A25185" t="s">
        <v>275</v>
      </c>
      <c r="B25185" s="1" t="str">
        <f>HYPERLINK("http://petfinder.fi","petfinder.fi")</f>
        <v>petfinder.fi</v>
      </c>
      <c r="C25185" t="s">
        <v>445</v>
      </c>
      <c r="D25185" t="s">
        <v>823</v>
      </c>
      <c r="J25185">
        <v>4</v>
      </c>
    </row>
    <row r="25186" spans="1:10" x14ac:dyDescent="0.25">
      <c r="A25186" t="s">
        <v>275</v>
      </c>
      <c r="B25186" s="1" t="str">
        <f>HYPERLINK("http://piltti.fi","piltti.fi")</f>
        <v>piltti.fi</v>
      </c>
      <c r="C25186" t="s">
        <v>445</v>
      </c>
      <c r="D25186" t="s">
        <v>823</v>
      </c>
      <c r="F25186">
        <v>1.21782019036845E-8</v>
      </c>
      <c r="G25186">
        <v>5063188</v>
      </c>
      <c r="H25186">
        <v>14122292</v>
      </c>
      <c r="I25186">
        <v>2218691</v>
      </c>
      <c r="J25186">
        <v>4</v>
      </c>
    </row>
    <row r="25187" spans="1:10" x14ac:dyDescent="0.25">
      <c r="A25187" t="s">
        <v>275</v>
      </c>
      <c r="B25187" s="1" t="str">
        <f>HYPERLINK("http://pilttipiiri.fi","pilttipiiri.fi")</f>
        <v>pilttipiiri.fi</v>
      </c>
      <c r="C25187" t="s">
        <v>445</v>
      </c>
      <c r="D25187" t="s">
        <v>823</v>
      </c>
      <c r="F25187">
        <v>6.3248412185245504E-9</v>
      </c>
      <c r="G25187">
        <v>14914333</v>
      </c>
      <c r="H25187">
        <v>13768773</v>
      </c>
      <c r="I25187">
        <v>6857740</v>
      </c>
      <c r="J25187">
        <v>4</v>
      </c>
    </row>
    <row r="25188" spans="1:10" x14ac:dyDescent="0.25">
      <c r="A25188" t="s">
        <v>275</v>
      </c>
      <c r="B25188" s="1" t="str">
        <f>HYPERLINK("http://pingviini.fi","pingviini.fi")</f>
        <v>pingviini.fi</v>
      </c>
      <c r="C25188" t="s">
        <v>445</v>
      </c>
      <c r="D25188" t="s">
        <v>823</v>
      </c>
      <c r="F25188">
        <v>1.5467141756492901E-8</v>
      </c>
      <c r="G25188">
        <v>3693937</v>
      </c>
      <c r="H25188">
        <v>14244553</v>
      </c>
      <c r="I25188">
        <v>1471148</v>
      </c>
      <c r="J25188">
        <v>4</v>
      </c>
    </row>
    <row r="25189" spans="1:10" x14ac:dyDescent="0.25">
      <c r="A25189" t="s">
        <v>275</v>
      </c>
      <c r="B25189" s="1" t="str">
        <f>HYPERLINK("http://premiumcoffee.fi","premiumcoffee.fi")</f>
        <v>premiumcoffee.fi</v>
      </c>
      <c r="C25189" t="s">
        <v>445</v>
      </c>
      <c r="D25189" t="s">
        <v>823</v>
      </c>
      <c r="F25189">
        <v>6.0460619634202601E-9</v>
      </c>
      <c r="G25189">
        <v>16405557</v>
      </c>
      <c r="H25189">
        <v>11020172</v>
      </c>
      <c r="I25189">
        <v>33244913</v>
      </c>
      <c r="J25189">
        <v>6</v>
      </c>
    </row>
    <row r="25190" spans="1:10" x14ac:dyDescent="0.25">
      <c r="A25190" t="s">
        <v>275</v>
      </c>
      <c r="B25190" s="1" t="str">
        <f>HYPERLINK("http://proplan.fi","proplan.fi")</f>
        <v>proplan.fi</v>
      </c>
      <c r="C25190" t="s">
        <v>445</v>
      </c>
      <c r="D25190" t="s">
        <v>823</v>
      </c>
      <c r="J25190">
        <v>4</v>
      </c>
    </row>
    <row r="25191" spans="1:10" x14ac:dyDescent="0.25">
      <c r="A25191" t="s">
        <v>275</v>
      </c>
      <c r="B25191" s="1" t="str">
        <f>HYPERLINK("http://proplan-kissa.fi","proplan-kissa.fi")</f>
        <v>proplan-kissa.fi</v>
      </c>
      <c r="C25191" t="s">
        <v>445</v>
      </c>
      <c r="D25191" t="s">
        <v>823</v>
      </c>
      <c r="J25191">
        <v>4</v>
      </c>
    </row>
    <row r="25192" spans="1:10" x14ac:dyDescent="0.25">
      <c r="A25192" t="s">
        <v>275</v>
      </c>
      <c r="B25192" s="1" t="str">
        <f>HYPERLINK("http://proplan-koira.fi","proplan-koira.fi")</f>
        <v>proplan-koira.fi</v>
      </c>
      <c r="C25192" t="s">
        <v>445</v>
      </c>
      <c r="D25192" t="s">
        <v>823</v>
      </c>
      <c r="F25192">
        <v>5.0097102171966897E-9</v>
      </c>
      <c r="G25192">
        <v>29166604</v>
      </c>
      <c r="H25192">
        <v>13360891</v>
      </c>
      <c r="I25192">
        <v>10578541</v>
      </c>
      <c r="J25192">
        <v>4</v>
      </c>
    </row>
    <row r="25193" spans="1:10" x14ac:dyDescent="0.25">
      <c r="A25193" t="s">
        <v>275</v>
      </c>
      <c r="B25193" s="1" t="str">
        <f>HYPERLINK("http://puffet.fi","puffet.fi")</f>
        <v>puffet.fi</v>
      </c>
      <c r="C25193" t="s">
        <v>445</v>
      </c>
      <c r="D25193" t="s">
        <v>823</v>
      </c>
      <c r="J25193">
        <v>4</v>
      </c>
    </row>
    <row r="25194" spans="1:10" x14ac:dyDescent="0.25">
      <c r="A25194" t="s">
        <v>275</v>
      </c>
      <c r="B25194" s="1" t="str">
        <f>HYPERLINK("http://puljonki.fi","puljonki.fi")</f>
        <v>puljonki.fi</v>
      </c>
      <c r="C25194" t="s">
        <v>445</v>
      </c>
      <c r="D25194" t="s">
        <v>823</v>
      </c>
      <c r="F25194">
        <v>5.4549469005059602E-9</v>
      </c>
      <c r="G25194">
        <v>21424070</v>
      </c>
      <c r="H25194">
        <v>14119730</v>
      </c>
      <c r="I25194">
        <v>2553833</v>
      </c>
      <c r="J25194">
        <v>4</v>
      </c>
    </row>
    <row r="25195" spans="1:10" x14ac:dyDescent="0.25">
      <c r="A25195" t="s">
        <v>275</v>
      </c>
      <c r="B25195" s="1" t="str">
        <f>HYPERLINK("http://purina.fi","purina.fi")</f>
        <v>purina.fi</v>
      </c>
      <c r="C25195" t="s">
        <v>445</v>
      </c>
      <c r="D25195" t="s">
        <v>823</v>
      </c>
      <c r="F25195">
        <v>2.7349484839760201E-8</v>
      </c>
      <c r="G25195">
        <v>1879769</v>
      </c>
      <c r="H25195">
        <v>13778193</v>
      </c>
      <c r="I25195">
        <v>6524790</v>
      </c>
      <c r="J25195">
        <v>4</v>
      </c>
    </row>
    <row r="25196" spans="1:10" x14ac:dyDescent="0.25">
      <c r="A25196" t="s">
        <v>275</v>
      </c>
      <c r="B25196" s="1" t="str">
        <f>HYPERLINK("http://purina-beyond.fi","purina-beyond.fi")</f>
        <v>purina-beyond.fi</v>
      </c>
      <c r="C25196" t="s">
        <v>445</v>
      </c>
      <c r="D25196" t="s">
        <v>823</v>
      </c>
      <c r="F25196">
        <v>5.1847508319115202E-9</v>
      </c>
      <c r="G25196">
        <v>25435141</v>
      </c>
      <c r="H25196">
        <v>13763634</v>
      </c>
      <c r="I25196">
        <v>8462445</v>
      </c>
      <c r="J25196">
        <v>4</v>
      </c>
    </row>
    <row r="25197" spans="1:10" x14ac:dyDescent="0.25">
      <c r="A25197" t="s">
        <v>275</v>
      </c>
      <c r="B25197" s="1" t="str">
        <f>HYPERLINK("http://purina-dogchow.fi","purina-dogchow.fi")</f>
        <v>purina-dogchow.fi</v>
      </c>
      <c r="C25197" t="s">
        <v>445</v>
      </c>
      <c r="D25197" t="s">
        <v>823</v>
      </c>
      <c r="J25197">
        <v>4</v>
      </c>
    </row>
    <row r="25198" spans="1:10" x14ac:dyDescent="0.25">
      <c r="A25198" t="s">
        <v>275</v>
      </c>
      <c r="B25198" s="1" t="str">
        <f>HYPERLINK("http://purina-gourmet.fi","purina-gourmet.fi")</f>
        <v>purina-gourmet.fi</v>
      </c>
      <c r="C25198" t="s">
        <v>445</v>
      </c>
      <c r="D25198" t="s">
        <v>823</v>
      </c>
      <c r="F25198">
        <v>4.7982757470200103E-9</v>
      </c>
      <c r="G25198">
        <v>36155420</v>
      </c>
      <c r="H25198">
        <v>13764371</v>
      </c>
      <c r="I25198">
        <v>7283305</v>
      </c>
      <c r="J25198">
        <v>4</v>
      </c>
    </row>
    <row r="25199" spans="1:10" x14ac:dyDescent="0.25">
      <c r="A25199" t="s">
        <v>275</v>
      </c>
      <c r="B25199" s="1" t="str">
        <f>HYPERLINK("http://purina-latz.fi","purina-latz.fi")</f>
        <v>purina-latz.fi</v>
      </c>
      <c r="C25199" t="s">
        <v>445</v>
      </c>
      <c r="D25199" t="s">
        <v>823</v>
      </c>
      <c r="J25199">
        <v>4</v>
      </c>
    </row>
    <row r="25200" spans="1:10" x14ac:dyDescent="0.25">
      <c r="A25200" t="s">
        <v>275</v>
      </c>
      <c r="B25200" s="1" t="str">
        <f>HYPERLINK("http://purina-one.fi","purina-one.fi")</f>
        <v>purina-one.fi</v>
      </c>
      <c r="C25200" t="s">
        <v>445</v>
      </c>
      <c r="D25200" t="s">
        <v>823</v>
      </c>
      <c r="J25200">
        <v>4</v>
      </c>
    </row>
    <row r="25201" spans="1:10" x14ac:dyDescent="0.25">
      <c r="A25201" t="s">
        <v>275</v>
      </c>
      <c r="B25201" s="1" t="str">
        <f>HYPERLINK("http://purinaone.fi","purinaone.fi")</f>
        <v>purinaone.fi</v>
      </c>
      <c r="C25201" t="s">
        <v>445</v>
      </c>
      <c r="D25201" t="s">
        <v>823</v>
      </c>
      <c r="J25201">
        <v>4</v>
      </c>
    </row>
    <row r="25202" spans="1:10" x14ac:dyDescent="0.25">
      <c r="A25202" t="s">
        <v>275</v>
      </c>
      <c r="B25202" s="1" t="str">
        <f>HYPERLINK("http://purinaone-smalldog.fi","purinaone-smalldog.fi")</f>
        <v>purinaone-smalldog.fi</v>
      </c>
      <c r="C25202" t="s">
        <v>445</v>
      </c>
      <c r="D25202" t="s">
        <v>823</v>
      </c>
      <c r="J25202">
        <v>4</v>
      </c>
    </row>
    <row r="25203" spans="1:10" x14ac:dyDescent="0.25">
      <c r="A25203" t="s">
        <v>275</v>
      </c>
      <c r="B25203" s="1" t="str">
        <f>HYPERLINK("http://roaricecream.fi","roaricecream.fi")</f>
        <v>roaricecream.fi</v>
      </c>
      <c r="C25203" t="s">
        <v>445</v>
      </c>
      <c r="D25203" t="s">
        <v>823</v>
      </c>
      <c r="F25203">
        <v>4.4910357535949196E-9</v>
      </c>
      <c r="G25203">
        <v>60353749</v>
      </c>
      <c r="H25203">
        <v>10720254</v>
      </c>
      <c r="I25203">
        <v>41942526</v>
      </c>
      <c r="J25203">
        <v>7</v>
      </c>
    </row>
    <row r="25204" spans="1:10" x14ac:dyDescent="0.25">
      <c r="A25204" t="s">
        <v>275</v>
      </c>
      <c r="B25204" s="1" t="str">
        <f>HYPERLINK("http://roarplantbased.fi","roarplantbased.fi")</f>
        <v>roarplantbased.fi</v>
      </c>
      <c r="C25204" t="s">
        <v>445</v>
      </c>
      <c r="D25204" t="s">
        <v>823</v>
      </c>
      <c r="J25204">
        <v>7</v>
      </c>
    </row>
    <row r="25205" spans="1:10" x14ac:dyDescent="0.25">
      <c r="A25205" t="s">
        <v>275</v>
      </c>
      <c r="B25205" s="1" t="str">
        <f>HYPERLINK("http://roastelier.fi","roastelier.fi")</f>
        <v>roastelier.fi</v>
      </c>
      <c r="C25205" t="s">
        <v>445</v>
      </c>
      <c r="D25205" t="s">
        <v>823</v>
      </c>
      <c r="J25205">
        <v>4</v>
      </c>
    </row>
    <row r="25206" spans="1:10" x14ac:dyDescent="0.25">
      <c r="A25206" t="s">
        <v>275</v>
      </c>
      <c r="B25206" s="1" t="str">
        <f>HYPERLINK("http://sanpellegrino.fi","sanpellegrino.fi")</f>
        <v>sanpellegrino.fi</v>
      </c>
      <c r="C25206" t="s">
        <v>445</v>
      </c>
      <c r="D25206" t="s">
        <v>823</v>
      </c>
      <c r="J25206">
        <v>2</v>
      </c>
    </row>
    <row r="25207" spans="1:10" x14ac:dyDescent="0.25">
      <c r="A25207" t="s">
        <v>275</v>
      </c>
      <c r="B25207" s="1" t="str">
        <f>HYPERLINK("http://simplink.fi","simplink.fi")</f>
        <v>simplink.fi</v>
      </c>
      <c r="C25207" t="s">
        <v>445</v>
      </c>
      <c r="D25207" t="s">
        <v>823</v>
      </c>
      <c r="J25207">
        <v>4</v>
      </c>
    </row>
    <row r="25208" spans="1:10" x14ac:dyDescent="0.25">
      <c r="A25208" t="s">
        <v>275</v>
      </c>
      <c r="B25208" s="1" t="str">
        <f>HYPERLINK("http://simplycook.fi","simplycook.fi")</f>
        <v>simplycook.fi</v>
      </c>
      <c r="C25208" t="s">
        <v>445</v>
      </c>
      <c r="D25208" t="s">
        <v>823</v>
      </c>
      <c r="J25208">
        <v>4</v>
      </c>
    </row>
    <row r="25209" spans="1:10" x14ac:dyDescent="0.25">
      <c r="A25209" t="s">
        <v>275</v>
      </c>
      <c r="B25209" s="1" t="str">
        <f>HYPERLINK("http://smarties.fi","smarties.fi")</f>
        <v>smarties.fi</v>
      </c>
      <c r="C25209" t="s">
        <v>445</v>
      </c>
      <c r="D25209" t="s">
        <v>823</v>
      </c>
      <c r="J25209">
        <v>4</v>
      </c>
    </row>
    <row r="25210" spans="1:10" x14ac:dyDescent="0.25">
      <c r="A25210" t="s">
        <v>275</v>
      </c>
      <c r="B25210" s="1" t="str">
        <f>HYPERLINK("http://spoonfulone.fi","spoonfulone.fi")</f>
        <v>spoonfulone.fi</v>
      </c>
      <c r="C25210" t="s">
        <v>445</v>
      </c>
      <c r="D25210" t="s">
        <v>823</v>
      </c>
      <c r="J25210">
        <v>4</v>
      </c>
    </row>
    <row r="25211" spans="1:10" x14ac:dyDescent="0.25">
      <c r="A25211" t="s">
        <v>275</v>
      </c>
      <c r="B25211" s="1" t="str">
        <f>HYPERLINK("http://tails.fi","tails.fi")</f>
        <v>tails.fi</v>
      </c>
      <c r="C25211" t="s">
        <v>445</v>
      </c>
      <c r="D25211" t="s">
        <v>823</v>
      </c>
      <c r="J25211">
        <v>2</v>
      </c>
    </row>
    <row r="25212" spans="1:10" x14ac:dyDescent="0.25">
      <c r="A25212" t="s">
        <v>275</v>
      </c>
      <c r="B25212" s="1" t="str">
        <f>HYPERLINK("http://vitaflo.fi","vitaflo.fi")</f>
        <v>vitaflo.fi</v>
      </c>
      <c r="C25212" t="s">
        <v>445</v>
      </c>
      <c r="D25212" t="s">
        <v>823</v>
      </c>
      <c r="J25212">
        <v>4</v>
      </c>
    </row>
    <row r="25213" spans="1:10" x14ac:dyDescent="0.25">
      <c r="A25213" t="s">
        <v>275</v>
      </c>
      <c r="B25213" s="1" t="str">
        <f>HYPERLINK("http://vitalperformance.fi","vitalperformance.fi")</f>
        <v>vitalperformance.fi</v>
      </c>
      <c r="C25213" t="s">
        <v>445</v>
      </c>
      <c r="D25213" t="s">
        <v>823</v>
      </c>
      <c r="J25213">
        <v>4</v>
      </c>
    </row>
    <row r="25214" spans="1:10" x14ac:dyDescent="0.25">
      <c r="A25214" t="s">
        <v>275</v>
      </c>
      <c r="B25214" s="1" t="str">
        <f>HYPERLINK("http://vitalproteins.fi","vitalproteins.fi")</f>
        <v>vitalproteins.fi</v>
      </c>
      <c r="C25214" t="s">
        <v>445</v>
      </c>
      <c r="D25214" t="s">
        <v>823</v>
      </c>
      <c r="J25214">
        <v>4</v>
      </c>
    </row>
    <row r="25215" spans="1:10" x14ac:dyDescent="0.25">
      <c r="A25215" t="s">
        <v>275</v>
      </c>
      <c r="B25215" s="1" t="str">
        <f>HYPERLINK("http://vitamins.fi","vitamins.fi")</f>
        <v>vitamins.fi</v>
      </c>
      <c r="C25215" t="s">
        <v>445</v>
      </c>
      <c r="D25215" t="s">
        <v>823</v>
      </c>
      <c r="J25215">
        <v>4</v>
      </c>
    </row>
    <row r="25216" spans="1:10" x14ac:dyDescent="0.25">
      <c r="A25216" t="s">
        <v>275</v>
      </c>
      <c r="B25216" s="1" t="str">
        <f>HYPERLINK("http://wobenzym.fi","wobenzym.fi")</f>
        <v>wobenzym.fi</v>
      </c>
      <c r="C25216" t="s">
        <v>445</v>
      </c>
      <c r="D25216" t="s">
        <v>823</v>
      </c>
      <c r="J25216">
        <v>4</v>
      </c>
    </row>
    <row r="25217" spans="1:10" x14ac:dyDescent="0.25">
      <c r="A25217" t="s">
        <v>275</v>
      </c>
      <c r="B25217" s="1" t="str">
        <f>HYPERLINK("http://zoegas.fi","zoegas.fi")</f>
        <v>zoegas.fi</v>
      </c>
      <c r="C25217" t="s">
        <v>445</v>
      </c>
      <c r="D25217" t="s">
        <v>823</v>
      </c>
      <c r="F25217">
        <v>4.7068925547765504E-9</v>
      </c>
      <c r="G25217">
        <v>40890731</v>
      </c>
      <c r="H25217">
        <v>11387324</v>
      </c>
      <c r="I25217">
        <v>30261399</v>
      </c>
      <c r="J25217">
        <v>4</v>
      </c>
    </row>
    <row r="25218" spans="1:10" x14ac:dyDescent="0.25">
      <c r="A25218" t="s">
        <v>275</v>
      </c>
      <c r="B25218" s="1" t="str">
        <f>HYPERLINK("http://dolce-gusto.fr","dolce-gusto.fr")</f>
        <v>dolce-gusto.fr</v>
      </c>
      <c r="C25218" t="s">
        <v>446</v>
      </c>
      <c r="D25218" t="s">
        <v>824</v>
      </c>
      <c r="E25218">
        <v>807468</v>
      </c>
      <c r="F25218">
        <v>4.77150323691329E-8</v>
      </c>
      <c r="G25218">
        <v>975509</v>
      </c>
      <c r="H25218">
        <v>13782012</v>
      </c>
      <c r="I25218">
        <v>6450232</v>
      </c>
      <c r="J25218">
        <v>3</v>
      </c>
    </row>
    <row r="25219" spans="1:10" x14ac:dyDescent="0.25">
      <c r="A25219" t="s">
        <v>275</v>
      </c>
      <c r="B25219" s="1" t="str">
        <f>HYPERLINK("http://froneri.fr","froneri.fr")</f>
        <v>froneri.fr</v>
      </c>
      <c r="C25219" t="s">
        <v>446</v>
      </c>
      <c r="D25219" t="s">
        <v>824</v>
      </c>
      <c r="F25219">
        <v>2.1744785812286099E-8</v>
      </c>
      <c r="G25219">
        <v>2417996</v>
      </c>
      <c r="H25219">
        <v>12395732</v>
      </c>
      <c r="I25219">
        <v>18923612</v>
      </c>
      <c r="J25219">
        <v>4</v>
      </c>
    </row>
    <row r="25220" spans="1:10" x14ac:dyDescent="0.25">
      <c r="A25220" t="s">
        <v>275</v>
      </c>
      <c r="B25220" s="1" t="str">
        <f>HYPERLINK("http://nestle.fr","nestle.fr")</f>
        <v>nestle.fr</v>
      </c>
      <c r="C25220" t="s">
        <v>446</v>
      </c>
      <c r="D25220" t="s">
        <v>824</v>
      </c>
      <c r="E25220">
        <v>400263</v>
      </c>
      <c r="F25220">
        <v>2.05749751645725E-7</v>
      </c>
      <c r="G25220">
        <v>184577</v>
      </c>
      <c r="H25220">
        <v>14548597</v>
      </c>
      <c r="I25220">
        <v>762726</v>
      </c>
      <c r="J25220">
        <v>2</v>
      </c>
    </row>
    <row r="25221" spans="1:10" x14ac:dyDescent="0.25">
      <c r="A25221" t="s">
        <v>275</v>
      </c>
      <c r="B25221" s="1" t="str">
        <f>HYPERLINK("http://nestlehealthscience.fr","nestlehealthscience.fr")</f>
        <v>nestlehealthscience.fr</v>
      </c>
      <c r="C25221" t="s">
        <v>446</v>
      </c>
      <c r="D25221" t="s">
        <v>824</v>
      </c>
      <c r="F25221">
        <v>1.8922844708480301E-8</v>
      </c>
      <c r="G25221">
        <v>2849436</v>
      </c>
      <c r="H25221">
        <v>13065755</v>
      </c>
      <c r="I25221">
        <v>12288556</v>
      </c>
      <c r="J25221">
        <v>6</v>
      </c>
    </row>
    <row r="25222" spans="1:10" x14ac:dyDescent="0.25">
      <c r="A25222" t="s">
        <v>275</v>
      </c>
      <c r="B25222" s="1" t="str">
        <f>HYPERLINK("http://purina.fr","purina.fr")</f>
        <v>purina.fr</v>
      </c>
      <c r="C25222" t="s">
        <v>446</v>
      </c>
      <c r="D25222" t="s">
        <v>824</v>
      </c>
      <c r="F25222">
        <v>1.18944460295732E-7</v>
      </c>
      <c r="G25222">
        <v>332703</v>
      </c>
      <c r="H25222">
        <v>14507162</v>
      </c>
      <c r="I25222">
        <v>831457</v>
      </c>
      <c r="J25222">
        <v>4</v>
      </c>
    </row>
    <row r="25223" spans="1:10" x14ac:dyDescent="0.25">
      <c r="A25223" t="s">
        <v>275</v>
      </c>
      <c r="B25223" s="1" t="str">
        <f>HYPERLINK("http://roaricecream.fr","roaricecream.fr")</f>
        <v>roaricecream.fr</v>
      </c>
      <c r="C25223" t="s">
        <v>446</v>
      </c>
      <c r="D25223" t="s">
        <v>824</v>
      </c>
      <c r="F25223">
        <v>4.5676658939847303E-9</v>
      </c>
      <c r="G25223">
        <v>50406554</v>
      </c>
      <c r="H25223">
        <v>12169740</v>
      </c>
      <c r="I25223">
        <v>24073960</v>
      </c>
      <c r="J25223">
        <v>8</v>
      </c>
    </row>
    <row r="25224" spans="1:10" x14ac:dyDescent="0.25">
      <c r="A25224" t="s">
        <v>275</v>
      </c>
      <c r="B25224" s="1" t="str">
        <f>HYPERLINK("http://vitalproteins.fr","vitalproteins.fr")</f>
        <v>vitalproteins.fr</v>
      </c>
      <c r="C25224" t="s">
        <v>446</v>
      </c>
      <c r="D25224" t="s">
        <v>824</v>
      </c>
      <c r="F25224">
        <v>1.2995581147007E-8</v>
      </c>
      <c r="G25224">
        <v>4633797</v>
      </c>
      <c r="H25224">
        <v>12985597</v>
      </c>
      <c r="I25224">
        <v>12903327</v>
      </c>
      <c r="J25224">
        <v>5</v>
      </c>
    </row>
    <row r="25225" spans="1:10" x14ac:dyDescent="0.25">
      <c r="A25225" t="s">
        <v>275</v>
      </c>
      <c r="B25225" s="1" t="str">
        <f>HYPERLINK("http://nespresso.gf","nespresso.gf")</f>
        <v>nespresso.gf</v>
      </c>
      <c r="C25225" t="s">
        <v>638</v>
      </c>
      <c r="D25225" t="s">
        <v>959</v>
      </c>
      <c r="F25225">
        <v>4.4438097996714899E-9</v>
      </c>
      <c r="G25225">
        <v>79694465</v>
      </c>
      <c r="H25225">
        <v>9692421</v>
      </c>
      <c r="I25225">
        <v>63517095</v>
      </c>
      <c r="J25225">
        <v>4</v>
      </c>
    </row>
    <row r="25226" spans="1:10" x14ac:dyDescent="0.25">
      <c r="A25226" t="s">
        <v>275</v>
      </c>
      <c r="B25226" s="1" t="str">
        <f>HYPERLINK("http://nespresso.gp","nespresso.gp")</f>
        <v>nespresso.gp</v>
      </c>
      <c r="C25226" t="s">
        <v>645</v>
      </c>
      <c r="F25226">
        <v>4.4900668883877398E-9</v>
      </c>
      <c r="G25226">
        <v>60511068</v>
      </c>
      <c r="H25226">
        <v>10448381</v>
      </c>
      <c r="I25226">
        <v>52141504</v>
      </c>
      <c r="J25226">
        <v>4</v>
      </c>
    </row>
    <row r="25227" spans="1:10" x14ac:dyDescent="0.25">
      <c r="A25227" t="s">
        <v>275</v>
      </c>
      <c r="B25227" s="1" t="str">
        <f>HYPERLINK("http://dolce-gusto.gr","dolce-gusto.gr")</f>
        <v>dolce-gusto.gr</v>
      </c>
      <c r="C25227" t="s">
        <v>447</v>
      </c>
      <c r="D25227" t="s">
        <v>825</v>
      </c>
      <c r="F25227">
        <v>1.7243244519309801E-8</v>
      </c>
      <c r="G25227">
        <v>3213877</v>
      </c>
      <c r="H25227">
        <v>12203935</v>
      </c>
      <c r="I25227">
        <v>23214529</v>
      </c>
      <c r="J25227">
        <v>4</v>
      </c>
    </row>
    <row r="25228" spans="1:10" x14ac:dyDescent="0.25">
      <c r="A25228" t="s">
        <v>275</v>
      </c>
      <c r="B25228" s="1" t="str">
        <f>HYPERLINK("http://maggicooking.gr","maggicooking.gr")</f>
        <v>maggicooking.gr</v>
      </c>
      <c r="C25228" t="s">
        <v>447</v>
      </c>
      <c r="D25228" t="s">
        <v>825</v>
      </c>
      <c r="F25228">
        <v>2.4776870289040599E-8</v>
      </c>
      <c r="G25228">
        <v>2087476</v>
      </c>
      <c r="H25228">
        <v>13772921</v>
      </c>
      <c r="I25228">
        <v>6645208</v>
      </c>
      <c r="J25228">
        <v>3</v>
      </c>
    </row>
    <row r="25229" spans="1:10" x14ac:dyDescent="0.25">
      <c r="A25229" t="s">
        <v>275</v>
      </c>
      <c r="B25229" s="1" t="str">
        <f>HYPERLINK("http://nespresso.gr","nespresso.gr")</f>
        <v>nespresso.gr</v>
      </c>
      <c r="C25229" t="s">
        <v>447</v>
      </c>
      <c r="D25229" t="s">
        <v>825</v>
      </c>
      <c r="F25229">
        <v>1.8852826920080699E-8</v>
      </c>
      <c r="G25229">
        <v>2861921</v>
      </c>
      <c r="H25229">
        <v>12486364</v>
      </c>
      <c r="I25229">
        <v>17529781</v>
      </c>
      <c r="J25229">
        <v>4</v>
      </c>
    </row>
    <row r="25230" spans="1:10" x14ac:dyDescent="0.25">
      <c r="A25230" t="s">
        <v>275</v>
      </c>
      <c r="B25230" s="1" t="str">
        <f>HYPERLINK("http://nestle.gr","nestle.gr")</f>
        <v>nestle.gr</v>
      </c>
      <c r="C25230" t="s">
        <v>447</v>
      </c>
      <c r="D25230" t="s">
        <v>825</v>
      </c>
      <c r="F25230">
        <v>7.2209090445119894E-8</v>
      </c>
      <c r="G25230">
        <v>584585</v>
      </c>
      <c r="H25230">
        <v>14495891</v>
      </c>
      <c r="I25230">
        <v>873579</v>
      </c>
      <c r="J25230">
        <v>2</v>
      </c>
    </row>
    <row r="25231" spans="1:10" x14ac:dyDescent="0.25">
      <c r="A25231" t="s">
        <v>275</v>
      </c>
      <c r="B25231" s="1" t="str">
        <f>HYPERLINK("http://purina.gr","purina.gr")</f>
        <v>purina.gr</v>
      </c>
      <c r="C25231" t="s">
        <v>447</v>
      </c>
      <c r="D25231" t="s">
        <v>825</v>
      </c>
      <c r="F25231">
        <v>2.54242420015516E-8</v>
      </c>
      <c r="G25231">
        <v>2029080</v>
      </c>
      <c r="H25231">
        <v>13773867</v>
      </c>
      <c r="I25231">
        <v>6620654</v>
      </c>
      <c r="J25231">
        <v>4</v>
      </c>
    </row>
    <row r="25232" spans="1:10" x14ac:dyDescent="0.25">
      <c r="A25232" t="s">
        <v>275</v>
      </c>
      <c r="B25232" s="1" t="str">
        <f>HYPERLINK("http://naturesbounty.com.hk","naturesbounty.com.hk")</f>
        <v>naturesbounty.com.hk</v>
      </c>
      <c r="C25232" t="s">
        <v>450</v>
      </c>
      <c r="D25232" t="s">
        <v>827</v>
      </c>
      <c r="F25232">
        <v>7.8855926993119804E-9</v>
      </c>
      <c r="G25232">
        <v>10140112</v>
      </c>
      <c r="H25232">
        <v>13763637</v>
      </c>
      <c r="I25232">
        <v>8037900</v>
      </c>
      <c r="J25232">
        <v>10</v>
      </c>
    </row>
    <row r="25233" spans="1:10" x14ac:dyDescent="0.25">
      <c r="A25233" t="s">
        <v>275</v>
      </c>
      <c r="B25233" s="1" t="str">
        <f>HYPERLINK("http://nestle.com.hk","nestle.com.hk")</f>
        <v>nestle.com.hk</v>
      </c>
      <c r="C25233" t="s">
        <v>450</v>
      </c>
      <c r="D25233" t="s">
        <v>827</v>
      </c>
      <c r="F25233">
        <v>7.7937547930310994E-8</v>
      </c>
      <c r="G25233">
        <v>536786</v>
      </c>
      <c r="H25233">
        <v>14632429</v>
      </c>
      <c r="I25233">
        <v>643640</v>
      </c>
      <c r="J25233">
        <v>2</v>
      </c>
    </row>
    <row r="25234" spans="1:10" x14ac:dyDescent="0.25">
      <c r="A25234" t="s">
        <v>275</v>
      </c>
      <c r="B25234" s="1" t="str">
        <f>HYPERLINK("http://nestlehealthscience.com.hk","nestlehealthscience.com.hk")</f>
        <v>nestlehealthscience.com.hk</v>
      </c>
      <c r="C25234" t="s">
        <v>450</v>
      </c>
      <c r="D25234" t="s">
        <v>827</v>
      </c>
      <c r="F25234">
        <v>1.43065169952226E-8</v>
      </c>
      <c r="G25234">
        <v>4091021</v>
      </c>
      <c r="H25234">
        <v>13567839</v>
      </c>
      <c r="I25234">
        <v>9740761</v>
      </c>
      <c r="J25234">
        <v>6</v>
      </c>
    </row>
    <row r="25235" spans="1:10" x14ac:dyDescent="0.25">
      <c r="A25235" t="s">
        <v>275</v>
      </c>
      <c r="B25235" s="1" t="str">
        <f>HYPERLINK("http://wyethnutrition.com.hk","wyethnutrition.com.hk")</f>
        <v>wyethnutrition.com.hk</v>
      </c>
      <c r="C25235" t="s">
        <v>450</v>
      </c>
      <c r="D25235" t="s">
        <v>827</v>
      </c>
      <c r="F25235">
        <v>2.4800869556308601E-8</v>
      </c>
      <c r="G25235">
        <v>2085301</v>
      </c>
      <c r="H25235">
        <v>14795895</v>
      </c>
      <c r="I25235">
        <v>549437</v>
      </c>
      <c r="J25235">
        <v>3</v>
      </c>
    </row>
    <row r="25236" spans="1:10" x14ac:dyDescent="0.25">
      <c r="A25236" t="s">
        <v>275</v>
      </c>
      <c r="B25236" s="1" t="str">
        <f>HYPERLINK("http://purina.hk","purina.hk")</f>
        <v>purina.hk</v>
      </c>
      <c r="C25236" t="s">
        <v>450</v>
      </c>
      <c r="D25236" t="s">
        <v>827</v>
      </c>
      <c r="F25236">
        <v>1.3055722950395E-8</v>
      </c>
      <c r="G25236">
        <v>4604596</v>
      </c>
      <c r="H25236">
        <v>12387836</v>
      </c>
      <c r="I25236">
        <v>19086318</v>
      </c>
      <c r="J25236">
        <v>4</v>
      </c>
    </row>
    <row r="25237" spans="1:10" x14ac:dyDescent="0.25">
      <c r="A25237" t="s">
        <v>275</v>
      </c>
      <c r="B25237" s="1" t="str">
        <f>HYPERLINK("http://wyethnutrition.hk","wyethnutrition.hk")</f>
        <v>wyethnutrition.hk</v>
      </c>
      <c r="C25237" t="s">
        <v>450</v>
      </c>
      <c r="D25237" t="s">
        <v>827</v>
      </c>
      <c r="F25237">
        <v>8.3545808340548204E-9</v>
      </c>
      <c r="G25237">
        <v>9136699</v>
      </c>
      <c r="H25237">
        <v>14072987</v>
      </c>
      <c r="I25237">
        <v>3026576</v>
      </c>
      <c r="J25237">
        <v>4</v>
      </c>
    </row>
    <row r="25238" spans="1:10" x14ac:dyDescent="0.25">
      <c r="A25238" t="s">
        <v>275</v>
      </c>
      <c r="B25238" s="1" t="str">
        <f>HYPERLINK("http://dolce-gusto.hr","dolce-gusto.hr")</f>
        <v>dolce-gusto.hr</v>
      </c>
      <c r="C25238" t="s">
        <v>452</v>
      </c>
      <c r="D25238" t="s">
        <v>829</v>
      </c>
      <c r="F25238">
        <v>9.2493318819542697E-9</v>
      </c>
      <c r="G25238">
        <v>7639361</v>
      </c>
      <c r="H25238">
        <v>10819054</v>
      </c>
      <c r="I25238">
        <v>37645493</v>
      </c>
      <c r="J25238">
        <v>5</v>
      </c>
    </row>
    <row r="25239" spans="1:10" x14ac:dyDescent="0.25">
      <c r="A25239" t="s">
        <v>275</v>
      </c>
      <c r="B25239" s="1" t="str">
        <f>HYPERLINK("http://nespresso.hr","nespresso.hr")</f>
        <v>nespresso.hr</v>
      </c>
      <c r="C25239" t="s">
        <v>452</v>
      </c>
      <c r="D25239" t="s">
        <v>829</v>
      </c>
      <c r="F25239">
        <v>1.3540600441104501E-8</v>
      </c>
      <c r="G25239">
        <v>4386886</v>
      </c>
      <c r="H25239">
        <v>12483433</v>
      </c>
      <c r="I25239">
        <v>17565051</v>
      </c>
      <c r="J25239">
        <v>4</v>
      </c>
    </row>
    <row r="25240" spans="1:10" x14ac:dyDescent="0.25">
      <c r="A25240" t="s">
        <v>275</v>
      </c>
      <c r="B25240" s="1" t="str">
        <f>HYPERLINK("http://nestle.hr","nestle.hr")</f>
        <v>nestle.hr</v>
      </c>
      <c r="C25240" t="s">
        <v>452</v>
      </c>
      <c r="D25240" t="s">
        <v>829</v>
      </c>
      <c r="F25240">
        <v>6.6857901606252702E-8</v>
      </c>
      <c r="G25240">
        <v>640129</v>
      </c>
      <c r="H25240">
        <v>12625309</v>
      </c>
      <c r="I25240">
        <v>16034408</v>
      </c>
      <c r="J25240">
        <v>2</v>
      </c>
    </row>
    <row r="25241" spans="1:10" x14ac:dyDescent="0.25">
      <c r="A25241" t="s">
        <v>275</v>
      </c>
      <c r="B25241" s="1" t="str">
        <f>HYPERLINK("http://purina.hr","purina.hr")</f>
        <v>purina.hr</v>
      </c>
      <c r="C25241" t="s">
        <v>452</v>
      </c>
      <c r="D25241" t="s">
        <v>829</v>
      </c>
      <c r="F25241">
        <v>2.10684710903915E-8</v>
      </c>
      <c r="G25241">
        <v>2506875</v>
      </c>
      <c r="H25241">
        <v>12962617</v>
      </c>
      <c r="I25241">
        <v>13156825</v>
      </c>
      <c r="J25241">
        <v>4</v>
      </c>
    </row>
    <row r="25242" spans="1:10" x14ac:dyDescent="0.25">
      <c r="A25242" t="s">
        <v>275</v>
      </c>
      <c r="B25242" s="1" t="str">
        <f>HYPERLINK("http://dolce-gusto.hu","dolce-gusto.hu")</f>
        <v>dolce-gusto.hu</v>
      </c>
      <c r="C25242" t="s">
        <v>453</v>
      </c>
      <c r="D25242" t="s">
        <v>830</v>
      </c>
      <c r="F25242">
        <v>2.0058929547896699E-8</v>
      </c>
      <c r="G25242">
        <v>2650306</v>
      </c>
      <c r="H25242">
        <v>13763896</v>
      </c>
      <c r="I25242">
        <v>7513886</v>
      </c>
      <c r="J25242">
        <v>3</v>
      </c>
    </row>
    <row r="25243" spans="1:10" x14ac:dyDescent="0.25">
      <c r="A25243" t="s">
        <v>275</v>
      </c>
      <c r="B25243" s="1" t="str">
        <f>HYPERLINK("http://froneri.hu","froneri.hu")</f>
        <v>froneri.hu</v>
      </c>
      <c r="C25243" t="s">
        <v>453</v>
      </c>
      <c r="D25243" t="s">
        <v>830</v>
      </c>
      <c r="F25243">
        <v>7.9353765610066105E-9</v>
      </c>
      <c r="G25243">
        <v>10042711</v>
      </c>
      <c r="H25243">
        <v>10696162</v>
      </c>
      <c r="I25243">
        <v>42384580</v>
      </c>
      <c r="J25243">
        <v>4</v>
      </c>
    </row>
    <row r="25244" spans="1:10" x14ac:dyDescent="0.25">
      <c r="A25244" t="s">
        <v>275</v>
      </c>
      <c r="B25244" s="1" t="str">
        <f>HYPERLINK("http://nestle.hu","nestle.hu")</f>
        <v>nestle.hu</v>
      </c>
      <c r="C25244" t="s">
        <v>453</v>
      </c>
      <c r="D25244" t="s">
        <v>830</v>
      </c>
      <c r="F25244">
        <v>8.1873313735357204E-8</v>
      </c>
      <c r="G25244">
        <v>509689</v>
      </c>
      <c r="H25244">
        <v>13777195</v>
      </c>
      <c r="I25244">
        <v>6541376</v>
      </c>
      <c r="J25244">
        <v>2</v>
      </c>
    </row>
    <row r="25245" spans="1:10" x14ac:dyDescent="0.25">
      <c r="A25245" t="s">
        <v>275</v>
      </c>
      <c r="B25245" s="1" t="str">
        <f>HYPERLINK("http://dolce-gusto.co.id","dolce-gusto.co.id")</f>
        <v>dolce-gusto.co.id</v>
      </c>
      <c r="C25245" t="s">
        <v>454</v>
      </c>
      <c r="D25245" t="s">
        <v>831</v>
      </c>
      <c r="F25245">
        <v>3.9667700252255397E-8</v>
      </c>
      <c r="G25245">
        <v>1302000</v>
      </c>
      <c r="H25245">
        <v>12295727</v>
      </c>
      <c r="I25245">
        <v>20951631</v>
      </c>
      <c r="J25245">
        <v>4</v>
      </c>
    </row>
    <row r="25246" spans="1:10" x14ac:dyDescent="0.25">
      <c r="A25246" t="s">
        <v>275</v>
      </c>
      <c r="B25246" s="1" t="str">
        <f>HYPERLINK("http://nespresso.co.id","nespresso.co.id")</f>
        <v>nespresso.co.id</v>
      </c>
      <c r="C25246" t="s">
        <v>454</v>
      </c>
      <c r="D25246" t="s">
        <v>831</v>
      </c>
      <c r="F25246">
        <v>1.10238545346079E-8</v>
      </c>
      <c r="G25246">
        <v>5841807</v>
      </c>
      <c r="H25246">
        <v>12759572</v>
      </c>
      <c r="I25246">
        <v>14956722</v>
      </c>
      <c r="J25246">
        <v>4</v>
      </c>
    </row>
    <row r="25247" spans="1:10" x14ac:dyDescent="0.25">
      <c r="A25247" t="s">
        <v>275</v>
      </c>
      <c r="B25247" s="1" t="str">
        <f>HYPERLINK("http://nestle.co.id","nestle.co.id")</f>
        <v>nestle.co.id</v>
      </c>
      <c r="C25247" t="s">
        <v>454</v>
      </c>
      <c r="D25247" t="s">
        <v>831</v>
      </c>
      <c r="F25247">
        <v>8.9941893348281996E-8</v>
      </c>
      <c r="G25247">
        <v>453797</v>
      </c>
      <c r="H25247">
        <v>14240146</v>
      </c>
      <c r="I25247">
        <v>1504024</v>
      </c>
      <c r="J25247">
        <v>2</v>
      </c>
    </row>
    <row r="25248" spans="1:10" x14ac:dyDescent="0.25">
      <c r="A25248" t="s">
        <v>275</v>
      </c>
      <c r="B25248" s="1" t="str">
        <f>HYPERLINK("http://nestlehealthscience.co.id","nestlehealthscience.co.id")</f>
        <v>nestlehealthscience.co.id</v>
      </c>
      <c r="C25248" t="s">
        <v>454</v>
      </c>
      <c r="D25248" t="s">
        <v>831</v>
      </c>
      <c r="F25248">
        <v>2.35972707971511E-8</v>
      </c>
      <c r="G25248">
        <v>2204241</v>
      </c>
      <c r="H25248">
        <v>13763945</v>
      </c>
      <c r="I25248">
        <v>7476054</v>
      </c>
      <c r="J25248">
        <v>6</v>
      </c>
    </row>
    <row r="25249" spans="1:10" x14ac:dyDescent="0.25">
      <c r="A25249" t="s">
        <v>275</v>
      </c>
      <c r="B25249" s="1" t="str">
        <f>HYPERLINK("http://wyethnutrition.co.id","wyethnutrition.co.id")</f>
        <v>wyethnutrition.co.id</v>
      </c>
      <c r="C25249" t="s">
        <v>454</v>
      </c>
      <c r="D25249" t="s">
        <v>831</v>
      </c>
      <c r="F25249">
        <v>4.8763894824906301E-8</v>
      </c>
      <c r="G25249">
        <v>950588</v>
      </c>
      <c r="H25249">
        <v>12492095</v>
      </c>
      <c r="I25249">
        <v>17469780</v>
      </c>
      <c r="J25249">
        <v>6</v>
      </c>
    </row>
    <row r="25250" spans="1:10" x14ac:dyDescent="0.25">
      <c r="A25250" t="s">
        <v>275</v>
      </c>
      <c r="B25250" s="1" t="str">
        <f>HYPERLINK("http://dolce-gusto.ie","dolce-gusto.ie")</f>
        <v>dolce-gusto.ie</v>
      </c>
      <c r="C25250" t="s">
        <v>455</v>
      </c>
      <c r="D25250" t="s">
        <v>832</v>
      </c>
      <c r="F25250">
        <v>1.09014105679565E-8</v>
      </c>
      <c r="G25250">
        <v>5941300</v>
      </c>
      <c r="H25250">
        <v>13802871</v>
      </c>
      <c r="I25250">
        <v>6266022</v>
      </c>
      <c r="J25250">
        <v>3</v>
      </c>
    </row>
    <row r="25251" spans="1:10" x14ac:dyDescent="0.25">
      <c r="A25251" t="s">
        <v>275</v>
      </c>
      <c r="B25251" s="1" t="str">
        <f>HYPERLINK("http://nestle.ie","nestle.ie")</f>
        <v>nestle.ie</v>
      </c>
      <c r="C25251" t="s">
        <v>455</v>
      </c>
      <c r="D25251" t="s">
        <v>832</v>
      </c>
      <c r="F25251">
        <v>4.2867192615010603E-8</v>
      </c>
      <c r="G25251">
        <v>1124089</v>
      </c>
      <c r="H25251">
        <v>14239157</v>
      </c>
      <c r="I25251">
        <v>1516092</v>
      </c>
      <c r="J25251">
        <v>3</v>
      </c>
    </row>
    <row r="25252" spans="1:10" x14ac:dyDescent="0.25">
      <c r="A25252" t="s">
        <v>275</v>
      </c>
      <c r="B25252" s="1" t="str">
        <f>HYPERLINK("http://osem.co.il","osem.co.il")</f>
        <v>osem.co.il</v>
      </c>
      <c r="C25252" t="s">
        <v>456</v>
      </c>
      <c r="D25252" t="s">
        <v>833</v>
      </c>
      <c r="F25252">
        <v>3.8420464236741002E-8</v>
      </c>
      <c r="G25252">
        <v>1343318</v>
      </c>
      <c r="H25252">
        <v>14827822</v>
      </c>
      <c r="I25252">
        <v>508479</v>
      </c>
      <c r="J25252">
        <v>3</v>
      </c>
    </row>
    <row r="25253" spans="1:10" x14ac:dyDescent="0.25">
      <c r="A25253" t="s">
        <v>275</v>
      </c>
      <c r="B25253" s="1" t="str">
        <f>HYPERLINK("http://tivall.co.il","tivall.co.il")</f>
        <v>tivall.co.il</v>
      </c>
      <c r="C25253" t="s">
        <v>456</v>
      </c>
      <c r="D25253" t="s">
        <v>833</v>
      </c>
      <c r="F25253">
        <v>1.0762963208695999E-8</v>
      </c>
      <c r="G25253">
        <v>6049829</v>
      </c>
      <c r="H25253">
        <v>13764583</v>
      </c>
      <c r="I25253">
        <v>7231991</v>
      </c>
      <c r="J25253">
        <v>3</v>
      </c>
    </row>
    <row r="25254" spans="1:10" x14ac:dyDescent="0.25">
      <c r="A25254" t="s">
        <v>275</v>
      </c>
      <c r="B25254" s="1" t="str">
        <f>HYPERLINK("http://maggi.in","maggi.in")</f>
        <v>maggi.in</v>
      </c>
      <c r="C25254" t="s">
        <v>457</v>
      </c>
      <c r="D25254" t="s">
        <v>834</v>
      </c>
      <c r="E25254">
        <v>941701</v>
      </c>
      <c r="F25254">
        <v>4.31640744625591E-8</v>
      </c>
      <c r="G25254">
        <v>1112209</v>
      </c>
      <c r="H25254">
        <v>14828230</v>
      </c>
      <c r="I25254">
        <v>508090</v>
      </c>
      <c r="J25254">
        <v>3</v>
      </c>
    </row>
    <row r="25255" spans="1:10" x14ac:dyDescent="0.25">
      <c r="A25255" t="s">
        <v>275</v>
      </c>
      <c r="B25255" s="1" t="str">
        <f>HYPERLINK("http://nestle.in","nestle.in")</f>
        <v>nestle.in</v>
      </c>
      <c r="C25255" t="s">
        <v>457</v>
      </c>
      <c r="D25255" t="s">
        <v>834</v>
      </c>
      <c r="E25255">
        <v>347414</v>
      </c>
      <c r="F25255">
        <v>1.2616371018606799E-7</v>
      </c>
      <c r="G25255">
        <v>312623</v>
      </c>
      <c r="H25255">
        <v>14857838</v>
      </c>
      <c r="I25255">
        <v>486029</v>
      </c>
      <c r="J25255">
        <v>2</v>
      </c>
    </row>
    <row r="25256" spans="1:10" x14ac:dyDescent="0.25">
      <c r="A25256" t="s">
        <v>275</v>
      </c>
      <c r="B25256" s="1" t="str">
        <f>HYPERLINK("http://nestlehealthscience.in","nestlehealthscience.in")</f>
        <v>nestlehealthscience.in</v>
      </c>
      <c r="C25256" t="s">
        <v>457</v>
      </c>
      <c r="D25256" t="s">
        <v>834</v>
      </c>
      <c r="F25256">
        <v>4.9279688707848199E-9</v>
      </c>
      <c r="G25256">
        <v>31439955</v>
      </c>
      <c r="H25256">
        <v>10798514</v>
      </c>
      <c r="I25256">
        <v>38206287</v>
      </c>
      <c r="J25256">
        <v>6</v>
      </c>
    </row>
    <row r="25257" spans="1:10" x14ac:dyDescent="0.25">
      <c r="A25257" t="s">
        <v>275</v>
      </c>
      <c r="B25257" s="1" t="str">
        <f>HYPERLINK("http://nestle.ir","nestle.ir")</f>
        <v>nestle.ir</v>
      </c>
      <c r="C25257" t="s">
        <v>751</v>
      </c>
      <c r="D25257" t="s">
        <v>1010</v>
      </c>
      <c r="F25257">
        <v>4.6782997052569603E-8</v>
      </c>
      <c r="G25257">
        <v>998467</v>
      </c>
      <c r="H25257">
        <v>14075527</v>
      </c>
      <c r="I25257">
        <v>2906862</v>
      </c>
      <c r="J25257">
        <v>2</v>
      </c>
    </row>
    <row r="25258" spans="1:10" x14ac:dyDescent="0.25">
      <c r="A25258" t="s">
        <v>275</v>
      </c>
      <c r="B25258" s="1" t="str">
        <f>HYPERLINK("http://nespresso.is","nespresso.is")</f>
        <v>nespresso.is</v>
      </c>
      <c r="C25258" t="s">
        <v>594</v>
      </c>
      <c r="D25258" t="s">
        <v>929</v>
      </c>
      <c r="F25258">
        <v>8.1511045277307998E-9</v>
      </c>
      <c r="G25258">
        <v>9654300</v>
      </c>
      <c r="H25258">
        <v>12281359</v>
      </c>
      <c r="I25258">
        <v>21281097</v>
      </c>
      <c r="J25258">
        <v>4</v>
      </c>
    </row>
    <row r="25259" spans="1:10" x14ac:dyDescent="0.25">
      <c r="A25259" t="s">
        <v>275</v>
      </c>
      <c r="B25259" s="1" t="str">
        <f>HYPERLINK("http://acquapanna.it","acquapanna.it")</f>
        <v>acquapanna.it</v>
      </c>
      <c r="C25259" t="s">
        <v>459</v>
      </c>
      <c r="D25259" t="s">
        <v>835</v>
      </c>
      <c r="F25259">
        <v>6.5300311813346798E-9</v>
      </c>
      <c r="G25259">
        <v>13954458</v>
      </c>
      <c r="H25259">
        <v>10776191</v>
      </c>
      <c r="I25259">
        <v>39040956</v>
      </c>
      <c r="J25259">
        <v>4</v>
      </c>
    </row>
    <row r="25260" spans="1:10" x14ac:dyDescent="0.25">
      <c r="A25260" t="s">
        <v>275</v>
      </c>
      <c r="B25260" s="1" t="str">
        <f>HYPERLINK("http://buitoni.it","buitoni.it")</f>
        <v>buitoni.it</v>
      </c>
      <c r="C25260" t="s">
        <v>459</v>
      </c>
      <c r="D25260" t="s">
        <v>835</v>
      </c>
      <c r="F25260">
        <v>3.4868921359324198E-8</v>
      </c>
      <c r="G25260">
        <v>1489312</v>
      </c>
      <c r="H25260">
        <v>14529846</v>
      </c>
      <c r="I25260">
        <v>787886</v>
      </c>
      <c r="J25260">
        <v>3</v>
      </c>
    </row>
    <row r="25261" spans="1:10" x14ac:dyDescent="0.25">
      <c r="A25261" t="s">
        <v>275</v>
      </c>
      <c r="B25261" s="1" t="str">
        <f>HYPERLINK("http://dolce-gusto.it","dolce-gusto.it")</f>
        <v>dolce-gusto.it</v>
      </c>
      <c r="C25261" t="s">
        <v>459</v>
      </c>
      <c r="D25261" t="s">
        <v>835</v>
      </c>
      <c r="F25261">
        <v>2.7827712407984599E-8</v>
      </c>
      <c r="G25261">
        <v>1848101</v>
      </c>
      <c r="H25261">
        <v>13887659</v>
      </c>
      <c r="I25261">
        <v>5966679</v>
      </c>
      <c r="J25261">
        <v>3</v>
      </c>
    </row>
    <row r="25262" spans="1:10" x14ac:dyDescent="0.25">
      <c r="A25262" t="s">
        <v>275</v>
      </c>
      <c r="B25262" s="1" t="str">
        <f>HYPERLINK("http://nestle.it","nestle.it")</f>
        <v>nestle.it</v>
      </c>
      <c r="C25262" t="s">
        <v>459</v>
      </c>
      <c r="D25262" t="s">
        <v>835</v>
      </c>
      <c r="E25262">
        <v>600545</v>
      </c>
      <c r="F25262">
        <v>1.1842061748501901E-7</v>
      </c>
      <c r="G25262">
        <v>334423</v>
      </c>
      <c r="H25262">
        <v>14521442</v>
      </c>
      <c r="I25262">
        <v>802619</v>
      </c>
      <c r="J25262">
        <v>2</v>
      </c>
    </row>
    <row r="25263" spans="1:10" x14ac:dyDescent="0.25">
      <c r="A25263" t="s">
        <v>275</v>
      </c>
      <c r="B25263" s="1" t="str">
        <f>HYPERLINK("http://nestlehealthscience.it","nestlehealthscience.it")</f>
        <v>nestlehealthscience.it</v>
      </c>
      <c r="C25263" t="s">
        <v>459</v>
      </c>
      <c r="D25263" t="s">
        <v>835</v>
      </c>
      <c r="F25263">
        <v>1.64566340932162E-8</v>
      </c>
      <c r="G25263">
        <v>3424721</v>
      </c>
      <c r="H25263">
        <v>13766194</v>
      </c>
      <c r="I25263">
        <v>7026512</v>
      </c>
      <c r="J25263">
        <v>6</v>
      </c>
    </row>
    <row r="25264" spans="1:10" x14ac:dyDescent="0.25">
      <c r="A25264" t="s">
        <v>275</v>
      </c>
      <c r="B25264" s="1" t="str">
        <f>HYPERLINK("http://purina.it","purina.it")</f>
        <v>purina.it</v>
      </c>
      <c r="C25264" t="s">
        <v>459</v>
      </c>
      <c r="D25264" t="s">
        <v>835</v>
      </c>
      <c r="E25264">
        <v>973151</v>
      </c>
      <c r="F25264">
        <v>9.5388802701031894E-8</v>
      </c>
      <c r="G25264">
        <v>424677</v>
      </c>
      <c r="H25264">
        <v>14211052</v>
      </c>
      <c r="I25264">
        <v>1702022</v>
      </c>
      <c r="J25264">
        <v>5</v>
      </c>
    </row>
    <row r="25265" spans="1:10" x14ac:dyDescent="0.25">
      <c r="A25265" t="s">
        <v>275</v>
      </c>
      <c r="B25265" s="1" t="str">
        <f>HYPERLINK("http://sanpellegrino.it","sanpellegrino.it")</f>
        <v>sanpellegrino.it</v>
      </c>
      <c r="C25265" t="s">
        <v>459</v>
      </c>
      <c r="D25265" t="s">
        <v>835</v>
      </c>
      <c r="F25265">
        <v>2.3696284266183998E-8</v>
      </c>
      <c r="G25265">
        <v>2193888</v>
      </c>
      <c r="H25265">
        <v>14490874</v>
      </c>
      <c r="I25265">
        <v>907866</v>
      </c>
      <c r="J25265">
        <v>3</v>
      </c>
    </row>
    <row r="25266" spans="1:10" x14ac:dyDescent="0.25">
      <c r="A25266" t="s">
        <v>275</v>
      </c>
      <c r="B25266" s="1" t="str">
        <f>HYPERLINK("http://nestle.co.jp","nestle.co.jp")</f>
        <v>nestle.co.jp</v>
      </c>
      <c r="C25266" t="s">
        <v>461</v>
      </c>
      <c r="D25266" t="s">
        <v>837</v>
      </c>
      <c r="E25266">
        <v>313810</v>
      </c>
      <c r="F25266">
        <v>3.0436810021898502E-7</v>
      </c>
      <c r="G25266">
        <v>122144</v>
      </c>
      <c r="H25266">
        <v>14838108</v>
      </c>
      <c r="I25266">
        <v>499226</v>
      </c>
      <c r="J25266">
        <v>2</v>
      </c>
    </row>
    <row r="25267" spans="1:10" x14ac:dyDescent="0.25">
      <c r="A25267" t="s">
        <v>275</v>
      </c>
      <c r="B25267" s="1" t="str">
        <f>HYPERLINK("http://nestle.jp","nestle.jp")</f>
        <v>nestle.jp</v>
      </c>
      <c r="C25267" t="s">
        <v>461</v>
      </c>
      <c r="D25267" t="s">
        <v>837</v>
      </c>
      <c r="E25267">
        <v>55748</v>
      </c>
      <c r="F25267">
        <v>1.3592007674672401E-6</v>
      </c>
      <c r="G25267">
        <v>28623</v>
      </c>
      <c r="H25267">
        <v>17694078</v>
      </c>
      <c r="I25267">
        <v>7439</v>
      </c>
      <c r="J25267">
        <v>2</v>
      </c>
    </row>
    <row r="25268" spans="1:10" x14ac:dyDescent="0.25">
      <c r="A25268" t="s">
        <v>275</v>
      </c>
      <c r="B25268" s="1" t="str">
        <f>HYPERLINK("http://nestlehealthscience.jp","nestlehealthscience.jp")</f>
        <v>nestlehealthscience.jp</v>
      </c>
      <c r="C25268" t="s">
        <v>461</v>
      </c>
      <c r="D25268" t="s">
        <v>837</v>
      </c>
      <c r="F25268">
        <v>1.6201204672368198E-8</v>
      </c>
      <c r="G25268">
        <v>3495095</v>
      </c>
      <c r="H25268">
        <v>13221683</v>
      </c>
      <c r="I25268">
        <v>11326325</v>
      </c>
      <c r="J25268">
        <v>6</v>
      </c>
    </row>
    <row r="25269" spans="1:10" x14ac:dyDescent="0.25">
      <c r="A25269" t="s">
        <v>275</v>
      </c>
      <c r="B25269" s="1" t="str">
        <f>HYPERLINK("http://dolce-gusto.co.kr","dolce-gusto.co.kr")</f>
        <v>dolce-gusto.co.kr</v>
      </c>
      <c r="C25269" t="s">
        <v>463</v>
      </c>
      <c r="D25269" t="s">
        <v>839</v>
      </c>
      <c r="F25269">
        <v>2.16727698400422E-8</v>
      </c>
      <c r="G25269">
        <v>2427130</v>
      </c>
      <c r="H25269">
        <v>13020621</v>
      </c>
      <c r="I25269">
        <v>12711140</v>
      </c>
      <c r="J25269">
        <v>4</v>
      </c>
    </row>
    <row r="25270" spans="1:10" x14ac:dyDescent="0.25">
      <c r="A25270" t="s">
        <v>275</v>
      </c>
      <c r="B25270" s="1" t="str">
        <f>HYPERLINK("http://nestle.co.kr","nestle.co.kr")</f>
        <v>nestle.co.kr</v>
      </c>
      <c r="C25270" t="s">
        <v>463</v>
      </c>
      <c r="D25270" t="s">
        <v>839</v>
      </c>
      <c r="F25270">
        <v>5.7472866216272299E-8</v>
      </c>
      <c r="G25270">
        <v>775747</v>
      </c>
      <c r="H25270">
        <v>14075703</v>
      </c>
      <c r="I25270">
        <v>2902635</v>
      </c>
      <c r="J25270">
        <v>2</v>
      </c>
    </row>
    <row r="25271" spans="1:10" x14ac:dyDescent="0.25">
      <c r="A25271" t="s">
        <v>275</v>
      </c>
      <c r="B25271" s="1" t="str">
        <f>HYPERLINK("http://tails.link","tails.link")</f>
        <v>tails.link</v>
      </c>
      <c r="C25271" t="s">
        <v>546</v>
      </c>
      <c r="F25271">
        <v>5.9028335466974598E-9</v>
      </c>
      <c r="G25271">
        <v>17340120</v>
      </c>
      <c r="H25271">
        <v>10752658</v>
      </c>
      <c r="I25271">
        <v>39979479</v>
      </c>
      <c r="J25271">
        <v>5</v>
      </c>
    </row>
    <row r="25272" spans="1:10" x14ac:dyDescent="0.25">
      <c r="A25272" t="s">
        <v>275</v>
      </c>
      <c r="B25272" s="1" t="str">
        <f>HYPERLINK("http://maggi.lk","maggi.lk")</f>
        <v>maggi.lk</v>
      </c>
      <c r="C25272" t="s">
        <v>466</v>
      </c>
      <c r="D25272" t="s">
        <v>842</v>
      </c>
      <c r="F25272">
        <v>8.9781810183281494E-9</v>
      </c>
      <c r="G25272">
        <v>8024576</v>
      </c>
      <c r="H25272">
        <v>12351369</v>
      </c>
      <c r="I25272">
        <v>19744768</v>
      </c>
      <c r="J25272">
        <v>3</v>
      </c>
    </row>
    <row r="25273" spans="1:10" x14ac:dyDescent="0.25">
      <c r="A25273" t="s">
        <v>275</v>
      </c>
      <c r="B25273" s="1" t="str">
        <f>HYPERLINK("http://nestle.lk","nestle.lk")</f>
        <v>nestle.lk</v>
      </c>
      <c r="C25273" t="s">
        <v>466</v>
      </c>
      <c r="D25273" t="s">
        <v>842</v>
      </c>
      <c r="F25273">
        <v>4.9176584137868102E-8</v>
      </c>
      <c r="G25273">
        <v>941465</v>
      </c>
      <c r="H25273">
        <v>13622623</v>
      </c>
      <c r="I25273">
        <v>9623895</v>
      </c>
      <c r="J25273">
        <v>2</v>
      </c>
    </row>
    <row r="25274" spans="1:10" x14ac:dyDescent="0.25">
      <c r="A25274" t="s">
        <v>275</v>
      </c>
      <c r="B25274" s="1" t="str">
        <f>HYPERLINK("http://nestlehealthscience.lk","nestlehealthscience.lk")</f>
        <v>nestlehealthscience.lk</v>
      </c>
      <c r="C25274" t="s">
        <v>466</v>
      </c>
      <c r="D25274" t="s">
        <v>842</v>
      </c>
      <c r="F25274">
        <v>5.5544454673338197E-9</v>
      </c>
      <c r="G25274">
        <v>20332572</v>
      </c>
      <c r="H25274">
        <v>10677242</v>
      </c>
      <c r="I25274">
        <v>42809064</v>
      </c>
      <c r="J25274">
        <v>6</v>
      </c>
    </row>
    <row r="25275" spans="1:10" x14ac:dyDescent="0.25">
      <c r="A25275" t="s">
        <v>275</v>
      </c>
      <c r="B25275" s="1" t="str">
        <f>HYPERLINK("http://dolce-gusto.lt","dolce-gusto.lt")</f>
        <v>dolce-gusto.lt</v>
      </c>
      <c r="C25275" t="s">
        <v>467</v>
      </c>
      <c r="D25275" t="s">
        <v>843</v>
      </c>
      <c r="F25275">
        <v>1.69444315144865E-8</v>
      </c>
      <c r="G25275">
        <v>3296650</v>
      </c>
      <c r="H25275">
        <v>12153653</v>
      </c>
      <c r="I25275">
        <v>24527487</v>
      </c>
      <c r="J25275">
        <v>4</v>
      </c>
    </row>
    <row r="25276" spans="1:10" x14ac:dyDescent="0.25">
      <c r="A25276" t="s">
        <v>275</v>
      </c>
      <c r="B25276" s="1" t="str">
        <f>HYPERLINK("http://froneri.lt","froneri.lt")</f>
        <v>froneri.lt</v>
      </c>
      <c r="C25276" t="s">
        <v>467</v>
      </c>
      <c r="D25276" t="s">
        <v>843</v>
      </c>
      <c r="F25276">
        <v>7.1048474849679304E-9</v>
      </c>
      <c r="G25276">
        <v>12001889</v>
      </c>
      <c r="H25276">
        <v>9939603</v>
      </c>
      <c r="I25276">
        <v>61339492</v>
      </c>
      <c r="J25276">
        <v>5</v>
      </c>
    </row>
    <row r="25277" spans="1:10" x14ac:dyDescent="0.25">
      <c r="A25277" t="s">
        <v>275</v>
      </c>
      <c r="B25277" s="1" t="str">
        <f>HYPERLINK("http://maggi.lt","maggi.lt")</f>
        <v>maggi.lt</v>
      </c>
      <c r="C25277" t="s">
        <v>467</v>
      </c>
      <c r="D25277" t="s">
        <v>843</v>
      </c>
      <c r="F25277">
        <v>1.57798755389003E-8</v>
      </c>
      <c r="G25277">
        <v>3605241</v>
      </c>
      <c r="H25277">
        <v>12351215</v>
      </c>
      <c r="I25277">
        <v>19747058</v>
      </c>
      <c r="J25277">
        <v>3</v>
      </c>
    </row>
    <row r="25278" spans="1:10" x14ac:dyDescent="0.25">
      <c r="A25278" t="s">
        <v>275</v>
      </c>
      <c r="B25278" s="1" t="str">
        <f>HYPERLINK("http://nespresso.lt","nespresso.lt")</f>
        <v>nespresso.lt</v>
      </c>
      <c r="C25278" t="s">
        <v>467</v>
      </c>
      <c r="D25278" t="s">
        <v>843</v>
      </c>
      <c r="F25278">
        <v>9.2250019512119599E-9</v>
      </c>
      <c r="G25278">
        <v>7676640</v>
      </c>
      <c r="H25278">
        <v>11127107</v>
      </c>
      <c r="I25278">
        <v>31978813</v>
      </c>
      <c r="J25278">
        <v>4</v>
      </c>
    </row>
    <row r="25279" spans="1:10" x14ac:dyDescent="0.25">
      <c r="A25279" t="s">
        <v>275</v>
      </c>
      <c r="B25279" s="1" t="str">
        <f>HYPERLINK("http://nestle.lt","nestle.lt")</f>
        <v>nestle.lt</v>
      </c>
      <c r="C25279" t="s">
        <v>467</v>
      </c>
      <c r="D25279" t="s">
        <v>843</v>
      </c>
      <c r="F25279">
        <v>6.9436494447565002E-8</v>
      </c>
      <c r="G25279">
        <v>611508</v>
      </c>
      <c r="H25279">
        <v>12533944</v>
      </c>
      <c r="I25279">
        <v>16996068</v>
      </c>
      <c r="J25279">
        <v>2</v>
      </c>
    </row>
    <row r="25280" spans="1:10" x14ac:dyDescent="0.25">
      <c r="A25280" t="s">
        <v>275</v>
      </c>
      <c r="B25280" s="1" t="str">
        <f>HYPERLINK("http://purina.lt","purina.lt")</f>
        <v>purina.lt</v>
      </c>
      <c r="C25280" t="s">
        <v>467</v>
      </c>
      <c r="D25280" t="s">
        <v>843</v>
      </c>
      <c r="F25280">
        <v>1.6871917823814001E-8</v>
      </c>
      <c r="G25280">
        <v>3315932</v>
      </c>
      <c r="H25280">
        <v>14376578</v>
      </c>
      <c r="I25280">
        <v>1216096</v>
      </c>
      <c r="J25280">
        <v>5</v>
      </c>
    </row>
    <row r="25281" spans="1:10" x14ac:dyDescent="0.25">
      <c r="A25281" t="s">
        <v>275</v>
      </c>
      <c r="B25281" s="1" t="str">
        <f>HYPERLINK("http://dolce-gusto.lv","dolce-gusto.lv")</f>
        <v>dolce-gusto.lv</v>
      </c>
      <c r="C25281" t="s">
        <v>468</v>
      </c>
      <c r="D25281" t="s">
        <v>844</v>
      </c>
      <c r="F25281">
        <v>1.6351032299361E-8</v>
      </c>
      <c r="G25281">
        <v>3458358</v>
      </c>
      <c r="H25281">
        <v>12248870</v>
      </c>
      <c r="I25281">
        <v>22036202</v>
      </c>
      <c r="J25281">
        <v>4</v>
      </c>
    </row>
    <row r="25282" spans="1:10" x14ac:dyDescent="0.25">
      <c r="A25282" t="s">
        <v>275</v>
      </c>
      <c r="B25282" s="1" t="str">
        <f>HYPERLINK("http://froneri.lv","froneri.lv")</f>
        <v>froneri.lv</v>
      </c>
      <c r="C25282" t="s">
        <v>468</v>
      </c>
      <c r="D25282" t="s">
        <v>844</v>
      </c>
      <c r="F25282">
        <v>7.12009198095074E-9</v>
      </c>
      <c r="G25282">
        <v>11959028</v>
      </c>
      <c r="H25282">
        <v>9939603</v>
      </c>
      <c r="I25282">
        <v>61339493</v>
      </c>
      <c r="J25282">
        <v>5</v>
      </c>
    </row>
    <row r="25283" spans="1:10" x14ac:dyDescent="0.25">
      <c r="A25283" t="s">
        <v>275</v>
      </c>
      <c r="B25283" s="1" t="str">
        <f>HYPERLINK("http://nespresso.lv","nespresso.lv")</f>
        <v>nespresso.lv</v>
      </c>
      <c r="C25283" t="s">
        <v>468</v>
      </c>
      <c r="D25283" t="s">
        <v>844</v>
      </c>
      <c r="F25283">
        <v>6.2149013007423298E-9</v>
      </c>
      <c r="G25283">
        <v>15456346</v>
      </c>
      <c r="H25283">
        <v>10804557</v>
      </c>
      <c r="I25283">
        <v>38024794</v>
      </c>
      <c r="J25283">
        <v>4</v>
      </c>
    </row>
    <row r="25284" spans="1:10" x14ac:dyDescent="0.25">
      <c r="A25284" t="s">
        <v>275</v>
      </c>
      <c r="B25284" s="1" t="str">
        <f>HYPERLINK("http://nestle.lv","nestle.lv")</f>
        <v>nestle.lv</v>
      </c>
      <c r="C25284" t="s">
        <v>468</v>
      </c>
      <c r="D25284" t="s">
        <v>844</v>
      </c>
      <c r="F25284">
        <v>5.4271464840223099E-9</v>
      </c>
      <c r="G25284">
        <v>21776228</v>
      </c>
      <c r="H25284">
        <v>10509896</v>
      </c>
      <c r="I25284">
        <v>49694345</v>
      </c>
      <c r="J25284">
        <v>3</v>
      </c>
    </row>
    <row r="25285" spans="1:10" x14ac:dyDescent="0.25">
      <c r="A25285" t="s">
        <v>275</v>
      </c>
      <c r="B25285" s="1" t="str">
        <f>HYPERLINK("http://purina.lv","purina.lv")</f>
        <v>purina.lv</v>
      </c>
      <c r="C25285" t="s">
        <v>468</v>
      </c>
      <c r="D25285" t="s">
        <v>844</v>
      </c>
      <c r="F25285">
        <v>1.46589694633355E-8</v>
      </c>
      <c r="G25285">
        <v>3955151</v>
      </c>
      <c r="H25285">
        <v>14073142</v>
      </c>
      <c r="I25285">
        <v>3014309</v>
      </c>
      <c r="J25285">
        <v>4</v>
      </c>
    </row>
    <row r="25286" spans="1:10" x14ac:dyDescent="0.25">
      <c r="A25286" t="s">
        <v>275</v>
      </c>
      <c r="B25286" s="1" t="str">
        <f>HYPERLINK("http://nestle.md","nestle.md")</f>
        <v>nestle.md</v>
      </c>
      <c r="C25286" t="s">
        <v>571</v>
      </c>
      <c r="D25286" t="s">
        <v>918</v>
      </c>
      <c r="F25286">
        <v>4.05870461456672E-8</v>
      </c>
      <c r="G25286">
        <v>1276241</v>
      </c>
      <c r="H25286">
        <v>12449956</v>
      </c>
      <c r="I25286">
        <v>17997357</v>
      </c>
      <c r="J25286">
        <v>2</v>
      </c>
    </row>
    <row r="25287" spans="1:10" x14ac:dyDescent="0.25">
      <c r="A25287" t="s">
        <v>275</v>
      </c>
      <c r="B25287" s="1" t="str">
        <f>HYPERLINK("http://nestle.mk","nestle.mk")</f>
        <v>nestle.mk</v>
      </c>
      <c r="C25287" t="s">
        <v>531</v>
      </c>
      <c r="D25287" t="s">
        <v>895</v>
      </c>
      <c r="F25287">
        <v>5.3062675123125201E-8</v>
      </c>
      <c r="G25287">
        <v>858206</v>
      </c>
      <c r="H25287">
        <v>12446388</v>
      </c>
      <c r="I25287">
        <v>18070643</v>
      </c>
      <c r="J25287">
        <v>2</v>
      </c>
    </row>
    <row r="25288" spans="1:10" x14ac:dyDescent="0.25">
      <c r="A25288" t="s">
        <v>275</v>
      </c>
      <c r="B25288" s="1" t="str">
        <f>HYPERLINK("http://nespresso.mq","nespresso.mq")</f>
        <v>nespresso.mq</v>
      </c>
      <c r="C25288" t="s">
        <v>732</v>
      </c>
      <c r="D25288" t="s">
        <v>1009</v>
      </c>
      <c r="F25288">
        <v>4.6532570405552001E-9</v>
      </c>
      <c r="G25288">
        <v>43947087</v>
      </c>
      <c r="H25288">
        <v>8370843</v>
      </c>
      <c r="I25288">
        <v>73597239</v>
      </c>
      <c r="J25288">
        <v>4</v>
      </c>
    </row>
    <row r="25289" spans="1:10" x14ac:dyDescent="0.25">
      <c r="A25289" t="s">
        <v>275</v>
      </c>
      <c r="B25289" s="1" t="str">
        <f>HYPERLINK("http://dolce-gusto.com.mt","dolce-gusto.com.mt")</f>
        <v>dolce-gusto.com.mt</v>
      </c>
      <c r="C25289" t="s">
        <v>597</v>
      </c>
      <c r="D25289" t="s">
        <v>932</v>
      </c>
      <c r="F25289">
        <v>1.6951926334105298E-8</v>
      </c>
      <c r="G25289">
        <v>3294949</v>
      </c>
      <c r="H25289">
        <v>12165551</v>
      </c>
      <c r="I25289">
        <v>24183551</v>
      </c>
      <c r="J25289">
        <v>4</v>
      </c>
    </row>
    <row r="25290" spans="1:10" x14ac:dyDescent="0.25">
      <c r="A25290" t="s">
        <v>275</v>
      </c>
      <c r="B25290" s="1" t="str">
        <f>HYPERLINK("http://nespresso.com.mt","nespresso.com.mt")</f>
        <v>nespresso.com.mt</v>
      </c>
      <c r="C25290" t="s">
        <v>597</v>
      </c>
      <c r="D25290" t="s">
        <v>932</v>
      </c>
      <c r="F25290">
        <v>7.2315086270338799E-9</v>
      </c>
      <c r="G25290">
        <v>11653250</v>
      </c>
      <c r="H25290">
        <v>12211451</v>
      </c>
      <c r="I25290">
        <v>22991281</v>
      </c>
      <c r="J25290">
        <v>4</v>
      </c>
    </row>
    <row r="25291" spans="1:10" x14ac:dyDescent="0.25">
      <c r="A25291" t="s">
        <v>275</v>
      </c>
      <c r="B25291" s="1" t="str">
        <f>HYPERLINK("http://nestle.com.mt","nestle.com.mt")</f>
        <v>nestle.com.mt</v>
      </c>
      <c r="C25291" t="s">
        <v>597</v>
      </c>
      <c r="D25291" t="s">
        <v>932</v>
      </c>
      <c r="F25291">
        <v>4.8213502711151E-8</v>
      </c>
      <c r="G25291">
        <v>963670</v>
      </c>
      <c r="H25291">
        <v>13005854</v>
      </c>
      <c r="I25291">
        <v>12768902</v>
      </c>
      <c r="J25291">
        <v>2</v>
      </c>
    </row>
    <row r="25292" spans="1:10" x14ac:dyDescent="0.25">
      <c r="A25292" t="s">
        <v>275</v>
      </c>
      <c r="B25292" s="1" t="str">
        <f>HYPERLINK("http://agua-stamaria.com.mx","agua-stamaria.com.mx")</f>
        <v>agua-stamaria.com.mx</v>
      </c>
      <c r="C25292" t="s">
        <v>471</v>
      </c>
      <c r="D25292" t="s">
        <v>847</v>
      </c>
      <c r="F25292">
        <v>5.2058309055814503E-9</v>
      </c>
      <c r="G25292">
        <v>24999334</v>
      </c>
      <c r="H25292">
        <v>12156543</v>
      </c>
      <c r="I25292">
        <v>24454761</v>
      </c>
      <c r="J25292">
        <v>3</v>
      </c>
    </row>
    <row r="25293" spans="1:10" x14ac:dyDescent="0.25">
      <c r="A25293" t="s">
        <v>275</v>
      </c>
      <c r="B25293" s="1" t="str">
        <f>HYPERLINK("http://dolce-gusto.com.mx","dolce-gusto.com.mx")</f>
        <v>dolce-gusto.com.mx</v>
      </c>
      <c r="C25293" t="s">
        <v>471</v>
      </c>
      <c r="D25293" t="s">
        <v>847</v>
      </c>
      <c r="E25293">
        <v>745069</v>
      </c>
      <c r="F25293">
        <v>2.43280995405903E-8</v>
      </c>
      <c r="G25293">
        <v>2131102</v>
      </c>
      <c r="H25293">
        <v>13366996</v>
      </c>
      <c r="I25293">
        <v>10479193</v>
      </c>
      <c r="J25293">
        <v>4</v>
      </c>
    </row>
    <row r="25294" spans="1:10" x14ac:dyDescent="0.25">
      <c r="A25294" t="s">
        <v>275</v>
      </c>
      <c r="B25294" s="1" t="str">
        <f>HYPERLINK("http://nestle.com.mx","nestle.com.mx")</f>
        <v>nestle.com.mx</v>
      </c>
      <c r="C25294" t="s">
        <v>471</v>
      </c>
      <c r="D25294" t="s">
        <v>847</v>
      </c>
      <c r="E25294">
        <v>673349</v>
      </c>
      <c r="F25294">
        <v>9.6178114020924698E-8</v>
      </c>
      <c r="G25294">
        <v>420658</v>
      </c>
      <c r="H25294">
        <v>14621961</v>
      </c>
      <c r="I25294">
        <v>655934</v>
      </c>
      <c r="J25294">
        <v>2</v>
      </c>
    </row>
    <row r="25295" spans="1:10" x14ac:dyDescent="0.25">
      <c r="A25295" t="s">
        <v>275</v>
      </c>
      <c r="B25295" s="1" t="str">
        <f>HYPERLINK("http://purina.com.mx","purina.com.mx")</f>
        <v>purina.com.mx</v>
      </c>
      <c r="C25295" t="s">
        <v>471</v>
      </c>
      <c r="D25295" t="s">
        <v>847</v>
      </c>
      <c r="F25295">
        <v>1.1149672406544299E-8</v>
      </c>
      <c r="G25295">
        <v>5749551</v>
      </c>
      <c r="H25295">
        <v>13881451</v>
      </c>
      <c r="I25295">
        <v>5978909</v>
      </c>
      <c r="J25295">
        <v>3</v>
      </c>
    </row>
    <row r="25296" spans="1:10" x14ac:dyDescent="0.25">
      <c r="A25296" t="s">
        <v>275</v>
      </c>
      <c r="B25296" s="1" t="str">
        <f>HYPERLINK("http://dolce-gusto.com.my","dolce-gusto.com.my")</f>
        <v>dolce-gusto.com.my</v>
      </c>
      <c r="C25296" t="s">
        <v>472</v>
      </c>
      <c r="D25296" t="s">
        <v>848</v>
      </c>
      <c r="F25296">
        <v>1.74086392830438E-8</v>
      </c>
      <c r="G25296">
        <v>3171154</v>
      </c>
      <c r="H25296">
        <v>13764011</v>
      </c>
      <c r="I25296">
        <v>7430876</v>
      </c>
      <c r="J25296">
        <v>4</v>
      </c>
    </row>
    <row r="25297" spans="1:10" x14ac:dyDescent="0.25">
      <c r="A25297" t="s">
        <v>275</v>
      </c>
      <c r="B25297" s="1" t="str">
        <f>HYPERLINK("http://maggi.com.my","maggi.com.my")</f>
        <v>maggi.com.my</v>
      </c>
      <c r="C25297" t="s">
        <v>472</v>
      </c>
      <c r="D25297" t="s">
        <v>848</v>
      </c>
      <c r="F25297">
        <v>2.4370321963583601E-8</v>
      </c>
      <c r="G25297">
        <v>2126900</v>
      </c>
      <c r="H25297">
        <v>14808331</v>
      </c>
      <c r="I25297">
        <v>540520</v>
      </c>
      <c r="J25297">
        <v>3</v>
      </c>
    </row>
    <row r="25298" spans="1:10" x14ac:dyDescent="0.25">
      <c r="A25298" t="s">
        <v>275</v>
      </c>
      <c r="B25298" s="1" t="str">
        <f>HYPERLINK("http://nestle.com.my","nestle.com.my")</f>
        <v>nestle.com.my</v>
      </c>
      <c r="C25298" t="s">
        <v>472</v>
      </c>
      <c r="D25298" t="s">
        <v>848</v>
      </c>
      <c r="E25298">
        <v>484933</v>
      </c>
      <c r="F25298">
        <v>3.09790091173787E-7</v>
      </c>
      <c r="G25298">
        <v>120057</v>
      </c>
      <c r="H25298">
        <v>14825054</v>
      </c>
      <c r="I25298">
        <v>511594</v>
      </c>
      <c r="J25298">
        <v>2</v>
      </c>
    </row>
    <row r="25299" spans="1:10" x14ac:dyDescent="0.25">
      <c r="A25299" t="s">
        <v>275</v>
      </c>
      <c r="B25299" s="1" t="str">
        <f>HYPERLINK("http://nestlehealthscience.my","nestlehealthscience.my")</f>
        <v>nestlehealthscience.my</v>
      </c>
      <c r="C25299" t="s">
        <v>472</v>
      </c>
      <c r="D25299" t="s">
        <v>848</v>
      </c>
      <c r="F25299">
        <v>2.3302828416115498E-8</v>
      </c>
      <c r="G25299">
        <v>2238616</v>
      </c>
      <c r="H25299">
        <v>12492799</v>
      </c>
      <c r="I25299">
        <v>17455563</v>
      </c>
      <c r="J25299">
        <v>6</v>
      </c>
    </row>
    <row r="25300" spans="1:10" x14ac:dyDescent="0.25">
      <c r="A25300" t="s">
        <v>275</v>
      </c>
      <c r="B25300" s="1" t="str">
        <f>HYPERLINK("http://nespresso.nc","nespresso.nc")</f>
        <v>nespresso.nc</v>
      </c>
      <c r="C25300" t="s">
        <v>724</v>
      </c>
      <c r="D25300" t="s">
        <v>1008</v>
      </c>
      <c r="F25300">
        <v>5.54824858931921E-9</v>
      </c>
      <c r="G25300">
        <v>20395146</v>
      </c>
      <c r="H25300">
        <v>10471416</v>
      </c>
      <c r="I25300">
        <v>51252204</v>
      </c>
      <c r="J25300">
        <v>4</v>
      </c>
    </row>
    <row r="25301" spans="1:10" x14ac:dyDescent="0.25">
      <c r="A25301" t="s">
        <v>275</v>
      </c>
      <c r="B25301" s="1" t="str">
        <f>HYPERLINK("http://classoft.net","classoft.net")</f>
        <v>classoft.net</v>
      </c>
      <c r="C25301" t="s">
        <v>474</v>
      </c>
      <c r="J25301">
        <v>3</v>
      </c>
    </row>
    <row r="25302" spans="1:10" x14ac:dyDescent="0.25">
      <c r="A25302" t="s">
        <v>275</v>
      </c>
      <c r="B25302" s="1" t="str">
        <f>HYPERLINK("http://genmills.net","genmills.net")</f>
        <v>genmills.net</v>
      </c>
      <c r="C25302" t="s">
        <v>474</v>
      </c>
      <c r="J25302">
        <v>5</v>
      </c>
    </row>
    <row r="25303" spans="1:10" x14ac:dyDescent="0.25">
      <c r="A25303" t="s">
        <v>275</v>
      </c>
      <c r="B25303" s="1" t="str">
        <f>HYPERLINK("http://nestle.net","nestle.net")</f>
        <v>nestle.net</v>
      </c>
      <c r="C25303" t="s">
        <v>474</v>
      </c>
      <c r="F25303">
        <v>4.4756386500326203E-9</v>
      </c>
      <c r="G25303">
        <v>63275018</v>
      </c>
      <c r="H25303">
        <v>11964215</v>
      </c>
      <c r="I25303">
        <v>28813695</v>
      </c>
      <c r="J25303">
        <v>3</v>
      </c>
    </row>
    <row r="25304" spans="1:10" x14ac:dyDescent="0.25">
      <c r="A25304" t="s">
        <v>275</v>
      </c>
      <c r="B25304" s="1" t="str">
        <f>HYPERLINK("http://dolce-gusto.nl","dolce-gusto.nl")</f>
        <v>dolce-gusto.nl</v>
      </c>
      <c r="C25304" t="s">
        <v>477</v>
      </c>
      <c r="D25304" t="s">
        <v>852</v>
      </c>
      <c r="F25304">
        <v>3.3021088372080203E-8</v>
      </c>
      <c r="G25304">
        <v>1564494</v>
      </c>
      <c r="H25304">
        <v>12615174</v>
      </c>
      <c r="I25304">
        <v>16139721</v>
      </c>
      <c r="J25304">
        <v>3</v>
      </c>
    </row>
    <row r="25305" spans="1:10" x14ac:dyDescent="0.25">
      <c r="A25305" t="s">
        <v>275</v>
      </c>
      <c r="B25305" s="1" t="str">
        <f>HYPERLINK("http://froneri.nl","froneri.nl")</f>
        <v>froneri.nl</v>
      </c>
      <c r="C25305" t="s">
        <v>477</v>
      </c>
      <c r="D25305" t="s">
        <v>852</v>
      </c>
      <c r="F25305">
        <v>4.8450029735279604E-9</v>
      </c>
      <c r="G25305">
        <v>34308710</v>
      </c>
      <c r="H25305">
        <v>10363190</v>
      </c>
      <c r="I25305">
        <v>55076389</v>
      </c>
      <c r="J25305">
        <v>4</v>
      </c>
    </row>
    <row r="25306" spans="1:10" x14ac:dyDescent="0.25">
      <c r="A25306" t="s">
        <v>275</v>
      </c>
      <c r="B25306" s="1" t="str">
        <f>HYPERLINK("http://maggi.nl","maggi.nl")</f>
        <v>maggi.nl</v>
      </c>
      <c r="C25306" t="s">
        <v>477</v>
      </c>
      <c r="D25306" t="s">
        <v>852</v>
      </c>
      <c r="F25306">
        <v>1.95593178481729E-8</v>
      </c>
      <c r="G25306">
        <v>2734937</v>
      </c>
      <c r="H25306">
        <v>13779979</v>
      </c>
      <c r="I25306">
        <v>6479951</v>
      </c>
      <c r="J25306">
        <v>3</v>
      </c>
    </row>
    <row r="25307" spans="1:10" x14ac:dyDescent="0.25">
      <c r="A25307" t="s">
        <v>275</v>
      </c>
      <c r="B25307" s="1" t="str">
        <f>HYPERLINK("http://mcohealth.nl","mcohealth.nl")</f>
        <v>mcohealth.nl</v>
      </c>
      <c r="C25307" t="s">
        <v>477</v>
      </c>
      <c r="D25307" t="s">
        <v>852</v>
      </c>
      <c r="F25307">
        <v>5.1489080748200497E-9</v>
      </c>
      <c r="G25307">
        <v>26103915</v>
      </c>
      <c r="H25307">
        <v>10512941</v>
      </c>
      <c r="I25307">
        <v>49374031</v>
      </c>
      <c r="J25307">
        <v>3</v>
      </c>
    </row>
    <row r="25308" spans="1:10" x14ac:dyDescent="0.25">
      <c r="A25308" t="s">
        <v>275</v>
      </c>
      <c r="B25308" s="1" t="str">
        <f>HYPERLINK("http://nespresso.nl","nespresso.nl")</f>
        <v>nespresso.nl</v>
      </c>
      <c r="C25308" t="s">
        <v>477</v>
      </c>
      <c r="D25308" t="s">
        <v>852</v>
      </c>
      <c r="F25308">
        <v>1.62987704494963E-8</v>
      </c>
      <c r="G25308">
        <v>3470989</v>
      </c>
      <c r="H25308">
        <v>13023811</v>
      </c>
      <c r="I25308">
        <v>12699070</v>
      </c>
      <c r="J25308">
        <v>4</v>
      </c>
    </row>
    <row r="25309" spans="1:10" x14ac:dyDescent="0.25">
      <c r="A25309" t="s">
        <v>275</v>
      </c>
      <c r="B25309" s="1" t="str">
        <f>HYPERLINK("http://nestle.nl","nestle.nl")</f>
        <v>nestle.nl</v>
      </c>
      <c r="C25309" t="s">
        <v>477</v>
      </c>
      <c r="D25309" t="s">
        <v>852</v>
      </c>
      <c r="F25309">
        <v>9.9682990748260406E-8</v>
      </c>
      <c r="G25309">
        <v>403883</v>
      </c>
      <c r="H25309">
        <v>14374461</v>
      </c>
      <c r="I25309">
        <v>1239878</v>
      </c>
      <c r="J25309">
        <v>2</v>
      </c>
    </row>
    <row r="25310" spans="1:10" x14ac:dyDescent="0.25">
      <c r="A25310" t="s">
        <v>275</v>
      </c>
      <c r="B25310" s="1" t="str">
        <f>HYPERLINK("http://nestlehealthscience.nl","nestlehealthscience.nl")</f>
        <v>nestlehealthscience.nl</v>
      </c>
      <c r="C25310" t="s">
        <v>477</v>
      </c>
      <c r="D25310" t="s">
        <v>852</v>
      </c>
      <c r="F25310">
        <v>1.0017337744316899E-8</v>
      </c>
      <c r="G25310">
        <v>6738596</v>
      </c>
      <c r="H25310">
        <v>12233561</v>
      </c>
      <c r="I25310">
        <v>22412611</v>
      </c>
      <c r="J25310">
        <v>6</v>
      </c>
    </row>
    <row r="25311" spans="1:10" x14ac:dyDescent="0.25">
      <c r="A25311" t="s">
        <v>275</v>
      </c>
      <c r="B25311" s="1" t="str">
        <f>HYPERLINK("http://original-wagner.nl","original-wagner.nl")</f>
        <v>original-wagner.nl</v>
      </c>
      <c r="C25311" t="s">
        <v>477</v>
      </c>
      <c r="D25311" t="s">
        <v>852</v>
      </c>
      <c r="F25311">
        <v>5.4609591845379499E-9</v>
      </c>
      <c r="G25311">
        <v>21349311</v>
      </c>
      <c r="H25311">
        <v>12247668</v>
      </c>
      <c r="I25311">
        <v>22059440</v>
      </c>
      <c r="J25311">
        <v>4</v>
      </c>
    </row>
    <row r="25312" spans="1:10" x14ac:dyDescent="0.25">
      <c r="A25312" t="s">
        <v>275</v>
      </c>
      <c r="B25312" s="1" t="str">
        <f>HYPERLINK("http://purina.nl","purina.nl")</f>
        <v>purina.nl</v>
      </c>
      <c r="C25312" t="s">
        <v>477</v>
      </c>
      <c r="D25312" t="s">
        <v>852</v>
      </c>
      <c r="F25312">
        <v>6.6582622208964206E-8</v>
      </c>
      <c r="G25312">
        <v>643293</v>
      </c>
      <c r="H25312">
        <v>14376925</v>
      </c>
      <c r="I25312">
        <v>1213731</v>
      </c>
      <c r="J25312">
        <v>5</v>
      </c>
    </row>
    <row r="25313" spans="1:10" x14ac:dyDescent="0.25">
      <c r="A25313" t="s">
        <v>275</v>
      </c>
      <c r="B25313" s="1" t="str">
        <f>HYPERLINK("http://vitalproteins.nl","vitalproteins.nl")</f>
        <v>vitalproteins.nl</v>
      </c>
      <c r="C25313" t="s">
        <v>477</v>
      </c>
      <c r="D25313" t="s">
        <v>852</v>
      </c>
      <c r="F25313">
        <v>5.7679124929960799E-9</v>
      </c>
      <c r="G25313">
        <v>18343184</v>
      </c>
      <c r="H25313">
        <v>12309941</v>
      </c>
      <c r="I25313">
        <v>20620355</v>
      </c>
      <c r="J25313">
        <v>5</v>
      </c>
    </row>
    <row r="25314" spans="1:10" x14ac:dyDescent="0.25">
      <c r="A25314" t="s">
        <v>275</v>
      </c>
      <c r="B25314" s="1" t="str">
        <f>HYPERLINK("http://dolce-gusto.no","dolce-gusto.no")</f>
        <v>dolce-gusto.no</v>
      </c>
      <c r="C25314" t="s">
        <v>478</v>
      </c>
      <c r="D25314" t="s">
        <v>853</v>
      </c>
      <c r="F25314">
        <v>1.6473100801408401E-8</v>
      </c>
      <c r="G25314">
        <v>3420499</v>
      </c>
      <c r="H25314">
        <v>13763826</v>
      </c>
      <c r="I25314">
        <v>7580787</v>
      </c>
      <c r="J25314">
        <v>4</v>
      </c>
    </row>
    <row r="25315" spans="1:10" x14ac:dyDescent="0.25">
      <c r="A25315" t="s">
        <v>275</v>
      </c>
      <c r="B25315" s="1" t="str">
        <f>HYPERLINK("http://halsanskok.no","halsanskok.no")</f>
        <v>halsanskok.no</v>
      </c>
      <c r="C25315" t="s">
        <v>478</v>
      </c>
      <c r="D25315" t="s">
        <v>853</v>
      </c>
      <c r="F25315">
        <v>1.08353793972022E-8</v>
      </c>
      <c r="G25315">
        <v>5992161</v>
      </c>
      <c r="H25315">
        <v>11248631</v>
      </c>
      <c r="I25315">
        <v>30906456</v>
      </c>
      <c r="J25315">
        <v>5</v>
      </c>
    </row>
    <row r="25316" spans="1:10" x14ac:dyDescent="0.25">
      <c r="A25316" t="s">
        <v>275</v>
      </c>
      <c r="B25316" s="1" t="str">
        <f>HYPERLINK("http://nespresso.no","nespresso.no")</f>
        <v>nespresso.no</v>
      </c>
      <c r="C25316" t="s">
        <v>478</v>
      </c>
      <c r="D25316" t="s">
        <v>853</v>
      </c>
      <c r="F25316">
        <v>1.4930430479123201E-8</v>
      </c>
      <c r="G25316">
        <v>3862582</v>
      </c>
      <c r="H25316">
        <v>14236385</v>
      </c>
      <c r="I25316">
        <v>1590037</v>
      </c>
      <c r="J25316">
        <v>4</v>
      </c>
    </row>
    <row r="25317" spans="1:10" x14ac:dyDescent="0.25">
      <c r="A25317" t="s">
        <v>275</v>
      </c>
      <c r="B25317" s="1" t="str">
        <f>HYPERLINK("http://nestle.no","nestle.no")</f>
        <v>nestle.no</v>
      </c>
      <c r="C25317" t="s">
        <v>478</v>
      </c>
      <c r="D25317" t="s">
        <v>853</v>
      </c>
      <c r="F25317">
        <v>4.9986351089404497E-8</v>
      </c>
      <c r="G25317">
        <v>921651</v>
      </c>
      <c r="H25317">
        <v>14237129</v>
      </c>
      <c r="I25317">
        <v>1559091</v>
      </c>
      <c r="J25317">
        <v>2</v>
      </c>
    </row>
    <row r="25318" spans="1:10" x14ac:dyDescent="0.25">
      <c r="A25318" t="s">
        <v>275</v>
      </c>
      <c r="B25318" s="1" t="str">
        <f>HYPERLINK("http://nestlehealthscience.no","nestlehealthscience.no")</f>
        <v>nestlehealthscience.no</v>
      </c>
      <c r="C25318" t="s">
        <v>478</v>
      </c>
      <c r="D25318" t="s">
        <v>853</v>
      </c>
      <c r="F25318">
        <v>7.9567113649075296E-9</v>
      </c>
      <c r="G25318">
        <v>10001090</v>
      </c>
      <c r="H25318">
        <v>10796001</v>
      </c>
      <c r="I25318">
        <v>38277913</v>
      </c>
      <c r="J25318">
        <v>6</v>
      </c>
    </row>
    <row r="25319" spans="1:10" x14ac:dyDescent="0.25">
      <c r="A25319" t="s">
        <v>275</v>
      </c>
      <c r="B25319" s="1" t="str">
        <f>HYPERLINK("http://nestlenan.no","nestlenan.no")</f>
        <v>nestlenan.no</v>
      </c>
      <c r="C25319" t="s">
        <v>478</v>
      </c>
      <c r="D25319" t="s">
        <v>853</v>
      </c>
      <c r="F25319">
        <v>6.2909723864940301E-9</v>
      </c>
      <c r="G25319">
        <v>15074982</v>
      </c>
      <c r="H25319">
        <v>8112411.5</v>
      </c>
      <c r="I25319">
        <v>74994045</v>
      </c>
      <c r="J25319">
        <v>5</v>
      </c>
    </row>
    <row r="25320" spans="1:10" x14ac:dyDescent="0.25">
      <c r="A25320" t="s">
        <v>275</v>
      </c>
      <c r="B25320" s="1" t="str">
        <f>HYPERLINK("http://purina.no","purina.no")</f>
        <v>purina.no</v>
      </c>
      <c r="C25320" t="s">
        <v>478</v>
      </c>
      <c r="D25320" t="s">
        <v>853</v>
      </c>
      <c r="F25320">
        <v>1.71011810869886E-8</v>
      </c>
      <c r="G25320">
        <v>3260501</v>
      </c>
      <c r="H25320">
        <v>12918044</v>
      </c>
      <c r="I25320">
        <v>13501030</v>
      </c>
      <c r="J25320">
        <v>4</v>
      </c>
    </row>
    <row r="25321" spans="1:10" x14ac:dyDescent="0.25">
      <c r="A25321" t="s">
        <v>275</v>
      </c>
      <c r="B25321" s="1" t="str">
        <f>HYPERLINK("http://dolce-gusto.co.nz","dolce-gusto.co.nz")</f>
        <v>dolce-gusto.co.nz</v>
      </c>
      <c r="C25321" t="s">
        <v>479</v>
      </c>
      <c r="D25321" t="s">
        <v>854</v>
      </c>
      <c r="F25321">
        <v>1.09526510452893E-8</v>
      </c>
      <c r="G25321">
        <v>5901386</v>
      </c>
      <c r="H25321">
        <v>12296084</v>
      </c>
      <c r="I25321">
        <v>20941807</v>
      </c>
      <c r="J25321">
        <v>4</v>
      </c>
    </row>
    <row r="25322" spans="1:10" x14ac:dyDescent="0.25">
      <c r="A25322" t="s">
        <v>275</v>
      </c>
      <c r="B25322" s="1" t="str">
        <f>HYPERLINK("http://maggi.co.nz","maggi.co.nz")</f>
        <v>maggi.co.nz</v>
      </c>
      <c r="C25322" t="s">
        <v>479</v>
      </c>
      <c r="D25322" t="s">
        <v>854</v>
      </c>
      <c r="F25322">
        <v>1.7355897896309301E-8</v>
      </c>
      <c r="G25322">
        <v>3185616</v>
      </c>
      <c r="H25322">
        <v>14284054</v>
      </c>
      <c r="I25322">
        <v>1374035</v>
      </c>
      <c r="J25322">
        <v>3</v>
      </c>
    </row>
    <row r="25323" spans="1:10" x14ac:dyDescent="0.25">
      <c r="A25323" t="s">
        <v>275</v>
      </c>
      <c r="B25323" s="1" t="str">
        <f>HYPERLINK("http://nestle.co.nz","nestle.co.nz")</f>
        <v>nestle.co.nz</v>
      </c>
      <c r="C25323" t="s">
        <v>479</v>
      </c>
      <c r="D25323" t="s">
        <v>854</v>
      </c>
      <c r="F25323">
        <v>5.5834136638873799E-8</v>
      </c>
      <c r="G25323">
        <v>802733</v>
      </c>
      <c r="H25323">
        <v>14577744</v>
      </c>
      <c r="I25323">
        <v>716999</v>
      </c>
      <c r="J25323">
        <v>2</v>
      </c>
    </row>
    <row r="25324" spans="1:10" x14ac:dyDescent="0.25">
      <c r="A25324" t="s">
        <v>275</v>
      </c>
      <c r="B25324" s="1" t="str">
        <f>HYPERLINK("http://purina.co.nz","purina.co.nz")</f>
        <v>purina.co.nz</v>
      </c>
      <c r="C25324" t="s">
        <v>479</v>
      </c>
      <c r="D25324" t="s">
        <v>854</v>
      </c>
      <c r="E25324">
        <v>569249</v>
      </c>
      <c r="F25324">
        <v>3.77203754887807E-8</v>
      </c>
      <c r="G25324">
        <v>1371884</v>
      </c>
      <c r="H25324">
        <v>13779051</v>
      </c>
      <c r="I25324">
        <v>6493597</v>
      </c>
      <c r="J25324">
        <v>4</v>
      </c>
    </row>
    <row r="25325" spans="1:10" x14ac:dyDescent="0.25">
      <c r="A25325" t="s">
        <v>275</v>
      </c>
      <c r="B25325" s="1" t="str">
        <f>HYPERLINK("http://tiptop.co.nz","tiptop.co.nz")</f>
        <v>tiptop.co.nz</v>
      </c>
      <c r="C25325" t="s">
        <v>479</v>
      </c>
      <c r="D25325" t="s">
        <v>854</v>
      </c>
      <c r="F25325">
        <v>4.1636317059071603E-8</v>
      </c>
      <c r="G25325">
        <v>1190459</v>
      </c>
      <c r="H25325">
        <v>14231505</v>
      </c>
      <c r="I25325">
        <v>1672998</v>
      </c>
      <c r="J25325">
        <v>4</v>
      </c>
    </row>
    <row r="25326" spans="1:10" x14ac:dyDescent="0.25">
      <c r="A25326" t="s">
        <v>275</v>
      </c>
      <c r="B25326" s="1" t="str">
        <f>HYPERLINK("http://nespresso.com.pa","nespresso.com.pa")</f>
        <v>nespresso.com.pa</v>
      </c>
      <c r="C25326" t="s">
        <v>482</v>
      </c>
      <c r="D25326" t="s">
        <v>856</v>
      </c>
      <c r="F25326">
        <v>4.9276406748849801E-9</v>
      </c>
      <c r="G25326">
        <v>31449916</v>
      </c>
      <c r="H25326">
        <v>10630861</v>
      </c>
      <c r="I25326">
        <v>43962143</v>
      </c>
      <c r="J25326">
        <v>4</v>
      </c>
    </row>
    <row r="25327" spans="1:10" x14ac:dyDescent="0.25">
      <c r="A25327" t="s">
        <v>275</v>
      </c>
      <c r="B25327" s="1" t="str">
        <f>HYPERLINK("http://nestle.com.pe","nestle.com.pe")</f>
        <v>nestle.com.pe</v>
      </c>
      <c r="C25327" t="s">
        <v>483</v>
      </c>
      <c r="D25327" t="s">
        <v>857</v>
      </c>
      <c r="F25327">
        <v>6.1504607484136594E-8</v>
      </c>
      <c r="G25327">
        <v>715510</v>
      </c>
      <c r="H25327">
        <v>14272688</v>
      </c>
      <c r="I25327">
        <v>1394872</v>
      </c>
      <c r="J25327">
        <v>2</v>
      </c>
    </row>
    <row r="25328" spans="1:10" x14ac:dyDescent="0.25">
      <c r="A25328" t="s">
        <v>275</v>
      </c>
      <c r="B25328" s="1" t="str">
        <f>HYPERLINK("http://dolce-gusto.pe","dolce-gusto.pe")</f>
        <v>dolce-gusto.pe</v>
      </c>
      <c r="C25328" t="s">
        <v>483</v>
      </c>
      <c r="D25328" t="s">
        <v>857</v>
      </c>
      <c r="F25328">
        <v>1.68656290561102E-8</v>
      </c>
      <c r="G25328">
        <v>3317613</v>
      </c>
      <c r="H25328">
        <v>12075738</v>
      </c>
      <c r="I25328">
        <v>26668827</v>
      </c>
      <c r="J25328">
        <v>4</v>
      </c>
    </row>
    <row r="25329" spans="1:10" x14ac:dyDescent="0.25">
      <c r="A25329" t="s">
        <v>275</v>
      </c>
      <c r="B25329" s="1" t="str">
        <f>HYPERLINK("http://maggi.pe","maggi.pe")</f>
        <v>maggi.pe</v>
      </c>
      <c r="C25329" t="s">
        <v>483</v>
      </c>
      <c r="D25329" t="s">
        <v>857</v>
      </c>
      <c r="F25329">
        <v>4.4440958384372003E-9</v>
      </c>
      <c r="G25329">
        <v>77531517</v>
      </c>
      <c r="H25329">
        <v>10466176</v>
      </c>
      <c r="I25329">
        <v>51427294</v>
      </c>
      <c r="J25329">
        <v>3</v>
      </c>
    </row>
    <row r="25330" spans="1:10" x14ac:dyDescent="0.25">
      <c r="A25330" t="s">
        <v>275</v>
      </c>
      <c r="B25330" s="1" t="str">
        <f>HYPERLINK("http://nespresso.pf","nespresso.pf")</f>
        <v>nespresso.pf</v>
      </c>
      <c r="C25330" t="s">
        <v>550</v>
      </c>
      <c r="D25330" t="s">
        <v>906</v>
      </c>
      <c r="F25330">
        <v>5.5793446638232002E-9</v>
      </c>
      <c r="G25330">
        <v>20061788</v>
      </c>
      <c r="H25330">
        <v>9451502</v>
      </c>
      <c r="I25330">
        <v>66497399</v>
      </c>
      <c r="J25330">
        <v>4</v>
      </c>
    </row>
    <row r="25331" spans="1:10" x14ac:dyDescent="0.25">
      <c r="A25331" t="s">
        <v>275</v>
      </c>
      <c r="B25331" s="1" t="str">
        <f>HYPERLINK("http://dolce-gusto.com.ph","dolce-gusto.com.ph")</f>
        <v>dolce-gusto.com.ph</v>
      </c>
      <c r="C25331" t="s">
        <v>484</v>
      </c>
      <c r="D25331" t="s">
        <v>858</v>
      </c>
      <c r="F25331">
        <v>1.63973557395765E-8</v>
      </c>
      <c r="G25331">
        <v>3446806</v>
      </c>
      <c r="H25331">
        <v>12218476</v>
      </c>
      <c r="I25331">
        <v>22821783</v>
      </c>
      <c r="J25331">
        <v>4</v>
      </c>
    </row>
    <row r="25332" spans="1:10" x14ac:dyDescent="0.25">
      <c r="A25332" t="s">
        <v>275</v>
      </c>
      <c r="B25332" s="1" t="str">
        <f>HYPERLINK("http://nestle.com.ph","nestle.com.ph")</f>
        <v>nestle.com.ph</v>
      </c>
      <c r="C25332" t="s">
        <v>484</v>
      </c>
      <c r="D25332" t="s">
        <v>858</v>
      </c>
      <c r="E25332">
        <v>317422</v>
      </c>
      <c r="F25332">
        <v>9.0457734582034299E-8</v>
      </c>
      <c r="G25332">
        <v>450981</v>
      </c>
      <c r="H25332">
        <v>14610754</v>
      </c>
      <c r="I25332">
        <v>676950</v>
      </c>
      <c r="J25332">
        <v>2</v>
      </c>
    </row>
    <row r="25333" spans="1:10" x14ac:dyDescent="0.25">
      <c r="A25333" t="s">
        <v>275</v>
      </c>
      <c r="B25333" s="1" t="str">
        <f>HYPERLINK("http://froneri.ph","froneri.ph")</f>
        <v>froneri.ph</v>
      </c>
      <c r="C25333" t="s">
        <v>484</v>
      </c>
      <c r="D25333" t="s">
        <v>858</v>
      </c>
      <c r="F25333">
        <v>1.2983613504631799E-8</v>
      </c>
      <c r="G25333">
        <v>4639394</v>
      </c>
      <c r="H25333">
        <v>12226637</v>
      </c>
      <c r="I25333">
        <v>22609146</v>
      </c>
      <c r="J25333">
        <v>4</v>
      </c>
    </row>
    <row r="25334" spans="1:10" x14ac:dyDescent="0.25">
      <c r="A25334" t="s">
        <v>275</v>
      </c>
      <c r="B25334" s="1" t="str">
        <f>HYPERLINK("http://maggi.ph","maggi.ph")</f>
        <v>maggi.ph</v>
      </c>
      <c r="C25334" t="s">
        <v>484</v>
      </c>
      <c r="D25334" t="s">
        <v>858</v>
      </c>
      <c r="F25334">
        <v>2.5228436523420201E-8</v>
      </c>
      <c r="G25334">
        <v>2046521</v>
      </c>
      <c r="H25334">
        <v>14320448</v>
      </c>
      <c r="I25334">
        <v>1331676</v>
      </c>
      <c r="J25334">
        <v>3</v>
      </c>
    </row>
    <row r="25335" spans="1:10" x14ac:dyDescent="0.25">
      <c r="A25335" t="s">
        <v>275</v>
      </c>
      <c r="B25335" s="1" t="str">
        <f>HYPERLINK("http://nespresso.ph","nespresso.ph")</f>
        <v>nespresso.ph</v>
      </c>
      <c r="C25335" t="s">
        <v>484</v>
      </c>
      <c r="D25335" t="s">
        <v>858</v>
      </c>
      <c r="F25335">
        <v>9.0578360687283706E-9</v>
      </c>
      <c r="G25335">
        <v>7906775</v>
      </c>
      <c r="H25335">
        <v>12438573</v>
      </c>
      <c r="I25335">
        <v>18161762</v>
      </c>
      <c r="J25335">
        <v>4</v>
      </c>
    </row>
    <row r="25336" spans="1:10" x14ac:dyDescent="0.25">
      <c r="A25336" t="s">
        <v>275</v>
      </c>
      <c r="B25336" s="1" t="str">
        <f>HYPERLINK("http://nestlehealthscience.ph","nestlehealthscience.ph")</f>
        <v>nestlehealthscience.ph</v>
      </c>
      <c r="C25336" t="s">
        <v>484</v>
      </c>
      <c r="D25336" t="s">
        <v>858</v>
      </c>
      <c r="F25336">
        <v>5.5909829286980898E-9</v>
      </c>
      <c r="G25336">
        <v>19944081</v>
      </c>
      <c r="H25336">
        <v>12282340</v>
      </c>
      <c r="I25336">
        <v>21260964</v>
      </c>
      <c r="J25336">
        <v>6</v>
      </c>
    </row>
    <row r="25337" spans="1:10" x14ac:dyDescent="0.25">
      <c r="A25337" t="s">
        <v>275</v>
      </c>
      <c r="B25337" s="1" t="str">
        <f>HYPERLINK("http://nestle.pk","nestle.pk")</f>
        <v>nestle.pk</v>
      </c>
      <c r="C25337" t="s">
        <v>485</v>
      </c>
      <c r="D25337" t="s">
        <v>859</v>
      </c>
      <c r="E25337">
        <v>659327</v>
      </c>
      <c r="F25337">
        <v>7.3216005112256605E-8</v>
      </c>
      <c r="G25337">
        <v>575806</v>
      </c>
      <c r="H25337">
        <v>14379420</v>
      </c>
      <c r="I25337">
        <v>1199194</v>
      </c>
      <c r="J25337">
        <v>2</v>
      </c>
    </row>
    <row r="25338" spans="1:10" x14ac:dyDescent="0.25">
      <c r="A25338" t="s">
        <v>275</v>
      </c>
      <c r="B25338" s="1" t="str">
        <f>HYPERLINK("http://darnatury.pl","darnatury.pl")</f>
        <v>darnatury.pl</v>
      </c>
      <c r="C25338" t="s">
        <v>486</v>
      </c>
      <c r="D25338" t="s">
        <v>860</v>
      </c>
      <c r="F25338">
        <v>1.38297978490531E-8</v>
      </c>
      <c r="G25338">
        <v>4268740</v>
      </c>
      <c r="H25338">
        <v>14072032</v>
      </c>
      <c r="I25338">
        <v>3182906</v>
      </c>
      <c r="J25338">
        <v>4</v>
      </c>
    </row>
    <row r="25339" spans="1:10" x14ac:dyDescent="0.25">
      <c r="A25339" t="s">
        <v>275</v>
      </c>
      <c r="B25339" s="1" t="str">
        <f>HYPERLINK("http://dolce-gusto.pl","dolce-gusto.pl")</f>
        <v>dolce-gusto.pl</v>
      </c>
      <c r="C25339" t="s">
        <v>486</v>
      </c>
      <c r="D25339" t="s">
        <v>860</v>
      </c>
      <c r="F25339">
        <v>2.21556493579813E-8</v>
      </c>
      <c r="G25339">
        <v>2367918</v>
      </c>
      <c r="H25339">
        <v>13765643</v>
      </c>
      <c r="I25339">
        <v>7081772</v>
      </c>
      <c r="J25339">
        <v>3</v>
      </c>
    </row>
    <row r="25340" spans="1:10" x14ac:dyDescent="0.25">
      <c r="A25340" t="s">
        <v>275</v>
      </c>
      <c r="B25340" s="1" t="str">
        <f>HYPERLINK("http://froneri.pl","froneri.pl")</f>
        <v>froneri.pl</v>
      </c>
      <c r="C25340" t="s">
        <v>486</v>
      </c>
      <c r="D25340" t="s">
        <v>860</v>
      </c>
      <c r="F25340">
        <v>1.9593394753719899E-8</v>
      </c>
      <c r="G25340">
        <v>2729126</v>
      </c>
      <c r="H25340">
        <v>13054883</v>
      </c>
      <c r="I25340">
        <v>12568684</v>
      </c>
      <c r="J25340">
        <v>4</v>
      </c>
    </row>
    <row r="25341" spans="1:10" x14ac:dyDescent="0.25">
      <c r="A25341" t="s">
        <v>275</v>
      </c>
      <c r="B25341" s="1" t="str">
        <f>HYPERLINK("http://nespresso.pl","nespresso.pl")</f>
        <v>nespresso.pl</v>
      </c>
      <c r="C25341" t="s">
        <v>486</v>
      </c>
      <c r="D25341" t="s">
        <v>860</v>
      </c>
      <c r="F25341">
        <v>1.3137604019757801E-8</v>
      </c>
      <c r="G25341">
        <v>4566705</v>
      </c>
      <c r="H25341">
        <v>12463426</v>
      </c>
      <c r="I25341">
        <v>17833664</v>
      </c>
      <c r="J25341">
        <v>4</v>
      </c>
    </row>
    <row r="25342" spans="1:10" x14ac:dyDescent="0.25">
      <c r="A25342" t="s">
        <v>275</v>
      </c>
      <c r="B25342" s="1" t="str">
        <f>HYPERLINK("http://nestle.pl","nestle.pl")</f>
        <v>nestle.pl</v>
      </c>
      <c r="C25342" t="s">
        <v>486</v>
      </c>
      <c r="D25342" t="s">
        <v>860</v>
      </c>
      <c r="F25342">
        <v>9.0043510494263397E-8</v>
      </c>
      <c r="G25342">
        <v>453222</v>
      </c>
      <c r="H25342">
        <v>14490713</v>
      </c>
      <c r="I25342">
        <v>909254</v>
      </c>
      <c r="J25342">
        <v>2</v>
      </c>
    </row>
    <row r="25343" spans="1:10" x14ac:dyDescent="0.25">
      <c r="A25343" t="s">
        <v>275</v>
      </c>
      <c r="B25343" s="1" t="str">
        <f>HYPERLINK("http://nestlehealthscience.pl","nestlehealthscience.pl")</f>
        <v>nestlehealthscience.pl</v>
      </c>
      <c r="C25343" t="s">
        <v>486</v>
      </c>
      <c r="D25343" t="s">
        <v>860</v>
      </c>
      <c r="F25343">
        <v>1.9981816429749601E-8</v>
      </c>
      <c r="G25343">
        <v>2662024</v>
      </c>
      <c r="H25343">
        <v>13397315</v>
      </c>
      <c r="I25343">
        <v>10373905</v>
      </c>
      <c r="J25343">
        <v>6</v>
      </c>
    </row>
    <row r="25344" spans="1:10" x14ac:dyDescent="0.25">
      <c r="A25344" t="s">
        <v>275</v>
      </c>
      <c r="B25344" s="1" t="str">
        <f>HYPERLINK("http://purina.pl","purina.pl")</f>
        <v>purina.pl</v>
      </c>
      <c r="C25344" t="s">
        <v>486</v>
      </c>
      <c r="D25344" t="s">
        <v>860</v>
      </c>
      <c r="F25344">
        <v>7.0843634363514703E-8</v>
      </c>
      <c r="G25344">
        <v>597217</v>
      </c>
      <c r="H25344">
        <v>13391286</v>
      </c>
      <c r="I25344">
        <v>10388755</v>
      </c>
      <c r="J25344">
        <v>5</v>
      </c>
    </row>
    <row r="25345" spans="1:10" x14ac:dyDescent="0.25">
      <c r="A25345" t="s">
        <v>275</v>
      </c>
      <c r="B25345" s="1" t="str">
        <f>HYPERLINK("http://winiary.pl","winiary.pl")</f>
        <v>winiary.pl</v>
      </c>
      <c r="C25345" t="s">
        <v>486</v>
      </c>
      <c r="D25345" t="s">
        <v>860</v>
      </c>
      <c r="E25345">
        <v>268957</v>
      </c>
      <c r="F25345">
        <v>5.7318449105958103E-8</v>
      </c>
      <c r="G25345">
        <v>778204</v>
      </c>
      <c r="H25345">
        <v>14911354</v>
      </c>
      <c r="I25345">
        <v>457135</v>
      </c>
      <c r="J25345">
        <v>3</v>
      </c>
    </row>
    <row r="25346" spans="1:10" x14ac:dyDescent="0.25">
      <c r="A25346" t="s">
        <v>275</v>
      </c>
      <c r="B25346" s="1" t="str">
        <f>HYPERLINK("http://dolce-gusto.pt","dolce-gusto.pt")</f>
        <v>dolce-gusto.pt</v>
      </c>
      <c r="C25346" t="s">
        <v>488</v>
      </c>
      <c r="D25346" t="s">
        <v>862</v>
      </c>
      <c r="F25346">
        <v>1.5833158628358201E-8</v>
      </c>
      <c r="G25346">
        <v>3590353</v>
      </c>
      <c r="H25346">
        <v>12869245</v>
      </c>
      <c r="I25346">
        <v>14082345</v>
      </c>
      <c r="J25346">
        <v>3</v>
      </c>
    </row>
    <row r="25347" spans="1:10" x14ac:dyDescent="0.25">
      <c r="A25347" t="s">
        <v>275</v>
      </c>
      <c r="B25347" s="1" t="str">
        <f>HYPERLINK("http://nestle.pt","nestle.pt")</f>
        <v>nestle.pt</v>
      </c>
      <c r="C25347" t="s">
        <v>488</v>
      </c>
      <c r="D25347" t="s">
        <v>862</v>
      </c>
      <c r="E25347">
        <v>537019</v>
      </c>
      <c r="F25347">
        <v>1.22969317489907E-7</v>
      </c>
      <c r="G25347">
        <v>320942</v>
      </c>
      <c r="H25347">
        <v>14816706</v>
      </c>
      <c r="I25347">
        <v>522607</v>
      </c>
      <c r="J25347">
        <v>2</v>
      </c>
    </row>
    <row r="25348" spans="1:10" x14ac:dyDescent="0.25">
      <c r="A25348" t="s">
        <v>275</v>
      </c>
      <c r="B25348" s="1" t="str">
        <f>HYPERLINK("http://nestlehealthscience.pt","nestlehealthscience.pt")</f>
        <v>nestlehealthscience.pt</v>
      </c>
      <c r="C25348" t="s">
        <v>488</v>
      </c>
      <c r="D25348" t="s">
        <v>862</v>
      </c>
      <c r="F25348">
        <v>7.9654182694482196E-9</v>
      </c>
      <c r="G25348">
        <v>9984958</v>
      </c>
      <c r="H25348">
        <v>11194143</v>
      </c>
      <c r="I25348">
        <v>31319672</v>
      </c>
      <c r="J25348">
        <v>6</v>
      </c>
    </row>
    <row r="25349" spans="1:10" x14ac:dyDescent="0.25">
      <c r="A25349" t="s">
        <v>275</v>
      </c>
      <c r="B25349" s="1" t="str">
        <f>HYPERLINK("http://purina.pt","purina.pt")</f>
        <v>purina.pt</v>
      </c>
      <c r="C25349" t="s">
        <v>488</v>
      </c>
      <c r="D25349" t="s">
        <v>862</v>
      </c>
      <c r="F25349">
        <v>3.6900344426619503E-8</v>
      </c>
      <c r="G25349">
        <v>1417327</v>
      </c>
      <c r="H25349">
        <v>13849987</v>
      </c>
      <c r="I25349">
        <v>6054300</v>
      </c>
      <c r="J25349">
        <v>4</v>
      </c>
    </row>
    <row r="25350" spans="1:10" x14ac:dyDescent="0.25">
      <c r="A25350" t="s">
        <v>275</v>
      </c>
      <c r="B25350" s="1" t="str">
        <f>HYPERLINK("http://dolce-gusto.com.py","dolce-gusto.com.py")</f>
        <v>dolce-gusto.com.py</v>
      </c>
      <c r="C25350" t="s">
        <v>489</v>
      </c>
      <c r="D25350" t="s">
        <v>863</v>
      </c>
      <c r="F25350">
        <v>1.6255723783280402E-8</v>
      </c>
      <c r="G25350">
        <v>3481548</v>
      </c>
      <c r="H25350">
        <v>12150387</v>
      </c>
      <c r="I25350">
        <v>24611725</v>
      </c>
      <c r="J25350">
        <v>4</v>
      </c>
    </row>
    <row r="25351" spans="1:10" x14ac:dyDescent="0.25">
      <c r="A25351" t="s">
        <v>275</v>
      </c>
      <c r="B25351" s="1" t="str">
        <f>HYPERLINK("http://nestle.com.py","nestle.com.py")</f>
        <v>nestle.com.py</v>
      </c>
      <c r="C25351" t="s">
        <v>489</v>
      </c>
      <c r="D25351" t="s">
        <v>863</v>
      </c>
      <c r="F25351">
        <v>4.6027431452071901E-8</v>
      </c>
      <c r="G25351">
        <v>1019822</v>
      </c>
      <c r="H25351">
        <v>14073450</v>
      </c>
      <c r="I25351">
        <v>2994001</v>
      </c>
      <c r="J25351">
        <v>2</v>
      </c>
    </row>
    <row r="25352" spans="1:10" x14ac:dyDescent="0.25">
      <c r="A25352" t="s">
        <v>275</v>
      </c>
      <c r="B25352" s="1" t="str">
        <f>HYPERLINK("http://nespresso.re","nespresso.re")</f>
        <v>nespresso.re</v>
      </c>
      <c r="C25352" t="s">
        <v>575</v>
      </c>
      <c r="D25352" t="s">
        <v>920</v>
      </c>
      <c r="F25352">
        <v>5.4257213508828604E-9</v>
      </c>
      <c r="G25352">
        <v>21792959</v>
      </c>
      <c r="H25352">
        <v>13360892</v>
      </c>
      <c r="I25352">
        <v>10561696</v>
      </c>
      <c r="J25352">
        <v>4</v>
      </c>
    </row>
    <row r="25353" spans="1:10" x14ac:dyDescent="0.25">
      <c r="A25353" t="s">
        <v>275</v>
      </c>
      <c r="B25353" s="1" t="str">
        <f>HYPERLINK("http://dolce-gusto.ro","dolce-gusto.ro")</f>
        <v>dolce-gusto.ro</v>
      </c>
      <c r="C25353" t="s">
        <v>491</v>
      </c>
      <c r="D25353" t="s">
        <v>865</v>
      </c>
      <c r="F25353">
        <v>1.2942501976350999E-8</v>
      </c>
      <c r="G25353">
        <v>4659344</v>
      </c>
      <c r="H25353">
        <v>12330399</v>
      </c>
      <c r="I25353">
        <v>20205369</v>
      </c>
      <c r="J25353">
        <v>4</v>
      </c>
    </row>
    <row r="25354" spans="1:10" x14ac:dyDescent="0.25">
      <c r="A25354" t="s">
        <v>275</v>
      </c>
      <c r="B25354" s="1" t="str">
        <f>HYPERLINK("http://nestle.ro","nestle.ro")</f>
        <v>nestle.ro</v>
      </c>
      <c r="C25354" t="s">
        <v>491</v>
      </c>
      <c r="D25354" t="s">
        <v>865</v>
      </c>
      <c r="F25354">
        <v>7.2490143850424902E-8</v>
      </c>
      <c r="G25354">
        <v>582097</v>
      </c>
      <c r="H25354">
        <v>14164258</v>
      </c>
      <c r="I25354">
        <v>1827454</v>
      </c>
      <c r="J25354">
        <v>2</v>
      </c>
    </row>
    <row r="25355" spans="1:10" x14ac:dyDescent="0.25">
      <c r="A25355" t="s">
        <v>275</v>
      </c>
      <c r="B25355" s="1" t="str">
        <f>HYPERLINK("http://nestlehealthscience.ro","nestlehealthscience.ro")</f>
        <v>nestlehealthscience.ro</v>
      </c>
      <c r="C25355" t="s">
        <v>491</v>
      </c>
      <c r="D25355" t="s">
        <v>865</v>
      </c>
      <c r="F25355">
        <v>9.0293441746077107E-9</v>
      </c>
      <c r="G25355">
        <v>7948529</v>
      </c>
      <c r="H25355">
        <v>13764013</v>
      </c>
      <c r="I25355">
        <v>7429903</v>
      </c>
      <c r="J25355">
        <v>6</v>
      </c>
    </row>
    <row r="25356" spans="1:10" x14ac:dyDescent="0.25">
      <c r="A25356" t="s">
        <v>275</v>
      </c>
      <c r="B25356" s="1" t="str">
        <f>HYPERLINK("http://dolce-gusto.rs","dolce-gusto.rs")</f>
        <v>dolce-gusto.rs</v>
      </c>
      <c r="C25356" t="s">
        <v>492</v>
      </c>
      <c r="D25356" t="s">
        <v>866</v>
      </c>
      <c r="F25356">
        <v>8.3206422703898299E-9</v>
      </c>
      <c r="G25356">
        <v>9210112</v>
      </c>
      <c r="H25356">
        <v>10475011</v>
      </c>
      <c r="I25356">
        <v>51146702</v>
      </c>
      <c r="J25356">
        <v>5</v>
      </c>
    </row>
    <row r="25357" spans="1:10" x14ac:dyDescent="0.25">
      <c r="A25357" t="s">
        <v>275</v>
      </c>
      <c r="B25357" s="1" t="str">
        <f>HYPERLINK("http://nespresso.rs","nespresso.rs")</f>
        <v>nespresso.rs</v>
      </c>
      <c r="C25357" t="s">
        <v>492</v>
      </c>
      <c r="D25357" t="s">
        <v>866</v>
      </c>
      <c r="F25357">
        <v>1.5768605840795599E-8</v>
      </c>
      <c r="G25357">
        <v>3608539</v>
      </c>
      <c r="H25357">
        <v>12308006</v>
      </c>
      <c r="I25357">
        <v>20676805</v>
      </c>
      <c r="J25357">
        <v>4</v>
      </c>
    </row>
    <row r="25358" spans="1:10" x14ac:dyDescent="0.25">
      <c r="A25358" t="s">
        <v>275</v>
      </c>
      <c r="B25358" s="1" t="str">
        <f>HYPERLINK("http://nestle.rs","nestle.rs")</f>
        <v>nestle.rs</v>
      </c>
      <c r="C25358" t="s">
        <v>492</v>
      </c>
      <c r="D25358" t="s">
        <v>866</v>
      </c>
      <c r="F25358">
        <v>5.7146449443662201E-8</v>
      </c>
      <c r="G25358">
        <v>780988</v>
      </c>
      <c r="H25358">
        <v>14489103</v>
      </c>
      <c r="I25358">
        <v>925875</v>
      </c>
      <c r="J25358">
        <v>2</v>
      </c>
    </row>
    <row r="25359" spans="1:10" x14ac:dyDescent="0.25">
      <c r="A25359" t="s">
        <v>275</v>
      </c>
      <c r="B25359" s="1" t="str">
        <f>HYPERLINK("http://purina.rs","purina.rs")</f>
        <v>purina.rs</v>
      </c>
      <c r="C25359" t="s">
        <v>492</v>
      </c>
      <c r="D25359" t="s">
        <v>866</v>
      </c>
      <c r="F25359">
        <v>1.06486184275548E-8</v>
      </c>
      <c r="G25359">
        <v>6142652</v>
      </c>
      <c r="H25359">
        <v>14072716</v>
      </c>
      <c r="I25359">
        <v>3054287</v>
      </c>
      <c r="J25359">
        <v>5</v>
      </c>
    </row>
    <row r="25360" spans="1:10" x14ac:dyDescent="0.25">
      <c r="A25360" t="s">
        <v>275</v>
      </c>
      <c r="B25360" s="1" t="str">
        <f>HYPERLINK("http://dolce-gusto.ru","dolce-gusto.ru")</f>
        <v>dolce-gusto.ru</v>
      </c>
      <c r="C25360" t="s">
        <v>493</v>
      </c>
      <c r="D25360" t="s">
        <v>867</v>
      </c>
      <c r="E25360">
        <v>408890</v>
      </c>
      <c r="F25360">
        <v>1.89301865140594E-8</v>
      </c>
      <c r="G25360">
        <v>2848225</v>
      </c>
      <c r="H25360">
        <v>12988934</v>
      </c>
      <c r="I25360">
        <v>12867917</v>
      </c>
      <c r="J25360">
        <v>3</v>
      </c>
    </row>
    <row r="25361" spans="1:10" x14ac:dyDescent="0.25">
      <c r="A25361" t="s">
        <v>275</v>
      </c>
      <c r="B25361" s="1" t="str">
        <f>HYPERLINK("http://maggi.ru","maggi.ru")</f>
        <v>maggi.ru</v>
      </c>
      <c r="C25361" t="s">
        <v>493</v>
      </c>
      <c r="D25361" t="s">
        <v>867</v>
      </c>
      <c r="E25361">
        <v>131439</v>
      </c>
      <c r="F25361">
        <v>7.6565944153684593E-8</v>
      </c>
      <c r="G25361">
        <v>547684</v>
      </c>
      <c r="H25361">
        <v>14321203</v>
      </c>
      <c r="I25361">
        <v>1331047</v>
      </c>
      <c r="J25361">
        <v>3</v>
      </c>
    </row>
    <row r="25362" spans="1:10" x14ac:dyDescent="0.25">
      <c r="A25362" t="s">
        <v>275</v>
      </c>
      <c r="B25362" s="1" t="str">
        <f>HYPERLINK("http://naturesbounty.ru","naturesbounty.ru")</f>
        <v>naturesbounty.ru</v>
      </c>
      <c r="C25362" t="s">
        <v>493</v>
      </c>
      <c r="D25362" t="s">
        <v>867</v>
      </c>
      <c r="F25362">
        <v>7.9470586457541808E-9</v>
      </c>
      <c r="G25362">
        <v>10019373</v>
      </c>
      <c r="H25362">
        <v>10673561</v>
      </c>
      <c r="I25362">
        <v>42887293</v>
      </c>
      <c r="J25362">
        <v>9</v>
      </c>
    </row>
    <row r="25363" spans="1:10" x14ac:dyDescent="0.25">
      <c r="A25363" t="s">
        <v>275</v>
      </c>
      <c r="B25363" s="1" t="str">
        <f>HYPERLINK("http://nespresso.ru","nespresso.ru")</f>
        <v>nespresso.ru</v>
      </c>
      <c r="C25363" t="s">
        <v>493</v>
      </c>
      <c r="D25363" t="s">
        <v>867</v>
      </c>
      <c r="E25363">
        <v>652803</v>
      </c>
      <c r="F25363">
        <v>1.6096444996488202E-8</v>
      </c>
      <c r="G25363">
        <v>3521485</v>
      </c>
      <c r="H25363">
        <v>12564160</v>
      </c>
      <c r="I25363">
        <v>16676890</v>
      </c>
      <c r="J25363">
        <v>4</v>
      </c>
    </row>
    <row r="25364" spans="1:10" x14ac:dyDescent="0.25">
      <c r="A25364" t="s">
        <v>275</v>
      </c>
      <c r="B25364" s="1" t="str">
        <f>HYPERLINK("http://nestle.ru","nestle.ru")</f>
        <v>nestle.ru</v>
      </c>
      <c r="C25364" t="s">
        <v>493</v>
      </c>
      <c r="D25364" t="s">
        <v>867</v>
      </c>
      <c r="E25364">
        <v>446253</v>
      </c>
      <c r="F25364">
        <v>1.79746704733694E-7</v>
      </c>
      <c r="G25364">
        <v>214930</v>
      </c>
      <c r="H25364">
        <v>16986444</v>
      </c>
      <c r="I25364">
        <v>96951</v>
      </c>
      <c r="J25364">
        <v>2</v>
      </c>
    </row>
    <row r="25365" spans="1:10" x14ac:dyDescent="0.25">
      <c r="A25365" t="s">
        <v>275</v>
      </c>
      <c r="B25365" s="1" t="str">
        <f>HYPERLINK("http://purina.ru","purina.ru")</f>
        <v>purina.ru</v>
      </c>
      <c r="C25365" t="s">
        <v>493</v>
      </c>
      <c r="D25365" t="s">
        <v>867</v>
      </c>
      <c r="E25365">
        <v>147251</v>
      </c>
      <c r="F25365">
        <v>1.0033998421097801E-7</v>
      </c>
      <c r="G25365">
        <v>400887</v>
      </c>
      <c r="H25365">
        <v>14126000</v>
      </c>
      <c r="I25365">
        <v>2108553</v>
      </c>
      <c r="J25365">
        <v>5</v>
      </c>
    </row>
    <row r="25366" spans="1:10" x14ac:dyDescent="0.25">
      <c r="A25366" t="s">
        <v>275</v>
      </c>
      <c r="B25366" s="1" t="str">
        <f>HYPERLINK("http://ruchoco.ru","ruchoco.ru")</f>
        <v>ruchoco.ru</v>
      </c>
      <c r="C25366" t="s">
        <v>493</v>
      </c>
      <c r="D25366" t="s">
        <v>867</v>
      </c>
      <c r="F25366">
        <v>5.3053465620086399E-9</v>
      </c>
      <c r="G25366">
        <v>23415075</v>
      </c>
      <c r="H25366">
        <v>12383883</v>
      </c>
      <c r="I25366">
        <v>19139161</v>
      </c>
      <c r="J25366">
        <v>3</v>
      </c>
    </row>
    <row r="25367" spans="1:10" x14ac:dyDescent="0.25">
      <c r="A25367" t="s">
        <v>275</v>
      </c>
      <c r="B25367" s="1" t="str">
        <f>HYPERLINK("http://dolce-gusto.se","dolce-gusto.se")</f>
        <v>dolce-gusto.se</v>
      </c>
      <c r="C25367" t="s">
        <v>495</v>
      </c>
      <c r="D25367" t="s">
        <v>869</v>
      </c>
      <c r="F25367">
        <v>1.31089949821621E-8</v>
      </c>
      <c r="G25367">
        <v>4579921</v>
      </c>
      <c r="H25367">
        <v>12146565</v>
      </c>
      <c r="I25367">
        <v>24711351</v>
      </c>
      <c r="J25367">
        <v>4</v>
      </c>
    </row>
    <row r="25368" spans="1:10" x14ac:dyDescent="0.25">
      <c r="A25368" t="s">
        <v>275</v>
      </c>
      <c r="B25368" s="1" t="str">
        <f>HYPERLINK("http://halsanskok.se","halsanskok.se")</f>
        <v>halsanskok.se</v>
      </c>
      <c r="C25368" t="s">
        <v>495</v>
      </c>
      <c r="D25368" t="s">
        <v>869</v>
      </c>
      <c r="F25368">
        <v>1.6613049997351501E-8</v>
      </c>
      <c r="G25368">
        <v>3386233</v>
      </c>
      <c r="H25368">
        <v>14120350</v>
      </c>
      <c r="I25368">
        <v>2361387</v>
      </c>
      <c r="J25368">
        <v>5</v>
      </c>
    </row>
    <row r="25369" spans="1:10" x14ac:dyDescent="0.25">
      <c r="A25369" t="s">
        <v>275</v>
      </c>
      <c r="B25369" s="1" t="str">
        <f>HYPERLINK("http://nespresso.se","nespresso.se")</f>
        <v>nespresso.se</v>
      </c>
      <c r="C25369" t="s">
        <v>495</v>
      </c>
      <c r="D25369" t="s">
        <v>869</v>
      </c>
      <c r="F25369">
        <v>2.5233606317655199E-8</v>
      </c>
      <c r="G25369">
        <v>2045489</v>
      </c>
      <c r="H25369">
        <v>12657043</v>
      </c>
      <c r="I25369">
        <v>15757592</v>
      </c>
      <c r="J25369">
        <v>4</v>
      </c>
    </row>
    <row r="25370" spans="1:10" x14ac:dyDescent="0.25">
      <c r="A25370" t="s">
        <v>275</v>
      </c>
      <c r="B25370" s="1" t="str">
        <f>HYPERLINK("http://nestle.se","nestle.se")</f>
        <v>nestle.se</v>
      </c>
      <c r="C25370" t="s">
        <v>495</v>
      </c>
      <c r="D25370" t="s">
        <v>869</v>
      </c>
      <c r="F25370">
        <v>6.6500704715864899E-8</v>
      </c>
      <c r="G25370">
        <v>644246</v>
      </c>
      <c r="H25370">
        <v>14489698</v>
      </c>
      <c r="I25370">
        <v>919367</v>
      </c>
      <c r="J25370">
        <v>2</v>
      </c>
    </row>
    <row r="25371" spans="1:10" x14ac:dyDescent="0.25">
      <c r="A25371" t="s">
        <v>275</v>
      </c>
      <c r="B25371" s="1" t="str">
        <f>HYPERLINK("http://nestlehealthscience.se","nestlehealthscience.se")</f>
        <v>nestlehealthscience.se</v>
      </c>
      <c r="C25371" t="s">
        <v>495</v>
      </c>
      <c r="D25371" t="s">
        <v>869</v>
      </c>
      <c r="F25371">
        <v>1.35809877703672E-8</v>
      </c>
      <c r="G25371">
        <v>4369706</v>
      </c>
      <c r="H25371">
        <v>12536913</v>
      </c>
      <c r="I25371">
        <v>16971007</v>
      </c>
      <c r="J25371">
        <v>6</v>
      </c>
    </row>
    <row r="25372" spans="1:10" x14ac:dyDescent="0.25">
      <c r="A25372" t="s">
        <v>275</v>
      </c>
      <c r="B25372" s="1" t="str">
        <f>HYPERLINK("http://nestlenan.se","nestlenan.se")</f>
        <v>nestlenan.se</v>
      </c>
      <c r="C25372" t="s">
        <v>495</v>
      </c>
      <c r="D25372" t="s">
        <v>869</v>
      </c>
      <c r="F25372">
        <v>6.8405894178972599E-9</v>
      </c>
      <c r="G25372">
        <v>12826067</v>
      </c>
      <c r="H25372">
        <v>10060763</v>
      </c>
      <c r="I25372">
        <v>60246901</v>
      </c>
      <c r="J25372">
        <v>5</v>
      </c>
    </row>
    <row r="25373" spans="1:10" x14ac:dyDescent="0.25">
      <c r="A25373" t="s">
        <v>275</v>
      </c>
      <c r="B25373" s="1" t="str">
        <f>HYPERLINK("http://purina.se","purina.se")</f>
        <v>purina.se</v>
      </c>
      <c r="C25373" t="s">
        <v>495</v>
      </c>
      <c r="D25373" t="s">
        <v>869</v>
      </c>
      <c r="F25373">
        <v>5.2760510677042502E-8</v>
      </c>
      <c r="G25373">
        <v>863669</v>
      </c>
      <c r="H25373">
        <v>13920777</v>
      </c>
      <c r="I25373">
        <v>5934637</v>
      </c>
      <c r="J25373">
        <v>4</v>
      </c>
    </row>
    <row r="25374" spans="1:10" x14ac:dyDescent="0.25">
      <c r="A25374" t="s">
        <v>275</v>
      </c>
      <c r="B25374" s="1" t="str">
        <f>HYPERLINK("http://dolce-gusto.com.sg","dolce-gusto.com.sg")</f>
        <v>dolce-gusto.com.sg</v>
      </c>
      <c r="C25374" t="s">
        <v>496</v>
      </c>
      <c r="D25374" t="s">
        <v>870</v>
      </c>
      <c r="F25374">
        <v>1.43851560645675E-8</v>
      </c>
      <c r="G25374">
        <v>4062206</v>
      </c>
      <c r="H25374">
        <v>14032386</v>
      </c>
      <c r="I25374">
        <v>3923387</v>
      </c>
      <c r="J25374">
        <v>4</v>
      </c>
    </row>
    <row r="25375" spans="1:10" x14ac:dyDescent="0.25">
      <c r="A25375" t="s">
        <v>275</v>
      </c>
      <c r="B25375" s="1" t="str">
        <f>HYPERLINK("http://nestle.com.sg","nestle.com.sg")</f>
        <v>nestle.com.sg</v>
      </c>
      <c r="C25375" t="s">
        <v>496</v>
      </c>
      <c r="D25375" t="s">
        <v>870</v>
      </c>
      <c r="E25375">
        <v>593995</v>
      </c>
      <c r="F25375">
        <v>1.3470824974034401E-7</v>
      </c>
      <c r="G25375">
        <v>289754</v>
      </c>
      <c r="H25375">
        <v>14505765</v>
      </c>
      <c r="I25375">
        <v>835402</v>
      </c>
      <c r="J25375">
        <v>2</v>
      </c>
    </row>
    <row r="25376" spans="1:10" x14ac:dyDescent="0.25">
      <c r="A25376" t="s">
        <v>275</v>
      </c>
      <c r="B25376" s="1" t="str">
        <f>HYPERLINK("http://nestlehealthscience.sg","nestlehealthscience.sg")</f>
        <v>nestlehealthscience.sg</v>
      </c>
      <c r="C25376" t="s">
        <v>496</v>
      </c>
      <c r="D25376" t="s">
        <v>870</v>
      </c>
      <c r="F25376">
        <v>6.5042639004287298E-9</v>
      </c>
      <c r="G25376">
        <v>14060429</v>
      </c>
      <c r="H25376">
        <v>12335991</v>
      </c>
      <c r="I25376">
        <v>20085925</v>
      </c>
      <c r="J25376">
        <v>6</v>
      </c>
    </row>
    <row r="25377" spans="1:10" x14ac:dyDescent="0.25">
      <c r="A25377" t="s">
        <v>275</v>
      </c>
      <c r="B25377" s="1" t="str">
        <f>HYPERLINK("http://dolce-gusto.si","dolce-gusto.si")</f>
        <v>dolce-gusto.si</v>
      </c>
      <c r="C25377" t="s">
        <v>497</v>
      </c>
      <c r="D25377" t="s">
        <v>871</v>
      </c>
      <c r="F25377">
        <v>9.9532344200482708E-9</v>
      </c>
      <c r="G25377">
        <v>6802883</v>
      </c>
      <c r="H25377">
        <v>10819830</v>
      </c>
      <c r="I25377">
        <v>37627366</v>
      </c>
      <c r="J25377">
        <v>4</v>
      </c>
    </row>
    <row r="25378" spans="1:10" x14ac:dyDescent="0.25">
      <c r="A25378" t="s">
        <v>275</v>
      </c>
      <c r="B25378" s="1" t="str">
        <f>HYPERLINK("http://nespresso.si","nespresso.si")</f>
        <v>nespresso.si</v>
      </c>
      <c r="C25378" t="s">
        <v>497</v>
      </c>
      <c r="D25378" t="s">
        <v>871</v>
      </c>
      <c r="F25378">
        <v>9.5836280852026493E-9</v>
      </c>
      <c r="G25378">
        <v>7223753</v>
      </c>
      <c r="H25378">
        <v>12209273</v>
      </c>
      <c r="I25378">
        <v>23044338</v>
      </c>
      <c r="J25378">
        <v>4</v>
      </c>
    </row>
    <row r="25379" spans="1:10" x14ac:dyDescent="0.25">
      <c r="A25379" t="s">
        <v>275</v>
      </c>
      <c r="B25379" s="1" t="str">
        <f>HYPERLINK("http://nestle.si","nestle.si")</f>
        <v>nestle.si</v>
      </c>
      <c r="C25379" t="s">
        <v>497</v>
      </c>
      <c r="D25379" t="s">
        <v>871</v>
      </c>
      <c r="F25379">
        <v>4.7437297226711202E-8</v>
      </c>
      <c r="G25379">
        <v>982059</v>
      </c>
      <c r="H25379">
        <v>12530659</v>
      </c>
      <c r="I25379">
        <v>17028360</v>
      </c>
      <c r="J25379">
        <v>2</v>
      </c>
    </row>
    <row r="25380" spans="1:10" x14ac:dyDescent="0.25">
      <c r="A25380" t="s">
        <v>275</v>
      </c>
      <c r="B25380" s="1" t="str">
        <f>HYPERLINK("http://dolce-gusto.sk","dolce-gusto.sk")</f>
        <v>dolce-gusto.sk</v>
      </c>
      <c r="C25380" t="s">
        <v>498</v>
      </c>
      <c r="D25380" t="s">
        <v>872</v>
      </c>
      <c r="F25380">
        <v>1.42921066828122E-8</v>
      </c>
      <c r="G25380">
        <v>4096143</v>
      </c>
      <c r="H25380">
        <v>12382891</v>
      </c>
      <c r="I25380">
        <v>19157147</v>
      </c>
      <c r="J25380">
        <v>4</v>
      </c>
    </row>
    <row r="25381" spans="1:10" x14ac:dyDescent="0.25">
      <c r="A25381" t="s">
        <v>275</v>
      </c>
      <c r="B25381" s="1" t="str">
        <f>HYPERLINK("http://froneri.sk","froneri.sk")</f>
        <v>froneri.sk</v>
      </c>
      <c r="C25381" t="s">
        <v>498</v>
      </c>
      <c r="D25381" t="s">
        <v>872</v>
      </c>
      <c r="F25381">
        <v>7.86445025209087E-9</v>
      </c>
      <c r="G25381">
        <v>10183366</v>
      </c>
      <c r="H25381">
        <v>10696162</v>
      </c>
      <c r="I25381">
        <v>42384583</v>
      </c>
      <c r="J25381">
        <v>4</v>
      </c>
    </row>
    <row r="25382" spans="1:10" x14ac:dyDescent="0.25">
      <c r="A25382" t="s">
        <v>275</v>
      </c>
      <c r="B25382" s="1" t="str">
        <f>HYPERLINK("http://nestle.sk","nestle.sk")</f>
        <v>nestle.sk</v>
      </c>
      <c r="C25382" t="s">
        <v>498</v>
      </c>
      <c r="D25382" t="s">
        <v>872</v>
      </c>
      <c r="F25382">
        <v>2.6737941317745701E-8</v>
      </c>
      <c r="G25382">
        <v>1924737</v>
      </c>
      <c r="H25382">
        <v>14073394</v>
      </c>
      <c r="I25382">
        <v>2997928</v>
      </c>
      <c r="J25382">
        <v>3</v>
      </c>
    </row>
    <row r="25383" spans="1:10" x14ac:dyDescent="0.25">
      <c r="A25383" t="s">
        <v>275</v>
      </c>
      <c r="B25383" s="1" t="str">
        <f>HYPERLINK("http://nespresso.sx","nespresso.sx")</f>
        <v>nespresso.sx</v>
      </c>
      <c r="C25383" t="s">
        <v>774</v>
      </c>
      <c r="D25383" t="s">
        <v>1018</v>
      </c>
      <c r="F25383">
        <v>5.1101308469381797E-9</v>
      </c>
      <c r="G25383">
        <v>26850272</v>
      </c>
      <c r="H25383">
        <v>9797839</v>
      </c>
      <c r="I25383">
        <v>62619029</v>
      </c>
      <c r="J25383">
        <v>4</v>
      </c>
    </row>
    <row r="25384" spans="1:10" x14ac:dyDescent="0.25">
      <c r="A25384" t="s">
        <v>275</v>
      </c>
      <c r="B25384" s="1" t="str">
        <f>HYPERLINK("http://nestle.co.th","nestle.co.th")</f>
        <v>nestle.co.th</v>
      </c>
      <c r="C25384" t="s">
        <v>500</v>
      </c>
      <c r="D25384" t="s">
        <v>874</v>
      </c>
      <c r="E25384">
        <v>663245</v>
      </c>
      <c r="F25384">
        <v>6.3283173914482304E-8</v>
      </c>
      <c r="G25384">
        <v>687478</v>
      </c>
      <c r="H25384">
        <v>14392469</v>
      </c>
      <c r="I25384">
        <v>1164893</v>
      </c>
      <c r="J25384">
        <v>2</v>
      </c>
    </row>
    <row r="25385" spans="1:10" x14ac:dyDescent="0.25">
      <c r="A25385" t="s">
        <v>275</v>
      </c>
      <c r="B25385" s="1" t="str">
        <f>HYPERLINK("http://dolce-gusto.com.tr","dolce-gusto.com.tr")</f>
        <v>dolce-gusto.com.tr</v>
      </c>
      <c r="C25385" t="s">
        <v>502</v>
      </c>
      <c r="D25385" t="s">
        <v>876</v>
      </c>
      <c r="F25385">
        <v>1.00304617745109E-8</v>
      </c>
      <c r="G25385">
        <v>6725663</v>
      </c>
      <c r="H25385">
        <v>12130283</v>
      </c>
      <c r="I25385">
        <v>25132086</v>
      </c>
      <c r="J25385">
        <v>4</v>
      </c>
    </row>
    <row r="25386" spans="1:10" x14ac:dyDescent="0.25">
      <c r="A25386" t="s">
        <v>275</v>
      </c>
      <c r="B25386" s="1" t="str">
        <f>HYPERLINK("http://erikli.com.tr","erikli.com.tr")</f>
        <v>erikli.com.tr</v>
      </c>
      <c r="C25386" t="s">
        <v>502</v>
      </c>
      <c r="D25386" t="s">
        <v>876</v>
      </c>
      <c r="F25386">
        <v>1.5516338951135599E-8</v>
      </c>
      <c r="G25386">
        <v>3679959</v>
      </c>
      <c r="H25386">
        <v>13107290</v>
      </c>
      <c r="I25386">
        <v>12053176</v>
      </c>
      <c r="J25386">
        <v>3</v>
      </c>
    </row>
    <row r="25387" spans="1:10" x14ac:dyDescent="0.25">
      <c r="A25387" t="s">
        <v>275</v>
      </c>
      <c r="B25387" s="1" t="str">
        <f>HYPERLINK("http://nestle.com.tr","nestle.com.tr")</f>
        <v>nestle.com.tr</v>
      </c>
      <c r="C25387" t="s">
        <v>502</v>
      </c>
      <c r="D25387" t="s">
        <v>876</v>
      </c>
      <c r="E25387">
        <v>589946</v>
      </c>
      <c r="F25387">
        <v>6.8696802624105396E-8</v>
      </c>
      <c r="G25387">
        <v>619292</v>
      </c>
      <c r="H25387">
        <v>14237230</v>
      </c>
      <c r="I25387">
        <v>1556636</v>
      </c>
      <c r="J25387">
        <v>2</v>
      </c>
    </row>
    <row r="25388" spans="1:10" x14ac:dyDescent="0.25">
      <c r="A25388" t="s">
        <v>275</v>
      </c>
      <c r="B25388" s="1" t="str">
        <f>HYPERLINK("http://nestlehealthscience.com.tr","nestlehealthscience.com.tr")</f>
        <v>nestlehealthscience.com.tr</v>
      </c>
      <c r="C25388" t="s">
        <v>502</v>
      </c>
      <c r="D25388" t="s">
        <v>876</v>
      </c>
      <c r="F25388">
        <v>7.8452650980026304E-9</v>
      </c>
      <c r="G25388">
        <v>10224499</v>
      </c>
      <c r="H25388">
        <v>10987254</v>
      </c>
      <c r="I25388">
        <v>33800353</v>
      </c>
      <c r="J25388">
        <v>6</v>
      </c>
    </row>
    <row r="25389" spans="1:10" x14ac:dyDescent="0.25">
      <c r="A25389" t="s">
        <v>275</v>
      </c>
      <c r="B25389" s="1" t="str">
        <f>HYPERLINK("http://dolce-gusto.com.tw","dolce-gusto.com.tw")</f>
        <v>dolce-gusto.com.tw</v>
      </c>
      <c r="C25389" t="s">
        <v>504</v>
      </c>
      <c r="D25389" t="s">
        <v>878</v>
      </c>
      <c r="F25389">
        <v>1.5396382834216701E-8</v>
      </c>
      <c r="G25389">
        <v>3716773</v>
      </c>
      <c r="H25389">
        <v>13571123</v>
      </c>
      <c r="I25389">
        <v>9720771</v>
      </c>
      <c r="J25389">
        <v>4</v>
      </c>
    </row>
    <row r="25390" spans="1:10" x14ac:dyDescent="0.25">
      <c r="A25390" t="s">
        <v>275</v>
      </c>
      <c r="B25390" s="1" t="str">
        <f>HYPERLINK("http://nestle.com.tw","nestle.com.tw")</f>
        <v>nestle.com.tw</v>
      </c>
      <c r="C25390" t="s">
        <v>504</v>
      </c>
      <c r="D25390" t="s">
        <v>878</v>
      </c>
      <c r="E25390">
        <v>407443</v>
      </c>
      <c r="F25390">
        <v>7.0970665095418007E-8</v>
      </c>
      <c r="G25390">
        <v>595911</v>
      </c>
      <c r="H25390">
        <v>14556403</v>
      </c>
      <c r="I25390">
        <v>751236</v>
      </c>
      <c r="J25390">
        <v>2</v>
      </c>
    </row>
    <row r="25391" spans="1:10" x14ac:dyDescent="0.25">
      <c r="A25391" t="s">
        <v>275</v>
      </c>
      <c r="B25391" s="1" t="str">
        <f>HYPERLINK("http://nestlehealthscience.com.tw","nestlehealthscience.com.tw")</f>
        <v>nestlehealthscience.com.tw</v>
      </c>
      <c r="C25391" t="s">
        <v>504</v>
      </c>
      <c r="D25391" t="s">
        <v>878</v>
      </c>
      <c r="F25391">
        <v>1.01040553194741E-8</v>
      </c>
      <c r="G25391">
        <v>6644113</v>
      </c>
      <c r="H25391">
        <v>10640611</v>
      </c>
      <c r="I25391">
        <v>43758007</v>
      </c>
      <c r="J25391">
        <v>6</v>
      </c>
    </row>
    <row r="25392" spans="1:10" x14ac:dyDescent="0.25">
      <c r="A25392" t="s">
        <v>275</v>
      </c>
      <c r="B25392" s="1" t="str">
        <f>HYPERLINK("http://dolce-gusto.ua","dolce-gusto.ua")</f>
        <v>dolce-gusto.ua</v>
      </c>
      <c r="C25392" t="s">
        <v>505</v>
      </c>
      <c r="D25392" t="s">
        <v>879</v>
      </c>
      <c r="F25392">
        <v>1.18388720283172E-8</v>
      </c>
      <c r="G25392">
        <v>5277440</v>
      </c>
      <c r="H25392">
        <v>12070167</v>
      </c>
      <c r="I25392">
        <v>26790248</v>
      </c>
      <c r="J25392">
        <v>4</v>
      </c>
    </row>
    <row r="25393" spans="1:10" x14ac:dyDescent="0.25">
      <c r="A25393" t="s">
        <v>275</v>
      </c>
      <c r="B25393" s="1" t="str">
        <f>HYPERLINK("http://nestle.ua","nestle.ua")</f>
        <v>nestle.ua</v>
      </c>
      <c r="C25393" t="s">
        <v>505</v>
      </c>
      <c r="D25393" t="s">
        <v>879</v>
      </c>
      <c r="F25393">
        <v>5.8824754516486598E-8</v>
      </c>
      <c r="G25393">
        <v>754266</v>
      </c>
      <c r="H25393">
        <v>14075067</v>
      </c>
      <c r="I25393">
        <v>2919399</v>
      </c>
      <c r="J25393">
        <v>2</v>
      </c>
    </row>
    <row r="25394" spans="1:10" x14ac:dyDescent="0.25">
      <c r="A25394" t="s">
        <v>275</v>
      </c>
      <c r="B25394" s="1" t="str">
        <f>HYPERLINK("http://dolce-gusto.co.uk","dolce-gusto.co.uk")</f>
        <v>dolce-gusto.co.uk</v>
      </c>
      <c r="C25394" t="s">
        <v>506</v>
      </c>
      <c r="D25394" t="s">
        <v>880</v>
      </c>
      <c r="E25394">
        <v>605901</v>
      </c>
      <c r="F25394">
        <v>3.99376934506622E-8</v>
      </c>
      <c r="G25394">
        <v>1294130</v>
      </c>
      <c r="H25394">
        <v>13814482</v>
      </c>
      <c r="I25394">
        <v>6174192</v>
      </c>
      <c r="J25394">
        <v>3</v>
      </c>
    </row>
    <row r="25395" spans="1:10" x14ac:dyDescent="0.25">
      <c r="A25395" t="s">
        <v>275</v>
      </c>
      <c r="B25395" s="1" t="str">
        <f>HYPERLINK("http://kellysofcornwall.co.uk","kellysofcornwall.co.uk")</f>
        <v>kellysofcornwall.co.uk</v>
      </c>
      <c r="C25395" t="s">
        <v>506</v>
      </c>
      <c r="D25395" t="s">
        <v>880</v>
      </c>
      <c r="F25395">
        <v>8.9622572613965301E-9</v>
      </c>
      <c r="G25395">
        <v>8048298</v>
      </c>
      <c r="H25395">
        <v>13770907</v>
      </c>
      <c r="I25395">
        <v>6711843</v>
      </c>
      <c r="J25395">
        <v>4</v>
      </c>
    </row>
    <row r="25396" spans="1:10" x14ac:dyDescent="0.25">
      <c r="A25396" t="s">
        <v>275</v>
      </c>
      <c r="B25396" s="1" t="str">
        <f>HYPERLINK("http://lilyskitchen.co.uk","lilyskitchen.co.uk")</f>
        <v>lilyskitchen.co.uk</v>
      </c>
      <c r="C25396" t="s">
        <v>506</v>
      </c>
      <c r="D25396" t="s">
        <v>880</v>
      </c>
      <c r="E25396">
        <v>401006</v>
      </c>
      <c r="F25396">
        <v>9.0085450273121704E-8</v>
      </c>
      <c r="G25396">
        <v>452984</v>
      </c>
      <c r="H25396">
        <v>14283776</v>
      </c>
      <c r="I25396">
        <v>1374456</v>
      </c>
      <c r="J25396">
        <v>3</v>
      </c>
    </row>
    <row r="25397" spans="1:10" x14ac:dyDescent="0.25">
      <c r="A25397" t="s">
        <v>275</v>
      </c>
      <c r="B25397" s="1" t="str">
        <f>HYPERLINK("http://maggi.co.uk","maggi.co.uk")</f>
        <v>maggi.co.uk</v>
      </c>
      <c r="C25397" t="s">
        <v>506</v>
      </c>
      <c r="D25397" t="s">
        <v>880</v>
      </c>
      <c r="F25397">
        <v>1.88878959281966E-8</v>
      </c>
      <c r="G25397">
        <v>2855609</v>
      </c>
      <c r="H25397">
        <v>14486674</v>
      </c>
      <c r="I25397">
        <v>961584</v>
      </c>
      <c r="J25397">
        <v>3</v>
      </c>
    </row>
    <row r="25398" spans="1:10" x14ac:dyDescent="0.25">
      <c r="A25398" t="s">
        <v>275</v>
      </c>
      <c r="B25398" s="1" t="str">
        <f>HYPERLINK("http://menier.co.uk","menier.co.uk")</f>
        <v>menier.co.uk</v>
      </c>
      <c r="C25398" t="s">
        <v>506</v>
      </c>
      <c r="D25398" t="s">
        <v>880</v>
      </c>
      <c r="F25398">
        <v>5.3487946468756598E-9</v>
      </c>
      <c r="G25398">
        <v>22818895</v>
      </c>
      <c r="H25398">
        <v>14071891</v>
      </c>
      <c r="I25398">
        <v>3238717</v>
      </c>
      <c r="J25398">
        <v>3</v>
      </c>
    </row>
    <row r="25399" spans="1:10" x14ac:dyDescent="0.25">
      <c r="A25399" t="s">
        <v>275</v>
      </c>
      <c r="B25399" s="1" t="str">
        <f>HYPERLINK("http://nestle.co.uk","nestle.co.uk")</f>
        <v>nestle.co.uk</v>
      </c>
      <c r="C25399" t="s">
        <v>506</v>
      </c>
      <c r="D25399" t="s">
        <v>880</v>
      </c>
      <c r="E25399">
        <v>160991</v>
      </c>
      <c r="F25399">
        <v>4.1570659390612899E-7</v>
      </c>
      <c r="G25399">
        <v>90540</v>
      </c>
      <c r="H25399">
        <v>15052270</v>
      </c>
      <c r="I25399">
        <v>414169</v>
      </c>
      <c r="J25399">
        <v>2</v>
      </c>
    </row>
    <row r="25400" spans="1:10" x14ac:dyDescent="0.25">
      <c r="A25400" t="s">
        <v>275</v>
      </c>
      <c r="B25400" s="1" t="str">
        <f>HYPERLINK("http://nestlehealthscience.co.uk","nestlehealthscience.co.uk")</f>
        <v>nestlehealthscience.co.uk</v>
      </c>
      <c r="C25400" t="s">
        <v>506</v>
      </c>
      <c r="D25400" t="s">
        <v>880</v>
      </c>
      <c r="F25400">
        <v>3.0042980124950198E-8</v>
      </c>
      <c r="G25400">
        <v>1712639</v>
      </c>
      <c r="H25400">
        <v>13263202</v>
      </c>
      <c r="I25400">
        <v>11024060</v>
      </c>
      <c r="J25400">
        <v>5</v>
      </c>
    </row>
    <row r="25401" spans="1:10" x14ac:dyDescent="0.25">
      <c r="A25401" t="s">
        <v>275</v>
      </c>
      <c r="B25401" s="1" t="str">
        <f>HYPERLINK("http://osem.co.uk","osem.co.uk")</f>
        <v>osem.co.uk</v>
      </c>
      <c r="C25401" t="s">
        <v>506</v>
      </c>
      <c r="D25401" t="s">
        <v>880</v>
      </c>
      <c r="F25401">
        <v>4.5941063179435001E-9</v>
      </c>
      <c r="G25401">
        <v>48081847</v>
      </c>
      <c r="H25401">
        <v>13763634</v>
      </c>
      <c r="I25401">
        <v>8549602</v>
      </c>
      <c r="J25401">
        <v>6</v>
      </c>
    </row>
    <row r="25402" spans="1:10" x14ac:dyDescent="0.25">
      <c r="A25402" t="s">
        <v>275</v>
      </c>
      <c r="B25402" s="1" t="str">
        <f>HYPERLINK("http://osteobiflex.co.uk","osteobiflex.co.uk")</f>
        <v>osteobiflex.co.uk</v>
      </c>
      <c r="C25402" t="s">
        <v>506</v>
      </c>
      <c r="D25402" t="s">
        <v>880</v>
      </c>
      <c r="J25402">
        <v>4</v>
      </c>
    </row>
    <row r="25403" spans="1:10" x14ac:dyDescent="0.25">
      <c r="A25403" t="s">
        <v>275</v>
      </c>
      <c r="B25403" s="1" t="str">
        <f>HYPERLINK("http://purina.co.uk","purina.co.uk")</f>
        <v>purina.co.uk</v>
      </c>
      <c r="C25403" t="s">
        <v>506</v>
      </c>
      <c r="D25403" t="s">
        <v>880</v>
      </c>
      <c r="E25403">
        <v>75376</v>
      </c>
      <c r="F25403">
        <v>3.7893055850393598E-7</v>
      </c>
      <c r="G25403">
        <v>98725</v>
      </c>
      <c r="H25403">
        <v>15366741</v>
      </c>
      <c r="I25403">
        <v>381873</v>
      </c>
      <c r="J25403">
        <v>4</v>
      </c>
    </row>
    <row r="25404" spans="1:10" x14ac:dyDescent="0.25">
      <c r="A25404" t="s">
        <v>275</v>
      </c>
      <c r="B25404" s="1" t="str">
        <f>HYPERLINK("http://rowntrees.co.uk","rowntrees.co.uk")</f>
        <v>rowntrees.co.uk</v>
      </c>
      <c r="C25404" t="s">
        <v>506</v>
      </c>
      <c r="D25404" t="s">
        <v>880</v>
      </c>
      <c r="F25404">
        <v>7.7815454950792999E-9</v>
      </c>
      <c r="G25404">
        <v>10364803</v>
      </c>
      <c r="H25404">
        <v>14120057</v>
      </c>
      <c r="I25404">
        <v>2392967</v>
      </c>
      <c r="J25404">
        <v>3</v>
      </c>
    </row>
    <row r="25405" spans="1:10" x14ac:dyDescent="0.25">
      <c r="A25405" t="s">
        <v>275</v>
      </c>
      <c r="B25405" s="1" t="str">
        <f>HYPERLINK("http://terra-fertil.co.uk","terra-fertil.co.uk")</f>
        <v>terra-fertil.co.uk</v>
      </c>
      <c r="C25405" t="s">
        <v>506</v>
      </c>
      <c r="D25405" t="s">
        <v>880</v>
      </c>
      <c r="F25405">
        <v>4.7269985263276098E-9</v>
      </c>
      <c r="G25405">
        <v>39492650</v>
      </c>
      <c r="H25405">
        <v>12476678</v>
      </c>
      <c r="I25405">
        <v>17630410</v>
      </c>
      <c r="J25405">
        <v>6</v>
      </c>
    </row>
    <row r="25406" spans="1:10" x14ac:dyDescent="0.25">
      <c r="A25406" t="s">
        <v>275</v>
      </c>
      <c r="B25406" s="1" t="str">
        <f>HYPERLINK("http://terracanis.co.uk","terracanis.co.uk")</f>
        <v>terracanis.co.uk</v>
      </c>
      <c r="C25406" t="s">
        <v>506</v>
      </c>
      <c r="D25406" t="s">
        <v>880</v>
      </c>
      <c r="F25406">
        <v>6.2891684861387501E-9</v>
      </c>
      <c r="G25406">
        <v>15083896</v>
      </c>
      <c r="H25406">
        <v>11002232</v>
      </c>
      <c r="I25406">
        <v>33546978</v>
      </c>
      <c r="J25406">
        <v>5</v>
      </c>
    </row>
    <row r="25407" spans="1:10" x14ac:dyDescent="0.25">
      <c r="A25407" t="s">
        <v>275</v>
      </c>
      <c r="B25407" s="1" t="str">
        <f>HYPERLINK("http://vitaflo.co.uk","vitaflo.co.uk")</f>
        <v>vitaflo.co.uk</v>
      </c>
      <c r="C25407" t="s">
        <v>506</v>
      </c>
      <c r="D25407" t="s">
        <v>880</v>
      </c>
      <c r="F25407">
        <v>7.2871728087318797E-9</v>
      </c>
      <c r="G25407">
        <v>11511813</v>
      </c>
      <c r="H25407">
        <v>12812715</v>
      </c>
      <c r="I25407">
        <v>14554538</v>
      </c>
      <c r="J25407">
        <v>4</v>
      </c>
    </row>
    <row r="25408" spans="1:10" x14ac:dyDescent="0.25">
      <c r="A25408" t="s">
        <v>275</v>
      </c>
      <c r="B25408" s="1" t="str">
        <f>HYPERLINK("http://vitalproteins.co.uk","vitalproteins.co.uk")</f>
        <v>vitalproteins.co.uk</v>
      </c>
      <c r="C25408" t="s">
        <v>506</v>
      </c>
      <c r="D25408" t="s">
        <v>880</v>
      </c>
      <c r="F25408">
        <v>8.7844463533356094E-9</v>
      </c>
      <c r="G25408">
        <v>8335943</v>
      </c>
      <c r="H25408">
        <v>12639271</v>
      </c>
      <c r="I25408">
        <v>15882262</v>
      </c>
      <c r="J25408">
        <v>4</v>
      </c>
    </row>
    <row r="25409" spans="1:10" x14ac:dyDescent="0.25">
      <c r="A25409" t="s">
        <v>275</v>
      </c>
      <c r="B25409" s="1" t="str">
        <f>HYPERLINK("http://dolce-gusto.us","dolce-gusto.us")</f>
        <v>dolce-gusto.us</v>
      </c>
      <c r="C25409" t="s">
        <v>522</v>
      </c>
      <c r="D25409" t="s">
        <v>891</v>
      </c>
      <c r="F25409">
        <v>3.8338625138666202E-8</v>
      </c>
      <c r="G25409">
        <v>1350399</v>
      </c>
      <c r="H25409">
        <v>14143316</v>
      </c>
      <c r="I25409">
        <v>1914523</v>
      </c>
      <c r="J25409">
        <v>4</v>
      </c>
    </row>
    <row r="25410" spans="1:10" x14ac:dyDescent="0.25">
      <c r="A25410" t="s">
        <v>275</v>
      </c>
      <c r="B25410" s="1" t="str">
        <f>HYPERLINK("http://haagendazs.us","haagendazs.us")</f>
        <v>haagendazs.us</v>
      </c>
      <c r="C25410" t="s">
        <v>522</v>
      </c>
      <c r="D25410" t="s">
        <v>891</v>
      </c>
      <c r="E25410">
        <v>232717</v>
      </c>
      <c r="F25410">
        <v>2.2534666675411401E-7</v>
      </c>
      <c r="G25410">
        <v>167219</v>
      </c>
      <c r="H25410">
        <v>17151540</v>
      </c>
      <c r="I25410">
        <v>51921</v>
      </c>
      <c r="J25410">
        <v>5</v>
      </c>
    </row>
    <row r="25411" spans="1:10" x14ac:dyDescent="0.25">
      <c r="A25411" t="s">
        <v>275</v>
      </c>
      <c r="B25411" s="1" t="str">
        <f>HYPERLINK("http://nestlehealthscience.us","nestlehealthscience.us")</f>
        <v>nestlehealthscience.us</v>
      </c>
      <c r="C25411" t="s">
        <v>522</v>
      </c>
      <c r="D25411" t="s">
        <v>891</v>
      </c>
      <c r="E25411">
        <v>744064</v>
      </c>
      <c r="F25411">
        <v>1.14922271681034E-7</v>
      </c>
      <c r="G25411">
        <v>346381</v>
      </c>
      <c r="H25411">
        <v>14460677</v>
      </c>
      <c r="I25411">
        <v>1047053</v>
      </c>
      <c r="J25411">
        <v>6</v>
      </c>
    </row>
    <row r="25412" spans="1:10" x14ac:dyDescent="0.25">
      <c r="A25412" t="s">
        <v>275</v>
      </c>
      <c r="B25412" s="1" t="str">
        <f>HYPERLINK("http://dolce-gusto.com.uy","dolce-gusto.com.uy")</f>
        <v>dolce-gusto.com.uy</v>
      </c>
      <c r="C25412" t="s">
        <v>507</v>
      </c>
      <c r="D25412" t="s">
        <v>881</v>
      </c>
      <c r="F25412">
        <v>9.4370229073332004E-9</v>
      </c>
      <c r="G25412">
        <v>7398721</v>
      </c>
      <c r="H25412">
        <v>12046995</v>
      </c>
      <c r="I25412">
        <v>27328187</v>
      </c>
      <c r="J25412">
        <v>4</v>
      </c>
    </row>
    <row r="25413" spans="1:10" x14ac:dyDescent="0.25">
      <c r="A25413" t="s">
        <v>275</v>
      </c>
      <c r="B25413" s="1" t="str">
        <f>HYPERLINK("http://nestle.com.uy","nestle.com.uy")</f>
        <v>nestle.com.uy</v>
      </c>
      <c r="C25413" t="s">
        <v>507</v>
      </c>
      <c r="D25413" t="s">
        <v>881</v>
      </c>
      <c r="F25413">
        <v>5.2916108721348098E-8</v>
      </c>
      <c r="G25413">
        <v>860862</v>
      </c>
      <c r="H25413">
        <v>14489017</v>
      </c>
      <c r="I25413">
        <v>926795</v>
      </c>
      <c r="J25413">
        <v>2</v>
      </c>
    </row>
    <row r="25414" spans="1:10" x14ac:dyDescent="0.25">
      <c r="A25414" t="s">
        <v>275</v>
      </c>
      <c r="B25414" s="1" t="str">
        <f>HYPERLINK("http://dolce-gusto.com.ve","dolce-gusto.com.ve")</f>
        <v>dolce-gusto.com.ve</v>
      </c>
      <c r="C25414" t="s">
        <v>508</v>
      </c>
      <c r="D25414" t="s">
        <v>882</v>
      </c>
      <c r="F25414">
        <v>1.2014396219855E-8</v>
      </c>
      <c r="G25414">
        <v>5166258</v>
      </c>
      <c r="H25414">
        <v>12178614</v>
      </c>
      <c r="I25414">
        <v>23847457</v>
      </c>
      <c r="J25414">
        <v>4</v>
      </c>
    </row>
    <row r="25415" spans="1:10" x14ac:dyDescent="0.25">
      <c r="A25415" t="s">
        <v>275</v>
      </c>
      <c r="B25415" s="1" t="str">
        <f>HYPERLINK("http://maggi.com.ve","maggi.com.ve")</f>
        <v>maggi.com.ve</v>
      </c>
      <c r="C25415" t="s">
        <v>508</v>
      </c>
      <c r="D25415" t="s">
        <v>882</v>
      </c>
      <c r="F25415">
        <v>9.2097031194327596E-9</v>
      </c>
      <c r="G25415">
        <v>7697051</v>
      </c>
      <c r="H25415">
        <v>12334979</v>
      </c>
      <c r="I25415">
        <v>20103998</v>
      </c>
      <c r="J25415">
        <v>3</v>
      </c>
    </row>
    <row r="25416" spans="1:10" x14ac:dyDescent="0.25">
      <c r="A25416" t="s">
        <v>275</v>
      </c>
      <c r="B25416" s="1" t="str">
        <f>HYPERLINK("http://nestle.com.ve","nestle.com.ve")</f>
        <v>nestle.com.ve</v>
      </c>
      <c r="C25416" t="s">
        <v>508</v>
      </c>
      <c r="D25416" t="s">
        <v>882</v>
      </c>
      <c r="F25416">
        <v>8.4594621228452302E-8</v>
      </c>
      <c r="G25416">
        <v>488216</v>
      </c>
      <c r="H25416">
        <v>14265127</v>
      </c>
      <c r="I25416">
        <v>1409390</v>
      </c>
      <c r="J25416">
        <v>2</v>
      </c>
    </row>
    <row r="25417" spans="1:10" x14ac:dyDescent="0.25">
      <c r="A25417" t="s">
        <v>275</v>
      </c>
      <c r="B25417" s="1" t="str">
        <f>HYPERLINK("http://laviewater.com.vn","laviewater.com.vn")</f>
        <v>laviewater.com.vn</v>
      </c>
      <c r="C25417" t="s">
        <v>509</v>
      </c>
      <c r="D25417" t="s">
        <v>883</v>
      </c>
      <c r="F25417">
        <v>7.3476376570306896E-9</v>
      </c>
      <c r="G25417">
        <v>11366238</v>
      </c>
      <c r="H25417">
        <v>10698411</v>
      </c>
      <c r="I25417">
        <v>42344134</v>
      </c>
      <c r="J25417">
        <v>3</v>
      </c>
    </row>
    <row r="25418" spans="1:10" x14ac:dyDescent="0.25">
      <c r="A25418" t="s">
        <v>275</v>
      </c>
      <c r="B25418" s="1" t="str">
        <f>HYPERLINK("http://maggi.com.vn","maggi.com.vn")</f>
        <v>maggi.com.vn</v>
      </c>
      <c r="C25418" t="s">
        <v>509</v>
      </c>
      <c r="D25418" t="s">
        <v>883</v>
      </c>
      <c r="F25418">
        <v>2.4840727068567201E-8</v>
      </c>
      <c r="G25418">
        <v>2081651</v>
      </c>
      <c r="H25418">
        <v>12926025</v>
      </c>
      <c r="I25418">
        <v>13389333</v>
      </c>
      <c r="J25418">
        <v>3</v>
      </c>
    </row>
    <row r="25419" spans="1:10" x14ac:dyDescent="0.25">
      <c r="A25419" t="s">
        <v>275</v>
      </c>
      <c r="B25419" s="1" t="str">
        <f>HYPERLINK("http://nestle.com.vn","nestle.com.vn")</f>
        <v>nestle.com.vn</v>
      </c>
      <c r="C25419" t="s">
        <v>509</v>
      </c>
      <c r="D25419" t="s">
        <v>883</v>
      </c>
      <c r="F25419">
        <v>9.9169394388001606E-8</v>
      </c>
      <c r="G25419">
        <v>406173</v>
      </c>
      <c r="H25419">
        <v>13407176</v>
      </c>
      <c r="I25419">
        <v>10348769</v>
      </c>
      <c r="J25419">
        <v>2</v>
      </c>
    </row>
    <row r="25420" spans="1:10" x14ac:dyDescent="0.25">
      <c r="A25420" t="s">
        <v>275</v>
      </c>
      <c r="B25420" s="1" t="str">
        <f>HYPERLINK("http://nestlehealthscience.vn","nestlehealthscience.vn")</f>
        <v>nestlehealthscience.vn</v>
      </c>
      <c r="C25420" t="s">
        <v>509</v>
      </c>
      <c r="D25420" t="s">
        <v>883</v>
      </c>
      <c r="F25420">
        <v>6.7023693824730599E-9</v>
      </c>
      <c r="G25420">
        <v>13294638</v>
      </c>
      <c r="H25420">
        <v>10967508</v>
      </c>
      <c r="I25420">
        <v>34194110</v>
      </c>
      <c r="J25420">
        <v>6</v>
      </c>
    </row>
    <row r="25421" spans="1:10" x14ac:dyDescent="0.25">
      <c r="A25421" t="s">
        <v>275</v>
      </c>
      <c r="B25421" s="1" t="str">
        <f>HYPERLINK("http://nespresso.yt","nespresso.yt")</f>
        <v>nespresso.yt</v>
      </c>
      <c r="C25421" t="s">
        <v>775</v>
      </c>
      <c r="D25421" t="s">
        <v>1019</v>
      </c>
      <c r="F25421">
        <v>4.5019152358222002E-9</v>
      </c>
      <c r="G25421">
        <v>58656978</v>
      </c>
      <c r="H25421">
        <v>1.0003663</v>
      </c>
      <c r="I25421">
        <v>79906805</v>
      </c>
      <c r="J25421">
        <v>4</v>
      </c>
    </row>
    <row r="25422" spans="1:10" x14ac:dyDescent="0.25">
      <c r="A25422" t="s">
        <v>275</v>
      </c>
      <c r="B25422" s="1" t="str">
        <f>HYPERLINK("http://dolce-gusto.co.za","dolce-gusto.co.za")</f>
        <v>dolce-gusto.co.za</v>
      </c>
      <c r="C25422" t="s">
        <v>510</v>
      </c>
      <c r="D25422" t="s">
        <v>884</v>
      </c>
      <c r="F25422">
        <v>1.03382003963094E-8</v>
      </c>
      <c r="G25422">
        <v>6415399</v>
      </c>
      <c r="H25422">
        <v>12127653</v>
      </c>
      <c r="I25422">
        <v>25209625</v>
      </c>
      <c r="J25422">
        <v>4</v>
      </c>
    </row>
    <row r="25423" spans="1:10" x14ac:dyDescent="0.25">
      <c r="A25423" t="s">
        <v>275</v>
      </c>
      <c r="B25423" s="1" t="str">
        <f>HYPERLINK("http://nestle.co.za","nestle.co.za")</f>
        <v>nestle.co.za</v>
      </c>
      <c r="C25423" t="s">
        <v>510</v>
      </c>
      <c r="D25423" t="s">
        <v>884</v>
      </c>
      <c r="F25423">
        <v>2.91305961362656E-8</v>
      </c>
      <c r="G25423">
        <v>1767886</v>
      </c>
      <c r="H25423">
        <v>14497805</v>
      </c>
      <c r="I25423">
        <v>864414</v>
      </c>
      <c r="J25423">
        <v>2</v>
      </c>
    </row>
    <row r="25424" spans="1:10" x14ac:dyDescent="0.25">
      <c r="A25424" t="s">
        <v>275</v>
      </c>
      <c r="B25424" s="1" t="str">
        <f>HYPERLINK("http://nestlehealthscience.co.za","nestlehealthscience.co.za")</f>
        <v>nestlehealthscience.co.za</v>
      </c>
      <c r="C25424" t="s">
        <v>510</v>
      </c>
      <c r="D25424" t="s">
        <v>884</v>
      </c>
      <c r="F25424">
        <v>4.8287594616791302E-9</v>
      </c>
      <c r="G25424">
        <v>34890221</v>
      </c>
      <c r="H25424">
        <v>10632860</v>
      </c>
      <c r="I25424">
        <v>43917876</v>
      </c>
      <c r="J25424">
        <v>6</v>
      </c>
    </row>
    <row r="25425" spans="1:10" x14ac:dyDescent="0.25">
      <c r="A25425" t="s">
        <v>276</v>
      </c>
      <c r="B25425" s="1" t="str">
        <f>HYPERLINK("http://163.com","163.com")</f>
        <v>163.com</v>
      </c>
      <c r="C25425" t="s">
        <v>433</v>
      </c>
      <c r="E25425">
        <v>69</v>
      </c>
      <c r="F25425">
        <v>4.6389060827244099E-5</v>
      </c>
      <c r="G25425">
        <v>581</v>
      </c>
      <c r="H25425">
        <v>19252962</v>
      </c>
      <c r="I25425">
        <v>324</v>
      </c>
      <c r="J25425">
        <v>2</v>
      </c>
    </row>
    <row r="25426" spans="1:10" x14ac:dyDescent="0.25">
      <c r="A25426" t="s">
        <v>276</v>
      </c>
      <c r="B25426" s="1" t="str">
        <f>HYPERLINK("http://baochuangame.com","baochuangame.com")</f>
        <v>baochuangame.com</v>
      </c>
      <c r="C25426" t="s">
        <v>433</v>
      </c>
      <c r="J25426">
        <v>4</v>
      </c>
    </row>
    <row r="25427" spans="1:10" x14ac:dyDescent="0.25">
      <c r="A25427" t="s">
        <v>276</v>
      </c>
      <c r="B25427" s="1" t="str">
        <f>HYPERLINK("http://baochuangames.com","baochuangames.com")</f>
        <v>baochuangames.com</v>
      </c>
      <c r="C25427" t="s">
        <v>433</v>
      </c>
      <c r="F25427">
        <v>2.8527291872586301E-8</v>
      </c>
      <c r="G25427">
        <v>1804432</v>
      </c>
      <c r="H25427">
        <v>12665031</v>
      </c>
      <c r="I25427">
        <v>15663074</v>
      </c>
      <c r="J25427">
        <v>4</v>
      </c>
    </row>
    <row r="25428" spans="1:10" x14ac:dyDescent="0.25">
      <c r="A25428" t="s">
        <v>276</v>
      </c>
      <c r="B25428" s="1" t="str">
        <f>HYPERLINK("http://boltrend.com","boltrend.com")</f>
        <v>boltrend.com</v>
      </c>
      <c r="C25428" t="s">
        <v>433</v>
      </c>
      <c r="E25428">
        <v>153486</v>
      </c>
      <c r="F25428">
        <v>9.3642755835351196E-8</v>
      </c>
      <c r="G25428">
        <v>433908</v>
      </c>
      <c r="H25428">
        <v>17115222</v>
      </c>
      <c r="I25428">
        <v>61134</v>
      </c>
      <c r="J25428">
        <v>6</v>
      </c>
    </row>
    <row r="25429" spans="1:10" x14ac:dyDescent="0.25">
      <c r="A25429" t="s">
        <v>276</v>
      </c>
      <c r="B25429" s="1" t="str">
        <f>HYPERLINK("http://netease.com","netease.com")</f>
        <v>netease.com</v>
      </c>
      <c r="C25429" t="s">
        <v>433</v>
      </c>
      <c r="E25429">
        <v>415</v>
      </c>
      <c r="F25429">
        <v>6.1600506888355103E-6</v>
      </c>
      <c r="G25429">
        <v>5585</v>
      </c>
      <c r="H25429">
        <v>17543818</v>
      </c>
      <c r="I25429">
        <v>11520</v>
      </c>
      <c r="J25429">
        <v>1</v>
      </c>
    </row>
    <row r="25430" spans="1:10" x14ac:dyDescent="0.25">
      <c r="A25430" t="s">
        <v>276</v>
      </c>
      <c r="B25430" s="1" t="str">
        <f>HYPERLINK("http://neteasegames.com","neteasegames.com")</f>
        <v>neteasegames.com</v>
      </c>
      <c r="C25430" t="s">
        <v>433</v>
      </c>
      <c r="E25430">
        <v>276792</v>
      </c>
      <c r="F25430">
        <v>3.6253310205411702E-7</v>
      </c>
      <c r="G25430">
        <v>103137</v>
      </c>
      <c r="H25430">
        <v>14752864</v>
      </c>
      <c r="I25430">
        <v>562779</v>
      </c>
      <c r="J25430">
        <v>3</v>
      </c>
    </row>
    <row r="25431" spans="1:10" x14ac:dyDescent="0.25">
      <c r="A25431" t="s">
        <v>276</v>
      </c>
      <c r="B25431" s="1" t="str">
        <f>HYPERLINK("http://youdao.com","youdao.com")</f>
        <v>youdao.com</v>
      </c>
      <c r="C25431" t="s">
        <v>433</v>
      </c>
      <c r="E25431">
        <v>482</v>
      </c>
      <c r="F25431">
        <v>7.8627939790333195E-6</v>
      </c>
      <c r="G25431">
        <v>4271</v>
      </c>
      <c r="H25431">
        <v>17896694</v>
      </c>
      <c r="I25431">
        <v>4500</v>
      </c>
      <c r="J25431">
        <v>3</v>
      </c>
    </row>
    <row r="25432" spans="1:10" x14ac:dyDescent="0.25">
      <c r="A25432" t="s">
        <v>276</v>
      </c>
      <c r="B25432" s="1" t="str">
        <f>HYPERLINK("http://163.fm","163.fm")</f>
        <v>163.fm</v>
      </c>
      <c r="C25432" t="s">
        <v>528</v>
      </c>
      <c r="D25432" t="s">
        <v>894</v>
      </c>
      <c r="F25432">
        <v>3.2237603350816301E-8</v>
      </c>
      <c r="G25432">
        <v>1604048</v>
      </c>
      <c r="H25432">
        <v>14154060</v>
      </c>
      <c r="I25432">
        <v>1864062</v>
      </c>
      <c r="J25432">
        <v>3</v>
      </c>
    </row>
    <row r="25433" spans="1:10" x14ac:dyDescent="0.25">
      <c r="A25433" t="s">
        <v>276</v>
      </c>
      <c r="B25433" s="1" t="str">
        <f>HYPERLINK("http://grasshopper.co.jp","grasshopper.co.jp")</f>
        <v>grasshopper.co.jp</v>
      </c>
      <c r="C25433" t="s">
        <v>461</v>
      </c>
      <c r="D25433" t="s">
        <v>837</v>
      </c>
      <c r="E25433">
        <v>788117</v>
      </c>
      <c r="F25433">
        <v>5.4635093942185398E-8</v>
      </c>
      <c r="G25433">
        <v>825200</v>
      </c>
      <c r="H25433">
        <v>14923726</v>
      </c>
      <c r="I25433">
        <v>450348</v>
      </c>
      <c r="J25433">
        <v>3</v>
      </c>
    </row>
    <row r="25434" spans="1:10" x14ac:dyDescent="0.25">
      <c r="A25434" t="s">
        <v>276</v>
      </c>
      <c r="B25434" s="1" t="str">
        <f>HYPERLINK("http://163.link","163.link")</f>
        <v>163.link</v>
      </c>
      <c r="C25434" t="s">
        <v>546</v>
      </c>
      <c r="F25434">
        <v>1.5478879509411001E-8</v>
      </c>
      <c r="G25434">
        <v>3690666</v>
      </c>
      <c r="H25434">
        <v>13135720</v>
      </c>
      <c r="I25434">
        <v>11909436</v>
      </c>
      <c r="J25434">
        <v>3</v>
      </c>
    </row>
    <row r="25435" spans="1:10" x14ac:dyDescent="0.25">
      <c r="A25435" t="s">
        <v>276</v>
      </c>
      <c r="B25435" s="1" t="str">
        <f>HYPERLINK("http://163.lu","163.lu")</f>
        <v>163.lu</v>
      </c>
      <c r="C25435" t="s">
        <v>547</v>
      </c>
      <c r="D25435" t="s">
        <v>904</v>
      </c>
      <c r="F25435">
        <v>3.9294956986890297E-8</v>
      </c>
      <c r="G25435">
        <v>1313086</v>
      </c>
      <c r="H25435">
        <v>13615834</v>
      </c>
      <c r="I25435">
        <v>9630163</v>
      </c>
      <c r="J25435">
        <v>3</v>
      </c>
    </row>
    <row r="25436" spans="1:10" x14ac:dyDescent="0.25">
      <c r="A25436" t="s">
        <v>277</v>
      </c>
      <c r="B25436" s="1" t="str">
        <f>HYPERLINK("http://netflix.ca","netflix.ca")</f>
        <v>netflix.ca</v>
      </c>
      <c r="C25436" t="s">
        <v>428</v>
      </c>
      <c r="D25436" t="s">
        <v>809</v>
      </c>
      <c r="E25436">
        <v>637415</v>
      </c>
      <c r="F25436">
        <v>2.9854406999009803E-8</v>
      </c>
      <c r="G25436">
        <v>1723952</v>
      </c>
      <c r="H25436">
        <v>14166242</v>
      </c>
      <c r="I25436">
        <v>1818992</v>
      </c>
      <c r="J25436">
        <v>2</v>
      </c>
    </row>
    <row r="25437" spans="1:10" x14ac:dyDescent="0.25">
      <c r="A25437" t="s">
        <v>277</v>
      </c>
      <c r="B25437" s="1" t="str">
        <f>HYPERLINK("http://abqstudios.com","abqstudios.com")</f>
        <v>abqstudios.com</v>
      </c>
      <c r="C25437" t="s">
        <v>433</v>
      </c>
      <c r="F25437">
        <v>2.44145204336516E-8</v>
      </c>
      <c r="G25437">
        <v>2122515</v>
      </c>
      <c r="H25437">
        <v>14819173</v>
      </c>
      <c r="I25437">
        <v>519032</v>
      </c>
      <c r="J25437">
        <v>4</v>
      </c>
    </row>
    <row r="25438" spans="1:10" x14ac:dyDescent="0.25">
      <c r="A25438" t="s">
        <v>277</v>
      </c>
      <c r="B25438" s="1" t="str">
        <f>HYPERLINK("http://dvd.com","dvd.com")</f>
        <v>dvd.com</v>
      </c>
      <c r="C25438" t="s">
        <v>433</v>
      </c>
      <c r="E25438">
        <v>333554</v>
      </c>
      <c r="F25438">
        <v>1.04664540523483E-7</v>
      </c>
      <c r="G25438">
        <v>382944</v>
      </c>
      <c r="H25438">
        <v>13886963</v>
      </c>
      <c r="I25438">
        <v>5968047</v>
      </c>
      <c r="J25438">
        <v>2</v>
      </c>
    </row>
    <row r="25439" spans="1:10" x14ac:dyDescent="0.25">
      <c r="A25439" t="s">
        <v>277</v>
      </c>
      <c r="B25439" s="1" t="str">
        <f>HYPERLINK("http://fast.com","fast.com")</f>
        <v>fast.com</v>
      </c>
      <c r="C25439" t="s">
        <v>433</v>
      </c>
      <c r="E25439">
        <v>1283</v>
      </c>
      <c r="F25439">
        <v>4.4922074330943401E-6</v>
      </c>
      <c r="G25439">
        <v>7841</v>
      </c>
      <c r="H25439">
        <v>17669008</v>
      </c>
      <c r="I25439">
        <v>7977</v>
      </c>
      <c r="J25439">
        <v>2</v>
      </c>
    </row>
    <row r="25440" spans="1:10" x14ac:dyDescent="0.25">
      <c r="A25440" t="s">
        <v>277</v>
      </c>
      <c r="B25440" s="1" t="str">
        <f>HYPERLINK("http://netflix.com","netflix.com")</f>
        <v>netflix.com</v>
      </c>
      <c r="C25440" t="s">
        <v>433</v>
      </c>
      <c r="E25440">
        <v>7</v>
      </c>
      <c r="F25440">
        <v>4.7543861221941203E-5</v>
      </c>
      <c r="G25440">
        <v>558</v>
      </c>
      <c r="H25440">
        <v>18953020</v>
      </c>
      <c r="I25440">
        <v>585</v>
      </c>
      <c r="J25440">
        <v>1</v>
      </c>
    </row>
    <row r="25441" spans="1:10" x14ac:dyDescent="0.25">
      <c r="A25441" t="s">
        <v>277</v>
      </c>
      <c r="B25441" s="1" t="str">
        <f>HYPERLINK("http://netflixdnstest1.com","netflixdnstest1.com")</f>
        <v>netflixdnstest1.com</v>
      </c>
      <c r="C25441" t="s">
        <v>433</v>
      </c>
      <c r="E25441">
        <v>56185</v>
      </c>
      <c r="F25441">
        <v>4.44380996400719E-9</v>
      </c>
      <c r="G25441">
        <v>79624556</v>
      </c>
      <c r="H25441">
        <v>10351910</v>
      </c>
      <c r="I25441">
        <v>56128765</v>
      </c>
      <c r="J25441">
        <v>2</v>
      </c>
    </row>
    <row r="25442" spans="1:10" x14ac:dyDescent="0.25">
      <c r="A25442" t="s">
        <v>277</v>
      </c>
      <c r="B25442" s="1" t="str">
        <f>HYPERLINK("http://netflixdnstest10.com","netflixdnstest10.com")</f>
        <v>netflixdnstest10.com</v>
      </c>
      <c r="C25442" t="s">
        <v>433</v>
      </c>
      <c r="E25442">
        <v>192073</v>
      </c>
      <c r="F25442">
        <v>4.4438486064592198E-9</v>
      </c>
      <c r="G25442">
        <v>78529672</v>
      </c>
      <c r="H25442">
        <v>10541462</v>
      </c>
      <c r="I25442">
        <v>47179096</v>
      </c>
      <c r="J25442">
        <v>2</v>
      </c>
    </row>
    <row r="25443" spans="1:10" x14ac:dyDescent="0.25">
      <c r="A25443" t="s">
        <v>277</v>
      </c>
      <c r="B25443" s="1" t="str">
        <f>HYPERLINK("http://netflixdnstest2.com","netflixdnstest2.com")</f>
        <v>netflixdnstest2.com</v>
      </c>
      <c r="C25443" t="s">
        <v>433</v>
      </c>
      <c r="E25443">
        <v>61279</v>
      </c>
      <c r="F25443">
        <v>4.4438425958072798E-9</v>
      </c>
      <c r="G25443">
        <v>78698393</v>
      </c>
      <c r="H25443">
        <v>10535755</v>
      </c>
      <c r="I25443">
        <v>47601994</v>
      </c>
      <c r="J25443">
        <v>2</v>
      </c>
    </row>
    <row r="25444" spans="1:10" x14ac:dyDescent="0.25">
      <c r="A25444" t="s">
        <v>277</v>
      </c>
      <c r="B25444" s="1" t="str">
        <f>HYPERLINK("http://netflixdnstest3.com","netflixdnstest3.com")</f>
        <v>netflixdnstest3.com</v>
      </c>
      <c r="C25444" t="s">
        <v>433</v>
      </c>
      <c r="E25444">
        <v>66629</v>
      </c>
      <c r="F25444">
        <v>4.4438425958072798E-9</v>
      </c>
      <c r="G25444">
        <v>78698394</v>
      </c>
      <c r="H25444">
        <v>10535755</v>
      </c>
      <c r="I25444">
        <v>47601995</v>
      </c>
      <c r="J25444">
        <v>2</v>
      </c>
    </row>
    <row r="25445" spans="1:10" x14ac:dyDescent="0.25">
      <c r="A25445" t="s">
        <v>277</v>
      </c>
      <c r="B25445" s="1" t="str">
        <f>HYPERLINK("http://netflixdnstest4.com","netflixdnstest4.com")</f>
        <v>netflixdnstest4.com</v>
      </c>
      <c r="C25445" t="s">
        <v>433</v>
      </c>
      <c r="E25445">
        <v>65595</v>
      </c>
      <c r="F25445">
        <v>4.4438425958072798E-9</v>
      </c>
      <c r="G25445">
        <v>78698395</v>
      </c>
      <c r="H25445">
        <v>10535755</v>
      </c>
      <c r="I25445">
        <v>47601996</v>
      </c>
      <c r="J25445">
        <v>2</v>
      </c>
    </row>
    <row r="25446" spans="1:10" x14ac:dyDescent="0.25">
      <c r="A25446" t="s">
        <v>277</v>
      </c>
      <c r="B25446" s="1" t="str">
        <f>HYPERLINK("http://netflixdnstest5.com","netflixdnstest5.com")</f>
        <v>netflixdnstest5.com</v>
      </c>
      <c r="C25446" t="s">
        <v>433</v>
      </c>
      <c r="E25446">
        <v>51826</v>
      </c>
      <c r="F25446">
        <v>4.44380996400719E-9</v>
      </c>
      <c r="G25446">
        <v>79624557</v>
      </c>
      <c r="H25446">
        <v>10351910</v>
      </c>
      <c r="I25446">
        <v>56128766</v>
      </c>
      <c r="J25446">
        <v>2</v>
      </c>
    </row>
    <row r="25447" spans="1:10" x14ac:dyDescent="0.25">
      <c r="A25447" t="s">
        <v>277</v>
      </c>
      <c r="B25447" s="1" t="str">
        <f>HYPERLINK("http://netflixdnstest6.com","netflixdnstest6.com")</f>
        <v>netflixdnstest6.com</v>
      </c>
      <c r="C25447" t="s">
        <v>433</v>
      </c>
      <c r="E25447">
        <v>186565</v>
      </c>
      <c r="F25447">
        <v>4.4438486064592198E-9</v>
      </c>
      <c r="G25447">
        <v>78529673</v>
      </c>
      <c r="H25447">
        <v>10541462</v>
      </c>
      <c r="I25447">
        <v>47179097</v>
      </c>
      <c r="J25447">
        <v>2</v>
      </c>
    </row>
    <row r="25448" spans="1:10" x14ac:dyDescent="0.25">
      <c r="A25448" t="s">
        <v>277</v>
      </c>
      <c r="B25448" s="1" t="str">
        <f>HYPERLINK("http://netflixdnstest7.com","netflixdnstest7.com")</f>
        <v>netflixdnstest7.com</v>
      </c>
      <c r="C25448" t="s">
        <v>433</v>
      </c>
      <c r="E25448">
        <v>193670</v>
      </c>
      <c r="F25448">
        <v>4.44380996400719E-9</v>
      </c>
      <c r="G25448">
        <v>79624558</v>
      </c>
      <c r="H25448">
        <v>10351910</v>
      </c>
      <c r="I25448">
        <v>56128767</v>
      </c>
      <c r="J25448">
        <v>2</v>
      </c>
    </row>
    <row r="25449" spans="1:10" x14ac:dyDescent="0.25">
      <c r="A25449" t="s">
        <v>277</v>
      </c>
      <c r="B25449" s="1" t="str">
        <f>HYPERLINK("http://netflixdnstest8.com","netflixdnstest8.com")</f>
        <v>netflixdnstest8.com</v>
      </c>
      <c r="C25449" t="s">
        <v>433</v>
      </c>
      <c r="E25449">
        <v>51975</v>
      </c>
      <c r="J25449">
        <v>2</v>
      </c>
    </row>
    <row r="25450" spans="1:10" x14ac:dyDescent="0.25">
      <c r="A25450" t="s">
        <v>277</v>
      </c>
      <c r="B25450" s="1" t="str">
        <f>HYPERLINK("http://netflixdnstest9.com","netflixdnstest9.com")</f>
        <v>netflixdnstest9.com</v>
      </c>
      <c r="C25450" t="s">
        <v>433</v>
      </c>
      <c r="E25450">
        <v>177091</v>
      </c>
      <c r="F25450">
        <v>4.44380996400719E-9</v>
      </c>
      <c r="G25450">
        <v>79624559</v>
      </c>
      <c r="H25450">
        <v>10351910</v>
      </c>
      <c r="I25450">
        <v>56128768</v>
      </c>
      <c r="J25450">
        <v>2</v>
      </c>
    </row>
    <row r="25451" spans="1:10" x14ac:dyDescent="0.25">
      <c r="A25451" t="s">
        <v>277</v>
      </c>
      <c r="B25451" s="1" t="str">
        <f>HYPERLINK("http://netflixlabs.com","netflixlabs.com")</f>
        <v>netflixlabs.com</v>
      </c>
      <c r="C25451" t="s">
        <v>433</v>
      </c>
      <c r="E25451">
        <v>174691</v>
      </c>
      <c r="F25451">
        <v>4.44380996400719E-9</v>
      </c>
      <c r="G25451">
        <v>79624560</v>
      </c>
      <c r="H25451">
        <v>10351910</v>
      </c>
      <c r="I25451">
        <v>56128769</v>
      </c>
      <c r="J25451">
        <v>2</v>
      </c>
    </row>
    <row r="25452" spans="1:10" x14ac:dyDescent="0.25">
      <c r="A25452" t="s">
        <v>277</v>
      </c>
      <c r="B25452" s="1" t="str">
        <f>HYPERLINK("http://netflixstudios.com","netflixstudios.com")</f>
        <v>netflixstudios.com</v>
      </c>
      <c r="C25452" t="s">
        <v>433</v>
      </c>
      <c r="E25452">
        <v>10466</v>
      </c>
      <c r="F25452">
        <v>4.1092614224470901E-7</v>
      </c>
      <c r="G25452">
        <v>91524</v>
      </c>
      <c r="H25452">
        <v>15107175</v>
      </c>
      <c r="I25452">
        <v>405510</v>
      </c>
      <c r="J25452">
        <v>2</v>
      </c>
    </row>
    <row r="25453" spans="1:10" x14ac:dyDescent="0.25">
      <c r="A25453" t="s">
        <v>277</v>
      </c>
      <c r="B25453" s="1" t="str">
        <f>HYPERLINK("http://nflxsdn.com","nflxsdn.com")</f>
        <v>nflxsdn.com</v>
      </c>
      <c r="C25453" t="s">
        <v>433</v>
      </c>
      <c r="E25453">
        <v>276196</v>
      </c>
      <c r="F25453">
        <v>4.44380996400719E-9</v>
      </c>
      <c r="G25453">
        <v>79624682</v>
      </c>
      <c r="H25453">
        <v>10351910</v>
      </c>
      <c r="I25453">
        <v>56128903</v>
      </c>
      <c r="J25453">
        <v>2</v>
      </c>
    </row>
    <row r="25454" spans="1:10" x14ac:dyDescent="0.25">
      <c r="A25454" t="s">
        <v>277</v>
      </c>
      <c r="B25454" s="1" t="str">
        <f>HYPERLINK("http://nightschoolstudio.com","nightschoolstudio.com")</f>
        <v>nightschoolstudio.com</v>
      </c>
      <c r="C25454" t="s">
        <v>433</v>
      </c>
      <c r="E25454">
        <v>359423</v>
      </c>
      <c r="F25454">
        <v>1.97703004049479E-7</v>
      </c>
      <c r="G25454">
        <v>195048</v>
      </c>
      <c r="H25454">
        <v>14807590</v>
      </c>
      <c r="I25454">
        <v>543802</v>
      </c>
      <c r="J25454">
        <v>4</v>
      </c>
    </row>
    <row r="25455" spans="1:10" x14ac:dyDescent="0.25">
      <c r="A25455" t="s">
        <v>277</v>
      </c>
      <c r="B25455" s="1" t="str">
        <f>HYPERLINK("http://scanlinevfx.com","scanlinevfx.com")</f>
        <v>scanlinevfx.com</v>
      </c>
      <c r="C25455" t="s">
        <v>433</v>
      </c>
      <c r="F25455">
        <v>1.6207353557089E-7</v>
      </c>
      <c r="G25455">
        <v>239487</v>
      </c>
      <c r="H25455">
        <v>14673826</v>
      </c>
      <c r="I25455">
        <v>612422</v>
      </c>
      <c r="J25455">
        <v>4</v>
      </c>
    </row>
    <row r="25456" spans="1:10" x14ac:dyDescent="0.25">
      <c r="A25456" t="s">
        <v>277</v>
      </c>
      <c r="B25456" s="1" t="str">
        <f>HYPERLINK("http://neflix.fi","neflix.fi")</f>
        <v>neflix.fi</v>
      </c>
      <c r="C25456" t="s">
        <v>445</v>
      </c>
      <c r="D25456" t="s">
        <v>823</v>
      </c>
      <c r="J25456">
        <v>2</v>
      </c>
    </row>
    <row r="25457" spans="1:10" x14ac:dyDescent="0.25">
      <c r="A25457" t="s">
        <v>277</v>
      </c>
      <c r="B25457" s="1" t="str">
        <f>HYPERLINK("http://netfilx.fi","netfilx.fi")</f>
        <v>netfilx.fi</v>
      </c>
      <c r="C25457" t="s">
        <v>445</v>
      </c>
      <c r="D25457" t="s">
        <v>823</v>
      </c>
      <c r="J25457">
        <v>2</v>
      </c>
    </row>
    <row r="25458" spans="1:10" x14ac:dyDescent="0.25">
      <c r="A25458" t="s">
        <v>277</v>
      </c>
      <c r="B25458" s="1" t="str">
        <f>HYPERLINK("http://netfix.fi","netfix.fi")</f>
        <v>netfix.fi</v>
      </c>
      <c r="C25458" t="s">
        <v>445</v>
      </c>
      <c r="D25458" t="s">
        <v>823</v>
      </c>
      <c r="J25458">
        <v>2</v>
      </c>
    </row>
    <row r="25459" spans="1:10" x14ac:dyDescent="0.25">
      <c r="A25459" t="s">
        <v>277</v>
      </c>
      <c r="B25459" s="1" t="str">
        <f>HYPERLINK("http://netflex.fi","netflex.fi")</f>
        <v>netflex.fi</v>
      </c>
      <c r="C25459" t="s">
        <v>445</v>
      </c>
      <c r="D25459" t="s">
        <v>823</v>
      </c>
      <c r="J25459">
        <v>2</v>
      </c>
    </row>
    <row r="25460" spans="1:10" x14ac:dyDescent="0.25">
      <c r="A25460" t="s">
        <v>277</v>
      </c>
      <c r="B25460" s="1" t="str">
        <f>HYPERLINK("http://netfli.fi","netfli.fi")</f>
        <v>netfli.fi</v>
      </c>
      <c r="C25460" t="s">
        <v>445</v>
      </c>
      <c r="D25460" t="s">
        <v>823</v>
      </c>
      <c r="J25460">
        <v>2</v>
      </c>
    </row>
    <row r="25461" spans="1:10" x14ac:dyDescent="0.25">
      <c r="A25461" t="s">
        <v>277</v>
      </c>
      <c r="B25461" s="1" t="str">
        <f>HYPERLINK("http://netflic.fi","netflic.fi")</f>
        <v>netflic.fi</v>
      </c>
      <c r="C25461" t="s">
        <v>445</v>
      </c>
      <c r="D25461" t="s">
        <v>823</v>
      </c>
      <c r="J25461">
        <v>2</v>
      </c>
    </row>
    <row r="25462" spans="1:10" x14ac:dyDescent="0.25">
      <c r="A25462" t="s">
        <v>277</v>
      </c>
      <c r="B25462" s="1" t="str">
        <f>HYPERLINK("http://netflix.fi","netflix.fi")</f>
        <v>netflix.fi</v>
      </c>
      <c r="C25462" t="s">
        <v>445</v>
      </c>
      <c r="D25462" t="s">
        <v>823</v>
      </c>
      <c r="F25462">
        <v>1.3012943991734299E-8</v>
      </c>
      <c r="G25462">
        <v>4625562</v>
      </c>
      <c r="H25462">
        <v>14119736</v>
      </c>
      <c r="I25462">
        <v>2485309</v>
      </c>
      <c r="J25462">
        <v>2</v>
      </c>
    </row>
    <row r="25463" spans="1:10" x14ac:dyDescent="0.25">
      <c r="A25463" t="s">
        <v>277</v>
      </c>
      <c r="B25463" s="1" t="str">
        <f>HYPERLINK("http://netflixs.fi","netflixs.fi")</f>
        <v>netflixs.fi</v>
      </c>
      <c r="C25463" t="s">
        <v>445</v>
      </c>
      <c r="D25463" t="s">
        <v>823</v>
      </c>
      <c r="J25463">
        <v>2</v>
      </c>
    </row>
    <row r="25464" spans="1:10" x14ac:dyDescent="0.25">
      <c r="A25464" t="s">
        <v>277</v>
      </c>
      <c r="B25464" s="1" t="str">
        <f>HYPERLINK("http://netflx.fi","netflx.fi")</f>
        <v>netflx.fi</v>
      </c>
      <c r="C25464" t="s">
        <v>445</v>
      </c>
      <c r="D25464" t="s">
        <v>823</v>
      </c>
      <c r="J25464">
        <v>2</v>
      </c>
    </row>
    <row r="25465" spans="1:10" x14ac:dyDescent="0.25">
      <c r="A25465" t="s">
        <v>277</v>
      </c>
      <c r="B25465" s="1" t="str">
        <f>HYPERLINK("http://theflixies.fi","theflixies.fi")</f>
        <v>theflixies.fi</v>
      </c>
      <c r="C25465" t="s">
        <v>445</v>
      </c>
      <c r="D25465" t="s">
        <v>823</v>
      </c>
      <c r="J25465">
        <v>2</v>
      </c>
    </row>
    <row r="25466" spans="1:10" x14ac:dyDescent="0.25">
      <c r="A25466" t="s">
        <v>277</v>
      </c>
      <c r="B25466" s="1" t="str">
        <f>HYPERLINK("http://wwwnetflix.fi","wwwnetflix.fi")</f>
        <v>wwwnetflix.fi</v>
      </c>
      <c r="C25466" t="s">
        <v>445</v>
      </c>
      <c r="D25466" t="s">
        <v>823</v>
      </c>
      <c r="J25466">
        <v>2</v>
      </c>
    </row>
    <row r="25467" spans="1:10" x14ac:dyDescent="0.25">
      <c r="A25467" t="s">
        <v>277</v>
      </c>
      <c r="B25467" s="1" t="str">
        <f>HYPERLINK("http://netflix.net","netflix.net")</f>
        <v>netflix.net</v>
      </c>
      <c r="C25467" t="s">
        <v>474</v>
      </c>
      <c r="E25467">
        <v>47</v>
      </c>
      <c r="F25467">
        <v>5.8676354590662197E-7</v>
      </c>
      <c r="G25467">
        <v>65167</v>
      </c>
      <c r="H25467">
        <v>15052284</v>
      </c>
      <c r="I25467">
        <v>414166</v>
      </c>
      <c r="J25467">
        <v>2</v>
      </c>
    </row>
    <row r="25468" spans="1:10" x14ac:dyDescent="0.25">
      <c r="A25468" t="s">
        <v>277</v>
      </c>
      <c r="B25468" s="1" t="str">
        <f>HYPERLINK("http://netflixtest.net","netflixtest.net")</f>
        <v>netflixtest.net</v>
      </c>
      <c r="C25468" t="s">
        <v>474</v>
      </c>
      <c r="E25468">
        <v>64896</v>
      </c>
      <c r="F25468">
        <v>4.4438486064529804E-9</v>
      </c>
      <c r="G25468">
        <v>78538697</v>
      </c>
      <c r="H25468">
        <v>10541462</v>
      </c>
      <c r="I25468">
        <v>47187799</v>
      </c>
      <c r="J25468">
        <v>2</v>
      </c>
    </row>
    <row r="25469" spans="1:10" x14ac:dyDescent="0.25">
      <c r="A25469" t="s">
        <v>277</v>
      </c>
      <c r="B25469" s="1" t="str">
        <f>HYPERLINK("http://nflxso.net","nflxso.net")</f>
        <v>nflxso.net</v>
      </c>
      <c r="C25469" t="s">
        <v>474</v>
      </c>
      <c r="E25469">
        <v>32</v>
      </c>
      <c r="F25469">
        <v>4.2650557810105E-7</v>
      </c>
      <c r="G25469">
        <v>88315</v>
      </c>
      <c r="H25469">
        <v>17213908</v>
      </c>
      <c r="I25469">
        <v>39391</v>
      </c>
      <c r="J25469">
        <v>2</v>
      </c>
    </row>
    <row r="25470" spans="1:10" x14ac:dyDescent="0.25">
      <c r="A25470" t="s">
        <v>277</v>
      </c>
      <c r="B25470" s="1" t="str">
        <f>HYPERLINK("http://nflxvideo.net","nflxvideo.net")</f>
        <v>nflxvideo.net</v>
      </c>
      <c r="C25470" t="s">
        <v>474</v>
      </c>
      <c r="E25470">
        <v>344</v>
      </c>
      <c r="F25470">
        <v>1.6395620113430501E-8</v>
      </c>
      <c r="G25470">
        <v>3447232</v>
      </c>
      <c r="H25470">
        <v>13766475</v>
      </c>
      <c r="I25470">
        <v>7002192</v>
      </c>
      <c r="J25470">
        <v>2</v>
      </c>
    </row>
    <row r="25471" spans="1:10" x14ac:dyDescent="0.25">
      <c r="A25471" t="s">
        <v>277</v>
      </c>
      <c r="B25471" s="1" t="str">
        <f>HYPERLINK("http://netflix.pl","netflix.pl")</f>
        <v>netflix.pl</v>
      </c>
      <c r="C25471" t="s">
        <v>486</v>
      </c>
      <c r="D25471" t="s">
        <v>860</v>
      </c>
      <c r="F25471">
        <v>7.6568733278409602E-9</v>
      </c>
      <c r="G25471">
        <v>10671516</v>
      </c>
      <c r="H25471">
        <v>12623739</v>
      </c>
      <c r="I25471">
        <v>16050272</v>
      </c>
      <c r="J25471">
        <v>2</v>
      </c>
    </row>
    <row r="25472" spans="1:10" x14ac:dyDescent="0.25">
      <c r="A25472" t="s">
        <v>277</v>
      </c>
      <c r="B25472" s="1" t="str">
        <f>HYPERLINK("http://netflix.shop","netflix.shop")</f>
        <v>netflix.shop</v>
      </c>
      <c r="C25472" t="s">
        <v>708</v>
      </c>
      <c r="E25472">
        <v>203360</v>
      </c>
      <c r="F25472">
        <v>4.1764250834794702E-7</v>
      </c>
      <c r="G25472">
        <v>90166</v>
      </c>
      <c r="H25472">
        <v>17131602</v>
      </c>
      <c r="I25472">
        <v>56383</v>
      </c>
      <c r="J25472">
        <v>2</v>
      </c>
    </row>
    <row r="25473" spans="1:10" x14ac:dyDescent="0.25">
      <c r="A25473" t="s">
        <v>277</v>
      </c>
      <c r="B25473" s="1" t="str">
        <f>HYPERLINK("http://millarworld.tv","millarworld.tv")</f>
        <v>millarworld.tv</v>
      </c>
      <c r="C25473" t="s">
        <v>535</v>
      </c>
      <c r="D25473" t="s">
        <v>897</v>
      </c>
      <c r="E25473">
        <v>717786</v>
      </c>
      <c r="F25473">
        <v>7.3919978039479295E-8</v>
      </c>
      <c r="G25473">
        <v>569641</v>
      </c>
      <c r="H25473">
        <v>14877089</v>
      </c>
      <c r="I25473">
        <v>474454</v>
      </c>
      <c r="J25473">
        <v>4</v>
      </c>
    </row>
    <row r="25474" spans="1:10" x14ac:dyDescent="0.25">
      <c r="A25474" t="s">
        <v>278</v>
      </c>
      <c r="B25474" s="1" t="str">
        <f>HYPERLINK("http://ccvgoldmining.com","ccvgoldmining.com")</f>
        <v>ccvgoldmining.com</v>
      </c>
      <c r="C25474" t="s">
        <v>433</v>
      </c>
      <c r="F25474">
        <v>1.5345767231253801E-8</v>
      </c>
      <c r="G25474">
        <v>3731924</v>
      </c>
      <c r="H25474">
        <v>14252331</v>
      </c>
      <c r="I25474">
        <v>1441688</v>
      </c>
      <c r="J25474">
        <v>5</v>
      </c>
    </row>
    <row r="25475" spans="1:10" x14ac:dyDescent="0.25">
      <c r="A25475" t="s">
        <v>278</v>
      </c>
      <c r="B25475" s="1" t="str">
        <f>HYPERLINK("http://conexploration.com","conexploration.com")</f>
        <v>conexploration.com</v>
      </c>
      <c r="C25475" t="s">
        <v>433</v>
      </c>
      <c r="F25475">
        <v>4.4662902701697197E-9</v>
      </c>
      <c r="G25475">
        <v>65855355</v>
      </c>
      <c r="H25475">
        <v>9938426</v>
      </c>
      <c r="I25475">
        <v>61348882</v>
      </c>
      <c r="J25475">
        <v>9</v>
      </c>
    </row>
    <row r="25476" spans="1:10" x14ac:dyDescent="0.25">
      <c r="A25476" t="s">
        <v>278</v>
      </c>
      <c r="B25476" s="1" t="str">
        <f>HYPERLINK("http://nevadagoldmines.com","nevadagoldmines.com")</f>
        <v>nevadagoldmines.com</v>
      </c>
      <c r="C25476" t="s">
        <v>433</v>
      </c>
      <c r="F25476">
        <v>4.6650498902373597E-9</v>
      </c>
      <c r="G25476">
        <v>43229733</v>
      </c>
      <c r="H25476">
        <v>12048202</v>
      </c>
      <c r="I25476">
        <v>27306448</v>
      </c>
      <c r="J25476">
        <v>4</v>
      </c>
    </row>
    <row r="25477" spans="1:10" x14ac:dyDescent="0.25">
      <c r="A25477" t="s">
        <v>278</v>
      </c>
      <c r="B25477" s="1" t="str">
        <f>HYPERLINK("http://newmont.com","newmont.com")</f>
        <v>newmont.com</v>
      </c>
      <c r="C25477" t="s">
        <v>433</v>
      </c>
      <c r="E25477">
        <v>68486</v>
      </c>
      <c r="F25477">
        <v>5.20284792380721E-7</v>
      </c>
      <c r="G25477">
        <v>73827</v>
      </c>
      <c r="H25477">
        <v>14850489</v>
      </c>
      <c r="I25477">
        <v>490700</v>
      </c>
      <c r="J25477">
        <v>2</v>
      </c>
    </row>
    <row r="25478" spans="1:10" x14ac:dyDescent="0.25">
      <c r="A25478" t="s">
        <v>278</v>
      </c>
      <c r="B25478" s="1" t="str">
        <f>HYPERLINK("http://newmontgoldcorp.com","newmontgoldcorp.com")</f>
        <v>newmontgoldcorp.com</v>
      </c>
      <c r="C25478" t="s">
        <v>433</v>
      </c>
      <c r="F25478">
        <v>4.1358418056972402E-8</v>
      </c>
      <c r="G25478">
        <v>1212440</v>
      </c>
      <c r="H25478">
        <v>14099539</v>
      </c>
      <c r="I25478">
        <v>2710603</v>
      </c>
      <c r="J25478">
        <v>1</v>
      </c>
    </row>
    <row r="25479" spans="1:10" x14ac:dyDescent="0.25">
      <c r="A25479" t="s">
        <v>278</v>
      </c>
      <c r="B25479" s="1" t="str">
        <f>HYPERLINK("http://yanacocha.com","yanacocha.com")</f>
        <v>yanacocha.com</v>
      </c>
      <c r="C25479" t="s">
        <v>433</v>
      </c>
      <c r="F25479">
        <v>2.5083188036077999E-8</v>
      </c>
      <c r="G25479">
        <v>2059513</v>
      </c>
      <c r="H25479">
        <v>14488358</v>
      </c>
      <c r="I25479">
        <v>934439</v>
      </c>
      <c r="J25479">
        <v>4</v>
      </c>
    </row>
    <row r="25480" spans="1:10" x14ac:dyDescent="0.25">
      <c r="A25480" t="s">
        <v>279</v>
      </c>
      <c r="B25480" s="1" t="str">
        <f>HYPERLINK("http://evexpressway.com","evexpressway.com")</f>
        <v>evexpressway.com</v>
      </c>
      <c r="C25480" t="s">
        <v>433</v>
      </c>
      <c r="F25480">
        <v>8.7533287331971796E-9</v>
      </c>
      <c r="G25480">
        <v>8387086</v>
      </c>
      <c r="H25480">
        <v>13564566</v>
      </c>
      <c r="I25480">
        <v>9838762</v>
      </c>
      <c r="J25480">
        <v>5</v>
      </c>
    </row>
    <row r="25481" spans="1:10" x14ac:dyDescent="0.25">
      <c r="A25481" t="s">
        <v>279</v>
      </c>
      <c r="B25481" s="1" t="str">
        <f>HYPERLINK("http://fpl.com","fpl.com")</f>
        <v>fpl.com</v>
      </c>
      <c r="C25481" t="s">
        <v>433</v>
      </c>
      <c r="E25481">
        <v>14239</v>
      </c>
      <c r="F25481">
        <v>8.25199186077783E-7</v>
      </c>
      <c r="G25481">
        <v>47946</v>
      </c>
      <c r="H25481">
        <v>17286648</v>
      </c>
      <c r="I25481">
        <v>29409</v>
      </c>
      <c r="J25481">
        <v>3</v>
      </c>
    </row>
    <row r="25482" spans="1:10" x14ac:dyDescent="0.25">
      <c r="A25482" t="s">
        <v>279</v>
      </c>
      <c r="B25482" s="1" t="str">
        <f>HYPERLINK("http://gexaenergy.com","gexaenergy.com")</f>
        <v>gexaenergy.com</v>
      </c>
      <c r="C25482" t="s">
        <v>433</v>
      </c>
      <c r="E25482">
        <v>253871</v>
      </c>
      <c r="F25482">
        <v>4.5186570489843198E-8</v>
      </c>
      <c r="G25482">
        <v>1043966</v>
      </c>
      <c r="H25482">
        <v>13797047</v>
      </c>
      <c r="I25482">
        <v>6299020</v>
      </c>
      <c r="J25482">
        <v>5</v>
      </c>
    </row>
    <row r="25483" spans="1:10" x14ac:dyDescent="0.25">
      <c r="A25483" t="s">
        <v>279</v>
      </c>
      <c r="B25483" s="1" t="str">
        <f>HYPERLINK("http://gulfpower.com","gulfpower.com")</f>
        <v>gulfpower.com</v>
      </c>
      <c r="C25483" t="s">
        <v>433</v>
      </c>
      <c r="E25483">
        <v>258701</v>
      </c>
      <c r="F25483">
        <v>9.84101464867594E-8</v>
      </c>
      <c r="G25483">
        <v>409807</v>
      </c>
      <c r="H25483">
        <v>14357191</v>
      </c>
      <c r="I25483">
        <v>1305928</v>
      </c>
      <c r="J25483">
        <v>4</v>
      </c>
    </row>
    <row r="25484" spans="1:10" x14ac:dyDescent="0.25">
      <c r="A25484" t="s">
        <v>279</v>
      </c>
      <c r="B25484" s="1" t="str">
        <f>HYPERLINK("http://nee.com","nee.com")</f>
        <v>nee.com</v>
      </c>
      <c r="C25484" t="s">
        <v>433</v>
      </c>
      <c r="E25484">
        <v>157159</v>
      </c>
      <c r="F25484">
        <v>9.6506595159311699E-9</v>
      </c>
      <c r="G25484">
        <v>7139095</v>
      </c>
      <c r="H25484">
        <v>12385041</v>
      </c>
      <c r="I25484">
        <v>19123017</v>
      </c>
      <c r="J25484">
        <v>3</v>
      </c>
    </row>
    <row r="25485" spans="1:10" x14ac:dyDescent="0.25">
      <c r="A25485" t="s">
        <v>279</v>
      </c>
      <c r="B25485" s="1" t="str">
        <f>HYPERLINK("http://nexteraenergy.com","nexteraenergy.com")</f>
        <v>nexteraenergy.com</v>
      </c>
      <c r="C25485" t="s">
        <v>433</v>
      </c>
      <c r="E25485">
        <v>85434</v>
      </c>
      <c r="F25485">
        <v>5.2226634008478497E-7</v>
      </c>
      <c r="G25485">
        <v>73567</v>
      </c>
      <c r="H25485">
        <v>17174388</v>
      </c>
      <c r="I25485">
        <v>46778</v>
      </c>
      <c r="J25485">
        <v>1</v>
      </c>
    </row>
    <row r="25486" spans="1:10" x14ac:dyDescent="0.25">
      <c r="A25486" t="s">
        <v>279</v>
      </c>
      <c r="B25486" s="1" t="str">
        <f>HYPERLINK("http://nexteraenergyresources.com","nexteraenergyresources.com")</f>
        <v>nexteraenergyresources.com</v>
      </c>
      <c r="C25486" t="s">
        <v>433</v>
      </c>
      <c r="E25486">
        <v>374333</v>
      </c>
      <c r="F25486">
        <v>2.5168924389191702E-7</v>
      </c>
      <c r="G25486">
        <v>148620</v>
      </c>
      <c r="H25486">
        <v>14784125</v>
      </c>
      <c r="I25486">
        <v>553117</v>
      </c>
      <c r="J25486">
        <v>4</v>
      </c>
    </row>
    <row r="25487" spans="1:10" x14ac:dyDescent="0.25">
      <c r="A25487" t="s">
        <v>279</v>
      </c>
      <c r="B25487" s="1" t="str">
        <f>HYPERLINK("http://transbaycable.com","transbaycable.com")</f>
        <v>transbaycable.com</v>
      </c>
      <c r="C25487" t="s">
        <v>433</v>
      </c>
      <c r="F25487">
        <v>9.6146639441251896E-9</v>
      </c>
      <c r="G25487">
        <v>7182077</v>
      </c>
      <c r="H25487">
        <v>13502411</v>
      </c>
      <c r="I25487">
        <v>9967195</v>
      </c>
      <c r="J25487">
        <v>6</v>
      </c>
    </row>
    <row r="25488" spans="1:10" x14ac:dyDescent="0.25">
      <c r="A25488" t="s">
        <v>280</v>
      </c>
      <c r="B25488" s="1" t="str">
        <f>HYPERLINK("http://converse.com.ar","converse.com.ar")</f>
        <v>converse.com.ar</v>
      </c>
      <c r="C25488" t="s">
        <v>418</v>
      </c>
      <c r="D25488" t="s">
        <v>800</v>
      </c>
      <c r="F25488">
        <v>1.4704336024762901E-8</v>
      </c>
      <c r="G25488">
        <v>3939549</v>
      </c>
      <c r="H25488">
        <v>14096097</v>
      </c>
      <c r="I25488">
        <v>2726310</v>
      </c>
      <c r="J25488">
        <v>4</v>
      </c>
    </row>
    <row r="25489" spans="1:10" x14ac:dyDescent="0.25">
      <c r="A25489" t="s">
        <v>280</v>
      </c>
      <c r="B25489" s="1" t="str">
        <f>HYPERLINK("http://nike.com.br","nike.com.br")</f>
        <v>nike.com.br</v>
      </c>
      <c r="C25489" t="s">
        <v>425</v>
      </c>
      <c r="D25489" t="s">
        <v>806</v>
      </c>
      <c r="E25489">
        <v>32603</v>
      </c>
      <c r="F25489">
        <v>1.0797014329926001E-7</v>
      </c>
      <c r="G25489">
        <v>370766</v>
      </c>
      <c r="H25489">
        <v>15027385</v>
      </c>
      <c r="I25489">
        <v>419246</v>
      </c>
      <c r="J25489">
        <v>2</v>
      </c>
    </row>
    <row r="25490" spans="1:10" x14ac:dyDescent="0.25">
      <c r="A25490" t="s">
        <v>280</v>
      </c>
      <c r="B25490" s="1" t="str">
        <f>HYPERLINK("http://converse.ca","converse.ca")</f>
        <v>converse.ca</v>
      </c>
      <c r="C25490" t="s">
        <v>428</v>
      </c>
      <c r="D25490" t="s">
        <v>809</v>
      </c>
      <c r="E25490">
        <v>407963</v>
      </c>
      <c r="F25490">
        <v>5.8007393965852698E-8</v>
      </c>
      <c r="G25490">
        <v>767480</v>
      </c>
      <c r="H25490">
        <v>14131666</v>
      </c>
      <c r="I25490">
        <v>2012550</v>
      </c>
      <c r="J25490">
        <v>3</v>
      </c>
    </row>
    <row r="25491" spans="1:10" x14ac:dyDescent="0.25">
      <c r="A25491" t="s">
        <v>280</v>
      </c>
      <c r="B25491" s="1" t="str">
        <f>HYPERLINK("http://nike.cl","nike.cl")</f>
        <v>nike.cl</v>
      </c>
      <c r="C25491" t="s">
        <v>430</v>
      </c>
      <c r="D25491" t="s">
        <v>811</v>
      </c>
      <c r="E25491">
        <v>165453</v>
      </c>
      <c r="F25491">
        <v>3.4695051565546701E-8</v>
      </c>
      <c r="G25491">
        <v>1495860</v>
      </c>
      <c r="H25491">
        <v>13577206</v>
      </c>
      <c r="I25491">
        <v>9697882</v>
      </c>
      <c r="J25491">
        <v>2</v>
      </c>
    </row>
    <row r="25492" spans="1:10" x14ac:dyDescent="0.25">
      <c r="A25492" t="s">
        <v>280</v>
      </c>
      <c r="B25492" s="1" t="str">
        <f>HYPERLINK("http://converse.com.cn","converse.com.cn")</f>
        <v>converse.com.cn</v>
      </c>
      <c r="C25492" t="s">
        <v>431</v>
      </c>
      <c r="D25492" t="s">
        <v>812</v>
      </c>
      <c r="E25492">
        <v>437570</v>
      </c>
      <c r="F25492">
        <v>4.2225303139023501E-8</v>
      </c>
      <c r="G25492">
        <v>1154231</v>
      </c>
      <c r="H25492">
        <v>14158477</v>
      </c>
      <c r="I25492">
        <v>1844755</v>
      </c>
      <c r="J25492">
        <v>2</v>
      </c>
    </row>
    <row r="25493" spans="1:10" x14ac:dyDescent="0.25">
      <c r="A25493" t="s">
        <v>280</v>
      </c>
      <c r="B25493" s="1" t="str">
        <f>HYPERLINK("http://jumpman23.com.cn","jumpman23.com.cn")</f>
        <v>jumpman23.com.cn</v>
      </c>
      <c r="C25493" t="s">
        <v>431</v>
      </c>
      <c r="D25493" t="s">
        <v>812</v>
      </c>
      <c r="J25493">
        <v>2</v>
      </c>
    </row>
    <row r="25494" spans="1:10" x14ac:dyDescent="0.25">
      <c r="A25494" t="s">
        <v>280</v>
      </c>
      <c r="B25494" s="1" t="str">
        <f>HYPERLINK("http://nike.com.cn","nike.com.cn")</f>
        <v>nike.com.cn</v>
      </c>
      <c r="C25494" t="s">
        <v>431</v>
      </c>
      <c r="D25494" t="s">
        <v>812</v>
      </c>
      <c r="E25494">
        <v>30903</v>
      </c>
      <c r="F25494">
        <v>9.8335231414776898E-8</v>
      </c>
      <c r="G25494">
        <v>410183</v>
      </c>
      <c r="H25494">
        <v>13999135</v>
      </c>
      <c r="I25494">
        <v>4014852</v>
      </c>
      <c r="J25494">
        <v>2</v>
      </c>
    </row>
    <row r="25495" spans="1:10" x14ac:dyDescent="0.25">
      <c r="A25495" t="s">
        <v>280</v>
      </c>
      <c r="B25495" s="1" t="str">
        <f>HYPERLINK("http://converse.com","converse.com")</f>
        <v>converse.com</v>
      </c>
      <c r="C25495" t="s">
        <v>433</v>
      </c>
      <c r="E25495">
        <v>11039</v>
      </c>
      <c r="F25495">
        <v>1.5442601063750301E-6</v>
      </c>
      <c r="G25495">
        <v>25403</v>
      </c>
      <c r="H25495">
        <v>15969017</v>
      </c>
      <c r="I25495">
        <v>366627</v>
      </c>
      <c r="J25495">
        <v>3</v>
      </c>
    </row>
    <row r="25496" spans="1:10" x14ac:dyDescent="0.25">
      <c r="A25496" t="s">
        <v>280</v>
      </c>
      <c r="B25496" s="1" t="str">
        <f>HYPERLINK("http://conversekorea.com","conversekorea.com")</f>
        <v>conversekorea.com</v>
      </c>
      <c r="C25496" t="s">
        <v>433</v>
      </c>
      <c r="F25496">
        <v>5.4052404370646703E-9</v>
      </c>
      <c r="G25496">
        <v>22046531</v>
      </c>
      <c r="H25496">
        <v>12659503</v>
      </c>
      <c r="I25496">
        <v>15724431</v>
      </c>
      <c r="J25496">
        <v>6</v>
      </c>
    </row>
    <row r="25497" spans="1:10" x14ac:dyDescent="0.25">
      <c r="A25497" t="s">
        <v>280</v>
      </c>
      <c r="B25497" s="1" t="str">
        <f>HYPERLINK("http://hurley.com","hurley.com")</f>
        <v>hurley.com</v>
      </c>
      <c r="C25497" t="s">
        <v>433</v>
      </c>
      <c r="E25497">
        <v>107011</v>
      </c>
      <c r="F25497">
        <v>1.4171456078837799E-7</v>
      </c>
      <c r="G25497">
        <v>274759</v>
      </c>
      <c r="H25497">
        <v>14574010</v>
      </c>
      <c r="I25497">
        <v>731904</v>
      </c>
      <c r="J25497">
        <v>3</v>
      </c>
    </row>
    <row r="25498" spans="1:10" x14ac:dyDescent="0.25">
      <c r="A25498" t="s">
        <v>280</v>
      </c>
      <c r="B25498" s="1" t="str">
        <f>HYPERLINK("http://jordan.com","jordan.com")</f>
        <v>jordan.com</v>
      </c>
      <c r="C25498" t="s">
        <v>433</v>
      </c>
      <c r="E25498">
        <v>173274</v>
      </c>
      <c r="F25498">
        <v>1.72013240807554E-7</v>
      </c>
      <c r="G25498">
        <v>225460</v>
      </c>
      <c r="H25498">
        <v>15331046</v>
      </c>
      <c r="I25498">
        <v>383940</v>
      </c>
      <c r="J25498">
        <v>2</v>
      </c>
    </row>
    <row r="25499" spans="1:10" x14ac:dyDescent="0.25">
      <c r="A25499" t="s">
        <v>280</v>
      </c>
      <c r="B25499" s="1" t="str">
        <f>HYPERLINK("http://nike.com","nike.com")</f>
        <v>nike.com</v>
      </c>
      <c r="C25499" t="s">
        <v>433</v>
      </c>
      <c r="E25499">
        <v>598</v>
      </c>
      <c r="F25499">
        <v>1.7082819616342301E-5</v>
      </c>
      <c r="G25499">
        <v>1960</v>
      </c>
      <c r="H25499">
        <v>18511514</v>
      </c>
      <c r="I25499">
        <v>1540</v>
      </c>
      <c r="J25499">
        <v>1</v>
      </c>
    </row>
    <row r="25500" spans="1:10" x14ac:dyDescent="0.25">
      <c r="A25500" t="s">
        <v>280</v>
      </c>
      <c r="B25500" s="1" t="str">
        <f>HYPERLINK("http://nikecirculardesign.com","nikecirculardesign.com")</f>
        <v>nikecirculardesign.com</v>
      </c>
      <c r="C25500" t="s">
        <v>433</v>
      </c>
      <c r="F25500">
        <v>3.1625035810138197E-7</v>
      </c>
      <c r="G25500">
        <v>117572</v>
      </c>
      <c r="H25500">
        <v>13882690</v>
      </c>
      <c r="I25500">
        <v>5975772</v>
      </c>
      <c r="J25500">
        <v>2</v>
      </c>
    </row>
    <row r="25501" spans="1:10" x14ac:dyDescent="0.25">
      <c r="A25501" t="s">
        <v>280</v>
      </c>
      <c r="B25501" s="1" t="str">
        <f>HYPERLINK("http://nikecloud.com","nikecloud.com")</f>
        <v>nikecloud.com</v>
      </c>
      <c r="C25501" t="s">
        <v>433</v>
      </c>
      <c r="E25501">
        <v>14741</v>
      </c>
      <c r="F25501">
        <v>5.2552512017308401E-8</v>
      </c>
      <c r="G25501">
        <v>867608</v>
      </c>
      <c r="H25501">
        <v>13146100</v>
      </c>
      <c r="I25501">
        <v>11845832</v>
      </c>
      <c r="J25501">
        <v>2</v>
      </c>
    </row>
    <row r="25502" spans="1:10" x14ac:dyDescent="0.25">
      <c r="A25502" t="s">
        <v>280</v>
      </c>
      <c r="B25502" s="1" t="str">
        <f>HYPERLINK("http://nikeid.com","nikeid.com")</f>
        <v>nikeid.com</v>
      </c>
      <c r="C25502" t="s">
        <v>433</v>
      </c>
      <c r="F25502">
        <v>6.0226128077439895E-8</v>
      </c>
      <c r="G25502">
        <v>732588</v>
      </c>
      <c r="H25502">
        <v>14435931</v>
      </c>
      <c r="I25502">
        <v>1068600</v>
      </c>
      <c r="J25502">
        <v>2</v>
      </c>
    </row>
    <row r="25503" spans="1:10" x14ac:dyDescent="0.25">
      <c r="A25503" t="s">
        <v>280</v>
      </c>
      <c r="B25503" s="1" t="str">
        <f>HYPERLINK("http://nikeinc.com","nikeinc.com")</f>
        <v>nikeinc.com</v>
      </c>
      <c r="C25503" t="s">
        <v>433</v>
      </c>
      <c r="E25503">
        <v>157189</v>
      </c>
      <c r="F25503">
        <v>4.7027595560989299E-7</v>
      </c>
      <c r="G25503">
        <v>80669</v>
      </c>
      <c r="H25503">
        <v>15324112</v>
      </c>
      <c r="I25503">
        <v>384380</v>
      </c>
      <c r="J25503">
        <v>2</v>
      </c>
    </row>
    <row r="25504" spans="1:10" x14ac:dyDescent="0.25">
      <c r="A25504" t="s">
        <v>280</v>
      </c>
      <c r="B25504" s="1" t="str">
        <f>HYPERLINK("http://nikejordancenter.com","nikejordancenter.com")</f>
        <v>nikejordancenter.com</v>
      </c>
      <c r="C25504" t="s">
        <v>433</v>
      </c>
      <c r="F25504">
        <v>4.4933442451392599E-9</v>
      </c>
      <c r="G25504">
        <v>59962269</v>
      </c>
      <c r="H25504">
        <v>11201412</v>
      </c>
      <c r="I25504">
        <v>31239227</v>
      </c>
      <c r="J25504">
        <v>4</v>
      </c>
    </row>
    <row r="25505" spans="1:10" x14ac:dyDescent="0.25">
      <c r="A25505" t="s">
        <v>280</v>
      </c>
      <c r="B25505" s="1" t="str">
        <f>HYPERLINK("http://nikesb.com","nikesb.com")</f>
        <v>nikesb.com</v>
      </c>
      <c r="C25505" t="s">
        <v>433</v>
      </c>
      <c r="E25505">
        <v>422343</v>
      </c>
      <c r="F25505">
        <v>1.1742256753755099E-7</v>
      </c>
      <c r="G25505">
        <v>338379</v>
      </c>
      <c r="H25505">
        <v>14063034</v>
      </c>
      <c r="I25505">
        <v>3753063</v>
      </c>
      <c r="J25505">
        <v>2</v>
      </c>
    </row>
    <row r="25506" spans="1:10" x14ac:dyDescent="0.25">
      <c r="A25506" t="s">
        <v>280</v>
      </c>
      <c r="B25506" s="1" t="str">
        <f>HYPERLINK("http://niketeam.com","niketeam.com")</f>
        <v>niketeam.com</v>
      </c>
      <c r="C25506" t="s">
        <v>433</v>
      </c>
      <c r="F25506">
        <v>7.8597525957086807E-9</v>
      </c>
      <c r="G25506">
        <v>10193229</v>
      </c>
      <c r="H25506">
        <v>12512727</v>
      </c>
      <c r="I25506">
        <v>17220053</v>
      </c>
      <c r="J25506">
        <v>2</v>
      </c>
    </row>
    <row r="25507" spans="1:10" x14ac:dyDescent="0.25">
      <c r="A25507" t="s">
        <v>280</v>
      </c>
      <c r="B25507" s="1" t="str">
        <f>HYPERLINK("http://nikevision.com","nikevision.com")</f>
        <v>nikevision.com</v>
      </c>
      <c r="C25507" t="s">
        <v>433</v>
      </c>
      <c r="E25507">
        <v>543437</v>
      </c>
      <c r="F25507">
        <v>7.2711415586539603E-8</v>
      </c>
      <c r="G25507">
        <v>580193</v>
      </c>
      <c r="H25507">
        <v>14263755</v>
      </c>
      <c r="I25507">
        <v>1411974</v>
      </c>
      <c r="J25507">
        <v>3</v>
      </c>
    </row>
    <row r="25508" spans="1:10" x14ac:dyDescent="0.25">
      <c r="A25508" t="s">
        <v>280</v>
      </c>
      <c r="B25508" s="1" t="str">
        <f>HYPERLINK("http://rtfkt.com","rtfkt.com")</f>
        <v>rtfkt.com</v>
      </c>
      <c r="C25508" t="s">
        <v>433</v>
      </c>
      <c r="E25508">
        <v>114646</v>
      </c>
      <c r="F25508">
        <v>3.9724288233171298E-7</v>
      </c>
      <c r="G25508">
        <v>94480</v>
      </c>
      <c r="H25508">
        <v>14397976</v>
      </c>
      <c r="I25508">
        <v>1157170</v>
      </c>
      <c r="J25508">
        <v>3</v>
      </c>
    </row>
    <row r="25509" spans="1:10" x14ac:dyDescent="0.25">
      <c r="A25509" t="s">
        <v>280</v>
      </c>
      <c r="B25509" s="1" t="str">
        <f>HYPERLINK("http://converse.cz","converse.cz")</f>
        <v>converse.cz</v>
      </c>
      <c r="C25509" t="s">
        <v>435</v>
      </c>
      <c r="D25509" t="s">
        <v>814</v>
      </c>
      <c r="F25509">
        <v>1.81696356169042E-8</v>
      </c>
      <c r="G25509">
        <v>2995776</v>
      </c>
      <c r="H25509">
        <v>11537271</v>
      </c>
      <c r="I25509">
        <v>29981377</v>
      </c>
      <c r="J25509">
        <v>4</v>
      </c>
    </row>
    <row r="25510" spans="1:10" x14ac:dyDescent="0.25">
      <c r="A25510" t="s">
        <v>280</v>
      </c>
      <c r="B25510" s="1" t="str">
        <f>HYPERLINK("http://nike.com.hk","nike.com.hk")</f>
        <v>nike.com.hk</v>
      </c>
      <c r="C25510" t="s">
        <v>450</v>
      </c>
      <c r="D25510" t="s">
        <v>827</v>
      </c>
      <c r="E25510">
        <v>87719</v>
      </c>
      <c r="F25510">
        <v>1.09314267266674E-7</v>
      </c>
      <c r="G25510">
        <v>366001</v>
      </c>
      <c r="H25510">
        <v>14440217</v>
      </c>
      <c r="I25510">
        <v>1063953</v>
      </c>
      <c r="J25510">
        <v>2</v>
      </c>
    </row>
    <row r="25511" spans="1:10" x14ac:dyDescent="0.25">
      <c r="A25511" t="s">
        <v>280</v>
      </c>
      <c r="B25511" s="1" t="str">
        <f>HYPERLINK("http://converse.id","converse.id")</f>
        <v>converse.id</v>
      </c>
      <c r="C25511" t="s">
        <v>454</v>
      </c>
      <c r="D25511" t="s">
        <v>831</v>
      </c>
      <c r="F25511">
        <v>2.3388172831391401E-8</v>
      </c>
      <c r="G25511">
        <v>2227120</v>
      </c>
      <c r="H25511">
        <v>13003529</v>
      </c>
      <c r="I25511">
        <v>12779753</v>
      </c>
      <c r="J25511">
        <v>4</v>
      </c>
    </row>
    <row r="25512" spans="1:10" x14ac:dyDescent="0.25">
      <c r="A25512" t="s">
        <v>280</v>
      </c>
      <c r="B25512" s="1" t="str">
        <f>HYPERLINK("http://nike.io","nike.io")</f>
        <v>nike.io</v>
      </c>
      <c r="C25512" t="s">
        <v>518</v>
      </c>
      <c r="E25512">
        <v>629173</v>
      </c>
      <c r="F25512">
        <v>4.4447738679884496E-9</v>
      </c>
      <c r="G25512">
        <v>76113237</v>
      </c>
      <c r="H25512">
        <v>10358585</v>
      </c>
      <c r="I25512">
        <v>55310074</v>
      </c>
      <c r="J25512">
        <v>2</v>
      </c>
    </row>
    <row r="25513" spans="1:10" x14ac:dyDescent="0.25">
      <c r="A25513" t="s">
        <v>280</v>
      </c>
      <c r="B25513" s="1" t="str">
        <f>HYPERLINK("http://nike.jp","nike.jp")</f>
        <v>nike.jp</v>
      </c>
      <c r="C25513" t="s">
        <v>461</v>
      </c>
      <c r="D25513" t="s">
        <v>837</v>
      </c>
      <c r="E25513">
        <v>590681</v>
      </c>
      <c r="F25513">
        <v>1.1625154515706501E-7</v>
      </c>
      <c r="G25513">
        <v>342069</v>
      </c>
      <c r="H25513">
        <v>14323438</v>
      </c>
      <c r="I25513">
        <v>1329043</v>
      </c>
      <c r="J25513">
        <v>2</v>
      </c>
    </row>
    <row r="25514" spans="1:10" x14ac:dyDescent="0.25">
      <c r="A25514" t="s">
        <v>280</v>
      </c>
      <c r="B25514" s="1" t="str">
        <f>HYPERLINK("http://converse.co.kr","converse.co.kr")</f>
        <v>converse.co.kr</v>
      </c>
      <c r="C25514" t="s">
        <v>463</v>
      </c>
      <c r="D25514" t="s">
        <v>839</v>
      </c>
      <c r="F25514">
        <v>5.52061103621064E-8</v>
      </c>
      <c r="G25514">
        <v>813914</v>
      </c>
      <c r="H25514">
        <v>14167519</v>
      </c>
      <c r="I25514">
        <v>1815259</v>
      </c>
      <c r="J25514">
        <v>4</v>
      </c>
    </row>
    <row r="25515" spans="1:10" x14ac:dyDescent="0.25">
      <c r="A25515" t="s">
        <v>280</v>
      </c>
      <c r="B25515" s="1" t="str">
        <f>HYPERLINK("http://nike.co.kr","nike.co.kr")</f>
        <v>nike.co.kr</v>
      </c>
      <c r="C25515" t="s">
        <v>463</v>
      </c>
      <c r="D25515" t="s">
        <v>839</v>
      </c>
      <c r="F25515">
        <v>3.7975133848415802E-8</v>
      </c>
      <c r="G25515">
        <v>1362769</v>
      </c>
      <c r="H25515">
        <v>13602875</v>
      </c>
      <c r="I25515">
        <v>9646686</v>
      </c>
      <c r="J25515">
        <v>2</v>
      </c>
    </row>
    <row r="25516" spans="1:10" x14ac:dyDescent="0.25">
      <c r="A25516" t="s">
        <v>280</v>
      </c>
      <c r="B25516" s="1" t="str">
        <f>HYPERLINK("http://nike.net","nike.net")</f>
        <v>nike.net</v>
      </c>
      <c r="C25516" t="s">
        <v>474</v>
      </c>
      <c r="E25516">
        <v>72471</v>
      </c>
      <c r="F25516">
        <v>6.7515021830873494E-8</v>
      </c>
      <c r="G25516">
        <v>632830</v>
      </c>
      <c r="H25516">
        <v>12993088</v>
      </c>
      <c r="I25516">
        <v>12833879</v>
      </c>
      <c r="J25516">
        <v>2</v>
      </c>
    </row>
    <row r="25517" spans="1:10" x14ac:dyDescent="0.25">
      <c r="A25517" t="s">
        <v>280</v>
      </c>
      <c r="B25517" s="1" t="str">
        <f>HYPERLINK("http://nikecloud.net","nikecloud.net")</f>
        <v>nikecloud.net</v>
      </c>
      <c r="C25517" t="s">
        <v>474</v>
      </c>
      <c r="J25517">
        <v>2</v>
      </c>
    </row>
    <row r="25518" spans="1:10" x14ac:dyDescent="0.25">
      <c r="A25518" t="s">
        <v>280</v>
      </c>
      <c r="B25518" s="1" t="str">
        <f>HYPERLINK("http://nikeprd.net","nikeprd.net")</f>
        <v>nikeprd.net</v>
      </c>
      <c r="C25518" t="s">
        <v>474</v>
      </c>
      <c r="J25518">
        <v>2</v>
      </c>
    </row>
    <row r="25519" spans="1:10" x14ac:dyDescent="0.25">
      <c r="A25519" t="s">
        <v>280</v>
      </c>
      <c r="B25519" s="1" t="str">
        <f>HYPERLINK("http://conversecolombia.org","conversecolombia.org")</f>
        <v>conversecolombia.org</v>
      </c>
      <c r="C25519" t="s">
        <v>481</v>
      </c>
      <c r="F25519">
        <v>5.0225400172774103E-9</v>
      </c>
      <c r="G25519">
        <v>28840795</v>
      </c>
      <c r="H25519">
        <v>14071887</v>
      </c>
      <c r="I25519">
        <v>3248043</v>
      </c>
      <c r="J25519">
        <v>3</v>
      </c>
    </row>
    <row r="25520" spans="1:10" x14ac:dyDescent="0.25">
      <c r="A25520" t="s">
        <v>280</v>
      </c>
      <c r="B25520" s="1" t="str">
        <f>HYPERLINK("http://converse.pl","converse.pl")</f>
        <v>converse.pl</v>
      </c>
      <c r="C25520" t="s">
        <v>486</v>
      </c>
      <c r="D25520" t="s">
        <v>860</v>
      </c>
      <c r="F25520">
        <v>3.8377403695593303E-8</v>
      </c>
      <c r="G25520">
        <v>1349001</v>
      </c>
      <c r="H25520">
        <v>13770197</v>
      </c>
      <c r="I25520">
        <v>6740331</v>
      </c>
      <c r="J25520">
        <v>4</v>
      </c>
    </row>
    <row r="25521" spans="1:10" x14ac:dyDescent="0.25">
      <c r="A25521" t="s">
        <v>280</v>
      </c>
      <c r="B25521" s="1" t="str">
        <f>HYPERLINK("http://i-r-g.ru","i-r-g.ru")</f>
        <v>i-r-g.ru</v>
      </c>
      <c r="C25521" t="s">
        <v>493</v>
      </c>
      <c r="D25521" t="s">
        <v>867</v>
      </c>
      <c r="F25521">
        <v>7.4501110549896804E-9</v>
      </c>
      <c r="G25521">
        <v>11126903</v>
      </c>
      <c r="H25521">
        <v>12384346</v>
      </c>
      <c r="I25521">
        <v>19131854</v>
      </c>
      <c r="J25521">
        <v>3</v>
      </c>
    </row>
    <row r="25522" spans="1:10" x14ac:dyDescent="0.25">
      <c r="A25522" t="s">
        <v>280</v>
      </c>
      <c r="B25522" s="1" t="str">
        <f>HYPERLINK("http://nike.to","nike.to")</f>
        <v>nike.to</v>
      </c>
      <c r="C25522" t="s">
        <v>578</v>
      </c>
      <c r="D25522" t="s">
        <v>921</v>
      </c>
      <c r="F25522">
        <v>5.3744213536617501E-9</v>
      </c>
      <c r="G25522">
        <v>22486914</v>
      </c>
      <c r="H25522">
        <v>9994971</v>
      </c>
      <c r="I25522">
        <v>60860174</v>
      </c>
      <c r="J25522">
        <v>2</v>
      </c>
    </row>
    <row r="25523" spans="1:10" x14ac:dyDescent="0.25">
      <c r="A25523" t="s">
        <v>280</v>
      </c>
      <c r="B25523" s="1" t="str">
        <f>HYPERLINK("http://nike.com.tw","nike.com.tw")</f>
        <v>nike.com.tw</v>
      </c>
      <c r="C25523" t="s">
        <v>504</v>
      </c>
      <c r="D25523" t="s">
        <v>878</v>
      </c>
      <c r="F25523">
        <v>4.11749374937173E-8</v>
      </c>
      <c r="G25523">
        <v>1260955</v>
      </c>
      <c r="H25523">
        <v>13958400</v>
      </c>
      <c r="I25523">
        <v>4122595</v>
      </c>
      <c r="J25523">
        <v>2</v>
      </c>
    </row>
    <row r="25524" spans="1:10" x14ac:dyDescent="0.25">
      <c r="A25524" t="s">
        <v>281</v>
      </c>
      <c r="B25524" s="1" t="str">
        <f>HYPERLINK("http://nintendo.com.ar","nintendo.com.ar")</f>
        <v>nintendo.com.ar</v>
      </c>
      <c r="C25524" t="s">
        <v>418</v>
      </c>
      <c r="D25524" t="s">
        <v>800</v>
      </c>
      <c r="F25524">
        <v>6.0764582576257299E-9</v>
      </c>
      <c r="G25524">
        <v>16228181</v>
      </c>
      <c r="H25524">
        <v>12910361</v>
      </c>
      <c r="I25524">
        <v>13554414</v>
      </c>
      <c r="J25524">
        <v>3</v>
      </c>
    </row>
    <row r="25525" spans="1:10" x14ac:dyDescent="0.25">
      <c r="A25525" t="s">
        <v>281</v>
      </c>
      <c r="B25525" s="1" t="str">
        <f>HYPERLINK("http://nintendo.at","nintendo.at")</f>
        <v>nintendo.at</v>
      </c>
      <c r="C25525" t="s">
        <v>419</v>
      </c>
      <c r="D25525" t="s">
        <v>801</v>
      </c>
      <c r="E25525">
        <v>27124</v>
      </c>
      <c r="F25525">
        <v>1.28815805663987E-7</v>
      </c>
      <c r="G25525">
        <v>304243</v>
      </c>
      <c r="H25525">
        <v>13971120</v>
      </c>
      <c r="I25525">
        <v>4074315</v>
      </c>
      <c r="J25525">
        <v>3</v>
      </c>
    </row>
    <row r="25526" spans="1:10" x14ac:dyDescent="0.25">
      <c r="A25526" t="s">
        <v>281</v>
      </c>
      <c r="B25526" s="1" t="str">
        <f>HYPERLINK("http://nintendo.com.au","nintendo.com.au")</f>
        <v>nintendo.com.au</v>
      </c>
      <c r="C25526" t="s">
        <v>420</v>
      </c>
      <c r="D25526" t="s">
        <v>802</v>
      </c>
      <c r="E25526">
        <v>33487</v>
      </c>
      <c r="F25526">
        <v>1.73820372918631E-7</v>
      </c>
      <c r="G25526">
        <v>223113</v>
      </c>
      <c r="H25526">
        <v>15035330</v>
      </c>
      <c r="I25526">
        <v>417516</v>
      </c>
      <c r="J25526">
        <v>2</v>
      </c>
    </row>
    <row r="25527" spans="1:10" x14ac:dyDescent="0.25">
      <c r="A25527" t="s">
        <v>281</v>
      </c>
      <c r="B25527" s="1" t="str">
        <f>HYPERLINK("http://nintendo.be","nintendo.be")</f>
        <v>nintendo.be</v>
      </c>
      <c r="C25527" t="s">
        <v>421</v>
      </c>
      <c r="D25527" t="s">
        <v>803</v>
      </c>
      <c r="E25527">
        <v>7755</v>
      </c>
      <c r="F25527">
        <v>1.7093824852556699E-7</v>
      </c>
      <c r="G25527">
        <v>226913</v>
      </c>
      <c r="H25527">
        <v>14709139</v>
      </c>
      <c r="I25527">
        <v>584700</v>
      </c>
      <c r="J25527">
        <v>2</v>
      </c>
    </row>
    <row r="25528" spans="1:10" x14ac:dyDescent="0.25">
      <c r="A25528" t="s">
        <v>281</v>
      </c>
      <c r="B25528" s="1" t="str">
        <f>HYPERLINK("http://nintendo.com.br","nintendo.com.br")</f>
        <v>nintendo.com.br</v>
      </c>
      <c r="C25528" t="s">
        <v>425</v>
      </c>
      <c r="D25528" t="s">
        <v>806</v>
      </c>
      <c r="E25528">
        <v>81155</v>
      </c>
      <c r="F25528">
        <v>2.62330482372805E-8</v>
      </c>
      <c r="G25528">
        <v>1963447</v>
      </c>
      <c r="H25528">
        <v>14487683</v>
      </c>
      <c r="I25528">
        <v>943738</v>
      </c>
      <c r="J25528">
        <v>3</v>
      </c>
    </row>
    <row r="25529" spans="1:10" x14ac:dyDescent="0.25">
      <c r="A25529" t="s">
        <v>281</v>
      </c>
      <c r="B25529" s="1" t="str">
        <f>HYPERLINK("http://pokemon.net.br","pokemon.net.br")</f>
        <v>pokemon.net.br</v>
      </c>
      <c r="C25529" t="s">
        <v>425</v>
      </c>
      <c r="D25529" t="s">
        <v>806</v>
      </c>
      <c r="F25529">
        <v>1.26569455874048E-8</v>
      </c>
      <c r="G25529">
        <v>4801328</v>
      </c>
      <c r="H25529">
        <v>13933743</v>
      </c>
      <c r="I25529">
        <v>4676299</v>
      </c>
      <c r="J25529">
        <v>5</v>
      </c>
    </row>
    <row r="25530" spans="1:10" x14ac:dyDescent="0.25">
      <c r="A25530" t="s">
        <v>281</v>
      </c>
      <c r="B25530" s="1" t="str">
        <f>HYPERLINK("http://nintendo.ca","nintendo.ca")</f>
        <v>nintendo.ca</v>
      </c>
      <c r="C25530" t="s">
        <v>428</v>
      </c>
      <c r="D25530" t="s">
        <v>809</v>
      </c>
      <c r="F25530">
        <v>3.9011659177047203E-8</v>
      </c>
      <c r="G25530">
        <v>1321947</v>
      </c>
      <c r="H25530">
        <v>14596534</v>
      </c>
      <c r="I25530">
        <v>689421</v>
      </c>
      <c r="J25530">
        <v>3</v>
      </c>
    </row>
    <row r="25531" spans="1:10" x14ac:dyDescent="0.25">
      <c r="A25531" t="s">
        <v>281</v>
      </c>
      <c r="B25531" s="1" t="str">
        <f>HYPERLINK("http://pokemoncenter.ca","pokemoncenter.ca")</f>
        <v>pokemoncenter.ca</v>
      </c>
      <c r="C25531" t="s">
        <v>428</v>
      </c>
      <c r="D25531" t="s">
        <v>809</v>
      </c>
      <c r="F25531">
        <v>2.1488043239832599E-8</v>
      </c>
      <c r="G25531">
        <v>2450580</v>
      </c>
      <c r="H25531">
        <v>12377092</v>
      </c>
      <c r="I25531">
        <v>19274551</v>
      </c>
      <c r="J25531">
        <v>6</v>
      </c>
    </row>
    <row r="25532" spans="1:10" x14ac:dyDescent="0.25">
      <c r="A25532" t="s">
        <v>281</v>
      </c>
      <c r="B25532" s="1" t="str">
        <f>HYPERLINK("http://nintendo.ch","nintendo.ch")</f>
        <v>nintendo.ch</v>
      </c>
      <c r="C25532" t="s">
        <v>429</v>
      </c>
      <c r="D25532" t="s">
        <v>810</v>
      </c>
      <c r="E25532">
        <v>23345</v>
      </c>
      <c r="F25532">
        <v>1.1928623108272099E-7</v>
      </c>
      <c r="G25532">
        <v>331594</v>
      </c>
      <c r="H25532">
        <v>14286732</v>
      </c>
      <c r="I25532">
        <v>1370483</v>
      </c>
      <c r="J25532">
        <v>2</v>
      </c>
    </row>
    <row r="25533" spans="1:10" x14ac:dyDescent="0.25">
      <c r="A25533" t="s">
        <v>281</v>
      </c>
      <c r="B25533" s="1" t="str">
        <f>HYPERLINK("http://nintendo.cl","nintendo.cl")</f>
        <v>nintendo.cl</v>
      </c>
      <c r="C25533" t="s">
        <v>430</v>
      </c>
      <c r="D25533" t="s">
        <v>811</v>
      </c>
      <c r="F25533">
        <v>5.2508549460547896E-9</v>
      </c>
      <c r="G25533">
        <v>24244355</v>
      </c>
      <c r="H25533">
        <v>12837451</v>
      </c>
      <c r="I25533">
        <v>14368384</v>
      </c>
      <c r="J25533">
        <v>3</v>
      </c>
    </row>
    <row r="25534" spans="1:10" x14ac:dyDescent="0.25">
      <c r="A25534" t="s">
        <v>281</v>
      </c>
      <c r="B25534" s="1" t="str">
        <f>HYPERLINK("http://nintendo.co","nintendo.co")</f>
        <v>nintendo.co</v>
      </c>
      <c r="C25534" t="s">
        <v>432</v>
      </c>
      <c r="F25534">
        <v>5.5485229759890999E-9</v>
      </c>
      <c r="G25534">
        <v>20392463</v>
      </c>
      <c r="H25534">
        <v>13275111</v>
      </c>
      <c r="I25534">
        <v>10933707</v>
      </c>
      <c r="J25534">
        <v>3</v>
      </c>
    </row>
    <row r="25535" spans="1:10" x14ac:dyDescent="0.25">
      <c r="A25535" t="s">
        <v>281</v>
      </c>
      <c r="B25535" s="1" t="str">
        <f>HYPERLINK("http://fire-emblem-heroes.com","fire-emblem-heroes.com")</f>
        <v>fire-emblem-heroes.com</v>
      </c>
      <c r="C25535" t="s">
        <v>433</v>
      </c>
      <c r="E25535">
        <v>27229</v>
      </c>
      <c r="F25535">
        <v>1.7538886919154301E-7</v>
      </c>
      <c r="G25535">
        <v>221101</v>
      </c>
      <c r="H25535">
        <v>17115692</v>
      </c>
      <c r="I25535">
        <v>61045</v>
      </c>
      <c r="J25535">
        <v>2</v>
      </c>
    </row>
    <row r="25536" spans="1:10" x14ac:dyDescent="0.25">
      <c r="A25536" t="s">
        <v>281</v>
      </c>
      <c r="B25536" s="1" t="str">
        <f>HYPERLINK("http://ique.com","ique.com")</f>
        <v>ique.com</v>
      </c>
      <c r="C25536" t="s">
        <v>433</v>
      </c>
      <c r="F25536">
        <v>2.25886035156023E-8</v>
      </c>
      <c r="G25536">
        <v>2318716</v>
      </c>
      <c r="H25536">
        <v>14868921</v>
      </c>
      <c r="I25536">
        <v>479689</v>
      </c>
      <c r="J25536">
        <v>3</v>
      </c>
    </row>
    <row r="25537" spans="1:10" x14ac:dyDescent="0.25">
      <c r="A25537" t="s">
        <v>281</v>
      </c>
      <c r="B25537" s="1" t="str">
        <f>HYPERLINK("http://nextlevelgames.com","nextlevelgames.com")</f>
        <v>nextlevelgames.com</v>
      </c>
      <c r="C25537" t="s">
        <v>433</v>
      </c>
      <c r="F25537">
        <v>2.5546519550068899E-8</v>
      </c>
      <c r="G25537">
        <v>2018779</v>
      </c>
      <c r="H25537">
        <v>14256666</v>
      </c>
      <c r="I25537">
        <v>1429873</v>
      </c>
      <c r="J25537">
        <v>3</v>
      </c>
    </row>
    <row r="25538" spans="1:10" x14ac:dyDescent="0.25">
      <c r="A25538" t="s">
        <v>281</v>
      </c>
      <c r="B25538" s="1" t="str">
        <f>HYPERLINK("http://nintendo.com","nintendo.com")</f>
        <v>nintendo.com</v>
      </c>
      <c r="C25538" t="s">
        <v>433</v>
      </c>
      <c r="E25538">
        <v>491</v>
      </c>
      <c r="F25538">
        <v>1.24147147925926E-5</v>
      </c>
      <c r="G25538">
        <v>2790</v>
      </c>
      <c r="H25538">
        <v>18201634</v>
      </c>
      <c r="I25538">
        <v>2733</v>
      </c>
      <c r="J25538">
        <v>2</v>
      </c>
    </row>
    <row r="25539" spans="1:10" x14ac:dyDescent="0.25">
      <c r="A25539" t="s">
        <v>281</v>
      </c>
      <c r="B25539" s="1" t="str">
        <f>HYPERLINK("http://nintendo-europe.com","nintendo-europe.com")</f>
        <v>nintendo-europe.com</v>
      </c>
      <c r="C25539" t="s">
        <v>433</v>
      </c>
      <c r="E25539">
        <v>3586</v>
      </c>
      <c r="F25539">
        <v>5.4977096535422001E-7</v>
      </c>
      <c r="G25539">
        <v>70395</v>
      </c>
      <c r="H25539">
        <v>15074376</v>
      </c>
      <c r="I25539">
        <v>410452</v>
      </c>
      <c r="J25539">
        <v>4</v>
      </c>
    </row>
    <row r="25540" spans="1:10" x14ac:dyDescent="0.25">
      <c r="A25540" t="s">
        <v>281</v>
      </c>
      <c r="B25540" s="1" t="str">
        <f>HYPERLINK("http://nintendonyc.com","nintendonyc.com")</f>
        <v>nintendonyc.com</v>
      </c>
      <c r="C25540" t="s">
        <v>433</v>
      </c>
      <c r="E25540">
        <v>257208</v>
      </c>
      <c r="F25540">
        <v>8.4122482255916703E-8</v>
      </c>
      <c r="G25540">
        <v>491748</v>
      </c>
      <c r="H25540">
        <v>14480055</v>
      </c>
      <c r="I25540">
        <v>1026846</v>
      </c>
      <c r="J25540">
        <v>3</v>
      </c>
    </row>
    <row r="25541" spans="1:10" x14ac:dyDescent="0.25">
      <c r="A25541" t="s">
        <v>281</v>
      </c>
      <c r="B25541" s="1" t="str">
        <f>HYPERLINK("http://pokemon.com","pokemon.com")</f>
        <v>pokemon.com</v>
      </c>
      <c r="C25541" t="s">
        <v>433</v>
      </c>
      <c r="E25541">
        <v>4381</v>
      </c>
      <c r="F25541">
        <v>3.56518295887256E-6</v>
      </c>
      <c r="G25541">
        <v>11516</v>
      </c>
      <c r="H25541">
        <v>17689786</v>
      </c>
      <c r="I25541">
        <v>7528</v>
      </c>
      <c r="J25541">
        <v>4</v>
      </c>
    </row>
    <row r="25542" spans="1:10" x14ac:dyDescent="0.25">
      <c r="A25542" t="s">
        <v>281</v>
      </c>
      <c r="B25542" s="1" t="str">
        <f>HYPERLINK("http://pokemoncenter.com","pokemoncenter.com")</f>
        <v>pokemoncenter.com</v>
      </c>
      <c r="C25542" t="s">
        <v>433</v>
      </c>
      <c r="E25542">
        <v>25016</v>
      </c>
      <c r="F25542">
        <v>1.59920398579738E-7</v>
      </c>
      <c r="G25542">
        <v>242729</v>
      </c>
      <c r="H25542">
        <v>14687091</v>
      </c>
      <c r="I25542">
        <v>604254</v>
      </c>
      <c r="J25542">
        <v>5</v>
      </c>
    </row>
    <row r="25543" spans="1:10" x14ac:dyDescent="0.25">
      <c r="A25543" t="s">
        <v>281</v>
      </c>
      <c r="B25543" s="1" t="str">
        <f>HYPERLINK("http://retrostudios.com","retrostudios.com")</f>
        <v>retrostudios.com</v>
      </c>
      <c r="C25543" t="s">
        <v>433</v>
      </c>
      <c r="F25543">
        <v>3.0548787641632903E-8</v>
      </c>
      <c r="G25543">
        <v>1685709</v>
      </c>
      <c r="H25543">
        <v>14264575</v>
      </c>
      <c r="I25543">
        <v>1410419</v>
      </c>
      <c r="J25543">
        <v>3</v>
      </c>
    </row>
    <row r="25544" spans="1:10" x14ac:dyDescent="0.25">
      <c r="A25544" t="s">
        <v>281</v>
      </c>
      <c r="B25544" s="1" t="str">
        <f>HYPERLINK("http://nintendo.de","nintendo.de")</f>
        <v>nintendo.de</v>
      </c>
      <c r="C25544" t="s">
        <v>436</v>
      </c>
      <c r="D25544" t="s">
        <v>815</v>
      </c>
      <c r="E25544">
        <v>3018</v>
      </c>
      <c r="F25544">
        <v>8.0377139573336296E-7</v>
      </c>
      <c r="G25544">
        <v>49049</v>
      </c>
      <c r="H25544">
        <v>15292020</v>
      </c>
      <c r="I25544">
        <v>386719</v>
      </c>
      <c r="J25544">
        <v>2</v>
      </c>
    </row>
    <row r="25545" spans="1:10" x14ac:dyDescent="0.25">
      <c r="A25545" t="s">
        <v>281</v>
      </c>
      <c r="B25545" s="1" t="str">
        <f>HYPERLINK("http://pokemon.de","pokemon.de")</f>
        <v>pokemon.de</v>
      </c>
      <c r="C25545" t="s">
        <v>436</v>
      </c>
      <c r="D25545" t="s">
        <v>815</v>
      </c>
      <c r="F25545">
        <v>3.7967274596227398E-8</v>
      </c>
      <c r="G25545">
        <v>1363033</v>
      </c>
      <c r="H25545">
        <v>14521201</v>
      </c>
      <c r="I25545">
        <v>803153</v>
      </c>
      <c r="J25545">
        <v>5</v>
      </c>
    </row>
    <row r="25546" spans="1:10" x14ac:dyDescent="0.25">
      <c r="A25546" t="s">
        <v>281</v>
      </c>
      <c r="B25546" s="1" t="str">
        <f>HYPERLINK("http://nintendo.dk","nintendo.dk")</f>
        <v>nintendo.dk</v>
      </c>
      <c r="C25546" t="s">
        <v>437</v>
      </c>
      <c r="D25546" t="s">
        <v>816</v>
      </c>
      <c r="F25546">
        <v>7.5147212142737895E-8</v>
      </c>
      <c r="G25546">
        <v>559677</v>
      </c>
      <c r="H25546">
        <v>14243498</v>
      </c>
      <c r="I25546">
        <v>1477057</v>
      </c>
      <c r="J25546">
        <v>3</v>
      </c>
    </row>
    <row r="25547" spans="1:10" x14ac:dyDescent="0.25">
      <c r="A25547" t="s">
        <v>281</v>
      </c>
      <c r="B25547" s="1" t="str">
        <f>HYPERLINK("http://nintendo.es","nintendo.es")</f>
        <v>nintendo.es</v>
      </c>
      <c r="C25547" t="s">
        <v>443</v>
      </c>
      <c r="D25547" t="s">
        <v>822</v>
      </c>
      <c r="E25547">
        <v>14127</v>
      </c>
      <c r="F25547">
        <v>5.8830574525288997E-7</v>
      </c>
      <c r="G25547">
        <v>65007</v>
      </c>
      <c r="H25547">
        <v>15361590</v>
      </c>
      <c r="I25547">
        <v>382166</v>
      </c>
      <c r="J25547">
        <v>2</v>
      </c>
    </row>
    <row r="25548" spans="1:10" x14ac:dyDescent="0.25">
      <c r="A25548" t="s">
        <v>281</v>
      </c>
      <c r="B25548" s="1" t="str">
        <f>HYPERLINK("http://pokemon.es","pokemon.es")</f>
        <v>pokemon.es</v>
      </c>
      <c r="C25548" t="s">
        <v>443</v>
      </c>
      <c r="D25548" t="s">
        <v>822</v>
      </c>
      <c r="F25548">
        <v>1.8057775949983899E-8</v>
      </c>
      <c r="G25548">
        <v>3018704</v>
      </c>
      <c r="H25548">
        <v>13764745</v>
      </c>
      <c r="I25548">
        <v>7199425</v>
      </c>
      <c r="J25548">
        <v>5</v>
      </c>
    </row>
    <row r="25549" spans="1:10" x14ac:dyDescent="0.25">
      <c r="A25549" t="s">
        <v>281</v>
      </c>
      <c r="B25549" s="1" t="str">
        <f>HYPERLINK("http://nintendo.eu","nintendo.eu")</f>
        <v>nintendo.eu</v>
      </c>
      <c r="C25549" t="s">
        <v>444</v>
      </c>
      <c r="E25549">
        <v>26914</v>
      </c>
      <c r="F25549">
        <v>5.2660689731348001E-8</v>
      </c>
      <c r="G25549">
        <v>865595</v>
      </c>
      <c r="H25549">
        <v>13098347</v>
      </c>
      <c r="I25549">
        <v>12114046</v>
      </c>
      <c r="J25549">
        <v>3</v>
      </c>
    </row>
    <row r="25550" spans="1:10" x14ac:dyDescent="0.25">
      <c r="A25550" t="s">
        <v>281</v>
      </c>
      <c r="B25550" s="1" t="str">
        <f>HYPERLINK("http://nintendo.fi","nintendo.fi")</f>
        <v>nintendo.fi</v>
      </c>
      <c r="C25550" t="s">
        <v>445</v>
      </c>
      <c r="D25550" t="s">
        <v>823</v>
      </c>
      <c r="F25550">
        <v>7.1967525441936605E-8</v>
      </c>
      <c r="G25550">
        <v>586838</v>
      </c>
      <c r="H25550">
        <v>14493227</v>
      </c>
      <c r="I25550">
        <v>889272</v>
      </c>
      <c r="J25550">
        <v>2</v>
      </c>
    </row>
    <row r="25551" spans="1:10" x14ac:dyDescent="0.25">
      <c r="A25551" t="s">
        <v>281</v>
      </c>
      <c r="B25551" s="1" t="str">
        <f>HYPERLINK("http://nintendo2ds.fi","nintendo2ds.fi")</f>
        <v>nintendo2ds.fi</v>
      </c>
      <c r="C25551" t="s">
        <v>445</v>
      </c>
      <c r="D25551" t="s">
        <v>823</v>
      </c>
      <c r="J25551">
        <v>4</v>
      </c>
    </row>
    <row r="25552" spans="1:10" x14ac:dyDescent="0.25">
      <c r="A25552" t="s">
        <v>281</v>
      </c>
      <c r="B25552" s="1" t="str">
        <f>HYPERLINK("http://nintendo3ds.fi","nintendo3ds.fi")</f>
        <v>nintendo3ds.fi</v>
      </c>
      <c r="C25552" t="s">
        <v>445</v>
      </c>
      <c r="D25552" t="s">
        <v>823</v>
      </c>
      <c r="J25552">
        <v>4</v>
      </c>
    </row>
    <row r="25553" spans="1:10" x14ac:dyDescent="0.25">
      <c r="A25553" t="s">
        <v>281</v>
      </c>
      <c r="B25553" s="1" t="str">
        <f>HYPERLINK("http://nintendoswitch.fi","nintendoswitch.fi")</f>
        <v>nintendoswitch.fi</v>
      </c>
      <c r="C25553" t="s">
        <v>445</v>
      </c>
      <c r="D25553" t="s">
        <v>823</v>
      </c>
      <c r="J25553">
        <v>2</v>
      </c>
    </row>
    <row r="25554" spans="1:10" x14ac:dyDescent="0.25">
      <c r="A25554" t="s">
        <v>281</v>
      </c>
      <c r="B25554" s="1" t="str">
        <f>HYPERLINK("http://nintendoswitchlite.fi","nintendoswitchlite.fi")</f>
        <v>nintendoswitchlite.fi</v>
      </c>
      <c r="C25554" t="s">
        <v>445</v>
      </c>
      <c r="D25554" t="s">
        <v>823</v>
      </c>
      <c r="J25554">
        <v>2</v>
      </c>
    </row>
    <row r="25555" spans="1:10" x14ac:dyDescent="0.25">
      <c r="A25555" t="s">
        <v>281</v>
      </c>
      <c r="B25555" s="1" t="str">
        <f>HYPERLINK("http://ntdo.fi","ntdo.fi")</f>
        <v>ntdo.fi</v>
      </c>
      <c r="C25555" t="s">
        <v>445</v>
      </c>
      <c r="D25555" t="s">
        <v>823</v>
      </c>
      <c r="J25555">
        <v>2</v>
      </c>
    </row>
    <row r="25556" spans="1:10" x14ac:dyDescent="0.25">
      <c r="A25556" t="s">
        <v>281</v>
      </c>
      <c r="B25556" s="1" t="str">
        <f>HYPERLINK("http://pokemon.fi","pokemon.fi")</f>
        <v>pokemon.fi</v>
      </c>
      <c r="C25556" t="s">
        <v>445</v>
      </c>
      <c r="D25556" t="s">
        <v>823</v>
      </c>
      <c r="F25556">
        <v>4.66251507310222E-9</v>
      </c>
      <c r="G25556">
        <v>43369739</v>
      </c>
      <c r="H25556">
        <v>12128406</v>
      </c>
      <c r="I25556">
        <v>25182706</v>
      </c>
      <c r="J25556">
        <v>4</v>
      </c>
    </row>
    <row r="25557" spans="1:10" x14ac:dyDescent="0.25">
      <c r="A25557" t="s">
        <v>281</v>
      </c>
      <c r="B25557" s="1" t="str">
        <f>HYPERLINK("http://wii.fi","wii.fi")</f>
        <v>wii.fi</v>
      </c>
      <c r="C25557" t="s">
        <v>445</v>
      </c>
      <c r="D25557" t="s">
        <v>823</v>
      </c>
      <c r="J25557">
        <v>4</v>
      </c>
    </row>
    <row r="25558" spans="1:10" x14ac:dyDescent="0.25">
      <c r="A25558" t="s">
        <v>281</v>
      </c>
      <c r="B25558" s="1" t="str">
        <f>HYPERLINK("http://nintendo.fr","nintendo.fr")</f>
        <v>nintendo.fr</v>
      </c>
      <c r="C25558" t="s">
        <v>446</v>
      </c>
      <c r="D25558" t="s">
        <v>824</v>
      </c>
      <c r="E25558">
        <v>13867</v>
      </c>
      <c r="F25558">
        <v>7.3067484286546995E-7</v>
      </c>
      <c r="G25558">
        <v>53229</v>
      </c>
      <c r="H25558">
        <v>15477916</v>
      </c>
      <c r="I25558">
        <v>377336</v>
      </c>
      <c r="J25558">
        <v>2</v>
      </c>
    </row>
    <row r="25559" spans="1:10" x14ac:dyDescent="0.25">
      <c r="A25559" t="s">
        <v>281</v>
      </c>
      <c r="B25559" s="1" t="str">
        <f>HYPERLINK("http://pokemon.fr","pokemon.fr")</f>
        <v>pokemon.fr</v>
      </c>
      <c r="C25559" t="s">
        <v>446</v>
      </c>
      <c r="D25559" t="s">
        <v>824</v>
      </c>
      <c r="F25559">
        <v>2.1137120583573299E-8</v>
      </c>
      <c r="G25559">
        <v>2495974</v>
      </c>
      <c r="H25559">
        <v>13111539</v>
      </c>
      <c r="I25559">
        <v>12030599</v>
      </c>
      <c r="J25559">
        <v>5</v>
      </c>
    </row>
    <row r="25560" spans="1:10" x14ac:dyDescent="0.25">
      <c r="A25560" t="s">
        <v>281</v>
      </c>
      <c r="B25560" s="1" t="str">
        <f>HYPERLINK("http://nintendo.gr","nintendo.gr")</f>
        <v>nintendo.gr</v>
      </c>
      <c r="C25560" t="s">
        <v>447</v>
      </c>
      <c r="D25560" t="s">
        <v>825</v>
      </c>
      <c r="F25560">
        <v>1.74015109398423E-8</v>
      </c>
      <c r="G25560">
        <v>3172801</v>
      </c>
      <c r="H25560">
        <v>14376479</v>
      </c>
      <c r="I25560">
        <v>1216834</v>
      </c>
      <c r="J25560">
        <v>3</v>
      </c>
    </row>
    <row r="25561" spans="1:10" x14ac:dyDescent="0.25">
      <c r="A25561" t="s">
        <v>281</v>
      </c>
      <c r="B25561" s="1" t="str">
        <f>HYPERLINK("http://nintendo.com.hk","nintendo.com.hk")</f>
        <v>nintendo.com.hk</v>
      </c>
      <c r="C25561" t="s">
        <v>450</v>
      </c>
      <c r="D25561" t="s">
        <v>827</v>
      </c>
      <c r="E25561">
        <v>38464</v>
      </c>
      <c r="F25561">
        <v>3.2901387206505602E-7</v>
      </c>
      <c r="G25561">
        <v>113222</v>
      </c>
      <c r="H25561">
        <v>15783435</v>
      </c>
      <c r="I25561">
        <v>368413</v>
      </c>
      <c r="J25561">
        <v>2</v>
      </c>
    </row>
    <row r="25562" spans="1:10" x14ac:dyDescent="0.25">
      <c r="A25562" t="s">
        <v>281</v>
      </c>
      <c r="B25562" s="1" t="str">
        <f>HYPERLINK("http://nintendo.hu","nintendo.hu")</f>
        <v>nintendo.hu</v>
      </c>
      <c r="C25562" t="s">
        <v>453</v>
      </c>
      <c r="D25562" t="s">
        <v>830</v>
      </c>
      <c r="F25562">
        <v>1.98478392519498E-8</v>
      </c>
      <c r="G25562">
        <v>2685608</v>
      </c>
      <c r="H25562">
        <v>14073702</v>
      </c>
      <c r="I25562">
        <v>2977357</v>
      </c>
      <c r="J25562">
        <v>3</v>
      </c>
    </row>
    <row r="25563" spans="1:10" x14ac:dyDescent="0.25">
      <c r="A25563" t="s">
        <v>281</v>
      </c>
      <c r="B25563" s="1" t="str">
        <f>HYPERLINK("http://nintendo.ie","nintendo.ie")</f>
        <v>nintendo.ie</v>
      </c>
      <c r="C25563" t="s">
        <v>455</v>
      </c>
      <c r="D25563" t="s">
        <v>832</v>
      </c>
      <c r="F25563">
        <v>2.2592458056652302E-8</v>
      </c>
      <c r="G25563">
        <v>2318324</v>
      </c>
      <c r="H25563">
        <v>12332947</v>
      </c>
      <c r="I25563">
        <v>20150229</v>
      </c>
      <c r="J25563">
        <v>3</v>
      </c>
    </row>
    <row r="25564" spans="1:10" x14ac:dyDescent="0.25">
      <c r="A25564" t="s">
        <v>281</v>
      </c>
      <c r="B25564" s="1" t="str">
        <f>HYPERLINK("http://nintendo.co.il","nintendo.co.il")</f>
        <v>nintendo.co.il</v>
      </c>
      <c r="C25564" t="s">
        <v>456</v>
      </c>
      <c r="D25564" t="s">
        <v>833</v>
      </c>
      <c r="F25564">
        <v>2.9128249022561101E-8</v>
      </c>
      <c r="G25564">
        <v>1768026</v>
      </c>
      <c r="H25564">
        <v>14417675</v>
      </c>
      <c r="I25564">
        <v>1097143</v>
      </c>
      <c r="J25564">
        <v>3</v>
      </c>
    </row>
    <row r="25565" spans="1:10" x14ac:dyDescent="0.25">
      <c r="A25565" t="s">
        <v>281</v>
      </c>
      <c r="B25565" s="1" t="str">
        <f>HYPERLINK("http://nintendo.it","nintendo.it")</f>
        <v>nintendo.it</v>
      </c>
      <c r="C25565" t="s">
        <v>459</v>
      </c>
      <c r="D25565" t="s">
        <v>835</v>
      </c>
      <c r="E25565">
        <v>16998</v>
      </c>
      <c r="F25565">
        <v>3.7921481447368699E-7</v>
      </c>
      <c r="G25565">
        <v>98648</v>
      </c>
      <c r="H25565">
        <v>14863735</v>
      </c>
      <c r="I25565">
        <v>482746</v>
      </c>
      <c r="J25565">
        <v>2</v>
      </c>
    </row>
    <row r="25566" spans="1:10" x14ac:dyDescent="0.25">
      <c r="A25566" t="s">
        <v>281</v>
      </c>
      <c r="B25566" s="1" t="str">
        <f>HYPERLINK("http://pokemon.it","pokemon.it")</f>
        <v>pokemon.it</v>
      </c>
      <c r="C25566" t="s">
        <v>459</v>
      </c>
      <c r="D25566" t="s">
        <v>835</v>
      </c>
      <c r="F25566">
        <v>2.1946162876761801E-8</v>
      </c>
      <c r="G25566">
        <v>2392595</v>
      </c>
      <c r="H25566">
        <v>13764812</v>
      </c>
      <c r="I25566">
        <v>7187234</v>
      </c>
      <c r="J25566">
        <v>5</v>
      </c>
    </row>
    <row r="25567" spans="1:10" x14ac:dyDescent="0.25">
      <c r="A25567" t="s">
        <v>281</v>
      </c>
      <c r="B25567" s="1" t="str">
        <f>HYPERLINK("http://1-up-studio.jp","1-up-studio.jp")</f>
        <v>1-up-studio.jp</v>
      </c>
      <c r="C25567" t="s">
        <v>461</v>
      </c>
      <c r="D25567" t="s">
        <v>837</v>
      </c>
      <c r="F25567">
        <v>7.4078998421275298E-9</v>
      </c>
      <c r="G25567">
        <v>11225596</v>
      </c>
      <c r="H25567">
        <v>14072660</v>
      </c>
      <c r="I25567">
        <v>3060669</v>
      </c>
      <c r="J25567">
        <v>3</v>
      </c>
    </row>
    <row r="25568" spans="1:10" x14ac:dyDescent="0.25">
      <c r="A25568" t="s">
        <v>281</v>
      </c>
      <c r="B25568" s="1" t="str">
        <f>HYPERLINK("http://br2.co.jp","br2.co.jp")</f>
        <v>br2.co.jp</v>
      </c>
      <c r="C25568" t="s">
        <v>461</v>
      </c>
      <c r="D25568" t="s">
        <v>837</v>
      </c>
      <c r="F25568">
        <v>7.7249585941116302E-9</v>
      </c>
      <c r="G25568">
        <v>10518920</v>
      </c>
      <c r="H25568">
        <v>14099424</v>
      </c>
      <c r="I25568">
        <v>2711223</v>
      </c>
      <c r="J25568">
        <v>3</v>
      </c>
    </row>
    <row r="25569" spans="1:10" x14ac:dyDescent="0.25">
      <c r="A25569" t="s">
        <v>281</v>
      </c>
      <c r="B25569" s="1" t="str">
        <f>HYPERLINK("http://marioclub.co.jp","marioclub.co.jp")</f>
        <v>marioclub.co.jp</v>
      </c>
      <c r="C25569" t="s">
        <v>461</v>
      </c>
      <c r="D25569" t="s">
        <v>837</v>
      </c>
      <c r="F25569">
        <v>6.5244258835597402E-9</v>
      </c>
      <c r="G25569">
        <v>13977149</v>
      </c>
      <c r="H25569">
        <v>13249922</v>
      </c>
      <c r="I25569">
        <v>11086655</v>
      </c>
      <c r="J25569">
        <v>3</v>
      </c>
    </row>
    <row r="25570" spans="1:10" x14ac:dyDescent="0.25">
      <c r="A25570" t="s">
        <v>281</v>
      </c>
      <c r="B25570" s="1" t="str">
        <f>HYPERLINK("http://monolithsoft.co.jp","monolithsoft.co.jp")</f>
        <v>monolithsoft.co.jp</v>
      </c>
      <c r="C25570" t="s">
        <v>461</v>
      </c>
      <c r="D25570" t="s">
        <v>837</v>
      </c>
      <c r="E25570">
        <v>342233</v>
      </c>
      <c r="F25570">
        <v>5.5314072231556803E-8</v>
      </c>
      <c r="G25570">
        <v>811944</v>
      </c>
      <c r="H25570">
        <v>14452294</v>
      </c>
      <c r="I25570">
        <v>1051890</v>
      </c>
      <c r="J25570">
        <v>3</v>
      </c>
    </row>
    <row r="25571" spans="1:10" x14ac:dyDescent="0.25">
      <c r="A25571" t="s">
        <v>281</v>
      </c>
      <c r="B25571" s="1" t="str">
        <f>HYPERLINK("http://ndcube.co.jp","ndcube.co.jp")</f>
        <v>ndcube.co.jp</v>
      </c>
      <c r="C25571" t="s">
        <v>461</v>
      </c>
      <c r="D25571" t="s">
        <v>837</v>
      </c>
      <c r="F25571">
        <v>7.7476397931305002E-9</v>
      </c>
      <c r="G25571">
        <v>10471798</v>
      </c>
      <c r="H25571">
        <v>14079679</v>
      </c>
      <c r="I25571">
        <v>2829662</v>
      </c>
      <c r="J25571">
        <v>3</v>
      </c>
    </row>
    <row r="25572" spans="1:10" x14ac:dyDescent="0.25">
      <c r="A25572" t="s">
        <v>281</v>
      </c>
      <c r="B25572" s="1" t="str">
        <f>HYPERLINK("http://nintendo.co.jp","nintendo.co.jp")</f>
        <v>nintendo.co.jp</v>
      </c>
      <c r="C25572" t="s">
        <v>461</v>
      </c>
      <c r="D25572" t="s">
        <v>837</v>
      </c>
      <c r="E25572">
        <v>7840</v>
      </c>
      <c r="F25572">
        <v>3.3750859988738499E-6</v>
      </c>
      <c r="G25572">
        <v>11947</v>
      </c>
      <c r="H25572">
        <v>17671130</v>
      </c>
      <c r="I25572">
        <v>7919</v>
      </c>
      <c r="J25572">
        <v>1</v>
      </c>
    </row>
    <row r="25573" spans="1:10" x14ac:dyDescent="0.25">
      <c r="A25573" t="s">
        <v>281</v>
      </c>
      <c r="B25573" s="1" t="str">
        <f>HYPERLINK("http://nintendo-pictures.co.jp","nintendo-pictures.co.jp")</f>
        <v>nintendo-pictures.co.jp</v>
      </c>
      <c r="C25573" t="s">
        <v>461</v>
      </c>
      <c r="D25573" t="s">
        <v>837</v>
      </c>
      <c r="F25573">
        <v>3.0400910891964802E-8</v>
      </c>
      <c r="G25573">
        <v>1693417</v>
      </c>
      <c r="H25573">
        <v>14247045</v>
      </c>
      <c r="I25573">
        <v>1459048</v>
      </c>
      <c r="J25573">
        <v>3</v>
      </c>
    </row>
    <row r="25574" spans="1:10" x14ac:dyDescent="0.25">
      <c r="A25574" t="s">
        <v>281</v>
      </c>
      <c r="B25574" s="1" t="str">
        <f>HYPERLINK("http://nintendo-sales.co.jp","nintendo-sales.co.jp")</f>
        <v>nintendo-sales.co.jp</v>
      </c>
      <c r="C25574" t="s">
        <v>461</v>
      </c>
      <c r="D25574" t="s">
        <v>837</v>
      </c>
      <c r="F25574">
        <v>2.9720635891109301E-8</v>
      </c>
      <c r="G25574">
        <v>1732191</v>
      </c>
      <c r="H25574">
        <v>14192367</v>
      </c>
      <c r="I25574">
        <v>1745952</v>
      </c>
      <c r="J25574">
        <v>3</v>
      </c>
    </row>
    <row r="25575" spans="1:10" x14ac:dyDescent="0.25">
      <c r="A25575" t="s">
        <v>281</v>
      </c>
      <c r="B25575" s="1" t="str">
        <f>HYPERLINK("http://pokemon.co.jp","pokemon.co.jp")</f>
        <v>pokemon.co.jp</v>
      </c>
      <c r="C25575" t="s">
        <v>461</v>
      </c>
      <c r="D25575" t="s">
        <v>837</v>
      </c>
      <c r="E25575">
        <v>20503</v>
      </c>
      <c r="F25575">
        <v>8.39465858860685E-7</v>
      </c>
      <c r="G25575">
        <v>47310</v>
      </c>
      <c r="H25575">
        <v>15388512</v>
      </c>
      <c r="I25575">
        <v>380749</v>
      </c>
      <c r="J25575">
        <v>3</v>
      </c>
    </row>
    <row r="25576" spans="1:10" x14ac:dyDescent="0.25">
      <c r="A25576" t="s">
        <v>281</v>
      </c>
      <c r="B25576" s="1" t="str">
        <f>HYPERLINK("http://srd.co.jp","srd.co.jp")</f>
        <v>srd.co.jp</v>
      </c>
      <c r="C25576" t="s">
        <v>461</v>
      </c>
      <c r="D25576" t="s">
        <v>837</v>
      </c>
      <c r="F25576">
        <v>8.86029157772663E-9</v>
      </c>
      <c r="G25576">
        <v>8207946</v>
      </c>
      <c r="H25576">
        <v>14081453</v>
      </c>
      <c r="I25576">
        <v>2809909</v>
      </c>
      <c r="J25576">
        <v>3</v>
      </c>
    </row>
    <row r="25577" spans="1:10" x14ac:dyDescent="0.25">
      <c r="A25577" t="s">
        <v>281</v>
      </c>
      <c r="B25577" s="1" t="str">
        <f>HYPERLINK("http://nintendo.jp","nintendo.jp")</f>
        <v>nintendo.jp</v>
      </c>
      <c r="C25577" t="s">
        <v>461</v>
      </c>
      <c r="D25577" t="s">
        <v>837</v>
      </c>
      <c r="E25577">
        <v>528448</v>
      </c>
      <c r="F25577">
        <v>3.8652711112552897E-8</v>
      </c>
      <c r="G25577">
        <v>1333958</v>
      </c>
      <c r="H25577">
        <v>14578810</v>
      </c>
      <c r="I25577">
        <v>714023</v>
      </c>
      <c r="J25577">
        <v>2</v>
      </c>
    </row>
    <row r="25578" spans="1:10" x14ac:dyDescent="0.25">
      <c r="A25578" t="s">
        <v>281</v>
      </c>
      <c r="B25578" s="1" t="str">
        <f>HYPERLINK("http://pokemon.jp","pokemon.jp")</f>
        <v>pokemon.jp</v>
      </c>
      <c r="C25578" t="s">
        <v>461</v>
      </c>
      <c r="D25578" t="s">
        <v>837</v>
      </c>
      <c r="E25578">
        <v>174951</v>
      </c>
      <c r="F25578">
        <v>2.00260038238166E-7</v>
      </c>
      <c r="G25578">
        <v>190284</v>
      </c>
      <c r="H25578">
        <v>14640735</v>
      </c>
      <c r="I25578">
        <v>636843</v>
      </c>
      <c r="J25578">
        <v>4</v>
      </c>
    </row>
    <row r="25579" spans="1:10" x14ac:dyDescent="0.25">
      <c r="A25579" t="s">
        <v>281</v>
      </c>
      <c r="B25579" s="1" t="str">
        <f>HYPERLINK("http://nintendo.co.kr","nintendo.co.kr")</f>
        <v>nintendo.co.kr</v>
      </c>
      <c r="C25579" t="s">
        <v>463</v>
      </c>
      <c r="D25579" t="s">
        <v>839</v>
      </c>
      <c r="E25579">
        <v>157645</v>
      </c>
      <c r="F25579">
        <v>3.0760055570791999E-7</v>
      </c>
      <c r="G25579">
        <v>120873</v>
      </c>
      <c r="H25579">
        <v>14760316</v>
      </c>
      <c r="I25579">
        <v>560541</v>
      </c>
      <c r="J25579">
        <v>2</v>
      </c>
    </row>
    <row r="25580" spans="1:10" x14ac:dyDescent="0.25">
      <c r="A25580" t="s">
        <v>281</v>
      </c>
      <c r="B25580" s="1" t="str">
        <f>HYPERLINK("http://nintendo.mx","nintendo.mx")</f>
        <v>nintendo.mx</v>
      </c>
      <c r="C25580" t="s">
        <v>471</v>
      </c>
      <c r="D25580" t="s">
        <v>847</v>
      </c>
      <c r="F25580">
        <v>1.35566131319326E-8</v>
      </c>
      <c r="G25580">
        <v>4380048</v>
      </c>
      <c r="H25580">
        <v>12609217</v>
      </c>
      <c r="I25580">
        <v>16243783</v>
      </c>
      <c r="J25580">
        <v>3</v>
      </c>
    </row>
    <row r="25581" spans="1:10" x14ac:dyDescent="0.25">
      <c r="A25581" t="s">
        <v>281</v>
      </c>
      <c r="B25581" s="1" t="str">
        <f>HYPERLINK("http://nintendo.net","nintendo.net")</f>
        <v>nintendo.net</v>
      </c>
      <c r="C25581" t="s">
        <v>474</v>
      </c>
      <c r="E25581">
        <v>508</v>
      </c>
      <c r="F25581">
        <v>3.1890761802121699E-7</v>
      </c>
      <c r="G25581">
        <v>116635</v>
      </c>
      <c r="H25581">
        <v>15069178</v>
      </c>
      <c r="I25581">
        <v>411273</v>
      </c>
      <c r="J25581">
        <v>3</v>
      </c>
    </row>
    <row r="25582" spans="1:10" x14ac:dyDescent="0.25">
      <c r="A25582" t="s">
        <v>281</v>
      </c>
      <c r="B25582" s="1" t="str">
        <f>HYPERLINK("http://nintendo.nl","nintendo.nl")</f>
        <v>nintendo.nl</v>
      </c>
      <c r="C25582" t="s">
        <v>477</v>
      </c>
      <c r="D25582" t="s">
        <v>852</v>
      </c>
      <c r="E25582">
        <v>10923</v>
      </c>
      <c r="F25582">
        <v>3.1742371549701799E-7</v>
      </c>
      <c r="G25582">
        <v>117185</v>
      </c>
      <c r="H25582">
        <v>15197016</v>
      </c>
      <c r="I25582">
        <v>395883</v>
      </c>
      <c r="J25582">
        <v>2</v>
      </c>
    </row>
    <row r="25583" spans="1:10" x14ac:dyDescent="0.25">
      <c r="A25583" t="s">
        <v>281</v>
      </c>
      <c r="B25583" s="1" t="str">
        <f>HYPERLINK("http://nintendo.no","nintendo.no")</f>
        <v>nintendo.no</v>
      </c>
      <c r="C25583" t="s">
        <v>478</v>
      </c>
      <c r="D25583" t="s">
        <v>853</v>
      </c>
      <c r="F25583">
        <v>7.1503532274822804E-8</v>
      </c>
      <c r="G25583">
        <v>590992</v>
      </c>
      <c r="H25583">
        <v>14247434</v>
      </c>
      <c r="I25583">
        <v>1457392</v>
      </c>
      <c r="J25583">
        <v>3</v>
      </c>
    </row>
    <row r="25584" spans="1:10" x14ac:dyDescent="0.25">
      <c r="A25584" t="s">
        <v>281</v>
      </c>
      <c r="B25584" s="1" t="str">
        <f>HYPERLINK("http://nintendo.co.nz","nintendo.co.nz")</f>
        <v>nintendo.co.nz</v>
      </c>
      <c r="C25584" t="s">
        <v>479</v>
      </c>
      <c r="D25584" t="s">
        <v>854</v>
      </c>
      <c r="F25584">
        <v>1.4114947327069299E-8</v>
      </c>
      <c r="G25584">
        <v>4160200</v>
      </c>
      <c r="H25584">
        <v>14073772</v>
      </c>
      <c r="I25584">
        <v>2972676</v>
      </c>
      <c r="J25584">
        <v>3</v>
      </c>
    </row>
    <row r="25585" spans="1:10" x14ac:dyDescent="0.25">
      <c r="A25585" t="s">
        <v>281</v>
      </c>
      <c r="B25585" s="1" t="str">
        <f>HYPERLINK("http://nintendo.com.pe","nintendo.com.pe")</f>
        <v>nintendo.com.pe</v>
      </c>
      <c r="C25585" t="s">
        <v>483</v>
      </c>
      <c r="D25585" t="s">
        <v>857</v>
      </c>
      <c r="F25585">
        <v>5.9537198975417904E-9</v>
      </c>
      <c r="G25585">
        <v>16998869</v>
      </c>
      <c r="H25585">
        <v>12303895</v>
      </c>
      <c r="I25585">
        <v>20755265</v>
      </c>
      <c r="J25585">
        <v>3</v>
      </c>
    </row>
    <row r="25586" spans="1:10" x14ac:dyDescent="0.25">
      <c r="A25586" t="s">
        <v>281</v>
      </c>
      <c r="B25586" s="1" t="str">
        <f>HYPERLINK("http://nintendo.pl","nintendo.pl")</f>
        <v>nintendo.pl</v>
      </c>
      <c r="C25586" t="s">
        <v>486</v>
      </c>
      <c r="D25586" t="s">
        <v>860</v>
      </c>
      <c r="F25586">
        <v>5.9154561982817098E-8</v>
      </c>
      <c r="G25586">
        <v>749257</v>
      </c>
      <c r="H25586">
        <v>14078728</v>
      </c>
      <c r="I25586">
        <v>2842179</v>
      </c>
      <c r="J25586">
        <v>3</v>
      </c>
    </row>
    <row r="25587" spans="1:10" x14ac:dyDescent="0.25">
      <c r="A25587" t="s">
        <v>281</v>
      </c>
      <c r="B25587" s="1" t="str">
        <f>HYPERLINK("http://nintendo.pt","nintendo.pt")</f>
        <v>nintendo.pt</v>
      </c>
      <c r="C25587" t="s">
        <v>488</v>
      </c>
      <c r="D25587" t="s">
        <v>862</v>
      </c>
      <c r="E25587">
        <v>20965</v>
      </c>
      <c r="F25587">
        <v>1.5288205352454801E-7</v>
      </c>
      <c r="G25587">
        <v>254082</v>
      </c>
      <c r="H25587">
        <v>14680965</v>
      </c>
      <c r="I25587">
        <v>608445</v>
      </c>
      <c r="J25587">
        <v>3</v>
      </c>
    </row>
    <row r="25588" spans="1:10" x14ac:dyDescent="0.25">
      <c r="A25588" t="s">
        <v>281</v>
      </c>
      <c r="B25588" s="1" t="str">
        <f>HYPERLINK("http://nintendo.ru","nintendo.ru")</f>
        <v>nintendo.ru</v>
      </c>
      <c r="C25588" t="s">
        <v>493</v>
      </c>
      <c r="D25588" t="s">
        <v>867</v>
      </c>
      <c r="E25588">
        <v>21456</v>
      </c>
      <c r="F25588">
        <v>3.7639759214566998E-7</v>
      </c>
      <c r="G25588">
        <v>99475</v>
      </c>
      <c r="H25588">
        <v>14732579</v>
      </c>
      <c r="I25588">
        <v>571127</v>
      </c>
      <c r="J25588">
        <v>2</v>
      </c>
    </row>
    <row r="25589" spans="1:10" x14ac:dyDescent="0.25">
      <c r="A25589" t="s">
        <v>281</v>
      </c>
      <c r="B25589" s="1" t="str">
        <f>HYPERLINK("http://pokemon.ru","pokemon.ru")</f>
        <v>pokemon.ru</v>
      </c>
      <c r="C25589" t="s">
        <v>493</v>
      </c>
      <c r="D25589" t="s">
        <v>867</v>
      </c>
      <c r="F25589">
        <v>1.5720661457179499E-8</v>
      </c>
      <c r="G25589">
        <v>3621542</v>
      </c>
      <c r="H25589">
        <v>12480795</v>
      </c>
      <c r="I25589">
        <v>17591193</v>
      </c>
      <c r="J25589">
        <v>5</v>
      </c>
    </row>
    <row r="25590" spans="1:10" x14ac:dyDescent="0.25">
      <c r="A25590" t="s">
        <v>281</v>
      </c>
      <c r="B25590" s="1" t="str">
        <f>HYPERLINK("http://nintendo.se","nintendo.se")</f>
        <v>nintendo.se</v>
      </c>
      <c r="C25590" t="s">
        <v>495</v>
      </c>
      <c r="D25590" t="s">
        <v>869</v>
      </c>
      <c r="F25590">
        <v>1.08246734506524E-7</v>
      </c>
      <c r="G25590">
        <v>369718</v>
      </c>
      <c r="H25590">
        <v>14834104</v>
      </c>
      <c r="I25590">
        <v>502536</v>
      </c>
      <c r="J25590">
        <v>3</v>
      </c>
    </row>
    <row r="25591" spans="1:10" x14ac:dyDescent="0.25">
      <c r="A25591" t="s">
        <v>281</v>
      </c>
      <c r="B25591" s="1" t="str">
        <f>HYPERLINK("http://nintendo.sk","nintendo.sk")</f>
        <v>nintendo.sk</v>
      </c>
      <c r="C25591" t="s">
        <v>498</v>
      </c>
      <c r="D25591" t="s">
        <v>872</v>
      </c>
      <c r="F25591">
        <v>1.72305611379579E-8</v>
      </c>
      <c r="G25591">
        <v>3216995</v>
      </c>
      <c r="H25591">
        <v>12640803</v>
      </c>
      <c r="I25591">
        <v>15870135</v>
      </c>
      <c r="J25591">
        <v>3</v>
      </c>
    </row>
    <row r="25592" spans="1:10" x14ac:dyDescent="0.25">
      <c r="A25592" t="s">
        <v>281</v>
      </c>
      <c r="B25592" s="1" t="str">
        <f>HYPERLINK("http://nintendo.tw","nintendo.tw")</f>
        <v>nintendo.tw</v>
      </c>
      <c r="C25592" t="s">
        <v>504</v>
      </c>
      <c r="D25592" t="s">
        <v>878</v>
      </c>
      <c r="E25592">
        <v>259471</v>
      </c>
      <c r="F25592">
        <v>9.3833367408750094E-8</v>
      </c>
      <c r="G25592">
        <v>432818</v>
      </c>
      <c r="H25592">
        <v>14974372</v>
      </c>
      <c r="I25592">
        <v>432677</v>
      </c>
      <c r="J25592">
        <v>3</v>
      </c>
    </row>
    <row r="25593" spans="1:10" x14ac:dyDescent="0.25">
      <c r="A25593" t="s">
        <v>281</v>
      </c>
      <c r="B25593" s="1" t="str">
        <f>HYPERLINK("http://nintendo.co.uk","nintendo.co.uk")</f>
        <v>nintendo.co.uk</v>
      </c>
      <c r="C25593" t="s">
        <v>506</v>
      </c>
      <c r="D25593" t="s">
        <v>880</v>
      </c>
      <c r="E25593">
        <v>9230</v>
      </c>
      <c r="F25593">
        <v>2.1050424200479801E-6</v>
      </c>
      <c r="G25593">
        <v>17371</v>
      </c>
      <c r="H25593">
        <v>17396246</v>
      </c>
      <c r="I25593">
        <v>19427</v>
      </c>
      <c r="J25593">
        <v>2</v>
      </c>
    </row>
    <row r="25594" spans="1:10" x14ac:dyDescent="0.25">
      <c r="A25594" t="s">
        <v>281</v>
      </c>
      <c r="B25594" s="1" t="str">
        <f>HYPERLINK("http://pokemon.co.uk","pokemon.co.uk")</f>
        <v>pokemon.co.uk</v>
      </c>
      <c r="C25594" t="s">
        <v>506</v>
      </c>
      <c r="D25594" t="s">
        <v>880</v>
      </c>
      <c r="F25594">
        <v>2.1185844522991499E-8</v>
      </c>
      <c r="G25594">
        <v>2489522</v>
      </c>
      <c r="H25594">
        <v>12499095</v>
      </c>
      <c r="I25594">
        <v>17369082</v>
      </c>
      <c r="J25594">
        <v>5</v>
      </c>
    </row>
    <row r="25595" spans="1:10" x14ac:dyDescent="0.25">
      <c r="A25595" t="s">
        <v>281</v>
      </c>
      <c r="B25595" s="1" t="str">
        <f>HYPERLINK("http://nintendo.co.za","nintendo.co.za")</f>
        <v>nintendo.co.za</v>
      </c>
      <c r="C25595" t="s">
        <v>510</v>
      </c>
      <c r="D25595" t="s">
        <v>884</v>
      </c>
      <c r="E25595">
        <v>281386</v>
      </c>
      <c r="F25595">
        <v>9.4864431069999501E-8</v>
      </c>
      <c r="G25595">
        <v>427497</v>
      </c>
      <c r="H25595">
        <v>14834008</v>
      </c>
      <c r="I25595">
        <v>502648</v>
      </c>
      <c r="J25595">
        <v>3</v>
      </c>
    </row>
    <row r="25596" spans="1:10" x14ac:dyDescent="0.25">
      <c r="A25596" t="s">
        <v>281</v>
      </c>
      <c r="B25596" s="1" t="str">
        <f>HYPERLINK("http://pokemon.co.za","pokemon.co.za")</f>
        <v>pokemon.co.za</v>
      </c>
      <c r="C25596" t="s">
        <v>510</v>
      </c>
      <c r="D25596" t="s">
        <v>884</v>
      </c>
      <c r="F25596">
        <v>1.31900414212766E-8</v>
      </c>
      <c r="G25596">
        <v>4542632</v>
      </c>
      <c r="H25596">
        <v>12351835</v>
      </c>
      <c r="I25596">
        <v>19738431</v>
      </c>
      <c r="J25596">
        <v>5</v>
      </c>
    </row>
    <row r="25597" spans="1:10" x14ac:dyDescent="0.25">
      <c r="A25597" t="s">
        <v>282</v>
      </c>
      <c r="B25597" s="1" t="str">
        <f>HYPERLINK("http://kamco.com.au","kamco.com.au")</f>
        <v>kamco.com.au</v>
      </c>
      <c r="C25597" t="s">
        <v>420</v>
      </c>
      <c r="D25597" t="s">
        <v>802</v>
      </c>
      <c r="F25597">
        <v>4.4589340183070704E-9</v>
      </c>
      <c r="G25597">
        <v>68096398</v>
      </c>
      <c r="H25597">
        <v>11966445</v>
      </c>
      <c r="I25597">
        <v>28772272</v>
      </c>
      <c r="J25597">
        <v>4</v>
      </c>
    </row>
    <row r="25598" spans="1:10" x14ac:dyDescent="0.25">
      <c r="A25598" t="s">
        <v>282</v>
      </c>
      <c r="B25598" s="1" t="str">
        <f>HYPERLINK("http://ntsprod.com.au","ntsprod.com.au")</f>
        <v>ntsprod.com.au</v>
      </c>
      <c r="C25598" t="s">
        <v>420</v>
      </c>
      <c r="D25598" t="s">
        <v>802</v>
      </c>
      <c r="J25598">
        <v>5</v>
      </c>
    </row>
    <row r="25599" spans="1:10" x14ac:dyDescent="0.25">
      <c r="A25599" t="s">
        <v>282</v>
      </c>
      <c r="B25599" s="1" t="str">
        <f>HYPERLINK("http://nttdata-solutions.com.br","nttdata-solutions.com.br")</f>
        <v>nttdata-solutions.com.br</v>
      </c>
      <c r="C25599" t="s">
        <v>425</v>
      </c>
      <c r="D25599" t="s">
        <v>806</v>
      </c>
      <c r="F25599">
        <v>7.0994568579083997E-9</v>
      </c>
      <c r="G25599">
        <v>12016577</v>
      </c>
      <c r="H25599">
        <v>12541365</v>
      </c>
      <c r="I25599">
        <v>16933794</v>
      </c>
      <c r="J25599">
        <v>5</v>
      </c>
    </row>
    <row r="25600" spans="1:10" x14ac:dyDescent="0.25">
      <c r="A25600" t="s">
        <v>282</v>
      </c>
      <c r="B25600" s="1" t="str">
        <f>HYPERLINK("http://arkadin.ch","arkadin.ch")</f>
        <v>arkadin.ch</v>
      </c>
      <c r="C25600" t="s">
        <v>429</v>
      </c>
      <c r="D25600" t="s">
        <v>810</v>
      </c>
      <c r="J25600">
        <v>7</v>
      </c>
    </row>
    <row r="25601" spans="1:10" x14ac:dyDescent="0.25">
      <c r="A25601" t="s">
        <v>282</v>
      </c>
      <c r="B25601" s="1" t="str">
        <f>HYPERLINK("http://magenta.cl","magenta.cl")</f>
        <v>magenta.cl</v>
      </c>
      <c r="C25601" t="s">
        <v>430</v>
      </c>
      <c r="D25601" t="s">
        <v>811</v>
      </c>
      <c r="F25601">
        <v>4.7016157985679498E-9</v>
      </c>
      <c r="G25601">
        <v>41151101</v>
      </c>
      <c r="H25601">
        <v>12422576</v>
      </c>
      <c r="I25601">
        <v>18406974</v>
      </c>
      <c r="J25601">
        <v>5</v>
      </c>
    </row>
    <row r="25602" spans="1:10" x14ac:dyDescent="0.25">
      <c r="A25602" t="s">
        <v>282</v>
      </c>
      <c r="B25602" s="1" t="str">
        <f>HYPERLINK("http://nttdata.com.cn","nttdata.com.cn")</f>
        <v>nttdata.com.cn</v>
      </c>
      <c r="C25602" t="s">
        <v>431</v>
      </c>
      <c r="D25602" t="s">
        <v>812</v>
      </c>
      <c r="F25602">
        <v>9.6732034635619896E-9</v>
      </c>
      <c r="G25602">
        <v>7112241</v>
      </c>
      <c r="H25602">
        <v>12504618</v>
      </c>
      <c r="I25602">
        <v>17299789</v>
      </c>
      <c r="J25602">
        <v>3</v>
      </c>
    </row>
    <row r="25603" spans="1:10" x14ac:dyDescent="0.25">
      <c r="A25603" t="s">
        <v>282</v>
      </c>
      <c r="B25603" s="1" t="str">
        <f>HYPERLINK("http://050plus.com","050plus.com")</f>
        <v>050plus.com</v>
      </c>
      <c r="C25603" t="s">
        <v>433</v>
      </c>
      <c r="F25603">
        <v>7.5423358368357795E-8</v>
      </c>
      <c r="G25603">
        <v>557425</v>
      </c>
      <c r="H25603">
        <v>14530404</v>
      </c>
      <c r="I25603">
        <v>787039</v>
      </c>
      <c r="J25603">
        <v>4</v>
      </c>
    </row>
    <row r="25604" spans="1:10" x14ac:dyDescent="0.25">
      <c r="A25604" t="s">
        <v>282</v>
      </c>
      <c r="B25604" s="1" t="str">
        <f>HYPERLINK("http://1123interactive.com","1123interactive.com")</f>
        <v>1123interactive.com</v>
      </c>
      <c r="C25604" t="s">
        <v>433</v>
      </c>
      <c r="F25604">
        <v>1.9166404632411101E-8</v>
      </c>
      <c r="G25604">
        <v>2804341</v>
      </c>
      <c r="H25604">
        <v>12479290</v>
      </c>
      <c r="I25604">
        <v>17605501</v>
      </c>
      <c r="J25604">
        <v>5</v>
      </c>
    </row>
    <row r="25605" spans="1:10" x14ac:dyDescent="0.25">
      <c r="A25605" t="s">
        <v>282</v>
      </c>
      <c r="B25605" s="1" t="str">
        <f>HYPERLINK("http://ahamo.com","ahamo.com")</f>
        <v>ahamo.com</v>
      </c>
      <c r="C25605" t="s">
        <v>433</v>
      </c>
      <c r="E25605">
        <v>147496</v>
      </c>
      <c r="F25605">
        <v>2.5948698795350301E-7</v>
      </c>
      <c r="G25605">
        <v>144137</v>
      </c>
      <c r="H25605">
        <v>16933714</v>
      </c>
      <c r="I25605">
        <v>116691</v>
      </c>
      <c r="J25605">
        <v>4</v>
      </c>
    </row>
    <row r="25606" spans="1:10" x14ac:dyDescent="0.25">
      <c r="A25606" t="s">
        <v>282</v>
      </c>
      <c r="B25606" s="1" t="str">
        <f>HYPERLINK("http://applicable.com","applicable.com")</f>
        <v>applicable.com</v>
      </c>
      <c r="C25606" t="s">
        <v>433</v>
      </c>
      <c r="E25606">
        <v>408276</v>
      </c>
      <c r="F25606">
        <v>1.2344042059038501E-8</v>
      </c>
      <c r="G25606">
        <v>4969956</v>
      </c>
      <c r="H25606">
        <v>12642019</v>
      </c>
      <c r="I25606">
        <v>15854475</v>
      </c>
      <c r="J25606">
        <v>12</v>
      </c>
    </row>
    <row r="25607" spans="1:10" x14ac:dyDescent="0.25">
      <c r="A25607" t="s">
        <v>282</v>
      </c>
      <c r="B25607" s="1" t="str">
        <f>HYPERLINK("http://arkadin.com","arkadin.com")</f>
        <v>arkadin.com</v>
      </c>
      <c r="C25607" t="s">
        <v>433</v>
      </c>
      <c r="E25607">
        <v>286924</v>
      </c>
      <c r="F25607">
        <v>5.4639112881264899E-7</v>
      </c>
      <c r="G25607">
        <v>70751</v>
      </c>
      <c r="H25607">
        <v>16903382</v>
      </c>
      <c r="I25607">
        <v>132405</v>
      </c>
      <c r="J25607">
        <v>6</v>
      </c>
    </row>
    <row r="25608" spans="1:10" x14ac:dyDescent="0.25">
      <c r="A25608" t="s">
        <v>282</v>
      </c>
      <c r="B25608" s="1" t="str">
        <f>HYPERLINK("http://arkadinvoip.com","arkadinvoip.com")</f>
        <v>arkadinvoip.com</v>
      </c>
      <c r="C25608" t="s">
        <v>433</v>
      </c>
      <c r="J25608">
        <v>7</v>
      </c>
    </row>
    <row r="25609" spans="1:10" x14ac:dyDescent="0.25">
      <c r="A25609" t="s">
        <v>282</v>
      </c>
      <c r="B25609" s="1" t="str">
        <f>HYPERLINK("http://btmanagedmessaging.com","btmanagedmessaging.com")</f>
        <v>btmanagedmessaging.com</v>
      </c>
      <c r="C25609" t="s">
        <v>433</v>
      </c>
      <c r="F25609">
        <v>4.44380927664477E-9</v>
      </c>
      <c r="G25609">
        <v>79779185</v>
      </c>
      <c r="H25609">
        <v>10352960</v>
      </c>
      <c r="I25609">
        <v>55926555</v>
      </c>
      <c r="J25609">
        <v>12</v>
      </c>
    </row>
    <row r="25610" spans="1:10" x14ac:dyDescent="0.25">
      <c r="A25610" t="s">
        <v>282</v>
      </c>
      <c r="B25610" s="1" t="str">
        <f>HYPERLINK("http://cafis-rtp.com","cafis-rtp.com")</f>
        <v>cafis-rtp.com</v>
      </c>
      <c r="C25610" t="s">
        <v>433</v>
      </c>
      <c r="J25610">
        <v>4</v>
      </c>
    </row>
    <row r="25611" spans="1:10" x14ac:dyDescent="0.25">
      <c r="A25611" t="s">
        <v>282</v>
      </c>
      <c r="B25611" s="1" t="str">
        <f>HYPERLINK("http://canadianvillage.com","canadianvillage.com")</f>
        <v>canadianvillage.com</v>
      </c>
      <c r="C25611" t="s">
        <v>433</v>
      </c>
      <c r="F25611">
        <v>1.73060513419606E-8</v>
      </c>
      <c r="G25611">
        <v>3197732</v>
      </c>
      <c r="H25611">
        <v>13461182</v>
      </c>
      <c r="I25611">
        <v>10154664</v>
      </c>
      <c r="J25611">
        <v>7</v>
      </c>
    </row>
    <row r="25612" spans="1:10" x14ac:dyDescent="0.25">
      <c r="A25612" t="s">
        <v>282</v>
      </c>
      <c r="B25612" s="1" t="str">
        <f>HYPERLINK("http://ce-cotoha.com","ce-cotoha.com")</f>
        <v>ce-cotoha.com</v>
      </c>
      <c r="C25612" t="s">
        <v>433</v>
      </c>
      <c r="F25612">
        <v>9.9921485081968905E-9</v>
      </c>
      <c r="G25612">
        <v>6763736</v>
      </c>
      <c r="H25612">
        <v>12967785</v>
      </c>
      <c r="I25612">
        <v>13065422</v>
      </c>
      <c r="J25612">
        <v>4</v>
      </c>
    </row>
    <row r="25613" spans="1:10" x14ac:dyDescent="0.25">
      <c r="A25613" t="s">
        <v>282</v>
      </c>
      <c r="B25613" s="1" t="str">
        <f>HYPERLINK("http://ceryx.com","ceryx.com")</f>
        <v>ceryx.com</v>
      </c>
      <c r="C25613" t="s">
        <v>433</v>
      </c>
      <c r="F25613">
        <v>1.1390369996118401E-8</v>
      </c>
      <c r="G25613">
        <v>5580740</v>
      </c>
      <c r="H25613">
        <v>13425935</v>
      </c>
      <c r="I25613">
        <v>10293532</v>
      </c>
      <c r="J25613">
        <v>7</v>
      </c>
    </row>
    <row r="25614" spans="1:10" x14ac:dyDescent="0.25">
      <c r="A25614" t="s">
        <v>282</v>
      </c>
      <c r="B25614" s="1" t="str">
        <f>HYPERLINK("http://compute-d.com","compute-d.com")</f>
        <v>compute-d.com</v>
      </c>
      <c r="C25614" t="s">
        <v>433</v>
      </c>
      <c r="J25614">
        <v>2</v>
      </c>
    </row>
    <row r="25615" spans="1:10" x14ac:dyDescent="0.25">
      <c r="A25615" t="s">
        <v>282</v>
      </c>
      <c r="B25615" s="1" t="str">
        <f>HYPERLINK("http://csrginc.com","csrginc.com")</f>
        <v>csrginc.com</v>
      </c>
      <c r="C25615" t="s">
        <v>433</v>
      </c>
      <c r="F25615">
        <v>4.44380395335525E-9</v>
      </c>
      <c r="G25615">
        <v>81261057</v>
      </c>
      <c r="H25615">
        <v>0</v>
      </c>
      <c r="I25615">
        <v>81604747</v>
      </c>
      <c r="J25615">
        <v>4</v>
      </c>
    </row>
    <row r="25616" spans="1:10" x14ac:dyDescent="0.25">
      <c r="A25616" t="s">
        <v>282</v>
      </c>
      <c r="B25616" s="1" t="str">
        <f>HYPERLINK("http://cw-smartbilling.com","cw-smartbilling.com")</f>
        <v>cw-smartbilling.com</v>
      </c>
      <c r="C25616" t="s">
        <v>433</v>
      </c>
      <c r="J25616">
        <v>2</v>
      </c>
    </row>
    <row r="25617" spans="1:10" x14ac:dyDescent="0.25">
      <c r="A25617" t="s">
        <v>282</v>
      </c>
      <c r="B25617" s="1" t="str">
        <f>HYPERLINK("http://dimensiondata.com","dimensiondata.com")</f>
        <v>dimensiondata.com</v>
      </c>
      <c r="C25617" t="s">
        <v>433</v>
      </c>
      <c r="E25617">
        <v>53682</v>
      </c>
      <c r="F25617">
        <v>8.6606243252944403E-7</v>
      </c>
      <c r="G25617">
        <v>46170</v>
      </c>
      <c r="H25617">
        <v>15250566</v>
      </c>
      <c r="I25617">
        <v>390207</v>
      </c>
      <c r="J25617">
        <v>3</v>
      </c>
    </row>
    <row r="25618" spans="1:10" x14ac:dyDescent="0.25">
      <c r="A25618" t="s">
        <v>282</v>
      </c>
      <c r="B25618" s="1" t="str">
        <f>HYPERLINK("http://docomo-analytics.com","docomo-analytics.com")</f>
        <v>docomo-analytics.com</v>
      </c>
      <c r="C25618" t="s">
        <v>433</v>
      </c>
      <c r="E25618">
        <v>446197</v>
      </c>
      <c r="F25618">
        <v>6.5142210129749398E-9</v>
      </c>
      <c r="G25618">
        <v>14019422</v>
      </c>
      <c r="H25618">
        <v>12881496</v>
      </c>
      <c r="I25618">
        <v>13992731</v>
      </c>
      <c r="J25618">
        <v>4</v>
      </c>
    </row>
    <row r="25619" spans="1:10" x14ac:dyDescent="0.25">
      <c r="A25619" t="s">
        <v>282</v>
      </c>
      <c r="B25619" s="1" t="str">
        <f>HYPERLINK("http://docomo-usa.com","docomo-usa.com")</f>
        <v>docomo-usa.com</v>
      </c>
      <c r="C25619" t="s">
        <v>433</v>
      </c>
      <c r="F25619">
        <v>2.1222601128385902E-8</v>
      </c>
      <c r="G25619">
        <v>2484877</v>
      </c>
      <c r="H25619">
        <v>14289886</v>
      </c>
      <c r="I25619">
        <v>1366791</v>
      </c>
      <c r="J25619">
        <v>4</v>
      </c>
    </row>
    <row r="25620" spans="1:10" x14ac:dyDescent="0.25">
      <c r="A25620" t="s">
        <v>282</v>
      </c>
      <c r="B25620" s="1" t="str">
        <f>HYPERLINK("http://docomopacific.com","docomopacific.com")</f>
        <v>docomopacific.com</v>
      </c>
      <c r="C25620" t="s">
        <v>433</v>
      </c>
      <c r="E25620">
        <v>803906</v>
      </c>
      <c r="F25620">
        <v>6.9392755172719404E-8</v>
      </c>
      <c r="G25620">
        <v>611955</v>
      </c>
      <c r="H25620">
        <v>14892020</v>
      </c>
      <c r="I25620">
        <v>466428</v>
      </c>
      <c r="J25620">
        <v>4</v>
      </c>
    </row>
    <row r="25621" spans="1:10" x14ac:dyDescent="0.25">
      <c r="A25621" t="s">
        <v>282</v>
      </c>
      <c r="B25621" s="1" t="str">
        <f>HYPERLINK("http://docomoshop-yokote.com","docomoshop-yokote.com")</f>
        <v>docomoshop-yokote.com</v>
      </c>
      <c r="C25621" t="s">
        <v>433</v>
      </c>
      <c r="F25621">
        <v>4.69561951071204E-9</v>
      </c>
      <c r="G25621">
        <v>41499130</v>
      </c>
      <c r="H25621">
        <v>1.0003663</v>
      </c>
      <c r="I25621">
        <v>78605047</v>
      </c>
      <c r="J25621">
        <v>4</v>
      </c>
    </row>
    <row r="25622" spans="1:10" x14ac:dyDescent="0.25">
      <c r="A25622" t="s">
        <v>282</v>
      </c>
      <c r="B25622" s="1" t="str">
        <f>HYPERLINK("http://e2ycommerce.com","e2ycommerce.com")</f>
        <v>e2ycommerce.com</v>
      </c>
      <c r="C25622" t="s">
        <v>433</v>
      </c>
      <c r="F25622">
        <v>2.69013419279749E-8</v>
      </c>
      <c r="G25622">
        <v>1912119</v>
      </c>
      <c r="H25622">
        <v>13661895</v>
      </c>
      <c r="I25622">
        <v>9572792</v>
      </c>
      <c r="J25622">
        <v>8</v>
      </c>
    </row>
    <row r="25623" spans="1:10" x14ac:dyDescent="0.25">
      <c r="A25623" t="s">
        <v>282</v>
      </c>
      <c r="B25623" s="1" t="str">
        <f>HYPERLINK("http://ee-hi.com","ee-hi.com")</f>
        <v>ee-hi.com</v>
      </c>
      <c r="C25623" t="s">
        <v>433</v>
      </c>
      <c r="F25623">
        <v>1.2835477220276E-8</v>
      </c>
      <c r="G25623">
        <v>4711277</v>
      </c>
      <c r="H25623">
        <v>10870208</v>
      </c>
      <c r="I25623">
        <v>36501002</v>
      </c>
      <c r="J25623">
        <v>5</v>
      </c>
    </row>
    <row r="25624" spans="1:10" x14ac:dyDescent="0.25">
      <c r="A25624" t="s">
        <v>282</v>
      </c>
      <c r="B25624" s="1" t="str">
        <f>HYPERLINK("http://everis.com","everis.com")</f>
        <v>everis.com</v>
      </c>
      <c r="C25624" t="s">
        <v>433</v>
      </c>
      <c r="E25624">
        <v>87863</v>
      </c>
      <c r="F25624">
        <v>1.4048631925113301E-6</v>
      </c>
      <c r="G25624">
        <v>27836</v>
      </c>
      <c r="H25624">
        <v>17799850</v>
      </c>
      <c r="I25624">
        <v>5589</v>
      </c>
      <c r="J25624">
        <v>5</v>
      </c>
    </row>
    <row r="25625" spans="1:10" x14ac:dyDescent="0.25">
      <c r="A25625" t="s">
        <v>282</v>
      </c>
      <c r="B25625" s="1" t="str">
        <f>HYPERLINK("http://everisnext.com","everisnext.com")</f>
        <v>everisnext.com</v>
      </c>
      <c r="C25625" t="s">
        <v>433</v>
      </c>
      <c r="F25625">
        <v>8.5741694359515497E-9</v>
      </c>
      <c r="G25625">
        <v>8703533</v>
      </c>
      <c r="H25625">
        <v>13364913</v>
      </c>
      <c r="I25625">
        <v>10489243</v>
      </c>
      <c r="J25625">
        <v>9</v>
      </c>
    </row>
    <row r="25626" spans="1:10" x14ac:dyDescent="0.25">
      <c r="A25626" t="s">
        <v>282</v>
      </c>
      <c r="B25626" s="1" t="str">
        <f>HYPERLINK("http://favosquare.com","favosquare.com")</f>
        <v>favosquare.com</v>
      </c>
      <c r="C25626" t="s">
        <v>433</v>
      </c>
      <c r="F25626">
        <v>6.1706987098788396E-9</v>
      </c>
      <c r="G25626">
        <v>15689140</v>
      </c>
      <c r="H25626">
        <v>12880847</v>
      </c>
      <c r="I25626">
        <v>13995987</v>
      </c>
      <c r="J25626">
        <v>4</v>
      </c>
    </row>
    <row r="25627" spans="1:10" x14ac:dyDescent="0.25">
      <c r="A25627" t="s">
        <v>282</v>
      </c>
      <c r="B25627" s="1" t="str">
        <f>HYPERLINK("http://global-omnipf.com","global-omnipf.com")</f>
        <v>global-omnipf.com</v>
      </c>
      <c r="C25627" t="s">
        <v>433</v>
      </c>
      <c r="J25627">
        <v>2</v>
      </c>
    </row>
    <row r="25628" spans="1:10" x14ac:dyDescent="0.25">
      <c r="A25628" t="s">
        <v>282</v>
      </c>
      <c r="B25628" s="1" t="str">
        <f>HYPERLINK("http://integralis.com","integralis.com")</f>
        <v>integralis.com</v>
      </c>
      <c r="C25628" t="s">
        <v>433</v>
      </c>
      <c r="E25628">
        <v>983607</v>
      </c>
      <c r="F25628">
        <v>2.4383468432906199E-8</v>
      </c>
      <c r="G25628">
        <v>2125688</v>
      </c>
      <c r="H25628">
        <v>14382419</v>
      </c>
      <c r="I25628">
        <v>1188752</v>
      </c>
      <c r="J25628">
        <v>4</v>
      </c>
    </row>
    <row r="25629" spans="1:10" x14ac:dyDescent="0.25">
      <c r="A25629" t="s">
        <v>282</v>
      </c>
      <c r="B25629" s="1" t="str">
        <f>HYPERLINK("http://intelligroup.com","intelligroup.com")</f>
        <v>intelligroup.com</v>
      </c>
      <c r="C25629" t="s">
        <v>433</v>
      </c>
      <c r="F25629">
        <v>8.4520000045548603E-9</v>
      </c>
      <c r="G25629">
        <v>8938766</v>
      </c>
      <c r="H25629">
        <v>14385599</v>
      </c>
      <c r="I25629">
        <v>1179382</v>
      </c>
      <c r="J25629">
        <v>6</v>
      </c>
    </row>
    <row r="25630" spans="1:10" x14ac:dyDescent="0.25">
      <c r="A25630" t="s">
        <v>282</v>
      </c>
      <c r="B25630" s="1" t="str">
        <f>HYPERLINK("http://is-global.com","is-global.com")</f>
        <v>is-global.com</v>
      </c>
      <c r="C25630" t="s">
        <v>433</v>
      </c>
      <c r="F25630">
        <v>4.4441348082264501E-9</v>
      </c>
      <c r="G25630">
        <v>77408390</v>
      </c>
      <c r="H25630">
        <v>9898639</v>
      </c>
      <c r="I25630">
        <v>61653714</v>
      </c>
      <c r="J25630">
        <v>8</v>
      </c>
    </row>
    <row r="25631" spans="1:10" x14ac:dyDescent="0.25">
      <c r="A25631" t="s">
        <v>282</v>
      </c>
      <c r="B25631" s="1" t="str">
        <f>HYPERLINK("http://keane.com","keane.com")</f>
        <v>keane.com</v>
      </c>
      <c r="C25631" t="s">
        <v>433</v>
      </c>
      <c r="E25631">
        <v>288338</v>
      </c>
      <c r="F25631">
        <v>3.2735891050874901E-8</v>
      </c>
      <c r="G25631">
        <v>1578039</v>
      </c>
      <c r="H25631">
        <v>14344719</v>
      </c>
      <c r="I25631">
        <v>1313096</v>
      </c>
      <c r="J25631">
        <v>4</v>
      </c>
    </row>
    <row r="25632" spans="1:10" x14ac:dyDescent="0.25">
      <c r="A25632" t="s">
        <v>282</v>
      </c>
      <c r="B25632" s="1" t="str">
        <f>HYPERLINK("http://mc-anpi.com","mc-anpi.com")</f>
        <v>mc-anpi.com</v>
      </c>
      <c r="C25632" t="s">
        <v>433</v>
      </c>
      <c r="F25632">
        <v>5.7408046073297604E-9</v>
      </c>
      <c r="G25632">
        <v>18573338</v>
      </c>
      <c r="H25632">
        <v>12347327</v>
      </c>
      <c r="I25632">
        <v>19809214</v>
      </c>
      <c r="J25632">
        <v>4</v>
      </c>
    </row>
    <row r="25633" spans="1:10" x14ac:dyDescent="0.25">
      <c r="A25633" t="s">
        <v>282</v>
      </c>
      <c r="B25633" s="1" t="str">
        <f>HYPERLINK("http://nete.com","nete.com")</f>
        <v>nete.com</v>
      </c>
      <c r="C25633" t="s">
        <v>433</v>
      </c>
      <c r="F25633">
        <v>6.8803447288052603E-8</v>
      </c>
      <c r="G25633">
        <v>618087</v>
      </c>
      <c r="H25633">
        <v>13885850</v>
      </c>
      <c r="I25633">
        <v>5969952</v>
      </c>
      <c r="J25633">
        <v>4</v>
      </c>
    </row>
    <row r="25634" spans="1:10" x14ac:dyDescent="0.25">
      <c r="A25634" t="s">
        <v>282</v>
      </c>
      <c r="B25634" s="1" t="str">
        <f>HYPERLINK("http://netmagicsolutions.com","netmagicsolutions.com")</f>
        <v>netmagicsolutions.com</v>
      </c>
      <c r="C25634" t="s">
        <v>433</v>
      </c>
      <c r="E25634">
        <v>252146</v>
      </c>
      <c r="F25634">
        <v>1.19803935209264E-7</v>
      </c>
      <c r="G25634">
        <v>329989</v>
      </c>
      <c r="H25634">
        <v>16897322</v>
      </c>
      <c r="I25634">
        <v>133530</v>
      </c>
      <c r="J25634">
        <v>3</v>
      </c>
    </row>
    <row r="25635" spans="1:10" x14ac:dyDescent="0.25">
      <c r="A25635" t="s">
        <v>282</v>
      </c>
      <c r="B25635" s="1" t="str">
        <f>HYPERLINK("http://nochi-management.com","nochi-management.com")</f>
        <v>nochi-management.com</v>
      </c>
      <c r="C25635" t="s">
        <v>433</v>
      </c>
      <c r="J25635">
        <v>4</v>
      </c>
    </row>
    <row r="25636" spans="1:10" x14ac:dyDescent="0.25">
      <c r="A25636" t="s">
        <v>282</v>
      </c>
      <c r="B25636" s="1" t="str">
        <f>HYPERLINK("http://ns001-dcmito.com","ns001-dcmito.com")</f>
        <v>ns001-dcmito.com</v>
      </c>
      <c r="C25636" t="s">
        <v>433</v>
      </c>
      <c r="J25636">
        <v>2</v>
      </c>
    </row>
    <row r="25637" spans="1:10" x14ac:dyDescent="0.25">
      <c r="A25637" t="s">
        <v>282</v>
      </c>
      <c r="B25637" s="1" t="str">
        <f>HYPERLINK("http://ntsprod.com","ntsprod.com")</f>
        <v>ntsprod.com</v>
      </c>
      <c r="C25637" t="s">
        <v>433</v>
      </c>
      <c r="J25637">
        <v>5</v>
      </c>
    </row>
    <row r="25638" spans="1:10" x14ac:dyDescent="0.25">
      <c r="A25638" t="s">
        <v>282</v>
      </c>
      <c r="B25638" s="1" t="str">
        <f>HYPERLINK("http://ntt.com","ntt.com")</f>
        <v>ntt.com</v>
      </c>
      <c r="C25638" t="s">
        <v>433</v>
      </c>
      <c r="E25638">
        <v>11778</v>
      </c>
      <c r="F25638">
        <v>3.9183700607359402E-6</v>
      </c>
      <c r="G25638">
        <v>9965</v>
      </c>
      <c r="H25638">
        <v>17868024</v>
      </c>
      <c r="I25638">
        <v>4768</v>
      </c>
      <c r="J25638">
        <v>2</v>
      </c>
    </row>
    <row r="25639" spans="1:10" x14ac:dyDescent="0.25">
      <c r="A25639" t="s">
        <v>282</v>
      </c>
      <c r="B25639" s="1" t="str">
        <f>HYPERLINK("http://ntt-at.com","ntt-at.com")</f>
        <v>ntt-at.com</v>
      </c>
      <c r="C25639" t="s">
        <v>433</v>
      </c>
      <c r="F25639">
        <v>4.8714444802113001E-8</v>
      </c>
      <c r="G25639">
        <v>951666</v>
      </c>
      <c r="H25639">
        <v>14090861</v>
      </c>
      <c r="I25639">
        <v>2746879</v>
      </c>
      <c r="J25639">
        <v>3</v>
      </c>
    </row>
    <row r="25640" spans="1:10" x14ac:dyDescent="0.25">
      <c r="A25640" t="s">
        <v>282</v>
      </c>
      <c r="B25640" s="1" t="str">
        <f>HYPERLINK("http://ntt-us.com","ntt-us.com")</f>
        <v>ntt-us.com</v>
      </c>
      <c r="C25640" t="s">
        <v>433</v>
      </c>
      <c r="F25640">
        <v>1.6349956184001599E-8</v>
      </c>
      <c r="G25640">
        <v>3458602</v>
      </c>
      <c r="H25640">
        <v>12869801</v>
      </c>
      <c r="I25640">
        <v>14076878</v>
      </c>
      <c r="J25640">
        <v>3</v>
      </c>
    </row>
    <row r="25641" spans="1:10" x14ac:dyDescent="0.25">
      <c r="A25641" t="s">
        <v>282</v>
      </c>
      <c r="B25641" s="1" t="str">
        <f>HYPERLINK("http://ntta.com","ntta.com")</f>
        <v>ntta.com</v>
      </c>
      <c r="C25641" t="s">
        <v>433</v>
      </c>
      <c r="E25641">
        <v>26569</v>
      </c>
      <c r="F25641">
        <v>1.5159598547134701E-8</v>
      </c>
      <c r="G25641">
        <v>3788643</v>
      </c>
      <c r="H25641">
        <v>12869563</v>
      </c>
      <c r="I25641">
        <v>14079169</v>
      </c>
      <c r="J25641">
        <v>4</v>
      </c>
    </row>
    <row r="25642" spans="1:10" x14ac:dyDescent="0.25">
      <c r="A25642" t="s">
        <v>282</v>
      </c>
      <c r="B25642" s="1" t="str">
        <f>HYPERLINK("http://nttdata.com","nttdata.com")</f>
        <v>nttdata.com</v>
      </c>
      <c r="C25642" t="s">
        <v>433</v>
      </c>
      <c r="E25642">
        <v>16743</v>
      </c>
      <c r="F25642">
        <v>3.3393818381891498E-6</v>
      </c>
      <c r="G25642">
        <v>12046</v>
      </c>
      <c r="H25642">
        <v>17977892</v>
      </c>
      <c r="I25642">
        <v>3833</v>
      </c>
      <c r="J25642">
        <v>2</v>
      </c>
    </row>
    <row r="25643" spans="1:10" x14ac:dyDescent="0.25">
      <c r="A25643" t="s">
        <v>282</v>
      </c>
      <c r="B25643" s="1" t="str">
        <f>HYPERLINK("http://nttdata-saas-qlik.com","nttdata-saas-qlik.com")</f>
        <v>nttdata-saas-qlik.com</v>
      </c>
      <c r="C25643" t="s">
        <v>433</v>
      </c>
      <c r="J25643">
        <v>4</v>
      </c>
    </row>
    <row r="25644" spans="1:10" x14ac:dyDescent="0.25">
      <c r="A25644" t="s">
        <v>282</v>
      </c>
      <c r="B25644" s="1" t="str">
        <f>HYPERLINK("http://nttdata-solutions.com","nttdata-solutions.com")</f>
        <v>nttdata-solutions.com</v>
      </c>
      <c r="C25644" t="s">
        <v>433</v>
      </c>
      <c r="E25644">
        <v>82339</v>
      </c>
      <c r="F25644">
        <v>3.9923315230479698E-7</v>
      </c>
      <c r="G25644">
        <v>93998</v>
      </c>
      <c r="H25644">
        <v>14492453</v>
      </c>
      <c r="I25644">
        <v>894832</v>
      </c>
      <c r="J25644">
        <v>4</v>
      </c>
    </row>
    <row r="25645" spans="1:10" x14ac:dyDescent="0.25">
      <c r="A25645" t="s">
        <v>282</v>
      </c>
      <c r="B25645" s="1" t="str">
        <f>HYPERLINK("http://nttdatainc.com","nttdatainc.com")</f>
        <v>nttdatainc.com</v>
      </c>
      <c r="C25645" t="s">
        <v>433</v>
      </c>
      <c r="E25645">
        <v>75318</v>
      </c>
      <c r="F25645">
        <v>4.4554873569423398E-9</v>
      </c>
      <c r="G25645">
        <v>69318102</v>
      </c>
      <c r="H25645">
        <v>10672747</v>
      </c>
      <c r="I25645">
        <v>42905750</v>
      </c>
      <c r="J25645">
        <v>4</v>
      </c>
    </row>
    <row r="25646" spans="1:10" x14ac:dyDescent="0.25">
      <c r="A25646" t="s">
        <v>282</v>
      </c>
      <c r="B25646" s="1" t="str">
        <f>HYPERLINK("http://nttdataservices.com","nttdataservices.com")</f>
        <v>nttdataservices.com</v>
      </c>
      <c r="C25646" t="s">
        <v>433</v>
      </c>
      <c r="E25646">
        <v>43989</v>
      </c>
      <c r="F25646">
        <v>1.59951418555344E-7</v>
      </c>
      <c r="G25646">
        <v>242676</v>
      </c>
      <c r="H25646">
        <v>16848528</v>
      </c>
      <c r="I25646">
        <v>158331</v>
      </c>
      <c r="J25646">
        <v>4</v>
      </c>
    </row>
    <row r="25647" spans="1:10" x14ac:dyDescent="0.25">
      <c r="A25647" t="s">
        <v>282</v>
      </c>
      <c r="B25647" s="1" t="str">
        <f>HYPERLINK("http://nttdocomo-v.com","nttdocomo-v.com")</f>
        <v>nttdocomo-v.com</v>
      </c>
      <c r="C25647" t="s">
        <v>433</v>
      </c>
      <c r="F25647">
        <v>1.23828289337891E-7</v>
      </c>
      <c r="G25647">
        <v>318672</v>
      </c>
      <c r="H25647">
        <v>16854996</v>
      </c>
      <c r="I25647">
        <v>156519</v>
      </c>
      <c r="J25647">
        <v>5</v>
      </c>
    </row>
    <row r="25648" spans="1:10" x14ac:dyDescent="0.25">
      <c r="A25648" t="s">
        <v>282</v>
      </c>
      <c r="B25648" s="1" t="str">
        <f>HYPERLINK("http://nttfops.com","nttfops.com")</f>
        <v>nttfops.com</v>
      </c>
      <c r="C25648" t="s">
        <v>433</v>
      </c>
      <c r="J25648">
        <v>2</v>
      </c>
    </row>
    <row r="25649" spans="1:10" x14ac:dyDescent="0.25">
      <c r="A25649" t="s">
        <v>282</v>
      </c>
      <c r="B25649" s="1" t="str">
        <f>HYPERLINK("http://ntti3.com","ntti3.com")</f>
        <v>ntti3.com</v>
      </c>
      <c r="C25649" t="s">
        <v>433</v>
      </c>
      <c r="F25649">
        <v>1.73706179534399E-8</v>
      </c>
      <c r="G25649">
        <v>3182091</v>
      </c>
      <c r="H25649">
        <v>14442419</v>
      </c>
      <c r="I25649">
        <v>1060785</v>
      </c>
      <c r="J25649">
        <v>4</v>
      </c>
    </row>
    <row r="25650" spans="1:10" x14ac:dyDescent="0.25">
      <c r="A25650" t="s">
        <v>282</v>
      </c>
      <c r="B25650" s="1" t="str">
        <f>HYPERLINK("http://nttsolmare.com","nttsolmare.com")</f>
        <v>nttsolmare.com</v>
      </c>
      <c r="C25650" t="s">
        <v>433</v>
      </c>
      <c r="E25650">
        <v>270716</v>
      </c>
      <c r="F25650">
        <v>1.16354710849354E-7</v>
      </c>
      <c r="G25650">
        <v>341768</v>
      </c>
      <c r="H25650">
        <v>17042170</v>
      </c>
      <c r="I25650">
        <v>78749</v>
      </c>
      <c r="J25650">
        <v>3</v>
      </c>
    </row>
    <row r="25651" spans="1:10" x14ac:dyDescent="0.25">
      <c r="A25651" t="s">
        <v>282</v>
      </c>
      <c r="B25651" s="1" t="str">
        <f>HYPERLINK("http://optimalsol.com","optimalsol.com")</f>
        <v>optimalsol.com</v>
      </c>
      <c r="C25651" t="s">
        <v>433</v>
      </c>
      <c r="F25651">
        <v>5.8835139704965402E-9</v>
      </c>
      <c r="G25651">
        <v>17472630</v>
      </c>
      <c r="H25651">
        <v>12567651</v>
      </c>
      <c r="I25651">
        <v>16646412</v>
      </c>
      <c r="J25651">
        <v>5</v>
      </c>
    </row>
    <row r="25652" spans="1:10" x14ac:dyDescent="0.25">
      <c r="A25652" t="s">
        <v>282</v>
      </c>
      <c r="B25652" s="1" t="str">
        <f>HYPERLINK("http://rls-docomo.com","rls-docomo.com")</f>
        <v>rls-docomo.com</v>
      </c>
      <c r="C25652" t="s">
        <v>433</v>
      </c>
      <c r="J25652">
        <v>4</v>
      </c>
    </row>
    <row r="25653" spans="1:10" x14ac:dyDescent="0.25">
      <c r="A25653" t="s">
        <v>282</v>
      </c>
      <c r="B25653" s="1" t="str">
        <f>HYPERLINK("http://secure-24.com","secure-24.com")</f>
        <v>secure-24.com</v>
      </c>
      <c r="C25653" t="s">
        <v>433</v>
      </c>
      <c r="E25653">
        <v>212831</v>
      </c>
      <c r="F25653">
        <v>5.9932193842131004E-8</v>
      </c>
      <c r="G25653">
        <v>736789</v>
      </c>
      <c r="H25653">
        <v>13999006</v>
      </c>
      <c r="I25653">
        <v>4015068</v>
      </c>
      <c r="J25653">
        <v>6</v>
      </c>
    </row>
    <row r="25654" spans="1:10" x14ac:dyDescent="0.25">
      <c r="A25654" t="s">
        <v>282</v>
      </c>
      <c r="B25654" s="1" t="str">
        <f>HYPERLINK("http://seiryukiyomizu.com","seiryukiyomizu.com")</f>
        <v>seiryukiyomizu.com</v>
      </c>
      <c r="C25654" t="s">
        <v>433</v>
      </c>
      <c r="F25654">
        <v>6.8087983596889702E-9</v>
      </c>
      <c r="G25654">
        <v>12930709</v>
      </c>
      <c r="H25654">
        <v>12905820</v>
      </c>
      <c r="I25654">
        <v>13824076</v>
      </c>
      <c r="J25654">
        <v>4</v>
      </c>
    </row>
    <row r="25655" spans="1:10" x14ac:dyDescent="0.25">
      <c r="A25655" t="s">
        <v>282</v>
      </c>
      <c r="B25655" s="1" t="str">
        <f>HYPERLINK("http://spf-tksg-n.com","spf-tksg-n.com")</f>
        <v>spf-tksg-n.com</v>
      </c>
      <c r="C25655" t="s">
        <v>433</v>
      </c>
      <c r="J25655">
        <v>4</v>
      </c>
    </row>
    <row r="25656" spans="1:10" x14ac:dyDescent="0.25">
      <c r="A25656" t="s">
        <v>282</v>
      </c>
      <c r="B25656" s="1" t="str">
        <f>HYPERLINK("http://stg001-dcmito.com","stg001-dcmito.com")</f>
        <v>stg001-dcmito.com</v>
      </c>
      <c r="C25656" t="s">
        <v>433</v>
      </c>
      <c r="J25656">
        <v>2</v>
      </c>
    </row>
    <row r="25657" spans="1:10" x14ac:dyDescent="0.25">
      <c r="A25657" t="s">
        <v>282</v>
      </c>
      <c r="B25657" s="1" t="str">
        <f>HYPERLINK("http://transatel.com","transatel.com")</f>
        <v>transatel.com</v>
      </c>
      <c r="C25657" t="s">
        <v>433</v>
      </c>
      <c r="E25657">
        <v>540232</v>
      </c>
      <c r="F25657">
        <v>7.2561459237625903E-8</v>
      </c>
      <c r="G25657">
        <v>581542</v>
      </c>
      <c r="H25657">
        <v>13985429</v>
      </c>
      <c r="I25657">
        <v>4040692</v>
      </c>
      <c r="J25657">
        <v>3</v>
      </c>
    </row>
    <row r="25658" spans="1:10" x14ac:dyDescent="0.25">
      <c r="A25658" t="s">
        <v>282</v>
      </c>
      <c r="B25658" s="1" t="str">
        <f>HYPERLINK("http://verio.com","verio.com")</f>
        <v>verio.com</v>
      </c>
      <c r="C25658" t="s">
        <v>433</v>
      </c>
      <c r="E25658">
        <v>31158</v>
      </c>
      <c r="F25658">
        <v>6.2535559991580996E-7</v>
      </c>
      <c r="G25658">
        <v>61291</v>
      </c>
      <c r="H25658">
        <v>14921838</v>
      </c>
      <c r="I25658">
        <v>451230</v>
      </c>
      <c r="J25658">
        <v>4</v>
      </c>
    </row>
    <row r="25659" spans="1:10" x14ac:dyDescent="0.25">
      <c r="A25659" t="s">
        <v>282</v>
      </c>
      <c r="B25659" s="1" t="str">
        <f>HYPERLINK("http://vt-assistant.com","vt-assistant.com")</f>
        <v>vt-assistant.com</v>
      </c>
      <c r="C25659" t="s">
        <v>433</v>
      </c>
      <c r="J25659">
        <v>4</v>
      </c>
    </row>
    <row r="25660" spans="1:10" x14ac:dyDescent="0.25">
      <c r="A25660" t="s">
        <v>282</v>
      </c>
      <c r="B25660" s="1" t="str">
        <f>HYPERLINK("http://weaveability.com","weaveability.com")</f>
        <v>weaveability.com</v>
      </c>
      <c r="C25660" t="s">
        <v>433</v>
      </c>
      <c r="F25660">
        <v>1.3531134755862799E-8</v>
      </c>
      <c r="G25660">
        <v>4390900</v>
      </c>
      <c r="H25660">
        <v>12643344</v>
      </c>
      <c r="I25660">
        <v>15845835</v>
      </c>
      <c r="J25660">
        <v>10</v>
      </c>
    </row>
    <row r="25661" spans="1:10" x14ac:dyDescent="0.25">
      <c r="A25661" t="s">
        <v>282</v>
      </c>
      <c r="B25661" s="1" t="str">
        <f>HYPERLINK("http://wlan-omakase.com","wlan-omakase.com")</f>
        <v>wlan-omakase.com</v>
      </c>
      <c r="C25661" t="s">
        <v>433</v>
      </c>
      <c r="J25661">
        <v>4</v>
      </c>
    </row>
    <row r="25662" spans="1:10" x14ac:dyDescent="0.25">
      <c r="A25662" t="s">
        <v>282</v>
      </c>
      <c r="B25662" s="1" t="str">
        <f>HYPERLINK("http://xigo.com","xigo.com")</f>
        <v>xigo.com</v>
      </c>
      <c r="C25662" t="s">
        <v>433</v>
      </c>
      <c r="F25662">
        <v>1.6099007062843799E-8</v>
      </c>
      <c r="G25662">
        <v>3520834</v>
      </c>
      <c r="H25662">
        <v>13449047</v>
      </c>
      <c r="I25662">
        <v>10211323</v>
      </c>
      <c r="J25662">
        <v>5</v>
      </c>
    </row>
    <row r="25663" spans="1:10" x14ac:dyDescent="0.25">
      <c r="A25663" t="s">
        <v>282</v>
      </c>
      <c r="B25663" s="1" t="str">
        <f>HYPERLINK("http://nttdata.de","nttdata.de")</f>
        <v>nttdata.de</v>
      </c>
      <c r="C25663" t="s">
        <v>436</v>
      </c>
      <c r="D25663" t="s">
        <v>815</v>
      </c>
      <c r="F25663">
        <v>5.7049308217543901E-9</v>
      </c>
      <c r="G25663">
        <v>18884771</v>
      </c>
      <c r="H25663">
        <v>12590418</v>
      </c>
      <c r="I25663">
        <v>16410749</v>
      </c>
      <c r="J25663">
        <v>3</v>
      </c>
    </row>
    <row r="25664" spans="1:10" x14ac:dyDescent="0.25">
      <c r="A25664" t="s">
        <v>282</v>
      </c>
      <c r="B25664" s="1" t="str">
        <f>HYPERLINK("http://pasafin.fi","pasafin.fi")</f>
        <v>pasafin.fi</v>
      </c>
      <c r="C25664" t="s">
        <v>445</v>
      </c>
      <c r="D25664" t="s">
        <v>823</v>
      </c>
      <c r="F25664">
        <v>7.4527364305952893E-9</v>
      </c>
      <c r="G25664">
        <v>11119251</v>
      </c>
      <c r="H25664">
        <v>13115018</v>
      </c>
      <c r="I25664">
        <v>12015971</v>
      </c>
      <c r="J25664">
        <v>6</v>
      </c>
    </row>
    <row r="25665" spans="1:10" x14ac:dyDescent="0.25">
      <c r="A25665" t="s">
        <v>282</v>
      </c>
      <c r="B25665" s="1" t="str">
        <f>HYPERLINK("http://arkadin.fr","arkadin.fr")</f>
        <v>arkadin.fr</v>
      </c>
      <c r="C25665" t="s">
        <v>446</v>
      </c>
      <c r="D25665" t="s">
        <v>824</v>
      </c>
      <c r="F25665">
        <v>3.3815264464087003E-8</v>
      </c>
      <c r="G25665">
        <v>1530278</v>
      </c>
      <c r="H25665">
        <v>13069164</v>
      </c>
      <c r="I25665">
        <v>12253308</v>
      </c>
      <c r="J25665">
        <v>5</v>
      </c>
    </row>
    <row r="25666" spans="1:10" x14ac:dyDescent="0.25">
      <c r="A25666" t="s">
        <v>282</v>
      </c>
      <c r="B25666" s="1" t="str">
        <f>HYPERLINK("http://atomtech.in","atomtech.in")</f>
        <v>atomtech.in</v>
      </c>
      <c r="C25666" t="s">
        <v>457</v>
      </c>
      <c r="D25666" t="s">
        <v>834</v>
      </c>
      <c r="E25666">
        <v>83901</v>
      </c>
      <c r="F25666">
        <v>6.3801108924294097E-7</v>
      </c>
      <c r="G25666">
        <v>60193</v>
      </c>
      <c r="H25666">
        <v>14284549</v>
      </c>
      <c r="I25666">
        <v>1373362</v>
      </c>
      <c r="J25666">
        <v>4</v>
      </c>
    </row>
    <row r="25667" spans="1:10" x14ac:dyDescent="0.25">
      <c r="A25667" t="s">
        <v>282</v>
      </c>
      <c r="B25667" s="1" t="str">
        <f>HYPERLINK("http://ntt-at.info","ntt-at.info")</f>
        <v>ntt-at.info</v>
      </c>
      <c r="C25667" t="s">
        <v>458</v>
      </c>
      <c r="F25667">
        <v>5.1701940555224199E-9</v>
      </c>
      <c r="G25667">
        <v>25722106</v>
      </c>
      <c r="H25667">
        <v>12659614</v>
      </c>
      <c r="I25667">
        <v>15723823</v>
      </c>
      <c r="J25667">
        <v>5</v>
      </c>
    </row>
    <row r="25668" spans="1:10" x14ac:dyDescent="0.25">
      <c r="A25668" t="s">
        <v>282</v>
      </c>
      <c r="B25668" s="1" t="str">
        <f>HYPERLINK("http://nttpc.info","nttpc.info")</f>
        <v>nttpc.info</v>
      </c>
      <c r="C25668" t="s">
        <v>458</v>
      </c>
      <c r="F25668">
        <v>8.1260446303316997E-8</v>
      </c>
      <c r="G25668">
        <v>513685</v>
      </c>
      <c r="H25668">
        <v>10676984</v>
      </c>
      <c r="I25668">
        <v>42813672</v>
      </c>
      <c r="J25668">
        <v>5</v>
      </c>
    </row>
    <row r="25669" spans="1:10" x14ac:dyDescent="0.25">
      <c r="A25669" t="s">
        <v>282</v>
      </c>
      <c r="B25669" s="1" t="str">
        <f>HYPERLINK("http://nttdata.jobs","nttdata.jobs")</f>
        <v>nttdata.jobs</v>
      </c>
      <c r="C25669" t="s">
        <v>521</v>
      </c>
      <c r="E25669">
        <v>324975</v>
      </c>
      <c r="F25669">
        <v>1.5636450620349199E-8</v>
      </c>
      <c r="G25669">
        <v>3645084</v>
      </c>
      <c r="H25669">
        <v>12501358</v>
      </c>
      <c r="I25669">
        <v>17346872</v>
      </c>
      <c r="J25669">
        <v>3</v>
      </c>
    </row>
    <row r="25670" spans="1:10" x14ac:dyDescent="0.25">
      <c r="A25670" t="s">
        <v>282</v>
      </c>
      <c r="B25670" s="1" t="str">
        <f>HYPERLINK("http://08382.jp","08382.jp")</f>
        <v>08382.jp</v>
      </c>
      <c r="C25670" t="s">
        <v>461</v>
      </c>
      <c r="D25670" t="s">
        <v>837</v>
      </c>
      <c r="J25670">
        <v>4</v>
      </c>
    </row>
    <row r="25671" spans="1:10" x14ac:dyDescent="0.25">
      <c r="A25671" t="s">
        <v>282</v>
      </c>
      <c r="B25671" s="1" t="str">
        <f>HYPERLINK("http://6931.jp","6931.jp")</f>
        <v>6931.jp</v>
      </c>
      <c r="C25671" t="s">
        <v>461</v>
      </c>
      <c r="D25671" t="s">
        <v>837</v>
      </c>
      <c r="F25671">
        <v>2.3398654679002798E-8</v>
      </c>
      <c r="G25671">
        <v>2225881</v>
      </c>
      <c r="H25671">
        <v>12365986</v>
      </c>
      <c r="I25671">
        <v>19481295</v>
      </c>
      <c r="J25671">
        <v>4</v>
      </c>
    </row>
    <row r="25672" spans="1:10" x14ac:dyDescent="0.25">
      <c r="A25672" t="s">
        <v>282</v>
      </c>
      <c r="B25672" s="1" t="str">
        <f>HYPERLINK("http://ocn.ad.jp","ocn.ad.jp")</f>
        <v>ocn.ad.jp</v>
      </c>
      <c r="C25672" t="s">
        <v>461</v>
      </c>
      <c r="D25672" t="s">
        <v>837</v>
      </c>
      <c r="E25672">
        <v>10998</v>
      </c>
      <c r="F25672">
        <v>3.4711544088113297E-8</v>
      </c>
      <c r="G25672">
        <v>1495237</v>
      </c>
      <c r="H25672">
        <v>13147171</v>
      </c>
      <c r="I25672">
        <v>11839559</v>
      </c>
      <c r="J25672">
        <v>4</v>
      </c>
    </row>
    <row r="25673" spans="1:10" x14ac:dyDescent="0.25">
      <c r="A25673" t="s">
        <v>282</v>
      </c>
      <c r="B25673" s="1" t="str">
        <f>HYPERLINK("http://bs-portal.jp","bs-portal.jp")</f>
        <v>bs-portal.jp</v>
      </c>
      <c r="C25673" t="s">
        <v>461</v>
      </c>
      <c r="D25673" t="s">
        <v>837</v>
      </c>
      <c r="J25673">
        <v>2</v>
      </c>
    </row>
    <row r="25674" spans="1:10" x14ac:dyDescent="0.25">
      <c r="A25674" t="s">
        <v>282</v>
      </c>
      <c r="B25674" s="1" t="str">
        <f>HYPERLINK("http://ennet.co.jp","ennet.co.jp")</f>
        <v>ennet.co.jp</v>
      </c>
      <c r="C25674" t="s">
        <v>461</v>
      </c>
      <c r="D25674" t="s">
        <v>837</v>
      </c>
      <c r="F25674">
        <v>3.1458725871810797E-8</v>
      </c>
      <c r="G25674">
        <v>1639899</v>
      </c>
      <c r="H25674">
        <v>14101021</v>
      </c>
      <c r="I25674">
        <v>2703409</v>
      </c>
      <c r="J25674">
        <v>4</v>
      </c>
    </row>
    <row r="25675" spans="1:10" x14ac:dyDescent="0.25">
      <c r="A25675" t="s">
        <v>282</v>
      </c>
      <c r="B25675" s="1" t="str">
        <f>HYPERLINK("http://ntt.co.jp","ntt.co.jp")</f>
        <v>ntt.co.jp</v>
      </c>
      <c r="C25675" t="s">
        <v>461</v>
      </c>
      <c r="D25675" t="s">
        <v>837</v>
      </c>
      <c r="E25675">
        <v>34397</v>
      </c>
      <c r="F25675">
        <v>1.9884651114994101E-6</v>
      </c>
      <c r="G25675">
        <v>18384</v>
      </c>
      <c r="H25675">
        <v>17908038</v>
      </c>
      <c r="I25675">
        <v>4391</v>
      </c>
      <c r="J25675">
        <v>1</v>
      </c>
    </row>
    <row r="25676" spans="1:10" x14ac:dyDescent="0.25">
      <c r="A25676" t="s">
        <v>282</v>
      </c>
      <c r="B25676" s="1" t="str">
        <f>HYPERLINK("http://ntt-ae.co.jp","ntt-ae.co.jp")</f>
        <v>ntt-ae.co.jp</v>
      </c>
      <c r="C25676" t="s">
        <v>461</v>
      </c>
      <c r="D25676" t="s">
        <v>837</v>
      </c>
      <c r="F25676">
        <v>1.5646579127076101E-8</v>
      </c>
      <c r="G25676">
        <v>3642276</v>
      </c>
      <c r="H25676">
        <v>14091035</v>
      </c>
      <c r="I25676">
        <v>2745817</v>
      </c>
      <c r="J25676">
        <v>3</v>
      </c>
    </row>
    <row r="25677" spans="1:10" x14ac:dyDescent="0.25">
      <c r="A25677" t="s">
        <v>282</v>
      </c>
      <c r="B25677" s="1" t="str">
        <f>HYPERLINK("http://ntt-at.co.jp","ntt-at.co.jp")</f>
        <v>ntt-at.co.jp</v>
      </c>
      <c r="C25677" t="s">
        <v>461</v>
      </c>
      <c r="D25677" t="s">
        <v>837</v>
      </c>
      <c r="E25677">
        <v>133161</v>
      </c>
      <c r="F25677">
        <v>1.22248280210481E-7</v>
      </c>
      <c r="G25677">
        <v>322910</v>
      </c>
      <c r="H25677">
        <v>14173432</v>
      </c>
      <c r="I25677">
        <v>1796019</v>
      </c>
      <c r="J25677">
        <v>4</v>
      </c>
    </row>
    <row r="25678" spans="1:10" x14ac:dyDescent="0.25">
      <c r="A25678" t="s">
        <v>282</v>
      </c>
      <c r="B25678" s="1" t="str">
        <f>HYPERLINK("http://ntt-east.co.jp","ntt-east.co.jp")</f>
        <v>ntt-east.co.jp</v>
      </c>
      <c r="C25678" t="s">
        <v>461</v>
      </c>
      <c r="D25678" t="s">
        <v>837</v>
      </c>
      <c r="E25678">
        <v>37292</v>
      </c>
      <c r="F25678">
        <v>2.3903233468741998E-6</v>
      </c>
      <c r="G25678">
        <v>15539</v>
      </c>
      <c r="H25678">
        <v>17812178</v>
      </c>
      <c r="I25678">
        <v>5433</v>
      </c>
      <c r="J25678">
        <v>2</v>
      </c>
    </row>
    <row r="25679" spans="1:10" x14ac:dyDescent="0.25">
      <c r="A25679" t="s">
        <v>282</v>
      </c>
      <c r="B25679" s="1" t="str">
        <f>HYPERLINK("http://ntt-f.co.jp","ntt-f.co.jp")</f>
        <v>ntt-f.co.jp</v>
      </c>
      <c r="C25679" t="s">
        <v>461</v>
      </c>
      <c r="D25679" t="s">
        <v>837</v>
      </c>
      <c r="E25679">
        <v>396370</v>
      </c>
      <c r="F25679">
        <v>1.00400472623066E-7</v>
      </c>
      <c r="G25679">
        <v>400585</v>
      </c>
      <c r="H25679">
        <v>14148684</v>
      </c>
      <c r="I25679">
        <v>1884543</v>
      </c>
      <c r="J25679">
        <v>2</v>
      </c>
    </row>
    <row r="25680" spans="1:10" x14ac:dyDescent="0.25">
      <c r="A25680" t="s">
        <v>282</v>
      </c>
      <c r="B25680" s="1" t="str">
        <f>HYPERLINK("http://ntt-finance.co.jp","ntt-finance.co.jp")</f>
        <v>ntt-finance.co.jp</v>
      </c>
      <c r="C25680" t="s">
        <v>461</v>
      </c>
      <c r="D25680" t="s">
        <v>837</v>
      </c>
      <c r="E25680">
        <v>340154</v>
      </c>
      <c r="F25680">
        <v>1.1151810022790399E-7</v>
      </c>
      <c r="G25680">
        <v>358397</v>
      </c>
      <c r="H25680">
        <v>13646510</v>
      </c>
      <c r="I25680">
        <v>9607887</v>
      </c>
      <c r="J25680">
        <v>2</v>
      </c>
    </row>
    <row r="25681" spans="1:10" x14ac:dyDescent="0.25">
      <c r="A25681" t="s">
        <v>282</v>
      </c>
      <c r="B25681" s="1" t="str">
        <f>HYPERLINK("http://ntt-west.co.jp","ntt-west.co.jp")</f>
        <v>ntt-west.co.jp</v>
      </c>
      <c r="C25681" t="s">
        <v>461</v>
      </c>
      <c r="D25681" t="s">
        <v>837</v>
      </c>
      <c r="E25681">
        <v>64091</v>
      </c>
      <c r="F25681">
        <v>1.0387498446449299E-6</v>
      </c>
      <c r="G25681">
        <v>36897</v>
      </c>
      <c r="H25681">
        <v>15165921</v>
      </c>
      <c r="I25681">
        <v>398577</v>
      </c>
      <c r="J25681">
        <v>2</v>
      </c>
    </row>
    <row r="25682" spans="1:10" x14ac:dyDescent="0.25">
      <c r="A25682" t="s">
        <v>282</v>
      </c>
      <c r="B25682" s="1" t="str">
        <f>HYPERLINK("http://nttcom.co.jp","nttcom.co.jp")</f>
        <v>nttcom.co.jp</v>
      </c>
      <c r="C25682" t="s">
        <v>461</v>
      </c>
      <c r="D25682" t="s">
        <v>837</v>
      </c>
      <c r="E25682">
        <v>175503</v>
      </c>
      <c r="F25682">
        <v>1.2482353611529499E-7</v>
      </c>
      <c r="G25682">
        <v>316136</v>
      </c>
      <c r="H25682">
        <v>14981963</v>
      </c>
      <c r="I25682">
        <v>430428</v>
      </c>
      <c r="J25682">
        <v>5</v>
      </c>
    </row>
    <row r="25683" spans="1:10" x14ac:dyDescent="0.25">
      <c r="A25683" t="s">
        <v>282</v>
      </c>
      <c r="B25683" s="1" t="str">
        <f>HYPERLINK("http://nttdata.co.jp","nttdata.co.jp")</f>
        <v>nttdata.co.jp</v>
      </c>
      <c r="C25683" t="s">
        <v>461</v>
      </c>
      <c r="D25683" t="s">
        <v>837</v>
      </c>
      <c r="E25683">
        <v>116312</v>
      </c>
      <c r="F25683">
        <v>3.6255598678754602E-7</v>
      </c>
      <c r="G25683">
        <v>103131</v>
      </c>
      <c r="H25683">
        <v>17063640</v>
      </c>
      <c r="I25683">
        <v>73028</v>
      </c>
      <c r="J25683">
        <v>2</v>
      </c>
    </row>
    <row r="25684" spans="1:10" x14ac:dyDescent="0.25">
      <c r="A25684" t="s">
        <v>282</v>
      </c>
      <c r="B25684" s="1" t="str">
        <f>HYPERLINK("http://nttdocomo.co.jp","nttdocomo.co.jp")</f>
        <v>nttdocomo.co.jp</v>
      </c>
      <c r="C25684" t="s">
        <v>461</v>
      </c>
      <c r="D25684" t="s">
        <v>837</v>
      </c>
      <c r="E25684">
        <v>8947</v>
      </c>
      <c r="F25684">
        <v>6.9741550418508598E-6</v>
      </c>
      <c r="G25684">
        <v>4823</v>
      </c>
      <c r="H25684">
        <v>17746730</v>
      </c>
      <c r="I25684">
        <v>6415</v>
      </c>
      <c r="J25684">
        <v>3</v>
      </c>
    </row>
    <row r="25685" spans="1:10" x14ac:dyDescent="0.25">
      <c r="A25685" t="s">
        <v>282</v>
      </c>
      <c r="B25685" s="1" t="str">
        <f>HYPERLINK("http://nttinf.co.jp","nttinf.co.jp")</f>
        <v>nttinf.co.jp</v>
      </c>
      <c r="C25685" t="s">
        <v>461</v>
      </c>
      <c r="D25685" t="s">
        <v>837</v>
      </c>
      <c r="F25685">
        <v>9.5837096322146003E-9</v>
      </c>
      <c r="G25685">
        <v>7223656</v>
      </c>
      <c r="H25685">
        <v>14075705</v>
      </c>
      <c r="I25685">
        <v>2902592</v>
      </c>
      <c r="J25685">
        <v>4</v>
      </c>
    </row>
    <row r="25686" spans="1:10" x14ac:dyDescent="0.25">
      <c r="A25686" t="s">
        <v>282</v>
      </c>
      <c r="B25686" s="1" t="str">
        <f>HYPERLINK("http://nttpc.co.jp","nttpc.co.jp")</f>
        <v>nttpc.co.jp</v>
      </c>
      <c r="C25686" t="s">
        <v>461</v>
      </c>
      <c r="D25686" t="s">
        <v>837</v>
      </c>
      <c r="E25686">
        <v>462956</v>
      </c>
      <c r="F25686">
        <v>3.81114761092113E-7</v>
      </c>
      <c r="G25686">
        <v>98172</v>
      </c>
      <c r="H25686">
        <v>15324495</v>
      </c>
      <c r="I25686">
        <v>384359</v>
      </c>
      <c r="J25686">
        <v>4</v>
      </c>
    </row>
    <row r="25687" spans="1:10" x14ac:dyDescent="0.25">
      <c r="A25687" t="s">
        <v>282</v>
      </c>
      <c r="B25687" s="1" t="str">
        <f>HYPERLINK("http://nttud.co.jp","nttud.co.jp")</f>
        <v>nttud.co.jp</v>
      </c>
      <c r="C25687" t="s">
        <v>461</v>
      </c>
      <c r="D25687" t="s">
        <v>837</v>
      </c>
      <c r="E25687">
        <v>693960</v>
      </c>
      <c r="F25687">
        <v>8.2909126807910903E-8</v>
      </c>
      <c r="G25687">
        <v>503130</v>
      </c>
      <c r="H25687">
        <v>14182009</v>
      </c>
      <c r="I25687">
        <v>1777736</v>
      </c>
      <c r="J25687">
        <v>3</v>
      </c>
    </row>
    <row r="25688" spans="1:10" x14ac:dyDescent="0.25">
      <c r="A25688" t="s">
        <v>282</v>
      </c>
      <c r="B25688" s="1" t="str">
        <f>HYPERLINK("http://demand-kotsu.jp","demand-kotsu.jp")</f>
        <v>demand-kotsu.jp</v>
      </c>
      <c r="C25688" t="s">
        <v>461</v>
      </c>
      <c r="D25688" t="s">
        <v>837</v>
      </c>
      <c r="J25688">
        <v>2</v>
      </c>
    </row>
    <row r="25689" spans="1:10" x14ac:dyDescent="0.25">
      <c r="A25689" t="s">
        <v>282</v>
      </c>
      <c r="B25689" s="1" t="str">
        <f>HYPERLINK("http://docomo-cycle.jp","docomo-cycle.jp")</f>
        <v>docomo-cycle.jp</v>
      </c>
      <c r="C25689" t="s">
        <v>461</v>
      </c>
      <c r="D25689" t="s">
        <v>837</v>
      </c>
      <c r="E25689">
        <v>388357</v>
      </c>
      <c r="F25689">
        <v>2.5917290209420399E-7</v>
      </c>
      <c r="G25689">
        <v>144320</v>
      </c>
      <c r="H25689">
        <v>14978959</v>
      </c>
      <c r="I25689">
        <v>431296</v>
      </c>
      <c r="J25689">
        <v>4</v>
      </c>
    </row>
    <row r="25690" spans="1:10" x14ac:dyDescent="0.25">
      <c r="A25690" t="s">
        <v>282</v>
      </c>
      <c r="B25690" s="1" t="str">
        <f>HYPERLINK("http://e-ntt.jp","e-ntt.jp")</f>
        <v>e-ntt.jp</v>
      </c>
      <c r="C25690" t="s">
        <v>461</v>
      </c>
      <c r="D25690" t="s">
        <v>837</v>
      </c>
      <c r="F25690">
        <v>4.44380395335525E-9</v>
      </c>
      <c r="G25690">
        <v>85251891</v>
      </c>
      <c r="H25690">
        <v>0</v>
      </c>
      <c r="I25690">
        <v>86461977</v>
      </c>
      <c r="J25690">
        <v>2</v>
      </c>
    </row>
    <row r="25691" spans="1:10" x14ac:dyDescent="0.25">
      <c r="A25691" t="s">
        <v>282</v>
      </c>
      <c r="B25691" s="1" t="str">
        <f>HYPERLINK("http://ems-biz.jp","ems-biz.jp")</f>
        <v>ems-biz.jp</v>
      </c>
      <c r="C25691" t="s">
        <v>461</v>
      </c>
      <c r="D25691" t="s">
        <v>837</v>
      </c>
      <c r="F25691">
        <v>4.44380395335525E-9</v>
      </c>
      <c r="G25691">
        <v>87805391</v>
      </c>
      <c r="H25691">
        <v>0</v>
      </c>
      <c r="I25691">
        <v>86462734</v>
      </c>
      <c r="J25691">
        <v>2</v>
      </c>
    </row>
    <row r="25692" spans="1:10" x14ac:dyDescent="0.25">
      <c r="A25692" t="s">
        <v>282</v>
      </c>
      <c r="B25692" s="1" t="str">
        <f>HYPERLINK("http://flets-eco.jp","flets-eco.jp")</f>
        <v>flets-eco.jp</v>
      </c>
      <c r="C25692" t="s">
        <v>461</v>
      </c>
      <c r="D25692" t="s">
        <v>837</v>
      </c>
      <c r="F25692">
        <v>6.2774215665323602E-9</v>
      </c>
      <c r="G25692">
        <v>15139652</v>
      </c>
      <c r="H25692">
        <v>11012346</v>
      </c>
      <c r="I25692">
        <v>33371508</v>
      </c>
      <c r="J25692">
        <v>2</v>
      </c>
    </row>
    <row r="25693" spans="1:10" x14ac:dyDescent="0.25">
      <c r="A25693" t="s">
        <v>282</v>
      </c>
      <c r="B25693" s="1" t="str">
        <f>HYPERLINK("http://flets-west.jp","flets-west.jp")</f>
        <v>flets-west.jp</v>
      </c>
      <c r="C25693" t="s">
        <v>461</v>
      </c>
      <c r="D25693" t="s">
        <v>837</v>
      </c>
      <c r="E25693">
        <v>662368</v>
      </c>
      <c r="F25693">
        <v>2.79396073267179E-8</v>
      </c>
      <c r="G25693">
        <v>1841088</v>
      </c>
      <c r="H25693">
        <v>12891247</v>
      </c>
      <c r="I25693">
        <v>13929238</v>
      </c>
      <c r="J25693">
        <v>2</v>
      </c>
    </row>
    <row r="25694" spans="1:10" x14ac:dyDescent="0.25">
      <c r="A25694" t="s">
        <v>282</v>
      </c>
      <c r="B25694" s="1" t="str">
        <f>HYPERLINK("http://kenko-mileage.jp","kenko-mileage.jp")</f>
        <v>kenko-mileage.jp</v>
      </c>
      <c r="C25694" t="s">
        <v>461</v>
      </c>
      <c r="D25694" t="s">
        <v>837</v>
      </c>
      <c r="F25694">
        <v>1.2698714909018899E-8</v>
      </c>
      <c r="G25694">
        <v>4780288</v>
      </c>
      <c r="H25694">
        <v>12626426</v>
      </c>
      <c r="I25694">
        <v>16020600</v>
      </c>
      <c r="J25694">
        <v>2</v>
      </c>
    </row>
    <row r="25695" spans="1:10" x14ac:dyDescent="0.25">
      <c r="A25695" t="s">
        <v>282</v>
      </c>
      <c r="B25695" s="1" t="str">
        <f>HYPERLINK("http://n-bizlifestation.jp","n-bizlifestation.jp")</f>
        <v>n-bizlifestation.jp</v>
      </c>
      <c r="C25695" t="s">
        <v>461</v>
      </c>
      <c r="D25695" t="s">
        <v>837</v>
      </c>
      <c r="F25695">
        <v>4.8172912893566998E-9</v>
      </c>
      <c r="G25695">
        <v>35369354</v>
      </c>
      <c r="H25695">
        <v>9876675</v>
      </c>
      <c r="I25695">
        <v>61918177</v>
      </c>
      <c r="J25695">
        <v>2</v>
      </c>
    </row>
    <row r="25696" spans="1:10" x14ac:dyDescent="0.25">
      <c r="A25696" t="s">
        <v>282</v>
      </c>
      <c r="B25696" s="1" t="str">
        <f>HYPERLINK("http://customer.ne.jp","customer.ne.jp")</f>
        <v>customer.ne.jp</v>
      </c>
      <c r="C25696" t="s">
        <v>461</v>
      </c>
      <c r="D25696" t="s">
        <v>837</v>
      </c>
      <c r="E25696">
        <v>28110</v>
      </c>
      <c r="F25696">
        <v>1.0452205714842499E-6</v>
      </c>
      <c r="G25696">
        <v>36682</v>
      </c>
      <c r="H25696">
        <v>12692223</v>
      </c>
      <c r="I25696">
        <v>15404104</v>
      </c>
      <c r="J25696">
        <v>7</v>
      </c>
    </row>
    <row r="25697" spans="1:10" x14ac:dyDescent="0.25">
      <c r="A25697" t="s">
        <v>282</v>
      </c>
      <c r="B25697" s="1" t="str">
        <f>HYPERLINK("http://docomo.ne.jp","docomo.ne.jp")</f>
        <v>docomo.ne.jp</v>
      </c>
      <c r="C25697" t="s">
        <v>461</v>
      </c>
      <c r="D25697" t="s">
        <v>837</v>
      </c>
      <c r="E25697">
        <v>1533</v>
      </c>
      <c r="F25697">
        <v>9.6539849985337996E-6</v>
      </c>
      <c r="G25697">
        <v>3498</v>
      </c>
      <c r="H25697">
        <v>18755430</v>
      </c>
      <c r="I25697">
        <v>896</v>
      </c>
      <c r="J25697">
        <v>2</v>
      </c>
    </row>
    <row r="25698" spans="1:10" x14ac:dyDescent="0.25">
      <c r="A25698" t="s">
        <v>282</v>
      </c>
      <c r="B25698" s="1" t="str">
        <f>HYPERLINK("http://electronic-statement.ne.jp","electronic-statement.ne.jp")</f>
        <v>electronic-statement.ne.jp</v>
      </c>
      <c r="C25698" t="s">
        <v>461</v>
      </c>
      <c r="D25698" t="s">
        <v>837</v>
      </c>
      <c r="J25698">
        <v>2</v>
      </c>
    </row>
    <row r="25699" spans="1:10" x14ac:dyDescent="0.25">
      <c r="A25699" t="s">
        <v>282</v>
      </c>
      <c r="B25699" s="1" t="str">
        <f>HYPERLINK("http://kaden.ne.jp","kaden.ne.jp")</f>
        <v>kaden.ne.jp</v>
      </c>
      <c r="C25699" t="s">
        <v>461</v>
      </c>
      <c r="D25699" t="s">
        <v>837</v>
      </c>
      <c r="J25699">
        <v>2</v>
      </c>
    </row>
    <row r="25700" spans="1:10" x14ac:dyDescent="0.25">
      <c r="A25700" t="s">
        <v>282</v>
      </c>
      <c r="B25700" s="1" t="str">
        <f>HYPERLINK("http://ocn.ne.jp","ocn.ne.jp")</f>
        <v>ocn.ne.jp</v>
      </c>
      <c r="C25700" t="s">
        <v>461</v>
      </c>
      <c r="D25700" t="s">
        <v>837</v>
      </c>
      <c r="E25700">
        <v>3290</v>
      </c>
      <c r="F25700">
        <v>5.5749553018917499E-6</v>
      </c>
      <c r="G25700">
        <v>6234</v>
      </c>
      <c r="H25700">
        <v>17732448</v>
      </c>
      <c r="I25700">
        <v>6694</v>
      </c>
      <c r="J25700">
        <v>5</v>
      </c>
    </row>
    <row r="25701" spans="1:10" x14ac:dyDescent="0.25">
      <c r="A25701" t="s">
        <v>282</v>
      </c>
      <c r="B25701" s="1" t="str">
        <f>HYPERLINK("http://signup.ne.jp","signup.ne.jp")</f>
        <v>signup.ne.jp</v>
      </c>
      <c r="C25701" t="s">
        <v>461</v>
      </c>
      <c r="D25701" t="s">
        <v>837</v>
      </c>
      <c r="J25701">
        <v>7</v>
      </c>
    </row>
    <row r="25702" spans="1:10" x14ac:dyDescent="0.25">
      <c r="A25702" t="s">
        <v>282</v>
      </c>
      <c r="B25702" s="1" t="str">
        <f>HYPERLINK("http://twinnet.ne.jp","twinnet.ne.jp")</f>
        <v>twinnet.ne.jp</v>
      </c>
      <c r="C25702" t="s">
        <v>461</v>
      </c>
      <c r="D25702" t="s">
        <v>837</v>
      </c>
      <c r="J25702">
        <v>2</v>
      </c>
    </row>
    <row r="25703" spans="1:10" x14ac:dyDescent="0.25">
      <c r="A25703" t="s">
        <v>282</v>
      </c>
      <c r="B25703" s="1" t="str">
        <f>HYPERLINK("http://ocn.jp","ocn.jp")</f>
        <v>ocn.jp</v>
      </c>
      <c r="C25703" t="s">
        <v>461</v>
      </c>
      <c r="D25703" t="s">
        <v>837</v>
      </c>
      <c r="E25703">
        <v>77596</v>
      </c>
      <c r="F25703">
        <v>4.2474532385536798E-8</v>
      </c>
      <c r="G25703">
        <v>1141319</v>
      </c>
      <c r="H25703">
        <v>13068833</v>
      </c>
      <c r="I25703">
        <v>12258707</v>
      </c>
      <c r="J25703">
        <v>6</v>
      </c>
    </row>
    <row r="25704" spans="1:10" x14ac:dyDescent="0.25">
      <c r="A25704" t="s">
        <v>282</v>
      </c>
      <c r="B25704" s="1" t="str">
        <f>HYPERLINK("http://securityboss.jp","securityboss.jp")</f>
        <v>securityboss.jp</v>
      </c>
      <c r="C25704" t="s">
        <v>461</v>
      </c>
      <c r="D25704" t="s">
        <v>837</v>
      </c>
      <c r="J25704">
        <v>7</v>
      </c>
    </row>
    <row r="25705" spans="1:10" x14ac:dyDescent="0.25">
      <c r="A25705" t="s">
        <v>282</v>
      </c>
      <c r="B25705" s="1" t="str">
        <f>HYPERLINK("http://seiho-linc.jp","seiho-linc.jp")</f>
        <v>seiho-linc.jp</v>
      </c>
      <c r="C25705" t="s">
        <v>461</v>
      </c>
      <c r="D25705" t="s">
        <v>837</v>
      </c>
      <c r="F25705">
        <v>4.5758100810023197E-9</v>
      </c>
      <c r="G25705">
        <v>49658115</v>
      </c>
      <c r="H25705">
        <v>11909110</v>
      </c>
      <c r="I25705">
        <v>29459070</v>
      </c>
      <c r="J25705">
        <v>2</v>
      </c>
    </row>
    <row r="25706" spans="1:10" x14ac:dyDescent="0.25">
      <c r="A25706" t="s">
        <v>282</v>
      </c>
      <c r="B25706" s="1" t="str">
        <f>HYPERLINK("http://smtsearch.jp","smtsearch.jp")</f>
        <v>smtsearch.jp</v>
      </c>
      <c r="C25706" t="s">
        <v>461</v>
      </c>
      <c r="D25706" t="s">
        <v>837</v>
      </c>
      <c r="F25706">
        <v>4.4749992489681701E-9</v>
      </c>
      <c r="G25706">
        <v>63414479</v>
      </c>
      <c r="H25706">
        <v>10438458</v>
      </c>
      <c r="I25706">
        <v>52522144</v>
      </c>
      <c r="J25706">
        <v>4</v>
      </c>
    </row>
    <row r="25707" spans="1:10" x14ac:dyDescent="0.25">
      <c r="A25707" t="s">
        <v>282</v>
      </c>
      <c r="B25707" s="1" t="str">
        <f>HYPERLINK("http://sonpo-nc.jp","sonpo-nc.jp")</f>
        <v>sonpo-nc.jp</v>
      </c>
      <c r="C25707" t="s">
        <v>461</v>
      </c>
      <c r="D25707" t="s">
        <v>837</v>
      </c>
      <c r="J25707">
        <v>2</v>
      </c>
    </row>
    <row r="25708" spans="1:10" x14ac:dyDescent="0.25">
      <c r="A25708" t="s">
        <v>282</v>
      </c>
      <c r="B25708" s="1" t="str">
        <f>HYPERLINK("http://test-ems-biz.jp","test-ems-biz.jp")</f>
        <v>test-ems-biz.jp</v>
      </c>
      <c r="C25708" t="s">
        <v>461</v>
      </c>
      <c r="D25708" t="s">
        <v>837</v>
      </c>
      <c r="J25708">
        <v>2</v>
      </c>
    </row>
    <row r="25709" spans="1:10" x14ac:dyDescent="0.25">
      <c r="A25709" t="s">
        <v>282</v>
      </c>
      <c r="B25709" s="1" t="str">
        <f>HYPERLINK("http://test-flets-eco.jp","test-flets-eco.jp")</f>
        <v>test-flets-eco.jp</v>
      </c>
      <c r="C25709" t="s">
        <v>461</v>
      </c>
      <c r="D25709" t="s">
        <v>837</v>
      </c>
      <c r="J25709">
        <v>2</v>
      </c>
    </row>
    <row r="25710" spans="1:10" x14ac:dyDescent="0.25">
      <c r="A25710" t="s">
        <v>282</v>
      </c>
      <c r="B25710" s="1" t="str">
        <f>HYPERLINK("http://tower.jp","tower.jp")</f>
        <v>tower.jp</v>
      </c>
      <c r="C25710" t="s">
        <v>461</v>
      </c>
      <c r="D25710" t="s">
        <v>837</v>
      </c>
      <c r="E25710">
        <v>25318</v>
      </c>
      <c r="F25710">
        <v>2.4722289284724201E-6</v>
      </c>
      <c r="G25710">
        <v>15121</v>
      </c>
      <c r="H25710">
        <v>17513674</v>
      </c>
      <c r="I25710">
        <v>13067</v>
      </c>
      <c r="J25710">
        <v>4</v>
      </c>
    </row>
    <row r="25711" spans="1:10" x14ac:dyDescent="0.25">
      <c r="A25711" t="s">
        <v>282</v>
      </c>
      <c r="B25711" s="1" t="str">
        <f>HYPERLINK("http://wm4b-api.jp","wm4b-api.jp")</f>
        <v>wm4b-api.jp</v>
      </c>
      <c r="C25711" t="s">
        <v>461</v>
      </c>
      <c r="D25711" t="s">
        <v>837</v>
      </c>
      <c r="J25711">
        <v>2</v>
      </c>
    </row>
    <row r="25712" spans="1:10" x14ac:dyDescent="0.25">
      <c r="A25712" t="s">
        <v>282</v>
      </c>
      <c r="B25712" s="1" t="str">
        <f>HYPERLINK("http://wm4b-hia.jp","wm4b-hia.jp")</f>
        <v>wm4b-hia.jp</v>
      </c>
      <c r="C25712" t="s">
        <v>461</v>
      </c>
      <c r="D25712" t="s">
        <v>837</v>
      </c>
      <c r="J25712">
        <v>2</v>
      </c>
    </row>
    <row r="25713" spans="1:10" x14ac:dyDescent="0.25">
      <c r="A25713" t="s">
        <v>282</v>
      </c>
      <c r="B25713" s="1" t="str">
        <f>HYPERLINK("http://wmapp-web.jp","wmapp-web.jp")</f>
        <v>wmapp-web.jp</v>
      </c>
      <c r="C25713" t="s">
        <v>461</v>
      </c>
      <c r="D25713" t="s">
        <v>837</v>
      </c>
      <c r="J25713">
        <v>2</v>
      </c>
    </row>
    <row r="25714" spans="1:10" x14ac:dyDescent="0.25">
      <c r="A25714" t="s">
        <v>282</v>
      </c>
      <c r="B25714" s="1" t="str">
        <f>HYPERLINK("http://ssk.life","ssk.life")</f>
        <v>ssk.life</v>
      </c>
      <c r="C25714" t="s">
        <v>562</v>
      </c>
      <c r="J25714">
        <v>4</v>
      </c>
    </row>
    <row r="25715" spans="1:10" x14ac:dyDescent="0.25">
      <c r="A25715" t="s">
        <v>282</v>
      </c>
      <c r="B25715" s="1" t="str">
        <f>HYPERLINK("http://nttdata.com.mx","nttdata.com.mx")</f>
        <v>nttdata.com.mx</v>
      </c>
      <c r="C25715" t="s">
        <v>471</v>
      </c>
      <c r="D25715" t="s">
        <v>847</v>
      </c>
      <c r="J25715">
        <v>4</v>
      </c>
    </row>
    <row r="25716" spans="1:10" x14ac:dyDescent="0.25">
      <c r="A25716" t="s">
        <v>282</v>
      </c>
      <c r="B25716" s="1" t="str">
        <f>HYPERLINK("http://gbpf.net","gbpf.net")</f>
        <v>gbpf.net</v>
      </c>
      <c r="C25716" t="s">
        <v>474</v>
      </c>
      <c r="J25716">
        <v>2</v>
      </c>
    </row>
    <row r="25717" spans="1:10" x14ac:dyDescent="0.25">
      <c r="A25717" t="s">
        <v>282</v>
      </c>
      <c r="B25717" s="1" t="str">
        <f>HYPERLINK("http://gyron.net","gyron.net")</f>
        <v>gyron.net</v>
      </c>
      <c r="C25717" t="s">
        <v>474</v>
      </c>
      <c r="E25717">
        <v>254753</v>
      </c>
      <c r="F25717">
        <v>2.1006982184001601E-8</v>
      </c>
      <c r="G25717">
        <v>2514941</v>
      </c>
      <c r="H25717">
        <v>13984753</v>
      </c>
      <c r="I25717">
        <v>4042029</v>
      </c>
      <c r="J25717">
        <v>5</v>
      </c>
    </row>
    <row r="25718" spans="1:10" x14ac:dyDescent="0.25">
      <c r="A25718" t="s">
        <v>282</v>
      </c>
      <c r="B25718" s="1" t="str">
        <f>HYPERLINK("http://hatinosu.net","hatinosu.net")</f>
        <v>hatinosu.net</v>
      </c>
      <c r="C25718" t="s">
        <v>474</v>
      </c>
      <c r="F25718">
        <v>2.0362936656156099E-8</v>
      </c>
      <c r="G25718">
        <v>2604948</v>
      </c>
      <c r="H25718">
        <v>13956456</v>
      </c>
      <c r="I25718">
        <v>4132627</v>
      </c>
      <c r="J25718">
        <v>4</v>
      </c>
    </row>
    <row r="25719" spans="1:10" x14ac:dyDescent="0.25">
      <c r="A25719" t="s">
        <v>282</v>
      </c>
      <c r="B25719" s="1" t="str">
        <f>HYPERLINK("http://hoken-gw.net","hoken-gw.net")</f>
        <v>hoken-gw.net</v>
      </c>
      <c r="C25719" t="s">
        <v>474</v>
      </c>
      <c r="E25719">
        <v>623647</v>
      </c>
      <c r="F25719">
        <v>4.4447823401892702E-9</v>
      </c>
      <c r="G25719">
        <v>76098394</v>
      </c>
      <c r="H25719">
        <v>10359181</v>
      </c>
      <c r="I25719">
        <v>55265483</v>
      </c>
      <c r="J25719">
        <v>2</v>
      </c>
    </row>
    <row r="25720" spans="1:10" x14ac:dyDescent="0.25">
      <c r="A25720" t="s">
        <v>282</v>
      </c>
      <c r="B25720" s="1" t="str">
        <f>HYPERLINK("http://hoken-pf.net","hoken-pf.net")</f>
        <v>hoken-pf.net</v>
      </c>
      <c r="C25720" t="s">
        <v>474</v>
      </c>
      <c r="F25720">
        <v>4.5568317350853603E-9</v>
      </c>
      <c r="G25720">
        <v>51476982</v>
      </c>
      <c r="H25720">
        <v>8763745</v>
      </c>
      <c r="I25720">
        <v>69574262</v>
      </c>
      <c r="J25720">
        <v>2</v>
      </c>
    </row>
    <row r="25721" spans="1:10" x14ac:dyDescent="0.25">
      <c r="A25721" t="s">
        <v>282</v>
      </c>
      <c r="B25721" s="1" t="str">
        <f>HYPERLINK("http://ntt.net","ntt.net")</f>
        <v>ntt.net</v>
      </c>
      <c r="C25721" t="s">
        <v>474</v>
      </c>
      <c r="E25721">
        <v>13634</v>
      </c>
      <c r="F25721">
        <v>1.0282652883694599E-6</v>
      </c>
      <c r="G25721">
        <v>37252</v>
      </c>
      <c r="H25721">
        <v>15130880</v>
      </c>
      <c r="I25721">
        <v>402297</v>
      </c>
      <c r="J25721">
        <v>3</v>
      </c>
    </row>
    <row r="25722" spans="1:10" x14ac:dyDescent="0.25">
      <c r="A25722" t="s">
        <v>282</v>
      </c>
      <c r="B25722" s="1" t="str">
        <f>HYPERLINK("http://ntt-east.net","ntt-east.net")</f>
        <v>ntt-east.net</v>
      </c>
      <c r="C25722" t="s">
        <v>474</v>
      </c>
      <c r="E25722">
        <v>379893</v>
      </c>
      <c r="F25722">
        <v>3.6840041196807802E-8</v>
      </c>
      <c r="G25722">
        <v>1419262</v>
      </c>
      <c r="H25722">
        <v>13144530</v>
      </c>
      <c r="I25722">
        <v>11858512</v>
      </c>
      <c r="J25722">
        <v>2</v>
      </c>
    </row>
    <row r="25723" spans="1:10" x14ac:dyDescent="0.25">
      <c r="A25723" t="s">
        <v>282</v>
      </c>
      <c r="B25723" s="1" t="str">
        <f>HYPERLINK("http://ntt-west.net","ntt-west.net")</f>
        <v>ntt-west.net</v>
      </c>
      <c r="C25723" t="s">
        <v>474</v>
      </c>
      <c r="F25723">
        <v>3.3510990166160797E-8</v>
      </c>
      <c r="G25723">
        <v>1542737</v>
      </c>
      <c r="H25723">
        <v>13143567</v>
      </c>
      <c r="I25723">
        <v>11862383</v>
      </c>
      <c r="J25723">
        <v>3</v>
      </c>
    </row>
    <row r="25724" spans="1:10" x14ac:dyDescent="0.25">
      <c r="A25724" t="s">
        <v>282</v>
      </c>
      <c r="B25724" s="1" t="str">
        <f>HYPERLINK("http://opsource.net","opsource.net")</f>
        <v>opsource.net</v>
      </c>
      <c r="C25724" t="s">
        <v>474</v>
      </c>
      <c r="E25724">
        <v>186783</v>
      </c>
      <c r="F25724">
        <v>3.5422486473331997E-8</v>
      </c>
      <c r="G25724">
        <v>1469009</v>
      </c>
      <c r="H25724">
        <v>14170707</v>
      </c>
      <c r="I25724">
        <v>1803590</v>
      </c>
      <c r="J25724">
        <v>7</v>
      </c>
    </row>
    <row r="25725" spans="1:10" x14ac:dyDescent="0.25">
      <c r="A25725" t="s">
        <v>282</v>
      </c>
      <c r="B25725" s="1" t="str">
        <f>HYPERLINK("http://global.ntt","global.ntt")</f>
        <v>global.ntt</v>
      </c>
      <c r="C25725" t="s">
        <v>776</v>
      </c>
      <c r="E25725">
        <v>40913</v>
      </c>
      <c r="F25725">
        <v>1.6194106783544499E-6</v>
      </c>
      <c r="G25725">
        <v>24322</v>
      </c>
      <c r="H25725">
        <v>17427568</v>
      </c>
      <c r="I25725">
        <v>17397</v>
      </c>
      <c r="J25725">
        <v>4</v>
      </c>
    </row>
    <row r="25726" spans="1:10" x14ac:dyDescent="0.25">
      <c r="A25726" t="s">
        <v>282</v>
      </c>
      <c r="B25726" s="1" t="str">
        <f>HYPERLINK("http://group.ntt","group.ntt")</f>
        <v>group.ntt</v>
      </c>
      <c r="C25726" t="s">
        <v>776</v>
      </c>
      <c r="E25726">
        <v>219277</v>
      </c>
      <c r="F25726">
        <v>5.1295144380136595E-7</v>
      </c>
      <c r="G25726">
        <v>74750</v>
      </c>
      <c r="H25726">
        <v>15082194</v>
      </c>
      <c r="I25726">
        <v>409238</v>
      </c>
      <c r="J25726">
        <v>2</v>
      </c>
    </row>
    <row r="25727" spans="1:10" x14ac:dyDescent="0.25">
      <c r="A25727" t="s">
        <v>282</v>
      </c>
      <c r="B25727" s="1" t="str">
        <f>HYPERLINK("http://groupis-gn.ntt","groupis-gn.ntt")</f>
        <v>groupis-gn.ntt</v>
      </c>
      <c r="C25727" t="s">
        <v>776</v>
      </c>
      <c r="F25727">
        <v>6.2076084064931099E-9</v>
      </c>
      <c r="G25727">
        <v>15496306</v>
      </c>
      <c r="H25727">
        <v>10820358</v>
      </c>
      <c r="I25727">
        <v>37617794</v>
      </c>
      <c r="J25727">
        <v>4</v>
      </c>
    </row>
    <row r="25728" spans="1:10" x14ac:dyDescent="0.25">
      <c r="A25728" t="s">
        <v>282</v>
      </c>
      <c r="B25728" s="1" t="str">
        <f>HYPERLINK("http://nttdata.ro","nttdata.ro")</f>
        <v>nttdata.ro</v>
      </c>
      <c r="C25728" t="s">
        <v>491</v>
      </c>
      <c r="D25728" t="s">
        <v>865</v>
      </c>
      <c r="E25728">
        <v>332753</v>
      </c>
      <c r="F25728">
        <v>7.18883094855158E-9</v>
      </c>
      <c r="G25728">
        <v>11773435</v>
      </c>
      <c r="H25728">
        <v>12517498</v>
      </c>
      <c r="I25728">
        <v>17173819</v>
      </c>
      <c r="J25728">
        <v>3</v>
      </c>
    </row>
    <row r="25729" spans="1:10" x14ac:dyDescent="0.25">
      <c r="A25729" t="s">
        <v>282</v>
      </c>
      <c r="B25729" s="1" t="str">
        <f>HYPERLINK("http://nttdatasolutions.com.sg","nttdatasolutions.com.sg")</f>
        <v>nttdatasolutions.com.sg</v>
      </c>
      <c r="C25729" t="s">
        <v>496</v>
      </c>
      <c r="D25729" t="s">
        <v>870</v>
      </c>
      <c r="F25729">
        <v>5.0146490596616502E-9</v>
      </c>
      <c r="G25729">
        <v>29025967</v>
      </c>
      <c r="H25729">
        <v>12383127</v>
      </c>
      <c r="I25729">
        <v>19153489</v>
      </c>
      <c r="J25729">
        <v>6</v>
      </c>
    </row>
    <row r="25730" spans="1:10" x14ac:dyDescent="0.25">
      <c r="A25730" t="s">
        <v>282</v>
      </c>
      <c r="B25730" s="1" t="str">
        <f>HYPERLINK("http://arkadin.co.uk","arkadin.co.uk")</f>
        <v>arkadin.co.uk</v>
      </c>
      <c r="C25730" t="s">
        <v>506</v>
      </c>
      <c r="D25730" t="s">
        <v>880</v>
      </c>
      <c r="F25730">
        <v>3.5455661771076999E-8</v>
      </c>
      <c r="G25730">
        <v>1467831</v>
      </c>
      <c r="H25730">
        <v>13204641</v>
      </c>
      <c r="I25730">
        <v>11533594</v>
      </c>
      <c r="J25730">
        <v>7</v>
      </c>
    </row>
    <row r="25731" spans="1:10" x14ac:dyDescent="0.25">
      <c r="A25731" t="s">
        <v>282</v>
      </c>
      <c r="B25731" s="1" t="str">
        <f>HYPERLINK("http://e2y.co.uk","e2y.co.uk")</f>
        <v>e2y.co.uk</v>
      </c>
      <c r="C25731" t="s">
        <v>506</v>
      </c>
      <c r="D25731" t="s">
        <v>880</v>
      </c>
      <c r="F25731">
        <v>4.6172026909106201E-8</v>
      </c>
      <c r="G25731">
        <v>1015211</v>
      </c>
      <c r="H25731">
        <v>12422142</v>
      </c>
      <c r="I25731">
        <v>18412758</v>
      </c>
      <c r="J25731">
        <v>11</v>
      </c>
    </row>
    <row r="25732" spans="1:10" x14ac:dyDescent="0.25">
      <c r="A25732" t="s">
        <v>282</v>
      </c>
      <c r="B25732" s="1" t="str">
        <f>HYPERLINK("http://is.co.za","is.co.za")</f>
        <v>is.co.za</v>
      </c>
      <c r="C25732" t="s">
        <v>510</v>
      </c>
      <c r="D25732" t="s">
        <v>884</v>
      </c>
      <c r="E25732">
        <v>10948</v>
      </c>
      <c r="F25732">
        <v>5.0070176411804005E-7</v>
      </c>
      <c r="G25732">
        <v>76346</v>
      </c>
      <c r="H25732">
        <v>17021794</v>
      </c>
      <c r="I25732">
        <v>89147</v>
      </c>
      <c r="J25732">
        <v>4</v>
      </c>
    </row>
    <row r="25733" spans="1:10" x14ac:dyDescent="0.25">
      <c r="A25733" t="s">
        <v>283</v>
      </c>
      <c r="B25733" s="1" t="str">
        <f>HYPERLINK("http://nongfuspring.com","nongfuspring.com")</f>
        <v>nongfuspring.com</v>
      </c>
      <c r="C25733" t="s">
        <v>433</v>
      </c>
      <c r="E25733">
        <v>261279</v>
      </c>
      <c r="F25733">
        <v>1.92694488593702E-7</v>
      </c>
      <c r="G25733">
        <v>200001</v>
      </c>
      <c r="H25733">
        <v>13849342</v>
      </c>
      <c r="I25733">
        <v>6055312</v>
      </c>
      <c r="J25733">
        <v>1</v>
      </c>
    </row>
    <row r="25734" spans="1:10" x14ac:dyDescent="0.25">
      <c r="A25734" t="s">
        <v>284</v>
      </c>
      <c r="B25734" s="1" t="str">
        <f>HYPERLINK("http://nordea.at","nordea.at")</f>
        <v>nordea.at</v>
      </c>
      <c r="C25734" t="s">
        <v>419</v>
      </c>
      <c r="D25734" t="s">
        <v>801</v>
      </c>
      <c r="F25734">
        <v>1.0236913877072501E-8</v>
      </c>
      <c r="G25734">
        <v>6511040</v>
      </c>
      <c r="H25734">
        <v>12228578</v>
      </c>
      <c r="I25734">
        <v>22544002</v>
      </c>
      <c r="J25734">
        <v>3</v>
      </c>
    </row>
    <row r="25735" spans="1:10" x14ac:dyDescent="0.25">
      <c r="A25735" t="s">
        <v>284</v>
      </c>
      <c r="B25735" s="1" t="str">
        <f>HYPERLINK("http://nordea.be","nordea.be")</f>
        <v>nordea.be</v>
      </c>
      <c r="C25735" t="s">
        <v>421</v>
      </c>
      <c r="D25735" t="s">
        <v>803</v>
      </c>
      <c r="F25735">
        <v>8.8773220763171697E-9</v>
      </c>
      <c r="G25735">
        <v>8180684</v>
      </c>
      <c r="H25735">
        <v>12181650</v>
      </c>
      <c r="I25735">
        <v>23778095</v>
      </c>
      <c r="J25735">
        <v>3</v>
      </c>
    </row>
    <row r="25736" spans="1:10" x14ac:dyDescent="0.25">
      <c r="A25736" t="s">
        <v>284</v>
      </c>
      <c r="B25736" s="1" t="str">
        <f>HYPERLINK("http://nordea.ch","nordea.ch")</f>
        <v>nordea.ch</v>
      </c>
      <c r="C25736" t="s">
        <v>429</v>
      </c>
      <c r="D25736" t="s">
        <v>810</v>
      </c>
      <c r="F25736">
        <v>7.9390153520712304E-9</v>
      </c>
      <c r="G25736">
        <v>10034829</v>
      </c>
      <c r="H25736">
        <v>12246022</v>
      </c>
      <c r="I25736">
        <v>22096130</v>
      </c>
      <c r="J25736">
        <v>3</v>
      </c>
    </row>
    <row r="25737" spans="1:10" x14ac:dyDescent="0.25">
      <c r="A25737" t="s">
        <v>284</v>
      </c>
      <c r="B25737" s="1" t="str">
        <f>HYPERLINK("http://adalensif.com","adalensif.com")</f>
        <v>adalensif.com</v>
      </c>
      <c r="C25737" t="s">
        <v>433</v>
      </c>
      <c r="F25737">
        <v>6.6375998794685197E-9</v>
      </c>
      <c r="G25737">
        <v>13531090</v>
      </c>
      <c r="H25737">
        <v>14074389</v>
      </c>
      <c r="I25737">
        <v>2944930</v>
      </c>
      <c r="J25737">
        <v>10</v>
      </c>
    </row>
    <row r="25738" spans="1:10" x14ac:dyDescent="0.25">
      <c r="A25738" t="s">
        <v>284</v>
      </c>
      <c r="B25738" s="1" t="str">
        <f>HYPERLINK("http://hastingsplc.com","hastingsplc.com")</f>
        <v>hastingsplc.com</v>
      </c>
      <c r="C25738" t="s">
        <v>433</v>
      </c>
      <c r="F25738">
        <v>1.3121660602494401E-8</v>
      </c>
      <c r="G25738">
        <v>4573868</v>
      </c>
      <c r="H25738">
        <v>13257985</v>
      </c>
      <c r="I25738">
        <v>11048635</v>
      </c>
      <c r="J25738">
        <v>7</v>
      </c>
    </row>
    <row r="25739" spans="1:10" x14ac:dyDescent="0.25">
      <c r="A25739" t="s">
        <v>284</v>
      </c>
      <c r="B25739" s="1" t="str">
        <f>HYPERLINK("http://mandatumam.com","mandatumam.com")</f>
        <v>mandatumam.com</v>
      </c>
      <c r="C25739" t="s">
        <v>433</v>
      </c>
      <c r="F25739">
        <v>1.92260337775125E-8</v>
      </c>
      <c r="G25739">
        <v>2794376</v>
      </c>
      <c r="H25739">
        <v>14073877</v>
      </c>
      <c r="I25739">
        <v>2966713</v>
      </c>
      <c r="J25739">
        <v>9</v>
      </c>
    </row>
    <row r="25740" spans="1:10" x14ac:dyDescent="0.25">
      <c r="A25740" t="s">
        <v>284</v>
      </c>
      <c r="B25740" s="1" t="str">
        <f>HYPERLINK("http://nordea.com","nordea.com")</f>
        <v>nordea.com</v>
      </c>
      <c r="C25740" t="s">
        <v>433</v>
      </c>
      <c r="E25740">
        <v>14231</v>
      </c>
      <c r="F25740">
        <v>1.39836886151324E-6</v>
      </c>
      <c r="G25740">
        <v>27943</v>
      </c>
      <c r="H25740">
        <v>17308306</v>
      </c>
      <c r="I25740">
        <v>26981</v>
      </c>
      <c r="J25740">
        <v>2</v>
      </c>
    </row>
    <row r="25741" spans="1:10" x14ac:dyDescent="0.25">
      <c r="A25741" t="s">
        <v>284</v>
      </c>
      <c r="B25741" s="1" t="str">
        <f>HYPERLINK("http://sampo.com","sampo.com")</f>
        <v>sampo.com</v>
      </c>
      <c r="C25741" t="s">
        <v>433</v>
      </c>
      <c r="E25741">
        <v>582406</v>
      </c>
      <c r="F25741">
        <v>7.9433343569591005E-8</v>
      </c>
      <c r="G25741">
        <v>526059</v>
      </c>
      <c r="H25741">
        <v>14530168</v>
      </c>
      <c r="I25741">
        <v>787369</v>
      </c>
      <c r="J25741">
        <v>6</v>
      </c>
    </row>
    <row r="25742" spans="1:10" x14ac:dyDescent="0.25">
      <c r="A25742" t="s">
        <v>284</v>
      </c>
      <c r="B25742" s="1" t="str">
        <f>HYPERLINK("http://topdanmark.com","topdanmark.com")</f>
        <v>topdanmark.com</v>
      </c>
      <c r="C25742" t="s">
        <v>433</v>
      </c>
      <c r="F25742">
        <v>4.6989219316668798E-8</v>
      </c>
      <c r="G25742">
        <v>993350</v>
      </c>
      <c r="H25742">
        <v>14395175</v>
      </c>
      <c r="I25742">
        <v>1160851</v>
      </c>
      <c r="J25742">
        <v>4</v>
      </c>
    </row>
    <row r="25743" spans="1:10" x14ac:dyDescent="0.25">
      <c r="A25743" t="s">
        <v>284</v>
      </c>
      <c r="B25743" s="1" t="str">
        <f>HYPERLINK("http://nordea.de","nordea.de")</f>
        <v>nordea.de</v>
      </c>
      <c r="C25743" t="s">
        <v>436</v>
      </c>
      <c r="D25743" t="s">
        <v>815</v>
      </c>
      <c r="F25743">
        <v>5.5314167866115797E-8</v>
      </c>
      <c r="G25743">
        <v>811941</v>
      </c>
      <c r="H25743">
        <v>16751232</v>
      </c>
      <c r="I25743">
        <v>266684</v>
      </c>
      <c r="J25743">
        <v>3</v>
      </c>
    </row>
    <row r="25744" spans="1:10" x14ac:dyDescent="0.25">
      <c r="A25744" t="s">
        <v>284</v>
      </c>
      <c r="B25744" s="1" t="str">
        <f>HYPERLINK("http://if.dk","if.dk")</f>
        <v>if.dk</v>
      </c>
      <c r="C25744" t="s">
        <v>437</v>
      </c>
      <c r="D25744" t="s">
        <v>816</v>
      </c>
      <c r="E25744">
        <v>690044</v>
      </c>
      <c r="F25744">
        <v>9.7218499011588497E-8</v>
      </c>
      <c r="G25744">
        <v>415545</v>
      </c>
      <c r="H25744">
        <v>14079697</v>
      </c>
      <c r="I25744">
        <v>2829482</v>
      </c>
      <c r="J25744">
        <v>8</v>
      </c>
    </row>
    <row r="25745" spans="1:10" x14ac:dyDescent="0.25">
      <c r="A25745" t="s">
        <v>284</v>
      </c>
      <c r="B25745" s="1" t="str">
        <f>HYPERLINK("http://nordea.dk","nordea.dk")</f>
        <v>nordea.dk</v>
      </c>
      <c r="C25745" t="s">
        <v>437</v>
      </c>
      <c r="D25745" t="s">
        <v>816</v>
      </c>
      <c r="E25745">
        <v>73231</v>
      </c>
      <c r="F25745">
        <v>2.2330782276273E-7</v>
      </c>
      <c r="G25745">
        <v>168750</v>
      </c>
      <c r="H25745">
        <v>14634039</v>
      </c>
      <c r="I25745">
        <v>642220</v>
      </c>
      <c r="J25745">
        <v>2</v>
      </c>
    </row>
    <row r="25746" spans="1:10" x14ac:dyDescent="0.25">
      <c r="A25746" t="s">
        <v>284</v>
      </c>
      <c r="B25746" s="1" t="str">
        <f>HYPERLINK("http://nordeafinance.dk","nordeafinance.dk")</f>
        <v>nordeafinance.dk</v>
      </c>
      <c r="C25746" t="s">
        <v>437</v>
      </c>
      <c r="D25746" t="s">
        <v>816</v>
      </c>
      <c r="F25746">
        <v>2.31802502752034E-8</v>
      </c>
      <c r="G25746">
        <v>2251431</v>
      </c>
      <c r="H25746">
        <v>12206392</v>
      </c>
      <c r="I25746">
        <v>23121138</v>
      </c>
      <c r="J25746">
        <v>4</v>
      </c>
    </row>
    <row r="25747" spans="1:10" x14ac:dyDescent="0.25">
      <c r="A25747" t="s">
        <v>284</v>
      </c>
      <c r="B25747" s="1" t="str">
        <f>HYPERLINK("http://nordeafinans.dk","nordeafinans.dk")</f>
        <v>nordeafinans.dk</v>
      </c>
      <c r="C25747" t="s">
        <v>437</v>
      </c>
      <c r="D25747" t="s">
        <v>816</v>
      </c>
      <c r="F25747">
        <v>2.4867748635663999E-8</v>
      </c>
      <c r="G25747">
        <v>2079231</v>
      </c>
      <c r="H25747">
        <v>12271682</v>
      </c>
      <c r="I25747">
        <v>21489349</v>
      </c>
      <c r="J25747">
        <v>3</v>
      </c>
    </row>
    <row r="25748" spans="1:10" x14ac:dyDescent="0.25">
      <c r="A25748" t="s">
        <v>284</v>
      </c>
      <c r="B25748" s="1" t="str">
        <f>HYPERLINK("http://topdanmark.dk","topdanmark.dk")</f>
        <v>topdanmark.dk</v>
      </c>
      <c r="C25748" t="s">
        <v>437</v>
      </c>
      <c r="D25748" t="s">
        <v>816</v>
      </c>
      <c r="E25748">
        <v>261232</v>
      </c>
      <c r="F25748">
        <v>2.1646323800499899E-7</v>
      </c>
      <c r="G25748">
        <v>174244</v>
      </c>
      <c r="H25748">
        <v>16990202</v>
      </c>
      <c r="I25748">
        <v>95892</v>
      </c>
      <c r="J25748">
        <v>3</v>
      </c>
    </row>
    <row r="25749" spans="1:10" x14ac:dyDescent="0.25">
      <c r="A25749" t="s">
        <v>284</v>
      </c>
      <c r="B25749" s="1" t="str">
        <f>HYPERLINK("http://if.ee","if.ee")</f>
        <v>if.ee</v>
      </c>
      <c r="C25749" t="s">
        <v>441</v>
      </c>
      <c r="D25749" t="s">
        <v>820</v>
      </c>
      <c r="E25749">
        <v>696316</v>
      </c>
      <c r="F25749">
        <v>7.3002147281858907E-8</v>
      </c>
      <c r="G25749">
        <v>577686</v>
      </c>
      <c r="H25749">
        <v>14102692</v>
      </c>
      <c r="I25749">
        <v>2698072</v>
      </c>
      <c r="J25749">
        <v>7</v>
      </c>
    </row>
    <row r="25750" spans="1:10" x14ac:dyDescent="0.25">
      <c r="A25750" t="s">
        <v>284</v>
      </c>
      <c r="B25750" s="1" t="str">
        <f>HYPERLINK("http://nordea.ee","nordea.ee")</f>
        <v>nordea.ee</v>
      </c>
      <c r="C25750" t="s">
        <v>441</v>
      </c>
      <c r="D25750" t="s">
        <v>820</v>
      </c>
      <c r="F25750">
        <v>8.1805276759277494E-8</v>
      </c>
      <c r="G25750">
        <v>510159</v>
      </c>
      <c r="H25750">
        <v>14848458</v>
      </c>
      <c r="I25750">
        <v>492058</v>
      </c>
      <c r="J25750">
        <v>3</v>
      </c>
    </row>
    <row r="25751" spans="1:10" x14ac:dyDescent="0.25">
      <c r="A25751" t="s">
        <v>284</v>
      </c>
      <c r="B25751" s="1" t="str">
        <f>HYPERLINK("http://nordea.es","nordea.es")</f>
        <v>nordea.es</v>
      </c>
      <c r="C25751" t="s">
        <v>443</v>
      </c>
      <c r="D25751" t="s">
        <v>822</v>
      </c>
      <c r="F25751">
        <v>9.1308266314394097E-9</v>
      </c>
      <c r="G25751">
        <v>7804589</v>
      </c>
      <c r="H25751">
        <v>12431142</v>
      </c>
      <c r="I25751">
        <v>18286155</v>
      </c>
      <c r="J25751">
        <v>3</v>
      </c>
    </row>
    <row r="25752" spans="1:10" x14ac:dyDescent="0.25">
      <c r="A25752" t="s">
        <v>284</v>
      </c>
      <c r="B25752" s="1" t="str">
        <f>HYPERLINK("http://if.eu","if.eu")</f>
        <v>if.eu</v>
      </c>
      <c r="C25752" t="s">
        <v>444</v>
      </c>
      <c r="E25752">
        <v>222821</v>
      </c>
      <c r="F25752">
        <v>3.1357380802161002E-8</v>
      </c>
      <c r="G25752">
        <v>1644650</v>
      </c>
      <c r="H25752">
        <v>13271161</v>
      </c>
      <c r="I25752">
        <v>10954512</v>
      </c>
      <c r="J25752">
        <v>8</v>
      </c>
    </row>
    <row r="25753" spans="1:10" x14ac:dyDescent="0.25">
      <c r="A25753" t="s">
        <v>284</v>
      </c>
      <c r="B25753" s="1" t="str">
        <f>HYPERLINK("http://3xl.fi","3xl.fi")</f>
        <v>3xl.fi</v>
      </c>
      <c r="C25753" t="s">
        <v>445</v>
      </c>
      <c r="D25753" t="s">
        <v>823</v>
      </c>
      <c r="F25753">
        <v>4.4733913972350301E-9</v>
      </c>
      <c r="G25753">
        <v>63762101</v>
      </c>
      <c r="H25753">
        <v>12307915</v>
      </c>
      <c r="I25753">
        <v>20678937</v>
      </c>
      <c r="J25753">
        <v>10</v>
      </c>
    </row>
    <row r="25754" spans="1:10" x14ac:dyDescent="0.25">
      <c r="A25754" t="s">
        <v>284</v>
      </c>
      <c r="B25754" s="1" t="str">
        <f>HYPERLINK("http://a1.fi","a1.fi")</f>
        <v>a1.fi</v>
      </c>
      <c r="C25754" t="s">
        <v>445</v>
      </c>
      <c r="D25754" t="s">
        <v>823</v>
      </c>
      <c r="F25754">
        <v>6.5772121959798598E-9</v>
      </c>
      <c r="G25754">
        <v>13764379</v>
      </c>
      <c r="H25754">
        <v>12008072</v>
      </c>
      <c r="I25754">
        <v>28126110</v>
      </c>
      <c r="J25754">
        <v>2</v>
      </c>
    </row>
    <row r="25755" spans="1:10" x14ac:dyDescent="0.25">
      <c r="A25755" t="s">
        <v>284</v>
      </c>
      <c r="B25755" s="1" t="str">
        <f>HYPERLINK("http://a1autorahoitus.fi","a1autorahoitus.fi")</f>
        <v>a1autorahoitus.fi</v>
      </c>
      <c r="C25755" t="s">
        <v>445</v>
      </c>
      <c r="D25755" t="s">
        <v>823</v>
      </c>
      <c r="J25755">
        <v>2</v>
      </c>
    </row>
    <row r="25756" spans="1:10" x14ac:dyDescent="0.25">
      <c r="A25756" t="s">
        <v>284</v>
      </c>
      <c r="B25756" s="1" t="str">
        <f>HYPERLINK("http://a1autotori.fi","a1autotori.fi")</f>
        <v>a1autotori.fi</v>
      </c>
      <c r="C25756" t="s">
        <v>445</v>
      </c>
      <c r="D25756" t="s">
        <v>823</v>
      </c>
      <c r="F25756">
        <v>4.4668885777481099E-9</v>
      </c>
      <c r="G25756">
        <v>65661504</v>
      </c>
      <c r="H25756">
        <v>10594971</v>
      </c>
      <c r="I25756">
        <v>45240218</v>
      </c>
      <c r="J25756">
        <v>2</v>
      </c>
    </row>
    <row r="25757" spans="1:10" x14ac:dyDescent="0.25">
      <c r="A25757" t="s">
        <v>284</v>
      </c>
      <c r="B25757" s="1" t="str">
        <f>HYPERLINK("http://a1biltorg.fi","a1biltorg.fi")</f>
        <v>a1biltorg.fi</v>
      </c>
      <c r="C25757" t="s">
        <v>445</v>
      </c>
      <c r="D25757" t="s">
        <v>823</v>
      </c>
      <c r="J25757">
        <v>2</v>
      </c>
    </row>
    <row r="25758" spans="1:10" x14ac:dyDescent="0.25">
      <c r="A25758" t="s">
        <v>284</v>
      </c>
      <c r="B25758" s="1" t="str">
        <f>HYPERLINK("http://a1carmarket.fi","a1carmarket.fi")</f>
        <v>a1carmarket.fi</v>
      </c>
      <c r="C25758" t="s">
        <v>445</v>
      </c>
      <c r="D25758" t="s">
        <v>823</v>
      </c>
      <c r="J25758">
        <v>2</v>
      </c>
    </row>
    <row r="25759" spans="1:10" x14ac:dyDescent="0.25">
      <c r="A25759" t="s">
        <v>284</v>
      </c>
      <c r="B25759" s="1" t="str">
        <f>HYPERLINK("http://a1rahoitus.fi","a1rahoitus.fi")</f>
        <v>a1rahoitus.fi</v>
      </c>
      <c r="C25759" t="s">
        <v>445</v>
      </c>
      <c r="D25759" t="s">
        <v>823</v>
      </c>
      <c r="J25759">
        <v>2</v>
      </c>
    </row>
    <row r="25760" spans="1:10" x14ac:dyDescent="0.25">
      <c r="A25760" t="s">
        <v>284</v>
      </c>
      <c r="B25760" s="1" t="str">
        <f>HYPERLINK("http://arvilife.fi","arvilife.fi")</f>
        <v>arvilife.fi</v>
      </c>
      <c r="C25760" t="s">
        <v>445</v>
      </c>
      <c r="D25760" t="s">
        <v>823</v>
      </c>
      <c r="J25760">
        <v>8</v>
      </c>
    </row>
    <row r="25761" spans="1:10" x14ac:dyDescent="0.25">
      <c r="A25761" t="s">
        <v>284</v>
      </c>
      <c r="B25761" s="1" t="str">
        <f>HYPERLINK("http://autoliikenetti.fi","autoliikenetti.fi")</f>
        <v>autoliikenetti.fi</v>
      </c>
      <c r="C25761" t="s">
        <v>445</v>
      </c>
      <c r="D25761" t="s">
        <v>823</v>
      </c>
      <c r="J25761">
        <v>10</v>
      </c>
    </row>
    <row r="25762" spans="1:10" x14ac:dyDescent="0.25">
      <c r="A25762" t="s">
        <v>284</v>
      </c>
      <c r="B25762" s="1" t="str">
        <f>HYPERLINK("http://autonkuntoturva.fi","autonkuntoturva.fi")</f>
        <v>autonkuntoturva.fi</v>
      </c>
      <c r="C25762" t="s">
        <v>445</v>
      </c>
      <c r="D25762" t="s">
        <v>823</v>
      </c>
      <c r="J25762">
        <v>12</v>
      </c>
    </row>
    <row r="25763" spans="1:10" x14ac:dyDescent="0.25">
      <c r="A25763" t="s">
        <v>284</v>
      </c>
      <c r="B25763" s="1" t="str">
        <f>HYPERLINK("http://autonvaihto.fi","autonvaihto.fi")</f>
        <v>autonvaihto.fi</v>
      </c>
      <c r="C25763" t="s">
        <v>445</v>
      </c>
      <c r="D25763" t="s">
        <v>823</v>
      </c>
      <c r="J25763">
        <v>12</v>
      </c>
    </row>
    <row r="25764" spans="1:10" x14ac:dyDescent="0.25">
      <c r="A25764" t="s">
        <v>284</v>
      </c>
      <c r="B25764" s="1" t="str">
        <f>HYPERLINK("http://avainhenkilo.fi","avainhenkilo.fi")</f>
        <v>avainhenkilo.fi</v>
      </c>
      <c r="C25764" t="s">
        <v>445</v>
      </c>
      <c r="D25764" t="s">
        <v>823</v>
      </c>
      <c r="J25764">
        <v>8</v>
      </c>
    </row>
    <row r="25765" spans="1:10" x14ac:dyDescent="0.25">
      <c r="A25765" t="s">
        <v>284</v>
      </c>
      <c r="B25765" s="1" t="str">
        <f>HYPERLINK("http://bonusta.fi","bonusta.fi")</f>
        <v>bonusta.fi</v>
      </c>
      <c r="C25765" t="s">
        <v>445</v>
      </c>
      <c r="D25765" t="s">
        <v>823</v>
      </c>
      <c r="J25765">
        <v>12</v>
      </c>
    </row>
    <row r="25766" spans="1:10" x14ac:dyDescent="0.25">
      <c r="A25766" t="s">
        <v>284</v>
      </c>
      <c r="B25766" s="1" t="str">
        <f>HYPERLINK("http://easybanking.fi","easybanking.fi")</f>
        <v>easybanking.fi</v>
      </c>
      <c r="C25766" t="s">
        <v>445</v>
      </c>
      <c r="D25766" t="s">
        <v>823</v>
      </c>
      <c r="J25766">
        <v>2</v>
      </c>
    </row>
    <row r="25767" spans="1:10" x14ac:dyDescent="0.25">
      <c r="A25767" t="s">
        <v>284</v>
      </c>
      <c r="B25767" s="1" t="str">
        <f>HYPERLINK("http://elake.fi","elake.fi")</f>
        <v>elake.fi</v>
      </c>
      <c r="C25767" t="s">
        <v>445</v>
      </c>
      <c r="D25767" t="s">
        <v>823</v>
      </c>
      <c r="J25767">
        <v>8</v>
      </c>
    </row>
    <row r="25768" spans="1:10" x14ac:dyDescent="0.25">
      <c r="A25768" t="s">
        <v>284</v>
      </c>
      <c r="B25768" s="1" t="str">
        <f>HYPERLINK("http://elakesaastaminen.fi","elakesaastaminen.fi")</f>
        <v>elakesaastaminen.fi</v>
      </c>
      <c r="C25768" t="s">
        <v>445</v>
      </c>
      <c r="D25768" t="s">
        <v>823</v>
      </c>
      <c r="J25768">
        <v>8</v>
      </c>
    </row>
    <row r="25769" spans="1:10" x14ac:dyDescent="0.25">
      <c r="A25769" t="s">
        <v>284</v>
      </c>
      <c r="B25769" s="1" t="str">
        <f>HYPERLINK("http://elakesaastovertaus.fi","elakesaastovertaus.fi")</f>
        <v>elakesaastovertaus.fi</v>
      </c>
      <c r="C25769" t="s">
        <v>445</v>
      </c>
      <c r="D25769" t="s">
        <v>823</v>
      </c>
      <c r="J25769">
        <v>8</v>
      </c>
    </row>
    <row r="25770" spans="1:10" x14ac:dyDescent="0.25">
      <c r="A25770" t="s">
        <v>284</v>
      </c>
      <c r="B25770" s="1" t="str">
        <f>HYPERLINK("http://elakevakuutus.fi","elakevakuutus.fi")</f>
        <v>elakevakuutus.fi</v>
      </c>
      <c r="C25770" t="s">
        <v>445</v>
      </c>
      <c r="D25770" t="s">
        <v>823</v>
      </c>
      <c r="J25770">
        <v>8</v>
      </c>
    </row>
    <row r="25771" spans="1:10" x14ac:dyDescent="0.25">
      <c r="A25771" t="s">
        <v>284</v>
      </c>
      <c r="B25771" s="1" t="str">
        <f>HYPERLINK("http://elakevertaus.fi","elakevertaus.fi")</f>
        <v>elakevertaus.fi</v>
      </c>
      <c r="C25771" t="s">
        <v>445</v>
      </c>
      <c r="D25771" t="s">
        <v>823</v>
      </c>
      <c r="J25771">
        <v>8</v>
      </c>
    </row>
    <row r="25772" spans="1:10" x14ac:dyDescent="0.25">
      <c r="A25772" t="s">
        <v>284</v>
      </c>
      <c r="B25772" s="1" t="str">
        <f>HYPERLINK("http://elamasi.fi","elamasi.fi")</f>
        <v>elamasi.fi</v>
      </c>
      <c r="C25772" t="s">
        <v>445</v>
      </c>
      <c r="D25772" t="s">
        <v>823</v>
      </c>
      <c r="J25772">
        <v>8</v>
      </c>
    </row>
    <row r="25773" spans="1:10" x14ac:dyDescent="0.25">
      <c r="A25773" t="s">
        <v>284</v>
      </c>
      <c r="B25773" s="1" t="str">
        <f>HYPERLINK("http://elkelaskuri.fi","elkelaskuri.fi")</f>
        <v>elkelaskuri.fi</v>
      </c>
      <c r="C25773" t="s">
        <v>445</v>
      </c>
      <c r="D25773" t="s">
        <v>823</v>
      </c>
      <c r="J25773">
        <v>8</v>
      </c>
    </row>
    <row r="25774" spans="1:10" x14ac:dyDescent="0.25">
      <c r="A25774" t="s">
        <v>284</v>
      </c>
      <c r="B25774" s="1" t="str">
        <f>HYPERLINK("http://elkesstminen.fi","elkesstminen.fi")</f>
        <v>elkesstminen.fi</v>
      </c>
      <c r="C25774" t="s">
        <v>445</v>
      </c>
      <c r="D25774" t="s">
        <v>823</v>
      </c>
      <c r="J25774">
        <v>8</v>
      </c>
    </row>
    <row r="25775" spans="1:10" x14ac:dyDescent="0.25">
      <c r="A25775" t="s">
        <v>284</v>
      </c>
      <c r="B25775" s="1" t="str">
        <f>HYPERLINK("http://elkesstt.fi","elkesstt.fi")</f>
        <v>elkesstt.fi</v>
      </c>
      <c r="C25775" t="s">
        <v>445</v>
      </c>
      <c r="D25775" t="s">
        <v>823</v>
      </c>
      <c r="J25775">
        <v>8</v>
      </c>
    </row>
    <row r="25776" spans="1:10" x14ac:dyDescent="0.25">
      <c r="A25776" t="s">
        <v>284</v>
      </c>
      <c r="B25776" s="1" t="str">
        <f>HYPERLINK("http://elkesstvertaus.fi","elkesstvertaus.fi")</f>
        <v>elkesstvertaus.fi</v>
      </c>
      <c r="C25776" t="s">
        <v>445</v>
      </c>
      <c r="D25776" t="s">
        <v>823</v>
      </c>
      <c r="J25776">
        <v>8</v>
      </c>
    </row>
    <row r="25777" spans="1:10" x14ac:dyDescent="0.25">
      <c r="A25777" t="s">
        <v>284</v>
      </c>
      <c r="B25777" s="1" t="str">
        <f>HYPERLINK("http://elkesuunnitelma.fi","elkesuunnitelma.fi")</f>
        <v>elkesuunnitelma.fi</v>
      </c>
      <c r="C25777" t="s">
        <v>445</v>
      </c>
      <c r="D25777" t="s">
        <v>823</v>
      </c>
      <c r="J25777">
        <v>8</v>
      </c>
    </row>
    <row r="25778" spans="1:10" x14ac:dyDescent="0.25">
      <c r="A25778" t="s">
        <v>284</v>
      </c>
      <c r="B25778" s="1" t="str">
        <f>HYPERLINK("http://elkevakuutus.fi","elkevakuutus.fi")</f>
        <v>elkevakuutus.fi</v>
      </c>
      <c r="C25778" t="s">
        <v>445</v>
      </c>
      <c r="D25778" t="s">
        <v>823</v>
      </c>
      <c r="J25778">
        <v>8</v>
      </c>
    </row>
    <row r="25779" spans="1:10" x14ac:dyDescent="0.25">
      <c r="A25779" t="s">
        <v>284</v>
      </c>
      <c r="B25779" s="1" t="str">
        <f>HYPERLINK("http://elkevertaus.fi","elkevertaus.fi")</f>
        <v>elkevertaus.fi</v>
      </c>
      <c r="C25779" t="s">
        <v>445</v>
      </c>
      <c r="D25779" t="s">
        <v>823</v>
      </c>
      <c r="J25779">
        <v>8</v>
      </c>
    </row>
    <row r="25780" spans="1:10" x14ac:dyDescent="0.25">
      <c r="A25780" t="s">
        <v>284</v>
      </c>
      <c r="B25780" s="1" t="str">
        <f>HYPERLINK("http://elmsi.fi","elmsi.fi")</f>
        <v>elmsi.fi</v>
      </c>
      <c r="C25780" t="s">
        <v>445</v>
      </c>
      <c r="D25780" t="s">
        <v>823</v>
      </c>
      <c r="J25780">
        <v>8</v>
      </c>
    </row>
    <row r="25781" spans="1:10" x14ac:dyDescent="0.25">
      <c r="A25781" t="s">
        <v>284</v>
      </c>
      <c r="B25781" s="1" t="str">
        <f>HYPERLINK("http://etupaketti.fi","etupaketti.fi")</f>
        <v>etupaketti.fi</v>
      </c>
      <c r="C25781" t="s">
        <v>445</v>
      </c>
      <c r="D25781" t="s">
        <v>823</v>
      </c>
      <c r="J25781">
        <v>8</v>
      </c>
    </row>
    <row r="25782" spans="1:10" x14ac:dyDescent="0.25">
      <c r="A25782" t="s">
        <v>284</v>
      </c>
      <c r="B25782" s="1" t="str">
        <f>HYPERLINK("http://everdaycard.fi","everdaycard.fi")</f>
        <v>everdaycard.fi</v>
      </c>
      <c r="C25782" t="s">
        <v>445</v>
      </c>
      <c r="D25782" t="s">
        <v>823</v>
      </c>
      <c r="J25782">
        <v>2</v>
      </c>
    </row>
    <row r="25783" spans="1:10" x14ac:dyDescent="0.25">
      <c r="A25783" t="s">
        <v>284</v>
      </c>
      <c r="B25783" s="1" t="str">
        <f>HYPERLINK("http://everydaycard.fi","everydaycard.fi")</f>
        <v>everydaycard.fi</v>
      </c>
      <c r="C25783" t="s">
        <v>445</v>
      </c>
      <c r="D25783" t="s">
        <v>823</v>
      </c>
      <c r="J25783">
        <v>2</v>
      </c>
    </row>
    <row r="25784" spans="1:10" x14ac:dyDescent="0.25">
      <c r="A25784" t="s">
        <v>284</v>
      </c>
      <c r="B25784" s="1" t="str">
        <f>HYPERLINK("http://ezy.fi","ezy.fi")</f>
        <v>ezy.fi</v>
      </c>
      <c r="C25784" t="s">
        <v>445</v>
      </c>
      <c r="D25784" t="s">
        <v>823</v>
      </c>
      <c r="J25784">
        <v>8</v>
      </c>
    </row>
    <row r="25785" spans="1:10" x14ac:dyDescent="0.25">
      <c r="A25785" t="s">
        <v>284</v>
      </c>
      <c r="B25785" s="1" t="str">
        <f>HYPERLINK("http://firstcard.fi","firstcard.fi")</f>
        <v>firstcard.fi</v>
      </c>
      <c r="C25785" t="s">
        <v>445</v>
      </c>
      <c r="D25785" t="s">
        <v>823</v>
      </c>
      <c r="F25785">
        <v>9.2342304088033797E-9</v>
      </c>
      <c r="G25785">
        <v>7664543</v>
      </c>
      <c r="H25785">
        <v>14072133</v>
      </c>
      <c r="I25785">
        <v>3157147</v>
      </c>
      <c r="J25785">
        <v>2</v>
      </c>
    </row>
    <row r="25786" spans="1:10" x14ac:dyDescent="0.25">
      <c r="A25786" t="s">
        <v>284</v>
      </c>
      <c r="B25786" s="1" t="str">
        <f>HYPERLINK("http://frskringssparande.fi","frskringssparande.fi")</f>
        <v>frskringssparande.fi</v>
      </c>
      <c r="C25786" t="s">
        <v>445</v>
      </c>
      <c r="D25786" t="s">
        <v>823</v>
      </c>
      <c r="J25786">
        <v>8</v>
      </c>
    </row>
    <row r="25787" spans="1:10" x14ac:dyDescent="0.25">
      <c r="A25787" t="s">
        <v>284</v>
      </c>
      <c r="B25787" s="1" t="str">
        <f>HYPERLINK("http://gordetmojligt.fi","gordetmojligt.fi")</f>
        <v>gordetmojligt.fi</v>
      </c>
      <c r="C25787" t="s">
        <v>445</v>
      </c>
      <c r="D25787" t="s">
        <v>823</v>
      </c>
      <c r="J25787">
        <v>2</v>
      </c>
    </row>
    <row r="25788" spans="1:10" x14ac:dyDescent="0.25">
      <c r="A25788" t="s">
        <v>284</v>
      </c>
      <c r="B25788" s="1" t="str">
        <f>HYPERLINK("http://hengessamukana.fi","hengessamukana.fi")</f>
        <v>hengessamukana.fi</v>
      </c>
      <c r="C25788" t="s">
        <v>445</v>
      </c>
      <c r="D25788" t="s">
        <v>823</v>
      </c>
      <c r="J25788">
        <v>8</v>
      </c>
    </row>
    <row r="25789" spans="1:10" x14ac:dyDescent="0.25">
      <c r="A25789" t="s">
        <v>284</v>
      </c>
      <c r="B25789" s="1" t="str">
        <f>HYPERLINK("http://henki-sampo.fi","henki-sampo.fi")</f>
        <v>henki-sampo.fi</v>
      </c>
      <c r="C25789" t="s">
        <v>445</v>
      </c>
      <c r="D25789" t="s">
        <v>823</v>
      </c>
      <c r="J25789">
        <v>9</v>
      </c>
    </row>
    <row r="25790" spans="1:10" x14ac:dyDescent="0.25">
      <c r="A25790" t="s">
        <v>284</v>
      </c>
      <c r="B25790" s="1" t="str">
        <f>HYPERLINK("http://henkilostorahasto.fi","henkilostorahasto.fi")</f>
        <v>henkilostorahasto.fi</v>
      </c>
      <c r="C25790" t="s">
        <v>445</v>
      </c>
      <c r="D25790" t="s">
        <v>823</v>
      </c>
      <c r="J25790">
        <v>8</v>
      </c>
    </row>
    <row r="25791" spans="1:10" x14ac:dyDescent="0.25">
      <c r="A25791" t="s">
        <v>284</v>
      </c>
      <c r="B25791" s="1" t="str">
        <f>HYPERLINK("http://henkilostotori.fi","henkilostotori.fi")</f>
        <v>henkilostotori.fi</v>
      </c>
      <c r="C25791" t="s">
        <v>445</v>
      </c>
      <c r="D25791" t="s">
        <v>823</v>
      </c>
      <c r="J25791">
        <v>8</v>
      </c>
    </row>
    <row r="25792" spans="1:10" x14ac:dyDescent="0.25">
      <c r="A25792" t="s">
        <v>284</v>
      </c>
      <c r="B25792" s="1" t="str">
        <f>HYPERLINK("http://henkilstrahasto.fi","henkilstrahasto.fi")</f>
        <v>henkilstrahasto.fi</v>
      </c>
      <c r="C25792" t="s">
        <v>445</v>
      </c>
      <c r="D25792" t="s">
        <v>823</v>
      </c>
      <c r="J25792">
        <v>8</v>
      </c>
    </row>
    <row r="25793" spans="1:10" x14ac:dyDescent="0.25">
      <c r="A25793" t="s">
        <v>284</v>
      </c>
      <c r="B25793" s="1" t="str">
        <f>HYPERLINK("http://henkilsttori.fi","henkilsttori.fi")</f>
        <v>henkilsttori.fi</v>
      </c>
      <c r="C25793" t="s">
        <v>445</v>
      </c>
      <c r="D25793" t="s">
        <v>823</v>
      </c>
      <c r="J25793">
        <v>8</v>
      </c>
    </row>
    <row r="25794" spans="1:10" x14ac:dyDescent="0.25">
      <c r="A25794" t="s">
        <v>284</v>
      </c>
      <c r="B25794" s="1" t="str">
        <f>HYPERLINK("http://henkisampo.fi","henkisampo.fi")</f>
        <v>henkisampo.fi</v>
      </c>
      <c r="C25794" t="s">
        <v>445</v>
      </c>
      <c r="D25794" t="s">
        <v>823</v>
      </c>
      <c r="J25794">
        <v>9</v>
      </c>
    </row>
    <row r="25795" spans="1:10" x14ac:dyDescent="0.25">
      <c r="A25795" t="s">
        <v>284</v>
      </c>
      <c r="B25795" s="1" t="str">
        <f>HYPERLINK("http://huippukasko.fi","huippukasko.fi")</f>
        <v>huippukasko.fi</v>
      </c>
      <c r="C25795" t="s">
        <v>445</v>
      </c>
      <c r="D25795" t="s">
        <v>823</v>
      </c>
      <c r="J25795">
        <v>12</v>
      </c>
    </row>
    <row r="25796" spans="1:10" x14ac:dyDescent="0.25">
      <c r="A25796" t="s">
        <v>284</v>
      </c>
      <c r="B25796" s="1" t="str">
        <f>HYPERLINK("http://if.fi","if.fi")</f>
        <v>if.fi</v>
      </c>
      <c r="C25796" t="s">
        <v>445</v>
      </c>
      <c r="D25796" t="s">
        <v>823</v>
      </c>
      <c r="E25796">
        <v>70506</v>
      </c>
      <c r="F25796">
        <v>2.81578091647119E-7</v>
      </c>
      <c r="G25796">
        <v>132058</v>
      </c>
      <c r="H25796">
        <v>14570201</v>
      </c>
      <c r="I25796">
        <v>735596</v>
      </c>
      <c r="J25796">
        <v>8</v>
      </c>
    </row>
    <row r="25797" spans="1:10" x14ac:dyDescent="0.25">
      <c r="A25797" t="s">
        <v>284</v>
      </c>
      <c r="B25797" s="1" t="str">
        <f>HYPERLINK("http://if-foretag.fi","if-foretag.fi")</f>
        <v>if-foretag.fi</v>
      </c>
      <c r="C25797" t="s">
        <v>445</v>
      </c>
      <c r="D25797" t="s">
        <v>823</v>
      </c>
      <c r="J25797">
        <v>10</v>
      </c>
    </row>
    <row r="25798" spans="1:10" x14ac:dyDescent="0.25">
      <c r="A25798" t="s">
        <v>284</v>
      </c>
      <c r="B25798" s="1" t="str">
        <f>HYPERLINK("http://if-turvallisuusedut.fi","if-turvallisuusedut.fi")</f>
        <v>if-turvallisuusedut.fi</v>
      </c>
      <c r="C25798" t="s">
        <v>445</v>
      </c>
      <c r="D25798" t="s">
        <v>823</v>
      </c>
      <c r="J25798">
        <v>10</v>
      </c>
    </row>
    <row r="25799" spans="1:10" x14ac:dyDescent="0.25">
      <c r="A25799" t="s">
        <v>284</v>
      </c>
      <c r="B25799" s="1" t="str">
        <f>HYPERLINK("http://if-yritys.fi","if-yritys.fi")</f>
        <v>if-yritys.fi</v>
      </c>
      <c r="C25799" t="s">
        <v>445</v>
      </c>
      <c r="D25799" t="s">
        <v>823</v>
      </c>
      <c r="J25799">
        <v>10</v>
      </c>
    </row>
    <row r="25800" spans="1:10" x14ac:dyDescent="0.25">
      <c r="A25800" t="s">
        <v>284</v>
      </c>
      <c r="B25800" s="1" t="str">
        <f>HYPERLINK("http://ifkampanjat.fi","ifkampanjat.fi")</f>
        <v>ifkampanjat.fi</v>
      </c>
      <c r="C25800" t="s">
        <v>445</v>
      </c>
      <c r="D25800" t="s">
        <v>823</v>
      </c>
      <c r="F25800">
        <v>7.0507230990737901E-9</v>
      </c>
      <c r="G25800">
        <v>12163424</v>
      </c>
      <c r="H25800">
        <v>11014673</v>
      </c>
      <c r="I25800">
        <v>33337831</v>
      </c>
      <c r="J25800">
        <v>12</v>
      </c>
    </row>
    <row r="25801" spans="1:10" x14ac:dyDescent="0.25">
      <c r="A25801" t="s">
        <v>284</v>
      </c>
      <c r="B25801" s="1" t="str">
        <f>HYPERLINK("http://ifservices.fi","ifservices.fi")</f>
        <v>ifservices.fi</v>
      </c>
      <c r="C25801" t="s">
        <v>445</v>
      </c>
      <c r="D25801" t="s">
        <v>823</v>
      </c>
      <c r="J25801">
        <v>8</v>
      </c>
    </row>
    <row r="25802" spans="1:10" x14ac:dyDescent="0.25">
      <c r="A25802" t="s">
        <v>284</v>
      </c>
      <c r="B25802" s="1" t="str">
        <f>HYPERLINK("http://ifskadeforsakringsbolag.fi","ifskadeforsakringsbolag.fi")</f>
        <v>ifskadeforsakringsbolag.fi</v>
      </c>
      <c r="C25802" t="s">
        <v>445</v>
      </c>
      <c r="D25802" t="s">
        <v>823</v>
      </c>
      <c r="J25802">
        <v>10</v>
      </c>
    </row>
    <row r="25803" spans="1:10" x14ac:dyDescent="0.25">
      <c r="A25803" t="s">
        <v>284</v>
      </c>
      <c r="B25803" s="1" t="str">
        <f>HYPERLINK("http://ifvahinkovakuutusyhtio.fi","ifvahinkovakuutusyhtio.fi")</f>
        <v>ifvahinkovakuutusyhtio.fi</v>
      </c>
      <c r="C25803" t="s">
        <v>445</v>
      </c>
      <c r="D25803" t="s">
        <v>823</v>
      </c>
      <c r="J25803">
        <v>10</v>
      </c>
    </row>
    <row r="25804" spans="1:10" x14ac:dyDescent="0.25">
      <c r="A25804" t="s">
        <v>284</v>
      </c>
      <c r="B25804" s="1" t="str">
        <f>HYPERLINK("http://ifvakuutus.fi","ifvakuutus.fi")</f>
        <v>ifvakuutus.fi</v>
      </c>
      <c r="C25804" t="s">
        <v>445</v>
      </c>
      <c r="D25804" t="s">
        <v>823</v>
      </c>
      <c r="F25804">
        <v>5.2333376607860701E-9</v>
      </c>
      <c r="G25804">
        <v>24520853</v>
      </c>
      <c r="H25804">
        <v>14071791</v>
      </c>
      <c r="I25804">
        <v>3443334</v>
      </c>
      <c r="J25804">
        <v>12</v>
      </c>
    </row>
    <row r="25805" spans="1:10" x14ac:dyDescent="0.25">
      <c r="A25805" t="s">
        <v>284</v>
      </c>
      <c r="B25805" s="1" t="str">
        <f>HYPERLINK("http://ifyou.fi","ifyou.fi")</f>
        <v>ifyou.fi</v>
      </c>
      <c r="C25805" t="s">
        <v>445</v>
      </c>
      <c r="D25805" t="s">
        <v>823</v>
      </c>
      <c r="J25805">
        <v>10</v>
      </c>
    </row>
    <row r="25806" spans="1:10" x14ac:dyDescent="0.25">
      <c r="A25806" t="s">
        <v>284</v>
      </c>
      <c r="B25806" s="1" t="str">
        <f>HYPERLINK("http://innova.fi","innova.fi")</f>
        <v>innova.fi</v>
      </c>
      <c r="C25806" t="s">
        <v>445</v>
      </c>
      <c r="D25806" t="s">
        <v>823</v>
      </c>
      <c r="F25806">
        <v>4.81654666465407E-9</v>
      </c>
      <c r="G25806">
        <v>35396634</v>
      </c>
      <c r="H25806">
        <v>12046221</v>
      </c>
      <c r="I25806">
        <v>27340921</v>
      </c>
      <c r="J25806">
        <v>8</v>
      </c>
    </row>
    <row r="25807" spans="1:10" x14ac:dyDescent="0.25">
      <c r="A25807" t="s">
        <v>284</v>
      </c>
      <c r="B25807" s="1" t="str">
        <f>HYPERLINK("http://innovahr.fi","innovahr.fi")</f>
        <v>innovahr.fi</v>
      </c>
      <c r="C25807" t="s">
        <v>445</v>
      </c>
      <c r="D25807" t="s">
        <v>823</v>
      </c>
      <c r="J25807">
        <v>8</v>
      </c>
    </row>
    <row r="25808" spans="1:10" x14ac:dyDescent="0.25">
      <c r="A25808" t="s">
        <v>284</v>
      </c>
      <c r="B25808" s="1" t="str">
        <f>HYPERLINK("http://innovaoy.fi","innovaoy.fi")</f>
        <v>innovaoy.fi</v>
      </c>
      <c r="C25808" t="s">
        <v>445</v>
      </c>
      <c r="D25808" t="s">
        <v>823</v>
      </c>
      <c r="J25808">
        <v>8</v>
      </c>
    </row>
    <row r="25809" spans="1:10" x14ac:dyDescent="0.25">
      <c r="A25809" t="s">
        <v>284</v>
      </c>
      <c r="B25809" s="1" t="str">
        <f>HYPERLINK("http://jalmar.fi","jalmar.fi")</f>
        <v>jalmar.fi</v>
      </c>
      <c r="C25809" t="s">
        <v>445</v>
      </c>
      <c r="D25809" t="s">
        <v>823</v>
      </c>
      <c r="J25809">
        <v>2</v>
      </c>
    </row>
    <row r="25810" spans="1:10" x14ac:dyDescent="0.25">
      <c r="A25810" t="s">
        <v>284</v>
      </c>
      <c r="B25810" s="1" t="str">
        <f>HYPERLINK("http://kaukoviisaat.fi","kaukoviisaat.fi")</f>
        <v>kaukoviisaat.fi</v>
      </c>
      <c r="C25810" t="s">
        <v>445</v>
      </c>
      <c r="D25810" t="s">
        <v>823</v>
      </c>
      <c r="J25810">
        <v>8</v>
      </c>
    </row>
    <row r="25811" spans="1:10" x14ac:dyDescent="0.25">
      <c r="A25811" t="s">
        <v>284</v>
      </c>
      <c r="B25811" s="1" t="str">
        <f>HYPERLINK("http://kop.fi","kop.fi")</f>
        <v>kop.fi</v>
      </c>
      <c r="C25811" t="s">
        <v>445</v>
      </c>
      <c r="D25811" t="s">
        <v>823</v>
      </c>
      <c r="J25811">
        <v>2</v>
      </c>
    </row>
    <row r="25812" spans="1:10" x14ac:dyDescent="0.25">
      <c r="A25812" t="s">
        <v>284</v>
      </c>
      <c r="B25812" s="1" t="str">
        <f>HYPERLINK("http://korv.fi","korv.fi")</f>
        <v>korv.fi</v>
      </c>
      <c r="C25812" t="s">
        <v>445</v>
      </c>
      <c r="D25812" t="s">
        <v>823</v>
      </c>
      <c r="F25812">
        <v>4.4438726167275002E-9</v>
      </c>
      <c r="G25812">
        <v>78160178</v>
      </c>
      <c r="H25812">
        <v>10607333</v>
      </c>
      <c r="I25812">
        <v>44642742</v>
      </c>
      <c r="J25812">
        <v>10</v>
      </c>
    </row>
    <row r="25813" spans="1:10" x14ac:dyDescent="0.25">
      <c r="A25813" t="s">
        <v>284</v>
      </c>
      <c r="B25813" s="1" t="str">
        <f>HYPERLINK("http://korvit.fi","korvit.fi")</f>
        <v>korvit.fi</v>
      </c>
      <c r="C25813" t="s">
        <v>445</v>
      </c>
      <c r="D25813" t="s">
        <v>823</v>
      </c>
      <c r="J25813">
        <v>10</v>
      </c>
    </row>
    <row r="25814" spans="1:10" x14ac:dyDescent="0.25">
      <c r="A25814" t="s">
        <v>284</v>
      </c>
      <c r="B25814" s="1" t="str">
        <f>HYPERLINK("http://lapasorsa.fi","lapasorsa.fi")</f>
        <v>lapasorsa.fi</v>
      </c>
      <c r="C25814" t="s">
        <v>445</v>
      </c>
      <c r="D25814" t="s">
        <v>823</v>
      </c>
      <c r="J25814">
        <v>8</v>
      </c>
    </row>
    <row r="25815" spans="1:10" x14ac:dyDescent="0.25">
      <c r="A25815" t="s">
        <v>284</v>
      </c>
      <c r="B25815" s="1" t="str">
        <f>HYPERLINK("http://leonia.fi","leonia.fi")</f>
        <v>leonia.fi</v>
      </c>
      <c r="C25815" t="s">
        <v>445</v>
      </c>
      <c r="D25815" t="s">
        <v>823</v>
      </c>
      <c r="F25815">
        <v>5.24115441382741E-9</v>
      </c>
      <c r="G25815">
        <v>24395560</v>
      </c>
      <c r="H25815">
        <v>10594684</v>
      </c>
      <c r="I25815">
        <v>45271374</v>
      </c>
      <c r="J25815">
        <v>9</v>
      </c>
    </row>
    <row r="25816" spans="1:10" x14ac:dyDescent="0.25">
      <c r="A25816" t="s">
        <v>284</v>
      </c>
      <c r="B25816" s="1" t="str">
        <f>HYPERLINK("http://lifejournal.fi","lifejournal.fi")</f>
        <v>lifejournal.fi</v>
      </c>
      <c r="C25816" t="s">
        <v>445</v>
      </c>
      <c r="D25816" t="s">
        <v>823</v>
      </c>
      <c r="J25816">
        <v>8</v>
      </c>
    </row>
    <row r="25817" spans="1:10" x14ac:dyDescent="0.25">
      <c r="A25817" t="s">
        <v>284</v>
      </c>
      <c r="B25817" s="1" t="str">
        <f>HYPERLINK("http://liselke.fi","liselke.fi")</f>
        <v>liselke.fi</v>
      </c>
      <c r="C25817" t="s">
        <v>445</v>
      </c>
      <c r="D25817" t="s">
        <v>823</v>
      </c>
      <c r="J25817">
        <v>8</v>
      </c>
    </row>
    <row r="25818" spans="1:10" x14ac:dyDescent="0.25">
      <c r="A25818" t="s">
        <v>284</v>
      </c>
      <c r="B25818" s="1" t="str">
        <f>HYPERLINK("http://livfrskring.fi","livfrskring.fi")</f>
        <v>livfrskring.fi</v>
      </c>
      <c r="C25818" t="s">
        <v>445</v>
      </c>
      <c r="D25818" t="s">
        <v>823</v>
      </c>
      <c r="J25818">
        <v>8</v>
      </c>
    </row>
    <row r="25819" spans="1:10" x14ac:dyDescent="0.25">
      <c r="A25819" t="s">
        <v>284</v>
      </c>
      <c r="B25819" s="1" t="str">
        <f>HYPERLINK("http://makingitpossible.fi","makingitpossible.fi")</f>
        <v>makingitpossible.fi</v>
      </c>
      <c r="C25819" t="s">
        <v>445</v>
      </c>
      <c r="D25819" t="s">
        <v>823</v>
      </c>
      <c r="J25819">
        <v>2</v>
      </c>
    </row>
    <row r="25820" spans="1:10" x14ac:dyDescent="0.25">
      <c r="A25820" t="s">
        <v>284</v>
      </c>
      <c r="B25820" s="1" t="str">
        <f>HYPERLINK("http://mandatum.fi","mandatum.fi")</f>
        <v>mandatum.fi</v>
      </c>
      <c r="C25820" t="s">
        <v>445</v>
      </c>
      <c r="D25820" t="s">
        <v>823</v>
      </c>
      <c r="F25820">
        <v>1.1858167350824E-8</v>
      </c>
      <c r="G25820">
        <v>5265356</v>
      </c>
      <c r="H25820">
        <v>12297910</v>
      </c>
      <c r="I25820">
        <v>20889159</v>
      </c>
      <c r="J25820">
        <v>9</v>
      </c>
    </row>
    <row r="25821" spans="1:10" x14ac:dyDescent="0.25">
      <c r="A25821" t="s">
        <v>284</v>
      </c>
      <c r="B25821" s="1" t="str">
        <f>HYPERLINK("http://mandatumam.fi","mandatumam.fi")</f>
        <v>mandatumam.fi</v>
      </c>
      <c r="C25821" t="s">
        <v>445</v>
      </c>
      <c r="D25821" t="s">
        <v>823</v>
      </c>
      <c r="J25821">
        <v>8</v>
      </c>
    </row>
    <row r="25822" spans="1:10" x14ac:dyDescent="0.25">
      <c r="A25822" t="s">
        <v>284</v>
      </c>
      <c r="B25822" s="1" t="str">
        <f>HYPERLINK("http://mandatumassetmanagement.fi","mandatumassetmanagement.fi")</f>
        <v>mandatumassetmanagement.fi</v>
      </c>
      <c r="C25822" t="s">
        <v>445</v>
      </c>
      <c r="D25822" t="s">
        <v>823</v>
      </c>
      <c r="J25822">
        <v>8</v>
      </c>
    </row>
    <row r="25823" spans="1:10" x14ac:dyDescent="0.25">
      <c r="A25823" t="s">
        <v>284</v>
      </c>
      <c r="B25823" s="1" t="str">
        <f>HYPERLINK("http://mandatumcenter.fi","mandatumcenter.fi")</f>
        <v>mandatumcenter.fi</v>
      </c>
      <c r="C25823" t="s">
        <v>445</v>
      </c>
      <c r="D25823" t="s">
        <v>823</v>
      </c>
      <c r="F25823">
        <v>4.8764270956926702E-9</v>
      </c>
      <c r="G25823">
        <v>33195631</v>
      </c>
      <c r="H25823">
        <v>9573855</v>
      </c>
      <c r="I25823">
        <v>64690141</v>
      </c>
      <c r="J25823">
        <v>8</v>
      </c>
    </row>
    <row r="25824" spans="1:10" x14ac:dyDescent="0.25">
      <c r="A25824" t="s">
        <v>284</v>
      </c>
      <c r="B25824" s="1" t="str">
        <f>HYPERLINK("http://mandatumfirst.fi","mandatumfirst.fi")</f>
        <v>mandatumfirst.fi</v>
      </c>
      <c r="C25824" t="s">
        <v>445</v>
      </c>
      <c r="D25824" t="s">
        <v>823</v>
      </c>
      <c r="J25824">
        <v>8</v>
      </c>
    </row>
    <row r="25825" spans="1:10" x14ac:dyDescent="0.25">
      <c r="A25825" t="s">
        <v>284</v>
      </c>
      <c r="B25825" s="1" t="str">
        <f>HYPERLINK("http://mandatumfonder.fi","mandatumfonder.fi")</f>
        <v>mandatumfonder.fi</v>
      </c>
      <c r="C25825" t="s">
        <v>445</v>
      </c>
      <c r="D25825" t="s">
        <v>823</v>
      </c>
      <c r="J25825">
        <v>8</v>
      </c>
    </row>
    <row r="25826" spans="1:10" x14ac:dyDescent="0.25">
      <c r="A25826" t="s">
        <v>284</v>
      </c>
      <c r="B25826" s="1" t="str">
        <f>HYPERLINK("http://mandatumfunds.fi","mandatumfunds.fi")</f>
        <v>mandatumfunds.fi</v>
      </c>
      <c r="C25826" t="s">
        <v>445</v>
      </c>
      <c r="D25826" t="s">
        <v>823</v>
      </c>
      <c r="J25826">
        <v>8</v>
      </c>
    </row>
    <row r="25827" spans="1:10" x14ac:dyDescent="0.25">
      <c r="A25827" t="s">
        <v>284</v>
      </c>
      <c r="B25827" s="1" t="str">
        <f>HYPERLINK("http://mandatumkapitalforvaltning.fi","mandatumkapitalforvaltning.fi")</f>
        <v>mandatumkapitalforvaltning.fi</v>
      </c>
      <c r="C25827" t="s">
        <v>445</v>
      </c>
      <c r="D25827" t="s">
        <v>823</v>
      </c>
      <c r="J25827">
        <v>8</v>
      </c>
    </row>
    <row r="25828" spans="1:10" x14ac:dyDescent="0.25">
      <c r="A25828" t="s">
        <v>284</v>
      </c>
      <c r="B25828" s="1" t="str">
        <f>HYPERLINK("http://mandatumlife.fi","mandatumlife.fi")</f>
        <v>mandatumlife.fi</v>
      </c>
      <c r="C25828" t="s">
        <v>445</v>
      </c>
      <c r="D25828" t="s">
        <v>823</v>
      </c>
      <c r="F25828">
        <v>9.9095525897614301E-8</v>
      </c>
      <c r="G25828">
        <v>406509</v>
      </c>
      <c r="H25828">
        <v>17027076</v>
      </c>
      <c r="I25828">
        <v>85682</v>
      </c>
      <c r="J25828">
        <v>7</v>
      </c>
    </row>
    <row r="25829" spans="1:10" x14ac:dyDescent="0.25">
      <c r="A25829" t="s">
        <v>284</v>
      </c>
      <c r="B25829" s="1" t="str">
        <f>HYPERLINK("http://mandatumlifejournal.fi","mandatumlifejournal.fi")</f>
        <v>mandatumlifejournal.fi</v>
      </c>
      <c r="C25829" t="s">
        <v>445</v>
      </c>
      <c r="D25829" t="s">
        <v>823</v>
      </c>
      <c r="J25829">
        <v>8</v>
      </c>
    </row>
    <row r="25830" spans="1:10" x14ac:dyDescent="0.25">
      <c r="A25830" t="s">
        <v>284</v>
      </c>
      <c r="B25830" s="1" t="str">
        <f>HYPERLINK("http://mandatumlifetrader.fi","mandatumlifetrader.fi")</f>
        <v>mandatumlifetrader.fi</v>
      </c>
      <c r="C25830" t="s">
        <v>445</v>
      </c>
      <c r="D25830" t="s">
        <v>823</v>
      </c>
      <c r="J25830">
        <v>8</v>
      </c>
    </row>
    <row r="25831" spans="1:10" x14ac:dyDescent="0.25">
      <c r="A25831" t="s">
        <v>284</v>
      </c>
      <c r="B25831" s="1" t="str">
        <f>HYPERLINK("http://mandatumlite.fi","mandatumlite.fi")</f>
        <v>mandatumlite.fi</v>
      </c>
      <c r="C25831" t="s">
        <v>445</v>
      </c>
      <c r="D25831" t="s">
        <v>823</v>
      </c>
      <c r="J25831">
        <v>8</v>
      </c>
    </row>
    <row r="25832" spans="1:10" x14ac:dyDescent="0.25">
      <c r="A25832" t="s">
        <v>284</v>
      </c>
      <c r="B25832" s="1" t="str">
        <f>HYPERLINK("http://mandatumomaisuudenhoito.fi","mandatumomaisuudenhoito.fi")</f>
        <v>mandatumomaisuudenhoito.fi</v>
      </c>
      <c r="C25832" t="s">
        <v>445</v>
      </c>
      <c r="D25832" t="s">
        <v>823</v>
      </c>
      <c r="J25832">
        <v>8</v>
      </c>
    </row>
    <row r="25833" spans="1:10" x14ac:dyDescent="0.25">
      <c r="A25833" t="s">
        <v>284</v>
      </c>
      <c r="B25833" s="1" t="str">
        <f>HYPERLINK("http://mandatumpankkiiriliike.fi","mandatumpankkiiriliike.fi")</f>
        <v>mandatumpankkiiriliike.fi</v>
      </c>
      <c r="C25833" t="s">
        <v>445</v>
      </c>
      <c r="D25833" t="s">
        <v>823</v>
      </c>
      <c r="J25833">
        <v>8</v>
      </c>
    </row>
    <row r="25834" spans="1:10" x14ac:dyDescent="0.25">
      <c r="A25834" t="s">
        <v>284</v>
      </c>
      <c r="B25834" s="1" t="str">
        <f>HYPERLINK("http://mandatumrahastot.fi","mandatumrahastot.fi")</f>
        <v>mandatumrahastot.fi</v>
      </c>
      <c r="C25834" t="s">
        <v>445</v>
      </c>
      <c r="D25834" t="s">
        <v>823</v>
      </c>
      <c r="J25834">
        <v>8</v>
      </c>
    </row>
    <row r="25835" spans="1:10" x14ac:dyDescent="0.25">
      <c r="A25835" t="s">
        <v>284</v>
      </c>
      <c r="B25835" s="1" t="str">
        <f>HYPERLINK("http://mandatumresearchdatabase.fi","mandatumresearchdatabase.fi")</f>
        <v>mandatumresearchdatabase.fi</v>
      </c>
      <c r="C25835" t="s">
        <v>445</v>
      </c>
      <c r="D25835" t="s">
        <v>823</v>
      </c>
      <c r="J25835">
        <v>8</v>
      </c>
    </row>
    <row r="25836" spans="1:10" x14ac:dyDescent="0.25">
      <c r="A25836" t="s">
        <v>284</v>
      </c>
      <c r="B25836" s="1" t="str">
        <f>HYPERLINK("http://mandatumsalkku.fi","mandatumsalkku.fi")</f>
        <v>mandatumsalkku.fi</v>
      </c>
      <c r="C25836" t="s">
        <v>445</v>
      </c>
      <c r="D25836" t="s">
        <v>823</v>
      </c>
      <c r="J25836">
        <v>8</v>
      </c>
    </row>
    <row r="25837" spans="1:10" x14ac:dyDescent="0.25">
      <c r="A25837" t="s">
        <v>284</v>
      </c>
      <c r="B25837" s="1" t="str">
        <f>HYPERLINK("http://mandatumsecurities.fi","mandatumsecurities.fi")</f>
        <v>mandatumsecurities.fi</v>
      </c>
      <c r="C25837" t="s">
        <v>445</v>
      </c>
      <c r="D25837" t="s">
        <v>823</v>
      </c>
      <c r="J25837">
        <v>8</v>
      </c>
    </row>
    <row r="25838" spans="1:10" x14ac:dyDescent="0.25">
      <c r="A25838" t="s">
        <v>284</v>
      </c>
      <c r="B25838" s="1" t="str">
        <f>HYPERLINK("http://mandatumservice.fi","mandatumservice.fi")</f>
        <v>mandatumservice.fi</v>
      </c>
      <c r="C25838" t="s">
        <v>445</v>
      </c>
      <c r="D25838" t="s">
        <v>823</v>
      </c>
      <c r="J25838">
        <v>8</v>
      </c>
    </row>
    <row r="25839" spans="1:10" x14ac:dyDescent="0.25">
      <c r="A25839" t="s">
        <v>284</v>
      </c>
      <c r="B25839" s="1" t="str">
        <f>HYPERLINK("http://mandatumstockbrokers.fi","mandatumstockbrokers.fi")</f>
        <v>mandatumstockbrokers.fi</v>
      </c>
      <c r="C25839" t="s">
        <v>445</v>
      </c>
      <c r="D25839" t="s">
        <v>823</v>
      </c>
      <c r="J25839">
        <v>8</v>
      </c>
    </row>
    <row r="25840" spans="1:10" x14ac:dyDescent="0.25">
      <c r="A25840" t="s">
        <v>284</v>
      </c>
      <c r="B25840" s="1" t="str">
        <f>HYPERLINK("http://mandatumtrade.fi","mandatumtrade.fi")</f>
        <v>mandatumtrade.fi</v>
      </c>
      <c r="C25840" t="s">
        <v>445</v>
      </c>
      <c r="D25840" t="s">
        <v>823</v>
      </c>
      <c r="J25840">
        <v>8</v>
      </c>
    </row>
    <row r="25841" spans="1:10" x14ac:dyDescent="0.25">
      <c r="A25841" t="s">
        <v>284</v>
      </c>
      <c r="B25841" s="1" t="str">
        <f>HYPERLINK("http://mandatumtrader.fi","mandatumtrader.fi")</f>
        <v>mandatumtrader.fi</v>
      </c>
      <c r="C25841" t="s">
        <v>445</v>
      </c>
      <c r="D25841" t="s">
        <v>823</v>
      </c>
      <c r="F25841">
        <v>2.02700062038272E-8</v>
      </c>
      <c r="G25841">
        <v>2618586</v>
      </c>
      <c r="H25841">
        <v>14074571</v>
      </c>
      <c r="I25841">
        <v>2938460</v>
      </c>
      <c r="J25841">
        <v>8</v>
      </c>
    </row>
    <row r="25842" spans="1:10" x14ac:dyDescent="0.25">
      <c r="A25842" t="s">
        <v>284</v>
      </c>
      <c r="B25842" s="1" t="str">
        <f>HYPERLINK("http://mandatumtrading.fi","mandatumtrading.fi")</f>
        <v>mandatumtrading.fi</v>
      </c>
      <c r="C25842" t="s">
        <v>445</v>
      </c>
      <c r="D25842" t="s">
        <v>823</v>
      </c>
      <c r="J25842">
        <v>8</v>
      </c>
    </row>
    <row r="25843" spans="1:10" x14ac:dyDescent="0.25">
      <c r="A25843" t="s">
        <v>284</v>
      </c>
      <c r="B25843" s="1" t="str">
        <f>HYPERLINK("http://merita.fi","merita.fi")</f>
        <v>merita.fi</v>
      </c>
      <c r="C25843" t="s">
        <v>445</v>
      </c>
      <c r="D25843" t="s">
        <v>823</v>
      </c>
      <c r="F25843">
        <v>6.88191469701083E-9</v>
      </c>
      <c r="G25843">
        <v>12690778</v>
      </c>
      <c r="H25843">
        <v>12790172</v>
      </c>
      <c r="I25843">
        <v>14687478</v>
      </c>
      <c r="J25843">
        <v>2</v>
      </c>
    </row>
    <row r="25844" spans="1:10" x14ac:dyDescent="0.25">
      <c r="A25844" t="s">
        <v>284</v>
      </c>
      <c r="B25844" s="1" t="str">
        <f>HYPERLINK("http://meritanordbanken.fi","meritanordbanken.fi")</f>
        <v>meritanordbanken.fi</v>
      </c>
      <c r="C25844" t="s">
        <v>445</v>
      </c>
      <c r="D25844" t="s">
        <v>823</v>
      </c>
      <c r="J25844">
        <v>2</v>
      </c>
    </row>
    <row r="25845" spans="1:10" x14ac:dyDescent="0.25">
      <c r="A25845" t="s">
        <v>284</v>
      </c>
      <c r="B25845" s="1" t="str">
        <f>HYPERLINK("http://meritarahoitus.fi","meritarahoitus.fi")</f>
        <v>meritarahoitus.fi</v>
      </c>
      <c r="C25845" t="s">
        <v>445</v>
      </c>
      <c r="D25845" t="s">
        <v>823</v>
      </c>
      <c r="J25845">
        <v>2</v>
      </c>
    </row>
    <row r="25846" spans="1:10" x14ac:dyDescent="0.25">
      <c r="A25846" t="s">
        <v>284</v>
      </c>
      <c r="B25846" s="1" t="str">
        <f>HYPERLINK("http://metroautovakuutus.fi","metroautovakuutus.fi")</f>
        <v>metroautovakuutus.fi</v>
      </c>
      <c r="C25846" t="s">
        <v>445</v>
      </c>
      <c r="D25846" t="s">
        <v>823</v>
      </c>
      <c r="J25846">
        <v>10</v>
      </c>
    </row>
    <row r="25847" spans="1:10" x14ac:dyDescent="0.25">
      <c r="A25847" t="s">
        <v>284</v>
      </c>
      <c r="B25847" s="1" t="str">
        <f>HYPERLINK("http://mlife.fi","mlife.fi")</f>
        <v>mlife.fi</v>
      </c>
      <c r="C25847" t="s">
        <v>445</v>
      </c>
      <c r="D25847" t="s">
        <v>823</v>
      </c>
      <c r="J25847">
        <v>8</v>
      </c>
    </row>
    <row r="25848" spans="1:10" x14ac:dyDescent="0.25">
      <c r="A25848" t="s">
        <v>284</v>
      </c>
      <c r="B25848" s="1" t="str">
        <f>HYPERLINK("http://mltrader.fi","mltrader.fi")</f>
        <v>mltrader.fi</v>
      </c>
      <c r="C25848" t="s">
        <v>445</v>
      </c>
      <c r="D25848" t="s">
        <v>823</v>
      </c>
      <c r="J25848">
        <v>8</v>
      </c>
    </row>
    <row r="25849" spans="1:10" x14ac:dyDescent="0.25">
      <c r="A25849" t="s">
        <v>284</v>
      </c>
      <c r="B25849" s="1" t="str">
        <f>HYPERLINK("http://nastahaaste.fi","nastahaaste.fi")</f>
        <v>nastahaaste.fi</v>
      </c>
      <c r="C25849" t="s">
        <v>445</v>
      </c>
      <c r="D25849" t="s">
        <v>823</v>
      </c>
      <c r="J25849">
        <v>8</v>
      </c>
    </row>
    <row r="25850" spans="1:10" x14ac:dyDescent="0.25">
      <c r="A25850" t="s">
        <v>284</v>
      </c>
      <c r="B25850" s="1" t="str">
        <f>HYPERLINK("http://nffleet.fi","nffleet.fi")</f>
        <v>nffleet.fi</v>
      </c>
      <c r="C25850" t="s">
        <v>445</v>
      </c>
      <c r="D25850" t="s">
        <v>823</v>
      </c>
      <c r="F25850">
        <v>1.0863349023733699E-8</v>
      </c>
      <c r="G25850">
        <v>5970520</v>
      </c>
      <c r="H25850">
        <v>12232433</v>
      </c>
      <c r="I25850">
        <v>22437731</v>
      </c>
      <c r="J25850">
        <v>2</v>
      </c>
    </row>
    <row r="25851" spans="1:10" x14ac:dyDescent="0.25">
      <c r="A25851" t="s">
        <v>284</v>
      </c>
      <c r="B25851" s="1" t="str">
        <f>HYPERLINK("http://nftechfleet.fi","nftechfleet.fi")</f>
        <v>nftechfleet.fi</v>
      </c>
      <c r="C25851" t="s">
        <v>445</v>
      </c>
      <c r="D25851" t="s">
        <v>823</v>
      </c>
      <c r="J25851">
        <v>2</v>
      </c>
    </row>
    <row r="25852" spans="1:10" x14ac:dyDescent="0.25">
      <c r="A25852" t="s">
        <v>284</v>
      </c>
      <c r="B25852" s="1" t="str">
        <f>HYPERLINK("http://nodea.fi","nodea.fi")</f>
        <v>nodea.fi</v>
      </c>
      <c r="C25852" t="s">
        <v>445</v>
      </c>
      <c r="D25852" t="s">
        <v>823</v>
      </c>
      <c r="J25852">
        <v>2</v>
      </c>
    </row>
    <row r="25853" spans="1:10" x14ac:dyDescent="0.25">
      <c r="A25853" t="s">
        <v>284</v>
      </c>
      <c r="B25853" s="1" t="str">
        <f>HYPERLINK("http://nordbanken.fi","nordbanken.fi")</f>
        <v>nordbanken.fi</v>
      </c>
      <c r="C25853" t="s">
        <v>445</v>
      </c>
      <c r="D25853" t="s">
        <v>823</v>
      </c>
      <c r="J25853">
        <v>2</v>
      </c>
    </row>
    <row r="25854" spans="1:10" x14ac:dyDescent="0.25">
      <c r="A25854" t="s">
        <v>284</v>
      </c>
      <c r="B25854" s="1" t="str">
        <f>HYPERLINK("http://nordea.fi","nordea.fi")</f>
        <v>nordea.fi</v>
      </c>
      <c r="C25854" t="s">
        <v>445</v>
      </c>
      <c r="D25854" t="s">
        <v>823</v>
      </c>
      <c r="E25854">
        <v>62608</v>
      </c>
      <c r="F25854">
        <v>6.2756975875278997E-7</v>
      </c>
      <c r="G25854">
        <v>61094</v>
      </c>
      <c r="H25854">
        <v>17135766</v>
      </c>
      <c r="I25854">
        <v>55329</v>
      </c>
      <c r="J25854">
        <v>1</v>
      </c>
    </row>
    <row r="25855" spans="1:10" x14ac:dyDescent="0.25">
      <c r="A25855" t="s">
        <v>284</v>
      </c>
      <c r="B25855" s="1" t="str">
        <f>HYPERLINK("http://nordea-ex.fi","nordea-ex.fi")</f>
        <v>nordea-ex.fi</v>
      </c>
      <c r="C25855" t="s">
        <v>445</v>
      </c>
      <c r="D25855" t="s">
        <v>823</v>
      </c>
      <c r="J25855">
        <v>2</v>
      </c>
    </row>
    <row r="25856" spans="1:10" x14ac:dyDescent="0.25">
      <c r="A25856" t="s">
        <v>284</v>
      </c>
      <c r="B25856" s="1" t="str">
        <f>HYPERLINK("http://nordea-pankki.fi","nordea-pankki.fi")</f>
        <v>nordea-pankki.fi</v>
      </c>
      <c r="C25856" t="s">
        <v>445</v>
      </c>
      <c r="D25856" t="s">
        <v>823</v>
      </c>
      <c r="J25856">
        <v>2</v>
      </c>
    </row>
    <row r="25857" spans="1:10" x14ac:dyDescent="0.25">
      <c r="A25857" t="s">
        <v>284</v>
      </c>
      <c r="B25857" s="1" t="str">
        <f>HYPERLINK("http://nordea-suomi.fi","nordea-suomi.fi")</f>
        <v>nordea-suomi.fi</v>
      </c>
      <c r="C25857" t="s">
        <v>445</v>
      </c>
      <c r="D25857" t="s">
        <v>823</v>
      </c>
      <c r="J25857">
        <v>2</v>
      </c>
    </row>
    <row r="25858" spans="1:10" x14ac:dyDescent="0.25">
      <c r="A25858" t="s">
        <v>284</v>
      </c>
      <c r="B25858" s="1" t="str">
        <f>HYPERLINK("http://nordeabank.fi","nordeabank.fi")</f>
        <v>nordeabank.fi</v>
      </c>
      <c r="C25858" t="s">
        <v>445</v>
      </c>
      <c r="D25858" t="s">
        <v>823</v>
      </c>
      <c r="J25858">
        <v>2</v>
      </c>
    </row>
    <row r="25859" spans="1:10" x14ac:dyDescent="0.25">
      <c r="A25859" t="s">
        <v>284</v>
      </c>
      <c r="B25859" s="1" t="str">
        <f>HYPERLINK("http://nordeabankse.fi","nordeabankse.fi")</f>
        <v>nordeabankse.fi</v>
      </c>
      <c r="C25859" t="s">
        <v>445</v>
      </c>
      <c r="D25859" t="s">
        <v>823</v>
      </c>
      <c r="J25859">
        <v>2</v>
      </c>
    </row>
    <row r="25860" spans="1:10" x14ac:dyDescent="0.25">
      <c r="A25860" t="s">
        <v>284</v>
      </c>
      <c r="B25860" s="1" t="str">
        <f>HYPERLINK("http://nordeacapital.fi","nordeacapital.fi")</f>
        <v>nordeacapital.fi</v>
      </c>
      <c r="C25860" t="s">
        <v>445</v>
      </c>
      <c r="D25860" t="s">
        <v>823</v>
      </c>
      <c r="J25860">
        <v>2</v>
      </c>
    </row>
    <row r="25861" spans="1:10" x14ac:dyDescent="0.25">
      <c r="A25861" t="s">
        <v>284</v>
      </c>
      <c r="B25861" s="1" t="str">
        <f>HYPERLINK("http://nordeaconnect.fi","nordeaconnect.fi")</f>
        <v>nordeaconnect.fi</v>
      </c>
      <c r="C25861" t="s">
        <v>445</v>
      </c>
      <c r="D25861" t="s">
        <v>823</v>
      </c>
      <c r="J25861">
        <v>2</v>
      </c>
    </row>
    <row r="25862" spans="1:10" x14ac:dyDescent="0.25">
      <c r="A25862" t="s">
        <v>284</v>
      </c>
      <c r="B25862" s="1" t="str">
        <f>HYPERLINK("http://nordeadirect.fi","nordeadirect.fi")</f>
        <v>nordeadirect.fi</v>
      </c>
      <c r="C25862" t="s">
        <v>445</v>
      </c>
      <c r="D25862" t="s">
        <v>823</v>
      </c>
      <c r="J25862">
        <v>2</v>
      </c>
    </row>
    <row r="25863" spans="1:10" x14ac:dyDescent="0.25">
      <c r="A25863" t="s">
        <v>284</v>
      </c>
      <c r="B25863" s="1" t="str">
        <f>HYPERLINK("http://nordeaequities.fi","nordeaequities.fi")</f>
        <v>nordeaequities.fi</v>
      </c>
      <c r="C25863" t="s">
        <v>445</v>
      </c>
      <c r="D25863" t="s">
        <v>823</v>
      </c>
      <c r="J25863">
        <v>2</v>
      </c>
    </row>
    <row r="25864" spans="1:10" x14ac:dyDescent="0.25">
      <c r="A25864" t="s">
        <v>284</v>
      </c>
      <c r="B25864" s="1" t="str">
        <f>HYPERLINK("http://nordeaex.fi","nordeaex.fi")</f>
        <v>nordeaex.fi</v>
      </c>
      <c r="C25864" t="s">
        <v>445</v>
      </c>
      <c r="D25864" t="s">
        <v>823</v>
      </c>
      <c r="J25864">
        <v>2</v>
      </c>
    </row>
    <row r="25865" spans="1:10" x14ac:dyDescent="0.25">
      <c r="A25865" t="s">
        <v>284</v>
      </c>
      <c r="B25865" s="1" t="str">
        <f>HYPERLINK("http://nordeafinance.fi","nordeafinance.fi")</f>
        <v>nordeafinance.fi</v>
      </c>
      <c r="C25865" t="s">
        <v>445</v>
      </c>
      <c r="D25865" t="s">
        <v>823</v>
      </c>
      <c r="F25865">
        <v>4.9107994130661797E-8</v>
      </c>
      <c r="G25865">
        <v>942973</v>
      </c>
      <c r="H25865">
        <v>12281097</v>
      </c>
      <c r="I25865">
        <v>21285150</v>
      </c>
      <c r="J25865">
        <v>2</v>
      </c>
    </row>
    <row r="25866" spans="1:10" x14ac:dyDescent="0.25">
      <c r="A25866" t="s">
        <v>284</v>
      </c>
      <c r="B25866" s="1" t="str">
        <f>HYPERLINK("http://nordeafleet.fi","nordeafleet.fi")</f>
        <v>nordeafleet.fi</v>
      </c>
      <c r="C25866" t="s">
        <v>445</v>
      </c>
      <c r="D25866" t="s">
        <v>823</v>
      </c>
      <c r="J25866">
        <v>2</v>
      </c>
    </row>
    <row r="25867" spans="1:10" x14ac:dyDescent="0.25">
      <c r="A25867" t="s">
        <v>284</v>
      </c>
      <c r="B25867" s="1" t="str">
        <f>HYPERLINK("http://nordeafonder.fi","nordeafonder.fi")</f>
        <v>nordeafonder.fi</v>
      </c>
      <c r="C25867" t="s">
        <v>445</v>
      </c>
      <c r="D25867" t="s">
        <v>823</v>
      </c>
      <c r="J25867">
        <v>2</v>
      </c>
    </row>
    <row r="25868" spans="1:10" x14ac:dyDescent="0.25">
      <c r="A25868" t="s">
        <v>284</v>
      </c>
      <c r="B25868" s="1" t="str">
        <f>HYPERLINK("http://nordeafunds.fi","nordeafunds.fi")</f>
        <v>nordeafunds.fi</v>
      </c>
      <c r="C25868" t="s">
        <v>445</v>
      </c>
      <c r="D25868" t="s">
        <v>823</v>
      </c>
      <c r="J25868">
        <v>2</v>
      </c>
    </row>
    <row r="25869" spans="1:10" x14ac:dyDescent="0.25">
      <c r="A25869" t="s">
        <v>284</v>
      </c>
      <c r="B25869" s="1" t="str">
        <f>HYPERLINK("http://nordeafundsmagazine.fi","nordeafundsmagazine.fi")</f>
        <v>nordeafundsmagazine.fi</v>
      </c>
      <c r="C25869" t="s">
        <v>445</v>
      </c>
      <c r="D25869" t="s">
        <v>823</v>
      </c>
      <c r="F25869">
        <v>1.10744690938656E-8</v>
      </c>
      <c r="G25869">
        <v>5804305</v>
      </c>
      <c r="H25869">
        <v>13764927</v>
      </c>
      <c r="I25869">
        <v>7170173</v>
      </c>
      <c r="J25869">
        <v>4</v>
      </c>
    </row>
    <row r="25870" spans="1:10" x14ac:dyDescent="0.25">
      <c r="A25870" t="s">
        <v>284</v>
      </c>
      <c r="B25870" s="1" t="str">
        <f>HYPERLINK("http://nordeagroup.fi","nordeagroup.fi")</f>
        <v>nordeagroup.fi</v>
      </c>
      <c r="C25870" t="s">
        <v>445</v>
      </c>
      <c r="D25870" t="s">
        <v>823</v>
      </c>
      <c r="J25870">
        <v>2</v>
      </c>
    </row>
    <row r="25871" spans="1:10" x14ac:dyDescent="0.25">
      <c r="A25871" t="s">
        <v>284</v>
      </c>
      <c r="B25871" s="1" t="str">
        <f>HYPERLINK("http://nordeahenkivakuutustoimitilat.fi","nordeahenkivakuutustoimitilat.fi")</f>
        <v>nordeahenkivakuutustoimitilat.fi</v>
      </c>
      <c r="C25871" t="s">
        <v>445</v>
      </c>
      <c r="D25871" t="s">
        <v>823</v>
      </c>
      <c r="F25871">
        <v>6.11130783330839E-9</v>
      </c>
      <c r="G25871">
        <v>16030180</v>
      </c>
      <c r="H25871">
        <v>14071791</v>
      </c>
      <c r="I25871">
        <v>3443469</v>
      </c>
      <c r="J25871">
        <v>4</v>
      </c>
    </row>
    <row r="25872" spans="1:10" x14ac:dyDescent="0.25">
      <c r="A25872" t="s">
        <v>284</v>
      </c>
      <c r="B25872" s="1" t="str">
        <f>HYPERLINK("http://nordeainvestmentbanking.fi","nordeainvestmentbanking.fi")</f>
        <v>nordeainvestmentbanking.fi</v>
      </c>
      <c r="C25872" t="s">
        <v>445</v>
      </c>
      <c r="D25872" t="s">
        <v>823</v>
      </c>
      <c r="J25872">
        <v>2</v>
      </c>
    </row>
    <row r="25873" spans="1:10" x14ac:dyDescent="0.25">
      <c r="A25873" t="s">
        <v>284</v>
      </c>
      <c r="B25873" s="1" t="str">
        <f>HYPERLINK("http://nordeainvestor.fi","nordeainvestor.fi")</f>
        <v>nordeainvestor.fi</v>
      </c>
      <c r="C25873" t="s">
        <v>445</v>
      </c>
      <c r="D25873" t="s">
        <v>823</v>
      </c>
      <c r="J25873">
        <v>2</v>
      </c>
    </row>
    <row r="25874" spans="1:10" x14ac:dyDescent="0.25">
      <c r="A25874" t="s">
        <v>284</v>
      </c>
      <c r="B25874" s="1" t="str">
        <f>HYPERLINK("http://nordealiv.fi","nordealiv.fi")</f>
        <v>nordealiv.fi</v>
      </c>
      <c r="C25874" t="s">
        <v>445</v>
      </c>
      <c r="D25874" t="s">
        <v>823</v>
      </c>
      <c r="J25874">
        <v>2</v>
      </c>
    </row>
    <row r="25875" spans="1:10" x14ac:dyDescent="0.25">
      <c r="A25875" t="s">
        <v>284</v>
      </c>
      <c r="B25875" s="1" t="str">
        <f>HYPERLINK("http://nordeamarkets.fi","nordeamarkets.fi")</f>
        <v>nordeamarkets.fi</v>
      </c>
      <c r="C25875" t="s">
        <v>445</v>
      </c>
      <c r="D25875" t="s">
        <v>823</v>
      </c>
      <c r="F25875">
        <v>4.4549931007358304E-9</v>
      </c>
      <c r="G25875">
        <v>69520484</v>
      </c>
      <c r="H25875">
        <v>9331281</v>
      </c>
      <c r="I25875">
        <v>68210614</v>
      </c>
      <c r="J25875">
        <v>2</v>
      </c>
    </row>
    <row r="25876" spans="1:10" x14ac:dyDescent="0.25">
      <c r="A25876" t="s">
        <v>284</v>
      </c>
      <c r="B25876" s="1" t="str">
        <f>HYPERLINK("http://nordeamobile.fi","nordeamobile.fi")</f>
        <v>nordeamobile.fi</v>
      </c>
      <c r="C25876" t="s">
        <v>445</v>
      </c>
      <c r="D25876" t="s">
        <v>823</v>
      </c>
      <c r="F25876">
        <v>6.56060671105315E-9</v>
      </c>
      <c r="G25876">
        <v>13831321</v>
      </c>
      <c r="H25876">
        <v>12065893</v>
      </c>
      <c r="I25876">
        <v>26879342</v>
      </c>
      <c r="J25876">
        <v>2</v>
      </c>
    </row>
    <row r="25877" spans="1:10" x14ac:dyDescent="0.25">
      <c r="A25877" t="s">
        <v>284</v>
      </c>
      <c r="B25877" s="1" t="str">
        <f>HYPERLINK("http://nordeaopenbanking.fi","nordeaopenbanking.fi")</f>
        <v>nordeaopenbanking.fi</v>
      </c>
      <c r="C25877" t="s">
        <v>445</v>
      </c>
      <c r="D25877" t="s">
        <v>823</v>
      </c>
      <c r="J25877">
        <v>2</v>
      </c>
    </row>
    <row r="25878" spans="1:10" x14ac:dyDescent="0.25">
      <c r="A25878" t="s">
        <v>284</v>
      </c>
      <c r="B25878" s="1" t="str">
        <f>HYPERLINK("http://nordeapankki.fi","nordeapankki.fi")</f>
        <v>nordeapankki.fi</v>
      </c>
      <c r="C25878" t="s">
        <v>445</v>
      </c>
      <c r="D25878" t="s">
        <v>823</v>
      </c>
      <c r="J25878">
        <v>2</v>
      </c>
    </row>
    <row r="25879" spans="1:10" x14ac:dyDescent="0.25">
      <c r="A25879" t="s">
        <v>284</v>
      </c>
      <c r="B25879" s="1" t="str">
        <f>HYPERLINK("http://nordeaprivatebanking.fi","nordeaprivatebanking.fi")</f>
        <v>nordeaprivatebanking.fi</v>
      </c>
      <c r="C25879" t="s">
        <v>445</v>
      </c>
      <c r="D25879" t="s">
        <v>823</v>
      </c>
      <c r="F25879">
        <v>8.3243689750695398E-9</v>
      </c>
      <c r="G25879">
        <v>9202089</v>
      </c>
      <c r="H25879">
        <v>12129877</v>
      </c>
      <c r="I25879">
        <v>25144125</v>
      </c>
      <c r="J25879">
        <v>2</v>
      </c>
    </row>
    <row r="25880" spans="1:10" x14ac:dyDescent="0.25">
      <c r="A25880" t="s">
        <v>284</v>
      </c>
      <c r="B25880" s="1" t="str">
        <f>HYPERLINK("http://nordeaprivatebankingevents.fi","nordeaprivatebankingevents.fi")</f>
        <v>nordeaprivatebankingevents.fi</v>
      </c>
      <c r="C25880" t="s">
        <v>445</v>
      </c>
      <c r="D25880" t="s">
        <v>823</v>
      </c>
      <c r="J25880">
        <v>2</v>
      </c>
    </row>
    <row r="25881" spans="1:10" x14ac:dyDescent="0.25">
      <c r="A25881" t="s">
        <v>284</v>
      </c>
      <c r="B25881" s="1" t="str">
        <f>HYPERLINK("http://nordearahastot.fi","nordearahastot.fi")</f>
        <v>nordearahastot.fi</v>
      </c>
      <c r="C25881" t="s">
        <v>445</v>
      </c>
      <c r="D25881" t="s">
        <v>823</v>
      </c>
      <c r="J25881">
        <v>2</v>
      </c>
    </row>
    <row r="25882" spans="1:10" x14ac:dyDescent="0.25">
      <c r="A25882" t="s">
        <v>284</v>
      </c>
      <c r="B25882" s="1" t="str">
        <f>HYPERLINK("http://nordearahoitus.fi","nordearahoitus.fi")</f>
        <v>nordearahoitus.fi</v>
      </c>
      <c r="C25882" t="s">
        <v>445</v>
      </c>
      <c r="D25882" t="s">
        <v>823</v>
      </c>
      <c r="F25882">
        <v>4.2299593853086501E-8</v>
      </c>
      <c r="G25882">
        <v>1149909</v>
      </c>
      <c r="H25882">
        <v>12531071</v>
      </c>
      <c r="I25882">
        <v>17024288</v>
      </c>
      <c r="J25882">
        <v>2</v>
      </c>
    </row>
    <row r="25883" spans="1:10" x14ac:dyDescent="0.25">
      <c r="A25883" t="s">
        <v>284</v>
      </c>
      <c r="B25883" s="1" t="str">
        <f>HYPERLINK("http://nordeavahinkovakuutus.fi","nordeavahinkovakuutus.fi")</f>
        <v>nordeavahinkovakuutus.fi</v>
      </c>
      <c r="C25883" t="s">
        <v>445</v>
      </c>
      <c r="D25883" t="s">
        <v>823</v>
      </c>
      <c r="J25883">
        <v>2</v>
      </c>
    </row>
    <row r="25884" spans="1:10" x14ac:dyDescent="0.25">
      <c r="A25884" t="s">
        <v>284</v>
      </c>
      <c r="B25884" s="1" t="str">
        <f>HYPERLINK("http://nordia.fi","nordia.fi")</f>
        <v>nordia.fi</v>
      </c>
      <c r="C25884" t="s">
        <v>445</v>
      </c>
      <c r="D25884" t="s">
        <v>823</v>
      </c>
      <c r="J25884">
        <v>2</v>
      </c>
    </row>
    <row r="25885" spans="1:10" x14ac:dyDescent="0.25">
      <c r="A25885" t="s">
        <v>284</v>
      </c>
      <c r="B25885" s="1" t="str">
        <f>HYPERLINK("http://nordicbalticholding.fi","nordicbalticholding.fi")</f>
        <v>nordicbalticholding.fi</v>
      </c>
      <c r="C25885" t="s">
        <v>445</v>
      </c>
      <c r="D25885" t="s">
        <v>823</v>
      </c>
      <c r="J25885">
        <v>2</v>
      </c>
    </row>
    <row r="25886" spans="1:10" x14ac:dyDescent="0.25">
      <c r="A25886" t="s">
        <v>284</v>
      </c>
      <c r="B25886" s="1" t="str">
        <f>HYPERLINK("http://nordicideas.fi","nordicideas.fi")</f>
        <v>nordicideas.fi</v>
      </c>
      <c r="C25886" t="s">
        <v>445</v>
      </c>
      <c r="D25886" t="s">
        <v>823</v>
      </c>
      <c r="J25886">
        <v>2</v>
      </c>
    </row>
    <row r="25887" spans="1:10" x14ac:dyDescent="0.25">
      <c r="A25887" t="s">
        <v>284</v>
      </c>
      <c r="B25887" s="1" t="str">
        <f>HYPERLINK("http://nova.fi","nova.fi")</f>
        <v>nova.fi</v>
      </c>
      <c r="C25887" t="s">
        <v>445</v>
      </c>
      <c r="D25887" t="s">
        <v>823</v>
      </c>
      <c r="F25887">
        <v>4.4643085411536096E-9</v>
      </c>
      <c r="G25887">
        <v>66449115</v>
      </c>
      <c r="H25887">
        <v>10766943</v>
      </c>
      <c r="I25887">
        <v>39373751</v>
      </c>
      <c r="J25887">
        <v>8</v>
      </c>
    </row>
    <row r="25888" spans="1:10" x14ac:dyDescent="0.25">
      <c r="A25888" t="s">
        <v>284</v>
      </c>
      <c r="B25888" s="1" t="str">
        <f>HYPERLINK("http://omafakiiri.fi","omafakiiri.fi")</f>
        <v>omafakiiri.fi</v>
      </c>
      <c r="C25888" t="s">
        <v>445</v>
      </c>
      <c r="D25888" t="s">
        <v>823</v>
      </c>
      <c r="J25888">
        <v>10</v>
      </c>
    </row>
    <row r="25889" spans="1:10" x14ac:dyDescent="0.25">
      <c r="A25889" t="s">
        <v>284</v>
      </c>
      <c r="B25889" s="1" t="str">
        <f>HYPERLINK("http://oneadr.fi","oneadr.fi")</f>
        <v>oneadr.fi</v>
      </c>
      <c r="C25889" t="s">
        <v>445</v>
      </c>
      <c r="D25889" t="s">
        <v>823</v>
      </c>
      <c r="J25889">
        <v>2</v>
      </c>
    </row>
    <row r="25890" spans="1:10" x14ac:dyDescent="0.25">
      <c r="A25890" t="s">
        <v>284</v>
      </c>
      <c r="B25890" s="1" t="str">
        <f>HYPERLINK("http://ostavakuutus.fi","ostavakuutus.fi")</f>
        <v>ostavakuutus.fi</v>
      </c>
      <c r="C25890" t="s">
        <v>445</v>
      </c>
      <c r="D25890" t="s">
        <v>823</v>
      </c>
      <c r="J25890">
        <v>10</v>
      </c>
    </row>
    <row r="25891" spans="1:10" x14ac:dyDescent="0.25">
      <c r="A25891" t="s">
        <v>284</v>
      </c>
      <c r="B25891" s="1" t="str">
        <f>HYPERLINK("http://palkkiorahasto.fi","palkkiorahasto.fi")</f>
        <v>palkkiorahasto.fi</v>
      </c>
      <c r="C25891" t="s">
        <v>445</v>
      </c>
      <c r="D25891" t="s">
        <v>823</v>
      </c>
      <c r="J25891">
        <v>8</v>
      </c>
    </row>
    <row r="25892" spans="1:10" x14ac:dyDescent="0.25">
      <c r="A25892" t="s">
        <v>284</v>
      </c>
      <c r="B25892" s="1" t="str">
        <f>HYPERLINK("http://pankki-nordea.fi","pankki-nordea.fi")</f>
        <v>pankki-nordea.fi</v>
      </c>
      <c r="C25892" t="s">
        <v>445</v>
      </c>
      <c r="D25892" t="s">
        <v>823</v>
      </c>
      <c r="J25892">
        <v>2</v>
      </c>
    </row>
    <row r="25893" spans="1:10" x14ac:dyDescent="0.25">
      <c r="A25893" t="s">
        <v>284</v>
      </c>
      <c r="B25893" s="1" t="str">
        <f>HYPERLINK("http://parempisuunnitelma.fi","parempisuunnitelma.fi")</f>
        <v>parempisuunnitelma.fi</v>
      </c>
      <c r="C25893" t="s">
        <v>445</v>
      </c>
      <c r="D25893" t="s">
        <v>823</v>
      </c>
      <c r="J25893">
        <v>8</v>
      </c>
    </row>
    <row r="25894" spans="1:10" x14ac:dyDescent="0.25">
      <c r="A25894" t="s">
        <v>284</v>
      </c>
      <c r="B25894" s="1" t="str">
        <f>HYPERLINK("http://paska.fi","paska.fi")</f>
        <v>paska.fi</v>
      </c>
      <c r="C25894" t="s">
        <v>445</v>
      </c>
      <c r="D25894" t="s">
        <v>823</v>
      </c>
      <c r="F25894">
        <v>4.4795325002021101E-9</v>
      </c>
      <c r="G25894">
        <v>62449544</v>
      </c>
      <c r="H25894">
        <v>10587918</v>
      </c>
      <c r="I25894">
        <v>45673449</v>
      </c>
      <c r="J25894">
        <v>10</v>
      </c>
    </row>
    <row r="25895" spans="1:10" x14ac:dyDescent="0.25">
      <c r="A25895" t="s">
        <v>284</v>
      </c>
      <c r="B25895" s="1" t="str">
        <f>HYPERLINK("http://pension.fi","pension.fi")</f>
        <v>pension.fi</v>
      </c>
      <c r="C25895" t="s">
        <v>445</v>
      </c>
      <c r="D25895" t="s">
        <v>823</v>
      </c>
      <c r="J25895">
        <v>8</v>
      </c>
    </row>
    <row r="25896" spans="1:10" x14ac:dyDescent="0.25">
      <c r="A25896" t="s">
        <v>284</v>
      </c>
      <c r="B25896" s="1" t="str">
        <f>HYPERLINK("http://pensionsforsakring.fi","pensionsforsakring.fi")</f>
        <v>pensionsforsakring.fi</v>
      </c>
      <c r="C25896" t="s">
        <v>445</v>
      </c>
      <c r="D25896" t="s">
        <v>823</v>
      </c>
      <c r="J25896">
        <v>8</v>
      </c>
    </row>
    <row r="25897" spans="1:10" x14ac:dyDescent="0.25">
      <c r="A25897" t="s">
        <v>284</v>
      </c>
      <c r="B25897" s="1" t="str">
        <f>HYPERLINK("http://pensionsfrskring.fi","pensionsfrskring.fi")</f>
        <v>pensionsfrskring.fi</v>
      </c>
      <c r="C25897" t="s">
        <v>445</v>
      </c>
      <c r="D25897" t="s">
        <v>823</v>
      </c>
      <c r="J25897">
        <v>8</v>
      </c>
    </row>
    <row r="25898" spans="1:10" x14ac:dyDescent="0.25">
      <c r="A25898" t="s">
        <v>284</v>
      </c>
      <c r="B25898" s="1" t="str">
        <f>HYPERLINK("http://plusgirot.fi","plusgirot.fi")</f>
        <v>plusgirot.fi</v>
      </c>
      <c r="C25898" t="s">
        <v>445</v>
      </c>
      <c r="D25898" t="s">
        <v>823</v>
      </c>
      <c r="J25898">
        <v>2</v>
      </c>
    </row>
    <row r="25899" spans="1:10" x14ac:dyDescent="0.25">
      <c r="A25899" t="s">
        <v>284</v>
      </c>
      <c r="B25899" s="1" t="str">
        <f>HYPERLINK("http://premiumsstvakuutus.fi","premiumsstvakuutus.fi")</f>
        <v>premiumsstvakuutus.fi</v>
      </c>
      <c r="C25899" t="s">
        <v>445</v>
      </c>
      <c r="D25899" t="s">
        <v>823</v>
      </c>
      <c r="J25899">
        <v>8</v>
      </c>
    </row>
    <row r="25900" spans="1:10" x14ac:dyDescent="0.25">
      <c r="A25900" t="s">
        <v>284</v>
      </c>
      <c r="B25900" s="1" t="str">
        <f>HYPERLINK("http://rahatjahenki.fi","rahatjahenki.fi")</f>
        <v>rahatjahenki.fi</v>
      </c>
      <c r="C25900" t="s">
        <v>445</v>
      </c>
      <c r="D25900" t="s">
        <v>823</v>
      </c>
      <c r="J25900">
        <v>8</v>
      </c>
    </row>
    <row r="25901" spans="1:10" x14ac:dyDescent="0.25">
      <c r="A25901" t="s">
        <v>284</v>
      </c>
      <c r="B25901" s="1" t="str">
        <f>HYPERLINK("http://rakila.fi","rakila.fi")</f>
        <v>rakila.fi</v>
      </c>
      <c r="C25901" t="s">
        <v>445</v>
      </c>
      <c r="D25901" t="s">
        <v>823</v>
      </c>
      <c r="J25901">
        <v>10</v>
      </c>
    </row>
    <row r="25902" spans="1:10" x14ac:dyDescent="0.25">
      <c r="A25902" t="s">
        <v>284</v>
      </c>
      <c r="B25902" s="1" t="str">
        <f>HYPERLINK("http://rikaselama.fi","rikaselama.fi")</f>
        <v>rikaselama.fi</v>
      </c>
      <c r="C25902" t="s">
        <v>445</v>
      </c>
      <c r="D25902" t="s">
        <v>823</v>
      </c>
      <c r="J25902">
        <v>8</v>
      </c>
    </row>
    <row r="25903" spans="1:10" x14ac:dyDescent="0.25">
      <c r="A25903" t="s">
        <v>284</v>
      </c>
      <c r="B25903" s="1" t="str">
        <f>HYPERLINK("http://rikaselm.fi","rikaselm.fi")</f>
        <v>rikaselm.fi</v>
      </c>
      <c r="C25903" t="s">
        <v>445</v>
      </c>
      <c r="D25903" t="s">
        <v>823</v>
      </c>
      <c r="J25903">
        <v>8</v>
      </c>
    </row>
    <row r="25904" spans="1:10" x14ac:dyDescent="0.25">
      <c r="A25904" t="s">
        <v>284</v>
      </c>
      <c r="B25904" s="1" t="str">
        <f>HYPERLINK("http://riskienhallinta.fi","riskienhallinta.fi")</f>
        <v>riskienhallinta.fi</v>
      </c>
      <c r="C25904" t="s">
        <v>445</v>
      </c>
      <c r="D25904" t="s">
        <v>823</v>
      </c>
      <c r="J25904">
        <v>10</v>
      </c>
    </row>
    <row r="25905" spans="1:10" x14ac:dyDescent="0.25">
      <c r="A25905" t="s">
        <v>284</v>
      </c>
      <c r="B25905" s="1" t="str">
        <f>HYPERLINK("http://riskihenkivakuutus.fi","riskihenkivakuutus.fi")</f>
        <v>riskihenkivakuutus.fi</v>
      </c>
      <c r="C25905" t="s">
        <v>445</v>
      </c>
      <c r="D25905" t="s">
        <v>823</v>
      </c>
      <c r="J25905">
        <v>8</v>
      </c>
    </row>
    <row r="25906" spans="1:10" x14ac:dyDescent="0.25">
      <c r="A25906" t="s">
        <v>284</v>
      </c>
      <c r="B25906" s="1" t="str">
        <f>HYPERLINK("http://riskivakuutus.fi","riskivakuutus.fi")</f>
        <v>riskivakuutus.fi</v>
      </c>
      <c r="C25906" t="s">
        <v>445</v>
      </c>
      <c r="D25906" t="s">
        <v>823</v>
      </c>
      <c r="J25906">
        <v>8</v>
      </c>
    </row>
    <row r="25907" spans="1:10" x14ac:dyDescent="0.25">
      <c r="A25907" t="s">
        <v>284</v>
      </c>
      <c r="B25907" s="1" t="str">
        <f>HYPERLINK("http://riskmanagement.fi","riskmanagement.fi")</f>
        <v>riskmanagement.fi</v>
      </c>
      <c r="C25907" t="s">
        <v>445</v>
      </c>
      <c r="D25907" t="s">
        <v>823</v>
      </c>
      <c r="J25907">
        <v>10</v>
      </c>
    </row>
    <row r="25908" spans="1:10" x14ac:dyDescent="0.25">
      <c r="A25908" t="s">
        <v>284</v>
      </c>
      <c r="B25908" s="1" t="str">
        <f>HYPERLINK("http://risknavigator.fi","risknavigator.fi")</f>
        <v>risknavigator.fi</v>
      </c>
      <c r="C25908" t="s">
        <v>445</v>
      </c>
      <c r="D25908" t="s">
        <v>823</v>
      </c>
      <c r="J25908">
        <v>10</v>
      </c>
    </row>
    <row r="25909" spans="1:10" x14ac:dyDescent="0.25">
      <c r="A25909" t="s">
        <v>284</v>
      </c>
      <c r="B25909" s="1" t="str">
        <f>HYPERLINK("http://rkila.fi","rkila.fi")</f>
        <v>rkila.fi</v>
      </c>
      <c r="C25909" t="s">
        <v>445</v>
      </c>
      <c r="D25909" t="s">
        <v>823</v>
      </c>
      <c r="J25909">
        <v>10</v>
      </c>
    </row>
    <row r="25910" spans="1:10" x14ac:dyDescent="0.25">
      <c r="A25910" t="s">
        <v>284</v>
      </c>
      <c r="B25910" s="1" t="str">
        <f>HYPERLINK("http://rokila.fi","rokila.fi")</f>
        <v>rokila.fi</v>
      </c>
      <c r="C25910" t="s">
        <v>445</v>
      </c>
      <c r="D25910" t="s">
        <v>823</v>
      </c>
      <c r="J25910">
        <v>10</v>
      </c>
    </row>
    <row r="25911" spans="1:10" x14ac:dyDescent="0.25">
      <c r="A25911" t="s">
        <v>284</v>
      </c>
      <c r="B25911" s="1" t="str">
        <f>HYPERLINK("http://ryhmahenkivakuutus.fi","ryhmahenkivakuutus.fi")</f>
        <v>ryhmahenkivakuutus.fi</v>
      </c>
      <c r="C25911" t="s">
        <v>445</v>
      </c>
      <c r="D25911" t="s">
        <v>823</v>
      </c>
      <c r="J25911">
        <v>8</v>
      </c>
    </row>
    <row r="25912" spans="1:10" x14ac:dyDescent="0.25">
      <c r="A25912" t="s">
        <v>284</v>
      </c>
      <c r="B25912" s="1" t="str">
        <f>HYPERLINK("http://saastovakuutus.fi","saastovakuutus.fi")</f>
        <v>saastovakuutus.fi</v>
      </c>
      <c r="C25912" t="s">
        <v>445</v>
      </c>
      <c r="D25912" t="s">
        <v>823</v>
      </c>
      <c r="J25912">
        <v>8</v>
      </c>
    </row>
    <row r="25913" spans="1:10" x14ac:dyDescent="0.25">
      <c r="A25913" t="s">
        <v>284</v>
      </c>
      <c r="B25913" s="1" t="str">
        <f>HYPERLINK("http://sampo.fi","sampo.fi")</f>
        <v>sampo.fi</v>
      </c>
      <c r="C25913" t="s">
        <v>445</v>
      </c>
      <c r="D25913" t="s">
        <v>823</v>
      </c>
      <c r="F25913">
        <v>1.3021511838282201E-8</v>
      </c>
      <c r="G25913">
        <v>4621565</v>
      </c>
      <c r="H25913">
        <v>13766873</v>
      </c>
      <c r="I25913">
        <v>6969762</v>
      </c>
      <c r="J25913">
        <v>7</v>
      </c>
    </row>
    <row r="25914" spans="1:10" x14ac:dyDescent="0.25">
      <c r="A25914" t="s">
        <v>284</v>
      </c>
      <c r="B25914" s="1" t="str">
        <f>HYPERLINK("http://sampo-leonia.fi","sampo-leonia.fi")</f>
        <v>sampo-leonia.fi</v>
      </c>
      <c r="C25914" t="s">
        <v>445</v>
      </c>
      <c r="D25914" t="s">
        <v>823</v>
      </c>
      <c r="F25914">
        <v>4.4559142868508503E-9</v>
      </c>
      <c r="G25914">
        <v>69146893</v>
      </c>
      <c r="H25914">
        <v>10743983</v>
      </c>
      <c r="I25914">
        <v>40274184</v>
      </c>
      <c r="J25914">
        <v>9</v>
      </c>
    </row>
    <row r="25915" spans="1:10" x14ac:dyDescent="0.25">
      <c r="A25915" t="s">
        <v>284</v>
      </c>
      <c r="B25915" s="1" t="str">
        <f>HYPERLINK("http://sampoinfo.fi","sampoinfo.fi")</f>
        <v>sampoinfo.fi</v>
      </c>
      <c r="C25915" t="s">
        <v>445</v>
      </c>
      <c r="D25915" t="s">
        <v>823</v>
      </c>
      <c r="J25915">
        <v>7</v>
      </c>
    </row>
    <row r="25916" spans="1:10" x14ac:dyDescent="0.25">
      <c r="A25916" t="s">
        <v>284</v>
      </c>
      <c r="B25916" s="1" t="str">
        <f>HYPERLINK("http://sampoliv.fi","sampoliv.fi")</f>
        <v>sampoliv.fi</v>
      </c>
      <c r="C25916" t="s">
        <v>445</v>
      </c>
      <c r="D25916" t="s">
        <v>823</v>
      </c>
      <c r="J25916">
        <v>9</v>
      </c>
    </row>
    <row r="25917" spans="1:10" x14ac:dyDescent="0.25">
      <c r="A25917" t="s">
        <v>284</v>
      </c>
      <c r="B25917" s="1" t="str">
        <f>HYPERLINK("http://samposopimus.fi","samposopimus.fi")</f>
        <v>samposopimus.fi</v>
      </c>
      <c r="C25917" t="s">
        <v>445</v>
      </c>
      <c r="D25917" t="s">
        <v>823</v>
      </c>
      <c r="J25917">
        <v>9</v>
      </c>
    </row>
    <row r="25918" spans="1:10" x14ac:dyDescent="0.25">
      <c r="A25918" t="s">
        <v>284</v>
      </c>
      <c r="B25918" s="1" t="str">
        <f>HYPERLINK("http://sampovakuutus.fi","sampovakuutus.fi")</f>
        <v>sampovakuutus.fi</v>
      </c>
      <c r="C25918" t="s">
        <v>445</v>
      </c>
      <c r="D25918" t="s">
        <v>823</v>
      </c>
      <c r="J25918">
        <v>9</v>
      </c>
    </row>
    <row r="25919" spans="1:10" x14ac:dyDescent="0.25">
      <c r="A25919" t="s">
        <v>284</v>
      </c>
      <c r="B25919" s="1" t="str">
        <f>HYPERLINK("http://sijoitussidonnainenvakuutus.fi","sijoitussidonnainenvakuutus.fi")</f>
        <v>sijoitussidonnainenvakuutus.fi</v>
      </c>
      <c r="C25919" t="s">
        <v>445</v>
      </c>
      <c r="D25919" t="s">
        <v>823</v>
      </c>
      <c r="J25919">
        <v>8</v>
      </c>
    </row>
    <row r="25920" spans="1:10" x14ac:dyDescent="0.25">
      <c r="A25920" t="s">
        <v>284</v>
      </c>
      <c r="B25920" s="1" t="str">
        <f>HYPERLINK("http://sparfrskring.fi","sparfrskring.fi")</f>
        <v>sparfrskring.fi</v>
      </c>
      <c r="C25920" t="s">
        <v>445</v>
      </c>
      <c r="D25920" t="s">
        <v>823</v>
      </c>
      <c r="J25920">
        <v>8</v>
      </c>
    </row>
    <row r="25921" spans="1:10" x14ac:dyDescent="0.25">
      <c r="A25921" t="s">
        <v>284</v>
      </c>
      <c r="B25921" s="1" t="str">
        <f>HYPERLINK("http://sstvakuutus.fi","sstvakuutus.fi")</f>
        <v>sstvakuutus.fi</v>
      </c>
      <c r="C25921" t="s">
        <v>445</v>
      </c>
      <c r="D25921" t="s">
        <v>823</v>
      </c>
      <c r="J25921">
        <v>8</v>
      </c>
    </row>
    <row r="25922" spans="1:10" x14ac:dyDescent="0.25">
      <c r="A25922" t="s">
        <v>284</v>
      </c>
      <c r="B25922" s="1" t="str">
        <f>HYPERLINK("http://suula.fi","suula.fi")</f>
        <v>suula.fi</v>
      </c>
      <c r="C25922" t="s">
        <v>445</v>
      </c>
      <c r="D25922" t="s">
        <v>823</v>
      </c>
      <c r="J25922">
        <v>8</v>
      </c>
    </row>
    <row r="25923" spans="1:10" x14ac:dyDescent="0.25">
      <c r="A25923" t="s">
        <v>284</v>
      </c>
      <c r="B25923" s="1" t="str">
        <f>HYPERLINK("http://taiteenhenki.fi","taiteenhenki.fi")</f>
        <v>taiteenhenki.fi</v>
      </c>
      <c r="C25923" t="s">
        <v>445</v>
      </c>
      <c r="D25923" t="s">
        <v>823</v>
      </c>
      <c r="J25923">
        <v>8</v>
      </c>
    </row>
    <row r="25924" spans="1:10" x14ac:dyDescent="0.25">
      <c r="A25924" t="s">
        <v>284</v>
      </c>
      <c r="B25924" s="1" t="str">
        <f>HYPERLINK("http://tasku-inssi.fi","tasku-inssi.fi")</f>
        <v>tasku-inssi.fi</v>
      </c>
      <c r="C25924" t="s">
        <v>445</v>
      </c>
      <c r="D25924" t="s">
        <v>823</v>
      </c>
      <c r="J25924">
        <v>8</v>
      </c>
    </row>
    <row r="25925" spans="1:10" x14ac:dyDescent="0.25">
      <c r="A25925" t="s">
        <v>284</v>
      </c>
      <c r="B25925" s="1" t="str">
        <f>HYPERLINK("http://taskuinssi.fi","taskuinssi.fi")</f>
        <v>taskuinssi.fi</v>
      </c>
      <c r="C25925" t="s">
        <v>445</v>
      </c>
      <c r="D25925" t="s">
        <v>823</v>
      </c>
      <c r="J25925">
        <v>10</v>
      </c>
    </row>
    <row r="25926" spans="1:10" x14ac:dyDescent="0.25">
      <c r="A25926" t="s">
        <v>284</v>
      </c>
      <c r="B25926" s="1" t="str">
        <f>HYPERLINK("http://tradefinance.fi","tradefinance.fi")</f>
        <v>tradefinance.fi</v>
      </c>
      <c r="C25926" t="s">
        <v>445</v>
      </c>
      <c r="D25926" t="s">
        <v>823</v>
      </c>
      <c r="J25926">
        <v>2</v>
      </c>
    </row>
    <row r="25927" spans="1:10" x14ac:dyDescent="0.25">
      <c r="A25927" t="s">
        <v>284</v>
      </c>
      <c r="B25927" s="1" t="str">
        <f>HYPERLINK("http://tukirahoitus.fi","tukirahoitus.fi")</f>
        <v>tukirahoitus.fi</v>
      </c>
      <c r="C25927" t="s">
        <v>445</v>
      </c>
      <c r="D25927" t="s">
        <v>823</v>
      </c>
      <c r="F25927">
        <v>1.4949416559567601E-8</v>
      </c>
      <c r="G25927">
        <v>3856295</v>
      </c>
      <c r="H25927">
        <v>12087237</v>
      </c>
      <c r="I25927">
        <v>26353413</v>
      </c>
      <c r="J25927">
        <v>2</v>
      </c>
    </row>
    <row r="25928" spans="1:10" x14ac:dyDescent="0.25">
      <c r="A25928" t="s">
        <v>284</v>
      </c>
      <c r="B25928" s="1" t="str">
        <f>HYPERLINK("http://tuleva.fi","tuleva.fi")</f>
        <v>tuleva.fi</v>
      </c>
      <c r="C25928" t="s">
        <v>445</v>
      </c>
      <c r="D25928" t="s">
        <v>823</v>
      </c>
      <c r="F25928">
        <v>6.3281492256678396E-9</v>
      </c>
      <c r="G25928">
        <v>14896966</v>
      </c>
      <c r="H25928">
        <v>13763816</v>
      </c>
      <c r="I25928">
        <v>7589185</v>
      </c>
      <c r="J25928">
        <v>8</v>
      </c>
    </row>
    <row r="25929" spans="1:10" x14ac:dyDescent="0.25">
      <c r="A25929" t="s">
        <v>284</v>
      </c>
      <c r="B25929" s="1" t="str">
        <f>HYPERLINK("http://tuohi.fi","tuohi.fi")</f>
        <v>tuohi.fi</v>
      </c>
      <c r="C25929" t="s">
        <v>445</v>
      </c>
      <c r="D25929" t="s">
        <v>823</v>
      </c>
      <c r="F25929">
        <v>1.2265091810663401E-8</v>
      </c>
      <c r="G25929">
        <v>5013694</v>
      </c>
      <c r="H25929">
        <v>13765040</v>
      </c>
      <c r="I25929">
        <v>7154417</v>
      </c>
      <c r="J25929">
        <v>2</v>
      </c>
    </row>
    <row r="25930" spans="1:10" x14ac:dyDescent="0.25">
      <c r="A25930" t="s">
        <v>284</v>
      </c>
      <c r="B25930" s="1" t="str">
        <f>HYPERLINK("http://tuohikortti.fi","tuohikortti.fi")</f>
        <v>tuohikortti.fi</v>
      </c>
      <c r="C25930" t="s">
        <v>445</v>
      </c>
      <c r="D25930" t="s">
        <v>823</v>
      </c>
      <c r="J25930">
        <v>2</v>
      </c>
    </row>
    <row r="25931" spans="1:10" x14ac:dyDescent="0.25">
      <c r="A25931" t="s">
        <v>284</v>
      </c>
      <c r="B25931" s="1" t="str">
        <f>HYPERLINK("http://tuohiluotto.fi","tuohiluotto.fi")</f>
        <v>tuohiluotto.fi</v>
      </c>
      <c r="C25931" t="s">
        <v>445</v>
      </c>
      <c r="D25931" t="s">
        <v>823</v>
      </c>
      <c r="J25931">
        <v>2</v>
      </c>
    </row>
    <row r="25932" spans="1:10" x14ac:dyDescent="0.25">
      <c r="A25932" t="s">
        <v>284</v>
      </c>
      <c r="B25932" s="1" t="str">
        <f>HYPERLINK("http://tuohta.fi","tuohta.fi")</f>
        <v>tuohta.fi</v>
      </c>
      <c r="C25932" t="s">
        <v>445</v>
      </c>
      <c r="D25932" t="s">
        <v>823</v>
      </c>
      <c r="J25932">
        <v>2</v>
      </c>
    </row>
    <row r="25933" spans="1:10" x14ac:dyDescent="0.25">
      <c r="A25933" t="s">
        <v>284</v>
      </c>
      <c r="B25933" s="1" t="str">
        <f>HYPERLINK("http://tyoturvallisuus.fi","tyoturvallisuus.fi")</f>
        <v>tyoturvallisuus.fi</v>
      </c>
      <c r="C25933" t="s">
        <v>445</v>
      </c>
      <c r="D25933" t="s">
        <v>823</v>
      </c>
      <c r="J25933">
        <v>10</v>
      </c>
    </row>
    <row r="25934" spans="1:10" x14ac:dyDescent="0.25">
      <c r="A25934" t="s">
        <v>284</v>
      </c>
      <c r="B25934" s="1" t="str">
        <f>HYPERLINK("http://unitas.fi","unitas.fi")</f>
        <v>unitas.fi</v>
      </c>
      <c r="C25934" t="s">
        <v>445</v>
      </c>
      <c r="D25934" t="s">
        <v>823</v>
      </c>
      <c r="J25934">
        <v>2</v>
      </c>
    </row>
    <row r="25935" spans="1:10" x14ac:dyDescent="0.25">
      <c r="A25935" t="s">
        <v>284</v>
      </c>
      <c r="B25935" s="1" t="str">
        <f>HYPERLINK("http://vakuutalapsi.fi","vakuutalapsi.fi")</f>
        <v>vakuutalapsi.fi</v>
      </c>
      <c r="C25935" t="s">
        <v>445</v>
      </c>
      <c r="D25935" t="s">
        <v>823</v>
      </c>
      <c r="J25935">
        <v>12</v>
      </c>
    </row>
    <row r="25936" spans="1:10" x14ac:dyDescent="0.25">
      <c r="A25936" t="s">
        <v>284</v>
      </c>
      <c r="B25936" s="1" t="str">
        <f>HYPERLINK("http://vakuutussampo.fi","vakuutussampo.fi")</f>
        <v>vakuutussampo.fi</v>
      </c>
      <c r="C25936" t="s">
        <v>445</v>
      </c>
      <c r="D25936" t="s">
        <v>823</v>
      </c>
      <c r="J25936">
        <v>7</v>
      </c>
    </row>
    <row r="25937" spans="1:10" x14ac:dyDescent="0.25">
      <c r="A25937" t="s">
        <v>284</v>
      </c>
      <c r="B25937" s="1" t="str">
        <f>HYPERLINK("http://vakuutussijoitus.fi","vakuutussijoitus.fi")</f>
        <v>vakuutussijoitus.fi</v>
      </c>
      <c r="C25937" t="s">
        <v>445</v>
      </c>
      <c r="D25937" t="s">
        <v>823</v>
      </c>
      <c r="J25937">
        <v>8</v>
      </c>
    </row>
    <row r="25938" spans="1:10" x14ac:dyDescent="0.25">
      <c r="A25938" t="s">
        <v>284</v>
      </c>
      <c r="B25938" s="1" t="str">
        <f>HYPERLINK("http://vakuutusyhtio.fi","vakuutusyhtio.fi")</f>
        <v>vakuutusyhtio.fi</v>
      </c>
      <c r="C25938" t="s">
        <v>445</v>
      </c>
      <c r="D25938" t="s">
        <v>823</v>
      </c>
      <c r="J25938">
        <v>10</v>
      </c>
    </row>
    <row r="25939" spans="1:10" x14ac:dyDescent="0.25">
      <c r="A25939" t="s">
        <v>284</v>
      </c>
      <c r="B25939" s="1" t="str">
        <f>HYPERLINK("http://varissuonliikekeskus.fi","varissuonliikekeskus.fi")</f>
        <v>varissuonliikekeskus.fi</v>
      </c>
      <c r="C25939" t="s">
        <v>445</v>
      </c>
      <c r="D25939" t="s">
        <v>823</v>
      </c>
      <c r="F25939">
        <v>6.3826293196324297E-9</v>
      </c>
      <c r="G25939">
        <v>14604328</v>
      </c>
      <c r="H25939">
        <v>11232988</v>
      </c>
      <c r="I25939">
        <v>31008702</v>
      </c>
      <c r="J25939">
        <v>8</v>
      </c>
    </row>
    <row r="25940" spans="1:10" x14ac:dyDescent="0.25">
      <c r="A25940" t="s">
        <v>284</v>
      </c>
      <c r="B25940" s="1" t="str">
        <f>HYPERLINK("http://venevakuutus.fi","venevakuutus.fi")</f>
        <v>venevakuutus.fi</v>
      </c>
      <c r="C25940" t="s">
        <v>445</v>
      </c>
      <c r="D25940" t="s">
        <v>823</v>
      </c>
      <c r="J25940">
        <v>10</v>
      </c>
    </row>
    <row r="25941" spans="1:10" x14ac:dyDescent="0.25">
      <c r="A25941" t="s">
        <v>284</v>
      </c>
      <c r="B25941" s="1" t="str">
        <f>HYPERLINK("http://vertaaelake.fi","vertaaelake.fi")</f>
        <v>vertaaelake.fi</v>
      </c>
      <c r="C25941" t="s">
        <v>445</v>
      </c>
      <c r="D25941" t="s">
        <v>823</v>
      </c>
      <c r="J25941">
        <v>8</v>
      </c>
    </row>
    <row r="25942" spans="1:10" x14ac:dyDescent="0.25">
      <c r="A25942" t="s">
        <v>284</v>
      </c>
      <c r="B25942" s="1" t="str">
        <f>HYPERLINK("http://vertaaelaketta.fi","vertaaelaketta.fi")</f>
        <v>vertaaelaketta.fi</v>
      </c>
      <c r="C25942" t="s">
        <v>445</v>
      </c>
      <c r="D25942" t="s">
        <v>823</v>
      </c>
      <c r="J25942">
        <v>8</v>
      </c>
    </row>
    <row r="25943" spans="1:10" x14ac:dyDescent="0.25">
      <c r="A25943" t="s">
        <v>284</v>
      </c>
      <c r="B25943" s="1" t="str">
        <f>HYPERLINK("http://vertaaelke.fi","vertaaelke.fi")</f>
        <v>vertaaelke.fi</v>
      </c>
      <c r="C25943" t="s">
        <v>445</v>
      </c>
      <c r="D25943" t="s">
        <v>823</v>
      </c>
      <c r="J25943">
        <v>8</v>
      </c>
    </row>
    <row r="25944" spans="1:10" x14ac:dyDescent="0.25">
      <c r="A25944" t="s">
        <v>284</v>
      </c>
      <c r="B25944" s="1" t="str">
        <f>HYPERLINK("http://vertaaelketta.fi","vertaaelketta.fi")</f>
        <v>vertaaelketta.fi</v>
      </c>
      <c r="C25944" t="s">
        <v>445</v>
      </c>
      <c r="D25944" t="s">
        <v>823</v>
      </c>
      <c r="J25944">
        <v>8</v>
      </c>
    </row>
    <row r="25945" spans="1:10" x14ac:dyDescent="0.25">
      <c r="A25945" t="s">
        <v>284</v>
      </c>
      <c r="B25945" s="1" t="str">
        <f>HYPERLINK("http://vikingalarm.fi","vikingalarm.fi")</f>
        <v>vikingalarm.fi</v>
      </c>
      <c r="C25945" t="s">
        <v>445</v>
      </c>
      <c r="D25945" t="s">
        <v>823</v>
      </c>
      <c r="J25945">
        <v>11</v>
      </c>
    </row>
    <row r="25946" spans="1:10" x14ac:dyDescent="0.25">
      <c r="A25946" t="s">
        <v>284</v>
      </c>
      <c r="B25946" s="1" t="str">
        <f>HYPERLINK("http://vikinghalytin.fi","vikinghalytin.fi")</f>
        <v>vikinghalytin.fi</v>
      </c>
      <c r="C25946" t="s">
        <v>445</v>
      </c>
      <c r="D25946" t="s">
        <v>823</v>
      </c>
      <c r="J25946">
        <v>11</v>
      </c>
    </row>
    <row r="25947" spans="1:10" x14ac:dyDescent="0.25">
      <c r="A25947" t="s">
        <v>284</v>
      </c>
      <c r="B25947" s="1" t="str">
        <f>HYPERLINK("http://vikingkontroll.fi","vikingkontroll.fi")</f>
        <v>vikingkontroll.fi</v>
      </c>
      <c r="C25947" t="s">
        <v>445</v>
      </c>
      <c r="D25947" t="s">
        <v>823</v>
      </c>
      <c r="J25947">
        <v>11</v>
      </c>
    </row>
    <row r="25948" spans="1:10" x14ac:dyDescent="0.25">
      <c r="A25948" t="s">
        <v>284</v>
      </c>
      <c r="B25948" s="1" t="str">
        <f>HYPERLINK("http://volvia.fi","volvia.fi")</f>
        <v>volvia.fi</v>
      </c>
      <c r="C25948" t="s">
        <v>445</v>
      </c>
      <c r="D25948" t="s">
        <v>823</v>
      </c>
      <c r="F25948">
        <v>1.7823358736652701E-8</v>
      </c>
      <c r="G25948">
        <v>3069768</v>
      </c>
      <c r="H25948">
        <v>12451384</v>
      </c>
      <c r="I25948">
        <v>17980593</v>
      </c>
      <c r="J25948">
        <v>10</v>
      </c>
    </row>
    <row r="25949" spans="1:10" x14ac:dyDescent="0.25">
      <c r="A25949" t="s">
        <v>284</v>
      </c>
      <c r="B25949" s="1" t="str">
        <f>HYPERLINK("http://whitecard.fi","whitecard.fi")</f>
        <v>whitecard.fi</v>
      </c>
      <c r="C25949" t="s">
        <v>445</v>
      </c>
      <c r="D25949" t="s">
        <v>823</v>
      </c>
      <c r="J25949">
        <v>2</v>
      </c>
    </row>
    <row r="25950" spans="1:10" x14ac:dyDescent="0.25">
      <c r="A25950" t="s">
        <v>284</v>
      </c>
      <c r="B25950" s="1" t="str">
        <f>HYPERLINK("http://whitemastercard.fi","whitemastercard.fi")</f>
        <v>whitemastercard.fi</v>
      </c>
      <c r="C25950" t="s">
        <v>445</v>
      </c>
      <c r="D25950" t="s">
        <v>823</v>
      </c>
      <c r="J25950">
        <v>2</v>
      </c>
    </row>
    <row r="25951" spans="1:10" x14ac:dyDescent="0.25">
      <c r="A25951" t="s">
        <v>284</v>
      </c>
      <c r="B25951" s="1" t="str">
        <f>HYPERLINK("http://www-nordea.fi","www-nordea.fi")</f>
        <v>www-nordea.fi</v>
      </c>
      <c r="C25951" t="s">
        <v>445</v>
      </c>
      <c r="D25951" t="s">
        <v>823</v>
      </c>
      <c r="J25951">
        <v>2</v>
      </c>
    </row>
    <row r="25952" spans="1:10" x14ac:dyDescent="0.25">
      <c r="A25952" t="s">
        <v>284</v>
      </c>
      <c r="B25952" s="1" t="str">
        <f>HYPERLINK("http://nordea.fr","nordea.fr")</f>
        <v>nordea.fr</v>
      </c>
      <c r="C25952" t="s">
        <v>446</v>
      </c>
      <c r="D25952" t="s">
        <v>824</v>
      </c>
      <c r="F25952">
        <v>1.5268241023932399E-8</v>
      </c>
      <c r="G25952">
        <v>3755209</v>
      </c>
      <c r="H25952">
        <v>12323837</v>
      </c>
      <c r="I25952">
        <v>20344035</v>
      </c>
      <c r="J25952">
        <v>3</v>
      </c>
    </row>
    <row r="25953" spans="1:10" x14ac:dyDescent="0.25">
      <c r="A25953" t="s">
        <v>284</v>
      </c>
      <c r="B25953" s="1" t="str">
        <f>HYPERLINK("http://advantage.gi","advantage.gi")</f>
        <v>advantage.gi</v>
      </c>
      <c r="C25953" t="s">
        <v>641</v>
      </c>
      <c r="D25953" t="s">
        <v>962</v>
      </c>
      <c r="J25953">
        <v>7</v>
      </c>
    </row>
    <row r="25954" spans="1:10" x14ac:dyDescent="0.25">
      <c r="A25954" t="s">
        <v>284</v>
      </c>
      <c r="B25954" s="1" t="str">
        <f>HYPERLINK("http://nordea.it","nordea.it")</f>
        <v>nordea.it</v>
      </c>
      <c r="C25954" t="s">
        <v>459</v>
      </c>
      <c r="D25954" t="s">
        <v>835</v>
      </c>
      <c r="F25954">
        <v>2.3117389348408E-8</v>
      </c>
      <c r="G25954">
        <v>2258243</v>
      </c>
      <c r="H25954">
        <v>12926157</v>
      </c>
      <c r="I25954">
        <v>13388137</v>
      </c>
      <c r="J25954">
        <v>3</v>
      </c>
    </row>
    <row r="25955" spans="1:10" x14ac:dyDescent="0.25">
      <c r="A25955" t="s">
        <v>284</v>
      </c>
      <c r="B25955" s="1" t="str">
        <f>HYPERLINK("http://if.lt","if.lt")</f>
        <v>if.lt</v>
      </c>
      <c r="C25955" t="s">
        <v>467</v>
      </c>
      <c r="D25955" t="s">
        <v>843</v>
      </c>
      <c r="F25955">
        <v>4.7490414949839397E-8</v>
      </c>
      <c r="G25955">
        <v>980779</v>
      </c>
      <c r="H25955">
        <v>14078118</v>
      </c>
      <c r="I25955">
        <v>2852386</v>
      </c>
      <c r="J25955">
        <v>8</v>
      </c>
    </row>
    <row r="25956" spans="1:10" x14ac:dyDescent="0.25">
      <c r="A25956" t="s">
        <v>284</v>
      </c>
      <c r="B25956" s="1" t="str">
        <f>HYPERLINK("http://nordea.lt","nordea.lt")</f>
        <v>nordea.lt</v>
      </c>
      <c r="C25956" t="s">
        <v>467</v>
      </c>
      <c r="D25956" t="s">
        <v>843</v>
      </c>
      <c r="F25956">
        <v>9.4700909698438205E-8</v>
      </c>
      <c r="G25956">
        <v>428321</v>
      </c>
      <c r="H25956">
        <v>14315043</v>
      </c>
      <c r="I25956">
        <v>1336447</v>
      </c>
      <c r="J25956">
        <v>3</v>
      </c>
    </row>
    <row r="25957" spans="1:10" x14ac:dyDescent="0.25">
      <c r="A25957" t="s">
        <v>284</v>
      </c>
      <c r="B25957" s="1" t="str">
        <f>HYPERLINK("http://mandatumlife.lu","mandatumlife.lu")</f>
        <v>mandatumlife.lu</v>
      </c>
      <c r="C25957" t="s">
        <v>547</v>
      </c>
      <c r="D25957" t="s">
        <v>904</v>
      </c>
      <c r="F25957">
        <v>5.9083237775669301E-9</v>
      </c>
      <c r="G25957">
        <v>17302089</v>
      </c>
      <c r="H25957">
        <v>10324897</v>
      </c>
      <c r="I25957">
        <v>58365705</v>
      </c>
      <c r="J25957">
        <v>7</v>
      </c>
    </row>
    <row r="25958" spans="1:10" x14ac:dyDescent="0.25">
      <c r="A25958" t="s">
        <v>284</v>
      </c>
      <c r="B25958" s="1" t="str">
        <f>HYPERLINK("http://nordea.lu","nordea.lu")</f>
        <v>nordea.lu</v>
      </c>
      <c r="C25958" t="s">
        <v>547</v>
      </c>
      <c r="D25958" t="s">
        <v>904</v>
      </c>
      <c r="F25958">
        <v>9.3630568274413894E-8</v>
      </c>
      <c r="G25958">
        <v>433972</v>
      </c>
      <c r="H25958">
        <v>16815448</v>
      </c>
      <c r="I25958">
        <v>188723</v>
      </c>
      <c r="J25958">
        <v>3</v>
      </c>
    </row>
    <row r="25959" spans="1:10" x14ac:dyDescent="0.25">
      <c r="A25959" t="s">
        <v>284</v>
      </c>
      <c r="B25959" s="1" t="str">
        <f>HYPERLINK("http://if.lv","if.lv")</f>
        <v>if.lv</v>
      </c>
      <c r="C25959" t="s">
        <v>468</v>
      </c>
      <c r="D25959" t="s">
        <v>844</v>
      </c>
      <c r="F25959">
        <v>5.4176561099282497E-8</v>
      </c>
      <c r="G25959">
        <v>834587</v>
      </c>
      <c r="H25959">
        <v>14447232</v>
      </c>
      <c r="I25959">
        <v>1055910</v>
      </c>
      <c r="J25959">
        <v>8</v>
      </c>
    </row>
    <row r="25960" spans="1:10" x14ac:dyDescent="0.25">
      <c r="A25960" t="s">
        <v>284</v>
      </c>
      <c r="B25960" s="1" t="str">
        <f>HYPERLINK("http://nordea.lv","nordea.lv")</f>
        <v>nordea.lv</v>
      </c>
      <c r="C25960" t="s">
        <v>468</v>
      </c>
      <c r="D25960" t="s">
        <v>844</v>
      </c>
      <c r="F25960">
        <v>2.6480612940705801E-8</v>
      </c>
      <c r="G25960">
        <v>1944282</v>
      </c>
      <c r="H25960">
        <v>13527180</v>
      </c>
      <c r="I25960">
        <v>9924160</v>
      </c>
      <c r="J25960">
        <v>3</v>
      </c>
    </row>
    <row r="25961" spans="1:10" x14ac:dyDescent="0.25">
      <c r="A25961" t="s">
        <v>284</v>
      </c>
      <c r="B25961" s="1" t="str">
        <f>HYPERLINK("http://nordea.nl","nordea.nl")</f>
        <v>nordea.nl</v>
      </c>
      <c r="C25961" t="s">
        <v>477</v>
      </c>
      <c r="D25961" t="s">
        <v>852</v>
      </c>
      <c r="F25961">
        <v>7.4075895961668102E-9</v>
      </c>
      <c r="G25961">
        <v>11226583</v>
      </c>
      <c r="H25961">
        <v>12385834</v>
      </c>
      <c r="I25961">
        <v>19110653</v>
      </c>
      <c r="J25961">
        <v>3</v>
      </c>
    </row>
    <row r="25962" spans="1:10" x14ac:dyDescent="0.25">
      <c r="A25962" t="s">
        <v>284</v>
      </c>
      <c r="B25962" s="1" t="str">
        <f>HYPERLINK("http://firstcard.no","firstcard.no")</f>
        <v>firstcard.no</v>
      </c>
      <c r="C25962" t="s">
        <v>478</v>
      </c>
      <c r="D25962" t="s">
        <v>853</v>
      </c>
      <c r="F25962">
        <v>7.5409115500579194E-9</v>
      </c>
      <c r="G25962">
        <v>10924425</v>
      </c>
      <c r="H25962">
        <v>11890454</v>
      </c>
      <c r="I25962">
        <v>29565225</v>
      </c>
      <c r="J25962">
        <v>2</v>
      </c>
    </row>
    <row r="25963" spans="1:10" x14ac:dyDescent="0.25">
      <c r="A25963" t="s">
        <v>284</v>
      </c>
      <c r="B25963" s="1" t="str">
        <f>HYPERLINK("http://if.no","if.no")</f>
        <v>if.no</v>
      </c>
      <c r="C25963" t="s">
        <v>478</v>
      </c>
      <c r="D25963" t="s">
        <v>853</v>
      </c>
      <c r="E25963">
        <v>323381</v>
      </c>
      <c r="F25963">
        <v>2.3428246182842899E-7</v>
      </c>
      <c r="G25963">
        <v>160037</v>
      </c>
      <c r="H25963">
        <v>14508688</v>
      </c>
      <c r="I25963">
        <v>827841</v>
      </c>
      <c r="J25963">
        <v>8</v>
      </c>
    </row>
    <row r="25964" spans="1:10" x14ac:dyDescent="0.25">
      <c r="A25964" t="s">
        <v>284</v>
      </c>
      <c r="B25964" s="1" t="str">
        <f>HYPERLINK("http://nordea.no","nordea.no")</f>
        <v>nordea.no</v>
      </c>
      <c r="C25964" t="s">
        <v>478</v>
      </c>
      <c r="D25964" t="s">
        <v>853</v>
      </c>
      <c r="E25964">
        <v>98121</v>
      </c>
      <c r="F25964">
        <v>3.4971397587541998E-7</v>
      </c>
      <c r="G25964">
        <v>106896</v>
      </c>
      <c r="H25964">
        <v>17182510</v>
      </c>
      <c r="I25964">
        <v>45032</v>
      </c>
      <c r="J25964">
        <v>2</v>
      </c>
    </row>
    <row r="25965" spans="1:10" x14ac:dyDescent="0.25">
      <c r="A25965" t="s">
        <v>284</v>
      </c>
      <c r="B25965" s="1" t="str">
        <f>HYPERLINK("http://nordeafinance.no","nordeafinance.no")</f>
        <v>nordeafinance.no</v>
      </c>
      <c r="C25965" t="s">
        <v>478</v>
      </c>
      <c r="D25965" t="s">
        <v>853</v>
      </c>
      <c r="F25965">
        <v>2.4321737869427999E-8</v>
      </c>
      <c r="G25965">
        <v>2131747</v>
      </c>
      <c r="H25965">
        <v>12355839</v>
      </c>
      <c r="I25965">
        <v>19666494</v>
      </c>
      <c r="J25965">
        <v>3</v>
      </c>
    </row>
    <row r="25966" spans="1:10" x14ac:dyDescent="0.25">
      <c r="A25966" t="s">
        <v>284</v>
      </c>
      <c r="B25966" s="1" t="str">
        <f>HYPERLINK("http://nordeafinans.no","nordeafinans.no")</f>
        <v>nordeafinans.no</v>
      </c>
      <c r="C25966" t="s">
        <v>478</v>
      </c>
      <c r="D25966" t="s">
        <v>853</v>
      </c>
      <c r="F25966">
        <v>1.7874627599816899E-8</v>
      </c>
      <c r="G25966">
        <v>3058850</v>
      </c>
      <c r="H25966">
        <v>12235320</v>
      </c>
      <c r="I25966">
        <v>22366374</v>
      </c>
      <c r="J25966">
        <v>3</v>
      </c>
    </row>
    <row r="25967" spans="1:10" x14ac:dyDescent="0.25">
      <c r="A25967" t="s">
        <v>284</v>
      </c>
      <c r="B25967" s="1" t="str">
        <f>HYPERLINK("http://nordealiv.no","nordealiv.no")</f>
        <v>nordealiv.no</v>
      </c>
      <c r="C25967" t="s">
        <v>478</v>
      </c>
      <c r="D25967" t="s">
        <v>853</v>
      </c>
      <c r="F25967">
        <v>1.6485265787186999E-7</v>
      </c>
      <c r="G25967">
        <v>235499</v>
      </c>
      <c r="H25967">
        <v>12890966</v>
      </c>
      <c r="I25967">
        <v>13932594</v>
      </c>
      <c r="J25967">
        <v>4</v>
      </c>
    </row>
    <row r="25968" spans="1:10" x14ac:dyDescent="0.25">
      <c r="A25968" t="s">
        <v>284</v>
      </c>
      <c r="B25968" s="1" t="str">
        <f>HYPERLINK("http://sgfinans.no","sgfinans.no")</f>
        <v>sgfinans.no</v>
      </c>
      <c r="C25968" t="s">
        <v>478</v>
      </c>
      <c r="D25968" t="s">
        <v>853</v>
      </c>
      <c r="F25968">
        <v>1.37745944941909E-8</v>
      </c>
      <c r="G25968">
        <v>4291494</v>
      </c>
      <c r="H25968">
        <v>14072721</v>
      </c>
      <c r="I25968">
        <v>3053891</v>
      </c>
      <c r="J25968">
        <v>3</v>
      </c>
    </row>
    <row r="25969" spans="1:10" x14ac:dyDescent="0.25">
      <c r="A25969" t="s">
        <v>284</v>
      </c>
      <c r="B25969" s="1" t="str">
        <f>HYPERLINK("http://vikingredning.no","vikingredning.no")</f>
        <v>vikingredning.no</v>
      </c>
      <c r="C25969" t="s">
        <v>478</v>
      </c>
      <c r="D25969" t="s">
        <v>853</v>
      </c>
      <c r="F25969">
        <v>5.2688692809207199E-8</v>
      </c>
      <c r="G25969">
        <v>865064</v>
      </c>
      <c r="H25969">
        <v>14080802</v>
      </c>
      <c r="I25969">
        <v>2816487</v>
      </c>
      <c r="J25969">
        <v>9</v>
      </c>
    </row>
    <row r="25970" spans="1:10" x14ac:dyDescent="0.25">
      <c r="A25970" t="s">
        <v>284</v>
      </c>
      <c r="B25970" s="1" t="str">
        <f>HYPERLINK("http://nordea.pl","nordea.pl")</f>
        <v>nordea.pl</v>
      </c>
      <c r="C25970" t="s">
        <v>486</v>
      </c>
      <c r="D25970" t="s">
        <v>860</v>
      </c>
      <c r="F25970">
        <v>2.3865633815783899E-8</v>
      </c>
      <c r="G25970">
        <v>2176277</v>
      </c>
      <c r="H25970">
        <v>14242947</v>
      </c>
      <c r="I25970">
        <v>1480460</v>
      </c>
      <c r="J25970">
        <v>5</v>
      </c>
    </row>
    <row r="25971" spans="1:10" x14ac:dyDescent="0.25">
      <c r="A25971" t="s">
        <v>284</v>
      </c>
      <c r="B25971" s="1" t="str">
        <f>HYPERLINK("http://nordea.ru","nordea.ru")</f>
        <v>nordea.ru</v>
      </c>
      <c r="C25971" t="s">
        <v>493</v>
      </c>
      <c r="D25971" t="s">
        <v>867</v>
      </c>
      <c r="E25971">
        <v>275680</v>
      </c>
      <c r="F25971">
        <v>5.6636386730063999E-8</v>
      </c>
      <c r="G25971">
        <v>789283</v>
      </c>
      <c r="H25971">
        <v>13789108</v>
      </c>
      <c r="I25971">
        <v>6358126</v>
      </c>
      <c r="J25971">
        <v>5</v>
      </c>
    </row>
    <row r="25972" spans="1:10" x14ac:dyDescent="0.25">
      <c r="A25972" t="s">
        <v>284</v>
      </c>
      <c r="B25972" s="1" t="str">
        <f>HYPERLINK("http://firstcard.se","firstcard.se")</f>
        <v>firstcard.se</v>
      </c>
      <c r="C25972" t="s">
        <v>495</v>
      </c>
      <c r="D25972" t="s">
        <v>869</v>
      </c>
      <c r="F25972">
        <v>5.5419948347201101E-8</v>
      </c>
      <c r="G25972">
        <v>810016</v>
      </c>
      <c r="H25972">
        <v>16751210</v>
      </c>
      <c r="I25972">
        <v>271204</v>
      </c>
      <c r="J25972">
        <v>2</v>
      </c>
    </row>
    <row r="25973" spans="1:10" x14ac:dyDescent="0.25">
      <c r="A25973" t="s">
        <v>284</v>
      </c>
      <c r="B25973" s="1" t="str">
        <f>HYPERLINK("http://if.se","if.se")</f>
        <v>if.se</v>
      </c>
      <c r="C25973" t="s">
        <v>495</v>
      </c>
      <c r="D25973" t="s">
        <v>869</v>
      </c>
      <c r="E25973">
        <v>245429</v>
      </c>
      <c r="F25973">
        <v>2.8657209727315202E-7</v>
      </c>
      <c r="G25973">
        <v>129717</v>
      </c>
      <c r="H25973">
        <v>14514310</v>
      </c>
      <c r="I25973">
        <v>815508</v>
      </c>
      <c r="J25973">
        <v>7</v>
      </c>
    </row>
    <row r="25974" spans="1:10" x14ac:dyDescent="0.25">
      <c r="A25974" t="s">
        <v>284</v>
      </c>
      <c r="B25974" s="1" t="str">
        <f>HYPERLINK("http://nordea.se","nordea.se")</f>
        <v>nordea.se</v>
      </c>
      <c r="C25974" t="s">
        <v>495</v>
      </c>
      <c r="D25974" t="s">
        <v>869</v>
      </c>
      <c r="E25974">
        <v>52572</v>
      </c>
      <c r="F25974">
        <v>6.0423831093801299E-7</v>
      </c>
      <c r="G25974">
        <v>63288</v>
      </c>
      <c r="H25974">
        <v>14738641</v>
      </c>
      <c r="I25974">
        <v>568347</v>
      </c>
      <c r="J25974">
        <v>2</v>
      </c>
    </row>
    <row r="25975" spans="1:10" x14ac:dyDescent="0.25">
      <c r="A25975" t="s">
        <v>284</v>
      </c>
      <c r="B25975" s="1" t="str">
        <f>HYPERLINK("http://nordeafinance.se","nordeafinance.se")</f>
        <v>nordeafinance.se</v>
      </c>
      <c r="C25975" t="s">
        <v>495</v>
      </c>
      <c r="D25975" t="s">
        <v>869</v>
      </c>
      <c r="F25975">
        <v>5.0941470796303797E-8</v>
      </c>
      <c r="G25975">
        <v>900144</v>
      </c>
      <c r="H25975">
        <v>12323613</v>
      </c>
      <c r="I25975">
        <v>20347320</v>
      </c>
      <c r="J25975">
        <v>4</v>
      </c>
    </row>
    <row r="25976" spans="1:10" x14ac:dyDescent="0.25">
      <c r="A25976" t="s">
        <v>284</v>
      </c>
      <c r="B25976" s="1" t="str">
        <f>HYPERLINK("http://volvia.se","volvia.se")</f>
        <v>volvia.se</v>
      </c>
      <c r="C25976" t="s">
        <v>495</v>
      </c>
      <c r="D25976" t="s">
        <v>869</v>
      </c>
      <c r="F25976">
        <v>7.9298313383358294E-8</v>
      </c>
      <c r="G25976">
        <v>526967</v>
      </c>
      <c r="H25976">
        <v>16753970</v>
      </c>
      <c r="I25976">
        <v>245212</v>
      </c>
      <c r="J25976">
        <v>11</v>
      </c>
    </row>
    <row r="25977" spans="1:10" x14ac:dyDescent="0.25">
      <c r="A25977" t="s">
        <v>284</v>
      </c>
      <c r="B25977" s="1" t="str">
        <f>HYPERLINK("http://nordea.co.uk","nordea.co.uk")</f>
        <v>nordea.co.uk</v>
      </c>
      <c r="C25977" t="s">
        <v>506</v>
      </c>
      <c r="D25977" t="s">
        <v>880</v>
      </c>
      <c r="F25977">
        <v>9.6726931672340605E-9</v>
      </c>
      <c r="G25977">
        <v>7112840</v>
      </c>
      <c r="H25977">
        <v>12208670</v>
      </c>
      <c r="I25977">
        <v>23059613</v>
      </c>
      <c r="J25977">
        <v>3</v>
      </c>
    </row>
    <row r="25978" spans="1:10" x14ac:dyDescent="0.25">
      <c r="A25978" t="s">
        <v>284</v>
      </c>
      <c r="B25978" s="1" t="str">
        <f>HYPERLINK("http://strachans.co.uk","strachans.co.uk")</f>
        <v>strachans.co.uk</v>
      </c>
      <c r="C25978" t="s">
        <v>506</v>
      </c>
      <c r="D25978" t="s">
        <v>880</v>
      </c>
      <c r="F25978">
        <v>5.3042241057072296E-9</v>
      </c>
      <c r="G25978">
        <v>23430656</v>
      </c>
      <c r="H25978">
        <v>10355476</v>
      </c>
      <c r="I25978">
        <v>55758386</v>
      </c>
      <c r="J25978">
        <v>8</v>
      </c>
    </row>
    <row r="25979" spans="1:10" x14ac:dyDescent="0.25">
      <c r="A25979" t="s">
        <v>285</v>
      </c>
      <c r="B25979" s="1" t="str">
        <f>HYPERLINK("http://nscorp.com","nscorp.com")</f>
        <v>nscorp.com</v>
      </c>
      <c r="C25979" t="s">
        <v>433</v>
      </c>
      <c r="E25979">
        <v>52677</v>
      </c>
      <c r="F25979">
        <v>4.90457571128161E-7</v>
      </c>
      <c r="G25979">
        <v>77755</v>
      </c>
      <c r="H25979">
        <v>15440032</v>
      </c>
      <c r="I25979">
        <v>378587</v>
      </c>
      <c r="J25979">
        <v>1</v>
      </c>
    </row>
    <row r="25980" spans="1:10" x14ac:dyDescent="0.25">
      <c r="A25980" t="s">
        <v>285</v>
      </c>
      <c r="B25980" s="1" t="str">
        <f>HYPERLINK("http://cincinnatisouthernrailway.org","cincinnatisouthernrailway.org")</f>
        <v>cincinnatisouthernrailway.org</v>
      </c>
      <c r="C25980" t="s">
        <v>481</v>
      </c>
      <c r="F25980">
        <v>8.3043132866502893E-9</v>
      </c>
      <c r="G25980">
        <v>9247308</v>
      </c>
      <c r="H25980">
        <v>14073904</v>
      </c>
      <c r="I25980">
        <v>2965293</v>
      </c>
      <c r="J25980">
        <v>4</v>
      </c>
    </row>
    <row r="25981" spans="1:10" x14ac:dyDescent="0.25">
      <c r="A25981" t="s">
        <v>286</v>
      </c>
      <c r="B25981" s="1" t="str">
        <f>HYPERLINK("http://litef.com","litef.com")</f>
        <v>litef.com</v>
      </c>
      <c r="C25981" t="s">
        <v>433</v>
      </c>
      <c r="F25981">
        <v>1.28288214298096E-8</v>
      </c>
      <c r="G25981">
        <v>4714512</v>
      </c>
      <c r="H25981">
        <v>14077092</v>
      </c>
      <c r="I25981">
        <v>2873021</v>
      </c>
      <c r="J25981">
        <v>4</v>
      </c>
    </row>
    <row r="25982" spans="1:10" x14ac:dyDescent="0.25">
      <c r="A25982" t="s">
        <v>286</v>
      </c>
      <c r="B25982" s="1" t="str">
        <f>HYPERLINK("http://myngc.com","myngc.com")</f>
        <v>myngc.com</v>
      </c>
      <c r="C25982" t="s">
        <v>433</v>
      </c>
      <c r="E25982">
        <v>89435</v>
      </c>
      <c r="F25982">
        <v>1.37092620775498E-8</v>
      </c>
      <c r="G25982">
        <v>4317460</v>
      </c>
      <c r="H25982">
        <v>12938860</v>
      </c>
      <c r="I25982">
        <v>13306761</v>
      </c>
      <c r="J25982">
        <v>5</v>
      </c>
    </row>
    <row r="25983" spans="1:10" x14ac:dyDescent="0.25">
      <c r="A25983" t="s">
        <v>286</v>
      </c>
      <c r="B25983" s="1" t="str">
        <f>HYPERLINK("http://ngc.com","ngc.com")</f>
        <v>ngc.com</v>
      </c>
      <c r="C25983" t="s">
        <v>433</v>
      </c>
      <c r="E25983">
        <v>53568</v>
      </c>
      <c r="F25983">
        <v>3.6674695373818299E-8</v>
      </c>
      <c r="G25983">
        <v>1424717</v>
      </c>
      <c r="H25983">
        <v>13977071</v>
      </c>
      <c r="I25983">
        <v>4058557</v>
      </c>
      <c r="J25983">
        <v>3</v>
      </c>
    </row>
    <row r="25984" spans="1:10" x14ac:dyDescent="0.25">
      <c r="A25984" t="s">
        <v>286</v>
      </c>
      <c r="B25984" s="1" t="str">
        <f>HYPERLINK("http://northgrum.com","northgrum.com")</f>
        <v>northgrum.com</v>
      </c>
      <c r="C25984" t="s">
        <v>433</v>
      </c>
      <c r="E25984">
        <v>608</v>
      </c>
      <c r="F25984">
        <v>4.5221739892196597E-8</v>
      </c>
      <c r="G25984">
        <v>1042844</v>
      </c>
      <c r="H25984">
        <v>14616222</v>
      </c>
      <c r="I25984">
        <v>665374</v>
      </c>
      <c r="J25984">
        <v>3</v>
      </c>
    </row>
    <row r="25985" spans="1:10" x14ac:dyDescent="0.25">
      <c r="A25985" t="s">
        <v>286</v>
      </c>
      <c r="B25985" s="1" t="str">
        <f>HYPERLINK("http://northgrumman.com","northgrumman.com")</f>
        <v>northgrumman.com</v>
      </c>
      <c r="C25985" t="s">
        <v>433</v>
      </c>
      <c r="F25985">
        <v>5.0043999445280602E-9</v>
      </c>
      <c r="G25985">
        <v>29305353</v>
      </c>
      <c r="H25985">
        <v>10951659</v>
      </c>
      <c r="I25985">
        <v>34546211</v>
      </c>
      <c r="J25985">
        <v>5</v>
      </c>
    </row>
    <row r="25986" spans="1:10" x14ac:dyDescent="0.25">
      <c r="A25986" t="s">
        <v>286</v>
      </c>
      <c r="B25986" s="1" t="str">
        <f>HYPERLINK("http://northrop.com","northrop.com")</f>
        <v>northrop.com</v>
      </c>
      <c r="C25986" t="s">
        <v>433</v>
      </c>
      <c r="E25986">
        <v>484531</v>
      </c>
      <c r="F25986">
        <v>5.4113512997104296E-9</v>
      </c>
      <c r="G25986">
        <v>21969225</v>
      </c>
      <c r="H25986">
        <v>12562305</v>
      </c>
      <c r="I25986">
        <v>16691072</v>
      </c>
      <c r="J25986">
        <v>3</v>
      </c>
    </row>
    <row r="25987" spans="1:10" x14ac:dyDescent="0.25">
      <c r="A25987" t="s">
        <v>286</v>
      </c>
      <c r="B25987" s="1" t="str">
        <f>HYPERLINK("http://northropgrumann.com","northropgrumann.com")</f>
        <v>northropgrumann.com</v>
      </c>
      <c r="C25987" t="s">
        <v>433</v>
      </c>
      <c r="J25987">
        <v>3</v>
      </c>
    </row>
    <row r="25988" spans="1:10" x14ac:dyDescent="0.25">
      <c r="A25988" t="s">
        <v>286</v>
      </c>
      <c r="B25988" s="1" t="str">
        <f>HYPERLINK("http://northropgrumman.com","northropgrumman.com")</f>
        <v>northropgrumman.com</v>
      </c>
      <c r="C25988" t="s">
        <v>433</v>
      </c>
      <c r="E25988">
        <v>14970</v>
      </c>
      <c r="F25988">
        <v>2.60704393788486E-6</v>
      </c>
      <c r="G25988">
        <v>14537</v>
      </c>
      <c r="H25988">
        <v>17613270</v>
      </c>
      <c r="I25988">
        <v>9292</v>
      </c>
      <c r="J25988">
        <v>1</v>
      </c>
    </row>
    <row r="25989" spans="1:10" x14ac:dyDescent="0.25">
      <c r="A25989" t="s">
        <v>286</v>
      </c>
      <c r="B25989" s="1" t="str">
        <f>HYPERLINK("http://northropgrummaninternational.com","northropgrummaninternational.com")</f>
        <v>northropgrummaninternational.com</v>
      </c>
      <c r="C25989" t="s">
        <v>433</v>
      </c>
      <c r="F25989">
        <v>6.0045835625502203E-9</v>
      </c>
      <c r="G25989">
        <v>16655290</v>
      </c>
      <c r="H25989">
        <v>12557121</v>
      </c>
      <c r="I25989">
        <v>16745962</v>
      </c>
      <c r="J25989">
        <v>4</v>
      </c>
    </row>
    <row r="25990" spans="1:10" x14ac:dyDescent="0.25">
      <c r="A25990" t="s">
        <v>286</v>
      </c>
      <c r="B25990" s="1" t="str">
        <f>HYPERLINK("http://northropgrummanit.com","northropgrummanit.com")</f>
        <v>northropgrummanit.com</v>
      </c>
      <c r="C25990" t="s">
        <v>433</v>
      </c>
      <c r="F25990">
        <v>4.9476488401717398E-9</v>
      </c>
      <c r="G25990">
        <v>30853135</v>
      </c>
      <c r="H25990">
        <v>12663207</v>
      </c>
      <c r="I25990">
        <v>15691862</v>
      </c>
      <c r="J25990">
        <v>5</v>
      </c>
    </row>
    <row r="25991" spans="1:10" x14ac:dyDescent="0.25">
      <c r="A25991" t="s">
        <v>286</v>
      </c>
      <c r="B25991" s="1" t="str">
        <f>HYPERLINK("http://scaled.com","scaled.com")</f>
        <v>scaled.com</v>
      </c>
      <c r="C25991" t="s">
        <v>433</v>
      </c>
      <c r="E25991">
        <v>230423</v>
      </c>
      <c r="F25991">
        <v>1.97859938334162E-7</v>
      </c>
      <c r="G25991">
        <v>194881</v>
      </c>
      <c r="H25991">
        <v>15070203</v>
      </c>
      <c r="I25991">
        <v>411121</v>
      </c>
      <c r="J25991">
        <v>3</v>
      </c>
    </row>
    <row r="25992" spans="1:10" x14ac:dyDescent="0.25">
      <c r="A25992" t="s">
        <v>286</v>
      </c>
      <c r="B25992" s="1" t="str">
        <f>HYPERLINK("http://litef.de","litef.de")</f>
        <v>litef.de</v>
      </c>
      <c r="C25992" t="s">
        <v>436</v>
      </c>
      <c r="D25992" t="s">
        <v>815</v>
      </c>
      <c r="F25992">
        <v>1.9774969358342801E-8</v>
      </c>
      <c r="G25992">
        <v>2697150</v>
      </c>
      <c r="H25992">
        <v>14075692</v>
      </c>
      <c r="I25992">
        <v>2902849</v>
      </c>
      <c r="J25992">
        <v>3</v>
      </c>
    </row>
    <row r="25993" spans="1:10" x14ac:dyDescent="0.25">
      <c r="A25993" t="s">
        <v>286</v>
      </c>
      <c r="B25993" s="1" t="str">
        <f>HYPERLINK("http://northropgrumman.it","northropgrumman.it")</f>
        <v>northropgrumman.it</v>
      </c>
      <c r="C25993" t="s">
        <v>459</v>
      </c>
      <c r="D25993" t="s">
        <v>835</v>
      </c>
      <c r="F25993">
        <v>1.1466140503079699E-8</v>
      </c>
      <c r="G25993">
        <v>5528118</v>
      </c>
      <c r="H25993">
        <v>14076888</v>
      </c>
      <c r="I25993">
        <v>2877846</v>
      </c>
      <c r="J25993">
        <v>4</v>
      </c>
    </row>
    <row r="25994" spans="1:10" x14ac:dyDescent="0.25">
      <c r="A25994" t="s">
        <v>286</v>
      </c>
      <c r="B25994" s="1" t="str">
        <f>HYPERLINK("http://northropgrumman.jobs","northropgrumman.jobs")</f>
        <v>northropgrumman.jobs</v>
      </c>
      <c r="C25994" t="s">
        <v>521</v>
      </c>
      <c r="F25994">
        <v>1.24389753653484E-8</v>
      </c>
      <c r="G25994">
        <v>4918236</v>
      </c>
      <c r="H25994">
        <v>12882744</v>
      </c>
      <c r="I25994">
        <v>13985380</v>
      </c>
      <c r="J25994">
        <v>2</v>
      </c>
    </row>
    <row r="25995" spans="1:10" x14ac:dyDescent="0.25">
      <c r="A25995" t="s">
        <v>287</v>
      </c>
      <c r="B25995" s="1" t="str">
        <f>HYPERLINK("http://novartis.com.ar","novartis.com.ar")</f>
        <v>novartis.com.ar</v>
      </c>
      <c r="C25995" t="s">
        <v>418</v>
      </c>
      <c r="D25995" t="s">
        <v>800</v>
      </c>
      <c r="F25995">
        <v>2.1195548582769601E-8</v>
      </c>
      <c r="G25995">
        <v>2488290</v>
      </c>
      <c r="H25995">
        <v>13768330</v>
      </c>
      <c r="I25995">
        <v>6881513</v>
      </c>
      <c r="J25995">
        <v>2</v>
      </c>
    </row>
    <row r="25996" spans="1:10" x14ac:dyDescent="0.25">
      <c r="A25996" t="s">
        <v>287</v>
      </c>
      <c r="B25996" s="1" t="str">
        <f>HYPERLINK("http://sandoz.com.ar","sandoz.com.ar")</f>
        <v>sandoz.com.ar</v>
      </c>
      <c r="C25996" t="s">
        <v>418</v>
      </c>
      <c r="D25996" t="s">
        <v>800</v>
      </c>
      <c r="F25996">
        <v>1.0332902144861E-8</v>
      </c>
      <c r="G25996">
        <v>6420339</v>
      </c>
      <c r="H25996">
        <v>12319441</v>
      </c>
      <c r="I25996">
        <v>20430471</v>
      </c>
      <c r="J25996">
        <v>4</v>
      </c>
    </row>
    <row r="25997" spans="1:10" x14ac:dyDescent="0.25">
      <c r="A25997" t="s">
        <v>287</v>
      </c>
      <c r="B25997" s="1" t="str">
        <f>HYPERLINK("http://novartis.at","novartis.at")</f>
        <v>novartis.at</v>
      </c>
      <c r="C25997" t="s">
        <v>419</v>
      </c>
      <c r="D25997" t="s">
        <v>801</v>
      </c>
      <c r="F25997">
        <v>1.17211956297388E-7</v>
      </c>
      <c r="G25997">
        <v>339037</v>
      </c>
      <c r="H25997">
        <v>16875238</v>
      </c>
      <c r="I25997">
        <v>142034</v>
      </c>
      <c r="J25997">
        <v>2</v>
      </c>
    </row>
    <row r="25998" spans="1:10" x14ac:dyDescent="0.25">
      <c r="A25998" t="s">
        <v>287</v>
      </c>
      <c r="B25998" s="1" t="str">
        <f>HYPERLINK("http://sandoz.at","sandoz.at")</f>
        <v>sandoz.at</v>
      </c>
      <c r="C25998" t="s">
        <v>419</v>
      </c>
      <c r="D25998" t="s">
        <v>801</v>
      </c>
      <c r="F25998">
        <v>3.8502220676267102E-8</v>
      </c>
      <c r="G25998">
        <v>1339559</v>
      </c>
      <c r="H25998">
        <v>12896204</v>
      </c>
      <c r="I25998">
        <v>13896589</v>
      </c>
      <c r="J25998">
        <v>3</v>
      </c>
    </row>
    <row r="25999" spans="1:10" x14ac:dyDescent="0.25">
      <c r="A25999" t="s">
        <v>287</v>
      </c>
      <c r="B25999" s="1" t="str">
        <f>HYPERLINK("http://novartis.com.au","novartis.com.au")</f>
        <v>novartis.com.au</v>
      </c>
      <c r="C25999" t="s">
        <v>420</v>
      </c>
      <c r="D25999" t="s">
        <v>802</v>
      </c>
      <c r="F25999">
        <v>3.7376839637536198E-8</v>
      </c>
      <c r="G25999">
        <v>1385094</v>
      </c>
      <c r="H25999">
        <v>14261703</v>
      </c>
      <c r="I25999">
        <v>1416595</v>
      </c>
      <c r="J25999">
        <v>2</v>
      </c>
    </row>
    <row r="26000" spans="1:10" x14ac:dyDescent="0.25">
      <c r="A26000" t="s">
        <v>287</v>
      </c>
      <c r="B26000" s="1" t="str">
        <f>HYPERLINK("http://sandoz.com.au","sandoz.com.au")</f>
        <v>sandoz.com.au</v>
      </c>
      <c r="C26000" t="s">
        <v>420</v>
      </c>
      <c r="D26000" t="s">
        <v>802</v>
      </c>
      <c r="F26000">
        <v>7.4351486044449604E-9</v>
      </c>
      <c r="G26000">
        <v>11160896</v>
      </c>
      <c r="H26000">
        <v>11062123</v>
      </c>
      <c r="I26000">
        <v>32661069</v>
      </c>
      <c r="J26000">
        <v>4</v>
      </c>
    </row>
    <row r="26001" spans="1:10" x14ac:dyDescent="0.25">
      <c r="A26001" t="s">
        <v>287</v>
      </c>
      <c r="B26001" s="1" t="str">
        <f>HYPERLINK("http://novartis.com.bd","novartis.com.bd")</f>
        <v>novartis.com.bd</v>
      </c>
      <c r="C26001" t="s">
        <v>603</v>
      </c>
      <c r="D26001" t="s">
        <v>934</v>
      </c>
      <c r="F26001">
        <v>7.9577135924491799E-9</v>
      </c>
      <c r="G26001">
        <v>9999202</v>
      </c>
      <c r="H26001">
        <v>13765539</v>
      </c>
      <c r="I26001">
        <v>7092485</v>
      </c>
      <c r="J26001">
        <v>2</v>
      </c>
    </row>
    <row r="26002" spans="1:10" x14ac:dyDescent="0.25">
      <c r="A26002" t="s">
        <v>287</v>
      </c>
      <c r="B26002" s="1" t="str">
        <f>HYPERLINK("http://novartis.be","novartis.be")</f>
        <v>novartis.be</v>
      </c>
      <c r="C26002" t="s">
        <v>421</v>
      </c>
      <c r="D26002" t="s">
        <v>803</v>
      </c>
      <c r="F26002">
        <v>2.9592084213366201E-8</v>
      </c>
      <c r="G26002">
        <v>1742048</v>
      </c>
      <c r="H26002">
        <v>12619227</v>
      </c>
      <c r="I26002">
        <v>16097917</v>
      </c>
      <c r="J26002">
        <v>2</v>
      </c>
    </row>
    <row r="26003" spans="1:10" x14ac:dyDescent="0.25">
      <c r="A26003" t="s">
        <v>287</v>
      </c>
      <c r="B26003" s="1" t="str">
        <f>HYPERLINK("http://sandoz.be","sandoz.be")</f>
        <v>sandoz.be</v>
      </c>
      <c r="C26003" t="s">
        <v>421</v>
      </c>
      <c r="D26003" t="s">
        <v>803</v>
      </c>
      <c r="F26003">
        <v>1.19983281200951E-8</v>
      </c>
      <c r="G26003">
        <v>5176660</v>
      </c>
      <c r="H26003">
        <v>12365928</v>
      </c>
      <c r="I26003">
        <v>19482142</v>
      </c>
      <c r="J26003">
        <v>3</v>
      </c>
    </row>
    <row r="26004" spans="1:10" x14ac:dyDescent="0.25">
      <c r="A26004" t="s">
        <v>287</v>
      </c>
      <c r="B26004" s="1" t="str">
        <f>HYPERLINK("http://novartis.bg","novartis.bg")</f>
        <v>novartis.bg</v>
      </c>
      <c r="C26004" t="s">
        <v>422</v>
      </c>
      <c r="D26004" t="s">
        <v>804</v>
      </c>
      <c r="F26004">
        <v>1.5262041320111698E-8</v>
      </c>
      <c r="G26004">
        <v>3757108</v>
      </c>
      <c r="H26004">
        <v>12346216</v>
      </c>
      <c r="I26004">
        <v>19830521</v>
      </c>
      <c r="J26004">
        <v>2</v>
      </c>
    </row>
    <row r="26005" spans="1:10" x14ac:dyDescent="0.25">
      <c r="A26005" t="s">
        <v>287</v>
      </c>
      <c r="B26005" s="1" t="str">
        <f>HYPERLINK("http://sandoz.bg","sandoz.bg")</f>
        <v>sandoz.bg</v>
      </c>
      <c r="C26005" t="s">
        <v>422</v>
      </c>
      <c r="D26005" t="s">
        <v>804</v>
      </c>
      <c r="F26005">
        <v>9.1222132029910097E-9</v>
      </c>
      <c r="G26005">
        <v>7816343</v>
      </c>
      <c r="H26005">
        <v>12303455</v>
      </c>
      <c r="I26005">
        <v>20762679</v>
      </c>
      <c r="J26005">
        <v>4</v>
      </c>
    </row>
    <row r="26006" spans="1:10" x14ac:dyDescent="0.25">
      <c r="A26006" t="s">
        <v>287</v>
      </c>
      <c r="B26006" s="1" t="str">
        <f>HYPERLINK("http://hexal.biz","hexal.biz")</f>
        <v>hexal.biz</v>
      </c>
      <c r="C26006" t="s">
        <v>423</v>
      </c>
      <c r="F26006">
        <v>1.5675665145549301E-8</v>
      </c>
      <c r="G26006">
        <v>3634160</v>
      </c>
      <c r="H26006">
        <v>14074776</v>
      </c>
      <c r="I26006">
        <v>2929827</v>
      </c>
      <c r="J26006">
        <v>4</v>
      </c>
    </row>
    <row r="26007" spans="1:10" x14ac:dyDescent="0.25">
      <c r="A26007" t="s">
        <v>287</v>
      </c>
      <c r="B26007" s="1" t="str">
        <f>HYPERLINK("http://novartis.com.br","novartis.com.br")</f>
        <v>novartis.com.br</v>
      </c>
      <c r="C26007" t="s">
        <v>425</v>
      </c>
      <c r="D26007" t="s">
        <v>806</v>
      </c>
      <c r="E26007">
        <v>640975</v>
      </c>
      <c r="F26007">
        <v>3.0414307523031998E-8</v>
      </c>
      <c r="G26007">
        <v>1692755</v>
      </c>
      <c r="H26007">
        <v>14520079</v>
      </c>
      <c r="I26007">
        <v>805592</v>
      </c>
      <c r="J26007">
        <v>2</v>
      </c>
    </row>
    <row r="26008" spans="1:10" x14ac:dyDescent="0.25">
      <c r="A26008" t="s">
        <v>287</v>
      </c>
      <c r="B26008" s="1" t="str">
        <f>HYPERLINK("http://sandoz.com.br","sandoz.com.br")</f>
        <v>sandoz.com.br</v>
      </c>
      <c r="C26008" t="s">
        <v>425</v>
      </c>
      <c r="D26008" t="s">
        <v>806</v>
      </c>
      <c r="F26008">
        <v>7.8093829763524104E-9</v>
      </c>
      <c r="G26008">
        <v>10299739</v>
      </c>
      <c r="H26008">
        <v>12835282</v>
      </c>
      <c r="I26008">
        <v>14381451</v>
      </c>
      <c r="J26008">
        <v>3</v>
      </c>
    </row>
    <row r="26009" spans="1:10" x14ac:dyDescent="0.25">
      <c r="A26009" t="s">
        <v>287</v>
      </c>
      <c r="B26009" s="1" t="str">
        <f>HYPERLINK("http://novartis.ca","novartis.ca")</f>
        <v>novartis.ca</v>
      </c>
      <c r="C26009" t="s">
        <v>428</v>
      </c>
      <c r="D26009" t="s">
        <v>809</v>
      </c>
      <c r="E26009">
        <v>955919</v>
      </c>
      <c r="F26009">
        <v>8.3334365897888499E-8</v>
      </c>
      <c r="G26009">
        <v>498753</v>
      </c>
      <c r="H26009">
        <v>14859015</v>
      </c>
      <c r="I26009">
        <v>485367</v>
      </c>
      <c r="J26009">
        <v>2</v>
      </c>
    </row>
    <row r="26010" spans="1:10" x14ac:dyDescent="0.25">
      <c r="A26010" t="s">
        <v>287</v>
      </c>
      <c r="B26010" s="1" t="str">
        <f>HYPERLINK("http://sandoz.ca","sandoz.ca")</f>
        <v>sandoz.ca</v>
      </c>
      <c r="C26010" t="s">
        <v>428</v>
      </c>
      <c r="D26010" t="s">
        <v>809</v>
      </c>
      <c r="F26010">
        <v>5.0610181269041701E-8</v>
      </c>
      <c r="G26010">
        <v>907206</v>
      </c>
      <c r="H26010">
        <v>14111425</v>
      </c>
      <c r="I26010">
        <v>2672488</v>
      </c>
      <c r="J26010">
        <v>4</v>
      </c>
    </row>
    <row r="26011" spans="1:10" x14ac:dyDescent="0.25">
      <c r="A26011" t="s">
        <v>287</v>
      </c>
      <c r="B26011" s="1" t="str">
        <f>HYPERLINK("http://novartis.ch","novartis.ch")</f>
        <v>novartis.ch</v>
      </c>
      <c r="C26011" t="s">
        <v>429</v>
      </c>
      <c r="D26011" t="s">
        <v>810</v>
      </c>
      <c r="F26011">
        <v>1.2047034110839601E-7</v>
      </c>
      <c r="G26011">
        <v>328003</v>
      </c>
      <c r="H26011">
        <v>14519778</v>
      </c>
      <c r="I26011">
        <v>806059</v>
      </c>
      <c r="J26011">
        <v>2</v>
      </c>
    </row>
    <row r="26012" spans="1:10" x14ac:dyDescent="0.25">
      <c r="A26012" t="s">
        <v>287</v>
      </c>
      <c r="B26012" s="1" t="str">
        <f>HYPERLINK("http://novartispharma.ch","novartispharma.ch")</f>
        <v>novartispharma.ch</v>
      </c>
      <c r="C26012" t="s">
        <v>429</v>
      </c>
      <c r="D26012" t="s">
        <v>810</v>
      </c>
      <c r="F26012">
        <v>1.6045027342039601E-8</v>
      </c>
      <c r="G26012">
        <v>3534638</v>
      </c>
      <c r="H26012">
        <v>13128511</v>
      </c>
      <c r="I26012">
        <v>11947770</v>
      </c>
      <c r="J26012">
        <v>3</v>
      </c>
    </row>
    <row r="26013" spans="1:10" x14ac:dyDescent="0.25">
      <c r="A26013" t="s">
        <v>287</v>
      </c>
      <c r="B26013" s="1" t="str">
        <f>HYPERLINK("http://novartis.cl","novartis.cl")</f>
        <v>novartis.cl</v>
      </c>
      <c r="C26013" t="s">
        <v>430</v>
      </c>
      <c r="D26013" t="s">
        <v>811</v>
      </c>
      <c r="F26013">
        <v>6.6203667919274701E-9</v>
      </c>
      <c r="G26013">
        <v>13596764</v>
      </c>
      <c r="H26013">
        <v>12308117</v>
      </c>
      <c r="I26013">
        <v>20675248</v>
      </c>
      <c r="J26013">
        <v>2</v>
      </c>
    </row>
    <row r="26014" spans="1:10" x14ac:dyDescent="0.25">
      <c r="A26014" t="s">
        <v>287</v>
      </c>
      <c r="B26014" s="1" t="str">
        <f>HYPERLINK("http://novartis.com.cn","novartis.com.cn")</f>
        <v>novartis.com.cn</v>
      </c>
      <c r="C26014" t="s">
        <v>431</v>
      </c>
      <c r="D26014" t="s">
        <v>812</v>
      </c>
      <c r="E26014">
        <v>666247</v>
      </c>
      <c r="F26014">
        <v>1.31586836674418E-7</v>
      </c>
      <c r="G26014">
        <v>297137</v>
      </c>
      <c r="H26014">
        <v>14158314</v>
      </c>
      <c r="I26014">
        <v>1845428</v>
      </c>
      <c r="J26014">
        <v>2</v>
      </c>
    </row>
    <row r="26015" spans="1:10" x14ac:dyDescent="0.25">
      <c r="A26015" t="s">
        <v>287</v>
      </c>
      <c r="B26015" s="1" t="str">
        <f>HYPERLINK("http://sandoz.com.cn","sandoz.com.cn")</f>
        <v>sandoz.com.cn</v>
      </c>
      <c r="C26015" t="s">
        <v>431</v>
      </c>
      <c r="D26015" t="s">
        <v>812</v>
      </c>
      <c r="F26015">
        <v>9.1743352485991698E-9</v>
      </c>
      <c r="G26015">
        <v>7744439</v>
      </c>
      <c r="H26015">
        <v>12324052</v>
      </c>
      <c r="I26015">
        <v>20340664</v>
      </c>
      <c r="J26015">
        <v>4</v>
      </c>
    </row>
    <row r="26016" spans="1:10" x14ac:dyDescent="0.25">
      <c r="A26016" t="s">
        <v>287</v>
      </c>
      <c r="B26016" s="1" t="str">
        <f>HYPERLINK("http://novartis.com.co","novartis.com.co")</f>
        <v>novartis.com.co</v>
      </c>
      <c r="C26016" t="s">
        <v>432</v>
      </c>
      <c r="F26016">
        <v>1.7604268453988301E-8</v>
      </c>
      <c r="G26016">
        <v>3117985</v>
      </c>
      <c r="H26016">
        <v>13937342</v>
      </c>
      <c r="I26016">
        <v>4466705</v>
      </c>
      <c r="J26016">
        <v>2</v>
      </c>
    </row>
    <row r="26017" spans="1:10" x14ac:dyDescent="0.25">
      <c r="A26017" t="s">
        <v>287</v>
      </c>
      <c r="B26017" s="1" t="str">
        <f>HYPERLINK("http://sandoz.com.co","sandoz.com.co")</f>
        <v>sandoz.com.co</v>
      </c>
      <c r="C26017" t="s">
        <v>432</v>
      </c>
      <c r="F26017">
        <v>5.8379678212018703E-9</v>
      </c>
      <c r="G26017">
        <v>17799641</v>
      </c>
      <c r="H26017">
        <v>11045274</v>
      </c>
      <c r="I26017">
        <v>32857905</v>
      </c>
      <c r="J26017">
        <v>4</v>
      </c>
    </row>
    <row r="26018" spans="1:10" x14ac:dyDescent="0.25">
      <c r="A26018" t="s">
        <v>287</v>
      </c>
      <c r="B26018" s="1" t="str">
        <f>HYPERLINK("http://adacap.com","adacap.com")</f>
        <v>adacap.com</v>
      </c>
      <c r="C26018" t="s">
        <v>433</v>
      </c>
      <c r="F26018">
        <v>8.88721283731105E-8</v>
      </c>
      <c r="G26018">
        <v>460156</v>
      </c>
      <c r="H26018">
        <v>14504624</v>
      </c>
      <c r="I26018">
        <v>838835</v>
      </c>
      <c r="J26018">
        <v>3</v>
      </c>
    </row>
    <row r="26019" spans="1:10" x14ac:dyDescent="0.25">
      <c r="A26019" t="s">
        <v>287</v>
      </c>
      <c r="B26019" s="1" t="str">
        <f>HYPERLINK("http://afinitor.com","afinitor.com")</f>
        <v>afinitor.com</v>
      </c>
      <c r="C26019" t="s">
        <v>433</v>
      </c>
      <c r="F26019">
        <v>3.7145324209760202E-8</v>
      </c>
      <c r="G26019">
        <v>1394840</v>
      </c>
      <c r="H26019">
        <v>14232442</v>
      </c>
      <c r="I26019">
        <v>1671874</v>
      </c>
      <c r="J26019">
        <v>4</v>
      </c>
    </row>
    <row r="26020" spans="1:10" x14ac:dyDescent="0.25">
      <c r="A26020" t="s">
        <v>287</v>
      </c>
      <c r="B26020" s="1" t="str">
        <f>HYPERLINK("http://avexis.com","avexis.com")</f>
        <v>avexis.com</v>
      </c>
      <c r="C26020" t="s">
        <v>433</v>
      </c>
      <c r="F26020">
        <v>1.15945088212625E-7</v>
      </c>
      <c r="G26020">
        <v>343030</v>
      </c>
      <c r="H26020">
        <v>13807219</v>
      </c>
      <c r="I26020">
        <v>6227504</v>
      </c>
      <c r="J26020">
        <v>3</v>
      </c>
    </row>
    <row r="26021" spans="1:10" x14ac:dyDescent="0.25">
      <c r="A26021" t="s">
        <v>287</v>
      </c>
      <c r="B26021" s="1" t="str">
        <f>HYPERLINK("http://avexisinc.com","avexisinc.com")</f>
        <v>avexisinc.com</v>
      </c>
      <c r="C26021" t="s">
        <v>433</v>
      </c>
      <c r="F26021">
        <v>6.1560485619045902E-9</v>
      </c>
      <c r="G26021">
        <v>15768963</v>
      </c>
      <c r="H26021">
        <v>11430258</v>
      </c>
      <c r="I26021">
        <v>30153909</v>
      </c>
      <c r="J26021">
        <v>6</v>
      </c>
    </row>
    <row r="26022" spans="1:10" x14ac:dyDescent="0.25">
      <c r="A26022" t="s">
        <v>287</v>
      </c>
      <c r="B26022" s="1" t="str">
        <f>HYPERLINK("http://cellforcure.com","cellforcure.com")</f>
        <v>cellforcure.com</v>
      </c>
      <c r="C26022" t="s">
        <v>433</v>
      </c>
      <c r="F26022">
        <v>7.82980782138039E-9</v>
      </c>
      <c r="G26022">
        <v>10255998</v>
      </c>
      <c r="H26022">
        <v>12375254</v>
      </c>
      <c r="I26022">
        <v>19313506</v>
      </c>
      <c r="J26022">
        <v>3</v>
      </c>
    </row>
    <row r="26023" spans="1:10" x14ac:dyDescent="0.25">
      <c r="A26023" t="s">
        <v>287</v>
      </c>
      <c r="B26023" s="1" t="str">
        <f>HYPERLINK("http://endocyte.com","endocyte.com")</f>
        <v>endocyte.com</v>
      </c>
      <c r="C26023" t="s">
        <v>433</v>
      </c>
      <c r="F26023">
        <v>2.0832548459288101E-8</v>
      </c>
      <c r="G26023">
        <v>2538423</v>
      </c>
      <c r="H26023">
        <v>14387843</v>
      </c>
      <c r="I26023">
        <v>1174444</v>
      </c>
      <c r="J26023">
        <v>4</v>
      </c>
    </row>
    <row r="26024" spans="1:10" x14ac:dyDescent="0.25">
      <c r="A26024" t="s">
        <v>287</v>
      </c>
      <c r="B26024" s="1" t="str">
        <f>HYPERLINK("http://fougera.com","fougera.com")</f>
        <v>fougera.com</v>
      </c>
      <c r="C26024" t="s">
        <v>433</v>
      </c>
      <c r="F26024">
        <v>7.71335974817057E-9</v>
      </c>
      <c r="G26024">
        <v>10543545</v>
      </c>
      <c r="H26024">
        <v>14253856</v>
      </c>
      <c r="I26024">
        <v>1437911</v>
      </c>
      <c r="J26024">
        <v>7</v>
      </c>
    </row>
    <row r="26025" spans="1:10" x14ac:dyDescent="0.25">
      <c r="A26025" t="s">
        <v>287</v>
      </c>
      <c r="B26025" s="1" t="str">
        <f>HYPERLINK("http://genetherapynetwork.com","genetherapynetwork.com")</f>
        <v>genetherapynetwork.com</v>
      </c>
      <c r="C26025" t="s">
        <v>433</v>
      </c>
      <c r="F26025">
        <v>9.9255790931885205E-9</v>
      </c>
      <c r="G26025">
        <v>6831937</v>
      </c>
      <c r="H26025">
        <v>12499513</v>
      </c>
      <c r="I26025">
        <v>17364889</v>
      </c>
      <c r="J26025">
        <v>6</v>
      </c>
    </row>
    <row r="26026" spans="1:10" x14ac:dyDescent="0.25">
      <c r="A26026" t="s">
        <v>287</v>
      </c>
      <c r="B26026" s="1" t="str">
        <f>HYPERLINK("http://gyroscopetx.com","gyroscopetx.com")</f>
        <v>gyroscopetx.com</v>
      </c>
      <c r="C26026" t="s">
        <v>433</v>
      </c>
      <c r="F26026">
        <v>3.8366964983114101E-8</v>
      </c>
      <c r="G26026">
        <v>1349362</v>
      </c>
      <c r="H26026">
        <v>13613599</v>
      </c>
      <c r="I26026">
        <v>9632432</v>
      </c>
      <c r="J26026">
        <v>3</v>
      </c>
    </row>
    <row r="26027" spans="1:10" x14ac:dyDescent="0.25">
      <c r="A26027" t="s">
        <v>287</v>
      </c>
      <c r="B26027" s="1" t="str">
        <f>HYPERLINK("http://idb-holland.com","idb-holland.com")</f>
        <v>idb-holland.com</v>
      </c>
      <c r="C26027" t="s">
        <v>433</v>
      </c>
      <c r="F26027">
        <v>8.1585835397298406E-9</v>
      </c>
      <c r="G26027">
        <v>9641562</v>
      </c>
      <c r="H26027">
        <v>12823398</v>
      </c>
      <c r="I26027">
        <v>14477432</v>
      </c>
      <c r="J26027">
        <v>3</v>
      </c>
    </row>
    <row r="26028" spans="1:10" x14ac:dyDescent="0.25">
      <c r="A26028" t="s">
        <v>287</v>
      </c>
      <c r="B26028" s="1" t="str">
        <f>HYPERLINK("http://ketsuatsu-support.com","ketsuatsu-support.com")</f>
        <v>ketsuatsu-support.com</v>
      </c>
      <c r="C26028" t="s">
        <v>433</v>
      </c>
      <c r="F26028">
        <v>8.2382594603889996E-9</v>
      </c>
      <c r="G26028">
        <v>9409262</v>
      </c>
      <c r="H26028">
        <v>12309592</v>
      </c>
      <c r="I26028">
        <v>20626707</v>
      </c>
      <c r="J26028">
        <v>2</v>
      </c>
    </row>
    <row r="26029" spans="1:10" x14ac:dyDescent="0.25">
      <c r="A26029" t="s">
        <v>287</v>
      </c>
      <c r="B26029" s="1" t="str">
        <f>HYPERLINK("http://leqviohcp.com","leqviohcp.com")</f>
        <v>leqviohcp.com</v>
      </c>
      <c r="C26029" t="s">
        <v>433</v>
      </c>
      <c r="F26029">
        <v>9.5464105296250601E-9</v>
      </c>
      <c r="G26029">
        <v>7267267</v>
      </c>
      <c r="H26029">
        <v>12954386</v>
      </c>
      <c r="I26029">
        <v>13191211</v>
      </c>
      <c r="J26029">
        <v>2</v>
      </c>
    </row>
    <row r="26030" spans="1:10" x14ac:dyDescent="0.25">
      <c r="A26030" t="s">
        <v>287</v>
      </c>
      <c r="B26030" s="1" t="str">
        <f>HYPERLINK("http://nibr.com","nibr.com")</f>
        <v>nibr.com</v>
      </c>
      <c r="C26030" t="s">
        <v>433</v>
      </c>
      <c r="F26030">
        <v>1.5288953457921801E-7</v>
      </c>
      <c r="G26030">
        <v>254070</v>
      </c>
      <c r="H26030">
        <v>15044360</v>
      </c>
      <c r="I26030">
        <v>415723</v>
      </c>
      <c r="J26030">
        <v>4</v>
      </c>
    </row>
    <row r="26031" spans="1:10" x14ac:dyDescent="0.25">
      <c r="A26031" t="s">
        <v>287</v>
      </c>
      <c r="B26031" s="1" t="str">
        <f>HYPERLINK("http://novartis.com","novartis.com")</f>
        <v>novartis.com</v>
      </c>
      <c r="C26031" t="s">
        <v>433</v>
      </c>
      <c r="E26031">
        <v>8807</v>
      </c>
      <c r="F26031">
        <v>3.8861951573542998E-6</v>
      </c>
      <c r="G26031">
        <v>10334</v>
      </c>
      <c r="H26031">
        <v>17600542</v>
      </c>
      <c r="I26031">
        <v>9663</v>
      </c>
      <c r="J26031">
        <v>1</v>
      </c>
    </row>
    <row r="26032" spans="1:10" x14ac:dyDescent="0.25">
      <c r="A26032" t="s">
        <v>287</v>
      </c>
      <c r="B26032" s="1" t="str">
        <f>HYPERLINK("http://sandoz.com","sandoz.com")</f>
        <v>sandoz.com</v>
      </c>
      <c r="C26032" t="s">
        <v>433</v>
      </c>
      <c r="E26032">
        <v>172452</v>
      </c>
      <c r="F26032">
        <v>4.0318587467450601E-7</v>
      </c>
      <c r="G26032">
        <v>93128</v>
      </c>
      <c r="H26032">
        <v>14676686</v>
      </c>
      <c r="I26032">
        <v>610679</v>
      </c>
      <c r="J26032">
        <v>3</v>
      </c>
    </row>
    <row r="26033" spans="1:10" x14ac:dyDescent="0.25">
      <c r="A26033" t="s">
        <v>287</v>
      </c>
      <c r="B26033" s="1" t="str">
        <f>HYPERLINK("http://themedicinescompany.com","themedicinescompany.com")</f>
        <v>themedicinescompany.com</v>
      </c>
      <c r="C26033" t="s">
        <v>433</v>
      </c>
      <c r="F26033">
        <v>6.5055516876334995E-8</v>
      </c>
      <c r="G26033">
        <v>662219</v>
      </c>
      <c r="H26033">
        <v>14514464</v>
      </c>
      <c r="I26033">
        <v>815182</v>
      </c>
      <c r="J26033">
        <v>3</v>
      </c>
    </row>
    <row r="26034" spans="1:10" x14ac:dyDescent="0.25">
      <c r="A26034" t="s">
        <v>287</v>
      </c>
      <c r="B26034" s="1" t="str">
        <f>HYPERLINK("http://novartis.cz","novartis.cz")</f>
        <v>novartis.cz</v>
      </c>
      <c r="C26034" t="s">
        <v>435</v>
      </c>
      <c r="D26034" t="s">
        <v>814</v>
      </c>
      <c r="F26034">
        <v>6.6987088390119398E-8</v>
      </c>
      <c r="G26034">
        <v>638745</v>
      </c>
      <c r="H26034">
        <v>13579783</v>
      </c>
      <c r="I26034">
        <v>9690570</v>
      </c>
      <c r="J26034">
        <v>2</v>
      </c>
    </row>
    <row r="26035" spans="1:10" x14ac:dyDescent="0.25">
      <c r="A26035" t="s">
        <v>287</v>
      </c>
      <c r="B26035" s="1" t="str">
        <f>HYPERLINK("http://sandoz.cz","sandoz.cz")</f>
        <v>sandoz.cz</v>
      </c>
      <c r="C26035" t="s">
        <v>435</v>
      </c>
      <c r="D26035" t="s">
        <v>814</v>
      </c>
      <c r="F26035">
        <v>4.47829142287409E-8</v>
      </c>
      <c r="G26035">
        <v>1056080</v>
      </c>
      <c r="H26035">
        <v>12854934</v>
      </c>
      <c r="I26035">
        <v>14233659</v>
      </c>
      <c r="J26035">
        <v>3</v>
      </c>
    </row>
    <row r="26036" spans="1:10" x14ac:dyDescent="0.25">
      <c r="A26036" t="s">
        <v>287</v>
      </c>
      <c r="B26036" s="1" t="str">
        <f>HYPERLINK("http://hexal.de","hexal.de")</f>
        <v>hexal.de</v>
      </c>
      <c r="C26036" t="s">
        <v>436</v>
      </c>
      <c r="D26036" t="s">
        <v>815</v>
      </c>
      <c r="E26036">
        <v>336653</v>
      </c>
      <c r="F26036">
        <v>3.0864439919825702E-7</v>
      </c>
      <c r="G26036">
        <v>120503</v>
      </c>
      <c r="H26036">
        <v>17046852</v>
      </c>
      <c r="I26036">
        <v>77384</v>
      </c>
      <c r="J26036">
        <v>3</v>
      </c>
    </row>
    <row r="26037" spans="1:10" x14ac:dyDescent="0.25">
      <c r="A26037" t="s">
        <v>287</v>
      </c>
      <c r="B26037" s="1" t="str">
        <f>HYPERLINK("http://novartis.de","novartis.de")</f>
        <v>novartis.de</v>
      </c>
      <c r="C26037" t="s">
        <v>436</v>
      </c>
      <c r="D26037" t="s">
        <v>815</v>
      </c>
      <c r="E26037">
        <v>645632</v>
      </c>
      <c r="F26037">
        <v>2.2394308884757E-7</v>
      </c>
      <c r="G26037">
        <v>168298</v>
      </c>
      <c r="H26037">
        <v>14663077</v>
      </c>
      <c r="I26037">
        <v>618711</v>
      </c>
      <c r="J26037">
        <v>2</v>
      </c>
    </row>
    <row r="26038" spans="1:10" x14ac:dyDescent="0.25">
      <c r="A26038" t="s">
        <v>287</v>
      </c>
      <c r="B26038" s="1" t="str">
        <f>HYPERLINK("http://salutas.de","salutas.de")</f>
        <v>salutas.de</v>
      </c>
      <c r="C26038" t="s">
        <v>436</v>
      </c>
      <c r="D26038" t="s">
        <v>815</v>
      </c>
      <c r="F26038">
        <v>5.12641603321769E-9</v>
      </c>
      <c r="G26038">
        <v>26522342</v>
      </c>
      <c r="H26038">
        <v>10704561</v>
      </c>
      <c r="I26038">
        <v>42245794</v>
      </c>
      <c r="J26038">
        <v>3</v>
      </c>
    </row>
    <row r="26039" spans="1:10" x14ac:dyDescent="0.25">
      <c r="A26039" t="s">
        <v>287</v>
      </c>
      <c r="B26039" s="1" t="str">
        <f>HYPERLINK("http://sandoz.de","sandoz.de")</f>
        <v>sandoz.de</v>
      </c>
      <c r="C26039" t="s">
        <v>436</v>
      </c>
      <c r="D26039" t="s">
        <v>815</v>
      </c>
      <c r="F26039">
        <v>3.6715619815419001E-8</v>
      </c>
      <c r="G26039">
        <v>1423361</v>
      </c>
      <c r="H26039">
        <v>13142196</v>
      </c>
      <c r="I26039">
        <v>11870060</v>
      </c>
      <c r="J26039">
        <v>4</v>
      </c>
    </row>
    <row r="26040" spans="1:10" x14ac:dyDescent="0.25">
      <c r="A26040" t="s">
        <v>287</v>
      </c>
      <c r="B26040" s="1" t="str">
        <f>HYPERLINK("http://novartis.dk","novartis.dk")</f>
        <v>novartis.dk</v>
      </c>
      <c r="C26040" t="s">
        <v>437</v>
      </c>
      <c r="D26040" t="s">
        <v>816</v>
      </c>
      <c r="F26040">
        <v>3.0767649964160199E-8</v>
      </c>
      <c r="G26040">
        <v>1674199</v>
      </c>
      <c r="H26040">
        <v>13727430</v>
      </c>
      <c r="I26040">
        <v>9460940</v>
      </c>
      <c r="J26040">
        <v>2</v>
      </c>
    </row>
    <row r="26041" spans="1:10" x14ac:dyDescent="0.25">
      <c r="A26041" t="s">
        <v>287</v>
      </c>
      <c r="B26041" s="1" t="str">
        <f>HYPERLINK("http://sandoz.dk","sandoz.dk")</f>
        <v>sandoz.dk</v>
      </c>
      <c r="C26041" t="s">
        <v>437</v>
      </c>
      <c r="D26041" t="s">
        <v>816</v>
      </c>
      <c r="F26041">
        <v>1.17832541432586E-8</v>
      </c>
      <c r="G26041">
        <v>5312561</v>
      </c>
      <c r="H26041">
        <v>12319104</v>
      </c>
      <c r="I26041">
        <v>20436814</v>
      </c>
      <c r="J26041">
        <v>3</v>
      </c>
    </row>
    <row r="26042" spans="1:10" x14ac:dyDescent="0.25">
      <c r="A26042" t="s">
        <v>287</v>
      </c>
      <c r="B26042" s="1" t="str">
        <f>HYPERLINK("http://novartis.ee","novartis.ee")</f>
        <v>novartis.ee</v>
      </c>
      <c r="C26042" t="s">
        <v>441</v>
      </c>
      <c r="D26042" t="s">
        <v>820</v>
      </c>
      <c r="F26042">
        <v>8.9358196051060206E-9</v>
      </c>
      <c r="G26042">
        <v>8089807</v>
      </c>
      <c r="H26042">
        <v>12348990</v>
      </c>
      <c r="I26042">
        <v>19781801</v>
      </c>
      <c r="J26042">
        <v>2</v>
      </c>
    </row>
    <row r="26043" spans="1:10" x14ac:dyDescent="0.25">
      <c r="A26043" t="s">
        <v>287</v>
      </c>
      <c r="B26043" s="1" t="str">
        <f>HYPERLINK("http://novartis.com.eg","novartis.com.eg")</f>
        <v>novartis.com.eg</v>
      </c>
      <c r="C26043" t="s">
        <v>442</v>
      </c>
      <c r="D26043" t="s">
        <v>821</v>
      </c>
      <c r="F26043">
        <v>1.0154315870920801E-8</v>
      </c>
      <c r="G26043">
        <v>6592215</v>
      </c>
      <c r="H26043">
        <v>14074330</v>
      </c>
      <c r="I26043">
        <v>2947216</v>
      </c>
      <c r="J26043">
        <v>2</v>
      </c>
    </row>
    <row r="26044" spans="1:10" x14ac:dyDescent="0.25">
      <c r="A26044" t="s">
        <v>287</v>
      </c>
      <c r="B26044" s="1" t="str">
        <f>HYPERLINK("http://novartis.es","novartis.es")</f>
        <v>novartis.es</v>
      </c>
      <c r="C26044" t="s">
        <v>443</v>
      </c>
      <c r="D26044" t="s">
        <v>822</v>
      </c>
      <c r="E26044">
        <v>670310</v>
      </c>
      <c r="F26044">
        <v>1.1893593868091799E-7</v>
      </c>
      <c r="G26044">
        <v>332739</v>
      </c>
      <c r="H26044">
        <v>14707820</v>
      </c>
      <c r="I26044">
        <v>585605</v>
      </c>
      <c r="J26044">
        <v>2</v>
      </c>
    </row>
    <row r="26045" spans="1:10" x14ac:dyDescent="0.25">
      <c r="A26045" t="s">
        <v>287</v>
      </c>
      <c r="B26045" s="1" t="str">
        <f>HYPERLINK("http://afinitor.fi","afinitor.fi")</f>
        <v>afinitor.fi</v>
      </c>
      <c r="C26045" t="s">
        <v>445</v>
      </c>
      <c r="D26045" t="s">
        <v>823</v>
      </c>
      <c r="J26045">
        <v>2</v>
      </c>
    </row>
    <row r="26046" spans="1:10" x14ac:dyDescent="0.25">
      <c r="A26046" t="s">
        <v>287</v>
      </c>
      <c r="B26046" s="1" t="str">
        <f>HYPERLINK("http://aimovig.fi","aimovig.fi")</f>
        <v>aimovig.fi</v>
      </c>
      <c r="C26046" t="s">
        <v>445</v>
      </c>
      <c r="D26046" t="s">
        <v>823</v>
      </c>
      <c r="J26046">
        <v>2</v>
      </c>
    </row>
    <row r="26047" spans="1:10" x14ac:dyDescent="0.25">
      <c r="A26047" t="s">
        <v>287</v>
      </c>
      <c r="B26047" s="1" t="str">
        <f>HYPERLINK("http://allerginenastma.fi","allerginenastma.fi")</f>
        <v>allerginenastma.fi</v>
      </c>
      <c r="C26047" t="s">
        <v>445</v>
      </c>
      <c r="D26047" t="s">
        <v>823</v>
      </c>
      <c r="J26047">
        <v>2</v>
      </c>
    </row>
    <row r="26048" spans="1:10" x14ac:dyDescent="0.25">
      <c r="A26048" t="s">
        <v>287</v>
      </c>
      <c r="B26048" s="1" t="str">
        <f>HYPERLINK("http://arjenapurit.fi","arjenapurit.fi")</f>
        <v>arjenapurit.fi</v>
      </c>
      <c r="C26048" t="s">
        <v>445</v>
      </c>
      <c r="D26048" t="s">
        <v>823</v>
      </c>
      <c r="J26048">
        <v>2</v>
      </c>
    </row>
    <row r="26049" spans="1:10" x14ac:dyDescent="0.25">
      <c r="A26049" t="s">
        <v>287</v>
      </c>
      <c r="B26049" s="1" t="str">
        <f>HYPERLINK("http://atectura.fi","atectura.fi")</f>
        <v>atectura.fi</v>
      </c>
      <c r="C26049" t="s">
        <v>445</v>
      </c>
      <c r="D26049" t="s">
        <v>823</v>
      </c>
      <c r="J26049">
        <v>2</v>
      </c>
    </row>
    <row r="26050" spans="1:10" x14ac:dyDescent="0.25">
      <c r="A26050" t="s">
        <v>287</v>
      </c>
      <c r="B26050" s="1" t="str">
        <f>HYPERLINK("http://atectura-breezhaler.fi","atectura-breezhaler.fi")</f>
        <v>atectura-breezhaler.fi</v>
      </c>
      <c r="C26050" t="s">
        <v>445</v>
      </c>
      <c r="D26050" t="s">
        <v>823</v>
      </c>
      <c r="J26050">
        <v>2</v>
      </c>
    </row>
    <row r="26051" spans="1:10" x14ac:dyDescent="0.25">
      <c r="A26051" t="s">
        <v>287</v>
      </c>
      <c r="B26051" s="1" t="str">
        <f>HYPERLINK("http://biosimeter.fi","biosimeter.fi")</f>
        <v>biosimeter.fi</v>
      </c>
      <c r="C26051" t="s">
        <v>445</v>
      </c>
      <c r="D26051" t="s">
        <v>823</v>
      </c>
      <c r="J26051">
        <v>2</v>
      </c>
    </row>
    <row r="26052" spans="1:10" x14ac:dyDescent="0.25">
      <c r="A26052" t="s">
        <v>287</v>
      </c>
      <c r="B26052" s="1" t="str">
        <f>HYPERLINK("http://biosimilaari-info.fi","biosimilaari-info.fi")</f>
        <v>biosimilaari-info.fi</v>
      </c>
      <c r="C26052" t="s">
        <v>445</v>
      </c>
      <c r="D26052" t="s">
        <v>823</v>
      </c>
      <c r="F26052">
        <v>4.7742589029657296E-9</v>
      </c>
      <c r="G26052">
        <v>37196391</v>
      </c>
      <c r="H26052">
        <v>9486847</v>
      </c>
      <c r="I26052">
        <v>65912694</v>
      </c>
      <c r="J26052">
        <v>2</v>
      </c>
    </row>
    <row r="26053" spans="1:10" x14ac:dyDescent="0.25">
      <c r="A26053" t="s">
        <v>287</v>
      </c>
      <c r="B26053" s="1" t="str">
        <f>HYPERLINK("http://biosimilaariinfo.fi","biosimilaariinfo.fi")</f>
        <v>biosimilaariinfo.fi</v>
      </c>
      <c r="C26053" t="s">
        <v>445</v>
      </c>
      <c r="D26053" t="s">
        <v>823</v>
      </c>
      <c r="J26053">
        <v>2</v>
      </c>
    </row>
    <row r="26054" spans="1:10" x14ac:dyDescent="0.25">
      <c r="A26054" t="s">
        <v>287</v>
      </c>
      <c r="B26054" s="1" t="str">
        <f>HYPERLINK("http://biosolgarten.fi","biosolgarten.fi")</f>
        <v>biosolgarten.fi</v>
      </c>
      <c r="C26054" t="s">
        <v>445</v>
      </c>
      <c r="D26054" t="s">
        <v>823</v>
      </c>
      <c r="J26054">
        <v>2</v>
      </c>
    </row>
    <row r="26055" spans="1:10" x14ac:dyDescent="0.25">
      <c r="A26055" t="s">
        <v>287</v>
      </c>
      <c r="B26055" s="1" t="str">
        <f>HYPERLINK("http://dermafinder.fi","dermafinder.fi")</f>
        <v>dermafinder.fi</v>
      </c>
      <c r="C26055" t="s">
        <v>445</v>
      </c>
      <c r="D26055" t="s">
        <v>823</v>
      </c>
      <c r="J26055">
        <v>2</v>
      </c>
    </row>
    <row r="26056" spans="1:10" x14ac:dyDescent="0.25">
      <c r="A26056" t="s">
        <v>287</v>
      </c>
      <c r="B26056" s="1" t="str">
        <f>HYPERLINK("http://diovan.fi","diovan.fi")</f>
        <v>diovan.fi</v>
      </c>
      <c r="C26056" t="s">
        <v>445</v>
      </c>
      <c r="D26056" t="s">
        <v>823</v>
      </c>
      <c r="J26056">
        <v>2</v>
      </c>
    </row>
    <row r="26057" spans="1:10" x14ac:dyDescent="0.25">
      <c r="A26057" t="s">
        <v>287</v>
      </c>
      <c r="B26057" s="1" t="str">
        <f>HYPERLINK("http://docfinder.fi","docfinder.fi")</f>
        <v>docfinder.fi</v>
      </c>
      <c r="C26057" t="s">
        <v>445</v>
      </c>
      <c r="D26057" t="s">
        <v>823</v>
      </c>
      <c r="J26057">
        <v>2</v>
      </c>
    </row>
    <row r="26058" spans="1:10" x14ac:dyDescent="0.25">
      <c r="A26058" t="s">
        <v>287</v>
      </c>
      <c r="B26058" s="1" t="str">
        <f>HYPERLINK("http://enerzair.fi","enerzair.fi")</f>
        <v>enerzair.fi</v>
      </c>
      <c r="C26058" t="s">
        <v>445</v>
      </c>
      <c r="D26058" t="s">
        <v>823</v>
      </c>
      <c r="J26058">
        <v>2</v>
      </c>
    </row>
    <row r="26059" spans="1:10" x14ac:dyDescent="0.25">
      <c r="A26059" t="s">
        <v>287</v>
      </c>
      <c r="B26059" s="1" t="str">
        <f>HYPERLINK("http://enerzair-breezhaler.fi","enerzair-breezhaler.fi")</f>
        <v>enerzair-breezhaler.fi</v>
      </c>
      <c r="C26059" t="s">
        <v>445</v>
      </c>
      <c r="D26059" t="s">
        <v>823</v>
      </c>
      <c r="J26059">
        <v>2</v>
      </c>
    </row>
    <row r="26060" spans="1:10" x14ac:dyDescent="0.25">
      <c r="A26060" t="s">
        <v>287</v>
      </c>
      <c r="B26060" s="1" t="str">
        <f>HYPERLINK("http://enitenkutittaakaikki.fi","enitenkutittaakaikki.fi")</f>
        <v>enitenkutittaakaikki.fi</v>
      </c>
      <c r="C26060" t="s">
        <v>445</v>
      </c>
      <c r="D26060" t="s">
        <v>823</v>
      </c>
      <c r="J26060">
        <v>2</v>
      </c>
    </row>
    <row r="26061" spans="1:10" x14ac:dyDescent="0.25">
      <c r="A26061" t="s">
        <v>287</v>
      </c>
      <c r="B26061" s="1" t="str">
        <f>HYPERLINK("http://entresto.fi","entresto.fi")</f>
        <v>entresto.fi</v>
      </c>
      <c r="C26061" t="s">
        <v>445</v>
      </c>
      <c r="D26061" t="s">
        <v>823</v>
      </c>
      <c r="J26061">
        <v>2</v>
      </c>
    </row>
    <row r="26062" spans="1:10" x14ac:dyDescent="0.25">
      <c r="A26062" t="s">
        <v>287</v>
      </c>
      <c r="B26062" s="1" t="str">
        <f>HYPERLINK("http://erelzi.fi","erelzi.fi")</f>
        <v>erelzi.fi</v>
      </c>
      <c r="C26062" t="s">
        <v>445</v>
      </c>
      <c r="D26062" t="s">
        <v>823</v>
      </c>
      <c r="J26062">
        <v>2</v>
      </c>
    </row>
    <row r="26063" spans="1:10" x14ac:dyDescent="0.25">
      <c r="A26063" t="s">
        <v>287</v>
      </c>
      <c r="B26063" s="1" t="str">
        <f>HYPERLINK("http://eroonhuuliherpeksesta.fi","eroonhuuliherpeksesta.fi")</f>
        <v>eroonhuuliherpeksesta.fi</v>
      </c>
      <c r="C26063" t="s">
        <v>445</v>
      </c>
      <c r="D26063" t="s">
        <v>823</v>
      </c>
      <c r="J26063">
        <v>2</v>
      </c>
    </row>
    <row r="26064" spans="1:10" x14ac:dyDescent="0.25">
      <c r="A26064" t="s">
        <v>287</v>
      </c>
      <c r="B26064" s="1" t="str">
        <f>HYPERLINK("http://eroonkiloista.fi","eroonkiloista.fi")</f>
        <v>eroonkiloista.fi</v>
      </c>
      <c r="C26064" t="s">
        <v>445</v>
      </c>
      <c r="D26064" t="s">
        <v>823</v>
      </c>
      <c r="F26064">
        <v>4.53518709125468E-9</v>
      </c>
      <c r="G26064">
        <v>54325779</v>
      </c>
      <c r="H26064">
        <v>13763633</v>
      </c>
      <c r="I26064">
        <v>9126705</v>
      </c>
      <c r="J26064">
        <v>2</v>
      </c>
    </row>
    <row r="26065" spans="1:10" x14ac:dyDescent="0.25">
      <c r="A26065" t="s">
        <v>287</v>
      </c>
      <c r="B26065" s="1" t="str">
        <f>HYPERLINK("http://etsidermatologi.fi","etsidermatologi.fi")</f>
        <v>etsidermatologi.fi</v>
      </c>
      <c r="C26065" t="s">
        <v>445</v>
      </c>
      <c r="D26065" t="s">
        <v>823</v>
      </c>
      <c r="J26065">
        <v>2</v>
      </c>
    </row>
    <row r="26066" spans="1:10" x14ac:dyDescent="0.25">
      <c r="A26066" t="s">
        <v>287</v>
      </c>
      <c r="B26066" s="1" t="str">
        <f>HYPERLINK("http://etsiihotautilaakari.fi","etsiihotautilaakari.fi")</f>
        <v>etsiihotautilaakari.fi</v>
      </c>
      <c r="C26066" t="s">
        <v>445</v>
      </c>
      <c r="D26066" t="s">
        <v>823</v>
      </c>
      <c r="J26066">
        <v>2</v>
      </c>
    </row>
    <row r="26067" spans="1:10" x14ac:dyDescent="0.25">
      <c r="A26067" t="s">
        <v>287</v>
      </c>
      <c r="B26067" s="1" t="str">
        <f>HYPERLINK("http://flame-tutkimus.fi","flame-tutkimus.fi")</f>
        <v>flame-tutkimus.fi</v>
      </c>
      <c r="C26067" t="s">
        <v>445</v>
      </c>
      <c r="D26067" t="s">
        <v>823</v>
      </c>
      <c r="J26067">
        <v>2</v>
      </c>
    </row>
    <row r="26068" spans="1:10" x14ac:dyDescent="0.25">
      <c r="A26068" t="s">
        <v>287</v>
      </c>
      <c r="B26068" s="1" t="str">
        <f>HYPERLINK("http://flamestudy.fi","flamestudy.fi")</f>
        <v>flamestudy.fi</v>
      </c>
      <c r="C26068" t="s">
        <v>445</v>
      </c>
      <c r="D26068" t="s">
        <v>823</v>
      </c>
      <c r="J26068">
        <v>2</v>
      </c>
    </row>
    <row r="26069" spans="1:10" x14ac:dyDescent="0.25">
      <c r="A26069" t="s">
        <v>287</v>
      </c>
      <c r="B26069" s="1" t="str">
        <f>HYPERLINK("http://gilenya.fi","gilenya.fi")</f>
        <v>gilenya.fi</v>
      </c>
      <c r="C26069" t="s">
        <v>445</v>
      </c>
      <c r="D26069" t="s">
        <v>823</v>
      </c>
      <c r="J26069">
        <v>2</v>
      </c>
    </row>
    <row r="26070" spans="1:10" x14ac:dyDescent="0.25">
      <c r="A26070" t="s">
        <v>287</v>
      </c>
      <c r="B26070" s="1" t="str">
        <f>HYPERLINK("http://haastapsori.fi","haastapsori.fi")</f>
        <v>haastapsori.fi</v>
      </c>
      <c r="C26070" t="s">
        <v>445</v>
      </c>
      <c r="D26070" t="s">
        <v>823</v>
      </c>
      <c r="F26070">
        <v>4.6107353092617601E-9</v>
      </c>
      <c r="G26070">
        <v>46792049</v>
      </c>
      <c r="H26070">
        <v>10688340</v>
      </c>
      <c r="I26070">
        <v>42538880</v>
      </c>
      <c r="J26070">
        <v>2</v>
      </c>
    </row>
    <row r="26071" spans="1:10" x14ac:dyDescent="0.25">
      <c r="A26071" t="s">
        <v>287</v>
      </c>
      <c r="B26071" s="1" t="str">
        <f>HYPERLINK("http://hives.fi","hives.fi")</f>
        <v>hives.fi</v>
      </c>
      <c r="C26071" t="s">
        <v>445</v>
      </c>
      <c r="D26071" t="s">
        <v>823</v>
      </c>
      <c r="J26071">
        <v>2</v>
      </c>
    </row>
    <row r="26072" spans="1:10" x14ac:dyDescent="0.25">
      <c r="A26072" t="s">
        <v>287</v>
      </c>
      <c r="B26072" s="1" t="str">
        <f>HYPERLINK("http://homeuse.fi","homeuse.fi")</f>
        <v>homeuse.fi</v>
      </c>
      <c r="C26072" t="s">
        <v>445</v>
      </c>
      <c r="D26072" t="s">
        <v>823</v>
      </c>
      <c r="J26072">
        <v>2</v>
      </c>
    </row>
    <row r="26073" spans="1:10" x14ac:dyDescent="0.25">
      <c r="A26073" t="s">
        <v>287</v>
      </c>
      <c r="B26073" s="1" t="str">
        <f>HYPERLINK("http://iholla.fi","iholla.fi")</f>
        <v>iholla.fi</v>
      </c>
      <c r="C26073" t="s">
        <v>445</v>
      </c>
      <c r="D26073" t="s">
        <v>823</v>
      </c>
      <c r="F26073">
        <v>4.4438506784608401E-9</v>
      </c>
      <c r="G26073">
        <v>78431293</v>
      </c>
      <c r="H26073">
        <v>11957245</v>
      </c>
      <c r="I26073">
        <v>29065931</v>
      </c>
      <c r="J26073">
        <v>2</v>
      </c>
    </row>
    <row r="26074" spans="1:10" x14ac:dyDescent="0.25">
      <c r="A26074" t="s">
        <v>287</v>
      </c>
      <c r="B26074" s="1" t="str">
        <f>HYPERLINK("http://kertahoitohiivaan.fi","kertahoitohiivaan.fi")</f>
        <v>kertahoitohiivaan.fi</v>
      </c>
      <c r="C26074" t="s">
        <v>445</v>
      </c>
      <c r="D26074" t="s">
        <v>823</v>
      </c>
      <c r="J26074">
        <v>2</v>
      </c>
    </row>
    <row r="26075" spans="1:10" x14ac:dyDescent="0.25">
      <c r="A26075" t="s">
        <v>287</v>
      </c>
      <c r="B26075" s="1" t="str">
        <f>HYPERLINK("http://kesimpta.fi","kesimpta.fi")</f>
        <v>kesimpta.fi</v>
      </c>
      <c r="C26075" t="s">
        <v>445</v>
      </c>
      <c r="D26075" t="s">
        <v>823</v>
      </c>
      <c r="J26075">
        <v>2</v>
      </c>
    </row>
    <row r="26076" spans="1:10" x14ac:dyDescent="0.25">
      <c r="A26076" t="s">
        <v>287</v>
      </c>
      <c r="B26076" s="1" t="str">
        <f>HYPERLINK("http://kisqali.fi","kisqali.fi")</f>
        <v>kisqali.fi</v>
      </c>
      <c r="C26076" t="s">
        <v>445</v>
      </c>
      <c r="D26076" t="s">
        <v>823</v>
      </c>
      <c r="J26076">
        <v>2</v>
      </c>
    </row>
    <row r="26077" spans="1:10" x14ac:dyDescent="0.25">
      <c r="A26077" t="s">
        <v>287</v>
      </c>
      <c r="B26077" s="1" t="str">
        <f>HYPERLINK("http://lamisil.fi","lamisil.fi")</f>
        <v>lamisil.fi</v>
      </c>
      <c r="C26077" t="s">
        <v>445</v>
      </c>
      <c r="D26077" t="s">
        <v>823</v>
      </c>
      <c r="F26077">
        <v>4.5598209400501099E-9</v>
      </c>
      <c r="G26077">
        <v>51185530</v>
      </c>
      <c r="H26077">
        <v>10811518</v>
      </c>
      <c r="I26077">
        <v>37832469</v>
      </c>
      <c r="J26077">
        <v>2</v>
      </c>
    </row>
    <row r="26078" spans="1:10" x14ac:dyDescent="0.25">
      <c r="A26078" t="s">
        <v>287</v>
      </c>
      <c r="B26078" s="1" t="str">
        <f>HYPERLINK("http://lamisilonce.fi","lamisilonce.fi")</f>
        <v>lamisilonce.fi</v>
      </c>
      <c r="C26078" t="s">
        <v>445</v>
      </c>
      <c r="D26078" t="s">
        <v>823</v>
      </c>
      <c r="J26078">
        <v>2</v>
      </c>
    </row>
    <row r="26079" spans="1:10" x14ac:dyDescent="0.25">
      <c r="A26079" t="s">
        <v>287</v>
      </c>
      <c r="B26079" s="1" t="str">
        <f>HYPERLINK("http://levinnytrintasyopa.fi","levinnytrintasyopa.fi")</f>
        <v>levinnytrintasyopa.fi</v>
      </c>
      <c r="C26079" t="s">
        <v>445</v>
      </c>
      <c r="D26079" t="s">
        <v>823</v>
      </c>
      <c r="J26079">
        <v>2</v>
      </c>
    </row>
    <row r="26080" spans="1:10" x14ac:dyDescent="0.25">
      <c r="A26080" t="s">
        <v>287</v>
      </c>
      <c r="B26080" s="1" t="str">
        <f>HYPERLINK("http://lutathera.fi","lutathera.fi")</f>
        <v>lutathera.fi</v>
      </c>
      <c r="C26080" t="s">
        <v>445</v>
      </c>
      <c r="D26080" t="s">
        <v>823</v>
      </c>
      <c r="J26080">
        <v>4</v>
      </c>
    </row>
    <row r="26081" spans="1:10" x14ac:dyDescent="0.25">
      <c r="A26081" t="s">
        <v>287</v>
      </c>
      <c r="B26081" s="1" t="str">
        <f>HYPERLINK("http://mayzent.fi","mayzent.fi")</f>
        <v>mayzent.fi</v>
      </c>
      <c r="C26081" t="s">
        <v>445</v>
      </c>
      <c r="D26081" t="s">
        <v>823</v>
      </c>
      <c r="J26081">
        <v>2</v>
      </c>
    </row>
    <row r="26082" spans="1:10" x14ac:dyDescent="0.25">
      <c r="A26082" t="s">
        <v>287</v>
      </c>
      <c r="B26082" s="1" t="str">
        <f>HYPERLINK("http://medhub.fi","medhub.fi")</f>
        <v>medhub.fi</v>
      </c>
      <c r="C26082" t="s">
        <v>445</v>
      </c>
      <c r="D26082" t="s">
        <v>823</v>
      </c>
      <c r="F26082">
        <v>8.0466488785637102E-9</v>
      </c>
      <c r="G26082">
        <v>9836206</v>
      </c>
      <c r="H26082">
        <v>12305364</v>
      </c>
      <c r="I26082">
        <v>20728245</v>
      </c>
      <c r="J26082">
        <v>2</v>
      </c>
    </row>
    <row r="26083" spans="1:10" x14ac:dyDescent="0.25">
      <c r="A26083" t="s">
        <v>287</v>
      </c>
      <c r="B26083" s="1" t="str">
        <f>HYPERLINK("http://migrainemovement.fi","migrainemovement.fi")</f>
        <v>migrainemovement.fi</v>
      </c>
      <c r="C26083" t="s">
        <v>445</v>
      </c>
      <c r="D26083" t="s">
        <v>823</v>
      </c>
      <c r="J26083">
        <v>2</v>
      </c>
    </row>
    <row r="26084" spans="1:10" x14ac:dyDescent="0.25">
      <c r="A26084" t="s">
        <v>287</v>
      </c>
      <c r="B26084" s="1" t="str">
        <f>HYPERLINK("http://migreenielamaa.fi","migreenielamaa.fi")</f>
        <v>migreenielamaa.fi</v>
      </c>
      <c r="C26084" t="s">
        <v>445</v>
      </c>
      <c r="D26084" t="s">
        <v>823</v>
      </c>
      <c r="J26084">
        <v>2</v>
      </c>
    </row>
    <row r="26085" spans="1:10" x14ac:dyDescent="0.25">
      <c r="A26085" t="s">
        <v>287</v>
      </c>
      <c r="B26085" s="1" t="str">
        <f>HYPERLINK("http://migreenielm.fi","migreenielm.fi")</f>
        <v>migreenielm.fi</v>
      </c>
      <c r="C26085" t="s">
        <v>445</v>
      </c>
      <c r="D26085" t="s">
        <v>823</v>
      </c>
      <c r="J26085">
        <v>2</v>
      </c>
    </row>
    <row r="26086" spans="1:10" x14ac:dyDescent="0.25">
      <c r="A26086" t="s">
        <v>287</v>
      </c>
      <c r="B26086" s="1" t="str">
        <f>HYPERLINK("http://migreenielo.fi","migreenielo.fi")</f>
        <v>migreenielo.fi</v>
      </c>
      <c r="C26086" t="s">
        <v>445</v>
      </c>
      <c r="D26086" t="s">
        <v>823</v>
      </c>
      <c r="J26086">
        <v>2</v>
      </c>
    </row>
    <row r="26087" spans="1:10" x14ac:dyDescent="0.25">
      <c r="A26087" t="s">
        <v>287</v>
      </c>
      <c r="B26087" s="1" t="str">
        <f>HYPERLINK("http://minunomnitrope.fi","minunomnitrope.fi")</f>
        <v>minunomnitrope.fi</v>
      </c>
      <c r="C26087" t="s">
        <v>445</v>
      </c>
      <c r="D26087" t="s">
        <v>823</v>
      </c>
      <c r="J26087">
        <v>2</v>
      </c>
    </row>
    <row r="26088" spans="1:10" x14ac:dyDescent="0.25">
      <c r="A26088" t="s">
        <v>287</v>
      </c>
      <c r="B26088" s="1" t="str">
        <f>HYPERLINK("http://mpnelamaa.fi","mpnelamaa.fi")</f>
        <v>mpnelamaa.fi</v>
      </c>
      <c r="C26088" t="s">
        <v>445</v>
      </c>
      <c r="D26088" t="s">
        <v>823</v>
      </c>
      <c r="J26088">
        <v>2</v>
      </c>
    </row>
    <row r="26089" spans="1:10" x14ac:dyDescent="0.25">
      <c r="A26089" t="s">
        <v>287</v>
      </c>
      <c r="B26089" s="1" t="str">
        <f>HYPERLINK("http://mpnelm.fi","mpnelm.fi")</f>
        <v>mpnelm.fi</v>
      </c>
      <c r="C26089" t="s">
        <v>445</v>
      </c>
      <c r="D26089" t="s">
        <v>823</v>
      </c>
      <c r="J26089">
        <v>2</v>
      </c>
    </row>
    <row r="26090" spans="1:10" x14ac:dyDescent="0.25">
      <c r="A26090" t="s">
        <v>287</v>
      </c>
      <c r="B26090" s="1" t="str">
        <f>HYPERLINK("http://mselo.fi","mselo.fi")</f>
        <v>mselo.fi</v>
      </c>
      <c r="C26090" t="s">
        <v>445</v>
      </c>
      <c r="D26090" t="s">
        <v>823</v>
      </c>
      <c r="F26090">
        <v>4.8365604857935099E-9</v>
      </c>
      <c r="G26090">
        <v>34602994</v>
      </c>
      <c r="H26090">
        <v>13763637</v>
      </c>
      <c r="I26090">
        <v>8036645</v>
      </c>
      <c r="J26090">
        <v>2</v>
      </c>
    </row>
    <row r="26091" spans="1:10" x14ac:dyDescent="0.25">
      <c r="A26091" t="s">
        <v>287</v>
      </c>
      <c r="B26091" s="1" t="str">
        <f>HYPERLINK("http://msprogression.fi","msprogression.fi")</f>
        <v>msprogression.fi</v>
      </c>
      <c r="C26091" t="s">
        <v>445</v>
      </c>
      <c r="D26091" t="s">
        <v>823</v>
      </c>
      <c r="J26091">
        <v>2</v>
      </c>
    </row>
    <row r="26092" spans="1:10" x14ac:dyDescent="0.25">
      <c r="A26092" t="s">
        <v>287</v>
      </c>
      <c r="B26092" s="1" t="str">
        <f>HYPERLINK("http://munmigreeni.fi","munmigreeni.fi")</f>
        <v>munmigreeni.fi</v>
      </c>
      <c r="C26092" t="s">
        <v>445</v>
      </c>
      <c r="D26092" t="s">
        <v>823</v>
      </c>
      <c r="F26092">
        <v>5.1961267198388398E-9</v>
      </c>
      <c r="G26092">
        <v>25233117</v>
      </c>
      <c r="H26092">
        <v>10602069</v>
      </c>
      <c r="I26092">
        <v>44822606</v>
      </c>
      <c r="J26092">
        <v>2</v>
      </c>
    </row>
    <row r="26093" spans="1:10" x14ac:dyDescent="0.25">
      <c r="A26093" t="s">
        <v>287</v>
      </c>
      <c r="B26093" s="1" t="str">
        <f>HYPERLINK("http://munms.fi","munms.fi")</f>
        <v>munms.fi</v>
      </c>
      <c r="C26093" t="s">
        <v>445</v>
      </c>
      <c r="D26093" t="s">
        <v>823</v>
      </c>
      <c r="J26093">
        <v>2</v>
      </c>
    </row>
    <row r="26094" spans="1:10" x14ac:dyDescent="0.25">
      <c r="A26094" t="s">
        <v>287</v>
      </c>
      <c r="B26094" s="1" t="str">
        <f>HYPERLINK("http://myelofibroosi.fi","myelofibroosi.fi")</f>
        <v>myelofibroosi.fi</v>
      </c>
      <c r="C26094" t="s">
        <v>445</v>
      </c>
      <c r="D26094" t="s">
        <v>823</v>
      </c>
      <c r="J26094">
        <v>2</v>
      </c>
    </row>
    <row r="26095" spans="1:10" x14ac:dyDescent="0.25">
      <c r="A26095" t="s">
        <v>287</v>
      </c>
      <c r="B26095" s="1" t="str">
        <f>HYPERLINK("http://neurotalk.fi","neurotalk.fi")</f>
        <v>neurotalk.fi</v>
      </c>
      <c r="C26095" t="s">
        <v>445</v>
      </c>
      <c r="D26095" t="s">
        <v>823</v>
      </c>
      <c r="J26095">
        <v>2</v>
      </c>
    </row>
    <row r="26096" spans="1:10" x14ac:dyDescent="0.25">
      <c r="A26096" t="s">
        <v>287</v>
      </c>
      <c r="B26096" s="1" t="str">
        <f>HYPERLINK("http://neurotalks.fi","neurotalks.fi")</f>
        <v>neurotalks.fi</v>
      </c>
      <c r="C26096" t="s">
        <v>445</v>
      </c>
      <c r="D26096" t="s">
        <v>823</v>
      </c>
      <c r="J26096">
        <v>2</v>
      </c>
    </row>
    <row r="26097" spans="1:10" x14ac:dyDescent="0.25">
      <c r="A26097" t="s">
        <v>287</v>
      </c>
      <c r="B26097" s="1" t="str">
        <f>HYPERLINK("http://novartis.fi","novartis.fi")</f>
        <v>novartis.fi</v>
      </c>
      <c r="C26097" t="s">
        <v>445</v>
      </c>
      <c r="D26097" t="s">
        <v>823</v>
      </c>
      <c r="F26097">
        <v>2.03568063342683E-8</v>
      </c>
      <c r="G26097">
        <v>2605861</v>
      </c>
      <c r="H26097">
        <v>14241598</v>
      </c>
      <c r="I26097">
        <v>1490517</v>
      </c>
      <c r="J26097">
        <v>2</v>
      </c>
    </row>
    <row r="26098" spans="1:10" x14ac:dyDescent="0.25">
      <c r="A26098" t="s">
        <v>287</v>
      </c>
      <c r="B26098" s="1" t="str">
        <f>HYPERLINK("http://novartisnutrition.fi","novartisnutrition.fi")</f>
        <v>novartisnutrition.fi</v>
      </c>
      <c r="C26098" t="s">
        <v>445</v>
      </c>
      <c r="D26098" t="s">
        <v>823</v>
      </c>
      <c r="J26098">
        <v>2</v>
      </c>
    </row>
    <row r="26099" spans="1:10" x14ac:dyDescent="0.25">
      <c r="A26099" t="s">
        <v>287</v>
      </c>
      <c r="B26099" s="1" t="str">
        <f>HYPERLINK("http://omnitrope.fi","omnitrope.fi")</f>
        <v>omnitrope.fi</v>
      </c>
      <c r="C26099" t="s">
        <v>445</v>
      </c>
      <c r="D26099" t="s">
        <v>823</v>
      </c>
      <c r="J26099">
        <v>2</v>
      </c>
    </row>
    <row r="26100" spans="1:10" x14ac:dyDescent="0.25">
      <c r="A26100" t="s">
        <v>287</v>
      </c>
      <c r="B26100" s="1" t="str">
        <f>HYPERLINK("http://onkopas.fi","onkopas.fi")</f>
        <v>onkopas.fi</v>
      </c>
      <c r="C26100" t="s">
        <v>445</v>
      </c>
      <c r="D26100" t="s">
        <v>823</v>
      </c>
      <c r="J26100">
        <v>2</v>
      </c>
    </row>
    <row r="26101" spans="1:10" x14ac:dyDescent="0.25">
      <c r="A26101" t="s">
        <v>287</v>
      </c>
      <c r="B26101" s="1" t="str">
        <f>HYPERLINK("http://psoriasisiholla.fi","psoriasisiholla.fi")</f>
        <v>psoriasisiholla.fi</v>
      </c>
      <c r="C26101" t="s">
        <v>445</v>
      </c>
      <c r="D26101" t="s">
        <v>823</v>
      </c>
      <c r="F26101">
        <v>4.4562677484509104E-9</v>
      </c>
      <c r="G26101">
        <v>69021096</v>
      </c>
      <c r="H26101">
        <v>10351762</v>
      </c>
      <c r="I26101">
        <v>56194064</v>
      </c>
      <c r="J26101">
        <v>2</v>
      </c>
    </row>
    <row r="26102" spans="1:10" x14ac:dyDescent="0.25">
      <c r="A26102" t="s">
        <v>287</v>
      </c>
      <c r="B26102" s="1" t="str">
        <f>HYPERLINK("http://rixathon.fi","rixathon.fi")</f>
        <v>rixathon.fi</v>
      </c>
      <c r="C26102" t="s">
        <v>445</v>
      </c>
      <c r="D26102" t="s">
        <v>823</v>
      </c>
      <c r="J26102">
        <v>2</v>
      </c>
    </row>
    <row r="26103" spans="1:10" x14ac:dyDescent="0.25">
      <c r="A26103" t="s">
        <v>287</v>
      </c>
      <c r="B26103" s="1" t="str">
        <f>HYPERLINK("http://riximyo.fi","riximyo.fi")</f>
        <v>riximyo.fi</v>
      </c>
      <c r="C26103" t="s">
        <v>445</v>
      </c>
      <c r="D26103" t="s">
        <v>823</v>
      </c>
      <c r="J26103">
        <v>2</v>
      </c>
    </row>
    <row r="26104" spans="1:10" x14ac:dyDescent="0.25">
      <c r="A26104" t="s">
        <v>287</v>
      </c>
      <c r="B26104" s="1" t="str">
        <f>HYPERLINK("http://rmselo.fi","rmselo.fi")</f>
        <v>rmselo.fi</v>
      </c>
      <c r="C26104" t="s">
        <v>445</v>
      </c>
      <c r="D26104" t="s">
        <v>823</v>
      </c>
      <c r="J26104">
        <v>2</v>
      </c>
    </row>
    <row r="26105" spans="1:10" x14ac:dyDescent="0.25">
      <c r="A26105" t="s">
        <v>287</v>
      </c>
      <c r="B26105" s="1" t="str">
        <f>HYPERLINK("http://rrms.fi","rrms.fi")</f>
        <v>rrms.fi</v>
      </c>
      <c r="C26105" t="s">
        <v>445</v>
      </c>
      <c r="D26105" t="s">
        <v>823</v>
      </c>
      <c r="J26105">
        <v>2</v>
      </c>
    </row>
    <row r="26106" spans="1:10" x14ac:dyDescent="0.25">
      <c r="A26106" t="s">
        <v>287</v>
      </c>
      <c r="B26106" s="1" t="str">
        <f>HYPERLINK("http://rrmselo.fi","rrmselo.fi")</f>
        <v>rrmselo.fi</v>
      </c>
      <c r="C26106" t="s">
        <v>445</v>
      </c>
      <c r="D26106" t="s">
        <v>823</v>
      </c>
      <c r="J26106">
        <v>2</v>
      </c>
    </row>
    <row r="26107" spans="1:10" x14ac:dyDescent="0.25">
      <c r="A26107" t="s">
        <v>287</v>
      </c>
      <c r="B26107" s="1" t="str">
        <f>HYPERLINK("http://sandoz.fi","sandoz.fi")</f>
        <v>sandoz.fi</v>
      </c>
      <c r="C26107" t="s">
        <v>445</v>
      </c>
      <c r="D26107" t="s">
        <v>823</v>
      </c>
      <c r="F26107">
        <v>1.04968028102803E-8</v>
      </c>
      <c r="G26107">
        <v>6272406</v>
      </c>
      <c r="H26107">
        <v>12303442</v>
      </c>
      <c r="I26107">
        <v>20762870</v>
      </c>
      <c r="J26107">
        <v>2</v>
      </c>
    </row>
    <row r="26108" spans="1:10" x14ac:dyDescent="0.25">
      <c r="A26108" t="s">
        <v>287</v>
      </c>
      <c r="B26108" s="1" t="str">
        <f>HYPERLINK("http://sandoz-allergia.fi","sandoz-allergia.fi")</f>
        <v>sandoz-allergia.fi</v>
      </c>
      <c r="C26108" t="s">
        <v>445</v>
      </c>
      <c r="D26108" t="s">
        <v>823</v>
      </c>
      <c r="J26108">
        <v>2</v>
      </c>
    </row>
    <row r="26109" spans="1:10" x14ac:dyDescent="0.25">
      <c r="A26109" t="s">
        <v>287</v>
      </c>
      <c r="B26109" s="1" t="str">
        <f>HYPERLINK("http://sandoz-apteekeille.fi","sandoz-apteekeille.fi")</f>
        <v>sandoz-apteekeille.fi</v>
      </c>
      <c r="C26109" t="s">
        <v>445</v>
      </c>
      <c r="D26109" t="s">
        <v>823</v>
      </c>
      <c r="J26109">
        <v>2</v>
      </c>
    </row>
    <row r="26110" spans="1:10" x14ac:dyDescent="0.25">
      <c r="A26110" t="s">
        <v>287</v>
      </c>
      <c r="B26110" s="1" t="str">
        <f>HYPERLINK("http://sandozapteekeille.fi","sandozapteekeille.fi")</f>
        <v>sandozapteekeille.fi</v>
      </c>
      <c r="C26110" t="s">
        <v>445</v>
      </c>
      <c r="D26110" t="s">
        <v>823</v>
      </c>
      <c r="J26110">
        <v>2</v>
      </c>
    </row>
    <row r="26111" spans="1:10" x14ac:dyDescent="0.25">
      <c r="A26111" t="s">
        <v>287</v>
      </c>
      <c r="B26111" s="1" t="str">
        <f>HYPERLINK("http://sandozpro.fi","sandozpro.fi")</f>
        <v>sandozpro.fi</v>
      </c>
      <c r="C26111" t="s">
        <v>445</v>
      </c>
      <c r="D26111" t="s">
        <v>823</v>
      </c>
      <c r="J26111">
        <v>2</v>
      </c>
    </row>
    <row r="26112" spans="1:10" x14ac:dyDescent="0.25">
      <c r="A26112" t="s">
        <v>287</v>
      </c>
      <c r="B26112" s="1" t="str">
        <f>HYPERLINK("http://seewhatsnext.fi","seewhatsnext.fi")</f>
        <v>seewhatsnext.fi</v>
      </c>
      <c r="C26112" t="s">
        <v>445</v>
      </c>
      <c r="D26112" t="s">
        <v>823</v>
      </c>
      <c r="J26112">
        <v>2</v>
      </c>
    </row>
    <row r="26113" spans="1:10" x14ac:dyDescent="0.25">
      <c r="A26113" t="s">
        <v>287</v>
      </c>
      <c r="B26113" s="1" t="str">
        <f>HYPERLINK("http://seuraasydantasi.fi","seuraasydantasi.fi")</f>
        <v>seuraasydantasi.fi</v>
      </c>
      <c r="C26113" t="s">
        <v>445</v>
      </c>
      <c r="D26113" t="s">
        <v>823</v>
      </c>
      <c r="F26113">
        <v>4.5112664377863701E-9</v>
      </c>
      <c r="G26113">
        <v>57339754</v>
      </c>
      <c r="H26113">
        <v>8672497</v>
      </c>
      <c r="I26113">
        <v>70171080</v>
      </c>
      <c r="J26113">
        <v>2</v>
      </c>
    </row>
    <row r="26114" spans="1:10" x14ac:dyDescent="0.25">
      <c r="A26114" t="s">
        <v>287</v>
      </c>
      <c r="B26114" s="1" t="str">
        <f>HYPERLINK("http://speakmigraine.fi","speakmigraine.fi")</f>
        <v>speakmigraine.fi</v>
      </c>
      <c r="C26114" t="s">
        <v>445</v>
      </c>
      <c r="D26114" t="s">
        <v>823</v>
      </c>
      <c r="J26114">
        <v>2</v>
      </c>
    </row>
    <row r="26115" spans="1:10" x14ac:dyDescent="0.25">
      <c r="A26115" t="s">
        <v>287</v>
      </c>
      <c r="B26115" s="1" t="str">
        <f>HYPERLINK("http://speakyourmigraine.fi","speakyourmigraine.fi")</f>
        <v>speakyourmigraine.fi</v>
      </c>
      <c r="C26115" t="s">
        <v>445</v>
      </c>
      <c r="D26115" t="s">
        <v>823</v>
      </c>
      <c r="J26115">
        <v>2</v>
      </c>
    </row>
    <row r="26116" spans="1:10" x14ac:dyDescent="0.25">
      <c r="A26116" t="s">
        <v>287</v>
      </c>
      <c r="B26116" s="1" t="str">
        <f>HYPERLINK("http://spms.fi","spms.fi")</f>
        <v>spms.fi</v>
      </c>
      <c r="C26116" t="s">
        <v>445</v>
      </c>
      <c r="D26116" t="s">
        <v>823</v>
      </c>
      <c r="J26116">
        <v>2</v>
      </c>
    </row>
    <row r="26117" spans="1:10" x14ac:dyDescent="0.25">
      <c r="A26117" t="s">
        <v>287</v>
      </c>
      <c r="B26117" s="1" t="str">
        <f>HYPERLINK("http://spmselo.fi","spmselo.fi")</f>
        <v>spmselo.fi</v>
      </c>
      <c r="C26117" t="s">
        <v>445</v>
      </c>
      <c r="D26117" t="s">
        <v>823</v>
      </c>
      <c r="J26117">
        <v>2</v>
      </c>
    </row>
    <row r="26118" spans="1:10" x14ac:dyDescent="0.25">
      <c r="A26118" t="s">
        <v>287</v>
      </c>
      <c r="B26118" s="1" t="str">
        <f>HYPERLINK("http://spmsprogression.fi","spmsprogression.fi")</f>
        <v>spmsprogression.fi</v>
      </c>
      <c r="C26118" t="s">
        <v>445</v>
      </c>
      <c r="D26118" t="s">
        <v>823</v>
      </c>
      <c r="J26118">
        <v>2</v>
      </c>
    </row>
    <row r="26119" spans="1:10" x14ac:dyDescent="0.25">
      <c r="A26119" t="s">
        <v>287</v>
      </c>
      <c r="B26119" s="1" t="str">
        <f>HYPERLINK("http://surepal.fi","surepal.fi")</f>
        <v>surepal.fi</v>
      </c>
      <c r="C26119" t="s">
        <v>445</v>
      </c>
      <c r="D26119" t="s">
        <v>823</v>
      </c>
      <c r="J26119">
        <v>2</v>
      </c>
    </row>
    <row r="26120" spans="1:10" x14ac:dyDescent="0.25">
      <c r="A26120" t="s">
        <v>287</v>
      </c>
      <c r="B26120" s="1" t="str">
        <f>HYPERLINK("http://taipumaton.fi","taipumaton.fi")</f>
        <v>taipumaton.fi</v>
      </c>
      <c r="C26120" t="s">
        <v>445</v>
      </c>
      <c r="D26120" t="s">
        <v>823</v>
      </c>
      <c r="F26120">
        <v>4.4438194642406102E-9</v>
      </c>
      <c r="G26120">
        <v>79212890</v>
      </c>
      <c r="H26120">
        <v>10457916</v>
      </c>
      <c r="I26120">
        <v>51926369</v>
      </c>
      <c r="J26120">
        <v>2</v>
      </c>
    </row>
    <row r="26121" spans="1:10" x14ac:dyDescent="0.25">
      <c r="A26121" t="s">
        <v>287</v>
      </c>
      <c r="B26121" s="1" t="str">
        <f>HYPERLINK("http://tameyourmigraine.fi","tameyourmigraine.fi")</f>
        <v>tameyourmigraine.fi</v>
      </c>
      <c r="C26121" t="s">
        <v>445</v>
      </c>
      <c r="D26121" t="s">
        <v>823</v>
      </c>
      <c r="J26121">
        <v>2</v>
      </c>
    </row>
    <row r="26122" spans="1:10" x14ac:dyDescent="0.25">
      <c r="A26122" t="s">
        <v>287</v>
      </c>
      <c r="B26122" s="1" t="str">
        <f>HYPERLINK("http://terveyshub.fi","terveyshub.fi")</f>
        <v>terveyshub.fi</v>
      </c>
      <c r="C26122" t="s">
        <v>445</v>
      </c>
      <c r="D26122" t="s">
        <v>823</v>
      </c>
      <c r="J26122">
        <v>2</v>
      </c>
    </row>
    <row r="26123" spans="1:10" x14ac:dyDescent="0.25">
      <c r="A26123" t="s">
        <v>287</v>
      </c>
      <c r="B26123" s="1" t="str">
        <f>HYPERLINK("http://tunnesairautesi.fi","tunnesairautesi.fi")</f>
        <v>tunnesairautesi.fi</v>
      </c>
      <c r="C26123" t="s">
        <v>445</v>
      </c>
      <c r="D26123" t="s">
        <v>823</v>
      </c>
      <c r="J26123">
        <v>2</v>
      </c>
    </row>
    <row r="26124" spans="1:10" x14ac:dyDescent="0.25">
      <c r="A26124" t="s">
        <v>287</v>
      </c>
      <c r="B26124" s="1" t="str">
        <f>HYPERLINK("http://tyverb.fi","tyverb.fi")</f>
        <v>tyverb.fi</v>
      </c>
      <c r="C26124" t="s">
        <v>445</v>
      </c>
      <c r="D26124" t="s">
        <v>823</v>
      </c>
      <c r="J26124">
        <v>2</v>
      </c>
    </row>
    <row r="26125" spans="1:10" x14ac:dyDescent="0.25">
      <c r="A26125" t="s">
        <v>287</v>
      </c>
      <c r="B26125" s="1" t="str">
        <f>HYPERLINK("http://ultibro.fi","ultibro.fi")</f>
        <v>ultibro.fi</v>
      </c>
      <c r="C26125" t="s">
        <v>445</v>
      </c>
      <c r="D26125" t="s">
        <v>823</v>
      </c>
      <c r="J26125">
        <v>2</v>
      </c>
    </row>
    <row r="26126" spans="1:10" x14ac:dyDescent="0.25">
      <c r="A26126" t="s">
        <v>287</v>
      </c>
      <c r="B26126" s="1" t="str">
        <f>HYPERLINK("http://urtikariaiholla.fi","urtikariaiholla.fi")</f>
        <v>urtikariaiholla.fi</v>
      </c>
      <c r="C26126" t="s">
        <v>445</v>
      </c>
      <c r="D26126" t="s">
        <v>823</v>
      </c>
      <c r="J26126">
        <v>2</v>
      </c>
    </row>
    <row r="26127" spans="1:10" x14ac:dyDescent="0.25">
      <c r="A26127" t="s">
        <v>287</v>
      </c>
      <c r="B26127" s="1" t="str">
        <f>HYPERLINK("http://urtikariapaiva.fi","urtikariapaiva.fi")</f>
        <v>urtikariapaiva.fi</v>
      </c>
      <c r="C26127" t="s">
        <v>445</v>
      </c>
      <c r="D26127" t="s">
        <v>823</v>
      </c>
      <c r="J26127">
        <v>2</v>
      </c>
    </row>
    <row r="26128" spans="1:10" x14ac:dyDescent="0.25">
      <c r="A26128" t="s">
        <v>287</v>
      </c>
      <c r="B26128" s="1" t="str">
        <f>HYPERLINK("http://vagicare.fi","vagicare.fi")</f>
        <v>vagicare.fi</v>
      </c>
      <c r="C26128" t="s">
        <v>445</v>
      </c>
      <c r="D26128" t="s">
        <v>823</v>
      </c>
      <c r="F26128">
        <v>4.5152399071766502E-9</v>
      </c>
      <c r="G26128">
        <v>56816123</v>
      </c>
      <c r="H26128">
        <v>10784926</v>
      </c>
      <c r="I26128">
        <v>38706751</v>
      </c>
      <c r="J26128">
        <v>4</v>
      </c>
    </row>
    <row r="26129" spans="1:10" x14ac:dyDescent="0.25">
      <c r="A26129" t="s">
        <v>287</v>
      </c>
      <c r="B26129" s="1" t="str">
        <f>HYPERLINK("http://vagidonna.fi","vagidonna.fi")</f>
        <v>vagidonna.fi</v>
      </c>
      <c r="C26129" t="s">
        <v>445</v>
      </c>
      <c r="D26129" t="s">
        <v>823</v>
      </c>
      <c r="J26129">
        <v>2</v>
      </c>
    </row>
    <row r="26130" spans="1:10" x14ac:dyDescent="0.25">
      <c r="A26130" t="s">
        <v>287</v>
      </c>
      <c r="B26130" s="1" t="str">
        <f>HYPERLINK("http://voltaren.fi","voltaren.fi")</f>
        <v>voltaren.fi</v>
      </c>
      <c r="C26130" t="s">
        <v>445</v>
      </c>
      <c r="D26130" t="s">
        <v>823</v>
      </c>
      <c r="F26130">
        <v>4.8816336636922298E-9</v>
      </c>
      <c r="G26130">
        <v>33026383</v>
      </c>
      <c r="H26130">
        <v>13764178</v>
      </c>
      <c r="I26130">
        <v>7348674</v>
      </c>
      <c r="J26130">
        <v>2</v>
      </c>
    </row>
    <row r="26131" spans="1:10" x14ac:dyDescent="0.25">
      <c r="A26131" t="s">
        <v>287</v>
      </c>
      <c r="B26131" s="1" t="str">
        <f>HYPERLINK("http://voltarengeeli.fi","voltarengeeli.fi")</f>
        <v>voltarengeeli.fi</v>
      </c>
      <c r="C26131" t="s">
        <v>445</v>
      </c>
      <c r="D26131" t="s">
        <v>823</v>
      </c>
      <c r="J26131">
        <v>2</v>
      </c>
    </row>
    <row r="26132" spans="1:10" x14ac:dyDescent="0.25">
      <c r="A26132" t="s">
        <v>287</v>
      </c>
      <c r="B26132" s="1" t="str">
        <f>HYPERLINK("http://voltnatura.fi","voltnatura.fi")</f>
        <v>voltnatura.fi</v>
      </c>
      <c r="C26132" t="s">
        <v>445</v>
      </c>
      <c r="D26132" t="s">
        <v>823</v>
      </c>
      <c r="J26132">
        <v>2</v>
      </c>
    </row>
    <row r="26133" spans="1:10" x14ac:dyDescent="0.25">
      <c r="A26133" t="s">
        <v>287</v>
      </c>
      <c r="B26133" s="1" t="str">
        <f>HYPERLINK("http://xolair.fi","xolair.fi")</f>
        <v>xolair.fi</v>
      </c>
      <c r="C26133" t="s">
        <v>445</v>
      </c>
      <c r="D26133" t="s">
        <v>823</v>
      </c>
      <c r="J26133">
        <v>2</v>
      </c>
    </row>
    <row r="26134" spans="1:10" x14ac:dyDescent="0.25">
      <c r="A26134" t="s">
        <v>287</v>
      </c>
      <c r="B26134" s="1" t="str">
        <f>HYPERLINK("http://novartis.fr","novartis.fr")</f>
        <v>novartis.fr</v>
      </c>
      <c r="C26134" t="s">
        <v>446</v>
      </c>
      <c r="D26134" t="s">
        <v>824</v>
      </c>
      <c r="F26134">
        <v>1.2106287408616299E-7</v>
      </c>
      <c r="G26134">
        <v>326247</v>
      </c>
      <c r="H26134">
        <v>16932374</v>
      </c>
      <c r="I26134">
        <v>117300</v>
      </c>
      <c r="J26134">
        <v>2</v>
      </c>
    </row>
    <row r="26135" spans="1:10" x14ac:dyDescent="0.25">
      <c r="A26135" t="s">
        <v>287</v>
      </c>
      <c r="B26135" s="1" t="str">
        <f>HYPERLINK("http://sandoz.fr","sandoz.fr")</f>
        <v>sandoz.fr</v>
      </c>
      <c r="C26135" t="s">
        <v>446</v>
      </c>
      <c r="D26135" t="s">
        <v>824</v>
      </c>
      <c r="F26135">
        <v>2.0776392607612401E-8</v>
      </c>
      <c r="G26135">
        <v>2546239</v>
      </c>
      <c r="H26135">
        <v>12772742</v>
      </c>
      <c r="I26135">
        <v>14821443</v>
      </c>
      <c r="J26135">
        <v>3</v>
      </c>
    </row>
    <row r="26136" spans="1:10" x14ac:dyDescent="0.25">
      <c r="A26136" t="s">
        <v>287</v>
      </c>
      <c r="B26136" s="1" t="str">
        <f>HYPERLINK("http://famar.gr","famar.gr")</f>
        <v>famar.gr</v>
      </c>
      <c r="C26136" t="s">
        <v>447</v>
      </c>
      <c r="D26136" t="s">
        <v>825</v>
      </c>
      <c r="F26136">
        <v>8.1010894802518003E-9</v>
      </c>
      <c r="G26136">
        <v>9739677</v>
      </c>
      <c r="H26136">
        <v>12405853</v>
      </c>
      <c r="I26136">
        <v>18673550</v>
      </c>
      <c r="J26136">
        <v>4</v>
      </c>
    </row>
    <row r="26137" spans="1:10" x14ac:dyDescent="0.25">
      <c r="A26137" t="s">
        <v>287</v>
      </c>
      <c r="B26137" s="1" t="str">
        <f>HYPERLINK("http://novartis.gr","novartis.gr")</f>
        <v>novartis.gr</v>
      </c>
      <c r="C26137" t="s">
        <v>447</v>
      </c>
      <c r="D26137" t="s">
        <v>825</v>
      </c>
      <c r="F26137">
        <v>2.7243286821099399E-8</v>
      </c>
      <c r="G26137">
        <v>1887198</v>
      </c>
      <c r="H26137">
        <v>14240906</v>
      </c>
      <c r="I26137">
        <v>1496672</v>
      </c>
      <c r="J26137">
        <v>2</v>
      </c>
    </row>
    <row r="26138" spans="1:10" x14ac:dyDescent="0.25">
      <c r="A26138" t="s">
        <v>287</v>
      </c>
      <c r="B26138" s="1" t="str">
        <f>HYPERLINK("http://novartis.com.hk","novartis.com.hk")</f>
        <v>novartis.com.hk</v>
      </c>
      <c r="C26138" t="s">
        <v>450</v>
      </c>
      <c r="D26138" t="s">
        <v>827</v>
      </c>
      <c r="F26138">
        <v>1.0538921225622501E-8</v>
      </c>
      <c r="G26138">
        <v>6236326</v>
      </c>
      <c r="H26138">
        <v>12501724</v>
      </c>
      <c r="I26138">
        <v>17343677</v>
      </c>
      <c r="J26138">
        <v>2</v>
      </c>
    </row>
    <row r="26139" spans="1:10" x14ac:dyDescent="0.25">
      <c r="A26139" t="s">
        <v>287</v>
      </c>
      <c r="B26139" s="1" t="str">
        <f>HYPERLINK("http://sandoz.hr","sandoz.hr")</f>
        <v>sandoz.hr</v>
      </c>
      <c r="C26139" t="s">
        <v>452</v>
      </c>
      <c r="D26139" t="s">
        <v>829</v>
      </c>
      <c r="F26139">
        <v>1.1995838975519899E-8</v>
      </c>
      <c r="G26139">
        <v>5179350</v>
      </c>
      <c r="H26139">
        <v>12356123</v>
      </c>
      <c r="I26139">
        <v>19660444</v>
      </c>
      <c r="J26139">
        <v>3</v>
      </c>
    </row>
    <row r="26140" spans="1:10" x14ac:dyDescent="0.25">
      <c r="A26140" t="s">
        <v>287</v>
      </c>
      <c r="B26140" s="1" t="str">
        <f>HYPERLINK("http://novartis.hu","novartis.hu")</f>
        <v>novartis.hu</v>
      </c>
      <c r="C26140" t="s">
        <v>453</v>
      </c>
      <c r="D26140" t="s">
        <v>830</v>
      </c>
      <c r="F26140">
        <v>1.7977340234084899E-8</v>
      </c>
      <c r="G26140">
        <v>3037378</v>
      </c>
      <c r="H26140">
        <v>12606596</v>
      </c>
      <c r="I26140">
        <v>16260483</v>
      </c>
      <c r="J26140">
        <v>2</v>
      </c>
    </row>
    <row r="26141" spans="1:10" x14ac:dyDescent="0.25">
      <c r="A26141" t="s">
        <v>287</v>
      </c>
      <c r="B26141" s="1" t="str">
        <f>HYPERLINK("http://sandoz.hu","sandoz.hu")</f>
        <v>sandoz.hu</v>
      </c>
      <c r="C26141" t="s">
        <v>453</v>
      </c>
      <c r="D26141" t="s">
        <v>830</v>
      </c>
      <c r="F26141">
        <v>1.11269074583614E-8</v>
      </c>
      <c r="G26141">
        <v>5765849</v>
      </c>
      <c r="H26141">
        <v>11232510</v>
      </c>
      <c r="I26141">
        <v>31011342</v>
      </c>
      <c r="J26141">
        <v>4</v>
      </c>
    </row>
    <row r="26142" spans="1:10" x14ac:dyDescent="0.25">
      <c r="A26142" t="s">
        <v>287</v>
      </c>
      <c r="B26142" s="1" t="str">
        <f>HYPERLINK("http://novartis.co.id","novartis.co.id")</f>
        <v>novartis.co.id</v>
      </c>
      <c r="C26142" t="s">
        <v>454</v>
      </c>
      <c r="D26142" t="s">
        <v>831</v>
      </c>
      <c r="F26142">
        <v>6.4688924540584098E-9</v>
      </c>
      <c r="G26142">
        <v>14210362</v>
      </c>
      <c r="H26142">
        <v>12302543</v>
      </c>
      <c r="I26142">
        <v>20778820</v>
      </c>
      <c r="J26142">
        <v>2</v>
      </c>
    </row>
    <row r="26143" spans="1:10" x14ac:dyDescent="0.25">
      <c r="A26143" t="s">
        <v>287</v>
      </c>
      <c r="B26143" s="1" t="str">
        <f>HYPERLINK("http://novartis.ie","novartis.ie")</f>
        <v>novartis.ie</v>
      </c>
      <c r="C26143" t="s">
        <v>455</v>
      </c>
      <c r="D26143" t="s">
        <v>832</v>
      </c>
      <c r="F26143">
        <v>2.9062809805468401E-8</v>
      </c>
      <c r="G26143">
        <v>1771665</v>
      </c>
      <c r="H26143">
        <v>13967305</v>
      </c>
      <c r="I26143">
        <v>4084250</v>
      </c>
      <c r="J26143">
        <v>2</v>
      </c>
    </row>
    <row r="26144" spans="1:10" x14ac:dyDescent="0.25">
      <c r="A26144" t="s">
        <v>287</v>
      </c>
      <c r="B26144" s="1" t="str">
        <f>HYPERLINK("http://novartis.co.il","novartis.co.il")</f>
        <v>novartis.co.il</v>
      </c>
      <c r="C26144" t="s">
        <v>456</v>
      </c>
      <c r="D26144" t="s">
        <v>833</v>
      </c>
      <c r="F26144">
        <v>9.2803911529928594E-9</v>
      </c>
      <c r="G26144">
        <v>7598113</v>
      </c>
      <c r="H26144">
        <v>12444605</v>
      </c>
      <c r="I26144">
        <v>18089447</v>
      </c>
      <c r="J26144">
        <v>2</v>
      </c>
    </row>
    <row r="26145" spans="1:10" x14ac:dyDescent="0.25">
      <c r="A26145" t="s">
        <v>287</v>
      </c>
      <c r="B26145" s="1" t="str">
        <f>HYPERLINK("http://novartis.co.in","novartis.co.in")</f>
        <v>novartis.co.in</v>
      </c>
      <c r="C26145" t="s">
        <v>457</v>
      </c>
      <c r="D26145" t="s">
        <v>834</v>
      </c>
      <c r="F26145">
        <v>6.4555371346896898E-9</v>
      </c>
      <c r="G26145">
        <v>14269492</v>
      </c>
      <c r="H26145">
        <v>12302541</v>
      </c>
      <c r="I26145">
        <v>20778865</v>
      </c>
      <c r="J26145">
        <v>2</v>
      </c>
    </row>
    <row r="26146" spans="1:10" x14ac:dyDescent="0.25">
      <c r="A26146" t="s">
        <v>287</v>
      </c>
      <c r="B26146" s="1" t="str">
        <f>HYPERLINK("http://novartis.in","novartis.in")</f>
        <v>novartis.in</v>
      </c>
      <c r="C26146" t="s">
        <v>457</v>
      </c>
      <c r="D26146" t="s">
        <v>834</v>
      </c>
      <c r="F26146">
        <v>2.8374054354206799E-8</v>
      </c>
      <c r="G26146">
        <v>1813670</v>
      </c>
      <c r="H26146">
        <v>13307553</v>
      </c>
      <c r="I26146">
        <v>10789853</v>
      </c>
      <c r="J26146">
        <v>2</v>
      </c>
    </row>
    <row r="26147" spans="1:10" x14ac:dyDescent="0.25">
      <c r="A26147" t="s">
        <v>287</v>
      </c>
      <c r="B26147" s="1" t="str">
        <f>HYPERLINK("http://novartis.it","novartis.it")</f>
        <v>novartis.it</v>
      </c>
      <c r="C26147" t="s">
        <v>459</v>
      </c>
      <c r="D26147" t="s">
        <v>835</v>
      </c>
      <c r="F26147">
        <v>7.8787315203747695E-8</v>
      </c>
      <c r="G26147">
        <v>530506</v>
      </c>
      <c r="H26147">
        <v>14717426</v>
      </c>
      <c r="I26147">
        <v>579561</v>
      </c>
      <c r="J26147">
        <v>2</v>
      </c>
    </row>
    <row r="26148" spans="1:10" x14ac:dyDescent="0.25">
      <c r="A26148" t="s">
        <v>287</v>
      </c>
      <c r="B26148" s="1" t="str">
        <f>HYPERLINK("http://sandoz.it","sandoz.it")</f>
        <v>sandoz.it</v>
      </c>
      <c r="C26148" t="s">
        <v>459</v>
      </c>
      <c r="D26148" t="s">
        <v>835</v>
      </c>
      <c r="F26148">
        <v>3.8490660667199198E-8</v>
      </c>
      <c r="G26148">
        <v>1340027</v>
      </c>
      <c r="H26148">
        <v>12455151</v>
      </c>
      <c r="I26148">
        <v>17932046</v>
      </c>
      <c r="J26148">
        <v>3</v>
      </c>
    </row>
    <row r="26149" spans="1:10" x14ac:dyDescent="0.25">
      <c r="A26149" t="s">
        <v>287</v>
      </c>
      <c r="B26149" s="1" t="str">
        <f>HYPERLINK("http://novartis.co.jp","novartis.co.jp")</f>
        <v>novartis.co.jp</v>
      </c>
      <c r="C26149" t="s">
        <v>461</v>
      </c>
      <c r="D26149" t="s">
        <v>837</v>
      </c>
      <c r="E26149">
        <v>649234</v>
      </c>
      <c r="F26149">
        <v>2.1403082471477801E-7</v>
      </c>
      <c r="G26149">
        <v>176368</v>
      </c>
      <c r="H26149">
        <v>14439150</v>
      </c>
      <c r="I26149">
        <v>1065452</v>
      </c>
      <c r="J26149">
        <v>2</v>
      </c>
    </row>
    <row r="26150" spans="1:10" x14ac:dyDescent="0.25">
      <c r="A26150" t="s">
        <v>287</v>
      </c>
      <c r="B26150" s="1" t="str">
        <f>HYPERLINK("http://novartis.jp","novartis.jp")</f>
        <v>novartis.jp</v>
      </c>
      <c r="C26150" t="s">
        <v>461</v>
      </c>
      <c r="D26150" t="s">
        <v>837</v>
      </c>
      <c r="F26150">
        <v>7.6889532497013094E-9</v>
      </c>
      <c r="G26150">
        <v>10605542</v>
      </c>
      <c r="H26150">
        <v>12413157</v>
      </c>
      <c r="I26150">
        <v>18562202</v>
      </c>
      <c r="J26150">
        <v>3</v>
      </c>
    </row>
    <row r="26151" spans="1:10" x14ac:dyDescent="0.25">
      <c r="A26151" t="s">
        <v>287</v>
      </c>
      <c r="B26151" s="1" t="str">
        <f>HYPERLINK("http://sandoz.jp","sandoz.jp")</f>
        <v>sandoz.jp</v>
      </c>
      <c r="C26151" t="s">
        <v>461</v>
      </c>
      <c r="D26151" t="s">
        <v>837</v>
      </c>
      <c r="F26151">
        <v>1.8988228617236599E-8</v>
      </c>
      <c r="G26151">
        <v>2838091</v>
      </c>
      <c r="H26151">
        <v>13185490</v>
      </c>
      <c r="I26151">
        <v>11622958</v>
      </c>
      <c r="J26151">
        <v>3</v>
      </c>
    </row>
    <row r="26152" spans="1:10" x14ac:dyDescent="0.25">
      <c r="A26152" t="s">
        <v>287</v>
      </c>
      <c r="B26152" s="1" t="str">
        <f>HYPERLINK("http://novartis.co.kr","novartis.co.kr")</f>
        <v>novartis.co.kr</v>
      </c>
      <c r="C26152" t="s">
        <v>463</v>
      </c>
      <c r="D26152" t="s">
        <v>839</v>
      </c>
      <c r="F26152">
        <v>1.5766923644929999E-8</v>
      </c>
      <c r="G26152">
        <v>3608979</v>
      </c>
      <c r="H26152">
        <v>12453670</v>
      </c>
      <c r="I26152">
        <v>17953965</v>
      </c>
      <c r="J26152">
        <v>2</v>
      </c>
    </row>
    <row r="26153" spans="1:10" x14ac:dyDescent="0.25">
      <c r="A26153" t="s">
        <v>287</v>
      </c>
      <c r="B26153" s="1" t="str">
        <f>HYPERLINK("http://sandoz.kr","sandoz.kr")</f>
        <v>sandoz.kr</v>
      </c>
      <c r="C26153" t="s">
        <v>463</v>
      </c>
      <c r="D26153" t="s">
        <v>839</v>
      </c>
      <c r="F26153">
        <v>5.8359656816323701E-9</v>
      </c>
      <c r="G26153">
        <v>17814313</v>
      </c>
      <c r="H26153">
        <v>10819820</v>
      </c>
      <c r="I26153">
        <v>37627510</v>
      </c>
      <c r="J26153">
        <v>4</v>
      </c>
    </row>
    <row r="26154" spans="1:10" x14ac:dyDescent="0.25">
      <c r="A26154" t="s">
        <v>287</v>
      </c>
      <c r="B26154" s="1" t="str">
        <f>HYPERLINK("http://novartis.lt","novartis.lt")</f>
        <v>novartis.lt</v>
      </c>
      <c r="C26154" t="s">
        <v>467</v>
      </c>
      <c r="D26154" t="s">
        <v>843</v>
      </c>
      <c r="F26154">
        <v>8.2972480999370394E-9</v>
      </c>
      <c r="G26154">
        <v>9266474</v>
      </c>
      <c r="H26154">
        <v>12323152</v>
      </c>
      <c r="I26154">
        <v>20355394</v>
      </c>
      <c r="J26154">
        <v>2</v>
      </c>
    </row>
    <row r="26155" spans="1:10" x14ac:dyDescent="0.25">
      <c r="A26155" t="s">
        <v>287</v>
      </c>
      <c r="B26155" s="1" t="str">
        <f>HYPERLINK("http://novartis.lv","novartis.lv")</f>
        <v>novartis.lv</v>
      </c>
      <c r="C26155" t="s">
        <v>468</v>
      </c>
      <c r="D26155" t="s">
        <v>844</v>
      </c>
      <c r="F26155">
        <v>8.2804838314601808E-9</v>
      </c>
      <c r="G26155">
        <v>9304340</v>
      </c>
      <c r="H26155">
        <v>12326297</v>
      </c>
      <c r="I26155">
        <v>20301482</v>
      </c>
      <c r="J26155">
        <v>2</v>
      </c>
    </row>
    <row r="26156" spans="1:10" x14ac:dyDescent="0.25">
      <c r="A26156" t="s">
        <v>287</v>
      </c>
      <c r="B26156" s="1" t="str">
        <f>HYPERLINK("http://novartis.com.mx","novartis.com.mx")</f>
        <v>novartis.com.mx</v>
      </c>
      <c r="C26156" t="s">
        <v>471</v>
      </c>
      <c r="D26156" t="s">
        <v>847</v>
      </c>
      <c r="F26156">
        <v>1.31401342138856E-8</v>
      </c>
      <c r="G26156">
        <v>4565582</v>
      </c>
      <c r="H26156">
        <v>12654196</v>
      </c>
      <c r="I26156">
        <v>15772956</v>
      </c>
      <c r="J26156">
        <v>2</v>
      </c>
    </row>
    <row r="26157" spans="1:10" x14ac:dyDescent="0.25">
      <c r="A26157" t="s">
        <v>287</v>
      </c>
      <c r="B26157" s="1" t="str">
        <f>HYPERLINK("http://sandoz.com.mx","sandoz.com.mx")</f>
        <v>sandoz.com.mx</v>
      </c>
      <c r="C26157" t="s">
        <v>471</v>
      </c>
      <c r="D26157" t="s">
        <v>847</v>
      </c>
      <c r="F26157">
        <v>6.3845749414658998E-9</v>
      </c>
      <c r="G26157">
        <v>14595405</v>
      </c>
      <c r="H26157">
        <v>11097488</v>
      </c>
      <c r="I26157">
        <v>32307196</v>
      </c>
      <c r="J26157">
        <v>4</v>
      </c>
    </row>
    <row r="26158" spans="1:10" x14ac:dyDescent="0.25">
      <c r="A26158" t="s">
        <v>287</v>
      </c>
      <c r="B26158" s="1" t="str">
        <f>HYPERLINK("http://novartis.com.my","novartis.com.my")</f>
        <v>novartis.com.my</v>
      </c>
      <c r="C26158" t="s">
        <v>472</v>
      </c>
      <c r="D26158" t="s">
        <v>848</v>
      </c>
      <c r="F26158">
        <v>1.13224280022397E-8</v>
      </c>
      <c r="G26158">
        <v>5627088</v>
      </c>
      <c r="H26158">
        <v>12360185</v>
      </c>
      <c r="I26158">
        <v>19581376</v>
      </c>
      <c r="J26158">
        <v>2</v>
      </c>
    </row>
    <row r="26159" spans="1:10" x14ac:dyDescent="0.25">
      <c r="A26159" t="s">
        <v>287</v>
      </c>
      <c r="B26159" s="1" t="str">
        <f>HYPERLINK("http://novartis.nl","novartis.nl")</f>
        <v>novartis.nl</v>
      </c>
      <c r="C26159" t="s">
        <v>477</v>
      </c>
      <c r="D26159" t="s">
        <v>852</v>
      </c>
      <c r="F26159">
        <v>6.0751344133394298E-8</v>
      </c>
      <c r="G26159">
        <v>725514</v>
      </c>
      <c r="H26159">
        <v>13773371</v>
      </c>
      <c r="I26159">
        <v>6633667</v>
      </c>
      <c r="J26159">
        <v>2</v>
      </c>
    </row>
    <row r="26160" spans="1:10" x14ac:dyDescent="0.25">
      <c r="A26160" t="s">
        <v>287</v>
      </c>
      <c r="B26160" s="1" t="str">
        <f>HYPERLINK("http://sandoz.nl","sandoz.nl")</f>
        <v>sandoz.nl</v>
      </c>
      <c r="C26160" t="s">
        <v>477</v>
      </c>
      <c r="D26160" t="s">
        <v>852</v>
      </c>
      <c r="F26160">
        <v>2.25159687624968E-8</v>
      </c>
      <c r="G26160">
        <v>2326710</v>
      </c>
      <c r="H26160">
        <v>12474787</v>
      </c>
      <c r="I26160">
        <v>17647764</v>
      </c>
      <c r="J26160">
        <v>4</v>
      </c>
    </row>
    <row r="26161" spans="1:10" x14ac:dyDescent="0.25">
      <c r="A26161" t="s">
        <v>287</v>
      </c>
      <c r="B26161" s="1" t="str">
        <f>HYPERLINK("http://novartis.no","novartis.no")</f>
        <v>novartis.no</v>
      </c>
      <c r="C26161" t="s">
        <v>478</v>
      </c>
      <c r="D26161" t="s">
        <v>853</v>
      </c>
      <c r="F26161">
        <v>1.8344387432153701E-8</v>
      </c>
      <c r="G26161">
        <v>2958902</v>
      </c>
      <c r="H26161">
        <v>13769582</v>
      </c>
      <c r="I26161">
        <v>6779606</v>
      </c>
      <c r="J26161">
        <v>2</v>
      </c>
    </row>
    <row r="26162" spans="1:10" x14ac:dyDescent="0.25">
      <c r="A26162" t="s">
        <v>287</v>
      </c>
      <c r="B26162" s="1" t="str">
        <f>HYPERLINK("http://sandoz.no","sandoz.no")</f>
        <v>sandoz.no</v>
      </c>
      <c r="C26162" t="s">
        <v>478</v>
      </c>
      <c r="D26162" t="s">
        <v>853</v>
      </c>
      <c r="F26162">
        <v>8.5181165004744506E-9</v>
      </c>
      <c r="G26162">
        <v>8809695</v>
      </c>
      <c r="H26162">
        <v>12305650</v>
      </c>
      <c r="I26162">
        <v>20723861</v>
      </c>
      <c r="J26162">
        <v>3</v>
      </c>
    </row>
    <row r="26163" spans="1:10" x14ac:dyDescent="0.25">
      <c r="A26163" t="s">
        <v>287</v>
      </c>
      <c r="B26163" s="1" t="str">
        <f>HYPERLINK("http://gnf.org","gnf.org")</f>
        <v>gnf.org</v>
      </c>
      <c r="C26163" t="s">
        <v>481</v>
      </c>
      <c r="F26163">
        <v>9.6973695315152701E-8</v>
      </c>
      <c r="G26163">
        <v>416670</v>
      </c>
      <c r="H26163">
        <v>14536632</v>
      </c>
      <c r="I26163">
        <v>779430</v>
      </c>
      <c r="J26163">
        <v>4</v>
      </c>
    </row>
    <row r="26164" spans="1:10" x14ac:dyDescent="0.25">
      <c r="A26164" t="s">
        <v>287</v>
      </c>
      <c r="B26164" s="1" t="str">
        <f>HYPERLINK("http://novartis.org","novartis.org")</f>
        <v>novartis.org</v>
      </c>
      <c r="C26164" t="s">
        <v>481</v>
      </c>
      <c r="F26164">
        <v>1.02080985869248E-8</v>
      </c>
      <c r="G26164">
        <v>6539047</v>
      </c>
      <c r="H26164">
        <v>12777821</v>
      </c>
      <c r="I26164">
        <v>14782542</v>
      </c>
      <c r="J26164">
        <v>2</v>
      </c>
    </row>
    <row r="26165" spans="1:10" x14ac:dyDescent="0.25">
      <c r="A26165" t="s">
        <v>287</v>
      </c>
      <c r="B26165" s="1" t="str">
        <f>HYPERLINK("http://novartis.com.ph","novartis.com.ph")</f>
        <v>novartis.com.ph</v>
      </c>
      <c r="C26165" t="s">
        <v>484</v>
      </c>
      <c r="D26165" t="s">
        <v>858</v>
      </c>
      <c r="F26165">
        <v>9.7997631197234292E-9</v>
      </c>
      <c r="G26165">
        <v>6969121</v>
      </c>
      <c r="H26165">
        <v>13149674</v>
      </c>
      <c r="I26165">
        <v>11828871</v>
      </c>
      <c r="J26165">
        <v>2</v>
      </c>
    </row>
    <row r="26166" spans="1:10" x14ac:dyDescent="0.25">
      <c r="A26166" t="s">
        <v>287</v>
      </c>
      <c r="B26166" s="1" t="str">
        <f>HYPERLINK("http://novartis.pk","novartis.pk")</f>
        <v>novartis.pk</v>
      </c>
      <c r="C26166" t="s">
        <v>485</v>
      </c>
      <c r="D26166" t="s">
        <v>859</v>
      </c>
      <c r="F26166">
        <v>5.0182472518491598E-9</v>
      </c>
      <c r="G26166">
        <v>28942562</v>
      </c>
      <c r="H26166">
        <v>12250541</v>
      </c>
      <c r="I26166">
        <v>22004638</v>
      </c>
      <c r="J26166">
        <v>2</v>
      </c>
    </row>
    <row r="26167" spans="1:10" x14ac:dyDescent="0.25">
      <c r="A26167" t="s">
        <v>287</v>
      </c>
      <c r="B26167" s="1" t="str">
        <f>HYPERLINK("http://novartis.pl","novartis.pl")</f>
        <v>novartis.pl</v>
      </c>
      <c r="C26167" t="s">
        <v>486</v>
      </c>
      <c r="D26167" t="s">
        <v>860</v>
      </c>
      <c r="F26167">
        <v>4.38996527249949E-8</v>
      </c>
      <c r="G26167">
        <v>1085041</v>
      </c>
      <c r="H26167">
        <v>14083380</v>
      </c>
      <c r="I26167">
        <v>2793830</v>
      </c>
      <c r="J26167">
        <v>2</v>
      </c>
    </row>
    <row r="26168" spans="1:10" x14ac:dyDescent="0.25">
      <c r="A26168" t="s">
        <v>287</v>
      </c>
      <c r="B26168" s="1" t="str">
        <f>HYPERLINK("http://sandoz.pl","sandoz.pl")</f>
        <v>sandoz.pl</v>
      </c>
      <c r="C26168" t="s">
        <v>486</v>
      </c>
      <c r="D26168" t="s">
        <v>860</v>
      </c>
      <c r="F26168">
        <v>2.7176210070072599E-8</v>
      </c>
      <c r="G26168">
        <v>1892021</v>
      </c>
      <c r="H26168">
        <v>14127726</v>
      </c>
      <c r="I26168">
        <v>2079843</v>
      </c>
      <c r="J26168">
        <v>3</v>
      </c>
    </row>
    <row r="26169" spans="1:10" x14ac:dyDescent="0.25">
      <c r="A26169" t="s">
        <v>287</v>
      </c>
      <c r="B26169" s="1" t="str">
        <f>HYPERLINK("http://novartis.pt","novartis.pt")</f>
        <v>novartis.pt</v>
      </c>
      <c r="C26169" t="s">
        <v>488</v>
      </c>
      <c r="D26169" t="s">
        <v>862</v>
      </c>
      <c r="F26169">
        <v>3.0402742955738001E-8</v>
      </c>
      <c r="G26169">
        <v>1693339</v>
      </c>
      <c r="H26169">
        <v>14091153</v>
      </c>
      <c r="I26169">
        <v>2745123</v>
      </c>
      <c r="J26169">
        <v>2</v>
      </c>
    </row>
    <row r="26170" spans="1:10" x14ac:dyDescent="0.25">
      <c r="A26170" t="s">
        <v>287</v>
      </c>
      <c r="B26170" s="1" t="str">
        <f>HYPERLINK("http://sandoz.pt","sandoz.pt")</f>
        <v>sandoz.pt</v>
      </c>
      <c r="C26170" t="s">
        <v>488</v>
      </c>
      <c r="D26170" t="s">
        <v>862</v>
      </c>
      <c r="F26170">
        <v>5.9689605720889701E-9</v>
      </c>
      <c r="G26170">
        <v>16888246</v>
      </c>
      <c r="H26170">
        <v>10835731</v>
      </c>
      <c r="I26170">
        <v>37269087</v>
      </c>
      <c r="J26170">
        <v>4</v>
      </c>
    </row>
    <row r="26171" spans="1:10" x14ac:dyDescent="0.25">
      <c r="A26171" t="s">
        <v>287</v>
      </c>
      <c r="B26171" s="1" t="str">
        <f>HYPERLINK("http://novartis.com.ro","novartis.com.ro")</f>
        <v>novartis.com.ro</v>
      </c>
      <c r="C26171" t="s">
        <v>491</v>
      </c>
      <c r="D26171" t="s">
        <v>865</v>
      </c>
      <c r="F26171">
        <v>1.2090588921725001E-8</v>
      </c>
      <c r="G26171">
        <v>5119048</v>
      </c>
      <c r="H26171">
        <v>12782378</v>
      </c>
      <c r="I26171">
        <v>14734516</v>
      </c>
      <c r="J26171">
        <v>2</v>
      </c>
    </row>
    <row r="26172" spans="1:10" x14ac:dyDescent="0.25">
      <c r="A26172" t="s">
        <v>287</v>
      </c>
      <c r="B26172" s="1" t="str">
        <f>HYPERLINK("http://sandoz.ro","sandoz.ro")</f>
        <v>sandoz.ro</v>
      </c>
      <c r="C26172" t="s">
        <v>491</v>
      </c>
      <c r="D26172" t="s">
        <v>865</v>
      </c>
      <c r="F26172">
        <v>9.43942966871355E-9</v>
      </c>
      <c r="G26172">
        <v>7395657</v>
      </c>
      <c r="H26172">
        <v>12309413</v>
      </c>
      <c r="I26172">
        <v>20629223</v>
      </c>
      <c r="J26172">
        <v>4</v>
      </c>
    </row>
    <row r="26173" spans="1:10" x14ac:dyDescent="0.25">
      <c r="A26173" t="s">
        <v>287</v>
      </c>
      <c r="B26173" s="1" t="str">
        <f>HYPERLINK("http://novartis.rs","novartis.rs")</f>
        <v>novartis.rs</v>
      </c>
      <c r="C26173" t="s">
        <v>492</v>
      </c>
      <c r="D26173" t="s">
        <v>866</v>
      </c>
      <c r="F26173">
        <v>7.9719870152639102E-9</v>
      </c>
      <c r="G26173">
        <v>9972664</v>
      </c>
      <c r="H26173">
        <v>12324989</v>
      </c>
      <c r="I26173">
        <v>20324553</v>
      </c>
      <c r="J26173">
        <v>2</v>
      </c>
    </row>
    <row r="26174" spans="1:10" x14ac:dyDescent="0.25">
      <c r="A26174" t="s">
        <v>287</v>
      </c>
      <c r="B26174" s="1" t="str">
        <f>HYPERLINK("http://novartis.ru","novartis.ru")</f>
        <v>novartis.ru</v>
      </c>
      <c r="C26174" t="s">
        <v>493</v>
      </c>
      <c r="D26174" t="s">
        <v>867</v>
      </c>
      <c r="F26174">
        <v>9.2488906522149204E-8</v>
      </c>
      <c r="G26174">
        <v>440001</v>
      </c>
      <c r="H26174">
        <v>13295025</v>
      </c>
      <c r="I26174">
        <v>10853693</v>
      </c>
      <c r="J26174">
        <v>2</v>
      </c>
    </row>
    <row r="26175" spans="1:10" x14ac:dyDescent="0.25">
      <c r="A26175" t="s">
        <v>287</v>
      </c>
      <c r="B26175" s="1" t="str">
        <f>HYPERLINK("http://sandoz.ru","sandoz.ru")</f>
        <v>sandoz.ru</v>
      </c>
      <c r="C26175" t="s">
        <v>493</v>
      </c>
      <c r="D26175" t="s">
        <v>867</v>
      </c>
      <c r="F26175">
        <v>3.0384144041599299E-8</v>
      </c>
      <c r="G26175">
        <v>1694432</v>
      </c>
      <c r="H26175">
        <v>12959553</v>
      </c>
      <c r="I26175">
        <v>13171302</v>
      </c>
      <c r="J26175">
        <v>3</v>
      </c>
    </row>
    <row r="26176" spans="1:10" x14ac:dyDescent="0.25">
      <c r="A26176" t="s">
        <v>287</v>
      </c>
      <c r="B26176" s="1" t="str">
        <f>HYPERLINK("http://novartis.se","novartis.se")</f>
        <v>novartis.se</v>
      </c>
      <c r="C26176" t="s">
        <v>495</v>
      </c>
      <c r="D26176" t="s">
        <v>869</v>
      </c>
      <c r="F26176">
        <v>3.2162505378451203E-8</v>
      </c>
      <c r="G26176">
        <v>1608100</v>
      </c>
      <c r="H26176">
        <v>14497086</v>
      </c>
      <c r="I26176">
        <v>867783</v>
      </c>
      <c r="J26176">
        <v>2</v>
      </c>
    </row>
    <row r="26177" spans="1:10" x14ac:dyDescent="0.25">
      <c r="A26177" t="s">
        <v>287</v>
      </c>
      <c r="B26177" s="1" t="str">
        <f>HYPERLINK("http://sandoz.se","sandoz.se")</f>
        <v>sandoz.se</v>
      </c>
      <c r="C26177" t="s">
        <v>495</v>
      </c>
      <c r="D26177" t="s">
        <v>869</v>
      </c>
      <c r="F26177">
        <v>1.5600704576085699E-8</v>
      </c>
      <c r="G26177">
        <v>3654925</v>
      </c>
      <c r="H26177">
        <v>12572397</v>
      </c>
      <c r="I26177">
        <v>16603927</v>
      </c>
      <c r="J26177">
        <v>4</v>
      </c>
    </row>
    <row r="26178" spans="1:10" x14ac:dyDescent="0.25">
      <c r="A26178" t="s">
        <v>287</v>
      </c>
      <c r="B26178" s="1" t="str">
        <f>HYPERLINK("http://novartis.com.sg","novartis.com.sg")</f>
        <v>novartis.com.sg</v>
      </c>
      <c r="C26178" t="s">
        <v>496</v>
      </c>
      <c r="D26178" t="s">
        <v>870</v>
      </c>
      <c r="F26178">
        <v>1.32523916356352E-8</v>
      </c>
      <c r="G26178">
        <v>4514743</v>
      </c>
      <c r="H26178">
        <v>13335333</v>
      </c>
      <c r="I26178">
        <v>10687545</v>
      </c>
      <c r="J26178">
        <v>2</v>
      </c>
    </row>
    <row r="26179" spans="1:10" x14ac:dyDescent="0.25">
      <c r="A26179" t="s">
        <v>287</v>
      </c>
      <c r="B26179" s="1" t="str">
        <f>HYPERLINK("http://lek.si","lek.si")</f>
        <v>lek.si</v>
      </c>
      <c r="C26179" t="s">
        <v>497</v>
      </c>
      <c r="D26179" t="s">
        <v>871</v>
      </c>
      <c r="E26179">
        <v>787096</v>
      </c>
      <c r="F26179">
        <v>9.57127419255843E-8</v>
      </c>
      <c r="G26179">
        <v>423036</v>
      </c>
      <c r="H26179">
        <v>14693243</v>
      </c>
      <c r="I26179">
        <v>600760</v>
      </c>
      <c r="J26179">
        <v>3</v>
      </c>
    </row>
    <row r="26180" spans="1:10" x14ac:dyDescent="0.25">
      <c r="A26180" t="s">
        <v>287</v>
      </c>
      <c r="B26180" s="1" t="str">
        <f>HYPERLINK("http://novartis.sk","novartis.sk")</f>
        <v>novartis.sk</v>
      </c>
      <c r="C26180" t="s">
        <v>498</v>
      </c>
      <c r="D26180" t="s">
        <v>872</v>
      </c>
      <c r="F26180">
        <v>2.74199011454533E-8</v>
      </c>
      <c r="G26180">
        <v>1874813</v>
      </c>
      <c r="H26180">
        <v>12600776</v>
      </c>
      <c r="I26180">
        <v>16320423</v>
      </c>
      <c r="J26180">
        <v>2</v>
      </c>
    </row>
    <row r="26181" spans="1:10" x14ac:dyDescent="0.25">
      <c r="A26181" t="s">
        <v>287</v>
      </c>
      <c r="B26181" s="1" t="str">
        <f>HYPERLINK("http://sandoz.sk","sandoz.sk")</f>
        <v>sandoz.sk</v>
      </c>
      <c r="C26181" t="s">
        <v>498</v>
      </c>
      <c r="D26181" t="s">
        <v>872</v>
      </c>
      <c r="F26181">
        <v>1.1060784997684299E-8</v>
      </c>
      <c r="G26181">
        <v>5814309</v>
      </c>
      <c r="H26181">
        <v>13938789</v>
      </c>
      <c r="I26181">
        <v>4413493</v>
      </c>
      <c r="J26181">
        <v>4</v>
      </c>
    </row>
    <row r="26182" spans="1:10" x14ac:dyDescent="0.25">
      <c r="A26182" t="s">
        <v>287</v>
      </c>
      <c r="B26182" s="1" t="str">
        <f>HYPERLINK("http://novartis.com.tr","novartis.com.tr")</f>
        <v>novartis.com.tr</v>
      </c>
      <c r="C26182" t="s">
        <v>502</v>
      </c>
      <c r="D26182" t="s">
        <v>876</v>
      </c>
      <c r="F26182">
        <v>1.46832763798786E-8</v>
      </c>
      <c r="G26182">
        <v>3946774</v>
      </c>
      <c r="H26182">
        <v>14075896</v>
      </c>
      <c r="I26182">
        <v>2898308</v>
      </c>
      <c r="J26182">
        <v>2</v>
      </c>
    </row>
    <row r="26183" spans="1:10" x14ac:dyDescent="0.25">
      <c r="A26183" t="s">
        <v>287</v>
      </c>
      <c r="B26183" s="1" t="str">
        <f>HYPERLINK("http://sandoz.com.tr","sandoz.com.tr")</f>
        <v>sandoz.com.tr</v>
      </c>
      <c r="C26183" t="s">
        <v>502</v>
      </c>
      <c r="D26183" t="s">
        <v>876</v>
      </c>
      <c r="F26183">
        <v>1.3588058758220099E-8</v>
      </c>
      <c r="G26183">
        <v>4366747</v>
      </c>
      <c r="H26183">
        <v>13765666</v>
      </c>
      <c r="I26183">
        <v>7079234</v>
      </c>
      <c r="J26183">
        <v>4</v>
      </c>
    </row>
    <row r="26184" spans="1:10" x14ac:dyDescent="0.25">
      <c r="A26184" t="s">
        <v>287</v>
      </c>
      <c r="B26184" s="1" t="str">
        <f>HYPERLINK("http://novartis.com.tw","novartis.com.tw")</f>
        <v>novartis.com.tw</v>
      </c>
      <c r="C26184" t="s">
        <v>504</v>
      </c>
      <c r="D26184" t="s">
        <v>878</v>
      </c>
      <c r="F26184">
        <v>8.9832454855683707E-9</v>
      </c>
      <c r="G26184">
        <v>8017191</v>
      </c>
      <c r="H26184">
        <v>14237553</v>
      </c>
      <c r="I26184">
        <v>1547086</v>
      </c>
      <c r="J26184">
        <v>2</v>
      </c>
    </row>
    <row r="26185" spans="1:10" x14ac:dyDescent="0.25">
      <c r="A26185" t="s">
        <v>287</v>
      </c>
      <c r="B26185" s="1" t="str">
        <f>HYPERLINK("http://novartis.co.uk","novartis.co.uk")</f>
        <v>novartis.co.uk</v>
      </c>
      <c r="C26185" t="s">
        <v>506</v>
      </c>
      <c r="D26185" t="s">
        <v>880</v>
      </c>
      <c r="E26185">
        <v>415154</v>
      </c>
      <c r="F26185">
        <v>8.2822223240072206E-8</v>
      </c>
      <c r="G26185">
        <v>503651</v>
      </c>
      <c r="H26185">
        <v>13561571</v>
      </c>
      <c r="I26185">
        <v>9846881</v>
      </c>
      <c r="J26185">
        <v>2</v>
      </c>
    </row>
    <row r="26186" spans="1:10" x14ac:dyDescent="0.25">
      <c r="A26186" t="s">
        <v>287</v>
      </c>
      <c r="B26186" s="1" t="str">
        <f>HYPERLINK("http://novartis.us","novartis.us")</f>
        <v>novartis.us</v>
      </c>
      <c r="C26186" t="s">
        <v>522</v>
      </c>
      <c r="D26186" t="s">
        <v>891</v>
      </c>
      <c r="E26186">
        <v>262167</v>
      </c>
      <c r="F26186">
        <v>5.0049675112679203E-7</v>
      </c>
      <c r="G26186">
        <v>76380</v>
      </c>
      <c r="H26186">
        <v>14725805</v>
      </c>
      <c r="I26186">
        <v>575504</v>
      </c>
      <c r="J26186">
        <v>2</v>
      </c>
    </row>
    <row r="26187" spans="1:10" x14ac:dyDescent="0.25">
      <c r="A26187" t="s">
        <v>287</v>
      </c>
      <c r="B26187" s="1" t="str">
        <f>HYPERLINK("http://novartis.com.ve","novartis.com.ve")</f>
        <v>novartis.com.ve</v>
      </c>
      <c r="C26187" t="s">
        <v>508</v>
      </c>
      <c r="D26187" t="s">
        <v>882</v>
      </c>
      <c r="F26187">
        <v>8.7144559106693503E-9</v>
      </c>
      <c r="G26187">
        <v>8452473</v>
      </c>
      <c r="H26187">
        <v>12325563</v>
      </c>
      <c r="I26187">
        <v>20315843</v>
      </c>
      <c r="J26187">
        <v>2</v>
      </c>
    </row>
    <row r="26188" spans="1:10" x14ac:dyDescent="0.25">
      <c r="A26188" t="s">
        <v>287</v>
      </c>
      <c r="B26188" s="1" t="str">
        <f>HYPERLINK("http://novartis.co.za","novartis.co.za")</f>
        <v>novartis.co.za</v>
      </c>
      <c r="C26188" t="s">
        <v>510</v>
      </c>
      <c r="D26188" t="s">
        <v>884</v>
      </c>
      <c r="F26188">
        <v>1.9870734481495099E-8</v>
      </c>
      <c r="G26188">
        <v>2679356</v>
      </c>
      <c r="H26188">
        <v>14081314</v>
      </c>
      <c r="I26188">
        <v>2811297</v>
      </c>
      <c r="J26188">
        <v>2</v>
      </c>
    </row>
    <row r="26189" spans="1:10" x14ac:dyDescent="0.25">
      <c r="A26189" t="s">
        <v>288</v>
      </c>
      <c r="B26189" s="1" t="str">
        <f>HYPERLINK("http://novatek.pl","novatek.pl")</f>
        <v>novatek.pl</v>
      </c>
      <c r="C26189" t="s">
        <v>486</v>
      </c>
      <c r="D26189" t="s">
        <v>860</v>
      </c>
      <c r="F26189">
        <v>2.1742917104306799E-8</v>
      </c>
      <c r="G26189">
        <v>2418222</v>
      </c>
      <c r="H26189">
        <v>13079472</v>
      </c>
      <c r="I26189">
        <v>12192586</v>
      </c>
      <c r="J26189">
        <v>2</v>
      </c>
    </row>
    <row r="26190" spans="1:10" x14ac:dyDescent="0.25">
      <c r="A26190" t="s">
        <v>288</v>
      </c>
      <c r="B26190" s="1" t="str">
        <f>HYPERLINK("http://novatek.ru","novatek.ru")</f>
        <v>novatek.ru</v>
      </c>
      <c r="C26190" t="s">
        <v>493</v>
      </c>
      <c r="D26190" t="s">
        <v>867</v>
      </c>
      <c r="E26190">
        <v>41844</v>
      </c>
      <c r="F26190">
        <v>3.0489463090084499E-7</v>
      </c>
      <c r="G26190">
        <v>121922</v>
      </c>
      <c r="H26190">
        <v>14666132</v>
      </c>
      <c r="I26190">
        <v>617046</v>
      </c>
      <c r="J26190">
        <v>1</v>
      </c>
    </row>
    <row r="26191" spans="1:10" x14ac:dyDescent="0.25">
      <c r="A26191" t="s">
        <v>289</v>
      </c>
      <c r="B26191" s="1" t="str">
        <f>HYPERLINK("http://novonordisk.ae","novonordisk.ae")</f>
        <v>novonordisk.ae</v>
      </c>
      <c r="C26191" t="s">
        <v>417</v>
      </c>
      <c r="D26191" t="s">
        <v>799</v>
      </c>
      <c r="F26191">
        <v>1.2796845190743899E-8</v>
      </c>
      <c r="G26191">
        <v>4730298</v>
      </c>
      <c r="H26191">
        <v>12187979</v>
      </c>
      <c r="I26191">
        <v>23632542</v>
      </c>
      <c r="J26191">
        <v>2</v>
      </c>
    </row>
    <row r="26192" spans="1:10" x14ac:dyDescent="0.25">
      <c r="A26192" t="s">
        <v>289</v>
      </c>
      <c r="B26192" s="1" t="str">
        <f>HYPERLINK("http://novonordisk.com.ar","novonordisk.com.ar")</f>
        <v>novonordisk.com.ar</v>
      </c>
      <c r="C26192" t="s">
        <v>418</v>
      </c>
      <c r="D26192" t="s">
        <v>800</v>
      </c>
      <c r="F26192">
        <v>1.8689185983895299E-8</v>
      </c>
      <c r="G26192">
        <v>2891212</v>
      </c>
      <c r="H26192">
        <v>13933487</v>
      </c>
      <c r="I26192">
        <v>4729944</v>
      </c>
      <c r="J26192">
        <v>2</v>
      </c>
    </row>
    <row r="26193" spans="1:10" x14ac:dyDescent="0.25">
      <c r="A26193" t="s">
        <v>289</v>
      </c>
      <c r="B26193" s="1" t="str">
        <f>HYPERLINK("http://novonordisk.at","novonordisk.at")</f>
        <v>novonordisk.at</v>
      </c>
      <c r="C26193" t="s">
        <v>419</v>
      </c>
      <c r="D26193" t="s">
        <v>801</v>
      </c>
      <c r="F26193">
        <v>2.0774046360591001E-8</v>
      </c>
      <c r="G26193">
        <v>2546584</v>
      </c>
      <c r="H26193">
        <v>12358818</v>
      </c>
      <c r="I26193">
        <v>19609619</v>
      </c>
      <c r="J26193">
        <v>2</v>
      </c>
    </row>
    <row r="26194" spans="1:10" x14ac:dyDescent="0.25">
      <c r="A26194" t="s">
        <v>289</v>
      </c>
      <c r="B26194" s="1" t="str">
        <f>HYPERLINK("http://novonordisk.az","novonordisk.az")</f>
        <v>novonordisk.az</v>
      </c>
      <c r="C26194" t="s">
        <v>561</v>
      </c>
      <c r="D26194" t="s">
        <v>911</v>
      </c>
      <c r="F26194">
        <v>8.4286948137830203E-9</v>
      </c>
      <c r="G26194">
        <v>8984670</v>
      </c>
      <c r="H26194">
        <v>12098960</v>
      </c>
      <c r="I26194">
        <v>25996734</v>
      </c>
      <c r="J26194">
        <v>3</v>
      </c>
    </row>
    <row r="26195" spans="1:10" x14ac:dyDescent="0.25">
      <c r="A26195" t="s">
        <v>289</v>
      </c>
      <c r="B26195" s="1" t="str">
        <f>HYPERLINK("http://novonordisk.ba","novonordisk.ba")</f>
        <v>novonordisk.ba</v>
      </c>
      <c r="C26195" t="s">
        <v>526</v>
      </c>
      <c r="D26195" t="s">
        <v>893</v>
      </c>
      <c r="F26195">
        <v>1.1671601235487299E-8</v>
      </c>
      <c r="G26195">
        <v>5384584</v>
      </c>
      <c r="H26195">
        <v>12187982</v>
      </c>
      <c r="I26195">
        <v>23632479</v>
      </c>
      <c r="J26195">
        <v>2</v>
      </c>
    </row>
    <row r="26196" spans="1:10" x14ac:dyDescent="0.25">
      <c r="A26196" t="s">
        <v>289</v>
      </c>
      <c r="B26196" s="1" t="str">
        <f>HYPERLINK("http://novonordisk.be","novonordisk.be")</f>
        <v>novonordisk.be</v>
      </c>
      <c r="C26196" t="s">
        <v>421</v>
      </c>
      <c r="D26196" t="s">
        <v>803</v>
      </c>
      <c r="F26196">
        <v>1.7060128593632E-8</v>
      </c>
      <c r="G26196">
        <v>3269626</v>
      </c>
      <c r="H26196">
        <v>12890919</v>
      </c>
      <c r="I26196">
        <v>13932778</v>
      </c>
      <c r="J26196">
        <v>2</v>
      </c>
    </row>
    <row r="26197" spans="1:10" x14ac:dyDescent="0.25">
      <c r="A26197" t="s">
        <v>289</v>
      </c>
      <c r="B26197" s="1" t="str">
        <f>HYPERLINK("http://novonordisk.bg","novonordisk.bg")</f>
        <v>novonordisk.bg</v>
      </c>
      <c r="C26197" t="s">
        <v>422</v>
      </c>
      <c r="D26197" t="s">
        <v>804</v>
      </c>
      <c r="F26197">
        <v>1.5090982398067799E-8</v>
      </c>
      <c r="G26197">
        <v>3810538</v>
      </c>
      <c r="H26197">
        <v>13116732</v>
      </c>
      <c r="I26197">
        <v>12006118</v>
      </c>
      <c r="J26197">
        <v>2</v>
      </c>
    </row>
    <row r="26198" spans="1:10" x14ac:dyDescent="0.25">
      <c r="A26198" t="s">
        <v>289</v>
      </c>
      <c r="B26198" s="1" t="str">
        <f>HYPERLINK("http://novonordisk.com.br","novonordisk.com.br")</f>
        <v>novonordisk.com.br</v>
      </c>
      <c r="C26198" t="s">
        <v>425</v>
      </c>
      <c r="D26198" t="s">
        <v>806</v>
      </c>
      <c r="F26198">
        <v>1.5454367145248401E-8</v>
      </c>
      <c r="G26198">
        <v>3697710</v>
      </c>
      <c r="H26198">
        <v>13783416</v>
      </c>
      <c r="I26198">
        <v>6426189</v>
      </c>
      <c r="J26198">
        <v>2</v>
      </c>
    </row>
    <row r="26199" spans="1:10" x14ac:dyDescent="0.25">
      <c r="A26199" t="s">
        <v>289</v>
      </c>
      <c r="B26199" s="1" t="str">
        <f>HYPERLINK("http://novonordisk.ca","novonordisk.ca")</f>
        <v>novonordisk.ca</v>
      </c>
      <c r="C26199" t="s">
        <v>428</v>
      </c>
      <c r="D26199" t="s">
        <v>809</v>
      </c>
      <c r="F26199">
        <v>6.4758125635448796E-8</v>
      </c>
      <c r="G26199">
        <v>666468</v>
      </c>
      <c r="H26199">
        <v>13882538</v>
      </c>
      <c r="I26199">
        <v>5976082</v>
      </c>
      <c r="J26199">
        <v>3</v>
      </c>
    </row>
    <row r="26200" spans="1:10" x14ac:dyDescent="0.25">
      <c r="A26200" t="s">
        <v>289</v>
      </c>
      <c r="B26200" s="1" t="str">
        <f>HYPERLINK("http://novonordisk.ch","novonordisk.ch")</f>
        <v>novonordisk.ch</v>
      </c>
      <c r="C26200" t="s">
        <v>429</v>
      </c>
      <c r="D26200" t="s">
        <v>810</v>
      </c>
      <c r="F26200">
        <v>2.8865854871000901E-8</v>
      </c>
      <c r="G26200">
        <v>1783163</v>
      </c>
      <c r="H26200">
        <v>13305397</v>
      </c>
      <c r="I26200">
        <v>10801107</v>
      </c>
      <c r="J26200">
        <v>2</v>
      </c>
    </row>
    <row r="26201" spans="1:10" x14ac:dyDescent="0.25">
      <c r="A26201" t="s">
        <v>289</v>
      </c>
      <c r="B26201" s="1" t="str">
        <f>HYPERLINK("http://novonordisk.cl","novonordisk.cl")</f>
        <v>novonordisk.cl</v>
      </c>
      <c r="C26201" t="s">
        <v>430</v>
      </c>
      <c r="D26201" t="s">
        <v>811</v>
      </c>
      <c r="F26201">
        <v>1.3587778203156699E-8</v>
      </c>
      <c r="G26201">
        <v>4366869</v>
      </c>
      <c r="H26201">
        <v>12222331</v>
      </c>
      <c r="I26201">
        <v>22736611</v>
      </c>
      <c r="J26201">
        <v>2</v>
      </c>
    </row>
    <row r="26202" spans="1:10" x14ac:dyDescent="0.25">
      <c r="A26202" t="s">
        <v>289</v>
      </c>
      <c r="B26202" s="1" t="str">
        <f>HYPERLINK("http://diabetes.com.cn","diabetes.com.cn")</f>
        <v>diabetes.com.cn</v>
      </c>
      <c r="C26202" t="s">
        <v>431</v>
      </c>
      <c r="D26202" t="s">
        <v>812</v>
      </c>
      <c r="F26202">
        <v>5.0859190881130596E-9</v>
      </c>
      <c r="G26202">
        <v>27381780</v>
      </c>
      <c r="H26202">
        <v>10802763</v>
      </c>
      <c r="I26202">
        <v>38077150</v>
      </c>
      <c r="J26202">
        <v>3</v>
      </c>
    </row>
    <row r="26203" spans="1:10" x14ac:dyDescent="0.25">
      <c r="A26203" t="s">
        <v>289</v>
      </c>
      <c r="B26203" s="1" t="str">
        <f>HYPERLINK("http://novocare.com.cn","novocare.com.cn")</f>
        <v>novocare.com.cn</v>
      </c>
      <c r="C26203" t="s">
        <v>431</v>
      </c>
      <c r="D26203" t="s">
        <v>812</v>
      </c>
      <c r="F26203">
        <v>4.4567866531466997E-9</v>
      </c>
      <c r="G26203">
        <v>68814712</v>
      </c>
      <c r="H26203">
        <v>6537362</v>
      </c>
      <c r="I26203">
        <v>77312116</v>
      </c>
      <c r="J26203">
        <v>3</v>
      </c>
    </row>
    <row r="26204" spans="1:10" x14ac:dyDescent="0.25">
      <c r="A26204" t="s">
        <v>289</v>
      </c>
      <c r="B26204" s="1" t="str">
        <f>HYPERLINK("http://novonordisk.com.cn","novonordisk.com.cn")</f>
        <v>novonordisk.com.cn</v>
      </c>
      <c r="C26204" t="s">
        <v>431</v>
      </c>
      <c r="D26204" t="s">
        <v>812</v>
      </c>
      <c r="E26204">
        <v>959783</v>
      </c>
      <c r="F26204">
        <v>2.11612328768528E-8</v>
      </c>
      <c r="G26204">
        <v>2492675</v>
      </c>
      <c r="H26204">
        <v>13135034</v>
      </c>
      <c r="I26204">
        <v>11914800</v>
      </c>
      <c r="J26204">
        <v>2</v>
      </c>
    </row>
    <row r="26205" spans="1:10" x14ac:dyDescent="0.25">
      <c r="A26205" t="s">
        <v>289</v>
      </c>
      <c r="B26205" s="1" t="str">
        <f>HYPERLINK("http://nnit.cn","nnit.cn")</f>
        <v>nnit.cn</v>
      </c>
      <c r="C26205" t="s">
        <v>431</v>
      </c>
      <c r="D26205" t="s">
        <v>812</v>
      </c>
      <c r="F26205">
        <v>5.1992401612172602E-9</v>
      </c>
      <c r="G26205">
        <v>25177601</v>
      </c>
      <c r="H26205">
        <v>10828333</v>
      </c>
      <c r="I26205">
        <v>37436896</v>
      </c>
      <c r="J26205">
        <v>3</v>
      </c>
    </row>
    <row r="26206" spans="1:10" x14ac:dyDescent="0.25">
      <c r="A26206" t="s">
        <v>289</v>
      </c>
      <c r="B26206" s="1" t="str">
        <f>HYPERLINK("http://novonordisk.com.co","novonordisk.com.co")</f>
        <v>novonordisk.com.co</v>
      </c>
      <c r="C26206" t="s">
        <v>432</v>
      </c>
      <c r="F26206">
        <v>1.40553445262443E-8</v>
      </c>
      <c r="G26206">
        <v>4182070</v>
      </c>
      <c r="H26206">
        <v>12106123</v>
      </c>
      <c r="I26206">
        <v>25822107</v>
      </c>
      <c r="J26206">
        <v>3</v>
      </c>
    </row>
    <row r="26207" spans="1:10" x14ac:dyDescent="0.25">
      <c r="A26207" t="s">
        <v>289</v>
      </c>
      <c r="B26207" s="1" t="str">
        <f>HYPERLINK("http://dicerna.com","dicerna.com")</f>
        <v>dicerna.com</v>
      </c>
      <c r="C26207" t="s">
        <v>433</v>
      </c>
      <c r="F26207">
        <v>6.2036485354305596E-8</v>
      </c>
      <c r="G26207">
        <v>708731</v>
      </c>
      <c r="H26207">
        <v>14177994</v>
      </c>
      <c r="I26207">
        <v>1785707</v>
      </c>
      <c r="J26207">
        <v>3</v>
      </c>
    </row>
    <row r="26208" spans="1:10" x14ac:dyDescent="0.25">
      <c r="A26208" t="s">
        <v>289</v>
      </c>
      <c r="B26208" s="1" t="str">
        <f>HYPERLINK("http://emisphere.com","emisphere.com")</f>
        <v>emisphere.com</v>
      </c>
      <c r="C26208" t="s">
        <v>433</v>
      </c>
      <c r="F26208">
        <v>1.8465764854108298E-8</v>
      </c>
      <c r="G26208">
        <v>2932218</v>
      </c>
      <c r="H26208">
        <v>14142137</v>
      </c>
      <c r="I26208">
        <v>1922412</v>
      </c>
      <c r="J26208">
        <v>3</v>
      </c>
    </row>
    <row r="26209" spans="1:10" x14ac:dyDescent="0.25">
      <c r="A26209" t="s">
        <v>289</v>
      </c>
      <c r="B26209" s="1" t="str">
        <f>HYPERLINK("http://formatherapeutics.com","formatherapeutics.com")</f>
        <v>formatherapeutics.com</v>
      </c>
      <c r="C26209" t="s">
        <v>433</v>
      </c>
      <c r="F26209">
        <v>3.1090514584540098E-8</v>
      </c>
      <c r="G26209">
        <v>1657952</v>
      </c>
      <c r="H26209">
        <v>13898150</v>
      </c>
      <c r="I26209">
        <v>5953046</v>
      </c>
      <c r="J26209">
        <v>3</v>
      </c>
    </row>
    <row r="26210" spans="1:10" x14ac:dyDescent="0.25">
      <c r="A26210" t="s">
        <v>289</v>
      </c>
      <c r="B26210" s="1" t="str">
        <f>HYPERLINK("http://kilomuyonetiyorum.com","kilomuyonetiyorum.com")</f>
        <v>kilomuyonetiyorum.com</v>
      </c>
      <c r="C26210" t="s">
        <v>433</v>
      </c>
      <c r="F26210">
        <v>4.4551671789282302E-9</v>
      </c>
      <c r="G26210">
        <v>69451577</v>
      </c>
      <c r="H26210">
        <v>10430765</v>
      </c>
      <c r="I26210">
        <v>53329718</v>
      </c>
      <c r="J26210">
        <v>3</v>
      </c>
    </row>
    <row r="26211" spans="1:10" x14ac:dyDescent="0.25">
      <c r="A26211" t="s">
        <v>289</v>
      </c>
      <c r="B26211" s="1" t="str">
        <f>HYPERLINK("http://nne.com","nne.com")</f>
        <v>nne.com</v>
      </c>
      <c r="C26211" t="s">
        <v>433</v>
      </c>
      <c r="F26211">
        <v>3.8104333092725297E-8</v>
      </c>
      <c r="G26211">
        <v>1358373</v>
      </c>
      <c r="H26211">
        <v>14130371</v>
      </c>
      <c r="I26211">
        <v>2032722</v>
      </c>
      <c r="J26211">
        <v>2</v>
      </c>
    </row>
    <row r="26212" spans="1:10" x14ac:dyDescent="0.25">
      <c r="A26212" t="s">
        <v>289</v>
      </c>
      <c r="B26212" s="1" t="str">
        <f>HYPERLINK("http://nnepharmaplan.com","nnepharmaplan.com")</f>
        <v>nnepharmaplan.com</v>
      </c>
      <c r="C26212" t="s">
        <v>433</v>
      </c>
      <c r="F26212">
        <v>1.0287858891727099E-8</v>
      </c>
      <c r="G26212">
        <v>6462360</v>
      </c>
      <c r="H26212">
        <v>14127104</v>
      </c>
      <c r="I26212">
        <v>2088815</v>
      </c>
      <c r="J26212">
        <v>5</v>
      </c>
    </row>
    <row r="26213" spans="1:10" x14ac:dyDescent="0.25">
      <c r="A26213" t="s">
        <v>289</v>
      </c>
      <c r="B26213" s="1" t="str">
        <f>HYPERLINK("http://nnit.com","nnit.com")</f>
        <v>nnit.com</v>
      </c>
      <c r="C26213" t="s">
        <v>433</v>
      </c>
      <c r="E26213">
        <v>240890</v>
      </c>
      <c r="F26213">
        <v>1.0128375046481201E-7</v>
      </c>
      <c r="G26213">
        <v>396949</v>
      </c>
      <c r="H26213">
        <v>14688491</v>
      </c>
      <c r="I26213">
        <v>603452</v>
      </c>
      <c r="J26213">
        <v>2</v>
      </c>
    </row>
    <row r="26214" spans="1:10" x14ac:dyDescent="0.25">
      <c r="A26214" t="s">
        <v>289</v>
      </c>
      <c r="B26214" s="1" t="str">
        <f>HYPERLINK("http://nnittest.com","nnittest.com")</f>
        <v>nnittest.com</v>
      </c>
      <c r="C26214" t="s">
        <v>433</v>
      </c>
      <c r="E26214">
        <v>223269</v>
      </c>
      <c r="F26214">
        <v>1.69416078271408E-8</v>
      </c>
      <c r="G26214">
        <v>3297270</v>
      </c>
      <c r="H26214">
        <v>12376390</v>
      </c>
      <c r="I26214">
        <v>19284257</v>
      </c>
      <c r="J26214">
        <v>3</v>
      </c>
    </row>
    <row r="26215" spans="1:10" x14ac:dyDescent="0.25">
      <c r="A26215" t="s">
        <v>289</v>
      </c>
      <c r="B26215" s="1" t="str">
        <f>HYPERLINK("http://novonordisk.com","novonordisk.com")</f>
        <v>novonordisk.com</v>
      </c>
      <c r="C26215" t="s">
        <v>433</v>
      </c>
      <c r="E26215">
        <v>26090</v>
      </c>
      <c r="F26215">
        <v>1.12346402185403E-6</v>
      </c>
      <c r="G26215">
        <v>34310</v>
      </c>
      <c r="H26215">
        <v>17316644</v>
      </c>
      <c r="I26215">
        <v>26157</v>
      </c>
      <c r="J26215">
        <v>1</v>
      </c>
    </row>
    <row r="26216" spans="1:10" x14ac:dyDescent="0.25">
      <c r="A26216" t="s">
        <v>289</v>
      </c>
      <c r="B26216" s="1" t="str">
        <f>HYPERLINK("http://novonordisk-us.com","novonordisk-us.com")</f>
        <v>novonordisk-us.com</v>
      </c>
      <c r="C26216" t="s">
        <v>433</v>
      </c>
      <c r="E26216">
        <v>226091</v>
      </c>
      <c r="F26216">
        <v>4.5231599261332701E-7</v>
      </c>
      <c r="G26216">
        <v>83564</v>
      </c>
      <c r="H26216">
        <v>17196138</v>
      </c>
      <c r="I26216">
        <v>42484</v>
      </c>
      <c r="J26216">
        <v>3</v>
      </c>
    </row>
    <row r="26217" spans="1:10" x14ac:dyDescent="0.25">
      <c r="A26217" t="s">
        <v>289</v>
      </c>
      <c r="B26217" s="1" t="str">
        <f>HYPERLINK("http://novozymes.com","novozymes.com")</f>
        <v>novozymes.com</v>
      </c>
      <c r="C26217" t="s">
        <v>433</v>
      </c>
      <c r="E26217">
        <v>112190</v>
      </c>
      <c r="F26217">
        <v>6.3451484602281704E-7</v>
      </c>
      <c r="G26217">
        <v>60502</v>
      </c>
      <c r="H26217">
        <v>15303744</v>
      </c>
      <c r="I26217">
        <v>385787</v>
      </c>
      <c r="J26217">
        <v>4</v>
      </c>
    </row>
    <row r="26218" spans="1:10" x14ac:dyDescent="0.25">
      <c r="A26218" t="s">
        <v>289</v>
      </c>
      <c r="B26218" s="1" t="str">
        <f>HYPERLINK("http://pharmamirror.com","pharmamirror.com")</f>
        <v>pharmamirror.com</v>
      </c>
      <c r="C26218" t="s">
        <v>433</v>
      </c>
      <c r="F26218">
        <v>1.1833407059830299E-8</v>
      </c>
      <c r="G26218">
        <v>5280850</v>
      </c>
      <c r="H26218">
        <v>14243412</v>
      </c>
      <c r="I26218">
        <v>1477609</v>
      </c>
      <c r="J26218">
        <v>3</v>
      </c>
    </row>
    <row r="26219" spans="1:10" x14ac:dyDescent="0.25">
      <c r="A26219" t="s">
        <v>289</v>
      </c>
      <c r="B26219" s="1" t="str">
        <f>HYPERLINK("http://sonion.com","sonion.com")</f>
        <v>sonion.com</v>
      </c>
      <c r="C26219" t="s">
        <v>433</v>
      </c>
      <c r="F26219">
        <v>3.6430377400768299E-8</v>
      </c>
      <c r="G26219">
        <v>1432885</v>
      </c>
      <c r="H26219">
        <v>14294628</v>
      </c>
      <c r="I26219">
        <v>1361803</v>
      </c>
      <c r="J26219">
        <v>9</v>
      </c>
    </row>
    <row r="26220" spans="1:10" x14ac:dyDescent="0.25">
      <c r="A26220" t="s">
        <v>289</v>
      </c>
      <c r="B26220" s="1" t="str">
        <f>HYPERLINK("http://ziylo.com","ziylo.com")</f>
        <v>ziylo.com</v>
      </c>
      <c r="C26220" t="s">
        <v>433</v>
      </c>
      <c r="F26220">
        <v>4.7855385841430196E-9</v>
      </c>
      <c r="G26220">
        <v>36728596</v>
      </c>
      <c r="H26220">
        <v>12278046</v>
      </c>
      <c r="I26220">
        <v>21346783</v>
      </c>
      <c r="J26220">
        <v>3</v>
      </c>
    </row>
    <row r="26221" spans="1:10" x14ac:dyDescent="0.25">
      <c r="A26221" t="s">
        <v>289</v>
      </c>
      <c r="B26221" s="1" t="str">
        <f>HYPERLINK("http://novonordisk.cz","novonordisk.cz")</f>
        <v>novonordisk.cz</v>
      </c>
      <c r="C26221" t="s">
        <v>435</v>
      </c>
      <c r="D26221" t="s">
        <v>814</v>
      </c>
      <c r="F26221">
        <v>5.1035714824650898E-8</v>
      </c>
      <c r="G26221">
        <v>898122</v>
      </c>
      <c r="H26221">
        <v>14076637</v>
      </c>
      <c r="I26221">
        <v>2882894</v>
      </c>
      <c r="J26221">
        <v>2</v>
      </c>
    </row>
    <row r="26222" spans="1:10" x14ac:dyDescent="0.25">
      <c r="A26222" t="s">
        <v>289</v>
      </c>
      <c r="B26222" s="1" t="str">
        <f>HYPERLINK("http://dawn-akademie.de","dawn-akademie.de")</f>
        <v>dawn-akademie.de</v>
      </c>
      <c r="C26222" t="s">
        <v>436</v>
      </c>
      <c r="D26222" t="s">
        <v>815</v>
      </c>
      <c r="F26222">
        <v>4.4545704614846604E-9</v>
      </c>
      <c r="G26222">
        <v>69689405</v>
      </c>
      <c r="H26222">
        <v>10430629</v>
      </c>
      <c r="I26222">
        <v>53445459</v>
      </c>
      <c r="J26222">
        <v>3</v>
      </c>
    </row>
    <row r="26223" spans="1:10" x14ac:dyDescent="0.25">
      <c r="A26223" t="s">
        <v>289</v>
      </c>
      <c r="B26223" s="1" t="str">
        <f>HYPERLINK("http://novonordisk.de","novonordisk.de")</f>
        <v>novonordisk.de</v>
      </c>
      <c r="C26223" t="s">
        <v>436</v>
      </c>
      <c r="D26223" t="s">
        <v>815</v>
      </c>
      <c r="F26223">
        <v>9.1832585766803696E-8</v>
      </c>
      <c r="G26223">
        <v>443587</v>
      </c>
      <c r="H26223">
        <v>14257445</v>
      </c>
      <c r="I26223">
        <v>1428031</v>
      </c>
      <c r="J26223">
        <v>2</v>
      </c>
    </row>
    <row r="26224" spans="1:10" x14ac:dyDescent="0.25">
      <c r="A26224" t="s">
        <v>289</v>
      </c>
      <c r="B26224" s="1" t="str">
        <f>HYPERLINK("http://nnit.dk","nnit.dk")</f>
        <v>nnit.dk</v>
      </c>
      <c r="C26224" t="s">
        <v>437</v>
      </c>
      <c r="D26224" t="s">
        <v>816</v>
      </c>
      <c r="F26224">
        <v>1.7797510042109701E-8</v>
      </c>
      <c r="G26224">
        <v>3075350</v>
      </c>
      <c r="H26224">
        <v>13938845</v>
      </c>
      <c r="I26224">
        <v>4411599</v>
      </c>
      <c r="J26224">
        <v>3</v>
      </c>
    </row>
    <row r="26225" spans="1:10" x14ac:dyDescent="0.25">
      <c r="A26225" t="s">
        <v>289</v>
      </c>
      <c r="B26225" s="1" t="str">
        <f>HYPERLINK("http://novo.dk","novo.dk")</f>
        <v>novo.dk</v>
      </c>
      <c r="C26225" t="s">
        <v>437</v>
      </c>
      <c r="D26225" t="s">
        <v>816</v>
      </c>
      <c r="E26225">
        <v>174028</v>
      </c>
      <c r="F26225">
        <v>2.50631000563542E-8</v>
      </c>
      <c r="G26225">
        <v>2061251</v>
      </c>
      <c r="H26225">
        <v>14258863</v>
      </c>
      <c r="I26225">
        <v>1423930</v>
      </c>
      <c r="J26225">
        <v>6</v>
      </c>
    </row>
    <row r="26226" spans="1:10" x14ac:dyDescent="0.25">
      <c r="A26226" t="s">
        <v>289</v>
      </c>
      <c r="B26226" s="1" t="str">
        <f>HYPERLINK("http://novoholdings.dk","novoholdings.dk")</f>
        <v>novoholdings.dk</v>
      </c>
      <c r="C26226" t="s">
        <v>437</v>
      </c>
      <c r="D26226" t="s">
        <v>816</v>
      </c>
      <c r="F26226">
        <v>1.00084615348097E-7</v>
      </c>
      <c r="G26226">
        <v>401995</v>
      </c>
      <c r="H26226">
        <v>14471023</v>
      </c>
      <c r="I26226">
        <v>1041829</v>
      </c>
      <c r="J26226">
        <v>3</v>
      </c>
    </row>
    <row r="26227" spans="1:10" x14ac:dyDescent="0.25">
      <c r="A26227" t="s">
        <v>289</v>
      </c>
      <c r="B26227" s="1" t="str">
        <f>HYPERLINK("http://novonordisk.dk","novonordisk.dk")</f>
        <v>novonordisk.dk</v>
      </c>
      <c r="C26227" t="s">
        <v>437</v>
      </c>
      <c r="D26227" t="s">
        <v>816</v>
      </c>
      <c r="F26227">
        <v>9.7525595290164195E-8</v>
      </c>
      <c r="G26227">
        <v>414090</v>
      </c>
      <c r="H26227">
        <v>16941936</v>
      </c>
      <c r="I26227">
        <v>111751</v>
      </c>
      <c r="J26227">
        <v>2</v>
      </c>
    </row>
    <row r="26228" spans="1:10" x14ac:dyDescent="0.25">
      <c r="A26228" t="s">
        <v>289</v>
      </c>
      <c r="B26228" s="1" t="str">
        <f>HYPERLINK("http://novonordiskfonden.dk","novonordiskfonden.dk")</f>
        <v>novonordiskfonden.dk</v>
      </c>
      <c r="C26228" t="s">
        <v>437</v>
      </c>
      <c r="D26228" t="s">
        <v>816</v>
      </c>
      <c r="E26228">
        <v>384797</v>
      </c>
      <c r="F26228">
        <v>2.8009155176355799E-7</v>
      </c>
      <c r="G26228">
        <v>132780</v>
      </c>
      <c r="H26228">
        <v>14767359</v>
      </c>
      <c r="I26228">
        <v>558597</v>
      </c>
      <c r="J26228">
        <v>8</v>
      </c>
    </row>
    <row r="26229" spans="1:10" x14ac:dyDescent="0.25">
      <c r="A26229" t="s">
        <v>289</v>
      </c>
      <c r="B26229" s="1" t="str">
        <f>HYPERLINK("http://novonordiskfoundation.dk","novonordiskfoundation.dk")</f>
        <v>novonordiskfoundation.dk</v>
      </c>
      <c r="C26229" t="s">
        <v>437</v>
      </c>
      <c r="D26229" t="s">
        <v>816</v>
      </c>
      <c r="F26229">
        <v>4.4456145793266299E-9</v>
      </c>
      <c r="G26229">
        <v>75109733</v>
      </c>
      <c r="H26229">
        <v>10944523</v>
      </c>
      <c r="I26229">
        <v>34715912</v>
      </c>
      <c r="J26229">
        <v>11</v>
      </c>
    </row>
    <row r="26230" spans="1:10" x14ac:dyDescent="0.25">
      <c r="A26230" t="s">
        <v>289</v>
      </c>
      <c r="B26230" s="1" t="str">
        <f>HYPERLINK("http://novonordisk.dz","novonordisk.dz")</f>
        <v>novonordisk.dz</v>
      </c>
      <c r="C26230" t="s">
        <v>439</v>
      </c>
      <c r="D26230" t="s">
        <v>818</v>
      </c>
      <c r="F26230">
        <v>1.7552635775746199E-8</v>
      </c>
      <c r="G26230">
        <v>3129753</v>
      </c>
      <c r="H26230">
        <v>14071845</v>
      </c>
      <c r="I26230">
        <v>3295332</v>
      </c>
      <c r="J26230">
        <v>2</v>
      </c>
    </row>
    <row r="26231" spans="1:10" x14ac:dyDescent="0.25">
      <c r="A26231" t="s">
        <v>289</v>
      </c>
      <c r="B26231" s="1" t="str">
        <f>HYPERLINK("http://novonordisk.ee","novonordisk.ee")</f>
        <v>novonordisk.ee</v>
      </c>
      <c r="C26231" t="s">
        <v>441</v>
      </c>
      <c r="D26231" t="s">
        <v>820</v>
      </c>
      <c r="F26231">
        <v>1.2822424349507499E-8</v>
      </c>
      <c r="G26231">
        <v>4717636</v>
      </c>
      <c r="H26231">
        <v>12213950</v>
      </c>
      <c r="I26231">
        <v>22928251</v>
      </c>
      <c r="J26231">
        <v>2</v>
      </c>
    </row>
    <row r="26232" spans="1:10" x14ac:dyDescent="0.25">
      <c r="A26232" t="s">
        <v>289</v>
      </c>
      <c r="B26232" s="1" t="str">
        <f>HYPERLINK("http://novonordisk.es","novonordisk.es")</f>
        <v>novonordisk.es</v>
      </c>
      <c r="C26232" t="s">
        <v>443</v>
      </c>
      <c r="D26232" t="s">
        <v>822</v>
      </c>
      <c r="F26232">
        <v>4.7882199518959602E-8</v>
      </c>
      <c r="G26232">
        <v>971604</v>
      </c>
      <c r="H26232">
        <v>13821865</v>
      </c>
      <c r="I26232">
        <v>6139169</v>
      </c>
      <c r="J26232">
        <v>2</v>
      </c>
    </row>
    <row r="26233" spans="1:10" x14ac:dyDescent="0.25">
      <c r="A26233" t="s">
        <v>289</v>
      </c>
      <c r="B26233" s="1" t="str">
        <f>HYPERLINK("http://1714-serenitas.fi","1714-serenitas.fi")</f>
        <v>1714-serenitas.fi</v>
      </c>
      <c r="C26233" t="s">
        <v>445</v>
      </c>
      <c r="D26233" t="s">
        <v>823</v>
      </c>
      <c r="J26233">
        <v>8</v>
      </c>
    </row>
    <row r="26234" spans="1:10" x14ac:dyDescent="0.25">
      <c r="A26234" t="s">
        <v>289</v>
      </c>
      <c r="B26234" s="1" t="str">
        <f>HYPERLINK("http://35624.fi","35624.fi")</f>
        <v>35624.fi</v>
      </c>
      <c r="C26234" t="s">
        <v>445</v>
      </c>
      <c r="D26234" t="s">
        <v>823</v>
      </c>
      <c r="J26234">
        <v>8</v>
      </c>
    </row>
    <row r="26235" spans="1:10" x14ac:dyDescent="0.25">
      <c r="A26235" t="s">
        <v>289</v>
      </c>
      <c r="B26235" s="1" t="str">
        <f>HYPERLINK("http://alflorex.fi","alflorex.fi")</f>
        <v>alflorex.fi</v>
      </c>
      <c r="C26235" t="s">
        <v>445</v>
      </c>
      <c r="D26235" t="s">
        <v>823</v>
      </c>
      <c r="J26235">
        <v>8</v>
      </c>
    </row>
    <row r="26236" spans="1:10" x14ac:dyDescent="0.25">
      <c r="A26236" t="s">
        <v>289</v>
      </c>
      <c r="B26236" s="1" t="str">
        <f>HYPERLINK("http://esperoct.fi","esperoct.fi")</f>
        <v>esperoct.fi</v>
      </c>
      <c r="C26236" t="s">
        <v>445</v>
      </c>
      <c r="D26236" t="s">
        <v>823</v>
      </c>
      <c r="J26236">
        <v>3</v>
      </c>
    </row>
    <row r="26237" spans="1:10" x14ac:dyDescent="0.25">
      <c r="A26237" t="s">
        <v>289</v>
      </c>
      <c r="B26237" s="1" t="str">
        <f>HYPERLINK("http://fiasp.fi","fiasp.fi")</f>
        <v>fiasp.fi</v>
      </c>
      <c r="C26237" t="s">
        <v>445</v>
      </c>
      <c r="D26237" t="s">
        <v>823</v>
      </c>
      <c r="J26237">
        <v>3</v>
      </c>
    </row>
    <row r="26238" spans="1:10" x14ac:dyDescent="0.25">
      <c r="A26238" t="s">
        <v>289</v>
      </c>
      <c r="B26238" s="1" t="str">
        <f>HYPERLINK("http://glp-1.fi","glp-1.fi")</f>
        <v>glp-1.fi</v>
      </c>
      <c r="C26238" t="s">
        <v>445</v>
      </c>
      <c r="D26238" t="s">
        <v>823</v>
      </c>
      <c r="J26238">
        <v>3</v>
      </c>
    </row>
    <row r="26239" spans="1:10" x14ac:dyDescent="0.25">
      <c r="A26239" t="s">
        <v>289</v>
      </c>
      <c r="B26239" s="1" t="str">
        <f>HYPERLINK("http://hoitajaakatemia.fi","hoitajaakatemia.fi")</f>
        <v>hoitajaakatemia.fi</v>
      </c>
      <c r="C26239" t="s">
        <v>445</v>
      </c>
      <c r="D26239" t="s">
        <v>823</v>
      </c>
      <c r="J26239">
        <v>3</v>
      </c>
    </row>
    <row r="26240" spans="1:10" x14ac:dyDescent="0.25">
      <c r="A26240" t="s">
        <v>289</v>
      </c>
      <c r="B26240" s="1" t="str">
        <f>HYPERLINK("http://levemir.fi","levemir.fi")</f>
        <v>levemir.fi</v>
      </c>
      <c r="C26240" t="s">
        <v>445</v>
      </c>
      <c r="D26240" t="s">
        <v>823</v>
      </c>
      <c r="J26240">
        <v>3</v>
      </c>
    </row>
    <row r="26241" spans="1:10" x14ac:dyDescent="0.25">
      <c r="A26241" t="s">
        <v>289</v>
      </c>
      <c r="B26241" s="1" t="str">
        <f>HYPERLINK("http://liraglutidi.fi","liraglutidi.fi")</f>
        <v>liraglutidi.fi</v>
      </c>
      <c r="C26241" t="s">
        <v>445</v>
      </c>
      <c r="D26241" t="s">
        <v>823</v>
      </c>
      <c r="J26241">
        <v>3</v>
      </c>
    </row>
    <row r="26242" spans="1:10" x14ac:dyDescent="0.25">
      <c r="A26242" t="s">
        <v>289</v>
      </c>
      <c r="B26242" s="1" t="str">
        <f>HYPERLINK("http://nnit.fi","nnit.fi")</f>
        <v>nnit.fi</v>
      </c>
      <c r="C26242" t="s">
        <v>445</v>
      </c>
      <c r="D26242" t="s">
        <v>823</v>
      </c>
      <c r="J26242">
        <v>2</v>
      </c>
    </row>
    <row r="26243" spans="1:10" x14ac:dyDescent="0.25">
      <c r="A26243" t="s">
        <v>289</v>
      </c>
      <c r="B26243" s="1" t="str">
        <f>HYPERLINK("http://novoakatemia.fi","novoakatemia.fi")</f>
        <v>novoakatemia.fi</v>
      </c>
      <c r="C26243" t="s">
        <v>445</v>
      </c>
      <c r="D26243" t="s">
        <v>823</v>
      </c>
      <c r="J26243">
        <v>3</v>
      </c>
    </row>
    <row r="26244" spans="1:10" x14ac:dyDescent="0.25">
      <c r="A26244" t="s">
        <v>289</v>
      </c>
      <c r="B26244" s="1" t="str">
        <f>HYPERLINK("http://novohiilihydraatti.fi","novohiilihydraatti.fi")</f>
        <v>novohiilihydraatti.fi</v>
      </c>
      <c r="C26244" t="s">
        <v>445</v>
      </c>
      <c r="D26244" t="s">
        <v>823</v>
      </c>
      <c r="J26244">
        <v>4</v>
      </c>
    </row>
    <row r="26245" spans="1:10" x14ac:dyDescent="0.25">
      <c r="A26245" t="s">
        <v>289</v>
      </c>
      <c r="B26245" s="1" t="str">
        <f>HYPERLINK("http://novoinfo.fi","novoinfo.fi")</f>
        <v>novoinfo.fi</v>
      </c>
      <c r="C26245" t="s">
        <v>445</v>
      </c>
      <c r="D26245" t="s">
        <v>823</v>
      </c>
      <c r="J26245">
        <v>3</v>
      </c>
    </row>
    <row r="26246" spans="1:10" x14ac:dyDescent="0.25">
      <c r="A26246" t="s">
        <v>289</v>
      </c>
      <c r="B26246" s="1" t="str">
        <f>HYPERLINK("http://novonordisk.fi","novonordisk.fi")</f>
        <v>novonordisk.fi</v>
      </c>
      <c r="C26246" t="s">
        <v>445</v>
      </c>
      <c r="D26246" t="s">
        <v>823</v>
      </c>
      <c r="F26246">
        <v>1.9166224490586901E-8</v>
      </c>
      <c r="G26246">
        <v>2804370</v>
      </c>
      <c r="H26246">
        <v>14487963</v>
      </c>
      <c r="I26246">
        <v>939790</v>
      </c>
      <c r="J26246">
        <v>2</v>
      </c>
    </row>
    <row r="26247" spans="1:10" x14ac:dyDescent="0.25">
      <c r="A26247" t="s">
        <v>289</v>
      </c>
      <c r="B26247" s="1" t="str">
        <f>HYPERLINK("http://novopen.fi","novopen.fi")</f>
        <v>novopen.fi</v>
      </c>
      <c r="C26247" t="s">
        <v>445</v>
      </c>
      <c r="D26247" t="s">
        <v>823</v>
      </c>
      <c r="J26247">
        <v>3</v>
      </c>
    </row>
    <row r="26248" spans="1:10" x14ac:dyDescent="0.25">
      <c r="A26248" t="s">
        <v>289</v>
      </c>
      <c r="B26248" s="1" t="str">
        <f>HYPERLINK("http://novorapid.fi","novorapid.fi")</f>
        <v>novorapid.fi</v>
      </c>
      <c r="C26248" t="s">
        <v>445</v>
      </c>
      <c r="D26248" t="s">
        <v>823</v>
      </c>
      <c r="J26248">
        <v>3</v>
      </c>
    </row>
    <row r="26249" spans="1:10" x14ac:dyDescent="0.25">
      <c r="A26249" t="s">
        <v>289</v>
      </c>
      <c r="B26249" s="1" t="str">
        <f>HYPERLINK("http://ozempic.fi","ozempic.fi")</f>
        <v>ozempic.fi</v>
      </c>
      <c r="C26249" t="s">
        <v>445</v>
      </c>
      <c r="D26249" t="s">
        <v>823</v>
      </c>
      <c r="J26249">
        <v>3</v>
      </c>
    </row>
    <row r="26250" spans="1:10" x14ac:dyDescent="0.25">
      <c r="A26250" t="s">
        <v>289</v>
      </c>
      <c r="B26250" s="1" t="str">
        <f>HYPERLINK("http://precisionbiotics.fi","precisionbiotics.fi")</f>
        <v>precisionbiotics.fi</v>
      </c>
      <c r="C26250" t="s">
        <v>445</v>
      </c>
      <c r="D26250" t="s">
        <v>823</v>
      </c>
      <c r="J26250">
        <v>8</v>
      </c>
    </row>
    <row r="26251" spans="1:10" x14ac:dyDescent="0.25">
      <c r="A26251" t="s">
        <v>289</v>
      </c>
      <c r="B26251" s="1" t="str">
        <f>HYPERLINK("http://refixia.fi","refixia.fi")</f>
        <v>refixia.fi</v>
      </c>
      <c r="C26251" t="s">
        <v>445</v>
      </c>
      <c r="D26251" t="s">
        <v>823</v>
      </c>
      <c r="J26251">
        <v>3</v>
      </c>
    </row>
    <row r="26252" spans="1:10" x14ac:dyDescent="0.25">
      <c r="A26252" t="s">
        <v>289</v>
      </c>
      <c r="B26252" s="1" t="str">
        <f>HYPERLINK("http://rybelsus.fi","rybelsus.fi")</f>
        <v>rybelsus.fi</v>
      </c>
      <c r="C26252" t="s">
        <v>445</v>
      </c>
      <c r="D26252" t="s">
        <v>823</v>
      </c>
      <c r="J26252">
        <v>3</v>
      </c>
    </row>
    <row r="26253" spans="1:10" x14ac:dyDescent="0.25">
      <c r="A26253" t="s">
        <v>289</v>
      </c>
      <c r="B26253" s="1" t="str">
        <f>HYPERLINK("http://saxenda.fi","saxenda.fi")</f>
        <v>saxenda.fi</v>
      </c>
      <c r="C26253" t="s">
        <v>445</v>
      </c>
      <c r="D26253" t="s">
        <v>823</v>
      </c>
      <c r="J26253">
        <v>3</v>
      </c>
    </row>
    <row r="26254" spans="1:10" x14ac:dyDescent="0.25">
      <c r="A26254" t="s">
        <v>289</v>
      </c>
      <c r="B26254" s="1" t="str">
        <f>HYPERLINK("http://semaglutidi.fi","semaglutidi.fi")</f>
        <v>semaglutidi.fi</v>
      </c>
      <c r="C26254" t="s">
        <v>445</v>
      </c>
      <c r="D26254" t="s">
        <v>823</v>
      </c>
      <c r="J26254">
        <v>3</v>
      </c>
    </row>
    <row r="26255" spans="1:10" x14ac:dyDescent="0.25">
      <c r="A26255" t="s">
        <v>289</v>
      </c>
      <c r="B26255" s="1" t="str">
        <f>HYPERLINK("http://tresiba.fi","tresiba.fi")</f>
        <v>tresiba.fi</v>
      </c>
      <c r="C26255" t="s">
        <v>445</v>
      </c>
      <c r="D26255" t="s">
        <v>823</v>
      </c>
      <c r="J26255">
        <v>3</v>
      </c>
    </row>
    <row r="26256" spans="1:10" x14ac:dyDescent="0.25">
      <c r="A26256" t="s">
        <v>289</v>
      </c>
      <c r="B26256" s="1" t="str">
        <f>HYPERLINK("http://vagifem.fi","vagifem.fi")</f>
        <v>vagifem.fi</v>
      </c>
      <c r="C26256" t="s">
        <v>445</v>
      </c>
      <c r="D26256" t="s">
        <v>823</v>
      </c>
      <c r="F26256">
        <v>6.6427799807551398E-9</v>
      </c>
      <c r="G26256">
        <v>13511682</v>
      </c>
      <c r="H26256">
        <v>10721450</v>
      </c>
      <c r="I26256">
        <v>41728481</v>
      </c>
      <c r="J26256">
        <v>3</v>
      </c>
    </row>
    <row r="26257" spans="1:10" x14ac:dyDescent="0.25">
      <c r="A26257" t="s">
        <v>289</v>
      </c>
      <c r="B26257" s="1" t="str">
        <f>HYPERLINK("http://victoza.fi","victoza.fi")</f>
        <v>victoza.fi</v>
      </c>
      <c r="C26257" t="s">
        <v>445</v>
      </c>
      <c r="D26257" t="s">
        <v>823</v>
      </c>
      <c r="J26257">
        <v>3</v>
      </c>
    </row>
    <row r="26258" spans="1:10" x14ac:dyDescent="0.25">
      <c r="A26258" t="s">
        <v>289</v>
      </c>
      <c r="B26258" s="1" t="str">
        <f>HYPERLINK("http://wegovy.fi","wegovy.fi")</f>
        <v>wegovy.fi</v>
      </c>
      <c r="C26258" t="s">
        <v>445</v>
      </c>
      <c r="D26258" t="s">
        <v>823</v>
      </c>
      <c r="J26258">
        <v>3</v>
      </c>
    </row>
    <row r="26259" spans="1:10" x14ac:dyDescent="0.25">
      <c r="A26259" t="s">
        <v>289</v>
      </c>
      <c r="B26259" s="1" t="str">
        <f>HYPERLINK("http://zenflore.fi","zenflore.fi")</f>
        <v>zenflore.fi</v>
      </c>
      <c r="C26259" t="s">
        <v>445</v>
      </c>
      <c r="D26259" t="s">
        <v>823</v>
      </c>
      <c r="J26259">
        <v>8</v>
      </c>
    </row>
    <row r="26260" spans="1:10" x14ac:dyDescent="0.25">
      <c r="A26260" t="s">
        <v>289</v>
      </c>
      <c r="B26260" s="1" t="str">
        <f>HYPERLINK("http://novonordisk.fr","novonordisk.fr")</f>
        <v>novonordisk.fr</v>
      </c>
      <c r="C26260" t="s">
        <v>446</v>
      </c>
      <c r="D26260" t="s">
        <v>824</v>
      </c>
      <c r="F26260">
        <v>3.7709359447495297E-8</v>
      </c>
      <c r="G26260">
        <v>1372312</v>
      </c>
      <c r="H26260">
        <v>13199662</v>
      </c>
      <c r="I26260">
        <v>11553501</v>
      </c>
      <c r="J26260">
        <v>2</v>
      </c>
    </row>
    <row r="26261" spans="1:10" x14ac:dyDescent="0.25">
      <c r="A26261" t="s">
        <v>289</v>
      </c>
      <c r="B26261" s="1" t="str">
        <f>HYPERLINK("http://novonordisk.gr","novonordisk.gr")</f>
        <v>novonordisk.gr</v>
      </c>
      <c r="C26261" t="s">
        <v>447</v>
      </c>
      <c r="D26261" t="s">
        <v>825</v>
      </c>
      <c r="F26261">
        <v>1.90580567497425E-8</v>
      </c>
      <c r="G26261">
        <v>2825174</v>
      </c>
      <c r="H26261">
        <v>12458289</v>
      </c>
      <c r="I26261">
        <v>17898529</v>
      </c>
      <c r="J26261">
        <v>2</v>
      </c>
    </row>
    <row r="26262" spans="1:10" x14ac:dyDescent="0.25">
      <c r="A26262" t="s">
        <v>289</v>
      </c>
      <c r="B26262" s="1" t="str">
        <f>HYPERLINK("http://novonordisk.hr","novonordisk.hr")</f>
        <v>novonordisk.hr</v>
      </c>
      <c r="C26262" t="s">
        <v>452</v>
      </c>
      <c r="D26262" t="s">
        <v>829</v>
      </c>
      <c r="F26262">
        <v>1.33537699107779E-8</v>
      </c>
      <c r="G26262">
        <v>4469916</v>
      </c>
      <c r="H26262">
        <v>12793590</v>
      </c>
      <c r="I26262">
        <v>14670673</v>
      </c>
      <c r="J26262">
        <v>2</v>
      </c>
    </row>
    <row r="26263" spans="1:10" x14ac:dyDescent="0.25">
      <c r="A26263" t="s">
        <v>289</v>
      </c>
      <c r="B26263" s="1" t="str">
        <f>HYPERLINK("http://novonordisk.hu","novonordisk.hu")</f>
        <v>novonordisk.hu</v>
      </c>
      <c r="C26263" t="s">
        <v>453</v>
      </c>
      <c r="D26263" t="s">
        <v>830</v>
      </c>
      <c r="F26263">
        <v>1.5769160685607101E-8</v>
      </c>
      <c r="G26263">
        <v>3608408</v>
      </c>
      <c r="H26263">
        <v>12407465</v>
      </c>
      <c r="I26263">
        <v>18648667</v>
      </c>
      <c r="J26263">
        <v>2</v>
      </c>
    </row>
    <row r="26264" spans="1:10" x14ac:dyDescent="0.25">
      <c r="A26264" t="s">
        <v>289</v>
      </c>
      <c r="B26264" s="1" t="str">
        <f>HYPERLINK("http://novonordisk.id","novonordisk.id")</f>
        <v>novonordisk.id</v>
      </c>
      <c r="C26264" t="s">
        <v>454</v>
      </c>
      <c r="D26264" t="s">
        <v>831</v>
      </c>
      <c r="F26264">
        <v>1.1442839076723001E-8</v>
      </c>
      <c r="G26264">
        <v>5544322</v>
      </c>
      <c r="H26264">
        <v>12238261</v>
      </c>
      <c r="I26264">
        <v>22302806</v>
      </c>
      <c r="J26264">
        <v>2</v>
      </c>
    </row>
    <row r="26265" spans="1:10" x14ac:dyDescent="0.25">
      <c r="A26265" t="s">
        <v>289</v>
      </c>
      <c r="B26265" s="1" t="str">
        <f>HYPERLINK("http://alimentaryhealth.ie","alimentaryhealth.ie")</f>
        <v>alimentaryhealth.ie</v>
      </c>
      <c r="C26265" t="s">
        <v>455</v>
      </c>
      <c r="D26265" t="s">
        <v>832</v>
      </c>
      <c r="F26265">
        <v>1.84499018105633E-8</v>
      </c>
      <c r="G26265">
        <v>2935953</v>
      </c>
      <c r="H26265">
        <v>14614929</v>
      </c>
      <c r="I26265">
        <v>668260</v>
      </c>
      <c r="J26265">
        <v>7</v>
      </c>
    </row>
    <row r="26266" spans="1:10" x14ac:dyDescent="0.25">
      <c r="A26266" t="s">
        <v>289</v>
      </c>
      <c r="B26266" s="1" t="str">
        <f>HYPERLINK("http://novonordisk.ie","novonordisk.ie")</f>
        <v>novonordisk.ie</v>
      </c>
      <c r="C26266" t="s">
        <v>455</v>
      </c>
      <c r="D26266" t="s">
        <v>832</v>
      </c>
      <c r="F26266">
        <v>1.4565572761366901E-8</v>
      </c>
      <c r="G26266">
        <v>3989310</v>
      </c>
      <c r="H26266">
        <v>12406817</v>
      </c>
      <c r="I26266">
        <v>18659825</v>
      </c>
      <c r="J26266">
        <v>2</v>
      </c>
    </row>
    <row r="26267" spans="1:10" x14ac:dyDescent="0.25">
      <c r="A26267" t="s">
        <v>289</v>
      </c>
      <c r="B26267" s="1" t="str">
        <f>HYPERLINK("http://novonordisk.co.in","novonordisk.co.in")</f>
        <v>novonordisk.co.in</v>
      </c>
      <c r="C26267" t="s">
        <v>457</v>
      </c>
      <c r="D26267" t="s">
        <v>834</v>
      </c>
      <c r="F26267">
        <v>1.5268092437826699E-8</v>
      </c>
      <c r="G26267">
        <v>3755251</v>
      </c>
      <c r="H26267">
        <v>12569882</v>
      </c>
      <c r="I26267">
        <v>16626695</v>
      </c>
      <c r="J26267">
        <v>2</v>
      </c>
    </row>
    <row r="26268" spans="1:10" x14ac:dyDescent="0.25">
      <c r="A26268" t="s">
        <v>289</v>
      </c>
      <c r="B26268" s="1" t="str">
        <f>HYPERLINK("http://novonordisk.it","novonordisk.it")</f>
        <v>novonordisk.it</v>
      </c>
      <c r="C26268" t="s">
        <v>459</v>
      </c>
      <c r="D26268" t="s">
        <v>835</v>
      </c>
      <c r="F26268">
        <v>3.5076928241622998E-8</v>
      </c>
      <c r="G26268">
        <v>1481539</v>
      </c>
      <c r="H26268">
        <v>13938034</v>
      </c>
      <c r="I26268">
        <v>4447445</v>
      </c>
      <c r="J26268">
        <v>2</v>
      </c>
    </row>
    <row r="26269" spans="1:10" x14ac:dyDescent="0.25">
      <c r="A26269" t="s">
        <v>289</v>
      </c>
      <c r="B26269" s="1" t="str">
        <f>HYPERLINK("http://novonordisk.co.ke","novonordisk.co.ke")</f>
        <v>novonordisk.co.ke</v>
      </c>
      <c r="C26269" t="s">
        <v>462</v>
      </c>
      <c r="D26269" t="s">
        <v>838</v>
      </c>
      <c r="F26269">
        <v>7.6223174175024393E-9</v>
      </c>
      <c r="G26269">
        <v>10745454</v>
      </c>
      <c r="H26269">
        <v>12148337</v>
      </c>
      <c r="I26269">
        <v>24668221</v>
      </c>
      <c r="J26269">
        <v>3</v>
      </c>
    </row>
    <row r="26270" spans="1:10" x14ac:dyDescent="0.25">
      <c r="A26270" t="s">
        <v>289</v>
      </c>
      <c r="B26270" s="1" t="str">
        <f>HYPERLINK("http://novonordisk.co.kr","novonordisk.co.kr")</f>
        <v>novonordisk.co.kr</v>
      </c>
      <c r="C26270" t="s">
        <v>463</v>
      </c>
      <c r="D26270" t="s">
        <v>839</v>
      </c>
      <c r="F26270">
        <v>1.17094097478837E-8</v>
      </c>
      <c r="G26270">
        <v>5360416</v>
      </c>
      <c r="H26270">
        <v>12196546</v>
      </c>
      <c r="I26270">
        <v>23408785</v>
      </c>
      <c r="J26270">
        <v>2</v>
      </c>
    </row>
    <row r="26271" spans="1:10" x14ac:dyDescent="0.25">
      <c r="A26271" t="s">
        <v>289</v>
      </c>
      <c r="B26271" s="1" t="str">
        <f>HYPERLINK("http://novonordisk.lt","novonordisk.lt")</f>
        <v>novonordisk.lt</v>
      </c>
      <c r="C26271" t="s">
        <v>467</v>
      </c>
      <c r="D26271" t="s">
        <v>843</v>
      </c>
      <c r="F26271">
        <v>1.19943463928111E-8</v>
      </c>
      <c r="G26271">
        <v>5180275</v>
      </c>
      <c r="H26271">
        <v>12230745</v>
      </c>
      <c r="I26271">
        <v>22485107</v>
      </c>
      <c r="J26271">
        <v>2</v>
      </c>
    </row>
    <row r="26272" spans="1:10" x14ac:dyDescent="0.25">
      <c r="A26272" t="s">
        <v>289</v>
      </c>
      <c r="B26272" s="1" t="str">
        <f>HYPERLINK("http://novonordisk.lv","novonordisk.lv")</f>
        <v>novonordisk.lv</v>
      </c>
      <c r="C26272" t="s">
        <v>468</v>
      </c>
      <c r="D26272" t="s">
        <v>844</v>
      </c>
      <c r="F26272">
        <v>1.21619366698625E-8</v>
      </c>
      <c r="G26272">
        <v>5072626</v>
      </c>
      <c r="H26272">
        <v>13763716</v>
      </c>
      <c r="I26272">
        <v>7754198</v>
      </c>
      <c r="J26272">
        <v>2</v>
      </c>
    </row>
    <row r="26273" spans="1:10" x14ac:dyDescent="0.25">
      <c r="A26273" t="s">
        <v>289</v>
      </c>
      <c r="B26273" s="1" t="str">
        <f>HYPERLINK("http://novonordisk.ma","novonordisk.ma")</f>
        <v>novonordisk.ma</v>
      </c>
      <c r="C26273" t="s">
        <v>469</v>
      </c>
      <c r="D26273" t="s">
        <v>845</v>
      </c>
      <c r="F26273">
        <v>7.6574940099975802E-9</v>
      </c>
      <c r="G26273">
        <v>10670093</v>
      </c>
      <c r="H26273">
        <v>12098964</v>
      </c>
      <c r="I26273">
        <v>25996607</v>
      </c>
      <c r="J26273">
        <v>3</v>
      </c>
    </row>
    <row r="26274" spans="1:10" x14ac:dyDescent="0.25">
      <c r="A26274" t="s">
        <v>289</v>
      </c>
      <c r="B26274" s="1" t="str">
        <f>HYPERLINK("http://novonordisk.mk","novonordisk.mk")</f>
        <v>novonordisk.mk</v>
      </c>
      <c r="C26274" t="s">
        <v>531</v>
      </c>
      <c r="D26274" t="s">
        <v>895</v>
      </c>
      <c r="F26274">
        <v>8.7112413916501099E-9</v>
      </c>
      <c r="G26274">
        <v>8457859</v>
      </c>
      <c r="H26274">
        <v>12160423</v>
      </c>
      <c r="I26274">
        <v>24352709</v>
      </c>
      <c r="J26274">
        <v>2</v>
      </c>
    </row>
    <row r="26275" spans="1:10" x14ac:dyDescent="0.25">
      <c r="A26275" t="s">
        <v>289</v>
      </c>
      <c r="B26275" s="1" t="str">
        <f>HYPERLINK("http://novonordisk.com.mx","novonordisk.com.mx")</f>
        <v>novonordisk.com.mx</v>
      </c>
      <c r="C26275" t="s">
        <v>471</v>
      </c>
      <c r="D26275" t="s">
        <v>847</v>
      </c>
      <c r="F26275">
        <v>1.7631592759287601E-8</v>
      </c>
      <c r="G26275">
        <v>3111951</v>
      </c>
      <c r="H26275">
        <v>12917742</v>
      </c>
      <c r="I26275">
        <v>13502530</v>
      </c>
      <c r="J26275">
        <v>3</v>
      </c>
    </row>
    <row r="26276" spans="1:10" x14ac:dyDescent="0.25">
      <c r="A26276" t="s">
        <v>289</v>
      </c>
      <c r="B26276" s="1" t="str">
        <f>HYPERLINK("http://novonordisk.nl","novonordisk.nl")</f>
        <v>novonordisk.nl</v>
      </c>
      <c r="C26276" t="s">
        <v>477</v>
      </c>
      <c r="D26276" t="s">
        <v>852</v>
      </c>
      <c r="F26276">
        <v>4.4940209356728297E-8</v>
      </c>
      <c r="G26276">
        <v>1051413</v>
      </c>
      <c r="H26276">
        <v>13769711</v>
      </c>
      <c r="I26276">
        <v>6773408</v>
      </c>
      <c r="J26276">
        <v>2</v>
      </c>
    </row>
    <row r="26277" spans="1:10" x14ac:dyDescent="0.25">
      <c r="A26277" t="s">
        <v>289</v>
      </c>
      <c r="B26277" s="1" t="str">
        <f>HYPERLINK("http://novonordisk.no","novonordisk.no")</f>
        <v>novonordisk.no</v>
      </c>
      <c r="C26277" t="s">
        <v>478</v>
      </c>
      <c r="D26277" t="s">
        <v>853</v>
      </c>
      <c r="F26277">
        <v>1.5440155644905599E-8</v>
      </c>
      <c r="G26277">
        <v>3701735</v>
      </c>
      <c r="H26277">
        <v>12360329</v>
      </c>
      <c r="I26277">
        <v>19578909</v>
      </c>
      <c r="J26277">
        <v>2</v>
      </c>
    </row>
    <row r="26278" spans="1:10" x14ac:dyDescent="0.25">
      <c r="A26278" t="s">
        <v>289</v>
      </c>
      <c r="B26278" s="1" t="str">
        <f>HYPERLINK("http://novonordisk.com.pa","novonordisk.com.pa")</f>
        <v>novonordisk.com.pa</v>
      </c>
      <c r="C26278" t="s">
        <v>482</v>
      </c>
      <c r="D26278" t="s">
        <v>856</v>
      </c>
      <c r="F26278">
        <v>8.1662071846189603E-9</v>
      </c>
      <c r="G26278">
        <v>9628847</v>
      </c>
      <c r="H26278">
        <v>12130768</v>
      </c>
      <c r="I26278">
        <v>25120719</v>
      </c>
      <c r="J26278">
        <v>3</v>
      </c>
    </row>
    <row r="26279" spans="1:10" x14ac:dyDescent="0.25">
      <c r="A26279" t="s">
        <v>289</v>
      </c>
      <c r="B26279" s="1" t="str">
        <f>HYPERLINK("http://novonordisk.ph","novonordisk.ph")</f>
        <v>novonordisk.ph</v>
      </c>
      <c r="C26279" t="s">
        <v>484</v>
      </c>
      <c r="D26279" t="s">
        <v>858</v>
      </c>
      <c r="F26279">
        <v>1.17196256761828E-8</v>
      </c>
      <c r="G26279">
        <v>5353843</v>
      </c>
      <c r="H26279">
        <v>12420592</v>
      </c>
      <c r="I26279">
        <v>18444732</v>
      </c>
      <c r="J26279">
        <v>2</v>
      </c>
    </row>
    <row r="26280" spans="1:10" x14ac:dyDescent="0.25">
      <c r="A26280" t="s">
        <v>289</v>
      </c>
      <c r="B26280" s="1" t="str">
        <f>HYPERLINK("http://novonordisk.pl","novonordisk.pl")</f>
        <v>novonordisk.pl</v>
      </c>
      <c r="C26280" t="s">
        <v>486</v>
      </c>
      <c r="D26280" t="s">
        <v>860</v>
      </c>
      <c r="F26280">
        <v>2.46025864457131E-8</v>
      </c>
      <c r="G26280">
        <v>2105171</v>
      </c>
      <c r="H26280">
        <v>12496853</v>
      </c>
      <c r="I26280">
        <v>17403504</v>
      </c>
      <c r="J26280">
        <v>2</v>
      </c>
    </row>
    <row r="26281" spans="1:10" x14ac:dyDescent="0.25">
      <c r="A26281" t="s">
        <v>289</v>
      </c>
      <c r="B26281" s="1" t="str">
        <f>HYPERLINK("http://novonordisk.pt","novonordisk.pt")</f>
        <v>novonordisk.pt</v>
      </c>
      <c r="C26281" t="s">
        <v>488</v>
      </c>
      <c r="D26281" t="s">
        <v>862</v>
      </c>
      <c r="F26281">
        <v>1.11977881920694E-8</v>
      </c>
      <c r="G26281">
        <v>5714674</v>
      </c>
      <c r="H26281">
        <v>12649692</v>
      </c>
      <c r="I26281">
        <v>15799960</v>
      </c>
      <c r="J26281">
        <v>2</v>
      </c>
    </row>
    <row r="26282" spans="1:10" x14ac:dyDescent="0.25">
      <c r="A26282" t="s">
        <v>289</v>
      </c>
      <c r="B26282" s="1" t="str">
        <f>HYPERLINK("http://novonordisk.ro","novonordisk.ro")</f>
        <v>novonordisk.ro</v>
      </c>
      <c r="C26282" t="s">
        <v>491</v>
      </c>
      <c r="D26282" t="s">
        <v>865</v>
      </c>
      <c r="F26282">
        <v>1.39526590501381E-8</v>
      </c>
      <c r="G26282">
        <v>4220874</v>
      </c>
      <c r="H26282">
        <v>12744203</v>
      </c>
      <c r="I26282">
        <v>15094586</v>
      </c>
      <c r="J26282">
        <v>2</v>
      </c>
    </row>
    <row r="26283" spans="1:10" x14ac:dyDescent="0.25">
      <c r="A26283" t="s">
        <v>289</v>
      </c>
      <c r="B26283" s="1" t="str">
        <f>HYPERLINK("http://novonordisk.rs","novonordisk.rs")</f>
        <v>novonordisk.rs</v>
      </c>
      <c r="C26283" t="s">
        <v>492</v>
      </c>
      <c r="D26283" t="s">
        <v>866</v>
      </c>
      <c r="F26283">
        <v>1.3424028505377901E-8</v>
      </c>
      <c r="G26283">
        <v>4437359</v>
      </c>
      <c r="H26283">
        <v>13933450</v>
      </c>
      <c r="I26283">
        <v>4740305</v>
      </c>
      <c r="J26283">
        <v>2</v>
      </c>
    </row>
    <row r="26284" spans="1:10" x14ac:dyDescent="0.25">
      <c r="A26284" t="s">
        <v>289</v>
      </c>
      <c r="B26284" s="1" t="str">
        <f>HYPERLINK("http://novonordisk.ru","novonordisk.ru")</f>
        <v>novonordisk.ru</v>
      </c>
      <c r="C26284" t="s">
        <v>493</v>
      </c>
      <c r="D26284" t="s">
        <v>867</v>
      </c>
      <c r="F26284">
        <v>2.8156521036173E-8</v>
      </c>
      <c r="G26284">
        <v>1827502</v>
      </c>
      <c r="H26284">
        <v>12949378</v>
      </c>
      <c r="I26284">
        <v>13215352</v>
      </c>
      <c r="J26284">
        <v>2</v>
      </c>
    </row>
    <row r="26285" spans="1:10" x14ac:dyDescent="0.25">
      <c r="A26285" t="s">
        <v>289</v>
      </c>
      <c r="B26285" s="1" t="str">
        <f>HYPERLINK("http://novonordisk.com.sa","novonordisk.com.sa")</f>
        <v>novonordisk.com.sa</v>
      </c>
      <c r="C26285" t="s">
        <v>494</v>
      </c>
      <c r="D26285" t="s">
        <v>868</v>
      </c>
      <c r="F26285">
        <v>1.1713360459768001E-8</v>
      </c>
      <c r="G26285">
        <v>5357893</v>
      </c>
      <c r="H26285">
        <v>12243402</v>
      </c>
      <c r="I26285">
        <v>22163430</v>
      </c>
      <c r="J26285">
        <v>2</v>
      </c>
    </row>
    <row r="26286" spans="1:10" x14ac:dyDescent="0.25">
      <c r="A26286" t="s">
        <v>289</v>
      </c>
      <c r="B26286" s="1" t="str">
        <f>HYPERLINK("http://novonordisk.se","novonordisk.se")</f>
        <v>novonordisk.se</v>
      </c>
      <c r="C26286" t="s">
        <v>495</v>
      </c>
      <c r="D26286" t="s">
        <v>869</v>
      </c>
      <c r="F26286">
        <v>4.5820283608150297E-8</v>
      </c>
      <c r="G26286">
        <v>1025425</v>
      </c>
      <c r="H26286">
        <v>14398819</v>
      </c>
      <c r="I26286">
        <v>1156148</v>
      </c>
      <c r="J26286">
        <v>2</v>
      </c>
    </row>
    <row r="26287" spans="1:10" x14ac:dyDescent="0.25">
      <c r="A26287" t="s">
        <v>289</v>
      </c>
      <c r="B26287" s="1" t="str">
        <f>HYPERLINK("http://novonordisk.si","novonordisk.si")</f>
        <v>novonordisk.si</v>
      </c>
      <c r="C26287" t="s">
        <v>497</v>
      </c>
      <c r="D26287" t="s">
        <v>871</v>
      </c>
      <c r="F26287">
        <v>1.30592419797492E-8</v>
      </c>
      <c r="G26287">
        <v>4602963</v>
      </c>
      <c r="H26287">
        <v>12188264</v>
      </c>
      <c r="I26287">
        <v>23627598</v>
      </c>
      <c r="J26287">
        <v>2</v>
      </c>
    </row>
    <row r="26288" spans="1:10" x14ac:dyDescent="0.25">
      <c r="A26288" t="s">
        <v>289</v>
      </c>
      <c r="B26288" s="1" t="str">
        <f>HYPERLINK("http://novonordisk.sk","novonordisk.sk")</f>
        <v>novonordisk.sk</v>
      </c>
      <c r="C26288" t="s">
        <v>498</v>
      </c>
      <c r="D26288" t="s">
        <v>872</v>
      </c>
      <c r="F26288">
        <v>1.3146505999547899E-8</v>
      </c>
      <c r="G26288">
        <v>4562605</v>
      </c>
      <c r="H26288">
        <v>12338131</v>
      </c>
      <c r="I26288">
        <v>20049556</v>
      </c>
      <c r="J26288">
        <v>2</v>
      </c>
    </row>
    <row r="26289" spans="1:10" x14ac:dyDescent="0.25">
      <c r="A26289" t="s">
        <v>289</v>
      </c>
      <c r="B26289" s="1" t="str">
        <f>HYPERLINK("http://novonordisk.com.tr","novonordisk.com.tr")</f>
        <v>novonordisk.com.tr</v>
      </c>
      <c r="C26289" t="s">
        <v>502</v>
      </c>
      <c r="D26289" t="s">
        <v>876</v>
      </c>
      <c r="F26289">
        <v>1.1043339618727701E-8</v>
      </c>
      <c r="G26289">
        <v>5827300</v>
      </c>
      <c r="H26289">
        <v>12391416</v>
      </c>
      <c r="I26289">
        <v>19010013</v>
      </c>
      <c r="J26289">
        <v>2</v>
      </c>
    </row>
    <row r="26290" spans="1:10" x14ac:dyDescent="0.25">
      <c r="A26290" t="s">
        <v>289</v>
      </c>
      <c r="B26290" s="1" t="str">
        <f>HYPERLINK("http://novozymes.tv","novozymes.tv")</f>
        <v>novozymes.tv</v>
      </c>
      <c r="C26290" t="s">
        <v>535</v>
      </c>
      <c r="D26290" t="s">
        <v>897</v>
      </c>
      <c r="F26290">
        <v>1.1915815186758701E-8</v>
      </c>
      <c r="G26290">
        <v>5227554</v>
      </c>
      <c r="H26290">
        <v>13866294</v>
      </c>
      <c r="I26290">
        <v>6006712</v>
      </c>
      <c r="J26290">
        <v>5</v>
      </c>
    </row>
    <row r="26291" spans="1:10" x14ac:dyDescent="0.25">
      <c r="A26291" t="s">
        <v>289</v>
      </c>
      <c r="B26291" s="1" t="str">
        <f>HYPERLINK("http://novonordisk.ua","novonordisk.ua")</f>
        <v>novonordisk.ua</v>
      </c>
      <c r="C26291" t="s">
        <v>505</v>
      </c>
      <c r="D26291" t="s">
        <v>879</v>
      </c>
      <c r="F26291">
        <v>1.2634766118044901E-8</v>
      </c>
      <c r="G26291">
        <v>4813186</v>
      </c>
      <c r="H26291">
        <v>13193364</v>
      </c>
      <c r="I26291">
        <v>11588064</v>
      </c>
      <c r="J26291">
        <v>2</v>
      </c>
    </row>
    <row r="26292" spans="1:10" x14ac:dyDescent="0.25">
      <c r="A26292" t="s">
        <v>289</v>
      </c>
      <c r="B26292" s="1" t="str">
        <f>HYPERLINK("http://novonordisk.co.uk","novonordisk.co.uk")</f>
        <v>novonordisk.co.uk</v>
      </c>
      <c r="C26292" t="s">
        <v>506</v>
      </c>
      <c r="D26292" t="s">
        <v>880</v>
      </c>
      <c r="F26292">
        <v>4.5423414406211301E-8</v>
      </c>
      <c r="G26292">
        <v>1036776</v>
      </c>
      <c r="H26292">
        <v>13871917</v>
      </c>
      <c r="I26292">
        <v>5996620</v>
      </c>
      <c r="J26292">
        <v>2</v>
      </c>
    </row>
    <row r="26293" spans="1:10" x14ac:dyDescent="0.25">
      <c r="A26293" t="s">
        <v>1643</v>
      </c>
      <c r="B26293" s="1" t="str">
        <f>HYPERLINK("http://californiasteel.com","californiasteel.com")</f>
        <v>californiasteel.com</v>
      </c>
      <c r="C26293" t="s">
        <v>433</v>
      </c>
      <c r="F26293">
        <v>1.1479597876296E-8</v>
      </c>
      <c r="G26293">
        <v>5519155</v>
      </c>
      <c r="H26293">
        <v>13003415</v>
      </c>
      <c r="I26293">
        <v>12780211</v>
      </c>
      <c r="J26293">
        <v>3</v>
      </c>
    </row>
    <row r="26294" spans="1:10" x14ac:dyDescent="0.25">
      <c r="A26294" t="s">
        <v>1643</v>
      </c>
      <c r="B26294" s="1" t="str">
        <f>HYPERLINK("http://chiohd.com","chiohd.com")</f>
        <v>chiohd.com</v>
      </c>
      <c r="C26294" t="s">
        <v>433</v>
      </c>
      <c r="E26294">
        <v>261995</v>
      </c>
      <c r="F26294">
        <v>4.07441423637944E-7</v>
      </c>
      <c r="G26294">
        <v>92246</v>
      </c>
      <c r="H26294">
        <v>14630571</v>
      </c>
      <c r="I26294">
        <v>645320</v>
      </c>
      <c r="J26294">
        <v>4</v>
      </c>
    </row>
    <row r="26295" spans="1:10" x14ac:dyDescent="0.25">
      <c r="A26295" t="s">
        <v>1643</v>
      </c>
      <c r="B26295" s="1" t="str">
        <f>HYPERLINK("http://djj.com","djj.com")</f>
        <v>djj.com</v>
      </c>
      <c r="C26295" t="s">
        <v>433</v>
      </c>
      <c r="F26295">
        <v>5.5635899282691E-8</v>
      </c>
      <c r="G26295">
        <v>806168</v>
      </c>
      <c r="H26295">
        <v>14252156</v>
      </c>
      <c r="I26295">
        <v>1442110</v>
      </c>
      <c r="J26295">
        <v>3</v>
      </c>
    </row>
    <row r="26296" spans="1:10" x14ac:dyDescent="0.25">
      <c r="A26296" t="s">
        <v>1643</v>
      </c>
      <c r="B26296" s="1" t="str">
        <f>HYPERLINK("http://harrissteelco.com","harrissteelco.com")</f>
        <v>harrissteelco.com</v>
      </c>
      <c r="C26296" t="s">
        <v>433</v>
      </c>
      <c r="F26296">
        <v>4.9150070704814497E-9</v>
      </c>
      <c r="G26296">
        <v>32036287</v>
      </c>
      <c r="H26296">
        <v>11409997</v>
      </c>
      <c r="I26296">
        <v>30197025</v>
      </c>
      <c r="J26296">
        <v>3</v>
      </c>
    </row>
    <row r="26297" spans="1:10" x14ac:dyDescent="0.25">
      <c r="A26297" t="s">
        <v>1643</v>
      </c>
      <c r="B26297" s="1" t="str">
        <f>HYPERLINK("http://independencetube.com","independencetube.com")</f>
        <v>independencetube.com</v>
      </c>
      <c r="C26297" t="s">
        <v>433</v>
      </c>
      <c r="F26297">
        <v>5.3494000659473496E-9</v>
      </c>
      <c r="G26297">
        <v>22811078</v>
      </c>
      <c r="H26297">
        <v>13030803</v>
      </c>
      <c r="I26297">
        <v>12667304</v>
      </c>
      <c r="J26297">
        <v>3</v>
      </c>
    </row>
    <row r="26298" spans="1:10" x14ac:dyDescent="0.25">
      <c r="A26298" t="s">
        <v>1643</v>
      </c>
      <c r="B26298" s="1" t="str">
        <f>HYPERLINK("http://magnatrax.com","magnatrax.com")</f>
        <v>magnatrax.com</v>
      </c>
      <c r="C26298" t="s">
        <v>433</v>
      </c>
      <c r="F26298">
        <v>4.4555821611945697E-9</v>
      </c>
      <c r="G26298">
        <v>69286237</v>
      </c>
      <c r="H26298">
        <v>8664473</v>
      </c>
      <c r="I26298">
        <v>70239710</v>
      </c>
      <c r="J26298">
        <v>3</v>
      </c>
    </row>
    <row r="26299" spans="1:10" x14ac:dyDescent="0.25">
      <c r="A26299" t="s">
        <v>1643</v>
      </c>
      <c r="B26299" s="1" t="str">
        <f>HYPERLINK("http://mello@nucor.com","mello@nucor.com")</f>
        <v>mello@nucor.com</v>
      </c>
      <c r="C26299" t="s">
        <v>433</v>
      </c>
      <c r="J26299">
        <v>4</v>
      </c>
    </row>
    <row r="26300" spans="1:10" x14ac:dyDescent="0.25">
      <c r="A26300" t="s">
        <v>1643</v>
      </c>
      <c r="B26300" s="1" t="str">
        <f>HYPERLINK("http://nucor.com","nucor.com")</f>
        <v>nucor.com</v>
      </c>
      <c r="C26300" t="s">
        <v>433</v>
      </c>
      <c r="E26300">
        <v>140038</v>
      </c>
      <c r="F26300">
        <v>2.93336361734472E-7</v>
      </c>
      <c r="G26300">
        <v>126879</v>
      </c>
      <c r="H26300">
        <v>14984465</v>
      </c>
      <c r="I26300">
        <v>429727</v>
      </c>
      <c r="J26300">
        <v>1</v>
      </c>
    </row>
    <row r="26301" spans="1:10" x14ac:dyDescent="0.25">
      <c r="A26301" t="s">
        <v>1643</v>
      </c>
      <c r="B26301" s="1" t="str">
        <f>HYPERLINK("http://nucor-jfe.com","nucor-jfe.com")</f>
        <v>nucor-jfe.com</v>
      </c>
      <c r="C26301" t="s">
        <v>433</v>
      </c>
      <c r="F26301">
        <v>4.5277161105771698E-9</v>
      </c>
      <c r="G26301">
        <v>55307837</v>
      </c>
      <c r="H26301">
        <v>10041580</v>
      </c>
      <c r="I26301">
        <v>60487177</v>
      </c>
      <c r="J26301">
        <v>3</v>
      </c>
    </row>
    <row r="26302" spans="1:10" x14ac:dyDescent="0.25">
      <c r="A26302" t="s">
        <v>1643</v>
      </c>
      <c r="B26302" s="1" t="str">
        <f>HYPERLINK("http://nucor-yamato.com","nucor-yamato.com")</f>
        <v>nucor-yamato.com</v>
      </c>
      <c r="C26302" t="s">
        <v>433</v>
      </c>
      <c r="F26302">
        <v>4.6290085820955804E-9</v>
      </c>
      <c r="G26302">
        <v>45503987</v>
      </c>
      <c r="H26302">
        <v>10083114</v>
      </c>
      <c r="I26302">
        <v>60014961</v>
      </c>
      <c r="J26302">
        <v>4</v>
      </c>
    </row>
    <row r="26303" spans="1:10" x14ac:dyDescent="0.25">
      <c r="A26303" t="s">
        <v>1643</v>
      </c>
      <c r="B26303" s="1" t="str">
        <f>HYPERLINK("http://nucorauburn.com","nucorauburn.com")</f>
        <v>nucorauburn.com</v>
      </c>
      <c r="C26303" t="s">
        <v>433</v>
      </c>
      <c r="J26303">
        <v>3</v>
      </c>
    </row>
    <row r="26304" spans="1:10" x14ac:dyDescent="0.25">
      <c r="A26304" t="s">
        <v>1643</v>
      </c>
      <c r="B26304" s="1" t="str">
        <f>HYPERLINK("http://nucorcoatings.com","nucorcoatings.com")</f>
        <v>nucorcoatings.com</v>
      </c>
      <c r="C26304" t="s">
        <v>433</v>
      </c>
      <c r="J26304">
        <v>2</v>
      </c>
    </row>
    <row r="26305" spans="1:10" x14ac:dyDescent="0.25">
      <c r="A26305" t="s">
        <v>1643</v>
      </c>
      <c r="B26305" s="1" t="str">
        <f>HYPERLINK("http://nucorhighway.com","nucorhighway.com")</f>
        <v>nucorhighway.com</v>
      </c>
      <c r="C26305" t="s">
        <v>433</v>
      </c>
      <c r="F26305">
        <v>1.37846832530426E-8</v>
      </c>
      <c r="G26305">
        <v>4287629</v>
      </c>
      <c r="H26305">
        <v>12651961</v>
      </c>
      <c r="I26305">
        <v>15786154</v>
      </c>
      <c r="J26305">
        <v>2</v>
      </c>
    </row>
    <row r="26306" spans="1:10" x14ac:dyDescent="0.25">
      <c r="A26306" t="s">
        <v>1643</v>
      </c>
      <c r="B26306" s="1" t="str">
        <f>HYPERLINK("http://nucorskyline.com","nucorskyline.com")</f>
        <v>nucorskyline.com</v>
      </c>
      <c r="C26306" t="s">
        <v>433</v>
      </c>
      <c r="F26306">
        <v>3.1974453043717198E-8</v>
      </c>
      <c r="G26306">
        <v>1616265</v>
      </c>
      <c r="H26306">
        <v>14239612</v>
      </c>
      <c r="I26306">
        <v>1510162</v>
      </c>
      <c r="J26306">
        <v>6</v>
      </c>
    </row>
    <row r="26307" spans="1:10" x14ac:dyDescent="0.25">
      <c r="A26307" t="s">
        <v>1643</v>
      </c>
      <c r="B26307" s="1" t="str">
        <f>HYPERLINK("http://republicconduit.com","republicconduit.com")</f>
        <v>republicconduit.com</v>
      </c>
      <c r="C26307" t="s">
        <v>433</v>
      </c>
      <c r="F26307">
        <v>7.33937209520199E-9</v>
      </c>
      <c r="G26307">
        <v>11385503</v>
      </c>
      <c r="H26307">
        <v>12028138</v>
      </c>
      <c r="I26307">
        <v>27696061</v>
      </c>
      <c r="J26307">
        <v>3</v>
      </c>
    </row>
    <row r="26308" spans="1:10" x14ac:dyDescent="0.25">
      <c r="A26308" t="s">
        <v>1643</v>
      </c>
      <c r="B26308" s="1" t="str">
        <f>HYPERLINK("http://skylinesteel.com","skylinesteel.com")</f>
        <v>skylinesteel.com</v>
      </c>
      <c r="C26308" t="s">
        <v>433</v>
      </c>
      <c r="E26308">
        <v>935217</v>
      </c>
      <c r="F26308">
        <v>1.4342842925842099E-8</v>
      </c>
      <c r="G26308">
        <v>4076931</v>
      </c>
      <c r="H26308">
        <v>13861862</v>
      </c>
      <c r="I26308">
        <v>6018517</v>
      </c>
      <c r="J26308">
        <v>3</v>
      </c>
    </row>
    <row r="26309" spans="1:10" x14ac:dyDescent="0.25">
      <c r="A26309" t="s">
        <v>1643</v>
      </c>
      <c r="B26309" s="1" t="str">
        <f>HYPERLINK("http://tsteel.com","tsteel.com")</f>
        <v>tsteel.com</v>
      </c>
      <c r="C26309" t="s">
        <v>433</v>
      </c>
      <c r="F26309">
        <v>4.44380395335525E-9</v>
      </c>
      <c r="G26309">
        <v>83813409</v>
      </c>
      <c r="H26309">
        <v>0</v>
      </c>
      <c r="I26309">
        <v>84718618</v>
      </c>
      <c r="J26309">
        <v>3</v>
      </c>
    </row>
    <row r="26310" spans="1:10" x14ac:dyDescent="0.25">
      <c r="A26310" t="s">
        <v>1643</v>
      </c>
      <c r="B26310" s="1" t="str">
        <f>HYPERLINK("http://vulcraft-tx.com","vulcraft-tx.com")</f>
        <v>vulcraft-tx.com</v>
      </c>
      <c r="C26310" t="s">
        <v>433</v>
      </c>
      <c r="J26310">
        <v>2</v>
      </c>
    </row>
    <row r="26311" spans="1:10" x14ac:dyDescent="0.25">
      <c r="A26311" t="s">
        <v>290</v>
      </c>
      <c r="B26311" s="1" t="str">
        <f>HYPERLINK("http://nutrienagsolutions.com.ar","nutrienagsolutions.com.ar")</f>
        <v>nutrienagsolutions.com.ar</v>
      </c>
      <c r="C26311" t="s">
        <v>418</v>
      </c>
      <c r="D26311" t="s">
        <v>800</v>
      </c>
      <c r="F26311">
        <v>1.81504125370944E-8</v>
      </c>
      <c r="G26311">
        <v>2999634</v>
      </c>
      <c r="H26311">
        <v>12770256</v>
      </c>
      <c r="I26311">
        <v>14839531</v>
      </c>
      <c r="J26311">
        <v>4</v>
      </c>
    </row>
    <row r="26312" spans="1:10" x14ac:dyDescent="0.25">
      <c r="A26312" t="s">
        <v>290</v>
      </c>
      <c r="B26312" s="1" t="str">
        <f>HYPERLINK("http://nutrien.com.au","nutrien.com.au")</f>
        <v>nutrien.com.au</v>
      </c>
      <c r="C26312" t="s">
        <v>420</v>
      </c>
      <c r="D26312" t="s">
        <v>802</v>
      </c>
      <c r="F26312">
        <v>4.4458028182264001E-9</v>
      </c>
      <c r="G26312">
        <v>74885630</v>
      </c>
      <c r="H26312">
        <v>9549320</v>
      </c>
      <c r="I26312">
        <v>64997370</v>
      </c>
      <c r="J26312">
        <v>2</v>
      </c>
    </row>
    <row r="26313" spans="1:10" x14ac:dyDescent="0.25">
      <c r="A26313" t="s">
        <v>290</v>
      </c>
      <c r="B26313" s="1" t="str">
        <f>HYPERLINK("http://nutrienagsolutions.com.au","nutrienagsolutions.com.au")</f>
        <v>nutrienagsolutions.com.au</v>
      </c>
      <c r="C26313" t="s">
        <v>420</v>
      </c>
      <c r="D26313" t="s">
        <v>802</v>
      </c>
      <c r="E26313">
        <v>619035</v>
      </c>
      <c r="F26313">
        <v>4.4465113639027597E-8</v>
      </c>
      <c r="G26313">
        <v>1066202</v>
      </c>
      <c r="H26313">
        <v>13218058</v>
      </c>
      <c r="I26313">
        <v>11349399</v>
      </c>
      <c r="J26313">
        <v>3</v>
      </c>
    </row>
    <row r="26314" spans="1:10" x14ac:dyDescent="0.25">
      <c r="A26314" t="s">
        <v>290</v>
      </c>
      <c r="B26314" s="1" t="str">
        <f>HYPERLINK("http://nutrienagsolutions.ca","nutrienagsolutions.ca")</f>
        <v>nutrienagsolutions.ca</v>
      </c>
      <c r="C26314" t="s">
        <v>428</v>
      </c>
      <c r="D26314" t="s">
        <v>809</v>
      </c>
      <c r="F26314">
        <v>3.1620843148919703E-8</v>
      </c>
      <c r="G26314">
        <v>1632262</v>
      </c>
      <c r="H26314">
        <v>13266159</v>
      </c>
      <c r="I26314">
        <v>11007528</v>
      </c>
      <c r="J26314">
        <v>3</v>
      </c>
    </row>
    <row r="26315" spans="1:10" x14ac:dyDescent="0.25">
      <c r="A26315" t="s">
        <v>290</v>
      </c>
      <c r="B26315" s="1" t="str">
        <f>HYPERLINK("http://nutrienagsolutions.cl","nutrienagsolutions.cl")</f>
        <v>nutrienagsolutions.cl</v>
      </c>
      <c r="C26315" t="s">
        <v>430</v>
      </c>
      <c r="D26315" t="s">
        <v>811</v>
      </c>
      <c r="F26315">
        <v>1.26507647944106E-8</v>
      </c>
      <c r="G26315">
        <v>4804532</v>
      </c>
      <c r="H26315">
        <v>12173354</v>
      </c>
      <c r="I26315">
        <v>23983919</v>
      </c>
      <c r="J26315">
        <v>4</v>
      </c>
    </row>
    <row r="26316" spans="1:10" x14ac:dyDescent="0.25">
      <c r="A26316" t="s">
        <v>290</v>
      </c>
      <c r="B26316" s="1" t="str">
        <f>HYPERLINK("http://agrium.com","agrium.com")</f>
        <v>agrium.com</v>
      </c>
      <c r="C26316" t="s">
        <v>433</v>
      </c>
      <c r="E26316">
        <v>328444</v>
      </c>
      <c r="F26316">
        <v>4.6188122863720703E-8</v>
      </c>
      <c r="G26316">
        <v>1014722</v>
      </c>
      <c r="H26316">
        <v>14537125</v>
      </c>
      <c r="I26316">
        <v>778854</v>
      </c>
      <c r="J26316">
        <v>2</v>
      </c>
    </row>
    <row r="26317" spans="1:10" x14ac:dyDescent="0.25">
      <c r="A26317" t="s">
        <v>290</v>
      </c>
      <c r="B26317" s="1" t="str">
        <f>HYPERLINK("http://cpsagu.com","cpsagu.com")</f>
        <v>cpsagu.com</v>
      </c>
      <c r="C26317" t="s">
        <v>433</v>
      </c>
      <c r="F26317">
        <v>3.97568169232485E-8</v>
      </c>
      <c r="G26317">
        <v>1299347</v>
      </c>
      <c r="H26317">
        <v>13979200</v>
      </c>
      <c r="I26317">
        <v>4053977</v>
      </c>
      <c r="J26317">
        <v>2</v>
      </c>
    </row>
    <row r="26318" spans="1:10" x14ac:dyDescent="0.25">
      <c r="A26318" t="s">
        <v>290</v>
      </c>
      <c r="B26318" s="1" t="str">
        <f>HYPERLINK("http://nutrien.com","nutrien.com")</f>
        <v>nutrien.com</v>
      </c>
      <c r="C26318" t="s">
        <v>433</v>
      </c>
      <c r="E26318">
        <v>123103</v>
      </c>
      <c r="F26318">
        <v>4.1080105569201598E-7</v>
      </c>
      <c r="G26318">
        <v>91557</v>
      </c>
      <c r="H26318">
        <v>14903302</v>
      </c>
      <c r="I26318">
        <v>461540</v>
      </c>
      <c r="J26318">
        <v>1</v>
      </c>
    </row>
    <row r="26319" spans="1:10" x14ac:dyDescent="0.25">
      <c r="A26319" t="s">
        <v>290</v>
      </c>
      <c r="B26319" s="1" t="str">
        <f>HYPERLINK("http://nutrienagsolutions.com","nutrienagsolutions.com")</f>
        <v>nutrienagsolutions.com</v>
      </c>
      <c r="C26319" t="s">
        <v>433</v>
      </c>
      <c r="E26319">
        <v>205014</v>
      </c>
      <c r="F26319">
        <v>1.3283773295915099E-7</v>
      </c>
      <c r="G26319">
        <v>294137</v>
      </c>
      <c r="H26319">
        <v>14419065</v>
      </c>
      <c r="I26319">
        <v>1092738</v>
      </c>
      <c r="J26319">
        <v>2</v>
      </c>
    </row>
    <row r="26320" spans="1:10" x14ac:dyDescent="0.25">
      <c r="A26320" t="s">
        <v>290</v>
      </c>
      <c r="B26320" s="1" t="str">
        <f>HYPERLINK("http://potashcorp.com","potashcorp.com")</f>
        <v>potashcorp.com</v>
      </c>
      <c r="C26320" t="s">
        <v>433</v>
      </c>
      <c r="E26320">
        <v>428758</v>
      </c>
      <c r="F26320">
        <v>6.1928901441382301E-8</v>
      </c>
      <c r="G26320">
        <v>710087</v>
      </c>
      <c r="H26320">
        <v>14858710</v>
      </c>
      <c r="I26320">
        <v>485553</v>
      </c>
      <c r="J26320">
        <v>3</v>
      </c>
    </row>
    <row r="26321" spans="1:10" x14ac:dyDescent="0.25">
      <c r="A26321" t="s">
        <v>290</v>
      </c>
      <c r="B26321" s="1" t="str">
        <f>HYPERLINK("http://agrium.eu","agrium.eu")</f>
        <v>agrium.eu</v>
      </c>
      <c r="C26321" t="s">
        <v>444</v>
      </c>
      <c r="F26321">
        <v>5.1699023141075997E-9</v>
      </c>
      <c r="G26321">
        <v>25727004</v>
      </c>
      <c r="H26321">
        <v>11076356</v>
      </c>
      <c r="I26321">
        <v>32516220</v>
      </c>
      <c r="J26321">
        <v>4</v>
      </c>
    </row>
    <row r="26322" spans="1:10" x14ac:dyDescent="0.25">
      <c r="A26322" t="s">
        <v>290</v>
      </c>
      <c r="B26322" s="1" t="str">
        <f>HYPERLINK("http://nutrinet.io","nutrinet.io")</f>
        <v>nutrinet.io</v>
      </c>
      <c r="C26322" t="s">
        <v>518</v>
      </c>
      <c r="E26322">
        <v>835387</v>
      </c>
      <c r="F26322">
        <v>4.44380927664388E-9</v>
      </c>
      <c r="G26322">
        <v>79830544</v>
      </c>
      <c r="H26322">
        <v>10352960</v>
      </c>
      <c r="I26322">
        <v>55977546</v>
      </c>
      <c r="J26322">
        <v>2</v>
      </c>
    </row>
    <row r="26323" spans="1:10" x14ac:dyDescent="0.25">
      <c r="A26323" t="s">
        <v>290</v>
      </c>
      <c r="B26323" s="1" t="str">
        <f>HYPERLINK("http://cerealtoscana.it","cerealtoscana.it")</f>
        <v>cerealtoscana.it</v>
      </c>
      <c r="C26323" t="s">
        <v>459</v>
      </c>
      <c r="D26323" t="s">
        <v>835</v>
      </c>
      <c r="F26323">
        <v>4.6023586290804698E-9</v>
      </c>
      <c r="G26323">
        <v>47424071</v>
      </c>
      <c r="H26323">
        <v>11076360</v>
      </c>
      <c r="I26323">
        <v>32516184</v>
      </c>
      <c r="J26323">
        <v>4</v>
      </c>
    </row>
    <row r="26324" spans="1:10" x14ac:dyDescent="0.25">
      <c r="A26324" t="s">
        <v>290</v>
      </c>
      <c r="B26324" s="1" t="str">
        <f>HYPERLINK("http://nutrienagsolutions.com.uy","nutrienagsolutions.com.uy")</f>
        <v>nutrienagsolutions.com.uy</v>
      </c>
      <c r="C26324" t="s">
        <v>507</v>
      </c>
      <c r="D26324" t="s">
        <v>881</v>
      </c>
      <c r="F26324">
        <v>1.14560741010976E-8</v>
      </c>
      <c r="G26324">
        <v>5534843</v>
      </c>
      <c r="H26324">
        <v>11069126</v>
      </c>
      <c r="I26324">
        <v>32588038</v>
      </c>
      <c r="J26324">
        <v>4</v>
      </c>
    </row>
    <row r="26325" spans="1:10" x14ac:dyDescent="0.25">
      <c r="A26325" t="s">
        <v>291</v>
      </c>
      <c r="B26325" s="1" t="str">
        <f>HYPERLINK("http://oreilly.com.cn","oreilly.com.cn")</f>
        <v>oreilly.com.cn</v>
      </c>
      <c r="C26325" t="s">
        <v>431</v>
      </c>
      <c r="D26325" t="s">
        <v>812</v>
      </c>
      <c r="F26325">
        <v>1.4945583398427599E-7</v>
      </c>
      <c r="G26325">
        <v>259994</v>
      </c>
      <c r="H26325">
        <v>14534937</v>
      </c>
      <c r="I26325">
        <v>781391</v>
      </c>
      <c r="J26325">
        <v>5</v>
      </c>
    </row>
    <row r="26326" spans="1:10" x14ac:dyDescent="0.25">
      <c r="A26326" t="s">
        <v>291</v>
      </c>
      <c r="B26326" s="1" t="str">
        <f>HYPERLINK("http://oreilly.com","oreilly.com")</f>
        <v>oreilly.com</v>
      </c>
      <c r="C26326" t="s">
        <v>433</v>
      </c>
      <c r="E26326">
        <v>835</v>
      </c>
      <c r="F26326">
        <v>3.4388325502609597E-5</v>
      </c>
      <c r="G26326">
        <v>862</v>
      </c>
      <c r="H26326">
        <v>18911096</v>
      </c>
      <c r="I26326">
        <v>632</v>
      </c>
      <c r="J26326">
        <v>4</v>
      </c>
    </row>
    <row r="26327" spans="1:10" x14ac:dyDescent="0.25">
      <c r="A26327" t="s">
        <v>291</v>
      </c>
      <c r="B26327" s="1" t="str">
        <f>HYPERLINK("http://oreillyauto.com","oreillyauto.com")</f>
        <v>oreillyauto.com</v>
      </c>
      <c r="C26327" t="s">
        <v>433</v>
      </c>
      <c r="E26327">
        <v>13376</v>
      </c>
      <c r="F26327">
        <v>7.3468119613264897E-7</v>
      </c>
      <c r="G26327">
        <v>52996</v>
      </c>
      <c r="H26327">
        <v>17219914</v>
      </c>
      <c r="I26327">
        <v>38463</v>
      </c>
      <c r="J26327">
        <v>1</v>
      </c>
    </row>
    <row r="26328" spans="1:10" x14ac:dyDescent="0.25">
      <c r="A26328" t="s">
        <v>291</v>
      </c>
      <c r="B26328" s="1" t="str">
        <f>HYPERLINK("http://oreillyautoparts.com","oreillyautoparts.com")</f>
        <v>oreillyautoparts.com</v>
      </c>
      <c r="C26328" t="s">
        <v>433</v>
      </c>
      <c r="F26328">
        <v>5.8096988623161101E-9</v>
      </c>
      <c r="G26328">
        <v>18014449</v>
      </c>
      <c r="H26328">
        <v>12233354</v>
      </c>
      <c r="I26328">
        <v>22416804</v>
      </c>
      <c r="J26328">
        <v>4</v>
      </c>
    </row>
    <row r="26329" spans="1:10" x14ac:dyDescent="0.25">
      <c r="A26329" t="s">
        <v>291</v>
      </c>
      <c r="B26329" s="1" t="str">
        <f>HYPERLINK("http://oreillymotors.com","oreillymotors.com")</f>
        <v>oreillymotors.com</v>
      </c>
      <c r="C26329" t="s">
        <v>433</v>
      </c>
      <c r="F26329">
        <v>4.8801877153585197E-9</v>
      </c>
      <c r="G26329">
        <v>33071736</v>
      </c>
      <c r="H26329">
        <v>11378160</v>
      </c>
      <c r="I26329">
        <v>30291029</v>
      </c>
      <c r="J26329">
        <v>4</v>
      </c>
    </row>
    <row r="26330" spans="1:10" x14ac:dyDescent="0.25">
      <c r="A26330" t="s">
        <v>291</v>
      </c>
      <c r="B26330" s="1" t="str">
        <f>HYPERLINK("http://vipauto.com","vipauto.com")</f>
        <v>vipauto.com</v>
      </c>
      <c r="C26330" t="s">
        <v>433</v>
      </c>
      <c r="E26330">
        <v>989583</v>
      </c>
      <c r="F26330">
        <v>2.0550926485437199E-8</v>
      </c>
      <c r="G26330">
        <v>2577472</v>
      </c>
      <c r="H26330">
        <v>13516482</v>
      </c>
      <c r="I26330">
        <v>9942720</v>
      </c>
      <c r="J26330">
        <v>4</v>
      </c>
    </row>
    <row r="26331" spans="1:10" x14ac:dyDescent="0.25">
      <c r="A26331" t="s">
        <v>291</v>
      </c>
      <c r="B26331" s="1" t="str">
        <f>HYPERLINK("http://oreilly.de","oreilly.de")</f>
        <v>oreilly.de</v>
      </c>
      <c r="C26331" t="s">
        <v>436</v>
      </c>
      <c r="D26331" t="s">
        <v>815</v>
      </c>
      <c r="E26331">
        <v>231883</v>
      </c>
      <c r="F26331">
        <v>4.80197424835743E-7</v>
      </c>
      <c r="G26331">
        <v>79192</v>
      </c>
      <c r="H26331">
        <v>17468538</v>
      </c>
      <c r="I26331">
        <v>15148</v>
      </c>
      <c r="J26331">
        <v>5</v>
      </c>
    </row>
    <row r="26332" spans="1:10" x14ac:dyDescent="0.25">
      <c r="A26332" t="s">
        <v>291</v>
      </c>
      <c r="B26332" s="1" t="str">
        <f>HYPERLINK("http://oreilly.hk","oreilly.hk")</f>
        <v>oreilly.hk</v>
      </c>
      <c r="C26332" t="s">
        <v>450</v>
      </c>
      <c r="D26332" t="s">
        <v>827</v>
      </c>
      <c r="F26332">
        <v>1.3789449923786099E-8</v>
      </c>
      <c r="G26332">
        <v>4285799</v>
      </c>
      <c r="H26332">
        <v>13274681</v>
      </c>
      <c r="I26332">
        <v>10935424</v>
      </c>
      <c r="J26332">
        <v>5</v>
      </c>
    </row>
    <row r="26333" spans="1:10" x14ac:dyDescent="0.25">
      <c r="A26333" t="s">
        <v>291</v>
      </c>
      <c r="B26333" s="1" t="str">
        <f>HYPERLINK("http://oreilly.id","oreilly.id")</f>
        <v>oreilly.id</v>
      </c>
      <c r="C26333" t="s">
        <v>454</v>
      </c>
      <c r="D26333" t="s">
        <v>831</v>
      </c>
      <c r="F26333">
        <v>1.3789324852878801E-8</v>
      </c>
      <c r="G26333">
        <v>4285844</v>
      </c>
      <c r="H26333">
        <v>13274433</v>
      </c>
      <c r="I26333">
        <v>10936370</v>
      </c>
      <c r="J26333">
        <v>5</v>
      </c>
    </row>
    <row r="26334" spans="1:10" x14ac:dyDescent="0.25">
      <c r="A26334" t="s">
        <v>291</v>
      </c>
      <c r="B26334" s="1" t="str">
        <f>HYPERLINK("http://oreilly.co.jp","oreilly.co.jp")</f>
        <v>oreilly.co.jp</v>
      </c>
      <c r="C26334" t="s">
        <v>461</v>
      </c>
      <c r="D26334" t="s">
        <v>837</v>
      </c>
      <c r="E26334">
        <v>236120</v>
      </c>
      <c r="F26334">
        <v>7.7282978149345002E-7</v>
      </c>
      <c r="G26334">
        <v>50653</v>
      </c>
      <c r="H26334">
        <v>17437818</v>
      </c>
      <c r="I26334">
        <v>16809</v>
      </c>
      <c r="J26334">
        <v>5</v>
      </c>
    </row>
    <row r="26335" spans="1:10" x14ac:dyDescent="0.25">
      <c r="A26335" t="s">
        <v>291</v>
      </c>
      <c r="B26335" s="1" t="str">
        <f>HYPERLINK("http://oreilly.co.uk","oreilly.co.uk")</f>
        <v>oreilly.co.uk</v>
      </c>
      <c r="C26335" t="s">
        <v>506</v>
      </c>
      <c r="D26335" t="s">
        <v>880</v>
      </c>
      <c r="F26335">
        <v>9.34970933025484E-9</v>
      </c>
      <c r="G26335">
        <v>7508310</v>
      </c>
      <c r="H26335">
        <v>12577751</v>
      </c>
      <c r="I26335">
        <v>16537700</v>
      </c>
      <c r="J26335">
        <v>5</v>
      </c>
    </row>
    <row r="26336" spans="1:10" x14ac:dyDescent="0.25">
      <c r="A26336" t="s">
        <v>1644</v>
      </c>
      <c r="B26336" s="1" t="str">
        <f>HYPERLINK("http://1pointfive.com","1pointfive.com")</f>
        <v>1pointfive.com</v>
      </c>
      <c r="C26336" t="s">
        <v>433</v>
      </c>
      <c r="F26336">
        <v>8.9978712457301999E-8</v>
      </c>
      <c r="G26336">
        <v>453586</v>
      </c>
      <c r="H26336">
        <v>13958862</v>
      </c>
      <c r="I26336">
        <v>4120656</v>
      </c>
      <c r="J26336">
        <v>3</v>
      </c>
    </row>
    <row r="26337" spans="1:10" x14ac:dyDescent="0.25">
      <c r="A26337" t="s">
        <v>1644</v>
      </c>
      <c r="B26337" s="1" t="str">
        <f>HYPERLINK("http://anadarko.com","anadarko.com")</f>
        <v>anadarko.com</v>
      </c>
      <c r="C26337" t="s">
        <v>433</v>
      </c>
      <c r="E26337">
        <v>233608</v>
      </c>
      <c r="F26337">
        <v>1.9168519190929701E-7</v>
      </c>
      <c r="G26337">
        <v>201057</v>
      </c>
      <c r="H26337">
        <v>15007672</v>
      </c>
      <c r="I26337">
        <v>423908</v>
      </c>
      <c r="J26337">
        <v>4</v>
      </c>
    </row>
    <row r="26338" spans="1:10" x14ac:dyDescent="0.25">
      <c r="A26338" t="s">
        <v>1644</v>
      </c>
      <c r="B26338" s="1" t="str">
        <f>HYPERLINK("http://glennspringsholdings.com","glennspringsholdings.com")</f>
        <v>glennspringsholdings.com</v>
      </c>
      <c r="C26338" t="s">
        <v>433</v>
      </c>
      <c r="J26338">
        <v>3</v>
      </c>
    </row>
    <row r="26339" spans="1:10" x14ac:dyDescent="0.25">
      <c r="A26339" t="s">
        <v>1644</v>
      </c>
      <c r="B26339" s="1" t="str">
        <f>HYPERLINK("http://indspec-chem.com","indspec-chem.com")</f>
        <v>indspec-chem.com</v>
      </c>
      <c r="C26339" t="s">
        <v>433</v>
      </c>
      <c r="F26339">
        <v>4.4705442915565203E-9</v>
      </c>
      <c r="G26339">
        <v>64437081</v>
      </c>
      <c r="H26339">
        <v>12059342</v>
      </c>
      <c r="I26339">
        <v>27028929</v>
      </c>
      <c r="J26339">
        <v>3</v>
      </c>
    </row>
    <row r="26340" spans="1:10" x14ac:dyDescent="0.25">
      <c r="A26340" t="s">
        <v>1644</v>
      </c>
      <c r="B26340" s="1" t="str">
        <f>HYPERLINK("http://oxy.com","oxy.com")</f>
        <v>oxy.com</v>
      </c>
      <c r="C26340" t="s">
        <v>433</v>
      </c>
      <c r="E26340">
        <v>80952</v>
      </c>
      <c r="F26340">
        <v>6.3208347901982602E-7</v>
      </c>
      <c r="G26340">
        <v>60697</v>
      </c>
      <c r="H26340">
        <v>15124117</v>
      </c>
      <c r="I26340">
        <v>403161</v>
      </c>
      <c r="J26340">
        <v>1</v>
      </c>
    </row>
    <row r="26341" spans="1:10" x14ac:dyDescent="0.25">
      <c r="A26341" t="s">
        <v>1644</v>
      </c>
      <c r="B26341" s="1" t="str">
        <f>HYPERLINK("http://oxychem.com","oxychem.com")</f>
        <v>oxychem.com</v>
      </c>
      <c r="C26341" t="s">
        <v>433</v>
      </c>
      <c r="F26341">
        <v>2.04794531630021E-8</v>
      </c>
      <c r="G26341">
        <v>2587577</v>
      </c>
      <c r="H26341">
        <v>13779783</v>
      </c>
      <c r="I26341">
        <v>6482376</v>
      </c>
      <c r="J26341">
        <v>3</v>
      </c>
    </row>
    <row r="26342" spans="1:10" x14ac:dyDescent="0.25">
      <c r="A26342" t="s">
        <v>1644</v>
      </c>
      <c r="B26342" s="1" t="str">
        <f>HYPERLINK("http://oxylowcarbon.com","oxylowcarbon.com")</f>
        <v>oxylowcarbon.com</v>
      </c>
      <c r="C26342" t="s">
        <v>433</v>
      </c>
      <c r="F26342">
        <v>5.83584633745123E-8</v>
      </c>
      <c r="G26342">
        <v>761467</v>
      </c>
      <c r="H26342">
        <v>16781244</v>
      </c>
      <c r="I26342">
        <v>215977</v>
      </c>
      <c r="J26342">
        <v>3</v>
      </c>
    </row>
    <row r="26343" spans="1:10" x14ac:dyDescent="0.25">
      <c r="A26343" t="s">
        <v>1644</v>
      </c>
      <c r="B26343" s="1" t="str">
        <f>HYPERLINK("http://phibro.com","phibro.com")</f>
        <v>phibro.com</v>
      </c>
      <c r="C26343" t="s">
        <v>433</v>
      </c>
      <c r="F26343">
        <v>8.9126066928581893E-9</v>
      </c>
      <c r="G26343">
        <v>8124664</v>
      </c>
      <c r="H26343">
        <v>14239512</v>
      </c>
      <c r="I26343">
        <v>1511399</v>
      </c>
      <c r="J26343">
        <v>3</v>
      </c>
    </row>
    <row r="26344" spans="1:10" x14ac:dyDescent="0.25">
      <c r="A26344" t="s">
        <v>1644</v>
      </c>
      <c r="B26344" s="1" t="str">
        <f>HYPERLINK("http://westerngas.com","westerngas.com")</f>
        <v>westerngas.com</v>
      </c>
      <c r="C26344" t="s">
        <v>433</v>
      </c>
      <c r="F26344">
        <v>1.40174480430855E-8</v>
      </c>
      <c r="G26344">
        <v>4196058</v>
      </c>
      <c r="H26344">
        <v>13890665</v>
      </c>
      <c r="I26344">
        <v>5962174</v>
      </c>
      <c r="J26344">
        <v>3</v>
      </c>
    </row>
    <row r="26345" spans="1:10" x14ac:dyDescent="0.25">
      <c r="A26345" t="s">
        <v>292</v>
      </c>
      <c r="B26345" s="1" t="str">
        <f>HYPERLINK("http://chilisleep.com.au","chilisleep.com.au")</f>
        <v>chilisleep.com.au</v>
      </c>
      <c r="C26345" t="s">
        <v>420</v>
      </c>
      <c r="D26345" t="s">
        <v>802</v>
      </c>
      <c r="F26345">
        <v>8.2797928030209895E-8</v>
      </c>
      <c r="G26345">
        <v>503826</v>
      </c>
      <c r="H26345">
        <v>13060584</v>
      </c>
      <c r="I26345">
        <v>12339390</v>
      </c>
      <c r="J26345">
        <v>6</v>
      </c>
    </row>
    <row r="26346" spans="1:10" x14ac:dyDescent="0.25">
      <c r="A26346" t="s">
        <v>292</v>
      </c>
      <c r="B26346" s="1" t="str">
        <f>HYPERLINK("http://crmondemand.com.au","crmondemand.com.au")</f>
        <v>crmondemand.com.au</v>
      </c>
      <c r="C26346" t="s">
        <v>420</v>
      </c>
      <c r="D26346" t="s">
        <v>802</v>
      </c>
      <c r="F26346">
        <v>4.4438619772993001E-9</v>
      </c>
      <c r="G26346">
        <v>78267068</v>
      </c>
      <c r="H26346">
        <v>10373071</v>
      </c>
      <c r="I26346">
        <v>54765379</v>
      </c>
      <c r="J26346">
        <v>2</v>
      </c>
    </row>
    <row r="26347" spans="1:10" x14ac:dyDescent="0.25">
      <c r="A26347" t="s">
        <v>292</v>
      </c>
      <c r="B26347" s="1" t="str">
        <f>HYPERLINK("http://netsuite.com.au","netsuite.com.au")</f>
        <v>netsuite.com.au</v>
      </c>
      <c r="C26347" t="s">
        <v>420</v>
      </c>
      <c r="D26347" t="s">
        <v>802</v>
      </c>
      <c r="F26347">
        <v>3.4673655543652999E-8</v>
      </c>
      <c r="G26347">
        <v>1496728</v>
      </c>
      <c r="H26347">
        <v>13466784</v>
      </c>
      <c r="I26347">
        <v>10053507</v>
      </c>
      <c r="J26347">
        <v>3</v>
      </c>
    </row>
    <row r="26348" spans="1:10" x14ac:dyDescent="0.25">
      <c r="A26348" t="s">
        <v>292</v>
      </c>
      <c r="B26348" s="1" t="str">
        <f>HYPERLINK("http://oracle.bi","oracle.bi")</f>
        <v>oracle.bi</v>
      </c>
      <c r="C26348" t="s">
        <v>622</v>
      </c>
      <c r="D26348" t="s">
        <v>946</v>
      </c>
      <c r="F26348">
        <v>1.7808044186660999E-8</v>
      </c>
      <c r="G26348">
        <v>3072985</v>
      </c>
      <c r="H26348">
        <v>13341034</v>
      </c>
      <c r="I26348">
        <v>10668865</v>
      </c>
      <c r="J26348">
        <v>2</v>
      </c>
    </row>
    <row r="26349" spans="1:10" x14ac:dyDescent="0.25">
      <c r="A26349" t="s">
        <v>292</v>
      </c>
      <c r="B26349" s="1" t="str">
        <f>HYPERLINK("http://cerner.ca","cerner.ca")</f>
        <v>cerner.ca</v>
      </c>
      <c r="C26349" t="s">
        <v>428</v>
      </c>
      <c r="D26349" t="s">
        <v>809</v>
      </c>
      <c r="F26349">
        <v>7.3204995393185497E-9</v>
      </c>
      <c r="G26349">
        <v>11429909</v>
      </c>
      <c r="H26349">
        <v>12285646</v>
      </c>
      <c r="I26349">
        <v>21196870</v>
      </c>
      <c r="J26349">
        <v>4</v>
      </c>
    </row>
    <row r="26350" spans="1:10" x14ac:dyDescent="0.25">
      <c r="A26350" t="s">
        <v>292</v>
      </c>
      <c r="B26350" s="1" t="str">
        <f>HYPERLINK("http://netsuite.com.cn","netsuite.com.cn")</f>
        <v>netsuite.com.cn</v>
      </c>
      <c r="C26350" t="s">
        <v>431</v>
      </c>
      <c r="D26350" t="s">
        <v>812</v>
      </c>
      <c r="F26350">
        <v>1.80778465943565E-8</v>
      </c>
      <c r="G26350">
        <v>3014502</v>
      </c>
      <c r="H26350">
        <v>13341034</v>
      </c>
      <c r="I26350">
        <v>10668880</v>
      </c>
      <c r="J26350">
        <v>4</v>
      </c>
    </row>
    <row r="26351" spans="1:10" x14ac:dyDescent="0.25">
      <c r="A26351" t="s">
        <v>292</v>
      </c>
      <c r="B26351" s="1" t="str">
        <f>HYPERLINK("http://netsuite.cn","netsuite.cn")</f>
        <v>netsuite.cn</v>
      </c>
      <c r="C26351" t="s">
        <v>431</v>
      </c>
      <c r="D26351" t="s">
        <v>812</v>
      </c>
      <c r="F26351">
        <v>2.3576931161974601E-8</v>
      </c>
      <c r="G26351">
        <v>2206395</v>
      </c>
      <c r="H26351">
        <v>13347247</v>
      </c>
      <c r="I26351">
        <v>10645531</v>
      </c>
      <c r="J26351">
        <v>3</v>
      </c>
    </row>
    <row r="26352" spans="1:10" x14ac:dyDescent="0.25">
      <c r="A26352" t="s">
        <v>292</v>
      </c>
      <c r="B26352" s="1" t="str">
        <f>HYPERLINK("http://datafox.co","datafox.co")</f>
        <v>datafox.co</v>
      </c>
      <c r="C26352" t="s">
        <v>432</v>
      </c>
      <c r="F26352">
        <v>3.3363559802866501E-8</v>
      </c>
      <c r="G26352">
        <v>1549132</v>
      </c>
      <c r="H26352">
        <v>14164586</v>
      </c>
      <c r="I26352">
        <v>1825280</v>
      </c>
      <c r="J26352">
        <v>2</v>
      </c>
    </row>
    <row r="26353" spans="1:10" x14ac:dyDescent="0.25">
      <c r="A26353" t="s">
        <v>292</v>
      </c>
      <c r="B26353" s="1" t="str">
        <f>HYPERLINK("http://acmepacket.com","acmepacket.com")</f>
        <v>acmepacket.com</v>
      </c>
      <c r="C26353" t="s">
        <v>433</v>
      </c>
      <c r="F26353">
        <v>8.9445729902627705E-8</v>
      </c>
      <c r="G26353">
        <v>456684</v>
      </c>
      <c r="H26353">
        <v>14544560</v>
      </c>
      <c r="I26353">
        <v>770434</v>
      </c>
      <c r="J26353">
        <v>3</v>
      </c>
    </row>
    <row r="26354" spans="1:10" x14ac:dyDescent="0.25">
      <c r="A26354" t="s">
        <v>292</v>
      </c>
      <c r="B26354" s="1" t="str">
        <f>HYPERLINK("http://aconex.com","aconex.com")</f>
        <v>aconex.com</v>
      </c>
      <c r="C26354" t="s">
        <v>433</v>
      </c>
      <c r="E26354">
        <v>54095</v>
      </c>
      <c r="F26354">
        <v>3.1441799986287101E-7</v>
      </c>
      <c r="G26354">
        <v>118229</v>
      </c>
      <c r="H26354">
        <v>14598364</v>
      </c>
      <c r="I26354">
        <v>687766</v>
      </c>
      <c r="J26354">
        <v>2</v>
      </c>
    </row>
    <row r="26355" spans="1:10" x14ac:dyDescent="0.25">
      <c r="A26355" t="s">
        <v>292</v>
      </c>
      <c r="B26355" s="1" t="str">
        <f>HYPERLINK("http://aconexasia.com","aconexasia.com")</f>
        <v>aconexasia.com</v>
      </c>
      <c r="C26355" t="s">
        <v>433</v>
      </c>
      <c r="F26355">
        <v>1.7823460101798201E-8</v>
      </c>
      <c r="G26355">
        <v>3069736</v>
      </c>
      <c r="H26355">
        <v>13343404</v>
      </c>
      <c r="I26355">
        <v>10662086</v>
      </c>
      <c r="J26355">
        <v>2</v>
      </c>
    </row>
    <row r="26356" spans="1:10" x14ac:dyDescent="0.25">
      <c r="A26356" t="s">
        <v>292</v>
      </c>
      <c r="B26356" s="1" t="str">
        <f>HYPERLINK("http://activereasoning.com","activereasoning.com")</f>
        <v>activereasoning.com</v>
      </c>
      <c r="C26356" t="s">
        <v>433</v>
      </c>
      <c r="F26356">
        <v>4.5406560997074902E-9</v>
      </c>
      <c r="G26356">
        <v>53261516</v>
      </c>
      <c r="H26356">
        <v>1.0003663</v>
      </c>
      <c r="I26356">
        <v>78407087</v>
      </c>
      <c r="J26356">
        <v>4</v>
      </c>
    </row>
    <row r="26357" spans="1:10" x14ac:dyDescent="0.25">
      <c r="A26357" t="s">
        <v>292</v>
      </c>
      <c r="B26357" s="1" t="str">
        <f>HYPERLINK("http://addthis.com","addthis.com")</f>
        <v>addthis.com</v>
      </c>
      <c r="C26357" t="s">
        <v>433</v>
      </c>
      <c r="E26357">
        <v>465</v>
      </c>
      <c r="F26357">
        <v>4.9657377247611404E-4</v>
      </c>
      <c r="G26357">
        <v>67</v>
      </c>
      <c r="H26357">
        <v>19774590</v>
      </c>
      <c r="I26357">
        <v>91</v>
      </c>
      <c r="J26357">
        <v>2</v>
      </c>
    </row>
    <row r="26358" spans="1:10" x14ac:dyDescent="0.25">
      <c r="A26358" t="s">
        <v>292</v>
      </c>
      <c r="B26358" s="1" t="str">
        <f>HYPERLINK("http://bigmachines.com","bigmachines.com")</f>
        <v>bigmachines.com</v>
      </c>
      <c r="C26358" t="s">
        <v>433</v>
      </c>
      <c r="E26358">
        <v>83552</v>
      </c>
      <c r="F26358">
        <v>5.8550955991428998E-8</v>
      </c>
      <c r="G26358">
        <v>758446</v>
      </c>
      <c r="H26358">
        <v>13868197</v>
      </c>
      <c r="I26358">
        <v>6003290</v>
      </c>
      <c r="J26358">
        <v>4</v>
      </c>
    </row>
    <row r="26359" spans="1:10" x14ac:dyDescent="0.25">
      <c r="A26359" t="s">
        <v>292</v>
      </c>
      <c r="B26359" s="1" t="str">
        <f>HYPERLINK("http://bluekai.com","bluekai.com")</f>
        <v>bluekai.com</v>
      </c>
      <c r="C26359" t="s">
        <v>433</v>
      </c>
      <c r="E26359">
        <v>842</v>
      </c>
      <c r="F26359">
        <v>2.37648066523535E-5</v>
      </c>
      <c r="G26359">
        <v>1227</v>
      </c>
      <c r="H26359">
        <v>18051970</v>
      </c>
      <c r="I26359">
        <v>3380</v>
      </c>
      <c r="J26359">
        <v>2</v>
      </c>
    </row>
    <row r="26360" spans="1:10" x14ac:dyDescent="0.25">
      <c r="A26360" t="s">
        <v>292</v>
      </c>
      <c r="B26360" s="1" t="str">
        <f>HYPERLINK("http://bm23staging.com","bm23staging.com")</f>
        <v>bm23staging.com</v>
      </c>
      <c r="C26360" t="s">
        <v>433</v>
      </c>
      <c r="J26360">
        <v>2</v>
      </c>
    </row>
    <row r="26361" spans="1:10" x14ac:dyDescent="0.25">
      <c r="A26361" t="s">
        <v>292</v>
      </c>
      <c r="B26361" s="1" t="str">
        <f>HYPERLINK("http://cerner.com","cerner.com")</f>
        <v>cerner.com</v>
      </c>
      <c r="C26361" t="s">
        <v>433</v>
      </c>
      <c r="E26361">
        <v>23562</v>
      </c>
      <c r="F26361">
        <v>1.5757220976766201E-6</v>
      </c>
      <c r="G26361">
        <v>24924</v>
      </c>
      <c r="H26361">
        <v>17531000</v>
      </c>
      <c r="I26361">
        <v>12025</v>
      </c>
      <c r="J26361">
        <v>3</v>
      </c>
    </row>
    <row r="26362" spans="1:10" x14ac:dyDescent="0.25">
      <c r="A26362" t="s">
        <v>292</v>
      </c>
      <c r="B26362" s="1" t="str">
        <f>HYPERLINK("http://cernerenviza.com","cernerenviza.com")</f>
        <v>cernerenviza.com</v>
      </c>
      <c r="C26362" t="s">
        <v>433</v>
      </c>
      <c r="F26362">
        <v>5.9506435074242702E-8</v>
      </c>
      <c r="G26362">
        <v>742779</v>
      </c>
      <c r="H26362">
        <v>12666701</v>
      </c>
      <c r="I26362">
        <v>15651165</v>
      </c>
      <c r="J26362">
        <v>8</v>
      </c>
    </row>
    <row r="26363" spans="1:10" x14ac:dyDescent="0.25">
      <c r="A26363" t="s">
        <v>292</v>
      </c>
      <c r="B26363" s="1" t="str">
        <f>HYPERLINK("http://chilisleep.com","chilisleep.com")</f>
        <v>chilisleep.com</v>
      </c>
      <c r="C26363" t="s">
        <v>433</v>
      </c>
      <c r="E26363">
        <v>705555</v>
      </c>
      <c r="F26363">
        <v>4.1745253329930102E-6</v>
      </c>
      <c r="G26363">
        <v>8653</v>
      </c>
      <c r="H26363">
        <v>18328620</v>
      </c>
      <c r="I26363">
        <v>2244</v>
      </c>
      <c r="J26363">
        <v>5</v>
      </c>
    </row>
    <row r="26364" spans="1:10" x14ac:dyDescent="0.25">
      <c r="A26364" t="s">
        <v>292</v>
      </c>
      <c r="B26364" s="1" t="str">
        <f>HYPERLINK("http://cloudmonkeymobile.com","cloudmonkeymobile.com")</f>
        <v>cloudmonkeymobile.com</v>
      </c>
      <c r="C26364" t="s">
        <v>433</v>
      </c>
      <c r="F26364">
        <v>1.07804621794302E-8</v>
      </c>
      <c r="G26364">
        <v>6036261</v>
      </c>
      <c r="H26364">
        <v>12511840</v>
      </c>
      <c r="I26364">
        <v>17228013</v>
      </c>
      <c r="J26364">
        <v>4</v>
      </c>
    </row>
    <row r="26365" spans="1:10" x14ac:dyDescent="0.25">
      <c r="A26365" t="s">
        <v>292</v>
      </c>
      <c r="B26365" s="1" t="str">
        <f>HYPERLINK("http://cnypurewellness.com","cnypurewellness.com")</f>
        <v>cnypurewellness.com</v>
      </c>
      <c r="C26365" t="s">
        <v>433</v>
      </c>
      <c r="F26365">
        <v>4.44380395335525E-9</v>
      </c>
      <c r="G26365">
        <v>81169019</v>
      </c>
      <c r="H26365">
        <v>0</v>
      </c>
      <c r="I26365">
        <v>81491606</v>
      </c>
      <c r="J26365">
        <v>6</v>
      </c>
    </row>
    <row r="26366" spans="1:10" x14ac:dyDescent="0.25">
      <c r="A26366" t="s">
        <v>292</v>
      </c>
      <c r="B26366" s="1" t="str">
        <f>HYPERLINK("http://collectiveintellect.com","collectiveintellect.com")</f>
        <v>collectiveintellect.com</v>
      </c>
      <c r="C26366" t="s">
        <v>433</v>
      </c>
      <c r="F26366">
        <v>4.5920149879381501E-8</v>
      </c>
      <c r="G26366">
        <v>1022719</v>
      </c>
      <c r="H26366">
        <v>14181546</v>
      </c>
      <c r="I26366">
        <v>1778589</v>
      </c>
      <c r="J26366">
        <v>6</v>
      </c>
    </row>
    <row r="26367" spans="1:10" x14ac:dyDescent="0.25">
      <c r="A26367" t="s">
        <v>292</v>
      </c>
      <c r="B26367" s="1" t="str">
        <f>HYPERLINK("http://connectionengine.com","connectionengine.com")</f>
        <v>connectionengine.com</v>
      </c>
      <c r="C26367" t="s">
        <v>433</v>
      </c>
      <c r="F26367">
        <v>4.5190858416997801E-9</v>
      </c>
      <c r="G26367">
        <v>56340333</v>
      </c>
      <c r="H26367">
        <v>12320822</v>
      </c>
      <c r="I26367">
        <v>20402623</v>
      </c>
      <c r="J26367">
        <v>5</v>
      </c>
    </row>
    <row r="26368" spans="1:10" x14ac:dyDescent="0.25">
      <c r="A26368" t="s">
        <v>292</v>
      </c>
      <c r="B26368" s="1" t="str">
        <f>HYPERLINK("http://crmondemand.com","crmondemand.com")</f>
        <v>crmondemand.com</v>
      </c>
      <c r="C26368" t="s">
        <v>433</v>
      </c>
      <c r="E26368">
        <v>261602</v>
      </c>
      <c r="F26368">
        <v>3.6184574728533699E-8</v>
      </c>
      <c r="G26368">
        <v>1441036</v>
      </c>
      <c r="H26368">
        <v>14125685</v>
      </c>
      <c r="I26368">
        <v>2114578</v>
      </c>
      <c r="J26368">
        <v>2</v>
      </c>
    </row>
    <row r="26369" spans="1:10" x14ac:dyDescent="0.25">
      <c r="A26369" t="s">
        <v>292</v>
      </c>
      <c r="B26369" s="1" t="str">
        <f>HYPERLINK("http://crowdtwist.com","crowdtwist.com")</f>
        <v>crowdtwist.com</v>
      </c>
      <c r="C26369" t="s">
        <v>433</v>
      </c>
      <c r="E26369">
        <v>50566</v>
      </c>
      <c r="F26369">
        <v>3.6392469734579102E-7</v>
      </c>
      <c r="G26369">
        <v>102771</v>
      </c>
      <c r="H26369">
        <v>16925858</v>
      </c>
      <c r="I26369">
        <v>122143</v>
      </c>
      <c r="J26369">
        <v>4</v>
      </c>
    </row>
    <row r="26370" spans="1:10" x14ac:dyDescent="0.25">
      <c r="A26370" t="s">
        <v>292</v>
      </c>
      <c r="B26370" s="1" t="str">
        <f>HYPERLINK("http://datafox.com","datafox.com")</f>
        <v>datafox.com</v>
      </c>
      <c r="C26370" t="s">
        <v>433</v>
      </c>
      <c r="E26370">
        <v>248196</v>
      </c>
      <c r="F26370">
        <v>1.2265963725725801E-7</v>
      </c>
      <c r="G26370">
        <v>321798</v>
      </c>
      <c r="H26370">
        <v>14621158</v>
      </c>
      <c r="I26370">
        <v>657377</v>
      </c>
      <c r="J26370">
        <v>2</v>
      </c>
    </row>
    <row r="26371" spans="1:10" x14ac:dyDescent="0.25">
      <c r="A26371" t="s">
        <v>292</v>
      </c>
      <c r="B26371" s="1" t="str">
        <f>HYPERLINK("http://datalogix.com","datalogix.com")</f>
        <v>datalogix.com</v>
      </c>
      <c r="C26371" t="s">
        <v>433</v>
      </c>
      <c r="F26371">
        <v>1.1313827132516299E-6</v>
      </c>
      <c r="G26371">
        <v>34128</v>
      </c>
      <c r="H26371">
        <v>17590374</v>
      </c>
      <c r="I26371">
        <v>9974</v>
      </c>
      <c r="J26371">
        <v>4</v>
      </c>
    </row>
    <row r="26372" spans="1:10" x14ac:dyDescent="0.25">
      <c r="A26372" t="s">
        <v>292</v>
      </c>
      <c r="B26372" s="1" t="str">
        <f>HYPERLINK("http://datanomic.com","datanomic.com")</f>
        <v>datanomic.com</v>
      </c>
      <c r="C26372" t="s">
        <v>433</v>
      </c>
      <c r="F26372">
        <v>6.6068241706441602E-9</v>
      </c>
      <c r="G26372">
        <v>13651278</v>
      </c>
      <c r="H26372">
        <v>13220486</v>
      </c>
      <c r="I26372">
        <v>11334595</v>
      </c>
      <c r="J26372">
        <v>4</v>
      </c>
    </row>
    <row r="26373" spans="1:10" x14ac:dyDescent="0.25">
      <c r="A26373" t="s">
        <v>292</v>
      </c>
      <c r="B26373" s="1" t="str">
        <f>HYPERLINK("http://dyn.com","dyn.com")</f>
        <v>dyn.com</v>
      </c>
      <c r="C26373" t="s">
        <v>433</v>
      </c>
      <c r="E26373">
        <v>2268</v>
      </c>
      <c r="F26373">
        <v>6.5591862555362697E-6</v>
      </c>
      <c r="G26373">
        <v>5177</v>
      </c>
      <c r="H26373">
        <v>18158528</v>
      </c>
      <c r="I26373">
        <v>2887</v>
      </c>
      <c r="J26373">
        <v>4</v>
      </c>
    </row>
    <row r="26374" spans="1:10" x14ac:dyDescent="0.25">
      <c r="A26374" t="s">
        <v>292</v>
      </c>
      <c r="B26374" s="1" t="str">
        <f>HYPERLINK("http://flashline.com","flashline.com")</f>
        <v>flashline.com</v>
      </c>
      <c r="C26374" t="s">
        <v>433</v>
      </c>
      <c r="F26374">
        <v>1.04109092755922E-8</v>
      </c>
      <c r="G26374">
        <v>6348991</v>
      </c>
      <c r="H26374">
        <v>14145513</v>
      </c>
      <c r="I26374">
        <v>1899883</v>
      </c>
      <c r="J26374">
        <v>4</v>
      </c>
    </row>
    <row r="26375" spans="1:10" x14ac:dyDescent="0.25">
      <c r="A26375" t="s">
        <v>292</v>
      </c>
      <c r="B26375" s="1" t="str">
        <f>HYPERLINK("http://gobalto.com","gobalto.com")</f>
        <v>gobalto.com</v>
      </c>
      <c r="C26375" t="s">
        <v>433</v>
      </c>
      <c r="E26375">
        <v>524310</v>
      </c>
      <c r="F26375">
        <v>2.2992078576209899E-8</v>
      </c>
      <c r="G26375">
        <v>2272740</v>
      </c>
      <c r="H26375">
        <v>14212539</v>
      </c>
      <c r="I26375">
        <v>1699194</v>
      </c>
      <c r="J26375">
        <v>2</v>
      </c>
    </row>
    <row r="26376" spans="1:10" x14ac:dyDescent="0.25">
      <c r="A26376" t="s">
        <v>292</v>
      </c>
      <c r="B26376" s="1" t="str">
        <f>HYPERLINK("http://grapeshot.com","grapeshot.com")</f>
        <v>grapeshot.com</v>
      </c>
      <c r="C26376" t="s">
        <v>433</v>
      </c>
      <c r="F26376">
        <v>1.7895588488666801E-7</v>
      </c>
      <c r="G26376">
        <v>215939</v>
      </c>
      <c r="H26376">
        <v>14131110</v>
      </c>
      <c r="I26376">
        <v>2019476</v>
      </c>
      <c r="J26376">
        <v>4</v>
      </c>
    </row>
    <row r="26377" spans="1:10" x14ac:dyDescent="0.25">
      <c r="A26377" t="s">
        <v>292</v>
      </c>
      <c r="B26377" s="1" t="str">
        <f>HYPERLINK("http://hawaiianearth.com","hawaiianearth.com")</f>
        <v>hawaiianearth.com</v>
      </c>
      <c r="C26377" t="s">
        <v>433</v>
      </c>
      <c r="F26377">
        <v>1.2721417722112301E-8</v>
      </c>
      <c r="G26377">
        <v>4768714</v>
      </c>
      <c r="H26377">
        <v>12769403</v>
      </c>
      <c r="I26377">
        <v>14845467</v>
      </c>
      <c r="J26377">
        <v>5</v>
      </c>
    </row>
    <row r="26378" spans="1:10" x14ac:dyDescent="0.25">
      <c r="A26378" t="s">
        <v>292</v>
      </c>
      <c r="B26378" s="1" t="str">
        <f>HYPERLINK("http://hyperion.com","hyperion.com")</f>
        <v>hyperion.com</v>
      </c>
      <c r="C26378" t="s">
        <v>433</v>
      </c>
      <c r="E26378">
        <v>524198</v>
      </c>
      <c r="F26378">
        <v>1.18380621149261E-7</v>
      </c>
      <c r="G26378">
        <v>334575</v>
      </c>
      <c r="H26378">
        <v>17070950</v>
      </c>
      <c r="I26378">
        <v>70694</v>
      </c>
      <c r="J26378">
        <v>3</v>
      </c>
    </row>
    <row r="26379" spans="1:10" x14ac:dyDescent="0.25">
      <c r="A26379" t="s">
        <v>292</v>
      </c>
      <c r="B26379" s="1" t="str">
        <f>HYPERLINK("http://involver.com","involver.com")</f>
        <v>involver.com</v>
      </c>
      <c r="C26379" t="s">
        <v>433</v>
      </c>
      <c r="E26379">
        <v>882567</v>
      </c>
      <c r="F26379">
        <v>3.4238747511212502E-7</v>
      </c>
      <c r="G26379">
        <v>109062</v>
      </c>
      <c r="H26379">
        <v>14586317</v>
      </c>
      <c r="I26379">
        <v>700505</v>
      </c>
      <c r="J26379">
        <v>2</v>
      </c>
    </row>
    <row r="26380" spans="1:10" x14ac:dyDescent="0.25">
      <c r="A26380" t="s">
        <v>292</v>
      </c>
      <c r="B26380" s="1" t="str">
        <f>HYPERLINK("http://metaserver.com","metaserver.com")</f>
        <v>metaserver.com</v>
      </c>
      <c r="C26380" t="s">
        <v>433</v>
      </c>
      <c r="F26380">
        <v>4.7463837523354401E-9</v>
      </c>
      <c r="G26380">
        <v>38494380</v>
      </c>
      <c r="H26380">
        <v>12094935</v>
      </c>
      <c r="I26380">
        <v>26099772</v>
      </c>
      <c r="J26380">
        <v>4</v>
      </c>
    </row>
    <row r="26381" spans="1:10" x14ac:dyDescent="0.25">
      <c r="A26381" t="s">
        <v>292</v>
      </c>
      <c r="B26381" s="1" t="str">
        <f>HYPERLINK("http://micros.com","micros.com")</f>
        <v>micros.com</v>
      </c>
      <c r="C26381" t="s">
        <v>433</v>
      </c>
      <c r="E26381">
        <v>380968</v>
      </c>
      <c r="F26381">
        <v>7.4163578417995003E-8</v>
      </c>
      <c r="G26381">
        <v>567612</v>
      </c>
      <c r="H26381">
        <v>13923385</v>
      </c>
      <c r="I26381">
        <v>5932951</v>
      </c>
      <c r="J26381">
        <v>3</v>
      </c>
    </row>
    <row r="26382" spans="1:10" x14ac:dyDescent="0.25">
      <c r="A26382" t="s">
        <v>292</v>
      </c>
      <c r="B26382" s="1" t="str">
        <f>HYPERLINK("http://multum.com","multum.com")</f>
        <v>multum.com</v>
      </c>
      <c r="C26382" t="s">
        <v>433</v>
      </c>
      <c r="F26382">
        <v>4.0792678785430898E-8</v>
      </c>
      <c r="G26382">
        <v>1270870</v>
      </c>
      <c r="H26382">
        <v>13965597</v>
      </c>
      <c r="I26382">
        <v>4090102</v>
      </c>
      <c r="J26382">
        <v>6</v>
      </c>
    </row>
    <row r="26383" spans="1:10" x14ac:dyDescent="0.25">
      <c r="A26383" t="s">
        <v>292</v>
      </c>
      <c r="B26383" s="1" t="str">
        <f>HYPERLINK("http://mypatriotsupply.com","mypatriotsupply.com")</f>
        <v>mypatriotsupply.com</v>
      </c>
      <c r="C26383" t="s">
        <v>433</v>
      </c>
      <c r="E26383">
        <v>103628</v>
      </c>
      <c r="F26383">
        <v>3.6132000367409001E-7</v>
      </c>
      <c r="G26383">
        <v>103482</v>
      </c>
      <c r="H26383">
        <v>17304862</v>
      </c>
      <c r="I26383">
        <v>27333</v>
      </c>
      <c r="J26383">
        <v>4</v>
      </c>
    </row>
    <row r="26384" spans="1:10" x14ac:dyDescent="0.25">
      <c r="A26384" t="s">
        <v>292</v>
      </c>
      <c r="B26384" s="1" t="str">
        <f>HYPERLINK("http://netledger.com","netledger.com")</f>
        <v>netledger.com</v>
      </c>
      <c r="C26384" t="s">
        <v>433</v>
      </c>
      <c r="F26384">
        <v>1.17136307803199E-8</v>
      </c>
      <c r="G26384">
        <v>5357713</v>
      </c>
      <c r="H26384">
        <v>13773741</v>
      </c>
      <c r="I26384">
        <v>6623536</v>
      </c>
      <c r="J26384">
        <v>2</v>
      </c>
    </row>
    <row r="26385" spans="1:10" x14ac:dyDescent="0.25">
      <c r="A26385" t="s">
        <v>292</v>
      </c>
      <c r="B26385" s="1" t="str">
        <f>HYPERLINK("http://netsuite.com","netsuite.com")</f>
        <v>netsuite.com</v>
      </c>
      <c r="C26385" t="s">
        <v>433</v>
      </c>
      <c r="E26385">
        <v>2823</v>
      </c>
      <c r="F26385">
        <v>7.27744371689803E-6</v>
      </c>
      <c r="G26385">
        <v>4635</v>
      </c>
      <c r="H26385">
        <v>17593030</v>
      </c>
      <c r="I26385">
        <v>9879</v>
      </c>
      <c r="J26385">
        <v>2</v>
      </c>
    </row>
    <row r="26386" spans="1:10" x14ac:dyDescent="0.25">
      <c r="A26386" t="s">
        <v>292</v>
      </c>
      <c r="B26386" s="1" t="str">
        <f>HYPERLINK("http://oc-test.com","oc-test.com")</f>
        <v>oc-test.com</v>
      </c>
      <c r="C26386" t="s">
        <v>433</v>
      </c>
      <c r="E26386">
        <v>835020</v>
      </c>
      <c r="F26386">
        <v>3.7349663883464802E-8</v>
      </c>
      <c r="G26386">
        <v>1386183</v>
      </c>
      <c r="H26386">
        <v>13364478</v>
      </c>
      <c r="I26386">
        <v>10491574</v>
      </c>
      <c r="J26386">
        <v>2</v>
      </c>
    </row>
    <row r="26387" spans="1:10" x14ac:dyDescent="0.25">
      <c r="A26387" t="s">
        <v>292</v>
      </c>
      <c r="B26387" s="1" t="str">
        <f>HYPERLINK("http://openair1.com","openair1.com")</f>
        <v>openair1.com</v>
      </c>
      <c r="C26387" t="s">
        <v>433</v>
      </c>
      <c r="J26387">
        <v>2</v>
      </c>
    </row>
    <row r="26388" spans="1:10" x14ac:dyDescent="0.25">
      <c r="A26388" t="s">
        <v>292</v>
      </c>
      <c r="B26388" s="1" t="str">
        <f>HYPERLINK("http://openfieldsolutions.com","openfieldsolutions.com")</f>
        <v>openfieldsolutions.com</v>
      </c>
      <c r="C26388" t="s">
        <v>433</v>
      </c>
      <c r="F26388">
        <v>4.4526960991070802E-9</v>
      </c>
      <c r="G26388">
        <v>70538458</v>
      </c>
      <c r="H26388">
        <v>9420961</v>
      </c>
      <c r="I26388">
        <v>66955903</v>
      </c>
      <c r="J26388">
        <v>4</v>
      </c>
    </row>
    <row r="26389" spans="1:10" x14ac:dyDescent="0.25">
      <c r="A26389" t="s">
        <v>292</v>
      </c>
      <c r="B26389" s="1" t="str">
        <f>HYPERLINK("http://opentaks.com","opentaks.com")</f>
        <v>opentaks.com</v>
      </c>
      <c r="C26389" t="s">
        <v>433</v>
      </c>
      <c r="J26389">
        <v>5</v>
      </c>
    </row>
    <row r="26390" spans="1:10" x14ac:dyDescent="0.25">
      <c r="A26390" t="s">
        <v>292</v>
      </c>
      <c r="B26390" s="1" t="str">
        <f>HYPERLINK("http://opower.com","opower.com")</f>
        <v>opower.com</v>
      </c>
      <c r="C26390" t="s">
        <v>433</v>
      </c>
      <c r="E26390">
        <v>54215</v>
      </c>
      <c r="F26390">
        <v>6.0421758591836902E-7</v>
      </c>
      <c r="G26390">
        <v>63289</v>
      </c>
      <c r="H26390">
        <v>17125492</v>
      </c>
      <c r="I26390">
        <v>58036</v>
      </c>
      <c r="J26390">
        <v>2</v>
      </c>
    </row>
    <row r="26391" spans="1:10" x14ac:dyDescent="0.25">
      <c r="A26391" t="s">
        <v>292</v>
      </c>
      <c r="B26391" s="1" t="str">
        <f>HYPERLINK("http://optika.com","optika.com")</f>
        <v>optika.com</v>
      </c>
      <c r="C26391" t="s">
        <v>433</v>
      </c>
      <c r="F26391">
        <v>1.8384040801917601E-8</v>
      </c>
      <c r="G26391">
        <v>2951142</v>
      </c>
      <c r="H26391">
        <v>13804550</v>
      </c>
      <c r="I26391">
        <v>6245196</v>
      </c>
      <c r="J26391">
        <v>4</v>
      </c>
    </row>
    <row r="26392" spans="1:10" x14ac:dyDescent="0.25">
      <c r="A26392" t="s">
        <v>292</v>
      </c>
      <c r="B26392" s="1" t="str">
        <f>HYPERLINK("http://ora-win.com","ora-win.com")</f>
        <v>ora-win.com</v>
      </c>
      <c r="C26392" t="s">
        <v>433</v>
      </c>
      <c r="J26392">
        <v>2</v>
      </c>
    </row>
    <row r="26393" spans="1:10" x14ac:dyDescent="0.25">
      <c r="A26393" t="s">
        <v>292</v>
      </c>
      <c r="B26393" s="1" t="str">
        <f>HYPERLINK("http://oracle.com","oracle.com")</f>
        <v>oracle.com</v>
      </c>
      <c r="C26393" t="s">
        <v>433</v>
      </c>
      <c r="E26393">
        <v>193</v>
      </c>
      <c r="F26393">
        <v>9.7794772216696396E-5</v>
      </c>
      <c r="G26393">
        <v>269</v>
      </c>
      <c r="H26393">
        <v>19666706</v>
      </c>
      <c r="I26393">
        <v>121</v>
      </c>
      <c r="J26393">
        <v>1</v>
      </c>
    </row>
    <row r="26394" spans="1:10" x14ac:dyDescent="0.25">
      <c r="A26394" t="s">
        <v>292</v>
      </c>
      <c r="B26394" s="1" t="str">
        <f>HYPERLINK("http://oraclecloud.com","oraclecloud.com")</f>
        <v>oraclecloud.com</v>
      </c>
      <c r="C26394" t="s">
        <v>433</v>
      </c>
      <c r="E26394">
        <v>1129</v>
      </c>
      <c r="F26394">
        <v>1.3197410841944099E-5</v>
      </c>
      <c r="G26394">
        <v>2653</v>
      </c>
      <c r="H26394">
        <v>18547494</v>
      </c>
      <c r="I26394">
        <v>1431</v>
      </c>
      <c r="J26394">
        <v>2</v>
      </c>
    </row>
    <row r="26395" spans="1:10" x14ac:dyDescent="0.25">
      <c r="A26395" t="s">
        <v>292</v>
      </c>
      <c r="B26395" s="1" t="str">
        <f>HYPERLINK("http://oraclecloud9.com","oraclecloud9.com")</f>
        <v>oraclecloud9.com</v>
      </c>
      <c r="C26395" t="s">
        <v>433</v>
      </c>
      <c r="F26395">
        <v>4.44380927664388E-9</v>
      </c>
      <c r="G26395">
        <v>79807338</v>
      </c>
      <c r="H26395">
        <v>10352960</v>
      </c>
      <c r="I26395">
        <v>55949784</v>
      </c>
      <c r="J26395">
        <v>2</v>
      </c>
    </row>
    <row r="26396" spans="1:10" x14ac:dyDescent="0.25">
      <c r="A26396" t="s">
        <v>292</v>
      </c>
      <c r="B26396" s="1" t="str">
        <f>HYPERLINK("http://oraclecloudatcustomer.com","oraclecloudatcustomer.com")</f>
        <v>oraclecloudatcustomer.com</v>
      </c>
      <c r="C26396" t="s">
        <v>433</v>
      </c>
      <c r="E26396">
        <v>820850</v>
      </c>
      <c r="F26396">
        <v>4.4439102347972801E-9</v>
      </c>
      <c r="G26396">
        <v>77910934</v>
      </c>
      <c r="H26396">
        <v>10551770</v>
      </c>
      <c r="I26396">
        <v>46645647</v>
      </c>
      <c r="J26396">
        <v>2</v>
      </c>
    </row>
    <row r="26397" spans="1:10" x14ac:dyDescent="0.25">
      <c r="A26397" t="s">
        <v>292</v>
      </c>
      <c r="B26397" s="1" t="str">
        <f>HYPERLINK("http://oraclecorp.com","oraclecorp.com")</f>
        <v>oraclecorp.com</v>
      </c>
      <c r="C26397" t="s">
        <v>433</v>
      </c>
      <c r="E26397">
        <v>32800</v>
      </c>
      <c r="F26397">
        <v>8.1051383897660095E-8</v>
      </c>
      <c r="G26397">
        <v>515056</v>
      </c>
      <c r="H26397">
        <v>14205351</v>
      </c>
      <c r="I26397">
        <v>1712477</v>
      </c>
      <c r="J26397">
        <v>2</v>
      </c>
    </row>
    <row r="26398" spans="1:10" x14ac:dyDescent="0.25">
      <c r="A26398" t="s">
        <v>292</v>
      </c>
      <c r="B26398" s="1" t="str">
        <f>HYPERLINK("http://oracledatacloud.com","oracledatacloud.com")</f>
        <v>oracledatacloud.com</v>
      </c>
      <c r="C26398" t="s">
        <v>433</v>
      </c>
      <c r="F26398">
        <v>9.5013359137134003E-9</v>
      </c>
      <c r="G26398">
        <v>7320985</v>
      </c>
      <c r="H26398">
        <v>12747652</v>
      </c>
      <c r="I26398">
        <v>15064094</v>
      </c>
      <c r="J26398">
        <v>2</v>
      </c>
    </row>
    <row r="26399" spans="1:10" x14ac:dyDescent="0.25">
      <c r="A26399" t="s">
        <v>292</v>
      </c>
      <c r="B26399" s="1" t="str">
        <f>HYPERLINK("http://oracleiaas.com","oracleiaas.com")</f>
        <v>oracleiaas.com</v>
      </c>
      <c r="C26399" t="s">
        <v>433</v>
      </c>
      <c r="E26399">
        <v>56521</v>
      </c>
      <c r="F26399">
        <v>2.8309681067740399E-8</v>
      </c>
      <c r="G26399">
        <v>1817732</v>
      </c>
      <c r="H26399">
        <v>13958959</v>
      </c>
      <c r="I26399">
        <v>4120282</v>
      </c>
      <c r="J26399">
        <v>2</v>
      </c>
    </row>
    <row r="26400" spans="1:10" x14ac:dyDescent="0.25">
      <c r="A26400" t="s">
        <v>292</v>
      </c>
      <c r="B26400" s="1" t="str">
        <f>HYPERLINK("http://oracleindustry.com","oracleindustry.com")</f>
        <v>oracleindustry.com</v>
      </c>
      <c r="C26400" t="s">
        <v>433</v>
      </c>
      <c r="E26400">
        <v>19897</v>
      </c>
      <c r="F26400">
        <v>1.59479284212012E-7</v>
      </c>
      <c r="G26400">
        <v>243410</v>
      </c>
      <c r="H26400">
        <v>13843999</v>
      </c>
      <c r="I26400">
        <v>6064643</v>
      </c>
      <c r="J26400">
        <v>2</v>
      </c>
    </row>
    <row r="26401" spans="1:10" x14ac:dyDescent="0.25">
      <c r="A26401" t="s">
        <v>292</v>
      </c>
      <c r="B26401" s="1" t="str">
        <f>HYPERLINK("http://oracleinternational.com","oracleinternational.com")</f>
        <v>oracleinternational.com</v>
      </c>
      <c r="C26401" t="s">
        <v>433</v>
      </c>
      <c r="F26401">
        <v>6.0382951230088797E-9</v>
      </c>
      <c r="G26401">
        <v>16451085</v>
      </c>
      <c r="H26401">
        <v>13768932</v>
      </c>
      <c r="I26401">
        <v>6837620</v>
      </c>
      <c r="J26401">
        <v>4</v>
      </c>
    </row>
    <row r="26402" spans="1:10" x14ac:dyDescent="0.25">
      <c r="A26402" t="s">
        <v>292</v>
      </c>
      <c r="B26402" s="1" t="str">
        <f>HYPERLINK("http://oracleoutsourcing.com","oracleoutsourcing.com")</f>
        <v>oracleoutsourcing.com</v>
      </c>
      <c r="C26402" t="s">
        <v>433</v>
      </c>
      <c r="E26402">
        <v>39181</v>
      </c>
      <c r="F26402">
        <v>1.25890691241466E-7</v>
      </c>
      <c r="G26402">
        <v>313306</v>
      </c>
      <c r="H26402">
        <v>13896932</v>
      </c>
      <c r="I26402">
        <v>5954344</v>
      </c>
      <c r="J26402">
        <v>2</v>
      </c>
    </row>
    <row r="26403" spans="1:10" x14ac:dyDescent="0.25">
      <c r="A26403" t="s">
        <v>292</v>
      </c>
      <c r="B26403" s="1" t="str">
        <f>HYPERLINK("http://oraclevcn.com","oraclevcn.com")</f>
        <v>oraclevcn.com</v>
      </c>
      <c r="C26403" t="s">
        <v>433</v>
      </c>
      <c r="E26403">
        <v>161276</v>
      </c>
      <c r="F26403">
        <v>2.7514575520879498E-8</v>
      </c>
      <c r="G26403">
        <v>1868509</v>
      </c>
      <c r="H26403">
        <v>13341262</v>
      </c>
      <c r="I26403">
        <v>10668062</v>
      </c>
      <c r="J26403">
        <v>2</v>
      </c>
    </row>
    <row r="26404" spans="1:10" x14ac:dyDescent="0.25">
      <c r="A26404" t="s">
        <v>292</v>
      </c>
      <c r="B26404" s="1" t="str">
        <f>HYPERLINK("http://prosight.com","prosight.com")</f>
        <v>prosight.com</v>
      </c>
      <c r="C26404" t="s">
        <v>433</v>
      </c>
      <c r="F26404">
        <v>4.8535388685311902E-9</v>
      </c>
      <c r="G26404">
        <v>34026555</v>
      </c>
      <c r="H26404">
        <v>12146479</v>
      </c>
      <c r="I26404">
        <v>24713609</v>
      </c>
      <c r="J26404">
        <v>4</v>
      </c>
    </row>
    <row r="26405" spans="1:10" x14ac:dyDescent="0.25">
      <c r="A26405" t="s">
        <v>292</v>
      </c>
      <c r="B26405" s="1" t="str">
        <f>HYPERLINK("http://pxpqa.com","pxpqa.com")</f>
        <v>pxpqa.com</v>
      </c>
      <c r="C26405" t="s">
        <v>433</v>
      </c>
      <c r="F26405">
        <v>5.2656248855986103E-9</v>
      </c>
      <c r="G26405">
        <v>24018345</v>
      </c>
      <c r="H26405">
        <v>12276135</v>
      </c>
      <c r="I26405">
        <v>21388047</v>
      </c>
      <c r="J26405">
        <v>4</v>
      </c>
    </row>
    <row r="26406" spans="1:10" x14ac:dyDescent="0.25">
      <c r="A26406" t="s">
        <v>292</v>
      </c>
      <c r="B26406" s="1" t="str">
        <f>HYPERLINK("http://responsys.com","responsys.com")</f>
        <v>responsys.com</v>
      </c>
      <c r="C26406" t="s">
        <v>433</v>
      </c>
      <c r="E26406">
        <v>122157</v>
      </c>
      <c r="F26406">
        <v>1.82581936663647E-7</v>
      </c>
      <c r="G26406">
        <v>211221</v>
      </c>
      <c r="H26406">
        <v>14041065</v>
      </c>
      <c r="I26406">
        <v>3907668</v>
      </c>
      <c r="J26406">
        <v>2</v>
      </c>
    </row>
    <row r="26407" spans="1:10" x14ac:dyDescent="0.25">
      <c r="A26407" t="s">
        <v>292</v>
      </c>
      <c r="B26407" s="1" t="str">
        <f>HYPERLINK("http://rightnow.com","rightnow.com")</f>
        <v>rightnow.com</v>
      </c>
      <c r="C26407" t="s">
        <v>433</v>
      </c>
      <c r="E26407">
        <v>255731</v>
      </c>
      <c r="F26407">
        <v>2.8090980784592199E-7</v>
      </c>
      <c r="G26407">
        <v>132380</v>
      </c>
      <c r="H26407">
        <v>14604949</v>
      </c>
      <c r="I26407">
        <v>682344</v>
      </c>
      <c r="J26407">
        <v>2</v>
      </c>
    </row>
    <row r="26408" spans="1:10" x14ac:dyDescent="0.25">
      <c r="A26408" t="s">
        <v>292</v>
      </c>
      <c r="B26408" s="1" t="str">
        <f>HYPERLINK("http://sales.com","sales.com")</f>
        <v>sales.com</v>
      </c>
      <c r="C26408" t="s">
        <v>433</v>
      </c>
      <c r="F26408">
        <v>2.77771155420474E-8</v>
      </c>
      <c r="G26408">
        <v>1851302</v>
      </c>
      <c r="H26408">
        <v>13830531</v>
      </c>
      <c r="I26408">
        <v>6109363</v>
      </c>
      <c r="J26408">
        <v>5</v>
      </c>
    </row>
    <row r="26409" spans="1:10" x14ac:dyDescent="0.25">
      <c r="A26409" t="s">
        <v>292</v>
      </c>
      <c r="B26409" s="1" t="str">
        <f>HYPERLINK("http://secerno.com","secerno.com")</f>
        <v>secerno.com</v>
      </c>
      <c r="C26409" t="s">
        <v>433</v>
      </c>
      <c r="F26409">
        <v>1.2543870945606001E-8</v>
      </c>
      <c r="G26409">
        <v>4862541</v>
      </c>
      <c r="H26409">
        <v>13787073</v>
      </c>
      <c r="I26409">
        <v>6378215</v>
      </c>
      <c r="J26409">
        <v>4</v>
      </c>
    </row>
    <row r="26410" spans="1:10" x14ac:dyDescent="0.25">
      <c r="A26410" t="s">
        <v>292</v>
      </c>
      <c r="B26410" s="1" t="str">
        <f>HYPERLINK("http://skire.com","skire.com")</f>
        <v>skire.com</v>
      </c>
      <c r="C26410" t="s">
        <v>433</v>
      </c>
      <c r="F26410">
        <v>2.0508542685971698E-8</v>
      </c>
      <c r="G26410">
        <v>2583431</v>
      </c>
      <c r="H26410">
        <v>13830302</v>
      </c>
      <c r="I26410">
        <v>6110145</v>
      </c>
      <c r="J26410">
        <v>5</v>
      </c>
    </row>
    <row r="26411" spans="1:10" x14ac:dyDescent="0.25">
      <c r="A26411" t="s">
        <v>292</v>
      </c>
      <c r="B26411" s="1" t="str">
        <f>HYPERLINK("http://storebusters.com","storebusters.com")</f>
        <v>storebusters.com</v>
      </c>
      <c r="C26411" t="s">
        <v>433</v>
      </c>
      <c r="F26411">
        <v>4.9299101763137299E-9</v>
      </c>
      <c r="G26411">
        <v>31381702</v>
      </c>
      <c r="H26411">
        <v>10430684</v>
      </c>
      <c r="I26411">
        <v>53384588</v>
      </c>
      <c r="J26411">
        <v>4</v>
      </c>
    </row>
    <row r="26412" spans="1:10" x14ac:dyDescent="0.25">
      <c r="A26412" t="s">
        <v>292</v>
      </c>
      <c r="B26412" s="1" t="str">
        <f>HYPERLINK("http://sun.com","sun.com")</f>
        <v>sun.com</v>
      </c>
      <c r="C26412" t="s">
        <v>433</v>
      </c>
      <c r="E26412">
        <v>877</v>
      </c>
      <c r="F26412">
        <v>1.9877040482130499E-5</v>
      </c>
      <c r="G26412">
        <v>1502</v>
      </c>
      <c r="H26412">
        <v>18534898</v>
      </c>
      <c r="I26412">
        <v>1472</v>
      </c>
      <c r="J26412">
        <v>2</v>
      </c>
    </row>
    <row r="26413" spans="1:10" x14ac:dyDescent="0.25">
      <c r="A26413" t="s">
        <v>292</v>
      </c>
      <c r="B26413" s="1" t="str">
        <f>HYPERLINK("http://taplynx.com","taplynx.com")</f>
        <v>taplynx.com</v>
      </c>
      <c r="C26413" t="s">
        <v>433</v>
      </c>
      <c r="F26413">
        <v>9.8668265172298604E-9</v>
      </c>
      <c r="G26413">
        <v>6895209</v>
      </c>
      <c r="H26413">
        <v>13976570</v>
      </c>
      <c r="I26413">
        <v>4059566</v>
      </c>
      <c r="J26413">
        <v>5</v>
      </c>
    </row>
    <row r="26414" spans="1:10" x14ac:dyDescent="0.25">
      <c r="A26414" t="s">
        <v>292</v>
      </c>
      <c r="B26414" s="1" t="str">
        <f>HYPERLINK("http://testoraclecloudatcust.com","testoraclecloudatcust.com")</f>
        <v>testoraclecloudatcust.com</v>
      </c>
      <c r="C26414" t="s">
        <v>433</v>
      </c>
      <c r="J26414">
        <v>2</v>
      </c>
    </row>
    <row r="26415" spans="1:10" x14ac:dyDescent="0.25">
      <c r="A26415" t="s">
        <v>292</v>
      </c>
      <c r="B26415" s="1" t="str">
        <f>HYPERLINK("http://torex.com","torex.com")</f>
        <v>torex.com</v>
      </c>
      <c r="C26415" t="s">
        <v>433</v>
      </c>
      <c r="E26415">
        <v>108443</v>
      </c>
      <c r="F26415">
        <v>7.4187775055548101E-9</v>
      </c>
      <c r="G26415">
        <v>11200913</v>
      </c>
      <c r="H26415">
        <v>13445749</v>
      </c>
      <c r="I26415">
        <v>10218929</v>
      </c>
      <c r="J26415">
        <v>8</v>
      </c>
    </row>
    <row r="26416" spans="1:10" x14ac:dyDescent="0.25">
      <c r="A26416" t="s">
        <v>292</v>
      </c>
      <c r="B26416" s="1" t="str">
        <f>HYPERLINK("http://venda.com","venda.com")</f>
        <v>venda.com</v>
      </c>
      <c r="C26416" t="s">
        <v>433</v>
      </c>
      <c r="E26416">
        <v>779728</v>
      </c>
      <c r="F26416">
        <v>6.4220352078345805E-8</v>
      </c>
      <c r="G26416">
        <v>674373</v>
      </c>
      <c r="H26416">
        <v>14512088</v>
      </c>
      <c r="I26416">
        <v>819941</v>
      </c>
      <c r="J26416">
        <v>5</v>
      </c>
    </row>
    <row r="26417" spans="1:10" x14ac:dyDescent="0.25">
      <c r="A26417" t="s">
        <v>292</v>
      </c>
      <c r="B26417" s="1" t="str">
        <f>HYPERLINK("http://vultrobjects.com","vultrobjects.com")</f>
        <v>vultrobjects.com</v>
      </c>
      <c r="C26417" t="s">
        <v>433</v>
      </c>
      <c r="E26417">
        <v>88829</v>
      </c>
      <c r="F26417">
        <v>4.5713755564037499E-6</v>
      </c>
      <c r="G26417">
        <v>7699</v>
      </c>
      <c r="H26417">
        <v>18379274</v>
      </c>
      <c r="I26417">
        <v>2059</v>
      </c>
      <c r="J26417">
        <v>4</v>
      </c>
    </row>
    <row r="26418" spans="1:10" x14ac:dyDescent="0.25">
      <c r="A26418" t="s">
        <v>292</v>
      </c>
      <c r="B26418" s="1" t="str">
        <f>HYPERLINK("http://wasabisys.com","wasabisys.com")</f>
        <v>wasabisys.com</v>
      </c>
      <c r="C26418" t="s">
        <v>433</v>
      </c>
      <c r="E26418">
        <v>5600</v>
      </c>
      <c r="F26418">
        <v>8.6476669629964492E-6</v>
      </c>
      <c r="G26418">
        <v>3899</v>
      </c>
      <c r="H26418">
        <v>18635602</v>
      </c>
      <c r="I26418">
        <v>1187</v>
      </c>
      <c r="J26418">
        <v>4</v>
      </c>
    </row>
    <row r="26419" spans="1:10" x14ac:dyDescent="0.25">
      <c r="A26419" t="s">
        <v>292</v>
      </c>
      <c r="B26419" s="1" t="str">
        <f>HYPERLINK("http://wercker.com","wercker.com")</f>
        <v>wercker.com</v>
      </c>
      <c r="C26419" t="s">
        <v>433</v>
      </c>
      <c r="E26419">
        <v>532925</v>
      </c>
      <c r="F26419">
        <v>9.1439698757226399E-7</v>
      </c>
      <c r="G26419">
        <v>42409</v>
      </c>
      <c r="H26419">
        <v>17192052</v>
      </c>
      <c r="I26419">
        <v>43255</v>
      </c>
      <c r="J26419">
        <v>3</v>
      </c>
    </row>
    <row r="26420" spans="1:10" x14ac:dyDescent="0.25">
      <c r="A26420" t="s">
        <v>292</v>
      </c>
      <c r="B26420" s="1" t="str">
        <f>HYPERLINK("http://xgraph.com","xgraph.com")</f>
        <v>xgraph.com</v>
      </c>
      <c r="C26420" t="s">
        <v>433</v>
      </c>
      <c r="F26420">
        <v>1.5509098763777399E-7</v>
      </c>
      <c r="G26420">
        <v>250395</v>
      </c>
      <c r="H26420">
        <v>16922228</v>
      </c>
      <c r="I26420">
        <v>129210</v>
      </c>
      <c r="J26420">
        <v>6</v>
      </c>
    </row>
    <row r="26421" spans="1:10" x14ac:dyDescent="0.25">
      <c r="A26421" t="s">
        <v>292</v>
      </c>
      <c r="B26421" s="1" t="str">
        <f>HYPERLINK("http://cerner.de","cerner.de")</f>
        <v>cerner.de</v>
      </c>
      <c r="C26421" t="s">
        <v>436</v>
      </c>
      <c r="D26421" t="s">
        <v>815</v>
      </c>
      <c r="F26421">
        <v>2.8624156011985499E-8</v>
      </c>
      <c r="G26421">
        <v>1797722</v>
      </c>
      <c r="H26421">
        <v>14071867</v>
      </c>
      <c r="I26421">
        <v>3269348</v>
      </c>
      <c r="J26421">
        <v>4</v>
      </c>
    </row>
    <row r="26422" spans="1:10" x14ac:dyDescent="0.25">
      <c r="A26422" t="s">
        <v>292</v>
      </c>
      <c r="B26422" s="1" t="str">
        <f>HYPERLINK("http://innotek.de","innotek.de")</f>
        <v>innotek.de</v>
      </c>
      <c r="C26422" t="s">
        <v>436</v>
      </c>
      <c r="D26422" t="s">
        <v>815</v>
      </c>
      <c r="F26422">
        <v>8.8113753478737604E-8</v>
      </c>
      <c r="G26422">
        <v>465085</v>
      </c>
      <c r="H26422">
        <v>17054482</v>
      </c>
      <c r="I26422">
        <v>75389</v>
      </c>
      <c r="J26422">
        <v>4</v>
      </c>
    </row>
    <row r="26423" spans="1:10" x14ac:dyDescent="0.25">
      <c r="A26423" t="s">
        <v>292</v>
      </c>
      <c r="B26423" s="1" t="str">
        <f>HYPERLINK("http://legislator.de","legislator.de")</f>
        <v>legislator.de</v>
      </c>
      <c r="C26423" t="s">
        <v>436</v>
      </c>
      <c r="D26423" t="s">
        <v>815</v>
      </c>
      <c r="J26423">
        <v>5</v>
      </c>
    </row>
    <row r="26424" spans="1:10" x14ac:dyDescent="0.25">
      <c r="A26424" t="s">
        <v>292</v>
      </c>
      <c r="B26424" s="1" t="str">
        <f>HYPERLINK("http://netsuite.de","netsuite.de")</f>
        <v>netsuite.de</v>
      </c>
      <c r="C26424" t="s">
        <v>436</v>
      </c>
      <c r="D26424" t="s">
        <v>815</v>
      </c>
      <c r="F26424">
        <v>2.5245945078164801E-8</v>
      </c>
      <c r="G26424">
        <v>2044429</v>
      </c>
      <c r="H26424">
        <v>13356895</v>
      </c>
      <c r="I26424">
        <v>10595763</v>
      </c>
      <c r="J26424">
        <v>3</v>
      </c>
    </row>
    <row r="26425" spans="1:10" x14ac:dyDescent="0.25">
      <c r="A26425" t="s">
        <v>292</v>
      </c>
      <c r="B26425" s="1" t="str">
        <f>HYPERLINK("http://netsuite.eu","netsuite.eu")</f>
        <v>netsuite.eu</v>
      </c>
      <c r="C26425" t="s">
        <v>444</v>
      </c>
      <c r="F26425">
        <v>1.3072855741767E-8</v>
      </c>
      <c r="G26425">
        <v>4596500</v>
      </c>
      <c r="H26425">
        <v>12614417</v>
      </c>
      <c r="I26425">
        <v>16147959</v>
      </c>
      <c r="J26425">
        <v>3</v>
      </c>
    </row>
    <row r="26426" spans="1:10" x14ac:dyDescent="0.25">
      <c r="A26426" t="s">
        <v>292</v>
      </c>
      <c r="B26426" s="1" t="str">
        <f>HYPERLINK("http://bea.fi","bea.fi")</f>
        <v>bea.fi</v>
      </c>
      <c r="C26426" t="s">
        <v>445</v>
      </c>
      <c r="D26426" t="s">
        <v>823</v>
      </c>
      <c r="J26426">
        <v>4</v>
      </c>
    </row>
    <row r="26427" spans="1:10" x14ac:dyDescent="0.25">
      <c r="A26427" t="s">
        <v>292</v>
      </c>
      <c r="B26427" s="1" t="str">
        <f>HYPERLINK("http://beasys.fi","beasys.fi")</f>
        <v>beasys.fi</v>
      </c>
      <c r="C26427" t="s">
        <v>445</v>
      </c>
      <c r="D26427" t="s">
        <v>823</v>
      </c>
      <c r="J26427">
        <v>4</v>
      </c>
    </row>
    <row r="26428" spans="1:10" x14ac:dyDescent="0.25">
      <c r="A26428" t="s">
        <v>292</v>
      </c>
      <c r="B26428" s="1" t="str">
        <f>HYPERLINK("http://beasystems.fi","beasystems.fi")</f>
        <v>beasystems.fi</v>
      </c>
      <c r="C26428" t="s">
        <v>445</v>
      </c>
      <c r="D26428" t="s">
        <v>823</v>
      </c>
      <c r="J26428">
        <v>4</v>
      </c>
    </row>
    <row r="26429" spans="1:10" x14ac:dyDescent="0.25">
      <c r="A26429" t="s">
        <v>292</v>
      </c>
      <c r="B26429" s="1" t="str">
        <f>HYPERLINK("http://business-intelligence.fi","business-intelligence.fi")</f>
        <v>business-intelligence.fi</v>
      </c>
      <c r="C26429" t="s">
        <v>445</v>
      </c>
      <c r="D26429" t="s">
        <v>823</v>
      </c>
      <c r="J26429">
        <v>4</v>
      </c>
    </row>
    <row r="26430" spans="1:10" x14ac:dyDescent="0.25">
      <c r="A26430" t="s">
        <v>292</v>
      </c>
      <c r="B26430" s="1" t="str">
        <f>HYPERLINK("http://cerner.fi","cerner.fi")</f>
        <v>cerner.fi</v>
      </c>
      <c r="C26430" t="s">
        <v>445</v>
      </c>
      <c r="D26430" t="s">
        <v>823</v>
      </c>
      <c r="J26430">
        <v>4</v>
      </c>
    </row>
    <row r="26431" spans="1:10" x14ac:dyDescent="0.25">
      <c r="A26431" t="s">
        <v>292</v>
      </c>
      <c r="B26431" s="1" t="str">
        <f>HYPERLINK("http://cernerenviza.fi","cernerenviza.fi")</f>
        <v>cernerenviza.fi</v>
      </c>
      <c r="C26431" t="s">
        <v>445</v>
      </c>
      <c r="D26431" t="s">
        <v>823</v>
      </c>
      <c r="J26431">
        <v>4</v>
      </c>
    </row>
    <row r="26432" spans="1:10" x14ac:dyDescent="0.25">
      <c r="A26432" t="s">
        <v>292</v>
      </c>
      <c r="B26432" s="1" t="str">
        <f>HYPERLINK("http://collabsuite.fi","collabsuite.fi")</f>
        <v>collabsuite.fi</v>
      </c>
      <c r="C26432" t="s">
        <v>445</v>
      </c>
      <c r="D26432" t="s">
        <v>823</v>
      </c>
      <c r="J26432">
        <v>4</v>
      </c>
    </row>
    <row r="26433" spans="1:10" x14ac:dyDescent="0.25">
      <c r="A26433" t="s">
        <v>292</v>
      </c>
      <c r="B26433" s="1" t="str">
        <f>HYPERLINK("http://crmondemand.fi","crmondemand.fi")</f>
        <v>crmondemand.fi</v>
      </c>
      <c r="C26433" t="s">
        <v>445</v>
      </c>
      <c r="D26433" t="s">
        <v>823</v>
      </c>
      <c r="J26433">
        <v>4</v>
      </c>
    </row>
    <row r="26434" spans="1:10" x14ac:dyDescent="0.25">
      <c r="A26434" t="s">
        <v>292</v>
      </c>
      <c r="B26434" s="1" t="str">
        <f>HYPERLINK("http://enviza.fi","enviza.fi")</f>
        <v>enviza.fi</v>
      </c>
      <c r="C26434" t="s">
        <v>445</v>
      </c>
      <c r="D26434" t="s">
        <v>823</v>
      </c>
      <c r="J26434">
        <v>4</v>
      </c>
    </row>
    <row r="26435" spans="1:10" x14ac:dyDescent="0.25">
      <c r="A26435" t="s">
        <v>292</v>
      </c>
      <c r="B26435" s="1" t="str">
        <f>HYPERLINK("http://fidelio.fi","fidelio.fi")</f>
        <v>fidelio.fi</v>
      </c>
      <c r="C26435" t="s">
        <v>445</v>
      </c>
      <c r="D26435" t="s">
        <v>823</v>
      </c>
      <c r="J26435">
        <v>4</v>
      </c>
    </row>
    <row r="26436" spans="1:10" x14ac:dyDescent="0.25">
      <c r="A26436" t="s">
        <v>292</v>
      </c>
      <c r="B26436" s="1" t="str">
        <f>HYPERLINK("http://hotelsoftware24.fi","hotelsoftware24.fi")</f>
        <v>hotelsoftware24.fi</v>
      </c>
      <c r="C26436" t="s">
        <v>445</v>
      </c>
      <c r="D26436" t="s">
        <v>823</v>
      </c>
      <c r="J26436">
        <v>4</v>
      </c>
    </row>
    <row r="26437" spans="1:10" x14ac:dyDescent="0.25">
      <c r="A26437" t="s">
        <v>292</v>
      </c>
      <c r="B26437" s="1" t="str">
        <f>HYPERLINK("http://jdedwards.fi","jdedwards.fi")</f>
        <v>jdedwards.fi</v>
      </c>
      <c r="C26437" t="s">
        <v>445</v>
      </c>
      <c r="D26437" t="s">
        <v>823</v>
      </c>
      <c r="J26437">
        <v>4</v>
      </c>
    </row>
    <row r="26438" spans="1:10" x14ac:dyDescent="0.25">
      <c r="A26438" t="s">
        <v>292</v>
      </c>
      <c r="B26438" s="1" t="str">
        <f>HYPERLINK("http://micros.fi","micros.fi")</f>
        <v>micros.fi</v>
      </c>
      <c r="C26438" t="s">
        <v>445</v>
      </c>
      <c r="D26438" t="s">
        <v>823</v>
      </c>
      <c r="F26438">
        <v>4.5071478918375003E-9</v>
      </c>
      <c r="G26438">
        <v>57905928</v>
      </c>
      <c r="H26438">
        <v>9841044</v>
      </c>
      <c r="I26438">
        <v>62245085</v>
      </c>
      <c r="J26438">
        <v>4</v>
      </c>
    </row>
    <row r="26439" spans="1:10" x14ac:dyDescent="0.25">
      <c r="A26439" t="s">
        <v>292</v>
      </c>
      <c r="B26439" s="1" t="str">
        <f>HYPERLINK("http://micros-fidelio.fi","micros-fidelio.fi")</f>
        <v>micros-fidelio.fi</v>
      </c>
      <c r="C26439" t="s">
        <v>445</v>
      </c>
      <c r="D26439" t="s">
        <v>823</v>
      </c>
      <c r="F26439">
        <v>4.49624598061635E-9</v>
      </c>
      <c r="G26439">
        <v>59509277</v>
      </c>
      <c r="H26439">
        <v>9605698</v>
      </c>
      <c r="I26439">
        <v>64344399</v>
      </c>
      <c r="J26439">
        <v>4</v>
      </c>
    </row>
    <row r="26440" spans="1:10" x14ac:dyDescent="0.25">
      <c r="A26440" t="s">
        <v>292</v>
      </c>
      <c r="B26440" s="1" t="str">
        <f>HYPERLINK("http://micros-retail.fi","micros-retail.fi")</f>
        <v>micros-retail.fi</v>
      </c>
      <c r="C26440" t="s">
        <v>445</v>
      </c>
      <c r="D26440" t="s">
        <v>823</v>
      </c>
      <c r="J26440">
        <v>4</v>
      </c>
    </row>
    <row r="26441" spans="1:10" x14ac:dyDescent="0.25">
      <c r="A26441" t="s">
        <v>292</v>
      </c>
      <c r="B26441" s="1" t="str">
        <f>HYPERLINK("http://micros-systems.fi","micros-systems.fi")</f>
        <v>micros-systems.fi</v>
      </c>
      <c r="C26441" t="s">
        <v>445</v>
      </c>
      <c r="D26441" t="s">
        <v>823</v>
      </c>
      <c r="J26441">
        <v>4</v>
      </c>
    </row>
    <row r="26442" spans="1:10" x14ac:dyDescent="0.25">
      <c r="A26442" t="s">
        <v>292</v>
      </c>
      <c r="B26442" s="1" t="str">
        <f>HYPERLINK("http://microsfidelio.fi","microsfidelio.fi")</f>
        <v>microsfidelio.fi</v>
      </c>
      <c r="C26442" t="s">
        <v>445</v>
      </c>
      <c r="D26442" t="s">
        <v>823</v>
      </c>
      <c r="J26442">
        <v>4</v>
      </c>
    </row>
    <row r="26443" spans="1:10" x14ac:dyDescent="0.25">
      <c r="A26443" t="s">
        <v>292</v>
      </c>
      <c r="B26443" s="1" t="str">
        <f>HYPERLINK("http://microsretail.fi","microsretail.fi")</f>
        <v>microsretail.fi</v>
      </c>
      <c r="C26443" t="s">
        <v>445</v>
      </c>
      <c r="D26443" t="s">
        <v>823</v>
      </c>
      <c r="J26443">
        <v>4</v>
      </c>
    </row>
    <row r="26444" spans="1:10" x14ac:dyDescent="0.25">
      <c r="A26444" t="s">
        <v>292</v>
      </c>
      <c r="B26444" s="1" t="str">
        <f>HYPERLINK("http://microssystems.fi","microssystems.fi")</f>
        <v>microssystems.fi</v>
      </c>
      <c r="C26444" t="s">
        <v>445</v>
      </c>
      <c r="D26444" t="s">
        <v>823</v>
      </c>
      <c r="J26444">
        <v>4</v>
      </c>
    </row>
    <row r="26445" spans="1:10" x14ac:dyDescent="0.25">
      <c r="A26445" t="s">
        <v>292</v>
      </c>
      <c r="B26445" s="1" t="str">
        <f>HYPERLINK("http://myfidelio.fi","myfidelio.fi")</f>
        <v>myfidelio.fi</v>
      </c>
      <c r="C26445" t="s">
        <v>445</v>
      </c>
      <c r="D26445" t="s">
        <v>823</v>
      </c>
      <c r="J26445">
        <v>4</v>
      </c>
    </row>
    <row r="26446" spans="1:10" x14ac:dyDescent="0.25">
      <c r="A26446" t="s">
        <v>292</v>
      </c>
      <c r="B26446" s="1" t="str">
        <f>HYPERLINK("http://mysql.fi","mysql.fi")</f>
        <v>mysql.fi</v>
      </c>
      <c r="C26446" t="s">
        <v>445</v>
      </c>
      <c r="D26446" t="s">
        <v>823</v>
      </c>
      <c r="J26446">
        <v>4</v>
      </c>
    </row>
    <row r="26447" spans="1:10" x14ac:dyDescent="0.25">
      <c r="A26447" t="s">
        <v>292</v>
      </c>
      <c r="B26447" s="1" t="str">
        <f>HYPERLINK("http://netsuite.fi","netsuite.fi")</f>
        <v>netsuite.fi</v>
      </c>
      <c r="C26447" t="s">
        <v>445</v>
      </c>
      <c r="D26447" t="s">
        <v>823</v>
      </c>
      <c r="J26447">
        <v>4</v>
      </c>
    </row>
    <row r="26448" spans="1:10" x14ac:dyDescent="0.25">
      <c r="A26448" t="s">
        <v>292</v>
      </c>
      <c r="B26448" s="1" t="str">
        <f>HYPERLINK("http://ondemandcrm.fi","ondemandcrm.fi")</f>
        <v>ondemandcrm.fi</v>
      </c>
      <c r="C26448" t="s">
        <v>445</v>
      </c>
      <c r="D26448" t="s">
        <v>823</v>
      </c>
      <c r="J26448">
        <v>4</v>
      </c>
    </row>
    <row r="26449" spans="1:10" x14ac:dyDescent="0.25">
      <c r="A26449" t="s">
        <v>292</v>
      </c>
      <c r="B26449" s="1" t="str">
        <f>HYPERLINK("http://oracle.fi","oracle.fi")</f>
        <v>oracle.fi</v>
      </c>
      <c r="C26449" t="s">
        <v>445</v>
      </c>
      <c r="D26449" t="s">
        <v>823</v>
      </c>
      <c r="F26449">
        <v>4.4461855635114504E-9</v>
      </c>
      <c r="G26449">
        <v>74533993</v>
      </c>
      <c r="H26449">
        <v>1.0003663</v>
      </c>
      <c r="I26449">
        <v>79365951</v>
      </c>
      <c r="J26449">
        <v>4</v>
      </c>
    </row>
    <row r="26450" spans="1:10" x14ac:dyDescent="0.25">
      <c r="A26450" t="s">
        <v>292</v>
      </c>
      <c r="B26450" s="1" t="str">
        <f>HYPERLINK("http://planning.fi","planning.fi")</f>
        <v>planning.fi</v>
      </c>
      <c r="C26450" t="s">
        <v>445</v>
      </c>
      <c r="D26450" t="s">
        <v>823</v>
      </c>
      <c r="J26450">
        <v>4</v>
      </c>
    </row>
    <row r="26451" spans="1:10" x14ac:dyDescent="0.25">
      <c r="A26451" t="s">
        <v>292</v>
      </c>
      <c r="B26451" s="1" t="str">
        <f>HYPERLINK("http://siebel.fi","siebel.fi")</f>
        <v>siebel.fi</v>
      </c>
      <c r="C26451" t="s">
        <v>445</v>
      </c>
      <c r="D26451" t="s">
        <v>823</v>
      </c>
      <c r="J26451">
        <v>4</v>
      </c>
    </row>
    <row r="26452" spans="1:10" x14ac:dyDescent="0.25">
      <c r="A26452" t="s">
        <v>292</v>
      </c>
      <c r="B26452" s="1" t="str">
        <f>HYPERLINK("http://siebelsystems.fi","siebelsystems.fi")</f>
        <v>siebelsystems.fi</v>
      </c>
      <c r="C26452" t="s">
        <v>445</v>
      </c>
      <c r="D26452" t="s">
        <v>823</v>
      </c>
      <c r="J26452">
        <v>4</v>
      </c>
    </row>
    <row r="26453" spans="1:10" x14ac:dyDescent="0.25">
      <c r="A26453" t="s">
        <v>292</v>
      </c>
      <c r="B26453" s="1" t="str">
        <f>HYPERLINK("http://tribehr.fi","tribehr.fi")</f>
        <v>tribehr.fi</v>
      </c>
      <c r="C26453" t="s">
        <v>445</v>
      </c>
      <c r="D26453" t="s">
        <v>823</v>
      </c>
      <c r="J26453">
        <v>4</v>
      </c>
    </row>
    <row r="26454" spans="1:10" x14ac:dyDescent="0.25">
      <c r="A26454" t="s">
        <v>292</v>
      </c>
      <c r="B26454" s="1" t="str">
        <f>HYPERLINK("http://tuxedo.fi","tuxedo.fi")</f>
        <v>tuxedo.fi</v>
      </c>
      <c r="C26454" t="s">
        <v>445</v>
      </c>
      <c r="D26454" t="s">
        <v>823</v>
      </c>
      <c r="J26454">
        <v>4</v>
      </c>
    </row>
    <row r="26455" spans="1:10" x14ac:dyDescent="0.25">
      <c r="A26455" t="s">
        <v>292</v>
      </c>
      <c r="B26455" s="1" t="str">
        <f>HYPERLINK("http://weblogic.fi","weblogic.fi")</f>
        <v>weblogic.fi</v>
      </c>
      <c r="C26455" t="s">
        <v>445</v>
      </c>
      <c r="D26455" t="s">
        <v>823</v>
      </c>
      <c r="J26455">
        <v>4</v>
      </c>
    </row>
    <row r="26456" spans="1:10" x14ac:dyDescent="0.25">
      <c r="A26456" t="s">
        <v>292</v>
      </c>
      <c r="B26456" s="1" t="str">
        <f>HYPERLINK("http://netsuite.com.hk","netsuite.com.hk")</f>
        <v>netsuite.com.hk</v>
      </c>
      <c r="C26456" t="s">
        <v>450</v>
      </c>
      <c r="D26456" t="s">
        <v>827</v>
      </c>
      <c r="F26456">
        <v>9.3136790606333896E-9</v>
      </c>
      <c r="G26456">
        <v>7554731</v>
      </c>
      <c r="H26456">
        <v>12912431</v>
      </c>
      <c r="I26456">
        <v>13534548</v>
      </c>
      <c r="J26456">
        <v>3</v>
      </c>
    </row>
    <row r="26457" spans="1:10" x14ac:dyDescent="0.25">
      <c r="A26457" t="s">
        <v>292</v>
      </c>
      <c r="B26457" s="1" t="str">
        <f>HYPERLINK("http://cerner.ie","cerner.ie")</f>
        <v>cerner.ie</v>
      </c>
      <c r="C26457" t="s">
        <v>455</v>
      </c>
      <c r="D26457" t="s">
        <v>832</v>
      </c>
      <c r="F26457">
        <v>5.7416370764416004E-9</v>
      </c>
      <c r="G26457">
        <v>18566408</v>
      </c>
      <c r="H26457">
        <v>12267206</v>
      </c>
      <c r="I26457">
        <v>21589638</v>
      </c>
      <c r="J26457">
        <v>4</v>
      </c>
    </row>
    <row r="26458" spans="1:10" x14ac:dyDescent="0.25">
      <c r="A26458" t="s">
        <v>292</v>
      </c>
      <c r="B26458" s="1" t="str">
        <f>HYPERLINK("http://infinitycloud.io","infinitycloud.io")</f>
        <v>infinitycloud.io</v>
      </c>
      <c r="C26458" t="s">
        <v>518</v>
      </c>
      <c r="F26458">
        <v>4.9207892584295202E-9</v>
      </c>
      <c r="G26458">
        <v>31663853</v>
      </c>
      <c r="H26458">
        <v>10512822</v>
      </c>
      <c r="I26458">
        <v>49381304</v>
      </c>
      <c r="J26458">
        <v>2</v>
      </c>
    </row>
    <row r="26459" spans="1:10" x14ac:dyDescent="0.25">
      <c r="A26459" t="s">
        <v>292</v>
      </c>
      <c r="B26459" s="1" t="str">
        <f>HYPERLINK("http://push.io","push.io")</f>
        <v>push.io</v>
      </c>
      <c r="C26459" t="s">
        <v>518</v>
      </c>
      <c r="E26459">
        <v>681729</v>
      </c>
      <c r="F26459">
        <v>3.6323736888387303E-8</v>
      </c>
      <c r="G26459">
        <v>1436393</v>
      </c>
      <c r="H26459">
        <v>14284411</v>
      </c>
      <c r="I26459">
        <v>1373549</v>
      </c>
      <c r="J26459">
        <v>5</v>
      </c>
    </row>
    <row r="26460" spans="1:10" x14ac:dyDescent="0.25">
      <c r="A26460" t="s">
        <v>292</v>
      </c>
      <c r="B26460" s="1" t="str">
        <f>HYPERLINK("http://netsuite.co.jp","netsuite.co.jp")</f>
        <v>netsuite.co.jp</v>
      </c>
      <c r="C26460" t="s">
        <v>461</v>
      </c>
      <c r="D26460" t="s">
        <v>837</v>
      </c>
      <c r="F26460">
        <v>4.6263535297054399E-8</v>
      </c>
      <c r="G26460">
        <v>1012223</v>
      </c>
      <c r="H26460">
        <v>13833239</v>
      </c>
      <c r="I26460">
        <v>6099471</v>
      </c>
      <c r="J26460">
        <v>3</v>
      </c>
    </row>
    <row r="26461" spans="1:10" x14ac:dyDescent="0.25">
      <c r="A26461" t="s">
        <v>292</v>
      </c>
      <c r="B26461" s="1" t="str">
        <f>HYPERLINK("http://oracle.co.jp","oracle.co.jp")</f>
        <v>oracle.co.jp</v>
      </c>
      <c r="C26461" t="s">
        <v>461</v>
      </c>
      <c r="D26461" t="s">
        <v>837</v>
      </c>
      <c r="E26461">
        <v>455024</v>
      </c>
      <c r="F26461">
        <v>1.75366206426346E-7</v>
      </c>
      <c r="G26461">
        <v>221131</v>
      </c>
      <c r="H26461">
        <v>17032006</v>
      </c>
      <c r="I26461">
        <v>82842</v>
      </c>
      <c r="J26461">
        <v>2</v>
      </c>
    </row>
    <row r="26462" spans="1:10" x14ac:dyDescent="0.25">
      <c r="A26462" t="s">
        <v>292</v>
      </c>
      <c r="B26462" s="1" t="str">
        <f>HYPERLINK("http://sleep.me","sleep.me")</f>
        <v>sleep.me</v>
      </c>
      <c r="C26462" t="s">
        <v>470</v>
      </c>
      <c r="D26462" t="s">
        <v>846</v>
      </c>
      <c r="E26462">
        <v>143074</v>
      </c>
      <c r="F26462">
        <v>2.1941095161115501E-7</v>
      </c>
      <c r="G26462">
        <v>171826</v>
      </c>
      <c r="H26462">
        <v>13878743</v>
      </c>
      <c r="I26462">
        <v>5985645</v>
      </c>
      <c r="J26462">
        <v>5</v>
      </c>
    </row>
    <row r="26463" spans="1:10" x14ac:dyDescent="0.25">
      <c r="A26463" t="s">
        <v>292</v>
      </c>
      <c r="B26463" s="1" t="str">
        <f>HYPERLINK("http://oracle.mobi","oracle.mobi")</f>
        <v>oracle.mobi</v>
      </c>
      <c r="C26463" t="s">
        <v>532</v>
      </c>
      <c r="F26463">
        <v>2.89696644367137E-8</v>
      </c>
      <c r="G26463">
        <v>1777276</v>
      </c>
      <c r="H26463">
        <v>13801115</v>
      </c>
      <c r="I26463">
        <v>6275831</v>
      </c>
      <c r="J26463">
        <v>2</v>
      </c>
    </row>
    <row r="26464" spans="1:10" x14ac:dyDescent="0.25">
      <c r="A26464" t="s">
        <v>292</v>
      </c>
      <c r="B26464" s="1" t="str">
        <f>HYPERLINK("http://netsuite.com.mx","netsuite.com.mx")</f>
        <v>netsuite.com.mx</v>
      </c>
      <c r="C26464" t="s">
        <v>471</v>
      </c>
      <c r="D26464" t="s">
        <v>847</v>
      </c>
      <c r="F26464">
        <v>7.5257088736784699E-9</v>
      </c>
      <c r="G26464">
        <v>10956943</v>
      </c>
      <c r="H26464">
        <v>12326096</v>
      </c>
      <c r="I26464">
        <v>20307480</v>
      </c>
      <c r="J26464">
        <v>3</v>
      </c>
    </row>
    <row r="26465" spans="1:10" x14ac:dyDescent="0.25">
      <c r="A26465" t="s">
        <v>292</v>
      </c>
      <c r="B26465" s="1" t="str">
        <f>HYPERLINK("http://myicard.net","myicard.net")</f>
        <v>myicard.net</v>
      </c>
      <c r="C26465" t="s">
        <v>474</v>
      </c>
      <c r="E26465">
        <v>753443</v>
      </c>
      <c r="F26465">
        <v>3.7119068681282097E-8</v>
      </c>
      <c r="G26465">
        <v>1395970</v>
      </c>
      <c r="H26465">
        <v>13364612</v>
      </c>
      <c r="I26465">
        <v>10490903</v>
      </c>
      <c r="J26465">
        <v>2</v>
      </c>
    </row>
    <row r="26466" spans="1:10" x14ac:dyDescent="0.25">
      <c r="A26466" t="s">
        <v>292</v>
      </c>
      <c r="B26466" s="1" t="str">
        <f>HYPERLINK("http://mymicros.net","mymicros.net")</f>
        <v>mymicros.net</v>
      </c>
      <c r="C26466" t="s">
        <v>474</v>
      </c>
      <c r="E26466">
        <v>217052</v>
      </c>
      <c r="F26466">
        <v>6.8933220916382498E-9</v>
      </c>
      <c r="G26466">
        <v>12655395</v>
      </c>
      <c r="H26466">
        <v>12587617</v>
      </c>
      <c r="I26466">
        <v>16436980</v>
      </c>
      <c r="J26466">
        <v>2</v>
      </c>
    </row>
    <row r="26467" spans="1:10" x14ac:dyDescent="0.25">
      <c r="A26467" t="s">
        <v>292</v>
      </c>
      <c r="B26467" s="1" t="str">
        <f>HYPERLINK("http://mymicrosap.net","mymicrosap.net")</f>
        <v>mymicrosap.net</v>
      </c>
      <c r="C26467" t="s">
        <v>474</v>
      </c>
      <c r="J26467">
        <v>2</v>
      </c>
    </row>
    <row r="26468" spans="1:10" x14ac:dyDescent="0.25">
      <c r="A26468" t="s">
        <v>292</v>
      </c>
      <c r="B26468" s="1" t="str">
        <f>HYPERLINK("http://responsys.net","responsys.net")</f>
        <v>responsys.net</v>
      </c>
      <c r="C26468" t="s">
        <v>474</v>
      </c>
      <c r="E26468">
        <v>6041</v>
      </c>
      <c r="F26468">
        <v>1.8251581848115301E-7</v>
      </c>
      <c r="G26468">
        <v>211305</v>
      </c>
      <c r="H26468">
        <v>14189294</v>
      </c>
      <c r="I26468">
        <v>1762756</v>
      </c>
      <c r="J26468">
        <v>2</v>
      </c>
    </row>
    <row r="26469" spans="1:10" x14ac:dyDescent="0.25">
      <c r="A26469" t="s">
        <v>292</v>
      </c>
      <c r="B26469" s="1" t="str">
        <f>HYPERLINK("http://simphony.net","simphony.net")</f>
        <v>simphony.net</v>
      </c>
      <c r="C26469" t="s">
        <v>474</v>
      </c>
      <c r="E26469">
        <v>792447</v>
      </c>
      <c r="F26469">
        <v>4.44381528729582E-9</v>
      </c>
      <c r="G26469">
        <v>79423215</v>
      </c>
      <c r="H26469">
        <v>10358497</v>
      </c>
      <c r="I26469">
        <v>55410135</v>
      </c>
      <c r="J26469">
        <v>2</v>
      </c>
    </row>
    <row r="26470" spans="1:10" x14ac:dyDescent="0.25">
      <c r="A26470" t="s">
        <v>292</v>
      </c>
      <c r="B26470" s="1" t="str">
        <f>HYPERLINK("http://taleo.net","taleo.net")</f>
        <v>taleo.net</v>
      </c>
      <c r="C26470" t="s">
        <v>474</v>
      </c>
      <c r="E26470">
        <v>2876</v>
      </c>
      <c r="F26470">
        <v>9.5583585434040092E-6</v>
      </c>
      <c r="G26470">
        <v>3529</v>
      </c>
      <c r="H26470">
        <v>18061900</v>
      </c>
      <c r="I26470">
        <v>3323</v>
      </c>
      <c r="J26470">
        <v>2</v>
      </c>
    </row>
    <row r="26471" spans="1:10" x14ac:dyDescent="0.25">
      <c r="A26471" t="s">
        <v>292</v>
      </c>
      <c r="B26471" s="1" t="str">
        <f>HYPERLINK("http://oracle.ninja","oracle.ninja")</f>
        <v>oracle.ninja</v>
      </c>
      <c r="C26471" t="s">
        <v>777</v>
      </c>
      <c r="F26471">
        <v>2.0267745281971602E-8</v>
      </c>
      <c r="G26471">
        <v>2618921</v>
      </c>
      <c r="H26471">
        <v>13958205</v>
      </c>
      <c r="I26471">
        <v>4123448</v>
      </c>
      <c r="J26471">
        <v>2</v>
      </c>
    </row>
    <row r="26472" spans="1:10" x14ac:dyDescent="0.25">
      <c r="A26472" t="s">
        <v>292</v>
      </c>
      <c r="B26472" s="1" t="str">
        <f>HYPERLINK("http://netsuite.nl","netsuite.nl")</f>
        <v>netsuite.nl</v>
      </c>
      <c r="C26472" t="s">
        <v>477</v>
      </c>
      <c r="D26472" t="s">
        <v>852</v>
      </c>
      <c r="F26472">
        <v>3.2723234231315999E-8</v>
      </c>
      <c r="G26472">
        <v>1578719</v>
      </c>
      <c r="H26472">
        <v>13421635</v>
      </c>
      <c r="I26472">
        <v>10302101</v>
      </c>
      <c r="J26472">
        <v>3</v>
      </c>
    </row>
    <row r="26473" spans="1:10" x14ac:dyDescent="0.25">
      <c r="A26473" t="s">
        <v>292</v>
      </c>
      <c r="B26473" s="1" t="str">
        <f>HYPERLINK("http://cerner.se","cerner.se")</f>
        <v>cerner.se</v>
      </c>
      <c r="C26473" t="s">
        <v>495</v>
      </c>
      <c r="D26473" t="s">
        <v>869</v>
      </c>
      <c r="F26473">
        <v>6.3233429805015496E-9</v>
      </c>
      <c r="G26473">
        <v>14921853</v>
      </c>
      <c r="H26473">
        <v>12267225</v>
      </c>
      <c r="I26473">
        <v>21589310</v>
      </c>
      <c r="J26473">
        <v>4</v>
      </c>
    </row>
    <row r="26474" spans="1:10" x14ac:dyDescent="0.25">
      <c r="A26474" t="s">
        <v>292</v>
      </c>
      <c r="B26474" s="1" t="str">
        <f>HYPERLINK("http://netsuite.com.sg","netsuite.com.sg")</f>
        <v>netsuite.com.sg</v>
      </c>
      <c r="C26474" t="s">
        <v>496</v>
      </c>
      <c r="D26474" t="s">
        <v>870</v>
      </c>
      <c r="F26474">
        <v>2.54683091914463E-8</v>
      </c>
      <c r="G26474">
        <v>2025352</v>
      </c>
      <c r="H26474">
        <v>13982552</v>
      </c>
      <c r="I26474">
        <v>4045910</v>
      </c>
      <c r="J26474">
        <v>3</v>
      </c>
    </row>
    <row r="26475" spans="1:10" x14ac:dyDescent="0.25">
      <c r="A26475" t="s">
        <v>292</v>
      </c>
      <c r="B26475" s="1" t="str">
        <f>HYPERLINK("http://aconex.co.uk","aconex.co.uk")</f>
        <v>aconex.co.uk</v>
      </c>
      <c r="C26475" t="s">
        <v>506</v>
      </c>
      <c r="D26475" t="s">
        <v>880</v>
      </c>
      <c r="E26475">
        <v>255830</v>
      </c>
      <c r="F26475">
        <v>1.80584784789049E-8</v>
      </c>
      <c r="G26475">
        <v>3018570</v>
      </c>
      <c r="H26475">
        <v>13344715</v>
      </c>
      <c r="I26475">
        <v>10653564</v>
      </c>
      <c r="J26475">
        <v>2</v>
      </c>
    </row>
    <row r="26476" spans="1:10" x14ac:dyDescent="0.25">
      <c r="A26476" t="s">
        <v>292</v>
      </c>
      <c r="B26476" s="1" t="str">
        <f>HYPERLINK("http://bionics.co.uk","bionics.co.uk")</f>
        <v>bionics.co.uk</v>
      </c>
      <c r="C26476" t="s">
        <v>506</v>
      </c>
      <c r="D26476" t="s">
        <v>880</v>
      </c>
      <c r="F26476">
        <v>3.8779450037832099E-7</v>
      </c>
      <c r="G26476">
        <v>96616</v>
      </c>
      <c r="H26476">
        <v>14143014</v>
      </c>
      <c r="I26476">
        <v>1916262</v>
      </c>
      <c r="J26476">
        <v>4</v>
      </c>
    </row>
    <row r="26477" spans="1:10" x14ac:dyDescent="0.25">
      <c r="A26477" t="s">
        <v>292</v>
      </c>
      <c r="B26477" s="1" t="str">
        <f>HYPERLINK("http://cerner.co.uk","cerner.co.uk")</f>
        <v>cerner.co.uk</v>
      </c>
      <c r="C26477" t="s">
        <v>506</v>
      </c>
      <c r="D26477" t="s">
        <v>880</v>
      </c>
      <c r="F26477">
        <v>7.2238134541347698E-9</v>
      </c>
      <c r="G26477">
        <v>11673477</v>
      </c>
      <c r="H26477">
        <v>12327752</v>
      </c>
      <c r="I26477">
        <v>20251987</v>
      </c>
      <c r="J26477">
        <v>4</v>
      </c>
    </row>
    <row r="26478" spans="1:10" x14ac:dyDescent="0.25">
      <c r="A26478" t="s">
        <v>292</v>
      </c>
      <c r="B26478" s="1" t="str">
        <f>HYPERLINK("http://chilisleep.co.uk","chilisleep.co.uk")</f>
        <v>chilisleep.co.uk</v>
      </c>
      <c r="C26478" t="s">
        <v>506</v>
      </c>
      <c r="D26478" t="s">
        <v>880</v>
      </c>
      <c r="F26478">
        <v>8.4003494953205701E-8</v>
      </c>
      <c r="G26478">
        <v>492694</v>
      </c>
      <c r="H26478">
        <v>13444669</v>
      </c>
      <c r="I26478">
        <v>10221771</v>
      </c>
      <c r="J26478">
        <v>6</v>
      </c>
    </row>
    <row r="26479" spans="1:10" x14ac:dyDescent="0.25">
      <c r="A26479" t="s">
        <v>292</v>
      </c>
      <c r="B26479" s="1" t="str">
        <f>HYPERLINK("http://netsuite.co.uk","netsuite.co.uk")</f>
        <v>netsuite.co.uk</v>
      </c>
      <c r="C26479" t="s">
        <v>506</v>
      </c>
      <c r="D26479" t="s">
        <v>880</v>
      </c>
      <c r="E26479">
        <v>716425</v>
      </c>
      <c r="F26479">
        <v>8.0979091526678402E-8</v>
      </c>
      <c r="G26479">
        <v>515545</v>
      </c>
      <c r="H26479">
        <v>14018804</v>
      </c>
      <c r="I26479">
        <v>3991179</v>
      </c>
      <c r="J26479">
        <v>3</v>
      </c>
    </row>
    <row r="26480" spans="1:10" x14ac:dyDescent="0.25">
      <c r="A26480" t="s">
        <v>292</v>
      </c>
      <c r="B26480" s="1" t="str">
        <f>HYPERLINK("http://oraclegovcloud.uk","oraclegovcloud.uk")</f>
        <v>oraclegovcloud.uk</v>
      </c>
      <c r="C26480" t="s">
        <v>506</v>
      </c>
      <c r="D26480" t="s">
        <v>880</v>
      </c>
      <c r="F26480">
        <v>4.4438506433527397E-9</v>
      </c>
      <c r="G26480">
        <v>78497280</v>
      </c>
      <c r="H26480">
        <v>10358362</v>
      </c>
      <c r="I26480">
        <v>55530502</v>
      </c>
      <c r="J26480">
        <v>2</v>
      </c>
    </row>
    <row r="26481" spans="1:10" x14ac:dyDescent="0.25">
      <c r="A26481" t="s">
        <v>293</v>
      </c>
      <c r="B26481" s="1" t="str">
        <f>HYPERLINK("http://ikspiari.com","ikspiari.com")</f>
        <v>ikspiari.com</v>
      </c>
      <c r="C26481" t="s">
        <v>433</v>
      </c>
      <c r="E26481">
        <v>382742</v>
      </c>
      <c r="F26481">
        <v>1.4849453692241299E-7</v>
      </c>
      <c r="G26481">
        <v>261759</v>
      </c>
      <c r="H26481">
        <v>14624143</v>
      </c>
      <c r="I26481">
        <v>652773</v>
      </c>
      <c r="J26481">
        <v>4</v>
      </c>
    </row>
    <row r="26482" spans="1:10" x14ac:dyDescent="0.25">
      <c r="A26482" t="s">
        <v>293</v>
      </c>
      <c r="B26482" s="1" t="str">
        <f>HYPERLINK("http://dsnf.co.jp","dsnf.co.jp")</f>
        <v>dsnf.co.jp</v>
      </c>
      <c r="C26482" t="s">
        <v>461</v>
      </c>
      <c r="D26482" t="s">
        <v>837</v>
      </c>
      <c r="F26482">
        <v>4.4612651278574796E-9</v>
      </c>
      <c r="G26482">
        <v>67362121</v>
      </c>
      <c r="H26482">
        <v>9513592</v>
      </c>
      <c r="I26482">
        <v>65523533</v>
      </c>
      <c r="J26482">
        <v>3</v>
      </c>
    </row>
    <row r="26483" spans="1:10" x14ac:dyDescent="0.25">
      <c r="A26483" t="s">
        <v>293</v>
      </c>
      <c r="B26483" s="1" t="str">
        <f>HYPERLINK("http://ikspiari.co.jp","ikspiari.co.jp")</f>
        <v>ikspiari.co.jp</v>
      </c>
      <c r="C26483" t="s">
        <v>461</v>
      </c>
      <c r="D26483" t="s">
        <v>837</v>
      </c>
      <c r="F26483">
        <v>1.12792455921381E-8</v>
      </c>
      <c r="G26483">
        <v>5657001</v>
      </c>
      <c r="H26483">
        <v>13819759</v>
      </c>
      <c r="I26483">
        <v>6147423</v>
      </c>
      <c r="J26483">
        <v>3</v>
      </c>
    </row>
    <row r="26484" spans="1:10" x14ac:dyDescent="0.25">
      <c r="A26484" t="s">
        <v>293</v>
      </c>
      <c r="B26484" s="1" t="str">
        <f>HYPERLINK("http://maihama-bm.co.jp","maihama-bm.co.jp")</f>
        <v>maihama-bm.co.jp</v>
      </c>
      <c r="C26484" t="s">
        <v>461</v>
      </c>
      <c r="D26484" t="s">
        <v>837</v>
      </c>
      <c r="J26484">
        <v>3</v>
      </c>
    </row>
    <row r="26485" spans="1:10" x14ac:dyDescent="0.25">
      <c r="A26485" t="s">
        <v>293</v>
      </c>
      <c r="B26485" s="1" t="str">
        <f>HYPERLINK("http://milialresorthotels.co.jp","milialresorthotels.co.jp")</f>
        <v>milialresorthotels.co.jp</v>
      </c>
      <c r="C26485" t="s">
        <v>461</v>
      </c>
      <c r="D26485" t="s">
        <v>837</v>
      </c>
      <c r="F26485">
        <v>7.4291206779199896E-9</v>
      </c>
      <c r="G26485">
        <v>11174365</v>
      </c>
      <c r="H26485">
        <v>12281924</v>
      </c>
      <c r="I26485">
        <v>21267807</v>
      </c>
      <c r="J26485">
        <v>3</v>
      </c>
    </row>
    <row r="26486" spans="1:10" x14ac:dyDescent="0.25">
      <c r="A26486" t="s">
        <v>293</v>
      </c>
      <c r="B26486" s="1" t="str">
        <f>HYPERLINK("http://olc.co.jp","olc.co.jp")</f>
        <v>olc.co.jp</v>
      </c>
      <c r="C26486" t="s">
        <v>461</v>
      </c>
      <c r="D26486" t="s">
        <v>837</v>
      </c>
      <c r="E26486">
        <v>327149</v>
      </c>
      <c r="F26486">
        <v>1.2388871137755799E-7</v>
      </c>
      <c r="G26486">
        <v>318523</v>
      </c>
      <c r="H26486">
        <v>14971291</v>
      </c>
      <c r="I26486">
        <v>433670</v>
      </c>
      <c r="J26486">
        <v>1</v>
      </c>
    </row>
    <row r="26487" spans="1:10" x14ac:dyDescent="0.25">
      <c r="A26487" t="s">
        <v>293</v>
      </c>
      <c r="B26487" s="1" t="str">
        <f>HYPERLINK("http://tokyodisneyresort.co.jp","tokyodisneyresort.co.jp")</f>
        <v>tokyodisneyresort.co.jp</v>
      </c>
      <c r="C26487" t="s">
        <v>461</v>
      </c>
      <c r="D26487" t="s">
        <v>837</v>
      </c>
      <c r="E26487">
        <v>236835</v>
      </c>
      <c r="F26487">
        <v>1.23994988989975E-7</v>
      </c>
      <c r="G26487">
        <v>318229</v>
      </c>
      <c r="H26487">
        <v>14967826</v>
      </c>
      <c r="I26487">
        <v>434770</v>
      </c>
      <c r="J26487">
        <v>5</v>
      </c>
    </row>
    <row r="26488" spans="1:10" x14ac:dyDescent="0.25">
      <c r="A26488" t="s">
        <v>293</v>
      </c>
      <c r="B26488" s="1" t="str">
        <f>HYPERLINK("http://disneyhotels.jp","disneyhotels.jp")</f>
        <v>disneyhotels.jp</v>
      </c>
      <c r="C26488" t="s">
        <v>461</v>
      </c>
      <c r="D26488" t="s">
        <v>837</v>
      </c>
      <c r="E26488">
        <v>826750</v>
      </c>
      <c r="F26488">
        <v>6.2940124604591504E-8</v>
      </c>
      <c r="G26488">
        <v>693675</v>
      </c>
      <c r="H26488">
        <v>14565533</v>
      </c>
      <c r="I26488">
        <v>740523</v>
      </c>
      <c r="J26488">
        <v>4</v>
      </c>
    </row>
    <row r="26489" spans="1:10" x14ac:dyDescent="0.25">
      <c r="A26489" t="s">
        <v>293</v>
      </c>
      <c r="B26489" s="1" t="str">
        <f>HYPERLINK("http://tokyodisneyresort.jp","tokyodisneyresort.jp")</f>
        <v>tokyodisneyresort.jp</v>
      </c>
      <c r="C26489" t="s">
        <v>461</v>
      </c>
      <c r="D26489" t="s">
        <v>837</v>
      </c>
      <c r="E26489">
        <v>28030</v>
      </c>
      <c r="F26489">
        <v>1.0215908428192701E-6</v>
      </c>
      <c r="G26489">
        <v>37485</v>
      </c>
      <c r="H26489">
        <v>15607279</v>
      </c>
      <c r="I26489">
        <v>371942</v>
      </c>
      <c r="J26489">
        <v>4</v>
      </c>
    </row>
    <row r="26490" spans="1:10" x14ac:dyDescent="0.25">
      <c r="A26490" t="s">
        <v>294</v>
      </c>
      <c r="B26490" s="1" t="str">
        <f>HYPERLINK("http://gasthof-koenig.at","gasthof-koenig.at")</f>
        <v>gasthof-koenig.at</v>
      </c>
      <c r="C26490" t="s">
        <v>419</v>
      </c>
      <c r="D26490" t="s">
        <v>801</v>
      </c>
      <c r="F26490">
        <v>9.59297148222498E-9</v>
      </c>
      <c r="G26490">
        <v>7213021</v>
      </c>
      <c r="H26490">
        <v>12900422</v>
      </c>
      <c r="I26490">
        <v>13877670</v>
      </c>
      <c r="J26490">
        <v>15</v>
      </c>
    </row>
    <row r="26491" spans="1:10" x14ac:dyDescent="0.25">
      <c r="A26491" t="s">
        <v>294</v>
      </c>
      <c r="B26491" s="1" t="str">
        <f>HYPERLINK("http://vienna-plan.at","vienna-plan.at")</f>
        <v>vienna-plan.at</v>
      </c>
      <c r="C26491" t="s">
        <v>419</v>
      </c>
      <c r="D26491" t="s">
        <v>801</v>
      </c>
      <c r="F26491">
        <v>4.8186546644966297E-9</v>
      </c>
      <c r="G26491">
        <v>35319976</v>
      </c>
      <c r="H26491">
        <v>11940683</v>
      </c>
      <c r="I26491">
        <v>29196438</v>
      </c>
      <c r="J26491">
        <v>15</v>
      </c>
    </row>
    <row r="26492" spans="1:10" x14ac:dyDescent="0.25">
      <c r="A26492" t="s">
        <v>294</v>
      </c>
      <c r="B26492" s="1" t="str">
        <f>HYPERLINK("http://kinocarolo.be","kinocarolo.be")</f>
        <v>kinocarolo.be</v>
      </c>
      <c r="C26492" t="s">
        <v>421</v>
      </c>
      <c r="D26492" t="s">
        <v>803</v>
      </c>
      <c r="F26492">
        <v>4.5572932733282997E-9</v>
      </c>
      <c r="G26492">
        <v>51432834</v>
      </c>
      <c r="H26492">
        <v>10788614</v>
      </c>
      <c r="I26492">
        <v>38554787</v>
      </c>
      <c r="J26492">
        <v>15</v>
      </c>
    </row>
    <row r="26493" spans="1:10" x14ac:dyDescent="0.25">
      <c r="A26493" t="s">
        <v>294</v>
      </c>
      <c r="B26493" s="1" t="str">
        <f>HYPERLINK("http://orthomasmedical.be","orthomasmedical.be")</f>
        <v>orthomasmedical.be</v>
      </c>
      <c r="C26493" t="s">
        <v>421</v>
      </c>
      <c r="D26493" t="s">
        <v>803</v>
      </c>
      <c r="F26493">
        <v>4.44380395335525E-9</v>
      </c>
      <c r="G26493">
        <v>80029065</v>
      </c>
      <c r="H26493">
        <v>0</v>
      </c>
      <c r="I26493">
        <v>80048046</v>
      </c>
      <c r="J26493">
        <v>15</v>
      </c>
    </row>
    <row r="26494" spans="1:10" x14ac:dyDescent="0.25">
      <c r="A26494" t="s">
        <v>294</v>
      </c>
      <c r="B26494" s="1" t="str">
        <f>HYPERLINK("http://viadi.be","viadi.be")</f>
        <v>viadi.be</v>
      </c>
      <c r="C26494" t="s">
        <v>421</v>
      </c>
      <c r="D26494" t="s">
        <v>803</v>
      </c>
      <c r="F26494">
        <v>5.70663865582356E-9</v>
      </c>
      <c r="G26494">
        <v>18868996</v>
      </c>
      <c r="H26494">
        <v>12203844</v>
      </c>
      <c r="I26494">
        <v>23223890</v>
      </c>
      <c r="J26494">
        <v>15</v>
      </c>
    </row>
    <row r="26495" spans="1:10" x14ac:dyDescent="0.25">
      <c r="A26495" t="s">
        <v>294</v>
      </c>
      <c r="B26495" s="1" t="str">
        <f>HYPERLINK("http://impotlongueuil.ca","impotlongueuil.ca")</f>
        <v>impotlongueuil.ca</v>
      </c>
      <c r="C26495" t="s">
        <v>428</v>
      </c>
      <c r="D26495" t="s">
        <v>809</v>
      </c>
      <c r="F26495">
        <v>4.7343603924119797E-9</v>
      </c>
      <c r="G26495">
        <v>39094388</v>
      </c>
      <c r="H26495">
        <v>1.0003663</v>
      </c>
      <c r="I26495">
        <v>78282059</v>
      </c>
      <c r="J26495">
        <v>15</v>
      </c>
    </row>
    <row r="26496" spans="1:10" x14ac:dyDescent="0.25">
      <c r="A26496" t="s">
        <v>294</v>
      </c>
      <c r="B26496" s="1" t="str">
        <f>HYPERLINK("http://optikdesign.ca","optikdesign.ca")</f>
        <v>optikdesign.ca</v>
      </c>
      <c r="C26496" t="s">
        <v>428</v>
      </c>
      <c r="D26496" t="s">
        <v>809</v>
      </c>
      <c r="F26496">
        <v>1.1283710486490001E-8</v>
      </c>
      <c r="G26496">
        <v>5653876</v>
      </c>
      <c r="H26496">
        <v>10686518</v>
      </c>
      <c r="I26496">
        <v>42578436</v>
      </c>
      <c r="J26496">
        <v>15</v>
      </c>
    </row>
    <row r="26497" spans="1:10" x14ac:dyDescent="0.25">
      <c r="A26497" t="s">
        <v>294</v>
      </c>
      <c r="B26497" s="1" t="str">
        <f>HYPERLINK("http://florian-weber-walchwil.ch","florian-weber-walchwil.ch")</f>
        <v>florian-weber-walchwil.ch</v>
      </c>
      <c r="C26497" t="s">
        <v>429</v>
      </c>
      <c r="D26497" t="s">
        <v>810</v>
      </c>
      <c r="F26497">
        <v>8.6484391371617393E-9</v>
      </c>
      <c r="G26497">
        <v>8569367</v>
      </c>
      <c r="H26497">
        <v>9440606</v>
      </c>
      <c r="I26497">
        <v>66664570</v>
      </c>
      <c r="J26497">
        <v>15</v>
      </c>
    </row>
    <row r="26498" spans="1:10" x14ac:dyDescent="0.25">
      <c r="A26498" t="s">
        <v>294</v>
      </c>
      <c r="B26498" s="1" t="str">
        <f>HYPERLINK("http://konei.ch","konei.ch")</f>
        <v>konei.ch</v>
      </c>
      <c r="C26498" t="s">
        <v>429</v>
      </c>
      <c r="D26498" t="s">
        <v>810</v>
      </c>
      <c r="F26498">
        <v>4.6302270924351896E-9</v>
      </c>
      <c r="G26498">
        <v>45426412</v>
      </c>
      <c r="H26498">
        <v>10893400</v>
      </c>
      <c r="I26498">
        <v>35995433</v>
      </c>
      <c r="J26498">
        <v>15</v>
      </c>
    </row>
    <row r="26499" spans="1:10" x14ac:dyDescent="0.25">
      <c r="A26499" t="s">
        <v>294</v>
      </c>
      <c r="B26499" s="1" t="str">
        <f>HYPERLINK("http://rmotorsport.ch","rmotorsport.ch")</f>
        <v>rmotorsport.ch</v>
      </c>
      <c r="C26499" t="s">
        <v>429</v>
      </c>
      <c r="D26499" t="s">
        <v>810</v>
      </c>
      <c r="F26499">
        <v>4.4907933742877299E-9</v>
      </c>
      <c r="G26499">
        <v>60396249</v>
      </c>
      <c r="H26499">
        <v>10509499</v>
      </c>
      <c r="I26499">
        <v>49776609</v>
      </c>
      <c r="J26499">
        <v>15</v>
      </c>
    </row>
    <row r="26500" spans="1:10" x14ac:dyDescent="0.25">
      <c r="A26500" t="s">
        <v>294</v>
      </c>
      <c r="B26500" s="1" t="str">
        <f>HYPERLINK("http://selfplacement.ch","selfplacement.ch")</f>
        <v>selfplacement.ch</v>
      </c>
      <c r="C26500" t="s">
        <v>429</v>
      </c>
      <c r="D26500" t="s">
        <v>810</v>
      </c>
      <c r="F26500">
        <v>1.0132849806075799E-8</v>
      </c>
      <c r="G26500">
        <v>6613844</v>
      </c>
      <c r="H26500">
        <v>13136248</v>
      </c>
      <c r="I26500">
        <v>11904811</v>
      </c>
      <c r="J26500">
        <v>15</v>
      </c>
    </row>
    <row r="26501" spans="1:10" x14ac:dyDescent="0.25">
      <c r="A26501" t="s">
        <v>294</v>
      </c>
      <c r="B26501" s="1" t="str">
        <f>HYPERLINK("http://scr.cloud","scr.cloud")</f>
        <v>scr.cloud</v>
      </c>
      <c r="C26501" t="s">
        <v>516</v>
      </c>
      <c r="F26501">
        <v>2.2977688979833101E-8</v>
      </c>
      <c r="G26501">
        <v>2274283</v>
      </c>
      <c r="H26501">
        <v>12252070</v>
      </c>
      <c r="I26501">
        <v>21961936</v>
      </c>
      <c r="J26501">
        <v>15</v>
      </c>
    </row>
    <row r="26502" spans="1:10" x14ac:dyDescent="0.25">
      <c r="A26502" t="s">
        <v>294</v>
      </c>
      <c r="B26502" s="1" t="str">
        <f>HYPERLINK("http://360tourwmh.com","360tourwmh.com")</f>
        <v>360tourwmh.com</v>
      </c>
      <c r="C26502" t="s">
        <v>433</v>
      </c>
      <c r="F26502">
        <v>1.0401163191453499E-8</v>
      </c>
      <c r="G26502">
        <v>6357916</v>
      </c>
      <c r="H26502">
        <v>13470519</v>
      </c>
      <c r="I26502">
        <v>10035789</v>
      </c>
      <c r="J26502">
        <v>15</v>
      </c>
    </row>
    <row r="26503" spans="1:10" x14ac:dyDescent="0.25">
      <c r="A26503" t="s">
        <v>294</v>
      </c>
      <c r="B26503" s="1" t="str">
        <f>HYPERLINK("http://a2sea.com","a2sea.com")</f>
        <v>a2sea.com</v>
      </c>
      <c r="C26503" t="s">
        <v>433</v>
      </c>
      <c r="F26503">
        <v>1.9582844087609201E-8</v>
      </c>
      <c r="G26503">
        <v>2730804</v>
      </c>
      <c r="H26503">
        <v>14080208</v>
      </c>
      <c r="I26503">
        <v>2822498</v>
      </c>
      <c r="J26503">
        <v>3</v>
      </c>
    </row>
    <row r="26504" spans="1:10" x14ac:dyDescent="0.25">
      <c r="A26504" t="s">
        <v>294</v>
      </c>
      <c r="B26504" s="1" t="str">
        <f>HYPERLINK("http://akamaistrategy.com","akamaistrategy.com")</f>
        <v>akamaistrategy.com</v>
      </c>
      <c r="C26504" t="s">
        <v>433</v>
      </c>
      <c r="F26504">
        <v>4.6464340786195204E-9</v>
      </c>
      <c r="G26504">
        <v>44366334</v>
      </c>
      <c r="H26504">
        <v>10183022</v>
      </c>
      <c r="I26504">
        <v>59176754</v>
      </c>
      <c r="J26504">
        <v>15</v>
      </c>
    </row>
    <row r="26505" spans="1:10" x14ac:dyDescent="0.25">
      <c r="A26505" t="s">
        <v>294</v>
      </c>
      <c r="B26505" s="1" t="str">
        <f>HYPERLINK("http://aleggria.com","aleggria.com")</f>
        <v>aleggria.com</v>
      </c>
      <c r="C26505" t="s">
        <v>433</v>
      </c>
      <c r="F26505">
        <v>5.8558556202272302E-9</v>
      </c>
      <c r="G26505">
        <v>17667854</v>
      </c>
      <c r="H26505">
        <v>11402513</v>
      </c>
      <c r="I26505">
        <v>30216980</v>
      </c>
      <c r="J26505">
        <v>15</v>
      </c>
    </row>
    <row r="26506" spans="1:10" x14ac:dyDescent="0.25">
      <c r="A26506" t="s">
        <v>294</v>
      </c>
      <c r="B26506" s="1" t="str">
        <f>HYPERLINK("http://alpha3marketinggroup.com","alpha3marketinggroup.com")</f>
        <v>alpha3marketinggroup.com</v>
      </c>
      <c r="C26506" t="s">
        <v>433</v>
      </c>
      <c r="F26506">
        <v>5.8645131750449802E-9</v>
      </c>
      <c r="G26506">
        <v>17606513</v>
      </c>
      <c r="H26506">
        <v>13465039</v>
      </c>
      <c r="I26506">
        <v>10067603</v>
      </c>
      <c r="J26506">
        <v>15</v>
      </c>
    </row>
    <row r="26507" spans="1:10" x14ac:dyDescent="0.25">
      <c r="A26507" t="s">
        <v>294</v>
      </c>
      <c r="B26507" s="1" t="str">
        <f>HYPERLINK("http://anholt-windfarm.com","anholt-windfarm.com")</f>
        <v>anholt-windfarm.com</v>
      </c>
      <c r="C26507" t="s">
        <v>433</v>
      </c>
      <c r="F26507">
        <v>5.3010385912206297E-9</v>
      </c>
      <c r="G26507">
        <v>23481072</v>
      </c>
      <c r="H26507">
        <v>14072405</v>
      </c>
      <c r="I26507">
        <v>3097924</v>
      </c>
      <c r="J26507">
        <v>3</v>
      </c>
    </row>
    <row r="26508" spans="1:10" x14ac:dyDescent="0.25">
      <c r="A26508" t="s">
        <v>294</v>
      </c>
      <c r="B26508" s="1" t="str">
        <f>HYPERLINK("http://asab-szk.com","asab-szk.com")</f>
        <v>asab-szk.com</v>
      </c>
      <c r="C26508" t="s">
        <v>433</v>
      </c>
      <c r="F26508">
        <v>5.8721421734634299E-9</v>
      </c>
      <c r="G26508">
        <v>17553170</v>
      </c>
      <c r="H26508">
        <v>14002155</v>
      </c>
      <c r="I26508">
        <v>4010536</v>
      </c>
      <c r="J26508">
        <v>15</v>
      </c>
    </row>
    <row r="26509" spans="1:10" x14ac:dyDescent="0.25">
      <c r="A26509" t="s">
        <v>294</v>
      </c>
      <c r="B26509" s="1" t="str">
        <f>HYPERLINK("http://atabuses.com","atabuses.com")</f>
        <v>atabuses.com</v>
      </c>
      <c r="C26509" t="s">
        <v>433</v>
      </c>
      <c r="F26509">
        <v>4.9163486943717997E-9</v>
      </c>
      <c r="G26509">
        <v>31842965</v>
      </c>
      <c r="H26509">
        <v>14071789</v>
      </c>
      <c r="I26509">
        <v>3565489</v>
      </c>
      <c r="J26509">
        <v>15</v>
      </c>
    </row>
    <row r="26510" spans="1:10" x14ac:dyDescent="0.25">
      <c r="A26510" t="s">
        <v>294</v>
      </c>
      <c r="B26510" s="1" t="str">
        <f>HYPERLINK("http://bangkeo3m.com","bangkeo3m.com")</f>
        <v>bangkeo3m.com</v>
      </c>
      <c r="C26510" t="s">
        <v>433</v>
      </c>
      <c r="F26510">
        <v>5.2834571316354598E-9</v>
      </c>
      <c r="G26510">
        <v>23739895</v>
      </c>
      <c r="H26510">
        <v>10729067</v>
      </c>
      <c r="I26510">
        <v>41004614</v>
      </c>
      <c r="J26510">
        <v>15</v>
      </c>
    </row>
    <row r="26511" spans="1:10" x14ac:dyDescent="0.25">
      <c r="A26511" t="s">
        <v>294</v>
      </c>
      <c r="B26511" s="1" t="str">
        <f>HYPERLINK("http://beratung-silke-krumbeck.com","beratung-silke-krumbeck.com")</f>
        <v>beratung-silke-krumbeck.com</v>
      </c>
      <c r="C26511" t="s">
        <v>433</v>
      </c>
      <c r="F26511">
        <v>4.5600484396775103E-9</v>
      </c>
      <c r="G26511">
        <v>51165323</v>
      </c>
      <c r="H26511">
        <v>8557737</v>
      </c>
      <c r="I26511">
        <v>71262357</v>
      </c>
      <c r="J26511">
        <v>15</v>
      </c>
    </row>
    <row r="26512" spans="1:10" x14ac:dyDescent="0.25">
      <c r="A26512" t="s">
        <v>294</v>
      </c>
      <c r="B26512" s="1" t="str">
        <f>HYPERLINK("http://bertot.com","bertot.com")</f>
        <v>bertot.com</v>
      </c>
      <c r="C26512" t="s">
        <v>433</v>
      </c>
      <c r="F26512">
        <v>4.5047534599322401E-9</v>
      </c>
      <c r="G26512">
        <v>58244505</v>
      </c>
      <c r="H26512">
        <v>9666603</v>
      </c>
      <c r="I26512">
        <v>63755572</v>
      </c>
      <c r="J26512">
        <v>15</v>
      </c>
    </row>
    <row r="26513" spans="1:10" x14ac:dyDescent="0.25">
      <c r="A26513" t="s">
        <v>294</v>
      </c>
      <c r="B26513" s="1" t="str">
        <f>HYPERLINK("http://beton-technique-ardechois.com","beton-technique-ardechois.com")</f>
        <v>beton-technique-ardechois.com</v>
      </c>
      <c r="C26513" t="s">
        <v>433</v>
      </c>
      <c r="F26513">
        <v>6.5411154142216303E-9</v>
      </c>
      <c r="G26513">
        <v>13908605</v>
      </c>
      <c r="H26513">
        <v>10476082</v>
      </c>
      <c r="I26513">
        <v>51125789</v>
      </c>
      <c r="J26513">
        <v>15</v>
      </c>
    </row>
    <row r="26514" spans="1:10" x14ac:dyDescent="0.25">
      <c r="A26514" t="s">
        <v>294</v>
      </c>
      <c r="B26514" s="1" t="str">
        <f>HYPERLINK("http://bufetelucasabogados.com","bufetelucasabogados.com")</f>
        <v>bufetelucasabogados.com</v>
      </c>
      <c r="C26514" t="s">
        <v>433</v>
      </c>
      <c r="F26514">
        <v>4.7149377356628899E-9</v>
      </c>
      <c r="G26514">
        <v>40466491</v>
      </c>
      <c r="H26514">
        <v>10731218</v>
      </c>
      <c r="I26514">
        <v>40869693</v>
      </c>
      <c r="J26514">
        <v>15</v>
      </c>
    </row>
    <row r="26515" spans="1:10" x14ac:dyDescent="0.25">
      <c r="A26515" t="s">
        <v>294</v>
      </c>
      <c r="B26515" s="1" t="str">
        <f>HYPERLINK("http://cannamedicsonline.com","cannamedicsonline.com")</f>
        <v>cannamedicsonline.com</v>
      </c>
      <c r="C26515" t="s">
        <v>433</v>
      </c>
      <c r="F26515">
        <v>4.44380395335525E-9</v>
      </c>
      <c r="G26515">
        <v>81016436</v>
      </c>
      <c r="H26515">
        <v>0</v>
      </c>
      <c r="I26515">
        <v>81303381</v>
      </c>
      <c r="J26515">
        <v>15</v>
      </c>
    </row>
    <row r="26516" spans="1:10" x14ac:dyDescent="0.25">
      <c r="A26516" t="s">
        <v>294</v>
      </c>
      <c r="B26516" s="1" t="str">
        <f>HYPERLINK("http://carvajalpty.com","carvajalpty.com")</f>
        <v>carvajalpty.com</v>
      </c>
      <c r="C26516" t="s">
        <v>433</v>
      </c>
      <c r="F26516">
        <v>4.4595783708936297E-9</v>
      </c>
      <c r="G26516">
        <v>67881488</v>
      </c>
      <c r="H26516">
        <v>10535492</v>
      </c>
      <c r="I26516">
        <v>47657794</v>
      </c>
      <c r="J26516">
        <v>15</v>
      </c>
    </row>
    <row r="26517" spans="1:10" x14ac:dyDescent="0.25">
      <c r="A26517" t="s">
        <v>294</v>
      </c>
      <c r="B26517" s="1" t="str">
        <f>HYPERLINK("http://clearskysoftware.com","clearskysoftware.com")</f>
        <v>clearskysoftware.com</v>
      </c>
      <c r="C26517" t="s">
        <v>433</v>
      </c>
      <c r="F26517">
        <v>5.2991301447637599E-9</v>
      </c>
      <c r="G26517">
        <v>23507249</v>
      </c>
      <c r="H26517">
        <v>11108515</v>
      </c>
      <c r="I26517">
        <v>32177099</v>
      </c>
      <c r="J26517">
        <v>15</v>
      </c>
    </row>
    <row r="26518" spans="1:10" x14ac:dyDescent="0.25">
      <c r="A26518" t="s">
        <v>294</v>
      </c>
      <c r="B26518" s="1" t="str">
        <f>HYPERLINK("http://crm-evolution.com","crm-evolution.com")</f>
        <v>crm-evolution.com</v>
      </c>
      <c r="C26518" t="s">
        <v>433</v>
      </c>
      <c r="F26518">
        <v>4.8469027169419402E-9</v>
      </c>
      <c r="G26518">
        <v>34244751</v>
      </c>
      <c r="H26518">
        <v>10620886</v>
      </c>
      <c r="I26518">
        <v>44234117</v>
      </c>
      <c r="J26518">
        <v>15</v>
      </c>
    </row>
    <row r="26519" spans="1:10" x14ac:dyDescent="0.25">
      <c r="A26519" t="s">
        <v>294</v>
      </c>
      <c r="B26519" s="1" t="str">
        <f>HYPERLINK("http://dongenergy.com","dongenergy.com")</f>
        <v>dongenergy.com</v>
      </c>
      <c r="C26519" t="s">
        <v>433</v>
      </c>
      <c r="E26519">
        <v>475957</v>
      </c>
      <c r="F26519">
        <v>4.0846757337742499E-6</v>
      </c>
      <c r="G26519">
        <v>8996</v>
      </c>
      <c r="H26519">
        <v>17682456</v>
      </c>
      <c r="I26519">
        <v>7669</v>
      </c>
      <c r="J26519">
        <v>3</v>
      </c>
    </row>
    <row r="26520" spans="1:10" x14ac:dyDescent="0.25">
      <c r="A26520" t="s">
        <v>294</v>
      </c>
      <c r="B26520" s="1" t="str">
        <f>HYPERLINK("http://escuelacenta.com","escuelacenta.com")</f>
        <v>escuelacenta.com</v>
      </c>
      <c r="C26520" t="s">
        <v>433</v>
      </c>
      <c r="F26520">
        <v>6.3437414527310103E-9</v>
      </c>
      <c r="G26520">
        <v>14792511</v>
      </c>
      <c r="H26520">
        <v>12401855</v>
      </c>
      <c r="I26520">
        <v>18751859</v>
      </c>
      <c r="J26520">
        <v>15</v>
      </c>
    </row>
    <row r="26521" spans="1:10" x14ac:dyDescent="0.25">
      <c r="A26521" t="s">
        <v>294</v>
      </c>
      <c r="B26521" s="1" t="str">
        <f>HYPERLINK("http://falckrenewables.com","falckrenewables.com")</f>
        <v>falckrenewables.com</v>
      </c>
      <c r="C26521" t="s">
        <v>433</v>
      </c>
      <c r="F26521">
        <v>6.2080542760552304E-8</v>
      </c>
      <c r="G26521">
        <v>708175</v>
      </c>
      <c r="H26521">
        <v>14110512</v>
      </c>
      <c r="I26521">
        <v>2675039</v>
      </c>
      <c r="J26521">
        <v>11</v>
      </c>
    </row>
    <row r="26522" spans="1:10" x14ac:dyDescent="0.25">
      <c r="A26522" t="s">
        <v>294</v>
      </c>
      <c r="B26522" s="1" t="str">
        <f>HYPERLINK("http://gconevents.com","gconevents.com")</f>
        <v>gconevents.com</v>
      </c>
      <c r="C26522" t="s">
        <v>433</v>
      </c>
      <c r="F26522">
        <v>5.2526890450268099E-9</v>
      </c>
      <c r="G26522">
        <v>24217075</v>
      </c>
      <c r="H26522">
        <v>12297801</v>
      </c>
      <c r="I26522">
        <v>20891546</v>
      </c>
      <c r="J26522">
        <v>15</v>
      </c>
    </row>
    <row r="26523" spans="1:10" x14ac:dyDescent="0.25">
      <c r="A26523" t="s">
        <v>294</v>
      </c>
      <c r="B26523" s="1" t="str">
        <f>HYPERLINK("http://gpmeficiencia.com","gpmeficiencia.com")</f>
        <v>gpmeficiencia.com</v>
      </c>
      <c r="C26523" t="s">
        <v>433</v>
      </c>
      <c r="F26523">
        <v>4.6445019111513703E-9</v>
      </c>
      <c r="G26523">
        <v>44484676</v>
      </c>
      <c r="H26523">
        <v>7723845</v>
      </c>
      <c r="I26523">
        <v>75870303</v>
      </c>
      <c r="J26523">
        <v>15</v>
      </c>
    </row>
    <row r="26524" spans="1:10" x14ac:dyDescent="0.25">
      <c r="A26524" t="s">
        <v>294</v>
      </c>
      <c r="B26524" s="1" t="str">
        <f>HYPERLINK("http://greenidnl.com","greenidnl.com")</f>
        <v>greenidnl.com</v>
      </c>
      <c r="C26524" t="s">
        <v>433</v>
      </c>
      <c r="F26524">
        <v>4.7984252890066101E-9</v>
      </c>
      <c r="G26524">
        <v>36148778</v>
      </c>
      <c r="H26524">
        <v>12093012</v>
      </c>
      <c r="I26524">
        <v>26157573</v>
      </c>
      <c r="J26524">
        <v>15</v>
      </c>
    </row>
    <row r="26525" spans="1:10" x14ac:dyDescent="0.25">
      <c r="A26525" t="s">
        <v>294</v>
      </c>
      <c r="B26525" s="1" t="str">
        <f>HYPERLINK("http://highmountainheroes.com","highmountainheroes.com")</f>
        <v>highmountainheroes.com</v>
      </c>
      <c r="C26525" t="s">
        <v>433</v>
      </c>
      <c r="F26525">
        <v>4.7640328925624901E-9</v>
      </c>
      <c r="G26525">
        <v>37636955</v>
      </c>
      <c r="H26525">
        <v>8162472.5</v>
      </c>
      <c r="I26525">
        <v>74894082</v>
      </c>
      <c r="J26525">
        <v>15</v>
      </c>
    </row>
    <row r="26526" spans="1:10" x14ac:dyDescent="0.25">
      <c r="A26526" t="s">
        <v>294</v>
      </c>
      <c r="B26526" s="1" t="str">
        <f>HYPERLINK("http://hillcountrycoast.com","hillcountrycoast.com")</f>
        <v>hillcountrycoast.com</v>
      </c>
      <c r="C26526" t="s">
        <v>433</v>
      </c>
      <c r="F26526">
        <v>8.0903687537791807E-9</v>
      </c>
      <c r="G26526">
        <v>9758713</v>
      </c>
      <c r="H26526">
        <v>13222010</v>
      </c>
      <c r="I26526">
        <v>11324478</v>
      </c>
      <c r="J26526">
        <v>15</v>
      </c>
    </row>
    <row r="26527" spans="1:10" x14ac:dyDescent="0.25">
      <c r="A26527" t="s">
        <v>294</v>
      </c>
      <c r="B26527" s="1" t="str">
        <f>HYPERLINK("http://hipyakima.com","hipyakima.com")</f>
        <v>hipyakima.com</v>
      </c>
      <c r="C26527" t="s">
        <v>433</v>
      </c>
      <c r="F26527">
        <v>4.4793453069502403E-9</v>
      </c>
      <c r="G26527">
        <v>62493130</v>
      </c>
      <c r="H26527">
        <v>10309031</v>
      </c>
      <c r="I26527">
        <v>58424503</v>
      </c>
      <c r="J26527">
        <v>15</v>
      </c>
    </row>
    <row r="26528" spans="1:10" x14ac:dyDescent="0.25">
      <c r="A26528" t="s">
        <v>294</v>
      </c>
      <c r="B26528" s="1" t="str">
        <f>HYPERLINK("http://ibgcondos.com","ibgcondos.com")</f>
        <v>ibgcondos.com</v>
      </c>
      <c r="C26528" t="s">
        <v>433</v>
      </c>
      <c r="F26528">
        <v>5.3445517473383498E-9</v>
      </c>
      <c r="G26528">
        <v>22873234</v>
      </c>
      <c r="H26528">
        <v>12292694</v>
      </c>
      <c r="I26528">
        <v>21022656</v>
      </c>
      <c r="J26528">
        <v>15</v>
      </c>
    </row>
    <row r="26529" spans="1:10" x14ac:dyDescent="0.25">
      <c r="A26529" t="s">
        <v>294</v>
      </c>
      <c r="B26529" s="1" t="str">
        <f>HYPERLINK("http://iipsacv.com","iipsacv.com")</f>
        <v>iipsacv.com</v>
      </c>
      <c r="C26529" t="s">
        <v>433</v>
      </c>
      <c r="F26529">
        <v>4.44380395335525E-9</v>
      </c>
      <c r="G26529">
        <v>82041899</v>
      </c>
      <c r="H26529">
        <v>0</v>
      </c>
      <c r="I26529">
        <v>82563634</v>
      </c>
      <c r="J26529">
        <v>15</v>
      </c>
    </row>
    <row r="26530" spans="1:10" x14ac:dyDescent="0.25">
      <c r="A26530" t="s">
        <v>294</v>
      </c>
      <c r="B26530" s="1" t="str">
        <f>HYPERLINK("http://ilbacioofdelray.com","ilbacioofdelray.com")</f>
        <v>ilbacioofdelray.com</v>
      </c>
      <c r="C26530" t="s">
        <v>433</v>
      </c>
      <c r="F26530">
        <v>6.0145962047007598E-9</v>
      </c>
      <c r="G26530">
        <v>16594926</v>
      </c>
      <c r="H26530">
        <v>12453259</v>
      </c>
      <c r="I26530">
        <v>17958046</v>
      </c>
      <c r="J26530">
        <v>15</v>
      </c>
    </row>
    <row r="26531" spans="1:10" x14ac:dyDescent="0.25">
      <c r="A26531" t="s">
        <v>294</v>
      </c>
      <c r="B26531" s="1" t="str">
        <f>HYPERLINK("http://imaginakal.com","imaginakal.com")</f>
        <v>imaginakal.com</v>
      </c>
      <c r="C26531" t="s">
        <v>433</v>
      </c>
      <c r="F26531">
        <v>5.2025712292062297E-9</v>
      </c>
      <c r="G26531">
        <v>25064759</v>
      </c>
      <c r="H26531">
        <v>10513555</v>
      </c>
      <c r="I26531">
        <v>49338576</v>
      </c>
      <c r="J26531">
        <v>15</v>
      </c>
    </row>
    <row r="26532" spans="1:10" x14ac:dyDescent="0.25">
      <c r="A26532" t="s">
        <v>294</v>
      </c>
      <c r="B26532" s="1" t="str">
        <f>HYPERLINK("http://info-platform.com","info-platform.com")</f>
        <v>info-platform.com</v>
      </c>
      <c r="C26532" t="s">
        <v>433</v>
      </c>
      <c r="F26532">
        <v>4.4715323633754701E-9</v>
      </c>
      <c r="G26532">
        <v>64197920</v>
      </c>
      <c r="H26532">
        <v>10172090</v>
      </c>
      <c r="I26532">
        <v>59318750</v>
      </c>
      <c r="J26532">
        <v>15</v>
      </c>
    </row>
    <row r="26533" spans="1:10" x14ac:dyDescent="0.25">
      <c r="A26533" t="s">
        <v>294</v>
      </c>
      <c r="B26533" s="1" t="str">
        <f>HYPERLINK("http://innsire.com","innsire.com")</f>
        <v>innsire.com</v>
      </c>
      <c r="C26533" t="s">
        <v>433</v>
      </c>
      <c r="F26533">
        <v>4.7391492534697397E-9</v>
      </c>
      <c r="G26533">
        <v>38842884</v>
      </c>
      <c r="H26533">
        <v>1.0003663</v>
      </c>
      <c r="I26533">
        <v>78755235</v>
      </c>
      <c r="J26533">
        <v>15</v>
      </c>
    </row>
    <row r="26534" spans="1:10" x14ac:dyDescent="0.25">
      <c r="A26534" t="s">
        <v>294</v>
      </c>
      <c r="B26534" s="1" t="str">
        <f>HYPERLINK("http://johnlscottboost.com","johnlscottboost.com")</f>
        <v>johnlscottboost.com</v>
      </c>
      <c r="C26534" t="s">
        <v>433</v>
      </c>
      <c r="F26534">
        <v>4.6866498241392703E-9</v>
      </c>
      <c r="G26534">
        <v>41964222</v>
      </c>
      <c r="H26534">
        <v>12068494</v>
      </c>
      <c r="I26534">
        <v>26820464</v>
      </c>
      <c r="J26534">
        <v>15</v>
      </c>
    </row>
    <row r="26535" spans="1:10" x14ac:dyDescent="0.25">
      <c r="A26535" t="s">
        <v>294</v>
      </c>
      <c r="B26535" s="1" t="str">
        <f>HYPERLINK("http://lamatrans-negoce.com","lamatrans-negoce.com")</f>
        <v>lamatrans-negoce.com</v>
      </c>
      <c r="C26535" t="s">
        <v>433</v>
      </c>
      <c r="F26535">
        <v>6.3560896970414302E-9</v>
      </c>
      <c r="G26535">
        <v>14732559</v>
      </c>
      <c r="H26535">
        <v>9362910</v>
      </c>
      <c r="I26535">
        <v>67804530</v>
      </c>
      <c r="J26535">
        <v>15</v>
      </c>
    </row>
    <row r="26536" spans="1:10" x14ac:dyDescent="0.25">
      <c r="A26536" t="s">
        <v>294</v>
      </c>
      <c r="B26536" s="1" t="str">
        <f>HYPERLINK("http://lincoln-clean-energy.com","lincoln-clean-energy.com")</f>
        <v>lincoln-clean-energy.com</v>
      </c>
      <c r="C26536" t="s">
        <v>433</v>
      </c>
      <c r="F26536">
        <v>1.4199361532866301E-8</v>
      </c>
      <c r="G26536">
        <v>4129146</v>
      </c>
      <c r="H26536">
        <v>13319754</v>
      </c>
      <c r="I26536">
        <v>10749092</v>
      </c>
      <c r="J26536">
        <v>4</v>
      </c>
    </row>
    <row r="26537" spans="1:10" x14ac:dyDescent="0.25">
      <c r="A26537" t="s">
        <v>294</v>
      </c>
      <c r="B26537" s="1" t="str">
        <f>HYPERLINK("http://lvcbf.com","lvcbf.com")</f>
        <v>lvcbf.com</v>
      </c>
      <c r="C26537" t="s">
        <v>433</v>
      </c>
      <c r="F26537">
        <v>6.3806778087976102E-9</v>
      </c>
      <c r="G26537">
        <v>14613211</v>
      </c>
      <c r="H26537">
        <v>12568424</v>
      </c>
      <c r="I26537">
        <v>16638492</v>
      </c>
      <c r="J26537">
        <v>15</v>
      </c>
    </row>
    <row r="26538" spans="1:10" x14ac:dyDescent="0.25">
      <c r="A26538" t="s">
        <v>294</v>
      </c>
      <c r="B26538" s="1" t="str">
        <f>HYPERLINK("http://mashdenpasar.com","mashdenpasar.com")</f>
        <v>mashdenpasar.com</v>
      </c>
      <c r="C26538" t="s">
        <v>433</v>
      </c>
      <c r="F26538">
        <v>7.1539292229032503E-9</v>
      </c>
      <c r="G26538">
        <v>11866465</v>
      </c>
      <c r="H26538">
        <v>12188995</v>
      </c>
      <c r="I26538">
        <v>23606137</v>
      </c>
      <c r="J26538">
        <v>15</v>
      </c>
    </row>
    <row r="26539" spans="1:10" x14ac:dyDescent="0.25">
      <c r="A26539" t="s">
        <v>294</v>
      </c>
      <c r="B26539" s="1" t="str">
        <f>HYPERLINK("http://minajl.com","minajl.com")</f>
        <v>minajl.com</v>
      </c>
      <c r="C26539" t="s">
        <v>433</v>
      </c>
      <c r="F26539">
        <v>4.4506842391847697E-9</v>
      </c>
      <c r="G26539">
        <v>71561778</v>
      </c>
      <c r="H26539">
        <v>10355560</v>
      </c>
      <c r="I26539">
        <v>55753797</v>
      </c>
      <c r="J26539">
        <v>15</v>
      </c>
    </row>
    <row r="26540" spans="1:10" x14ac:dyDescent="0.25">
      <c r="A26540" t="s">
        <v>294</v>
      </c>
      <c r="B26540" s="1" t="str">
        <f>HYPERLINK("http://mota-sc.com","mota-sc.com")</f>
        <v>mota-sc.com</v>
      </c>
      <c r="C26540" t="s">
        <v>433</v>
      </c>
      <c r="F26540">
        <v>9.1603684308540906E-9</v>
      </c>
      <c r="G26540">
        <v>7764346</v>
      </c>
      <c r="H26540">
        <v>13766425</v>
      </c>
      <c r="I26540">
        <v>7006079</v>
      </c>
      <c r="J26540">
        <v>15</v>
      </c>
    </row>
    <row r="26541" spans="1:10" x14ac:dyDescent="0.25">
      <c r="A26541" t="s">
        <v>294</v>
      </c>
      <c r="B26541" s="1" t="str">
        <f>HYPERLINK("http://mountchor.com","mountchor.com")</f>
        <v>mountchor.com</v>
      </c>
      <c r="C26541" t="s">
        <v>433</v>
      </c>
      <c r="F26541">
        <v>5.8415862071381103E-9</v>
      </c>
      <c r="G26541">
        <v>17771503</v>
      </c>
      <c r="H26541">
        <v>12352674</v>
      </c>
      <c r="I26541">
        <v>19723601</v>
      </c>
      <c r="J26541">
        <v>15</v>
      </c>
    </row>
    <row r="26542" spans="1:10" x14ac:dyDescent="0.25">
      <c r="A26542" t="s">
        <v>294</v>
      </c>
      <c r="B26542" s="1" t="str">
        <f>HYPERLINK("http://nicholasjamesfw.com","nicholasjamesfw.com")</f>
        <v>nicholasjamesfw.com</v>
      </c>
      <c r="C26542" t="s">
        <v>433</v>
      </c>
      <c r="F26542">
        <v>4.8486143736922804E-9</v>
      </c>
      <c r="G26542">
        <v>34188104</v>
      </c>
      <c r="H26542">
        <v>10665549</v>
      </c>
      <c r="I26542">
        <v>43125431</v>
      </c>
      <c r="J26542">
        <v>15</v>
      </c>
    </row>
    <row r="26543" spans="1:10" x14ac:dyDescent="0.25">
      <c r="A26543" t="s">
        <v>294</v>
      </c>
      <c r="B26543" s="1" t="str">
        <f>HYPERLINK("http://nrossiplomberie.com","nrossiplomberie.com")</f>
        <v>nrossiplomberie.com</v>
      </c>
      <c r="C26543" t="s">
        <v>433</v>
      </c>
      <c r="F26543">
        <v>5.9470952057975203E-9</v>
      </c>
      <c r="G26543">
        <v>17041145</v>
      </c>
      <c r="H26543">
        <v>12865698</v>
      </c>
      <c r="I26543">
        <v>14157029</v>
      </c>
      <c r="J26543">
        <v>15</v>
      </c>
    </row>
    <row r="26544" spans="1:10" x14ac:dyDescent="0.25">
      <c r="A26544" t="s">
        <v>294</v>
      </c>
      <c r="B26544" s="1" t="str">
        <f>HYPERLINK("http://oceanwind.com","oceanwind.com")</f>
        <v>oceanwind.com</v>
      </c>
      <c r="C26544" t="s">
        <v>433</v>
      </c>
      <c r="F26544">
        <v>7.39203581781462E-8</v>
      </c>
      <c r="G26544">
        <v>569635</v>
      </c>
      <c r="H26544">
        <v>13638124</v>
      </c>
      <c r="I26544">
        <v>9612990</v>
      </c>
      <c r="J26544">
        <v>3</v>
      </c>
    </row>
    <row r="26545" spans="1:10" x14ac:dyDescent="0.25">
      <c r="A26545" t="s">
        <v>294</v>
      </c>
      <c r="B26545" s="1" t="str">
        <f>HYPERLINK("http://officewindowltd.com","officewindowltd.com")</f>
        <v>officewindowltd.com</v>
      </c>
      <c r="C26545" t="s">
        <v>433</v>
      </c>
      <c r="F26545">
        <v>4.44380395335525E-9</v>
      </c>
      <c r="G26545">
        <v>82866273</v>
      </c>
      <c r="H26545">
        <v>0</v>
      </c>
      <c r="I26545">
        <v>83568368</v>
      </c>
      <c r="J26545">
        <v>15</v>
      </c>
    </row>
    <row r="26546" spans="1:10" x14ac:dyDescent="0.25">
      <c r="A26546" t="s">
        <v>294</v>
      </c>
      <c r="B26546" s="1" t="str">
        <f>HYPERLINK("http://orsted.com","orsted.com")</f>
        <v>orsted.com</v>
      </c>
      <c r="C26546" t="s">
        <v>433</v>
      </c>
      <c r="E26546">
        <v>72856</v>
      </c>
      <c r="F26546">
        <v>8.2819106639561203E-6</v>
      </c>
      <c r="G26546">
        <v>4067</v>
      </c>
      <c r="H26546">
        <v>18403162</v>
      </c>
      <c r="I26546">
        <v>1972</v>
      </c>
      <c r="J26546">
        <v>1</v>
      </c>
    </row>
    <row r="26547" spans="1:10" x14ac:dyDescent="0.25">
      <c r="A26547" t="s">
        <v>294</v>
      </c>
      <c r="B26547" s="1" t="str">
        <f>HYPERLINK("http://pixeldima.com","pixeldima.com")</f>
        <v>pixeldima.com</v>
      </c>
      <c r="C26547" t="s">
        <v>433</v>
      </c>
      <c r="E26547">
        <v>665962</v>
      </c>
      <c r="F26547">
        <v>2.2565688878013901E-7</v>
      </c>
      <c r="G26547">
        <v>166991</v>
      </c>
      <c r="H26547">
        <v>14246456</v>
      </c>
      <c r="I26547">
        <v>1461489</v>
      </c>
      <c r="J26547">
        <v>15</v>
      </c>
    </row>
    <row r="26548" spans="1:10" x14ac:dyDescent="0.25">
      <c r="A26548" t="s">
        <v>294</v>
      </c>
      <c r="B26548" s="1" t="str">
        <f>HYPERLINK("http://programista.com","programista.com")</f>
        <v>programista.com</v>
      </c>
      <c r="C26548" t="s">
        <v>433</v>
      </c>
      <c r="F26548">
        <v>4.4612145018558301E-9</v>
      </c>
      <c r="G26548">
        <v>67375590</v>
      </c>
      <c r="H26548">
        <v>8606861</v>
      </c>
      <c r="I26548">
        <v>70708626</v>
      </c>
      <c r="J26548">
        <v>15</v>
      </c>
    </row>
    <row r="26549" spans="1:10" x14ac:dyDescent="0.25">
      <c r="A26549" t="s">
        <v>294</v>
      </c>
      <c r="B26549" s="1" t="str">
        <f>HYPERLINK("http://rempresa.com","rempresa.com")</f>
        <v>rempresa.com</v>
      </c>
      <c r="C26549" t="s">
        <v>433</v>
      </c>
      <c r="F26549">
        <v>4.44380395335525E-9</v>
      </c>
      <c r="G26549">
        <v>83179498</v>
      </c>
      <c r="H26549">
        <v>0</v>
      </c>
      <c r="I26549">
        <v>83948335</v>
      </c>
      <c r="J26549">
        <v>15</v>
      </c>
    </row>
    <row r="26550" spans="1:10" x14ac:dyDescent="0.25">
      <c r="A26550" t="s">
        <v>294</v>
      </c>
      <c r="B26550" s="1" t="str">
        <f>HYPERLINK("http://rocbase.com","rocbase.com")</f>
        <v>rocbase.com</v>
      </c>
      <c r="C26550" t="s">
        <v>433</v>
      </c>
      <c r="F26550">
        <v>4.7859480166650703E-9</v>
      </c>
      <c r="G26550">
        <v>36713232</v>
      </c>
      <c r="H26550">
        <v>9589649</v>
      </c>
      <c r="I26550">
        <v>64514683</v>
      </c>
      <c r="J26550">
        <v>15</v>
      </c>
    </row>
    <row r="26551" spans="1:10" x14ac:dyDescent="0.25">
      <c r="A26551" t="s">
        <v>294</v>
      </c>
      <c r="B26551" s="1" t="str">
        <f>HYPERLINK("http://sijinkai.com","sijinkai.com")</f>
        <v>sijinkai.com</v>
      </c>
      <c r="C26551" t="s">
        <v>433</v>
      </c>
      <c r="F26551">
        <v>1.2128801051181E-8</v>
      </c>
      <c r="G26551">
        <v>5092342</v>
      </c>
      <c r="H26551">
        <v>11007093</v>
      </c>
      <c r="I26551">
        <v>33451133</v>
      </c>
      <c r="J26551">
        <v>15</v>
      </c>
    </row>
    <row r="26552" spans="1:10" x14ac:dyDescent="0.25">
      <c r="A26552" t="s">
        <v>294</v>
      </c>
      <c r="B26552" s="1" t="str">
        <f>HYPERLINK("http://sitescomputer.com","sitescomputer.com")</f>
        <v>sitescomputer.com</v>
      </c>
      <c r="C26552" t="s">
        <v>433</v>
      </c>
      <c r="F26552">
        <v>1.2517033053513E-8</v>
      </c>
      <c r="G26552">
        <v>4876370</v>
      </c>
      <c r="H26552">
        <v>10871473</v>
      </c>
      <c r="I26552">
        <v>36474598</v>
      </c>
      <c r="J26552">
        <v>18</v>
      </c>
    </row>
    <row r="26553" spans="1:10" x14ac:dyDescent="0.25">
      <c r="A26553" t="s">
        <v>294</v>
      </c>
      <c r="B26553" s="1" t="str">
        <f>HYPERLINK("http://sixfortune.com","sixfortune.com")</f>
        <v>sixfortune.com</v>
      </c>
      <c r="C26553" t="s">
        <v>433</v>
      </c>
      <c r="F26553">
        <v>4.5641304745182601E-9</v>
      </c>
      <c r="G26553">
        <v>50760631</v>
      </c>
      <c r="H26553">
        <v>10685732</v>
      </c>
      <c r="I26553">
        <v>42595747</v>
      </c>
      <c r="J26553">
        <v>15</v>
      </c>
    </row>
    <row r="26554" spans="1:10" x14ac:dyDescent="0.25">
      <c r="A26554" t="s">
        <v>294</v>
      </c>
      <c r="B26554" s="1" t="str">
        <f>HYPERLINK("http://south-buses.com","south-buses.com")</f>
        <v>south-buses.com</v>
      </c>
      <c r="C26554" t="s">
        <v>433</v>
      </c>
      <c r="F26554">
        <v>5.0956052593658498E-9</v>
      </c>
      <c r="G26554">
        <v>27170381</v>
      </c>
      <c r="H26554">
        <v>14071791</v>
      </c>
      <c r="I26554">
        <v>3433195</v>
      </c>
      <c r="J26554">
        <v>15</v>
      </c>
    </row>
    <row r="26555" spans="1:10" x14ac:dyDescent="0.25">
      <c r="A26555" t="s">
        <v>294</v>
      </c>
      <c r="B26555" s="1" t="str">
        <f>HYPERLINK("http://startupdentalservices.com","startupdentalservices.com")</f>
        <v>startupdentalservices.com</v>
      </c>
      <c r="C26555" t="s">
        <v>433</v>
      </c>
      <c r="F26555">
        <v>4.6341858181559999E-9</v>
      </c>
      <c r="G26555">
        <v>45146571</v>
      </c>
      <c r="H26555">
        <v>7955058.5</v>
      </c>
      <c r="I26555">
        <v>75312959</v>
      </c>
      <c r="J26555">
        <v>15</v>
      </c>
    </row>
    <row r="26556" spans="1:10" x14ac:dyDescent="0.25">
      <c r="A26556" t="s">
        <v>294</v>
      </c>
      <c r="B26556" s="1" t="str">
        <f>HYPERLINK("http://swissattixshotels.com","swissattixshotels.com")</f>
        <v>swissattixshotels.com</v>
      </c>
      <c r="C26556" t="s">
        <v>433</v>
      </c>
      <c r="F26556">
        <v>4.5527344904850498E-9</v>
      </c>
      <c r="G26556">
        <v>51890619</v>
      </c>
      <c r="H26556">
        <v>10851301</v>
      </c>
      <c r="I26556">
        <v>36828433</v>
      </c>
      <c r="J26556">
        <v>15</v>
      </c>
    </row>
    <row r="26557" spans="1:10" x14ac:dyDescent="0.25">
      <c r="A26557" t="s">
        <v>294</v>
      </c>
      <c r="B26557" s="1" t="str">
        <f>HYPERLINK("http://taoufek.com","taoufek.com")</f>
        <v>taoufek.com</v>
      </c>
      <c r="C26557" t="s">
        <v>433</v>
      </c>
      <c r="F26557">
        <v>4.44380395335525E-9</v>
      </c>
      <c r="G26557">
        <v>83621260</v>
      </c>
      <c r="H26557">
        <v>0</v>
      </c>
      <c r="I26557">
        <v>84486501</v>
      </c>
      <c r="J26557">
        <v>15</v>
      </c>
    </row>
    <row r="26558" spans="1:10" x14ac:dyDescent="0.25">
      <c r="A26558" t="s">
        <v>294</v>
      </c>
      <c r="B26558" s="1" t="str">
        <f>HYPERLINK("http://theertrain.com","theertrain.com")</f>
        <v>theertrain.com</v>
      </c>
      <c r="C26558" t="s">
        <v>433</v>
      </c>
      <c r="F26558">
        <v>4.7585734000512499E-9</v>
      </c>
      <c r="G26558">
        <v>37920720</v>
      </c>
      <c r="H26558">
        <v>1.0003663</v>
      </c>
      <c r="I26558">
        <v>79109735</v>
      </c>
      <c r="J26558">
        <v>15</v>
      </c>
    </row>
    <row r="26559" spans="1:10" x14ac:dyDescent="0.25">
      <c r="A26559" t="s">
        <v>294</v>
      </c>
      <c r="B26559" s="1" t="str">
        <f>HYPERLINK("http://thelegalmuse.com","thelegalmuse.com")</f>
        <v>thelegalmuse.com</v>
      </c>
      <c r="C26559" t="s">
        <v>433</v>
      </c>
      <c r="F26559">
        <v>4.44380395335525E-9</v>
      </c>
      <c r="G26559">
        <v>83695332</v>
      </c>
      <c r="H26559">
        <v>0</v>
      </c>
      <c r="I26559">
        <v>84575751</v>
      </c>
      <c r="J26559">
        <v>15</v>
      </c>
    </row>
    <row r="26560" spans="1:10" x14ac:dyDescent="0.25">
      <c r="A26560" t="s">
        <v>294</v>
      </c>
      <c r="B26560" s="1" t="str">
        <f>HYPERLINK("http://thorntoncapital.com","thorntoncapital.com")</f>
        <v>thorntoncapital.com</v>
      </c>
      <c r="C26560" t="s">
        <v>433</v>
      </c>
      <c r="F26560">
        <v>6.21358110265353E-9</v>
      </c>
      <c r="G26560">
        <v>15463228</v>
      </c>
      <c r="H26560">
        <v>12034992</v>
      </c>
      <c r="I26560">
        <v>27555258</v>
      </c>
      <c r="J26560">
        <v>15</v>
      </c>
    </row>
    <row r="26561" spans="1:10" x14ac:dyDescent="0.25">
      <c r="A26561" t="s">
        <v>294</v>
      </c>
      <c r="B26561" s="1" t="str">
        <f>HYPERLINK("http://trwcontracting.com","trwcontracting.com")</f>
        <v>trwcontracting.com</v>
      </c>
      <c r="C26561" t="s">
        <v>433</v>
      </c>
      <c r="F26561">
        <v>4.6168999670087397E-9</v>
      </c>
      <c r="G26561">
        <v>46350540</v>
      </c>
      <c r="H26561">
        <v>10634215</v>
      </c>
      <c r="I26561">
        <v>43888039</v>
      </c>
      <c r="J26561">
        <v>15</v>
      </c>
    </row>
    <row r="26562" spans="1:10" x14ac:dyDescent="0.25">
      <c r="A26562" t="s">
        <v>294</v>
      </c>
      <c r="B26562" s="1" t="str">
        <f>HYPERLINK("http://ultimate-water.com","ultimate-water.com")</f>
        <v>ultimate-water.com</v>
      </c>
      <c r="C26562" t="s">
        <v>433</v>
      </c>
      <c r="F26562">
        <v>4.44380395335525E-9</v>
      </c>
      <c r="G26562">
        <v>83843475</v>
      </c>
      <c r="H26562">
        <v>0</v>
      </c>
      <c r="I26562">
        <v>84756191</v>
      </c>
      <c r="J26562">
        <v>15</v>
      </c>
    </row>
    <row r="26563" spans="1:10" x14ac:dyDescent="0.25">
      <c r="A26563" t="s">
        <v>294</v>
      </c>
      <c r="B26563" s="1" t="str">
        <f>HYPERLINK("http://velvetouchsl.com","velvetouchsl.com")</f>
        <v>velvetouchsl.com</v>
      </c>
      <c r="C26563" t="s">
        <v>433</v>
      </c>
      <c r="F26563">
        <v>4.4782959402791601E-9</v>
      </c>
      <c r="G26563">
        <v>62713880</v>
      </c>
      <c r="H26563">
        <v>7598102</v>
      </c>
      <c r="I26563">
        <v>76228198</v>
      </c>
      <c r="J26563">
        <v>15</v>
      </c>
    </row>
    <row r="26564" spans="1:10" x14ac:dyDescent="0.25">
      <c r="A26564" t="s">
        <v>294</v>
      </c>
      <c r="B26564" s="1" t="str">
        <f>HYPERLINK("http://viewclass.com","viewclass.com")</f>
        <v>viewclass.com</v>
      </c>
      <c r="C26564" t="s">
        <v>433</v>
      </c>
      <c r="E26564">
        <v>372333</v>
      </c>
      <c r="F26564">
        <v>7.5367897494873001E-9</v>
      </c>
      <c r="G26564">
        <v>10933194</v>
      </c>
      <c r="H26564">
        <v>11072442</v>
      </c>
      <c r="I26564">
        <v>32553268</v>
      </c>
      <c r="J26564">
        <v>15</v>
      </c>
    </row>
    <row r="26565" spans="1:10" x14ac:dyDescent="0.25">
      <c r="A26565" t="s">
        <v>294</v>
      </c>
      <c r="B26565" s="1" t="str">
        <f>HYPERLINK("http://vkompe.com","vkompe.com")</f>
        <v>vkompe.com</v>
      </c>
      <c r="C26565" t="s">
        <v>433</v>
      </c>
      <c r="F26565">
        <v>4.44380395335525E-9</v>
      </c>
      <c r="G26565">
        <v>83925979</v>
      </c>
      <c r="H26565">
        <v>0</v>
      </c>
      <c r="I26565">
        <v>84855295</v>
      </c>
      <c r="J26565">
        <v>15</v>
      </c>
    </row>
    <row r="26566" spans="1:10" x14ac:dyDescent="0.25">
      <c r="A26566" t="s">
        <v>294</v>
      </c>
      <c r="B26566" s="1" t="str">
        <f>HYPERLINK("http://opencall.cz","opencall.cz")</f>
        <v>opencall.cz</v>
      </c>
      <c r="C26566" t="s">
        <v>435</v>
      </c>
      <c r="D26566" t="s">
        <v>814</v>
      </c>
      <c r="F26566">
        <v>2.2544298418296099E-8</v>
      </c>
      <c r="G26566">
        <v>2323637</v>
      </c>
      <c r="H26566">
        <v>13765640</v>
      </c>
      <c r="I26566">
        <v>7081978</v>
      </c>
      <c r="J26566">
        <v>15</v>
      </c>
    </row>
    <row r="26567" spans="1:10" x14ac:dyDescent="0.25">
      <c r="A26567" t="s">
        <v>294</v>
      </c>
      <c r="B26567" s="1" t="str">
        <f>HYPERLINK("http://apartment-kandern.de","apartment-kandern.de")</f>
        <v>apartment-kandern.de</v>
      </c>
      <c r="C26567" t="s">
        <v>436</v>
      </c>
      <c r="D26567" t="s">
        <v>815</v>
      </c>
      <c r="F26567">
        <v>4.44380395335525E-9</v>
      </c>
      <c r="G26567">
        <v>84242391</v>
      </c>
      <c r="H26567">
        <v>0</v>
      </c>
      <c r="I26567">
        <v>85257249</v>
      </c>
      <c r="J26567">
        <v>15</v>
      </c>
    </row>
    <row r="26568" spans="1:10" x14ac:dyDescent="0.25">
      <c r="A26568" t="s">
        <v>294</v>
      </c>
      <c r="B26568" s="1" t="str">
        <f>HYPERLINK("http://bwave.de","bwave.de")</f>
        <v>bwave.de</v>
      </c>
      <c r="C26568" t="s">
        <v>436</v>
      </c>
      <c r="D26568" t="s">
        <v>815</v>
      </c>
      <c r="F26568">
        <v>6.8806764119300099E-9</v>
      </c>
      <c r="G26568">
        <v>12694658</v>
      </c>
      <c r="H26568">
        <v>12446921</v>
      </c>
      <c r="I26568">
        <v>18064800</v>
      </c>
      <c r="J26568">
        <v>15</v>
      </c>
    </row>
    <row r="26569" spans="1:10" x14ac:dyDescent="0.25">
      <c r="A26569" t="s">
        <v>294</v>
      </c>
      <c r="B26569" s="1" t="str">
        <f>HYPERLINK("http://cemilay.de","cemilay.de")</f>
        <v>cemilay.de</v>
      </c>
      <c r="C26569" t="s">
        <v>436</v>
      </c>
      <c r="D26569" t="s">
        <v>815</v>
      </c>
      <c r="F26569">
        <v>4.7554394115210697E-9</v>
      </c>
      <c r="G26569">
        <v>38083930</v>
      </c>
      <c r="H26569">
        <v>10561358</v>
      </c>
      <c r="I26569">
        <v>46342207</v>
      </c>
      <c r="J26569">
        <v>15</v>
      </c>
    </row>
    <row r="26570" spans="1:10" x14ac:dyDescent="0.25">
      <c r="A26570" t="s">
        <v>294</v>
      </c>
      <c r="B26570" s="1" t="str">
        <f>HYPERLINK("http://dongenergy.de","dongenergy.de")</f>
        <v>dongenergy.de</v>
      </c>
      <c r="C26570" t="s">
        <v>436</v>
      </c>
      <c r="D26570" t="s">
        <v>815</v>
      </c>
      <c r="F26570">
        <v>1.05909034659017E-8</v>
      </c>
      <c r="G26570">
        <v>6191744</v>
      </c>
      <c r="H26570">
        <v>12734444</v>
      </c>
      <c r="I26570">
        <v>15175118</v>
      </c>
      <c r="J26570">
        <v>4</v>
      </c>
    </row>
    <row r="26571" spans="1:10" x14ac:dyDescent="0.25">
      <c r="A26571" t="s">
        <v>294</v>
      </c>
      <c r="B26571" s="1" t="str">
        <f>HYPERLINK("http://fliesen-eitel.de","fliesen-eitel.de")</f>
        <v>fliesen-eitel.de</v>
      </c>
      <c r="C26571" t="s">
        <v>436</v>
      </c>
      <c r="D26571" t="s">
        <v>815</v>
      </c>
      <c r="F26571">
        <v>4.6176820267126001E-9</v>
      </c>
      <c r="G26571">
        <v>46296971</v>
      </c>
      <c r="H26571">
        <v>10440130</v>
      </c>
      <c r="I26571">
        <v>52443294</v>
      </c>
      <c r="J26571">
        <v>15</v>
      </c>
    </row>
    <row r="26572" spans="1:10" x14ac:dyDescent="0.25">
      <c r="A26572" t="s">
        <v>294</v>
      </c>
      <c r="B26572" s="1" t="str">
        <f>HYPERLINK("http://jolly-freilassing.de","jolly-freilassing.de")</f>
        <v>jolly-freilassing.de</v>
      </c>
      <c r="C26572" t="s">
        <v>436</v>
      </c>
      <c r="D26572" t="s">
        <v>815</v>
      </c>
      <c r="F26572">
        <v>4.7633992540069101E-9</v>
      </c>
      <c r="G26572">
        <v>37666624</v>
      </c>
      <c r="H26572">
        <v>9877523</v>
      </c>
      <c r="I26572">
        <v>61912363</v>
      </c>
      <c r="J26572">
        <v>15</v>
      </c>
    </row>
    <row r="26573" spans="1:10" x14ac:dyDescent="0.25">
      <c r="A26573" t="s">
        <v>294</v>
      </c>
      <c r="B26573" s="1" t="str">
        <f>HYPERLINK("http://makeworkagile.de","makeworkagile.de")</f>
        <v>makeworkagile.de</v>
      </c>
      <c r="C26573" t="s">
        <v>436</v>
      </c>
      <c r="D26573" t="s">
        <v>815</v>
      </c>
      <c r="F26573">
        <v>4.6072244723966297E-9</v>
      </c>
      <c r="G26573">
        <v>47067314</v>
      </c>
      <c r="H26573">
        <v>8513751</v>
      </c>
      <c r="I26573">
        <v>71919859</v>
      </c>
      <c r="J26573">
        <v>15</v>
      </c>
    </row>
    <row r="26574" spans="1:10" x14ac:dyDescent="0.25">
      <c r="A26574" t="s">
        <v>294</v>
      </c>
      <c r="B26574" s="1" t="str">
        <f>HYPERLINK("http://orsted.de","orsted.de")</f>
        <v>orsted.de</v>
      </c>
      <c r="C26574" t="s">
        <v>436</v>
      </c>
      <c r="D26574" t="s">
        <v>815</v>
      </c>
      <c r="E26574">
        <v>703317</v>
      </c>
      <c r="F26574">
        <v>1.37275533464962E-7</v>
      </c>
      <c r="G26574">
        <v>283926</v>
      </c>
      <c r="H26574">
        <v>14105162</v>
      </c>
      <c r="I26574">
        <v>2691696</v>
      </c>
      <c r="J26574">
        <v>2</v>
      </c>
    </row>
    <row r="26575" spans="1:10" x14ac:dyDescent="0.25">
      <c r="A26575" t="s">
        <v>294</v>
      </c>
      <c r="B26575" s="1" t="str">
        <f>HYPERLINK("http://swop-berlin.de","swop-berlin.de")</f>
        <v>swop-berlin.de</v>
      </c>
      <c r="C26575" t="s">
        <v>436</v>
      </c>
      <c r="D26575" t="s">
        <v>815</v>
      </c>
      <c r="F26575">
        <v>4.9671520624717003E-9</v>
      </c>
      <c r="G26575">
        <v>30318957</v>
      </c>
      <c r="H26575">
        <v>10995603</v>
      </c>
      <c r="I26575">
        <v>33654018</v>
      </c>
      <c r="J26575">
        <v>15</v>
      </c>
    </row>
    <row r="26576" spans="1:10" x14ac:dyDescent="0.25">
      <c r="A26576" t="s">
        <v>294</v>
      </c>
      <c r="B26576" s="1" t="str">
        <f>HYPERLINK("http://clever.dk","clever.dk")</f>
        <v>clever.dk</v>
      </c>
      <c r="C26576" t="s">
        <v>437</v>
      </c>
      <c r="D26576" t="s">
        <v>816</v>
      </c>
      <c r="E26576">
        <v>506065</v>
      </c>
      <c r="F26576">
        <v>1.9974378963875601E-7</v>
      </c>
      <c r="G26576">
        <v>190951</v>
      </c>
      <c r="H26576">
        <v>16853786</v>
      </c>
      <c r="I26576">
        <v>156774</v>
      </c>
      <c r="J26576">
        <v>8</v>
      </c>
    </row>
    <row r="26577" spans="1:10" x14ac:dyDescent="0.25">
      <c r="A26577" t="s">
        <v>294</v>
      </c>
      <c r="B26577" s="1" t="str">
        <f>HYPERLINK("http://orsted.dk","orsted.dk")</f>
        <v>orsted.dk</v>
      </c>
      <c r="C26577" t="s">
        <v>437</v>
      </c>
      <c r="D26577" t="s">
        <v>816</v>
      </c>
      <c r="E26577">
        <v>196170</v>
      </c>
      <c r="F26577">
        <v>2.5328499929901002E-7</v>
      </c>
      <c r="G26577">
        <v>147655</v>
      </c>
      <c r="H26577">
        <v>14397108</v>
      </c>
      <c r="I26577">
        <v>1158447</v>
      </c>
      <c r="J26577">
        <v>2</v>
      </c>
    </row>
    <row r="26578" spans="1:10" x14ac:dyDescent="0.25">
      <c r="A26578" t="s">
        <v>294</v>
      </c>
      <c r="B26578" s="1" t="str">
        <f>HYPERLINK("http://seas-nve.dk","seas-nve.dk")</f>
        <v>seas-nve.dk</v>
      </c>
      <c r="C26578" t="s">
        <v>437</v>
      </c>
      <c r="D26578" t="s">
        <v>816</v>
      </c>
      <c r="F26578">
        <v>7.5739324160472799E-8</v>
      </c>
      <c r="G26578">
        <v>554964</v>
      </c>
      <c r="H26578">
        <v>14339966</v>
      </c>
      <c r="I26578">
        <v>1316747</v>
      </c>
      <c r="J26578">
        <v>4</v>
      </c>
    </row>
    <row r="26579" spans="1:10" x14ac:dyDescent="0.25">
      <c r="A26579" t="s">
        <v>294</v>
      </c>
      <c r="B26579" s="1" t="str">
        <f>HYPERLINK("http://blueclean.es","blueclean.es")</f>
        <v>blueclean.es</v>
      </c>
      <c r="C26579" t="s">
        <v>443</v>
      </c>
      <c r="D26579" t="s">
        <v>822</v>
      </c>
      <c r="F26579">
        <v>4.5112969362160502E-9</v>
      </c>
      <c r="G26579">
        <v>57335373</v>
      </c>
      <c r="H26579">
        <v>10430684</v>
      </c>
      <c r="I26579">
        <v>53384708</v>
      </c>
      <c r="J26579">
        <v>15</v>
      </c>
    </row>
    <row r="26580" spans="1:10" x14ac:dyDescent="0.25">
      <c r="A26580" t="s">
        <v>294</v>
      </c>
      <c r="B26580" s="1" t="str">
        <f>HYPERLINK("http://intic.es","intic.es")</f>
        <v>intic.es</v>
      </c>
      <c r="C26580" t="s">
        <v>443</v>
      </c>
      <c r="D26580" t="s">
        <v>822</v>
      </c>
      <c r="F26580">
        <v>4.7123698880678799E-9</v>
      </c>
      <c r="G26580">
        <v>40630079</v>
      </c>
      <c r="H26580">
        <v>10778170</v>
      </c>
      <c r="I26580">
        <v>38986809</v>
      </c>
      <c r="J26580">
        <v>15</v>
      </c>
    </row>
    <row r="26581" spans="1:10" x14ac:dyDescent="0.25">
      <c r="A26581" t="s">
        <v>294</v>
      </c>
      <c r="B26581" s="1" t="str">
        <f>HYPERLINK("http://orsted.es","orsted.es")</f>
        <v>orsted.es</v>
      </c>
      <c r="C26581" t="s">
        <v>443</v>
      </c>
      <c r="D26581" t="s">
        <v>822</v>
      </c>
      <c r="F26581">
        <v>5.4588690768928198E-8</v>
      </c>
      <c r="G26581">
        <v>826093</v>
      </c>
      <c r="H26581">
        <v>12761123</v>
      </c>
      <c r="I26581">
        <v>14945899</v>
      </c>
      <c r="J26581">
        <v>2</v>
      </c>
    </row>
    <row r="26582" spans="1:10" x14ac:dyDescent="0.25">
      <c r="A26582" t="s">
        <v>294</v>
      </c>
      <c r="B26582" s="1" t="str">
        <f>HYPERLINK("http://alpha-extracts.eu","alpha-extracts.eu")</f>
        <v>alpha-extracts.eu</v>
      </c>
      <c r="C26582" t="s">
        <v>444</v>
      </c>
      <c r="F26582">
        <v>4.6255436714012499E-9</v>
      </c>
      <c r="G26582">
        <v>45737211</v>
      </c>
      <c r="H26582">
        <v>10580834</v>
      </c>
      <c r="I26582">
        <v>45795278</v>
      </c>
      <c r="J26582">
        <v>15</v>
      </c>
    </row>
    <row r="26583" spans="1:10" x14ac:dyDescent="0.25">
      <c r="A26583" t="s">
        <v>294</v>
      </c>
      <c r="B26583" s="1" t="str">
        <f>HYPERLINK("http://falckrenewables.eu","falckrenewables.eu")</f>
        <v>falckrenewables.eu</v>
      </c>
      <c r="C26583" t="s">
        <v>444</v>
      </c>
      <c r="F26583">
        <v>6.0265055330633294E-8</v>
      </c>
      <c r="G26583">
        <v>732036</v>
      </c>
      <c r="H26583">
        <v>16760905</v>
      </c>
      <c r="I26583">
        <v>228586</v>
      </c>
      <c r="J26583">
        <v>10</v>
      </c>
    </row>
    <row r="26584" spans="1:10" x14ac:dyDescent="0.25">
      <c r="A26584" t="s">
        <v>294</v>
      </c>
      <c r="B26584" s="1" t="str">
        <f>HYPERLINK("http://dong.fi","dong.fi")</f>
        <v>dong.fi</v>
      </c>
      <c r="C26584" t="s">
        <v>445</v>
      </c>
      <c r="D26584" t="s">
        <v>823</v>
      </c>
      <c r="J26584">
        <v>6</v>
      </c>
    </row>
    <row r="26585" spans="1:10" x14ac:dyDescent="0.25">
      <c r="A26585" t="s">
        <v>294</v>
      </c>
      <c r="B26585" s="1" t="str">
        <f>HYPERLINK("http://dongenergy.fi","dongenergy.fi")</f>
        <v>dongenergy.fi</v>
      </c>
      <c r="C26585" t="s">
        <v>445</v>
      </c>
      <c r="D26585" t="s">
        <v>823</v>
      </c>
      <c r="J26585">
        <v>6</v>
      </c>
    </row>
    <row r="26586" spans="1:10" x14ac:dyDescent="0.25">
      <c r="A26586" t="s">
        <v>294</v>
      </c>
      <c r="B26586" s="1" t="str">
        <f>HYPERLINK("http://hc-orsted.fi","hc-orsted.fi")</f>
        <v>hc-orsted.fi</v>
      </c>
      <c r="C26586" t="s">
        <v>445</v>
      </c>
      <c r="D26586" t="s">
        <v>823</v>
      </c>
      <c r="J26586">
        <v>4</v>
      </c>
    </row>
    <row r="26587" spans="1:10" x14ac:dyDescent="0.25">
      <c r="A26587" t="s">
        <v>294</v>
      </c>
      <c r="B26587" s="1" t="str">
        <f>HYPERLINK("http://hcorsted.fi","hcorsted.fi")</f>
        <v>hcorsted.fi</v>
      </c>
      <c r="C26587" t="s">
        <v>445</v>
      </c>
      <c r="D26587" t="s">
        <v>823</v>
      </c>
      <c r="J26587">
        <v>4</v>
      </c>
    </row>
    <row r="26588" spans="1:10" x14ac:dyDescent="0.25">
      <c r="A26588" t="s">
        <v>294</v>
      </c>
      <c r="B26588" s="1" t="str">
        <f>HYPERLINK("http://orsted.fi","orsted.fi")</f>
        <v>orsted.fi</v>
      </c>
      <c r="C26588" t="s">
        <v>445</v>
      </c>
      <c r="D26588" t="s">
        <v>823</v>
      </c>
      <c r="J26588">
        <v>6</v>
      </c>
    </row>
    <row r="26589" spans="1:10" x14ac:dyDescent="0.25">
      <c r="A26589" t="s">
        <v>294</v>
      </c>
      <c r="B26589" s="1" t="str">
        <f>HYPERLINK("http://orsted.fr","orsted.fr")</f>
        <v>orsted.fr</v>
      </c>
      <c r="C26589" t="s">
        <v>446</v>
      </c>
      <c r="D26589" t="s">
        <v>824</v>
      </c>
      <c r="F26589">
        <v>5.3487539355263701E-8</v>
      </c>
      <c r="G26589">
        <v>850565</v>
      </c>
      <c r="H26589">
        <v>12740478</v>
      </c>
      <c r="I26589">
        <v>15128656</v>
      </c>
      <c r="J26589">
        <v>2</v>
      </c>
    </row>
    <row r="26590" spans="1:10" x14ac:dyDescent="0.25">
      <c r="A26590" t="s">
        <v>294</v>
      </c>
      <c r="B26590" s="1" t="str">
        <f>HYPERLINK("http://trimarg.fr","trimarg.fr")</f>
        <v>trimarg.fr</v>
      </c>
      <c r="C26590" t="s">
        <v>446</v>
      </c>
      <c r="D26590" t="s">
        <v>824</v>
      </c>
      <c r="F26590">
        <v>5.0571533440238503E-9</v>
      </c>
      <c r="G26590">
        <v>28065407</v>
      </c>
      <c r="H26590">
        <v>10819211</v>
      </c>
      <c r="I26590">
        <v>37642311</v>
      </c>
      <c r="J26590">
        <v>15</v>
      </c>
    </row>
    <row r="26591" spans="1:10" x14ac:dyDescent="0.25">
      <c r="A26591" t="s">
        <v>294</v>
      </c>
      <c r="B26591" s="1" t="str">
        <f>HYPERLINK("http://microrna.gr","microrna.gr")</f>
        <v>microrna.gr</v>
      </c>
      <c r="C26591" t="s">
        <v>447</v>
      </c>
      <c r="D26591" t="s">
        <v>825</v>
      </c>
      <c r="F26591">
        <v>5.5394961309130502E-8</v>
      </c>
      <c r="G26591">
        <v>810461</v>
      </c>
      <c r="H26591">
        <v>13611041</v>
      </c>
      <c r="I26591">
        <v>9635211</v>
      </c>
      <c r="J26591">
        <v>15</v>
      </c>
    </row>
    <row r="26592" spans="1:10" x14ac:dyDescent="0.25">
      <c r="A26592" t="s">
        <v>294</v>
      </c>
      <c r="B26592" s="1" t="str">
        <f>HYPERLINK("http://orsted.gr","orsted.gr")</f>
        <v>orsted.gr</v>
      </c>
      <c r="C26592" t="s">
        <v>447</v>
      </c>
      <c r="D26592" t="s">
        <v>825</v>
      </c>
      <c r="F26592">
        <v>5.0324531046810801E-8</v>
      </c>
      <c r="G26592">
        <v>913719</v>
      </c>
      <c r="H26592">
        <v>12740477</v>
      </c>
      <c r="I26592">
        <v>15128661</v>
      </c>
      <c r="J26592">
        <v>2</v>
      </c>
    </row>
    <row r="26593" spans="1:10" x14ac:dyDescent="0.25">
      <c r="A26593" t="s">
        <v>294</v>
      </c>
      <c r="B26593" s="1" t="str">
        <f>HYPERLINK("http://orsted.ie","orsted.ie")</f>
        <v>orsted.ie</v>
      </c>
      <c r="C26593" t="s">
        <v>455</v>
      </c>
      <c r="D26593" t="s">
        <v>832</v>
      </c>
      <c r="F26593">
        <v>5.5020298201440298E-8</v>
      </c>
      <c r="G26593">
        <v>817289</v>
      </c>
      <c r="H26593">
        <v>12757676</v>
      </c>
      <c r="I26593">
        <v>14975251</v>
      </c>
      <c r="J26593">
        <v>2</v>
      </c>
    </row>
    <row r="26594" spans="1:10" x14ac:dyDescent="0.25">
      <c r="A26594" t="s">
        <v>294</v>
      </c>
      <c r="B26594" s="1" t="str">
        <f>HYPERLINK("http://ideasnagpur.edu.in","ideasnagpur.edu.in")</f>
        <v>ideasnagpur.edu.in</v>
      </c>
      <c r="C26594" t="s">
        <v>457</v>
      </c>
      <c r="D26594" t="s">
        <v>834</v>
      </c>
      <c r="F26594">
        <v>4.5313605692219901E-9</v>
      </c>
      <c r="G26594">
        <v>54911385</v>
      </c>
      <c r="H26594">
        <v>9954356</v>
      </c>
      <c r="I26594">
        <v>61176674</v>
      </c>
      <c r="J26594">
        <v>15</v>
      </c>
    </row>
    <row r="26595" spans="1:10" x14ac:dyDescent="0.25">
      <c r="A26595" t="s">
        <v>294</v>
      </c>
      <c r="B26595" s="1" t="str">
        <f>HYPERLINK("http://enova.info","enova.info")</f>
        <v>enova.info</v>
      </c>
      <c r="C26595" t="s">
        <v>458</v>
      </c>
      <c r="F26595">
        <v>1.26076387151307E-8</v>
      </c>
      <c r="G26595">
        <v>4827087</v>
      </c>
      <c r="H26595">
        <v>12222589</v>
      </c>
      <c r="I26595">
        <v>22727626</v>
      </c>
      <c r="J26595">
        <v>17</v>
      </c>
    </row>
    <row r="26596" spans="1:10" x14ac:dyDescent="0.25">
      <c r="A26596" t="s">
        <v>294</v>
      </c>
      <c r="B26596" s="1" t="str">
        <f>HYPERLINK("http://ainak.io","ainak.io")</f>
        <v>ainak.io</v>
      </c>
      <c r="C26596" t="s">
        <v>518</v>
      </c>
      <c r="F26596">
        <v>5.7815687000013697E-9</v>
      </c>
      <c r="G26596">
        <v>18232364</v>
      </c>
      <c r="H26596">
        <v>12540540</v>
      </c>
      <c r="I26596">
        <v>16938682</v>
      </c>
      <c r="J26596">
        <v>15</v>
      </c>
    </row>
    <row r="26597" spans="1:10" x14ac:dyDescent="0.25">
      <c r="A26597" t="s">
        <v>294</v>
      </c>
      <c r="B26597" s="1" t="str">
        <f>HYPERLINK("http://cogedil.it","cogedil.it")</f>
        <v>cogedil.it</v>
      </c>
      <c r="C26597" t="s">
        <v>459</v>
      </c>
      <c r="D26597" t="s">
        <v>835</v>
      </c>
      <c r="F26597">
        <v>4.7914208481798898E-9</v>
      </c>
      <c r="G26597">
        <v>36430496</v>
      </c>
      <c r="H26597">
        <v>11123645</v>
      </c>
      <c r="I26597">
        <v>32014810</v>
      </c>
      <c r="J26597">
        <v>15</v>
      </c>
    </row>
    <row r="26598" spans="1:10" x14ac:dyDescent="0.25">
      <c r="A26598" t="s">
        <v>294</v>
      </c>
      <c r="B26598" s="1" t="str">
        <f>HYPERLINK("http://falck.it","falck.it")</f>
        <v>falck.it</v>
      </c>
      <c r="C26598" t="s">
        <v>459</v>
      </c>
      <c r="D26598" t="s">
        <v>835</v>
      </c>
      <c r="F26598">
        <v>9.4543723694172892E-9</v>
      </c>
      <c r="G26598">
        <v>7377426</v>
      </c>
      <c r="H26598">
        <v>14071896</v>
      </c>
      <c r="I26598">
        <v>3232418</v>
      </c>
      <c r="J26598">
        <v>13</v>
      </c>
    </row>
    <row r="26599" spans="1:10" x14ac:dyDescent="0.25">
      <c r="A26599" t="s">
        <v>294</v>
      </c>
      <c r="B26599" s="1" t="str">
        <f>HYPERLINK("http://prelia.it","prelia.it")</f>
        <v>prelia.it</v>
      </c>
      <c r="C26599" t="s">
        <v>459</v>
      </c>
      <c r="D26599" t="s">
        <v>835</v>
      </c>
      <c r="F26599">
        <v>4.44380395335525E-9</v>
      </c>
      <c r="G26599">
        <v>85212978</v>
      </c>
      <c r="H26599">
        <v>0</v>
      </c>
      <c r="I26599">
        <v>86416482</v>
      </c>
      <c r="J26599">
        <v>15</v>
      </c>
    </row>
    <row r="26600" spans="1:10" x14ac:dyDescent="0.25">
      <c r="A26600" t="s">
        <v>294</v>
      </c>
      <c r="B26600" s="1" t="str">
        <f>HYPERLINK("http://saetpd.it","saetpd.it")</f>
        <v>saetpd.it</v>
      </c>
      <c r="C26600" t="s">
        <v>459</v>
      </c>
      <c r="D26600" t="s">
        <v>835</v>
      </c>
      <c r="F26600">
        <v>8.1860076258824702E-9</v>
      </c>
      <c r="G26600">
        <v>9595167</v>
      </c>
      <c r="H26600">
        <v>11278445</v>
      </c>
      <c r="I26600">
        <v>30716249</v>
      </c>
      <c r="J26600">
        <v>11</v>
      </c>
    </row>
    <row r="26601" spans="1:10" x14ac:dyDescent="0.25">
      <c r="A26601" t="s">
        <v>294</v>
      </c>
      <c r="B26601" s="1" t="str">
        <f>HYPERLINK("http://veloma.it","veloma.it")</f>
        <v>veloma.it</v>
      </c>
      <c r="C26601" t="s">
        <v>459</v>
      </c>
      <c r="D26601" t="s">
        <v>835</v>
      </c>
      <c r="F26601">
        <v>4.8582747067070801E-9</v>
      </c>
      <c r="G26601">
        <v>33868185</v>
      </c>
      <c r="H26601">
        <v>12667607</v>
      </c>
      <c r="I26601">
        <v>15641837</v>
      </c>
      <c r="J26601">
        <v>15</v>
      </c>
    </row>
    <row r="26602" spans="1:10" x14ac:dyDescent="0.25">
      <c r="A26602" t="s">
        <v>294</v>
      </c>
      <c r="B26602" s="1" t="str">
        <f>HYPERLINK("http://orsted.jp","orsted.jp")</f>
        <v>orsted.jp</v>
      </c>
      <c r="C26602" t="s">
        <v>461</v>
      </c>
      <c r="D26602" t="s">
        <v>837</v>
      </c>
      <c r="F26602">
        <v>5.6029998470340302E-8</v>
      </c>
      <c r="G26602">
        <v>799382</v>
      </c>
      <c r="H26602">
        <v>12857276</v>
      </c>
      <c r="I26602">
        <v>14215782</v>
      </c>
      <c r="J26602">
        <v>2</v>
      </c>
    </row>
    <row r="26603" spans="1:10" x14ac:dyDescent="0.25">
      <c r="A26603" t="s">
        <v>294</v>
      </c>
      <c r="B26603" s="1" t="str">
        <f>HYPERLINK("http://orsted.kr","orsted.kr")</f>
        <v>orsted.kr</v>
      </c>
      <c r="C26603" t="s">
        <v>463</v>
      </c>
      <c r="D26603" t="s">
        <v>839</v>
      </c>
      <c r="F26603">
        <v>5.4660514399783801E-8</v>
      </c>
      <c r="G26603">
        <v>824677</v>
      </c>
      <c r="H26603">
        <v>12765620</v>
      </c>
      <c r="I26603">
        <v>14916240</v>
      </c>
      <c r="J26603">
        <v>2</v>
      </c>
    </row>
    <row r="26604" spans="1:10" x14ac:dyDescent="0.25">
      <c r="A26604" t="s">
        <v>294</v>
      </c>
      <c r="B26604" s="1" t="str">
        <f>HYPERLINK("http://studyinn.kz","studyinn.kz")</f>
        <v>studyinn.kz</v>
      </c>
      <c r="C26604" t="s">
        <v>465</v>
      </c>
      <c r="D26604" t="s">
        <v>841</v>
      </c>
      <c r="F26604">
        <v>7.4799480505633801E-9</v>
      </c>
      <c r="G26604">
        <v>11057954</v>
      </c>
      <c r="H26604">
        <v>12388806</v>
      </c>
      <c r="I26604">
        <v>19069568</v>
      </c>
      <c r="J26604">
        <v>15</v>
      </c>
    </row>
    <row r="26605" spans="1:10" x14ac:dyDescent="0.25">
      <c r="A26605" t="s">
        <v>294</v>
      </c>
      <c r="B26605" s="1" t="str">
        <f>HYPERLINK("http://orsted.my","orsted.my")</f>
        <v>orsted.my</v>
      </c>
      <c r="C26605" t="s">
        <v>472</v>
      </c>
      <c r="D26605" t="s">
        <v>848</v>
      </c>
      <c r="F26605">
        <v>5.5819628830271297E-8</v>
      </c>
      <c r="G26605">
        <v>803011</v>
      </c>
      <c r="H26605">
        <v>13365582</v>
      </c>
      <c r="I26605">
        <v>10486153</v>
      </c>
      <c r="J26605">
        <v>2</v>
      </c>
    </row>
    <row r="26606" spans="1:10" x14ac:dyDescent="0.25">
      <c r="A26606" t="s">
        <v>294</v>
      </c>
      <c r="B26606" s="1" t="str">
        <f>HYPERLINK("http://bernardyni.net","bernardyni.net")</f>
        <v>bernardyni.net</v>
      </c>
      <c r="C26606" t="s">
        <v>474</v>
      </c>
      <c r="F26606">
        <v>6.1086981328084804E-9</v>
      </c>
      <c r="G26606">
        <v>16044268</v>
      </c>
      <c r="H26606">
        <v>14373835</v>
      </c>
      <c r="I26606">
        <v>1262019</v>
      </c>
      <c r="J26606">
        <v>16</v>
      </c>
    </row>
    <row r="26607" spans="1:10" x14ac:dyDescent="0.25">
      <c r="A26607" t="s">
        <v>294</v>
      </c>
      <c r="B26607" s="1" t="str">
        <f>HYPERLINK("http://digitalstacks.net","digitalstacks.net")</f>
        <v>digitalstacks.net</v>
      </c>
      <c r="C26607" t="s">
        <v>474</v>
      </c>
      <c r="F26607">
        <v>5.1930394708990898E-8</v>
      </c>
      <c r="G26607">
        <v>879560</v>
      </c>
      <c r="H26607">
        <v>14047338</v>
      </c>
      <c r="I26607">
        <v>3898436</v>
      </c>
      <c r="J26607">
        <v>15</v>
      </c>
    </row>
    <row r="26608" spans="1:10" x14ac:dyDescent="0.25">
      <c r="A26608" t="s">
        <v>294</v>
      </c>
      <c r="B26608" s="1" t="str">
        <f>HYPERLINK("http://gospel1190.net","gospel1190.net")</f>
        <v>gospel1190.net</v>
      </c>
      <c r="C26608" t="s">
        <v>474</v>
      </c>
      <c r="F26608">
        <v>6.3330993139056801E-9</v>
      </c>
      <c r="G26608">
        <v>14849023</v>
      </c>
      <c r="H26608">
        <v>13444516</v>
      </c>
      <c r="I26608">
        <v>10222268</v>
      </c>
      <c r="J26608">
        <v>15</v>
      </c>
    </row>
    <row r="26609" spans="1:10" x14ac:dyDescent="0.25">
      <c r="A26609" t="s">
        <v>294</v>
      </c>
      <c r="B26609" s="1" t="str">
        <f>HYPERLINK("http://innsire.net","innsire.net")</f>
        <v>innsire.net</v>
      </c>
      <c r="C26609" t="s">
        <v>474</v>
      </c>
      <c r="F26609">
        <v>4.5170453509088701E-9</v>
      </c>
      <c r="G26609">
        <v>56585103</v>
      </c>
      <c r="H26609">
        <v>1.0003663</v>
      </c>
      <c r="I26609">
        <v>79578951</v>
      </c>
      <c r="J26609">
        <v>16</v>
      </c>
    </row>
    <row r="26610" spans="1:10" x14ac:dyDescent="0.25">
      <c r="A26610" t="s">
        <v>294</v>
      </c>
      <c r="B26610" s="1" t="str">
        <f>HYPERLINK("http://vccorp.net","vccorp.net")</f>
        <v>vccorp.net</v>
      </c>
      <c r="C26610" t="s">
        <v>474</v>
      </c>
      <c r="F26610">
        <v>8.5326102570522806E-9</v>
      </c>
      <c r="G26610">
        <v>8782453</v>
      </c>
      <c r="H26610">
        <v>12548854</v>
      </c>
      <c r="I26610">
        <v>16833528</v>
      </c>
      <c r="J26610">
        <v>19</v>
      </c>
    </row>
    <row r="26611" spans="1:10" x14ac:dyDescent="0.25">
      <c r="A26611" t="s">
        <v>294</v>
      </c>
      <c r="B26611" s="1" t="str">
        <f>HYPERLINK("http://enecogen.nl","enecogen.nl")</f>
        <v>enecogen.nl</v>
      </c>
      <c r="C26611" t="s">
        <v>477</v>
      </c>
      <c r="D26611" t="s">
        <v>852</v>
      </c>
      <c r="F26611">
        <v>1.04840087401445E-8</v>
      </c>
      <c r="G26611">
        <v>6283422</v>
      </c>
      <c r="H26611">
        <v>11276683</v>
      </c>
      <c r="I26611">
        <v>30727999</v>
      </c>
      <c r="J26611">
        <v>4</v>
      </c>
    </row>
    <row r="26612" spans="1:10" x14ac:dyDescent="0.25">
      <c r="A26612" t="s">
        <v>294</v>
      </c>
      <c r="B26612" s="1" t="str">
        <f>HYPERLINK("http://knowyourfinance.nl","knowyourfinance.nl")</f>
        <v>knowyourfinance.nl</v>
      </c>
      <c r="C26612" t="s">
        <v>477</v>
      </c>
      <c r="D26612" t="s">
        <v>852</v>
      </c>
      <c r="F26612">
        <v>4.44380395335525E-9</v>
      </c>
      <c r="G26612">
        <v>85690778</v>
      </c>
      <c r="H26612">
        <v>0</v>
      </c>
      <c r="I26612">
        <v>87008295</v>
      </c>
      <c r="J26612">
        <v>15</v>
      </c>
    </row>
    <row r="26613" spans="1:10" x14ac:dyDescent="0.25">
      <c r="A26613" t="s">
        <v>294</v>
      </c>
      <c r="B26613" s="1" t="str">
        <f>HYPERLINK("http://kritios.nl","kritios.nl")</f>
        <v>kritios.nl</v>
      </c>
      <c r="C26613" t="s">
        <v>477</v>
      </c>
      <c r="D26613" t="s">
        <v>852</v>
      </c>
      <c r="F26613">
        <v>4.44380395335525E-9</v>
      </c>
      <c r="G26613">
        <v>85691924</v>
      </c>
      <c r="H26613">
        <v>0</v>
      </c>
      <c r="I26613">
        <v>87009626</v>
      </c>
      <c r="J26613">
        <v>15</v>
      </c>
    </row>
    <row r="26614" spans="1:10" x14ac:dyDescent="0.25">
      <c r="A26614" t="s">
        <v>294</v>
      </c>
      <c r="B26614" s="1" t="str">
        <f>HYPERLINK("http://orsted.nl","orsted.nl")</f>
        <v>orsted.nl</v>
      </c>
      <c r="C26614" t="s">
        <v>477</v>
      </c>
      <c r="D26614" t="s">
        <v>852</v>
      </c>
      <c r="F26614">
        <v>8.1539982628711094E-8</v>
      </c>
      <c r="G26614">
        <v>511857</v>
      </c>
      <c r="H26614">
        <v>14702124</v>
      </c>
      <c r="I26614">
        <v>590535</v>
      </c>
      <c r="J26614">
        <v>2</v>
      </c>
    </row>
    <row r="26615" spans="1:10" x14ac:dyDescent="0.25">
      <c r="A26615" t="s">
        <v>294</v>
      </c>
      <c r="B26615" s="1" t="str">
        <f>HYPERLINK("http://ristoranteluca.nl","ristoranteluca.nl")</f>
        <v>ristoranteluca.nl</v>
      </c>
      <c r="C26615" t="s">
        <v>477</v>
      </c>
      <c r="D26615" t="s">
        <v>852</v>
      </c>
      <c r="F26615">
        <v>5.3363620863370196E-9</v>
      </c>
      <c r="G26615">
        <v>22982716</v>
      </c>
      <c r="H26615">
        <v>14122248</v>
      </c>
      <c r="I26615">
        <v>2220266</v>
      </c>
      <c r="J26615">
        <v>15</v>
      </c>
    </row>
    <row r="26616" spans="1:10" x14ac:dyDescent="0.25">
      <c r="A26616" t="s">
        <v>294</v>
      </c>
      <c r="B26616" s="1" t="str">
        <f>HYPERLINK("http://dongenergy.no","dongenergy.no")</f>
        <v>dongenergy.no</v>
      </c>
      <c r="C26616" t="s">
        <v>478</v>
      </c>
      <c r="D26616" t="s">
        <v>853</v>
      </c>
      <c r="F26616">
        <v>6.2035105295189203E-9</v>
      </c>
      <c r="G26616">
        <v>15517228</v>
      </c>
      <c r="H26616">
        <v>14071791</v>
      </c>
      <c r="I26616">
        <v>3456132</v>
      </c>
      <c r="J26616">
        <v>3</v>
      </c>
    </row>
    <row r="26617" spans="1:10" x14ac:dyDescent="0.25">
      <c r="A26617" t="s">
        <v>294</v>
      </c>
      <c r="B26617" s="1" t="str">
        <f>HYPERLINK("http://orsted.no","orsted.no")</f>
        <v>orsted.no</v>
      </c>
      <c r="C26617" t="s">
        <v>478</v>
      </c>
      <c r="D26617" t="s">
        <v>853</v>
      </c>
      <c r="F26617">
        <v>5.3618135696768003E-8</v>
      </c>
      <c r="G26617">
        <v>848146</v>
      </c>
      <c r="H26617">
        <v>12740478</v>
      </c>
      <c r="I26617">
        <v>15128657</v>
      </c>
      <c r="J26617">
        <v>2</v>
      </c>
    </row>
    <row r="26618" spans="1:10" x14ac:dyDescent="0.25">
      <c r="A26618" t="s">
        <v>294</v>
      </c>
      <c r="B26618" s="1" t="str">
        <f>HYPERLINK("http://hcstreetsforall.org","hcstreetsforall.org")</f>
        <v>hcstreetsforall.org</v>
      </c>
      <c r="C26618" t="s">
        <v>481</v>
      </c>
      <c r="F26618">
        <v>6.5117898400394896E-9</v>
      </c>
      <c r="G26618">
        <v>14029793</v>
      </c>
      <c r="H26618">
        <v>12203649</v>
      </c>
      <c r="I26618">
        <v>23228838</v>
      </c>
      <c r="J26618">
        <v>15</v>
      </c>
    </row>
    <row r="26619" spans="1:10" x14ac:dyDescent="0.25">
      <c r="A26619" t="s">
        <v>294</v>
      </c>
      <c r="B26619" s="1" t="str">
        <f>HYPERLINK("http://ikona89.org","ikona89.org")</f>
        <v>ikona89.org</v>
      </c>
      <c r="C26619" t="s">
        <v>481</v>
      </c>
      <c r="F26619">
        <v>4.8284896507131902E-9</v>
      </c>
      <c r="G26619">
        <v>34900175</v>
      </c>
      <c r="H26619">
        <v>10597657</v>
      </c>
      <c r="I26619">
        <v>45038525</v>
      </c>
      <c r="J26619">
        <v>15</v>
      </c>
    </row>
    <row r="26620" spans="1:10" x14ac:dyDescent="0.25">
      <c r="A26620" t="s">
        <v>294</v>
      </c>
      <c r="B26620" s="1" t="str">
        <f>HYPERLINK("http://sermayor.org","sermayor.org")</f>
        <v>sermayor.org</v>
      </c>
      <c r="C26620" t="s">
        <v>481</v>
      </c>
      <c r="F26620">
        <v>4.7867925777015303E-9</v>
      </c>
      <c r="G26620">
        <v>36680009</v>
      </c>
      <c r="H26620">
        <v>12400299</v>
      </c>
      <c r="I26620">
        <v>18778402</v>
      </c>
      <c r="J26620">
        <v>15</v>
      </c>
    </row>
    <row r="26621" spans="1:10" x14ac:dyDescent="0.25">
      <c r="A26621" t="s">
        <v>294</v>
      </c>
      <c r="B26621" s="1" t="str">
        <f>HYPERLINK("http://yakanalyaistanbul.org","yakanalyaistanbul.org")</f>
        <v>yakanalyaistanbul.org</v>
      </c>
      <c r="C26621" t="s">
        <v>481</v>
      </c>
      <c r="F26621">
        <v>4.7932934729101397E-9</v>
      </c>
      <c r="G26621">
        <v>36355484</v>
      </c>
      <c r="H26621">
        <v>12157049</v>
      </c>
      <c r="I26621">
        <v>24442782</v>
      </c>
      <c r="J26621">
        <v>15</v>
      </c>
    </row>
    <row r="26622" spans="1:10" x14ac:dyDescent="0.25">
      <c r="A26622" t="s">
        <v>294</v>
      </c>
      <c r="B26622" s="1" t="str">
        <f>HYPERLINK("http://marijkethoen.photography","marijkethoen.photography")</f>
        <v>marijkethoen.photography</v>
      </c>
      <c r="C26622" t="s">
        <v>769</v>
      </c>
      <c r="F26622">
        <v>6.9592417362759501E-9</v>
      </c>
      <c r="G26622">
        <v>12435311</v>
      </c>
      <c r="H26622">
        <v>10548936</v>
      </c>
      <c r="I26622">
        <v>46741976</v>
      </c>
      <c r="J26622">
        <v>15</v>
      </c>
    </row>
    <row r="26623" spans="1:10" x14ac:dyDescent="0.25">
      <c r="A26623" t="s">
        <v>294</v>
      </c>
      <c r="B26623" s="1" t="str">
        <f>HYPERLINK("http://bernardyni.pl","bernardyni.pl")</f>
        <v>bernardyni.pl</v>
      </c>
      <c r="C26623" t="s">
        <v>486</v>
      </c>
      <c r="D26623" t="s">
        <v>860</v>
      </c>
      <c r="F26623">
        <v>3.33117146513727E-8</v>
      </c>
      <c r="G26623">
        <v>1551397</v>
      </c>
      <c r="H26623">
        <v>14488912</v>
      </c>
      <c r="I26623">
        <v>927911</v>
      </c>
      <c r="J26623">
        <v>15</v>
      </c>
    </row>
    <row r="26624" spans="1:10" x14ac:dyDescent="0.25">
      <c r="A26624" t="s">
        <v>294</v>
      </c>
      <c r="B26624" s="1" t="str">
        <f>HYPERLINK("http://c-designer.pl","c-designer.pl")</f>
        <v>c-designer.pl</v>
      </c>
      <c r="C26624" t="s">
        <v>486</v>
      </c>
      <c r="D26624" t="s">
        <v>860</v>
      </c>
      <c r="F26624">
        <v>3.1622244712246198E-8</v>
      </c>
      <c r="G26624">
        <v>1632192</v>
      </c>
      <c r="H26624">
        <v>12796364</v>
      </c>
      <c r="I26624">
        <v>14654138</v>
      </c>
      <c r="J26624">
        <v>15</v>
      </c>
    </row>
    <row r="26625" spans="1:10" x14ac:dyDescent="0.25">
      <c r="A26625" t="s">
        <v>294</v>
      </c>
      <c r="B26625" s="1" t="str">
        <f>HYPERLINK("http://enova.edu.pl","enova.edu.pl")</f>
        <v>enova.edu.pl</v>
      </c>
      <c r="C26625" t="s">
        <v>486</v>
      </c>
      <c r="D26625" t="s">
        <v>860</v>
      </c>
      <c r="F26625">
        <v>6.1988917510436497E-9</v>
      </c>
      <c r="G26625">
        <v>15542418</v>
      </c>
      <c r="H26625">
        <v>11962000</v>
      </c>
      <c r="I26625">
        <v>28919515</v>
      </c>
      <c r="J26625">
        <v>17</v>
      </c>
    </row>
    <row r="26626" spans="1:10" x14ac:dyDescent="0.25">
      <c r="A26626" t="s">
        <v>294</v>
      </c>
      <c r="B26626" s="1" t="str">
        <f>HYPERLINK("http://enova.pl","enova.pl")</f>
        <v>enova.pl</v>
      </c>
      <c r="C26626" t="s">
        <v>486</v>
      </c>
      <c r="D26626" t="s">
        <v>860</v>
      </c>
      <c r="E26626">
        <v>883792</v>
      </c>
      <c r="F26626">
        <v>2.14704527914819E-7</v>
      </c>
      <c r="G26626">
        <v>175774</v>
      </c>
      <c r="H26626">
        <v>16758742</v>
      </c>
      <c r="I26626">
        <v>231153</v>
      </c>
      <c r="J26626">
        <v>16</v>
      </c>
    </row>
    <row r="26627" spans="1:10" x14ac:dyDescent="0.25">
      <c r="A26627" t="s">
        <v>294</v>
      </c>
      <c r="B26627" s="1" t="str">
        <f>HYPERLINK("http://enova.kalisz.pl","enova.kalisz.pl")</f>
        <v>enova.kalisz.pl</v>
      </c>
      <c r="C26627" t="s">
        <v>486</v>
      </c>
      <c r="D26627" t="s">
        <v>860</v>
      </c>
      <c r="F26627">
        <v>5.1680058342599E-9</v>
      </c>
      <c r="G26627">
        <v>25759636</v>
      </c>
      <c r="H26627">
        <v>11873587</v>
      </c>
      <c r="I26627">
        <v>29634372</v>
      </c>
      <c r="J26627">
        <v>15</v>
      </c>
    </row>
    <row r="26628" spans="1:10" x14ac:dyDescent="0.25">
      <c r="A26628" t="s">
        <v>294</v>
      </c>
      <c r="B26628" s="1" t="str">
        <f>HYPERLINK("http://enova.net.pl","enova.net.pl")</f>
        <v>enova.net.pl</v>
      </c>
      <c r="C26628" t="s">
        <v>486</v>
      </c>
      <c r="D26628" t="s">
        <v>860</v>
      </c>
      <c r="F26628">
        <v>6.70204598307236E-9</v>
      </c>
      <c r="G26628">
        <v>13295791</v>
      </c>
      <c r="H26628">
        <v>12332974</v>
      </c>
      <c r="I26628">
        <v>20149409</v>
      </c>
      <c r="J26628">
        <v>17</v>
      </c>
    </row>
    <row r="26629" spans="1:10" x14ac:dyDescent="0.25">
      <c r="A26629" t="s">
        <v>294</v>
      </c>
      <c r="B26629" s="1" t="str">
        <f>HYPERLINK("http://ofm.pl","ofm.pl")</f>
        <v>ofm.pl</v>
      </c>
      <c r="C26629" t="s">
        <v>486</v>
      </c>
      <c r="D26629" t="s">
        <v>860</v>
      </c>
      <c r="F26629">
        <v>2.4897060534447098E-8</v>
      </c>
      <c r="G26629">
        <v>2076734</v>
      </c>
      <c r="H26629">
        <v>14488782</v>
      </c>
      <c r="I26629">
        <v>929431</v>
      </c>
      <c r="J26629">
        <v>17</v>
      </c>
    </row>
    <row r="26630" spans="1:10" x14ac:dyDescent="0.25">
      <c r="A26630" t="s">
        <v>294</v>
      </c>
      <c r="B26630" s="1" t="str">
        <f>HYPERLINK("http://orsted.pl","orsted.pl")</f>
        <v>orsted.pl</v>
      </c>
      <c r="C26630" t="s">
        <v>486</v>
      </c>
      <c r="D26630" t="s">
        <v>860</v>
      </c>
      <c r="F26630">
        <v>5.7860778824031602E-8</v>
      </c>
      <c r="G26630">
        <v>769726</v>
      </c>
      <c r="H26630">
        <v>12790031</v>
      </c>
      <c r="I26630">
        <v>14688337</v>
      </c>
      <c r="J26630">
        <v>2</v>
      </c>
    </row>
    <row r="26631" spans="1:10" x14ac:dyDescent="0.25">
      <c r="A26631" t="s">
        <v>294</v>
      </c>
      <c r="B26631" s="1" t="str">
        <f>HYPERLINK("http://bernardyni.rzeszow.pl","bernardyni.rzeszow.pl")</f>
        <v>bernardyni.rzeszow.pl</v>
      </c>
      <c r="C26631" t="s">
        <v>486</v>
      </c>
      <c r="D26631" t="s">
        <v>860</v>
      </c>
      <c r="F26631">
        <v>8.6811783275339002E-9</v>
      </c>
      <c r="G26631">
        <v>8510194</v>
      </c>
      <c r="H26631">
        <v>14237297</v>
      </c>
      <c r="I26631">
        <v>1554663</v>
      </c>
      <c r="J26631">
        <v>16</v>
      </c>
    </row>
    <row r="26632" spans="1:10" x14ac:dyDescent="0.25">
      <c r="A26632" t="s">
        <v>294</v>
      </c>
      <c r="B26632" s="1" t="str">
        <f>HYPERLINK("http://orsted.pt","orsted.pt")</f>
        <v>orsted.pt</v>
      </c>
      <c r="C26632" t="s">
        <v>488</v>
      </c>
      <c r="D26632" t="s">
        <v>862</v>
      </c>
      <c r="F26632">
        <v>5.0324529523795799E-8</v>
      </c>
      <c r="G26632">
        <v>913720</v>
      </c>
      <c r="H26632">
        <v>12740477</v>
      </c>
      <c r="I26632">
        <v>15128663</v>
      </c>
      <c r="J26632">
        <v>2</v>
      </c>
    </row>
    <row r="26633" spans="1:10" x14ac:dyDescent="0.25">
      <c r="A26633" t="s">
        <v>294</v>
      </c>
      <c r="B26633" s="1" t="str">
        <f>HYPERLINK("http://fizmats.ru","fizmats.ru")</f>
        <v>fizmats.ru</v>
      </c>
      <c r="C26633" t="s">
        <v>493</v>
      </c>
      <c r="D26633" t="s">
        <v>867</v>
      </c>
      <c r="F26633">
        <v>4.6958672142683E-9</v>
      </c>
      <c r="G26633">
        <v>41462223</v>
      </c>
      <c r="H26633">
        <v>12347964</v>
      </c>
      <c r="I26633">
        <v>19797654</v>
      </c>
      <c r="J26633">
        <v>15</v>
      </c>
    </row>
    <row r="26634" spans="1:10" x14ac:dyDescent="0.25">
      <c r="A26634" t="s">
        <v>294</v>
      </c>
      <c r="B26634" s="1" t="str">
        <f>HYPERLINK("http://orsted.se","orsted.se")</f>
        <v>orsted.se</v>
      </c>
      <c r="C26634" t="s">
        <v>495</v>
      </c>
      <c r="D26634" t="s">
        <v>869</v>
      </c>
      <c r="F26634">
        <v>5.6470430235224299E-8</v>
      </c>
      <c r="G26634">
        <v>791967</v>
      </c>
      <c r="H26634">
        <v>12928444</v>
      </c>
      <c r="I26634">
        <v>13375988</v>
      </c>
      <c r="J26634">
        <v>2</v>
      </c>
    </row>
    <row r="26635" spans="1:10" x14ac:dyDescent="0.25">
      <c r="A26635" t="s">
        <v>294</v>
      </c>
      <c r="B26635" s="1" t="str">
        <f>HYPERLINK("http://blogoneros.site","blogoneros.site")</f>
        <v>blogoneros.site</v>
      </c>
      <c r="C26635" t="s">
        <v>558</v>
      </c>
      <c r="F26635">
        <v>4.8230760651638897E-9</v>
      </c>
      <c r="G26635">
        <v>35103703</v>
      </c>
      <c r="H26635">
        <v>12302410</v>
      </c>
      <c r="I26635">
        <v>20781543</v>
      </c>
      <c r="J26635">
        <v>15</v>
      </c>
    </row>
    <row r="26636" spans="1:10" x14ac:dyDescent="0.25">
      <c r="A26636" t="s">
        <v>294</v>
      </c>
      <c r="B26636" s="1" t="str">
        <f>HYPERLINK("http://one.surgery","one.surgery")</f>
        <v>one.surgery</v>
      </c>
      <c r="C26636" t="s">
        <v>1681</v>
      </c>
      <c r="F26636">
        <v>2.22919506706139E-8</v>
      </c>
      <c r="G26636">
        <v>2351884</v>
      </c>
      <c r="H26636">
        <v>13648754</v>
      </c>
      <c r="I26636">
        <v>9606745</v>
      </c>
      <c r="J26636">
        <v>15</v>
      </c>
    </row>
    <row r="26637" spans="1:10" x14ac:dyDescent="0.25">
      <c r="A26637" t="s">
        <v>294</v>
      </c>
      <c r="B26637" s="1" t="str">
        <f>HYPERLINK("http://pi.net.tr","pi.net.tr")</f>
        <v>pi.net.tr</v>
      </c>
      <c r="C26637" t="s">
        <v>502</v>
      </c>
      <c r="D26637" t="s">
        <v>876</v>
      </c>
      <c r="F26637">
        <v>4.7842939711754401E-9</v>
      </c>
      <c r="G26637">
        <v>36779520</v>
      </c>
      <c r="H26637">
        <v>12206685</v>
      </c>
      <c r="I26637">
        <v>23114147</v>
      </c>
      <c r="J26637">
        <v>15</v>
      </c>
    </row>
    <row r="26638" spans="1:10" x14ac:dyDescent="0.25">
      <c r="A26638" t="s">
        <v>294</v>
      </c>
      <c r="B26638" s="1" t="str">
        <f>HYPERLINK("http://orsted.tw","orsted.tw")</f>
        <v>orsted.tw</v>
      </c>
      <c r="C26638" t="s">
        <v>504</v>
      </c>
      <c r="D26638" t="s">
        <v>878</v>
      </c>
      <c r="F26638">
        <v>6.6365401310008895E-8</v>
      </c>
      <c r="G26638">
        <v>645836</v>
      </c>
      <c r="H26638">
        <v>13426682</v>
      </c>
      <c r="I26638">
        <v>10292242</v>
      </c>
      <c r="J26638">
        <v>2</v>
      </c>
    </row>
    <row r="26639" spans="1:10" x14ac:dyDescent="0.25">
      <c r="A26639" t="s">
        <v>294</v>
      </c>
      <c r="B26639" s="1" t="str">
        <f>HYPERLINK("http://dongenergy.co.uk","dongenergy.co.uk")</f>
        <v>dongenergy.co.uk</v>
      </c>
      <c r="C26639" t="s">
        <v>506</v>
      </c>
      <c r="D26639" t="s">
        <v>880</v>
      </c>
      <c r="F26639">
        <v>6.0152691021285594E-8</v>
      </c>
      <c r="G26639">
        <v>733637</v>
      </c>
      <c r="H26639">
        <v>14435624</v>
      </c>
      <c r="I26639">
        <v>1068881</v>
      </c>
      <c r="J26639">
        <v>7</v>
      </c>
    </row>
    <row r="26640" spans="1:10" x14ac:dyDescent="0.25">
      <c r="A26640" t="s">
        <v>294</v>
      </c>
      <c r="B26640" s="1" t="str">
        <f>HYPERLINK("http://hornseaprojectone.co.uk","hornseaprojectone.co.uk")</f>
        <v>hornseaprojectone.co.uk</v>
      </c>
      <c r="C26640" t="s">
        <v>506</v>
      </c>
      <c r="D26640" t="s">
        <v>880</v>
      </c>
      <c r="F26640">
        <v>7.3805239265938195E-8</v>
      </c>
      <c r="G26640">
        <v>570679</v>
      </c>
      <c r="H26640">
        <v>14521051</v>
      </c>
      <c r="I26640">
        <v>803517</v>
      </c>
      <c r="J26640">
        <v>3</v>
      </c>
    </row>
    <row r="26641" spans="1:10" x14ac:dyDescent="0.25">
      <c r="A26641" t="s">
        <v>294</v>
      </c>
      <c r="B26641" s="1" t="str">
        <f>HYPERLINK("http://hornseaprojects.co.uk","hornseaprojects.co.uk")</f>
        <v>hornseaprojects.co.uk</v>
      </c>
      <c r="C26641" t="s">
        <v>506</v>
      </c>
      <c r="D26641" t="s">
        <v>880</v>
      </c>
      <c r="F26641">
        <v>6.8766136044272095E-8</v>
      </c>
      <c r="G26641">
        <v>618503</v>
      </c>
      <c r="H26641">
        <v>14413692</v>
      </c>
      <c r="I26641">
        <v>1141808</v>
      </c>
      <c r="J26641">
        <v>3</v>
      </c>
    </row>
    <row r="26642" spans="1:10" x14ac:dyDescent="0.25">
      <c r="A26642" t="s">
        <v>294</v>
      </c>
      <c r="B26642" s="1" t="str">
        <f>HYPERLINK("http://kennoxheadwind.co.uk","kennoxheadwind.co.uk")</f>
        <v>kennoxheadwind.co.uk</v>
      </c>
      <c r="C26642" t="s">
        <v>506</v>
      </c>
      <c r="D26642" t="s">
        <v>880</v>
      </c>
      <c r="F26642">
        <v>3.8008487883617397E-8</v>
      </c>
      <c r="G26642">
        <v>1361592</v>
      </c>
      <c r="H26642">
        <v>12714613</v>
      </c>
      <c r="I26642">
        <v>15278022</v>
      </c>
      <c r="J26642">
        <v>3</v>
      </c>
    </row>
    <row r="26643" spans="1:10" x14ac:dyDescent="0.25">
      <c r="A26643" t="s">
        <v>294</v>
      </c>
      <c r="B26643" s="1" t="str">
        <f>HYPERLINK("http://orsted.co.uk","orsted.co.uk")</f>
        <v>orsted.co.uk</v>
      </c>
      <c r="C26643" t="s">
        <v>506</v>
      </c>
      <c r="D26643" t="s">
        <v>880</v>
      </c>
      <c r="E26643">
        <v>562292</v>
      </c>
      <c r="F26643">
        <v>1.7731392912241299E-7</v>
      </c>
      <c r="G26643">
        <v>218139</v>
      </c>
      <c r="H26643">
        <v>14921680</v>
      </c>
      <c r="I26643">
        <v>451312</v>
      </c>
      <c r="J26643">
        <v>2</v>
      </c>
    </row>
    <row r="26644" spans="1:10" x14ac:dyDescent="0.25">
      <c r="A26644" t="s">
        <v>294</v>
      </c>
      <c r="B26644" s="1" t="str">
        <f>HYPERLINK("http://westofduddonsands.co.uk","westofduddonsands.co.uk")</f>
        <v>westofduddonsands.co.uk</v>
      </c>
      <c r="C26644" t="s">
        <v>506</v>
      </c>
      <c r="D26644" t="s">
        <v>880</v>
      </c>
      <c r="F26644">
        <v>3.5975802043483297E-8</v>
      </c>
      <c r="G26644">
        <v>1448384</v>
      </c>
      <c r="H26644">
        <v>12721328</v>
      </c>
      <c r="I26644">
        <v>15246760</v>
      </c>
      <c r="J26644">
        <v>3</v>
      </c>
    </row>
    <row r="26645" spans="1:10" x14ac:dyDescent="0.25">
      <c r="A26645" t="s">
        <v>294</v>
      </c>
      <c r="B26645" s="1" t="str">
        <f>HYPERLINK("http://orsted.vn","orsted.vn")</f>
        <v>orsted.vn</v>
      </c>
      <c r="C26645" t="s">
        <v>509</v>
      </c>
      <c r="D26645" t="s">
        <v>883</v>
      </c>
      <c r="F26645">
        <v>5.8239250433519903E-8</v>
      </c>
      <c r="G26645">
        <v>763536</v>
      </c>
      <c r="H26645">
        <v>12954131</v>
      </c>
      <c r="I26645">
        <v>13192238</v>
      </c>
      <c r="J26645">
        <v>2</v>
      </c>
    </row>
    <row r="26646" spans="1:10" x14ac:dyDescent="0.25">
      <c r="A26646" t="s">
        <v>1645</v>
      </c>
      <c r="B26646" s="1" t="str">
        <f>HYPERLINK("http://ocbc.com.cn","ocbc.com.cn")</f>
        <v>ocbc.com.cn</v>
      </c>
      <c r="C26646" t="s">
        <v>431</v>
      </c>
      <c r="D26646" t="s">
        <v>812</v>
      </c>
      <c r="E26646">
        <v>340580</v>
      </c>
      <c r="F26646">
        <v>3.0586982878886603E-8</v>
      </c>
      <c r="G26646">
        <v>1683769</v>
      </c>
      <c r="H26646">
        <v>14088073</v>
      </c>
      <c r="I26646">
        <v>2760401</v>
      </c>
      <c r="J26646">
        <v>2</v>
      </c>
    </row>
    <row r="26647" spans="1:10" x14ac:dyDescent="0.25">
      <c r="A26647" t="s">
        <v>1645</v>
      </c>
      <c r="B26647" s="1" t="str">
        <f>HYPERLINK("http://bankofsingapore.com","bankofsingapore.com")</f>
        <v>bankofsingapore.com</v>
      </c>
      <c r="C26647" t="s">
        <v>433</v>
      </c>
      <c r="E26647">
        <v>642036</v>
      </c>
      <c r="F26647">
        <v>6.0109530348366204E-8</v>
      </c>
      <c r="G26647">
        <v>734227</v>
      </c>
      <c r="H26647">
        <v>14138935</v>
      </c>
      <c r="I26647">
        <v>1943759</v>
      </c>
      <c r="J26647">
        <v>4</v>
      </c>
    </row>
    <row r="26648" spans="1:10" x14ac:dyDescent="0.25">
      <c r="A26648" t="s">
        <v>1645</v>
      </c>
      <c r="B26648" s="1" t="str">
        <f>HYPERLINK("http://greateasterngeneral.com","greateasterngeneral.com")</f>
        <v>greateasterngeneral.com</v>
      </c>
      <c r="C26648" t="s">
        <v>433</v>
      </c>
      <c r="F26648">
        <v>3.0857792381354003E-8</v>
      </c>
      <c r="G26648">
        <v>1669385</v>
      </c>
      <c r="H26648">
        <v>14073811</v>
      </c>
      <c r="I26648">
        <v>2970598</v>
      </c>
      <c r="J26648">
        <v>2</v>
      </c>
    </row>
    <row r="26649" spans="1:10" x14ac:dyDescent="0.25">
      <c r="A26649" t="s">
        <v>1645</v>
      </c>
      <c r="B26649" s="1" t="str">
        <f>HYPERLINK("http://greateasternlife.com","greateasternlife.com")</f>
        <v>greateasternlife.com</v>
      </c>
      <c r="C26649" t="s">
        <v>433</v>
      </c>
      <c r="E26649">
        <v>79834</v>
      </c>
      <c r="F26649">
        <v>1.9910882009657999E-7</v>
      </c>
      <c r="G26649">
        <v>191860</v>
      </c>
      <c r="H26649">
        <v>14640619</v>
      </c>
      <c r="I26649">
        <v>636919</v>
      </c>
      <c r="J26649">
        <v>3</v>
      </c>
    </row>
    <row r="26650" spans="1:10" x14ac:dyDescent="0.25">
      <c r="A26650" t="s">
        <v>1645</v>
      </c>
      <c r="B26650" s="1" t="str">
        <f>HYPERLINK("http://iocbc.com","iocbc.com")</f>
        <v>iocbc.com</v>
      </c>
      <c r="C26650" t="s">
        <v>433</v>
      </c>
      <c r="E26650">
        <v>404666</v>
      </c>
      <c r="F26650">
        <v>5.0420493018362099E-8</v>
      </c>
      <c r="G26650">
        <v>911522</v>
      </c>
      <c r="H26650">
        <v>14264348</v>
      </c>
      <c r="I26650">
        <v>1410804</v>
      </c>
      <c r="J26650">
        <v>3</v>
      </c>
    </row>
    <row r="26651" spans="1:10" x14ac:dyDescent="0.25">
      <c r="A26651" t="s">
        <v>1645</v>
      </c>
      <c r="B26651" s="1" t="str">
        <f>HYPERLINK("http://lionglobalinvestors.com","lionglobalinvestors.com")</f>
        <v>lionglobalinvestors.com</v>
      </c>
      <c r="C26651" t="s">
        <v>433</v>
      </c>
      <c r="F26651">
        <v>2.3732596492252901E-8</v>
      </c>
      <c r="G26651">
        <v>2190108</v>
      </c>
      <c r="H26651">
        <v>13200006</v>
      </c>
      <c r="I26651">
        <v>11552208</v>
      </c>
      <c r="J26651">
        <v>3</v>
      </c>
    </row>
    <row r="26652" spans="1:10" x14ac:dyDescent="0.25">
      <c r="A26652" t="s">
        <v>1645</v>
      </c>
      <c r="B26652" s="1" t="str">
        <f>HYPERLINK("http://lookforlion.com","lookforlion.com")</f>
        <v>lookforlion.com</v>
      </c>
      <c r="C26652" t="s">
        <v>433</v>
      </c>
      <c r="J26652">
        <v>6</v>
      </c>
    </row>
    <row r="26653" spans="1:10" x14ac:dyDescent="0.25">
      <c r="A26653" t="s">
        <v>1645</v>
      </c>
      <c r="B26653" s="1" t="str">
        <f>HYPERLINK("http://ocbc.com","ocbc.com")</f>
        <v>ocbc.com</v>
      </c>
      <c r="C26653" t="s">
        <v>433</v>
      </c>
      <c r="E26653">
        <v>23114</v>
      </c>
      <c r="F26653">
        <v>7.9201707856413698E-7</v>
      </c>
      <c r="G26653">
        <v>49621</v>
      </c>
      <c r="H26653">
        <v>17201416</v>
      </c>
      <c r="I26653">
        <v>41552</v>
      </c>
      <c r="J26653">
        <v>1</v>
      </c>
    </row>
    <row r="26654" spans="1:10" x14ac:dyDescent="0.25">
      <c r="A26654" t="s">
        <v>1645</v>
      </c>
      <c r="B26654" s="1" t="str">
        <f>HYPERLINK("http://ocbcnisp.com","ocbcnisp.com")</f>
        <v>ocbcnisp.com</v>
      </c>
      <c r="C26654" t="s">
        <v>433</v>
      </c>
      <c r="E26654">
        <v>126010</v>
      </c>
      <c r="F26654">
        <v>2.1160816429415401E-7</v>
      </c>
      <c r="G26654">
        <v>178555</v>
      </c>
      <c r="H26654">
        <v>14442152</v>
      </c>
      <c r="I26654">
        <v>1061140</v>
      </c>
      <c r="J26654">
        <v>3</v>
      </c>
    </row>
    <row r="26655" spans="1:10" x14ac:dyDescent="0.25">
      <c r="A26655" t="s">
        <v>1645</v>
      </c>
      <c r="B26655" s="1" t="str">
        <f>HYPERLINK("http://ocbcsekuritas.com","ocbcsekuritas.com")</f>
        <v>ocbcsekuritas.com</v>
      </c>
      <c r="C26655" t="s">
        <v>433</v>
      </c>
      <c r="F26655">
        <v>8.1183669759821904E-9</v>
      </c>
      <c r="G26655">
        <v>9709662</v>
      </c>
      <c r="H26655">
        <v>11114194</v>
      </c>
      <c r="I26655">
        <v>32110234</v>
      </c>
      <c r="J26655">
        <v>3</v>
      </c>
    </row>
    <row r="26656" spans="1:10" x14ac:dyDescent="0.25">
      <c r="A26656" t="s">
        <v>1645</v>
      </c>
      <c r="B26656" s="1" t="str">
        <f>HYPERLINK("http://ocbcwhcr.com","ocbcwhcr.com")</f>
        <v>ocbcwhcr.com</v>
      </c>
      <c r="C26656" t="s">
        <v>433</v>
      </c>
      <c r="F26656">
        <v>9.35503265983368E-9</v>
      </c>
      <c r="G26656">
        <v>7501692</v>
      </c>
      <c r="H26656">
        <v>13558762</v>
      </c>
      <c r="I26656">
        <v>9865046</v>
      </c>
      <c r="J26656">
        <v>7</v>
      </c>
    </row>
    <row r="26657" spans="1:10" x14ac:dyDescent="0.25">
      <c r="A26657" t="s">
        <v>1645</v>
      </c>
      <c r="B26657" s="1" t="str">
        <f>HYPERLINK("http://ocbcwhhk.com","ocbcwhhk.com")</f>
        <v>ocbcwhhk.com</v>
      </c>
      <c r="C26657" t="s">
        <v>433</v>
      </c>
      <c r="E26657">
        <v>340563</v>
      </c>
      <c r="F26657">
        <v>6.06662854263125E-8</v>
      </c>
      <c r="G26657">
        <v>726684</v>
      </c>
      <c r="H26657">
        <v>14307213</v>
      </c>
      <c r="I26657">
        <v>1348237</v>
      </c>
      <c r="J26657">
        <v>3</v>
      </c>
    </row>
    <row r="26658" spans="1:10" x14ac:dyDescent="0.25">
      <c r="A26658" t="s">
        <v>1645</v>
      </c>
      <c r="B26658" s="1" t="str">
        <f>HYPERLINK("http://ocbcwhmac.com","ocbcwhmac.com")</f>
        <v>ocbcwhmac.com</v>
      </c>
      <c r="C26658" t="s">
        <v>433</v>
      </c>
      <c r="E26658">
        <v>652218</v>
      </c>
      <c r="F26658">
        <v>2.1869674496357901E-8</v>
      </c>
      <c r="G26658">
        <v>2401548</v>
      </c>
      <c r="H26658">
        <v>14077168</v>
      </c>
      <c r="I26658">
        <v>2871504</v>
      </c>
      <c r="J26658">
        <v>4</v>
      </c>
    </row>
    <row r="26659" spans="1:10" x14ac:dyDescent="0.25">
      <c r="A26659" t="s">
        <v>1645</v>
      </c>
      <c r="B26659" s="1" t="str">
        <f>HYPERLINK("http://qbe.co.id","qbe.co.id")</f>
        <v>qbe.co.id</v>
      </c>
      <c r="C26659" t="s">
        <v>454</v>
      </c>
      <c r="D26659" t="s">
        <v>831</v>
      </c>
      <c r="F26659">
        <v>4.4611939775457703E-9</v>
      </c>
      <c r="G26659">
        <v>67381640</v>
      </c>
      <c r="H26659">
        <v>10722907</v>
      </c>
      <c r="I26659">
        <v>41559269</v>
      </c>
      <c r="J26659">
        <v>3</v>
      </c>
    </row>
    <row r="26660" spans="1:10" x14ac:dyDescent="0.25">
      <c r="A26660" t="s">
        <v>1645</v>
      </c>
      <c r="B26660" s="1" t="str">
        <f>HYPERLINK("http://ocbcnisp.id","ocbcnisp.id")</f>
        <v>ocbcnisp.id</v>
      </c>
      <c r="C26660" t="s">
        <v>454</v>
      </c>
      <c r="D26660" t="s">
        <v>831</v>
      </c>
      <c r="F26660">
        <v>4.8490916903238897E-8</v>
      </c>
      <c r="G26660">
        <v>956742</v>
      </c>
      <c r="H26660">
        <v>12573987</v>
      </c>
      <c r="I26660">
        <v>16591101</v>
      </c>
      <c r="J26660">
        <v>4</v>
      </c>
    </row>
    <row r="26661" spans="1:10" x14ac:dyDescent="0.25">
      <c r="A26661" t="s">
        <v>1645</v>
      </c>
      <c r="B26661" s="1" t="str">
        <f>HYPERLINK("http://boswealthmanagement.com.my","boswealthmanagement.com.my")</f>
        <v>boswealthmanagement.com.my</v>
      </c>
      <c r="C26661" t="s">
        <v>472</v>
      </c>
      <c r="D26661" t="s">
        <v>848</v>
      </c>
      <c r="E26661">
        <v>289604</v>
      </c>
      <c r="F26661">
        <v>4.58441297586037E-9</v>
      </c>
      <c r="G26661">
        <v>48887508</v>
      </c>
      <c r="H26661">
        <v>10358589</v>
      </c>
      <c r="I26661">
        <v>55309687</v>
      </c>
      <c r="J26661">
        <v>2</v>
      </c>
    </row>
    <row r="26662" spans="1:10" x14ac:dyDescent="0.25">
      <c r="A26662" t="s">
        <v>1645</v>
      </c>
      <c r="B26662" s="1" t="str">
        <f>HYPERLINK("http://greateasternlife.com.my","greateasternlife.com.my")</f>
        <v>greateasternlife.com.my</v>
      </c>
      <c r="C26662" t="s">
        <v>472</v>
      </c>
      <c r="D26662" t="s">
        <v>848</v>
      </c>
      <c r="F26662">
        <v>5.2320519684522597E-9</v>
      </c>
      <c r="G26662">
        <v>24541416</v>
      </c>
      <c r="H26662">
        <v>10911364</v>
      </c>
      <c r="I26662">
        <v>35595878</v>
      </c>
      <c r="J26662">
        <v>4</v>
      </c>
    </row>
    <row r="26663" spans="1:10" x14ac:dyDescent="0.25">
      <c r="A26663" t="s">
        <v>1645</v>
      </c>
      <c r="B26663" s="1" t="str">
        <f>HYPERLINK("http://oac.com.my","oac.com.my")</f>
        <v>oac.com.my</v>
      </c>
      <c r="C26663" t="s">
        <v>472</v>
      </c>
      <c r="D26663" t="s">
        <v>848</v>
      </c>
      <c r="F26663">
        <v>5.1471296217999501E-9</v>
      </c>
      <c r="G26663">
        <v>26136527</v>
      </c>
      <c r="H26663">
        <v>13763814</v>
      </c>
      <c r="I26663">
        <v>7592804</v>
      </c>
      <c r="J26663">
        <v>5</v>
      </c>
    </row>
    <row r="26664" spans="1:10" x14ac:dyDescent="0.25">
      <c r="A26664" t="s">
        <v>1645</v>
      </c>
      <c r="B26664" s="1" t="str">
        <f>HYPERLINK("http://ocbc.com.my","ocbc.com.my")</f>
        <v>ocbc.com.my</v>
      </c>
      <c r="C26664" t="s">
        <v>472</v>
      </c>
      <c r="D26664" t="s">
        <v>848</v>
      </c>
      <c r="E26664">
        <v>125074</v>
      </c>
      <c r="F26664">
        <v>1.6264066419550699E-7</v>
      </c>
      <c r="G26664">
        <v>238650</v>
      </c>
      <c r="H26664">
        <v>17081808</v>
      </c>
      <c r="I26664">
        <v>67894</v>
      </c>
      <c r="J26664">
        <v>2</v>
      </c>
    </row>
    <row r="26665" spans="1:10" x14ac:dyDescent="0.25">
      <c r="A26665" t="s">
        <v>1645</v>
      </c>
      <c r="B26665" s="1" t="str">
        <f>HYPERLINK("http://paclease.com.my","paclease.com.my")</f>
        <v>paclease.com.my</v>
      </c>
      <c r="C26665" t="s">
        <v>472</v>
      </c>
      <c r="D26665" t="s">
        <v>848</v>
      </c>
      <c r="F26665">
        <v>6.0307582436341101E-9</v>
      </c>
      <c r="G26665">
        <v>16495414</v>
      </c>
      <c r="H26665">
        <v>10768362</v>
      </c>
      <c r="I26665">
        <v>39310197</v>
      </c>
      <c r="J26665">
        <v>3</v>
      </c>
    </row>
    <row r="26666" spans="1:10" x14ac:dyDescent="0.25">
      <c r="A26666" t="s">
        <v>1645</v>
      </c>
      <c r="B26666" s="1" t="str">
        <f>HYPERLINK("http://theweld.com.my","theweld.com.my")</f>
        <v>theweld.com.my</v>
      </c>
      <c r="C26666" t="s">
        <v>472</v>
      </c>
      <c r="D26666" t="s">
        <v>848</v>
      </c>
      <c r="F26666">
        <v>1.2972413684357799E-8</v>
      </c>
      <c r="G26666">
        <v>4645052</v>
      </c>
      <c r="H26666">
        <v>14436660</v>
      </c>
      <c r="I26666">
        <v>1067957</v>
      </c>
      <c r="J26666">
        <v>5</v>
      </c>
    </row>
    <row r="26667" spans="1:10" x14ac:dyDescent="0.25">
      <c r="A26667" t="s">
        <v>1645</v>
      </c>
      <c r="B26667" s="1" t="str">
        <f>HYPERLINK("http://greateasternfa.com.sg","greateasternfa.com.sg")</f>
        <v>greateasternfa.com.sg</v>
      </c>
      <c r="C26667" t="s">
        <v>496</v>
      </c>
      <c r="D26667" t="s">
        <v>870</v>
      </c>
      <c r="E26667">
        <v>177421</v>
      </c>
      <c r="F26667">
        <v>7.5168724645499302E-9</v>
      </c>
      <c r="G26667">
        <v>10975874</v>
      </c>
      <c r="H26667">
        <v>11025159</v>
      </c>
      <c r="I26667">
        <v>33177261</v>
      </c>
      <c r="J26667">
        <v>3</v>
      </c>
    </row>
    <row r="26668" spans="1:10" x14ac:dyDescent="0.25">
      <c r="A26668" t="s">
        <v>1645</v>
      </c>
      <c r="B26668" s="1" t="str">
        <f>HYPERLINK("http://lifeisgreat.com.sg","lifeisgreat.com.sg")</f>
        <v>lifeisgreat.com.sg</v>
      </c>
      <c r="C26668" t="s">
        <v>496</v>
      </c>
      <c r="D26668" t="s">
        <v>870</v>
      </c>
      <c r="E26668">
        <v>594993</v>
      </c>
      <c r="F26668">
        <v>8.8396154306778094E-9</v>
      </c>
      <c r="G26668">
        <v>8241030</v>
      </c>
      <c r="H26668">
        <v>14110667</v>
      </c>
      <c r="I26668">
        <v>2674754</v>
      </c>
      <c r="J26668">
        <v>5</v>
      </c>
    </row>
    <row r="26669" spans="1:10" x14ac:dyDescent="0.25">
      <c r="A26669" t="s">
        <v>1645</v>
      </c>
      <c r="B26669" s="1" t="str">
        <f>HYPERLINK("http://ocbc.com.sg","ocbc.com.sg")</f>
        <v>ocbc.com.sg</v>
      </c>
      <c r="C26669" t="s">
        <v>496</v>
      </c>
      <c r="D26669" t="s">
        <v>870</v>
      </c>
      <c r="E26669">
        <v>739855</v>
      </c>
      <c r="F26669">
        <v>6.14023491013847E-8</v>
      </c>
      <c r="G26669">
        <v>716863</v>
      </c>
      <c r="H26669">
        <v>14555035</v>
      </c>
      <c r="I26669">
        <v>753077</v>
      </c>
      <c r="J26669">
        <v>2</v>
      </c>
    </row>
    <row r="26670" spans="1:10" x14ac:dyDescent="0.25">
      <c r="A26670" t="s">
        <v>1646</v>
      </c>
      <c r="B26670" s="1" t="str">
        <f>HYPERLINK("http://pinduoduo.com","pinduoduo.com")</f>
        <v>pinduoduo.com</v>
      </c>
      <c r="C26670" t="s">
        <v>433</v>
      </c>
      <c r="E26670">
        <v>2340</v>
      </c>
      <c r="F26670">
        <v>1.5369187624129899E-6</v>
      </c>
      <c r="G26670">
        <v>25519</v>
      </c>
      <c r="H26670">
        <v>15338720</v>
      </c>
      <c r="I26670">
        <v>383486</v>
      </c>
      <c r="J26670">
        <v>1</v>
      </c>
    </row>
    <row r="26671" spans="1:10" x14ac:dyDescent="0.25">
      <c r="A26671" t="s">
        <v>1646</v>
      </c>
      <c r="B26671" s="1" t="str">
        <f>HYPERLINK("http://pinduoduo-global.com","pinduoduo-global.com")</f>
        <v>pinduoduo-global.com</v>
      </c>
      <c r="C26671" t="s">
        <v>433</v>
      </c>
      <c r="E26671">
        <v>899278</v>
      </c>
      <c r="F26671">
        <v>1.17812204417002E-7</v>
      </c>
      <c r="G26671">
        <v>336718</v>
      </c>
      <c r="H26671">
        <v>14619301</v>
      </c>
      <c r="I26671">
        <v>660307</v>
      </c>
      <c r="J26671">
        <v>3</v>
      </c>
    </row>
    <row r="26672" spans="1:10" x14ac:dyDescent="0.25">
      <c r="A26672" t="s">
        <v>1647</v>
      </c>
      <c r="B26672" s="1" t="str">
        <f>HYPERLINK("http://pge.com","pge.com")</f>
        <v>pge.com</v>
      </c>
      <c r="C26672" t="s">
        <v>433</v>
      </c>
      <c r="E26672">
        <v>8453</v>
      </c>
      <c r="F26672">
        <v>2.3831090625288901E-6</v>
      </c>
      <c r="G26672">
        <v>15576</v>
      </c>
      <c r="H26672">
        <v>17473450</v>
      </c>
      <c r="I26672">
        <v>14903</v>
      </c>
      <c r="J26672">
        <v>3</v>
      </c>
    </row>
    <row r="26673" spans="1:10" x14ac:dyDescent="0.25">
      <c r="A26673" t="s">
        <v>1647</v>
      </c>
      <c r="B26673" s="1" t="str">
        <f>HYPERLINK("http://pgecorp.com","pgecorp.com")</f>
        <v>pgecorp.com</v>
      </c>
      <c r="C26673" t="s">
        <v>433</v>
      </c>
      <c r="E26673">
        <v>306548</v>
      </c>
      <c r="F26673">
        <v>2.7514849766802601E-7</v>
      </c>
      <c r="G26673">
        <v>135186</v>
      </c>
      <c r="H26673">
        <v>14792495</v>
      </c>
      <c r="I26673">
        <v>550382</v>
      </c>
      <c r="J26673">
        <v>1</v>
      </c>
    </row>
    <row r="26674" spans="1:10" x14ac:dyDescent="0.25">
      <c r="A26674" t="s">
        <v>295</v>
      </c>
      <c r="B26674" s="1" t="str">
        <f>HYPERLINK("http://bank-locations.com","bank-locations.com")</f>
        <v>bank-locations.com</v>
      </c>
      <c r="C26674" t="s">
        <v>433</v>
      </c>
      <c r="F26674">
        <v>6.32732208140824E-9</v>
      </c>
      <c r="G26674">
        <v>14901201</v>
      </c>
      <c r="H26674">
        <v>14071954</v>
      </c>
      <c r="I26674">
        <v>3215577</v>
      </c>
      <c r="J26674">
        <v>3</v>
      </c>
    </row>
    <row r="26675" spans="1:10" x14ac:dyDescent="0.25">
      <c r="A26675" t="s">
        <v>295</v>
      </c>
      <c r="B26675" s="1" t="str">
        <f>HYPERLINK("http://bbvacompass.com","bbvacompass.com")</f>
        <v>bbvacompass.com</v>
      </c>
      <c r="C26675" t="s">
        <v>433</v>
      </c>
      <c r="E26675">
        <v>155505</v>
      </c>
      <c r="F26675">
        <v>3.00813430657172E-7</v>
      </c>
      <c r="G26675">
        <v>123641</v>
      </c>
      <c r="H26675">
        <v>14789187</v>
      </c>
      <c r="I26675">
        <v>551449</v>
      </c>
      <c r="J26675">
        <v>3</v>
      </c>
    </row>
    <row r="26676" spans="1:10" x14ac:dyDescent="0.25">
      <c r="A26676" t="s">
        <v>295</v>
      </c>
      <c r="B26676" s="1" t="str">
        <f>HYPERLINK("http://bbvausa.com","bbvausa.com")</f>
        <v>bbvausa.com</v>
      </c>
      <c r="C26676" t="s">
        <v>433</v>
      </c>
      <c r="E26676">
        <v>358775</v>
      </c>
      <c r="F26676">
        <v>2.0887068129481299E-7</v>
      </c>
      <c r="G26676">
        <v>181252</v>
      </c>
      <c r="H26676">
        <v>14466772</v>
      </c>
      <c r="I26676">
        <v>1044110</v>
      </c>
      <c r="J26676">
        <v>6</v>
      </c>
    </row>
    <row r="26677" spans="1:10" x14ac:dyDescent="0.25">
      <c r="A26677" t="s">
        <v>295</v>
      </c>
      <c r="B26677" s="1" t="str">
        <f>HYPERLINK("http://bbvawealthsolutions.com","bbvawealthsolutions.com")</f>
        <v>bbvawealthsolutions.com</v>
      </c>
      <c r="C26677" t="s">
        <v>433</v>
      </c>
      <c r="F26677">
        <v>4.6749761837779298E-9</v>
      </c>
      <c r="G26677">
        <v>42650088</v>
      </c>
      <c r="H26677">
        <v>12287189</v>
      </c>
      <c r="I26677">
        <v>21171291</v>
      </c>
      <c r="J26677">
        <v>8</v>
      </c>
    </row>
    <row r="26678" spans="1:10" x14ac:dyDescent="0.25">
      <c r="A26678" t="s">
        <v>295</v>
      </c>
      <c r="B26678" s="1" t="str">
        <f>HYPERLINK("http://firststerling.com","firststerling.com")</f>
        <v>firststerling.com</v>
      </c>
      <c r="C26678" t="s">
        <v>433</v>
      </c>
      <c r="F26678">
        <v>4.6492801706869003E-9</v>
      </c>
      <c r="G26678">
        <v>44188271</v>
      </c>
      <c r="H26678">
        <v>8422758</v>
      </c>
      <c r="I26678">
        <v>72837891</v>
      </c>
      <c r="J26678">
        <v>9</v>
      </c>
    </row>
    <row r="26679" spans="1:10" x14ac:dyDescent="0.25">
      <c r="A26679" t="s">
        <v>295</v>
      </c>
      <c r="B26679" s="1" t="str">
        <f>HYPERLINK("http://highlandassoc.com","highlandassoc.com")</f>
        <v>highlandassoc.com</v>
      </c>
      <c r="C26679" t="s">
        <v>433</v>
      </c>
      <c r="F26679">
        <v>4.9127092275154102E-9</v>
      </c>
      <c r="G26679">
        <v>32101836</v>
      </c>
      <c r="H26679">
        <v>12049776</v>
      </c>
      <c r="I26679">
        <v>27244639</v>
      </c>
      <c r="J26679">
        <v>9</v>
      </c>
    </row>
    <row r="26680" spans="1:10" x14ac:dyDescent="0.25">
      <c r="A26680" t="s">
        <v>295</v>
      </c>
      <c r="B26680" s="1" t="str">
        <f>HYPERLINK("http://pnc.com","pnc.com")</f>
        <v>pnc.com</v>
      </c>
      <c r="C26680" t="s">
        <v>433</v>
      </c>
      <c r="E26680">
        <v>3581</v>
      </c>
      <c r="F26680">
        <v>4.6341200823136402E-6</v>
      </c>
      <c r="G26680">
        <v>7596</v>
      </c>
      <c r="H26680">
        <v>17626774</v>
      </c>
      <c r="I26680">
        <v>8950</v>
      </c>
      <c r="J26680">
        <v>1</v>
      </c>
    </row>
    <row r="26681" spans="1:10" x14ac:dyDescent="0.25">
      <c r="A26681" t="s">
        <v>295</v>
      </c>
      <c r="B26681" s="1" t="str">
        <f>HYPERLINK("http://pncbank.com","pncbank.com")</f>
        <v>pncbank.com</v>
      </c>
      <c r="C26681" t="s">
        <v>433</v>
      </c>
      <c r="E26681">
        <v>39273</v>
      </c>
      <c r="F26681">
        <v>2.0249390432488E-7</v>
      </c>
      <c r="G26681">
        <v>187830</v>
      </c>
      <c r="H26681">
        <v>14376003</v>
      </c>
      <c r="I26681">
        <v>1220825</v>
      </c>
      <c r="J26681">
        <v>3</v>
      </c>
    </row>
    <row r="26682" spans="1:10" x14ac:dyDescent="0.25">
      <c r="A26682" t="s">
        <v>295</v>
      </c>
      <c r="B26682" s="1" t="str">
        <f>HYPERLINK("http://pncglobaltransfers.com","pncglobaltransfers.com")</f>
        <v>pncglobaltransfers.com</v>
      </c>
      <c r="C26682" t="s">
        <v>433</v>
      </c>
      <c r="J26682">
        <v>4</v>
      </c>
    </row>
    <row r="26683" spans="1:10" x14ac:dyDescent="0.25">
      <c r="A26683" t="s">
        <v>295</v>
      </c>
      <c r="B26683" s="1" t="str">
        <f>HYPERLINK("http://regions.com","regions.com")</f>
        <v>regions.com</v>
      </c>
      <c r="C26683" t="s">
        <v>433</v>
      </c>
      <c r="E26683">
        <v>8973</v>
      </c>
      <c r="F26683">
        <v>9.2337174925681799E-7</v>
      </c>
      <c r="G26683">
        <v>41776</v>
      </c>
      <c r="H26683">
        <v>17179610</v>
      </c>
      <c r="I26683">
        <v>45632</v>
      </c>
      <c r="J26683">
        <v>6</v>
      </c>
    </row>
    <row r="26684" spans="1:10" x14ac:dyDescent="0.25">
      <c r="A26684" t="s">
        <v>295</v>
      </c>
      <c r="B26684" s="1" t="str">
        <f>HYPERLINK("http://regionsinsurance.com","regionsinsurance.com")</f>
        <v>regionsinsurance.com</v>
      </c>
      <c r="C26684" t="s">
        <v>433</v>
      </c>
      <c r="F26684">
        <v>1.1033180295060699E-8</v>
      </c>
      <c r="G26684">
        <v>5834815</v>
      </c>
      <c r="H26684">
        <v>12941798</v>
      </c>
      <c r="I26684">
        <v>13277023</v>
      </c>
      <c r="J26684">
        <v>9</v>
      </c>
    </row>
    <row r="26685" spans="1:10" x14ac:dyDescent="0.25">
      <c r="A26685" t="s">
        <v>295</v>
      </c>
      <c r="B26685" s="1" t="str">
        <f>HYPERLINK("http://simple.com","simple.com")</f>
        <v>simple.com</v>
      </c>
      <c r="C26685" t="s">
        <v>433</v>
      </c>
      <c r="E26685">
        <v>143300</v>
      </c>
      <c r="F26685">
        <v>5.6842740357975701E-7</v>
      </c>
      <c r="G26685">
        <v>67246</v>
      </c>
      <c r="H26685">
        <v>15318336</v>
      </c>
      <c r="I26685">
        <v>384755</v>
      </c>
      <c r="J26685">
        <v>8</v>
      </c>
    </row>
    <row r="26686" spans="1:10" x14ac:dyDescent="0.25">
      <c r="A26686" t="s">
        <v>295</v>
      </c>
      <c r="B26686" s="1" t="str">
        <f>HYPERLINK("http://soleburyir.com","soleburyir.com")</f>
        <v>soleburyir.com</v>
      </c>
      <c r="C26686" t="s">
        <v>433</v>
      </c>
      <c r="F26686">
        <v>5.1811579105637698E-9</v>
      </c>
      <c r="G26686">
        <v>25502653</v>
      </c>
      <c r="H26686">
        <v>13184954</v>
      </c>
      <c r="I26686">
        <v>11634952</v>
      </c>
      <c r="J26686">
        <v>7</v>
      </c>
    </row>
    <row r="26687" spans="1:10" x14ac:dyDescent="0.25">
      <c r="A26687" t="s">
        <v>295</v>
      </c>
      <c r="B26687" s="1" t="str">
        <f>HYPERLINK("http://soleburytrout.com","soleburytrout.com")</f>
        <v>soleburytrout.com</v>
      </c>
      <c r="C26687" t="s">
        <v>433</v>
      </c>
      <c r="F26687">
        <v>2.61327120548405E-8</v>
      </c>
      <c r="G26687">
        <v>1971207</v>
      </c>
      <c r="H26687">
        <v>13239932</v>
      </c>
      <c r="I26687">
        <v>11222223</v>
      </c>
      <c r="J26687">
        <v>4</v>
      </c>
    </row>
    <row r="26688" spans="1:10" x14ac:dyDescent="0.25">
      <c r="A26688" t="s">
        <v>295</v>
      </c>
      <c r="B26688" s="1" t="str">
        <f>HYPERLINK("http://solecap.com","solecap.com")</f>
        <v>solecap.com</v>
      </c>
      <c r="C26688" t="s">
        <v>433</v>
      </c>
      <c r="F26688">
        <v>1.224477335365E-8</v>
      </c>
      <c r="G26688">
        <v>5025340</v>
      </c>
      <c r="H26688">
        <v>12893253</v>
      </c>
      <c r="I26688">
        <v>13917451</v>
      </c>
      <c r="J26688">
        <v>4</v>
      </c>
    </row>
    <row r="26689" spans="1:10" x14ac:dyDescent="0.25">
      <c r="A26689" t="s">
        <v>295</v>
      </c>
      <c r="B26689" s="1" t="str">
        <f>HYPERLINK("http://sterlingfi.com","sterlingfi.com")</f>
        <v>sterlingfi.com</v>
      </c>
      <c r="C26689" t="s">
        <v>433</v>
      </c>
      <c r="F26689">
        <v>4.7515882542459499E-9</v>
      </c>
      <c r="G26689">
        <v>38254956</v>
      </c>
      <c r="H26689">
        <v>11001477</v>
      </c>
      <c r="I26689">
        <v>33562410</v>
      </c>
      <c r="J26689">
        <v>4</v>
      </c>
    </row>
    <row r="26690" spans="1:10" x14ac:dyDescent="0.25">
      <c r="A26690" t="s">
        <v>295</v>
      </c>
      <c r="B26690" s="1" t="str">
        <f>HYPERLINK("http://usbanklocations.com","usbanklocations.com")</f>
        <v>usbanklocations.com</v>
      </c>
      <c r="C26690" t="s">
        <v>433</v>
      </c>
      <c r="E26690">
        <v>108972</v>
      </c>
      <c r="F26690">
        <v>5.9824987632579095E-8</v>
      </c>
      <c r="G26690">
        <v>738385</v>
      </c>
      <c r="H26690">
        <v>14956460</v>
      </c>
      <c r="I26690">
        <v>438427</v>
      </c>
      <c r="J26690">
        <v>3</v>
      </c>
    </row>
    <row r="26691" spans="1:10" x14ac:dyDescent="0.25">
      <c r="A26691" t="s">
        <v>295</v>
      </c>
      <c r="B26691" s="1" t="str">
        <f>HYPERLINK("http://denizen.io","denizen.io")</f>
        <v>denizen.io</v>
      </c>
      <c r="C26691" t="s">
        <v>518</v>
      </c>
      <c r="F26691">
        <v>7.3573266046076897E-9</v>
      </c>
      <c r="G26691">
        <v>11343942</v>
      </c>
      <c r="H26691">
        <v>13575902</v>
      </c>
      <c r="I26691">
        <v>9701647</v>
      </c>
      <c r="J26691">
        <v>8</v>
      </c>
    </row>
    <row r="26692" spans="1:10" x14ac:dyDescent="0.25">
      <c r="A26692" t="s">
        <v>295</v>
      </c>
      <c r="B26692" s="1" t="str">
        <f>HYPERLINK("http://cpil.co.uk","cpil.co.uk")</f>
        <v>cpil.co.uk</v>
      </c>
      <c r="C26692" t="s">
        <v>506</v>
      </c>
      <c r="D26692" t="s">
        <v>880</v>
      </c>
      <c r="F26692">
        <v>6.4391330078301504E-9</v>
      </c>
      <c r="G26692">
        <v>14341597</v>
      </c>
      <c r="H26692">
        <v>12432516</v>
      </c>
      <c r="I26692">
        <v>18265342</v>
      </c>
      <c r="J26692">
        <v>9</v>
      </c>
    </row>
    <row r="26693" spans="1:10" x14ac:dyDescent="0.25">
      <c r="A26693" t="s">
        <v>1648</v>
      </c>
      <c r="B26693" s="1" t="str">
        <f>HYPERLINK("http://daf.at","daf.at")</f>
        <v>daf.at</v>
      </c>
      <c r="C26693" t="s">
        <v>419</v>
      </c>
      <c r="D26693" t="s">
        <v>801</v>
      </c>
      <c r="F26693">
        <v>1.5509292337267698E-8</v>
      </c>
      <c r="G26693">
        <v>3682004</v>
      </c>
      <c r="H26693">
        <v>12197836</v>
      </c>
      <c r="I26693">
        <v>23377749</v>
      </c>
      <c r="J26693">
        <v>5</v>
      </c>
    </row>
    <row r="26694" spans="1:10" x14ac:dyDescent="0.25">
      <c r="A26694" t="s">
        <v>1648</v>
      </c>
      <c r="B26694" s="1" t="str">
        <f>HYPERLINK("http://paccar.com.au","paccar.com.au")</f>
        <v>paccar.com.au</v>
      </c>
      <c r="C26694" t="s">
        <v>420</v>
      </c>
      <c r="D26694" t="s">
        <v>802</v>
      </c>
      <c r="F26694">
        <v>1.47596380776614E-8</v>
      </c>
      <c r="G26694">
        <v>3920745</v>
      </c>
      <c r="H26694">
        <v>13941696</v>
      </c>
      <c r="I26694">
        <v>4343028</v>
      </c>
      <c r="J26694">
        <v>7</v>
      </c>
    </row>
    <row r="26695" spans="1:10" x14ac:dyDescent="0.25">
      <c r="A26695" t="s">
        <v>1648</v>
      </c>
      <c r="B26695" s="1" t="str">
        <f>HYPERLINK("http://paccarfinancial.com.au","paccarfinancial.com.au")</f>
        <v>paccarfinancial.com.au</v>
      </c>
      <c r="C26695" t="s">
        <v>420</v>
      </c>
      <c r="D26695" t="s">
        <v>802</v>
      </c>
      <c r="F26695">
        <v>4.7466420116532397E-9</v>
      </c>
      <c r="G26695">
        <v>38482672</v>
      </c>
      <c r="H26695">
        <v>10692581</v>
      </c>
      <c r="I26695">
        <v>42453614</v>
      </c>
      <c r="J26695">
        <v>3</v>
      </c>
    </row>
    <row r="26696" spans="1:10" x14ac:dyDescent="0.25">
      <c r="A26696" t="s">
        <v>1648</v>
      </c>
      <c r="B26696" s="1" t="str">
        <f>HYPERLINK("http://paclease.com.au","paclease.com.au")</f>
        <v>paclease.com.au</v>
      </c>
      <c r="C26696" t="s">
        <v>420</v>
      </c>
      <c r="D26696" t="s">
        <v>802</v>
      </c>
      <c r="F26696">
        <v>5.0327514898979497E-9</v>
      </c>
      <c r="G26696">
        <v>28606414</v>
      </c>
      <c r="H26696">
        <v>10382782</v>
      </c>
      <c r="I26696">
        <v>54522930</v>
      </c>
      <c r="J26696">
        <v>5</v>
      </c>
    </row>
    <row r="26697" spans="1:10" x14ac:dyDescent="0.25">
      <c r="A26697" t="s">
        <v>1648</v>
      </c>
      <c r="B26697" s="1" t="str">
        <f>HYPERLINK("http://daf.be","daf.be")</f>
        <v>daf.be</v>
      </c>
      <c r="C26697" t="s">
        <v>421</v>
      </c>
      <c r="D26697" t="s">
        <v>803</v>
      </c>
      <c r="F26697">
        <v>2.9750973070704902E-8</v>
      </c>
      <c r="G26697">
        <v>1729829</v>
      </c>
      <c r="H26697">
        <v>12729800</v>
      </c>
      <c r="I26697">
        <v>15199009</v>
      </c>
      <c r="J26697">
        <v>4</v>
      </c>
    </row>
    <row r="26698" spans="1:10" x14ac:dyDescent="0.25">
      <c r="A26698" t="s">
        <v>1648</v>
      </c>
      <c r="B26698" s="1" t="str">
        <f>HYPERLINK("http://dafcaminhoes.com.br","dafcaminhoes.com.br")</f>
        <v>dafcaminhoes.com.br</v>
      </c>
      <c r="C26698" t="s">
        <v>425</v>
      </c>
      <c r="D26698" t="s">
        <v>806</v>
      </c>
      <c r="F26698">
        <v>1.34636958935672E-8</v>
      </c>
      <c r="G26698">
        <v>4419403</v>
      </c>
      <c r="H26698">
        <v>13768614</v>
      </c>
      <c r="I26698">
        <v>6865161</v>
      </c>
      <c r="J26698">
        <v>4</v>
      </c>
    </row>
    <row r="26699" spans="1:10" x14ac:dyDescent="0.25">
      <c r="A26699" t="s">
        <v>1648</v>
      </c>
      <c r="B26699" s="1" t="str">
        <f>HYPERLINK("http://daf.ch","daf.ch")</f>
        <v>daf.ch</v>
      </c>
      <c r="C26699" t="s">
        <v>429</v>
      </c>
      <c r="D26699" t="s">
        <v>810</v>
      </c>
      <c r="F26699">
        <v>2.2826688079000999E-8</v>
      </c>
      <c r="G26699">
        <v>2290927</v>
      </c>
      <c r="H26699">
        <v>12120976</v>
      </c>
      <c r="I26699">
        <v>25381865</v>
      </c>
      <c r="J26699">
        <v>5</v>
      </c>
    </row>
    <row r="26700" spans="1:10" x14ac:dyDescent="0.25">
      <c r="A26700" t="s">
        <v>1648</v>
      </c>
      <c r="B26700" s="1" t="str">
        <f>HYPERLINK("http://anpeautomecanica.com","anpeautomecanica.com")</f>
        <v>anpeautomecanica.com</v>
      </c>
      <c r="C26700" t="s">
        <v>433</v>
      </c>
      <c r="F26700">
        <v>5.22204492194036E-9</v>
      </c>
      <c r="G26700">
        <v>24710485</v>
      </c>
      <c r="H26700">
        <v>10394780</v>
      </c>
      <c r="I26700">
        <v>54322390</v>
      </c>
      <c r="J26700">
        <v>6</v>
      </c>
    </row>
    <row r="26701" spans="1:10" x14ac:dyDescent="0.25">
      <c r="A26701" t="s">
        <v>1648</v>
      </c>
      <c r="B26701" s="1" t="str">
        <f>HYPERLINK("http://anthology-digital.com","anthology-digital.com")</f>
        <v>anthology-digital.com</v>
      </c>
      <c r="C26701" t="s">
        <v>433</v>
      </c>
      <c r="E26701">
        <v>303021</v>
      </c>
      <c r="F26701">
        <v>2.07080357468621E-8</v>
      </c>
      <c r="G26701">
        <v>2555707</v>
      </c>
      <c r="H26701">
        <v>13170309</v>
      </c>
      <c r="I26701">
        <v>11723147</v>
      </c>
      <c r="J26701">
        <v>5</v>
      </c>
    </row>
    <row r="26702" spans="1:10" x14ac:dyDescent="0.25">
      <c r="A26702" t="s">
        <v>1648</v>
      </c>
      <c r="B26702" s="1" t="str">
        <f>HYPERLINK("http://daf.com","daf.com")</f>
        <v>daf.com</v>
      </c>
      <c r="C26702" t="s">
        <v>433</v>
      </c>
      <c r="E26702">
        <v>136108</v>
      </c>
      <c r="F26702">
        <v>3.6699398850773499E-7</v>
      </c>
      <c r="G26702">
        <v>101993</v>
      </c>
      <c r="H26702">
        <v>14985566</v>
      </c>
      <c r="I26702">
        <v>429444</v>
      </c>
      <c r="J26702">
        <v>4</v>
      </c>
    </row>
    <row r="26703" spans="1:10" x14ac:dyDescent="0.25">
      <c r="A26703" t="s">
        <v>1648</v>
      </c>
      <c r="B26703" s="1" t="str">
        <f>HYPERLINK("http://dafbbi.com","dafbbi.com")</f>
        <v>dafbbi.com</v>
      </c>
      <c r="C26703" t="s">
        <v>433</v>
      </c>
      <c r="F26703">
        <v>2.9688827874923899E-8</v>
      </c>
      <c r="G26703">
        <v>1734031</v>
      </c>
      <c r="H26703">
        <v>11475081</v>
      </c>
      <c r="I26703">
        <v>30073999</v>
      </c>
      <c r="J26703">
        <v>5</v>
      </c>
    </row>
    <row r="26704" spans="1:10" x14ac:dyDescent="0.25">
      <c r="A26704" t="s">
        <v>1648</v>
      </c>
      <c r="B26704" s="1" t="str">
        <f>HYPERLINK("http://dafcomponents.com","dafcomponents.com")</f>
        <v>dafcomponents.com</v>
      </c>
      <c r="C26704" t="s">
        <v>433</v>
      </c>
      <c r="F26704">
        <v>2.2985074030343699E-8</v>
      </c>
      <c r="G26704">
        <v>2273477</v>
      </c>
      <c r="H26704">
        <v>12099553</v>
      </c>
      <c r="I26704">
        <v>25979504</v>
      </c>
      <c r="J26704">
        <v>5</v>
      </c>
    </row>
    <row r="26705" spans="1:10" x14ac:dyDescent="0.25">
      <c r="A26705" t="s">
        <v>1648</v>
      </c>
      <c r="B26705" s="1" t="str">
        <f>HYPERLINK("http://daftrucks.com","daftrucks.com")</f>
        <v>daftrucks.com</v>
      </c>
      <c r="C26705" t="s">
        <v>433</v>
      </c>
      <c r="F26705">
        <v>2.1299921169828101E-8</v>
      </c>
      <c r="G26705">
        <v>2474214</v>
      </c>
      <c r="H26705">
        <v>12654190</v>
      </c>
      <c r="I26705">
        <v>15772982</v>
      </c>
      <c r="J26705">
        <v>4</v>
      </c>
    </row>
    <row r="26706" spans="1:10" x14ac:dyDescent="0.25">
      <c r="A26706" t="s">
        <v>1648</v>
      </c>
      <c r="B26706" s="1" t="str">
        <f>HYPERLINK("http://dafusedtrucks.com","dafusedtrucks.com")</f>
        <v>dafusedtrucks.com</v>
      </c>
      <c r="C26706" t="s">
        <v>433</v>
      </c>
      <c r="F26706">
        <v>3.40772692333856E-8</v>
      </c>
      <c r="G26706">
        <v>1519976</v>
      </c>
      <c r="H26706">
        <v>11289470</v>
      </c>
      <c r="I26706">
        <v>30658998</v>
      </c>
      <c r="J26706">
        <v>5</v>
      </c>
    </row>
    <row r="26707" spans="1:10" x14ac:dyDescent="0.25">
      <c r="A26707" t="s">
        <v>1648</v>
      </c>
      <c r="B26707" s="1" t="str">
        <f>HYPERLINK("http://hissonggroup.com","hissonggroup.com")</f>
        <v>hissonggroup.com</v>
      </c>
      <c r="C26707" t="s">
        <v>433</v>
      </c>
      <c r="F26707">
        <v>5.3563704561470801E-9</v>
      </c>
      <c r="G26707">
        <v>22717046</v>
      </c>
      <c r="H26707">
        <v>10895055</v>
      </c>
      <c r="I26707">
        <v>35951418</v>
      </c>
      <c r="J26707">
        <v>5</v>
      </c>
    </row>
    <row r="26708" spans="1:10" x14ac:dyDescent="0.25">
      <c r="A26708" t="s">
        <v>1648</v>
      </c>
      <c r="B26708" s="1" t="str">
        <f>HYPERLINK("http://kenworth.com","kenworth.com")</f>
        <v>kenworth.com</v>
      </c>
      <c r="C26708" t="s">
        <v>433</v>
      </c>
      <c r="E26708">
        <v>194682</v>
      </c>
      <c r="F26708">
        <v>2.6382153476054802E-7</v>
      </c>
      <c r="G26708">
        <v>141504</v>
      </c>
      <c r="H26708">
        <v>17152110</v>
      </c>
      <c r="I26708">
        <v>51804</v>
      </c>
      <c r="J26708">
        <v>3</v>
      </c>
    </row>
    <row r="26709" spans="1:10" x14ac:dyDescent="0.25">
      <c r="A26709" t="s">
        <v>1648</v>
      </c>
      <c r="B26709" s="1" t="str">
        <f>HYPERLINK("http://paccar.com","paccar.com")</f>
        <v>paccar.com</v>
      </c>
      <c r="C26709" t="s">
        <v>433</v>
      </c>
      <c r="E26709">
        <v>75389</v>
      </c>
      <c r="F26709">
        <v>3.8535447569145499E-7</v>
      </c>
      <c r="G26709">
        <v>97186</v>
      </c>
      <c r="H26709">
        <v>17185146</v>
      </c>
      <c r="I26709">
        <v>44527</v>
      </c>
      <c r="J26709">
        <v>1</v>
      </c>
    </row>
    <row r="26710" spans="1:10" x14ac:dyDescent="0.25">
      <c r="A26710" t="s">
        <v>1648</v>
      </c>
      <c r="B26710" s="1" t="str">
        <f>HYPERLINK("http://paccarfinancial.com","paccarfinancial.com")</f>
        <v>paccarfinancial.com</v>
      </c>
      <c r="C26710" t="s">
        <v>433</v>
      </c>
      <c r="F26710">
        <v>2.8604100277839699E-8</v>
      </c>
      <c r="G26710">
        <v>1799082</v>
      </c>
      <c r="H26710">
        <v>12925911</v>
      </c>
      <c r="I26710">
        <v>13389877</v>
      </c>
      <c r="J26710">
        <v>3</v>
      </c>
    </row>
    <row r="26711" spans="1:10" x14ac:dyDescent="0.25">
      <c r="A26711" t="s">
        <v>1648</v>
      </c>
      <c r="B26711" s="1" t="str">
        <f>HYPERLINK("http://paclease.com","paclease.com")</f>
        <v>paclease.com</v>
      </c>
      <c r="C26711" t="s">
        <v>433</v>
      </c>
      <c r="F26711">
        <v>2.4404340081208001E-8</v>
      </c>
      <c r="G26711">
        <v>2123560</v>
      </c>
      <c r="H26711">
        <v>13352255</v>
      </c>
      <c r="I26711">
        <v>10608659</v>
      </c>
      <c r="J26711">
        <v>4</v>
      </c>
    </row>
    <row r="26712" spans="1:10" x14ac:dyDescent="0.25">
      <c r="A26712" t="s">
        <v>1648</v>
      </c>
      <c r="B26712" s="1" t="str">
        <f>HYPERLINK("http://daftrucks.cz","daftrucks.cz")</f>
        <v>daftrucks.cz</v>
      </c>
      <c r="C26712" t="s">
        <v>435</v>
      </c>
      <c r="D26712" t="s">
        <v>814</v>
      </c>
      <c r="F26712">
        <v>2.7656425029243299E-8</v>
      </c>
      <c r="G26712">
        <v>1859103</v>
      </c>
      <c r="H26712">
        <v>12104526</v>
      </c>
      <c r="I26712">
        <v>25861034</v>
      </c>
      <c r="J26712">
        <v>4</v>
      </c>
    </row>
    <row r="26713" spans="1:10" x14ac:dyDescent="0.25">
      <c r="A26713" t="s">
        <v>1648</v>
      </c>
      <c r="B26713" s="1" t="str">
        <f>HYPERLINK("http://daftrucks.de","daftrucks.de")</f>
        <v>daftrucks.de</v>
      </c>
      <c r="C26713" t="s">
        <v>436</v>
      </c>
      <c r="D26713" t="s">
        <v>815</v>
      </c>
      <c r="F26713">
        <v>9.3818474024589498E-8</v>
      </c>
      <c r="G26713">
        <v>432899</v>
      </c>
      <c r="H26713">
        <v>14388090</v>
      </c>
      <c r="I26713">
        <v>1173979</v>
      </c>
      <c r="J26713">
        <v>3</v>
      </c>
    </row>
    <row r="26714" spans="1:10" x14ac:dyDescent="0.25">
      <c r="A26714" t="s">
        <v>1648</v>
      </c>
      <c r="B26714" s="1" t="str">
        <f>HYPERLINK("http://paclease.de","paclease.de")</f>
        <v>paclease.de</v>
      </c>
      <c r="C26714" t="s">
        <v>436</v>
      </c>
      <c r="D26714" t="s">
        <v>815</v>
      </c>
      <c r="F26714">
        <v>1.7593118641084799E-8</v>
      </c>
      <c r="G26714">
        <v>3120496</v>
      </c>
      <c r="H26714">
        <v>12196963</v>
      </c>
      <c r="I26714">
        <v>23399200</v>
      </c>
      <c r="J26714">
        <v>3</v>
      </c>
    </row>
    <row r="26715" spans="1:10" x14ac:dyDescent="0.25">
      <c r="A26715" t="s">
        <v>1648</v>
      </c>
      <c r="B26715" s="1" t="str">
        <f>HYPERLINK("http://daftrucks.dk","daftrucks.dk")</f>
        <v>daftrucks.dk</v>
      </c>
      <c r="C26715" t="s">
        <v>437</v>
      </c>
      <c r="D26715" t="s">
        <v>816</v>
      </c>
      <c r="F26715">
        <v>1.0139177731444101E-8</v>
      </c>
      <c r="G26715">
        <v>6607419</v>
      </c>
      <c r="H26715">
        <v>14072164</v>
      </c>
      <c r="I26715">
        <v>3148052</v>
      </c>
      <c r="J26715">
        <v>5</v>
      </c>
    </row>
    <row r="26716" spans="1:10" x14ac:dyDescent="0.25">
      <c r="A26716" t="s">
        <v>1648</v>
      </c>
      <c r="B26716" s="1" t="str">
        <f>HYPERLINK("http://daf.es","daf.es")</f>
        <v>daf.es</v>
      </c>
      <c r="C26716" t="s">
        <v>443</v>
      </c>
      <c r="D26716" t="s">
        <v>822</v>
      </c>
      <c r="F26716">
        <v>5.1008928442488702E-8</v>
      </c>
      <c r="G26716">
        <v>898723</v>
      </c>
      <c r="H26716">
        <v>12232336</v>
      </c>
      <c r="I26716">
        <v>22439307</v>
      </c>
      <c r="J26716">
        <v>4</v>
      </c>
    </row>
    <row r="26717" spans="1:10" x14ac:dyDescent="0.25">
      <c r="A26717" t="s">
        <v>1648</v>
      </c>
      <c r="B26717" s="1" t="str">
        <f>HYPERLINK("http://madefordaf.fi","madefordaf.fi")</f>
        <v>madefordaf.fi</v>
      </c>
      <c r="C26717" t="s">
        <v>445</v>
      </c>
      <c r="D26717" t="s">
        <v>823</v>
      </c>
      <c r="J26717">
        <v>2</v>
      </c>
    </row>
    <row r="26718" spans="1:10" x14ac:dyDescent="0.25">
      <c r="A26718" t="s">
        <v>1648</v>
      </c>
      <c r="B26718" s="1" t="str">
        <f>HYPERLINK("http://paccarparts.fi","paccarparts.fi")</f>
        <v>paccarparts.fi</v>
      </c>
      <c r="C26718" t="s">
        <v>445</v>
      </c>
      <c r="D26718" t="s">
        <v>823</v>
      </c>
      <c r="J26718">
        <v>2</v>
      </c>
    </row>
    <row r="26719" spans="1:10" x14ac:dyDescent="0.25">
      <c r="A26719" t="s">
        <v>1648</v>
      </c>
      <c r="B26719" s="1" t="str">
        <f>HYPERLINK("http://daf.fr","daf.fr")</f>
        <v>daf.fr</v>
      </c>
      <c r="C26719" t="s">
        <v>446</v>
      </c>
      <c r="D26719" t="s">
        <v>824</v>
      </c>
      <c r="F26719">
        <v>3.7661926742262899E-8</v>
      </c>
      <c r="G26719">
        <v>1374021</v>
      </c>
      <c r="H26719">
        <v>12401944</v>
      </c>
      <c r="I26719">
        <v>18750359</v>
      </c>
      <c r="J26719">
        <v>4</v>
      </c>
    </row>
    <row r="26720" spans="1:10" x14ac:dyDescent="0.25">
      <c r="A26720" t="s">
        <v>1648</v>
      </c>
      <c r="B26720" s="1" t="str">
        <f>HYPERLINK("http://daf.global","daf.global")</f>
        <v>daf.global</v>
      </c>
      <c r="C26720" t="s">
        <v>517</v>
      </c>
      <c r="F26720">
        <v>1.8416307768395099E-8</v>
      </c>
      <c r="G26720">
        <v>2942438</v>
      </c>
      <c r="H26720">
        <v>12195709</v>
      </c>
      <c r="I26720">
        <v>23434528</v>
      </c>
      <c r="J26720">
        <v>5</v>
      </c>
    </row>
    <row r="26721" spans="1:10" x14ac:dyDescent="0.25">
      <c r="A26721" t="s">
        <v>1648</v>
      </c>
      <c r="B26721" s="1" t="str">
        <f>HYPERLINK("http://daftrucks.hu","daftrucks.hu")</f>
        <v>daftrucks.hu</v>
      </c>
      <c r="C26721" t="s">
        <v>453</v>
      </c>
      <c r="D26721" t="s">
        <v>830</v>
      </c>
      <c r="F26721">
        <v>1.8380661187570101E-8</v>
      </c>
      <c r="G26721">
        <v>2951793</v>
      </c>
      <c r="H26721">
        <v>13340518</v>
      </c>
      <c r="I26721">
        <v>10670445</v>
      </c>
      <c r="J26721">
        <v>5</v>
      </c>
    </row>
    <row r="26722" spans="1:10" x14ac:dyDescent="0.25">
      <c r="A26722" t="s">
        <v>1648</v>
      </c>
      <c r="B26722" s="1" t="str">
        <f>HYPERLINK("http://daf.ie","daf.ie")</f>
        <v>daf.ie</v>
      </c>
      <c r="C26722" t="s">
        <v>455</v>
      </c>
      <c r="D26722" t="s">
        <v>832</v>
      </c>
      <c r="F26722">
        <v>1.0054265597069E-8</v>
      </c>
      <c r="G26722">
        <v>6701243</v>
      </c>
      <c r="H26722">
        <v>12873695</v>
      </c>
      <c r="I26722">
        <v>14043609</v>
      </c>
      <c r="J26722">
        <v>5</v>
      </c>
    </row>
    <row r="26723" spans="1:10" x14ac:dyDescent="0.25">
      <c r="A26723" t="s">
        <v>1648</v>
      </c>
      <c r="B26723" s="1" t="str">
        <f>HYPERLINK("http://daf.co.il","daf.co.il")</f>
        <v>daf.co.il</v>
      </c>
      <c r="C26723" t="s">
        <v>456</v>
      </c>
      <c r="D26723" t="s">
        <v>833</v>
      </c>
      <c r="F26723">
        <v>4.8069256683428202E-9</v>
      </c>
      <c r="G26723">
        <v>35815918</v>
      </c>
      <c r="H26723">
        <v>13763634</v>
      </c>
      <c r="I26723">
        <v>8470923</v>
      </c>
      <c r="J26723">
        <v>5</v>
      </c>
    </row>
    <row r="26724" spans="1:10" x14ac:dyDescent="0.25">
      <c r="A26724" t="s">
        <v>1648</v>
      </c>
      <c r="B26724" s="1" t="str">
        <f>HYPERLINK("http://daftrucks.it","daftrucks.it")</f>
        <v>daftrucks.it</v>
      </c>
      <c r="C26724" t="s">
        <v>459</v>
      </c>
      <c r="D26724" t="s">
        <v>835</v>
      </c>
      <c r="F26724">
        <v>3.0717793740181899E-8</v>
      </c>
      <c r="G26724">
        <v>1677003</v>
      </c>
      <c r="H26724">
        <v>12937778</v>
      </c>
      <c r="I26724">
        <v>13320527</v>
      </c>
      <c r="J26724">
        <v>3</v>
      </c>
    </row>
    <row r="26725" spans="1:10" x14ac:dyDescent="0.25">
      <c r="A26725" t="s">
        <v>1648</v>
      </c>
      <c r="B26725" s="1" t="str">
        <f>HYPERLINK("http://daf.lv","daf.lv")</f>
        <v>daf.lv</v>
      </c>
      <c r="C26725" t="s">
        <v>468</v>
      </c>
      <c r="D26725" t="s">
        <v>844</v>
      </c>
      <c r="F26725">
        <v>5.7410885750753301E-9</v>
      </c>
      <c r="G26725">
        <v>18571036</v>
      </c>
      <c r="H26725">
        <v>10748793</v>
      </c>
      <c r="I26725">
        <v>40123721</v>
      </c>
      <c r="J26725">
        <v>5</v>
      </c>
    </row>
    <row r="26726" spans="1:10" x14ac:dyDescent="0.25">
      <c r="A26726" t="s">
        <v>1648</v>
      </c>
      <c r="B26726" s="1" t="str">
        <f>HYPERLINK("http://kenworth.com.mx","kenworth.com.mx")</f>
        <v>kenworth.com.mx</v>
      </c>
      <c r="C26726" t="s">
        <v>471</v>
      </c>
      <c r="D26726" t="s">
        <v>847</v>
      </c>
      <c r="F26726">
        <v>1.56141260252961E-8</v>
      </c>
      <c r="G26726">
        <v>3651236</v>
      </c>
      <c r="H26726">
        <v>14072660</v>
      </c>
      <c r="I26726">
        <v>3060671</v>
      </c>
      <c r="J26726">
        <v>3</v>
      </c>
    </row>
    <row r="26727" spans="1:10" x14ac:dyDescent="0.25">
      <c r="A26727" t="s">
        <v>1648</v>
      </c>
      <c r="B26727" s="1" t="str">
        <f>HYPERLINK("http://kenworthbajio.com.mx","kenworthbajio.com.mx")</f>
        <v>kenworthbajio.com.mx</v>
      </c>
      <c r="C26727" t="s">
        <v>471</v>
      </c>
      <c r="D26727" t="s">
        <v>847</v>
      </c>
      <c r="J26727">
        <v>5</v>
      </c>
    </row>
    <row r="26728" spans="1:10" x14ac:dyDescent="0.25">
      <c r="A26728" t="s">
        <v>1648</v>
      </c>
      <c r="B26728" s="1" t="str">
        <f>HYPERLINK("http://kwbace.com.mx","kwbace.com.mx")</f>
        <v>kwbace.com.mx</v>
      </c>
      <c r="C26728" t="s">
        <v>471</v>
      </c>
      <c r="D26728" t="s">
        <v>847</v>
      </c>
      <c r="F26728">
        <v>4.6496759011143301E-9</v>
      </c>
      <c r="G26728">
        <v>44163894</v>
      </c>
      <c r="H26728">
        <v>7754628.5</v>
      </c>
      <c r="I26728">
        <v>75772243</v>
      </c>
      <c r="J26728">
        <v>5</v>
      </c>
    </row>
    <row r="26729" spans="1:10" x14ac:dyDescent="0.25">
      <c r="A26729" t="s">
        <v>1648</v>
      </c>
      <c r="B26729" s="1" t="str">
        <f>HYPERLINK("http://paclease.com.mx","paclease.com.mx")</f>
        <v>paclease.com.mx</v>
      </c>
      <c r="C26729" t="s">
        <v>471</v>
      </c>
      <c r="D26729" t="s">
        <v>847</v>
      </c>
      <c r="F26729">
        <v>5.2779293581333303E-9</v>
      </c>
      <c r="G26729">
        <v>23820511</v>
      </c>
      <c r="H26729">
        <v>10540839</v>
      </c>
      <c r="I26729">
        <v>47230769</v>
      </c>
      <c r="J26729">
        <v>5</v>
      </c>
    </row>
    <row r="26730" spans="1:10" x14ac:dyDescent="0.25">
      <c r="A26730" t="s">
        <v>1648</v>
      </c>
      <c r="B26730" s="1" t="str">
        <f>HYPERLINK("http://paccar.net","paccar.net")</f>
        <v>paccar.net</v>
      </c>
      <c r="C26730" t="s">
        <v>474</v>
      </c>
      <c r="E26730">
        <v>179801</v>
      </c>
      <c r="F26730">
        <v>1.09942434321481E-8</v>
      </c>
      <c r="G26730">
        <v>5865371</v>
      </c>
      <c r="H26730">
        <v>12922508</v>
      </c>
      <c r="I26730">
        <v>13412975</v>
      </c>
      <c r="J26730">
        <v>2</v>
      </c>
    </row>
    <row r="26731" spans="1:10" x14ac:dyDescent="0.25">
      <c r="A26731" t="s">
        <v>1648</v>
      </c>
      <c r="B26731" s="1" t="str">
        <f>HYPERLINK("http://daf.nl","daf.nl")</f>
        <v>daf.nl</v>
      </c>
      <c r="C26731" t="s">
        <v>477</v>
      </c>
      <c r="D26731" t="s">
        <v>852</v>
      </c>
      <c r="E26731">
        <v>772775</v>
      </c>
      <c r="F26731">
        <v>5.7156472607204301E-8</v>
      </c>
      <c r="G26731">
        <v>780822</v>
      </c>
      <c r="H26731">
        <v>13773691</v>
      </c>
      <c r="I26731">
        <v>6624665</v>
      </c>
      <c r="J26731">
        <v>3</v>
      </c>
    </row>
    <row r="26732" spans="1:10" x14ac:dyDescent="0.25">
      <c r="A26732" t="s">
        <v>1648</v>
      </c>
      <c r="B26732" s="1" t="str">
        <f>HYPERLINK("http://daftrucks.pl","daftrucks.pl")</f>
        <v>daftrucks.pl</v>
      </c>
      <c r="C26732" t="s">
        <v>486</v>
      </c>
      <c r="D26732" t="s">
        <v>860</v>
      </c>
      <c r="F26732">
        <v>3.0868448046225003E-8</v>
      </c>
      <c r="G26732">
        <v>1668891</v>
      </c>
      <c r="H26732">
        <v>11444321</v>
      </c>
      <c r="I26732">
        <v>30128221</v>
      </c>
      <c r="J26732">
        <v>4</v>
      </c>
    </row>
    <row r="26733" spans="1:10" x14ac:dyDescent="0.25">
      <c r="A26733" t="s">
        <v>1648</v>
      </c>
      <c r="B26733" s="1" t="str">
        <f>HYPERLINK("http://daf.pt","daf.pt")</f>
        <v>daf.pt</v>
      </c>
      <c r="C26733" t="s">
        <v>488</v>
      </c>
      <c r="D26733" t="s">
        <v>862</v>
      </c>
      <c r="F26733">
        <v>8.5618735308709597E-9</v>
      </c>
      <c r="G26733">
        <v>8726045</v>
      </c>
      <c r="H26733">
        <v>11043972</v>
      </c>
      <c r="I26733">
        <v>32873006</v>
      </c>
      <c r="J26733">
        <v>5</v>
      </c>
    </row>
    <row r="26734" spans="1:10" x14ac:dyDescent="0.25">
      <c r="A26734" t="s">
        <v>1648</v>
      </c>
      <c r="B26734" s="1" t="str">
        <f>HYPERLINK("http://daf.ru","daf.ru")</f>
        <v>daf.ru</v>
      </c>
      <c r="C26734" t="s">
        <v>493</v>
      </c>
      <c r="D26734" t="s">
        <v>867</v>
      </c>
      <c r="F26734">
        <v>2.6602892861843201E-8</v>
      </c>
      <c r="G26734">
        <v>1935068</v>
      </c>
      <c r="H26734">
        <v>12191958</v>
      </c>
      <c r="I26734">
        <v>23536443</v>
      </c>
      <c r="J26734">
        <v>5</v>
      </c>
    </row>
    <row r="26735" spans="1:10" x14ac:dyDescent="0.25">
      <c r="A26735" t="s">
        <v>1648</v>
      </c>
      <c r="B26735" s="1" t="str">
        <f>HYPERLINK("http://daftrucks.sk","daftrucks.sk")</f>
        <v>daftrucks.sk</v>
      </c>
      <c r="C26735" t="s">
        <v>498</v>
      </c>
      <c r="D26735" t="s">
        <v>872</v>
      </c>
      <c r="F26735">
        <v>2.01763096776593E-8</v>
      </c>
      <c r="G26735">
        <v>2632439</v>
      </c>
      <c r="H26735">
        <v>11032791</v>
      </c>
      <c r="I26735">
        <v>33060778</v>
      </c>
      <c r="J26735">
        <v>4</v>
      </c>
    </row>
    <row r="26736" spans="1:10" x14ac:dyDescent="0.25">
      <c r="A26736" t="s">
        <v>1648</v>
      </c>
      <c r="B26736" s="1" t="str">
        <f>HYPERLINK("http://daf.com.tw","daf.com.tw")</f>
        <v>daf.com.tw</v>
      </c>
      <c r="C26736" t="s">
        <v>504</v>
      </c>
      <c r="D26736" t="s">
        <v>878</v>
      </c>
      <c r="F26736">
        <v>6.2188337584480296E-9</v>
      </c>
      <c r="G26736">
        <v>15436521</v>
      </c>
      <c r="H26736">
        <v>14071865</v>
      </c>
      <c r="I26736">
        <v>3284876</v>
      </c>
      <c r="J26736">
        <v>5</v>
      </c>
    </row>
    <row r="26737" spans="1:10" x14ac:dyDescent="0.25">
      <c r="A26737" t="s">
        <v>1648</v>
      </c>
      <c r="B26737" s="1" t="str">
        <f>HYPERLINK("http://daf.ua","daf.ua")</f>
        <v>daf.ua</v>
      </c>
      <c r="C26737" t="s">
        <v>505</v>
      </c>
      <c r="D26737" t="s">
        <v>879</v>
      </c>
      <c r="F26737">
        <v>5.1771314819732797E-9</v>
      </c>
      <c r="G26737">
        <v>25601638</v>
      </c>
      <c r="H26737">
        <v>10627607</v>
      </c>
      <c r="I26737">
        <v>44054612</v>
      </c>
      <c r="J26737">
        <v>5</v>
      </c>
    </row>
    <row r="26738" spans="1:10" x14ac:dyDescent="0.25">
      <c r="A26738" t="s">
        <v>1648</v>
      </c>
      <c r="B26738" s="1" t="str">
        <f>HYPERLINK("http://daf.co.uk","daf.co.uk")</f>
        <v>daf.co.uk</v>
      </c>
      <c r="C26738" t="s">
        <v>506</v>
      </c>
      <c r="D26738" t="s">
        <v>880</v>
      </c>
      <c r="F26738">
        <v>3.4638321993400097E-8</v>
      </c>
      <c r="G26738">
        <v>1498112</v>
      </c>
      <c r="H26738">
        <v>13772026</v>
      </c>
      <c r="I26738">
        <v>6673455</v>
      </c>
      <c r="J26738">
        <v>4</v>
      </c>
    </row>
    <row r="26739" spans="1:10" x14ac:dyDescent="0.25">
      <c r="A26739" t="s">
        <v>1648</v>
      </c>
      <c r="B26739" s="1" t="str">
        <f>HYPERLINK("http://leylandtrucksltd.co.uk","leylandtrucksltd.co.uk")</f>
        <v>leylandtrucksltd.co.uk</v>
      </c>
      <c r="C26739" t="s">
        <v>506</v>
      </c>
      <c r="D26739" t="s">
        <v>880</v>
      </c>
      <c r="F26739">
        <v>3.5013761315205502E-8</v>
      </c>
      <c r="G26739">
        <v>1483791</v>
      </c>
      <c r="H26739">
        <v>14243321</v>
      </c>
      <c r="I26739">
        <v>1478157</v>
      </c>
      <c r="J26739">
        <v>4</v>
      </c>
    </row>
    <row r="26740" spans="1:10" x14ac:dyDescent="0.25">
      <c r="A26740" t="s">
        <v>296</v>
      </c>
      <c r="B26740" s="1" t="str">
        <f>HYPERLINK("http://paloaltonetworks.com.au","paloaltonetworks.com.au")</f>
        <v>paloaltonetworks.com.au</v>
      </c>
      <c r="C26740" t="s">
        <v>420</v>
      </c>
      <c r="D26740" t="s">
        <v>802</v>
      </c>
      <c r="F26740">
        <v>3.2221716612747801E-7</v>
      </c>
      <c r="G26740">
        <v>115509</v>
      </c>
      <c r="H26740">
        <v>14071160</v>
      </c>
      <c r="I26740">
        <v>3715877</v>
      </c>
      <c r="J26740">
        <v>2</v>
      </c>
    </row>
    <row r="26741" spans="1:10" x14ac:dyDescent="0.25">
      <c r="A26741" t="s">
        <v>296</v>
      </c>
      <c r="B26741" s="1" t="str">
        <f>HYPERLINK("http://paloaltonetworks.com.br","paloaltonetworks.com.br")</f>
        <v>paloaltonetworks.com.br</v>
      </c>
      <c r="C26741" t="s">
        <v>425</v>
      </c>
      <c r="D26741" t="s">
        <v>806</v>
      </c>
      <c r="F26741">
        <v>3.3772946778742699E-7</v>
      </c>
      <c r="G26741">
        <v>110473</v>
      </c>
      <c r="H26741">
        <v>13955293</v>
      </c>
      <c r="I26741">
        <v>4139145</v>
      </c>
      <c r="J26741">
        <v>2</v>
      </c>
    </row>
    <row r="26742" spans="1:10" x14ac:dyDescent="0.25">
      <c r="A26742" t="s">
        <v>296</v>
      </c>
      <c r="B26742" s="1" t="str">
        <f>HYPERLINK("http://paloaltonetworks.ca","paloaltonetworks.ca")</f>
        <v>paloaltonetworks.ca</v>
      </c>
      <c r="C26742" t="s">
        <v>428</v>
      </c>
      <c r="D26742" t="s">
        <v>809</v>
      </c>
      <c r="F26742">
        <v>3.5213334262465802E-7</v>
      </c>
      <c r="G26742">
        <v>106180</v>
      </c>
      <c r="H26742">
        <v>13712066</v>
      </c>
      <c r="I26742">
        <v>9505577</v>
      </c>
      <c r="J26742">
        <v>2</v>
      </c>
    </row>
    <row r="26743" spans="1:10" x14ac:dyDescent="0.25">
      <c r="A26743" t="s">
        <v>296</v>
      </c>
      <c r="B26743" s="1" t="str">
        <f>HYPERLINK("http://paloaltonetworks.cn","paloaltonetworks.cn")</f>
        <v>paloaltonetworks.cn</v>
      </c>
      <c r="C26743" t="s">
        <v>431</v>
      </c>
      <c r="D26743" t="s">
        <v>812</v>
      </c>
      <c r="E26743">
        <v>815658</v>
      </c>
      <c r="F26743">
        <v>3.3954310160852002E-7</v>
      </c>
      <c r="G26743">
        <v>109895</v>
      </c>
      <c r="H26743">
        <v>14363524</v>
      </c>
      <c r="I26743">
        <v>1303009</v>
      </c>
      <c r="J26743">
        <v>2</v>
      </c>
    </row>
    <row r="26744" spans="1:10" x14ac:dyDescent="0.25">
      <c r="A26744" t="s">
        <v>296</v>
      </c>
      <c r="B26744" s="1" t="str">
        <f>HYPERLINK("http://aporeto.com","aporeto.com")</f>
        <v>aporeto.com</v>
      </c>
      <c r="C26744" t="s">
        <v>433</v>
      </c>
      <c r="F26744">
        <v>1.4214169328878501E-7</v>
      </c>
      <c r="G26744">
        <v>273860</v>
      </c>
      <c r="H26744">
        <v>14398865</v>
      </c>
      <c r="I26744">
        <v>1156091</v>
      </c>
      <c r="J26744">
        <v>3</v>
      </c>
    </row>
    <row r="26745" spans="1:10" x14ac:dyDescent="0.25">
      <c r="A26745" t="s">
        <v>296</v>
      </c>
      <c r="B26745" s="1" t="str">
        <f>HYPERLINK("http://cirrosecure.com","cirrosecure.com")</f>
        <v>cirrosecure.com</v>
      </c>
      <c r="C26745" t="s">
        <v>433</v>
      </c>
      <c r="F26745">
        <v>6.6224284213980604E-9</v>
      </c>
      <c r="G26745">
        <v>13589046</v>
      </c>
      <c r="H26745">
        <v>12122556</v>
      </c>
      <c r="I26745">
        <v>25341196</v>
      </c>
      <c r="J26745">
        <v>4</v>
      </c>
    </row>
    <row r="26746" spans="1:10" x14ac:dyDescent="0.25">
      <c r="A26746" t="s">
        <v>296</v>
      </c>
      <c r="B26746" s="1" t="str">
        <f>HYPERLINK("http://cloudgenix.com","cloudgenix.com")</f>
        <v>cloudgenix.com</v>
      </c>
      <c r="C26746" t="s">
        <v>433</v>
      </c>
      <c r="E26746">
        <v>170050</v>
      </c>
      <c r="F26746">
        <v>1.32433665299961E-7</v>
      </c>
      <c r="G26746">
        <v>295086</v>
      </c>
      <c r="H26746">
        <v>14184528</v>
      </c>
      <c r="I26746">
        <v>1772175</v>
      </c>
      <c r="J26746">
        <v>3</v>
      </c>
    </row>
    <row r="26747" spans="1:10" x14ac:dyDescent="0.25">
      <c r="A26747" t="s">
        <v>296</v>
      </c>
      <c r="B26747" s="1" t="str">
        <f>HYPERLINK("http://crypsisgroup.com","crypsisgroup.com")</f>
        <v>crypsisgroup.com</v>
      </c>
      <c r="C26747" t="s">
        <v>433</v>
      </c>
      <c r="F26747">
        <v>1.0107243845826599E-7</v>
      </c>
      <c r="G26747">
        <v>397817</v>
      </c>
      <c r="H26747">
        <v>13966462</v>
      </c>
      <c r="I26747">
        <v>4087615</v>
      </c>
      <c r="J26747">
        <v>3</v>
      </c>
    </row>
    <row r="26748" spans="1:10" x14ac:dyDescent="0.25">
      <c r="A26748" t="s">
        <v>296</v>
      </c>
      <c r="B26748" s="1" t="str">
        <f>HYPERLINK("http://cyvera.com","cyvera.com")</f>
        <v>cyvera.com</v>
      </c>
      <c r="C26748" t="s">
        <v>433</v>
      </c>
      <c r="F26748">
        <v>1.07398160152476E-8</v>
      </c>
      <c r="G26748">
        <v>6068057</v>
      </c>
      <c r="H26748">
        <v>13223511</v>
      </c>
      <c r="I26748">
        <v>11316334</v>
      </c>
      <c r="J26748">
        <v>4</v>
      </c>
    </row>
    <row r="26749" spans="1:10" x14ac:dyDescent="0.25">
      <c r="A26749" t="s">
        <v>296</v>
      </c>
      <c r="B26749" s="1" t="str">
        <f>HYPERLINK("http://jia-wu.com","jia-wu.com")</f>
        <v>jia-wu.com</v>
      </c>
      <c r="C26749" t="s">
        <v>433</v>
      </c>
      <c r="F26749">
        <v>4.5712948887775304E-9</v>
      </c>
      <c r="G26749">
        <v>50064188</v>
      </c>
      <c r="H26749">
        <v>12433334</v>
      </c>
      <c r="I26749">
        <v>18247731</v>
      </c>
      <c r="J26749">
        <v>3</v>
      </c>
    </row>
    <row r="26750" spans="1:10" x14ac:dyDescent="0.25">
      <c r="A26750" t="s">
        <v>296</v>
      </c>
      <c r="B26750" s="1" t="str">
        <f>HYPERLINK("http://lightcyber.com","lightcyber.com")</f>
        <v>lightcyber.com</v>
      </c>
      <c r="C26750" t="s">
        <v>433</v>
      </c>
      <c r="F26750">
        <v>6.5228589100676602E-8</v>
      </c>
      <c r="G26750">
        <v>659925</v>
      </c>
      <c r="H26750">
        <v>14216094</v>
      </c>
      <c r="I26750">
        <v>1692617</v>
      </c>
      <c r="J26750">
        <v>3</v>
      </c>
    </row>
    <row r="26751" spans="1:10" x14ac:dyDescent="0.25">
      <c r="A26751" t="s">
        <v>296</v>
      </c>
      <c r="B26751" s="1" t="str">
        <f>HYPERLINK("http://paloaltonetworks.com","paloaltonetworks.com")</f>
        <v>paloaltonetworks.com</v>
      </c>
      <c r="C26751" t="s">
        <v>433</v>
      </c>
      <c r="E26751">
        <v>511</v>
      </c>
      <c r="F26751">
        <v>8.9324045155056293E-6</v>
      </c>
      <c r="G26751">
        <v>3784</v>
      </c>
      <c r="H26751">
        <v>18114608</v>
      </c>
      <c r="I26751">
        <v>3065</v>
      </c>
      <c r="J26751">
        <v>1</v>
      </c>
    </row>
    <row r="26752" spans="1:10" x14ac:dyDescent="0.25">
      <c r="A26752" t="s">
        <v>296</v>
      </c>
      <c r="B26752" s="1" t="str">
        <f>HYPERLINK("http://sinefa.com","sinefa.com")</f>
        <v>sinefa.com</v>
      </c>
      <c r="C26752" t="s">
        <v>433</v>
      </c>
      <c r="E26752">
        <v>608010</v>
      </c>
      <c r="F26752">
        <v>3.0785357981842997E-8</v>
      </c>
      <c r="G26752">
        <v>1673258</v>
      </c>
      <c r="H26752">
        <v>13557435</v>
      </c>
      <c r="I26752">
        <v>9882973</v>
      </c>
      <c r="J26752">
        <v>3</v>
      </c>
    </row>
    <row r="26753" spans="1:10" x14ac:dyDescent="0.25">
      <c r="A26753" t="s">
        <v>296</v>
      </c>
      <c r="B26753" s="1" t="str">
        <f>HYPERLINK("http://zingbox.com","zingbox.com")</f>
        <v>zingbox.com</v>
      </c>
      <c r="C26753" t="s">
        <v>433</v>
      </c>
      <c r="E26753">
        <v>979052</v>
      </c>
      <c r="F26753">
        <v>7.6743243847273699E-8</v>
      </c>
      <c r="G26753">
        <v>546033</v>
      </c>
      <c r="H26753">
        <v>13939495</v>
      </c>
      <c r="I26753">
        <v>4391360</v>
      </c>
      <c r="J26753">
        <v>3</v>
      </c>
    </row>
    <row r="26754" spans="1:10" x14ac:dyDescent="0.25">
      <c r="A26754" t="s">
        <v>296</v>
      </c>
      <c r="B26754" s="1" t="str">
        <f>HYPERLINK("http://paloaltonetworks.de","paloaltonetworks.de")</f>
        <v>paloaltonetworks.de</v>
      </c>
      <c r="C26754" t="s">
        <v>436</v>
      </c>
      <c r="D26754" t="s">
        <v>815</v>
      </c>
      <c r="F26754">
        <v>3.5387861519322197E-7</v>
      </c>
      <c r="G26754">
        <v>105642</v>
      </c>
      <c r="H26754">
        <v>14225150</v>
      </c>
      <c r="I26754">
        <v>1680199</v>
      </c>
      <c r="J26754">
        <v>2</v>
      </c>
    </row>
    <row r="26755" spans="1:10" x14ac:dyDescent="0.25">
      <c r="A26755" t="s">
        <v>296</v>
      </c>
      <c r="B26755" s="1" t="str">
        <f>HYPERLINK("http://paloaltonetworks.es","paloaltonetworks.es")</f>
        <v>paloaltonetworks.es</v>
      </c>
      <c r="C26755" t="s">
        <v>443</v>
      </c>
      <c r="D26755" t="s">
        <v>822</v>
      </c>
      <c r="F26755">
        <v>3.4125340314262502E-7</v>
      </c>
      <c r="G26755">
        <v>109390</v>
      </c>
      <c r="H26755">
        <v>13662560</v>
      </c>
      <c r="I26755">
        <v>9569872</v>
      </c>
      <c r="J26755">
        <v>2</v>
      </c>
    </row>
    <row r="26756" spans="1:10" x14ac:dyDescent="0.25">
      <c r="A26756" t="s">
        <v>296</v>
      </c>
      <c r="B26756" s="1" t="str">
        <f>HYPERLINK("http://paloaltonetworks.fi","paloaltonetworks.fi")</f>
        <v>paloaltonetworks.fi</v>
      </c>
      <c r="C26756" t="s">
        <v>445</v>
      </c>
      <c r="D26756" t="s">
        <v>823</v>
      </c>
      <c r="J26756">
        <v>2</v>
      </c>
    </row>
    <row r="26757" spans="1:10" x14ac:dyDescent="0.25">
      <c r="A26757" t="s">
        <v>296</v>
      </c>
      <c r="B26757" s="1" t="str">
        <f>HYPERLINK("http://paloaltonetworks.fr","paloaltonetworks.fr")</f>
        <v>paloaltonetworks.fr</v>
      </c>
      <c r="C26757" t="s">
        <v>446</v>
      </c>
      <c r="D26757" t="s">
        <v>824</v>
      </c>
      <c r="F26757">
        <v>3.7344904805363099E-7</v>
      </c>
      <c r="G26757">
        <v>100276</v>
      </c>
      <c r="H26757">
        <v>13962274</v>
      </c>
      <c r="I26757">
        <v>4102777</v>
      </c>
      <c r="J26757">
        <v>2</v>
      </c>
    </row>
    <row r="26758" spans="1:10" x14ac:dyDescent="0.25">
      <c r="A26758" t="s">
        <v>296</v>
      </c>
      <c r="B26758" s="1" t="str">
        <f>HYPERLINK("http://paloaltonetworks.in","paloaltonetworks.in")</f>
        <v>paloaltonetworks.in</v>
      </c>
      <c r="C26758" t="s">
        <v>457</v>
      </c>
      <c r="D26758" t="s">
        <v>834</v>
      </c>
      <c r="F26758">
        <v>3.1046038686119397E-7</v>
      </c>
      <c r="G26758">
        <v>119790</v>
      </c>
      <c r="H26758">
        <v>13655308</v>
      </c>
      <c r="I26758">
        <v>9603760</v>
      </c>
      <c r="J26758">
        <v>2</v>
      </c>
    </row>
    <row r="26759" spans="1:10" x14ac:dyDescent="0.25">
      <c r="A26759" t="s">
        <v>296</v>
      </c>
      <c r="B26759" s="1" t="str">
        <f>HYPERLINK("http://prismacloud.io","prismacloud.io")</f>
        <v>prismacloud.io</v>
      </c>
      <c r="C26759" t="s">
        <v>518</v>
      </c>
      <c r="E26759">
        <v>397019</v>
      </c>
      <c r="F26759">
        <v>3.4048635157157598E-7</v>
      </c>
      <c r="G26759">
        <v>109632</v>
      </c>
      <c r="H26759">
        <v>13657534</v>
      </c>
      <c r="I26759">
        <v>9602627</v>
      </c>
      <c r="J26759">
        <v>3</v>
      </c>
    </row>
    <row r="26760" spans="1:10" x14ac:dyDescent="0.25">
      <c r="A26760" t="s">
        <v>296</v>
      </c>
      <c r="B26760" s="1" t="str">
        <f>HYPERLINK("http://redlock.io","redlock.io")</f>
        <v>redlock.io</v>
      </c>
      <c r="C26760" t="s">
        <v>518</v>
      </c>
      <c r="E26760">
        <v>839484</v>
      </c>
      <c r="F26760">
        <v>4.8905215183508298E-7</v>
      </c>
      <c r="G26760">
        <v>77970</v>
      </c>
      <c r="H26760">
        <v>15119704</v>
      </c>
      <c r="I26760">
        <v>403769</v>
      </c>
      <c r="J26760">
        <v>4</v>
      </c>
    </row>
    <row r="26761" spans="1:10" x14ac:dyDescent="0.25">
      <c r="A26761" t="s">
        <v>296</v>
      </c>
      <c r="B26761" s="1" t="str">
        <f>HYPERLINK("http://paloaltonetworks.it","paloaltonetworks.it")</f>
        <v>paloaltonetworks.it</v>
      </c>
      <c r="C26761" t="s">
        <v>459</v>
      </c>
      <c r="D26761" t="s">
        <v>835</v>
      </c>
      <c r="F26761">
        <v>3.4540634955924901E-7</v>
      </c>
      <c r="G26761">
        <v>108123</v>
      </c>
      <c r="H26761">
        <v>14034372</v>
      </c>
      <c r="I26761">
        <v>3918150</v>
      </c>
      <c r="J26761">
        <v>2</v>
      </c>
    </row>
    <row r="26762" spans="1:10" x14ac:dyDescent="0.25">
      <c r="A26762" t="s">
        <v>296</v>
      </c>
      <c r="B26762" s="1" t="str">
        <f>HYPERLINK("http://paloaltonetworks.jp","paloaltonetworks.jp")</f>
        <v>paloaltonetworks.jp</v>
      </c>
      <c r="C26762" t="s">
        <v>461</v>
      </c>
      <c r="D26762" t="s">
        <v>837</v>
      </c>
      <c r="E26762">
        <v>625478</v>
      </c>
      <c r="F26762">
        <v>4.4832744560196597E-7</v>
      </c>
      <c r="G26762">
        <v>84233</v>
      </c>
      <c r="H26762">
        <v>14118673</v>
      </c>
      <c r="I26762">
        <v>2658251</v>
      </c>
      <c r="J26762">
        <v>2</v>
      </c>
    </row>
    <row r="26763" spans="1:10" x14ac:dyDescent="0.25">
      <c r="A26763" t="s">
        <v>296</v>
      </c>
      <c r="B26763" s="1" t="str">
        <f>HYPERLINK("http://paloaltonetworks.co.kr","paloaltonetworks.co.kr")</f>
        <v>paloaltonetworks.co.kr</v>
      </c>
      <c r="C26763" t="s">
        <v>463</v>
      </c>
      <c r="D26763" t="s">
        <v>839</v>
      </c>
      <c r="F26763">
        <v>3.37283814450562E-7</v>
      </c>
      <c r="G26763">
        <v>110610</v>
      </c>
      <c r="H26763">
        <v>13948633</v>
      </c>
      <c r="I26763">
        <v>4193037</v>
      </c>
      <c r="J26763">
        <v>2</v>
      </c>
    </row>
    <row r="26764" spans="1:10" x14ac:dyDescent="0.25">
      <c r="A26764" t="s">
        <v>296</v>
      </c>
      <c r="B26764" s="1" t="str">
        <f>HYPERLINK("http://paloaltonetworks.lat","paloaltonetworks.lat")</f>
        <v>paloaltonetworks.lat</v>
      </c>
      <c r="C26764" t="s">
        <v>614</v>
      </c>
      <c r="F26764">
        <v>3.18363161717412E-7</v>
      </c>
      <c r="G26764">
        <v>116848</v>
      </c>
      <c r="H26764">
        <v>13659131</v>
      </c>
      <c r="I26764">
        <v>9601958</v>
      </c>
      <c r="J26764">
        <v>2</v>
      </c>
    </row>
    <row r="26765" spans="1:10" x14ac:dyDescent="0.25">
      <c r="A26765" t="s">
        <v>296</v>
      </c>
      <c r="B26765" s="1" t="str">
        <f>HYPERLINK("http://zingbox.me","zingbox.me")</f>
        <v>zingbox.me</v>
      </c>
      <c r="C26765" t="s">
        <v>470</v>
      </c>
      <c r="D26765" t="s">
        <v>846</v>
      </c>
      <c r="F26765">
        <v>9.1119568608767594E-9</v>
      </c>
      <c r="G26765">
        <v>7830441</v>
      </c>
      <c r="H26765">
        <v>12982325</v>
      </c>
      <c r="I26765">
        <v>12940653</v>
      </c>
      <c r="J26765">
        <v>7</v>
      </c>
    </row>
    <row r="26766" spans="1:10" x14ac:dyDescent="0.25">
      <c r="A26766" t="s">
        <v>296</v>
      </c>
      <c r="B26766" s="1" t="str">
        <f>HYPERLINK("http://paloaltonetworks.com.mx","paloaltonetworks.com.mx")</f>
        <v>paloaltonetworks.com.mx</v>
      </c>
      <c r="C26766" t="s">
        <v>471</v>
      </c>
      <c r="D26766" t="s">
        <v>847</v>
      </c>
      <c r="F26766">
        <v>3.1489685460623399E-7</v>
      </c>
      <c r="G26766">
        <v>118055</v>
      </c>
      <c r="H26766">
        <v>13661761</v>
      </c>
      <c r="I26766">
        <v>9573815</v>
      </c>
      <c r="J26766">
        <v>2</v>
      </c>
    </row>
    <row r="26767" spans="1:10" x14ac:dyDescent="0.25">
      <c r="A26767" t="s">
        <v>296</v>
      </c>
      <c r="B26767" s="1" t="str">
        <f>HYPERLINK("http://paloaltonetworks.nl","paloaltonetworks.nl")</f>
        <v>paloaltonetworks.nl</v>
      </c>
      <c r="C26767" t="s">
        <v>477</v>
      </c>
      <c r="D26767" t="s">
        <v>852</v>
      </c>
      <c r="F26767">
        <v>5.1080880329457701E-9</v>
      </c>
      <c r="G26767">
        <v>26890372</v>
      </c>
      <c r="H26767">
        <v>10394733</v>
      </c>
      <c r="I26767">
        <v>54323020</v>
      </c>
      <c r="J26767">
        <v>2</v>
      </c>
    </row>
    <row r="26768" spans="1:10" x14ac:dyDescent="0.25">
      <c r="A26768" t="s">
        <v>296</v>
      </c>
      <c r="B26768" s="1" t="str">
        <f>HYPERLINK("http://paloaltonetworks.ru","paloaltonetworks.ru")</f>
        <v>paloaltonetworks.ru</v>
      </c>
      <c r="C26768" t="s">
        <v>493</v>
      </c>
      <c r="D26768" t="s">
        <v>867</v>
      </c>
      <c r="F26768">
        <v>1.1816654221713E-8</v>
      </c>
      <c r="G26768">
        <v>5291716</v>
      </c>
      <c r="H26768">
        <v>12568844</v>
      </c>
      <c r="I26768">
        <v>16634831</v>
      </c>
      <c r="J26768">
        <v>2</v>
      </c>
    </row>
    <row r="26769" spans="1:10" x14ac:dyDescent="0.25">
      <c r="A26769" t="s">
        <v>296</v>
      </c>
      <c r="B26769" s="1" t="str">
        <f>HYPERLINK("http://paloaltonetworks.sg","paloaltonetworks.sg")</f>
        <v>paloaltonetworks.sg</v>
      </c>
      <c r="C26769" t="s">
        <v>496</v>
      </c>
      <c r="D26769" t="s">
        <v>870</v>
      </c>
      <c r="F26769">
        <v>3.3296205634851603E-7</v>
      </c>
      <c r="G26769">
        <v>111942</v>
      </c>
      <c r="H26769">
        <v>13662189</v>
      </c>
      <c r="I26769">
        <v>9571263</v>
      </c>
      <c r="J26769">
        <v>2</v>
      </c>
    </row>
    <row r="26770" spans="1:10" x14ac:dyDescent="0.25">
      <c r="A26770" t="s">
        <v>296</v>
      </c>
      <c r="B26770" s="1" t="str">
        <f>HYPERLINK("http://paloaltonetworks.tw","paloaltonetworks.tw")</f>
        <v>paloaltonetworks.tw</v>
      </c>
      <c r="C26770" t="s">
        <v>504</v>
      </c>
      <c r="D26770" t="s">
        <v>878</v>
      </c>
      <c r="F26770">
        <v>3.3489213107819899E-7</v>
      </c>
      <c r="G26770">
        <v>111321</v>
      </c>
      <c r="H26770">
        <v>13948403</v>
      </c>
      <c r="I26770">
        <v>4195443</v>
      </c>
      <c r="J26770">
        <v>2</v>
      </c>
    </row>
    <row r="26771" spans="1:10" x14ac:dyDescent="0.25">
      <c r="A26771" t="s">
        <v>296</v>
      </c>
      <c r="B26771" s="1" t="str">
        <f>HYPERLINK("http://paloaltonetworks.co.uk","paloaltonetworks.co.uk")</f>
        <v>paloaltonetworks.co.uk</v>
      </c>
      <c r="C26771" t="s">
        <v>506</v>
      </c>
      <c r="D26771" t="s">
        <v>880</v>
      </c>
      <c r="F26771">
        <v>3.2745946335983898E-7</v>
      </c>
      <c r="G26771">
        <v>113741</v>
      </c>
      <c r="H26771">
        <v>13679130</v>
      </c>
      <c r="I26771">
        <v>9536566</v>
      </c>
      <c r="J26771">
        <v>2</v>
      </c>
    </row>
    <row r="26772" spans="1:10" x14ac:dyDescent="0.25">
      <c r="A26772" t="s">
        <v>297</v>
      </c>
      <c r="B26772" s="1" t="str">
        <f>HYPERLINK("http://origa.com.au","origa.com.au")</f>
        <v>origa.com.au</v>
      </c>
      <c r="C26772" t="s">
        <v>420</v>
      </c>
      <c r="D26772" t="s">
        <v>802</v>
      </c>
      <c r="F26772">
        <v>4.6011886911776397E-9</v>
      </c>
      <c r="G26772">
        <v>47521153</v>
      </c>
      <c r="H26772">
        <v>1.0003663</v>
      </c>
      <c r="I26772">
        <v>78223399</v>
      </c>
      <c r="J26772">
        <v>3</v>
      </c>
    </row>
    <row r="26773" spans="1:10" x14ac:dyDescent="0.25">
      <c r="A26773" t="s">
        <v>297</v>
      </c>
      <c r="B26773" s="1" t="str">
        <f>HYPERLINK("http://parker.com.br","parker.com.br")</f>
        <v>parker.com.br</v>
      </c>
      <c r="C26773" t="s">
        <v>425</v>
      </c>
      <c r="D26773" t="s">
        <v>806</v>
      </c>
      <c r="F26773">
        <v>4.7788508602223598E-9</v>
      </c>
      <c r="G26773">
        <v>37004185</v>
      </c>
      <c r="H26773">
        <v>10518030</v>
      </c>
      <c r="I26773">
        <v>49137739</v>
      </c>
      <c r="J26773">
        <v>2</v>
      </c>
    </row>
    <row r="26774" spans="1:10" x14ac:dyDescent="0.25">
      <c r="A26774" t="s">
        <v>297</v>
      </c>
      <c r="B26774" s="1" t="str">
        <f>HYPERLINK("http://inveristraining.ca","inveristraining.ca")</f>
        <v>inveristraining.ca</v>
      </c>
      <c r="C26774" t="s">
        <v>428</v>
      </c>
      <c r="D26774" t="s">
        <v>809</v>
      </c>
      <c r="F26774">
        <v>5.5789454890559702E-9</v>
      </c>
      <c r="G26774">
        <v>20065781</v>
      </c>
      <c r="H26774">
        <v>10157302</v>
      </c>
      <c r="I26774">
        <v>59401433</v>
      </c>
      <c r="J26774">
        <v>7</v>
      </c>
    </row>
    <row r="26775" spans="1:10" x14ac:dyDescent="0.25">
      <c r="A26775" t="s">
        <v>297</v>
      </c>
      <c r="B26775" s="1" t="str">
        <f>HYPERLINK("http://vansco.ca","vansco.ca")</f>
        <v>vansco.ca</v>
      </c>
      <c r="C26775" t="s">
        <v>428</v>
      </c>
      <c r="D26775" t="s">
        <v>809</v>
      </c>
      <c r="F26775">
        <v>1.1219177341379999E-8</v>
      </c>
      <c r="G26775">
        <v>5699647</v>
      </c>
      <c r="H26775">
        <v>13718074</v>
      </c>
      <c r="I26775">
        <v>9485984</v>
      </c>
      <c r="J26775">
        <v>4</v>
      </c>
    </row>
    <row r="26776" spans="1:10" x14ac:dyDescent="0.25">
      <c r="A26776" t="s">
        <v>297</v>
      </c>
      <c r="B26776" s="1" t="str">
        <f>HYPERLINK("http://aircraftbraking.com","aircraftbraking.com")</f>
        <v>aircraftbraking.com</v>
      </c>
      <c r="C26776" t="s">
        <v>433</v>
      </c>
      <c r="F26776">
        <v>4.5554873736614898E-9</v>
      </c>
      <c r="G26776">
        <v>51607298</v>
      </c>
      <c r="H26776">
        <v>10907765</v>
      </c>
      <c r="I26776">
        <v>35672502</v>
      </c>
      <c r="J26776">
        <v>14</v>
      </c>
    </row>
    <row r="26777" spans="1:10" x14ac:dyDescent="0.25">
      <c r="A26777" t="s">
        <v>297</v>
      </c>
      <c r="B26777" s="1" t="str">
        <f>HYPERLINK("http://baldwinfilter.com","baldwinfilter.com")</f>
        <v>baldwinfilter.com</v>
      </c>
      <c r="C26777" t="s">
        <v>433</v>
      </c>
      <c r="E26777">
        <v>966024</v>
      </c>
      <c r="F26777">
        <v>7.1721667842132605E-8</v>
      </c>
      <c r="G26777">
        <v>589061</v>
      </c>
      <c r="H26777">
        <v>13960797</v>
      </c>
      <c r="I26777">
        <v>4110922</v>
      </c>
      <c r="J26777">
        <v>3</v>
      </c>
    </row>
    <row r="26778" spans="1:10" x14ac:dyDescent="0.25">
      <c r="A26778" t="s">
        <v>297</v>
      </c>
      <c r="B26778" s="1" t="str">
        <f>HYPERLINK("http://cabett.com","cabett.com")</f>
        <v>cabett.com</v>
      </c>
      <c r="C26778" t="s">
        <v>433</v>
      </c>
      <c r="F26778">
        <v>4.4566482119219897E-9</v>
      </c>
      <c r="G26778">
        <v>68878952</v>
      </c>
      <c r="H26778">
        <v>11947992</v>
      </c>
      <c r="I26778">
        <v>29155322</v>
      </c>
      <c r="J26778">
        <v>4</v>
      </c>
    </row>
    <row r="26779" spans="1:10" x14ac:dyDescent="0.25">
      <c r="A26779" t="s">
        <v>297</v>
      </c>
      <c r="B26779" s="1" t="str">
        <f>HYPERLINK("http://filterresources.com","filterresources.com")</f>
        <v>filterresources.com</v>
      </c>
      <c r="C26779" t="s">
        <v>433</v>
      </c>
      <c r="F26779">
        <v>4.6077842633316101E-9</v>
      </c>
      <c r="G26779">
        <v>47027051</v>
      </c>
      <c r="H26779">
        <v>12322799</v>
      </c>
      <c r="I26779">
        <v>20362208</v>
      </c>
      <c r="J26779">
        <v>4</v>
      </c>
    </row>
    <row r="26780" spans="1:10" x14ac:dyDescent="0.25">
      <c r="A26780" t="s">
        <v>297</v>
      </c>
      <c r="B26780" s="1" t="str">
        <f>HYPERLINK("http://inveristraining.com","inveristraining.com")</f>
        <v>inveristraining.com</v>
      </c>
      <c r="C26780" t="s">
        <v>433</v>
      </c>
      <c r="F26780">
        <v>5.8760254866757201E-8</v>
      </c>
      <c r="G26780">
        <v>755236</v>
      </c>
      <c r="H26780">
        <v>13422150</v>
      </c>
      <c r="I26780">
        <v>10301150</v>
      </c>
      <c r="J26780">
        <v>6</v>
      </c>
    </row>
    <row r="26781" spans="1:10" x14ac:dyDescent="0.25">
      <c r="A26781" t="s">
        <v>297</v>
      </c>
      <c r="B26781" s="1" t="str">
        <f>HYPERLINK("http://kittiwake.com","kittiwake.com")</f>
        <v>kittiwake.com</v>
      </c>
      <c r="C26781" t="s">
        <v>433</v>
      </c>
      <c r="F26781">
        <v>1.0904273744404001E-8</v>
      </c>
      <c r="G26781">
        <v>5939094</v>
      </c>
      <c r="H26781">
        <v>14374799</v>
      </c>
      <c r="I26781">
        <v>1233818</v>
      </c>
      <c r="J26781">
        <v>6</v>
      </c>
    </row>
    <row r="26782" spans="1:10" x14ac:dyDescent="0.25">
      <c r="A26782" t="s">
        <v>297</v>
      </c>
      <c r="B26782" s="1" t="str">
        <f>HYPERLINK("http://lord.com","lord.com")</f>
        <v>lord.com</v>
      </c>
      <c r="C26782" t="s">
        <v>433</v>
      </c>
      <c r="E26782">
        <v>137489</v>
      </c>
      <c r="F26782">
        <v>1.7432237412611201E-7</v>
      </c>
      <c r="G26782">
        <v>222472</v>
      </c>
      <c r="H26782">
        <v>17226730</v>
      </c>
      <c r="I26782">
        <v>37396</v>
      </c>
      <c r="J26782">
        <v>3</v>
      </c>
    </row>
    <row r="26783" spans="1:10" x14ac:dyDescent="0.25">
      <c r="A26783" t="s">
        <v>297</v>
      </c>
      <c r="B26783" s="1" t="str">
        <f>HYPERLINK("http://meggitt.com","meggitt.com")</f>
        <v>meggitt.com</v>
      </c>
      <c r="C26783" t="s">
        <v>433</v>
      </c>
      <c r="E26783">
        <v>116829</v>
      </c>
      <c r="F26783">
        <v>1.5494235114944101E-7</v>
      </c>
      <c r="G26783">
        <v>250657</v>
      </c>
      <c r="H26783">
        <v>14823720</v>
      </c>
      <c r="I26783">
        <v>513153</v>
      </c>
      <c r="J26783">
        <v>6</v>
      </c>
    </row>
    <row r="26784" spans="1:10" x14ac:dyDescent="0.25">
      <c r="A26784" t="s">
        <v>297</v>
      </c>
      <c r="B26784" s="1" t="str">
        <f>HYPERLINK("http://meggittsafety.com","meggittsafety.com")</f>
        <v>meggittsafety.com</v>
      </c>
      <c r="C26784" t="s">
        <v>433</v>
      </c>
      <c r="F26784">
        <v>7.5630388718049702E-9</v>
      </c>
      <c r="G26784">
        <v>10878054</v>
      </c>
      <c r="H26784">
        <v>12234090</v>
      </c>
      <c r="I26784">
        <v>22401669</v>
      </c>
      <c r="J26784">
        <v>6</v>
      </c>
    </row>
    <row r="26785" spans="1:10" x14ac:dyDescent="0.25">
      <c r="A26785" t="s">
        <v>297</v>
      </c>
      <c r="B26785" s="1" t="str">
        <f>HYPERLINK("http://nascoaircraft.com","nascoaircraft.com")</f>
        <v>nascoaircraft.com</v>
      </c>
      <c r="C26785" t="s">
        <v>433</v>
      </c>
      <c r="F26785">
        <v>4.8978547196426802E-9</v>
      </c>
      <c r="G26785">
        <v>32527822</v>
      </c>
      <c r="H26785">
        <v>12317679</v>
      </c>
      <c r="I26785">
        <v>20459024</v>
      </c>
      <c r="J26785">
        <v>6</v>
      </c>
    </row>
    <row r="26786" spans="1:10" x14ac:dyDescent="0.25">
      <c r="A26786" t="s">
        <v>297</v>
      </c>
      <c r="B26786" s="1" t="str">
        <f>HYPERLINK("http://parker.com","parker.com")</f>
        <v>parker.com</v>
      </c>
      <c r="C26786" t="s">
        <v>433</v>
      </c>
      <c r="E26786">
        <v>11349</v>
      </c>
      <c r="F26786">
        <v>1.8554753623389699E-6</v>
      </c>
      <c r="G26786">
        <v>20197</v>
      </c>
      <c r="H26786">
        <v>17499220</v>
      </c>
      <c r="I26786">
        <v>13728</v>
      </c>
      <c r="J26786">
        <v>1</v>
      </c>
    </row>
    <row r="26787" spans="1:10" x14ac:dyDescent="0.25">
      <c r="A26787" t="s">
        <v>297</v>
      </c>
      <c r="B26787" s="1" t="str">
        <f>HYPERLINK("http://parquer.com","parquer.com")</f>
        <v>parquer.com</v>
      </c>
      <c r="C26787" t="s">
        <v>433</v>
      </c>
      <c r="F26787">
        <v>4.50026076360023E-9</v>
      </c>
      <c r="G26787">
        <v>58905442</v>
      </c>
      <c r="H26787">
        <v>12081141</v>
      </c>
      <c r="I26787">
        <v>26541624</v>
      </c>
      <c r="J26787">
        <v>4</v>
      </c>
    </row>
    <row r="26788" spans="1:10" x14ac:dyDescent="0.25">
      <c r="A26788" t="s">
        <v>297</v>
      </c>
      <c r="B26788" s="1" t="str">
        <f>HYPERLINK("http://purolator-facet.com","purolator-facet.com")</f>
        <v>purolator-facet.com</v>
      </c>
      <c r="C26788" t="s">
        <v>433</v>
      </c>
      <c r="F26788">
        <v>5.4648659577523201E-9</v>
      </c>
      <c r="G26788">
        <v>21302977</v>
      </c>
      <c r="H26788">
        <v>12220179</v>
      </c>
      <c r="I26788">
        <v>22783769</v>
      </c>
      <c r="J26788">
        <v>3</v>
      </c>
    </row>
    <row r="26789" spans="1:10" x14ac:dyDescent="0.25">
      <c r="A26789" t="s">
        <v>297</v>
      </c>
      <c r="B26789" s="1" t="str">
        <f>HYPERLINK("http://texasthermowell.com","texasthermowell.com")</f>
        <v>texasthermowell.com</v>
      </c>
      <c r="C26789" t="s">
        <v>433</v>
      </c>
      <c r="F26789">
        <v>4.4759369017826598E-9</v>
      </c>
      <c r="G26789">
        <v>63209587</v>
      </c>
      <c r="H26789">
        <v>10792781</v>
      </c>
      <c r="I26789">
        <v>38393749</v>
      </c>
      <c r="J26789">
        <v>4</v>
      </c>
    </row>
    <row r="26790" spans="1:10" x14ac:dyDescent="0.25">
      <c r="A26790" t="s">
        <v>297</v>
      </c>
      <c r="B26790" s="1" t="str">
        <f>HYPERLINK("http://tfsi1.com","tfsi1.com")</f>
        <v>tfsi1.com</v>
      </c>
      <c r="C26790" t="s">
        <v>433</v>
      </c>
      <c r="F26790">
        <v>4.6418576554248999E-9</v>
      </c>
      <c r="G26790">
        <v>44670018</v>
      </c>
      <c r="H26790">
        <v>12120227</v>
      </c>
      <c r="I26790">
        <v>25400719</v>
      </c>
      <c r="J26790">
        <v>4</v>
      </c>
    </row>
    <row r="26791" spans="1:10" x14ac:dyDescent="0.25">
      <c r="A26791" t="s">
        <v>297</v>
      </c>
      <c r="B26791" s="1" t="str">
        <f>HYPERLINK("http://rectus.de","rectus.de")</f>
        <v>rectus.de</v>
      </c>
      <c r="C26791" t="s">
        <v>436</v>
      </c>
      <c r="D26791" t="s">
        <v>815</v>
      </c>
      <c r="F26791">
        <v>6.8277079346164196E-9</v>
      </c>
      <c r="G26791">
        <v>12869467</v>
      </c>
      <c r="H26791">
        <v>11220560</v>
      </c>
      <c r="I26791">
        <v>31089162</v>
      </c>
      <c r="J26791">
        <v>3</v>
      </c>
    </row>
    <row r="26792" spans="1:10" x14ac:dyDescent="0.25">
      <c r="A26792" t="s">
        <v>297</v>
      </c>
      <c r="B26792" s="1" t="str">
        <f>HYPERLINK("http://lokomec.fi","lokomec.fi")</f>
        <v>lokomec.fi</v>
      </c>
      <c r="C26792" t="s">
        <v>445</v>
      </c>
      <c r="D26792" t="s">
        <v>823</v>
      </c>
      <c r="J26792">
        <v>4</v>
      </c>
    </row>
    <row r="26793" spans="1:10" x14ac:dyDescent="0.25">
      <c r="A26793" t="s">
        <v>297</v>
      </c>
      <c r="B26793" s="1" t="str">
        <f>HYPERLINK("http://parker.com.mx","parker.com.mx")</f>
        <v>parker.com.mx</v>
      </c>
      <c r="C26793" t="s">
        <v>471</v>
      </c>
      <c r="D26793" t="s">
        <v>847</v>
      </c>
      <c r="J26793">
        <v>3</v>
      </c>
    </row>
    <row r="26794" spans="1:10" x14ac:dyDescent="0.25">
      <c r="A26794" t="s">
        <v>297</v>
      </c>
      <c r="B26794" s="1" t="str">
        <f>HYPERLINK("http://parkercorp.com.mx","parkercorp.com.mx")</f>
        <v>parkercorp.com.mx</v>
      </c>
      <c r="C26794" t="s">
        <v>471</v>
      </c>
      <c r="D26794" t="s">
        <v>847</v>
      </c>
      <c r="J26794">
        <v>4</v>
      </c>
    </row>
    <row r="26795" spans="1:10" x14ac:dyDescent="0.25">
      <c r="A26795" t="s">
        <v>297</v>
      </c>
      <c r="B26795" s="1" t="str">
        <f>HYPERLINK("http://parker.nl","parker.nl")</f>
        <v>parker.nl</v>
      </c>
      <c r="C26795" t="s">
        <v>477</v>
      </c>
      <c r="D26795" t="s">
        <v>852</v>
      </c>
      <c r="F26795">
        <v>5.8512164001323498E-9</v>
      </c>
      <c r="G26795">
        <v>17701209</v>
      </c>
      <c r="H26795">
        <v>12059958</v>
      </c>
      <c r="I26795">
        <v>27017666</v>
      </c>
      <c r="J26795">
        <v>2</v>
      </c>
    </row>
    <row r="26796" spans="1:10" x14ac:dyDescent="0.25">
      <c r="A26796" t="s">
        <v>297</v>
      </c>
      <c r="B26796" s="1" t="str">
        <f>HYPERLINK("http://meggitt-avionics.co.uk","meggitt-avionics.co.uk")</f>
        <v>meggitt-avionics.co.uk</v>
      </c>
      <c r="C26796" t="s">
        <v>506</v>
      </c>
      <c r="D26796" t="s">
        <v>880</v>
      </c>
      <c r="F26796">
        <v>1.2799271767241399E-8</v>
      </c>
      <c r="G26796">
        <v>4729102</v>
      </c>
      <c r="H26796">
        <v>13812438</v>
      </c>
      <c r="I26796">
        <v>6187459</v>
      </c>
      <c r="J26796">
        <v>9</v>
      </c>
    </row>
    <row r="26797" spans="1:10" x14ac:dyDescent="0.25">
      <c r="A26797" t="s">
        <v>297</v>
      </c>
      <c r="B26797" s="1" t="str">
        <f>HYPERLINK("http://pegl.co.uk","pegl.co.uk")</f>
        <v>pegl.co.uk</v>
      </c>
      <c r="C26797" t="s">
        <v>506</v>
      </c>
      <c r="D26797" t="s">
        <v>880</v>
      </c>
      <c r="F26797">
        <v>8.6683135187478394E-9</v>
      </c>
      <c r="G26797">
        <v>8535453</v>
      </c>
      <c r="H26797">
        <v>10936708</v>
      </c>
      <c r="I26797">
        <v>34915493</v>
      </c>
      <c r="J26797">
        <v>6</v>
      </c>
    </row>
    <row r="26798" spans="1:10" x14ac:dyDescent="0.25">
      <c r="A26798" t="s">
        <v>298</v>
      </c>
      <c r="B26798" s="1" t="str">
        <f>HYPERLINK("http://paypal.at","paypal.at")</f>
        <v>paypal.at</v>
      </c>
      <c r="C26798" t="s">
        <v>419</v>
      </c>
      <c r="D26798" t="s">
        <v>801</v>
      </c>
      <c r="F26798">
        <v>6.3267170969208901E-6</v>
      </c>
      <c r="G26798">
        <v>5390</v>
      </c>
      <c r="H26798">
        <v>14243804</v>
      </c>
      <c r="I26798">
        <v>1475235</v>
      </c>
      <c r="J26798">
        <v>2</v>
      </c>
    </row>
    <row r="26799" spans="1:10" x14ac:dyDescent="0.25">
      <c r="A26799" t="s">
        <v>298</v>
      </c>
      <c r="B26799" s="1" t="str">
        <f>HYPERLINK("http://paypal.com.au","paypal.com.au")</f>
        <v>paypal.com.au</v>
      </c>
      <c r="C26799" t="s">
        <v>420</v>
      </c>
      <c r="D26799" t="s">
        <v>802</v>
      </c>
      <c r="E26799">
        <v>421741</v>
      </c>
      <c r="F26799">
        <v>3.2491868298349902E-7</v>
      </c>
      <c r="G26799">
        <v>114605</v>
      </c>
      <c r="H26799">
        <v>14423703</v>
      </c>
      <c r="I26799">
        <v>1082626</v>
      </c>
      <c r="J26799">
        <v>2</v>
      </c>
    </row>
    <row r="26800" spans="1:10" x14ac:dyDescent="0.25">
      <c r="A26800" t="s">
        <v>298</v>
      </c>
      <c r="B26800" s="1" t="str">
        <f>HYPERLINK("http://paypal.be","paypal.be")</f>
        <v>paypal.be</v>
      </c>
      <c r="C26800" t="s">
        <v>421</v>
      </c>
      <c r="D26800" t="s">
        <v>803</v>
      </c>
      <c r="F26800">
        <v>6.2827644079565801E-6</v>
      </c>
      <c r="G26800">
        <v>5449</v>
      </c>
      <c r="H26800">
        <v>13644467</v>
      </c>
      <c r="I26800">
        <v>9608974</v>
      </c>
      <c r="J26800">
        <v>2</v>
      </c>
    </row>
    <row r="26801" spans="1:10" x14ac:dyDescent="0.25">
      <c r="A26801" t="s">
        <v>298</v>
      </c>
      <c r="B26801" s="1" t="str">
        <f>HYPERLINK("http://paypal.com.br","paypal.com.br")</f>
        <v>paypal.com.br</v>
      </c>
      <c r="C26801" t="s">
        <v>425</v>
      </c>
      <c r="D26801" t="s">
        <v>806</v>
      </c>
      <c r="E26801">
        <v>541083</v>
      </c>
      <c r="F26801">
        <v>2.8492564915403298E-7</v>
      </c>
      <c r="G26801">
        <v>130482</v>
      </c>
      <c r="H26801">
        <v>14827169</v>
      </c>
      <c r="I26801">
        <v>509175</v>
      </c>
      <c r="J26801">
        <v>2</v>
      </c>
    </row>
    <row r="26802" spans="1:10" x14ac:dyDescent="0.25">
      <c r="A26802" t="s">
        <v>298</v>
      </c>
      <c r="B26802" s="1" t="str">
        <f>HYPERLINK("http://zettle.com.br","zettle.com.br")</f>
        <v>zettle.com.br</v>
      </c>
      <c r="C26802" t="s">
        <v>425</v>
      </c>
      <c r="D26802" t="s">
        <v>806</v>
      </c>
      <c r="F26802">
        <v>8.9209418054955106E-9</v>
      </c>
      <c r="G26802">
        <v>8112103</v>
      </c>
      <c r="H26802">
        <v>12152066</v>
      </c>
      <c r="I26802">
        <v>24572966</v>
      </c>
      <c r="J26802">
        <v>5</v>
      </c>
    </row>
    <row r="26803" spans="1:10" x14ac:dyDescent="0.25">
      <c r="A26803" t="s">
        <v>298</v>
      </c>
      <c r="B26803" s="1" t="str">
        <f>HYPERLINK("http://paypal.ca","paypal.ca")</f>
        <v>paypal.ca</v>
      </c>
      <c r="C26803" t="s">
        <v>428</v>
      </c>
      <c r="D26803" t="s">
        <v>809</v>
      </c>
      <c r="E26803">
        <v>736207</v>
      </c>
      <c r="F26803">
        <v>2.83152410014285E-7</v>
      </c>
      <c r="G26803">
        <v>131284</v>
      </c>
      <c r="H26803">
        <v>14737617</v>
      </c>
      <c r="I26803">
        <v>568778</v>
      </c>
      <c r="J26803">
        <v>2</v>
      </c>
    </row>
    <row r="26804" spans="1:10" x14ac:dyDescent="0.25">
      <c r="A26804" t="s">
        <v>298</v>
      </c>
      <c r="B26804" s="1" t="str">
        <f>HYPERLINK("http://paypal.ch","paypal.ch")</f>
        <v>paypal.ch</v>
      </c>
      <c r="C26804" t="s">
        <v>429</v>
      </c>
      <c r="D26804" t="s">
        <v>810</v>
      </c>
      <c r="E26804">
        <v>928018</v>
      </c>
      <c r="F26804">
        <v>7.0693901051842806E-8</v>
      </c>
      <c r="G26804">
        <v>598657</v>
      </c>
      <c r="H26804">
        <v>14490763</v>
      </c>
      <c r="I26804">
        <v>908809</v>
      </c>
      <c r="J26804">
        <v>2</v>
      </c>
    </row>
    <row r="26805" spans="1:10" x14ac:dyDescent="0.25">
      <c r="A26805" t="s">
        <v>298</v>
      </c>
      <c r="B26805" s="1" t="str">
        <f>HYPERLINK("http://paypal.cn","paypal.cn")</f>
        <v>paypal.cn</v>
      </c>
      <c r="C26805" t="s">
        <v>431</v>
      </c>
      <c r="D26805" t="s">
        <v>812</v>
      </c>
      <c r="E26805">
        <v>106791</v>
      </c>
      <c r="F26805">
        <v>2.08061213054128E-7</v>
      </c>
      <c r="G26805">
        <v>182169</v>
      </c>
      <c r="H26805">
        <v>13608420</v>
      </c>
      <c r="I26805">
        <v>9638440</v>
      </c>
      <c r="J26805">
        <v>2</v>
      </c>
    </row>
    <row r="26806" spans="1:10" x14ac:dyDescent="0.25">
      <c r="A26806" t="s">
        <v>298</v>
      </c>
      <c r="B26806" s="1" t="str">
        <f>HYPERLINK("http://braintree-api.com","braintree-api.com")</f>
        <v>braintree-api.com</v>
      </c>
      <c r="C26806" t="s">
        <v>433</v>
      </c>
      <c r="E26806">
        <v>2258</v>
      </c>
      <c r="F26806">
        <v>1.46258174054961E-8</v>
      </c>
      <c r="G26806">
        <v>3967115</v>
      </c>
      <c r="H26806">
        <v>12293004</v>
      </c>
      <c r="I26806">
        <v>21008741</v>
      </c>
      <c r="J26806">
        <v>3</v>
      </c>
    </row>
    <row r="26807" spans="1:10" x14ac:dyDescent="0.25">
      <c r="A26807" t="s">
        <v>298</v>
      </c>
      <c r="B26807" s="1" t="str">
        <f>HYPERLINK("http://braintreecharge.com","braintreecharge.com")</f>
        <v>braintreecharge.com</v>
      </c>
      <c r="C26807" t="s">
        <v>433</v>
      </c>
      <c r="J26807">
        <v>3</v>
      </c>
    </row>
    <row r="26808" spans="1:10" x14ac:dyDescent="0.25">
      <c r="A26808" t="s">
        <v>298</v>
      </c>
      <c r="B26808" s="1" t="str">
        <f>HYPERLINK("http://braintreegateway.com","braintreegateway.com")</f>
        <v>braintreegateway.com</v>
      </c>
      <c r="C26808" t="s">
        <v>433</v>
      </c>
      <c r="E26808">
        <v>6791</v>
      </c>
      <c r="F26808">
        <v>1.5033992733725199E-5</v>
      </c>
      <c r="G26808">
        <v>2368</v>
      </c>
      <c r="H26808">
        <v>15359809</v>
      </c>
      <c r="I26808">
        <v>382266</v>
      </c>
      <c r="J26808">
        <v>3</v>
      </c>
    </row>
    <row r="26809" spans="1:10" x14ac:dyDescent="0.25">
      <c r="A26809" t="s">
        <v>298</v>
      </c>
      <c r="B26809" s="1" t="str">
        <f>HYPERLINK("http://braintreepayments.com","braintreepayments.com")</f>
        <v>braintreepayments.com</v>
      </c>
      <c r="C26809" t="s">
        <v>433</v>
      </c>
      <c r="E26809">
        <v>9734</v>
      </c>
      <c r="F26809">
        <v>9.4599043482784807E-6</v>
      </c>
      <c r="G26809">
        <v>3576</v>
      </c>
      <c r="H26809">
        <v>17889752</v>
      </c>
      <c r="I26809">
        <v>4565</v>
      </c>
      <c r="J26809">
        <v>3</v>
      </c>
    </row>
    <row r="26810" spans="1:10" x14ac:dyDescent="0.25">
      <c r="A26810" t="s">
        <v>298</v>
      </c>
      <c r="B26810" s="1" t="str">
        <f>HYPERLINK("http://braintreepaymentsolutions.com","braintreepaymentsolutions.com")</f>
        <v>braintreepaymentsolutions.com</v>
      </c>
      <c r="C26810" t="s">
        <v>433</v>
      </c>
      <c r="F26810">
        <v>6.6696788068834004E-8</v>
      </c>
      <c r="G26810">
        <v>641952</v>
      </c>
      <c r="H26810">
        <v>13985416</v>
      </c>
      <c r="I26810">
        <v>4040717</v>
      </c>
      <c r="J26810">
        <v>5</v>
      </c>
    </row>
    <row r="26811" spans="1:10" x14ac:dyDescent="0.25">
      <c r="A26811" t="s">
        <v>298</v>
      </c>
      <c r="B26811" s="1" t="str">
        <f>HYPERLINK("http://fraudsciences.com","fraudsciences.com")</f>
        <v>fraudsciences.com</v>
      </c>
      <c r="C26811" t="s">
        <v>433</v>
      </c>
      <c r="F26811">
        <v>7.39085048662836E-9</v>
      </c>
      <c r="G26811">
        <v>11264553</v>
      </c>
      <c r="H26811">
        <v>13486559</v>
      </c>
      <c r="I26811">
        <v>9994107</v>
      </c>
      <c r="J26811">
        <v>5</v>
      </c>
    </row>
    <row r="26812" spans="1:10" x14ac:dyDescent="0.25">
      <c r="A26812" t="s">
        <v>298</v>
      </c>
      <c r="B26812" s="1" t="str">
        <f>HYPERLINK("http://intelligentpos.com","intelligentpos.com")</f>
        <v>intelligentpos.com</v>
      </c>
      <c r="C26812" t="s">
        <v>433</v>
      </c>
      <c r="E26812">
        <v>143967</v>
      </c>
      <c r="F26812">
        <v>1.08036255873582E-8</v>
      </c>
      <c r="G26812">
        <v>6018011</v>
      </c>
      <c r="H26812">
        <v>13208133</v>
      </c>
      <c r="I26812">
        <v>11516712</v>
      </c>
      <c r="J26812">
        <v>8</v>
      </c>
    </row>
    <row r="26813" spans="1:10" x14ac:dyDescent="0.25">
      <c r="A26813" t="s">
        <v>298</v>
      </c>
      <c r="B26813" s="1" t="str">
        <f>HYPERLINK("http://iron-cloud.com","iron-cloud.com")</f>
        <v>iron-cloud.com</v>
      </c>
      <c r="C26813" t="s">
        <v>433</v>
      </c>
      <c r="E26813">
        <v>966580</v>
      </c>
      <c r="J26813">
        <v>3</v>
      </c>
    </row>
    <row r="26814" spans="1:10" x14ac:dyDescent="0.25">
      <c r="A26814" t="s">
        <v>298</v>
      </c>
      <c r="B26814" s="1" t="str">
        <f>HYPERLINK("http://izettle.com","izettle.com")</f>
        <v>izettle.com</v>
      </c>
      <c r="C26814" t="s">
        <v>433</v>
      </c>
      <c r="E26814">
        <v>18433</v>
      </c>
      <c r="F26814">
        <v>1.1502772654234801E-6</v>
      </c>
      <c r="G26814">
        <v>33686</v>
      </c>
      <c r="H26814">
        <v>17476684</v>
      </c>
      <c r="I26814">
        <v>14765</v>
      </c>
      <c r="J26814">
        <v>4</v>
      </c>
    </row>
    <row r="26815" spans="1:10" x14ac:dyDescent="0.25">
      <c r="A26815" t="s">
        <v>298</v>
      </c>
      <c r="B26815" s="1" t="str">
        <f>HYPERLINK("http://joinhoney.com","joinhoney.com")</f>
        <v>joinhoney.com</v>
      </c>
      <c r="C26815" t="s">
        <v>433</v>
      </c>
      <c r="E26815">
        <v>2397</v>
      </c>
      <c r="F26815">
        <v>1.9176007955590601E-6</v>
      </c>
      <c r="G26815">
        <v>19136</v>
      </c>
      <c r="H26815">
        <v>17588098</v>
      </c>
      <c r="I26815">
        <v>10047</v>
      </c>
      <c r="J26815">
        <v>4</v>
      </c>
    </row>
    <row r="26816" spans="1:10" x14ac:dyDescent="0.25">
      <c r="A26816" t="s">
        <v>298</v>
      </c>
      <c r="B26816" s="1" t="str">
        <f>HYPERLINK("http://paidy.com","paidy.com")</f>
        <v>paidy.com</v>
      </c>
      <c r="C26816" t="s">
        <v>433</v>
      </c>
      <c r="E26816">
        <v>58584</v>
      </c>
      <c r="F26816">
        <v>1.09194921019505E-6</v>
      </c>
      <c r="G26816">
        <v>35225</v>
      </c>
      <c r="H26816">
        <v>17457516</v>
      </c>
      <c r="I26816">
        <v>15738</v>
      </c>
      <c r="J26816">
        <v>3</v>
      </c>
    </row>
    <row r="26817" spans="1:10" x14ac:dyDescent="0.25">
      <c r="A26817" t="s">
        <v>298</v>
      </c>
      <c r="B26817" s="1" t="str">
        <f>HYPERLINK("http://paydiant.com","paydiant.com")</f>
        <v>paydiant.com</v>
      </c>
      <c r="C26817" t="s">
        <v>433</v>
      </c>
      <c r="E26817">
        <v>10457</v>
      </c>
      <c r="F26817">
        <v>3.4328769790272599E-8</v>
      </c>
      <c r="G26817">
        <v>1510366</v>
      </c>
      <c r="H26817">
        <v>13895756</v>
      </c>
      <c r="I26817">
        <v>5955591</v>
      </c>
      <c r="J26817">
        <v>4</v>
      </c>
    </row>
    <row r="26818" spans="1:10" x14ac:dyDescent="0.25">
      <c r="A26818" t="s">
        <v>298</v>
      </c>
      <c r="B26818" s="1" t="str">
        <f>HYPERLINK("http://paypal.com","paypal.com")</f>
        <v>paypal.com</v>
      </c>
      <c r="C26818" t="s">
        <v>433</v>
      </c>
      <c r="E26818">
        <v>81</v>
      </c>
      <c r="F26818">
        <v>6.3491509018423096E-4</v>
      </c>
      <c r="G26818">
        <v>54</v>
      </c>
      <c r="H26818">
        <v>20349558</v>
      </c>
      <c r="I26818">
        <v>40</v>
      </c>
      <c r="J26818">
        <v>1</v>
      </c>
    </row>
    <row r="26819" spans="1:10" x14ac:dyDescent="0.25">
      <c r="A26819" t="s">
        <v>298</v>
      </c>
      <c r="B26819" s="1" t="str">
        <f>HYPERLINK("http://paypal-pep.com","paypal-pep.com")</f>
        <v>paypal-pep.com</v>
      </c>
      <c r="C26819" t="s">
        <v>433</v>
      </c>
      <c r="F26819">
        <v>4.44380996400719E-9</v>
      </c>
      <c r="G26819">
        <v>79625709</v>
      </c>
      <c r="H26819">
        <v>10351910</v>
      </c>
      <c r="I26819">
        <v>56130081</v>
      </c>
      <c r="J26819">
        <v>3</v>
      </c>
    </row>
    <row r="26820" spans="1:10" x14ac:dyDescent="0.25">
      <c r="A26820" t="s">
        <v>298</v>
      </c>
      <c r="B26820" s="1" t="str">
        <f>HYPERLINK("http://paypalc3.com","paypalc3.com")</f>
        <v>paypalc3.com</v>
      </c>
      <c r="C26820" t="s">
        <v>433</v>
      </c>
      <c r="E26820">
        <v>30502</v>
      </c>
      <c r="F26820">
        <v>4.44380996400719E-9</v>
      </c>
      <c r="G26820">
        <v>79625710</v>
      </c>
      <c r="H26820">
        <v>10351910</v>
      </c>
      <c r="I26820">
        <v>56130082</v>
      </c>
      <c r="J26820">
        <v>3</v>
      </c>
    </row>
    <row r="26821" spans="1:10" x14ac:dyDescent="0.25">
      <c r="A26821" t="s">
        <v>298</v>
      </c>
      <c r="B26821" s="1" t="str">
        <f>HYPERLINK("http://paypalcorp.com","paypalcorp.com")</f>
        <v>paypalcorp.com</v>
      </c>
      <c r="C26821" t="s">
        <v>433</v>
      </c>
      <c r="E26821">
        <v>18382</v>
      </c>
      <c r="F26821">
        <v>2.24069427603447E-7</v>
      </c>
      <c r="G26821">
        <v>168205</v>
      </c>
      <c r="H26821">
        <v>13669166</v>
      </c>
      <c r="I26821">
        <v>9558051</v>
      </c>
      <c r="J26821">
        <v>3</v>
      </c>
    </row>
    <row r="26822" spans="1:10" x14ac:dyDescent="0.25">
      <c r="A26822" t="s">
        <v>298</v>
      </c>
      <c r="B26822" s="1" t="str">
        <f>HYPERLINK("http://paypalcredit.com","paypalcredit.com")</f>
        <v>paypalcredit.com</v>
      </c>
      <c r="C26822" t="s">
        <v>433</v>
      </c>
      <c r="E26822">
        <v>232410</v>
      </c>
      <c r="F26822">
        <v>4.0130737805948901E-8</v>
      </c>
      <c r="G26822">
        <v>1288705</v>
      </c>
      <c r="H26822">
        <v>13634244</v>
      </c>
      <c r="I26822">
        <v>9615329</v>
      </c>
      <c r="J26822">
        <v>4</v>
      </c>
    </row>
    <row r="26823" spans="1:10" x14ac:dyDescent="0.25">
      <c r="A26823" t="s">
        <v>298</v>
      </c>
      <c r="B26823" s="1" t="str">
        <f>HYPERLINK("http://paypalinc.com","paypalinc.com")</f>
        <v>paypalinc.com</v>
      </c>
      <c r="C26823" t="s">
        <v>433</v>
      </c>
      <c r="E26823">
        <v>7837</v>
      </c>
      <c r="F26823">
        <v>2.10069085397843E-7</v>
      </c>
      <c r="G26823">
        <v>180001</v>
      </c>
      <c r="H26823">
        <v>13613225</v>
      </c>
      <c r="I26823">
        <v>9632843</v>
      </c>
      <c r="J26823">
        <v>3</v>
      </c>
    </row>
    <row r="26824" spans="1:10" x14ac:dyDescent="0.25">
      <c r="A26824" t="s">
        <v>298</v>
      </c>
      <c r="B26824" s="1" t="str">
        <f>HYPERLINK("http://swiftfinancial.com","swiftfinancial.com")</f>
        <v>swiftfinancial.com</v>
      </c>
      <c r="C26824" t="s">
        <v>433</v>
      </c>
      <c r="E26824">
        <v>27295</v>
      </c>
      <c r="F26824">
        <v>1.2630325402306601E-8</v>
      </c>
      <c r="G26824">
        <v>4815518</v>
      </c>
      <c r="H26824">
        <v>13442048</v>
      </c>
      <c r="I26824">
        <v>10245228</v>
      </c>
      <c r="J26824">
        <v>3</v>
      </c>
    </row>
    <row r="26825" spans="1:10" x14ac:dyDescent="0.25">
      <c r="A26825" t="s">
        <v>298</v>
      </c>
      <c r="B26825" s="1" t="str">
        <f>HYPERLINK("http://twotap.com","twotap.com")</f>
        <v>twotap.com</v>
      </c>
      <c r="C26825" t="s">
        <v>433</v>
      </c>
      <c r="E26825">
        <v>319108</v>
      </c>
      <c r="F26825">
        <v>1.51845724399053E-8</v>
      </c>
      <c r="G26825">
        <v>3780587</v>
      </c>
      <c r="H26825">
        <v>13471523</v>
      </c>
      <c r="I26825">
        <v>10032322</v>
      </c>
      <c r="J26825">
        <v>3</v>
      </c>
    </row>
    <row r="26826" spans="1:10" x14ac:dyDescent="0.25">
      <c r="A26826" t="s">
        <v>298</v>
      </c>
      <c r="B26826" s="1" t="str">
        <f>HYPERLINK("http://venmo.com","venmo.com")</f>
        <v>venmo.com</v>
      </c>
      <c r="C26826" t="s">
        <v>433</v>
      </c>
      <c r="E26826">
        <v>3013</v>
      </c>
      <c r="F26826">
        <v>1.1079094839925999E-5</v>
      </c>
      <c r="G26826">
        <v>3072</v>
      </c>
      <c r="H26826">
        <v>18111300</v>
      </c>
      <c r="I26826">
        <v>3079</v>
      </c>
      <c r="J26826">
        <v>4</v>
      </c>
    </row>
    <row r="26827" spans="1:10" x14ac:dyDescent="0.25">
      <c r="A26827" t="s">
        <v>298</v>
      </c>
      <c r="B26827" s="1" t="str">
        <f>HYPERLINK("http://xoom.com","xoom.com")</f>
        <v>xoom.com</v>
      </c>
      <c r="C26827" t="s">
        <v>433</v>
      </c>
      <c r="E26827">
        <v>5884</v>
      </c>
      <c r="F26827">
        <v>1.5301215076018899E-6</v>
      </c>
      <c r="G26827">
        <v>25653</v>
      </c>
      <c r="H26827">
        <v>17489760</v>
      </c>
      <c r="I26827">
        <v>14165</v>
      </c>
      <c r="J26827">
        <v>3</v>
      </c>
    </row>
    <row r="26828" spans="1:10" x14ac:dyDescent="0.25">
      <c r="A26828" t="s">
        <v>298</v>
      </c>
      <c r="B26828" s="1" t="str">
        <f>HYPERLINK("http://zettle.com","zettle.com")</f>
        <v>zettle.com</v>
      </c>
      <c r="C26828" t="s">
        <v>433</v>
      </c>
      <c r="E26828">
        <v>35231</v>
      </c>
      <c r="F26828">
        <v>1.60650209783623E-6</v>
      </c>
      <c r="G26828">
        <v>24508</v>
      </c>
      <c r="H26828">
        <v>17311052</v>
      </c>
      <c r="I26828">
        <v>26706</v>
      </c>
      <c r="J26828">
        <v>4</v>
      </c>
    </row>
    <row r="26829" spans="1:10" x14ac:dyDescent="0.25">
      <c r="A26829" t="s">
        <v>298</v>
      </c>
      <c r="B26829" s="1" t="str">
        <f>HYPERLINK("http://paypal.de","paypal.de")</f>
        <v>paypal.de</v>
      </c>
      <c r="C26829" t="s">
        <v>436</v>
      </c>
      <c r="D26829" t="s">
        <v>815</v>
      </c>
      <c r="E26829">
        <v>81697</v>
      </c>
      <c r="F26829">
        <v>8.6785436339821205E-6</v>
      </c>
      <c r="G26829">
        <v>3888</v>
      </c>
      <c r="H26829">
        <v>14883760</v>
      </c>
      <c r="I26829">
        <v>470653</v>
      </c>
      <c r="J26829">
        <v>2</v>
      </c>
    </row>
    <row r="26830" spans="1:10" x14ac:dyDescent="0.25">
      <c r="A26830" t="s">
        <v>298</v>
      </c>
      <c r="B26830" s="1" t="str">
        <f>HYPERLINK("http://paypal.dk","paypal.dk")</f>
        <v>paypal.dk</v>
      </c>
      <c r="C26830" t="s">
        <v>437</v>
      </c>
      <c r="D26830" t="s">
        <v>816</v>
      </c>
      <c r="E26830">
        <v>783216</v>
      </c>
      <c r="F26830">
        <v>2.2040533718485901E-7</v>
      </c>
      <c r="G26830">
        <v>171024</v>
      </c>
      <c r="H26830">
        <v>13611271</v>
      </c>
      <c r="I26830">
        <v>9634971</v>
      </c>
      <c r="J26830">
        <v>2</v>
      </c>
    </row>
    <row r="26831" spans="1:10" x14ac:dyDescent="0.25">
      <c r="A26831" t="s">
        <v>298</v>
      </c>
      <c r="B26831" s="1" t="str">
        <f>HYPERLINK("http://paypal.es","paypal.es")</f>
        <v>paypal.es</v>
      </c>
      <c r="C26831" t="s">
        <v>443</v>
      </c>
      <c r="D26831" t="s">
        <v>822</v>
      </c>
      <c r="E26831">
        <v>126681</v>
      </c>
      <c r="F26831">
        <v>6.7887953522234001E-6</v>
      </c>
      <c r="G26831">
        <v>4946</v>
      </c>
      <c r="H26831">
        <v>14934859</v>
      </c>
      <c r="I26831">
        <v>445848</v>
      </c>
      <c r="J26831">
        <v>2</v>
      </c>
    </row>
    <row r="26832" spans="1:10" x14ac:dyDescent="0.25">
      <c r="A26832" t="s">
        <v>298</v>
      </c>
      <c r="B26832" s="1" t="str">
        <f>HYPERLINK("http://paypal.eu","paypal.eu")</f>
        <v>paypal.eu</v>
      </c>
      <c r="C26832" t="s">
        <v>444</v>
      </c>
      <c r="F26832">
        <v>2.18736806264652E-7</v>
      </c>
      <c r="G26832">
        <v>172337</v>
      </c>
      <c r="H26832">
        <v>13966142</v>
      </c>
      <c r="I26832">
        <v>4088530</v>
      </c>
      <c r="J26832">
        <v>2</v>
      </c>
    </row>
    <row r="26833" spans="1:10" x14ac:dyDescent="0.25">
      <c r="A26833" t="s">
        <v>298</v>
      </c>
      <c r="B26833" s="1" t="str">
        <f>HYPERLINK("http://braintree.fi","braintree.fi")</f>
        <v>braintree.fi</v>
      </c>
      <c r="C26833" t="s">
        <v>445</v>
      </c>
      <c r="D26833" t="s">
        <v>823</v>
      </c>
      <c r="J26833">
        <v>4</v>
      </c>
    </row>
    <row r="26834" spans="1:10" x14ac:dyDescent="0.25">
      <c r="A26834" t="s">
        <v>298</v>
      </c>
      <c r="B26834" s="1" t="str">
        <f>HYPERLINK("http://braintreepayments.fi","braintreepayments.fi")</f>
        <v>braintreepayments.fi</v>
      </c>
      <c r="C26834" t="s">
        <v>445</v>
      </c>
      <c r="D26834" t="s">
        <v>823</v>
      </c>
      <c r="J26834">
        <v>4</v>
      </c>
    </row>
    <row r="26835" spans="1:10" x14ac:dyDescent="0.25">
      <c r="A26835" t="s">
        <v>298</v>
      </c>
      <c r="B26835" s="1" t="str">
        <f>HYPERLINK("http://foreverlocal.fi","foreverlocal.fi")</f>
        <v>foreverlocal.fi</v>
      </c>
      <c r="C26835" t="s">
        <v>445</v>
      </c>
      <c r="D26835" t="s">
        <v>823</v>
      </c>
      <c r="J26835">
        <v>4</v>
      </c>
    </row>
    <row r="26836" spans="1:10" x14ac:dyDescent="0.25">
      <c r="A26836" t="s">
        <v>298</v>
      </c>
      <c r="B26836" s="1" t="str">
        <f>HYPERLINK("http://izettle.fi","izettle.fi")</f>
        <v>izettle.fi</v>
      </c>
      <c r="C26836" t="s">
        <v>445</v>
      </c>
      <c r="D26836" t="s">
        <v>823</v>
      </c>
      <c r="J26836">
        <v>4</v>
      </c>
    </row>
    <row r="26837" spans="1:10" x14ac:dyDescent="0.25">
      <c r="A26837" t="s">
        <v>298</v>
      </c>
      <c r="B26837" s="1" t="str">
        <f>HYPERLINK("http://loanbuilder.fi","loanbuilder.fi")</f>
        <v>loanbuilder.fi</v>
      </c>
      <c r="C26837" t="s">
        <v>445</v>
      </c>
      <c r="D26837" t="s">
        <v>823</v>
      </c>
      <c r="J26837">
        <v>4</v>
      </c>
    </row>
    <row r="26838" spans="1:10" x14ac:dyDescent="0.25">
      <c r="A26838" t="s">
        <v>298</v>
      </c>
      <c r="B26838" s="1" t="str">
        <f>HYPERLINK("http://paypal.fi","paypal.fi")</f>
        <v>paypal.fi</v>
      </c>
      <c r="C26838" t="s">
        <v>445</v>
      </c>
      <c r="D26838" t="s">
        <v>823</v>
      </c>
      <c r="F26838">
        <v>1.453710770271E-8</v>
      </c>
      <c r="G26838">
        <v>3999851</v>
      </c>
      <c r="H26838">
        <v>11057175</v>
      </c>
      <c r="I26838">
        <v>32713305</v>
      </c>
      <c r="J26838">
        <v>4</v>
      </c>
    </row>
    <row r="26839" spans="1:10" x14ac:dyDescent="0.25">
      <c r="A26839" t="s">
        <v>298</v>
      </c>
      <c r="B26839" s="1" t="str">
        <f>HYPERLINK("http://paypal-here.fi","paypal-here.fi")</f>
        <v>paypal-here.fi</v>
      </c>
      <c r="C26839" t="s">
        <v>445</v>
      </c>
      <c r="D26839" t="s">
        <v>823</v>
      </c>
      <c r="J26839">
        <v>4</v>
      </c>
    </row>
    <row r="26840" spans="1:10" x14ac:dyDescent="0.25">
      <c r="A26840" t="s">
        <v>298</v>
      </c>
      <c r="B26840" s="1" t="str">
        <f>HYPERLINK("http://paypal-topup.fi","paypal-topup.fi")</f>
        <v>paypal-topup.fi</v>
      </c>
      <c r="C26840" t="s">
        <v>445</v>
      </c>
      <c r="D26840" t="s">
        <v>823</v>
      </c>
      <c r="E26840">
        <v>276115</v>
      </c>
      <c r="F26840">
        <v>4.6323425659918196E-9</v>
      </c>
      <c r="G26840">
        <v>45292987</v>
      </c>
      <c r="H26840">
        <v>12159709</v>
      </c>
      <c r="I26840">
        <v>24370220</v>
      </c>
      <c r="J26840">
        <v>4</v>
      </c>
    </row>
    <row r="26841" spans="1:10" x14ac:dyDescent="0.25">
      <c r="A26841" t="s">
        <v>298</v>
      </c>
      <c r="B26841" s="1" t="str">
        <f>HYPERLINK("http://paypalbeacon.fi","paypalbeacon.fi")</f>
        <v>paypalbeacon.fi</v>
      </c>
      <c r="C26841" t="s">
        <v>445</v>
      </c>
      <c r="D26841" t="s">
        <v>823</v>
      </c>
      <c r="J26841">
        <v>4</v>
      </c>
    </row>
    <row r="26842" spans="1:10" x14ac:dyDescent="0.25">
      <c r="A26842" t="s">
        <v>298</v>
      </c>
      <c r="B26842" s="1" t="str">
        <f>HYPERLINK("http://paypalcredit.fi","paypalcredit.fi")</f>
        <v>paypalcredit.fi</v>
      </c>
      <c r="C26842" t="s">
        <v>445</v>
      </c>
      <c r="D26842" t="s">
        <v>823</v>
      </c>
      <c r="J26842">
        <v>4</v>
      </c>
    </row>
    <row r="26843" spans="1:10" x14ac:dyDescent="0.25">
      <c r="A26843" t="s">
        <v>298</v>
      </c>
      <c r="B26843" s="1" t="str">
        <f>HYPERLINK("http://paypalgivingfund.fi","paypalgivingfund.fi")</f>
        <v>paypalgivingfund.fi</v>
      </c>
      <c r="C26843" t="s">
        <v>445</v>
      </c>
      <c r="D26843" t="s">
        <v>823</v>
      </c>
      <c r="J26843">
        <v>4</v>
      </c>
    </row>
    <row r="26844" spans="1:10" x14ac:dyDescent="0.25">
      <c r="A26844" t="s">
        <v>298</v>
      </c>
      <c r="B26844" s="1" t="str">
        <f>HYPERLINK("http://paypalhere.fi","paypalhere.fi")</f>
        <v>paypalhere.fi</v>
      </c>
      <c r="C26844" t="s">
        <v>445</v>
      </c>
      <c r="D26844" t="s">
        <v>823</v>
      </c>
      <c r="J26844">
        <v>4</v>
      </c>
    </row>
    <row r="26845" spans="1:10" x14ac:dyDescent="0.25">
      <c r="A26845" t="s">
        <v>298</v>
      </c>
      <c r="B26845" s="1" t="str">
        <f>HYPERLINK("http://paypalkey.fi","paypalkey.fi")</f>
        <v>paypalkey.fi</v>
      </c>
      <c r="C26845" t="s">
        <v>445</v>
      </c>
      <c r="D26845" t="s">
        <v>823</v>
      </c>
      <c r="J26845">
        <v>4</v>
      </c>
    </row>
    <row r="26846" spans="1:10" x14ac:dyDescent="0.25">
      <c r="A26846" t="s">
        <v>298</v>
      </c>
      <c r="B26846" s="1" t="str">
        <f>HYPERLINK("http://venmo.fi","venmo.fi")</f>
        <v>venmo.fi</v>
      </c>
      <c r="C26846" t="s">
        <v>445</v>
      </c>
      <c r="D26846" t="s">
        <v>823</v>
      </c>
      <c r="J26846">
        <v>4</v>
      </c>
    </row>
    <row r="26847" spans="1:10" x14ac:dyDescent="0.25">
      <c r="A26847" t="s">
        <v>298</v>
      </c>
      <c r="B26847" s="1" t="str">
        <f>HYPERLINK("http://xoom.fi","xoom.fi")</f>
        <v>xoom.fi</v>
      </c>
      <c r="C26847" t="s">
        <v>445</v>
      </c>
      <c r="D26847" t="s">
        <v>823</v>
      </c>
      <c r="J26847">
        <v>4</v>
      </c>
    </row>
    <row r="26848" spans="1:10" x14ac:dyDescent="0.25">
      <c r="A26848" t="s">
        <v>298</v>
      </c>
      <c r="B26848" s="1" t="str">
        <f>HYPERLINK("http://paypal.fr","paypal.fr")</f>
        <v>paypal.fr</v>
      </c>
      <c r="C26848" t="s">
        <v>446</v>
      </c>
      <c r="D26848" t="s">
        <v>824</v>
      </c>
      <c r="E26848">
        <v>259354</v>
      </c>
      <c r="F26848">
        <v>6.9108539126290404E-6</v>
      </c>
      <c r="G26848">
        <v>4861</v>
      </c>
      <c r="H26848">
        <v>17059002</v>
      </c>
      <c r="I26848">
        <v>74383</v>
      </c>
      <c r="J26848">
        <v>2</v>
      </c>
    </row>
    <row r="26849" spans="1:10" x14ac:dyDescent="0.25">
      <c r="A26849" t="s">
        <v>298</v>
      </c>
      <c r="B26849" s="1" t="str">
        <f>HYPERLINK("http://paypal.com.hk","paypal.com.hk")</f>
        <v>paypal.com.hk</v>
      </c>
      <c r="C26849" t="s">
        <v>450</v>
      </c>
      <c r="D26849" t="s">
        <v>827</v>
      </c>
      <c r="E26849">
        <v>505527</v>
      </c>
      <c r="F26849">
        <v>2.7611636039269399E-7</v>
      </c>
      <c r="G26849">
        <v>134731</v>
      </c>
      <c r="H26849">
        <v>13985658</v>
      </c>
      <c r="I26849">
        <v>4040328</v>
      </c>
      <c r="J26849">
        <v>2</v>
      </c>
    </row>
    <row r="26850" spans="1:10" x14ac:dyDescent="0.25">
      <c r="A26850" t="s">
        <v>298</v>
      </c>
      <c r="B26850" s="1" t="str">
        <f>HYPERLINK("http://viapaypal.id","viapaypal.id")</f>
        <v>viapaypal.id</v>
      </c>
      <c r="C26850" t="s">
        <v>454</v>
      </c>
      <c r="D26850" t="s">
        <v>831</v>
      </c>
      <c r="F26850">
        <v>9.1232977386032304E-8</v>
      </c>
      <c r="G26850">
        <v>446817</v>
      </c>
      <c r="H26850">
        <v>13247466</v>
      </c>
      <c r="I26850">
        <v>11112173</v>
      </c>
      <c r="J26850">
        <v>3</v>
      </c>
    </row>
    <row r="26851" spans="1:10" x14ac:dyDescent="0.25">
      <c r="A26851" t="s">
        <v>298</v>
      </c>
      <c r="B26851" s="1" t="str">
        <f>HYPERLINK("http://swiftfinancial.io","swiftfinancial.io")</f>
        <v>swiftfinancial.io</v>
      </c>
      <c r="C26851" t="s">
        <v>518</v>
      </c>
      <c r="J26851">
        <v>3</v>
      </c>
    </row>
    <row r="26852" spans="1:10" x14ac:dyDescent="0.25">
      <c r="A26852" t="s">
        <v>298</v>
      </c>
      <c r="B26852" s="1" t="str">
        <f>HYPERLINK("http://paypal.it","paypal.it")</f>
        <v>paypal.it</v>
      </c>
      <c r="C26852" t="s">
        <v>459</v>
      </c>
      <c r="D26852" t="s">
        <v>835</v>
      </c>
      <c r="E26852">
        <v>200856</v>
      </c>
      <c r="F26852">
        <v>6.8865916782249897E-6</v>
      </c>
      <c r="G26852">
        <v>4879</v>
      </c>
      <c r="H26852">
        <v>14435462</v>
      </c>
      <c r="I26852">
        <v>1069012</v>
      </c>
      <c r="J26852">
        <v>2</v>
      </c>
    </row>
    <row r="26853" spans="1:10" x14ac:dyDescent="0.25">
      <c r="A26853" t="s">
        <v>298</v>
      </c>
      <c r="B26853" s="1" t="str">
        <f>HYPERLINK("http://paypal.jp","paypal.jp")</f>
        <v>paypal.jp</v>
      </c>
      <c r="C26853" t="s">
        <v>461</v>
      </c>
      <c r="D26853" t="s">
        <v>837</v>
      </c>
      <c r="E26853">
        <v>422014</v>
      </c>
      <c r="F26853">
        <v>6.9914871262865197E-7</v>
      </c>
      <c r="G26853">
        <v>55290</v>
      </c>
      <c r="H26853">
        <v>14712959</v>
      </c>
      <c r="I26853">
        <v>582120</v>
      </c>
      <c r="J26853">
        <v>2</v>
      </c>
    </row>
    <row r="26854" spans="1:10" x14ac:dyDescent="0.25">
      <c r="A26854" t="s">
        <v>298</v>
      </c>
      <c r="B26854" s="1" t="str">
        <f>HYPERLINK("http://paypal.me","paypal.me")</f>
        <v>paypal.me</v>
      </c>
      <c r="C26854" t="s">
        <v>470</v>
      </c>
      <c r="D26854" t="s">
        <v>846</v>
      </c>
      <c r="E26854">
        <v>2013</v>
      </c>
      <c r="F26854">
        <v>3.8388142907561502E-5</v>
      </c>
      <c r="G26854">
        <v>703</v>
      </c>
      <c r="H26854">
        <v>18665296</v>
      </c>
      <c r="I26854">
        <v>1088</v>
      </c>
      <c r="J26854">
        <v>2</v>
      </c>
    </row>
    <row r="26855" spans="1:10" x14ac:dyDescent="0.25">
      <c r="A26855" t="s">
        <v>298</v>
      </c>
      <c r="B26855" s="1" t="str">
        <f>HYPERLINK("http://paypal.com.mx","paypal.com.mx")</f>
        <v>paypal.com.mx</v>
      </c>
      <c r="C26855" t="s">
        <v>471</v>
      </c>
      <c r="D26855" t="s">
        <v>847</v>
      </c>
      <c r="E26855">
        <v>628441</v>
      </c>
      <c r="F26855">
        <v>2.4915795393960801E-7</v>
      </c>
      <c r="G26855">
        <v>150155</v>
      </c>
      <c r="H26855">
        <v>14474685</v>
      </c>
      <c r="I26855">
        <v>1034282</v>
      </c>
      <c r="J26855">
        <v>2</v>
      </c>
    </row>
    <row r="26856" spans="1:10" x14ac:dyDescent="0.25">
      <c r="A26856" t="s">
        <v>298</v>
      </c>
      <c r="B26856" s="1" t="str">
        <f>HYPERLINK("http://paypal.mx","paypal.mx")</f>
        <v>paypal.mx</v>
      </c>
      <c r="C26856" t="s">
        <v>471</v>
      </c>
      <c r="D26856" t="s">
        <v>847</v>
      </c>
      <c r="F26856">
        <v>2.08179551079629E-7</v>
      </c>
      <c r="G26856">
        <v>182007</v>
      </c>
      <c r="H26856">
        <v>13613162</v>
      </c>
      <c r="I26856">
        <v>9632908</v>
      </c>
      <c r="J26856">
        <v>2</v>
      </c>
    </row>
    <row r="26857" spans="1:10" x14ac:dyDescent="0.25">
      <c r="A26857" t="s">
        <v>298</v>
      </c>
      <c r="B26857" s="1" t="str">
        <f>HYPERLINK("http://paypal.nl","paypal.nl")</f>
        <v>paypal.nl</v>
      </c>
      <c r="C26857" t="s">
        <v>477</v>
      </c>
      <c r="D26857" t="s">
        <v>852</v>
      </c>
      <c r="E26857">
        <v>370208</v>
      </c>
      <c r="F26857">
        <v>6.4943101755017298E-6</v>
      </c>
      <c r="G26857">
        <v>5237</v>
      </c>
      <c r="H26857">
        <v>14480550</v>
      </c>
      <c r="I26857">
        <v>1025915</v>
      </c>
      <c r="J26857">
        <v>2</v>
      </c>
    </row>
    <row r="26858" spans="1:10" x14ac:dyDescent="0.25">
      <c r="A26858" t="s">
        <v>298</v>
      </c>
      <c r="B26858" s="1" t="str">
        <f>HYPERLINK("http://paypal.no","paypal.no")</f>
        <v>paypal.no</v>
      </c>
      <c r="C26858" t="s">
        <v>478</v>
      </c>
      <c r="D26858" t="s">
        <v>853</v>
      </c>
      <c r="F26858">
        <v>2.2214445587548999E-7</v>
      </c>
      <c r="G26858">
        <v>169681</v>
      </c>
      <c r="H26858">
        <v>13963278</v>
      </c>
      <c r="I26858">
        <v>4098399</v>
      </c>
      <c r="J26858">
        <v>2</v>
      </c>
    </row>
    <row r="26859" spans="1:10" x14ac:dyDescent="0.25">
      <c r="A26859" t="s">
        <v>298</v>
      </c>
      <c r="B26859" s="1" t="str">
        <f>HYPERLINK("http://missionfish.org","missionfish.org")</f>
        <v>missionfish.org</v>
      </c>
      <c r="C26859" t="s">
        <v>481</v>
      </c>
      <c r="F26859">
        <v>4.1688593056156302E-8</v>
      </c>
      <c r="G26859">
        <v>1187106</v>
      </c>
      <c r="H26859">
        <v>14167657</v>
      </c>
      <c r="I26859">
        <v>1814894</v>
      </c>
      <c r="J26859">
        <v>5</v>
      </c>
    </row>
    <row r="26860" spans="1:10" x14ac:dyDescent="0.25">
      <c r="A26860" t="s">
        <v>298</v>
      </c>
      <c r="B26860" s="1" t="str">
        <f>HYPERLINK("http://paypal.pl","paypal.pl")</f>
        <v>paypal.pl</v>
      </c>
      <c r="C26860" t="s">
        <v>486</v>
      </c>
      <c r="D26860" t="s">
        <v>860</v>
      </c>
      <c r="E26860">
        <v>401031</v>
      </c>
      <c r="F26860">
        <v>6.36884949660294E-6</v>
      </c>
      <c r="G26860">
        <v>5347</v>
      </c>
      <c r="H26860">
        <v>13984665</v>
      </c>
      <c r="I26860">
        <v>4042200</v>
      </c>
      <c r="J26860">
        <v>2</v>
      </c>
    </row>
    <row r="26861" spans="1:10" x14ac:dyDescent="0.25">
      <c r="A26861" t="s">
        <v>298</v>
      </c>
      <c r="B26861" s="1" t="str">
        <f>HYPERLINK("http://paypal.pt","paypal.pt")</f>
        <v>paypal.pt</v>
      </c>
      <c r="C26861" t="s">
        <v>488</v>
      </c>
      <c r="D26861" t="s">
        <v>862</v>
      </c>
      <c r="F26861">
        <v>2.2081678214278899E-7</v>
      </c>
      <c r="G26861">
        <v>170705</v>
      </c>
      <c r="H26861">
        <v>13613595</v>
      </c>
      <c r="I26861">
        <v>9632439</v>
      </c>
      <c r="J26861">
        <v>2</v>
      </c>
    </row>
    <row r="26862" spans="1:10" x14ac:dyDescent="0.25">
      <c r="A26862" t="s">
        <v>298</v>
      </c>
      <c r="B26862" s="1" t="str">
        <f>HYPERLINK("http://paypal.ru","paypal.ru")</f>
        <v>paypal.ru</v>
      </c>
      <c r="C26862" t="s">
        <v>493</v>
      </c>
      <c r="D26862" t="s">
        <v>867</v>
      </c>
      <c r="F26862">
        <v>2.36814399281301E-7</v>
      </c>
      <c r="G26862">
        <v>158185</v>
      </c>
      <c r="H26862">
        <v>13634906</v>
      </c>
      <c r="I26862">
        <v>9614915</v>
      </c>
      <c r="J26862">
        <v>2</v>
      </c>
    </row>
    <row r="26863" spans="1:10" x14ac:dyDescent="0.25">
      <c r="A26863" t="s">
        <v>298</v>
      </c>
      <c r="B26863" s="1" t="str">
        <f>HYPERLINK("http://paypal.se","paypal.se")</f>
        <v>paypal.se</v>
      </c>
      <c r="C26863" t="s">
        <v>495</v>
      </c>
      <c r="D26863" t="s">
        <v>869</v>
      </c>
      <c r="E26863">
        <v>466258</v>
      </c>
      <c r="F26863">
        <v>2.56719492847196E-7</v>
      </c>
      <c r="G26863">
        <v>145727</v>
      </c>
      <c r="H26863">
        <v>13625501</v>
      </c>
      <c r="I26863">
        <v>9621581</v>
      </c>
      <c r="J26863">
        <v>2</v>
      </c>
    </row>
    <row r="26864" spans="1:10" x14ac:dyDescent="0.25">
      <c r="A26864" t="s">
        <v>298</v>
      </c>
      <c r="B26864" s="1" t="str">
        <f>HYPERLINK("http://paypal.com.sg","paypal.com.sg")</f>
        <v>paypal.com.sg</v>
      </c>
      <c r="C26864" t="s">
        <v>496</v>
      </c>
      <c r="D26864" t="s">
        <v>870</v>
      </c>
      <c r="E26864">
        <v>489615</v>
      </c>
      <c r="F26864">
        <v>2.1316338078531399E-7</v>
      </c>
      <c r="G26864">
        <v>177129</v>
      </c>
      <c r="H26864">
        <v>14107948</v>
      </c>
      <c r="I26864">
        <v>2681515</v>
      </c>
      <c r="J26864">
        <v>2</v>
      </c>
    </row>
    <row r="26865" spans="1:10" x14ac:dyDescent="0.25">
      <c r="A26865" t="s">
        <v>298</v>
      </c>
      <c r="B26865" s="1" t="str">
        <f>HYPERLINK("http://braintree.tools","braintree.tools")</f>
        <v>braintree.tools</v>
      </c>
      <c r="C26865" t="s">
        <v>600</v>
      </c>
      <c r="E26865">
        <v>15683</v>
      </c>
      <c r="F26865">
        <v>4.7545783001176001E-9</v>
      </c>
      <c r="G26865">
        <v>38120541</v>
      </c>
      <c r="H26865">
        <v>10633709</v>
      </c>
      <c r="I26865">
        <v>43899835</v>
      </c>
      <c r="J26865">
        <v>3</v>
      </c>
    </row>
    <row r="26866" spans="1:10" x14ac:dyDescent="0.25">
      <c r="A26866" t="s">
        <v>298</v>
      </c>
      <c r="B26866" s="1" t="str">
        <f>HYPERLINK("http://paypal.com.tw","paypal.com.tw")</f>
        <v>paypal.com.tw</v>
      </c>
      <c r="C26866" t="s">
        <v>504</v>
      </c>
      <c r="D26866" t="s">
        <v>878</v>
      </c>
      <c r="F26866">
        <v>2.0987487541237401E-7</v>
      </c>
      <c r="G26866">
        <v>180227</v>
      </c>
      <c r="H26866">
        <v>13620587</v>
      </c>
      <c r="I26866">
        <v>9625642</v>
      </c>
      <c r="J26866">
        <v>2</v>
      </c>
    </row>
    <row r="26867" spans="1:10" x14ac:dyDescent="0.25">
      <c r="A26867" t="s">
        <v>298</v>
      </c>
      <c r="B26867" s="1" t="str">
        <f>HYPERLINK("http://i-pos.co.uk","i-pos.co.uk")</f>
        <v>i-pos.co.uk</v>
      </c>
      <c r="C26867" t="s">
        <v>506</v>
      </c>
      <c r="D26867" t="s">
        <v>880</v>
      </c>
      <c r="F26867">
        <v>4.9341639584210302E-9</v>
      </c>
      <c r="G26867">
        <v>31259637</v>
      </c>
      <c r="H26867">
        <v>11321262</v>
      </c>
      <c r="I26867">
        <v>30501899</v>
      </c>
      <c r="J26867">
        <v>7</v>
      </c>
    </row>
    <row r="26868" spans="1:10" x14ac:dyDescent="0.25">
      <c r="A26868" t="s">
        <v>298</v>
      </c>
      <c r="B26868" s="1" t="str">
        <f>HYPERLINK("http://paypal.co.uk","paypal.co.uk")</f>
        <v>paypal.co.uk</v>
      </c>
      <c r="C26868" t="s">
        <v>506</v>
      </c>
      <c r="D26868" t="s">
        <v>880</v>
      </c>
      <c r="E26868">
        <v>174505</v>
      </c>
      <c r="F26868">
        <v>6.7920416700107396E-6</v>
      </c>
      <c r="G26868">
        <v>4942</v>
      </c>
      <c r="H26868">
        <v>14906794</v>
      </c>
      <c r="I26868">
        <v>460166</v>
      </c>
      <c r="J26868">
        <v>2</v>
      </c>
    </row>
    <row r="26869" spans="1:10" x14ac:dyDescent="0.25">
      <c r="A26869" t="s">
        <v>299</v>
      </c>
      <c r="B26869" s="1" t="str">
        <f>HYPERLINK("http://advantagepayroll.com","advantagepayroll.com")</f>
        <v>advantagepayroll.com</v>
      </c>
      <c r="C26869" t="s">
        <v>433</v>
      </c>
      <c r="F26869">
        <v>1.22642862250079E-8</v>
      </c>
      <c r="G26869">
        <v>5014113</v>
      </c>
      <c r="H26869">
        <v>12738593</v>
      </c>
      <c r="I26869">
        <v>15151163</v>
      </c>
      <c r="J26869">
        <v>3</v>
      </c>
    </row>
    <row r="26870" spans="1:10" x14ac:dyDescent="0.25">
      <c r="A26870" t="s">
        <v>299</v>
      </c>
      <c r="B26870" s="1" t="str">
        <f>HYPERLINK("http://advantec-hr.com","advantec-hr.com")</f>
        <v>advantec-hr.com</v>
      </c>
      <c r="C26870" t="s">
        <v>433</v>
      </c>
      <c r="F26870">
        <v>7.4958722802816193E-9</v>
      </c>
      <c r="G26870">
        <v>11022601</v>
      </c>
      <c r="H26870">
        <v>13423338</v>
      </c>
      <c r="I26870">
        <v>10298397</v>
      </c>
      <c r="J26870">
        <v>7</v>
      </c>
    </row>
    <row r="26871" spans="1:10" x14ac:dyDescent="0.25">
      <c r="A26871" t="s">
        <v>299</v>
      </c>
      <c r="B26871" s="1" t="str">
        <f>HYPERLINK("http://benetrac.com","benetrac.com")</f>
        <v>benetrac.com</v>
      </c>
      <c r="C26871" t="s">
        <v>433</v>
      </c>
      <c r="F26871">
        <v>5.9407702858062197E-9</v>
      </c>
      <c r="G26871">
        <v>17081454</v>
      </c>
      <c r="H26871">
        <v>12750434</v>
      </c>
      <c r="I26871">
        <v>15048082</v>
      </c>
      <c r="J26871">
        <v>4</v>
      </c>
    </row>
    <row r="26872" spans="1:10" x14ac:dyDescent="0.25">
      <c r="A26872" t="s">
        <v>299</v>
      </c>
      <c r="B26872" s="1" t="str">
        <f>HYPERLINK("http://dohertyemployment.com","dohertyemployment.com")</f>
        <v>dohertyemployment.com</v>
      </c>
      <c r="C26872" t="s">
        <v>433</v>
      </c>
      <c r="F26872">
        <v>6.0047385237272499E-9</v>
      </c>
      <c r="G26872">
        <v>16654404</v>
      </c>
      <c r="H26872">
        <v>13933790</v>
      </c>
      <c r="I26872">
        <v>4669881</v>
      </c>
      <c r="J26872">
        <v>7</v>
      </c>
    </row>
    <row r="26873" spans="1:10" x14ac:dyDescent="0.25">
      <c r="A26873" t="s">
        <v>299</v>
      </c>
      <c r="B26873" s="1" t="str">
        <f>HYPERLINK("http://oasisadvantage.com","oasisadvantage.com")</f>
        <v>oasisadvantage.com</v>
      </c>
      <c r="C26873" t="s">
        <v>433</v>
      </c>
      <c r="E26873">
        <v>228671</v>
      </c>
      <c r="F26873">
        <v>7.3170334478519994E-8</v>
      </c>
      <c r="G26873">
        <v>576190</v>
      </c>
      <c r="H26873">
        <v>13862956</v>
      </c>
      <c r="I26873">
        <v>6015896</v>
      </c>
      <c r="J26873">
        <v>3</v>
      </c>
    </row>
    <row r="26874" spans="1:10" x14ac:dyDescent="0.25">
      <c r="A26874" t="s">
        <v>299</v>
      </c>
      <c r="B26874" s="1" t="str">
        <f>HYPERLINK("http://paychex.com","paychex.com")</f>
        <v>paychex.com</v>
      </c>
      <c r="C26874" t="s">
        <v>433</v>
      </c>
      <c r="E26874">
        <v>3395</v>
      </c>
      <c r="F26874">
        <v>2.0110172437058502E-6</v>
      </c>
      <c r="G26874">
        <v>18189</v>
      </c>
      <c r="H26874">
        <v>17360824</v>
      </c>
      <c r="I26874">
        <v>22152</v>
      </c>
      <c r="J26874">
        <v>1</v>
      </c>
    </row>
    <row r="26875" spans="1:10" x14ac:dyDescent="0.25">
      <c r="A26875" t="s">
        <v>299</v>
      </c>
      <c r="B26875" s="1" t="str">
        <f>HYPERLINK("http://surepayroll.com","surepayroll.com")</f>
        <v>surepayroll.com</v>
      </c>
      <c r="C26875" t="s">
        <v>433</v>
      </c>
      <c r="E26875">
        <v>58783</v>
      </c>
      <c r="F26875">
        <v>8.2180534114608503E-7</v>
      </c>
      <c r="G26875">
        <v>48116</v>
      </c>
      <c r="H26875">
        <v>17123712</v>
      </c>
      <c r="I26875">
        <v>58546</v>
      </c>
      <c r="J26875">
        <v>3</v>
      </c>
    </row>
    <row r="26876" spans="1:10" x14ac:dyDescent="0.25">
      <c r="A26876" t="s">
        <v>299</v>
      </c>
      <c r="B26876" s="1" t="str">
        <f>HYPERLINK("http://paychex.de","paychex.de")</f>
        <v>paychex.de</v>
      </c>
      <c r="C26876" t="s">
        <v>436</v>
      </c>
      <c r="D26876" t="s">
        <v>815</v>
      </c>
      <c r="F26876">
        <v>2.32654643530418E-8</v>
      </c>
      <c r="G26876">
        <v>2242683</v>
      </c>
      <c r="H26876">
        <v>14124319</v>
      </c>
      <c r="I26876">
        <v>2148399</v>
      </c>
      <c r="J26876">
        <v>2</v>
      </c>
    </row>
    <row r="26877" spans="1:10" x14ac:dyDescent="0.25">
      <c r="A26877" t="s">
        <v>300</v>
      </c>
      <c r="B26877" s="1" t="str">
        <f>HYPERLINK("http://pepsico.com.ar","pepsico.com.ar")</f>
        <v>pepsico.com.ar</v>
      </c>
      <c r="C26877" t="s">
        <v>418</v>
      </c>
      <c r="D26877" t="s">
        <v>800</v>
      </c>
      <c r="F26877">
        <v>7.2098846277818404E-9</v>
      </c>
      <c r="G26877">
        <v>11714297</v>
      </c>
      <c r="H26877">
        <v>12395542</v>
      </c>
      <c r="I26877">
        <v>18928064</v>
      </c>
      <c r="J26877">
        <v>3</v>
      </c>
    </row>
    <row r="26878" spans="1:10" x14ac:dyDescent="0.25">
      <c r="A26878" t="s">
        <v>300</v>
      </c>
      <c r="B26878" s="1" t="str">
        <f>HYPERLINK("http://sodastream.com.ar","sodastream.com.ar")</f>
        <v>sodastream.com.ar</v>
      </c>
      <c r="C26878" t="s">
        <v>418</v>
      </c>
      <c r="D26878" t="s">
        <v>800</v>
      </c>
      <c r="F26878">
        <v>1.4954938195636401E-8</v>
      </c>
      <c r="G26878">
        <v>3854516</v>
      </c>
      <c r="H26878">
        <v>12620069</v>
      </c>
      <c r="I26878">
        <v>16092178</v>
      </c>
      <c r="J26878">
        <v>5</v>
      </c>
    </row>
    <row r="26879" spans="1:10" x14ac:dyDescent="0.25">
      <c r="A26879" t="s">
        <v>300</v>
      </c>
      <c r="B26879" s="1" t="str">
        <f>HYPERLINK("http://sodastream.at","sodastream.at")</f>
        <v>sodastream.at</v>
      </c>
      <c r="C26879" t="s">
        <v>419</v>
      </c>
      <c r="D26879" t="s">
        <v>801</v>
      </c>
      <c r="F26879">
        <v>2.3049423709229802E-8</v>
      </c>
      <c r="G26879">
        <v>2265269</v>
      </c>
      <c r="H26879">
        <v>14078378</v>
      </c>
      <c r="I26879">
        <v>2847864</v>
      </c>
      <c r="J26879">
        <v>4</v>
      </c>
    </row>
    <row r="26880" spans="1:10" x14ac:dyDescent="0.25">
      <c r="A26880" t="s">
        <v>300</v>
      </c>
      <c r="B26880" s="1" t="str">
        <f>HYPERLINK("http://smiths.com.au","smiths.com.au")</f>
        <v>smiths.com.au</v>
      </c>
      <c r="C26880" t="s">
        <v>420</v>
      </c>
      <c r="D26880" t="s">
        <v>802</v>
      </c>
      <c r="F26880">
        <v>1.4992620442795898E-8</v>
      </c>
      <c r="G26880">
        <v>3842258</v>
      </c>
      <c r="H26880">
        <v>14267645</v>
      </c>
      <c r="I26880">
        <v>1404923</v>
      </c>
      <c r="J26880">
        <v>3</v>
      </c>
    </row>
    <row r="26881" spans="1:10" x14ac:dyDescent="0.25">
      <c r="A26881" t="s">
        <v>300</v>
      </c>
      <c r="B26881" s="1" t="str">
        <f>HYPERLINK("http://sodastream.com.au","sodastream.com.au")</f>
        <v>sodastream.com.au</v>
      </c>
      <c r="C26881" t="s">
        <v>420</v>
      </c>
      <c r="D26881" t="s">
        <v>802</v>
      </c>
      <c r="E26881">
        <v>894285</v>
      </c>
      <c r="F26881">
        <v>3.5309749075738198E-8</v>
      </c>
      <c r="G26881">
        <v>1473024</v>
      </c>
      <c r="H26881">
        <v>14227532</v>
      </c>
      <c r="I26881">
        <v>1677480</v>
      </c>
      <c r="J26881">
        <v>3</v>
      </c>
    </row>
    <row r="26882" spans="1:10" x14ac:dyDescent="0.25">
      <c r="A26882" t="s">
        <v>300</v>
      </c>
      <c r="B26882" s="1" t="str">
        <f>HYPERLINK("http://sodastream.be","sodastream.be")</f>
        <v>sodastream.be</v>
      </c>
      <c r="C26882" t="s">
        <v>421</v>
      </c>
      <c r="D26882" t="s">
        <v>803</v>
      </c>
      <c r="F26882">
        <v>2.23691625615716E-8</v>
      </c>
      <c r="G26882">
        <v>2343181</v>
      </c>
      <c r="H26882">
        <v>14124883</v>
      </c>
      <c r="I26882">
        <v>2133942</v>
      </c>
      <c r="J26882">
        <v>5</v>
      </c>
    </row>
    <row r="26883" spans="1:10" x14ac:dyDescent="0.25">
      <c r="A26883" t="s">
        <v>300</v>
      </c>
      <c r="B26883" s="1" t="str">
        <f>HYPERLINK("http://elmachips.com.br","elmachips.com.br")</f>
        <v>elmachips.com.br</v>
      </c>
      <c r="C26883" t="s">
        <v>425</v>
      </c>
      <c r="D26883" t="s">
        <v>806</v>
      </c>
      <c r="E26883">
        <v>297723</v>
      </c>
      <c r="F26883">
        <v>8.4060805934101798E-9</v>
      </c>
      <c r="G26883">
        <v>9030370</v>
      </c>
      <c r="H26883">
        <v>13772626</v>
      </c>
      <c r="I26883">
        <v>6655081</v>
      </c>
      <c r="J26883">
        <v>3</v>
      </c>
    </row>
    <row r="26884" spans="1:10" x14ac:dyDescent="0.25">
      <c r="A26884" t="s">
        <v>300</v>
      </c>
      <c r="B26884" s="1" t="str">
        <f>HYPERLINK("http://prevpepsico.com.br","prevpepsico.com.br")</f>
        <v>prevpepsico.com.br</v>
      </c>
      <c r="C26884" t="s">
        <v>425</v>
      </c>
      <c r="D26884" t="s">
        <v>806</v>
      </c>
      <c r="J26884">
        <v>3</v>
      </c>
    </row>
    <row r="26885" spans="1:10" x14ac:dyDescent="0.25">
      <c r="A26885" t="s">
        <v>300</v>
      </c>
      <c r="B26885" s="1" t="str">
        <f>HYPERLINK("http://pepsico.ca","pepsico.ca")</f>
        <v>pepsico.ca</v>
      </c>
      <c r="C26885" t="s">
        <v>428</v>
      </c>
      <c r="D26885" t="s">
        <v>809</v>
      </c>
      <c r="F26885">
        <v>1.55123101899709E-7</v>
      </c>
      <c r="G26885">
        <v>250345</v>
      </c>
      <c r="H26885">
        <v>14463397</v>
      </c>
      <c r="I26885">
        <v>1045638</v>
      </c>
      <c r="J26885">
        <v>3</v>
      </c>
    </row>
    <row r="26886" spans="1:10" x14ac:dyDescent="0.25">
      <c r="A26886" t="s">
        <v>300</v>
      </c>
      <c r="B26886" s="1" t="str">
        <f>HYPERLINK("http://sodastream.ca","sodastream.ca")</f>
        <v>sodastream.ca</v>
      </c>
      <c r="C26886" t="s">
        <v>428</v>
      </c>
      <c r="D26886" t="s">
        <v>809</v>
      </c>
      <c r="E26886">
        <v>417917</v>
      </c>
      <c r="F26886">
        <v>5.2157760053537901E-8</v>
      </c>
      <c r="G26886">
        <v>875096</v>
      </c>
      <c r="H26886">
        <v>14361872</v>
      </c>
      <c r="I26886">
        <v>1303758</v>
      </c>
      <c r="J26886">
        <v>4</v>
      </c>
    </row>
    <row r="26887" spans="1:10" x14ac:dyDescent="0.25">
      <c r="A26887" t="s">
        <v>300</v>
      </c>
      <c r="B26887" s="1" t="str">
        <f>HYPERLINK("http://sodastream.ch","sodastream.ch")</f>
        <v>sodastream.ch</v>
      </c>
      <c r="C26887" t="s">
        <v>429</v>
      </c>
      <c r="D26887" t="s">
        <v>810</v>
      </c>
      <c r="F26887">
        <v>3.6418016848039097E-8</v>
      </c>
      <c r="G26887">
        <v>1433290</v>
      </c>
      <c r="H26887">
        <v>13781501</v>
      </c>
      <c r="I26887">
        <v>6457753</v>
      </c>
      <c r="J26887">
        <v>5</v>
      </c>
    </row>
    <row r="26888" spans="1:10" x14ac:dyDescent="0.25">
      <c r="A26888" t="s">
        <v>300</v>
      </c>
      <c r="B26888" s="1" t="str">
        <f>HYPERLINK("http://evercrisp.cl","evercrisp.cl")</f>
        <v>evercrisp.cl</v>
      </c>
      <c r="C26888" t="s">
        <v>430</v>
      </c>
      <c r="D26888" t="s">
        <v>811</v>
      </c>
      <c r="F26888">
        <v>4.4609962978763501E-9</v>
      </c>
      <c r="G26888">
        <v>67444094</v>
      </c>
      <c r="H26888">
        <v>10720938</v>
      </c>
      <c r="I26888">
        <v>41820846</v>
      </c>
      <c r="J26888">
        <v>3</v>
      </c>
    </row>
    <row r="26889" spans="1:10" x14ac:dyDescent="0.25">
      <c r="A26889" t="s">
        <v>300</v>
      </c>
      <c r="B26889" s="1" t="str">
        <f>HYPERLINK("http://lipton.cl","lipton.cl")</f>
        <v>lipton.cl</v>
      </c>
      <c r="C26889" t="s">
        <v>430</v>
      </c>
      <c r="D26889" t="s">
        <v>811</v>
      </c>
      <c r="F26889">
        <v>7.9307060328382503E-9</v>
      </c>
      <c r="G26889">
        <v>10052035</v>
      </c>
      <c r="H26889">
        <v>14236327</v>
      </c>
      <c r="I26889">
        <v>1592315</v>
      </c>
      <c r="J26889">
        <v>4</v>
      </c>
    </row>
    <row r="26890" spans="1:10" x14ac:dyDescent="0.25">
      <c r="A26890" t="s">
        <v>300</v>
      </c>
      <c r="B26890" s="1" t="str">
        <f>HYPERLINK("http://pepsico.com.cn","pepsico.com.cn")</f>
        <v>pepsico.com.cn</v>
      </c>
      <c r="C26890" t="s">
        <v>431</v>
      </c>
      <c r="D26890" t="s">
        <v>812</v>
      </c>
      <c r="E26890">
        <v>685757</v>
      </c>
      <c r="F26890">
        <v>9.7629680315839897E-8</v>
      </c>
      <c r="G26890">
        <v>413567</v>
      </c>
      <c r="H26890">
        <v>14147066</v>
      </c>
      <c r="I26890">
        <v>1892004</v>
      </c>
      <c r="J26890">
        <v>2</v>
      </c>
    </row>
    <row r="26891" spans="1:10" x14ac:dyDescent="0.25">
      <c r="A26891" t="s">
        <v>300</v>
      </c>
      <c r="B26891" s="1" t="str">
        <f>HYPERLINK("http://fritolay.com.co","fritolay.com.co")</f>
        <v>fritolay.com.co</v>
      </c>
      <c r="C26891" t="s">
        <v>432</v>
      </c>
      <c r="J26891">
        <v>3</v>
      </c>
    </row>
    <row r="26892" spans="1:10" x14ac:dyDescent="0.25">
      <c r="A26892" t="s">
        <v>300</v>
      </c>
      <c r="B26892" s="1" t="str">
        <f>HYPERLINK("http://pepsico.com.co","pepsico.com.co")</f>
        <v>pepsico.com.co</v>
      </c>
      <c r="C26892" t="s">
        <v>432</v>
      </c>
      <c r="F26892">
        <v>1.22952207399851E-8</v>
      </c>
      <c r="G26892">
        <v>4996792</v>
      </c>
      <c r="H26892">
        <v>13417752</v>
      </c>
      <c r="I26892">
        <v>10310072</v>
      </c>
      <c r="J26892">
        <v>2</v>
      </c>
    </row>
    <row r="26893" spans="1:10" x14ac:dyDescent="0.25">
      <c r="A26893" t="s">
        <v>300</v>
      </c>
      <c r="B26893" s="1" t="str">
        <f>HYPERLINK("http://baresnacks.com","baresnacks.com")</f>
        <v>baresnacks.com</v>
      </c>
      <c r="C26893" t="s">
        <v>433</v>
      </c>
      <c r="E26893">
        <v>933746</v>
      </c>
      <c r="F26893">
        <v>8.6892182327903997E-8</v>
      </c>
      <c r="G26893">
        <v>472694</v>
      </c>
      <c r="H26893">
        <v>14637241</v>
      </c>
      <c r="I26893">
        <v>639461</v>
      </c>
      <c r="J26893">
        <v>3</v>
      </c>
    </row>
    <row r="26894" spans="1:10" x14ac:dyDescent="0.25">
      <c r="A26894" t="s">
        <v>300</v>
      </c>
      <c r="B26894" s="1" t="str">
        <f>HYPERLINK("http://bfybrands.com","bfybrands.com")</f>
        <v>bfybrands.com</v>
      </c>
      <c r="C26894" t="s">
        <v>433</v>
      </c>
      <c r="F26894">
        <v>7.0211583131512301E-9</v>
      </c>
      <c r="G26894">
        <v>12250011</v>
      </c>
      <c r="H26894">
        <v>13249112</v>
      </c>
      <c r="I26894">
        <v>11091156</v>
      </c>
      <c r="J26894">
        <v>3</v>
      </c>
    </row>
    <row r="26895" spans="1:10" x14ac:dyDescent="0.25">
      <c r="A26895" t="s">
        <v>300</v>
      </c>
      <c r="B26895" s="1" t="str">
        <f>HYPERLINK("http://buygatorade.com","buygatorade.com")</f>
        <v>buygatorade.com</v>
      </c>
      <c r="C26895" t="s">
        <v>433</v>
      </c>
      <c r="F26895">
        <v>5.2459684262512899E-9</v>
      </c>
      <c r="G26895">
        <v>24318677</v>
      </c>
      <c r="H26895">
        <v>12366502</v>
      </c>
      <c r="I26895">
        <v>19473292</v>
      </c>
      <c r="J26895">
        <v>2</v>
      </c>
    </row>
    <row r="26896" spans="1:10" x14ac:dyDescent="0.25">
      <c r="A26896" t="s">
        <v>300</v>
      </c>
      <c r="B26896" s="1" t="str">
        <f>HYPERLINK("http://cheapgatorade.com","cheapgatorade.com")</f>
        <v>cheapgatorade.com</v>
      </c>
      <c r="C26896" t="s">
        <v>433</v>
      </c>
      <c r="J26896">
        <v>2</v>
      </c>
    </row>
    <row r="26897" spans="1:10" x14ac:dyDescent="0.25">
      <c r="A26897" t="s">
        <v>300</v>
      </c>
      <c r="B26897" s="1" t="str">
        <f>HYPERLINK("http://crackerjack.com","crackerjack.com")</f>
        <v>crackerjack.com</v>
      </c>
      <c r="C26897" t="s">
        <v>433</v>
      </c>
      <c r="F26897">
        <v>2.95277285671408E-8</v>
      </c>
      <c r="G26897">
        <v>1745647</v>
      </c>
      <c r="H26897">
        <v>14480326</v>
      </c>
      <c r="I26897">
        <v>1026292</v>
      </c>
      <c r="J26897">
        <v>2</v>
      </c>
    </row>
    <row r="26898" spans="1:10" x14ac:dyDescent="0.25">
      <c r="A26898" t="s">
        <v>300</v>
      </c>
      <c r="B26898" s="1" t="str">
        <f>HYPERLINK("http://cytosport.com","cytosport.com")</f>
        <v>cytosport.com</v>
      </c>
      <c r="C26898" t="s">
        <v>433</v>
      </c>
      <c r="F26898">
        <v>2.62509802699573E-8</v>
      </c>
      <c r="G26898">
        <v>1961752</v>
      </c>
      <c r="H26898">
        <v>14264428</v>
      </c>
      <c r="I26898">
        <v>1410671</v>
      </c>
      <c r="J26898">
        <v>3</v>
      </c>
    </row>
    <row r="26899" spans="1:10" x14ac:dyDescent="0.25">
      <c r="A26899" t="s">
        <v>300</v>
      </c>
      <c r="B26899" s="1" t="str">
        <f>HYPERLINK("http://dolejuice.com","dolejuice.com")</f>
        <v>dolejuice.com</v>
      </c>
      <c r="C26899" t="s">
        <v>433</v>
      </c>
      <c r="F26899">
        <v>5.6324195656791201E-9</v>
      </c>
      <c r="G26899">
        <v>19553511</v>
      </c>
      <c r="H26899">
        <v>10627250</v>
      </c>
      <c r="I26899">
        <v>44061387</v>
      </c>
      <c r="J26899">
        <v>2</v>
      </c>
    </row>
    <row r="26900" spans="1:10" x14ac:dyDescent="0.25">
      <c r="A26900" t="s">
        <v>300</v>
      </c>
      <c r="B26900" s="1" t="str">
        <f>HYPERLINK("http://dolelemonade.com","dolelemonade.com")</f>
        <v>dolelemonade.com</v>
      </c>
      <c r="C26900" t="s">
        <v>433</v>
      </c>
      <c r="F26900">
        <v>4.6603746769280703E-9</v>
      </c>
      <c r="G26900">
        <v>43490643</v>
      </c>
      <c r="H26900">
        <v>10740553</v>
      </c>
      <c r="I26900">
        <v>40408533</v>
      </c>
      <c r="J26900">
        <v>2</v>
      </c>
    </row>
    <row r="26901" spans="1:10" x14ac:dyDescent="0.25">
      <c r="A26901" t="s">
        <v>300</v>
      </c>
      <c r="B26901" s="1" t="str">
        <f>HYPERLINK("http://dothedewsaudi.com","dothedewsaudi.com")</f>
        <v>dothedewsaudi.com</v>
      </c>
      <c r="C26901" t="s">
        <v>433</v>
      </c>
      <c r="J26901">
        <v>2</v>
      </c>
    </row>
    <row r="26902" spans="1:10" x14ac:dyDescent="0.25">
      <c r="A26902" t="s">
        <v>300</v>
      </c>
      <c r="B26902" s="1" t="str">
        <f>HYPERLINK("http://drinkfruitly.com","drinkfruitly.com")</f>
        <v>drinkfruitly.com</v>
      </c>
      <c r="C26902" t="s">
        <v>433</v>
      </c>
      <c r="J26902">
        <v>2</v>
      </c>
    </row>
    <row r="26903" spans="1:10" x14ac:dyDescent="0.25">
      <c r="A26903" t="s">
        <v>300</v>
      </c>
      <c r="B26903" s="1" t="str">
        <f>HYPERLINK("http://drinkfrutly.com","drinkfrutly.com")</f>
        <v>drinkfrutly.com</v>
      </c>
      <c r="C26903" t="s">
        <v>433</v>
      </c>
      <c r="F26903">
        <v>4.9571381910628904E-9</v>
      </c>
      <c r="G26903">
        <v>30589607</v>
      </c>
      <c r="H26903">
        <v>12334389</v>
      </c>
      <c r="I26903">
        <v>20119234</v>
      </c>
      <c r="J26903">
        <v>2</v>
      </c>
    </row>
    <row r="26904" spans="1:10" x14ac:dyDescent="0.25">
      <c r="A26904" t="s">
        <v>300</v>
      </c>
      <c r="B26904" s="1" t="str">
        <f>HYPERLINK("http://drinkg2.com","drinkg2.com")</f>
        <v>drinkg2.com</v>
      </c>
      <c r="C26904" t="s">
        <v>433</v>
      </c>
      <c r="F26904">
        <v>4.9046596458700003E-9</v>
      </c>
      <c r="G26904">
        <v>32332274</v>
      </c>
      <c r="H26904">
        <v>13763820</v>
      </c>
      <c r="I26904">
        <v>7584338</v>
      </c>
      <c r="J26904">
        <v>2</v>
      </c>
    </row>
    <row r="26905" spans="1:10" x14ac:dyDescent="0.25">
      <c r="A26905" t="s">
        <v>300</v>
      </c>
      <c r="B26905" s="1" t="str">
        <f>HYPERLINK("http://enduranceformula.com","enduranceformula.com")</f>
        <v>enduranceformula.com</v>
      </c>
      <c r="C26905" t="s">
        <v>433</v>
      </c>
      <c r="F26905">
        <v>4.7546236855285201E-9</v>
      </c>
      <c r="G26905">
        <v>38118625</v>
      </c>
      <c r="H26905">
        <v>10795924</v>
      </c>
      <c r="I26905">
        <v>38281139</v>
      </c>
      <c r="J26905">
        <v>2</v>
      </c>
    </row>
    <row r="26906" spans="1:10" x14ac:dyDescent="0.25">
      <c r="A26906" t="s">
        <v>300</v>
      </c>
      <c r="B26906" s="1" t="str">
        <f>HYPERLINK("http://flcodeverify.com","flcodeverify.com")</f>
        <v>flcodeverify.com</v>
      </c>
      <c r="C26906" t="s">
        <v>433</v>
      </c>
      <c r="J26906">
        <v>2</v>
      </c>
    </row>
    <row r="26907" spans="1:10" x14ac:dyDescent="0.25">
      <c r="A26907" t="s">
        <v>300</v>
      </c>
      <c r="B26907" s="1" t="str">
        <f>HYPERLINK("http://fldigitalstudios.com","fldigitalstudios.com")</f>
        <v>fldigitalstudios.com</v>
      </c>
      <c r="C26907" t="s">
        <v>433</v>
      </c>
      <c r="J26907">
        <v>2</v>
      </c>
    </row>
    <row r="26908" spans="1:10" x14ac:dyDescent="0.25">
      <c r="A26908" t="s">
        <v>300</v>
      </c>
      <c r="B26908" s="1" t="str">
        <f>HYPERLINK("http://fritolay.com","fritolay.com")</f>
        <v>fritolay.com</v>
      </c>
      <c r="C26908" t="s">
        <v>433</v>
      </c>
      <c r="E26908">
        <v>55606</v>
      </c>
      <c r="F26908">
        <v>1.04200069081539E-6</v>
      </c>
      <c r="G26908">
        <v>36793</v>
      </c>
      <c r="H26908">
        <v>15166357</v>
      </c>
      <c r="I26908">
        <v>398542</v>
      </c>
      <c r="J26908">
        <v>3</v>
      </c>
    </row>
    <row r="26909" spans="1:10" x14ac:dyDescent="0.25">
      <c r="A26909" t="s">
        <v>300</v>
      </c>
      <c r="B26909" s="1" t="str">
        <f>HYPERLINK("http://fritolaysnackperks.com","fritolaysnackperks.com")</f>
        <v>fritolaysnackperks.com</v>
      </c>
      <c r="C26909" t="s">
        <v>433</v>
      </c>
      <c r="F26909">
        <v>5.3295382235550702E-9</v>
      </c>
      <c r="G26909">
        <v>23072439</v>
      </c>
      <c r="H26909">
        <v>10375471</v>
      </c>
      <c r="I26909">
        <v>54703191</v>
      </c>
      <c r="J26909">
        <v>2</v>
      </c>
    </row>
    <row r="26910" spans="1:10" x14ac:dyDescent="0.25">
      <c r="A26910" t="s">
        <v>300</v>
      </c>
      <c r="B26910" s="1" t="str">
        <f>HYPERLINK("http://fritos.com","fritos.com")</f>
        <v>fritos.com</v>
      </c>
      <c r="C26910" t="s">
        <v>433</v>
      </c>
      <c r="F26910">
        <v>1.3920590182689799E-8</v>
      </c>
      <c r="G26910">
        <v>4233149</v>
      </c>
      <c r="H26910">
        <v>14139969</v>
      </c>
      <c r="I26910">
        <v>1937035</v>
      </c>
      <c r="J26910">
        <v>4</v>
      </c>
    </row>
    <row r="26911" spans="1:10" x14ac:dyDescent="0.25">
      <c r="A26911" t="s">
        <v>300</v>
      </c>
      <c r="B26911" s="1" t="str">
        <f>HYPERLINK("http://g2forless.com","g2forless.com")</f>
        <v>g2forless.com</v>
      </c>
      <c r="C26911" t="s">
        <v>433</v>
      </c>
      <c r="J26911">
        <v>2</v>
      </c>
    </row>
    <row r="26912" spans="1:10" x14ac:dyDescent="0.25">
      <c r="A26912" t="s">
        <v>300</v>
      </c>
      <c r="B26912" s="1" t="str">
        <f>HYPERLINK("http://gatorade.com","gatorade.com")</f>
        <v>gatorade.com</v>
      </c>
      <c r="C26912" t="s">
        <v>433</v>
      </c>
      <c r="E26912">
        <v>52165</v>
      </c>
      <c r="F26912">
        <v>9.8504556963426602E-7</v>
      </c>
      <c r="G26912">
        <v>38826</v>
      </c>
      <c r="H26912">
        <v>17341152</v>
      </c>
      <c r="I26912">
        <v>23896</v>
      </c>
      <c r="J26912">
        <v>2</v>
      </c>
    </row>
    <row r="26913" spans="1:10" x14ac:dyDescent="0.25">
      <c r="A26913" t="s">
        <v>300</v>
      </c>
      <c r="B26913" s="1" t="str">
        <f>HYPERLINK("http://gatorade-arabia.com","gatorade-arabia.com")</f>
        <v>gatorade-arabia.com</v>
      </c>
      <c r="C26913" t="s">
        <v>433</v>
      </c>
      <c r="J26913">
        <v>2</v>
      </c>
    </row>
    <row r="26914" spans="1:10" x14ac:dyDescent="0.25">
      <c r="A26914" t="s">
        <v>300</v>
      </c>
      <c r="B26914" s="1" t="str">
        <f>HYPERLINK("http://gatorade-for-less.com","gatorade-for-less.com")</f>
        <v>gatorade-for-less.com</v>
      </c>
      <c r="C26914" t="s">
        <v>433</v>
      </c>
      <c r="J26914">
        <v>2</v>
      </c>
    </row>
    <row r="26915" spans="1:10" x14ac:dyDescent="0.25">
      <c r="A26915" t="s">
        <v>300</v>
      </c>
      <c r="B26915" s="1" t="str">
        <f>HYPERLINK("http://gatorade4less.com","gatorade4less.com")</f>
        <v>gatorade4less.com</v>
      </c>
      <c r="C26915" t="s">
        <v>433</v>
      </c>
      <c r="J26915">
        <v>2</v>
      </c>
    </row>
    <row r="26916" spans="1:10" x14ac:dyDescent="0.25">
      <c r="A26916" t="s">
        <v>300</v>
      </c>
      <c r="B26916" s="1" t="str">
        <f>HYPERLINK("http://gatoradecoolers.com","gatoradecoolers.com")</f>
        <v>gatoradecoolers.com</v>
      </c>
      <c r="C26916" t="s">
        <v>433</v>
      </c>
      <c r="J26916">
        <v>2</v>
      </c>
    </row>
    <row r="26917" spans="1:10" x14ac:dyDescent="0.25">
      <c r="A26917" t="s">
        <v>300</v>
      </c>
      <c r="B26917" s="1" t="str">
        <f>HYPERLINK("http://gatoradecycling.com","gatoradecycling.com")</f>
        <v>gatoradecycling.com</v>
      </c>
      <c r="C26917" t="s">
        <v>433</v>
      </c>
      <c r="J26917">
        <v>2</v>
      </c>
    </row>
    <row r="26918" spans="1:10" x14ac:dyDescent="0.25">
      <c r="A26918" t="s">
        <v>300</v>
      </c>
      <c r="B26918" s="1" t="str">
        <f>HYPERLINK("http://gatoradedirect.com","gatoradedirect.com")</f>
        <v>gatoradedirect.com</v>
      </c>
      <c r="C26918" t="s">
        <v>433</v>
      </c>
      <c r="J26918">
        <v>2</v>
      </c>
    </row>
    <row r="26919" spans="1:10" x14ac:dyDescent="0.25">
      <c r="A26919" t="s">
        <v>300</v>
      </c>
      <c r="B26919" s="1" t="str">
        <f>HYPERLINK("http://gatoradeedge.com","gatoradeedge.com")</f>
        <v>gatoradeedge.com</v>
      </c>
      <c r="C26919" t="s">
        <v>433</v>
      </c>
      <c r="J26919">
        <v>2</v>
      </c>
    </row>
    <row r="26920" spans="1:10" x14ac:dyDescent="0.25">
      <c r="A26920" t="s">
        <v>300</v>
      </c>
      <c r="B26920" s="1" t="str">
        <f>HYPERLINK("http://gatoradeef.com","gatoradeef.com")</f>
        <v>gatoradeef.com</v>
      </c>
      <c r="C26920" t="s">
        <v>433</v>
      </c>
      <c r="J26920">
        <v>2</v>
      </c>
    </row>
    <row r="26921" spans="1:10" x14ac:dyDescent="0.25">
      <c r="A26921" t="s">
        <v>300</v>
      </c>
      <c r="B26921" s="1" t="str">
        <f>HYPERLINK("http://gatoradeendurance.com","gatoradeendurance.com")</f>
        <v>gatoradeendurance.com</v>
      </c>
      <c r="C26921" t="s">
        <v>433</v>
      </c>
      <c r="F26921">
        <v>1.28311128652478E-8</v>
      </c>
      <c r="G26921">
        <v>4713358</v>
      </c>
      <c r="H26921">
        <v>12393158</v>
      </c>
      <c r="I26921">
        <v>18982307</v>
      </c>
      <c r="J26921">
        <v>2</v>
      </c>
    </row>
    <row r="26922" spans="1:10" x14ac:dyDescent="0.25">
      <c r="A26922" t="s">
        <v>300</v>
      </c>
      <c r="B26922" s="1" t="str">
        <f>HYPERLINK("http://gatoradeenduranceformula.com","gatoradeenduranceformula.com")</f>
        <v>gatoradeenduranceformula.com</v>
      </c>
      <c r="C26922" t="s">
        <v>433</v>
      </c>
      <c r="J26922">
        <v>2</v>
      </c>
    </row>
    <row r="26923" spans="1:10" x14ac:dyDescent="0.25">
      <c r="A26923" t="s">
        <v>300</v>
      </c>
      <c r="B26923" s="1" t="str">
        <f>HYPERLINK("http://gatoradefootball.com","gatoradefootball.com")</f>
        <v>gatoradefootball.com</v>
      </c>
      <c r="C26923" t="s">
        <v>433</v>
      </c>
      <c r="F26923">
        <v>4.9887427132940397E-9</v>
      </c>
      <c r="G26923">
        <v>29705699</v>
      </c>
      <c r="H26923">
        <v>12906775</v>
      </c>
      <c r="I26923">
        <v>13815988</v>
      </c>
      <c r="J26923">
        <v>2</v>
      </c>
    </row>
    <row r="26924" spans="1:10" x14ac:dyDescent="0.25">
      <c r="A26924" t="s">
        <v>300</v>
      </c>
      <c r="B26924" s="1" t="str">
        <f>HYPERLINK("http://gatoradeforless.com","gatoradeforless.com")</f>
        <v>gatoradeforless.com</v>
      </c>
      <c r="C26924" t="s">
        <v>433</v>
      </c>
      <c r="J26924">
        <v>2</v>
      </c>
    </row>
    <row r="26925" spans="1:10" x14ac:dyDescent="0.25">
      <c r="A26925" t="s">
        <v>300</v>
      </c>
      <c r="B26925" s="1" t="str">
        <f>HYPERLINK("http://gatoradefutbol.com","gatoradefutbol.com")</f>
        <v>gatoradefutbol.com</v>
      </c>
      <c r="C26925" t="s">
        <v>433</v>
      </c>
      <c r="J26925">
        <v>2</v>
      </c>
    </row>
    <row r="26926" spans="1:10" x14ac:dyDescent="0.25">
      <c r="A26926" t="s">
        <v>300</v>
      </c>
      <c r="B26926" s="1" t="str">
        <f>HYPERLINK("http://gatorademarathon.com","gatorademarathon.com")</f>
        <v>gatorademarathon.com</v>
      </c>
      <c r="C26926" t="s">
        <v>433</v>
      </c>
      <c r="J26926">
        <v>2</v>
      </c>
    </row>
    <row r="26927" spans="1:10" x14ac:dyDescent="0.25">
      <c r="A26927" t="s">
        <v>300</v>
      </c>
      <c r="B26927" s="1" t="str">
        <f>HYPERLINK("http://gatorademilitary.com","gatorademilitary.com")</f>
        <v>gatorademilitary.com</v>
      </c>
      <c r="C26927" t="s">
        <v>433</v>
      </c>
      <c r="F26927">
        <v>5.24742498651155E-9</v>
      </c>
      <c r="G26927">
        <v>24296205</v>
      </c>
      <c r="H26927">
        <v>12256565</v>
      </c>
      <c r="I26927">
        <v>21857023</v>
      </c>
      <c r="J26927">
        <v>2</v>
      </c>
    </row>
    <row r="26928" spans="1:10" x14ac:dyDescent="0.25">
      <c r="A26928" t="s">
        <v>300</v>
      </c>
      <c r="B26928" s="1" t="str">
        <f>HYPERLINK("http://gatoradeonline.com","gatoradeonline.com")</f>
        <v>gatoradeonline.com</v>
      </c>
      <c r="C26928" t="s">
        <v>433</v>
      </c>
      <c r="J26928">
        <v>2</v>
      </c>
    </row>
    <row r="26929" spans="1:10" x14ac:dyDescent="0.25">
      <c r="A26929" t="s">
        <v>300</v>
      </c>
      <c r="B26929" s="1" t="str">
        <f>HYPERLINK("http://gatoradeperformancepartner.com","gatoradeperformancepartner.com")</f>
        <v>gatoradeperformancepartner.com</v>
      </c>
      <c r="C26929" t="s">
        <v>433</v>
      </c>
      <c r="F26929">
        <v>5.83934585681669E-9</v>
      </c>
      <c r="G26929">
        <v>17788273</v>
      </c>
      <c r="H26929">
        <v>12918852</v>
      </c>
      <c r="I26929">
        <v>13459368</v>
      </c>
      <c r="J26929">
        <v>2</v>
      </c>
    </row>
    <row r="26930" spans="1:10" x14ac:dyDescent="0.25">
      <c r="A26930" t="s">
        <v>300</v>
      </c>
      <c r="B26930" s="1" t="str">
        <f>HYPERLINK("http://gatoradeperformanceseries.com","gatoradeperformanceseries.com")</f>
        <v>gatoradeperformanceseries.com</v>
      </c>
      <c r="C26930" t="s">
        <v>433</v>
      </c>
      <c r="J26930">
        <v>2</v>
      </c>
    </row>
    <row r="26931" spans="1:10" x14ac:dyDescent="0.25">
      <c r="A26931" t="s">
        <v>300</v>
      </c>
      <c r="B26931" s="1" t="str">
        <f>HYPERLINK("http://gatoraderunning.com","gatoraderunning.com")</f>
        <v>gatoraderunning.com</v>
      </c>
      <c r="C26931" t="s">
        <v>433</v>
      </c>
      <c r="J26931">
        <v>2</v>
      </c>
    </row>
    <row r="26932" spans="1:10" x14ac:dyDescent="0.25">
      <c r="A26932" t="s">
        <v>300</v>
      </c>
      <c r="B26932" s="1" t="str">
        <f>HYPERLINK("http://gatoradesoccer.com","gatoradesoccer.com")</f>
        <v>gatoradesoccer.com</v>
      </c>
      <c r="C26932" t="s">
        <v>433</v>
      </c>
      <c r="J26932">
        <v>2</v>
      </c>
    </row>
    <row r="26933" spans="1:10" x14ac:dyDescent="0.25">
      <c r="A26933" t="s">
        <v>300</v>
      </c>
      <c r="B26933" s="1" t="str">
        <f>HYPERLINK("http://gatoradesportsshop.com","gatoradesportsshop.com")</f>
        <v>gatoradesportsshop.com</v>
      </c>
      <c r="C26933" t="s">
        <v>433</v>
      </c>
      <c r="F26933">
        <v>4.8270062151884301E-9</v>
      </c>
      <c r="G26933">
        <v>34954131</v>
      </c>
      <c r="H26933">
        <v>12343593</v>
      </c>
      <c r="I26933">
        <v>19881469</v>
      </c>
      <c r="J26933">
        <v>2</v>
      </c>
    </row>
    <row r="26934" spans="1:10" x14ac:dyDescent="0.25">
      <c r="A26934" t="s">
        <v>300</v>
      </c>
      <c r="B26934" s="1" t="str">
        <f>HYPERLINK("http://gatoradetiger.com","gatoradetiger.com")</f>
        <v>gatoradetiger.com</v>
      </c>
      <c r="C26934" t="s">
        <v>433</v>
      </c>
      <c r="F26934">
        <v>4.4616424857339798E-9</v>
      </c>
      <c r="G26934">
        <v>67247484</v>
      </c>
      <c r="H26934">
        <v>10903037</v>
      </c>
      <c r="I26934">
        <v>35764024</v>
      </c>
      <c r="J26934">
        <v>2</v>
      </c>
    </row>
    <row r="26935" spans="1:10" x14ac:dyDescent="0.25">
      <c r="A26935" t="s">
        <v>300</v>
      </c>
      <c r="B26935" s="1" t="str">
        <f>HYPERLINK("http://gatoradetriathlon.com","gatoradetriathlon.com")</f>
        <v>gatoradetriathlon.com</v>
      </c>
      <c r="C26935" t="s">
        <v>433</v>
      </c>
      <c r="J26935">
        <v>2</v>
      </c>
    </row>
    <row r="26936" spans="1:10" x14ac:dyDescent="0.25">
      <c r="A26936" t="s">
        <v>300</v>
      </c>
      <c r="B26936" s="1" t="str">
        <f>HYPERLINK("http://healthwarrior.com","healthwarrior.com")</f>
        <v>healthwarrior.com</v>
      </c>
      <c r="C26936" t="s">
        <v>433</v>
      </c>
      <c r="E26936">
        <v>820040</v>
      </c>
      <c r="F26936">
        <v>7.3820913270086605E-8</v>
      </c>
      <c r="G26936">
        <v>570550</v>
      </c>
      <c r="H26936">
        <v>14351549</v>
      </c>
      <c r="I26936">
        <v>1308828</v>
      </c>
      <c r="J26936">
        <v>3</v>
      </c>
    </row>
    <row r="26937" spans="1:10" x14ac:dyDescent="0.25">
      <c r="A26937" t="s">
        <v>300</v>
      </c>
      <c r="B26937" s="1" t="str">
        <f>HYPERLINK("http://imaginesnacks.com","imaginesnacks.com")</f>
        <v>imaginesnacks.com</v>
      </c>
      <c r="C26937" t="s">
        <v>433</v>
      </c>
      <c r="F26937">
        <v>7.4972937101525305E-9</v>
      </c>
      <c r="G26937">
        <v>11019423</v>
      </c>
      <c r="H26937">
        <v>12460407</v>
      </c>
      <c r="I26937">
        <v>17871186</v>
      </c>
      <c r="J26937">
        <v>2</v>
      </c>
    </row>
    <row r="26938" spans="1:10" x14ac:dyDescent="0.25">
      <c r="A26938" t="s">
        <v>300</v>
      </c>
      <c r="B26938" s="1" t="str">
        <f>HYPERLINK("http://izze.com","izze.com")</f>
        <v>izze.com</v>
      </c>
      <c r="C26938" t="s">
        <v>433</v>
      </c>
      <c r="E26938">
        <v>844357</v>
      </c>
      <c r="F26938">
        <v>7.1772292323168496E-8</v>
      </c>
      <c r="G26938">
        <v>588605</v>
      </c>
      <c r="H26938">
        <v>14272079</v>
      </c>
      <c r="I26938">
        <v>1395789</v>
      </c>
      <c r="J26938">
        <v>3</v>
      </c>
    </row>
    <row r="26939" spans="1:10" x14ac:dyDescent="0.25">
      <c r="A26939" t="s">
        <v>300</v>
      </c>
      <c r="B26939" s="1" t="str">
        <f>HYPERLINK("http://lays.com","lays.com")</f>
        <v>lays.com</v>
      </c>
      <c r="C26939" t="s">
        <v>433</v>
      </c>
      <c r="E26939">
        <v>292936</v>
      </c>
      <c r="F26939">
        <v>3.6993429438749602E-7</v>
      </c>
      <c r="G26939">
        <v>101194</v>
      </c>
      <c r="H26939">
        <v>14995081</v>
      </c>
      <c r="I26939">
        <v>427034</v>
      </c>
      <c r="J26939">
        <v>3</v>
      </c>
    </row>
    <row r="26940" spans="1:10" x14ac:dyDescent="0.25">
      <c r="A26940" t="s">
        <v>300</v>
      </c>
      <c r="B26940" s="1" t="str">
        <f>HYPERLINK("http://layspromo.com","layspromo.com")</f>
        <v>layspromo.com</v>
      </c>
      <c r="C26940" t="s">
        <v>433</v>
      </c>
      <c r="F26940">
        <v>4.5171121571990697E-9</v>
      </c>
      <c r="G26940">
        <v>56576759</v>
      </c>
      <c r="H26940">
        <v>9833185</v>
      </c>
      <c r="I26940">
        <v>62304326</v>
      </c>
      <c r="J26940">
        <v>2</v>
      </c>
    </row>
    <row r="26941" spans="1:10" x14ac:dyDescent="0.25">
      <c r="A26941" t="s">
        <v>300</v>
      </c>
      <c r="B26941" s="1" t="str">
        <f>HYPERLINK("http://lebedyansky.com","lebedyansky.com")</f>
        <v>lebedyansky.com</v>
      </c>
      <c r="C26941" t="s">
        <v>433</v>
      </c>
      <c r="F26941">
        <v>4.9583968472342401E-9</v>
      </c>
      <c r="G26941">
        <v>30554880</v>
      </c>
      <c r="H26941">
        <v>14071790</v>
      </c>
      <c r="I26941">
        <v>3488823</v>
      </c>
      <c r="J26941">
        <v>3</v>
      </c>
    </row>
    <row r="26942" spans="1:10" x14ac:dyDescent="0.25">
      <c r="A26942" t="s">
        <v>300</v>
      </c>
      <c r="B26942" s="1" t="str">
        <f>HYPERLINK("http://lipton.com","lipton.com")</f>
        <v>lipton.com</v>
      </c>
      <c r="C26942" t="s">
        <v>433</v>
      </c>
      <c r="E26942">
        <v>117425</v>
      </c>
      <c r="F26942">
        <v>3.0847876528065302E-7</v>
      </c>
      <c r="G26942">
        <v>120554</v>
      </c>
      <c r="H26942">
        <v>14912675</v>
      </c>
      <c r="I26942">
        <v>456203</v>
      </c>
      <c r="J26942">
        <v>3</v>
      </c>
    </row>
    <row r="26943" spans="1:10" x14ac:dyDescent="0.25">
      <c r="A26943" t="s">
        <v>300</v>
      </c>
      <c r="B26943" s="1" t="str">
        <f>HYPERLINK("http://liptonbrisk.com","liptonbrisk.com")</f>
        <v>liptonbrisk.com</v>
      </c>
      <c r="C26943" t="s">
        <v>433</v>
      </c>
      <c r="F26943">
        <v>1.1622910652604001E-8</v>
      </c>
      <c r="G26943">
        <v>5417632</v>
      </c>
      <c r="H26943">
        <v>14485916</v>
      </c>
      <c r="I26943">
        <v>978492</v>
      </c>
      <c r="J26943">
        <v>3</v>
      </c>
    </row>
    <row r="26944" spans="1:10" x14ac:dyDescent="0.25">
      <c r="A26944" t="s">
        <v>300</v>
      </c>
      <c r="B26944" s="1" t="str">
        <f>HYPERLINK("http://liptontea.com","liptontea.com")</f>
        <v>liptontea.com</v>
      </c>
      <c r="C26944" t="s">
        <v>433</v>
      </c>
      <c r="F26944">
        <v>4.1817730767439701E-8</v>
      </c>
      <c r="G26944">
        <v>1177204</v>
      </c>
      <c r="H26944">
        <v>14566380</v>
      </c>
      <c r="I26944">
        <v>739686</v>
      </c>
      <c r="J26944">
        <v>5</v>
      </c>
    </row>
    <row r="26945" spans="1:10" x14ac:dyDescent="0.25">
      <c r="A26945" t="s">
        <v>300</v>
      </c>
      <c r="B26945" s="1" t="str">
        <f>HYPERLINK("http://musclemilk.com","musclemilk.com")</f>
        <v>musclemilk.com</v>
      </c>
      <c r="C26945" t="s">
        <v>433</v>
      </c>
      <c r="E26945">
        <v>460451</v>
      </c>
      <c r="F26945">
        <v>1.00266171862537E-7</v>
      </c>
      <c r="G26945">
        <v>401200</v>
      </c>
      <c r="H26945">
        <v>14280807</v>
      </c>
      <c r="I26945">
        <v>1379455</v>
      </c>
      <c r="J26945">
        <v>6</v>
      </c>
    </row>
    <row r="26946" spans="1:10" x14ac:dyDescent="0.25">
      <c r="A26946" t="s">
        <v>300</v>
      </c>
      <c r="B26946" s="1" t="str">
        <f>HYPERLINK("http://mypepsico.com","mypepsico.com")</f>
        <v>mypepsico.com</v>
      </c>
      <c r="C26946" t="s">
        <v>433</v>
      </c>
      <c r="E26946">
        <v>66785</v>
      </c>
      <c r="F26946">
        <v>1.1439938036424501E-7</v>
      </c>
      <c r="G26946">
        <v>348086</v>
      </c>
      <c r="H26946">
        <v>13400571</v>
      </c>
      <c r="I26946">
        <v>10367004</v>
      </c>
      <c r="J26946">
        <v>2</v>
      </c>
    </row>
    <row r="26947" spans="1:10" x14ac:dyDescent="0.25">
      <c r="A26947" t="s">
        <v>300</v>
      </c>
      <c r="B26947" s="1" t="str">
        <f>HYPERLINK("http://nakedjuice.com","nakedjuice.com")</f>
        <v>nakedjuice.com</v>
      </c>
      <c r="C26947" t="s">
        <v>433</v>
      </c>
      <c r="E26947">
        <v>431447</v>
      </c>
      <c r="F26947">
        <v>1.04816751254698E-7</v>
      </c>
      <c r="G26947">
        <v>382349</v>
      </c>
      <c r="H26947">
        <v>14827227</v>
      </c>
      <c r="I26947">
        <v>509113</v>
      </c>
      <c r="J26947">
        <v>3</v>
      </c>
    </row>
    <row r="26948" spans="1:10" x14ac:dyDescent="0.25">
      <c r="A26948" t="s">
        <v>300</v>
      </c>
      <c r="B26948" s="1" t="str">
        <f>HYPERLINK("http://onedrinks.com","onedrinks.com")</f>
        <v>onedrinks.com</v>
      </c>
      <c r="C26948" t="s">
        <v>433</v>
      </c>
      <c r="F26948">
        <v>2.6081803520896898E-8</v>
      </c>
      <c r="G26948">
        <v>1975128</v>
      </c>
      <c r="H26948">
        <v>14211518</v>
      </c>
      <c r="I26948">
        <v>1701076</v>
      </c>
      <c r="J26948">
        <v>3</v>
      </c>
    </row>
    <row r="26949" spans="1:10" x14ac:dyDescent="0.25">
      <c r="A26949" t="s">
        <v>300</v>
      </c>
      <c r="B26949" s="1" t="str">
        <f>HYPERLINK("http://opm-france.com","opm-france.com")</f>
        <v>opm-france.com</v>
      </c>
      <c r="C26949" t="s">
        <v>433</v>
      </c>
      <c r="F26949">
        <v>4.4438674124103196E-9</v>
      </c>
      <c r="G26949">
        <v>78215177</v>
      </c>
      <c r="H26949">
        <v>10464127</v>
      </c>
      <c r="I26949">
        <v>51582235</v>
      </c>
      <c r="J26949">
        <v>3</v>
      </c>
    </row>
    <row r="26950" spans="1:10" x14ac:dyDescent="0.25">
      <c r="A26950" t="s">
        <v>300</v>
      </c>
      <c r="B26950" s="1" t="str">
        <f>HYPERLINK("http://pbg.com","pbg.com")</f>
        <v>pbg.com</v>
      </c>
      <c r="C26950" t="s">
        <v>433</v>
      </c>
      <c r="F26950">
        <v>1.48193876492201E-8</v>
      </c>
      <c r="G26950">
        <v>3900807</v>
      </c>
      <c r="H26950">
        <v>13637774</v>
      </c>
      <c r="I26950">
        <v>9613170</v>
      </c>
      <c r="J26950">
        <v>3</v>
      </c>
    </row>
    <row r="26951" spans="1:10" x14ac:dyDescent="0.25">
      <c r="A26951" t="s">
        <v>300</v>
      </c>
      <c r="B26951" s="1" t="str">
        <f>HYPERLINK("http://pearlmillingcompany.com","pearlmillingcompany.com")</f>
        <v>pearlmillingcompany.com</v>
      </c>
      <c r="C26951" t="s">
        <v>433</v>
      </c>
      <c r="F26951">
        <v>9.7415920364491E-8</v>
      </c>
      <c r="G26951">
        <v>414638</v>
      </c>
      <c r="H26951">
        <v>13199650</v>
      </c>
      <c r="I26951">
        <v>11553574</v>
      </c>
      <c r="J26951">
        <v>4</v>
      </c>
    </row>
    <row r="26952" spans="1:10" x14ac:dyDescent="0.25">
      <c r="A26952" t="s">
        <v>300</v>
      </c>
      <c r="B26952" s="1" t="str">
        <f>HYPERLINK("http://pepenv.com","pepenv.com")</f>
        <v>pepenv.com</v>
      </c>
      <c r="C26952" t="s">
        <v>433</v>
      </c>
      <c r="J26952">
        <v>2</v>
      </c>
    </row>
    <row r="26953" spans="1:10" x14ac:dyDescent="0.25">
      <c r="A26953" t="s">
        <v>300</v>
      </c>
      <c r="B26953" s="1" t="str">
        <f>HYPERLINK("http://pepsi.com","pepsi.com")</f>
        <v>pepsi.com</v>
      </c>
      <c r="C26953" t="s">
        <v>433</v>
      </c>
      <c r="E26953">
        <v>12926</v>
      </c>
      <c r="F26953">
        <v>2.35515041676768E-6</v>
      </c>
      <c r="G26953">
        <v>15748</v>
      </c>
      <c r="H26953">
        <v>17827268</v>
      </c>
      <c r="I26953">
        <v>5246</v>
      </c>
      <c r="J26953">
        <v>2</v>
      </c>
    </row>
    <row r="26954" spans="1:10" x14ac:dyDescent="0.25">
      <c r="A26954" t="s">
        <v>300</v>
      </c>
      <c r="B26954" s="1" t="str">
        <f>HYPERLINK("http://pepsico.com","pepsico.com")</f>
        <v>pepsico.com</v>
      </c>
      <c r="C26954" t="s">
        <v>433</v>
      </c>
      <c r="E26954">
        <v>12570</v>
      </c>
      <c r="F26954">
        <v>6.1587067638731496E-6</v>
      </c>
      <c r="G26954">
        <v>5586</v>
      </c>
      <c r="H26954">
        <v>18073852</v>
      </c>
      <c r="I26954">
        <v>3255</v>
      </c>
      <c r="J26954">
        <v>1</v>
      </c>
    </row>
    <row r="26955" spans="1:10" x14ac:dyDescent="0.25">
      <c r="A26955" t="s">
        <v>300</v>
      </c>
      <c r="B26955" s="1" t="str">
        <f>HYPERLINK("http://pepsico-potentiel-pdv-ooh.com","pepsico-potentiel-pdv-ooh.com")</f>
        <v>pepsico-potentiel-pdv-ooh.com</v>
      </c>
      <c r="C26955" t="s">
        <v>433</v>
      </c>
      <c r="J26955">
        <v>2</v>
      </c>
    </row>
    <row r="26956" spans="1:10" x14ac:dyDescent="0.25">
      <c r="A26956" t="s">
        <v>300</v>
      </c>
      <c r="B26956" s="1" t="str">
        <f>HYPERLINK("http://pepsicoawards.com","pepsicoawards.com")</f>
        <v>pepsicoawards.com</v>
      </c>
      <c r="C26956" t="s">
        <v>433</v>
      </c>
      <c r="F26956">
        <v>4.44380395335525E-9</v>
      </c>
      <c r="G26956">
        <v>87320124</v>
      </c>
      <c r="H26956">
        <v>0</v>
      </c>
      <c r="I26956">
        <v>83702521</v>
      </c>
      <c r="J26956">
        <v>2</v>
      </c>
    </row>
    <row r="26957" spans="1:10" x14ac:dyDescent="0.25">
      <c r="A26957" t="s">
        <v>300</v>
      </c>
      <c r="B26957" s="1" t="str">
        <f>HYPERLINK("http://pepsicoegrocery.com","pepsicoegrocery.com")</f>
        <v>pepsicoegrocery.com</v>
      </c>
      <c r="C26957" t="s">
        <v>433</v>
      </c>
      <c r="J26957">
        <v>2</v>
      </c>
    </row>
    <row r="26958" spans="1:10" x14ac:dyDescent="0.25">
      <c r="A26958" t="s">
        <v>300</v>
      </c>
      <c r="B26958" s="1" t="str">
        <f>HYPERLINK("http://pepsicorecycling.com","pepsicorecycling.com")</f>
        <v>pepsicorecycling.com</v>
      </c>
      <c r="C26958" t="s">
        <v>433</v>
      </c>
      <c r="F26958">
        <v>1.02956103259542E-7</v>
      </c>
      <c r="G26958">
        <v>389844</v>
      </c>
      <c r="H26958">
        <v>14683151</v>
      </c>
      <c r="I26958">
        <v>606883</v>
      </c>
      <c r="J26958">
        <v>3</v>
      </c>
    </row>
    <row r="26959" spans="1:10" x14ac:dyDescent="0.25">
      <c r="A26959" t="s">
        <v>300</v>
      </c>
      <c r="B26959" s="1" t="str">
        <f>HYPERLINK("http://pepsiredemption.com","pepsiredemption.com")</f>
        <v>pepsiredemption.com</v>
      </c>
      <c r="C26959" t="s">
        <v>433</v>
      </c>
      <c r="J26959">
        <v>2</v>
      </c>
    </row>
    <row r="26960" spans="1:10" x14ac:dyDescent="0.25">
      <c r="A26960" t="s">
        <v>300</v>
      </c>
      <c r="B26960" s="1" t="str">
        <f>HYPERLINK("http://piperscrisps.com","piperscrisps.com")</f>
        <v>piperscrisps.com</v>
      </c>
      <c r="C26960" t="s">
        <v>433</v>
      </c>
      <c r="F26960">
        <v>1.43292700788545E-8</v>
      </c>
      <c r="G26960">
        <v>4081780</v>
      </c>
      <c r="H26960">
        <v>14121051</v>
      </c>
      <c r="I26960">
        <v>2281918</v>
      </c>
      <c r="J26960">
        <v>3</v>
      </c>
    </row>
    <row r="26961" spans="1:10" x14ac:dyDescent="0.25">
      <c r="A26961" t="s">
        <v>300</v>
      </c>
      <c r="B26961" s="1" t="str">
        <f>HYPERLINK("http://pitachips.com","pitachips.com")</f>
        <v>pitachips.com</v>
      </c>
      <c r="C26961" t="s">
        <v>433</v>
      </c>
      <c r="F26961">
        <v>9.9759515089177504E-9</v>
      </c>
      <c r="G26961">
        <v>6779759</v>
      </c>
      <c r="H26961">
        <v>14140289</v>
      </c>
      <c r="I26961">
        <v>1935072</v>
      </c>
      <c r="J26961">
        <v>3</v>
      </c>
    </row>
    <row r="26962" spans="1:10" x14ac:dyDescent="0.25">
      <c r="A26962" t="s">
        <v>300</v>
      </c>
      <c r="B26962" s="1" t="str">
        <f>HYPERLINK("http://quakeroats.com","quakeroats.com")</f>
        <v>quakeroats.com</v>
      </c>
      <c r="C26962" t="s">
        <v>433</v>
      </c>
      <c r="E26962">
        <v>18718</v>
      </c>
      <c r="F26962">
        <v>4.6896282644339498E-7</v>
      </c>
      <c r="G26962">
        <v>80870</v>
      </c>
      <c r="H26962">
        <v>15596582</v>
      </c>
      <c r="I26962">
        <v>372607</v>
      </c>
      <c r="J26962">
        <v>3</v>
      </c>
    </row>
    <row r="26963" spans="1:10" x14ac:dyDescent="0.25">
      <c r="A26963" t="s">
        <v>300</v>
      </c>
      <c r="B26963" s="1" t="str">
        <f>HYPERLINK("http://ricearoni.com","ricearoni.com")</f>
        <v>ricearoni.com</v>
      </c>
      <c r="C26963" t="s">
        <v>433</v>
      </c>
      <c r="F26963">
        <v>5.8154286956216597E-8</v>
      </c>
      <c r="G26963">
        <v>765279</v>
      </c>
      <c r="H26963">
        <v>14822117</v>
      </c>
      <c r="I26963">
        <v>515107</v>
      </c>
      <c r="J26963">
        <v>3</v>
      </c>
    </row>
    <row r="26964" spans="1:10" x14ac:dyDescent="0.25">
      <c r="A26964" t="s">
        <v>300</v>
      </c>
      <c r="B26964" s="1" t="str">
        <f>HYPERLINK("http://sabra.com","sabra.com")</f>
        <v>sabra.com</v>
      </c>
      <c r="C26964" t="s">
        <v>433</v>
      </c>
      <c r="E26964">
        <v>335429</v>
      </c>
      <c r="F26964">
        <v>1.6793872525286399E-7</v>
      </c>
      <c r="G26964">
        <v>231049</v>
      </c>
      <c r="H26964">
        <v>15032727</v>
      </c>
      <c r="I26964">
        <v>418087</v>
      </c>
      <c r="J26964">
        <v>3</v>
      </c>
    </row>
    <row r="26965" spans="1:10" x14ac:dyDescent="0.25">
      <c r="A26965" t="s">
        <v>300</v>
      </c>
      <c r="B26965" s="1" t="str">
        <f>HYPERLINK("http://scottsporage.com","scottsporage.com")</f>
        <v>scottsporage.com</v>
      </c>
      <c r="C26965" t="s">
        <v>433</v>
      </c>
      <c r="F26965">
        <v>4.6074204036784601E-9</v>
      </c>
      <c r="G26965">
        <v>47053426</v>
      </c>
      <c r="H26965">
        <v>12304965</v>
      </c>
      <c r="I26965">
        <v>20735845</v>
      </c>
      <c r="J26965">
        <v>4</v>
      </c>
    </row>
    <row r="26966" spans="1:10" x14ac:dyDescent="0.25">
      <c r="A26966" t="s">
        <v>300</v>
      </c>
      <c r="B26966" s="1" t="str">
        <f>HYPERLINK("http://sobe.com","sobe.com")</f>
        <v>sobe.com</v>
      </c>
      <c r="C26966" t="s">
        <v>433</v>
      </c>
      <c r="F26966">
        <v>4.9749193575095001E-8</v>
      </c>
      <c r="G26966">
        <v>927463</v>
      </c>
      <c r="H26966">
        <v>14685984</v>
      </c>
      <c r="I26966">
        <v>604944</v>
      </c>
      <c r="J26966">
        <v>2</v>
      </c>
    </row>
    <row r="26967" spans="1:10" x14ac:dyDescent="0.25">
      <c r="A26967" t="s">
        <v>300</v>
      </c>
      <c r="B26967" s="1" t="str">
        <f>HYPERLINK("http://sobelean.com","sobelean.com")</f>
        <v>sobelean.com</v>
      </c>
      <c r="C26967" t="s">
        <v>433</v>
      </c>
      <c r="F26967">
        <v>4.9498355684342396E-9</v>
      </c>
      <c r="G26967">
        <v>30792330</v>
      </c>
      <c r="H26967">
        <v>12708810</v>
      </c>
      <c r="I26967">
        <v>15309566</v>
      </c>
      <c r="J26967">
        <v>3</v>
      </c>
    </row>
    <row r="26968" spans="1:10" x14ac:dyDescent="0.25">
      <c r="A26968" t="s">
        <v>300</v>
      </c>
      <c r="B26968" s="1" t="str">
        <f>HYPERLINK("http://sodastream.com","sodastream.com")</f>
        <v>sodastream.com</v>
      </c>
      <c r="C26968" t="s">
        <v>433</v>
      </c>
      <c r="E26968">
        <v>73059</v>
      </c>
      <c r="F26968">
        <v>4.39349817825519E-7</v>
      </c>
      <c r="G26968">
        <v>85799</v>
      </c>
      <c r="H26968">
        <v>17180462</v>
      </c>
      <c r="I26968">
        <v>45458</v>
      </c>
      <c r="J26968">
        <v>4</v>
      </c>
    </row>
    <row r="26969" spans="1:10" x14ac:dyDescent="0.25">
      <c r="A26969" t="s">
        <v>300</v>
      </c>
      <c r="B26969" s="1" t="str">
        <f>HYPERLINK("http://sodastreamusa.com","sodastreamusa.com")</f>
        <v>sodastreamusa.com</v>
      </c>
      <c r="C26969" t="s">
        <v>433</v>
      </c>
      <c r="E26969">
        <v>433523</v>
      </c>
      <c r="F26969">
        <v>1.39734581637987E-7</v>
      </c>
      <c r="G26969">
        <v>278799</v>
      </c>
      <c r="H26969">
        <v>14304563</v>
      </c>
      <c r="I26969">
        <v>1352079</v>
      </c>
      <c r="J26969">
        <v>3</v>
      </c>
    </row>
    <row r="26970" spans="1:10" x14ac:dyDescent="0.25">
      <c r="A26970" t="s">
        <v>300</v>
      </c>
      <c r="B26970" s="1" t="str">
        <f>HYPERLINK("http://stubbornsoda.com","stubbornsoda.com")</f>
        <v>stubbornsoda.com</v>
      </c>
      <c r="C26970" t="s">
        <v>433</v>
      </c>
      <c r="F26970">
        <v>1.2420554454457999E-8</v>
      </c>
      <c r="G26970">
        <v>4928313</v>
      </c>
      <c r="H26970">
        <v>14109792</v>
      </c>
      <c r="I26970">
        <v>2676584</v>
      </c>
      <c r="J26970">
        <v>2</v>
      </c>
    </row>
    <row r="26971" spans="1:10" x14ac:dyDescent="0.25">
      <c r="A26971" t="s">
        <v>300</v>
      </c>
      <c r="B26971" s="1" t="str">
        <f>HYPERLINK("http://sweatittogetit.com","sweatittogetit.com")</f>
        <v>sweatittogetit.com</v>
      </c>
      <c r="C26971" t="s">
        <v>433</v>
      </c>
      <c r="J26971">
        <v>2</v>
      </c>
    </row>
    <row r="26972" spans="1:10" x14ac:dyDescent="0.25">
      <c r="A26972" t="s">
        <v>300</v>
      </c>
      <c r="B26972" s="1" t="str">
        <f>HYPERLINK("http://tropicana.com","tropicana.com")</f>
        <v>tropicana.com</v>
      </c>
      <c r="C26972" t="s">
        <v>433</v>
      </c>
      <c r="E26972">
        <v>119078</v>
      </c>
      <c r="F26972">
        <v>1.8869989628531501E-7</v>
      </c>
      <c r="G26972">
        <v>204193</v>
      </c>
      <c r="H26972">
        <v>15083367</v>
      </c>
      <c r="I26972">
        <v>409059</v>
      </c>
      <c r="J26972">
        <v>3</v>
      </c>
    </row>
    <row r="26973" spans="1:10" x14ac:dyDescent="0.25">
      <c r="A26973" t="s">
        <v>300</v>
      </c>
      <c r="B26973" s="1" t="str">
        <f>HYPERLINK("http://vipbcw.com","vipbcw.com")</f>
        <v>vipbcw.com</v>
      </c>
      <c r="C26973" t="s">
        <v>433</v>
      </c>
      <c r="F26973">
        <v>1.14901856418131E-8</v>
      </c>
      <c r="G26973">
        <v>5512279</v>
      </c>
      <c r="H26973">
        <v>11438819</v>
      </c>
      <c r="I26973">
        <v>30137010</v>
      </c>
      <c r="J26973">
        <v>3</v>
      </c>
    </row>
    <row r="26974" spans="1:10" x14ac:dyDescent="0.25">
      <c r="A26974" t="s">
        <v>300</v>
      </c>
      <c r="B26974" s="1" t="str">
        <f>HYPERLINK("http://yourgatorade.com","yourgatorade.com")</f>
        <v>yourgatorade.com</v>
      </c>
      <c r="C26974" t="s">
        <v>433</v>
      </c>
      <c r="J26974">
        <v>2</v>
      </c>
    </row>
    <row r="26975" spans="1:10" x14ac:dyDescent="0.25">
      <c r="A26975" t="s">
        <v>300</v>
      </c>
      <c r="B26975" s="1" t="str">
        <f>HYPERLINK("http://sodastream.cz","sodastream.cz")</f>
        <v>sodastream.cz</v>
      </c>
      <c r="C26975" t="s">
        <v>435</v>
      </c>
      <c r="D26975" t="s">
        <v>814</v>
      </c>
      <c r="F26975">
        <v>3.6910330931678098E-8</v>
      </c>
      <c r="G26975">
        <v>1417010</v>
      </c>
      <c r="H26975">
        <v>13777923</v>
      </c>
      <c r="I26975">
        <v>6529631</v>
      </c>
      <c r="J26975">
        <v>5</v>
      </c>
    </row>
    <row r="26976" spans="1:10" x14ac:dyDescent="0.25">
      <c r="A26976" t="s">
        <v>300</v>
      </c>
      <c r="B26976" s="1" t="str">
        <f>HYPERLINK("http://pepsico.de","pepsico.de")</f>
        <v>pepsico.de</v>
      </c>
      <c r="C26976" t="s">
        <v>436</v>
      </c>
      <c r="D26976" t="s">
        <v>815</v>
      </c>
      <c r="F26976">
        <v>8.2128552460564196E-8</v>
      </c>
      <c r="G26976">
        <v>508081</v>
      </c>
      <c r="H26976">
        <v>14097777</v>
      </c>
      <c r="I26976">
        <v>2719926</v>
      </c>
      <c r="J26976">
        <v>4</v>
      </c>
    </row>
    <row r="26977" spans="1:10" x14ac:dyDescent="0.25">
      <c r="A26977" t="s">
        <v>300</v>
      </c>
      <c r="B26977" s="1" t="str">
        <f>HYPERLINK("http://punica.de","punica.de")</f>
        <v>punica.de</v>
      </c>
      <c r="C26977" t="s">
        <v>436</v>
      </c>
      <c r="D26977" t="s">
        <v>815</v>
      </c>
      <c r="F26977">
        <v>1.2674681154902901E-8</v>
      </c>
      <c r="G26977">
        <v>4792320</v>
      </c>
      <c r="H26977">
        <v>13766287</v>
      </c>
      <c r="I26977">
        <v>7018171</v>
      </c>
      <c r="J26977">
        <v>3</v>
      </c>
    </row>
    <row r="26978" spans="1:10" x14ac:dyDescent="0.25">
      <c r="A26978" t="s">
        <v>300</v>
      </c>
      <c r="B26978" s="1" t="str">
        <f>HYPERLINK("http://sodastream.de","sodastream.de")</f>
        <v>sodastream.de</v>
      </c>
      <c r="C26978" t="s">
        <v>436</v>
      </c>
      <c r="D26978" t="s">
        <v>815</v>
      </c>
      <c r="E26978">
        <v>531344</v>
      </c>
      <c r="F26978">
        <v>9.4606834582548406E-8</v>
      </c>
      <c r="G26978">
        <v>428792</v>
      </c>
      <c r="H26978">
        <v>14562085</v>
      </c>
      <c r="I26978">
        <v>744202</v>
      </c>
      <c r="J26978">
        <v>3</v>
      </c>
    </row>
    <row r="26979" spans="1:10" x14ac:dyDescent="0.25">
      <c r="A26979" t="s">
        <v>300</v>
      </c>
      <c r="B26979" s="1" t="str">
        <f>HYPERLINK("http://sodastream.dk","sodastream.dk")</f>
        <v>sodastream.dk</v>
      </c>
      <c r="C26979" t="s">
        <v>437</v>
      </c>
      <c r="D26979" t="s">
        <v>816</v>
      </c>
      <c r="F26979">
        <v>1.56431696580394E-8</v>
      </c>
      <c r="G26979">
        <v>3643221</v>
      </c>
      <c r="H26979">
        <v>13780979</v>
      </c>
      <c r="I26979">
        <v>6464505</v>
      </c>
      <c r="J26979">
        <v>5</v>
      </c>
    </row>
    <row r="26980" spans="1:10" x14ac:dyDescent="0.25">
      <c r="A26980" t="s">
        <v>300</v>
      </c>
      <c r="B26980" s="1" t="str">
        <f>HYPERLINK("http://tropicanajuice.dk","tropicanajuice.dk")</f>
        <v>tropicanajuice.dk</v>
      </c>
      <c r="C26980" t="s">
        <v>437</v>
      </c>
      <c r="D26980" t="s">
        <v>816</v>
      </c>
      <c r="F26980">
        <v>4.8794461799290698E-9</v>
      </c>
      <c r="G26980">
        <v>33101709</v>
      </c>
      <c r="H26980">
        <v>8759998</v>
      </c>
      <c r="I26980">
        <v>69594889</v>
      </c>
      <c r="J26980">
        <v>3</v>
      </c>
    </row>
    <row r="26981" spans="1:10" x14ac:dyDescent="0.25">
      <c r="A26981" t="s">
        <v>300</v>
      </c>
      <c r="B26981" s="1" t="str">
        <f>HYPERLINK("http://lays.ee","lays.ee")</f>
        <v>lays.ee</v>
      </c>
      <c r="C26981" t="s">
        <v>441</v>
      </c>
      <c r="D26981" t="s">
        <v>820</v>
      </c>
      <c r="F26981">
        <v>5.0642796165907199E-9</v>
      </c>
      <c r="G26981">
        <v>27913071</v>
      </c>
      <c r="H26981">
        <v>12615664</v>
      </c>
      <c r="I26981">
        <v>16131759</v>
      </c>
      <c r="J26981">
        <v>2</v>
      </c>
    </row>
    <row r="26982" spans="1:10" x14ac:dyDescent="0.25">
      <c r="A26982" t="s">
        <v>300</v>
      </c>
      <c r="B26982" s="1" t="str">
        <f>HYPERLINK("http://pepsicomarket.es","pepsicomarket.es")</f>
        <v>pepsicomarket.es</v>
      </c>
      <c r="C26982" t="s">
        <v>443</v>
      </c>
      <c r="D26982" t="s">
        <v>822</v>
      </c>
      <c r="F26982">
        <v>6.4017846607929203E-9</v>
      </c>
      <c r="G26982">
        <v>14508232</v>
      </c>
      <c r="H26982">
        <v>12017025</v>
      </c>
      <c r="I26982">
        <v>27922591</v>
      </c>
      <c r="J26982">
        <v>2</v>
      </c>
    </row>
    <row r="26983" spans="1:10" x14ac:dyDescent="0.25">
      <c r="A26983" t="s">
        <v>300</v>
      </c>
      <c r="B26983" s="1" t="str">
        <f>HYPERLINK("http://sodastream.es","sodastream.es")</f>
        <v>sodastream.es</v>
      </c>
      <c r="C26983" t="s">
        <v>443</v>
      </c>
      <c r="D26983" t="s">
        <v>822</v>
      </c>
      <c r="F26983">
        <v>1.5127591916426499E-8</v>
      </c>
      <c r="G26983">
        <v>3798896</v>
      </c>
      <c r="H26983">
        <v>12721547</v>
      </c>
      <c r="I26983">
        <v>15245751</v>
      </c>
      <c r="J26983">
        <v>4</v>
      </c>
    </row>
    <row r="26984" spans="1:10" x14ac:dyDescent="0.25">
      <c r="A26984" t="s">
        <v>300</v>
      </c>
      <c r="B26984" s="1" t="str">
        <f>HYPERLINK("http://pepsico.eu","pepsico.eu")</f>
        <v>pepsico.eu</v>
      </c>
      <c r="C26984" t="s">
        <v>444</v>
      </c>
      <c r="F26984">
        <v>6.5458359735895799E-9</v>
      </c>
      <c r="G26984">
        <v>13889488</v>
      </c>
      <c r="H26984">
        <v>13409727</v>
      </c>
      <c r="I26984">
        <v>10340931</v>
      </c>
      <c r="J26984">
        <v>2</v>
      </c>
    </row>
    <row r="26985" spans="1:10" x14ac:dyDescent="0.25">
      <c r="A26985" t="s">
        <v>300</v>
      </c>
      <c r="B26985" s="1" t="str">
        <f>HYPERLINK("http://7up.fi","7up.fi")</f>
        <v>7up.fi</v>
      </c>
      <c r="C26985" t="s">
        <v>445</v>
      </c>
      <c r="D26985" t="s">
        <v>823</v>
      </c>
      <c r="J26985">
        <v>4</v>
      </c>
    </row>
    <row r="26986" spans="1:10" x14ac:dyDescent="0.25">
      <c r="A26986" t="s">
        <v>300</v>
      </c>
      <c r="B26986" s="1" t="str">
        <f>HYPERLINK("http://gatorade.fi","gatorade.fi")</f>
        <v>gatorade.fi</v>
      </c>
      <c r="C26986" t="s">
        <v>445</v>
      </c>
      <c r="D26986" t="s">
        <v>823</v>
      </c>
      <c r="F26986">
        <v>5.2167267906623603E-9</v>
      </c>
      <c r="G26986">
        <v>24801907</v>
      </c>
      <c r="H26986">
        <v>13763636</v>
      </c>
      <c r="I26986">
        <v>8104495</v>
      </c>
      <c r="J26986">
        <v>2</v>
      </c>
    </row>
    <row r="26987" spans="1:10" x14ac:dyDescent="0.25">
      <c r="A26987" t="s">
        <v>300</v>
      </c>
      <c r="B26987" s="1" t="str">
        <f>HYPERLINK("http://mountaindew.fi","mountaindew.fi")</f>
        <v>mountaindew.fi</v>
      </c>
      <c r="C26987" t="s">
        <v>445</v>
      </c>
      <c r="D26987" t="s">
        <v>823</v>
      </c>
      <c r="F26987">
        <v>4.4438335000452598E-9</v>
      </c>
      <c r="G26987">
        <v>78968020</v>
      </c>
      <c r="H26987">
        <v>10480218</v>
      </c>
      <c r="I26987">
        <v>51032896</v>
      </c>
      <c r="J26987">
        <v>4</v>
      </c>
    </row>
    <row r="26988" spans="1:10" x14ac:dyDescent="0.25">
      <c r="A26988" t="s">
        <v>300</v>
      </c>
      <c r="B26988" s="1" t="str">
        <f>HYPERLINK("http://nakedjuice.fi","nakedjuice.fi")</f>
        <v>nakedjuice.fi</v>
      </c>
      <c r="C26988" t="s">
        <v>445</v>
      </c>
      <c r="D26988" t="s">
        <v>823</v>
      </c>
      <c r="J26988">
        <v>2</v>
      </c>
    </row>
    <row r="26989" spans="1:10" x14ac:dyDescent="0.25">
      <c r="A26989" t="s">
        <v>300</v>
      </c>
      <c r="B26989" s="1" t="str">
        <f>HYPERLINK("http://pepsi.fi","pepsi.fi")</f>
        <v>pepsi.fi</v>
      </c>
      <c r="C26989" t="s">
        <v>445</v>
      </c>
      <c r="D26989" t="s">
        <v>823</v>
      </c>
      <c r="F26989">
        <v>5.9305248039061902E-9</v>
      </c>
      <c r="G26989">
        <v>17148700</v>
      </c>
      <c r="H26989">
        <v>14236071</v>
      </c>
      <c r="I26989">
        <v>1623419</v>
      </c>
      <c r="J26989">
        <v>2</v>
      </c>
    </row>
    <row r="26990" spans="1:10" x14ac:dyDescent="0.25">
      <c r="A26990" t="s">
        <v>300</v>
      </c>
      <c r="B26990" s="1" t="str">
        <f>HYPERLINK("http://pepsimax.fi","pepsimax.fi")</f>
        <v>pepsimax.fi</v>
      </c>
      <c r="C26990" t="s">
        <v>445</v>
      </c>
      <c r="D26990" t="s">
        <v>823</v>
      </c>
      <c r="F26990">
        <v>1.07143454317291E-8</v>
      </c>
      <c r="G26990">
        <v>6088193</v>
      </c>
      <c r="H26990">
        <v>10593698</v>
      </c>
      <c r="I26990">
        <v>45430719</v>
      </c>
      <c r="J26990">
        <v>2</v>
      </c>
    </row>
    <row r="26991" spans="1:10" x14ac:dyDescent="0.25">
      <c r="A26991" t="s">
        <v>300</v>
      </c>
      <c r="B26991" s="1" t="str">
        <f>HYPERLINK("http://rockstarenergy.fi","rockstarenergy.fi")</f>
        <v>rockstarenergy.fi</v>
      </c>
      <c r="C26991" t="s">
        <v>445</v>
      </c>
      <c r="D26991" t="s">
        <v>823</v>
      </c>
      <c r="F26991">
        <v>4.7292887267394801E-9</v>
      </c>
      <c r="G26991">
        <v>39381741</v>
      </c>
      <c r="H26991">
        <v>10723642</v>
      </c>
      <c r="I26991">
        <v>41477476</v>
      </c>
      <c r="J26991">
        <v>2</v>
      </c>
    </row>
    <row r="26992" spans="1:10" x14ac:dyDescent="0.25">
      <c r="A26992" t="s">
        <v>300</v>
      </c>
      <c r="B26992" s="1" t="str">
        <f>HYPERLINK("http://sevenup.fi","sevenup.fi")</f>
        <v>sevenup.fi</v>
      </c>
      <c r="C26992" t="s">
        <v>445</v>
      </c>
      <c r="D26992" t="s">
        <v>823</v>
      </c>
      <c r="J26992">
        <v>2</v>
      </c>
    </row>
    <row r="26993" spans="1:10" x14ac:dyDescent="0.25">
      <c r="A26993" t="s">
        <v>300</v>
      </c>
      <c r="B26993" s="1" t="str">
        <f>HYPERLINK("http://soda-club.fi","soda-club.fi")</f>
        <v>soda-club.fi</v>
      </c>
      <c r="C26993" t="s">
        <v>445</v>
      </c>
      <c r="D26993" t="s">
        <v>823</v>
      </c>
      <c r="J26993">
        <v>7</v>
      </c>
    </row>
    <row r="26994" spans="1:10" x14ac:dyDescent="0.25">
      <c r="A26994" t="s">
        <v>300</v>
      </c>
      <c r="B26994" s="1" t="str">
        <f>HYPERLINK("http://soda-stream.fi","soda-stream.fi")</f>
        <v>soda-stream.fi</v>
      </c>
      <c r="C26994" t="s">
        <v>445</v>
      </c>
      <c r="D26994" t="s">
        <v>823</v>
      </c>
      <c r="J26994">
        <v>7</v>
      </c>
    </row>
    <row r="26995" spans="1:10" x14ac:dyDescent="0.25">
      <c r="A26995" t="s">
        <v>300</v>
      </c>
      <c r="B26995" s="1" t="str">
        <f>HYPERLINK("http://sodaclub.fi","sodaclub.fi")</f>
        <v>sodaclub.fi</v>
      </c>
      <c r="C26995" t="s">
        <v>445</v>
      </c>
      <c r="D26995" t="s">
        <v>823</v>
      </c>
      <c r="J26995">
        <v>7</v>
      </c>
    </row>
    <row r="26996" spans="1:10" x14ac:dyDescent="0.25">
      <c r="A26996" t="s">
        <v>300</v>
      </c>
      <c r="B26996" s="1" t="str">
        <f>HYPERLINK("http://sodastream.fi","sodastream.fi")</f>
        <v>sodastream.fi</v>
      </c>
      <c r="C26996" t="s">
        <v>445</v>
      </c>
      <c r="D26996" t="s">
        <v>823</v>
      </c>
      <c r="F26996">
        <v>1.4516461891257699E-8</v>
      </c>
      <c r="G26996">
        <v>4007428</v>
      </c>
      <c r="H26996">
        <v>13764238</v>
      </c>
      <c r="I26996">
        <v>7324893</v>
      </c>
      <c r="J26996">
        <v>5</v>
      </c>
    </row>
    <row r="26997" spans="1:10" x14ac:dyDescent="0.25">
      <c r="A26997" t="s">
        <v>300</v>
      </c>
      <c r="B26997" s="1" t="str">
        <f>HYPERLINK("http://sodastream-connect.fi","sodastream-connect.fi")</f>
        <v>sodastream-connect.fi</v>
      </c>
      <c r="C26997" t="s">
        <v>445</v>
      </c>
      <c r="D26997" t="s">
        <v>823</v>
      </c>
      <c r="J26997">
        <v>7</v>
      </c>
    </row>
    <row r="26998" spans="1:10" x14ac:dyDescent="0.25">
      <c r="A26998" t="s">
        <v>300</v>
      </c>
      <c r="B26998" s="1" t="str">
        <f>HYPERLINK("http://sodastream-professional.fi","sodastream-professional.fi")</f>
        <v>sodastream-professional.fi</v>
      </c>
      <c r="C26998" t="s">
        <v>445</v>
      </c>
      <c r="D26998" t="s">
        <v>823</v>
      </c>
      <c r="J26998">
        <v>7</v>
      </c>
    </row>
    <row r="26999" spans="1:10" x14ac:dyDescent="0.25">
      <c r="A26999" t="s">
        <v>300</v>
      </c>
      <c r="B26999" s="1" t="str">
        <f>HYPERLINK("http://sodastreamconnect.fi","sodastreamconnect.fi")</f>
        <v>sodastreamconnect.fi</v>
      </c>
      <c r="C26999" t="s">
        <v>445</v>
      </c>
      <c r="D26999" t="s">
        <v>823</v>
      </c>
      <c r="J26999">
        <v>7</v>
      </c>
    </row>
    <row r="27000" spans="1:10" x14ac:dyDescent="0.25">
      <c r="A27000" t="s">
        <v>300</v>
      </c>
      <c r="B27000" s="1" t="str">
        <f>HYPERLINK("http://sodastreamprofessional.fi","sodastreamprofessional.fi")</f>
        <v>sodastreamprofessional.fi</v>
      </c>
      <c r="C27000" t="s">
        <v>445</v>
      </c>
      <c r="D27000" t="s">
        <v>823</v>
      </c>
      <c r="J27000">
        <v>7</v>
      </c>
    </row>
    <row r="27001" spans="1:10" x14ac:dyDescent="0.25">
      <c r="A27001" t="s">
        <v>300</v>
      </c>
      <c r="B27001" s="1" t="str">
        <f>HYPERLINK("http://tropicana.fi","tropicana.fi")</f>
        <v>tropicana.fi</v>
      </c>
      <c r="C27001" t="s">
        <v>445</v>
      </c>
      <c r="D27001" t="s">
        <v>823</v>
      </c>
      <c r="F27001">
        <v>4.55411831340856E-9</v>
      </c>
      <c r="G27001">
        <v>51760621</v>
      </c>
      <c r="H27001">
        <v>13763633</v>
      </c>
      <c r="I27001">
        <v>9132613</v>
      </c>
      <c r="J27001">
        <v>2</v>
      </c>
    </row>
    <row r="27002" spans="1:10" x14ac:dyDescent="0.25">
      <c r="A27002" t="s">
        <v>300</v>
      </c>
      <c r="B27002" s="1" t="str">
        <f>HYPERLINK("http://tropicanajuice.fi","tropicanajuice.fi")</f>
        <v>tropicanajuice.fi</v>
      </c>
      <c r="C27002" t="s">
        <v>445</v>
      </c>
      <c r="D27002" t="s">
        <v>823</v>
      </c>
      <c r="F27002">
        <v>5.4552664324923803E-9</v>
      </c>
      <c r="G27002">
        <v>21420382</v>
      </c>
      <c r="H27002">
        <v>10348462</v>
      </c>
      <c r="I27002">
        <v>56548883</v>
      </c>
      <c r="J27002">
        <v>2</v>
      </c>
    </row>
    <row r="27003" spans="1:10" x14ac:dyDescent="0.25">
      <c r="A27003" t="s">
        <v>300</v>
      </c>
      <c r="B27003" s="1" t="str">
        <f>HYPERLINK("http://pepsico.fr","pepsico.fr")</f>
        <v>pepsico.fr</v>
      </c>
      <c r="C27003" t="s">
        <v>446</v>
      </c>
      <c r="D27003" t="s">
        <v>824</v>
      </c>
      <c r="F27003">
        <v>1.1881444537664399E-7</v>
      </c>
      <c r="G27003">
        <v>333149</v>
      </c>
      <c r="H27003">
        <v>14388754</v>
      </c>
      <c r="I27003">
        <v>1172263</v>
      </c>
      <c r="J27003">
        <v>3</v>
      </c>
    </row>
    <row r="27004" spans="1:10" x14ac:dyDescent="0.25">
      <c r="A27004" t="s">
        <v>300</v>
      </c>
      <c r="B27004" s="1" t="str">
        <f>HYPERLINK("http://sodastream.fr","sodastream.fr")</f>
        <v>sodastream.fr</v>
      </c>
      <c r="C27004" t="s">
        <v>446</v>
      </c>
      <c r="D27004" t="s">
        <v>824</v>
      </c>
      <c r="E27004">
        <v>939226</v>
      </c>
      <c r="F27004">
        <v>5.1657701535869901E-8</v>
      </c>
      <c r="G27004">
        <v>885078</v>
      </c>
      <c r="H27004">
        <v>14151027</v>
      </c>
      <c r="I27004">
        <v>1874815</v>
      </c>
      <c r="J27004">
        <v>4</v>
      </c>
    </row>
    <row r="27005" spans="1:10" x14ac:dyDescent="0.25">
      <c r="A27005" t="s">
        <v>300</v>
      </c>
      <c r="B27005" s="1" t="str">
        <f>HYPERLINK("http://pepsico-ivi.gr","pepsico-ivi.gr")</f>
        <v>pepsico-ivi.gr</v>
      </c>
      <c r="C27005" t="s">
        <v>447</v>
      </c>
      <c r="D27005" t="s">
        <v>825</v>
      </c>
      <c r="F27005">
        <v>8.3304979685863793E-9</v>
      </c>
      <c r="G27005">
        <v>9188167</v>
      </c>
      <c r="H27005">
        <v>14485305</v>
      </c>
      <c r="I27005">
        <v>1007110</v>
      </c>
      <c r="J27005">
        <v>4</v>
      </c>
    </row>
    <row r="27006" spans="1:10" x14ac:dyDescent="0.25">
      <c r="A27006" t="s">
        <v>300</v>
      </c>
      <c r="B27006" s="1" t="str">
        <f>HYPERLINK("http://sodastream.hu","sodastream.hu")</f>
        <v>sodastream.hu</v>
      </c>
      <c r="C27006" t="s">
        <v>453</v>
      </c>
      <c r="D27006" t="s">
        <v>830</v>
      </c>
      <c r="F27006">
        <v>1.7389008678691601E-8</v>
      </c>
      <c r="G27006">
        <v>3177686</v>
      </c>
      <c r="H27006">
        <v>13765937</v>
      </c>
      <c r="I27006">
        <v>7051425</v>
      </c>
      <c r="J27006">
        <v>6</v>
      </c>
    </row>
    <row r="27007" spans="1:10" x14ac:dyDescent="0.25">
      <c r="A27007" t="s">
        <v>300</v>
      </c>
      <c r="B27007" s="1" t="str">
        <f>HYPERLINK("http://sodastream.co.il","sodastream.co.il")</f>
        <v>sodastream.co.il</v>
      </c>
      <c r="C27007" t="s">
        <v>456</v>
      </c>
      <c r="D27007" t="s">
        <v>833</v>
      </c>
      <c r="F27007">
        <v>1.41624184577387E-8</v>
      </c>
      <c r="G27007">
        <v>4142499</v>
      </c>
      <c r="H27007">
        <v>12304695</v>
      </c>
      <c r="I27007">
        <v>20740707</v>
      </c>
      <c r="J27007">
        <v>3</v>
      </c>
    </row>
    <row r="27008" spans="1:10" x14ac:dyDescent="0.25">
      <c r="A27008" t="s">
        <v>300</v>
      </c>
      <c r="B27008" s="1" t="str">
        <f>HYPERLINK("http://pepsicoindia.co.in","pepsicoindia.co.in")</f>
        <v>pepsicoindia.co.in</v>
      </c>
      <c r="C27008" t="s">
        <v>457</v>
      </c>
      <c r="D27008" t="s">
        <v>834</v>
      </c>
      <c r="E27008">
        <v>891900</v>
      </c>
      <c r="F27008">
        <v>5.4670952110711102E-8</v>
      </c>
      <c r="G27008">
        <v>824456</v>
      </c>
      <c r="H27008">
        <v>14314180</v>
      </c>
      <c r="I27008">
        <v>1337315</v>
      </c>
      <c r="J27008">
        <v>3</v>
      </c>
    </row>
    <row r="27009" spans="1:10" x14ac:dyDescent="0.25">
      <c r="A27009" t="s">
        <v>300</v>
      </c>
      <c r="B27009" s="1" t="str">
        <f>HYPERLINK("http://buygatorade.info","buygatorade.info")</f>
        <v>buygatorade.info</v>
      </c>
      <c r="C27009" t="s">
        <v>458</v>
      </c>
      <c r="J27009">
        <v>2</v>
      </c>
    </row>
    <row r="27010" spans="1:10" x14ac:dyDescent="0.25">
      <c r="A27010" t="s">
        <v>300</v>
      </c>
      <c r="B27010" s="1" t="str">
        <f>HYPERLINK("http://campionidelgusto.it","campionidelgusto.it")</f>
        <v>campionidelgusto.it</v>
      </c>
      <c r="C27010" t="s">
        <v>459</v>
      </c>
      <c r="D27010" t="s">
        <v>835</v>
      </c>
      <c r="J27010">
        <v>2</v>
      </c>
    </row>
    <row r="27011" spans="1:10" x14ac:dyDescent="0.25">
      <c r="A27011" t="s">
        <v>300</v>
      </c>
      <c r="B27011" s="1" t="str">
        <f>HYPERLINK("http://pepsi.it","pepsi.it")</f>
        <v>pepsi.it</v>
      </c>
      <c r="C27011" t="s">
        <v>459</v>
      </c>
      <c r="D27011" t="s">
        <v>835</v>
      </c>
      <c r="F27011">
        <v>2.8267984176058799E-8</v>
      </c>
      <c r="G27011">
        <v>1820777</v>
      </c>
      <c r="H27011">
        <v>14236477</v>
      </c>
      <c r="I27011">
        <v>1584684</v>
      </c>
      <c r="J27011">
        <v>3</v>
      </c>
    </row>
    <row r="27012" spans="1:10" x14ac:dyDescent="0.25">
      <c r="A27012" t="s">
        <v>300</v>
      </c>
      <c r="B27012" s="1" t="str">
        <f>HYPERLINK("http://sodastream.it","sodastream.it")</f>
        <v>sodastream.it</v>
      </c>
      <c r="C27012" t="s">
        <v>459</v>
      </c>
      <c r="D27012" t="s">
        <v>835</v>
      </c>
      <c r="F27012">
        <v>4.4630067215773598E-7</v>
      </c>
      <c r="G27012">
        <v>84586</v>
      </c>
      <c r="H27012">
        <v>13862750</v>
      </c>
      <c r="I27012">
        <v>6016409</v>
      </c>
      <c r="J27012">
        <v>5</v>
      </c>
    </row>
    <row r="27013" spans="1:10" x14ac:dyDescent="0.25">
      <c r="A27013" t="s">
        <v>300</v>
      </c>
      <c r="B27013" s="1" t="str">
        <f>HYPERLINK("http://sodastream.jp","sodastream.jp")</f>
        <v>sodastream.jp</v>
      </c>
      <c r="C27013" t="s">
        <v>461</v>
      </c>
      <c r="D27013" t="s">
        <v>837</v>
      </c>
      <c r="E27013">
        <v>915140</v>
      </c>
      <c r="F27013">
        <v>6.4081088887187197E-8</v>
      </c>
      <c r="G27013">
        <v>676187</v>
      </c>
      <c r="H27013">
        <v>13460595</v>
      </c>
      <c r="I27013">
        <v>10165904</v>
      </c>
      <c r="J27013">
        <v>5</v>
      </c>
    </row>
    <row r="27014" spans="1:10" x14ac:dyDescent="0.25">
      <c r="A27014" t="s">
        <v>300</v>
      </c>
      <c r="B27014" s="1" t="str">
        <f>HYPERLINK("http://gatorade.lat","gatorade.lat")</f>
        <v>gatorade.lat</v>
      </c>
      <c r="C27014" t="s">
        <v>614</v>
      </c>
      <c r="F27014">
        <v>1.5932443270308899E-8</v>
      </c>
      <c r="G27014">
        <v>3564088</v>
      </c>
      <c r="H27014">
        <v>12411891</v>
      </c>
      <c r="I27014">
        <v>18579442</v>
      </c>
      <c r="J27014">
        <v>4</v>
      </c>
    </row>
    <row r="27015" spans="1:10" x14ac:dyDescent="0.25">
      <c r="A27015" t="s">
        <v>300</v>
      </c>
      <c r="B27015" s="1" t="str">
        <f>HYPERLINK("http://gamesa.com.mx","gamesa.com.mx")</f>
        <v>gamesa.com.mx</v>
      </c>
      <c r="C27015" t="s">
        <v>471</v>
      </c>
      <c r="D27015" t="s">
        <v>847</v>
      </c>
      <c r="F27015">
        <v>1.35052689907723E-8</v>
      </c>
      <c r="G27015">
        <v>4401570</v>
      </c>
      <c r="H27015">
        <v>14415253</v>
      </c>
      <c r="I27015">
        <v>1114967</v>
      </c>
      <c r="J27015">
        <v>3</v>
      </c>
    </row>
    <row r="27016" spans="1:10" x14ac:dyDescent="0.25">
      <c r="A27016" t="s">
        <v>300</v>
      </c>
      <c r="B27016" s="1" t="str">
        <f>HYPERLINK("http://mamutmamut.com.mx","mamutmamut.com.mx")</f>
        <v>mamutmamut.com.mx</v>
      </c>
      <c r="C27016" t="s">
        <v>471</v>
      </c>
      <c r="D27016" t="s">
        <v>847</v>
      </c>
      <c r="F27016">
        <v>4.7239743756402803E-9</v>
      </c>
      <c r="G27016">
        <v>39650197</v>
      </c>
      <c r="H27016">
        <v>13933062</v>
      </c>
      <c r="I27016">
        <v>5213822</v>
      </c>
      <c r="J27016">
        <v>3</v>
      </c>
    </row>
    <row r="27017" spans="1:10" x14ac:dyDescent="0.25">
      <c r="A27017" t="s">
        <v>300</v>
      </c>
      <c r="B27017" s="1" t="str">
        <f>HYPERLINK("http://pepsico.com.mx","pepsico.com.mx")</f>
        <v>pepsico.com.mx</v>
      </c>
      <c r="C27017" t="s">
        <v>471</v>
      </c>
      <c r="D27017" t="s">
        <v>847</v>
      </c>
      <c r="F27017">
        <v>5.6057126872058302E-8</v>
      </c>
      <c r="G27017">
        <v>798948</v>
      </c>
      <c r="H27017">
        <v>14499541</v>
      </c>
      <c r="I27017">
        <v>856824</v>
      </c>
      <c r="J27017">
        <v>3</v>
      </c>
    </row>
    <row r="27018" spans="1:10" x14ac:dyDescent="0.25">
      <c r="A27018" t="s">
        <v>300</v>
      </c>
      <c r="B27018" s="1" t="str">
        <f>HYPERLINK("http://sabritas.com.mx","sabritas.com.mx")</f>
        <v>sabritas.com.mx</v>
      </c>
      <c r="C27018" t="s">
        <v>471</v>
      </c>
      <c r="D27018" t="s">
        <v>847</v>
      </c>
      <c r="F27018">
        <v>1.49960344425537E-8</v>
      </c>
      <c r="G27018">
        <v>3841195</v>
      </c>
      <c r="H27018">
        <v>14512030</v>
      </c>
      <c r="I27018">
        <v>820078</v>
      </c>
      <c r="J27018">
        <v>4</v>
      </c>
    </row>
    <row r="27019" spans="1:10" x14ac:dyDescent="0.25">
      <c r="A27019" t="s">
        <v>300</v>
      </c>
      <c r="B27019" s="1" t="str">
        <f>HYPERLINK("http://buygatorade.net","buygatorade.net")</f>
        <v>buygatorade.net</v>
      </c>
      <c r="C27019" t="s">
        <v>474</v>
      </c>
      <c r="J27019">
        <v>2</v>
      </c>
    </row>
    <row r="27020" spans="1:10" x14ac:dyDescent="0.25">
      <c r="A27020" t="s">
        <v>300</v>
      </c>
      <c r="B27020" s="1" t="str">
        <f>HYPERLINK("http://gatoradeforless.net","gatoradeforless.net")</f>
        <v>gatoradeforless.net</v>
      </c>
      <c r="C27020" t="s">
        <v>474</v>
      </c>
      <c r="J27020">
        <v>2</v>
      </c>
    </row>
    <row r="27021" spans="1:10" x14ac:dyDescent="0.25">
      <c r="A27021" t="s">
        <v>300</v>
      </c>
      <c r="B27021" s="1" t="str">
        <f>HYPERLINK("http://lipton.nl","lipton.nl")</f>
        <v>lipton.nl</v>
      </c>
      <c r="C27021" t="s">
        <v>477</v>
      </c>
      <c r="D27021" t="s">
        <v>852</v>
      </c>
      <c r="F27021">
        <v>3.0130836164570601E-8</v>
      </c>
      <c r="G27021">
        <v>1707831</v>
      </c>
      <c r="H27021">
        <v>14128679</v>
      </c>
      <c r="I27021">
        <v>2057343</v>
      </c>
      <c r="J27021">
        <v>4</v>
      </c>
    </row>
    <row r="27022" spans="1:10" x14ac:dyDescent="0.25">
      <c r="A27022" t="s">
        <v>300</v>
      </c>
      <c r="B27022" s="1" t="str">
        <f>HYPERLINK("http://sodastream.nl","sodastream.nl")</f>
        <v>sodastream.nl</v>
      </c>
      <c r="C27022" t="s">
        <v>477</v>
      </c>
      <c r="D27022" t="s">
        <v>852</v>
      </c>
      <c r="F27022">
        <v>2.2580277666440699E-8</v>
      </c>
      <c r="G27022">
        <v>2319596</v>
      </c>
      <c r="H27022">
        <v>13943210</v>
      </c>
      <c r="I27022">
        <v>4317943</v>
      </c>
      <c r="J27022">
        <v>5</v>
      </c>
    </row>
    <row r="27023" spans="1:10" x14ac:dyDescent="0.25">
      <c r="A27023" t="s">
        <v>300</v>
      </c>
      <c r="B27023" s="1" t="str">
        <f>HYPERLINK("http://unwasted.nl","unwasted.nl")</f>
        <v>unwasted.nl</v>
      </c>
      <c r="C27023" t="s">
        <v>477</v>
      </c>
      <c r="D27023" t="s">
        <v>852</v>
      </c>
      <c r="F27023">
        <v>7.8936768141198198E-9</v>
      </c>
      <c r="G27023">
        <v>10124325</v>
      </c>
      <c r="H27023">
        <v>13777673</v>
      </c>
      <c r="I27023">
        <v>6533685</v>
      </c>
      <c r="J27023">
        <v>2</v>
      </c>
    </row>
    <row r="27024" spans="1:10" x14ac:dyDescent="0.25">
      <c r="A27024" t="s">
        <v>300</v>
      </c>
      <c r="B27024" s="1" t="str">
        <f>HYPERLINK("http://pepsimax.no","pepsimax.no")</f>
        <v>pepsimax.no</v>
      </c>
      <c r="C27024" t="s">
        <v>478</v>
      </c>
      <c r="D27024" t="s">
        <v>853</v>
      </c>
      <c r="F27024">
        <v>1.4891237834771399E-8</v>
      </c>
      <c r="G27024">
        <v>3875548</v>
      </c>
      <c r="H27024">
        <v>14072960</v>
      </c>
      <c r="I27024">
        <v>3029044</v>
      </c>
      <c r="J27024">
        <v>3</v>
      </c>
    </row>
    <row r="27025" spans="1:10" x14ac:dyDescent="0.25">
      <c r="A27025" t="s">
        <v>300</v>
      </c>
      <c r="B27025" s="1" t="str">
        <f>HYPERLINK("http://tropicanajuice.no","tropicanajuice.no")</f>
        <v>tropicanajuice.no</v>
      </c>
      <c r="C27025" t="s">
        <v>478</v>
      </c>
      <c r="D27025" t="s">
        <v>853</v>
      </c>
      <c r="F27025">
        <v>5.5066943827616903E-9</v>
      </c>
      <c r="G27025">
        <v>20827422</v>
      </c>
      <c r="H27025">
        <v>11104990</v>
      </c>
      <c r="I27025">
        <v>32212057</v>
      </c>
      <c r="J27025">
        <v>3</v>
      </c>
    </row>
    <row r="27026" spans="1:10" x14ac:dyDescent="0.25">
      <c r="A27026" t="s">
        <v>300</v>
      </c>
      <c r="B27026" s="1" t="str">
        <f>HYPERLINK("http://sodastream.co.nz","sodastream.co.nz")</f>
        <v>sodastream.co.nz</v>
      </c>
      <c r="C27026" t="s">
        <v>479</v>
      </c>
      <c r="D27026" t="s">
        <v>854</v>
      </c>
      <c r="F27026">
        <v>2.04833275845707E-8</v>
      </c>
      <c r="G27026">
        <v>2587030</v>
      </c>
      <c r="H27026">
        <v>12395870</v>
      </c>
      <c r="I27026">
        <v>18921869</v>
      </c>
      <c r="J27026">
        <v>5</v>
      </c>
    </row>
    <row r="27027" spans="1:10" x14ac:dyDescent="0.25">
      <c r="A27027" t="s">
        <v>300</v>
      </c>
      <c r="B27027" s="1" t="str">
        <f>HYPERLINK("http://doritos.com.ph","doritos.com.ph")</f>
        <v>doritos.com.ph</v>
      </c>
      <c r="C27027" t="s">
        <v>484</v>
      </c>
      <c r="D27027" t="s">
        <v>858</v>
      </c>
      <c r="F27027">
        <v>4.4750073563413802E-9</v>
      </c>
      <c r="G27027">
        <v>63412546</v>
      </c>
      <c r="H27027">
        <v>10951218</v>
      </c>
      <c r="I27027">
        <v>34556749</v>
      </c>
      <c r="J27027">
        <v>2</v>
      </c>
    </row>
    <row r="27028" spans="1:10" x14ac:dyDescent="0.25">
      <c r="A27028" t="s">
        <v>300</v>
      </c>
      <c r="B27028" s="1" t="str">
        <f>HYPERLINK("http://pepsico.com.pk","pepsico.com.pk")</f>
        <v>pepsico.com.pk</v>
      </c>
      <c r="C27028" t="s">
        <v>485</v>
      </c>
      <c r="D27028" t="s">
        <v>859</v>
      </c>
      <c r="F27028">
        <v>2.7014169425866501E-8</v>
      </c>
      <c r="G27028">
        <v>1903862</v>
      </c>
      <c r="H27028">
        <v>12794417</v>
      </c>
      <c r="I27028">
        <v>14666037</v>
      </c>
      <c r="J27028">
        <v>2</v>
      </c>
    </row>
    <row r="27029" spans="1:10" x14ac:dyDescent="0.25">
      <c r="A27029" t="s">
        <v>300</v>
      </c>
      <c r="B27029" s="1" t="str">
        <f>HYPERLINK("http://lipton.pl","lipton.pl")</f>
        <v>lipton.pl</v>
      </c>
      <c r="C27029" t="s">
        <v>486</v>
      </c>
      <c r="D27029" t="s">
        <v>860</v>
      </c>
      <c r="F27029">
        <v>5.8731903611381203E-9</v>
      </c>
      <c r="G27029">
        <v>17545930</v>
      </c>
      <c r="H27029">
        <v>13763637</v>
      </c>
      <c r="I27029">
        <v>8048527</v>
      </c>
      <c r="J27029">
        <v>4</v>
      </c>
    </row>
    <row r="27030" spans="1:10" x14ac:dyDescent="0.25">
      <c r="A27030" t="s">
        <v>300</v>
      </c>
      <c r="B27030" s="1" t="str">
        <f>HYPERLINK("http://pepsicola.pl","pepsicola.pl")</f>
        <v>pepsicola.pl</v>
      </c>
      <c r="C27030" t="s">
        <v>486</v>
      </c>
      <c r="D27030" t="s">
        <v>860</v>
      </c>
      <c r="J27030">
        <v>3</v>
      </c>
    </row>
    <row r="27031" spans="1:10" x14ac:dyDescent="0.25">
      <c r="A27031" t="s">
        <v>300</v>
      </c>
      <c r="B27031" s="1" t="str">
        <f>HYPERLINK("http://sodastream.pl","sodastream.pl")</f>
        <v>sodastream.pl</v>
      </c>
      <c r="C27031" t="s">
        <v>486</v>
      </c>
      <c r="D27031" t="s">
        <v>860</v>
      </c>
      <c r="F27031">
        <v>2.13232742725885E-8</v>
      </c>
      <c r="G27031">
        <v>2471284</v>
      </c>
      <c r="H27031">
        <v>13770288</v>
      </c>
      <c r="I27031">
        <v>6736141</v>
      </c>
      <c r="J27031">
        <v>5</v>
      </c>
    </row>
    <row r="27032" spans="1:10" x14ac:dyDescent="0.25">
      <c r="A27032" t="s">
        <v>300</v>
      </c>
      <c r="B27032" s="1" t="str">
        <f>HYPERLINK("http://matutano.pt","matutano.pt")</f>
        <v>matutano.pt</v>
      </c>
      <c r="C27032" t="s">
        <v>488</v>
      </c>
      <c r="D27032" t="s">
        <v>862</v>
      </c>
      <c r="J27032">
        <v>3</v>
      </c>
    </row>
    <row r="27033" spans="1:10" x14ac:dyDescent="0.25">
      <c r="A27033" t="s">
        <v>300</v>
      </c>
      <c r="B27033" s="1" t="str">
        <f>HYPERLINK("http://liptonpromo.ro","liptonpromo.ro")</f>
        <v>liptonpromo.ro</v>
      </c>
      <c r="C27033" t="s">
        <v>491</v>
      </c>
      <c r="D27033" t="s">
        <v>865</v>
      </c>
      <c r="F27033">
        <v>1.6178451185159999E-8</v>
      </c>
      <c r="G27033">
        <v>3500880</v>
      </c>
      <c r="H27033">
        <v>12153667</v>
      </c>
      <c r="I27033">
        <v>24527270</v>
      </c>
      <c r="J27033">
        <v>2</v>
      </c>
    </row>
    <row r="27034" spans="1:10" x14ac:dyDescent="0.25">
      <c r="A27034" t="s">
        <v>300</v>
      </c>
      <c r="B27034" s="1" t="str">
        <f>HYPERLINK("http://pepsico.ro","pepsico.ro")</f>
        <v>pepsico.ro</v>
      </c>
      <c r="C27034" t="s">
        <v>491</v>
      </c>
      <c r="D27034" t="s">
        <v>865</v>
      </c>
      <c r="F27034">
        <v>1.1413849073016201E-8</v>
      </c>
      <c r="G27034">
        <v>5564883</v>
      </c>
      <c r="H27034">
        <v>14374363</v>
      </c>
      <c r="I27034">
        <v>1241585</v>
      </c>
      <c r="J27034">
        <v>2</v>
      </c>
    </row>
    <row r="27035" spans="1:10" x14ac:dyDescent="0.25">
      <c r="A27035" t="s">
        <v>300</v>
      </c>
      <c r="B27035" s="1" t="str">
        <f>HYPERLINK("http://marbo.rs","marbo.rs")</f>
        <v>marbo.rs</v>
      </c>
      <c r="C27035" t="s">
        <v>492</v>
      </c>
      <c r="D27035" t="s">
        <v>866</v>
      </c>
      <c r="F27035">
        <v>5.8509200599600999E-9</v>
      </c>
      <c r="G27035">
        <v>17703372</v>
      </c>
      <c r="H27035">
        <v>14236070</v>
      </c>
      <c r="I27035">
        <v>1628485</v>
      </c>
      <c r="J27035">
        <v>3</v>
      </c>
    </row>
    <row r="27036" spans="1:10" x14ac:dyDescent="0.25">
      <c r="A27036" t="s">
        <v>300</v>
      </c>
      <c r="B27036" s="1" t="str">
        <f>HYPERLINK("http://wbd.ru","wbd.ru")</f>
        <v>wbd.ru</v>
      </c>
      <c r="C27036" t="s">
        <v>493</v>
      </c>
      <c r="D27036" t="s">
        <v>867</v>
      </c>
      <c r="F27036">
        <v>5.5627677862837702E-8</v>
      </c>
      <c r="G27036">
        <v>806321</v>
      </c>
      <c r="H27036">
        <v>14162621</v>
      </c>
      <c r="I27036">
        <v>1832112</v>
      </c>
      <c r="J27036">
        <v>3</v>
      </c>
    </row>
    <row r="27037" spans="1:10" x14ac:dyDescent="0.25">
      <c r="A27037" t="s">
        <v>300</v>
      </c>
      <c r="B27037" s="1" t="str">
        <f>HYPERLINK("http://sodastream.se","sodastream.se")</f>
        <v>sodastream.se</v>
      </c>
      <c r="C27037" t="s">
        <v>495</v>
      </c>
      <c r="D27037" t="s">
        <v>869</v>
      </c>
      <c r="F27037">
        <v>2.0560391708102999E-8</v>
      </c>
      <c r="G27037">
        <v>2576011</v>
      </c>
      <c r="H27037">
        <v>13769621</v>
      </c>
      <c r="I27037">
        <v>6777631</v>
      </c>
      <c r="J27037">
        <v>3</v>
      </c>
    </row>
    <row r="27038" spans="1:10" x14ac:dyDescent="0.25">
      <c r="A27038" t="s">
        <v>300</v>
      </c>
      <c r="B27038" s="1" t="str">
        <f>HYPERLINK("http://tropicanajuice.se","tropicanajuice.se")</f>
        <v>tropicanajuice.se</v>
      </c>
      <c r="C27038" t="s">
        <v>495</v>
      </c>
      <c r="D27038" t="s">
        <v>869</v>
      </c>
      <c r="F27038">
        <v>6.7237770579896999E-9</v>
      </c>
      <c r="G27038">
        <v>13218315</v>
      </c>
      <c r="H27038">
        <v>11245177</v>
      </c>
      <c r="I27038">
        <v>30931727</v>
      </c>
      <c r="J27038">
        <v>3</v>
      </c>
    </row>
    <row r="27039" spans="1:10" x14ac:dyDescent="0.25">
      <c r="A27039" t="s">
        <v>300</v>
      </c>
      <c r="B27039" s="1" t="str">
        <f>HYPERLINK("http://sodastream.sg","sodastream.sg")</f>
        <v>sodastream.sg</v>
      </c>
      <c r="C27039" t="s">
        <v>496</v>
      </c>
      <c r="D27039" t="s">
        <v>870</v>
      </c>
      <c r="F27039">
        <v>1.51155263094719E-8</v>
      </c>
      <c r="G27039">
        <v>3802807</v>
      </c>
      <c r="H27039">
        <v>12361834</v>
      </c>
      <c r="I27039">
        <v>19551240</v>
      </c>
      <c r="J27039">
        <v>5</v>
      </c>
    </row>
    <row r="27040" spans="1:10" x14ac:dyDescent="0.25">
      <c r="A27040" t="s">
        <v>300</v>
      </c>
      <c r="B27040" s="1" t="str">
        <f>HYPERLINK("http://sodastream.sk","sodastream.sk")</f>
        <v>sodastream.sk</v>
      </c>
      <c r="C27040" t="s">
        <v>498</v>
      </c>
      <c r="D27040" t="s">
        <v>872</v>
      </c>
      <c r="F27040">
        <v>2.2696823634069099E-8</v>
      </c>
      <c r="G27040">
        <v>2307081</v>
      </c>
      <c r="H27040">
        <v>12504266</v>
      </c>
      <c r="I27040">
        <v>17303359</v>
      </c>
      <c r="J27040">
        <v>5</v>
      </c>
    </row>
    <row r="27041" spans="1:10" x14ac:dyDescent="0.25">
      <c r="A27041" t="s">
        <v>300</v>
      </c>
      <c r="B27041" s="1" t="str">
        <f>HYPERLINK("http://fritolay.com.tr","fritolay.com.tr")</f>
        <v>fritolay.com.tr</v>
      </c>
      <c r="C27041" t="s">
        <v>502</v>
      </c>
      <c r="D27041" t="s">
        <v>876</v>
      </c>
      <c r="F27041">
        <v>6.25625537999437E-9</v>
      </c>
      <c r="G27041">
        <v>15243879</v>
      </c>
      <c r="H27041">
        <v>13763646</v>
      </c>
      <c r="I27041">
        <v>7904931</v>
      </c>
      <c r="J27041">
        <v>3</v>
      </c>
    </row>
    <row r="27042" spans="1:10" x14ac:dyDescent="0.25">
      <c r="A27042" t="s">
        <v>300</v>
      </c>
      <c r="B27042" s="1" t="str">
        <f>HYPERLINK("http://fruko.com.tr","fruko.com.tr")</f>
        <v>fruko.com.tr</v>
      </c>
      <c r="C27042" t="s">
        <v>502</v>
      </c>
      <c r="D27042" t="s">
        <v>876</v>
      </c>
      <c r="F27042">
        <v>4.4737821710015401E-9</v>
      </c>
      <c r="G27042">
        <v>63674713</v>
      </c>
      <c r="H27042">
        <v>11229516</v>
      </c>
      <c r="I27042">
        <v>31030218</v>
      </c>
      <c r="J27042">
        <v>3</v>
      </c>
    </row>
    <row r="27043" spans="1:10" x14ac:dyDescent="0.25">
      <c r="A27043" t="s">
        <v>300</v>
      </c>
      <c r="B27043" s="1" t="str">
        <f>HYPERLINK("http://pepsi.com.tr","pepsi.com.tr")</f>
        <v>pepsi.com.tr</v>
      </c>
      <c r="C27043" t="s">
        <v>502</v>
      </c>
      <c r="D27043" t="s">
        <v>876</v>
      </c>
      <c r="F27043">
        <v>9.8276833562169203E-9</v>
      </c>
      <c r="G27043">
        <v>6939500</v>
      </c>
      <c r="H27043">
        <v>14071884</v>
      </c>
      <c r="I27043">
        <v>3249964</v>
      </c>
      <c r="J27043">
        <v>4</v>
      </c>
    </row>
    <row r="27044" spans="1:10" x14ac:dyDescent="0.25">
      <c r="A27044" t="s">
        <v>300</v>
      </c>
      <c r="B27044" s="1" t="str">
        <f>HYPERLINK("http://wimm-bill-dann.com.ua","wimm-bill-dann.com.ua")</f>
        <v>wimm-bill-dann.com.ua</v>
      </c>
      <c r="C27044" t="s">
        <v>505</v>
      </c>
      <c r="D27044" t="s">
        <v>879</v>
      </c>
      <c r="F27044">
        <v>4.7147757607574599E-9</v>
      </c>
      <c r="G27044">
        <v>40474760</v>
      </c>
      <c r="H27044">
        <v>8820098</v>
      </c>
      <c r="I27044">
        <v>69311024</v>
      </c>
      <c r="J27044">
        <v>3</v>
      </c>
    </row>
    <row r="27045" spans="1:10" x14ac:dyDescent="0.25">
      <c r="A27045" t="s">
        <v>300</v>
      </c>
      <c r="B27045" s="1" t="str">
        <f>HYPERLINK("http://sandora.mk.ua","sandora.mk.ua")</f>
        <v>sandora.mk.ua</v>
      </c>
      <c r="C27045" t="s">
        <v>505</v>
      </c>
      <c r="D27045" t="s">
        <v>879</v>
      </c>
      <c r="J27045">
        <v>3</v>
      </c>
    </row>
    <row r="27046" spans="1:10" x14ac:dyDescent="0.25">
      <c r="A27046" t="s">
        <v>300</v>
      </c>
      <c r="B27046" s="1" t="str">
        <f>HYPERLINK("http://pepsico.ua","pepsico.ua")</f>
        <v>pepsico.ua</v>
      </c>
      <c r="C27046" t="s">
        <v>505</v>
      </c>
      <c r="D27046" t="s">
        <v>879</v>
      </c>
      <c r="F27046">
        <v>4.4494569566379003E-8</v>
      </c>
      <c r="G27046">
        <v>1065234</v>
      </c>
      <c r="H27046">
        <v>14072854</v>
      </c>
      <c r="I27046">
        <v>3038967</v>
      </c>
      <c r="J27046">
        <v>2</v>
      </c>
    </row>
    <row r="27047" spans="1:10" x14ac:dyDescent="0.25">
      <c r="A27047" t="s">
        <v>300</v>
      </c>
      <c r="B27047" s="1" t="str">
        <f>HYPERLINK("http://bokomo.co.uk","bokomo.co.uk")</f>
        <v>bokomo.co.uk</v>
      </c>
      <c r="C27047" t="s">
        <v>506</v>
      </c>
      <c r="D27047" t="s">
        <v>880</v>
      </c>
      <c r="F27047">
        <v>4.95209420798713E-9</v>
      </c>
      <c r="G27047">
        <v>30723742</v>
      </c>
      <c r="H27047">
        <v>12736388</v>
      </c>
      <c r="I27047">
        <v>15160974</v>
      </c>
      <c r="J27047">
        <v>3</v>
      </c>
    </row>
    <row r="27048" spans="1:10" x14ac:dyDescent="0.25">
      <c r="A27048" t="s">
        <v>300</v>
      </c>
      <c r="B27048" s="1" t="str">
        <f>HYPERLINK("http://lizis.co.uk","lizis.co.uk")</f>
        <v>lizis.co.uk</v>
      </c>
      <c r="C27048" t="s">
        <v>506</v>
      </c>
      <c r="D27048" t="s">
        <v>880</v>
      </c>
      <c r="F27048">
        <v>8.1081462439343805E-9</v>
      </c>
      <c r="G27048">
        <v>9727492</v>
      </c>
      <c r="H27048">
        <v>13769299</v>
      </c>
      <c r="I27048">
        <v>6798812</v>
      </c>
      <c r="J27048">
        <v>3</v>
      </c>
    </row>
    <row r="27049" spans="1:10" x14ac:dyDescent="0.25">
      <c r="A27049" t="s">
        <v>300</v>
      </c>
      <c r="B27049" s="1" t="str">
        <f>HYPERLINK("http://pepsico.co.uk","pepsico.co.uk")</f>
        <v>pepsico.co.uk</v>
      </c>
      <c r="C27049" t="s">
        <v>506</v>
      </c>
      <c r="D27049" t="s">
        <v>880</v>
      </c>
      <c r="F27049">
        <v>6.71408335711415E-8</v>
      </c>
      <c r="G27049">
        <v>636977</v>
      </c>
      <c r="H27049">
        <v>14848612</v>
      </c>
      <c r="I27049">
        <v>491968</v>
      </c>
      <c r="J27049">
        <v>3</v>
      </c>
    </row>
    <row r="27050" spans="1:10" x14ac:dyDescent="0.25">
      <c r="A27050" t="s">
        <v>300</v>
      </c>
      <c r="B27050" s="1" t="str">
        <f>HYPERLINK("http://quaker.co.uk","quaker.co.uk")</f>
        <v>quaker.co.uk</v>
      </c>
      <c r="C27050" t="s">
        <v>506</v>
      </c>
      <c r="D27050" t="s">
        <v>880</v>
      </c>
      <c r="F27050">
        <v>1.75808689138847E-8</v>
      </c>
      <c r="G27050">
        <v>3123221</v>
      </c>
      <c r="H27050">
        <v>14788431</v>
      </c>
      <c r="I27050">
        <v>551684</v>
      </c>
      <c r="J27050">
        <v>2</v>
      </c>
    </row>
    <row r="27051" spans="1:10" x14ac:dyDescent="0.25">
      <c r="A27051" t="s">
        <v>300</v>
      </c>
      <c r="B27051" s="1" t="str">
        <f>HYPERLINK("http://sodastream.co.uk","sodastream.co.uk")</f>
        <v>sodastream.co.uk</v>
      </c>
      <c r="C27051" t="s">
        <v>506</v>
      </c>
      <c r="D27051" t="s">
        <v>880</v>
      </c>
      <c r="E27051">
        <v>481354</v>
      </c>
      <c r="F27051">
        <v>5.0505751217076597E-8</v>
      </c>
      <c r="G27051">
        <v>909561</v>
      </c>
      <c r="H27051">
        <v>14518226</v>
      </c>
      <c r="I27051">
        <v>808485</v>
      </c>
      <c r="J27051">
        <v>4</v>
      </c>
    </row>
    <row r="27052" spans="1:10" x14ac:dyDescent="0.25">
      <c r="A27052" t="s">
        <v>300</v>
      </c>
      <c r="B27052" s="1" t="str">
        <f>HYPERLINK("http://walkers.co.uk","walkers.co.uk")</f>
        <v>walkers.co.uk</v>
      </c>
      <c r="C27052" t="s">
        <v>506</v>
      </c>
      <c r="D27052" t="s">
        <v>880</v>
      </c>
      <c r="E27052">
        <v>93959</v>
      </c>
      <c r="F27052">
        <v>1.46011320615051E-7</v>
      </c>
      <c r="G27052">
        <v>266636</v>
      </c>
      <c r="H27052">
        <v>14640600</v>
      </c>
      <c r="I27052">
        <v>636932</v>
      </c>
      <c r="J27052">
        <v>2</v>
      </c>
    </row>
    <row r="27053" spans="1:10" x14ac:dyDescent="0.25">
      <c r="A27053" t="s">
        <v>300</v>
      </c>
      <c r="B27053" s="1" t="str">
        <f>HYPERLINK("http://buygatorade.us","buygatorade.us")</f>
        <v>buygatorade.us</v>
      </c>
      <c r="C27053" t="s">
        <v>522</v>
      </c>
      <c r="D27053" t="s">
        <v>891</v>
      </c>
      <c r="J27053">
        <v>2</v>
      </c>
    </row>
    <row r="27054" spans="1:10" x14ac:dyDescent="0.25">
      <c r="A27054" t="s">
        <v>300</v>
      </c>
      <c r="B27054" s="1" t="str">
        <f>HYPERLINK("http://pepsico.co.ve","pepsico.co.ve")</f>
        <v>pepsico.co.ve</v>
      </c>
      <c r="C27054" t="s">
        <v>508</v>
      </c>
      <c r="D27054" t="s">
        <v>882</v>
      </c>
      <c r="F27054">
        <v>2.4883372727547801E-8</v>
      </c>
      <c r="G27054">
        <v>2077910</v>
      </c>
      <c r="H27054">
        <v>12556585</v>
      </c>
      <c r="I27054">
        <v>16759693</v>
      </c>
      <c r="J27054">
        <v>2</v>
      </c>
    </row>
    <row r="27055" spans="1:10" x14ac:dyDescent="0.25">
      <c r="A27055" t="s">
        <v>300</v>
      </c>
      <c r="B27055" s="1" t="str">
        <f>HYPERLINK("http://pioneerfoods.co.za","pioneerfoods.co.za")</f>
        <v>pioneerfoods.co.za</v>
      </c>
      <c r="C27055" t="s">
        <v>510</v>
      </c>
      <c r="D27055" t="s">
        <v>884</v>
      </c>
      <c r="F27055">
        <v>1.6920910800634799E-8</v>
      </c>
      <c r="G27055">
        <v>3302147</v>
      </c>
      <c r="H27055">
        <v>14706055</v>
      </c>
      <c r="I27055">
        <v>586966</v>
      </c>
      <c r="J27055">
        <v>3</v>
      </c>
    </row>
    <row r="27056" spans="1:10" x14ac:dyDescent="0.25">
      <c r="A27056" t="s">
        <v>300</v>
      </c>
      <c r="B27056" s="1" t="str">
        <f>HYPERLINK("http://sodastream.co.za","sodastream.co.za")</f>
        <v>sodastream.co.za</v>
      </c>
      <c r="C27056" t="s">
        <v>510</v>
      </c>
      <c r="D27056" t="s">
        <v>884</v>
      </c>
      <c r="F27056">
        <v>1.1522983719802901E-8</v>
      </c>
      <c r="G27056">
        <v>5487645</v>
      </c>
      <c r="H27056">
        <v>12136926</v>
      </c>
      <c r="I27056">
        <v>24951873</v>
      </c>
      <c r="J27056">
        <v>5</v>
      </c>
    </row>
    <row r="27057" spans="1:10" x14ac:dyDescent="0.25">
      <c r="A27057" t="s">
        <v>301</v>
      </c>
      <c r="B27057" s="1" t="str">
        <f>HYPERLINK("http://pernod-ricard.com.ar","pernod-ricard.com.ar")</f>
        <v>pernod-ricard.com.ar</v>
      </c>
      <c r="C27057" t="s">
        <v>418</v>
      </c>
      <c r="D27057" t="s">
        <v>800</v>
      </c>
      <c r="F27057">
        <v>2.1705933803479901E-8</v>
      </c>
      <c r="G27057">
        <v>2423069</v>
      </c>
      <c r="H27057">
        <v>14003634</v>
      </c>
      <c r="I27057">
        <v>4008743</v>
      </c>
      <c r="J27057">
        <v>2</v>
      </c>
    </row>
    <row r="27058" spans="1:10" x14ac:dyDescent="0.25">
      <c r="A27058" t="s">
        <v>301</v>
      </c>
      <c r="B27058" s="1" t="str">
        <f>HYPERLINK("http://corby.ca","corby.ca")</f>
        <v>corby.ca</v>
      </c>
      <c r="C27058" t="s">
        <v>428</v>
      </c>
      <c r="D27058" t="s">
        <v>809</v>
      </c>
      <c r="F27058">
        <v>7.8391573837534298E-8</v>
      </c>
      <c r="G27058">
        <v>533367</v>
      </c>
      <c r="H27058">
        <v>14267251</v>
      </c>
      <c r="I27058">
        <v>1405549</v>
      </c>
      <c r="J27058">
        <v>3</v>
      </c>
    </row>
    <row r="27059" spans="1:10" x14ac:dyDescent="0.25">
      <c r="A27059" t="s">
        <v>301</v>
      </c>
      <c r="B27059" s="1" t="str">
        <f>HYPERLINK("http://chivas.com.cn","chivas.com.cn")</f>
        <v>chivas.com.cn</v>
      </c>
      <c r="C27059" t="s">
        <v>431</v>
      </c>
      <c r="D27059" t="s">
        <v>812</v>
      </c>
      <c r="F27059">
        <v>5.3588352587068004E-9</v>
      </c>
      <c r="G27059">
        <v>22685107</v>
      </c>
      <c r="H27059">
        <v>12204824</v>
      </c>
      <c r="I27059">
        <v>23194870</v>
      </c>
      <c r="J27059">
        <v>7</v>
      </c>
    </row>
    <row r="27060" spans="1:10" x14ac:dyDescent="0.25">
      <c r="A27060" t="s">
        <v>301</v>
      </c>
      <c r="B27060" s="1" t="str">
        <f>HYPERLINK("http://martell.cn","martell.cn")</f>
        <v>martell.cn</v>
      </c>
      <c r="C27060" t="s">
        <v>431</v>
      </c>
      <c r="D27060" t="s">
        <v>812</v>
      </c>
      <c r="F27060">
        <v>1.66362299434828E-8</v>
      </c>
      <c r="G27060">
        <v>3380159</v>
      </c>
      <c r="H27060">
        <v>12290942</v>
      </c>
      <c r="I27060">
        <v>21092561</v>
      </c>
      <c r="J27060">
        <v>4</v>
      </c>
    </row>
    <row r="27061" spans="1:10" x14ac:dyDescent="0.25">
      <c r="A27061" t="s">
        <v>301</v>
      </c>
      <c r="B27061" s="1" t="str">
        <f>HYPERLINK("http://absolut.com","absolut.com")</f>
        <v>absolut.com</v>
      </c>
      <c r="C27061" t="s">
        <v>433</v>
      </c>
      <c r="E27061">
        <v>52795</v>
      </c>
      <c r="F27061">
        <v>1.2415036895959599E-6</v>
      </c>
      <c r="G27061">
        <v>31363</v>
      </c>
      <c r="H27061">
        <v>17397314</v>
      </c>
      <c r="I27061">
        <v>19351</v>
      </c>
      <c r="J27061">
        <v>5</v>
      </c>
    </row>
    <row r="27062" spans="1:10" x14ac:dyDescent="0.25">
      <c r="A27062" t="s">
        <v>301</v>
      </c>
      <c r="B27062" s="1" t="str">
        <f>HYPERLINK("http://araratbrandy.com","araratbrandy.com")</f>
        <v>araratbrandy.com</v>
      </c>
      <c r="C27062" t="s">
        <v>433</v>
      </c>
      <c r="E27062">
        <v>742604</v>
      </c>
      <c r="F27062">
        <v>6.3331993425127294E-8</v>
      </c>
      <c r="G27062">
        <v>686750</v>
      </c>
      <c r="H27062">
        <v>14539759</v>
      </c>
      <c r="I27062">
        <v>776056</v>
      </c>
      <c r="J27062">
        <v>3</v>
      </c>
    </row>
    <row r="27063" spans="1:10" x14ac:dyDescent="0.25">
      <c r="A27063" t="s">
        <v>301</v>
      </c>
      <c r="B27063" s="1" t="str">
        <f>HYPERLINK("http://becherovka.com","becherovka.com")</f>
        <v>becherovka.com</v>
      </c>
      <c r="C27063" t="s">
        <v>433</v>
      </c>
      <c r="E27063">
        <v>789359</v>
      </c>
      <c r="F27063">
        <v>1.60862472632036E-6</v>
      </c>
      <c r="G27063">
        <v>24483</v>
      </c>
      <c r="H27063">
        <v>14563733</v>
      </c>
      <c r="I27063">
        <v>742356</v>
      </c>
      <c r="J27063">
        <v>3</v>
      </c>
    </row>
    <row r="27064" spans="1:10" x14ac:dyDescent="0.25">
      <c r="A27064" t="s">
        <v>301</v>
      </c>
      <c r="B27064" s="1" t="str">
        <f>HYPERLINK("http://bodeboca.com","bodeboca.com")</f>
        <v>bodeboca.com</v>
      </c>
      <c r="C27064" t="s">
        <v>433</v>
      </c>
      <c r="E27064">
        <v>246759</v>
      </c>
      <c r="F27064">
        <v>1.6211577376507501E-7</v>
      </c>
      <c r="G27064">
        <v>239431</v>
      </c>
      <c r="H27064">
        <v>15125446</v>
      </c>
      <c r="I27064">
        <v>402971</v>
      </c>
      <c r="J27064">
        <v>3</v>
      </c>
    </row>
    <row r="27065" spans="1:10" x14ac:dyDescent="0.25">
      <c r="A27065" t="s">
        <v>301</v>
      </c>
      <c r="B27065" s="1" t="str">
        <f>HYPERLINK("http://castlebrandsinc.com","castlebrandsinc.com")</f>
        <v>castlebrandsinc.com</v>
      </c>
      <c r="C27065" t="s">
        <v>433</v>
      </c>
      <c r="F27065">
        <v>2.8663396348073599E-8</v>
      </c>
      <c r="G27065">
        <v>1795333</v>
      </c>
      <c r="H27065">
        <v>14166933</v>
      </c>
      <c r="I27065">
        <v>1816953</v>
      </c>
      <c r="J27065">
        <v>3</v>
      </c>
    </row>
    <row r="27066" spans="1:10" x14ac:dyDescent="0.25">
      <c r="A27066" t="s">
        <v>301</v>
      </c>
      <c r="B27066" s="1" t="str">
        <f>HYPERLINK("http://ceders-alt-gin.com","ceders-alt-gin.com")</f>
        <v>ceders-alt-gin.com</v>
      </c>
      <c r="C27066" t="s">
        <v>433</v>
      </c>
      <c r="F27066">
        <v>1.65545584617436E-8</v>
      </c>
      <c r="G27066">
        <v>3400403</v>
      </c>
      <c r="H27066">
        <v>13951889</v>
      </c>
      <c r="I27066">
        <v>4160857</v>
      </c>
      <c r="J27066">
        <v>6</v>
      </c>
    </row>
    <row r="27067" spans="1:10" x14ac:dyDescent="0.25">
      <c r="A27067" t="s">
        <v>301</v>
      </c>
      <c r="B27067" s="1" t="str">
        <f>HYPERLINK("http://chivas.com","chivas.com")</f>
        <v>chivas.com</v>
      </c>
      <c r="C27067" t="s">
        <v>433</v>
      </c>
      <c r="E27067">
        <v>103304</v>
      </c>
      <c r="F27067">
        <v>3.3558962490478499E-7</v>
      </c>
      <c r="G27067">
        <v>111103</v>
      </c>
      <c r="H27067">
        <v>14888302</v>
      </c>
      <c r="I27067">
        <v>468312</v>
      </c>
      <c r="J27067">
        <v>6</v>
      </c>
    </row>
    <row r="27068" spans="1:10" x14ac:dyDescent="0.25">
      <c r="A27068" t="s">
        <v>301</v>
      </c>
      <c r="B27068" s="1" t="str">
        <f>HYPERLINK("http://chivasbrothers.com","chivasbrothers.com")</f>
        <v>chivasbrothers.com</v>
      </c>
      <c r="C27068" t="s">
        <v>433</v>
      </c>
      <c r="F27068">
        <v>3.7975434471361699E-8</v>
      </c>
      <c r="G27068">
        <v>1362756</v>
      </c>
      <c r="H27068">
        <v>14531123</v>
      </c>
      <c r="I27068">
        <v>786093</v>
      </c>
      <c r="J27068">
        <v>3</v>
      </c>
    </row>
    <row r="27069" spans="1:10" x14ac:dyDescent="0.25">
      <c r="A27069" t="s">
        <v>301</v>
      </c>
      <c r="B27069" s="1" t="str">
        <f>HYPERLINK("http://church-road.com","church-road.com")</f>
        <v>church-road.com</v>
      </c>
      <c r="C27069" t="s">
        <v>433</v>
      </c>
      <c r="F27069">
        <v>1.4287751257483101E-8</v>
      </c>
      <c r="G27069">
        <v>4097680</v>
      </c>
      <c r="H27069">
        <v>12993454</v>
      </c>
      <c r="I27069">
        <v>12832204</v>
      </c>
      <c r="J27069">
        <v>4</v>
      </c>
    </row>
    <row r="27070" spans="1:10" x14ac:dyDescent="0.25">
      <c r="A27070" t="s">
        <v>301</v>
      </c>
      <c r="B27070" s="1" t="str">
        <f>HYPERLINK("http://ghmumm.com","ghmumm.com")</f>
        <v>ghmumm.com</v>
      </c>
      <c r="C27070" t="s">
        <v>433</v>
      </c>
      <c r="F27070">
        <v>2.99633075838044E-8</v>
      </c>
      <c r="G27070">
        <v>1717038</v>
      </c>
      <c r="H27070">
        <v>14252487</v>
      </c>
      <c r="I27070">
        <v>1441282</v>
      </c>
      <c r="J27070">
        <v>6</v>
      </c>
    </row>
    <row r="27071" spans="1:10" x14ac:dyDescent="0.25">
      <c r="A27071" t="s">
        <v>301</v>
      </c>
      <c r="B27071" s="1" t="str">
        <f>HYPERLINK("http://horsewithnoname.com","horsewithnoname.com")</f>
        <v>horsewithnoname.com</v>
      </c>
      <c r="C27071" t="s">
        <v>433</v>
      </c>
      <c r="F27071">
        <v>6.5455675609767403E-9</v>
      </c>
      <c r="G27071">
        <v>13890547</v>
      </c>
      <c r="H27071">
        <v>11150456</v>
      </c>
      <c r="I27071">
        <v>31738592</v>
      </c>
      <c r="J27071">
        <v>5</v>
      </c>
    </row>
    <row r="27072" spans="1:10" x14ac:dyDescent="0.25">
      <c r="A27072" t="s">
        <v>301</v>
      </c>
      <c r="B27072" s="1" t="str">
        <f>HYPERLINK("http://martell.com","martell.com")</f>
        <v>martell.com</v>
      </c>
      <c r="C27072" t="s">
        <v>433</v>
      </c>
      <c r="E27072">
        <v>188710</v>
      </c>
      <c r="F27072">
        <v>1.38110345536659E-7</v>
      </c>
      <c r="G27072">
        <v>282102</v>
      </c>
      <c r="H27072">
        <v>15090345</v>
      </c>
      <c r="I27072">
        <v>407994</v>
      </c>
      <c r="J27072">
        <v>3</v>
      </c>
    </row>
    <row r="27073" spans="1:10" x14ac:dyDescent="0.25">
      <c r="A27073" t="s">
        <v>301</v>
      </c>
      <c r="B27073" s="1" t="str">
        <f>HYPERLINK("http://monkey47.com","monkey47.com")</f>
        <v>monkey47.com</v>
      </c>
      <c r="C27073" t="s">
        <v>433</v>
      </c>
      <c r="E27073">
        <v>274816</v>
      </c>
      <c r="F27073">
        <v>1.33011261141365E-7</v>
      </c>
      <c r="G27073">
        <v>293730</v>
      </c>
      <c r="H27073">
        <v>14352960</v>
      </c>
      <c r="I27073">
        <v>1308015</v>
      </c>
      <c r="J27073">
        <v>3</v>
      </c>
    </row>
    <row r="27074" spans="1:10" x14ac:dyDescent="0.25">
      <c r="A27074" t="s">
        <v>301</v>
      </c>
      <c r="B27074" s="1" t="str">
        <f>HYPERLINK("http://mumm.com","mumm.com")</f>
        <v>mumm.com</v>
      </c>
      <c r="C27074" t="s">
        <v>433</v>
      </c>
      <c r="E27074">
        <v>146194</v>
      </c>
      <c r="F27074">
        <v>1.7469743606965399E-7</v>
      </c>
      <c r="G27074">
        <v>221975</v>
      </c>
      <c r="H27074">
        <v>14715513</v>
      </c>
      <c r="I27074">
        <v>580691</v>
      </c>
      <c r="J27074">
        <v>3</v>
      </c>
    </row>
    <row r="27075" spans="1:10" x14ac:dyDescent="0.25">
      <c r="A27075" t="s">
        <v>301</v>
      </c>
      <c r="B27075" s="1" t="str">
        <f>HYPERLINK("http://pernod-ricard.com","pernod-ricard.com")</f>
        <v>pernod-ricard.com</v>
      </c>
      <c r="C27075" t="s">
        <v>433</v>
      </c>
      <c r="E27075">
        <v>54142</v>
      </c>
      <c r="F27075">
        <v>1.00777367527641E-6</v>
      </c>
      <c r="G27075">
        <v>37982</v>
      </c>
      <c r="H27075">
        <v>17521166</v>
      </c>
      <c r="I27075">
        <v>12588</v>
      </c>
      <c r="J27075">
        <v>1</v>
      </c>
    </row>
    <row r="27076" spans="1:10" x14ac:dyDescent="0.25">
      <c r="A27076" t="s">
        <v>301</v>
      </c>
      <c r="B27076" s="1" t="str">
        <f>HYPERLINK("http://pernod-ricard-china.com","pernod-ricard-china.com")</f>
        <v>pernod-ricard-china.com</v>
      </c>
      <c r="C27076" t="s">
        <v>433</v>
      </c>
      <c r="F27076">
        <v>2.2608348845550499E-8</v>
      </c>
      <c r="G27076">
        <v>2316598</v>
      </c>
      <c r="H27076">
        <v>12440883</v>
      </c>
      <c r="I27076">
        <v>18134512</v>
      </c>
      <c r="J27076">
        <v>3</v>
      </c>
    </row>
    <row r="27077" spans="1:10" x14ac:dyDescent="0.25">
      <c r="A27077" t="s">
        <v>301</v>
      </c>
      <c r="B27077" s="1" t="str">
        <f>HYPERLINK("http://pernod-ricard-denmark.com","pernod-ricard-denmark.com")</f>
        <v>pernod-ricard-denmark.com</v>
      </c>
      <c r="C27077" t="s">
        <v>433</v>
      </c>
      <c r="F27077">
        <v>1.27290822840211E-8</v>
      </c>
      <c r="G27077">
        <v>4764908</v>
      </c>
      <c r="H27077">
        <v>12286182</v>
      </c>
      <c r="I27077">
        <v>21188030</v>
      </c>
      <c r="J27077">
        <v>3</v>
      </c>
    </row>
    <row r="27078" spans="1:10" x14ac:dyDescent="0.25">
      <c r="A27078" t="s">
        <v>301</v>
      </c>
      <c r="B27078" s="1" t="str">
        <f>HYPERLINK("http://pernod-ricard-finland.com","pernod-ricard-finland.com")</f>
        <v>pernod-ricard-finland.com</v>
      </c>
      <c r="C27078" t="s">
        <v>433</v>
      </c>
      <c r="F27078">
        <v>8.27361389271836E-9</v>
      </c>
      <c r="G27078">
        <v>9319890</v>
      </c>
      <c r="H27078">
        <v>14239195</v>
      </c>
      <c r="I27078">
        <v>1515597</v>
      </c>
      <c r="J27078">
        <v>3</v>
      </c>
    </row>
    <row r="27079" spans="1:10" x14ac:dyDescent="0.25">
      <c r="A27079" t="s">
        <v>301</v>
      </c>
      <c r="B27079" s="1" t="str">
        <f>HYPERLINK("http://pernod-ricard-korea.com","pernod-ricard-korea.com")</f>
        <v>pernod-ricard-korea.com</v>
      </c>
      <c r="C27079" t="s">
        <v>433</v>
      </c>
      <c r="F27079">
        <v>3.02696707085941E-8</v>
      </c>
      <c r="G27079">
        <v>1700378</v>
      </c>
      <c r="H27079">
        <v>12543244</v>
      </c>
      <c r="I27079">
        <v>16901948</v>
      </c>
      <c r="J27079">
        <v>3</v>
      </c>
    </row>
    <row r="27080" spans="1:10" x14ac:dyDescent="0.25">
      <c r="A27080" t="s">
        <v>301</v>
      </c>
      <c r="B27080" s="1" t="str">
        <f>HYPERLINK("http://pernod-ricard-norway.com","pernod-ricard-norway.com")</f>
        <v>pernod-ricard-norway.com</v>
      </c>
      <c r="C27080" t="s">
        <v>433</v>
      </c>
      <c r="F27080">
        <v>5.0683746560349797E-9</v>
      </c>
      <c r="G27080">
        <v>27824511</v>
      </c>
      <c r="H27080">
        <v>12419246</v>
      </c>
      <c r="I27080">
        <v>18470734</v>
      </c>
      <c r="J27080">
        <v>3</v>
      </c>
    </row>
    <row r="27081" spans="1:10" x14ac:dyDescent="0.25">
      <c r="A27081" t="s">
        <v>301</v>
      </c>
      <c r="B27081" s="1" t="str">
        <f>HYPERLINK("http://perrier-jouet.com","perrier-jouet.com")</f>
        <v>perrier-jouet.com</v>
      </c>
      <c r="C27081" t="s">
        <v>433</v>
      </c>
      <c r="E27081">
        <v>131554</v>
      </c>
      <c r="F27081">
        <v>1.8574794283247899E-7</v>
      </c>
      <c r="G27081">
        <v>207480</v>
      </c>
      <c r="H27081">
        <v>15071399</v>
      </c>
      <c r="I27081">
        <v>410943</v>
      </c>
      <c r="J27081">
        <v>4</v>
      </c>
    </row>
    <row r="27082" spans="1:10" x14ac:dyDescent="0.25">
      <c r="A27082" t="s">
        <v>301</v>
      </c>
      <c r="B27082" s="1" t="str">
        <f>HYPERLINK("http://premium-wine-brands.com","premium-wine-brands.com")</f>
        <v>premium-wine-brands.com</v>
      </c>
      <c r="C27082" t="s">
        <v>433</v>
      </c>
      <c r="F27082">
        <v>4.53518709125468E-9</v>
      </c>
      <c r="G27082">
        <v>54232716</v>
      </c>
      <c r="H27082">
        <v>13763633</v>
      </c>
      <c r="I27082">
        <v>8949936</v>
      </c>
      <c r="J27082">
        <v>3</v>
      </c>
    </row>
    <row r="27083" spans="1:10" x14ac:dyDescent="0.25">
      <c r="A27083" t="s">
        <v>301</v>
      </c>
      <c r="B27083" s="1" t="str">
        <f>HYPERLINK("http://rosolioitalicus.com","rosolioitalicus.com")</f>
        <v>rosolioitalicus.com</v>
      </c>
      <c r="C27083" t="s">
        <v>433</v>
      </c>
      <c r="F27083">
        <v>3.8014619882893299E-8</v>
      </c>
      <c r="G27083">
        <v>1361358</v>
      </c>
      <c r="H27083">
        <v>13950745</v>
      </c>
      <c r="I27083">
        <v>4171212</v>
      </c>
      <c r="J27083">
        <v>3</v>
      </c>
    </row>
    <row r="27084" spans="1:10" x14ac:dyDescent="0.25">
      <c r="A27084" t="s">
        <v>301</v>
      </c>
      <c r="B27084" s="1" t="str">
        <f>HYPERLINK("http://smoothambler.com","smoothambler.com")</f>
        <v>smoothambler.com</v>
      </c>
      <c r="C27084" t="s">
        <v>433</v>
      </c>
      <c r="F27084">
        <v>3.9936610892497199E-8</v>
      </c>
      <c r="G27084">
        <v>1294164</v>
      </c>
      <c r="H27084">
        <v>14277377</v>
      </c>
      <c r="I27084">
        <v>1387859</v>
      </c>
      <c r="J27084">
        <v>3</v>
      </c>
    </row>
    <row r="27085" spans="1:10" x14ac:dyDescent="0.25">
      <c r="A27085" t="s">
        <v>301</v>
      </c>
      <c r="B27085" s="1" t="str">
        <f>HYPERLINK("http://specialitydrinks.com","specialitydrinks.com")</f>
        <v>specialitydrinks.com</v>
      </c>
      <c r="C27085" t="s">
        <v>433</v>
      </c>
      <c r="F27085">
        <v>1.8320811956757901E-8</v>
      </c>
      <c r="G27085">
        <v>2963376</v>
      </c>
      <c r="H27085">
        <v>14131429</v>
      </c>
      <c r="I27085">
        <v>2015710</v>
      </c>
      <c r="J27085">
        <v>3</v>
      </c>
    </row>
    <row r="27086" spans="1:10" x14ac:dyDescent="0.25">
      <c r="A27086" t="s">
        <v>301</v>
      </c>
      <c r="B27086" s="1" t="str">
        <f>HYPERLINK("http://theabsolutcompany.com","theabsolutcompany.com")</f>
        <v>theabsolutcompany.com</v>
      </c>
      <c r="C27086" t="s">
        <v>433</v>
      </c>
      <c r="F27086">
        <v>5.4870179249364E-8</v>
      </c>
      <c r="G27086">
        <v>820128</v>
      </c>
      <c r="H27086">
        <v>14267373</v>
      </c>
      <c r="I27086">
        <v>1405348</v>
      </c>
      <c r="J27086">
        <v>3</v>
      </c>
    </row>
    <row r="27087" spans="1:10" x14ac:dyDescent="0.25">
      <c r="A27087" t="s">
        <v>301</v>
      </c>
      <c r="B27087" s="1" t="str">
        <f>HYPERLINK("http://vsgroup.com","vsgroup.com")</f>
        <v>vsgroup.com</v>
      </c>
      <c r="C27087" t="s">
        <v>433</v>
      </c>
      <c r="F27087">
        <v>1.34726038104298E-8</v>
      </c>
      <c r="G27087">
        <v>4415441</v>
      </c>
      <c r="H27087">
        <v>14487476</v>
      </c>
      <c r="I27087">
        <v>946924</v>
      </c>
      <c r="J27087">
        <v>3</v>
      </c>
    </row>
    <row r="27088" spans="1:10" x14ac:dyDescent="0.25">
      <c r="A27088" t="s">
        <v>301</v>
      </c>
      <c r="B27088" s="1" t="str">
        <f>HYPERLINK("http://bodeboca.de","bodeboca.de")</f>
        <v>bodeboca.de</v>
      </c>
      <c r="C27088" t="s">
        <v>436</v>
      </c>
      <c r="D27088" t="s">
        <v>815</v>
      </c>
      <c r="F27088">
        <v>9.7537698225354293E-9</v>
      </c>
      <c r="G27088">
        <v>7019689</v>
      </c>
      <c r="H27088">
        <v>14000710</v>
      </c>
      <c r="I27088">
        <v>4012481</v>
      </c>
      <c r="J27088">
        <v>4</v>
      </c>
    </row>
    <row r="27089" spans="1:10" x14ac:dyDescent="0.25">
      <c r="A27089" t="s">
        <v>301</v>
      </c>
      <c r="B27089" s="1" t="str">
        <f>HYPERLINK("http://pernodricard.de","pernodricard.de")</f>
        <v>pernodricard.de</v>
      </c>
      <c r="C27089" t="s">
        <v>436</v>
      </c>
      <c r="D27089" t="s">
        <v>815</v>
      </c>
      <c r="F27089">
        <v>1.33213735353936E-8</v>
      </c>
      <c r="G27089">
        <v>4484058</v>
      </c>
      <c r="H27089">
        <v>13936323</v>
      </c>
      <c r="I27089">
        <v>4498554</v>
      </c>
      <c r="J27089">
        <v>3</v>
      </c>
    </row>
    <row r="27090" spans="1:10" x14ac:dyDescent="0.25">
      <c r="A27090" t="s">
        <v>301</v>
      </c>
      <c r="B27090" s="1" t="str">
        <f>HYPERLINK("http://absolut.fi","absolut.fi")</f>
        <v>absolut.fi</v>
      </c>
      <c r="C27090" t="s">
        <v>445</v>
      </c>
      <c r="D27090" t="s">
        <v>823</v>
      </c>
      <c r="J27090">
        <v>2</v>
      </c>
    </row>
    <row r="27091" spans="1:10" x14ac:dyDescent="0.25">
      <c r="A27091" t="s">
        <v>301</v>
      </c>
      <c r="B27091" s="1" t="str">
        <f>HYPERLINK("http://absolutbar.fi","absolutbar.fi")</f>
        <v>absolutbar.fi</v>
      </c>
      <c r="C27091" t="s">
        <v>445</v>
      </c>
      <c r="D27091" t="s">
        <v>823</v>
      </c>
      <c r="J27091">
        <v>2</v>
      </c>
    </row>
    <row r="27092" spans="1:10" x14ac:dyDescent="0.25">
      <c r="A27092" t="s">
        <v>301</v>
      </c>
      <c r="B27092" s="1" t="str">
        <f>HYPERLINK("http://brancottestate.fi","brancottestate.fi")</f>
        <v>brancottestate.fi</v>
      </c>
      <c r="C27092" t="s">
        <v>445</v>
      </c>
      <c r="D27092" t="s">
        <v>823</v>
      </c>
      <c r="J27092">
        <v>2</v>
      </c>
    </row>
    <row r="27093" spans="1:10" x14ac:dyDescent="0.25">
      <c r="A27093" t="s">
        <v>301</v>
      </c>
      <c r="B27093" s="1" t="str">
        <f>HYPERLINK("http://campo-viejo.fi","campo-viejo.fi")</f>
        <v>campo-viejo.fi</v>
      </c>
      <c r="C27093" t="s">
        <v>445</v>
      </c>
      <c r="D27093" t="s">
        <v>823</v>
      </c>
      <c r="J27093">
        <v>5</v>
      </c>
    </row>
    <row r="27094" spans="1:10" x14ac:dyDescent="0.25">
      <c r="A27094" t="s">
        <v>301</v>
      </c>
      <c r="B27094" s="1" t="str">
        <f>HYPERLINK("http://campoviejo.fi","campoviejo.fi")</f>
        <v>campoviejo.fi</v>
      </c>
      <c r="C27094" t="s">
        <v>445</v>
      </c>
      <c r="D27094" t="s">
        <v>823</v>
      </c>
      <c r="J27094">
        <v>5</v>
      </c>
    </row>
    <row r="27095" spans="1:10" x14ac:dyDescent="0.25">
      <c r="A27095" t="s">
        <v>301</v>
      </c>
      <c r="B27095" s="1" t="str">
        <f>HYPERLINK("http://carillo.fi","carillo.fi")</f>
        <v>carillo.fi</v>
      </c>
      <c r="C27095" t="s">
        <v>445</v>
      </c>
      <c r="D27095" t="s">
        <v>823</v>
      </c>
      <c r="J27095">
        <v>4</v>
      </c>
    </row>
    <row r="27096" spans="1:10" x14ac:dyDescent="0.25">
      <c r="A27096" t="s">
        <v>301</v>
      </c>
      <c r="B27096" s="1" t="str">
        <f>HYPERLINK("http://carlshamns.fi","carlshamns.fi")</f>
        <v>carlshamns.fi</v>
      </c>
      <c r="C27096" t="s">
        <v>445</v>
      </c>
      <c r="D27096" t="s">
        <v>823</v>
      </c>
      <c r="J27096">
        <v>2</v>
      </c>
    </row>
    <row r="27097" spans="1:10" x14ac:dyDescent="0.25">
      <c r="A27097" t="s">
        <v>301</v>
      </c>
      <c r="B27097" s="1" t="str">
        <f>HYPERLINK("http://champion.fi","champion.fi")</f>
        <v>champion.fi</v>
      </c>
      <c r="C27097" t="s">
        <v>445</v>
      </c>
      <c r="D27097" t="s">
        <v>823</v>
      </c>
      <c r="J27097">
        <v>4</v>
      </c>
    </row>
    <row r="27098" spans="1:10" x14ac:dyDescent="0.25">
      <c r="A27098" t="s">
        <v>301</v>
      </c>
      <c r="B27098" s="1" t="str">
        <f>HYPERLINK("http://chymos.fi","chymos.fi")</f>
        <v>chymos.fi</v>
      </c>
      <c r="C27098" t="s">
        <v>445</v>
      </c>
      <c r="D27098" t="s">
        <v>823</v>
      </c>
      <c r="J27098">
        <v>4</v>
      </c>
    </row>
    <row r="27099" spans="1:10" x14ac:dyDescent="0.25">
      <c r="A27099" t="s">
        <v>301</v>
      </c>
      <c r="B27099" s="1" t="str">
        <f>HYPERLINK("http://club-malibu.fi","club-malibu.fi")</f>
        <v>club-malibu.fi</v>
      </c>
      <c r="C27099" t="s">
        <v>445</v>
      </c>
      <c r="D27099" t="s">
        <v>823</v>
      </c>
      <c r="J27099">
        <v>2</v>
      </c>
    </row>
    <row r="27100" spans="1:10" x14ac:dyDescent="0.25">
      <c r="A27100" t="s">
        <v>301</v>
      </c>
      <c r="B27100" s="1" t="str">
        <f>HYPERLINK("http://elysee.fi","elysee.fi")</f>
        <v>elysee.fi</v>
      </c>
      <c r="C27100" t="s">
        <v>445</v>
      </c>
      <c r="D27100" t="s">
        <v>823</v>
      </c>
      <c r="J27100">
        <v>4</v>
      </c>
    </row>
    <row r="27101" spans="1:10" x14ac:dyDescent="0.25">
      <c r="A27101" t="s">
        <v>301</v>
      </c>
      <c r="B27101" s="1" t="str">
        <f>HYPERLINK("http://escato.fi","escato.fi")</f>
        <v>escato.fi</v>
      </c>
      <c r="C27101" t="s">
        <v>445</v>
      </c>
      <c r="D27101" t="s">
        <v>823</v>
      </c>
      <c r="J27101">
        <v>2</v>
      </c>
    </row>
    <row r="27102" spans="1:10" x14ac:dyDescent="0.25">
      <c r="A27102" t="s">
        <v>301</v>
      </c>
      <c r="B27102" s="1" t="str">
        <f>HYPERLINK("http://gh-mumm.fi","gh-mumm.fi")</f>
        <v>gh-mumm.fi</v>
      </c>
      <c r="C27102" t="s">
        <v>445</v>
      </c>
      <c r="D27102" t="s">
        <v>823</v>
      </c>
      <c r="J27102">
        <v>5</v>
      </c>
    </row>
    <row r="27103" spans="1:10" x14ac:dyDescent="0.25">
      <c r="A27103" t="s">
        <v>301</v>
      </c>
      <c r="B27103" s="1" t="str">
        <f>HYPERLINK("http://ghmumm.fi","ghmumm.fi")</f>
        <v>ghmumm.fi</v>
      </c>
      <c r="C27103" t="s">
        <v>445</v>
      </c>
      <c r="D27103" t="s">
        <v>823</v>
      </c>
      <c r="J27103">
        <v>5</v>
      </c>
    </row>
    <row r="27104" spans="1:10" x14ac:dyDescent="0.25">
      <c r="A27104" t="s">
        <v>301</v>
      </c>
      <c r="B27104" s="1" t="str">
        <f>HYPERLINK("http://glogi.fi","glogi.fi")</f>
        <v>glogi.fi</v>
      </c>
      <c r="C27104" t="s">
        <v>445</v>
      </c>
      <c r="D27104" t="s">
        <v>823</v>
      </c>
      <c r="J27104">
        <v>4</v>
      </c>
    </row>
    <row r="27105" spans="1:10" x14ac:dyDescent="0.25">
      <c r="A27105" t="s">
        <v>301</v>
      </c>
      <c r="B27105" s="1" t="str">
        <f>HYPERLINK("http://jacobs-creek.fi","jacobs-creek.fi")</f>
        <v>jacobs-creek.fi</v>
      </c>
      <c r="C27105" t="s">
        <v>445</v>
      </c>
      <c r="D27105" t="s">
        <v>823</v>
      </c>
      <c r="J27105">
        <v>4</v>
      </c>
    </row>
    <row r="27106" spans="1:10" x14ac:dyDescent="0.25">
      <c r="A27106" t="s">
        <v>301</v>
      </c>
      <c r="B27106" s="1" t="str">
        <f>HYPERLINK("http://jacobscreek.fi","jacobscreek.fi")</f>
        <v>jacobscreek.fi</v>
      </c>
      <c r="C27106" t="s">
        <v>445</v>
      </c>
      <c r="D27106" t="s">
        <v>823</v>
      </c>
      <c r="J27106">
        <v>4</v>
      </c>
    </row>
    <row r="27107" spans="1:10" x14ac:dyDescent="0.25">
      <c r="A27107" t="s">
        <v>301</v>
      </c>
      <c r="B27107" s="1" t="str">
        <f>HYPERLINK("http://jameson.fi","jameson.fi")</f>
        <v>jameson.fi</v>
      </c>
      <c r="C27107" t="s">
        <v>445</v>
      </c>
      <c r="D27107" t="s">
        <v>823</v>
      </c>
      <c r="J27107">
        <v>4</v>
      </c>
    </row>
    <row r="27108" spans="1:10" x14ac:dyDescent="0.25">
      <c r="A27108" t="s">
        <v>301</v>
      </c>
      <c r="B27108" s="1" t="str">
        <f>HYPERLINK("http://juomavinkki.fi","juomavinkki.fi")</f>
        <v>juomavinkki.fi</v>
      </c>
      <c r="C27108" t="s">
        <v>445</v>
      </c>
      <c r="D27108" t="s">
        <v>823</v>
      </c>
      <c r="F27108">
        <v>2.9522803746462001E-8</v>
      </c>
      <c r="G27108">
        <v>1745936</v>
      </c>
      <c r="H27108">
        <v>14488772</v>
      </c>
      <c r="I27108">
        <v>929541</v>
      </c>
      <c r="J27108">
        <v>4</v>
      </c>
    </row>
    <row r="27109" spans="1:10" x14ac:dyDescent="0.25">
      <c r="A27109" t="s">
        <v>301</v>
      </c>
      <c r="B27109" s="1" t="str">
        <f>HYPERLINK("http://kahlua.fi","kahlua.fi")</f>
        <v>kahlua.fi</v>
      </c>
      <c r="C27109" t="s">
        <v>445</v>
      </c>
      <c r="D27109" t="s">
        <v>823</v>
      </c>
      <c r="J27109">
        <v>2</v>
      </c>
    </row>
    <row r="27110" spans="1:10" x14ac:dyDescent="0.25">
      <c r="A27110" t="s">
        <v>301</v>
      </c>
      <c r="B27110" s="1" t="str">
        <f>HYPERLINK("http://kirsberry.fi","kirsberry.fi")</f>
        <v>kirsberry.fi</v>
      </c>
      <c r="C27110" t="s">
        <v>445</v>
      </c>
      <c r="D27110" t="s">
        <v>823</v>
      </c>
      <c r="J27110">
        <v>2</v>
      </c>
    </row>
    <row r="27111" spans="1:10" x14ac:dyDescent="0.25">
      <c r="A27111" t="s">
        <v>301</v>
      </c>
      <c r="B27111" s="1" t="str">
        <f>HYPERLINK("http://kotibaari.fi","kotibaari.fi")</f>
        <v>kotibaari.fi</v>
      </c>
      <c r="C27111" t="s">
        <v>445</v>
      </c>
      <c r="D27111" t="s">
        <v>823</v>
      </c>
      <c r="J27111">
        <v>4</v>
      </c>
    </row>
    <row r="27112" spans="1:10" x14ac:dyDescent="0.25">
      <c r="A27112" t="s">
        <v>301</v>
      </c>
      <c r="B27112" s="1" t="str">
        <f>HYPERLINK("http://kuohuviini.fi","kuohuviini.fi")</f>
        <v>kuohuviini.fi</v>
      </c>
      <c r="C27112" t="s">
        <v>445</v>
      </c>
      <c r="D27112" t="s">
        <v>823</v>
      </c>
      <c r="F27112">
        <v>4.8692286156915696E-9</v>
      </c>
      <c r="G27112">
        <v>33431502</v>
      </c>
      <c r="H27112">
        <v>13764373</v>
      </c>
      <c r="I27112">
        <v>7282748</v>
      </c>
      <c r="J27112">
        <v>4</v>
      </c>
    </row>
    <row r="27113" spans="1:10" x14ac:dyDescent="0.25">
      <c r="A27113" t="s">
        <v>301</v>
      </c>
      <c r="B27113" s="1" t="str">
        <f>HYPERLINK("http://lapponia-liqueurs.fi","lapponia-liqueurs.fi")</f>
        <v>lapponia-liqueurs.fi</v>
      </c>
      <c r="C27113" t="s">
        <v>445</v>
      </c>
      <c r="D27113" t="s">
        <v>823</v>
      </c>
      <c r="F27113">
        <v>4.5352565105017002E-9</v>
      </c>
      <c r="G27113">
        <v>53906410</v>
      </c>
      <c r="H27113">
        <v>13763635</v>
      </c>
      <c r="I27113">
        <v>8221977</v>
      </c>
      <c r="J27113">
        <v>4</v>
      </c>
    </row>
    <row r="27114" spans="1:10" x14ac:dyDescent="0.25">
      <c r="A27114" t="s">
        <v>301</v>
      </c>
      <c r="B27114" s="1" t="str">
        <f>HYPERLINK("http://long-john.fi","long-john.fi")</f>
        <v>long-john.fi</v>
      </c>
      <c r="C27114" t="s">
        <v>445</v>
      </c>
      <c r="D27114" t="s">
        <v>823</v>
      </c>
      <c r="J27114">
        <v>2</v>
      </c>
    </row>
    <row r="27115" spans="1:10" x14ac:dyDescent="0.25">
      <c r="A27115" t="s">
        <v>301</v>
      </c>
      <c r="B27115" s="1" t="str">
        <f>HYPERLINK("http://longjohn.fi","longjohn.fi")</f>
        <v>longjohn.fi</v>
      </c>
      <c r="C27115" t="s">
        <v>445</v>
      </c>
      <c r="D27115" t="s">
        <v>823</v>
      </c>
      <c r="J27115">
        <v>2</v>
      </c>
    </row>
    <row r="27116" spans="1:10" x14ac:dyDescent="0.25">
      <c r="A27116" t="s">
        <v>301</v>
      </c>
      <c r="B27116" s="1" t="str">
        <f>HYPERLINK("http://malibu.fi","malibu.fi")</f>
        <v>malibu.fi</v>
      </c>
      <c r="C27116" t="s">
        <v>445</v>
      </c>
      <c r="D27116" t="s">
        <v>823</v>
      </c>
      <c r="J27116">
        <v>2</v>
      </c>
    </row>
    <row r="27117" spans="1:10" x14ac:dyDescent="0.25">
      <c r="A27117" t="s">
        <v>301</v>
      </c>
      <c r="B27117" s="1" t="str">
        <f>HYPERLINK("http://malibu-rum.fi","malibu-rum.fi")</f>
        <v>malibu-rum.fi</v>
      </c>
      <c r="C27117" t="s">
        <v>445</v>
      </c>
      <c r="D27117" t="s">
        <v>823</v>
      </c>
      <c r="J27117">
        <v>2</v>
      </c>
    </row>
    <row r="27118" spans="1:10" x14ac:dyDescent="0.25">
      <c r="A27118" t="s">
        <v>301</v>
      </c>
      <c r="B27118" s="1" t="str">
        <f>HYPERLINK("http://maliburum.fi","maliburum.fi")</f>
        <v>maliburum.fi</v>
      </c>
      <c r="C27118" t="s">
        <v>445</v>
      </c>
      <c r="D27118" t="s">
        <v>823</v>
      </c>
      <c r="J27118">
        <v>2</v>
      </c>
    </row>
    <row r="27119" spans="1:10" x14ac:dyDescent="0.25">
      <c r="A27119" t="s">
        <v>301</v>
      </c>
      <c r="B27119" s="1" t="str">
        <f>HYPERLINK("http://martell.fi","martell.fi")</f>
        <v>martell.fi</v>
      </c>
      <c r="C27119" t="s">
        <v>445</v>
      </c>
      <c r="D27119" t="s">
        <v>823</v>
      </c>
      <c r="J27119">
        <v>4</v>
      </c>
    </row>
    <row r="27120" spans="1:10" x14ac:dyDescent="0.25">
      <c r="A27120" t="s">
        <v>301</v>
      </c>
      <c r="B27120" s="1" t="str">
        <f>HYPERLINK("http://mateusrose.fi","mateusrose.fi")</f>
        <v>mateusrose.fi</v>
      </c>
      <c r="C27120" t="s">
        <v>445</v>
      </c>
      <c r="D27120" t="s">
        <v>823</v>
      </c>
      <c r="J27120">
        <v>4</v>
      </c>
    </row>
    <row r="27121" spans="1:10" x14ac:dyDescent="0.25">
      <c r="A27121" t="s">
        <v>301</v>
      </c>
      <c r="B27121" s="1" t="str">
        <f>HYPERLINK("http://minttu.fi","minttu.fi")</f>
        <v>minttu.fi</v>
      </c>
      <c r="C27121" t="s">
        <v>445</v>
      </c>
      <c r="D27121" t="s">
        <v>823</v>
      </c>
      <c r="J27121">
        <v>4</v>
      </c>
    </row>
    <row r="27122" spans="1:10" x14ac:dyDescent="0.25">
      <c r="A27122" t="s">
        <v>301</v>
      </c>
      <c r="B27122" s="1" t="str">
        <f>HYPERLINK("http://mumm.fi","mumm.fi")</f>
        <v>mumm.fi</v>
      </c>
      <c r="C27122" t="s">
        <v>445</v>
      </c>
      <c r="D27122" t="s">
        <v>823</v>
      </c>
      <c r="J27122">
        <v>5</v>
      </c>
    </row>
    <row r="27123" spans="1:10" x14ac:dyDescent="0.25">
      <c r="A27123" t="s">
        <v>301</v>
      </c>
      <c r="B27123" s="1" t="str">
        <f>HYPERLINK("http://nordfors.fi","nordfors.fi")</f>
        <v>nordfors.fi</v>
      </c>
      <c r="C27123" t="s">
        <v>445</v>
      </c>
      <c r="D27123" t="s">
        <v>823</v>
      </c>
      <c r="F27123">
        <v>4.5185266026689903E-9</v>
      </c>
      <c r="G27123">
        <v>56408606</v>
      </c>
      <c r="H27123">
        <v>10529879</v>
      </c>
      <c r="I27123">
        <v>48352747</v>
      </c>
      <c r="J27123">
        <v>4</v>
      </c>
    </row>
    <row r="27124" spans="1:10" x14ac:dyDescent="0.25">
      <c r="A27124" t="s">
        <v>301</v>
      </c>
      <c r="B27124" s="1" t="str">
        <f>HYPERLINK("http://omppu.fi","omppu.fi")</f>
        <v>omppu.fi</v>
      </c>
      <c r="C27124" t="s">
        <v>445</v>
      </c>
      <c r="D27124" t="s">
        <v>823</v>
      </c>
      <c r="J27124">
        <v>4</v>
      </c>
    </row>
    <row r="27125" spans="1:10" x14ac:dyDescent="0.25">
      <c r="A27125" t="s">
        <v>301</v>
      </c>
      <c r="B27125" s="1" t="str">
        <f>HYPERLINK("http://pernod.fi","pernod.fi")</f>
        <v>pernod.fi</v>
      </c>
      <c r="C27125" t="s">
        <v>445</v>
      </c>
      <c r="D27125" t="s">
        <v>823</v>
      </c>
      <c r="J27125">
        <v>2</v>
      </c>
    </row>
    <row r="27126" spans="1:10" x14ac:dyDescent="0.25">
      <c r="A27126" t="s">
        <v>301</v>
      </c>
      <c r="B27126" s="1" t="str">
        <f>HYPERLINK("http://perrier-jouet.fi","perrier-jouet.fi")</f>
        <v>perrier-jouet.fi</v>
      </c>
      <c r="C27126" t="s">
        <v>445</v>
      </c>
      <c r="D27126" t="s">
        <v>823</v>
      </c>
      <c r="J27126">
        <v>5</v>
      </c>
    </row>
    <row r="27127" spans="1:10" x14ac:dyDescent="0.25">
      <c r="A27127" t="s">
        <v>301</v>
      </c>
      <c r="B27127" s="1" t="str">
        <f>HYPERLINK("http://perrierjouet.fi","perrierjouet.fi")</f>
        <v>perrierjouet.fi</v>
      </c>
      <c r="C27127" t="s">
        <v>445</v>
      </c>
      <c r="D27127" t="s">
        <v>823</v>
      </c>
      <c r="J27127">
        <v>5</v>
      </c>
    </row>
    <row r="27128" spans="1:10" x14ac:dyDescent="0.25">
      <c r="A27128" t="s">
        <v>301</v>
      </c>
      <c r="B27128" s="1" t="str">
        <f>HYPERLINK("http://polarspirits.fi","polarspirits.fi")</f>
        <v>polarspirits.fi</v>
      </c>
      <c r="C27128" t="s">
        <v>445</v>
      </c>
      <c r="D27128" t="s">
        <v>823</v>
      </c>
      <c r="J27128">
        <v>4</v>
      </c>
    </row>
    <row r="27129" spans="1:10" x14ac:dyDescent="0.25">
      <c r="A27129" t="s">
        <v>301</v>
      </c>
      <c r="B27129" s="1" t="str">
        <f>HYPERLINK("http://punaviini.fi","punaviini.fi")</f>
        <v>punaviini.fi</v>
      </c>
      <c r="C27129" t="s">
        <v>445</v>
      </c>
      <c r="D27129" t="s">
        <v>823</v>
      </c>
      <c r="J27129">
        <v>4</v>
      </c>
    </row>
    <row r="27130" spans="1:10" x14ac:dyDescent="0.25">
      <c r="A27130" t="s">
        <v>301</v>
      </c>
      <c r="B27130" s="1" t="str">
        <f>HYPERLINK("http://samppanjaa.fi","samppanjaa.fi")</f>
        <v>samppanjaa.fi</v>
      </c>
      <c r="C27130" t="s">
        <v>445</v>
      </c>
      <c r="D27130" t="s">
        <v>823</v>
      </c>
      <c r="F27130">
        <v>4.92727056175974E-9</v>
      </c>
      <c r="G27130">
        <v>31461076</v>
      </c>
      <c r="H27130">
        <v>14071866</v>
      </c>
      <c r="I27130">
        <v>3276085</v>
      </c>
      <c r="J27130">
        <v>4</v>
      </c>
    </row>
    <row r="27131" spans="1:10" x14ac:dyDescent="0.25">
      <c r="A27131" t="s">
        <v>301</v>
      </c>
      <c r="B27131" s="1" t="str">
        <f>HYPERLINK("http://samppanjat.fi","samppanjat.fi")</f>
        <v>samppanjat.fi</v>
      </c>
      <c r="C27131" t="s">
        <v>445</v>
      </c>
      <c r="D27131" t="s">
        <v>823</v>
      </c>
      <c r="J27131">
        <v>4</v>
      </c>
    </row>
    <row r="27132" spans="1:10" x14ac:dyDescent="0.25">
      <c r="A27132" t="s">
        <v>301</v>
      </c>
      <c r="B27132" s="1" t="str">
        <f>HYPERLINK("http://sanpedro.fi","sanpedro.fi")</f>
        <v>sanpedro.fi</v>
      </c>
      <c r="C27132" t="s">
        <v>445</v>
      </c>
      <c r="D27132" t="s">
        <v>823</v>
      </c>
      <c r="J27132">
        <v>4</v>
      </c>
    </row>
    <row r="27133" spans="1:10" x14ac:dyDescent="0.25">
      <c r="A27133" t="s">
        <v>301</v>
      </c>
      <c r="B27133" s="1" t="str">
        <f>HYPERLINK("http://saunalahdenviina.fi","saunalahdenviina.fi")</f>
        <v>saunalahdenviina.fi</v>
      </c>
      <c r="C27133" t="s">
        <v>445</v>
      </c>
      <c r="D27133" t="s">
        <v>823</v>
      </c>
      <c r="J27133">
        <v>4</v>
      </c>
    </row>
    <row r="27134" spans="1:10" x14ac:dyDescent="0.25">
      <c r="A27134" t="s">
        <v>301</v>
      </c>
      <c r="B27134" s="1" t="str">
        <f>HYPERLINK("http://scotchwhisky.fi","scotchwhisky.fi")</f>
        <v>scotchwhisky.fi</v>
      </c>
      <c r="C27134" t="s">
        <v>445</v>
      </c>
      <c r="D27134" t="s">
        <v>823</v>
      </c>
      <c r="J27134">
        <v>4</v>
      </c>
    </row>
    <row r="27135" spans="1:10" x14ac:dyDescent="0.25">
      <c r="A27135" t="s">
        <v>301</v>
      </c>
      <c r="B27135" s="1" t="str">
        <f>HYPERLINK("http://shamppanjaa.fi","shamppanjaa.fi")</f>
        <v>shamppanjaa.fi</v>
      </c>
      <c r="C27135" t="s">
        <v>445</v>
      </c>
      <c r="D27135" t="s">
        <v>823</v>
      </c>
      <c r="J27135">
        <v>4</v>
      </c>
    </row>
    <row r="27136" spans="1:10" x14ac:dyDescent="0.25">
      <c r="A27136" t="s">
        <v>301</v>
      </c>
      <c r="B27136" s="1" t="str">
        <f>HYPERLINK("http://shamppanjat.fi","shamppanjat.fi")</f>
        <v>shamppanjat.fi</v>
      </c>
      <c r="C27136" t="s">
        <v>445</v>
      </c>
      <c r="D27136" t="s">
        <v>823</v>
      </c>
      <c r="J27136">
        <v>4</v>
      </c>
    </row>
    <row r="27137" spans="1:10" x14ac:dyDescent="0.25">
      <c r="A27137" t="s">
        <v>301</v>
      </c>
      <c r="B27137" s="1" t="str">
        <f>HYPERLINK("http://speciality-drinks.fi","speciality-drinks.fi")</f>
        <v>speciality-drinks.fi</v>
      </c>
      <c r="C27137" t="s">
        <v>445</v>
      </c>
      <c r="D27137" t="s">
        <v>823</v>
      </c>
      <c r="J27137">
        <v>4</v>
      </c>
    </row>
    <row r="27138" spans="1:10" x14ac:dyDescent="0.25">
      <c r="A27138" t="s">
        <v>301</v>
      </c>
      <c r="B27138" s="1" t="str">
        <f>HYPERLINK("http://specialitydrinks.fi","specialitydrinks.fi")</f>
        <v>specialitydrinks.fi</v>
      </c>
      <c r="C27138" t="s">
        <v>445</v>
      </c>
      <c r="D27138" t="s">
        <v>823</v>
      </c>
      <c r="J27138">
        <v>4</v>
      </c>
    </row>
    <row r="27139" spans="1:10" x14ac:dyDescent="0.25">
      <c r="A27139" t="s">
        <v>301</v>
      </c>
      <c r="B27139" s="1" t="str">
        <f>HYPERLINK("http://strangely-south.fi","strangely-south.fi")</f>
        <v>strangely-south.fi</v>
      </c>
      <c r="C27139" t="s">
        <v>445</v>
      </c>
      <c r="D27139" t="s">
        <v>823</v>
      </c>
      <c r="J27139">
        <v>4</v>
      </c>
    </row>
    <row r="27140" spans="1:10" x14ac:dyDescent="0.25">
      <c r="A27140" t="s">
        <v>301</v>
      </c>
      <c r="B27140" s="1" t="str">
        <f>HYPERLINK("http://strangelysouth.fi","strangelysouth.fi")</f>
        <v>strangelysouth.fi</v>
      </c>
      <c r="C27140" t="s">
        <v>445</v>
      </c>
      <c r="D27140" t="s">
        <v>823</v>
      </c>
      <c r="J27140">
        <v>4</v>
      </c>
    </row>
    <row r="27141" spans="1:10" x14ac:dyDescent="0.25">
      <c r="A27141" t="s">
        <v>301</v>
      </c>
      <c r="B27141" s="1" t="str">
        <f>HYPERLINK("http://suomiviina.fi","suomiviina.fi")</f>
        <v>suomiviina.fi</v>
      </c>
      <c r="C27141" t="s">
        <v>445</v>
      </c>
      <c r="D27141" t="s">
        <v>823</v>
      </c>
      <c r="J27141">
        <v>4</v>
      </c>
    </row>
    <row r="27142" spans="1:10" x14ac:dyDescent="0.25">
      <c r="A27142" t="s">
        <v>301</v>
      </c>
      <c r="B27142" s="1" t="str">
        <f>HYPERLINK("http://tapioviina.fi","tapioviina.fi")</f>
        <v>tapioviina.fi</v>
      </c>
      <c r="C27142" t="s">
        <v>445</v>
      </c>
      <c r="D27142" t="s">
        <v>823</v>
      </c>
      <c r="J27142">
        <v>4</v>
      </c>
    </row>
    <row r="27143" spans="1:10" x14ac:dyDescent="0.25">
      <c r="A27143" t="s">
        <v>301</v>
      </c>
      <c r="B27143" s="1" t="str">
        <f>HYPERLINK("http://the-whisky-exchange.fi","the-whisky-exchange.fi")</f>
        <v>the-whisky-exchange.fi</v>
      </c>
      <c r="C27143" t="s">
        <v>445</v>
      </c>
      <c r="D27143" t="s">
        <v>823</v>
      </c>
      <c r="J27143">
        <v>4</v>
      </c>
    </row>
    <row r="27144" spans="1:10" x14ac:dyDescent="0.25">
      <c r="A27144" t="s">
        <v>301</v>
      </c>
      <c r="B27144" s="1" t="str">
        <f>HYPERLINK("http://thewhiskyexchange.fi","thewhiskyexchange.fi")</f>
        <v>thewhiskyexchange.fi</v>
      </c>
      <c r="C27144" t="s">
        <v>445</v>
      </c>
      <c r="D27144" t="s">
        <v>823</v>
      </c>
      <c r="J27144">
        <v>4</v>
      </c>
    </row>
    <row r="27145" spans="1:10" x14ac:dyDescent="0.25">
      <c r="A27145" t="s">
        <v>301</v>
      </c>
      <c r="B27145" s="1" t="str">
        <f>HYPERLINK("http://valkoviini.fi","valkoviini.fi")</f>
        <v>valkoviini.fi</v>
      </c>
      <c r="C27145" t="s">
        <v>445</v>
      </c>
      <c r="D27145" t="s">
        <v>823</v>
      </c>
      <c r="J27145">
        <v>4</v>
      </c>
    </row>
    <row r="27146" spans="1:10" x14ac:dyDescent="0.25">
      <c r="A27146" t="s">
        <v>301</v>
      </c>
      <c r="B27146" s="1" t="str">
        <f>HYPERLINK("http://viiniraati.fi","viiniraati.fi")</f>
        <v>viiniraati.fi</v>
      </c>
      <c r="C27146" t="s">
        <v>445</v>
      </c>
      <c r="D27146" t="s">
        <v>823</v>
      </c>
      <c r="J27146">
        <v>4</v>
      </c>
    </row>
    <row r="27147" spans="1:10" x14ac:dyDescent="0.25">
      <c r="A27147" t="s">
        <v>301</v>
      </c>
      <c r="B27147" s="1" t="str">
        <f>HYPERLINK("http://vinder.fi","vinder.fi")</f>
        <v>vinder.fi</v>
      </c>
      <c r="C27147" t="s">
        <v>445</v>
      </c>
      <c r="D27147" t="s">
        <v>823</v>
      </c>
      <c r="J27147">
        <v>4</v>
      </c>
    </row>
    <row r="27148" spans="1:10" x14ac:dyDescent="0.25">
      <c r="A27148" t="s">
        <v>301</v>
      </c>
      <c r="B27148" s="1" t="str">
        <f>HYPERLINK("http://whisky-exchange.fi","whisky-exchange.fi")</f>
        <v>whisky-exchange.fi</v>
      </c>
      <c r="C27148" t="s">
        <v>445</v>
      </c>
      <c r="D27148" t="s">
        <v>823</v>
      </c>
      <c r="J27148">
        <v>4</v>
      </c>
    </row>
    <row r="27149" spans="1:10" x14ac:dyDescent="0.25">
      <c r="A27149" t="s">
        <v>301</v>
      </c>
      <c r="B27149" s="1" t="str">
        <f>HYPERLINK("http://whiskyexchange.fi","whiskyexchange.fi")</f>
        <v>whiskyexchange.fi</v>
      </c>
      <c r="C27149" t="s">
        <v>445</v>
      </c>
      <c r="D27149" t="s">
        <v>823</v>
      </c>
      <c r="J27149">
        <v>4</v>
      </c>
    </row>
    <row r="27150" spans="1:10" x14ac:dyDescent="0.25">
      <c r="A27150" t="s">
        <v>301</v>
      </c>
      <c r="B27150" s="1" t="str">
        <f>HYPERLINK("http://bodeboca.fr","bodeboca.fr")</f>
        <v>bodeboca.fr</v>
      </c>
      <c r="C27150" t="s">
        <v>446</v>
      </c>
      <c r="D27150" t="s">
        <v>824</v>
      </c>
      <c r="F27150">
        <v>1.6580990552884098E-8</v>
      </c>
      <c r="G27150">
        <v>3393946</v>
      </c>
      <c r="H27150">
        <v>12312630</v>
      </c>
      <c r="I27150">
        <v>20562418</v>
      </c>
      <c r="J27150">
        <v>4</v>
      </c>
    </row>
    <row r="27151" spans="1:10" x14ac:dyDescent="0.25">
      <c r="A27151" t="s">
        <v>301</v>
      </c>
      <c r="B27151" s="1" t="str">
        <f>HYPERLINK("http://pernod.fr","pernod.fr")</f>
        <v>pernod.fr</v>
      </c>
      <c r="C27151" t="s">
        <v>446</v>
      </c>
      <c r="D27151" t="s">
        <v>824</v>
      </c>
      <c r="F27151">
        <v>2.3556162310468401E-8</v>
      </c>
      <c r="G27151">
        <v>2208628</v>
      </c>
      <c r="H27151">
        <v>14537883</v>
      </c>
      <c r="I27151">
        <v>778024</v>
      </c>
      <c r="J27151">
        <v>3</v>
      </c>
    </row>
    <row r="27152" spans="1:10" x14ac:dyDescent="0.25">
      <c r="A27152" t="s">
        <v>301</v>
      </c>
      <c r="B27152" s="1" t="str">
        <f>HYPERLINK("http://pernod-ricard.fr","pernod-ricard.fr")</f>
        <v>pernod-ricard.fr</v>
      </c>
      <c r="C27152" t="s">
        <v>446</v>
      </c>
      <c r="D27152" t="s">
        <v>824</v>
      </c>
      <c r="F27152">
        <v>3.5388701319698902E-8</v>
      </c>
      <c r="G27152">
        <v>1470235</v>
      </c>
      <c r="H27152">
        <v>14386510</v>
      </c>
      <c r="I27152">
        <v>1177158</v>
      </c>
      <c r="J27152">
        <v>2</v>
      </c>
    </row>
    <row r="27153" spans="1:10" x14ac:dyDescent="0.25">
      <c r="A27153" t="s">
        <v>301</v>
      </c>
      <c r="B27153" s="1" t="str">
        <f>HYPERLINK("http://preurope.fr","preurope.fr")</f>
        <v>preurope.fr</v>
      </c>
      <c r="C27153" t="s">
        <v>446</v>
      </c>
      <c r="D27153" t="s">
        <v>824</v>
      </c>
      <c r="F27153">
        <v>4.6750188838270804E-9</v>
      </c>
      <c r="G27153">
        <v>42647835</v>
      </c>
      <c r="H27153">
        <v>11325625</v>
      </c>
      <c r="I27153">
        <v>30481922</v>
      </c>
      <c r="J27153">
        <v>3</v>
      </c>
    </row>
    <row r="27154" spans="1:10" x14ac:dyDescent="0.25">
      <c r="A27154" t="s">
        <v>301</v>
      </c>
      <c r="B27154" s="1" t="str">
        <f>HYPERLINK("http://ricard.fr","ricard.fr")</f>
        <v>ricard.fr</v>
      </c>
      <c r="C27154" t="s">
        <v>446</v>
      </c>
      <c r="D27154" t="s">
        <v>824</v>
      </c>
      <c r="F27154">
        <v>1.9317848062065299E-8</v>
      </c>
      <c r="G27154">
        <v>2779251</v>
      </c>
      <c r="H27154">
        <v>14492054</v>
      </c>
      <c r="I27154">
        <v>897970</v>
      </c>
      <c r="J27154">
        <v>3</v>
      </c>
    </row>
    <row r="27155" spans="1:10" x14ac:dyDescent="0.25">
      <c r="A27155" t="s">
        <v>301</v>
      </c>
      <c r="B27155" s="1" t="str">
        <f>HYPERLINK("http://irishdistillers.ie","irishdistillers.ie")</f>
        <v>irishdistillers.ie</v>
      </c>
      <c r="C27155" t="s">
        <v>455</v>
      </c>
      <c r="D27155" t="s">
        <v>832</v>
      </c>
      <c r="F27155">
        <v>6.4737368345757305E-8</v>
      </c>
      <c r="G27155">
        <v>666789</v>
      </c>
      <c r="H27155">
        <v>14574319</v>
      </c>
      <c r="I27155">
        <v>731628</v>
      </c>
      <c r="J27155">
        <v>3</v>
      </c>
    </row>
    <row r="27156" spans="1:10" x14ac:dyDescent="0.25">
      <c r="A27156" t="s">
        <v>301</v>
      </c>
      <c r="B27156" s="1" t="str">
        <f>HYPERLINK("http://p-r.io","p-r.io")</f>
        <v>p-r.io</v>
      </c>
      <c r="C27156" t="s">
        <v>518</v>
      </c>
      <c r="F27156">
        <v>7.4404915892328401E-9</v>
      </c>
      <c r="G27156">
        <v>11148915</v>
      </c>
      <c r="H27156">
        <v>11147103</v>
      </c>
      <c r="I27156">
        <v>31766364</v>
      </c>
      <c r="J27156">
        <v>5</v>
      </c>
    </row>
    <row r="27157" spans="1:10" x14ac:dyDescent="0.25">
      <c r="A27157" t="s">
        <v>301</v>
      </c>
      <c r="B27157" s="1" t="str">
        <f>HYPERLINK("http://ramazzotti.it","ramazzotti.it")</f>
        <v>ramazzotti.it</v>
      </c>
      <c r="C27157" t="s">
        <v>459</v>
      </c>
      <c r="D27157" t="s">
        <v>835</v>
      </c>
      <c r="F27157">
        <v>9.0577693811558596E-9</v>
      </c>
      <c r="G27157">
        <v>7906859</v>
      </c>
      <c r="H27157">
        <v>14386370</v>
      </c>
      <c r="I27157">
        <v>1177479</v>
      </c>
      <c r="J27157">
        <v>3</v>
      </c>
    </row>
    <row r="27158" spans="1:10" x14ac:dyDescent="0.25">
      <c r="A27158" t="s">
        <v>301</v>
      </c>
      <c r="B27158" s="1" t="str">
        <f>HYPERLINK("http://pernodricard.com.mx","pernodricard.com.mx")</f>
        <v>pernodricard.com.mx</v>
      </c>
      <c r="C27158" t="s">
        <v>471</v>
      </c>
      <c r="D27158" t="s">
        <v>847</v>
      </c>
      <c r="J27158">
        <v>4</v>
      </c>
    </row>
    <row r="27159" spans="1:10" x14ac:dyDescent="0.25">
      <c r="A27159" t="s">
        <v>301</v>
      </c>
      <c r="B27159" s="1" t="str">
        <f>HYPERLINK("http://church-road.co.nz","church-road.co.nz")</f>
        <v>church-road.co.nz</v>
      </c>
      <c r="C27159" t="s">
        <v>479</v>
      </c>
      <c r="D27159" t="s">
        <v>854</v>
      </c>
      <c r="F27159">
        <v>9.7352733826624005E-9</v>
      </c>
      <c r="G27159">
        <v>7040439</v>
      </c>
      <c r="H27159">
        <v>13949101</v>
      </c>
      <c r="I27159">
        <v>4186782</v>
      </c>
      <c r="J27159">
        <v>5</v>
      </c>
    </row>
    <row r="27160" spans="1:10" x14ac:dyDescent="0.25">
      <c r="A27160" t="s">
        <v>301</v>
      </c>
      <c r="B27160" s="1" t="str">
        <f>HYPERLINK("http://bodeboca.pt","bodeboca.pt")</f>
        <v>bodeboca.pt</v>
      </c>
      <c r="C27160" t="s">
        <v>488</v>
      </c>
      <c r="D27160" t="s">
        <v>862</v>
      </c>
      <c r="F27160">
        <v>6.89965190119211E-9</v>
      </c>
      <c r="G27160">
        <v>12635849</v>
      </c>
      <c r="H27160">
        <v>13763697</v>
      </c>
      <c r="I27160">
        <v>7774944</v>
      </c>
      <c r="J27160">
        <v>4</v>
      </c>
    </row>
    <row r="27161" spans="1:10" x14ac:dyDescent="0.25">
      <c r="A27161" t="s">
        <v>301</v>
      </c>
      <c r="B27161" s="1" t="str">
        <f>HYPERLINK("http://tomorrowstable.se","tomorrowstable.se")</f>
        <v>tomorrowstable.se</v>
      </c>
      <c r="C27161" t="s">
        <v>495</v>
      </c>
      <c r="D27161" t="s">
        <v>869</v>
      </c>
      <c r="F27161">
        <v>8.7550766869069395E-9</v>
      </c>
      <c r="G27161">
        <v>8384140</v>
      </c>
      <c r="H27161">
        <v>11218836</v>
      </c>
      <c r="I27161">
        <v>31101013</v>
      </c>
      <c r="J27161">
        <v>5</v>
      </c>
    </row>
    <row r="27162" spans="1:10" x14ac:dyDescent="0.25">
      <c r="A27162" t="s">
        <v>301</v>
      </c>
      <c r="B27162" s="1" t="str">
        <f>HYPERLINK("http://pernod-ricard.co.za","pernod-ricard.co.za")</f>
        <v>pernod-ricard.co.za</v>
      </c>
      <c r="C27162" t="s">
        <v>510</v>
      </c>
      <c r="D27162" t="s">
        <v>884</v>
      </c>
      <c r="F27162">
        <v>1.0563490922667301E-8</v>
      </c>
      <c r="G27162">
        <v>6214978</v>
      </c>
      <c r="H27162">
        <v>12196071</v>
      </c>
      <c r="I27162">
        <v>23423170</v>
      </c>
      <c r="J27162">
        <v>3</v>
      </c>
    </row>
    <row r="27163" spans="1:10" x14ac:dyDescent="0.25">
      <c r="A27163" t="s">
        <v>302</v>
      </c>
      <c r="B27163" s="1" t="str">
        <f>HYPERLINK("http://chinaoil.com.cn","chinaoil.com.cn")</f>
        <v>chinaoil.com.cn</v>
      </c>
      <c r="C27163" t="s">
        <v>431</v>
      </c>
      <c r="D27163" t="s">
        <v>812</v>
      </c>
      <c r="F27163">
        <v>5.8217239086831602E-9</v>
      </c>
      <c r="G27163">
        <v>17925274</v>
      </c>
      <c r="H27163">
        <v>10966675</v>
      </c>
      <c r="I27163">
        <v>34210256</v>
      </c>
      <c r="J27163">
        <v>6</v>
      </c>
    </row>
    <row r="27164" spans="1:10" x14ac:dyDescent="0.25">
      <c r="A27164" t="s">
        <v>302</v>
      </c>
      <c r="B27164" s="1" t="str">
        <f>HYPERLINK("http://cnpc.com.cn","cnpc.com.cn")</f>
        <v>cnpc.com.cn</v>
      </c>
      <c r="C27164" t="s">
        <v>431</v>
      </c>
      <c r="D27164" t="s">
        <v>812</v>
      </c>
      <c r="E27164">
        <v>19587</v>
      </c>
      <c r="F27164">
        <v>1.58468534505042E-6</v>
      </c>
      <c r="G27164">
        <v>24810</v>
      </c>
      <c r="H27164">
        <v>15189519</v>
      </c>
      <c r="I27164">
        <v>396478</v>
      </c>
      <c r="J27164">
        <v>3</v>
      </c>
    </row>
    <row r="27165" spans="1:10" x14ac:dyDescent="0.25">
      <c r="A27165" t="s">
        <v>302</v>
      </c>
      <c r="B27165" s="1" t="str">
        <f>HYPERLINK("http://cpf.com.cn","cpf.com.cn")</f>
        <v>cpf.com.cn</v>
      </c>
      <c r="C27165" t="s">
        <v>431</v>
      </c>
      <c r="D27165" t="s">
        <v>812</v>
      </c>
      <c r="F27165">
        <v>4.4478561761290002E-9</v>
      </c>
      <c r="G27165">
        <v>73232887</v>
      </c>
      <c r="H27165">
        <v>8515128</v>
      </c>
      <c r="I27165">
        <v>71880878</v>
      </c>
      <c r="J27165">
        <v>6</v>
      </c>
    </row>
    <row r="27166" spans="1:10" x14ac:dyDescent="0.25">
      <c r="A27166" t="s">
        <v>302</v>
      </c>
      <c r="B27166" s="1" t="str">
        <f>HYPERLINK("http://petrochina.com.cn","petrochina.com.cn")</f>
        <v>petrochina.com.cn</v>
      </c>
      <c r="C27166" t="s">
        <v>431</v>
      </c>
      <c r="D27166" t="s">
        <v>812</v>
      </c>
      <c r="E27166">
        <v>94890</v>
      </c>
      <c r="F27166">
        <v>3.0980619641249902E-7</v>
      </c>
      <c r="G27166">
        <v>120049</v>
      </c>
      <c r="H27166">
        <v>14725737</v>
      </c>
      <c r="I27166">
        <v>575532</v>
      </c>
      <c r="J27166">
        <v>1</v>
      </c>
    </row>
    <row r="27167" spans="1:10" x14ac:dyDescent="0.25">
      <c r="A27167" t="s">
        <v>302</v>
      </c>
      <c r="B27167" s="1" t="str">
        <f>HYPERLINK("http://cpecc.cn","cpecc.cn")</f>
        <v>cpecc.cn</v>
      </c>
      <c r="C27167" t="s">
        <v>431</v>
      </c>
      <c r="D27167" t="s">
        <v>812</v>
      </c>
      <c r="F27167">
        <v>4.5924790233270702E-9</v>
      </c>
      <c r="G27167">
        <v>48206889</v>
      </c>
      <c r="H27167">
        <v>12834390</v>
      </c>
      <c r="I27167">
        <v>14389136</v>
      </c>
      <c r="J27167">
        <v>6</v>
      </c>
    </row>
    <row r="27168" spans="1:10" x14ac:dyDescent="0.25">
      <c r="A27168" t="s">
        <v>302</v>
      </c>
      <c r="B27168" s="1" t="str">
        <f>HYPERLINK("http://petroineos.com","petroineos.com")</f>
        <v>petroineos.com</v>
      </c>
      <c r="C27168" t="s">
        <v>433</v>
      </c>
      <c r="F27168">
        <v>2.1743692281309099E-8</v>
      </c>
      <c r="G27168">
        <v>2418131</v>
      </c>
      <c r="H27168">
        <v>13250215</v>
      </c>
      <c r="I27168">
        <v>11085063</v>
      </c>
      <c r="J27168">
        <v>5</v>
      </c>
    </row>
    <row r="27169" spans="1:10" x14ac:dyDescent="0.25">
      <c r="A27169" t="s">
        <v>302</v>
      </c>
      <c r="B27169" s="1" t="str">
        <f>HYPERLINK("http://pianomandj.com","pianomandj.com")</f>
        <v>pianomandj.com</v>
      </c>
      <c r="C27169" t="s">
        <v>433</v>
      </c>
      <c r="F27169">
        <v>5.5315797198063703E-9</v>
      </c>
      <c r="G27169">
        <v>20567641</v>
      </c>
      <c r="H27169">
        <v>11001193</v>
      </c>
      <c r="I27169">
        <v>33565913</v>
      </c>
      <c r="J27169">
        <v>8</v>
      </c>
    </row>
    <row r="27170" spans="1:10" x14ac:dyDescent="0.25">
      <c r="A27170" t="s">
        <v>302</v>
      </c>
      <c r="B27170" s="1" t="str">
        <f>HYPERLINK("http://cnpc.com.hk","cnpc.com.hk")</f>
        <v>cnpc.com.hk</v>
      </c>
      <c r="C27170" t="s">
        <v>450</v>
      </c>
      <c r="D27170" t="s">
        <v>827</v>
      </c>
      <c r="F27170">
        <v>4.8445087248005401E-9</v>
      </c>
      <c r="G27170">
        <v>34324511</v>
      </c>
      <c r="H27170">
        <v>12221229</v>
      </c>
      <c r="I27170">
        <v>22763109</v>
      </c>
      <c r="J27170">
        <v>4</v>
      </c>
    </row>
    <row r="27171" spans="1:10" x14ac:dyDescent="0.25">
      <c r="A27171" t="s">
        <v>302</v>
      </c>
      <c r="B27171" s="1" t="str">
        <f>HYPERLINK("http://cnpc-amg.kz","cnpc-amg.kz")</f>
        <v>cnpc-amg.kz</v>
      </c>
      <c r="C27171" t="s">
        <v>465</v>
      </c>
      <c r="D27171" t="s">
        <v>841</v>
      </c>
      <c r="F27171">
        <v>1.38242427945515E-8</v>
      </c>
      <c r="G27171">
        <v>4270978</v>
      </c>
      <c r="H27171">
        <v>12939711</v>
      </c>
      <c r="I27171">
        <v>13301952</v>
      </c>
      <c r="J27171">
        <v>4</v>
      </c>
    </row>
    <row r="27172" spans="1:10" x14ac:dyDescent="0.25">
      <c r="A27172" t="s">
        <v>302</v>
      </c>
      <c r="B27172" s="1" t="str">
        <f>HYPERLINK("http://spc.com.sg","spc.com.sg")</f>
        <v>spc.com.sg</v>
      </c>
      <c r="C27172" t="s">
        <v>496</v>
      </c>
      <c r="D27172" t="s">
        <v>870</v>
      </c>
      <c r="F27172">
        <v>6.1687739317699899E-8</v>
      </c>
      <c r="G27172">
        <v>713205</v>
      </c>
      <c r="H27172">
        <v>14711270</v>
      </c>
      <c r="I27172">
        <v>583149</v>
      </c>
      <c r="J27172">
        <v>3</v>
      </c>
    </row>
    <row r="27173" spans="1:10" x14ac:dyDescent="0.25">
      <c r="A27173" t="s">
        <v>303</v>
      </c>
      <c r="B27173" s="1" t="str">
        <f>HYPERLINK("http://canalcliente.com.br","canalcliente.com.br")</f>
        <v>canalcliente.com.br</v>
      </c>
      <c r="C27173" t="s">
        <v>425</v>
      </c>
      <c r="D27173" t="s">
        <v>806</v>
      </c>
      <c r="J27173">
        <v>2</v>
      </c>
    </row>
    <row r="27174" spans="1:10" x14ac:dyDescent="0.25">
      <c r="A27174" t="s">
        <v>303</v>
      </c>
      <c r="B27174" s="1" t="str">
        <f>HYPERLINK("http://ibiritermo.com.br","ibiritermo.com.br")</f>
        <v>ibiritermo.com.br</v>
      </c>
      <c r="C27174" t="s">
        <v>425</v>
      </c>
      <c r="D27174" t="s">
        <v>806</v>
      </c>
      <c r="J27174">
        <v>3</v>
      </c>
    </row>
    <row r="27175" spans="1:10" x14ac:dyDescent="0.25">
      <c r="A27175" t="s">
        <v>303</v>
      </c>
      <c r="B27175" s="1" t="str">
        <f>HYPERLINK("http://petrobras.com.br","petrobras.com.br")</f>
        <v>petrobras.com.br</v>
      </c>
      <c r="C27175" t="s">
        <v>425</v>
      </c>
      <c r="D27175" t="s">
        <v>806</v>
      </c>
      <c r="E27175">
        <v>31609</v>
      </c>
      <c r="F27175">
        <v>8.4455381791701005E-7</v>
      </c>
      <c r="G27175">
        <v>47079</v>
      </c>
      <c r="H27175">
        <v>17248278</v>
      </c>
      <c r="I27175">
        <v>34211</v>
      </c>
      <c r="J27175">
        <v>1</v>
      </c>
    </row>
    <row r="27176" spans="1:10" x14ac:dyDescent="0.25">
      <c r="A27176" t="s">
        <v>303</v>
      </c>
      <c r="B27176" s="1" t="str">
        <f>HYPERLINK("http://petrobrasbiocombustiveis.com.br","petrobrasbiocombustiveis.com.br")</f>
        <v>petrobrasbiocombustiveis.com.br</v>
      </c>
      <c r="C27176" t="s">
        <v>425</v>
      </c>
      <c r="D27176" t="s">
        <v>806</v>
      </c>
      <c r="J27176">
        <v>3</v>
      </c>
    </row>
    <row r="27177" spans="1:10" x14ac:dyDescent="0.25">
      <c r="A27177" t="s">
        <v>303</v>
      </c>
      <c r="B27177" s="1" t="str">
        <f>HYPERLINK("http://petronect.com.br","petronect.com.br")</f>
        <v>petronect.com.br</v>
      </c>
      <c r="C27177" t="s">
        <v>425</v>
      </c>
      <c r="D27177" t="s">
        <v>806</v>
      </c>
      <c r="F27177">
        <v>9.7233820124564597E-9</v>
      </c>
      <c r="G27177">
        <v>7054203</v>
      </c>
      <c r="H27177">
        <v>13384123</v>
      </c>
      <c r="I27177">
        <v>10414368</v>
      </c>
      <c r="J27177">
        <v>3</v>
      </c>
    </row>
    <row r="27178" spans="1:10" x14ac:dyDescent="0.25">
      <c r="A27178" t="s">
        <v>303</v>
      </c>
      <c r="B27178" s="1" t="str">
        <f>HYPERLINK("http://tbg.com.br","tbg.com.br")</f>
        <v>tbg.com.br</v>
      </c>
      <c r="C27178" t="s">
        <v>425</v>
      </c>
      <c r="D27178" t="s">
        <v>806</v>
      </c>
      <c r="F27178">
        <v>1.5324773886394701E-8</v>
      </c>
      <c r="G27178">
        <v>3738260</v>
      </c>
      <c r="H27178">
        <v>12829257</v>
      </c>
      <c r="I27178">
        <v>14434121</v>
      </c>
      <c r="J27178">
        <v>3</v>
      </c>
    </row>
    <row r="27179" spans="1:10" x14ac:dyDescent="0.25">
      <c r="A27179" t="s">
        <v>303</v>
      </c>
      <c r="B27179" s="1" t="str">
        <f>HYPERLINK("http://transpetro.com.br","transpetro.com.br")</f>
        <v>transpetro.com.br</v>
      </c>
      <c r="C27179" t="s">
        <v>425</v>
      </c>
      <c r="D27179" t="s">
        <v>806</v>
      </c>
      <c r="F27179">
        <v>6.5203499626721797E-8</v>
      </c>
      <c r="G27179">
        <v>660249</v>
      </c>
      <c r="H27179">
        <v>14496325</v>
      </c>
      <c r="I27179">
        <v>871388</v>
      </c>
      <c r="J27179">
        <v>2</v>
      </c>
    </row>
    <row r="27180" spans="1:10" x14ac:dyDescent="0.25">
      <c r="A27180" t="s">
        <v>303</v>
      </c>
      <c r="B27180" s="1" t="str">
        <f>HYPERLINK("http://petrobras.com","petrobras.com")</f>
        <v>petrobras.com</v>
      </c>
      <c r="C27180" t="s">
        <v>433</v>
      </c>
      <c r="E27180">
        <v>539367</v>
      </c>
      <c r="F27180">
        <v>6.8952538283676205E-8</v>
      </c>
      <c r="G27180">
        <v>616513</v>
      </c>
      <c r="H27180">
        <v>14739336</v>
      </c>
      <c r="I27180">
        <v>568066</v>
      </c>
      <c r="J27180">
        <v>6</v>
      </c>
    </row>
    <row r="27181" spans="1:10" x14ac:dyDescent="0.25">
      <c r="A27181" t="s">
        <v>303</v>
      </c>
      <c r="B27181" s="1" t="str">
        <f>HYPERLINK("http://petrobras.fi","petrobras.fi")</f>
        <v>petrobras.fi</v>
      </c>
      <c r="C27181" t="s">
        <v>445</v>
      </c>
      <c r="D27181" t="s">
        <v>823</v>
      </c>
      <c r="J27181">
        <v>2</v>
      </c>
    </row>
    <row r="27182" spans="1:10" x14ac:dyDescent="0.25">
      <c r="A27182" t="s">
        <v>304</v>
      </c>
      <c r="B27182" s="1" t="str">
        <f>HYPERLINK("http://pfizer.com.ar","pfizer.com.ar")</f>
        <v>pfizer.com.ar</v>
      </c>
      <c r="C27182" t="s">
        <v>418</v>
      </c>
      <c r="D27182" t="s">
        <v>800</v>
      </c>
      <c r="F27182">
        <v>3.9857271414156397E-8</v>
      </c>
      <c r="G27182">
        <v>1296395</v>
      </c>
      <c r="H27182">
        <v>14533022</v>
      </c>
      <c r="I27182">
        <v>783669</v>
      </c>
      <c r="J27182">
        <v>2</v>
      </c>
    </row>
    <row r="27183" spans="1:10" x14ac:dyDescent="0.25">
      <c r="A27183" t="s">
        <v>304</v>
      </c>
      <c r="B27183" s="1" t="str">
        <f>HYPERLINK("http://pfizer.at","pfizer.at")</f>
        <v>pfizer.at</v>
      </c>
      <c r="C27183" t="s">
        <v>419</v>
      </c>
      <c r="D27183" t="s">
        <v>801</v>
      </c>
      <c r="F27183">
        <v>8.4592406874436102E-8</v>
      </c>
      <c r="G27183">
        <v>488225</v>
      </c>
      <c r="H27183">
        <v>14506476</v>
      </c>
      <c r="I27183">
        <v>833316</v>
      </c>
      <c r="J27183">
        <v>2</v>
      </c>
    </row>
    <row r="27184" spans="1:10" x14ac:dyDescent="0.25">
      <c r="A27184" t="s">
        <v>304</v>
      </c>
      <c r="B27184" s="1" t="str">
        <f>HYPERLINK("http://pfizermedicalinformation.at","pfizermedicalinformation.at")</f>
        <v>pfizermedicalinformation.at</v>
      </c>
      <c r="C27184" t="s">
        <v>419</v>
      </c>
      <c r="D27184" t="s">
        <v>801</v>
      </c>
      <c r="F27184">
        <v>2.5498201308791799E-8</v>
      </c>
      <c r="G27184">
        <v>2022855</v>
      </c>
      <c r="H27184">
        <v>12235332</v>
      </c>
      <c r="I27184">
        <v>22366143</v>
      </c>
      <c r="J27184">
        <v>3</v>
      </c>
    </row>
    <row r="27185" spans="1:10" x14ac:dyDescent="0.25">
      <c r="A27185" t="s">
        <v>304</v>
      </c>
      <c r="B27185" s="1" t="str">
        <f>HYPERLINK("http://pfizer.com.au","pfizer.com.au")</f>
        <v>pfizer.com.au</v>
      </c>
      <c r="C27185" t="s">
        <v>420</v>
      </c>
      <c r="D27185" t="s">
        <v>802</v>
      </c>
      <c r="E27185">
        <v>856384</v>
      </c>
      <c r="F27185">
        <v>6.3303930299031396E-8</v>
      </c>
      <c r="G27185">
        <v>687160</v>
      </c>
      <c r="H27185">
        <v>14191152</v>
      </c>
      <c r="I27185">
        <v>1750547</v>
      </c>
      <c r="J27185">
        <v>2</v>
      </c>
    </row>
    <row r="27186" spans="1:10" x14ac:dyDescent="0.25">
      <c r="A27186" t="s">
        <v>304</v>
      </c>
      <c r="B27186" s="1" t="str">
        <f>HYPERLINK("http://pfizermedicalinformation.com.au","pfizermedicalinformation.com.au")</f>
        <v>pfizermedicalinformation.com.au</v>
      </c>
      <c r="C27186" t="s">
        <v>420</v>
      </c>
      <c r="D27186" t="s">
        <v>802</v>
      </c>
      <c r="F27186">
        <v>2.0111034821074899E-8</v>
      </c>
      <c r="G27186">
        <v>2642275</v>
      </c>
      <c r="H27186">
        <v>12394434</v>
      </c>
      <c r="I27186">
        <v>18946664</v>
      </c>
      <c r="J27186">
        <v>3</v>
      </c>
    </row>
    <row r="27187" spans="1:10" x14ac:dyDescent="0.25">
      <c r="A27187" t="s">
        <v>304</v>
      </c>
      <c r="B27187" s="1" t="str">
        <f>HYPERLINK("http://resapphealth.com.au","resapphealth.com.au")</f>
        <v>resapphealth.com.au</v>
      </c>
      <c r="C27187" t="s">
        <v>420</v>
      </c>
      <c r="D27187" t="s">
        <v>802</v>
      </c>
      <c r="F27187">
        <v>6.1379119246058603E-8</v>
      </c>
      <c r="G27187">
        <v>717176</v>
      </c>
      <c r="H27187">
        <v>13998204</v>
      </c>
      <c r="I27187">
        <v>4017087</v>
      </c>
      <c r="J27187">
        <v>3</v>
      </c>
    </row>
    <row r="27188" spans="1:10" x14ac:dyDescent="0.25">
      <c r="A27188" t="s">
        <v>304</v>
      </c>
      <c r="B27188" s="1" t="str">
        <f>HYPERLINK("http://hospira.be","hospira.be")</f>
        <v>hospira.be</v>
      </c>
      <c r="C27188" t="s">
        <v>421</v>
      </c>
      <c r="D27188" t="s">
        <v>803</v>
      </c>
      <c r="J27188">
        <v>3</v>
      </c>
    </row>
    <row r="27189" spans="1:10" x14ac:dyDescent="0.25">
      <c r="A27189" t="s">
        <v>304</v>
      </c>
      <c r="B27189" s="1" t="str">
        <f>HYPERLINK("http://pfizer.be","pfizer.be")</f>
        <v>pfizer.be</v>
      </c>
      <c r="C27189" t="s">
        <v>421</v>
      </c>
      <c r="D27189" t="s">
        <v>803</v>
      </c>
      <c r="F27189">
        <v>4.8126489276459302E-8</v>
      </c>
      <c r="G27189">
        <v>965626</v>
      </c>
      <c r="H27189">
        <v>14251809</v>
      </c>
      <c r="I27189">
        <v>1443054</v>
      </c>
      <c r="J27189">
        <v>2</v>
      </c>
    </row>
    <row r="27190" spans="1:10" x14ac:dyDescent="0.25">
      <c r="A27190" t="s">
        <v>304</v>
      </c>
      <c r="B27190" s="1" t="str">
        <f>HYPERLINK("http://pfizermedicalinformation.be","pfizermedicalinformation.be")</f>
        <v>pfizermedicalinformation.be</v>
      </c>
      <c r="C27190" t="s">
        <v>421</v>
      </c>
      <c r="D27190" t="s">
        <v>803</v>
      </c>
      <c r="F27190">
        <v>2.5090878433317899E-8</v>
      </c>
      <c r="G27190">
        <v>2058830</v>
      </c>
      <c r="H27190">
        <v>11258982</v>
      </c>
      <c r="I27190">
        <v>30836877</v>
      </c>
      <c r="J27190">
        <v>3</v>
      </c>
    </row>
    <row r="27191" spans="1:10" x14ac:dyDescent="0.25">
      <c r="A27191" t="s">
        <v>304</v>
      </c>
      <c r="B27191" s="1" t="str">
        <f>HYPERLINK("http://pfizer.bg","pfizer.bg")</f>
        <v>pfizer.bg</v>
      </c>
      <c r="C27191" t="s">
        <v>422</v>
      </c>
      <c r="D27191" t="s">
        <v>804</v>
      </c>
      <c r="F27191">
        <v>1.6071585235831701E-8</v>
      </c>
      <c r="G27191">
        <v>3527843</v>
      </c>
      <c r="H27191">
        <v>13780543</v>
      </c>
      <c r="I27191">
        <v>6470334</v>
      </c>
      <c r="J27191">
        <v>2</v>
      </c>
    </row>
    <row r="27192" spans="1:10" x14ac:dyDescent="0.25">
      <c r="A27192" t="s">
        <v>304</v>
      </c>
      <c r="B27192" s="1" t="str">
        <f>HYPERLINK("http://pfizer.com.br","pfizer.com.br")</f>
        <v>pfizer.com.br</v>
      </c>
      <c r="C27192" t="s">
        <v>425</v>
      </c>
      <c r="D27192" t="s">
        <v>806</v>
      </c>
      <c r="E27192">
        <v>361176</v>
      </c>
      <c r="F27192">
        <v>6.6271900103811796E-8</v>
      </c>
      <c r="G27192">
        <v>646984</v>
      </c>
      <c r="H27192">
        <v>14851395</v>
      </c>
      <c r="I27192">
        <v>490095</v>
      </c>
      <c r="J27192">
        <v>2</v>
      </c>
    </row>
    <row r="27193" spans="1:10" x14ac:dyDescent="0.25">
      <c r="A27193" t="s">
        <v>304</v>
      </c>
      <c r="B27193" s="1" t="str">
        <f>HYPERLINK("http://pfizermedicalinformation.com.br","pfizermedicalinformation.com.br")</f>
        <v>pfizermedicalinformation.com.br</v>
      </c>
      <c r="C27193" t="s">
        <v>425</v>
      </c>
      <c r="D27193" t="s">
        <v>806</v>
      </c>
      <c r="F27193">
        <v>1.8539836806993399E-8</v>
      </c>
      <c r="G27193">
        <v>2918298</v>
      </c>
      <c r="H27193">
        <v>12097136</v>
      </c>
      <c r="I27193">
        <v>26050115</v>
      </c>
      <c r="J27193">
        <v>3</v>
      </c>
    </row>
    <row r="27194" spans="1:10" x14ac:dyDescent="0.25">
      <c r="A27194" t="s">
        <v>304</v>
      </c>
      <c r="B27194" s="1" t="str">
        <f>HYPERLINK("http://emotionspace.by","emotionspace.by")</f>
        <v>emotionspace.by</v>
      </c>
      <c r="C27194" t="s">
        <v>427</v>
      </c>
      <c r="D27194" t="s">
        <v>808</v>
      </c>
      <c r="F27194">
        <v>5.0245214698287799E-9</v>
      </c>
      <c r="G27194">
        <v>28796270</v>
      </c>
      <c r="H27194">
        <v>11031227</v>
      </c>
      <c r="I27194">
        <v>33086259</v>
      </c>
      <c r="J27194">
        <v>3</v>
      </c>
    </row>
    <row r="27195" spans="1:10" x14ac:dyDescent="0.25">
      <c r="A27195" t="s">
        <v>304</v>
      </c>
      <c r="B27195" s="1" t="str">
        <f>HYPERLINK("http://pfizer.by","pfizer.by")</f>
        <v>pfizer.by</v>
      </c>
      <c r="C27195" t="s">
        <v>427</v>
      </c>
      <c r="D27195" t="s">
        <v>808</v>
      </c>
      <c r="F27195">
        <v>1.2822567818405499E-8</v>
      </c>
      <c r="G27195">
        <v>4717567</v>
      </c>
      <c r="H27195">
        <v>12394181</v>
      </c>
      <c r="I27195">
        <v>18949860</v>
      </c>
      <c r="J27195">
        <v>2</v>
      </c>
    </row>
    <row r="27196" spans="1:10" x14ac:dyDescent="0.25">
      <c r="A27196" t="s">
        <v>304</v>
      </c>
      <c r="B27196" s="1" t="str">
        <f>HYPERLINK("http://pfizer.ca","pfizer.ca")</f>
        <v>pfizer.ca</v>
      </c>
      <c r="C27196" t="s">
        <v>428</v>
      </c>
      <c r="D27196" t="s">
        <v>809</v>
      </c>
      <c r="E27196">
        <v>331929</v>
      </c>
      <c r="F27196">
        <v>2.7254610937081801E-7</v>
      </c>
      <c r="G27196">
        <v>136518</v>
      </c>
      <c r="H27196">
        <v>14964561</v>
      </c>
      <c r="I27196">
        <v>435826</v>
      </c>
      <c r="J27196">
        <v>2</v>
      </c>
    </row>
    <row r="27197" spans="1:10" x14ac:dyDescent="0.25">
      <c r="A27197" t="s">
        <v>304</v>
      </c>
      <c r="B27197" s="1" t="str">
        <f>HYPERLINK("http://pfizermedicalinformation.ca","pfizermedicalinformation.ca")</f>
        <v>pfizermedicalinformation.ca</v>
      </c>
      <c r="C27197" t="s">
        <v>428</v>
      </c>
      <c r="D27197" t="s">
        <v>809</v>
      </c>
      <c r="F27197">
        <v>3.4310653133014203E-8</v>
      </c>
      <c r="G27197">
        <v>1511024</v>
      </c>
      <c r="H27197">
        <v>14085337</v>
      </c>
      <c r="I27197">
        <v>2778732</v>
      </c>
      <c r="J27197">
        <v>3</v>
      </c>
    </row>
    <row r="27198" spans="1:10" x14ac:dyDescent="0.25">
      <c r="A27198" t="s">
        <v>304</v>
      </c>
      <c r="B27198" s="1" t="str">
        <f>HYPERLINK("http://pfizer.ch","pfizer.ch")</f>
        <v>pfizer.ch</v>
      </c>
      <c r="C27198" t="s">
        <v>429</v>
      </c>
      <c r="D27198" t="s">
        <v>810</v>
      </c>
      <c r="F27198">
        <v>7.66693621576863E-8</v>
      </c>
      <c r="G27198">
        <v>546608</v>
      </c>
      <c r="H27198">
        <v>14593139</v>
      </c>
      <c r="I27198">
        <v>692770</v>
      </c>
      <c r="J27198">
        <v>2</v>
      </c>
    </row>
    <row r="27199" spans="1:10" x14ac:dyDescent="0.25">
      <c r="A27199" t="s">
        <v>304</v>
      </c>
      <c r="B27199" s="1" t="str">
        <f>HYPERLINK("http://pfizermedicalinformation.ch","pfizermedicalinformation.ch")</f>
        <v>pfizermedicalinformation.ch</v>
      </c>
      <c r="C27199" t="s">
        <v>429</v>
      </c>
      <c r="D27199" t="s">
        <v>810</v>
      </c>
      <c r="F27199">
        <v>2.90172578411078E-8</v>
      </c>
      <c r="G27199">
        <v>1774364</v>
      </c>
      <c r="H27199">
        <v>11272521</v>
      </c>
      <c r="I27199">
        <v>30748583</v>
      </c>
      <c r="J27199">
        <v>3</v>
      </c>
    </row>
    <row r="27200" spans="1:10" x14ac:dyDescent="0.25">
      <c r="A27200" t="s">
        <v>304</v>
      </c>
      <c r="B27200" s="1" t="str">
        <f>HYPERLINK("http://pfizer.cl","pfizer.cl")</f>
        <v>pfizer.cl</v>
      </c>
      <c r="C27200" t="s">
        <v>430</v>
      </c>
      <c r="D27200" t="s">
        <v>811</v>
      </c>
      <c r="F27200">
        <v>1.57987242953745E-8</v>
      </c>
      <c r="G27200">
        <v>3599852</v>
      </c>
      <c r="H27200">
        <v>12964060</v>
      </c>
      <c r="I27200">
        <v>13136087</v>
      </c>
      <c r="J27200">
        <v>2</v>
      </c>
    </row>
    <row r="27201" spans="1:10" x14ac:dyDescent="0.25">
      <c r="A27201" t="s">
        <v>304</v>
      </c>
      <c r="B27201" s="1" t="str">
        <f>HYPERLINK("http://pfizermedicalinformation.cl","pfizermedicalinformation.cl")</f>
        <v>pfizermedicalinformation.cl</v>
      </c>
      <c r="C27201" t="s">
        <v>430</v>
      </c>
      <c r="D27201" t="s">
        <v>811</v>
      </c>
      <c r="F27201">
        <v>1.9076621410247399E-8</v>
      </c>
      <c r="G27201">
        <v>2821896</v>
      </c>
      <c r="H27201">
        <v>10768879</v>
      </c>
      <c r="I27201">
        <v>39291584</v>
      </c>
      <c r="J27201">
        <v>3</v>
      </c>
    </row>
    <row r="27202" spans="1:10" x14ac:dyDescent="0.25">
      <c r="A27202" t="s">
        <v>304</v>
      </c>
      <c r="B27202" s="1" t="str">
        <f>HYPERLINK("http://pfizer.com.cn","pfizer.com.cn")</f>
        <v>pfizer.com.cn</v>
      </c>
      <c r="C27202" t="s">
        <v>431</v>
      </c>
      <c r="D27202" t="s">
        <v>812</v>
      </c>
      <c r="E27202">
        <v>662437</v>
      </c>
      <c r="F27202">
        <v>1.3108041207310201E-7</v>
      </c>
      <c r="G27202">
        <v>298389</v>
      </c>
      <c r="H27202">
        <v>14453448</v>
      </c>
      <c r="I27202">
        <v>1051118</v>
      </c>
      <c r="J27202">
        <v>2</v>
      </c>
    </row>
    <row r="27203" spans="1:10" x14ac:dyDescent="0.25">
      <c r="A27203" t="s">
        <v>304</v>
      </c>
      <c r="B27203" s="1" t="str">
        <f>HYPERLINK("http://pfizer.com.co","pfizer.com.co")</f>
        <v>pfizer.com.co</v>
      </c>
      <c r="C27203" t="s">
        <v>432</v>
      </c>
      <c r="F27203">
        <v>2.7526184554252499E-8</v>
      </c>
      <c r="G27203">
        <v>1867570</v>
      </c>
      <c r="H27203">
        <v>13363194</v>
      </c>
      <c r="I27203">
        <v>10498416</v>
      </c>
      <c r="J27203">
        <v>2</v>
      </c>
    </row>
    <row r="27204" spans="1:10" x14ac:dyDescent="0.25">
      <c r="A27204" t="s">
        <v>304</v>
      </c>
      <c r="B27204" s="1" t="str">
        <f>HYPERLINK("http://pfizermedicalinformation.com.co","pfizermedicalinformation.com.co")</f>
        <v>pfizermedicalinformation.com.co</v>
      </c>
      <c r="C27204" t="s">
        <v>432</v>
      </c>
      <c r="F27204">
        <v>2.6022967600159501E-8</v>
      </c>
      <c r="G27204">
        <v>1979904</v>
      </c>
      <c r="H27204">
        <v>12209466</v>
      </c>
      <c r="I27204">
        <v>23040785</v>
      </c>
      <c r="J27204">
        <v>3</v>
      </c>
    </row>
    <row r="27205" spans="1:10" x14ac:dyDescent="0.25">
      <c r="A27205" t="s">
        <v>304</v>
      </c>
      <c r="B27205" s="1" t="str">
        <f>HYPERLINK("http://arenapharm.com","arenapharm.com")</f>
        <v>arenapharm.com</v>
      </c>
      <c r="C27205" t="s">
        <v>433</v>
      </c>
      <c r="E27205">
        <v>308163</v>
      </c>
      <c r="F27205">
        <v>7.3268345616919095E-8</v>
      </c>
      <c r="G27205">
        <v>575359</v>
      </c>
      <c r="H27205">
        <v>14905417</v>
      </c>
      <c r="I27205">
        <v>460721</v>
      </c>
      <c r="J27205">
        <v>3</v>
      </c>
    </row>
    <row r="27206" spans="1:10" x14ac:dyDescent="0.25">
      <c r="A27206" t="s">
        <v>304</v>
      </c>
      <c r="B27206" s="1" t="str">
        <f>HYPERLINK("http://arixapharma.com","arixapharma.com")</f>
        <v>arixapharma.com</v>
      </c>
      <c r="C27206" t="s">
        <v>433</v>
      </c>
      <c r="F27206">
        <v>7.1671434531125499E-9</v>
      </c>
      <c r="G27206">
        <v>11830400</v>
      </c>
      <c r="H27206">
        <v>12514131</v>
      </c>
      <c r="I27206">
        <v>17205950</v>
      </c>
      <c r="J27206">
        <v>3</v>
      </c>
    </row>
    <row r="27207" spans="1:10" x14ac:dyDescent="0.25">
      <c r="A27207" t="s">
        <v>304</v>
      </c>
      <c r="B27207" s="1" t="str">
        <f>HYPERLINK("http://bambootherapeutics.com","bambootherapeutics.com")</f>
        <v>bambootherapeutics.com</v>
      </c>
      <c r="C27207" t="s">
        <v>433</v>
      </c>
      <c r="F27207">
        <v>9.0691611423457695E-9</v>
      </c>
      <c r="G27207">
        <v>7890760</v>
      </c>
      <c r="H27207">
        <v>13043189</v>
      </c>
      <c r="I27207">
        <v>12614660</v>
      </c>
      <c r="J27207">
        <v>3</v>
      </c>
    </row>
    <row r="27208" spans="1:10" x14ac:dyDescent="0.25">
      <c r="A27208" t="s">
        <v>304</v>
      </c>
      <c r="B27208" s="1" t="str">
        <f>HYPERLINK("http://biohavenpharma.com","biohavenpharma.com")</f>
        <v>biohavenpharma.com</v>
      </c>
      <c r="C27208" t="s">
        <v>433</v>
      </c>
      <c r="E27208">
        <v>756218</v>
      </c>
      <c r="F27208">
        <v>1.6204731865783899E-7</v>
      </c>
      <c r="G27208">
        <v>239520</v>
      </c>
      <c r="H27208">
        <v>14394358</v>
      </c>
      <c r="I27208">
        <v>1161973</v>
      </c>
      <c r="J27208">
        <v>3</v>
      </c>
    </row>
    <row r="27209" spans="1:10" x14ac:dyDescent="0.25">
      <c r="A27209" t="s">
        <v>304</v>
      </c>
      <c r="B27209" s="1" t="str">
        <f>HYPERLINK("http://gbt.com","gbt.com")</f>
        <v>gbt.com</v>
      </c>
      <c r="C27209" t="s">
        <v>433</v>
      </c>
      <c r="E27209">
        <v>943139</v>
      </c>
      <c r="F27209">
        <v>9.4085370659112498E-8</v>
      </c>
      <c r="G27209">
        <v>431495</v>
      </c>
      <c r="H27209">
        <v>14415080</v>
      </c>
      <c r="I27209">
        <v>1118151</v>
      </c>
      <c r="J27209">
        <v>4</v>
      </c>
    </row>
    <row r="27210" spans="1:10" x14ac:dyDescent="0.25">
      <c r="A27210" t="s">
        <v>304</v>
      </c>
      <c r="B27210" s="1" t="str">
        <f>HYPERLINK("http://globalbloodtx.com","globalbloodtx.com")</f>
        <v>globalbloodtx.com</v>
      </c>
      <c r="C27210" t="s">
        <v>433</v>
      </c>
      <c r="E27210">
        <v>544084</v>
      </c>
      <c r="F27210">
        <v>2.2991113357802702E-8</v>
      </c>
      <c r="G27210">
        <v>2272835</v>
      </c>
      <c r="H27210">
        <v>14145755</v>
      </c>
      <c r="I27210">
        <v>1898599</v>
      </c>
      <c r="J27210">
        <v>3</v>
      </c>
    </row>
    <row r="27211" spans="1:10" x14ac:dyDescent="0.25">
      <c r="A27211" t="s">
        <v>304</v>
      </c>
      <c r="B27211" s="1" t="str">
        <f>HYPERLINK("http://hospira.com","hospira.com")</f>
        <v>hospira.com</v>
      </c>
      <c r="C27211" t="s">
        <v>433</v>
      </c>
      <c r="E27211">
        <v>302239</v>
      </c>
      <c r="F27211">
        <v>1.1888621282024199E-7</v>
      </c>
      <c r="G27211">
        <v>332898</v>
      </c>
      <c r="H27211">
        <v>14675294</v>
      </c>
      <c r="I27211">
        <v>611578</v>
      </c>
      <c r="J27211">
        <v>5</v>
      </c>
    </row>
    <row r="27212" spans="1:10" x14ac:dyDescent="0.25">
      <c r="A27212" t="s">
        <v>304</v>
      </c>
      <c r="B27212" s="1" t="str">
        <f>HYPERLINK("http://icagen.com","icagen.com")</f>
        <v>icagen.com</v>
      </c>
      <c r="C27212" t="s">
        <v>433</v>
      </c>
      <c r="F27212">
        <v>1.52384727937788E-8</v>
      </c>
      <c r="G27212">
        <v>3764205</v>
      </c>
      <c r="H27212">
        <v>13810338</v>
      </c>
      <c r="I27212">
        <v>6212216</v>
      </c>
      <c r="J27212">
        <v>3</v>
      </c>
    </row>
    <row r="27213" spans="1:10" x14ac:dyDescent="0.25">
      <c r="A27213" t="s">
        <v>304</v>
      </c>
      <c r="B27213" s="1" t="str">
        <f>HYPERLINK("http://igniteimmunotherapy.com","igniteimmunotherapy.com")</f>
        <v>igniteimmunotherapy.com</v>
      </c>
      <c r="C27213" t="s">
        <v>433</v>
      </c>
      <c r="F27213">
        <v>4.5007730865949001E-9</v>
      </c>
      <c r="G27213">
        <v>58835198</v>
      </c>
      <c r="H27213">
        <v>10489639</v>
      </c>
      <c r="I27213">
        <v>50641812</v>
      </c>
      <c r="J27213">
        <v>3</v>
      </c>
    </row>
    <row r="27214" spans="1:10" x14ac:dyDescent="0.25">
      <c r="A27214" t="s">
        <v>304</v>
      </c>
      <c r="B27214" s="1" t="str">
        <f>HYPERLINK("http://kingpharmaceuticals.com","kingpharmaceuticals.com")</f>
        <v>kingpharmaceuticals.com</v>
      </c>
      <c r="C27214" t="s">
        <v>433</v>
      </c>
      <c r="J27214">
        <v>3</v>
      </c>
    </row>
    <row r="27215" spans="1:10" x14ac:dyDescent="0.25">
      <c r="A27215" t="s">
        <v>304</v>
      </c>
      <c r="B27215" s="1" t="str">
        <f>HYPERLINK("http://medivation.com","medivation.com")</f>
        <v>medivation.com</v>
      </c>
      <c r="C27215" t="s">
        <v>433</v>
      </c>
      <c r="F27215">
        <v>3.2853448816446502E-8</v>
      </c>
      <c r="G27215">
        <v>1572595</v>
      </c>
      <c r="H27215">
        <v>14557481</v>
      </c>
      <c r="I27215">
        <v>749850</v>
      </c>
      <c r="J27215">
        <v>3</v>
      </c>
    </row>
    <row r="27216" spans="1:10" x14ac:dyDescent="0.25">
      <c r="A27216" t="s">
        <v>304</v>
      </c>
      <c r="B27216" s="1" t="str">
        <f>HYPERLINK("http://pediatricmigrainestudy.com","pediatricmigrainestudy.com")</f>
        <v>pediatricmigrainestudy.com</v>
      </c>
      <c r="C27216" t="s">
        <v>433</v>
      </c>
      <c r="F27216">
        <v>8.2061192650269898E-9</v>
      </c>
      <c r="G27216">
        <v>9560931</v>
      </c>
      <c r="H27216">
        <v>12237762</v>
      </c>
      <c r="I27216">
        <v>22316964</v>
      </c>
      <c r="J27216">
        <v>5</v>
      </c>
    </row>
    <row r="27217" spans="1:10" x14ac:dyDescent="0.25">
      <c r="A27217" t="s">
        <v>304</v>
      </c>
      <c r="B27217" s="1" t="str">
        <f>HYPERLINK("http://pfizer.com","pfizer.com")</f>
        <v>pfizer.com</v>
      </c>
      <c r="C27217" t="s">
        <v>433</v>
      </c>
      <c r="E27217">
        <v>3113</v>
      </c>
      <c r="F27217">
        <v>6.6559951915173799E-6</v>
      </c>
      <c r="G27217">
        <v>5084</v>
      </c>
      <c r="H27217">
        <v>17702608</v>
      </c>
      <c r="I27217">
        <v>7260</v>
      </c>
      <c r="J27217">
        <v>1</v>
      </c>
    </row>
    <row r="27218" spans="1:10" x14ac:dyDescent="0.25">
      <c r="A27218" t="s">
        <v>304</v>
      </c>
      <c r="B27218" s="1" t="str">
        <f>HYPERLINK("http://pfizerhealthsolutions.com","pfizerhealthsolutions.com")</f>
        <v>pfizerhealthsolutions.com</v>
      </c>
      <c r="C27218" t="s">
        <v>433</v>
      </c>
      <c r="F27218">
        <v>4.78591610419776E-9</v>
      </c>
      <c r="G27218">
        <v>36714510</v>
      </c>
      <c r="H27218">
        <v>11271807</v>
      </c>
      <c r="I27218">
        <v>30751882</v>
      </c>
      <c r="J27218">
        <v>3</v>
      </c>
    </row>
    <row r="27219" spans="1:10" x14ac:dyDescent="0.25">
      <c r="A27219" t="s">
        <v>304</v>
      </c>
      <c r="B27219" s="1" t="str">
        <f>HYPERLINK("http://pfizerindia.com","pfizerindia.com")</f>
        <v>pfizerindia.com</v>
      </c>
      <c r="C27219" t="s">
        <v>433</v>
      </c>
      <c r="F27219">
        <v>3.7925239087257897E-8</v>
      </c>
      <c r="G27219">
        <v>1364540</v>
      </c>
      <c r="H27219">
        <v>13489503</v>
      </c>
      <c r="I27219">
        <v>9988850</v>
      </c>
      <c r="J27219">
        <v>3</v>
      </c>
    </row>
    <row r="27220" spans="1:10" x14ac:dyDescent="0.25">
      <c r="A27220" t="s">
        <v>304</v>
      </c>
      <c r="B27220" s="1" t="str">
        <f>HYPERLINK("http://pfizermedicalinformation.com","pfizermedicalinformation.com")</f>
        <v>pfizermedicalinformation.com</v>
      </c>
      <c r="C27220" t="s">
        <v>433</v>
      </c>
      <c r="E27220">
        <v>319502</v>
      </c>
      <c r="F27220">
        <v>1.89514425726606E-7</v>
      </c>
      <c r="G27220">
        <v>203311</v>
      </c>
      <c r="H27220">
        <v>14557263</v>
      </c>
      <c r="I27220">
        <v>750105</v>
      </c>
      <c r="J27220">
        <v>3</v>
      </c>
    </row>
    <row r="27221" spans="1:10" x14ac:dyDescent="0.25">
      <c r="A27221" t="s">
        <v>304</v>
      </c>
      <c r="B27221" s="1" t="str">
        <f>HYPERLINK("http://pfizerpeduli.com","pfizerpeduli.com")</f>
        <v>pfizerpeduli.com</v>
      </c>
      <c r="C27221" t="s">
        <v>433</v>
      </c>
      <c r="F27221">
        <v>1.2603505822345099E-8</v>
      </c>
      <c r="G27221">
        <v>4829183</v>
      </c>
      <c r="H27221">
        <v>12389188</v>
      </c>
      <c r="I27221">
        <v>19064067</v>
      </c>
      <c r="J27221">
        <v>3</v>
      </c>
    </row>
    <row r="27222" spans="1:10" x14ac:dyDescent="0.25">
      <c r="A27222" t="s">
        <v>304</v>
      </c>
      <c r="B27222" s="1" t="str">
        <f>HYPERLINK("http://wyethpakistan.com","wyethpakistan.com")</f>
        <v>wyethpakistan.com</v>
      </c>
      <c r="C27222" t="s">
        <v>433</v>
      </c>
      <c r="F27222">
        <v>5.66789254503513E-9</v>
      </c>
      <c r="G27222">
        <v>19234990</v>
      </c>
      <c r="H27222">
        <v>12125060</v>
      </c>
      <c r="I27222">
        <v>25278356</v>
      </c>
      <c r="J27222">
        <v>3</v>
      </c>
    </row>
    <row r="27223" spans="1:10" x14ac:dyDescent="0.25">
      <c r="A27223" t="s">
        <v>304</v>
      </c>
      <c r="B27223" s="1" t="str">
        <f>HYPERLINK("http://xrpro.com","xrpro.com")</f>
        <v>xrpro.com</v>
      </c>
      <c r="C27223" t="s">
        <v>433</v>
      </c>
      <c r="F27223">
        <v>4.5833595442237002E-9</v>
      </c>
      <c r="G27223">
        <v>49013654</v>
      </c>
      <c r="H27223">
        <v>11404043</v>
      </c>
      <c r="I27223">
        <v>30212978</v>
      </c>
      <c r="J27223">
        <v>7</v>
      </c>
    </row>
    <row r="27224" spans="1:10" x14ac:dyDescent="0.25">
      <c r="A27224" t="s">
        <v>304</v>
      </c>
      <c r="B27224" s="1" t="str">
        <f>HYPERLINK("http://pfizermedicalinformation.co.cr","pfizermedicalinformation.co.cr")</f>
        <v>pfizermedicalinformation.co.cr</v>
      </c>
      <c r="C27224" t="s">
        <v>434</v>
      </c>
      <c r="D27224" t="s">
        <v>813</v>
      </c>
      <c r="F27224">
        <v>2.4746029416416301E-8</v>
      </c>
      <c r="G27224">
        <v>2090241</v>
      </c>
      <c r="H27224">
        <v>11261653</v>
      </c>
      <c r="I27224">
        <v>30822515</v>
      </c>
      <c r="J27224">
        <v>3</v>
      </c>
    </row>
    <row r="27225" spans="1:10" x14ac:dyDescent="0.25">
      <c r="A27225" t="s">
        <v>304</v>
      </c>
      <c r="B27225" s="1" t="str">
        <f>HYPERLINK("http://pfizer.cz","pfizer.cz")</f>
        <v>pfizer.cz</v>
      </c>
      <c r="C27225" t="s">
        <v>435</v>
      </c>
      <c r="D27225" t="s">
        <v>814</v>
      </c>
      <c r="F27225">
        <v>8.4521074407801997E-8</v>
      </c>
      <c r="G27225">
        <v>488742</v>
      </c>
      <c r="H27225">
        <v>14249318</v>
      </c>
      <c r="I27225">
        <v>1450036</v>
      </c>
      <c r="J27225">
        <v>2</v>
      </c>
    </row>
    <row r="27226" spans="1:10" x14ac:dyDescent="0.25">
      <c r="A27226" t="s">
        <v>304</v>
      </c>
      <c r="B27226" s="1" t="str">
        <f>HYPERLINK("http://pfizer.de","pfizer.de")</f>
        <v>pfizer.de</v>
      </c>
      <c r="C27226" t="s">
        <v>436</v>
      </c>
      <c r="D27226" t="s">
        <v>815</v>
      </c>
      <c r="E27226">
        <v>418989</v>
      </c>
      <c r="F27226">
        <v>3.2699520872055699E-7</v>
      </c>
      <c r="G27226">
        <v>113899</v>
      </c>
      <c r="H27226">
        <v>14543898</v>
      </c>
      <c r="I27226">
        <v>771266</v>
      </c>
      <c r="J27226">
        <v>2</v>
      </c>
    </row>
    <row r="27227" spans="1:10" x14ac:dyDescent="0.25">
      <c r="A27227" t="s">
        <v>304</v>
      </c>
      <c r="B27227" s="1" t="str">
        <f>HYPERLINK("http://pfizermedicalinformation.de","pfizermedicalinformation.de")</f>
        <v>pfizermedicalinformation.de</v>
      </c>
      <c r="C27227" t="s">
        <v>436</v>
      </c>
      <c r="D27227" t="s">
        <v>815</v>
      </c>
      <c r="F27227">
        <v>1.96346409128226E-8</v>
      </c>
      <c r="G27227">
        <v>2721872</v>
      </c>
      <c r="H27227">
        <v>10970219</v>
      </c>
      <c r="I27227">
        <v>34140533</v>
      </c>
      <c r="J27227">
        <v>3</v>
      </c>
    </row>
    <row r="27228" spans="1:10" x14ac:dyDescent="0.25">
      <c r="A27228" t="s">
        <v>304</v>
      </c>
      <c r="B27228" s="1" t="str">
        <f>HYPERLINK("http://pfizer.dk","pfizer.dk")</f>
        <v>pfizer.dk</v>
      </c>
      <c r="C27228" t="s">
        <v>437</v>
      </c>
      <c r="D27228" t="s">
        <v>816</v>
      </c>
      <c r="F27228">
        <v>3.6300605301766901E-8</v>
      </c>
      <c r="G27228">
        <v>1437181</v>
      </c>
      <c r="H27228">
        <v>13781367</v>
      </c>
      <c r="I27228">
        <v>6459324</v>
      </c>
      <c r="J27228">
        <v>2</v>
      </c>
    </row>
    <row r="27229" spans="1:10" x14ac:dyDescent="0.25">
      <c r="A27229" t="s">
        <v>304</v>
      </c>
      <c r="B27229" s="1" t="str">
        <f>HYPERLINK("http://pfizermedicalinformation.com.do","pfizermedicalinformation.com.do")</f>
        <v>pfizermedicalinformation.com.do</v>
      </c>
      <c r="C27229" t="s">
        <v>438</v>
      </c>
      <c r="D27229" t="s">
        <v>817</v>
      </c>
      <c r="F27229">
        <v>2.47241346082328E-8</v>
      </c>
      <c r="G27229">
        <v>2092195</v>
      </c>
      <c r="H27229">
        <v>11254983</v>
      </c>
      <c r="I27229">
        <v>30863879</v>
      </c>
      <c r="J27229">
        <v>3</v>
      </c>
    </row>
    <row r="27230" spans="1:10" x14ac:dyDescent="0.25">
      <c r="A27230" t="s">
        <v>304</v>
      </c>
      <c r="B27230" s="1" t="str">
        <f>HYPERLINK("http://pfizermedicalinformation.com.dz","pfizermedicalinformation.com.dz")</f>
        <v>pfizermedicalinformation.com.dz</v>
      </c>
      <c r="C27230" t="s">
        <v>439</v>
      </c>
      <c r="D27230" t="s">
        <v>818</v>
      </c>
      <c r="F27230">
        <v>2.4697708285351801E-8</v>
      </c>
      <c r="G27230">
        <v>2094567</v>
      </c>
      <c r="H27230">
        <v>12204716</v>
      </c>
      <c r="I27230">
        <v>23196821</v>
      </c>
      <c r="J27230">
        <v>3</v>
      </c>
    </row>
    <row r="27231" spans="1:10" x14ac:dyDescent="0.25">
      <c r="A27231" t="s">
        <v>304</v>
      </c>
      <c r="B27231" s="1" t="str">
        <f>HYPERLINK("http://pfizer.com.ec","pfizer.com.ec")</f>
        <v>pfizer.com.ec</v>
      </c>
      <c r="C27231" t="s">
        <v>440</v>
      </c>
      <c r="D27231" t="s">
        <v>819</v>
      </c>
      <c r="F27231">
        <v>1.58998513211966E-8</v>
      </c>
      <c r="G27231">
        <v>3572703</v>
      </c>
      <c r="H27231">
        <v>13153896</v>
      </c>
      <c r="I27231">
        <v>11810759</v>
      </c>
      <c r="J27231">
        <v>2</v>
      </c>
    </row>
    <row r="27232" spans="1:10" x14ac:dyDescent="0.25">
      <c r="A27232" t="s">
        <v>304</v>
      </c>
      <c r="B27232" s="1" t="str">
        <f>HYPERLINK("http://pfizermedicalinformation.ec","pfizermedicalinformation.ec")</f>
        <v>pfizermedicalinformation.ec</v>
      </c>
      <c r="C27232" t="s">
        <v>440</v>
      </c>
      <c r="D27232" t="s">
        <v>819</v>
      </c>
      <c r="F27232">
        <v>1.8539047013868302E-8</v>
      </c>
      <c r="G27232">
        <v>2918451</v>
      </c>
      <c r="H27232">
        <v>10768555</v>
      </c>
      <c r="I27232">
        <v>39303106</v>
      </c>
      <c r="J27232">
        <v>3</v>
      </c>
    </row>
    <row r="27233" spans="1:10" x14ac:dyDescent="0.25">
      <c r="A27233" t="s">
        <v>304</v>
      </c>
      <c r="B27233" s="1" t="str">
        <f>HYPERLINK("http://pfizer.ee","pfizer.ee")</f>
        <v>pfizer.ee</v>
      </c>
      <c r="C27233" t="s">
        <v>441</v>
      </c>
      <c r="D27233" t="s">
        <v>820</v>
      </c>
      <c r="F27233">
        <v>1.36017686005437E-8</v>
      </c>
      <c r="G27233">
        <v>4360998</v>
      </c>
      <c r="H27233">
        <v>13780602</v>
      </c>
      <c r="I27233">
        <v>6469493</v>
      </c>
      <c r="J27233">
        <v>2</v>
      </c>
    </row>
    <row r="27234" spans="1:10" x14ac:dyDescent="0.25">
      <c r="A27234" t="s">
        <v>304</v>
      </c>
      <c r="B27234" s="1" t="str">
        <f>HYPERLINK("http://pfizer.es","pfizer.es")</f>
        <v>pfizer.es</v>
      </c>
      <c r="C27234" t="s">
        <v>443</v>
      </c>
      <c r="D27234" t="s">
        <v>822</v>
      </c>
      <c r="E27234">
        <v>127759</v>
      </c>
      <c r="F27234">
        <v>2.1911150394001099E-7</v>
      </c>
      <c r="G27234">
        <v>172048</v>
      </c>
      <c r="H27234">
        <v>14910627</v>
      </c>
      <c r="I27234">
        <v>457572</v>
      </c>
      <c r="J27234">
        <v>2</v>
      </c>
    </row>
    <row r="27235" spans="1:10" x14ac:dyDescent="0.25">
      <c r="A27235" t="s">
        <v>304</v>
      </c>
      <c r="B27235" s="1" t="str">
        <f>HYPERLINK("http://pfizermedicalinformation.es","pfizermedicalinformation.es")</f>
        <v>pfizermedicalinformation.es</v>
      </c>
      <c r="C27235" t="s">
        <v>443</v>
      </c>
      <c r="D27235" t="s">
        <v>822</v>
      </c>
      <c r="F27235">
        <v>2.9629479401198801E-8</v>
      </c>
      <c r="G27235">
        <v>1737610</v>
      </c>
      <c r="H27235">
        <v>11136153</v>
      </c>
      <c r="I27235">
        <v>31876646</v>
      </c>
      <c r="J27235">
        <v>3</v>
      </c>
    </row>
    <row r="27236" spans="1:10" x14ac:dyDescent="0.25">
      <c r="A27236" t="s">
        <v>304</v>
      </c>
      <c r="B27236" s="1" t="str">
        <f>HYPERLINK("http://wyeth.es","wyeth.es")</f>
        <v>wyeth.es</v>
      </c>
      <c r="C27236" t="s">
        <v>443</v>
      </c>
      <c r="D27236" t="s">
        <v>822</v>
      </c>
      <c r="F27236">
        <v>4.6522962852848798E-9</v>
      </c>
      <c r="G27236">
        <v>44005472</v>
      </c>
      <c r="H27236">
        <v>12008067</v>
      </c>
      <c r="I27236">
        <v>28126831</v>
      </c>
      <c r="J27236">
        <v>3</v>
      </c>
    </row>
    <row r="27237" spans="1:10" x14ac:dyDescent="0.25">
      <c r="A27237" t="s">
        <v>304</v>
      </c>
      <c r="B27237" s="1" t="str">
        <f>HYPERLINK("http://abrysvo.fi","abrysvo.fi")</f>
        <v>abrysvo.fi</v>
      </c>
      <c r="C27237" t="s">
        <v>445</v>
      </c>
      <c r="D27237" t="s">
        <v>823</v>
      </c>
      <c r="J27237">
        <v>2</v>
      </c>
    </row>
    <row r="27238" spans="1:10" x14ac:dyDescent="0.25">
      <c r="A27238" t="s">
        <v>304</v>
      </c>
      <c r="B27238" s="1" t="str">
        <f>HYPERLINK("http://acrodat.fi","acrodat.fi")</f>
        <v>acrodat.fi</v>
      </c>
      <c r="C27238" t="s">
        <v>445</v>
      </c>
      <c r="D27238" t="s">
        <v>823</v>
      </c>
      <c r="J27238">
        <v>2</v>
      </c>
    </row>
    <row r="27239" spans="1:10" x14ac:dyDescent="0.25">
      <c r="A27239" t="s">
        <v>304</v>
      </c>
      <c r="B27239" s="1" t="str">
        <f>HYPERLINK("http://acroqol.fi","acroqol.fi")</f>
        <v>acroqol.fi</v>
      </c>
      <c r="C27239" t="s">
        <v>445</v>
      </c>
      <c r="D27239" t="s">
        <v>823</v>
      </c>
      <c r="F27239">
        <v>5.3122955835261999E-9</v>
      </c>
      <c r="G27239">
        <v>23315688</v>
      </c>
      <c r="H27239">
        <v>10639911</v>
      </c>
      <c r="I27239">
        <v>43768884</v>
      </c>
      <c r="J27239">
        <v>2</v>
      </c>
    </row>
    <row r="27240" spans="1:10" x14ac:dyDescent="0.25">
      <c r="A27240" t="s">
        <v>304</v>
      </c>
      <c r="B27240" s="1" t="str">
        <f>HYPERLINK("http://acroscale.fi","acroscale.fi")</f>
        <v>acroscale.fi</v>
      </c>
      <c r="C27240" t="s">
        <v>445</v>
      </c>
      <c r="D27240" t="s">
        <v>823</v>
      </c>
      <c r="J27240">
        <v>2</v>
      </c>
    </row>
    <row r="27241" spans="1:10" x14ac:dyDescent="0.25">
      <c r="A27241" t="s">
        <v>304</v>
      </c>
      <c r="B27241" s="1" t="str">
        <f>HYPERLINK("http://agicient.fi","agicient.fi")</f>
        <v>agicient.fi</v>
      </c>
      <c r="C27241" t="s">
        <v>445</v>
      </c>
      <c r="D27241" t="s">
        <v>823</v>
      </c>
      <c r="J27241">
        <v>2</v>
      </c>
    </row>
    <row r="27242" spans="1:10" x14ac:dyDescent="0.25">
      <c r="A27242" t="s">
        <v>304</v>
      </c>
      <c r="B27242" s="1" t="str">
        <f>HYPERLINK("http://alktesting.fi","alktesting.fi")</f>
        <v>alktesting.fi</v>
      </c>
      <c r="C27242" t="s">
        <v>445</v>
      </c>
      <c r="D27242" t="s">
        <v>823</v>
      </c>
      <c r="J27242">
        <v>2</v>
      </c>
    </row>
    <row r="27243" spans="1:10" x14ac:dyDescent="0.25">
      <c r="A27243" t="s">
        <v>304</v>
      </c>
      <c r="B27243" s="1" t="str">
        <f>HYPERLINK("http://antibioottiresistenssi.fi","antibioottiresistenssi.fi")</f>
        <v>antibioottiresistenssi.fi</v>
      </c>
      <c r="C27243" t="s">
        <v>445</v>
      </c>
      <c r="D27243" t="s">
        <v>823</v>
      </c>
      <c r="F27243">
        <v>7.3870759736803004E-9</v>
      </c>
      <c r="G27243">
        <v>11273303</v>
      </c>
      <c r="H27243">
        <v>12902138</v>
      </c>
      <c r="I27243">
        <v>13849748</v>
      </c>
      <c r="J27243">
        <v>2</v>
      </c>
    </row>
    <row r="27244" spans="1:10" x14ac:dyDescent="0.25">
      <c r="A27244" t="s">
        <v>304</v>
      </c>
      <c r="B27244" s="1" t="str">
        <f>HYPERLINK("http://antikoagulaatio.fi","antikoagulaatio.fi")</f>
        <v>antikoagulaatio.fi</v>
      </c>
      <c r="C27244" t="s">
        <v>445</v>
      </c>
      <c r="D27244" t="s">
        <v>823</v>
      </c>
      <c r="J27244">
        <v>2</v>
      </c>
    </row>
    <row r="27245" spans="1:10" x14ac:dyDescent="0.25">
      <c r="A27245" t="s">
        <v>304</v>
      </c>
      <c r="B27245" s="1" t="str">
        <f>HYPERLINK("http://apexxnar.fi","apexxnar.fi")</f>
        <v>apexxnar.fi</v>
      </c>
      <c r="C27245" t="s">
        <v>445</v>
      </c>
      <c r="D27245" t="s">
        <v>823</v>
      </c>
      <c r="J27245">
        <v>2</v>
      </c>
    </row>
    <row r="27246" spans="1:10" x14ac:dyDescent="0.25">
      <c r="A27246" t="s">
        <v>304</v>
      </c>
      <c r="B27246" s="1" t="str">
        <f>HYPERLINK("http://apteekkiakatemia.fi","apteekkiakatemia.fi")</f>
        <v>apteekkiakatemia.fi</v>
      </c>
      <c r="C27246" t="s">
        <v>445</v>
      </c>
      <c r="D27246" t="s">
        <v>823</v>
      </c>
      <c r="J27246">
        <v>2</v>
      </c>
    </row>
    <row r="27247" spans="1:10" x14ac:dyDescent="0.25">
      <c r="A27247" t="s">
        <v>304</v>
      </c>
      <c r="B27247" s="1" t="str">
        <f>HYPERLINK("http://aricept.fi","aricept.fi")</f>
        <v>aricept.fi</v>
      </c>
      <c r="C27247" t="s">
        <v>445</v>
      </c>
      <c r="D27247" t="s">
        <v>823</v>
      </c>
      <c r="J27247">
        <v>2</v>
      </c>
    </row>
    <row r="27248" spans="1:10" x14ac:dyDescent="0.25">
      <c r="A27248" t="s">
        <v>304</v>
      </c>
      <c r="B27248" s="1" t="str">
        <f>HYPERLINK("http://aromasin.fi","aromasin.fi")</f>
        <v>aromasin.fi</v>
      </c>
      <c r="C27248" t="s">
        <v>445</v>
      </c>
      <c r="D27248" t="s">
        <v>823</v>
      </c>
      <c r="J27248">
        <v>2</v>
      </c>
    </row>
    <row r="27249" spans="1:10" x14ac:dyDescent="0.25">
      <c r="A27249" t="s">
        <v>304</v>
      </c>
      <c r="B27249" s="1" t="str">
        <f>HYPERLINK("http://askpfizer.fi","askpfizer.fi")</f>
        <v>askpfizer.fi</v>
      </c>
      <c r="C27249" t="s">
        <v>445</v>
      </c>
      <c r="D27249" t="s">
        <v>823</v>
      </c>
      <c r="J27249">
        <v>2</v>
      </c>
    </row>
    <row r="27250" spans="1:10" x14ac:dyDescent="0.25">
      <c r="A27250" t="s">
        <v>304</v>
      </c>
      <c r="B27250" s="1" t="str">
        <f>HYPERLINK("http://avtemdria.fi","avtemdria.fi")</f>
        <v>avtemdria.fi</v>
      </c>
      <c r="C27250" t="s">
        <v>445</v>
      </c>
      <c r="D27250" t="s">
        <v>823</v>
      </c>
      <c r="J27250">
        <v>2</v>
      </c>
    </row>
    <row r="27251" spans="1:10" x14ac:dyDescent="0.25">
      <c r="A27251" t="s">
        <v>304</v>
      </c>
      <c r="B27251" s="1" t="str">
        <f>HYPERLINK("http://axitilient.fi","axitilient.fi")</f>
        <v>axitilient.fi</v>
      </c>
      <c r="C27251" t="s">
        <v>445</v>
      </c>
      <c r="D27251" t="s">
        <v>823</v>
      </c>
      <c r="J27251">
        <v>2</v>
      </c>
    </row>
    <row r="27252" spans="1:10" x14ac:dyDescent="0.25">
      <c r="A27252" t="s">
        <v>304</v>
      </c>
      <c r="B27252" s="1" t="str">
        <f>HYPERLINK("http://azviamp.fi","azviamp.fi")</f>
        <v>azviamp.fi</v>
      </c>
      <c r="C27252" t="s">
        <v>445</v>
      </c>
      <c r="D27252" t="s">
        <v>823</v>
      </c>
      <c r="J27252">
        <v>2</v>
      </c>
    </row>
    <row r="27253" spans="1:10" x14ac:dyDescent="0.25">
      <c r="A27253" t="s">
        <v>304</v>
      </c>
      <c r="B27253" s="1" t="str">
        <f>HYPERLINK("http://bosulif.fi","bosulif.fi")</f>
        <v>bosulif.fi</v>
      </c>
      <c r="C27253" t="s">
        <v>445</v>
      </c>
      <c r="D27253" t="s">
        <v>823</v>
      </c>
      <c r="J27253">
        <v>2</v>
      </c>
    </row>
    <row r="27254" spans="1:10" x14ac:dyDescent="0.25">
      <c r="A27254" t="s">
        <v>304</v>
      </c>
      <c r="B27254" s="1" t="str">
        <f>HYPERLINK("http://caverject.fi","caverject.fi")</f>
        <v>caverject.fi</v>
      </c>
      <c r="C27254" t="s">
        <v>445</v>
      </c>
      <c r="D27254" t="s">
        <v>823</v>
      </c>
      <c r="J27254">
        <v>2</v>
      </c>
    </row>
    <row r="27255" spans="1:10" x14ac:dyDescent="0.25">
      <c r="A27255" t="s">
        <v>304</v>
      </c>
      <c r="B27255" s="1" t="str">
        <f>HYPERLINK("http://cazitel.fi","cazitel.fi")</f>
        <v>cazitel.fi</v>
      </c>
      <c r="C27255" t="s">
        <v>445</v>
      </c>
      <c r="D27255" t="s">
        <v>823</v>
      </c>
      <c r="J27255">
        <v>2</v>
      </c>
    </row>
    <row r="27256" spans="1:10" x14ac:dyDescent="0.25">
      <c r="A27256" t="s">
        <v>304</v>
      </c>
      <c r="B27256" s="1" t="str">
        <f>HYPERLINK("http://celsentri.fi","celsentri.fi")</f>
        <v>celsentri.fi</v>
      </c>
      <c r="C27256" t="s">
        <v>445</v>
      </c>
      <c r="D27256" t="s">
        <v>823</v>
      </c>
      <c r="J27256">
        <v>2</v>
      </c>
    </row>
    <row r="27257" spans="1:10" x14ac:dyDescent="0.25">
      <c r="A27257" t="s">
        <v>304</v>
      </c>
      <c r="B27257" s="1" t="str">
        <f>HYPERLINK("http://champix.fi","champix.fi")</f>
        <v>champix.fi</v>
      </c>
      <c r="C27257" t="s">
        <v>445</v>
      </c>
      <c r="D27257" t="s">
        <v>823</v>
      </c>
      <c r="J27257">
        <v>2</v>
      </c>
    </row>
    <row r="27258" spans="1:10" x14ac:dyDescent="0.25">
      <c r="A27258" t="s">
        <v>304</v>
      </c>
      <c r="B27258" s="1" t="str">
        <f>HYPERLINK("http://cibinqo.fi","cibinqo.fi")</f>
        <v>cibinqo.fi</v>
      </c>
      <c r="C27258" t="s">
        <v>445</v>
      </c>
      <c r="D27258" t="s">
        <v>823</v>
      </c>
      <c r="J27258">
        <v>2</v>
      </c>
    </row>
    <row r="27259" spans="1:10" x14ac:dyDescent="0.25">
      <c r="A27259" t="s">
        <v>304</v>
      </c>
      <c r="B27259" s="1" t="str">
        <f>HYPERLINK("http://covid19oralrx.fi","covid19oralrx.fi")</f>
        <v>covid19oralrx.fi</v>
      </c>
      <c r="C27259" t="s">
        <v>445</v>
      </c>
      <c r="D27259" t="s">
        <v>823</v>
      </c>
      <c r="J27259">
        <v>2</v>
      </c>
    </row>
    <row r="27260" spans="1:10" x14ac:dyDescent="0.25">
      <c r="A27260" t="s">
        <v>304</v>
      </c>
      <c r="B27260" s="1" t="str">
        <f>HYPERLINK("http://cvdvaccine.fi","cvdvaccine.fi")</f>
        <v>cvdvaccine.fi</v>
      </c>
      <c r="C27260" t="s">
        <v>445</v>
      </c>
      <c r="D27260" t="s">
        <v>823</v>
      </c>
      <c r="J27260">
        <v>2</v>
      </c>
    </row>
    <row r="27261" spans="1:10" x14ac:dyDescent="0.25">
      <c r="A27261" t="s">
        <v>304</v>
      </c>
      <c r="B27261" s="1" t="str">
        <f>HYPERLINK("http://dacerz.fi","dacerz.fi")</f>
        <v>dacerz.fi</v>
      </c>
      <c r="C27261" t="s">
        <v>445</v>
      </c>
      <c r="D27261" t="s">
        <v>823</v>
      </c>
      <c r="J27261">
        <v>2</v>
      </c>
    </row>
    <row r="27262" spans="1:10" x14ac:dyDescent="0.25">
      <c r="A27262" t="s">
        <v>304</v>
      </c>
      <c r="B27262" s="1" t="str">
        <f>HYPERLINK("http://dacomitinibi.fi","dacomitinibi.fi")</f>
        <v>dacomitinibi.fi</v>
      </c>
      <c r="C27262" t="s">
        <v>445</v>
      </c>
      <c r="D27262" t="s">
        <v>823</v>
      </c>
      <c r="J27262">
        <v>2</v>
      </c>
    </row>
    <row r="27263" spans="1:10" x14ac:dyDescent="0.25">
      <c r="A27263" t="s">
        <v>304</v>
      </c>
      <c r="B27263" s="1" t="str">
        <f>HYPERLINK("http://dauriana.fi","dauriana.fi")</f>
        <v>dauriana.fi</v>
      </c>
      <c r="C27263" t="s">
        <v>445</v>
      </c>
      <c r="D27263" t="s">
        <v>823</v>
      </c>
      <c r="J27263">
        <v>2</v>
      </c>
    </row>
    <row r="27264" spans="1:10" x14ac:dyDescent="0.25">
      <c r="A27264" t="s">
        <v>304</v>
      </c>
      <c r="B27264" s="1" t="str">
        <f>HYPERLINK("http://daurismo.fi","daurismo.fi")</f>
        <v>daurismo.fi</v>
      </c>
      <c r="C27264" t="s">
        <v>445</v>
      </c>
      <c r="D27264" t="s">
        <v>823</v>
      </c>
      <c r="J27264">
        <v>2</v>
      </c>
    </row>
    <row r="27265" spans="1:10" x14ac:dyDescent="0.25">
      <c r="A27265" t="s">
        <v>304</v>
      </c>
      <c r="B27265" s="1" t="str">
        <f>HYPERLINK("http://diflucan.fi","diflucan.fi")</f>
        <v>diflucan.fi</v>
      </c>
      <c r="C27265" t="s">
        <v>445</v>
      </c>
      <c r="D27265" t="s">
        <v>823</v>
      </c>
      <c r="F27265">
        <v>5.0371146866847802E-9</v>
      </c>
      <c r="G27265">
        <v>28508095</v>
      </c>
      <c r="H27265">
        <v>10727239</v>
      </c>
      <c r="I27265">
        <v>41131546</v>
      </c>
      <c r="J27265">
        <v>2</v>
      </c>
    </row>
    <row r="27266" spans="1:10" x14ac:dyDescent="0.25">
      <c r="A27266" t="s">
        <v>304</v>
      </c>
      <c r="B27266" s="1" t="str">
        <f>HYPERLINK("http://duavive.fi","duavive.fi")</f>
        <v>duavive.fi</v>
      </c>
      <c r="C27266" t="s">
        <v>445</v>
      </c>
      <c r="D27266" t="s">
        <v>823</v>
      </c>
      <c r="J27266">
        <v>2</v>
      </c>
    </row>
    <row r="27267" spans="1:10" x14ac:dyDescent="0.25">
      <c r="A27267" t="s">
        <v>304</v>
      </c>
      <c r="B27267" s="1" t="str">
        <f>HYPERLINK("http://durzera.fi","durzera.fi")</f>
        <v>durzera.fi</v>
      </c>
      <c r="C27267" t="s">
        <v>445</v>
      </c>
      <c r="D27267" t="s">
        <v>823</v>
      </c>
      <c r="J27267">
        <v>2</v>
      </c>
    </row>
    <row r="27268" spans="1:10" x14ac:dyDescent="0.25">
      <c r="A27268" t="s">
        <v>304</v>
      </c>
      <c r="B27268" s="1" t="str">
        <f>HYPERLINK("http://dynastat.fi","dynastat.fi")</f>
        <v>dynastat.fi</v>
      </c>
      <c r="C27268" t="s">
        <v>445</v>
      </c>
      <c r="D27268" t="s">
        <v>823</v>
      </c>
      <c r="J27268">
        <v>2</v>
      </c>
    </row>
    <row r="27269" spans="1:10" x14ac:dyDescent="0.25">
      <c r="A27269" t="s">
        <v>304</v>
      </c>
      <c r="B27269" s="1" t="str">
        <f>HYPERLINK("http://eceo.fi","eceo.fi")</f>
        <v>eceo.fi</v>
      </c>
      <c r="C27269" t="s">
        <v>445</v>
      </c>
      <c r="D27269" t="s">
        <v>823</v>
      </c>
      <c r="J27269">
        <v>2</v>
      </c>
    </row>
    <row r="27270" spans="1:10" x14ac:dyDescent="0.25">
      <c r="A27270" t="s">
        <v>304</v>
      </c>
      <c r="B27270" s="1" t="str">
        <f>HYPERLINK("http://eitupakkaa.fi","eitupakkaa.fi")</f>
        <v>eitupakkaa.fi</v>
      </c>
      <c r="C27270" t="s">
        <v>445</v>
      </c>
      <c r="D27270" t="s">
        <v>823</v>
      </c>
      <c r="J27270">
        <v>2</v>
      </c>
    </row>
    <row r="27271" spans="1:10" x14ac:dyDescent="0.25">
      <c r="A27271" t="s">
        <v>304</v>
      </c>
      <c r="B27271" s="1" t="str">
        <f>HYPERLINK("http://emblaveo.fi","emblaveo.fi")</f>
        <v>emblaveo.fi</v>
      </c>
      <c r="C27271" t="s">
        <v>445</v>
      </c>
      <c r="D27271" t="s">
        <v>823</v>
      </c>
      <c r="J27271">
        <v>2</v>
      </c>
    </row>
    <row r="27272" spans="1:10" x14ac:dyDescent="0.25">
      <c r="A27272" t="s">
        <v>304</v>
      </c>
      <c r="B27272" s="1" t="str">
        <f>HYPERLINK("http://emotionspace.fi","emotionspace.fi")</f>
        <v>emotionspace.fi</v>
      </c>
      <c r="C27272" t="s">
        <v>445</v>
      </c>
      <c r="D27272" t="s">
        <v>823</v>
      </c>
      <c r="F27272">
        <v>4.4439230429675497E-9</v>
      </c>
      <c r="G27272">
        <v>77881392</v>
      </c>
      <c r="H27272">
        <v>11975847</v>
      </c>
      <c r="I27272">
        <v>28555447</v>
      </c>
      <c r="J27272">
        <v>2</v>
      </c>
    </row>
    <row r="27273" spans="1:10" x14ac:dyDescent="0.25">
      <c r="A27273" t="s">
        <v>304</v>
      </c>
      <c r="B27273" s="1" t="str">
        <f>HYPERLINK("http://enbrel.fi","enbrel.fi")</f>
        <v>enbrel.fi</v>
      </c>
      <c r="C27273" t="s">
        <v>445</v>
      </c>
      <c r="D27273" t="s">
        <v>823</v>
      </c>
      <c r="J27273">
        <v>2</v>
      </c>
    </row>
    <row r="27274" spans="1:10" x14ac:dyDescent="0.25">
      <c r="A27274" t="s">
        <v>304</v>
      </c>
      <c r="B27274" s="1" t="str">
        <f>HYPERLINK("http://ephs.fi","ephs.fi")</f>
        <v>ephs.fi</v>
      </c>
      <c r="C27274" t="s">
        <v>445</v>
      </c>
      <c r="D27274" t="s">
        <v>823</v>
      </c>
      <c r="J27274">
        <v>2</v>
      </c>
    </row>
    <row r="27275" spans="1:10" x14ac:dyDescent="0.25">
      <c r="A27275" t="s">
        <v>304</v>
      </c>
      <c r="B27275" s="1" t="str">
        <f>HYPERLINK("http://epilepsiainfo.fi","epilepsiainfo.fi")</f>
        <v>epilepsiainfo.fi</v>
      </c>
      <c r="C27275" t="s">
        <v>445</v>
      </c>
      <c r="D27275" t="s">
        <v>823</v>
      </c>
      <c r="J27275">
        <v>2</v>
      </c>
    </row>
    <row r="27276" spans="1:10" x14ac:dyDescent="0.25">
      <c r="A27276" t="s">
        <v>304</v>
      </c>
      <c r="B27276" s="1" t="str">
        <f>HYPERLINK("http://erektioinfo.fi","erektioinfo.fi")</f>
        <v>erektioinfo.fi</v>
      </c>
      <c r="C27276" t="s">
        <v>445</v>
      </c>
      <c r="D27276" t="s">
        <v>823</v>
      </c>
      <c r="E27276">
        <v>809322</v>
      </c>
      <c r="J27276">
        <v>2</v>
      </c>
    </row>
    <row r="27277" spans="1:10" x14ac:dyDescent="0.25">
      <c r="A27277" t="s">
        <v>304</v>
      </c>
      <c r="B27277" s="1" t="str">
        <f>HYPERLINK("http://erektiokuntoon.fi","erektiokuntoon.fi")</f>
        <v>erektiokuntoon.fi</v>
      </c>
      <c r="C27277" t="s">
        <v>445</v>
      </c>
      <c r="D27277" t="s">
        <v>823</v>
      </c>
      <c r="J27277">
        <v>2</v>
      </c>
    </row>
    <row r="27278" spans="1:10" x14ac:dyDescent="0.25">
      <c r="A27278" t="s">
        <v>304</v>
      </c>
      <c r="B27278" s="1" t="str">
        <f>HYPERLINK("http://erektiovarmuus.fi","erektiovarmuus.fi")</f>
        <v>erektiovarmuus.fi</v>
      </c>
      <c r="C27278" t="s">
        <v>445</v>
      </c>
      <c r="D27278" t="s">
        <v>823</v>
      </c>
      <c r="F27278">
        <v>4.5351870912546899E-9</v>
      </c>
      <c r="G27278">
        <v>54086426</v>
      </c>
      <c r="H27278">
        <v>13763633</v>
      </c>
      <c r="I27278">
        <v>9126694</v>
      </c>
      <c r="J27278">
        <v>2</v>
      </c>
    </row>
    <row r="27279" spans="1:10" x14ac:dyDescent="0.25">
      <c r="A27279" t="s">
        <v>304</v>
      </c>
      <c r="B27279" s="1" t="str">
        <f>HYPERLINK("http://eroontupakasta.fi","eroontupakasta.fi")</f>
        <v>eroontupakasta.fi</v>
      </c>
      <c r="C27279" t="s">
        <v>445</v>
      </c>
      <c r="D27279" t="s">
        <v>823</v>
      </c>
      <c r="F27279">
        <v>4.71650733055163E-9</v>
      </c>
      <c r="G27279">
        <v>40388033</v>
      </c>
      <c r="H27279">
        <v>10844764</v>
      </c>
      <c r="I27279">
        <v>36993231</v>
      </c>
      <c r="J27279">
        <v>2</v>
      </c>
    </row>
    <row r="27280" spans="1:10" x14ac:dyDescent="0.25">
      <c r="A27280" t="s">
        <v>304</v>
      </c>
      <c r="B27280" s="1" t="str">
        <f>HYPERLINK("http://estimattr.fi","estimattr.fi")</f>
        <v>estimattr.fi</v>
      </c>
      <c r="C27280" t="s">
        <v>445</v>
      </c>
      <c r="D27280" t="s">
        <v>823</v>
      </c>
      <c r="J27280">
        <v>2</v>
      </c>
    </row>
    <row r="27281" spans="1:10" x14ac:dyDescent="0.25">
      <c r="A27281" t="s">
        <v>304</v>
      </c>
      <c r="B27281" s="1" t="str">
        <f>HYPERLINK("http://estracyt.fi","estracyt.fi")</f>
        <v>estracyt.fi</v>
      </c>
      <c r="C27281" t="s">
        <v>445</v>
      </c>
      <c r="D27281" t="s">
        <v>823</v>
      </c>
      <c r="J27281">
        <v>2</v>
      </c>
    </row>
    <row r="27282" spans="1:10" x14ac:dyDescent="0.25">
      <c r="A27282" t="s">
        <v>304</v>
      </c>
      <c r="B27282" s="1" t="str">
        <f>HYPERLINK("http://expecttheunexpected.fi","expecttheunexpected.fi")</f>
        <v>expecttheunexpected.fi</v>
      </c>
      <c r="C27282" t="s">
        <v>445</v>
      </c>
      <c r="D27282" t="s">
        <v>823</v>
      </c>
      <c r="J27282">
        <v>2</v>
      </c>
    </row>
    <row r="27283" spans="1:10" x14ac:dyDescent="0.25">
      <c r="A27283" t="s">
        <v>304</v>
      </c>
      <c r="B27283" s="1" t="str">
        <f>HYPERLINK("http://farmorubicin.fi","farmorubicin.fi")</f>
        <v>farmorubicin.fi</v>
      </c>
      <c r="C27283" t="s">
        <v>445</v>
      </c>
      <c r="D27283" t="s">
        <v>823</v>
      </c>
      <c r="J27283">
        <v>2</v>
      </c>
    </row>
    <row r="27284" spans="1:10" x14ac:dyDescent="0.25">
      <c r="A27284" t="s">
        <v>304</v>
      </c>
      <c r="B27284" s="1" t="str">
        <f>HYPERLINK("http://fastingsklinik.fi","fastingsklinik.fi")</f>
        <v>fastingsklinik.fi</v>
      </c>
      <c r="C27284" t="s">
        <v>445</v>
      </c>
      <c r="D27284" t="s">
        <v>823</v>
      </c>
      <c r="J27284">
        <v>2</v>
      </c>
    </row>
    <row r="27285" spans="1:10" x14ac:dyDescent="0.25">
      <c r="A27285" t="s">
        <v>304</v>
      </c>
      <c r="B27285" s="1" t="str">
        <f>HYPERLINK("http://felden.fi","felden.fi")</f>
        <v>felden.fi</v>
      </c>
      <c r="C27285" t="s">
        <v>445</v>
      </c>
      <c r="D27285" t="s">
        <v>823</v>
      </c>
      <c r="J27285">
        <v>2</v>
      </c>
    </row>
    <row r="27286" spans="1:10" x14ac:dyDescent="0.25">
      <c r="A27286" t="s">
        <v>304</v>
      </c>
      <c r="B27286" s="1" t="str">
        <f>HYPERLINK("http://fesoteradine.fi","fesoteradine.fi")</f>
        <v>fesoteradine.fi</v>
      </c>
      <c r="C27286" t="s">
        <v>445</v>
      </c>
      <c r="D27286" t="s">
        <v>823</v>
      </c>
      <c r="J27286">
        <v>2</v>
      </c>
    </row>
    <row r="27287" spans="1:10" x14ac:dyDescent="0.25">
      <c r="A27287" t="s">
        <v>304</v>
      </c>
      <c r="B27287" s="1" t="str">
        <f>HYPERLINK("http://fesoteradone.fi","fesoteradone.fi")</f>
        <v>fesoteradone.fi</v>
      </c>
      <c r="C27287" t="s">
        <v>445</v>
      </c>
      <c r="D27287" t="s">
        <v>823</v>
      </c>
      <c r="J27287">
        <v>2</v>
      </c>
    </row>
    <row r="27288" spans="1:10" x14ac:dyDescent="0.25">
      <c r="A27288" t="s">
        <v>304</v>
      </c>
      <c r="B27288" s="1" t="str">
        <f>HYPERLINK("http://fesoteridone.fi","fesoteridone.fi")</f>
        <v>fesoteridone.fi</v>
      </c>
      <c r="C27288" t="s">
        <v>445</v>
      </c>
      <c r="D27288" t="s">
        <v>823</v>
      </c>
      <c r="J27288">
        <v>2</v>
      </c>
    </row>
    <row r="27289" spans="1:10" x14ac:dyDescent="0.25">
      <c r="A27289" t="s">
        <v>304</v>
      </c>
      <c r="B27289" s="1" t="str">
        <f>HYPERLINK("http://fesotoridine.fi","fesotoridine.fi")</f>
        <v>fesotoridine.fi</v>
      </c>
      <c r="C27289" t="s">
        <v>445</v>
      </c>
      <c r="D27289" t="s">
        <v>823</v>
      </c>
      <c r="J27289">
        <v>2</v>
      </c>
    </row>
    <row r="27290" spans="1:10" x14ac:dyDescent="0.25">
      <c r="A27290" t="s">
        <v>304</v>
      </c>
      <c r="B27290" s="1" t="str">
        <f>HYPERLINK("http://fragmin.fi","fragmin.fi")</f>
        <v>fragmin.fi</v>
      </c>
      <c r="C27290" t="s">
        <v>445</v>
      </c>
      <c r="D27290" t="s">
        <v>823</v>
      </c>
      <c r="J27290">
        <v>2</v>
      </c>
    </row>
    <row r="27291" spans="1:10" x14ac:dyDescent="0.25">
      <c r="A27291" t="s">
        <v>304</v>
      </c>
      <c r="B27291" s="1" t="str">
        <f>HYPERLINK("http://fyletic.fi","fyletic.fi")</f>
        <v>fyletic.fi</v>
      </c>
      <c r="C27291" t="s">
        <v>445</v>
      </c>
      <c r="D27291" t="s">
        <v>823</v>
      </c>
      <c r="J27291">
        <v>2</v>
      </c>
    </row>
    <row r="27292" spans="1:10" x14ac:dyDescent="0.25">
      <c r="A27292" t="s">
        <v>304</v>
      </c>
      <c r="B27292" s="1" t="str">
        <f>HYPERLINK("http://genotropin.fi","genotropin.fi")</f>
        <v>genotropin.fi</v>
      </c>
      <c r="C27292" t="s">
        <v>445</v>
      </c>
      <c r="D27292" t="s">
        <v>823</v>
      </c>
      <c r="J27292">
        <v>2</v>
      </c>
    </row>
    <row r="27293" spans="1:10" x14ac:dyDescent="0.25">
      <c r="A27293" t="s">
        <v>304</v>
      </c>
      <c r="B27293" s="1" t="str">
        <f>HYPERLINK("http://glasdegibi.fi","glasdegibi.fi")</f>
        <v>glasdegibi.fi</v>
      </c>
      <c r="C27293" t="s">
        <v>445</v>
      </c>
      <c r="D27293" t="s">
        <v>823</v>
      </c>
      <c r="J27293">
        <v>2</v>
      </c>
    </row>
    <row r="27294" spans="1:10" x14ac:dyDescent="0.25">
      <c r="A27294" t="s">
        <v>304</v>
      </c>
      <c r="B27294" s="1" t="str">
        <f>HYPERLINK("http://groassist.fi","groassist.fi")</f>
        <v>groassist.fi</v>
      </c>
      <c r="C27294" t="s">
        <v>445</v>
      </c>
      <c r="D27294" t="s">
        <v>823</v>
      </c>
      <c r="J27294">
        <v>2</v>
      </c>
    </row>
    <row r="27295" spans="1:10" x14ac:dyDescent="0.25">
      <c r="A27295" t="s">
        <v>304</v>
      </c>
      <c r="B27295" s="1" t="str">
        <f>HYPERLINK("http://gyno-trosyd.fi","gyno-trosyd.fi")</f>
        <v>gyno-trosyd.fi</v>
      </c>
      <c r="C27295" t="s">
        <v>445</v>
      </c>
      <c r="D27295" t="s">
        <v>823</v>
      </c>
      <c r="J27295">
        <v>2</v>
      </c>
    </row>
    <row r="27296" spans="1:10" x14ac:dyDescent="0.25">
      <c r="A27296" t="s">
        <v>304</v>
      </c>
      <c r="B27296" s="1" t="str">
        <f>HYPERLINK("http://harvinaisennormaalia.fi","harvinaisennormaalia.fi")</f>
        <v>harvinaisennormaalia.fi</v>
      </c>
      <c r="C27296" t="s">
        <v>445</v>
      </c>
      <c r="D27296" t="s">
        <v>823</v>
      </c>
      <c r="F27296">
        <v>4.8599806869175404E-9</v>
      </c>
      <c r="G27296">
        <v>33814183</v>
      </c>
      <c r="H27296">
        <v>10593458</v>
      </c>
      <c r="I27296">
        <v>45500916</v>
      </c>
      <c r="J27296">
        <v>2</v>
      </c>
    </row>
    <row r="27297" spans="1:10" x14ac:dyDescent="0.25">
      <c r="A27297" t="s">
        <v>304</v>
      </c>
      <c r="B27297" s="1" t="str">
        <f>HYPERLINK("http://hospira.fi","hospira.fi")</f>
        <v>hospira.fi</v>
      </c>
      <c r="C27297" t="s">
        <v>445</v>
      </c>
      <c r="D27297" t="s">
        <v>823</v>
      </c>
      <c r="J27297">
        <v>2</v>
      </c>
    </row>
    <row r="27298" spans="1:10" x14ac:dyDescent="0.25">
      <c r="A27298" t="s">
        <v>304</v>
      </c>
      <c r="B27298" s="1" t="str">
        <f>HYPERLINK("http://hyvavatsa.fi","hyvavatsa.fi")</f>
        <v>hyvavatsa.fi</v>
      </c>
      <c r="C27298" t="s">
        <v>445</v>
      </c>
      <c r="D27298" t="s">
        <v>823</v>
      </c>
      <c r="F27298">
        <v>1.0856601611695601E-8</v>
      </c>
      <c r="G27298">
        <v>5975610</v>
      </c>
      <c r="H27298">
        <v>13763837</v>
      </c>
      <c r="I27298">
        <v>7573545</v>
      </c>
      <c r="J27298">
        <v>2</v>
      </c>
    </row>
    <row r="27299" spans="1:10" x14ac:dyDescent="0.25">
      <c r="A27299" t="s">
        <v>304</v>
      </c>
      <c r="B27299" s="1" t="str">
        <f>HYPERLINK("http://hyvvatsa.fi","hyvvatsa.fi")</f>
        <v>hyvvatsa.fi</v>
      </c>
      <c r="C27299" t="s">
        <v>445</v>
      </c>
      <c r="D27299" t="s">
        <v>823</v>
      </c>
      <c r="J27299">
        <v>2</v>
      </c>
    </row>
    <row r="27300" spans="1:10" x14ac:dyDescent="0.25">
      <c r="A27300" t="s">
        <v>304</v>
      </c>
      <c r="B27300" s="1" t="str">
        <f>HYPERLINK("http://ibrance.fi","ibrance.fi")</f>
        <v>ibrance.fi</v>
      </c>
      <c r="C27300" t="s">
        <v>445</v>
      </c>
      <c r="D27300" t="s">
        <v>823</v>
      </c>
      <c r="J27300">
        <v>2</v>
      </c>
    </row>
    <row r="27301" spans="1:10" x14ac:dyDescent="0.25">
      <c r="A27301" t="s">
        <v>304</v>
      </c>
      <c r="B27301" s="1" t="str">
        <f>HYPERLINK("http://icontrol-med.fi","icontrol-med.fi")</f>
        <v>icontrol-med.fi</v>
      </c>
      <c r="C27301" t="s">
        <v>445</v>
      </c>
      <c r="D27301" t="s">
        <v>823</v>
      </c>
      <c r="J27301">
        <v>2</v>
      </c>
    </row>
    <row r="27302" spans="1:10" x14ac:dyDescent="0.25">
      <c r="A27302" t="s">
        <v>304</v>
      </c>
      <c r="B27302" s="1" t="str">
        <f>HYPERLINK("http://igro-gh.fi","igro-gh.fi")</f>
        <v>igro-gh.fi</v>
      </c>
      <c r="C27302" t="s">
        <v>445</v>
      </c>
      <c r="D27302" t="s">
        <v>823</v>
      </c>
      <c r="F27302">
        <v>4.44380395335525E-9</v>
      </c>
      <c r="G27302">
        <v>87708742</v>
      </c>
      <c r="H27302">
        <v>0</v>
      </c>
      <c r="I27302">
        <v>85886967</v>
      </c>
      <c r="J27302">
        <v>2</v>
      </c>
    </row>
    <row r="27303" spans="1:10" x14ac:dyDescent="0.25">
      <c r="A27303" t="s">
        <v>304</v>
      </c>
      <c r="B27303" s="1" t="str">
        <f>HYPERLINK("http://igrohub.fi","igrohub.fi")</f>
        <v>igrohub.fi</v>
      </c>
      <c r="C27303" t="s">
        <v>445</v>
      </c>
      <c r="D27303" t="s">
        <v>823</v>
      </c>
      <c r="J27303">
        <v>2</v>
      </c>
    </row>
    <row r="27304" spans="1:10" x14ac:dyDescent="0.25">
      <c r="A27304" t="s">
        <v>304</v>
      </c>
      <c r="B27304" s="1" t="str">
        <f>HYPERLINK("http://inflectra.fi","inflectra.fi")</f>
        <v>inflectra.fi</v>
      </c>
      <c r="C27304" t="s">
        <v>445</v>
      </c>
      <c r="D27304" t="s">
        <v>823</v>
      </c>
      <c r="J27304">
        <v>2</v>
      </c>
    </row>
    <row r="27305" spans="1:10" x14ac:dyDescent="0.25">
      <c r="A27305" t="s">
        <v>304</v>
      </c>
      <c r="B27305" s="1" t="str">
        <f>HYPERLINK("http://inlyta.fi","inlyta.fi")</f>
        <v>inlyta.fi</v>
      </c>
      <c r="C27305" t="s">
        <v>445</v>
      </c>
      <c r="D27305" t="s">
        <v>823</v>
      </c>
      <c r="J27305">
        <v>2</v>
      </c>
    </row>
    <row r="27306" spans="1:10" x14ac:dyDescent="0.25">
      <c r="A27306" t="s">
        <v>304</v>
      </c>
      <c r="B27306" s="1" t="str">
        <f>HYPERLINK("http://jak-kinaasi.fi","jak-kinaasi.fi")</f>
        <v>jak-kinaasi.fi</v>
      </c>
      <c r="C27306" t="s">
        <v>445</v>
      </c>
      <c r="D27306" t="s">
        <v>823</v>
      </c>
      <c r="J27306">
        <v>2</v>
      </c>
    </row>
    <row r="27307" spans="1:10" x14ac:dyDescent="0.25">
      <c r="A27307" t="s">
        <v>304</v>
      </c>
      <c r="B27307" s="1" t="str">
        <f>HYPERLINK("http://jak-reitit.fi","jak-reitit.fi")</f>
        <v>jak-reitit.fi</v>
      </c>
      <c r="C27307" t="s">
        <v>445</v>
      </c>
      <c r="D27307" t="s">
        <v>823</v>
      </c>
      <c r="J27307">
        <v>2</v>
      </c>
    </row>
    <row r="27308" spans="1:10" x14ac:dyDescent="0.25">
      <c r="A27308" t="s">
        <v>304</v>
      </c>
      <c r="B27308" s="1" t="str">
        <f>HYPERLINK("http://janus-kinaasi.fi","janus-kinaasi.fi")</f>
        <v>janus-kinaasi.fi</v>
      </c>
      <c r="C27308" t="s">
        <v>445</v>
      </c>
      <c r="D27308" t="s">
        <v>823</v>
      </c>
      <c r="J27308">
        <v>2</v>
      </c>
    </row>
    <row r="27309" spans="1:10" x14ac:dyDescent="0.25">
      <c r="A27309" t="s">
        <v>304</v>
      </c>
      <c r="B27309" s="1" t="str">
        <f>HYPERLINK("http://januskinaasi.fi","januskinaasi.fi")</f>
        <v>januskinaasi.fi</v>
      </c>
      <c r="C27309" t="s">
        <v>445</v>
      </c>
      <c r="D27309" t="s">
        <v>823</v>
      </c>
      <c r="J27309">
        <v>2</v>
      </c>
    </row>
    <row r="27310" spans="1:10" x14ac:dyDescent="0.25">
      <c r="A27310" t="s">
        <v>304</v>
      </c>
      <c r="B27310" s="1" t="str">
        <f>HYPERLINK("http://jolibity.fi","jolibity.fi")</f>
        <v>jolibity.fi</v>
      </c>
      <c r="C27310" t="s">
        <v>445</v>
      </c>
      <c r="D27310" t="s">
        <v>823</v>
      </c>
      <c r="J27310">
        <v>2</v>
      </c>
    </row>
    <row r="27311" spans="1:10" x14ac:dyDescent="0.25">
      <c r="A27311" t="s">
        <v>304</v>
      </c>
      <c r="B27311" s="1" t="str">
        <f>HYPERLINK("http://juniorakatemia.fi","juniorakatemia.fi")</f>
        <v>juniorakatemia.fi</v>
      </c>
      <c r="C27311" t="s">
        <v>445</v>
      </c>
      <c r="D27311" t="s">
        <v>823</v>
      </c>
      <c r="J27311">
        <v>2</v>
      </c>
    </row>
    <row r="27312" spans="1:10" x14ac:dyDescent="0.25">
      <c r="A27312" t="s">
        <v>304</v>
      </c>
      <c r="B27312" s="1" t="str">
        <f>HYPERLINK("http://kandiakatemia.fi","kandiakatemia.fi")</f>
        <v>kandiakatemia.fi</v>
      </c>
      <c r="C27312" t="s">
        <v>445</v>
      </c>
      <c r="D27312" t="s">
        <v>823</v>
      </c>
      <c r="J27312">
        <v>2</v>
      </c>
    </row>
    <row r="27313" spans="1:10" x14ac:dyDescent="0.25">
      <c r="A27313" t="s">
        <v>304</v>
      </c>
      <c r="B27313" s="1" t="str">
        <f>HYPERLINK("http://karistatupakoitsija.fi","karistatupakoitsija.fi")</f>
        <v>karistatupakoitsija.fi</v>
      </c>
      <c r="C27313" t="s">
        <v>445</v>
      </c>
      <c r="D27313" t="s">
        <v>823</v>
      </c>
      <c r="J27313">
        <v>2</v>
      </c>
    </row>
    <row r="27314" spans="1:10" x14ac:dyDescent="0.25">
      <c r="A27314" t="s">
        <v>304</v>
      </c>
      <c r="B27314" s="1" t="str">
        <f>HYPERLINK("http://kasvuhormoni.fi","kasvuhormoni.fi")</f>
        <v>kasvuhormoni.fi</v>
      </c>
      <c r="C27314" t="s">
        <v>445</v>
      </c>
      <c r="D27314" t="s">
        <v>823</v>
      </c>
      <c r="J27314">
        <v>2</v>
      </c>
    </row>
    <row r="27315" spans="1:10" x14ac:dyDescent="0.25">
      <c r="A27315" t="s">
        <v>304</v>
      </c>
      <c r="B27315" s="1" t="str">
        <f>HYPERLINK("http://knowmycycle.fi","knowmycycle.fi")</f>
        <v>knowmycycle.fi</v>
      </c>
      <c r="C27315" t="s">
        <v>445</v>
      </c>
      <c r="D27315" t="s">
        <v>823</v>
      </c>
      <c r="J27315">
        <v>2</v>
      </c>
    </row>
    <row r="27316" spans="1:10" x14ac:dyDescent="0.25">
      <c r="A27316" t="s">
        <v>304</v>
      </c>
      <c r="B27316" s="1" t="str">
        <f>HYPERLINK("http://kohtivaloa.fi","kohtivaloa.fi")</f>
        <v>kohtivaloa.fi</v>
      </c>
      <c r="C27316" t="s">
        <v>445</v>
      </c>
      <c r="D27316" t="s">
        <v>823</v>
      </c>
      <c r="J27316">
        <v>2</v>
      </c>
    </row>
    <row r="27317" spans="1:10" x14ac:dyDescent="0.25">
      <c r="A27317" t="s">
        <v>304</v>
      </c>
      <c r="B27317" s="1" t="str">
        <f>HYPERLINK("http://koukkusormi.fi","koukkusormi.fi")</f>
        <v>koukkusormi.fi</v>
      </c>
      <c r="C27317" t="s">
        <v>445</v>
      </c>
      <c r="D27317" t="s">
        <v>823</v>
      </c>
      <c r="J27317">
        <v>2</v>
      </c>
    </row>
    <row r="27318" spans="1:10" x14ac:dyDescent="0.25">
      <c r="A27318" t="s">
        <v>304</v>
      </c>
      <c r="B27318" s="1" t="str">
        <f>HYPERLINK("http://lapsenkasvu.fi","lapsenkasvu.fi")</f>
        <v>lapsenkasvu.fi</v>
      </c>
      <c r="C27318" t="s">
        <v>445</v>
      </c>
      <c r="D27318" t="s">
        <v>823</v>
      </c>
      <c r="J27318">
        <v>2</v>
      </c>
    </row>
    <row r="27319" spans="1:10" x14ac:dyDescent="0.25">
      <c r="A27319" t="s">
        <v>304</v>
      </c>
      <c r="B27319" s="1" t="str">
        <f>HYPERLINK("http://liferewards.fi","liferewards.fi")</f>
        <v>liferewards.fi</v>
      </c>
      <c r="C27319" t="s">
        <v>445</v>
      </c>
      <c r="D27319" t="s">
        <v>823</v>
      </c>
      <c r="J27319">
        <v>2</v>
      </c>
    </row>
    <row r="27320" spans="1:10" x14ac:dyDescent="0.25">
      <c r="A27320" t="s">
        <v>304</v>
      </c>
      <c r="B27320" s="1" t="str">
        <f>HYPERLINK("http://lorbrena.fi","lorbrena.fi")</f>
        <v>lorbrena.fi</v>
      </c>
      <c r="C27320" t="s">
        <v>445</v>
      </c>
      <c r="D27320" t="s">
        <v>823</v>
      </c>
      <c r="J27320">
        <v>2</v>
      </c>
    </row>
    <row r="27321" spans="1:10" x14ac:dyDescent="0.25">
      <c r="A27321" t="s">
        <v>304</v>
      </c>
      <c r="B27321" s="1" t="str">
        <f>HYPERLINK("http://lorlatinibi.fi","lorlatinibi.fi")</f>
        <v>lorlatinibi.fi</v>
      </c>
      <c r="C27321" t="s">
        <v>445</v>
      </c>
      <c r="D27321" t="s">
        <v>823</v>
      </c>
      <c r="J27321">
        <v>2</v>
      </c>
    </row>
    <row r="27322" spans="1:10" x14ac:dyDescent="0.25">
      <c r="A27322" t="s">
        <v>304</v>
      </c>
      <c r="B27322" s="1" t="str">
        <f>HYPERLINK("http://lorviqua.fi","lorviqua.fi")</f>
        <v>lorviqua.fi</v>
      </c>
      <c r="C27322" t="s">
        <v>445</v>
      </c>
      <c r="D27322" t="s">
        <v>823</v>
      </c>
      <c r="J27322">
        <v>2</v>
      </c>
    </row>
    <row r="27323" spans="1:10" x14ac:dyDescent="0.25">
      <c r="A27323" t="s">
        <v>304</v>
      </c>
      <c r="B27323" s="1" t="str">
        <f>HYPERLINK("http://meningokokki.fi","meningokokki.fi")</f>
        <v>meningokokki.fi</v>
      </c>
      <c r="C27323" t="s">
        <v>445</v>
      </c>
      <c r="D27323" t="s">
        <v>823</v>
      </c>
      <c r="F27323">
        <v>4.5376654346566697E-9</v>
      </c>
      <c r="G27323">
        <v>53612788</v>
      </c>
      <c r="H27323">
        <v>10345354</v>
      </c>
      <c r="I27323">
        <v>56983796</v>
      </c>
      <c r="J27323">
        <v>2</v>
      </c>
    </row>
    <row r="27324" spans="1:10" x14ac:dyDescent="0.25">
      <c r="A27324" t="s">
        <v>304</v>
      </c>
      <c r="B27324" s="1" t="str">
        <f>HYPERLINK("http://migraineandme.fi","migraineandme.fi")</f>
        <v>migraineandme.fi</v>
      </c>
      <c r="C27324" t="s">
        <v>445</v>
      </c>
      <c r="D27324" t="s">
        <v>823</v>
      </c>
      <c r="F27324">
        <v>4.4454914785797996E-9</v>
      </c>
      <c r="G27324">
        <v>75226344</v>
      </c>
      <c r="H27324">
        <v>10508615</v>
      </c>
      <c r="I27324">
        <v>50316600</v>
      </c>
      <c r="J27324">
        <v>2</v>
      </c>
    </row>
    <row r="27325" spans="1:10" x14ac:dyDescent="0.25">
      <c r="A27325" t="s">
        <v>304</v>
      </c>
      <c r="B27325" s="1" t="str">
        <f>HYPERLINK("http://minuntarinani.fi","minuntarinani.fi")</f>
        <v>minuntarinani.fi</v>
      </c>
      <c r="C27325" t="s">
        <v>445</v>
      </c>
      <c r="D27325" t="s">
        <v>823</v>
      </c>
      <c r="F27325">
        <v>4.6714169153271404E-9</v>
      </c>
      <c r="G27325">
        <v>42846218</v>
      </c>
      <c r="H27325">
        <v>13763635</v>
      </c>
      <c r="I27325">
        <v>8222164</v>
      </c>
      <c r="J27325">
        <v>2</v>
      </c>
    </row>
    <row r="27326" spans="1:10" x14ac:dyDescent="0.25">
      <c r="A27326" t="s">
        <v>304</v>
      </c>
      <c r="B27326" s="1" t="str">
        <f>HYPERLINK("http://minuntukenani.fi","minuntukenani.fi")</f>
        <v>minuntukenani.fi</v>
      </c>
      <c r="C27326" t="s">
        <v>445</v>
      </c>
      <c r="D27326" t="s">
        <v>823</v>
      </c>
      <c r="J27326">
        <v>2</v>
      </c>
    </row>
    <row r="27327" spans="1:10" x14ac:dyDescent="0.25">
      <c r="A27327" t="s">
        <v>304</v>
      </c>
      <c r="B27327" s="1" t="str">
        <f>HYPERLINK("http://mirgraineandme.fi","mirgraineandme.fi")</f>
        <v>mirgraineandme.fi</v>
      </c>
      <c r="C27327" t="s">
        <v>445</v>
      </c>
      <c r="D27327" t="s">
        <v>823</v>
      </c>
      <c r="J27327">
        <v>2</v>
      </c>
    </row>
    <row r="27328" spans="1:10" x14ac:dyDescent="0.25">
      <c r="A27328" t="s">
        <v>304</v>
      </c>
      <c r="B27328" s="1" t="str">
        <f>HYPERLINK("http://nettiakatemia.fi","nettiakatemia.fi")</f>
        <v>nettiakatemia.fi</v>
      </c>
      <c r="C27328" t="s">
        <v>445</v>
      </c>
      <c r="D27328" t="s">
        <v>823</v>
      </c>
      <c r="J27328">
        <v>2</v>
      </c>
    </row>
    <row r="27329" spans="1:10" x14ac:dyDescent="0.25">
      <c r="A27329" t="s">
        <v>304</v>
      </c>
      <c r="B27329" s="1" t="str">
        <f>HYPERLINK("http://ngenla.fi","ngenla.fi")</f>
        <v>ngenla.fi</v>
      </c>
      <c r="C27329" t="s">
        <v>445</v>
      </c>
      <c r="D27329" t="s">
        <v>823</v>
      </c>
      <c r="J27329">
        <v>2</v>
      </c>
    </row>
    <row r="27330" spans="1:10" x14ac:dyDescent="0.25">
      <c r="A27330" t="s">
        <v>304</v>
      </c>
      <c r="B27330" s="1" t="str">
        <f>HYPERLINK("http://nivestim.fi","nivestim.fi")</f>
        <v>nivestim.fi</v>
      </c>
      <c r="C27330" t="s">
        <v>445</v>
      </c>
      <c r="D27330" t="s">
        <v>823</v>
      </c>
      <c r="J27330">
        <v>2</v>
      </c>
    </row>
    <row r="27331" spans="1:10" x14ac:dyDescent="0.25">
      <c r="A27331" t="s">
        <v>304</v>
      </c>
      <c r="B27331" s="1" t="str">
        <f>HYPERLINK("http://nuresca.fi","nuresca.fi")</f>
        <v>nuresca.fi</v>
      </c>
      <c r="C27331" t="s">
        <v>445</v>
      </c>
      <c r="D27331" t="s">
        <v>823</v>
      </c>
      <c r="J27331">
        <v>2</v>
      </c>
    </row>
    <row r="27332" spans="1:10" x14ac:dyDescent="0.25">
      <c r="A27332" t="s">
        <v>304</v>
      </c>
      <c r="B27332" s="1" t="str">
        <f>HYPERLINK("http://omalaake.fi","omalaake.fi")</f>
        <v>omalaake.fi</v>
      </c>
      <c r="C27332" t="s">
        <v>445</v>
      </c>
      <c r="D27332" t="s">
        <v>823</v>
      </c>
      <c r="J27332">
        <v>2</v>
      </c>
    </row>
    <row r="27333" spans="1:10" x14ac:dyDescent="0.25">
      <c r="A27333" t="s">
        <v>304</v>
      </c>
      <c r="B27333" s="1" t="str">
        <f>HYPERLINK("http://opioidiummetusta.fi","opioidiummetusta.fi")</f>
        <v>opioidiummetusta.fi</v>
      </c>
      <c r="C27333" t="s">
        <v>445</v>
      </c>
      <c r="D27333" t="s">
        <v>823</v>
      </c>
      <c r="J27333">
        <v>2</v>
      </c>
    </row>
    <row r="27334" spans="1:10" x14ac:dyDescent="0.25">
      <c r="A27334" t="s">
        <v>304</v>
      </c>
      <c r="B27334" s="1" t="str">
        <f>HYPERLINK("http://outokipu.fi","outokipu.fi")</f>
        <v>outokipu.fi</v>
      </c>
      <c r="C27334" t="s">
        <v>445</v>
      </c>
      <c r="D27334" t="s">
        <v>823</v>
      </c>
      <c r="J27334">
        <v>2</v>
      </c>
    </row>
    <row r="27335" spans="1:10" x14ac:dyDescent="0.25">
      <c r="A27335" t="s">
        <v>304</v>
      </c>
      <c r="B27335" s="1" t="str">
        <f>HYPERLINK("http://paindetect.fi","paindetect.fi")</f>
        <v>paindetect.fi</v>
      </c>
      <c r="C27335" t="s">
        <v>445</v>
      </c>
      <c r="D27335" t="s">
        <v>823</v>
      </c>
      <c r="J27335">
        <v>2</v>
      </c>
    </row>
    <row r="27336" spans="1:10" x14ac:dyDescent="0.25">
      <c r="A27336" t="s">
        <v>304</v>
      </c>
      <c r="B27336" s="1" t="str">
        <f>HYPERLINK("http://palbociclib.fi","palbociclib.fi")</f>
        <v>palbociclib.fi</v>
      </c>
      <c r="C27336" t="s">
        <v>445</v>
      </c>
      <c r="D27336" t="s">
        <v>823</v>
      </c>
      <c r="J27336">
        <v>2</v>
      </c>
    </row>
    <row r="27337" spans="1:10" x14ac:dyDescent="0.25">
      <c r="A27337" t="s">
        <v>304</v>
      </c>
      <c r="B27337" s="1" t="str">
        <f>HYPERLINK("http://partnershipinpractice.fi","partnershipinpractice.fi")</f>
        <v>partnershipinpractice.fi</v>
      </c>
      <c r="C27337" t="s">
        <v>445</v>
      </c>
      <c r="D27337" t="s">
        <v>823</v>
      </c>
      <c r="J27337">
        <v>2</v>
      </c>
    </row>
    <row r="27338" spans="1:10" x14ac:dyDescent="0.25">
      <c r="A27338" t="s">
        <v>304</v>
      </c>
      <c r="B27338" s="1" t="str">
        <f>HYPERLINK("http://paxlovid.fi","paxlovid.fi")</f>
        <v>paxlovid.fi</v>
      </c>
      <c r="C27338" t="s">
        <v>445</v>
      </c>
      <c r="D27338" t="s">
        <v>823</v>
      </c>
      <c r="J27338">
        <v>2</v>
      </c>
    </row>
    <row r="27339" spans="1:10" x14ac:dyDescent="0.25">
      <c r="A27339" t="s">
        <v>304</v>
      </c>
      <c r="B27339" s="1" t="str">
        <f>HYPERLINK("http://paxlovideducation.fi","paxlovideducation.fi")</f>
        <v>paxlovideducation.fi</v>
      </c>
      <c r="C27339" t="s">
        <v>445</v>
      </c>
      <c r="D27339" t="s">
        <v>823</v>
      </c>
      <c r="F27339">
        <v>5.7258556670602004E-9</v>
      </c>
      <c r="G27339">
        <v>18699468</v>
      </c>
      <c r="H27339">
        <v>10301458</v>
      </c>
      <c r="I27339">
        <v>58443794</v>
      </c>
      <c r="J27339">
        <v>2</v>
      </c>
    </row>
    <row r="27340" spans="1:10" x14ac:dyDescent="0.25">
      <c r="A27340" t="s">
        <v>304</v>
      </c>
      <c r="B27340" s="1" t="str">
        <f>HYPERLINK("http://penbraya.fi","penbraya.fi")</f>
        <v>penbraya.fi</v>
      </c>
      <c r="C27340" t="s">
        <v>445</v>
      </c>
      <c r="D27340" t="s">
        <v>823</v>
      </c>
      <c r="J27340">
        <v>2</v>
      </c>
    </row>
    <row r="27341" spans="1:10" x14ac:dyDescent="0.25">
      <c r="A27341" t="s">
        <v>304</v>
      </c>
      <c r="B27341" s="1" t="str">
        <f>HYPERLINK("http://pfizer.fi","pfizer.fi")</f>
        <v>pfizer.fi</v>
      </c>
      <c r="C27341" t="s">
        <v>445</v>
      </c>
      <c r="D27341" t="s">
        <v>823</v>
      </c>
      <c r="F27341">
        <v>5.1831350734602699E-8</v>
      </c>
      <c r="G27341">
        <v>881553</v>
      </c>
      <c r="H27341">
        <v>14325739</v>
      </c>
      <c r="I27341">
        <v>1327018</v>
      </c>
      <c r="J27341">
        <v>2</v>
      </c>
    </row>
    <row r="27342" spans="1:10" x14ac:dyDescent="0.25">
      <c r="A27342" t="s">
        <v>304</v>
      </c>
      <c r="B27342" s="1" t="str">
        <f>HYPERLINK("http://pfizerakatemia.fi","pfizerakatemia.fi")</f>
        <v>pfizerakatemia.fi</v>
      </c>
      <c r="C27342" t="s">
        <v>445</v>
      </c>
      <c r="D27342" t="s">
        <v>823</v>
      </c>
      <c r="J27342">
        <v>2</v>
      </c>
    </row>
    <row r="27343" spans="1:10" x14ac:dyDescent="0.25">
      <c r="A27343" t="s">
        <v>304</v>
      </c>
      <c r="B27343" s="1" t="str">
        <f>HYPERLINK("http://pfizerforyou.fi","pfizerforyou.fi")</f>
        <v>pfizerforyou.fi</v>
      </c>
      <c r="C27343" t="s">
        <v>445</v>
      </c>
      <c r="D27343" t="s">
        <v>823</v>
      </c>
      <c r="J27343">
        <v>2</v>
      </c>
    </row>
    <row r="27344" spans="1:10" x14ac:dyDescent="0.25">
      <c r="A27344" t="s">
        <v>304</v>
      </c>
      <c r="B27344" s="1" t="str">
        <f>HYPERLINK("http://pfizerhealthsolutions.fi","pfizerhealthsolutions.fi")</f>
        <v>pfizerhealthsolutions.fi</v>
      </c>
      <c r="C27344" t="s">
        <v>445</v>
      </c>
      <c r="D27344" t="s">
        <v>823</v>
      </c>
      <c r="J27344">
        <v>2</v>
      </c>
    </row>
    <row r="27345" spans="1:10" x14ac:dyDescent="0.25">
      <c r="A27345" t="s">
        <v>304</v>
      </c>
      <c r="B27345" s="1" t="str">
        <f>HYPERLINK("http://pfizerline.fi","pfizerline.fi")</f>
        <v>pfizerline.fi</v>
      </c>
      <c r="C27345" t="s">
        <v>445</v>
      </c>
      <c r="D27345" t="s">
        <v>823</v>
      </c>
      <c r="J27345">
        <v>2</v>
      </c>
    </row>
    <row r="27346" spans="1:10" x14ac:dyDescent="0.25">
      <c r="A27346" t="s">
        <v>304</v>
      </c>
      <c r="B27346" s="1" t="str">
        <f>HYPERLINK("http://pfizermedicalinformation.fi","pfizermedicalinformation.fi")</f>
        <v>pfizermedicalinformation.fi</v>
      </c>
      <c r="C27346" t="s">
        <v>445</v>
      </c>
      <c r="D27346" t="s">
        <v>823</v>
      </c>
      <c r="F27346">
        <v>1.8905894343234602E-8</v>
      </c>
      <c r="G27346">
        <v>2852431</v>
      </c>
      <c r="H27346">
        <v>12125403</v>
      </c>
      <c r="I27346">
        <v>25269892</v>
      </c>
      <c r="J27346">
        <v>2</v>
      </c>
    </row>
    <row r="27347" spans="1:10" x14ac:dyDescent="0.25">
      <c r="A27347" t="s">
        <v>304</v>
      </c>
      <c r="B27347" s="1" t="str">
        <f>HYPERLINK("http://pfizermedinfo.fi","pfizermedinfo.fi")</f>
        <v>pfizermedinfo.fi</v>
      </c>
      <c r="C27347" t="s">
        <v>445</v>
      </c>
      <c r="D27347" t="s">
        <v>823</v>
      </c>
      <c r="J27347">
        <v>2</v>
      </c>
    </row>
    <row r="27348" spans="1:10" x14ac:dyDescent="0.25">
      <c r="A27348" t="s">
        <v>304</v>
      </c>
      <c r="B27348" s="1" t="str">
        <f>HYPERLINK("http://pfizerpro.fi","pfizerpro.fi")</f>
        <v>pfizerpro.fi</v>
      </c>
      <c r="C27348" t="s">
        <v>445</v>
      </c>
      <c r="D27348" t="s">
        <v>823</v>
      </c>
      <c r="F27348">
        <v>5.3122955339705299E-9</v>
      </c>
      <c r="G27348">
        <v>23315690</v>
      </c>
      <c r="H27348">
        <v>10639911</v>
      </c>
      <c r="I27348">
        <v>43768885</v>
      </c>
      <c r="J27348">
        <v>2</v>
      </c>
    </row>
    <row r="27349" spans="1:10" x14ac:dyDescent="0.25">
      <c r="A27349" t="s">
        <v>304</v>
      </c>
      <c r="B27349" s="1" t="str">
        <f>HYPERLINK("http://pfizerscience.fi","pfizerscience.fi")</f>
        <v>pfizerscience.fi</v>
      </c>
      <c r="C27349" t="s">
        <v>445</v>
      </c>
      <c r="D27349" t="s">
        <v>823</v>
      </c>
      <c r="J27349">
        <v>2</v>
      </c>
    </row>
    <row r="27350" spans="1:10" x14ac:dyDescent="0.25">
      <c r="A27350" t="s">
        <v>304</v>
      </c>
      <c r="B27350" s="1" t="str">
        <f>HYPERLINK("http://pfizervip.fi","pfizervip.fi")</f>
        <v>pfizervip.fi</v>
      </c>
      <c r="C27350" t="s">
        <v>445</v>
      </c>
      <c r="D27350" t="s">
        <v>823</v>
      </c>
      <c r="J27350">
        <v>2</v>
      </c>
    </row>
    <row r="27351" spans="1:10" x14ac:dyDescent="0.25">
      <c r="A27351" t="s">
        <v>304</v>
      </c>
      <c r="B27351" s="1" t="str">
        <f>HYPERLINK("http://phurenet.fi","phurenet.fi")</f>
        <v>phurenet.fi</v>
      </c>
      <c r="C27351" t="s">
        <v>445</v>
      </c>
      <c r="D27351" t="s">
        <v>823</v>
      </c>
      <c r="J27351">
        <v>2</v>
      </c>
    </row>
    <row r="27352" spans="1:10" x14ac:dyDescent="0.25">
      <c r="A27352" t="s">
        <v>304</v>
      </c>
      <c r="B27352" s="1" t="str">
        <f>HYPERLINK("http://pneumokokki.fi","pneumokokki.fi")</f>
        <v>pneumokokki.fi</v>
      </c>
      <c r="C27352" t="s">
        <v>445</v>
      </c>
      <c r="D27352" t="s">
        <v>823</v>
      </c>
      <c r="F27352">
        <v>4.7027574729151599E-9</v>
      </c>
      <c r="G27352">
        <v>41093847</v>
      </c>
      <c r="H27352">
        <v>10964264</v>
      </c>
      <c r="I27352">
        <v>34261364</v>
      </c>
      <c r="J27352">
        <v>2</v>
      </c>
    </row>
    <row r="27353" spans="1:10" x14ac:dyDescent="0.25">
      <c r="A27353" t="s">
        <v>304</v>
      </c>
      <c r="B27353" s="1" t="str">
        <f>HYPERLINK("http://pneumokokkirokote.fi","pneumokokkirokote.fi")</f>
        <v>pneumokokkirokote.fi</v>
      </c>
      <c r="C27353" t="s">
        <v>445</v>
      </c>
      <c r="D27353" t="s">
        <v>823</v>
      </c>
      <c r="J27353">
        <v>2</v>
      </c>
    </row>
    <row r="27354" spans="1:10" x14ac:dyDescent="0.25">
      <c r="A27354" t="s">
        <v>304</v>
      </c>
      <c r="B27354" s="1" t="str">
        <f>HYPERLINK("http://pneumokokkisota.fi","pneumokokkisota.fi")</f>
        <v>pneumokokkisota.fi</v>
      </c>
      <c r="C27354" t="s">
        <v>445</v>
      </c>
      <c r="D27354" t="s">
        <v>823</v>
      </c>
      <c r="J27354">
        <v>2</v>
      </c>
    </row>
    <row r="27355" spans="1:10" x14ac:dyDescent="0.25">
      <c r="A27355" t="s">
        <v>304</v>
      </c>
      <c r="B27355" s="1" t="str">
        <f>HYPERLINK("http://prevenar.fi","prevenar.fi")</f>
        <v>prevenar.fi</v>
      </c>
      <c r="C27355" t="s">
        <v>445</v>
      </c>
      <c r="D27355" t="s">
        <v>823</v>
      </c>
      <c r="J27355">
        <v>2</v>
      </c>
    </row>
    <row r="27356" spans="1:10" x14ac:dyDescent="0.25">
      <c r="A27356" t="s">
        <v>304</v>
      </c>
      <c r="B27356" s="1" t="str">
        <f>HYPERLINK("http://prevenar-13.fi","prevenar-13.fi")</f>
        <v>prevenar-13.fi</v>
      </c>
      <c r="C27356" t="s">
        <v>445</v>
      </c>
      <c r="D27356" t="s">
        <v>823</v>
      </c>
      <c r="J27356">
        <v>2</v>
      </c>
    </row>
    <row r="27357" spans="1:10" x14ac:dyDescent="0.25">
      <c r="A27357" t="s">
        <v>304</v>
      </c>
      <c r="B27357" s="1" t="str">
        <f>HYPERLINK("http://prevenar13.fi","prevenar13.fi")</f>
        <v>prevenar13.fi</v>
      </c>
      <c r="C27357" t="s">
        <v>445</v>
      </c>
      <c r="D27357" t="s">
        <v>823</v>
      </c>
      <c r="J27357">
        <v>2</v>
      </c>
    </row>
    <row r="27358" spans="1:10" x14ac:dyDescent="0.25">
      <c r="A27358" t="s">
        <v>304</v>
      </c>
      <c r="B27358" s="1" t="str">
        <f>HYPERLINK("http://psoriaasi.fi","psoriaasi.fi")</f>
        <v>psoriaasi.fi</v>
      </c>
      <c r="C27358" t="s">
        <v>445</v>
      </c>
      <c r="D27358" t="s">
        <v>823</v>
      </c>
      <c r="J27358">
        <v>2</v>
      </c>
    </row>
    <row r="27359" spans="1:10" x14ac:dyDescent="0.25">
      <c r="A27359" t="s">
        <v>304</v>
      </c>
      <c r="B27359" s="1" t="str">
        <f>HYPERLINK("http://psykiatriaanerikoistuvat.fi","psykiatriaanerikoistuvat.fi")</f>
        <v>psykiatriaanerikoistuvat.fi</v>
      </c>
      <c r="C27359" t="s">
        <v>445</v>
      </c>
      <c r="D27359" t="s">
        <v>823</v>
      </c>
      <c r="J27359">
        <v>2</v>
      </c>
    </row>
    <row r="27360" spans="1:10" x14ac:dyDescent="0.25">
      <c r="A27360" t="s">
        <v>304</v>
      </c>
      <c r="B27360" s="1" t="str">
        <f>HYPERLINK("http://punkkiklinikka.fi","punkkiklinikka.fi")</f>
        <v>punkkiklinikka.fi</v>
      </c>
      <c r="C27360" t="s">
        <v>445</v>
      </c>
      <c r="D27360" t="s">
        <v>823</v>
      </c>
      <c r="F27360">
        <v>7.0104764702034399E-9</v>
      </c>
      <c r="G27360">
        <v>12281322</v>
      </c>
      <c r="H27360">
        <v>13763642</v>
      </c>
      <c r="I27360">
        <v>7922963</v>
      </c>
      <c r="J27360">
        <v>2</v>
      </c>
    </row>
    <row r="27361" spans="1:10" x14ac:dyDescent="0.25">
      <c r="A27361" t="s">
        <v>304</v>
      </c>
      <c r="B27361" s="1" t="str">
        <f>HYPERLINK("http://punkkilive.fi","punkkilive.fi")</f>
        <v>punkkilive.fi</v>
      </c>
      <c r="C27361" t="s">
        <v>445</v>
      </c>
      <c r="D27361" t="s">
        <v>823</v>
      </c>
      <c r="F27361">
        <v>1.6661870759017901E-8</v>
      </c>
      <c r="G27361">
        <v>3368679</v>
      </c>
      <c r="H27361">
        <v>14127494</v>
      </c>
      <c r="I27361">
        <v>2083060</v>
      </c>
      <c r="J27361">
        <v>2</v>
      </c>
    </row>
    <row r="27362" spans="1:10" x14ac:dyDescent="0.25">
      <c r="A27362" t="s">
        <v>304</v>
      </c>
      <c r="B27362" s="1" t="str">
        <f>HYPERLINK("http://punkkirokote.fi","punkkirokote.fi")</f>
        <v>punkkirokote.fi</v>
      </c>
      <c r="C27362" t="s">
        <v>445</v>
      </c>
      <c r="D27362" t="s">
        <v>823</v>
      </c>
      <c r="J27362">
        <v>2</v>
      </c>
    </row>
    <row r="27363" spans="1:10" x14ac:dyDescent="0.25">
      <c r="A27363" t="s">
        <v>304</v>
      </c>
      <c r="B27363" s="1" t="str">
        <f>HYPERLINK("http://raylumi.fi","raylumi.fi")</f>
        <v>raylumi.fi</v>
      </c>
      <c r="C27363" t="s">
        <v>445</v>
      </c>
      <c r="D27363" t="s">
        <v>823</v>
      </c>
      <c r="J27363">
        <v>2</v>
      </c>
    </row>
    <row r="27364" spans="1:10" x14ac:dyDescent="0.25">
      <c r="A27364" t="s">
        <v>304</v>
      </c>
      <c r="B27364" s="1" t="str">
        <f>HYPERLINK("http://raylumis.fi","raylumis.fi")</f>
        <v>raylumis.fi</v>
      </c>
      <c r="C27364" t="s">
        <v>445</v>
      </c>
      <c r="D27364" t="s">
        <v>823</v>
      </c>
      <c r="J27364">
        <v>2</v>
      </c>
    </row>
    <row r="27365" spans="1:10" x14ac:dyDescent="0.25">
      <c r="A27365" t="s">
        <v>304</v>
      </c>
      <c r="B27365" s="1" t="str">
        <f>HYPERLINK("http://reampla.fi","reampla.fi")</f>
        <v>reampla.fi</v>
      </c>
      <c r="C27365" t="s">
        <v>445</v>
      </c>
      <c r="D27365" t="s">
        <v>823</v>
      </c>
      <c r="J27365">
        <v>2</v>
      </c>
    </row>
    <row r="27366" spans="1:10" x14ac:dyDescent="0.25">
      <c r="A27366" t="s">
        <v>304</v>
      </c>
      <c r="B27366" s="1" t="str">
        <f>HYPERLINK("http://recognisingttr-fap.fi","recognisingttr-fap.fi")</f>
        <v>recognisingttr-fap.fi</v>
      </c>
      <c r="C27366" t="s">
        <v>445</v>
      </c>
      <c r="D27366" t="s">
        <v>823</v>
      </c>
      <c r="J27366">
        <v>2</v>
      </c>
    </row>
    <row r="27367" spans="1:10" x14ac:dyDescent="0.25">
      <c r="A27367" t="s">
        <v>304</v>
      </c>
      <c r="B27367" s="1" t="str">
        <f>HYPERLINK("http://renuac.fi","renuac.fi")</f>
        <v>renuac.fi</v>
      </c>
      <c r="C27367" t="s">
        <v>445</v>
      </c>
      <c r="D27367" t="s">
        <v>823</v>
      </c>
      <c r="J27367">
        <v>2</v>
      </c>
    </row>
    <row r="27368" spans="1:10" x14ac:dyDescent="0.25">
      <c r="A27368" t="s">
        <v>304</v>
      </c>
      <c r="B27368" s="1" t="str">
        <f>HYPERLINK("http://retacrit.fi","retacrit.fi")</f>
        <v>retacrit.fi</v>
      </c>
      <c r="C27368" t="s">
        <v>445</v>
      </c>
      <c r="D27368" t="s">
        <v>823</v>
      </c>
      <c r="J27368">
        <v>2</v>
      </c>
    </row>
    <row r="27369" spans="1:10" x14ac:dyDescent="0.25">
      <c r="A27369" t="s">
        <v>304</v>
      </c>
      <c r="B27369" s="1" t="str">
        <f>HYPERLINK("http://reumanhoito.fi","reumanhoito.fi")</f>
        <v>reumanhoito.fi</v>
      </c>
      <c r="C27369" t="s">
        <v>445</v>
      </c>
      <c r="D27369" t="s">
        <v>823</v>
      </c>
      <c r="F27369">
        <v>5.0917343377722E-9</v>
      </c>
      <c r="G27369">
        <v>27251679</v>
      </c>
      <c r="H27369">
        <v>13763634</v>
      </c>
      <c r="I27369">
        <v>8462546</v>
      </c>
      <c r="J27369">
        <v>2</v>
      </c>
    </row>
    <row r="27370" spans="1:10" x14ac:dyDescent="0.25">
      <c r="A27370" t="s">
        <v>304</v>
      </c>
      <c r="B27370" s="1" t="str">
        <f>HYPERLINK("http://reumasairaudet.fi","reumasairaudet.fi")</f>
        <v>reumasairaudet.fi</v>
      </c>
      <c r="C27370" t="s">
        <v>445</v>
      </c>
      <c r="D27370" t="s">
        <v>823</v>
      </c>
      <c r="J27370">
        <v>2</v>
      </c>
    </row>
    <row r="27371" spans="1:10" x14ac:dyDescent="0.25">
      <c r="A27371" t="s">
        <v>304</v>
      </c>
      <c r="B27371" s="1" t="str">
        <f>HYPERLINK("http://rokotesuoja.fi","rokotesuoja.fi")</f>
        <v>rokotesuoja.fi</v>
      </c>
      <c r="C27371" t="s">
        <v>445</v>
      </c>
      <c r="D27371" t="s">
        <v>823</v>
      </c>
      <c r="F27371">
        <v>2.23059049681021E-8</v>
      </c>
      <c r="G27371">
        <v>2350294</v>
      </c>
      <c r="H27371">
        <v>13766617</v>
      </c>
      <c r="I27371">
        <v>6988648</v>
      </c>
      <c r="J27371">
        <v>2</v>
      </c>
    </row>
    <row r="27372" spans="1:10" x14ac:dyDescent="0.25">
      <c r="A27372" t="s">
        <v>304</v>
      </c>
      <c r="B27372" s="1" t="str">
        <f>HYPERLINK("http://rokottaudu.fi","rokottaudu.fi")</f>
        <v>rokottaudu.fi</v>
      </c>
      <c r="C27372" t="s">
        <v>445</v>
      </c>
      <c r="D27372" t="s">
        <v>823</v>
      </c>
      <c r="J27372">
        <v>2</v>
      </c>
    </row>
    <row r="27373" spans="1:10" x14ac:dyDescent="0.25">
      <c r="A27373" t="s">
        <v>304</v>
      </c>
      <c r="B27373" s="1" t="str">
        <f>HYPERLINK("http://rokotussuoja.fi","rokotussuoja.fi")</f>
        <v>rokotussuoja.fi</v>
      </c>
      <c r="C27373" t="s">
        <v>445</v>
      </c>
      <c r="D27373" t="s">
        <v>823</v>
      </c>
      <c r="J27373">
        <v>2</v>
      </c>
    </row>
    <row r="27374" spans="1:10" x14ac:dyDescent="0.25">
      <c r="A27374" t="s">
        <v>304</v>
      </c>
      <c r="B27374" s="1" t="str">
        <f>HYPERLINK("http://rytmihairio.fi","rytmihairio.fi")</f>
        <v>rytmihairio.fi</v>
      </c>
      <c r="C27374" t="s">
        <v>445</v>
      </c>
      <c r="D27374" t="s">
        <v>823</v>
      </c>
      <c r="J27374">
        <v>2</v>
      </c>
    </row>
    <row r="27375" spans="1:10" x14ac:dyDescent="0.25">
      <c r="A27375" t="s">
        <v>304</v>
      </c>
      <c r="B27375" s="1" t="str">
        <f>HYPERLINK("http://salazopyrin.fi","salazopyrin.fi")</f>
        <v>salazopyrin.fi</v>
      </c>
      <c r="C27375" t="s">
        <v>445</v>
      </c>
      <c r="D27375" t="s">
        <v>823</v>
      </c>
      <c r="J27375">
        <v>2</v>
      </c>
    </row>
    <row r="27376" spans="1:10" x14ac:dyDescent="0.25">
      <c r="A27376" t="s">
        <v>304</v>
      </c>
      <c r="B27376" s="1" t="str">
        <f>HYPERLINK("http://savuton.fi","savuton.fi")</f>
        <v>savuton.fi</v>
      </c>
      <c r="C27376" t="s">
        <v>445</v>
      </c>
      <c r="D27376" t="s">
        <v>823</v>
      </c>
      <c r="J27376">
        <v>2</v>
      </c>
    </row>
    <row r="27377" spans="1:10" x14ac:dyDescent="0.25">
      <c r="A27377" t="s">
        <v>304</v>
      </c>
      <c r="B27377" s="1" t="str">
        <f>HYPERLINK("http://seksielama.fi","seksielama.fi")</f>
        <v>seksielama.fi</v>
      </c>
      <c r="C27377" t="s">
        <v>445</v>
      </c>
      <c r="D27377" t="s">
        <v>823</v>
      </c>
      <c r="J27377">
        <v>2</v>
      </c>
    </row>
    <row r="27378" spans="1:10" x14ac:dyDescent="0.25">
      <c r="A27378" t="s">
        <v>304</v>
      </c>
      <c r="B27378" s="1" t="str">
        <f>HYPERLINK("http://seksuaalisuus.fi","seksuaalisuus.fi")</f>
        <v>seksuaalisuus.fi</v>
      </c>
      <c r="C27378" t="s">
        <v>445</v>
      </c>
      <c r="D27378" t="s">
        <v>823</v>
      </c>
      <c r="J27378">
        <v>2</v>
      </c>
    </row>
    <row r="27379" spans="1:10" x14ac:dyDescent="0.25">
      <c r="A27379" t="s">
        <v>304</v>
      </c>
      <c r="B27379" s="1" t="str">
        <f>HYPERLINK("http://seksuaaliterveys.fi","seksuaaliterveys.fi")</f>
        <v>seksuaaliterveys.fi</v>
      </c>
      <c r="C27379" t="s">
        <v>445</v>
      </c>
      <c r="D27379" t="s">
        <v>823</v>
      </c>
      <c r="J27379">
        <v>2</v>
      </c>
    </row>
    <row r="27380" spans="1:10" x14ac:dyDescent="0.25">
      <c r="A27380" t="s">
        <v>304</v>
      </c>
      <c r="B27380" s="1" t="str">
        <f>HYPERLINK("http://smartclic.fi","smartclic.fi")</f>
        <v>smartclic.fi</v>
      </c>
      <c r="C27380" t="s">
        <v>445</v>
      </c>
      <c r="D27380" t="s">
        <v>823</v>
      </c>
      <c r="J27380">
        <v>2</v>
      </c>
    </row>
    <row r="27381" spans="1:10" x14ac:dyDescent="0.25">
      <c r="A27381" t="s">
        <v>304</v>
      </c>
      <c r="B27381" s="1" t="str">
        <f>HYPERLINK("http://staquis.fi","staquis.fi")</f>
        <v>staquis.fi</v>
      </c>
      <c r="C27381" t="s">
        <v>445</v>
      </c>
      <c r="D27381" t="s">
        <v>823</v>
      </c>
      <c r="J27381">
        <v>2</v>
      </c>
    </row>
    <row r="27382" spans="1:10" x14ac:dyDescent="0.25">
      <c r="A27382" t="s">
        <v>304</v>
      </c>
      <c r="B27382" s="1" t="str">
        <f>HYPERLINK("http://stepstosuccess.fi","stepstosuccess.fi")</f>
        <v>stepstosuccess.fi</v>
      </c>
      <c r="C27382" t="s">
        <v>445</v>
      </c>
      <c r="D27382" t="s">
        <v>823</v>
      </c>
      <c r="J27382">
        <v>2</v>
      </c>
    </row>
    <row r="27383" spans="1:10" x14ac:dyDescent="0.25">
      <c r="A27383" t="s">
        <v>304</v>
      </c>
      <c r="B27383" s="1" t="str">
        <f>HYPERLINK("http://suoli.fi","suoli.fi")</f>
        <v>suoli.fi</v>
      </c>
      <c r="C27383" t="s">
        <v>445</v>
      </c>
      <c r="D27383" t="s">
        <v>823</v>
      </c>
      <c r="J27383">
        <v>2</v>
      </c>
    </row>
    <row r="27384" spans="1:10" x14ac:dyDescent="0.25">
      <c r="A27384" t="s">
        <v>304</v>
      </c>
      <c r="B27384" s="1" t="str">
        <f>HYPERLINK("http://suolisto.fi","suolisto.fi")</f>
        <v>suolisto.fi</v>
      </c>
      <c r="C27384" t="s">
        <v>445</v>
      </c>
      <c r="D27384" t="s">
        <v>823</v>
      </c>
      <c r="J27384">
        <v>2</v>
      </c>
    </row>
    <row r="27385" spans="1:10" x14ac:dyDescent="0.25">
      <c r="A27385" t="s">
        <v>304</v>
      </c>
      <c r="B27385" s="1" t="str">
        <f>HYPERLINK("http://syopainfo.fi","syopainfo.fi")</f>
        <v>syopainfo.fi</v>
      </c>
      <c r="C27385" t="s">
        <v>445</v>
      </c>
      <c r="D27385" t="s">
        <v>823</v>
      </c>
      <c r="F27385">
        <v>5.0498542034403703E-9</v>
      </c>
      <c r="G27385">
        <v>28222241</v>
      </c>
      <c r="H27385">
        <v>14236065</v>
      </c>
      <c r="I27385">
        <v>1660595</v>
      </c>
      <c r="J27385">
        <v>2</v>
      </c>
    </row>
    <row r="27386" spans="1:10" x14ac:dyDescent="0.25">
      <c r="A27386" t="s">
        <v>304</v>
      </c>
      <c r="B27386" s="1" t="str">
        <f>HYPERLINK("http://sypinfo.fi","sypinfo.fi")</f>
        <v>sypinfo.fi</v>
      </c>
      <c r="C27386" t="s">
        <v>445</v>
      </c>
      <c r="D27386" t="s">
        <v>823</v>
      </c>
      <c r="J27386">
        <v>2</v>
      </c>
    </row>
    <row r="27387" spans="1:10" x14ac:dyDescent="0.25">
      <c r="A27387" t="s">
        <v>304</v>
      </c>
      <c r="B27387" s="1" t="str">
        <f>HYPERLINK("http://taattualaatua.fi","taattualaatua.fi")</f>
        <v>taattualaatua.fi</v>
      </c>
      <c r="C27387" t="s">
        <v>445</v>
      </c>
      <c r="D27387" t="s">
        <v>823</v>
      </c>
      <c r="J27387">
        <v>2</v>
      </c>
    </row>
    <row r="27388" spans="1:10" x14ac:dyDescent="0.25">
      <c r="A27388" t="s">
        <v>304</v>
      </c>
      <c r="B27388" s="1" t="str">
        <f>HYPERLINK("http://talzenna.fi","talzenna.fi")</f>
        <v>talzenna.fi</v>
      </c>
      <c r="C27388" t="s">
        <v>445</v>
      </c>
      <c r="D27388" t="s">
        <v>823</v>
      </c>
      <c r="J27388">
        <v>2</v>
      </c>
    </row>
    <row r="27389" spans="1:10" x14ac:dyDescent="0.25">
      <c r="A27389" t="s">
        <v>304</v>
      </c>
      <c r="B27389" s="1" t="str">
        <f>HYPERLINK("http://taudinkaatajat.fi","taudinkaatajat.fi")</f>
        <v>taudinkaatajat.fi</v>
      </c>
      <c r="C27389" t="s">
        <v>445</v>
      </c>
      <c r="D27389" t="s">
        <v>823</v>
      </c>
      <c r="J27389">
        <v>2</v>
      </c>
    </row>
    <row r="27390" spans="1:10" x14ac:dyDescent="0.25">
      <c r="A27390" t="s">
        <v>304</v>
      </c>
      <c r="B27390" s="1" t="str">
        <f>HYPERLINK("http://terracort.fi","terracort.fi")</f>
        <v>terracort.fi</v>
      </c>
      <c r="C27390" t="s">
        <v>445</v>
      </c>
      <c r="D27390" t="s">
        <v>823</v>
      </c>
      <c r="J27390">
        <v>2</v>
      </c>
    </row>
    <row r="27391" spans="1:10" x14ac:dyDescent="0.25">
      <c r="A27391" t="s">
        <v>304</v>
      </c>
      <c r="B27391" s="1" t="str">
        <f>HYPERLINK("http://terveydentukena.fi","terveydentukena.fi")</f>
        <v>terveydentukena.fi</v>
      </c>
      <c r="C27391" t="s">
        <v>445</v>
      </c>
      <c r="D27391" t="s">
        <v>823</v>
      </c>
      <c r="F27391">
        <v>3.2053668004253598E-8</v>
      </c>
      <c r="G27391">
        <v>1612792</v>
      </c>
      <c r="H27391">
        <v>14237470</v>
      </c>
      <c r="I27391">
        <v>1549166</v>
      </c>
      <c r="J27391">
        <v>2</v>
      </c>
    </row>
    <row r="27392" spans="1:10" x14ac:dyDescent="0.25">
      <c r="A27392" t="s">
        <v>304</v>
      </c>
      <c r="B27392" s="1" t="str">
        <f>HYPERLINK("http://terveysrokote.fi","terveysrokote.fi")</f>
        <v>terveysrokote.fi</v>
      </c>
      <c r="C27392" t="s">
        <v>445</v>
      </c>
      <c r="D27392" t="s">
        <v>823</v>
      </c>
      <c r="J27392">
        <v>2</v>
      </c>
    </row>
    <row r="27393" spans="1:10" x14ac:dyDescent="0.25">
      <c r="A27393" t="s">
        <v>304</v>
      </c>
      <c r="B27393" s="1" t="str">
        <f>HYPERLINK("http://think-hard.fi","think-hard.fi")</f>
        <v>think-hard.fi</v>
      </c>
      <c r="C27393" t="s">
        <v>445</v>
      </c>
      <c r="D27393" t="s">
        <v>823</v>
      </c>
      <c r="J27393">
        <v>2</v>
      </c>
    </row>
    <row r="27394" spans="1:10" x14ac:dyDescent="0.25">
      <c r="A27394" t="s">
        <v>304</v>
      </c>
      <c r="B27394" s="1" t="str">
        <f>HYPERLINK("http://tieonnistumiseen.fi","tieonnistumiseen.fi")</f>
        <v>tieonnistumiseen.fi</v>
      </c>
      <c r="C27394" t="s">
        <v>445</v>
      </c>
      <c r="D27394" t="s">
        <v>823</v>
      </c>
      <c r="J27394">
        <v>2</v>
      </c>
    </row>
    <row r="27395" spans="1:10" x14ac:dyDescent="0.25">
      <c r="A27395" t="s">
        <v>304</v>
      </c>
      <c r="B27395" s="1" t="str">
        <f>HYPERLINK("http://tofa.fi","tofa.fi")</f>
        <v>tofa.fi</v>
      </c>
      <c r="C27395" t="s">
        <v>445</v>
      </c>
      <c r="D27395" t="s">
        <v>823</v>
      </c>
      <c r="J27395">
        <v>2</v>
      </c>
    </row>
    <row r="27396" spans="1:10" x14ac:dyDescent="0.25">
      <c r="A27396" t="s">
        <v>304</v>
      </c>
      <c r="B27396" s="1" t="str">
        <f>HYPERLINK("http://tofacitinib.fi","tofacitinib.fi")</f>
        <v>tofacitinib.fi</v>
      </c>
      <c r="C27396" t="s">
        <v>445</v>
      </c>
      <c r="D27396" t="s">
        <v>823</v>
      </c>
      <c r="J27396">
        <v>2</v>
      </c>
    </row>
    <row r="27397" spans="1:10" x14ac:dyDescent="0.25">
      <c r="A27397" t="s">
        <v>304</v>
      </c>
      <c r="B27397" s="1" t="str">
        <f>HYPERLINK("http://tofasitinibi.fi","tofasitinibi.fi")</f>
        <v>tofasitinibi.fi</v>
      </c>
      <c r="C27397" t="s">
        <v>445</v>
      </c>
      <c r="D27397" t="s">
        <v>823</v>
      </c>
      <c r="J27397">
        <v>2</v>
      </c>
    </row>
    <row r="27398" spans="1:10" x14ac:dyDescent="0.25">
      <c r="A27398" t="s">
        <v>304</v>
      </c>
      <c r="B27398" s="1" t="str">
        <f>HYPERLINK("http://touchpoints.fi","touchpoints.fi")</f>
        <v>touchpoints.fi</v>
      </c>
      <c r="C27398" t="s">
        <v>445</v>
      </c>
      <c r="D27398" t="s">
        <v>823</v>
      </c>
      <c r="J27398">
        <v>2</v>
      </c>
    </row>
    <row r="27399" spans="1:10" x14ac:dyDescent="0.25">
      <c r="A27399" t="s">
        <v>304</v>
      </c>
      <c r="B27399" s="1" t="str">
        <f>HYPERLINK("http://tovais.fi","tovais.fi")</f>
        <v>tovais.fi</v>
      </c>
      <c r="C27399" t="s">
        <v>445</v>
      </c>
      <c r="D27399" t="s">
        <v>823</v>
      </c>
      <c r="J27399">
        <v>2</v>
      </c>
    </row>
    <row r="27400" spans="1:10" x14ac:dyDescent="0.25">
      <c r="A27400" t="s">
        <v>304</v>
      </c>
      <c r="B27400" s="1" t="str">
        <f>HYPERLINK("http://tovaiz.fi","tovaiz.fi")</f>
        <v>tovaiz.fi</v>
      </c>
      <c r="C27400" t="s">
        <v>445</v>
      </c>
      <c r="D27400" t="s">
        <v>823</v>
      </c>
      <c r="J27400">
        <v>2</v>
      </c>
    </row>
    <row r="27401" spans="1:10" x14ac:dyDescent="0.25">
      <c r="A27401" t="s">
        <v>304</v>
      </c>
      <c r="B27401" s="1" t="str">
        <f>HYPERLINK("http://tovias.fi","tovias.fi")</f>
        <v>tovias.fi</v>
      </c>
      <c r="C27401" t="s">
        <v>445</v>
      </c>
      <c r="D27401" t="s">
        <v>823</v>
      </c>
      <c r="J27401">
        <v>2</v>
      </c>
    </row>
    <row r="27402" spans="1:10" x14ac:dyDescent="0.25">
      <c r="A27402" t="s">
        <v>304</v>
      </c>
      <c r="B27402" s="1" t="str">
        <f>HYPERLINK("http://toviaz.fi","toviaz.fi")</f>
        <v>toviaz.fi</v>
      </c>
      <c r="C27402" t="s">
        <v>445</v>
      </c>
      <c r="D27402" t="s">
        <v>823</v>
      </c>
      <c r="J27402">
        <v>2</v>
      </c>
    </row>
    <row r="27403" spans="1:10" x14ac:dyDescent="0.25">
      <c r="A27403" t="s">
        <v>304</v>
      </c>
      <c r="B27403" s="1" t="str">
        <f>HYPERLINK("http://toviazstepstosuccess.fi","toviazstepstosuccess.fi")</f>
        <v>toviazstepstosuccess.fi</v>
      </c>
      <c r="C27403" t="s">
        <v>445</v>
      </c>
      <c r="D27403" t="s">
        <v>823</v>
      </c>
      <c r="J27403">
        <v>2</v>
      </c>
    </row>
    <row r="27404" spans="1:10" x14ac:dyDescent="0.25">
      <c r="A27404" t="s">
        <v>304</v>
      </c>
      <c r="B27404" s="1" t="str">
        <f>HYPERLINK("http://trosyd.fi","trosyd.fi")</f>
        <v>trosyd.fi</v>
      </c>
      <c r="C27404" t="s">
        <v>445</v>
      </c>
      <c r="D27404" t="s">
        <v>823</v>
      </c>
      <c r="J27404">
        <v>2</v>
      </c>
    </row>
    <row r="27405" spans="1:10" x14ac:dyDescent="0.25">
      <c r="A27405" t="s">
        <v>304</v>
      </c>
      <c r="B27405" s="1" t="str">
        <f>HYPERLINK("http://ttrfapconnection.fi","ttrfapconnection.fi")</f>
        <v>ttrfapconnection.fi</v>
      </c>
      <c r="C27405" t="s">
        <v>445</v>
      </c>
      <c r="D27405" t="s">
        <v>823</v>
      </c>
      <c r="J27405">
        <v>2</v>
      </c>
    </row>
    <row r="27406" spans="1:10" x14ac:dyDescent="0.25">
      <c r="A27406" t="s">
        <v>304</v>
      </c>
      <c r="B27406" s="1" t="str">
        <f>HYPERLINK("http://tulehduksellinensuoli.fi","tulehduksellinensuoli.fi")</f>
        <v>tulehduksellinensuoli.fi</v>
      </c>
      <c r="C27406" t="s">
        <v>445</v>
      </c>
      <c r="D27406" t="s">
        <v>823</v>
      </c>
      <c r="J27406">
        <v>2</v>
      </c>
    </row>
    <row r="27407" spans="1:10" x14ac:dyDescent="0.25">
      <c r="A27407" t="s">
        <v>304</v>
      </c>
      <c r="B27407" s="1" t="str">
        <f>HYPERLINK("http://tunteitajatuoksuja.fi","tunteitajatuoksuja.fi")</f>
        <v>tunteitajatuoksuja.fi</v>
      </c>
      <c r="C27407" t="s">
        <v>445</v>
      </c>
      <c r="D27407" t="s">
        <v>823</v>
      </c>
      <c r="J27407">
        <v>2</v>
      </c>
    </row>
    <row r="27408" spans="1:10" x14ac:dyDescent="0.25">
      <c r="A27408" t="s">
        <v>304</v>
      </c>
      <c r="B27408" s="1" t="str">
        <f>HYPERLINK("http://tuntemuksiajatuoksuja.fi","tuntemuksiajatuoksuja.fi")</f>
        <v>tuntemuksiajatuoksuja.fi</v>
      </c>
      <c r="C27408" t="s">
        <v>445</v>
      </c>
      <c r="D27408" t="s">
        <v>823</v>
      </c>
      <c r="J27408">
        <v>2</v>
      </c>
    </row>
    <row r="27409" spans="1:10" x14ac:dyDescent="0.25">
      <c r="A27409" t="s">
        <v>304</v>
      </c>
      <c r="B27409" s="1" t="str">
        <f>HYPERLINK("http://tupakastavieroitus.fi","tupakastavieroitus.fi")</f>
        <v>tupakastavieroitus.fi</v>
      </c>
      <c r="C27409" t="s">
        <v>445</v>
      </c>
      <c r="D27409" t="s">
        <v>823</v>
      </c>
      <c r="J27409">
        <v>2</v>
      </c>
    </row>
    <row r="27410" spans="1:10" x14ac:dyDescent="0.25">
      <c r="A27410" t="s">
        <v>304</v>
      </c>
      <c r="B27410" s="1" t="str">
        <f>HYPERLINK("http://tupakoimaton.fi","tupakoimaton.fi")</f>
        <v>tupakoimaton.fi</v>
      </c>
      <c r="C27410" t="s">
        <v>445</v>
      </c>
      <c r="D27410" t="s">
        <v>823</v>
      </c>
      <c r="J27410">
        <v>2</v>
      </c>
    </row>
    <row r="27411" spans="1:10" x14ac:dyDescent="0.25">
      <c r="A27411" t="s">
        <v>304</v>
      </c>
      <c r="B27411" s="1" t="str">
        <f>HYPERLINK("http://tygacil.fi","tygacil.fi")</f>
        <v>tygacil.fi</v>
      </c>
      <c r="C27411" t="s">
        <v>445</v>
      </c>
      <c r="D27411" t="s">
        <v>823</v>
      </c>
      <c r="J27411">
        <v>2</v>
      </c>
    </row>
    <row r="27412" spans="1:10" x14ac:dyDescent="0.25">
      <c r="A27412" t="s">
        <v>304</v>
      </c>
      <c r="B27412" s="1" t="str">
        <f>HYPERLINK("http://udohdarooki.fi","udohdarooki.fi")</f>
        <v>udohdarooki.fi</v>
      </c>
      <c r="C27412" t="s">
        <v>445</v>
      </c>
      <c r="D27412" t="s">
        <v>823</v>
      </c>
      <c r="J27412">
        <v>2</v>
      </c>
    </row>
    <row r="27413" spans="1:10" x14ac:dyDescent="0.25">
      <c r="A27413" t="s">
        <v>304</v>
      </c>
      <c r="B27413" s="1" t="str">
        <f>HYPERLINK("http://vahvamieli.fi","vahvamieli.fi")</f>
        <v>vahvamieli.fi</v>
      </c>
      <c r="C27413" t="s">
        <v>445</v>
      </c>
      <c r="D27413" t="s">
        <v>823</v>
      </c>
      <c r="F27413">
        <v>4.5351870912546899E-9</v>
      </c>
      <c r="G27413">
        <v>54087144</v>
      </c>
      <c r="H27413">
        <v>13763633</v>
      </c>
      <c r="I27413">
        <v>9132850</v>
      </c>
      <c r="J27413">
        <v>2</v>
      </c>
    </row>
    <row r="27414" spans="1:10" x14ac:dyDescent="0.25">
      <c r="A27414" t="s">
        <v>304</v>
      </c>
      <c r="B27414" s="1" t="str">
        <f>HYPERLINK("http://vatsantoiminta.fi","vatsantoiminta.fi")</f>
        <v>vatsantoiminta.fi</v>
      </c>
      <c r="C27414" t="s">
        <v>445</v>
      </c>
      <c r="D27414" t="s">
        <v>823</v>
      </c>
      <c r="F27414">
        <v>4.51580130761119E-9</v>
      </c>
      <c r="G27414">
        <v>56747580</v>
      </c>
      <c r="H27414">
        <v>10959193</v>
      </c>
      <c r="I27414">
        <v>34377734</v>
      </c>
      <c r="J27414">
        <v>2</v>
      </c>
    </row>
    <row r="27415" spans="1:10" x14ac:dyDescent="0.25">
      <c r="A27415" t="s">
        <v>304</v>
      </c>
      <c r="B27415" s="1" t="str">
        <f>HYPERLINK("http://vaxpentem.fi","vaxpentem.fi")</f>
        <v>vaxpentem.fi</v>
      </c>
      <c r="C27415" t="s">
        <v>445</v>
      </c>
      <c r="D27415" t="s">
        <v>823</v>
      </c>
      <c r="J27415">
        <v>2</v>
      </c>
    </row>
    <row r="27416" spans="1:10" x14ac:dyDescent="0.25">
      <c r="A27416" t="s">
        <v>304</v>
      </c>
      <c r="B27416" s="1" t="str">
        <f>HYPERLINK("http://verkkotapaaminen.fi","verkkotapaaminen.fi")</f>
        <v>verkkotapaaminen.fi</v>
      </c>
      <c r="C27416" t="s">
        <v>445</v>
      </c>
      <c r="D27416" t="s">
        <v>823</v>
      </c>
      <c r="J27416">
        <v>2</v>
      </c>
    </row>
    <row r="27417" spans="1:10" x14ac:dyDescent="0.25">
      <c r="A27417" t="s">
        <v>304</v>
      </c>
      <c r="B27417" s="1" t="str">
        <f>HYPERLINK("http://vfend.fi","vfend.fi")</f>
        <v>vfend.fi</v>
      </c>
      <c r="C27417" t="s">
        <v>445</v>
      </c>
      <c r="D27417" t="s">
        <v>823</v>
      </c>
      <c r="J27417">
        <v>2</v>
      </c>
    </row>
    <row r="27418" spans="1:10" x14ac:dyDescent="0.25">
      <c r="A27418" t="s">
        <v>304</v>
      </c>
      <c r="B27418" s="1" t="str">
        <f>HYPERLINK("http://vi-siblin.fi","vi-siblin.fi")</f>
        <v>vi-siblin.fi</v>
      </c>
      <c r="C27418" t="s">
        <v>445</v>
      </c>
      <c r="D27418" t="s">
        <v>823</v>
      </c>
      <c r="J27418">
        <v>2</v>
      </c>
    </row>
    <row r="27419" spans="1:10" x14ac:dyDescent="0.25">
      <c r="A27419" t="s">
        <v>304</v>
      </c>
      <c r="B27419" s="1" t="str">
        <f>HYPERLINK("http://virtsankarkailu.fi","virtsankarkailu.fi")</f>
        <v>virtsankarkailu.fi</v>
      </c>
      <c r="C27419" t="s">
        <v>445</v>
      </c>
      <c r="D27419" t="s">
        <v>823</v>
      </c>
      <c r="J27419">
        <v>2</v>
      </c>
    </row>
    <row r="27420" spans="1:10" x14ac:dyDescent="0.25">
      <c r="A27420" t="s">
        <v>304</v>
      </c>
      <c r="B27420" s="1" t="str">
        <f>HYPERLINK("http://virtsavaivat.fi","virtsavaivat.fi")</f>
        <v>virtsavaivat.fi</v>
      </c>
      <c r="C27420" t="s">
        <v>445</v>
      </c>
      <c r="D27420" t="s">
        <v>823</v>
      </c>
      <c r="J27420">
        <v>2</v>
      </c>
    </row>
    <row r="27421" spans="1:10" x14ac:dyDescent="0.25">
      <c r="A27421" t="s">
        <v>304</v>
      </c>
      <c r="B27421" s="1" t="str">
        <f>HYPERLINK("http://vizimpro.fi","vizimpro.fi")</f>
        <v>vizimpro.fi</v>
      </c>
      <c r="C27421" t="s">
        <v>445</v>
      </c>
      <c r="D27421" t="s">
        <v>823</v>
      </c>
      <c r="J27421">
        <v>2</v>
      </c>
    </row>
    <row r="27422" spans="1:10" x14ac:dyDescent="0.25">
      <c r="A27422" t="s">
        <v>304</v>
      </c>
      <c r="B27422" s="1" t="str">
        <f>HYPERLINK("http://vyndamax.fi","vyndamax.fi")</f>
        <v>vyndamax.fi</v>
      </c>
      <c r="C27422" t="s">
        <v>445</v>
      </c>
      <c r="D27422" t="s">
        <v>823</v>
      </c>
      <c r="J27422">
        <v>2</v>
      </c>
    </row>
    <row r="27423" spans="1:10" x14ac:dyDescent="0.25">
      <c r="A27423" t="s">
        <v>304</v>
      </c>
      <c r="B27423" s="1" t="str">
        <f>HYPERLINK("http://vyndaqel.fi","vyndaqel.fi")</f>
        <v>vyndaqel.fi</v>
      </c>
      <c r="C27423" t="s">
        <v>445</v>
      </c>
      <c r="D27423" t="s">
        <v>823</v>
      </c>
      <c r="J27423">
        <v>2</v>
      </c>
    </row>
    <row r="27424" spans="1:10" x14ac:dyDescent="0.25">
      <c r="A27424" t="s">
        <v>304</v>
      </c>
      <c r="B27424" s="1" t="str">
        <f>HYPERLINK("http://wellatwork.fi","wellatwork.fi")</f>
        <v>wellatwork.fi</v>
      </c>
      <c r="C27424" t="s">
        <v>445</v>
      </c>
      <c r="D27424" t="s">
        <v>823</v>
      </c>
      <c r="J27424">
        <v>2</v>
      </c>
    </row>
    <row r="27425" spans="1:10" x14ac:dyDescent="0.25">
      <c r="A27425" t="s">
        <v>304</v>
      </c>
      <c r="B27425" s="1" t="str">
        <f>HYPERLINK("http://wyeth.fi","wyeth.fi")</f>
        <v>wyeth.fi</v>
      </c>
      <c r="C27425" t="s">
        <v>445</v>
      </c>
      <c r="D27425" t="s">
        <v>823</v>
      </c>
      <c r="F27425">
        <v>4.6421168846958198E-9</v>
      </c>
      <c r="G27425">
        <v>44653805</v>
      </c>
      <c r="H27425">
        <v>12112534</v>
      </c>
      <c r="I27425">
        <v>25662736</v>
      </c>
      <c r="J27425">
        <v>2</v>
      </c>
    </row>
    <row r="27426" spans="1:10" x14ac:dyDescent="0.25">
      <c r="A27426" t="s">
        <v>304</v>
      </c>
      <c r="B27426" s="1" t="str">
        <f>HYPERLINK("http://xalkori.fi","xalkori.fi")</f>
        <v>xalkori.fi</v>
      </c>
      <c r="C27426" t="s">
        <v>445</v>
      </c>
      <c r="D27426" t="s">
        <v>823</v>
      </c>
      <c r="J27426">
        <v>2</v>
      </c>
    </row>
    <row r="27427" spans="1:10" x14ac:dyDescent="0.25">
      <c r="A27427" t="s">
        <v>304</v>
      </c>
      <c r="B27427" s="1" t="str">
        <f>HYPERLINK("http://xeljanz.fi","xeljanz.fi")</f>
        <v>xeljanz.fi</v>
      </c>
      <c r="C27427" t="s">
        <v>445</v>
      </c>
      <c r="D27427" t="s">
        <v>823</v>
      </c>
      <c r="J27427">
        <v>2</v>
      </c>
    </row>
    <row r="27428" spans="1:10" x14ac:dyDescent="0.25">
      <c r="A27428" t="s">
        <v>304</v>
      </c>
      <c r="B27428" s="1" t="str">
        <f>HYPERLINK("http://xeljanz-rmp.fi","xeljanz-rmp.fi")</f>
        <v>xeljanz-rmp.fi</v>
      </c>
      <c r="C27428" t="s">
        <v>445</v>
      </c>
      <c r="D27428" t="s">
        <v>823</v>
      </c>
      <c r="J27428">
        <v>2</v>
      </c>
    </row>
    <row r="27429" spans="1:10" x14ac:dyDescent="0.25">
      <c r="A27429" t="s">
        <v>304</v>
      </c>
      <c r="B27429" s="1" t="str">
        <f>HYPERLINK("http://zymxuro.fi","zymxuro.fi")</f>
        <v>zymxuro.fi</v>
      </c>
      <c r="C27429" t="s">
        <v>445</v>
      </c>
      <c r="D27429" t="s">
        <v>823</v>
      </c>
      <c r="J27429">
        <v>2</v>
      </c>
    </row>
    <row r="27430" spans="1:10" x14ac:dyDescent="0.25">
      <c r="A27430" t="s">
        <v>304</v>
      </c>
      <c r="B27430" s="1" t="str">
        <f>HYPERLINK("http://zyvoxid.fi","zyvoxid.fi")</f>
        <v>zyvoxid.fi</v>
      </c>
      <c r="C27430" t="s">
        <v>445</v>
      </c>
      <c r="D27430" t="s">
        <v>823</v>
      </c>
      <c r="J27430">
        <v>2</v>
      </c>
    </row>
    <row r="27431" spans="1:10" x14ac:dyDescent="0.25">
      <c r="A27431" t="s">
        <v>304</v>
      </c>
      <c r="B27431" s="1" t="str">
        <f>HYPERLINK("http://pfizer.fr","pfizer.fr")</f>
        <v>pfizer.fr</v>
      </c>
      <c r="C27431" t="s">
        <v>446</v>
      </c>
      <c r="D27431" t="s">
        <v>824</v>
      </c>
      <c r="E27431">
        <v>820594</v>
      </c>
      <c r="F27431">
        <v>1.3182076187628301E-7</v>
      </c>
      <c r="G27431">
        <v>296517</v>
      </c>
      <c r="H27431">
        <v>14560958</v>
      </c>
      <c r="I27431">
        <v>745478</v>
      </c>
      <c r="J27431">
        <v>2</v>
      </c>
    </row>
    <row r="27432" spans="1:10" x14ac:dyDescent="0.25">
      <c r="A27432" t="s">
        <v>304</v>
      </c>
      <c r="B27432" s="1" t="str">
        <f>HYPERLINK("http://pfizermedicalinformation.fr","pfizermedicalinformation.fr")</f>
        <v>pfizermedicalinformation.fr</v>
      </c>
      <c r="C27432" t="s">
        <v>446</v>
      </c>
      <c r="D27432" t="s">
        <v>824</v>
      </c>
      <c r="F27432">
        <v>2.8104946526743001E-8</v>
      </c>
      <c r="G27432">
        <v>1830716</v>
      </c>
      <c r="H27432">
        <v>12620723</v>
      </c>
      <c r="I27432">
        <v>16085657</v>
      </c>
      <c r="J27432">
        <v>3</v>
      </c>
    </row>
    <row r="27433" spans="1:10" x14ac:dyDescent="0.25">
      <c r="A27433" t="s">
        <v>304</v>
      </c>
      <c r="B27433" s="1" t="str">
        <f>HYPERLINK("http://pfizer.gr","pfizer.gr")</f>
        <v>pfizer.gr</v>
      </c>
      <c r="C27433" t="s">
        <v>447</v>
      </c>
      <c r="D27433" t="s">
        <v>825</v>
      </c>
      <c r="F27433">
        <v>4.5976691511810903E-8</v>
      </c>
      <c r="G27433">
        <v>1021189</v>
      </c>
      <c r="H27433">
        <v>13810752</v>
      </c>
      <c r="I27433">
        <v>6210402</v>
      </c>
      <c r="J27433">
        <v>2</v>
      </c>
    </row>
    <row r="27434" spans="1:10" x14ac:dyDescent="0.25">
      <c r="A27434" t="s">
        <v>304</v>
      </c>
      <c r="B27434" s="1" t="str">
        <f>HYPERLINK("http://pfizermedicalinformation.gr","pfizermedicalinformation.gr")</f>
        <v>pfizermedicalinformation.gr</v>
      </c>
      <c r="C27434" t="s">
        <v>447</v>
      </c>
      <c r="D27434" t="s">
        <v>825</v>
      </c>
      <c r="F27434">
        <v>1.8900258112628499E-8</v>
      </c>
      <c r="G27434">
        <v>2853417</v>
      </c>
      <c r="H27434">
        <v>10854511</v>
      </c>
      <c r="I27434">
        <v>36765851</v>
      </c>
      <c r="J27434">
        <v>3</v>
      </c>
    </row>
    <row r="27435" spans="1:10" x14ac:dyDescent="0.25">
      <c r="A27435" t="s">
        <v>304</v>
      </c>
      <c r="B27435" s="1" t="str">
        <f>HYPERLINK("http://pfizermedicalinformation.com.gt","pfizermedicalinformation.com.gt")</f>
        <v>pfizermedicalinformation.com.gt</v>
      </c>
      <c r="C27435" t="s">
        <v>448</v>
      </c>
      <c r="D27435" t="s">
        <v>826</v>
      </c>
      <c r="F27435">
        <v>2.4697707918030101E-8</v>
      </c>
      <c r="G27435">
        <v>2094568</v>
      </c>
      <c r="H27435">
        <v>12204716</v>
      </c>
      <c r="I27435">
        <v>23196822</v>
      </c>
      <c r="J27435">
        <v>3</v>
      </c>
    </row>
    <row r="27436" spans="1:10" x14ac:dyDescent="0.25">
      <c r="A27436" t="s">
        <v>304</v>
      </c>
      <c r="B27436" s="1" t="str">
        <f>HYPERLINK("http://pfizer.com.hk","pfizer.com.hk")</f>
        <v>pfizer.com.hk</v>
      </c>
      <c r="C27436" t="s">
        <v>450</v>
      </c>
      <c r="D27436" t="s">
        <v>827</v>
      </c>
      <c r="F27436">
        <v>3.5242682422147699E-8</v>
      </c>
      <c r="G27436">
        <v>1475477</v>
      </c>
      <c r="H27436">
        <v>14156290</v>
      </c>
      <c r="I27436">
        <v>1855732</v>
      </c>
      <c r="J27436">
        <v>2</v>
      </c>
    </row>
    <row r="27437" spans="1:10" x14ac:dyDescent="0.25">
      <c r="A27437" t="s">
        <v>304</v>
      </c>
      <c r="B27437" s="1" t="str">
        <f>HYPERLINK("http://pfizermedicalinformation.com.hk","pfizermedicalinformation.com.hk")</f>
        <v>pfizermedicalinformation.com.hk</v>
      </c>
      <c r="C27437" t="s">
        <v>450</v>
      </c>
      <c r="D27437" t="s">
        <v>827</v>
      </c>
      <c r="F27437">
        <v>1.8857911466878999E-8</v>
      </c>
      <c r="G27437">
        <v>2861054</v>
      </c>
      <c r="H27437">
        <v>10798935</v>
      </c>
      <c r="I27437">
        <v>38193119</v>
      </c>
      <c r="J27437">
        <v>3</v>
      </c>
    </row>
    <row r="27438" spans="1:10" x14ac:dyDescent="0.25">
      <c r="A27438" t="s">
        <v>304</v>
      </c>
      <c r="B27438" s="1" t="str">
        <f>HYPERLINK("http://pfizermedicalinformation.hn","pfizermedicalinformation.hn")</f>
        <v>pfizermedicalinformation.hn</v>
      </c>
      <c r="C27438" t="s">
        <v>451</v>
      </c>
      <c r="D27438" t="s">
        <v>828</v>
      </c>
      <c r="F27438">
        <v>2.4730128438615701E-8</v>
      </c>
      <c r="G27438">
        <v>2091660</v>
      </c>
      <c r="H27438">
        <v>12204716</v>
      </c>
      <c r="I27438">
        <v>23196823</v>
      </c>
      <c r="J27438">
        <v>3</v>
      </c>
    </row>
    <row r="27439" spans="1:10" x14ac:dyDescent="0.25">
      <c r="A27439" t="s">
        <v>304</v>
      </c>
      <c r="B27439" s="1" t="str">
        <f>HYPERLINK("http://pfizer.hr","pfizer.hr")</f>
        <v>pfizer.hr</v>
      </c>
      <c r="C27439" t="s">
        <v>452</v>
      </c>
      <c r="D27439" t="s">
        <v>829</v>
      </c>
      <c r="F27439">
        <v>1.26300391574617E-8</v>
      </c>
      <c r="G27439">
        <v>4815651</v>
      </c>
      <c r="H27439">
        <v>13781406</v>
      </c>
      <c r="I27439">
        <v>6458889</v>
      </c>
      <c r="J27439">
        <v>2</v>
      </c>
    </row>
    <row r="27440" spans="1:10" x14ac:dyDescent="0.25">
      <c r="A27440" t="s">
        <v>304</v>
      </c>
      <c r="B27440" s="1" t="str">
        <f>HYPERLINK("http://pfizer.hu","pfizer.hu")</f>
        <v>pfizer.hu</v>
      </c>
      <c r="C27440" t="s">
        <v>453</v>
      </c>
      <c r="D27440" t="s">
        <v>830</v>
      </c>
      <c r="F27440">
        <v>3.0531539420023502E-8</v>
      </c>
      <c r="G27440">
        <v>1686647</v>
      </c>
      <c r="H27440">
        <v>14246884</v>
      </c>
      <c r="I27440">
        <v>1459693</v>
      </c>
      <c r="J27440">
        <v>2</v>
      </c>
    </row>
    <row r="27441" spans="1:10" x14ac:dyDescent="0.25">
      <c r="A27441" t="s">
        <v>304</v>
      </c>
      <c r="B27441" s="1" t="str">
        <f>HYPERLINK("http://pfizermedicalinformation.co.id","pfizermedicalinformation.co.id")</f>
        <v>pfizermedicalinformation.co.id</v>
      </c>
      <c r="C27441" t="s">
        <v>454</v>
      </c>
      <c r="D27441" t="s">
        <v>831</v>
      </c>
      <c r="F27441">
        <v>2.50252756799226E-8</v>
      </c>
      <c r="G27441">
        <v>2064704</v>
      </c>
      <c r="H27441">
        <v>11258638</v>
      </c>
      <c r="I27441">
        <v>30838333</v>
      </c>
      <c r="J27441">
        <v>3</v>
      </c>
    </row>
    <row r="27442" spans="1:10" x14ac:dyDescent="0.25">
      <c r="A27442" t="s">
        <v>304</v>
      </c>
      <c r="B27442" s="1" t="str">
        <f>HYPERLINK("http://pfizer.ie","pfizer.ie")</f>
        <v>pfizer.ie</v>
      </c>
      <c r="C27442" t="s">
        <v>455</v>
      </c>
      <c r="D27442" t="s">
        <v>832</v>
      </c>
      <c r="F27442">
        <v>4.73529153234459E-8</v>
      </c>
      <c r="G27442">
        <v>984104</v>
      </c>
      <c r="H27442">
        <v>13788379</v>
      </c>
      <c r="I27442">
        <v>6364729</v>
      </c>
      <c r="J27442">
        <v>2</v>
      </c>
    </row>
    <row r="27443" spans="1:10" x14ac:dyDescent="0.25">
      <c r="A27443" t="s">
        <v>304</v>
      </c>
      <c r="B27443" s="1" t="str">
        <f>HYPERLINK("http://pfizermedicalinformation.ie","pfizermedicalinformation.ie")</f>
        <v>pfizermedicalinformation.ie</v>
      </c>
      <c r="C27443" t="s">
        <v>455</v>
      </c>
      <c r="D27443" t="s">
        <v>832</v>
      </c>
      <c r="F27443">
        <v>2.33768758764956E-8</v>
      </c>
      <c r="G27443">
        <v>2230838</v>
      </c>
      <c r="H27443">
        <v>10875251</v>
      </c>
      <c r="I27443">
        <v>36408064</v>
      </c>
      <c r="J27443">
        <v>3</v>
      </c>
    </row>
    <row r="27444" spans="1:10" x14ac:dyDescent="0.25">
      <c r="A27444" t="s">
        <v>304</v>
      </c>
      <c r="B27444" s="1" t="str">
        <f>HYPERLINK("http://pfizer.co.il","pfizer.co.il")</f>
        <v>pfizer.co.il</v>
      </c>
      <c r="C27444" t="s">
        <v>456</v>
      </c>
      <c r="D27444" t="s">
        <v>833</v>
      </c>
      <c r="F27444">
        <v>1.9704879616006499E-8</v>
      </c>
      <c r="G27444">
        <v>2708421</v>
      </c>
      <c r="H27444">
        <v>13083503</v>
      </c>
      <c r="I27444">
        <v>12170695</v>
      </c>
      <c r="J27444">
        <v>2</v>
      </c>
    </row>
    <row r="27445" spans="1:10" x14ac:dyDescent="0.25">
      <c r="A27445" t="s">
        <v>304</v>
      </c>
      <c r="B27445" s="1" t="str">
        <f>HYPERLINK("http://pfizer.co.in","pfizer.co.in")</f>
        <v>pfizer.co.in</v>
      </c>
      <c r="C27445" t="s">
        <v>457</v>
      </c>
      <c r="D27445" t="s">
        <v>834</v>
      </c>
      <c r="F27445">
        <v>1.3347989228635201E-8</v>
      </c>
      <c r="G27445">
        <v>4472445</v>
      </c>
      <c r="H27445">
        <v>12353912</v>
      </c>
      <c r="I27445">
        <v>19699701</v>
      </c>
      <c r="J27445">
        <v>2</v>
      </c>
    </row>
    <row r="27446" spans="1:10" x14ac:dyDescent="0.25">
      <c r="A27446" t="s">
        <v>304</v>
      </c>
      <c r="B27446" s="1" t="str">
        <f>HYPERLINK("http://pfizermedicalinformation.in","pfizermedicalinformation.in")</f>
        <v>pfizermedicalinformation.in</v>
      </c>
      <c r="C27446" t="s">
        <v>457</v>
      </c>
      <c r="D27446" t="s">
        <v>834</v>
      </c>
      <c r="F27446">
        <v>2.73514660505196E-8</v>
      </c>
      <c r="G27446">
        <v>1879641</v>
      </c>
      <c r="H27446">
        <v>11290565</v>
      </c>
      <c r="I27446">
        <v>30653643</v>
      </c>
      <c r="J27446">
        <v>3</v>
      </c>
    </row>
    <row r="27447" spans="1:10" x14ac:dyDescent="0.25">
      <c r="A27447" t="s">
        <v>304</v>
      </c>
      <c r="B27447" s="1" t="str">
        <f>HYPERLINK("http://pfizer.it","pfizer.it")</f>
        <v>pfizer.it</v>
      </c>
      <c r="C27447" t="s">
        <v>459</v>
      </c>
      <c r="D27447" t="s">
        <v>835</v>
      </c>
      <c r="F27447">
        <v>9.4209235337454497E-8</v>
      </c>
      <c r="G27447">
        <v>430830</v>
      </c>
      <c r="H27447">
        <v>14789453</v>
      </c>
      <c r="I27447">
        <v>551354</v>
      </c>
      <c r="J27447">
        <v>2</v>
      </c>
    </row>
    <row r="27448" spans="1:10" x14ac:dyDescent="0.25">
      <c r="A27448" t="s">
        <v>304</v>
      </c>
      <c r="B27448" s="1" t="str">
        <f>HYPERLINK("http://pfizermedicalinformation.it","pfizermedicalinformation.it")</f>
        <v>pfizermedicalinformation.it</v>
      </c>
      <c r="C27448" t="s">
        <v>459</v>
      </c>
      <c r="D27448" t="s">
        <v>835</v>
      </c>
      <c r="F27448">
        <v>1.8695090174641199E-8</v>
      </c>
      <c r="G27448">
        <v>2890204</v>
      </c>
      <c r="H27448">
        <v>12097138</v>
      </c>
      <c r="I27448">
        <v>26050072</v>
      </c>
      <c r="J27448">
        <v>3</v>
      </c>
    </row>
    <row r="27449" spans="1:10" x14ac:dyDescent="0.25">
      <c r="A27449" t="s">
        <v>304</v>
      </c>
      <c r="B27449" s="1" t="str">
        <f>HYPERLINK("http://pfizer.co.jp","pfizer.co.jp")</f>
        <v>pfizer.co.jp</v>
      </c>
      <c r="C27449" t="s">
        <v>461</v>
      </c>
      <c r="D27449" t="s">
        <v>837</v>
      </c>
      <c r="E27449">
        <v>300531</v>
      </c>
      <c r="F27449">
        <v>2.8735892716387501E-7</v>
      </c>
      <c r="G27449">
        <v>129365</v>
      </c>
      <c r="H27449">
        <v>14362855</v>
      </c>
      <c r="I27449">
        <v>1303300</v>
      </c>
      <c r="J27449">
        <v>2</v>
      </c>
    </row>
    <row r="27450" spans="1:10" x14ac:dyDescent="0.25">
      <c r="A27450" t="s">
        <v>304</v>
      </c>
      <c r="B27450" s="1" t="str">
        <f>HYPERLINK("http://pfizermedicalinformation.jp","pfizermedicalinformation.jp")</f>
        <v>pfizermedicalinformation.jp</v>
      </c>
      <c r="C27450" t="s">
        <v>461</v>
      </c>
      <c r="D27450" t="s">
        <v>837</v>
      </c>
      <c r="F27450">
        <v>3.55520815436376E-8</v>
      </c>
      <c r="G27450">
        <v>1464425</v>
      </c>
      <c r="H27450">
        <v>14089937</v>
      </c>
      <c r="I27450">
        <v>2751464</v>
      </c>
      <c r="J27450">
        <v>3</v>
      </c>
    </row>
    <row r="27451" spans="1:10" x14ac:dyDescent="0.25">
      <c r="A27451" t="s">
        <v>304</v>
      </c>
      <c r="B27451" s="1" t="str">
        <f>HYPERLINK("http://pfizer.co.kr","pfizer.co.kr")</f>
        <v>pfizer.co.kr</v>
      </c>
      <c r="C27451" t="s">
        <v>463</v>
      </c>
      <c r="D27451" t="s">
        <v>839</v>
      </c>
      <c r="F27451">
        <v>4.0374309368603901E-8</v>
      </c>
      <c r="G27451">
        <v>1282044</v>
      </c>
      <c r="H27451">
        <v>14315797</v>
      </c>
      <c r="I27451">
        <v>1335726</v>
      </c>
      <c r="J27451">
        <v>2</v>
      </c>
    </row>
    <row r="27452" spans="1:10" x14ac:dyDescent="0.25">
      <c r="A27452" t="s">
        <v>304</v>
      </c>
      <c r="B27452" s="1" t="str">
        <f>HYPERLINK("http://pfizer.lv","pfizer.lv")</f>
        <v>pfizer.lv</v>
      </c>
      <c r="C27452" t="s">
        <v>468</v>
      </c>
      <c r="D27452" t="s">
        <v>844</v>
      </c>
      <c r="F27452">
        <v>1.27754097951431E-8</v>
      </c>
      <c r="G27452">
        <v>4741788</v>
      </c>
      <c r="H27452">
        <v>14072503</v>
      </c>
      <c r="I27452">
        <v>3080878</v>
      </c>
      <c r="J27452">
        <v>2</v>
      </c>
    </row>
    <row r="27453" spans="1:10" x14ac:dyDescent="0.25">
      <c r="A27453" t="s">
        <v>304</v>
      </c>
      <c r="B27453" s="1" t="str">
        <f>HYPERLINK("http://pfizer.mk","pfizer.mk")</f>
        <v>pfizer.mk</v>
      </c>
      <c r="C27453" t="s">
        <v>531</v>
      </c>
      <c r="D27453" t="s">
        <v>895</v>
      </c>
      <c r="F27453">
        <v>1.01936450957839E-8</v>
      </c>
      <c r="G27453">
        <v>6553461</v>
      </c>
      <c r="H27453">
        <v>12352990</v>
      </c>
      <c r="I27453">
        <v>19718792</v>
      </c>
      <c r="J27453">
        <v>2</v>
      </c>
    </row>
    <row r="27454" spans="1:10" x14ac:dyDescent="0.25">
      <c r="A27454" t="s">
        <v>304</v>
      </c>
      <c r="B27454" s="1" t="str">
        <f>HYPERLINK("http://pfizer.com.mx","pfizer.com.mx")</f>
        <v>pfizer.com.mx</v>
      </c>
      <c r="C27454" t="s">
        <v>471</v>
      </c>
      <c r="D27454" t="s">
        <v>847</v>
      </c>
      <c r="F27454">
        <v>2.8066829031765599E-8</v>
      </c>
      <c r="G27454">
        <v>1833154</v>
      </c>
      <c r="H27454">
        <v>14239841</v>
      </c>
      <c r="I27454">
        <v>1507387</v>
      </c>
      <c r="J27454">
        <v>2</v>
      </c>
    </row>
    <row r="27455" spans="1:10" x14ac:dyDescent="0.25">
      <c r="A27455" t="s">
        <v>304</v>
      </c>
      <c r="B27455" s="1" t="str">
        <f>HYPERLINK("http://pfizermedicalinformation.com.mx","pfizermedicalinformation.com.mx")</f>
        <v>pfizermedicalinformation.com.mx</v>
      </c>
      <c r="C27455" t="s">
        <v>471</v>
      </c>
      <c r="D27455" t="s">
        <v>847</v>
      </c>
      <c r="F27455">
        <v>2.5052501124698601E-8</v>
      </c>
      <c r="G27455">
        <v>2062197</v>
      </c>
      <c r="H27455">
        <v>11254983</v>
      </c>
      <c r="I27455">
        <v>30863880</v>
      </c>
      <c r="J27455">
        <v>3</v>
      </c>
    </row>
    <row r="27456" spans="1:10" x14ac:dyDescent="0.25">
      <c r="A27456" t="s">
        <v>304</v>
      </c>
      <c r="B27456" s="1" t="str">
        <f>HYPERLINK("http://pfizerpro.com.mx","pfizerpro.com.mx")</f>
        <v>pfizerpro.com.mx</v>
      </c>
      <c r="C27456" t="s">
        <v>471</v>
      </c>
      <c r="D27456" t="s">
        <v>847</v>
      </c>
      <c r="F27456">
        <v>1.6938476588906501E-8</v>
      </c>
      <c r="G27456">
        <v>3298072</v>
      </c>
      <c r="H27456">
        <v>12073447</v>
      </c>
      <c r="I27456">
        <v>26717677</v>
      </c>
      <c r="J27456">
        <v>3</v>
      </c>
    </row>
    <row r="27457" spans="1:10" x14ac:dyDescent="0.25">
      <c r="A27457" t="s">
        <v>304</v>
      </c>
      <c r="B27457" s="1" t="str">
        <f>HYPERLINK("http://pfizer.com.my","pfizer.com.my")</f>
        <v>pfizer.com.my</v>
      </c>
      <c r="C27457" t="s">
        <v>472</v>
      </c>
      <c r="D27457" t="s">
        <v>848</v>
      </c>
      <c r="F27457">
        <v>1.8526592982334099E-8</v>
      </c>
      <c r="G27457">
        <v>2920763</v>
      </c>
      <c r="H27457">
        <v>12717377</v>
      </c>
      <c r="I27457">
        <v>15266033</v>
      </c>
      <c r="J27457">
        <v>2</v>
      </c>
    </row>
    <row r="27458" spans="1:10" x14ac:dyDescent="0.25">
      <c r="A27458" t="s">
        <v>304</v>
      </c>
      <c r="B27458" s="1" t="str">
        <f>HYPERLINK("http://pfizermedicalinformation.com.ni","pfizermedicalinformation.com.ni")</f>
        <v>pfizermedicalinformation.com.ni</v>
      </c>
      <c r="C27458" t="s">
        <v>476</v>
      </c>
      <c r="D27458" t="s">
        <v>851</v>
      </c>
      <c r="F27458">
        <v>2.5052501124698601E-8</v>
      </c>
      <c r="G27458">
        <v>2062198</v>
      </c>
      <c r="H27458">
        <v>11254983</v>
      </c>
      <c r="I27458">
        <v>30863881</v>
      </c>
      <c r="J27458">
        <v>3</v>
      </c>
    </row>
    <row r="27459" spans="1:10" x14ac:dyDescent="0.25">
      <c r="A27459" t="s">
        <v>304</v>
      </c>
      <c r="B27459" s="1" t="str">
        <f>HYPERLINK("http://pfizer.nl","pfizer.nl")</f>
        <v>pfizer.nl</v>
      </c>
      <c r="C27459" t="s">
        <v>477</v>
      </c>
      <c r="D27459" t="s">
        <v>852</v>
      </c>
      <c r="E27459">
        <v>583967</v>
      </c>
      <c r="F27459">
        <v>1.4989427700241701E-7</v>
      </c>
      <c r="G27459">
        <v>259250</v>
      </c>
      <c r="H27459">
        <v>15199317</v>
      </c>
      <c r="I27459">
        <v>395688</v>
      </c>
      <c r="J27459">
        <v>2</v>
      </c>
    </row>
    <row r="27460" spans="1:10" x14ac:dyDescent="0.25">
      <c r="A27460" t="s">
        <v>304</v>
      </c>
      <c r="B27460" s="1" t="str">
        <f>HYPERLINK("http://pfizermedicalinformation.nl","pfizermedicalinformation.nl")</f>
        <v>pfizermedicalinformation.nl</v>
      </c>
      <c r="C27460" t="s">
        <v>477</v>
      </c>
      <c r="D27460" t="s">
        <v>852</v>
      </c>
      <c r="F27460">
        <v>2.5356452420520499E-8</v>
      </c>
      <c r="G27460">
        <v>2034855</v>
      </c>
      <c r="H27460">
        <v>12273893</v>
      </c>
      <c r="I27460">
        <v>21442061</v>
      </c>
      <c r="J27460">
        <v>3</v>
      </c>
    </row>
    <row r="27461" spans="1:10" x14ac:dyDescent="0.25">
      <c r="A27461" t="s">
        <v>304</v>
      </c>
      <c r="B27461" s="1" t="str">
        <f>HYPERLINK("http://pfizer.no","pfizer.no")</f>
        <v>pfizer.no</v>
      </c>
      <c r="C27461" t="s">
        <v>478</v>
      </c>
      <c r="D27461" t="s">
        <v>853</v>
      </c>
      <c r="F27461">
        <v>4.2493405177134397E-8</v>
      </c>
      <c r="G27461">
        <v>1140441</v>
      </c>
      <c r="H27461">
        <v>14494785</v>
      </c>
      <c r="I27461">
        <v>879684</v>
      </c>
      <c r="J27461">
        <v>2</v>
      </c>
    </row>
    <row r="27462" spans="1:10" x14ac:dyDescent="0.25">
      <c r="A27462" t="s">
        <v>304</v>
      </c>
      <c r="B27462" s="1" t="str">
        <f>HYPERLINK("http://pfizermedicalinformation.no","pfizermedicalinformation.no")</f>
        <v>pfizermedicalinformation.no</v>
      </c>
      <c r="C27462" t="s">
        <v>478</v>
      </c>
      <c r="D27462" t="s">
        <v>853</v>
      </c>
      <c r="F27462">
        <v>2.4752015783823101E-8</v>
      </c>
      <c r="G27462">
        <v>2089686</v>
      </c>
      <c r="H27462">
        <v>11254984</v>
      </c>
      <c r="I27462">
        <v>30863875</v>
      </c>
      <c r="J27462">
        <v>3</v>
      </c>
    </row>
    <row r="27463" spans="1:10" x14ac:dyDescent="0.25">
      <c r="A27463" t="s">
        <v>304</v>
      </c>
      <c r="B27463" s="1" t="str">
        <f>HYPERLINK("http://pfizer.co.nz","pfizer.co.nz")</f>
        <v>pfizer.co.nz</v>
      </c>
      <c r="C27463" t="s">
        <v>479</v>
      </c>
      <c r="D27463" t="s">
        <v>854</v>
      </c>
      <c r="F27463">
        <v>1.8516422671673699E-8</v>
      </c>
      <c r="G27463">
        <v>2922601</v>
      </c>
      <c r="H27463">
        <v>13009279</v>
      </c>
      <c r="I27463">
        <v>12755025</v>
      </c>
      <c r="J27463">
        <v>2</v>
      </c>
    </row>
    <row r="27464" spans="1:10" x14ac:dyDescent="0.25">
      <c r="A27464" t="s">
        <v>304</v>
      </c>
      <c r="B27464" s="1" t="str">
        <f>HYPERLINK("http://pfizermedicalinformation.co.nz","pfizermedicalinformation.co.nz")</f>
        <v>pfizermedicalinformation.co.nz</v>
      </c>
      <c r="C27464" t="s">
        <v>479</v>
      </c>
      <c r="D27464" t="s">
        <v>854</v>
      </c>
      <c r="F27464">
        <v>1.9078371730522199E-8</v>
      </c>
      <c r="G27464">
        <v>2821594</v>
      </c>
      <c r="H27464">
        <v>11069559</v>
      </c>
      <c r="I27464">
        <v>32582577</v>
      </c>
      <c r="J27464">
        <v>3</v>
      </c>
    </row>
    <row r="27465" spans="1:10" x14ac:dyDescent="0.25">
      <c r="A27465" t="s">
        <v>304</v>
      </c>
      <c r="B27465" s="1" t="str">
        <f>HYPERLINK("http://pfizermedicalinformation.com.pa","pfizermedicalinformation.com.pa")</f>
        <v>pfizermedicalinformation.com.pa</v>
      </c>
      <c r="C27465" t="s">
        <v>482</v>
      </c>
      <c r="D27465" t="s">
        <v>856</v>
      </c>
      <c r="F27465">
        <v>2.47251409115196E-8</v>
      </c>
      <c r="G27465">
        <v>2092093</v>
      </c>
      <c r="H27465">
        <v>12204716</v>
      </c>
      <c r="I27465">
        <v>23196827</v>
      </c>
      <c r="J27465">
        <v>3</v>
      </c>
    </row>
    <row r="27466" spans="1:10" x14ac:dyDescent="0.25">
      <c r="A27466" t="s">
        <v>304</v>
      </c>
      <c r="B27466" s="1" t="str">
        <f>HYPERLINK("http://pfizer.com.pe","pfizer.com.pe")</f>
        <v>pfizer.com.pe</v>
      </c>
      <c r="C27466" t="s">
        <v>483</v>
      </c>
      <c r="D27466" t="s">
        <v>857</v>
      </c>
      <c r="F27466">
        <v>1.43625240765706E-8</v>
      </c>
      <c r="G27466">
        <v>4070042</v>
      </c>
      <c r="H27466">
        <v>13781402</v>
      </c>
      <c r="I27466">
        <v>6458934</v>
      </c>
      <c r="J27466">
        <v>2</v>
      </c>
    </row>
    <row r="27467" spans="1:10" x14ac:dyDescent="0.25">
      <c r="A27467" t="s">
        <v>304</v>
      </c>
      <c r="B27467" s="1" t="str">
        <f>HYPERLINK("http://pfizermedicalinformation.com.pe","pfizermedicalinformation.com.pe")</f>
        <v>pfizermedicalinformation.com.pe</v>
      </c>
      <c r="C27467" t="s">
        <v>483</v>
      </c>
      <c r="D27467" t="s">
        <v>857</v>
      </c>
      <c r="F27467">
        <v>2.8810857167903198E-8</v>
      </c>
      <c r="G27467">
        <v>1786502</v>
      </c>
      <c r="H27467">
        <v>12204717</v>
      </c>
      <c r="I27467">
        <v>23196801</v>
      </c>
      <c r="J27467">
        <v>3</v>
      </c>
    </row>
    <row r="27468" spans="1:10" x14ac:dyDescent="0.25">
      <c r="A27468" t="s">
        <v>304</v>
      </c>
      <c r="B27468" s="1" t="str">
        <f>HYPERLINK("http://pfizer.com.ph","pfizer.com.ph")</f>
        <v>pfizer.com.ph</v>
      </c>
      <c r="C27468" t="s">
        <v>484</v>
      </c>
      <c r="D27468" t="s">
        <v>858</v>
      </c>
      <c r="F27468">
        <v>2.1088043499222998E-8</v>
      </c>
      <c r="G27468">
        <v>2504302</v>
      </c>
      <c r="H27468">
        <v>12690883</v>
      </c>
      <c r="I27468">
        <v>15414278</v>
      </c>
      <c r="J27468">
        <v>2</v>
      </c>
    </row>
    <row r="27469" spans="1:10" x14ac:dyDescent="0.25">
      <c r="A27469" t="s">
        <v>304</v>
      </c>
      <c r="B27469" s="1" t="str">
        <f>HYPERLINK("http://pfizermedicalinformation.ph","pfizermedicalinformation.ph")</f>
        <v>pfizermedicalinformation.ph</v>
      </c>
      <c r="C27469" t="s">
        <v>484</v>
      </c>
      <c r="D27469" t="s">
        <v>858</v>
      </c>
      <c r="F27469">
        <v>2.4702683215444201E-8</v>
      </c>
      <c r="G27469">
        <v>2094133</v>
      </c>
      <c r="H27469">
        <v>11268040</v>
      </c>
      <c r="I27469">
        <v>30777664</v>
      </c>
      <c r="J27469">
        <v>3</v>
      </c>
    </row>
    <row r="27470" spans="1:10" x14ac:dyDescent="0.25">
      <c r="A27470" t="s">
        <v>304</v>
      </c>
      <c r="B27470" s="1" t="str">
        <f>HYPERLINK("http://pfizer.com.pk","pfizer.com.pk")</f>
        <v>pfizer.com.pk</v>
      </c>
      <c r="C27470" t="s">
        <v>485</v>
      </c>
      <c r="D27470" t="s">
        <v>859</v>
      </c>
      <c r="F27470">
        <v>1.9928020802368501E-8</v>
      </c>
      <c r="G27470">
        <v>2670300</v>
      </c>
      <c r="H27470">
        <v>13884331</v>
      </c>
      <c r="I27470">
        <v>5972564</v>
      </c>
      <c r="J27470">
        <v>2</v>
      </c>
    </row>
    <row r="27471" spans="1:10" x14ac:dyDescent="0.25">
      <c r="A27471" t="s">
        <v>304</v>
      </c>
      <c r="B27471" s="1" t="str">
        <f>HYPERLINK("http://pfizer.com.pl","pfizer.com.pl")</f>
        <v>pfizer.com.pl</v>
      </c>
      <c r="C27471" t="s">
        <v>486</v>
      </c>
      <c r="D27471" t="s">
        <v>860</v>
      </c>
      <c r="F27471">
        <v>4.4516785392700901E-8</v>
      </c>
      <c r="G27471">
        <v>1064558</v>
      </c>
      <c r="H27471">
        <v>14494628</v>
      </c>
      <c r="I27471">
        <v>880628</v>
      </c>
      <c r="J27471">
        <v>2</v>
      </c>
    </row>
    <row r="27472" spans="1:10" x14ac:dyDescent="0.25">
      <c r="A27472" t="s">
        <v>304</v>
      </c>
      <c r="B27472" s="1" t="str">
        <f>HYPERLINK("http://pfizer.pl","pfizer.pl")</f>
        <v>pfizer.pl</v>
      </c>
      <c r="C27472" t="s">
        <v>486</v>
      </c>
      <c r="D27472" t="s">
        <v>860</v>
      </c>
      <c r="F27472">
        <v>1.77617118839252E-8</v>
      </c>
      <c r="G27472">
        <v>3083024</v>
      </c>
      <c r="H27472">
        <v>12469378</v>
      </c>
      <c r="I27472">
        <v>17766031</v>
      </c>
      <c r="J27472">
        <v>2</v>
      </c>
    </row>
    <row r="27473" spans="1:10" x14ac:dyDescent="0.25">
      <c r="A27473" t="s">
        <v>304</v>
      </c>
      <c r="B27473" s="1" t="str">
        <f>HYPERLINK("http://pfizer.pt","pfizer.pt")</f>
        <v>pfizer.pt</v>
      </c>
      <c r="C27473" t="s">
        <v>488</v>
      </c>
      <c r="D27473" t="s">
        <v>862</v>
      </c>
      <c r="F27473">
        <v>3.1584085116248897E-8</v>
      </c>
      <c r="G27473">
        <v>1633982</v>
      </c>
      <c r="H27473">
        <v>14250284</v>
      </c>
      <c r="I27473">
        <v>1447236</v>
      </c>
      <c r="J27473">
        <v>2</v>
      </c>
    </row>
    <row r="27474" spans="1:10" x14ac:dyDescent="0.25">
      <c r="A27474" t="s">
        <v>304</v>
      </c>
      <c r="B27474" s="1" t="str">
        <f>HYPERLINK("http://pfizermedicalinformation.pt","pfizermedicalinformation.pt")</f>
        <v>pfizermedicalinformation.pt</v>
      </c>
      <c r="C27474" t="s">
        <v>488</v>
      </c>
      <c r="D27474" t="s">
        <v>862</v>
      </c>
      <c r="F27474">
        <v>2.5180657787003301E-8</v>
      </c>
      <c r="G27474">
        <v>2050636</v>
      </c>
      <c r="H27474">
        <v>11258647</v>
      </c>
      <c r="I27474">
        <v>30838264</v>
      </c>
      <c r="J27474">
        <v>3</v>
      </c>
    </row>
    <row r="27475" spans="1:10" x14ac:dyDescent="0.25">
      <c r="A27475" t="s">
        <v>304</v>
      </c>
      <c r="B27475" s="1" t="str">
        <f>HYPERLINK("http://pfizermedicalinformation.com.py","pfizermedicalinformation.com.py")</f>
        <v>pfizermedicalinformation.com.py</v>
      </c>
      <c r="C27475" t="s">
        <v>489</v>
      </c>
      <c r="D27475" t="s">
        <v>863</v>
      </c>
      <c r="F27475">
        <v>2.5157519191854599E-8</v>
      </c>
      <c r="G27475">
        <v>2052612</v>
      </c>
      <c r="H27475">
        <v>11254988</v>
      </c>
      <c r="I27475">
        <v>30863849</v>
      </c>
      <c r="J27475">
        <v>3</v>
      </c>
    </row>
    <row r="27476" spans="1:10" x14ac:dyDescent="0.25">
      <c r="A27476" t="s">
        <v>304</v>
      </c>
      <c r="B27476" s="1" t="str">
        <f>HYPERLINK("http://pfizer.ro","pfizer.ro")</f>
        <v>pfizer.ro</v>
      </c>
      <c r="C27476" t="s">
        <v>491</v>
      </c>
      <c r="D27476" t="s">
        <v>865</v>
      </c>
      <c r="F27476">
        <v>3.0139636292370502E-8</v>
      </c>
      <c r="G27476">
        <v>1707304</v>
      </c>
      <c r="H27476">
        <v>13722857</v>
      </c>
      <c r="I27476">
        <v>9468528</v>
      </c>
      <c r="J27476">
        <v>2</v>
      </c>
    </row>
    <row r="27477" spans="1:10" x14ac:dyDescent="0.25">
      <c r="A27477" t="s">
        <v>304</v>
      </c>
      <c r="B27477" s="1" t="str">
        <f>HYPERLINK("http://pfizer.rs","pfizer.rs")</f>
        <v>pfizer.rs</v>
      </c>
      <c r="C27477" t="s">
        <v>492</v>
      </c>
      <c r="D27477" t="s">
        <v>866</v>
      </c>
      <c r="F27477">
        <v>1.18863181785795E-8</v>
      </c>
      <c r="G27477">
        <v>5247543</v>
      </c>
      <c r="H27477">
        <v>12355237</v>
      </c>
      <c r="I27477">
        <v>19675590</v>
      </c>
      <c r="J27477">
        <v>2</v>
      </c>
    </row>
    <row r="27478" spans="1:10" x14ac:dyDescent="0.25">
      <c r="A27478" t="s">
        <v>304</v>
      </c>
      <c r="B27478" s="1" t="str">
        <f>HYPERLINK("http://pfizer.ru","pfizer.ru")</f>
        <v>pfizer.ru</v>
      </c>
      <c r="C27478" t="s">
        <v>493</v>
      </c>
      <c r="D27478" t="s">
        <v>867</v>
      </c>
      <c r="E27478">
        <v>417308</v>
      </c>
      <c r="F27478">
        <v>7.9653580686381097E-8</v>
      </c>
      <c r="G27478">
        <v>524456</v>
      </c>
      <c r="H27478">
        <v>14589772</v>
      </c>
      <c r="I27478">
        <v>696563</v>
      </c>
      <c r="J27478">
        <v>2</v>
      </c>
    </row>
    <row r="27479" spans="1:10" x14ac:dyDescent="0.25">
      <c r="A27479" t="s">
        <v>304</v>
      </c>
      <c r="B27479" s="1" t="str">
        <f>HYPERLINK("http://pfizermedicalinformation.sa","pfizermedicalinformation.sa")</f>
        <v>pfizermedicalinformation.sa</v>
      </c>
      <c r="C27479" t="s">
        <v>494</v>
      </c>
      <c r="D27479" t="s">
        <v>868</v>
      </c>
      <c r="F27479">
        <v>2.4740897538036499E-8</v>
      </c>
      <c r="G27479">
        <v>2090698</v>
      </c>
      <c r="H27479">
        <v>11254983</v>
      </c>
      <c r="I27479">
        <v>30863882</v>
      </c>
      <c r="J27479">
        <v>3</v>
      </c>
    </row>
    <row r="27480" spans="1:10" x14ac:dyDescent="0.25">
      <c r="A27480" t="s">
        <v>304</v>
      </c>
      <c r="B27480" s="1" t="str">
        <f>HYPERLINK("http://pfizer.se","pfizer.se")</f>
        <v>pfizer.se</v>
      </c>
      <c r="C27480" t="s">
        <v>495</v>
      </c>
      <c r="D27480" t="s">
        <v>869</v>
      </c>
      <c r="F27480">
        <v>8.3278015164437697E-8</v>
      </c>
      <c r="G27480">
        <v>499303</v>
      </c>
      <c r="H27480">
        <v>14496389</v>
      </c>
      <c r="I27480">
        <v>871091</v>
      </c>
      <c r="J27480">
        <v>2</v>
      </c>
    </row>
    <row r="27481" spans="1:10" x14ac:dyDescent="0.25">
      <c r="A27481" t="s">
        <v>304</v>
      </c>
      <c r="B27481" s="1" t="str">
        <f>HYPERLINK("http://pfizermedicalinformation.se","pfizermedicalinformation.se")</f>
        <v>pfizermedicalinformation.se</v>
      </c>
      <c r="C27481" t="s">
        <v>495</v>
      </c>
      <c r="D27481" t="s">
        <v>869</v>
      </c>
      <c r="F27481">
        <v>2.6035315373151801E-8</v>
      </c>
      <c r="G27481">
        <v>1978853</v>
      </c>
      <c r="H27481">
        <v>12209493</v>
      </c>
      <c r="I27481">
        <v>23039890</v>
      </c>
      <c r="J27481">
        <v>3</v>
      </c>
    </row>
    <row r="27482" spans="1:10" x14ac:dyDescent="0.25">
      <c r="A27482" t="s">
        <v>304</v>
      </c>
      <c r="B27482" s="1" t="str">
        <f>HYPERLINK("http://pfizer.com.sg","pfizer.com.sg")</f>
        <v>pfizer.com.sg</v>
      </c>
      <c r="C27482" t="s">
        <v>496</v>
      </c>
      <c r="D27482" t="s">
        <v>870</v>
      </c>
      <c r="F27482">
        <v>2.2289791317892199E-8</v>
      </c>
      <c r="G27482">
        <v>2352159</v>
      </c>
      <c r="H27482">
        <v>14245858</v>
      </c>
      <c r="I27482">
        <v>1464157</v>
      </c>
      <c r="J27482">
        <v>2</v>
      </c>
    </row>
    <row r="27483" spans="1:10" x14ac:dyDescent="0.25">
      <c r="A27483" t="s">
        <v>304</v>
      </c>
      <c r="B27483" s="1" t="str">
        <f>HYPERLINK("http://pfizer.si","pfizer.si")</f>
        <v>pfizer.si</v>
      </c>
      <c r="C27483" t="s">
        <v>497</v>
      </c>
      <c r="D27483" t="s">
        <v>871</v>
      </c>
      <c r="F27483">
        <v>2.3104432024384899E-8</v>
      </c>
      <c r="G27483">
        <v>2259618</v>
      </c>
      <c r="H27483">
        <v>14081775</v>
      </c>
      <c r="I27483">
        <v>2806523</v>
      </c>
      <c r="J27483">
        <v>2</v>
      </c>
    </row>
    <row r="27484" spans="1:10" x14ac:dyDescent="0.25">
      <c r="A27484" t="s">
        <v>304</v>
      </c>
      <c r="B27484" s="1" t="str">
        <f>HYPERLINK("http://pfizer.sk","pfizer.sk")</f>
        <v>pfizer.sk</v>
      </c>
      <c r="C27484" t="s">
        <v>498</v>
      </c>
      <c r="D27484" t="s">
        <v>872</v>
      </c>
      <c r="F27484">
        <v>2.7698740695160799E-8</v>
      </c>
      <c r="G27484">
        <v>1856313</v>
      </c>
      <c r="H27484">
        <v>13782567</v>
      </c>
      <c r="I27484">
        <v>6437392</v>
      </c>
      <c r="J27484">
        <v>2</v>
      </c>
    </row>
    <row r="27485" spans="1:10" x14ac:dyDescent="0.25">
      <c r="A27485" t="s">
        <v>304</v>
      </c>
      <c r="B27485" s="1" t="str">
        <f>HYPERLINK("http://pfizer.sn","pfizer.sn")</f>
        <v>pfizer.sn</v>
      </c>
      <c r="C27485" t="s">
        <v>551</v>
      </c>
      <c r="D27485" t="s">
        <v>907</v>
      </c>
      <c r="F27485">
        <v>4.4512532538744297E-9</v>
      </c>
      <c r="G27485">
        <v>71262603</v>
      </c>
      <c r="H27485">
        <v>10533667</v>
      </c>
      <c r="I27485">
        <v>47850161</v>
      </c>
      <c r="J27485">
        <v>3</v>
      </c>
    </row>
    <row r="27486" spans="1:10" x14ac:dyDescent="0.25">
      <c r="A27486" t="s">
        <v>304</v>
      </c>
      <c r="B27486" s="1" t="str">
        <f>HYPERLINK("http://pfizermedicalinformation.com.sv","pfizermedicalinformation.com.sv")</f>
        <v>pfizermedicalinformation.com.sv</v>
      </c>
      <c r="C27486" t="s">
        <v>499</v>
      </c>
      <c r="D27486" t="s">
        <v>873</v>
      </c>
      <c r="F27486">
        <v>2.4709212587510001E-8</v>
      </c>
      <c r="G27486">
        <v>2093565</v>
      </c>
      <c r="H27486">
        <v>12204716</v>
      </c>
      <c r="I27486">
        <v>23196829</v>
      </c>
      <c r="J27486">
        <v>3</v>
      </c>
    </row>
    <row r="27487" spans="1:10" x14ac:dyDescent="0.25">
      <c r="A27487" t="s">
        <v>304</v>
      </c>
      <c r="B27487" s="1" t="str">
        <f>HYPERLINK("http://pfizer.co.th","pfizer.co.th")</f>
        <v>pfizer.co.th</v>
      </c>
      <c r="C27487" t="s">
        <v>500</v>
      </c>
      <c r="D27487" t="s">
        <v>874</v>
      </c>
      <c r="F27487">
        <v>1.9129246950084399E-8</v>
      </c>
      <c r="G27487">
        <v>2810870</v>
      </c>
      <c r="H27487">
        <v>14245560</v>
      </c>
      <c r="I27487">
        <v>1465614</v>
      </c>
      <c r="J27487">
        <v>2</v>
      </c>
    </row>
    <row r="27488" spans="1:10" x14ac:dyDescent="0.25">
      <c r="A27488" t="s">
        <v>304</v>
      </c>
      <c r="B27488" s="1" t="str">
        <f>HYPERLINK("http://pfizermedicalinformation.com.tn","pfizermedicalinformation.com.tn")</f>
        <v>pfizermedicalinformation.com.tn</v>
      </c>
      <c r="C27488" t="s">
        <v>501</v>
      </c>
      <c r="D27488" t="s">
        <v>875</v>
      </c>
      <c r="F27488">
        <v>1.8411793726521401E-8</v>
      </c>
      <c r="G27488">
        <v>2943277</v>
      </c>
      <c r="H27488">
        <v>12097137</v>
      </c>
      <c r="I27488">
        <v>26050114</v>
      </c>
      <c r="J27488">
        <v>3</v>
      </c>
    </row>
    <row r="27489" spans="1:10" x14ac:dyDescent="0.25">
      <c r="A27489" t="s">
        <v>304</v>
      </c>
      <c r="B27489" s="1" t="str">
        <f>HYPERLINK("http://pfizer.com.tr","pfizer.com.tr")</f>
        <v>pfizer.com.tr</v>
      </c>
      <c r="C27489" t="s">
        <v>502</v>
      </c>
      <c r="D27489" t="s">
        <v>876</v>
      </c>
      <c r="F27489">
        <v>3.5040925033876999E-8</v>
      </c>
      <c r="G27489">
        <v>1482790</v>
      </c>
      <c r="H27489">
        <v>13181864</v>
      </c>
      <c r="I27489">
        <v>11679095</v>
      </c>
      <c r="J27489">
        <v>2</v>
      </c>
    </row>
    <row r="27490" spans="1:10" x14ac:dyDescent="0.25">
      <c r="A27490" t="s">
        <v>304</v>
      </c>
      <c r="B27490" s="1" t="str">
        <f>HYPERLINK("http://pfizer.com.tw","pfizer.com.tw")</f>
        <v>pfizer.com.tw</v>
      </c>
      <c r="C27490" t="s">
        <v>504</v>
      </c>
      <c r="D27490" t="s">
        <v>878</v>
      </c>
      <c r="F27490">
        <v>2.7045374388923501E-8</v>
      </c>
      <c r="G27490">
        <v>1901613</v>
      </c>
      <c r="H27490">
        <v>14245610</v>
      </c>
      <c r="I27490">
        <v>1465359</v>
      </c>
      <c r="J27490">
        <v>2</v>
      </c>
    </row>
    <row r="27491" spans="1:10" x14ac:dyDescent="0.25">
      <c r="A27491" t="s">
        <v>304</v>
      </c>
      <c r="B27491" s="1" t="str">
        <f>HYPERLINK("http://pfizer.ua","pfizer.ua")</f>
        <v>pfizer.ua</v>
      </c>
      <c r="C27491" t="s">
        <v>505</v>
      </c>
      <c r="D27491" t="s">
        <v>879</v>
      </c>
      <c r="F27491">
        <v>2.1444760722161299E-8</v>
      </c>
      <c r="G27491">
        <v>2455862</v>
      </c>
      <c r="H27491">
        <v>13015425</v>
      </c>
      <c r="I27491">
        <v>12730630</v>
      </c>
      <c r="J27491">
        <v>2</v>
      </c>
    </row>
    <row r="27492" spans="1:10" x14ac:dyDescent="0.25">
      <c r="A27492" t="s">
        <v>304</v>
      </c>
      <c r="B27492" s="1" t="str">
        <f>HYPERLINK("http://pfizer.co.uk","pfizer.co.uk")</f>
        <v>pfizer.co.uk</v>
      </c>
      <c r="C27492" t="s">
        <v>506</v>
      </c>
      <c r="D27492" t="s">
        <v>880</v>
      </c>
      <c r="E27492">
        <v>347506</v>
      </c>
      <c r="F27492">
        <v>1.6898772150934799E-7</v>
      </c>
      <c r="G27492">
        <v>229537</v>
      </c>
      <c r="H27492">
        <v>14869240</v>
      </c>
      <c r="I27492">
        <v>479471</v>
      </c>
      <c r="J27492">
        <v>2</v>
      </c>
    </row>
    <row r="27493" spans="1:10" x14ac:dyDescent="0.25">
      <c r="A27493" t="s">
        <v>304</v>
      </c>
      <c r="B27493" s="1" t="str">
        <f>HYPERLINK("http://pfizermedicalinformation.co.uk","pfizermedicalinformation.co.uk")</f>
        <v>pfizermedicalinformation.co.uk</v>
      </c>
      <c r="C27493" t="s">
        <v>506</v>
      </c>
      <c r="D27493" t="s">
        <v>880</v>
      </c>
      <c r="F27493">
        <v>2.1021843520299002E-8</v>
      </c>
      <c r="G27493">
        <v>2512915</v>
      </c>
      <c r="H27493">
        <v>12212364</v>
      </c>
      <c r="I27493">
        <v>22968669</v>
      </c>
      <c r="J27493">
        <v>3</v>
      </c>
    </row>
    <row r="27494" spans="1:10" x14ac:dyDescent="0.25">
      <c r="A27494" t="s">
        <v>304</v>
      </c>
      <c r="B27494" s="1" t="str">
        <f>HYPERLINK("http://reviral.co.uk","reviral.co.uk")</f>
        <v>reviral.co.uk</v>
      </c>
      <c r="C27494" t="s">
        <v>506</v>
      </c>
      <c r="D27494" t="s">
        <v>880</v>
      </c>
      <c r="F27494">
        <v>1.32150195620126E-8</v>
      </c>
      <c r="G27494">
        <v>4531486</v>
      </c>
      <c r="H27494">
        <v>13325723</v>
      </c>
      <c r="I27494">
        <v>10731731</v>
      </c>
      <c r="J27494">
        <v>3</v>
      </c>
    </row>
    <row r="27495" spans="1:10" x14ac:dyDescent="0.25">
      <c r="A27495" t="s">
        <v>304</v>
      </c>
      <c r="B27495" s="1" t="str">
        <f>HYPERLINK("http://pfizer.com.ve","pfizer.com.ve")</f>
        <v>pfizer.com.ve</v>
      </c>
      <c r="C27495" t="s">
        <v>508</v>
      </c>
      <c r="D27495" t="s">
        <v>882</v>
      </c>
      <c r="F27495">
        <v>4.7185478280856601E-9</v>
      </c>
      <c r="G27495">
        <v>40290173</v>
      </c>
      <c r="H27495">
        <v>10747228</v>
      </c>
      <c r="I27495">
        <v>40168081</v>
      </c>
      <c r="J27495">
        <v>3</v>
      </c>
    </row>
    <row r="27496" spans="1:10" x14ac:dyDescent="0.25">
      <c r="A27496" t="s">
        <v>304</v>
      </c>
      <c r="B27496" s="1" t="str">
        <f>HYPERLINK("http://pfizermedicalinformation.com.ve","pfizermedicalinformation.com.ve")</f>
        <v>pfizermedicalinformation.com.ve</v>
      </c>
      <c r="C27496" t="s">
        <v>508</v>
      </c>
      <c r="D27496" t="s">
        <v>882</v>
      </c>
      <c r="F27496">
        <v>2.9797684307840501E-8</v>
      </c>
      <c r="G27496">
        <v>1727131</v>
      </c>
      <c r="H27496">
        <v>12097138</v>
      </c>
      <c r="I27496">
        <v>26050100</v>
      </c>
      <c r="J27496">
        <v>3</v>
      </c>
    </row>
    <row r="27497" spans="1:10" x14ac:dyDescent="0.25">
      <c r="A27497" t="s">
        <v>304</v>
      </c>
      <c r="B27497" s="1" t="str">
        <f>HYPERLINK("http://pfizer.com.vn","pfizer.com.vn")</f>
        <v>pfizer.com.vn</v>
      </c>
      <c r="C27497" t="s">
        <v>509</v>
      </c>
      <c r="D27497" t="s">
        <v>883</v>
      </c>
      <c r="F27497">
        <v>1.25787967250141E-8</v>
      </c>
      <c r="G27497">
        <v>4841585</v>
      </c>
      <c r="H27497">
        <v>12773198</v>
      </c>
      <c r="I27497">
        <v>14818730</v>
      </c>
      <c r="J27497">
        <v>2</v>
      </c>
    </row>
    <row r="27498" spans="1:10" x14ac:dyDescent="0.25">
      <c r="A27498" t="s">
        <v>304</v>
      </c>
      <c r="B27498" s="1" t="str">
        <f>HYPERLINK("http://pfizer.co.za","pfizer.co.za")</f>
        <v>pfizer.co.za</v>
      </c>
      <c r="C27498" t="s">
        <v>510</v>
      </c>
      <c r="D27498" t="s">
        <v>884</v>
      </c>
      <c r="F27498">
        <v>1.61183895968439E-8</v>
      </c>
      <c r="G27498">
        <v>3515972</v>
      </c>
      <c r="H27498">
        <v>14079793</v>
      </c>
      <c r="I27498">
        <v>2827777</v>
      </c>
      <c r="J27498">
        <v>2</v>
      </c>
    </row>
    <row r="27499" spans="1:10" x14ac:dyDescent="0.25">
      <c r="A27499" t="s">
        <v>304</v>
      </c>
      <c r="B27499" s="1" t="str">
        <f>HYPERLINK("http://pfizermedicalinformation.co.za","pfizermedicalinformation.co.za")</f>
        <v>pfizermedicalinformation.co.za</v>
      </c>
      <c r="C27499" t="s">
        <v>510</v>
      </c>
      <c r="D27499" t="s">
        <v>884</v>
      </c>
      <c r="F27499">
        <v>2.9853976255048902E-8</v>
      </c>
      <c r="G27499">
        <v>1723985</v>
      </c>
      <c r="H27499">
        <v>12098838</v>
      </c>
      <c r="I27499">
        <v>25998916</v>
      </c>
      <c r="J27499">
        <v>3</v>
      </c>
    </row>
    <row r="27500" spans="1:10" x14ac:dyDescent="0.25">
      <c r="A27500" t="s">
        <v>305</v>
      </c>
      <c r="B27500" s="1" t="str">
        <f>HYPERLINK("http://swedishmatch.com.br","swedishmatch.com.br")</f>
        <v>swedishmatch.com.br</v>
      </c>
      <c r="C27500" t="s">
        <v>425</v>
      </c>
      <c r="D27500" t="s">
        <v>806</v>
      </c>
      <c r="F27500">
        <v>7.5922736216757706E-9</v>
      </c>
      <c r="G27500">
        <v>10811124</v>
      </c>
      <c r="H27500">
        <v>13110286</v>
      </c>
      <c r="I27500">
        <v>12036020</v>
      </c>
      <c r="J27500">
        <v>3</v>
      </c>
    </row>
    <row r="27501" spans="1:10" x14ac:dyDescent="0.25">
      <c r="A27501" t="s">
        <v>305</v>
      </c>
      <c r="B27501" s="1" t="str">
        <f>HYPERLINK("http://iqos.ca","iqos.ca")</f>
        <v>iqos.ca</v>
      </c>
      <c r="C27501" t="s">
        <v>428</v>
      </c>
      <c r="D27501" t="s">
        <v>809</v>
      </c>
      <c r="F27501">
        <v>7.6554730394561099E-9</v>
      </c>
      <c r="G27501">
        <v>10674395</v>
      </c>
      <c r="H27501">
        <v>12693192</v>
      </c>
      <c r="I27501">
        <v>15396930</v>
      </c>
      <c r="J27501">
        <v>4</v>
      </c>
    </row>
    <row r="27502" spans="1:10" x14ac:dyDescent="0.25">
      <c r="A27502" t="s">
        <v>305</v>
      </c>
      <c r="B27502" s="1" t="str">
        <f>HYPERLINK("http://swedishmatch.ch","swedishmatch.ch")</f>
        <v>swedishmatch.ch</v>
      </c>
      <c r="C27502" t="s">
        <v>429</v>
      </c>
      <c r="D27502" t="s">
        <v>810</v>
      </c>
      <c r="F27502">
        <v>9.2799815520294704E-9</v>
      </c>
      <c r="G27502">
        <v>7598604</v>
      </c>
      <c r="H27502">
        <v>12644513</v>
      </c>
      <c r="I27502">
        <v>15837924</v>
      </c>
      <c r="J27502">
        <v>3</v>
      </c>
    </row>
    <row r="27503" spans="1:10" x14ac:dyDescent="0.25">
      <c r="A27503" t="s">
        <v>305</v>
      </c>
      <c r="B27503" s="1" t="str">
        <f>HYPERLINK("http://commercialtrainings.com","commercialtrainings.com")</f>
        <v>commercialtrainings.com</v>
      </c>
      <c r="C27503" t="s">
        <v>433</v>
      </c>
      <c r="J27503">
        <v>4</v>
      </c>
    </row>
    <row r="27504" spans="1:10" x14ac:dyDescent="0.25">
      <c r="A27504" t="s">
        <v>305</v>
      </c>
      <c r="B27504" s="1" t="str">
        <f>HYPERLINK("http://fertin.com","fertin.com")</f>
        <v>fertin.com</v>
      </c>
      <c r="C27504" t="s">
        <v>433</v>
      </c>
      <c r="F27504">
        <v>2.9336919093170501E-8</v>
      </c>
      <c r="G27504">
        <v>1756313</v>
      </c>
      <c r="H27504">
        <v>14090943</v>
      </c>
      <c r="I27504">
        <v>2746432</v>
      </c>
      <c r="J27504">
        <v>4</v>
      </c>
    </row>
    <row r="27505" spans="1:10" x14ac:dyDescent="0.25">
      <c r="A27505" t="s">
        <v>305</v>
      </c>
      <c r="B27505" s="1" t="str">
        <f>HYPERLINK("http://iqos.com","iqos.com")</f>
        <v>iqos.com</v>
      </c>
      <c r="C27505" t="s">
        <v>433</v>
      </c>
      <c r="E27505">
        <v>32615</v>
      </c>
      <c r="F27505">
        <v>3.7137461810442401E-7</v>
      </c>
      <c r="G27505">
        <v>100835</v>
      </c>
      <c r="H27505">
        <v>14902492</v>
      </c>
      <c r="I27505">
        <v>461896</v>
      </c>
      <c r="J27505">
        <v>3</v>
      </c>
    </row>
    <row r="27506" spans="1:10" x14ac:dyDescent="0.25">
      <c r="A27506" t="s">
        <v>305</v>
      </c>
      <c r="B27506" s="1" t="str">
        <f>HYPERLINK("http://latenightscience.com","latenightscience.com")</f>
        <v>latenightscience.com</v>
      </c>
      <c r="C27506" t="s">
        <v>433</v>
      </c>
      <c r="J27506">
        <v>4</v>
      </c>
    </row>
    <row r="27507" spans="1:10" x14ac:dyDescent="0.25">
      <c r="A27507" t="s">
        <v>305</v>
      </c>
      <c r="B27507" s="1" t="str">
        <f>HYPERLINK("http://myiqos.com","myiqos.com")</f>
        <v>myiqos.com</v>
      </c>
      <c r="C27507" t="s">
        <v>433</v>
      </c>
      <c r="F27507">
        <v>9.85761290032338E-9</v>
      </c>
      <c r="G27507">
        <v>6905716</v>
      </c>
      <c r="H27507">
        <v>12974805</v>
      </c>
      <c r="I27507">
        <v>13018437</v>
      </c>
      <c r="J27507">
        <v>4</v>
      </c>
    </row>
    <row r="27508" spans="1:10" x14ac:dyDescent="0.25">
      <c r="A27508" t="s">
        <v>305</v>
      </c>
      <c r="B27508" s="1" t="str">
        <f>HYPERLINK("http://philipmorris.com","philipmorris.com")</f>
        <v>philipmorris.com</v>
      </c>
      <c r="C27508" t="s">
        <v>433</v>
      </c>
      <c r="F27508">
        <v>1.9791198931665801E-8</v>
      </c>
      <c r="G27508">
        <v>2694618</v>
      </c>
      <c r="H27508">
        <v>14614402</v>
      </c>
      <c r="I27508">
        <v>669761</v>
      </c>
      <c r="J27508">
        <v>3</v>
      </c>
    </row>
    <row r="27509" spans="1:10" x14ac:dyDescent="0.25">
      <c r="A27509" t="s">
        <v>305</v>
      </c>
      <c r="B27509" s="1" t="str">
        <f>HYPERLINK("http://philipmorrisinternational.com","philipmorrisinternational.com")</f>
        <v>philipmorrisinternational.com</v>
      </c>
      <c r="C27509" t="s">
        <v>433</v>
      </c>
      <c r="F27509">
        <v>3.9156249071864399E-8</v>
      </c>
      <c r="G27509">
        <v>1317435</v>
      </c>
      <c r="H27509">
        <v>14832652</v>
      </c>
      <c r="I27509">
        <v>503888</v>
      </c>
      <c r="J27509">
        <v>3</v>
      </c>
    </row>
    <row r="27510" spans="1:10" x14ac:dyDescent="0.25">
      <c r="A27510" t="s">
        <v>305</v>
      </c>
      <c r="B27510" s="1" t="str">
        <f>HYPERLINK("http://philipsmorris.com","philipsmorris.com")</f>
        <v>philipsmorris.com</v>
      </c>
      <c r="C27510" t="s">
        <v>433</v>
      </c>
      <c r="F27510">
        <v>4.4443714271588997E-9</v>
      </c>
      <c r="G27510">
        <v>76866212</v>
      </c>
      <c r="H27510">
        <v>10344860</v>
      </c>
      <c r="I27510">
        <v>57081687</v>
      </c>
      <c r="J27510">
        <v>3</v>
      </c>
    </row>
    <row r="27511" spans="1:10" x14ac:dyDescent="0.25">
      <c r="A27511" t="s">
        <v>305</v>
      </c>
      <c r="B27511" s="1" t="str">
        <f>HYPERLINK("http://pmequitypartner.com","pmequitypartner.com")</f>
        <v>pmequitypartner.com</v>
      </c>
      <c r="C27511" t="s">
        <v>433</v>
      </c>
      <c r="F27511">
        <v>7.7414062876000499E-9</v>
      </c>
      <c r="G27511">
        <v>10484122</v>
      </c>
      <c r="H27511">
        <v>11314696</v>
      </c>
      <c r="I27511">
        <v>30533433</v>
      </c>
      <c r="J27511">
        <v>3</v>
      </c>
    </row>
    <row r="27512" spans="1:10" x14ac:dyDescent="0.25">
      <c r="A27512" t="s">
        <v>305</v>
      </c>
      <c r="B27512" s="1" t="str">
        <f>HYPERLINK("http://pmi.com","pmi.com")</f>
        <v>pmi.com</v>
      </c>
      <c r="C27512" t="s">
        <v>433</v>
      </c>
      <c r="E27512">
        <v>32065</v>
      </c>
      <c r="F27512">
        <v>1.1403172047574999E-6</v>
      </c>
      <c r="G27512">
        <v>33901</v>
      </c>
      <c r="H27512">
        <v>15383622</v>
      </c>
      <c r="I27512">
        <v>380987</v>
      </c>
      <c r="J27512">
        <v>1</v>
      </c>
    </row>
    <row r="27513" spans="1:10" x14ac:dyDescent="0.25">
      <c r="A27513" t="s">
        <v>305</v>
      </c>
      <c r="B27513" s="1" t="str">
        <f>HYPERLINK("http://pmicareers.com","pmicareers.com")</f>
        <v>pmicareers.com</v>
      </c>
      <c r="C27513" t="s">
        <v>433</v>
      </c>
      <c r="F27513">
        <v>6.5842988950172697E-9</v>
      </c>
      <c r="G27513">
        <v>13737171</v>
      </c>
      <c r="H27513">
        <v>14237590</v>
      </c>
      <c r="I27513">
        <v>1546150</v>
      </c>
      <c r="J27513">
        <v>3</v>
      </c>
    </row>
    <row r="27514" spans="1:10" x14ac:dyDescent="0.25">
      <c r="A27514" t="s">
        <v>305</v>
      </c>
      <c r="B27514" s="1" t="str">
        <f>HYPERLINK("http://pmiheroes.com","pmiheroes.com")</f>
        <v>pmiheroes.com</v>
      </c>
      <c r="C27514" t="s">
        <v>433</v>
      </c>
      <c r="J27514">
        <v>4</v>
      </c>
    </row>
    <row r="27515" spans="1:10" x14ac:dyDescent="0.25">
      <c r="A27515" t="s">
        <v>305</v>
      </c>
      <c r="B27515" s="1" t="str">
        <f>HYPERLINK("http://pmiopen.com","pmiopen.com")</f>
        <v>pmiopen.com</v>
      </c>
      <c r="C27515" t="s">
        <v>433</v>
      </c>
      <c r="E27515">
        <v>213306</v>
      </c>
      <c r="F27515">
        <v>2.0648593122824699E-8</v>
      </c>
      <c r="G27515">
        <v>2563919</v>
      </c>
      <c r="H27515">
        <v>12849763</v>
      </c>
      <c r="I27515">
        <v>14285572</v>
      </c>
      <c r="J27515">
        <v>4</v>
      </c>
    </row>
    <row r="27516" spans="1:10" x14ac:dyDescent="0.25">
      <c r="A27516" t="s">
        <v>305</v>
      </c>
      <c r="B27516" s="1" t="str">
        <f>HYPERLINK("http://pmiprivacy.com","pmiprivacy.com")</f>
        <v>pmiprivacy.com</v>
      </c>
      <c r="C27516" t="s">
        <v>433</v>
      </c>
      <c r="F27516">
        <v>8.9373264861939503E-8</v>
      </c>
      <c r="G27516">
        <v>457128</v>
      </c>
      <c r="H27516">
        <v>14069235</v>
      </c>
      <c r="I27516">
        <v>3721140</v>
      </c>
      <c r="J27516">
        <v>3</v>
      </c>
    </row>
    <row r="27517" spans="1:10" x14ac:dyDescent="0.25">
      <c r="A27517" t="s">
        <v>305</v>
      </c>
      <c r="B27517" s="1" t="str">
        <f>HYPERLINK("http://qlabstore.com","qlabstore.com")</f>
        <v>qlabstore.com</v>
      </c>
      <c r="C27517" t="s">
        <v>433</v>
      </c>
      <c r="F27517">
        <v>8.4164922038948498E-9</v>
      </c>
      <c r="G27517">
        <v>9009412</v>
      </c>
      <c r="H27517">
        <v>10967313</v>
      </c>
      <c r="I27517">
        <v>34198059</v>
      </c>
      <c r="J27517">
        <v>4</v>
      </c>
    </row>
    <row r="27518" spans="1:10" x14ac:dyDescent="0.25">
      <c r="A27518" t="s">
        <v>305</v>
      </c>
      <c r="B27518" s="1" t="str">
        <f>HYPERLINK("http://sampoerna.com","sampoerna.com")</f>
        <v>sampoerna.com</v>
      </c>
      <c r="C27518" t="s">
        <v>433</v>
      </c>
      <c r="F27518">
        <v>2.8993005693410101E-8</v>
      </c>
      <c r="G27518">
        <v>1775774</v>
      </c>
      <c r="H27518">
        <v>14501723</v>
      </c>
      <c r="I27518">
        <v>848622</v>
      </c>
      <c r="J27518">
        <v>3</v>
      </c>
    </row>
    <row r="27519" spans="1:10" x14ac:dyDescent="0.25">
      <c r="A27519" t="s">
        <v>305</v>
      </c>
      <c r="B27519" s="1" t="str">
        <f>HYPERLINK("http://stg-myiqos.com","stg-myiqos.com")</f>
        <v>stg-myiqos.com</v>
      </c>
      <c r="C27519" t="s">
        <v>433</v>
      </c>
      <c r="J27519">
        <v>4</v>
      </c>
    </row>
    <row r="27520" spans="1:10" x14ac:dyDescent="0.25">
      <c r="A27520" t="s">
        <v>305</v>
      </c>
      <c r="B27520" s="1" t="str">
        <f>HYPERLINK("http://swedishmatch.com","swedishmatch.com")</f>
        <v>swedishmatch.com</v>
      </c>
      <c r="C27520" t="s">
        <v>433</v>
      </c>
      <c r="E27520">
        <v>391778</v>
      </c>
      <c r="F27520">
        <v>1.6568400720226399E-7</v>
      </c>
      <c r="G27520">
        <v>234242</v>
      </c>
      <c r="H27520">
        <v>15012697</v>
      </c>
      <c r="I27520">
        <v>422684</v>
      </c>
      <c r="J27520">
        <v>2</v>
      </c>
    </row>
    <row r="27521" spans="1:10" x14ac:dyDescent="0.25">
      <c r="A27521" t="s">
        <v>305</v>
      </c>
      <c r="B27521" s="1" t="str">
        <f>HYPERLINK("http://v2tobacco.com","v2tobacco.com")</f>
        <v>v2tobacco.com</v>
      </c>
      <c r="C27521" t="s">
        <v>433</v>
      </c>
      <c r="F27521">
        <v>1.0226966684546601E-8</v>
      </c>
      <c r="G27521">
        <v>6520610</v>
      </c>
      <c r="H27521">
        <v>12174572</v>
      </c>
      <c r="I27521">
        <v>23943515</v>
      </c>
      <c r="J27521">
        <v>5</v>
      </c>
    </row>
    <row r="27522" spans="1:10" x14ac:dyDescent="0.25">
      <c r="A27522" t="s">
        <v>305</v>
      </c>
      <c r="B27522" s="1" t="str">
        <f>HYPERLINK("http://vectura.com","vectura.com")</f>
        <v>vectura.com</v>
      </c>
      <c r="C27522" t="s">
        <v>433</v>
      </c>
      <c r="F27522">
        <v>3.3481082074879301E-8</v>
      </c>
      <c r="G27522">
        <v>1544030</v>
      </c>
      <c r="H27522">
        <v>13892478</v>
      </c>
      <c r="I27522">
        <v>5959714</v>
      </c>
      <c r="J27522">
        <v>3</v>
      </c>
    </row>
    <row r="27523" spans="1:10" x14ac:dyDescent="0.25">
      <c r="A27523" t="s">
        <v>305</v>
      </c>
      <c r="B27523" s="1" t="str">
        <f>HYPERLINK("http://iqos.com.cw","iqos.com.cw")</f>
        <v>iqos.com.cw</v>
      </c>
      <c r="C27523" t="s">
        <v>689</v>
      </c>
      <c r="D27523" t="s">
        <v>1006</v>
      </c>
      <c r="F27523">
        <v>6.93807234047232E-9</v>
      </c>
      <c r="G27523">
        <v>12500763</v>
      </c>
      <c r="H27523">
        <v>11245836</v>
      </c>
      <c r="I27523">
        <v>30927277</v>
      </c>
      <c r="J27523">
        <v>4</v>
      </c>
    </row>
    <row r="27524" spans="1:10" x14ac:dyDescent="0.25">
      <c r="A27524" t="s">
        <v>305</v>
      </c>
      <c r="B27524" s="1" t="str">
        <f>HYPERLINK("http://iqos.de","iqos.de")</f>
        <v>iqos.de</v>
      </c>
      <c r="C27524" t="s">
        <v>436</v>
      </c>
      <c r="D27524" t="s">
        <v>815</v>
      </c>
      <c r="F27524">
        <v>8.7766326334579107E-9</v>
      </c>
      <c r="G27524">
        <v>8348681</v>
      </c>
      <c r="H27524">
        <v>12243057</v>
      </c>
      <c r="I27524">
        <v>22171311</v>
      </c>
      <c r="J27524">
        <v>4</v>
      </c>
    </row>
    <row r="27525" spans="1:10" x14ac:dyDescent="0.25">
      <c r="A27525" t="s">
        <v>305</v>
      </c>
      <c r="B27525" s="1" t="str">
        <f>HYPERLINK("http://philipmorris.de","philipmorris.de")</f>
        <v>philipmorris.de</v>
      </c>
      <c r="C27525" t="s">
        <v>436</v>
      </c>
      <c r="D27525" t="s">
        <v>815</v>
      </c>
      <c r="F27525">
        <v>9.8088697607953003E-9</v>
      </c>
      <c r="G27525">
        <v>6959400</v>
      </c>
      <c r="H27525">
        <v>12808715</v>
      </c>
      <c r="I27525">
        <v>14594493</v>
      </c>
      <c r="J27525">
        <v>3</v>
      </c>
    </row>
    <row r="27526" spans="1:10" x14ac:dyDescent="0.25">
      <c r="A27526" t="s">
        <v>305</v>
      </c>
      <c r="B27526" s="1" t="str">
        <f>HYPERLINK("http://thepowerofthearts.de","thepowerofthearts.de")</f>
        <v>thepowerofthearts.de</v>
      </c>
      <c r="C27526" t="s">
        <v>436</v>
      </c>
      <c r="D27526" t="s">
        <v>815</v>
      </c>
      <c r="F27526">
        <v>3.3212700735937401E-8</v>
      </c>
      <c r="G27526">
        <v>1555789</v>
      </c>
      <c r="H27526">
        <v>13268135</v>
      </c>
      <c r="I27526">
        <v>10999676</v>
      </c>
      <c r="J27526">
        <v>4</v>
      </c>
    </row>
    <row r="27527" spans="1:10" x14ac:dyDescent="0.25">
      <c r="A27527" t="s">
        <v>305</v>
      </c>
      <c r="B27527" s="1" t="str">
        <f>HYPERLINK("http://iqos.dk","iqos.dk")</f>
        <v>iqos.dk</v>
      </c>
      <c r="C27527" t="s">
        <v>437</v>
      </c>
      <c r="D27527" t="s">
        <v>816</v>
      </c>
      <c r="F27527">
        <v>6.9823737747384502E-9</v>
      </c>
      <c r="G27527">
        <v>12364178</v>
      </c>
      <c r="H27527">
        <v>11289423</v>
      </c>
      <c r="I27527">
        <v>30659162</v>
      </c>
      <c r="J27527">
        <v>4</v>
      </c>
    </row>
    <row r="27528" spans="1:10" x14ac:dyDescent="0.25">
      <c r="A27528" t="s">
        <v>305</v>
      </c>
      <c r="B27528" s="1" t="str">
        <f>HYPERLINK("http://iqos.ee","iqos.ee")</f>
        <v>iqos.ee</v>
      </c>
      <c r="C27528" t="s">
        <v>441</v>
      </c>
      <c r="D27528" t="s">
        <v>820</v>
      </c>
      <c r="F27528">
        <v>5.3227638062836998E-9</v>
      </c>
      <c r="G27528">
        <v>23168307</v>
      </c>
      <c r="H27528">
        <v>11072067</v>
      </c>
      <c r="I27528">
        <v>32556492</v>
      </c>
      <c r="J27528">
        <v>4</v>
      </c>
    </row>
    <row r="27529" spans="1:10" x14ac:dyDescent="0.25">
      <c r="A27529" t="s">
        <v>305</v>
      </c>
      <c r="B27529" s="1" t="str">
        <f>HYPERLINK("http://bemarlboro.fi","bemarlboro.fi")</f>
        <v>bemarlboro.fi</v>
      </c>
      <c r="C27529" t="s">
        <v>445</v>
      </c>
      <c r="D27529" t="s">
        <v>823</v>
      </c>
      <c r="J27529">
        <v>4</v>
      </c>
    </row>
    <row r="27530" spans="1:10" x14ac:dyDescent="0.25">
      <c r="A27530" t="s">
        <v>305</v>
      </c>
      <c r="B27530" s="1" t="str">
        <f>HYPERLINK("http://ceasefire.fi","ceasefire.fi")</f>
        <v>ceasefire.fi</v>
      </c>
      <c r="C27530" t="s">
        <v>445</v>
      </c>
      <c r="D27530" t="s">
        <v>823</v>
      </c>
      <c r="J27530">
        <v>4</v>
      </c>
    </row>
    <row r="27531" spans="1:10" x14ac:dyDescent="0.25">
      <c r="A27531" t="s">
        <v>305</v>
      </c>
      <c r="B27531" s="1" t="str">
        <f>HYPERLINK("http://fimparatt.fi","fimparatt.fi")</f>
        <v>fimparatt.fi</v>
      </c>
      <c r="C27531" t="s">
        <v>445</v>
      </c>
      <c r="D27531" t="s">
        <v>823</v>
      </c>
      <c r="F27531">
        <v>4.8877519347497103E-9</v>
      </c>
      <c r="G27531">
        <v>32836971</v>
      </c>
      <c r="H27531">
        <v>8599603</v>
      </c>
      <c r="I27531">
        <v>70788995</v>
      </c>
      <c r="J27531">
        <v>4</v>
      </c>
    </row>
    <row r="27532" spans="1:10" x14ac:dyDescent="0.25">
      <c r="A27532" t="s">
        <v>305</v>
      </c>
      <c r="B27532" s="1" t="str">
        <f>HYPERLINK("http://iqos.fi","iqos.fi")</f>
        <v>iqos.fi</v>
      </c>
      <c r="C27532" t="s">
        <v>445</v>
      </c>
      <c r="D27532" t="s">
        <v>823</v>
      </c>
      <c r="J27532">
        <v>4</v>
      </c>
    </row>
    <row r="27533" spans="1:10" x14ac:dyDescent="0.25">
      <c r="A27533" t="s">
        <v>305</v>
      </c>
      <c r="B27533" s="1" t="str">
        <f>HYPERLINK("http://iqos-system.fi","iqos-system.fi")</f>
        <v>iqos-system.fi</v>
      </c>
      <c r="C27533" t="s">
        <v>445</v>
      </c>
      <c r="D27533" t="s">
        <v>823</v>
      </c>
      <c r="J27533">
        <v>4</v>
      </c>
    </row>
    <row r="27534" spans="1:10" x14ac:dyDescent="0.25">
      <c r="A27534" t="s">
        <v>305</v>
      </c>
      <c r="B27534" s="1" t="str">
        <f>HYPERLINK("http://marlboro.fi","marlboro.fi")</f>
        <v>marlboro.fi</v>
      </c>
      <c r="C27534" t="s">
        <v>445</v>
      </c>
      <c r="D27534" t="s">
        <v>823</v>
      </c>
      <c r="J27534">
        <v>4</v>
      </c>
    </row>
    <row r="27535" spans="1:10" x14ac:dyDescent="0.25">
      <c r="A27535" t="s">
        <v>305</v>
      </c>
      <c r="B27535" s="1" t="str">
        <f>HYPERLINK("http://my-iqos.fi","my-iqos.fi")</f>
        <v>my-iqos.fi</v>
      </c>
      <c r="C27535" t="s">
        <v>445</v>
      </c>
      <c r="D27535" t="s">
        <v>823</v>
      </c>
      <c r="J27535">
        <v>4</v>
      </c>
    </row>
    <row r="27536" spans="1:10" x14ac:dyDescent="0.25">
      <c r="A27536" t="s">
        <v>305</v>
      </c>
      <c r="B27536" s="1" t="str">
        <f>HYPERLINK("http://myiqos.fi","myiqos.fi")</f>
        <v>myiqos.fi</v>
      </c>
      <c r="C27536" t="s">
        <v>445</v>
      </c>
      <c r="D27536" t="s">
        <v>823</v>
      </c>
      <c r="J27536">
        <v>4</v>
      </c>
    </row>
    <row r="27537" spans="1:10" x14ac:dyDescent="0.25">
      <c r="A27537" t="s">
        <v>305</v>
      </c>
      <c r="B27537" s="1" t="str">
        <f>HYPERLINK("http://niqocompany.fi","niqocompany.fi")</f>
        <v>niqocompany.fi</v>
      </c>
      <c r="C27537" t="s">
        <v>445</v>
      </c>
      <c r="D27537" t="s">
        <v>823</v>
      </c>
      <c r="J27537">
        <v>2</v>
      </c>
    </row>
    <row r="27538" spans="1:10" x14ac:dyDescent="0.25">
      <c r="A27538" t="s">
        <v>305</v>
      </c>
      <c r="B27538" s="1" t="str">
        <f>HYPERLINK("http://omavape.fi","omavape.fi")</f>
        <v>omavape.fi</v>
      </c>
      <c r="C27538" t="s">
        <v>445</v>
      </c>
      <c r="D27538" t="s">
        <v>823</v>
      </c>
      <c r="F27538">
        <v>5.3307447648373103E-9</v>
      </c>
      <c r="G27538">
        <v>23056012</v>
      </c>
      <c r="H27538">
        <v>10938859</v>
      </c>
      <c r="I27538">
        <v>34859308</v>
      </c>
      <c r="J27538">
        <v>4</v>
      </c>
    </row>
    <row r="27539" spans="1:10" x14ac:dyDescent="0.25">
      <c r="A27539" t="s">
        <v>305</v>
      </c>
      <c r="B27539" s="1" t="str">
        <f>HYPERLINK("http://onico.fi","onico.fi")</f>
        <v>onico.fi</v>
      </c>
      <c r="C27539" t="s">
        <v>445</v>
      </c>
      <c r="D27539" t="s">
        <v>823</v>
      </c>
      <c r="J27539">
        <v>5</v>
      </c>
    </row>
    <row r="27540" spans="1:10" x14ac:dyDescent="0.25">
      <c r="A27540" t="s">
        <v>305</v>
      </c>
      <c r="B27540" s="1" t="str">
        <f>HYPERLINK("http://philip-morris.fi","philip-morris.fi")</f>
        <v>philip-morris.fi</v>
      </c>
      <c r="C27540" t="s">
        <v>445</v>
      </c>
      <c r="D27540" t="s">
        <v>823</v>
      </c>
      <c r="J27540">
        <v>4</v>
      </c>
    </row>
    <row r="27541" spans="1:10" x14ac:dyDescent="0.25">
      <c r="A27541" t="s">
        <v>305</v>
      </c>
      <c r="B27541" s="1" t="str">
        <f>HYPERLINK("http://philipmorris.fi","philipmorris.fi")</f>
        <v>philipmorris.fi</v>
      </c>
      <c r="C27541" t="s">
        <v>445</v>
      </c>
      <c r="D27541" t="s">
        <v>823</v>
      </c>
      <c r="J27541">
        <v>4</v>
      </c>
    </row>
    <row r="27542" spans="1:10" x14ac:dyDescent="0.25">
      <c r="A27542" t="s">
        <v>305</v>
      </c>
      <c r="B27542" s="1" t="str">
        <f>HYPERLINK("http://philipmorrisfinland.fi","philipmorrisfinland.fi")</f>
        <v>philipmorrisfinland.fi</v>
      </c>
      <c r="C27542" t="s">
        <v>445</v>
      </c>
      <c r="D27542" t="s">
        <v>823</v>
      </c>
      <c r="J27542">
        <v>4</v>
      </c>
    </row>
    <row r="27543" spans="1:10" x14ac:dyDescent="0.25">
      <c r="A27543" t="s">
        <v>305</v>
      </c>
      <c r="B27543" s="1" t="str">
        <f>HYPERLINK("http://pmactive.fi","pmactive.fi")</f>
        <v>pmactive.fi</v>
      </c>
      <c r="C27543" t="s">
        <v>445</v>
      </c>
      <c r="D27543" t="s">
        <v>823</v>
      </c>
      <c r="J27543">
        <v>4</v>
      </c>
    </row>
    <row r="27544" spans="1:10" x14ac:dyDescent="0.25">
      <c r="A27544" t="s">
        <v>305</v>
      </c>
      <c r="B27544" s="1" t="str">
        <f>HYPERLINK("http://pmaktiivinen.fi","pmaktiivinen.fi")</f>
        <v>pmaktiivinen.fi</v>
      </c>
      <c r="C27544" t="s">
        <v>445</v>
      </c>
      <c r="D27544" t="s">
        <v>823</v>
      </c>
      <c r="J27544">
        <v>4</v>
      </c>
    </row>
    <row r="27545" spans="1:10" x14ac:dyDescent="0.25">
      <c r="A27545" t="s">
        <v>305</v>
      </c>
      <c r="B27545" s="1" t="str">
        <f>HYPERLINK("http://pmintl.fi","pmintl.fi")</f>
        <v>pmintl.fi</v>
      </c>
      <c r="C27545" t="s">
        <v>445</v>
      </c>
      <c r="D27545" t="s">
        <v>823</v>
      </c>
      <c r="J27545">
        <v>4</v>
      </c>
    </row>
    <row r="27546" spans="1:10" x14ac:dyDescent="0.25">
      <c r="A27546" t="s">
        <v>305</v>
      </c>
      <c r="B27546" s="1" t="str">
        <f>HYPERLINK("http://pmiopen.fi","pmiopen.fi")</f>
        <v>pmiopen.fi</v>
      </c>
      <c r="C27546" t="s">
        <v>445</v>
      </c>
      <c r="D27546" t="s">
        <v>823</v>
      </c>
      <c r="J27546">
        <v>4</v>
      </c>
    </row>
    <row r="27547" spans="1:10" x14ac:dyDescent="0.25">
      <c r="A27547" t="s">
        <v>305</v>
      </c>
      <c r="B27547" s="1" t="str">
        <f>HYPERLINK("http://savutonta.fi","savutonta.fi")</f>
        <v>savutonta.fi</v>
      </c>
      <c r="C27547" t="s">
        <v>445</v>
      </c>
      <c r="D27547" t="s">
        <v>823</v>
      </c>
      <c r="J27547">
        <v>4</v>
      </c>
    </row>
    <row r="27548" spans="1:10" x14ac:dyDescent="0.25">
      <c r="A27548" t="s">
        <v>305</v>
      </c>
      <c r="B27548" s="1" t="str">
        <f>HYPERLINK("http://solaris-ecig.fi","solaris-ecig.fi")</f>
        <v>solaris-ecig.fi</v>
      </c>
      <c r="C27548" t="s">
        <v>445</v>
      </c>
      <c r="D27548" t="s">
        <v>823</v>
      </c>
      <c r="J27548">
        <v>4</v>
      </c>
    </row>
    <row r="27549" spans="1:10" x14ac:dyDescent="0.25">
      <c r="A27549" t="s">
        <v>305</v>
      </c>
      <c r="B27549" s="1" t="str">
        <f>HYPERLINK("http://solaris-evapor.fi","solaris-evapor.fi")</f>
        <v>solaris-evapor.fi</v>
      </c>
      <c r="C27549" t="s">
        <v>445</v>
      </c>
      <c r="D27549" t="s">
        <v>823</v>
      </c>
      <c r="J27549">
        <v>4</v>
      </c>
    </row>
    <row r="27550" spans="1:10" x14ac:dyDescent="0.25">
      <c r="A27550" t="s">
        <v>305</v>
      </c>
      <c r="B27550" s="1" t="str">
        <f>HYPERLINK("http://swedishmatch.fi","swedishmatch.fi")</f>
        <v>swedishmatch.fi</v>
      </c>
      <c r="C27550" t="s">
        <v>445</v>
      </c>
      <c r="D27550" t="s">
        <v>823</v>
      </c>
      <c r="J27550">
        <v>5</v>
      </c>
    </row>
    <row r="27551" spans="1:10" x14ac:dyDescent="0.25">
      <c r="A27551" t="s">
        <v>305</v>
      </c>
      <c r="B27551" s="1" t="str">
        <f>HYPERLINK("http://tumpittalteen.fi","tumpittalteen.fi")</f>
        <v>tumpittalteen.fi</v>
      </c>
      <c r="C27551" t="s">
        <v>445</v>
      </c>
      <c r="D27551" t="s">
        <v>823</v>
      </c>
      <c r="F27551">
        <v>4.7006252355176398E-9</v>
      </c>
      <c r="G27551">
        <v>41201314</v>
      </c>
      <c r="H27551">
        <v>10838852</v>
      </c>
      <c r="I27551">
        <v>37201122</v>
      </c>
      <c r="J27551">
        <v>4</v>
      </c>
    </row>
    <row r="27552" spans="1:10" x14ac:dyDescent="0.25">
      <c r="A27552" t="s">
        <v>305</v>
      </c>
      <c r="B27552" s="1" t="str">
        <f>HYPERLINK("http://zyn.fi","zyn.fi")</f>
        <v>zyn.fi</v>
      </c>
      <c r="C27552" t="s">
        <v>445</v>
      </c>
      <c r="D27552" t="s">
        <v>823</v>
      </c>
      <c r="J27552">
        <v>5</v>
      </c>
    </row>
    <row r="27553" spans="1:10" x14ac:dyDescent="0.25">
      <c r="A27553" t="s">
        <v>305</v>
      </c>
      <c r="B27553" s="1" t="str">
        <f>HYPERLINK("http://iqos.gr","iqos.gr")</f>
        <v>iqos.gr</v>
      </c>
      <c r="C27553" t="s">
        <v>447</v>
      </c>
      <c r="D27553" t="s">
        <v>825</v>
      </c>
      <c r="E27553">
        <v>317188</v>
      </c>
      <c r="F27553">
        <v>1.39193424525891E-8</v>
      </c>
      <c r="G27553">
        <v>4233602</v>
      </c>
      <c r="H27553">
        <v>13813768</v>
      </c>
      <c r="I27553">
        <v>6178809</v>
      </c>
      <c r="J27553">
        <v>4</v>
      </c>
    </row>
    <row r="27554" spans="1:10" x14ac:dyDescent="0.25">
      <c r="A27554" t="s">
        <v>305</v>
      </c>
      <c r="B27554" s="1" t="str">
        <f>HYPERLINK("http://papastratos.gr","papastratos.gr")</f>
        <v>papastratos.gr</v>
      </c>
      <c r="C27554" t="s">
        <v>447</v>
      </c>
      <c r="D27554" t="s">
        <v>825</v>
      </c>
      <c r="F27554">
        <v>4.9801712755130697E-9</v>
      </c>
      <c r="G27554">
        <v>29992686</v>
      </c>
      <c r="H27554">
        <v>11073993</v>
      </c>
      <c r="I27554">
        <v>32536955</v>
      </c>
      <c r="J27554">
        <v>4</v>
      </c>
    </row>
    <row r="27555" spans="1:10" x14ac:dyDescent="0.25">
      <c r="A27555" t="s">
        <v>305</v>
      </c>
      <c r="B27555" s="1" t="str">
        <f>HYPERLINK("http://papastratosmazi.gr","papastratosmazi.gr")</f>
        <v>papastratosmazi.gr</v>
      </c>
      <c r="C27555" t="s">
        <v>447</v>
      </c>
      <c r="D27555" t="s">
        <v>825</v>
      </c>
      <c r="F27555">
        <v>2.0925772438775099E-8</v>
      </c>
      <c r="G27555">
        <v>2525901</v>
      </c>
      <c r="H27555">
        <v>13834878</v>
      </c>
      <c r="I27555">
        <v>6095232</v>
      </c>
      <c r="J27555">
        <v>7</v>
      </c>
    </row>
    <row r="27556" spans="1:10" x14ac:dyDescent="0.25">
      <c r="A27556" t="s">
        <v>305</v>
      </c>
      <c r="B27556" s="1" t="str">
        <f>HYPERLINK("http://iqos.co.il","iqos.co.il")</f>
        <v>iqos.co.il</v>
      </c>
      <c r="C27556" t="s">
        <v>456</v>
      </c>
      <c r="D27556" t="s">
        <v>833</v>
      </c>
      <c r="F27556">
        <v>6.93807232972642E-9</v>
      </c>
      <c r="G27556">
        <v>12500764</v>
      </c>
      <c r="H27556">
        <v>11245836</v>
      </c>
      <c r="I27556">
        <v>30927278</v>
      </c>
      <c r="J27556">
        <v>4</v>
      </c>
    </row>
    <row r="27557" spans="1:10" x14ac:dyDescent="0.25">
      <c r="A27557" t="s">
        <v>305</v>
      </c>
      <c r="B27557" s="1" t="str">
        <f>HYPERLINK("http://fertin.in","fertin.in")</f>
        <v>fertin.in</v>
      </c>
      <c r="C27557" t="s">
        <v>457</v>
      </c>
      <c r="D27557" t="s">
        <v>834</v>
      </c>
      <c r="F27557">
        <v>5.6788464161928899E-9</v>
      </c>
      <c r="G27557">
        <v>19140305</v>
      </c>
      <c r="H27557">
        <v>13107227</v>
      </c>
      <c r="I27557">
        <v>12053537</v>
      </c>
      <c r="J27557">
        <v>5</v>
      </c>
    </row>
    <row r="27558" spans="1:10" x14ac:dyDescent="0.25">
      <c r="A27558" t="s">
        <v>305</v>
      </c>
      <c r="B27558" s="1" t="str">
        <f>HYPERLINK("http://iqos.it","iqos.it")</f>
        <v>iqos.it</v>
      </c>
      <c r="C27558" t="s">
        <v>459</v>
      </c>
      <c r="D27558" t="s">
        <v>835</v>
      </c>
      <c r="E27558">
        <v>818696</v>
      </c>
      <c r="F27558">
        <v>8.7971165284392007E-9</v>
      </c>
      <c r="G27558">
        <v>8315467</v>
      </c>
      <c r="H27558">
        <v>12643349</v>
      </c>
      <c r="I27558">
        <v>15845810</v>
      </c>
      <c r="J27558">
        <v>4</v>
      </c>
    </row>
    <row r="27559" spans="1:10" x14ac:dyDescent="0.25">
      <c r="A27559" t="s">
        <v>305</v>
      </c>
      <c r="B27559" s="1" t="str">
        <f>HYPERLINK("http://iqos.jp","iqos.jp")</f>
        <v>iqos.jp</v>
      </c>
      <c r="C27559" t="s">
        <v>461</v>
      </c>
      <c r="D27559" t="s">
        <v>837</v>
      </c>
      <c r="F27559">
        <v>2.3159828316729301E-8</v>
      </c>
      <c r="G27559">
        <v>2253511</v>
      </c>
      <c r="H27559">
        <v>13397697</v>
      </c>
      <c r="I27559">
        <v>10373051</v>
      </c>
      <c r="J27559">
        <v>4</v>
      </c>
    </row>
    <row r="27560" spans="1:10" x14ac:dyDescent="0.25">
      <c r="A27560" t="s">
        <v>305</v>
      </c>
      <c r="B27560" s="1" t="str">
        <f>HYPERLINK("http://iqos.com.kz","iqos.com.kz")</f>
        <v>iqos.com.kz</v>
      </c>
      <c r="C27560" t="s">
        <v>465</v>
      </c>
      <c r="D27560" t="s">
        <v>841</v>
      </c>
      <c r="F27560">
        <v>8.08358637530247E-9</v>
      </c>
      <c r="G27560">
        <v>9771046</v>
      </c>
      <c r="H27560">
        <v>11058442</v>
      </c>
      <c r="I27560">
        <v>32700088</v>
      </c>
      <c r="J27560">
        <v>4</v>
      </c>
    </row>
    <row r="27561" spans="1:10" x14ac:dyDescent="0.25">
      <c r="A27561" t="s">
        <v>305</v>
      </c>
      <c r="B27561" s="1" t="str">
        <f>HYPERLINK("http://iqos.lt","iqos.lt")</f>
        <v>iqos.lt</v>
      </c>
      <c r="C27561" t="s">
        <v>467</v>
      </c>
      <c r="D27561" t="s">
        <v>843</v>
      </c>
      <c r="F27561">
        <v>7.02783531652887E-9</v>
      </c>
      <c r="G27561">
        <v>12230865</v>
      </c>
      <c r="H27561">
        <v>11245837</v>
      </c>
      <c r="I27561">
        <v>30927275</v>
      </c>
      <c r="J27561">
        <v>4</v>
      </c>
    </row>
    <row r="27562" spans="1:10" x14ac:dyDescent="0.25">
      <c r="A27562" t="s">
        <v>305</v>
      </c>
      <c r="B27562" s="1" t="str">
        <f>HYPERLINK("http://iqos.lv","iqos.lv")</f>
        <v>iqos.lv</v>
      </c>
      <c r="C27562" t="s">
        <v>468</v>
      </c>
      <c r="D27562" t="s">
        <v>844</v>
      </c>
      <c r="F27562">
        <v>7.2417293677667503E-9</v>
      </c>
      <c r="G27562">
        <v>11626657</v>
      </c>
      <c r="H27562">
        <v>12179123</v>
      </c>
      <c r="I27562">
        <v>23833822</v>
      </c>
      <c r="J27562">
        <v>4</v>
      </c>
    </row>
    <row r="27563" spans="1:10" x14ac:dyDescent="0.25">
      <c r="A27563" t="s">
        <v>305</v>
      </c>
      <c r="B27563" s="1" t="str">
        <f>HYPERLINK("http://fire-up.nl","fire-up.nl")</f>
        <v>fire-up.nl</v>
      </c>
      <c r="C27563" t="s">
        <v>477</v>
      </c>
      <c r="D27563" t="s">
        <v>852</v>
      </c>
      <c r="F27563">
        <v>6.8075211164315996E-9</v>
      </c>
      <c r="G27563">
        <v>12934768</v>
      </c>
      <c r="H27563">
        <v>11075423</v>
      </c>
      <c r="I27563">
        <v>32523203</v>
      </c>
      <c r="J27563">
        <v>3</v>
      </c>
    </row>
    <row r="27564" spans="1:10" x14ac:dyDescent="0.25">
      <c r="A27564" t="s">
        <v>305</v>
      </c>
      <c r="B27564" s="1" t="str">
        <f>HYPERLINK("http://iqos.nl","iqos.nl")</f>
        <v>iqos.nl</v>
      </c>
      <c r="C27564" t="s">
        <v>477</v>
      </c>
      <c r="D27564" t="s">
        <v>852</v>
      </c>
      <c r="F27564">
        <v>7.1170482303872199E-9</v>
      </c>
      <c r="G27564">
        <v>11967348</v>
      </c>
      <c r="H27564">
        <v>11278560</v>
      </c>
      <c r="I27564">
        <v>30715394</v>
      </c>
      <c r="J27564">
        <v>4</v>
      </c>
    </row>
    <row r="27565" spans="1:10" x14ac:dyDescent="0.25">
      <c r="A27565" t="s">
        <v>305</v>
      </c>
      <c r="B27565" s="1" t="str">
        <f>HYPERLINK("http://swedishmatch.no","swedishmatch.no")</f>
        <v>swedishmatch.no</v>
      </c>
      <c r="C27565" t="s">
        <v>478</v>
      </c>
      <c r="D27565" t="s">
        <v>853</v>
      </c>
      <c r="F27565">
        <v>8.1279490983864307E-9</v>
      </c>
      <c r="G27565">
        <v>9693332</v>
      </c>
      <c r="H27565">
        <v>11196545</v>
      </c>
      <c r="I27565">
        <v>31302339</v>
      </c>
      <c r="J27565">
        <v>3</v>
      </c>
    </row>
    <row r="27566" spans="1:10" x14ac:dyDescent="0.25">
      <c r="A27566" t="s">
        <v>305</v>
      </c>
      <c r="B27566" s="1" t="str">
        <f>HYPERLINK("http://iqos.co.nz","iqos.co.nz")</f>
        <v>iqos.co.nz</v>
      </c>
      <c r="C27566" t="s">
        <v>479</v>
      </c>
      <c r="D27566" t="s">
        <v>854</v>
      </c>
      <c r="F27566">
        <v>6.93807232972642E-9</v>
      </c>
      <c r="G27566">
        <v>12500765</v>
      </c>
      <c r="H27566">
        <v>11245836</v>
      </c>
      <c r="I27566">
        <v>30927279</v>
      </c>
      <c r="J27566">
        <v>4</v>
      </c>
    </row>
    <row r="27567" spans="1:10" x14ac:dyDescent="0.25">
      <c r="A27567" t="s">
        <v>305</v>
      </c>
      <c r="B27567" s="1" t="str">
        <f>HYPERLINK("http://pm-nz.co.nz","pm-nz.co.nz")</f>
        <v>pm-nz.co.nz</v>
      </c>
      <c r="C27567" t="s">
        <v>479</v>
      </c>
      <c r="D27567" t="s">
        <v>854</v>
      </c>
      <c r="F27567">
        <v>4.44381557028922E-9</v>
      </c>
      <c r="G27567">
        <v>79338276</v>
      </c>
      <c r="H27567">
        <v>10358782</v>
      </c>
      <c r="I27567">
        <v>55297361</v>
      </c>
      <c r="J27567">
        <v>4</v>
      </c>
    </row>
    <row r="27568" spans="1:10" x14ac:dyDescent="0.25">
      <c r="A27568" t="s">
        <v>305</v>
      </c>
      <c r="B27568" s="1" t="str">
        <f>HYPERLINK("http://iqos.ph","iqos.ph")</f>
        <v>iqos.ph</v>
      </c>
      <c r="C27568" t="s">
        <v>484</v>
      </c>
      <c r="D27568" t="s">
        <v>858</v>
      </c>
      <c r="J27568">
        <v>4</v>
      </c>
    </row>
    <row r="27569" spans="1:10" x14ac:dyDescent="0.25">
      <c r="A27569" t="s">
        <v>305</v>
      </c>
      <c r="B27569" s="1" t="str">
        <f>HYPERLINK("http://apardetudo.pt","apardetudo.pt")</f>
        <v>apardetudo.pt</v>
      </c>
      <c r="C27569" t="s">
        <v>488</v>
      </c>
      <c r="D27569" t="s">
        <v>862</v>
      </c>
      <c r="J27569">
        <v>4</v>
      </c>
    </row>
    <row r="27570" spans="1:10" x14ac:dyDescent="0.25">
      <c r="A27570" t="s">
        <v>305</v>
      </c>
      <c r="B27570" s="1" t="str">
        <f>HYPERLINK("http://iqos.pt","iqos.pt")</f>
        <v>iqos.pt</v>
      </c>
      <c r="C27570" t="s">
        <v>488</v>
      </c>
      <c r="D27570" t="s">
        <v>862</v>
      </c>
      <c r="F27570">
        <v>6.2294554142934298E-9</v>
      </c>
      <c r="G27570">
        <v>15377758</v>
      </c>
      <c r="H27570">
        <v>11213636</v>
      </c>
      <c r="I27570">
        <v>31138705</v>
      </c>
      <c r="J27570">
        <v>4</v>
      </c>
    </row>
    <row r="27571" spans="1:10" x14ac:dyDescent="0.25">
      <c r="A27571" t="s">
        <v>305</v>
      </c>
      <c r="B27571" s="1" t="str">
        <f>HYPERLINK("http://tabaqueira.pt","tabaqueira.pt")</f>
        <v>tabaqueira.pt</v>
      </c>
      <c r="C27571" t="s">
        <v>488</v>
      </c>
      <c r="D27571" t="s">
        <v>862</v>
      </c>
      <c r="F27571">
        <v>8.0360989167419107E-9</v>
      </c>
      <c r="G27571">
        <v>9855363</v>
      </c>
      <c r="H27571">
        <v>13336759</v>
      </c>
      <c r="I27571">
        <v>10681464</v>
      </c>
      <c r="J27571">
        <v>4</v>
      </c>
    </row>
    <row r="27572" spans="1:10" x14ac:dyDescent="0.25">
      <c r="A27572" t="s">
        <v>305</v>
      </c>
      <c r="B27572" s="1" t="str">
        <f>HYPERLINK("http://iqos.ro","iqos.ro")</f>
        <v>iqos.ro</v>
      </c>
      <c r="C27572" t="s">
        <v>491</v>
      </c>
      <c r="D27572" t="s">
        <v>865</v>
      </c>
      <c r="E27572">
        <v>601790</v>
      </c>
      <c r="F27572">
        <v>2.1221401123926099E-8</v>
      </c>
      <c r="G27572">
        <v>2485032</v>
      </c>
      <c r="H27572">
        <v>13937537</v>
      </c>
      <c r="I27572">
        <v>4460402</v>
      </c>
      <c r="J27572">
        <v>4</v>
      </c>
    </row>
    <row r="27573" spans="1:10" x14ac:dyDescent="0.25">
      <c r="A27573" t="s">
        <v>305</v>
      </c>
      <c r="B27573" s="1" t="str">
        <f>HYPERLINK("http://din.co.rs","din.co.rs")</f>
        <v>din.co.rs</v>
      </c>
      <c r="C27573" t="s">
        <v>492</v>
      </c>
      <c r="D27573" t="s">
        <v>866</v>
      </c>
      <c r="F27573">
        <v>4.7472852106398399E-9</v>
      </c>
      <c r="G27573">
        <v>38450371</v>
      </c>
      <c r="H27573">
        <v>10728186</v>
      </c>
      <c r="I27573">
        <v>41061556</v>
      </c>
      <c r="J27573">
        <v>3</v>
      </c>
    </row>
    <row r="27574" spans="1:10" x14ac:dyDescent="0.25">
      <c r="A27574" t="s">
        <v>305</v>
      </c>
      <c r="B27574" s="1" t="str">
        <f>HYPERLINK("http://iqos.ru","iqos.ru")</f>
        <v>iqos.ru</v>
      </c>
      <c r="C27574" t="s">
        <v>493</v>
      </c>
      <c r="D27574" t="s">
        <v>867</v>
      </c>
      <c r="E27574">
        <v>149900</v>
      </c>
      <c r="F27574">
        <v>2.6075456096956099E-8</v>
      </c>
      <c r="G27574">
        <v>1975635</v>
      </c>
      <c r="H27574">
        <v>13194143</v>
      </c>
      <c r="I27574">
        <v>11583522</v>
      </c>
      <c r="J27574">
        <v>4</v>
      </c>
    </row>
    <row r="27575" spans="1:10" x14ac:dyDescent="0.25">
      <c r="A27575" t="s">
        <v>305</v>
      </c>
      <c r="B27575" s="1" t="str">
        <f>HYPERLINK("http://parliament.ru","parliament.ru")</f>
        <v>parliament.ru</v>
      </c>
      <c r="C27575" t="s">
        <v>493</v>
      </c>
      <c r="D27575" t="s">
        <v>867</v>
      </c>
      <c r="F27575">
        <v>5.6729252464201798E-9</v>
      </c>
      <c r="G27575">
        <v>19191554</v>
      </c>
      <c r="H27575">
        <v>14071839</v>
      </c>
      <c r="I27575">
        <v>3301951</v>
      </c>
      <c r="J27575">
        <v>4</v>
      </c>
    </row>
    <row r="27576" spans="1:10" x14ac:dyDescent="0.25">
      <c r="A27576" t="s">
        <v>305</v>
      </c>
      <c r="B27576" s="1" t="str">
        <f>HYPERLINK("http://qreg.ru","qreg.ru")</f>
        <v>qreg.ru</v>
      </c>
      <c r="C27576" t="s">
        <v>493</v>
      </c>
      <c r="D27576" t="s">
        <v>867</v>
      </c>
      <c r="J27576">
        <v>4</v>
      </c>
    </row>
    <row r="27577" spans="1:10" x14ac:dyDescent="0.25">
      <c r="A27577" t="s">
        <v>305</v>
      </c>
      <c r="B27577" s="1" t="str">
        <f>HYPERLINK("http://gotlandssnus.se","gotlandssnus.se")</f>
        <v>gotlandssnus.se</v>
      </c>
      <c r="C27577" t="s">
        <v>495</v>
      </c>
      <c r="D27577" t="s">
        <v>869</v>
      </c>
      <c r="F27577">
        <v>1.0591461947299E-8</v>
      </c>
      <c r="G27577">
        <v>6191274</v>
      </c>
      <c r="H27577">
        <v>13821616</v>
      </c>
      <c r="I27577">
        <v>6140289</v>
      </c>
      <c r="J27577">
        <v>3</v>
      </c>
    </row>
    <row r="27578" spans="1:10" x14ac:dyDescent="0.25">
      <c r="A27578" t="s">
        <v>305</v>
      </c>
      <c r="B27578" s="1" t="str">
        <f>HYPERLINK("http://iqos.se","iqos.se")</f>
        <v>iqos.se</v>
      </c>
      <c r="C27578" t="s">
        <v>495</v>
      </c>
      <c r="D27578" t="s">
        <v>869</v>
      </c>
      <c r="F27578">
        <v>5.1628664257670004E-9</v>
      </c>
      <c r="G27578">
        <v>25849328</v>
      </c>
      <c r="H27578">
        <v>10936025</v>
      </c>
      <c r="I27578">
        <v>34935671</v>
      </c>
      <c r="J27578">
        <v>4</v>
      </c>
    </row>
    <row r="27579" spans="1:10" x14ac:dyDescent="0.25">
      <c r="A27579" t="s">
        <v>305</v>
      </c>
      <c r="B27579" s="1" t="str">
        <f>HYPERLINK("http://starprogram.se","starprogram.se")</f>
        <v>starprogram.se</v>
      </c>
      <c r="C27579" t="s">
        <v>495</v>
      </c>
      <c r="D27579" t="s">
        <v>869</v>
      </c>
      <c r="F27579">
        <v>4.44380395335525E-9</v>
      </c>
      <c r="G27579">
        <v>86343770</v>
      </c>
      <c r="H27579">
        <v>0</v>
      </c>
      <c r="I27579">
        <v>87788114</v>
      </c>
      <c r="J27579">
        <v>2</v>
      </c>
    </row>
    <row r="27580" spans="1:10" x14ac:dyDescent="0.25">
      <c r="A27580" t="s">
        <v>305</v>
      </c>
      <c r="B27580" s="1" t="str">
        <f>HYPERLINK("http://swedishmatch.se","swedishmatch.se")</f>
        <v>swedishmatch.se</v>
      </c>
      <c r="C27580" t="s">
        <v>495</v>
      </c>
      <c r="D27580" t="s">
        <v>869</v>
      </c>
      <c r="F27580">
        <v>2.7786915710951799E-8</v>
      </c>
      <c r="G27580">
        <v>1850656</v>
      </c>
      <c r="H27580">
        <v>14426388</v>
      </c>
      <c r="I27580">
        <v>1079017</v>
      </c>
      <c r="J27580">
        <v>3</v>
      </c>
    </row>
    <row r="27581" spans="1:10" x14ac:dyDescent="0.25">
      <c r="A27581" t="s">
        <v>305</v>
      </c>
      <c r="B27581" s="1" t="str">
        <f>HYPERLINK("http://iqos.com.ua","iqos.com.ua")</f>
        <v>iqos.com.ua</v>
      </c>
      <c r="C27581" t="s">
        <v>505</v>
      </c>
      <c r="D27581" t="s">
        <v>879</v>
      </c>
      <c r="E27581">
        <v>428315</v>
      </c>
      <c r="F27581">
        <v>2.75427877842482E-8</v>
      </c>
      <c r="G27581">
        <v>1866495</v>
      </c>
      <c r="H27581">
        <v>13051890</v>
      </c>
      <c r="I27581">
        <v>12577247</v>
      </c>
      <c r="J27581">
        <v>4</v>
      </c>
    </row>
    <row r="27582" spans="1:10" x14ac:dyDescent="0.25">
      <c r="A27582" t="s">
        <v>305</v>
      </c>
      <c r="B27582" s="1" t="str">
        <f>HYPERLINK("http://iqos.ua","iqos.ua")</f>
        <v>iqos.ua</v>
      </c>
      <c r="C27582" t="s">
        <v>505</v>
      </c>
      <c r="D27582" t="s">
        <v>879</v>
      </c>
      <c r="F27582">
        <v>7.5869202928801403E-9</v>
      </c>
      <c r="G27582">
        <v>10822509</v>
      </c>
      <c r="H27582">
        <v>12919321</v>
      </c>
      <c r="I27582">
        <v>13443681</v>
      </c>
      <c r="J27582">
        <v>5</v>
      </c>
    </row>
    <row r="27583" spans="1:10" x14ac:dyDescent="0.25">
      <c r="A27583" t="s">
        <v>305</v>
      </c>
      <c r="B27583" s="1" t="str">
        <f>HYPERLINK("http://iqos.co.uk","iqos.co.uk")</f>
        <v>iqos.co.uk</v>
      </c>
      <c r="C27583" t="s">
        <v>506</v>
      </c>
      <c r="D27583" t="s">
        <v>880</v>
      </c>
      <c r="F27583">
        <v>1.29676696639027E-8</v>
      </c>
      <c r="G27583">
        <v>4647291</v>
      </c>
      <c r="H27583">
        <v>13791325</v>
      </c>
      <c r="I27583">
        <v>6338993</v>
      </c>
      <c r="J27583">
        <v>4</v>
      </c>
    </row>
    <row r="27584" spans="1:10" x14ac:dyDescent="0.25">
      <c r="A27584" t="s">
        <v>1649</v>
      </c>
      <c r="B27584" s="1" t="str">
        <f>HYPERLINK("http://jet-tankstelle.at","jet-tankstelle.at")</f>
        <v>jet-tankstelle.at</v>
      </c>
      <c r="C27584" t="s">
        <v>419</v>
      </c>
      <c r="D27584" t="s">
        <v>801</v>
      </c>
      <c r="F27584">
        <v>4.4970498250689697E-9</v>
      </c>
      <c r="G27584">
        <v>59385551</v>
      </c>
      <c r="H27584">
        <v>11990585</v>
      </c>
      <c r="I27584">
        <v>28377545</v>
      </c>
      <c r="J27584">
        <v>5</v>
      </c>
    </row>
    <row r="27585" spans="1:10" x14ac:dyDescent="0.25">
      <c r="A27585" t="s">
        <v>1649</v>
      </c>
      <c r="B27585" s="1" t="str">
        <f>HYPERLINK("http://jet-tankstellen.at","jet-tankstellen.at")</f>
        <v>jet-tankstellen.at</v>
      </c>
      <c r="C27585" t="s">
        <v>419</v>
      </c>
      <c r="D27585" t="s">
        <v>801</v>
      </c>
      <c r="F27585">
        <v>2.3499316179026901E-8</v>
      </c>
      <c r="G27585">
        <v>2214833</v>
      </c>
      <c r="H27585">
        <v>14088757</v>
      </c>
      <c r="I27585">
        <v>2756962</v>
      </c>
      <c r="J27585">
        <v>4</v>
      </c>
    </row>
    <row r="27586" spans="1:10" x14ac:dyDescent="0.25">
      <c r="A27586" t="s">
        <v>1649</v>
      </c>
      <c r="B27586" s="1" t="str">
        <f>HYPERLINK("http://1ststopinc.com","1ststopinc.com")</f>
        <v>1ststopinc.com</v>
      </c>
      <c r="C27586" t="s">
        <v>433</v>
      </c>
      <c r="F27586">
        <v>5.36279082124759E-9</v>
      </c>
      <c r="G27586">
        <v>22634627</v>
      </c>
      <c r="H27586">
        <v>11075568</v>
      </c>
      <c r="I27586">
        <v>32521925</v>
      </c>
      <c r="J27586">
        <v>4</v>
      </c>
    </row>
    <row r="27587" spans="1:10" x14ac:dyDescent="0.25">
      <c r="A27587" t="s">
        <v>1649</v>
      </c>
      <c r="B27587" s="1" t="str">
        <f>HYPERLINK("http://76.com","76.com")</f>
        <v>76.com</v>
      </c>
      <c r="C27587" t="s">
        <v>433</v>
      </c>
      <c r="E27587">
        <v>387382</v>
      </c>
      <c r="F27587">
        <v>1.02732973565833E-7</v>
      </c>
      <c r="G27587">
        <v>390749</v>
      </c>
      <c r="H27587">
        <v>17031266</v>
      </c>
      <c r="I27587">
        <v>83214</v>
      </c>
      <c r="J27587">
        <v>4</v>
      </c>
    </row>
    <row r="27588" spans="1:10" x14ac:dyDescent="0.25">
      <c r="A27588" t="s">
        <v>1649</v>
      </c>
      <c r="B27588" s="1" t="str">
        <f>HYPERLINK("http://altaconvenience.com","altaconvenience.com")</f>
        <v>altaconvenience.com</v>
      </c>
      <c r="C27588" t="s">
        <v>433</v>
      </c>
      <c r="F27588">
        <v>6.5478231578663602E-9</v>
      </c>
      <c r="G27588">
        <v>13881696</v>
      </c>
      <c r="H27588">
        <v>11416478</v>
      </c>
      <c r="I27588">
        <v>30180403</v>
      </c>
      <c r="J27588">
        <v>4</v>
      </c>
    </row>
    <row r="27589" spans="1:10" x14ac:dyDescent="0.25">
      <c r="A27589" t="s">
        <v>1649</v>
      </c>
      <c r="B27589" s="1" t="str">
        <f>HYPERLINK("http://cpchem.com","cpchem.com")</f>
        <v>cpchem.com</v>
      </c>
      <c r="C27589" t="s">
        <v>433</v>
      </c>
      <c r="E27589">
        <v>165905</v>
      </c>
      <c r="F27589">
        <v>2.0034623585545999E-7</v>
      </c>
      <c r="G27589">
        <v>190171</v>
      </c>
      <c r="H27589">
        <v>15072565</v>
      </c>
      <c r="I27589">
        <v>410762</v>
      </c>
      <c r="J27589">
        <v>4</v>
      </c>
    </row>
    <row r="27590" spans="1:10" x14ac:dyDescent="0.25">
      <c r="A27590" t="s">
        <v>1649</v>
      </c>
      <c r="B27590" s="1" t="str">
        <f>HYPERLINK("http://dcpmidstream.com","dcpmidstream.com")</f>
        <v>dcpmidstream.com</v>
      </c>
      <c r="C27590" t="s">
        <v>433</v>
      </c>
      <c r="E27590">
        <v>249672</v>
      </c>
      <c r="F27590">
        <v>7.1445495097988303E-8</v>
      </c>
      <c r="G27590">
        <v>591520</v>
      </c>
      <c r="H27590">
        <v>13677224</v>
      </c>
      <c r="I27590">
        <v>9538418</v>
      </c>
      <c r="J27590">
        <v>3</v>
      </c>
    </row>
    <row r="27591" spans="1:10" x14ac:dyDescent="0.25">
      <c r="A27591" t="s">
        <v>1649</v>
      </c>
      <c r="B27591" s="1" t="str">
        <f>HYPERLINK("http://ephillips66.com","ephillips66.com")</f>
        <v>ephillips66.com</v>
      </c>
      <c r="C27591" t="s">
        <v>433</v>
      </c>
      <c r="E27591">
        <v>274560</v>
      </c>
      <c r="F27591">
        <v>1.32929401013286E-8</v>
      </c>
      <c r="G27591">
        <v>4496537</v>
      </c>
      <c r="H27591">
        <v>12167394</v>
      </c>
      <c r="I27591">
        <v>24136067</v>
      </c>
      <c r="J27591">
        <v>3</v>
      </c>
    </row>
    <row r="27592" spans="1:10" x14ac:dyDescent="0.25">
      <c r="A27592" t="s">
        <v>1649</v>
      </c>
      <c r="B27592" s="1" t="str">
        <f>HYPERLINK("http://kernoil.com","kernoil.com")</f>
        <v>kernoil.com</v>
      </c>
      <c r="C27592" t="s">
        <v>433</v>
      </c>
      <c r="F27592">
        <v>1.25975943205146E-8</v>
      </c>
      <c r="G27592">
        <v>4832168</v>
      </c>
      <c r="H27592">
        <v>13412931</v>
      </c>
      <c r="I27592">
        <v>10322052</v>
      </c>
      <c r="J27592">
        <v>3</v>
      </c>
    </row>
    <row r="27593" spans="1:10" x14ac:dyDescent="0.25">
      <c r="A27593" t="s">
        <v>1649</v>
      </c>
      <c r="B27593" s="1" t="str">
        <f>HYPERLINK("http://p66.com","p66.com")</f>
        <v>p66.com</v>
      </c>
      <c r="C27593" t="s">
        <v>433</v>
      </c>
      <c r="E27593">
        <v>990886</v>
      </c>
      <c r="F27593">
        <v>7.1511438545366201E-9</v>
      </c>
      <c r="G27593">
        <v>11873835</v>
      </c>
      <c r="H27593">
        <v>12677729</v>
      </c>
      <c r="I27593">
        <v>15520694</v>
      </c>
      <c r="J27593">
        <v>3</v>
      </c>
    </row>
    <row r="27594" spans="1:10" x14ac:dyDescent="0.25">
      <c r="A27594" t="s">
        <v>1649</v>
      </c>
      <c r="B27594" s="1" t="str">
        <f>HYPERLINK("http://pestermarketing.com","pestermarketing.com")</f>
        <v>pestermarketing.com</v>
      </c>
      <c r="C27594" t="s">
        <v>433</v>
      </c>
      <c r="F27594">
        <v>4.4525187283750204E-9</v>
      </c>
      <c r="G27594">
        <v>70615300</v>
      </c>
      <c r="H27594">
        <v>10824542</v>
      </c>
      <c r="I27594">
        <v>37515059</v>
      </c>
      <c r="J27594">
        <v>6</v>
      </c>
    </row>
    <row r="27595" spans="1:10" x14ac:dyDescent="0.25">
      <c r="A27595" t="s">
        <v>1649</v>
      </c>
      <c r="B27595" s="1" t="str">
        <f>HYPERLINK("http://phillips66.com","phillips66.com")</f>
        <v>phillips66.com</v>
      </c>
      <c r="C27595" t="s">
        <v>433</v>
      </c>
      <c r="E27595">
        <v>83792</v>
      </c>
      <c r="F27595">
        <v>5.7243997218533702E-7</v>
      </c>
      <c r="G27595">
        <v>66759</v>
      </c>
      <c r="H27595">
        <v>17248530</v>
      </c>
      <c r="I27595">
        <v>34181</v>
      </c>
      <c r="J27595">
        <v>1</v>
      </c>
    </row>
    <row r="27596" spans="1:10" x14ac:dyDescent="0.25">
      <c r="A27596" t="s">
        <v>1649</v>
      </c>
      <c r="B27596" s="1" t="str">
        <f>HYPERLINK("http://phillips66gas.com","phillips66gas.com")</f>
        <v>phillips66gas.com</v>
      </c>
      <c r="C27596" t="s">
        <v>433</v>
      </c>
      <c r="E27596">
        <v>974845</v>
      </c>
      <c r="F27596">
        <v>7.4158518290813206E-8</v>
      </c>
      <c r="G27596">
        <v>567648</v>
      </c>
      <c r="H27596">
        <v>16882636</v>
      </c>
      <c r="I27596">
        <v>138504</v>
      </c>
      <c r="J27596">
        <v>4</v>
      </c>
    </row>
    <row r="27597" spans="1:10" x14ac:dyDescent="0.25">
      <c r="A27597" t="s">
        <v>1649</v>
      </c>
      <c r="B27597" s="1" t="str">
        <f>HYPERLINK("http://phillips66ledsavings.com","phillips66ledsavings.com")</f>
        <v>phillips66ledsavings.com</v>
      </c>
      <c r="C27597" t="s">
        <v>433</v>
      </c>
      <c r="J27597">
        <v>3</v>
      </c>
    </row>
    <row r="27598" spans="1:10" x14ac:dyDescent="0.25">
      <c r="A27598" t="s">
        <v>1649</v>
      </c>
      <c r="B27598" s="1" t="str">
        <f>HYPERLINK("http://phillips66partners.com","phillips66partners.com")</f>
        <v>phillips66partners.com</v>
      </c>
      <c r="C27598" t="s">
        <v>433</v>
      </c>
      <c r="F27598">
        <v>2.0668439199602501E-8</v>
      </c>
      <c r="G27598">
        <v>2561295</v>
      </c>
      <c r="H27598">
        <v>13398839</v>
      </c>
      <c r="I27598">
        <v>10370650</v>
      </c>
      <c r="J27598">
        <v>3</v>
      </c>
    </row>
    <row r="27599" spans="1:10" x14ac:dyDescent="0.25">
      <c r="A27599" t="s">
        <v>1649</v>
      </c>
      <c r="B27599" s="1" t="str">
        <f>HYPERLINK("http://sentineltrans.com","sentineltrans.com")</f>
        <v>sentineltrans.com</v>
      </c>
      <c r="C27599" t="s">
        <v>433</v>
      </c>
      <c r="F27599">
        <v>8.6865348081332096E-9</v>
      </c>
      <c r="G27599">
        <v>8500945</v>
      </c>
      <c r="H27599">
        <v>13121310</v>
      </c>
      <c r="I27599">
        <v>11988064</v>
      </c>
      <c r="J27599">
        <v>3</v>
      </c>
    </row>
    <row r="27600" spans="1:10" x14ac:dyDescent="0.25">
      <c r="A27600" t="s">
        <v>1649</v>
      </c>
      <c r="B27600" s="1" t="str">
        <f>HYPERLINK("http://jet.de","jet.de")</f>
        <v>jet.de</v>
      </c>
      <c r="C27600" t="s">
        <v>436</v>
      </c>
      <c r="D27600" t="s">
        <v>815</v>
      </c>
      <c r="F27600">
        <v>1.390844857147E-8</v>
      </c>
      <c r="G27600">
        <v>4237691</v>
      </c>
      <c r="H27600">
        <v>12815920</v>
      </c>
      <c r="I27600">
        <v>14532880</v>
      </c>
      <c r="J27600">
        <v>5</v>
      </c>
    </row>
    <row r="27601" spans="1:10" x14ac:dyDescent="0.25">
      <c r="A27601" t="s">
        <v>1649</v>
      </c>
      <c r="B27601" s="1" t="str">
        <f>HYPERLINK("http://jet-tankstellen.de","jet-tankstellen.de")</f>
        <v>jet-tankstellen.de</v>
      </c>
      <c r="C27601" t="s">
        <v>436</v>
      </c>
      <c r="D27601" t="s">
        <v>815</v>
      </c>
      <c r="E27601">
        <v>317450</v>
      </c>
      <c r="F27601">
        <v>1.03623048075096E-7</v>
      </c>
      <c r="G27601">
        <v>387131</v>
      </c>
      <c r="H27601">
        <v>14174187</v>
      </c>
      <c r="I27601">
        <v>1793980</v>
      </c>
      <c r="J27601">
        <v>3</v>
      </c>
    </row>
    <row r="27602" spans="1:10" x14ac:dyDescent="0.25">
      <c r="A27602" t="s">
        <v>1649</v>
      </c>
      <c r="B27602" s="1" t="str">
        <f>HYPERLINK("http://jet.fi","jet.fi")</f>
        <v>jet.fi</v>
      </c>
      <c r="C27602" t="s">
        <v>445</v>
      </c>
      <c r="D27602" t="s">
        <v>823</v>
      </c>
      <c r="F27602">
        <v>4.44381528729582E-9</v>
      </c>
      <c r="G27602">
        <v>79407525</v>
      </c>
      <c r="H27602">
        <v>10358497</v>
      </c>
      <c r="I27602">
        <v>55392334</v>
      </c>
      <c r="J27602">
        <v>4</v>
      </c>
    </row>
    <row r="27603" spans="1:10" x14ac:dyDescent="0.25">
      <c r="A27603" t="s">
        <v>1649</v>
      </c>
      <c r="B27603" s="1" t="str">
        <f>HYPERLINK("http://phillips66.jobs","phillips66.jobs")</f>
        <v>phillips66.jobs</v>
      </c>
      <c r="C27603" t="s">
        <v>521</v>
      </c>
      <c r="F27603">
        <v>4.2647721284693702E-8</v>
      </c>
      <c r="G27603">
        <v>1133523</v>
      </c>
      <c r="H27603">
        <v>13341824</v>
      </c>
      <c r="I27603">
        <v>10666460</v>
      </c>
      <c r="J27603">
        <v>2</v>
      </c>
    </row>
    <row r="27604" spans="1:10" x14ac:dyDescent="0.25">
      <c r="A27604" t="s">
        <v>1649</v>
      </c>
      <c r="B27604" s="1" t="str">
        <f>HYPERLINK("http://happygas.com.mx","happygas.com.mx")</f>
        <v>happygas.com.mx</v>
      </c>
      <c r="C27604" t="s">
        <v>471</v>
      </c>
      <c r="D27604" t="s">
        <v>847</v>
      </c>
      <c r="J27604">
        <v>4</v>
      </c>
    </row>
    <row r="27605" spans="1:10" x14ac:dyDescent="0.25">
      <c r="A27605" t="s">
        <v>1649</v>
      </c>
      <c r="B27605" s="1" t="str">
        <f>HYPERLINK("http://phillips66.net","phillips66.net")</f>
        <v>phillips66.net</v>
      </c>
      <c r="C27605" t="s">
        <v>474</v>
      </c>
      <c r="E27605">
        <v>156541</v>
      </c>
      <c r="F27605">
        <v>4.6775503494555104E-9</v>
      </c>
      <c r="G27605">
        <v>42509677</v>
      </c>
      <c r="H27605">
        <v>10655367</v>
      </c>
      <c r="I27605">
        <v>43542491</v>
      </c>
      <c r="J27605">
        <v>3</v>
      </c>
    </row>
    <row r="27606" spans="1:10" x14ac:dyDescent="0.25">
      <c r="A27606" t="s">
        <v>1649</v>
      </c>
      <c r="B27606" s="1" t="str">
        <f>HYPERLINK("http://jetlocal.co.uk","jetlocal.co.uk")</f>
        <v>jetlocal.co.uk</v>
      </c>
      <c r="C27606" t="s">
        <v>506</v>
      </c>
      <c r="D27606" t="s">
        <v>880</v>
      </c>
      <c r="F27606">
        <v>1.9450050865829301E-8</v>
      </c>
      <c r="G27606">
        <v>2755010</v>
      </c>
      <c r="H27606">
        <v>13547962</v>
      </c>
      <c r="I27606">
        <v>9899123</v>
      </c>
      <c r="J27606">
        <v>4</v>
      </c>
    </row>
    <row r="27607" spans="1:10" x14ac:dyDescent="0.25">
      <c r="A27607" t="s">
        <v>1649</v>
      </c>
      <c r="B27607" s="1" t="str">
        <f>HYPERLINK("http://phillips66.co.uk","phillips66.co.uk")</f>
        <v>phillips66.co.uk</v>
      </c>
      <c r="C27607" t="s">
        <v>506</v>
      </c>
      <c r="D27607" t="s">
        <v>880</v>
      </c>
      <c r="F27607">
        <v>1.47180103272112E-8</v>
      </c>
      <c r="G27607">
        <v>3934763</v>
      </c>
      <c r="H27607">
        <v>12378465</v>
      </c>
      <c r="I27607">
        <v>19241777</v>
      </c>
      <c r="J27607">
        <v>2</v>
      </c>
    </row>
    <row r="27608" spans="1:10" x14ac:dyDescent="0.25">
      <c r="A27608" t="s">
        <v>306</v>
      </c>
      <c r="B27608" s="1" t="str">
        <f>HYPERLINK("http://chengyi.cn","chengyi.cn")</f>
        <v>chengyi.cn</v>
      </c>
      <c r="C27608" t="s">
        <v>431</v>
      </c>
      <c r="D27608" t="s">
        <v>812</v>
      </c>
      <c r="F27608">
        <v>2.4571774823001899E-8</v>
      </c>
      <c r="G27608">
        <v>2107973</v>
      </c>
      <c r="H27608">
        <v>11225344</v>
      </c>
      <c r="I27608">
        <v>31056214</v>
      </c>
      <c r="J27608">
        <v>4</v>
      </c>
    </row>
    <row r="27609" spans="1:10" x14ac:dyDescent="0.25">
      <c r="A27609" t="s">
        <v>306</v>
      </c>
      <c r="B27609" s="1" t="str">
        <f>HYPERLINK("http://autohome.com.cn","autohome.com.cn")</f>
        <v>autohome.com.cn</v>
      </c>
      <c r="C27609" t="s">
        <v>431</v>
      </c>
      <c r="D27609" t="s">
        <v>812</v>
      </c>
      <c r="E27609">
        <v>846</v>
      </c>
      <c r="F27609">
        <v>2.06223417249359E-6</v>
      </c>
      <c r="G27609">
        <v>17726</v>
      </c>
      <c r="H27609">
        <v>15734371</v>
      </c>
      <c r="I27609">
        <v>369135</v>
      </c>
      <c r="J27609">
        <v>3</v>
      </c>
    </row>
    <row r="27610" spans="1:10" x14ac:dyDescent="0.25">
      <c r="A27610" t="s">
        <v>306</v>
      </c>
      <c r="B27610" s="1" t="str">
        <f>HYPERLINK("http://jahwa.com.cn","jahwa.com.cn")</f>
        <v>jahwa.com.cn</v>
      </c>
      <c r="C27610" t="s">
        <v>431</v>
      </c>
      <c r="D27610" t="s">
        <v>812</v>
      </c>
      <c r="E27610">
        <v>625721</v>
      </c>
      <c r="F27610">
        <v>4.9209827576553003E-8</v>
      </c>
      <c r="G27610">
        <v>940757</v>
      </c>
      <c r="H27610">
        <v>13413621</v>
      </c>
      <c r="I27610">
        <v>10319950</v>
      </c>
      <c r="J27610">
        <v>3</v>
      </c>
    </row>
    <row r="27611" spans="1:10" x14ac:dyDescent="0.25">
      <c r="A27611" t="s">
        <v>306</v>
      </c>
      <c r="B27611" s="1" t="str">
        <f>HYPERLINK("http://paic.com.cn","paic.com.cn")</f>
        <v>paic.com.cn</v>
      </c>
      <c r="C27611" t="s">
        <v>431</v>
      </c>
      <c r="D27611" t="s">
        <v>812</v>
      </c>
      <c r="E27611">
        <v>351909</v>
      </c>
      <c r="F27611">
        <v>2.92301985198247E-8</v>
      </c>
      <c r="G27611">
        <v>1762170</v>
      </c>
      <c r="H27611">
        <v>12757619</v>
      </c>
      <c r="I27611">
        <v>14975470</v>
      </c>
      <c r="J27611">
        <v>2</v>
      </c>
    </row>
    <row r="27612" spans="1:10" x14ac:dyDescent="0.25">
      <c r="A27612" t="s">
        <v>306</v>
      </c>
      <c r="B27612" s="1" t="str">
        <f>HYPERLINK("http://pingan.com.cn","pingan.com.cn")</f>
        <v>pingan.com.cn</v>
      </c>
      <c r="C27612" t="s">
        <v>431</v>
      </c>
      <c r="D27612" t="s">
        <v>812</v>
      </c>
      <c r="E27612">
        <v>20479</v>
      </c>
      <c r="F27612">
        <v>5.1270938595353605E-7</v>
      </c>
      <c r="G27612">
        <v>74777</v>
      </c>
      <c r="H27612">
        <v>14283633</v>
      </c>
      <c r="I27612">
        <v>1374647</v>
      </c>
      <c r="J27612">
        <v>2</v>
      </c>
    </row>
    <row r="27613" spans="1:10" x14ac:dyDescent="0.25">
      <c r="A27613" t="s">
        <v>306</v>
      </c>
      <c r="B27613" s="1" t="str">
        <f>HYPERLINK("http://pingantradition.com.cn","pingantradition.com.cn")</f>
        <v>pingantradition.com.cn</v>
      </c>
      <c r="C27613" t="s">
        <v>431</v>
      </c>
      <c r="D27613" t="s">
        <v>812</v>
      </c>
      <c r="F27613">
        <v>5.0265924291912204E-9</v>
      </c>
      <c r="G27613">
        <v>28748715</v>
      </c>
      <c r="H27613">
        <v>9602325</v>
      </c>
      <c r="I27613">
        <v>64376122</v>
      </c>
      <c r="J27613">
        <v>3</v>
      </c>
    </row>
    <row r="27614" spans="1:10" x14ac:dyDescent="0.25">
      <c r="A27614" t="s">
        <v>306</v>
      </c>
      <c r="B27614" s="1" t="str">
        <f>HYPERLINK("http://zgpafs.com.cn","zgpafs.com.cn")</f>
        <v>zgpafs.com.cn</v>
      </c>
      <c r="C27614" t="s">
        <v>431</v>
      </c>
      <c r="D27614" t="s">
        <v>812</v>
      </c>
      <c r="J27614">
        <v>4</v>
      </c>
    </row>
    <row r="27615" spans="1:10" x14ac:dyDescent="0.25">
      <c r="A27615" t="s">
        <v>306</v>
      </c>
      <c r="B27615" s="1" t="str">
        <f>HYPERLINK("http://zgpajf.com.cn","zgpajf.com.cn")</f>
        <v>zgpajf.com.cn</v>
      </c>
      <c r="C27615" t="s">
        <v>431</v>
      </c>
      <c r="D27615" t="s">
        <v>812</v>
      </c>
      <c r="F27615">
        <v>4.44380395335525E-9</v>
      </c>
      <c r="G27615">
        <v>80276406</v>
      </c>
      <c r="H27615">
        <v>0</v>
      </c>
      <c r="I27615">
        <v>80358409</v>
      </c>
      <c r="J27615">
        <v>4</v>
      </c>
    </row>
    <row r="27616" spans="1:10" x14ac:dyDescent="0.25">
      <c r="A27616" t="s">
        <v>306</v>
      </c>
      <c r="B27616" s="1" t="str">
        <f>HYPERLINK("http://pingan.cn","pingan.cn")</f>
        <v>pingan.cn</v>
      </c>
      <c r="C27616" t="s">
        <v>431</v>
      </c>
      <c r="D27616" t="s">
        <v>812</v>
      </c>
      <c r="E27616">
        <v>727630</v>
      </c>
      <c r="F27616">
        <v>2.9474552787422301E-7</v>
      </c>
      <c r="G27616">
        <v>126250</v>
      </c>
      <c r="H27616">
        <v>14207463</v>
      </c>
      <c r="I27616">
        <v>1708634</v>
      </c>
      <c r="J27616">
        <v>1</v>
      </c>
    </row>
    <row r="27617" spans="1:10" x14ac:dyDescent="0.25">
      <c r="A27617" t="s">
        <v>306</v>
      </c>
      <c r="B27617" s="1" t="str">
        <f>HYPERLINK("http://autohome.com","autohome.com")</f>
        <v>autohome.com</v>
      </c>
      <c r="C27617" t="s">
        <v>433</v>
      </c>
      <c r="F27617">
        <v>1.05439364481571E-8</v>
      </c>
      <c r="G27617">
        <v>6232077</v>
      </c>
      <c r="H27617">
        <v>13411400</v>
      </c>
      <c r="I27617">
        <v>10332078</v>
      </c>
      <c r="J27617">
        <v>4</v>
      </c>
    </row>
    <row r="27618" spans="1:10" x14ac:dyDescent="0.25">
      <c r="A27618" t="s">
        <v>306</v>
      </c>
      <c r="B27618" s="1" t="str">
        <f>HYPERLINK("http://founderff.com","founderff.com")</f>
        <v>founderff.com</v>
      </c>
      <c r="C27618" t="s">
        <v>433</v>
      </c>
      <c r="F27618">
        <v>8.4899921315698699E-8</v>
      </c>
      <c r="G27618">
        <v>486097</v>
      </c>
      <c r="H27618">
        <v>12861987</v>
      </c>
      <c r="I27618">
        <v>14190728</v>
      </c>
      <c r="J27618">
        <v>3</v>
      </c>
    </row>
    <row r="27619" spans="1:10" x14ac:dyDescent="0.25">
      <c r="A27619" t="s">
        <v>306</v>
      </c>
      <c r="B27619" s="1" t="str">
        <f>HYPERLINK("http://founderfu.com","founderfu.com")</f>
        <v>founderfu.com</v>
      </c>
      <c r="C27619" t="s">
        <v>433</v>
      </c>
      <c r="F27619">
        <v>3.0102303767457101E-8</v>
      </c>
      <c r="G27619">
        <v>1709423</v>
      </c>
      <c r="H27619">
        <v>12911640</v>
      </c>
      <c r="I27619">
        <v>13541071</v>
      </c>
      <c r="J27619">
        <v>3</v>
      </c>
    </row>
    <row r="27620" spans="1:10" x14ac:dyDescent="0.25">
      <c r="A27620" t="s">
        <v>306</v>
      </c>
      <c r="B27620" s="1" t="str">
        <f>HYPERLINK("http://foundersc.com","foundersc.com")</f>
        <v>foundersc.com</v>
      </c>
      <c r="C27620" t="s">
        <v>433</v>
      </c>
      <c r="E27620">
        <v>117625</v>
      </c>
      <c r="F27620">
        <v>1.4613266415545199E-7</v>
      </c>
      <c r="G27620">
        <v>266386</v>
      </c>
      <c r="H27620">
        <v>12974899</v>
      </c>
      <c r="I27620">
        <v>13017978</v>
      </c>
      <c r="J27620">
        <v>3</v>
      </c>
    </row>
    <row r="27621" spans="1:10" x14ac:dyDescent="0.25">
      <c r="A27621" t="s">
        <v>306</v>
      </c>
      <c r="B27621" s="1" t="str">
        <f>HYPERLINK("http://hkfoundersc.com","hkfoundersc.com")</f>
        <v>hkfoundersc.com</v>
      </c>
      <c r="C27621" t="s">
        <v>433</v>
      </c>
      <c r="F27621">
        <v>9.9981501884102793E-9</v>
      </c>
      <c r="G27621">
        <v>6757646</v>
      </c>
      <c r="H27621">
        <v>10208883</v>
      </c>
      <c r="I27621">
        <v>58985115</v>
      </c>
      <c r="J27621">
        <v>5</v>
      </c>
    </row>
    <row r="27622" spans="1:10" x14ac:dyDescent="0.25">
      <c r="A27622" t="s">
        <v>306</v>
      </c>
      <c r="B27622" s="1" t="str">
        <f>HYPERLINK("http://mayborngroup.com","mayborngroup.com")</f>
        <v>mayborngroup.com</v>
      </c>
      <c r="C27622" t="s">
        <v>433</v>
      </c>
      <c r="F27622">
        <v>1.8379414661579701E-8</v>
      </c>
      <c r="G27622">
        <v>2952045</v>
      </c>
      <c r="H27622">
        <v>12753852</v>
      </c>
      <c r="I27622">
        <v>14995324</v>
      </c>
      <c r="J27622">
        <v>2</v>
      </c>
    </row>
    <row r="27623" spans="1:10" x14ac:dyDescent="0.25">
      <c r="A27623" t="s">
        <v>306</v>
      </c>
      <c r="B27623" s="1" t="str">
        <f>HYPERLINK("http://pa18.com","pa18.com")</f>
        <v>pa18.com</v>
      </c>
      <c r="C27623" t="s">
        <v>433</v>
      </c>
      <c r="E27623">
        <v>10964</v>
      </c>
      <c r="F27623">
        <v>7.5965258987248798E-8</v>
      </c>
      <c r="G27623">
        <v>552978</v>
      </c>
      <c r="H27623">
        <v>14124641</v>
      </c>
      <c r="I27623">
        <v>2139823</v>
      </c>
      <c r="J27623">
        <v>2</v>
      </c>
    </row>
    <row r="27624" spans="1:10" x14ac:dyDescent="0.25">
      <c r="A27624" t="s">
        <v>306</v>
      </c>
      <c r="B27624" s="1" t="str">
        <f>HYPERLINK("http://pingan.com","pingan.com")</f>
        <v>pingan.com</v>
      </c>
      <c r="C27624" t="s">
        <v>433</v>
      </c>
      <c r="E27624">
        <v>12711</v>
      </c>
      <c r="F27624">
        <v>2.31101557023905E-6</v>
      </c>
      <c r="G27624">
        <v>15994</v>
      </c>
      <c r="H27624">
        <v>15455363</v>
      </c>
      <c r="I27624">
        <v>378072</v>
      </c>
      <c r="J27624">
        <v>2</v>
      </c>
    </row>
    <row r="27625" spans="1:10" x14ac:dyDescent="0.25">
      <c r="A27625" t="s">
        <v>306</v>
      </c>
      <c r="B27625" s="1" t="str">
        <f>HYPERLINK("http://pinganhc.com","pinganhc.com")</f>
        <v>pinganhc.com</v>
      </c>
      <c r="C27625" t="s">
        <v>433</v>
      </c>
      <c r="J27625">
        <v>5</v>
      </c>
    </row>
    <row r="27626" spans="1:10" x14ac:dyDescent="0.25">
      <c r="A27626" t="s">
        <v>306</v>
      </c>
      <c r="B27626" s="1" t="str">
        <f>HYPERLINK("http://tommeetippee.com","tommeetippee.com")</f>
        <v>tommeetippee.com</v>
      </c>
      <c r="C27626" t="s">
        <v>433</v>
      </c>
      <c r="E27626">
        <v>200463</v>
      </c>
      <c r="F27626">
        <v>1.6326961803761699E-7</v>
      </c>
      <c r="G27626">
        <v>237715</v>
      </c>
      <c r="H27626">
        <v>15021184</v>
      </c>
      <c r="I27626">
        <v>420725</v>
      </c>
      <c r="J27626">
        <v>7</v>
      </c>
    </row>
    <row r="27627" spans="1:10" x14ac:dyDescent="0.25">
      <c r="A27627" t="s">
        <v>306</v>
      </c>
      <c r="B27627" s="1" t="str">
        <f>HYPERLINK("http://tommeetippee.fi","tommeetippee.fi")</f>
        <v>tommeetippee.fi</v>
      </c>
      <c r="C27627" t="s">
        <v>445</v>
      </c>
      <c r="D27627" t="s">
        <v>823</v>
      </c>
      <c r="J27627">
        <v>5</v>
      </c>
    </row>
    <row r="27628" spans="1:10" x14ac:dyDescent="0.25">
      <c r="A27628" t="s">
        <v>306</v>
      </c>
      <c r="B27628" s="1" t="str">
        <f>HYPERLINK("http://pingan.com.hk","pingan.com.hk")</f>
        <v>pingan.com.hk</v>
      </c>
      <c r="C27628" t="s">
        <v>450</v>
      </c>
      <c r="D27628" t="s">
        <v>827</v>
      </c>
      <c r="F27628">
        <v>1.3002962408898901E-7</v>
      </c>
      <c r="G27628">
        <v>300996</v>
      </c>
      <c r="H27628">
        <v>13975831</v>
      </c>
      <c r="I27628">
        <v>4061194</v>
      </c>
      <c r="J27628">
        <v>2</v>
      </c>
    </row>
    <row r="27629" spans="1:10" x14ac:dyDescent="0.25">
      <c r="A27629" t="s">
        <v>306</v>
      </c>
      <c r="B27629" s="1" t="str">
        <f>HYPERLINK("http://gro.co.uk","gro.co.uk")</f>
        <v>gro.co.uk</v>
      </c>
      <c r="C27629" t="s">
        <v>506</v>
      </c>
      <c r="D27629" t="s">
        <v>880</v>
      </c>
      <c r="F27629">
        <v>2.22580638377221E-8</v>
      </c>
      <c r="G27629">
        <v>2355857</v>
      </c>
      <c r="H27629">
        <v>14193767</v>
      </c>
      <c r="I27629">
        <v>1741871</v>
      </c>
      <c r="J27629">
        <v>5</v>
      </c>
    </row>
    <row r="27630" spans="1:10" x14ac:dyDescent="0.25">
      <c r="A27630" t="s">
        <v>306</v>
      </c>
      <c r="B27630" s="1" t="str">
        <f>HYPERLINK("http://tommeetippee.co.uk","tommeetippee.co.uk")</f>
        <v>tommeetippee.co.uk</v>
      </c>
      <c r="C27630" t="s">
        <v>506</v>
      </c>
      <c r="D27630" t="s">
        <v>880</v>
      </c>
      <c r="F27630">
        <v>3.16488576583514E-8</v>
      </c>
      <c r="G27630">
        <v>1630877</v>
      </c>
      <c r="H27630">
        <v>14274885</v>
      </c>
      <c r="I27630">
        <v>1391868</v>
      </c>
      <c r="J27630">
        <v>6</v>
      </c>
    </row>
    <row r="27631" spans="1:10" x14ac:dyDescent="0.25">
      <c r="A27631" t="s">
        <v>307</v>
      </c>
      <c r="B27631" s="1" t="str">
        <f>HYPERLINK("http://carmeuseis.com","carmeuseis.com")</f>
        <v>carmeuseis.com</v>
      </c>
      <c r="C27631" t="s">
        <v>433</v>
      </c>
      <c r="J27631">
        <v>3</v>
      </c>
    </row>
    <row r="27632" spans="1:10" x14ac:dyDescent="0.25">
      <c r="A27632" t="s">
        <v>307</v>
      </c>
      <c r="B27632" s="1" t="str">
        <f>HYPERLINK("http://parsleyenergy.com","parsleyenergy.com")</f>
        <v>parsleyenergy.com</v>
      </c>
      <c r="C27632" t="s">
        <v>433</v>
      </c>
      <c r="F27632">
        <v>1.8529529808096199E-8</v>
      </c>
      <c r="G27632">
        <v>2920212</v>
      </c>
      <c r="H27632">
        <v>13606727</v>
      </c>
      <c r="I27632">
        <v>9640622</v>
      </c>
      <c r="J27632">
        <v>3</v>
      </c>
    </row>
    <row r="27633" spans="1:10" x14ac:dyDescent="0.25">
      <c r="A27633" t="s">
        <v>307</v>
      </c>
      <c r="B27633" s="1" t="str">
        <f>HYPERLINK("http://pxd.com","pxd.com")</f>
        <v>pxd.com</v>
      </c>
      <c r="C27633" t="s">
        <v>433</v>
      </c>
      <c r="E27633">
        <v>276880</v>
      </c>
      <c r="F27633">
        <v>1.4324122627468101E-7</v>
      </c>
      <c r="G27633">
        <v>271795</v>
      </c>
      <c r="H27633">
        <v>14387469</v>
      </c>
      <c r="I27633">
        <v>1175252</v>
      </c>
      <c r="J27633">
        <v>1</v>
      </c>
    </row>
    <row r="27634" spans="1:10" x14ac:dyDescent="0.25">
      <c r="A27634" t="s">
        <v>307</v>
      </c>
      <c r="B27634" s="1" t="str">
        <f>HYPERLINK("http://uspioneer.com","uspioneer.com")</f>
        <v>uspioneer.com</v>
      </c>
      <c r="C27634" t="s">
        <v>433</v>
      </c>
      <c r="F27634">
        <v>9.7046221045536493E-9</v>
      </c>
      <c r="G27634">
        <v>7075204</v>
      </c>
      <c r="H27634">
        <v>12382085</v>
      </c>
      <c r="I27634">
        <v>19170426</v>
      </c>
      <c r="J27634">
        <v>4</v>
      </c>
    </row>
    <row r="27635" spans="1:10" x14ac:dyDescent="0.25">
      <c r="A27635" t="s">
        <v>308</v>
      </c>
      <c r="B27635" s="1" t="str">
        <f>HYPERLINK("http://psbc.com","psbc.com")</f>
        <v>psbc.com</v>
      </c>
      <c r="C27635" t="s">
        <v>433</v>
      </c>
      <c r="E27635">
        <v>23449</v>
      </c>
      <c r="F27635">
        <v>1.0006421822506399E-6</v>
      </c>
      <c r="G27635">
        <v>38238</v>
      </c>
      <c r="H27635">
        <v>14565089</v>
      </c>
      <c r="I27635">
        <v>740965</v>
      </c>
      <c r="J27635">
        <v>1</v>
      </c>
    </row>
    <row r="27636" spans="1:10" x14ac:dyDescent="0.25">
      <c r="A27636" t="s">
        <v>308</v>
      </c>
      <c r="B27636" s="1" t="str">
        <f>HYPERLINK("http://youcash.com","youcash.com")</f>
        <v>youcash.com</v>
      </c>
      <c r="C27636" t="s">
        <v>433</v>
      </c>
      <c r="F27636">
        <v>1.3976048541440699E-8</v>
      </c>
      <c r="G27636">
        <v>4211775</v>
      </c>
      <c r="H27636">
        <v>12345905</v>
      </c>
      <c r="I27636">
        <v>19835154</v>
      </c>
      <c r="J27636">
        <v>4</v>
      </c>
    </row>
    <row r="27637" spans="1:10" x14ac:dyDescent="0.25">
      <c r="A27637" t="s">
        <v>309</v>
      </c>
      <c r="B27637" s="1" t="str">
        <f>HYPERLINK("http://promos.com.tw","promos.com.tw")</f>
        <v>promos.com.tw</v>
      </c>
      <c r="C27637" t="s">
        <v>504</v>
      </c>
      <c r="D27637" t="s">
        <v>878</v>
      </c>
      <c r="E27637">
        <v>791059</v>
      </c>
      <c r="F27637">
        <v>5.3785650995742403E-8</v>
      </c>
      <c r="G27637">
        <v>845163</v>
      </c>
      <c r="H27637">
        <v>16751219</v>
      </c>
      <c r="I27637">
        <v>268105</v>
      </c>
      <c r="J27637">
        <v>1</v>
      </c>
    </row>
    <row r="27638" spans="1:10" x14ac:dyDescent="0.25">
      <c r="A27638" t="s">
        <v>310</v>
      </c>
      <c r="B27638" s="1" t="str">
        <f>HYPERLINK("http://headandshoulders.ae","headandshoulders.ae")</f>
        <v>headandshoulders.ae</v>
      </c>
      <c r="C27638" t="s">
        <v>417</v>
      </c>
      <c r="D27638" t="s">
        <v>799</v>
      </c>
      <c r="F27638">
        <v>1.7522116135597799E-8</v>
      </c>
      <c r="G27638">
        <v>3140958</v>
      </c>
      <c r="H27638">
        <v>12388521</v>
      </c>
      <c r="I27638">
        <v>19075436</v>
      </c>
      <c r="J27638">
        <v>4</v>
      </c>
    </row>
    <row r="27639" spans="1:10" x14ac:dyDescent="0.25">
      <c r="A27639" t="s">
        <v>310</v>
      </c>
      <c r="B27639" s="1" t="str">
        <f>HYPERLINK("http://pampers.ae","pampers.ae")</f>
        <v>pampers.ae</v>
      </c>
      <c r="C27639" t="s">
        <v>417</v>
      </c>
      <c r="D27639" t="s">
        <v>799</v>
      </c>
      <c r="F27639">
        <v>2.67088744062955E-8</v>
      </c>
      <c r="G27639">
        <v>1926980</v>
      </c>
      <c r="H27639">
        <v>12663590</v>
      </c>
      <c r="I27639">
        <v>15689316</v>
      </c>
      <c r="J27639">
        <v>3</v>
      </c>
    </row>
    <row r="27640" spans="1:10" x14ac:dyDescent="0.25">
      <c r="A27640" t="s">
        <v>310</v>
      </c>
      <c r="B27640" s="1" t="str">
        <f>HYPERLINK("http://oralb.com.ar","oralb.com.ar")</f>
        <v>oralb.com.ar</v>
      </c>
      <c r="C27640" t="s">
        <v>418</v>
      </c>
      <c r="D27640" t="s">
        <v>800</v>
      </c>
      <c r="F27640">
        <v>1.10411368208212E-8</v>
      </c>
      <c r="G27640">
        <v>5828853</v>
      </c>
      <c r="H27640">
        <v>13000322</v>
      </c>
      <c r="I27640">
        <v>12794409</v>
      </c>
      <c r="J27640">
        <v>4</v>
      </c>
    </row>
    <row r="27641" spans="1:10" x14ac:dyDescent="0.25">
      <c r="A27641" t="s">
        <v>310</v>
      </c>
      <c r="B27641" s="1" t="str">
        <f>HYPERLINK("http://pampers.com.ar","pampers.com.ar")</f>
        <v>pampers.com.ar</v>
      </c>
      <c r="C27641" t="s">
        <v>418</v>
      </c>
      <c r="D27641" t="s">
        <v>800</v>
      </c>
      <c r="E27641">
        <v>167050</v>
      </c>
      <c r="F27641">
        <v>2.4397515058386499E-8</v>
      </c>
      <c r="G27641">
        <v>2124388</v>
      </c>
      <c r="H27641">
        <v>13055025</v>
      </c>
      <c r="I27641">
        <v>12568313</v>
      </c>
      <c r="J27641">
        <v>3</v>
      </c>
    </row>
    <row r="27642" spans="1:10" x14ac:dyDescent="0.25">
      <c r="A27642" t="s">
        <v>310</v>
      </c>
      <c r="B27642" s="1" t="str">
        <f>HYPERLINK("http://febreze.asia","febreze.asia")</f>
        <v>febreze.asia</v>
      </c>
      <c r="C27642" t="s">
        <v>525</v>
      </c>
      <c r="J27642">
        <v>2</v>
      </c>
    </row>
    <row r="27643" spans="1:10" x14ac:dyDescent="0.25">
      <c r="A27643" t="s">
        <v>310</v>
      </c>
      <c r="B27643" s="1" t="str">
        <f>HYPERLINK("http://pampers.at","pampers.at")</f>
        <v>pampers.at</v>
      </c>
      <c r="C27643" t="s">
        <v>419</v>
      </c>
      <c r="D27643" t="s">
        <v>801</v>
      </c>
      <c r="F27643">
        <v>2.3274026882497799E-8</v>
      </c>
      <c r="G27643">
        <v>2241808</v>
      </c>
      <c r="H27643">
        <v>13041119</v>
      </c>
      <c r="I27643">
        <v>12620897</v>
      </c>
      <c r="J27643">
        <v>3</v>
      </c>
    </row>
    <row r="27644" spans="1:10" x14ac:dyDescent="0.25">
      <c r="A27644" t="s">
        <v>310</v>
      </c>
      <c r="B27644" s="1" t="str">
        <f>HYPERLINK("http://gillette.com.au","gillette.com.au")</f>
        <v>gillette.com.au</v>
      </c>
      <c r="C27644" t="s">
        <v>420</v>
      </c>
      <c r="D27644" t="s">
        <v>802</v>
      </c>
      <c r="F27644">
        <v>5.5922451512287E-8</v>
      </c>
      <c r="G27644">
        <v>801190</v>
      </c>
      <c r="H27644">
        <v>13239427</v>
      </c>
      <c r="I27644">
        <v>11224135</v>
      </c>
      <c r="J27644">
        <v>3</v>
      </c>
    </row>
    <row r="27645" spans="1:10" x14ac:dyDescent="0.25">
      <c r="A27645" t="s">
        <v>310</v>
      </c>
      <c r="B27645" s="1" t="str">
        <f>HYPERLINK("http://headandshoulders.com.au","headandshoulders.com.au")</f>
        <v>headandshoulders.com.au</v>
      </c>
      <c r="C27645" t="s">
        <v>420</v>
      </c>
      <c r="D27645" t="s">
        <v>802</v>
      </c>
      <c r="F27645">
        <v>2.38544302593188E-8</v>
      </c>
      <c r="G27645">
        <v>2177549</v>
      </c>
      <c r="H27645">
        <v>13041792</v>
      </c>
      <c r="I27645">
        <v>12618731</v>
      </c>
      <c r="J27645">
        <v>4</v>
      </c>
    </row>
    <row r="27646" spans="1:10" x14ac:dyDescent="0.25">
      <c r="A27646" t="s">
        <v>310</v>
      </c>
      <c r="B27646" s="1" t="str">
        <f>HYPERLINK("http://oralb.com.au","oralb.com.au")</f>
        <v>oralb.com.au</v>
      </c>
      <c r="C27646" t="s">
        <v>420</v>
      </c>
      <c r="D27646" t="s">
        <v>802</v>
      </c>
      <c r="F27646">
        <v>5.5232959831372399E-8</v>
      </c>
      <c r="G27646">
        <v>813429</v>
      </c>
      <c r="H27646">
        <v>14048724</v>
      </c>
      <c r="I27646">
        <v>3896734</v>
      </c>
      <c r="J27646">
        <v>4</v>
      </c>
    </row>
    <row r="27647" spans="1:10" x14ac:dyDescent="0.25">
      <c r="A27647" t="s">
        <v>310</v>
      </c>
      <c r="B27647" s="1" t="str">
        <f>HYPERLINK("http://pantene.com.au","pantene.com.au")</f>
        <v>pantene.com.au</v>
      </c>
      <c r="C27647" t="s">
        <v>420</v>
      </c>
      <c r="D27647" t="s">
        <v>802</v>
      </c>
      <c r="F27647">
        <v>2.7762941535834101E-8</v>
      </c>
      <c r="G27647">
        <v>1852266</v>
      </c>
      <c r="H27647">
        <v>14246860</v>
      </c>
      <c r="I27647">
        <v>1459779</v>
      </c>
      <c r="J27647">
        <v>4</v>
      </c>
    </row>
    <row r="27648" spans="1:10" x14ac:dyDescent="0.25">
      <c r="A27648" t="s">
        <v>310</v>
      </c>
      <c r="B27648" s="1" t="str">
        <f>HYPERLINK("http://vicks.com.au","vicks.com.au")</f>
        <v>vicks.com.au</v>
      </c>
      <c r="C27648" t="s">
        <v>420</v>
      </c>
      <c r="D27648" t="s">
        <v>802</v>
      </c>
      <c r="F27648">
        <v>2.66678526202707E-8</v>
      </c>
      <c r="G27648">
        <v>1930046</v>
      </c>
      <c r="H27648">
        <v>14134502</v>
      </c>
      <c r="I27648">
        <v>1978245</v>
      </c>
      <c r="J27648">
        <v>3</v>
      </c>
    </row>
    <row r="27649" spans="1:10" x14ac:dyDescent="0.25">
      <c r="A27649" t="s">
        <v>310</v>
      </c>
      <c r="B27649" s="1" t="str">
        <f>HYPERLINK("http://beinggirl.be","beinggirl.be")</f>
        <v>beinggirl.be</v>
      </c>
      <c r="C27649" t="s">
        <v>421</v>
      </c>
      <c r="D27649" t="s">
        <v>803</v>
      </c>
      <c r="J27649">
        <v>2</v>
      </c>
    </row>
    <row r="27650" spans="1:10" x14ac:dyDescent="0.25">
      <c r="A27650" t="s">
        <v>310</v>
      </c>
      <c r="B27650" s="1" t="str">
        <f>HYPERLINK("http://braun.be","braun.be")</f>
        <v>braun.be</v>
      </c>
      <c r="C27650" t="s">
        <v>421</v>
      </c>
      <c r="D27650" t="s">
        <v>803</v>
      </c>
      <c r="F27650">
        <v>3.8324742337140101E-8</v>
      </c>
      <c r="G27650">
        <v>1350857</v>
      </c>
      <c r="H27650">
        <v>13070287</v>
      </c>
      <c r="I27650">
        <v>12246372</v>
      </c>
      <c r="J27650">
        <v>3</v>
      </c>
    </row>
    <row r="27651" spans="1:10" x14ac:dyDescent="0.25">
      <c r="A27651" t="s">
        <v>310</v>
      </c>
      <c r="B27651" s="1" t="str">
        <f>HYPERLINK("http://breathappy.be","breathappy.be")</f>
        <v>breathappy.be</v>
      </c>
      <c r="C27651" t="s">
        <v>421</v>
      </c>
      <c r="D27651" t="s">
        <v>803</v>
      </c>
      <c r="J27651">
        <v>2</v>
      </c>
    </row>
    <row r="27652" spans="1:10" x14ac:dyDescent="0.25">
      <c r="A27652" t="s">
        <v>310</v>
      </c>
      <c r="B27652" s="1" t="str">
        <f>HYPERLINK("http://breathehappy.be","breathehappy.be")</f>
        <v>breathehappy.be</v>
      </c>
      <c r="C27652" t="s">
        <v>421</v>
      </c>
      <c r="D27652" t="s">
        <v>803</v>
      </c>
      <c r="J27652">
        <v>2</v>
      </c>
    </row>
    <row r="27653" spans="1:10" x14ac:dyDescent="0.25">
      <c r="A27653" t="s">
        <v>310</v>
      </c>
      <c r="B27653" s="1" t="str">
        <f>HYPERLINK("http://breathhappy.be","breathhappy.be")</f>
        <v>breathhappy.be</v>
      </c>
      <c r="C27653" t="s">
        <v>421</v>
      </c>
      <c r="D27653" t="s">
        <v>803</v>
      </c>
      <c r="J27653">
        <v>2</v>
      </c>
    </row>
    <row r="27654" spans="1:10" x14ac:dyDescent="0.25">
      <c r="A27654" t="s">
        <v>310</v>
      </c>
      <c r="B27654" s="1" t="str">
        <f>HYPERLINK("http://dreft-vaisselle.be","dreft-vaisselle.be")</f>
        <v>dreft-vaisselle.be</v>
      </c>
      <c r="C27654" t="s">
        <v>421</v>
      </c>
      <c r="D27654" t="s">
        <v>803</v>
      </c>
      <c r="J27654">
        <v>2</v>
      </c>
    </row>
    <row r="27655" spans="1:10" x14ac:dyDescent="0.25">
      <c r="A27655" t="s">
        <v>310</v>
      </c>
      <c r="B27655" s="1" t="str">
        <f>HYPERLINK("http://dreft-zalando.be","dreft-zalando.be")</f>
        <v>dreft-zalando.be</v>
      </c>
      <c r="C27655" t="s">
        <v>421</v>
      </c>
      <c r="D27655" t="s">
        <v>803</v>
      </c>
      <c r="J27655">
        <v>2</v>
      </c>
    </row>
    <row r="27656" spans="1:10" x14ac:dyDescent="0.25">
      <c r="A27656" t="s">
        <v>310</v>
      </c>
      <c r="B27656" s="1" t="str">
        <f>HYPERLINK("http://dreftafwas.be","dreftafwas.be")</f>
        <v>dreftafwas.be</v>
      </c>
      <c r="C27656" t="s">
        <v>421</v>
      </c>
      <c r="D27656" t="s">
        <v>803</v>
      </c>
      <c r="J27656">
        <v>2</v>
      </c>
    </row>
    <row r="27657" spans="1:10" x14ac:dyDescent="0.25">
      <c r="A27657" t="s">
        <v>310</v>
      </c>
      <c r="B27657" s="1" t="str">
        <f>HYPERLINK("http://dreftvaisselle.be","dreftvaisselle.be")</f>
        <v>dreftvaisselle.be</v>
      </c>
      <c r="C27657" t="s">
        <v>421</v>
      </c>
      <c r="D27657" t="s">
        <v>803</v>
      </c>
      <c r="J27657">
        <v>2</v>
      </c>
    </row>
    <row r="27658" spans="1:10" x14ac:dyDescent="0.25">
      <c r="A27658" t="s">
        <v>310</v>
      </c>
      <c r="B27658" s="1" t="str">
        <f>HYPERLINK("http://febreze.be","febreze.be")</f>
        <v>febreze.be</v>
      </c>
      <c r="C27658" t="s">
        <v>421</v>
      </c>
      <c r="D27658" t="s">
        <v>803</v>
      </c>
      <c r="J27658">
        <v>2</v>
      </c>
    </row>
    <row r="27659" spans="1:10" x14ac:dyDescent="0.25">
      <c r="A27659" t="s">
        <v>310</v>
      </c>
      <c r="B27659" s="1" t="str">
        <f>HYPERLINK("http://pampers.be","pampers.be")</f>
        <v>pampers.be</v>
      </c>
      <c r="C27659" t="s">
        <v>421</v>
      </c>
      <c r="D27659" t="s">
        <v>803</v>
      </c>
      <c r="F27659">
        <v>3.0735298502005001E-8</v>
      </c>
      <c r="G27659">
        <v>1676084</v>
      </c>
      <c r="H27659">
        <v>13768380</v>
      </c>
      <c r="I27659">
        <v>6878308</v>
      </c>
      <c r="J27659">
        <v>3</v>
      </c>
    </row>
    <row r="27660" spans="1:10" x14ac:dyDescent="0.25">
      <c r="A27660" t="s">
        <v>310</v>
      </c>
      <c r="B27660" s="1" t="str">
        <f>HYPERLINK("http://zininmeer.be","zininmeer.be")</f>
        <v>zininmeer.be</v>
      </c>
      <c r="C27660" t="s">
        <v>421</v>
      </c>
      <c r="D27660" t="s">
        <v>803</v>
      </c>
      <c r="F27660">
        <v>3.6209196592575303E-8</v>
      </c>
      <c r="G27660">
        <v>1440194</v>
      </c>
      <c r="H27660">
        <v>13768132</v>
      </c>
      <c r="I27660">
        <v>6894181</v>
      </c>
      <c r="J27660">
        <v>2</v>
      </c>
    </row>
    <row r="27661" spans="1:10" x14ac:dyDescent="0.25">
      <c r="A27661" t="s">
        <v>310</v>
      </c>
      <c r="B27661" s="1" t="str">
        <f>HYPERLINK("http://femibion.bg","femibion.bg")</f>
        <v>femibion.bg</v>
      </c>
      <c r="C27661" t="s">
        <v>422</v>
      </c>
      <c r="D27661" t="s">
        <v>804</v>
      </c>
      <c r="F27661">
        <v>6.0062329522030499E-9</v>
      </c>
      <c r="G27661">
        <v>16645135</v>
      </c>
      <c r="H27661">
        <v>10773178</v>
      </c>
      <c r="I27661">
        <v>39130171</v>
      </c>
      <c r="J27661">
        <v>4</v>
      </c>
    </row>
    <row r="27662" spans="1:10" x14ac:dyDescent="0.25">
      <c r="A27662" t="s">
        <v>310</v>
      </c>
      <c r="B27662" s="1" t="str">
        <f>HYPERLINK("http://headandshoulders.bg","headandshoulders.bg")</f>
        <v>headandshoulders.bg</v>
      </c>
      <c r="C27662" t="s">
        <v>422</v>
      </c>
      <c r="D27662" t="s">
        <v>804</v>
      </c>
      <c r="F27662">
        <v>4.6263589053012101E-9</v>
      </c>
      <c r="G27662">
        <v>45683191</v>
      </c>
      <c r="H27662">
        <v>10754854</v>
      </c>
      <c r="I27662">
        <v>39830383</v>
      </c>
      <c r="J27662">
        <v>2</v>
      </c>
    </row>
    <row r="27663" spans="1:10" x14ac:dyDescent="0.25">
      <c r="A27663" t="s">
        <v>310</v>
      </c>
      <c r="B27663" s="1" t="str">
        <f>HYPERLINK("http://pgsamples.bg","pgsamples.bg")</f>
        <v>pgsamples.bg</v>
      </c>
      <c r="C27663" t="s">
        <v>422</v>
      </c>
      <c r="D27663" t="s">
        <v>804</v>
      </c>
      <c r="J27663">
        <v>2</v>
      </c>
    </row>
    <row r="27664" spans="1:10" x14ac:dyDescent="0.25">
      <c r="A27664" t="s">
        <v>310</v>
      </c>
      <c r="B27664" s="1" t="str">
        <f>HYPERLINK("http://arielbrasil.com.br","arielbrasil.com.br")</f>
        <v>arielbrasil.com.br</v>
      </c>
      <c r="C27664" t="s">
        <v>425</v>
      </c>
      <c r="D27664" t="s">
        <v>806</v>
      </c>
      <c r="F27664">
        <v>3.9193735705885698E-8</v>
      </c>
      <c r="G27664">
        <v>1316208</v>
      </c>
      <c r="H27664">
        <v>14134109</v>
      </c>
      <c r="I27664">
        <v>1982163</v>
      </c>
      <c r="J27664">
        <v>2</v>
      </c>
    </row>
    <row r="27665" spans="1:10" x14ac:dyDescent="0.25">
      <c r="A27665" t="s">
        <v>310</v>
      </c>
      <c r="B27665" s="1" t="str">
        <f>HYPERLINK("http://oldspice.com.br","oldspice.com.br")</f>
        <v>oldspice.com.br</v>
      </c>
      <c r="C27665" t="s">
        <v>425</v>
      </c>
      <c r="D27665" t="s">
        <v>806</v>
      </c>
      <c r="F27665">
        <v>2.1144498620293501E-8</v>
      </c>
      <c r="G27665">
        <v>2494893</v>
      </c>
      <c r="H27665">
        <v>13149884</v>
      </c>
      <c r="I27665">
        <v>11828161</v>
      </c>
      <c r="J27665">
        <v>2</v>
      </c>
    </row>
    <row r="27666" spans="1:10" x14ac:dyDescent="0.25">
      <c r="A27666" t="s">
        <v>310</v>
      </c>
      <c r="B27666" s="1" t="str">
        <f>HYPERLINK("http://oralb.com.br","oralb.com.br")</f>
        <v>oralb.com.br</v>
      </c>
      <c r="C27666" t="s">
        <v>425</v>
      </c>
      <c r="D27666" t="s">
        <v>806</v>
      </c>
      <c r="F27666">
        <v>4.4520887690312303E-8</v>
      </c>
      <c r="G27666">
        <v>1064424</v>
      </c>
      <c r="H27666">
        <v>14249412</v>
      </c>
      <c r="I27666">
        <v>1449768</v>
      </c>
      <c r="J27666">
        <v>3</v>
      </c>
    </row>
    <row r="27667" spans="1:10" x14ac:dyDescent="0.25">
      <c r="A27667" t="s">
        <v>310</v>
      </c>
      <c r="B27667" s="1" t="str">
        <f>HYPERLINK("http://pampers.com.br","pampers.com.br")</f>
        <v>pampers.com.br</v>
      </c>
      <c r="C27667" t="s">
        <v>425</v>
      </c>
      <c r="D27667" t="s">
        <v>806</v>
      </c>
      <c r="E27667">
        <v>170185</v>
      </c>
      <c r="F27667">
        <v>3.80644980826818E-8</v>
      </c>
      <c r="G27667">
        <v>1359714</v>
      </c>
      <c r="H27667">
        <v>14155592</v>
      </c>
      <c r="I27667">
        <v>1859117</v>
      </c>
      <c r="J27667">
        <v>3</v>
      </c>
    </row>
    <row r="27668" spans="1:10" x14ac:dyDescent="0.25">
      <c r="A27668" t="s">
        <v>310</v>
      </c>
      <c r="B27668" s="1" t="str">
        <f>HYPERLINK("http://pampersnaloja.com.br","pampersnaloja.com.br")</f>
        <v>pampersnaloja.com.br</v>
      </c>
      <c r="C27668" t="s">
        <v>425</v>
      </c>
      <c r="D27668" t="s">
        <v>806</v>
      </c>
      <c r="J27668">
        <v>2</v>
      </c>
    </row>
    <row r="27669" spans="1:10" x14ac:dyDescent="0.25">
      <c r="A27669" t="s">
        <v>310</v>
      </c>
      <c r="B27669" s="1" t="str">
        <f>HYPERLINK("http://gillette.ca","gillette.ca")</f>
        <v>gillette.ca</v>
      </c>
      <c r="C27669" t="s">
        <v>428</v>
      </c>
      <c r="D27669" t="s">
        <v>809</v>
      </c>
      <c r="F27669">
        <v>4.4368361292253303E-8</v>
      </c>
      <c r="G27669">
        <v>1069272</v>
      </c>
      <c r="H27669">
        <v>13348599</v>
      </c>
      <c r="I27669">
        <v>10621425</v>
      </c>
      <c r="J27669">
        <v>4</v>
      </c>
    </row>
    <row r="27670" spans="1:10" x14ac:dyDescent="0.25">
      <c r="A27670" t="s">
        <v>310</v>
      </c>
      <c r="B27670" s="1" t="str">
        <f>HYPERLINK("http://headandshoulders.ca","headandshoulders.ca")</f>
        <v>headandshoulders.ca</v>
      </c>
      <c r="C27670" t="s">
        <v>428</v>
      </c>
      <c r="D27670" t="s">
        <v>809</v>
      </c>
      <c r="F27670">
        <v>1.1466546122488E-8</v>
      </c>
      <c r="G27670">
        <v>5527866</v>
      </c>
      <c r="H27670">
        <v>13935743</v>
      </c>
      <c r="I27670">
        <v>4518115</v>
      </c>
      <c r="J27670">
        <v>4</v>
      </c>
    </row>
    <row r="27671" spans="1:10" x14ac:dyDescent="0.25">
      <c r="A27671" t="s">
        <v>310</v>
      </c>
      <c r="B27671" s="1" t="str">
        <f>HYPERLINK("http://ilovegain.ca","ilovegain.ca")</f>
        <v>ilovegain.ca</v>
      </c>
      <c r="C27671" t="s">
        <v>428</v>
      </c>
      <c r="D27671" t="s">
        <v>809</v>
      </c>
      <c r="F27671">
        <v>5.5403767753551103E-9</v>
      </c>
      <c r="G27671">
        <v>20477629</v>
      </c>
      <c r="H27671">
        <v>12301066</v>
      </c>
      <c r="I27671">
        <v>20809809</v>
      </c>
      <c r="J27671">
        <v>2</v>
      </c>
    </row>
    <row r="27672" spans="1:10" x14ac:dyDescent="0.25">
      <c r="A27672" t="s">
        <v>310</v>
      </c>
      <c r="B27672" s="1" t="str">
        <f>HYPERLINK("http://oralb.ca","oralb.ca")</f>
        <v>oralb.ca</v>
      </c>
      <c r="C27672" t="s">
        <v>428</v>
      </c>
      <c r="D27672" t="s">
        <v>809</v>
      </c>
      <c r="F27672">
        <v>7.0371600619084795E-8</v>
      </c>
      <c r="G27672">
        <v>601772</v>
      </c>
      <c r="H27672">
        <v>14254635</v>
      </c>
      <c r="I27672">
        <v>1435418</v>
      </c>
      <c r="J27672">
        <v>3</v>
      </c>
    </row>
    <row r="27673" spans="1:10" x14ac:dyDescent="0.25">
      <c r="A27673" t="s">
        <v>310</v>
      </c>
      <c r="B27673" s="1" t="str">
        <f>HYPERLINK("http://pampers.ca","pampers.ca")</f>
        <v>pampers.ca</v>
      </c>
      <c r="C27673" t="s">
        <v>428</v>
      </c>
      <c r="D27673" t="s">
        <v>809</v>
      </c>
      <c r="E27673">
        <v>694328</v>
      </c>
      <c r="F27673">
        <v>3.9418877960745798E-8</v>
      </c>
      <c r="G27673">
        <v>1309421</v>
      </c>
      <c r="H27673">
        <v>14935696</v>
      </c>
      <c r="I27673">
        <v>445510</v>
      </c>
      <c r="J27673">
        <v>3</v>
      </c>
    </row>
    <row r="27674" spans="1:10" x14ac:dyDescent="0.25">
      <c r="A27674" t="s">
        <v>310</v>
      </c>
      <c r="B27674" s="1" t="str">
        <f>HYPERLINK("http://pantene.ca","pantene.ca")</f>
        <v>pantene.ca</v>
      </c>
      <c r="C27674" t="s">
        <v>428</v>
      </c>
      <c r="D27674" t="s">
        <v>809</v>
      </c>
      <c r="F27674">
        <v>2.6813281447541799E-8</v>
      </c>
      <c r="G27674">
        <v>1918578</v>
      </c>
      <c r="H27674">
        <v>14224763</v>
      </c>
      <c r="I27674">
        <v>1680681</v>
      </c>
      <c r="J27674">
        <v>4</v>
      </c>
    </row>
    <row r="27675" spans="1:10" x14ac:dyDescent="0.25">
      <c r="A27675" t="s">
        <v>310</v>
      </c>
      <c r="B27675" s="1" t="str">
        <f>HYPERLINK("http://pg.ca","pg.ca")</f>
        <v>pg.ca</v>
      </c>
      <c r="C27675" t="s">
        <v>428</v>
      </c>
      <c r="D27675" t="s">
        <v>809</v>
      </c>
      <c r="F27675">
        <v>6.2841668876712904E-8</v>
      </c>
      <c r="G27675">
        <v>697794</v>
      </c>
      <c r="H27675">
        <v>13428711</v>
      </c>
      <c r="I27675">
        <v>10284260</v>
      </c>
      <c r="J27675">
        <v>2</v>
      </c>
    </row>
    <row r="27676" spans="1:10" x14ac:dyDescent="0.25">
      <c r="A27676" t="s">
        <v>310</v>
      </c>
      <c r="B27676" s="1" t="str">
        <f>HYPERLINK("http://gillette.ch","gillette.ch")</f>
        <v>gillette.ch</v>
      </c>
      <c r="C27676" t="s">
        <v>429</v>
      </c>
      <c r="D27676" t="s">
        <v>810</v>
      </c>
      <c r="F27676">
        <v>6.2760965236876598E-9</v>
      </c>
      <c r="G27676">
        <v>15146078</v>
      </c>
      <c r="H27676">
        <v>11075787</v>
      </c>
      <c r="I27676">
        <v>32520215</v>
      </c>
      <c r="J27676">
        <v>4</v>
      </c>
    </row>
    <row r="27677" spans="1:10" x14ac:dyDescent="0.25">
      <c r="A27677" t="s">
        <v>310</v>
      </c>
      <c r="B27677" s="1" t="str">
        <f>HYPERLINK("http://pampers.ch","pampers.ch")</f>
        <v>pampers.ch</v>
      </c>
      <c r="C27677" t="s">
        <v>429</v>
      </c>
      <c r="D27677" t="s">
        <v>810</v>
      </c>
      <c r="F27677">
        <v>1.47971159095494E-8</v>
      </c>
      <c r="G27677">
        <v>3908106</v>
      </c>
      <c r="H27677">
        <v>12320034</v>
      </c>
      <c r="I27677">
        <v>20419180</v>
      </c>
      <c r="J27677">
        <v>3</v>
      </c>
    </row>
    <row r="27678" spans="1:10" x14ac:dyDescent="0.25">
      <c r="A27678" t="s">
        <v>310</v>
      </c>
      <c r="B27678" s="1" t="str">
        <f>HYPERLINK("http://oralb.cl","oralb.cl")</f>
        <v>oralb.cl</v>
      </c>
      <c r="C27678" t="s">
        <v>430</v>
      </c>
      <c r="D27678" t="s">
        <v>811</v>
      </c>
      <c r="F27678">
        <v>1.2156519812244799E-8</v>
      </c>
      <c r="G27678">
        <v>5075771</v>
      </c>
      <c r="H27678">
        <v>12999551</v>
      </c>
      <c r="I27678">
        <v>12798162</v>
      </c>
      <c r="J27678">
        <v>4</v>
      </c>
    </row>
    <row r="27679" spans="1:10" x14ac:dyDescent="0.25">
      <c r="A27679" t="s">
        <v>310</v>
      </c>
      <c r="B27679" s="1" t="str">
        <f>HYPERLINK("http://pampers.cl","pampers.cl")</f>
        <v>pampers.cl</v>
      </c>
      <c r="C27679" t="s">
        <v>430</v>
      </c>
      <c r="D27679" t="s">
        <v>811</v>
      </c>
      <c r="F27679">
        <v>2.2611248701659398E-8</v>
      </c>
      <c r="G27679">
        <v>2316309</v>
      </c>
      <c r="H27679">
        <v>13255762</v>
      </c>
      <c r="I27679">
        <v>11057381</v>
      </c>
      <c r="J27679">
        <v>3</v>
      </c>
    </row>
    <row r="27680" spans="1:10" x14ac:dyDescent="0.25">
      <c r="A27680" t="s">
        <v>310</v>
      </c>
      <c r="B27680" s="1" t="str">
        <f>HYPERLINK("http://braun.com.cn","braun.com.cn")</f>
        <v>braun.com.cn</v>
      </c>
      <c r="C27680" t="s">
        <v>431</v>
      </c>
      <c r="D27680" t="s">
        <v>812</v>
      </c>
      <c r="F27680">
        <v>1.34659846245469E-8</v>
      </c>
      <c r="G27680">
        <v>4418348</v>
      </c>
      <c r="H27680">
        <v>12328786</v>
      </c>
      <c r="I27680">
        <v>20228440</v>
      </c>
      <c r="J27680">
        <v>3</v>
      </c>
    </row>
    <row r="27681" spans="1:10" x14ac:dyDescent="0.25">
      <c r="A27681" t="s">
        <v>310</v>
      </c>
      <c r="B27681" s="1" t="str">
        <f>HYPERLINK("http://oralb.com.cn","oralb.com.cn")</f>
        <v>oralb.com.cn</v>
      </c>
      <c r="C27681" t="s">
        <v>431</v>
      </c>
      <c r="D27681" t="s">
        <v>812</v>
      </c>
      <c r="F27681">
        <v>3.39980664937585E-8</v>
      </c>
      <c r="G27681">
        <v>1523066</v>
      </c>
      <c r="H27681">
        <v>14079225</v>
      </c>
      <c r="I27681">
        <v>2835362</v>
      </c>
      <c r="J27681">
        <v>4</v>
      </c>
    </row>
    <row r="27682" spans="1:10" x14ac:dyDescent="0.25">
      <c r="A27682" t="s">
        <v>310</v>
      </c>
      <c r="B27682" s="1" t="str">
        <f>HYPERLINK("http://pg.com.cn","pg.com.cn")</f>
        <v>pg.com.cn</v>
      </c>
      <c r="C27682" t="s">
        <v>431</v>
      </c>
      <c r="D27682" t="s">
        <v>812</v>
      </c>
      <c r="E27682">
        <v>56911</v>
      </c>
      <c r="F27682">
        <v>1.10806647613545E-7</v>
      </c>
      <c r="G27682">
        <v>360810</v>
      </c>
      <c r="H27682">
        <v>14455471</v>
      </c>
      <c r="I27682">
        <v>1049879</v>
      </c>
      <c r="J27682">
        <v>2</v>
      </c>
    </row>
    <row r="27683" spans="1:10" x14ac:dyDescent="0.25">
      <c r="A27683" t="s">
        <v>310</v>
      </c>
      <c r="B27683" s="1" t="str">
        <f>HYPERLINK("http://febreze.com.co","febreze.com.co")</f>
        <v>febreze.com.co</v>
      </c>
      <c r="C27683" t="s">
        <v>432</v>
      </c>
      <c r="J27683">
        <v>2</v>
      </c>
    </row>
    <row r="27684" spans="1:10" x14ac:dyDescent="0.25">
      <c r="A27684" t="s">
        <v>310</v>
      </c>
      <c r="B27684" s="1" t="str">
        <f>HYPERLINK("http://oralb.com.co","oralb.com.co")</f>
        <v>oralb.com.co</v>
      </c>
      <c r="C27684" t="s">
        <v>432</v>
      </c>
      <c r="F27684">
        <v>4.4918803134411097E-9</v>
      </c>
      <c r="G27684">
        <v>60207943</v>
      </c>
      <c r="H27684">
        <v>12044608</v>
      </c>
      <c r="I27684">
        <v>27370687</v>
      </c>
      <c r="J27684">
        <v>4</v>
      </c>
    </row>
    <row r="27685" spans="1:10" x14ac:dyDescent="0.25">
      <c r="A27685" t="s">
        <v>310</v>
      </c>
      <c r="B27685" s="1" t="str">
        <f>HYPERLINK("http://allgooddiapers.com","allgooddiapers.com")</f>
        <v>allgooddiapers.com</v>
      </c>
      <c r="C27685" t="s">
        <v>433</v>
      </c>
      <c r="E27685">
        <v>415622</v>
      </c>
      <c r="F27685">
        <v>1.63691074622299E-8</v>
      </c>
      <c r="G27685">
        <v>3453963</v>
      </c>
      <c r="H27685">
        <v>13239741</v>
      </c>
      <c r="I27685">
        <v>11222957</v>
      </c>
      <c r="J27685">
        <v>2</v>
      </c>
    </row>
    <row r="27686" spans="1:10" x14ac:dyDescent="0.25">
      <c r="A27686" t="s">
        <v>310</v>
      </c>
      <c r="B27686" s="1" t="str">
        <f>HYPERLINK("http://always.com","always.com")</f>
        <v>always.com</v>
      </c>
      <c r="C27686" t="s">
        <v>433</v>
      </c>
      <c r="E27686">
        <v>60360</v>
      </c>
      <c r="F27686">
        <v>6.67371156311862E-7</v>
      </c>
      <c r="G27686">
        <v>57712</v>
      </c>
      <c r="H27686">
        <v>15039963</v>
      </c>
      <c r="I27686">
        <v>416570</v>
      </c>
      <c r="J27686">
        <v>3</v>
      </c>
    </row>
    <row r="27687" spans="1:10" x14ac:dyDescent="0.25">
      <c r="A27687" t="s">
        <v>310</v>
      </c>
      <c r="B27687" s="1" t="str">
        <f>HYPERLINK("http://always-feminine-products-ae.com","always-feminine-products-ae.com")</f>
        <v>always-feminine-products-ae.com</v>
      </c>
      <c r="C27687" t="s">
        <v>433</v>
      </c>
      <c r="J27687">
        <v>2</v>
      </c>
    </row>
    <row r="27688" spans="1:10" x14ac:dyDescent="0.25">
      <c r="A27688" t="s">
        <v>310</v>
      </c>
      <c r="B27688" s="1" t="str">
        <f>HYPERLINK("http://always-feminine-products-sa.com","always-feminine-products-sa.com")</f>
        <v>always-feminine-products-sa.com</v>
      </c>
      <c r="C27688" t="s">
        <v>433</v>
      </c>
      <c r="J27688">
        <v>2</v>
      </c>
    </row>
    <row r="27689" spans="1:10" x14ac:dyDescent="0.25">
      <c r="A27689" t="s">
        <v>310</v>
      </c>
      <c r="B27689" s="1" t="str">
        <f>HYPERLINK("http://alwaysjednazadrugu.com","alwaysjednazadrugu.com")</f>
        <v>alwaysjednazadrugu.com</v>
      </c>
      <c r="C27689" t="s">
        <v>433</v>
      </c>
      <c r="F27689">
        <v>4.4815459481023402E-9</v>
      </c>
      <c r="G27689">
        <v>62039670</v>
      </c>
      <c r="H27689">
        <v>9346931</v>
      </c>
      <c r="I27689">
        <v>68029737</v>
      </c>
      <c r="J27689">
        <v>2</v>
      </c>
    </row>
    <row r="27690" spans="1:10" x14ac:dyDescent="0.25">
      <c r="A27690" t="s">
        <v>310</v>
      </c>
      <c r="B27690" s="1" t="str">
        <f>HYPERLINK("http://arbora-ausonia.com","arbora-ausonia.com")</f>
        <v>arbora-ausonia.com</v>
      </c>
      <c r="C27690" t="s">
        <v>433</v>
      </c>
      <c r="F27690">
        <v>5.4414701737860002E-9</v>
      </c>
      <c r="G27690">
        <v>21600539</v>
      </c>
      <c r="H27690">
        <v>13763952</v>
      </c>
      <c r="I27690">
        <v>7471668</v>
      </c>
      <c r="J27690">
        <v>3</v>
      </c>
    </row>
    <row r="27691" spans="1:10" x14ac:dyDescent="0.25">
      <c r="A27691" t="s">
        <v>310</v>
      </c>
      <c r="B27691" s="1" t="str">
        <f>HYPERLINK("http://ariel-algeria.com","ariel-algeria.com")</f>
        <v>ariel-algeria.com</v>
      </c>
      <c r="C27691" t="s">
        <v>433</v>
      </c>
      <c r="F27691">
        <v>5.1952207901421003E-9</v>
      </c>
      <c r="G27691">
        <v>25248046</v>
      </c>
      <c r="H27691">
        <v>9867183</v>
      </c>
      <c r="I27691">
        <v>62008631</v>
      </c>
      <c r="J27691">
        <v>2</v>
      </c>
    </row>
    <row r="27692" spans="1:10" x14ac:dyDescent="0.25">
      <c r="A27692" t="s">
        <v>310</v>
      </c>
      <c r="B27692" s="1" t="str">
        <f>HYPERLINK("http://ariel-egypt.com","ariel-egypt.com")</f>
        <v>ariel-egypt.com</v>
      </c>
      <c r="C27692" t="s">
        <v>433</v>
      </c>
      <c r="F27692">
        <v>5.1952207901421003E-9</v>
      </c>
      <c r="G27692">
        <v>25248047</v>
      </c>
      <c r="H27692">
        <v>9867183</v>
      </c>
      <c r="I27692">
        <v>62008632</v>
      </c>
      <c r="J27692">
        <v>2</v>
      </c>
    </row>
    <row r="27693" spans="1:10" x14ac:dyDescent="0.25">
      <c r="A27693" t="s">
        <v>310</v>
      </c>
      <c r="B27693" s="1" t="str">
        <f>HYPERLINK("http://ariel-info.com","ariel-info.com")</f>
        <v>ariel-info.com</v>
      </c>
      <c r="C27693" t="s">
        <v>433</v>
      </c>
      <c r="F27693">
        <v>5.6674278951972803E-8</v>
      </c>
      <c r="G27693">
        <v>788651</v>
      </c>
      <c r="H27693">
        <v>16842634</v>
      </c>
      <c r="I27693">
        <v>160280</v>
      </c>
      <c r="J27693">
        <v>2</v>
      </c>
    </row>
    <row r="27694" spans="1:10" x14ac:dyDescent="0.25">
      <c r="A27694" t="s">
        <v>310</v>
      </c>
      <c r="B27694" s="1" t="str">
        <f>HYPERLINK("http://ariel-maroc.com","ariel-maroc.com")</f>
        <v>ariel-maroc.com</v>
      </c>
      <c r="C27694" t="s">
        <v>433</v>
      </c>
      <c r="F27694">
        <v>5.1952207901421003E-9</v>
      </c>
      <c r="G27694">
        <v>25248048</v>
      </c>
      <c r="H27694">
        <v>9867183</v>
      </c>
      <c r="I27694">
        <v>62008633</v>
      </c>
      <c r="J27694">
        <v>2</v>
      </c>
    </row>
    <row r="27695" spans="1:10" x14ac:dyDescent="0.25">
      <c r="A27695" t="s">
        <v>310</v>
      </c>
      <c r="B27695" s="1" t="str">
        <f>HYPERLINK("http://ariel-morocco.com","ariel-morocco.com")</f>
        <v>ariel-morocco.com</v>
      </c>
      <c r="C27695" t="s">
        <v>433</v>
      </c>
      <c r="F27695">
        <v>4.44380395335525E-9</v>
      </c>
      <c r="G27695">
        <v>86811962</v>
      </c>
      <c r="H27695">
        <v>0</v>
      </c>
      <c r="I27695">
        <v>80913383</v>
      </c>
      <c r="J27695">
        <v>2</v>
      </c>
    </row>
    <row r="27696" spans="1:10" x14ac:dyDescent="0.25">
      <c r="A27696" t="s">
        <v>310</v>
      </c>
      <c r="B27696" s="1" t="str">
        <f>HYPERLINK("http://arielarabia.com","arielarabia.com")</f>
        <v>arielarabia.com</v>
      </c>
      <c r="C27696" t="s">
        <v>433</v>
      </c>
      <c r="F27696">
        <v>3.2561613912004202E-8</v>
      </c>
      <c r="G27696">
        <v>1586822</v>
      </c>
      <c r="H27696">
        <v>12442020</v>
      </c>
      <c r="I27696">
        <v>18121060</v>
      </c>
      <c r="J27696">
        <v>2</v>
      </c>
    </row>
    <row r="27697" spans="1:10" x14ac:dyDescent="0.25">
      <c r="A27697" t="s">
        <v>310</v>
      </c>
      <c r="B27697" s="1" t="str">
        <f>HYPERLINK("http://aussie.com","aussie.com")</f>
        <v>aussie.com</v>
      </c>
      <c r="C27697" t="s">
        <v>433</v>
      </c>
      <c r="E27697">
        <v>254679</v>
      </c>
      <c r="F27697">
        <v>6.3341250474656596E-8</v>
      </c>
      <c r="G27697">
        <v>686599</v>
      </c>
      <c r="H27697">
        <v>14669268</v>
      </c>
      <c r="I27697">
        <v>614962</v>
      </c>
      <c r="J27697">
        <v>2</v>
      </c>
    </row>
    <row r="27698" spans="1:10" x14ac:dyDescent="0.25">
      <c r="A27698" t="s">
        <v>310</v>
      </c>
      <c r="B27698" s="1" t="str">
        <f>HYPERLINK("http://aussiehair.com","aussiehair.com")</f>
        <v>aussiehair.com</v>
      </c>
      <c r="C27698" t="s">
        <v>433</v>
      </c>
      <c r="E27698">
        <v>881557</v>
      </c>
      <c r="F27698">
        <v>4.9675612806428699E-8</v>
      </c>
      <c r="G27698">
        <v>929399</v>
      </c>
      <c r="H27698">
        <v>14154672</v>
      </c>
      <c r="I27698">
        <v>1862061</v>
      </c>
      <c r="J27698">
        <v>2</v>
      </c>
    </row>
    <row r="27699" spans="1:10" x14ac:dyDescent="0.25">
      <c r="A27699" t="s">
        <v>310</v>
      </c>
      <c r="B27699" s="1" t="str">
        <f>HYPERLINK("http://bifantis.com","bifantis.com")</f>
        <v>bifantis.com</v>
      </c>
      <c r="C27699" t="s">
        <v>433</v>
      </c>
      <c r="F27699">
        <v>5.7649591848926902E-9</v>
      </c>
      <c r="G27699">
        <v>18367379</v>
      </c>
      <c r="H27699">
        <v>13125082</v>
      </c>
      <c r="I27699">
        <v>11962288</v>
      </c>
      <c r="J27699">
        <v>2</v>
      </c>
    </row>
    <row r="27700" spans="1:10" x14ac:dyDescent="0.25">
      <c r="A27700" t="s">
        <v>310</v>
      </c>
      <c r="B27700" s="1" t="str">
        <f>HYPERLINK("http://bion3.com","bion3.com")</f>
        <v>bion3.com</v>
      </c>
      <c r="C27700" t="s">
        <v>433</v>
      </c>
      <c r="F27700">
        <v>2.26020113810159E-8</v>
      </c>
      <c r="G27700">
        <v>2317288</v>
      </c>
      <c r="H27700">
        <v>12906577</v>
      </c>
      <c r="I27700">
        <v>13817166</v>
      </c>
      <c r="J27700">
        <v>2</v>
      </c>
    </row>
    <row r="27701" spans="1:10" x14ac:dyDescent="0.25">
      <c r="A27701" t="s">
        <v>310</v>
      </c>
      <c r="B27701" s="1" t="str">
        <f>HYPERLINK("http://braun.com","braun.com")</f>
        <v>braun.com</v>
      </c>
      <c r="C27701" t="s">
        <v>433</v>
      </c>
      <c r="E27701">
        <v>26931</v>
      </c>
      <c r="F27701">
        <v>7.7757138825503998E-7</v>
      </c>
      <c r="G27701">
        <v>50370</v>
      </c>
      <c r="H27701">
        <v>17323632</v>
      </c>
      <c r="I27701">
        <v>25501</v>
      </c>
      <c r="J27701">
        <v>2</v>
      </c>
    </row>
    <row r="27702" spans="1:10" x14ac:dyDescent="0.25">
      <c r="A27702" t="s">
        <v>310</v>
      </c>
      <c r="B27702" s="1" t="str">
        <f>HYPERLINK("http://braun-clocks.com","braun-clocks.com")</f>
        <v>braun-clocks.com</v>
      </c>
      <c r="C27702" t="s">
        <v>433</v>
      </c>
      <c r="E27702">
        <v>851041</v>
      </c>
      <c r="F27702">
        <v>7.5285411735754005E-8</v>
      </c>
      <c r="G27702">
        <v>558550</v>
      </c>
      <c r="H27702">
        <v>14279787</v>
      </c>
      <c r="I27702">
        <v>1381774</v>
      </c>
      <c r="J27702">
        <v>3</v>
      </c>
    </row>
    <row r="27703" spans="1:10" x14ac:dyDescent="0.25">
      <c r="A27703" t="s">
        <v>310</v>
      </c>
      <c r="B27703" s="1" t="str">
        <f>HYPERLINK("http://braun-gillette-jp.com","braun-gillette-jp.com")</f>
        <v>braun-gillette-jp.com</v>
      </c>
      <c r="C27703" t="s">
        <v>433</v>
      </c>
      <c r="F27703">
        <v>5.1960249759279998E-9</v>
      </c>
      <c r="G27703">
        <v>25234892</v>
      </c>
      <c r="H27703">
        <v>14092733</v>
      </c>
      <c r="I27703">
        <v>2738430</v>
      </c>
      <c r="J27703">
        <v>2</v>
      </c>
    </row>
    <row r="27704" spans="1:10" x14ac:dyDescent="0.25">
      <c r="A27704" t="s">
        <v>310</v>
      </c>
      <c r="B27704" s="1" t="str">
        <f>HYPERLINK("http://braunhealthcare.com","braunhealthcare.com")</f>
        <v>braunhealthcare.com</v>
      </c>
      <c r="C27704" t="s">
        <v>433</v>
      </c>
      <c r="E27704">
        <v>601973</v>
      </c>
      <c r="F27704">
        <v>7.9718583508855397E-8</v>
      </c>
      <c r="G27704">
        <v>524042</v>
      </c>
      <c r="H27704">
        <v>14584041</v>
      </c>
      <c r="I27704">
        <v>703659</v>
      </c>
      <c r="J27704">
        <v>3</v>
      </c>
    </row>
    <row r="27705" spans="1:10" x14ac:dyDescent="0.25">
      <c r="A27705" t="s">
        <v>310</v>
      </c>
      <c r="B27705" s="1" t="str">
        <f>HYPERLINK("http://braunhousehold.com","braunhousehold.com")</f>
        <v>braunhousehold.com</v>
      </c>
      <c r="C27705" t="s">
        <v>433</v>
      </c>
      <c r="E27705">
        <v>139220</v>
      </c>
      <c r="F27705">
        <v>3.0930829153915802E-7</v>
      </c>
      <c r="G27705">
        <v>120245</v>
      </c>
      <c r="H27705">
        <v>15132900</v>
      </c>
      <c r="I27705">
        <v>402059</v>
      </c>
      <c r="J27705">
        <v>3</v>
      </c>
    </row>
    <row r="27706" spans="1:10" x14ac:dyDescent="0.25">
      <c r="A27706" t="s">
        <v>310</v>
      </c>
      <c r="B27706" s="1" t="str">
        <f>HYPERLINK("http://chaquedegrecompte.com","chaquedegrecompte.com")</f>
        <v>chaquedegrecompte.com</v>
      </c>
      <c r="C27706" t="s">
        <v>433</v>
      </c>
      <c r="F27706">
        <v>6.2700155719603301E-9</v>
      </c>
      <c r="G27706">
        <v>15175389</v>
      </c>
      <c r="H27706">
        <v>12234101</v>
      </c>
      <c r="I27706">
        <v>22401495</v>
      </c>
      <c r="J27706">
        <v>2</v>
      </c>
    </row>
    <row r="27707" spans="1:10" x14ac:dyDescent="0.25">
      <c r="A27707" t="s">
        <v>310</v>
      </c>
      <c r="B27707" s="1" t="str">
        <f>HYPERLINK("http://clearplan.com","clearplan.com")</f>
        <v>clearplan.com</v>
      </c>
      <c r="C27707" t="s">
        <v>433</v>
      </c>
      <c r="F27707">
        <v>4.9808160498210099E-9</v>
      </c>
      <c r="G27707">
        <v>29975054</v>
      </c>
      <c r="H27707">
        <v>13772542</v>
      </c>
      <c r="I27707">
        <v>6657253</v>
      </c>
      <c r="J27707">
        <v>3</v>
      </c>
    </row>
    <row r="27708" spans="1:10" x14ac:dyDescent="0.25">
      <c r="A27708" t="s">
        <v>310</v>
      </c>
      <c r="B27708" s="1" t="str">
        <f>HYPERLINK("http://cloud-pg.com","cloud-pg.com")</f>
        <v>cloud-pg.com</v>
      </c>
      <c r="C27708" t="s">
        <v>433</v>
      </c>
      <c r="E27708">
        <v>464033</v>
      </c>
      <c r="F27708">
        <v>4.4438215809436299E-9</v>
      </c>
      <c r="G27708">
        <v>79192472</v>
      </c>
      <c r="H27708">
        <v>10367000</v>
      </c>
      <c r="I27708">
        <v>54963172</v>
      </c>
      <c r="J27708">
        <v>2</v>
      </c>
    </row>
    <row r="27709" spans="1:10" x14ac:dyDescent="0.25">
      <c r="A27709" t="s">
        <v>310</v>
      </c>
      <c r="B27709" s="1" t="str">
        <f>HYPERLINK("http://crest.com","crest.com")</f>
        <v>crest.com</v>
      </c>
      <c r="C27709" t="s">
        <v>433</v>
      </c>
      <c r="E27709">
        <v>50340</v>
      </c>
      <c r="F27709">
        <v>9.7373115040739597E-7</v>
      </c>
      <c r="G27709">
        <v>39294</v>
      </c>
      <c r="H27709">
        <v>15081498</v>
      </c>
      <c r="I27709">
        <v>409345</v>
      </c>
      <c r="J27709">
        <v>2</v>
      </c>
    </row>
    <row r="27710" spans="1:10" x14ac:dyDescent="0.25">
      <c r="A27710" t="s">
        <v>310</v>
      </c>
      <c r="B27710" s="1" t="str">
        <f>HYPERLINK("http://crestalignercare.com","crestalignercare.com")</f>
        <v>crestalignercare.com</v>
      </c>
      <c r="C27710" t="s">
        <v>433</v>
      </c>
      <c r="J27710">
        <v>2</v>
      </c>
    </row>
    <row r="27711" spans="1:10" x14ac:dyDescent="0.25">
      <c r="A27711" t="s">
        <v>310</v>
      </c>
      <c r="B27711" s="1" t="str">
        <f>HYPERLINK("http://downy.com","downy.com")</f>
        <v>downy.com</v>
      </c>
      <c r="C27711" t="s">
        <v>433</v>
      </c>
      <c r="E27711">
        <v>226332</v>
      </c>
      <c r="F27711">
        <v>1.06624908316798E-7</v>
      </c>
      <c r="G27711">
        <v>375477</v>
      </c>
      <c r="H27711">
        <v>14590773</v>
      </c>
      <c r="I27711">
        <v>695432</v>
      </c>
      <c r="J27711">
        <v>2</v>
      </c>
    </row>
    <row r="27712" spans="1:10" x14ac:dyDescent="0.25">
      <c r="A27712" t="s">
        <v>310</v>
      </c>
      <c r="B27712" s="1" t="str">
        <f>HYPERLINK("http://everydayme.com","everydayme.com")</f>
        <v>everydayme.com</v>
      </c>
      <c r="C27712" t="s">
        <v>433</v>
      </c>
      <c r="F27712">
        <v>6.94457459738461E-9</v>
      </c>
      <c r="G27712">
        <v>12481188</v>
      </c>
      <c r="H27712">
        <v>12416434</v>
      </c>
      <c r="I27712">
        <v>18522236</v>
      </c>
      <c r="J27712">
        <v>2</v>
      </c>
    </row>
    <row r="27713" spans="1:10" x14ac:dyDescent="0.25">
      <c r="A27713" t="s">
        <v>310</v>
      </c>
      <c r="B27713" s="1" t="str">
        <f>HYPERLINK("http://fatergroup.com","fatergroup.com")</f>
        <v>fatergroup.com</v>
      </c>
      <c r="C27713" t="s">
        <v>433</v>
      </c>
      <c r="F27713">
        <v>7.5204580636393696E-8</v>
      </c>
      <c r="G27713">
        <v>559220</v>
      </c>
      <c r="H27713">
        <v>14287726</v>
      </c>
      <c r="I27713">
        <v>1369274</v>
      </c>
      <c r="J27713">
        <v>3</v>
      </c>
    </row>
    <row r="27714" spans="1:10" x14ac:dyDescent="0.25">
      <c r="A27714" t="s">
        <v>310</v>
      </c>
      <c r="B27714" s="1" t="str">
        <f>HYPERLINK("http://femibion.com","femibion.com")</f>
        <v>femibion.com</v>
      </c>
      <c r="C27714" t="s">
        <v>433</v>
      </c>
      <c r="F27714">
        <v>3.6963177254509298E-8</v>
      </c>
      <c r="G27714">
        <v>1404540</v>
      </c>
      <c r="H27714">
        <v>13047989</v>
      </c>
      <c r="I27714">
        <v>12597421</v>
      </c>
      <c r="J27714">
        <v>3</v>
      </c>
    </row>
    <row r="27715" spans="1:10" x14ac:dyDescent="0.25">
      <c r="A27715" t="s">
        <v>310</v>
      </c>
      <c r="B27715" s="1" t="str">
        <f>HYPERLINK("http://gillette.com","gillette.com")</f>
        <v>gillette.com</v>
      </c>
      <c r="C27715" t="s">
        <v>433</v>
      </c>
      <c r="E27715">
        <v>19927</v>
      </c>
      <c r="F27715">
        <v>7.4759865631423402E-7</v>
      </c>
      <c r="G27715">
        <v>52109</v>
      </c>
      <c r="H27715">
        <v>15343648</v>
      </c>
      <c r="I27715">
        <v>383177</v>
      </c>
      <c r="J27715">
        <v>3</v>
      </c>
    </row>
    <row r="27716" spans="1:10" x14ac:dyDescent="0.25">
      <c r="A27716" t="s">
        <v>310</v>
      </c>
      <c r="B27716" s="1" t="str">
        <f>HYPERLINK("http://gillettearabia.com","gillettearabia.com")</f>
        <v>gillettearabia.com</v>
      </c>
      <c r="C27716" t="s">
        <v>433</v>
      </c>
      <c r="F27716">
        <v>1.5770994438591901E-8</v>
      </c>
      <c r="G27716">
        <v>3607895</v>
      </c>
      <c r="H27716">
        <v>12988124</v>
      </c>
      <c r="I27716">
        <v>12879517</v>
      </c>
      <c r="J27716">
        <v>2</v>
      </c>
    </row>
    <row r="27717" spans="1:10" x14ac:dyDescent="0.25">
      <c r="A27717" t="s">
        <v>310</v>
      </c>
      <c r="B27717" s="1" t="str">
        <f>HYPERLINK("http://gillettepakistan.com","gillettepakistan.com")</f>
        <v>gillettepakistan.com</v>
      </c>
      <c r="C27717" t="s">
        <v>433</v>
      </c>
      <c r="F27717">
        <v>7.75816115197651E-9</v>
      </c>
      <c r="G27717">
        <v>10419124</v>
      </c>
      <c r="H27717">
        <v>12083385</v>
      </c>
      <c r="I27717">
        <v>26478421</v>
      </c>
      <c r="J27717">
        <v>3</v>
      </c>
    </row>
    <row r="27718" spans="1:10" x14ac:dyDescent="0.25">
      <c r="A27718" t="s">
        <v>310</v>
      </c>
      <c r="B27718" s="1" t="str">
        <f>HYPERLINK("http://gzxjz.com","gzxjz.com")</f>
        <v>gzxjz.com</v>
      </c>
      <c r="C27718" t="s">
        <v>433</v>
      </c>
      <c r="F27718">
        <v>1.71888036449729E-8</v>
      </c>
      <c r="G27718">
        <v>3228579</v>
      </c>
      <c r="H27718">
        <v>10735220</v>
      </c>
      <c r="I27718">
        <v>40653253</v>
      </c>
      <c r="J27718">
        <v>3</v>
      </c>
    </row>
    <row r="27719" spans="1:10" x14ac:dyDescent="0.25">
      <c r="A27719" t="s">
        <v>310</v>
      </c>
      <c r="B27719" s="1" t="str">
        <f>HYPERLINK("http://headandshoulders.com","headandshoulders.com")</f>
        <v>headandshoulders.com</v>
      </c>
      <c r="C27719" t="s">
        <v>433</v>
      </c>
      <c r="E27719">
        <v>193711</v>
      </c>
      <c r="F27719">
        <v>1.50791558586159E-7</v>
      </c>
      <c r="G27719">
        <v>257611</v>
      </c>
      <c r="H27719">
        <v>14596422</v>
      </c>
      <c r="I27719">
        <v>689520</v>
      </c>
      <c r="J27719">
        <v>3</v>
      </c>
    </row>
    <row r="27720" spans="1:10" x14ac:dyDescent="0.25">
      <c r="A27720" t="s">
        <v>310</v>
      </c>
      <c r="B27720" s="1" t="str">
        <f>HYPERLINK("http://herbalessences-th.com","herbalessences-th.com")</f>
        <v>herbalessences-th.com</v>
      </c>
      <c r="C27720" t="s">
        <v>433</v>
      </c>
      <c r="F27720">
        <v>5.2390334686525197E-9</v>
      </c>
      <c r="G27720">
        <v>24429098</v>
      </c>
      <c r="H27720">
        <v>10718329</v>
      </c>
      <c r="I27720">
        <v>42035459</v>
      </c>
      <c r="J27720">
        <v>3</v>
      </c>
    </row>
    <row r="27721" spans="1:10" x14ac:dyDescent="0.25">
      <c r="A27721" t="s">
        <v>310</v>
      </c>
      <c r="B27721" s="1" t="str">
        <f>HYPERLINK("http://ilabsus.com","ilabsus.com")</f>
        <v>ilabsus.com</v>
      </c>
      <c r="C27721" t="s">
        <v>433</v>
      </c>
      <c r="F27721">
        <v>8.1937479473461204E-9</v>
      </c>
      <c r="G27721">
        <v>9581479</v>
      </c>
      <c r="H27721">
        <v>12787791</v>
      </c>
      <c r="I27721">
        <v>14700097</v>
      </c>
      <c r="J27721">
        <v>2</v>
      </c>
    </row>
    <row r="27722" spans="1:10" x14ac:dyDescent="0.25">
      <c r="A27722" t="s">
        <v>310</v>
      </c>
      <c r="B27722" s="1" t="str">
        <f>HYPERLINK("http://ilovegain.com","ilovegain.com")</f>
        <v>ilovegain.com</v>
      </c>
      <c r="C27722" t="s">
        <v>433</v>
      </c>
      <c r="E27722">
        <v>78497</v>
      </c>
      <c r="F27722">
        <v>6.5873712353941504E-8</v>
      </c>
      <c r="G27722">
        <v>651817</v>
      </c>
      <c r="H27722">
        <v>14837894</v>
      </c>
      <c r="I27722">
        <v>499377</v>
      </c>
      <c r="J27722">
        <v>2</v>
      </c>
    </row>
    <row r="27723" spans="1:10" x14ac:dyDescent="0.25">
      <c r="A27723" t="s">
        <v>310</v>
      </c>
      <c r="B27723" s="1" t="str">
        <f>HYPERLINK("http://imflux.com","imflux.com")</f>
        <v>imflux.com</v>
      </c>
      <c r="C27723" t="s">
        <v>433</v>
      </c>
      <c r="F27723">
        <v>2.3458406032138301E-8</v>
      </c>
      <c r="G27723">
        <v>2219269</v>
      </c>
      <c r="H27723">
        <v>13870306</v>
      </c>
      <c r="I27723">
        <v>5999314</v>
      </c>
      <c r="J27723">
        <v>3</v>
      </c>
    </row>
    <row r="27724" spans="1:10" x14ac:dyDescent="0.25">
      <c r="A27724" t="s">
        <v>310</v>
      </c>
      <c r="B27724" s="1" t="str">
        <f>HYPERLINK("http://info-pg.com","info-pg.com")</f>
        <v>info-pg.com</v>
      </c>
      <c r="C27724" t="s">
        <v>433</v>
      </c>
      <c r="F27724">
        <v>2.8814479295315201E-8</v>
      </c>
      <c r="G27724">
        <v>1786290</v>
      </c>
      <c r="H27724">
        <v>14162915</v>
      </c>
      <c r="I27724">
        <v>1831201</v>
      </c>
      <c r="J27724">
        <v>2</v>
      </c>
    </row>
    <row r="27725" spans="1:10" x14ac:dyDescent="0.25">
      <c r="A27725" t="s">
        <v>310</v>
      </c>
      <c r="B27725" s="1" t="str">
        <f>HYPERLINK("http://metamucil.com","metamucil.com")</f>
        <v>metamucil.com</v>
      </c>
      <c r="C27725" t="s">
        <v>433</v>
      </c>
      <c r="E27725">
        <v>144643</v>
      </c>
      <c r="F27725">
        <v>1.5265368853142301E-7</v>
      </c>
      <c r="G27725">
        <v>254424</v>
      </c>
      <c r="H27725">
        <v>14725888</v>
      </c>
      <c r="I27725">
        <v>575469</v>
      </c>
      <c r="J27725">
        <v>2</v>
      </c>
    </row>
    <row r="27726" spans="1:10" x14ac:dyDescent="0.25">
      <c r="A27726" t="s">
        <v>310</v>
      </c>
      <c r="B27726" s="1" t="str">
        <f>HYPERLINK("http://metawellness.com","metawellness.com")</f>
        <v>metawellness.com</v>
      </c>
      <c r="C27726" t="s">
        <v>433</v>
      </c>
      <c r="F27726">
        <v>3.7590499920652397E-8</v>
      </c>
      <c r="G27726">
        <v>1376635</v>
      </c>
      <c r="H27726">
        <v>13823496</v>
      </c>
      <c r="I27726">
        <v>6133369</v>
      </c>
      <c r="J27726">
        <v>2</v>
      </c>
    </row>
    <row r="27727" spans="1:10" x14ac:dyDescent="0.25">
      <c r="A27727" t="s">
        <v>310</v>
      </c>
      <c r="B27727" s="1" t="str">
        <f>HYPERLINK("http://microban24.com","microban24.com")</f>
        <v>microban24.com</v>
      </c>
      <c r="C27727" t="s">
        <v>433</v>
      </c>
      <c r="E27727">
        <v>110502</v>
      </c>
      <c r="F27727">
        <v>3.2221598313993399E-8</v>
      </c>
      <c r="G27727">
        <v>1604811</v>
      </c>
      <c r="H27727">
        <v>13906868</v>
      </c>
      <c r="I27727">
        <v>5945004</v>
      </c>
      <c r="J27727">
        <v>2</v>
      </c>
    </row>
    <row r="27728" spans="1:10" x14ac:dyDescent="0.25">
      <c r="A27728" t="s">
        <v>310</v>
      </c>
      <c r="B27728" s="1" t="str">
        <f>HYPERLINK("http://nativecos.com","nativecos.com")</f>
        <v>nativecos.com</v>
      </c>
      <c r="C27728" t="s">
        <v>433</v>
      </c>
      <c r="E27728">
        <v>69343</v>
      </c>
      <c r="F27728">
        <v>5.84644414288473E-7</v>
      </c>
      <c r="G27728">
        <v>65372</v>
      </c>
      <c r="H27728">
        <v>14715098</v>
      </c>
      <c r="I27728">
        <v>580930</v>
      </c>
      <c r="J27728">
        <v>3</v>
      </c>
    </row>
    <row r="27729" spans="1:10" x14ac:dyDescent="0.25">
      <c r="A27729" t="s">
        <v>310</v>
      </c>
      <c r="B27729" s="1" t="str">
        <f>HYPERLINK("http://np-cloud-pg.com","np-cloud-pg.com")</f>
        <v>np-cloud-pg.com</v>
      </c>
      <c r="C27729" t="s">
        <v>433</v>
      </c>
      <c r="F27729">
        <v>4.44380927664388E-9</v>
      </c>
      <c r="G27729">
        <v>79806486</v>
      </c>
      <c r="H27729">
        <v>10352960</v>
      </c>
      <c r="I27729">
        <v>55948818</v>
      </c>
      <c r="J27729">
        <v>2</v>
      </c>
    </row>
    <row r="27730" spans="1:10" x14ac:dyDescent="0.25">
      <c r="A27730" t="s">
        <v>310</v>
      </c>
      <c r="B27730" s="1" t="str">
        <f>HYPERLINK("http://o2o-pg.com","o2o-pg.com")</f>
        <v>o2o-pg.com</v>
      </c>
      <c r="C27730" t="s">
        <v>433</v>
      </c>
      <c r="F27730">
        <v>5.61321896801715E-9</v>
      </c>
      <c r="G27730">
        <v>19730879</v>
      </c>
      <c r="H27730">
        <v>12028336</v>
      </c>
      <c r="I27730">
        <v>27692763</v>
      </c>
      <c r="J27730">
        <v>2</v>
      </c>
    </row>
    <row r="27731" spans="1:10" x14ac:dyDescent="0.25">
      <c r="A27731" t="s">
        <v>310</v>
      </c>
      <c r="B27731" s="1" t="str">
        <f>HYPERLINK("http://olayskinadvisor.com","olayskinadvisor.com")</f>
        <v>olayskinadvisor.com</v>
      </c>
      <c r="C27731" t="s">
        <v>433</v>
      </c>
      <c r="F27731">
        <v>5.2541591750640802E-9</v>
      </c>
      <c r="G27731">
        <v>24194773</v>
      </c>
      <c r="H27731">
        <v>13443639</v>
      </c>
      <c r="I27731">
        <v>10231260</v>
      </c>
      <c r="J27731">
        <v>2</v>
      </c>
    </row>
    <row r="27732" spans="1:10" x14ac:dyDescent="0.25">
      <c r="A27732" t="s">
        <v>310</v>
      </c>
      <c r="B27732" s="1" t="str">
        <f>HYPERLINK("http://oldspice.com","oldspice.com")</f>
        <v>oldspice.com</v>
      </c>
      <c r="C27732" t="s">
        <v>433</v>
      </c>
      <c r="E27732">
        <v>100973</v>
      </c>
      <c r="F27732">
        <v>4.9017170772206197E-7</v>
      </c>
      <c r="G27732">
        <v>77792</v>
      </c>
      <c r="H27732">
        <v>14988550</v>
      </c>
      <c r="I27732">
        <v>428677</v>
      </c>
      <c r="J27732">
        <v>2</v>
      </c>
    </row>
    <row r="27733" spans="1:10" x14ac:dyDescent="0.25">
      <c r="A27733" t="s">
        <v>310</v>
      </c>
      <c r="B27733" s="1" t="str">
        <f>HYPERLINK("http://oral-b.com","oral-b.com")</f>
        <v>oral-b.com</v>
      </c>
      <c r="C27733" t="s">
        <v>433</v>
      </c>
      <c r="F27733">
        <v>2.9096892487229899E-8</v>
      </c>
      <c r="G27733">
        <v>1769729</v>
      </c>
      <c r="H27733">
        <v>13772962</v>
      </c>
      <c r="I27733">
        <v>6644013</v>
      </c>
      <c r="J27733">
        <v>4</v>
      </c>
    </row>
    <row r="27734" spans="1:10" x14ac:dyDescent="0.25">
      <c r="A27734" t="s">
        <v>310</v>
      </c>
      <c r="B27734" s="1" t="str">
        <f>HYPERLINK("http://oralb.com","oralb.com")</f>
        <v>oralb.com</v>
      </c>
      <c r="C27734" t="s">
        <v>433</v>
      </c>
      <c r="E27734">
        <v>19964</v>
      </c>
      <c r="F27734">
        <v>1.1112607115027699E-6</v>
      </c>
      <c r="G27734">
        <v>34644</v>
      </c>
      <c r="H27734">
        <v>15023630</v>
      </c>
      <c r="I27734">
        <v>420100</v>
      </c>
      <c r="J27734">
        <v>3</v>
      </c>
    </row>
    <row r="27735" spans="1:10" x14ac:dyDescent="0.25">
      <c r="A27735" t="s">
        <v>310</v>
      </c>
      <c r="B27735" s="1" t="str">
        <f>HYPERLINK("http://oralb-latam.com","oralb-latam.com")</f>
        <v>oralb-latam.com</v>
      </c>
      <c r="C27735" t="s">
        <v>433</v>
      </c>
      <c r="F27735">
        <v>1.3889701265777801E-8</v>
      </c>
      <c r="G27735">
        <v>4245060</v>
      </c>
      <c r="H27735">
        <v>13560131</v>
      </c>
      <c r="I27735">
        <v>9852197</v>
      </c>
      <c r="J27735">
        <v>4</v>
      </c>
    </row>
    <row r="27736" spans="1:10" x14ac:dyDescent="0.25">
      <c r="A27736" t="s">
        <v>310</v>
      </c>
      <c r="B27736" s="1" t="str">
        <f>HYPERLINK("http://oralbarabia.com","oralbarabia.com")</f>
        <v>oralbarabia.com</v>
      </c>
      <c r="C27736" t="s">
        <v>433</v>
      </c>
      <c r="F27736">
        <v>3.3466647812966402E-8</v>
      </c>
      <c r="G27736">
        <v>1544689</v>
      </c>
      <c r="H27736">
        <v>12368038</v>
      </c>
      <c r="I27736">
        <v>19448144</v>
      </c>
      <c r="J27736">
        <v>4</v>
      </c>
    </row>
    <row r="27737" spans="1:10" x14ac:dyDescent="0.25">
      <c r="A27737" t="s">
        <v>310</v>
      </c>
      <c r="B27737" s="1" t="str">
        <f>HYPERLINK("http://pampers.com","pampers.com")</f>
        <v>pampers.com</v>
      </c>
      <c r="C27737" t="s">
        <v>433</v>
      </c>
      <c r="E27737">
        <v>10587</v>
      </c>
      <c r="F27737">
        <v>7.4801867713530003E-7</v>
      </c>
      <c r="G27737">
        <v>52087</v>
      </c>
      <c r="H27737">
        <v>17478654</v>
      </c>
      <c r="I27737">
        <v>14683</v>
      </c>
      <c r="J27737">
        <v>3</v>
      </c>
    </row>
    <row r="27738" spans="1:10" x14ac:dyDescent="0.25">
      <c r="A27738" t="s">
        <v>310</v>
      </c>
      <c r="B27738" s="1" t="str">
        <f>HYPERLINK("http://pamperslatam.com","pamperslatam.com")</f>
        <v>pamperslatam.com</v>
      </c>
      <c r="C27738" t="s">
        <v>433</v>
      </c>
      <c r="F27738">
        <v>1.47614491006951E-8</v>
      </c>
      <c r="G27738">
        <v>3920154</v>
      </c>
      <c r="H27738">
        <v>12265037</v>
      </c>
      <c r="I27738">
        <v>21634548</v>
      </c>
      <c r="J27738">
        <v>2</v>
      </c>
    </row>
    <row r="27739" spans="1:10" x14ac:dyDescent="0.25">
      <c r="A27739" t="s">
        <v>310</v>
      </c>
      <c r="B27739" s="1" t="str">
        <f>HYPERLINK("http://pantene.com","pantene.com")</f>
        <v>pantene.com</v>
      </c>
      <c r="C27739" t="s">
        <v>433</v>
      </c>
      <c r="E27739">
        <v>65334</v>
      </c>
      <c r="F27739">
        <v>2.4708845330409999E-7</v>
      </c>
      <c r="G27739">
        <v>151405</v>
      </c>
      <c r="H27739">
        <v>15084529</v>
      </c>
      <c r="I27739">
        <v>408895</v>
      </c>
      <c r="J27739">
        <v>3</v>
      </c>
    </row>
    <row r="27740" spans="1:10" x14ac:dyDescent="0.25">
      <c r="A27740" t="s">
        <v>310</v>
      </c>
      <c r="B27740" s="1" t="str">
        <f>HYPERLINK("http://pg.com","pg.com")</f>
        <v>pg.com</v>
      </c>
      <c r="C27740" t="s">
        <v>433</v>
      </c>
      <c r="E27740">
        <v>7321</v>
      </c>
      <c r="F27740">
        <v>6.29162762999425E-6</v>
      </c>
      <c r="G27740">
        <v>5436</v>
      </c>
      <c r="H27740">
        <v>17732586</v>
      </c>
      <c r="I27740">
        <v>6688</v>
      </c>
      <c r="J27740">
        <v>1</v>
      </c>
    </row>
    <row r="27741" spans="1:10" x14ac:dyDescent="0.25">
      <c r="A27741" t="s">
        <v>310</v>
      </c>
      <c r="B27741" s="1" t="str">
        <f>HYPERLINK("http://pgbalkans.com","pgbalkans.com")</f>
        <v>pgbalkans.com</v>
      </c>
      <c r="C27741" t="s">
        <v>433</v>
      </c>
      <c r="F27741">
        <v>4.1147138938910997E-8</v>
      </c>
      <c r="G27741">
        <v>1261704</v>
      </c>
      <c r="H27741">
        <v>14237243</v>
      </c>
      <c r="I27741">
        <v>1556144</v>
      </c>
      <c r="J27741">
        <v>3</v>
      </c>
    </row>
    <row r="27742" spans="1:10" x14ac:dyDescent="0.25">
      <c r="A27742" t="s">
        <v>310</v>
      </c>
      <c r="B27742" s="1" t="str">
        <f>HYPERLINK("http://pgcloud.com","pgcloud.com")</f>
        <v>pgcloud.com</v>
      </c>
      <c r="C27742" t="s">
        <v>433</v>
      </c>
      <c r="E27742">
        <v>127529</v>
      </c>
      <c r="F27742">
        <v>4.4438181532146099E-9</v>
      </c>
      <c r="G27742">
        <v>79256905</v>
      </c>
      <c r="H27742">
        <v>10352276</v>
      </c>
      <c r="I27742">
        <v>56067522</v>
      </c>
      <c r="J27742">
        <v>2</v>
      </c>
    </row>
    <row r="27743" spans="1:10" x14ac:dyDescent="0.25">
      <c r="A27743" t="s">
        <v>310</v>
      </c>
      <c r="B27743" s="1" t="str">
        <f>HYPERLINK("http://pgcorporateathlete.com","pgcorporateathlete.com")</f>
        <v>pgcorporateathlete.com</v>
      </c>
      <c r="C27743" t="s">
        <v>433</v>
      </c>
      <c r="J27743">
        <v>2</v>
      </c>
    </row>
    <row r="27744" spans="1:10" x14ac:dyDescent="0.25">
      <c r="A27744" t="s">
        <v>310</v>
      </c>
      <c r="B27744" s="1" t="str">
        <f>HYPERLINK("http://pgeveryday.com","pgeveryday.com")</f>
        <v>pgeveryday.com</v>
      </c>
      <c r="C27744" t="s">
        <v>433</v>
      </c>
      <c r="E27744">
        <v>290142</v>
      </c>
      <c r="F27744">
        <v>3.0991926840538002E-7</v>
      </c>
      <c r="G27744">
        <v>120007</v>
      </c>
      <c r="H27744">
        <v>14282497</v>
      </c>
      <c r="I27744">
        <v>1376455</v>
      </c>
      <c r="J27744">
        <v>2</v>
      </c>
    </row>
    <row r="27745" spans="1:10" x14ac:dyDescent="0.25">
      <c r="A27745" t="s">
        <v>310</v>
      </c>
      <c r="B27745" s="1" t="str">
        <f>HYPERLINK("http://pghealthindia.com","pghealthindia.com")</f>
        <v>pghealthindia.com</v>
      </c>
      <c r="C27745" t="s">
        <v>433</v>
      </c>
      <c r="F27745">
        <v>1.02308750312687E-8</v>
      </c>
      <c r="G27745">
        <v>6516848</v>
      </c>
      <c r="H27745">
        <v>12577079</v>
      </c>
      <c r="I27745">
        <v>16547070</v>
      </c>
      <c r="J27745">
        <v>2</v>
      </c>
    </row>
    <row r="27746" spans="1:10" x14ac:dyDescent="0.25">
      <c r="A27746" t="s">
        <v>310</v>
      </c>
      <c r="B27746" s="1" t="str">
        <f>HYPERLINK("http://pglifelab.com","pglifelab.com")</f>
        <v>pglifelab.com</v>
      </c>
      <c r="C27746" t="s">
        <v>433</v>
      </c>
      <c r="F27746">
        <v>3.2475286531418402E-8</v>
      </c>
      <c r="G27746">
        <v>1590959</v>
      </c>
      <c r="H27746">
        <v>13985026</v>
      </c>
      <c r="I27746">
        <v>4041460</v>
      </c>
      <c r="J27746">
        <v>4</v>
      </c>
    </row>
    <row r="27747" spans="1:10" x14ac:dyDescent="0.25">
      <c r="A27747" t="s">
        <v>310</v>
      </c>
      <c r="B27747" s="1" t="str">
        <f>HYPERLINK("http://pgregdoc.com","pgregdoc.com")</f>
        <v>pgregdoc.com</v>
      </c>
      <c r="C27747" t="s">
        <v>433</v>
      </c>
      <c r="E27747">
        <v>546804</v>
      </c>
      <c r="F27747">
        <v>1.5321015535183401E-8</v>
      </c>
      <c r="G27747">
        <v>3739483</v>
      </c>
      <c r="H27747">
        <v>12370163</v>
      </c>
      <c r="I27747">
        <v>19410913</v>
      </c>
      <c r="J27747">
        <v>2</v>
      </c>
    </row>
    <row r="27748" spans="1:10" x14ac:dyDescent="0.25">
      <c r="A27748" t="s">
        <v>310</v>
      </c>
      <c r="B27748" s="1" t="str">
        <f>HYPERLINK("http://pgregistro.com","pgregistro.com")</f>
        <v>pgregistro.com</v>
      </c>
      <c r="C27748" t="s">
        <v>433</v>
      </c>
      <c r="J27748">
        <v>2</v>
      </c>
    </row>
    <row r="27749" spans="1:10" x14ac:dyDescent="0.25">
      <c r="A27749" t="s">
        <v>310</v>
      </c>
      <c r="B27749" s="1" t="str">
        <f>HYPERLINK("http://pgsitecore.com","pgsitecore.com")</f>
        <v>pgsitecore.com</v>
      </c>
      <c r="C27749" t="s">
        <v>433</v>
      </c>
      <c r="E27749">
        <v>359726</v>
      </c>
      <c r="F27749">
        <v>1.7979140779545099E-7</v>
      </c>
      <c r="G27749">
        <v>214864</v>
      </c>
      <c r="H27749">
        <v>14345795</v>
      </c>
      <c r="I27749">
        <v>1312341</v>
      </c>
      <c r="J27749">
        <v>2</v>
      </c>
    </row>
    <row r="27750" spans="1:10" x14ac:dyDescent="0.25">
      <c r="A27750" t="s">
        <v>310</v>
      </c>
      <c r="B27750" s="1" t="str">
        <f>HYPERLINK("http://pgtry.com","pgtry.com")</f>
        <v>pgtry.com</v>
      </c>
      <c r="C27750" t="s">
        <v>433</v>
      </c>
      <c r="F27750">
        <v>9.1761298246237695E-9</v>
      </c>
      <c r="G27750">
        <v>7741999</v>
      </c>
      <c r="H27750">
        <v>12498467</v>
      </c>
      <c r="I27750">
        <v>17376759</v>
      </c>
      <c r="J27750">
        <v>2</v>
      </c>
    </row>
    <row r="27751" spans="1:10" x14ac:dyDescent="0.25">
      <c r="A27751" t="s">
        <v>310</v>
      </c>
      <c r="B27751" s="1" t="str">
        <f>HYPERLINK("http://safeguardna.com","safeguardna.com")</f>
        <v>safeguardna.com</v>
      </c>
      <c r="C27751" t="s">
        <v>433</v>
      </c>
      <c r="F27751">
        <v>1.3025281617571099E-8</v>
      </c>
      <c r="G27751">
        <v>4619885</v>
      </c>
      <c r="H27751">
        <v>12392359</v>
      </c>
      <c r="I27751">
        <v>18992423</v>
      </c>
      <c r="J27751">
        <v>2</v>
      </c>
    </row>
    <row r="27752" spans="1:10" x14ac:dyDescent="0.25">
      <c r="A27752" t="s">
        <v>310</v>
      </c>
      <c r="B27752" s="1" t="str">
        <f>HYPERLINK("http://sk-ii.com","sk-ii.com")</f>
        <v>sk-ii.com</v>
      </c>
      <c r="C27752" t="s">
        <v>433</v>
      </c>
      <c r="E27752">
        <v>170112</v>
      </c>
      <c r="F27752">
        <v>2.0922514357814799E-7</v>
      </c>
      <c r="G27752">
        <v>180884</v>
      </c>
      <c r="H27752">
        <v>14645708</v>
      </c>
      <c r="I27752">
        <v>632742</v>
      </c>
      <c r="J27752">
        <v>2</v>
      </c>
    </row>
    <row r="27753" spans="1:10" x14ac:dyDescent="0.25">
      <c r="A27753" t="s">
        <v>310</v>
      </c>
      <c r="B27753" s="1" t="str">
        <f>HYPERLINK("http://tampax.com","tampax.com")</f>
        <v>tampax.com</v>
      </c>
      <c r="C27753" t="s">
        <v>433</v>
      </c>
      <c r="E27753">
        <v>205304</v>
      </c>
      <c r="F27753">
        <v>1.53626375514772E-7</v>
      </c>
      <c r="G27753">
        <v>252835</v>
      </c>
      <c r="H27753">
        <v>14641560</v>
      </c>
      <c r="I27753">
        <v>636174</v>
      </c>
      <c r="J27753">
        <v>3</v>
      </c>
    </row>
    <row r="27754" spans="1:10" x14ac:dyDescent="0.25">
      <c r="A27754" t="s">
        <v>310</v>
      </c>
      <c r="B27754" s="1" t="str">
        <f>HYPERLINK("http://tampaxcup.com","tampaxcup.com")</f>
        <v>tampaxcup.com</v>
      </c>
      <c r="C27754" t="s">
        <v>433</v>
      </c>
      <c r="F27754">
        <v>6.4172171184562104E-9</v>
      </c>
      <c r="G27754">
        <v>14438357</v>
      </c>
      <c r="H27754">
        <v>13111307</v>
      </c>
      <c r="I27754">
        <v>12031554</v>
      </c>
      <c r="J27754">
        <v>2</v>
      </c>
    </row>
    <row r="27755" spans="1:10" x14ac:dyDescent="0.25">
      <c r="A27755" t="s">
        <v>310</v>
      </c>
      <c r="B27755" s="1" t="str">
        <f>HYPERLINK("http://theartofshaving.com","theartofshaving.com")</f>
        <v>theartofshaving.com</v>
      </c>
      <c r="C27755" t="s">
        <v>433</v>
      </c>
      <c r="E27755">
        <v>112103</v>
      </c>
      <c r="F27755">
        <v>1.60438133796261E-7</v>
      </c>
      <c r="G27755">
        <v>241940</v>
      </c>
      <c r="H27755">
        <v>14425214</v>
      </c>
      <c r="I27755">
        <v>1080532</v>
      </c>
      <c r="J27755">
        <v>3</v>
      </c>
    </row>
    <row r="27756" spans="1:10" x14ac:dyDescent="0.25">
      <c r="A27756" t="s">
        <v>310</v>
      </c>
      <c r="B27756" s="1" t="str">
        <f>HYPERLINK("http://theouai.com","theouai.com")</f>
        <v>theouai.com</v>
      </c>
      <c r="C27756" t="s">
        <v>433</v>
      </c>
      <c r="E27756">
        <v>143562</v>
      </c>
      <c r="F27756">
        <v>3.2550403229071601E-7</v>
      </c>
      <c r="G27756">
        <v>114429</v>
      </c>
      <c r="H27756">
        <v>17196740</v>
      </c>
      <c r="I27756">
        <v>42394</v>
      </c>
      <c r="J27756">
        <v>3</v>
      </c>
    </row>
    <row r="27757" spans="1:10" x14ac:dyDescent="0.25">
      <c r="A27757" t="s">
        <v>310</v>
      </c>
      <c r="B27757" s="1" t="str">
        <f>HYPERLINK("http://thisisl.com","thisisl.com")</f>
        <v>thisisl.com</v>
      </c>
      <c r="C27757" t="s">
        <v>433</v>
      </c>
      <c r="E27757">
        <v>261524</v>
      </c>
      <c r="F27757">
        <v>1.65394273671043E-7</v>
      </c>
      <c r="G27757">
        <v>234680</v>
      </c>
      <c r="H27757">
        <v>14542477</v>
      </c>
      <c r="I27757">
        <v>773123</v>
      </c>
      <c r="J27757">
        <v>3</v>
      </c>
    </row>
    <row r="27758" spans="1:10" x14ac:dyDescent="0.25">
      <c r="A27758" t="s">
        <v>310</v>
      </c>
      <c r="B27758" s="1" t="str">
        <f>HYPERLINK("http://tidecleaners.com","tidecleaners.com")</f>
        <v>tidecleaners.com</v>
      </c>
      <c r="C27758" t="s">
        <v>433</v>
      </c>
      <c r="E27758">
        <v>178783</v>
      </c>
      <c r="F27758">
        <v>1.0901545539797199E-7</v>
      </c>
      <c r="G27758">
        <v>366977</v>
      </c>
      <c r="H27758">
        <v>14361488</v>
      </c>
      <c r="I27758">
        <v>1303939</v>
      </c>
      <c r="J27758">
        <v>2</v>
      </c>
    </row>
    <row r="27759" spans="1:10" x14ac:dyDescent="0.25">
      <c r="A27759" t="s">
        <v>310</v>
      </c>
      <c r="B27759" s="1" t="str">
        <f>HYPERLINK("http://tidedrycleaners.com","tidedrycleaners.com")</f>
        <v>tidedrycleaners.com</v>
      </c>
      <c r="C27759" t="s">
        <v>433</v>
      </c>
      <c r="F27759">
        <v>1.9726091927028899E-8</v>
      </c>
      <c r="G27759">
        <v>2704965</v>
      </c>
      <c r="H27759">
        <v>13798021</v>
      </c>
      <c r="I27759">
        <v>6293857</v>
      </c>
      <c r="J27759">
        <v>3</v>
      </c>
    </row>
    <row r="27760" spans="1:10" x14ac:dyDescent="0.25">
      <c r="A27760" t="s">
        <v>310</v>
      </c>
      <c r="B27760" s="1" t="str">
        <f>HYPERLINK("http://tidedrycleanerstpa.com","tidedrycleanerstpa.com")</f>
        <v>tidedrycleanerstpa.com</v>
      </c>
      <c r="C27760" t="s">
        <v>433</v>
      </c>
      <c r="J27760">
        <v>2</v>
      </c>
    </row>
    <row r="27761" spans="1:10" x14ac:dyDescent="0.25">
      <c r="A27761" t="s">
        <v>310</v>
      </c>
      <c r="B27761" s="1" t="str">
        <f>HYPERLINK("http://tulaforlife.com","tulaforlife.com")</f>
        <v>tulaforlife.com</v>
      </c>
      <c r="C27761" t="s">
        <v>433</v>
      </c>
      <c r="F27761">
        <v>1.1381563643217E-8</v>
      </c>
      <c r="G27761">
        <v>5586677</v>
      </c>
      <c r="H27761">
        <v>14047023</v>
      </c>
      <c r="I27761">
        <v>3898833</v>
      </c>
      <c r="J27761">
        <v>4</v>
      </c>
    </row>
    <row r="27762" spans="1:10" x14ac:dyDescent="0.25">
      <c r="A27762" t="s">
        <v>310</v>
      </c>
      <c r="B27762" s="1" t="str">
        <f>HYPERLINK("http://usepressbox.com","usepressbox.com")</f>
        <v>usepressbox.com</v>
      </c>
      <c r="C27762" t="s">
        <v>433</v>
      </c>
      <c r="F27762">
        <v>1.8590502565342301E-8</v>
      </c>
      <c r="G27762">
        <v>2909069</v>
      </c>
      <c r="H27762">
        <v>14060368</v>
      </c>
      <c r="I27762">
        <v>3886700</v>
      </c>
      <c r="J27762">
        <v>5</v>
      </c>
    </row>
    <row r="27763" spans="1:10" x14ac:dyDescent="0.25">
      <c r="A27763" t="s">
        <v>310</v>
      </c>
      <c r="B27763" s="1" t="str">
        <f>HYPERLINK("http://vickcentroamerica.com","vickcentroamerica.com")</f>
        <v>vickcentroamerica.com</v>
      </c>
      <c r="C27763" t="s">
        <v>433</v>
      </c>
      <c r="F27763">
        <v>4.5818794533261699E-9</v>
      </c>
      <c r="G27763">
        <v>49133740</v>
      </c>
      <c r="H27763">
        <v>8580948</v>
      </c>
      <c r="I27763">
        <v>70966936</v>
      </c>
      <c r="J27763">
        <v>2</v>
      </c>
    </row>
    <row r="27764" spans="1:10" x14ac:dyDescent="0.25">
      <c r="A27764" t="s">
        <v>310</v>
      </c>
      <c r="B27764" s="1" t="str">
        <f>HYPERLINK("http://vicks.com","vicks.com")</f>
        <v>vicks.com</v>
      </c>
      <c r="C27764" t="s">
        <v>433</v>
      </c>
      <c r="E27764">
        <v>58925</v>
      </c>
      <c r="F27764">
        <v>1.5178309777112901E-7</v>
      </c>
      <c r="G27764">
        <v>255886</v>
      </c>
      <c r="H27764">
        <v>15064991</v>
      </c>
      <c r="I27764">
        <v>411956</v>
      </c>
      <c r="J27764">
        <v>3</v>
      </c>
    </row>
    <row r="27765" spans="1:10" x14ac:dyDescent="0.25">
      <c r="A27765" t="s">
        <v>310</v>
      </c>
      <c r="B27765" s="1" t="str">
        <f>HYPERLINK("http://vigantol.com","vigantol.com")</f>
        <v>vigantol.com</v>
      </c>
      <c r="C27765" t="s">
        <v>433</v>
      </c>
      <c r="F27765">
        <v>3.0794203185481402E-8</v>
      </c>
      <c r="G27765">
        <v>1672799</v>
      </c>
      <c r="H27765">
        <v>11124999</v>
      </c>
      <c r="I27765">
        <v>32002670</v>
      </c>
      <c r="J27765">
        <v>2</v>
      </c>
    </row>
    <row r="27766" spans="1:10" x14ac:dyDescent="0.25">
      <c r="A27766" t="s">
        <v>310</v>
      </c>
      <c r="B27766" s="1" t="str">
        <f>HYPERLINK("http://vigantolvit.com","vigantolvit.com")</f>
        <v>vigantolvit.com</v>
      </c>
      <c r="C27766" t="s">
        <v>433</v>
      </c>
      <c r="F27766">
        <v>1.32486004434918E-8</v>
      </c>
      <c r="G27766">
        <v>4516379</v>
      </c>
      <c r="H27766">
        <v>12064285</v>
      </c>
      <c r="I27766">
        <v>26914052</v>
      </c>
      <c r="J27766">
        <v>2</v>
      </c>
    </row>
    <row r="27767" spans="1:10" x14ac:dyDescent="0.25">
      <c r="A27767" t="s">
        <v>310</v>
      </c>
      <c r="B27767" s="1" t="str">
        <f>HYPERLINK("http://vipclub-la.com","vipclub-la.com")</f>
        <v>vipclub-la.com</v>
      </c>
      <c r="C27767" t="s">
        <v>433</v>
      </c>
      <c r="J27767">
        <v>2</v>
      </c>
    </row>
    <row r="27768" spans="1:10" x14ac:dyDescent="0.25">
      <c r="A27768" t="s">
        <v>310</v>
      </c>
      <c r="B27768" s="1" t="str">
        <f>HYPERLINK("http://voostvitamins.com","voostvitamins.com")</f>
        <v>voostvitamins.com</v>
      </c>
      <c r="C27768" t="s">
        <v>433</v>
      </c>
      <c r="F27768">
        <v>1.9937896443326598E-8</v>
      </c>
      <c r="G27768">
        <v>2668782</v>
      </c>
      <c r="H27768">
        <v>13817578</v>
      </c>
      <c r="I27768">
        <v>6156988</v>
      </c>
      <c r="J27768">
        <v>3</v>
      </c>
    </row>
    <row r="27769" spans="1:10" x14ac:dyDescent="0.25">
      <c r="A27769" t="s">
        <v>310</v>
      </c>
      <c r="B27769" s="1" t="str">
        <f>HYPERLINK("http://walkerandcompany.com","walkerandcompany.com")</f>
        <v>walkerandcompany.com</v>
      </c>
      <c r="C27769" t="s">
        <v>433</v>
      </c>
      <c r="F27769">
        <v>9.1760467126969705E-8</v>
      </c>
      <c r="G27769">
        <v>443962</v>
      </c>
      <c r="H27769">
        <v>14017266</v>
      </c>
      <c r="I27769">
        <v>3993245</v>
      </c>
      <c r="J27769">
        <v>3</v>
      </c>
    </row>
    <row r="27770" spans="1:10" x14ac:dyDescent="0.25">
      <c r="A27770" t="s">
        <v>310</v>
      </c>
      <c r="B27770" s="1" t="str">
        <f>HYPERLINK("http://xnp-cloud-pg.com","xnp-cloud-pg.com")</f>
        <v>xnp-cloud-pg.com</v>
      </c>
      <c r="C27770" t="s">
        <v>433</v>
      </c>
      <c r="J27770">
        <v>2</v>
      </c>
    </row>
    <row r="27771" spans="1:10" x14ac:dyDescent="0.25">
      <c r="A27771" t="s">
        <v>310</v>
      </c>
      <c r="B27771" s="1" t="str">
        <f>HYPERLINK("http://yoamogain.com","yoamogain.com")</f>
        <v>yoamogain.com</v>
      </c>
      <c r="C27771" t="s">
        <v>433</v>
      </c>
      <c r="F27771">
        <v>1.7817792311069899E-8</v>
      </c>
      <c r="G27771">
        <v>3070927</v>
      </c>
      <c r="H27771">
        <v>13776821</v>
      </c>
      <c r="I27771">
        <v>6547792</v>
      </c>
      <c r="J27771">
        <v>2</v>
      </c>
    </row>
    <row r="27772" spans="1:10" x14ac:dyDescent="0.25">
      <c r="A27772" t="s">
        <v>310</v>
      </c>
      <c r="B27772" s="1" t="str">
        <f>HYPERLINK("http://braun.cz","braun.cz")</f>
        <v>braun.cz</v>
      </c>
      <c r="C27772" t="s">
        <v>435</v>
      </c>
      <c r="D27772" t="s">
        <v>814</v>
      </c>
      <c r="F27772">
        <v>5.8612774568211298E-8</v>
      </c>
      <c r="G27772">
        <v>757491</v>
      </c>
      <c r="H27772">
        <v>13766513</v>
      </c>
      <c r="I27772">
        <v>6999476</v>
      </c>
      <c r="J27772">
        <v>2</v>
      </c>
    </row>
    <row r="27773" spans="1:10" x14ac:dyDescent="0.25">
      <c r="A27773" t="s">
        <v>310</v>
      </c>
      <c r="B27773" s="1" t="str">
        <f>HYPERLINK("http://braunhousehold.cz","braunhousehold.cz")</f>
        <v>braunhousehold.cz</v>
      </c>
      <c r="C27773" t="s">
        <v>435</v>
      </c>
      <c r="D27773" t="s">
        <v>814</v>
      </c>
      <c r="F27773">
        <v>1.4547537992725999E-8</v>
      </c>
      <c r="G27773">
        <v>3996093</v>
      </c>
      <c r="H27773">
        <v>12212254</v>
      </c>
      <c r="I27773">
        <v>22972992</v>
      </c>
      <c r="J27773">
        <v>4</v>
      </c>
    </row>
    <row r="27774" spans="1:10" x14ac:dyDescent="0.25">
      <c r="A27774" t="s">
        <v>310</v>
      </c>
      <c r="B27774" s="1" t="str">
        <f>HYPERLINK("http://femibion.cz","femibion.cz")</f>
        <v>femibion.cz</v>
      </c>
      <c r="C27774" t="s">
        <v>435</v>
      </c>
      <c r="D27774" t="s">
        <v>814</v>
      </c>
      <c r="F27774">
        <v>5.5927753119237402E-9</v>
      </c>
      <c r="G27774">
        <v>19926830</v>
      </c>
      <c r="H27774">
        <v>12158739</v>
      </c>
      <c r="I27774">
        <v>24404820</v>
      </c>
      <c r="J27774">
        <v>2</v>
      </c>
    </row>
    <row r="27775" spans="1:10" x14ac:dyDescent="0.25">
      <c r="A27775" t="s">
        <v>310</v>
      </c>
      <c r="B27775" s="1" t="str">
        <f>HYPERLINK("http://nasivin.cz","nasivin.cz")</f>
        <v>nasivin.cz</v>
      </c>
      <c r="C27775" t="s">
        <v>435</v>
      </c>
      <c r="D27775" t="s">
        <v>814</v>
      </c>
      <c r="F27775">
        <v>5.02994885840948E-9</v>
      </c>
      <c r="G27775">
        <v>28670152</v>
      </c>
      <c r="H27775">
        <v>12132022</v>
      </c>
      <c r="I27775">
        <v>25084916</v>
      </c>
      <c r="J27775">
        <v>2</v>
      </c>
    </row>
    <row r="27776" spans="1:10" x14ac:dyDescent="0.25">
      <c r="A27776" t="s">
        <v>310</v>
      </c>
      <c r="B27776" s="1" t="str">
        <f>HYPERLINK("http://oralb.cz","oralb.cz")</f>
        <v>oralb.cz</v>
      </c>
      <c r="C27776" t="s">
        <v>435</v>
      </c>
      <c r="D27776" t="s">
        <v>814</v>
      </c>
      <c r="F27776">
        <v>4.6246874874110999E-8</v>
      </c>
      <c r="G27776">
        <v>1012646</v>
      </c>
      <c r="H27776">
        <v>13390015</v>
      </c>
      <c r="I27776">
        <v>10391957</v>
      </c>
      <c r="J27776">
        <v>3</v>
      </c>
    </row>
    <row r="27777" spans="1:10" x14ac:dyDescent="0.25">
      <c r="A27777" t="s">
        <v>310</v>
      </c>
      <c r="B27777" s="1" t="str">
        <f>HYPERLINK("http://pampers.cz","pampers.cz")</f>
        <v>pampers.cz</v>
      </c>
      <c r="C27777" t="s">
        <v>435</v>
      </c>
      <c r="D27777" t="s">
        <v>814</v>
      </c>
      <c r="F27777">
        <v>3.27292901330228E-8</v>
      </c>
      <c r="G27777">
        <v>1578417</v>
      </c>
      <c r="H27777">
        <v>12646252</v>
      </c>
      <c r="I27777">
        <v>15824674</v>
      </c>
      <c r="J27777">
        <v>3</v>
      </c>
    </row>
    <row r="27778" spans="1:10" x14ac:dyDescent="0.25">
      <c r="A27778" t="s">
        <v>310</v>
      </c>
      <c r="B27778" s="1" t="str">
        <f>HYPERLINK("http://procter-gamble.cz","procter-gamble.cz")</f>
        <v>procter-gamble.cz</v>
      </c>
      <c r="C27778" t="s">
        <v>435</v>
      </c>
      <c r="D27778" t="s">
        <v>814</v>
      </c>
      <c r="F27778">
        <v>9.9199775532261292E-9</v>
      </c>
      <c r="G27778">
        <v>6838038</v>
      </c>
      <c r="H27778">
        <v>12915264</v>
      </c>
      <c r="I27778">
        <v>13518738</v>
      </c>
      <c r="J27778">
        <v>3</v>
      </c>
    </row>
    <row r="27779" spans="1:10" x14ac:dyDescent="0.25">
      <c r="A27779" t="s">
        <v>310</v>
      </c>
      <c r="B27779" s="1" t="str">
        <f>HYPERLINK("http://always.de","always.de")</f>
        <v>always.de</v>
      </c>
      <c r="C27779" t="s">
        <v>436</v>
      </c>
      <c r="D27779" t="s">
        <v>815</v>
      </c>
      <c r="F27779">
        <v>3.07920819129243E-8</v>
      </c>
      <c r="G27779">
        <v>1672903</v>
      </c>
      <c r="H27779">
        <v>13795755</v>
      </c>
      <c r="I27779">
        <v>6307801</v>
      </c>
      <c r="J27779">
        <v>4</v>
      </c>
    </row>
    <row r="27780" spans="1:10" x14ac:dyDescent="0.25">
      <c r="A27780" t="s">
        <v>310</v>
      </c>
      <c r="B27780" s="1" t="str">
        <f>HYPERLINK("http://ariel.de","ariel.de")</f>
        <v>ariel.de</v>
      </c>
      <c r="C27780" t="s">
        <v>436</v>
      </c>
      <c r="D27780" t="s">
        <v>815</v>
      </c>
      <c r="F27780">
        <v>5.3222432400038597E-8</v>
      </c>
      <c r="G27780">
        <v>855382</v>
      </c>
      <c r="H27780">
        <v>13794103</v>
      </c>
      <c r="I27780">
        <v>6318370</v>
      </c>
      <c r="J27780">
        <v>2</v>
      </c>
    </row>
    <row r="27781" spans="1:10" x14ac:dyDescent="0.25">
      <c r="A27781" t="s">
        <v>310</v>
      </c>
      <c r="B27781" s="1" t="str">
        <f>HYPERLINK("http://aussiehair.de","aussiehair.de")</f>
        <v>aussiehair.de</v>
      </c>
      <c r="C27781" t="s">
        <v>436</v>
      </c>
      <c r="D27781" t="s">
        <v>815</v>
      </c>
      <c r="F27781">
        <v>1.4760143542880301E-8</v>
      </c>
      <c r="G27781">
        <v>3920572</v>
      </c>
      <c r="H27781">
        <v>13003319</v>
      </c>
      <c r="I27781">
        <v>12780619</v>
      </c>
      <c r="J27781">
        <v>2</v>
      </c>
    </row>
    <row r="27782" spans="1:10" x14ac:dyDescent="0.25">
      <c r="A27782" t="s">
        <v>310</v>
      </c>
      <c r="B27782" s="1" t="str">
        <f>HYPERLINK("http://bion3.de","bion3.de")</f>
        <v>bion3.de</v>
      </c>
      <c r="C27782" t="s">
        <v>436</v>
      </c>
      <c r="D27782" t="s">
        <v>815</v>
      </c>
      <c r="F27782">
        <v>8.8070715275244501E-9</v>
      </c>
      <c r="G27782">
        <v>8293113</v>
      </c>
      <c r="H27782">
        <v>12111877</v>
      </c>
      <c r="I27782">
        <v>25675313</v>
      </c>
      <c r="J27782">
        <v>3</v>
      </c>
    </row>
    <row r="27783" spans="1:10" x14ac:dyDescent="0.25">
      <c r="A27783" t="s">
        <v>310</v>
      </c>
      <c r="B27783" s="1" t="str">
        <f>HYPERLINK("http://braun.de","braun.de")</f>
        <v>braun.de</v>
      </c>
      <c r="C27783" t="s">
        <v>436</v>
      </c>
      <c r="D27783" t="s">
        <v>815</v>
      </c>
      <c r="E27783">
        <v>456396</v>
      </c>
      <c r="F27783">
        <v>1.2727706111953699E-7</v>
      </c>
      <c r="G27783">
        <v>308967</v>
      </c>
      <c r="H27783">
        <v>13824530</v>
      </c>
      <c r="I27783">
        <v>6128912</v>
      </c>
      <c r="J27783">
        <v>3</v>
      </c>
    </row>
    <row r="27784" spans="1:10" x14ac:dyDescent="0.25">
      <c r="A27784" t="s">
        <v>310</v>
      </c>
      <c r="B27784" s="1" t="str">
        <f>HYPERLINK("http://femibion.de","femibion.de")</f>
        <v>femibion.de</v>
      </c>
      <c r="C27784" t="s">
        <v>436</v>
      </c>
      <c r="D27784" t="s">
        <v>815</v>
      </c>
      <c r="F27784">
        <v>1.4899674861226299E-8</v>
      </c>
      <c r="G27784">
        <v>3872676</v>
      </c>
      <c r="H27784">
        <v>12609736</v>
      </c>
      <c r="I27784">
        <v>16239265</v>
      </c>
      <c r="J27784">
        <v>4</v>
      </c>
    </row>
    <row r="27785" spans="1:10" x14ac:dyDescent="0.25">
      <c r="A27785" t="s">
        <v>310</v>
      </c>
      <c r="B27785" s="1" t="str">
        <f>HYPERLINK("http://gillette.de","gillette.de")</f>
        <v>gillette.de</v>
      </c>
      <c r="C27785" t="s">
        <v>436</v>
      </c>
      <c r="D27785" t="s">
        <v>815</v>
      </c>
      <c r="F27785">
        <v>7.4248388724164699E-8</v>
      </c>
      <c r="G27785">
        <v>566861</v>
      </c>
      <c r="H27785">
        <v>13863943</v>
      </c>
      <c r="I27785">
        <v>6012534</v>
      </c>
      <c r="J27785">
        <v>2</v>
      </c>
    </row>
    <row r="27786" spans="1:10" x14ac:dyDescent="0.25">
      <c r="A27786" t="s">
        <v>310</v>
      </c>
      <c r="B27786" s="1" t="str">
        <f>HYPERLINK("http://headandshoulders.de","headandshoulders.de")</f>
        <v>headandshoulders.de</v>
      </c>
      <c r="C27786" t="s">
        <v>436</v>
      </c>
      <c r="D27786" t="s">
        <v>815</v>
      </c>
      <c r="F27786">
        <v>3.3427458871261702E-8</v>
      </c>
      <c r="G27786">
        <v>1546373</v>
      </c>
      <c r="H27786">
        <v>14148628</v>
      </c>
      <c r="I27786">
        <v>1884817</v>
      </c>
      <c r="J27786">
        <v>4</v>
      </c>
    </row>
    <row r="27787" spans="1:10" x14ac:dyDescent="0.25">
      <c r="A27787" t="s">
        <v>310</v>
      </c>
      <c r="B27787" s="1" t="str">
        <f>HYPERLINK("http://mitalwaysindiekaribik.de","mitalwaysindiekaribik.de")</f>
        <v>mitalwaysindiekaribik.de</v>
      </c>
      <c r="C27787" t="s">
        <v>436</v>
      </c>
      <c r="D27787" t="s">
        <v>815</v>
      </c>
      <c r="J27787">
        <v>2</v>
      </c>
    </row>
    <row r="27788" spans="1:10" x14ac:dyDescent="0.25">
      <c r="A27788" t="s">
        <v>310</v>
      </c>
      <c r="B27788" s="1" t="str">
        <f>HYPERLINK("http://oralb.de","oralb.de")</f>
        <v>oralb.de</v>
      </c>
      <c r="C27788" t="s">
        <v>436</v>
      </c>
      <c r="D27788" t="s">
        <v>815</v>
      </c>
      <c r="E27788">
        <v>475595</v>
      </c>
      <c r="F27788">
        <v>1.49952978666036E-7</v>
      </c>
      <c r="G27788">
        <v>259129</v>
      </c>
      <c r="H27788">
        <v>14836101</v>
      </c>
      <c r="I27788">
        <v>500851</v>
      </c>
      <c r="J27788">
        <v>3</v>
      </c>
    </row>
    <row r="27789" spans="1:10" x14ac:dyDescent="0.25">
      <c r="A27789" t="s">
        <v>310</v>
      </c>
      <c r="B27789" s="1" t="str">
        <f>HYPERLINK("http://pampers.de","pampers.de")</f>
        <v>pampers.de</v>
      </c>
      <c r="C27789" t="s">
        <v>436</v>
      </c>
      <c r="D27789" t="s">
        <v>815</v>
      </c>
      <c r="E27789">
        <v>165956</v>
      </c>
      <c r="F27789">
        <v>7.5596780188058805E-8</v>
      </c>
      <c r="G27789">
        <v>556066</v>
      </c>
      <c r="H27789">
        <v>14225812</v>
      </c>
      <c r="I27789">
        <v>1679376</v>
      </c>
      <c r="J27789">
        <v>3</v>
      </c>
    </row>
    <row r="27790" spans="1:10" x14ac:dyDescent="0.25">
      <c r="A27790" t="s">
        <v>310</v>
      </c>
      <c r="B27790" s="1" t="str">
        <f>HYPERLINK("http://pantene.de","pantene.de")</f>
        <v>pantene.de</v>
      </c>
      <c r="C27790" t="s">
        <v>436</v>
      </c>
      <c r="D27790" t="s">
        <v>815</v>
      </c>
      <c r="F27790">
        <v>3.3764237631747602E-8</v>
      </c>
      <c r="G27790">
        <v>1532331</v>
      </c>
      <c r="H27790">
        <v>13878636</v>
      </c>
      <c r="I27790">
        <v>5985824</v>
      </c>
      <c r="J27790">
        <v>5</v>
      </c>
    </row>
    <row r="27791" spans="1:10" x14ac:dyDescent="0.25">
      <c r="A27791" t="s">
        <v>310</v>
      </c>
      <c r="B27791" s="1" t="str">
        <f>HYPERLINK("http://procterundgamble.de","procterundgamble.de")</f>
        <v>procterundgamble.de</v>
      </c>
      <c r="C27791" t="s">
        <v>436</v>
      </c>
      <c r="D27791" t="s">
        <v>815</v>
      </c>
      <c r="F27791">
        <v>9.0669795707456405E-9</v>
      </c>
      <c r="G27791">
        <v>7893848</v>
      </c>
      <c r="H27791">
        <v>12669866</v>
      </c>
      <c r="I27791">
        <v>15626885</v>
      </c>
      <c r="J27791">
        <v>3</v>
      </c>
    </row>
    <row r="27792" spans="1:10" x14ac:dyDescent="0.25">
      <c r="A27792" t="s">
        <v>310</v>
      </c>
      <c r="B27792" s="1" t="str">
        <f>HYPERLINK("http://vigantol.de","vigantol.de")</f>
        <v>vigantol.de</v>
      </c>
      <c r="C27792" t="s">
        <v>436</v>
      </c>
      <c r="D27792" t="s">
        <v>815</v>
      </c>
      <c r="F27792">
        <v>2.47642734610835E-8</v>
      </c>
      <c r="G27792">
        <v>2088586</v>
      </c>
      <c r="H27792">
        <v>10484519</v>
      </c>
      <c r="I27792">
        <v>50836464</v>
      </c>
      <c r="J27792">
        <v>3</v>
      </c>
    </row>
    <row r="27793" spans="1:10" x14ac:dyDescent="0.25">
      <c r="A27793" t="s">
        <v>310</v>
      </c>
      <c r="B27793" s="1" t="str">
        <f>HYPERLINK("http://oralb.dk","oralb.dk")</f>
        <v>oralb.dk</v>
      </c>
      <c r="C27793" t="s">
        <v>437</v>
      </c>
      <c r="D27793" t="s">
        <v>816</v>
      </c>
      <c r="F27793">
        <v>4.1000844408406902E-8</v>
      </c>
      <c r="G27793">
        <v>1265409</v>
      </c>
      <c r="H27793">
        <v>12495512</v>
      </c>
      <c r="I27793">
        <v>17420146</v>
      </c>
      <c r="J27793">
        <v>3</v>
      </c>
    </row>
    <row r="27794" spans="1:10" x14ac:dyDescent="0.25">
      <c r="A27794" t="s">
        <v>310</v>
      </c>
      <c r="B27794" s="1" t="str">
        <f>HYPERLINK("http://aussiehair.es","aussiehair.es")</f>
        <v>aussiehair.es</v>
      </c>
      <c r="C27794" t="s">
        <v>443</v>
      </c>
      <c r="D27794" t="s">
        <v>822</v>
      </c>
      <c r="F27794">
        <v>1.48325094339055E-8</v>
      </c>
      <c r="G27794">
        <v>3895993</v>
      </c>
      <c r="H27794">
        <v>12477921</v>
      </c>
      <c r="I27794">
        <v>17618068</v>
      </c>
      <c r="J27794">
        <v>3</v>
      </c>
    </row>
    <row r="27795" spans="1:10" x14ac:dyDescent="0.25">
      <c r="A27795" t="s">
        <v>310</v>
      </c>
      <c r="B27795" s="1" t="str">
        <f>HYPERLINK("http://dodot.es","dodot.es")</f>
        <v>dodot.es</v>
      </c>
      <c r="C27795" t="s">
        <v>443</v>
      </c>
      <c r="D27795" t="s">
        <v>822</v>
      </c>
      <c r="E27795">
        <v>532348</v>
      </c>
      <c r="F27795">
        <v>9.1733859443020397E-8</v>
      </c>
      <c r="G27795">
        <v>444104</v>
      </c>
      <c r="H27795">
        <v>14590044</v>
      </c>
      <c r="I27795">
        <v>696240</v>
      </c>
      <c r="J27795">
        <v>2</v>
      </c>
    </row>
    <row r="27796" spans="1:10" x14ac:dyDescent="0.25">
      <c r="A27796" t="s">
        <v>310</v>
      </c>
      <c r="B27796" s="1" t="str">
        <f>HYPERLINK("http://oralb.es","oralb.es")</f>
        <v>oralb.es</v>
      </c>
      <c r="C27796" t="s">
        <v>443</v>
      </c>
      <c r="D27796" t="s">
        <v>822</v>
      </c>
      <c r="F27796">
        <v>7.5128727960239906E-8</v>
      </c>
      <c r="G27796">
        <v>559797</v>
      </c>
      <c r="H27796">
        <v>14495452</v>
      </c>
      <c r="I27796">
        <v>875854</v>
      </c>
      <c r="J27796">
        <v>3</v>
      </c>
    </row>
    <row r="27797" spans="1:10" x14ac:dyDescent="0.25">
      <c r="A27797" t="s">
        <v>310</v>
      </c>
      <c r="B27797" s="1" t="str">
        <f>HYPERLINK("http://vicks.es","vicks.es")</f>
        <v>vicks.es</v>
      </c>
      <c r="C27797" t="s">
        <v>443</v>
      </c>
      <c r="D27797" t="s">
        <v>822</v>
      </c>
      <c r="F27797">
        <v>1.71672183849861E-8</v>
      </c>
      <c r="G27797">
        <v>3245990</v>
      </c>
      <c r="H27797">
        <v>14120362</v>
      </c>
      <c r="I27797">
        <v>2359877</v>
      </c>
      <c r="J27797">
        <v>3</v>
      </c>
    </row>
    <row r="27798" spans="1:10" x14ac:dyDescent="0.25">
      <c r="A27798" t="s">
        <v>310</v>
      </c>
      <c r="B27798" s="1" t="str">
        <f>HYPERLINK("http://1klikkaus1lahjoitus.fi","1klikkaus1lahjoitus.fi")</f>
        <v>1klikkaus1lahjoitus.fi</v>
      </c>
      <c r="C27798" t="s">
        <v>445</v>
      </c>
      <c r="D27798" t="s">
        <v>823</v>
      </c>
      <c r="F27798">
        <v>4.4521295138930996E-9</v>
      </c>
      <c r="G27798">
        <v>70795990</v>
      </c>
      <c r="H27798">
        <v>10528602</v>
      </c>
      <c r="I27798">
        <v>48716030</v>
      </c>
      <c r="J27798">
        <v>2</v>
      </c>
    </row>
    <row r="27799" spans="1:10" x14ac:dyDescent="0.25">
      <c r="A27799" t="s">
        <v>310</v>
      </c>
      <c r="B27799" s="1" t="str">
        <f>HYPERLINK("http://1klikkaus1rokote.fi","1klikkaus1rokote.fi")</f>
        <v>1klikkaus1rokote.fi</v>
      </c>
      <c r="C27799" t="s">
        <v>445</v>
      </c>
      <c r="D27799" t="s">
        <v>823</v>
      </c>
      <c r="J27799">
        <v>2</v>
      </c>
    </row>
    <row r="27800" spans="1:10" x14ac:dyDescent="0.25">
      <c r="A27800" t="s">
        <v>310</v>
      </c>
      <c r="B27800" s="1" t="str">
        <f>HYPERLINK("http://alldays.fi","alldays.fi")</f>
        <v>alldays.fi</v>
      </c>
      <c r="C27800" t="s">
        <v>445</v>
      </c>
      <c r="D27800" t="s">
        <v>823</v>
      </c>
      <c r="J27800">
        <v>2</v>
      </c>
    </row>
    <row r="27801" spans="1:10" x14ac:dyDescent="0.25">
      <c r="A27801" t="s">
        <v>310</v>
      </c>
      <c r="B27801" s="1" t="str">
        <f>HYPERLINK("http://always.fi","always.fi")</f>
        <v>always.fi</v>
      </c>
      <c r="C27801" t="s">
        <v>445</v>
      </c>
      <c r="D27801" t="s">
        <v>823</v>
      </c>
      <c r="F27801">
        <v>4.4550217221873302E-9</v>
      </c>
      <c r="G27801">
        <v>69507061</v>
      </c>
      <c r="H27801">
        <v>10343676</v>
      </c>
      <c r="I27801">
        <v>58151086</v>
      </c>
      <c r="J27801">
        <v>2</v>
      </c>
    </row>
    <row r="27802" spans="1:10" x14ac:dyDescent="0.25">
      <c r="A27802" t="s">
        <v>310</v>
      </c>
      <c r="B27802" s="1" t="str">
        <f>HYPERLINK("http://always-envive.fi","always-envive.fi")</f>
        <v>always-envive.fi</v>
      </c>
      <c r="C27802" t="s">
        <v>445</v>
      </c>
      <c r="D27802" t="s">
        <v>823</v>
      </c>
      <c r="J27802">
        <v>2</v>
      </c>
    </row>
    <row r="27803" spans="1:10" x14ac:dyDescent="0.25">
      <c r="A27803" t="s">
        <v>310</v>
      </c>
      <c r="B27803" s="1" t="str">
        <f>HYPERLINK("http://always-info.fi","always-info.fi")</f>
        <v>always-info.fi</v>
      </c>
      <c r="C27803" t="s">
        <v>445</v>
      </c>
      <c r="D27803" t="s">
        <v>823</v>
      </c>
      <c r="J27803">
        <v>2</v>
      </c>
    </row>
    <row r="27804" spans="1:10" x14ac:dyDescent="0.25">
      <c r="A27804" t="s">
        <v>310</v>
      </c>
      <c r="B27804" s="1" t="str">
        <f>HYPERLINK("http://alwaysenvive.fi","alwaysenvive.fi")</f>
        <v>alwaysenvive.fi</v>
      </c>
      <c r="C27804" t="s">
        <v>445</v>
      </c>
      <c r="D27804" t="s">
        <v>823</v>
      </c>
      <c r="F27804">
        <v>4.5464048600867701E-9</v>
      </c>
      <c r="G27804">
        <v>52576279</v>
      </c>
      <c r="H27804">
        <v>13763633</v>
      </c>
      <c r="I27804">
        <v>9125690</v>
      </c>
      <c r="J27804">
        <v>2</v>
      </c>
    </row>
    <row r="27805" spans="1:10" x14ac:dyDescent="0.25">
      <c r="A27805" t="s">
        <v>310</v>
      </c>
      <c r="B27805" s="1" t="str">
        <f>HYPERLINK("http://ariel.fi","ariel.fi")</f>
        <v>ariel.fi</v>
      </c>
      <c r="C27805" t="s">
        <v>445</v>
      </c>
      <c r="D27805" t="s">
        <v>823</v>
      </c>
      <c r="J27805">
        <v>2</v>
      </c>
    </row>
    <row r="27806" spans="1:10" x14ac:dyDescent="0.25">
      <c r="A27806" t="s">
        <v>310</v>
      </c>
      <c r="B27806" s="1" t="str">
        <f>HYPERLINK("http://aussiehair.fi","aussiehair.fi")</f>
        <v>aussiehair.fi</v>
      </c>
      <c r="C27806" t="s">
        <v>445</v>
      </c>
      <c r="D27806" t="s">
        <v>823</v>
      </c>
      <c r="F27806">
        <v>4.5454835155273197E-9</v>
      </c>
      <c r="G27806">
        <v>52680046</v>
      </c>
      <c r="H27806">
        <v>13763634</v>
      </c>
      <c r="I27806">
        <v>8460415</v>
      </c>
      <c r="J27806">
        <v>2</v>
      </c>
    </row>
    <row r="27807" spans="1:10" x14ac:dyDescent="0.25">
      <c r="A27807" t="s">
        <v>310</v>
      </c>
      <c r="B27807" s="1" t="str">
        <f>HYPERLINK("http://babydryflex.fi","babydryflex.fi")</f>
        <v>babydryflex.fi</v>
      </c>
      <c r="C27807" t="s">
        <v>445</v>
      </c>
      <c r="D27807" t="s">
        <v>823</v>
      </c>
      <c r="J27807">
        <v>2</v>
      </c>
    </row>
    <row r="27808" spans="1:10" x14ac:dyDescent="0.25">
      <c r="A27808" t="s">
        <v>310</v>
      </c>
      <c r="B27808" s="1" t="str">
        <f>HYPERLINK("http://beinggirl.fi","beinggirl.fi")</f>
        <v>beinggirl.fi</v>
      </c>
      <c r="C27808" t="s">
        <v>445</v>
      </c>
      <c r="D27808" t="s">
        <v>823</v>
      </c>
      <c r="F27808">
        <v>4.53518709125468E-9</v>
      </c>
      <c r="G27808">
        <v>54325420</v>
      </c>
      <c r="H27808">
        <v>13763633</v>
      </c>
      <c r="I27808">
        <v>9126006</v>
      </c>
      <c r="J27808">
        <v>2</v>
      </c>
    </row>
    <row r="27809" spans="1:10" x14ac:dyDescent="0.25">
      <c r="A27809" t="s">
        <v>310</v>
      </c>
      <c r="B27809" s="1" t="str">
        <f>HYPERLINK("http://braun.fi","braun.fi")</f>
        <v>braun.fi</v>
      </c>
      <c r="C27809" t="s">
        <v>445</v>
      </c>
      <c r="D27809" t="s">
        <v>823</v>
      </c>
      <c r="F27809">
        <v>4.6147147097023698E-9</v>
      </c>
      <c r="G27809">
        <v>46518545</v>
      </c>
      <c r="H27809">
        <v>11015336</v>
      </c>
      <c r="I27809">
        <v>33327869</v>
      </c>
      <c r="J27809">
        <v>2</v>
      </c>
    </row>
    <row r="27810" spans="1:10" x14ac:dyDescent="0.25">
      <c r="A27810" t="s">
        <v>310</v>
      </c>
      <c r="B27810" s="1" t="str">
        <f>HYPERLINK("http://braunhealthcare.fi","braunhealthcare.fi")</f>
        <v>braunhealthcare.fi</v>
      </c>
      <c r="C27810" t="s">
        <v>445</v>
      </c>
      <c r="D27810" t="s">
        <v>823</v>
      </c>
      <c r="J27810">
        <v>2</v>
      </c>
    </row>
    <row r="27811" spans="1:10" x14ac:dyDescent="0.25">
      <c r="A27811" t="s">
        <v>310</v>
      </c>
      <c r="B27811" s="1" t="str">
        <f>HYPERLINK("http://braunhousehold.fi","braunhousehold.fi")</f>
        <v>braunhousehold.fi</v>
      </c>
      <c r="C27811" t="s">
        <v>445</v>
      </c>
      <c r="D27811" t="s">
        <v>823</v>
      </c>
      <c r="J27811">
        <v>2</v>
      </c>
    </row>
    <row r="27812" spans="1:10" x14ac:dyDescent="0.25">
      <c r="A27812" t="s">
        <v>310</v>
      </c>
      <c r="B27812" s="1" t="str">
        <f>HYPERLINK("http://braunhuolto.fi","braunhuolto.fi")</f>
        <v>braunhuolto.fi</v>
      </c>
      <c r="C27812" t="s">
        <v>445</v>
      </c>
      <c r="D27812" t="s">
        <v>823</v>
      </c>
      <c r="J27812">
        <v>2</v>
      </c>
    </row>
    <row r="27813" spans="1:10" x14ac:dyDescent="0.25">
      <c r="A27813" t="s">
        <v>310</v>
      </c>
      <c r="B27813" s="1" t="str">
        <f>HYPERLINK("http://clearblue.fi","clearblue.fi")</f>
        <v>clearblue.fi</v>
      </c>
      <c r="C27813" t="s">
        <v>445</v>
      </c>
      <c r="D27813" t="s">
        <v>823</v>
      </c>
      <c r="F27813">
        <v>4.9827677859994101E-9</v>
      </c>
      <c r="G27813">
        <v>29927821</v>
      </c>
      <c r="H27813">
        <v>13763633</v>
      </c>
      <c r="I27813">
        <v>9126291</v>
      </c>
      <c r="J27813">
        <v>2</v>
      </c>
    </row>
    <row r="27814" spans="1:10" x14ac:dyDescent="0.25">
      <c r="A27814" t="s">
        <v>310</v>
      </c>
      <c r="B27814" s="1" t="str">
        <f>HYPERLINK("http://clearblueshop.fi","clearblueshop.fi")</f>
        <v>clearblueshop.fi</v>
      </c>
      <c r="C27814" t="s">
        <v>445</v>
      </c>
      <c r="D27814" t="s">
        <v>823</v>
      </c>
      <c r="F27814">
        <v>5.1018543986321996E-9</v>
      </c>
      <c r="G27814">
        <v>27038509</v>
      </c>
      <c r="H27814">
        <v>12199438</v>
      </c>
      <c r="I27814">
        <v>23331494</v>
      </c>
      <c r="J27814">
        <v>2</v>
      </c>
    </row>
    <row r="27815" spans="1:10" x14ac:dyDescent="0.25">
      <c r="A27815" t="s">
        <v>310</v>
      </c>
      <c r="B27815" s="1" t="str">
        <f>HYPERLINK("http://clicbrush.fi","clicbrush.fi")</f>
        <v>clicbrush.fi</v>
      </c>
      <c r="C27815" t="s">
        <v>445</v>
      </c>
      <c r="D27815" t="s">
        <v>823</v>
      </c>
      <c r="J27815">
        <v>2</v>
      </c>
    </row>
    <row r="27816" spans="1:10" x14ac:dyDescent="0.25">
      <c r="A27816" t="s">
        <v>310</v>
      </c>
      <c r="B27816" s="1" t="str">
        <f>HYPERLINK("http://clictoothbrush.fi","clictoothbrush.fi")</f>
        <v>clictoothbrush.fi</v>
      </c>
      <c r="C27816" t="s">
        <v>445</v>
      </c>
      <c r="D27816" t="s">
        <v>823</v>
      </c>
      <c r="J27816">
        <v>2</v>
      </c>
    </row>
    <row r="27817" spans="1:10" x14ac:dyDescent="0.25">
      <c r="A27817" t="s">
        <v>310</v>
      </c>
      <c r="B27817" s="1" t="str">
        <f>HYPERLINK("http://coolwash.fi","coolwash.fi")</f>
        <v>coolwash.fi</v>
      </c>
      <c r="C27817" t="s">
        <v>445</v>
      </c>
      <c r="D27817" t="s">
        <v>823</v>
      </c>
      <c r="J27817">
        <v>2</v>
      </c>
    </row>
    <row r="27818" spans="1:10" x14ac:dyDescent="0.25">
      <c r="A27818" t="s">
        <v>310</v>
      </c>
      <c r="B27818" s="1" t="str">
        <f>HYPERLINK("http://dentalcare.fi","dentalcare.fi")</f>
        <v>dentalcare.fi</v>
      </c>
      <c r="C27818" t="s">
        <v>445</v>
      </c>
      <c r="D27818" t="s">
        <v>823</v>
      </c>
      <c r="J27818">
        <v>2</v>
      </c>
    </row>
    <row r="27819" spans="1:10" x14ac:dyDescent="0.25">
      <c r="A27819" t="s">
        <v>310</v>
      </c>
      <c r="B27819" s="1" t="str">
        <f>HYPERLINK("http://dentaldays.fi","dentaldays.fi")</f>
        <v>dentaldays.fi</v>
      </c>
      <c r="C27819" t="s">
        <v>445</v>
      </c>
      <c r="D27819" t="s">
        <v>823</v>
      </c>
      <c r="J27819">
        <v>2</v>
      </c>
    </row>
    <row r="27820" spans="1:10" x14ac:dyDescent="0.25">
      <c r="A27820" t="s">
        <v>310</v>
      </c>
      <c r="B27820" s="1" t="str">
        <f>HYPERLINK("http://everydayme.fi","everydayme.fi")</f>
        <v>everydayme.fi</v>
      </c>
      <c r="C27820" t="s">
        <v>445</v>
      </c>
      <c r="D27820" t="s">
        <v>823</v>
      </c>
      <c r="F27820">
        <v>4.5551587718912003E-9</v>
      </c>
      <c r="G27820">
        <v>51642756</v>
      </c>
      <c r="H27820">
        <v>11957399</v>
      </c>
      <c r="I27820">
        <v>29013106</v>
      </c>
      <c r="J27820">
        <v>2</v>
      </c>
    </row>
    <row r="27821" spans="1:10" x14ac:dyDescent="0.25">
      <c r="A27821" t="s">
        <v>310</v>
      </c>
      <c r="B27821" s="1" t="str">
        <f>HYPERLINK("http://fairy.fi","fairy.fi")</f>
        <v>fairy.fi</v>
      </c>
      <c r="C27821" t="s">
        <v>445</v>
      </c>
      <c r="D27821" t="s">
        <v>823</v>
      </c>
      <c r="J27821">
        <v>2</v>
      </c>
    </row>
    <row r="27822" spans="1:10" x14ac:dyDescent="0.25">
      <c r="A27822" t="s">
        <v>310</v>
      </c>
      <c r="B27822" s="1" t="str">
        <f>HYPERLINK("http://futurefriendly.fi","futurefriendly.fi")</f>
        <v>futurefriendly.fi</v>
      </c>
      <c r="C27822" t="s">
        <v>445</v>
      </c>
      <c r="D27822" t="s">
        <v>823</v>
      </c>
      <c r="J27822">
        <v>2</v>
      </c>
    </row>
    <row r="27823" spans="1:10" x14ac:dyDescent="0.25">
      <c r="A27823" t="s">
        <v>310</v>
      </c>
      <c r="B27823" s="1" t="str">
        <f>HYPERLINK("http://gillette.fi","gillette.fi")</f>
        <v>gillette.fi</v>
      </c>
      <c r="C27823" t="s">
        <v>445</v>
      </c>
      <c r="D27823" t="s">
        <v>823</v>
      </c>
      <c r="J27823">
        <v>2</v>
      </c>
    </row>
    <row r="27824" spans="1:10" x14ac:dyDescent="0.25">
      <c r="A27824" t="s">
        <v>310</v>
      </c>
      <c r="B27824" s="1" t="str">
        <f>HYPERLINK("http://gillettechampions.fi","gillettechampions.fi")</f>
        <v>gillettechampions.fi</v>
      </c>
      <c r="C27824" t="s">
        <v>445</v>
      </c>
      <c r="D27824" t="s">
        <v>823</v>
      </c>
      <c r="J27824">
        <v>2</v>
      </c>
    </row>
    <row r="27825" spans="1:10" x14ac:dyDescent="0.25">
      <c r="A27825" t="s">
        <v>310</v>
      </c>
      <c r="B27825" s="1" t="str">
        <f>HYPERLINK("http://gillettefusion.fi","gillettefusion.fi")</f>
        <v>gillettefusion.fi</v>
      </c>
      <c r="C27825" t="s">
        <v>445</v>
      </c>
      <c r="D27825" t="s">
        <v>823</v>
      </c>
      <c r="F27825">
        <v>4.4633057198871803E-9</v>
      </c>
      <c r="G27825">
        <v>66736337</v>
      </c>
      <c r="H27825">
        <v>10776180</v>
      </c>
      <c r="I27825">
        <v>39041145</v>
      </c>
      <c r="J27825">
        <v>4</v>
      </c>
    </row>
    <row r="27826" spans="1:10" x14ac:dyDescent="0.25">
      <c r="A27826" t="s">
        <v>310</v>
      </c>
      <c r="B27826" s="1" t="str">
        <f>HYPERLINK("http://gillettelabs.fi","gillettelabs.fi")</f>
        <v>gillettelabs.fi</v>
      </c>
      <c r="C27826" t="s">
        <v>445</v>
      </c>
      <c r="D27826" t="s">
        <v>823</v>
      </c>
      <c r="J27826">
        <v>4</v>
      </c>
    </row>
    <row r="27827" spans="1:10" x14ac:dyDescent="0.25">
      <c r="A27827" t="s">
        <v>310</v>
      </c>
      <c r="B27827" s="1" t="str">
        <f>HYPERLINK("http://gillettevenus.fi","gillettevenus.fi")</f>
        <v>gillettevenus.fi</v>
      </c>
      <c r="C27827" t="s">
        <v>445</v>
      </c>
      <c r="D27827" t="s">
        <v>823</v>
      </c>
      <c r="F27827">
        <v>6.9828654595930796E-9</v>
      </c>
      <c r="G27827">
        <v>12362707</v>
      </c>
      <c r="H27827">
        <v>10829664</v>
      </c>
      <c r="I27827">
        <v>37401387</v>
      </c>
      <c r="J27827">
        <v>2</v>
      </c>
    </row>
    <row r="27828" spans="1:10" x14ac:dyDescent="0.25">
      <c r="A27828" t="s">
        <v>310</v>
      </c>
      <c r="B27828" s="1" t="str">
        <f>HYPERLINK("http://headandshoulders.fi","headandshoulders.fi")</f>
        <v>headandshoulders.fi</v>
      </c>
      <c r="C27828" t="s">
        <v>445</v>
      </c>
      <c r="D27828" t="s">
        <v>823</v>
      </c>
      <c r="J27828">
        <v>2</v>
      </c>
    </row>
    <row r="27829" spans="1:10" x14ac:dyDescent="0.25">
      <c r="A27829" t="s">
        <v>310</v>
      </c>
      <c r="B27829" s="1" t="str">
        <f>HYPERLINK("http://herbalessences.fi","herbalessences.fi")</f>
        <v>herbalessences.fi</v>
      </c>
      <c r="C27829" t="s">
        <v>445</v>
      </c>
      <c r="D27829" t="s">
        <v>823</v>
      </c>
      <c r="J27829">
        <v>2</v>
      </c>
    </row>
    <row r="27830" spans="1:10" x14ac:dyDescent="0.25">
      <c r="A27830" t="s">
        <v>310</v>
      </c>
      <c r="B27830" s="1" t="str">
        <f>HYPERLINK("http://olay.fi","olay.fi")</f>
        <v>olay.fi</v>
      </c>
      <c r="C27830" t="s">
        <v>445</v>
      </c>
      <c r="D27830" t="s">
        <v>823</v>
      </c>
      <c r="J27830">
        <v>2</v>
      </c>
    </row>
    <row r="27831" spans="1:10" x14ac:dyDescent="0.25">
      <c r="A27831" t="s">
        <v>310</v>
      </c>
      <c r="B27831" s="1" t="str">
        <f>HYPERLINK("http://oldspice.fi","oldspice.fi")</f>
        <v>oldspice.fi</v>
      </c>
      <c r="C27831" t="s">
        <v>445</v>
      </c>
      <c r="D27831" t="s">
        <v>823</v>
      </c>
      <c r="J27831">
        <v>2</v>
      </c>
    </row>
    <row r="27832" spans="1:10" x14ac:dyDescent="0.25">
      <c r="A27832" t="s">
        <v>310</v>
      </c>
      <c r="B27832" s="1" t="str">
        <f>HYPERLINK("http://oral-b.fi","oral-b.fi")</f>
        <v>oral-b.fi</v>
      </c>
      <c r="C27832" t="s">
        <v>445</v>
      </c>
      <c r="D27832" t="s">
        <v>823</v>
      </c>
      <c r="J27832">
        <v>2</v>
      </c>
    </row>
    <row r="27833" spans="1:10" x14ac:dyDescent="0.25">
      <c r="A27833" t="s">
        <v>310</v>
      </c>
      <c r="B27833" s="1" t="str">
        <f>HYPERLINK("http://oralb.fi","oralb.fi")</f>
        <v>oralb.fi</v>
      </c>
      <c r="C27833" t="s">
        <v>445</v>
      </c>
      <c r="D27833" t="s">
        <v>823</v>
      </c>
      <c r="F27833">
        <v>4.9030654986031901E-8</v>
      </c>
      <c r="G27833">
        <v>944623</v>
      </c>
      <c r="H27833">
        <v>13766191</v>
      </c>
      <c r="I27833">
        <v>7026720</v>
      </c>
      <c r="J27833">
        <v>2</v>
      </c>
    </row>
    <row r="27834" spans="1:10" x14ac:dyDescent="0.25">
      <c r="A27834" t="s">
        <v>310</v>
      </c>
      <c r="B27834" s="1" t="str">
        <f>HYPERLINK("http://oralbclic.fi","oralbclic.fi")</f>
        <v>oralbclic.fi</v>
      </c>
      <c r="C27834" t="s">
        <v>445</v>
      </c>
      <c r="D27834" t="s">
        <v>823</v>
      </c>
      <c r="J27834">
        <v>2</v>
      </c>
    </row>
    <row r="27835" spans="1:10" x14ac:dyDescent="0.25">
      <c r="A27835" t="s">
        <v>310</v>
      </c>
      <c r="B27835" s="1" t="str">
        <f>HYPERLINK("http://oralbprofessional.fi","oralbprofessional.fi")</f>
        <v>oralbprofessional.fi</v>
      </c>
      <c r="C27835" t="s">
        <v>445</v>
      </c>
      <c r="D27835" t="s">
        <v>823</v>
      </c>
      <c r="J27835">
        <v>2</v>
      </c>
    </row>
    <row r="27836" spans="1:10" x14ac:dyDescent="0.25">
      <c r="A27836" t="s">
        <v>310</v>
      </c>
      <c r="B27836" s="1" t="str">
        <f>HYPERLINK("http://ovulaatiokalenterin.fi","ovulaatiokalenterin.fi")</f>
        <v>ovulaatiokalenterin.fi</v>
      </c>
      <c r="C27836" t="s">
        <v>445</v>
      </c>
      <c r="D27836" t="s">
        <v>823</v>
      </c>
      <c r="J27836">
        <v>2</v>
      </c>
    </row>
    <row r="27837" spans="1:10" x14ac:dyDescent="0.25">
      <c r="A27837" t="s">
        <v>310</v>
      </c>
      <c r="B27837" s="1" t="str">
        <f>HYPERLINK("http://pampers.fi","pampers.fi")</f>
        <v>pampers.fi</v>
      </c>
      <c r="C27837" t="s">
        <v>445</v>
      </c>
      <c r="D27837" t="s">
        <v>823</v>
      </c>
      <c r="F27837">
        <v>2.4363948955141201E-8</v>
      </c>
      <c r="G27837">
        <v>2127471</v>
      </c>
      <c r="H27837">
        <v>13766190</v>
      </c>
      <c r="I27837">
        <v>7026781</v>
      </c>
      <c r="J27837">
        <v>2</v>
      </c>
    </row>
    <row r="27838" spans="1:10" x14ac:dyDescent="0.25">
      <c r="A27838" t="s">
        <v>310</v>
      </c>
      <c r="B27838" s="1" t="str">
        <f>HYPERLINK("http://pampers-int.fi","pampers-int.fi")</f>
        <v>pampers-int.fi</v>
      </c>
      <c r="C27838" t="s">
        <v>445</v>
      </c>
      <c r="D27838" t="s">
        <v>823</v>
      </c>
      <c r="J27838">
        <v>2</v>
      </c>
    </row>
    <row r="27839" spans="1:10" x14ac:dyDescent="0.25">
      <c r="A27839" t="s">
        <v>310</v>
      </c>
      <c r="B27839" s="1" t="str">
        <f>HYPERLINK("http://pampersvillage.fi","pampersvillage.fi")</f>
        <v>pampersvillage.fi</v>
      </c>
      <c r="C27839" t="s">
        <v>445</v>
      </c>
      <c r="D27839" t="s">
        <v>823</v>
      </c>
      <c r="J27839">
        <v>2</v>
      </c>
    </row>
    <row r="27840" spans="1:10" x14ac:dyDescent="0.25">
      <c r="A27840" t="s">
        <v>310</v>
      </c>
      <c r="B27840" s="1" t="str">
        <f>HYPERLINK("http://pantene.fi","pantene.fi")</f>
        <v>pantene.fi</v>
      </c>
      <c r="C27840" t="s">
        <v>445</v>
      </c>
      <c r="D27840" t="s">
        <v>823</v>
      </c>
      <c r="F27840">
        <v>4.5464048600867701E-9</v>
      </c>
      <c r="G27840">
        <v>52576283</v>
      </c>
      <c r="H27840">
        <v>13763633</v>
      </c>
      <c r="I27840">
        <v>9130461</v>
      </c>
      <c r="J27840">
        <v>2</v>
      </c>
    </row>
    <row r="27841" spans="1:10" x14ac:dyDescent="0.25">
      <c r="A27841" t="s">
        <v>310</v>
      </c>
      <c r="B27841" s="1" t="str">
        <f>HYPERLINK("http://pgkultaetu.fi","pgkultaetu.fi")</f>
        <v>pgkultaetu.fi</v>
      </c>
      <c r="C27841" t="s">
        <v>445</v>
      </c>
      <c r="D27841" t="s">
        <v>823</v>
      </c>
      <c r="F27841">
        <v>4.5002945742005396E-9</v>
      </c>
      <c r="G27841">
        <v>58899413</v>
      </c>
      <c r="H27841">
        <v>10798083</v>
      </c>
      <c r="I27841">
        <v>38217307</v>
      </c>
      <c r="J27841">
        <v>2</v>
      </c>
    </row>
    <row r="27842" spans="1:10" x14ac:dyDescent="0.25">
      <c r="A27842" t="s">
        <v>310</v>
      </c>
      <c r="B27842" s="1" t="str">
        <f>HYPERLINK("http://pgstore.fi","pgstore.fi")</f>
        <v>pgstore.fi</v>
      </c>
      <c r="C27842" t="s">
        <v>445</v>
      </c>
      <c r="D27842" t="s">
        <v>823</v>
      </c>
      <c r="J27842">
        <v>2</v>
      </c>
    </row>
    <row r="27843" spans="1:10" x14ac:dyDescent="0.25">
      <c r="A27843" t="s">
        <v>310</v>
      </c>
      <c r="B27843" s="1" t="str">
        <f>HYPERLINK("http://salonist.fi","salonist.fi")</f>
        <v>salonist.fi</v>
      </c>
      <c r="C27843" t="s">
        <v>445</v>
      </c>
      <c r="D27843" t="s">
        <v>823</v>
      </c>
      <c r="J27843">
        <v>2</v>
      </c>
    </row>
    <row r="27844" spans="1:10" x14ac:dyDescent="0.25">
      <c r="A27844" t="s">
        <v>310</v>
      </c>
      <c r="B27844" s="1" t="str">
        <f>HYPERLINK("http://sk-ii.fi","sk-ii.fi")</f>
        <v>sk-ii.fi</v>
      </c>
      <c r="C27844" t="s">
        <v>445</v>
      </c>
      <c r="D27844" t="s">
        <v>823</v>
      </c>
      <c r="J27844">
        <v>2</v>
      </c>
    </row>
    <row r="27845" spans="1:10" x14ac:dyDescent="0.25">
      <c r="A27845" t="s">
        <v>310</v>
      </c>
      <c r="B27845" s="1" t="str">
        <f>HYPERLINK("http://swiffer.fi","swiffer.fi")</f>
        <v>swiffer.fi</v>
      </c>
      <c r="C27845" t="s">
        <v>445</v>
      </c>
      <c r="D27845" t="s">
        <v>823</v>
      </c>
      <c r="J27845">
        <v>2</v>
      </c>
    </row>
    <row r="27846" spans="1:10" x14ac:dyDescent="0.25">
      <c r="A27846" t="s">
        <v>310</v>
      </c>
      <c r="B27846" s="1" t="str">
        <f>HYPERLINK("http://tampax.fi","tampax.fi")</f>
        <v>tampax.fi</v>
      </c>
      <c r="C27846" t="s">
        <v>445</v>
      </c>
      <c r="D27846" t="s">
        <v>823</v>
      </c>
      <c r="J27846">
        <v>2</v>
      </c>
    </row>
    <row r="27847" spans="1:10" x14ac:dyDescent="0.25">
      <c r="A27847" t="s">
        <v>310</v>
      </c>
      <c r="B27847" s="1" t="str">
        <f>HYPERLINK("http://theouai.fi","theouai.fi")</f>
        <v>theouai.fi</v>
      </c>
      <c r="C27847" t="s">
        <v>445</v>
      </c>
      <c r="D27847" t="s">
        <v>823</v>
      </c>
      <c r="J27847">
        <v>4</v>
      </c>
    </row>
    <row r="27848" spans="1:10" x14ac:dyDescent="0.25">
      <c r="A27848" t="s">
        <v>310</v>
      </c>
      <c r="B27848" s="1" t="str">
        <f>HYPERLINK("http://thinkfuturefriendly.fi","thinkfuturefriendly.fi")</f>
        <v>thinkfuturefriendly.fi</v>
      </c>
      <c r="C27848" t="s">
        <v>445</v>
      </c>
      <c r="D27848" t="s">
        <v>823</v>
      </c>
      <c r="J27848">
        <v>2</v>
      </c>
    </row>
    <row r="27849" spans="1:10" x14ac:dyDescent="0.25">
      <c r="A27849" t="s">
        <v>310</v>
      </c>
      <c r="B27849" s="1" t="str">
        <f>HYPERLINK("http://toiveenaraskaus.fi","toiveenaraskaus.fi")</f>
        <v>toiveenaraskaus.fi</v>
      </c>
      <c r="C27849" t="s">
        <v>445</v>
      </c>
      <c r="D27849" t="s">
        <v>823</v>
      </c>
      <c r="J27849">
        <v>2</v>
      </c>
    </row>
    <row r="27850" spans="1:10" x14ac:dyDescent="0.25">
      <c r="A27850" t="s">
        <v>310</v>
      </c>
      <c r="B27850" s="1" t="str">
        <f>HYPERLINK("http://tulabeauty.fi","tulabeauty.fi")</f>
        <v>tulabeauty.fi</v>
      </c>
      <c r="C27850" t="s">
        <v>445</v>
      </c>
      <c r="D27850" t="s">
        <v>823</v>
      </c>
      <c r="J27850">
        <v>4</v>
      </c>
    </row>
    <row r="27851" spans="1:10" x14ac:dyDescent="0.25">
      <c r="A27851" t="s">
        <v>310</v>
      </c>
      <c r="B27851" s="1" t="str">
        <f>HYPERLINK("http://tulaforlife.fi","tulaforlife.fi")</f>
        <v>tulaforlife.fi</v>
      </c>
      <c r="C27851" t="s">
        <v>445</v>
      </c>
      <c r="D27851" t="s">
        <v>823</v>
      </c>
      <c r="J27851">
        <v>4</v>
      </c>
    </row>
    <row r="27852" spans="1:10" x14ac:dyDescent="0.25">
      <c r="A27852" t="s">
        <v>310</v>
      </c>
      <c r="B27852" s="1" t="str">
        <f>HYPERLINK("http://tulaskincare.fi","tulaskincare.fi")</f>
        <v>tulaskincare.fi</v>
      </c>
      <c r="C27852" t="s">
        <v>445</v>
      </c>
      <c r="D27852" t="s">
        <v>823</v>
      </c>
      <c r="J27852">
        <v>4</v>
      </c>
    </row>
    <row r="27853" spans="1:10" x14ac:dyDescent="0.25">
      <c r="A27853" t="s">
        <v>310</v>
      </c>
      <c r="B27853" s="1" t="str">
        <f>HYPERLINK("http://venuswintersun.fi","venuswintersun.fi")</f>
        <v>venuswintersun.fi</v>
      </c>
      <c r="C27853" t="s">
        <v>445</v>
      </c>
      <c r="D27853" t="s">
        <v>823</v>
      </c>
      <c r="J27853">
        <v>4</v>
      </c>
    </row>
    <row r="27854" spans="1:10" x14ac:dyDescent="0.25">
      <c r="A27854" t="s">
        <v>310</v>
      </c>
      <c r="B27854" s="1" t="str">
        <f>HYPERLINK("http://victoria50.fi","victoria50.fi")</f>
        <v>victoria50.fi</v>
      </c>
      <c r="C27854" t="s">
        <v>445</v>
      </c>
      <c r="D27854" t="s">
        <v>823</v>
      </c>
      <c r="J27854">
        <v>2</v>
      </c>
    </row>
    <row r="27855" spans="1:10" x14ac:dyDescent="0.25">
      <c r="A27855" t="s">
        <v>310</v>
      </c>
      <c r="B27855" s="1" t="str">
        <f>HYPERLINK("http://vidal.fi","vidal.fi")</f>
        <v>vidal.fi</v>
      </c>
      <c r="C27855" t="s">
        <v>445</v>
      </c>
      <c r="D27855" t="s">
        <v>823</v>
      </c>
      <c r="J27855">
        <v>2</v>
      </c>
    </row>
    <row r="27856" spans="1:10" x14ac:dyDescent="0.25">
      <c r="A27856" t="s">
        <v>310</v>
      </c>
      <c r="B27856" s="1" t="str">
        <f>HYPERLINK("http://vidalsassoon.fi","vidalsassoon.fi")</f>
        <v>vidalsassoon.fi</v>
      </c>
      <c r="C27856" t="s">
        <v>445</v>
      </c>
      <c r="D27856" t="s">
        <v>823</v>
      </c>
      <c r="J27856">
        <v>2</v>
      </c>
    </row>
    <row r="27857" spans="1:10" x14ac:dyDescent="0.25">
      <c r="A27857" t="s">
        <v>310</v>
      </c>
      <c r="B27857" s="1" t="str">
        <f>HYPERLINK("http://vsassoon.fi","vsassoon.fi")</f>
        <v>vsassoon.fi</v>
      </c>
      <c r="C27857" t="s">
        <v>445</v>
      </c>
      <c r="D27857" t="s">
        <v>823</v>
      </c>
      <c r="J27857">
        <v>2</v>
      </c>
    </row>
    <row r="27858" spans="1:10" x14ac:dyDescent="0.25">
      <c r="A27858" t="s">
        <v>310</v>
      </c>
      <c r="B27858" s="1" t="str">
        <f>HYPERLINK("http://vssassoon.fi","vssassoon.fi")</f>
        <v>vssassoon.fi</v>
      </c>
      <c r="C27858" t="s">
        <v>445</v>
      </c>
      <c r="D27858" t="s">
        <v>823</v>
      </c>
      <c r="J27858">
        <v>2</v>
      </c>
    </row>
    <row r="27859" spans="1:10" x14ac:dyDescent="0.25">
      <c r="A27859" t="s">
        <v>310</v>
      </c>
      <c r="B27859" s="1" t="str">
        <f>HYPERLINK("http://yliherkk.fi","yliherkk.fi")</f>
        <v>yliherkk.fi</v>
      </c>
      <c r="C27859" t="s">
        <v>445</v>
      </c>
      <c r="D27859" t="s">
        <v>823</v>
      </c>
      <c r="J27859">
        <v>2</v>
      </c>
    </row>
    <row r="27860" spans="1:10" x14ac:dyDescent="0.25">
      <c r="A27860" t="s">
        <v>310</v>
      </c>
      <c r="B27860" s="1" t="str">
        <f>HYPERLINK("http://yliherkka.fi","yliherkka.fi")</f>
        <v>yliherkka.fi</v>
      </c>
      <c r="C27860" t="s">
        <v>445</v>
      </c>
      <c r="D27860" t="s">
        <v>823</v>
      </c>
      <c r="J27860">
        <v>2</v>
      </c>
    </row>
    <row r="27861" spans="1:10" x14ac:dyDescent="0.25">
      <c r="A27861" t="s">
        <v>310</v>
      </c>
      <c r="B27861" s="1" t="str">
        <f>HYPERLINK("http://always.fr","always.fr")</f>
        <v>always.fr</v>
      </c>
      <c r="C27861" t="s">
        <v>446</v>
      </c>
      <c r="D27861" t="s">
        <v>824</v>
      </c>
      <c r="F27861">
        <v>3.9510286763335702E-8</v>
      </c>
      <c r="G27861">
        <v>1306593</v>
      </c>
      <c r="H27861">
        <v>13709056</v>
      </c>
      <c r="I27861">
        <v>9508287</v>
      </c>
      <c r="J27861">
        <v>4</v>
      </c>
    </row>
    <row r="27862" spans="1:10" x14ac:dyDescent="0.25">
      <c r="A27862" t="s">
        <v>310</v>
      </c>
      <c r="B27862" s="1" t="str">
        <f>HYPERLINK("http://aussiehair.fr","aussiehair.fr")</f>
        <v>aussiehair.fr</v>
      </c>
      <c r="C27862" t="s">
        <v>446</v>
      </c>
      <c r="D27862" t="s">
        <v>824</v>
      </c>
      <c r="F27862">
        <v>5.8502448362067597E-9</v>
      </c>
      <c r="G27862">
        <v>17708233</v>
      </c>
      <c r="H27862">
        <v>10726376</v>
      </c>
      <c r="I27862">
        <v>41244344</v>
      </c>
      <c r="J27862">
        <v>3</v>
      </c>
    </row>
    <row r="27863" spans="1:10" x14ac:dyDescent="0.25">
      <c r="A27863" t="s">
        <v>310</v>
      </c>
      <c r="B27863" s="1" t="str">
        <f>HYPERLINK("http://febreze.fr","febreze.fr")</f>
        <v>febreze.fr</v>
      </c>
      <c r="C27863" t="s">
        <v>446</v>
      </c>
      <c r="D27863" t="s">
        <v>824</v>
      </c>
      <c r="F27863">
        <v>4.8994381337514501E-9</v>
      </c>
      <c r="G27863">
        <v>32482215</v>
      </c>
      <c r="H27863">
        <v>12871948</v>
      </c>
      <c r="I27863">
        <v>14055070</v>
      </c>
      <c r="J27863">
        <v>2</v>
      </c>
    </row>
    <row r="27864" spans="1:10" x14ac:dyDescent="0.25">
      <c r="A27864" t="s">
        <v>310</v>
      </c>
      <c r="B27864" s="1" t="str">
        <f>HYPERLINK("http://gillette.fr","gillette.fr")</f>
        <v>gillette.fr</v>
      </c>
      <c r="C27864" t="s">
        <v>446</v>
      </c>
      <c r="D27864" t="s">
        <v>824</v>
      </c>
      <c r="F27864">
        <v>6.5448420524418605E-8</v>
      </c>
      <c r="G27864">
        <v>657069</v>
      </c>
      <c r="H27864">
        <v>13816902</v>
      </c>
      <c r="I27864">
        <v>6159809</v>
      </c>
      <c r="J27864">
        <v>3</v>
      </c>
    </row>
    <row r="27865" spans="1:10" x14ac:dyDescent="0.25">
      <c r="A27865" t="s">
        <v>310</v>
      </c>
      <c r="B27865" s="1" t="str">
        <f>HYPERLINK("http://merck-medication-familiale.fr","merck-medication-familiale.fr")</f>
        <v>merck-medication-familiale.fr</v>
      </c>
      <c r="C27865" t="s">
        <v>446</v>
      </c>
      <c r="D27865" t="s">
        <v>824</v>
      </c>
      <c r="F27865">
        <v>4.84278793304416E-9</v>
      </c>
      <c r="G27865">
        <v>34382727</v>
      </c>
      <c r="H27865">
        <v>10900139</v>
      </c>
      <c r="I27865">
        <v>35833037</v>
      </c>
      <c r="J27865">
        <v>3</v>
      </c>
    </row>
    <row r="27866" spans="1:10" x14ac:dyDescent="0.25">
      <c r="A27866" t="s">
        <v>310</v>
      </c>
      <c r="B27866" s="1" t="str">
        <f>HYPERLINK("http://oralb.fr","oralb.fr")</f>
        <v>oralb.fr</v>
      </c>
      <c r="C27866" t="s">
        <v>446</v>
      </c>
      <c r="D27866" t="s">
        <v>824</v>
      </c>
      <c r="F27866">
        <v>6.6891710304442999E-8</v>
      </c>
      <c r="G27866">
        <v>639772</v>
      </c>
      <c r="H27866">
        <v>14258489</v>
      </c>
      <c r="I27866">
        <v>1424904</v>
      </c>
      <c r="J27866">
        <v>3</v>
      </c>
    </row>
    <row r="27867" spans="1:10" x14ac:dyDescent="0.25">
      <c r="A27867" t="s">
        <v>310</v>
      </c>
      <c r="B27867" s="1" t="str">
        <f>HYPERLINK("http://oralb-offreparrain.fr","oralb-offreparrain.fr")</f>
        <v>oralb-offreparrain.fr</v>
      </c>
      <c r="C27867" t="s">
        <v>446</v>
      </c>
      <c r="D27867" t="s">
        <v>824</v>
      </c>
      <c r="J27867">
        <v>2</v>
      </c>
    </row>
    <row r="27868" spans="1:10" x14ac:dyDescent="0.25">
      <c r="A27868" t="s">
        <v>310</v>
      </c>
      <c r="B27868" s="1" t="str">
        <f>HYPERLINK("http://pampers.fr","pampers.fr")</f>
        <v>pampers.fr</v>
      </c>
      <c r="C27868" t="s">
        <v>446</v>
      </c>
      <c r="D27868" t="s">
        <v>824</v>
      </c>
      <c r="E27868">
        <v>650616</v>
      </c>
      <c r="F27868">
        <v>7.5297777130277706E-8</v>
      </c>
      <c r="G27868">
        <v>558442</v>
      </c>
      <c r="H27868">
        <v>14165579</v>
      </c>
      <c r="I27868">
        <v>1821278</v>
      </c>
      <c r="J27868">
        <v>3</v>
      </c>
    </row>
    <row r="27869" spans="1:10" x14ac:dyDescent="0.25">
      <c r="A27869" t="s">
        <v>310</v>
      </c>
      <c r="B27869" s="1" t="str">
        <f>HYPERLINK("http://febreze.gr","febreze.gr")</f>
        <v>febreze.gr</v>
      </c>
      <c r="C27869" t="s">
        <v>447</v>
      </c>
      <c r="D27869" t="s">
        <v>825</v>
      </c>
      <c r="J27869">
        <v>2</v>
      </c>
    </row>
    <row r="27870" spans="1:10" x14ac:dyDescent="0.25">
      <c r="A27870" t="s">
        <v>310</v>
      </c>
      <c r="B27870" s="1" t="str">
        <f>HYPERLINK("http://pampers.gr","pampers.gr")</f>
        <v>pampers.gr</v>
      </c>
      <c r="C27870" t="s">
        <v>447</v>
      </c>
      <c r="D27870" t="s">
        <v>825</v>
      </c>
      <c r="F27870">
        <v>3.3270599686935298E-8</v>
      </c>
      <c r="G27870">
        <v>1553159</v>
      </c>
      <c r="H27870">
        <v>13788006</v>
      </c>
      <c r="I27870">
        <v>6368219</v>
      </c>
      <c r="J27870">
        <v>3</v>
      </c>
    </row>
    <row r="27871" spans="1:10" x14ac:dyDescent="0.25">
      <c r="A27871" t="s">
        <v>310</v>
      </c>
      <c r="B27871" s="1" t="str">
        <f>HYPERLINK("http://febreze.com.gt","febreze.com.gt")</f>
        <v>febreze.com.gt</v>
      </c>
      <c r="C27871" t="s">
        <v>448</v>
      </c>
      <c r="D27871" t="s">
        <v>826</v>
      </c>
      <c r="J27871">
        <v>2</v>
      </c>
    </row>
    <row r="27872" spans="1:10" x14ac:dyDescent="0.25">
      <c r="A27872" t="s">
        <v>310</v>
      </c>
      <c r="B27872" s="1" t="str">
        <f>HYPERLINK("http://oralb.com.gt","oralb.com.gt")</f>
        <v>oralb.com.gt</v>
      </c>
      <c r="C27872" t="s">
        <v>448</v>
      </c>
      <c r="D27872" t="s">
        <v>826</v>
      </c>
      <c r="F27872">
        <v>4.4919005999924499E-9</v>
      </c>
      <c r="G27872">
        <v>60204598</v>
      </c>
      <c r="H27872">
        <v>12078146</v>
      </c>
      <c r="I27872">
        <v>26604545</v>
      </c>
      <c r="J27872">
        <v>4</v>
      </c>
    </row>
    <row r="27873" spans="1:10" x14ac:dyDescent="0.25">
      <c r="A27873" t="s">
        <v>310</v>
      </c>
      <c r="B27873" s="1" t="str">
        <f>HYPERLINK("http://pampers.com.hk","pampers.com.hk")</f>
        <v>pampers.com.hk</v>
      </c>
      <c r="C27873" t="s">
        <v>450</v>
      </c>
      <c r="D27873" t="s">
        <v>827</v>
      </c>
      <c r="F27873">
        <v>1.81806886228944E-8</v>
      </c>
      <c r="G27873">
        <v>2993560</v>
      </c>
      <c r="H27873">
        <v>13560652</v>
      </c>
      <c r="I27873">
        <v>9849843</v>
      </c>
      <c r="J27873">
        <v>3</v>
      </c>
    </row>
    <row r="27874" spans="1:10" x14ac:dyDescent="0.25">
      <c r="A27874" t="s">
        <v>310</v>
      </c>
      <c r="B27874" s="1" t="str">
        <f>HYPERLINK("http://sk-ii.com.hk","sk-ii.com.hk")</f>
        <v>sk-ii.com.hk</v>
      </c>
      <c r="C27874" t="s">
        <v>450</v>
      </c>
      <c r="D27874" t="s">
        <v>827</v>
      </c>
      <c r="F27874">
        <v>2.9672193879804299E-8</v>
      </c>
      <c r="G27874">
        <v>1734992</v>
      </c>
      <c r="H27874">
        <v>14121774</v>
      </c>
      <c r="I27874">
        <v>2238679</v>
      </c>
      <c r="J27874">
        <v>4</v>
      </c>
    </row>
    <row r="27875" spans="1:10" x14ac:dyDescent="0.25">
      <c r="A27875" t="s">
        <v>310</v>
      </c>
      <c r="B27875" s="1" t="str">
        <f>HYPERLINK("http://pampers.com.hr","pampers.com.hr")</f>
        <v>pampers.com.hr</v>
      </c>
      <c r="C27875" t="s">
        <v>452</v>
      </c>
      <c r="D27875" t="s">
        <v>829</v>
      </c>
      <c r="F27875">
        <v>1.6899206633555701E-8</v>
      </c>
      <c r="G27875">
        <v>3307403</v>
      </c>
      <c r="H27875">
        <v>14073770</v>
      </c>
      <c r="I27875">
        <v>2972752</v>
      </c>
      <c r="J27875">
        <v>3</v>
      </c>
    </row>
    <row r="27876" spans="1:10" x14ac:dyDescent="0.25">
      <c r="A27876" t="s">
        <v>310</v>
      </c>
      <c r="B27876" s="1" t="str">
        <f>HYPERLINK("http://braun.hu","braun.hu")</f>
        <v>braun.hu</v>
      </c>
      <c r="C27876" t="s">
        <v>453</v>
      </c>
      <c r="D27876" t="s">
        <v>830</v>
      </c>
      <c r="F27876">
        <v>3.1731483542716303E-8</v>
      </c>
      <c r="G27876">
        <v>1627099</v>
      </c>
      <c r="H27876">
        <v>13021379</v>
      </c>
      <c r="I27876">
        <v>12707260</v>
      </c>
      <c r="J27876">
        <v>3</v>
      </c>
    </row>
    <row r="27877" spans="1:10" x14ac:dyDescent="0.25">
      <c r="A27877" t="s">
        <v>310</v>
      </c>
      <c r="B27877" s="1" t="str">
        <f>HYPERLINK("http://femibion.hu","femibion.hu")</f>
        <v>femibion.hu</v>
      </c>
      <c r="C27877" t="s">
        <v>453</v>
      </c>
      <c r="D27877" t="s">
        <v>830</v>
      </c>
      <c r="F27877">
        <v>5.6867337037157799E-9</v>
      </c>
      <c r="G27877">
        <v>19073090</v>
      </c>
      <c r="H27877">
        <v>13763636</v>
      </c>
      <c r="I27877">
        <v>8106997</v>
      </c>
      <c r="J27877">
        <v>2</v>
      </c>
    </row>
    <row r="27878" spans="1:10" x14ac:dyDescent="0.25">
      <c r="A27878" t="s">
        <v>310</v>
      </c>
      <c r="B27878" s="1" t="str">
        <f>HYPERLINK("http://kutatasi-kozpont.hu","kutatasi-kozpont.hu")</f>
        <v>kutatasi-kozpont.hu</v>
      </c>
      <c r="C27878" t="s">
        <v>453</v>
      </c>
      <c r="D27878" t="s">
        <v>830</v>
      </c>
      <c r="F27878">
        <v>4.7584361531478397E-8</v>
      </c>
      <c r="G27878">
        <v>978547</v>
      </c>
      <c r="H27878">
        <v>13050222</v>
      </c>
      <c r="I27878">
        <v>12584875</v>
      </c>
      <c r="J27878">
        <v>4</v>
      </c>
    </row>
    <row r="27879" spans="1:10" x14ac:dyDescent="0.25">
      <c r="A27879" t="s">
        <v>310</v>
      </c>
      <c r="B27879" s="1" t="str">
        <f>HYPERLINK("http://nasivin.hu","nasivin.hu")</f>
        <v>nasivin.hu</v>
      </c>
      <c r="C27879" t="s">
        <v>453</v>
      </c>
      <c r="D27879" t="s">
        <v>830</v>
      </c>
      <c r="J27879">
        <v>2</v>
      </c>
    </row>
    <row r="27880" spans="1:10" x14ac:dyDescent="0.25">
      <c r="A27880" t="s">
        <v>310</v>
      </c>
      <c r="B27880" s="1" t="str">
        <f>HYPERLINK("http://pampers.hu","pampers.hu")</f>
        <v>pampers.hu</v>
      </c>
      <c r="C27880" t="s">
        <v>453</v>
      </c>
      <c r="D27880" t="s">
        <v>830</v>
      </c>
      <c r="F27880">
        <v>3.2505011065250798E-8</v>
      </c>
      <c r="G27880">
        <v>1589575</v>
      </c>
      <c r="H27880">
        <v>13789331</v>
      </c>
      <c r="I27880">
        <v>6356223</v>
      </c>
      <c r="J27880">
        <v>3</v>
      </c>
    </row>
    <row r="27881" spans="1:10" x14ac:dyDescent="0.25">
      <c r="A27881" t="s">
        <v>310</v>
      </c>
      <c r="B27881" s="1" t="str">
        <f>HYPERLINK("http://headandshoulders.co.id","headandshoulders.co.id")</f>
        <v>headandshoulders.co.id</v>
      </c>
      <c r="C27881" t="s">
        <v>454</v>
      </c>
      <c r="D27881" t="s">
        <v>831</v>
      </c>
      <c r="F27881">
        <v>1.3044001983042299E-8</v>
      </c>
      <c r="G27881">
        <v>4610236</v>
      </c>
      <c r="H27881">
        <v>12253020</v>
      </c>
      <c r="I27881">
        <v>21941288</v>
      </c>
      <c r="J27881">
        <v>4</v>
      </c>
    </row>
    <row r="27882" spans="1:10" x14ac:dyDescent="0.25">
      <c r="A27882" t="s">
        <v>310</v>
      </c>
      <c r="B27882" s="1" t="str">
        <f>HYPERLINK("http://pantene.co.id","pantene.co.id")</f>
        <v>pantene.co.id</v>
      </c>
      <c r="C27882" t="s">
        <v>454</v>
      </c>
      <c r="D27882" t="s">
        <v>831</v>
      </c>
      <c r="F27882">
        <v>2.20752161558535E-8</v>
      </c>
      <c r="G27882">
        <v>2377359</v>
      </c>
      <c r="H27882">
        <v>14374221</v>
      </c>
      <c r="I27882">
        <v>1245301</v>
      </c>
      <c r="J27882">
        <v>4</v>
      </c>
    </row>
    <row r="27883" spans="1:10" x14ac:dyDescent="0.25">
      <c r="A27883" t="s">
        <v>310</v>
      </c>
      <c r="B27883" s="1" t="str">
        <f>HYPERLINK("http://headandshoulders.co.il","headandshoulders.co.il")</f>
        <v>headandshoulders.co.il</v>
      </c>
      <c r="C27883" t="s">
        <v>456</v>
      </c>
      <c r="D27883" t="s">
        <v>833</v>
      </c>
      <c r="F27883">
        <v>1.42871313492318E-8</v>
      </c>
      <c r="G27883">
        <v>4097914</v>
      </c>
      <c r="H27883">
        <v>13786141</v>
      </c>
      <c r="I27883">
        <v>6390496</v>
      </c>
      <c r="J27883">
        <v>4</v>
      </c>
    </row>
    <row r="27884" spans="1:10" x14ac:dyDescent="0.25">
      <c r="A27884" t="s">
        <v>310</v>
      </c>
      <c r="B27884" s="1" t="str">
        <f>HYPERLINK("http://oralb.co.il","oralb.co.il")</f>
        <v>oralb.co.il</v>
      </c>
      <c r="C27884" t="s">
        <v>456</v>
      </c>
      <c r="D27884" t="s">
        <v>833</v>
      </c>
      <c r="F27884">
        <v>3.32878281842087E-8</v>
      </c>
      <c r="G27884">
        <v>1552429</v>
      </c>
      <c r="H27884">
        <v>13040075</v>
      </c>
      <c r="I27884">
        <v>12624896</v>
      </c>
      <c r="J27884">
        <v>3</v>
      </c>
    </row>
    <row r="27885" spans="1:10" x14ac:dyDescent="0.25">
      <c r="A27885" t="s">
        <v>310</v>
      </c>
      <c r="B27885" s="1" t="str">
        <f>HYPERLINK("http://pampers.co.il","pampers.co.il")</f>
        <v>pampers.co.il</v>
      </c>
      <c r="C27885" t="s">
        <v>456</v>
      </c>
      <c r="D27885" t="s">
        <v>833</v>
      </c>
      <c r="F27885">
        <v>1.52324440790882E-8</v>
      </c>
      <c r="G27885">
        <v>3766017</v>
      </c>
      <c r="H27885">
        <v>14236250</v>
      </c>
      <c r="I27885">
        <v>1596029</v>
      </c>
      <c r="J27885">
        <v>3</v>
      </c>
    </row>
    <row r="27886" spans="1:10" x14ac:dyDescent="0.25">
      <c r="A27886" t="s">
        <v>310</v>
      </c>
      <c r="B27886" s="1" t="str">
        <f>HYPERLINK("http://ariel.in","ariel.in")</f>
        <v>ariel.in</v>
      </c>
      <c r="C27886" t="s">
        <v>457</v>
      </c>
      <c r="D27886" t="s">
        <v>834</v>
      </c>
      <c r="E27886">
        <v>938059</v>
      </c>
      <c r="F27886">
        <v>5.6114430886656699E-8</v>
      </c>
      <c r="G27886">
        <v>797906</v>
      </c>
      <c r="H27886">
        <v>14500070</v>
      </c>
      <c r="I27886">
        <v>854711</v>
      </c>
      <c r="J27886">
        <v>2</v>
      </c>
    </row>
    <row r="27887" spans="1:10" x14ac:dyDescent="0.25">
      <c r="A27887" t="s">
        <v>310</v>
      </c>
      <c r="B27887" s="1" t="str">
        <f>HYPERLINK("http://gillette.co.in","gillette.co.in")</f>
        <v>gillette.co.in</v>
      </c>
      <c r="C27887" t="s">
        <v>457</v>
      </c>
      <c r="D27887" t="s">
        <v>834</v>
      </c>
      <c r="F27887">
        <v>2.5491128829035999E-8</v>
      </c>
      <c r="G27887">
        <v>2023456</v>
      </c>
      <c r="H27887">
        <v>12623776</v>
      </c>
      <c r="I27887">
        <v>16050010</v>
      </c>
      <c r="J27887">
        <v>3</v>
      </c>
    </row>
    <row r="27888" spans="1:10" x14ac:dyDescent="0.25">
      <c r="A27888" t="s">
        <v>310</v>
      </c>
      <c r="B27888" s="1" t="str">
        <f>HYPERLINK("http://headandshoulders.co.in","headandshoulders.co.in")</f>
        <v>headandshoulders.co.in</v>
      </c>
      <c r="C27888" t="s">
        <v>457</v>
      </c>
      <c r="D27888" t="s">
        <v>834</v>
      </c>
      <c r="F27888">
        <v>2.66981092988073E-8</v>
      </c>
      <c r="G27888">
        <v>1927731</v>
      </c>
      <c r="H27888">
        <v>14416945</v>
      </c>
      <c r="I27888">
        <v>1100210</v>
      </c>
      <c r="J27888">
        <v>4</v>
      </c>
    </row>
    <row r="27889" spans="1:10" x14ac:dyDescent="0.25">
      <c r="A27889" t="s">
        <v>310</v>
      </c>
      <c r="B27889" s="1" t="str">
        <f>HYPERLINK("http://oral-b.co.in","oral-b.co.in")</f>
        <v>oral-b.co.in</v>
      </c>
      <c r="C27889" t="s">
        <v>457</v>
      </c>
      <c r="D27889" t="s">
        <v>834</v>
      </c>
      <c r="F27889">
        <v>4.2928210753514799E-8</v>
      </c>
      <c r="G27889">
        <v>1121585</v>
      </c>
      <c r="H27889">
        <v>12843285</v>
      </c>
      <c r="I27889">
        <v>14328906</v>
      </c>
      <c r="J27889">
        <v>2</v>
      </c>
    </row>
    <row r="27890" spans="1:10" x14ac:dyDescent="0.25">
      <c r="A27890" t="s">
        <v>310</v>
      </c>
      <c r="B27890" s="1" t="str">
        <f>HYPERLINK("http://vicks.co.in","vicks.co.in")</f>
        <v>vicks.co.in</v>
      </c>
      <c r="C27890" t="s">
        <v>457</v>
      </c>
      <c r="D27890" t="s">
        <v>834</v>
      </c>
      <c r="F27890">
        <v>1.9053439556301901E-8</v>
      </c>
      <c r="G27890">
        <v>2826067</v>
      </c>
      <c r="H27890">
        <v>12808372</v>
      </c>
      <c r="I27890">
        <v>14597048</v>
      </c>
      <c r="J27890">
        <v>3</v>
      </c>
    </row>
    <row r="27891" spans="1:10" x14ac:dyDescent="0.25">
      <c r="A27891" t="s">
        <v>310</v>
      </c>
      <c r="B27891" s="1" t="str">
        <f>HYPERLINK("http://evion.in","evion.in")</f>
        <v>evion.in</v>
      </c>
      <c r="C27891" t="s">
        <v>457</v>
      </c>
      <c r="D27891" t="s">
        <v>834</v>
      </c>
      <c r="F27891">
        <v>6.0715895352055699E-9</v>
      </c>
      <c r="G27891">
        <v>16256488</v>
      </c>
      <c r="H27891">
        <v>11499623</v>
      </c>
      <c r="I27891">
        <v>30031494</v>
      </c>
      <c r="J27891">
        <v>2</v>
      </c>
    </row>
    <row r="27892" spans="1:10" x14ac:dyDescent="0.25">
      <c r="A27892" t="s">
        <v>310</v>
      </c>
      <c r="B27892" s="1" t="str">
        <f>HYPERLINK("http://lenor.info","lenor.info")</f>
        <v>lenor.info</v>
      </c>
      <c r="C27892" t="s">
        <v>458</v>
      </c>
      <c r="J27892">
        <v>2</v>
      </c>
    </row>
    <row r="27893" spans="1:10" x14ac:dyDescent="0.25">
      <c r="A27893" t="s">
        <v>310</v>
      </c>
      <c r="B27893" s="1" t="str">
        <f>HYPERLINK("http://fater.it","fater.it")</f>
        <v>fater.it</v>
      </c>
      <c r="C27893" t="s">
        <v>459</v>
      </c>
      <c r="D27893" t="s">
        <v>835</v>
      </c>
      <c r="F27893">
        <v>1.31870408539479E-8</v>
      </c>
      <c r="G27893">
        <v>4543979</v>
      </c>
      <c r="H27893">
        <v>13770057</v>
      </c>
      <c r="I27893">
        <v>6747022</v>
      </c>
      <c r="J27893">
        <v>2</v>
      </c>
    </row>
    <row r="27894" spans="1:10" x14ac:dyDescent="0.25">
      <c r="A27894" t="s">
        <v>310</v>
      </c>
      <c r="B27894" s="1" t="str">
        <f>HYPERLINK("http://febreze.it","febreze.it")</f>
        <v>febreze.it</v>
      </c>
      <c r="C27894" t="s">
        <v>459</v>
      </c>
      <c r="D27894" t="s">
        <v>835</v>
      </c>
      <c r="F27894">
        <v>4.4940389810916798E-9</v>
      </c>
      <c r="G27894">
        <v>59854626</v>
      </c>
      <c r="H27894">
        <v>11133935</v>
      </c>
      <c r="I27894">
        <v>31906786</v>
      </c>
      <c r="J27894">
        <v>2</v>
      </c>
    </row>
    <row r="27895" spans="1:10" x14ac:dyDescent="0.25">
      <c r="A27895" t="s">
        <v>310</v>
      </c>
      <c r="B27895" s="1" t="str">
        <f>HYPERLINK("http://lines.it","lines.it")</f>
        <v>lines.it</v>
      </c>
      <c r="C27895" t="s">
        <v>459</v>
      </c>
      <c r="D27895" t="s">
        <v>835</v>
      </c>
      <c r="F27895">
        <v>1.85259560692569E-8</v>
      </c>
      <c r="G27895">
        <v>2920889</v>
      </c>
      <c r="H27895">
        <v>13770275</v>
      </c>
      <c r="I27895">
        <v>6736686</v>
      </c>
      <c r="J27895">
        <v>3</v>
      </c>
    </row>
    <row r="27896" spans="1:10" x14ac:dyDescent="0.25">
      <c r="A27896" t="s">
        <v>310</v>
      </c>
      <c r="B27896" s="1" t="str">
        <f>HYPERLINK("http://linesspecialistdermaprotection.it","linesspecialistdermaprotection.it")</f>
        <v>linesspecialistdermaprotection.it</v>
      </c>
      <c r="C27896" t="s">
        <v>459</v>
      </c>
      <c r="D27896" t="s">
        <v>835</v>
      </c>
      <c r="J27896">
        <v>2</v>
      </c>
    </row>
    <row r="27897" spans="1:10" x14ac:dyDescent="0.25">
      <c r="A27897" t="s">
        <v>310</v>
      </c>
      <c r="B27897" s="1" t="str">
        <f>HYPERLINK("http://vicks.it","vicks.it")</f>
        <v>vicks.it</v>
      </c>
      <c r="C27897" t="s">
        <v>459</v>
      </c>
      <c r="D27897" t="s">
        <v>835</v>
      </c>
      <c r="F27897">
        <v>2.5407808706781099E-8</v>
      </c>
      <c r="G27897">
        <v>2030476</v>
      </c>
      <c r="H27897">
        <v>13129153</v>
      </c>
      <c r="I27897">
        <v>11944653</v>
      </c>
      <c r="J27897">
        <v>2</v>
      </c>
    </row>
    <row r="27898" spans="1:10" x14ac:dyDescent="0.25">
      <c r="A27898" t="s">
        <v>310</v>
      </c>
      <c r="B27898" s="1" t="str">
        <f>HYPERLINK("http://ariel.jp","ariel.jp")</f>
        <v>ariel.jp</v>
      </c>
      <c r="C27898" t="s">
        <v>461</v>
      </c>
      <c r="D27898" t="s">
        <v>837</v>
      </c>
      <c r="F27898">
        <v>3.6361934922200501E-8</v>
      </c>
      <c r="G27898">
        <v>1435128</v>
      </c>
      <c r="H27898">
        <v>13260962</v>
      </c>
      <c r="I27898">
        <v>11038029</v>
      </c>
      <c r="J27898">
        <v>2</v>
      </c>
    </row>
    <row r="27899" spans="1:10" x14ac:dyDescent="0.25">
      <c r="A27899" t="s">
        <v>310</v>
      </c>
      <c r="B27899" s="1" t="str">
        <f>HYPERLINK("http://braun.jp","braun.jp")</f>
        <v>braun.jp</v>
      </c>
      <c r="C27899" t="s">
        <v>461</v>
      </c>
      <c r="D27899" t="s">
        <v>837</v>
      </c>
      <c r="F27899">
        <v>7.0664215806406298E-8</v>
      </c>
      <c r="G27899">
        <v>598943</v>
      </c>
      <c r="H27899">
        <v>14144205</v>
      </c>
      <c r="I27899">
        <v>1907921</v>
      </c>
      <c r="J27899">
        <v>2</v>
      </c>
    </row>
    <row r="27900" spans="1:10" x14ac:dyDescent="0.25">
      <c r="A27900" t="s">
        <v>310</v>
      </c>
      <c r="B27900" s="1" t="str">
        <f>HYPERLINK("http://febreze.jp","febreze.jp")</f>
        <v>febreze.jp</v>
      </c>
      <c r="C27900" t="s">
        <v>461</v>
      </c>
      <c r="D27900" t="s">
        <v>837</v>
      </c>
      <c r="F27900">
        <v>6.5012198840329297E-9</v>
      </c>
      <c r="G27900">
        <v>14073202</v>
      </c>
      <c r="H27900">
        <v>13242644</v>
      </c>
      <c r="I27900">
        <v>11204012</v>
      </c>
      <c r="J27900">
        <v>2</v>
      </c>
    </row>
    <row r="27901" spans="1:10" x14ac:dyDescent="0.25">
      <c r="A27901" t="s">
        <v>310</v>
      </c>
      <c r="B27901" s="1" t="str">
        <f>HYPERLINK("http://hairrecipe.jp","hairrecipe.jp")</f>
        <v>hairrecipe.jp</v>
      </c>
      <c r="C27901" t="s">
        <v>461</v>
      </c>
      <c r="D27901" t="s">
        <v>837</v>
      </c>
      <c r="F27901">
        <v>2.0324362869074502E-8</v>
      </c>
      <c r="G27901">
        <v>2610446</v>
      </c>
      <c r="H27901">
        <v>12744752</v>
      </c>
      <c r="I27901">
        <v>15091896</v>
      </c>
      <c r="J27901">
        <v>2</v>
      </c>
    </row>
    <row r="27902" spans="1:10" x14ac:dyDescent="0.25">
      <c r="A27902" t="s">
        <v>310</v>
      </c>
      <c r="B27902" s="1" t="str">
        <f>HYPERLINK("http://pampers.jp","pampers.jp")</f>
        <v>pampers.jp</v>
      </c>
      <c r="C27902" t="s">
        <v>461</v>
      </c>
      <c r="D27902" t="s">
        <v>837</v>
      </c>
      <c r="F27902">
        <v>6.0576955168021402E-9</v>
      </c>
      <c r="G27902">
        <v>16338416</v>
      </c>
      <c r="H27902">
        <v>12133543</v>
      </c>
      <c r="I27902">
        <v>25037462</v>
      </c>
      <c r="J27902">
        <v>4</v>
      </c>
    </row>
    <row r="27903" spans="1:10" x14ac:dyDescent="0.25">
      <c r="A27903" t="s">
        <v>310</v>
      </c>
      <c r="B27903" s="1" t="str">
        <f>HYPERLINK("http://sk-ii.jp","sk-ii.jp")</f>
        <v>sk-ii.jp</v>
      </c>
      <c r="C27903" t="s">
        <v>461</v>
      </c>
      <c r="D27903" t="s">
        <v>837</v>
      </c>
      <c r="E27903">
        <v>629165</v>
      </c>
      <c r="F27903">
        <v>6.7828358715107002E-8</v>
      </c>
      <c r="G27903">
        <v>629494</v>
      </c>
      <c r="H27903">
        <v>14658400</v>
      </c>
      <c r="I27903">
        <v>621521</v>
      </c>
      <c r="J27903">
        <v>3</v>
      </c>
    </row>
    <row r="27904" spans="1:10" x14ac:dyDescent="0.25">
      <c r="A27904" t="s">
        <v>310</v>
      </c>
      <c r="B27904" s="1" t="str">
        <f>HYPERLINK("http://braun.kr","braun.kr")</f>
        <v>braun.kr</v>
      </c>
      <c r="C27904" t="s">
        <v>463</v>
      </c>
      <c r="D27904" t="s">
        <v>839</v>
      </c>
      <c r="F27904">
        <v>1.2591501626106801E-8</v>
      </c>
      <c r="G27904">
        <v>4835206</v>
      </c>
      <c r="H27904">
        <v>12989976</v>
      </c>
      <c r="I27904">
        <v>12859957</v>
      </c>
      <c r="J27904">
        <v>3</v>
      </c>
    </row>
    <row r="27905" spans="1:10" x14ac:dyDescent="0.25">
      <c r="A27905" t="s">
        <v>310</v>
      </c>
      <c r="B27905" s="1" t="str">
        <f>HYPERLINK("http://febreze.co.kr","febreze.co.kr")</f>
        <v>febreze.co.kr</v>
      </c>
      <c r="C27905" t="s">
        <v>463</v>
      </c>
      <c r="D27905" t="s">
        <v>839</v>
      </c>
      <c r="F27905">
        <v>4.7192452221005102E-9</v>
      </c>
      <c r="G27905">
        <v>40257477</v>
      </c>
      <c r="H27905">
        <v>10510208</v>
      </c>
      <c r="I27905">
        <v>49637543</v>
      </c>
      <c r="J27905">
        <v>2</v>
      </c>
    </row>
    <row r="27906" spans="1:10" x14ac:dyDescent="0.25">
      <c r="A27906" t="s">
        <v>310</v>
      </c>
      <c r="B27906" s="1" t="str">
        <f>HYPERLINK("http://oral-b.co.kr","oral-b.co.kr")</f>
        <v>oral-b.co.kr</v>
      </c>
      <c r="C27906" t="s">
        <v>463</v>
      </c>
      <c r="D27906" t="s">
        <v>839</v>
      </c>
      <c r="F27906">
        <v>3.0054436251537801E-8</v>
      </c>
      <c r="G27906">
        <v>1711990</v>
      </c>
      <c r="H27906">
        <v>12696023</v>
      </c>
      <c r="I27906">
        <v>15380953</v>
      </c>
      <c r="J27906">
        <v>3</v>
      </c>
    </row>
    <row r="27907" spans="1:10" x14ac:dyDescent="0.25">
      <c r="A27907" t="s">
        <v>310</v>
      </c>
      <c r="B27907" s="1" t="str">
        <f>HYPERLINK("http://pg.co.kr","pg.co.kr")</f>
        <v>pg.co.kr</v>
      </c>
      <c r="C27907" t="s">
        <v>463</v>
      </c>
      <c r="D27907" t="s">
        <v>839</v>
      </c>
      <c r="F27907">
        <v>2.0236251458420201E-8</v>
      </c>
      <c r="G27907">
        <v>2623764</v>
      </c>
      <c r="H27907">
        <v>14074977</v>
      </c>
      <c r="I27907">
        <v>2922955</v>
      </c>
      <c r="J27907">
        <v>2</v>
      </c>
    </row>
    <row r="27908" spans="1:10" x14ac:dyDescent="0.25">
      <c r="A27908" t="s">
        <v>310</v>
      </c>
      <c r="B27908" s="1" t="str">
        <f>HYPERLINK("http://sk2.co.kr","sk2.co.kr")</f>
        <v>sk2.co.kr</v>
      </c>
      <c r="C27908" t="s">
        <v>463</v>
      </c>
      <c r="D27908" t="s">
        <v>839</v>
      </c>
      <c r="F27908">
        <v>1.2940509385845299E-8</v>
      </c>
      <c r="G27908">
        <v>4660265</v>
      </c>
      <c r="H27908">
        <v>12668873</v>
      </c>
      <c r="I27908">
        <v>15632970</v>
      </c>
      <c r="J27908">
        <v>4</v>
      </c>
    </row>
    <row r="27909" spans="1:10" x14ac:dyDescent="0.25">
      <c r="A27909" t="s">
        <v>310</v>
      </c>
      <c r="B27909" s="1" t="str">
        <f>HYPERLINK("http://headandshoulders.ma","headandshoulders.ma")</f>
        <v>headandshoulders.ma</v>
      </c>
      <c r="C27909" t="s">
        <v>469</v>
      </c>
      <c r="D27909" t="s">
        <v>845</v>
      </c>
      <c r="F27909">
        <v>5.7448312702935101E-9</v>
      </c>
      <c r="G27909">
        <v>18539342</v>
      </c>
      <c r="H27909">
        <v>11301596</v>
      </c>
      <c r="I27909">
        <v>30601213</v>
      </c>
      <c r="J27909">
        <v>4</v>
      </c>
    </row>
    <row r="27910" spans="1:10" x14ac:dyDescent="0.25">
      <c r="A27910" t="s">
        <v>310</v>
      </c>
      <c r="B27910" s="1" t="str">
        <f>HYPERLINK("http://always.com.mx","always.com.mx")</f>
        <v>always.com.mx</v>
      </c>
      <c r="C27910" t="s">
        <v>471</v>
      </c>
      <c r="D27910" t="s">
        <v>847</v>
      </c>
      <c r="F27910">
        <v>1.6178280321168699E-8</v>
      </c>
      <c r="G27910">
        <v>3500927</v>
      </c>
      <c r="H27910">
        <v>12432096</v>
      </c>
      <c r="I27910">
        <v>18270441</v>
      </c>
      <c r="J27910">
        <v>4</v>
      </c>
    </row>
    <row r="27911" spans="1:10" x14ac:dyDescent="0.25">
      <c r="A27911" t="s">
        <v>310</v>
      </c>
      <c r="B27911" s="1" t="str">
        <f>HYPERLINK("http://ariel.com.mx","ariel.com.mx")</f>
        <v>ariel.com.mx</v>
      </c>
      <c r="C27911" t="s">
        <v>471</v>
      </c>
      <c r="D27911" t="s">
        <v>847</v>
      </c>
      <c r="F27911">
        <v>3.4251796474450599E-8</v>
      </c>
      <c r="G27911">
        <v>1513316</v>
      </c>
      <c r="H27911">
        <v>14120645</v>
      </c>
      <c r="I27911">
        <v>2336293</v>
      </c>
      <c r="J27911">
        <v>2</v>
      </c>
    </row>
    <row r="27912" spans="1:10" x14ac:dyDescent="0.25">
      <c r="A27912" t="s">
        <v>310</v>
      </c>
      <c r="B27912" s="1" t="str">
        <f>HYPERLINK("http://febreze.com.mx","febreze.com.mx")</f>
        <v>febreze.com.mx</v>
      </c>
      <c r="C27912" t="s">
        <v>471</v>
      </c>
      <c r="D27912" t="s">
        <v>847</v>
      </c>
      <c r="F27912">
        <v>4.5165389582668698E-9</v>
      </c>
      <c r="G27912">
        <v>56650328</v>
      </c>
      <c r="H27912">
        <v>11604698</v>
      </c>
      <c r="I27912">
        <v>29926641</v>
      </c>
      <c r="J27912">
        <v>2</v>
      </c>
    </row>
    <row r="27913" spans="1:10" x14ac:dyDescent="0.25">
      <c r="A27913" t="s">
        <v>310</v>
      </c>
      <c r="B27913" s="1" t="str">
        <f>HYPERLINK("http://oldspice.com.mx","oldspice.com.mx")</f>
        <v>oldspice.com.mx</v>
      </c>
      <c r="C27913" t="s">
        <v>471</v>
      </c>
      <c r="D27913" t="s">
        <v>847</v>
      </c>
      <c r="F27913">
        <v>1.4929521369949499E-8</v>
      </c>
      <c r="G27913">
        <v>3862846</v>
      </c>
      <c r="H27913">
        <v>14071798</v>
      </c>
      <c r="I27913">
        <v>3324418</v>
      </c>
      <c r="J27913">
        <v>2</v>
      </c>
    </row>
    <row r="27914" spans="1:10" x14ac:dyDescent="0.25">
      <c r="A27914" t="s">
        <v>310</v>
      </c>
      <c r="B27914" s="1" t="str">
        <f>HYPERLINK("http://oralb.com.mx","oralb.com.mx")</f>
        <v>oralb.com.mx</v>
      </c>
      <c r="C27914" t="s">
        <v>471</v>
      </c>
      <c r="D27914" t="s">
        <v>847</v>
      </c>
      <c r="F27914">
        <v>1.6896870893041299E-8</v>
      </c>
      <c r="G27914">
        <v>3308629</v>
      </c>
      <c r="H27914">
        <v>14238426</v>
      </c>
      <c r="I27914">
        <v>1527078</v>
      </c>
      <c r="J27914">
        <v>4</v>
      </c>
    </row>
    <row r="27915" spans="1:10" x14ac:dyDescent="0.25">
      <c r="A27915" t="s">
        <v>310</v>
      </c>
      <c r="B27915" s="1" t="str">
        <f>HYPERLINK("http://downy.mx","downy.mx")</f>
        <v>downy.mx</v>
      </c>
      <c r="C27915" t="s">
        <v>471</v>
      </c>
      <c r="D27915" t="s">
        <v>847</v>
      </c>
      <c r="F27915">
        <v>1.35498216488871E-8</v>
      </c>
      <c r="G27915">
        <v>4382895</v>
      </c>
      <c r="H27915">
        <v>12444377</v>
      </c>
      <c r="I27915">
        <v>18092296</v>
      </c>
      <c r="J27915">
        <v>2</v>
      </c>
    </row>
    <row r="27916" spans="1:10" x14ac:dyDescent="0.25">
      <c r="A27916" t="s">
        <v>310</v>
      </c>
      <c r="B27916" s="1" t="str">
        <f>HYPERLINK("http://fpg.com.my","fpg.com.my")</f>
        <v>fpg.com.my</v>
      </c>
      <c r="C27916" t="s">
        <v>472</v>
      </c>
      <c r="D27916" t="s">
        <v>848</v>
      </c>
      <c r="F27916">
        <v>4.5104788536006799E-9</v>
      </c>
      <c r="G27916">
        <v>57440066</v>
      </c>
      <c r="H27916">
        <v>10899947</v>
      </c>
      <c r="I27916">
        <v>35837732</v>
      </c>
      <c r="J27916">
        <v>3</v>
      </c>
    </row>
    <row r="27917" spans="1:10" x14ac:dyDescent="0.25">
      <c r="A27917" t="s">
        <v>310</v>
      </c>
      <c r="B27917" s="1" t="str">
        <f>HYPERLINK("http://headandshoulders.com.my","headandshoulders.com.my")</f>
        <v>headandshoulders.com.my</v>
      </c>
      <c r="C27917" t="s">
        <v>472</v>
      </c>
      <c r="D27917" t="s">
        <v>848</v>
      </c>
      <c r="F27917">
        <v>4.4608275589734098E-9</v>
      </c>
      <c r="G27917">
        <v>67496085</v>
      </c>
      <c r="H27917">
        <v>8638677</v>
      </c>
      <c r="I27917">
        <v>70467759</v>
      </c>
      <c r="J27917">
        <v>6</v>
      </c>
    </row>
    <row r="27918" spans="1:10" x14ac:dyDescent="0.25">
      <c r="A27918" t="s">
        <v>310</v>
      </c>
      <c r="B27918" s="1" t="str">
        <f>HYPERLINK("http://pantene.com.my","pantene.com.my")</f>
        <v>pantene.com.my</v>
      </c>
      <c r="C27918" t="s">
        <v>472</v>
      </c>
      <c r="D27918" t="s">
        <v>848</v>
      </c>
      <c r="F27918">
        <v>1.11851863455625E-8</v>
      </c>
      <c r="G27918">
        <v>5723398</v>
      </c>
      <c r="H27918">
        <v>14236153</v>
      </c>
      <c r="I27918">
        <v>1605929</v>
      </c>
      <c r="J27918">
        <v>4</v>
      </c>
    </row>
    <row r="27919" spans="1:10" x14ac:dyDescent="0.25">
      <c r="A27919" t="s">
        <v>310</v>
      </c>
      <c r="B27919" s="1" t="str">
        <f>HYPERLINK("http://febreze.name","febreze.name")</f>
        <v>febreze.name</v>
      </c>
      <c r="C27919" t="s">
        <v>758</v>
      </c>
      <c r="J27919">
        <v>2</v>
      </c>
    </row>
    <row r="27920" spans="1:10" x14ac:dyDescent="0.25">
      <c r="A27920" t="s">
        <v>310</v>
      </c>
      <c r="B27920" s="1" t="str">
        <f>HYPERLINK("http://braun.nl","braun.nl")</f>
        <v>braun.nl</v>
      </c>
      <c r="C27920" t="s">
        <v>477</v>
      </c>
      <c r="D27920" t="s">
        <v>852</v>
      </c>
      <c r="F27920">
        <v>6.1782388750661994E-8</v>
      </c>
      <c r="G27920">
        <v>711941</v>
      </c>
      <c r="H27920">
        <v>13056983</v>
      </c>
      <c r="I27920">
        <v>12557715</v>
      </c>
      <c r="J27920">
        <v>3</v>
      </c>
    </row>
    <row r="27921" spans="1:10" x14ac:dyDescent="0.25">
      <c r="A27921" t="s">
        <v>310</v>
      </c>
      <c r="B27921" s="1" t="str">
        <f>HYPERLINK("http://gratisarielbijwhirlpool.nl","gratisarielbijwhirlpool.nl")</f>
        <v>gratisarielbijwhirlpool.nl</v>
      </c>
      <c r="C27921" t="s">
        <v>477</v>
      </c>
      <c r="D27921" t="s">
        <v>852</v>
      </c>
      <c r="J27921">
        <v>2</v>
      </c>
    </row>
    <row r="27922" spans="1:10" x14ac:dyDescent="0.25">
      <c r="A27922" t="s">
        <v>310</v>
      </c>
      <c r="B27922" s="1" t="str">
        <f>HYPERLINK("http://headandshoulders.nl","headandshoulders.nl")</f>
        <v>headandshoulders.nl</v>
      </c>
      <c r="C27922" t="s">
        <v>477</v>
      </c>
      <c r="D27922" t="s">
        <v>852</v>
      </c>
      <c r="F27922">
        <v>1.7635269211294101E-8</v>
      </c>
      <c r="G27922">
        <v>3111157</v>
      </c>
      <c r="H27922">
        <v>12591229</v>
      </c>
      <c r="I27922">
        <v>16404152</v>
      </c>
      <c r="J27922">
        <v>4</v>
      </c>
    </row>
    <row r="27923" spans="1:10" x14ac:dyDescent="0.25">
      <c r="A27923" t="s">
        <v>310</v>
      </c>
      <c r="B27923" s="1" t="str">
        <f>HYPERLINK("http://oralb.nl","oralb.nl")</f>
        <v>oralb.nl</v>
      </c>
      <c r="C27923" t="s">
        <v>477</v>
      </c>
      <c r="D27923" t="s">
        <v>852</v>
      </c>
      <c r="E27923">
        <v>831321</v>
      </c>
      <c r="F27923">
        <v>1.0912016548101501E-7</v>
      </c>
      <c r="G27923">
        <v>366626</v>
      </c>
      <c r="H27923">
        <v>14093983</v>
      </c>
      <c r="I27923">
        <v>2733769</v>
      </c>
      <c r="J27923">
        <v>2</v>
      </c>
    </row>
    <row r="27924" spans="1:10" x14ac:dyDescent="0.25">
      <c r="A27924" t="s">
        <v>310</v>
      </c>
      <c r="B27924" s="1" t="str">
        <f>HYPERLINK("http://pampers.nl","pampers.nl")</f>
        <v>pampers.nl</v>
      </c>
      <c r="C27924" t="s">
        <v>477</v>
      </c>
      <c r="D27924" t="s">
        <v>852</v>
      </c>
      <c r="F27924">
        <v>3.4068390510957699E-8</v>
      </c>
      <c r="G27924">
        <v>1520377</v>
      </c>
      <c r="H27924">
        <v>12693400</v>
      </c>
      <c r="I27924">
        <v>15395874</v>
      </c>
      <c r="J27924">
        <v>3</v>
      </c>
    </row>
    <row r="27925" spans="1:10" x14ac:dyDescent="0.25">
      <c r="A27925" t="s">
        <v>310</v>
      </c>
      <c r="B27925" s="1" t="str">
        <f>HYPERLINK("http://oralb.no","oralb.no")</f>
        <v>oralb.no</v>
      </c>
      <c r="C27925" t="s">
        <v>478</v>
      </c>
      <c r="D27925" t="s">
        <v>853</v>
      </c>
      <c r="F27925">
        <v>4.0727207892913203E-8</v>
      </c>
      <c r="G27925">
        <v>1272532</v>
      </c>
      <c r="H27925">
        <v>12480108</v>
      </c>
      <c r="I27925">
        <v>17597217</v>
      </c>
      <c r="J27925">
        <v>3</v>
      </c>
    </row>
    <row r="27926" spans="1:10" x14ac:dyDescent="0.25">
      <c r="A27926" t="s">
        <v>310</v>
      </c>
      <c r="B27926" s="1" t="str">
        <f>HYPERLINK("http://pampers.no","pampers.no")</f>
        <v>pampers.no</v>
      </c>
      <c r="C27926" t="s">
        <v>478</v>
      </c>
      <c r="D27926" t="s">
        <v>853</v>
      </c>
      <c r="F27926">
        <v>2.3117439259715501E-8</v>
      </c>
      <c r="G27926">
        <v>2258240</v>
      </c>
      <c r="H27926">
        <v>12490835</v>
      </c>
      <c r="I27926">
        <v>17481144</v>
      </c>
      <c r="J27926">
        <v>3</v>
      </c>
    </row>
    <row r="27927" spans="1:10" x14ac:dyDescent="0.25">
      <c r="A27927" t="s">
        <v>310</v>
      </c>
      <c r="B27927" s="1" t="str">
        <f>HYPERLINK("http://pampers.com.pe","pampers.com.pe")</f>
        <v>pampers.com.pe</v>
      </c>
      <c r="C27927" t="s">
        <v>483</v>
      </c>
      <c r="D27927" t="s">
        <v>857</v>
      </c>
      <c r="F27927">
        <v>1.5634460282836101E-8</v>
      </c>
      <c r="G27927">
        <v>3645653</v>
      </c>
      <c r="H27927">
        <v>12312661</v>
      </c>
      <c r="I27927">
        <v>20561941</v>
      </c>
      <c r="J27927">
        <v>3</v>
      </c>
    </row>
    <row r="27928" spans="1:10" x14ac:dyDescent="0.25">
      <c r="A27928" t="s">
        <v>310</v>
      </c>
      <c r="B27928" s="1" t="str">
        <f>HYPERLINK("http://pantene.com.ph","pantene.com.ph")</f>
        <v>pantene.com.ph</v>
      </c>
      <c r="C27928" t="s">
        <v>484</v>
      </c>
      <c r="D27928" t="s">
        <v>858</v>
      </c>
      <c r="F27928">
        <v>2.00768290295345E-8</v>
      </c>
      <c r="G27928">
        <v>2647643</v>
      </c>
      <c r="H27928">
        <v>14485730</v>
      </c>
      <c r="I27928">
        <v>984951</v>
      </c>
      <c r="J27928">
        <v>5</v>
      </c>
    </row>
    <row r="27929" spans="1:10" x14ac:dyDescent="0.25">
      <c r="A27929" t="s">
        <v>310</v>
      </c>
      <c r="B27929" s="1" t="str">
        <f>HYPERLINK("http://vicks.com.ph","vicks.com.ph")</f>
        <v>vicks.com.ph</v>
      </c>
      <c r="C27929" t="s">
        <v>484</v>
      </c>
      <c r="D27929" t="s">
        <v>858</v>
      </c>
      <c r="F27929">
        <v>9.5900760371738901E-9</v>
      </c>
      <c r="G27929">
        <v>7216331</v>
      </c>
      <c r="H27929">
        <v>13934554</v>
      </c>
      <c r="I27929">
        <v>4591032</v>
      </c>
      <c r="J27929">
        <v>2</v>
      </c>
    </row>
    <row r="27930" spans="1:10" x14ac:dyDescent="0.25">
      <c r="A27930" t="s">
        <v>310</v>
      </c>
      <c r="B27930" s="1" t="str">
        <f>HYPERLINK("http://headandshoulders.ph","headandshoulders.ph")</f>
        <v>headandshoulders.ph</v>
      </c>
      <c r="C27930" t="s">
        <v>484</v>
      </c>
      <c r="D27930" t="s">
        <v>858</v>
      </c>
      <c r="F27930">
        <v>1.6077338235110701E-8</v>
      </c>
      <c r="G27930">
        <v>3526371</v>
      </c>
      <c r="H27930">
        <v>13764805</v>
      </c>
      <c r="I27930">
        <v>7188301</v>
      </c>
      <c r="J27930">
        <v>5</v>
      </c>
    </row>
    <row r="27931" spans="1:10" x14ac:dyDescent="0.25">
      <c r="A27931" t="s">
        <v>310</v>
      </c>
      <c r="B27931" s="1" t="str">
        <f>HYPERLINK("http://pampers.ph","pampers.ph")</f>
        <v>pampers.ph</v>
      </c>
      <c r="C27931" t="s">
        <v>484</v>
      </c>
      <c r="D27931" t="s">
        <v>858</v>
      </c>
      <c r="F27931">
        <v>2.29679418232627E-8</v>
      </c>
      <c r="G27931">
        <v>2275313</v>
      </c>
      <c r="H27931">
        <v>12726146</v>
      </c>
      <c r="I27931">
        <v>15218343</v>
      </c>
      <c r="J27931">
        <v>3</v>
      </c>
    </row>
    <row r="27932" spans="1:10" x14ac:dyDescent="0.25">
      <c r="A27932" t="s">
        <v>310</v>
      </c>
      <c r="B27932" s="1" t="str">
        <f>HYPERLINK("http://braun.pl","braun.pl")</f>
        <v>braun.pl</v>
      </c>
      <c r="C27932" t="s">
        <v>486</v>
      </c>
      <c r="D27932" t="s">
        <v>860</v>
      </c>
      <c r="F27932">
        <v>3.6899014746546302E-8</v>
      </c>
      <c r="G27932">
        <v>1417371</v>
      </c>
      <c r="H27932">
        <v>13071494</v>
      </c>
      <c r="I27932">
        <v>12238415</v>
      </c>
      <c r="J27932">
        <v>2</v>
      </c>
    </row>
    <row r="27933" spans="1:10" x14ac:dyDescent="0.25">
      <c r="A27933" t="s">
        <v>310</v>
      </c>
      <c r="B27933" s="1" t="str">
        <f>HYPERLINK("http://braunhousehold.pl","braunhousehold.pl")</f>
        <v>braunhousehold.pl</v>
      </c>
      <c r="C27933" t="s">
        <v>486</v>
      </c>
      <c r="D27933" t="s">
        <v>860</v>
      </c>
      <c r="F27933">
        <v>8.7699943518538201E-9</v>
      </c>
      <c r="G27933">
        <v>8359589</v>
      </c>
      <c r="H27933">
        <v>12216916</v>
      </c>
      <c r="I27933">
        <v>22862554</v>
      </c>
      <c r="J27933">
        <v>4</v>
      </c>
    </row>
    <row r="27934" spans="1:10" x14ac:dyDescent="0.25">
      <c r="A27934" t="s">
        <v>310</v>
      </c>
      <c r="B27934" s="1" t="str">
        <f>HYPERLINK("http://headandshoulders.pl","headandshoulders.pl")</f>
        <v>headandshoulders.pl</v>
      </c>
      <c r="C27934" t="s">
        <v>486</v>
      </c>
      <c r="D27934" t="s">
        <v>860</v>
      </c>
      <c r="F27934">
        <v>2.72656293393756E-8</v>
      </c>
      <c r="G27934">
        <v>1885692</v>
      </c>
      <c r="H27934">
        <v>13016156</v>
      </c>
      <c r="I27934">
        <v>12728092</v>
      </c>
      <c r="J27934">
        <v>4</v>
      </c>
    </row>
    <row r="27935" spans="1:10" x14ac:dyDescent="0.25">
      <c r="A27935" t="s">
        <v>310</v>
      </c>
      <c r="B27935" s="1" t="str">
        <f>HYPERLINK("http://oralb.pl","oralb.pl")</f>
        <v>oralb.pl</v>
      </c>
      <c r="C27935" t="s">
        <v>486</v>
      </c>
      <c r="D27935" t="s">
        <v>860</v>
      </c>
      <c r="F27935">
        <v>7.6685420855629196E-8</v>
      </c>
      <c r="G27935">
        <v>546470</v>
      </c>
      <c r="H27935">
        <v>13085765</v>
      </c>
      <c r="I27935">
        <v>12160824</v>
      </c>
      <c r="J27935">
        <v>3</v>
      </c>
    </row>
    <row r="27936" spans="1:10" x14ac:dyDescent="0.25">
      <c r="A27936" t="s">
        <v>310</v>
      </c>
      <c r="B27936" s="1" t="str">
        <f>HYPERLINK("http://pampers.pl","pampers.pl")</f>
        <v>pampers.pl</v>
      </c>
      <c r="C27936" t="s">
        <v>486</v>
      </c>
      <c r="D27936" t="s">
        <v>860</v>
      </c>
      <c r="F27936">
        <v>4.1276064799777203E-8</v>
      </c>
      <c r="G27936">
        <v>1221590</v>
      </c>
      <c r="H27936">
        <v>13791786</v>
      </c>
      <c r="I27936">
        <v>6334366</v>
      </c>
      <c r="J27936">
        <v>3</v>
      </c>
    </row>
    <row r="27937" spans="1:10" x14ac:dyDescent="0.25">
      <c r="A27937" t="s">
        <v>310</v>
      </c>
      <c r="B27937" s="1" t="str">
        <f>HYPERLINK("http://pantene.pl","pantene.pl")</f>
        <v>pantene.pl</v>
      </c>
      <c r="C27937" t="s">
        <v>486</v>
      </c>
      <c r="D27937" t="s">
        <v>860</v>
      </c>
      <c r="F27937">
        <v>2.86911827866348E-8</v>
      </c>
      <c r="G27937">
        <v>1793732</v>
      </c>
      <c r="H27937">
        <v>13792813</v>
      </c>
      <c r="I27937">
        <v>6327042</v>
      </c>
      <c r="J27937">
        <v>5</v>
      </c>
    </row>
    <row r="27938" spans="1:10" x14ac:dyDescent="0.25">
      <c r="A27938" t="s">
        <v>310</v>
      </c>
      <c r="B27938" s="1" t="str">
        <f>HYPERLINK("http://vicks.pl","vicks.pl")</f>
        <v>vicks.pl</v>
      </c>
      <c r="C27938" t="s">
        <v>486</v>
      </c>
      <c r="D27938" t="s">
        <v>860</v>
      </c>
      <c r="F27938">
        <v>1.7293895929401001E-8</v>
      </c>
      <c r="G27938">
        <v>3200640</v>
      </c>
      <c r="H27938">
        <v>12434485</v>
      </c>
      <c r="I27938">
        <v>18222571</v>
      </c>
      <c r="J27938">
        <v>3</v>
      </c>
    </row>
    <row r="27939" spans="1:10" x14ac:dyDescent="0.25">
      <c r="A27939" t="s">
        <v>310</v>
      </c>
      <c r="B27939" s="1" t="str">
        <f>HYPERLINK("http://dodot.pt","dodot.pt")</f>
        <v>dodot.pt</v>
      </c>
      <c r="C27939" t="s">
        <v>488</v>
      </c>
      <c r="D27939" t="s">
        <v>862</v>
      </c>
      <c r="F27939">
        <v>4.3562779621960799E-8</v>
      </c>
      <c r="G27939">
        <v>1097060</v>
      </c>
      <c r="H27939">
        <v>13788964</v>
      </c>
      <c r="I27939">
        <v>6359351</v>
      </c>
      <c r="J27939">
        <v>3</v>
      </c>
    </row>
    <row r="27940" spans="1:10" x14ac:dyDescent="0.25">
      <c r="A27940" t="s">
        <v>310</v>
      </c>
      <c r="B27940" s="1" t="str">
        <f>HYPERLINK("http://gillette.pt","gillette.pt")</f>
        <v>gillette.pt</v>
      </c>
      <c r="C27940" t="s">
        <v>488</v>
      </c>
      <c r="D27940" t="s">
        <v>862</v>
      </c>
      <c r="F27940">
        <v>2.7477788053793099E-8</v>
      </c>
      <c r="G27940">
        <v>1870922</v>
      </c>
      <c r="H27940">
        <v>13021311</v>
      </c>
      <c r="I27940">
        <v>12707461</v>
      </c>
      <c r="J27940">
        <v>4</v>
      </c>
    </row>
    <row r="27941" spans="1:10" x14ac:dyDescent="0.25">
      <c r="A27941" t="s">
        <v>310</v>
      </c>
      <c r="B27941" s="1" t="str">
        <f>HYPERLINK("http://oralb.pt","oralb.pt")</f>
        <v>oralb.pt</v>
      </c>
      <c r="C27941" t="s">
        <v>488</v>
      </c>
      <c r="D27941" t="s">
        <v>862</v>
      </c>
      <c r="F27941">
        <v>5.0333712913939597E-8</v>
      </c>
      <c r="G27941">
        <v>913492</v>
      </c>
      <c r="H27941">
        <v>14085974</v>
      </c>
      <c r="I27941">
        <v>2774017</v>
      </c>
      <c r="J27941">
        <v>3</v>
      </c>
    </row>
    <row r="27942" spans="1:10" x14ac:dyDescent="0.25">
      <c r="A27942" t="s">
        <v>310</v>
      </c>
      <c r="B27942" s="1" t="str">
        <f>HYPERLINK("http://pantene.pt","pantene.pt")</f>
        <v>pantene.pt</v>
      </c>
      <c r="C27942" t="s">
        <v>488</v>
      </c>
      <c r="D27942" t="s">
        <v>862</v>
      </c>
      <c r="F27942">
        <v>2.9073611489199E-8</v>
      </c>
      <c r="G27942">
        <v>1771021</v>
      </c>
      <c r="H27942">
        <v>13788495</v>
      </c>
      <c r="I27942">
        <v>6363687</v>
      </c>
      <c r="J27942">
        <v>5</v>
      </c>
    </row>
    <row r="27943" spans="1:10" x14ac:dyDescent="0.25">
      <c r="A27943" t="s">
        <v>310</v>
      </c>
      <c r="B27943" s="1" t="str">
        <f>HYPERLINK("http://braun.ro","braun.ro")</f>
        <v>braun.ro</v>
      </c>
      <c r="C27943" t="s">
        <v>491</v>
      </c>
      <c r="D27943" t="s">
        <v>865</v>
      </c>
      <c r="F27943">
        <v>2.8635790927435699E-8</v>
      </c>
      <c r="G27943">
        <v>1797018</v>
      </c>
      <c r="H27943">
        <v>13019216</v>
      </c>
      <c r="I27943">
        <v>12716745</v>
      </c>
      <c r="J27943">
        <v>3</v>
      </c>
    </row>
    <row r="27944" spans="1:10" x14ac:dyDescent="0.25">
      <c r="A27944" t="s">
        <v>310</v>
      </c>
      <c r="B27944" s="1" t="str">
        <f>HYPERLINK("http://femibion.ro","femibion.ro")</f>
        <v>femibion.ro</v>
      </c>
      <c r="C27944" t="s">
        <v>491</v>
      </c>
      <c r="D27944" t="s">
        <v>865</v>
      </c>
      <c r="F27944">
        <v>9.3113895892100393E-9</v>
      </c>
      <c r="G27944">
        <v>7557723</v>
      </c>
      <c r="H27944">
        <v>13763651</v>
      </c>
      <c r="I27944">
        <v>7888667</v>
      </c>
      <c r="J27944">
        <v>4</v>
      </c>
    </row>
    <row r="27945" spans="1:10" x14ac:dyDescent="0.25">
      <c r="A27945" t="s">
        <v>310</v>
      </c>
      <c r="B27945" s="1" t="str">
        <f>HYPERLINK("http://headandshoulders.ro","headandshoulders.ro")</f>
        <v>headandshoulders.ro</v>
      </c>
      <c r="C27945" t="s">
        <v>491</v>
      </c>
      <c r="D27945" t="s">
        <v>865</v>
      </c>
      <c r="F27945">
        <v>2.3473296477870299E-8</v>
      </c>
      <c r="G27945">
        <v>2217675</v>
      </c>
      <c r="H27945">
        <v>13037126</v>
      </c>
      <c r="I27945">
        <v>12634225</v>
      </c>
      <c r="J27945">
        <v>4</v>
      </c>
    </row>
    <row r="27946" spans="1:10" x14ac:dyDescent="0.25">
      <c r="A27946" t="s">
        <v>310</v>
      </c>
      <c r="B27946" s="1" t="str">
        <f>HYPERLINK("http://pampers.ro","pampers.ro")</f>
        <v>pampers.ro</v>
      </c>
      <c r="C27946" t="s">
        <v>491</v>
      </c>
      <c r="D27946" t="s">
        <v>865</v>
      </c>
      <c r="F27946">
        <v>2.9223740255512201E-8</v>
      </c>
      <c r="G27946">
        <v>1762535</v>
      </c>
      <c r="H27946">
        <v>12568020</v>
      </c>
      <c r="I27946">
        <v>16643135</v>
      </c>
      <c r="J27946">
        <v>3</v>
      </c>
    </row>
    <row r="27947" spans="1:10" x14ac:dyDescent="0.25">
      <c r="A27947" t="s">
        <v>310</v>
      </c>
      <c r="B27947" s="1" t="str">
        <f>HYPERLINK("http://pgsamples.ro","pgsamples.ro")</f>
        <v>pgsamples.ro</v>
      </c>
      <c r="C27947" t="s">
        <v>491</v>
      </c>
      <c r="D27947" t="s">
        <v>865</v>
      </c>
      <c r="J27947">
        <v>2</v>
      </c>
    </row>
    <row r="27948" spans="1:10" x14ac:dyDescent="0.25">
      <c r="A27948" t="s">
        <v>310</v>
      </c>
      <c r="B27948" s="1" t="str">
        <f>HYPERLINK("http://headandshoulders.rs","headandshoulders.rs")</f>
        <v>headandshoulders.rs</v>
      </c>
      <c r="C27948" t="s">
        <v>492</v>
      </c>
      <c r="D27948" t="s">
        <v>866</v>
      </c>
      <c r="F27948">
        <v>4.55201209383549E-9</v>
      </c>
      <c r="G27948">
        <v>51966441</v>
      </c>
      <c r="H27948">
        <v>13763633</v>
      </c>
      <c r="I27948">
        <v>9334313</v>
      </c>
      <c r="J27948">
        <v>5</v>
      </c>
    </row>
    <row r="27949" spans="1:10" x14ac:dyDescent="0.25">
      <c r="A27949" t="s">
        <v>310</v>
      </c>
      <c r="B27949" s="1" t="str">
        <f>HYPERLINK("http://braun.ru","braun.ru")</f>
        <v>braun.ru</v>
      </c>
      <c r="C27949" t="s">
        <v>493</v>
      </c>
      <c r="D27949" t="s">
        <v>867</v>
      </c>
      <c r="F27949">
        <v>1.80234273589536E-8</v>
      </c>
      <c r="G27949">
        <v>3025671</v>
      </c>
      <c r="H27949">
        <v>12601413</v>
      </c>
      <c r="I27949">
        <v>16310817</v>
      </c>
      <c r="J27949">
        <v>3</v>
      </c>
    </row>
    <row r="27950" spans="1:10" x14ac:dyDescent="0.25">
      <c r="A27950" t="s">
        <v>310</v>
      </c>
      <c r="B27950" s="1" t="str">
        <f>HYPERLINK("http://braunhousehold.ru","braunhousehold.ru")</f>
        <v>braunhousehold.ru</v>
      </c>
      <c r="C27950" t="s">
        <v>493</v>
      </c>
      <c r="D27950" t="s">
        <v>867</v>
      </c>
      <c r="F27950">
        <v>1.3124246880884499E-8</v>
      </c>
      <c r="G27950">
        <v>4572740</v>
      </c>
      <c r="H27950">
        <v>12917310</v>
      </c>
      <c r="I27950">
        <v>13506160</v>
      </c>
      <c r="J27950">
        <v>4</v>
      </c>
    </row>
    <row r="27951" spans="1:10" x14ac:dyDescent="0.25">
      <c r="A27951" t="s">
        <v>310</v>
      </c>
      <c r="B27951" s="1" t="str">
        <f>HYPERLINK("http://febreze.ru","febreze.ru")</f>
        <v>febreze.ru</v>
      </c>
      <c r="C27951" t="s">
        <v>493</v>
      </c>
      <c r="D27951" t="s">
        <v>867</v>
      </c>
      <c r="J27951">
        <v>2</v>
      </c>
    </row>
    <row r="27952" spans="1:10" x14ac:dyDescent="0.25">
      <c r="A27952" t="s">
        <v>310</v>
      </c>
      <c r="B27952" s="1" t="str">
        <f>HYPERLINK("http://headandshoulders.ru","headandshoulders.ru")</f>
        <v>headandshoulders.ru</v>
      </c>
      <c r="C27952" t="s">
        <v>493</v>
      </c>
      <c r="D27952" t="s">
        <v>867</v>
      </c>
      <c r="F27952">
        <v>1.8603757249838099E-8</v>
      </c>
      <c r="G27952">
        <v>2906610</v>
      </c>
      <c r="H27952">
        <v>12982301</v>
      </c>
      <c r="I27952">
        <v>12940861</v>
      </c>
      <c r="J27952">
        <v>4</v>
      </c>
    </row>
    <row r="27953" spans="1:10" x14ac:dyDescent="0.25">
      <c r="A27953" t="s">
        <v>310</v>
      </c>
      <c r="B27953" s="1" t="str">
        <f>HYPERLINK("http://ostriebritvi.ru","ostriebritvi.ru")</f>
        <v>ostriebritvi.ru</v>
      </c>
      <c r="C27953" t="s">
        <v>493</v>
      </c>
      <c r="D27953" t="s">
        <v>867</v>
      </c>
      <c r="F27953">
        <v>1.88619268620192E-8</v>
      </c>
      <c r="G27953">
        <v>2860395</v>
      </c>
      <c r="H27953">
        <v>12457554</v>
      </c>
      <c r="I27953">
        <v>17906117</v>
      </c>
      <c r="J27953">
        <v>4</v>
      </c>
    </row>
    <row r="27954" spans="1:10" x14ac:dyDescent="0.25">
      <c r="A27954" t="s">
        <v>310</v>
      </c>
      <c r="B27954" s="1" t="str">
        <f>HYPERLINK("http://pantene.ru","pantene.ru")</f>
        <v>pantene.ru</v>
      </c>
      <c r="C27954" t="s">
        <v>493</v>
      </c>
      <c r="D27954" t="s">
        <v>867</v>
      </c>
      <c r="F27954">
        <v>8.1153588197225604E-9</v>
      </c>
      <c r="G27954">
        <v>9715150</v>
      </c>
      <c r="H27954">
        <v>13806001</v>
      </c>
      <c r="I27954">
        <v>6233853</v>
      </c>
      <c r="J27954">
        <v>5</v>
      </c>
    </row>
    <row r="27955" spans="1:10" x14ac:dyDescent="0.25">
      <c r="A27955" t="s">
        <v>310</v>
      </c>
      <c r="B27955" s="1" t="str">
        <f>HYPERLINK("http://procterandgamble.ru","procterandgamble.ru")</f>
        <v>procterandgamble.ru</v>
      </c>
      <c r="C27955" t="s">
        <v>493</v>
      </c>
      <c r="D27955" t="s">
        <v>867</v>
      </c>
      <c r="F27955">
        <v>5.3045673626970501E-8</v>
      </c>
      <c r="G27955">
        <v>858503</v>
      </c>
      <c r="H27955">
        <v>14135942</v>
      </c>
      <c r="I27955">
        <v>1965801</v>
      </c>
      <c r="J27955">
        <v>2</v>
      </c>
    </row>
    <row r="27956" spans="1:10" x14ac:dyDescent="0.25">
      <c r="A27956" t="s">
        <v>310</v>
      </c>
      <c r="B27956" s="1" t="str">
        <f>HYPERLINK("http://headandshoulders.sa","headandshoulders.sa")</f>
        <v>headandshoulders.sa</v>
      </c>
      <c r="C27956" t="s">
        <v>494</v>
      </c>
      <c r="D27956" t="s">
        <v>868</v>
      </c>
      <c r="F27956">
        <v>8.4600989512664998E-9</v>
      </c>
      <c r="G27956">
        <v>8922200</v>
      </c>
      <c r="H27956">
        <v>10933318</v>
      </c>
      <c r="I27956">
        <v>34999219</v>
      </c>
      <c r="J27956">
        <v>4</v>
      </c>
    </row>
    <row r="27957" spans="1:10" x14ac:dyDescent="0.25">
      <c r="A27957" t="s">
        <v>310</v>
      </c>
      <c r="B27957" s="1" t="str">
        <f>HYPERLINK("http://oralb.se","oralb.se")</f>
        <v>oralb.se</v>
      </c>
      <c r="C27957" t="s">
        <v>495</v>
      </c>
      <c r="D27957" t="s">
        <v>869</v>
      </c>
      <c r="F27957">
        <v>6.9282992527639305E-8</v>
      </c>
      <c r="G27957">
        <v>613088</v>
      </c>
      <c r="H27957">
        <v>14136857</v>
      </c>
      <c r="I27957">
        <v>1958429</v>
      </c>
      <c r="J27957">
        <v>3</v>
      </c>
    </row>
    <row r="27958" spans="1:10" x14ac:dyDescent="0.25">
      <c r="A27958" t="s">
        <v>310</v>
      </c>
      <c r="B27958" s="1" t="str">
        <f>HYPERLINK("http://pampers.se","pampers.se")</f>
        <v>pampers.se</v>
      </c>
      <c r="C27958" t="s">
        <v>495</v>
      </c>
      <c r="D27958" t="s">
        <v>869</v>
      </c>
      <c r="F27958">
        <v>2.77064139151854E-8</v>
      </c>
      <c r="G27958">
        <v>1855760</v>
      </c>
      <c r="H27958">
        <v>13765360</v>
      </c>
      <c r="I27958">
        <v>7111781</v>
      </c>
      <c r="J27958">
        <v>3</v>
      </c>
    </row>
    <row r="27959" spans="1:10" x14ac:dyDescent="0.25">
      <c r="A27959" t="s">
        <v>310</v>
      </c>
      <c r="B27959" s="1" t="str">
        <f>HYPERLINK("http://oralb.com.sg","oralb.com.sg")</f>
        <v>oralb.com.sg</v>
      </c>
      <c r="C27959" t="s">
        <v>496</v>
      </c>
      <c r="D27959" t="s">
        <v>870</v>
      </c>
      <c r="F27959">
        <v>4.3663583431254102E-8</v>
      </c>
      <c r="G27959">
        <v>1093322</v>
      </c>
      <c r="H27959">
        <v>13014103</v>
      </c>
      <c r="I27959">
        <v>12735451</v>
      </c>
      <c r="J27959">
        <v>3</v>
      </c>
    </row>
    <row r="27960" spans="1:10" x14ac:dyDescent="0.25">
      <c r="A27960" t="s">
        <v>310</v>
      </c>
      <c r="B27960" s="1" t="str">
        <f>HYPERLINK("http://voostvitamins.com.sg","voostvitamins.com.sg")</f>
        <v>voostvitamins.com.sg</v>
      </c>
      <c r="C27960" t="s">
        <v>496</v>
      </c>
      <c r="D27960" t="s">
        <v>870</v>
      </c>
      <c r="F27960">
        <v>9.4656698199167199E-9</v>
      </c>
      <c r="G27960">
        <v>7364076</v>
      </c>
      <c r="H27960">
        <v>13559631</v>
      </c>
      <c r="I27960">
        <v>9855045</v>
      </c>
      <c r="J27960">
        <v>4</v>
      </c>
    </row>
    <row r="27961" spans="1:10" x14ac:dyDescent="0.25">
      <c r="A27961" t="s">
        <v>310</v>
      </c>
      <c r="B27961" s="1" t="str">
        <f>HYPERLINK("http://braunhousehold.sk","braunhousehold.sk")</f>
        <v>braunhousehold.sk</v>
      </c>
      <c r="C27961" t="s">
        <v>498</v>
      </c>
      <c r="D27961" t="s">
        <v>872</v>
      </c>
      <c r="F27961">
        <v>1.1529427231835301E-8</v>
      </c>
      <c r="G27961">
        <v>5483233</v>
      </c>
      <c r="H27961">
        <v>12190215</v>
      </c>
      <c r="I27961">
        <v>23580354</v>
      </c>
      <c r="J27961">
        <v>4</v>
      </c>
    </row>
    <row r="27962" spans="1:10" x14ac:dyDescent="0.25">
      <c r="A27962" t="s">
        <v>310</v>
      </c>
      <c r="B27962" s="1" t="str">
        <f>HYPERLINK("http://femibion.sk","femibion.sk")</f>
        <v>femibion.sk</v>
      </c>
      <c r="C27962" t="s">
        <v>498</v>
      </c>
      <c r="D27962" t="s">
        <v>872</v>
      </c>
      <c r="F27962">
        <v>4.5294231770885798E-9</v>
      </c>
      <c r="G27962">
        <v>55125051</v>
      </c>
      <c r="H27962">
        <v>12011959</v>
      </c>
      <c r="I27962">
        <v>28023540</v>
      </c>
      <c r="J27962">
        <v>2</v>
      </c>
    </row>
    <row r="27963" spans="1:10" x14ac:dyDescent="0.25">
      <c r="A27963" t="s">
        <v>310</v>
      </c>
      <c r="B27963" s="1" t="str">
        <f>HYPERLINK("http://headandshoulders.co.th","headandshoulders.co.th")</f>
        <v>headandshoulders.co.th</v>
      </c>
      <c r="C27963" t="s">
        <v>500</v>
      </c>
      <c r="D27963" t="s">
        <v>874</v>
      </c>
      <c r="F27963">
        <v>5.9712318257170498E-9</v>
      </c>
      <c r="G27963">
        <v>16873943</v>
      </c>
      <c r="H27963">
        <v>12318087</v>
      </c>
      <c r="I27963">
        <v>20453297</v>
      </c>
      <c r="J27963">
        <v>5</v>
      </c>
    </row>
    <row r="27964" spans="1:10" x14ac:dyDescent="0.25">
      <c r="A27964" t="s">
        <v>310</v>
      </c>
      <c r="B27964" s="1" t="str">
        <f>HYPERLINK("http://pantene.co.th","pantene.co.th")</f>
        <v>pantene.co.th</v>
      </c>
      <c r="C27964" t="s">
        <v>500</v>
      </c>
      <c r="D27964" t="s">
        <v>874</v>
      </c>
      <c r="F27964">
        <v>2.4102053384391999E-8</v>
      </c>
      <c r="G27964">
        <v>2153021</v>
      </c>
      <c r="H27964">
        <v>14245722</v>
      </c>
      <c r="I27964">
        <v>1464743</v>
      </c>
      <c r="J27964">
        <v>5</v>
      </c>
    </row>
    <row r="27965" spans="1:10" x14ac:dyDescent="0.25">
      <c r="A27965" t="s">
        <v>310</v>
      </c>
      <c r="B27965" s="1" t="str">
        <f>HYPERLINK("http://braunhousehold.com.tr","braunhousehold.com.tr")</f>
        <v>braunhousehold.com.tr</v>
      </c>
      <c r="C27965" t="s">
        <v>502</v>
      </c>
      <c r="D27965" t="s">
        <v>876</v>
      </c>
      <c r="F27965">
        <v>6.2901822353341098E-9</v>
      </c>
      <c r="G27965">
        <v>15078866</v>
      </c>
      <c r="H27965">
        <v>11162428</v>
      </c>
      <c r="I27965">
        <v>31605794</v>
      </c>
      <c r="J27965">
        <v>4</v>
      </c>
    </row>
    <row r="27966" spans="1:10" x14ac:dyDescent="0.25">
      <c r="A27966" t="s">
        <v>310</v>
      </c>
      <c r="B27966" s="1" t="str">
        <f>HYPERLINK("http://febreze.com.tr","febreze.com.tr")</f>
        <v>febreze.com.tr</v>
      </c>
      <c r="C27966" t="s">
        <v>502</v>
      </c>
      <c r="D27966" t="s">
        <v>876</v>
      </c>
      <c r="J27966">
        <v>2</v>
      </c>
    </row>
    <row r="27967" spans="1:10" x14ac:dyDescent="0.25">
      <c r="A27967" t="s">
        <v>310</v>
      </c>
      <c r="B27967" s="1" t="str">
        <f>HYPERLINK("http://headandshoulders.com.tr","headandshoulders.com.tr")</f>
        <v>headandshoulders.com.tr</v>
      </c>
      <c r="C27967" t="s">
        <v>502</v>
      </c>
      <c r="D27967" t="s">
        <v>876</v>
      </c>
      <c r="F27967">
        <v>1.14555507749431E-8</v>
      </c>
      <c r="G27967">
        <v>5535185</v>
      </c>
      <c r="H27967">
        <v>14071826</v>
      </c>
      <c r="I27967">
        <v>3305914</v>
      </c>
      <c r="J27967">
        <v>4</v>
      </c>
    </row>
    <row r="27968" spans="1:10" x14ac:dyDescent="0.25">
      <c r="A27968" t="s">
        <v>310</v>
      </c>
      <c r="B27968" s="1" t="str">
        <f>HYPERLINK("http://pantene.com.tr","pantene.com.tr")</f>
        <v>pantene.com.tr</v>
      </c>
      <c r="C27968" t="s">
        <v>502</v>
      </c>
      <c r="D27968" t="s">
        <v>876</v>
      </c>
      <c r="F27968">
        <v>1.28918793500721E-8</v>
      </c>
      <c r="G27968">
        <v>4683223</v>
      </c>
      <c r="H27968">
        <v>14236080</v>
      </c>
      <c r="I27968">
        <v>1612454</v>
      </c>
      <c r="J27968">
        <v>5</v>
      </c>
    </row>
    <row r="27969" spans="1:10" x14ac:dyDescent="0.25">
      <c r="A27969" t="s">
        <v>310</v>
      </c>
      <c r="B27969" s="1" t="str">
        <f>HYPERLINK("http://pg.com.tr","pg.com.tr")</f>
        <v>pg.com.tr</v>
      </c>
      <c r="C27969" t="s">
        <v>502</v>
      </c>
      <c r="D27969" t="s">
        <v>876</v>
      </c>
      <c r="F27969">
        <v>3.02680792523123E-8</v>
      </c>
      <c r="G27969">
        <v>1700462</v>
      </c>
      <c r="H27969">
        <v>14486273</v>
      </c>
      <c r="I27969">
        <v>970305</v>
      </c>
      <c r="J27969">
        <v>2</v>
      </c>
    </row>
    <row r="27970" spans="1:10" x14ac:dyDescent="0.25">
      <c r="A27970" t="s">
        <v>310</v>
      </c>
      <c r="B27970" s="1" t="str">
        <f>HYPERLINK("http://braun.tw","braun.tw")</f>
        <v>braun.tw</v>
      </c>
      <c r="C27970" t="s">
        <v>504</v>
      </c>
      <c r="D27970" t="s">
        <v>878</v>
      </c>
      <c r="F27970">
        <v>1.1611219717529399E-8</v>
      </c>
      <c r="G27970">
        <v>5425627</v>
      </c>
      <c r="H27970">
        <v>12230354</v>
      </c>
      <c r="I27970">
        <v>22494759</v>
      </c>
      <c r="J27970">
        <v>3</v>
      </c>
    </row>
    <row r="27971" spans="1:10" x14ac:dyDescent="0.25">
      <c r="A27971" t="s">
        <v>310</v>
      </c>
      <c r="B27971" s="1" t="str">
        <f>HYPERLINK("http://pampers.com.tw","pampers.com.tw")</f>
        <v>pampers.com.tw</v>
      </c>
      <c r="C27971" t="s">
        <v>504</v>
      </c>
      <c r="D27971" t="s">
        <v>878</v>
      </c>
      <c r="F27971">
        <v>1.5646751533353401E-8</v>
      </c>
      <c r="G27971">
        <v>3642233</v>
      </c>
      <c r="H27971">
        <v>12566621</v>
      </c>
      <c r="I27971">
        <v>16654905</v>
      </c>
      <c r="J27971">
        <v>3</v>
      </c>
    </row>
    <row r="27972" spans="1:10" x14ac:dyDescent="0.25">
      <c r="A27972" t="s">
        <v>310</v>
      </c>
      <c r="B27972" s="1" t="str">
        <f>HYPERLINK("http://pgtaiwan.com.tw","pgtaiwan.com.tw")</f>
        <v>pgtaiwan.com.tw</v>
      </c>
      <c r="C27972" t="s">
        <v>504</v>
      </c>
      <c r="D27972" t="s">
        <v>878</v>
      </c>
      <c r="F27972">
        <v>1.9435566553634399E-8</v>
      </c>
      <c r="G27972">
        <v>2757328</v>
      </c>
      <c r="H27972">
        <v>14398948</v>
      </c>
      <c r="I27972">
        <v>1155976</v>
      </c>
      <c r="J27972">
        <v>2</v>
      </c>
    </row>
    <row r="27973" spans="1:10" x14ac:dyDescent="0.25">
      <c r="A27973" t="s">
        <v>310</v>
      </c>
      <c r="B27973" s="1" t="str">
        <f>HYPERLINK("http://sk-ii.com.tw","sk-ii.com.tw")</f>
        <v>sk-ii.com.tw</v>
      </c>
      <c r="C27973" t="s">
        <v>504</v>
      </c>
      <c r="D27973" t="s">
        <v>878</v>
      </c>
      <c r="F27973">
        <v>2.31721964682883E-8</v>
      </c>
      <c r="G27973">
        <v>2252232</v>
      </c>
      <c r="H27973">
        <v>13359655</v>
      </c>
      <c r="I27973">
        <v>10589457</v>
      </c>
      <c r="J27973">
        <v>3</v>
      </c>
    </row>
    <row r="27974" spans="1:10" x14ac:dyDescent="0.25">
      <c r="A27974" t="s">
        <v>310</v>
      </c>
      <c r="B27974" s="1" t="str">
        <f>HYPERLINK("http://pg.com.ua","pg.com.ua")</f>
        <v>pg.com.ua</v>
      </c>
      <c r="C27974" t="s">
        <v>505</v>
      </c>
      <c r="D27974" t="s">
        <v>879</v>
      </c>
      <c r="F27974">
        <v>2.3058151244705002E-8</v>
      </c>
      <c r="G27974">
        <v>2264400</v>
      </c>
      <c r="H27974">
        <v>14078750</v>
      </c>
      <c r="I27974">
        <v>2841804</v>
      </c>
      <c r="J27974">
        <v>2</v>
      </c>
    </row>
    <row r="27975" spans="1:10" x14ac:dyDescent="0.25">
      <c r="A27975" t="s">
        <v>310</v>
      </c>
      <c r="B27975" s="1" t="str">
        <f>HYPERLINK("http://oral-b.ua","oral-b.ua")</f>
        <v>oral-b.ua</v>
      </c>
      <c r="C27975" t="s">
        <v>505</v>
      </c>
      <c r="D27975" t="s">
        <v>879</v>
      </c>
      <c r="F27975">
        <v>2.5188774082074401E-8</v>
      </c>
      <c r="G27975">
        <v>2049960</v>
      </c>
      <c r="H27975">
        <v>12211038</v>
      </c>
      <c r="I27975">
        <v>23003941</v>
      </c>
      <c r="J27975">
        <v>3</v>
      </c>
    </row>
    <row r="27976" spans="1:10" x14ac:dyDescent="0.25">
      <c r="A27976" t="s">
        <v>310</v>
      </c>
      <c r="B27976" s="1" t="str">
        <f>HYPERLINK("http://pampers.ua","pampers.ua")</f>
        <v>pampers.ua</v>
      </c>
      <c r="C27976" t="s">
        <v>505</v>
      </c>
      <c r="D27976" t="s">
        <v>879</v>
      </c>
      <c r="F27976">
        <v>1.74108910775626E-8</v>
      </c>
      <c r="G27976">
        <v>3170646</v>
      </c>
      <c r="H27976">
        <v>14074453</v>
      </c>
      <c r="I27976">
        <v>2942646</v>
      </c>
      <c r="J27976">
        <v>3</v>
      </c>
    </row>
    <row r="27977" spans="1:10" x14ac:dyDescent="0.25">
      <c r="A27977" t="s">
        <v>310</v>
      </c>
      <c r="B27977" s="1" t="str">
        <f>HYPERLINK("http://always.co.uk","always.co.uk")</f>
        <v>always.co.uk</v>
      </c>
      <c r="C27977" t="s">
        <v>506</v>
      </c>
      <c r="D27977" t="s">
        <v>880</v>
      </c>
      <c r="F27977">
        <v>1.18698644578428E-7</v>
      </c>
      <c r="G27977">
        <v>333533</v>
      </c>
      <c r="H27977">
        <v>14183691</v>
      </c>
      <c r="I27977">
        <v>1774151</v>
      </c>
      <c r="J27977">
        <v>4</v>
      </c>
    </row>
    <row r="27978" spans="1:10" x14ac:dyDescent="0.25">
      <c r="A27978" t="s">
        <v>310</v>
      </c>
      <c r="B27978" s="1" t="str">
        <f>HYPERLINK("http://ariel.co.uk","ariel.co.uk")</f>
        <v>ariel.co.uk</v>
      </c>
      <c r="C27978" t="s">
        <v>506</v>
      </c>
      <c r="D27978" t="s">
        <v>880</v>
      </c>
      <c r="E27978">
        <v>150236</v>
      </c>
      <c r="F27978">
        <v>6.4700266041547696E-8</v>
      </c>
      <c r="G27978">
        <v>667428</v>
      </c>
      <c r="H27978">
        <v>14266356</v>
      </c>
      <c r="I27978">
        <v>1407187</v>
      </c>
      <c r="J27978">
        <v>2</v>
      </c>
    </row>
    <row r="27979" spans="1:10" x14ac:dyDescent="0.25">
      <c r="A27979" t="s">
        <v>310</v>
      </c>
      <c r="B27979" s="1" t="str">
        <f>HYPERLINK("http://flashcleaner.co.uk","flashcleaner.co.uk")</f>
        <v>flashcleaner.co.uk</v>
      </c>
      <c r="C27979" t="s">
        <v>506</v>
      </c>
      <c r="D27979" t="s">
        <v>880</v>
      </c>
      <c r="F27979">
        <v>8.0179298732144692E-9</v>
      </c>
      <c r="G27979">
        <v>9888135</v>
      </c>
      <c r="H27979">
        <v>14073148</v>
      </c>
      <c r="I27979">
        <v>3013794</v>
      </c>
      <c r="J27979">
        <v>2</v>
      </c>
    </row>
    <row r="27980" spans="1:10" x14ac:dyDescent="0.25">
      <c r="A27980" t="s">
        <v>310</v>
      </c>
      <c r="B27980" s="1" t="str">
        <f>HYPERLINK("http://gillette.co.uk","gillette.co.uk")</f>
        <v>gillette.co.uk</v>
      </c>
      <c r="C27980" t="s">
        <v>506</v>
      </c>
      <c r="D27980" t="s">
        <v>880</v>
      </c>
      <c r="E27980">
        <v>82529</v>
      </c>
      <c r="F27980">
        <v>1.3924758049925E-7</v>
      </c>
      <c r="G27980">
        <v>279766</v>
      </c>
      <c r="H27980">
        <v>13976226</v>
      </c>
      <c r="I27980">
        <v>4060326</v>
      </c>
      <c r="J27980">
        <v>2</v>
      </c>
    </row>
    <row r="27981" spans="1:10" x14ac:dyDescent="0.25">
      <c r="A27981" t="s">
        <v>310</v>
      </c>
      <c r="B27981" s="1" t="str">
        <f>HYPERLINK("http://oralb.co.uk","oralb.co.uk")</f>
        <v>oralb.co.uk</v>
      </c>
      <c r="C27981" t="s">
        <v>506</v>
      </c>
      <c r="D27981" t="s">
        <v>880</v>
      </c>
      <c r="E27981">
        <v>315865</v>
      </c>
      <c r="F27981">
        <v>1.1889092935951301E-7</v>
      </c>
      <c r="G27981">
        <v>332880</v>
      </c>
      <c r="H27981">
        <v>14366410</v>
      </c>
      <c r="I27981">
        <v>1301691</v>
      </c>
      <c r="J27981">
        <v>3</v>
      </c>
    </row>
    <row r="27982" spans="1:10" x14ac:dyDescent="0.25">
      <c r="A27982" t="s">
        <v>310</v>
      </c>
      <c r="B27982" s="1" t="str">
        <f>HYPERLINK("http://oralbappavailability.co.uk","oralbappavailability.co.uk")</f>
        <v>oralbappavailability.co.uk</v>
      </c>
      <c r="C27982" t="s">
        <v>506</v>
      </c>
      <c r="D27982" t="s">
        <v>880</v>
      </c>
      <c r="J27982">
        <v>2</v>
      </c>
    </row>
    <row r="27983" spans="1:10" x14ac:dyDescent="0.25">
      <c r="A27983" t="s">
        <v>310</v>
      </c>
      <c r="B27983" s="1" t="str">
        <f>HYPERLINK("http://pampers.co.uk","pampers.co.uk")</f>
        <v>pampers.co.uk</v>
      </c>
      <c r="C27983" t="s">
        <v>506</v>
      </c>
      <c r="D27983" t="s">
        <v>880</v>
      </c>
      <c r="E27983">
        <v>326034</v>
      </c>
      <c r="F27983">
        <v>5.07650496187448E-8</v>
      </c>
      <c r="G27983">
        <v>903853</v>
      </c>
      <c r="H27983">
        <v>14882118</v>
      </c>
      <c r="I27983">
        <v>471550</v>
      </c>
      <c r="J27983">
        <v>3</v>
      </c>
    </row>
    <row r="27984" spans="1:10" x14ac:dyDescent="0.25">
      <c r="A27984" t="s">
        <v>310</v>
      </c>
      <c r="B27984" s="1" t="str">
        <f>HYPERLINK("http://pg.co.uk","pg.co.uk")</f>
        <v>pg.co.uk</v>
      </c>
      <c r="C27984" t="s">
        <v>506</v>
      </c>
      <c r="D27984" t="s">
        <v>880</v>
      </c>
      <c r="E27984">
        <v>610551</v>
      </c>
      <c r="F27984">
        <v>1.68617639350459E-7</v>
      </c>
      <c r="G27984">
        <v>230093</v>
      </c>
      <c r="H27984">
        <v>14209087</v>
      </c>
      <c r="I27984">
        <v>1705717</v>
      </c>
      <c r="J27984">
        <v>2</v>
      </c>
    </row>
    <row r="27985" spans="1:10" x14ac:dyDescent="0.25">
      <c r="A27985" t="s">
        <v>310</v>
      </c>
      <c r="B27985" s="1" t="str">
        <f>HYPERLINK("http://sk2.co.uk","sk2.co.uk")</f>
        <v>sk2.co.uk</v>
      </c>
      <c r="C27985" t="s">
        <v>506</v>
      </c>
      <c r="D27985" t="s">
        <v>880</v>
      </c>
      <c r="F27985">
        <v>4.5151213341745402E-9</v>
      </c>
      <c r="G27985">
        <v>56832739</v>
      </c>
      <c r="H27985">
        <v>9949171</v>
      </c>
      <c r="I27985">
        <v>61221264</v>
      </c>
      <c r="J27985">
        <v>2</v>
      </c>
    </row>
    <row r="27986" spans="1:10" x14ac:dyDescent="0.25">
      <c r="A27986" t="s">
        <v>310</v>
      </c>
      <c r="B27986" s="1" t="str">
        <f>HYPERLINK("http://supersavvyme.co.uk","supersavvyme.co.uk")</f>
        <v>supersavvyme.co.uk</v>
      </c>
      <c r="C27986" t="s">
        <v>506</v>
      </c>
      <c r="D27986" t="s">
        <v>880</v>
      </c>
      <c r="E27986">
        <v>430638</v>
      </c>
      <c r="F27986">
        <v>4.9999492641514201E-8</v>
      </c>
      <c r="G27986">
        <v>921339</v>
      </c>
      <c r="H27986">
        <v>14565621</v>
      </c>
      <c r="I27986">
        <v>740442</v>
      </c>
      <c r="J27986">
        <v>2</v>
      </c>
    </row>
    <row r="27987" spans="1:10" x14ac:dyDescent="0.25">
      <c r="A27987" t="s">
        <v>310</v>
      </c>
      <c r="B27987" s="1" t="str">
        <f>HYPERLINK("http://vicks.co.uk","vicks.co.uk")</f>
        <v>vicks.co.uk</v>
      </c>
      <c r="C27987" t="s">
        <v>506</v>
      </c>
      <c r="D27987" t="s">
        <v>880</v>
      </c>
      <c r="F27987">
        <v>4.5856563420766099E-8</v>
      </c>
      <c r="G27987">
        <v>1024439</v>
      </c>
      <c r="H27987">
        <v>13133264</v>
      </c>
      <c r="I27987">
        <v>11924255</v>
      </c>
      <c r="J27987">
        <v>2</v>
      </c>
    </row>
    <row r="27988" spans="1:10" x14ac:dyDescent="0.25">
      <c r="A27988" t="s">
        <v>310</v>
      </c>
      <c r="B27988" s="1" t="str">
        <f>HYPERLINK("http://febreze.com.ve","febreze.com.ve")</f>
        <v>febreze.com.ve</v>
      </c>
      <c r="C27988" t="s">
        <v>508</v>
      </c>
      <c r="D27988" t="s">
        <v>882</v>
      </c>
      <c r="J27988">
        <v>2</v>
      </c>
    </row>
    <row r="27989" spans="1:10" x14ac:dyDescent="0.25">
      <c r="A27989" t="s">
        <v>310</v>
      </c>
      <c r="B27989" s="1" t="str">
        <f>HYPERLINK("http://pampersclub.vn","pampersclub.vn")</f>
        <v>pampersclub.vn</v>
      </c>
      <c r="C27989" t="s">
        <v>509</v>
      </c>
      <c r="D27989" t="s">
        <v>883</v>
      </c>
      <c r="J27989">
        <v>2</v>
      </c>
    </row>
    <row r="27990" spans="1:10" x14ac:dyDescent="0.25">
      <c r="A27990" t="s">
        <v>310</v>
      </c>
      <c r="B27990" s="1" t="str">
        <f>HYPERLINK("http://febreze.co.za","febreze.co.za")</f>
        <v>febreze.co.za</v>
      </c>
      <c r="C27990" t="s">
        <v>510</v>
      </c>
      <c r="D27990" t="s">
        <v>884</v>
      </c>
      <c r="J27990">
        <v>2</v>
      </c>
    </row>
    <row r="27991" spans="1:10" x14ac:dyDescent="0.25">
      <c r="A27991" t="s">
        <v>310</v>
      </c>
      <c r="B27991" s="1" t="str">
        <f>HYPERLINK("http://oralb.co.za","oralb.co.za")</f>
        <v>oralb.co.za</v>
      </c>
      <c r="C27991" t="s">
        <v>510</v>
      </c>
      <c r="D27991" t="s">
        <v>884</v>
      </c>
      <c r="F27991">
        <v>4.2253364771264902E-8</v>
      </c>
      <c r="G27991">
        <v>1152238</v>
      </c>
      <c r="H27991">
        <v>13041121</v>
      </c>
      <c r="I27991">
        <v>12620888</v>
      </c>
      <c r="J27991">
        <v>3</v>
      </c>
    </row>
    <row r="27992" spans="1:10" x14ac:dyDescent="0.25">
      <c r="A27992" t="s">
        <v>310</v>
      </c>
      <c r="B27992" s="1" t="str">
        <f>HYPERLINK("http://vicks.co.za","vicks.co.za")</f>
        <v>vicks.co.za</v>
      </c>
      <c r="C27992" t="s">
        <v>510</v>
      </c>
      <c r="D27992" t="s">
        <v>884</v>
      </c>
      <c r="F27992">
        <v>2.3195177721246199E-8</v>
      </c>
      <c r="G27992">
        <v>2249914</v>
      </c>
      <c r="H27992">
        <v>13012437</v>
      </c>
      <c r="I27992">
        <v>12742637</v>
      </c>
      <c r="J27992">
        <v>3</v>
      </c>
    </row>
    <row r="27993" spans="1:10" x14ac:dyDescent="0.25">
      <c r="A27993" t="s">
        <v>311</v>
      </c>
      <c r="B27993" s="1" t="str">
        <f>HYPERLINK("http://agentquoting.com","agentquoting.com")</f>
        <v>agentquoting.com</v>
      </c>
      <c r="C27993" t="s">
        <v>433</v>
      </c>
      <c r="J27993">
        <v>3</v>
      </c>
    </row>
    <row r="27994" spans="1:10" x14ac:dyDescent="0.25">
      <c r="A27994" t="s">
        <v>311</v>
      </c>
      <c r="B27994" s="1" t="str">
        <f>HYPERLINK("http://americanstrategic.com","americanstrategic.com")</f>
        <v>americanstrategic.com</v>
      </c>
      <c r="C27994" t="s">
        <v>433</v>
      </c>
      <c r="E27994">
        <v>125241</v>
      </c>
      <c r="F27994">
        <v>2.706567164169E-7</v>
      </c>
      <c r="G27994">
        <v>137576</v>
      </c>
      <c r="H27994">
        <v>13734230</v>
      </c>
      <c r="I27994">
        <v>9455018</v>
      </c>
      <c r="J27994">
        <v>3</v>
      </c>
    </row>
    <row r="27995" spans="1:10" x14ac:dyDescent="0.25">
      <c r="A27995" t="s">
        <v>311</v>
      </c>
      <c r="B27995" s="1" t="str">
        <f>HYPERLINK("http://aristoninsurance.com","aristoninsurance.com")</f>
        <v>aristoninsurance.com</v>
      </c>
      <c r="C27995" t="s">
        <v>433</v>
      </c>
      <c r="F27995">
        <v>4.4892303220808597E-9</v>
      </c>
      <c r="G27995">
        <v>60642668</v>
      </c>
      <c r="H27995">
        <v>12075312</v>
      </c>
      <c r="I27995">
        <v>26680599</v>
      </c>
      <c r="J27995">
        <v>3</v>
      </c>
    </row>
    <row r="27996" spans="1:10" x14ac:dyDescent="0.25">
      <c r="A27996" t="s">
        <v>311</v>
      </c>
      <c r="B27996" s="1" t="str">
        <f>HYPERLINK("http://asipolicy.com","asipolicy.com")</f>
        <v>asipolicy.com</v>
      </c>
      <c r="C27996" t="s">
        <v>433</v>
      </c>
      <c r="E27996">
        <v>224024</v>
      </c>
      <c r="F27996">
        <v>6.9707258314261995E-8</v>
      </c>
      <c r="G27996">
        <v>608742</v>
      </c>
      <c r="H27996">
        <v>12600671</v>
      </c>
      <c r="I27996">
        <v>16321025</v>
      </c>
      <c r="J27996">
        <v>5</v>
      </c>
    </row>
    <row r="27997" spans="1:10" x14ac:dyDescent="0.25">
      <c r="A27997" t="s">
        <v>311</v>
      </c>
      <c r="B27997" s="1" t="str">
        <f>HYPERLINK("http://foragentsonly.com","foragentsonly.com")</f>
        <v>foragentsonly.com</v>
      </c>
      <c r="C27997" t="s">
        <v>433</v>
      </c>
      <c r="E27997">
        <v>58543</v>
      </c>
      <c r="F27997">
        <v>5.5424566757805103E-8</v>
      </c>
      <c r="G27997">
        <v>809939</v>
      </c>
      <c r="H27997">
        <v>13412589</v>
      </c>
      <c r="I27997">
        <v>10323149</v>
      </c>
      <c r="J27997">
        <v>3</v>
      </c>
    </row>
    <row r="27998" spans="1:10" x14ac:dyDescent="0.25">
      <c r="A27998" t="s">
        <v>311</v>
      </c>
      <c r="B27998" s="1" t="str">
        <f>HYPERLINK("http://fortmanins.com","fortmanins.com")</f>
        <v>fortmanins.com</v>
      </c>
      <c r="C27998" t="s">
        <v>433</v>
      </c>
      <c r="F27998">
        <v>5.6411325800703296E-9</v>
      </c>
      <c r="G27998">
        <v>19474281</v>
      </c>
      <c r="H27998">
        <v>12285933</v>
      </c>
      <c r="I27998">
        <v>21192365</v>
      </c>
      <c r="J27998">
        <v>3</v>
      </c>
    </row>
    <row r="27999" spans="1:10" x14ac:dyDescent="0.25">
      <c r="A27999" t="s">
        <v>311</v>
      </c>
      <c r="B27999" s="1" t="str">
        <f>HYPERLINK("http://holdenmccarty.com","holdenmccarty.com")</f>
        <v>holdenmccarty.com</v>
      </c>
      <c r="C27999" t="s">
        <v>433</v>
      </c>
      <c r="F27999">
        <v>5.2143511137715702E-9</v>
      </c>
      <c r="G27999">
        <v>24846055</v>
      </c>
      <c r="H27999">
        <v>10862753</v>
      </c>
      <c r="I27999">
        <v>36627992</v>
      </c>
      <c r="J27999">
        <v>3</v>
      </c>
    </row>
    <row r="28000" spans="1:10" x14ac:dyDescent="0.25">
      <c r="A28000" t="s">
        <v>311</v>
      </c>
      <c r="B28000" s="1" t="str">
        <f>HYPERLINK("http://johnwoodinsurance.com","johnwoodinsurance.com")</f>
        <v>johnwoodinsurance.com</v>
      </c>
      <c r="C28000" t="s">
        <v>433</v>
      </c>
      <c r="F28000">
        <v>5.7785725560294099E-9</v>
      </c>
      <c r="G28000">
        <v>18258218</v>
      </c>
      <c r="H28000">
        <v>10516162</v>
      </c>
      <c r="I28000">
        <v>49201129</v>
      </c>
      <c r="J28000">
        <v>3</v>
      </c>
    </row>
    <row r="28001" spans="1:10" x14ac:dyDescent="0.25">
      <c r="A28001" t="s">
        <v>311</v>
      </c>
      <c r="B28001" s="1" t="str">
        <f>HYPERLINK("http://monticoloinsurance.com","monticoloinsurance.com")</f>
        <v>monticoloinsurance.com</v>
      </c>
      <c r="C28001" t="s">
        <v>433</v>
      </c>
      <c r="F28001">
        <v>4.44380395335525E-9</v>
      </c>
      <c r="G28001">
        <v>82687551</v>
      </c>
      <c r="H28001">
        <v>0</v>
      </c>
      <c r="I28001">
        <v>83349591</v>
      </c>
      <c r="J28001">
        <v>3</v>
      </c>
    </row>
    <row r="28002" spans="1:10" x14ac:dyDescent="0.25">
      <c r="A28002" t="s">
        <v>311</v>
      </c>
      <c r="B28002" s="1" t="str">
        <f>HYPERLINK("http://prog1.com","prog1.com")</f>
        <v>prog1.com</v>
      </c>
      <c r="C28002" t="s">
        <v>433</v>
      </c>
      <c r="F28002">
        <v>4.44381528729582E-9</v>
      </c>
      <c r="G28002">
        <v>79391505</v>
      </c>
      <c r="H28002">
        <v>10358497</v>
      </c>
      <c r="I28002">
        <v>55373609</v>
      </c>
      <c r="J28002">
        <v>3</v>
      </c>
    </row>
    <row r="28003" spans="1:10" x14ac:dyDescent="0.25">
      <c r="A28003" t="s">
        <v>311</v>
      </c>
      <c r="B28003" s="1" t="str">
        <f>HYPERLINK("http://progressive.com","progressive.com")</f>
        <v>progressive.com</v>
      </c>
      <c r="C28003" t="s">
        <v>433</v>
      </c>
      <c r="E28003">
        <v>2624</v>
      </c>
      <c r="F28003">
        <v>3.96409724691201E-6</v>
      </c>
      <c r="G28003">
        <v>9611</v>
      </c>
      <c r="H28003">
        <v>17538494</v>
      </c>
      <c r="I28003">
        <v>11704</v>
      </c>
      <c r="J28003">
        <v>1</v>
      </c>
    </row>
    <row r="28004" spans="1:10" x14ac:dyDescent="0.25">
      <c r="A28004" t="s">
        <v>311</v>
      </c>
      <c r="B28004" s="1" t="str">
        <f>HYPERLINK("http://progressiveagent.com","progressiveagent.com")</f>
        <v>progressiveagent.com</v>
      </c>
      <c r="C28004" t="s">
        <v>433</v>
      </c>
      <c r="E28004">
        <v>186165</v>
      </c>
      <c r="F28004">
        <v>4.7951929437653804E-7</v>
      </c>
      <c r="G28004">
        <v>79282</v>
      </c>
      <c r="H28004">
        <v>14024752</v>
      </c>
      <c r="I28004">
        <v>3976310</v>
      </c>
      <c r="J28004">
        <v>3</v>
      </c>
    </row>
    <row r="28005" spans="1:10" x14ac:dyDescent="0.25">
      <c r="A28005" t="s">
        <v>311</v>
      </c>
      <c r="B28005" s="1" t="str">
        <f>HYPERLINK("http://progressivecommercial.com","progressivecommercial.com")</f>
        <v>progressivecommercial.com</v>
      </c>
      <c r="C28005" t="s">
        <v>433</v>
      </c>
      <c r="E28005">
        <v>90614</v>
      </c>
      <c r="F28005">
        <v>2.2765412650072301E-7</v>
      </c>
      <c r="G28005">
        <v>165411</v>
      </c>
      <c r="H28005">
        <v>14751787</v>
      </c>
      <c r="I28005">
        <v>563127</v>
      </c>
      <c r="J28005">
        <v>3</v>
      </c>
    </row>
    <row r="28006" spans="1:10" x14ac:dyDescent="0.25">
      <c r="A28006" t="s">
        <v>311</v>
      </c>
      <c r="B28006" s="1" t="str">
        <f>HYPERLINK("http://progressivedirect.com","progressivedirect.com")</f>
        <v>progressivedirect.com</v>
      </c>
      <c r="C28006" t="s">
        <v>433</v>
      </c>
      <c r="E28006">
        <v>70111</v>
      </c>
      <c r="F28006">
        <v>9.4643446901505605E-9</v>
      </c>
      <c r="G28006">
        <v>7365602</v>
      </c>
      <c r="H28006">
        <v>12768129</v>
      </c>
      <c r="I28006">
        <v>14855339</v>
      </c>
      <c r="J28006">
        <v>3</v>
      </c>
    </row>
    <row r="28007" spans="1:10" x14ac:dyDescent="0.25">
      <c r="A28007" t="s">
        <v>311</v>
      </c>
      <c r="B28007" s="1" t="str">
        <f>HYPERLINK("http://progressiveintl.com","progressiveintl.com")</f>
        <v>progressiveintl.com</v>
      </c>
      <c r="C28007" t="s">
        <v>433</v>
      </c>
      <c r="F28007">
        <v>3.4309779538486002E-8</v>
      </c>
      <c r="G28007">
        <v>1511072</v>
      </c>
      <c r="H28007">
        <v>14007324</v>
      </c>
      <c r="I28007">
        <v>4004241</v>
      </c>
      <c r="J28007">
        <v>3</v>
      </c>
    </row>
    <row r="28008" spans="1:10" x14ac:dyDescent="0.25">
      <c r="A28008" t="s">
        <v>311</v>
      </c>
      <c r="B28008" s="1" t="str">
        <f>HYPERLINK("http://protectiveinsurance.com","protectiveinsurance.com")</f>
        <v>protectiveinsurance.com</v>
      </c>
      <c r="C28008" t="s">
        <v>433</v>
      </c>
      <c r="E28008">
        <v>505422</v>
      </c>
      <c r="F28008">
        <v>4.7259053217153003E-8</v>
      </c>
      <c r="G28008">
        <v>986476</v>
      </c>
      <c r="H28008">
        <v>14194420</v>
      </c>
      <c r="I28008">
        <v>1740036</v>
      </c>
      <c r="J28008">
        <v>3</v>
      </c>
    </row>
    <row r="28009" spans="1:10" x14ac:dyDescent="0.25">
      <c r="A28009" t="s">
        <v>311</v>
      </c>
      <c r="B28009" s="1" t="str">
        <f>HYPERLINK("http://sagamoreinsurance.com","sagamoreinsurance.com")</f>
        <v>sagamoreinsurance.com</v>
      </c>
      <c r="C28009" t="s">
        <v>433</v>
      </c>
      <c r="F28009">
        <v>1.01389177628663E-8</v>
      </c>
      <c r="G28009">
        <v>6607698</v>
      </c>
      <c r="H28009">
        <v>10843665</v>
      </c>
      <c r="I28009">
        <v>37020662</v>
      </c>
      <c r="J28009">
        <v>3</v>
      </c>
    </row>
    <row r="28010" spans="1:10" x14ac:dyDescent="0.25">
      <c r="A28010" t="s">
        <v>312</v>
      </c>
      <c r="B28010" s="1" t="str">
        <f>HYPERLINK("http://prologis.be","prologis.be")</f>
        <v>prologis.be</v>
      </c>
      <c r="C28010" t="s">
        <v>421</v>
      </c>
      <c r="D28010" t="s">
        <v>803</v>
      </c>
      <c r="F28010">
        <v>8.4147150828086902E-9</v>
      </c>
      <c r="G28010">
        <v>9012927</v>
      </c>
      <c r="H28010">
        <v>12160746</v>
      </c>
      <c r="I28010">
        <v>24342851</v>
      </c>
      <c r="J28010">
        <v>2</v>
      </c>
    </row>
    <row r="28011" spans="1:10" x14ac:dyDescent="0.25">
      <c r="A28011" t="s">
        <v>312</v>
      </c>
      <c r="B28011" s="1" t="str">
        <f>HYPERLINK("http://prologis.com.br","prologis.com.br")</f>
        <v>prologis.com.br</v>
      </c>
      <c r="C28011" t="s">
        <v>425</v>
      </c>
      <c r="D28011" t="s">
        <v>806</v>
      </c>
      <c r="F28011">
        <v>8.7609369460442805E-9</v>
      </c>
      <c r="G28011">
        <v>8374160</v>
      </c>
      <c r="H28011">
        <v>12166607</v>
      </c>
      <c r="I28011">
        <v>24156726</v>
      </c>
      <c r="J28011">
        <v>2</v>
      </c>
    </row>
    <row r="28012" spans="1:10" x14ac:dyDescent="0.25">
      <c r="A28012" t="s">
        <v>312</v>
      </c>
      <c r="B28012" s="1" t="str">
        <f>HYPERLINK("http://prologis.cn","prologis.cn")</f>
        <v>prologis.cn</v>
      </c>
      <c r="C28012" t="s">
        <v>431</v>
      </c>
      <c r="D28012" t="s">
        <v>812</v>
      </c>
      <c r="F28012">
        <v>1.1196206009473701E-8</v>
      </c>
      <c r="G28012">
        <v>5715778</v>
      </c>
      <c r="H28012">
        <v>12372394</v>
      </c>
      <c r="I28012">
        <v>19367972</v>
      </c>
      <c r="J28012">
        <v>2</v>
      </c>
    </row>
    <row r="28013" spans="1:10" x14ac:dyDescent="0.25">
      <c r="A28013" t="s">
        <v>312</v>
      </c>
      <c r="B28013" s="1" t="str">
        <f>HYPERLINK("http://prologis.com","prologis.com")</f>
        <v>prologis.com</v>
      </c>
      <c r="C28013" t="s">
        <v>433</v>
      </c>
      <c r="E28013">
        <v>81723</v>
      </c>
      <c r="F28013">
        <v>5.0900538555600796E-7</v>
      </c>
      <c r="G28013">
        <v>75265</v>
      </c>
      <c r="H28013">
        <v>17233246</v>
      </c>
      <c r="I28013">
        <v>36424</v>
      </c>
      <c r="J28013">
        <v>1</v>
      </c>
    </row>
    <row r="28014" spans="1:10" x14ac:dyDescent="0.25">
      <c r="A28014" t="s">
        <v>312</v>
      </c>
      <c r="B28014" s="1" t="str">
        <f>HYPERLINK("http://prologys.com","prologys.com")</f>
        <v>prologys.com</v>
      </c>
      <c r="C28014" t="s">
        <v>433</v>
      </c>
      <c r="F28014">
        <v>4.4449172361176399E-9</v>
      </c>
      <c r="G28014">
        <v>75880765</v>
      </c>
      <c r="H28014">
        <v>9391272</v>
      </c>
      <c r="I28014">
        <v>67398069</v>
      </c>
      <c r="J28014">
        <v>3</v>
      </c>
    </row>
    <row r="28015" spans="1:10" x14ac:dyDescent="0.25">
      <c r="A28015" t="s">
        <v>312</v>
      </c>
      <c r="B28015" s="1" t="str">
        <f>HYPERLINK("http://prologis.es","prologis.es")</f>
        <v>prologis.es</v>
      </c>
      <c r="C28015" t="s">
        <v>443</v>
      </c>
      <c r="D28015" t="s">
        <v>822</v>
      </c>
      <c r="F28015">
        <v>1.5602424796917101E-8</v>
      </c>
      <c r="G28015">
        <v>3654452</v>
      </c>
      <c r="H28015">
        <v>12755678</v>
      </c>
      <c r="I28015">
        <v>14985247</v>
      </c>
      <c r="J28015">
        <v>2</v>
      </c>
    </row>
    <row r="28016" spans="1:10" x14ac:dyDescent="0.25">
      <c r="A28016" t="s">
        <v>312</v>
      </c>
      <c r="B28016" s="1" t="str">
        <f>HYPERLINK("http://prologis.events","prologis.events")</f>
        <v>prologis.events</v>
      </c>
      <c r="C28016" t="s">
        <v>699</v>
      </c>
      <c r="F28016">
        <v>1.1855169322292601E-8</v>
      </c>
      <c r="G28016">
        <v>5267144</v>
      </c>
      <c r="H28016">
        <v>12426296</v>
      </c>
      <c r="I28016">
        <v>18359495</v>
      </c>
      <c r="J28016">
        <v>2</v>
      </c>
    </row>
    <row r="28017" spans="1:10" x14ac:dyDescent="0.25">
      <c r="A28017" t="s">
        <v>312</v>
      </c>
      <c r="B28017" s="1" t="str">
        <f>HYPERLINK("http://prologis.fr","prologis.fr")</f>
        <v>prologis.fr</v>
      </c>
      <c r="C28017" t="s">
        <v>446</v>
      </c>
      <c r="D28017" t="s">
        <v>824</v>
      </c>
      <c r="F28017">
        <v>2.7294960943009699E-8</v>
      </c>
      <c r="G28017">
        <v>1883509</v>
      </c>
      <c r="H28017">
        <v>12604680</v>
      </c>
      <c r="I28017">
        <v>16280330</v>
      </c>
      <c r="J28017">
        <v>2</v>
      </c>
    </row>
    <row r="28018" spans="1:10" x14ac:dyDescent="0.25">
      <c r="A28018" t="s">
        <v>312</v>
      </c>
      <c r="B28018" s="1" t="str">
        <f>HYPERLINK("http://prologis.it","prologis.it")</f>
        <v>prologis.it</v>
      </c>
      <c r="C28018" t="s">
        <v>459</v>
      </c>
      <c r="D28018" t="s">
        <v>835</v>
      </c>
      <c r="F28018">
        <v>2.23303991263983E-8</v>
      </c>
      <c r="G28018">
        <v>2347391</v>
      </c>
      <c r="H28018">
        <v>14418008</v>
      </c>
      <c r="I28018">
        <v>1095905</v>
      </c>
      <c r="J28018">
        <v>2</v>
      </c>
    </row>
    <row r="28019" spans="1:10" x14ac:dyDescent="0.25">
      <c r="A28019" t="s">
        <v>312</v>
      </c>
      <c r="B28019" s="1" t="str">
        <f>HYPERLINK("http://prologis.co.jp","prologis.co.jp")</f>
        <v>prologis.co.jp</v>
      </c>
      <c r="C28019" t="s">
        <v>461</v>
      </c>
      <c r="D28019" t="s">
        <v>837</v>
      </c>
      <c r="F28019">
        <v>2.1140069484424401E-8</v>
      </c>
      <c r="G28019">
        <v>2495600</v>
      </c>
      <c r="H28019">
        <v>14085658</v>
      </c>
      <c r="I28019">
        <v>2776129</v>
      </c>
      <c r="J28019">
        <v>2</v>
      </c>
    </row>
    <row r="28020" spans="1:10" x14ac:dyDescent="0.25">
      <c r="A28020" t="s">
        <v>312</v>
      </c>
      <c r="B28020" s="1" t="str">
        <f>HYPERLINK("http://prologis.mx","prologis.mx")</f>
        <v>prologis.mx</v>
      </c>
      <c r="C28020" t="s">
        <v>471</v>
      </c>
      <c r="D28020" t="s">
        <v>847</v>
      </c>
      <c r="F28020">
        <v>9.4766238117406793E-9</v>
      </c>
      <c r="G28020">
        <v>7350825</v>
      </c>
      <c r="H28020">
        <v>12212874</v>
      </c>
      <c r="I28020">
        <v>22956115</v>
      </c>
      <c r="J28020">
        <v>2</v>
      </c>
    </row>
    <row r="28021" spans="1:10" x14ac:dyDescent="0.25">
      <c r="A28021" t="s">
        <v>312</v>
      </c>
      <c r="B28021" s="1" t="str">
        <f>HYPERLINK("http://prologis.nl","prologis.nl")</f>
        <v>prologis.nl</v>
      </c>
      <c r="C28021" t="s">
        <v>477</v>
      </c>
      <c r="D28021" t="s">
        <v>852</v>
      </c>
      <c r="F28021">
        <v>2.5576214833789301E-8</v>
      </c>
      <c r="G28021">
        <v>2016218</v>
      </c>
      <c r="H28021">
        <v>12727049</v>
      </c>
      <c r="I28021">
        <v>15213775</v>
      </c>
      <c r="J28021">
        <v>2</v>
      </c>
    </row>
    <row r="28022" spans="1:10" x14ac:dyDescent="0.25">
      <c r="A28022" t="s">
        <v>312</v>
      </c>
      <c r="B28022" s="1" t="str">
        <f>HYPERLINK("http://prologis.se","prologis.se")</f>
        <v>prologis.se</v>
      </c>
      <c r="C28022" t="s">
        <v>495</v>
      </c>
      <c r="D28022" t="s">
        <v>869</v>
      </c>
      <c r="F28022">
        <v>1.5469401342519699E-8</v>
      </c>
      <c r="G28022">
        <v>3693298</v>
      </c>
      <c r="H28022">
        <v>12300529</v>
      </c>
      <c r="I28022">
        <v>20821529</v>
      </c>
      <c r="J28022">
        <v>2</v>
      </c>
    </row>
    <row r="28023" spans="1:10" x14ac:dyDescent="0.25">
      <c r="A28023" t="s">
        <v>312</v>
      </c>
      <c r="B28023" s="1" t="str">
        <f>HYPERLINK("http://prologis.co.uk","prologis.co.uk")</f>
        <v>prologis.co.uk</v>
      </c>
      <c r="C28023" t="s">
        <v>506</v>
      </c>
      <c r="D28023" t="s">
        <v>880</v>
      </c>
      <c r="F28023">
        <v>1.84654240640263E-8</v>
      </c>
      <c r="G28023">
        <v>2932298</v>
      </c>
      <c r="H28023">
        <v>12721551</v>
      </c>
      <c r="I28023">
        <v>15245736</v>
      </c>
      <c r="J28023">
        <v>2</v>
      </c>
    </row>
    <row r="28024" spans="1:10" x14ac:dyDescent="0.25">
      <c r="A28024" t="s">
        <v>313</v>
      </c>
      <c r="B28024" s="1" t="str">
        <f>HYPERLINK("http://prudential.com.br","prudential.com.br")</f>
        <v>prudential.com.br</v>
      </c>
      <c r="C28024" t="s">
        <v>425</v>
      </c>
      <c r="D28024" t="s">
        <v>806</v>
      </c>
      <c r="E28024">
        <v>43127</v>
      </c>
      <c r="F28024">
        <v>4.8314656481217598E-9</v>
      </c>
      <c r="G28024">
        <v>34788496</v>
      </c>
      <c r="H28024">
        <v>13933062</v>
      </c>
      <c r="I28024">
        <v>5120668</v>
      </c>
      <c r="J28024">
        <v>3</v>
      </c>
    </row>
    <row r="28025" spans="1:10" x14ac:dyDescent="0.25">
      <c r="A28025" t="s">
        <v>313</v>
      </c>
      <c r="B28025" s="1" t="str">
        <f>HYPERLINK("http://epf.com.cn","epf.com.cn")</f>
        <v>epf.com.cn</v>
      </c>
      <c r="C28025" t="s">
        <v>431</v>
      </c>
      <c r="D28025" t="s">
        <v>812</v>
      </c>
      <c r="E28025">
        <v>515518</v>
      </c>
      <c r="F28025">
        <v>1.1229823534250701E-7</v>
      </c>
      <c r="G28025">
        <v>355673</v>
      </c>
      <c r="H28025">
        <v>12915982</v>
      </c>
      <c r="I28025">
        <v>13515106</v>
      </c>
      <c r="J28025">
        <v>3</v>
      </c>
    </row>
    <row r="28026" spans="1:10" x14ac:dyDescent="0.25">
      <c r="A28026" t="s">
        <v>313</v>
      </c>
      <c r="B28026" s="1" t="str">
        <f>HYPERLINK("http://pflife.com.cn","pflife.com.cn")</f>
        <v>pflife.com.cn</v>
      </c>
      <c r="C28026" t="s">
        <v>431</v>
      </c>
      <c r="D28026" t="s">
        <v>812</v>
      </c>
      <c r="F28026">
        <v>1.32272687925925E-8</v>
      </c>
      <c r="G28026">
        <v>4526184</v>
      </c>
      <c r="H28026">
        <v>12358575</v>
      </c>
      <c r="I28026">
        <v>19612834</v>
      </c>
      <c r="J28026">
        <v>3</v>
      </c>
    </row>
    <row r="28027" spans="1:10" x14ac:dyDescent="0.25">
      <c r="A28027" t="s">
        <v>313</v>
      </c>
      <c r="B28027" s="1" t="str">
        <f>HYPERLINK("http://assurance.com","assurance.com")</f>
        <v>assurance.com</v>
      </c>
      <c r="C28027" t="s">
        <v>433</v>
      </c>
      <c r="E28027">
        <v>42378</v>
      </c>
      <c r="F28027">
        <v>8.0732133417227906E-8</v>
      </c>
      <c r="G28027">
        <v>517243</v>
      </c>
      <c r="H28027">
        <v>13652025</v>
      </c>
      <c r="I28027">
        <v>9605217</v>
      </c>
      <c r="J28027">
        <v>3</v>
      </c>
    </row>
    <row r="28028" spans="1:10" x14ac:dyDescent="0.25">
      <c r="A28028" t="s">
        <v>313</v>
      </c>
      <c r="B28028" s="1" t="str">
        <f>HYPERLINK("http://capitalag.com","capitalag.com")</f>
        <v>capitalag.com</v>
      </c>
      <c r="C28028" t="s">
        <v>433</v>
      </c>
      <c r="F28028">
        <v>6.8747914087690898E-9</v>
      </c>
      <c r="G28028">
        <v>12713041</v>
      </c>
      <c r="H28028">
        <v>12233887</v>
      </c>
      <c r="I28028">
        <v>22407117</v>
      </c>
      <c r="J28028">
        <v>3</v>
      </c>
    </row>
    <row r="28029" spans="1:10" x14ac:dyDescent="0.25">
      <c r="A28029" t="s">
        <v>313</v>
      </c>
      <c r="B28029" s="1" t="str">
        <f>HYPERLINK("http://gibraltarbsn.com","gibraltarbsn.com")</f>
        <v>gibraltarbsn.com</v>
      </c>
      <c r="C28029" t="s">
        <v>433</v>
      </c>
      <c r="F28029">
        <v>1.31195992150356E-8</v>
      </c>
      <c r="G28029">
        <v>4574827</v>
      </c>
      <c r="H28029">
        <v>12955630</v>
      </c>
      <c r="I28029">
        <v>13186394</v>
      </c>
      <c r="J28029">
        <v>2</v>
      </c>
    </row>
    <row r="28030" spans="1:10" x14ac:dyDescent="0.25">
      <c r="A28030" t="s">
        <v>313</v>
      </c>
      <c r="B28030" s="1" t="str">
        <f>HYPERLINK("http://jennison.com","jennison.com")</f>
        <v>jennison.com</v>
      </c>
      <c r="C28030" t="s">
        <v>433</v>
      </c>
      <c r="F28030">
        <v>1.5869315467825699E-8</v>
      </c>
      <c r="G28030">
        <v>3580649</v>
      </c>
      <c r="H28030">
        <v>14007487</v>
      </c>
      <c r="I28030">
        <v>4004043</v>
      </c>
      <c r="J28030">
        <v>3</v>
      </c>
    </row>
    <row r="28031" spans="1:10" x14ac:dyDescent="0.25">
      <c r="A28031" t="s">
        <v>313</v>
      </c>
      <c r="B28031" s="1" t="str">
        <f>HYPERLINK("http://memberenroll.com","memberenroll.com")</f>
        <v>memberenroll.com</v>
      </c>
      <c r="C28031" t="s">
        <v>433</v>
      </c>
      <c r="F28031">
        <v>8.1378299372052507E-9</v>
      </c>
      <c r="G28031">
        <v>9676887</v>
      </c>
      <c r="H28031">
        <v>11021824</v>
      </c>
      <c r="I28031">
        <v>33224183</v>
      </c>
      <c r="J28031">
        <v>2</v>
      </c>
    </row>
    <row r="28032" spans="1:10" x14ac:dyDescent="0.25">
      <c r="A28032" t="s">
        <v>313</v>
      </c>
      <c r="B28032" s="1" t="str">
        <f>HYPERLINK("http://pficdn.com","pficdn.com")</f>
        <v>pficdn.com</v>
      </c>
      <c r="C28032" t="s">
        <v>433</v>
      </c>
      <c r="E28032">
        <v>117095</v>
      </c>
      <c r="F28032">
        <v>4.8304228786025102E-8</v>
      </c>
      <c r="G28032">
        <v>961613</v>
      </c>
      <c r="H28032">
        <v>14375491</v>
      </c>
      <c r="I28032">
        <v>1225379</v>
      </c>
      <c r="J28032">
        <v>4</v>
      </c>
    </row>
    <row r="28033" spans="1:10" x14ac:dyDescent="0.25">
      <c r="A28033" t="s">
        <v>313</v>
      </c>
      <c r="B28033" s="1" t="str">
        <f>HYPERLINK("http://pgim.com","pgim.com")</f>
        <v>pgim.com</v>
      </c>
      <c r="C28033" t="s">
        <v>433</v>
      </c>
      <c r="E28033">
        <v>184215</v>
      </c>
      <c r="F28033">
        <v>3.6988348408487901E-7</v>
      </c>
      <c r="G28033">
        <v>101208</v>
      </c>
      <c r="H28033">
        <v>14406722</v>
      </c>
      <c r="I28033">
        <v>1148219</v>
      </c>
      <c r="J28033">
        <v>2</v>
      </c>
    </row>
    <row r="28034" spans="1:10" x14ac:dyDescent="0.25">
      <c r="A28034" t="s">
        <v>313</v>
      </c>
      <c r="B28034" s="1" t="str">
        <f>HYPERLINK("http://pgimindiamf.com","pgimindiamf.com")</f>
        <v>pgimindiamf.com</v>
      </c>
      <c r="C28034" t="s">
        <v>433</v>
      </c>
      <c r="E28034">
        <v>527314</v>
      </c>
      <c r="F28034">
        <v>5.09811713082433E-8</v>
      </c>
      <c r="G28034">
        <v>899269</v>
      </c>
      <c r="H28034">
        <v>13943753</v>
      </c>
      <c r="I28034">
        <v>4309808</v>
      </c>
      <c r="J28034">
        <v>3</v>
      </c>
    </row>
    <row r="28035" spans="1:10" x14ac:dyDescent="0.25">
      <c r="A28035" t="s">
        <v>313</v>
      </c>
      <c r="B28035" s="1" t="str">
        <f>HYPERLINK("http://pgimjp.com","pgimjp.com")</f>
        <v>pgimjp.com</v>
      </c>
      <c r="C28035" t="s">
        <v>433</v>
      </c>
      <c r="F28035">
        <v>7.2942981894754996E-9</v>
      </c>
      <c r="G28035">
        <v>11494674</v>
      </c>
      <c r="H28035">
        <v>14090771</v>
      </c>
      <c r="I28035">
        <v>2747601</v>
      </c>
      <c r="J28035">
        <v>3</v>
      </c>
    </row>
    <row r="28036" spans="1:10" x14ac:dyDescent="0.25">
      <c r="A28036" t="s">
        <v>313</v>
      </c>
      <c r="B28036" s="1" t="str">
        <f>HYPERLINK("http://pgimrealestate.com","pgimrealestate.com")</f>
        <v>pgimrealestate.com</v>
      </c>
      <c r="C28036" t="s">
        <v>433</v>
      </c>
      <c r="F28036">
        <v>7.8290983269908704E-8</v>
      </c>
      <c r="G28036">
        <v>534112</v>
      </c>
      <c r="H28036">
        <v>14115060</v>
      </c>
      <c r="I28036">
        <v>2664196</v>
      </c>
      <c r="J28036">
        <v>4</v>
      </c>
    </row>
    <row r="28037" spans="1:10" x14ac:dyDescent="0.25">
      <c r="A28037" t="s">
        <v>313</v>
      </c>
      <c r="B28037" s="1" t="str">
        <f>HYPERLINK("http://prudential.com","prudential.com")</f>
        <v>prudential.com</v>
      </c>
      <c r="C28037" t="s">
        <v>433</v>
      </c>
      <c r="E28037">
        <v>806</v>
      </c>
      <c r="F28037">
        <v>3.3050016835768701E-6</v>
      </c>
      <c r="G28037">
        <v>12160</v>
      </c>
      <c r="H28037">
        <v>17498138</v>
      </c>
      <c r="I28037">
        <v>13772</v>
      </c>
      <c r="J28037">
        <v>1</v>
      </c>
    </row>
    <row r="28038" spans="1:10" x14ac:dyDescent="0.25">
      <c r="A28038" t="s">
        <v>313</v>
      </c>
      <c r="B28038" s="1" t="str">
        <f>HYPERLINK("http://prudentialqa.com","prudentialqa.com")</f>
        <v>prudentialqa.com</v>
      </c>
      <c r="C28038" t="s">
        <v>433</v>
      </c>
      <c r="J28038">
        <v>2</v>
      </c>
    </row>
    <row r="28039" spans="1:10" x14ac:dyDescent="0.25">
      <c r="A28039" t="s">
        <v>313</v>
      </c>
      <c r="B28039" s="1" t="str">
        <f>HYPERLINK("http://qianhaire.com","qianhaire.com")</f>
        <v>qianhaire.com</v>
      </c>
      <c r="C28039" t="s">
        <v>433</v>
      </c>
      <c r="F28039">
        <v>4.9317696088847603E-9</v>
      </c>
      <c r="G28039">
        <v>31328804</v>
      </c>
      <c r="H28039">
        <v>10600647</v>
      </c>
      <c r="I28039">
        <v>44878017</v>
      </c>
      <c r="J28039">
        <v>3</v>
      </c>
    </row>
    <row r="28040" spans="1:10" x14ac:dyDescent="0.25">
      <c r="A28040" t="s">
        <v>313</v>
      </c>
      <c r="B28040" s="1" t="str">
        <f>HYPERLINK("http://qma.com","qma.com")</f>
        <v>qma.com</v>
      </c>
      <c r="C28040" t="s">
        <v>433</v>
      </c>
      <c r="F28040">
        <v>3.6975071876217902E-8</v>
      </c>
      <c r="G28040">
        <v>1403763</v>
      </c>
      <c r="H28040">
        <v>14087916</v>
      </c>
      <c r="I28040">
        <v>2761167</v>
      </c>
      <c r="J28040">
        <v>3</v>
      </c>
    </row>
    <row r="28041" spans="1:10" x14ac:dyDescent="0.25">
      <c r="A28041" t="s">
        <v>313</v>
      </c>
      <c r="B28041" s="1" t="str">
        <f>HYPERLINK("http://qmassociates.com","qmassociates.com")</f>
        <v>qmassociates.com</v>
      </c>
      <c r="C28041" t="s">
        <v>433</v>
      </c>
      <c r="F28041">
        <v>5.6183875926208803E-9</v>
      </c>
      <c r="G28041">
        <v>19683762</v>
      </c>
      <c r="H28041">
        <v>13768110</v>
      </c>
      <c r="I28041">
        <v>6895350</v>
      </c>
      <c r="J28041">
        <v>6</v>
      </c>
    </row>
    <row r="28042" spans="1:10" x14ac:dyDescent="0.25">
      <c r="A28042" t="s">
        <v>313</v>
      </c>
      <c r="B28042" s="1" t="str">
        <f>HYPERLINK("http://tensabarrier.com","tensabarrier.com")</f>
        <v>tensabarrier.com</v>
      </c>
      <c r="C28042" t="s">
        <v>433</v>
      </c>
      <c r="F28042">
        <v>9.02793518541992E-9</v>
      </c>
      <c r="G28042">
        <v>7950578</v>
      </c>
      <c r="H28042">
        <v>10816330</v>
      </c>
      <c r="I28042">
        <v>37709608</v>
      </c>
      <c r="J28042">
        <v>5</v>
      </c>
    </row>
    <row r="28043" spans="1:10" x14ac:dyDescent="0.25">
      <c r="A28043" t="s">
        <v>313</v>
      </c>
      <c r="B28043" s="1" t="str">
        <f>HYPERLINK("http://tensator.com","tensator.com")</f>
        <v>tensator.com</v>
      </c>
      <c r="C28043" t="s">
        <v>433</v>
      </c>
      <c r="F28043">
        <v>2.6994845490477599E-8</v>
      </c>
      <c r="G28043">
        <v>1905315</v>
      </c>
      <c r="H28043">
        <v>13577792</v>
      </c>
      <c r="I28043">
        <v>9696290</v>
      </c>
      <c r="J28043">
        <v>3</v>
      </c>
    </row>
    <row r="28044" spans="1:10" x14ac:dyDescent="0.25">
      <c r="A28044" t="s">
        <v>313</v>
      </c>
      <c r="B28044" s="1" t="str">
        <f>HYPERLINK("http://waniasset.com","waniasset.com")</f>
        <v>waniasset.com</v>
      </c>
      <c r="C28044" t="s">
        <v>433</v>
      </c>
      <c r="F28044">
        <v>5.1633196027955501E-9</v>
      </c>
      <c r="G28044">
        <v>25841265</v>
      </c>
      <c r="H28044">
        <v>13764426</v>
      </c>
      <c r="I28044">
        <v>7270496</v>
      </c>
      <c r="J28044">
        <v>3</v>
      </c>
    </row>
    <row r="28045" spans="1:10" x14ac:dyDescent="0.25">
      <c r="A28045" t="s">
        <v>313</v>
      </c>
      <c r="B28045" s="1" t="str">
        <f>HYPERLINK("http://with-pgsj.com","with-pgsj.com")</f>
        <v>with-pgsj.com</v>
      </c>
      <c r="C28045" t="s">
        <v>433</v>
      </c>
      <c r="F28045">
        <v>4.9467011821914899E-9</v>
      </c>
      <c r="G28045">
        <v>30877983</v>
      </c>
      <c r="H28045">
        <v>14071790</v>
      </c>
      <c r="I28045">
        <v>3499867</v>
      </c>
      <c r="J28045">
        <v>3</v>
      </c>
    </row>
    <row r="28046" spans="1:10" x14ac:dyDescent="0.25">
      <c r="A28046" t="s">
        <v>313</v>
      </c>
      <c r="B28046" s="1" t="str">
        <f>HYPERLINK("http://tmw.de","tmw.de")</f>
        <v>tmw.de</v>
      </c>
      <c r="C28046" t="s">
        <v>436</v>
      </c>
      <c r="D28046" t="s">
        <v>815</v>
      </c>
      <c r="F28046">
        <v>4.8070634462652903E-9</v>
      </c>
      <c r="G28046">
        <v>35808695</v>
      </c>
      <c r="H28046">
        <v>12088418</v>
      </c>
      <c r="I28046">
        <v>26308891</v>
      </c>
      <c r="J28046">
        <v>3</v>
      </c>
    </row>
    <row r="28047" spans="1:10" x14ac:dyDescent="0.25">
      <c r="A28047" t="s">
        <v>313</v>
      </c>
      <c r="B28047" s="1" t="str">
        <f>HYPERLINK("http://montana-capital-partners.eu","montana-capital-partners.eu")</f>
        <v>montana-capital-partners.eu</v>
      </c>
      <c r="C28047" t="s">
        <v>444</v>
      </c>
      <c r="F28047">
        <v>8.3917924443924194E-9</v>
      </c>
      <c r="G28047">
        <v>9059679</v>
      </c>
      <c r="H28047">
        <v>12458415</v>
      </c>
      <c r="I28047">
        <v>17897334</v>
      </c>
      <c r="J28047">
        <v>3</v>
      </c>
    </row>
    <row r="28048" spans="1:10" x14ac:dyDescent="0.25">
      <c r="A28048" t="s">
        <v>313</v>
      </c>
      <c r="B28048" s="1" t="str">
        <f>HYPERLINK("http://pgim.fi","pgim.fi")</f>
        <v>pgim.fi</v>
      </c>
      <c r="C28048" t="s">
        <v>445</v>
      </c>
      <c r="D28048" t="s">
        <v>823</v>
      </c>
      <c r="J28048">
        <v>2</v>
      </c>
    </row>
    <row r="28049" spans="1:10" x14ac:dyDescent="0.25">
      <c r="A28049" t="s">
        <v>313</v>
      </c>
      <c r="B28049" s="1" t="str">
        <f>HYPERLINK("http://pfimegalife.co.id","pfimegalife.co.id")</f>
        <v>pfimegalife.co.id</v>
      </c>
      <c r="C28049" t="s">
        <v>454</v>
      </c>
      <c r="D28049" t="s">
        <v>831</v>
      </c>
      <c r="F28049">
        <v>6.9901565690340306E-8</v>
      </c>
      <c r="G28049">
        <v>606340</v>
      </c>
      <c r="H28049">
        <v>14079918</v>
      </c>
      <c r="I28049">
        <v>2826103</v>
      </c>
      <c r="J28049">
        <v>3</v>
      </c>
    </row>
    <row r="28050" spans="1:10" x14ac:dyDescent="0.25">
      <c r="A28050" t="s">
        <v>313</v>
      </c>
      <c r="B28050" s="1" t="str">
        <f>HYPERLINK("http://gib-life.co.jp","gib-life.co.jp")</f>
        <v>gib-life.co.jp</v>
      </c>
      <c r="C28050" t="s">
        <v>461</v>
      </c>
      <c r="D28050" t="s">
        <v>837</v>
      </c>
      <c r="E28050">
        <v>311258</v>
      </c>
      <c r="F28050">
        <v>1.7089953522153999E-7</v>
      </c>
      <c r="G28050">
        <v>226971</v>
      </c>
      <c r="H28050">
        <v>14425462</v>
      </c>
      <c r="I28050">
        <v>1080226</v>
      </c>
      <c r="J28050">
        <v>3</v>
      </c>
    </row>
    <row r="28051" spans="1:10" x14ac:dyDescent="0.25">
      <c r="A28051" t="s">
        <v>313</v>
      </c>
      <c r="B28051" s="1" t="str">
        <f>HYPERLINK("http://pgf-life.co.jp","pgf-life.co.jp")</f>
        <v>pgf-life.co.jp</v>
      </c>
      <c r="C28051" t="s">
        <v>461</v>
      </c>
      <c r="D28051" t="s">
        <v>837</v>
      </c>
      <c r="F28051">
        <v>3.6719880270140898E-8</v>
      </c>
      <c r="G28051">
        <v>1423201</v>
      </c>
      <c r="H28051">
        <v>14096450</v>
      </c>
      <c r="I28051">
        <v>2725062</v>
      </c>
      <c r="J28051">
        <v>3</v>
      </c>
    </row>
    <row r="28052" spans="1:10" x14ac:dyDescent="0.25">
      <c r="A28052" t="s">
        <v>313</v>
      </c>
      <c r="B28052" s="1" t="str">
        <f>HYPERLINK("http://pru-holding.co.jp","pru-holding.co.jp")</f>
        <v>pru-holding.co.jp</v>
      </c>
      <c r="C28052" t="s">
        <v>461</v>
      </c>
      <c r="D28052" t="s">
        <v>837</v>
      </c>
      <c r="F28052">
        <v>8.9299616785718901E-8</v>
      </c>
      <c r="G28052">
        <v>457540</v>
      </c>
      <c r="H28052">
        <v>11726352</v>
      </c>
      <c r="I28052">
        <v>29842318</v>
      </c>
      <c r="J28052">
        <v>3</v>
      </c>
    </row>
    <row r="28053" spans="1:10" x14ac:dyDescent="0.25">
      <c r="A28053" t="s">
        <v>313</v>
      </c>
      <c r="B28053" s="1" t="str">
        <f>HYPERLINK("http://prudential.co.jp","prudential.co.jp")</f>
        <v>prudential.co.jp</v>
      </c>
      <c r="C28053" t="s">
        <v>461</v>
      </c>
      <c r="D28053" t="s">
        <v>837</v>
      </c>
      <c r="E28053">
        <v>500693</v>
      </c>
      <c r="F28053">
        <v>7.3764812266587095E-8</v>
      </c>
      <c r="G28053">
        <v>571067</v>
      </c>
      <c r="H28053">
        <v>14147985</v>
      </c>
      <c r="I28053">
        <v>1887576</v>
      </c>
      <c r="J28053">
        <v>2</v>
      </c>
    </row>
    <row r="28054" spans="1:10" x14ac:dyDescent="0.25">
      <c r="A28054" t="s">
        <v>313</v>
      </c>
      <c r="B28054" s="1" t="str">
        <f>HYPERLINK("http://rockstone.co.jp","rockstone.co.jp")</f>
        <v>rockstone.co.jp</v>
      </c>
      <c r="C28054" t="s">
        <v>461</v>
      </c>
      <c r="D28054" t="s">
        <v>837</v>
      </c>
      <c r="F28054">
        <v>6.6181776799984598E-9</v>
      </c>
      <c r="G28054">
        <v>13607396</v>
      </c>
      <c r="H28054">
        <v>13464640</v>
      </c>
      <c r="I28054">
        <v>10081039</v>
      </c>
      <c r="J28054">
        <v>3</v>
      </c>
    </row>
    <row r="28055" spans="1:10" x14ac:dyDescent="0.25">
      <c r="A28055" t="s">
        <v>313</v>
      </c>
      <c r="B28055" s="1" t="str">
        <f>HYPERLINK("http://prudentialseguros.com.mx","prudentialseguros.com.mx")</f>
        <v>prudentialseguros.com.mx</v>
      </c>
      <c r="C28055" t="s">
        <v>471</v>
      </c>
      <c r="D28055" t="s">
        <v>847</v>
      </c>
      <c r="E28055">
        <v>829457</v>
      </c>
      <c r="F28055">
        <v>6.24287328313469E-9</v>
      </c>
      <c r="G28055">
        <v>15310470</v>
      </c>
      <c r="H28055">
        <v>12420145</v>
      </c>
      <c r="I28055">
        <v>18454282</v>
      </c>
      <c r="J28055">
        <v>3</v>
      </c>
    </row>
    <row r="28056" spans="1:10" x14ac:dyDescent="0.25">
      <c r="A28056" t="s">
        <v>313</v>
      </c>
      <c r="B28056" s="1" t="str">
        <f>HYPERLINK("http://pgim.com.tw","pgim.com.tw")</f>
        <v>pgim.com.tw</v>
      </c>
      <c r="C28056" t="s">
        <v>504</v>
      </c>
      <c r="D28056" t="s">
        <v>878</v>
      </c>
      <c r="F28056">
        <v>9.1021928959436598E-9</v>
      </c>
      <c r="G28056">
        <v>7843985</v>
      </c>
      <c r="H28056">
        <v>12396516</v>
      </c>
      <c r="I28056">
        <v>18902897</v>
      </c>
      <c r="J28056">
        <v>3</v>
      </c>
    </row>
    <row r="28057" spans="1:10" x14ac:dyDescent="0.25">
      <c r="A28057" t="s">
        <v>314</v>
      </c>
      <c r="B28057" s="1" t="str">
        <f>HYPERLINK("http://intranet.asia","intranet.asia")</f>
        <v>intranet.asia</v>
      </c>
      <c r="C28057" t="s">
        <v>525</v>
      </c>
      <c r="F28057">
        <v>7.5141612016503697E-9</v>
      </c>
      <c r="G28057">
        <v>10981555</v>
      </c>
      <c r="H28057">
        <v>10986770</v>
      </c>
      <c r="I28057">
        <v>33809021</v>
      </c>
      <c r="J28057">
        <v>2</v>
      </c>
    </row>
    <row r="28058" spans="1:10" x14ac:dyDescent="0.25">
      <c r="A28058" t="s">
        <v>314</v>
      </c>
      <c r="B28058" s="1" t="str">
        <f>HYPERLINK("http://pru-international.be","pru-international.be")</f>
        <v>pru-international.be</v>
      </c>
      <c r="C28058" t="s">
        <v>421</v>
      </c>
      <c r="D28058" t="s">
        <v>803</v>
      </c>
      <c r="F28058">
        <v>4.44380395335525E-9</v>
      </c>
      <c r="G28058">
        <v>80031368</v>
      </c>
      <c r="H28058">
        <v>0</v>
      </c>
      <c r="I28058">
        <v>80050676</v>
      </c>
      <c r="J28058">
        <v>6</v>
      </c>
    </row>
    <row r="28059" spans="1:10" x14ac:dyDescent="0.25">
      <c r="A28059" t="s">
        <v>314</v>
      </c>
      <c r="B28059" s="1" t="str">
        <f>HYPERLINK("http://prudential-international.be","prudential-international.be")</f>
        <v>prudential-international.be</v>
      </c>
      <c r="C28059" t="s">
        <v>421</v>
      </c>
      <c r="D28059" t="s">
        <v>803</v>
      </c>
      <c r="J28059">
        <v>6</v>
      </c>
    </row>
    <row r="28060" spans="1:10" x14ac:dyDescent="0.25">
      <c r="A28060" t="s">
        <v>314</v>
      </c>
      <c r="B28060" s="1" t="str">
        <f>HYPERLINK("http://prudentialinternational.be","prudentialinternational.be")</f>
        <v>prudentialinternational.be</v>
      </c>
      <c r="C28060" t="s">
        <v>421</v>
      </c>
      <c r="D28060" t="s">
        <v>803</v>
      </c>
      <c r="J28060">
        <v>6</v>
      </c>
    </row>
    <row r="28061" spans="1:10" x14ac:dyDescent="0.25">
      <c r="A28061" t="s">
        <v>314</v>
      </c>
      <c r="B28061" s="1" t="str">
        <f>HYPERLINK("http://pruinternational.be","pruinternational.be")</f>
        <v>pruinternational.be</v>
      </c>
      <c r="C28061" t="s">
        <v>421</v>
      </c>
      <c r="D28061" t="s">
        <v>803</v>
      </c>
      <c r="J28061">
        <v>6</v>
      </c>
    </row>
    <row r="28062" spans="1:10" x14ac:dyDescent="0.25">
      <c r="A28062" t="s">
        <v>314</v>
      </c>
      <c r="B28062" s="1" t="str">
        <f>HYPERLINK("http://citic-prudential.com.cn","citic-prudential.com.cn")</f>
        <v>citic-prudential.com.cn</v>
      </c>
      <c r="C28062" t="s">
        <v>431</v>
      </c>
      <c r="D28062" t="s">
        <v>812</v>
      </c>
      <c r="F28062">
        <v>5.0580325070222897E-8</v>
      </c>
      <c r="G28062">
        <v>907887</v>
      </c>
      <c r="H28062">
        <v>13589302</v>
      </c>
      <c r="I28062">
        <v>9669779</v>
      </c>
      <c r="J28062">
        <v>4</v>
      </c>
    </row>
    <row r="28063" spans="1:10" x14ac:dyDescent="0.25">
      <c r="A28063" t="s">
        <v>314</v>
      </c>
      <c r="B28063" s="1" t="str">
        <f>HYPERLINK("http://citicprufunds.com.cn","citicprufunds.com.cn")</f>
        <v>citicprufunds.com.cn</v>
      </c>
      <c r="C28063" t="s">
        <v>431</v>
      </c>
      <c r="D28063" t="s">
        <v>812</v>
      </c>
      <c r="F28063">
        <v>1.12038847173012E-7</v>
      </c>
      <c r="G28063">
        <v>356590</v>
      </c>
      <c r="H28063">
        <v>12796189</v>
      </c>
      <c r="I28063">
        <v>14655216</v>
      </c>
      <c r="J28063">
        <v>3</v>
      </c>
    </row>
    <row r="28064" spans="1:10" x14ac:dyDescent="0.25">
      <c r="A28064" t="s">
        <v>314</v>
      </c>
      <c r="B28064" s="1" t="str">
        <f>HYPERLINK("http://eastspring.com.cn","eastspring.com.cn")</f>
        <v>eastspring.com.cn</v>
      </c>
      <c r="C28064" t="s">
        <v>431</v>
      </c>
      <c r="D28064" t="s">
        <v>812</v>
      </c>
      <c r="F28064">
        <v>5.3638898584389898E-9</v>
      </c>
      <c r="G28064">
        <v>22620737</v>
      </c>
      <c r="H28064">
        <v>11008500</v>
      </c>
      <c r="I28064">
        <v>33429814</v>
      </c>
      <c r="J28064">
        <v>4</v>
      </c>
    </row>
    <row r="28065" spans="1:10" x14ac:dyDescent="0.25">
      <c r="A28065" t="s">
        <v>314</v>
      </c>
      <c r="B28065" s="1" t="str">
        <f>HYPERLINK("http://bocpt.com","bocpt.com")</f>
        <v>bocpt.com</v>
      </c>
      <c r="C28065" t="s">
        <v>433</v>
      </c>
      <c r="F28065">
        <v>5.9832742962109805E-8</v>
      </c>
      <c r="G28065">
        <v>738288</v>
      </c>
      <c r="H28065">
        <v>13566140</v>
      </c>
      <c r="I28065">
        <v>9760113</v>
      </c>
      <c r="J28065">
        <v>2</v>
      </c>
    </row>
    <row r="28066" spans="1:10" x14ac:dyDescent="0.25">
      <c r="A28066" t="s">
        <v>314</v>
      </c>
      <c r="B28066" s="1" t="str">
        <f>HYPERLINK("http://citic-cp.com","citic-cp.com")</f>
        <v>citic-cp.com</v>
      </c>
      <c r="C28066" t="s">
        <v>433</v>
      </c>
      <c r="F28066">
        <v>4.4458930035773398E-9</v>
      </c>
      <c r="G28066">
        <v>74793812</v>
      </c>
      <c r="H28066">
        <v>9526761</v>
      </c>
      <c r="I28066">
        <v>65335431</v>
      </c>
      <c r="J28066">
        <v>3</v>
      </c>
    </row>
    <row r="28067" spans="1:10" x14ac:dyDescent="0.25">
      <c r="A28067" t="s">
        <v>314</v>
      </c>
      <c r="B28067" s="1" t="str">
        <f>HYPERLINK("http://eastspring.com","eastspring.com")</f>
        <v>eastspring.com</v>
      </c>
      <c r="C28067" t="s">
        <v>433</v>
      </c>
      <c r="E28067">
        <v>927835</v>
      </c>
      <c r="F28067">
        <v>1.11579819325648E-7</v>
      </c>
      <c r="G28067">
        <v>358168</v>
      </c>
      <c r="H28067">
        <v>13388007</v>
      </c>
      <c r="I28067">
        <v>10398172</v>
      </c>
      <c r="J28067">
        <v>3</v>
      </c>
    </row>
    <row r="28068" spans="1:10" x14ac:dyDescent="0.25">
      <c r="A28068" t="s">
        <v>314</v>
      </c>
      <c r="B28068" s="1" t="str">
        <f>HYPERLINK("http://icicipruamc.com","icicipruamc.com")</f>
        <v>icicipruamc.com</v>
      </c>
      <c r="C28068" t="s">
        <v>433</v>
      </c>
      <c r="E28068">
        <v>72474</v>
      </c>
      <c r="F28068">
        <v>2.1918739256899299E-7</v>
      </c>
      <c r="G28068">
        <v>171992</v>
      </c>
      <c r="H28068">
        <v>17074934</v>
      </c>
      <c r="I28068">
        <v>69612</v>
      </c>
      <c r="J28068">
        <v>3</v>
      </c>
    </row>
    <row r="28069" spans="1:10" x14ac:dyDescent="0.25">
      <c r="A28069" t="s">
        <v>314</v>
      </c>
      <c r="B28069" s="1" t="str">
        <f>HYPERLINK("http://iciciprulife.com","iciciprulife.com")</f>
        <v>iciciprulife.com</v>
      </c>
      <c r="C28069" t="s">
        <v>433</v>
      </c>
      <c r="E28069">
        <v>48059</v>
      </c>
      <c r="F28069">
        <v>2.21163145084227E-7</v>
      </c>
      <c r="G28069">
        <v>170438</v>
      </c>
      <c r="H28069">
        <v>17020598</v>
      </c>
      <c r="I28069">
        <v>89401</v>
      </c>
      <c r="J28069">
        <v>3</v>
      </c>
    </row>
    <row r="28070" spans="1:10" x14ac:dyDescent="0.25">
      <c r="A28070" t="s">
        <v>314</v>
      </c>
      <c r="B28070" s="1" t="str">
        <f>HYPERLINK("http://investfinancial.com","investfinancial.com")</f>
        <v>investfinancial.com</v>
      </c>
      <c r="C28070" t="s">
        <v>433</v>
      </c>
      <c r="F28070">
        <v>1.2937271822345301E-8</v>
      </c>
      <c r="G28070">
        <v>4661840</v>
      </c>
      <c r="H28070">
        <v>12276547</v>
      </c>
      <c r="I28070">
        <v>21380839</v>
      </c>
      <c r="J28070">
        <v>4</v>
      </c>
    </row>
    <row r="28071" spans="1:10" x14ac:dyDescent="0.25">
      <c r="A28071" t="s">
        <v>314</v>
      </c>
      <c r="B28071" s="1" t="str">
        <f>HYPERLINK("http://onpointepm.com","onpointepm.com")</f>
        <v>onpointepm.com</v>
      </c>
      <c r="C28071" t="s">
        <v>433</v>
      </c>
      <c r="F28071">
        <v>4.4857198341658097E-9</v>
      </c>
      <c r="G28071">
        <v>61264250</v>
      </c>
      <c r="H28071">
        <v>12118897</v>
      </c>
      <c r="I28071">
        <v>25434131</v>
      </c>
      <c r="J28071">
        <v>7</v>
      </c>
    </row>
    <row r="28072" spans="1:10" x14ac:dyDescent="0.25">
      <c r="A28072" t="s">
        <v>314</v>
      </c>
      <c r="B28072" s="1" t="str">
        <f>HYPERLINK("http://pru-international.com","pru-international.com")</f>
        <v>pru-international.com</v>
      </c>
      <c r="C28072" t="s">
        <v>433</v>
      </c>
      <c r="J28072">
        <v>6</v>
      </c>
    </row>
    <row r="28073" spans="1:10" x14ac:dyDescent="0.25">
      <c r="A28073" t="s">
        <v>314</v>
      </c>
      <c r="B28073" s="1" t="str">
        <f>HYPERLINK("http://prudential-international.com","prudential-international.com")</f>
        <v>prudential-international.com</v>
      </c>
      <c r="C28073" t="s">
        <v>433</v>
      </c>
      <c r="F28073">
        <v>2.5190454597604302E-8</v>
      </c>
      <c r="G28073">
        <v>2049805</v>
      </c>
      <c r="H28073">
        <v>10766700</v>
      </c>
      <c r="I28073">
        <v>39384979</v>
      </c>
      <c r="J28073">
        <v>6</v>
      </c>
    </row>
    <row r="28074" spans="1:10" x14ac:dyDescent="0.25">
      <c r="A28074" t="s">
        <v>314</v>
      </c>
      <c r="B28074" s="1" t="str">
        <f>HYPERLINK("http://prudentialcorporation-asia.com","prudentialcorporation-asia.com")</f>
        <v>prudentialcorporation-asia.com</v>
      </c>
      <c r="C28074" t="s">
        <v>433</v>
      </c>
      <c r="E28074">
        <v>895793</v>
      </c>
      <c r="F28074">
        <v>5.2300362088330397E-8</v>
      </c>
      <c r="G28074">
        <v>872353</v>
      </c>
      <c r="H28074">
        <v>14385633</v>
      </c>
      <c r="I28074">
        <v>1179309</v>
      </c>
      <c r="J28074">
        <v>3</v>
      </c>
    </row>
    <row r="28075" spans="1:10" x14ac:dyDescent="0.25">
      <c r="A28075" t="s">
        <v>314</v>
      </c>
      <c r="B28075" s="1" t="str">
        <f>HYPERLINK("http://prudentialinternational.com","prudentialinternational.com")</f>
        <v>prudentialinternational.com</v>
      </c>
      <c r="C28075" t="s">
        <v>433</v>
      </c>
      <c r="J28075">
        <v>6</v>
      </c>
    </row>
    <row r="28076" spans="1:10" x14ac:dyDescent="0.25">
      <c r="A28076" t="s">
        <v>314</v>
      </c>
      <c r="B28076" s="1" t="str">
        <f>HYPERLINK("http://prudentialplc.com","prudentialplc.com")</f>
        <v>prudentialplc.com</v>
      </c>
      <c r="C28076" t="s">
        <v>433</v>
      </c>
      <c r="E28076">
        <v>536299</v>
      </c>
      <c r="F28076">
        <v>1.3102926070202E-7</v>
      </c>
      <c r="G28076">
        <v>298532</v>
      </c>
      <c r="H28076">
        <v>14420590</v>
      </c>
      <c r="I28076">
        <v>1089175</v>
      </c>
      <c r="J28076">
        <v>1</v>
      </c>
    </row>
    <row r="28077" spans="1:10" x14ac:dyDescent="0.25">
      <c r="A28077" t="s">
        <v>314</v>
      </c>
      <c r="B28077" s="1" t="str">
        <f>HYPERLINK("http://thebloggallery.com","thebloggallery.com")</f>
        <v>thebloggallery.com</v>
      </c>
      <c r="C28077" t="s">
        <v>433</v>
      </c>
      <c r="F28077">
        <v>4.5393523298972396E-9</v>
      </c>
      <c r="G28077">
        <v>53410693</v>
      </c>
      <c r="H28077">
        <v>13763633</v>
      </c>
      <c r="I28077">
        <v>9025750</v>
      </c>
      <c r="J28077">
        <v>5</v>
      </c>
    </row>
    <row r="28078" spans="1:10" x14ac:dyDescent="0.25">
      <c r="A28078" t="s">
        <v>314</v>
      </c>
      <c r="B28078" s="1" t="str">
        <f>HYPERLINK("http://elgasenergy.cz","elgasenergy.cz")</f>
        <v>elgasenergy.cz</v>
      </c>
      <c r="C28078" t="s">
        <v>435</v>
      </c>
      <c r="D28078" t="s">
        <v>814</v>
      </c>
      <c r="F28078">
        <v>9.00346090664243E-9</v>
      </c>
      <c r="G28078">
        <v>7986784</v>
      </c>
      <c r="H28078">
        <v>11026008</v>
      </c>
      <c r="I28078">
        <v>33165500</v>
      </c>
      <c r="J28078">
        <v>4</v>
      </c>
    </row>
    <row r="28079" spans="1:10" x14ac:dyDescent="0.25">
      <c r="A28079" t="s">
        <v>314</v>
      </c>
      <c r="B28079" s="1" t="str">
        <f>HYPERLINK("http://pru-international.es","pru-international.es")</f>
        <v>pru-international.es</v>
      </c>
      <c r="C28079" t="s">
        <v>443</v>
      </c>
      <c r="D28079" t="s">
        <v>822</v>
      </c>
      <c r="J28079">
        <v>6</v>
      </c>
    </row>
    <row r="28080" spans="1:10" x14ac:dyDescent="0.25">
      <c r="A28080" t="s">
        <v>314</v>
      </c>
      <c r="B28080" s="1" t="str">
        <f>HYPERLINK("http://prudential-international.es","prudential-international.es")</f>
        <v>prudential-international.es</v>
      </c>
      <c r="C28080" t="s">
        <v>443</v>
      </c>
      <c r="D28080" t="s">
        <v>822</v>
      </c>
      <c r="F28080">
        <v>4.44380395335525E-9</v>
      </c>
      <c r="G28080">
        <v>84713007</v>
      </c>
      <c r="H28080">
        <v>0</v>
      </c>
      <c r="I28080">
        <v>85815620</v>
      </c>
      <c r="J28080">
        <v>6</v>
      </c>
    </row>
    <row r="28081" spans="1:10" x14ac:dyDescent="0.25">
      <c r="A28081" t="s">
        <v>314</v>
      </c>
      <c r="B28081" s="1" t="str">
        <f>HYPERLINK("http://prudentialinternational.es","prudentialinternational.es")</f>
        <v>prudentialinternational.es</v>
      </c>
      <c r="C28081" t="s">
        <v>443</v>
      </c>
      <c r="D28081" t="s">
        <v>822</v>
      </c>
      <c r="F28081">
        <v>4.44380395335525E-9</v>
      </c>
      <c r="G28081">
        <v>84713008</v>
      </c>
      <c r="H28081">
        <v>0</v>
      </c>
      <c r="I28081">
        <v>85815621</v>
      </c>
      <c r="J28081">
        <v>6</v>
      </c>
    </row>
    <row r="28082" spans="1:10" x14ac:dyDescent="0.25">
      <c r="A28082" t="s">
        <v>314</v>
      </c>
      <c r="B28082" s="1" t="str">
        <f>HYPERLINK("http://pruinternational.es","pruinternational.es")</f>
        <v>pruinternational.es</v>
      </c>
      <c r="C28082" t="s">
        <v>443</v>
      </c>
      <c r="D28082" t="s">
        <v>822</v>
      </c>
      <c r="J28082">
        <v>6</v>
      </c>
    </row>
    <row r="28083" spans="1:10" x14ac:dyDescent="0.25">
      <c r="A28083" t="s">
        <v>314</v>
      </c>
      <c r="B28083" s="1" t="str">
        <f>HYPERLINK("http://prudentialeurope.eu","prudentialeurope.eu")</f>
        <v>prudentialeurope.eu</v>
      </c>
      <c r="C28083" t="s">
        <v>444</v>
      </c>
      <c r="F28083">
        <v>4.44380395335525E-9</v>
      </c>
      <c r="G28083">
        <v>84754655</v>
      </c>
      <c r="H28083">
        <v>0</v>
      </c>
      <c r="I28083">
        <v>85864633</v>
      </c>
      <c r="J28083">
        <v>6</v>
      </c>
    </row>
    <row r="28084" spans="1:10" x14ac:dyDescent="0.25">
      <c r="A28084" t="s">
        <v>314</v>
      </c>
      <c r="B28084" s="1" t="str">
        <f>HYPERLINK("http://prudentialinternational.eu","prudentialinternational.eu")</f>
        <v>prudentialinternational.eu</v>
      </c>
      <c r="C28084" t="s">
        <v>444</v>
      </c>
      <c r="J28084">
        <v>6</v>
      </c>
    </row>
    <row r="28085" spans="1:10" x14ac:dyDescent="0.25">
      <c r="A28085" t="s">
        <v>314</v>
      </c>
      <c r="B28085" s="1" t="str">
        <f>HYPERLINK("http://prueurope.eu","prueurope.eu")</f>
        <v>prueurope.eu</v>
      </c>
      <c r="C28085" t="s">
        <v>444</v>
      </c>
      <c r="J28085">
        <v>6</v>
      </c>
    </row>
    <row r="28086" spans="1:10" x14ac:dyDescent="0.25">
      <c r="A28086" t="s">
        <v>314</v>
      </c>
      <c r="B28086" s="1" t="str">
        <f>HYPERLINK("http://pruinternational.eu","pruinternational.eu")</f>
        <v>pruinternational.eu</v>
      </c>
      <c r="C28086" t="s">
        <v>444</v>
      </c>
      <c r="J28086">
        <v>6</v>
      </c>
    </row>
    <row r="28087" spans="1:10" x14ac:dyDescent="0.25">
      <c r="A28087" t="s">
        <v>314</v>
      </c>
      <c r="B28087" s="1" t="str">
        <f>HYPERLINK("http://pru-international.fr","pru-international.fr")</f>
        <v>pru-international.fr</v>
      </c>
      <c r="C28087" t="s">
        <v>446</v>
      </c>
      <c r="D28087" t="s">
        <v>824</v>
      </c>
      <c r="F28087">
        <v>4.44380395335525E-9</v>
      </c>
      <c r="G28087">
        <v>84871592</v>
      </c>
      <c r="H28087">
        <v>0</v>
      </c>
      <c r="I28087">
        <v>85998427</v>
      </c>
      <c r="J28087">
        <v>6</v>
      </c>
    </row>
    <row r="28088" spans="1:10" x14ac:dyDescent="0.25">
      <c r="A28088" t="s">
        <v>314</v>
      </c>
      <c r="B28088" s="1" t="str">
        <f>HYPERLINK("http://prudential-international.fr","prudential-international.fr")</f>
        <v>prudential-international.fr</v>
      </c>
      <c r="C28088" t="s">
        <v>446</v>
      </c>
      <c r="D28088" t="s">
        <v>824</v>
      </c>
      <c r="J28088">
        <v>6</v>
      </c>
    </row>
    <row r="28089" spans="1:10" x14ac:dyDescent="0.25">
      <c r="A28089" t="s">
        <v>314</v>
      </c>
      <c r="B28089" s="1" t="str">
        <f>HYPERLINK("http://prudentialinternational.fr","prudentialinternational.fr")</f>
        <v>prudentialinternational.fr</v>
      </c>
      <c r="C28089" t="s">
        <v>446</v>
      </c>
      <c r="D28089" t="s">
        <v>824</v>
      </c>
      <c r="J28089">
        <v>6</v>
      </c>
    </row>
    <row r="28090" spans="1:10" x14ac:dyDescent="0.25">
      <c r="A28090" t="s">
        <v>314</v>
      </c>
      <c r="B28090" s="1" t="str">
        <f>HYPERLINK("http://pruinternational.fr","pruinternational.fr")</f>
        <v>pruinternational.fr</v>
      </c>
      <c r="C28090" t="s">
        <v>446</v>
      </c>
      <c r="D28090" t="s">
        <v>824</v>
      </c>
      <c r="J28090">
        <v>6</v>
      </c>
    </row>
    <row r="28091" spans="1:10" x14ac:dyDescent="0.25">
      <c r="A28091" t="s">
        <v>314</v>
      </c>
      <c r="B28091" s="1" t="str">
        <f>HYPERLINK("http://boci-pru.com.hk","boci-pru.com.hk")</f>
        <v>boci-pru.com.hk</v>
      </c>
      <c r="C28091" t="s">
        <v>450</v>
      </c>
      <c r="D28091" t="s">
        <v>827</v>
      </c>
      <c r="F28091">
        <v>8.1291729477967504E-8</v>
      </c>
      <c r="G28091">
        <v>513474</v>
      </c>
      <c r="H28091">
        <v>13788668</v>
      </c>
      <c r="I28091">
        <v>6362027</v>
      </c>
      <c r="J28091">
        <v>3</v>
      </c>
    </row>
    <row r="28092" spans="1:10" x14ac:dyDescent="0.25">
      <c r="A28092" t="s">
        <v>314</v>
      </c>
      <c r="B28092" s="1" t="str">
        <f>HYPERLINK("http://eastspring.com.hk","eastspring.com.hk")</f>
        <v>eastspring.com.hk</v>
      </c>
      <c r="C28092" t="s">
        <v>450</v>
      </c>
      <c r="D28092" t="s">
        <v>827</v>
      </c>
      <c r="F28092">
        <v>4.9110100933887499E-9</v>
      </c>
      <c r="G28092">
        <v>32148365</v>
      </c>
      <c r="H28092">
        <v>10136549</v>
      </c>
      <c r="I28092">
        <v>59536560</v>
      </c>
      <c r="J28092">
        <v>3</v>
      </c>
    </row>
    <row r="28093" spans="1:10" x14ac:dyDescent="0.25">
      <c r="A28093" t="s">
        <v>314</v>
      </c>
      <c r="B28093" s="1" t="str">
        <f>HYPERLINK("http://prudential.com.hk","prudential.com.hk")</f>
        <v>prudential.com.hk</v>
      </c>
      <c r="C28093" t="s">
        <v>450</v>
      </c>
      <c r="D28093" t="s">
        <v>827</v>
      </c>
      <c r="E28093">
        <v>205767</v>
      </c>
      <c r="F28093">
        <v>7.1928541932275098E-8</v>
      </c>
      <c r="G28093">
        <v>587168</v>
      </c>
      <c r="H28093">
        <v>13904599</v>
      </c>
      <c r="I28093">
        <v>5946948</v>
      </c>
      <c r="J28093">
        <v>2</v>
      </c>
    </row>
    <row r="28094" spans="1:10" x14ac:dyDescent="0.25">
      <c r="A28094" t="s">
        <v>314</v>
      </c>
      <c r="B28094" s="1" t="str">
        <f>HYPERLINK("http://eastspring.co.id","eastspring.co.id")</f>
        <v>eastspring.co.id</v>
      </c>
      <c r="C28094" t="s">
        <v>454</v>
      </c>
      <c r="D28094" t="s">
        <v>831</v>
      </c>
      <c r="F28094">
        <v>8.8611078386854807E-9</v>
      </c>
      <c r="G28094">
        <v>8206643</v>
      </c>
      <c r="H28094">
        <v>12082968</v>
      </c>
      <c r="I28094">
        <v>26491313</v>
      </c>
      <c r="J28094">
        <v>4</v>
      </c>
    </row>
    <row r="28095" spans="1:10" x14ac:dyDescent="0.25">
      <c r="A28095" t="s">
        <v>314</v>
      </c>
      <c r="B28095" s="1" t="str">
        <f>HYPERLINK("http://prudential.co.id","prudential.co.id")</f>
        <v>prudential.co.id</v>
      </c>
      <c r="C28095" t="s">
        <v>454</v>
      </c>
      <c r="D28095" t="s">
        <v>831</v>
      </c>
      <c r="E28095">
        <v>387567</v>
      </c>
      <c r="F28095">
        <v>1.51439322267064E-7</v>
      </c>
      <c r="G28095">
        <v>256477</v>
      </c>
      <c r="H28095">
        <v>14605761</v>
      </c>
      <c r="I28095">
        <v>681776</v>
      </c>
      <c r="J28095">
        <v>4</v>
      </c>
    </row>
    <row r="28096" spans="1:10" x14ac:dyDescent="0.25">
      <c r="A28096" t="s">
        <v>314</v>
      </c>
      <c r="B28096" s="1" t="str">
        <f>HYPERLINK("http://eastspring.co.jp","eastspring.co.jp")</f>
        <v>eastspring.co.jp</v>
      </c>
      <c r="C28096" t="s">
        <v>461</v>
      </c>
      <c r="D28096" t="s">
        <v>837</v>
      </c>
      <c r="F28096">
        <v>1.1740870723686801E-8</v>
      </c>
      <c r="G28096">
        <v>5340225</v>
      </c>
      <c r="H28096">
        <v>11057439</v>
      </c>
      <c r="I28096">
        <v>32710704</v>
      </c>
      <c r="J28096">
        <v>3</v>
      </c>
    </row>
    <row r="28097" spans="1:10" x14ac:dyDescent="0.25">
      <c r="A28097" t="s">
        <v>314</v>
      </c>
      <c r="B28097" s="1" t="str">
        <f>HYPERLINK("http://prudentiallife.co.ke","prudentiallife.co.ke")</f>
        <v>prudentiallife.co.ke</v>
      </c>
      <c r="C28097" t="s">
        <v>462</v>
      </c>
      <c r="D28097" t="s">
        <v>838</v>
      </c>
      <c r="F28097">
        <v>1.19841569800362E-8</v>
      </c>
      <c r="G28097">
        <v>5186367</v>
      </c>
      <c r="H28097">
        <v>13010001</v>
      </c>
      <c r="I28097">
        <v>12752368</v>
      </c>
      <c r="J28097">
        <v>3</v>
      </c>
    </row>
    <row r="28098" spans="1:10" x14ac:dyDescent="0.25">
      <c r="A28098" t="s">
        <v>314</v>
      </c>
      <c r="B28098" s="1" t="str">
        <f>HYPERLINK("http://prudential.com.kh","prudential.com.kh")</f>
        <v>prudential.com.kh</v>
      </c>
      <c r="C28098" t="s">
        <v>512</v>
      </c>
      <c r="D28098" t="s">
        <v>886</v>
      </c>
      <c r="F28098">
        <v>2.7608002911094299E-8</v>
      </c>
      <c r="G28098">
        <v>1862314</v>
      </c>
      <c r="H28098">
        <v>13103629</v>
      </c>
      <c r="I28098">
        <v>12082315</v>
      </c>
      <c r="J28098">
        <v>3</v>
      </c>
    </row>
    <row r="28099" spans="1:10" x14ac:dyDescent="0.25">
      <c r="A28099" t="s">
        <v>314</v>
      </c>
      <c r="B28099" s="1" t="str">
        <f>HYPERLINK("http://eastspringinvestments.co.kr","eastspringinvestments.co.kr")</f>
        <v>eastspringinvestments.co.kr</v>
      </c>
      <c r="C28099" t="s">
        <v>463</v>
      </c>
      <c r="D28099" t="s">
        <v>839</v>
      </c>
      <c r="F28099">
        <v>8.3205387017367905E-9</v>
      </c>
      <c r="G28099">
        <v>9210328</v>
      </c>
      <c r="H28099">
        <v>10814209</v>
      </c>
      <c r="I28099">
        <v>37757735</v>
      </c>
      <c r="J28099">
        <v>3</v>
      </c>
    </row>
    <row r="28100" spans="1:10" x14ac:dyDescent="0.25">
      <c r="A28100" t="s">
        <v>314</v>
      </c>
      <c r="B28100" s="1" t="str">
        <f>HYPERLINK("http://eastspring.lu","eastspring.lu")</f>
        <v>eastspring.lu</v>
      </c>
      <c r="C28100" t="s">
        <v>547</v>
      </c>
      <c r="D28100" t="s">
        <v>904</v>
      </c>
      <c r="F28100">
        <v>5.1041469029119697E-9</v>
      </c>
      <c r="G28100">
        <v>26968701</v>
      </c>
      <c r="H28100">
        <v>11908328</v>
      </c>
      <c r="I28100">
        <v>29485890</v>
      </c>
      <c r="J28100">
        <v>4</v>
      </c>
    </row>
    <row r="28101" spans="1:10" x14ac:dyDescent="0.25">
      <c r="A28101" t="s">
        <v>314</v>
      </c>
      <c r="B28101" s="1" t="str">
        <f>HYPERLINK("http://eastspringinvestments.com.my","eastspringinvestments.com.my")</f>
        <v>eastspringinvestments.com.my</v>
      </c>
      <c r="C28101" t="s">
        <v>472</v>
      </c>
      <c r="D28101" t="s">
        <v>848</v>
      </c>
      <c r="F28101">
        <v>6.3398401893621301E-9</v>
      </c>
      <c r="G28101">
        <v>14812086</v>
      </c>
      <c r="H28101">
        <v>12423391</v>
      </c>
      <c r="I28101">
        <v>18396522</v>
      </c>
      <c r="J28101">
        <v>3</v>
      </c>
    </row>
    <row r="28102" spans="1:10" x14ac:dyDescent="0.25">
      <c r="A28102" t="s">
        <v>314</v>
      </c>
      <c r="B28102" s="1" t="str">
        <f>HYPERLINK("http://eastspringinvestmentsal-wara.com.my","eastspringinvestmentsal-wara.com.my")</f>
        <v>eastspringinvestmentsal-wara.com.my</v>
      </c>
      <c r="C28102" t="s">
        <v>472</v>
      </c>
      <c r="D28102" t="s">
        <v>848</v>
      </c>
      <c r="F28102">
        <v>5.2523596676559999E-9</v>
      </c>
      <c r="G28102">
        <v>24222043</v>
      </c>
      <c r="H28102">
        <v>10776443</v>
      </c>
      <c r="I28102">
        <v>39033334</v>
      </c>
      <c r="J28102">
        <v>3</v>
      </c>
    </row>
    <row r="28103" spans="1:10" x14ac:dyDescent="0.25">
      <c r="A28103" t="s">
        <v>314</v>
      </c>
      <c r="B28103" s="1" t="str">
        <f>HYPERLINK("http://prubsn.com.my","prubsn.com.my")</f>
        <v>prubsn.com.my</v>
      </c>
      <c r="C28103" t="s">
        <v>472</v>
      </c>
      <c r="D28103" t="s">
        <v>848</v>
      </c>
      <c r="E28103">
        <v>274440</v>
      </c>
      <c r="F28103">
        <v>4.5992219714123597E-8</v>
      </c>
      <c r="G28103">
        <v>1020776</v>
      </c>
      <c r="H28103">
        <v>14280978</v>
      </c>
      <c r="I28103">
        <v>1379092</v>
      </c>
      <c r="J28103">
        <v>2</v>
      </c>
    </row>
    <row r="28104" spans="1:10" x14ac:dyDescent="0.25">
      <c r="A28104" t="s">
        <v>314</v>
      </c>
      <c r="B28104" s="1" t="str">
        <f>HYPERLINK("http://prudential.com.my","prudential.com.my")</f>
        <v>prudential.com.my</v>
      </c>
      <c r="C28104" t="s">
        <v>472</v>
      </c>
      <c r="D28104" t="s">
        <v>848</v>
      </c>
      <c r="E28104">
        <v>105579</v>
      </c>
      <c r="F28104">
        <v>5.4880100456417402E-8</v>
      </c>
      <c r="G28104">
        <v>819943</v>
      </c>
      <c r="H28104">
        <v>13975623</v>
      </c>
      <c r="I28104">
        <v>4061773</v>
      </c>
      <c r="J28104">
        <v>2</v>
      </c>
    </row>
    <row r="28105" spans="1:10" x14ac:dyDescent="0.25">
      <c r="A28105" t="s">
        <v>314</v>
      </c>
      <c r="B28105" s="1" t="str">
        <f>HYPERLINK("http://pruconnect.net","pruconnect.net")</f>
        <v>pruconnect.net</v>
      </c>
      <c r="C28105" t="s">
        <v>474</v>
      </c>
      <c r="E28105">
        <v>697437</v>
      </c>
      <c r="F28105">
        <v>4.8655648159317002E-9</v>
      </c>
      <c r="G28105">
        <v>33574434</v>
      </c>
      <c r="H28105">
        <v>10378446</v>
      </c>
      <c r="I28105">
        <v>54634217</v>
      </c>
      <c r="J28105">
        <v>2</v>
      </c>
    </row>
    <row r="28106" spans="1:10" x14ac:dyDescent="0.25">
      <c r="A28106" t="s">
        <v>314</v>
      </c>
      <c r="B28106" s="1" t="str">
        <f>HYPERLINK("http://prulifeuk.com.ph","prulifeuk.com.ph")</f>
        <v>prulifeuk.com.ph</v>
      </c>
      <c r="C28106" t="s">
        <v>484</v>
      </c>
      <c r="D28106" t="s">
        <v>858</v>
      </c>
      <c r="E28106">
        <v>184293</v>
      </c>
      <c r="F28106">
        <v>2.9004358993453998E-8</v>
      </c>
      <c r="G28106">
        <v>1775097</v>
      </c>
      <c r="H28106">
        <v>14121235</v>
      </c>
      <c r="I28106">
        <v>2267046</v>
      </c>
      <c r="J28106">
        <v>3</v>
      </c>
    </row>
    <row r="28107" spans="1:10" x14ac:dyDescent="0.25">
      <c r="A28107" t="s">
        <v>314</v>
      </c>
      <c r="B28107" s="1" t="str">
        <f>HYPERLINK("http://prulifeukinvestments.com.ph","prulifeukinvestments.com.ph")</f>
        <v>prulifeukinvestments.com.ph</v>
      </c>
      <c r="C28107" t="s">
        <v>484</v>
      </c>
      <c r="D28107" t="s">
        <v>858</v>
      </c>
      <c r="F28107">
        <v>4.91509407618481E-9</v>
      </c>
      <c r="G28107">
        <v>32034044</v>
      </c>
      <c r="H28107">
        <v>10529814</v>
      </c>
      <c r="I28107">
        <v>48363405</v>
      </c>
      <c r="J28107">
        <v>3</v>
      </c>
    </row>
    <row r="28108" spans="1:10" x14ac:dyDescent="0.25">
      <c r="A28108" t="s">
        <v>314</v>
      </c>
      <c r="B28108" s="1" t="str">
        <f>HYPERLINK("http://prudential.pl","prudential.pl")</f>
        <v>prudential.pl</v>
      </c>
      <c r="C28108" t="s">
        <v>486</v>
      </c>
      <c r="D28108" t="s">
        <v>860</v>
      </c>
      <c r="F28108">
        <v>2.91263957860794E-8</v>
      </c>
      <c r="G28108">
        <v>1768128</v>
      </c>
      <c r="H28108">
        <v>12918930</v>
      </c>
      <c r="I28108">
        <v>13449771</v>
      </c>
      <c r="J28108">
        <v>4</v>
      </c>
    </row>
    <row r="28109" spans="1:10" x14ac:dyDescent="0.25">
      <c r="A28109" t="s">
        <v>314</v>
      </c>
      <c r="B28109" s="1" t="str">
        <f>HYPERLINK("http://prudential.com.sg","prudential.com.sg")</f>
        <v>prudential.com.sg</v>
      </c>
      <c r="C28109" t="s">
        <v>496</v>
      </c>
      <c r="D28109" t="s">
        <v>870</v>
      </c>
      <c r="E28109">
        <v>146143</v>
      </c>
      <c r="F28109">
        <v>2.0351494515772499E-7</v>
      </c>
      <c r="G28109">
        <v>186809</v>
      </c>
      <c r="H28109">
        <v>17123480</v>
      </c>
      <c r="I28109">
        <v>58616</v>
      </c>
      <c r="J28109">
        <v>3</v>
      </c>
    </row>
    <row r="28110" spans="1:10" x14ac:dyDescent="0.25">
      <c r="A28110" t="s">
        <v>314</v>
      </c>
      <c r="B28110" s="1" t="str">
        <f>HYPERLINK("http://elgas.sk","elgas.sk")</f>
        <v>elgas.sk</v>
      </c>
      <c r="C28110" t="s">
        <v>498</v>
      </c>
      <c r="D28110" t="s">
        <v>872</v>
      </c>
      <c r="F28110">
        <v>7.6732557584281002E-9</v>
      </c>
      <c r="G28110">
        <v>10637162</v>
      </c>
      <c r="H28110">
        <v>12325712</v>
      </c>
      <c r="I28110">
        <v>20313049</v>
      </c>
      <c r="J28110">
        <v>6</v>
      </c>
    </row>
    <row r="28111" spans="1:10" x14ac:dyDescent="0.25">
      <c r="A28111" t="s">
        <v>314</v>
      </c>
      <c r="B28111" s="1" t="str">
        <f>HYPERLINK("http://gge.sk","gge.sk")</f>
        <v>gge.sk</v>
      </c>
      <c r="C28111" t="s">
        <v>498</v>
      </c>
      <c r="D28111" t="s">
        <v>872</v>
      </c>
      <c r="F28111">
        <v>1.3225698947912399E-8</v>
      </c>
      <c r="G28111">
        <v>4526853</v>
      </c>
      <c r="H28111">
        <v>12115133</v>
      </c>
      <c r="I28111">
        <v>25604817</v>
      </c>
      <c r="J28111">
        <v>5</v>
      </c>
    </row>
    <row r="28112" spans="1:10" x14ac:dyDescent="0.25">
      <c r="A28112" t="s">
        <v>314</v>
      </c>
      <c r="B28112" s="1" t="str">
        <f>HYPERLINK("http://eastspring.co.th","eastspring.co.th")</f>
        <v>eastspring.co.th</v>
      </c>
      <c r="C28112" t="s">
        <v>500</v>
      </c>
      <c r="D28112" t="s">
        <v>874</v>
      </c>
      <c r="E28112">
        <v>516829</v>
      </c>
      <c r="F28112">
        <v>2.8872541474822E-8</v>
      </c>
      <c r="G28112">
        <v>1782809</v>
      </c>
      <c r="H28112">
        <v>12419346</v>
      </c>
      <c r="I28112">
        <v>18468944</v>
      </c>
      <c r="J28112">
        <v>4</v>
      </c>
    </row>
    <row r="28113" spans="1:10" x14ac:dyDescent="0.25">
      <c r="A28113" t="s">
        <v>314</v>
      </c>
      <c r="B28113" s="1" t="str">
        <f>HYPERLINK("http://prudential.co.th","prudential.co.th")</f>
        <v>prudential.co.th</v>
      </c>
      <c r="C28113" t="s">
        <v>500</v>
      </c>
      <c r="D28113" t="s">
        <v>874</v>
      </c>
      <c r="E28113">
        <v>408949</v>
      </c>
      <c r="F28113">
        <v>3.4919361975340098E-8</v>
      </c>
      <c r="G28113">
        <v>1487404</v>
      </c>
      <c r="H28113">
        <v>13035503</v>
      </c>
      <c r="I28113">
        <v>12647559</v>
      </c>
      <c r="J28113">
        <v>6</v>
      </c>
    </row>
    <row r="28114" spans="1:10" x14ac:dyDescent="0.25">
      <c r="A28114" t="s">
        <v>314</v>
      </c>
      <c r="B28114" s="1" t="str">
        <f>HYPERLINK("http://eastspring.com.tw","eastspring.com.tw")</f>
        <v>eastspring.com.tw</v>
      </c>
      <c r="C28114" t="s">
        <v>504</v>
      </c>
      <c r="D28114" t="s">
        <v>878</v>
      </c>
      <c r="F28114">
        <v>1.1972549892091299E-8</v>
      </c>
      <c r="G28114">
        <v>5193287</v>
      </c>
      <c r="H28114">
        <v>12970425</v>
      </c>
      <c r="I28114">
        <v>13045186</v>
      </c>
      <c r="J28114">
        <v>3</v>
      </c>
    </row>
    <row r="28115" spans="1:10" x14ac:dyDescent="0.25">
      <c r="A28115" t="s">
        <v>314</v>
      </c>
      <c r="B28115" s="1" t="str">
        <f>HYPERLINK("http://pcalife.com.tw","pcalife.com.tw")</f>
        <v>pcalife.com.tw</v>
      </c>
      <c r="C28115" t="s">
        <v>504</v>
      </c>
      <c r="D28115" t="s">
        <v>878</v>
      </c>
      <c r="F28115">
        <v>2.5710650763941399E-8</v>
      </c>
      <c r="G28115">
        <v>2005231</v>
      </c>
      <c r="H28115">
        <v>13563845</v>
      </c>
      <c r="I28115">
        <v>9841163</v>
      </c>
      <c r="J28115">
        <v>2</v>
      </c>
    </row>
    <row r="28116" spans="1:10" x14ac:dyDescent="0.25">
      <c r="A28116" t="s">
        <v>314</v>
      </c>
      <c r="B28116" s="1" t="str">
        <f>HYPERLINK("http://prudential.ug","prudential.ug")</f>
        <v>prudential.ug</v>
      </c>
      <c r="C28116" t="s">
        <v>677</v>
      </c>
      <c r="D28116" t="s">
        <v>995</v>
      </c>
      <c r="F28116">
        <v>7.9378553720071905E-9</v>
      </c>
      <c r="G28116">
        <v>10037026</v>
      </c>
      <c r="H28116">
        <v>11092142</v>
      </c>
      <c r="I28116">
        <v>32360826</v>
      </c>
      <c r="J28116">
        <v>3</v>
      </c>
    </row>
    <row r="28117" spans="1:10" x14ac:dyDescent="0.25">
      <c r="A28117" t="s">
        <v>314</v>
      </c>
      <c r="B28117" s="1" t="str">
        <f>HYPERLINK("http://pru.co.uk","pru.co.uk")</f>
        <v>pru.co.uk</v>
      </c>
      <c r="C28117" t="s">
        <v>506</v>
      </c>
      <c r="D28117" t="s">
        <v>880</v>
      </c>
      <c r="E28117">
        <v>178739</v>
      </c>
      <c r="F28117">
        <v>5.7795230163789798E-8</v>
      </c>
      <c r="G28117">
        <v>770762</v>
      </c>
      <c r="H28117">
        <v>14345637</v>
      </c>
      <c r="I28117">
        <v>1312455</v>
      </c>
      <c r="J28117">
        <v>4</v>
      </c>
    </row>
    <row r="28118" spans="1:10" x14ac:dyDescent="0.25">
      <c r="A28118" t="s">
        <v>314</v>
      </c>
      <c r="B28118" s="1" t="str">
        <f>HYPERLINK("http://pru-international.co.uk","pru-international.co.uk")</f>
        <v>pru-international.co.uk</v>
      </c>
      <c r="C28118" t="s">
        <v>506</v>
      </c>
      <c r="D28118" t="s">
        <v>880</v>
      </c>
      <c r="J28118">
        <v>6</v>
      </c>
    </row>
    <row r="28119" spans="1:10" x14ac:dyDescent="0.25">
      <c r="A28119" t="s">
        <v>314</v>
      </c>
      <c r="B28119" s="1" t="str">
        <f>HYPERLINK("http://pruadviser.co.uk","pruadviser.co.uk")</f>
        <v>pruadviser.co.uk</v>
      </c>
      <c r="C28119" t="s">
        <v>506</v>
      </c>
      <c r="D28119" t="s">
        <v>880</v>
      </c>
      <c r="F28119">
        <v>1.8771836359114899E-8</v>
      </c>
      <c r="G28119">
        <v>2876601</v>
      </c>
      <c r="H28119">
        <v>13984011</v>
      </c>
      <c r="I28119">
        <v>4043389</v>
      </c>
      <c r="J28119">
        <v>6</v>
      </c>
    </row>
    <row r="28120" spans="1:10" x14ac:dyDescent="0.25">
      <c r="A28120" t="s">
        <v>314</v>
      </c>
      <c r="B28120" s="1" t="str">
        <f>HYPERLINK("http://prudential.co.uk","prudential.co.uk")</f>
        <v>prudential.co.uk</v>
      </c>
      <c r="C28120" t="s">
        <v>506</v>
      </c>
      <c r="D28120" t="s">
        <v>880</v>
      </c>
      <c r="E28120">
        <v>102442</v>
      </c>
      <c r="F28120">
        <v>8.0311485870173606E-8</v>
      </c>
      <c r="G28120">
        <v>520083</v>
      </c>
      <c r="H28120">
        <v>14875852</v>
      </c>
      <c r="I28120">
        <v>475272</v>
      </c>
      <c r="J28120">
        <v>2</v>
      </c>
    </row>
    <row r="28121" spans="1:10" x14ac:dyDescent="0.25">
      <c r="A28121" t="s">
        <v>314</v>
      </c>
      <c r="B28121" s="1" t="str">
        <f>HYPERLINK("http://prudential-international.co.uk","prudential-international.co.uk")</f>
        <v>prudential-international.co.uk</v>
      </c>
      <c r="C28121" t="s">
        <v>506</v>
      </c>
      <c r="D28121" t="s">
        <v>880</v>
      </c>
      <c r="J28121">
        <v>6</v>
      </c>
    </row>
    <row r="28122" spans="1:10" x14ac:dyDescent="0.25">
      <c r="A28122" t="s">
        <v>314</v>
      </c>
      <c r="B28122" s="1" t="str">
        <f>HYPERLINK("http://prudentialinternational.co.uk","prudentialinternational.co.uk")</f>
        <v>prudentialinternational.co.uk</v>
      </c>
      <c r="C28122" t="s">
        <v>506</v>
      </c>
      <c r="D28122" t="s">
        <v>880</v>
      </c>
      <c r="J28122">
        <v>6</v>
      </c>
    </row>
    <row r="28123" spans="1:10" x14ac:dyDescent="0.25">
      <c r="A28123" t="s">
        <v>314</v>
      </c>
      <c r="B28123" s="1" t="str">
        <f>HYPERLINK("http://pruinternational.co.uk","pruinternational.co.uk")</f>
        <v>pruinternational.co.uk</v>
      </c>
      <c r="C28123" t="s">
        <v>506</v>
      </c>
      <c r="D28123" t="s">
        <v>880</v>
      </c>
      <c r="J28123">
        <v>6</v>
      </c>
    </row>
    <row r="28124" spans="1:10" x14ac:dyDescent="0.25">
      <c r="A28124" t="s">
        <v>314</v>
      </c>
      <c r="B28124" s="1" t="str">
        <f>HYPERLINK("http://prudential-international.uk","prudential-international.uk")</f>
        <v>prudential-international.uk</v>
      </c>
      <c r="C28124" t="s">
        <v>506</v>
      </c>
      <c r="D28124" t="s">
        <v>880</v>
      </c>
      <c r="J28124">
        <v>6</v>
      </c>
    </row>
    <row r="28125" spans="1:10" x14ac:dyDescent="0.25">
      <c r="A28125" t="s">
        <v>314</v>
      </c>
      <c r="B28125" s="1" t="str">
        <f>HYPERLINK("http://prudentialinternational.uk","prudentialinternational.uk")</f>
        <v>prudentialinternational.uk</v>
      </c>
      <c r="C28125" t="s">
        <v>506</v>
      </c>
      <c r="D28125" t="s">
        <v>880</v>
      </c>
      <c r="J28125">
        <v>6</v>
      </c>
    </row>
    <row r="28126" spans="1:10" x14ac:dyDescent="0.25">
      <c r="A28126" t="s">
        <v>314</v>
      </c>
      <c r="B28126" s="1" t="str">
        <f>HYPERLINK("http://eastspring.us","eastspring.us")</f>
        <v>eastspring.us</v>
      </c>
      <c r="C28126" t="s">
        <v>522</v>
      </c>
      <c r="D28126" t="s">
        <v>891</v>
      </c>
      <c r="F28126">
        <v>7.5796034867274007E-9</v>
      </c>
      <c r="G28126">
        <v>10837900</v>
      </c>
      <c r="H28126">
        <v>11213162</v>
      </c>
      <c r="I28126">
        <v>31141668</v>
      </c>
      <c r="J28126">
        <v>4</v>
      </c>
    </row>
    <row r="28127" spans="1:10" x14ac:dyDescent="0.25">
      <c r="A28127" t="s">
        <v>314</v>
      </c>
      <c r="B28127" s="1" t="str">
        <f>HYPERLINK("http://eastspring.com.vn","eastspring.com.vn")</f>
        <v>eastspring.com.vn</v>
      </c>
      <c r="C28127" t="s">
        <v>509</v>
      </c>
      <c r="D28127" t="s">
        <v>883</v>
      </c>
      <c r="F28127">
        <v>6.2400277490896304E-9</v>
      </c>
      <c r="G28127">
        <v>15324815</v>
      </c>
      <c r="H28127">
        <v>11323187</v>
      </c>
      <c r="I28127">
        <v>30491837</v>
      </c>
      <c r="J28127">
        <v>4</v>
      </c>
    </row>
    <row r="28128" spans="1:10" x14ac:dyDescent="0.25">
      <c r="A28128" t="s">
        <v>314</v>
      </c>
      <c r="B28128" s="1" t="str">
        <f>HYPERLINK("http://prudential.com.vn","prudential.com.vn")</f>
        <v>prudential.com.vn</v>
      </c>
      <c r="C28128" t="s">
        <v>509</v>
      </c>
      <c r="D28128" t="s">
        <v>883</v>
      </c>
      <c r="E28128">
        <v>280102</v>
      </c>
      <c r="F28128">
        <v>2.0026537327655899E-7</v>
      </c>
      <c r="G28128">
        <v>190275</v>
      </c>
      <c r="H28128">
        <v>14128963</v>
      </c>
      <c r="I28128">
        <v>2053155</v>
      </c>
      <c r="J28128">
        <v>2</v>
      </c>
    </row>
    <row r="28129" spans="1:10" x14ac:dyDescent="0.25">
      <c r="A28129" t="s">
        <v>315</v>
      </c>
      <c r="B28129" s="1" t="str">
        <f>HYPERLINK("http://shurgard.be","shurgard.be")</f>
        <v>shurgard.be</v>
      </c>
      <c r="C28129" t="s">
        <v>421</v>
      </c>
      <c r="D28129" t="s">
        <v>803</v>
      </c>
      <c r="F28129">
        <v>1.2306688308116201E-8</v>
      </c>
      <c r="G28129">
        <v>4990666</v>
      </c>
      <c r="H28129">
        <v>12299060</v>
      </c>
      <c r="I28129">
        <v>20859077</v>
      </c>
      <c r="J28129">
        <v>4</v>
      </c>
    </row>
    <row r="28130" spans="1:10" x14ac:dyDescent="0.25">
      <c r="A28130" t="s">
        <v>315</v>
      </c>
      <c r="B28130" s="1" t="str">
        <f>HYPERLINK("http://bordenangusstorage.ca","bordenangusstorage.ca")</f>
        <v>bordenangusstorage.ca</v>
      </c>
      <c r="C28130" t="s">
        <v>428</v>
      </c>
      <c r="D28130" t="s">
        <v>809</v>
      </c>
      <c r="F28130">
        <v>4.5527659107240899E-9</v>
      </c>
      <c r="G28130">
        <v>51887704</v>
      </c>
      <c r="H28130">
        <v>10370732</v>
      </c>
      <c r="I28130">
        <v>54831006</v>
      </c>
      <c r="J28130">
        <v>4</v>
      </c>
    </row>
    <row r="28131" spans="1:10" x14ac:dyDescent="0.25">
      <c r="A28131" t="s">
        <v>315</v>
      </c>
      <c r="B28131" s="1" t="str">
        <f>HYPERLINK("http://publicstorage.ca","publicstorage.ca")</f>
        <v>publicstorage.ca</v>
      </c>
      <c r="C28131" t="s">
        <v>428</v>
      </c>
      <c r="D28131" t="s">
        <v>809</v>
      </c>
      <c r="F28131">
        <v>4.4489213772411301E-9</v>
      </c>
      <c r="G28131">
        <v>72546623</v>
      </c>
      <c r="H28131">
        <v>10059403</v>
      </c>
      <c r="I28131">
        <v>60263331</v>
      </c>
      <c r="J28131">
        <v>4</v>
      </c>
    </row>
    <row r="28132" spans="1:10" x14ac:dyDescent="0.25">
      <c r="A28132" t="s">
        <v>315</v>
      </c>
      <c r="B28132" s="1" t="str">
        <f>HYPERLINK("http://publicstorage.com","publicstorage.com")</f>
        <v>publicstorage.com</v>
      </c>
      <c r="C28132" t="s">
        <v>433</v>
      </c>
      <c r="E28132">
        <v>41178</v>
      </c>
      <c r="F28132">
        <v>3.7830947738185099E-7</v>
      </c>
      <c r="G28132">
        <v>98898</v>
      </c>
      <c r="H28132">
        <v>17349874</v>
      </c>
      <c r="I28132">
        <v>23109</v>
      </c>
      <c r="J28132">
        <v>1</v>
      </c>
    </row>
    <row r="28133" spans="1:10" x14ac:dyDescent="0.25">
      <c r="A28133" t="s">
        <v>315</v>
      </c>
      <c r="B28133" s="1" t="str">
        <f>HYPERLINK("http://publicstoragecanada.com","publicstoragecanada.com")</f>
        <v>publicstoragecanada.com</v>
      </c>
      <c r="C28133" t="s">
        <v>433</v>
      </c>
      <c r="F28133">
        <v>1.7539080869128501E-8</v>
      </c>
      <c r="G28133">
        <v>3133166</v>
      </c>
      <c r="H28133">
        <v>13163771</v>
      </c>
      <c r="I28133">
        <v>11751029</v>
      </c>
      <c r="J28133">
        <v>4</v>
      </c>
    </row>
    <row r="28134" spans="1:10" x14ac:dyDescent="0.25">
      <c r="A28134" t="s">
        <v>315</v>
      </c>
      <c r="B28134" s="1" t="str">
        <f>HYPERLINK("http://shurgard.com","shurgard.com")</f>
        <v>shurgard.com</v>
      </c>
      <c r="C28134" t="s">
        <v>433</v>
      </c>
      <c r="E28134">
        <v>616206</v>
      </c>
      <c r="F28134">
        <v>9.0814264482570406E-8</v>
      </c>
      <c r="G28134">
        <v>449009</v>
      </c>
      <c r="H28134">
        <v>14629879</v>
      </c>
      <c r="I28134">
        <v>646026</v>
      </c>
      <c r="J28134">
        <v>3</v>
      </c>
    </row>
    <row r="28135" spans="1:10" x14ac:dyDescent="0.25">
      <c r="A28135" t="s">
        <v>315</v>
      </c>
      <c r="B28135" s="1" t="str">
        <f>HYPERLINK("http://shurgard.de","shurgard.de")</f>
        <v>shurgard.de</v>
      </c>
      <c r="C28135" t="s">
        <v>436</v>
      </c>
      <c r="D28135" t="s">
        <v>815</v>
      </c>
      <c r="F28135">
        <v>9.2611242667139404E-9</v>
      </c>
      <c r="G28135">
        <v>7623817</v>
      </c>
      <c r="H28135">
        <v>12524512</v>
      </c>
      <c r="I28135">
        <v>17106950</v>
      </c>
      <c r="J28135">
        <v>4</v>
      </c>
    </row>
    <row r="28136" spans="1:10" x14ac:dyDescent="0.25">
      <c r="A28136" t="s">
        <v>315</v>
      </c>
      <c r="B28136" s="1" t="str">
        <f>HYPERLINK("http://shurgard.dk","shurgard.dk")</f>
        <v>shurgard.dk</v>
      </c>
      <c r="C28136" t="s">
        <v>437</v>
      </c>
      <c r="D28136" t="s">
        <v>816</v>
      </c>
      <c r="F28136">
        <v>6.6026209693796998E-9</v>
      </c>
      <c r="G28136">
        <v>13667092</v>
      </c>
      <c r="H28136">
        <v>13763641</v>
      </c>
      <c r="I28136">
        <v>7932450</v>
      </c>
      <c r="J28136">
        <v>4</v>
      </c>
    </row>
    <row r="28137" spans="1:10" x14ac:dyDescent="0.25">
      <c r="A28137" t="s">
        <v>315</v>
      </c>
      <c r="B28137" s="1" t="str">
        <f>HYPERLINK("http://shurgard.eu","shurgard.eu")</f>
        <v>shurgard.eu</v>
      </c>
      <c r="C28137" t="s">
        <v>444</v>
      </c>
      <c r="F28137">
        <v>1.17808105235128E-8</v>
      </c>
      <c r="G28137">
        <v>5314067</v>
      </c>
      <c r="H28137">
        <v>13002094</v>
      </c>
      <c r="I28137">
        <v>12786399</v>
      </c>
      <c r="J28137">
        <v>4</v>
      </c>
    </row>
    <row r="28138" spans="1:10" x14ac:dyDescent="0.25">
      <c r="A28138" t="s">
        <v>315</v>
      </c>
      <c r="B28138" s="1" t="str">
        <f>HYPERLINK("http://myshurgard.fi","myshurgard.fi")</f>
        <v>myshurgard.fi</v>
      </c>
      <c r="C28138" t="s">
        <v>445</v>
      </c>
      <c r="D28138" t="s">
        <v>823</v>
      </c>
      <c r="J28138">
        <v>5</v>
      </c>
    </row>
    <row r="28139" spans="1:10" x14ac:dyDescent="0.25">
      <c r="A28139" t="s">
        <v>315</v>
      </c>
      <c r="B28139" s="1" t="str">
        <f>HYPERLINK("http://shurgard.fi","shurgard.fi")</f>
        <v>shurgard.fi</v>
      </c>
      <c r="C28139" t="s">
        <v>445</v>
      </c>
      <c r="D28139" t="s">
        <v>823</v>
      </c>
      <c r="J28139">
        <v>5</v>
      </c>
    </row>
    <row r="28140" spans="1:10" x14ac:dyDescent="0.25">
      <c r="A28140" t="s">
        <v>315</v>
      </c>
      <c r="B28140" s="1" t="str">
        <f>HYPERLINK("http://shurgard.fr","shurgard.fr")</f>
        <v>shurgard.fr</v>
      </c>
      <c r="C28140" t="s">
        <v>446</v>
      </c>
      <c r="D28140" t="s">
        <v>824</v>
      </c>
      <c r="F28140">
        <v>8.8161282924038901E-9</v>
      </c>
      <c r="G28140">
        <v>8278558</v>
      </c>
      <c r="H28140">
        <v>13767276</v>
      </c>
      <c r="I28140">
        <v>6943231</v>
      </c>
      <c r="J28140">
        <v>4</v>
      </c>
    </row>
    <row r="28141" spans="1:10" x14ac:dyDescent="0.25">
      <c r="A28141" t="s">
        <v>315</v>
      </c>
      <c r="B28141" s="1" t="str">
        <f>HYPERLINK("http://shurgard.jobs","shurgard.jobs")</f>
        <v>shurgard.jobs</v>
      </c>
      <c r="C28141" t="s">
        <v>521</v>
      </c>
      <c r="F28141">
        <v>5.3332509356389702E-9</v>
      </c>
      <c r="G28141">
        <v>23023579</v>
      </c>
      <c r="H28141">
        <v>10792186</v>
      </c>
      <c r="I28141">
        <v>38416651</v>
      </c>
      <c r="J28141">
        <v>4</v>
      </c>
    </row>
    <row r="28142" spans="1:10" x14ac:dyDescent="0.25">
      <c r="A28142" t="s">
        <v>315</v>
      </c>
      <c r="B28142" s="1" t="str">
        <f>HYPERLINK("http://citybox.nl","citybox.nl")</f>
        <v>citybox.nl</v>
      </c>
      <c r="C28142" t="s">
        <v>477</v>
      </c>
      <c r="D28142" t="s">
        <v>852</v>
      </c>
      <c r="F28142">
        <v>9.6771457121930605E-9</v>
      </c>
      <c r="G28142">
        <v>7107821</v>
      </c>
      <c r="H28142">
        <v>13195503</v>
      </c>
      <c r="I28142">
        <v>11578368</v>
      </c>
      <c r="J28142">
        <v>7</v>
      </c>
    </row>
    <row r="28143" spans="1:10" x14ac:dyDescent="0.25">
      <c r="A28143" t="s">
        <v>315</v>
      </c>
      <c r="B28143" s="1" t="str">
        <f>HYPERLINK("http://shurgard.nl","shurgard.nl")</f>
        <v>shurgard.nl</v>
      </c>
      <c r="C28143" t="s">
        <v>477</v>
      </c>
      <c r="D28143" t="s">
        <v>852</v>
      </c>
      <c r="F28143">
        <v>1.27626868481282E-8</v>
      </c>
      <c r="G28143">
        <v>4748122</v>
      </c>
      <c r="H28143">
        <v>12417309</v>
      </c>
      <c r="I28143">
        <v>18504003</v>
      </c>
      <c r="J28143">
        <v>4</v>
      </c>
    </row>
    <row r="28144" spans="1:10" x14ac:dyDescent="0.25">
      <c r="A28144" t="s">
        <v>315</v>
      </c>
      <c r="B28144" s="1" t="str">
        <f>HYPERLINK("http://shurgard.se","shurgard.se")</f>
        <v>shurgard.se</v>
      </c>
      <c r="C28144" t="s">
        <v>495</v>
      </c>
      <c r="D28144" t="s">
        <v>869</v>
      </c>
      <c r="F28144">
        <v>7.2459415343815301E-9</v>
      </c>
      <c r="G28144">
        <v>11616032</v>
      </c>
      <c r="H28144">
        <v>13763704</v>
      </c>
      <c r="I28144">
        <v>7763045</v>
      </c>
      <c r="J28144">
        <v>4</v>
      </c>
    </row>
    <row r="28145" spans="1:10" x14ac:dyDescent="0.25">
      <c r="A28145" t="s">
        <v>315</v>
      </c>
      <c r="B28145" s="1" t="str">
        <f>HYPERLINK("http://shurgard.co.uk","shurgard.co.uk")</f>
        <v>shurgard.co.uk</v>
      </c>
      <c r="C28145" t="s">
        <v>506</v>
      </c>
      <c r="D28145" t="s">
        <v>880</v>
      </c>
      <c r="F28145">
        <v>9.7744833341761008E-9</v>
      </c>
      <c r="G28145">
        <v>6996417</v>
      </c>
      <c r="H28145">
        <v>13770911</v>
      </c>
      <c r="I28145">
        <v>6711704</v>
      </c>
      <c r="J28145">
        <v>4</v>
      </c>
    </row>
    <row r="28146" spans="1:10" x14ac:dyDescent="0.25">
      <c r="A28146" t="s">
        <v>316</v>
      </c>
      <c r="B28146" s="1" t="str">
        <f>HYPERLINK("http://qnb.ch","qnb.ch")</f>
        <v>qnb.ch</v>
      </c>
      <c r="C28146" t="s">
        <v>429</v>
      </c>
      <c r="D28146" t="s">
        <v>810</v>
      </c>
      <c r="F28146">
        <v>7.4362630635011996E-9</v>
      </c>
      <c r="G28146">
        <v>11158494</v>
      </c>
      <c r="H28146">
        <v>10690313</v>
      </c>
      <c r="I28146">
        <v>42490834</v>
      </c>
      <c r="J28146">
        <v>2</v>
      </c>
    </row>
    <row r="28147" spans="1:10" x14ac:dyDescent="0.25">
      <c r="A28147" t="s">
        <v>316</v>
      </c>
      <c r="B28147" s="1" t="str">
        <f>HYPERLINK("http://qnb.com","qnb.com")</f>
        <v>qnb.com</v>
      </c>
      <c r="C28147" t="s">
        <v>433</v>
      </c>
      <c r="E28147">
        <v>33248</v>
      </c>
      <c r="F28147">
        <v>2.5271800799671301E-7</v>
      </c>
      <c r="G28147">
        <v>147992</v>
      </c>
      <c r="H28147">
        <v>14425914</v>
      </c>
      <c r="I28147">
        <v>1079610</v>
      </c>
      <c r="J28147">
        <v>1</v>
      </c>
    </row>
    <row r="28148" spans="1:10" x14ac:dyDescent="0.25">
      <c r="A28148" t="s">
        <v>316</v>
      </c>
      <c r="B28148" s="1" t="str">
        <f>HYPERLINK("http://qnbalahli.com","qnbalahli.com")</f>
        <v>qnbalahli.com</v>
      </c>
      <c r="C28148" t="s">
        <v>433</v>
      </c>
      <c r="E28148">
        <v>80394</v>
      </c>
      <c r="F28148">
        <v>2.85447295596803E-8</v>
      </c>
      <c r="G28148">
        <v>1803346</v>
      </c>
      <c r="H28148">
        <v>14077888</v>
      </c>
      <c r="I28148">
        <v>2856845</v>
      </c>
      <c r="J28148">
        <v>4</v>
      </c>
    </row>
    <row r="28149" spans="1:10" x14ac:dyDescent="0.25">
      <c r="A28149" t="s">
        <v>316</v>
      </c>
      <c r="B28149" s="1" t="str">
        <f>HYPERLINK("http://qnbff.com","qnbff.com")</f>
        <v>qnbff.com</v>
      </c>
      <c r="C28149" t="s">
        <v>433</v>
      </c>
      <c r="F28149">
        <v>1.0029757962930401E-8</v>
      </c>
      <c r="G28149">
        <v>6726335</v>
      </c>
      <c r="H28149">
        <v>12324495</v>
      </c>
      <c r="I28149">
        <v>20332686</v>
      </c>
      <c r="J28149">
        <v>5</v>
      </c>
    </row>
    <row r="28150" spans="1:10" x14ac:dyDescent="0.25">
      <c r="A28150" t="s">
        <v>316</v>
      </c>
      <c r="B28150" s="1" t="str">
        <f>HYPERLINK("http://qnbfi.com","qnbfi.com")</f>
        <v>qnbfi.com</v>
      </c>
      <c r="C28150" t="s">
        <v>433</v>
      </c>
      <c r="E28150">
        <v>271766</v>
      </c>
      <c r="F28150">
        <v>2.05621779170307E-8</v>
      </c>
      <c r="G28150">
        <v>2575739</v>
      </c>
      <c r="H28150">
        <v>12471722</v>
      </c>
      <c r="I28150">
        <v>17682177</v>
      </c>
      <c r="J28150">
        <v>5</v>
      </c>
    </row>
    <row r="28151" spans="1:10" x14ac:dyDescent="0.25">
      <c r="A28151" t="s">
        <v>316</v>
      </c>
      <c r="B28151" s="1" t="str">
        <f>HYPERLINK("http://qnbfinansbank.com","qnbfinansbank.com")</f>
        <v>qnbfinansbank.com</v>
      </c>
      <c r="C28151" t="s">
        <v>433</v>
      </c>
      <c r="E28151">
        <v>38289</v>
      </c>
      <c r="F28151">
        <v>1.6004665949889501E-7</v>
      </c>
      <c r="G28151">
        <v>242535</v>
      </c>
      <c r="H28151">
        <v>14528546</v>
      </c>
      <c r="I28151">
        <v>789870</v>
      </c>
      <c r="J28151">
        <v>4</v>
      </c>
    </row>
    <row r="28152" spans="1:10" x14ac:dyDescent="0.25">
      <c r="A28152" t="s">
        <v>316</v>
      </c>
      <c r="B28152" s="1" t="str">
        <f>HYPERLINK("http://qnbfl.com","qnbfl.com")</f>
        <v>qnbfl.com</v>
      </c>
      <c r="C28152" t="s">
        <v>433</v>
      </c>
      <c r="F28152">
        <v>1.1003594395480701E-8</v>
      </c>
      <c r="G28152">
        <v>5857316</v>
      </c>
      <c r="H28152">
        <v>12483618</v>
      </c>
      <c r="I28152">
        <v>17563693</v>
      </c>
      <c r="J28152">
        <v>5</v>
      </c>
    </row>
    <row r="28153" spans="1:10" x14ac:dyDescent="0.25">
      <c r="A28153" t="s">
        <v>316</v>
      </c>
      <c r="B28153" s="1" t="str">
        <f>HYPERLINK("http://qnbfp.com","qnbfp.com")</f>
        <v>qnbfp.com</v>
      </c>
      <c r="C28153" t="s">
        <v>433</v>
      </c>
      <c r="F28153">
        <v>1.6753149212390199E-8</v>
      </c>
      <c r="G28153">
        <v>3345105</v>
      </c>
      <c r="H28153">
        <v>10746546</v>
      </c>
      <c r="I28153">
        <v>40190162</v>
      </c>
      <c r="J28153">
        <v>6</v>
      </c>
    </row>
    <row r="28154" spans="1:10" x14ac:dyDescent="0.25">
      <c r="A28154" t="s">
        <v>316</v>
      </c>
      <c r="B28154" s="1" t="str">
        <f>HYPERLINK("http://qnb.co.id","qnb.co.id")</f>
        <v>qnb.co.id</v>
      </c>
      <c r="C28154" t="s">
        <v>454</v>
      </c>
      <c r="D28154" t="s">
        <v>831</v>
      </c>
      <c r="F28154">
        <v>1.60538090219388E-8</v>
      </c>
      <c r="G28154">
        <v>3532348</v>
      </c>
      <c r="H28154">
        <v>14237564</v>
      </c>
      <c r="I28154">
        <v>1546881</v>
      </c>
      <c r="J28154">
        <v>2</v>
      </c>
    </row>
    <row r="28155" spans="1:10" x14ac:dyDescent="0.25">
      <c r="A28155" t="s">
        <v>316</v>
      </c>
      <c r="B28155" s="1" t="str">
        <f>HYPERLINK("http://qnb.com.qa","qnb.com.qa")</f>
        <v>qnb.com.qa</v>
      </c>
      <c r="C28155" t="s">
        <v>490</v>
      </c>
      <c r="D28155" t="s">
        <v>864</v>
      </c>
      <c r="F28155">
        <v>4.63447777436289E-8</v>
      </c>
      <c r="G28155">
        <v>1009877</v>
      </c>
      <c r="H28155">
        <v>14102069</v>
      </c>
      <c r="I28155">
        <v>2699801</v>
      </c>
      <c r="J28155">
        <v>2</v>
      </c>
    </row>
    <row r="28156" spans="1:10" x14ac:dyDescent="0.25">
      <c r="A28156" t="s">
        <v>316</v>
      </c>
      <c r="B28156" s="1" t="str">
        <f>HYPERLINK("http://qnb.com.tn","qnb.com.tn")</f>
        <v>qnb.com.tn</v>
      </c>
      <c r="C28156" t="s">
        <v>501</v>
      </c>
      <c r="D28156" t="s">
        <v>875</v>
      </c>
      <c r="F28156">
        <v>1.7789562717089601E-8</v>
      </c>
      <c r="G28156">
        <v>3077014</v>
      </c>
      <c r="H28156">
        <v>14074485</v>
      </c>
      <c r="I28156">
        <v>2941640</v>
      </c>
      <c r="J28156">
        <v>2</v>
      </c>
    </row>
    <row r="28157" spans="1:10" x14ac:dyDescent="0.25">
      <c r="A28157" t="s">
        <v>316</v>
      </c>
      <c r="B28157" s="1" t="str">
        <f>HYPERLINK("http://finansbank.com.tr","finansbank.com.tr")</f>
        <v>finansbank.com.tr</v>
      </c>
      <c r="C28157" t="s">
        <v>502</v>
      </c>
      <c r="D28157" t="s">
        <v>876</v>
      </c>
      <c r="E28157">
        <v>231233</v>
      </c>
      <c r="F28157">
        <v>5.1154090362177701E-8</v>
      </c>
      <c r="G28157">
        <v>895633</v>
      </c>
      <c r="H28157">
        <v>13775064</v>
      </c>
      <c r="I28157">
        <v>6590042</v>
      </c>
      <c r="J28157">
        <v>6</v>
      </c>
    </row>
    <row r="28158" spans="1:10" x14ac:dyDescent="0.25">
      <c r="A28158" t="s">
        <v>316</v>
      </c>
      <c r="B28158" s="1" t="str">
        <f>HYPERLINK("http://finansleasing.com.tr","finansleasing.com.tr")</f>
        <v>finansleasing.com.tr</v>
      </c>
      <c r="C28158" t="s">
        <v>502</v>
      </c>
      <c r="D28158" t="s">
        <v>876</v>
      </c>
      <c r="F28158">
        <v>5.8469768517120102E-9</v>
      </c>
      <c r="G28158">
        <v>17730965</v>
      </c>
      <c r="H28158">
        <v>14071867</v>
      </c>
      <c r="I28158">
        <v>3271906</v>
      </c>
      <c r="J28158">
        <v>8</v>
      </c>
    </row>
    <row r="28159" spans="1:10" x14ac:dyDescent="0.25">
      <c r="A28159" t="s">
        <v>317</v>
      </c>
      <c r="B28159" s="1" t="str">
        <f>HYPERLINK("http://qualcomm.com.au","qualcomm.com.au")</f>
        <v>qualcomm.com.au</v>
      </c>
      <c r="C28159" t="s">
        <v>420</v>
      </c>
      <c r="D28159" t="s">
        <v>802</v>
      </c>
      <c r="F28159">
        <v>5.2455059873844198E-8</v>
      </c>
      <c r="G28159">
        <v>869482</v>
      </c>
      <c r="H28159">
        <v>16754140</v>
      </c>
      <c r="I28159">
        <v>244790</v>
      </c>
      <c r="J28159">
        <v>2</v>
      </c>
    </row>
    <row r="28160" spans="1:10" x14ac:dyDescent="0.25">
      <c r="A28160" t="s">
        <v>317</v>
      </c>
      <c r="B28160" s="1" t="str">
        <f>HYPERLINK("http://qualcomm.cn","qualcomm.cn")</f>
        <v>qualcomm.cn</v>
      </c>
      <c r="C28160" t="s">
        <v>431</v>
      </c>
      <c r="D28160" t="s">
        <v>812</v>
      </c>
      <c r="E28160">
        <v>62848</v>
      </c>
      <c r="F28160">
        <v>2.0424471160353699E-7</v>
      </c>
      <c r="G28160">
        <v>186060</v>
      </c>
      <c r="H28160">
        <v>14498167</v>
      </c>
      <c r="I28160">
        <v>862731</v>
      </c>
      <c r="J28160">
        <v>2</v>
      </c>
    </row>
    <row r="28161" spans="1:10" x14ac:dyDescent="0.25">
      <c r="A28161" t="s">
        <v>317</v>
      </c>
      <c r="B28161" s="1" t="str">
        <f>HYPERLINK("http://arriver.com","arriver.com")</f>
        <v>arriver.com</v>
      </c>
      <c r="C28161" t="s">
        <v>433</v>
      </c>
      <c r="F28161">
        <v>1.36185252741716E-8</v>
      </c>
      <c r="G28161">
        <v>4354285</v>
      </c>
      <c r="H28161">
        <v>13425121</v>
      </c>
      <c r="I28161">
        <v>10295057</v>
      </c>
      <c r="J28161">
        <v>3</v>
      </c>
    </row>
    <row r="28162" spans="1:10" x14ac:dyDescent="0.25">
      <c r="A28162" t="s">
        <v>317</v>
      </c>
      <c r="B28162" s="1" t="str">
        <f>HYPERLINK("http://cursor-system.com","cursor-system.com")</f>
        <v>cursor-system.com</v>
      </c>
      <c r="C28162" t="s">
        <v>433</v>
      </c>
      <c r="F28162">
        <v>7.2948074894456303E-9</v>
      </c>
      <c r="G28162">
        <v>11493517</v>
      </c>
      <c r="H28162">
        <v>12972006</v>
      </c>
      <c r="I28162">
        <v>13034518</v>
      </c>
      <c r="J28162">
        <v>8</v>
      </c>
    </row>
    <row r="28163" spans="1:10" x14ac:dyDescent="0.25">
      <c r="A28163" t="s">
        <v>317</v>
      </c>
      <c r="B28163" s="1" t="str">
        <f>HYPERLINK("http://qualcomm.com","qualcomm.com")</f>
        <v>qualcomm.com</v>
      </c>
      <c r="C28163" t="s">
        <v>433</v>
      </c>
      <c r="E28163">
        <v>4042</v>
      </c>
      <c r="F28163">
        <v>6.5801929926074303E-6</v>
      </c>
      <c r="G28163">
        <v>5148</v>
      </c>
      <c r="H28163">
        <v>17878892</v>
      </c>
      <c r="I28163">
        <v>4665</v>
      </c>
      <c r="J28163">
        <v>1</v>
      </c>
    </row>
    <row r="28164" spans="1:10" x14ac:dyDescent="0.25">
      <c r="A28164" t="s">
        <v>317</v>
      </c>
      <c r="B28164" s="1" t="str">
        <f>HYPERLINK("http://qualcommventures.com","qualcommventures.com")</f>
        <v>qualcommventures.com</v>
      </c>
      <c r="C28164" t="s">
        <v>433</v>
      </c>
      <c r="E28164">
        <v>651099</v>
      </c>
      <c r="F28164">
        <v>7.2955682749734498E-7</v>
      </c>
      <c r="G28164">
        <v>53299</v>
      </c>
      <c r="H28164">
        <v>15556802</v>
      </c>
      <c r="I28164">
        <v>373540</v>
      </c>
      <c r="J28164">
        <v>3</v>
      </c>
    </row>
    <row r="28165" spans="1:10" x14ac:dyDescent="0.25">
      <c r="A28165" t="s">
        <v>317</v>
      </c>
      <c r="B28165" s="1" t="str">
        <f>HYPERLINK("http://reservoir.com","reservoir.com")</f>
        <v>reservoir.com</v>
      </c>
      <c r="C28165" t="s">
        <v>433</v>
      </c>
      <c r="F28165">
        <v>6.3235522332510894E-8</v>
      </c>
      <c r="G28165">
        <v>688239</v>
      </c>
      <c r="H28165">
        <v>14219838</v>
      </c>
      <c r="I28165">
        <v>1687055</v>
      </c>
      <c r="J28165">
        <v>4</v>
      </c>
    </row>
    <row r="28166" spans="1:10" x14ac:dyDescent="0.25">
      <c r="A28166" t="s">
        <v>317</v>
      </c>
      <c r="B28166" s="1" t="str">
        <f>HYPERLINK("http://rf360jv.com","rf360jv.com")</f>
        <v>rf360jv.com</v>
      </c>
      <c r="C28166" t="s">
        <v>433</v>
      </c>
      <c r="F28166">
        <v>9.9642871435403204E-9</v>
      </c>
      <c r="G28166">
        <v>6791624</v>
      </c>
      <c r="H28166">
        <v>12273933</v>
      </c>
      <c r="I28166">
        <v>21440029</v>
      </c>
      <c r="J28166">
        <v>3</v>
      </c>
    </row>
    <row r="28167" spans="1:10" x14ac:dyDescent="0.25">
      <c r="A28167" t="s">
        <v>317</v>
      </c>
      <c r="B28167" s="1" t="str">
        <f>HYPERLINK("http://snaptrack.com","snaptrack.com")</f>
        <v>snaptrack.com</v>
      </c>
      <c r="C28167" t="s">
        <v>433</v>
      </c>
      <c r="F28167">
        <v>6.4517773607366602E-9</v>
      </c>
      <c r="G28167">
        <v>14286711</v>
      </c>
      <c r="H28167">
        <v>12922203</v>
      </c>
      <c r="I28167">
        <v>13415974</v>
      </c>
      <c r="J28167">
        <v>3</v>
      </c>
    </row>
    <row r="28168" spans="1:10" x14ac:dyDescent="0.25">
      <c r="A28168" t="s">
        <v>317</v>
      </c>
      <c r="B28168" s="1" t="str">
        <f>HYPERLINK("http://summitmicro.com","summitmicro.com")</f>
        <v>summitmicro.com</v>
      </c>
      <c r="C28168" t="s">
        <v>433</v>
      </c>
      <c r="F28168">
        <v>1.6282215887457699E-8</v>
      </c>
      <c r="G28168">
        <v>3475076</v>
      </c>
      <c r="H28168">
        <v>13778662</v>
      </c>
      <c r="I28168">
        <v>6503306</v>
      </c>
      <c r="J28168">
        <v>4</v>
      </c>
    </row>
    <row r="28169" spans="1:10" x14ac:dyDescent="0.25">
      <c r="A28169" t="s">
        <v>317</v>
      </c>
      <c r="B28169" s="1" t="str">
        <f>HYPERLINK("http://ubicom.com","ubicom.com")</f>
        <v>ubicom.com</v>
      </c>
      <c r="C28169" t="s">
        <v>433</v>
      </c>
      <c r="F28169">
        <v>3.1741912252204297E-8</v>
      </c>
      <c r="G28169">
        <v>1626631</v>
      </c>
      <c r="H28169">
        <v>14246122</v>
      </c>
      <c r="I28169">
        <v>1462941</v>
      </c>
      <c r="J28169">
        <v>5</v>
      </c>
    </row>
    <row r="28170" spans="1:10" x14ac:dyDescent="0.25">
      <c r="A28170" t="s">
        <v>317</v>
      </c>
      <c r="B28170" s="1" t="str">
        <f>HYPERLINK("http://ultra-scan.com","ultra-scan.com")</f>
        <v>ultra-scan.com</v>
      </c>
      <c r="C28170" t="s">
        <v>433</v>
      </c>
      <c r="F28170">
        <v>9.3744476406372896E-9</v>
      </c>
      <c r="G28170">
        <v>7477584</v>
      </c>
      <c r="H28170">
        <v>13408951</v>
      </c>
      <c r="I28170">
        <v>10342790</v>
      </c>
      <c r="J28170">
        <v>4</v>
      </c>
    </row>
    <row r="28171" spans="1:10" x14ac:dyDescent="0.25">
      <c r="A28171" t="s">
        <v>317</v>
      </c>
      <c r="B28171" s="1" t="str">
        <f>HYPERLINK("http://qualcomm.eu","qualcomm.eu")</f>
        <v>qualcomm.eu</v>
      </c>
      <c r="C28171" t="s">
        <v>444</v>
      </c>
      <c r="F28171">
        <v>8.7019115613263607E-9</v>
      </c>
      <c r="G28171">
        <v>8474474</v>
      </c>
      <c r="H28171">
        <v>14074366</v>
      </c>
      <c r="I28171">
        <v>2945665</v>
      </c>
      <c r="J28171">
        <v>2</v>
      </c>
    </row>
    <row r="28172" spans="1:10" x14ac:dyDescent="0.25">
      <c r="A28172" t="s">
        <v>317</v>
      </c>
      <c r="B28172" s="1" t="str">
        <f>HYPERLINK("http://qualcomm.co.in","qualcomm.co.in")</f>
        <v>qualcomm.co.in</v>
      </c>
      <c r="C28172" t="s">
        <v>457</v>
      </c>
      <c r="D28172" t="s">
        <v>834</v>
      </c>
      <c r="F28172">
        <v>1.7857379189280299E-8</v>
      </c>
      <c r="G28172">
        <v>3062408</v>
      </c>
      <c r="H28172">
        <v>13581213</v>
      </c>
      <c r="I28172">
        <v>9686805</v>
      </c>
      <c r="J28172">
        <v>2</v>
      </c>
    </row>
    <row r="28173" spans="1:10" x14ac:dyDescent="0.25">
      <c r="A28173" t="s">
        <v>317</v>
      </c>
      <c r="B28173" s="1" t="str">
        <f>HYPERLINK("http://a4wp.org","a4wp.org")</f>
        <v>a4wp.org</v>
      </c>
      <c r="C28173" t="s">
        <v>481</v>
      </c>
      <c r="F28173">
        <v>2.40333572583913E-8</v>
      </c>
      <c r="G28173">
        <v>2159717</v>
      </c>
      <c r="H28173">
        <v>14137178</v>
      </c>
      <c r="I28173">
        <v>1956089</v>
      </c>
      <c r="J28173">
        <v>3</v>
      </c>
    </row>
    <row r="28174" spans="1:10" x14ac:dyDescent="0.25">
      <c r="A28174" t="s">
        <v>317</v>
      </c>
      <c r="B28174" s="1" t="str">
        <f>HYPERLINK("http://epcos.com.sg","epcos.com.sg")</f>
        <v>epcos.com.sg</v>
      </c>
      <c r="C28174" t="s">
        <v>496</v>
      </c>
      <c r="D28174" t="s">
        <v>870</v>
      </c>
      <c r="F28174">
        <v>4.4594965496364499E-9</v>
      </c>
      <c r="G28174">
        <v>67911165</v>
      </c>
      <c r="H28174">
        <v>10347919</v>
      </c>
      <c r="I28174">
        <v>56600747</v>
      </c>
      <c r="J28174">
        <v>5</v>
      </c>
    </row>
    <row r="28175" spans="1:10" x14ac:dyDescent="0.25">
      <c r="A28175" t="s">
        <v>318</v>
      </c>
      <c r="B28175" s="1" t="str">
        <f>HYPERLINK("http://icg.aero","icg.aero")</f>
        <v>icg.aero</v>
      </c>
      <c r="C28175" t="s">
        <v>601</v>
      </c>
      <c r="F28175">
        <v>6.1272698240179997E-9</v>
      </c>
      <c r="G28175">
        <v>15940036</v>
      </c>
      <c r="H28175">
        <v>12358159</v>
      </c>
      <c r="I28175">
        <v>19621536</v>
      </c>
      <c r="J28175">
        <v>7</v>
      </c>
    </row>
    <row r="28176" spans="1:10" x14ac:dyDescent="0.25">
      <c r="A28176" t="s">
        <v>318</v>
      </c>
      <c r="B28176" s="1" t="str">
        <f>HYPERLINK("http://raytheon.com.au","raytheon.com.au")</f>
        <v>raytheon.com.au</v>
      </c>
      <c r="C28176" t="s">
        <v>420</v>
      </c>
      <c r="D28176" t="s">
        <v>802</v>
      </c>
      <c r="F28176">
        <v>1.99797065123132E-8</v>
      </c>
      <c r="G28176">
        <v>2662328</v>
      </c>
      <c r="H28176">
        <v>14239815</v>
      </c>
      <c r="I28176">
        <v>1507696</v>
      </c>
      <c r="J28176">
        <v>4</v>
      </c>
    </row>
    <row r="28177" spans="1:10" x14ac:dyDescent="0.25">
      <c r="A28177" t="s">
        <v>318</v>
      </c>
      <c r="B28177" s="1" t="str">
        <f>HYPERLINK("http://raytheonaustralia.com.au","raytheonaustralia.com.au")</f>
        <v>raytheonaustralia.com.au</v>
      </c>
      <c r="C28177" t="s">
        <v>420</v>
      </c>
      <c r="D28177" t="s">
        <v>802</v>
      </c>
      <c r="F28177">
        <v>8.2178676519968896E-8</v>
      </c>
      <c r="G28177">
        <v>507751</v>
      </c>
      <c r="H28177">
        <v>12699065</v>
      </c>
      <c r="I28177">
        <v>15364962</v>
      </c>
      <c r="J28177">
        <v>4</v>
      </c>
    </row>
    <row r="28178" spans="1:10" x14ac:dyDescent="0.25">
      <c r="A28178" t="s">
        <v>318</v>
      </c>
      <c r="B28178" s="1" t="str">
        <f>HYPERLINK("http://pwc.ca","pwc.ca")</f>
        <v>pwc.ca</v>
      </c>
      <c r="C28178" t="s">
        <v>428</v>
      </c>
      <c r="D28178" t="s">
        <v>809</v>
      </c>
      <c r="E28178">
        <v>127571</v>
      </c>
      <c r="F28178">
        <v>1.68070937250325E-7</v>
      </c>
      <c r="G28178">
        <v>230862</v>
      </c>
      <c r="H28178">
        <v>14894259</v>
      </c>
      <c r="I28178">
        <v>465378</v>
      </c>
      <c r="J28178">
        <v>4</v>
      </c>
    </row>
    <row r="28179" spans="1:10" x14ac:dyDescent="0.25">
      <c r="A28179" t="s">
        <v>318</v>
      </c>
      <c r="B28179" s="1" t="str">
        <f>HYPERLINK("http://aerospacelighting.com","aerospacelighting.com")</f>
        <v>aerospacelighting.com</v>
      </c>
      <c r="C28179" t="s">
        <v>433</v>
      </c>
      <c r="J28179">
        <v>5</v>
      </c>
    </row>
    <row r="28180" spans="1:10" x14ac:dyDescent="0.25">
      <c r="A28180" t="s">
        <v>318</v>
      </c>
      <c r="B28180" s="1" t="str">
        <f>HYPERLINK("http://appsig.com","appsig.com")</f>
        <v>appsig.com</v>
      </c>
      <c r="C28180" t="s">
        <v>433</v>
      </c>
      <c r="E28180">
        <v>607035</v>
      </c>
      <c r="F28180">
        <v>1.1123150366158701E-8</v>
      </c>
      <c r="G28180">
        <v>5768540</v>
      </c>
      <c r="H28180">
        <v>14255111</v>
      </c>
      <c r="I28180">
        <v>1433993</v>
      </c>
      <c r="J28180">
        <v>7</v>
      </c>
    </row>
    <row r="28181" spans="1:10" x14ac:dyDescent="0.25">
      <c r="A28181" t="s">
        <v>318</v>
      </c>
      <c r="B28181" s="1" t="str">
        <f>HYPERLINK("http://arinc.com","arinc.com")</f>
        <v>arinc.com</v>
      </c>
      <c r="C28181" t="s">
        <v>433</v>
      </c>
      <c r="E28181">
        <v>121987</v>
      </c>
      <c r="F28181">
        <v>1.12063864237766E-7</v>
      </c>
      <c r="G28181">
        <v>356499</v>
      </c>
      <c r="H28181">
        <v>14926987</v>
      </c>
      <c r="I28181">
        <v>448986</v>
      </c>
      <c r="J28181">
        <v>7</v>
      </c>
    </row>
    <row r="28182" spans="1:10" x14ac:dyDescent="0.25">
      <c r="A28182" t="s">
        <v>318</v>
      </c>
      <c r="B28182" s="1" t="str">
        <f>HYPERLINK("http://arincdirect.com","arincdirect.com")</f>
        <v>arincdirect.com</v>
      </c>
      <c r="C28182" t="s">
        <v>433</v>
      </c>
      <c r="F28182">
        <v>4.2544187641217398E-8</v>
      </c>
      <c r="G28182">
        <v>1138114</v>
      </c>
      <c r="H28182">
        <v>14042154</v>
      </c>
      <c r="I28182">
        <v>3906497</v>
      </c>
      <c r="J28182">
        <v>4</v>
      </c>
    </row>
    <row r="28183" spans="1:10" x14ac:dyDescent="0.25">
      <c r="A28183" t="s">
        <v>318</v>
      </c>
      <c r="B28183" s="1" t="str">
        <f>HYPERLINK("http://atlanticinertial.com","atlanticinertial.com")</f>
        <v>atlanticinertial.com</v>
      </c>
      <c r="C28183" t="s">
        <v>433</v>
      </c>
      <c r="F28183">
        <v>5.0404104753811802E-9</v>
      </c>
      <c r="G28183">
        <v>28433778</v>
      </c>
      <c r="H28183">
        <v>14071790</v>
      </c>
      <c r="I28183">
        <v>3478355</v>
      </c>
      <c r="J28183">
        <v>4</v>
      </c>
    </row>
    <row r="28184" spans="1:10" x14ac:dyDescent="0.25">
      <c r="A28184" t="s">
        <v>318</v>
      </c>
      <c r="B28184" s="1" t="str">
        <f>HYPERLINK("http://bbn.com","bbn.com")</f>
        <v>bbn.com</v>
      </c>
      <c r="C28184" t="s">
        <v>433</v>
      </c>
      <c r="E28184">
        <v>57150</v>
      </c>
      <c r="F28184">
        <v>5.5262580824303803E-7</v>
      </c>
      <c r="G28184">
        <v>70051</v>
      </c>
      <c r="H28184">
        <v>17379178</v>
      </c>
      <c r="I28184">
        <v>20734</v>
      </c>
      <c r="J28184">
        <v>4</v>
      </c>
    </row>
    <row r="28185" spans="1:10" x14ac:dyDescent="0.25">
      <c r="A28185" t="s">
        <v>318</v>
      </c>
      <c r="B28185" s="1" t="str">
        <f>HYPERLINK("http://beaerospace.com","beaerospace.com")</f>
        <v>beaerospace.com</v>
      </c>
      <c r="C28185" t="s">
        <v>433</v>
      </c>
      <c r="E28185">
        <v>410044</v>
      </c>
      <c r="F28185">
        <v>9.2931125403155804E-8</v>
      </c>
      <c r="G28185">
        <v>437661</v>
      </c>
      <c r="H28185">
        <v>14286100</v>
      </c>
      <c r="I28185">
        <v>1371270</v>
      </c>
      <c r="J28185">
        <v>4</v>
      </c>
    </row>
    <row r="28186" spans="1:10" x14ac:dyDescent="0.25">
      <c r="A28186" t="s">
        <v>318</v>
      </c>
      <c r="B28186" s="1" t="str">
        <f>HYPERLINK("http://beav.com","beav.com")</f>
        <v>beav.com</v>
      </c>
      <c r="C28186" t="s">
        <v>433</v>
      </c>
      <c r="E28186">
        <v>154088</v>
      </c>
      <c r="F28186">
        <v>4.4438099640082497E-9</v>
      </c>
      <c r="G28186">
        <v>79610272</v>
      </c>
      <c r="H28186">
        <v>10351910</v>
      </c>
      <c r="I28186">
        <v>56117099</v>
      </c>
      <c r="J28186">
        <v>4</v>
      </c>
    </row>
    <row r="28187" spans="1:10" x14ac:dyDescent="0.25">
      <c r="A28187" t="s">
        <v>318</v>
      </c>
      <c r="B28187" s="1" t="str">
        <f>HYPERLINK("http://bluecanyontech.com","bluecanyontech.com")</f>
        <v>bluecanyontech.com</v>
      </c>
      <c r="C28187" t="s">
        <v>433</v>
      </c>
      <c r="F28187">
        <v>5.0451010770052802E-8</v>
      </c>
      <c r="G28187">
        <v>910833</v>
      </c>
      <c r="H28187">
        <v>14262948</v>
      </c>
      <c r="I28187">
        <v>1413681</v>
      </c>
      <c r="J28187">
        <v>4</v>
      </c>
    </row>
    <row r="28188" spans="1:10" x14ac:dyDescent="0.25">
      <c r="A28188" t="s">
        <v>318</v>
      </c>
      <c r="B28188" s="1" t="str">
        <f>HYPERLINK("http://claverham.com","claverham.com")</f>
        <v>claverham.com</v>
      </c>
      <c r="C28188" t="s">
        <v>433</v>
      </c>
      <c r="F28188">
        <v>4.5217470999688198E-9</v>
      </c>
      <c r="G28188">
        <v>55990510</v>
      </c>
      <c r="H28188">
        <v>12170149</v>
      </c>
      <c r="I28188">
        <v>24064833</v>
      </c>
      <c r="J28188">
        <v>4</v>
      </c>
    </row>
    <row r="28189" spans="1:10" x14ac:dyDescent="0.25">
      <c r="A28189" t="s">
        <v>318</v>
      </c>
      <c r="B28189" s="1" t="str">
        <f>HYPERLINK("http://collins.com","collins.com")</f>
        <v>collins.com</v>
      </c>
      <c r="C28189" t="s">
        <v>433</v>
      </c>
      <c r="E28189">
        <v>187583</v>
      </c>
      <c r="F28189">
        <v>6.4682015392308601E-8</v>
      </c>
      <c r="G28189">
        <v>667739</v>
      </c>
      <c r="H28189">
        <v>13368043</v>
      </c>
      <c r="I28189">
        <v>10475099</v>
      </c>
      <c r="J28189">
        <v>2</v>
      </c>
    </row>
    <row r="28190" spans="1:10" x14ac:dyDescent="0.25">
      <c r="A28190" t="s">
        <v>318</v>
      </c>
      <c r="B28190" s="1" t="str">
        <f>HYPERLINK("http://collinsaerospace.com","collinsaerospace.com")</f>
        <v>collinsaerospace.com</v>
      </c>
      <c r="C28190" t="s">
        <v>433</v>
      </c>
      <c r="E28190">
        <v>77456</v>
      </c>
      <c r="F28190">
        <v>1.1469663500692201E-6</v>
      </c>
      <c r="G28190">
        <v>33753</v>
      </c>
      <c r="H28190">
        <v>15537117</v>
      </c>
      <c r="I28190">
        <v>374214</v>
      </c>
      <c r="J28190">
        <v>4</v>
      </c>
    </row>
    <row r="28191" spans="1:10" x14ac:dyDescent="0.25">
      <c r="A28191" t="s">
        <v>318</v>
      </c>
      <c r="B28191" s="1" t="str">
        <f>HYPERLINK("http://elcan.com","elcan.com")</f>
        <v>elcan.com</v>
      </c>
      <c r="C28191" t="s">
        <v>433</v>
      </c>
      <c r="F28191">
        <v>1.31267775964791E-8</v>
      </c>
      <c r="G28191">
        <v>4571608</v>
      </c>
      <c r="H28191">
        <v>14577818</v>
      </c>
      <c r="I28191">
        <v>716779</v>
      </c>
      <c r="J28191">
        <v>5</v>
      </c>
    </row>
    <row r="28192" spans="1:10" x14ac:dyDescent="0.25">
      <c r="A28192" t="s">
        <v>318</v>
      </c>
      <c r="B28192" s="1" t="str">
        <f>HYPERLINK("http://emteq.com","emteq.com")</f>
        <v>emteq.com</v>
      </c>
      <c r="C28192" t="s">
        <v>433</v>
      </c>
      <c r="F28192">
        <v>1.486660823296E-8</v>
      </c>
      <c r="G28192">
        <v>3883950</v>
      </c>
      <c r="H28192">
        <v>13970496</v>
      </c>
      <c r="I28192">
        <v>4075738</v>
      </c>
      <c r="J28192">
        <v>4</v>
      </c>
    </row>
    <row r="28193" spans="1:10" x14ac:dyDescent="0.25">
      <c r="A28193" t="s">
        <v>318</v>
      </c>
      <c r="B28193" s="1" t="str">
        <f>HYPERLINK("http://enginealliance.com","enginealliance.com")</f>
        <v>enginealliance.com</v>
      </c>
      <c r="C28193" t="s">
        <v>433</v>
      </c>
      <c r="F28193">
        <v>3.3128972585550101E-8</v>
      </c>
      <c r="G28193">
        <v>1559596</v>
      </c>
      <c r="H28193">
        <v>14238808</v>
      </c>
      <c r="I28193">
        <v>1520745</v>
      </c>
      <c r="J28193">
        <v>5</v>
      </c>
    </row>
    <row r="28194" spans="1:10" x14ac:dyDescent="0.25">
      <c r="A28194" t="s">
        <v>318</v>
      </c>
      <c r="B28194" s="1" t="str">
        <f>HYPERLINK("http://goodrich.com","goodrich.com")</f>
        <v>goodrich.com</v>
      </c>
      <c r="C28194" t="s">
        <v>433</v>
      </c>
      <c r="E28194">
        <v>246755</v>
      </c>
      <c r="F28194">
        <v>6.7953742816013798E-8</v>
      </c>
      <c r="G28194">
        <v>628171</v>
      </c>
      <c r="H28194">
        <v>15114885</v>
      </c>
      <c r="I28194">
        <v>404467</v>
      </c>
      <c r="J28194">
        <v>4</v>
      </c>
    </row>
    <row r="28195" spans="1:10" x14ac:dyDescent="0.25">
      <c r="A28195" t="s">
        <v>318</v>
      </c>
      <c r="B28195" s="1" t="str">
        <f>HYPERLINK("http://hamilton-standard.com","hamilton-standard.com")</f>
        <v>hamilton-standard.com</v>
      </c>
      <c r="C28195" t="s">
        <v>433</v>
      </c>
      <c r="E28195">
        <v>330873</v>
      </c>
      <c r="F28195">
        <v>4.9425369299445697E-9</v>
      </c>
      <c r="G28195">
        <v>31014866</v>
      </c>
      <c r="H28195">
        <v>12331865</v>
      </c>
      <c r="I28195">
        <v>20171715</v>
      </c>
      <c r="J28195">
        <v>4</v>
      </c>
    </row>
    <row r="28196" spans="1:10" x14ac:dyDescent="0.25">
      <c r="A28196" t="s">
        <v>318</v>
      </c>
      <c r="B28196" s="1" t="str">
        <f>HYPERLINK("http://hamiltonsundstrand.com","hamiltonsundstrand.com")</f>
        <v>hamiltonsundstrand.com</v>
      </c>
      <c r="C28196" t="s">
        <v>433</v>
      </c>
      <c r="F28196">
        <v>2.83107012786642E-8</v>
      </c>
      <c r="G28196">
        <v>1817661</v>
      </c>
      <c r="H28196">
        <v>14593604</v>
      </c>
      <c r="I28196">
        <v>692265</v>
      </c>
      <c r="J28196">
        <v>3</v>
      </c>
    </row>
    <row r="28197" spans="1:10" x14ac:dyDescent="0.25">
      <c r="A28197" t="s">
        <v>318</v>
      </c>
      <c r="B28197" s="1" t="str">
        <f>HYPERLINK("http://i-a-e.com","i-a-e.com")</f>
        <v>i-a-e.com</v>
      </c>
      <c r="C28197" t="s">
        <v>433</v>
      </c>
      <c r="F28197">
        <v>1.18783103610217E-8</v>
      </c>
      <c r="G28197">
        <v>5252373</v>
      </c>
      <c r="H28197">
        <v>14575558</v>
      </c>
      <c r="I28197">
        <v>727021</v>
      </c>
      <c r="J28197">
        <v>3</v>
      </c>
    </row>
    <row r="28198" spans="1:10" x14ac:dyDescent="0.25">
      <c r="A28198" t="s">
        <v>318</v>
      </c>
      <c r="B28198" s="1" t="str">
        <f>HYPERLINK("http://kiddegraviner.com","kiddegraviner.com")</f>
        <v>kiddegraviner.com</v>
      </c>
      <c r="C28198" t="s">
        <v>433</v>
      </c>
      <c r="F28198">
        <v>4.4604702535062202E-9</v>
      </c>
      <c r="G28198">
        <v>67605853</v>
      </c>
      <c r="H28198">
        <v>10720125</v>
      </c>
      <c r="I28198">
        <v>41988941</v>
      </c>
      <c r="J28198">
        <v>4</v>
      </c>
    </row>
    <row r="28199" spans="1:10" x14ac:dyDescent="0.25">
      <c r="A28199" t="s">
        <v>318</v>
      </c>
      <c r="B28199" s="1" t="str">
        <f>HYPERLINK("http://kiddetechnologies.com","kiddetechnologies.com")</f>
        <v>kiddetechnologies.com</v>
      </c>
      <c r="C28199" t="s">
        <v>433</v>
      </c>
      <c r="F28199">
        <v>1.1872735195921E-8</v>
      </c>
      <c r="G28199">
        <v>5256515</v>
      </c>
      <c r="H28199">
        <v>11559982</v>
      </c>
      <c r="I28199">
        <v>29961411</v>
      </c>
      <c r="J28199">
        <v>4</v>
      </c>
    </row>
    <row r="28200" spans="1:10" x14ac:dyDescent="0.25">
      <c r="A28200" t="s">
        <v>318</v>
      </c>
      <c r="B28200" s="1" t="str">
        <f>HYPERLINK("http://pikewerks.com","pikewerks.com")</f>
        <v>pikewerks.com</v>
      </c>
      <c r="C28200" t="s">
        <v>433</v>
      </c>
      <c r="F28200">
        <v>7.9947155472176201E-9</v>
      </c>
      <c r="G28200">
        <v>9930272</v>
      </c>
      <c r="H28200">
        <v>13794475</v>
      </c>
      <c r="I28200">
        <v>6315405</v>
      </c>
      <c r="J28200">
        <v>7</v>
      </c>
    </row>
    <row r="28201" spans="1:10" x14ac:dyDescent="0.25">
      <c r="A28201" t="s">
        <v>318</v>
      </c>
      <c r="B28201" s="1" t="str">
        <f>HYPERLINK("http://prattwhitney.com","prattwhitney.com")</f>
        <v>prattwhitney.com</v>
      </c>
      <c r="C28201" t="s">
        <v>433</v>
      </c>
      <c r="E28201">
        <v>110691</v>
      </c>
      <c r="F28201">
        <v>5.3718070234583805E-7</v>
      </c>
      <c r="G28201">
        <v>71833</v>
      </c>
      <c r="H28201">
        <v>14349619</v>
      </c>
      <c r="I28201">
        <v>1309930</v>
      </c>
      <c r="J28201">
        <v>4</v>
      </c>
    </row>
    <row r="28202" spans="1:10" x14ac:dyDescent="0.25">
      <c r="A28202" t="s">
        <v>318</v>
      </c>
      <c r="B28202" s="1" t="str">
        <f>HYPERLINK("http://pwrze.com","pwrze.com")</f>
        <v>pwrze.com</v>
      </c>
      <c r="C28202" t="s">
        <v>433</v>
      </c>
      <c r="F28202">
        <v>1.0294473792967701E-8</v>
      </c>
      <c r="G28202">
        <v>6456078</v>
      </c>
      <c r="H28202">
        <v>14072260</v>
      </c>
      <c r="I28202">
        <v>3126553</v>
      </c>
      <c r="J28202">
        <v>3</v>
      </c>
    </row>
    <row r="28203" spans="1:10" x14ac:dyDescent="0.25">
      <c r="A28203" t="s">
        <v>318</v>
      </c>
      <c r="B28203" s="1" t="str">
        <f>HYPERLINK("http://ratier-figeac.com","ratier-figeac.com")</f>
        <v>ratier-figeac.com</v>
      </c>
      <c r="C28203" t="s">
        <v>433</v>
      </c>
      <c r="F28203">
        <v>2.1405886021883401E-8</v>
      </c>
      <c r="G28203">
        <v>2460908</v>
      </c>
      <c r="H28203">
        <v>14087703</v>
      </c>
      <c r="I28203">
        <v>2762227</v>
      </c>
      <c r="J28203">
        <v>3</v>
      </c>
    </row>
    <row r="28204" spans="1:10" x14ac:dyDescent="0.25">
      <c r="A28204" t="s">
        <v>318</v>
      </c>
      <c r="B28204" s="1" t="str">
        <f>HYPERLINK("http://ray.com","ray.com")</f>
        <v>ray.com</v>
      </c>
      <c r="C28204" t="s">
        <v>433</v>
      </c>
      <c r="E28204">
        <v>6832</v>
      </c>
      <c r="F28204">
        <v>8.4178609457528804E-8</v>
      </c>
      <c r="G28204">
        <v>491346</v>
      </c>
      <c r="H28204">
        <v>13818358</v>
      </c>
      <c r="I28204">
        <v>6152944</v>
      </c>
      <c r="J28204">
        <v>4</v>
      </c>
    </row>
    <row r="28205" spans="1:10" x14ac:dyDescent="0.25">
      <c r="A28205" t="s">
        <v>318</v>
      </c>
      <c r="B28205" s="1" t="str">
        <f>HYPERLINK("http://raytheon.com","raytheon.com")</f>
        <v>raytheon.com</v>
      </c>
      <c r="C28205" t="s">
        <v>433</v>
      </c>
      <c r="E28205">
        <v>6047</v>
      </c>
      <c r="F28205">
        <v>2.4531964008286402E-6</v>
      </c>
      <c r="G28205">
        <v>15201</v>
      </c>
      <c r="H28205">
        <v>17715558</v>
      </c>
      <c r="I28205">
        <v>7005</v>
      </c>
      <c r="J28205">
        <v>3</v>
      </c>
    </row>
    <row r="28206" spans="1:10" x14ac:dyDescent="0.25">
      <c r="A28206" t="s">
        <v>318</v>
      </c>
      <c r="B28206" s="1" t="str">
        <f>HYPERLINK("http://raytheon-anschuetz.com","raytheon-anschuetz.com")</f>
        <v>raytheon-anschuetz.com</v>
      </c>
      <c r="C28206" t="s">
        <v>433</v>
      </c>
      <c r="E28206">
        <v>581620</v>
      </c>
      <c r="F28206">
        <v>4.1640756702881999E-8</v>
      </c>
      <c r="G28206">
        <v>1190179</v>
      </c>
      <c r="H28206">
        <v>14243602</v>
      </c>
      <c r="I28206">
        <v>1476435</v>
      </c>
      <c r="J28206">
        <v>4</v>
      </c>
    </row>
    <row r="28207" spans="1:10" x14ac:dyDescent="0.25">
      <c r="A28207" t="s">
        <v>318</v>
      </c>
      <c r="B28207" s="1" t="str">
        <f>HYPERLINK("http://raytheoncyber.com","raytheoncyber.com")</f>
        <v>raytheoncyber.com</v>
      </c>
      <c r="C28207" t="s">
        <v>433</v>
      </c>
      <c r="F28207">
        <v>9.1175096866679001E-8</v>
      </c>
      <c r="G28207">
        <v>447124</v>
      </c>
      <c r="H28207">
        <v>14020403</v>
      </c>
      <c r="I28207">
        <v>3985202</v>
      </c>
      <c r="J28207">
        <v>7</v>
      </c>
    </row>
    <row r="28208" spans="1:10" x14ac:dyDescent="0.25">
      <c r="A28208" t="s">
        <v>318</v>
      </c>
      <c r="B28208" s="1" t="str">
        <f>HYPERLINK("http://raytheonmissilesanddefense.com","raytheonmissilesanddefense.com")</f>
        <v>raytheonmissilesanddefense.com</v>
      </c>
      <c r="C28208" t="s">
        <v>433</v>
      </c>
      <c r="E28208">
        <v>273226</v>
      </c>
      <c r="F28208">
        <v>2.6534427871764303E-7</v>
      </c>
      <c r="G28208">
        <v>140538</v>
      </c>
      <c r="H28208">
        <v>15013235</v>
      </c>
      <c r="I28208">
        <v>422564</v>
      </c>
      <c r="J28208">
        <v>4</v>
      </c>
    </row>
    <row r="28209" spans="1:10" x14ac:dyDescent="0.25">
      <c r="A28209" t="s">
        <v>318</v>
      </c>
      <c r="B28209" s="1" t="str">
        <f>HYPERLINK("http://rgnext.com","rgnext.com")</f>
        <v>rgnext.com</v>
      </c>
      <c r="C28209" t="s">
        <v>433</v>
      </c>
      <c r="F28209">
        <v>1.5504693324003E-8</v>
      </c>
      <c r="G28209">
        <v>3683343</v>
      </c>
      <c r="H28209">
        <v>12554103</v>
      </c>
      <c r="I28209">
        <v>16783074</v>
      </c>
      <c r="J28209">
        <v>4</v>
      </c>
    </row>
    <row r="28210" spans="1:10" x14ac:dyDescent="0.25">
      <c r="A28210" t="s">
        <v>318</v>
      </c>
      <c r="B28210" s="1" t="str">
        <f>HYPERLINK("http://rockwellcollins.com","rockwellcollins.com")</f>
        <v>rockwellcollins.com</v>
      </c>
      <c r="C28210" t="s">
        <v>433</v>
      </c>
      <c r="E28210">
        <v>20826</v>
      </c>
      <c r="F28210">
        <v>4.4507992450672698E-7</v>
      </c>
      <c r="G28210">
        <v>84787</v>
      </c>
      <c r="H28210">
        <v>15423552</v>
      </c>
      <c r="I28210">
        <v>379192</v>
      </c>
      <c r="J28210">
        <v>3</v>
      </c>
    </row>
    <row r="28211" spans="1:10" x14ac:dyDescent="0.25">
      <c r="A28211" t="s">
        <v>318</v>
      </c>
      <c r="B28211" s="1" t="str">
        <f>HYPERLINK("http://rtx.com","rtx.com")</f>
        <v>rtx.com</v>
      </c>
      <c r="C28211" t="s">
        <v>433</v>
      </c>
      <c r="E28211">
        <v>24626</v>
      </c>
      <c r="F28211">
        <v>1.0801146605858701E-6</v>
      </c>
      <c r="G28211">
        <v>35657</v>
      </c>
      <c r="H28211">
        <v>15239702</v>
      </c>
      <c r="I28211">
        <v>391351</v>
      </c>
      <c r="J28211">
        <v>1</v>
      </c>
    </row>
    <row r="28212" spans="1:10" x14ac:dyDescent="0.25">
      <c r="A28212" t="s">
        <v>318</v>
      </c>
      <c r="B28212" s="1" t="str">
        <f>HYPERLINK("http://seakr.com","seakr.com")</f>
        <v>seakr.com</v>
      </c>
      <c r="C28212" t="s">
        <v>433</v>
      </c>
      <c r="F28212">
        <v>3.1086180582256697E-8</v>
      </c>
      <c r="G28212">
        <v>1658173</v>
      </c>
      <c r="H28212">
        <v>13432535</v>
      </c>
      <c r="I28212">
        <v>10276881</v>
      </c>
      <c r="J28212">
        <v>4</v>
      </c>
    </row>
    <row r="28213" spans="1:10" x14ac:dyDescent="0.25">
      <c r="A28213" t="s">
        <v>318</v>
      </c>
      <c r="B28213" s="1" t="str">
        <f>HYPERLINK("http://solipsys.com","solipsys.com")</f>
        <v>solipsys.com</v>
      </c>
      <c r="C28213" t="s">
        <v>433</v>
      </c>
      <c r="F28213">
        <v>1.2720253685080299E-8</v>
      </c>
      <c r="G28213">
        <v>4769285</v>
      </c>
      <c r="H28213">
        <v>13294780</v>
      </c>
      <c r="I28213">
        <v>10854592</v>
      </c>
      <c r="J28213">
        <v>5</v>
      </c>
    </row>
    <row r="28214" spans="1:10" x14ac:dyDescent="0.25">
      <c r="A28214" t="s">
        <v>318</v>
      </c>
      <c r="B28214" s="1" t="str">
        <f>HYPERLINK("http://spot-coolers.com","spot-coolers.com")</f>
        <v>spot-coolers.com</v>
      </c>
      <c r="C28214" t="s">
        <v>433</v>
      </c>
      <c r="F28214">
        <v>1.44003844723804E-8</v>
      </c>
      <c r="G28214">
        <v>4056925</v>
      </c>
      <c r="H28214">
        <v>13939398</v>
      </c>
      <c r="I28214">
        <v>4394694</v>
      </c>
      <c r="J28214">
        <v>4</v>
      </c>
    </row>
    <row r="28215" spans="1:10" x14ac:dyDescent="0.25">
      <c r="A28215" t="s">
        <v>318</v>
      </c>
      <c r="B28215" s="1" t="str">
        <f>HYPERLINK("http://trustedcs.com","trustedcs.com")</f>
        <v>trustedcs.com</v>
      </c>
      <c r="C28215" t="s">
        <v>433</v>
      </c>
      <c r="F28215">
        <v>5.3756291368687699E-8</v>
      </c>
      <c r="G28215">
        <v>845689</v>
      </c>
      <c r="H28215">
        <v>13539638</v>
      </c>
      <c r="I28215">
        <v>9907021</v>
      </c>
      <c r="J28215">
        <v>7</v>
      </c>
    </row>
    <row r="28216" spans="1:10" x14ac:dyDescent="0.25">
      <c r="A28216" t="s">
        <v>318</v>
      </c>
      <c r="B28216" s="1" t="str">
        <f>HYPERLINK("http://utc.com","utc.com")</f>
        <v>utc.com</v>
      </c>
      <c r="C28216" t="s">
        <v>433</v>
      </c>
      <c r="E28216">
        <v>21295</v>
      </c>
      <c r="F28216">
        <v>8.7307126987399805E-7</v>
      </c>
      <c r="G28216">
        <v>45889</v>
      </c>
      <c r="H28216">
        <v>17401184</v>
      </c>
      <c r="I28216">
        <v>19098</v>
      </c>
      <c r="J28216">
        <v>3</v>
      </c>
    </row>
    <row r="28217" spans="1:10" x14ac:dyDescent="0.25">
      <c r="A28217" t="s">
        <v>318</v>
      </c>
      <c r="B28217" s="1" t="str">
        <f>HYPERLINK("http://utcaerospacesystems.com","utcaerospacesystems.com")</f>
        <v>utcaerospacesystems.com</v>
      </c>
      <c r="C28217" t="s">
        <v>433</v>
      </c>
      <c r="E28217">
        <v>511527</v>
      </c>
      <c r="F28217">
        <v>3.4250154469445801E-7</v>
      </c>
      <c r="G28217">
        <v>109020</v>
      </c>
      <c r="H28217">
        <v>14896843</v>
      </c>
      <c r="I28217">
        <v>464273</v>
      </c>
      <c r="J28217">
        <v>5</v>
      </c>
    </row>
    <row r="28218" spans="1:10" x14ac:dyDescent="0.25">
      <c r="A28218" t="s">
        <v>318</v>
      </c>
      <c r="B28218" s="1" t="str">
        <f>HYPERLINK("http://winslowliferaft.com","winslowliferaft.com")</f>
        <v>winslowliferaft.com</v>
      </c>
      <c r="C28218" t="s">
        <v>433</v>
      </c>
      <c r="F28218">
        <v>1.81314104856447E-8</v>
      </c>
      <c r="G28218">
        <v>3003537</v>
      </c>
      <c r="H28218">
        <v>13775414</v>
      </c>
      <c r="I28218">
        <v>6582374</v>
      </c>
      <c r="J28218">
        <v>4</v>
      </c>
    </row>
    <row r="28219" spans="1:10" x14ac:dyDescent="0.25">
      <c r="A28219" t="s">
        <v>318</v>
      </c>
      <c r="B28219" s="1" t="str">
        <f>HYPERLINK("http://hs-elsys.de","hs-elsys.de")</f>
        <v>hs-elsys.de</v>
      </c>
      <c r="C28219" t="s">
        <v>436</v>
      </c>
      <c r="D28219" t="s">
        <v>815</v>
      </c>
      <c r="F28219">
        <v>1.13858401445997E-8</v>
      </c>
      <c r="G28219">
        <v>5583744</v>
      </c>
      <c r="H28219">
        <v>13717988</v>
      </c>
      <c r="I28219">
        <v>9487210</v>
      </c>
      <c r="J28219">
        <v>4</v>
      </c>
    </row>
    <row r="28220" spans="1:10" x14ac:dyDescent="0.25">
      <c r="A28220" t="s">
        <v>318</v>
      </c>
      <c r="B28220" s="1" t="str">
        <f>HYPERLINK("http://nord-micro.de","nord-micro.de")</f>
        <v>nord-micro.de</v>
      </c>
      <c r="C28220" t="s">
        <v>436</v>
      </c>
      <c r="D28220" t="s">
        <v>815</v>
      </c>
      <c r="F28220">
        <v>1.25067841339915E-8</v>
      </c>
      <c r="G28220">
        <v>4881895</v>
      </c>
      <c r="H28220">
        <v>13717969</v>
      </c>
      <c r="I28220">
        <v>9487568</v>
      </c>
      <c r="J28220">
        <v>4</v>
      </c>
    </row>
    <row r="28221" spans="1:10" x14ac:dyDescent="0.25">
      <c r="A28221" t="s">
        <v>318</v>
      </c>
      <c r="B28221" s="1" t="str">
        <f>HYPERLINK("http://raytheon-marine.de","raytheon-marine.de")</f>
        <v>raytheon-marine.de</v>
      </c>
      <c r="C28221" t="s">
        <v>436</v>
      </c>
      <c r="D28221" t="s">
        <v>815</v>
      </c>
      <c r="F28221">
        <v>5.0788130453461002E-9</v>
      </c>
      <c r="G28221">
        <v>27537050</v>
      </c>
      <c r="H28221">
        <v>12336457</v>
      </c>
      <c r="I28221">
        <v>20077997</v>
      </c>
      <c r="J28221">
        <v>4</v>
      </c>
    </row>
    <row r="28222" spans="1:10" x14ac:dyDescent="0.25">
      <c r="A28222" t="s">
        <v>318</v>
      </c>
      <c r="B28222" s="1" t="str">
        <f>HYPERLINK("http://inventum.eu","inventum.eu")</f>
        <v>inventum.eu</v>
      </c>
      <c r="C28222" t="s">
        <v>444</v>
      </c>
      <c r="E28222">
        <v>955600</v>
      </c>
      <c r="F28222">
        <v>8.2497024552873501E-8</v>
      </c>
      <c r="G28222">
        <v>505722</v>
      </c>
      <c r="H28222">
        <v>14391024</v>
      </c>
      <c r="I28222">
        <v>1167224</v>
      </c>
      <c r="J28222">
        <v>5</v>
      </c>
    </row>
    <row r="28223" spans="1:10" x14ac:dyDescent="0.25">
      <c r="A28223" t="s">
        <v>318</v>
      </c>
      <c r="B28223" s="1" t="str">
        <f>HYPERLINK("http://pwai.ie","pwai.ie")</f>
        <v>pwai.ie</v>
      </c>
      <c r="C28223" t="s">
        <v>455</v>
      </c>
      <c r="D28223" t="s">
        <v>832</v>
      </c>
      <c r="F28223">
        <v>4.5382824527958801E-9</v>
      </c>
      <c r="G28223">
        <v>53529535</v>
      </c>
      <c r="H28223">
        <v>13763633</v>
      </c>
      <c r="I28223">
        <v>9153805</v>
      </c>
      <c r="J28223">
        <v>4</v>
      </c>
    </row>
    <row r="28224" spans="1:10" x14ac:dyDescent="0.25">
      <c r="A28224" t="s">
        <v>318</v>
      </c>
      <c r="B28224" s="1" t="str">
        <f>HYPERLINK("http://btl.co.il","btl.co.il")</f>
        <v>btl.co.il</v>
      </c>
      <c r="C28224" t="s">
        <v>456</v>
      </c>
      <c r="D28224" t="s">
        <v>833</v>
      </c>
      <c r="F28224">
        <v>1.37546449104188E-8</v>
      </c>
      <c r="G28224">
        <v>4299373</v>
      </c>
      <c r="H28224">
        <v>12224006</v>
      </c>
      <c r="I28224">
        <v>22679535</v>
      </c>
      <c r="J28224">
        <v>4</v>
      </c>
    </row>
    <row r="28225" spans="1:10" x14ac:dyDescent="0.25">
      <c r="A28225" t="s">
        <v>318</v>
      </c>
      <c r="B28225" s="1" t="str">
        <f>HYPERLINK("http://datalinksolutions.net","datalinksolutions.net")</f>
        <v>datalinksolutions.net</v>
      </c>
      <c r="C28225" t="s">
        <v>474</v>
      </c>
      <c r="F28225">
        <v>1.4257763437392E-8</v>
      </c>
      <c r="G28225">
        <v>4108372</v>
      </c>
      <c r="H28225">
        <v>14417611</v>
      </c>
      <c r="I28225">
        <v>1097396</v>
      </c>
      <c r="J28225">
        <v>4</v>
      </c>
    </row>
    <row r="28226" spans="1:10" x14ac:dyDescent="0.25">
      <c r="A28226" t="s">
        <v>318</v>
      </c>
      <c r="B28226" s="1" t="str">
        <f>HYPERLINK("http://microtecnica.net","microtecnica.net")</f>
        <v>microtecnica.net</v>
      </c>
      <c r="C28226" t="s">
        <v>474</v>
      </c>
      <c r="F28226">
        <v>1.1018596032328699E-8</v>
      </c>
      <c r="G28226">
        <v>5845758</v>
      </c>
      <c r="H28226">
        <v>13717813</v>
      </c>
      <c r="I28226">
        <v>9491862</v>
      </c>
      <c r="J28226">
        <v>4</v>
      </c>
    </row>
    <row r="28227" spans="1:10" x14ac:dyDescent="0.25">
      <c r="A28227" t="s">
        <v>318</v>
      </c>
      <c r="B28227" s="1" t="str">
        <f>HYPERLINK("http://pwk.com.pl","pwk.com.pl")</f>
        <v>pwk.com.pl</v>
      </c>
      <c r="C28227" t="s">
        <v>486</v>
      </c>
      <c r="D28227" t="s">
        <v>860</v>
      </c>
      <c r="F28227">
        <v>1.05671681820505E-8</v>
      </c>
      <c r="G28227">
        <v>6211729</v>
      </c>
      <c r="H28227">
        <v>14374999</v>
      </c>
      <c r="I28227">
        <v>1231168</v>
      </c>
      <c r="J28227">
        <v>4</v>
      </c>
    </row>
    <row r="28228" spans="1:10" x14ac:dyDescent="0.25">
      <c r="A28228" t="s">
        <v>318</v>
      </c>
      <c r="B28228" s="1" t="str">
        <f>HYPERLINK("http://dolinalotnicza.pl","dolinalotnicza.pl")</f>
        <v>dolinalotnicza.pl</v>
      </c>
      <c r="C28228" t="s">
        <v>486</v>
      </c>
      <c r="D28228" t="s">
        <v>860</v>
      </c>
      <c r="F28228">
        <v>3.3842198022913899E-8</v>
      </c>
      <c r="G28228">
        <v>1529186</v>
      </c>
      <c r="H28228">
        <v>14444235</v>
      </c>
      <c r="I28228">
        <v>1058755</v>
      </c>
      <c r="J28228">
        <v>4</v>
      </c>
    </row>
    <row r="28229" spans="1:10" x14ac:dyDescent="0.25">
      <c r="A28229" t="s">
        <v>318</v>
      </c>
      <c r="B28229" s="1" t="str">
        <f>HYPERLINK("http://delavan.co.uk","delavan.co.uk")</f>
        <v>delavan.co.uk</v>
      </c>
      <c r="C28229" t="s">
        <v>506</v>
      </c>
      <c r="D28229" t="s">
        <v>880</v>
      </c>
      <c r="F28229">
        <v>4.7664180344352803E-9</v>
      </c>
      <c r="G28229">
        <v>37530160</v>
      </c>
      <c r="H28229">
        <v>11973938</v>
      </c>
      <c r="I28229">
        <v>28654363</v>
      </c>
      <c r="J28229">
        <v>4</v>
      </c>
    </row>
    <row r="28230" spans="1:10" x14ac:dyDescent="0.25">
      <c r="A28230" t="s">
        <v>318</v>
      </c>
      <c r="B28230" s="1" t="str">
        <f>HYPERLINK("http://hsmarston.co.uk","hsmarston.co.uk")</f>
        <v>hsmarston.co.uk</v>
      </c>
      <c r="C28230" t="s">
        <v>506</v>
      </c>
      <c r="D28230" t="s">
        <v>880</v>
      </c>
      <c r="F28230">
        <v>1.24498855584866E-8</v>
      </c>
      <c r="G28230">
        <v>4912352</v>
      </c>
      <c r="H28230">
        <v>13722367</v>
      </c>
      <c r="I28230">
        <v>9469532</v>
      </c>
      <c r="J28230">
        <v>4</v>
      </c>
    </row>
    <row r="28231" spans="1:10" x14ac:dyDescent="0.25">
      <c r="A28231" t="s">
        <v>318</v>
      </c>
      <c r="B28231" s="1" t="str">
        <f>HYPERLINK("http://norss.co.uk","norss.co.uk")</f>
        <v>norss.co.uk</v>
      </c>
      <c r="C28231" t="s">
        <v>506</v>
      </c>
      <c r="D28231" t="s">
        <v>880</v>
      </c>
      <c r="F28231">
        <v>5.6040437221960202E-9</v>
      </c>
      <c r="G28231">
        <v>19819437</v>
      </c>
      <c r="H28231">
        <v>11154193</v>
      </c>
      <c r="I28231">
        <v>31683293</v>
      </c>
      <c r="J28231">
        <v>5</v>
      </c>
    </row>
    <row r="28232" spans="1:10" x14ac:dyDescent="0.25">
      <c r="A28232" t="s">
        <v>318</v>
      </c>
      <c r="B28232" s="1" t="str">
        <f>HYPERLINK("http://pageaerospace.co.uk","pageaerospace.co.uk")</f>
        <v>pageaerospace.co.uk</v>
      </c>
      <c r="C28232" t="s">
        <v>506</v>
      </c>
      <c r="D28232" t="s">
        <v>880</v>
      </c>
      <c r="F28232">
        <v>4.9651752568983998E-9</v>
      </c>
      <c r="G28232">
        <v>30371625</v>
      </c>
      <c r="H28232">
        <v>12262600</v>
      </c>
      <c r="I28232">
        <v>21693041</v>
      </c>
      <c r="J28232">
        <v>4</v>
      </c>
    </row>
    <row r="28233" spans="1:10" x14ac:dyDescent="0.25">
      <c r="A28233" t="s">
        <v>318</v>
      </c>
      <c r="B28233" s="1" t="str">
        <f>HYPERLINK("http://raytheon.co.uk","raytheon.co.uk")</f>
        <v>raytheon.co.uk</v>
      </c>
      <c r="C28233" t="s">
        <v>506</v>
      </c>
      <c r="D28233" t="s">
        <v>880</v>
      </c>
      <c r="E28233">
        <v>983720</v>
      </c>
      <c r="F28233">
        <v>1.01564816273739E-7</v>
      </c>
      <c r="G28233">
        <v>395787</v>
      </c>
      <c r="H28233">
        <v>14498688</v>
      </c>
      <c r="I28233">
        <v>860423</v>
      </c>
      <c r="J28233">
        <v>3</v>
      </c>
    </row>
    <row r="28234" spans="1:10" x14ac:dyDescent="0.25">
      <c r="A28234" t="s">
        <v>318</v>
      </c>
      <c r="B28234" s="1" t="str">
        <f>HYPERLINK("http://unitedtechnologies.co.uk","unitedtechnologies.co.uk")</f>
        <v>unitedtechnologies.co.uk</v>
      </c>
      <c r="C28234" t="s">
        <v>506</v>
      </c>
      <c r="D28234" t="s">
        <v>880</v>
      </c>
      <c r="F28234">
        <v>4.4714852371635399E-9</v>
      </c>
      <c r="G28234">
        <v>64209263</v>
      </c>
      <c r="H28234">
        <v>10899555</v>
      </c>
      <c r="I28234">
        <v>35846369</v>
      </c>
      <c r="J28234">
        <v>4</v>
      </c>
    </row>
    <row r="28235" spans="1:10" x14ac:dyDescent="0.25">
      <c r="A28235" t="s">
        <v>319</v>
      </c>
      <c r="B28235" s="1" t="str">
        <f>HYPERLINK("http://realtyincome.com","realtyincome.com")</f>
        <v>realtyincome.com</v>
      </c>
      <c r="C28235" t="s">
        <v>433</v>
      </c>
      <c r="E28235">
        <v>307424</v>
      </c>
      <c r="F28235">
        <v>9.8147129804126603E-8</v>
      </c>
      <c r="G28235">
        <v>411068</v>
      </c>
      <c r="H28235">
        <v>14672610</v>
      </c>
      <c r="I28235">
        <v>613125</v>
      </c>
      <c r="J28235">
        <v>1</v>
      </c>
    </row>
    <row r="28236" spans="1:10" x14ac:dyDescent="0.25">
      <c r="A28236" t="s">
        <v>320</v>
      </c>
      <c r="B28236" s="1" t="str">
        <f>HYPERLINK("http://finishinfo.com.ar","finishinfo.com.ar")</f>
        <v>finishinfo.com.ar</v>
      </c>
      <c r="C28236" t="s">
        <v>418</v>
      </c>
      <c r="D28236" t="s">
        <v>800</v>
      </c>
      <c r="F28236">
        <v>5.0414710726995399E-9</v>
      </c>
      <c r="G28236">
        <v>28409509</v>
      </c>
      <c r="H28236">
        <v>10533788</v>
      </c>
      <c r="I28236">
        <v>47835946</v>
      </c>
      <c r="J28236">
        <v>7</v>
      </c>
    </row>
    <row r="28237" spans="1:10" x14ac:dyDescent="0.25">
      <c r="A28237" t="s">
        <v>320</v>
      </c>
      <c r="B28237" s="1" t="str">
        <f>HYPERLINK("http://strepsils.com.ar","strepsils.com.ar")</f>
        <v>strepsils.com.ar</v>
      </c>
      <c r="C28237" t="s">
        <v>418</v>
      </c>
      <c r="D28237" t="s">
        <v>800</v>
      </c>
      <c r="F28237">
        <v>7.0822879038196199E-9</v>
      </c>
      <c r="G28237">
        <v>12065168</v>
      </c>
      <c r="H28237">
        <v>10746353</v>
      </c>
      <c r="I28237">
        <v>40196441</v>
      </c>
      <c r="J28237">
        <v>7</v>
      </c>
    </row>
    <row r="28238" spans="1:10" x14ac:dyDescent="0.25">
      <c r="A28238" t="s">
        <v>320</v>
      </c>
      <c r="B28238" s="1" t="str">
        <f>HYPERLINK("http://vanish.com.ar","vanish.com.ar")</f>
        <v>vanish.com.ar</v>
      </c>
      <c r="C28238" t="s">
        <v>418</v>
      </c>
      <c r="D28238" t="s">
        <v>800</v>
      </c>
      <c r="F28238">
        <v>7.7800485897709503E-9</v>
      </c>
      <c r="G28238">
        <v>10368133</v>
      </c>
      <c r="H28238">
        <v>10748077</v>
      </c>
      <c r="I28238">
        <v>40142792</v>
      </c>
      <c r="J28238">
        <v>6</v>
      </c>
    </row>
    <row r="28239" spans="1:10" x14ac:dyDescent="0.25">
      <c r="A28239" t="s">
        <v>320</v>
      </c>
      <c r="B28239" s="1" t="str">
        <f>HYPERLINK("http://veet.com.ar","veet.com.ar")</f>
        <v>veet.com.ar</v>
      </c>
      <c r="C28239" t="s">
        <v>418</v>
      </c>
      <c r="D28239" t="s">
        <v>800</v>
      </c>
      <c r="F28239">
        <v>7.7187487142649998E-9</v>
      </c>
      <c r="G28239">
        <v>10532364</v>
      </c>
      <c r="H28239">
        <v>11099971</v>
      </c>
      <c r="I28239">
        <v>32270782</v>
      </c>
      <c r="J28239">
        <v>7</v>
      </c>
    </row>
    <row r="28240" spans="1:10" x14ac:dyDescent="0.25">
      <c r="A28240" t="s">
        <v>320</v>
      </c>
      <c r="B28240" s="1" t="str">
        <f>HYPERLINK("http://airwick.at","airwick.at")</f>
        <v>airwick.at</v>
      </c>
      <c r="C28240" t="s">
        <v>419</v>
      </c>
      <c r="D28240" t="s">
        <v>801</v>
      </c>
      <c r="F28240">
        <v>7.23304587372587E-9</v>
      </c>
      <c r="G28240">
        <v>11649416</v>
      </c>
      <c r="H28240">
        <v>12177504</v>
      </c>
      <c r="I28240">
        <v>23874439</v>
      </c>
      <c r="J28240">
        <v>4</v>
      </c>
    </row>
    <row r="28241" spans="1:10" x14ac:dyDescent="0.25">
      <c r="A28241" t="s">
        <v>320</v>
      </c>
      <c r="B28241" s="1" t="str">
        <f>HYPERLINK("http://cillitbang.at","cillitbang.at")</f>
        <v>cillitbang.at</v>
      </c>
      <c r="C28241" t="s">
        <v>419</v>
      </c>
      <c r="D28241" t="s">
        <v>801</v>
      </c>
      <c r="F28241">
        <v>6.0313827551538596E-9</v>
      </c>
      <c r="G28241">
        <v>16491961</v>
      </c>
      <c r="H28241">
        <v>12098090</v>
      </c>
      <c r="I28241">
        <v>26022766</v>
      </c>
      <c r="J28241">
        <v>7</v>
      </c>
    </row>
    <row r="28242" spans="1:10" x14ac:dyDescent="0.25">
      <c r="A28242" t="s">
        <v>320</v>
      </c>
      <c r="B28242" s="1" t="str">
        <f>HYPERLINK("http://strepsils.at","strepsils.at")</f>
        <v>strepsils.at</v>
      </c>
      <c r="C28242" t="s">
        <v>419</v>
      </c>
      <c r="D28242" t="s">
        <v>801</v>
      </c>
      <c r="F28242">
        <v>7.4328424380243997E-9</v>
      </c>
      <c r="G28242">
        <v>11166119</v>
      </c>
      <c r="H28242">
        <v>11030408</v>
      </c>
      <c r="I28242">
        <v>33099077</v>
      </c>
      <c r="J28242">
        <v>7</v>
      </c>
    </row>
    <row r="28243" spans="1:10" x14ac:dyDescent="0.25">
      <c r="A28243" t="s">
        <v>320</v>
      </c>
      <c r="B28243" s="1" t="str">
        <f>HYPERLINK("http://vanish.at","vanish.at")</f>
        <v>vanish.at</v>
      </c>
      <c r="C28243" t="s">
        <v>419</v>
      </c>
      <c r="D28243" t="s">
        <v>801</v>
      </c>
      <c r="F28243">
        <v>7.91084204575061E-9</v>
      </c>
      <c r="G28243">
        <v>10090525</v>
      </c>
      <c r="H28243">
        <v>13763672</v>
      </c>
      <c r="I28243">
        <v>7834864</v>
      </c>
      <c r="J28243">
        <v>6</v>
      </c>
    </row>
    <row r="28244" spans="1:10" x14ac:dyDescent="0.25">
      <c r="A28244" t="s">
        <v>320</v>
      </c>
      <c r="B28244" s="1" t="str">
        <f>HYPERLINK("http://veet.at","veet.at")</f>
        <v>veet.at</v>
      </c>
      <c r="C28244" t="s">
        <v>419</v>
      </c>
      <c r="D28244" t="s">
        <v>801</v>
      </c>
      <c r="F28244">
        <v>7.8387954495793208E-9</v>
      </c>
      <c r="G28244">
        <v>10237540</v>
      </c>
      <c r="H28244">
        <v>11050539</v>
      </c>
      <c r="I28244">
        <v>32792047</v>
      </c>
      <c r="J28244">
        <v>7</v>
      </c>
    </row>
    <row r="28245" spans="1:10" x14ac:dyDescent="0.25">
      <c r="A28245" t="s">
        <v>320</v>
      </c>
      <c r="B28245" s="1" t="str">
        <f>HYPERLINK("http://airwick.com.au","airwick.com.au")</f>
        <v>airwick.com.au</v>
      </c>
      <c r="C28245" t="s">
        <v>420</v>
      </c>
      <c r="D28245" t="s">
        <v>802</v>
      </c>
      <c r="F28245">
        <v>1.02007274228755E-8</v>
      </c>
      <c r="G28245">
        <v>6546350</v>
      </c>
      <c r="H28245">
        <v>14123192</v>
      </c>
      <c r="I28245">
        <v>2184794</v>
      </c>
      <c r="J28245">
        <v>4</v>
      </c>
    </row>
    <row r="28246" spans="1:10" x14ac:dyDescent="0.25">
      <c r="A28246" t="s">
        <v>320</v>
      </c>
      <c r="B28246" s="1" t="str">
        <f>HYPERLINK("http://finishinfo.com.au","finishinfo.com.au")</f>
        <v>finishinfo.com.au</v>
      </c>
      <c r="C28246" t="s">
        <v>420</v>
      </c>
      <c r="D28246" t="s">
        <v>802</v>
      </c>
      <c r="F28246">
        <v>1.1041894148269699E-8</v>
      </c>
      <c r="G28246">
        <v>5828320</v>
      </c>
      <c r="H28246">
        <v>11563246</v>
      </c>
      <c r="I28246">
        <v>29958933</v>
      </c>
      <c r="J28246">
        <v>7</v>
      </c>
    </row>
    <row r="28247" spans="1:10" x14ac:dyDescent="0.25">
      <c r="A28247" t="s">
        <v>320</v>
      </c>
      <c r="B28247" s="1" t="str">
        <f>HYPERLINK("http://optrex.com.au","optrex.com.au")</f>
        <v>optrex.com.au</v>
      </c>
      <c r="C28247" t="s">
        <v>420</v>
      </c>
      <c r="D28247" t="s">
        <v>802</v>
      </c>
      <c r="F28247">
        <v>4.9328883186077101E-9</v>
      </c>
      <c r="G28247">
        <v>31296348</v>
      </c>
      <c r="H28247">
        <v>10861054</v>
      </c>
      <c r="I28247">
        <v>36654635</v>
      </c>
      <c r="J28247">
        <v>7</v>
      </c>
    </row>
    <row r="28248" spans="1:10" x14ac:dyDescent="0.25">
      <c r="A28248" t="s">
        <v>320</v>
      </c>
      <c r="B28248" s="1" t="str">
        <f>HYPERLINK("http://strepsils.com.au","strepsils.com.au")</f>
        <v>strepsils.com.au</v>
      </c>
      <c r="C28248" t="s">
        <v>420</v>
      </c>
      <c r="D28248" t="s">
        <v>802</v>
      </c>
      <c r="F28248">
        <v>1.01945719389966E-8</v>
      </c>
      <c r="G28248">
        <v>6552483</v>
      </c>
      <c r="H28248">
        <v>13764528</v>
      </c>
      <c r="I28248">
        <v>7244038</v>
      </c>
      <c r="J28248">
        <v>7</v>
      </c>
    </row>
    <row r="28249" spans="1:10" x14ac:dyDescent="0.25">
      <c r="A28249" t="s">
        <v>320</v>
      </c>
      <c r="B28249" s="1" t="str">
        <f>HYPERLINK("http://veet.com.au","veet.com.au")</f>
        <v>veet.com.au</v>
      </c>
      <c r="C28249" t="s">
        <v>420</v>
      </c>
      <c r="D28249" t="s">
        <v>802</v>
      </c>
      <c r="F28249">
        <v>1.30025949600371E-8</v>
      </c>
      <c r="G28249">
        <v>4630518</v>
      </c>
      <c r="H28249">
        <v>13776260</v>
      </c>
      <c r="I28249">
        <v>6558777</v>
      </c>
      <c r="J28249">
        <v>8</v>
      </c>
    </row>
    <row r="28250" spans="1:10" x14ac:dyDescent="0.25">
      <c r="A28250" t="s">
        <v>320</v>
      </c>
      <c r="B28250" s="1" t="str">
        <f>HYPERLINK("http://veet.com.bd","veet.com.bd")</f>
        <v>veet.com.bd</v>
      </c>
      <c r="C28250" t="s">
        <v>603</v>
      </c>
      <c r="D28250" t="s">
        <v>934</v>
      </c>
      <c r="F28250">
        <v>8.0419509506521395E-9</v>
      </c>
      <c r="G28250">
        <v>9844539</v>
      </c>
      <c r="H28250">
        <v>10757888</v>
      </c>
      <c r="I28250">
        <v>39706288</v>
      </c>
      <c r="J28250">
        <v>7</v>
      </c>
    </row>
    <row r="28251" spans="1:10" x14ac:dyDescent="0.25">
      <c r="A28251" t="s">
        <v>320</v>
      </c>
      <c r="B28251" s="1" t="str">
        <f>HYPERLINK("http://airwick.be","airwick.be")</f>
        <v>airwick.be</v>
      </c>
      <c r="C28251" t="s">
        <v>421</v>
      </c>
      <c r="D28251" t="s">
        <v>803</v>
      </c>
      <c r="F28251">
        <v>7.0927703329407802E-9</v>
      </c>
      <c r="G28251">
        <v>12034952</v>
      </c>
      <c r="H28251">
        <v>10578051</v>
      </c>
      <c r="I28251">
        <v>45866358</v>
      </c>
      <c r="J28251">
        <v>4</v>
      </c>
    </row>
    <row r="28252" spans="1:10" x14ac:dyDescent="0.25">
      <c r="A28252" t="s">
        <v>320</v>
      </c>
      <c r="B28252" s="1" t="str">
        <f>HYPERLINK("http://finishinfo.be","finishinfo.be")</f>
        <v>finishinfo.be</v>
      </c>
      <c r="C28252" t="s">
        <v>421</v>
      </c>
      <c r="D28252" t="s">
        <v>803</v>
      </c>
      <c r="F28252">
        <v>6.7791640666535297E-9</v>
      </c>
      <c r="G28252">
        <v>13030397</v>
      </c>
      <c r="H28252">
        <v>12256897</v>
      </c>
      <c r="I28252">
        <v>21849374</v>
      </c>
      <c r="J28252">
        <v>7</v>
      </c>
    </row>
    <row r="28253" spans="1:10" x14ac:dyDescent="0.25">
      <c r="A28253" t="s">
        <v>320</v>
      </c>
      <c r="B28253" s="1" t="str">
        <f>HYPERLINK("http://vanish.be","vanish.be")</f>
        <v>vanish.be</v>
      </c>
      <c r="C28253" t="s">
        <v>421</v>
      </c>
      <c r="D28253" t="s">
        <v>803</v>
      </c>
      <c r="F28253">
        <v>7.8614860135367606E-9</v>
      </c>
      <c r="G28253">
        <v>10189374</v>
      </c>
      <c r="H28253">
        <v>10807730</v>
      </c>
      <c r="I28253">
        <v>37934711</v>
      </c>
      <c r="J28253">
        <v>6</v>
      </c>
    </row>
    <row r="28254" spans="1:10" x14ac:dyDescent="0.25">
      <c r="A28254" t="s">
        <v>320</v>
      </c>
      <c r="B28254" s="1" t="str">
        <f>HYPERLINK("http://veet.be","veet.be")</f>
        <v>veet.be</v>
      </c>
      <c r="C28254" t="s">
        <v>421</v>
      </c>
      <c r="D28254" t="s">
        <v>803</v>
      </c>
      <c r="F28254">
        <v>8.1955684845744605E-9</v>
      </c>
      <c r="G28254">
        <v>9578492</v>
      </c>
      <c r="H28254">
        <v>11048154</v>
      </c>
      <c r="I28254">
        <v>32821771</v>
      </c>
      <c r="J28254">
        <v>7</v>
      </c>
    </row>
    <row r="28255" spans="1:10" x14ac:dyDescent="0.25">
      <c r="A28255" t="s">
        <v>320</v>
      </c>
      <c r="B28255" s="1" t="str">
        <f>HYPERLINK("http://reckitt.com.br","reckitt.com.br")</f>
        <v>reckitt.com.br</v>
      </c>
      <c r="C28255" t="s">
        <v>425</v>
      </c>
      <c r="D28255" t="s">
        <v>806</v>
      </c>
      <c r="F28255">
        <v>4.4448360081728903E-9</v>
      </c>
      <c r="G28255">
        <v>76010615</v>
      </c>
      <c r="H28255">
        <v>10723365</v>
      </c>
      <c r="I28255">
        <v>41507947</v>
      </c>
      <c r="J28255">
        <v>3</v>
      </c>
    </row>
    <row r="28256" spans="1:10" x14ac:dyDescent="0.25">
      <c r="A28256" t="s">
        <v>320</v>
      </c>
      <c r="B28256" s="1" t="str">
        <f>HYPERLINK("http://strepsils.com.br","strepsils.com.br")</f>
        <v>strepsils.com.br</v>
      </c>
      <c r="C28256" t="s">
        <v>425</v>
      </c>
      <c r="D28256" t="s">
        <v>806</v>
      </c>
      <c r="F28256">
        <v>7.2282203052647004E-9</v>
      </c>
      <c r="G28256">
        <v>11662038</v>
      </c>
      <c r="H28256">
        <v>10870668</v>
      </c>
      <c r="I28256">
        <v>36491149</v>
      </c>
      <c r="J28256">
        <v>7</v>
      </c>
    </row>
    <row r="28257" spans="1:10" x14ac:dyDescent="0.25">
      <c r="A28257" t="s">
        <v>320</v>
      </c>
      <c r="B28257" s="1" t="str">
        <f>HYPERLINK("http://vanish.com.br","vanish.com.br")</f>
        <v>vanish.com.br</v>
      </c>
      <c r="C28257" t="s">
        <v>425</v>
      </c>
      <c r="D28257" t="s">
        <v>806</v>
      </c>
      <c r="F28257">
        <v>8.38719246974992E-9</v>
      </c>
      <c r="G28257">
        <v>9069269</v>
      </c>
      <c r="H28257">
        <v>12829388</v>
      </c>
      <c r="I28257">
        <v>14432829</v>
      </c>
      <c r="J28257">
        <v>6</v>
      </c>
    </row>
    <row r="28258" spans="1:10" x14ac:dyDescent="0.25">
      <c r="A28258" t="s">
        <v>320</v>
      </c>
      <c r="B28258" s="1" t="str">
        <f>HYPERLINK("http://veet.com.br","veet.com.br")</f>
        <v>veet.com.br</v>
      </c>
      <c r="C28258" t="s">
        <v>425</v>
      </c>
      <c r="D28258" t="s">
        <v>806</v>
      </c>
      <c r="F28258">
        <v>8.4464023231825796E-9</v>
      </c>
      <c r="G28258">
        <v>8949906</v>
      </c>
      <c r="H28258">
        <v>14119742</v>
      </c>
      <c r="I28258">
        <v>2467661</v>
      </c>
      <c r="J28258">
        <v>7</v>
      </c>
    </row>
    <row r="28259" spans="1:10" x14ac:dyDescent="0.25">
      <c r="A28259" t="s">
        <v>320</v>
      </c>
      <c r="B28259" s="1" t="str">
        <f>HYPERLINK("http://enfamil.ca","enfamil.ca")</f>
        <v>enfamil.ca</v>
      </c>
      <c r="C28259" t="s">
        <v>428</v>
      </c>
      <c r="D28259" t="s">
        <v>809</v>
      </c>
      <c r="E28259">
        <v>599252</v>
      </c>
      <c r="F28259">
        <v>6.4838362234215599E-8</v>
      </c>
      <c r="G28259">
        <v>665240</v>
      </c>
      <c r="H28259">
        <v>16930088</v>
      </c>
      <c r="I28259">
        <v>118566</v>
      </c>
      <c r="J28259">
        <v>3</v>
      </c>
    </row>
    <row r="28260" spans="1:10" x14ac:dyDescent="0.25">
      <c r="A28260" t="s">
        <v>320</v>
      </c>
      <c r="B28260" s="1" t="str">
        <f>HYPERLINK("http://finishdishwashing.ca","finishdishwashing.ca")</f>
        <v>finishdishwashing.ca</v>
      </c>
      <c r="C28260" t="s">
        <v>428</v>
      </c>
      <c r="D28260" t="s">
        <v>809</v>
      </c>
      <c r="F28260">
        <v>9.18861201124636E-9</v>
      </c>
      <c r="G28260">
        <v>7725157</v>
      </c>
      <c r="H28260">
        <v>13765005</v>
      </c>
      <c r="I28260">
        <v>7159007</v>
      </c>
      <c r="J28260">
        <v>4</v>
      </c>
    </row>
    <row r="28261" spans="1:10" x14ac:dyDescent="0.25">
      <c r="A28261" t="s">
        <v>320</v>
      </c>
      <c r="B28261" s="1" t="str">
        <f>HYPERLINK("http://airwick.ch","airwick.ch")</f>
        <v>airwick.ch</v>
      </c>
      <c r="C28261" t="s">
        <v>429</v>
      </c>
      <c r="D28261" t="s">
        <v>810</v>
      </c>
      <c r="F28261">
        <v>7.0060929275663703E-9</v>
      </c>
      <c r="G28261">
        <v>12293851</v>
      </c>
      <c r="H28261">
        <v>10641660</v>
      </c>
      <c r="I28261">
        <v>43732563</v>
      </c>
      <c r="J28261">
        <v>4</v>
      </c>
    </row>
    <row r="28262" spans="1:10" x14ac:dyDescent="0.25">
      <c r="A28262" t="s">
        <v>320</v>
      </c>
      <c r="B28262" s="1" t="str">
        <f>HYPERLINK("http://cillitbang.ch","cillitbang.ch")</f>
        <v>cillitbang.ch</v>
      </c>
      <c r="C28262" t="s">
        <v>429</v>
      </c>
      <c r="D28262" t="s">
        <v>810</v>
      </c>
      <c r="F28262">
        <v>6.3612667330268499E-9</v>
      </c>
      <c r="G28262">
        <v>14707315</v>
      </c>
      <c r="H28262">
        <v>13765715</v>
      </c>
      <c r="I28262">
        <v>7071491</v>
      </c>
      <c r="J28262">
        <v>7</v>
      </c>
    </row>
    <row r="28263" spans="1:10" x14ac:dyDescent="0.25">
      <c r="A28263" t="s">
        <v>320</v>
      </c>
      <c r="B28263" s="1" t="str">
        <f>HYPERLINK("http://strepsils.ch","strepsils.ch")</f>
        <v>strepsils.ch</v>
      </c>
      <c r="C28263" t="s">
        <v>429</v>
      </c>
      <c r="D28263" t="s">
        <v>810</v>
      </c>
      <c r="F28263">
        <v>7.0634303539678398E-9</v>
      </c>
      <c r="G28263">
        <v>12117253</v>
      </c>
      <c r="H28263">
        <v>12039768</v>
      </c>
      <c r="I28263">
        <v>27465252</v>
      </c>
      <c r="J28263">
        <v>7</v>
      </c>
    </row>
    <row r="28264" spans="1:10" x14ac:dyDescent="0.25">
      <c r="A28264" t="s">
        <v>320</v>
      </c>
      <c r="B28264" s="1" t="str">
        <f>HYPERLINK("http://vanish.ch","vanish.ch")</f>
        <v>vanish.ch</v>
      </c>
      <c r="C28264" t="s">
        <v>429</v>
      </c>
      <c r="D28264" t="s">
        <v>810</v>
      </c>
      <c r="F28264">
        <v>8.3402820009263193E-9</v>
      </c>
      <c r="G28264">
        <v>9166816</v>
      </c>
      <c r="H28264">
        <v>12136177</v>
      </c>
      <c r="I28264">
        <v>24973171</v>
      </c>
      <c r="J28264">
        <v>6</v>
      </c>
    </row>
    <row r="28265" spans="1:10" x14ac:dyDescent="0.25">
      <c r="A28265" t="s">
        <v>320</v>
      </c>
      <c r="B28265" s="1" t="str">
        <f>HYPERLINK("http://veet.ch","veet.ch")</f>
        <v>veet.ch</v>
      </c>
      <c r="C28265" t="s">
        <v>429</v>
      </c>
      <c r="D28265" t="s">
        <v>810</v>
      </c>
      <c r="F28265">
        <v>8.0167681191984108E-9</v>
      </c>
      <c r="G28265">
        <v>9890190</v>
      </c>
      <c r="H28265">
        <v>12072998</v>
      </c>
      <c r="I28265">
        <v>26729617</v>
      </c>
      <c r="J28265">
        <v>7</v>
      </c>
    </row>
    <row r="28266" spans="1:10" x14ac:dyDescent="0.25">
      <c r="A28266" t="s">
        <v>320</v>
      </c>
      <c r="B28266" s="1" t="str">
        <f>HYPERLINK("http://airwick.cl","airwick.cl")</f>
        <v>airwick.cl</v>
      </c>
      <c r="C28266" t="s">
        <v>430</v>
      </c>
      <c r="D28266" t="s">
        <v>811</v>
      </c>
      <c r="F28266">
        <v>7.0196091098230697E-9</v>
      </c>
      <c r="G28266">
        <v>12254330</v>
      </c>
      <c r="H28266">
        <v>10639120</v>
      </c>
      <c r="I28266">
        <v>43786520</v>
      </c>
      <c r="J28266">
        <v>4</v>
      </c>
    </row>
    <row r="28267" spans="1:10" x14ac:dyDescent="0.25">
      <c r="A28267" t="s">
        <v>320</v>
      </c>
      <c r="B28267" s="1" t="str">
        <f>HYPERLINK("http://finishinfo.cl","finishinfo.cl")</f>
        <v>finishinfo.cl</v>
      </c>
      <c r="C28267" t="s">
        <v>430</v>
      </c>
      <c r="D28267" t="s">
        <v>811</v>
      </c>
      <c r="F28267">
        <v>5.0414710726995399E-9</v>
      </c>
      <c r="G28267">
        <v>28409510</v>
      </c>
      <c r="H28267">
        <v>10533788</v>
      </c>
      <c r="I28267">
        <v>47835951</v>
      </c>
      <c r="J28267">
        <v>7</v>
      </c>
    </row>
    <row r="28268" spans="1:10" x14ac:dyDescent="0.25">
      <c r="A28268" t="s">
        <v>320</v>
      </c>
      <c r="B28268" s="1" t="str">
        <f>HYPERLINK("http://vanish.cl","vanish.cl")</f>
        <v>vanish.cl</v>
      </c>
      <c r="C28268" t="s">
        <v>430</v>
      </c>
      <c r="D28268" t="s">
        <v>811</v>
      </c>
      <c r="F28268">
        <v>7.7449235171904407E-9</v>
      </c>
      <c r="G28268">
        <v>10477189</v>
      </c>
      <c r="H28268">
        <v>10733480</v>
      </c>
      <c r="I28268">
        <v>40761105</v>
      </c>
      <c r="J28268">
        <v>6</v>
      </c>
    </row>
    <row r="28269" spans="1:10" x14ac:dyDescent="0.25">
      <c r="A28269" t="s">
        <v>320</v>
      </c>
      <c r="B28269" s="1" t="str">
        <f>HYPERLINK("http://veet.cl","veet.cl")</f>
        <v>veet.cl</v>
      </c>
      <c r="C28269" t="s">
        <v>430</v>
      </c>
      <c r="D28269" t="s">
        <v>811</v>
      </c>
      <c r="F28269">
        <v>7.9770616538848503E-9</v>
      </c>
      <c r="G28269">
        <v>9963249</v>
      </c>
      <c r="H28269">
        <v>12119473</v>
      </c>
      <c r="I28269">
        <v>25417892</v>
      </c>
      <c r="J28269">
        <v>7</v>
      </c>
    </row>
    <row r="28270" spans="1:10" x14ac:dyDescent="0.25">
      <c r="A28270" t="s">
        <v>320</v>
      </c>
      <c r="B28270" s="1" t="str">
        <f>HYPERLINK("http://guilong.com.cn","guilong.com.cn")</f>
        <v>guilong.com.cn</v>
      </c>
      <c r="C28270" t="s">
        <v>431</v>
      </c>
      <c r="D28270" t="s">
        <v>812</v>
      </c>
      <c r="F28270">
        <v>4.5515839582704898E-9</v>
      </c>
      <c r="G28270">
        <v>52022002</v>
      </c>
      <c r="H28270">
        <v>8290154</v>
      </c>
      <c r="I28270">
        <v>74686636</v>
      </c>
      <c r="J28270">
        <v>3</v>
      </c>
    </row>
    <row r="28271" spans="1:10" x14ac:dyDescent="0.25">
      <c r="A28271" t="s">
        <v>320</v>
      </c>
      <c r="B28271" s="1" t="str">
        <f>HYPERLINK("http://vanish.com.cn","vanish.com.cn")</f>
        <v>vanish.com.cn</v>
      </c>
      <c r="C28271" t="s">
        <v>431</v>
      </c>
      <c r="D28271" t="s">
        <v>812</v>
      </c>
      <c r="F28271">
        <v>1.11389634591333E-8</v>
      </c>
      <c r="G28271">
        <v>5757174</v>
      </c>
      <c r="H28271">
        <v>10742289</v>
      </c>
      <c r="I28271">
        <v>40336578</v>
      </c>
      <c r="J28271">
        <v>6</v>
      </c>
    </row>
    <row r="28272" spans="1:10" x14ac:dyDescent="0.25">
      <c r="A28272" t="s">
        <v>320</v>
      </c>
      <c r="B28272" s="1" t="str">
        <f>HYPERLINK("http://strepsils.com.co","strepsils.com.co")</f>
        <v>strepsils.com.co</v>
      </c>
      <c r="C28272" t="s">
        <v>432</v>
      </c>
      <c r="F28272">
        <v>7.11362191924119E-9</v>
      </c>
      <c r="G28272">
        <v>11976500</v>
      </c>
      <c r="H28272">
        <v>10660667</v>
      </c>
      <c r="I28272">
        <v>43409644</v>
      </c>
      <c r="J28272">
        <v>7</v>
      </c>
    </row>
    <row r="28273" spans="1:10" x14ac:dyDescent="0.25">
      <c r="A28273" t="s">
        <v>320</v>
      </c>
      <c r="B28273" s="1" t="str">
        <f>HYPERLINK("http://vanish.com.co","vanish.com.co")</f>
        <v>vanish.com.co</v>
      </c>
      <c r="C28273" t="s">
        <v>432</v>
      </c>
      <c r="F28273">
        <v>7.8494184805999303E-9</v>
      </c>
      <c r="G28273">
        <v>10215633</v>
      </c>
      <c r="H28273">
        <v>10733481</v>
      </c>
      <c r="I28273">
        <v>40761070</v>
      </c>
      <c r="J28273">
        <v>6</v>
      </c>
    </row>
    <row r="28274" spans="1:10" x14ac:dyDescent="0.25">
      <c r="A28274" t="s">
        <v>320</v>
      </c>
      <c r="B28274" s="1" t="str">
        <f>HYPERLINK("http://veet.com.co","veet.com.co")</f>
        <v>veet.com.co</v>
      </c>
      <c r="C28274" t="s">
        <v>432</v>
      </c>
      <c r="F28274">
        <v>8.2588360034160396E-9</v>
      </c>
      <c r="G28274">
        <v>9355566</v>
      </c>
      <c r="H28274">
        <v>10757887</v>
      </c>
      <c r="I28274">
        <v>39706329</v>
      </c>
      <c r="J28274">
        <v>7</v>
      </c>
    </row>
    <row r="28275" spans="1:10" x14ac:dyDescent="0.25">
      <c r="A28275" t="s">
        <v>320</v>
      </c>
      <c r="B28275" s="1" t="str">
        <f>HYPERLINK("http://airwick.com","airwick.com")</f>
        <v>airwick.com</v>
      </c>
      <c r="C28275" t="s">
        <v>433</v>
      </c>
      <c r="F28275">
        <v>1.53944280818192E-8</v>
      </c>
      <c r="G28275">
        <v>3717332</v>
      </c>
      <c r="H28275">
        <v>14121189</v>
      </c>
      <c r="I28275">
        <v>2270341</v>
      </c>
      <c r="J28275">
        <v>4</v>
      </c>
    </row>
    <row r="28276" spans="1:10" x14ac:dyDescent="0.25">
      <c r="A28276" t="s">
        <v>320</v>
      </c>
      <c r="B28276" s="1" t="str">
        <f>HYPERLINK("http://durex.com","durex.com")</f>
        <v>durex.com</v>
      </c>
      <c r="C28276" t="s">
        <v>433</v>
      </c>
      <c r="E28276">
        <v>263165</v>
      </c>
      <c r="F28276">
        <v>8.9286625057182295E-8</v>
      </c>
      <c r="G28276">
        <v>457617</v>
      </c>
      <c r="H28276">
        <v>14946077</v>
      </c>
      <c r="I28276">
        <v>441801</v>
      </c>
      <c r="J28276">
        <v>5</v>
      </c>
    </row>
    <row r="28277" spans="1:10" x14ac:dyDescent="0.25">
      <c r="A28277" t="s">
        <v>320</v>
      </c>
      <c r="B28277" s="1" t="str">
        <f>HYPERLINK("http://durexcanada.com","durexcanada.com")</f>
        <v>durexcanada.com</v>
      </c>
      <c r="C28277" t="s">
        <v>433</v>
      </c>
      <c r="F28277">
        <v>1.1721159464515499E-8</v>
      </c>
      <c r="G28277">
        <v>5352861</v>
      </c>
      <c r="H28277">
        <v>13942578</v>
      </c>
      <c r="I28277">
        <v>4328335</v>
      </c>
      <c r="J28277">
        <v>6</v>
      </c>
    </row>
    <row r="28278" spans="1:10" x14ac:dyDescent="0.25">
      <c r="A28278" t="s">
        <v>320</v>
      </c>
      <c r="B28278" s="1" t="str">
        <f>HYPERLINK("http://enfamil.com","enfamil.com")</f>
        <v>enfamil.com</v>
      </c>
      <c r="C28278" t="s">
        <v>433</v>
      </c>
      <c r="E28278">
        <v>71502</v>
      </c>
      <c r="F28278">
        <v>3.2303560286495198E-7</v>
      </c>
      <c r="G28278">
        <v>115245</v>
      </c>
      <c r="H28278">
        <v>17171846</v>
      </c>
      <c r="I28278">
        <v>47349</v>
      </c>
      <c r="J28278">
        <v>4</v>
      </c>
    </row>
    <row r="28279" spans="1:10" x14ac:dyDescent="0.25">
      <c r="A28279" t="s">
        <v>320</v>
      </c>
      <c r="B28279" s="1" t="str">
        <f>HYPERLINK("http://esb-recruit.com","esb-recruit.com")</f>
        <v>esb-recruit.com</v>
      </c>
      <c r="C28279" t="s">
        <v>433</v>
      </c>
      <c r="F28279">
        <v>4.4697459378753402E-9</v>
      </c>
      <c r="G28279">
        <v>64629783</v>
      </c>
      <c r="H28279">
        <v>12244955</v>
      </c>
      <c r="I28279">
        <v>22120172</v>
      </c>
      <c r="J28279">
        <v>3</v>
      </c>
    </row>
    <row r="28280" spans="1:10" x14ac:dyDescent="0.25">
      <c r="A28280" t="s">
        <v>320</v>
      </c>
      <c r="B28280" s="1" t="str">
        <f>HYPERLINK("http://meadjohnson.com","meadjohnson.com")</f>
        <v>meadjohnson.com</v>
      </c>
      <c r="C28280" t="s">
        <v>433</v>
      </c>
      <c r="E28280">
        <v>372264</v>
      </c>
      <c r="F28280">
        <v>1.5415268214411199E-7</v>
      </c>
      <c r="G28280">
        <v>251971</v>
      </c>
      <c r="H28280">
        <v>14564718</v>
      </c>
      <c r="I28280">
        <v>741365</v>
      </c>
      <c r="J28280">
        <v>3</v>
      </c>
    </row>
    <row r="28281" spans="1:10" x14ac:dyDescent="0.25">
      <c r="A28281" t="s">
        <v>320</v>
      </c>
      <c r="B28281" s="1" t="str">
        <f>HYPERLINK("http://meadjohnsonasia.com","meadjohnsonasia.com")</f>
        <v>meadjohnsonasia.com</v>
      </c>
      <c r="C28281" t="s">
        <v>433</v>
      </c>
      <c r="F28281">
        <v>5.0333343180013098E-9</v>
      </c>
      <c r="G28281">
        <v>28593261</v>
      </c>
      <c r="H28281">
        <v>14119729</v>
      </c>
      <c r="I28281">
        <v>2570763</v>
      </c>
      <c r="J28281">
        <v>3</v>
      </c>
    </row>
    <row r="28282" spans="1:10" x14ac:dyDescent="0.25">
      <c r="A28282" t="s">
        <v>320</v>
      </c>
      <c r="B28282" s="1" t="str">
        <f>HYPERLINK("http://mjn.com","mjn.com")</f>
        <v>mjn.com</v>
      </c>
      <c r="C28282" t="s">
        <v>433</v>
      </c>
      <c r="E28282">
        <v>432949</v>
      </c>
      <c r="F28282">
        <v>2.1572067824563302E-8</v>
      </c>
      <c r="G28282">
        <v>2440039</v>
      </c>
      <c r="H28282">
        <v>14154863</v>
      </c>
      <c r="I28282">
        <v>1861439</v>
      </c>
      <c r="J28282">
        <v>3</v>
      </c>
    </row>
    <row r="28283" spans="1:10" x14ac:dyDescent="0.25">
      <c r="A28283" t="s">
        <v>320</v>
      </c>
      <c r="B28283" s="1" t="str">
        <f>HYPERLINK("http://rb.com","rb.com")</f>
        <v>rb.com</v>
      </c>
      <c r="C28283" t="s">
        <v>433</v>
      </c>
      <c r="E28283">
        <v>42864</v>
      </c>
      <c r="F28283">
        <v>1.1906856837673E-6</v>
      </c>
      <c r="G28283">
        <v>32724</v>
      </c>
      <c r="H28283">
        <v>15371548</v>
      </c>
      <c r="I28283">
        <v>381633</v>
      </c>
      <c r="J28283">
        <v>1</v>
      </c>
    </row>
    <row r="28284" spans="1:10" x14ac:dyDescent="0.25">
      <c r="A28284" t="s">
        <v>320</v>
      </c>
      <c r="B28284" s="1" t="str">
        <f>HYPERLINK("http://reccol.com","reccol.com")</f>
        <v>reccol.com</v>
      </c>
      <c r="C28284" t="s">
        <v>433</v>
      </c>
      <c r="F28284">
        <v>2.1238055604674202E-8</v>
      </c>
      <c r="G28284">
        <v>2482599</v>
      </c>
      <c r="H28284">
        <v>12891462</v>
      </c>
      <c r="I28284">
        <v>13928047</v>
      </c>
      <c r="J28284">
        <v>3</v>
      </c>
    </row>
    <row r="28285" spans="1:10" x14ac:dyDescent="0.25">
      <c r="A28285" t="s">
        <v>320</v>
      </c>
      <c r="B28285" s="1" t="str">
        <f>HYPERLINK("http://reckitt.com","reckitt.com")</f>
        <v>reckitt.com</v>
      </c>
      <c r="C28285" t="s">
        <v>433</v>
      </c>
      <c r="E28285">
        <v>64366</v>
      </c>
      <c r="F28285">
        <v>1.2268546774439701E-6</v>
      </c>
      <c r="G28285">
        <v>31715</v>
      </c>
      <c r="H28285">
        <v>17406082</v>
      </c>
      <c r="I28285">
        <v>18776</v>
      </c>
      <c r="J28285">
        <v>2</v>
      </c>
    </row>
    <row r="28286" spans="1:10" x14ac:dyDescent="0.25">
      <c r="A28286" t="s">
        <v>320</v>
      </c>
      <c r="B28286" s="1" t="str">
        <f>HYPERLINK("http://reckittbenckiser.com","reckittbenckiser.com")</f>
        <v>reckittbenckiser.com</v>
      </c>
      <c r="C28286" t="s">
        <v>433</v>
      </c>
      <c r="F28286">
        <v>3.1765473443111001E-8</v>
      </c>
      <c r="G28286">
        <v>1625561</v>
      </c>
      <c r="H28286">
        <v>14509940</v>
      </c>
      <c r="I28286">
        <v>824999</v>
      </c>
      <c r="J28286">
        <v>3</v>
      </c>
    </row>
    <row r="28287" spans="1:10" x14ac:dyDescent="0.25">
      <c r="A28287" t="s">
        <v>320</v>
      </c>
      <c r="B28287" s="1" t="str">
        <f>HYPERLINK("http://reckittbenckiserservice.com","reckittbenckiserservice.com")</f>
        <v>reckittbenckiserservice.com</v>
      </c>
      <c r="C28287" t="s">
        <v>433</v>
      </c>
      <c r="J28287">
        <v>3</v>
      </c>
    </row>
    <row r="28288" spans="1:10" x14ac:dyDescent="0.25">
      <c r="A28288" t="s">
        <v>320</v>
      </c>
      <c r="B28288" s="1" t="str">
        <f>HYPERLINK("http://therapearl.com","therapearl.com")</f>
        <v>therapearl.com</v>
      </c>
      <c r="C28288" t="s">
        <v>433</v>
      </c>
      <c r="F28288">
        <v>1.8654877527283698E-8</v>
      </c>
      <c r="G28288">
        <v>2897553</v>
      </c>
      <c r="H28288">
        <v>13835345</v>
      </c>
      <c r="I28288">
        <v>6094076</v>
      </c>
      <c r="J28288">
        <v>3</v>
      </c>
    </row>
    <row r="28289" spans="1:10" x14ac:dyDescent="0.25">
      <c r="A28289" t="s">
        <v>320</v>
      </c>
      <c r="B28289" s="1" t="str">
        <f>HYPERLINK("http://airwick.cz","airwick.cz")</f>
        <v>airwick.cz</v>
      </c>
      <c r="C28289" t="s">
        <v>435</v>
      </c>
      <c r="D28289" t="s">
        <v>814</v>
      </c>
      <c r="F28289">
        <v>7.8797744771734292E-9</v>
      </c>
      <c r="G28289">
        <v>10152058</v>
      </c>
      <c r="H28289">
        <v>10765296</v>
      </c>
      <c r="I28289">
        <v>39430067</v>
      </c>
      <c r="J28289">
        <v>4</v>
      </c>
    </row>
    <row r="28290" spans="1:10" x14ac:dyDescent="0.25">
      <c r="A28290" t="s">
        <v>320</v>
      </c>
      <c r="B28290" s="1" t="str">
        <f>HYPERLINK("http://finishinfo.cz","finishinfo.cz")</f>
        <v>finishinfo.cz</v>
      </c>
      <c r="C28290" t="s">
        <v>435</v>
      </c>
      <c r="D28290" t="s">
        <v>814</v>
      </c>
      <c r="F28290">
        <v>1.2550747022303899E-8</v>
      </c>
      <c r="G28290">
        <v>4858903</v>
      </c>
      <c r="H28290">
        <v>12230030</v>
      </c>
      <c r="I28290">
        <v>22501246</v>
      </c>
      <c r="J28290">
        <v>7</v>
      </c>
    </row>
    <row r="28291" spans="1:10" x14ac:dyDescent="0.25">
      <c r="A28291" t="s">
        <v>320</v>
      </c>
      <c r="B28291" s="1" t="str">
        <f>HYPERLINK("http://strepsils.cz","strepsils.cz")</f>
        <v>strepsils.cz</v>
      </c>
      <c r="C28291" t="s">
        <v>435</v>
      </c>
      <c r="D28291" t="s">
        <v>814</v>
      </c>
      <c r="F28291">
        <v>7.0916423279999397E-9</v>
      </c>
      <c r="G28291">
        <v>12037972</v>
      </c>
      <c r="H28291">
        <v>10660667</v>
      </c>
      <c r="I28291">
        <v>43409650</v>
      </c>
      <c r="J28291">
        <v>7</v>
      </c>
    </row>
    <row r="28292" spans="1:10" x14ac:dyDescent="0.25">
      <c r="A28292" t="s">
        <v>320</v>
      </c>
      <c r="B28292" s="1" t="str">
        <f>HYPERLINK("http://airwick.de","airwick.de")</f>
        <v>airwick.de</v>
      </c>
      <c r="C28292" t="s">
        <v>436</v>
      </c>
      <c r="D28292" t="s">
        <v>815</v>
      </c>
      <c r="F28292">
        <v>8.2015362502110301E-9</v>
      </c>
      <c r="G28292">
        <v>9568545</v>
      </c>
      <c r="H28292">
        <v>13764263</v>
      </c>
      <c r="I28292">
        <v>7315240</v>
      </c>
      <c r="J28292">
        <v>4</v>
      </c>
    </row>
    <row r="28293" spans="1:10" x14ac:dyDescent="0.25">
      <c r="A28293" t="s">
        <v>320</v>
      </c>
      <c r="B28293" s="1" t="str">
        <f>HYPERLINK("http://cillitbang.de","cillitbang.de")</f>
        <v>cillitbang.de</v>
      </c>
      <c r="C28293" t="s">
        <v>436</v>
      </c>
      <c r="D28293" t="s">
        <v>815</v>
      </c>
      <c r="F28293">
        <v>6.4664124765774998E-9</v>
      </c>
      <c r="G28293">
        <v>14221414</v>
      </c>
      <c r="H28293">
        <v>12456280</v>
      </c>
      <c r="I28293">
        <v>17920602</v>
      </c>
      <c r="J28293">
        <v>7</v>
      </c>
    </row>
    <row r="28294" spans="1:10" x14ac:dyDescent="0.25">
      <c r="A28294" t="s">
        <v>320</v>
      </c>
      <c r="B28294" s="1" t="str">
        <f>HYPERLINK("http://kukident.de","kukident.de")</f>
        <v>kukident.de</v>
      </c>
      <c r="C28294" t="s">
        <v>436</v>
      </c>
      <c r="D28294" t="s">
        <v>815</v>
      </c>
      <c r="F28294">
        <v>5.5479684727380098E-9</v>
      </c>
      <c r="G28294">
        <v>20397878</v>
      </c>
      <c r="H28294">
        <v>13763729</v>
      </c>
      <c r="I28294">
        <v>7722872</v>
      </c>
      <c r="J28294">
        <v>3</v>
      </c>
    </row>
    <row r="28295" spans="1:10" x14ac:dyDescent="0.25">
      <c r="A28295" t="s">
        <v>320</v>
      </c>
      <c r="B28295" s="1" t="str">
        <f>HYPERLINK("http://reckittbenckiser.de","reckittbenckiser.de")</f>
        <v>reckittbenckiser.de</v>
      </c>
      <c r="C28295" t="s">
        <v>436</v>
      </c>
      <c r="D28295" t="s">
        <v>815</v>
      </c>
      <c r="F28295">
        <v>6.9752778360114499E-9</v>
      </c>
      <c r="G28295">
        <v>12385593</v>
      </c>
      <c r="H28295">
        <v>12398761</v>
      </c>
      <c r="I28295">
        <v>18872209</v>
      </c>
      <c r="J28295">
        <v>3</v>
      </c>
    </row>
    <row r="28296" spans="1:10" x14ac:dyDescent="0.25">
      <c r="A28296" t="s">
        <v>320</v>
      </c>
      <c r="B28296" s="1" t="str">
        <f>HYPERLINK("http://vanish.de","vanish.de")</f>
        <v>vanish.de</v>
      </c>
      <c r="C28296" t="s">
        <v>436</v>
      </c>
      <c r="D28296" t="s">
        <v>815</v>
      </c>
      <c r="F28296">
        <v>9.3657450358360192E-9</v>
      </c>
      <c r="G28296">
        <v>7488090</v>
      </c>
      <c r="H28296">
        <v>14131600</v>
      </c>
      <c r="I28296">
        <v>2013483</v>
      </c>
      <c r="J28296">
        <v>6</v>
      </c>
    </row>
    <row r="28297" spans="1:10" x14ac:dyDescent="0.25">
      <c r="A28297" t="s">
        <v>320</v>
      </c>
      <c r="B28297" s="1" t="str">
        <f>HYPERLINK("http://veet.de","veet.de")</f>
        <v>veet.de</v>
      </c>
      <c r="C28297" t="s">
        <v>436</v>
      </c>
      <c r="D28297" t="s">
        <v>815</v>
      </c>
      <c r="F28297">
        <v>9.8268944065628596E-9</v>
      </c>
      <c r="G28297">
        <v>6940353</v>
      </c>
      <c r="H28297">
        <v>12289576</v>
      </c>
      <c r="I28297">
        <v>21124725</v>
      </c>
      <c r="J28297">
        <v>7</v>
      </c>
    </row>
    <row r="28298" spans="1:10" x14ac:dyDescent="0.25">
      <c r="A28298" t="s">
        <v>320</v>
      </c>
      <c r="B28298" s="1" t="str">
        <f>HYPERLINK("http://airwick.dk","airwick.dk")</f>
        <v>airwick.dk</v>
      </c>
      <c r="C28298" t="s">
        <v>437</v>
      </c>
      <c r="D28298" t="s">
        <v>816</v>
      </c>
      <c r="F28298">
        <v>6.9392012573254798E-9</v>
      </c>
      <c r="G28298">
        <v>12497390</v>
      </c>
      <c r="H28298">
        <v>10638885</v>
      </c>
      <c r="I28298">
        <v>43791128</v>
      </c>
      <c r="J28298">
        <v>4</v>
      </c>
    </row>
    <row r="28299" spans="1:10" x14ac:dyDescent="0.25">
      <c r="A28299" t="s">
        <v>320</v>
      </c>
      <c r="B28299" s="1" t="str">
        <f>HYPERLINK("http://cillitbang.dk","cillitbang.dk")</f>
        <v>cillitbang.dk</v>
      </c>
      <c r="C28299" t="s">
        <v>437</v>
      </c>
      <c r="D28299" t="s">
        <v>816</v>
      </c>
      <c r="F28299">
        <v>6.4744255259845097E-9</v>
      </c>
      <c r="G28299">
        <v>14186156</v>
      </c>
      <c r="H28299">
        <v>10621226</v>
      </c>
      <c r="I28299">
        <v>44226903</v>
      </c>
      <c r="J28299">
        <v>7</v>
      </c>
    </row>
    <row r="28300" spans="1:10" x14ac:dyDescent="0.25">
      <c r="A28300" t="s">
        <v>320</v>
      </c>
      <c r="B28300" s="1" t="str">
        <f>HYPERLINK("http://strepsils.dk","strepsils.dk")</f>
        <v>strepsils.dk</v>
      </c>
      <c r="C28300" t="s">
        <v>437</v>
      </c>
      <c r="D28300" t="s">
        <v>816</v>
      </c>
      <c r="F28300">
        <v>7.38171268727912E-9</v>
      </c>
      <c r="G28300">
        <v>11285604</v>
      </c>
      <c r="H28300">
        <v>10746542</v>
      </c>
      <c r="I28300">
        <v>40190245</v>
      </c>
      <c r="J28300">
        <v>7</v>
      </c>
    </row>
    <row r="28301" spans="1:10" x14ac:dyDescent="0.25">
      <c r="A28301" t="s">
        <v>320</v>
      </c>
      <c r="B28301" s="1" t="str">
        <f>HYPERLINK("http://vanish.dk","vanish.dk")</f>
        <v>vanish.dk</v>
      </c>
      <c r="C28301" t="s">
        <v>437</v>
      </c>
      <c r="D28301" t="s">
        <v>816</v>
      </c>
      <c r="F28301">
        <v>8.1349270010373999E-9</v>
      </c>
      <c r="G28301">
        <v>9681738</v>
      </c>
      <c r="H28301">
        <v>13763652</v>
      </c>
      <c r="I28301">
        <v>7885647</v>
      </c>
      <c r="J28301">
        <v>6</v>
      </c>
    </row>
    <row r="28302" spans="1:10" x14ac:dyDescent="0.25">
      <c r="A28302" t="s">
        <v>320</v>
      </c>
      <c r="B28302" s="1" t="str">
        <f>HYPERLINK("http://veet.dk","veet.dk")</f>
        <v>veet.dk</v>
      </c>
      <c r="C28302" t="s">
        <v>437</v>
      </c>
      <c r="D28302" t="s">
        <v>816</v>
      </c>
      <c r="F28302">
        <v>8.4633881780588001E-9</v>
      </c>
      <c r="G28302">
        <v>8915931</v>
      </c>
      <c r="H28302">
        <v>12635018</v>
      </c>
      <c r="I28302">
        <v>15916290</v>
      </c>
      <c r="J28302">
        <v>7</v>
      </c>
    </row>
    <row r="28303" spans="1:10" x14ac:dyDescent="0.25">
      <c r="A28303" t="s">
        <v>320</v>
      </c>
      <c r="B28303" s="1" t="str">
        <f>HYPERLINK("http://airwick.es","airwick.es")</f>
        <v>airwick.es</v>
      </c>
      <c r="C28303" t="s">
        <v>443</v>
      </c>
      <c r="D28303" t="s">
        <v>822</v>
      </c>
      <c r="F28303">
        <v>7.4527452745889393E-9</v>
      </c>
      <c r="G28303">
        <v>11119234</v>
      </c>
      <c r="H28303">
        <v>10834186</v>
      </c>
      <c r="I28303">
        <v>37301331</v>
      </c>
      <c r="J28303">
        <v>4</v>
      </c>
    </row>
    <row r="28304" spans="1:10" x14ac:dyDescent="0.25">
      <c r="A28304" t="s">
        <v>320</v>
      </c>
      <c r="B28304" s="1" t="str">
        <f>HYPERLINK("http://cillitbang.es","cillitbang.es")</f>
        <v>cillitbang.es</v>
      </c>
      <c r="C28304" t="s">
        <v>443</v>
      </c>
      <c r="D28304" t="s">
        <v>822</v>
      </c>
      <c r="F28304">
        <v>6.3682541679951797E-9</v>
      </c>
      <c r="G28304">
        <v>14674149</v>
      </c>
      <c r="H28304">
        <v>10808578</v>
      </c>
      <c r="I28304">
        <v>37911902</v>
      </c>
      <c r="J28304">
        <v>7</v>
      </c>
    </row>
    <row r="28305" spans="1:10" x14ac:dyDescent="0.25">
      <c r="A28305" t="s">
        <v>320</v>
      </c>
      <c r="B28305" s="1" t="str">
        <f>HYPERLINK("http://optrex.es","optrex.es")</f>
        <v>optrex.es</v>
      </c>
      <c r="C28305" t="s">
        <v>443</v>
      </c>
      <c r="D28305" t="s">
        <v>822</v>
      </c>
      <c r="F28305">
        <v>5.0198599468570202E-9</v>
      </c>
      <c r="G28305">
        <v>28904698</v>
      </c>
      <c r="H28305">
        <v>10636315</v>
      </c>
      <c r="I28305">
        <v>43842642</v>
      </c>
      <c r="J28305">
        <v>7</v>
      </c>
    </row>
    <row r="28306" spans="1:10" x14ac:dyDescent="0.25">
      <c r="A28306" t="s">
        <v>320</v>
      </c>
      <c r="B28306" s="1" t="str">
        <f>HYPERLINK("http://strepsils.es","strepsils.es")</f>
        <v>strepsils.es</v>
      </c>
      <c r="C28306" t="s">
        <v>443</v>
      </c>
      <c r="D28306" t="s">
        <v>822</v>
      </c>
      <c r="F28306">
        <v>7.5713365896750408E-9</v>
      </c>
      <c r="G28306">
        <v>10861086</v>
      </c>
      <c r="H28306">
        <v>11258931</v>
      </c>
      <c r="I28306">
        <v>30837075</v>
      </c>
      <c r="J28306">
        <v>7</v>
      </c>
    </row>
    <row r="28307" spans="1:10" x14ac:dyDescent="0.25">
      <c r="A28307" t="s">
        <v>320</v>
      </c>
      <c r="B28307" s="1" t="str">
        <f>HYPERLINK("http://vanish.es","vanish.es")</f>
        <v>vanish.es</v>
      </c>
      <c r="C28307" t="s">
        <v>443</v>
      </c>
      <c r="D28307" t="s">
        <v>822</v>
      </c>
      <c r="F28307">
        <v>9.8459293508658504E-9</v>
      </c>
      <c r="G28307">
        <v>6920292</v>
      </c>
      <c r="H28307">
        <v>12197278</v>
      </c>
      <c r="I28307">
        <v>23392010</v>
      </c>
      <c r="J28307">
        <v>6</v>
      </c>
    </row>
    <row r="28308" spans="1:10" x14ac:dyDescent="0.25">
      <c r="A28308" t="s">
        <v>320</v>
      </c>
      <c r="B28308" s="1" t="str">
        <f>HYPERLINK("http://veet.es","veet.es")</f>
        <v>veet.es</v>
      </c>
      <c r="C28308" t="s">
        <v>443</v>
      </c>
      <c r="D28308" t="s">
        <v>822</v>
      </c>
      <c r="F28308">
        <v>1.12137474663141E-8</v>
      </c>
      <c r="G28308">
        <v>5703481</v>
      </c>
      <c r="H28308">
        <v>13782338</v>
      </c>
      <c r="I28308">
        <v>6441384</v>
      </c>
      <c r="J28308">
        <v>7</v>
      </c>
    </row>
    <row r="28309" spans="1:10" x14ac:dyDescent="0.25">
      <c r="A28309" t="s">
        <v>320</v>
      </c>
      <c r="B28309" s="1" t="str">
        <f>HYPERLINK("http://air-wick.fi","air-wick.fi")</f>
        <v>air-wick.fi</v>
      </c>
      <c r="C28309" t="s">
        <v>445</v>
      </c>
      <c r="D28309" t="s">
        <v>823</v>
      </c>
      <c r="J28309">
        <v>6</v>
      </c>
    </row>
    <row r="28310" spans="1:10" x14ac:dyDescent="0.25">
      <c r="A28310" t="s">
        <v>320</v>
      </c>
      <c r="B28310" s="1" t="str">
        <f>HYPERLINK("http://airborne.fi","airborne.fi")</f>
        <v>airborne.fi</v>
      </c>
      <c r="C28310" t="s">
        <v>445</v>
      </c>
      <c r="D28310" t="s">
        <v>823</v>
      </c>
      <c r="J28310">
        <v>8</v>
      </c>
    </row>
    <row r="28311" spans="1:10" x14ac:dyDescent="0.25">
      <c r="A28311" t="s">
        <v>320</v>
      </c>
      <c r="B28311" s="1" t="str">
        <f>HYPERLINK("http://airwick.fi","airwick.fi")</f>
        <v>airwick.fi</v>
      </c>
      <c r="C28311" t="s">
        <v>445</v>
      </c>
      <c r="D28311" t="s">
        <v>823</v>
      </c>
      <c r="F28311">
        <v>7.4280757027930197E-9</v>
      </c>
      <c r="G28311">
        <v>11176705</v>
      </c>
      <c r="H28311">
        <v>10582600</v>
      </c>
      <c r="I28311">
        <v>45764113</v>
      </c>
      <c r="J28311">
        <v>4</v>
      </c>
    </row>
    <row r="28312" spans="1:10" x14ac:dyDescent="0.25">
      <c r="A28312" t="s">
        <v>320</v>
      </c>
      <c r="B28312" s="1" t="str">
        <f>HYPERLINK("http://allerni.fi","allerni.fi")</f>
        <v>allerni.fi</v>
      </c>
      <c r="C28312" t="s">
        <v>445</v>
      </c>
      <c r="D28312" t="s">
        <v>823</v>
      </c>
      <c r="J28312">
        <v>4</v>
      </c>
    </row>
    <row r="28313" spans="1:10" x14ac:dyDescent="0.25">
      <c r="A28313" t="s">
        <v>320</v>
      </c>
      <c r="B28313" s="1" t="str">
        <f>HYPERLINK("http://calgon.fi","calgon.fi")</f>
        <v>calgon.fi</v>
      </c>
      <c r="C28313" t="s">
        <v>445</v>
      </c>
      <c r="D28313" t="s">
        <v>823</v>
      </c>
      <c r="J28313">
        <v>6</v>
      </c>
    </row>
    <row r="28314" spans="1:10" x14ac:dyDescent="0.25">
      <c r="A28314" t="s">
        <v>320</v>
      </c>
      <c r="B28314" s="1" t="str">
        <f>HYPERLINK("http://cillit.fi","cillit.fi")</f>
        <v>cillit.fi</v>
      </c>
      <c r="C28314" t="s">
        <v>445</v>
      </c>
      <c r="D28314" t="s">
        <v>823</v>
      </c>
      <c r="J28314">
        <v>6</v>
      </c>
    </row>
    <row r="28315" spans="1:10" x14ac:dyDescent="0.25">
      <c r="A28315" t="s">
        <v>320</v>
      </c>
      <c r="B28315" s="1" t="str">
        <f>HYPERLINK("http://cillit-bang.fi","cillit-bang.fi")</f>
        <v>cillit-bang.fi</v>
      </c>
      <c r="C28315" t="s">
        <v>445</v>
      </c>
      <c r="D28315" t="s">
        <v>823</v>
      </c>
      <c r="J28315">
        <v>6</v>
      </c>
    </row>
    <row r="28316" spans="1:10" x14ac:dyDescent="0.25">
      <c r="A28316" t="s">
        <v>320</v>
      </c>
      <c r="B28316" s="1" t="str">
        <f>HYPERLINK("http://cillitbang.fi","cillitbang.fi")</f>
        <v>cillitbang.fi</v>
      </c>
      <c r="C28316" t="s">
        <v>445</v>
      </c>
      <c r="D28316" t="s">
        <v>823</v>
      </c>
      <c r="F28316">
        <v>6.3893457513038198E-9</v>
      </c>
      <c r="G28316">
        <v>14572284</v>
      </c>
      <c r="H28316">
        <v>13933067</v>
      </c>
      <c r="I28316">
        <v>4977882</v>
      </c>
      <c r="J28316">
        <v>6</v>
      </c>
    </row>
    <row r="28317" spans="1:10" x14ac:dyDescent="0.25">
      <c r="A28317" t="s">
        <v>320</v>
      </c>
      <c r="B28317" s="1" t="str">
        <f>HYPERLINK("http://clearasil.fi","clearasil.fi")</f>
        <v>clearasil.fi</v>
      </c>
      <c r="C28317" t="s">
        <v>445</v>
      </c>
      <c r="D28317" t="s">
        <v>823</v>
      </c>
      <c r="F28317">
        <v>4.53518709125468E-9</v>
      </c>
      <c r="G28317">
        <v>54325568</v>
      </c>
      <c r="H28317">
        <v>13763633</v>
      </c>
      <c r="I28317">
        <v>9126290</v>
      </c>
      <c r="J28317">
        <v>8</v>
      </c>
    </row>
    <row r="28318" spans="1:10" x14ac:dyDescent="0.25">
      <c r="A28318" t="s">
        <v>320</v>
      </c>
      <c r="B28318" s="1" t="str">
        <f>HYPERLINK("http://dettol.fi","dettol.fi")</f>
        <v>dettol.fi</v>
      </c>
      <c r="C28318" t="s">
        <v>445</v>
      </c>
      <c r="D28318" t="s">
        <v>823</v>
      </c>
      <c r="F28318">
        <v>4.4859339015397297E-9</v>
      </c>
      <c r="G28318">
        <v>61222854</v>
      </c>
      <c r="H28318">
        <v>12161068</v>
      </c>
      <c r="I28318">
        <v>24335944</v>
      </c>
      <c r="J28318">
        <v>6</v>
      </c>
    </row>
    <row r="28319" spans="1:10" x14ac:dyDescent="0.25">
      <c r="A28319" t="s">
        <v>320</v>
      </c>
      <c r="B28319" s="1" t="str">
        <f>HYPERLINK("http://durex.fi","durex.fi")</f>
        <v>durex.fi</v>
      </c>
      <c r="C28319" t="s">
        <v>445</v>
      </c>
      <c r="D28319" t="s">
        <v>823</v>
      </c>
      <c r="F28319">
        <v>5.5039488326485601E-9</v>
      </c>
      <c r="G28319">
        <v>20856706</v>
      </c>
      <c r="H28319">
        <v>10822739</v>
      </c>
      <c r="I28319">
        <v>37559293</v>
      </c>
      <c r="J28319">
        <v>8</v>
      </c>
    </row>
    <row r="28320" spans="1:10" x14ac:dyDescent="0.25">
      <c r="A28320" t="s">
        <v>320</v>
      </c>
      <c r="B28320" s="1" t="str">
        <f>HYPERLINK("http://easy-off-bam.fi","easy-off-bam.fi")</f>
        <v>easy-off-bam.fi</v>
      </c>
      <c r="C28320" t="s">
        <v>445</v>
      </c>
      <c r="D28320" t="s">
        <v>823</v>
      </c>
      <c r="J28320">
        <v>6</v>
      </c>
    </row>
    <row r="28321" spans="1:10" x14ac:dyDescent="0.25">
      <c r="A28321" t="s">
        <v>320</v>
      </c>
      <c r="B28321" s="1" t="str">
        <f>HYPERLINK("http://easyoffbam.fi","easyoffbam.fi")</f>
        <v>easyoffbam.fi</v>
      </c>
      <c r="C28321" t="s">
        <v>445</v>
      </c>
      <c r="D28321" t="s">
        <v>823</v>
      </c>
      <c r="J28321">
        <v>6</v>
      </c>
    </row>
    <row r="28322" spans="1:10" x14ac:dyDescent="0.25">
      <c r="A28322" t="s">
        <v>320</v>
      </c>
      <c r="B28322" s="1" t="str">
        <f>HYPERLINK("http://enfamil.fi","enfamil.fi")</f>
        <v>enfamil.fi</v>
      </c>
      <c r="C28322" t="s">
        <v>445</v>
      </c>
      <c r="D28322" t="s">
        <v>823</v>
      </c>
      <c r="J28322">
        <v>4</v>
      </c>
    </row>
    <row r="28323" spans="1:10" x14ac:dyDescent="0.25">
      <c r="A28323" t="s">
        <v>320</v>
      </c>
      <c r="B28323" s="1" t="str">
        <f>HYPERLINK("http://finish.fi","finish.fi")</f>
        <v>finish.fi</v>
      </c>
      <c r="C28323" t="s">
        <v>445</v>
      </c>
      <c r="D28323" t="s">
        <v>823</v>
      </c>
      <c r="J28323">
        <v>8</v>
      </c>
    </row>
    <row r="28324" spans="1:10" x14ac:dyDescent="0.25">
      <c r="A28324" t="s">
        <v>320</v>
      </c>
      <c r="B28324" s="1" t="str">
        <f>HYPERLINK("http://finishinfo.fi","finishinfo.fi")</f>
        <v>finishinfo.fi</v>
      </c>
      <c r="C28324" t="s">
        <v>445</v>
      </c>
      <c r="D28324" t="s">
        <v>823</v>
      </c>
      <c r="F28324">
        <v>5.1626604303017498E-9</v>
      </c>
      <c r="G28324">
        <v>25852890</v>
      </c>
      <c r="H28324">
        <v>13763639</v>
      </c>
      <c r="I28324">
        <v>7965581</v>
      </c>
      <c r="J28324">
        <v>6</v>
      </c>
    </row>
    <row r="28325" spans="1:10" x14ac:dyDescent="0.25">
      <c r="A28325" t="s">
        <v>320</v>
      </c>
      <c r="B28325" s="1" t="str">
        <f>HYPERLINK("http://galieve.fi","galieve.fi")</f>
        <v>galieve.fi</v>
      </c>
      <c r="C28325" t="s">
        <v>445</v>
      </c>
      <c r="D28325" t="s">
        <v>823</v>
      </c>
      <c r="J28325">
        <v>8</v>
      </c>
    </row>
    <row r="28326" spans="1:10" x14ac:dyDescent="0.25">
      <c r="A28326" t="s">
        <v>320</v>
      </c>
      <c r="B28326" s="1" t="str">
        <f>HYPERLINK("http://gaviscon.fi","gaviscon.fi")</f>
        <v>gaviscon.fi</v>
      </c>
      <c r="C28326" t="s">
        <v>445</v>
      </c>
      <c r="D28326" t="s">
        <v>823</v>
      </c>
      <c r="F28326">
        <v>6.09475757376429E-9</v>
      </c>
      <c r="G28326">
        <v>16122704</v>
      </c>
      <c r="H28326">
        <v>8532153</v>
      </c>
      <c r="I28326">
        <v>71663685</v>
      </c>
      <c r="J28326">
        <v>6</v>
      </c>
    </row>
    <row r="28327" spans="1:10" x14ac:dyDescent="0.25">
      <c r="A28327" t="s">
        <v>320</v>
      </c>
      <c r="B28327" s="1" t="str">
        <f>HYPERLINK("http://harpic.fi","harpic.fi")</f>
        <v>harpic.fi</v>
      </c>
      <c r="C28327" t="s">
        <v>445</v>
      </c>
      <c r="D28327" t="s">
        <v>823</v>
      </c>
      <c r="J28327">
        <v>6</v>
      </c>
    </row>
    <row r="28328" spans="1:10" x14ac:dyDescent="0.25">
      <c r="A28328" t="s">
        <v>320</v>
      </c>
      <c r="B28328" s="1" t="str">
        <f>HYPERLINK("http://k-y.fi","k-y.fi")</f>
        <v>k-y.fi</v>
      </c>
      <c r="C28328" t="s">
        <v>445</v>
      </c>
      <c r="D28328" t="s">
        <v>823</v>
      </c>
      <c r="F28328">
        <v>4.1374952344027E-8</v>
      </c>
      <c r="G28328">
        <v>1210586</v>
      </c>
      <c r="H28328">
        <v>16827288</v>
      </c>
      <c r="I28328">
        <v>182850</v>
      </c>
      <c r="J28328">
        <v>8</v>
      </c>
    </row>
    <row r="28329" spans="1:10" x14ac:dyDescent="0.25">
      <c r="A28329" t="s">
        <v>320</v>
      </c>
      <c r="B28329" s="1" t="str">
        <f>HYPERLINK("http://lemsip.fi","lemsip.fi")</f>
        <v>lemsip.fi</v>
      </c>
      <c r="C28329" t="s">
        <v>445</v>
      </c>
      <c r="D28329" t="s">
        <v>823</v>
      </c>
      <c r="J28329">
        <v>8</v>
      </c>
    </row>
    <row r="28330" spans="1:10" x14ac:dyDescent="0.25">
      <c r="A28330" t="s">
        <v>320</v>
      </c>
      <c r="B28330" s="1" t="str">
        <f>HYPERLINK("http://lysol.fi","lysol.fi")</f>
        <v>lysol.fi</v>
      </c>
      <c r="C28330" t="s">
        <v>445</v>
      </c>
      <c r="D28330" t="s">
        <v>823</v>
      </c>
      <c r="F28330">
        <v>4.4797550600648201E-9</v>
      </c>
      <c r="G28330">
        <v>62401767</v>
      </c>
      <c r="H28330">
        <v>10531887</v>
      </c>
      <c r="I28330">
        <v>48078381</v>
      </c>
      <c r="J28330">
        <v>6</v>
      </c>
    </row>
    <row r="28331" spans="1:10" x14ac:dyDescent="0.25">
      <c r="A28331" t="s">
        <v>320</v>
      </c>
      <c r="B28331" s="1" t="str">
        <f>HYPERLINK("http://meadjohnson.fi","meadjohnson.fi")</f>
        <v>meadjohnson.fi</v>
      </c>
      <c r="C28331" t="s">
        <v>445</v>
      </c>
      <c r="D28331" t="s">
        <v>823</v>
      </c>
      <c r="J28331">
        <v>4</v>
      </c>
    </row>
    <row r="28332" spans="1:10" x14ac:dyDescent="0.25">
      <c r="A28332" t="s">
        <v>320</v>
      </c>
      <c r="B28332" s="1" t="str">
        <f>HYPERLINK("http://megared.fi","megared.fi")</f>
        <v>megared.fi</v>
      </c>
      <c r="C28332" t="s">
        <v>445</v>
      </c>
      <c r="D28332" t="s">
        <v>823</v>
      </c>
      <c r="J28332">
        <v>8</v>
      </c>
    </row>
    <row r="28333" spans="1:10" x14ac:dyDescent="0.25">
      <c r="A28333" t="s">
        <v>320</v>
      </c>
      <c r="B28333" s="1" t="str">
        <f>HYPERLINK("http://mortein.fi","mortein.fi")</f>
        <v>mortein.fi</v>
      </c>
      <c r="C28333" t="s">
        <v>445</v>
      </c>
      <c r="D28333" t="s">
        <v>823</v>
      </c>
      <c r="J28333">
        <v>6</v>
      </c>
    </row>
    <row r="28334" spans="1:10" x14ac:dyDescent="0.25">
      <c r="A28334" t="s">
        <v>320</v>
      </c>
      <c r="B28334" s="1" t="str">
        <f>HYPERLINK("http://movefree.fi","movefree.fi")</f>
        <v>movefree.fi</v>
      </c>
      <c r="C28334" t="s">
        <v>445</v>
      </c>
      <c r="D28334" t="s">
        <v>823</v>
      </c>
      <c r="J28334">
        <v>8</v>
      </c>
    </row>
    <row r="28335" spans="1:10" x14ac:dyDescent="0.25">
      <c r="A28335" t="s">
        <v>320</v>
      </c>
      <c r="B28335" s="1" t="str">
        <f>HYPERLINK("http://nurofen.fi","nurofen.fi")</f>
        <v>nurofen.fi</v>
      </c>
      <c r="C28335" t="s">
        <v>445</v>
      </c>
      <c r="D28335" t="s">
        <v>823</v>
      </c>
      <c r="J28335">
        <v>6</v>
      </c>
    </row>
    <row r="28336" spans="1:10" x14ac:dyDescent="0.25">
      <c r="A28336" t="s">
        <v>320</v>
      </c>
      <c r="B28336" s="1" t="str">
        <f>HYPERLINK("http://nutramigen.fi","nutramigen.fi")</f>
        <v>nutramigen.fi</v>
      </c>
      <c r="C28336" t="s">
        <v>445</v>
      </c>
      <c r="D28336" t="s">
        <v>823</v>
      </c>
      <c r="J28336">
        <v>4</v>
      </c>
    </row>
    <row r="28337" spans="1:10" x14ac:dyDescent="0.25">
      <c r="A28337" t="s">
        <v>320</v>
      </c>
      <c r="B28337" s="1" t="str">
        <f>HYPERLINK("http://oxi-action.fi","oxi-action.fi")</f>
        <v>oxi-action.fi</v>
      </c>
      <c r="C28337" t="s">
        <v>445</v>
      </c>
      <c r="D28337" t="s">
        <v>823</v>
      </c>
      <c r="J28337">
        <v>6</v>
      </c>
    </row>
    <row r="28338" spans="1:10" x14ac:dyDescent="0.25">
      <c r="A28338" t="s">
        <v>320</v>
      </c>
      <c r="B28338" s="1" t="str">
        <f>HYPERLINK("http://oxiaction.fi","oxiaction.fi")</f>
        <v>oxiaction.fi</v>
      </c>
      <c r="C28338" t="s">
        <v>445</v>
      </c>
      <c r="D28338" t="s">
        <v>823</v>
      </c>
      <c r="J28338">
        <v>6</v>
      </c>
    </row>
    <row r="28339" spans="1:10" x14ac:dyDescent="0.25">
      <c r="A28339" t="s">
        <v>320</v>
      </c>
      <c r="B28339" s="1" t="str">
        <f>HYPERLINK("http://puramino.fi","puramino.fi")</f>
        <v>puramino.fi</v>
      </c>
      <c r="C28339" t="s">
        <v>445</v>
      </c>
      <c r="D28339" t="s">
        <v>823</v>
      </c>
      <c r="J28339">
        <v>4</v>
      </c>
    </row>
    <row r="28340" spans="1:10" x14ac:dyDescent="0.25">
      <c r="A28340" t="s">
        <v>320</v>
      </c>
      <c r="B28340" s="1" t="str">
        <f>HYPERLINK("http://reckitt.fi","reckitt.fi")</f>
        <v>reckitt.fi</v>
      </c>
      <c r="C28340" t="s">
        <v>445</v>
      </c>
      <c r="D28340" t="s">
        <v>823</v>
      </c>
      <c r="J28340">
        <v>2</v>
      </c>
    </row>
    <row r="28341" spans="1:10" x14ac:dyDescent="0.25">
      <c r="A28341" t="s">
        <v>320</v>
      </c>
      <c r="B28341" s="1" t="str">
        <f>HYPERLINK("http://reckittbenckiser.fi","reckittbenckiser.fi")</f>
        <v>reckittbenckiser.fi</v>
      </c>
      <c r="C28341" t="s">
        <v>445</v>
      </c>
      <c r="D28341" t="s">
        <v>823</v>
      </c>
      <c r="J28341">
        <v>6</v>
      </c>
    </row>
    <row r="28342" spans="1:10" x14ac:dyDescent="0.25">
      <c r="A28342" t="s">
        <v>320</v>
      </c>
      <c r="B28342" s="1" t="str">
        <f>HYPERLINK("http://strefen.fi","strefen.fi")</f>
        <v>strefen.fi</v>
      </c>
      <c r="C28342" t="s">
        <v>445</v>
      </c>
      <c r="D28342" t="s">
        <v>823</v>
      </c>
      <c r="J28342">
        <v>8</v>
      </c>
    </row>
    <row r="28343" spans="1:10" x14ac:dyDescent="0.25">
      <c r="A28343" t="s">
        <v>320</v>
      </c>
      <c r="B28343" s="1" t="str">
        <f>HYPERLINK("http://strepsils.fi","strepsils.fi")</f>
        <v>strepsils.fi</v>
      </c>
      <c r="C28343" t="s">
        <v>445</v>
      </c>
      <c r="D28343" t="s">
        <v>823</v>
      </c>
      <c r="F28343">
        <v>7.3795422456897101E-9</v>
      </c>
      <c r="G28343">
        <v>11290644</v>
      </c>
      <c r="H28343">
        <v>10663223</v>
      </c>
      <c r="I28343">
        <v>43254017</v>
      </c>
      <c r="J28343">
        <v>6</v>
      </c>
    </row>
    <row r="28344" spans="1:10" x14ac:dyDescent="0.25">
      <c r="A28344" t="s">
        <v>320</v>
      </c>
      <c r="B28344" s="1" t="str">
        <f>HYPERLINK("http://vanish.fi","vanish.fi")</f>
        <v>vanish.fi</v>
      </c>
      <c r="C28344" t="s">
        <v>445</v>
      </c>
      <c r="D28344" t="s">
        <v>823</v>
      </c>
      <c r="F28344">
        <v>8.0454376845839797E-9</v>
      </c>
      <c r="G28344">
        <v>9838440</v>
      </c>
      <c r="H28344">
        <v>13763649</v>
      </c>
      <c r="I28344">
        <v>7894236</v>
      </c>
      <c r="J28344">
        <v>6</v>
      </c>
    </row>
    <row r="28345" spans="1:10" x14ac:dyDescent="0.25">
      <c r="A28345" t="s">
        <v>320</v>
      </c>
      <c r="B28345" s="1" t="str">
        <f>HYPERLINK("http://veet.fi","veet.fi")</f>
        <v>veet.fi</v>
      </c>
      <c r="C28345" t="s">
        <v>445</v>
      </c>
      <c r="D28345" t="s">
        <v>823</v>
      </c>
      <c r="F28345">
        <v>8.5432073188399093E-9</v>
      </c>
      <c r="G28345">
        <v>8763148</v>
      </c>
      <c r="H28345">
        <v>13766017</v>
      </c>
      <c r="I28345">
        <v>7044515</v>
      </c>
      <c r="J28345">
        <v>6</v>
      </c>
    </row>
    <row r="28346" spans="1:10" x14ac:dyDescent="0.25">
      <c r="A28346" t="s">
        <v>320</v>
      </c>
      <c r="B28346" s="1" t="str">
        <f>HYPERLINK("http://woolite.fi","woolite.fi")</f>
        <v>woolite.fi</v>
      </c>
      <c r="C28346" t="s">
        <v>445</v>
      </c>
      <c r="D28346" t="s">
        <v>823</v>
      </c>
      <c r="J28346">
        <v>6</v>
      </c>
    </row>
    <row r="28347" spans="1:10" x14ac:dyDescent="0.25">
      <c r="A28347" t="s">
        <v>320</v>
      </c>
      <c r="B28347" s="1" t="str">
        <f>HYPERLINK("http://airwick.fr","airwick.fr")</f>
        <v>airwick.fr</v>
      </c>
      <c r="C28347" t="s">
        <v>446</v>
      </c>
      <c r="D28347" t="s">
        <v>824</v>
      </c>
      <c r="F28347">
        <v>9.1532785325486096E-9</v>
      </c>
      <c r="G28347">
        <v>7774074</v>
      </c>
      <c r="H28347">
        <v>14121864</v>
      </c>
      <c r="I28347">
        <v>2234998</v>
      </c>
      <c r="J28347">
        <v>3</v>
      </c>
    </row>
    <row r="28348" spans="1:10" x14ac:dyDescent="0.25">
      <c r="A28348" t="s">
        <v>320</v>
      </c>
      <c r="B28348" s="1" t="str">
        <f>HYPERLINK("http://cillitbang.fr","cillitbang.fr")</f>
        <v>cillitbang.fr</v>
      </c>
      <c r="C28348" t="s">
        <v>446</v>
      </c>
      <c r="D28348" t="s">
        <v>824</v>
      </c>
      <c r="F28348">
        <v>7.0202696554111799E-9</v>
      </c>
      <c r="G28348">
        <v>12252474</v>
      </c>
      <c r="H28348">
        <v>12104198</v>
      </c>
      <c r="I28348">
        <v>25870821</v>
      </c>
      <c r="J28348">
        <v>7</v>
      </c>
    </row>
    <row r="28349" spans="1:10" x14ac:dyDescent="0.25">
      <c r="A28349" t="s">
        <v>320</v>
      </c>
      <c r="B28349" s="1" t="str">
        <f>HYPERLINK("http://reckittbenckiser.fr","reckittbenckiser.fr")</f>
        <v>reckittbenckiser.fr</v>
      </c>
      <c r="C28349" t="s">
        <v>446</v>
      </c>
      <c r="D28349" t="s">
        <v>824</v>
      </c>
      <c r="F28349">
        <v>4.8146414073846196E-9</v>
      </c>
      <c r="G28349">
        <v>35484463</v>
      </c>
      <c r="H28349">
        <v>12900816</v>
      </c>
      <c r="I28349">
        <v>13867024</v>
      </c>
      <c r="J28349">
        <v>3</v>
      </c>
    </row>
    <row r="28350" spans="1:10" x14ac:dyDescent="0.25">
      <c r="A28350" t="s">
        <v>320</v>
      </c>
      <c r="B28350" s="1" t="str">
        <f>HYPERLINK("http://strepsils.fr","strepsils.fr")</f>
        <v>strepsils.fr</v>
      </c>
      <c r="C28350" t="s">
        <v>446</v>
      </c>
      <c r="D28350" t="s">
        <v>824</v>
      </c>
      <c r="F28350">
        <v>8.5117526281693207E-9</v>
      </c>
      <c r="G28350">
        <v>8823704</v>
      </c>
      <c r="H28350">
        <v>12273769</v>
      </c>
      <c r="I28350">
        <v>21444593</v>
      </c>
      <c r="J28350">
        <v>7</v>
      </c>
    </row>
    <row r="28351" spans="1:10" x14ac:dyDescent="0.25">
      <c r="A28351" t="s">
        <v>320</v>
      </c>
      <c r="B28351" s="1" t="str">
        <f>HYPERLINK("http://vanish.fr","vanish.fr")</f>
        <v>vanish.fr</v>
      </c>
      <c r="C28351" t="s">
        <v>446</v>
      </c>
      <c r="D28351" t="s">
        <v>824</v>
      </c>
      <c r="F28351">
        <v>9.4982387763298795E-9</v>
      </c>
      <c r="G28351">
        <v>7324675</v>
      </c>
      <c r="H28351">
        <v>13765824</v>
      </c>
      <c r="I28351">
        <v>7061024</v>
      </c>
      <c r="J28351">
        <v>6</v>
      </c>
    </row>
    <row r="28352" spans="1:10" x14ac:dyDescent="0.25">
      <c r="A28352" t="s">
        <v>320</v>
      </c>
      <c r="B28352" s="1" t="str">
        <f>HYPERLINK("http://veet.fr","veet.fr")</f>
        <v>veet.fr</v>
      </c>
      <c r="C28352" t="s">
        <v>446</v>
      </c>
      <c r="D28352" t="s">
        <v>824</v>
      </c>
      <c r="F28352">
        <v>1.58871090024299E-8</v>
      </c>
      <c r="G28352">
        <v>3576036</v>
      </c>
      <c r="H28352">
        <v>13784981</v>
      </c>
      <c r="I28352">
        <v>6406383</v>
      </c>
      <c r="J28352">
        <v>8</v>
      </c>
    </row>
    <row r="28353" spans="1:10" x14ac:dyDescent="0.25">
      <c r="A28353" t="s">
        <v>320</v>
      </c>
      <c r="B28353" s="1" t="str">
        <f>HYPERLINK("http://strepsils.com.hk","strepsils.com.hk")</f>
        <v>strepsils.com.hk</v>
      </c>
      <c r="C28353" t="s">
        <v>450</v>
      </c>
      <c r="D28353" t="s">
        <v>827</v>
      </c>
      <c r="F28353">
        <v>7.0998686738495098E-9</v>
      </c>
      <c r="G28353">
        <v>12015408</v>
      </c>
      <c r="H28353">
        <v>10660667</v>
      </c>
      <c r="I28353">
        <v>43409651</v>
      </c>
      <c r="J28353">
        <v>7</v>
      </c>
    </row>
    <row r="28354" spans="1:10" x14ac:dyDescent="0.25">
      <c r="A28354" t="s">
        <v>320</v>
      </c>
      <c r="B28354" s="1" t="str">
        <f>HYPERLINK("http://veet.com.hk","veet.com.hk")</f>
        <v>veet.com.hk</v>
      </c>
      <c r="C28354" t="s">
        <v>450</v>
      </c>
      <c r="D28354" t="s">
        <v>827</v>
      </c>
      <c r="F28354">
        <v>8.5736555596931305E-9</v>
      </c>
      <c r="G28354">
        <v>8704471</v>
      </c>
      <c r="H28354">
        <v>13933691</v>
      </c>
      <c r="I28354">
        <v>4686204</v>
      </c>
      <c r="J28354">
        <v>7</v>
      </c>
    </row>
    <row r="28355" spans="1:10" x14ac:dyDescent="0.25">
      <c r="A28355" t="s">
        <v>320</v>
      </c>
      <c r="B28355" s="1" t="str">
        <f>HYPERLINK("http://airwick.com.hr","airwick.com.hr")</f>
        <v>airwick.com.hr</v>
      </c>
      <c r="C28355" t="s">
        <v>452</v>
      </c>
      <c r="D28355" t="s">
        <v>829</v>
      </c>
      <c r="F28355">
        <v>6.7177623429215E-9</v>
      </c>
      <c r="G28355">
        <v>13241081</v>
      </c>
      <c r="H28355">
        <v>10576251</v>
      </c>
      <c r="I28355">
        <v>45914782</v>
      </c>
      <c r="J28355">
        <v>4</v>
      </c>
    </row>
    <row r="28356" spans="1:10" x14ac:dyDescent="0.25">
      <c r="A28356" t="s">
        <v>320</v>
      </c>
      <c r="B28356" s="1" t="str">
        <f>HYPERLINK("http://strepsils.hr","strepsils.hr")</f>
        <v>strepsils.hr</v>
      </c>
      <c r="C28356" t="s">
        <v>452</v>
      </c>
      <c r="D28356" t="s">
        <v>829</v>
      </c>
      <c r="F28356">
        <v>7.0886555909339996E-9</v>
      </c>
      <c r="G28356">
        <v>12047307</v>
      </c>
      <c r="H28356">
        <v>10660667</v>
      </c>
      <c r="I28356">
        <v>43409652</v>
      </c>
      <c r="J28356">
        <v>7</v>
      </c>
    </row>
    <row r="28357" spans="1:10" x14ac:dyDescent="0.25">
      <c r="A28357" t="s">
        <v>320</v>
      </c>
      <c r="B28357" s="1" t="str">
        <f>HYPERLINK("http://airwick.hu","airwick.hu")</f>
        <v>airwick.hu</v>
      </c>
      <c r="C28357" t="s">
        <v>453</v>
      </c>
      <c r="D28357" t="s">
        <v>830</v>
      </c>
      <c r="F28357">
        <v>7.1352714435277497E-9</v>
      </c>
      <c r="G28357">
        <v>11916873</v>
      </c>
      <c r="H28357">
        <v>11008806</v>
      </c>
      <c r="I28357">
        <v>33425271</v>
      </c>
      <c r="J28357">
        <v>4</v>
      </c>
    </row>
    <row r="28358" spans="1:10" x14ac:dyDescent="0.25">
      <c r="A28358" t="s">
        <v>320</v>
      </c>
      <c r="B28358" s="1" t="str">
        <f>HYPERLINK("http://strepsils.hu","strepsils.hu")</f>
        <v>strepsils.hu</v>
      </c>
      <c r="C28358" t="s">
        <v>453</v>
      </c>
      <c r="D28358" t="s">
        <v>830</v>
      </c>
      <c r="F28358">
        <v>7.3086399237344998E-9</v>
      </c>
      <c r="G28358">
        <v>11458663</v>
      </c>
      <c r="H28358">
        <v>10661077</v>
      </c>
      <c r="I28358">
        <v>43402712</v>
      </c>
      <c r="J28358">
        <v>7</v>
      </c>
    </row>
    <row r="28359" spans="1:10" x14ac:dyDescent="0.25">
      <c r="A28359" t="s">
        <v>320</v>
      </c>
      <c r="B28359" s="1" t="str">
        <f>HYPERLINK("http://vanish.hu","vanish.hu")</f>
        <v>vanish.hu</v>
      </c>
      <c r="C28359" t="s">
        <v>453</v>
      </c>
      <c r="D28359" t="s">
        <v>830</v>
      </c>
      <c r="F28359">
        <v>8.3582302982467296E-9</v>
      </c>
      <c r="G28359">
        <v>9129202</v>
      </c>
      <c r="H28359">
        <v>11149686</v>
      </c>
      <c r="I28359">
        <v>31745009</v>
      </c>
      <c r="J28359">
        <v>6</v>
      </c>
    </row>
    <row r="28360" spans="1:10" x14ac:dyDescent="0.25">
      <c r="A28360" t="s">
        <v>320</v>
      </c>
      <c r="B28360" s="1" t="str">
        <f>HYPERLINK("http://vanish.co.id","vanish.co.id")</f>
        <v>vanish.co.id</v>
      </c>
      <c r="C28360" t="s">
        <v>454</v>
      </c>
      <c r="D28360" t="s">
        <v>831</v>
      </c>
      <c r="F28360">
        <v>8.3633588530112596E-9</v>
      </c>
      <c r="G28360">
        <v>9118674</v>
      </c>
      <c r="H28360">
        <v>12334321</v>
      </c>
      <c r="I28360">
        <v>20120259</v>
      </c>
      <c r="J28360">
        <v>6</v>
      </c>
    </row>
    <row r="28361" spans="1:10" x14ac:dyDescent="0.25">
      <c r="A28361" t="s">
        <v>320</v>
      </c>
      <c r="B28361" s="1" t="str">
        <f>HYPERLINK("http://veet.co.id","veet.co.id")</f>
        <v>veet.co.id</v>
      </c>
      <c r="C28361" t="s">
        <v>454</v>
      </c>
      <c r="D28361" t="s">
        <v>831</v>
      </c>
      <c r="F28361">
        <v>8.1587012846972906E-9</v>
      </c>
      <c r="G28361">
        <v>9641366</v>
      </c>
      <c r="H28361">
        <v>10813598</v>
      </c>
      <c r="I28361">
        <v>37775032</v>
      </c>
      <c r="J28361">
        <v>7</v>
      </c>
    </row>
    <row r="28362" spans="1:10" x14ac:dyDescent="0.25">
      <c r="A28362" t="s">
        <v>320</v>
      </c>
      <c r="B28362" s="1" t="str">
        <f>HYPERLINK("http://medicines.ie","medicines.ie")</f>
        <v>medicines.ie</v>
      </c>
      <c r="C28362" t="s">
        <v>455</v>
      </c>
      <c r="D28362" t="s">
        <v>832</v>
      </c>
      <c r="E28362">
        <v>618115</v>
      </c>
      <c r="F28362">
        <v>9.9248525555122803E-8</v>
      </c>
      <c r="G28362">
        <v>405812</v>
      </c>
      <c r="H28362">
        <v>14655399</v>
      </c>
      <c r="I28362">
        <v>623738</v>
      </c>
      <c r="J28362">
        <v>3</v>
      </c>
    </row>
    <row r="28363" spans="1:10" x14ac:dyDescent="0.25">
      <c r="A28363" t="s">
        <v>320</v>
      </c>
      <c r="B28363" s="1" t="str">
        <f>HYPERLINK("http://strepsils.ie","strepsils.ie")</f>
        <v>strepsils.ie</v>
      </c>
      <c r="C28363" t="s">
        <v>455</v>
      </c>
      <c r="D28363" t="s">
        <v>832</v>
      </c>
      <c r="F28363">
        <v>7.1246768135223E-9</v>
      </c>
      <c r="G28363">
        <v>11946508</v>
      </c>
      <c r="H28363">
        <v>10743831</v>
      </c>
      <c r="I28363">
        <v>40279254</v>
      </c>
      <c r="J28363">
        <v>7</v>
      </c>
    </row>
    <row r="28364" spans="1:10" x14ac:dyDescent="0.25">
      <c r="A28364" t="s">
        <v>320</v>
      </c>
      <c r="B28364" s="1" t="str">
        <f>HYPERLINK("http://vanish.ie","vanish.ie")</f>
        <v>vanish.ie</v>
      </c>
      <c r="C28364" t="s">
        <v>455</v>
      </c>
      <c r="D28364" t="s">
        <v>832</v>
      </c>
      <c r="F28364">
        <v>1.0741454080636599E-8</v>
      </c>
      <c r="G28364">
        <v>6066763</v>
      </c>
      <c r="H28364">
        <v>12242641</v>
      </c>
      <c r="I28364">
        <v>22180413</v>
      </c>
      <c r="J28364">
        <v>7</v>
      </c>
    </row>
    <row r="28365" spans="1:10" x14ac:dyDescent="0.25">
      <c r="A28365" t="s">
        <v>320</v>
      </c>
      <c r="B28365" s="1" t="str">
        <f>HYPERLINK("http://vanish.co.il","vanish.co.il")</f>
        <v>vanish.co.il</v>
      </c>
      <c r="C28365" t="s">
        <v>456</v>
      </c>
      <c r="D28365" t="s">
        <v>833</v>
      </c>
      <c r="F28365">
        <v>7.8529502219533006E-9</v>
      </c>
      <c r="G28365">
        <v>10207359</v>
      </c>
      <c r="H28365">
        <v>10798833</v>
      </c>
      <c r="I28365">
        <v>38195824</v>
      </c>
      <c r="J28365">
        <v>6</v>
      </c>
    </row>
    <row r="28366" spans="1:10" x14ac:dyDescent="0.25">
      <c r="A28366" t="s">
        <v>320</v>
      </c>
      <c r="B28366" s="1" t="str">
        <f>HYPERLINK("http://airwick.co.in","airwick.co.in")</f>
        <v>airwick.co.in</v>
      </c>
      <c r="C28366" t="s">
        <v>457</v>
      </c>
      <c r="D28366" t="s">
        <v>834</v>
      </c>
      <c r="F28366">
        <v>1.17223638057351E-8</v>
      </c>
      <c r="G28366">
        <v>5352103</v>
      </c>
      <c r="H28366">
        <v>13555358</v>
      </c>
      <c r="I28366">
        <v>9884779</v>
      </c>
      <c r="J28366">
        <v>4</v>
      </c>
    </row>
    <row r="28367" spans="1:10" x14ac:dyDescent="0.25">
      <c r="A28367" t="s">
        <v>320</v>
      </c>
      <c r="B28367" s="1" t="str">
        <f>HYPERLINK("http://healthyhome.co.in","healthyhome.co.in")</f>
        <v>healthyhome.co.in</v>
      </c>
      <c r="C28367" t="s">
        <v>457</v>
      </c>
      <c r="D28367" t="s">
        <v>834</v>
      </c>
      <c r="F28367">
        <v>8.6157309958760293E-9</v>
      </c>
      <c r="G28367">
        <v>8628532</v>
      </c>
      <c r="H28367">
        <v>10651299</v>
      </c>
      <c r="I28367">
        <v>43588681</v>
      </c>
      <c r="J28367">
        <v>5</v>
      </c>
    </row>
    <row r="28368" spans="1:10" x14ac:dyDescent="0.25">
      <c r="A28368" t="s">
        <v>320</v>
      </c>
      <c r="B28368" s="1" t="str">
        <f>HYPERLINK("http://vanish.co.in","vanish.co.in")</f>
        <v>vanish.co.in</v>
      </c>
      <c r="C28368" t="s">
        <v>457</v>
      </c>
      <c r="D28368" t="s">
        <v>834</v>
      </c>
      <c r="F28368">
        <v>1.0385481506104599E-8</v>
      </c>
      <c r="G28368">
        <v>6372152</v>
      </c>
      <c r="H28368">
        <v>12146653</v>
      </c>
      <c r="I28368">
        <v>24709803</v>
      </c>
      <c r="J28368">
        <v>6</v>
      </c>
    </row>
    <row r="28369" spans="1:10" x14ac:dyDescent="0.25">
      <c r="A28369" t="s">
        <v>320</v>
      </c>
      <c r="B28369" s="1" t="str">
        <f>HYPERLINK("http://veet.co.in","veet.co.in")</f>
        <v>veet.co.in</v>
      </c>
      <c r="C28369" t="s">
        <v>457</v>
      </c>
      <c r="D28369" t="s">
        <v>834</v>
      </c>
      <c r="F28369">
        <v>2.3157892283684701E-8</v>
      </c>
      <c r="G28369">
        <v>2253720</v>
      </c>
      <c r="H28369">
        <v>14077932</v>
      </c>
      <c r="I28369">
        <v>2855989</v>
      </c>
      <c r="J28369">
        <v>7</v>
      </c>
    </row>
    <row r="28370" spans="1:10" x14ac:dyDescent="0.25">
      <c r="A28370" t="s">
        <v>320</v>
      </c>
      <c r="B28370" s="1" t="str">
        <f>HYPERLINK("http://rbcloud.io","rbcloud.io")</f>
        <v>rbcloud.io</v>
      </c>
      <c r="C28370" t="s">
        <v>518</v>
      </c>
      <c r="E28370">
        <v>827430</v>
      </c>
      <c r="F28370">
        <v>3.0690612741469503E-8</v>
      </c>
      <c r="G28370">
        <v>1678387</v>
      </c>
      <c r="H28370">
        <v>12351889</v>
      </c>
      <c r="I28370">
        <v>19736986</v>
      </c>
      <c r="J28370">
        <v>4</v>
      </c>
    </row>
    <row r="28371" spans="1:10" x14ac:dyDescent="0.25">
      <c r="A28371" t="s">
        <v>320</v>
      </c>
      <c r="B28371" s="1" t="str">
        <f>HYPERLINK("http://airwick.it","airwick.it")</f>
        <v>airwick.it</v>
      </c>
      <c r="C28371" t="s">
        <v>459</v>
      </c>
      <c r="D28371" t="s">
        <v>835</v>
      </c>
      <c r="F28371">
        <v>8.8424280774388108E-9</v>
      </c>
      <c r="G28371">
        <v>8236561</v>
      </c>
      <c r="H28371">
        <v>12944831</v>
      </c>
      <c r="I28371">
        <v>13245823</v>
      </c>
      <c r="J28371">
        <v>4</v>
      </c>
    </row>
    <row r="28372" spans="1:10" x14ac:dyDescent="0.25">
      <c r="A28372" t="s">
        <v>320</v>
      </c>
      <c r="B28372" s="1" t="str">
        <f>HYPERLINK("http://finishinfo.it","finishinfo.it")</f>
        <v>finishinfo.it</v>
      </c>
      <c r="C28372" t="s">
        <v>459</v>
      </c>
      <c r="D28372" t="s">
        <v>835</v>
      </c>
      <c r="F28372">
        <v>9.8539282424507704E-9</v>
      </c>
      <c r="G28372">
        <v>6909826</v>
      </c>
      <c r="H28372">
        <v>14124216</v>
      </c>
      <c r="I28372">
        <v>2150971</v>
      </c>
      <c r="J28372">
        <v>7</v>
      </c>
    </row>
    <row r="28373" spans="1:10" x14ac:dyDescent="0.25">
      <c r="A28373" t="s">
        <v>320</v>
      </c>
      <c r="B28373" s="1" t="str">
        <f>HYPERLINK("http://vanish.it","vanish.it")</f>
        <v>vanish.it</v>
      </c>
      <c r="C28373" t="s">
        <v>459</v>
      </c>
      <c r="D28373" t="s">
        <v>835</v>
      </c>
      <c r="F28373">
        <v>9.0733658926568799E-9</v>
      </c>
      <c r="G28373">
        <v>7884841</v>
      </c>
      <c r="H28373">
        <v>13763901</v>
      </c>
      <c r="I28373">
        <v>7508533</v>
      </c>
      <c r="J28373">
        <v>6</v>
      </c>
    </row>
    <row r="28374" spans="1:10" x14ac:dyDescent="0.25">
      <c r="A28374" t="s">
        <v>320</v>
      </c>
      <c r="B28374" s="1" t="str">
        <f>HYPERLINK("http://finishinfo.jp","finishinfo.jp")</f>
        <v>finishinfo.jp</v>
      </c>
      <c r="C28374" t="s">
        <v>461</v>
      </c>
      <c r="D28374" t="s">
        <v>837</v>
      </c>
      <c r="F28374">
        <v>1.04666347095431E-8</v>
      </c>
      <c r="G28374">
        <v>6298602</v>
      </c>
      <c r="H28374">
        <v>12954543</v>
      </c>
      <c r="I28374">
        <v>13190578</v>
      </c>
      <c r="J28374">
        <v>7</v>
      </c>
    </row>
    <row r="28375" spans="1:10" x14ac:dyDescent="0.25">
      <c r="A28375" t="s">
        <v>320</v>
      </c>
      <c r="B28375" s="1" t="str">
        <f>HYPERLINK("http://veet.jp","veet.jp")</f>
        <v>veet.jp</v>
      </c>
      <c r="C28375" t="s">
        <v>461</v>
      </c>
      <c r="D28375" t="s">
        <v>837</v>
      </c>
      <c r="F28375">
        <v>2.12975651479304E-8</v>
      </c>
      <c r="G28375">
        <v>2474525</v>
      </c>
      <c r="H28375">
        <v>13822789</v>
      </c>
      <c r="I28375">
        <v>6135846</v>
      </c>
      <c r="J28375">
        <v>7</v>
      </c>
    </row>
    <row r="28376" spans="1:10" x14ac:dyDescent="0.25">
      <c r="A28376" t="s">
        <v>320</v>
      </c>
      <c r="B28376" s="1" t="str">
        <f>HYPERLINK("http://strepsils.co.kr","strepsils.co.kr")</f>
        <v>strepsils.co.kr</v>
      </c>
      <c r="C28376" t="s">
        <v>463</v>
      </c>
      <c r="D28376" t="s">
        <v>839</v>
      </c>
      <c r="F28376">
        <v>7.1439285709796104E-9</v>
      </c>
      <c r="G28376">
        <v>11893187</v>
      </c>
      <c r="H28376">
        <v>10672561</v>
      </c>
      <c r="I28376">
        <v>42910010</v>
      </c>
      <c r="J28376">
        <v>7</v>
      </c>
    </row>
    <row r="28377" spans="1:10" x14ac:dyDescent="0.25">
      <c r="A28377" t="s">
        <v>320</v>
      </c>
      <c r="B28377" s="1" t="str">
        <f>HYPERLINK("http://airwick.com.mx","airwick.com.mx")</f>
        <v>airwick.com.mx</v>
      </c>
      <c r="C28377" t="s">
        <v>471</v>
      </c>
      <c r="D28377" t="s">
        <v>847</v>
      </c>
      <c r="F28377">
        <v>7.1910065083535102E-9</v>
      </c>
      <c r="G28377">
        <v>11767932</v>
      </c>
      <c r="H28377">
        <v>10789302</v>
      </c>
      <c r="I28377">
        <v>38525044</v>
      </c>
      <c r="J28377">
        <v>4</v>
      </c>
    </row>
    <row r="28378" spans="1:10" x14ac:dyDescent="0.25">
      <c r="A28378" t="s">
        <v>320</v>
      </c>
      <c r="B28378" s="1" t="str">
        <f>HYPERLINK("http://mead-johnson.com.mx","mead-johnson.com.mx")</f>
        <v>mead-johnson.com.mx</v>
      </c>
      <c r="C28378" t="s">
        <v>471</v>
      </c>
      <c r="D28378" t="s">
        <v>847</v>
      </c>
      <c r="F28378">
        <v>5.3249695817368901E-9</v>
      </c>
      <c r="G28378">
        <v>23136233</v>
      </c>
      <c r="H28378">
        <v>13933432</v>
      </c>
      <c r="I28378">
        <v>4745368</v>
      </c>
      <c r="J28378">
        <v>3</v>
      </c>
    </row>
    <row r="28379" spans="1:10" x14ac:dyDescent="0.25">
      <c r="A28379" t="s">
        <v>320</v>
      </c>
      <c r="B28379" s="1" t="str">
        <f>HYPERLINK("http://vanish.com.mx","vanish.com.mx")</f>
        <v>vanish.com.mx</v>
      </c>
      <c r="C28379" t="s">
        <v>471</v>
      </c>
      <c r="D28379" t="s">
        <v>847</v>
      </c>
      <c r="F28379">
        <v>8.63272417618864E-9</v>
      </c>
      <c r="G28379">
        <v>8597572</v>
      </c>
      <c r="H28379">
        <v>12222850</v>
      </c>
      <c r="I28379">
        <v>22711720</v>
      </c>
      <c r="J28379">
        <v>6</v>
      </c>
    </row>
    <row r="28380" spans="1:10" x14ac:dyDescent="0.25">
      <c r="A28380" t="s">
        <v>320</v>
      </c>
      <c r="B28380" s="1" t="str">
        <f>HYPERLINK("http://vanish.com.my","vanish.com.my")</f>
        <v>vanish.com.my</v>
      </c>
      <c r="C28380" t="s">
        <v>472</v>
      </c>
      <c r="D28380" t="s">
        <v>848</v>
      </c>
      <c r="F28380">
        <v>9.4147475146102108E-9</v>
      </c>
      <c r="G28380">
        <v>7426174</v>
      </c>
      <c r="H28380">
        <v>13252311</v>
      </c>
      <c r="I28380">
        <v>11072337</v>
      </c>
      <c r="J28380">
        <v>6</v>
      </c>
    </row>
    <row r="28381" spans="1:10" x14ac:dyDescent="0.25">
      <c r="A28381" t="s">
        <v>320</v>
      </c>
      <c r="B28381" s="1" t="str">
        <f>HYPERLINK("http://airwick.nl","airwick.nl")</f>
        <v>airwick.nl</v>
      </c>
      <c r="C28381" t="s">
        <v>477</v>
      </c>
      <c r="D28381" t="s">
        <v>852</v>
      </c>
      <c r="F28381">
        <v>8.5862393228803403E-9</v>
      </c>
      <c r="G28381">
        <v>8681376</v>
      </c>
      <c r="H28381">
        <v>12298984</v>
      </c>
      <c r="I28381">
        <v>20860422</v>
      </c>
      <c r="J28381">
        <v>4</v>
      </c>
    </row>
    <row r="28382" spans="1:10" x14ac:dyDescent="0.25">
      <c r="A28382" t="s">
        <v>320</v>
      </c>
      <c r="B28382" s="1" t="str">
        <f>HYPERLINK("http://cillitbang.nl","cillitbang.nl")</f>
        <v>cillitbang.nl</v>
      </c>
      <c r="C28382" t="s">
        <v>477</v>
      </c>
      <c r="D28382" t="s">
        <v>852</v>
      </c>
      <c r="F28382">
        <v>6.0561866622426003E-9</v>
      </c>
      <c r="G28382">
        <v>16346833</v>
      </c>
      <c r="H28382">
        <v>10531585</v>
      </c>
      <c r="I28382">
        <v>48114901</v>
      </c>
      <c r="J28382">
        <v>7</v>
      </c>
    </row>
    <row r="28383" spans="1:10" x14ac:dyDescent="0.25">
      <c r="A28383" t="s">
        <v>320</v>
      </c>
      <c r="B28383" s="1" t="str">
        <f>HYPERLINK("http://finishinfo.nl","finishinfo.nl")</f>
        <v>finishinfo.nl</v>
      </c>
      <c r="C28383" t="s">
        <v>477</v>
      </c>
      <c r="D28383" t="s">
        <v>852</v>
      </c>
      <c r="F28383">
        <v>6.2618323686198997E-9</v>
      </c>
      <c r="G28383">
        <v>15216581</v>
      </c>
      <c r="H28383">
        <v>12252640</v>
      </c>
      <c r="I28383">
        <v>21949067</v>
      </c>
      <c r="J28383">
        <v>7</v>
      </c>
    </row>
    <row r="28384" spans="1:10" x14ac:dyDescent="0.25">
      <c r="A28384" t="s">
        <v>320</v>
      </c>
      <c r="B28384" s="1" t="str">
        <f>HYPERLINK("http://vanish.nl","vanish.nl")</f>
        <v>vanish.nl</v>
      </c>
      <c r="C28384" t="s">
        <v>477</v>
      </c>
      <c r="D28384" t="s">
        <v>852</v>
      </c>
      <c r="F28384">
        <v>1.08719936874433E-8</v>
      </c>
      <c r="G28384">
        <v>5963977</v>
      </c>
      <c r="H28384">
        <v>13766173</v>
      </c>
      <c r="I28384">
        <v>7028016</v>
      </c>
      <c r="J28384">
        <v>6</v>
      </c>
    </row>
    <row r="28385" spans="1:10" x14ac:dyDescent="0.25">
      <c r="A28385" t="s">
        <v>320</v>
      </c>
      <c r="B28385" s="1" t="str">
        <f>HYPERLINK("http://veet.nl","veet.nl")</f>
        <v>veet.nl</v>
      </c>
      <c r="C28385" t="s">
        <v>477</v>
      </c>
      <c r="D28385" t="s">
        <v>852</v>
      </c>
      <c r="F28385">
        <v>1.17881589303303E-8</v>
      </c>
      <c r="G28385">
        <v>5309479</v>
      </c>
      <c r="H28385">
        <v>14130415</v>
      </c>
      <c r="I28385">
        <v>2029810</v>
      </c>
      <c r="J28385">
        <v>7</v>
      </c>
    </row>
    <row r="28386" spans="1:10" x14ac:dyDescent="0.25">
      <c r="A28386" t="s">
        <v>320</v>
      </c>
      <c r="B28386" s="1" t="str">
        <f>HYPERLINK("http://airwick.no","airwick.no")</f>
        <v>airwick.no</v>
      </c>
      <c r="C28386" t="s">
        <v>478</v>
      </c>
      <c r="D28386" t="s">
        <v>853</v>
      </c>
      <c r="F28386">
        <v>7.0195768545925102E-9</v>
      </c>
      <c r="G28386">
        <v>12254432</v>
      </c>
      <c r="H28386">
        <v>10576813</v>
      </c>
      <c r="I28386">
        <v>45896628</v>
      </c>
      <c r="J28386">
        <v>4</v>
      </c>
    </row>
    <row r="28387" spans="1:10" x14ac:dyDescent="0.25">
      <c r="A28387" t="s">
        <v>320</v>
      </c>
      <c r="B28387" s="1" t="str">
        <f>HYPERLINK("http://finishinfo.no","finishinfo.no")</f>
        <v>finishinfo.no</v>
      </c>
      <c r="C28387" t="s">
        <v>478</v>
      </c>
      <c r="D28387" t="s">
        <v>853</v>
      </c>
      <c r="F28387">
        <v>5.5904864403925002E-9</v>
      </c>
      <c r="G28387">
        <v>19949705</v>
      </c>
      <c r="H28387">
        <v>10946760</v>
      </c>
      <c r="I28387">
        <v>34659830</v>
      </c>
      <c r="J28387">
        <v>7</v>
      </c>
    </row>
    <row r="28388" spans="1:10" x14ac:dyDescent="0.25">
      <c r="A28388" t="s">
        <v>320</v>
      </c>
      <c r="B28388" s="1" t="str">
        <f>HYPERLINK("http://vanish.no","vanish.no")</f>
        <v>vanish.no</v>
      </c>
      <c r="C28388" t="s">
        <v>478</v>
      </c>
      <c r="D28388" t="s">
        <v>853</v>
      </c>
      <c r="F28388">
        <v>8.5475041391046497E-9</v>
      </c>
      <c r="G28388">
        <v>8754452</v>
      </c>
      <c r="H28388">
        <v>13763649</v>
      </c>
      <c r="I28388">
        <v>7894920</v>
      </c>
      <c r="J28388">
        <v>6</v>
      </c>
    </row>
    <row r="28389" spans="1:10" x14ac:dyDescent="0.25">
      <c r="A28389" t="s">
        <v>320</v>
      </c>
      <c r="B28389" s="1" t="str">
        <f>HYPERLINK("http://veet.no","veet.no")</f>
        <v>veet.no</v>
      </c>
      <c r="C28389" t="s">
        <v>478</v>
      </c>
      <c r="D28389" t="s">
        <v>853</v>
      </c>
      <c r="F28389">
        <v>8.2043716295897506E-9</v>
      </c>
      <c r="G28389">
        <v>9563987</v>
      </c>
      <c r="H28389">
        <v>14119739</v>
      </c>
      <c r="I28389">
        <v>2474567</v>
      </c>
      <c r="J28389">
        <v>7</v>
      </c>
    </row>
    <row r="28390" spans="1:10" x14ac:dyDescent="0.25">
      <c r="A28390" t="s">
        <v>320</v>
      </c>
      <c r="B28390" s="1" t="str">
        <f>HYPERLINK("http://airwick.co.nz","airwick.co.nz")</f>
        <v>airwick.co.nz</v>
      </c>
      <c r="C28390" t="s">
        <v>479</v>
      </c>
      <c r="D28390" t="s">
        <v>854</v>
      </c>
      <c r="F28390">
        <v>7.5673142755378292E-9</v>
      </c>
      <c r="G28390">
        <v>10869387</v>
      </c>
      <c r="H28390">
        <v>10957466</v>
      </c>
      <c r="I28390">
        <v>34415951</v>
      </c>
      <c r="J28390">
        <v>4</v>
      </c>
    </row>
    <row r="28391" spans="1:10" x14ac:dyDescent="0.25">
      <c r="A28391" t="s">
        <v>320</v>
      </c>
      <c r="B28391" s="1" t="str">
        <f>HYPERLINK("http://optrex.co.nz","optrex.co.nz")</f>
        <v>optrex.co.nz</v>
      </c>
      <c r="C28391" t="s">
        <v>479</v>
      </c>
      <c r="D28391" t="s">
        <v>854</v>
      </c>
      <c r="F28391">
        <v>4.9033848798505002E-9</v>
      </c>
      <c r="G28391">
        <v>32368579</v>
      </c>
      <c r="H28391">
        <v>10365345</v>
      </c>
      <c r="I28391">
        <v>55016633</v>
      </c>
      <c r="J28391">
        <v>7</v>
      </c>
    </row>
    <row r="28392" spans="1:10" x14ac:dyDescent="0.25">
      <c r="A28392" t="s">
        <v>320</v>
      </c>
      <c r="B28392" s="1" t="str">
        <f>HYPERLINK("http://strepsils.co.nz","strepsils.co.nz")</f>
        <v>strepsils.co.nz</v>
      </c>
      <c r="C28392" t="s">
        <v>479</v>
      </c>
      <c r="D28392" t="s">
        <v>854</v>
      </c>
      <c r="F28392">
        <v>7.2255954784966299E-9</v>
      </c>
      <c r="G28392">
        <v>11668924</v>
      </c>
      <c r="H28392">
        <v>10660668</v>
      </c>
      <c r="I28392">
        <v>43409637</v>
      </c>
      <c r="J28392">
        <v>7</v>
      </c>
    </row>
    <row r="28393" spans="1:10" x14ac:dyDescent="0.25">
      <c r="A28393" t="s">
        <v>320</v>
      </c>
      <c r="B28393" s="1" t="str">
        <f>HYPERLINK("http://vanish.co.nz","vanish.co.nz")</f>
        <v>vanish.co.nz</v>
      </c>
      <c r="C28393" t="s">
        <v>479</v>
      </c>
      <c r="D28393" t="s">
        <v>854</v>
      </c>
      <c r="F28393">
        <v>7.8991531770511603E-9</v>
      </c>
      <c r="G28393">
        <v>10113560</v>
      </c>
      <c r="H28393">
        <v>10750975</v>
      </c>
      <c r="I28393">
        <v>40058988</v>
      </c>
      <c r="J28393">
        <v>6</v>
      </c>
    </row>
    <row r="28394" spans="1:10" x14ac:dyDescent="0.25">
      <c r="A28394" t="s">
        <v>320</v>
      </c>
      <c r="B28394" s="1" t="str">
        <f>HYPERLINK("http://veet.co.nz","veet.co.nz")</f>
        <v>veet.co.nz</v>
      </c>
      <c r="C28394" t="s">
        <v>479</v>
      </c>
      <c r="D28394" t="s">
        <v>854</v>
      </c>
      <c r="F28394">
        <v>9.0920896045022101E-9</v>
      </c>
      <c r="G28394">
        <v>7857720</v>
      </c>
      <c r="H28394">
        <v>12858920</v>
      </c>
      <c r="I28394">
        <v>14206753</v>
      </c>
      <c r="J28394">
        <v>7</v>
      </c>
    </row>
    <row r="28395" spans="1:10" x14ac:dyDescent="0.25">
      <c r="A28395" t="s">
        <v>320</v>
      </c>
      <c r="B28395" s="1" t="str">
        <f>HYPERLINK("http://vanish.com.pe","vanish.com.pe")</f>
        <v>vanish.com.pe</v>
      </c>
      <c r="C28395" t="s">
        <v>483</v>
      </c>
      <c r="D28395" t="s">
        <v>857</v>
      </c>
      <c r="F28395">
        <v>7.7928773397839692E-9</v>
      </c>
      <c r="G28395">
        <v>10338299</v>
      </c>
      <c r="H28395">
        <v>10950321</v>
      </c>
      <c r="I28395">
        <v>34576330</v>
      </c>
      <c r="J28395">
        <v>6</v>
      </c>
    </row>
    <row r="28396" spans="1:10" x14ac:dyDescent="0.25">
      <c r="A28396" t="s">
        <v>320</v>
      </c>
      <c r="B28396" s="1" t="str">
        <f>HYPERLINK("http://meadjohnson.com.ph","meadjohnson.com.ph")</f>
        <v>meadjohnson.com.ph</v>
      </c>
      <c r="C28396" t="s">
        <v>484</v>
      </c>
      <c r="D28396" t="s">
        <v>858</v>
      </c>
      <c r="F28396">
        <v>5.5147878090281903E-9</v>
      </c>
      <c r="G28396">
        <v>20741972</v>
      </c>
      <c r="H28396">
        <v>13933587</v>
      </c>
      <c r="I28396">
        <v>4708005</v>
      </c>
      <c r="J28396">
        <v>3</v>
      </c>
    </row>
    <row r="28397" spans="1:10" x14ac:dyDescent="0.25">
      <c r="A28397" t="s">
        <v>320</v>
      </c>
      <c r="B28397" s="1" t="str">
        <f>HYPERLINK("http://strepsils.com.ph","strepsils.com.ph")</f>
        <v>strepsils.com.ph</v>
      </c>
      <c r="C28397" t="s">
        <v>484</v>
      </c>
      <c r="D28397" t="s">
        <v>858</v>
      </c>
      <c r="F28397">
        <v>1.13028267334295E-8</v>
      </c>
      <c r="G28397">
        <v>5640401</v>
      </c>
      <c r="H28397">
        <v>12349755</v>
      </c>
      <c r="I28397">
        <v>19770192</v>
      </c>
      <c r="J28397">
        <v>7</v>
      </c>
    </row>
    <row r="28398" spans="1:10" x14ac:dyDescent="0.25">
      <c r="A28398" t="s">
        <v>320</v>
      </c>
      <c r="B28398" s="1" t="str">
        <f>HYPERLINK("http://veet.com.ph","veet.com.ph")</f>
        <v>veet.com.ph</v>
      </c>
      <c r="C28398" t="s">
        <v>484</v>
      </c>
      <c r="D28398" t="s">
        <v>858</v>
      </c>
      <c r="F28398">
        <v>7.9725583757944597E-9</v>
      </c>
      <c r="G28398">
        <v>9971655</v>
      </c>
      <c r="H28398">
        <v>10759597</v>
      </c>
      <c r="I28398">
        <v>39624852</v>
      </c>
      <c r="J28398">
        <v>7</v>
      </c>
    </row>
    <row r="28399" spans="1:10" x14ac:dyDescent="0.25">
      <c r="A28399" t="s">
        <v>320</v>
      </c>
      <c r="B28399" s="1" t="str">
        <f>HYPERLINK("http://veet.com.pk","veet.com.pk")</f>
        <v>veet.com.pk</v>
      </c>
      <c r="C28399" t="s">
        <v>485</v>
      </c>
      <c r="D28399" t="s">
        <v>859</v>
      </c>
      <c r="F28399">
        <v>7.63922553881376E-9</v>
      </c>
      <c r="G28399">
        <v>10710852</v>
      </c>
      <c r="H28399">
        <v>10781351</v>
      </c>
      <c r="I28399">
        <v>38876154</v>
      </c>
      <c r="J28399">
        <v>7</v>
      </c>
    </row>
    <row r="28400" spans="1:10" x14ac:dyDescent="0.25">
      <c r="A28400" t="s">
        <v>320</v>
      </c>
      <c r="B28400" s="1" t="str">
        <f>HYPERLINK("http://airwick.pl","airwick.pl")</f>
        <v>airwick.pl</v>
      </c>
      <c r="C28400" t="s">
        <v>486</v>
      </c>
      <c r="D28400" t="s">
        <v>860</v>
      </c>
      <c r="F28400">
        <v>8.2227366429700896E-9</v>
      </c>
      <c r="G28400">
        <v>9460520</v>
      </c>
      <c r="H28400">
        <v>12146976</v>
      </c>
      <c r="I28400">
        <v>24701806</v>
      </c>
      <c r="J28400">
        <v>4</v>
      </c>
    </row>
    <row r="28401" spans="1:10" x14ac:dyDescent="0.25">
      <c r="A28401" t="s">
        <v>320</v>
      </c>
      <c r="B28401" s="1" t="str">
        <f>HYPERLINK("http://strepsils.pl","strepsils.pl")</f>
        <v>strepsils.pl</v>
      </c>
      <c r="C28401" t="s">
        <v>486</v>
      </c>
      <c r="D28401" t="s">
        <v>860</v>
      </c>
      <c r="F28401">
        <v>7.2450568173922603E-9</v>
      </c>
      <c r="G28401">
        <v>11618165</v>
      </c>
      <c r="H28401">
        <v>10787941</v>
      </c>
      <c r="I28401">
        <v>38579487</v>
      </c>
      <c r="J28401">
        <v>7</v>
      </c>
    </row>
    <row r="28402" spans="1:10" x14ac:dyDescent="0.25">
      <c r="A28402" t="s">
        <v>320</v>
      </c>
      <c r="B28402" s="1" t="str">
        <f>HYPERLINK("http://vanish.pl","vanish.pl")</f>
        <v>vanish.pl</v>
      </c>
      <c r="C28402" t="s">
        <v>486</v>
      </c>
      <c r="D28402" t="s">
        <v>860</v>
      </c>
      <c r="F28402">
        <v>1.22239083261965E-8</v>
      </c>
      <c r="G28402">
        <v>5036923</v>
      </c>
      <c r="H28402">
        <v>13766706</v>
      </c>
      <c r="I28402">
        <v>6981024</v>
      </c>
      <c r="J28402">
        <v>6</v>
      </c>
    </row>
    <row r="28403" spans="1:10" x14ac:dyDescent="0.25">
      <c r="A28403" t="s">
        <v>320</v>
      </c>
      <c r="B28403" s="1" t="str">
        <f>HYPERLINK("http://airwick.pt","airwick.pt")</f>
        <v>airwick.pt</v>
      </c>
      <c r="C28403" t="s">
        <v>488</v>
      </c>
      <c r="D28403" t="s">
        <v>862</v>
      </c>
      <c r="F28403">
        <v>7.6644992950439808E-9</v>
      </c>
      <c r="G28403">
        <v>10654961</v>
      </c>
      <c r="H28403">
        <v>10946338</v>
      </c>
      <c r="I28403">
        <v>34668386</v>
      </c>
      <c r="J28403">
        <v>4</v>
      </c>
    </row>
    <row r="28404" spans="1:10" x14ac:dyDescent="0.25">
      <c r="A28404" t="s">
        <v>320</v>
      </c>
      <c r="B28404" s="1" t="str">
        <f>HYPERLINK("http://optrex.pt","optrex.pt")</f>
        <v>optrex.pt</v>
      </c>
      <c r="C28404" t="s">
        <v>488</v>
      </c>
      <c r="D28404" t="s">
        <v>862</v>
      </c>
      <c r="F28404">
        <v>4.8844774398185102E-9</v>
      </c>
      <c r="G28404">
        <v>32939024</v>
      </c>
      <c r="H28404">
        <v>10669302</v>
      </c>
      <c r="I28404">
        <v>42996715</v>
      </c>
      <c r="J28404">
        <v>7</v>
      </c>
    </row>
    <row r="28405" spans="1:10" x14ac:dyDescent="0.25">
      <c r="A28405" t="s">
        <v>320</v>
      </c>
      <c r="B28405" s="1" t="str">
        <f>HYPERLINK("http://strepsils.pt","strepsils.pt")</f>
        <v>strepsils.pt</v>
      </c>
      <c r="C28405" t="s">
        <v>488</v>
      </c>
      <c r="D28405" t="s">
        <v>862</v>
      </c>
      <c r="F28405">
        <v>7.2754083228072299E-9</v>
      </c>
      <c r="G28405">
        <v>11540530</v>
      </c>
      <c r="H28405">
        <v>13763763</v>
      </c>
      <c r="I28405">
        <v>7650937</v>
      </c>
      <c r="J28405">
        <v>7</v>
      </c>
    </row>
    <row r="28406" spans="1:10" x14ac:dyDescent="0.25">
      <c r="A28406" t="s">
        <v>320</v>
      </c>
      <c r="B28406" s="1" t="str">
        <f>HYPERLINK("http://vanish.pt","vanish.pt")</f>
        <v>vanish.pt</v>
      </c>
      <c r="C28406" t="s">
        <v>488</v>
      </c>
      <c r="D28406" t="s">
        <v>862</v>
      </c>
      <c r="F28406">
        <v>8.4480952064642803E-9</v>
      </c>
      <c r="G28406">
        <v>8946614</v>
      </c>
      <c r="H28406">
        <v>13766171</v>
      </c>
      <c r="I28406">
        <v>7028166</v>
      </c>
      <c r="J28406">
        <v>6</v>
      </c>
    </row>
    <row r="28407" spans="1:10" x14ac:dyDescent="0.25">
      <c r="A28407" t="s">
        <v>320</v>
      </c>
      <c r="B28407" s="1" t="str">
        <f>HYPERLINK("http://veet.pt","veet.pt")</f>
        <v>veet.pt</v>
      </c>
      <c r="C28407" t="s">
        <v>488</v>
      </c>
      <c r="D28407" t="s">
        <v>862</v>
      </c>
      <c r="F28407">
        <v>8.0882417427990796E-9</v>
      </c>
      <c r="G28407">
        <v>9762458</v>
      </c>
      <c r="H28407">
        <v>13766169</v>
      </c>
      <c r="I28407">
        <v>7028323</v>
      </c>
      <c r="J28407">
        <v>7</v>
      </c>
    </row>
    <row r="28408" spans="1:10" x14ac:dyDescent="0.25">
      <c r="A28408" t="s">
        <v>320</v>
      </c>
      <c r="B28408" s="1" t="str">
        <f>HYPERLINK("http://airwick.ro","airwick.ro")</f>
        <v>airwick.ro</v>
      </c>
      <c r="C28408" t="s">
        <v>491</v>
      </c>
      <c r="D28408" t="s">
        <v>865</v>
      </c>
      <c r="F28408">
        <v>7.6797640533454807E-9</v>
      </c>
      <c r="G28408">
        <v>10623946</v>
      </c>
      <c r="H28408">
        <v>13763647</v>
      </c>
      <c r="I28408">
        <v>7901988</v>
      </c>
      <c r="J28408">
        <v>4</v>
      </c>
    </row>
    <row r="28409" spans="1:10" x14ac:dyDescent="0.25">
      <c r="A28409" t="s">
        <v>320</v>
      </c>
      <c r="B28409" s="1" t="str">
        <f>HYPERLINK("http://strepsils.ro","strepsils.ro")</f>
        <v>strepsils.ro</v>
      </c>
      <c r="C28409" t="s">
        <v>491</v>
      </c>
      <c r="D28409" t="s">
        <v>865</v>
      </c>
      <c r="F28409">
        <v>7.0870592369213604E-9</v>
      </c>
      <c r="G28409">
        <v>12052046</v>
      </c>
      <c r="H28409">
        <v>10752516</v>
      </c>
      <c r="I28409">
        <v>39986009</v>
      </c>
      <c r="J28409">
        <v>7</v>
      </c>
    </row>
    <row r="28410" spans="1:10" x14ac:dyDescent="0.25">
      <c r="A28410" t="s">
        <v>320</v>
      </c>
      <c r="B28410" s="1" t="str">
        <f>HYPERLINK("http://vanish.ro","vanish.ro")</f>
        <v>vanish.ro</v>
      </c>
      <c r="C28410" t="s">
        <v>491</v>
      </c>
      <c r="D28410" t="s">
        <v>865</v>
      </c>
      <c r="F28410">
        <v>7.9930098461360804E-9</v>
      </c>
      <c r="G28410">
        <v>9933409</v>
      </c>
      <c r="H28410">
        <v>11035874</v>
      </c>
      <c r="I28410">
        <v>32983537</v>
      </c>
      <c r="J28410">
        <v>6</v>
      </c>
    </row>
    <row r="28411" spans="1:10" x14ac:dyDescent="0.25">
      <c r="A28411" t="s">
        <v>320</v>
      </c>
      <c r="B28411" s="1" t="str">
        <f>HYPERLINK("http://airwick.ru","airwick.ru")</f>
        <v>airwick.ru</v>
      </c>
      <c r="C28411" t="s">
        <v>493</v>
      </c>
      <c r="D28411" t="s">
        <v>867</v>
      </c>
      <c r="F28411">
        <v>7.4753672033172593E-9</v>
      </c>
      <c r="G28411">
        <v>11068930</v>
      </c>
      <c r="H28411">
        <v>10779451</v>
      </c>
      <c r="I28411">
        <v>38949873</v>
      </c>
      <c r="J28411">
        <v>4</v>
      </c>
    </row>
    <row r="28412" spans="1:10" x14ac:dyDescent="0.25">
      <c r="A28412" t="s">
        <v>320</v>
      </c>
      <c r="B28412" s="1" t="str">
        <f>HYPERLINK("http://strepsils.ru","strepsils.ru")</f>
        <v>strepsils.ru</v>
      </c>
      <c r="C28412" t="s">
        <v>493</v>
      </c>
      <c r="D28412" t="s">
        <v>867</v>
      </c>
      <c r="F28412">
        <v>7.4732791224728906E-9</v>
      </c>
      <c r="G28412">
        <v>11073441</v>
      </c>
      <c r="H28412">
        <v>10984412</v>
      </c>
      <c r="I28412">
        <v>33850608</v>
      </c>
      <c r="J28412">
        <v>7</v>
      </c>
    </row>
    <row r="28413" spans="1:10" x14ac:dyDescent="0.25">
      <c r="A28413" t="s">
        <v>320</v>
      </c>
      <c r="B28413" s="1" t="str">
        <f>HYPERLINK("http://vanish.ru","vanish.ru")</f>
        <v>vanish.ru</v>
      </c>
      <c r="C28413" t="s">
        <v>493</v>
      </c>
      <c r="D28413" t="s">
        <v>867</v>
      </c>
      <c r="F28413">
        <v>8.7098660706841602E-9</v>
      </c>
      <c r="G28413">
        <v>8460184</v>
      </c>
      <c r="H28413">
        <v>11306702</v>
      </c>
      <c r="I28413">
        <v>30576488</v>
      </c>
      <c r="J28413">
        <v>5</v>
      </c>
    </row>
    <row r="28414" spans="1:10" x14ac:dyDescent="0.25">
      <c r="A28414" t="s">
        <v>320</v>
      </c>
      <c r="B28414" s="1" t="str">
        <f>HYPERLINK("http://airwick.se","airwick.se")</f>
        <v>airwick.se</v>
      </c>
      <c r="C28414" t="s">
        <v>495</v>
      </c>
      <c r="D28414" t="s">
        <v>869</v>
      </c>
      <c r="F28414">
        <v>7.0183497260346001E-9</v>
      </c>
      <c r="G28414">
        <v>12258233</v>
      </c>
      <c r="H28414">
        <v>10627175</v>
      </c>
      <c r="I28414">
        <v>44062895</v>
      </c>
      <c r="J28414">
        <v>4</v>
      </c>
    </row>
    <row r="28415" spans="1:10" x14ac:dyDescent="0.25">
      <c r="A28415" t="s">
        <v>320</v>
      </c>
      <c r="B28415" s="1" t="str">
        <f>HYPERLINK("http://cillitbang.se","cillitbang.se")</f>
        <v>cillitbang.se</v>
      </c>
      <c r="C28415" t="s">
        <v>495</v>
      </c>
      <c r="D28415" t="s">
        <v>869</v>
      </c>
      <c r="F28415">
        <v>6.6270101452886798E-9</v>
      </c>
      <c r="G28415">
        <v>13571181</v>
      </c>
      <c r="H28415">
        <v>13933070</v>
      </c>
      <c r="I28415">
        <v>4961835</v>
      </c>
      <c r="J28415">
        <v>7</v>
      </c>
    </row>
    <row r="28416" spans="1:10" x14ac:dyDescent="0.25">
      <c r="A28416" t="s">
        <v>320</v>
      </c>
      <c r="B28416" s="1" t="str">
        <f>HYPERLINK("http://finishinfo.se","finishinfo.se")</f>
        <v>finishinfo.se</v>
      </c>
      <c r="C28416" t="s">
        <v>495</v>
      </c>
      <c r="D28416" t="s">
        <v>869</v>
      </c>
      <c r="F28416">
        <v>5.1020431241729998E-9</v>
      </c>
      <c r="G28416">
        <v>27034606</v>
      </c>
      <c r="H28416">
        <v>11166909</v>
      </c>
      <c r="I28416">
        <v>31566336</v>
      </c>
      <c r="J28416">
        <v>7</v>
      </c>
    </row>
    <row r="28417" spans="1:10" x14ac:dyDescent="0.25">
      <c r="A28417" t="s">
        <v>320</v>
      </c>
      <c r="B28417" s="1" t="str">
        <f>HYPERLINK("http://strepsils.se","strepsils.se")</f>
        <v>strepsils.se</v>
      </c>
      <c r="C28417" t="s">
        <v>495</v>
      </c>
      <c r="D28417" t="s">
        <v>869</v>
      </c>
      <c r="F28417">
        <v>7.6390790585564995E-9</v>
      </c>
      <c r="G28417">
        <v>10711171</v>
      </c>
      <c r="H28417">
        <v>11028562</v>
      </c>
      <c r="I28417">
        <v>33123091</v>
      </c>
      <c r="J28417">
        <v>7</v>
      </c>
    </row>
    <row r="28418" spans="1:10" x14ac:dyDescent="0.25">
      <c r="A28418" t="s">
        <v>320</v>
      </c>
      <c r="B28418" s="1" t="str">
        <f>HYPERLINK("http://vanish.se","vanish.se")</f>
        <v>vanish.se</v>
      </c>
      <c r="C28418" t="s">
        <v>495</v>
      </c>
      <c r="D28418" t="s">
        <v>869</v>
      </c>
      <c r="F28418">
        <v>9.7682313044748199E-9</v>
      </c>
      <c r="G28418">
        <v>7003330</v>
      </c>
      <c r="H28418">
        <v>14486522</v>
      </c>
      <c r="I28418">
        <v>964750</v>
      </c>
      <c r="J28418">
        <v>6</v>
      </c>
    </row>
    <row r="28419" spans="1:10" x14ac:dyDescent="0.25">
      <c r="A28419" t="s">
        <v>320</v>
      </c>
      <c r="B28419" s="1" t="str">
        <f>HYPERLINK("http://veet.se","veet.se")</f>
        <v>veet.se</v>
      </c>
      <c r="C28419" t="s">
        <v>495</v>
      </c>
      <c r="D28419" t="s">
        <v>869</v>
      </c>
      <c r="F28419">
        <v>1.11776173694638E-8</v>
      </c>
      <c r="G28419">
        <v>5728757</v>
      </c>
      <c r="H28419">
        <v>12808615</v>
      </c>
      <c r="I28419">
        <v>14595901</v>
      </c>
      <c r="J28419">
        <v>7</v>
      </c>
    </row>
    <row r="28420" spans="1:10" x14ac:dyDescent="0.25">
      <c r="A28420" t="s">
        <v>320</v>
      </c>
      <c r="B28420" s="1" t="str">
        <f>HYPERLINK("http://vanish.com.sg","vanish.com.sg")</f>
        <v>vanish.com.sg</v>
      </c>
      <c r="C28420" t="s">
        <v>496</v>
      </c>
      <c r="D28420" t="s">
        <v>870</v>
      </c>
      <c r="F28420">
        <v>7.8698778312869199E-9</v>
      </c>
      <c r="G28420">
        <v>10172021</v>
      </c>
      <c r="H28420">
        <v>10837186</v>
      </c>
      <c r="I28420">
        <v>37233974</v>
      </c>
      <c r="J28420">
        <v>6</v>
      </c>
    </row>
    <row r="28421" spans="1:10" x14ac:dyDescent="0.25">
      <c r="A28421" t="s">
        <v>320</v>
      </c>
      <c r="B28421" s="1" t="str">
        <f>HYPERLINK("http://veet.com.sg","veet.com.sg")</f>
        <v>veet.com.sg</v>
      </c>
      <c r="C28421" t="s">
        <v>496</v>
      </c>
      <c r="D28421" t="s">
        <v>870</v>
      </c>
      <c r="F28421">
        <v>7.8877285300373802E-9</v>
      </c>
      <c r="G28421">
        <v>10135838</v>
      </c>
      <c r="H28421">
        <v>10757886</v>
      </c>
      <c r="I28421">
        <v>39706404</v>
      </c>
      <c r="J28421">
        <v>7</v>
      </c>
    </row>
    <row r="28422" spans="1:10" x14ac:dyDescent="0.25">
      <c r="A28422" t="s">
        <v>320</v>
      </c>
      <c r="B28422" s="1" t="str">
        <f>HYPERLINK("http://airwick.si","airwick.si")</f>
        <v>airwick.si</v>
      </c>
      <c r="C28422" t="s">
        <v>497</v>
      </c>
      <c r="D28422" t="s">
        <v>871</v>
      </c>
      <c r="F28422">
        <v>7.1237429083075401E-9</v>
      </c>
      <c r="G28422">
        <v>11949127</v>
      </c>
      <c r="H28422">
        <v>10763515</v>
      </c>
      <c r="I28422">
        <v>39485582</v>
      </c>
      <c r="J28422">
        <v>4</v>
      </c>
    </row>
    <row r="28423" spans="1:10" x14ac:dyDescent="0.25">
      <c r="A28423" t="s">
        <v>320</v>
      </c>
      <c r="B28423" s="1" t="str">
        <f>HYPERLINK("http://strepsils.si","strepsils.si")</f>
        <v>strepsils.si</v>
      </c>
      <c r="C28423" t="s">
        <v>497</v>
      </c>
      <c r="D28423" t="s">
        <v>871</v>
      </c>
      <c r="F28423">
        <v>7.0886554496096502E-9</v>
      </c>
      <c r="G28423">
        <v>12047309</v>
      </c>
      <c r="H28423">
        <v>10660667</v>
      </c>
      <c r="I28423">
        <v>43409657</v>
      </c>
      <c r="J28423">
        <v>7</v>
      </c>
    </row>
    <row r="28424" spans="1:10" x14ac:dyDescent="0.25">
      <c r="A28424" t="s">
        <v>320</v>
      </c>
      <c r="B28424" s="1" t="str">
        <f>HYPERLINK("http://airwick.sk","airwick.sk")</f>
        <v>airwick.sk</v>
      </c>
      <c r="C28424" t="s">
        <v>498</v>
      </c>
      <c r="D28424" t="s">
        <v>872</v>
      </c>
      <c r="F28424">
        <v>8.1195937165394205E-9</v>
      </c>
      <c r="G28424">
        <v>9707500</v>
      </c>
      <c r="H28424">
        <v>10970222</v>
      </c>
      <c r="I28424">
        <v>34140499</v>
      </c>
      <c r="J28424">
        <v>4</v>
      </c>
    </row>
    <row r="28425" spans="1:10" x14ac:dyDescent="0.25">
      <c r="A28425" t="s">
        <v>320</v>
      </c>
      <c r="B28425" s="1" t="str">
        <f>HYPERLINK("http://strepsils.sk","strepsils.sk")</f>
        <v>strepsils.sk</v>
      </c>
      <c r="C28425" t="s">
        <v>498</v>
      </c>
      <c r="D28425" t="s">
        <v>872</v>
      </c>
      <c r="F28425">
        <v>1.07012646889157E-8</v>
      </c>
      <c r="G28425">
        <v>6098773</v>
      </c>
      <c r="H28425">
        <v>14063350</v>
      </c>
      <c r="I28425">
        <v>3750569</v>
      </c>
      <c r="J28425">
        <v>7</v>
      </c>
    </row>
    <row r="28426" spans="1:10" x14ac:dyDescent="0.25">
      <c r="A28426" t="s">
        <v>320</v>
      </c>
      <c r="B28426" s="1" t="str">
        <f>HYPERLINK("http://vanish.sk","vanish.sk")</f>
        <v>vanish.sk</v>
      </c>
      <c r="C28426" t="s">
        <v>498</v>
      </c>
      <c r="D28426" t="s">
        <v>872</v>
      </c>
      <c r="F28426">
        <v>7.7449231472372601E-9</v>
      </c>
      <c r="G28426">
        <v>10477190</v>
      </c>
      <c r="H28426">
        <v>10733480</v>
      </c>
      <c r="I28426">
        <v>40761134</v>
      </c>
      <c r="J28426">
        <v>6</v>
      </c>
    </row>
    <row r="28427" spans="1:10" x14ac:dyDescent="0.25">
      <c r="A28427" t="s">
        <v>320</v>
      </c>
      <c r="B28427" s="1" t="str">
        <f>HYPERLINK("http://airwick.com.tr","airwick.com.tr")</f>
        <v>airwick.com.tr</v>
      </c>
      <c r="C28427" t="s">
        <v>502</v>
      </c>
      <c r="D28427" t="s">
        <v>876</v>
      </c>
      <c r="F28427">
        <v>7.3458092193180203E-9</v>
      </c>
      <c r="G28427">
        <v>11370552</v>
      </c>
      <c r="H28427">
        <v>13763647</v>
      </c>
      <c r="I28427">
        <v>7902075</v>
      </c>
      <c r="J28427">
        <v>4</v>
      </c>
    </row>
    <row r="28428" spans="1:10" x14ac:dyDescent="0.25">
      <c r="A28428" t="s">
        <v>320</v>
      </c>
      <c r="B28428" s="1" t="str">
        <f>HYPERLINK("http://vanish.com.tr","vanish.com.tr")</f>
        <v>vanish.com.tr</v>
      </c>
      <c r="C28428" t="s">
        <v>502</v>
      </c>
      <c r="D28428" t="s">
        <v>876</v>
      </c>
      <c r="F28428">
        <v>8.4838069022630699E-9</v>
      </c>
      <c r="G28428">
        <v>8876340</v>
      </c>
      <c r="H28428">
        <v>10735523</v>
      </c>
      <c r="I28428">
        <v>40640177</v>
      </c>
      <c r="J28428">
        <v>6</v>
      </c>
    </row>
    <row r="28429" spans="1:10" x14ac:dyDescent="0.25">
      <c r="A28429" t="s">
        <v>320</v>
      </c>
      <c r="B28429" s="1" t="str">
        <f>HYPERLINK("http://booth.co.uk","booth.co.uk")</f>
        <v>booth.co.uk</v>
      </c>
      <c r="C28429" t="s">
        <v>506</v>
      </c>
      <c r="D28429" t="s">
        <v>880</v>
      </c>
      <c r="F28429">
        <v>4.53518709125468E-9</v>
      </c>
      <c r="G28429">
        <v>54464322</v>
      </c>
      <c r="H28429">
        <v>13763633</v>
      </c>
      <c r="I28429">
        <v>9368742</v>
      </c>
      <c r="J28429">
        <v>3</v>
      </c>
    </row>
    <row r="28430" spans="1:10" x14ac:dyDescent="0.25">
      <c r="A28430" t="s">
        <v>320</v>
      </c>
      <c r="B28430" s="1" t="str">
        <f>HYPERLINK("http://cillitbang.co.uk","cillitbang.co.uk")</f>
        <v>cillitbang.co.uk</v>
      </c>
      <c r="C28430" t="s">
        <v>506</v>
      </c>
      <c r="D28430" t="s">
        <v>880</v>
      </c>
      <c r="F28430">
        <v>6.7480817209546705E-8</v>
      </c>
      <c r="G28430">
        <v>633148</v>
      </c>
      <c r="H28430">
        <v>14126376</v>
      </c>
      <c r="I28430">
        <v>2101191</v>
      </c>
      <c r="J28430">
        <v>7</v>
      </c>
    </row>
    <row r="28431" spans="1:10" x14ac:dyDescent="0.25">
      <c r="A28431" t="s">
        <v>320</v>
      </c>
      <c r="B28431" s="1" t="str">
        <f>HYPERLINK("http://optrex.co.uk","optrex.co.uk")</f>
        <v>optrex.co.uk</v>
      </c>
      <c r="C28431" t="s">
        <v>506</v>
      </c>
      <c r="D28431" t="s">
        <v>880</v>
      </c>
      <c r="F28431">
        <v>1.05997490391753E-8</v>
      </c>
      <c r="G28431">
        <v>6184424</v>
      </c>
      <c r="H28431">
        <v>13784639</v>
      </c>
      <c r="I28431">
        <v>6410703</v>
      </c>
      <c r="J28431">
        <v>6</v>
      </c>
    </row>
    <row r="28432" spans="1:10" x14ac:dyDescent="0.25">
      <c r="A28432" t="s">
        <v>320</v>
      </c>
      <c r="B28432" s="1" t="str">
        <f>HYPERLINK("http://strepsils.co.uk","strepsils.co.uk")</f>
        <v>strepsils.co.uk</v>
      </c>
      <c r="C28432" t="s">
        <v>506</v>
      </c>
      <c r="D28432" t="s">
        <v>880</v>
      </c>
      <c r="F28432">
        <v>1.9187921634763199E-8</v>
      </c>
      <c r="G28432">
        <v>2800641</v>
      </c>
      <c r="H28432">
        <v>14022071</v>
      </c>
      <c r="I28432">
        <v>3980539</v>
      </c>
      <c r="J28432">
        <v>8</v>
      </c>
    </row>
    <row r="28433" spans="1:10" x14ac:dyDescent="0.25">
      <c r="A28433" t="s">
        <v>320</v>
      </c>
      <c r="B28433" s="1" t="str">
        <f>HYPERLINK("http://vanish.co.uk","vanish.co.uk")</f>
        <v>vanish.co.uk</v>
      </c>
      <c r="C28433" t="s">
        <v>506</v>
      </c>
      <c r="D28433" t="s">
        <v>880</v>
      </c>
      <c r="F28433">
        <v>4.1878915359929601E-8</v>
      </c>
      <c r="G28433">
        <v>1173380</v>
      </c>
      <c r="H28433">
        <v>14137657</v>
      </c>
      <c r="I28433">
        <v>1952790</v>
      </c>
      <c r="J28433">
        <v>6</v>
      </c>
    </row>
    <row r="28434" spans="1:10" x14ac:dyDescent="0.25">
      <c r="A28434" t="s">
        <v>320</v>
      </c>
      <c r="B28434" s="1" t="str">
        <f>HYPERLINK("http://veet.co.uk","veet.co.uk")</f>
        <v>veet.co.uk</v>
      </c>
      <c r="C28434" t="s">
        <v>506</v>
      </c>
      <c r="D28434" t="s">
        <v>880</v>
      </c>
      <c r="F28434">
        <v>1.8414312139818E-8</v>
      </c>
      <c r="G28434">
        <v>2942819</v>
      </c>
      <c r="H28434">
        <v>14492299</v>
      </c>
      <c r="I28434">
        <v>895929</v>
      </c>
      <c r="J28434">
        <v>8</v>
      </c>
    </row>
    <row r="28435" spans="1:10" x14ac:dyDescent="0.25">
      <c r="A28435" t="s">
        <v>320</v>
      </c>
      <c r="B28435" s="1" t="str">
        <f>HYPERLINK("http://airwick.co.za","airwick.co.za")</f>
        <v>airwick.co.za</v>
      </c>
      <c r="C28435" t="s">
        <v>510</v>
      </c>
      <c r="D28435" t="s">
        <v>884</v>
      </c>
      <c r="F28435">
        <v>7.4547000192578399E-9</v>
      </c>
      <c r="G28435">
        <v>11114979</v>
      </c>
      <c r="H28435">
        <v>13935808</v>
      </c>
      <c r="I28435">
        <v>4515703</v>
      </c>
      <c r="J28435">
        <v>4</v>
      </c>
    </row>
    <row r="28436" spans="1:10" x14ac:dyDescent="0.25">
      <c r="A28436" t="s">
        <v>320</v>
      </c>
      <c r="B28436" s="1" t="str">
        <f>HYPERLINK("http://strepsils.co.za","strepsils.co.za")</f>
        <v>strepsils.co.za</v>
      </c>
      <c r="C28436" t="s">
        <v>510</v>
      </c>
      <c r="D28436" t="s">
        <v>884</v>
      </c>
      <c r="F28436">
        <v>7.2255953538094402E-9</v>
      </c>
      <c r="G28436">
        <v>11668925</v>
      </c>
      <c r="H28436">
        <v>10660668</v>
      </c>
      <c r="I28436">
        <v>43409642</v>
      </c>
      <c r="J28436">
        <v>7</v>
      </c>
    </row>
    <row r="28437" spans="1:10" x14ac:dyDescent="0.25">
      <c r="A28437" t="s">
        <v>320</v>
      </c>
      <c r="B28437" s="1" t="str">
        <f>HYPERLINK("http://vanish.co.za","vanish.co.za")</f>
        <v>vanish.co.za</v>
      </c>
      <c r="C28437" t="s">
        <v>510</v>
      </c>
      <c r="D28437" t="s">
        <v>884</v>
      </c>
      <c r="F28437">
        <v>7.9645255159265006E-9</v>
      </c>
      <c r="G28437">
        <v>9986568</v>
      </c>
      <c r="H28437">
        <v>13763649</v>
      </c>
      <c r="I28437">
        <v>7895594</v>
      </c>
      <c r="J28437">
        <v>6</v>
      </c>
    </row>
    <row r="28438" spans="1:10" x14ac:dyDescent="0.25">
      <c r="A28438" t="s">
        <v>320</v>
      </c>
      <c r="B28438" s="1" t="str">
        <f>HYPERLINK("http://veet.co.za","veet.co.za")</f>
        <v>veet.co.za</v>
      </c>
      <c r="C28438" t="s">
        <v>510</v>
      </c>
      <c r="D28438" t="s">
        <v>884</v>
      </c>
      <c r="F28438">
        <v>8.0788141954524102E-9</v>
      </c>
      <c r="G28438">
        <v>9779387</v>
      </c>
      <c r="H28438">
        <v>12859098</v>
      </c>
      <c r="I28438">
        <v>14205625</v>
      </c>
      <c r="J28438">
        <v>7</v>
      </c>
    </row>
    <row r="28439" spans="1:10" x14ac:dyDescent="0.25">
      <c r="A28439" t="s">
        <v>321</v>
      </c>
      <c r="B28439" s="1" t="str">
        <f>HYPERLINK("http://indeed.ae","indeed.ae")</f>
        <v>indeed.ae</v>
      </c>
      <c r="C28439" t="s">
        <v>417</v>
      </c>
      <c r="D28439" t="s">
        <v>799</v>
      </c>
      <c r="E28439">
        <v>409176</v>
      </c>
      <c r="F28439">
        <v>7.3649967959792594E-8</v>
      </c>
      <c r="G28439">
        <v>572037</v>
      </c>
      <c r="H28439">
        <v>13603676</v>
      </c>
      <c r="I28439">
        <v>9645700</v>
      </c>
      <c r="J28439">
        <v>7</v>
      </c>
    </row>
    <row r="28440" spans="1:10" x14ac:dyDescent="0.25">
      <c r="A28440" t="s">
        <v>321</v>
      </c>
      <c r="B28440" s="1" t="str">
        <f>HYPERLINK("http://glassdoor.com.ar","glassdoor.com.ar")</f>
        <v>glassdoor.com.ar</v>
      </c>
      <c r="C28440" t="s">
        <v>418</v>
      </c>
      <c r="D28440" t="s">
        <v>800</v>
      </c>
      <c r="E28440">
        <v>193744</v>
      </c>
      <c r="F28440">
        <v>8.1869464957925606E-8</v>
      </c>
      <c r="G28440">
        <v>509715</v>
      </c>
      <c r="H28440">
        <v>14324021</v>
      </c>
      <c r="I28440">
        <v>1328512</v>
      </c>
      <c r="J28440">
        <v>4</v>
      </c>
    </row>
    <row r="28441" spans="1:10" x14ac:dyDescent="0.25">
      <c r="A28441" t="s">
        <v>321</v>
      </c>
      <c r="B28441" s="1" t="str">
        <f>HYPERLINK("http://simplyhired.com.ar","simplyhired.com.ar")</f>
        <v>simplyhired.com.ar</v>
      </c>
      <c r="C28441" t="s">
        <v>418</v>
      </c>
      <c r="D28441" t="s">
        <v>800</v>
      </c>
      <c r="E28441">
        <v>470903</v>
      </c>
      <c r="F28441">
        <v>1.54239464535529E-8</v>
      </c>
      <c r="G28441">
        <v>3706937</v>
      </c>
      <c r="H28441">
        <v>12696850</v>
      </c>
      <c r="I28441">
        <v>15376915</v>
      </c>
      <c r="J28441">
        <v>7</v>
      </c>
    </row>
    <row r="28442" spans="1:10" x14ac:dyDescent="0.25">
      <c r="A28442" t="s">
        <v>321</v>
      </c>
      <c r="B28442" s="1" t="str">
        <f>HYPERLINK("http://glassdoor.at","glassdoor.at")</f>
        <v>glassdoor.at</v>
      </c>
      <c r="C28442" t="s">
        <v>419</v>
      </c>
      <c r="D28442" t="s">
        <v>801</v>
      </c>
      <c r="E28442">
        <v>602974</v>
      </c>
      <c r="F28442">
        <v>5.2710730851552101E-8</v>
      </c>
      <c r="G28442">
        <v>864637</v>
      </c>
      <c r="H28442">
        <v>14140543</v>
      </c>
      <c r="I28442">
        <v>1932833</v>
      </c>
      <c r="J28442">
        <v>4</v>
      </c>
    </row>
    <row r="28443" spans="1:10" x14ac:dyDescent="0.25">
      <c r="A28443" t="s">
        <v>321</v>
      </c>
      <c r="B28443" s="1" t="str">
        <f>HYPERLINK("http://simplyhired.at","simplyhired.at")</f>
        <v>simplyhired.at</v>
      </c>
      <c r="C28443" t="s">
        <v>419</v>
      </c>
      <c r="D28443" t="s">
        <v>801</v>
      </c>
      <c r="F28443">
        <v>1.3162004045667901E-8</v>
      </c>
      <c r="G28443">
        <v>4555371</v>
      </c>
      <c r="H28443">
        <v>13764761</v>
      </c>
      <c r="I28443">
        <v>7196089</v>
      </c>
      <c r="J28443">
        <v>7</v>
      </c>
    </row>
    <row r="28444" spans="1:10" x14ac:dyDescent="0.25">
      <c r="A28444" t="s">
        <v>321</v>
      </c>
      <c r="B28444" s="1" t="str">
        <f>HYPERLINK("http://glassdoor.com.au","glassdoor.com.au")</f>
        <v>glassdoor.com.au</v>
      </c>
      <c r="C28444" t="s">
        <v>420</v>
      </c>
      <c r="D28444" t="s">
        <v>802</v>
      </c>
      <c r="E28444">
        <v>76013</v>
      </c>
      <c r="F28444">
        <v>2.21661621987869E-7</v>
      </c>
      <c r="G28444">
        <v>170048</v>
      </c>
      <c r="H28444">
        <v>14563392</v>
      </c>
      <c r="I28444">
        <v>742739</v>
      </c>
      <c r="J28444">
        <v>4</v>
      </c>
    </row>
    <row r="28445" spans="1:10" x14ac:dyDescent="0.25">
      <c r="A28445" t="s">
        <v>321</v>
      </c>
      <c r="B28445" s="1" t="str">
        <f>HYPERLINK("http://indeed.com.au","indeed.com.au")</f>
        <v>indeed.com.au</v>
      </c>
      <c r="C28445" t="s">
        <v>420</v>
      </c>
      <c r="D28445" t="s">
        <v>802</v>
      </c>
      <c r="E28445">
        <v>194471</v>
      </c>
      <c r="F28445">
        <v>1.5021177360407598E-8</v>
      </c>
      <c r="G28445">
        <v>3832682</v>
      </c>
      <c r="H28445">
        <v>13281849</v>
      </c>
      <c r="I28445">
        <v>10908721</v>
      </c>
      <c r="J28445">
        <v>7</v>
      </c>
    </row>
    <row r="28446" spans="1:10" x14ac:dyDescent="0.25">
      <c r="A28446" t="s">
        <v>321</v>
      </c>
      <c r="B28446" s="1" t="str">
        <f>HYPERLINK("http://peoplebank.com.au","peoplebank.com.au")</f>
        <v>peoplebank.com.au</v>
      </c>
      <c r="C28446" t="s">
        <v>420</v>
      </c>
      <c r="D28446" t="s">
        <v>802</v>
      </c>
      <c r="F28446">
        <v>1.1032546728971E-8</v>
      </c>
      <c r="G28446">
        <v>5835338</v>
      </c>
      <c r="H28446">
        <v>12977488</v>
      </c>
      <c r="I28446">
        <v>13003812</v>
      </c>
      <c r="J28446">
        <v>3</v>
      </c>
    </row>
    <row r="28447" spans="1:10" x14ac:dyDescent="0.25">
      <c r="A28447" t="s">
        <v>321</v>
      </c>
      <c r="B28447" s="1" t="str">
        <f>HYPERLINK("http://rgfstaffing.com.au","rgfstaffing.com.au")</f>
        <v>rgfstaffing.com.au</v>
      </c>
      <c r="C28447" t="s">
        <v>420</v>
      </c>
      <c r="D28447" t="s">
        <v>802</v>
      </c>
      <c r="F28447">
        <v>4.1310821823832699E-8</v>
      </c>
      <c r="G28447">
        <v>1217932</v>
      </c>
      <c r="H28447">
        <v>13560581</v>
      </c>
      <c r="I28447">
        <v>9850089</v>
      </c>
      <c r="J28447">
        <v>4</v>
      </c>
    </row>
    <row r="28448" spans="1:10" x14ac:dyDescent="0.25">
      <c r="A28448" t="s">
        <v>321</v>
      </c>
      <c r="B28448" s="1" t="str">
        <f>HYPERLINK("http://rubicor.com.au","rubicor.com.au")</f>
        <v>rubicor.com.au</v>
      </c>
      <c r="C28448" t="s">
        <v>420</v>
      </c>
      <c r="D28448" t="s">
        <v>802</v>
      </c>
      <c r="F28448">
        <v>4.7925128450570198E-9</v>
      </c>
      <c r="G28448">
        <v>36386237</v>
      </c>
      <c r="H28448">
        <v>12367492</v>
      </c>
      <c r="I28448">
        <v>19457750</v>
      </c>
      <c r="J28448">
        <v>7</v>
      </c>
    </row>
    <row r="28449" spans="1:10" x14ac:dyDescent="0.25">
      <c r="A28449" t="s">
        <v>321</v>
      </c>
      <c r="B28449" s="1" t="str">
        <f>HYPERLINK("http://simplyhired.com.au","simplyhired.com.au")</f>
        <v>simplyhired.com.au</v>
      </c>
      <c r="C28449" t="s">
        <v>420</v>
      </c>
      <c r="D28449" t="s">
        <v>802</v>
      </c>
      <c r="E28449">
        <v>508599</v>
      </c>
      <c r="F28449">
        <v>1.6199857507269699E-8</v>
      </c>
      <c r="G28449">
        <v>3495403</v>
      </c>
      <c r="H28449">
        <v>12628703</v>
      </c>
      <c r="I28449">
        <v>16001050</v>
      </c>
      <c r="J28449">
        <v>7</v>
      </c>
    </row>
    <row r="28450" spans="1:10" x14ac:dyDescent="0.25">
      <c r="A28450" t="s">
        <v>321</v>
      </c>
      <c r="B28450" s="1" t="str">
        <f>HYPERLINK("http://creyfs.be","creyfs.be")</f>
        <v>creyfs.be</v>
      </c>
      <c r="C28450" t="s">
        <v>421</v>
      </c>
      <c r="D28450" t="s">
        <v>803</v>
      </c>
      <c r="F28450">
        <v>7.0672241929383897E-9</v>
      </c>
      <c r="G28450">
        <v>12106622</v>
      </c>
      <c r="H28450">
        <v>13766387</v>
      </c>
      <c r="I28450">
        <v>7010038</v>
      </c>
      <c r="J28450">
        <v>4</v>
      </c>
    </row>
    <row r="28451" spans="1:10" x14ac:dyDescent="0.25">
      <c r="A28451" t="s">
        <v>321</v>
      </c>
      <c r="B28451" s="1" t="str">
        <f>HYPERLINK("http://glassdoor.be","glassdoor.be")</f>
        <v>glassdoor.be</v>
      </c>
      <c r="C28451" t="s">
        <v>421</v>
      </c>
      <c r="D28451" t="s">
        <v>803</v>
      </c>
      <c r="E28451">
        <v>254480</v>
      </c>
      <c r="F28451">
        <v>1.02258275250686E-7</v>
      </c>
      <c r="G28451">
        <v>392730</v>
      </c>
      <c r="H28451">
        <v>14269456</v>
      </c>
      <c r="I28451">
        <v>1401820</v>
      </c>
      <c r="J28451">
        <v>4</v>
      </c>
    </row>
    <row r="28452" spans="1:10" x14ac:dyDescent="0.25">
      <c r="A28452" t="s">
        <v>321</v>
      </c>
      <c r="B28452" s="1" t="str">
        <f>HYPERLINK("http://simplyhired.be","simplyhired.be")</f>
        <v>simplyhired.be</v>
      </c>
      <c r="C28452" t="s">
        <v>421</v>
      </c>
      <c r="D28452" t="s">
        <v>803</v>
      </c>
      <c r="F28452">
        <v>1.54994776312194E-8</v>
      </c>
      <c r="G28452">
        <v>3684807</v>
      </c>
      <c r="H28452">
        <v>13765485</v>
      </c>
      <c r="I28452">
        <v>7098966</v>
      </c>
      <c r="J28452">
        <v>7</v>
      </c>
    </row>
    <row r="28453" spans="1:10" x14ac:dyDescent="0.25">
      <c r="A28453" t="s">
        <v>321</v>
      </c>
      <c r="B28453" s="1" t="str">
        <f>HYPERLINK("http://unique.be","unique.be")</f>
        <v>unique.be</v>
      </c>
      <c r="C28453" t="s">
        <v>421</v>
      </c>
      <c r="D28453" t="s">
        <v>803</v>
      </c>
      <c r="E28453">
        <v>191677</v>
      </c>
      <c r="F28453">
        <v>2.4267886371497999E-8</v>
      </c>
      <c r="G28453">
        <v>2136825</v>
      </c>
      <c r="H28453">
        <v>13770515</v>
      </c>
      <c r="I28453">
        <v>6726783</v>
      </c>
      <c r="J28453">
        <v>4</v>
      </c>
    </row>
    <row r="28454" spans="1:10" x14ac:dyDescent="0.25">
      <c r="A28454" t="s">
        <v>321</v>
      </c>
      <c r="B28454" s="1" t="str">
        <f>HYPERLINK("http://glassdoor.com.br","glassdoor.com.br")</f>
        <v>glassdoor.com.br</v>
      </c>
      <c r="C28454" t="s">
        <v>425</v>
      </c>
      <c r="D28454" t="s">
        <v>806</v>
      </c>
      <c r="E28454">
        <v>39201</v>
      </c>
      <c r="F28454">
        <v>1.8842855418563701E-7</v>
      </c>
      <c r="G28454">
        <v>204500</v>
      </c>
      <c r="H28454">
        <v>14714403</v>
      </c>
      <c r="I28454">
        <v>581304</v>
      </c>
      <c r="J28454">
        <v>4</v>
      </c>
    </row>
    <row r="28455" spans="1:10" x14ac:dyDescent="0.25">
      <c r="A28455" t="s">
        <v>321</v>
      </c>
      <c r="B28455" s="1" t="str">
        <f>HYPERLINK("http://indeed.com.br","indeed.com.br")</f>
        <v>indeed.com.br</v>
      </c>
      <c r="C28455" t="s">
        <v>425</v>
      </c>
      <c r="D28455" t="s">
        <v>806</v>
      </c>
      <c r="E28455">
        <v>232847</v>
      </c>
      <c r="F28455">
        <v>6.3456423078947595E-8</v>
      </c>
      <c r="G28455">
        <v>684848</v>
      </c>
      <c r="H28455">
        <v>14406196</v>
      </c>
      <c r="I28455">
        <v>1148678</v>
      </c>
      <c r="J28455">
        <v>7</v>
      </c>
    </row>
    <row r="28456" spans="1:10" x14ac:dyDescent="0.25">
      <c r="A28456" t="s">
        <v>321</v>
      </c>
      <c r="B28456" s="1" t="str">
        <f>HYPERLINK("http://simplyhired.com.br","simplyhired.com.br")</f>
        <v>simplyhired.com.br</v>
      </c>
      <c r="C28456" t="s">
        <v>425</v>
      </c>
      <c r="D28456" t="s">
        <v>806</v>
      </c>
      <c r="E28456">
        <v>756686</v>
      </c>
      <c r="F28456">
        <v>1.31164578038441E-8</v>
      </c>
      <c r="G28456">
        <v>4576227</v>
      </c>
      <c r="H28456">
        <v>12344611</v>
      </c>
      <c r="I28456">
        <v>19859555</v>
      </c>
      <c r="J28456">
        <v>7</v>
      </c>
    </row>
    <row r="28457" spans="1:10" x14ac:dyDescent="0.25">
      <c r="A28457" t="s">
        <v>321</v>
      </c>
      <c r="B28457" s="1" t="str">
        <f>HYPERLINK("http://glassdoor.ca","glassdoor.ca")</f>
        <v>glassdoor.ca</v>
      </c>
      <c r="C28457" t="s">
        <v>428</v>
      </c>
      <c r="D28457" t="s">
        <v>809</v>
      </c>
      <c r="E28457">
        <v>18510</v>
      </c>
      <c r="F28457">
        <v>1.23787617626585E-6</v>
      </c>
      <c r="G28457">
        <v>31442</v>
      </c>
      <c r="H28457">
        <v>15616018</v>
      </c>
      <c r="I28457">
        <v>371602</v>
      </c>
      <c r="J28457">
        <v>4</v>
      </c>
    </row>
    <row r="28458" spans="1:10" x14ac:dyDescent="0.25">
      <c r="A28458" t="s">
        <v>321</v>
      </c>
      <c r="B28458" s="1" t="str">
        <f>HYPERLINK("http://indeed.ca","indeed.ca")</f>
        <v>indeed.ca</v>
      </c>
      <c r="C28458" t="s">
        <v>428</v>
      </c>
      <c r="D28458" t="s">
        <v>809</v>
      </c>
      <c r="E28458">
        <v>278710</v>
      </c>
      <c r="F28458">
        <v>3.0614574296061597E-7</v>
      </c>
      <c r="G28458">
        <v>121435</v>
      </c>
      <c r="H28458">
        <v>14987358</v>
      </c>
      <c r="I28458">
        <v>428991</v>
      </c>
      <c r="J28458">
        <v>7</v>
      </c>
    </row>
    <row r="28459" spans="1:10" x14ac:dyDescent="0.25">
      <c r="A28459" t="s">
        <v>321</v>
      </c>
      <c r="B28459" s="1" t="str">
        <f>HYPERLINK("http://simplyhired.ca","simplyhired.ca")</f>
        <v>simplyhired.ca</v>
      </c>
      <c r="C28459" t="s">
        <v>428</v>
      </c>
      <c r="D28459" t="s">
        <v>809</v>
      </c>
      <c r="E28459">
        <v>389435</v>
      </c>
      <c r="F28459">
        <v>7.1311145446682394E-8</v>
      </c>
      <c r="G28459">
        <v>592775</v>
      </c>
      <c r="H28459">
        <v>13817421</v>
      </c>
      <c r="I28459">
        <v>6157635</v>
      </c>
      <c r="J28459">
        <v>7</v>
      </c>
    </row>
    <row r="28460" spans="1:10" x14ac:dyDescent="0.25">
      <c r="A28460" t="s">
        <v>321</v>
      </c>
      <c r="B28460" s="1" t="str">
        <f>HYPERLINK("http://glassdoor.ch","glassdoor.ch")</f>
        <v>glassdoor.ch</v>
      </c>
      <c r="C28460" t="s">
        <v>429</v>
      </c>
      <c r="D28460" t="s">
        <v>810</v>
      </c>
      <c r="E28460">
        <v>268487</v>
      </c>
      <c r="F28460">
        <v>5.90285730832817E-8</v>
      </c>
      <c r="G28460">
        <v>751229</v>
      </c>
      <c r="H28460">
        <v>14417659</v>
      </c>
      <c r="I28460">
        <v>1097196</v>
      </c>
      <c r="J28460">
        <v>4</v>
      </c>
    </row>
    <row r="28461" spans="1:10" x14ac:dyDescent="0.25">
      <c r="A28461" t="s">
        <v>321</v>
      </c>
      <c r="B28461" s="1" t="str">
        <f>HYPERLINK("http://indeed.ch","indeed.ch")</f>
        <v>indeed.ch</v>
      </c>
      <c r="C28461" t="s">
        <v>429</v>
      </c>
      <c r="D28461" t="s">
        <v>810</v>
      </c>
      <c r="F28461">
        <v>3.2451473778109803E-8</v>
      </c>
      <c r="G28461">
        <v>1592111</v>
      </c>
      <c r="H28461">
        <v>13890449</v>
      </c>
      <c r="I28461">
        <v>5962470</v>
      </c>
      <c r="J28461">
        <v>7</v>
      </c>
    </row>
    <row r="28462" spans="1:10" x14ac:dyDescent="0.25">
      <c r="A28462" t="s">
        <v>321</v>
      </c>
      <c r="B28462" s="1" t="str">
        <f>HYPERLINK("http://simplyhired.ch","simplyhired.ch")</f>
        <v>simplyhired.ch</v>
      </c>
      <c r="C28462" t="s">
        <v>429</v>
      </c>
      <c r="D28462" t="s">
        <v>810</v>
      </c>
      <c r="F28462">
        <v>1.5001598126883701E-8</v>
      </c>
      <c r="G28462">
        <v>3839267</v>
      </c>
      <c r="H28462">
        <v>13766543</v>
      </c>
      <c r="I28462">
        <v>6997167</v>
      </c>
      <c r="J28462">
        <v>7</v>
      </c>
    </row>
    <row r="28463" spans="1:10" x14ac:dyDescent="0.25">
      <c r="A28463" t="s">
        <v>321</v>
      </c>
      <c r="B28463" s="1" t="str">
        <f>HYPERLINK("http://indeed.cl","indeed.cl")</f>
        <v>indeed.cl</v>
      </c>
      <c r="C28463" t="s">
        <v>430</v>
      </c>
      <c r="D28463" t="s">
        <v>811</v>
      </c>
      <c r="F28463">
        <v>1.4279143866373E-8</v>
      </c>
      <c r="G28463">
        <v>4100663</v>
      </c>
      <c r="H28463">
        <v>12390363</v>
      </c>
      <c r="I28463">
        <v>19038302</v>
      </c>
      <c r="J28463">
        <v>7</v>
      </c>
    </row>
    <row r="28464" spans="1:10" x14ac:dyDescent="0.25">
      <c r="A28464" t="s">
        <v>321</v>
      </c>
      <c r="B28464" s="1" t="str">
        <f>HYPERLINK("http://simplyhired.cn","simplyhired.cn")</f>
        <v>simplyhired.cn</v>
      </c>
      <c r="C28464" t="s">
        <v>431</v>
      </c>
      <c r="D28464" t="s">
        <v>812</v>
      </c>
      <c r="F28464">
        <v>2.40279247800539E-8</v>
      </c>
      <c r="G28464">
        <v>2160246</v>
      </c>
      <c r="H28464">
        <v>12477057</v>
      </c>
      <c r="I28464">
        <v>17626197</v>
      </c>
      <c r="J28464">
        <v>7</v>
      </c>
    </row>
    <row r="28465" spans="1:10" x14ac:dyDescent="0.25">
      <c r="A28465" t="s">
        <v>321</v>
      </c>
      <c r="B28465" s="1" t="str">
        <f>HYPERLINK("http://advantageresourcing.com","advantageresourcing.com")</f>
        <v>advantageresourcing.com</v>
      </c>
      <c r="C28465" t="s">
        <v>433</v>
      </c>
      <c r="E28465">
        <v>603084</v>
      </c>
      <c r="F28465">
        <v>5.4774214631619201E-8</v>
      </c>
      <c r="G28465">
        <v>822124</v>
      </c>
      <c r="H28465">
        <v>16928522</v>
      </c>
      <c r="I28465">
        <v>119585</v>
      </c>
      <c r="J28465">
        <v>7</v>
      </c>
    </row>
    <row r="28466" spans="1:10" x14ac:dyDescent="0.25">
      <c r="A28466" t="s">
        <v>321</v>
      </c>
      <c r="B28466" s="1" t="str">
        <f>HYPERLINK("http://chandlermacleod.com","chandlermacleod.com")</f>
        <v>chandlermacleod.com</v>
      </c>
      <c r="C28466" t="s">
        <v>433</v>
      </c>
      <c r="E28466">
        <v>662128</v>
      </c>
      <c r="F28466">
        <v>3.6470455681104802E-8</v>
      </c>
      <c r="G28466">
        <v>1431543</v>
      </c>
      <c r="H28466">
        <v>13484369</v>
      </c>
      <c r="I28466">
        <v>9998266</v>
      </c>
      <c r="J28466">
        <v>3</v>
      </c>
    </row>
    <row r="28467" spans="1:10" x14ac:dyDescent="0.25">
      <c r="A28467" t="s">
        <v>321</v>
      </c>
      <c r="B28467" s="1" t="str">
        <f>HYPERLINK("http://glassdoor.com","glassdoor.com")</f>
        <v>glassdoor.com</v>
      </c>
      <c r="C28467" t="s">
        <v>433</v>
      </c>
      <c r="E28467">
        <v>1223</v>
      </c>
      <c r="F28467">
        <v>2.6133038687130199E-5</v>
      </c>
      <c r="G28467">
        <v>1129</v>
      </c>
      <c r="H28467">
        <v>18761268</v>
      </c>
      <c r="I28467">
        <v>875</v>
      </c>
      <c r="J28467">
        <v>3</v>
      </c>
    </row>
    <row r="28468" spans="1:10" x14ac:dyDescent="0.25">
      <c r="A28468" t="s">
        <v>321</v>
      </c>
      <c r="B28468" s="1" t="str">
        <f>HYPERLINK("http://indeed.com","indeed.com")</f>
        <v>indeed.com</v>
      </c>
      <c r="C28468" t="s">
        <v>433</v>
      </c>
      <c r="E28468">
        <v>170</v>
      </c>
      <c r="F28468">
        <v>6.4769345817342497E-5</v>
      </c>
      <c r="G28468">
        <v>400</v>
      </c>
      <c r="H28468">
        <v>19242990</v>
      </c>
      <c r="I28468">
        <v>331</v>
      </c>
      <c r="J28468">
        <v>6</v>
      </c>
    </row>
    <row r="28469" spans="1:10" x14ac:dyDescent="0.25">
      <c r="A28469" t="s">
        <v>321</v>
      </c>
      <c r="B28469" s="1" t="str">
        <f>HYPERLINK("http://indeedblog.com","indeedblog.com")</f>
        <v>indeedblog.com</v>
      </c>
      <c r="C28469" t="s">
        <v>433</v>
      </c>
      <c r="E28469">
        <v>922893</v>
      </c>
      <c r="F28469">
        <v>2.3330077869637799E-7</v>
      </c>
      <c r="G28469">
        <v>160766</v>
      </c>
      <c r="H28469">
        <v>13955958</v>
      </c>
      <c r="I28469">
        <v>4135706</v>
      </c>
      <c r="J28469">
        <v>9</v>
      </c>
    </row>
    <row r="28470" spans="1:10" x14ac:dyDescent="0.25">
      <c r="A28470" t="s">
        <v>321</v>
      </c>
      <c r="B28470" s="1" t="str">
        <f>HYPERLINK("http://indeedhelps.com","indeedhelps.com")</f>
        <v>indeedhelps.com</v>
      </c>
      <c r="C28470" t="s">
        <v>433</v>
      </c>
      <c r="F28470">
        <v>8.2816529561256301E-9</v>
      </c>
      <c r="G28470">
        <v>9301415</v>
      </c>
      <c r="H28470">
        <v>13120713</v>
      </c>
      <c r="I28470">
        <v>11990882</v>
      </c>
      <c r="J28470">
        <v>7</v>
      </c>
    </row>
    <row r="28471" spans="1:10" x14ac:dyDescent="0.25">
      <c r="A28471" t="s">
        <v>321</v>
      </c>
      <c r="B28471" s="1" t="str">
        <f>HYPERLINK("http://interviewdays.com","interviewdays.com")</f>
        <v>interviewdays.com</v>
      </c>
      <c r="C28471" t="s">
        <v>433</v>
      </c>
      <c r="F28471">
        <v>4.7871422068249398E-9</v>
      </c>
      <c r="G28471">
        <v>36665950</v>
      </c>
      <c r="H28471">
        <v>11378972</v>
      </c>
      <c r="I28471">
        <v>30288472</v>
      </c>
      <c r="J28471">
        <v>7</v>
      </c>
    </row>
    <row r="28472" spans="1:10" x14ac:dyDescent="0.25">
      <c r="A28472" t="s">
        <v>321</v>
      </c>
      <c r="B28472" s="1" t="str">
        <f>HYPERLINK("http://otterpr.com","otterpr.com")</f>
        <v>otterpr.com</v>
      </c>
      <c r="C28472" t="s">
        <v>433</v>
      </c>
      <c r="E28472">
        <v>965141</v>
      </c>
      <c r="F28472">
        <v>7.6799777728274598E-8</v>
      </c>
      <c r="G28472">
        <v>545616</v>
      </c>
      <c r="H28472">
        <v>14094378</v>
      </c>
      <c r="I28472">
        <v>2732460</v>
      </c>
      <c r="J28472">
        <v>9</v>
      </c>
    </row>
    <row r="28473" spans="1:10" x14ac:dyDescent="0.25">
      <c r="A28473" t="s">
        <v>321</v>
      </c>
      <c r="B28473" s="1" t="str">
        <f>HYPERLINK("http://recruit-holdings.com","recruit-holdings.com")</f>
        <v>recruit-holdings.com</v>
      </c>
      <c r="C28473" t="s">
        <v>433</v>
      </c>
      <c r="E28473">
        <v>592471</v>
      </c>
      <c r="F28473">
        <v>1.35834010918598E-7</v>
      </c>
      <c r="G28473">
        <v>287164</v>
      </c>
      <c r="H28473">
        <v>14293952</v>
      </c>
      <c r="I28473">
        <v>1362453</v>
      </c>
      <c r="J28473">
        <v>5</v>
      </c>
    </row>
    <row r="28474" spans="1:10" x14ac:dyDescent="0.25">
      <c r="A28474" t="s">
        <v>321</v>
      </c>
      <c r="B28474" s="1" t="str">
        <f>HYPERLINK("http://rgfstaffing.com","rgfstaffing.com")</f>
        <v>rgfstaffing.com</v>
      </c>
      <c r="C28474" t="s">
        <v>433</v>
      </c>
      <c r="F28474">
        <v>7.7165731738593997E-8</v>
      </c>
      <c r="G28474">
        <v>542736</v>
      </c>
      <c r="H28474">
        <v>13100059</v>
      </c>
      <c r="I28474">
        <v>12103969</v>
      </c>
      <c r="J28474">
        <v>3</v>
      </c>
    </row>
    <row r="28475" spans="1:10" x14ac:dyDescent="0.25">
      <c r="A28475" t="s">
        <v>321</v>
      </c>
      <c r="B28475" s="1" t="str">
        <f>HYPERLINK("http://rykcapital.com","rykcapital.com")</f>
        <v>rykcapital.com</v>
      </c>
      <c r="C28475" t="s">
        <v>433</v>
      </c>
      <c r="J28475">
        <v>3</v>
      </c>
    </row>
    <row r="28476" spans="1:10" x14ac:dyDescent="0.25">
      <c r="A28476" t="s">
        <v>321</v>
      </c>
      <c r="B28476" s="1" t="str">
        <f>HYPERLINK("http://simplyhired.com","simplyhired.com")</f>
        <v>simplyhired.com</v>
      </c>
      <c r="C28476" t="s">
        <v>433</v>
      </c>
      <c r="E28476">
        <v>9688</v>
      </c>
      <c r="F28476">
        <v>1.6333776946845101E-6</v>
      </c>
      <c r="G28476">
        <v>24163</v>
      </c>
      <c r="H28476">
        <v>17529106</v>
      </c>
      <c r="I28476">
        <v>12110</v>
      </c>
      <c r="J28476">
        <v>6</v>
      </c>
    </row>
    <row r="28477" spans="1:10" x14ac:dyDescent="0.25">
      <c r="A28477" t="s">
        <v>321</v>
      </c>
      <c r="B28477" s="1" t="str">
        <f>HYPERLINK("http://staffmark.com","staffmark.com")</f>
        <v>staffmark.com</v>
      </c>
      <c r="C28477" t="s">
        <v>433</v>
      </c>
      <c r="E28477">
        <v>321430</v>
      </c>
      <c r="F28477">
        <v>9.0750746562513397E-8</v>
      </c>
      <c r="G28477">
        <v>449347</v>
      </c>
      <c r="H28477">
        <v>16892120</v>
      </c>
      <c r="I28477">
        <v>134714</v>
      </c>
      <c r="J28477">
        <v>3</v>
      </c>
    </row>
    <row r="28478" spans="1:10" x14ac:dyDescent="0.25">
      <c r="A28478" t="s">
        <v>321</v>
      </c>
      <c r="B28478" s="1" t="str">
        <f>HYPERLINK("http://staffmarkgroup.com","staffmarkgroup.com")</f>
        <v>staffmarkgroup.com</v>
      </c>
      <c r="C28478" t="s">
        <v>433</v>
      </c>
      <c r="F28478">
        <v>1.31595452272151E-7</v>
      </c>
      <c r="G28478">
        <v>297113</v>
      </c>
      <c r="H28478">
        <v>16816344</v>
      </c>
      <c r="I28478">
        <v>188093</v>
      </c>
      <c r="J28478">
        <v>4</v>
      </c>
    </row>
    <row r="28479" spans="1:10" x14ac:dyDescent="0.25">
      <c r="A28479" t="s">
        <v>321</v>
      </c>
      <c r="B28479" s="1" t="str">
        <f>HYPERLINK("http://thecoutureclub.com","thecoutureclub.com")</f>
        <v>thecoutureclub.com</v>
      </c>
      <c r="C28479" t="s">
        <v>433</v>
      </c>
      <c r="E28479">
        <v>382413</v>
      </c>
      <c r="F28479">
        <v>6.3392392379991602E-8</v>
      </c>
      <c r="G28479">
        <v>685819</v>
      </c>
      <c r="H28479">
        <v>14078333</v>
      </c>
      <c r="I28479">
        <v>2848647</v>
      </c>
      <c r="J28479">
        <v>10</v>
      </c>
    </row>
    <row r="28480" spans="1:10" x14ac:dyDescent="0.25">
      <c r="A28480" t="s">
        <v>321</v>
      </c>
      <c r="B28480" s="1" t="str">
        <f>HYPERLINK("http://glassdoor.de","glassdoor.de")</f>
        <v>glassdoor.de</v>
      </c>
      <c r="C28480" t="s">
        <v>436</v>
      </c>
      <c r="D28480" t="s">
        <v>815</v>
      </c>
      <c r="E28480">
        <v>75371</v>
      </c>
      <c r="F28480">
        <v>1.0370832088974501E-6</v>
      </c>
      <c r="G28480">
        <v>36955</v>
      </c>
      <c r="H28480">
        <v>14903784</v>
      </c>
      <c r="I28480">
        <v>461376</v>
      </c>
      <c r="J28480">
        <v>4</v>
      </c>
    </row>
    <row r="28481" spans="1:10" x14ac:dyDescent="0.25">
      <c r="A28481" t="s">
        <v>321</v>
      </c>
      <c r="B28481" s="1" t="str">
        <f>HYPERLINK("http://indeed.de","indeed.de")</f>
        <v>indeed.de</v>
      </c>
      <c r="C28481" t="s">
        <v>436</v>
      </c>
      <c r="D28481" t="s">
        <v>815</v>
      </c>
      <c r="E28481">
        <v>926191</v>
      </c>
      <c r="F28481">
        <v>7.4284777573352795E-8</v>
      </c>
      <c r="G28481">
        <v>566584</v>
      </c>
      <c r="H28481">
        <v>13423324</v>
      </c>
      <c r="I28481">
        <v>10298434</v>
      </c>
      <c r="J28481">
        <v>7</v>
      </c>
    </row>
    <row r="28482" spans="1:10" x14ac:dyDescent="0.25">
      <c r="A28482" t="s">
        <v>321</v>
      </c>
      <c r="B28482" s="1" t="str">
        <f>HYPERLINK("http://simplyhired.de","simplyhired.de")</f>
        <v>simplyhired.de</v>
      </c>
      <c r="C28482" t="s">
        <v>436</v>
      </c>
      <c r="D28482" t="s">
        <v>815</v>
      </c>
      <c r="F28482">
        <v>3.0225086297850601E-8</v>
      </c>
      <c r="G28482">
        <v>1702729</v>
      </c>
      <c r="H28482">
        <v>13334115</v>
      </c>
      <c r="I28482">
        <v>10698805</v>
      </c>
      <c r="J28482">
        <v>7</v>
      </c>
    </row>
    <row r="28483" spans="1:10" x14ac:dyDescent="0.25">
      <c r="A28483" t="s">
        <v>321</v>
      </c>
      <c r="B28483" s="1" t="str">
        <f>HYPERLINK("http://unique-med.de","unique-med.de")</f>
        <v>unique-med.de</v>
      </c>
      <c r="C28483" t="s">
        <v>436</v>
      </c>
      <c r="D28483" t="s">
        <v>815</v>
      </c>
      <c r="F28483">
        <v>1.5279993229702199E-8</v>
      </c>
      <c r="G28483">
        <v>3751664</v>
      </c>
      <c r="H28483">
        <v>10150269</v>
      </c>
      <c r="I28483">
        <v>59443126</v>
      </c>
      <c r="J28483">
        <v>5</v>
      </c>
    </row>
    <row r="28484" spans="1:10" x14ac:dyDescent="0.25">
      <c r="A28484" t="s">
        <v>321</v>
      </c>
      <c r="B28484" s="1" t="str">
        <f>HYPERLINK("http://unique-personal.de","unique-personal.de")</f>
        <v>unique-personal.de</v>
      </c>
      <c r="C28484" t="s">
        <v>436</v>
      </c>
      <c r="D28484" t="s">
        <v>815</v>
      </c>
      <c r="F28484">
        <v>4.6587340007130801E-8</v>
      </c>
      <c r="G28484">
        <v>1003507</v>
      </c>
      <c r="H28484">
        <v>13418025</v>
      </c>
      <c r="I28484">
        <v>10309504</v>
      </c>
      <c r="J28484">
        <v>3</v>
      </c>
    </row>
    <row r="28485" spans="1:10" x14ac:dyDescent="0.25">
      <c r="A28485" t="s">
        <v>321</v>
      </c>
      <c r="B28485" s="1" t="str">
        <f>HYPERLINK("http://indeed.design","indeed.design")</f>
        <v>indeed.design</v>
      </c>
      <c r="C28485" t="s">
        <v>582</v>
      </c>
      <c r="F28485">
        <v>5.4063678672730299E-8</v>
      </c>
      <c r="G28485">
        <v>837320</v>
      </c>
      <c r="H28485">
        <v>13346009</v>
      </c>
      <c r="I28485">
        <v>10649689</v>
      </c>
      <c r="J28485">
        <v>8</v>
      </c>
    </row>
    <row r="28486" spans="1:10" x14ac:dyDescent="0.25">
      <c r="A28486" t="s">
        <v>321</v>
      </c>
      <c r="B28486" s="1" t="str">
        <f>HYPERLINK("http://glassdoor.es","glassdoor.es")</f>
        <v>glassdoor.es</v>
      </c>
      <c r="C28486" t="s">
        <v>443</v>
      </c>
      <c r="D28486" t="s">
        <v>822</v>
      </c>
      <c r="E28486">
        <v>221737</v>
      </c>
      <c r="F28486">
        <v>1.4193287367030399E-7</v>
      </c>
      <c r="G28486">
        <v>274280</v>
      </c>
      <c r="H28486">
        <v>14248715</v>
      </c>
      <c r="I28486">
        <v>1452050</v>
      </c>
      <c r="J28486">
        <v>4</v>
      </c>
    </row>
    <row r="28487" spans="1:10" x14ac:dyDescent="0.25">
      <c r="A28487" t="s">
        <v>321</v>
      </c>
      <c r="B28487" s="1" t="str">
        <f>HYPERLINK("http://indeed.es","indeed.es")</f>
        <v>indeed.es</v>
      </c>
      <c r="C28487" t="s">
        <v>443</v>
      </c>
      <c r="D28487" t="s">
        <v>822</v>
      </c>
      <c r="E28487">
        <v>399989</v>
      </c>
      <c r="F28487">
        <v>1.4366069093698101E-7</v>
      </c>
      <c r="G28487">
        <v>271009</v>
      </c>
      <c r="H28487">
        <v>14195952</v>
      </c>
      <c r="I28487">
        <v>1735747</v>
      </c>
      <c r="J28487">
        <v>7</v>
      </c>
    </row>
    <row r="28488" spans="1:10" x14ac:dyDescent="0.25">
      <c r="A28488" t="s">
        <v>321</v>
      </c>
      <c r="B28488" s="1" t="str">
        <f>HYPERLINK("http://simplyhired.es","simplyhired.es")</f>
        <v>simplyhired.es</v>
      </c>
      <c r="C28488" t="s">
        <v>443</v>
      </c>
      <c r="D28488" t="s">
        <v>822</v>
      </c>
      <c r="F28488">
        <v>3.6979814128309601E-8</v>
      </c>
      <c r="G28488">
        <v>1403494</v>
      </c>
      <c r="H28488">
        <v>14128928</v>
      </c>
      <c r="I28488">
        <v>2053626</v>
      </c>
      <c r="J28488">
        <v>7</v>
      </c>
    </row>
    <row r="28489" spans="1:10" x14ac:dyDescent="0.25">
      <c r="A28489" t="s">
        <v>321</v>
      </c>
      <c r="B28489" s="1" t="str">
        <f>HYPERLINK("http://glassdoor.fi","glassdoor.fi")</f>
        <v>glassdoor.fi</v>
      </c>
      <c r="C28489" t="s">
        <v>445</v>
      </c>
      <c r="D28489" t="s">
        <v>823</v>
      </c>
      <c r="J28489">
        <v>4</v>
      </c>
    </row>
    <row r="28490" spans="1:10" x14ac:dyDescent="0.25">
      <c r="A28490" t="s">
        <v>321</v>
      </c>
      <c r="B28490" s="1" t="str">
        <f>HYPERLINK("http://indeed.fi","indeed.fi")</f>
        <v>indeed.fi</v>
      </c>
      <c r="C28490" t="s">
        <v>445</v>
      </c>
      <c r="D28490" t="s">
        <v>823</v>
      </c>
      <c r="F28490">
        <v>3.1102679681747303E-8</v>
      </c>
      <c r="G28490">
        <v>1657321</v>
      </c>
      <c r="H28490">
        <v>13830623</v>
      </c>
      <c r="I28490">
        <v>6109089</v>
      </c>
      <c r="J28490">
        <v>7</v>
      </c>
    </row>
    <row r="28491" spans="1:10" x14ac:dyDescent="0.25">
      <c r="A28491" t="s">
        <v>321</v>
      </c>
      <c r="B28491" s="1" t="str">
        <f>HYPERLINK("http://interviewed.fi","interviewed.fi")</f>
        <v>interviewed.fi</v>
      </c>
      <c r="C28491" t="s">
        <v>445</v>
      </c>
      <c r="D28491" t="s">
        <v>823</v>
      </c>
      <c r="J28491">
        <v>9</v>
      </c>
    </row>
    <row r="28492" spans="1:10" x14ac:dyDescent="0.25">
      <c r="A28492" t="s">
        <v>321</v>
      </c>
      <c r="B28492" s="1" t="str">
        <f>HYPERLINK("http://glassdoor.fr","glassdoor.fr")</f>
        <v>glassdoor.fr</v>
      </c>
      <c r="C28492" t="s">
        <v>446</v>
      </c>
      <c r="D28492" t="s">
        <v>824</v>
      </c>
      <c r="E28492">
        <v>96028</v>
      </c>
      <c r="F28492">
        <v>6.6901401088974E-7</v>
      </c>
      <c r="G28492">
        <v>57574</v>
      </c>
      <c r="H28492">
        <v>15112309</v>
      </c>
      <c r="I28492">
        <v>404827</v>
      </c>
      <c r="J28492">
        <v>4</v>
      </c>
    </row>
    <row r="28493" spans="1:10" x14ac:dyDescent="0.25">
      <c r="A28493" t="s">
        <v>321</v>
      </c>
      <c r="B28493" s="1" t="str">
        <f>HYPERLINK("http://indeed.fr","indeed.fr")</f>
        <v>indeed.fr</v>
      </c>
      <c r="C28493" t="s">
        <v>446</v>
      </c>
      <c r="D28493" t="s">
        <v>824</v>
      </c>
      <c r="E28493">
        <v>215141</v>
      </c>
      <c r="F28493">
        <v>3.1226881583811101E-7</v>
      </c>
      <c r="G28493">
        <v>119074</v>
      </c>
      <c r="H28493">
        <v>14478749</v>
      </c>
      <c r="I28493">
        <v>1029100</v>
      </c>
      <c r="J28493">
        <v>7</v>
      </c>
    </row>
    <row r="28494" spans="1:10" x14ac:dyDescent="0.25">
      <c r="A28494" t="s">
        <v>321</v>
      </c>
      <c r="B28494" s="1" t="str">
        <f>HYPERLINK("http://simplyhired.fr","simplyhired.fr")</f>
        <v>simplyhired.fr</v>
      </c>
      <c r="C28494" t="s">
        <v>446</v>
      </c>
      <c r="D28494" t="s">
        <v>824</v>
      </c>
      <c r="F28494">
        <v>2.9177034487728001E-8</v>
      </c>
      <c r="G28494">
        <v>1765237</v>
      </c>
      <c r="H28494">
        <v>13946190</v>
      </c>
      <c r="I28494">
        <v>4223960</v>
      </c>
      <c r="J28494">
        <v>7</v>
      </c>
    </row>
    <row r="28495" spans="1:10" x14ac:dyDescent="0.25">
      <c r="A28495" t="s">
        <v>321</v>
      </c>
      <c r="B28495" s="1" t="str">
        <f>HYPERLINK("http://chandlermacleod.com.hk","chandlermacleod.com.hk")</f>
        <v>chandlermacleod.com.hk</v>
      </c>
      <c r="C28495" t="s">
        <v>450</v>
      </c>
      <c r="D28495" t="s">
        <v>827</v>
      </c>
      <c r="F28495">
        <v>5.1940117076288002E-9</v>
      </c>
      <c r="G28495">
        <v>25268932</v>
      </c>
      <c r="H28495">
        <v>10682281</v>
      </c>
      <c r="I28495">
        <v>42706063</v>
      </c>
      <c r="J28495">
        <v>4</v>
      </c>
    </row>
    <row r="28496" spans="1:10" x14ac:dyDescent="0.25">
      <c r="A28496" t="s">
        <v>321</v>
      </c>
      <c r="B28496" s="1" t="str">
        <f>HYPERLINK("http://glassdoor.com.hk","glassdoor.com.hk")</f>
        <v>glassdoor.com.hk</v>
      </c>
      <c r="C28496" t="s">
        <v>450</v>
      </c>
      <c r="D28496" t="s">
        <v>827</v>
      </c>
      <c r="E28496">
        <v>165147</v>
      </c>
      <c r="F28496">
        <v>5.2139092084280603E-8</v>
      </c>
      <c r="G28496">
        <v>875446</v>
      </c>
      <c r="H28496">
        <v>14427158</v>
      </c>
      <c r="I28496">
        <v>1078102</v>
      </c>
      <c r="J28496">
        <v>4</v>
      </c>
    </row>
    <row r="28497" spans="1:10" x14ac:dyDescent="0.25">
      <c r="A28497" t="s">
        <v>321</v>
      </c>
      <c r="B28497" s="1" t="str">
        <f>HYPERLINK("http://indeed.hk","indeed.hk")</f>
        <v>indeed.hk</v>
      </c>
      <c r="C28497" t="s">
        <v>450</v>
      </c>
      <c r="D28497" t="s">
        <v>827</v>
      </c>
      <c r="F28497">
        <v>2.14819303253542E-8</v>
      </c>
      <c r="G28497">
        <v>2451296</v>
      </c>
      <c r="H28497">
        <v>13658534</v>
      </c>
      <c r="I28497">
        <v>9602211</v>
      </c>
      <c r="J28497">
        <v>7</v>
      </c>
    </row>
    <row r="28498" spans="1:10" x14ac:dyDescent="0.25">
      <c r="A28498" t="s">
        <v>321</v>
      </c>
      <c r="B28498" s="1" t="str">
        <f>HYPERLINK("http://glassdoor.ie","glassdoor.ie")</f>
        <v>glassdoor.ie</v>
      </c>
      <c r="C28498" t="s">
        <v>455</v>
      </c>
      <c r="D28498" t="s">
        <v>832</v>
      </c>
      <c r="E28498">
        <v>61271</v>
      </c>
      <c r="F28498">
        <v>1.62834216463282E-7</v>
      </c>
      <c r="G28498">
        <v>238372</v>
      </c>
      <c r="H28498">
        <v>14512198</v>
      </c>
      <c r="I28498">
        <v>819727</v>
      </c>
      <c r="J28498">
        <v>4</v>
      </c>
    </row>
    <row r="28499" spans="1:10" x14ac:dyDescent="0.25">
      <c r="A28499" t="s">
        <v>321</v>
      </c>
      <c r="B28499" s="1" t="str">
        <f>HYPERLINK("http://indeed.ie","indeed.ie")</f>
        <v>indeed.ie</v>
      </c>
      <c r="C28499" t="s">
        <v>455</v>
      </c>
      <c r="D28499" t="s">
        <v>832</v>
      </c>
      <c r="F28499">
        <v>1.5235650980674499E-8</v>
      </c>
      <c r="G28499">
        <v>3765069</v>
      </c>
      <c r="H28499">
        <v>13770769</v>
      </c>
      <c r="I28499">
        <v>6716982</v>
      </c>
      <c r="J28499">
        <v>7</v>
      </c>
    </row>
    <row r="28500" spans="1:10" x14ac:dyDescent="0.25">
      <c r="A28500" t="s">
        <v>321</v>
      </c>
      <c r="B28500" s="1" t="str">
        <f>HYPERLINK("http://simplyhired.ie","simplyhired.ie")</f>
        <v>simplyhired.ie</v>
      </c>
      <c r="C28500" t="s">
        <v>455</v>
      </c>
      <c r="D28500" t="s">
        <v>832</v>
      </c>
      <c r="F28500">
        <v>1.6499727156095001E-8</v>
      </c>
      <c r="G28500">
        <v>3413638</v>
      </c>
      <c r="H28500">
        <v>13940444</v>
      </c>
      <c r="I28500">
        <v>4369013</v>
      </c>
      <c r="J28500">
        <v>7</v>
      </c>
    </row>
    <row r="28501" spans="1:10" x14ac:dyDescent="0.25">
      <c r="A28501" t="s">
        <v>321</v>
      </c>
      <c r="B28501" s="1" t="str">
        <f>HYPERLINK("http://glassdoor.co.in","glassdoor.co.in")</f>
        <v>glassdoor.co.in</v>
      </c>
      <c r="C28501" t="s">
        <v>457</v>
      </c>
      <c r="D28501" t="s">
        <v>834</v>
      </c>
      <c r="E28501">
        <v>11051</v>
      </c>
      <c r="F28501">
        <v>1.2666033135355401E-6</v>
      </c>
      <c r="G28501">
        <v>30777</v>
      </c>
      <c r="H28501">
        <v>17443844</v>
      </c>
      <c r="I28501">
        <v>16482</v>
      </c>
      <c r="J28501">
        <v>4</v>
      </c>
    </row>
    <row r="28502" spans="1:10" x14ac:dyDescent="0.25">
      <c r="A28502" t="s">
        <v>321</v>
      </c>
      <c r="B28502" s="1" t="str">
        <f>HYPERLINK("http://indeed.co.in","indeed.co.in")</f>
        <v>indeed.co.in</v>
      </c>
      <c r="C28502" t="s">
        <v>457</v>
      </c>
      <c r="D28502" t="s">
        <v>834</v>
      </c>
      <c r="E28502">
        <v>201434</v>
      </c>
      <c r="F28502">
        <v>1.8342770503527599E-7</v>
      </c>
      <c r="G28502">
        <v>210242</v>
      </c>
      <c r="H28502">
        <v>14535885</v>
      </c>
      <c r="I28502">
        <v>780299</v>
      </c>
      <c r="J28502">
        <v>7</v>
      </c>
    </row>
    <row r="28503" spans="1:10" x14ac:dyDescent="0.25">
      <c r="A28503" t="s">
        <v>321</v>
      </c>
      <c r="B28503" s="1" t="str">
        <f>HYPERLINK("http://simplyhired.co.in","simplyhired.co.in")</f>
        <v>simplyhired.co.in</v>
      </c>
      <c r="C28503" t="s">
        <v>457</v>
      </c>
      <c r="D28503" t="s">
        <v>834</v>
      </c>
      <c r="E28503">
        <v>153848</v>
      </c>
      <c r="F28503">
        <v>3.3453265066463701E-8</v>
      </c>
      <c r="G28503">
        <v>1545265</v>
      </c>
      <c r="H28503">
        <v>14135098</v>
      </c>
      <c r="I28503">
        <v>1972906</v>
      </c>
      <c r="J28503">
        <v>7</v>
      </c>
    </row>
    <row r="28504" spans="1:10" x14ac:dyDescent="0.25">
      <c r="A28504" t="s">
        <v>321</v>
      </c>
      <c r="B28504" s="1" t="str">
        <f>HYPERLINK("http://glassdoor.it","glassdoor.it")</f>
        <v>glassdoor.it</v>
      </c>
      <c r="C28504" t="s">
        <v>459</v>
      </c>
      <c r="D28504" t="s">
        <v>835</v>
      </c>
      <c r="E28504">
        <v>277074</v>
      </c>
      <c r="F28504">
        <v>9.9048746613009901E-8</v>
      </c>
      <c r="G28504">
        <v>406716</v>
      </c>
      <c r="H28504">
        <v>14070634</v>
      </c>
      <c r="I28504">
        <v>3717123</v>
      </c>
      <c r="J28504">
        <v>4</v>
      </c>
    </row>
    <row r="28505" spans="1:10" x14ac:dyDescent="0.25">
      <c r="A28505" t="s">
        <v>321</v>
      </c>
      <c r="B28505" s="1" t="str">
        <f>HYPERLINK("http://simplyhired.it","simplyhired.it")</f>
        <v>simplyhired.it</v>
      </c>
      <c r="C28505" t="s">
        <v>459</v>
      </c>
      <c r="D28505" t="s">
        <v>835</v>
      </c>
      <c r="F28505">
        <v>7.6122217166188306E-8</v>
      </c>
      <c r="G28505">
        <v>551727</v>
      </c>
      <c r="H28505">
        <v>13168123</v>
      </c>
      <c r="I28505">
        <v>11732059</v>
      </c>
      <c r="J28505">
        <v>7</v>
      </c>
    </row>
    <row r="28506" spans="1:10" x14ac:dyDescent="0.25">
      <c r="A28506" t="s">
        <v>321</v>
      </c>
      <c r="B28506" s="1" t="str">
        <f>HYPERLINK("http://indeed.jobs","indeed.jobs")</f>
        <v>indeed.jobs</v>
      </c>
      <c r="C28506" t="s">
        <v>521</v>
      </c>
      <c r="E28506">
        <v>111429</v>
      </c>
      <c r="F28506">
        <v>1.8184883487327099E-7</v>
      </c>
      <c r="G28506">
        <v>212219</v>
      </c>
      <c r="H28506">
        <v>14434395</v>
      </c>
      <c r="I28506">
        <v>1070019</v>
      </c>
      <c r="J28506">
        <v>7</v>
      </c>
    </row>
    <row r="28507" spans="1:10" x14ac:dyDescent="0.25">
      <c r="A28507" t="s">
        <v>321</v>
      </c>
      <c r="B28507" s="1" t="str">
        <f>HYPERLINK("http://r-staffing.co.jp","r-staffing.co.jp")</f>
        <v>r-staffing.co.jp</v>
      </c>
      <c r="C28507" t="s">
        <v>461</v>
      </c>
      <c r="D28507" t="s">
        <v>837</v>
      </c>
      <c r="E28507">
        <v>67772</v>
      </c>
      <c r="F28507">
        <v>1.4370191007577201E-7</v>
      </c>
      <c r="G28507">
        <v>270931</v>
      </c>
      <c r="H28507">
        <v>14199084</v>
      </c>
      <c r="I28507">
        <v>1727111</v>
      </c>
      <c r="J28507">
        <v>3</v>
      </c>
    </row>
    <row r="28508" spans="1:10" x14ac:dyDescent="0.25">
      <c r="A28508" t="s">
        <v>321</v>
      </c>
      <c r="B28508" s="1" t="str">
        <f>HYPERLINK("http://recruit.co.jp","recruit.co.jp")</f>
        <v>recruit.co.jp</v>
      </c>
      <c r="C28508" t="s">
        <v>461</v>
      </c>
      <c r="D28508" t="s">
        <v>837</v>
      </c>
      <c r="E28508">
        <v>10238</v>
      </c>
      <c r="F28508">
        <v>2.0750174564757901E-6</v>
      </c>
      <c r="G28508">
        <v>17627</v>
      </c>
      <c r="H28508">
        <v>17292238</v>
      </c>
      <c r="I28508">
        <v>28756</v>
      </c>
      <c r="J28508">
        <v>1</v>
      </c>
    </row>
    <row r="28509" spans="1:10" x14ac:dyDescent="0.25">
      <c r="A28509" t="s">
        <v>321</v>
      </c>
      <c r="B28509" s="1" t="str">
        <f>HYPERLINK("http://recruit-holdings.co.jp","recruit-holdings.co.jp")</f>
        <v>recruit-holdings.co.jp</v>
      </c>
      <c r="C28509" t="s">
        <v>461</v>
      </c>
      <c r="D28509" t="s">
        <v>837</v>
      </c>
      <c r="F28509">
        <v>5.8218435440578101E-8</v>
      </c>
      <c r="G28509">
        <v>763895</v>
      </c>
      <c r="H28509">
        <v>14162622</v>
      </c>
      <c r="I28509">
        <v>1832108</v>
      </c>
      <c r="J28509">
        <v>6</v>
      </c>
    </row>
    <row r="28510" spans="1:10" x14ac:dyDescent="0.25">
      <c r="A28510" t="s">
        <v>321</v>
      </c>
      <c r="B28510" s="1" t="str">
        <f>HYPERLINK("http://recruit-ms.co.jp","recruit-ms.co.jp")</f>
        <v>recruit-ms.co.jp</v>
      </c>
      <c r="C28510" t="s">
        <v>461</v>
      </c>
      <c r="D28510" t="s">
        <v>837</v>
      </c>
      <c r="E28510">
        <v>575814</v>
      </c>
      <c r="F28510">
        <v>1.4014192750604399E-7</v>
      </c>
      <c r="G28510">
        <v>277938</v>
      </c>
      <c r="H28510">
        <v>14501253</v>
      </c>
      <c r="I28510">
        <v>850330</v>
      </c>
      <c r="J28510">
        <v>6</v>
      </c>
    </row>
    <row r="28511" spans="1:10" x14ac:dyDescent="0.25">
      <c r="A28511" t="s">
        <v>321</v>
      </c>
      <c r="B28511" s="1" t="str">
        <f>HYPERLINK("http://staffservice.co.jp","staffservice.co.jp")</f>
        <v>staffservice.co.jp</v>
      </c>
      <c r="C28511" t="s">
        <v>461</v>
      </c>
      <c r="D28511" t="s">
        <v>837</v>
      </c>
      <c r="E28511">
        <v>324637</v>
      </c>
      <c r="F28511">
        <v>6.0495173907366898E-8</v>
      </c>
      <c r="G28511">
        <v>728870</v>
      </c>
      <c r="H28511">
        <v>13412246</v>
      </c>
      <c r="I28511">
        <v>10325506</v>
      </c>
      <c r="J28511">
        <v>3</v>
      </c>
    </row>
    <row r="28512" spans="1:10" x14ac:dyDescent="0.25">
      <c r="A28512" t="s">
        <v>321</v>
      </c>
      <c r="B28512" s="1" t="str">
        <f>HYPERLINK("http://indeed.jp","indeed.jp")</f>
        <v>indeed.jp</v>
      </c>
      <c r="C28512" t="s">
        <v>461</v>
      </c>
      <c r="D28512" t="s">
        <v>837</v>
      </c>
      <c r="F28512">
        <v>2.99771228474001E-8</v>
      </c>
      <c r="G28512">
        <v>1716225</v>
      </c>
      <c r="H28512">
        <v>13424320</v>
      </c>
      <c r="I28512">
        <v>10296577</v>
      </c>
      <c r="J28512">
        <v>7</v>
      </c>
    </row>
    <row r="28513" spans="1:10" x14ac:dyDescent="0.25">
      <c r="A28513" t="s">
        <v>321</v>
      </c>
      <c r="B28513" s="1" t="str">
        <f>HYPERLINK("http://recruit.jp","recruit.jp")</f>
        <v>recruit.jp</v>
      </c>
      <c r="C28513" t="s">
        <v>461</v>
      </c>
      <c r="D28513" t="s">
        <v>837</v>
      </c>
      <c r="E28513">
        <v>503192</v>
      </c>
      <c r="F28513">
        <v>2.8683948878497501E-7</v>
      </c>
      <c r="G28513">
        <v>129601</v>
      </c>
      <c r="H28513">
        <v>17181662</v>
      </c>
      <c r="I28513">
        <v>45206</v>
      </c>
      <c r="J28513">
        <v>2</v>
      </c>
    </row>
    <row r="28514" spans="1:10" x14ac:dyDescent="0.25">
      <c r="A28514" t="s">
        <v>321</v>
      </c>
      <c r="B28514" s="1" t="str">
        <f>HYPERLINK("http://recruit-jinji.jp","recruit-jinji.jp")</f>
        <v>recruit-jinji.jp</v>
      </c>
      <c r="C28514" t="s">
        <v>461</v>
      </c>
      <c r="D28514" t="s">
        <v>837</v>
      </c>
      <c r="F28514">
        <v>2.4633952197073401E-8</v>
      </c>
      <c r="G28514">
        <v>2102429</v>
      </c>
      <c r="H28514">
        <v>14126947</v>
      </c>
      <c r="I28514">
        <v>2091308</v>
      </c>
      <c r="J28514">
        <v>4</v>
      </c>
    </row>
    <row r="28515" spans="1:10" x14ac:dyDescent="0.25">
      <c r="A28515" t="s">
        <v>321</v>
      </c>
      <c r="B28515" s="1" t="str">
        <f>HYPERLINK("http://simplyhired.jp","simplyhired.jp")</f>
        <v>simplyhired.jp</v>
      </c>
      <c r="C28515" t="s">
        <v>461</v>
      </c>
      <c r="D28515" t="s">
        <v>837</v>
      </c>
      <c r="F28515">
        <v>2.5846050210740899E-8</v>
      </c>
      <c r="G28515">
        <v>1994060</v>
      </c>
      <c r="H28515">
        <v>12920026</v>
      </c>
      <c r="I28515">
        <v>13435985</v>
      </c>
      <c r="J28515">
        <v>7</v>
      </c>
    </row>
    <row r="28516" spans="1:10" x14ac:dyDescent="0.25">
      <c r="A28516" t="s">
        <v>321</v>
      </c>
      <c r="B28516" s="1" t="str">
        <f>HYPERLINK("http://staffservice.jp","staffservice.jp")</f>
        <v>staffservice.jp</v>
      </c>
      <c r="C28516" t="s">
        <v>461</v>
      </c>
      <c r="D28516" t="s">
        <v>837</v>
      </c>
      <c r="F28516">
        <v>5.4113992854248496E-9</v>
      </c>
      <c r="G28516">
        <v>21968663</v>
      </c>
      <c r="H28516">
        <v>11160698</v>
      </c>
      <c r="I28516">
        <v>31623932</v>
      </c>
      <c r="J28516">
        <v>4</v>
      </c>
    </row>
    <row r="28517" spans="1:10" x14ac:dyDescent="0.25">
      <c r="A28517" t="s">
        <v>321</v>
      </c>
      <c r="B28517" s="1" t="str">
        <f>HYPERLINK("http://simplyhired.kr","simplyhired.kr")</f>
        <v>simplyhired.kr</v>
      </c>
      <c r="C28517" t="s">
        <v>463</v>
      </c>
      <c r="D28517" t="s">
        <v>839</v>
      </c>
      <c r="F28517">
        <v>2.39152826351788E-8</v>
      </c>
      <c r="G28517">
        <v>2171306</v>
      </c>
      <c r="H28517">
        <v>12929694</v>
      </c>
      <c r="I28517">
        <v>13370066</v>
      </c>
      <c r="J28517">
        <v>7</v>
      </c>
    </row>
    <row r="28518" spans="1:10" x14ac:dyDescent="0.25">
      <c r="A28518" t="s">
        <v>321</v>
      </c>
      <c r="B28518" s="1" t="str">
        <f>HYPERLINK("http://glassdoor.com.mx","glassdoor.com.mx")</f>
        <v>glassdoor.com.mx</v>
      </c>
      <c r="C28518" t="s">
        <v>471</v>
      </c>
      <c r="D28518" t="s">
        <v>847</v>
      </c>
      <c r="E28518">
        <v>132256</v>
      </c>
      <c r="F28518">
        <v>1.0692339606293E-7</v>
      </c>
      <c r="G28518">
        <v>374415</v>
      </c>
      <c r="H28518">
        <v>14517421</v>
      </c>
      <c r="I28518">
        <v>809836</v>
      </c>
      <c r="J28518">
        <v>4</v>
      </c>
    </row>
    <row r="28519" spans="1:10" x14ac:dyDescent="0.25">
      <c r="A28519" t="s">
        <v>321</v>
      </c>
      <c r="B28519" s="1" t="str">
        <f>HYPERLINK("http://indeed.com.mx","indeed.com.mx")</f>
        <v>indeed.com.mx</v>
      </c>
      <c r="C28519" t="s">
        <v>471</v>
      </c>
      <c r="D28519" t="s">
        <v>847</v>
      </c>
      <c r="E28519">
        <v>119212</v>
      </c>
      <c r="F28519">
        <v>4.4173413808963002E-8</v>
      </c>
      <c r="G28519">
        <v>1075818</v>
      </c>
      <c r="H28519">
        <v>14180013</v>
      </c>
      <c r="I28519">
        <v>1781486</v>
      </c>
      <c r="J28519">
        <v>7</v>
      </c>
    </row>
    <row r="28520" spans="1:10" x14ac:dyDescent="0.25">
      <c r="A28520" t="s">
        <v>321</v>
      </c>
      <c r="B28520" s="1" t="str">
        <f>HYPERLINK("http://simplyhired.mx","simplyhired.mx")</f>
        <v>simplyhired.mx</v>
      </c>
      <c r="C28520" t="s">
        <v>471</v>
      </c>
      <c r="D28520" t="s">
        <v>847</v>
      </c>
      <c r="F28520">
        <v>1.3540369263052E-8</v>
      </c>
      <c r="G28520">
        <v>4386981</v>
      </c>
      <c r="H28520">
        <v>12294329</v>
      </c>
      <c r="I28520">
        <v>20981017</v>
      </c>
      <c r="J28520">
        <v>7</v>
      </c>
    </row>
    <row r="28521" spans="1:10" x14ac:dyDescent="0.25">
      <c r="A28521" t="s">
        <v>321</v>
      </c>
      <c r="B28521" s="1" t="str">
        <f>HYPERLINK("http://indeed.net","indeed.net")</f>
        <v>indeed.net</v>
      </c>
      <c r="C28521" t="s">
        <v>474</v>
      </c>
      <c r="E28521">
        <v>13346</v>
      </c>
      <c r="F28521">
        <v>7.1486678692128397E-9</v>
      </c>
      <c r="G28521">
        <v>11880477</v>
      </c>
      <c r="H28521">
        <v>12698282</v>
      </c>
      <c r="I28521">
        <v>15369209</v>
      </c>
      <c r="J28521">
        <v>7</v>
      </c>
    </row>
    <row r="28522" spans="1:10" x14ac:dyDescent="0.25">
      <c r="A28522" t="s">
        <v>321</v>
      </c>
      <c r="B28522" s="1" t="str">
        <f>HYPERLINK("http://zexy.net","zexy.net")</f>
        <v>zexy.net</v>
      </c>
      <c r="C28522" t="s">
        <v>474</v>
      </c>
      <c r="E28522">
        <v>46629</v>
      </c>
      <c r="F28522">
        <v>9.0046835036647702E-7</v>
      </c>
      <c r="G28522">
        <v>44847</v>
      </c>
      <c r="H28522">
        <v>15510007</v>
      </c>
      <c r="I28522">
        <v>376413</v>
      </c>
      <c r="J28522">
        <v>5</v>
      </c>
    </row>
    <row r="28523" spans="1:10" x14ac:dyDescent="0.25">
      <c r="A28523" t="s">
        <v>321</v>
      </c>
      <c r="B28523" s="1" t="str">
        <f>HYPERLINK("http://glassdoor.nl","glassdoor.nl")</f>
        <v>glassdoor.nl</v>
      </c>
      <c r="C28523" t="s">
        <v>477</v>
      </c>
      <c r="D28523" t="s">
        <v>852</v>
      </c>
      <c r="E28523">
        <v>189982</v>
      </c>
      <c r="F28523">
        <v>2.55760582806141E-7</v>
      </c>
      <c r="G28523">
        <v>146261</v>
      </c>
      <c r="H28523">
        <v>14692899</v>
      </c>
      <c r="I28523">
        <v>600959</v>
      </c>
      <c r="J28523">
        <v>4</v>
      </c>
    </row>
    <row r="28524" spans="1:10" x14ac:dyDescent="0.25">
      <c r="A28524" t="s">
        <v>321</v>
      </c>
      <c r="B28524" s="1" t="str">
        <f>HYPERLINK("http://indeed.nl","indeed.nl")</f>
        <v>indeed.nl</v>
      </c>
      <c r="C28524" t="s">
        <v>477</v>
      </c>
      <c r="D28524" t="s">
        <v>852</v>
      </c>
      <c r="E28524">
        <v>178488</v>
      </c>
      <c r="F28524">
        <v>2.2269221292866299E-7</v>
      </c>
      <c r="G28524">
        <v>169251</v>
      </c>
      <c r="H28524">
        <v>14193560</v>
      </c>
      <c r="I28524">
        <v>1742466</v>
      </c>
      <c r="J28524">
        <v>7</v>
      </c>
    </row>
    <row r="28525" spans="1:10" x14ac:dyDescent="0.25">
      <c r="A28525" t="s">
        <v>321</v>
      </c>
      <c r="B28525" s="1" t="str">
        <f>HYPERLINK("http://rgfstaffing.nl","rgfstaffing.nl")</f>
        <v>rgfstaffing.nl</v>
      </c>
      <c r="C28525" t="s">
        <v>477</v>
      </c>
      <c r="D28525" t="s">
        <v>852</v>
      </c>
      <c r="E28525">
        <v>941008</v>
      </c>
      <c r="F28525">
        <v>4.4446653801237998E-8</v>
      </c>
      <c r="G28525">
        <v>1066798</v>
      </c>
      <c r="H28525">
        <v>13141790</v>
      </c>
      <c r="I28525">
        <v>11871664</v>
      </c>
      <c r="J28525">
        <v>4</v>
      </c>
    </row>
    <row r="28526" spans="1:10" x14ac:dyDescent="0.25">
      <c r="A28526" t="s">
        <v>321</v>
      </c>
      <c r="B28526" s="1" t="str">
        <f>HYPERLINK("http://simplyhired.nl","simplyhired.nl")</f>
        <v>simplyhired.nl</v>
      </c>
      <c r="C28526" t="s">
        <v>477</v>
      </c>
      <c r="D28526" t="s">
        <v>852</v>
      </c>
      <c r="F28526">
        <v>2.7035638056146001E-8</v>
      </c>
      <c r="G28526">
        <v>1902315</v>
      </c>
      <c r="H28526">
        <v>12627232</v>
      </c>
      <c r="I28526">
        <v>16011560</v>
      </c>
      <c r="J28526">
        <v>7</v>
      </c>
    </row>
    <row r="28527" spans="1:10" x14ac:dyDescent="0.25">
      <c r="A28527" t="s">
        <v>321</v>
      </c>
      <c r="B28527" s="1" t="str">
        <f>HYPERLINK("http://startpeople.nl","startpeople.nl")</f>
        <v>startpeople.nl</v>
      </c>
      <c r="C28527" t="s">
        <v>477</v>
      </c>
      <c r="D28527" t="s">
        <v>852</v>
      </c>
      <c r="E28527">
        <v>469976</v>
      </c>
      <c r="F28527">
        <v>1.34448128307561E-7</v>
      </c>
      <c r="G28527">
        <v>290372</v>
      </c>
      <c r="H28527">
        <v>13165825</v>
      </c>
      <c r="I28527">
        <v>11740791</v>
      </c>
      <c r="J28527">
        <v>3</v>
      </c>
    </row>
    <row r="28528" spans="1:10" x14ac:dyDescent="0.25">
      <c r="A28528" t="s">
        <v>321</v>
      </c>
      <c r="B28528" s="1" t="str">
        <f>HYPERLINK("http://chandlermacleod.co.nz","chandlermacleod.co.nz")</f>
        <v>chandlermacleod.co.nz</v>
      </c>
      <c r="C28528" t="s">
        <v>479</v>
      </c>
      <c r="D28528" t="s">
        <v>854</v>
      </c>
      <c r="F28528">
        <v>4.8311320555123203E-9</v>
      </c>
      <c r="G28528">
        <v>34800650</v>
      </c>
      <c r="H28528">
        <v>12068289</v>
      </c>
      <c r="I28528">
        <v>26825056</v>
      </c>
      <c r="J28528">
        <v>4</v>
      </c>
    </row>
    <row r="28529" spans="1:10" x14ac:dyDescent="0.25">
      <c r="A28529" t="s">
        <v>321</v>
      </c>
      <c r="B28529" s="1" t="str">
        <f>HYPERLINK("http://glassdoor.co.nz","glassdoor.co.nz")</f>
        <v>glassdoor.co.nz</v>
      </c>
      <c r="C28529" t="s">
        <v>479</v>
      </c>
      <c r="D28529" t="s">
        <v>854</v>
      </c>
      <c r="E28529">
        <v>147414</v>
      </c>
      <c r="F28529">
        <v>4.3881647462806903E-8</v>
      </c>
      <c r="G28529">
        <v>1085627</v>
      </c>
      <c r="H28529">
        <v>13970441</v>
      </c>
      <c r="I28529">
        <v>4075850</v>
      </c>
      <c r="J28529">
        <v>4</v>
      </c>
    </row>
    <row r="28530" spans="1:10" x14ac:dyDescent="0.25">
      <c r="A28530" t="s">
        <v>321</v>
      </c>
      <c r="B28530" s="1" t="str">
        <f>HYPERLINK("http://indeed.com.ph","indeed.com.ph")</f>
        <v>indeed.com.ph</v>
      </c>
      <c r="C28530" t="s">
        <v>484</v>
      </c>
      <c r="D28530" t="s">
        <v>858</v>
      </c>
      <c r="E28530">
        <v>498718</v>
      </c>
      <c r="F28530">
        <v>2.49835271875376E-8</v>
      </c>
      <c r="G28530">
        <v>2068650</v>
      </c>
      <c r="H28530">
        <v>13073226</v>
      </c>
      <c r="I28530">
        <v>12227270</v>
      </c>
      <c r="J28530">
        <v>7</v>
      </c>
    </row>
    <row r="28531" spans="1:10" x14ac:dyDescent="0.25">
      <c r="A28531" t="s">
        <v>321</v>
      </c>
      <c r="B28531" s="1" t="str">
        <f>HYPERLINK("http://indeed.com.pk","indeed.com.pk")</f>
        <v>indeed.com.pk</v>
      </c>
      <c r="C28531" t="s">
        <v>485</v>
      </c>
      <c r="D28531" t="s">
        <v>859</v>
      </c>
      <c r="E28531">
        <v>731577</v>
      </c>
      <c r="F28531">
        <v>1.31661000538199E-8</v>
      </c>
      <c r="G28531">
        <v>4553538</v>
      </c>
      <c r="H28531">
        <v>13157588</v>
      </c>
      <c r="I28531">
        <v>11796136</v>
      </c>
      <c r="J28531">
        <v>7</v>
      </c>
    </row>
    <row r="28532" spans="1:10" x14ac:dyDescent="0.25">
      <c r="A28532" t="s">
        <v>321</v>
      </c>
      <c r="B28532" s="1" t="str">
        <f>HYPERLINK("http://indeed.pt","indeed.pt")</f>
        <v>indeed.pt</v>
      </c>
      <c r="C28532" t="s">
        <v>488</v>
      </c>
      <c r="D28532" t="s">
        <v>862</v>
      </c>
      <c r="F28532">
        <v>4.2606409312365997E-8</v>
      </c>
      <c r="G28532">
        <v>1135331</v>
      </c>
      <c r="H28532">
        <v>14167312</v>
      </c>
      <c r="I28532">
        <v>1815852</v>
      </c>
      <c r="J28532">
        <v>7</v>
      </c>
    </row>
    <row r="28533" spans="1:10" x14ac:dyDescent="0.25">
      <c r="A28533" t="s">
        <v>321</v>
      </c>
      <c r="B28533" s="1" t="str">
        <f>HYPERLINK("http://simplyhired.pt","simplyhired.pt")</f>
        <v>simplyhired.pt</v>
      </c>
      <c r="C28533" t="s">
        <v>488</v>
      </c>
      <c r="D28533" t="s">
        <v>862</v>
      </c>
      <c r="F28533">
        <v>2.43403711107928E-8</v>
      </c>
      <c r="G28533">
        <v>2129997</v>
      </c>
      <c r="H28533">
        <v>12503966</v>
      </c>
      <c r="I28533">
        <v>17306220</v>
      </c>
      <c r="J28533">
        <v>7</v>
      </c>
    </row>
    <row r="28534" spans="1:10" x14ac:dyDescent="0.25">
      <c r="A28534" t="s">
        <v>321</v>
      </c>
      <c r="B28534" s="1" t="str">
        <f>HYPERLINK("http://simplyhired.ru","simplyhired.ru")</f>
        <v>simplyhired.ru</v>
      </c>
      <c r="C28534" t="s">
        <v>493</v>
      </c>
      <c r="D28534" t="s">
        <v>867</v>
      </c>
      <c r="F28534">
        <v>5.1420640105422403E-9</v>
      </c>
      <c r="G28534">
        <v>26228671</v>
      </c>
      <c r="H28534">
        <v>11509431</v>
      </c>
      <c r="I28534">
        <v>30017154</v>
      </c>
      <c r="J28534">
        <v>7</v>
      </c>
    </row>
    <row r="28535" spans="1:10" x14ac:dyDescent="0.25">
      <c r="A28535" t="s">
        <v>321</v>
      </c>
      <c r="B28535" s="1" t="str">
        <f>HYPERLINK("http://simplyhired.se","simplyhired.se")</f>
        <v>simplyhired.se</v>
      </c>
      <c r="C28535" t="s">
        <v>495</v>
      </c>
      <c r="D28535" t="s">
        <v>869</v>
      </c>
      <c r="F28535">
        <v>1.36404371989938E-8</v>
      </c>
      <c r="G28535">
        <v>4345081</v>
      </c>
      <c r="H28535">
        <v>13766524</v>
      </c>
      <c r="I28535">
        <v>6998854</v>
      </c>
      <c r="J28535">
        <v>7</v>
      </c>
    </row>
    <row r="28536" spans="1:10" x14ac:dyDescent="0.25">
      <c r="A28536" t="s">
        <v>321</v>
      </c>
      <c r="B28536" s="1" t="str">
        <f>HYPERLINK("http://chandlermacleod.com.sg","chandlermacleod.com.sg")</f>
        <v>chandlermacleod.com.sg</v>
      </c>
      <c r="C28536" t="s">
        <v>496</v>
      </c>
      <c r="D28536" t="s">
        <v>870</v>
      </c>
      <c r="F28536">
        <v>4.4438121425626798E-9</v>
      </c>
      <c r="G28536">
        <v>79549459</v>
      </c>
      <c r="H28536">
        <v>10344021</v>
      </c>
      <c r="I28536">
        <v>57451042</v>
      </c>
      <c r="J28536">
        <v>4</v>
      </c>
    </row>
    <row r="28537" spans="1:10" x14ac:dyDescent="0.25">
      <c r="A28537" t="s">
        <v>321</v>
      </c>
      <c r="B28537" s="1" t="str">
        <f>HYPERLINK("http://indeed.com.sg","indeed.com.sg")</f>
        <v>indeed.com.sg</v>
      </c>
      <c r="C28537" t="s">
        <v>496</v>
      </c>
      <c r="D28537" t="s">
        <v>870</v>
      </c>
      <c r="E28537">
        <v>706956</v>
      </c>
      <c r="F28537">
        <v>5.0631662570228997E-8</v>
      </c>
      <c r="G28537">
        <v>906711</v>
      </c>
      <c r="H28537">
        <v>14066052</v>
      </c>
      <c r="I28537">
        <v>3733713</v>
      </c>
      <c r="J28537">
        <v>7</v>
      </c>
    </row>
    <row r="28538" spans="1:10" x14ac:dyDescent="0.25">
      <c r="A28538" t="s">
        <v>321</v>
      </c>
      <c r="B28538" s="1" t="str">
        <f>HYPERLINK("http://glassdoor.sg","glassdoor.sg")</f>
        <v>glassdoor.sg</v>
      </c>
      <c r="C28538" t="s">
        <v>496</v>
      </c>
      <c r="D28538" t="s">
        <v>870</v>
      </c>
      <c r="E28538">
        <v>47578</v>
      </c>
      <c r="F28538">
        <v>1.65291020176789E-7</v>
      </c>
      <c r="G28538">
        <v>234849</v>
      </c>
      <c r="H28538">
        <v>14326148</v>
      </c>
      <c r="I28538">
        <v>1326715</v>
      </c>
      <c r="J28538">
        <v>4</v>
      </c>
    </row>
    <row r="28539" spans="1:10" x14ac:dyDescent="0.25">
      <c r="A28539" t="s">
        <v>321</v>
      </c>
      <c r="B28539" s="1" t="str">
        <f>HYPERLINK("http://glassdoor.co.uk","glassdoor.co.uk")</f>
        <v>glassdoor.co.uk</v>
      </c>
      <c r="C28539" t="s">
        <v>506</v>
      </c>
      <c r="D28539" t="s">
        <v>880</v>
      </c>
      <c r="E28539">
        <v>13321</v>
      </c>
      <c r="F28539">
        <v>3.0854267085259698E-6</v>
      </c>
      <c r="G28539">
        <v>12737</v>
      </c>
      <c r="H28539">
        <v>17350750</v>
      </c>
      <c r="I28539">
        <v>23014</v>
      </c>
      <c r="J28539">
        <v>4</v>
      </c>
    </row>
    <row r="28540" spans="1:10" x14ac:dyDescent="0.25">
      <c r="A28540" t="s">
        <v>321</v>
      </c>
      <c r="B28540" s="1" t="str">
        <f>HYPERLINK("http://indeed.co.uk","indeed.co.uk")</f>
        <v>indeed.co.uk</v>
      </c>
      <c r="C28540" t="s">
        <v>506</v>
      </c>
      <c r="D28540" t="s">
        <v>880</v>
      </c>
      <c r="E28540">
        <v>50879</v>
      </c>
      <c r="F28540">
        <v>5.0887831953165498E-7</v>
      </c>
      <c r="G28540">
        <v>75288</v>
      </c>
      <c r="H28540">
        <v>15278813</v>
      </c>
      <c r="I28540">
        <v>387786</v>
      </c>
      <c r="J28540">
        <v>7</v>
      </c>
    </row>
    <row r="28541" spans="1:10" x14ac:dyDescent="0.25">
      <c r="A28541" t="s">
        <v>321</v>
      </c>
      <c r="B28541" s="1" t="str">
        <f>HYPERLINK("http://rgfstaffing.co.uk","rgfstaffing.co.uk")</f>
        <v>rgfstaffing.co.uk</v>
      </c>
      <c r="C28541" t="s">
        <v>506</v>
      </c>
      <c r="D28541" t="s">
        <v>880</v>
      </c>
      <c r="F28541">
        <v>6.7064547971700704E-9</v>
      </c>
      <c r="G28541">
        <v>13280383</v>
      </c>
      <c r="H28541">
        <v>10624282</v>
      </c>
      <c r="I28541">
        <v>44156518</v>
      </c>
      <c r="J28541">
        <v>4</v>
      </c>
    </row>
    <row r="28542" spans="1:10" x14ac:dyDescent="0.25">
      <c r="A28542" t="s">
        <v>321</v>
      </c>
      <c r="B28542" s="1" t="str">
        <f>HYPERLINK("http://simplyhired.co.uk","simplyhired.co.uk")</f>
        <v>simplyhired.co.uk</v>
      </c>
      <c r="C28542" t="s">
        <v>506</v>
      </c>
      <c r="D28542" t="s">
        <v>880</v>
      </c>
      <c r="E28542">
        <v>685334</v>
      </c>
      <c r="F28542">
        <v>3.1041345337455002E-8</v>
      </c>
      <c r="G28542">
        <v>1660284</v>
      </c>
      <c r="H28542">
        <v>13841324</v>
      </c>
      <c r="I28542">
        <v>6070606</v>
      </c>
      <c r="J28542">
        <v>6</v>
      </c>
    </row>
    <row r="28543" spans="1:10" x14ac:dyDescent="0.25">
      <c r="A28543" t="s">
        <v>321</v>
      </c>
      <c r="B28543" s="1" t="str">
        <f>HYPERLINK("http://thecoutureclub.co.uk","thecoutureclub.co.uk")</f>
        <v>thecoutureclub.co.uk</v>
      </c>
      <c r="C28543" t="s">
        <v>506</v>
      </c>
      <c r="D28543" t="s">
        <v>880</v>
      </c>
      <c r="F28543">
        <v>4.5259475152690296E-9</v>
      </c>
      <c r="G28543">
        <v>55502947</v>
      </c>
      <c r="H28543">
        <v>11142138</v>
      </c>
      <c r="I28543">
        <v>31815493</v>
      </c>
      <c r="J28543">
        <v>11</v>
      </c>
    </row>
    <row r="28544" spans="1:10" x14ac:dyDescent="0.25">
      <c r="A28544" t="s">
        <v>321</v>
      </c>
      <c r="B28544" s="1" t="str">
        <f>HYPERLINK("http://indeed.co.za","indeed.co.za")</f>
        <v>indeed.co.za</v>
      </c>
      <c r="C28544" t="s">
        <v>510</v>
      </c>
      <c r="D28544" t="s">
        <v>884</v>
      </c>
      <c r="E28544">
        <v>718107</v>
      </c>
      <c r="F28544">
        <v>2.7454235199524002E-8</v>
      </c>
      <c r="G28544">
        <v>1872500</v>
      </c>
      <c r="H28544">
        <v>13978734</v>
      </c>
      <c r="I28544">
        <v>4054899</v>
      </c>
      <c r="J28544">
        <v>7</v>
      </c>
    </row>
    <row r="28545" spans="1:10" x14ac:dyDescent="0.25">
      <c r="A28545" t="s">
        <v>322</v>
      </c>
      <c r="B28545" s="1" t="str">
        <f>HYPERLINK("http://checkmatepharma.com","checkmatepharma.com")</f>
        <v>checkmatepharma.com</v>
      </c>
      <c r="C28545" t="s">
        <v>433</v>
      </c>
      <c r="F28545">
        <v>1.8814416886107801E-8</v>
      </c>
      <c r="G28545">
        <v>2869006</v>
      </c>
      <c r="H28545">
        <v>13849080</v>
      </c>
      <c r="I28545">
        <v>6055727</v>
      </c>
      <c r="J28545">
        <v>3</v>
      </c>
    </row>
    <row r="28546" spans="1:10" x14ac:dyDescent="0.25">
      <c r="A28546" t="s">
        <v>322</v>
      </c>
      <c r="B28546" s="1" t="str">
        <f>HYPERLINK("http://regeneron.com","regeneron.com")</f>
        <v>regeneron.com</v>
      </c>
      <c r="C28546" t="s">
        <v>433</v>
      </c>
      <c r="E28546">
        <v>54660</v>
      </c>
      <c r="F28546">
        <v>1.23131293211001E-6</v>
      </c>
      <c r="G28546">
        <v>31594</v>
      </c>
      <c r="H28546">
        <v>15470590</v>
      </c>
      <c r="I28546">
        <v>377559</v>
      </c>
      <c r="J28546">
        <v>1</v>
      </c>
    </row>
    <row r="28547" spans="1:10" x14ac:dyDescent="0.25">
      <c r="A28547" t="s">
        <v>322</v>
      </c>
      <c r="B28547" s="1" t="str">
        <f>HYPERLINK("http://regeneron.fi","regeneron.fi")</f>
        <v>regeneron.fi</v>
      </c>
      <c r="C28547" t="s">
        <v>445</v>
      </c>
      <c r="D28547" t="s">
        <v>823</v>
      </c>
      <c r="J28547">
        <v>2</v>
      </c>
    </row>
    <row r="28548" spans="1:10" x14ac:dyDescent="0.25">
      <c r="A28548" t="s">
        <v>322</v>
      </c>
      <c r="B28548" s="1" t="str">
        <f>HYPERLINK("http://regeneron.ie","regeneron.ie")</f>
        <v>regeneron.ie</v>
      </c>
      <c r="C28548" t="s">
        <v>455</v>
      </c>
      <c r="D28548" t="s">
        <v>832</v>
      </c>
      <c r="F28548">
        <v>1.9605741792887899E-8</v>
      </c>
      <c r="G28548">
        <v>2727130</v>
      </c>
      <c r="H28548">
        <v>12685102</v>
      </c>
      <c r="I28548">
        <v>15456663</v>
      </c>
      <c r="J28548">
        <v>2</v>
      </c>
    </row>
    <row r="28549" spans="1:10" x14ac:dyDescent="0.25">
      <c r="A28549" t="s">
        <v>323</v>
      </c>
      <c r="B28549" s="1" t="str">
        <f>HYPERLINK("http://haptik.ai","haptik.ai")</f>
        <v>haptik.ai</v>
      </c>
      <c r="C28549" t="s">
        <v>524</v>
      </c>
      <c r="D28549" t="s">
        <v>892</v>
      </c>
      <c r="E28549">
        <v>269481</v>
      </c>
      <c r="F28549">
        <v>2.02900632081937E-7</v>
      </c>
      <c r="G28549">
        <v>187435</v>
      </c>
      <c r="H28549">
        <v>14962914</v>
      </c>
      <c r="I28549">
        <v>436348</v>
      </c>
      <c r="J28549">
        <v>3</v>
      </c>
    </row>
    <row r="28550" spans="1:10" x14ac:dyDescent="0.25">
      <c r="A28550" t="s">
        <v>323</v>
      </c>
      <c r="B28550" s="1" t="str">
        <f>HYPERLINK("http://reconstruct.net.au","reconstruct.net.au")</f>
        <v>reconstruct.net.au</v>
      </c>
      <c r="C28550" t="s">
        <v>420</v>
      </c>
      <c r="D28550" t="s">
        <v>802</v>
      </c>
      <c r="F28550">
        <v>4.8332846923405101E-9</v>
      </c>
      <c r="G28550">
        <v>34721024</v>
      </c>
      <c r="H28550">
        <v>2.0010992999999999</v>
      </c>
      <c r="I28550">
        <v>77857557</v>
      </c>
      <c r="J28550">
        <v>6</v>
      </c>
    </row>
    <row r="28551" spans="1:10" x14ac:dyDescent="0.25">
      <c r="A28551" t="s">
        <v>323</v>
      </c>
      <c r="B28551" s="1" t="str">
        <f>HYPERLINK("http://haptik.co","haptik.co")</f>
        <v>haptik.co</v>
      </c>
      <c r="C28551" t="s">
        <v>432</v>
      </c>
      <c r="F28551">
        <v>1.24752742876104E-8</v>
      </c>
      <c r="G28551">
        <v>4898486</v>
      </c>
      <c r="H28551">
        <v>13813594</v>
      </c>
      <c r="I28551">
        <v>6180017</v>
      </c>
      <c r="J28551">
        <v>4</v>
      </c>
    </row>
    <row r="28552" spans="1:10" x14ac:dyDescent="0.25">
      <c r="A28552" t="s">
        <v>323</v>
      </c>
      <c r="B28552" s="1" t="str">
        <f>HYPERLINK("http://alokind.com","alokind.com")</f>
        <v>alokind.com</v>
      </c>
      <c r="C28552" t="s">
        <v>433</v>
      </c>
      <c r="F28552">
        <v>1.99667796661836E-8</v>
      </c>
      <c r="G28552">
        <v>2664360</v>
      </c>
      <c r="H28552">
        <v>13958916</v>
      </c>
      <c r="I28552">
        <v>4120467</v>
      </c>
      <c r="J28552">
        <v>3</v>
      </c>
    </row>
    <row r="28553" spans="1:10" x14ac:dyDescent="0.25">
      <c r="A28553" t="s">
        <v>323</v>
      </c>
      <c r="B28553" s="1" t="str">
        <f>HYPERLINK("http://appsgag.com","appsgag.com")</f>
        <v>appsgag.com</v>
      </c>
      <c r="C28553" t="s">
        <v>433</v>
      </c>
      <c r="E28553">
        <v>458516</v>
      </c>
      <c r="F28553">
        <v>1.01864703685355E-7</v>
      </c>
      <c r="G28553">
        <v>394456</v>
      </c>
      <c r="H28553">
        <v>13894065</v>
      </c>
      <c r="I28553">
        <v>5957563</v>
      </c>
      <c r="J28553">
        <v>8</v>
      </c>
    </row>
    <row r="28554" spans="1:10" x14ac:dyDescent="0.25">
      <c r="A28554" t="s">
        <v>323</v>
      </c>
      <c r="B28554" s="1" t="str">
        <f>HYPERLINK("http://ccpu.com","ccpu.com")</f>
        <v>ccpu.com</v>
      </c>
      <c r="C28554" t="s">
        <v>433</v>
      </c>
      <c r="F28554">
        <v>1.14762062927891E-8</v>
      </c>
      <c r="G28554">
        <v>5521477</v>
      </c>
      <c r="H28554">
        <v>14236720</v>
      </c>
      <c r="I28554">
        <v>1573043</v>
      </c>
      <c r="J28554">
        <v>7</v>
      </c>
    </row>
    <row r="28555" spans="1:10" x14ac:dyDescent="0.25">
      <c r="A28555" t="s">
        <v>323</v>
      </c>
      <c r="B28555" s="1" t="str">
        <f>HYPERLINK("http://colosceum.com","colosceum.com")</f>
        <v>colosceum.com</v>
      </c>
      <c r="C28555" t="s">
        <v>433</v>
      </c>
      <c r="F28555">
        <v>4.7179868358733098E-9</v>
      </c>
      <c r="G28555">
        <v>40316059</v>
      </c>
      <c r="H28555">
        <v>10691051</v>
      </c>
      <c r="I28555">
        <v>42479455</v>
      </c>
      <c r="J28555">
        <v>3</v>
      </c>
    </row>
    <row r="28556" spans="1:10" x14ac:dyDescent="0.25">
      <c r="A28556" t="s">
        <v>323</v>
      </c>
      <c r="B28556" s="1" t="str">
        <f>HYPERLINK("http://dennetworks.com","dennetworks.com")</f>
        <v>dennetworks.com</v>
      </c>
      <c r="C28556" t="s">
        <v>433</v>
      </c>
      <c r="F28556">
        <v>7.0877736346846204E-8</v>
      </c>
      <c r="G28556">
        <v>596870</v>
      </c>
      <c r="H28556">
        <v>16925930</v>
      </c>
      <c r="I28556">
        <v>121853</v>
      </c>
      <c r="J28556">
        <v>3</v>
      </c>
    </row>
    <row r="28557" spans="1:10" x14ac:dyDescent="0.25">
      <c r="A28557" t="s">
        <v>323</v>
      </c>
      <c r="B28557" s="1" t="str">
        <f>HYPERLINK("http://embibe.com","embibe.com")</f>
        <v>embibe.com</v>
      </c>
      <c r="C28557" t="s">
        <v>433</v>
      </c>
      <c r="E28557">
        <v>33408</v>
      </c>
      <c r="F28557">
        <v>1.6269283528623101E-7</v>
      </c>
      <c r="G28557">
        <v>238574</v>
      </c>
      <c r="H28557">
        <v>17220062</v>
      </c>
      <c r="I28557">
        <v>38438</v>
      </c>
      <c r="J28557">
        <v>3</v>
      </c>
    </row>
    <row r="28558" spans="1:10" x14ac:dyDescent="0.25">
      <c r="A28558" t="s">
        <v>323</v>
      </c>
      <c r="B28558" s="1" t="str">
        <f>HYPERLINK("http://firstpost.com","firstpost.com")</f>
        <v>firstpost.com</v>
      </c>
      <c r="C28558" t="s">
        <v>433</v>
      </c>
      <c r="E28558">
        <v>5125</v>
      </c>
      <c r="F28558">
        <v>4.9016164866522701E-6</v>
      </c>
      <c r="G28558">
        <v>7130</v>
      </c>
      <c r="H28558">
        <v>18019310</v>
      </c>
      <c r="I28558">
        <v>3563</v>
      </c>
      <c r="J28558">
        <v>9</v>
      </c>
    </row>
    <row r="28559" spans="1:10" x14ac:dyDescent="0.25">
      <c r="A28559" t="s">
        <v>323</v>
      </c>
      <c r="B28559" s="1" t="str">
        <f>HYPERLINK("http://genesiscolors.com","genesiscolors.com")</f>
        <v>genesiscolors.com</v>
      </c>
      <c r="C28559" t="s">
        <v>433</v>
      </c>
      <c r="F28559">
        <v>5.4182609759844799E-9</v>
      </c>
      <c r="G28559">
        <v>21882677</v>
      </c>
      <c r="H28559">
        <v>14071792</v>
      </c>
      <c r="I28559">
        <v>3384855</v>
      </c>
      <c r="J28559">
        <v>3</v>
      </c>
    </row>
    <row r="28560" spans="1:10" x14ac:dyDescent="0.25">
      <c r="A28560" t="s">
        <v>323</v>
      </c>
      <c r="B28560" s="1" t="str">
        <f>HYPERLINK("http://genesisluxury.com","genesisluxury.com")</f>
        <v>genesisluxury.com</v>
      </c>
      <c r="C28560" t="s">
        <v>433</v>
      </c>
      <c r="F28560">
        <v>7.9261018553057808E-9</v>
      </c>
      <c r="G28560">
        <v>10060932</v>
      </c>
      <c r="H28560">
        <v>13087739</v>
      </c>
      <c r="I28560">
        <v>12153751</v>
      </c>
      <c r="J28560">
        <v>3</v>
      </c>
    </row>
    <row r="28561" spans="1:10" x14ac:dyDescent="0.25">
      <c r="A28561" t="s">
        <v>323</v>
      </c>
      <c r="B28561" s="1" t="str">
        <f>HYPERLINK("http://hamleys.com","hamleys.com")</f>
        <v>hamleys.com</v>
      </c>
      <c r="C28561" t="s">
        <v>433</v>
      </c>
      <c r="E28561">
        <v>98035</v>
      </c>
      <c r="F28561">
        <v>1.76169641542106E-7</v>
      </c>
      <c r="G28561">
        <v>219799</v>
      </c>
      <c r="H28561">
        <v>14698599</v>
      </c>
      <c r="I28561">
        <v>598161</v>
      </c>
      <c r="J28561">
        <v>3</v>
      </c>
    </row>
    <row r="28562" spans="1:10" x14ac:dyDescent="0.25">
      <c r="A28562" t="s">
        <v>323</v>
      </c>
      <c r="B28562" s="1" t="str">
        <f>HYPERLINK("http://hathway.com","hathway.com")</f>
        <v>hathway.com</v>
      </c>
      <c r="C28562" t="s">
        <v>433</v>
      </c>
      <c r="E28562">
        <v>57422</v>
      </c>
      <c r="F28562">
        <v>1.0338098766642299E-7</v>
      </c>
      <c r="G28562">
        <v>388117</v>
      </c>
      <c r="H28562">
        <v>14999113</v>
      </c>
      <c r="I28562">
        <v>426050</v>
      </c>
      <c r="J28562">
        <v>3</v>
      </c>
    </row>
    <row r="28563" spans="1:10" x14ac:dyDescent="0.25">
      <c r="A28563" t="s">
        <v>323</v>
      </c>
      <c r="B28563" s="1" t="str">
        <f>HYPERLINK("http://hathwaybhawani.com","hathwaybhawani.com")</f>
        <v>hathwaybhawani.com</v>
      </c>
      <c r="C28563" t="s">
        <v>433</v>
      </c>
      <c r="F28563">
        <v>4.5177417706127096E-9</v>
      </c>
      <c r="G28563">
        <v>56502948</v>
      </c>
      <c r="H28563">
        <v>12111828</v>
      </c>
      <c r="I28563">
        <v>25677221</v>
      </c>
      <c r="J28563">
        <v>3</v>
      </c>
    </row>
    <row r="28564" spans="1:10" x14ac:dyDescent="0.25">
      <c r="A28564" t="s">
        <v>323</v>
      </c>
      <c r="B28564" s="1" t="str">
        <f>HYPERLINK("http://jio.com","jio.com")</f>
        <v>jio.com</v>
      </c>
      <c r="C28564" t="s">
        <v>433</v>
      </c>
      <c r="E28564">
        <v>2674</v>
      </c>
      <c r="F28564">
        <v>2.0453361076023301E-6</v>
      </c>
      <c r="G28564">
        <v>17848</v>
      </c>
      <c r="H28564">
        <v>17636312</v>
      </c>
      <c r="I28564">
        <v>8701</v>
      </c>
      <c r="J28564">
        <v>3</v>
      </c>
    </row>
    <row r="28565" spans="1:10" x14ac:dyDescent="0.25">
      <c r="A28565" t="s">
        <v>323</v>
      </c>
      <c r="B28565" s="1" t="str">
        <f>HYPERLINK("http://jiomart.com","jiomart.com")</f>
        <v>jiomart.com</v>
      </c>
      <c r="C28565" t="s">
        <v>433</v>
      </c>
      <c r="E28565">
        <v>13114</v>
      </c>
      <c r="F28565">
        <v>2.6587554147184502E-7</v>
      </c>
      <c r="G28565">
        <v>140208</v>
      </c>
      <c r="H28565">
        <v>16919504</v>
      </c>
      <c r="I28565">
        <v>129586</v>
      </c>
      <c r="J28565">
        <v>4</v>
      </c>
    </row>
    <row r="28566" spans="1:10" x14ac:dyDescent="0.25">
      <c r="A28566" t="s">
        <v>323</v>
      </c>
      <c r="B28566" s="1" t="str">
        <f>HYPERLINK("http://jiopaymentsbank.com","jiopaymentsbank.com")</f>
        <v>jiopaymentsbank.com</v>
      </c>
      <c r="C28566" t="s">
        <v>433</v>
      </c>
      <c r="F28566">
        <v>3.2767325378243998E-8</v>
      </c>
      <c r="G28566">
        <v>1576600</v>
      </c>
      <c r="H28566">
        <v>14078588</v>
      </c>
      <c r="I28566">
        <v>2844605</v>
      </c>
      <c r="J28566">
        <v>3</v>
      </c>
    </row>
    <row r="28567" spans="1:10" x14ac:dyDescent="0.25">
      <c r="A28567" t="s">
        <v>323</v>
      </c>
      <c r="B28567" s="1" t="str">
        <f>HYPERLINK("http://jiosaavn.com","jiosaavn.com")</f>
        <v>jiosaavn.com</v>
      </c>
      <c r="C28567" t="s">
        <v>433</v>
      </c>
      <c r="E28567">
        <v>11141</v>
      </c>
      <c r="F28567">
        <v>1.0096550009273099E-6</v>
      </c>
      <c r="G28567">
        <v>37918</v>
      </c>
      <c r="H28567">
        <v>17401222</v>
      </c>
      <c r="I28567">
        <v>19097</v>
      </c>
      <c r="J28567">
        <v>3</v>
      </c>
    </row>
    <row r="28568" spans="1:10" x14ac:dyDescent="0.25">
      <c r="A28568" t="s">
        <v>323</v>
      </c>
      <c r="B28568" s="1" t="str">
        <f>HYPERLINK("http://justdial.com","justdial.com")</f>
        <v>justdial.com</v>
      </c>
      <c r="C28568" t="s">
        <v>433</v>
      </c>
      <c r="E28568">
        <v>3392</v>
      </c>
      <c r="F28568">
        <v>1.12105834143707E-6</v>
      </c>
      <c r="G28568">
        <v>34382</v>
      </c>
      <c r="H28568">
        <v>17523636</v>
      </c>
      <c r="I28568">
        <v>12354</v>
      </c>
      <c r="J28568">
        <v>3</v>
      </c>
    </row>
    <row r="28569" spans="1:10" x14ac:dyDescent="0.25">
      <c r="A28569" t="s">
        <v>323</v>
      </c>
      <c r="B28569" s="1" t="str">
        <f>HYPERLINK("http://labelritukumar.com","labelritukumar.com")</f>
        <v>labelritukumar.com</v>
      </c>
      <c r="C28569" t="s">
        <v>433</v>
      </c>
      <c r="F28569">
        <v>1.30939088647468E-8</v>
      </c>
      <c r="G28569">
        <v>4586804</v>
      </c>
      <c r="H28569">
        <v>13077728</v>
      </c>
      <c r="I28569">
        <v>12199902</v>
      </c>
      <c r="J28569">
        <v>7</v>
      </c>
    </row>
    <row r="28570" spans="1:10" x14ac:dyDescent="0.25">
      <c r="A28570" t="s">
        <v>323</v>
      </c>
      <c r="B28570" s="1" t="str">
        <f>HYPERLINK("http://modeleconomictownship.com","modeleconomictownship.com")</f>
        <v>modeleconomictownship.com</v>
      </c>
      <c r="C28570" t="s">
        <v>433</v>
      </c>
      <c r="F28570">
        <v>1.18412634521523E-8</v>
      </c>
      <c r="G28570">
        <v>5275872</v>
      </c>
      <c r="H28570">
        <v>14415992</v>
      </c>
      <c r="I28570">
        <v>1108575</v>
      </c>
      <c r="J28570">
        <v>3</v>
      </c>
    </row>
    <row r="28571" spans="1:10" x14ac:dyDescent="0.25">
      <c r="A28571" t="s">
        <v>323</v>
      </c>
      <c r="B28571" s="1" t="str">
        <f>HYPERLINK("http://mylyf.com","mylyf.com")</f>
        <v>mylyf.com</v>
      </c>
      <c r="C28571" t="s">
        <v>433</v>
      </c>
      <c r="F28571">
        <v>5.0262689970307901E-8</v>
      </c>
      <c r="G28571">
        <v>915106</v>
      </c>
      <c r="H28571">
        <v>14425965</v>
      </c>
      <c r="I28571">
        <v>1079535</v>
      </c>
      <c r="J28571">
        <v>4</v>
      </c>
    </row>
    <row r="28572" spans="1:10" x14ac:dyDescent="0.25">
      <c r="A28572" t="s">
        <v>323</v>
      </c>
      <c r="B28572" s="1" t="str">
        <f>HYPERLINK("http://naagin4hd.com","naagin4hd.com")</f>
        <v>naagin4hd.com</v>
      </c>
      <c r="C28572" t="s">
        <v>433</v>
      </c>
      <c r="F28572">
        <v>4.6499096352374503E-9</v>
      </c>
      <c r="G28572">
        <v>44149528</v>
      </c>
      <c r="H28572">
        <v>12565032</v>
      </c>
      <c r="I28572">
        <v>16666274</v>
      </c>
      <c r="J28572">
        <v>7</v>
      </c>
    </row>
    <row r="28573" spans="1:10" x14ac:dyDescent="0.25">
      <c r="A28573" t="s">
        <v>323</v>
      </c>
      <c r="B28573" s="1" t="str">
        <f>HYPERLINK("http://netmeds.com","netmeds.com")</f>
        <v>netmeds.com</v>
      </c>
      <c r="C28573" t="s">
        <v>433</v>
      </c>
      <c r="E28573">
        <v>25755</v>
      </c>
      <c r="F28573">
        <v>3.6209401906294397E-7</v>
      </c>
      <c r="G28573">
        <v>103275</v>
      </c>
      <c r="H28573">
        <v>17198930</v>
      </c>
      <c r="I28573">
        <v>41989</v>
      </c>
      <c r="J28573">
        <v>5</v>
      </c>
    </row>
    <row r="28574" spans="1:10" x14ac:dyDescent="0.25">
      <c r="A28574" t="s">
        <v>323</v>
      </c>
      <c r="B28574" s="1" t="str">
        <f>HYPERLINK("http://network18online.com","network18online.com")</f>
        <v>network18online.com</v>
      </c>
      <c r="C28574" t="s">
        <v>433</v>
      </c>
      <c r="F28574">
        <v>5.9092880354122697E-8</v>
      </c>
      <c r="G28574">
        <v>750190</v>
      </c>
      <c r="H28574">
        <v>14606168</v>
      </c>
      <c r="I28574">
        <v>681496</v>
      </c>
      <c r="J28574">
        <v>6</v>
      </c>
    </row>
    <row r="28575" spans="1:10" x14ac:dyDescent="0.25">
      <c r="A28575" t="s">
        <v>323</v>
      </c>
      <c r="B28575" s="1" t="str">
        <f>HYPERLINK("http://news18.com","news18.com")</f>
        <v>news18.com</v>
      </c>
      <c r="C28575" t="s">
        <v>433</v>
      </c>
      <c r="E28575">
        <v>2642</v>
      </c>
      <c r="F28575">
        <v>6.4267244307642403E-6</v>
      </c>
      <c r="G28575">
        <v>5289</v>
      </c>
      <c r="H28575">
        <v>17729924</v>
      </c>
      <c r="I28575">
        <v>6740</v>
      </c>
      <c r="J28575">
        <v>6</v>
      </c>
    </row>
    <row r="28576" spans="1:10" x14ac:dyDescent="0.25">
      <c r="A28576" t="s">
        <v>323</v>
      </c>
      <c r="B28576" s="1" t="str">
        <f>HYPERLINK("http://nowfloats.com","nowfloats.com")</f>
        <v>nowfloats.com</v>
      </c>
      <c r="C28576" t="s">
        <v>433</v>
      </c>
      <c r="E28576">
        <v>167908</v>
      </c>
      <c r="F28576">
        <v>1.14291994865497E-7</v>
      </c>
      <c r="G28576">
        <v>348453</v>
      </c>
      <c r="H28576">
        <v>15586217</v>
      </c>
      <c r="I28576">
        <v>372808</v>
      </c>
      <c r="J28576">
        <v>4</v>
      </c>
    </row>
    <row r="28577" spans="1:10" x14ac:dyDescent="0.25">
      <c r="A28577" t="s">
        <v>323</v>
      </c>
      <c r="B28577" s="1" t="str">
        <f>HYPERLINK("http://nw18.com","nw18.com")</f>
        <v>nw18.com</v>
      </c>
      <c r="C28577" t="s">
        <v>433</v>
      </c>
      <c r="E28577">
        <v>236987</v>
      </c>
      <c r="F28577">
        <v>2.34024864507297E-6</v>
      </c>
      <c r="G28577">
        <v>15824</v>
      </c>
      <c r="H28577">
        <v>14579266</v>
      </c>
      <c r="I28577">
        <v>712946</v>
      </c>
      <c r="J28577">
        <v>3</v>
      </c>
    </row>
    <row r="28578" spans="1:10" x14ac:dyDescent="0.25">
      <c r="A28578" t="s">
        <v>323</v>
      </c>
      <c r="B28578" s="1" t="str">
        <f>HYPERLINK("http://radisys.com","radisys.com")</f>
        <v>radisys.com</v>
      </c>
      <c r="C28578" t="s">
        <v>433</v>
      </c>
      <c r="E28578">
        <v>280514</v>
      </c>
      <c r="F28578">
        <v>1.76520070167729E-7</v>
      </c>
      <c r="G28578">
        <v>219292</v>
      </c>
      <c r="H28578">
        <v>14774398</v>
      </c>
      <c r="I28578">
        <v>556430</v>
      </c>
      <c r="J28578">
        <v>3</v>
      </c>
    </row>
    <row r="28579" spans="1:10" x14ac:dyDescent="0.25">
      <c r="A28579" t="s">
        <v>323</v>
      </c>
      <c r="B28579" s="1" t="str">
        <f>HYPERLINK("http://recgroup.com","recgroup.com")</f>
        <v>recgroup.com</v>
      </c>
      <c r="C28579" t="s">
        <v>433</v>
      </c>
      <c r="E28579">
        <v>267939</v>
      </c>
      <c r="F28579">
        <v>2.4593744296140101E-7</v>
      </c>
      <c r="G28579">
        <v>152121</v>
      </c>
      <c r="H28579">
        <v>17058084</v>
      </c>
      <c r="I28579">
        <v>74567</v>
      </c>
      <c r="J28579">
        <v>3</v>
      </c>
    </row>
    <row r="28580" spans="1:10" x14ac:dyDescent="0.25">
      <c r="A28580" t="s">
        <v>323</v>
      </c>
      <c r="B28580" s="1" t="str">
        <f>HYPERLINK("http://recronmalaysia.com","recronmalaysia.com")</f>
        <v>recronmalaysia.com</v>
      </c>
      <c r="C28580" t="s">
        <v>433</v>
      </c>
      <c r="F28580">
        <v>4.9567458033779097E-9</v>
      </c>
      <c r="G28580">
        <v>30599964</v>
      </c>
      <c r="H28580">
        <v>13763637</v>
      </c>
      <c r="I28580">
        <v>8026616</v>
      </c>
      <c r="J28580">
        <v>4</v>
      </c>
    </row>
    <row r="28581" spans="1:10" x14ac:dyDescent="0.25">
      <c r="A28581" t="s">
        <v>323</v>
      </c>
      <c r="B28581" s="1" t="str">
        <f>HYPERLINK("http://relianceretail.com","relianceretail.com")</f>
        <v>relianceretail.com</v>
      </c>
      <c r="C28581" t="s">
        <v>433</v>
      </c>
      <c r="E28581">
        <v>353208</v>
      </c>
      <c r="F28581">
        <v>1.35903703571701E-7</v>
      </c>
      <c r="G28581">
        <v>287001</v>
      </c>
      <c r="H28581">
        <v>16830730</v>
      </c>
      <c r="I28581">
        <v>168577</v>
      </c>
      <c r="J28581">
        <v>3</v>
      </c>
    </row>
    <row r="28582" spans="1:10" x14ac:dyDescent="0.25">
      <c r="A28582" t="s">
        <v>323</v>
      </c>
      <c r="B28582" s="1" t="str">
        <f>HYPERLINK("http://reliancesibur.com","reliancesibur.com")</f>
        <v>reliancesibur.com</v>
      </c>
      <c r="C28582" t="s">
        <v>433</v>
      </c>
      <c r="F28582">
        <v>3.00046996581172E-8</v>
      </c>
      <c r="G28582">
        <v>1714758</v>
      </c>
      <c r="H28582">
        <v>14415200</v>
      </c>
      <c r="I28582">
        <v>1115955</v>
      </c>
      <c r="J28582">
        <v>3</v>
      </c>
    </row>
    <row r="28583" spans="1:10" x14ac:dyDescent="0.25">
      <c r="A28583" t="s">
        <v>323</v>
      </c>
      <c r="B28583" s="1" t="str">
        <f>HYPERLINK("http://ril.com","ril.com")</f>
        <v>ril.com</v>
      </c>
      <c r="C28583" t="s">
        <v>433</v>
      </c>
      <c r="E28583">
        <v>19535</v>
      </c>
      <c r="F28583">
        <v>1.9776804422374099E-6</v>
      </c>
      <c r="G28583">
        <v>18499</v>
      </c>
      <c r="H28583">
        <v>17578966</v>
      </c>
      <c r="I28583">
        <v>10349</v>
      </c>
      <c r="J28583">
        <v>1</v>
      </c>
    </row>
    <row r="28584" spans="1:10" x14ac:dyDescent="0.25">
      <c r="A28584" t="s">
        <v>323</v>
      </c>
      <c r="B28584" s="1" t="str">
        <f>HYPERLINK("http://ritukumar.com","ritukumar.com")</f>
        <v>ritukumar.com</v>
      </c>
      <c r="C28584" t="s">
        <v>433</v>
      </c>
      <c r="E28584">
        <v>591251</v>
      </c>
      <c r="F28584">
        <v>4.0045055918250597E-8</v>
      </c>
      <c r="G28584">
        <v>1291105</v>
      </c>
      <c r="H28584">
        <v>14932596</v>
      </c>
      <c r="I28584">
        <v>446749</v>
      </c>
      <c r="J28584">
        <v>5</v>
      </c>
    </row>
    <row r="28585" spans="1:10" x14ac:dyDescent="0.25">
      <c r="A28585" t="s">
        <v>323</v>
      </c>
      <c r="B28585" s="1" t="str">
        <f>HYPERLINK("http://saavn.com","saavn.com")</f>
        <v>saavn.com</v>
      </c>
      <c r="C28585" t="s">
        <v>433</v>
      </c>
      <c r="E28585">
        <v>45090</v>
      </c>
      <c r="F28585">
        <v>1.1870669953995201E-6</v>
      </c>
      <c r="G28585">
        <v>32818</v>
      </c>
      <c r="H28585">
        <v>16402817</v>
      </c>
      <c r="I28585">
        <v>365058</v>
      </c>
      <c r="J28585">
        <v>3</v>
      </c>
    </row>
    <row r="28586" spans="1:10" x14ac:dyDescent="0.25">
      <c r="A28586" t="s">
        <v>323</v>
      </c>
      <c r="B28586" s="1" t="str">
        <f>HYPERLINK("http://satyapaul.com","satyapaul.com")</f>
        <v>satyapaul.com</v>
      </c>
      <c r="C28586" t="s">
        <v>433</v>
      </c>
      <c r="F28586">
        <v>2.93358995323212E-8</v>
      </c>
      <c r="G28586">
        <v>1756359</v>
      </c>
      <c r="H28586">
        <v>14488681</v>
      </c>
      <c r="I28586">
        <v>930558</v>
      </c>
      <c r="J28586">
        <v>6</v>
      </c>
    </row>
    <row r="28587" spans="1:10" x14ac:dyDescent="0.25">
      <c r="A28587" t="s">
        <v>323</v>
      </c>
      <c r="B28587" s="1" t="str">
        <f>HYPERLINK("http://sensehawk.com","sensehawk.com")</f>
        <v>sensehawk.com</v>
      </c>
      <c r="C28587" t="s">
        <v>433</v>
      </c>
      <c r="F28587">
        <v>4.2727714488332598E-8</v>
      </c>
      <c r="G28587">
        <v>1130031</v>
      </c>
      <c r="H28587">
        <v>14058833</v>
      </c>
      <c r="I28587">
        <v>3887819</v>
      </c>
      <c r="J28587">
        <v>3</v>
      </c>
    </row>
    <row r="28588" spans="1:10" x14ac:dyDescent="0.25">
      <c r="A28588" t="s">
        <v>323</v>
      </c>
      <c r="B28588" s="1" t="str">
        <f>HYPERLINK("http://shrikannan.com","shrikannan.com")</f>
        <v>shrikannan.com</v>
      </c>
      <c r="C28588" t="s">
        <v>433</v>
      </c>
      <c r="F28588">
        <v>4.6004401128557502E-9</v>
      </c>
      <c r="G28588">
        <v>47586672</v>
      </c>
      <c r="H28588">
        <v>11094190</v>
      </c>
      <c r="I28588">
        <v>32341453</v>
      </c>
      <c r="J28588">
        <v>3</v>
      </c>
    </row>
    <row r="28589" spans="1:10" x14ac:dyDescent="0.25">
      <c r="A28589" t="s">
        <v>323</v>
      </c>
      <c r="B28589" s="1" t="str">
        <f>HYPERLINK("http://skytran.com","skytran.com")</f>
        <v>skytran.com</v>
      </c>
      <c r="C28589" t="s">
        <v>433</v>
      </c>
      <c r="F28589">
        <v>5.54326648967033E-8</v>
      </c>
      <c r="G28589">
        <v>809795</v>
      </c>
      <c r="H28589">
        <v>14515614</v>
      </c>
      <c r="I28589">
        <v>812958</v>
      </c>
      <c r="J28589">
        <v>3</v>
      </c>
    </row>
    <row r="28590" spans="1:10" x14ac:dyDescent="0.25">
      <c r="A28590" t="s">
        <v>323</v>
      </c>
      <c r="B28590" s="1" t="str">
        <f>HYPERLINK("http://strandls.com","strandls.com")</f>
        <v>strandls.com</v>
      </c>
      <c r="C28590" t="s">
        <v>433</v>
      </c>
      <c r="F28590">
        <v>6.0830285124805604E-8</v>
      </c>
      <c r="G28590">
        <v>724465</v>
      </c>
      <c r="H28590">
        <v>14707034</v>
      </c>
      <c r="I28590">
        <v>586207</v>
      </c>
      <c r="J28590">
        <v>3</v>
      </c>
    </row>
    <row r="28591" spans="1:10" x14ac:dyDescent="0.25">
      <c r="A28591" t="s">
        <v>323</v>
      </c>
      <c r="B28591" s="1" t="str">
        <f>HYPERLINK("http://tech2.com","tech2.com")</f>
        <v>tech2.com</v>
      </c>
      <c r="C28591" t="s">
        <v>433</v>
      </c>
      <c r="F28591">
        <v>4.5796601763478598E-8</v>
      </c>
      <c r="G28591">
        <v>1026082</v>
      </c>
      <c r="H28591">
        <v>14517294</v>
      </c>
      <c r="I28591">
        <v>810086</v>
      </c>
      <c r="J28591">
        <v>11</v>
      </c>
    </row>
    <row r="28592" spans="1:10" x14ac:dyDescent="0.25">
      <c r="A28592" t="s">
        <v>323</v>
      </c>
      <c r="B28592" s="1" t="str">
        <f>HYPERLINK("http://thenewj.com","thenewj.com")</f>
        <v>thenewj.com</v>
      </c>
      <c r="C28592" t="s">
        <v>433</v>
      </c>
      <c r="E28592">
        <v>800787</v>
      </c>
      <c r="F28592">
        <v>9.2224975982893901E-9</v>
      </c>
      <c r="G28592">
        <v>7679910</v>
      </c>
      <c r="H28592">
        <v>13268288</v>
      </c>
      <c r="I28592">
        <v>10999148</v>
      </c>
      <c r="J28592">
        <v>3</v>
      </c>
    </row>
    <row r="28593" spans="1:10" x14ac:dyDescent="0.25">
      <c r="A28593" t="s">
        <v>323</v>
      </c>
      <c r="B28593" s="1" t="str">
        <f>HYPERLINK("http://ubona.com","ubona.com")</f>
        <v>ubona.com</v>
      </c>
      <c r="C28593" t="s">
        <v>433</v>
      </c>
      <c r="F28593">
        <v>6.2625407591978203E-9</v>
      </c>
      <c r="G28593">
        <v>15212871</v>
      </c>
      <c r="H28593">
        <v>12355001</v>
      </c>
      <c r="I28593">
        <v>19679342</v>
      </c>
      <c r="J28593">
        <v>3</v>
      </c>
    </row>
    <row r="28594" spans="1:10" x14ac:dyDescent="0.25">
      <c r="A28594" t="s">
        <v>323</v>
      </c>
      <c r="B28594" s="1" t="str">
        <f>HYPERLINK("http://viacom18.com","viacom18.com")</f>
        <v>viacom18.com</v>
      </c>
      <c r="C28594" t="s">
        <v>433</v>
      </c>
      <c r="E28594">
        <v>934153</v>
      </c>
      <c r="F28594">
        <v>5.7472107606503203E-8</v>
      </c>
      <c r="G28594">
        <v>775754</v>
      </c>
      <c r="H28594">
        <v>14705761</v>
      </c>
      <c r="I28594">
        <v>587214</v>
      </c>
      <c r="J28594">
        <v>3</v>
      </c>
    </row>
    <row r="28595" spans="1:10" x14ac:dyDescent="0.25">
      <c r="A28595" t="s">
        <v>323</v>
      </c>
      <c r="B28595" s="1" t="str">
        <f>HYPERLINK("http://voot.com","voot.com")</f>
        <v>voot.com</v>
      </c>
      <c r="C28595" t="s">
        <v>433</v>
      </c>
      <c r="E28595">
        <v>6082</v>
      </c>
      <c r="F28595">
        <v>5.0921807182994103E-7</v>
      </c>
      <c r="G28595">
        <v>75235</v>
      </c>
      <c r="H28595">
        <v>17374104</v>
      </c>
      <c r="I28595">
        <v>21133</v>
      </c>
      <c r="J28595">
        <v>8</v>
      </c>
    </row>
    <row r="28596" spans="1:10" x14ac:dyDescent="0.25">
      <c r="A28596" t="s">
        <v>323</v>
      </c>
      <c r="B28596" s="1" t="str">
        <f>HYPERLINK("http://zivame.com","zivame.com")</f>
        <v>zivame.com</v>
      </c>
      <c r="C28596" t="s">
        <v>433</v>
      </c>
      <c r="E28596">
        <v>102384</v>
      </c>
      <c r="F28596">
        <v>2.2586076935725599E-7</v>
      </c>
      <c r="G28596">
        <v>166820</v>
      </c>
      <c r="H28596">
        <v>17147732</v>
      </c>
      <c r="I28596">
        <v>52699</v>
      </c>
      <c r="J28596">
        <v>3</v>
      </c>
    </row>
    <row r="28597" spans="1:10" x14ac:dyDescent="0.25">
      <c r="A28597" t="s">
        <v>323</v>
      </c>
      <c r="B28597" s="1" t="str">
        <f>HYPERLINK("http://mileta.cz","mileta.cz")</f>
        <v>mileta.cz</v>
      </c>
      <c r="C28597" t="s">
        <v>435</v>
      </c>
      <c r="D28597" t="s">
        <v>814</v>
      </c>
      <c r="F28597">
        <v>1.06493338086586E-8</v>
      </c>
      <c r="G28597">
        <v>6142063</v>
      </c>
      <c r="H28597">
        <v>13764324</v>
      </c>
      <c r="I28597">
        <v>7296303</v>
      </c>
      <c r="J28597">
        <v>3</v>
      </c>
    </row>
    <row r="28598" spans="1:10" x14ac:dyDescent="0.25">
      <c r="A28598" t="s">
        <v>323</v>
      </c>
      <c r="B28598" s="1" t="str">
        <f>HYPERLINK("http://100marks.in","100marks.in")</f>
        <v>100marks.in</v>
      </c>
      <c r="C28598" t="s">
        <v>457</v>
      </c>
      <c r="D28598" t="s">
        <v>834</v>
      </c>
      <c r="F28598">
        <v>6.7405053853782097E-9</v>
      </c>
      <c r="G28598">
        <v>13161179</v>
      </c>
      <c r="H28598">
        <v>14124949</v>
      </c>
      <c r="I28598">
        <v>2132412</v>
      </c>
      <c r="J28598">
        <v>6</v>
      </c>
    </row>
    <row r="28599" spans="1:10" x14ac:dyDescent="0.25">
      <c r="A28599" t="s">
        <v>323</v>
      </c>
      <c r="B28599" s="1" t="str">
        <f>HYPERLINK("http://aarke.in","aarke.in")</f>
        <v>aarke.in</v>
      </c>
      <c r="C28599" t="s">
        <v>457</v>
      </c>
      <c r="D28599" t="s">
        <v>834</v>
      </c>
      <c r="F28599">
        <v>8.3870238445777594E-9</v>
      </c>
      <c r="G28599">
        <v>9069631</v>
      </c>
      <c r="H28599">
        <v>11469121</v>
      </c>
      <c r="I28599">
        <v>30085104</v>
      </c>
      <c r="J28599">
        <v>7</v>
      </c>
    </row>
    <row r="28600" spans="1:10" x14ac:dyDescent="0.25">
      <c r="A28600" t="s">
        <v>323</v>
      </c>
      <c r="B28600" s="1" t="str">
        <f>HYPERLINK("http://aurawomen.in","aurawomen.in")</f>
        <v>aurawomen.in</v>
      </c>
      <c r="C28600" t="s">
        <v>457</v>
      </c>
      <c r="D28600" t="s">
        <v>834</v>
      </c>
      <c r="F28600">
        <v>9.6924166598133495E-9</v>
      </c>
      <c r="G28600">
        <v>7089185</v>
      </c>
      <c r="H28600">
        <v>14373775</v>
      </c>
      <c r="I28600">
        <v>1281792</v>
      </c>
      <c r="J28600">
        <v>5</v>
      </c>
    </row>
    <row r="28601" spans="1:10" x14ac:dyDescent="0.25">
      <c r="A28601" t="s">
        <v>323</v>
      </c>
      <c r="B28601" s="1" t="str">
        <f>HYPERLINK("http://asteria.co.in","asteria.co.in")</f>
        <v>asteria.co.in</v>
      </c>
      <c r="C28601" t="s">
        <v>457</v>
      </c>
      <c r="D28601" t="s">
        <v>834</v>
      </c>
      <c r="F28601">
        <v>2.6012784824059399E-8</v>
      </c>
      <c r="G28601">
        <v>1980658</v>
      </c>
      <c r="H28601">
        <v>13671730</v>
      </c>
      <c r="I28601">
        <v>9545703</v>
      </c>
      <c r="J28601">
        <v>4</v>
      </c>
    </row>
    <row r="28602" spans="1:10" x14ac:dyDescent="0.25">
      <c r="A28602" t="s">
        <v>323</v>
      </c>
      <c r="B28602" s="1" t="str">
        <f>HYPERLINK("http://catwalk.co.in","catwalk.co.in")</f>
        <v>catwalk.co.in</v>
      </c>
      <c r="C28602" t="s">
        <v>457</v>
      </c>
      <c r="D28602" t="s">
        <v>834</v>
      </c>
      <c r="F28602">
        <v>4.5570047237230004E-9</v>
      </c>
      <c r="G28602">
        <v>51460025</v>
      </c>
      <c r="H28602">
        <v>12378208</v>
      </c>
      <c r="I28602">
        <v>19259523</v>
      </c>
      <c r="J28602">
        <v>3</v>
      </c>
    </row>
    <row r="28603" spans="1:10" x14ac:dyDescent="0.25">
      <c r="A28603" t="s">
        <v>323</v>
      </c>
      <c r="B28603" s="1" t="str">
        <f>HYPERLINK("http://marksandspencers.co.in","marksandspencers.co.in")</f>
        <v>marksandspencers.co.in</v>
      </c>
      <c r="C28603" t="s">
        <v>457</v>
      </c>
      <c r="D28603" t="s">
        <v>834</v>
      </c>
      <c r="F28603">
        <v>4.44380927664388E-9</v>
      </c>
      <c r="G28603">
        <v>79828419</v>
      </c>
      <c r="H28603">
        <v>10352960</v>
      </c>
      <c r="I28603">
        <v>55975125</v>
      </c>
      <c r="J28603">
        <v>4</v>
      </c>
    </row>
    <row r="28604" spans="1:10" x14ac:dyDescent="0.25">
      <c r="A28604" t="s">
        <v>323</v>
      </c>
      <c r="B28604" s="1" t="str">
        <f>HYPERLINK("http://reverie.co.in","reverie.co.in")</f>
        <v>reverie.co.in</v>
      </c>
      <c r="C28604" t="s">
        <v>457</v>
      </c>
      <c r="D28604" t="s">
        <v>834</v>
      </c>
      <c r="F28604">
        <v>7.0460399948982604E-9</v>
      </c>
      <c r="G28604">
        <v>12176498</v>
      </c>
      <c r="H28604">
        <v>13403964</v>
      </c>
      <c r="I28604">
        <v>10359818</v>
      </c>
      <c r="J28604">
        <v>3</v>
      </c>
    </row>
    <row r="28605" spans="1:10" x14ac:dyDescent="0.25">
      <c r="A28605" t="s">
        <v>323</v>
      </c>
      <c r="B28605" s="1" t="str">
        <f>HYPERLINK("http://rgpl.co.in","rgpl.co.in")</f>
        <v>rgpl.co.in</v>
      </c>
      <c r="C28605" t="s">
        <v>457</v>
      </c>
      <c r="D28605" t="s">
        <v>834</v>
      </c>
      <c r="F28605">
        <v>4.4765847945450798E-9</v>
      </c>
      <c r="G28605">
        <v>63072997</v>
      </c>
      <c r="H28605">
        <v>8592990</v>
      </c>
      <c r="I28605">
        <v>70843165</v>
      </c>
      <c r="J28605">
        <v>3</v>
      </c>
    </row>
    <row r="28606" spans="1:10" x14ac:dyDescent="0.25">
      <c r="A28606" t="s">
        <v>323</v>
      </c>
      <c r="B28606" s="1" t="str">
        <f>HYPERLINK("http://firstpost.in","firstpost.in")</f>
        <v>firstpost.in</v>
      </c>
      <c r="C28606" t="s">
        <v>457</v>
      </c>
      <c r="D28606" t="s">
        <v>834</v>
      </c>
      <c r="F28606">
        <v>4.7994747211168102E-8</v>
      </c>
      <c r="G28606">
        <v>969102</v>
      </c>
      <c r="H28606">
        <v>14398538</v>
      </c>
      <c r="I28606">
        <v>1156502</v>
      </c>
      <c r="J28606">
        <v>8</v>
      </c>
    </row>
    <row r="28607" spans="1:10" x14ac:dyDescent="0.25">
      <c r="A28607" t="s">
        <v>323</v>
      </c>
      <c r="B28607" s="1" t="str">
        <f>HYPERLINK("http://grab.in","grab.in")</f>
        <v>grab.in</v>
      </c>
      <c r="C28607" t="s">
        <v>457</v>
      </c>
      <c r="D28607" t="s">
        <v>834</v>
      </c>
      <c r="F28607">
        <v>5.2978769374594898E-8</v>
      </c>
      <c r="G28607">
        <v>859697</v>
      </c>
      <c r="H28607">
        <v>16974010</v>
      </c>
      <c r="I28607">
        <v>101323</v>
      </c>
      <c r="J28607">
        <v>3</v>
      </c>
    </row>
    <row r="28608" spans="1:10" x14ac:dyDescent="0.25">
      <c r="A28608" t="s">
        <v>323</v>
      </c>
      <c r="B28608" s="1" t="str">
        <f>HYPERLINK("http://hamleys.in","hamleys.in")</f>
        <v>hamleys.in</v>
      </c>
      <c r="C28608" t="s">
        <v>457</v>
      </c>
      <c r="D28608" t="s">
        <v>834</v>
      </c>
      <c r="E28608">
        <v>427231</v>
      </c>
      <c r="F28608">
        <v>4.4915461611438297E-8</v>
      </c>
      <c r="G28608">
        <v>1052135</v>
      </c>
      <c r="H28608">
        <v>13075236</v>
      </c>
      <c r="I28608">
        <v>12214631</v>
      </c>
      <c r="J28608">
        <v>4</v>
      </c>
    </row>
    <row r="28609" spans="1:10" x14ac:dyDescent="0.25">
      <c r="A28609" t="s">
        <v>323</v>
      </c>
      <c r="B28609" s="1" t="str">
        <f>HYPERLINK("http://infomediapress.in","infomediapress.in")</f>
        <v>infomediapress.in</v>
      </c>
      <c r="C28609" t="s">
        <v>457</v>
      </c>
      <c r="D28609" t="s">
        <v>834</v>
      </c>
      <c r="F28609">
        <v>6.1211644114595999E-9</v>
      </c>
      <c r="G28609">
        <v>15973525</v>
      </c>
      <c r="H28609">
        <v>13766799</v>
      </c>
      <c r="I28609">
        <v>6974833</v>
      </c>
      <c r="J28609">
        <v>3</v>
      </c>
    </row>
    <row r="28610" spans="1:10" x14ac:dyDescent="0.25">
      <c r="A28610" t="s">
        <v>323</v>
      </c>
      <c r="B28610" s="1" t="str">
        <f>HYPERLINK("http://catwalk.net.in","catwalk.net.in")</f>
        <v>catwalk.net.in</v>
      </c>
      <c r="C28610" t="s">
        <v>457</v>
      </c>
      <c r="D28610" t="s">
        <v>834</v>
      </c>
      <c r="F28610">
        <v>5.7495705277862597E-9</v>
      </c>
      <c r="G28610">
        <v>18500642</v>
      </c>
      <c r="H28610">
        <v>13070588</v>
      </c>
      <c r="I28610">
        <v>12244543</v>
      </c>
      <c r="J28610">
        <v>5</v>
      </c>
    </row>
    <row r="28611" spans="1:10" x14ac:dyDescent="0.25">
      <c r="A28611" t="s">
        <v>323</v>
      </c>
      <c r="B28611" s="1" t="str">
        <f>HYPERLINK("http://reliancedigital.in","reliancedigital.in")</f>
        <v>reliancedigital.in</v>
      </c>
      <c r="C28611" t="s">
        <v>457</v>
      </c>
      <c r="D28611" t="s">
        <v>834</v>
      </c>
      <c r="E28611">
        <v>25177</v>
      </c>
      <c r="F28611">
        <v>2.7629098429326802E-7</v>
      </c>
      <c r="G28611">
        <v>134646</v>
      </c>
      <c r="H28611">
        <v>16954880</v>
      </c>
      <c r="I28611">
        <v>106914</v>
      </c>
      <c r="J28611">
        <v>3</v>
      </c>
    </row>
    <row r="28612" spans="1:10" x14ac:dyDescent="0.25">
      <c r="A28612" t="s">
        <v>323</v>
      </c>
      <c r="B28612" s="1" t="str">
        <f>HYPERLINK("http://reliancesmart.in","reliancesmart.in")</f>
        <v>reliancesmart.in</v>
      </c>
      <c r="C28612" t="s">
        <v>457</v>
      </c>
      <c r="D28612" t="s">
        <v>834</v>
      </c>
      <c r="F28612">
        <v>2.1110144412833901E-8</v>
      </c>
      <c r="G28612">
        <v>2501348</v>
      </c>
      <c r="H28612">
        <v>12478479</v>
      </c>
      <c r="I28612">
        <v>17612709</v>
      </c>
      <c r="J28612">
        <v>5</v>
      </c>
    </row>
    <row r="28613" spans="1:10" x14ac:dyDescent="0.25">
      <c r="A28613" t="s">
        <v>323</v>
      </c>
      <c r="B28613" s="1" t="str">
        <f>HYPERLINK("http://riseworldwide.in","riseworldwide.in")</f>
        <v>riseworldwide.in</v>
      </c>
      <c r="C28613" t="s">
        <v>457</v>
      </c>
      <c r="D28613" t="s">
        <v>834</v>
      </c>
      <c r="F28613">
        <v>1.4637916979730599E-8</v>
      </c>
      <c r="G28613">
        <v>3962768</v>
      </c>
      <c r="H28613">
        <v>11340053</v>
      </c>
      <c r="I28613">
        <v>30423492</v>
      </c>
      <c r="J28613">
        <v>4</v>
      </c>
    </row>
    <row r="28614" spans="1:10" x14ac:dyDescent="0.25">
      <c r="A28614" t="s">
        <v>323</v>
      </c>
      <c r="B28614" s="1" t="str">
        <f>HYPERLINK("http://sintex.in","sintex.in")</f>
        <v>sintex.in</v>
      </c>
      <c r="C28614" t="s">
        <v>457</v>
      </c>
      <c r="D28614" t="s">
        <v>834</v>
      </c>
      <c r="F28614">
        <v>1.7967968346371901E-8</v>
      </c>
      <c r="G28614">
        <v>3039320</v>
      </c>
      <c r="H28614">
        <v>13786519</v>
      </c>
      <c r="I28614">
        <v>6384885</v>
      </c>
      <c r="J28614">
        <v>3</v>
      </c>
    </row>
    <row r="28615" spans="1:10" x14ac:dyDescent="0.25">
      <c r="A28615" t="s">
        <v>323</v>
      </c>
      <c r="B28615" s="1" t="str">
        <f>HYPERLINK("http://tesseract.in","tesseract.in")</f>
        <v>tesseract.in</v>
      </c>
      <c r="C28615" t="s">
        <v>457</v>
      </c>
      <c r="D28615" t="s">
        <v>834</v>
      </c>
      <c r="F28615">
        <v>1.14722725578658E-8</v>
      </c>
      <c r="G28615">
        <v>5524025</v>
      </c>
      <c r="H28615">
        <v>13594339</v>
      </c>
      <c r="I28615">
        <v>9659873</v>
      </c>
      <c r="J28615">
        <v>3</v>
      </c>
    </row>
    <row r="28616" spans="1:10" x14ac:dyDescent="0.25">
      <c r="A28616" t="s">
        <v>323</v>
      </c>
      <c r="B28616" s="1" t="str">
        <f>HYPERLINK("http://hamleys.info","hamleys.info")</f>
        <v>hamleys.info</v>
      </c>
      <c r="C28616" t="s">
        <v>458</v>
      </c>
      <c r="F28616">
        <v>1.0954421140780899E-8</v>
      </c>
      <c r="G28616">
        <v>5900081</v>
      </c>
      <c r="H28616">
        <v>10830222</v>
      </c>
      <c r="I28616">
        <v>37389776</v>
      </c>
      <c r="J28616">
        <v>4</v>
      </c>
    </row>
    <row r="28617" spans="1:10" x14ac:dyDescent="0.25">
      <c r="A28617" t="s">
        <v>323</v>
      </c>
      <c r="B28617" s="1" t="str">
        <f>HYPERLINK("http://hathway.net","hathway.net")</f>
        <v>hathway.net</v>
      </c>
      <c r="C28617" t="s">
        <v>474</v>
      </c>
      <c r="E28617">
        <v>281179</v>
      </c>
      <c r="F28617">
        <v>8.6760218584404506E-9</v>
      </c>
      <c r="G28617">
        <v>8519648</v>
      </c>
      <c r="H28617">
        <v>13013519</v>
      </c>
      <c r="I28617">
        <v>12738355</v>
      </c>
      <c r="J28617">
        <v>4</v>
      </c>
    </row>
    <row r="28618" spans="1:10" x14ac:dyDescent="0.25">
      <c r="A28618" t="s">
        <v>323</v>
      </c>
      <c r="B28618" s="1" t="str">
        <f>HYPERLINK("http://pacis2020.org","pacis2020.org")</f>
        <v>pacis2020.org</v>
      </c>
      <c r="C28618" t="s">
        <v>481</v>
      </c>
      <c r="F28618">
        <v>1.0255675246646601E-8</v>
      </c>
      <c r="G28618">
        <v>6493218</v>
      </c>
      <c r="H28618">
        <v>12756667</v>
      </c>
      <c r="I28618">
        <v>14979940</v>
      </c>
      <c r="J28618">
        <v>7</v>
      </c>
    </row>
    <row r="28619" spans="1:10" x14ac:dyDescent="0.25">
      <c r="A28619" t="s">
        <v>323</v>
      </c>
      <c r="B28619" s="1" t="str">
        <f>HYPERLINK("http://hamleys.ru","hamleys.ru")</f>
        <v>hamleys.ru</v>
      </c>
      <c r="C28619" t="s">
        <v>493</v>
      </c>
      <c r="D28619" t="s">
        <v>867</v>
      </c>
      <c r="F28619">
        <v>3.1495430999834703E-8</v>
      </c>
      <c r="G28619">
        <v>1638074</v>
      </c>
      <c r="H28619">
        <v>14079792</v>
      </c>
      <c r="I28619">
        <v>2827794</v>
      </c>
      <c r="J28619">
        <v>5</v>
      </c>
    </row>
    <row r="28620" spans="1:10" x14ac:dyDescent="0.25">
      <c r="A28620" t="s">
        <v>323</v>
      </c>
      <c r="B28620" s="1" t="str">
        <f>HYPERLINK("http://faradion.co.uk","faradion.co.uk")</f>
        <v>faradion.co.uk</v>
      </c>
      <c r="C28620" t="s">
        <v>506</v>
      </c>
      <c r="D28620" t="s">
        <v>880</v>
      </c>
      <c r="F28620">
        <v>4.3503453356851597E-8</v>
      </c>
      <c r="G28620">
        <v>1099311</v>
      </c>
      <c r="H28620">
        <v>14146769</v>
      </c>
      <c r="I28620">
        <v>1893414</v>
      </c>
      <c r="J28620">
        <v>3</v>
      </c>
    </row>
    <row r="28621" spans="1:10" x14ac:dyDescent="0.25">
      <c r="A28621" t="s">
        <v>323</v>
      </c>
      <c r="B28621" s="1" t="str">
        <f>HYPERLINK("http://skytran.us","skytran.us")</f>
        <v>skytran.us</v>
      </c>
      <c r="C28621" t="s">
        <v>522</v>
      </c>
      <c r="D28621" t="s">
        <v>891</v>
      </c>
      <c r="F28621">
        <v>1.1764831957945799E-8</v>
      </c>
      <c r="G28621">
        <v>5324412</v>
      </c>
      <c r="H28621">
        <v>14491212</v>
      </c>
      <c r="I28621">
        <v>904972</v>
      </c>
      <c r="J28621">
        <v>6</v>
      </c>
    </row>
    <row r="28622" spans="1:10" x14ac:dyDescent="0.25">
      <c r="A28622" t="s">
        <v>324</v>
      </c>
      <c r="B28622" s="1" t="str">
        <f>HYPERLINK("http://lexisnexis.at","lexisnexis.at")</f>
        <v>lexisnexis.at</v>
      </c>
      <c r="C28622" t="s">
        <v>419</v>
      </c>
      <c r="D28622" t="s">
        <v>801</v>
      </c>
      <c r="E28622">
        <v>284993</v>
      </c>
      <c r="F28622">
        <v>2.4568902805379299E-7</v>
      </c>
      <c r="G28622">
        <v>152274</v>
      </c>
      <c r="H28622">
        <v>15074356</v>
      </c>
      <c r="I28622">
        <v>410454</v>
      </c>
      <c r="J28622">
        <v>4</v>
      </c>
    </row>
    <row r="28623" spans="1:10" x14ac:dyDescent="0.25">
      <c r="A28623" t="s">
        <v>324</v>
      </c>
      <c r="B28623" s="1" t="str">
        <f>HYPERLINK("http://rxglobal.at","rxglobal.at")</f>
        <v>rxglobal.at</v>
      </c>
      <c r="C28623" t="s">
        <v>419</v>
      </c>
      <c r="D28623" t="s">
        <v>801</v>
      </c>
      <c r="E28623">
        <v>916188</v>
      </c>
      <c r="F28623">
        <v>2.58696364874769E-8</v>
      </c>
      <c r="G28623">
        <v>1992172</v>
      </c>
      <c r="H28623">
        <v>12182851</v>
      </c>
      <c r="I28623">
        <v>23739762</v>
      </c>
      <c r="J28623">
        <v>4</v>
      </c>
    </row>
    <row r="28624" spans="1:10" x14ac:dyDescent="0.25">
      <c r="A28624" t="s">
        <v>324</v>
      </c>
      <c r="B28624" s="1" t="str">
        <f>HYPERLINK("http://lexisnexis.com.au","lexisnexis.com.au")</f>
        <v>lexisnexis.com.au</v>
      </c>
      <c r="C28624" t="s">
        <v>420</v>
      </c>
      <c r="D28624" t="s">
        <v>802</v>
      </c>
      <c r="E28624">
        <v>551320</v>
      </c>
      <c r="F28624">
        <v>3.2587797156115298E-7</v>
      </c>
      <c r="G28624">
        <v>114302</v>
      </c>
      <c r="H28624">
        <v>14291251</v>
      </c>
      <c r="I28624">
        <v>1365362</v>
      </c>
      <c r="J28624">
        <v>4</v>
      </c>
    </row>
    <row r="28625" spans="1:10" x14ac:dyDescent="0.25">
      <c r="A28625" t="s">
        <v>324</v>
      </c>
      <c r="B28625" s="1" t="str">
        <f>HYPERLINK("http://reedexhibitions.com.au","reedexhibitions.com.au")</f>
        <v>reedexhibitions.com.au</v>
      </c>
      <c r="C28625" t="s">
        <v>420</v>
      </c>
      <c r="D28625" t="s">
        <v>802</v>
      </c>
      <c r="F28625">
        <v>1.5751233944155E-8</v>
      </c>
      <c r="G28625">
        <v>3613100</v>
      </c>
      <c r="H28625">
        <v>13763991</v>
      </c>
      <c r="I28625">
        <v>7441528</v>
      </c>
      <c r="J28625">
        <v>3</v>
      </c>
    </row>
    <row r="28626" spans="1:10" x14ac:dyDescent="0.25">
      <c r="A28626" t="s">
        <v>324</v>
      </c>
      <c r="B28626" s="1" t="str">
        <f>HYPERLINK("http://lexisnexis.com.br","lexisnexis.com.br")</f>
        <v>lexisnexis.com.br</v>
      </c>
      <c r="C28626" t="s">
        <v>425</v>
      </c>
      <c r="D28626" t="s">
        <v>806</v>
      </c>
      <c r="F28626">
        <v>3.4023956014590698E-8</v>
      </c>
      <c r="G28626">
        <v>1522077</v>
      </c>
      <c r="H28626">
        <v>13828947</v>
      </c>
      <c r="I28626">
        <v>6114226</v>
      </c>
      <c r="J28626">
        <v>4</v>
      </c>
    </row>
    <row r="28627" spans="1:10" x14ac:dyDescent="0.25">
      <c r="A28627" t="s">
        <v>324</v>
      </c>
      <c r="B28627" s="1" t="str">
        <f>HYPERLINK("http://ohno.com.br","ohno.com.br")</f>
        <v>ohno.com.br</v>
      </c>
      <c r="C28627" t="s">
        <v>425</v>
      </c>
      <c r="D28627" t="s">
        <v>806</v>
      </c>
      <c r="F28627">
        <v>4.4691170372905803E-9</v>
      </c>
      <c r="G28627">
        <v>64790734</v>
      </c>
      <c r="H28627">
        <v>10509714</v>
      </c>
      <c r="I28627">
        <v>49730949</v>
      </c>
      <c r="J28627">
        <v>3</v>
      </c>
    </row>
    <row r="28628" spans="1:10" x14ac:dyDescent="0.25">
      <c r="A28628" t="s">
        <v>324</v>
      </c>
      <c r="B28628" s="1" t="str">
        <f>HYPERLINK("http://lexisnexis.ca","lexisnexis.ca")</f>
        <v>lexisnexis.ca</v>
      </c>
      <c r="C28628" t="s">
        <v>428</v>
      </c>
      <c r="D28628" t="s">
        <v>809</v>
      </c>
      <c r="E28628">
        <v>370834</v>
      </c>
      <c r="F28628">
        <v>4.2605800977557198E-7</v>
      </c>
      <c r="G28628">
        <v>88407</v>
      </c>
      <c r="H28628">
        <v>15132036</v>
      </c>
      <c r="I28628">
        <v>402160</v>
      </c>
      <c r="J28628">
        <v>3</v>
      </c>
    </row>
    <row r="28629" spans="1:10" x14ac:dyDescent="0.25">
      <c r="A28629" t="s">
        <v>324</v>
      </c>
      <c r="B28629" s="1" t="str">
        <f>HYPERLINK("http://lexisnexis.com.cn","lexisnexis.com.cn")</f>
        <v>lexisnexis.com.cn</v>
      </c>
      <c r="C28629" t="s">
        <v>431</v>
      </c>
      <c r="D28629" t="s">
        <v>812</v>
      </c>
      <c r="F28629">
        <v>2.55916317772498E-8</v>
      </c>
      <c r="G28629">
        <v>2014933</v>
      </c>
      <c r="H28629">
        <v>12758325</v>
      </c>
      <c r="I28629">
        <v>14965606</v>
      </c>
      <c r="J28629">
        <v>3</v>
      </c>
    </row>
    <row r="28630" spans="1:10" x14ac:dyDescent="0.25">
      <c r="A28630" t="s">
        <v>324</v>
      </c>
      <c r="B28630" s="1" t="str">
        <f>HYPERLINK("http://rxglobal.com.cn","rxglobal.com.cn")</f>
        <v>rxglobal.com.cn</v>
      </c>
      <c r="C28630" t="s">
        <v>431</v>
      </c>
      <c r="D28630" t="s">
        <v>812</v>
      </c>
      <c r="F28630">
        <v>1.6607649203982201E-7</v>
      </c>
      <c r="G28630">
        <v>233676</v>
      </c>
      <c r="H28630">
        <v>12123460</v>
      </c>
      <c r="I28630">
        <v>25316537</v>
      </c>
      <c r="J28630">
        <v>4</v>
      </c>
    </row>
    <row r="28631" spans="1:10" x14ac:dyDescent="0.25">
      <c r="A28631" t="s">
        <v>324</v>
      </c>
      <c r="B28631" s="1" t="str">
        <f>HYPERLINK("http://elsevier.cn","elsevier.cn")</f>
        <v>elsevier.cn</v>
      </c>
      <c r="C28631" t="s">
        <v>431</v>
      </c>
      <c r="D28631" t="s">
        <v>812</v>
      </c>
      <c r="E28631">
        <v>229745</v>
      </c>
      <c r="F28631">
        <v>1.16701622473588E-8</v>
      </c>
      <c r="G28631">
        <v>5385479</v>
      </c>
      <c r="H28631">
        <v>13096865</v>
      </c>
      <c r="I28631">
        <v>12118654</v>
      </c>
      <c r="J28631">
        <v>3</v>
      </c>
    </row>
    <row r="28632" spans="1:10" x14ac:dyDescent="0.25">
      <c r="A28632" t="s">
        <v>324</v>
      </c>
      <c r="B28632" s="1" t="str">
        <f>HYPERLINK("http://flyreel.co","flyreel.co")</f>
        <v>flyreel.co</v>
      </c>
      <c r="C28632" t="s">
        <v>432</v>
      </c>
      <c r="F28632">
        <v>4.6804076169624897E-8</v>
      </c>
      <c r="G28632">
        <v>997958</v>
      </c>
      <c r="H28632">
        <v>13411461</v>
      </c>
      <c r="I28632">
        <v>10331861</v>
      </c>
      <c r="J28632">
        <v>6</v>
      </c>
    </row>
    <row r="28633" spans="1:10" x14ac:dyDescent="0.25">
      <c r="A28633" t="s">
        <v>324</v>
      </c>
      <c r="B28633" s="1" t="str">
        <f>HYPERLINK("http://3d4medical.com","3d4medical.com")</f>
        <v>3d4medical.com</v>
      </c>
      <c r="C28633" t="s">
        <v>433</v>
      </c>
      <c r="E28633">
        <v>168514</v>
      </c>
      <c r="F28633">
        <v>3.93879826311029E-7</v>
      </c>
      <c r="G28633">
        <v>95243</v>
      </c>
      <c r="H28633">
        <v>17278646</v>
      </c>
      <c r="I28633">
        <v>30302</v>
      </c>
      <c r="J28633">
        <v>3</v>
      </c>
    </row>
    <row r="28634" spans="1:10" x14ac:dyDescent="0.25">
      <c r="A28634" t="s">
        <v>324</v>
      </c>
      <c r="B28634" s="1" t="str">
        <f>HYPERLINK("http://accuity.com","accuity.com")</f>
        <v>accuity.com</v>
      </c>
      <c r="C28634" t="s">
        <v>433</v>
      </c>
      <c r="E28634">
        <v>162792</v>
      </c>
      <c r="F28634">
        <v>2.66617669529339E-7</v>
      </c>
      <c r="G28634">
        <v>139805</v>
      </c>
      <c r="H28634">
        <v>17022636</v>
      </c>
      <c r="I28634">
        <v>88998</v>
      </c>
      <c r="J28634">
        <v>3</v>
      </c>
    </row>
    <row r="28635" spans="1:10" x14ac:dyDescent="0.25">
      <c r="A28635" t="s">
        <v>324</v>
      </c>
      <c r="B28635" s="1" t="str">
        <f>HYPERLINK("http://ariessys.com","ariessys.com")</f>
        <v>ariessys.com</v>
      </c>
      <c r="C28635" t="s">
        <v>433</v>
      </c>
      <c r="E28635">
        <v>252810</v>
      </c>
      <c r="F28635">
        <v>3.79987582120014E-6</v>
      </c>
      <c r="G28635">
        <v>10988</v>
      </c>
      <c r="H28635">
        <v>14237222</v>
      </c>
      <c r="I28635">
        <v>1556857</v>
      </c>
      <c r="J28635">
        <v>3</v>
      </c>
    </row>
    <row r="28636" spans="1:10" x14ac:dyDescent="0.25">
      <c r="A28636" t="s">
        <v>324</v>
      </c>
      <c r="B28636" s="1" t="str">
        <f>HYPERLINK("http://behaviosec.com","behaviosec.com")</f>
        <v>behaviosec.com</v>
      </c>
      <c r="C28636" t="s">
        <v>433</v>
      </c>
      <c r="F28636">
        <v>1.06365429499718E-7</v>
      </c>
      <c r="G28636">
        <v>376440</v>
      </c>
      <c r="H28636">
        <v>14326613</v>
      </c>
      <c r="I28636">
        <v>1326384</v>
      </c>
      <c r="J28636">
        <v>3</v>
      </c>
    </row>
    <row r="28637" spans="1:10" x14ac:dyDescent="0.25">
      <c r="A28637" t="s">
        <v>324</v>
      </c>
      <c r="B28637" s="1" t="str">
        <f>HYPERLINK("http://bender.com","bender.com")</f>
        <v>bender.com</v>
      </c>
      <c r="C28637" t="s">
        <v>433</v>
      </c>
      <c r="F28637">
        <v>2.0394377403533201E-8</v>
      </c>
      <c r="G28637">
        <v>2600524</v>
      </c>
      <c r="H28637">
        <v>13440374</v>
      </c>
      <c r="I28637">
        <v>10260400</v>
      </c>
      <c r="J28637">
        <v>3</v>
      </c>
    </row>
    <row r="28638" spans="1:10" x14ac:dyDescent="0.25">
      <c r="A28638" t="s">
        <v>324</v>
      </c>
      <c r="B28638" s="1" t="str">
        <f>HYPERLINK("http://bepress.com","bepress.com")</f>
        <v>bepress.com</v>
      </c>
      <c r="C28638" t="s">
        <v>433</v>
      </c>
      <c r="E28638">
        <v>9975</v>
      </c>
      <c r="F28638">
        <v>8.7846581457028595E-6</v>
      </c>
      <c r="G28638">
        <v>3836</v>
      </c>
      <c r="H28638">
        <v>18800242</v>
      </c>
      <c r="I28638">
        <v>805</v>
      </c>
      <c r="J28638">
        <v>5</v>
      </c>
    </row>
    <row r="28639" spans="1:10" x14ac:dyDescent="0.25">
      <c r="A28639" t="s">
        <v>324</v>
      </c>
      <c r="B28639" s="1" t="str">
        <f>HYPERLINK("http://butterworths.com","butterworths.com")</f>
        <v>butterworths.com</v>
      </c>
      <c r="C28639" t="s">
        <v>433</v>
      </c>
      <c r="F28639">
        <v>1.97410474674685E-8</v>
      </c>
      <c r="G28639">
        <v>2702605</v>
      </c>
      <c r="H28639">
        <v>13781852</v>
      </c>
      <c r="I28639">
        <v>6452336</v>
      </c>
      <c r="J28639">
        <v>3</v>
      </c>
    </row>
    <row r="28640" spans="1:10" x14ac:dyDescent="0.25">
      <c r="A28640" t="s">
        <v>324</v>
      </c>
      <c r="B28640" s="1" t="str">
        <f>HYPERLINK("http://cell.com","cell.com")</f>
        <v>cell.com</v>
      </c>
      <c r="C28640" t="s">
        <v>433</v>
      </c>
      <c r="E28640">
        <v>1965</v>
      </c>
      <c r="F28640">
        <v>1.36449099100938E-5</v>
      </c>
      <c r="G28640">
        <v>2587</v>
      </c>
      <c r="H28640">
        <v>18238180</v>
      </c>
      <c r="I28640">
        <v>2583</v>
      </c>
      <c r="J28640">
        <v>5</v>
      </c>
    </row>
    <row r="28641" spans="1:10" x14ac:dyDescent="0.25">
      <c r="A28641" t="s">
        <v>324</v>
      </c>
      <c r="B28641" s="1" t="str">
        <f>HYPERLINK("http://chainleader.com","chainleader.com")</f>
        <v>chainleader.com</v>
      </c>
      <c r="C28641" t="s">
        <v>433</v>
      </c>
      <c r="F28641">
        <v>1.5815676701304201E-8</v>
      </c>
      <c r="G28641">
        <v>3595221</v>
      </c>
      <c r="H28641">
        <v>14494835</v>
      </c>
      <c r="I28641">
        <v>879405</v>
      </c>
      <c r="J28641">
        <v>5</v>
      </c>
    </row>
    <row r="28642" spans="1:10" x14ac:dyDescent="0.25">
      <c r="A28642" t="s">
        <v>324</v>
      </c>
      <c r="B28642" s="1" t="str">
        <f>HYPERLINK("http://chandospublishing.com","chandospublishing.com")</f>
        <v>chandospublishing.com</v>
      </c>
      <c r="C28642" t="s">
        <v>433</v>
      </c>
      <c r="F28642">
        <v>2.0174252507842601E-8</v>
      </c>
      <c r="G28642">
        <v>2632708</v>
      </c>
      <c r="H28642">
        <v>14596932</v>
      </c>
      <c r="I28642">
        <v>689052</v>
      </c>
      <c r="J28642">
        <v>4</v>
      </c>
    </row>
    <row r="28643" spans="1:10" x14ac:dyDescent="0.25">
      <c r="A28643" t="s">
        <v>324</v>
      </c>
      <c r="B28643" s="1" t="str">
        <f>HYPERLINK("http://choicepoint.com","choicepoint.com")</f>
        <v>choicepoint.com</v>
      </c>
      <c r="C28643" t="s">
        <v>433</v>
      </c>
      <c r="E28643">
        <v>420544</v>
      </c>
      <c r="F28643">
        <v>5.0792781367998503E-8</v>
      </c>
      <c r="G28643">
        <v>903276</v>
      </c>
      <c r="H28643">
        <v>14210096</v>
      </c>
      <c r="I28643">
        <v>1703979</v>
      </c>
      <c r="J28643">
        <v>5</v>
      </c>
    </row>
    <row r="28644" spans="1:10" x14ac:dyDescent="0.25">
      <c r="A28644" t="s">
        <v>324</v>
      </c>
      <c r="B28644" s="1" t="str">
        <f>HYPERLINK("http://clavelink.com","clavelink.com")</f>
        <v>clavelink.com</v>
      </c>
      <c r="C28644" t="s">
        <v>433</v>
      </c>
      <c r="J28644">
        <v>3</v>
      </c>
    </row>
    <row r="28645" spans="1:10" x14ac:dyDescent="0.25">
      <c r="A28645" t="s">
        <v>324</v>
      </c>
      <c r="B28645" s="1" t="str">
        <f>HYPERLINK("http://convertingmagazine.com","convertingmagazine.com")</f>
        <v>convertingmagazine.com</v>
      </c>
      <c r="C28645" t="s">
        <v>433</v>
      </c>
      <c r="F28645">
        <v>1.3751321090921301E-8</v>
      </c>
      <c r="G28645">
        <v>4300700</v>
      </c>
      <c r="H28645">
        <v>14421966</v>
      </c>
      <c r="I28645">
        <v>1086072</v>
      </c>
      <c r="J28645">
        <v>5</v>
      </c>
    </row>
    <row r="28646" spans="1:10" x14ac:dyDescent="0.25">
      <c r="A28646" t="s">
        <v>324</v>
      </c>
      <c r="B28646" s="1" t="str">
        <f>HYPERLINK("http://current-opinion.com","current-opinion.com")</f>
        <v>current-opinion.com</v>
      </c>
      <c r="C28646" t="s">
        <v>433</v>
      </c>
      <c r="F28646">
        <v>2.3340125143466701E-8</v>
      </c>
      <c r="G28646">
        <v>2234727</v>
      </c>
      <c r="H28646">
        <v>14346953</v>
      </c>
      <c r="I28646">
        <v>1311596</v>
      </c>
      <c r="J28646">
        <v>5</v>
      </c>
    </row>
    <row r="28647" spans="1:10" x14ac:dyDescent="0.25">
      <c r="A28647" t="s">
        <v>324</v>
      </c>
      <c r="B28647" s="1" t="str">
        <f>HYPERLINK("http://elsevier.com","elsevier.com")</f>
        <v>elsevier.com</v>
      </c>
      <c r="C28647" t="s">
        <v>433</v>
      </c>
      <c r="E28647">
        <v>622</v>
      </c>
      <c r="F28647">
        <v>5.9180965030888397E-5</v>
      </c>
      <c r="G28647">
        <v>436</v>
      </c>
      <c r="H28647">
        <v>19056892</v>
      </c>
      <c r="I28647">
        <v>487</v>
      </c>
      <c r="J28647">
        <v>2</v>
      </c>
    </row>
    <row r="28648" spans="1:10" x14ac:dyDescent="0.25">
      <c r="A28648" t="s">
        <v>324</v>
      </c>
      <c r="B28648" s="1" t="str">
        <f>HYPERLINK("http://elsevierbi.com","elsevierbi.com")</f>
        <v>elsevierbi.com</v>
      </c>
      <c r="C28648" t="s">
        <v>433</v>
      </c>
      <c r="F28648">
        <v>6.9574290937747004E-8</v>
      </c>
      <c r="G28648">
        <v>610066</v>
      </c>
      <c r="H28648">
        <v>14694280</v>
      </c>
      <c r="I28648">
        <v>600269</v>
      </c>
      <c r="J28648">
        <v>5</v>
      </c>
    </row>
    <row r="28649" spans="1:10" x14ac:dyDescent="0.25">
      <c r="A28649" t="s">
        <v>324</v>
      </c>
      <c r="B28649" s="1" t="str">
        <f>HYPERLINK("http://elsevierjapan.com","elsevierjapan.com")</f>
        <v>elsevierjapan.com</v>
      </c>
      <c r="C28649" t="s">
        <v>433</v>
      </c>
      <c r="F28649">
        <v>1.05650685810237E-7</v>
      </c>
      <c r="G28649">
        <v>379150</v>
      </c>
      <c r="H28649">
        <v>13523386</v>
      </c>
      <c r="I28649">
        <v>9934675</v>
      </c>
      <c r="J28649">
        <v>3</v>
      </c>
    </row>
    <row r="28650" spans="1:10" x14ac:dyDescent="0.25">
      <c r="A28650" t="s">
        <v>324</v>
      </c>
      <c r="B28650" s="1" t="str">
        <f>HYPERLINK("http://emailage.com","emailage.com")</f>
        <v>emailage.com</v>
      </c>
      <c r="C28650" t="s">
        <v>433</v>
      </c>
      <c r="E28650">
        <v>248261</v>
      </c>
      <c r="F28650">
        <v>1.91486453156314E-7</v>
      </c>
      <c r="G28650">
        <v>201259</v>
      </c>
      <c r="H28650">
        <v>14617805</v>
      </c>
      <c r="I28650">
        <v>662652</v>
      </c>
      <c r="J28650">
        <v>3</v>
      </c>
    </row>
    <row r="28651" spans="1:10" x14ac:dyDescent="0.25">
      <c r="A28651" t="s">
        <v>324</v>
      </c>
      <c r="B28651" s="1" t="str">
        <f>HYPERLINK("http://enclarity.com","enclarity.com")</f>
        <v>enclarity.com</v>
      </c>
      <c r="C28651" t="s">
        <v>433</v>
      </c>
      <c r="F28651">
        <v>4.9843108675159697E-9</v>
      </c>
      <c r="G28651">
        <v>29830435</v>
      </c>
      <c r="H28651">
        <v>12952809</v>
      </c>
      <c r="I28651">
        <v>13198497</v>
      </c>
      <c r="J28651">
        <v>3</v>
      </c>
    </row>
    <row r="28652" spans="1:10" x14ac:dyDescent="0.25">
      <c r="A28652" t="s">
        <v>324</v>
      </c>
      <c r="B28652" s="1" t="str">
        <f>HYPERLINK("http://fircosoft.com","fircosoft.com")</f>
        <v>fircosoft.com</v>
      </c>
      <c r="C28652" t="s">
        <v>433</v>
      </c>
      <c r="F28652">
        <v>1.04474687539545E-8</v>
      </c>
      <c r="G28652">
        <v>6315858</v>
      </c>
      <c r="H28652">
        <v>13064446</v>
      </c>
      <c r="I28652">
        <v>12297626</v>
      </c>
      <c r="J28652">
        <v>3</v>
      </c>
    </row>
    <row r="28653" spans="1:10" x14ac:dyDescent="0.25">
      <c r="A28653" t="s">
        <v>324</v>
      </c>
      <c r="B28653" s="1" t="str">
        <f>HYPERLINK("http://flyreel.com","flyreel.com")</f>
        <v>flyreel.com</v>
      </c>
      <c r="C28653" t="s">
        <v>433</v>
      </c>
      <c r="F28653">
        <v>5.5148346828219902E-9</v>
      </c>
      <c r="G28653">
        <v>20741493</v>
      </c>
      <c r="H28653">
        <v>12031837</v>
      </c>
      <c r="I28653">
        <v>27622687</v>
      </c>
      <c r="J28653">
        <v>3</v>
      </c>
    </row>
    <row r="28654" spans="1:10" x14ac:dyDescent="0.25">
      <c r="A28654" t="s">
        <v>324</v>
      </c>
      <c r="B28654" s="1" t="str">
        <f>HYPERLINK("http://gammag.com","gammag.com")</f>
        <v>gammag.com</v>
      </c>
      <c r="C28654" t="s">
        <v>433</v>
      </c>
      <c r="F28654">
        <v>8.5389694862628806E-9</v>
      </c>
      <c r="G28654">
        <v>8770951</v>
      </c>
      <c r="H28654">
        <v>13769673</v>
      </c>
      <c r="I28654">
        <v>6775206</v>
      </c>
      <c r="J28654">
        <v>5</v>
      </c>
    </row>
    <row r="28655" spans="1:10" x14ac:dyDescent="0.25">
      <c r="A28655" t="s">
        <v>324</v>
      </c>
      <c r="B28655" s="1" t="str">
        <f>HYPERLINK("http://healthmarketscience.com","healthmarketscience.com")</f>
        <v>healthmarketscience.com</v>
      </c>
      <c r="C28655" t="s">
        <v>433</v>
      </c>
      <c r="F28655">
        <v>2.1423198988026398E-8</v>
      </c>
      <c r="G28655">
        <v>2458781</v>
      </c>
      <c r="H28655">
        <v>13803640</v>
      </c>
      <c r="I28655">
        <v>6261436</v>
      </c>
      <c r="J28655">
        <v>3</v>
      </c>
    </row>
    <row r="28656" spans="1:10" x14ac:dyDescent="0.25">
      <c r="A28656" t="s">
        <v>324</v>
      </c>
      <c r="B28656" s="1" t="str">
        <f>HYPERLINK("http://housingzone.com","housingzone.com")</f>
        <v>housingzone.com</v>
      </c>
      <c r="C28656" t="s">
        <v>433</v>
      </c>
      <c r="E28656">
        <v>977374</v>
      </c>
      <c r="F28656">
        <v>5.6660369403474398E-8</v>
      </c>
      <c r="G28656">
        <v>788892</v>
      </c>
      <c r="H28656">
        <v>13848652</v>
      </c>
      <c r="I28656">
        <v>6056446</v>
      </c>
      <c r="J28656">
        <v>5</v>
      </c>
    </row>
    <row r="28657" spans="1:10" x14ac:dyDescent="0.25">
      <c r="A28657" t="s">
        <v>324</v>
      </c>
      <c r="B28657" s="1" t="str">
        <f>HYPERLINK("http://idanalytics.com","idanalytics.com")</f>
        <v>idanalytics.com</v>
      </c>
      <c r="C28657" t="s">
        <v>433</v>
      </c>
      <c r="E28657">
        <v>342182</v>
      </c>
      <c r="F28657">
        <v>8.8754450128360597E-8</v>
      </c>
      <c r="G28657">
        <v>460902</v>
      </c>
      <c r="H28657">
        <v>13987863</v>
      </c>
      <c r="I28657">
        <v>4036522</v>
      </c>
      <c r="J28657">
        <v>3</v>
      </c>
    </row>
    <row r="28658" spans="1:10" x14ac:dyDescent="0.25">
      <c r="A28658" t="s">
        <v>324</v>
      </c>
      <c r="B28658" s="1" t="str">
        <f>HYPERLINK("http://inddist.com","inddist.com")</f>
        <v>inddist.com</v>
      </c>
      <c r="C28658" t="s">
        <v>433</v>
      </c>
      <c r="E28658">
        <v>212502</v>
      </c>
      <c r="F28658">
        <v>2.3734768125085899E-7</v>
      </c>
      <c r="G28658">
        <v>157823</v>
      </c>
      <c r="H28658">
        <v>14581339</v>
      </c>
      <c r="I28658">
        <v>708537</v>
      </c>
      <c r="J28658">
        <v>5</v>
      </c>
    </row>
    <row r="28659" spans="1:10" x14ac:dyDescent="0.25">
      <c r="A28659" t="s">
        <v>324</v>
      </c>
      <c r="B28659" s="1" t="str">
        <f>HYPERLINK("http://interfolio.com","interfolio.com")</f>
        <v>interfolio.com</v>
      </c>
      <c r="C28659" t="s">
        <v>433</v>
      </c>
      <c r="E28659">
        <v>37486</v>
      </c>
      <c r="F28659">
        <v>1.3282322102598699E-6</v>
      </c>
      <c r="G28659">
        <v>29240</v>
      </c>
      <c r="H28659">
        <v>17283830</v>
      </c>
      <c r="I28659">
        <v>29730</v>
      </c>
      <c r="J28659">
        <v>4</v>
      </c>
    </row>
    <row r="28660" spans="1:10" x14ac:dyDescent="0.25">
      <c r="A28660" t="s">
        <v>324</v>
      </c>
      <c r="B28660" s="1" t="str">
        <f>HYPERLINK("http://iplytics.com","iplytics.com")</f>
        <v>iplytics.com</v>
      </c>
      <c r="C28660" t="s">
        <v>433</v>
      </c>
      <c r="E28660">
        <v>990318</v>
      </c>
      <c r="F28660">
        <v>1.7163624094507901E-7</v>
      </c>
      <c r="G28660">
        <v>225991</v>
      </c>
      <c r="H28660">
        <v>16987592</v>
      </c>
      <c r="I28660">
        <v>96636</v>
      </c>
      <c r="J28660">
        <v>3</v>
      </c>
    </row>
    <row r="28661" spans="1:10" x14ac:dyDescent="0.25">
      <c r="A28661" t="s">
        <v>324</v>
      </c>
      <c r="B28661" s="1" t="str">
        <f>HYPERLINK("http://keaipublishing.com","keaipublishing.com")</f>
        <v>keaipublishing.com</v>
      </c>
      <c r="C28661" t="s">
        <v>433</v>
      </c>
      <c r="E28661">
        <v>333483</v>
      </c>
      <c r="F28661">
        <v>2.2625628769583401E-7</v>
      </c>
      <c r="G28661">
        <v>166473</v>
      </c>
      <c r="H28661">
        <v>15050062</v>
      </c>
      <c r="I28661">
        <v>414608</v>
      </c>
      <c r="J28661">
        <v>5</v>
      </c>
    </row>
    <row r="28662" spans="1:10" x14ac:dyDescent="0.25">
      <c r="A28662" t="s">
        <v>324</v>
      </c>
      <c r="B28662" s="1" t="str">
        <f>HYPERLINK("http://knovel.com","knovel.com")</f>
        <v>knovel.com</v>
      </c>
      <c r="C28662" t="s">
        <v>433</v>
      </c>
      <c r="E28662">
        <v>186234</v>
      </c>
      <c r="F28662">
        <v>2.9716207663795399E-7</v>
      </c>
      <c r="G28662">
        <v>125162</v>
      </c>
      <c r="H28662">
        <v>17196200</v>
      </c>
      <c r="I28662">
        <v>42473</v>
      </c>
      <c r="J28662">
        <v>3</v>
      </c>
    </row>
    <row r="28663" spans="1:10" x14ac:dyDescent="0.25">
      <c r="A28663" t="s">
        <v>324</v>
      </c>
      <c r="B28663" s="1" t="str">
        <f>HYPERLINK("http://knovex.com","knovex.com")</f>
        <v>knovex.com</v>
      </c>
      <c r="C28663" t="s">
        <v>433</v>
      </c>
      <c r="F28663">
        <v>4.7348317180517602E-9</v>
      </c>
      <c r="G28663">
        <v>39062597</v>
      </c>
      <c r="H28663">
        <v>13933061</v>
      </c>
      <c r="I28663">
        <v>5360079</v>
      </c>
      <c r="J28663">
        <v>6</v>
      </c>
    </row>
    <row r="28664" spans="1:10" x14ac:dyDescent="0.25">
      <c r="A28664" t="s">
        <v>324</v>
      </c>
      <c r="B28664" s="1" t="str">
        <f>HYPERLINK("http://law360.com","law360.com")</f>
        <v>law360.com</v>
      </c>
      <c r="C28664" t="s">
        <v>433</v>
      </c>
      <c r="E28664">
        <v>7193</v>
      </c>
      <c r="F28664">
        <v>5.9720557236983401E-6</v>
      </c>
      <c r="G28664">
        <v>5769</v>
      </c>
      <c r="H28664">
        <v>17807018</v>
      </c>
      <c r="I28664">
        <v>5500</v>
      </c>
      <c r="J28664">
        <v>3</v>
      </c>
    </row>
    <row r="28665" spans="1:10" x14ac:dyDescent="0.25">
      <c r="A28665" t="s">
        <v>324</v>
      </c>
      <c r="B28665" s="1" t="str">
        <f>HYPERLINK("http://legendexhibitions.com","legendexhibitions.com")</f>
        <v>legendexhibitions.com</v>
      </c>
      <c r="C28665" t="s">
        <v>433</v>
      </c>
      <c r="F28665">
        <v>4.5233779956500597E-9</v>
      </c>
      <c r="G28665">
        <v>55803198</v>
      </c>
      <c r="H28665">
        <v>12320839</v>
      </c>
      <c r="I28665">
        <v>20399451</v>
      </c>
      <c r="J28665">
        <v>4</v>
      </c>
    </row>
    <row r="28666" spans="1:10" x14ac:dyDescent="0.25">
      <c r="A28666" t="s">
        <v>324</v>
      </c>
      <c r="B28666" s="1" t="str">
        <f>HYPERLINK("http://lexisnexis.com","lexisnexis.com")</f>
        <v>lexisnexis.com</v>
      </c>
      <c r="C28666" t="s">
        <v>433</v>
      </c>
      <c r="E28666">
        <v>3386</v>
      </c>
      <c r="F28666">
        <v>9.8910184221112899E-6</v>
      </c>
      <c r="G28666">
        <v>3386</v>
      </c>
      <c r="H28666">
        <v>17991830</v>
      </c>
      <c r="I28666">
        <v>3741</v>
      </c>
      <c r="J28666">
        <v>3</v>
      </c>
    </row>
    <row r="28667" spans="1:10" x14ac:dyDescent="0.25">
      <c r="A28667" t="s">
        <v>324</v>
      </c>
      <c r="B28667" s="1" t="str">
        <f>HYPERLINK("http://lexisnexisrisk.com","lexisnexisrisk.com")</f>
        <v>lexisnexisrisk.com</v>
      </c>
      <c r="C28667" t="s">
        <v>433</v>
      </c>
      <c r="E28667">
        <v>63110</v>
      </c>
      <c r="F28667">
        <v>2.4780334307256302E-7</v>
      </c>
      <c r="G28667">
        <v>150980</v>
      </c>
      <c r="H28667">
        <v>13534528</v>
      </c>
      <c r="I28667">
        <v>9913998</v>
      </c>
      <c r="J28667">
        <v>4</v>
      </c>
    </row>
    <row r="28668" spans="1:10" x14ac:dyDescent="0.25">
      <c r="A28668" t="s">
        <v>324</v>
      </c>
      <c r="B28668" s="1" t="str">
        <f>HYPERLINK("http://lexisnexisspecialservices.com","lexisnexisspecialservices.com")</f>
        <v>lexisnexisspecialservices.com</v>
      </c>
      <c r="C28668" t="s">
        <v>433</v>
      </c>
      <c r="F28668">
        <v>1.20646446787867E-8</v>
      </c>
      <c r="G28668">
        <v>5134799</v>
      </c>
      <c r="H28668">
        <v>12585762</v>
      </c>
      <c r="I28668">
        <v>16449794</v>
      </c>
      <c r="J28668">
        <v>6</v>
      </c>
    </row>
    <row r="28669" spans="1:10" x14ac:dyDescent="0.25">
      <c r="A28669" t="s">
        <v>324</v>
      </c>
      <c r="B28669" s="1" t="str">
        <f>HYPERLINK("http://mackbrooks.com","mackbrooks.com")</f>
        <v>mackbrooks.com</v>
      </c>
      <c r="C28669" t="s">
        <v>433</v>
      </c>
      <c r="E28669">
        <v>789683</v>
      </c>
      <c r="F28669">
        <v>1.3890222730215501E-7</v>
      </c>
      <c r="G28669">
        <v>280471</v>
      </c>
      <c r="H28669">
        <v>14498659</v>
      </c>
      <c r="I28669">
        <v>860564</v>
      </c>
      <c r="J28669">
        <v>4</v>
      </c>
    </row>
    <row r="28670" spans="1:10" x14ac:dyDescent="0.25">
      <c r="A28670" t="s">
        <v>324</v>
      </c>
      <c r="B28670" s="1" t="str">
        <f>HYPERLINK("http://mendeley.com","mendeley.com")</f>
        <v>mendeley.com</v>
      </c>
      <c r="C28670" t="s">
        <v>433</v>
      </c>
      <c r="E28670">
        <v>3468</v>
      </c>
      <c r="F28670">
        <v>5.9607590183418701E-6</v>
      </c>
      <c r="G28670">
        <v>5785</v>
      </c>
      <c r="H28670">
        <v>17959590</v>
      </c>
      <c r="I28670">
        <v>3982</v>
      </c>
      <c r="J28670">
        <v>4</v>
      </c>
    </row>
    <row r="28671" spans="1:10" x14ac:dyDescent="0.25">
      <c r="A28671" t="s">
        <v>324</v>
      </c>
      <c r="B28671" s="1" t="str">
        <f>HYPERLINK("http://mlexmarketinsight.com","mlexmarketinsight.com")</f>
        <v>mlexmarketinsight.com</v>
      </c>
      <c r="C28671" t="s">
        <v>433</v>
      </c>
      <c r="E28671">
        <v>388896</v>
      </c>
      <c r="F28671">
        <v>2.5796930912195502E-7</v>
      </c>
      <c r="G28671">
        <v>145007</v>
      </c>
      <c r="H28671">
        <v>15132761</v>
      </c>
      <c r="I28671">
        <v>402082</v>
      </c>
      <c r="J28671">
        <v>4</v>
      </c>
    </row>
    <row r="28672" spans="1:10" x14ac:dyDescent="0.25">
      <c r="A28672" t="s">
        <v>324</v>
      </c>
      <c r="B28672" s="1" t="str">
        <f>HYPERLINK("http://moreover.com","moreover.com")</f>
        <v>moreover.com</v>
      </c>
      <c r="C28672" t="s">
        <v>433</v>
      </c>
      <c r="E28672">
        <v>30020</v>
      </c>
      <c r="F28672">
        <v>5.8824581200335795E-7</v>
      </c>
      <c r="G28672">
        <v>65019</v>
      </c>
      <c r="H28672">
        <v>17136846</v>
      </c>
      <c r="I28672">
        <v>55094</v>
      </c>
      <c r="J28672">
        <v>6</v>
      </c>
    </row>
    <row r="28673" spans="1:10" x14ac:dyDescent="0.25">
      <c r="A28673" t="s">
        <v>324</v>
      </c>
      <c r="B28673" s="1" t="str">
        <f>HYPERLINK("http://patentsight.com","patentsight.com")</f>
        <v>patentsight.com</v>
      </c>
      <c r="C28673" t="s">
        <v>433</v>
      </c>
      <c r="F28673">
        <v>5.8799074716184601E-8</v>
      </c>
      <c r="G28673">
        <v>754659</v>
      </c>
      <c r="H28673">
        <v>14330874</v>
      </c>
      <c r="I28673">
        <v>1322812</v>
      </c>
      <c r="J28673">
        <v>3</v>
      </c>
    </row>
    <row r="28674" spans="1:10" x14ac:dyDescent="0.25">
      <c r="A28674" t="s">
        <v>324</v>
      </c>
      <c r="B28674" s="1" t="str">
        <f>HYPERLINK("http://proremodeler.com","proremodeler.com")</f>
        <v>proremodeler.com</v>
      </c>
      <c r="C28674" t="s">
        <v>433</v>
      </c>
      <c r="E28674">
        <v>344735</v>
      </c>
      <c r="F28674">
        <v>2.03244985343349E-7</v>
      </c>
      <c r="G28674">
        <v>187075</v>
      </c>
      <c r="H28674">
        <v>14831854</v>
      </c>
      <c r="I28674">
        <v>504631</v>
      </c>
      <c r="J28674">
        <v>7</v>
      </c>
    </row>
    <row r="28675" spans="1:10" x14ac:dyDescent="0.25">
      <c r="A28675" t="s">
        <v>324</v>
      </c>
      <c r="B28675" s="1" t="str">
        <f>HYPERLINK("http://purchasing.com","purchasing.com")</f>
        <v>purchasing.com</v>
      </c>
      <c r="C28675" t="s">
        <v>433</v>
      </c>
      <c r="F28675">
        <v>2.70433016199026E-8</v>
      </c>
      <c r="G28675">
        <v>1901769</v>
      </c>
      <c r="H28675">
        <v>14491416</v>
      </c>
      <c r="I28675">
        <v>903329</v>
      </c>
      <c r="J28675">
        <v>5</v>
      </c>
    </row>
    <row r="28676" spans="1:10" x14ac:dyDescent="0.25">
      <c r="A28676" t="s">
        <v>324</v>
      </c>
      <c r="B28676" s="1" t="str">
        <f>HYPERLINK("http://reedbusiness.com","reedbusiness.com")</f>
        <v>reedbusiness.com</v>
      </c>
      <c r="C28676" t="s">
        <v>433</v>
      </c>
      <c r="E28676">
        <v>98620</v>
      </c>
      <c r="F28676">
        <v>9.6203953862635394E-8</v>
      </c>
      <c r="G28676">
        <v>420523</v>
      </c>
      <c r="H28676">
        <v>15131158</v>
      </c>
      <c r="I28676">
        <v>402258</v>
      </c>
      <c r="J28676">
        <v>3</v>
      </c>
    </row>
    <row r="28677" spans="1:10" x14ac:dyDescent="0.25">
      <c r="A28677" t="s">
        <v>324</v>
      </c>
      <c r="B28677" s="1" t="str">
        <f>HYPERLINK("http://reedconstructiondata.com","reedconstructiondata.com")</f>
        <v>reedconstructiondata.com</v>
      </c>
      <c r="C28677" t="s">
        <v>433</v>
      </c>
      <c r="E28677">
        <v>884688</v>
      </c>
      <c r="F28677">
        <v>9.24671378601317E-8</v>
      </c>
      <c r="G28677">
        <v>440102</v>
      </c>
      <c r="H28677">
        <v>14536942</v>
      </c>
      <c r="I28677">
        <v>779067</v>
      </c>
      <c r="J28677">
        <v>4</v>
      </c>
    </row>
    <row r="28678" spans="1:10" x14ac:dyDescent="0.25">
      <c r="A28678" t="s">
        <v>324</v>
      </c>
      <c r="B28678" s="1" t="str">
        <f>HYPERLINK("http://reedelsevier.com","reedelsevier.com")</f>
        <v>reedelsevier.com</v>
      </c>
      <c r="C28678" t="s">
        <v>433</v>
      </c>
      <c r="E28678">
        <v>33541</v>
      </c>
      <c r="F28678">
        <v>2.96552907053621E-7</v>
      </c>
      <c r="G28678">
        <v>125436</v>
      </c>
      <c r="H28678">
        <v>14782827</v>
      </c>
      <c r="I28678">
        <v>553542</v>
      </c>
      <c r="J28678">
        <v>3</v>
      </c>
    </row>
    <row r="28679" spans="1:10" x14ac:dyDescent="0.25">
      <c r="A28679" t="s">
        <v>324</v>
      </c>
      <c r="B28679" s="1" t="str">
        <f>HYPERLINK("http://reedexpo.com","reedexpo.com")</f>
        <v>reedexpo.com</v>
      </c>
      <c r="C28679" t="s">
        <v>433</v>
      </c>
      <c r="E28679">
        <v>159298</v>
      </c>
      <c r="F28679">
        <v>9.8739280201595895E-7</v>
      </c>
      <c r="G28679">
        <v>38734</v>
      </c>
      <c r="H28679">
        <v>17225516</v>
      </c>
      <c r="I28679">
        <v>37596</v>
      </c>
      <c r="J28679">
        <v>3</v>
      </c>
    </row>
    <row r="28680" spans="1:10" x14ac:dyDescent="0.25">
      <c r="A28680" t="s">
        <v>324</v>
      </c>
      <c r="B28680" s="1" t="str">
        <f>HYPERLINK("http://reedmidem.com","reedmidem.com")</f>
        <v>reedmidem.com</v>
      </c>
      <c r="C28680" t="s">
        <v>433</v>
      </c>
      <c r="E28680">
        <v>670457</v>
      </c>
      <c r="F28680">
        <v>8.6638030219315002E-8</v>
      </c>
      <c r="G28680">
        <v>474300</v>
      </c>
      <c r="H28680">
        <v>14186373</v>
      </c>
      <c r="I28680">
        <v>1768424</v>
      </c>
      <c r="J28680">
        <v>3</v>
      </c>
    </row>
    <row r="28681" spans="1:10" x14ac:dyDescent="0.25">
      <c r="A28681" t="s">
        <v>324</v>
      </c>
      <c r="B28681" s="1" t="str">
        <f>HYPERLINK("http://relx.com","relx.com")</f>
        <v>relx.com</v>
      </c>
      <c r="C28681" t="s">
        <v>433</v>
      </c>
      <c r="E28681">
        <v>63754</v>
      </c>
      <c r="F28681">
        <v>3.1597100515144598E-5</v>
      </c>
      <c r="G28681">
        <v>926</v>
      </c>
      <c r="H28681">
        <v>17299836</v>
      </c>
      <c r="I28681">
        <v>27910</v>
      </c>
      <c r="J28681">
        <v>1</v>
      </c>
    </row>
    <row r="28682" spans="1:10" x14ac:dyDescent="0.25">
      <c r="A28682" t="s">
        <v>324</v>
      </c>
      <c r="B28682" s="1" t="str">
        <f>HYPERLINK("http://researchfish.com","researchfish.com")</f>
        <v>researchfish.com</v>
      </c>
      <c r="C28682" t="s">
        <v>433</v>
      </c>
      <c r="F28682">
        <v>1.5372139294122899E-7</v>
      </c>
      <c r="G28682">
        <v>252680</v>
      </c>
      <c r="H28682">
        <v>14583993</v>
      </c>
      <c r="I28682">
        <v>703730</v>
      </c>
      <c r="J28682">
        <v>3</v>
      </c>
    </row>
    <row r="28683" spans="1:10" x14ac:dyDescent="0.25">
      <c r="A28683" t="s">
        <v>324</v>
      </c>
      <c r="B28683" s="1" t="str">
        <f>HYPERLINK("http://rxgbs.com","rxgbs.com")</f>
        <v>rxgbs.com</v>
      </c>
      <c r="C28683" t="s">
        <v>433</v>
      </c>
      <c r="J28683">
        <v>3</v>
      </c>
    </row>
    <row r="28684" spans="1:10" x14ac:dyDescent="0.25">
      <c r="A28684" t="s">
        <v>324</v>
      </c>
      <c r="B28684" s="1" t="str">
        <f>HYPERLINK("http://rxglobal.com","rxglobal.com")</f>
        <v>rxglobal.com</v>
      </c>
      <c r="C28684" t="s">
        <v>433</v>
      </c>
      <c r="E28684">
        <v>104982</v>
      </c>
      <c r="F28684">
        <v>1.80506593368049E-6</v>
      </c>
      <c r="G28684">
        <v>21294</v>
      </c>
      <c r="H28684">
        <v>17072674</v>
      </c>
      <c r="I28684">
        <v>70191</v>
      </c>
      <c r="J28684">
        <v>3</v>
      </c>
    </row>
    <row r="28685" spans="1:10" x14ac:dyDescent="0.25">
      <c r="A28685" t="s">
        <v>324</v>
      </c>
      <c r="B28685" s="1" t="str">
        <f>HYPERLINK("http://scibite.com","scibite.com")</f>
        <v>scibite.com</v>
      </c>
      <c r="C28685" t="s">
        <v>433</v>
      </c>
      <c r="F28685">
        <v>5.3896757513805403E-8</v>
      </c>
      <c r="G28685">
        <v>843132</v>
      </c>
      <c r="H28685">
        <v>14116946</v>
      </c>
      <c r="I28685">
        <v>2660930</v>
      </c>
      <c r="J28685">
        <v>3</v>
      </c>
    </row>
    <row r="28686" spans="1:10" x14ac:dyDescent="0.25">
      <c r="A28686" t="s">
        <v>324</v>
      </c>
      <c r="B28686" s="1" t="str">
        <f>HYPERLINK("http://sciencedirect.com","sciencedirect.com")</f>
        <v>sciencedirect.com</v>
      </c>
      <c r="C28686" t="s">
        <v>433</v>
      </c>
      <c r="E28686">
        <v>153</v>
      </c>
      <c r="F28686">
        <v>1.01657817009063E-4</v>
      </c>
      <c r="G28686">
        <v>261</v>
      </c>
      <c r="H28686">
        <v>19605258</v>
      </c>
      <c r="I28686">
        <v>137</v>
      </c>
      <c r="J28686">
        <v>5</v>
      </c>
    </row>
    <row r="28687" spans="1:10" x14ac:dyDescent="0.25">
      <c r="A28687" t="s">
        <v>324</v>
      </c>
      <c r="B28687" s="1" t="str">
        <f>HYPERLINK("http://simplexis.com","simplexis.com")</f>
        <v>simplexis.com</v>
      </c>
      <c r="C28687" t="s">
        <v>433</v>
      </c>
      <c r="F28687">
        <v>7.2132946948535704E-9</v>
      </c>
      <c r="G28687">
        <v>11705766</v>
      </c>
      <c r="H28687">
        <v>12727740</v>
      </c>
      <c r="I28687">
        <v>15208080</v>
      </c>
      <c r="J28687">
        <v>6</v>
      </c>
    </row>
    <row r="28688" spans="1:10" x14ac:dyDescent="0.25">
      <c r="A28688" t="s">
        <v>324</v>
      </c>
      <c r="B28688" s="1" t="str">
        <f>HYPERLINK("http://snowflakesoftware.com","snowflakesoftware.com")</f>
        <v>snowflakesoftware.com</v>
      </c>
      <c r="C28688" t="s">
        <v>433</v>
      </c>
      <c r="F28688">
        <v>4.6390316022892397E-8</v>
      </c>
      <c r="G28688">
        <v>1008676</v>
      </c>
      <c r="H28688">
        <v>14166074</v>
      </c>
      <c r="I28688">
        <v>1819635</v>
      </c>
      <c r="J28688">
        <v>4</v>
      </c>
    </row>
    <row r="28689" spans="1:10" x14ac:dyDescent="0.25">
      <c r="A28689" t="s">
        <v>324</v>
      </c>
      <c r="B28689" s="1" t="str">
        <f>HYPERLINK("http://statenet.com","statenet.com")</f>
        <v>statenet.com</v>
      </c>
      <c r="C28689" t="s">
        <v>433</v>
      </c>
      <c r="E28689">
        <v>469959</v>
      </c>
      <c r="F28689">
        <v>1.5859978009182599E-7</v>
      </c>
      <c r="G28689">
        <v>244803</v>
      </c>
      <c r="H28689">
        <v>14629753</v>
      </c>
      <c r="I28689">
        <v>646159</v>
      </c>
      <c r="J28689">
        <v>6</v>
      </c>
    </row>
    <row r="28690" spans="1:10" x14ac:dyDescent="0.25">
      <c r="A28690" t="s">
        <v>324</v>
      </c>
      <c r="B28690" s="1" t="str">
        <f>HYPERLINK("http://theknowable.com","theknowable.com")</f>
        <v>theknowable.com</v>
      </c>
      <c r="C28690" t="s">
        <v>433</v>
      </c>
      <c r="F28690">
        <v>7.2912103116639702E-9</v>
      </c>
      <c r="G28690">
        <v>11502047</v>
      </c>
      <c r="H28690">
        <v>12522740</v>
      </c>
      <c r="I28690">
        <v>17122076</v>
      </c>
      <c r="J28690">
        <v>3</v>
      </c>
    </row>
    <row r="28691" spans="1:10" x14ac:dyDescent="0.25">
      <c r="A28691" t="s">
        <v>324</v>
      </c>
      <c r="B28691" s="1" t="str">
        <f>HYPERLINK("http://threatmetrix.com","threatmetrix.com")</f>
        <v>threatmetrix.com</v>
      </c>
      <c r="C28691" t="s">
        <v>433</v>
      </c>
      <c r="E28691">
        <v>35696</v>
      </c>
      <c r="F28691">
        <v>4.4934568071087403E-7</v>
      </c>
      <c r="G28691">
        <v>84054</v>
      </c>
      <c r="H28691">
        <v>17430694</v>
      </c>
      <c r="I28691">
        <v>17199</v>
      </c>
      <c r="J28691">
        <v>3</v>
      </c>
    </row>
    <row r="28692" spans="1:10" x14ac:dyDescent="0.25">
      <c r="A28692" t="s">
        <v>324</v>
      </c>
      <c r="B28692" s="1" t="str">
        <f>HYPERLINK("http://trustdefender.com","trustdefender.com")</f>
        <v>trustdefender.com</v>
      </c>
      <c r="C28692" t="s">
        <v>433</v>
      </c>
      <c r="F28692">
        <v>1.5497471229309201E-8</v>
      </c>
      <c r="G28692">
        <v>3685418</v>
      </c>
      <c r="H28692">
        <v>13788217</v>
      </c>
      <c r="I28692">
        <v>6366242</v>
      </c>
      <c r="J28692">
        <v>7</v>
      </c>
    </row>
    <row r="28693" spans="1:10" x14ac:dyDescent="0.25">
      <c r="A28693" t="s">
        <v>324</v>
      </c>
      <c r="B28693" s="1" t="str">
        <f>HYPERLINK("http://wunelli.com","wunelli.com")</f>
        <v>wunelli.com</v>
      </c>
      <c r="C28693" t="s">
        <v>433</v>
      </c>
      <c r="F28693">
        <v>6.9520552625688599E-9</v>
      </c>
      <c r="G28693">
        <v>12457221</v>
      </c>
      <c r="H28693">
        <v>12644396</v>
      </c>
      <c r="I28693">
        <v>15838839</v>
      </c>
      <c r="J28693">
        <v>4</v>
      </c>
    </row>
    <row r="28694" spans="1:10" x14ac:dyDescent="0.25">
      <c r="A28694" t="s">
        <v>324</v>
      </c>
      <c r="B28694" s="1" t="str">
        <f>HYPERLINK("http://elsevier.de","elsevier.de")</f>
        <v>elsevier.de</v>
      </c>
      <c r="C28694" t="s">
        <v>436</v>
      </c>
      <c r="D28694" t="s">
        <v>815</v>
      </c>
      <c r="E28694">
        <v>361133</v>
      </c>
      <c r="F28694">
        <v>3.8674168097151401E-7</v>
      </c>
      <c r="G28694">
        <v>96867</v>
      </c>
      <c r="H28694">
        <v>14695721</v>
      </c>
      <c r="I28694">
        <v>599511</v>
      </c>
      <c r="J28694">
        <v>3</v>
      </c>
    </row>
    <row r="28695" spans="1:10" x14ac:dyDescent="0.25">
      <c r="A28695" t="s">
        <v>324</v>
      </c>
      <c r="B28695" s="1" t="str">
        <f>HYPERLINK("http://lexisnexis.de","lexisnexis.de")</f>
        <v>lexisnexis.de</v>
      </c>
      <c r="C28695" t="s">
        <v>436</v>
      </c>
      <c r="D28695" t="s">
        <v>815</v>
      </c>
      <c r="F28695">
        <v>1.5585380990416001E-7</v>
      </c>
      <c r="G28695">
        <v>249183</v>
      </c>
      <c r="H28695">
        <v>14865230</v>
      </c>
      <c r="I28695">
        <v>481987</v>
      </c>
      <c r="J28695">
        <v>4</v>
      </c>
    </row>
    <row r="28696" spans="1:10" x14ac:dyDescent="0.25">
      <c r="A28696" t="s">
        <v>324</v>
      </c>
      <c r="B28696" s="1" t="str">
        <f>HYPERLINK("http://reedexpo.de","reedexpo.de")</f>
        <v>reedexpo.de</v>
      </c>
      <c r="C28696" t="s">
        <v>436</v>
      </c>
      <c r="D28696" t="s">
        <v>815</v>
      </c>
      <c r="E28696">
        <v>598789</v>
      </c>
      <c r="F28696">
        <v>1.45560041842776E-7</v>
      </c>
      <c r="G28696">
        <v>267455</v>
      </c>
      <c r="H28696">
        <v>13153533</v>
      </c>
      <c r="I28696">
        <v>11811981</v>
      </c>
      <c r="J28696">
        <v>3</v>
      </c>
    </row>
    <row r="28697" spans="1:10" x14ac:dyDescent="0.25">
      <c r="A28697" t="s">
        <v>324</v>
      </c>
      <c r="B28697" s="1" t="str">
        <f>HYPERLINK("http://rxglobal.de","rxglobal.de")</f>
        <v>rxglobal.de</v>
      </c>
      <c r="C28697" t="s">
        <v>436</v>
      </c>
      <c r="D28697" t="s">
        <v>815</v>
      </c>
      <c r="E28697">
        <v>891034</v>
      </c>
      <c r="F28697">
        <v>3.5092639697010802E-8</v>
      </c>
      <c r="G28697">
        <v>1481003</v>
      </c>
      <c r="H28697">
        <v>12178743</v>
      </c>
      <c r="I28697">
        <v>23842525</v>
      </c>
      <c r="J28697">
        <v>4</v>
      </c>
    </row>
    <row r="28698" spans="1:10" x14ac:dyDescent="0.25">
      <c r="A28698" t="s">
        <v>324</v>
      </c>
      <c r="B28698" s="1" t="str">
        <f>HYPERLINK("http://tschach-solutions.de","tschach-solutions.de")</f>
        <v>tschach-solutions.de</v>
      </c>
      <c r="C28698" t="s">
        <v>436</v>
      </c>
      <c r="D28698" t="s">
        <v>815</v>
      </c>
      <c r="J28698">
        <v>3</v>
      </c>
    </row>
    <row r="28699" spans="1:10" x14ac:dyDescent="0.25">
      <c r="A28699" t="s">
        <v>324</v>
      </c>
      <c r="B28699" s="1" t="str">
        <f>HYPERLINK("http://atira.dk","atira.dk")</f>
        <v>atira.dk</v>
      </c>
      <c r="C28699" t="s">
        <v>437</v>
      </c>
      <c r="D28699" t="s">
        <v>816</v>
      </c>
      <c r="F28699">
        <v>1.16594222743765E-8</v>
      </c>
      <c r="G28699">
        <v>5392651</v>
      </c>
      <c r="H28699">
        <v>13984156</v>
      </c>
      <c r="I28699">
        <v>4043178</v>
      </c>
      <c r="J28699">
        <v>3</v>
      </c>
    </row>
    <row r="28700" spans="1:10" x14ac:dyDescent="0.25">
      <c r="A28700" t="s">
        <v>324</v>
      </c>
      <c r="B28700" s="1" t="str">
        <f>HYPERLINK("http://elsevier.es","elsevier.es")</f>
        <v>elsevier.es</v>
      </c>
      <c r="C28700" t="s">
        <v>443</v>
      </c>
      <c r="D28700" t="s">
        <v>822</v>
      </c>
      <c r="E28700">
        <v>23749</v>
      </c>
      <c r="F28700">
        <v>1.38131285997235E-6</v>
      </c>
      <c r="G28700">
        <v>28210</v>
      </c>
      <c r="H28700">
        <v>17499006</v>
      </c>
      <c r="I28700">
        <v>13734</v>
      </c>
      <c r="J28700">
        <v>3</v>
      </c>
    </row>
    <row r="28701" spans="1:10" x14ac:dyDescent="0.25">
      <c r="A28701" t="s">
        <v>324</v>
      </c>
      <c r="B28701" s="1" t="str">
        <f>HYPERLINK("http://lexisnexis.es","lexisnexis.es")</f>
        <v>lexisnexis.es</v>
      </c>
      <c r="C28701" t="s">
        <v>443</v>
      </c>
      <c r="D28701" t="s">
        <v>822</v>
      </c>
      <c r="F28701">
        <v>1.3363454750034701E-8</v>
      </c>
      <c r="G28701">
        <v>4465301</v>
      </c>
      <c r="H28701">
        <v>12546332</v>
      </c>
      <c r="I28701">
        <v>16856041</v>
      </c>
      <c r="J28701">
        <v>4</v>
      </c>
    </row>
    <row r="28702" spans="1:10" x14ac:dyDescent="0.25">
      <c r="A28702" t="s">
        <v>324</v>
      </c>
      <c r="B28702" s="1" t="str">
        <f>HYPERLINK("http://lexisnexis.eu","lexisnexis.eu")</f>
        <v>lexisnexis.eu</v>
      </c>
      <c r="C28702" t="s">
        <v>444</v>
      </c>
      <c r="E28702">
        <v>408030</v>
      </c>
      <c r="F28702">
        <v>1.49644161977971E-8</v>
      </c>
      <c r="G28702">
        <v>3851459</v>
      </c>
      <c r="H28702">
        <v>12976549</v>
      </c>
      <c r="I28702">
        <v>13010921</v>
      </c>
      <c r="J28702">
        <v>4</v>
      </c>
    </row>
    <row r="28703" spans="1:10" x14ac:dyDescent="0.25">
      <c r="A28703" t="s">
        <v>324</v>
      </c>
      <c r="B28703" s="1" t="str">
        <f>HYPERLINK("http://lexisnexis.fi","lexisnexis.fi")</f>
        <v>lexisnexis.fi</v>
      </c>
      <c r="C28703" t="s">
        <v>445</v>
      </c>
      <c r="D28703" t="s">
        <v>823</v>
      </c>
      <c r="F28703">
        <v>1.23126057691824E-8</v>
      </c>
      <c r="G28703">
        <v>4987483</v>
      </c>
      <c r="H28703">
        <v>12533211</v>
      </c>
      <c r="I28703">
        <v>17007661</v>
      </c>
      <c r="J28703">
        <v>4</v>
      </c>
    </row>
    <row r="28704" spans="1:10" x14ac:dyDescent="0.25">
      <c r="A28704" t="s">
        <v>324</v>
      </c>
      <c r="B28704" s="1" t="str">
        <f>HYPERLINK("http://elsevier-masson.fr","elsevier-masson.fr")</f>
        <v>elsevier-masson.fr</v>
      </c>
      <c r="C28704" t="s">
        <v>446</v>
      </c>
      <c r="D28704" t="s">
        <v>824</v>
      </c>
      <c r="E28704">
        <v>614804</v>
      </c>
      <c r="F28704">
        <v>2.8178719059621999E-7</v>
      </c>
      <c r="G28704">
        <v>131963</v>
      </c>
      <c r="H28704">
        <v>17092486</v>
      </c>
      <c r="I28704">
        <v>65381</v>
      </c>
      <c r="J28704">
        <v>3</v>
      </c>
    </row>
    <row r="28705" spans="1:10" x14ac:dyDescent="0.25">
      <c r="A28705" t="s">
        <v>324</v>
      </c>
      <c r="B28705" s="1" t="str">
        <f>HYPERLINK("http://lexisnexis.fr","lexisnexis.fr")</f>
        <v>lexisnexis.fr</v>
      </c>
      <c r="C28705" t="s">
        <v>446</v>
      </c>
      <c r="D28705" t="s">
        <v>824</v>
      </c>
      <c r="E28705">
        <v>390213</v>
      </c>
      <c r="F28705">
        <v>3.5280564003835699E-7</v>
      </c>
      <c r="G28705">
        <v>105978</v>
      </c>
      <c r="H28705">
        <v>14658188</v>
      </c>
      <c r="I28705">
        <v>621664</v>
      </c>
      <c r="J28705">
        <v>4</v>
      </c>
    </row>
    <row r="28706" spans="1:10" x14ac:dyDescent="0.25">
      <c r="A28706" t="s">
        <v>324</v>
      </c>
      <c r="B28706" s="1" t="str">
        <f>HYPERLINK("http://reedexpo.fr","reedexpo.fr")</f>
        <v>reedexpo.fr</v>
      </c>
      <c r="C28706" t="s">
        <v>446</v>
      </c>
      <c r="D28706" t="s">
        <v>824</v>
      </c>
      <c r="E28706">
        <v>617879</v>
      </c>
      <c r="F28706">
        <v>2.0377786200992801E-7</v>
      </c>
      <c r="G28706">
        <v>186520</v>
      </c>
      <c r="H28706">
        <v>14732618</v>
      </c>
      <c r="I28706">
        <v>571109</v>
      </c>
      <c r="J28706">
        <v>4</v>
      </c>
    </row>
    <row r="28707" spans="1:10" x14ac:dyDescent="0.25">
      <c r="A28707" t="s">
        <v>324</v>
      </c>
      <c r="B28707" s="1" t="str">
        <f>HYPERLINK("http://elsevier.health","elsevier.health")</f>
        <v>elsevier.health</v>
      </c>
      <c r="C28707" t="s">
        <v>449</v>
      </c>
      <c r="E28707">
        <v>687823</v>
      </c>
      <c r="F28707">
        <v>2.6341168432079099E-7</v>
      </c>
      <c r="G28707">
        <v>141812</v>
      </c>
      <c r="H28707">
        <v>14559244</v>
      </c>
      <c r="I28707">
        <v>747542</v>
      </c>
      <c r="J28707">
        <v>3</v>
      </c>
    </row>
    <row r="28708" spans="1:10" x14ac:dyDescent="0.25">
      <c r="A28708" t="s">
        <v>324</v>
      </c>
      <c r="B28708" s="1" t="str">
        <f>HYPERLINK("http://lexisnexis.com.hk","lexisnexis.com.hk")</f>
        <v>lexisnexis.com.hk</v>
      </c>
      <c r="C28708" t="s">
        <v>450</v>
      </c>
      <c r="D28708" t="s">
        <v>827</v>
      </c>
      <c r="F28708">
        <v>2.80042956000339E-8</v>
      </c>
      <c r="G28708">
        <v>1837069</v>
      </c>
      <c r="H28708">
        <v>13973664</v>
      </c>
      <c r="I28708">
        <v>4066593</v>
      </c>
      <c r="J28708">
        <v>4</v>
      </c>
    </row>
    <row r="28709" spans="1:10" x14ac:dyDescent="0.25">
      <c r="A28709" t="s">
        <v>324</v>
      </c>
      <c r="B28709" s="1" t="str">
        <f>HYPERLINK("http://lexisnexis.co.in","lexisnexis.co.in")</f>
        <v>lexisnexis.co.in</v>
      </c>
      <c r="C28709" t="s">
        <v>457</v>
      </c>
      <c r="D28709" t="s">
        <v>834</v>
      </c>
      <c r="F28709">
        <v>2.6106153942313101E-8</v>
      </c>
      <c r="G28709">
        <v>1973300</v>
      </c>
      <c r="H28709">
        <v>14124801</v>
      </c>
      <c r="I28709">
        <v>2135753</v>
      </c>
      <c r="J28709">
        <v>4</v>
      </c>
    </row>
    <row r="28710" spans="1:10" x14ac:dyDescent="0.25">
      <c r="A28710" t="s">
        <v>324</v>
      </c>
      <c r="B28710" s="1" t="str">
        <f>HYPERLINK("http://lexisnexis.in","lexisnexis.in")</f>
        <v>lexisnexis.in</v>
      </c>
      <c r="C28710" t="s">
        <v>457</v>
      </c>
      <c r="D28710" t="s">
        <v>834</v>
      </c>
      <c r="F28710">
        <v>7.4908404019048098E-8</v>
      </c>
      <c r="G28710">
        <v>561570</v>
      </c>
      <c r="H28710">
        <v>14790542</v>
      </c>
      <c r="I28710">
        <v>551031</v>
      </c>
      <c r="J28710">
        <v>4</v>
      </c>
    </row>
    <row r="28711" spans="1:10" x14ac:dyDescent="0.25">
      <c r="A28711" t="s">
        <v>324</v>
      </c>
      <c r="B28711" s="1" t="str">
        <f>HYPERLINK("http://lswr.it","lswr.it")</f>
        <v>lswr.it</v>
      </c>
      <c r="C28711" t="s">
        <v>459</v>
      </c>
      <c r="D28711" t="s">
        <v>835</v>
      </c>
      <c r="F28711">
        <v>3.02740754159722E-8</v>
      </c>
      <c r="G28711">
        <v>1700152</v>
      </c>
      <c r="H28711">
        <v>14116816</v>
      </c>
      <c r="I28711">
        <v>2661132</v>
      </c>
      <c r="J28711">
        <v>6</v>
      </c>
    </row>
    <row r="28712" spans="1:10" x14ac:dyDescent="0.25">
      <c r="A28712" t="s">
        <v>324</v>
      </c>
      <c r="B28712" s="1" t="str">
        <f>HYPERLINK("http://lexisnexis.co.jp","lexisnexis.co.jp")</f>
        <v>lexisnexis.co.jp</v>
      </c>
      <c r="C28712" t="s">
        <v>461</v>
      </c>
      <c r="D28712" t="s">
        <v>837</v>
      </c>
      <c r="F28712">
        <v>3.3496915135487898E-8</v>
      </c>
      <c r="G28712">
        <v>1543346</v>
      </c>
      <c r="H28712">
        <v>12890521</v>
      </c>
      <c r="I28712">
        <v>13935175</v>
      </c>
      <c r="J28712">
        <v>4</v>
      </c>
    </row>
    <row r="28713" spans="1:10" x14ac:dyDescent="0.25">
      <c r="A28713" t="s">
        <v>324</v>
      </c>
      <c r="B28713" s="1" t="str">
        <f>HYPERLINK("http://reedexpo.co.jp","reedexpo.co.jp")</f>
        <v>reedexpo.co.jp</v>
      </c>
      <c r="C28713" t="s">
        <v>461</v>
      </c>
      <c r="D28713" t="s">
        <v>837</v>
      </c>
      <c r="E28713">
        <v>149009</v>
      </c>
      <c r="F28713">
        <v>6.0283478196211395E-7</v>
      </c>
      <c r="G28713">
        <v>63441</v>
      </c>
      <c r="H28713">
        <v>15153889</v>
      </c>
      <c r="I28713">
        <v>399739</v>
      </c>
      <c r="J28713">
        <v>5</v>
      </c>
    </row>
    <row r="28714" spans="1:10" x14ac:dyDescent="0.25">
      <c r="A28714" t="s">
        <v>324</v>
      </c>
      <c r="B28714" s="1" t="str">
        <f>HYPERLINK("http://lexisnexis.jp","lexisnexis.jp")</f>
        <v>lexisnexis.jp</v>
      </c>
      <c r="C28714" t="s">
        <v>461</v>
      </c>
      <c r="D28714" t="s">
        <v>837</v>
      </c>
      <c r="F28714">
        <v>3.6860641087674703E-8</v>
      </c>
      <c r="G28714">
        <v>1418628</v>
      </c>
      <c r="H28714">
        <v>13489189</v>
      </c>
      <c r="I28714">
        <v>9989361</v>
      </c>
      <c r="J28714">
        <v>4</v>
      </c>
    </row>
    <row r="28715" spans="1:10" x14ac:dyDescent="0.25">
      <c r="A28715" t="s">
        <v>324</v>
      </c>
      <c r="B28715" s="1" t="str">
        <f>HYPERLINK("http://lexisnexis.kr","lexisnexis.kr")</f>
        <v>lexisnexis.kr</v>
      </c>
      <c r="C28715" t="s">
        <v>463</v>
      </c>
      <c r="D28715" t="s">
        <v>839</v>
      </c>
      <c r="F28715">
        <v>1.49056977770815E-8</v>
      </c>
      <c r="G28715">
        <v>3870766</v>
      </c>
      <c r="H28715">
        <v>12565712</v>
      </c>
      <c r="I28715">
        <v>16660978</v>
      </c>
      <c r="J28715">
        <v>4</v>
      </c>
    </row>
    <row r="28716" spans="1:10" x14ac:dyDescent="0.25">
      <c r="A28716" t="s">
        <v>324</v>
      </c>
      <c r="B28716" s="1" t="str">
        <f>HYPERLINK("http://lexisnexis.lu","lexisnexis.lu")</f>
        <v>lexisnexis.lu</v>
      </c>
      <c r="C28716" t="s">
        <v>547</v>
      </c>
      <c r="D28716" t="s">
        <v>904</v>
      </c>
      <c r="F28716">
        <v>1.5150766138771601E-8</v>
      </c>
      <c r="G28716">
        <v>3791318</v>
      </c>
      <c r="H28716">
        <v>12559674</v>
      </c>
      <c r="I28716">
        <v>16717487</v>
      </c>
      <c r="J28716">
        <v>4</v>
      </c>
    </row>
    <row r="28717" spans="1:10" x14ac:dyDescent="0.25">
      <c r="A28717" t="s">
        <v>324</v>
      </c>
      <c r="B28717" s="1" t="str">
        <f>HYPERLINK("http://lexisnexis.com.my","lexisnexis.com.my")</f>
        <v>lexisnexis.com.my</v>
      </c>
      <c r="C28717" t="s">
        <v>472</v>
      </c>
      <c r="D28717" t="s">
        <v>848</v>
      </c>
      <c r="F28717">
        <v>2.78975053015629E-8</v>
      </c>
      <c r="G28717">
        <v>1843684</v>
      </c>
      <c r="H28717">
        <v>13732753</v>
      </c>
      <c r="I28717">
        <v>9456149</v>
      </c>
      <c r="J28717">
        <v>4</v>
      </c>
    </row>
    <row r="28718" spans="1:10" x14ac:dyDescent="0.25">
      <c r="A28718" t="s">
        <v>324</v>
      </c>
      <c r="B28718" s="1" t="str">
        <f>HYPERLINK("http://choicepoint.net","choicepoint.net")</f>
        <v>choicepoint.net</v>
      </c>
      <c r="C28718" t="s">
        <v>474</v>
      </c>
      <c r="E28718">
        <v>453090</v>
      </c>
      <c r="F28718">
        <v>1.7227264837572599E-8</v>
      </c>
      <c r="G28718">
        <v>3217834</v>
      </c>
      <c r="H28718">
        <v>13805936</v>
      </c>
      <c r="I28718">
        <v>6234235</v>
      </c>
      <c r="J28718">
        <v>3</v>
      </c>
    </row>
    <row r="28719" spans="1:10" x14ac:dyDescent="0.25">
      <c r="A28719" t="s">
        <v>324</v>
      </c>
      <c r="B28719" s="1" t="str">
        <f>HYPERLINK("http://choicepointprg.net","choicepointprg.net")</f>
        <v>choicepointprg.net</v>
      </c>
      <c r="C28719" t="s">
        <v>474</v>
      </c>
      <c r="J28719">
        <v>3</v>
      </c>
    </row>
    <row r="28720" spans="1:10" x14ac:dyDescent="0.25">
      <c r="A28720" t="s">
        <v>324</v>
      </c>
      <c r="B28720" s="1" t="str">
        <f>HYPERLINK("http://elsevier.net","elsevier.net")</f>
        <v>elsevier.net</v>
      </c>
      <c r="C28720" t="s">
        <v>474</v>
      </c>
      <c r="F28720">
        <v>6.1612505196518898E-8</v>
      </c>
      <c r="G28720">
        <v>714181</v>
      </c>
      <c r="H28720">
        <v>13556851</v>
      </c>
      <c r="I28720">
        <v>9883475</v>
      </c>
      <c r="J28720">
        <v>3</v>
      </c>
    </row>
    <row r="28721" spans="1:10" x14ac:dyDescent="0.25">
      <c r="A28721" t="s">
        <v>324</v>
      </c>
      <c r="B28721" s="1" t="str">
        <f>HYPERLINK("http://gamer-network.net","gamer-network.net")</f>
        <v>gamer-network.net</v>
      </c>
      <c r="C28721" t="s">
        <v>474</v>
      </c>
      <c r="E28721">
        <v>160024</v>
      </c>
      <c r="F28721">
        <v>1.5216025160982499E-7</v>
      </c>
      <c r="G28721">
        <v>255264</v>
      </c>
      <c r="H28721">
        <v>15071625</v>
      </c>
      <c r="I28721">
        <v>410916</v>
      </c>
      <c r="J28721">
        <v>3</v>
      </c>
    </row>
    <row r="28722" spans="1:10" x14ac:dyDescent="0.25">
      <c r="A28722" t="s">
        <v>324</v>
      </c>
      <c r="B28722" s="1" t="str">
        <f>HYPERLINK("http://rexaccess.net","rexaccess.net")</f>
        <v>rexaccess.net</v>
      </c>
      <c r="C28722" t="s">
        <v>474</v>
      </c>
      <c r="F28722">
        <v>4.44381528729582E-9</v>
      </c>
      <c r="G28722">
        <v>79422847</v>
      </c>
      <c r="H28722">
        <v>10358497</v>
      </c>
      <c r="I28722">
        <v>55409723</v>
      </c>
      <c r="J28722">
        <v>3</v>
      </c>
    </row>
    <row r="28723" spans="1:10" x14ac:dyDescent="0.25">
      <c r="A28723" t="s">
        <v>324</v>
      </c>
      <c r="B28723" s="1" t="str">
        <f>HYPERLINK("http://rxcit.net","rxcit.net")</f>
        <v>rxcit.net</v>
      </c>
      <c r="C28723" t="s">
        <v>474</v>
      </c>
      <c r="J28723">
        <v>3</v>
      </c>
    </row>
    <row r="28724" spans="1:10" x14ac:dyDescent="0.25">
      <c r="A28724" t="s">
        <v>324</v>
      </c>
      <c r="B28724" s="1" t="str">
        <f>HYPERLINK("http://rxgbs.net","rxgbs.net")</f>
        <v>rxgbs.net</v>
      </c>
      <c r="C28724" t="s">
        <v>474</v>
      </c>
      <c r="J28724">
        <v>3</v>
      </c>
    </row>
    <row r="28725" spans="1:10" x14ac:dyDescent="0.25">
      <c r="A28725" t="s">
        <v>324</v>
      </c>
      <c r="B28725" s="1" t="str">
        <f>HYPERLINK("http://semiconductor.net","semiconductor.net")</f>
        <v>semiconductor.net</v>
      </c>
      <c r="C28725" t="s">
        <v>474</v>
      </c>
      <c r="F28725">
        <v>3.89093959775395E-8</v>
      </c>
      <c r="G28725">
        <v>1325240</v>
      </c>
      <c r="H28725">
        <v>14611899</v>
      </c>
      <c r="I28725">
        <v>675939</v>
      </c>
      <c r="J28725">
        <v>5</v>
      </c>
    </row>
    <row r="28726" spans="1:10" x14ac:dyDescent="0.25">
      <c r="A28726" t="s">
        <v>324</v>
      </c>
      <c r="B28726" s="1" t="str">
        <f>HYPERLINK("http://elsevier.nl","elsevier.nl")</f>
        <v>elsevier.nl</v>
      </c>
      <c r="C28726" t="s">
        <v>477</v>
      </c>
      <c r="D28726" t="s">
        <v>852</v>
      </c>
      <c r="E28726">
        <v>44809</v>
      </c>
      <c r="F28726">
        <v>6.7873812909855196E-7</v>
      </c>
      <c r="G28726">
        <v>56837</v>
      </c>
      <c r="H28726">
        <v>17344832</v>
      </c>
      <c r="I28726">
        <v>23600</v>
      </c>
      <c r="J28726">
        <v>3</v>
      </c>
    </row>
    <row r="28727" spans="1:10" x14ac:dyDescent="0.25">
      <c r="A28727" t="s">
        <v>324</v>
      </c>
      <c r="B28727" s="1" t="str">
        <f>HYPERLINK("http://lexisnexis.nl","lexisnexis.nl")</f>
        <v>lexisnexis.nl</v>
      </c>
      <c r="C28727" t="s">
        <v>477</v>
      </c>
      <c r="D28727" t="s">
        <v>852</v>
      </c>
      <c r="E28727">
        <v>792690</v>
      </c>
      <c r="F28727">
        <v>9.1200511482373494E-8</v>
      </c>
      <c r="G28727">
        <v>447008</v>
      </c>
      <c r="H28727">
        <v>14518186</v>
      </c>
      <c r="I28727">
        <v>808537</v>
      </c>
      <c r="J28727">
        <v>4</v>
      </c>
    </row>
    <row r="28728" spans="1:10" x14ac:dyDescent="0.25">
      <c r="A28728" t="s">
        <v>324</v>
      </c>
      <c r="B28728" s="1" t="str">
        <f>HYPERLINK("http://reedbusiness.nl","reedbusiness.nl")</f>
        <v>reedbusiness.nl</v>
      </c>
      <c r="C28728" t="s">
        <v>477</v>
      </c>
      <c r="D28728" t="s">
        <v>852</v>
      </c>
      <c r="F28728">
        <v>2.1645020170349899E-8</v>
      </c>
      <c r="G28728">
        <v>2430849</v>
      </c>
      <c r="H28728">
        <v>14129636</v>
      </c>
      <c r="I28728">
        <v>2043069</v>
      </c>
      <c r="J28728">
        <v>4</v>
      </c>
    </row>
    <row r="28729" spans="1:10" x14ac:dyDescent="0.25">
      <c r="A28729" t="s">
        <v>324</v>
      </c>
      <c r="B28729" s="1" t="str">
        <f>HYPERLINK("http://lexisnexis.co.nz","lexisnexis.co.nz")</f>
        <v>lexisnexis.co.nz</v>
      </c>
      <c r="C28729" t="s">
        <v>479</v>
      </c>
      <c r="D28729" t="s">
        <v>854</v>
      </c>
      <c r="F28729">
        <v>5.1533512246131701E-8</v>
      </c>
      <c r="G28729">
        <v>887574</v>
      </c>
      <c r="H28729">
        <v>13837949</v>
      </c>
      <c r="I28729">
        <v>6080346</v>
      </c>
      <c r="J28729">
        <v>4</v>
      </c>
    </row>
    <row r="28730" spans="1:10" x14ac:dyDescent="0.25">
      <c r="A28730" t="s">
        <v>324</v>
      </c>
      <c r="B28730" s="1" t="str">
        <f>HYPERLINK("http://lexisnexis.com.ph","lexisnexis.com.ph")</f>
        <v>lexisnexis.com.ph</v>
      </c>
      <c r="C28730" t="s">
        <v>484</v>
      </c>
      <c r="D28730" t="s">
        <v>858</v>
      </c>
      <c r="F28730">
        <v>1.5100301240611699E-8</v>
      </c>
      <c r="G28730">
        <v>3807609</v>
      </c>
      <c r="H28730">
        <v>12536080</v>
      </c>
      <c r="I28730">
        <v>16976816</v>
      </c>
      <c r="J28730">
        <v>5</v>
      </c>
    </row>
    <row r="28731" spans="1:10" x14ac:dyDescent="0.25">
      <c r="A28731" t="s">
        <v>324</v>
      </c>
      <c r="B28731" s="1" t="str">
        <f>HYPERLINK("http://elsevier.pt","elsevier.pt")</f>
        <v>elsevier.pt</v>
      </c>
      <c r="C28731" t="s">
        <v>488</v>
      </c>
      <c r="D28731" t="s">
        <v>862</v>
      </c>
      <c r="F28731">
        <v>2.09461608852372E-8</v>
      </c>
      <c r="G28731">
        <v>2523291</v>
      </c>
      <c r="H28731">
        <v>14506848</v>
      </c>
      <c r="I28731">
        <v>832246</v>
      </c>
      <c r="J28731">
        <v>4</v>
      </c>
    </row>
    <row r="28732" spans="1:10" x14ac:dyDescent="0.25">
      <c r="A28732" t="s">
        <v>324</v>
      </c>
      <c r="B28732" s="1" t="str">
        <f>HYPERLINK("http://lexisnexis.ru","lexisnexis.ru")</f>
        <v>lexisnexis.ru</v>
      </c>
      <c r="C28732" t="s">
        <v>493</v>
      </c>
      <c r="D28732" t="s">
        <v>867</v>
      </c>
      <c r="F28732">
        <v>2.6782861437267201E-8</v>
      </c>
      <c r="G28732">
        <v>1920779</v>
      </c>
      <c r="H28732">
        <v>14079320</v>
      </c>
      <c r="I28732">
        <v>2834269</v>
      </c>
      <c r="J28732">
        <v>4</v>
      </c>
    </row>
    <row r="28733" spans="1:10" x14ac:dyDescent="0.25">
      <c r="A28733" t="s">
        <v>324</v>
      </c>
      <c r="B28733" s="1" t="str">
        <f>HYPERLINK("http://lexisnexis.com.sg","lexisnexis.com.sg")</f>
        <v>lexisnexis.com.sg</v>
      </c>
      <c r="C28733" t="s">
        <v>496</v>
      </c>
      <c r="D28733" t="s">
        <v>870</v>
      </c>
      <c r="F28733">
        <v>3.8037493901258203E-8</v>
      </c>
      <c r="G28733">
        <v>1360612</v>
      </c>
      <c r="H28733">
        <v>13688727</v>
      </c>
      <c r="I28733">
        <v>9529968</v>
      </c>
      <c r="J28733">
        <v>4</v>
      </c>
    </row>
    <row r="28734" spans="1:10" x14ac:dyDescent="0.25">
      <c r="A28734" t="s">
        <v>324</v>
      </c>
      <c r="B28734" s="1" t="str">
        <f>HYPERLINK("http://lexisnexis.com.tw","lexisnexis.com.tw")</f>
        <v>lexisnexis.com.tw</v>
      </c>
      <c r="C28734" t="s">
        <v>504</v>
      </c>
      <c r="D28734" t="s">
        <v>878</v>
      </c>
      <c r="F28734">
        <v>1.6090804323284599E-8</v>
      </c>
      <c r="G28734">
        <v>3522868</v>
      </c>
      <c r="H28734">
        <v>12544307</v>
      </c>
      <c r="I28734">
        <v>16892854</v>
      </c>
      <c r="J28734">
        <v>4</v>
      </c>
    </row>
    <row r="28735" spans="1:10" x14ac:dyDescent="0.25">
      <c r="A28735" t="s">
        <v>324</v>
      </c>
      <c r="B28735" s="1" t="str">
        <f>HYPERLINK("http://law360.co.uk","law360.co.uk")</f>
        <v>law360.co.uk</v>
      </c>
      <c r="C28735" t="s">
        <v>506</v>
      </c>
      <c r="D28735" t="s">
        <v>880</v>
      </c>
      <c r="E28735">
        <v>842795</v>
      </c>
      <c r="F28735">
        <v>5.39452991313265E-8</v>
      </c>
      <c r="G28735">
        <v>842278</v>
      </c>
      <c r="H28735">
        <v>13918875</v>
      </c>
      <c r="I28735">
        <v>5935955</v>
      </c>
      <c r="J28735">
        <v>4</v>
      </c>
    </row>
    <row r="28736" spans="1:10" x14ac:dyDescent="0.25">
      <c r="A28736" t="s">
        <v>324</v>
      </c>
      <c r="B28736" s="1" t="str">
        <f>HYPERLINK("http://lexisnexis.co.uk","lexisnexis.co.uk")</f>
        <v>lexisnexis.co.uk</v>
      </c>
      <c r="C28736" t="s">
        <v>506</v>
      </c>
      <c r="D28736" t="s">
        <v>880</v>
      </c>
      <c r="E28736">
        <v>71054</v>
      </c>
      <c r="F28736">
        <v>1.0220655777738699E-6</v>
      </c>
      <c r="G28736">
        <v>37470</v>
      </c>
      <c r="H28736">
        <v>17206768</v>
      </c>
      <c r="I28736">
        <v>40575</v>
      </c>
      <c r="J28736">
        <v>3</v>
      </c>
    </row>
    <row r="28737" spans="1:10" x14ac:dyDescent="0.25">
      <c r="A28737" t="s">
        <v>324</v>
      </c>
      <c r="B28737" s="1" t="str">
        <f>HYPERLINK("http://rbi.co.uk","rbi.co.uk")</f>
        <v>rbi.co.uk</v>
      </c>
      <c r="C28737" t="s">
        <v>506</v>
      </c>
      <c r="D28737" t="s">
        <v>880</v>
      </c>
      <c r="F28737">
        <v>9.1113040250675403E-9</v>
      </c>
      <c r="G28737">
        <v>7831358</v>
      </c>
      <c r="H28737">
        <v>14486608</v>
      </c>
      <c r="I28737">
        <v>962955</v>
      </c>
      <c r="J28737">
        <v>3</v>
      </c>
    </row>
    <row r="28738" spans="1:10" x14ac:dyDescent="0.25">
      <c r="A28738" t="s">
        <v>324</v>
      </c>
      <c r="B28738" s="1" t="str">
        <f>HYPERLINK("http://reedexpo.co.uk","reedexpo.co.uk")</f>
        <v>reedexpo.co.uk</v>
      </c>
      <c r="C28738" t="s">
        <v>506</v>
      </c>
      <c r="D28738" t="s">
        <v>880</v>
      </c>
      <c r="F28738">
        <v>1.14562128339606E-8</v>
      </c>
      <c r="G28738">
        <v>5534758</v>
      </c>
      <c r="H28738">
        <v>13335837</v>
      </c>
      <c r="I28738">
        <v>10684832</v>
      </c>
      <c r="J28738">
        <v>2</v>
      </c>
    </row>
    <row r="28739" spans="1:10" x14ac:dyDescent="0.25">
      <c r="A28739" t="s">
        <v>324</v>
      </c>
      <c r="B28739" s="1" t="str">
        <f>HYPERLINK("http://tracesmart.co.uk","tracesmart.co.uk")</f>
        <v>tracesmart.co.uk</v>
      </c>
      <c r="C28739" t="s">
        <v>506</v>
      </c>
      <c r="D28739" t="s">
        <v>880</v>
      </c>
      <c r="E28739">
        <v>687523</v>
      </c>
      <c r="F28739">
        <v>1.7103721107186401E-8</v>
      </c>
      <c r="G28739">
        <v>3259946</v>
      </c>
      <c r="H28739">
        <v>13890120</v>
      </c>
      <c r="I28739">
        <v>5962930</v>
      </c>
      <c r="J28739">
        <v>3</v>
      </c>
    </row>
    <row r="28740" spans="1:10" x14ac:dyDescent="0.25">
      <c r="A28740" t="s">
        <v>324</v>
      </c>
      <c r="B28740" s="1" t="str">
        <f>HYPERLINK("http://speeurope.org.uk","speeurope.org.uk")</f>
        <v>speeurope.org.uk</v>
      </c>
      <c r="C28740" t="s">
        <v>506</v>
      </c>
      <c r="D28740" t="s">
        <v>880</v>
      </c>
      <c r="F28740">
        <v>9.2478545264160206E-9</v>
      </c>
      <c r="G28740">
        <v>7641332</v>
      </c>
      <c r="H28740">
        <v>12396013</v>
      </c>
      <c r="I28740">
        <v>18918947</v>
      </c>
      <c r="J28740">
        <v>7</v>
      </c>
    </row>
    <row r="28741" spans="1:10" x14ac:dyDescent="0.25">
      <c r="A28741" t="s">
        <v>324</v>
      </c>
      <c r="B28741" s="1" t="str">
        <f>HYPERLINK("http://rev.vc","rev.vc")</f>
        <v>rev.vc</v>
      </c>
      <c r="C28741" t="s">
        <v>520</v>
      </c>
      <c r="D28741" t="s">
        <v>890</v>
      </c>
      <c r="F28741">
        <v>6.9734582379803902E-9</v>
      </c>
      <c r="G28741">
        <v>12391241</v>
      </c>
      <c r="H28741">
        <v>13212509</v>
      </c>
      <c r="I28741">
        <v>11395629</v>
      </c>
      <c r="J28741">
        <v>3</v>
      </c>
    </row>
    <row r="28742" spans="1:10" x14ac:dyDescent="0.25">
      <c r="A28742" t="s">
        <v>324</v>
      </c>
      <c r="B28742" s="1" t="str">
        <f>HYPERLINK("http://lexisnexis.co.za","lexisnexis.co.za")</f>
        <v>lexisnexis.co.za</v>
      </c>
      <c r="C28742" t="s">
        <v>510</v>
      </c>
      <c r="D28742" t="s">
        <v>884</v>
      </c>
      <c r="E28742">
        <v>580669</v>
      </c>
      <c r="F28742">
        <v>5.12978621733196E-8</v>
      </c>
      <c r="G28742">
        <v>892596</v>
      </c>
      <c r="H28742">
        <v>13845636</v>
      </c>
      <c r="I28742">
        <v>6061641</v>
      </c>
      <c r="J28742">
        <v>4</v>
      </c>
    </row>
    <row r="28743" spans="1:10" x14ac:dyDescent="0.25">
      <c r="A28743" t="s">
        <v>325</v>
      </c>
      <c r="B28743" s="1" t="str">
        <f>HYPERLINK("http://acvenviro.com","acvenviro.com")</f>
        <v>acvenviro.com</v>
      </c>
      <c r="C28743" t="s">
        <v>433</v>
      </c>
      <c r="F28743">
        <v>1.0965227506803E-8</v>
      </c>
      <c r="G28743">
        <v>5888138</v>
      </c>
      <c r="H28743">
        <v>13952040</v>
      </c>
      <c r="I28743">
        <v>4159686</v>
      </c>
      <c r="J28743">
        <v>3</v>
      </c>
    </row>
    <row r="28744" spans="1:10" x14ac:dyDescent="0.25">
      <c r="A28744" t="s">
        <v>325</v>
      </c>
      <c r="B28744" s="1" t="str">
        <f>HYPERLINK("http://alliedwaste.com","alliedwaste.com")</f>
        <v>alliedwaste.com</v>
      </c>
      <c r="C28744" t="s">
        <v>433</v>
      </c>
      <c r="F28744">
        <v>1.95884886459566E-8</v>
      </c>
      <c r="G28744">
        <v>2729887</v>
      </c>
      <c r="H28744">
        <v>13538320</v>
      </c>
      <c r="I28744">
        <v>9910328</v>
      </c>
      <c r="J28744">
        <v>3</v>
      </c>
    </row>
    <row r="28745" spans="1:10" x14ac:dyDescent="0.25">
      <c r="A28745" t="s">
        <v>325</v>
      </c>
      <c r="B28745" s="1" t="str">
        <f>HYPERLINK("http://barkerbroswasteinc.com","barkerbroswasteinc.com")</f>
        <v>barkerbroswasteinc.com</v>
      </c>
      <c r="C28745" t="s">
        <v>433</v>
      </c>
      <c r="F28745">
        <v>4.5330445668726499E-9</v>
      </c>
      <c r="G28745">
        <v>54728749</v>
      </c>
      <c r="H28745">
        <v>10508965</v>
      </c>
      <c r="I28745">
        <v>49945941</v>
      </c>
      <c r="J28745">
        <v>3</v>
      </c>
    </row>
    <row r="28746" spans="1:10" x14ac:dyDescent="0.25">
      <c r="A28746" t="s">
        <v>325</v>
      </c>
      <c r="B28746" s="1" t="str">
        <f>HYPERLINK("http://bealineservice.com","bealineservice.com")</f>
        <v>bealineservice.com</v>
      </c>
      <c r="C28746" t="s">
        <v>433</v>
      </c>
      <c r="J28746">
        <v>3</v>
      </c>
    </row>
    <row r="28747" spans="1:10" x14ac:dyDescent="0.25">
      <c r="A28747" t="s">
        <v>325</v>
      </c>
      <c r="B28747" s="1" t="str">
        <f>HYPERLINK("http://capitolwaste.com","capitolwaste.com")</f>
        <v>capitolwaste.com</v>
      </c>
      <c r="C28747" t="s">
        <v>433</v>
      </c>
      <c r="J28747">
        <v>3</v>
      </c>
    </row>
    <row r="28748" spans="1:10" x14ac:dyDescent="0.25">
      <c r="A28748" t="s">
        <v>325</v>
      </c>
      <c r="B28748" s="1" t="str">
        <f>HYPERLINK("http://consolidateddisposalservice.com","consolidateddisposalservice.com")</f>
        <v>consolidateddisposalservice.com</v>
      </c>
      <c r="C28748" t="s">
        <v>433</v>
      </c>
      <c r="F28748">
        <v>5.1825741346083103E-9</v>
      </c>
      <c r="G28748">
        <v>25474201</v>
      </c>
      <c r="H28748">
        <v>10350526</v>
      </c>
      <c r="I28748">
        <v>56338214</v>
      </c>
      <c r="J28748">
        <v>3</v>
      </c>
    </row>
    <row r="28749" spans="1:10" x14ac:dyDescent="0.25">
      <c r="A28749" t="s">
        <v>325</v>
      </c>
      <c r="B28749" s="1" t="str">
        <f>HYPERLINK("http://continentalheritage.com","continentalheritage.com")</f>
        <v>continentalheritage.com</v>
      </c>
      <c r="C28749" t="s">
        <v>433</v>
      </c>
      <c r="F28749">
        <v>5.0824564482081601E-9</v>
      </c>
      <c r="G28749">
        <v>27454423</v>
      </c>
      <c r="H28749">
        <v>12393472</v>
      </c>
      <c r="I28749">
        <v>18962260</v>
      </c>
      <c r="J28749">
        <v>6</v>
      </c>
    </row>
    <row r="28750" spans="1:10" x14ac:dyDescent="0.25">
      <c r="A28750" t="s">
        <v>325</v>
      </c>
      <c r="B28750" s="1" t="str">
        <f>HYPERLINK("http://cyclechem.com","cyclechem.com")</f>
        <v>cyclechem.com</v>
      </c>
      <c r="C28750" t="s">
        <v>433</v>
      </c>
      <c r="F28750">
        <v>5.78754488587916E-9</v>
      </c>
      <c r="G28750">
        <v>18183689</v>
      </c>
      <c r="H28750">
        <v>12466840</v>
      </c>
      <c r="I28750">
        <v>17794619</v>
      </c>
      <c r="J28750">
        <v>3</v>
      </c>
    </row>
    <row r="28751" spans="1:10" x14ac:dyDescent="0.25">
      <c r="A28751" t="s">
        <v>325</v>
      </c>
      <c r="B28751" s="1" t="str">
        <f>HYPERLINK("http://devensrecycling.com","devensrecycling.com")</f>
        <v>devensrecycling.com</v>
      </c>
      <c r="C28751" t="s">
        <v>433</v>
      </c>
      <c r="F28751">
        <v>6.6481390121885599E-9</v>
      </c>
      <c r="G28751">
        <v>13491892</v>
      </c>
      <c r="H28751">
        <v>12296032</v>
      </c>
      <c r="I28751">
        <v>20945572</v>
      </c>
      <c r="J28751">
        <v>3</v>
      </c>
    </row>
    <row r="28752" spans="1:10" x14ac:dyDescent="0.25">
      <c r="A28752" t="s">
        <v>325</v>
      </c>
      <c r="B28752" s="1" t="str">
        <f>HYPERLINK("http://ecol.com","ecol.com")</f>
        <v>ecol.com</v>
      </c>
      <c r="C28752" t="s">
        <v>433</v>
      </c>
      <c r="E28752">
        <v>221918</v>
      </c>
      <c r="F28752">
        <v>4.4438486064602803E-9</v>
      </c>
      <c r="G28752">
        <v>78526059</v>
      </c>
      <c r="H28752">
        <v>10541462</v>
      </c>
      <c r="I28752">
        <v>47175799</v>
      </c>
      <c r="J28752">
        <v>4</v>
      </c>
    </row>
    <row r="28753" spans="1:10" x14ac:dyDescent="0.25">
      <c r="A28753" t="s">
        <v>325</v>
      </c>
      <c r="B28753" s="1" t="str">
        <f>HYPERLINK("http://enviroinc.com","enviroinc.com")</f>
        <v>enviroinc.com</v>
      </c>
      <c r="C28753" t="s">
        <v>433</v>
      </c>
      <c r="F28753">
        <v>9.2925012239668492E-9</v>
      </c>
      <c r="G28753">
        <v>7582262</v>
      </c>
      <c r="H28753">
        <v>13765988</v>
      </c>
      <c r="I28753">
        <v>7047039</v>
      </c>
      <c r="J28753">
        <v>3</v>
      </c>
    </row>
    <row r="28754" spans="1:10" x14ac:dyDescent="0.25">
      <c r="A28754" t="s">
        <v>325</v>
      </c>
      <c r="B28754" s="1" t="str">
        <f>HYPERLINK("http://eqonline.com","eqonline.com")</f>
        <v>eqonline.com</v>
      </c>
      <c r="C28754" t="s">
        <v>433</v>
      </c>
      <c r="F28754">
        <v>7.4180997530999596E-9</v>
      </c>
      <c r="G28754">
        <v>11202474</v>
      </c>
      <c r="H28754">
        <v>13052268</v>
      </c>
      <c r="I28754">
        <v>12576148</v>
      </c>
      <c r="J28754">
        <v>3</v>
      </c>
    </row>
    <row r="28755" spans="1:10" x14ac:dyDescent="0.25">
      <c r="A28755" t="s">
        <v>325</v>
      </c>
      <c r="B28755" s="1" t="str">
        <f>HYPERLINK("http://evergreen-national.com","evergreen-national.com")</f>
        <v>evergreen-national.com</v>
      </c>
      <c r="C28755" t="s">
        <v>433</v>
      </c>
      <c r="F28755">
        <v>7.9694150891577699E-9</v>
      </c>
      <c r="G28755">
        <v>9977417</v>
      </c>
      <c r="H28755">
        <v>13318861</v>
      </c>
      <c r="I28755">
        <v>10751192</v>
      </c>
      <c r="J28755">
        <v>3</v>
      </c>
    </row>
    <row r="28756" spans="1:10" x14ac:dyDescent="0.25">
      <c r="A28756" t="s">
        <v>325</v>
      </c>
      <c r="B28756" s="1" t="str">
        <f>HYPERLINK("http://honeygolandfill.com","honeygolandfill.com")</f>
        <v>honeygolandfill.com</v>
      </c>
      <c r="C28756" t="s">
        <v>433</v>
      </c>
      <c r="F28756">
        <v>4.4958243343572003E-9</v>
      </c>
      <c r="G28756">
        <v>59570411</v>
      </c>
      <c r="H28756">
        <v>9447026</v>
      </c>
      <c r="I28756">
        <v>66567917</v>
      </c>
      <c r="J28756">
        <v>3</v>
      </c>
    </row>
    <row r="28757" spans="1:10" x14ac:dyDescent="0.25">
      <c r="A28757" t="s">
        <v>325</v>
      </c>
      <c r="B28757" s="1" t="str">
        <f>HYPERLINK("http://montanawastesystems.com","montanawastesystems.com")</f>
        <v>montanawastesystems.com</v>
      </c>
      <c r="C28757" t="s">
        <v>433</v>
      </c>
      <c r="F28757">
        <v>4.6537258307349802E-9</v>
      </c>
      <c r="G28757">
        <v>43895581</v>
      </c>
      <c r="H28757">
        <v>10433679</v>
      </c>
      <c r="I28757">
        <v>52958089</v>
      </c>
      <c r="J28757">
        <v>3</v>
      </c>
    </row>
    <row r="28758" spans="1:10" x14ac:dyDescent="0.25">
      <c r="A28758" t="s">
        <v>325</v>
      </c>
      <c r="B28758" s="1" t="str">
        <f>HYPERLINK("http://mrtrash.com","mrtrash.com")</f>
        <v>mrtrash.com</v>
      </c>
      <c r="C28758" t="s">
        <v>433</v>
      </c>
      <c r="F28758">
        <v>4.4903151295199001E-9</v>
      </c>
      <c r="G28758">
        <v>60473017</v>
      </c>
      <c r="H28758">
        <v>10468637</v>
      </c>
      <c r="I28758">
        <v>51337872</v>
      </c>
      <c r="J28758">
        <v>3</v>
      </c>
    </row>
    <row r="28759" spans="1:10" x14ac:dyDescent="0.25">
      <c r="A28759" t="s">
        <v>325</v>
      </c>
      <c r="B28759" s="1" t="str">
        <f>HYPERLINK("http://nrcc.com","nrcc.com")</f>
        <v>nrcc.com</v>
      </c>
      <c r="C28759" t="s">
        <v>433</v>
      </c>
      <c r="E28759">
        <v>987707</v>
      </c>
      <c r="F28759">
        <v>5.2836367526568499E-8</v>
      </c>
      <c r="G28759">
        <v>862312</v>
      </c>
      <c r="H28759">
        <v>14164634</v>
      </c>
      <c r="I28759">
        <v>1825085</v>
      </c>
      <c r="J28759">
        <v>3</v>
      </c>
    </row>
    <row r="28760" spans="1:10" x14ac:dyDescent="0.25">
      <c r="A28760" t="s">
        <v>325</v>
      </c>
      <c r="B28760" s="1" t="str">
        <f>HYPERLINK("http://nrcenvironmentalservices.com","nrcenvironmentalservices.com")</f>
        <v>nrcenvironmentalservices.com</v>
      </c>
      <c r="C28760" t="s">
        <v>433</v>
      </c>
      <c r="J28760">
        <v>3</v>
      </c>
    </row>
    <row r="28761" spans="1:10" x14ac:dyDescent="0.25">
      <c r="A28761" t="s">
        <v>325</v>
      </c>
      <c r="B28761" s="1" t="str">
        <f>HYPERLINK("http://nrcg.com","nrcg.com")</f>
        <v>nrcg.com</v>
      </c>
      <c r="C28761" t="s">
        <v>433</v>
      </c>
      <c r="F28761">
        <v>5.0082809269613502E-9</v>
      </c>
      <c r="G28761">
        <v>29205212</v>
      </c>
      <c r="H28761">
        <v>11039717</v>
      </c>
      <c r="I28761">
        <v>32929032</v>
      </c>
      <c r="J28761">
        <v>6</v>
      </c>
    </row>
    <row r="28762" spans="1:10" x14ac:dyDescent="0.25">
      <c r="A28762" t="s">
        <v>325</v>
      </c>
      <c r="B28762" s="1" t="str">
        <f>HYPERLINK("http://quailrunservices.com","quailrunservices.com")</f>
        <v>quailrunservices.com</v>
      </c>
      <c r="C28762" t="s">
        <v>433</v>
      </c>
      <c r="F28762">
        <v>4.9507469586022602E-9</v>
      </c>
      <c r="G28762">
        <v>30766435</v>
      </c>
      <c r="H28762">
        <v>10275750</v>
      </c>
      <c r="I28762">
        <v>58545183</v>
      </c>
      <c r="J28762">
        <v>3</v>
      </c>
    </row>
    <row r="28763" spans="1:10" x14ac:dyDescent="0.25">
      <c r="A28763" t="s">
        <v>325</v>
      </c>
      <c r="B28763" s="1" t="str">
        <f>HYPERLINK("http://rabanco.com","rabanco.com")</f>
        <v>rabanco.com</v>
      </c>
      <c r="C28763" t="s">
        <v>433</v>
      </c>
      <c r="F28763">
        <v>7.3659543198458603E-9</v>
      </c>
      <c r="G28763">
        <v>11323316</v>
      </c>
      <c r="H28763">
        <v>13764056</v>
      </c>
      <c r="I28763">
        <v>7403772</v>
      </c>
      <c r="J28763">
        <v>3</v>
      </c>
    </row>
    <row r="28764" spans="1:10" x14ac:dyDescent="0.25">
      <c r="A28764" t="s">
        <v>325</v>
      </c>
      <c r="B28764" s="1" t="str">
        <f>HYPERLINK("http://rainbowdisposal.com","rainbowdisposal.com")</f>
        <v>rainbowdisposal.com</v>
      </c>
      <c r="C28764" t="s">
        <v>433</v>
      </c>
      <c r="F28764">
        <v>5.5744286494470696E-9</v>
      </c>
      <c r="G28764">
        <v>20114438</v>
      </c>
      <c r="H28764">
        <v>10777742</v>
      </c>
      <c r="I28764">
        <v>38998690</v>
      </c>
      <c r="J28764">
        <v>3</v>
      </c>
    </row>
    <row r="28765" spans="1:10" x14ac:dyDescent="0.25">
      <c r="A28765" t="s">
        <v>325</v>
      </c>
      <c r="B28765" s="1" t="str">
        <f>HYPERLINK("http://rainbowes.com","rainbowes.com")</f>
        <v>rainbowes.com</v>
      </c>
      <c r="C28765" t="s">
        <v>433</v>
      </c>
      <c r="F28765">
        <v>6.3069520895378902E-9</v>
      </c>
      <c r="G28765">
        <v>14998000</v>
      </c>
      <c r="H28765">
        <v>13937842</v>
      </c>
      <c r="I28765">
        <v>4451909</v>
      </c>
      <c r="J28765">
        <v>3</v>
      </c>
    </row>
    <row r="28766" spans="1:10" x14ac:dyDescent="0.25">
      <c r="A28766" t="s">
        <v>325</v>
      </c>
      <c r="B28766" s="1" t="str">
        <f>HYPERLINK("http://randysenvironmentalservices.com","randysenvironmentalservices.com")</f>
        <v>randysenvironmentalservices.com</v>
      </c>
      <c r="C28766" t="s">
        <v>433</v>
      </c>
      <c r="F28766">
        <v>1.59796036256139E-8</v>
      </c>
      <c r="G28766">
        <v>3551586</v>
      </c>
      <c r="H28766">
        <v>13150551</v>
      </c>
      <c r="I28766">
        <v>11825838</v>
      </c>
      <c r="J28766">
        <v>6</v>
      </c>
    </row>
    <row r="28767" spans="1:10" x14ac:dyDescent="0.25">
      <c r="A28767" t="s">
        <v>325</v>
      </c>
      <c r="B28767" s="1" t="str">
        <f>HYPERLINK("http://reliabledisposal.com","reliabledisposal.com")</f>
        <v>reliabledisposal.com</v>
      </c>
      <c r="C28767" t="s">
        <v>433</v>
      </c>
      <c r="J28767">
        <v>3</v>
      </c>
    </row>
    <row r="28768" spans="1:10" x14ac:dyDescent="0.25">
      <c r="A28768" t="s">
        <v>325</v>
      </c>
      <c r="B28768" s="1" t="str">
        <f>HYPERLINK("http://republicservices.com","republicservices.com")</f>
        <v>republicservices.com</v>
      </c>
      <c r="C28768" t="s">
        <v>433</v>
      </c>
      <c r="E28768">
        <v>35906</v>
      </c>
      <c r="F28768">
        <v>1.20096271616205E-6</v>
      </c>
      <c r="G28768">
        <v>32490</v>
      </c>
      <c r="H28768">
        <v>17345534</v>
      </c>
      <c r="I28768">
        <v>23526</v>
      </c>
      <c r="J28768">
        <v>1</v>
      </c>
    </row>
    <row r="28769" spans="1:10" x14ac:dyDescent="0.25">
      <c r="A28769" t="s">
        <v>325</v>
      </c>
      <c r="B28769" s="1" t="str">
        <f>HYPERLINK("http://richmondsanitaryservice.com","richmondsanitaryservice.com")</f>
        <v>richmondsanitaryservice.com</v>
      </c>
      <c r="C28769" t="s">
        <v>433</v>
      </c>
      <c r="F28769">
        <v>7.5761799442638298E-9</v>
      </c>
      <c r="G28769">
        <v>10845416</v>
      </c>
      <c r="H28769">
        <v>12237422</v>
      </c>
      <c r="I28769">
        <v>22324437</v>
      </c>
      <c r="J28769">
        <v>3</v>
      </c>
    </row>
    <row r="28770" spans="1:10" x14ac:dyDescent="0.25">
      <c r="A28770" t="s">
        <v>325</v>
      </c>
      <c r="B28770" s="1" t="str">
        <f>HYPERLINK("http://santekenviro.com","santekenviro.com")</f>
        <v>santekenviro.com</v>
      </c>
      <c r="C28770" t="s">
        <v>433</v>
      </c>
      <c r="F28770">
        <v>1.38530224700244E-8</v>
      </c>
      <c r="G28770">
        <v>4259375</v>
      </c>
      <c r="H28770">
        <v>13769280</v>
      </c>
      <c r="I28770">
        <v>6799974</v>
      </c>
      <c r="J28770">
        <v>3</v>
      </c>
    </row>
    <row r="28771" spans="1:10" x14ac:dyDescent="0.25">
      <c r="A28771" t="s">
        <v>325</v>
      </c>
      <c r="B28771" s="1" t="str">
        <f>HYPERLINK("http://smartersorting.com","smartersorting.com")</f>
        <v>smartersorting.com</v>
      </c>
      <c r="C28771" t="s">
        <v>433</v>
      </c>
      <c r="F28771">
        <v>8.9488122948555398E-8</v>
      </c>
      <c r="G28771">
        <v>456374</v>
      </c>
      <c r="H28771">
        <v>13963354</v>
      </c>
      <c r="I28771">
        <v>4098114</v>
      </c>
      <c r="J28771">
        <v>3</v>
      </c>
    </row>
    <row r="28772" spans="1:10" x14ac:dyDescent="0.25">
      <c r="A28772" t="s">
        <v>325</v>
      </c>
      <c r="B28772" s="1" t="str">
        <f>HYPERLINK("http://southerntankleasing.com","southerntankleasing.com")</f>
        <v>southerntankleasing.com</v>
      </c>
      <c r="C28772" t="s">
        <v>433</v>
      </c>
      <c r="F28772">
        <v>4.4571890735199598E-9</v>
      </c>
      <c r="G28772">
        <v>68677408</v>
      </c>
      <c r="H28772">
        <v>10128780</v>
      </c>
      <c r="I28772">
        <v>59595706</v>
      </c>
      <c r="J28772">
        <v>3</v>
      </c>
    </row>
    <row r="28773" spans="1:10" x14ac:dyDescent="0.25">
      <c r="A28773" t="s">
        <v>325</v>
      </c>
      <c r="B28773" s="1" t="str">
        <f>HYPERLINK("http://specializedresponse.com","specializedresponse.com")</f>
        <v>specializedresponse.com</v>
      </c>
      <c r="C28773" t="s">
        <v>433</v>
      </c>
      <c r="F28773">
        <v>4.9729455595906299E-9</v>
      </c>
      <c r="G28773">
        <v>30171312</v>
      </c>
      <c r="H28773">
        <v>10522935</v>
      </c>
      <c r="I28773">
        <v>48992592</v>
      </c>
      <c r="J28773">
        <v>3</v>
      </c>
    </row>
    <row r="28774" spans="1:10" x14ac:dyDescent="0.25">
      <c r="A28774" t="s">
        <v>325</v>
      </c>
      <c r="B28774" s="1" t="str">
        <f>HYPERLINK("http://stablex.com","stablex.com")</f>
        <v>stablex.com</v>
      </c>
      <c r="C28774" t="s">
        <v>433</v>
      </c>
      <c r="F28774">
        <v>1.07946107271453E-8</v>
      </c>
      <c r="G28774">
        <v>6025034</v>
      </c>
      <c r="H28774">
        <v>13124482</v>
      </c>
      <c r="I28774">
        <v>11965188</v>
      </c>
      <c r="J28774">
        <v>3</v>
      </c>
    </row>
    <row r="28775" spans="1:10" x14ac:dyDescent="0.25">
      <c r="A28775" t="s">
        <v>325</v>
      </c>
      <c r="B28775" s="1" t="str">
        <f>HYPERLINK("http://taymaninc.com","taymaninc.com")</f>
        <v>taymaninc.com</v>
      </c>
      <c r="C28775" t="s">
        <v>433</v>
      </c>
      <c r="F28775">
        <v>4.5059667941606303E-9</v>
      </c>
      <c r="G28775">
        <v>58079225</v>
      </c>
      <c r="H28775">
        <v>10176878</v>
      </c>
      <c r="I28775">
        <v>59291585</v>
      </c>
      <c r="J28775">
        <v>3</v>
      </c>
    </row>
    <row r="28776" spans="1:10" x14ac:dyDescent="0.25">
      <c r="A28776" t="s">
        <v>325</v>
      </c>
      <c r="B28776" s="1" t="str">
        <f>HYPERLINK("http://tidaltank.com","tidaltank.com")</f>
        <v>tidaltank.com</v>
      </c>
      <c r="C28776" t="s">
        <v>433</v>
      </c>
      <c r="F28776">
        <v>4.5098631174580097E-9</v>
      </c>
      <c r="G28776">
        <v>57521640</v>
      </c>
      <c r="H28776">
        <v>10434759</v>
      </c>
      <c r="I28776">
        <v>52790745</v>
      </c>
      <c r="J28776">
        <v>3</v>
      </c>
    </row>
    <row r="28777" spans="1:10" x14ac:dyDescent="0.25">
      <c r="A28777" t="s">
        <v>325</v>
      </c>
      <c r="B28777" s="1" t="str">
        <f>HYPERLINK("http://trashbutler.com","trashbutler.com")</f>
        <v>trashbutler.com</v>
      </c>
      <c r="C28777" t="s">
        <v>433</v>
      </c>
      <c r="F28777">
        <v>1.43840787284832E-8</v>
      </c>
      <c r="G28777">
        <v>4062653</v>
      </c>
      <c r="H28777">
        <v>13250157</v>
      </c>
      <c r="I28777">
        <v>11085423</v>
      </c>
      <c r="J28777">
        <v>3</v>
      </c>
    </row>
    <row r="28778" spans="1:10" x14ac:dyDescent="0.25">
      <c r="A28778" t="s">
        <v>325</v>
      </c>
      <c r="B28778" s="1" t="str">
        <f>HYPERLINK("http://usecology.com","usecology.com")</f>
        <v>usecology.com</v>
      </c>
      <c r="C28778" t="s">
        <v>433</v>
      </c>
      <c r="E28778">
        <v>549833</v>
      </c>
      <c r="F28778">
        <v>4.04862516051612E-8</v>
      </c>
      <c r="G28778">
        <v>1278989</v>
      </c>
      <c r="H28778">
        <v>13625661</v>
      </c>
      <c r="I28778">
        <v>9621459</v>
      </c>
      <c r="J28778">
        <v>3</v>
      </c>
    </row>
    <row r="28779" spans="1:10" x14ac:dyDescent="0.25">
      <c r="A28779" t="s">
        <v>325</v>
      </c>
      <c r="B28779" s="1" t="str">
        <f>HYPERLINK("http://wastecontrol.com","wastecontrol.com")</f>
        <v>wastecontrol.com</v>
      </c>
      <c r="C28779" t="s">
        <v>433</v>
      </c>
      <c r="F28779">
        <v>4.44380395335525E-9</v>
      </c>
      <c r="G28779">
        <v>87530383</v>
      </c>
      <c r="H28779">
        <v>0</v>
      </c>
      <c r="I28779">
        <v>84886106</v>
      </c>
      <c r="J28779">
        <v>3</v>
      </c>
    </row>
    <row r="28780" spans="1:10" x14ac:dyDescent="0.25">
      <c r="A28780" t="s">
        <v>325</v>
      </c>
      <c r="B28780" s="1" t="str">
        <f>HYPERLINK("http://republicservices.jobs","republicservices.jobs")</f>
        <v>republicservices.jobs</v>
      </c>
      <c r="C28780" t="s">
        <v>521</v>
      </c>
      <c r="E28780">
        <v>609792</v>
      </c>
      <c r="F28780">
        <v>5.3876098880638103E-8</v>
      </c>
      <c r="G28780">
        <v>843509</v>
      </c>
      <c r="H28780">
        <v>13477181</v>
      </c>
      <c r="I28780">
        <v>10017243</v>
      </c>
      <c r="J28780">
        <v>2</v>
      </c>
    </row>
    <row r="28781" spans="1:10" x14ac:dyDescent="0.25">
      <c r="A28781" t="s">
        <v>325</v>
      </c>
      <c r="B28781" s="1" t="str">
        <f>HYPERLINK("http://op-tech.us","op-tech.us")</f>
        <v>op-tech.us</v>
      </c>
      <c r="C28781" t="s">
        <v>522</v>
      </c>
      <c r="D28781" t="s">
        <v>891</v>
      </c>
      <c r="F28781">
        <v>4.4440557725392799E-9</v>
      </c>
      <c r="G28781">
        <v>77596198</v>
      </c>
      <c r="H28781">
        <v>10602958</v>
      </c>
      <c r="I28781">
        <v>44794404</v>
      </c>
      <c r="J28781">
        <v>3</v>
      </c>
    </row>
    <row r="28782" spans="1:10" x14ac:dyDescent="0.25">
      <c r="A28782" t="s">
        <v>326</v>
      </c>
      <c r="B28782" s="1" t="str">
        <f>HYPERLINK("http://alcangove.com.au","alcangove.com.au")</f>
        <v>alcangove.com.au</v>
      </c>
      <c r="C28782" t="s">
        <v>420</v>
      </c>
      <c r="D28782" t="s">
        <v>802</v>
      </c>
      <c r="F28782">
        <v>4.4974770048420501E-9</v>
      </c>
      <c r="G28782">
        <v>59319951</v>
      </c>
      <c r="H28782">
        <v>10984118</v>
      </c>
      <c r="I28782">
        <v>33855581</v>
      </c>
      <c r="J28782">
        <v>3</v>
      </c>
    </row>
    <row r="28783" spans="1:10" x14ac:dyDescent="0.25">
      <c r="A28783" t="s">
        <v>326</v>
      </c>
      <c r="B28783" s="1" t="str">
        <f>HYPERLINK("http://argylediamonds.com.au","argylediamonds.com.au")</f>
        <v>argylediamonds.com.au</v>
      </c>
      <c r="C28783" t="s">
        <v>420</v>
      </c>
      <c r="D28783" t="s">
        <v>802</v>
      </c>
      <c r="F28783">
        <v>1.30260594740075E-8</v>
      </c>
      <c r="G28783">
        <v>4619530</v>
      </c>
      <c r="H28783">
        <v>14581534</v>
      </c>
      <c r="I28783">
        <v>708140</v>
      </c>
      <c r="J28783">
        <v>3</v>
      </c>
    </row>
    <row r="28784" spans="1:10" x14ac:dyDescent="0.25">
      <c r="A28784" t="s">
        <v>326</v>
      </c>
      <c r="B28784" s="1" t="str">
        <f>HYPERLINK("http://boynesmelters.com.au","boynesmelters.com.au")</f>
        <v>boynesmelters.com.au</v>
      </c>
      <c r="C28784" t="s">
        <v>420</v>
      </c>
      <c r="D28784" t="s">
        <v>802</v>
      </c>
      <c r="F28784">
        <v>5.0757096937617102E-9</v>
      </c>
      <c r="G28784">
        <v>27607271</v>
      </c>
      <c r="H28784">
        <v>11026111</v>
      </c>
      <c r="I28784">
        <v>33164494</v>
      </c>
      <c r="J28784">
        <v>3</v>
      </c>
    </row>
    <row r="28785" spans="1:10" x14ac:dyDescent="0.25">
      <c r="A28785" t="s">
        <v>326</v>
      </c>
      <c r="B28785" s="1" t="str">
        <f>HYPERLINK("http://energyres.com.au","energyres.com.au")</f>
        <v>energyres.com.au</v>
      </c>
      <c r="C28785" t="s">
        <v>420</v>
      </c>
      <c r="D28785" t="s">
        <v>802</v>
      </c>
      <c r="F28785">
        <v>3.30749608313872E-8</v>
      </c>
      <c r="G28785">
        <v>1562082</v>
      </c>
      <c r="H28785">
        <v>14587300</v>
      </c>
      <c r="I28785">
        <v>699297</v>
      </c>
      <c r="J28785">
        <v>3</v>
      </c>
    </row>
    <row r="28786" spans="1:10" x14ac:dyDescent="0.25">
      <c r="A28786" t="s">
        <v>326</v>
      </c>
      <c r="B28786" s="1" t="str">
        <f>HYPERLINK("http://hismelt.com.au","hismelt.com.au")</f>
        <v>hismelt.com.au</v>
      </c>
      <c r="C28786" t="s">
        <v>420</v>
      </c>
      <c r="D28786" t="s">
        <v>802</v>
      </c>
      <c r="J28786">
        <v>3</v>
      </c>
    </row>
    <row r="28787" spans="1:10" x14ac:dyDescent="0.25">
      <c r="A28787" t="s">
        <v>326</v>
      </c>
      <c r="B28787" s="1" t="str">
        <f>HYPERLINK("http://pacificaluminium.com.au","pacificaluminium.com.au")</f>
        <v>pacificaluminium.com.au</v>
      </c>
      <c r="C28787" t="s">
        <v>420</v>
      </c>
      <c r="D28787" t="s">
        <v>802</v>
      </c>
      <c r="F28787">
        <v>5.2262043169870999E-9</v>
      </c>
      <c r="G28787">
        <v>24640128</v>
      </c>
      <c r="H28787">
        <v>13192872</v>
      </c>
      <c r="I28787">
        <v>11589717</v>
      </c>
      <c r="J28787">
        <v>3</v>
      </c>
    </row>
    <row r="28788" spans="1:10" x14ac:dyDescent="0.25">
      <c r="A28788" t="s">
        <v>326</v>
      </c>
      <c r="B28788" s="1" t="str">
        <f>HYPERLINK("http://qal.com.au","qal.com.au")</f>
        <v>qal.com.au</v>
      </c>
      <c r="C28788" t="s">
        <v>420</v>
      </c>
      <c r="D28788" t="s">
        <v>802</v>
      </c>
      <c r="F28788">
        <v>1.3494726332024899E-8</v>
      </c>
      <c r="G28788">
        <v>4405895</v>
      </c>
      <c r="H28788">
        <v>13025167</v>
      </c>
      <c r="I28788">
        <v>12693490</v>
      </c>
      <c r="J28788">
        <v>3</v>
      </c>
    </row>
    <row r="28789" spans="1:10" x14ac:dyDescent="0.25">
      <c r="A28789" t="s">
        <v>326</v>
      </c>
      <c r="B28789" s="1" t="str">
        <f>HYPERLINK("http://rightship.com.au","rightship.com.au")</f>
        <v>rightship.com.au</v>
      </c>
      <c r="C28789" t="s">
        <v>420</v>
      </c>
      <c r="D28789" t="s">
        <v>802</v>
      </c>
      <c r="J28789">
        <v>3</v>
      </c>
    </row>
    <row r="28790" spans="1:10" x14ac:dyDescent="0.25">
      <c r="A28790" t="s">
        <v>326</v>
      </c>
      <c r="B28790" s="1" t="str">
        <f>HYPERLINK("http://riotintocoalaustralia.com.au","riotintocoalaustralia.com.au")</f>
        <v>riotintocoalaustralia.com.au</v>
      </c>
      <c r="C28790" t="s">
        <v>420</v>
      </c>
      <c r="D28790" t="s">
        <v>802</v>
      </c>
      <c r="F28790">
        <v>8.56467460122585E-9</v>
      </c>
      <c r="G28790">
        <v>8721007</v>
      </c>
      <c r="H28790">
        <v>13585729</v>
      </c>
      <c r="I28790">
        <v>9677037</v>
      </c>
      <c r="J28790">
        <v>3</v>
      </c>
    </row>
    <row r="28791" spans="1:10" x14ac:dyDescent="0.25">
      <c r="A28791" t="s">
        <v>326</v>
      </c>
      <c r="B28791" s="1" t="str">
        <f>HYPERLINK("http://tomago.com.au","tomago.com.au")</f>
        <v>tomago.com.au</v>
      </c>
      <c r="C28791" t="s">
        <v>420</v>
      </c>
      <c r="D28791" t="s">
        <v>802</v>
      </c>
      <c r="F28791">
        <v>2.32975474316111E-8</v>
      </c>
      <c r="G28791">
        <v>2239178</v>
      </c>
      <c r="H28791">
        <v>13900967</v>
      </c>
      <c r="I28791">
        <v>5950251</v>
      </c>
      <c r="J28791">
        <v>3</v>
      </c>
    </row>
    <row r="28792" spans="1:10" x14ac:dyDescent="0.25">
      <c r="A28792" t="s">
        <v>326</v>
      </c>
      <c r="B28792" s="1" t="str">
        <f>HYPERLINK("http://ncl.net.au","ncl.net.au")</f>
        <v>ncl.net.au</v>
      </c>
      <c r="C28792" t="s">
        <v>420</v>
      </c>
      <c r="D28792" t="s">
        <v>802</v>
      </c>
      <c r="F28792">
        <v>1.0780907489544499E-8</v>
      </c>
      <c r="G28792">
        <v>6035944</v>
      </c>
      <c r="H28792">
        <v>14236839</v>
      </c>
      <c r="I28792">
        <v>1568360</v>
      </c>
      <c r="J28792">
        <v>3</v>
      </c>
    </row>
    <row r="28793" spans="1:10" x14ac:dyDescent="0.25">
      <c r="A28793" t="s">
        <v>326</v>
      </c>
      <c r="B28793" s="1" t="str">
        <f>HYPERLINK("http://diavik.ca","diavik.ca")</f>
        <v>diavik.ca</v>
      </c>
      <c r="C28793" t="s">
        <v>428</v>
      </c>
      <c r="D28793" t="s">
        <v>809</v>
      </c>
      <c r="F28793">
        <v>2.20479930787802E-8</v>
      </c>
      <c r="G28793">
        <v>2380512</v>
      </c>
      <c r="H28793">
        <v>14253032</v>
      </c>
      <c r="I28793">
        <v>1439930</v>
      </c>
      <c r="J28793">
        <v>3</v>
      </c>
    </row>
    <row r="28794" spans="1:10" x14ac:dyDescent="0.25">
      <c r="A28794" t="s">
        <v>326</v>
      </c>
      <c r="B28794" s="1" t="str">
        <f>HYPERLINK("http://hathor.ca","hathor.ca")</f>
        <v>hathor.ca</v>
      </c>
      <c r="C28794" t="s">
        <v>428</v>
      </c>
      <c r="D28794" t="s">
        <v>809</v>
      </c>
      <c r="F28794">
        <v>4.8834845125364801E-9</v>
      </c>
      <c r="G28794">
        <v>32969709</v>
      </c>
      <c r="H28794">
        <v>12350837</v>
      </c>
      <c r="I28794">
        <v>19752967</v>
      </c>
      <c r="J28794">
        <v>3</v>
      </c>
    </row>
    <row r="28795" spans="1:10" x14ac:dyDescent="0.25">
      <c r="A28795" t="s">
        <v>326</v>
      </c>
      <c r="B28795" s="1" t="str">
        <f>HYPERLINK("http://ironore.ca","ironore.ca")</f>
        <v>ironore.ca</v>
      </c>
      <c r="C28795" t="s">
        <v>428</v>
      </c>
      <c r="D28795" t="s">
        <v>809</v>
      </c>
      <c r="F28795">
        <v>4.3184159821899897E-8</v>
      </c>
      <c r="G28795">
        <v>1111426</v>
      </c>
      <c r="H28795">
        <v>14504470</v>
      </c>
      <c r="I28795">
        <v>839296</v>
      </c>
      <c r="J28795">
        <v>3</v>
      </c>
    </row>
    <row r="28796" spans="1:10" x14ac:dyDescent="0.25">
      <c r="A28796" t="s">
        <v>326</v>
      </c>
      <c r="B28796" s="1" t="str">
        <f>HYPERLINK("http://qnsl.ca","qnsl.ca")</f>
        <v>qnsl.ca</v>
      </c>
      <c r="C28796" t="s">
        <v>428</v>
      </c>
      <c r="D28796" t="s">
        <v>809</v>
      </c>
      <c r="F28796">
        <v>5.7883331953150903E-9</v>
      </c>
      <c r="G28796">
        <v>18177699</v>
      </c>
      <c r="H28796">
        <v>14071794</v>
      </c>
      <c r="I28796">
        <v>3344471</v>
      </c>
      <c r="J28796">
        <v>6</v>
      </c>
    </row>
    <row r="28797" spans="1:10" x14ac:dyDescent="0.25">
      <c r="A28797" t="s">
        <v>326</v>
      </c>
      <c r="B28797" s="1" t="str">
        <f>HYPERLINK("http://alufluor.com","alufluor.com")</f>
        <v>alufluor.com</v>
      </c>
      <c r="C28797" t="s">
        <v>433</v>
      </c>
      <c r="F28797">
        <v>7.2581042666103704E-9</v>
      </c>
      <c r="G28797">
        <v>11583850</v>
      </c>
      <c r="H28797">
        <v>12210250</v>
      </c>
      <c r="I28797">
        <v>23021571</v>
      </c>
      <c r="J28797">
        <v>3</v>
      </c>
    </row>
    <row r="28798" spans="1:10" x14ac:dyDescent="0.25">
      <c r="A28798" t="s">
        <v>326</v>
      </c>
      <c r="B28798" s="1" t="str">
        <f>HYPERLINK("http://borax.com","borax.com")</f>
        <v>borax.com</v>
      </c>
      <c r="C28798" t="s">
        <v>433</v>
      </c>
      <c r="E28798">
        <v>705333</v>
      </c>
      <c r="F28798">
        <v>5.8793667625821101E-8</v>
      </c>
      <c r="G28798">
        <v>754734</v>
      </c>
      <c r="H28798">
        <v>14844449</v>
      </c>
      <c r="I28798">
        <v>494706</v>
      </c>
      <c r="J28798">
        <v>3</v>
      </c>
    </row>
    <row r="28799" spans="1:10" x14ac:dyDescent="0.25">
      <c r="A28799" t="s">
        <v>326</v>
      </c>
      <c r="B28799" s="1" t="str">
        <f>HYPERLINK("http://halcomining.com","halcomining.com")</f>
        <v>halcomining.com</v>
      </c>
      <c r="C28799" t="s">
        <v>433</v>
      </c>
      <c r="J28799">
        <v>3</v>
      </c>
    </row>
    <row r="28800" spans="1:10" x14ac:dyDescent="0.25">
      <c r="A28800" t="s">
        <v>326</v>
      </c>
      <c r="B28800" s="1" t="str">
        <f>HYPERLINK("http://kennecott.com","kennecott.com")</f>
        <v>kennecott.com</v>
      </c>
      <c r="C28800" t="s">
        <v>433</v>
      </c>
      <c r="F28800">
        <v>3.6556902925741998E-8</v>
      </c>
      <c r="G28800">
        <v>1428620</v>
      </c>
      <c r="H28800">
        <v>14596103</v>
      </c>
      <c r="I28800">
        <v>689818</v>
      </c>
      <c r="J28800">
        <v>3</v>
      </c>
    </row>
    <row r="28801" spans="1:10" x14ac:dyDescent="0.25">
      <c r="A28801" t="s">
        <v>326</v>
      </c>
      <c r="B28801" s="1" t="str">
        <f>HYPERLINK("http://pilbarairon.com","pilbarairon.com")</f>
        <v>pilbarairon.com</v>
      </c>
      <c r="C28801" t="s">
        <v>433</v>
      </c>
      <c r="F28801">
        <v>7.5702083222764002E-9</v>
      </c>
      <c r="G28801">
        <v>10863410</v>
      </c>
      <c r="H28801">
        <v>12452198</v>
      </c>
      <c r="I28801">
        <v>17969522</v>
      </c>
      <c r="J28801">
        <v>3</v>
      </c>
    </row>
    <row r="28802" spans="1:10" x14ac:dyDescent="0.25">
      <c r="A28802" t="s">
        <v>326</v>
      </c>
      <c r="B28802" s="1" t="str">
        <f>HYPERLINK("http://qit.com","qit.com")</f>
        <v>qit.com</v>
      </c>
      <c r="C28802" t="s">
        <v>433</v>
      </c>
      <c r="F28802">
        <v>1.26450682563639E-8</v>
      </c>
      <c r="G28802">
        <v>4807474</v>
      </c>
      <c r="H28802">
        <v>14421928</v>
      </c>
      <c r="I28802">
        <v>1086171</v>
      </c>
      <c r="J28802">
        <v>3</v>
      </c>
    </row>
    <row r="28803" spans="1:10" x14ac:dyDescent="0.25">
      <c r="A28803" t="s">
        <v>326</v>
      </c>
      <c r="B28803" s="1" t="str">
        <f>HYPERLINK("http://riotinto.com","riotinto.com")</f>
        <v>riotinto.com</v>
      </c>
      <c r="C28803" t="s">
        <v>433</v>
      </c>
      <c r="E28803">
        <v>21879</v>
      </c>
      <c r="F28803">
        <v>1.1359785297069E-6</v>
      </c>
      <c r="G28803">
        <v>34013</v>
      </c>
      <c r="H28803">
        <v>15396698</v>
      </c>
      <c r="I28803">
        <v>380404</v>
      </c>
      <c r="J28803">
        <v>1</v>
      </c>
    </row>
    <row r="28804" spans="1:10" x14ac:dyDescent="0.25">
      <c r="A28804" t="s">
        <v>326</v>
      </c>
      <c r="B28804" s="1" t="str">
        <f>HYPERLINK("http://riotintodiamonds.com","riotintodiamonds.com")</f>
        <v>riotintodiamonds.com</v>
      </c>
      <c r="C28804" t="s">
        <v>433</v>
      </c>
      <c r="F28804">
        <v>1.7861666960839699E-8</v>
      </c>
      <c r="G28804">
        <v>3061549</v>
      </c>
      <c r="H28804">
        <v>14819180</v>
      </c>
      <c r="I28804">
        <v>519026</v>
      </c>
      <c r="J28804">
        <v>3</v>
      </c>
    </row>
    <row r="28805" spans="1:10" x14ac:dyDescent="0.25">
      <c r="A28805" t="s">
        <v>326</v>
      </c>
      <c r="B28805" s="1" t="str">
        <f>HYPERLINK("http://riotintoironore.com","riotintoironore.com")</f>
        <v>riotintoironore.com</v>
      </c>
      <c r="C28805" t="s">
        <v>433</v>
      </c>
      <c r="F28805">
        <v>1.81997068037747E-8</v>
      </c>
      <c r="G28805">
        <v>2987890</v>
      </c>
      <c r="H28805">
        <v>14245561</v>
      </c>
      <c r="I28805">
        <v>1465609</v>
      </c>
      <c r="J28805">
        <v>3</v>
      </c>
    </row>
    <row r="28806" spans="1:10" x14ac:dyDescent="0.25">
      <c r="A28806" t="s">
        <v>326</v>
      </c>
      <c r="B28806" s="1" t="str">
        <f>HYPERLINK("http://riotintojapan.com","riotintojapan.com")</f>
        <v>riotintojapan.com</v>
      </c>
      <c r="C28806" t="s">
        <v>433</v>
      </c>
      <c r="F28806">
        <v>5.6450111789563603E-9</v>
      </c>
      <c r="G28806">
        <v>19436814</v>
      </c>
      <c r="H28806">
        <v>14072768</v>
      </c>
      <c r="I28806">
        <v>3046830</v>
      </c>
      <c r="J28806">
        <v>3</v>
      </c>
    </row>
    <row r="28807" spans="1:10" x14ac:dyDescent="0.25">
      <c r="A28807" t="s">
        <v>326</v>
      </c>
      <c r="B28807" s="1" t="str">
        <f>HYPERLINK("http://riotintolagranja.com","riotintolagranja.com")</f>
        <v>riotintolagranja.com</v>
      </c>
      <c r="C28807" t="s">
        <v>433</v>
      </c>
      <c r="F28807">
        <v>4.6092918855571102E-9</v>
      </c>
      <c r="G28807">
        <v>46894019</v>
      </c>
      <c r="H28807">
        <v>10758688</v>
      </c>
      <c r="I28807">
        <v>39676702</v>
      </c>
      <c r="J28807">
        <v>3</v>
      </c>
    </row>
    <row r="28808" spans="1:10" x14ac:dyDescent="0.25">
      <c r="A28808" t="s">
        <v>326</v>
      </c>
      <c r="B28808" s="1" t="str">
        <f>HYPERLINK("http://riotintominerals.com","riotintominerals.com")</f>
        <v>riotintominerals.com</v>
      </c>
      <c r="C28808" t="s">
        <v>433</v>
      </c>
      <c r="F28808">
        <v>6.7390255162577302E-9</v>
      </c>
      <c r="G28808">
        <v>13166218</v>
      </c>
      <c r="H28808">
        <v>14241948</v>
      </c>
      <c r="I28808">
        <v>1487843</v>
      </c>
      <c r="J28808">
        <v>3</v>
      </c>
    </row>
    <row r="28809" spans="1:10" x14ac:dyDescent="0.25">
      <c r="A28809" t="s">
        <v>326</v>
      </c>
      <c r="B28809" s="1" t="str">
        <f>HYPERLINK("http://sorelmetal.com","sorelmetal.com")</f>
        <v>sorelmetal.com</v>
      </c>
      <c r="C28809" t="s">
        <v>433</v>
      </c>
      <c r="F28809">
        <v>6.9929483852231498E-9</v>
      </c>
      <c r="G28809">
        <v>12332550</v>
      </c>
      <c r="H28809">
        <v>11087964</v>
      </c>
      <c r="I28809">
        <v>32403803</v>
      </c>
      <c r="J28809">
        <v>3</v>
      </c>
    </row>
    <row r="28810" spans="1:10" x14ac:dyDescent="0.25">
      <c r="A28810" t="s">
        <v>326</v>
      </c>
      <c r="B28810" s="1" t="str">
        <f>HYPERLINK("http://turquoisehill.com","turquoisehill.com")</f>
        <v>turquoisehill.com</v>
      </c>
      <c r="C28810" t="s">
        <v>433</v>
      </c>
      <c r="F28810">
        <v>7.3581470923657506E-8</v>
      </c>
      <c r="G28810">
        <v>572663</v>
      </c>
      <c r="H28810">
        <v>14286208</v>
      </c>
      <c r="I28810">
        <v>1371119</v>
      </c>
      <c r="J28810">
        <v>3</v>
      </c>
    </row>
    <row r="28811" spans="1:10" x14ac:dyDescent="0.25">
      <c r="A28811" t="s">
        <v>326</v>
      </c>
      <c r="B28811" s="1" t="str">
        <f>HYPERLINK("http://riotinto.is","riotinto.is")</f>
        <v>riotinto.is</v>
      </c>
      <c r="C28811" t="s">
        <v>594</v>
      </c>
      <c r="D28811" t="s">
        <v>929</v>
      </c>
      <c r="F28811">
        <v>1.73887071535187E-8</v>
      </c>
      <c r="G28811">
        <v>3177754</v>
      </c>
      <c r="H28811">
        <v>14073149</v>
      </c>
      <c r="I28811">
        <v>3013690</v>
      </c>
      <c r="J28811">
        <v>2</v>
      </c>
    </row>
    <row r="28812" spans="1:10" x14ac:dyDescent="0.25">
      <c r="A28812" t="s">
        <v>326</v>
      </c>
      <c r="B28812" s="1" t="str">
        <f>HYPERLINK("http://ot.mn","ot.mn")</f>
        <v>ot.mn</v>
      </c>
      <c r="C28812" t="s">
        <v>652</v>
      </c>
      <c r="D28812" t="s">
        <v>971</v>
      </c>
      <c r="E28812">
        <v>922305</v>
      </c>
      <c r="F28812">
        <v>8.5604148814459102E-8</v>
      </c>
      <c r="G28812">
        <v>481303</v>
      </c>
      <c r="H28812">
        <v>16862214</v>
      </c>
      <c r="I28812">
        <v>154937</v>
      </c>
      <c r="J28812">
        <v>2</v>
      </c>
    </row>
    <row r="28813" spans="1:10" x14ac:dyDescent="0.25">
      <c r="A28813" t="s">
        <v>326</v>
      </c>
      <c r="B28813" s="1" t="str">
        <f>HYPERLINK("http://aluchemie.nl","aluchemie.nl")</f>
        <v>aluchemie.nl</v>
      </c>
      <c r="C28813" t="s">
        <v>477</v>
      </c>
      <c r="D28813" t="s">
        <v>852</v>
      </c>
      <c r="F28813">
        <v>6.5627673987592796E-9</v>
      </c>
      <c r="G28813">
        <v>13822905</v>
      </c>
      <c r="H28813">
        <v>12333095</v>
      </c>
      <c r="I28813">
        <v>20142846</v>
      </c>
      <c r="J28813">
        <v>3</v>
      </c>
    </row>
    <row r="28814" spans="1:10" x14ac:dyDescent="0.25">
      <c r="A28814" t="s">
        <v>326</v>
      </c>
      <c r="B28814" s="1" t="str">
        <f>HYPERLINK("http://iea-coal.org","iea-coal.org")</f>
        <v>iea-coal.org</v>
      </c>
      <c r="C28814" t="s">
        <v>481</v>
      </c>
      <c r="F28814">
        <v>6.2096741256260001E-8</v>
      </c>
      <c r="G28814">
        <v>707956</v>
      </c>
      <c r="H28814">
        <v>14538462</v>
      </c>
      <c r="I28814">
        <v>777440</v>
      </c>
      <c r="J28814">
        <v>3</v>
      </c>
    </row>
    <row r="28815" spans="1:10" x14ac:dyDescent="0.25">
      <c r="A28815" t="s">
        <v>326</v>
      </c>
      <c r="B28815" s="1" t="str">
        <f>HYPERLINK("http://riotinto.org","riotinto.org")</f>
        <v>riotinto.org</v>
      </c>
      <c r="C28815" t="s">
        <v>481</v>
      </c>
      <c r="E28815">
        <v>164888</v>
      </c>
      <c r="F28815">
        <v>9.1863448312174698E-9</v>
      </c>
      <c r="G28815">
        <v>7728200</v>
      </c>
      <c r="H28815">
        <v>12677389</v>
      </c>
      <c r="I28815">
        <v>15524728</v>
      </c>
      <c r="J28815">
        <v>3</v>
      </c>
    </row>
    <row r="28816" spans="1:10" x14ac:dyDescent="0.25">
      <c r="A28816" t="s">
        <v>326</v>
      </c>
      <c r="B28816" s="1" t="str">
        <f>HYPERLINK("http://iea-coal.org.uk","iea-coal.org.uk")</f>
        <v>iea-coal.org.uk</v>
      </c>
      <c r="C28816" t="s">
        <v>506</v>
      </c>
      <c r="D28816" t="s">
        <v>880</v>
      </c>
      <c r="F28816">
        <v>4.1722444088740198E-8</v>
      </c>
      <c r="G28816">
        <v>1183210</v>
      </c>
      <c r="H28816">
        <v>14830226</v>
      </c>
      <c r="I28816">
        <v>506125</v>
      </c>
      <c r="J28816">
        <v>3</v>
      </c>
    </row>
    <row r="28817" spans="1:10" x14ac:dyDescent="0.25">
      <c r="A28817" t="s">
        <v>327</v>
      </c>
      <c r="B28817" s="1" t="str">
        <f>HYPERLINK("http://accu-chek.academy","accu-chek.academy")</f>
        <v>accu-chek.academy</v>
      </c>
      <c r="C28817" t="s">
        <v>514</v>
      </c>
      <c r="F28817">
        <v>5.3971601276697598E-9</v>
      </c>
      <c r="G28817">
        <v>22150550</v>
      </c>
      <c r="H28817">
        <v>11347674</v>
      </c>
      <c r="I28817">
        <v>30397756</v>
      </c>
      <c r="J28817">
        <v>4</v>
      </c>
    </row>
    <row r="28818" spans="1:10" x14ac:dyDescent="0.25">
      <c r="A28818" t="s">
        <v>327</v>
      </c>
      <c r="B28818" s="1" t="str">
        <f>HYPERLINK("http://accu-chek.com.ar","accu-chek.com.ar")</f>
        <v>accu-chek.com.ar</v>
      </c>
      <c r="C28818" t="s">
        <v>418</v>
      </c>
      <c r="D28818" t="s">
        <v>800</v>
      </c>
      <c r="E28818">
        <v>623083</v>
      </c>
      <c r="F28818">
        <v>1.42316689156001E-8</v>
      </c>
      <c r="G28818">
        <v>4117759</v>
      </c>
      <c r="H28818">
        <v>13933815</v>
      </c>
      <c r="I28818">
        <v>4666012</v>
      </c>
      <c r="J28818">
        <v>3</v>
      </c>
    </row>
    <row r="28819" spans="1:10" x14ac:dyDescent="0.25">
      <c r="A28819" t="s">
        <v>327</v>
      </c>
      <c r="B28819" s="1" t="str">
        <f>HYPERLINK("http://foundationmedicine.com.ar","foundationmedicine.com.ar")</f>
        <v>foundationmedicine.com.ar</v>
      </c>
      <c r="C28819" t="s">
        <v>418</v>
      </c>
      <c r="D28819" t="s">
        <v>800</v>
      </c>
      <c r="F28819">
        <v>1.4185733832700499E-8</v>
      </c>
      <c r="G28819">
        <v>4134185</v>
      </c>
      <c r="H28819">
        <v>12989837</v>
      </c>
      <c r="I28819">
        <v>12860973</v>
      </c>
      <c r="J28819">
        <v>3</v>
      </c>
    </row>
    <row r="28820" spans="1:10" x14ac:dyDescent="0.25">
      <c r="A28820" t="s">
        <v>327</v>
      </c>
      <c r="B28820" s="1" t="str">
        <f>HYPERLINK("http://roche.com.ar","roche.com.ar")</f>
        <v>roche.com.ar</v>
      </c>
      <c r="C28820" t="s">
        <v>418</v>
      </c>
      <c r="D28820" t="s">
        <v>800</v>
      </c>
      <c r="E28820">
        <v>791716</v>
      </c>
      <c r="F28820">
        <v>3.1541924959998999E-8</v>
      </c>
      <c r="G28820">
        <v>1635876</v>
      </c>
      <c r="H28820">
        <v>13943346</v>
      </c>
      <c r="I28820">
        <v>4315780</v>
      </c>
      <c r="J28820">
        <v>3</v>
      </c>
    </row>
    <row r="28821" spans="1:10" x14ac:dyDescent="0.25">
      <c r="A28821" t="s">
        <v>327</v>
      </c>
      <c r="B28821" s="1" t="str">
        <f>HYPERLINK("http://accu-chek.at","accu-chek.at")</f>
        <v>accu-chek.at</v>
      </c>
      <c r="C28821" t="s">
        <v>419</v>
      </c>
      <c r="D28821" t="s">
        <v>801</v>
      </c>
      <c r="F28821">
        <v>1.3669764673982401E-8</v>
      </c>
      <c r="G28821">
        <v>4333228</v>
      </c>
      <c r="H28821">
        <v>12349646</v>
      </c>
      <c r="I28821">
        <v>19771707</v>
      </c>
      <c r="J28821">
        <v>3</v>
      </c>
    </row>
    <row r="28822" spans="1:10" x14ac:dyDescent="0.25">
      <c r="A28822" t="s">
        <v>327</v>
      </c>
      <c r="B28822" s="1" t="str">
        <f>HYPERLINK("http://foundationmedicine.at","foundationmedicine.at")</f>
        <v>foundationmedicine.at</v>
      </c>
      <c r="C28822" t="s">
        <v>419</v>
      </c>
      <c r="D28822" t="s">
        <v>801</v>
      </c>
      <c r="F28822">
        <v>1.12775484189944E-8</v>
      </c>
      <c r="G28822">
        <v>5658142</v>
      </c>
      <c r="H28822">
        <v>12989835</v>
      </c>
      <c r="I28822">
        <v>12861000</v>
      </c>
      <c r="J28822">
        <v>3</v>
      </c>
    </row>
    <row r="28823" spans="1:10" x14ac:dyDescent="0.25">
      <c r="A28823" t="s">
        <v>327</v>
      </c>
      <c r="B28823" s="1" t="str">
        <f>HYPERLINK("http://roche.at","roche.at")</f>
        <v>roche.at</v>
      </c>
      <c r="C28823" t="s">
        <v>419</v>
      </c>
      <c r="D28823" t="s">
        <v>801</v>
      </c>
      <c r="F28823">
        <v>5.4327642825759199E-8</v>
      </c>
      <c r="G28823">
        <v>831449</v>
      </c>
      <c r="H28823">
        <v>13370167</v>
      </c>
      <c r="I28823">
        <v>10468260</v>
      </c>
      <c r="J28823">
        <v>3</v>
      </c>
    </row>
    <row r="28824" spans="1:10" x14ac:dyDescent="0.25">
      <c r="A28824" t="s">
        <v>327</v>
      </c>
      <c r="B28824" s="1" t="str">
        <f>HYPERLINK("http://accu-chek.com.au","accu-chek.com.au")</f>
        <v>accu-chek.com.au</v>
      </c>
      <c r="C28824" t="s">
        <v>420</v>
      </c>
      <c r="D28824" t="s">
        <v>802</v>
      </c>
      <c r="F28824">
        <v>1.70050770096521E-8</v>
      </c>
      <c r="G28824">
        <v>3282115</v>
      </c>
      <c r="H28824">
        <v>13936565</v>
      </c>
      <c r="I28824">
        <v>4490759</v>
      </c>
      <c r="J28824">
        <v>3</v>
      </c>
    </row>
    <row r="28825" spans="1:10" x14ac:dyDescent="0.25">
      <c r="A28825" t="s">
        <v>327</v>
      </c>
      <c r="B28825" s="1" t="str">
        <f>HYPERLINK("http://foundationmedicine.ba","foundationmedicine.ba")</f>
        <v>foundationmedicine.ba</v>
      </c>
      <c r="C28825" t="s">
        <v>526</v>
      </c>
      <c r="D28825" t="s">
        <v>893</v>
      </c>
      <c r="F28825">
        <v>6.0363603710035502E-9</v>
      </c>
      <c r="G28825">
        <v>16462537</v>
      </c>
      <c r="H28825">
        <v>11982524</v>
      </c>
      <c r="I28825">
        <v>28475641</v>
      </c>
      <c r="J28825">
        <v>3</v>
      </c>
    </row>
    <row r="28826" spans="1:10" x14ac:dyDescent="0.25">
      <c r="A28826" t="s">
        <v>327</v>
      </c>
      <c r="B28826" s="1" t="str">
        <f>HYPERLINK("http://accu-chek.com.bd","accu-chek.com.bd")</f>
        <v>accu-chek.com.bd</v>
      </c>
      <c r="C28826" t="s">
        <v>603</v>
      </c>
      <c r="D28826" t="s">
        <v>934</v>
      </c>
      <c r="F28826">
        <v>1.00590755102855E-8</v>
      </c>
      <c r="G28826">
        <v>6696395</v>
      </c>
      <c r="H28826">
        <v>11034201</v>
      </c>
      <c r="I28826">
        <v>33008455</v>
      </c>
      <c r="J28826">
        <v>3</v>
      </c>
    </row>
    <row r="28827" spans="1:10" x14ac:dyDescent="0.25">
      <c r="A28827" t="s">
        <v>327</v>
      </c>
      <c r="B28827" s="1" t="str">
        <f>HYPERLINK("http://roche.com.bd","roche.com.bd")</f>
        <v>roche.com.bd</v>
      </c>
      <c r="C28827" t="s">
        <v>603</v>
      </c>
      <c r="D28827" t="s">
        <v>934</v>
      </c>
      <c r="E28827">
        <v>381699</v>
      </c>
      <c r="F28827">
        <v>9.1100870763374694E-9</v>
      </c>
      <c r="G28827">
        <v>7833058</v>
      </c>
      <c r="H28827">
        <v>12853280</v>
      </c>
      <c r="I28827">
        <v>14244329</v>
      </c>
      <c r="J28827">
        <v>3</v>
      </c>
    </row>
    <row r="28828" spans="1:10" x14ac:dyDescent="0.25">
      <c r="A28828" t="s">
        <v>327</v>
      </c>
      <c r="B28828" s="1" t="str">
        <f>HYPERLINK("http://accu-chek.be","accu-chek.be")</f>
        <v>accu-chek.be</v>
      </c>
      <c r="C28828" t="s">
        <v>421</v>
      </c>
      <c r="D28828" t="s">
        <v>803</v>
      </c>
      <c r="F28828">
        <v>2.0487790574687099E-8</v>
      </c>
      <c r="G28828">
        <v>2586385</v>
      </c>
      <c r="H28828">
        <v>13255301</v>
      </c>
      <c r="I28828">
        <v>11059189</v>
      </c>
      <c r="J28828">
        <v>3</v>
      </c>
    </row>
    <row r="28829" spans="1:10" x14ac:dyDescent="0.25">
      <c r="A28829" t="s">
        <v>327</v>
      </c>
      <c r="B28829" s="1" t="str">
        <f>HYPERLINK("http://roche.be","roche.be")</f>
        <v>roche.be</v>
      </c>
      <c r="C28829" t="s">
        <v>421</v>
      </c>
      <c r="D28829" t="s">
        <v>803</v>
      </c>
      <c r="F28829">
        <v>6.1673789411057005E-8</v>
      </c>
      <c r="G28829">
        <v>713380</v>
      </c>
      <c r="H28829">
        <v>16752790</v>
      </c>
      <c r="I28829">
        <v>250948</v>
      </c>
      <c r="J28829">
        <v>3</v>
      </c>
    </row>
    <row r="28830" spans="1:10" x14ac:dyDescent="0.25">
      <c r="A28830" t="s">
        <v>327</v>
      </c>
      <c r="B28830" s="1" t="str">
        <f>HYPERLINK("http://foundationmedicine.bg","foundationmedicine.bg")</f>
        <v>foundationmedicine.bg</v>
      </c>
      <c r="C28830" t="s">
        <v>422</v>
      </c>
      <c r="D28830" t="s">
        <v>804</v>
      </c>
      <c r="F28830">
        <v>1.15364676258105E-8</v>
      </c>
      <c r="G28830">
        <v>5478116</v>
      </c>
      <c r="H28830">
        <v>12989949</v>
      </c>
      <c r="I28830">
        <v>12860123</v>
      </c>
      <c r="J28830">
        <v>3</v>
      </c>
    </row>
    <row r="28831" spans="1:10" x14ac:dyDescent="0.25">
      <c r="A28831" t="s">
        <v>327</v>
      </c>
      <c r="B28831" s="1" t="str">
        <f>HYPERLINK("http://roche.bg","roche.bg")</f>
        <v>roche.bg</v>
      </c>
      <c r="C28831" t="s">
        <v>422</v>
      </c>
      <c r="D28831" t="s">
        <v>804</v>
      </c>
      <c r="F28831">
        <v>1.44356522432929E-8</v>
      </c>
      <c r="G28831">
        <v>4044821</v>
      </c>
      <c r="H28831">
        <v>13060618</v>
      </c>
      <c r="I28831">
        <v>12338537</v>
      </c>
      <c r="J28831">
        <v>3</v>
      </c>
    </row>
    <row r="28832" spans="1:10" x14ac:dyDescent="0.25">
      <c r="A28832" t="s">
        <v>327</v>
      </c>
      <c r="B28832" s="1" t="str">
        <f>HYPERLINK("http://accu-chek.com.br","accu-chek.com.br")</f>
        <v>accu-chek.com.br</v>
      </c>
      <c r="C28832" t="s">
        <v>425</v>
      </c>
      <c r="D28832" t="s">
        <v>806</v>
      </c>
      <c r="E28832">
        <v>801935</v>
      </c>
      <c r="F28832">
        <v>1.2195334859666999E-8</v>
      </c>
      <c r="G28832">
        <v>5053381</v>
      </c>
      <c r="H28832">
        <v>14120639</v>
      </c>
      <c r="I28832">
        <v>2336635</v>
      </c>
      <c r="J28832">
        <v>3</v>
      </c>
    </row>
    <row r="28833" spans="1:10" x14ac:dyDescent="0.25">
      <c r="A28833" t="s">
        <v>327</v>
      </c>
      <c r="B28833" s="1" t="str">
        <f>HYPERLINK("http://foundationmedicine.com.br","foundationmedicine.com.br")</f>
        <v>foundationmedicine.com.br</v>
      </c>
      <c r="C28833" t="s">
        <v>425</v>
      </c>
      <c r="D28833" t="s">
        <v>806</v>
      </c>
      <c r="F28833">
        <v>1.16908141366983E-8</v>
      </c>
      <c r="G28833">
        <v>5372219</v>
      </c>
      <c r="H28833">
        <v>13003954</v>
      </c>
      <c r="I28833">
        <v>12776997</v>
      </c>
      <c r="J28833">
        <v>3</v>
      </c>
    </row>
    <row r="28834" spans="1:10" x14ac:dyDescent="0.25">
      <c r="A28834" t="s">
        <v>327</v>
      </c>
      <c r="B28834" s="1" t="str">
        <f>HYPERLINK("http://roche.com.br","roche.com.br")</f>
        <v>roche.com.br</v>
      </c>
      <c r="C28834" t="s">
        <v>425</v>
      </c>
      <c r="D28834" t="s">
        <v>806</v>
      </c>
      <c r="E28834">
        <v>770658</v>
      </c>
      <c r="F28834">
        <v>3.0155853155339601E-8</v>
      </c>
      <c r="G28834">
        <v>1706434</v>
      </c>
      <c r="H28834">
        <v>13810526</v>
      </c>
      <c r="I28834">
        <v>6211553</v>
      </c>
      <c r="J28834">
        <v>3</v>
      </c>
    </row>
    <row r="28835" spans="1:10" x14ac:dyDescent="0.25">
      <c r="A28835" t="s">
        <v>327</v>
      </c>
      <c r="B28835" s="1" t="str">
        <f>HYPERLINK("http://accu-chek.ca","accu-chek.ca")</f>
        <v>accu-chek.ca</v>
      </c>
      <c r="C28835" t="s">
        <v>428</v>
      </c>
      <c r="D28835" t="s">
        <v>809</v>
      </c>
      <c r="F28835">
        <v>2.1985169372478701E-8</v>
      </c>
      <c r="G28835">
        <v>2388007</v>
      </c>
      <c r="H28835">
        <v>14122714</v>
      </c>
      <c r="I28835">
        <v>2200294</v>
      </c>
      <c r="J28835">
        <v>3</v>
      </c>
    </row>
    <row r="28836" spans="1:10" x14ac:dyDescent="0.25">
      <c r="A28836" t="s">
        <v>327</v>
      </c>
      <c r="B28836" s="1" t="str">
        <f>HYPERLINK("http://accu-chek.ch","accu-chek.ch")</f>
        <v>accu-chek.ch</v>
      </c>
      <c r="C28836" t="s">
        <v>429</v>
      </c>
      <c r="D28836" t="s">
        <v>810</v>
      </c>
      <c r="F28836">
        <v>2.3219272884891599E-8</v>
      </c>
      <c r="G28836">
        <v>2247478</v>
      </c>
      <c r="H28836">
        <v>12883901</v>
      </c>
      <c r="I28836">
        <v>13973824</v>
      </c>
      <c r="J28836">
        <v>3</v>
      </c>
    </row>
    <row r="28837" spans="1:10" x14ac:dyDescent="0.25">
      <c r="A28837" t="s">
        <v>327</v>
      </c>
      <c r="B28837" s="1" t="str">
        <f>HYPERLINK("http://roche.ch","roche.ch")</f>
        <v>roche.ch</v>
      </c>
      <c r="C28837" t="s">
        <v>429</v>
      </c>
      <c r="D28837" t="s">
        <v>810</v>
      </c>
      <c r="E28837">
        <v>643319</v>
      </c>
      <c r="F28837">
        <v>1.39720296290684E-7</v>
      </c>
      <c r="G28837">
        <v>278829</v>
      </c>
      <c r="H28837">
        <v>14571059</v>
      </c>
      <c r="I28837">
        <v>734734</v>
      </c>
      <c r="J28837">
        <v>3</v>
      </c>
    </row>
    <row r="28838" spans="1:10" x14ac:dyDescent="0.25">
      <c r="A28838" t="s">
        <v>327</v>
      </c>
      <c r="B28838" s="1" t="str">
        <f>HYPERLINK("http://roche-pharma.ch","roche-pharma.ch")</f>
        <v>roche-pharma.ch</v>
      </c>
      <c r="C28838" t="s">
        <v>429</v>
      </c>
      <c r="D28838" t="s">
        <v>810</v>
      </c>
      <c r="F28838">
        <v>6.5112302920652801E-9</v>
      </c>
      <c r="G28838">
        <v>14032196</v>
      </c>
      <c r="H28838">
        <v>12608930</v>
      </c>
      <c r="I28838">
        <v>16246224</v>
      </c>
      <c r="J28838">
        <v>3</v>
      </c>
    </row>
    <row r="28839" spans="1:10" x14ac:dyDescent="0.25">
      <c r="A28839" t="s">
        <v>327</v>
      </c>
      <c r="B28839" s="1" t="str">
        <f>HYPERLINK("http://accu-chek.cl","accu-chek.cl")</f>
        <v>accu-chek.cl</v>
      </c>
      <c r="C28839" t="s">
        <v>430</v>
      </c>
      <c r="D28839" t="s">
        <v>811</v>
      </c>
      <c r="F28839">
        <v>1.2606794369566199E-8</v>
      </c>
      <c r="G28839">
        <v>4827501</v>
      </c>
      <c r="H28839">
        <v>13763978</v>
      </c>
      <c r="I28839">
        <v>7452161</v>
      </c>
      <c r="J28839">
        <v>3</v>
      </c>
    </row>
    <row r="28840" spans="1:10" x14ac:dyDescent="0.25">
      <c r="A28840" t="s">
        <v>327</v>
      </c>
      <c r="B28840" s="1" t="str">
        <f>HYPERLINK("http://foundationmedicine.cl","foundationmedicine.cl")</f>
        <v>foundationmedicine.cl</v>
      </c>
      <c r="C28840" t="s">
        <v>430</v>
      </c>
      <c r="D28840" t="s">
        <v>811</v>
      </c>
      <c r="F28840">
        <v>1.5216799994307699E-8</v>
      </c>
      <c r="G28840">
        <v>3770765</v>
      </c>
      <c r="H28840">
        <v>13222738</v>
      </c>
      <c r="I28840">
        <v>11321108</v>
      </c>
      <c r="J28840">
        <v>3</v>
      </c>
    </row>
    <row r="28841" spans="1:10" x14ac:dyDescent="0.25">
      <c r="A28841" t="s">
        <v>327</v>
      </c>
      <c r="B28841" s="1" t="str">
        <f>HYPERLINK("http://roche.cl","roche.cl")</f>
        <v>roche.cl</v>
      </c>
      <c r="C28841" t="s">
        <v>430</v>
      </c>
      <c r="D28841" t="s">
        <v>811</v>
      </c>
      <c r="F28841">
        <v>1.4730715631291799E-8</v>
      </c>
      <c r="G28841">
        <v>3930497</v>
      </c>
      <c r="H28841">
        <v>13768342</v>
      </c>
      <c r="I28841">
        <v>6880899</v>
      </c>
      <c r="J28841">
        <v>3</v>
      </c>
    </row>
    <row r="28842" spans="1:10" x14ac:dyDescent="0.25">
      <c r="A28842" t="s">
        <v>327</v>
      </c>
      <c r="B28842" s="1" t="str">
        <f>HYPERLINK("http://accu-chek.com.cn","accu-chek.com.cn")</f>
        <v>accu-chek.com.cn</v>
      </c>
      <c r="C28842" t="s">
        <v>431</v>
      </c>
      <c r="D28842" t="s">
        <v>812</v>
      </c>
      <c r="F28842">
        <v>1.19801672779316E-8</v>
      </c>
      <c r="G28842">
        <v>5188785</v>
      </c>
      <c r="H28842">
        <v>13558898</v>
      </c>
      <c r="I28842">
        <v>9861564</v>
      </c>
      <c r="J28842">
        <v>3</v>
      </c>
    </row>
    <row r="28843" spans="1:10" x14ac:dyDescent="0.25">
      <c r="A28843" t="s">
        <v>327</v>
      </c>
      <c r="B28843" s="1" t="str">
        <f>HYPERLINK("http://roche.com.cn","roche.com.cn")</f>
        <v>roche.com.cn</v>
      </c>
      <c r="C28843" t="s">
        <v>431</v>
      </c>
      <c r="D28843" t="s">
        <v>812</v>
      </c>
      <c r="F28843">
        <v>2.7439737710242898E-8</v>
      </c>
      <c r="G28843">
        <v>1873437</v>
      </c>
      <c r="H28843">
        <v>14077231</v>
      </c>
      <c r="I28843">
        <v>2870416</v>
      </c>
      <c r="J28843">
        <v>3</v>
      </c>
    </row>
    <row r="28844" spans="1:10" x14ac:dyDescent="0.25">
      <c r="A28844" t="s">
        <v>327</v>
      </c>
      <c r="B28844" s="1" t="str">
        <f>HYPERLINK("http://accu-chek.com.co","accu-chek.com.co")</f>
        <v>accu-chek.com.co</v>
      </c>
      <c r="C28844" t="s">
        <v>432</v>
      </c>
      <c r="F28844">
        <v>1.09132331764467E-8</v>
      </c>
      <c r="G28844">
        <v>5932135</v>
      </c>
      <c r="H28844">
        <v>11034528</v>
      </c>
      <c r="I28844">
        <v>33003700</v>
      </c>
      <c r="J28844">
        <v>3</v>
      </c>
    </row>
    <row r="28845" spans="1:10" x14ac:dyDescent="0.25">
      <c r="A28845" t="s">
        <v>327</v>
      </c>
      <c r="B28845" s="1" t="str">
        <f>HYPERLINK("http://roche.com.co","roche.com.co")</f>
        <v>roche.com.co</v>
      </c>
      <c r="C28845" t="s">
        <v>432</v>
      </c>
      <c r="F28845">
        <v>1.35485822824915E-8</v>
      </c>
      <c r="G28845">
        <v>4383367</v>
      </c>
      <c r="H28845">
        <v>14073963</v>
      </c>
      <c r="I28845">
        <v>2962351</v>
      </c>
      <c r="J28845">
        <v>3</v>
      </c>
    </row>
    <row r="28846" spans="1:10" x14ac:dyDescent="0.25">
      <c r="A28846" t="s">
        <v>327</v>
      </c>
      <c r="B28846" s="1" t="str">
        <f>HYPERLINK("http://accu-chek.com","accu-chek.com")</f>
        <v>accu-chek.com</v>
      </c>
      <c r="C28846" t="s">
        <v>433</v>
      </c>
      <c r="E28846">
        <v>183120</v>
      </c>
      <c r="F28846">
        <v>1.51829021675557E-7</v>
      </c>
      <c r="G28846">
        <v>255805</v>
      </c>
      <c r="H28846">
        <v>14799330</v>
      </c>
      <c r="I28846">
        <v>548514</v>
      </c>
      <c r="J28846">
        <v>3</v>
      </c>
    </row>
    <row r="28847" spans="1:10" x14ac:dyDescent="0.25">
      <c r="A28847" t="s">
        <v>327</v>
      </c>
      <c r="B28847" s="1" t="str">
        <f>HYPERLINK("http://bina.com","bina.com")</f>
        <v>bina.com</v>
      </c>
      <c r="C28847" t="s">
        <v>433</v>
      </c>
      <c r="E28847">
        <v>31269</v>
      </c>
      <c r="F28847">
        <v>2.1831321632394201E-8</v>
      </c>
      <c r="G28847">
        <v>2406098</v>
      </c>
      <c r="H28847">
        <v>13950431</v>
      </c>
      <c r="I28847">
        <v>4173723</v>
      </c>
      <c r="J28847">
        <v>6</v>
      </c>
    </row>
    <row r="28848" spans="1:10" x14ac:dyDescent="0.25">
      <c r="A28848" t="s">
        <v>327</v>
      </c>
      <c r="B28848" s="1" t="str">
        <f>HYPERLINK("http://binatechnologies.com","binatechnologies.com")</f>
        <v>binatechnologies.com</v>
      </c>
      <c r="C28848" t="s">
        <v>433</v>
      </c>
      <c r="E28848">
        <v>794420</v>
      </c>
      <c r="F28848">
        <v>1.9326328943892699E-8</v>
      </c>
      <c r="G28848">
        <v>2777843</v>
      </c>
      <c r="H28848">
        <v>14016842</v>
      </c>
      <c r="I28848">
        <v>3993983</v>
      </c>
      <c r="J28848">
        <v>3</v>
      </c>
    </row>
    <row r="28849" spans="1:10" x14ac:dyDescent="0.25">
      <c r="A28849" t="s">
        <v>327</v>
      </c>
      <c r="B28849" s="1" t="str">
        <f>HYPERLINK("http://bioveris.com","bioveris.com")</f>
        <v>bioveris.com</v>
      </c>
      <c r="C28849" t="s">
        <v>433</v>
      </c>
      <c r="F28849">
        <v>5.2550948028963003E-9</v>
      </c>
      <c r="G28849">
        <v>24179836</v>
      </c>
      <c r="H28849">
        <v>13934933</v>
      </c>
      <c r="I28849">
        <v>4561691</v>
      </c>
      <c r="J28849">
        <v>3</v>
      </c>
    </row>
    <row r="28850" spans="1:10" x14ac:dyDescent="0.25">
      <c r="A28850" t="s">
        <v>327</v>
      </c>
      <c r="B28850" s="1" t="str">
        <f>HYPERLINK("http://chugai-pharm.com","chugai-pharm.com")</f>
        <v>chugai-pharm.com</v>
      </c>
      <c r="C28850" t="s">
        <v>433</v>
      </c>
      <c r="F28850">
        <v>9.5300351671633695E-9</v>
      </c>
      <c r="G28850">
        <v>7286839</v>
      </c>
      <c r="H28850">
        <v>12451118</v>
      </c>
      <c r="I28850">
        <v>17983454</v>
      </c>
      <c r="J28850">
        <v>4</v>
      </c>
    </row>
    <row r="28851" spans="1:10" x14ac:dyDescent="0.25">
      <c r="A28851" t="s">
        <v>327</v>
      </c>
      <c r="B28851" s="1" t="str">
        <f>HYPERLINK("http://flatiron.com","flatiron.com")</f>
        <v>flatiron.com</v>
      </c>
      <c r="C28851" t="s">
        <v>433</v>
      </c>
      <c r="E28851">
        <v>116428</v>
      </c>
      <c r="F28851">
        <v>5.2971681512458499E-7</v>
      </c>
      <c r="G28851">
        <v>72690</v>
      </c>
      <c r="H28851">
        <v>14669430</v>
      </c>
      <c r="I28851">
        <v>614875</v>
      </c>
      <c r="J28851">
        <v>2</v>
      </c>
    </row>
    <row r="28852" spans="1:10" x14ac:dyDescent="0.25">
      <c r="A28852" t="s">
        <v>327</v>
      </c>
      <c r="B28852" s="1" t="str">
        <f>HYPERLINK("http://foundationmedicine.com","foundationmedicine.com")</f>
        <v>foundationmedicine.com</v>
      </c>
      <c r="C28852" t="s">
        <v>433</v>
      </c>
      <c r="E28852">
        <v>121263</v>
      </c>
      <c r="F28852">
        <v>3.0728184799417402E-7</v>
      </c>
      <c r="G28852">
        <v>120995</v>
      </c>
      <c r="H28852">
        <v>14850712</v>
      </c>
      <c r="I28852">
        <v>490547</v>
      </c>
      <c r="J28852">
        <v>2</v>
      </c>
    </row>
    <row r="28853" spans="1:10" x14ac:dyDescent="0.25">
      <c r="A28853" t="s">
        <v>327</v>
      </c>
      <c r="B28853" s="1" t="str">
        <f>HYPERLINK("http://gene.com","gene.com")</f>
        <v>gene.com</v>
      </c>
      <c r="C28853" t="s">
        <v>433</v>
      </c>
      <c r="E28853">
        <v>1945</v>
      </c>
      <c r="F28853">
        <v>2.1044047576058301E-6</v>
      </c>
      <c r="G28853">
        <v>17380</v>
      </c>
      <c r="H28853">
        <v>17463890</v>
      </c>
      <c r="I28853">
        <v>15389</v>
      </c>
      <c r="J28853">
        <v>2</v>
      </c>
    </row>
    <row r="28854" spans="1:10" x14ac:dyDescent="0.25">
      <c r="A28854" t="s">
        <v>327</v>
      </c>
      <c r="B28854" s="1" t="str">
        <f>HYPERLINK("http://genmarkdx.com","genmarkdx.com")</f>
        <v>genmarkdx.com</v>
      </c>
      <c r="C28854" t="s">
        <v>433</v>
      </c>
      <c r="E28854">
        <v>176094</v>
      </c>
      <c r="F28854">
        <v>5.3618422568769601E-8</v>
      </c>
      <c r="G28854">
        <v>848140</v>
      </c>
      <c r="H28854">
        <v>13904930</v>
      </c>
      <c r="I28854">
        <v>5946677</v>
      </c>
      <c r="J28854">
        <v>3</v>
      </c>
    </row>
    <row r="28855" spans="1:10" x14ac:dyDescent="0.25">
      <c r="A28855" t="s">
        <v>327</v>
      </c>
      <c r="B28855" s="1" t="str">
        <f>HYPERLINK("http://goodtherapeutics.com","goodtherapeutics.com")</f>
        <v>goodtherapeutics.com</v>
      </c>
      <c r="C28855" t="s">
        <v>433</v>
      </c>
      <c r="F28855">
        <v>1.6680464933120701E-8</v>
      </c>
      <c r="G28855">
        <v>3363720</v>
      </c>
      <c r="H28855">
        <v>13348128</v>
      </c>
      <c r="I28855">
        <v>10636472</v>
      </c>
      <c r="J28855">
        <v>3</v>
      </c>
    </row>
    <row r="28856" spans="1:10" x14ac:dyDescent="0.25">
      <c r="A28856" t="s">
        <v>327</v>
      </c>
      <c r="B28856" s="1" t="str">
        <f>HYPERLINK("http://ignyta.com","ignyta.com")</f>
        <v>ignyta.com</v>
      </c>
      <c r="C28856" t="s">
        <v>433</v>
      </c>
      <c r="F28856">
        <v>1.79871169039624E-8</v>
      </c>
      <c r="G28856">
        <v>3033397</v>
      </c>
      <c r="H28856">
        <v>13824067</v>
      </c>
      <c r="I28856">
        <v>6130620</v>
      </c>
      <c r="J28856">
        <v>3</v>
      </c>
    </row>
    <row r="28857" spans="1:10" x14ac:dyDescent="0.25">
      <c r="A28857" t="s">
        <v>327</v>
      </c>
      <c r="B28857" s="1" t="str">
        <f>HYPERLINK("http://iquum.com","iquum.com")</f>
        <v>iquum.com</v>
      </c>
      <c r="C28857" t="s">
        <v>433</v>
      </c>
      <c r="F28857">
        <v>7.0350350400626502E-9</v>
      </c>
      <c r="G28857">
        <v>12208039</v>
      </c>
      <c r="H28857">
        <v>13184839</v>
      </c>
      <c r="I28857">
        <v>11671279</v>
      </c>
      <c r="J28857">
        <v>3</v>
      </c>
    </row>
    <row r="28858" spans="1:10" x14ac:dyDescent="0.25">
      <c r="A28858" t="s">
        <v>327</v>
      </c>
      <c r="B28858" s="1" t="str">
        <f>HYPERLINK("http://jecuretx.com","jecuretx.com")</f>
        <v>jecuretx.com</v>
      </c>
      <c r="C28858" t="s">
        <v>433</v>
      </c>
      <c r="F28858">
        <v>1.45192502984611E-8</v>
      </c>
      <c r="G28858">
        <v>4006275</v>
      </c>
      <c r="H28858">
        <v>13352853</v>
      </c>
      <c r="I28858">
        <v>10607079</v>
      </c>
      <c r="J28858">
        <v>3</v>
      </c>
    </row>
    <row r="28859" spans="1:10" x14ac:dyDescent="0.25">
      <c r="A28859" t="s">
        <v>327</v>
      </c>
      <c r="B28859" s="1" t="str">
        <f>HYPERLINK("http://kapabiosystems.com","kapabiosystems.com")</f>
        <v>kapabiosystems.com</v>
      </c>
      <c r="C28859" t="s">
        <v>433</v>
      </c>
      <c r="E28859">
        <v>839972</v>
      </c>
      <c r="F28859">
        <v>3.7352317325572202E-8</v>
      </c>
      <c r="G28859">
        <v>1386082</v>
      </c>
      <c r="H28859">
        <v>13915258</v>
      </c>
      <c r="I28859">
        <v>5938452</v>
      </c>
      <c r="J28859">
        <v>3</v>
      </c>
    </row>
    <row r="28860" spans="1:10" x14ac:dyDescent="0.25">
      <c r="A28860" t="s">
        <v>327</v>
      </c>
      <c r="B28860" s="1" t="str">
        <f>HYPERLINK("http://lexentbio.com","lexentbio.com")</f>
        <v>lexentbio.com</v>
      </c>
      <c r="C28860" t="s">
        <v>433</v>
      </c>
      <c r="F28860">
        <v>8.27869057175854E-9</v>
      </c>
      <c r="G28860">
        <v>9308413</v>
      </c>
      <c r="H28860">
        <v>13161404</v>
      </c>
      <c r="I28860">
        <v>11778726</v>
      </c>
      <c r="J28860">
        <v>3</v>
      </c>
    </row>
    <row r="28861" spans="1:10" x14ac:dyDescent="0.25">
      <c r="A28861" t="s">
        <v>327</v>
      </c>
      <c r="B28861" s="1" t="str">
        <f>HYPERLINK("http://mysugr.com","mysugr.com")</f>
        <v>mysugr.com</v>
      </c>
      <c r="C28861" t="s">
        <v>433</v>
      </c>
      <c r="E28861">
        <v>20801</v>
      </c>
      <c r="F28861">
        <v>2.6597465749325698E-7</v>
      </c>
      <c r="G28861">
        <v>140165</v>
      </c>
      <c r="H28861">
        <v>17004832</v>
      </c>
      <c r="I28861">
        <v>92825</v>
      </c>
      <c r="J28861">
        <v>3</v>
      </c>
    </row>
    <row r="28862" spans="1:10" x14ac:dyDescent="0.25">
      <c r="A28862" t="s">
        <v>327</v>
      </c>
      <c r="B28862" s="1" t="str">
        <f>HYPERLINK("http://obimedical.com","obimedical.com")</f>
        <v>obimedical.com</v>
      </c>
      <c r="C28862" t="s">
        <v>433</v>
      </c>
      <c r="F28862">
        <v>9.2368282861958794E-9</v>
      </c>
      <c r="G28862">
        <v>7661139</v>
      </c>
      <c r="H28862">
        <v>11381017</v>
      </c>
      <c r="I28862">
        <v>30280383</v>
      </c>
      <c r="J28862">
        <v>3</v>
      </c>
    </row>
    <row r="28863" spans="1:10" x14ac:dyDescent="0.25">
      <c r="A28863" t="s">
        <v>327</v>
      </c>
      <c r="B28863" s="1" t="str">
        <f>HYPERLINK("http://piramed.com","piramed.com")</f>
        <v>piramed.com</v>
      </c>
      <c r="C28863" t="s">
        <v>433</v>
      </c>
      <c r="F28863">
        <v>4.9139694110018202E-9</v>
      </c>
      <c r="G28863">
        <v>32065189</v>
      </c>
      <c r="H28863">
        <v>12297243</v>
      </c>
      <c r="I28863">
        <v>20920917</v>
      </c>
      <c r="J28863">
        <v>8</v>
      </c>
    </row>
    <row r="28864" spans="1:10" x14ac:dyDescent="0.25">
      <c r="A28864" t="s">
        <v>327</v>
      </c>
      <c r="B28864" s="1" t="str">
        <f>HYPERLINK("http://promedior.com","promedior.com")</f>
        <v>promedior.com</v>
      </c>
      <c r="C28864" t="s">
        <v>433</v>
      </c>
      <c r="F28864">
        <v>1.6799034980066699E-8</v>
      </c>
      <c r="G28864">
        <v>3333545</v>
      </c>
      <c r="H28864">
        <v>13848661</v>
      </c>
      <c r="I28864">
        <v>6056434</v>
      </c>
      <c r="J28864">
        <v>3</v>
      </c>
    </row>
    <row r="28865" spans="1:10" x14ac:dyDescent="0.25">
      <c r="A28865" t="s">
        <v>327</v>
      </c>
      <c r="B28865" s="1" t="str">
        <f>HYPERLINK("http://roche.com","roche.com")</f>
        <v>roche.com</v>
      </c>
      <c r="C28865" t="s">
        <v>433</v>
      </c>
      <c r="E28865">
        <v>841</v>
      </c>
      <c r="F28865">
        <v>7.2439807560975499E-6</v>
      </c>
      <c r="G28865">
        <v>4650</v>
      </c>
      <c r="H28865">
        <v>18663670</v>
      </c>
      <c r="I28865">
        <v>1093</v>
      </c>
      <c r="J28865">
        <v>2</v>
      </c>
    </row>
    <row r="28866" spans="1:10" x14ac:dyDescent="0.25">
      <c r="A28866" t="s">
        <v>327</v>
      </c>
      <c r="B28866" s="1" t="str">
        <f>HYPERLINK("http://roche-middleeast.com","roche-middleeast.com")</f>
        <v>roche-middleeast.com</v>
      </c>
      <c r="C28866" t="s">
        <v>433</v>
      </c>
      <c r="F28866">
        <v>1.39991620501209E-8</v>
      </c>
      <c r="G28866">
        <v>4203087</v>
      </c>
      <c r="H28866">
        <v>12733895</v>
      </c>
      <c r="I28866">
        <v>15177479</v>
      </c>
      <c r="J28866">
        <v>3</v>
      </c>
    </row>
    <row r="28867" spans="1:10" x14ac:dyDescent="0.25">
      <c r="A28867" t="s">
        <v>327</v>
      </c>
      <c r="B28867" s="1" t="str">
        <f>HYPERLINK("http://roche-rdh.com","roche-rdh.com")</f>
        <v>roche-rdh.com</v>
      </c>
      <c r="C28867" t="s">
        <v>433</v>
      </c>
      <c r="J28867">
        <v>3</v>
      </c>
    </row>
    <row r="28868" spans="1:10" x14ac:dyDescent="0.25">
      <c r="A28868" t="s">
        <v>327</v>
      </c>
      <c r="B28868" s="1" t="str">
        <f>HYPERLINK("http://rochediabetescareme.com","rochediabetescareme.com")</f>
        <v>rochediabetescareme.com</v>
      </c>
      <c r="C28868" t="s">
        <v>433</v>
      </c>
      <c r="F28868">
        <v>5.9324731803442498E-9</v>
      </c>
      <c r="G28868">
        <v>17136296</v>
      </c>
      <c r="H28868">
        <v>11370848</v>
      </c>
      <c r="I28868">
        <v>30324843</v>
      </c>
      <c r="J28868">
        <v>3</v>
      </c>
    </row>
    <row r="28869" spans="1:10" x14ac:dyDescent="0.25">
      <c r="A28869" t="s">
        <v>327</v>
      </c>
      <c r="B28869" s="1" t="str">
        <f>HYPERLINK("http://rocheindia.com","rocheindia.com")</f>
        <v>rocheindia.com</v>
      </c>
      <c r="C28869" t="s">
        <v>433</v>
      </c>
      <c r="F28869">
        <v>1.0109157717308401E-8</v>
      </c>
      <c r="G28869">
        <v>6638883</v>
      </c>
      <c r="H28869">
        <v>13297254</v>
      </c>
      <c r="I28869">
        <v>10842335</v>
      </c>
      <c r="J28869">
        <v>3</v>
      </c>
    </row>
    <row r="28870" spans="1:10" x14ac:dyDescent="0.25">
      <c r="A28870" t="s">
        <v>327</v>
      </c>
      <c r="B28870" s="1" t="str">
        <f>HYPERLINK("http://rochesequencingstore.com","rochesequencingstore.com")</f>
        <v>rochesequencingstore.com</v>
      </c>
      <c r="C28870" t="s">
        <v>433</v>
      </c>
      <c r="F28870">
        <v>1.23843663783248E-8</v>
      </c>
      <c r="G28870">
        <v>4947901</v>
      </c>
      <c r="H28870">
        <v>13385152</v>
      </c>
      <c r="I28870">
        <v>10411412</v>
      </c>
      <c r="J28870">
        <v>5</v>
      </c>
    </row>
    <row r="28871" spans="1:10" x14ac:dyDescent="0.25">
      <c r="A28871" t="s">
        <v>327</v>
      </c>
      <c r="B28871" s="1" t="str">
        <f>HYPERLINK("http://rocheusa.com","rocheusa.com")</f>
        <v>rocheusa.com</v>
      </c>
      <c r="C28871" t="s">
        <v>433</v>
      </c>
      <c r="F28871">
        <v>8.8527854032954396E-8</v>
      </c>
      <c r="G28871">
        <v>462307</v>
      </c>
      <c r="H28871">
        <v>17128486</v>
      </c>
      <c r="I28871">
        <v>57206</v>
      </c>
      <c r="J28871">
        <v>3</v>
      </c>
    </row>
    <row r="28872" spans="1:10" x14ac:dyDescent="0.25">
      <c r="A28872" t="s">
        <v>327</v>
      </c>
      <c r="B28872" s="1" t="str">
        <f>HYPERLINK("http://seragonpharm.com","seragonpharm.com")</f>
        <v>seragonpharm.com</v>
      </c>
      <c r="C28872" t="s">
        <v>433</v>
      </c>
      <c r="F28872">
        <v>7.48965775980309E-9</v>
      </c>
      <c r="G28872">
        <v>11036073</v>
      </c>
      <c r="H28872">
        <v>13768584</v>
      </c>
      <c r="I28872">
        <v>6866529</v>
      </c>
      <c r="J28872">
        <v>3</v>
      </c>
    </row>
    <row r="28873" spans="1:10" x14ac:dyDescent="0.25">
      <c r="A28873" t="s">
        <v>327</v>
      </c>
      <c r="B28873" s="1" t="str">
        <f>HYPERLINK("http://solo4you.com","solo4you.com")</f>
        <v>solo4you.com</v>
      </c>
      <c r="C28873" t="s">
        <v>433</v>
      </c>
      <c r="F28873">
        <v>4.74215250854882E-9</v>
      </c>
      <c r="G28873">
        <v>38696365</v>
      </c>
      <c r="H28873">
        <v>13763861</v>
      </c>
      <c r="I28873">
        <v>7547215</v>
      </c>
      <c r="J28873">
        <v>3</v>
      </c>
    </row>
    <row r="28874" spans="1:10" x14ac:dyDescent="0.25">
      <c r="A28874" t="s">
        <v>327</v>
      </c>
      <c r="B28874" s="1" t="str">
        <f>HYPERLINK("http://sparktx.com","sparktx.com")</f>
        <v>sparktx.com</v>
      </c>
      <c r="C28874" t="s">
        <v>433</v>
      </c>
      <c r="E28874">
        <v>169115</v>
      </c>
      <c r="F28874">
        <v>1.6601969032416601E-7</v>
      </c>
      <c r="G28874">
        <v>233754</v>
      </c>
      <c r="H28874">
        <v>14485028</v>
      </c>
      <c r="I28874">
        <v>1020843</v>
      </c>
      <c r="J28874">
        <v>2</v>
      </c>
    </row>
    <row r="28875" spans="1:10" x14ac:dyDescent="0.25">
      <c r="A28875" t="s">
        <v>327</v>
      </c>
      <c r="B28875" s="1" t="str">
        <f>HYPERLINK("http://tenshatherapeutics.com","tenshatherapeutics.com")</f>
        <v>tenshatherapeutics.com</v>
      </c>
      <c r="C28875" t="s">
        <v>433</v>
      </c>
      <c r="F28875">
        <v>4.8575215114944903E-9</v>
      </c>
      <c r="G28875">
        <v>33892812</v>
      </c>
      <c r="H28875">
        <v>12357906</v>
      </c>
      <c r="I28875">
        <v>19626225</v>
      </c>
      <c r="J28875">
        <v>6</v>
      </c>
    </row>
    <row r="28876" spans="1:10" x14ac:dyDescent="0.25">
      <c r="A28876" t="s">
        <v>327</v>
      </c>
      <c r="B28876" s="1" t="str">
        <f>HYPERLINK("http://tib-molbiol.com","tib-molbiol.com")</f>
        <v>tib-molbiol.com</v>
      </c>
      <c r="C28876" t="s">
        <v>433</v>
      </c>
      <c r="F28876">
        <v>3.9287861528663901E-8</v>
      </c>
      <c r="G28876">
        <v>1313285</v>
      </c>
      <c r="H28876">
        <v>13458873</v>
      </c>
      <c r="I28876">
        <v>10173532</v>
      </c>
      <c r="J28876">
        <v>3</v>
      </c>
    </row>
    <row r="28877" spans="1:10" x14ac:dyDescent="0.25">
      <c r="A28877" t="s">
        <v>327</v>
      </c>
      <c r="B28877" s="1" t="str">
        <f>HYPERLINK("http://trophos.com","trophos.com")</f>
        <v>trophos.com</v>
      </c>
      <c r="C28877" t="s">
        <v>433</v>
      </c>
      <c r="F28877">
        <v>1.9030818048687499E-8</v>
      </c>
      <c r="G28877">
        <v>2830789</v>
      </c>
      <c r="H28877">
        <v>14073635</v>
      </c>
      <c r="I28877">
        <v>2981183</v>
      </c>
      <c r="J28877">
        <v>6</v>
      </c>
    </row>
    <row r="28878" spans="1:10" x14ac:dyDescent="0.25">
      <c r="A28878" t="s">
        <v>327</v>
      </c>
      <c r="B28878" s="1" t="str">
        <f>HYPERLINK("http://tusktherapeutics.com","tusktherapeutics.com")</f>
        <v>tusktherapeutics.com</v>
      </c>
      <c r="C28878" t="s">
        <v>433</v>
      </c>
      <c r="F28878">
        <v>6.67637058225725E-9</v>
      </c>
      <c r="G28878">
        <v>13388538</v>
      </c>
      <c r="H28878">
        <v>12530159</v>
      </c>
      <c r="I28878">
        <v>17032918</v>
      </c>
      <c r="J28878">
        <v>3</v>
      </c>
    </row>
    <row r="28879" spans="1:10" x14ac:dyDescent="0.25">
      <c r="A28879" t="s">
        <v>327</v>
      </c>
      <c r="B28879" s="1" t="str">
        <f>HYPERLINK("http://valcyte.com","valcyte.com")</f>
        <v>valcyte.com</v>
      </c>
      <c r="C28879" t="s">
        <v>433</v>
      </c>
      <c r="E28879">
        <v>849681</v>
      </c>
      <c r="F28879">
        <v>1.6150703796564999E-8</v>
      </c>
      <c r="G28879">
        <v>3507807</v>
      </c>
      <c r="H28879">
        <v>12366776</v>
      </c>
      <c r="I28879">
        <v>19469391</v>
      </c>
      <c r="J28879">
        <v>6</v>
      </c>
    </row>
    <row r="28880" spans="1:10" x14ac:dyDescent="0.25">
      <c r="A28880" t="s">
        <v>327</v>
      </c>
      <c r="B28880" s="1" t="str">
        <f>HYPERLINK("http://ventana.com","ventana.com")</f>
        <v>ventana.com</v>
      </c>
      <c r="C28880" t="s">
        <v>433</v>
      </c>
      <c r="E28880">
        <v>404104</v>
      </c>
      <c r="F28880">
        <v>6.2048662493135204E-8</v>
      </c>
      <c r="G28880">
        <v>708573</v>
      </c>
      <c r="H28880">
        <v>14297537</v>
      </c>
      <c r="I28880">
        <v>1358892</v>
      </c>
      <c r="J28880">
        <v>5</v>
      </c>
    </row>
    <row r="28881" spans="1:10" x14ac:dyDescent="0.25">
      <c r="A28881" t="s">
        <v>327</v>
      </c>
      <c r="B28881" s="1" t="str">
        <f>HYPERLINK("http://viewics.com","viewics.com")</f>
        <v>viewics.com</v>
      </c>
      <c r="C28881" t="s">
        <v>433</v>
      </c>
      <c r="E28881">
        <v>60528</v>
      </c>
      <c r="F28881">
        <v>2.26648151215582E-8</v>
      </c>
      <c r="G28881">
        <v>2310563</v>
      </c>
      <c r="H28881">
        <v>13552488</v>
      </c>
      <c r="I28881">
        <v>9887714</v>
      </c>
      <c r="J28881">
        <v>3</v>
      </c>
    </row>
    <row r="28882" spans="1:10" x14ac:dyDescent="0.25">
      <c r="A28882" t="s">
        <v>327</v>
      </c>
      <c r="B28882" s="1" t="str">
        <f>HYPERLINK("http://roche.cr","roche.cr")</f>
        <v>roche.cr</v>
      </c>
      <c r="C28882" t="s">
        <v>434</v>
      </c>
      <c r="D28882" t="s">
        <v>813</v>
      </c>
      <c r="F28882">
        <v>9.8645503703279908E-9</v>
      </c>
      <c r="G28882">
        <v>6897579</v>
      </c>
      <c r="H28882">
        <v>12842086</v>
      </c>
      <c r="I28882">
        <v>14335161</v>
      </c>
      <c r="J28882">
        <v>3</v>
      </c>
    </row>
    <row r="28883" spans="1:10" x14ac:dyDescent="0.25">
      <c r="A28883" t="s">
        <v>327</v>
      </c>
      <c r="B28883" s="1" t="str">
        <f>HYPERLINK("http://accu-chek.cz","accu-chek.cz")</f>
        <v>accu-chek.cz</v>
      </c>
      <c r="C28883" t="s">
        <v>435</v>
      </c>
      <c r="D28883" t="s">
        <v>814</v>
      </c>
      <c r="F28883">
        <v>2.0013167602633299E-8</v>
      </c>
      <c r="G28883">
        <v>2657214</v>
      </c>
      <c r="H28883">
        <v>12864537</v>
      </c>
      <c r="I28883">
        <v>14164480</v>
      </c>
      <c r="J28883">
        <v>3</v>
      </c>
    </row>
    <row r="28884" spans="1:10" x14ac:dyDescent="0.25">
      <c r="A28884" t="s">
        <v>327</v>
      </c>
      <c r="B28884" s="1" t="str">
        <f>HYPERLINK("http://roche.cz","roche.cz")</f>
        <v>roche.cz</v>
      </c>
      <c r="C28884" t="s">
        <v>435</v>
      </c>
      <c r="D28884" t="s">
        <v>814</v>
      </c>
      <c r="F28884">
        <v>7.24302520780695E-8</v>
      </c>
      <c r="G28884">
        <v>582617</v>
      </c>
      <c r="H28884">
        <v>12999169</v>
      </c>
      <c r="I28884">
        <v>12800146</v>
      </c>
      <c r="J28884">
        <v>3</v>
      </c>
    </row>
    <row r="28885" spans="1:10" x14ac:dyDescent="0.25">
      <c r="A28885" t="s">
        <v>327</v>
      </c>
      <c r="B28885" s="1" t="str">
        <f>HYPERLINK("http://flatiron.de","flatiron.de")</f>
        <v>flatiron.de</v>
      </c>
      <c r="C28885" t="s">
        <v>436</v>
      </c>
      <c r="D28885" t="s">
        <v>815</v>
      </c>
      <c r="F28885">
        <v>6.1822568215247404E-9</v>
      </c>
      <c r="G28885">
        <v>15628006</v>
      </c>
      <c r="H28885">
        <v>10818035</v>
      </c>
      <c r="I28885">
        <v>37666827</v>
      </c>
      <c r="J28885">
        <v>3</v>
      </c>
    </row>
    <row r="28886" spans="1:10" x14ac:dyDescent="0.25">
      <c r="A28886" t="s">
        <v>327</v>
      </c>
      <c r="B28886" s="1" t="str">
        <f>HYPERLINK("http://foundationmedicine.de","foundationmedicine.de")</f>
        <v>foundationmedicine.de</v>
      </c>
      <c r="C28886" t="s">
        <v>436</v>
      </c>
      <c r="D28886" t="s">
        <v>815</v>
      </c>
      <c r="F28886">
        <v>2.5203860250946001E-8</v>
      </c>
      <c r="G28886">
        <v>2048649</v>
      </c>
      <c r="H28886">
        <v>13011057</v>
      </c>
      <c r="I28886">
        <v>12748085</v>
      </c>
      <c r="J28886">
        <v>4</v>
      </c>
    </row>
    <row r="28887" spans="1:10" x14ac:dyDescent="0.25">
      <c r="A28887" t="s">
        <v>327</v>
      </c>
      <c r="B28887" s="1" t="str">
        <f>HYPERLINK("http://mysugr.de","mysugr.de")</f>
        <v>mysugr.de</v>
      </c>
      <c r="C28887" t="s">
        <v>436</v>
      </c>
      <c r="D28887" t="s">
        <v>815</v>
      </c>
      <c r="F28887">
        <v>3.5068731284150402E-8</v>
      </c>
      <c r="G28887">
        <v>1481836</v>
      </c>
      <c r="H28887">
        <v>12632607</v>
      </c>
      <c r="I28887">
        <v>15961900</v>
      </c>
      <c r="J28887">
        <v>4</v>
      </c>
    </row>
    <row r="28888" spans="1:10" x14ac:dyDescent="0.25">
      <c r="A28888" t="s">
        <v>327</v>
      </c>
      <c r="B28888" s="1" t="str">
        <f>HYPERLINK("http://pvt.de","pvt.de")</f>
        <v>pvt.de</v>
      </c>
      <c r="C28888" t="s">
        <v>436</v>
      </c>
      <c r="D28888" t="s">
        <v>815</v>
      </c>
      <c r="F28888">
        <v>4.7603966153133498E-9</v>
      </c>
      <c r="G28888">
        <v>37803923</v>
      </c>
      <c r="H28888">
        <v>12359663</v>
      </c>
      <c r="I28888">
        <v>19592423</v>
      </c>
      <c r="J28888">
        <v>3</v>
      </c>
    </row>
    <row r="28889" spans="1:10" x14ac:dyDescent="0.25">
      <c r="A28889" t="s">
        <v>327</v>
      </c>
      <c r="B28889" s="1" t="str">
        <f>HYPERLINK("http://roche.de","roche.de")</f>
        <v>roche.de</v>
      </c>
      <c r="C28889" t="s">
        <v>436</v>
      </c>
      <c r="D28889" t="s">
        <v>815</v>
      </c>
      <c r="E28889">
        <v>220018</v>
      </c>
      <c r="F28889">
        <v>6.2816526706954699E-7</v>
      </c>
      <c r="G28889">
        <v>61047</v>
      </c>
      <c r="H28889">
        <v>17122908</v>
      </c>
      <c r="I28889">
        <v>58811</v>
      </c>
      <c r="J28889">
        <v>3</v>
      </c>
    </row>
    <row r="28890" spans="1:10" x14ac:dyDescent="0.25">
      <c r="A28890" t="s">
        <v>327</v>
      </c>
      <c r="B28890" s="1" t="str">
        <f>HYPERLINK("http://tib-molbiol.de","tib-molbiol.de")</f>
        <v>tib-molbiol.de</v>
      </c>
      <c r="C28890" t="s">
        <v>436</v>
      </c>
      <c r="D28890" t="s">
        <v>815</v>
      </c>
      <c r="E28890">
        <v>450112</v>
      </c>
      <c r="F28890">
        <v>6.7331019956787994E-8</v>
      </c>
      <c r="G28890">
        <v>634870</v>
      </c>
      <c r="H28890">
        <v>14017396</v>
      </c>
      <c r="I28890">
        <v>3993044</v>
      </c>
      <c r="J28890">
        <v>4</v>
      </c>
    </row>
    <row r="28891" spans="1:10" x14ac:dyDescent="0.25">
      <c r="A28891" t="s">
        <v>327</v>
      </c>
      <c r="B28891" s="1" t="str">
        <f>HYPERLINK("http://accu-chek.dk","accu-chek.dk")</f>
        <v>accu-chek.dk</v>
      </c>
      <c r="C28891" t="s">
        <v>437</v>
      </c>
      <c r="D28891" t="s">
        <v>816</v>
      </c>
      <c r="F28891">
        <v>1.29068352243614E-8</v>
      </c>
      <c r="G28891">
        <v>4676162</v>
      </c>
      <c r="H28891">
        <v>12512042</v>
      </c>
      <c r="I28891">
        <v>17225829</v>
      </c>
      <c r="J28891">
        <v>3</v>
      </c>
    </row>
    <row r="28892" spans="1:10" x14ac:dyDescent="0.25">
      <c r="A28892" t="s">
        <v>327</v>
      </c>
      <c r="B28892" s="1" t="str">
        <f>HYPERLINK("http://roche.dk","roche.dk")</f>
        <v>roche.dk</v>
      </c>
      <c r="C28892" t="s">
        <v>437</v>
      </c>
      <c r="D28892" t="s">
        <v>816</v>
      </c>
      <c r="F28892">
        <v>2.9508906494000199E-8</v>
      </c>
      <c r="G28892">
        <v>1746753</v>
      </c>
      <c r="H28892">
        <v>13133714</v>
      </c>
      <c r="I28892">
        <v>11922758</v>
      </c>
      <c r="J28892">
        <v>3</v>
      </c>
    </row>
    <row r="28893" spans="1:10" x14ac:dyDescent="0.25">
      <c r="A28893" t="s">
        <v>327</v>
      </c>
      <c r="B28893" s="1" t="str">
        <f>HYPERLINK("http://accu-chek.com.ec","accu-chek.com.ec")</f>
        <v>accu-chek.com.ec</v>
      </c>
      <c r="C28893" t="s">
        <v>440</v>
      </c>
      <c r="D28893" t="s">
        <v>819</v>
      </c>
      <c r="F28893">
        <v>1.08558207644155E-8</v>
      </c>
      <c r="G28893">
        <v>5976242</v>
      </c>
      <c r="H28893">
        <v>11056532</v>
      </c>
      <c r="I28893">
        <v>32721200</v>
      </c>
      <c r="J28893">
        <v>3</v>
      </c>
    </row>
    <row r="28894" spans="1:10" x14ac:dyDescent="0.25">
      <c r="A28894" t="s">
        <v>327</v>
      </c>
      <c r="B28894" s="1" t="str">
        <f>HYPERLINK("http://roche.com.ec","roche.com.ec")</f>
        <v>roche.com.ec</v>
      </c>
      <c r="C28894" t="s">
        <v>440</v>
      </c>
      <c r="D28894" t="s">
        <v>819</v>
      </c>
      <c r="F28894">
        <v>1.15600242213061E-8</v>
      </c>
      <c r="G28894">
        <v>5461142</v>
      </c>
      <c r="H28894">
        <v>13007826</v>
      </c>
      <c r="I28894">
        <v>12760529</v>
      </c>
      <c r="J28894">
        <v>3</v>
      </c>
    </row>
    <row r="28895" spans="1:10" x14ac:dyDescent="0.25">
      <c r="A28895" t="s">
        <v>327</v>
      </c>
      <c r="B28895" s="1" t="str">
        <f>HYPERLINK("http://foundationmedicine.ec","foundationmedicine.ec")</f>
        <v>foundationmedicine.ec</v>
      </c>
      <c r="C28895" t="s">
        <v>440</v>
      </c>
      <c r="D28895" t="s">
        <v>819</v>
      </c>
      <c r="F28895">
        <v>1.18789236585634E-8</v>
      </c>
      <c r="G28895">
        <v>5252004</v>
      </c>
      <c r="H28895">
        <v>12989837</v>
      </c>
      <c r="I28895">
        <v>12860976</v>
      </c>
      <c r="J28895">
        <v>3</v>
      </c>
    </row>
    <row r="28896" spans="1:10" x14ac:dyDescent="0.25">
      <c r="A28896" t="s">
        <v>327</v>
      </c>
      <c r="B28896" s="1" t="str">
        <f>HYPERLINK("http://accu-chek.ee","accu-chek.ee")</f>
        <v>accu-chek.ee</v>
      </c>
      <c r="C28896" t="s">
        <v>441</v>
      </c>
      <c r="D28896" t="s">
        <v>820</v>
      </c>
      <c r="F28896">
        <v>1.1242796940741501E-8</v>
      </c>
      <c r="G28896">
        <v>5683315</v>
      </c>
      <c r="H28896">
        <v>14071938</v>
      </c>
      <c r="I28896">
        <v>3222234</v>
      </c>
      <c r="J28896">
        <v>3</v>
      </c>
    </row>
    <row r="28897" spans="1:10" x14ac:dyDescent="0.25">
      <c r="A28897" t="s">
        <v>327</v>
      </c>
      <c r="B28897" s="1" t="str">
        <f>HYPERLINK("http://roche.ee","roche.ee")</f>
        <v>roche.ee</v>
      </c>
      <c r="C28897" t="s">
        <v>441</v>
      </c>
      <c r="D28897" t="s">
        <v>820</v>
      </c>
      <c r="F28897">
        <v>1.02667321693537E-8</v>
      </c>
      <c r="G28897">
        <v>6482594</v>
      </c>
      <c r="H28897">
        <v>11236891</v>
      </c>
      <c r="I28897">
        <v>30985397</v>
      </c>
      <c r="J28897">
        <v>3</v>
      </c>
    </row>
    <row r="28898" spans="1:10" x14ac:dyDescent="0.25">
      <c r="A28898" t="s">
        <v>327</v>
      </c>
      <c r="B28898" s="1" t="str">
        <f>HYPERLINK("http://accu-chek.es","accu-chek.es")</f>
        <v>accu-chek.es</v>
      </c>
      <c r="C28898" t="s">
        <v>443</v>
      </c>
      <c r="D28898" t="s">
        <v>822</v>
      </c>
      <c r="F28898">
        <v>1.79844689441367E-8</v>
      </c>
      <c r="G28898">
        <v>3035947</v>
      </c>
      <c r="H28898">
        <v>13767623</v>
      </c>
      <c r="I28898">
        <v>6922012</v>
      </c>
      <c r="J28898">
        <v>3</v>
      </c>
    </row>
    <row r="28899" spans="1:10" x14ac:dyDescent="0.25">
      <c r="A28899" t="s">
        <v>327</v>
      </c>
      <c r="B28899" s="1" t="str">
        <f>HYPERLINK("http://eversense.es","eversense.es")</f>
        <v>eversense.es</v>
      </c>
      <c r="C28899" t="s">
        <v>443</v>
      </c>
      <c r="D28899" t="s">
        <v>822</v>
      </c>
      <c r="F28899">
        <v>4.7607200792254298E-9</v>
      </c>
      <c r="G28899">
        <v>37787146</v>
      </c>
      <c r="H28899">
        <v>10860919</v>
      </c>
      <c r="I28899">
        <v>36656905</v>
      </c>
      <c r="J28899">
        <v>3</v>
      </c>
    </row>
    <row r="28900" spans="1:10" x14ac:dyDescent="0.25">
      <c r="A28900" t="s">
        <v>327</v>
      </c>
      <c r="B28900" s="1" t="str">
        <f>HYPERLINK("http://roche.es","roche.es")</f>
        <v>roche.es</v>
      </c>
      <c r="C28900" t="s">
        <v>443</v>
      </c>
      <c r="D28900" t="s">
        <v>822</v>
      </c>
      <c r="E28900">
        <v>251814</v>
      </c>
      <c r="F28900">
        <v>1.3927219380332101E-7</v>
      </c>
      <c r="G28900">
        <v>279721</v>
      </c>
      <c r="H28900">
        <v>14273808</v>
      </c>
      <c r="I28900">
        <v>1393305</v>
      </c>
      <c r="J28900">
        <v>3</v>
      </c>
    </row>
    <row r="28901" spans="1:10" x14ac:dyDescent="0.25">
      <c r="A28901" t="s">
        <v>327</v>
      </c>
      <c r="B28901" s="1" t="str">
        <f>HYPERLINK("http://accu-check360estore.fi","accu-check360estore.fi")</f>
        <v>accu-check360estore.fi</v>
      </c>
      <c r="C28901" t="s">
        <v>445</v>
      </c>
      <c r="D28901" t="s">
        <v>823</v>
      </c>
      <c r="F28901">
        <v>4.44380395335525E-9</v>
      </c>
      <c r="G28901">
        <v>84768434</v>
      </c>
      <c r="H28901">
        <v>0</v>
      </c>
      <c r="I28901">
        <v>85880979</v>
      </c>
      <c r="J28901">
        <v>2</v>
      </c>
    </row>
    <row r="28902" spans="1:10" x14ac:dyDescent="0.25">
      <c r="A28902" t="s">
        <v>327</v>
      </c>
      <c r="B28902" s="1" t="str">
        <f>HYPERLINK("http://accu-chek.fi","accu-chek.fi")</f>
        <v>accu-chek.fi</v>
      </c>
      <c r="C28902" t="s">
        <v>445</v>
      </c>
      <c r="D28902" t="s">
        <v>823</v>
      </c>
      <c r="F28902">
        <v>1.3257522350153299E-8</v>
      </c>
      <c r="G28902">
        <v>4512311</v>
      </c>
      <c r="H28902">
        <v>14236218</v>
      </c>
      <c r="I28902">
        <v>1601667</v>
      </c>
      <c r="J28902">
        <v>2</v>
      </c>
    </row>
    <row r="28903" spans="1:10" x14ac:dyDescent="0.25">
      <c r="A28903" t="s">
        <v>327</v>
      </c>
      <c r="B28903" s="1" t="str">
        <f>HYPERLINK("http://accu-chek360.fi","accu-chek360.fi")</f>
        <v>accu-chek360.fi</v>
      </c>
      <c r="C28903" t="s">
        <v>445</v>
      </c>
      <c r="D28903" t="s">
        <v>823</v>
      </c>
      <c r="J28903">
        <v>2</v>
      </c>
    </row>
    <row r="28904" spans="1:10" x14ac:dyDescent="0.25">
      <c r="A28904" t="s">
        <v>327</v>
      </c>
      <c r="B28904" s="1" t="str">
        <f>HYPERLINK("http://accu-chek360estore.fi","accu-chek360estore.fi")</f>
        <v>accu-chek360estore.fi</v>
      </c>
      <c r="C28904" t="s">
        <v>445</v>
      </c>
      <c r="D28904" t="s">
        <v>823</v>
      </c>
      <c r="J28904">
        <v>4</v>
      </c>
    </row>
    <row r="28905" spans="1:10" x14ac:dyDescent="0.25">
      <c r="A28905" t="s">
        <v>327</v>
      </c>
      <c r="B28905" s="1" t="str">
        <f>HYPERLINK("http://accu-chekconnect.fi","accu-chekconnect.fi")</f>
        <v>accu-chekconnect.fi</v>
      </c>
      <c r="C28905" t="s">
        <v>445</v>
      </c>
      <c r="D28905" t="s">
        <v>823</v>
      </c>
      <c r="J28905">
        <v>2</v>
      </c>
    </row>
    <row r="28906" spans="1:10" x14ac:dyDescent="0.25">
      <c r="A28906" t="s">
        <v>327</v>
      </c>
      <c r="B28906" s="1" t="str">
        <f>HYPERLINK("http://avastin.fi","avastin.fi")</f>
        <v>avastin.fi</v>
      </c>
      <c r="C28906" t="s">
        <v>445</v>
      </c>
      <c r="D28906" t="s">
        <v>823</v>
      </c>
      <c r="J28906">
        <v>2</v>
      </c>
    </row>
    <row r="28907" spans="1:10" x14ac:dyDescent="0.25">
      <c r="A28907" t="s">
        <v>327</v>
      </c>
      <c r="B28907" s="1" t="str">
        <f>HYPERLINK("http://bevasitsumabi.fi","bevasitsumabi.fi")</f>
        <v>bevasitsumabi.fi</v>
      </c>
      <c r="C28907" t="s">
        <v>445</v>
      </c>
      <c r="D28907" t="s">
        <v>823</v>
      </c>
      <c r="J28907">
        <v>2</v>
      </c>
    </row>
    <row r="28908" spans="1:10" x14ac:dyDescent="0.25">
      <c r="A28908" t="s">
        <v>327</v>
      </c>
      <c r="B28908" s="1" t="str">
        <f>HYPERLINK("http://coaguchek.fi","coaguchek.fi")</f>
        <v>coaguchek.fi</v>
      </c>
      <c r="C28908" t="s">
        <v>445</v>
      </c>
      <c r="D28908" t="s">
        <v>823</v>
      </c>
      <c r="F28908">
        <v>4.7055097466732501E-9</v>
      </c>
      <c r="G28908">
        <v>40959186</v>
      </c>
      <c r="H28908">
        <v>10889068</v>
      </c>
      <c r="I28908">
        <v>36118919</v>
      </c>
      <c r="J28908">
        <v>2</v>
      </c>
    </row>
    <row r="28909" spans="1:10" x14ac:dyDescent="0.25">
      <c r="A28909" t="s">
        <v>327</v>
      </c>
      <c r="B28909" s="1" t="str">
        <f>HYPERLINK("http://coaguchekkauppa.fi","coaguchekkauppa.fi")</f>
        <v>coaguchekkauppa.fi</v>
      </c>
      <c r="C28909" t="s">
        <v>445</v>
      </c>
      <c r="D28909" t="s">
        <v>823</v>
      </c>
      <c r="F28909">
        <v>4.5779617031725999E-9</v>
      </c>
      <c r="G28909">
        <v>49473403</v>
      </c>
      <c r="H28909">
        <v>10596835</v>
      </c>
      <c r="I28909">
        <v>45085441</v>
      </c>
      <c r="J28909">
        <v>2</v>
      </c>
    </row>
    <row r="28910" spans="1:10" x14ac:dyDescent="0.25">
      <c r="A28910" t="s">
        <v>327</v>
      </c>
      <c r="B28910" s="1" t="str">
        <f>HYPERLINK("http://coaguclinic.fi","coaguclinic.fi")</f>
        <v>coaguclinic.fi</v>
      </c>
      <c r="C28910" t="s">
        <v>445</v>
      </c>
      <c r="D28910" t="s">
        <v>823</v>
      </c>
      <c r="J28910">
        <v>4</v>
      </c>
    </row>
    <row r="28911" spans="1:10" x14ac:dyDescent="0.25">
      <c r="A28911" t="s">
        <v>327</v>
      </c>
      <c r="B28911" s="1" t="str">
        <f>HYPERLINK("http://diagnoosiportaali.fi","diagnoosiportaali.fi")</f>
        <v>diagnoosiportaali.fi</v>
      </c>
      <c r="C28911" t="s">
        <v>445</v>
      </c>
      <c r="D28911" t="s">
        <v>823</v>
      </c>
      <c r="J28911">
        <v>4</v>
      </c>
    </row>
    <row r="28912" spans="1:10" x14ac:dyDescent="0.25">
      <c r="A28912" t="s">
        <v>327</v>
      </c>
      <c r="B28912" s="1" t="str">
        <f>HYPERLINK("http://diagnostiikkaportaali.fi","diagnostiikkaportaali.fi")</f>
        <v>diagnostiikkaportaali.fi</v>
      </c>
      <c r="C28912" t="s">
        <v>445</v>
      </c>
      <c r="D28912" t="s">
        <v>823</v>
      </c>
      <c r="J28912">
        <v>4</v>
      </c>
    </row>
    <row r="28913" spans="1:10" x14ac:dyDescent="0.25">
      <c r="A28913" t="s">
        <v>327</v>
      </c>
      <c r="B28913" s="1" t="str">
        <f>HYPERLINK("http://erivedge.fi","erivedge.fi")</f>
        <v>erivedge.fi</v>
      </c>
      <c r="C28913" t="s">
        <v>445</v>
      </c>
      <c r="D28913" t="s">
        <v>823</v>
      </c>
      <c r="J28913">
        <v>2</v>
      </c>
    </row>
    <row r="28914" spans="1:10" x14ac:dyDescent="0.25">
      <c r="A28914" t="s">
        <v>327</v>
      </c>
      <c r="B28914" s="1" t="str">
        <f>HYPERLINK("http://etamonitorointi.fi","etamonitorointi.fi")</f>
        <v>etamonitorointi.fi</v>
      </c>
      <c r="C28914" t="s">
        <v>445</v>
      </c>
      <c r="D28914" t="s">
        <v>823</v>
      </c>
      <c r="J28914">
        <v>2</v>
      </c>
    </row>
    <row r="28915" spans="1:10" x14ac:dyDescent="0.25">
      <c r="A28915" t="s">
        <v>327</v>
      </c>
      <c r="B28915" s="1" t="str">
        <f>HYPERLINK("http://etaseuranta.fi","etaseuranta.fi")</f>
        <v>etaseuranta.fi</v>
      </c>
      <c r="C28915" t="s">
        <v>445</v>
      </c>
      <c r="D28915" t="s">
        <v>823</v>
      </c>
      <c r="J28915">
        <v>2</v>
      </c>
    </row>
    <row r="28916" spans="1:10" x14ac:dyDescent="0.25">
      <c r="A28916" t="s">
        <v>327</v>
      </c>
      <c r="B28916" s="1" t="str">
        <f>HYPERLINK("http://foundationheme.fi","foundationheme.fi")</f>
        <v>foundationheme.fi</v>
      </c>
      <c r="C28916" t="s">
        <v>445</v>
      </c>
      <c r="D28916" t="s">
        <v>823</v>
      </c>
      <c r="J28916">
        <v>2</v>
      </c>
    </row>
    <row r="28917" spans="1:10" x14ac:dyDescent="0.25">
      <c r="A28917" t="s">
        <v>327</v>
      </c>
      <c r="B28917" s="1" t="str">
        <f>HYPERLINK("http://foundationmedicine.fi","foundationmedicine.fi")</f>
        <v>foundationmedicine.fi</v>
      </c>
      <c r="C28917" t="s">
        <v>445</v>
      </c>
      <c r="D28917" t="s">
        <v>823</v>
      </c>
      <c r="F28917">
        <v>1.19179879538889E-8</v>
      </c>
      <c r="G28917">
        <v>5226254</v>
      </c>
      <c r="H28917">
        <v>12990608</v>
      </c>
      <c r="I28917">
        <v>12856162</v>
      </c>
      <c r="J28917">
        <v>2</v>
      </c>
    </row>
    <row r="28918" spans="1:10" x14ac:dyDescent="0.25">
      <c r="A28918" t="s">
        <v>327</v>
      </c>
      <c r="B28918" s="1" t="str">
        <f>HYPERLINK("http://foundationone.fi","foundationone.fi")</f>
        <v>foundationone.fi</v>
      </c>
      <c r="C28918" t="s">
        <v>445</v>
      </c>
      <c r="D28918" t="s">
        <v>823</v>
      </c>
      <c r="F28918">
        <v>4.44380395335525E-9</v>
      </c>
      <c r="G28918">
        <v>84771855</v>
      </c>
      <c r="H28918">
        <v>0</v>
      </c>
      <c r="I28918">
        <v>85885128</v>
      </c>
      <c r="J28918">
        <v>2</v>
      </c>
    </row>
    <row r="28919" spans="1:10" x14ac:dyDescent="0.25">
      <c r="A28919" t="s">
        <v>327</v>
      </c>
      <c r="B28919" s="1" t="str">
        <f>HYPERLINK("http://haimasyopa.fi","haimasyopa.fi")</f>
        <v>haimasyopa.fi</v>
      </c>
      <c r="C28919" t="s">
        <v>445</v>
      </c>
      <c r="D28919" t="s">
        <v>823</v>
      </c>
      <c r="J28919">
        <v>2</v>
      </c>
    </row>
    <row r="28920" spans="1:10" x14ac:dyDescent="0.25">
      <c r="A28920" t="s">
        <v>327</v>
      </c>
      <c r="B28920" s="1" t="str">
        <f>HYPERLINK("http://haimasyp.fi","haimasyp.fi")</f>
        <v>haimasyp.fi</v>
      </c>
      <c r="C28920" t="s">
        <v>445</v>
      </c>
      <c r="D28920" t="s">
        <v>823</v>
      </c>
      <c r="J28920">
        <v>2</v>
      </c>
    </row>
    <row r="28921" spans="1:10" x14ac:dyDescent="0.25">
      <c r="A28921" t="s">
        <v>327</v>
      </c>
      <c r="B28921" s="1" t="str">
        <f>HYPERLINK("http://happisovellus.fi","happisovellus.fi")</f>
        <v>happisovellus.fi</v>
      </c>
      <c r="C28921" t="s">
        <v>445</v>
      </c>
      <c r="D28921" t="s">
        <v>823</v>
      </c>
      <c r="F28921">
        <v>4.44380395335525E-9</v>
      </c>
      <c r="G28921">
        <v>84772424</v>
      </c>
      <c r="H28921">
        <v>0</v>
      </c>
      <c r="I28921">
        <v>85885791</v>
      </c>
      <c r="J28921">
        <v>4</v>
      </c>
    </row>
    <row r="28922" spans="1:10" x14ac:dyDescent="0.25">
      <c r="A28922" t="s">
        <v>327</v>
      </c>
      <c r="B28922" s="1" t="str">
        <f>HYPERLINK("http://harmanperantk.fi","harmanperantk.fi")</f>
        <v>harmanperantk.fi</v>
      </c>
      <c r="C28922" t="s">
        <v>445</v>
      </c>
      <c r="D28922" t="s">
        <v>823</v>
      </c>
      <c r="J28922">
        <v>4</v>
      </c>
    </row>
    <row r="28923" spans="1:10" x14ac:dyDescent="0.25">
      <c r="A28923" t="s">
        <v>327</v>
      </c>
      <c r="B28923" s="1" t="str">
        <f>HYPERLINK("http://hemlibra.fi","hemlibra.fi")</f>
        <v>hemlibra.fi</v>
      </c>
      <c r="C28923" t="s">
        <v>445</v>
      </c>
      <c r="D28923" t="s">
        <v>823</v>
      </c>
      <c r="F28923">
        <v>4.44380395335525E-9</v>
      </c>
      <c r="G28923">
        <v>84772687</v>
      </c>
      <c r="H28923">
        <v>0</v>
      </c>
      <c r="I28923">
        <v>85886110</v>
      </c>
      <c r="J28923">
        <v>2</v>
      </c>
    </row>
    <row r="28924" spans="1:10" x14ac:dyDescent="0.25">
      <c r="A28924" t="s">
        <v>327</v>
      </c>
      <c r="B28924" s="1" t="str">
        <f>HYPERLINK("http://her2.fi","her2.fi")</f>
        <v>her2.fi</v>
      </c>
      <c r="C28924" t="s">
        <v>445</v>
      </c>
      <c r="D28924" t="s">
        <v>823</v>
      </c>
      <c r="J28924">
        <v>2</v>
      </c>
    </row>
    <row r="28925" spans="1:10" x14ac:dyDescent="0.25">
      <c r="A28925" t="s">
        <v>327</v>
      </c>
      <c r="B28925" s="1" t="str">
        <f>HYPERLINK("http://herceptin.fi","herceptin.fi")</f>
        <v>herceptin.fi</v>
      </c>
      <c r="C28925" t="s">
        <v>445</v>
      </c>
      <c r="D28925" t="s">
        <v>823</v>
      </c>
      <c r="J28925">
        <v>2</v>
      </c>
    </row>
    <row r="28926" spans="1:10" x14ac:dyDescent="0.25">
      <c r="A28926" t="s">
        <v>327</v>
      </c>
      <c r="B28926" s="1" t="str">
        <f>HYPERLINK("http://hoidams.fi","hoidams.fi")</f>
        <v>hoidams.fi</v>
      </c>
      <c r="C28926" t="s">
        <v>445</v>
      </c>
      <c r="D28926" t="s">
        <v>823</v>
      </c>
      <c r="J28926">
        <v>2</v>
      </c>
    </row>
    <row r="28927" spans="1:10" x14ac:dyDescent="0.25">
      <c r="A28927" t="s">
        <v>327</v>
      </c>
      <c r="B28927" s="1" t="str">
        <f>HYPERLINK("http://hospoc.fi","hospoc.fi")</f>
        <v>hospoc.fi</v>
      </c>
      <c r="C28927" t="s">
        <v>445</v>
      </c>
      <c r="D28927" t="s">
        <v>823</v>
      </c>
      <c r="J28927">
        <v>4</v>
      </c>
    </row>
    <row r="28928" spans="1:10" x14ac:dyDescent="0.25">
      <c r="A28928" t="s">
        <v>327</v>
      </c>
      <c r="B28928" s="1" t="str">
        <f>HYPERLINK("http://hpv-dna.fi","hpv-dna.fi")</f>
        <v>hpv-dna.fi</v>
      </c>
      <c r="C28928" t="s">
        <v>445</v>
      </c>
      <c r="D28928" t="s">
        <v>823</v>
      </c>
      <c r="J28928">
        <v>4</v>
      </c>
    </row>
    <row r="28929" spans="1:10" x14ac:dyDescent="0.25">
      <c r="A28929" t="s">
        <v>327</v>
      </c>
      <c r="B28929" s="1" t="str">
        <f>HYPERLINK("http://hpv-dna-testi.fi","hpv-dna-testi.fi")</f>
        <v>hpv-dna-testi.fi</v>
      </c>
      <c r="C28929" t="s">
        <v>445</v>
      </c>
      <c r="D28929" t="s">
        <v>823</v>
      </c>
      <c r="J28929">
        <v>4</v>
      </c>
    </row>
    <row r="28930" spans="1:10" x14ac:dyDescent="0.25">
      <c r="A28930" t="s">
        <v>327</v>
      </c>
      <c r="B28930" s="1" t="str">
        <f>HYPERLINK("http://hpv16and18.fi","hpv16and18.fi")</f>
        <v>hpv16and18.fi</v>
      </c>
      <c r="C28930" t="s">
        <v>445</v>
      </c>
      <c r="D28930" t="s">
        <v>823</v>
      </c>
      <c r="J28930">
        <v>4</v>
      </c>
    </row>
    <row r="28931" spans="1:10" x14ac:dyDescent="0.25">
      <c r="A28931" t="s">
        <v>327</v>
      </c>
      <c r="B28931" s="1" t="str">
        <f>HYPERLINK("http://hpv16ja18.fi","hpv16ja18.fi")</f>
        <v>hpv16ja18.fi</v>
      </c>
      <c r="C28931" t="s">
        <v>445</v>
      </c>
      <c r="D28931" t="s">
        <v>823</v>
      </c>
      <c r="J28931">
        <v>4</v>
      </c>
    </row>
    <row r="28932" spans="1:10" x14ac:dyDescent="0.25">
      <c r="A28932" t="s">
        <v>327</v>
      </c>
      <c r="B28932" s="1" t="str">
        <f>HYPERLINK("http://hpvtesti.fi","hpvtesti.fi")</f>
        <v>hpvtesti.fi</v>
      </c>
      <c r="C28932" t="s">
        <v>445</v>
      </c>
      <c r="D28932" t="s">
        <v>823</v>
      </c>
      <c r="J28932">
        <v>4</v>
      </c>
    </row>
    <row r="28933" spans="1:10" x14ac:dyDescent="0.25">
      <c r="A28933" t="s">
        <v>327</v>
      </c>
      <c r="B28933" s="1" t="str">
        <f>HYPERLINK("http://idiopaattinenkeuhkofibroosi.fi","idiopaattinenkeuhkofibroosi.fi")</f>
        <v>idiopaattinenkeuhkofibroosi.fi</v>
      </c>
      <c r="C28933" t="s">
        <v>445</v>
      </c>
      <c r="D28933" t="s">
        <v>823</v>
      </c>
      <c r="J28933">
        <v>2</v>
      </c>
    </row>
    <row r="28934" spans="1:10" x14ac:dyDescent="0.25">
      <c r="A28934" t="s">
        <v>327</v>
      </c>
      <c r="B28934" s="1" t="str">
        <f>HYPERLINK("http://ihosyopa.fi","ihosyopa.fi")</f>
        <v>ihosyopa.fi</v>
      </c>
      <c r="C28934" t="s">
        <v>445</v>
      </c>
      <c r="D28934" t="s">
        <v>823</v>
      </c>
      <c r="J28934">
        <v>2</v>
      </c>
    </row>
    <row r="28935" spans="1:10" x14ac:dyDescent="0.25">
      <c r="A28935" t="s">
        <v>327</v>
      </c>
      <c r="B28935" s="1" t="str">
        <f>HYPERLINK("http://imukudossyp.fi","imukudossyp.fi")</f>
        <v>imukudossyp.fi</v>
      </c>
      <c r="C28935" t="s">
        <v>445</v>
      </c>
      <c r="D28935" t="s">
        <v>823</v>
      </c>
      <c r="J28935">
        <v>2</v>
      </c>
    </row>
    <row r="28936" spans="1:10" x14ac:dyDescent="0.25">
      <c r="A28936" t="s">
        <v>327</v>
      </c>
      <c r="B28936" s="1" t="str">
        <f>HYPERLINK("http://intermune.fi","intermune.fi")</f>
        <v>intermune.fi</v>
      </c>
      <c r="C28936" t="s">
        <v>445</v>
      </c>
      <c r="D28936" t="s">
        <v>823</v>
      </c>
      <c r="J28936">
        <v>2</v>
      </c>
    </row>
    <row r="28937" spans="1:10" x14ac:dyDescent="0.25">
      <c r="A28937" t="s">
        <v>327</v>
      </c>
      <c r="B28937" s="1" t="str">
        <f>HYPERLINK("http://kestvterveydenhoito.fi","kestvterveydenhoito.fi")</f>
        <v>kestvterveydenhoito.fi</v>
      </c>
      <c r="C28937" t="s">
        <v>445</v>
      </c>
      <c r="D28937" t="s">
        <v>823</v>
      </c>
      <c r="J28937">
        <v>2</v>
      </c>
    </row>
    <row r="28938" spans="1:10" x14ac:dyDescent="0.25">
      <c r="A28938" t="s">
        <v>327</v>
      </c>
      <c r="B28938" s="1" t="str">
        <f>HYPERLINK("http://keuhkofibroosi.fi","keuhkofibroosi.fi")</f>
        <v>keuhkofibroosi.fi</v>
      </c>
      <c r="C28938" t="s">
        <v>445</v>
      </c>
      <c r="D28938" t="s">
        <v>823</v>
      </c>
      <c r="F28938">
        <v>4.8229850035297498E-9</v>
      </c>
      <c r="G28938">
        <v>35107221</v>
      </c>
      <c r="H28938">
        <v>11417665</v>
      </c>
      <c r="I28938">
        <v>30177779</v>
      </c>
      <c r="J28938">
        <v>2</v>
      </c>
    </row>
    <row r="28939" spans="1:10" x14ac:dyDescent="0.25">
      <c r="A28939" t="s">
        <v>327</v>
      </c>
      <c r="B28939" s="1" t="str">
        <f>HYPERLINK("http://keuhkosyopa.fi","keuhkosyopa.fi")</f>
        <v>keuhkosyopa.fi</v>
      </c>
      <c r="C28939" t="s">
        <v>445</v>
      </c>
      <c r="D28939" t="s">
        <v>823</v>
      </c>
      <c r="F28939">
        <v>5.5966181599576303E-9</v>
      </c>
      <c r="G28939">
        <v>19890699</v>
      </c>
      <c r="H28939">
        <v>14071794</v>
      </c>
      <c r="I28939">
        <v>3350087</v>
      </c>
      <c r="J28939">
        <v>2</v>
      </c>
    </row>
    <row r="28940" spans="1:10" x14ac:dyDescent="0.25">
      <c r="A28940" t="s">
        <v>327</v>
      </c>
      <c r="B28940" s="1" t="str">
        <f>HYPERLINK("http://keuhkosyp.fi","keuhkosyp.fi")</f>
        <v>keuhkosyp.fi</v>
      </c>
      <c r="C28940" t="s">
        <v>445</v>
      </c>
      <c r="D28940" t="s">
        <v>823</v>
      </c>
      <c r="J28940">
        <v>2</v>
      </c>
    </row>
    <row r="28941" spans="1:10" x14ac:dyDescent="0.25">
      <c r="A28941" t="s">
        <v>327</v>
      </c>
      <c r="B28941" s="1" t="str">
        <f>HYPERLINK("http://keystocancer.fi","keystocancer.fi")</f>
        <v>keystocancer.fi</v>
      </c>
      <c r="C28941" t="s">
        <v>445</v>
      </c>
      <c r="D28941" t="s">
        <v>823</v>
      </c>
      <c r="J28941">
        <v>2</v>
      </c>
    </row>
    <row r="28942" spans="1:10" x14ac:dyDescent="0.25">
      <c r="A28942" t="s">
        <v>327</v>
      </c>
      <c r="B28942" s="1" t="str">
        <f>HYPERLINK("http://kohdunkaulasyopa.fi","kohdunkaulasyopa.fi")</f>
        <v>kohdunkaulasyopa.fi</v>
      </c>
      <c r="C28942" t="s">
        <v>445</v>
      </c>
      <c r="D28942" t="s">
        <v>823</v>
      </c>
      <c r="J28942">
        <v>4</v>
      </c>
    </row>
    <row r="28943" spans="1:10" x14ac:dyDescent="0.25">
      <c r="A28943" t="s">
        <v>327</v>
      </c>
      <c r="B28943" s="1" t="str">
        <f>HYPERLINK("http://kohdunkaulasyp.fi","kohdunkaulasyp.fi")</f>
        <v>kohdunkaulasyp.fi</v>
      </c>
      <c r="C28943" t="s">
        <v>445</v>
      </c>
      <c r="D28943" t="s">
        <v>823</v>
      </c>
      <c r="J28943">
        <v>4</v>
      </c>
    </row>
    <row r="28944" spans="1:10" x14ac:dyDescent="0.25">
      <c r="A28944" t="s">
        <v>327</v>
      </c>
      <c r="B28944" s="1" t="str">
        <f>HYPERLINK("http://kohtaaipf.fi","kohtaaipf.fi")</f>
        <v>kohtaaipf.fi</v>
      </c>
      <c r="C28944" t="s">
        <v>445</v>
      </c>
      <c r="D28944" t="s">
        <v>823</v>
      </c>
      <c r="J28944">
        <v>2</v>
      </c>
    </row>
    <row r="28945" spans="1:10" x14ac:dyDescent="0.25">
      <c r="A28945" t="s">
        <v>327</v>
      </c>
      <c r="B28945" s="1" t="str">
        <f>HYPERLINK("http://kolorektaalisyopa.fi","kolorektaalisyopa.fi")</f>
        <v>kolorektaalisyopa.fi</v>
      </c>
      <c r="C28945" t="s">
        <v>445</v>
      </c>
      <c r="D28945" t="s">
        <v>823</v>
      </c>
      <c r="J28945">
        <v>2</v>
      </c>
    </row>
    <row r="28946" spans="1:10" x14ac:dyDescent="0.25">
      <c r="A28946" t="s">
        <v>327</v>
      </c>
      <c r="B28946" s="1" t="str">
        <f>HYPERLINK("http://kolorektaalisyp.fi","kolorektaalisyp.fi")</f>
        <v>kolorektaalisyp.fi</v>
      </c>
      <c r="C28946" t="s">
        <v>445</v>
      </c>
      <c r="D28946" t="s">
        <v>823</v>
      </c>
      <c r="J28946">
        <v>2</v>
      </c>
    </row>
    <row r="28947" spans="1:10" x14ac:dyDescent="0.25">
      <c r="A28947" t="s">
        <v>327</v>
      </c>
      <c r="B28947" s="1" t="str">
        <f>HYPERLINK("http://koronatestinetista.fi","koronatestinetista.fi")</f>
        <v>koronatestinetista.fi</v>
      </c>
      <c r="C28947" t="s">
        <v>445</v>
      </c>
      <c r="D28947" t="s">
        <v>823</v>
      </c>
      <c r="J28947">
        <v>2</v>
      </c>
    </row>
    <row r="28948" spans="1:10" x14ac:dyDescent="0.25">
      <c r="A28948" t="s">
        <v>327</v>
      </c>
      <c r="B28948" s="1" t="str">
        <f>HYPERLINK("http://koronatestiverkkokauppa.fi","koronatestiverkkokauppa.fi")</f>
        <v>koronatestiverkkokauppa.fi</v>
      </c>
      <c r="C28948" t="s">
        <v>445</v>
      </c>
      <c r="D28948" t="s">
        <v>823</v>
      </c>
      <c r="J28948">
        <v>2</v>
      </c>
    </row>
    <row r="28949" spans="1:10" x14ac:dyDescent="0.25">
      <c r="A28949" t="s">
        <v>327</v>
      </c>
      <c r="B28949" s="1" t="str">
        <f>HYPERLINK("http://krooninenlymfaattinenleukemia.fi","krooninenlymfaattinenleukemia.fi")</f>
        <v>krooninenlymfaattinenleukemia.fi</v>
      </c>
      <c r="C28949" t="s">
        <v>445</v>
      </c>
      <c r="D28949" t="s">
        <v>823</v>
      </c>
      <c r="F28949">
        <v>4.6693448410720397E-9</v>
      </c>
      <c r="G28949">
        <v>42960330</v>
      </c>
      <c r="H28949">
        <v>13763633</v>
      </c>
      <c r="I28949">
        <v>9128699</v>
      </c>
      <c r="J28949">
        <v>2</v>
      </c>
    </row>
    <row r="28950" spans="1:10" x14ac:dyDescent="0.25">
      <c r="A28950" t="s">
        <v>327</v>
      </c>
      <c r="B28950" s="1" t="str">
        <f>HYPERLINK("http://laboratorioportaali.fi","laboratorioportaali.fi")</f>
        <v>laboratorioportaali.fi</v>
      </c>
      <c r="C28950" t="s">
        <v>445</v>
      </c>
      <c r="D28950" t="s">
        <v>823</v>
      </c>
      <c r="J28950">
        <v>4</v>
      </c>
    </row>
    <row r="28951" spans="1:10" x14ac:dyDescent="0.25">
      <c r="A28951" t="s">
        <v>327</v>
      </c>
      <c r="B28951" s="1" t="str">
        <f>HYPERLINK("http://labraportaali.fi","labraportaali.fi")</f>
        <v>labraportaali.fi</v>
      </c>
      <c r="C28951" t="s">
        <v>445</v>
      </c>
      <c r="D28951" t="s">
        <v>823</v>
      </c>
      <c r="J28951">
        <v>4</v>
      </c>
    </row>
    <row r="28952" spans="1:10" x14ac:dyDescent="0.25">
      <c r="A28952" t="s">
        <v>327</v>
      </c>
      <c r="B28952" s="1" t="str">
        <f>HYPERLINK("http://life-in-range.fi","life-in-range.fi")</f>
        <v>life-in-range.fi</v>
      </c>
      <c r="C28952" t="s">
        <v>445</v>
      </c>
      <c r="D28952" t="s">
        <v>823</v>
      </c>
      <c r="J28952">
        <v>4</v>
      </c>
    </row>
    <row r="28953" spans="1:10" x14ac:dyDescent="0.25">
      <c r="A28953" t="s">
        <v>327</v>
      </c>
      <c r="B28953" s="1" t="str">
        <f>HYPERLINK("http://lifeinrange.fi","lifeinrange.fi")</f>
        <v>lifeinrange.fi</v>
      </c>
      <c r="C28953" t="s">
        <v>445</v>
      </c>
      <c r="D28953" t="s">
        <v>823</v>
      </c>
      <c r="J28953">
        <v>4</v>
      </c>
    </row>
    <row r="28954" spans="1:10" x14ac:dyDescent="0.25">
      <c r="A28954" t="s">
        <v>327</v>
      </c>
      <c r="B28954" s="1" t="str">
        <f>HYPERLINK("http://lisaaaikaa.fi","lisaaaikaa.fi")</f>
        <v>lisaaaikaa.fi</v>
      </c>
      <c r="C28954" t="s">
        <v>445</v>
      </c>
      <c r="D28954" t="s">
        <v>823</v>
      </c>
      <c r="F28954">
        <v>4.7989611705153403E-9</v>
      </c>
      <c r="G28954">
        <v>36127995</v>
      </c>
      <c r="H28954">
        <v>10597376</v>
      </c>
      <c r="I28954">
        <v>45054780</v>
      </c>
      <c r="J28954">
        <v>2</v>
      </c>
    </row>
    <row r="28955" spans="1:10" x14ac:dyDescent="0.25">
      <c r="A28955" t="s">
        <v>327</v>
      </c>
      <c r="B28955" s="1" t="str">
        <f>HYPERLINK("http://live-in-range.fi","live-in-range.fi")</f>
        <v>live-in-range.fi</v>
      </c>
      <c r="C28955" t="s">
        <v>445</v>
      </c>
      <c r="D28955" t="s">
        <v>823</v>
      </c>
      <c r="J28955">
        <v>4</v>
      </c>
    </row>
    <row r="28956" spans="1:10" x14ac:dyDescent="0.25">
      <c r="A28956" t="s">
        <v>327</v>
      </c>
      <c r="B28956" s="1" t="str">
        <f>HYPERLINK("http://liveinrange.fi","liveinrange.fi")</f>
        <v>liveinrange.fi</v>
      </c>
      <c r="C28956" t="s">
        <v>445</v>
      </c>
      <c r="D28956" t="s">
        <v>823</v>
      </c>
      <c r="J28956">
        <v>4</v>
      </c>
    </row>
    <row r="28957" spans="1:10" x14ac:dyDescent="0.25">
      <c r="A28957" t="s">
        <v>327</v>
      </c>
      <c r="B28957" s="1" t="str">
        <f>HYPERLINK("http://lymfooma.fi","lymfooma.fi")</f>
        <v>lymfooma.fi</v>
      </c>
      <c r="C28957" t="s">
        <v>445</v>
      </c>
      <c r="D28957" t="s">
        <v>823</v>
      </c>
      <c r="F28957">
        <v>5.14188960554865E-9</v>
      </c>
      <c r="G28957">
        <v>26231896</v>
      </c>
      <c r="H28957">
        <v>14236065</v>
      </c>
      <c r="I28957">
        <v>1660492</v>
      </c>
      <c r="J28957">
        <v>2</v>
      </c>
    </row>
    <row r="28958" spans="1:10" x14ac:dyDescent="0.25">
      <c r="A28958" t="s">
        <v>327</v>
      </c>
      <c r="B28958" s="1" t="str">
        <f>HYPERLINK("http://maksasolusyopa.fi","maksasolusyopa.fi")</f>
        <v>maksasolusyopa.fi</v>
      </c>
      <c r="C28958" t="s">
        <v>445</v>
      </c>
      <c r="D28958" t="s">
        <v>823</v>
      </c>
      <c r="J28958">
        <v>2</v>
      </c>
    </row>
    <row r="28959" spans="1:10" x14ac:dyDescent="0.25">
      <c r="A28959" t="s">
        <v>327</v>
      </c>
      <c r="B28959" s="1" t="str">
        <f>HYPERLINK("http://maksasolusyp.fi","maksasolusyp.fi")</f>
        <v>maksasolusyp.fi</v>
      </c>
      <c r="C28959" t="s">
        <v>445</v>
      </c>
      <c r="D28959" t="s">
        <v>823</v>
      </c>
      <c r="J28959">
        <v>2</v>
      </c>
    </row>
    <row r="28960" spans="1:10" x14ac:dyDescent="0.25">
      <c r="A28960" t="s">
        <v>327</v>
      </c>
      <c r="B28960" s="1" t="str">
        <f>HYPERLINK("http://muistisairaudet.fi","muistisairaudet.fi")</f>
        <v>muistisairaudet.fi</v>
      </c>
      <c r="C28960" t="s">
        <v>445</v>
      </c>
      <c r="D28960" t="s">
        <v>823</v>
      </c>
      <c r="J28960">
        <v>2</v>
      </c>
    </row>
    <row r="28961" spans="1:10" x14ac:dyDescent="0.25">
      <c r="A28961" t="s">
        <v>327</v>
      </c>
      <c r="B28961" s="1" t="str">
        <f>HYPERLINK("http://munasarjasyopa.fi","munasarjasyopa.fi")</f>
        <v>munasarjasyopa.fi</v>
      </c>
      <c r="C28961" t="s">
        <v>445</v>
      </c>
      <c r="D28961" t="s">
        <v>823</v>
      </c>
      <c r="J28961">
        <v>2</v>
      </c>
    </row>
    <row r="28962" spans="1:10" x14ac:dyDescent="0.25">
      <c r="A28962" t="s">
        <v>327</v>
      </c>
      <c r="B28962" s="1" t="str">
        <f>HYPERLINK("http://munasarjasyp.fi","munasarjasyp.fi")</f>
        <v>munasarjasyp.fi</v>
      </c>
      <c r="C28962" t="s">
        <v>445</v>
      </c>
      <c r="D28962" t="s">
        <v>823</v>
      </c>
      <c r="J28962">
        <v>2</v>
      </c>
    </row>
    <row r="28963" spans="1:10" x14ac:dyDescent="0.25">
      <c r="A28963" t="s">
        <v>327</v>
      </c>
      <c r="B28963" s="1" t="str">
        <f>HYPERLINK("http://munuaissyopa.fi","munuaissyopa.fi")</f>
        <v>munuaissyopa.fi</v>
      </c>
      <c r="C28963" t="s">
        <v>445</v>
      </c>
      <c r="D28963" t="s">
        <v>823</v>
      </c>
      <c r="J28963">
        <v>2</v>
      </c>
    </row>
    <row r="28964" spans="1:10" x14ac:dyDescent="0.25">
      <c r="A28964" t="s">
        <v>327</v>
      </c>
      <c r="B28964" s="1" t="str">
        <f>HYPERLINK("http://nivelreumanhoito.fi","nivelreumanhoito.fi")</f>
        <v>nivelreumanhoito.fi</v>
      </c>
      <c r="C28964" t="s">
        <v>445</v>
      </c>
      <c r="D28964" t="s">
        <v>823</v>
      </c>
      <c r="J28964">
        <v>2</v>
      </c>
    </row>
    <row r="28965" spans="1:10" x14ac:dyDescent="0.25">
      <c r="A28965" t="s">
        <v>327</v>
      </c>
      <c r="B28965" s="1" t="str">
        <f>HYPERLINK("http://ovariosyopa.fi","ovariosyopa.fi")</f>
        <v>ovariosyopa.fi</v>
      </c>
      <c r="C28965" t="s">
        <v>445</v>
      </c>
      <c r="D28965" t="s">
        <v>823</v>
      </c>
      <c r="J28965">
        <v>2</v>
      </c>
    </row>
    <row r="28966" spans="1:10" x14ac:dyDescent="0.25">
      <c r="A28966" t="s">
        <v>327</v>
      </c>
      <c r="B28966" s="1" t="str">
        <f>HYPERLINK("http://paksusuolensyopa.fi","paksusuolensyopa.fi")</f>
        <v>paksusuolensyopa.fi</v>
      </c>
      <c r="C28966" t="s">
        <v>445</v>
      </c>
      <c r="D28966" t="s">
        <v>823</v>
      </c>
      <c r="J28966">
        <v>2</v>
      </c>
    </row>
    <row r="28967" spans="1:10" x14ac:dyDescent="0.25">
      <c r="A28967" t="s">
        <v>327</v>
      </c>
      <c r="B28967" s="1" t="str">
        <f>HYPERLINK("http://paksusuolensyp.fi","paksusuolensyp.fi")</f>
        <v>paksusuolensyp.fi</v>
      </c>
      <c r="C28967" t="s">
        <v>445</v>
      </c>
      <c r="D28967" t="s">
        <v>823</v>
      </c>
      <c r="J28967">
        <v>2</v>
      </c>
    </row>
    <row r="28968" spans="1:10" x14ac:dyDescent="0.25">
      <c r="A28968" t="s">
        <v>327</v>
      </c>
      <c r="B28968" s="1" t="str">
        <f>HYPERLINK("http://paksusuolisyopa.fi","paksusuolisyopa.fi")</f>
        <v>paksusuolisyopa.fi</v>
      </c>
      <c r="C28968" t="s">
        <v>445</v>
      </c>
      <c r="D28968" t="s">
        <v>823</v>
      </c>
      <c r="J28968">
        <v>2</v>
      </c>
    </row>
    <row r="28969" spans="1:10" x14ac:dyDescent="0.25">
      <c r="A28969" t="s">
        <v>327</v>
      </c>
      <c r="B28969" s="1" t="str">
        <f>HYPERLINK("http://paksusuolisyp.fi","paksusuolisyp.fi")</f>
        <v>paksusuolisyp.fi</v>
      </c>
      <c r="C28969" t="s">
        <v>445</v>
      </c>
      <c r="D28969" t="s">
        <v>823</v>
      </c>
      <c r="J28969">
        <v>2</v>
      </c>
    </row>
    <row r="28970" spans="1:10" x14ac:dyDescent="0.25">
      <c r="A28970" t="s">
        <v>327</v>
      </c>
      <c r="B28970" s="1" t="str">
        <f>HYPERLINK("http://papillooma.fi","papillooma.fi")</f>
        <v>papillooma.fi</v>
      </c>
      <c r="C28970" t="s">
        <v>445</v>
      </c>
      <c r="D28970" t="s">
        <v>823</v>
      </c>
      <c r="J28970">
        <v>4</v>
      </c>
    </row>
    <row r="28971" spans="1:10" x14ac:dyDescent="0.25">
      <c r="A28971" t="s">
        <v>327</v>
      </c>
      <c r="B28971" s="1" t="str">
        <f>HYPERLINK("http://papilloomavirus.fi","papilloomavirus.fi")</f>
        <v>papilloomavirus.fi</v>
      </c>
      <c r="C28971" t="s">
        <v>445</v>
      </c>
      <c r="D28971" t="s">
        <v>823</v>
      </c>
      <c r="J28971">
        <v>4</v>
      </c>
    </row>
    <row r="28972" spans="1:10" x14ac:dyDescent="0.25">
      <c r="A28972" t="s">
        <v>327</v>
      </c>
      <c r="B28972" s="1" t="str">
        <f>HYPERLINK("http://poct.fi","poct.fi")</f>
        <v>poct.fi</v>
      </c>
      <c r="C28972" t="s">
        <v>445</v>
      </c>
      <c r="D28972" t="s">
        <v>823</v>
      </c>
      <c r="J28972">
        <v>4</v>
      </c>
    </row>
    <row r="28973" spans="1:10" x14ac:dyDescent="0.25">
      <c r="A28973" t="s">
        <v>327</v>
      </c>
      <c r="B28973" s="1" t="str">
        <f>HYPERLINK("http://potilaanpolku.fi","potilaanpolku.fi")</f>
        <v>potilaanpolku.fi</v>
      </c>
      <c r="C28973" t="s">
        <v>445</v>
      </c>
      <c r="D28973" t="s">
        <v>823</v>
      </c>
      <c r="J28973">
        <v>2</v>
      </c>
    </row>
    <row r="28974" spans="1:10" x14ac:dyDescent="0.25">
      <c r="A28974" t="s">
        <v>327</v>
      </c>
      <c r="B28974" s="1" t="str">
        <f>HYPERLINK("http://rakkosyp.fi","rakkosyp.fi")</f>
        <v>rakkosyp.fi</v>
      </c>
      <c r="C28974" t="s">
        <v>445</v>
      </c>
      <c r="D28974" t="s">
        <v>823</v>
      </c>
      <c r="J28974">
        <v>2</v>
      </c>
    </row>
    <row r="28975" spans="1:10" x14ac:dyDescent="0.25">
      <c r="A28975" t="s">
        <v>327</v>
      </c>
      <c r="B28975" s="1" t="str">
        <f>HYPERLINK("http://raskausmyrkytys.fi","raskausmyrkytys.fi")</f>
        <v>raskausmyrkytys.fi</v>
      </c>
      <c r="C28975" t="s">
        <v>445</v>
      </c>
      <c r="D28975" t="s">
        <v>823</v>
      </c>
      <c r="J28975">
        <v>4</v>
      </c>
    </row>
    <row r="28976" spans="1:10" x14ac:dyDescent="0.25">
      <c r="A28976" t="s">
        <v>327</v>
      </c>
      <c r="B28976" s="1" t="str">
        <f>HYPERLINK("http://rintasyopa.fi","rintasyopa.fi")</f>
        <v>rintasyopa.fi</v>
      </c>
      <c r="C28976" t="s">
        <v>445</v>
      </c>
      <c r="D28976" t="s">
        <v>823</v>
      </c>
      <c r="F28976">
        <v>6.4498841156858401E-9</v>
      </c>
      <c r="G28976">
        <v>14294819</v>
      </c>
      <c r="H28976">
        <v>14236077</v>
      </c>
      <c r="I28976">
        <v>1613845</v>
      </c>
      <c r="J28976">
        <v>2</v>
      </c>
    </row>
    <row r="28977" spans="1:10" x14ac:dyDescent="0.25">
      <c r="A28977" t="s">
        <v>327</v>
      </c>
      <c r="B28977" s="1" t="str">
        <f>HYPERLINK("http://rintasyp.fi","rintasyp.fi")</f>
        <v>rintasyp.fi</v>
      </c>
      <c r="C28977" t="s">
        <v>445</v>
      </c>
      <c r="D28977" t="s">
        <v>823</v>
      </c>
      <c r="J28977">
        <v>2</v>
      </c>
    </row>
    <row r="28978" spans="1:10" x14ac:dyDescent="0.25">
      <c r="A28978" t="s">
        <v>327</v>
      </c>
      <c r="B28978" s="1" t="str">
        <f>HYPERLINK("http://roche.fi","roche.fi")</f>
        <v>roche.fi</v>
      </c>
      <c r="C28978" t="s">
        <v>445</v>
      </c>
      <c r="D28978" t="s">
        <v>823</v>
      </c>
      <c r="F28978">
        <v>2.6515884669782899E-8</v>
      </c>
      <c r="G28978">
        <v>1941727</v>
      </c>
      <c r="H28978">
        <v>14242965</v>
      </c>
      <c r="I28978">
        <v>1480332</v>
      </c>
      <c r="J28978">
        <v>2</v>
      </c>
    </row>
    <row r="28979" spans="1:10" x14ac:dyDescent="0.25">
      <c r="A28979" t="s">
        <v>327</v>
      </c>
      <c r="B28979" s="1" t="str">
        <f>HYPERLINK("http://rochedc.fi","rochedc.fi")</f>
        <v>rochedc.fi</v>
      </c>
      <c r="C28979" t="s">
        <v>445</v>
      </c>
      <c r="D28979" t="s">
        <v>823</v>
      </c>
      <c r="J28979">
        <v>4</v>
      </c>
    </row>
    <row r="28980" spans="1:10" x14ac:dyDescent="0.25">
      <c r="A28980" t="s">
        <v>327</v>
      </c>
      <c r="B28980" s="1" t="str">
        <f>HYPERLINK("http://rochediabetes.fi","rochediabetes.fi")</f>
        <v>rochediabetes.fi</v>
      </c>
      <c r="C28980" t="s">
        <v>445</v>
      </c>
      <c r="D28980" t="s">
        <v>823</v>
      </c>
      <c r="J28980">
        <v>4</v>
      </c>
    </row>
    <row r="28981" spans="1:10" x14ac:dyDescent="0.25">
      <c r="A28981" t="s">
        <v>327</v>
      </c>
      <c r="B28981" s="1" t="str">
        <f>HYPERLINK("http://rochediabetescare.fi","rochediabetescare.fi")</f>
        <v>rochediabetescare.fi</v>
      </c>
      <c r="C28981" t="s">
        <v>445</v>
      </c>
      <c r="D28981" t="s">
        <v>823</v>
      </c>
      <c r="J28981">
        <v>4</v>
      </c>
    </row>
    <row r="28982" spans="1:10" x14ac:dyDescent="0.25">
      <c r="A28982" t="s">
        <v>327</v>
      </c>
      <c r="B28982" s="1" t="str">
        <f>HYPERLINK("http://rochegate.fi","rochegate.fi")</f>
        <v>rochegate.fi</v>
      </c>
      <c r="C28982" t="s">
        <v>445</v>
      </c>
      <c r="D28982" t="s">
        <v>823</v>
      </c>
      <c r="F28982">
        <v>1.7171964574160799E-8</v>
      </c>
      <c r="G28982">
        <v>3243415</v>
      </c>
      <c r="H28982">
        <v>14030018</v>
      </c>
      <c r="I28982">
        <v>3965733</v>
      </c>
      <c r="J28982">
        <v>2</v>
      </c>
    </row>
    <row r="28983" spans="1:10" x14ac:dyDescent="0.25">
      <c r="A28983" t="s">
        <v>327</v>
      </c>
      <c r="B28983" s="1" t="str">
        <f>HYPERLINK("http://rochetapahtumat.fi","rochetapahtumat.fi")</f>
        <v>rochetapahtumat.fi</v>
      </c>
      <c r="C28983" t="s">
        <v>445</v>
      </c>
      <c r="D28983" t="s">
        <v>823</v>
      </c>
      <c r="J28983">
        <v>2</v>
      </c>
    </row>
    <row r="28984" spans="1:10" x14ac:dyDescent="0.25">
      <c r="A28984" t="s">
        <v>327</v>
      </c>
      <c r="B28984" s="1" t="str">
        <f>HYPERLINK("http://rocheverkkokauppa.fi","rocheverkkokauppa.fi")</f>
        <v>rocheverkkokauppa.fi</v>
      </c>
      <c r="C28984" t="s">
        <v>445</v>
      </c>
      <c r="D28984" t="s">
        <v>823</v>
      </c>
      <c r="F28984">
        <v>8.4692295181958608E-9</v>
      </c>
      <c r="G28984">
        <v>8904554</v>
      </c>
      <c r="H28984">
        <v>10596836</v>
      </c>
      <c r="I28984">
        <v>45085391</v>
      </c>
      <c r="J28984">
        <v>2</v>
      </c>
    </row>
    <row r="28985" spans="1:10" x14ac:dyDescent="0.25">
      <c r="A28985" t="s">
        <v>327</v>
      </c>
      <c r="B28985" s="1" t="str">
        <f>HYPERLINK("http://rosie.fi","rosie.fi")</f>
        <v>rosie.fi</v>
      </c>
      <c r="C28985" t="s">
        <v>445</v>
      </c>
      <c r="D28985" t="s">
        <v>823</v>
      </c>
      <c r="F28985">
        <v>1.11181383609822E-8</v>
      </c>
      <c r="G28985">
        <v>5772243</v>
      </c>
      <c r="H28985">
        <v>10922662</v>
      </c>
      <c r="I28985">
        <v>35220450</v>
      </c>
      <c r="J28985">
        <v>2</v>
      </c>
    </row>
    <row r="28986" spans="1:10" x14ac:dyDescent="0.25">
      <c r="A28986" t="s">
        <v>327</v>
      </c>
      <c r="B28986" s="1" t="str">
        <f>HYPERLINK("http://stay-in-range.fi","stay-in-range.fi")</f>
        <v>stay-in-range.fi</v>
      </c>
      <c r="C28986" t="s">
        <v>445</v>
      </c>
      <c r="D28986" t="s">
        <v>823</v>
      </c>
      <c r="J28986">
        <v>4</v>
      </c>
    </row>
    <row r="28987" spans="1:10" x14ac:dyDescent="0.25">
      <c r="A28987" t="s">
        <v>327</v>
      </c>
      <c r="B28987" s="1" t="str">
        <f>HYPERLINK("http://stayinrange.fi","stayinrange.fi")</f>
        <v>stayinrange.fi</v>
      </c>
      <c r="C28987" t="s">
        <v>445</v>
      </c>
      <c r="D28987" t="s">
        <v>823</v>
      </c>
      <c r="J28987">
        <v>4</v>
      </c>
    </row>
    <row r="28988" spans="1:10" x14ac:dyDescent="0.25">
      <c r="A28988" t="s">
        <v>327</v>
      </c>
      <c r="B28988" s="1" t="str">
        <f>HYPERLINK("http://suolistosyopa.fi","suolistosyopa.fi")</f>
        <v>suolistosyopa.fi</v>
      </c>
      <c r="C28988" t="s">
        <v>445</v>
      </c>
      <c r="D28988" t="s">
        <v>823</v>
      </c>
      <c r="F28988">
        <v>4.57797721405796E-9</v>
      </c>
      <c r="G28988">
        <v>49472402</v>
      </c>
      <c r="H28988">
        <v>10676797</v>
      </c>
      <c r="I28988">
        <v>42817306</v>
      </c>
      <c r="J28988">
        <v>2</v>
      </c>
    </row>
    <row r="28989" spans="1:10" x14ac:dyDescent="0.25">
      <c r="A28989" t="s">
        <v>327</v>
      </c>
      <c r="B28989" s="1" t="str">
        <f>HYPERLINK("http://suolistosyp.fi","suolistosyp.fi")</f>
        <v>suolistosyp.fi</v>
      </c>
      <c r="C28989" t="s">
        <v>445</v>
      </c>
      <c r="D28989" t="s">
        <v>823</v>
      </c>
      <c r="J28989">
        <v>2</v>
      </c>
    </row>
    <row r="28990" spans="1:10" x14ac:dyDescent="0.25">
      <c r="A28990" t="s">
        <v>327</v>
      </c>
      <c r="B28990" s="1" t="str">
        <f>HYPERLINK("http://swisslab.fi","swisslab.fi")</f>
        <v>swisslab.fi</v>
      </c>
      <c r="C28990" t="s">
        <v>445</v>
      </c>
      <c r="D28990" t="s">
        <v>823</v>
      </c>
      <c r="J28990">
        <v>4</v>
      </c>
    </row>
    <row r="28991" spans="1:10" x14ac:dyDescent="0.25">
      <c r="A28991" t="s">
        <v>327</v>
      </c>
      <c r="B28991" s="1" t="str">
        <f>HYPERLINK("http://syopatietoa.fi","syopatietoa.fi")</f>
        <v>syopatietoa.fi</v>
      </c>
      <c r="C28991" t="s">
        <v>445</v>
      </c>
      <c r="D28991" t="s">
        <v>823</v>
      </c>
      <c r="J28991">
        <v>2</v>
      </c>
    </row>
    <row r="28992" spans="1:10" x14ac:dyDescent="0.25">
      <c r="A28992" t="s">
        <v>327</v>
      </c>
      <c r="B28992" s="1" t="str">
        <f>HYPERLINK("http://syovangeenit.fi","syovangeenit.fi")</f>
        <v>syovangeenit.fi</v>
      </c>
      <c r="C28992" t="s">
        <v>445</v>
      </c>
      <c r="D28992" t="s">
        <v>823</v>
      </c>
      <c r="F28992">
        <v>5.7248758739576702E-9</v>
      </c>
      <c r="G28992">
        <v>18707853</v>
      </c>
      <c r="H28992">
        <v>10753268</v>
      </c>
      <c r="I28992">
        <v>39892982</v>
      </c>
      <c r="J28992">
        <v>2</v>
      </c>
    </row>
    <row r="28993" spans="1:10" x14ac:dyDescent="0.25">
      <c r="A28993" t="s">
        <v>327</v>
      </c>
      <c r="B28993" s="1" t="str">
        <f>HYPERLINK("http://syptietoa.fi","syptietoa.fi")</f>
        <v>syptietoa.fi</v>
      </c>
      <c r="C28993" t="s">
        <v>445</v>
      </c>
      <c r="D28993" t="s">
        <v>823</v>
      </c>
      <c r="J28993">
        <v>2</v>
      </c>
    </row>
    <row r="28994" spans="1:10" x14ac:dyDescent="0.25">
      <c r="A28994" t="s">
        <v>327</v>
      </c>
      <c r="B28994" s="1" t="str">
        <f>HYPERLINK("http://syvngeenit.fi","syvngeenit.fi")</f>
        <v>syvngeenit.fi</v>
      </c>
      <c r="C28994" t="s">
        <v>445</v>
      </c>
      <c r="D28994" t="s">
        <v>823</v>
      </c>
      <c r="J28994">
        <v>2</v>
      </c>
    </row>
    <row r="28995" spans="1:10" x14ac:dyDescent="0.25">
      <c r="A28995" t="s">
        <v>327</v>
      </c>
      <c r="B28995" s="1" t="str">
        <f>HYPERLINK("http://tasmalaake.fi","tasmalaake.fi")</f>
        <v>tasmalaake.fi</v>
      </c>
      <c r="C28995" t="s">
        <v>445</v>
      </c>
      <c r="D28995" t="s">
        <v>823</v>
      </c>
      <c r="J28995">
        <v>2</v>
      </c>
    </row>
    <row r="28996" spans="1:10" x14ac:dyDescent="0.25">
      <c r="A28996" t="s">
        <v>327</v>
      </c>
      <c r="B28996" s="1" t="str">
        <f>HYPERLINK("http://testaakoronaitse.fi","testaakoronaitse.fi")</f>
        <v>testaakoronaitse.fi</v>
      </c>
      <c r="C28996" t="s">
        <v>445</v>
      </c>
      <c r="D28996" t="s">
        <v>823</v>
      </c>
      <c r="J28996">
        <v>2</v>
      </c>
    </row>
    <row r="28997" spans="1:10" x14ac:dyDescent="0.25">
      <c r="A28997" t="s">
        <v>327</v>
      </c>
      <c r="B28997" s="1" t="str">
        <f>HYPERLINK("http://tietoasyovasta.fi","tietoasyovasta.fi")</f>
        <v>tietoasyovasta.fi</v>
      </c>
      <c r="C28997" t="s">
        <v>445</v>
      </c>
      <c r="D28997" t="s">
        <v>823</v>
      </c>
      <c r="J28997">
        <v>2</v>
      </c>
    </row>
    <row r="28998" spans="1:10" x14ac:dyDescent="0.25">
      <c r="A28998" t="s">
        <v>327</v>
      </c>
      <c r="B28998" s="1" t="str">
        <f>HYPERLINK("http://tietoasyvst.fi","tietoasyvst.fi")</f>
        <v>tietoasyvst.fi</v>
      </c>
      <c r="C28998" t="s">
        <v>445</v>
      </c>
      <c r="D28998" t="s">
        <v>823</v>
      </c>
      <c r="J28998">
        <v>2</v>
      </c>
    </row>
    <row r="28999" spans="1:10" x14ac:dyDescent="0.25">
      <c r="A28999" t="s">
        <v>327</v>
      </c>
      <c r="B28999" s="1" t="str">
        <f>HYPERLINK("http://time-in-range.fi","time-in-range.fi")</f>
        <v>time-in-range.fi</v>
      </c>
      <c r="C28999" t="s">
        <v>445</v>
      </c>
      <c r="D28999" t="s">
        <v>823</v>
      </c>
      <c r="J28999">
        <v>4</v>
      </c>
    </row>
    <row r="29000" spans="1:10" x14ac:dyDescent="0.25">
      <c r="A29000" t="s">
        <v>327</v>
      </c>
      <c r="B29000" s="1" t="str">
        <f>HYPERLINK("http://timeinrange.fi","timeinrange.fi")</f>
        <v>timeinrange.fi</v>
      </c>
      <c r="C29000" t="s">
        <v>445</v>
      </c>
      <c r="D29000" t="s">
        <v>823</v>
      </c>
      <c r="J29000">
        <v>4</v>
      </c>
    </row>
    <row r="29001" spans="1:10" x14ac:dyDescent="0.25">
      <c r="A29001" t="s">
        <v>327</v>
      </c>
      <c r="B29001" s="1" t="str">
        <f>HYPERLINK("http://tsmlke.fi","tsmlke.fi")</f>
        <v>tsmlke.fi</v>
      </c>
      <c r="C29001" t="s">
        <v>445</v>
      </c>
      <c r="D29001" t="s">
        <v>823</v>
      </c>
      <c r="J29001">
        <v>2</v>
      </c>
    </row>
    <row r="29002" spans="1:10" x14ac:dyDescent="0.25">
      <c r="A29002" t="s">
        <v>327</v>
      </c>
      <c r="B29002" s="1" t="str">
        <f>HYPERLINK("http://tunnehemofilia.fi","tunnehemofilia.fi")</f>
        <v>tunnehemofilia.fi</v>
      </c>
      <c r="C29002" t="s">
        <v>445</v>
      </c>
      <c r="D29002" t="s">
        <v>823</v>
      </c>
      <c r="J29002">
        <v>2</v>
      </c>
    </row>
    <row r="29003" spans="1:10" x14ac:dyDescent="0.25">
      <c r="A29003" t="s">
        <v>327</v>
      </c>
      <c r="B29003" s="1" t="str">
        <f>HYPERLINK("http://tunnems.fi","tunnems.fi")</f>
        <v>tunnems.fi</v>
      </c>
      <c r="C29003" t="s">
        <v>445</v>
      </c>
      <c r="D29003" t="s">
        <v>823</v>
      </c>
      <c r="F29003">
        <v>6.2463751568864802E-9</v>
      </c>
      <c r="G29003">
        <v>15293145</v>
      </c>
      <c r="H29003">
        <v>10795760</v>
      </c>
      <c r="I29003">
        <v>38286852</v>
      </c>
      <c r="J29003">
        <v>2</v>
      </c>
    </row>
    <row r="29004" spans="1:10" x14ac:dyDescent="0.25">
      <c r="A29004" t="s">
        <v>327</v>
      </c>
      <c r="B29004" s="1" t="str">
        <f>HYPERLINK("http://tunnemuistisairaus.fi","tunnemuistisairaus.fi")</f>
        <v>tunnemuistisairaus.fi</v>
      </c>
      <c r="C29004" t="s">
        <v>445</v>
      </c>
      <c r="D29004" t="s">
        <v>823</v>
      </c>
      <c r="J29004">
        <v>2</v>
      </c>
    </row>
    <row r="29005" spans="1:10" x14ac:dyDescent="0.25">
      <c r="A29005" t="s">
        <v>327</v>
      </c>
      <c r="B29005" s="1" t="str">
        <f>HYPERLINK("http://vemurafenib.fi","vemurafenib.fi")</f>
        <v>vemurafenib.fi</v>
      </c>
      <c r="C29005" t="s">
        <v>445</v>
      </c>
      <c r="D29005" t="s">
        <v>823</v>
      </c>
      <c r="J29005">
        <v>2</v>
      </c>
    </row>
    <row r="29006" spans="1:10" x14ac:dyDescent="0.25">
      <c r="A29006" t="s">
        <v>327</v>
      </c>
      <c r="B29006" s="1" t="str">
        <f>HYPERLINK("http://vieritestaus.fi","vieritestaus.fi")</f>
        <v>vieritestaus.fi</v>
      </c>
      <c r="C29006" t="s">
        <v>445</v>
      </c>
      <c r="D29006" t="s">
        <v>823</v>
      </c>
      <c r="J29006">
        <v>4</v>
      </c>
    </row>
    <row r="29007" spans="1:10" x14ac:dyDescent="0.25">
      <c r="A29007" t="s">
        <v>327</v>
      </c>
      <c r="B29007" s="1" t="str">
        <f>HYPERLINK("http://virtsarakonsyopa.fi","virtsarakonsyopa.fi")</f>
        <v>virtsarakonsyopa.fi</v>
      </c>
      <c r="C29007" t="s">
        <v>445</v>
      </c>
      <c r="D29007" t="s">
        <v>823</v>
      </c>
      <c r="J29007">
        <v>2</v>
      </c>
    </row>
    <row r="29008" spans="1:10" x14ac:dyDescent="0.25">
      <c r="A29008" t="s">
        <v>327</v>
      </c>
      <c r="B29008" s="1" t="str">
        <f>HYPERLINK("http://yksiloityterveydenhoito.fi","yksiloityterveydenhoito.fi")</f>
        <v>yksiloityterveydenhoito.fi</v>
      </c>
      <c r="C29008" t="s">
        <v>445</v>
      </c>
      <c r="D29008" t="s">
        <v>823</v>
      </c>
      <c r="J29008">
        <v>2</v>
      </c>
    </row>
    <row r="29009" spans="1:10" x14ac:dyDescent="0.25">
      <c r="A29009" t="s">
        <v>327</v>
      </c>
      <c r="B29009" s="1" t="str">
        <f>HYPERLINK("http://yksiloityterveydenhuolto.fi","yksiloityterveydenhuolto.fi")</f>
        <v>yksiloityterveydenhuolto.fi</v>
      </c>
      <c r="C29009" t="s">
        <v>445</v>
      </c>
      <c r="D29009" t="s">
        <v>823</v>
      </c>
      <c r="J29009">
        <v>4</v>
      </c>
    </row>
    <row r="29010" spans="1:10" x14ac:dyDescent="0.25">
      <c r="A29010" t="s">
        <v>327</v>
      </c>
      <c r="B29010" s="1" t="str">
        <f>HYPERLINK("http://yksilollisenterveydenhuollontulevaisuusfoorumi.fi","yksilollisenterveydenhuollontulevaisuusfoorumi.fi")</f>
        <v>yksilollisenterveydenhuollontulevaisuusfoorumi.fi</v>
      </c>
      <c r="C29010" t="s">
        <v>445</v>
      </c>
      <c r="D29010" t="s">
        <v>823</v>
      </c>
      <c r="J29010">
        <v>4</v>
      </c>
    </row>
    <row r="29011" spans="1:10" x14ac:dyDescent="0.25">
      <c r="A29011" t="s">
        <v>327</v>
      </c>
      <c r="B29011" s="1" t="str">
        <f>HYPERLINK("http://ymmarrams.fi","ymmarrams.fi")</f>
        <v>ymmarrams.fi</v>
      </c>
      <c r="C29011" t="s">
        <v>445</v>
      </c>
      <c r="D29011" t="s">
        <v>823</v>
      </c>
      <c r="J29011">
        <v>2</v>
      </c>
    </row>
    <row r="29012" spans="1:10" x14ac:dyDescent="0.25">
      <c r="A29012" t="s">
        <v>327</v>
      </c>
      <c r="B29012" s="1" t="str">
        <f>HYPERLINK("http://zelboraf.fi","zelboraf.fi")</f>
        <v>zelboraf.fi</v>
      </c>
      <c r="C29012" t="s">
        <v>445</v>
      </c>
      <c r="D29012" t="s">
        <v>823</v>
      </c>
      <c r="J29012">
        <v>2</v>
      </c>
    </row>
    <row r="29013" spans="1:10" x14ac:dyDescent="0.25">
      <c r="A29013" t="s">
        <v>327</v>
      </c>
      <c r="B29013" s="1" t="str">
        <f>HYPERLINK("http://accu-chek.fr","accu-chek.fr")</f>
        <v>accu-chek.fr</v>
      </c>
      <c r="C29013" t="s">
        <v>446</v>
      </c>
      <c r="D29013" t="s">
        <v>824</v>
      </c>
      <c r="F29013">
        <v>2.3178191594320402E-8</v>
      </c>
      <c r="G29013">
        <v>2251645</v>
      </c>
      <c r="H29013">
        <v>13024948</v>
      </c>
      <c r="I29013">
        <v>12694206</v>
      </c>
      <c r="J29013">
        <v>3</v>
      </c>
    </row>
    <row r="29014" spans="1:10" x14ac:dyDescent="0.25">
      <c r="A29014" t="s">
        <v>327</v>
      </c>
      <c r="B29014" s="1" t="str">
        <f>HYPERLINK("http://roche.fr","roche.fr")</f>
        <v>roche.fr</v>
      </c>
      <c r="C29014" t="s">
        <v>446</v>
      </c>
      <c r="D29014" t="s">
        <v>824</v>
      </c>
      <c r="E29014">
        <v>356089</v>
      </c>
      <c r="F29014">
        <v>2.11508008068156E-7</v>
      </c>
      <c r="G29014">
        <v>178645</v>
      </c>
      <c r="H29014">
        <v>17024616</v>
      </c>
      <c r="I29014">
        <v>88666</v>
      </c>
      <c r="J29014">
        <v>3</v>
      </c>
    </row>
    <row r="29015" spans="1:10" x14ac:dyDescent="0.25">
      <c r="A29015" t="s">
        <v>327</v>
      </c>
      <c r="B29015" s="1" t="str">
        <f>HYPERLINK("http://roche.ge","roche.ge")</f>
        <v>roche.ge</v>
      </c>
      <c r="C29015" t="s">
        <v>637</v>
      </c>
      <c r="D29015" t="s">
        <v>958</v>
      </c>
      <c r="F29015">
        <v>4.6189546145873304E-9</v>
      </c>
      <c r="G29015">
        <v>46206402</v>
      </c>
      <c r="H29015">
        <v>10624875</v>
      </c>
      <c r="I29015">
        <v>44143003</v>
      </c>
      <c r="J29015">
        <v>3</v>
      </c>
    </row>
    <row r="29016" spans="1:10" x14ac:dyDescent="0.25">
      <c r="A29016" t="s">
        <v>327</v>
      </c>
      <c r="B29016" s="1" t="str">
        <f>HYPERLINK("http://accu-chek.gr","accu-chek.gr")</f>
        <v>accu-chek.gr</v>
      </c>
      <c r="C29016" t="s">
        <v>447</v>
      </c>
      <c r="D29016" t="s">
        <v>825</v>
      </c>
      <c r="F29016">
        <v>1.06388118032974E-8</v>
      </c>
      <c r="G29016">
        <v>6150782</v>
      </c>
      <c r="H29016">
        <v>11056479</v>
      </c>
      <c r="I29016">
        <v>32721735</v>
      </c>
      <c r="J29016">
        <v>3</v>
      </c>
    </row>
    <row r="29017" spans="1:10" x14ac:dyDescent="0.25">
      <c r="A29017" t="s">
        <v>327</v>
      </c>
      <c r="B29017" s="1" t="str">
        <f>HYPERLINK("http://roche.gr","roche.gr")</f>
        <v>roche.gr</v>
      </c>
      <c r="C29017" t="s">
        <v>447</v>
      </c>
      <c r="D29017" t="s">
        <v>825</v>
      </c>
      <c r="F29017">
        <v>2.85570225897192E-8</v>
      </c>
      <c r="G29017">
        <v>1802563</v>
      </c>
      <c r="H29017">
        <v>13948630</v>
      </c>
      <c r="I29017">
        <v>4193073</v>
      </c>
      <c r="J29017">
        <v>3</v>
      </c>
    </row>
    <row r="29018" spans="1:10" x14ac:dyDescent="0.25">
      <c r="A29018" t="s">
        <v>327</v>
      </c>
      <c r="B29018" s="1" t="str">
        <f>HYPERLINK("http://accu-chek.com.hk","accu-chek.com.hk")</f>
        <v>accu-chek.com.hk</v>
      </c>
      <c r="C29018" t="s">
        <v>450</v>
      </c>
      <c r="D29018" t="s">
        <v>827</v>
      </c>
      <c r="E29018">
        <v>624608</v>
      </c>
      <c r="F29018">
        <v>1.20785694013604E-8</v>
      </c>
      <c r="G29018">
        <v>5126185</v>
      </c>
      <c r="H29018">
        <v>13558828</v>
      </c>
      <c r="I29018">
        <v>9863284</v>
      </c>
      <c r="J29018">
        <v>3</v>
      </c>
    </row>
    <row r="29019" spans="1:10" x14ac:dyDescent="0.25">
      <c r="A29019" t="s">
        <v>327</v>
      </c>
      <c r="B29019" s="1" t="str">
        <f>HYPERLINK("http://roche.com.hk","roche.com.hk")</f>
        <v>roche.com.hk</v>
      </c>
      <c r="C29019" t="s">
        <v>450</v>
      </c>
      <c r="D29019" t="s">
        <v>827</v>
      </c>
      <c r="F29019">
        <v>1.3294472342787001E-8</v>
      </c>
      <c r="G29019">
        <v>4495822</v>
      </c>
      <c r="H29019">
        <v>12868013</v>
      </c>
      <c r="I29019">
        <v>14135794</v>
      </c>
      <c r="J29019">
        <v>3</v>
      </c>
    </row>
    <row r="29020" spans="1:10" x14ac:dyDescent="0.25">
      <c r="A29020" t="s">
        <v>327</v>
      </c>
      <c r="B29020" s="1" t="str">
        <f>HYPERLINK("http://roche.hu","roche.hu")</f>
        <v>roche.hu</v>
      </c>
      <c r="C29020" t="s">
        <v>453</v>
      </c>
      <c r="D29020" t="s">
        <v>830</v>
      </c>
      <c r="F29020">
        <v>2.28651217932711E-8</v>
      </c>
      <c r="G29020">
        <v>2286584</v>
      </c>
      <c r="H29020">
        <v>13005734</v>
      </c>
      <c r="I29020">
        <v>12769349</v>
      </c>
      <c r="J29020">
        <v>3</v>
      </c>
    </row>
    <row r="29021" spans="1:10" x14ac:dyDescent="0.25">
      <c r="A29021" t="s">
        <v>327</v>
      </c>
      <c r="B29021" s="1" t="str">
        <f>HYPERLINK("http://accu-chek.co.id","accu-chek.co.id")</f>
        <v>accu-chek.co.id</v>
      </c>
      <c r="C29021" t="s">
        <v>454</v>
      </c>
      <c r="D29021" t="s">
        <v>831</v>
      </c>
      <c r="F29021">
        <v>1.09571321558056E-8</v>
      </c>
      <c r="G29021">
        <v>5898152</v>
      </c>
      <c r="H29021">
        <v>11055343</v>
      </c>
      <c r="I29021">
        <v>32738386</v>
      </c>
      <c r="J29021">
        <v>3</v>
      </c>
    </row>
    <row r="29022" spans="1:10" x14ac:dyDescent="0.25">
      <c r="A29022" t="s">
        <v>327</v>
      </c>
      <c r="B29022" s="1" t="str">
        <f>HYPERLINK("http://roche.co.id","roche.co.id")</f>
        <v>roche.co.id</v>
      </c>
      <c r="C29022" t="s">
        <v>454</v>
      </c>
      <c r="D29022" t="s">
        <v>831</v>
      </c>
      <c r="F29022">
        <v>1.10452708958846E-8</v>
      </c>
      <c r="G29022">
        <v>5825855</v>
      </c>
      <c r="H29022">
        <v>12855432</v>
      </c>
      <c r="I29022">
        <v>14231050</v>
      </c>
      <c r="J29022">
        <v>3</v>
      </c>
    </row>
    <row r="29023" spans="1:10" x14ac:dyDescent="0.25">
      <c r="A29023" t="s">
        <v>327</v>
      </c>
      <c r="B29023" s="1" t="str">
        <f>HYPERLINK("http://accu-chek.ie","accu-chek.ie")</f>
        <v>accu-chek.ie</v>
      </c>
      <c r="C29023" t="s">
        <v>455</v>
      </c>
      <c r="D29023" t="s">
        <v>832</v>
      </c>
      <c r="F29023">
        <v>5.2097058449331297E-9</v>
      </c>
      <c r="G29023">
        <v>24930253</v>
      </c>
      <c r="H29023">
        <v>10864932</v>
      </c>
      <c r="I29023">
        <v>36592726</v>
      </c>
      <c r="J29023">
        <v>4</v>
      </c>
    </row>
    <row r="29024" spans="1:10" x14ac:dyDescent="0.25">
      <c r="A29024" t="s">
        <v>327</v>
      </c>
      <c r="B29024" s="1" t="str">
        <f>HYPERLINK("http://roche.ie","roche.ie")</f>
        <v>roche.ie</v>
      </c>
      <c r="C29024" t="s">
        <v>455</v>
      </c>
      <c r="D29024" t="s">
        <v>832</v>
      </c>
      <c r="F29024">
        <v>2.05006304539832E-8</v>
      </c>
      <c r="G29024">
        <v>2584570</v>
      </c>
      <c r="H29024">
        <v>13031204</v>
      </c>
      <c r="I29024">
        <v>12665928</v>
      </c>
      <c r="J29024">
        <v>3</v>
      </c>
    </row>
    <row r="29025" spans="1:10" x14ac:dyDescent="0.25">
      <c r="A29025" t="s">
        <v>327</v>
      </c>
      <c r="B29025" s="1" t="str">
        <f>HYPERLINK("http://roche.co.il","roche.co.il")</f>
        <v>roche.co.il</v>
      </c>
      <c r="C29025" t="s">
        <v>456</v>
      </c>
      <c r="D29025" t="s">
        <v>833</v>
      </c>
      <c r="F29025">
        <v>5.95071006818881E-9</v>
      </c>
      <c r="G29025">
        <v>17018252</v>
      </c>
      <c r="H29025">
        <v>12368112</v>
      </c>
      <c r="I29025">
        <v>19446926</v>
      </c>
      <c r="J29025">
        <v>3</v>
      </c>
    </row>
    <row r="29026" spans="1:10" x14ac:dyDescent="0.25">
      <c r="A29026" t="s">
        <v>327</v>
      </c>
      <c r="B29026" s="1" t="str">
        <f>HYPERLINK("http://accu-chek.in","accu-chek.in")</f>
        <v>accu-chek.in</v>
      </c>
      <c r="C29026" t="s">
        <v>457</v>
      </c>
      <c r="D29026" t="s">
        <v>834</v>
      </c>
      <c r="F29026">
        <v>1.31220449907683E-8</v>
      </c>
      <c r="G29026">
        <v>4573726</v>
      </c>
      <c r="H29026">
        <v>12764731</v>
      </c>
      <c r="I29026">
        <v>14923461</v>
      </c>
      <c r="J29026">
        <v>3</v>
      </c>
    </row>
    <row r="29027" spans="1:10" x14ac:dyDescent="0.25">
      <c r="A29027" t="s">
        <v>327</v>
      </c>
      <c r="B29027" s="1" t="str">
        <f>HYPERLINK("http://roche-diagnostics.co.in","roche-diagnostics.co.in")</f>
        <v>roche-diagnostics.co.in</v>
      </c>
      <c r="C29027" t="s">
        <v>457</v>
      </c>
      <c r="D29027" t="s">
        <v>834</v>
      </c>
      <c r="E29027">
        <v>548574</v>
      </c>
      <c r="F29027">
        <v>7.2549523216306398E-9</v>
      </c>
      <c r="G29027">
        <v>11593122</v>
      </c>
      <c r="H29027">
        <v>12961813</v>
      </c>
      <c r="I29027">
        <v>13160049</v>
      </c>
      <c r="J29027">
        <v>3</v>
      </c>
    </row>
    <row r="29028" spans="1:10" x14ac:dyDescent="0.25">
      <c r="A29028" t="s">
        <v>327</v>
      </c>
      <c r="B29028" s="1" t="str">
        <f>HYPERLINK("http://foundationmedicine.in","foundationmedicine.in")</f>
        <v>foundationmedicine.in</v>
      </c>
      <c r="C29028" t="s">
        <v>457</v>
      </c>
      <c r="D29028" t="s">
        <v>834</v>
      </c>
      <c r="F29028">
        <v>5.1938632460841099E-9</v>
      </c>
      <c r="G29028">
        <v>25271373</v>
      </c>
      <c r="H29028">
        <v>10773860</v>
      </c>
      <c r="I29028">
        <v>39109705</v>
      </c>
      <c r="J29028">
        <v>3</v>
      </c>
    </row>
    <row r="29029" spans="1:10" x14ac:dyDescent="0.25">
      <c r="A29029" t="s">
        <v>327</v>
      </c>
      <c r="B29029" s="1" t="str">
        <f>HYPERLINK("http://accu-chek.it","accu-chek.it")</f>
        <v>accu-chek.it</v>
      </c>
      <c r="C29029" t="s">
        <v>459</v>
      </c>
      <c r="D29029" t="s">
        <v>835</v>
      </c>
      <c r="F29029">
        <v>1.39522401682889E-8</v>
      </c>
      <c r="G29029">
        <v>4221027</v>
      </c>
      <c r="H29029">
        <v>12295506</v>
      </c>
      <c r="I29029">
        <v>20955224</v>
      </c>
      <c r="J29029">
        <v>3</v>
      </c>
    </row>
    <row r="29030" spans="1:10" x14ac:dyDescent="0.25">
      <c r="A29030" t="s">
        <v>327</v>
      </c>
      <c r="B29030" s="1" t="str">
        <f>HYPERLINK("http://foundationmedicine.it","foundationmedicine.it")</f>
        <v>foundationmedicine.it</v>
      </c>
      <c r="C29030" t="s">
        <v>459</v>
      </c>
      <c r="D29030" t="s">
        <v>835</v>
      </c>
      <c r="F29030">
        <v>1.4098191263012E-8</v>
      </c>
      <c r="G29030">
        <v>4166352</v>
      </c>
      <c r="H29030">
        <v>13953396</v>
      </c>
      <c r="I29030">
        <v>4150751</v>
      </c>
      <c r="J29030">
        <v>3</v>
      </c>
    </row>
    <row r="29031" spans="1:10" x14ac:dyDescent="0.25">
      <c r="A29031" t="s">
        <v>327</v>
      </c>
      <c r="B29031" s="1" t="str">
        <f>HYPERLINK("http://modusonline.it","modusonline.it")</f>
        <v>modusonline.it</v>
      </c>
      <c r="C29031" t="s">
        <v>459</v>
      </c>
      <c r="D29031" t="s">
        <v>835</v>
      </c>
      <c r="F29031">
        <v>1.9673451297553901E-8</v>
      </c>
      <c r="G29031">
        <v>2713424</v>
      </c>
      <c r="H29031">
        <v>14246526</v>
      </c>
      <c r="I29031">
        <v>1461172</v>
      </c>
      <c r="J29031">
        <v>3</v>
      </c>
    </row>
    <row r="29032" spans="1:10" x14ac:dyDescent="0.25">
      <c r="A29032" t="s">
        <v>327</v>
      </c>
      <c r="B29032" s="1" t="str">
        <f>HYPERLINK("http://roche.it","roche.it")</f>
        <v>roche.it</v>
      </c>
      <c r="C29032" t="s">
        <v>459</v>
      </c>
      <c r="D29032" t="s">
        <v>835</v>
      </c>
      <c r="F29032">
        <v>6.9775235391347995E-8</v>
      </c>
      <c r="G29032">
        <v>607657</v>
      </c>
      <c r="H29032">
        <v>14492176</v>
      </c>
      <c r="I29032">
        <v>897060</v>
      </c>
      <c r="J29032">
        <v>3</v>
      </c>
    </row>
    <row r="29033" spans="1:10" x14ac:dyDescent="0.25">
      <c r="A29033" t="s">
        <v>327</v>
      </c>
      <c r="B29033" s="1" t="str">
        <f>HYPERLINK("http://accu-chek.jp","accu-chek.jp")</f>
        <v>accu-chek.jp</v>
      </c>
      <c r="C29033" t="s">
        <v>461</v>
      </c>
      <c r="D29033" t="s">
        <v>837</v>
      </c>
      <c r="F29033">
        <v>1.41552428793869E-8</v>
      </c>
      <c r="G29033">
        <v>4145494</v>
      </c>
      <c r="H29033">
        <v>12771597</v>
      </c>
      <c r="I29033">
        <v>14829039</v>
      </c>
      <c r="J29033">
        <v>3</v>
      </c>
    </row>
    <row r="29034" spans="1:10" x14ac:dyDescent="0.25">
      <c r="A29034" t="s">
        <v>327</v>
      </c>
      <c r="B29034" s="1" t="str">
        <f>HYPERLINK("http://chugai-pharm.jp","chugai-pharm.jp")</f>
        <v>chugai-pharm.jp</v>
      </c>
      <c r="C29034" t="s">
        <v>461</v>
      </c>
      <c r="D29034" t="s">
        <v>837</v>
      </c>
      <c r="F29034">
        <v>4.8807393147843597E-8</v>
      </c>
      <c r="G29034">
        <v>949567</v>
      </c>
      <c r="H29034">
        <v>14092482</v>
      </c>
      <c r="I29034">
        <v>2739392</v>
      </c>
      <c r="J29034">
        <v>4</v>
      </c>
    </row>
    <row r="29035" spans="1:10" x14ac:dyDescent="0.25">
      <c r="A29035" t="s">
        <v>327</v>
      </c>
      <c r="B29035" s="1" t="str">
        <f>HYPERLINK("http://chugai-pharm.co.jp","chugai-pharm.co.jp")</f>
        <v>chugai-pharm.co.jp</v>
      </c>
      <c r="C29035" t="s">
        <v>461</v>
      </c>
      <c r="D29035" t="s">
        <v>837</v>
      </c>
      <c r="E29035">
        <v>67269</v>
      </c>
      <c r="F29035">
        <v>3.2516590518228701E-7</v>
      </c>
      <c r="G29035">
        <v>114537</v>
      </c>
      <c r="H29035">
        <v>15045469</v>
      </c>
      <c r="I29035">
        <v>415526</v>
      </c>
      <c r="J29035">
        <v>3</v>
      </c>
    </row>
    <row r="29036" spans="1:10" x14ac:dyDescent="0.25">
      <c r="A29036" t="s">
        <v>327</v>
      </c>
      <c r="B29036" s="1" t="str">
        <f>HYPERLINK("http://flatiron.co.jp","flatiron.co.jp")</f>
        <v>flatiron.co.jp</v>
      </c>
      <c r="C29036" t="s">
        <v>461</v>
      </c>
      <c r="D29036" t="s">
        <v>837</v>
      </c>
      <c r="F29036">
        <v>6.1822568215247296E-9</v>
      </c>
      <c r="G29036">
        <v>15628007</v>
      </c>
      <c r="H29036">
        <v>10818036</v>
      </c>
      <c r="I29036">
        <v>37666817</v>
      </c>
      <c r="J29036">
        <v>3</v>
      </c>
    </row>
    <row r="29037" spans="1:10" x14ac:dyDescent="0.25">
      <c r="A29037" t="s">
        <v>327</v>
      </c>
      <c r="B29037" s="1" t="str">
        <f>HYPERLINK("http://roche.co.kr","roche.co.kr")</f>
        <v>roche.co.kr</v>
      </c>
      <c r="C29037" t="s">
        <v>463</v>
      </c>
      <c r="D29037" t="s">
        <v>839</v>
      </c>
      <c r="F29037">
        <v>1.5995490131368E-8</v>
      </c>
      <c r="G29037">
        <v>3547425</v>
      </c>
      <c r="H29037">
        <v>12858383</v>
      </c>
      <c r="I29037">
        <v>14209528</v>
      </c>
      <c r="J29037">
        <v>3</v>
      </c>
    </row>
    <row r="29038" spans="1:10" x14ac:dyDescent="0.25">
      <c r="A29038" t="s">
        <v>327</v>
      </c>
      <c r="B29038" s="1" t="str">
        <f>HYPERLINK("http://roche-diagnostics.co.kr","roche-diagnostics.co.kr")</f>
        <v>roche-diagnostics.co.kr</v>
      </c>
      <c r="C29038" t="s">
        <v>463</v>
      </c>
      <c r="D29038" t="s">
        <v>839</v>
      </c>
      <c r="F29038">
        <v>1.13011306545593E-8</v>
      </c>
      <c r="G29038">
        <v>5641641</v>
      </c>
      <c r="H29038">
        <v>12286964</v>
      </c>
      <c r="I29038">
        <v>21174842</v>
      </c>
      <c r="J29038">
        <v>3</v>
      </c>
    </row>
    <row r="29039" spans="1:10" x14ac:dyDescent="0.25">
      <c r="A29039" t="s">
        <v>327</v>
      </c>
      <c r="B29039" s="1" t="str">
        <f>HYPERLINK("http://accu-chek.lk","accu-chek.lk")</f>
        <v>accu-chek.lk</v>
      </c>
      <c r="C29039" t="s">
        <v>466</v>
      </c>
      <c r="D29039" t="s">
        <v>842</v>
      </c>
      <c r="F29039">
        <v>1.0094289215902401E-8</v>
      </c>
      <c r="G29039">
        <v>6655025</v>
      </c>
      <c r="H29039">
        <v>11034204</v>
      </c>
      <c r="I29039">
        <v>33008418</v>
      </c>
      <c r="J29039">
        <v>3</v>
      </c>
    </row>
    <row r="29040" spans="1:10" x14ac:dyDescent="0.25">
      <c r="A29040" t="s">
        <v>327</v>
      </c>
      <c r="B29040" s="1" t="str">
        <f>HYPERLINK("http://accu-chek.lt","accu-chek.lt")</f>
        <v>accu-chek.lt</v>
      </c>
      <c r="C29040" t="s">
        <v>467</v>
      </c>
      <c r="D29040" t="s">
        <v>843</v>
      </c>
      <c r="F29040">
        <v>1.10025216550222E-8</v>
      </c>
      <c r="G29040">
        <v>5858172</v>
      </c>
      <c r="H29040">
        <v>11214333</v>
      </c>
      <c r="I29040">
        <v>31133899</v>
      </c>
      <c r="J29040">
        <v>3</v>
      </c>
    </row>
    <row r="29041" spans="1:10" x14ac:dyDescent="0.25">
      <c r="A29041" t="s">
        <v>327</v>
      </c>
      <c r="B29041" s="1" t="str">
        <f>HYPERLINK("http://accu-chek.lv","accu-chek.lv")</f>
        <v>accu-chek.lv</v>
      </c>
      <c r="C29041" t="s">
        <v>468</v>
      </c>
      <c r="D29041" t="s">
        <v>844</v>
      </c>
      <c r="F29041">
        <v>1.15890291681394E-8</v>
      </c>
      <c r="G29041">
        <v>5441334</v>
      </c>
      <c r="H29041">
        <v>11056179</v>
      </c>
      <c r="I29041">
        <v>32725333</v>
      </c>
      <c r="J29041">
        <v>3</v>
      </c>
    </row>
    <row r="29042" spans="1:10" x14ac:dyDescent="0.25">
      <c r="A29042" t="s">
        <v>327</v>
      </c>
      <c r="B29042" s="1" t="str">
        <f>HYPERLINK("http://roche.lv","roche.lv")</f>
        <v>roche.lv</v>
      </c>
      <c r="C29042" t="s">
        <v>468</v>
      </c>
      <c r="D29042" t="s">
        <v>844</v>
      </c>
      <c r="F29042">
        <v>1.0564514068060799E-8</v>
      </c>
      <c r="G29042">
        <v>6214057</v>
      </c>
      <c r="H29042">
        <v>14072695</v>
      </c>
      <c r="I29042">
        <v>3056261</v>
      </c>
      <c r="J29042">
        <v>3</v>
      </c>
    </row>
    <row r="29043" spans="1:10" x14ac:dyDescent="0.25">
      <c r="A29043" t="s">
        <v>327</v>
      </c>
      <c r="B29043" s="1" t="str">
        <f>HYPERLINK("http://accu-chek.com.mx","accu-chek.com.mx")</f>
        <v>accu-chek.com.mx</v>
      </c>
      <c r="C29043" t="s">
        <v>471</v>
      </c>
      <c r="D29043" t="s">
        <v>847</v>
      </c>
      <c r="E29043">
        <v>948432</v>
      </c>
      <c r="F29043">
        <v>1.29143106991562E-8</v>
      </c>
      <c r="G29043">
        <v>4672648</v>
      </c>
      <c r="H29043">
        <v>13764289</v>
      </c>
      <c r="I29043">
        <v>7306358</v>
      </c>
      <c r="J29043">
        <v>3</v>
      </c>
    </row>
    <row r="29044" spans="1:10" x14ac:dyDescent="0.25">
      <c r="A29044" t="s">
        <v>327</v>
      </c>
      <c r="B29044" s="1" t="str">
        <f>HYPERLINK("http://roche.com.mx","roche.com.mx")</f>
        <v>roche.com.mx</v>
      </c>
      <c r="C29044" t="s">
        <v>471</v>
      </c>
      <c r="D29044" t="s">
        <v>847</v>
      </c>
      <c r="F29044">
        <v>1.5766385402416301E-8</v>
      </c>
      <c r="G29044">
        <v>3609116</v>
      </c>
      <c r="H29044">
        <v>13562068</v>
      </c>
      <c r="I29044">
        <v>9845568</v>
      </c>
      <c r="J29044">
        <v>3</v>
      </c>
    </row>
    <row r="29045" spans="1:10" x14ac:dyDescent="0.25">
      <c r="A29045" t="s">
        <v>327</v>
      </c>
      <c r="B29045" s="1" t="str">
        <f>HYPERLINK("http://accu-chek.com.my","accu-chek.com.my")</f>
        <v>accu-chek.com.my</v>
      </c>
      <c r="C29045" t="s">
        <v>472</v>
      </c>
      <c r="D29045" t="s">
        <v>848</v>
      </c>
      <c r="E29045">
        <v>635583</v>
      </c>
      <c r="F29045">
        <v>1.06501567375806E-8</v>
      </c>
      <c r="G29045">
        <v>6141388</v>
      </c>
      <c r="H29045">
        <v>11263514</v>
      </c>
      <c r="I29045">
        <v>30809163</v>
      </c>
      <c r="J29045">
        <v>3</v>
      </c>
    </row>
    <row r="29046" spans="1:10" x14ac:dyDescent="0.25">
      <c r="A29046" t="s">
        <v>327</v>
      </c>
      <c r="B29046" s="1" t="str">
        <f>HYPERLINK("http://roche.com.my","roche.com.my")</f>
        <v>roche.com.my</v>
      </c>
      <c r="C29046" t="s">
        <v>472</v>
      </c>
      <c r="D29046" t="s">
        <v>848</v>
      </c>
      <c r="F29046">
        <v>1.2158540110350599E-8</v>
      </c>
      <c r="G29046">
        <v>5074596</v>
      </c>
      <c r="H29046">
        <v>12844826</v>
      </c>
      <c r="I29046">
        <v>14320726</v>
      </c>
      <c r="J29046">
        <v>3</v>
      </c>
    </row>
    <row r="29047" spans="1:10" x14ac:dyDescent="0.25">
      <c r="A29047" t="s">
        <v>327</v>
      </c>
      <c r="B29047" s="1" t="str">
        <f>HYPERLINK("http://foundationmedicine.my","foundationmedicine.my")</f>
        <v>foundationmedicine.my</v>
      </c>
      <c r="C29047" t="s">
        <v>472</v>
      </c>
      <c r="D29047" t="s">
        <v>848</v>
      </c>
      <c r="F29047">
        <v>4.7318993907383697E-9</v>
      </c>
      <c r="G29047">
        <v>39250300</v>
      </c>
      <c r="H29047">
        <v>10713071</v>
      </c>
      <c r="I29047">
        <v>42111177</v>
      </c>
      <c r="J29047">
        <v>3</v>
      </c>
    </row>
    <row r="29048" spans="1:10" x14ac:dyDescent="0.25">
      <c r="A29048" t="s">
        <v>327</v>
      </c>
      <c r="B29048" s="1" t="str">
        <f>HYPERLINK("http://genable.net","genable.net")</f>
        <v>genable.net</v>
      </c>
      <c r="C29048" t="s">
        <v>474</v>
      </c>
      <c r="F29048">
        <v>4.6036509812845901E-9</v>
      </c>
      <c r="G29048">
        <v>47327135</v>
      </c>
      <c r="H29048">
        <v>11234493</v>
      </c>
      <c r="I29048">
        <v>30999054</v>
      </c>
      <c r="J29048">
        <v>3</v>
      </c>
    </row>
    <row r="29049" spans="1:10" x14ac:dyDescent="0.25">
      <c r="A29049" t="s">
        <v>327</v>
      </c>
      <c r="B29049" s="1" t="str">
        <f>HYPERLINK("http://accu-chek.nl","accu-chek.nl")</f>
        <v>accu-chek.nl</v>
      </c>
      <c r="C29049" t="s">
        <v>477</v>
      </c>
      <c r="D29049" t="s">
        <v>852</v>
      </c>
      <c r="F29049">
        <v>2.2251398207788001E-8</v>
      </c>
      <c r="G29049">
        <v>2356589</v>
      </c>
      <c r="H29049">
        <v>13769069</v>
      </c>
      <c r="I29049">
        <v>6814031</v>
      </c>
      <c r="J29049">
        <v>3</v>
      </c>
    </row>
    <row r="29050" spans="1:10" x14ac:dyDescent="0.25">
      <c r="A29050" t="s">
        <v>327</v>
      </c>
      <c r="B29050" s="1" t="str">
        <f>HYPERLINK("http://roche.nl","roche.nl")</f>
        <v>roche.nl</v>
      </c>
      <c r="C29050" t="s">
        <v>477</v>
      </c>
      <c r="D29050" t="s">
        <v>852</v>
      </c>
      <c r="E29050">
        <v>259159</v>
      </c>
      <c r="F29050">
        <v>1.3948048038194301E-7</v>
      </c>
      <c r="G29050">
        <v>279306</v>
      </c>
      <c r="H29050">
        <v>16980100</v>
      </c>
      <c r="I29050">
        <v>98610</v>
      </c>
      <c r="J29050">
        <v>3</v>
      </c>
    </row>
    <row r="29051" spans="1:10" x14ac:dyDescent="0.25">
      <c r="A29051" t="s">
        <v>327</v>
      </c>
      <c r="B29051" s="1" t="str">
        <f>HYPERLINK("http://accu-chek.no","accu-chek.no")</f>
        <v>accu-chek.no</v>
      </c>
      <c r="C29051" t="s">
        <v>478</v>
      </c>
      <c r="D29051" t="s">
        <v>853</v>
      </c>
      <c r="F29051">
        <v>1.2587673265883099E-8</v>
      </c>
      <c r="G29051">
        <v>4837097</v>
      </c>
      <c r="H29051">
        <v>14071962</v>
      </c>
      <c r="I29051">
        <v>3213689</v>
      </c>
      <c r="J29051">
        <v>3</v>
      </c>
    </row>
    <row r="29052" spans="1:10" x14ac:dyDescent="0.25">
      <c r="A29052" t="s">
        <v>327</v>
      </c>
      <c r="B29052" s="1" t="str">
        <f>HYPERLINK("http://roche.no","roche.no")</f>
        <v>roche.no</v>
      </c>
      <c r="C29052" t="s">
        <v>478</v>
      </c>
      <c r="D29052" t="s">
        <v>853</v>
      </c>
      <c r="F29052">
        <v>1.16474304820429E-8</v>
      </c>
      <c r="G29052">
        <v>5400846</v>
      </c>
      <c r="H29052">
        <v>13098269</v>
      </c>
      <c r="I29052">
        <v>12114282</v>
      </c>
      <c r="J29052">
        <v>3</v>
      </c>
    </row>
    <row r="29053" spans="1:10" x14ac:dyDescent="0.25">
      <c r="A29053" t="s">
        <v>327</v>
      </c>
      <c r="B29053" s="1" t="str">
        <f>HYPERLINK("http://roche-diagnosticsnorge.no","roche-diagnosticsnorge.no")</f>
        <v>roche-diagnosticsnorge.no</v>
      </c>
      <c r="C29053" t="s">
        <v>478</v>
      </c>
      <c r="D29053" t="s">
        <v>853</v>
      </c>
      <c r="F29053">
        <v>4.4448546044167898E-9</v>
      </c>
      <c r="G29053">
        <v>75986133</v>
      </c>
      <c r="H29053">
        <v>10720850</v>
      </c>
      <c r="I29053">
        <v>41840268</v>
      </c>
      <c r="J29053">
        <v>5</v>
      </c>
    </row>
    <row r="29054" spans="1:10" x14ac:dyDescent="0.25">
      <c r="A29054" t="s">
        <v>327</v>
      </c>
      <c r="B29054" s="1" t="str">
        <f>HYPERLINK("http://roche.co.nz","roche.co.nz")</f>
        <v>roche.co.nz</v>
      </c>
      <c r="C29054" t="s">
        <v>479</v>
      </c>
      <c r="D29054" t="s">
        <v>854</v>
      </c>
      <c r="F29054">
        <v>1.1127951535569899E-8</v>
      </c>
      <c r="G29054">
        <v>5765092</v>
      </c>
      <c r="H29054">
        <v>12944856</v>
      </c>
      <c r="I29054">
        <v>13245681</v>
      </c>
      <c r="J29054">
        <v>3</v>
      </c>
    </row>
    <row r="29055" spans="1:10" x14ac:dyDescent="0.25">
      <c r="A29055" t="s">
        <v>327</v>
      </c>
      <c r="B29055" s="1" t="str">
        <f>HYPERLINK("http://rochediagnostics.co.nz","rochediagnostics.co.nz")</f>
        <v>rochediagnostics.co.nz</v>
      </c>
      <c r="C29055" t="s">
        <v>479</v>
      </c>
      <c r="D29055" t="s">
        <v>854</v>
      </c>
      <c r="J29055">
        <v>3</v>
      </c>
    </row>
    <row r="29056" spans="1:10" x14ac:dyDescent="0.25">
      <c r="A29056" t="s">
        <v>327</v>
      </c>
      <c r="B29056" s="1" t="str">
        <f>HYPERLINK("http://accu-chek.com.pe","accu-chek.com.pe")</f>
        <v>accu-chek.com.pe</v>
      </c>
      <c r="C29056" t="s">
        <v>483</v>
      </c>
      <c r="D29056" t="s">
        <v>857</v>
      </c>
      <c r="E29056">
        <v>581168</v>
      </c>
      <c r="F29056">
        <v>1.0783541326286801E-8</v>
      </c>
      <c r="G29056">
        <v>6033825</v>
      </c>
      <c r="H29056">
        <v>11097645</v>
      </c>
      <c r="I29056">
        <v>32305705</v>
      </c>
      <c r="J29056">
        <v>3</v>
      </c>
    </row>
    <row r="29057" spans="1:10" x14ac:dyDescent="0.25">
      <c r="A29057" t="s">
        <v>327</v>
      </c>
      <c r="B29057" s="1" t="str">
        <f>HYPERLINK("http://roche.com.pe","roche.com.pe")</f>
        <v>roche.com.pe</v>
      </c>
      <c r="C29057" t="s">
        <v>483</v>
      </c>
      <c r="D29057" t="s">
        <v>857</v>
      </c>
      <c r="F29057">
        <v>1.26486622746402E-8</v>
      </c>
      <c r="G29057">
        <v>4805598</v>
      </c>
      <c r="H29057">
        <v>12881094</v>
      </c>
      <c r="I29057">
        <v>13994709</v>
      </c>
      <c r="J29057">
        <v>3</v>
      </c>
    </row>
    <row r="29058" spans="1:10" x14ac:dyDescent="0.25">
      <c r="A29058" t="s">
        <v>327</v>
      </c>
      <c r="B29058" s="1" t="str">
        <f>HYPERLINK("http://accu-chek.com.ph","accu-chek.com.ph")</f>
        <v>accu-chek.com.ph</v>
      </c>
      <c r="C29058" t="s">
        <v>484</v>
      </c>
      <c r="D29058" t="s">
        <v>858</v>
      </c>
      <c r="F29058">
        <v>1.04983362045364E-8</v>
      </c>
      <c r="G29058">
        <v>6271029</v>
      </c>
      <c r="H29058">
        <v>11055338</v>
      </c>
      <c r="I29058">
        <v>32738452</v>
      </c>
      <c r="J29058">
        <v>3</v>
      </c>
    </row>
    <row r="29059" spans="1:10" x14ac:dyDescent="0.25">
      <c r="A29059" t="s">
        <v>327</v>
      </c>
      <c r="B29059" s="1" t="str">
        <f>HYPERLINK("http://rochephilippines.ph","rochephilippines.ph")</f>
        <v>rochephilippines.ph</v>
      </c>
      <c r="C29059" t="s">
        <v>484</v>
      </c>
      <c r="D29059" t="s">
        <v>858</v>
      </c>
      <c r="J29059">
        <v>3</v>
      </c>
    </row>
    <row r="29060" spans="1:10" x14ac:dyDescent="0.25">
      <c r="A29060" t="s">
        <v>327</v>
      </c>
      <c r="B29060" s="1" t="str">
        <f>HYPERLINK("http://accu-chek.com.pk","accu-chek.com.pk")</f>
        <v>accu-chek.com.pk</v>
      </c>
      <c r="C29060" t="s">
        <v>485</v>
      </c>
      <c r="D29060" t="s">
        <v>859</v>
      </c>
      <c r="F29060">
        <v>1.2138283435621499E-8</v>
      </c>
      <c r="G29060">
        <v>5086456</v>
      </c>
      <c r="H29060">
        <v>12784924</v>
      </c>
      <c r="I29060">
        <v>14717001</v>
      </c>
      <c r="J29060">
        <v>3</v>
      </c>
    </row>
    <row r="29061" spans="1:10" x14ac:dyDescent="0.25">
      <c r="A29061" t="s">
        <v>327</v>
      </c>
      <c r="B29061" s="1" t="str">
        <f>HYPERLINK("http://roche.com.pk","roche.com.pk")</f>
        <v>roche.com.pk</v>
      </c>
      <c r="C29061" t="s">
        <v>485</v>
      </c>
      <c r="D29061" t="s">
        <v>859</v>
      </c>
      <c r="F29061">
        <v>5.7647121552857998E-9</v>
      </c>
      <c r="G29061">
        <v>18369269</v>
      </c>
      <c r="H29061">
        <v>10657598</v>
      </c>
      <c r="I29061">
        <v>43482217</v>
      </c>
      <c r="J29061">
        <v>3</v>
      </c>
    </row>
    <row r="29062" spans="1:10" x14ac:dyDescent="0.25">
      <c r="A29062" t="s">
        <v>327</v>
      </c>
      <c r="B29062" s="1" t="str">
        <f>HYPERLINK("http://accu-chek.pl","accu-chek.pl")</f>
        <v>accu-chek.pl</v>
      </c>
      <c r="C29062" t="s">
        <v>486</v>
      </c>
      <c r="D29062" t="s">
        <v>860</v>
      </c>
      <c r="F29062">
        <v>2.0089006396470501E-8</v>
      </c>
      <c r="G29062">
        <v>2645841</v>
      </c>
      <c r="H29062">
        <v>13765000</v>
      </c>
      <c r="I29062">
        <v>7159748</v>
      </c>
      <c r="J29062">
        <v>3</v>
      </c>
    </row>
    <row r="29063" spans="1:10" x14ac:dyDescent="0.25">
      <c r="A29063" t="s">
        <v>327</v>
      </c>
      <c r="B29063" s="1" t="str">
        <f>HYPERLINK("http://roche.pl","roche.pl")</f>
        <v>roche.pl</v>
      </c>
      <c r="C29063" t="s">
        <v>486</v>
      </c>
      <c r="D29063" t="s">
        <v>860</v>
      </c>
      <c r="F29063">
        <v>1.52736580999463E-7</v>
      </c>
      <c r="G29063">
        <v>254318</v>
      </c>
      <c r="H29063">
        <v>14421314</v>
      </c>
      <c r="I29063">
        <v>1087740</v>
      </c>
      <c r="J29063">
        <v>3</v>
      </c>
    </row>
    <row r="29064" spans="1:10" x14ac:dyDescent="0.25">
      <c r="A29064" t="s">
        <v>327</v>
      </c>
      <c r="B29064" s="1" t="str">
        <f>HYPERLINK("http://accu-chek.pt","accu-chek.pt")</f>
        <v>accu-chek.pt</v>
      </c>
      <c r="C29064" t="s">
        <v>488</v>
      </c>
      <c r="D29064" t="s">
        <v>862</v>
      </c>
      <c r="F29064">
        <v>1.11086894499821E-8</v>
      </c>
      <c r="G29064">
        <v>5779089</v>
      </c>
      <c r="H29064">
        <v>11072116</v>
      </c>
      <c r="I29064">
        <v>32556001</v>
      </c>
      <c r="J29064">
        <v>3</v>
      </c>
    </row>
    <row r="29065" spans="1:10" x14ac:dyDescent="0.25">
      <c r="A29065" t="s">
        <v>327</v>
      </c>
      <c r="B29065" s="1" t="str">
        <f>HYPERLINK("http://foundationmedicine.pt","foundationmedicine.pt")</f>
        <v>foundationmedicine.pt</v>
      </c>
      <c r="C29065" t="s">
        <v>488</v>
      </c>
      <c r="D29065" t="s">
        <v>862</v>
      </c>
      <c r="F29065">
        <v>1.1606396207768599E-8</v>
      </c>
      <c r="G29065">
        <v>5428830</v>
      </c>
      <c r="H29065">
        <v>12989860</v>
      </c>
      <c r="I29065">
        <v>12860775</v>
      </c>
      <c r="J29065">
        <v>3</v>
      </c>
    </row>
    <row r="29066" spans="1:10" x14ac:dyDescent="0.25">
      <c r="A29066" t="s">
        <v>327</v>
      </c>
      <c r="B29066" s="1" t="str">
        <f>HYPERLINK("http://roche.pt","roche.pt")</f>
        <v>roche.pt</v>
      </c>
      <c r="C29066" t="s">
        <v>488</v>
      </c>
      <c r="D29066" t="s">
        <v>862</v>
      </c>
      <c r="E29066">
        <v>776281</v>
      </c>
      <c r="F29066">
        <v>3.9515519855237299E-8</v>
      </c>
      <c r="G29066">
        <v>1306443</v>
      </c>
      <c r="H29066">
        <v>14528249</v>
      </c>
      <c r="I29066">
        <v>790405</v>
      </c>
      <c r="J29066">
        <v>3</v>
      </c>
    </row>
    <row r="29067" spans="1:10" x14ac:dyDescent="0.25">
      <c r="A29067" t="s">
        <v>327</v>
      </c>
      <c r="B29067" s="1" t="str">
        <f>HYPERLINK("http://accu-chek.ro","accu-chek.ro")</f>
        <v>accu-chek.ro</v>
      </c>
      <c r="C29067" t="s">
        <v>491</v>
      </c>
      <c r="D29067" t="s">
        <v>865</v>
      </c>
      <c r="F29067">
        <v>1.58513959325635E-8</v>
      </c>
      <c r="G29067">
        <v>3585481</v>
      </c>
      <c r="H29067">
        <v>11255809</v>
      </c>
      <c r="I29067">
        <v>30857487</v>
      </c>
      <c r="J29067">
        <v>3</v>
      </c>
    </row>
    <row r="29068" spans="1:10" x14ac:dyDescent="0.25">
      <c r="A29068" t="s">
        <v>327</v>
      </c>
      <c r="B29068" s="1" t="str">
        <f>HYPERLINK("http://foundationmedicine.ro","foundationmedicine.ro")</f>
        <v>foundationmedicine.ro</v>
      </c>
      <c r="C29068" t="s">
        <v>491</v>
      </c>
      <c r="D29068" t="s">
        <v>865</v>
      </c>
      <c r="F29068">
        <v>1.1822905006441501E-8</v>
      </c>
      <c r="G29068">
        <v>5287830</v>
      </c>
      <c r="H29068">
        <v>12989908</v>
      </c>
      <c r="I29068">
        <v>12860391</v>
      </c>
      <c r="J29068">
        <v>3</v>
      </c>
    </row>
    <row r="29069" spans="1:10" x14ac:dyDescent="0.25">
      <c r="A29069" t="s">
        <v>327</v>
      </c>
      <c r="B29069" s="1" t="str">
        <f>HYPERLINK("http://roche.ro","roche.ro")</f>
        <v>roche.ro</v>
      </c>
      <c r="C29069" t="s">
        <v>491</v>
      </c>
      <c r="D29069" t="s">
        <v>865</v>
      </c>
      <c r="F29069">
        <v>1.5529269596039201E-8</v>
      </c>
      <c r="G29069">
        <v>3676241</v>
      </c>
      <c r="H29069">
        <v>13948207</v>
      </c>
      <c r="I29069">
        <v>4198433</v>
      </c>
      <c r="J29069">
        <v>3</v>
      </c>
    </row>
    <row r="29070" spans="1:10" x14ac:dyDescent="0.25">
      <c r="A29070" t="s">
        <v>327</v>
      </c>
      <c r="B29070" s="1" t="str">
        <f>HYPERLINK("http://rochesrbija.rs","rochesrbija.rs")</f>
        <v>rochesrbija.rs</v>
      </c>
      <c r="C29070" t="s">
        <v>492</v>
      </c>
      <c r="D29070" t="s">
        <v>866</v>
      </c>
      <c r="F29070">
        <v>1.0314446672648E-8</v>
      </c>
      <c r="G29070">
        <v>6437498</v>
      </c>
      <c r="H29070">
        <v>14072198</v>
      </c>
      <c r="I29070">
        <v>3138164</v>
      </c>
      <c r="J29070">
        <v>3</v>
      </c>
    </row>
    <row r="29071" spans="1:10" x14ac:dyDescent="0.25">
      <c r="A29071" t="s">
        <v>327</v>
      </c>
      <c r="B29071" s="1" t="str">
        <f>HYPERLINK("http://accu-chek.ru","accu-chek.ru")</f>
        <v>accu-chek.ru</v>
      </c>
      <c r="C29071" t="s">
        <v>493</v>
      </c>
      <c r="D29071" t="s">
        <v>867</v>
      </c>
      <c r="F29071">
        <v>3.67405652828148E-8</v>
      </c>
      <c r="G29071">
        <v>1422539</v>
      </c>
      <c r="H29071">
        <v>14077584</v>
      </c>
      <c r="I29071">
        <v>2862601</v>
      </c>
      <c r="J29071">
        <v>3</v>
      </c>
    </row>
    <row r="29072" spans="1:10" x14ac:dyDescent="0.25">
      <c r="A29072" t="s">
        <v>327</v>
      </c>
      <c r="B29072" s="1" t="str">
        <f>HYPERLINK("http://roche.ru","roche.ru")</f>
        <v>roche.ru</v>
      </c>
      <c r="C29072" t="s">
        <v>493</v>
      </c>
      <c r="D29072" t="s">
        <v>867</v>
      </c>
      <c r="E29072">
        <v>241925</v>
      </c>
      <c r="F29072">
        <v>7.3579195840624394E-8</v>
      </c>
      <c r="G29072">
        <v>572684</v>
      </c>
      <c r="H29072">
        <v>14085038</v>
      </c>
      <c r="I29072">
        <v>2782642</v>
      </c>
      <c r="J29072">
        <v>3</v>
      </c>
    </row>
    <row r="29073" spans="1:10" x14ac:dyDescent="0.25">
      <c r="A29073" t="s">
        <v>327</v>
      </c>
      <c r="B29073" s="1" t="str">
        <f>HYPERLINK("http://accu-chek.se","accu-chek.se")</f>
        <v>accu-chek.se</v>
      </c>
      <c r="C29073" t="s">
        <v>495</v>
      </c>
      <c r="D29073" t="s">
        <v>869</v>
      </c>
      <c r="F29073">
        <v>1.27694428290408E-8</v>
      </c>
      <c r="G29073">
        <v>4744777</v>
      </c>
      <c r="H29073">
        <v>13081053</v>
      </c>
      <c r="I29073">
        <v>12183894</v>
      </c>
      <c r="J29073">
        <v>3</v>
      </c>
    </row>
    <row r="29074" spans="1:10" x14ac:dyDescent="0.25">
      <c r="A29074" t="s">
        <v>327</v>
      </c>
      <c r="B29074" s="1" t="str">
        <f>HYPERLINK("http://roche.se","roche.se")</f>
        <v>roche.se</v>
      </c>
      <c r="C29074" t="s">
        <v>495</v>
      </c>
      <c r="D29074" t="s">
        <v>869</v>
      </c>
      <c r="F29074">
        <v>3.41307923633113E-8</v>
      </c>
      <c r="G29074">
        <v>1517967</v>
      </c>
      <c r="H29074">
        <v>14037947</v>
      </c>
      <c r="I29074">
        <v>3911512</v>
      </c>
      <c r="J29074">
        <v>3</v>
      </c>
    </row>
    <row r="29075" spans="1:10" x14ac:dyDescent="0.25">
      <c r="A29075" t="s">
        <v>327</v>
      </c>
      <c r="B29075" s="1" t="str">
        <f>HYPERLINK("http://accu-chek.com.sg","accu-chek.com.sg")</f>
        <v>accu-chek.com.sg</v>
      </c>
      <c r="C29075" t="s">
        <v>496</v>
      </c>
      <c r="D29075" t="s">
        <v>870</v>
      </c>
      <c r="E29075">
        <v>645225</v>
      </c>
      <c r="F29075">
        <v>1.47050435544045E-8</v>
      </c>
      <c r="G29075">
        <v>3939311</v>
      </c>
      <c r="H29075">
        <v>12863526</v>
      </c>
      <c r="I29075">
        <v>14173081</v>
      </c>
      <c r="J29075">
        <v>3</v>
      </c>
    </row>
    <row r="29076" spans="1:10" x14ac:dyDescent="0.25">
      <c r="A29076" t="s">
        <v>327</v>
      </c>
      <c r="B29076" s="1" t="str">
        <f>HYPERLINK("http://roche.com.sg","roche.com.sg")</f>
        <v>roche.com.sg</v>
      </c>
      <c r="C29076" t="s">
        <v>496</v>
      </c>
      <c r="D29076" t="s">
        <v>870</v>
      </c>
      <c r="F29076">
        <v>1.51244143479496E-8</v>
      </c>
      <c r="G29076">
        <v>3799981</v>
      </c>
      <c r="H29076">
        <v>12649115</v>
      </c>
      <c r="I29076">
        <v>15803303</v>
      </c>
      <c r="J29076">
        <v>3</v>
      </c>
    </row>
    <row r="29077" spans="1:10" x14ac:dyDescent="0.25">
      <c r="A29077" t="s">
        <v>327</v>
      </c>
      <c r="B29077" s="1" t="str">
        <f>HYPERLINK("http://foundationmedicine.sg","foundationmedicine.sg")</f>
        <v>foundationmedicine.sg</v>
      </c>
      <c r="C29077" t="s">
        <v>496</v>
      </c>
      <c r="D29077" t="s">
        <v>870</v>
      </c>
      <c r="F29077">
        <v>5.7792802585937299E-9</v>
      </c>
      <c r="G29077">
        <v>18252629</v>
      </c>
      <c r="H29077">
        <v>10724257</v>
      </c>
      <c r="I29077">
        <v>41418993</v>
      </c>
      <c r="J29077">
        <v>3</v>
      </c>
    </row>
    <row r="29078" spans="1:10" x14ac:dyDescent="0.25">
      <c r="A29078" t="s">
        <v>327</v>
      </c>
      <c r="B29078" s="1" t="str">
        <f>HYPERLINK("http://accu-chek.si","accu-chek.si")</f>
        <v>accu-chek.si</v>
      </c>
      <c r="C29078" t="s">
        <v>497</v>
      </c>
      <c r="D29078" t="s">
        <v>871</v>
      </c>
      <c r="F29078">
        <v>1.6321303063853501E-8</v>
      </c>
      <c r="G29078">
        <v>3465503</v>
      </c>
      <c r="H29078">
        <v>12242766</v>
      </c>
      <c r="I29078">
        <v>22176675</v>
      </c>
      <c r="J29078">
        <v>3</v>
      </c>
    </row>
    <row r="29079" spans="1:10" x14ac:dyDescent="0.25">
      <c r="A29079" t="s">
        <v>327</v>
      </c>
      <c r="B29079" s="1" t="str">
        <f>HYPERLINK("http://roche.si","roche.si")</f>
        <v>roche.si</v>
      </c>
      <c r="C29079" t="s">
        <v>497</v>
      </c>
      <c r="D29079" t="s">
        <v>871</v>
      </c>
      <c r="F29079">
        <v>3.5979642732039298E-8</v>
      </c>
      <c r="G29079">
        <v>1448249</v>
      </c>
      <c r="H29079">
        <v>12942971</v>
      </c>
      <c r="I29079">
        <v>13269165</v>
      </c>
      <c r="J29079">
        <v>3</v>
      </c>
    </row>
    <row r="29080" spans="1:10" x14ac:dyDescent="0.25">
      <c r="A29080" t="s">
        <v>327</v>
      </c>
      <c r="B29080" s="1" t="str">
        <f>HYPERLINK("http://roche.sk","roche.sk")</f>
        <v>roche.sk</v>
      </c>
      <c r="C29080" t="s">
        <v>498</v>
      </c>
      <c r="D29080" t="s">
        <v>872</v>
      </c>
      <c r="F29080">
        <v>1.76007681230872E-8</v>
      </c>
      <c r="G29080">
        <v>3118791</v>
      </c>
      <c r="H29080">
        <v>12580894</v>
      </c>
      <c r="I29080">
        <v>16498442</v>
      </c>
      <c r="J29080">
        <v>3</v>
      </c>
    </row>
    <row r="29081" spans="1:10" x14ac:dyDescent="0.25">
      <c r="A29081" t="s">
        <v>327</v>
      </c>
      <c r="B29081" s="1" t="str">
        <f>HYPERLINK("http://accu-chek.co.th","accu-chek.co.th")</f>
        <v>accu-chek.co.th</v>
      </c>
      <c r="C29081" t="s">
        <v>500</v>
      </c>
      <c r="D29081" t="s">
        <v>874</v>
      </c>
      <c r="F29081">
        <v>1.13147934786674E-8</v>
      </c>
      <c r="G29081">
        <v>5632391</v>
      </c>
      <c r="H29081">
        <v>11060317</v>
      </c>
      <c r="I29081">
        <v>32679217</v>
      </c>
      <c r="J29081">
        <v>3</v>
      </c>
    </row>
    <row r="29082" spans="1:10" x14ac:dyDescent="0.25">
      <c r="A29082" t="s">
        <v>327</v>
      </c>
      <c r="B29082" s="1" t="str">
        <f>HYPERLINK("http://roche.co.th","roche.co.th")</f>
        <v>roche.co.th</v>
      </c>
      <c r="C29082" t="s">
        <v>500</v>
      </c>
      <c r="D29082" t="s">
        <v>874</v>
      </c>
      <c r="F29082">
        <v>1.4550241030708E-8</v>
      </c>
      <c r="G29082">
        <v>3994950</v>
      </c>
      <c r="H29082">
        <v>12579518</v>
      </c>
      <c r="I29082">
        <v>16518139</v>
      </c>
      <c r="J29082">
        <v>3</v>
      </c>
    </row>
    <row r="29083" spans="1:10" x14ac:dyDescent="0.25">
      <c r="A29083" t="s">
        <v>327</v>
      </c>
      <c r="B29083" s="1" t="str">
        <f>HYPERLINK("http://roche.com.tr","roche.com.tr")</f>
        <v>roche.com.tr</v>
      </c>
      <c r="C29083" t="s">
        <v>502</v>
      </c>
      <c r="D29083" t="s">
        <v>876</v>
      </c>
      <c r="F29083">
        <v>1.39755673742618E-8</v>
      </c>
      <c r="G29083">
        <v>4211967</v>
      </c>
      <c r="H29083">
        <v>12978529</v>
      </c>
      <c r="I29083">
        <v>12999334</v>
      </c>
      <c r="J29083">
        <v>3</v>
      </c>
    </row>
    <row r="29084" spans="1:10" x14ac:dyDescent="0.25">
      <c r="A29084" t="s">
        <v>327</v>
      </c>
      <c r="B29084" s="1" t="str">
        <f>HYPERLINK("http://accu-chek.com.tw","accu-chek.com.tw")</f>
        <v>accu-chek.com.tw</v>
      </c>
      <c r="C29084" t="s">
        <v>504</v>
      </c>
      <c r="D29084" t="s">
        <v>878</v>
      </c>
      <c r="F29084">
        <v>1.17966693833833E-8</v>
      </c>
      <c r="G29084">
        <v>5304219</v>
      </c>
      <c r="H29084">
        <v>13558827</v>
      </c>
      <c r="I29084">
        <v>9863311</v>
      </c>
      <c r="J29084">
        <v>3</v>
      </c>
    </row>
    <row r="29085" spans="1:10" x14ac:dyDescent="0.25">
      <c r="A29085" t="s">
        <v>327</v>
      </c>
      <c r="B29085" s="1" t="str">
        <f>HYPERLINK("http://roche.com.tw","roche.com.tw")</f>
        <v>roche.com.tw</v>
      </c>
      <c r="C29085" t="s">
        <v>504</v>
      </c>
      <c r="D29085" t="s">
        <v>878</v>
      </c>
      <c r="F29085">
        <v>6.9124251285533102E-9</v>
      </c>
      <c r="G29085">
        <v>12582191</v>
      </c>
      <c r="H29085">
        <v>13764721</v>
      </c>
      <c r="I29085">
        <v>7203708</v>
      </c>
      <c r="J29085">
        <v>3</v>
      </c>
    </row>
    <row r="29086" spans="1:10" x14ac:dyDescent="0.25">
      <c r="A29086" t="s">
        <v>327</v>
      </c>
      <c r="B29086" s="1" t="str">
        <f>HYPERLINK("http://foundationmedicine.tw","foundationmedicine.tw")</f>
        <v>foundationmedicine.tw</v>
      </c>
      <c r="C29086" t="s">
        <v>504</v>
      </c>
      <c r="D29086" t="s">
        <v>878</v>
      </c>
      <c r="F29086">
        <v>4.8924391163057104E-9</v>
      </c>
      <c r="G29086">
        <v>32691504</v>
      </c>
      <c r="H29086">
        <v>10066281</v>
      </c>
      <c r="I29086">
        <v>60169005</v>
      </c>
      <c r="J29086">
        <v>3</v>
      </c>
    </row>
    <row r="29087" spans="1:10" x14ac:dyDescent="0.25">
      <c r="A29087" t="s">
        <v>327</v>
      </c>
      <c r="B29087" s="1" t="str">
        <f>HYPERLINK("http://accu-chek.co.uk","accu-chek.co.uk")</f>
        <v>accu-chek.co.uk</v>
      </c>
      <c r="C29087" t="s">
        <v>506</v>
      </c>
      <c r="D29087" t="s">
        <v>880</v>
      </c>
      <c r="F29087">
        <v>3.8264321318344599E-8</v>
      </c>
      <c r="G29087">
        <v>1352824</v>
      </c>
      <c r="H29087">
        <v>14149482</v>
      </c>
      <c r="I29087">
        <v>1881148</v>
      </c>
      <c r="J29087">
        <v>3</v>
      </c>
    </row>
    <row r="29088" spans="1:10" x14ac:dyDescent="0.25">
      <c r="A29088" t="s">
        <v>327</v>
      </c>
      <c r="B29088" s="1" t="str">
        <f>HYPERLINK("http://roche.co.uk","roche.co.uk")</f>
        <v>roche.co.uk</v>
      </c>
      <c r="C29088" t="s">
        <v>506</v>
      </c>
      <c r="D29088" t="s">
        <v>880</v>
      </c>
      <c r="E29088">
        <v>497887</v>
      </c>
      <c r="F29088">
        <v>4.8706042809555001E-8</v>
      </c>
      <c r="G29088">
        <v>951848</v>
      </c>
      <c r="H29088">
        <v>13859115</v>
      </c>
      <c r="I29088">
        <v>6025117</v>
      </c>
      <c r="J29088">
        <v>3</v>
      </c>
    </row>
    <row r="29089" spans="1:10" x14ac:dyDescent="0.25">
      <c r="A29089" t="s">
        <v>327</v>
      </c>
      <c r="B29089" s="1" t="str">
        <f>HYPERLINK("http://accu-chek.com.uy","accu-chek.com.uy")</f>
        <v>accu-chek.com.uy</v>
      </c>
      <c r="C29089" t="s">
        <v>507</v>
      </c>
      <c r="D29089" t="s">
        <v>881</v>
      </c>
      <c r="F29089">
        <v>1.12876916158967E-8</v>
      </c>
      <c r="G29089">
        <v>5651083</v>
      </c>
      <c r="H29089">
        <v>11055340</v>
      </c>
      <c r="I29089">
        <v>32738415</v>
      </c>
      <c r="J29089">
        <v>3</v>
      </c>
    </row>
    <row r="29090" spans="1:10" x14ac:dyDescent="0.25">
      <c r="A29090" t="s">
        <v>327</v>
      </c>
      <c r="B29090" s="1" t="str">
        <f>HYPERLINK("http://foundationmedicine.com.uy","foundationmedicine.com.uy")</f>
        <v>foundationmedicine.com.uy</v>
      </c>
      <c r="C29090" t="s">
        <v>507</v>
      </c>
      <c r="D29090" t="s">
        <v>881</v>
      </c>
      <c r="F29090">
        <v>1.18867410612512E-8</v>
      </c>
      <c r="G29090">
        <v>5247281</v>
      </c>
      <c r="H29090">
        <v>12989837</v>
      </c>
      <c r="I29090">
        <v>12860984</v>
      </c>
      <c r="J29090">
        <v>3</v>
      </c>
    </row>
    <row r="29091" spans="1:10" x14ac:dyDescent="0.25">
      <c r="A29091" t="s">
        <v>327</v>
      </c>
      <c r="B29091" s="1" t="str">
        <f>HYPERLINK("http://roche.com.uy","roche.com.uy")</f>
        <v>roche.com.uy</v>
      </c>
      <c r="C29091" t="s">
        <v>507</v>
      </c>
      <c r="D29091" t="s">
        <v>881</v>
      </c>
      <c r="F29091">
        <v>9.4396439636728508E-9</v>
      </c>
      <c r="G29091">
        <v>7395404</v>
      </c>
      <c r="H29091">
        <v>12836088</v>
      </c>
      <c r="I29091">
        <v>14376480</v>
      </c>
      <c r="J29091">
        <v>3</v>
      </c>
    </row>
    <row r="29092" spans="1:10" x14ac:dyDescent="0.25">
      <c r="A29092" t="s">
        <v>327</v>
      </c>
      <c r="B29092" s="1" t="str">
        <f>HYPERLINK("http://accu-chek.com.vn","accu-chek.com.vn")</f>
        <v>accu-chek.com.vn</v>
      </c>
      <c r="C29092" t="s">
        <v>509</v>
      </c>
      <c r="D29092" t="s">
        <v>883</v>
      </c>
      <c r="E29092">
        <v>728519</v>
      </c>
      <c r="F29092">
        <v>1.47700818296094E-8</v>
      </c>
      <c r="G29092">
        <v>3917280</v>
      </c>
      <c r="H29092">
        <v>12864423</v>
      </c>
      <c r="I29092">
        <v>14167591</v>
      </c>
      <c r="J29092">
        <v>3</v>
      </c>
    </row>
    <row r="29093" spans="1:10" x14ac:dyDescent="0.25">
      <c r="A29093" t="s">
        <v>327</v>
      </c>
      <c r="B29093" s="1" t="str">
        <f>HYPERLINK("http://roche.com.vn","roche.com.vn")</f>
        <v>roche.com.vn</v>
      </c>
      <c r="C29093" t="s">
        <v>509</v>
      </c>
      <c r="D29093" t="s">
        <v>883</v>
      </c>
      <c r="F29093">
        <v>1.0189979468122E-8</v>
      </c>
      <c r="G29093">
        <v>6556998</v>
      </c>
      <c r="H29093">
        <v>12855755</v>
      </c>
      <c r="I29093">
        <v>14229488</v>
      </c>
      <c r="J29093">
        <v>3</v>
      </c>
    </row>
    <row r="29094" spans="1:10" x14ac:dyDescent="0.25">
      <c r="A29094" t="s">
        <v>327</v>
      </c>
      <c r="B29094" s="1" t="str">
        <f>HYPERLINK("http://accu-chek.co.za","accu-chek.co.za")</f>
        <v>accu-chek.co.za</v>
      </c>
      <c r="C29094" t="s">
        <v>510</v>
      </c>
      <c r="D29094" t="s">
        <v>884</v>
      </c>
      <c r="F29094">
        <v>6.23594913053903E-9</v>
      </c>
      <c r="G29094">
        <v>15345469</v>
      </c>
      <c r="H29094">
        <v>12152143</v>
      </c>
      <c r="I29094">
        <v>24571433</v>
      </c>
      <c r="J29094">
        <v>4</v>
      </c>
    </row>
    <row r="29095" spans="1:10" x14ac:dyDescent="0.25">
      <c r="A29095" t="s">
        <v>327</v>
      </c>
      <c r="B29095" s="1" t="str">
        <f>HYPERLINK("http://roche.co.za","roche.co.za")</f>
        <v>roche.co.za</v>
      </c>
      <c r="C29095" t="s">
        <v>510</v>
      </c>
      <c r="D29095" t="s">
        <v>884</v>
      </c>
      <c r="F29095">
        <v>1.43049265946978E-8</v>
      </c>
      <c r="G29095">
        <v>4091558</v>
      </c>
      <c r="H29095">
        <v>12950762</v>
      </c>
      <c r="I29095">
        <v>13208752</v>
      </c>
      <c r="J29095">
        <v>3</v>
      </c>
    </row>
    <row r="29096" spans="1:10" x14ac:dyDescent="0.25">
      <c r="A29096" t="s">
        <v>328</v>
      </c>
      <c r="B29096" s="1" t="str">
        <f>HYPERLINK("http://cbord.com.au","cbord.com.au")</f>
        <v>cbord.com.au</v>
      </c>
      <c r="C29096" t="s">
        <v>420</v>
      </c>
      <c r="D29096" t="s">
        <v>802</v>
      </c>
      <c r="F29096">
        <v>5.1451840273745496E-9</v>
      </c>
      <c r="G29096">
        <v>26170638</v>
      </c>
      <c r="H29096">
        <v>12034502</v>
      </c>
      <c r="I29096">
        <v>27572214</v>
      </c>
      <c r="J29096">
        <v>5</v>
      </c>
    </row>
    <row r="29097" spans="1:10" x14ac:dyDescent="0.25">
      <c r="A29097" t="s">
        <v>328</v>
      </c>
      <c r="B29097" s="1" t="str">
        <f>HYPERLINK("http://mips.be","mips.be")</f>
        <v>mips.be</v>
      </c>
      <c r="C29097" t="s">
        <v>421</v>
      </c>
      <c r="D29097" t="s">
        <v>803</v>
      </c>
      <c r="F29097">
        <v>3.1967144194357497E-8</v>
      </c>
      <c r="G29097">
        <v>1616593</v>
      </c>
      <c r="H29097">
        <v>12521844</v>
      </c>
      <c r="I29097">
        <v>17130397</v>
      </c>
      <c r="J29097">
        <v>3</v>
      </c>
    </row>
    <row r="29098" spans="1:10" x14ac:dyDescent="0.25">
      <c r="A29098" t="s">
        <v>328</v>
      </c>
      <c r="B29098" s="1" t="str">
        <f>HYPERLINK("http://ipipeline.ca","ipipeline.ca")</f>
        <v>ipipeline.ca</v>
      </c>
      <c r="C29098" t="s">
        <v>428</v>
      </c>
      <c r="D29098" t="s">
        <v>809</v>
      </c>
      <c r="F29098">
        <v>5.83572212830362E-9</v>
      </c>
      <c r="G29098">
        <v>17816081</v>
      </c>
      <c r="H29098">
        <v>11009272</v>
      </c>
      <c r="I29098">
        <v>33417850</v>
      </c>
      <c r="J29098">
        <v>5</v>
      </c>
    </row>
    <row r="29099" spans="1:10" x14ac:dyDescent="0.25">
      <c r="A29099" t="s">
        <v>328</v>
      </c>
      <c r="B29099" s="1" t="str">
        <f>HYPERLINK("http://vertafore.ca","vertafore.ca")</f>
        <v>vertafore.ca</v>
      </c>
      <c r="C29099" t="s">
        <v>428</v>
      </c>
      <c r="D29099" t="s">
        <v>809</v>
      </c>
      <c r="F29099">
        <v>1.3444361869726199E-8</v>
      </c>
      <c r="G29099">
        <v>4428984</v>
      </c>
      <c r="H29099">
        <v>12243369</v>
      </c>
      <c r="I29099">
        <v>22164111</v>
      </c>
      <c r="J29099">
        <v>4</v>
      </c>
    </row>
    <row r="29100" spans="1:10" x14ac:dyDescent="0.25">
      <c r="A29100" t="s">
        <v>328</v>
      </c>
      <c r="B29100" s="1" t="str">
        <f>HYPERLINK("http://ndigital.cn","ndigital.cn")</f>
        <v>ndigital.cn</v>
      </c>
      <c r="C29100" t="s">
        <v>431</v>
      </c>
      <c r="D29100" t="s">
        <v>812</v>
      </c>
      <c r="F29100">
        <v>7.2370874584799201E-9</v>
      </c>
      <c r="G29100">
        <v>11639037</v>
      </c>
      <c r="H29100">
        <v>10454714</v>
      </c>
      <c r="I29100">
        <v>52025533</v>
      </c>
      <c r="J29100">
        <v>5</v>
      </c>
    </row>
    <row r="29101" spans="1:10" x14ac:dyDescent="0.25">
      <c r="A29101" t="s">
        <v>328</v>
      </c>
      <c r="B29101" s="1" t="str">
        <f>HYPERLINK("http://aderant.com","aderant.com")</f>
        <v>aderant.com</v>
      </c>
      <c r="C29101" t="s">
        <v>433</v>
      </c>
      <c r="E29101">
        <v>173336</v>
      </c>
      <c r="F29101">
        <v>1.4832125099834599E-7</v>
      </c>
      <c r="G29101">
        <v>262084</v>
      </c>
      <c r="H29101">
        <v>14313195</v>
      </c>
      <c r="I29101">
        <v>1338382</v>
      </c>
      <c r="J29101">
        <v>3</v>
      </c>
    </row>
    <row r="29102" spans="1:10" x14ac:dyDescent="0.25">
      <c r="A29102" t="s">
        <v>328</v>
      </c>
      <c r="B29102" s="1" t="str">
        <f>HYPERLINK("http://amphire.com","amphire.com")</f>
        <v>amphire.com</v>
      </c>
      <c r="C29102" t="s">
        <v>433</v>
      </c>
      <c r="E29102">
        <v>367240</v>
      </c>
      <c r="F29102">
        <v>8.3751646426019308E-9</v>
      </c>
      <c r="G29102">
        <v>9094327</v>
      </c>
      <c r="H29102">
        <v>12292473</v>
      </c>
      <c r="I29102">
        <v>21048885</v>
      </c>
      <c r="J29102">
        <v>3</v>
      </c>
    </row>
    <row r="29103" spans="1:10" x14ac:dyDescent="0.25">
      <c r="A29103" t="s">
        <v>328</v>
      </c>
      <c r="B29103" s="1" t="str">
        <f>HYPERLINK("http://amsservices.com","amsservices.com")</f>
        <v>amsservices.com</v>
      </c>
      <c r="C29103" t="s">
        <v>433</v>
      </c>
      <c r="F29103">
        <v>6.8120221205113202E-9</v>
      </c>
      <c r="G29103">
        <v>12920155</v>
      </c>
      <c r="H29103">
        <v>13141826</v>
      </c>
      <c r="I29103">
        <v>11871490</v>
      </c>
      <c r="J29103">
        <v>7</v>
      </c>
    </row>
    <row r="29104" spans="1:10" x14ac:dyDescent="0.25">
      <c r="A29104" t="s">
        <v>328</v>
      </c>
      <c r="B29104" s="1" t="str">
        <f>HYPERLINK("http://amssetwrite.com","amssetwrite.com")</f>
        <v>amssetwrite.com</v>
      </c>
      <c r="C29104" t="s">
        <v>433</v>
      </c>
      <c r="J29104">
        <v>4</v>
      </c>
    </row>
    <row r="29105" spans="1:10" x14ac:dyDescent="0.25">
      <c r="A29105" t="s">
        <v>328</v>
      </c>
      <c r="B29105" s="1" t="str">
        <f>HYPERLINK("http://atlantichealthpartners.com","atlantichealthpartners.com")</f>
        <v>atlantichealthpartners.com</v>
      </c>
      <c r="C29105" t="s">
        <v>433</v>
      </c>
      <c r="F29105">
        <v>1.5856516893026299E-8</v>
      </c>
      <c r="G29105">
        <v>3584040</v>
      </c>
      <c r="H29105">
        <v>13500842</v>
      </c>
      <c r="I29105">
        <v>9969227</v>
      </c>
      <c r="J29105">
        <v>3</v>
      </c>
    </row>
    <row r="29106" spans="1:10" x14ac:dyDescent="0.25">
      <c r="A29106" t="s">
        <v>328</v>
      </c>
      <c r="B29106" s="1" t="str">
        <f>HYPERLINK("http://benefitpoint.com","benefitpoint.com")</f>
        <v>benefitpoint.com</v>
      </c>
      <c r="C29106" t="s">
        <v>433</v>
      </c>
      <c r="E29106">
        <v>244305</v>
      </c>
      <c r="F29106">
        <v>7.7803467309466702E-9</v>
      </c>
      <c r="G29106">
        <v>10367474</v>
      </c>
      <c r="H29106">
        <v>13276577</v>
      </c>
      <c r="I29106">
        <v>10926838</v>
      </c>
      <c r="J29106">
        <v>4</v>
      </c>
    </row>
    <row r="29107" spans="1:10" x14ac:dyDescent="0.25">
      <c r="A29107" t="s">
        <v>328</v>
      </c>
      <c r="B29107" s="1" t="str">
        <f>HYPERLINK("http://cambridgeviscosity.com","cambridgeviscosity.com")</f>
        <v>cambridgeviscosity.com</v>
      </c>
      <c r="C29107" t="s">
        <v>433</v>
      </c>
      <c r="F29107">
        <v>8.6646806158426305E-9</v>
      </c>
      <c r="G29107">
        <v>8541620</v>
      </c>
      <c r="H29107">
        <v>12434901</v>
      </c>
      <c r="I29107">
        <v>18215620</v>
      </c>
      <c r="J29107">
        <v>6</v>
      </c>
    </row>
    <row r="29108" spans="1:10" x14ac:dyDescent="0.25">
      <c r="A29108" t="s">
        <v>328</v>
      </c>
      <c r="B29108" s="1" t="str">
        <f>HYPERLINK("http://cbord.com","cbord.com")</f>
        <v>cbord.com</v>
      </c>
      <c r="C29108" t="s">
        <v>433</v>
      </c>
      <c r="E29108">
        <v>58437</v>
      </c>
      <c r="F29108">
        <v>2.9457956357392802E-7</v>
      </c>
      <c r="G29108">
        <v>126332</v>
      </c>
      <c r="H29108">
        <v>17073898</v>
      </c>
      <c r="I29108">
        <v>69902</v>
      </c>
      <c r="J29108">
        <v>4</v>
      </c>
    </row>
    <row r="29109" spans="1:10" x14ac:dyDescent="0.25">
      <c r="A29109" t="s">
        <v>328</v>
      </c>
      <c r="B29109" s="1" t="str">
        <f>HYPERLINK("http://cdcnews.com","cdcnews.com")</f>
        <v>cdcnews.com</v>
      </c>
      <c r="C29109" t="s">
        <v>433</v>
      </c>
      <c r="F29109">
        <v>1.2548887308108201E-8</v>
      </c>
      <c r="G29109">
        <v>4859873</v>
      </c>
      <c r="H29109">
        <v>13775526</v>
      </c>
      <c r="I29109">
        <v>6577201</v>
      </c>
      <c r="J29109">
        <v>7</v>
      </c>
    </row>
    <row r="29110" spans="1:10" x14ac:dyDescent="0.25">
      <c r="A29110" t="s">
        <v>328</v>
      </c>
      <c r="B29110" s="1" t="str">
        <f>HYPERLINK("http://civco.com","civco.com")</f>
        <v>civco.com</v>
      </c>
      <c r="C29110" t="s">
        <v>433</v>
      </c>
      <c r="F29110">
        <v>5.0068208405058199E-8</v>
      </c>
      <c r="G29110">
        <v>919714</v>
      </c>
      <c r="H29110">
        <v>13537590</v>
      </c>
      <c r="I29110">
        <v>9910980</v>
      </c>
      <c r="J29110">
        <v>3</v>
      </c>
    </row>
    <row r="29111" spans="1:10" x14ac:dyDescent="0.25">
      <c r="A29111" t="s">
        <v>328</v>
      </c>
      <c r="B29111" s="1" t="str">
        <f>HYPERLINK("http://clinisys.com","clinisys.com")</f>
        <v>clinisys.com</v>
      </c>
      <c r="C29111" t="s">
        <v>433</v>
      </c>
      <c r="E29111">
        <v>540930</v>
      </c>
      <c r="F29111">
        <v>6.1865994783268397E-8</v>
      </c>
      <c r="G29111">
        <v>710902</v>
      </c>
      <c r="H29111">
        <v>12666378</v>
      </c>
      <c r="I29111">
        <v>15653358</v>
      </c>
      <c r="J29111">
        <v>7</v>
      </c>
    </row>
    <row r="29112" spans="1:10" x14ac:dyDescent="0.25">
      <c r="A29112" t="s">
        <v>328</v>
      </c>
      <c r="B29112" s="1" t="str">
        <f>HYPERLINK("http://clinisysgroup.com","clinisysgroup.com")</f>
        <v>clinisysgroup.com</v>
      </c>
      <c r="C29112" t="s">
        <v>433</v>
      </c>
      <c r="F29112">
        <v>5.0339284217441103E-8</v>
      </c>
      <c r="G29112">
        <v>913358</v>
      </c>
      <c r="H29112">
        <v>13342193</v>
      </c>
      <c r="I29112">
        <v>10665524</v>
      </c>
      <c r="J29112">
        <v>3</v>
      </c>
    </row>
    <row r="29113" spans="1:10" x14ac:dyDescent="0.25">
      <c r="A29113" t="s">
        <v>328</v>
      </c>
      <c r="B29113" s="1" t="str">
        <f>HYPERLINK("http://constructconnect.com","constructconnect.com")</f>
        <v>constructconnect.com</v>
      </c>
      <c r="C29113" t="s">
        <v>433</v>
      </c>
      <c r="E29113">
        <v>28995</v>
      </c>
      <c r="F29113">
        <v>8.4362496782817704E-7</v>
      </c>
      <c r="G29113">
        <v>47123</v>
      </c>
      <c r="H29113">
        <v>15575541</v>
      </c>
      <c r="I29113">
        <v>373097</v>
      </c>
      <c r="J29113">
        <v>3</v>
      </c>
    </row>
    <row r="29114" spans="1:10" x14ac:dyDescent="0.25">
      <c r="A29114" t="s">
        <v>328</v>
      </c>
      <c r="B29114" s="1" t="str">
        <f>HYPERLINK("http://dat.com","dat.com")</f>
        <v>dat.com</v>
      </c>
      <c r="C29114" t="s">
        <v>433</v>
      </c>
      <c r="E29114">
        <v>18062</v>
      </c>
      <c r="F29114">
        <v>3.4403887809106801E-7</v>
      </c>
      <c r="G29114">
        <v>108546</v>
      </c>
      <c r="H29114">
        <v>14945956</v>
      </c>
      <c r="I29114">
        <v>441836</v>
      </c>
      <c r="J29114">
        <v>4</v>
      </c>
    </row>
    <row r="29115" spans="1:10" x14ac:dyDescent="0.25">
      <c r="A29115" t="s">
        <v>328</v>
      </c>
      <c r="B29115" s="1" t="str">
        <f>HYPERLINK("http://datainnovations.com","datainnovations.com")</f>
        <v>datainnovations.com</v>
      </c>
      <c r="C29115" t="s">
        <v>433</v>
      </c>
      <c r="F29115">
        <v>4.5474384316794297E-8</v>
      </c>
      <c r="G29115">
        <v>1035306</v>
      </c>
      <c r="H29115">
        <v>13588784</v>
      </c>
      <c r="I29115">
        <v>9670858</v>
      </c>
      <c r="J29115">
        <v>3</v>
      </c>
    </row>
    <row r="29116" spans="1:10" x14ac:dyDescent="0.25">
      <c r="A29116" t="s">
        <v>328</v>
      </c>
      <c r="B29116" s="1" t="str">
        <f>HYPERLINK("http://deltek.com","deltek.com")</f>
        <v>deltek.com</v>
      </c>
      <c r="C29116" t="s">
        <v>433</v>
      </c>
      <c r="E29116">
        <v>37425</v>
      </c>
      <c r="F29116">
        <v>6.8342168534124203E-7</v>
      </c>
      <c r="G29116">
        <v>56528</v>
      </c>
      <c r="H29116">
        <v>17297202</v>
      </c>
      <c r="I29116">
        <v>28202</v>
      </c>
      <c r="J29116">
        <v>3</v>
      </c>
    </row>
    <row r="29117" spans="1:10" x14ac:dyDescent="0.25">
      <c r="A29117" t="s">
        <v>328</v>
      </c>
      <c r="B29117" s="1" t="str">
        <f>HYPERLINK("http://digital-schools.com","digital-schools.com")</f>
        <v>digital-schools.com</v>
      </c>
      <c r="C29117" t="s">
        <v>433</v>
      </c>
      <c r="E29117">
        <v>660426</v>
      </c>
      <c r="F29117">
        <v>8.6354457895920205E-9</v>
      </c>
      <c r="G29117">
        <v>8592701</v>
      </c>
      <c r="H29117">
        <v>12509158</v>
      </c>
      <c r="I29117">
        <v>17253446</v>
      </c>
      <c r="J29117">
        <v>4</v>
      </c>
    </row>
    <row r="29118" spans="1:10" x14ac:dyDescent="0.25">
      <c r="A29118" t="s">
        <v>328</v>
      </c>
      <c r="B29118" s="1" t="str">
        <f>HYPERLINK("http://esped.com","esped.com")</f>
        <v>esped.com</v>
      </c>
      <c r="C29118" t="s">
        <v>433</v>
      </c>
      <c r="E29118">
        <v>134911</v>
      </c>
      <c r="F29118">
        <v>1.97128141665693E-8</v>
      </c>
      <c r="G29118">
        <v>2707071</v>
      </c>
      <c r="H29118">
        <v>13371692</v>
      </c>
      <c r="I29118">
        <v>10462109</v>
      </c>
      <c r="J29118">
        <v>3</v>
      </c>
    </row>
    <row r="29119" spans="1:10" x14ac:dyDescent="0.25">
      <c r="A29119" t="s">
        <v>328</v>
      </c>
      <c r="B29119" s="1" t="str">
        <f>HYPERLINK("http://excent.com","excent.com")</f>
        <v>excent.com</v>
      </c>
      <c r="C29119" t="s">
        <v>433</v>
      </c>
      <c r="F29119">
        <v>9.4101944389192204E-9</v>
      </c>
      <c r="G29119">
        <v>7431721</v>
      </c>
      <c r="H29119">
        <v>13941089</v>
      </c>
      <c r="I29119">
        <v>4354502</v>
      </c>
      <c r="J29119">
        <v>3</v>
      </c>
    </row>
    <row r="29120" spans="1:10" x14ac:dyDescent="0.25">
      <c r="A29120" t="s">
        <v>328</v>
      </c>
      <c r="B29120" s="1" t="str">
        <f>HYPERLINK("http://fluidmetering.com","fluidmetering.com")</f>
        <v>fluidmetering.com</v>
      </c>
      <c r="C29120" t="s">
        <v>433</v>
      </c>
      <c r="F29120">
        <v>2.27599901054119E-8</v>
      </c>
      <c r="G29120">
        <v>2300225</v>
      </c>
      <c r="H29120">
        <v>12772150</v>
      </c>
      <c r="I29120">
        <v>14825681</v>
      </c>
      <c r="J29120">
        <v>3</v>
      </c>
    </row>
    <row r="29121" spans="1:10" x14ac:dyDescent="0.25">
      <c r="A29121" t="s">
        <v>328</v>
      </c>
      <c r="B29121" s="1" t="str">
        <f>HYPERLINK("http://foundry.com","foundry.com")</f>
        <v>foundry.com</v>
      </c>
      <c r="C29121" t="s">
        <v>433</v>
      </c>
      <c r="E29121">
        <v>51364</v>
      </c>
      <c r="F29121">
        <v>6.7767138295023898E-7</v>
      </c>
      <c r="G29121">
        <v>56908</v>
      </c>
      <c r="H29121">
        <v>17462296</v>
      </c>
      <c r="I29121">
        <v>15483</v>
      </c>
      <c r="J29121">
        <v>3</v>
      </c>
    </row>
    <row r="29122" spans="1:10" x14ac:dyDescent="0.25">
      <c r="A29122" t="s">
        <v>328</v>
      </c>
      <c r="B29122" s="1" t="str">
        <f>HYPERLINK("http://frontlinetechnologies.com","frontlinetechnologies.com")</f>
        <v>frontlinetechnologies.com</v>
      </c>
      <c r="C29122" t="s">
        <v>433</v>
      </c>
      <c r="F29122">
        <v>2.1961415805451399E-8</v>
      </c>
      <c r="G29122">
        <v>2390800</v>
      </c>
      <c r="H29122">
        <v>12793271</v>
      </c>
      <c r="I29122">
        <v>14672052</v>
      </c>
      <c r="J29122">
        <v>3</v>
      </c>
    </row>
    <row r="29123" spans="1:10" x14ac:dyDescent="0.25">
      <c r="A29123" t="s">
        <v>328</v>
      </c>
      <c r="B29123" s="1" t="str">
        <f>HYPERLINK("http://fscrater.com","fscrater.com")</f>
        <v>fscrater.com</v>
      </c>
      <c r="C29123" t="s">
        <v>433</v>
      </c>
      <c r="F29123">
        <v>6.5604908399207097E-9</v>
      </c>
      <c r="G29123">
        <v>13831779</v>
      </c>
      <c r="H29123">
        <v>10007704</v>
      </c>
      <c r="I29123">
        <v>60765570</v>
      </c>
      <c r="J29123">
        <v>4</v>
      </c>
    </row>
    <row r="29124" spans="1:10" x14ac:dyDescent="0.25">
      <c r="A29124" t="s">
        <v>328</v>
      </c>
      <c r="B29124" s="1" t="str">
        <f>HYPERLINK("http://galeforcesolutions.com","galeforcesolutions.com")</f>
        <v>galeforcesolutions.com</v>
      </c>
      <c r="C29124" t="s">
        <v>433</v>
      </c>
      <c r="F29124">
        <v>1.7102250864923001E-8</v>
      </c>
      <c r="G29124">
        <v>3260266</v>
      </c>
      <c r="H29124">
        <v>13804324</v>
      </c>
      <c r="I29124">
        <v>6248683</v>
      </c>
      <c r="J29124">
        <v>7</v>
      </c>
    </row>
    <row r="29125" spans="1:10" x14ac:dyDescent="0.25">
      <c r="A29125" t="s">
        <v>328</v>
      </c>
      <c r="B29125" s="1" t="str">
        <f>HYPERLINK("http://gobluefrog.com","gobluefrog.com")</f>
        <v>gobluefrog.com</v>
      </c>
      <c r="C29125" t="s">
        <v>433</v>
      </c>
      <c r="J29125">
        <v>6</v>
      </c>
    </row>
    <row r="29126" spans="1:10" x14ac:dyDescent="0.25">
      <c r="A29126" t="s">
        <v>328</v>
      </c>
      <c r="B29126" s="1" t="str">
        <f>HYPERLINK("http://govwin.com","govwin.com")</f>
        <v>govwin.com</v>
      </c>
      <c r="C29126" t="s">
        <v>433</v>
      </c>
      <c r="E29126">
        <v>207997</v>
      </c>
      <c r="F29126">
        <v>1.3365182915472301E-7</v>
      </c>
      <c r="G29126">
        <v>292219</v>
      </c>
      <c r="H29126">
        <v>14700295</v>
      </c>
      <c r="I29126">
        <v>592716</v>
      </c>
      <c r="J29126">
        <v>4</v>
      </c>
    </row>
    <row r="29127" spans="1:10" x14ac:dyDescent="0.25">
      <c r="A29127" t="s">
        <v>328</v>
      </c>
      <c r="B29127" s="1" t="str">
        <f>HYPERLINK("http://guidek12.com","guidek12.com")</f>
        <v>guidek12.com</v>
      </c>
      <c r="C29127" t="s">
        <v>433</v>
      </c>
      <c r="F29127">
        <v>6.7427304865235702E-8</v>
      </c>
      <c r="G29127">
        <v>633754</v>
      </c>
      <c r="H29127">
        <v>13387237</v>
      </c>
      <c r="I29127">
        <v>10400653</v>
      </c>
      <c r="J29127">
        <v>3</v>
      </c>
    </row>
    <row r="29128" spans="1:10" x14ac:dyDescent="0.25">
      <c r="A29128" t="s">
        <v>328</v>
      </c>
      <c r="B29128" s="1" t="str">
        <f>HYPERLINK("http://handshakesoftware.com","handshakesoftware.com")</f>
        <v>handshakesoftware.com</v>
      </c>
      <c r="C29128" t="s">
        <v>433</v>
      </c>
      <c r="F29128">
        <v>1.29876362758277E-8</v>
      </c>
      <c r="G29128">
        <v>4637469</v>
      </c>
      <c r="H29128">
        <v>13283650</v>
      </c>
      <c r="I29128">
        <v>10901961</v>
      </c>
      <c r="J29128">
        <v>3</v>
      </c>
    </row>
    <row r="29129" spans="1:10" x14ac:dyDescent="0.25">
      <c r="A29129" t="s">
        <v>328</v>
      </c>
      <c r="B29129" s="1" t="str">
        <f>HYPERLINK("http://hrsmart.com","hrsmart.com")</f>
        <v>hrsmart.com</v>
      </c>
      <c r="C29129" t="s">
        <v>433</v>
      </c>
      <c r="E29129">
        <v>60583</v>
      </c>
      <c r="F29129">
        <v>5.1104169545230205E-7</v>
      </c>
      <c r="G29129">
        <v>74983</v>
      </c>
      <c r="H29129">
        <v>14670490</v>
      </c>
      <c r="I29129">
        <v>614287</v>
      </c>
      <c r="J29129">
        <v>3</v>
      </c>
    </row>
    <row r="29130" spans="1:10" x14ac:dyDescent="0.25">
      <c r="A29130" t="s">
        <v>328</v>
      </c>
      <c r="B29130" s="1" t="str">
        <f>HYPERLINK("http://ipipeline.com","ipipeline.com")</f>
        <v>ipipeline.com</v>
      </c>
      <c r="C29130" t="s">
        <v>433</v>
      </c>
      <c r="E29130">
        <v>45700</v>
      </c>
      <c r="F29130">
        <v>2.05979768039658E-7</v>
      </c>
      <c r="G29130">
        <v>184362</v>
      </c>
      <c r="H29130">
        <v>14440353</v>
      </c>
      <c r="I29130">
        <v>1063780</v>
      </c>
      <c r="J29130">
        <v>4</v>
      </c>
    </row>
    <row r="29131" spans="1:10" x14ac:dyDescent="0.25">
      <c r="A29131" t="s">
        <v>328</v>
      </c>
      <c r="B29131" s="1" t="str">
        <f>HYPERLINK("http://ipipelineprod.com","ipipelineprod.com")</f>
        <v>ipipelineprod.com</v>
      </c>
      <c r="C29131" t="s">
        <v>433</v>
      </c>
      <c r="F29131">
        <v>4.4672168115674302E-9</v>
      </c>
      <c r="G29131">
        <v>65434041</v>
      </c>
      <c r="H29131">
        <v>12909776</v>
      </c>
      <c r="I29131">
        <v>13596214</v>
      </c>
      <c r="J29131">
        <v>6</v>
      </c>
    </row>
    <row r="29132" spans="1:10" x14ac:dyDescent="0.25">
      <c r="A29132" t="s">
        <v>328</v>
      </c>
      <c r="B29132" s="1" t="str">
        <f>HYPERLINK("http://luxology.com","luxology.com")</f>
        <v>luxology.com</v>
      </c>
      <c r="C29132" t="s">
        <v>433</v>
      </c>
      <c r="E29132">
        <v>503811</v>
      </c>
      <c r="F29132">
        <v>1.6137156669413999E-7</v>
      </c>
      <c r="G29132">
        <v>240562</v>
      </c>
      <c r="H29132">
        <v>17072444</v>
      </c>
      <c r="I29132">
        <v>70244</v>
      </c>
      <c r="J29132">
        <v>7</v>
      </c>
    </row>
    <row r="29133" spans="1:10" x14ac:dyDescent="0.25">
      <c r="A29133" t="s">
        <v>328</v>
      </c>
      <c r="B29133" s="1" t="str">
        <f>HYPERLINK("http://maconomy.com","maconomy.com")</f>
        <v>maconomy.com</v>
      </c>
      <c r="C29133" t="s">
        <v>433</v>
      </c>
      <c r="E29133">
        <v>582487</v>
      </c>
      <c r="F29133">
        <v>6.8254775904843599E-9</v>
      </c>
      <c r="G29133">
        <v>12876767</v>
      </c>
      <c r="H29133">
        <v>13775879</v>
      </c>
      <c r="I29133">
        <v>6567924</v>
      </c>
      <c r="J29133">
        <v>4</v>
      </c>
    </row>
    <row r="29134" spans="1:10" x14ac:dyDescent="0.25">
      <c r="A29134" t="s">
        <v>328</v>
      </c>
      <c r="B29134" s="1" t="str">
        <f>HYPERLINK("http://mhainc.com","mhainc.com")</f>
        <v>mhainc.com</v>
      </c>
      <c r="C29134" t="s">
        <v>433</v>
      </c>
      <c r="E29134">
        <v>680513</v>
      </c>
      <c r="F29134">
        <v>4.0303216743641197E-8</v>
      </c>
      <c r="G29134">
        <v>1284021</v>
      </c>
      <c r="H29134">
        <v>13512544</v>
      </c>
      <c r="I29134">
        <v>9948070</v>
      </c>
      <c r="J29134">
        <v>3</v>
      </c>
    </row>
    <row r="29135" spans="1:10" x14ac:dyDescent="0.25">
      <c r="A29135" t="s">
        <v>328</v>
      </c>
      <c r="B29135" s="1" t="str">
        <f>HYPERLINK("http://navigatorgpo.com","navigatorgpo.com")</f>
        <v>navigatorgpo.com</v>
      </c>
      <c r="C29135" t="s">
        <v>433</v>
      </c>
      <c r="F29135">
        <v>1.1270482999764499E-8</v>
      </c>
      <c r="G29135">
        <v>5663013</v>
      </c>
      <c r="H29135">
        <v>12458791</v>
      </c>
      <c r="I29135">
        <v>17893866</v>
      </c>
      <c r="J29135">
        <v>3</v>
      </c>
    </row>
    <row r="29136" spans="1:10" x14ac:dyDescent="0.25">
      <c r="A29136" t="s">
        <v>328</v>
      </c>
      <c r="B29136" s="1" t="str">
        <f>HYPERLINK("http://ndieurope.com","ndieurope.com")</f>
        <v>ndieurope.com</v>
      </c>
      <c r="C29136" t="s">
        <v>433</v>
      </c>
      <c r="F29136">
        <v>1.4821257694342E-8</v>
      </c>
      <c r="G29136">
        <v>3900201</v>
      </c>
      <c r="H29136">
        <v>13152126</v>
      </c>
      <c r="I29136">
        <v>11817417</v>
      </c>
      <c r="J29136">
        <v>3</v>
      </c>
    </row>
    <row r="29137" spans="1:10" x14ac:dyDescent="0.25">
      <c r="A29137" t="s">
        <v>328</v>
      </c>
      <c r="B29137" s="1" t="str">
        <f>HYPERLINK("http://ndigital.com","ndigital.com")</f>
        <v>ndigital.com</v>
      </c>
      <c r="C29137" t="s">
        <v>433</v>
      </c>
      <c r="E29137">
        <v>831650</v>
      </c>
      <c r="F29137">
        <v>9.85864548390184E-8</v>
      </c>
      <c r="G29137">
        <v>409022</v>
      </c>
      <c r="H29137">
        <v>13971970</v>
      </c>
      <c r="I29137">
        <v>4072375</v>
      </c>
      <c r="J29137">
        <v>4</v>
      </c>
    </row>
    <row r="29138" spans="1:10" x14ac:dyDescent="0.25">
      <c r="A29138" t="s">
        <v>328</v>
      </c>
      <c r="B29138" s="1" t="str">
        <f>HYPERLINK("http://neptunetg.com","neptunetg.com")</f>
        <v>neptunetg.com</v>
      </c>
      <c r="C29138" t="s">
        <v>433</v>
      </c>
      <c r="F29138">
        <v>5.5582843740437201E-8</v>
      </c>
      <c r="G29138">
        <v>807133</v>
      </c>
      <c r="H29138">
        <v>13609791</v>
      </c>
      <c r="I29138">
        <v>9636812</v>
      </c>
      <c r="J29138">
        <v>3</v>
      </c>
    </row>
    <row r="29139" spans="1:10" x14ac:dyDescent="0.25">
      <c r="A29139" t="s">
        <v>328</v>
      </c>
      <c r="B29139" s="1" t="str">
        <f>HYPERLINK("http://omegalegal.com","omegalegal.com")</f>
        <v>omegalegal.com</v>
      </c>
      <c r="C29139" t="s">
        <v>433</v>
      </c>
      <c r="F29139">
        <v>6.3877157644619604E-9</v>
      </c>
      <c r="G29139">
        <v>14579597</v>
      </c>
      <c r="H29139">
        <v>13505916</v>
      </c>
      <c r="I29139">
        <v>9962838</v>
      </c>
      <c r="J29139">
        <v>7</v>
      </c>
    </row>
    <row r="29140" spans="1:10" x14ac:dyDescent="0.25">
      <c r="A29140" t="s">
        <v>328</v>
      </c>
      <c r="B29140" s="1" t="str">
        <f>HYPERLINK("http://paclp.com","paclp.com")</f>
        <v>paclp.com</v>
      </c>
      <c r="C29140" t="s">
        <v>433</v>
      </c>
      <c r="F29140">
        <v>7.2279301961466597E-8</v>
      </c>
      <c r="G29140">
        <v>583968</v>
      </c>
      <c r="H29140">
        <v>14267055</v>
      </c>
      <c r="I29140">
        <v>1405921</v>
      </c>
      <c r="J29140">
        <v>3</v>
      </c>
    </row>
    <row r="29141" spans="1:10" x14ac:dyDescent="0.25">
      <c r="A29141" t="s">
        <v>328</v>
      </c>
      <c r="B29141" s="1" t="str">
        <f>HYPERLINK("http://pdsconsults.com","pdsconsults.com")</f>
        <v>pdsconsults.com</v>
      </c>
      <c r="C29141" t="s">
        <v>433</v>
      </c>
      <c r="F29141">
        <v>5.8471638543454001E-9</v>
      </c>
      <c r="G29141">
        <v>17729687</v>
      </c>
      <c r="H29141">
        <v>12154065</v>
      </c>
      <c r="I29141">
        <v>24519534</v>
      </c>
      <c r="J29141">
        <v>7</v>
      </c>
    </row>
    <row r="29142" spans="1:10" x14ac:dyDescent="0.25">
      <c r="A29142" t="s">
        <v>328</v>
      </c>
      <c r="B29142" s="1" t="str">
        <f>HYPERLINK("http://perennialedtech.com","perennialedtech.com")</f>
        <v>perennialedtech.com</v>
      </c>
      <c r="C29142" t="s">
        <v>433</v>
      </c>
      <c r="F29142">
        <v>5.1171806485595503E-9</v>
      </c>
      <c r="G29142">
        <v>26712865</v>
      </c>
      <c r="H29142">
        <v>12408494</v>
      </c>
      <c r="I29142">
        <v>18629048</v>
      </c>
      <c r="J29142">
        <v>3</v>
      </c>
    </row>
    <row r="29143" spans="1:10" x14ac:dyDescent="0.25">
      <c r="A29143" t="s">
        <v>328</v>
      </c>
      <c r="B29143" s="1" t="str">
        <f>HYPERLINK("http://projectacumen.com","projectacumen.com")</f>
        <v>projectacumen.com</v>
      </c>
      <c r="C29143" t="s">
        <v>433</v>
      </c>
      <c r="F29143">
        <v>7.1058792976795901E-9</v>
      </c>
      <c r="G29143">
        <v>11999125</v>
      </c>
      <c r="H29143">
        <v>13108689</v>
      </c>
      <c r="I29143">
        <v>12045486</v>
      </c>
      <c r="J29143">
        <v>7</v>
      </c>
    </row>
    <row r="29144" spans="1:10" x14ac:dyDescent="0.25">
      <c r="A29144" t="s">
        <v>328</v>
      </c>
      <c r="B29144" s="1" t="str">
        <f>HYPERLINK("http://rfideas.com","rfideas.com")</f>
        <v>rfideas.com</v>
      </c>
      <c r="C29144" t="s">
        <v>433</v>
      </c>
      <c r="F29144">
        <v>1.34657653231661E-7</v>
      </c>
      <c r="G29144">
        <v>289888</v>
      </c>
      <c r="H29144">
        <v>14609897</v>
      </c>
      <c r="I29144">
        <v>677869</v>
      </c>
      <c r="J29144">
        <v>3</v>
      </c>
    </row>
    <row r="29145" spans="1:10" x14ac:dyDescent="0.25">
      <c r="A29145" t="s">
        <v>328</v>
      </c>
      <c r="B29145" s="1" t="str">
        <f>HYPERLINK("http://rmtinc.com","rmtinc.com")</f>
        <v>rmtinc.com</v>
      </c>
      <c r="C29145" t="s">
        <v>433</v>
      </c>
      <c r="F29145">
        <v>7.4376727584042601E-9</v>
      </c>
      <c r="G29145">
        <v>11155372</v>
      </c>
      <c r="H29145">
        <v>13782699</v>
      </c>
      <c r="I29145">
        <v>6435376</v>
      </c>
      <c r="J29145">
        <v>3</v>
      </c>
    </row>
    <row r="29146" spans="1:10" x14ac:dyDescent="0.25">
      <c r="A29146" t="s">
        <v>328</v>
      </c>
      <c r="B29146" s="1" t="str">
        <f>HYPERLINK("http://roperind.com","roperind.com")</f>
        <v>roperind.com</v>
      </c>
      <c r="C29146" t="s">
        <v>433</v>
      </c>
      <c r="F29146">
        <v>1.7838858432287301E-8</v>
      </c>
      <c r="G29146">
        <v>3066445</v>
      </c>
      <c r="H29146">
        <v>14136812</v>
      </c>
      <c r="I29146">
        <v>1958860</v>
      </c>
      <c r="J29146">
        <v>2</v>
      </c>
    </row>
    <row r="29147" spans="1:10" x14ac:dyDescent="0.25">
      <c r="A29147" t="s">
        <v>328</v>
      </c>
      <c r="B29147" s="1" t="str">
        <f>HYPERLINK("http://ropertech.com","ropertech.com")</f>
        <v>ropertech.com</v>
      </c>
      <c r="C29147" t="s">
        <v>433</v>
      </c>
      <c r="E29147">
        <v>707342</v>
      </c>
      <c r="F29147">
        <v>1.11600551183497E-7</v>
      </c>
      <c r="G29147">
        <v>358079</v>
      </c>
      <c r="H29147">
        <v>14159053</v>
      </c>
      <c r="I29147">
        <v>1842757</v>
      </c>
      <c r="J29147">
        <v>1</v>
      </c>
    </row>
    <row r="29148" spans="1:10" x14ac:dyDescent="0.25">
      <c r="A29148" t="s">
        <v>328</v>
      </c>
      <c r="B29148" s="1" t="str">
        <f>HYPERLINK("http://silverplume.com","silverplume.com")</f>
        <v>silverplume.com</v>
      </c>
      <c r="C29148" t="s">
        <v>433</v>
      </c>
      <c r="E29148">
        <v>505863</v>
      </c>
      <c r="F29148">
        <v>1.08072252580007E-8</v>
      </c>
      <c r="G29148">
        <v>6014971</v>
      </c>
      <c r="H29148">
        <v>12203987</v>
      </c>
      <c r="I29148">
        <v>23213239</v>
      </c>
      <c r="J29148">
        <v>4</v>
      </c>
    </row>
    <row r="29149" spans="1:10" x14ac:dyDescent="0.25">
      <c r="A29149" t="s">
        <v>328</v>
      </c>
      <c r="B29149" s="1" t="str">
        <f>HYPERLINK("http://sunquestinfo.com","sunquestinfo.com")</f>
        <v>sunquestinfo.com</v>
      </c>
      <c r="C29149" t="s">
        <v>433</v>
      </c>
      <c r="E29149">
        <v>88231</v>
      </c>
      <c r="F29149">
        <v>7.8056672750661294E-8</v>
      </c>
      <c r="G29149">
        <v>535900</v>
      </c>
      <c r="H29149">
        <v>13605504</v>
      </c>
      <c r="I29149">
        <v>9642711</v>
      </c>
      <c r="J29149">
        <v>3</v>
      </c>
    </row>
    <row r="29150" spans="1:10" x14ac:dyDescent="0.25">
      <c r="A29150" t="s">
        <v>328</v>
      </c>
      <c r="B29150" s="1" t="str">
        <f>HYPERLINK("http://tcplifesystems.com","tcplifesystems.com")</f>
        <v>tcplifesystems.com</v>
      </c>
      <c r="C29150" t="s">
        <v>433</v>
      </c>
      <c r="F29150">
        <v>6.2722801906822999E-9</v>
      </c>
      <c r="G29150">
        <v>15164317</v>
      </c>
      <c r="H29150">
        <v>12568768</v>
      </c>
      <c r="I29150">
        <v>16635963</v>
      </c>
      <c r="J29150">
        <v>3</v>
      </c>
    </row>
    <row r="29151" spans="1:10" x14ac:dyDescent="0.25">
      <c r="A29151" t="s">
        <v>328</v>
      </c>
      <c r="B29151" s="1" t="str">
        <f>HYPERLINK("http://tradingproduce.com","tradingproduce.com")</f>
        <v>tradingproduce.com</v>
      </c>
      <c r="C29151" t="s">
        <v>433</v>
      </c>
      <c r="F29151">
        <v>4.47693758237049E-9</v>
      </c>
      <c r="G29151">
        <v>62988781</v>
      </c>
      <c r="H29151">
        <v>1.0003663</v>
      </c>
      <c r="I29151">
        <v>79134280</v>
      </c>
      <c r="J29151">
        <v>3</v>
      </c>
    </row>
    <row r="29152" spans="1:10" x14ac:dyDescent="0.25">
      <c r="A29152" t="s">
        <v>328</v>
      </c>
      <c r="B29152" s="1" t="str">
        <f>HYPERLINK("http://trafficlive.com","trafficlive.com")</f>
        <v>trafficlive.com</v>
      </c>
      <c r="C29152" t="s">
        <v>433</v>
      </c>
      <c r="F29152">
        <v>1.39098423509653E-8</v>
      </c>
      <c r="G29152">
        <v>4237198</v>
      </c>
      <c r="H29152">
        <v>13347308</v>
      </c>
      <c r="I29152">
        <v>10645404</v>
      </c>
      <c r="J29152">
        <v>3</v>
      </c>
    </row>
    <row r="29153" spans="1:10" x14ac:dyDescent="0.25">
      <c r="A29153" t="s">
        <v>328</v>
      </c>
      <c r="B29153" s="1" t="str">
        <f>HYPERLINK("http://transactnow.com","transactnow.com")</f>
        <v>transactnow.com</v>
      </c>
      <c r="C29153" t="s">
        <v>433</v>
      </c>
      <c r="E29153">
        <v>157522</v>
      </c>
      <c r="F29153">
        <v>4.4904501551059804E-9</v>
      </c>
      <c r="G29153">
        <v>60450351</v>
      </c>
      <c r="H29153">
        <v>10541464</v>
      </c>
      <c r="I29153">
        <v>47168043</v>
      </c>
      <c r="J29153">
        <v>4</v>
      </c>
    </row>
    <row r="29154" spans="1:10" x14ac:dyDescent="0.25">
      <c r="A29154" t="s">
        <v>328</v>
      </c>
      <c r="B29154" s="1" t="str">
        <f>HYPERLINK("http://translationdirect.com","translationdirect.com")</f>
        <v>translationdirect.com</v>
      </c>
      <c r="C29154" t="s">
        <v>433</v>
      </c>
      <c r="F29154">
        <v>7.2998721560241196E-9</v>
      </c>
      <c r="G29154">
        <v>11480210</v>
      </c>
      <c r="H29154">
        <v>12109392</v>
      </c>
      <c r="I29154">
        <v>25752789</v>
      </c>
      <c r="J29154">
        <v>4</v>
      </c>
    </row>
    <row r="29155" spans="1:10" x14ac:dyDescent="0.25">
      <c r="A29155" t="s">
        <v>328</v>
      </c>
      <c r="B29155" s="1" t="str">
        <f>HYPERLINK("http://trinitysystems.com","trinitysystems.com")</f>
        <v>trinitysystems.com</v>
      </c>
      <c r="C29155" t="s">
        <v>433</v>
      </c>
      <c r="F29155">
        <v>6.6576789626213602E-9</v>
      </c>
      <c r="G29155">
        <v>13457205</v>
      </c>
      <c r="H29155">
        <v>13766088</v>
      </c>
      <c r="I29155">
        <v>7039053</v>
      </c>
      <c r="J29155">
        <v>8</v>
      </c>
    </row>
    <row r="29156" spans="1:10" x14ac:dyDescent="0.25">
      <c r="A29156" t="s">
        <v>328</v>
      </c>
      <c r="B29156" s="1" t="str">
        <f>HYPERLINK("http://verathon.com","verathon.com")</f>
        <v>verathon.com</v>
      </c>
      <c r="C29156" t="s">
        <v>433</v>
      </c>
      <c r="E29156">
        <v>564197</v>
      </c>
      <c r="F29156">
        <v>5.1404536128863702E-8</v>
      </c>
      <c r="G29156">
        <v>890355</v>
      </c>
      <c r="H29156">
        <v>13856337</v>
      </c>
      <c r="I29156">
        <v>6044338</v>
      </c>
      <c r="J29156">
        <v>3</v>
      </c>
    </row>
    <row r="29157" spans="1:10" x14ac:dyDescent="0.25">
      <c r="A29157" t="s">
        <v>328</v>
      </c>
      <c r="B29157" s="1" t="str">
        <f>HYPERLINK("http://vertafore.com","vertafore.com")</f>
        <v>vertafore.com</v>
      </c>
      <c r="C29157" t="s">
        <v>433</v>
      </c>
      <c r="E29157">
        <v>37681</v>
      </c>
      <c r="F29157">
        <v>4.68484446769888E-7</v>
      </c>
      <c r="G29157">
        <v>80935</v>
      </c>
      <c r="H29157">
        <v>17057222</v>
      </c>
      <c r="I29157">
        <v>74758</v>
      </c>
      <c r="J29157">
        <v>3</v>
      </c>
    </row>
    <row r="29158" spans="1:10" x14ac:dyDescent="0.25">
      <c r="A29158" t="s">
        <v>328</v>
      </c>
      <c r="B29158" s="1" t="str">
        <f>HYPERLINK("http://deltek.de","deltek.de")</f>
        <v>deltek.de</v>
      </c>
      <c r="C29158" t="s">
        <v>436</v>
      </c>
      <c r="D29158" t="s">
        <v>815</v>
      </c>
      <c r="F29158">
        <v>4.77316917391927E-9</v>
      </c>
      <c r="G29158">
        <v>37241397</v>
      </c>
      <c r="H29158">
        <v>9870601</v>
      </c>
      <c r="I29158">
        <v>61975790</v>
      </c>
      <c r="J29158">
        <v>4</v>
      </c>
    </row>
    <row r="29159" spans="1:10" x14ac:dyDescent="0.25">
      <c r="A29159" t="s">
        <v>328</v>
      </c>
      <c r="B29159" s="1" t="str">
        <f>HYPERLINK("http://deltek.dk","deltek.dk")</f>
        <v>deltek.dk</v>
      </c>
      <c r="C29159" t="s">
        <v>437</v>
      </c>
      <c r="D29159" t="s">
        <v>816</v>
      </c>
      <c r="J29159">
        <v>5</v>
      </c>
    </row>
    <row r="29160" spans="1:10" x14ac:dyDescent="0.25">
      <c r="A29160" t="s">
        <v>328</v>
      </c>
      <c r="B29160" s="1" t="str">
        <f>HYPERLINK("http://deltek.fi","deltek.fi")</f>
        <v>deltek.fi</v>
      </c>
      <c r="C29160" t="s">
        <v>445</v>
      </c>
      <c r="D29160" t="s">
        <v>823</v>
      </c>
      <c r="J29160">
        <v>4</v>
      </c>
    </row>
    <row r="29161" spans="1:10" x14ac:dyDescent="0.25">
      <c r="A29161" t="s">
        <v>328</v>
      </c>
      <c r="B29161" s="1" t="str">
        <f>HYPERLINK("http://verathon.fr","verathon.fr")</f>
        <v>verathon.fr</v>
      </c>
      <c r="C29161" t="s">
        <v>446</v>
      </c>
      <c r="D29161" t="s">
        <v>824</v>
      </c>
      <c r="F29161">
        <v>4.7045594390874098E-9</v>
      </c>
      <c r="G29161">
        <v>41007427</v>
      </c>
      <c r="H29161">
        <v>9442077</v>
      </c>
      <c r="I29161">
        <v>66641310</v>
      </c>
      <c r="J29161">
        <v>3</v>
      </c>
    </row>
    <row r="29162" spans="1:10" x14ac:dyDescent="0.25">
      <c r="A29162" t="s">
        <v>328</v>
      </c>
      <c r="B29162" s="1" t="str">
        <f>HYPERLINK("http://excentonline.net","excentonline.net")</f>
        <v>excentonline.net</v>
      </c>
      <c r="C29162" t="s">
        <v>474</v>
      </c>
      <c r="F29162">
        <v>4.7367153279173497E-9</v>
      </c>
      <c r="G29162">
        <v>38965223</v>
      </c>
      <c r="H29162">
        <v>12850193</v>
      </c>
      <c r="I29162">
        <v>14279885</v>
      </c>
      <c r="J29162">
        <v>4</v>
      </c>
    </row>
    <row r="29163" spans="1:10" x14ac:dyDescent="0.25">
      <c r="A29163" t="s">
        <v>328</v>
      </c>
      <c r="B29163" s="1" t="str">
        <f>HYPERLINK("http://workbook.net","workbook.net")</f>
        <v>workbook.net</v>
      </c>
      <c r="C29163" t="s">
        <v>474</v>
      </c>
      <c r="E29163">
        <v>519979</v>
      </c>
      <c r="F29163">
        <v>4.0092430399311399E-8</v>
      </c>
      <c r="G29163">
        <v>1289751</v>
      </c>
      <c r="H29163">
        <v>14077107</v>
      </c>
      <c r="I29163">
        <v>2872777</v>
      </c>
      <c r="J29163">
        <v>5</v>
      </c>
    </row>
    <row r="29164" spans="1:10" x14ac:dyDescent="0.25">
      <c r="A29164" t="s">
        <v>328</v>
      </c>
      <c r="B29164" s="1" t="str">
        <f>HYPERLINK("http://deltek.no","deltek.no")</f>
        <v>deltek.no</v>
      </c>
      <c r="C29164" t="s">
        <v>478</v>
      </c>
      <c r="D29164" t="s">
        <v>853</v>
      </c>
      <c r="F29164">
        <v>8.4369471748642206E-9</v>
      </c>
      <c r="G29164">
        <v>8968192</v>
      </c>
      <c r="H29164">
        <v>10754455</v>
      </c>
      <c r="I29164">
        <v>39847403</v>
      </c>
      <c r="J29164">
        <v>3</v>
      </c>
    </row>
    <row r="29165" spans="1:10" x14ac:dyDescent="0.25">
      <c r="A29165" t="s">
        <v>328</v>
      </c>
      <c r="B29165" s="1" t="str">
        <f>HYPERLINK("http://clinisys.co.uk","clinisys.co.uk")</f>
        <v>clinisys.co.uk</v>
      </c>
      <c r="C29165" t="s">
        <v>506</v>
      </c>
      <c r="D29165" t="s">
        <v>880</v>
      </c>
      <c r="F29165">
        <v>9.7087493355451592E-9</v>
      </c>
      <c r="G29165">
        <v>7070576</v>
      </c>
      <c r="H29165">
        <v>12704448</v>
      </c>
      <c r="I29165">
        <v>15330866</v>
      </c>
      <c r="J29165">
        <v>6</v>
      </c>
    </row>
    <row r="29166" spans="1:10" x14ac:dyDescent="0.25">
      <c r="A29166" t="s">
        <v>328</v>
      </c>
      <c r="B29166" s="1" t="str">
        <f>HYPERLINK("http://deltek.co.uk","deltek.co.uk")</f>
        <v>deltek.co.uk</v>
      </c>
      <c r="C29166" t="s">
        <v>506</v>
      </c>
      <c r="D29166" t="s">
        <v>880</v>
      </c>
      <c r="F29166">
        <v>7.3883821610306801E-9</v>
      </c>
      <c r="G29166">
        <v>11270263</v>
      </c>
      <c r="H29166">
        <v>13077029</v>
      </c>
      <c r="I29166">
        <v>12203816</v>
      </c>
      <c r="J29166">
        <v>4</v>
      </c>
    </row>
    <row r="29167" spans="1:10" x14ac:dyDescent="0.25">
      <c r="A29167" t="s">
        <v>328</v>
      </c>
      <c r="B29167" s="1" t="str">
        <f>HYPERLINK("http://sysmed.co.uk","sysmed.co.uk")</f>
        <v>sysmed.co.uk</v>
      </c>
      <c r="C29167" t="s">
        <v>506</v>
      </c>
      <c r="D29167" t="s">
        <v>880</v>
      </c>
      <c r="J29167">
        <v>3</v>
      </c>
    </row>
    <row r="29168" spans="1:10" x14ac:dyDescent="0.25">
      <c r="A29168" t="s">
        <v>328</v>
      </c>
      <c r="B29168" s="1" t="str">
        <f>HYPERLINK("http://thefoundry.co.uk","thefoundry.co.uk")</f>
        <v>thefoundry.co.uk</v>
      </c>
      <c r="C29168" t="s">
        <v>506</v>
      </c>
      <c r="D29168" t="s">
        <v>880</v>
      </c>
      <c r="E29168">
        <v>228514</v>
      </c>
      <c r="F29168">
        <v>5.0625533602425903E-7</v>
      </c>
      <c r="G29168">
        <v>75610</v>
      </c>
      <c r="H29168">
        <v>17271974</v>
      </c>
      <c r="I29168">
        <v>31106</v>
      </c>
      <c r="J29168">
        <v>6</v>
      </c>
    </row>
    <row r="29169" spans="1:10" x14ac:dyDescent="0.25">
      <c r="A29169" t="s">
        <v>329</v>
      </c>
      <c r="B29169" s="1" t="str">
        <f>HYPERLINK("http://ddsdiscount.com","ddsdiscount.com")</f>
        <v>ddsdiscount.com</v>
      </c>
      <c r="C29169" t="s">
        <v>433</v>
      </c>
      <c r="F29169">
        <v>4.47451317049132E-9</v>
      </c>
      <c r="G29169">
        <v>63516920</v>
      </c>
      <c r="H29169">
        <v>1.0003663</v>
      </c>
      <c r="I29169">
        <v>78583850</v>
      </c>
      <c r="J29169">
        <v>5</v>
      </c>
    </row>
    <row r="29170" spans="1:10" x14ac:dyDescent="0.25">
      <c r="A29170" t="s">
        <v>329</v>
      </c>
      <c r="B29170" s="1" t="str">
        <f>HYPERLINK("http://ddsdiscounts.com","ddsdiscounts.com")</f>
        <v>ddsdiscounts.com</v>
      </c>
      <c r="C29170" t="s">
        <v>433</v>
      </c>
      <c r="E29170">
        <v>729818</v>
      </c>
      <c r="F29170">
        <v>3.58263921479885E-8</v>
      </c>
      <c r="G29170">
        <v>1453792</v>
      </c>
      <c r="H29170">
        <v>14147688</v>
      </c>
      <c r="I29170">
        <v>1888896</v>
      </c>
      <c r="J29170">
        <v>4</v>
      </c>
    </row>
    <row r="29171" spans="1:10" x14ac:dyDescent="0.25">
      <c r="A29171" t="s">
        <v>329</v>
      </c>
      <c r="B29171" s="1" t="str">
        <f>HYPERLINK("http://ross.com","ross.com")</f>
        <v>ross.com</v>
      </c>
      <c r="C29171" t="s">
        <v>433</v>
      </c>
      <c r="F29171">
        <v>1.9696543217400599E-8</v>
      </c>
      <c r="G29171">
        <v>2709742</v>
      </c>
      <c r="H29171">
        <v>13798186</v>
      </c>
      <c r="I29171">
        <v>6292758</v>
      </c>
      <c r="J29171">
        <v>4</v>
      </c>
    </row>
    <row r="29172" spans="1:10" x14ac:dyDescent="0.25">
      <c r="A29172" t="s">
        <v>329</v>
      </c>
      <c r="B29172" s="1" t="str">
        <f>HYPERLINK("http://rossstores.com","rossstores.com")</f>
        <v>rossstores.com</v>
      </c>
      <c r="C29172" t="s">
        <v>433</v>
      </c>
      <c r="E29172">
        <v>63226</v>
      </c>
      <c r="F29172">
        <v>4.5435336111197898E-7</v>
      </c>
      <c r="G29172">
        <v>83197</v>
      </c>
      <c r="H29172">
        <v>14837223</v>
      </c>
      <c r="I29172">
        <v>499905</v>
      </c>
      <c r="J29172">
        <v>1</v>
      </c>
    </row>
    <row r="29173" spans="1:10" x14ac:dyDescent="0.25">
      <c r="A29173" t="s">
        <v>329</v>
      </c>
      <c r="B29173" s="1" t="str">
        <f>HYPERLINK("http://rosstores.com","rosstores.com")</f>
        <v>rosstores.com</v>
      </c>
      <c r="C29173" t="s">
        <v>433</v>
      </c>
      <c r="J29173">
        <v>4</v>
      </c>
    </row>
    <row r="29174" spans="1:10" x14ac:dyDescent="0.25">
      <c r="A29174" t="s">
        <v>330</v>
      </c>
      <c r="B29174" s="1" t="str">
        <f>HYPERLINK("http://rbcventures.ca","rbcventures.ca")</f>
        <v>rbcventures.ca</v>
      </c>
      <c r="C29174" t="s">
        <v>428</v>
      </c>
      <c r="D29174" t="s">
        <v>809</v>
      </c>
      <c r="F29174">
        <v>2.67183946118149E-8</v>
      </c>
      <c r="G29174">
        <v>1926286</v>
      </c>
      <c r="H29174">
        <v>12923709</v>
      </c>
      <c r="I29174">
        <v>13404938</v>
      </c>
      <c r="J29174">
        <v>2</v>
      </c>
    </row>
    <row r="29175" spans="1:10" x14ac:dyDescent="0.25">
      <c r="A29175" t="s">
        <v>330</v>
      </c>
      <c r="B29175" s="1" t="str">
        <f>HYPERLINK("http://bluebay.com","bluebay.com")</f>
        <v>bluebay.com</v>
      </c>
      <c r="C29175" t="s">
        <v>433</v>
      </c>
      <c r="F29175">
        <v>6.7760743076524597E-8</v>
      </c>
      <c r="G29175">
        <v>630208</v>
      </c>
      <c r="H29175">
        <v>13672563</v>
      </c>
      <c r="I29175">
        <v>9544299</v>
      </c>
      <c r="J29175">
        <v>5</v>
      </c>
    </row>
    <row r="29176" spans="1:10" x14ac:dyDescent="0.25">
      <c r="A29176" t="s">
        <v>330</v>
      </c>
      <c r="B29176" s="1" t="str">
        <f>HYPERLINK("http://cnb.com","cnb.com")</f>
        <v>cnb.com</v>
      </c>
      <c r="C29176" t="s">
        <v>433</v>
      </c>
      <c r="E29176">
        <v>54119</v>
      </c>
      <c r="F29176">
        <v>3.4449769814859802E-7</v>
      </c>
      <c r="G29176">
        <v>108398</v>
      </c>
      <c r="H29176">
        <v>14689838</v>
      </c>
      <c r="I29176">
        <v>602688</v>
      </c>
      <c r="J29176">
        <v>3</v>
      </c>
    </row>
    <row r="29177" spans="1:10" x14ac:dyDescent="0.25">
      <c r="A29177" t="s">
        <v>330</v>
      </c>
      <c r="B29177" s="1" t="str">
        <f>HYPERLINK("http://cnb-metropolis.com","cnb-metropolis.com")</f>
        <v>cnb-metropolis.com</v>
      </c>
      <c r="C29177" t="s">
        <v>433</v>
      </c>
      <c r="F29177">
        <v>1.0407415224128099E-8</v>
      </c>
      <c r="G29177">
        <v>6352264</v>
      </c>
      <c r="H29177">
        <v>13295137</v>
      </c>
      <c r="I29177">
        <v>10853281</v>
      </c>
      <c r="J29177">
        <v>9</v>
      </c>
    </row>
    <row r="29178" spans="1:10" x14ac:dyDescent="0.25">
      <c r="A29178" t="s">
        <v>330</v>
      </c>
      <c r="B29178" s="1" t="str">
        <f>HYPERLINK("http://kidscampuschildcare.com","kidscampuschildcare.com")</f>
        <v>kidscampuschildcare.com</v>
      </c>
      <c r="C29178" t="s">
        <v>433</v>
      </c>
      <c r="F29178">
        <v>4.4775292543171897E-9</v>
      </c>
      <c r="G29178">
        <v>62863212</v>
      </c>
      <c r="H29178">
        <v>1.0003663</v>
      </c>
      <c r="I29178">
        <v>78801070</v>
      </c>
      <c r="J29178">
        <v>4</v>
      </c>
    </row>
    <row r="29179" spans="1:10" x14ac:dyDescent="0.25">
      <c r="A29179" t="s">
        <v>330</v>
      </c>
      <c r="B29179" s="1" t="str">
        <f>HYPERLINK("http://lmcg.com","lmcg.com")</f>
        <v>lmcg.com</v>
      </c>
      <c r="C29179" t="s">
        <v>433</v>
      </c>
      <c r="F29179">
        <v>1.1994655657996799E-8</v>
      </c>
      <c r="G29179">
        <v>5180044</v>
      </c>
      <c r="H29179">
        <v>13373278</v>
      </c>
      <c r="I29179">
        <v>10454771</v>
      </c>
      <c r="J29179">
        <v>4</v>
      </c>
    </row>
    <row r="29180" spans="1:10" x14ac:dyDescent="0.25">
      <c r="A29180" t="s">
        <v>330</v>
      </c>
      <c r="B29180" s="1" t="str">
        <f>HYPERLINK("http://pacificcrestplanning.com","pacificcrestplanning.com")</f>
        <v>pacificcrestplanning.com</v>
      </c>
      <c r="C29180" t="s">
        <v>433</v>
      </c>
      <c r="F29180">
        <v>4.8003442140756003E-9</v>
      </c>
      <c r="G29180">
        <v>36074107</v>
      </c>
      <c r="H29180">
        <v>9369295</v>
      </c>
      <c r="I29180">
        <v>67723512</v>
      </c>
      <c r="J29180">
        <v>6</v>
      </c>
    </row>
    <row r="29181" spans="1:10" x14ac:dyDescent="0.25">
      <c r="A29181" t="s">
        <v>330</v>
      </c>
      <c r="B29181" s="1" t="str">
        <f>HYPERLINK("http://rbc.com","rbc.com")</f>
        <v>rbc.com</v>
      </c>
      <c r="C29181" t="s">
        <v>433</v>
      </c>
      <c r="E29181">
        <v>9993</v>
      </c>
      <c r="F29181">
        <v>2.7983599410136199E-6</v>
      </c>
      <c r="G29181">
        <v>13722</v>
      </c>
      <c r="H29181">
        <v>17596984</v>
      </c>
      <c r="I29181">
        <v>9756</v>
      </c>
      <c r="J29181">
        <v>2</v>
      </c>
    </row>
    <row r="29182" spans="1:10" x14ac:dyDescent="0.25">
      <c r="A29182" t="s">
        <v>330</v>
      </c>
      <c r="B29182" s="1" t="str">
        <f>HYPERLINK("http://rbcbankusa.com","rbcbankusa.com")</f>
        <v>rbcbankusa.com</v>
      </c>
      <c r="C29182" t="s">
        <v>433</v>
      </c>
      <c r="E29182">
        <v>569478</v>
      </c>
      <c r="F29182">
        <v>2.3699403866811E-8</v>
      </c>
      <c r="G29182">
        <v>2193578</v>
      </c>
      <c r="H29182">
        <v>14251087</v>
      </c>
      <c r="I29182">
        <v>1445067</v>
      </c>
      <c r="J29182">
        <v>3</v>
      </c>
    </row>
    <row r="29183" spans="1:10" x14ac:dyDescent="0.25">
      <c r="A29183" t="s">
        <v>330</v>
      </c>
      <c r="B29183" s="1" t="str">
        <f>HYPERLINK("http://rbcbluebay.com","rbcbluebay.com")</f>
        <v>rbcbluebay.com</v>
      </c>
      <c r="C29183" t="s">
        <v>433</v>
      </c>
      <c r="J29183">
        <v>7</v>
      </c>
    </row>
    <row r="29184" spans="1:10" x14ac:dyDescent="0.25">
      <c r="A29184" t="s">
        <v>330</v>
      </c>
      <c r="B29184" s="1" t="str">
        <f>HYPERLINK("http://rbccm.com","rbccm.com")</f>
        <v>rbccm.com</v>
      </c>
      <c r="C29184" t="s">
        <v>433</v>
      </c>
      <c r="E29184">
        <v>94561</v>
      </c>
      <c r="F29184">
        <v>8.6355891267652999E-7</v>
      </c>
      <c r="G29184">
        <v>46274</v>
      </c>
      <c r="H29184">
        <v>17240528</v>
      </c>
      <c r="I29184">
        <v>35291</v>
      </c>
      <c r="J29184">
        <v>2</v>
      </c>
    </row>
    <row r="29185" spans="1:10" x14ac:dyDescent="0.25">
      <c r="A29185" t="s">
        <v>330</v>
      </c>
      <c r="B29185" s="1" t="str">
        <f>HYPERLINK("http://rbcdirectinvesting.com","rbcdirectinvesting.com")</f>
        <v>rbcdirectinvesting.com</v>
      </c>
      <c r="C29185" t="s">
        <v>433</v>
      </c>
      <c r="E29185">
        <v>445929</v>
      </c>
      <c r="F29185">
        <v>5.2715809697014302E-8</v>
      </c>
      <c r="G29185">
        <v>864551</v>
      </c>
      <c r="H29185">
        <v>14154077</v>
      </c>
      <c r="I29185">
        <v>1864008</v>
      </c>
      <c r="J29185">
        <v>4</v>
      </c>
    </row>
    <row r="29186" spans="1:10" x14ac:dyDescent="0.25">
      <c r="A29186" t="s">
        <v>330</v>
      </c>
      <c r="B29186" s="1" t="str">
        <f>HYPERLINK("http://rbcds.com","rbcds.com")</f>
        <v>rbcds.com</v>
      </c>
      <c r="C29186" t="s">
        <v>433</v>
      </c>
      <c r="E29186">
        <v>253547</v>
      </c>
      <c r="F29186">
        <v>3.4125574370243402E-8</v>
      </c>
      <c r="G29186">
        <v>1518176</v>
      </c>
      <c r="H29186">
        <v>14105919</v>
      </c>
      <c r="I29186">
        <v>2689750</v>
      </c>
      <c r="J29186">
        <v>4</v>
      </c>
    </row>
    <row r="29187" spans="1:10" x14ac:dyDescent="0.25">
      <c r="A29187" t="s">
        <v>330</v>
      </c>
      <c r="B29187" s="1" t="str">
        <f>HYPERLINK("http://rbcgam.com","rbcgam.com")</f>
        <v>rbcgam.com</v>
      </c>
      <c r="C29187" t="s">
        <v>433</v>
      </c>
      <c r="E29187">
        <v>161925</v>
      </c>
      <c r="F29187">
        <v>2.6349585620685201E-7</v>
      </c>
      <c r="G29187">
        <v>141754</v>
      </c>
      <c r="H29187">
        <v>14759653</v>
      </c>
      <c r="I29187">
        <v>560729</v>
      </c>
      <c r="J29187">
        <v>4</v>
      </c>
    </row>
    <row r="29188" spans="1:10" x14ac:dyDescent="0.25">
      <c r="A29188" t="s">
        <v>330</v>
      </c>
      <c r="B29188" s="1" t="str">
        <f>HYPERLINK("http://rbcinsurance.com","rbcinsurance.com")</f>
        <v>rbcinsurance.com</v>
      </c>
      <c r="C29188" t="s">
        <v>433</v>
      </c>
      <c r="E29188">
        <v>193163</v>
      </c>
      <c r="F29188">
        <v>1.44249430509181E-7</v>
      </c>
      <c r="G29188">
        <v>269913</v>
      </c>
      <c r="H29188">
        <v>14373075</v>
      </c>
      <c r="I29188">
        <v>1283116</v>
      </c>
      <c r="J29188">
        <v>4</v>
      </c>
    </row>
    <row r="29189" spans="1:10" x14ac:dyDescent="0.25">
      <c r="A29189" t="s">
        <v>330</v>
      </c>
      <c r="B29189" s="1" t="str">
        <f>HYPERLINK("http://rbcis.com","rbcis.com")</f>
        <v>rbcis.com</v>
      </c>
      <c r="C29189" t="s">
        <v>433</v>
      </c>
      <c r="F29189">
        <v>1.2258260764556001E-8</v>
      </c>
      <c r="G29189">
        <v>5017713</v>
      </c>
      <c r="H29189">
        <v>13770446</v>
      </c>
      <c r="I29189">
        <v>6729437</v>
      </c>
      <c r="J29189">
        <v>2</v>
      </c>
    </row>
    <row r="29190" spans="1:10" x14ac:dyDescent="0.25">
      <c r="A29190" t="s">
        <v>330</v>
      </c>
      <c r="B29190" s="1" t="str">
        <f>HYPERLINK("http://rbcits.com","rbcits.com")</f>
        <v>rbcits.com</v>
      </c>
      <c r="C29190" t="s">
        <v>433</v>
      </c>
      <c r="E29190">
        <v>479217</v>
      </c>
      <c r="F29190">
        <v>8.53595734265348E-8</v>
      </c>
      <c r="G29190">
        <v>482990</v>
      </c>
      <c r="H29190">
        <v>14255673</v>
      </c>
      <c r="I29190">
        <v>1432435</v>
      </c>
      <c r="J29190">
        <v>4</v>
      </c>
    </row>
    <row r="29191" spans="1:10" x14ac:dyDescent="0.25">
      <c r="A29191" t="s">
        <v>330</v>
      </c>
      <c r="B29191" s="1" t="str">
        <f>HYPERLINK("http://rbcpayedge.com","rbcpayedge.com")</f>
        <v>rbcpayedge.com</v>
      </c>
      <c r="C29191" t="s">
        <v>433</v>
      </c>
      <c r="F29191">
        <v>9.2141557609587599E-9</v>
      </c>
      <c r="G29191">
        <v>7690985</v>
      </c>
      <c r="H29191">
        <v>12544050</v>
      </c>
      <c r="I29191">
        <v>16894734</v>
      </c>
      <c r="J29191">
        <v>2</v>
      </c>
    </row>
    <row r="29192" spans="1:10" x14ac:dyDescent="0.25">
      <c r="A29192" t="s">
        <v>330</v>
      </c>
      <c r="B29192" s="1" t="str">
        <f>HYPERLINK("http://rbcroyalbank.com","rbcroyalbank.com")</f>
        <v>rbcroyalbank.com</v>
      </c>
      <c r="C29192" t="s">
        <v>433</v>
      </c>
      <c r="E29192">
        <v>6952</v>
      </c>
      <c r="F29192">
        <v>1.48814821087665E-6</v>
      </c>
      <c r="G29192">
        <v>26335</v>
      </c>
      <c r="H29192">
        <v>17582804</v>
      </c>
      <c r="I29192">
        <v>10218</v>
      </c>
      <c r="J29192">
        <v>1</v>
      </c>
    </row>
    <row r="29193" spans="1:10" x14ac:dyDescent="0.25">
      <c r="A29193" t="s">
        <v>330</v>
      </c>
      <c r="B29193" s="1" t="str">
        <f>HYPERLINK("http://rbcwealthmanagement.com","rbcwealthmanagement.com")</f>
        <v>rbcwealthmanagement.com</v>
      </c>
      <c r="C29193" t="s">
        <v>433</v>
      </c>
      <c r="E29193">
        <v>58436</v>
      </c>
      <c r="F29193">
        <v>1.0112372412174601E-6</v>
      </c>
      <c r="G29193">
        <v>37845</v>
      </c>
      <c r="H29193">
        <v>15201520</v>
      </c>
      <c r="I29193">
        <v>395535</v>
      </c>
      <c r="J29193">
        <v>3</v>
      </c>
    </row>
    <row r="29194" spans="1:10" x14ac:dyDescent="0.25">
      <c r="A29194" t="s">
        <v>330</v>
      </c>
      <c r="B29194" s="1" t="str">
        <f>HYPERLINK("http://rbtt.com","rbtt.com")</f>
        <v>rbtt.com</v>
      </c>
      <c r="C29194" t="s">
        <v>433</v>
      </c>
      <c r="E29194">
        <v>520396</v>
      </c>
      <c r="F29194">
        <v>2.1527373580291699E-8</v>
      </c>
      <c r="G29194">
        <v>2445683</v>
      </c>
      <c r="H29194">
        <v>13202927</v>
      </c>
      <c r="I29194">
        <v>11540704</v>
      </c>
      <c r="J29194">
        <v>3</v>
      </c>
    </row>
    <row r="29195" spans="1:10" x14ac:dyDescent="0.25">
      <c r="A29195" t="s">
        <v>330</v>
      </c>
      <c r="B29195" s="1" t="str">
        <f>HYPERLINK("http://royalbank-usa.com","royalbank-usa.com")</f>
        <v>royalbank-usa.com</v>
      </c>
      <c r="C29195" t="s">
        <v>433</v>
      </c>
      <c r="F29195">
        <v>1.8302076790440299E-8</v>
      </c>
      <c r="G29195">
        <v>2967030</v>
      </c>
      <c r="H29195">
        <v>13144586</v>
      </c>
      <c r="I29195">
        <v>11858112</v>
      </c>
      <c r="J29195">
        <v>3</v>
      </c>
    </row>
    <row r="29196" spans="1:10" x14ac:dyDescent="0.25">
      <c r="A29196" t="s">
        <v>330</v>
      </c>
      <c r="B29196" s="1" t="str">
        <f>HYPERLINK("http://sterbc.com","sterbc.com")</f>
        <v>sterbc.com</v>
      </c>
      <c r="C29196" t="s">
        <v>433</v>
      </c>
      <c r="F29196">
        <v>6.2370070564270797E-9</v>
      </c>
      <c r="G29196">
        <v>15340305</v>
      </c>
      <c r="H29196">
        <v>12372635</v>
      </c>
      <c r="I29196">
        <v>19361391</v>
      </c>
      <c r="J29196">
        <v>2</v>
      </c>
    </row>
    <row r="29197" spans="1:10" x14ac:dyDescent="0.25">
      <c r="A29197" t="s">
        <v>330</v>
      </c>
      <c r="B29197" s="1" t="str">
        <f>HYPERLINK("http://sterbcgam.com","sterbcgam.com")</f>
        <v>sterbcgam.com</v>
      </c>
      <c r="C29197" t="s">
        <v>433</v>
      </c>
      <c r="F29197">
        <v>5.0729373178940798E-9</v>
      </c>
      <c r="G29197">
        <v>27729790</v>
      </c>
      <c r="H29197">
        <v>10863495</v>
      </c>
      <c r="I29197">
        <v>36617545</v>
      </c>
      <c r="J29197">
        <v>2</v>
      </c>
    </row>
    <row r="29198" spans="1:10" x14ac:dyDescent="0.25">
      <c r="A29198" t="s">
        <v>330</v>
      </c>
      <c r="B29198" s="1" t="str">
        <f>HYPERLINK("http://sterbcroyalbank.com","sterbcroyalbank.com")</f>
        <v>sterbcroyalbank.com</v>
      </c>
      <c r="C29198" t="s">
        <v>433</v>
      </c>
      <c r="F29198">
        <v>5.1788578713823903E-9</v>
      </c>
      <c r="G29198">
        <v>25571297</v>
      </c>
      <c r="H29198">
        <v>13020957</v>
      </c>
      <c r="I29198">
        <v>12708602</v>
      </c>
      <c r="J29198">
        <v>2</v>
      </c>
    </row>
    <row r="29199" spans="1:10" x14ac:dyDescent="0.25">
      <c r="A29199" t="s">
        <v>330</v>
      </c>
      <c r="B29199" s="1" t="str">
        <f>HYPERLINK("http://sterbcwm-usa.com","sterbcwm-usa.com")</f>
        <v>sterbcwm-usa.com</v>
      </c>
      <c r="C29199" t="s">
        <v>433</v>
      </c>
      <c r="J29199">
        <v>2</v>
      </c>
    </row>
    <row r="29200" spans="1:10" x14ac:dyDescent="0.25">
      <c r="A29200" t="s">
        <v>330</v>
      </c>
      <c r="B29200" s="1" t="str">
        <f>HYPERLINK("http://wiseequities.com","wiseequities.com")</f>
        <v>wiseequities.com</v>
      </c>
      <c r="C29200" t="s">
        <v>433</v>
      </c>
      <c r="F29200">
        <v>8.2952013308748593E-9</v>
      </c>
      <c r="G29200">
        <v>9271128</v>
      </c>
      <c r="H29200">
        <v>12724495</v>
      </c>
      <c r="I29200">
        <v>15230923</v>
      </c>
      <c r="J29200">
        <v>4</v>
      </c>
    </row>
    <row r="29201" spans="1:10" x14ac:dyDescent="0.25">
      <c r="A29201" t="s">
        <v>331</v>
      </c>
      <c r="B29201" s="1" t="str">
        <f>HYPERLINK("http://standardandpoors.com.br","standardandpoors.com.br")</f>
        <v>standardandpoors.com.br</v>
      </c>
      <c r="C29201" t="s">
        <v>425</v>
      </c>
      <c r="D29201" t="s">
        <v>806</v>
      </c>
      <c r="F29201">
        <v>4.4747897634263196E-9</v>
      </c>
      <c r="G29201">
        <v>63455664</v>
      </c>
      <c r="H29201">
        <v>10804972</v>
      </c>
      <c r="I29201">
        <v>38014150</v>
      </c>
      <c r="J29201">
        <v>3</v>
      </c>
    </row>
    <row r="29202" spans="1:10" x14ac:dyDescent="0.25">
      <c r="A29202" t="s">
        <v>331</v>
      </c>
      <c r="B29202" s="1" t="str">
        <f>HYPERLINK("http://carfax.ca","carfax.ca")</f>
        <v>carfax.ca</v>
      </c>
      <c r="C29202" t="s">
        <v>428</v>
      </c>
      <c r="D29202" t="s">
        <v>809</v>
      </c>
      <c r="E29202">
        <v>92317</v>
      </c>
      <c r="F29202">
        <v>1.0153021735226699E-6</v>
      </c>
      <c r="G29202">
        <v>37707</v>
      </c>
      <c r="H29202">
        <v>13495519</v>
      </c>
      <c r="I29202">
        <v>9979728</v>
      </c>
      <c r="J29202">
        <v>4</v>
      </c>
    </row>
    <row r="29203" spans="1:10" x14ac:dyDescent="0.25">
      <c r="A29203" t="s">
        <v>331</v>
      </c>
      <c r="B29203" s="1" t="str">
        <f>HYPERLINK("http://ihsenergy.ca","ihsenergy.ca")</f>
        <v>ihsenergy.ca</v>
      </c>
      <c r="C29203" t="s">
        <v>428</v>
      </c>
      <c r="D29203" t="s">
        <v>809</v>
      </c>
      <c r="F29203">
        <v>1.0267775834157299E-7</v>
      </c>
      <c r="G29203">
        <v>390959</v>
      </c>
      <c r="H29203">
        <v>12981736</v>
      </c>
      <c r="I29203">
        <v>12947881</v>
      </c>
      <c r="J29203">
        <v>4</v>
      </c>
    </row>
    <row r="29204" spans="1:10" x14ac:dyDescent="0.25">
      <c r="A29204" t="s">
        <v>331</v>
      </c>
      <c r="B29204" s="1" t="str">
        <f>HYPERLINK("http://spchinacreditanalytics.cn","spchinacreditanalytics.cn")</f>
        <v>spchinacreditanalytics.cn</v>
      </c>
      <c r="C29204" t="s">
        <v>431</v>
      </c>
      <c r="D29204" t="s">
        <v>812</v>
      </c>
      <c r="J29204">
        <v>2</v>
      </c>
    </row>
    <row r="29205" spans="1:10" x14ac:dyDescent="0.25">
      <c r="A29205" t="s">
        <v>331</v>
      </c>
      <c r="B29205" s="1" t="str">
        <f>HYPERLINK("http://spglobal.cn","spglobal.cn")</f>
        <v>spglobal.cn</v>
      </c>
      <c r="C29205" t="s">
        <v>431</v>
      </c>
      <c r="D29205" t="s">
        <v>812</v>
      </c>
      <c r="F29205">
        <v>5.3616643337390999E-9</v>
      </c>
      <c r="G29205">
        <v>22648796</v>
      </c>
      <c r="H29205">
        <v>11189476</v>
      </c>
      <c r="I29205">
        <v>31357036</v>
      </c>
      <c r="J29205">
        <v>2</v>
      </c>
    </row>
    <row r="29206" spans="1:10" x14ac:dyDescent="0.25">
      <c r="A29206" t="s">
        <v>331</v>
      </c>
      <c r="B29206" s="1" t="str">
        <f>HYPERLINK("http://451research.com","451research.com")</f>
        <v>451research.com</v>
      </c>
      <c r="C29206" t="s">
        <v>433</v>
      </c>
      <c r="E29206">
        <v>68563</v>
      </c>
      <c r="F29206">
        <v>1.83405450876348E-6</v>
      </c>
      <c r="G29206">
        <v>20560</v>
      </c>
      <c r="H29206">
        <v>15524659</v>
      </c>
      <c r="I29206">
        <v>376029</v>
      </c>
      <c r="J29206">
        <v>3</v>
      </c>
    </row>
    <row r="29207" spans="1:10" x14ac:dyDescent="0.25">
      <c r="A29207" t="s">
        <v>331</v>
      </c>
      <c r="B29207" s="1" t="str">
        <f>HYPERLINK("http://aislive.com","aislive.com")</f>
        <v>aislive.com</v>
      </c>
      <c r="C29207" t="s">
        <v>433</v>
      </c>
      <c r="F29207">
        <v>2.5855304441001301E-8</v>
      </c>
      <c r="G29207">
        <v>1993320</v>
      </c>
      <c r="H29207">
        <v>14502409</v>
      </c>
      <c r="I29207">
        <v>846254</v>
      </c>
      <c r="J29207">
        <v>4</v>
      </c>
    </row>
    <row r="29208" spans="1:10" x14ac:dyDescent="0.25">
      <c r="A29208" t="s">
        <v>331</v>
      </c>
      <c r="B29208" s="1" t="str">
        <f>HYPERLINK("http://automotivemastermind.com","automotivemastermind.com")</f>
        <v>automotivemastermind.com</v>
      </c>
      <c r="C29208" t="s">
        <v>433</v>
      </c>
      <c r="E29208">
        <v>226276</v>
      </c>
      <c r="F29208">
        <v>6.4093677164584707E-8</v>
      </c>
      <c r="G29208">
        <v>676005</v>
      </c>
      <c r="H29208">
        <v>13635097</v>
      </c>
      <c r="I29208">
        <v>9614802</v>
      </c>
      <c r="J29208">
        <v>3</v>
      </c>
    </row>
    <row r="29209" spans="1:10" x14ac:dyDescent="0.25">
      <c r="A29209" t="s">
        <v>331</v>
      </c>
      <c r="B29209" s="1" t="str">
        <f>HYPERLINK("http://capitaliq.com","capitaliq.com")</f>
        <v>capitaliq.com</v>
      </c>
      <c r="C29209" t="s">
        <v>433</v>
      </c>
      <c r="E29209">
        <v>49131</v>
      </c>
      <c r="F29209">
        <v>4.5678713234483498E-7</v>
      </c>
      <c r="G29209">
        <v>82785</v>
      </c>
      <c r="H29209">
        <v>15026103</v>
      </c>
      <c r="I29209">
        <v>419540</v>
      </c>
      <c r="J29209">
        <v>3</v>
      </c>
    </row>
    <row r="29210" spans="1:10" x14ac:dyDescent="0.25">
      <c r="A29210" t="s">
        <v>331</v>
      </c>
      <c r="B29210" s="1" t="str">
        <f>HYPERLINK("http://cappitech.com","cappitech.com")</f>
        <v>cappitech.com</v>
      </c>
      <c r="C29210" t="s">
        <v>433</v>
      </c>
      <c r="F29210">
        <v>4.7798333505495002E-8</v>
      </c>
      <c r="G29210">
        <v>973510</v>
      </c>
      <c r="H29210">
        <v>13295928</v>
      </c>
      <c r="I29210">
        <v>10848421</v>
      </c>
      <c r="J29210">
        <v>3</v>
      </c>
    </row>
    <row r="29211" spans="1:10" x14ac:dyDescent="0.25">
      <c r="A29211" t="s">
        <v>331</v>
      </c>
      <c r="B29211" s="1" t="str">
        <f>HYPERLINK("http://carfax.com","carfax.com")</f>
        <v>carfax.com</v>
      </c>
      <c r="C29211" t="s">
        <v>433</v>
      </c>
      <c r="E29211">
        <v>2307</v>
      </c>
      <c r="F29211">
        <v>8.9997110507872193E-6</v>
      </c>
      <c r="G29211">
        <v>3754</v>
      </c>
      <c r="H29211">
        <v>17377574</v>
      </c>
      <c r="I29211">
        <v>20855</v>
      </c>
      <c r="J29211">
        <v>3</v>
      </c>
    </row>
    <row r="29212" spans="1:10" x14ac:dyDescent="0.25">
      <c r="A29212" t="s">
        <v>331</v>
      </c>
      <c r="B29212" s="1" t="str">
        <f>HYPERLINK("http://carfaxforpolice.com","carfaxforpolice.com")</f>
        <v>carfaxforpolice.com</v>
      </c>
      <c r="C29212" t="s">
        <v>433</v>
      </c>
      <c r="E29212">
        <v>489746</v>
      </c>
      <c r="F29212">
        <v>1.36726724764003E-7</v>
      </c>
      <c r="G29212">
        <v>285090</v>
      </c>
      <c r="H29212">
        <v>12884478</v>
      </c>
      <c r="I29212">
        <v>13971131</v>
      </c>
      <c r="J29212">
        <v>4</v>
      </c>
    </row>
    <row r="29213" spans="1:10" x14ac:dyDescent="0.25">
      <c r="A29213" t="s">
        <v>331</v>
      </c>
      <c r="B29213" s="1" t="str">
        <f>HYPERLINK("http://changewave.com","changewave.com")</f>
        <v>changewave.com</v>
      </c>
      <c r="C29213" t="s">
        <v>433</v>
      </c>
      <c r="F29213">
        <v>4.74080064225698E-8</v>
      </c>
      <c r="G29213">
        <v>982738</v>
      </c>
      <c r="H29213">
        <v>14189841</v>
      </c>
      <c r="I29213">
        <v>1761854</v>
      </c>
      <c r="J29213">
        <v>8</v>
      </c>
    </row>
    <row r="29214" spans="1:10" x14ac:dyDescent="0.25">
      <c r="A29214" t="s">
        <v>331</v>
      </c>
      <c r="B29214" s="1" t="str">
        <f>HYPERLINK("http://changewaveresearch.com","changewaveresearch.com")</f>
        <v>changewaveresearch.com</v>
      </c>
      <c r="C29214" t="s">
        <v>433</v>
      </c>
      <c r="F29214">
        <v>7.3473425493863505E-8</v>
      </c>
      <c r="G29214">
        <v>573599</v>
      </c>
      <c r="H29214">
        <v>14272395</v>
      </c>
      <c r="I29214">
        <v>1395270</v>
      </c>
      <c r="J29214">
        <v>7</v>
      </c>
    </row>
    <row r="29215" spans="1:10" x14ac:dyDescent="0.25">
      <c r="A29215" t="s">
        <v>331</v>
      </c>
      <c r="B29215" s="1" t="str">
        <f>HYPERLINK("http://chemweek.com","chemweek.com")</f>
        <v>chemweek.com</v>
      </c>
      <c r="C29215" t="s">
        <v>433</v>
      </c>
      <c r="E29215">
        <v>497154</v>
      </c>
      <c r="F29215">
        <v>1.3807317111409299E-7</v>
      </c>
      <c r="G29215">
        <v>282170</v>
      </c>
      <c r="H29215">
        <v>14738198</v>
      </c>
      <c r="I29215">
        <v>568525</v>
      </c>
      <c r="J29215">
        <v>4</v>
      </c>
    </row>
    <row r="29216" spans="1:10" x14ac:dyDescent="0.25">
      <c r="A29216" t="s">
        <v>331</v>
      </c>
      <c r="B29216" s="1" t="str">
        <f>HYPERLINK("http://coalition.com","coalition.com")</f>
        <v>coalition.com</v>
      </c>
      <c r="C29216" t="s">
        <v>433</v>
      </c>
      <c r="F29216">
        <v>1.5962145279249399E-8</v>
      </c>
      <c r="G29216">
        <v>3556161</v>
      </c>
      <c r="H29216">
        <v>13344789</v>
      </c>
      <c r="I29216">
        <v>10653250</v>
      </c>
      <c r="J29216">
        <v>3</v>
      </c>
    </row>
    <row r="29217" spans="1:10" x14ac:dyDescent="0.25">
      <c r="A29217" t="s">
        <v>331</v>
      </c>
      <c r="B29217" s="1" t="str">
        <f>HYPERLINK("http://coreonetechnologies.com","coreonetechnologies.com")</f>
        <v>coreonetechnologies.com</v>
      </c>
      <c r="C29217" t="s">
        <v>433</v>
      </c>
      <c r="F29217">
        <v>3.1169294419315799E-8</v>
      </c>
      <c r="G29217">
        <v>1653955</v>
      </c>
      <c r="H29217">
        <v>11187575</v>
      </c>
      <c r="I29217">
        <v>31373210</v>
      </c>
      <c r="J29217">
        <v>3</v>
      </c>
    </row>
    <row r="29218" spans="1:10" x14ac:dyDescent="0.25">
      <c r="A29218" t="s">
        <v>331</v>
      </c>
      <c r="B29218" s="1" t="str">
        <f>HYPERLINK("http://correctnet.com","correctnet.com")</f>
        <v>correctnet.com</v>
      </c>
      <c r="C29218" t="s">
        <v>433</v>
      </c>
      <c r="F29218">
        <v>5.3132120114567401E-9</v>
      </c>
      <c r="G29218">
        <v>23303506</v>
      </c>
      <c r="H29218">
        <v>13279418</v>
      </c>
      <c r="I29218">
        <v>10917169</v>
      </c>
      <c r="J29218">
        <v>3</v>
      </c>
    </row>
    <row r="29219" spans="1:10" x14ac:dyDescent="0.25">
      <c r="A29219" t="s">
        <v>331</v>
      </c>
      <c r="B29219" s="1" t="str">
        <f>HYPERLINK("http://crisil.com","crisil.com")</f>
        <v>crisil.com</v>
      </c>
      <c r="C29219" t="s">
        <v>433</v>
      </c>
      <c r="E29219">
        <v>152025</v>
      </c>
      <c r="F29219">
        <v>3.7222816950026001E-7</v>
      </c>
      <c r="G29219">
        <v>100633</v>
      </c>
      <c r="H29219">
        <v>15262206</v>
      </c>
      <c r="I29219">
        <v>389185</v>
      </c>
      <c r="J29219">
        <v>3</v>
      </c>
    </row>
    <row r="29220" spans="1:10" x14ac:dyDescent="0.25">
      <c r="A29220" t="s">
        <v>331</v>
      </c>
      <c r="B29220" s="1" t="str">
        <f>HYPERLINK("http://crisilquantix.com","crisilquantix.com")</f>
        <v>crisilquantix.com</v>
      </c>
      <c r="C29220" t="s">
        <v>433</v>
      </c>
      <c r="J29220">
        <v>4</v>
      </c>
    </row>
    <row r="29221" spans="1:10" x14ac:dyDescent="0.25">
      <c r="A29221" t="s">
        <v>331</v>
      </c>
      <c r="B29221" s="1" t="str">
        <f>HYPERLINK("http://cticompliance.com","cticompliance.com")</f>
        <v>cticompliance.com</v>
      </c>
      <c r="C29221" t="s">
        <v>433</v>
      </c>
      <c r="F29221">
        <v>4.4497439183476299E-9</v>
      </c>
      <c r="G29221">
        <v>72079772</v>
      </c>
      <c r="H29221">
        <v>10951427</v>
      </c>
      <c r="I29221">
        <v>34552203</v>
      </c>
      <c r="J29221">
        <v>3</v>
      </c>
    </row>
    <row r="29222" spans="1:10" x14ac:dyDescent="0.25">
      <c r="A29222" t="s">
        <v>331</v>
      </c>
      <c r="B29222" s="1" t="str">
        <f>HYPERLINK("http://derivexperts.com","derivexperts.com")</f>
        <v>derivexperts.com</v>
      </c>
      <c r="C29222" t="s">
        <v>433</v>
      </c>
      <c r="F29222">
        <v>6.09039622510346E-9</v>
      </c>
      <c r="G29222">
        <v>16146921</v>
      </c>
      <c r="H29222">
        <v>12206007</v>
      </c>
      <c r="I29222">
        <v>23130272</v>
      </c>
      <c r="J29222">
        <v>3</v>
      </c>
    </row>
    <row r="29223" spans="1:10" x14ac:dyDescent="0.25">
      <c r="A29223" t="s">
        <v>331</v>
      </c>
      <c r="B29223" s="1" t="str">
        <f>HYPERLINK("http://globalspec.com","globalspec.com")</f>
        <v>globalspec.com</v>
      </c>
      <c r="C29223" t="s">
        <v>433</v>
      </c>
      <c r="E29223">
        <v>16788</v>
      </c>
      <c r="F29223">
        <v>1.2910173935168901E-6</v>
      </c>
      <c r="G29223">
        <v>30069</v>
      </c>
      <c r="H29223">
        <v>15881062</v>
      </c>
      <c r="I29223">
        <v>367310</v>
      </c>
      <c r="J29223">
        <v>5</v>
      </c>
    </row>
    <row r="29224" spans="1:10" x14ac:dyDescent="0.25">
      <c r="A29224" t="s">
        <v>331</v>
      </c>
      <c r="B29224" s="1" t="str">
        <f>HYPERLINK("http://greenwich.com","greenwich.com")</f>
        <v>greenwich.com</v>
      </c>
      <c r="C29224" t="s">
        <v>433</v>
      </c>
      <c r="E29224">
        <v>393916</v>
      </c>
      <c r="F29224">
        <v>1.6024147006222999E-6</v>
      </c>
      <c r="G29224">
        <v>24570</v>
      </c>
      <c r="H29224">
        <v>17361364</v>
      </c>
      <c r="I29224">
        <v>22104</v>
      </c>
      <c r="J29224">
        <v>3</v>
      </c>
    </row>
    <row r="29225" spans="1:10" x14ac:dyDescent="0.25">
      <c r="A29225" t="s">
        <v>331</v>
      </c>
      <c r="B29225" s="1" t="str">
        <f>HYPERLINK("http://ihrmarkit.com","ihrmarkit.com")</f>
        <v>ihrmarkit.com</v>
      </c>
      <c r="C29225" t="s">
        <v>433</v>
      </c>
      <c r="J29225">
        <v>3</v>
      </c>
    </row>
    <row r="29226" spans="1:10" x14ac:dyDescent="0.25">
      <c r="A29226" t="s">
        <v>331</v>
      </c>
      <c r="B29226" s="1" t="str">
        <f>HYPERLINK("http://ihs.com","ihs.com")</f>
        <v>ihs.com</v>
      </c>
      <c r="C29226" t="s">
        <v>433</v>
      </c>
      <c r="E29226">
        <v>14708</v>
      </c>
      <c r="F29226">
        <v>3.8695320422539404E-6</v>
      </c>
      <c r="G29226">
        <v>10868</v>
      </c>
      <c r="H29226">
        <v>17510266</v>
      </c>
      <c r="I29226">
        <v>13232</v>
      </c>
      <c r="J29226">
        <v>3</v>
      </c>
    </row>
    <row r="29227" spans="1:10" x14ac:dyDescent="0.25">
      <c r="A29227" t="s">
        <v>331</v>
      </c>
      <c r="B29227" s="1" t="str">
        <f>HYPERLINK("http://ihsenergy.com","ihsenergy.com")</f>
        <v>ihsenergy.com</v>
      </c>
      <c r="C29227" t="s">
        <v>433</v>
      </c>
      <c r="E29227">
        <v>431748</v>
      </c>
      <c r="F29227">
        <v>8.8897355975003303E-8</v>
      </c>
      <c r="G29227">
        <v>459995</v>
      </c>
      <c r="H29227">
        <v>13567688</v>
      </c>
      <c r="I29227">
        <v>9741939</v>
      </c>
      <c r="J29227">
        <v>4</v>
      </c>
    </row>
    <row r="29228" spans="1:10" x14ac:dyDescent="0.25">
      <c r="A29228" t="s">
        <v>331</v>
      </c>
      <c r="B29228" s="1" t="str">
        <f>HYPERLINK("http://ihserc.com","ihserc.com")</f>
        <v>ihserc.com</v>
      </c>
      <c r="C29228" t="s">
        <v>433</v>
      </c>
      <c r="E29228">
        <v>278487</v>
      </c>
      <c r="F29228">
        <v>1.39764987703722E-7</v>
      </c>
      <c r="G29228">
        <v>278733</v>
      </c>
      <c r="H29228">
        <v>14036027</v>
      </c>
      <c r="I29228">
        <v>3914772</v>
      </c>
      <c r="J29228">
        <v>4</v>
      </c>
    </row>
    <row r="29229" spans="1:10" x14ac:dyDescent="0.25">
      <c r="A29229" t="s">
        <v>331</v>
      </c>
      <c r="B29229" s="1" t="str">
        <f>HYPERLINK("http://ihsgdansk.com","ihsgdansk.com")</f>
        <v>ihsgdansk.com</v>
      </c>
      <c r="C29229" t="s">
        <v>433</v>
      </c>
      <c r="F29229">
        <v>6.13949047140436E-9</v>
      </c>
      <c r="G29229">
        <v>15864320</v>
      </c>
      <c r="H29229">
        <v>12277183</v>
      </c>
      <c r="I29229">
        <v>21366886</v>
      </c>
      <c r="J29229">
        <v>3</v>
      </c>
    </row>
    <row r="29230" spans="1:10" x14ac:dyDescent="0.25">
      <c r="A29230" t="s">
        <v>331</v>
      </c>
      <c r="B29230" s="1" t="str">
        <f>HYPERLINK("http://ihsglobalinsight.com","ihsglobalinsight.com")</f>
        <v>ihsglobalinsight.com</v>
      </c>
      <c r="C29230" t="s">
        <v>433</v>
      </c>
      <c r="F29230">
        <v>3.5984240697822201E-8</v>
      </c>
      <c r="G29230">
        <v>1448091</v>
      </c>
      <c r="H29230">
        <v>14546188</v>
      </c>
      <c r="I29230">
        <v>767803</v>
      </c>
      <c r="J29230">
        <v>4</v>
      </c>
    </row>
    <row r="29231" spans="1:10" x14ac:dyDescent="0.25">
      <c r="A29231" t="s">
        <v>331</v>
      </c>
      <c r="B29231" s="1" t="str">
        <f>HYPERLINK("http://ihsmarkit.com","ihsmarkit.com")</f>
        <v>ihsmarkit.com</v>
      </c>
      <c r="C29231" t="s">
        <v>433</v>
      </c>
      <c r="E29231">
        <v>9330</v>
      </c>
      <c r="F29231">
        <v>9.5250482904674393E-6</v>
      </c>
      <c r="G29231">
        <v>3546</v>
      </c>
      <c r="H29231">
        <v>18663628</v>
      </c>
      <c r="I29231">
        <v>1094</v>
      </c>
      <c r="J29231">
        <v>2</v>
      </c>
    </row>
    <row r="29232" spans="1:10" x14ac:dyDescent="0.25">
      <c r="A29232" t="s">
        <v>331</v>
      </c>
      <c r="B29232" s="1" t="str">
        <f>HYPERLINK("http://ihsmarkitcloud.com","ihsmarkitcloud.com")</f>
        <v>ihsmarkitcloud.com</v>
      </c>
      <c r="C29232" t="s">
        <v>433</v>
      </c>
      <c r="F29232">
        <v>4.44380927664477E-9</v>
      </c>
      <c r="G29232">
        <v>79791157</v>
      </c>
      <c r="H29232">
        <v>10352960</v>
      </c>
      <c r="I29232">
        <v>55940248</v>
      </c>
      <c r="J29232">
        <v>4</v>
      </c>
    </row>
    <row r="29233" spans="1:10" x14ac:dyDescent="0.25">
      <c r="A29233" t="s">
        <v>331</v>
      </c>
      <c r="B29233" s="1" t="str">
        <f>HYPERLINK("http://ilevelsolutions.com","ilevelsolutions.com")</f>
        <v>ilevelsolutions.com</v>
      </c>
      <c r="C29233" t="s">
        <v>433</v>
      </c>
      <c r="E29233">
        <v>277587</v>
      </c>
      <c r="F29233">
        <v>2.0481518420802298E-8</v>
      </c>
      <c r="G29233">
        <v>2587281</v>
      </c>
      <c r="H29233">
        <v>13942368</v>
      </c>
      <c r="I29233">
        <v>4331954</v>
      </c>
      <c r="J29233">
        <v>3</v>
      </c>
    </row>
    <row r="29234" spans="1:10" x14ac:dyDescent="0.25">
      <c r="A29234" t="s">
        <v>331</v>
      </c>
      <c r="B29234" s="1" t="str">
        <f>HYPERLINK("http://informaecon-fnp.com","informaecon-fnp.com")</f>
        <v>informaecon-fnp.com</v>
      </c>
      <c r="C29234" t="s">
        <v>433</v>
      </c>
      <c r="F29234">
        <v>5.1846481676049802E-9</v>
      </c>
      <c r="G29234">
        <v>25436939</v>
      </c>
      <c r="H29234">
        <v>13764313</v>
      </c>
      <c r="I29234">
        <v>7299287</v>
      </c>
      <c r="J29234">
        <v>3</v>
      </c>
    </row>
    <row r="29235" spans="1:10" x14ac:dyDescent="0.25">
      <c r="A29235" t="s">
        <v>331</v>
      </c>
      <c r="B29235" s="1" t="str">
        <f>HYPERLINK("http://informationmosaic.com","informationmosaic.com")</f>
        <v>informationmosaic.com</v>
      </c>
      <c r="C29235" t="s">
        <v>433</v>
      </c>
      <c r="F29235">
        <v>1.8697141072034101E-8</v>
      </c>
      <c r="G29235">
        <v>2889843</v>
      </c>
      <c r="H29235">
        <v>13806873</v>
      </c>
      <c r="I29235">
        <v>6229167</v>
      </c>
      <c r="J29235">
        <v>3</v>
      </c>
    </row>
    <row r="29236" spans="1:10" x14ac:dyDescent="0.25">
      <c r="A29236" t="s">
        <v>331</v>
      </c>
      <c r="B29236" s="1" t="str">
        <f>HYPERLINK("http://ipreo.com","ipreo.com")</f>
        <v>ipreo.com</v>
      </c>
      <c r="C29236" t="s">
        <v>433</v>
      </c>
      <c r="E29236">
        <v>225930</v>
      </c>
      <c r="F29236">
        <v>1.9452096519787799E-7</v>
      </c>
      <c r="G29236">
        <v>198209</v>
      </c>
      <c r="H29236">
        <v>14295061</v>
      </c>
      <c r="I29236">
        <v>1361309</v>
      </c>
      <c r="J29236">
        <v>3</v>
      </c>
    </row>
    <row r="29237" spans="1:10" x14ac:dyDescent="0.25">
      <c r="A29237" t="s">
        <v>331</v>
      </c>
      <c r="B29237" s="1" t="str">
        <f>HYPERLINK("http://iprospectusdirect.com","iprospectusdirect.com")</f>
        <v>iprospectusdirect.com</v>
      </c>
      <c r="C29237" t="s">
        <v>433</v>
      </c>
      <c r="J29237">
        <v>4</v>
      </c>
    </row>
    <row r="29238" spans="1:10" x14ac:dyDescent="0.25">
      <c r="A29238" t="s">
        <v>331</v>
      </c>
      <c r="B29238" s="1" t="str">
        <f>HYPERLINK("http://joc.com","joc.com")</f>
        <v>joc.com</v>
      </c>
      <c r="C29238" t="s">
        <v>433</v>
      </c>
      <c r="E29238">
        <v>36043</v>
      </c>
      <c r="F29238">
        <v>2.6602707380529401E-6</v>
      </c>
      <c r="G29238">
        <v>14286</v>
      </c>
      <c r="H29238">
        <v>16178715</v>
      </c>
      <c r="I29238">
        <v>365633</v>
      </c>
      <c r="J29238">
        <v>3</v>
      </c>
    </row>
    <row r="29239" spans="1:10" x14ac:dyDescent="0.25">
      <c r="A29239" t="s">
        <v>331</v>
      </c>
      <c r="B29239" s="1" t="str">
        <f>HYPERLINK("http://kensho.com","kensho.com")</f>
        <v>kensho.com</v>
      </c>
      <c r="C29239" t="s">
        <v>433</v>
      </c>
      <c r="E29239">
        <v>704895</v>
      </c>
      <c r="F29239">
        <v>1.80746229720469E-7</v>
      </c>
      <c r="G29239">
        <v>213728</v>
      </c>
      <c r="H29239">
        <v>14564192</v>
      </c>
      <c r="I29239">
        <v>741892</v>
      </c>
      <c r="J29239">
        <v>4</v>
      </c>
    </row>
    <row r="29240" spans="1:10" x14ac:dyDescent="0.25">
      <c r="A29240" t="s">
        <v>331</v>
      </c>
      <c r="B29240" s="1" t="str">
        <f>HYPERLINK("http://kyc.com","kyc.com")</f>
        <v>kyc.com</v>
      </c>
      <c r="C29240" t="s">
        <v>433</v>
      </c>
      <c r="F29240">
        <v>7.0802847346944101E-9</v>
      </c>
      <c r="G29240">
        <v>12070494</v>
      </c>
      <c r="H29240">
        <v>13103272</v>
      </c>
      <c r="I29240">
        <v>12083722</v>
      </c>
      <c r="J29240">
        <v>4</v>
      </c>
    </row>
    <row r="29241" spans="1:10" x14ac:dyDescent="0.25">
      <c r="A29241" t="s">
        <v>331</v>
      </c>
      <c r="B29241" s="1" t="str">
        <f>HYPERLINK("http://livericeindex.com","livericeindex.com")</f>
        <v>livericeindex.com</v>
      </c>
      <c r="C29241" t="s">
        <v>433</v>
      </c>
      <c r="F29241">
        <v>6.5962259367098703E-9</v>
      </c>
      <c r="G29241">
        <v>13691448</v>
      </c>
      <c r="H29241">
        <v>11528195</v>
      </c>
      <c r="I29241">
        <v>29994558</v>
      </c>
      <c r="J29241">
        <v>3</v>
      </c>
    </row>
    <row r="29242" spans="1:10" x14ac:dyDescent="0.25">
      <c r="A29242" t="s">
        <v>331</v>
      </c>
      <c r="B29242" s="1" t="str">
        <f>HYPERLINK("http://lrfairplay.com","lrfairplay.com")</f>
        <v>lrfairplay.com</v>
      </c>
      <c r="C29242" t="s">
        <v>433</v>
      </c>
      <c r="F29242">
        <v>9.31445926440382E-8</v>
      </c>
      <c r="G29242">
        <v>436555</v>
      </c>
      <c r="H29242">
        <v>14522754</v>
      </c>
      <c r="I29242">
        <v>800198</v>
      </c>
      <c r="J29242">
        <v>4</v>
      </c>
    </row>
    <row r="29243" spans="1:10" x14ac:dyDescent="0.25">
      <c r="A29243" t="s">
        <v>331</v>
      </c>
      <c r="B29243" s="1" t="str">
        <f>HYPERLINK("http://macroadvisers.com","macroadvisers.com")</f>
        <v>macroadvisers.com</v>
      </c>
      <c r="C29243" t="s">
        <v>433</v>
      </c>
      <c r="F29243">
        <v>8.4721822311593906E-8</v>
      </c>
      <c r="G29243">
        <v>487326</v>
      </c>
      <c r="H29243">
        <v>16853400</v>
      </c>
      <c r="I29243">
        <v>156857</v>
      </c>
      <c r="J29243">
        <v>3</v>
      </c>
    </row>
    <row r="29244" spans="1:10" x14ac:dyDescent="0.25">
      <c r="A29244" t="s">
        <v>331</v>
      </c>
      <c r="B29244" s="1" t="str">
        <f>HYPERLINK("http://markit.com","markit.com")</f>
        <v>markit.com</v>
      </c>
      <c r="C29244" t="s">
        <v>433</v>
      </c>
      <c r="E29244">
        <v>92417</v>
      </c>
      <c r="F29244">
        <v>5.7677309583517496E-7</v>
      </c>
      <c r="G29244">
        <v>66233</v>
      </c>
      <c r="H29244">
        <v>17187300</v>
      </c>
      <c r="I29244">
        <v>44151</v>
      </c>
      <c r="J29244">
        <v>3</v>
      </c>
    </row>
    <row r="29245" spans="1:10" x14ac:dyDescent="0.25">
      <c r="A29245" t="s">
        <v>331</v>
      </c>
      <c r="B29245" s="1" t="str">
        <f>HYPERLINK("http://markitdesktop.com","markitdesktop.com")</f>
        <v>markitdesktop.com</v>
      </c>
      <c r="C29245" t="s">
        <v>433</v>
      </c>
      <c r="J29245">
        <v>4</v>
      </c>
    </row>
    <row r="29246" spans="1:10" x14ac:dyDescent="0.25">
      <c r="A29246" t="s">
        <v>331</v>
      </c>
      <c r="B29246" s="1" t="str">
        <f>HYPERLINK("http://markitdigital.com","markitdigital.com")</f>
        <v>markitdigital.com</v>
      </c>
      <c r="C29246" t="s">
        <v>433</v>
      </c>
      <c r="E29246">
        <v>57643</v>
      </c>
      <c r="F29246">
        <v>6.2808209982071705E-7</v>
      </c>
      <c r="G29246">
        <v>61057</v>
      </c>
      <c r="H29246">
        <v>17174520</v>
      </c>
      <c r="I29246">
        <v>46751</v>
      </c>
      <c r="J29246">
        <v>4</v>
      </c>
    </row>
    <row r="29247" spans="1:10" x14ac:dyDescent="0.25">
      <c r="A29247" t="s">
        <v>331</v>
      </c>
      <c r="B29247" s="1" t="str">
        <f>HYPERLINK("http://markitondemand.com","markitondemand.com")</f>
        <v>markitondemand.com</v>
      </c>
      <c r="C29247" t="s">
        <v>433</v>
      </c>
      <c r="E29247">
        <v>60265</v>
      </c>
      <c r="F29247">
        <v>2.8189153543975902E-7</v>
      </c>
      <c r="G29247">
        <v>131905</v>
      </c>
      <c r="H29247">
        <v>13488777</v>
      </c>
      <c r="I29247">
        <v>9990026</v>
      </c>
      <c r="J29247">
        <v>4</v>
      </c>
    </row>
    <row r="29248" spans="1:10" x14ac:dyDescent="0.25">
      <c r="A29248" t="s">
        <v>331</v>
      </c>
      <c r="B29248" s="1" t="str">
        <f>HYPERLINK("http://markitqa.com","markitqa.com")</f>
        <v>markitqa.com</v>
      </c>
      <c r="C29248" t="s">
        <v>433</v>
      </c>
      <c r="F29248">
        <v>4.4439033082961696E-9</v>
      </c>
      <c r="G29248">
        <v>77922864</v>
      </c>
      <c r="H29248">
        <v>10605884</v>
      </c>
      <c r="I29248">
        <v>44685904</v>
      </c>
      <c r="J29248">
        <v>4</v>
      </c>
    </row>
    <row r="29249" spans="1:10" x14ac:dyDescent="0.25">
      <c r="A29249" t="s">
        <v>331</v>
      </c>
      <c r="B29249" s="1" t="str">
        <f>HYPERLINK("http://markitserv.com","markitserv.com")</f>
        <v>markitserv.com</v>
      </c>
      <c r="C29249" t="s">
        <v>433</v>
      </c>
      <c r="F29249">
        <v>3.4220315185049802E-8</v>
      </c>
      <c r="G29249">
        <v>1514515</v>
      </c>
      <c r="H29249">
        <v>13767542</v>
      </c>
      <c r="I29249">
        <v>6926933</v>
      </c>
      <c r="J29249">
        <v>4</v>
      </c>
    </row>
    <row r="29250" spans="1:10" x14ac:dyDescent="0.25">
      <c r="A29250" t="s">
        <v>331</v>
      </c>
      <c r="B29250" s="1" t="str">
        <f>HYPERLINK("http://markitwire.com","markitwire.com")</f>
        <v>markitwire.com</v>
      </c>
      <c r="C29250" t="s">
        <v>433</v>
      </c>
      <c r="J29250">
        <v>3</v>
      </c>
    </row>
    <row r="29251" spans="1:10" x14ac:dyDescent="0.25">
      <c r="A29251" t="s">
        <v>331</v>
      </c>
      <c r="B29251" s="1" t="str">
        <f>HYPERLINK("http://mhfi.com","mhfi.com")</f>
        <v>mhfi.com</v>
      </c>
      <c r="C29251" t="s">
        <v>433</v>
      </c>
      <c r="F29251">
        <v>2.18520133522965E-7</v>
      </c>
      <c r="G29251">
        <v>172512</v>
      </c>
      <c r="H29251">
        <v>14627809</v>
      </c>
      <c r="I29251">
        <v>648276</v>
      </c>
      <c r="J29251">
        <v>5</v>
      </c>
    </row>
    <row r="29252" spans="1:10" x14ac:dyDescent="0.25">
      <c r="A29252" t="s">
        <v>331</v>
      </c>
      <c r="B29252" s="1" t="str">
        <f>HYPERLINK("http://ods-petrodata.com","ods-petrodata.com")</f>
        <v>ods-petrodata.com</v>
      </c>
      <c r="C29252" t="s">
        <v>433</v>
      </c>
      <c r="F29252">
        <v>1.0271961207997799E-7</v>
      </c>
      <c r="G29252">
        <v>390798</v>
      </c>
      <c r="H29252">
        <v>13118818</v>
      </c>
      <c r="I29252">
        <v>11997886</v>
      </c>
      <c r="J29252">
        <v>4</v>
      </c>
    </row>
    <row r="29253" spans="1:10" x14ac:dyDescent="0.25">
      <c r="A29253" t="s">
        <v>331</v>
      </c>
      <c r="B29253" s="1" t="str">
        <f>HYPERLINK("http://optioncomputers.com","optioncomputers.com")</f>
        <v>optioncomputers.com</v>
      </c>
      <c r="C29253" t="s">
        <v>433</v>
      </c>
      <c r="F29253">
        <v>4.7136063610507801E-9</v>
      </c>
      <c r="G29253">
        <v>40552389</v>
      </c>
      <c r="H29253">
        <v>1.0003663</v>
      </c>
      <c r="I29253">
        <v>78941711</v>
      </c>
      <c r="J29253">
        <v>6</v>
      </c>
    </row>
    <row r="29254" spans="1:10" x14ac:dyDescent="0.25">
      <c r="A29254" t="s">
        <v>331</v>
      </c>
      <c r="B29254" s="1" t="str">
        <f>HYPERLINK("http://panjiva.com","panjiva.com")</f>
        <v>panjiva.com</v>
      </c>
      <c r="C29254" t="s">
        <v>433</v>
      </c>
      <c r="E29254">
        <v>34174</v>
      </c>
      <c r="F29254">
        <v>2.47103916497421E-7</v>
      </c>
      <c r="G29254">
        <v>151398</v>
      </c>
      <c r="H29254">
        <v>14881980</v>
      </c>
      <c r="I29254">
        <v>471641</v>
      </c>
      <c r="J29254">
        <v>3</v>
      </c>
    </row>
    <row r="29255" spans="1:10" x14ac:dyDescent="0.25">
      <c r="A29255" t="s">
        <v>331</v>
      </c>
      <c r="B29255" s="1" t="str">
        <f>HYPERLINK("http://platts.com","platts.com")</f>
        <v>platts.com</v>
      </c>
      <c r="C29255" t="s">
        <v>433</v>
      </c>
      <c r="E29255">
        <v>44972</v>
      </c>
      <c r="F29255">
        <v>7.7296201026760195E-7</v>
      </c>
      <c r="G29255">
        <v>50647</v>
      </c>
      <c r="H29255">
        <v>15339023</v>
      </c>
      <c r="I29255">
        <v>383468</v>
      </c>
      <c r="J29255">
        <v>3</v>
      </c>
    </row>
    <row r="29256" spans="1:10" x14ac:dyDescent="0.25">
      <c r="A29256" t="s">
        <v>331</v>
      </c>
      <c r="B29256" s="1" t="str">
        <f>HYPERLINK("http://polk.com","polk.com")</f>
        <v>polk.com</v>
      </c>
      <c r="C29256" t="s">
        <v>433</v>
      </c>
      <c r="E29256">
        <v>218745</v>
      </c>
      <c r="F29256">
        <v>1.01852755937287E-6</v>
      </c>
      <c r="G29256">
        <v>37587</v>
      </c>
      <c r="H29256">
        <v>16231436</v>
      </c>
      <c r="I29256">
        <v>365464</v>
      </c>
      <c r="J29256">
        <v>4</v>
      </c>
    </row>
    <row r="29257" spans="1:10" x14ac:dyDescent="0.25">
      <c r="A29257" t="s">
        <v>331</v>
      </c>
      <c r="B29257" s="1" t="str">
        <f>HYPERLINK("http://premierdata.com","premierdata.com")</f>
        <v>premierdata.com</v>
      </c>
      <c r="C29257" t="s">
        <v>433</v>
      </c>
      <c r="F29257">
        <v>4.4550526529175598E-9</v>
      </c>
      <c r="G29257">
        <v>69497263</v>
      </c>
      <c r="H29257">
        <v>8569082</v>
      </c>
      <c r="I29257">
        <v>71105447</v>
      </c>
      <c r="J29257">
        <v>4</v>
      </c>
    </row>
    <row r="29258" spans="1:10" x14ac:dyDescent="0.25">
      <c r="A29258" t="s">
        <v>331</v>
      </c>
      <c r="B29258" s="1" t="str">
        <f>HYPERLINK("http://primarybonds.com","primarybonds.com")</f>
        <v>primarybonds.com</v>
      </c>
      <c r="C29258" t="s">
        <v>433</v>
      </c>
      <c r="F29258">
        <v>7.18864550075828E-9</v>
      </c>
      <c r="G29258">
        <v>11773898</v>
      </c>
      <c r="H29258">
        <v>11075420</v>
      </c>
      <c r="I29258">
        <v>32523224</v>
      </c>
      <c r="J29258">
        <v>4</v>
      </c>
    </row>
    <row r="29259" spans="1:10" x14ac:dyDescent="0.25">
      <c r="A29259" t="s">
        <v>331</v>
      </c>
      <c r="B29259" s="1" t="str">
        <f>HYPERLINK("http://researchteam.com","researchteam.com")</f>
        <v>researchteam.com</v>
      </c>
      <c r="C29259" t="s">
        <v>433</v>
      </c>
      <c r="J29259">
        <v>4</v>
      </c>
    </row>
    <row r="29260" spans="1:10" x14ac:dyDescent="0.25">
      <c r="A29260" t="s">
        <v>331</v>
      </c>
      <c r="B29260" s="1" t="str">
        <f>HYPERLINK("http://rushmorereviews.com","rushmorereviews.com")</f>
        <v>rushmorereviews.com</v>
      </c>
      <c r="C29260" t="s">
        <v>433</v>
      </c>
      <c r="F29260">
        <v>1.5366674366758E-8</v>
      </c>
      <c r="G29260">
        <v>3725523</v>
      </c>
      <c r="H29260">
        <v>12967084</v>
      </c>
      <c r="I29260">
        <v>13074233</v>
      </c>
      <c r="J29260">
        <v>4</v>
      </c>
    </row>
    <row r="29261" spans="1:10" x14ac:dyDescent="0.25">
      <c r="A29261" t="s">
        <v>331</v>
      </c>
      <c r="B29261" s="1" t="str">
        <f>HYPERLINK("http://shareholderinsite.com","shareholderinsite.com")</f>
        <v>shareholderinsite.com</v>
      </c>
      <c r="C29261" t="s">
        <v>433</v>
      </c>
      <c r="F29261">
        <v>4.9987244598777604E-9</v>
      </c>
      <c r="G29261">
        <v>29442491</v>
      </c>
      <c r="H29261">
        <v>12623117</v>
      </c>
      <c r="I29261">
        <v>16055311</v>
      </c>
      <c r="J29261">
        <v>3</v>
      </c>
    </row>
    <row r="29262" spans="1:10" x14ac:dyDescent="0.25">
      <c r="A29262" t="s">
        <v>331</v>
      </c>
      <c r="B29262" s="1" t="str">
        <f>HYPERLINK("http://spcapitaliq.com","spcapitaliq.com")</f>
        <v>spcapitaliq.com</v>
      </c>
      <c r="C29262" t="s">
        <v>433</v>
      </c>
      <c r="F29262">
        <v>1.5240088896345999E-7</v>
      </c>
      <c r="G29262">
        <v>254836</v>
      </c>
      <c r="H29262">
        <v>14639916</v>
      </c>
      <c r="I29262">
        <v>637454</v>
      </c>
      <c r="J29262">
        <v>3</v>
      </c>
    </row>
    <row r="29263" spans="1:10" x14ac:dyDescent="0.25">
      <c r="A29263" t="s">
        <v>331</v>
      </c>
      <c r="B29263" s="1" t="str">
        <f>HYPERLINK("http://spdji.com","spdji.com")</f>
        <v>spdji.com</v>
      </c>
      <c r="C29263" t="s">
        <v>433</v>
      </c>
      <c r="E29263">
        <v>626411</v>
      </c>
      <c r="F29263">
        <v>8.2150773644524297E-7</v>
      </c>
      <c r="G29263">
        <v>48126</v>
      </c>
      <c r="H29263">
        <v>14764384</v>
      </c>
      <c r="I29263">
        <v>559435</v>
      </c>
      <c r="J29263">
        <v>3</v>
      </c>
    </row>
    <row r="29264" spans="1:10" x14ac:dyDescent="0.25">
      <c r="A29264" t="s">
        <v>331</v>
      </c>
      <c r="B29264" s="1" t="str">
        <f>HYPERLINK("http://spglobal.com","spglobal.com")</f>
        <v>spglobal.com</v>
      </c>
      <c r="C29264" t="s">
        <v>433</v>
      </c>
      <c r="E29264">
        <v>3023</v>
      </c>
      <c r="F29264">
        <v>1.30262962756323E-5</v>
      </c>
      <c r="G29264">
        <v>2673</v>
      </c>
      <c r="H29264">
        <v>18131282</v>
      </c>
      <c r="I29264">
        <v>2998</v>
      </c>
      <c r="J29264">
        <v>1</v>
      </c>
    </row>
    <row r="29265" spans="1:10" x14ac:dyDescent="0.25">
      <c r="A29265" t="s">
        <v>331</v>
      </c>
      <c r="B29265" s="1" t="str">
        <f>HYPERLINK("http://spindices.com","spindices.com")</f>
        <v>spindices.com</v>
      </c>
      <c r="C29265" t="s">
        <v>433</v>
      </c>
      <c r="E29265">
        <v>63900</v>
      </c>
      <c r="F29265">
        <v>1.48815182086141E-6</v>
      </c>
      <c r="G29265">
        <v>26334</v>
      </c>
      <c r="H29265">
        <v>15470565</v>
      </c>
      <c r="I29265">
        <v>377561</v>
      </c>
      <c r="J29265">
        <v>3</v>
      </c>
    </row>
    <row r="29266" spans="1:10" x14ac:dyDescent="0.25">
      <c r="A29266" t="s">
        <v>331</v>
      </c>
      <c r="B29266" s="1" t="str">
        <f>HYPERLINK("http://spratings.com","spratings.com")</f>
        <v>spratings.com</v>
      </c>
      <c r="C29266" t="s">
        <v>433</v>
      </c>
      <c r="E29266">
        <v>617950</v>
      </c>
      <c r="F29266">
        <v>6.7901756516752804E-7</v>
      </c>
      <c r="G29266">
        <v>56812</v>
      </c>
      <c r="H29266">
        <v>14824455</v>
      </c>
      <c r="I29266">
        <v>512295</v>
      </c>
      <c r="J29266">
        <v>5</v>
      </c>
    </row>
    <row r="29267" spans="1:10" x14ac:dyDescent="0.25">
      <c r="A29267" t="s">
        <v>331</v>
      </c>
      <c r="B29267" s="1" t="str">
        <f>HYPERLINK("http://standardandpoors.com","standardandpoors.com")</f>
        <v>standardandpoors.com</v>
      </c>
      <c r="C29267" t="s">
        <v>433</v>
      </c>
      <c r="E29267">
        <v>24937</v>
      </c>
      <c r="F29267">
        <v>2.3358324793904402E-6</v>
      </c>
      <c r="G29267">
        <v>15854</v>
      </c>
      <c r="H29267">
        <v>17471536</v>
      </c>
      <c r="I29267">
        <v>14991</v>
      </c>
      <c r="J29267">
        <v>2</v>
      </c>
    </row>
    <row r="29268" spans="1:10" x14ac:dyDescent="0.25">
      <c r="A29268" t="s">
        <v>331</v>
      </c>
      <c r="B29268" s="1" t="str">
        <f>HYPERLINK("http://steelbb.com","steelbb.com")</f>
        <v>steelbb.com</v>
      </c>
      <c r="C29268" t="s">
        <v>433</v>
      </c>
      <c r="F29268">
        <v>3.1889852084626799E-8</v>
      </c>
      <c r="G29268">
        <v>1619986</v>
      </c>
      <c r="H29268">
        <v>14834812</v>
      </c>
      <c r="I29268">
        <v>501961</v>
      </c>
      <c r="J29268">
        <v>3</v>
      </c>
    </row>
    <row r="29269" spans="1:10" x14ac:dyDescent="0.25">
      <c r="A29269" t="s">
        <v>331</v>
      </c>
      <c r="B29269" s="1" t="str">
        <f>HYPERLINK("http://tagaudit.com","tagaudit.com")</f>
        <v>tagaudit.com</v>
      </c>
      <c r="C29269" t="s">
        <v>433</v>
      </c>
      <c r="F29269">
        <v>7.7518027893659807E-8</v>
      </c>
      <c r="G29269">
        <v>539940</v>
      </c>
      <c r="H29269">
        <v>13773757</v>
      </c>
      <c r="I29269">
        <v>6623203</v>
      </c>
      <c r="J29269">
        <v>3</v>
      </c>
    </row>
    <row r="29270" spans="1:10" x14ac:dyDescent="0.25">
      <c r="A29270" t="s">
        <v>331</v>
      </c>
      <c r="B29270" s="1" t="str">
        <f>HYPERLINK("http://taiwanratings.com","taiwanratings.com")</f>
        <v>taiwanratings.com</v>
      </c>
      <c r="C29270" t="s">
        <v>433</v>
      </c>
      <c r="F29270">
        <v>1.9689110431104999E-8</v>
      </c>
      <c r="G29270">
        <v>2710905</v>
      </c>
      <c r="H29270">
        <v>14113824</v>
      </c>
      <c r="I29270">
        <v>2666563</v>
      </c>
      <c r="J29270">
        <v>2</v>
      </c>
    </row>
    <row r="29271" spans="1:10" x14ac:dyDescent="0.25">
      <c r="A29271" t="s">
        <v>331</v>
      </c>
      <c r="B29271" s="1" t="str">
        <f>HYPERLINK("http://the451.com","the451.com")</f>
        <v>the451.com</v>
      </c>
      <c r="C29271" t="s">
        <v>433</v>
      </c>
      <c r="F29271">
        <v>1.2263884194301501E-8</v>
      </c>
      <c r="G29271">
        <v>5014372</v>
      </c>
      <c r="H29271">
        <v>13414876</v>
      </c>
      <c r="I29271">
        <v>10316671</v>
      </c>
      <c r="J29271">
        <v>7</v>
      </c>
    </row>
    <row r="29272" spans="1:10" x14ac:dyDescent="0.25">
      <c r="A29272" t="s">
        <v>331</v>
      </c>
      <c r="B29272" s="1" t="str">
        <f>HYPERLINK("http://theclimateservice.com","theclimateservice.com")</f>
        <v>theclimateservice.com</v>
      </c>
      <c r="C29272" t="s">
        <v>433</v>
      </c>
      <c r="F29272">
        <v>6.1241933900657804E-8</v>
      </c>
      <c r="G29272">
        <v>719060</v>
      </c>
      <c r="H29272">
        <v>14002881</v>
      </c>
      <c r="I29272">
        <v>4009646</v>
      </c>
      <c r="J29272">
        <v>3</v>
      </c>
    </row>
    <row r="29273" spans="1:10" x14ac:dyDescent="0.25">
      <c r="A29273" t="s">
        <v>331</v>
      </c>
      <c r="B29273" s="1" t="str">
        <f>HYPERLINK("http://thinkfolio.com","thinkfolio.com")</f>
        <v>thinkfolio.com</v>
      </c>
      <c r="C29273" t="s">
        <v>433</v>
      </c>
      <c r="F29273">
        <v>4.63135083376838E-9</v>
      </c>
      <c r="G29273">
        <v>45356924</v>
      </c>
      <c r="H29273">
        <v>12133031</v>
      </c>
      <c r="I29273">
        <v>25052648</v>
      </c>
      <c r="J29273">
        <v>3</v>
      </c>
    </row>
    <row r="29274" spans="1:10" x14ac:dyDescent="0.25">
      <c r="A29274" t="s">
        <v>331</v>
      </c>
      <c r="B29274" s="1" t="str">
        <f>HYPERLINK("http://tradestatistics.com","tradestatistics.com")</f>
        <v>tradestatistics.com</v>
      </c>
      <c r="C29274" t="s">
        <v>433</v>
      </c>
      <c r="J29274">
        <v>4</v>
      </c>
    </row>
    <row r="29275" spans="1:10" x14ac:dyDescent="0.25">
      <c r="A29275" t="s">
        <v>331</v>
      </c>
      <c r="B29275" s="1" t="str">
        <f>HYPERLINK("http://trisrating.com","trisrating.com")</f>
        <v>trisrating.com</v>
      </c>
      <c r="C29275" t="s">
        <v>433</v>
      </c>
      <c r="F29275">
        <v>1.73471800358745E-8</v>
      </c>
      <c r="G29275">
        <v>3187654</v>
      </c>
      <c r="H29275">
        <v>14072352</v>
      </c>
      <c r="I29275">
        <v>3111580</v>
      </c>
      <c r="J29275">
        <v>3</v>
      </c>
    </row>
    <row r="29276" spans="1:10" x14ac:dyDescent="0.25">
      <c r="A29276" t="s">
        <v>331</v>
      </c>
      <c r="B29276" s="1" t="str">
        <f>HYPERLINK("http://trucost.com","trucost.com")</f>
        <v>trucost.com</v>
      </c>
      <c r="C29276" t="s">
        <v>433</v>
      </c>
      <c r="E29276">
        <v>665478</v>
      </c>
      <c r="F29276">
        <v>1.6580170092665901E-7</v>
      </c>
      <c r="G29276">
        <v>234089</v>
      </c>
      <c r="H29276">
        <v>15131716</v>
      </c>
      <c r="I29276">
        <v>402200</v>
      </c>
      <c r="J29276">
        <v>3</v>
      </c>
    </row>
    <row r="29277" spans="1:10" x14ac:dyDescent="0.25">
      <c r="A29277" t="s">
        <v>331</v>
      </c>
      <c r="B29277" s="1" t="str">
        <f>HYPERLINK("http://visallo.com","visallo.com")</f>
        <v>visallo.com</v>
      </c>
      <c r="C29277" t="s">
        <v>433</v>
      </c>
      <c r="F29277">
        <v>8.4988939009032595E-9</v>
      </c>
      <c r="G29277">
        <v>8847845</v>
      </c>
      <c r="H29277">
        <v>13140033</v>
      </c>
      <c r="I29277">
        <v>11879569</v>
      </c>
      <c r="J29277">
        <v>3</v>
      </c>
    </row>
    <row r="29278" spans="1:10" x14ac:dyDescent="0.25">
      <c r="A29278" t="s">
        <v>331</v>
      </c>
      <c r="B29278" s="1" t="str">
        <f>HYPERLINK("http://wsod.com","wsod.com")</f>
        <v>wsod.com</v>
      </c>
      <c r="C29278" t="s">
        <v>433</v>
      </c>
      <c r="E29278">
        <v>16090</v>
      </c>
      <c r="F29278">
        <v>2.0003137716557E-7</v>
      </c>
      <c r="G29278">
        <v>190554</v>
      </c>
      <c r="H29278">
        <v>13581623</v>
      </c>
      <c r="I29278">
        <v>9685830</v>
      </c>
      <c r="J29278">
        <v>4</v>
      </c>
    </row>
    <row r="29279" spans="1:10" x14ac:dyDescent="0.25">
      <c r="A29279" t="s">
        <v>331</v>
      </c>
      <c r="B29279" s="1" t="str">
        <f>HYPERLINK("http://wsohosting.com","wsohosting.com")</f>
        <v>wsohosting.com</v>
      </c>
      <c r="C29279" t="s">
        <v>433</v>
      </c>
      <c r="J29279">
        <v>4</v>
      </c>
    </row>
    <row r="29280" spans="1:10" x14ac:dyDescent="0.25">
      <c r="A29280" t="s">
        <v>331</v>
      </c>
      <c r="B29280" s="1" t="str">
        <f>HYPERLINK("http://yankeegroup.com","yankeegroup.com")</f>
        <v>yankeegroup.com</v>
      </c>
      <c r="C29280" t="s">
        <v>433</v>
      </c>
      <c r="E29280">
        <v>423061</v>
      </c>
      <c r="F29280">
        <v>2.1725710477894299E-7</v>
      </c>
      <c r="G29280">
        <v>173560</v>
      </c>
      <c r="H29280">
        <v>14876782</v>
      </c>
      <c r="I29280">
        <v>474632</v>
      </c>
      <c r="J29280">
        <v>7</v>
      </c>
    </row>
    <row r="29281" spans="1:10" x14ac:dyDescent="0.25">
      <c r="A29281" t="s">
        <v>331</v>
      </c>
      <c r="B29281" s="1" t="str">
        <f>HYPERLINK("http://carfax.es","carfax.es")</f>
        <v>carfax.es</v>
      </c>
      <c r="C29281" t="s">
        <v>443</v>
      </c>
      <c r="D29281" t="s">
        <v>822</v>
      </c>
      <c r="F29281">
        <v>7.9095655958181406E-8</v>
      </c>
      <c r="G29281">
        <v>528369</v>
      </c>
      <c r="H29281">
        <v>13951675</v>
      </c>
      <c r="I29281">
        <v>4162742</v>
      </c>
      <c r="J29281">
        <v>4</v>
      </c>
    </row>
    <row r="29282" spans="1:10" x14ac:dyDescent="0.25">
      <c r="A29282" t="s">
        <v>331</v>
      </c>
      <c r="B29282" s="1" t="str">
        <f>HYPERLINK("http://carfax.eu","carfax.eu")</f>
        <v>carfax.eu</v>
      </c>
      <c r="C29282" t="s">
        <v>444</v>
      </c>
      <c r="E29282">
        <v>20360</v>
      </c>
      <c r="F29282">
        <v>3.6781032628643798E-7</v>
      </c>
      <c r="G29282">
        <v>101766</v>
      </c>
      <c r="H29282">
        <v>14520574</v>
      </c>
      <c r="I29282">
        <v>804583</v>
      </c>
      <c r="J29282">
        <v>4</v>
      </c>
    </row>
    <row r="29283" spans="1:10" x14ac:dyDescent="0.25">
      <c r="A29283" t="s">
        <v>331</v>
      </c>
      <c r="B29283" s="1" t="str">
        <f>HYPERLINK("http://carfax.fi","carfax.fi")</f>
        <v>carfax.fi</v>
      </c>
      <c r="C29283" t="s">
        <v>445</v>
      </c>
      <c r="D29283" t="s">
        <v>823</v>
      </c>
      <c r="J29283">
        <v>2</v>
      </c>
    </row>
    <row r="29284" spans="1:10" x14ac:dyDescent="0.25">
      <c r="A29284" t="s">
        <v>331</v>
      </c>
      <c r="B29284" s="1" t="str">
        <f>HYPERLINK("http://ihsglobalinsight.fr","ihsglobalinsight.fr")</f>
        <v>ihsglobalinsight.fr</v>
      </c>
      <c r="C29284" t="s">
        <v>446</v>
      </c>
      <c r="D29284" t="s">
        <v>824</v>
      </c>
      <c r="F29284">
        <v>4.5112442780887498E-9</v>
      </c>
      <c r="G29284">
        <v>57346242</v>
      </c>
      <c r="H29284">
        <v>10140934</v>
      </c>
      <c r="I29284">
        <v>59507649</v>
      </c>
      <c r="J29284">
        <v>3</v>
      </c>
    </row>
    <row r="29285" spans="1:10" x14ac:dyDescent="0.25">
      <c r="A29285" t="s">
        <v>331</v>
      </c>
      <c r="B29285" s="1" t="str">
        <f>HYPERLINK("http://maalot.co.il","maalot.co.il")</f>
        <v>maalot.co.il</v>
      </c>
      <c r="C29285" t="s">
        <v>456</v>
      </c>
      <c r="D29285" t="s">
        <v>833</v>
      </c>
      <c r="F29285">
        <v>2.3026427861654299E-8</v>
      </c>
      <c r="G29285">
        <v>2269010</v>
      </c>
      <c r="H29285">
        <v>14265437</v>
      </c>
      <c r="I29285">
        <v>1408807</v>
      </c>
      <c r="J29285">
        <v>3</v>
      </c>
    </row>
    <row r="29286" spans="1:10" x14ac:dyDescent="0.25">
      <c r="A29286" t="s">
        <v>331</v>
      </c>
      <c r="B29286" s="1" t="str">
        <f>HYPERLINK("http://carfax.io","carfax.io")</f>
        <v>carfax.io</v>
      </c>
      <c r="C29286" t="s">
        <v>518</v>
      </c>
      <c r="E29286">
        <v>41182</v>
      </c>
      <c r="F29286">
        <v>5.4498620838750297E-8</v>
      </c>
      <c r="G29286">
        <v>827921</v>
      </c>
      <c r="H29286">
        <v>12193234</v>
      </c>
      <c r="I29286">
        <v>23505346</v>
      </c>
      <c r="J29286">
        <v>4</v>
      </c>
    </row>
    <row r="29287" spans="1:10" x14ac:dyDescent="0.25">
      <c r="A29287" t="s">
        <v>331</v>
      </c>
      <c r="B29287" s="1" t="str">
        <f>HYPERLINK("http://standardandpoors.co.jp","standardandpoors.co.jp")</f>
        <v>standardandpoors.co.jp</v>
      </c>
      <c r="C29287" t="s">
        <v>461</v>
      </c>
      <c r="D29287" t="s">
        <v>837</v>
      </c>
      <c r="F29287">
        <v>3.4243582947272697E-8</v>
      </c>
      <c r="G29287">
        <v>1513628</v>
      </c>
      <c r="H29287">
        <v>14087545</v>
      </c>
      <c r="I29287">
        <v>2763129</v>
      </c>
      <c r="J29287">
        <v>3</v>
      </c>
    </row>
    <row r="29288" spans="1:10" x14ac:dyDescent="0.25">
      <c r="A29288" t="s">
        <v>331</v>
      </c>
      <c r="B29288" s="1" t="str">
        <f>HYPERLINK("http://ihsmarkit.jp","ihsmarkit.jp")</f>
        <v>ihsmarkit.jp</v>
      </c>
      <c r="C29288" t="s">
        <v>461</v>
      </c>
      <c r="D29288" t="s">
        <v>837</v>
      </c>
      <c r="F29288">
        <v>1.6643990004649199E-8</v>
      </c>
      <c r="G29288">
        <v>3378301</v>
      </c>
      <c r="H29288">
        <v>12970503</v>
      </c>
      <c r="I29288">
        <v>13044602</v>
      </c>
      <c r="J29288">
        <v>3</v>
      </c>
    </row>
    <row r="29289" spans="1:10" x14ac:dyDescent="0.25">
      <c r="A29289" t="s">
        <v>331</v>
      </c>
      <c r="B29289" s="1" t="str">
        <f>HYPERLINK("http://mdgapp.net","mdgapp.net")</f>
        <v>mdgapp.net</v>
      </c>
      <c r="C29289" t="s">
        <v>474</v>
      </c>
      <c r="F29289">
        <v>4.4438157346249201E-9</v>
      </c>
      <c r="G29289">
        <v>79335676</v>
      </c>
      <c r="H29289">
        <v>10363942</v>
      </c>
      <c r="I29289">
        <v>55052848</v>
      </c>
      <c r="J29289">
        <v>4</v>
      </c>
    </row>
    <row r="29290" spans="1:10" x14ac:dyDescent="0.25">
      <c r="A29290" t="s">
        <v>331</v>
      </c>
      <c r="B29290" s="1" t="str">
        <f>HYPERLINK("http://carfax.nl","carfax.nl")</f>
        <v>carfax.nl</v>
      </c>
      <c r="C29290" t="s">
        <v>477</v>
      </c>
      <c r="D29290" t="s">
        <v>852</v>
      </c>
      <c r="F29290">
        <v>1.7687688782984802E-8</v>
      </c>
      <c r="G29290">
        <v>3099413</v>
      </c>
      <c r="H29290">
        <v>12227926</v>
      </c>
      <c r="I29290">
        <v>22557414</v>
      </c>
      <c r="J29290">
        <v>5</v>
      </c>
    </row>
    <row r="29291" spans="1:10" x14ac:dyDescent="0.25">
      <c r="A29291" t="s">
        <v>331</v>
      </c>
      <c r="B29291" s="1" t="str">
        <f>HYPERLINK("http://markit.partners","markit.partners")</f>
        <v>markit.partners</v>
      </c>
      <c r="C29291" t="s">
        <v>598</v>
      </c>
      <c r="E29291">
        <v>664098</v>
      </c>
      <c r="J29291">
        <v>4</v>
      </c>
    </row>
    <row r="29292" spans="1:10" x14ac:dyDescent="0.25">
      <c r="A29292" t="s">
        <v>331</v>
      </c>
      <c r="B29292" s="1" t="str">
        <f>HYPERLINK("http://carfax.se","carfax.se")</f>
        <v>carfax.se</v>
      </c>
      <c r="C29292" t="s">
        <v>495</v>
      </c>
      <c r="D29292" t="s">
        <v>869</v>
      </c>
      <c r="F29292">
        <v>8.5353839667920005E-8</v>
      </c>
      <c r="G29292">
        <v>483036</v>
      </c>
      <c r="H29292">
        <v>14242547</v>
      </c>
      <c r="I29292">
        <v>1483330</v>
      </c>
      <c r="J29292">
        <v>4</v>
      </c>
    </row>
    <row r="29293" spans="1:10" x14ac:dyDescent="0.25">
      <c r="A29293" t="s">
        <v>331</v>
      </c>
      <c r="B29293" s="1" t="str">
        <f>HYPERLINK("http://tris.co.th","tris.co.th")</f>
        <v>tris.co.th</v>
      </c>
      <c r="C29293" t="s">
        <v>500</v>
      </c>
      <c r="D29293" t="s">
        <v>874</v>
      </c>
      <c r="F29293">
        <v>1.1666524777474699E-8</v>
      </c>
      <c r="G29293">
        <v>5387807</v>
      </c>
      <c r="H29293">
        <v>14120222</v>
      </c>
      <c r="I29293">
        <v>2373791</v>
      </c>
      <c r="J29293">
        <v>3</v>
      </c>
    </row>
    <row r="29294" spans="1:10" x14ac:dyDescent="0.25">
      <c r="A29294" t="s">
        <v>331</v>
      </c>
      <c r="B29294" s="1" t="str">
        <f>HYPERLINK("http://taiwanratings.com.tw","taiwanratings.com.tw")</f>
        <v>taiwanratings.com.tw</v>
      </c>
      <c r="C29294" t="s">
        <v>504</v>
      </c>
      <c r="D29294" t="s">
        <v>878</v>
      </c>
      <c r="F29294">
        <v>6.3033310496262698E-9</v>
      </c>
      <c r="G29294">
        <v>15015811</v>
      </c>
      <c r="H29294">
        <v>10531434</v>
      </c>
      <c r="I29294">
        <v>48132116</v>
      </c>
      <c r="J29294">
        <v>2</v>
      </c>
    </row>
    <row r="29295" spans="1:10" x14ac:dyDescent="0.25">
      <c r="A29295" t="s">
        <v>331</v>
      </c>
      <c r="B29295" s="1" t="str">
        <f>HYPERLINK("http://carfax.us","carfax.us")</f>
        <v>carfax.us</v>
      </c>
      <c r="C29295" t="s">
        <v>522</v>
      </c>
      <c r="D29295" t="s">
        <v>891</v>
      </c>
      <c r="F29295">
        <v>4.4438425958010404E-9</v>
      </c>
      <c r="G29295">
        <v>78729207</v>
      </c>
      <c r="H29295">
        <v>10535755</v>
      </c>
      <c r="I29295">
        <v>47633800</v>
      </c>
      <c r="J29295">
        <v>4</v>
      </c>
    </row>
    <row r="29296" spans="1:10" x14ac:dyDescent="0.25">
      <c r="A29296" t="s">
        <v>332</v>
      </c>
      <c r="B29296" s="1" t="str">
        <f>HYPERLINK("http://sf-airlines.com","sf-airlines.com")</f>
        <v>sf-airlines.com</v>
      </c>
      <c r="C29296" t="s">
        <v>433</v>
      </c>
      <c r="F29296">
        <v>7.110714648231E-8</v>
      </c>
      <c r="G29296">
        <v>594667</v>
      </c>
      <c r="H29296">
        <v>14424169</v>
      </c>
      <c r="I29296">
        <v>1081941</v>
      </c>
      <c r="J29296">
        <v>4</v>
      </c>
    </row>
    <row r="29297" spans="1:10" x14ac:dyDescent="0.25">
      <c r="A29297" t="s">
        <v>332</v>
      </c>
      <c r="B29297" s="1" t="str">
        <f>HYPERLINK("http://sf-express.com","sf-express.com")</f>
        <v>sf-express.com</v>
      </c>
      <c r="C29297" t="s">
        <v>433</v>
      </c>
      <c r="E29297">
        <v>2921</v>
      </c>
      <c r="F29297">
        <v>4.1140629820929203E-6</v>
      </c>
      <c r="G29297">
        <v>8885</v>
      </c>
      <c r="H29297">
        <v>17426058</v>
      </c>
      <c r="I29297">
        <v>17503</v>
      </c>
      <c r="J29297">
        <v>1</v>
      </c>
    </row>
    <row r="29298" spans="1:10" x14ac:dyDescent="0.25">
      <c r="A29298" t="s">
        <v>333</v>
      </c>
      <c r="B29298" s="1" t="str">
        <f>HYPERLINK("http://concur.ae","concur.ae")</f>
        <v>concur.ae</v>
      </c>
      <c r="C29298" t="s">
        <v>417</v>
      </c>
      <c r="D29298" t="s">
        <v>799</v>
      </c>
      <c r="F29298">
        <v>1.8286985670989202E-8</v>
      </c>
      <c r="G29298">
        <v>2969919</v>
      </c>
      <c r="H29298">
        <v>12386818</v>
      </c>
      <c r="I29298">
        <v>19098214</v>
      </c>
      <c r="J29298">
        <v>3</v>
      </c>
    </row>
    <row r="29299" spans="1:10" x14ac:dyDescent="0.25">
      <c r="A29299" t="s">
        <v>333</v>
      </c>
      <c r="B29299" s="1" t="str">
        <f>HYPERLINK("http://concur.com.ar","concur.com.ar")</f>
        <v>concur.com.ar</v>
      </c>
      <c r="C29299" t="s">
        <v>418</v>
      </c>
      <c r="D29299" t="s">
        <v>800</v>
      </c>
      <c r="F29299">
        <v>1.8197335161637899E-8</v>
      </c>
      <c r="G29299">
        <v>2988383</v>
      </c>
      <c r="H29299">
        <v>12385545</v>
      </c>
      <c r="I29299">
        <v>19115386</v>
      </c>
      <c r="J29299">
        <v>3</v>
      </c>
    </row>
    <row r="29300" spans="1:10" x14ac:dyDescent="0.25">
      <c r="A29300" t="s">
        <v>333</v>
      </c>
      <c r="B29300" s="1" t="str">
        <f>HYPERLINK("http://sap.at","sap.at")</f>
        <v>sap.at</v>
      </c>
      <c r="C29300" t="s">
        <v>419</v>
      </c>
      <c r="D29300" t="s">
        <v>801</v>
      </c>
      <c r="F29300">
        <v>9.9602206892272402E-9</v>
      </c>
      <c r="G29300">
        <v>6795955</v>
      </c>
      <c r="H29300">
        <v>13169658</v>
      </c>
      <c r="I29300">
        <v>11725423</v>
      </c>
      <c r="J29300">
        <v>2</v>
      </c>
    </row>
    <row r="29301" spans="1:10" x14ac:dyDescent="0.25">
      <c r="A29301" t="s">
        <v>333</v>
      </c>
      <c r="B29301" s="1" t="str">
        <f>HYPERLINK("http://concur.com.au","concur.com.au")</f>
        <v>concur.com.au</v>
      </c>
      <c r="C29301" t="s">
        <v>420</v>
      </c>
      <c r="D29301" t="s">
        <v>802</v>
      </c>
      <c r="F29301">
        <v>2.28087654905889E-8</v>
      </c>
      <c r="G29301">
        <v>2292921</v>
      </c>
      <c r="H29301">
        <v>13166795</v>
      </c>
      <c r="I29301">
        <v>11737174</v>
      </c>
      <c r="J29301">
        <v>3</v>
      </c>
    </row>
    <row r="29302" spans="1:10" x14ac:dyDescent="0.25">
      <c r="A29302" t="s">
        <v>333</v>
      </c>
      <c r="B29302" s="1" t="str">
        <f>HYPERLINK("http://concur.be","concur.be")</f>
        <v>concur.be</v>
      </c>
      <c r="C29302" t="s">
        <v>421</v>
      </c>
      <c r="D29302" t="s">
        <v>803</v>
      </c>
      <c r="F29302">
        <v>2.42413402218774E-8</v>
      </c>
      <c r="G29302">
        <v>2139517</v>
      </c>
      <c r="H29302">
        <v>13331699</v>
      </c>
      <c r="I29302">
        <v>10716133</v>
      </c>
      <c r="J29302">
        <v>3</v>
      </c>
    </row>
    <row r="29303" spans="1:10" x14ac:dyDescent="0.25">
      <c r="A29303" t="s">
        <v>333</v>
      </c>
      <c r="B29303" s="1" t="str">
        <f>HYPERLINK("http://concur.com.br","concur.com.br")</f>
        <v>concur.com.br</v>
      </c>
      <c r="C29303" t="s">
        <v>425</v>
      </c>
      <c r="D29303" t="s">
        <v>806</v>
      </c>
      <c r="F29303">
        <v>2.01470684316041E-8</v>
      </c>
      <c r="G29303">
        <v>2636705</v>
      </c>
      <c r="H29303">
        <v>13139940</v>
      </c>
      <c r="I29303">
        <v>11879984</v>
      </c>
      <c r="J29303">
        <v>3</v>
      </c>
    </row>
    <row r="29304" spans="1:10" x14ac:dyDescent="0.25">
      <c r="A29304" t="s">
        <v>333</v>
      </c>
      <c r="B29304" s="1" t="str">
        <f>HYPERLINK("http://sap.com.br","sap.com.br")</f>
        <v>sap.com.br</v>
      </c>
      <c r="C29304" t="s">
        <v>425</v>
      </c>
      <c r="D29304" t="s">
        <v>806</v>
      </c>
      <c r="F29304">
        <v>7.7791642969402299E-9</v>
      </c>
      <c r="G29304">
        <v>10370390</v>
      </c>
      <c r="H29304">
        <v>13108515</v>
      </c>
      <c r="I29304">
        <v>12046231</v>
      </c>
      <c r="J29304">
        <v>2</v>
      </c>
    </row>
    <row r="29305" spans="1:10" x14ac:dyDescent="0.25">
      <c r="A29305" t="s">
        <v>333</v>
      </c>
      <c r="B29305" s="1" t="str">
        <f>HYPERLINK("http://concur.ca","concur.ca")</f>
        <v>concur.ca</v>
      </c>
      <c r="C29305" t="s">
        <v>428</v>
      </c>
      <c r="D29305" t="s">
        <v>809</v>
      </c>
      <c r="F29305">
        <v>2.5868216165142199E-8</v>
      </c>
      <c r="G29305">
        <v>1992306</v>
      </c>
      <c r="H29305">
        <v>12842815</v>
      </c>
      <c r="I29305">
        <v>14331205</v>
      </c>
      <c r="J29305">
        <v>3</v>
      </c>
    </row>
    <row r="29306" spans="1:10" x14ac:dyDescent="0.25">
      <c r="A29306" t="s">
        <v>333</v>
      </c>
      <c r="B29306" s="1" t="str">
        <f>HYPERLINK("http://sap.ca","sap.ca")</f>
        <v>sap.ca</v>
      </c>
      <c r="C29306" t="s">
        <v>428</v>
      </c>
      <c r="D29306" t="s">
        <v>809</v>
      </c>
      <c r="F29306">
        <v>5.9177691045565596E-9</v>
      </c>
      <c r="G29306">
        <v>17235321</v>
      </c>
      <c r="H29306">
        <v>13124872</v>
      </c>
      <c r="I29306">
        <v>11963119</v>
      </c>
      <c r="J29306">
        <v>2</v>
      </c>
    </row>
    <row r="29307" spans="1:10" x14ac:dyDescent="0.25">
      <c r="A29307" t="s">
        <v>333</v>
      </c>
      <c r="B29307" s="1" t="str">
        <f>HYPERLINK("http://sap.ch","sap.ch")</f>
        <v>sap.ch</v>
      </c>
      <c r="C29307" t="s">
        <v>429</v>
      </c>
      <c r="D29307" t="s">
        <v>810</v>
      </c>
      <c r="F29307">
        <v>1.4502411518415301E-8</v>
      </c>
      <c r="G29307">
        <v>4021848</v>
      </c>
      <c r="H29307">
        <v>13120854</v>
      </c>
      <c r="I29307">
        <v>11989616</v>
      </c>
      <c r="J29307">
        <v>2</v>
      </c>
    </row>
    <row r="29308" spans="1:10" x14ac:dyDescent="0.25">
      <c r="A29308" t="s">
        <v>333</v>
      </c>
      <c r="B29308" s="1" t="str">
        <f>HYPERLINK("http://concur.cl","concur.cl")</f>
        <v>concur.cl</v>
      </c>
      <c r="C29308" t="s">
        <v>430</v>
      </c>
      <c r="D29308" t="s">
        <v>811</v>
      </c>
      <c r="F29308">
        <v>1.8248631343950899E-8</v>
      </c>
      <c r="G29308">
        <v>2977461</v>
      </c>
      <c r="H29308">
        <v>12366998</v>
      </c>
      <c r="I29308">
        <v>19465955</v>
      </c>
      <c r="J29308">
        <v>3</v>
      </c>
    </row>
    <row r="29309" spans="1:10" x14ac:dyDescent="0.25">
      <c r="A29309" t="s">
        <v>333</v>
      </c>
      <c r="B29309" s="1" t="str">
        <f>HYPERLINK("http://projectorca.cloud","projectorca.cloud")</f>
        <v>projectorca.cloud</v>
      </c>
      <c r="C29309" t="s">
        <v>516</v>
      </c>
      <c r="E29309">
        <v>342268</v>
      </c>
      <c r="F29309">
        <v>4.44380395335525E-9</v>
      </c>
      <c r="G29309">
        <v>80235228</v>
      </c>
      <c r="H29309">
        <v>0</v>
      </c>
      <c r="I29309">
        <v>80295280</v>
      </c>
      <c r="J29309">
        <v>2</v>
      </c>
    </row>
    <row r="29310" spans="1:10" x14ac:dyDescent="0.25">
      <c r="A29310" t="s">
        <v>333</v>
      </c>
      <c r="B29310" s="1" t="str">
        <f>HYPERLINK("http://concur.cn","concur.cn")</f>
        <v>concur.cn</v>
      </c>
      <c r="C29310" t="s">
        <v>431</v>
      </c>
      <c r="D29310" t="s">
        <v>812</v>
      </c>
      <c r="F29310">
        <v>2.8328632389739401E-8</v>
      </c>
      <c r="G29310">
        <v>1816568</v>
      </c>
      <c r="H29310">
        <v>12482159</v>
      </c>
      <c r="I29310">
        <v>17578917</v>
      </c>
      <c r="J29310">
        <v>3</v>
      </c>
    </row>
    <row r="29311" spans="1:10" x14ac:dyDescent="0.25">
      <c r="A29311" t="s">
        <v>333</v>
      </c>
      <c r="B29311" s="1" t="str">
        <f>HYPERLINK("http://sap.cn","sap.cn")</f>
        <v>sap.cn</v>
      </c>
      <c r="C29311" t="s">
        <v>431</v>
      </c>
      <c r="D29311" t="s">
        <v>812</v>
      </c>
      <c r="E29311">
        <v>192485</v>
      </c>
      <c r="F29311">
        <v>8.0009039988147003E-8</v>
      </c>
      <c r="G29311">
        <v>522086</v>
      </c>
      <c r="H29311">
        <v>13647044</v>
      </c>
      <c r="I29311">
        <v>9607610</v>
      </c>
      <c r="J29311">
        <v>2</v>
      </c>
    </row>
    <row r="29312" spans="1:10" x14ac:dyDescent="0.25">
      <c r="A29312" t="s">
        <v>333</v>
      </c>
      <c r="B29312" s="1" t="str">
        <f>HYPERLINK("http://sapcloud.cn","sapcloud.cn")</f>
        <v>sapcloud.cn</v>
      </c>
      <c r="C29312" t="s">
        <v>431</v>
      </c>
      <c r="D29312" t="s">
        <v>812</v>
      </c>
      <c r="E29312">
        <v>103108</v>
      </c>
      <c r="F29312">
        <v>5.49972741516001E-9</v>
      </c>
      <c r="G29312">
        <v>20903366</v>
      </c>
      <c r="H29312">
        <v>13075306</v>
      </c>
      <c r="I29312">
        <v>12214140</v>
      </c>
      <c r="J29312">
        <v>2</v>
      </c>
    </row>
    <row r="29313" spans="1:10" x14ac:dyDescent="0.25">
      <c r="A29313" t="s">
        <v>333</v>
      </c>
      <c r="B29313" s="1" t="str">
        <f>HYPERLINK("http://saps4hanacloud.cn","saps4hanacloud.cn")</f>
        <v>saps4hanacloud.cn</v>
      </c>
      <c r="C29313" t="s">
        <v>431</v>
      </c>
      <c r="D29313" t="s">
        <v>812</v>
      </c>
      <c r="F29313">
        <v>4.4438099640082497E-9</v>
      </c>
      <c r="G29313">
        <v>79606688</v>
      </c>
      <c r="H29313">
        <v>10351910</v>
      </c>
      <c r="I29313">
        <v>56113033</v>
      </c>
      <c r="J29313">
        <v>2</v>
      </c>
    </row>
    <row r="29314" spans="1:10" x14ac:dyDescent="0.25">
      <c r="A29314" t="s">
        <v>333</v>
      </c>
      <c r="B29314" s="1" t="str">
        <f>HYPERLINK("http://vlab-sapcloudplatformdev.cn","vlab-sapcloudplatformdev.cn")</f>
        <v>vlab-sapcloudplatformdev.cn</v>
      </c>
      <c r="C29314" t="s">
        <v>431</v>
      </c>
      <c r="D29314" t="s">
        <v>812</v>
      </c>
      <c r="F29314">
        <v>5.77110725337788E-9</v>
      </c>
      <c r="G29314">
        <v>18317301</v>
      </c>
      <c r="H29314">
        <v>13075201</v>
      </c>
      <c r="I29314">
        <v>12215350</v>
      </c>
      <c r="J29314">
        <v>2</v>
      </c>
    </row>
    <row r="29315" spans="1:10" x14ac:dyDescent="0.25">
      <c r="A29315" t="s">
        <v>333</v>
      </c>
      <c r="B29315" s="1" t="str">
        <f>HYPERLINK("http://concur.co","concur.co")</f>
        <v>concur.co</v>
      </c>
      <c r="C29315" t="s">
        <v>432</v>
      </c>
      <c r="F29315">
        <v>2.2704573837611099E-8</v>
      </c>
      <c r="G29315">
        <v>2306232</v>
      </c>
      <c r="H29315">
        <v>13183232</v>
      </c>
      <c r="I29315">
        <v>11675424</v>
      </c>
      <c r="J29315">
        <v>3</v>
      </c>
    </row>
    <row r="29316" spans="1:10" x14ac:dyDescent="0.25">
      <c r="A29316" t="s">
        <v>333</v>
      </c>
      <c r="B29316" s="1" t="str">
        <f>HYPERLINK("http://sap.co","sap.co")</f>
        <v>sap.co</v>
      </c>
      <c r="C29316" t="s">
        <v>432</v>
      </c>
      <c r="F29316">
        <v>4.4776462569103299E-9</v>
      </c>
      <c r="G29316">
        <v>62839248</v>
      </c>
      <c r="H29316">
        <v>10449838</v>
      </c>
      <c r="I29316">
        <v>52115889</v>
      </c>
      <c r="J29316">
        <v>2</v>
      </c>
    </row>
    <row r="29317" spans="1:10" x14ac:dyDescent="0.25">
      <c r="A29317" t="s">
        <v>333</v>
      </c>
      <c r="B29317" s="1" t="str">
        <f>HYPERLINK("http://apexxs.com","apexxs.com")</f>
        <v>apexxs.com</v>
      </c>
      <c r="C29317" t="s">
        <v>433</v>
      </c>
      <c r="F29317">
        <v>4.5442882203188398E-9</v>
      </c>
      <c r="G29317">
        <v>52804128</v>
      </c>
      <c r="H29317">
        <v>10283398</v>
      </c>
      <c r="I29317">
        <v>58520333</v>
      </c>
      <c r="J29317">
        <v>3</v>
      </c>
    </row>
    <row r="29318" spans="1:10" x14ac:dyDescent="0.25">
      <c r="A29318" t="s">
        <v>333</v>
      </c>
      <c r="B29318" s="1" t="str">
        <f>HYPERLINK("http://appgyver.com","appgyver.com")</f>
        <v>appgyver.com</v>
      </c>
      <c r="C29318" t="s">
        <v>433</v>
      </c>
      <c r="E29318">
        <v>267736</v>
      </c>
      <c r="F29318">
        <v>2.2870199630140899E-7</v>
      </c>
      <c r="G29318">
        <v>164443</v>
      </c>
      <c r="H29318">
        <v>17058982</v>
      </c>
      <c r="I29318">
        <v>74386</v>
      </c>
      <c r="J29318">
        <v>3</v>
      </c>
    </row>
    <row r="29319" spans="1:10" x14ac:dyDescent="0.25">
      <c r="A29319" t="s">
        <v>333</v>
      </c>
      <c r="B29319" s="1" t="str">
        <f>HYPERLINK("http://ariba.com","ariba.com")</f>
        <v>ariba.com</v>
      </c>
      <c r="C29319" t="s">
        <v>433</v>
      </c>
      <c r="E29319">
        <v>8306</v>
      </c>
      <c r="F29319">
        <v>3.6140918651864699E-6</v>
      </c>
      <c r="G29319">
        <v>11411</v>
      </c>
      <c r="H29319">
        <v>17580302</v>
      </c>
      <c r="I29319">
        <v>10296</v>
      </c>
      <c r="J29319">
        <v>3</v>
      </c>
    </row>
    <row r="29320" spans="1:10" x14ac:dyDescent="0.25">
      <c r="A29320" t="s">
        <v>333</v>
      </c>
      <c r="B29320" s="1" t="str">
        <f>HYPERLINK("http://aribalive.com","aribalive.com")</f>
        <v>aribalive.com</v>
      </c>
      <c r="C29320" t="s">
        <v>433</v>
      </c>
      <c r="F29320">
        <v>3.6706368829426497E-8</v>
      </c>
      <c r="G29320">
        <v>1423706</v>
      </c>
      <c r="H29320">
        <v>13709062</v>
      </c>
      <c r="I29320">
        <v>9508283</v>
      </c>
      <c r="J29320">
        <v>4</v>
      </c>
    </row>
    <row r="29321" spans="1:10" x14ac:dyDescent="0.25">
      <c r="A29321" t="s">
        <v>333</v>
      </c>
      <c r="B29321" s="1" t="str">
        <f>HYPERLINK("http://avantgo.com","avantgo.com")</f>
        <v>avantgo.com</v>
      </c>
      <c r="C29321" t="s">
        <v>433</v>
      </c>
      <c r="E29321">
        <v>270577</v>
      </c>
      <c r="F29321">
        <v>2.0136361291108399E-7</v>
      </c>
      <c r="G29321">
        <v>189007</v>
      </c>
      <c r="H29321">
        <v>14611905</v>
      </c>
      <c r="I29321">
        <v>675931</v>
      </c>
      <c r="J29321">
        <v>4</v>
      </c>
    </row>
    <row r="29322" spans="1:10" x14ac:dyDescent="0.25">
      <c r="A29322" t="s">
        <v>333</v>
      </c>
      <c r="B29322" s="1" t="str">
        <f>HYPERLINK("http://bolng.com","bolng.com")</f>
        <v>bolng.com</v>
      </c>
      <c r="C29322" t="s">
        <v>433</v>
      </c>
      <c r="J29322">
        <v>4</v>
      </c>
    </row>
    <row r="29323" spans="1:10" x14ac:dyDescent="0.25">
      <c r="A29323" t="s">
        <v>333</v>
      </c>
      <c r="B29323" s="1" t="str">
        <f>HYPERLINK("http://businessobjects.com","businessobjects.com")</f>
        <v>businessobjects.com</v>
      </c>
      <c r="C29323" t="s">
        <v>433</v>
      </c>
      <c r="E29323">
        <v>99510</v>
      </c>
      <c r="F29323">
        <v>2.9103223723353698E-7</v>
      </c>
      <c r="G29323">
        <v>127887</v>
      </c>
      <c r="H29323">
        <v>14806736</v>
      </c>
      <c r="I29323">
        <v>546720</v>
      </c>
      <c r="J29323">
        <v>3</v>
      </c>
    </row>
    <row r="29324" spans="1:10" x14ac:dyDescent="0.25">
      <c r="A29324" t="s">
        <v>333</v>
      </c>
      <c r="B29324" s="1" t="str">
        <f>HYPERLINK("http://calliduscloud.com","calliduscloud.com")</f>
        <v>calliduscloud.com</v>
      </c>
      <c r="C29324" t="s">
        <v>433</v>
      </c>
      <c r="E29324">
        <v>194829</v>
      </c>
      <c r="F29324">
        <v>2.0081840272418701E-7</v>
      </c>
      <c r="G29324">
        <v>189622</v>
      </c>
      <c r="H29324">
        <v>14328045</v>
      </c>
      <c r="I29324">
        <v>1325360</v>
      </c>
      <c r="J29324">
        <v>3</v>
      </c>
    </row>
    <row r="29325" spans="1:10" x14ac:dyDescent="0.25">
      <c r="A29325" t="s">
        <v>333</v>
      </c>
      <c r="B29325" s="1" t="str">
        <f>HYPERLINK("http://captura.com","captura.com")</f>
        <v>captura.com</v>
      </c>
      <c r="C29325" t="s">
        <v>433</v>
      </c>
      <c r="F29325">
        <v>1.1185013503939701E-8</v>
      </c>
      <c r="G29325">
        <v>5723528</v>
      </c>
      <c r="H29325">
        <v>12883011</v>
      </c>
      <c r="I29325">
        <v>13983659</v>
      </c>
      <c r="J29325">
        <v>6</v>
      </c>
    </row>
    <row r="29326" spans="1:10" x14ac:dyDescent="0.25">
      <c r="A29326" t="s">
        <v>333</v>
      </c>
      <c r="B29326" s="1" t="str">
        <f>HYPERLINK("http://careersatsap.com","careersatsap.com")</f>
        <v>careersatsap.com</v>
      </c>
      <c r="C29326" t="s">
        <v>433</v>
      </c>
      <c r="F29326">
        <v>2.9563227511747801E-8</v>
      </c>
      <c r="G29326">
        <v>1743608</v>
      </c>
      <c r="H29326">
        <v>13483501</v>
      </c>
      <c r="I29326">
        <v>9999942</v>
      </c>
      <c r="J29326">
        <v>3</v>
      </c>
    </row>
    <row r="29327" spans="1:10" x14ac:dyDescent="0.25">
      <c r="A29327" t="s">
        <v>333</v>
      </c>
      <c r="B29327" s="1" t="str">
        <f>HYPERLINK("http://clarabridge.com","clarabridge.com")</f>
        <v>clarabridge.com</v>
      </c>
      <c r="C29327" t="s">
        <v>433</v>
      </c>
      <c r="E29327">
        <v>355795</v>
      </c>
      <c r="F29327">
        <v>1.6825024552715E-6</v>
      </c>
      <c r="G29327">
        <v>23618</v>
      </c>
      <c r="H29327">
        <v>16163779</v>
      </c>
      <c r="I29327">
        <v>365692</v>
      </c>
      <c r="J29327">
        <v>2</v>
      </c>
    </row>
    <row r="29328" spans="1:10" x14ac:dyDescent="0.25">
      <c r="A29328" t="s">
        <v>333</v>
      </c>
      <c r="B29328" s="1" t="str">
        <f>HYPERLINK("http://clarabridge-c3.com","clarabridge-c3.com")</f>
        <v>clarabridge-c3.com</v>
      </c>
      <c r="C29328" t="s">
        <v>433</v>
      </c>
      <c r="F29328">
        <v>7.5326313550415793E-9</v>
      </c>
      <c r="G29328">
        <v>10942043</v>
      </c>
      <c r="H29328">
        <v>11578286</v>
      </c>
      <c r="I29328">
        <v>29947451</v>
      </c>
      <c r="J29328">
        <v>4</v>
      </c>
    </row>
    <row r="29329" spans="1:10" x14ac:dyDescent="0.25">
      <c r="A29329" t="s">
        <v>333</v>
      </c>
      <c r="B29329" s="1" t="str">
        <f>HYPERLINK("http://compleattrip.com","compleattrip.com")</f>
        <v>compleattrip.com</v>
      </c>
      <c r="C29329" t="s">
        <v>433</v>
      </c>
      <c r="E29329">
        <v>322457</v>
      </c>
      <c r="F29329">
        <v>5.0841727299874998E-9</v>
      </c>
      <c r="G29329">
        <v>27418034</v>
      </c>
      <c r="H29329">
        <v>12826363</v>
      </c>
      <c r="I29329">
        <v>14457010</v>
      </c>
      <c r="J29329">
        <v>2</v>
      </c>
    </row>
    <row r="29330" spans="1:10" x14ac:dyDescent="0.25">
      <c r="A29330" t="s">
        <v>333</v>
      </c>
      <c r="B29330" s="1" t="str">
        <f>HYPERLINK("http://concur.com","concur.com")</f>
        <v>concur.com</v>
      </c>
      <c r="C29330" t="s">
        <v>433</v>
      </c>
      <c r="E29330">
        <v>28725</v>
      </c>
      <c r="F29330">
        <v>3.14475877738168E-6</v>
      </c>
      <c r="G29330">
        <v>12568</v>
      </c>
      <c r="H29330">
        <v>17675412</v>
      </c>
      <c r="I29330">
        <v>7835</v>
      </c>
      <c r="J29330">
        <v>3</v>
      </c>
    </row>
    <row r="29331" spans="1:10" x14ac:dyDescent="0.25">
      <c r="A29331" t="s">
        <v>333</v>
      </c>
      <c r="B29331" s="1" t="str">
        <f>HYPERLINK("http://concursolutions.com","concursolutions.com")</f>
        <v>concursolutions.com</v>
      </c>
      <c r="C29331" t="s">
        <v>433</v>
      </c>
      <c r="E29331">
        <v>4111</v>
      </c>
      <c r="F29331">
        <v>4.8613781803807303E-7</v>
      </c>
      <c r="G29331">
        <v>78350</v>
      </c>
      <c r="H29331">
        <v>14791728</v>
      </c>
      <c r="I29331">
        <v>550616</v>
      </c>
      <c r="J29331">
        <v>4</v>
      </c>
    </row>
    <row r="29332" spans="1:10" x14ac:dyDescent="0.25">
      <c r="A29332" t="s">
        <v>333</v>
      </c>
      <c r="B29332" s="1" t="str">
        <f>HYPERLINK("http://emarsys.com","emarsys.com")</f>
        <v>emarsys.com</v>
      </c>
      <c r="C29332" t="s">
        <v>433</v>
      </c>
      <c r="E29332">
        <v>58751</v>
      </c>
      <c r="F29332">
        <v>3.6033150541284501E-6</v>
      </c>
      <c r="G29332">
        <v>11434</v>
      </c>
      <c r="H29332">
        <v>17437012</v>
      </c>
      <c r="I29332">
        <v>16863</v>
      </c>
      <c r="J29332">
        <v>3</v>
      </c>
    </row>
    <row r="29333" spans="1:10" x14ac:dyDescent="0.25">
      <c r="A29333" t="s">
        <v>333</v>
      </c>
      <c r="B29333" s="1" t="str">
        <f>HYPERLINK("http://fieldglass.com","fieldglass.com")</f>
        <v>fieldglass.com</v>
      </c>
      <c r="C29333" t="s">
        <v>433</v>
      </c>
      <c r="E29333">
        <v>246225</v>
      </c>
      <c r="F29333">
        <v>3.7345713788788402E-7</v>
      </c>
      <c r="G29333">
        <v>100273</v>
      </c>
      <c r="H29333">
        <v>17017680</v>
      </c>
      <c r="I29333">
        <v>89920</v>
      </c>
      <c r="J29333">
        <v>3</v>
      </c>
    </row>
    <row r="29334" spans="1:10" x14ac:dyDescent="0.25">
      <c r="A29334" t="s">
        <v>333</v>
      </c>
      <c r="B29334" s="1" t="str">
        <f>HYPERLINK("http://forcelogix.com","forcelogix.com")</f>
        <v>forcelogix.com</v>
      </c>
      <c r="C29334" t="s">
        <v>433</v>
      </c>
      <c r="F29334">
        <v>4.9075816479923597E-9</v>
      </c>
      <c r="G29334">
        <v>32247363</v>
      </c>
      <c r="H29334">
        <v>12263620</v>
      </c>
      <c r="I29334">
        <v>21664110</v>
      </c>
      <c r="J29334">
        <v>7</v>
      </c>
    </row>
    <row r="29335" spans="1:10" x14ac:dyDescent="0.25">
      <c r="A29335" t="s">
        <v>333</v>
      </c>
      <c r="B29335" s="1" t="str">
        <f>HYPERLINK("http://gigya.com","gigya.com")</f>
        <v>gigya.com</v>
      </c>
      <c r="C29335" t="s">
        <v>433</v>
      </c>
      <c r="E29335">
        <v>4359</v>
      </c>
      <c r="F29335">
        <v>6.6362406593911398E-6</v>
      </c>
      <c r="G29335">
        <v>5100</v>
      </c>
      <c r="H29335">
        <v>17896072</v>
      </c>
      <c r="I29335">
        <v>4506</v>
      </c>
      <c r="J29335">
        <v>3</v>
      </c>
    </row>
    <row r="29336" spans="1:10" x14ac:dyDescent="0.25">
      <c r="A29336" t="s">
        <v>333</v>
      </c>
      <c r="B29336" s="1" t="str">
        <f>HYPERLINK("http://hipmunk.com","hipmunk.com")</f>
        <v>hipmunk.com</v>
      </c>
      <c r="C29336" t="s">
        <v>433</v>
      </c>
      <c r="E29336">
        <v>90929</v>
      </c>
      <c r="F29336">
        <v>8.46226793817615E-7</v>
      </c>
      <c r="G29336">
        <v>47008</v>
      </c>
      <c r="H29336">
        <v>17443650</v>
      </c>
      <c r="I29336">
        <v>16494</v>
      </c>
      <c r="J29336">
        <v>3</v>
      </c>
    </row>
    <row r="29337" spans="1:10" x14ac:dyDescent="0.25">
      <c r="A29337" t="s">
        <v>333</v>
      </c>
      <c r="B29337" s="1" t="str">
        <f>HYPERLINK("http://hybris.com","hybris.com")</f>
        <v>hybris.com</v>
      </c>
      <c r="C29337" t="s">
        <v>433</v>
      </c>
      <c r="E29337">
        <v>58416</v>
      </c>
      <c r="F29337">
        <v>1.84882309845469E-6</v>
      </c>
      <c r="G29337">
        <v>20311</v>
      </c>
      <c r="H29337">
        <v>15719968</v>
      </c>
      <c r="I29337">
        <v>369358</v>
      </c>
      <c r="J29337">
        <v>3</v>
      </c>
    </row>
    <row r="29338" spans="1:10" x14ac:dyDescent="0.25">
      <c r="A29338" t="s">
        <v>333</v>
      </c>
      <c r="B29338" s="1" t="str">
        <f>HYPERLINK("http://icentera.com","icentera.com")</f>
        <v>icentera.com</v>
      </c>
      <c r="C29338" t="s">
        <v>433</v>
      </c>
      <c r="F29338">
        <v>4.6573559716160903E-8</v>
      </c>
      <c r="G29338">
        <v>1003910</v>
      </c>
      <c r="H29338">
        <v>13646876</v>
      </c>
      <c r="I29338">
        <v>9607686</v>
      </c>
      <c r="J29338">
        <v>7</v>
      </c>
    </row>
    <row r="29339" spans="1:10" x14ac:dyDescent="0.25">
      <c r="A29339" t="s">
        <v>333</v>
      </c>
      <c r="B29339" s="1" t="str">
        <f>HYPERLINK("http://innaas.com","innaas.com")</f>
        <v>innaas.com</v>
      </c>
      <c r="C29339" t="s">
        <v>433</v>
      </c>
      <c r="F29339">
        <v>8.3081347551015204E-9</v>
      </c>
      <c r="G29339">
        <v>9238682</v>
      </c>
      <c r="H29339">
        <v>12731252</v>
      </c>
      <c r="I29339">
        <v>15191496</v>
      </c>
      <c r="J29339">
        <v>3</v>
      </c>
    </row>
    <row r="29340" spans="1:10" x14ac:dyDescent="0.25">
      <c r="A29340" t="s">
        <v>333</v>
      </c>
      <c r="B29340" s="1" t="str">
        <f>HYPERLINK("http://inxightfedsys.com","inxightfedsys.com")</f>
        <v>inxightfedsys.com</v>
      </c>
      <c r="C29340" t="s">
        <v>433</v>
      </c>
      <c r="F29340">
        <v>1.6796299609445099E-8</v>
      </c>
      <c r="G29340">
        <v>3334225</v>
      </c>
      <c r="H29340">
        <v>14784342</v>
      </c>
      <c r="I29340">
        <v>553050</v>
      </c>
      <c r="J29340">
        <v>3</v>
      </c>
    </row>
    <row r="29341" spans="1:10" x14ac:dyDescent="0.25">
      <c r="A29341" t="s">
        <v>333</v>
      </c>
      <c r="B29341" s="1" t="str">
        <f>HYPERLINK("http://jobs2web.com","jobs2web.com")</f>
        <v>jobs2web.com</v>
      </c>
      <c r="C29341" t="s">
        <v>433</v>
      </c>
      <c r="E29341">
        <v>21161</v>
      </c>
      <c r="F29341">
        <v>8.5262425053814595E-7</v>
      </c>
      <c r="G29341">
        <v>46715</v>
      </c>
      <c r="H29341">
        <v>14720119</v>
      </c>
      <c r="I29341">
        <v>578076</v>
      </c>
      <c r="J29341">
        <v>4</v>
      </c>
    </row>
    <row r="29342" spans="1:10" x14ac:dyDescent="0.25">
      <c r="A29342" t="s">
        <v>333</v>
      </c>
      <c r="B29342" s="1" t="str">
        <f>HYPERLINK("http://kxen.com","kxen.com")</f>
        <v>kxen.com</v>
      </c>
      <c r="C29342" t="s">
        <v>433</v>
      </c>
      <c r="F29342">
        <v>4.7052516005650103E-8</v>
      </c>
      <c r="G29342">
        <v>991745</v>
      </c>
      <c r="H29342">
        <v>14505886</v>
      </c>
      <c r="I29342">
        <v>835068</v>
      </c>
      <c r="J29342">
        <v>3</v>
      </c>
    </row>
    <row r="29343" spans="1:10" x14ac:dyDescent="0.25">
      <c r="A29343" t="s">
        <v>333</v>
      </c>
      <c r="B29343" s="1" t="str">
        <f>HYPERLINK("http://leadformix.com","leadformix.com")</f>
        <v>leadformix.com</v>
      </c>
      <c r="C29343" t="s">
        <v>433</v>
      </c>
      <c r="F29343">
        <v>1.2335589816481499E-7</v>
      </c>
      <c r="G29343">
        <v>319898</v>
      </c>
      <c r="H29343">
        <v>13874447</v>
      </c>
      <c r="I29343">
        <v>5992629</v>
      </c>
      <c r="J29343">
        <v>7</v>
      </c>
    </row>
    <row r="29344" spans="1:10" x14ac:dyDescent="0.25">
      <c r="A29344" t="s">
        <v>333</v>
      </c>
      <c r="B29344" s="1" t="str">
        <f>HYPERLINK("http://marketmetrix.com","marketmetrix.com")</f>
        <v>marketmetrix.com</v>
      </c>
      <c r="C29344" t="s">
        <v>433</v>
      </c>
      <c r="F29344">
        <v>1.5806300709256701E-8</v>
      </c>
      <c r="G29344">
        <v>3597710</v>
      </c>
      <c r="H29344">
        <v>13417535</v>
      </c>
      <c r="I29344">
        <v>10310536</v>
      </c>
      <c r="J29344">
        <v>5</v>
      </c>
    </row>
    <row r="29345" spans="1:10" x14ac:dyDescent="0.25">
      <c r="A29345" t="s">
        <v>333</v>
      </c>
      <c r="B29345" s="1" t="str">
        <f>HYPERLINK("http://mobileway.com","mobileway.com")</f>
        <v>mobileway.com</v>
      </c>
      <c r="C29345" t="s">
        <v>433</v>
      </c>
      <c r="F29345">
        <v>5.4697798207677404E-9</v>
      </c>
      <c r="G29345">
        <v>21247510</v>
      </c>
      <c r="H29345">
        <v>13060380</v>
      </c>
      <c r="I29345">
        <v>12349454</v>
      </c>
      <c r="J29345">
        <v>4</v>
      </c>
    </row>
    <row r="29346" spans="1:10" x14ac:dyDescent="0.25">
      <c r="A29346" t="s">
        <v>333</v>
      </c>
      <c r="B29346" s="1" t="str">
        <f>HYPERLINK("http://ondemand.com","ondemand.com")</f>
        <v>ondemand.com</v>
      </c>
      <c r="C29346" t="s">
        <v>433</v>
      </c>
      <c r="E29346">
        <v>746</v>
      </c>
      <c r="F29346">
        <v>5.8555688548705197E-6</v>
      </c>
      <c r="G29346">
        <v>5930</v>
      </c>
      <c r="H29346">
        <v>17333168</v>
      </c>
      <c r="I29346">
        <v>24637</v>
      </c>
      <c r="J29346">
        <v>2</v>
      </c>
    </row>
    <row r="29347" spans="1:10" x14ac:dyDescent="0.25">
      <c r="A29347" t="s">
        <v>333</v>
      </c>
      <c r="B29347" s="1" t="str">
        <f>HYPERLINK("http://outtask.com","outtask.com")</f>
        <v>outtask.com</v>
      </c>
      <c r="C29347" t="s">
        <v>433</v>
      </c>
      <c r="E29347">
        <v>631746</v>
      </c>
      <c r="F29347">
        <v>1.60037387542884E-8</v>
      </c>
      <c r="G29347">
        <v>3545208</v>
      </c>
      <c r="H29347">
        <v>13151332</v>
      </c>
      <c r="I29347">
        <v>11821135</v>
      </c>
      <c r="J29347">
        <v>4</v>
      </c>
    </row>
    <row r="29348" spans="1:10" x14ac:dyDescent="0.25">
      <c r="A29348" t="s">
        <v>333</v>
      </c>
      <c r="B29348" s="1" t="str">
        <f>HYPERLINK("http://procuri.com","procuri.com")</f>
        <v>procuri.com</v>
      </c>
      <c r="C29348" t="s">
        <v>433</v>
      </c>
      <c r="F29348">
        <v>6.3592195125019397E-9</v>
      </c>
      <c r="G29348">
        <v>14716849</v>
      </c>
      <c r="H29348">
        <v>14121017</v>
      </c>
      <c r="I29348">
        <v>2288467</v>
      </c>
      <c r="J29348">
        <v>4</v>
      </c>
    </row>
    <row r="29349" spans="1:10" x14ac:dyDescent="0.25">
      <c r="A29349" t="s">
        <v>333</v>
      </c>
      <c r="B29349" s="1" t="str">
        <f>HYPERLINK("http://quadrem.com","quadrem.com")</f>
        <v>quadrem.com</v>
      </c>
      <c r="C29349" t="s">
        <v>433</v>
      </c>
      <c r="F29349">
        <v>1.4909432841871301E-8</v>
      </c>
      <c r="G29349">
        <v>3869492</v>
      </c>
      <c r="H29349">
        <v>13360969</v>
      </c>
      <c r="I29349">
        <v>10527069</v>
      </c>
      <c r="J29349">
        <v>6</v>
      </c>
    </row>
    <row r="29350" spans="1:10" x14ac:dyDescent="0.25">
      <c r="A29350" t="s">
        <v>333</v>
      </c>
      <c r="B29350" s="1" t="str">
        <f>HYPERLINK("http://righthemisphere.com","righthemisphere.com")</f>
        <v>righthemisphere.com</v>
      </c>
      <c r="C29350" t="s">
        <v>433</v>
      </c>
      <c r="E29350">
        <v>915336</v>
      </c>
      <c r="F29350">
        <v>3.5841769035258302E-8</v>
      </c>
      <c r="G29350">
        <v>1453235</v>
      </c>
      <c r="H29350">
        <v>14298942</v>
      </c>
      <c r="I29350">
        <v>1357502</v>
      </c>
      <c r="J29350">
        <v>4</v>
      </c>
    </row>
    <row r="29351" spans="1:10" x14ac:dyDescent="0.25">
      <c r="A29351" t="s">
        <v>333</v>
      </c>
      <c r="B29351" s="1" t="str">
        <f>HYPERLINK("http://sap.com","sap.com")</f>
        <v>sap.com</v>
      </c>
      <c r="C29351" t="s">
        <v>433</v>
      </c>
      <c r="E29351">
        <v>1203</v>
      </c>
      <c r="F29351">
        <v>2.9610133667888301E-5</v>
      </c>
      <c r="G29351">
        <v>977</v>
      </c>
      <c r="H29351">
        <v>19140470</v>
      </c>
      <c r="I29351">
        <v>416</v>
      </c>
      <c r="J29351">
        <v>1</v>
      </c>
    </row>
    <row r="29352" spans="1:10" x14ac:dyDescent="0.25">
      <c r="A29352" t="s">
        <v>333</v>
      </c>
      <c r="B29352" s="1" t="str">
        <f>HYPERLINK("http://sapbydesign.com","sapbydesign.com")</f>
        <v>sapbydesign.com</v>
      </c>
      <c r="C29352" t="s">
        <v>433</v>
      </c>
      <c r="E29352">
        <v>95083</v>
      </c>
      <c r="F29352">
        <v>5.2131053335611698E-8</v>
      </c>
      <c r="G29352">
        <v>875610</v>
      </c>
      <c r="H29352">
        <v>13468483</v>
      </c>
      <c r="I29352">
        <v>10044640</v>
      </c>
      <c r="J29352">
        <v>2</v>
      </c>
    </row>
    <row r="29353" spans="1:10" x14ac:dyDescent="0.25">
      <c r="A29353" t="s">
        <v>333</v>
      </c>
      <c r="B29353" s="1" t="str">
        <f>HYPERLINK("http://sapns2.com","sapns2.com")</f>
        <v>sapns2.com</v>
      </c>
      <c r="C29353" t="s">
        <v>433</v>
      </c>
      <c r="E29353">
        <v>637872</v>
      </c>
      <c r="F29353">
        <v>9.8310611271525601E-8</v>
      </c>
      <c r="G29353">
        <v>410296</v>
      </c>
      <c r="H29353">
        <v>14937441</v>
      </c>
      <c r="I29353">
        <v>444894</v>
      </c>
      <c r="J29353">
        <v>3</v>
      </c>
    </row>
    <row r="29354" spans="1:10" x14ac:dyDescent="0.25">
      <c r="A29354" t="s">
        <v>333</v>
      </c>
      <c r="B29354" s="1" t="str">
        <f>HYPERLINK("http://seewhy.com","seewhy.com")</f>
        <v>seewhy.com</v>
      </c>
      <c r="C29354" t="s">
        <v>433</v>
      </c>
      <c r="E29354">
        <v>614501</v>
      </c>
      <c r="F29354">
        <v>4.0787935395175201E-7</v>
      </c>
      <c r="G29354">
        <v>92133</v>
      </c>
      <c r="H29354">
        <v>14389607</v>
      </c>
      <c r="I29354">
        <v>1170172</v>
      </c>
      <c r="J29354">
        <v>4</v>
      </c>
    </row>
    <row r="29355" spans="1:10" x14ac:dyDescent="0.25">
      <c r="A29355" t="s">
        <v>333</v>
      </c>
      <c r="B29355" s="1" t="str">
        <f>HYPERLINK("http://successfactors.com","successfactors.com")</f>
        <v>successfactors.com</v>
      </c>
      <c r="C29355" t="s">
        <v>433</v>
      </c>
      <c r="E29355">
        <v>4813</v>
      </c>
      <c r="F29355">
        <v>7.3164352318122101E-6</v>
      </c>
      <c r="G29355">
        <v>4595</v>
      </c>
      <c r="H29355">
        <v>17533624</v>
      </c>
      <c r="I29355">
        <v>11907</v>
      </c>
      <c r="J29355">
        <v>3</v>
      </c>
    </row>
    <row r="29356" spans="1:10" x14ac:dyDescent="0.25">
      <c r="A29356" t="s">
        <v>333</v>
      </c>
      <c r="B29356" s="1" t="str">
        <f>HYPERLINK("http://sybase.com","sybase.com")</f>
        <v>sybase.com</v>
      </c>
      <c r="C29356" t="s">
        <v>433</v>
      </c>
      <c r="E29356">
        <v>50721</v>
      </c>
      <c r="F29356">
        <v>9.0852760489846197E-7</v>
      </c>
      <c r="G29356">
        <v>42953</v>
      </c>
      <c r="H29356">
        <v>17401692</v>
      </c>
      <c r="I29356">
        <v>19067</v>
      </c>
      <c r="J29356">
        <v>4</v>
      </c>
    </row>
    <row r="29357" spans="1:10" x14ac:dyDescent="0.25">
      <c r="A29357" t="s">
        <v>333</v>
      </c>
      <c r="B29357" s="1" t="str">
        <f>HYPERLINK("http://taulia.com","taulia.com")</f>
        <v>taulia.com</v>
      </c>
      <c r="C29357" t="s">
        <v>433</v>
      </c>
      <c r="E29357">
        <v>91434</v>
      </c>
      <c r="F29357">
        <v>2.9296610154628702E-7</v>
      </c>
      <c r="G29357">
        <v>127043</v>
      </c>
      <c r="H29357">
        <v>16984184</v>
      </c>
      <c r="I29357">
        <v>97583</v>
      </c>
      <c r="J29357">
        <v>3</v>
      </c>
    </row>
    <row r="29358" spans="1:10" x14ac:dyDescent="0.25">
      <c r="A29358" t="s">
        <v>333</v>
      </c>
      <c r="B29358" s="1" t="str">
        <f>HYPERLINK("http://temkingroup.com","temkingroup.com")</f>
        <v>temkingroup.com</v>
      </c>
      <c r="C29358" t="s">
        <v>433</v>
      </c>
      <c r="E29358">
        <v>451836</v>
      </c>
      <c r="F29358">
        <v>3.7812868060415402E-7</v>
      </c>
      <c r="G29358">
        <v>98956</v>
      </c>
      <c r="H29358">
        <v>14588000</v>
      </c>
      <c r="I29358">
        <v>698455</v>
      </c>
      <c r="J29358">
        <v>3</v>
      </c>
    </row>
    <row r="29359" spans="1:10" x14ac:dyDescent="0.25">
      <c r="A29359" t="s">
        <v>333</v>
      </c>
      <c r="B29359" s="1" t="str">
        <f>HYPERLINK("http://tmamission.com","tmamission.com")</f>
        <v>tmamission.com</v>
      </c>
      <c r="C29359" t="s">
        <v>433</v>
      </c>
      <c r="F29359">
        <v>8.3620073983702703E-9</v>
      </c>
      <c r="G29359">
        <v>9121418</v>
      </c>
      <c r="H29359">
        <v>13221906</v>
      </c>
      <c r="I29359">
        <v>11325332</v>
      </c>
      <c r="J29359">
        <v>3</v>
      </c>
    </row>
    <row r="29360" spans="1:10" x14ac:dyDescent="0.25">
      <c r="A29360" t="s">
        <v>333</v>
      </c>
      <c r="B29360" s="1" t="str">
        <f>HYPERLINK("http://travelanalytics.com","travelanalytics.com")</f>
        <v>travelanalytics.com</v>
      </c>
      <c r="C29360" t="s">
        <v>433</v>
      </c>
      <c r="F29360">
        <v>4.8371176898849303E-9</v>
      </c>
      <c r="G29360">
        <v>34584115</v>
      </c>
      <c r="H29360">
        <v>13935619</v>
      </c>
      <c r="I29360">
        <v>4524939</v>
      </c>
      <c r="J29360">
        <v>6</v>
      </c>
    </row>
    <row r="29361" spans="1:10" x14ac:dyDescent="0.25">
      <c r="A29361" t="s">
        <v>333</v>
      </c>
      <c r="B29361" s="1" t="str">
        <f>HYPERLINK("http://trx.com","trx.com")</f>
        <v>trx.com</v>
      </c>
      <c r="C29361" t="s">
        <v>433</v>
      </c>
      <c r="F29361">
        <v>2.52765965772524E-8</v>
      </c>
      <c r="G29361">
        <v>2041625</v>
      </c>
      <c r="H29361">
        <v>14497653</v>
      </c>
      <c r="I29361">
        <v>865102</v>
      </c>
      <c r="J29361">
        <v>6</v>
      </c>
    </row>
    <row r="29362" spans="1:10" x14ac:dyDescent="0.25">
      <c r="A29362" t="s">
        <v>333</v>
      </c>
      <c r="B29362" s="1" t="str">
        <f>HYPERLINK("http://trxtrucking.com","trxtrucking.com")</f>
        <v>trxtrucking.com</v>
      </c>
      <c r="C29362" t="s">
        <v>433</v>
      </c>
      <c r="F29362">
        <v>5.67179806945664E-9</v>
      </c>
      <c r="G29362">
        <v>19201425</v>
      </c>
      <c r="H29362">
        <v>11020517</v>
      </c>
      <c r="I29362">
        <v>33241086</v>
      </c>
      <c r="J29362">
        <v>3</v>
      </c>
    </row>
    <row r="29363" spans="1:10" x14ac:dyDescent="0.25">
      <c r="A29363" t="s">
        <v>333</v>
      </c>
      <c r="B29363" s="1" t="str">
        <f>HYPERLINK("http://sap.cz","sap.cz")</f>
        <v>sap.cz</v>
      </c>
      <c r="C29363" t="s">
        <v>435</v>
      </c>
      <c r="D29363" t="s">
        <v>814</v>
      </c>
      <c r="F29363">
        <v>8.7541306535116196E-9</v>
      </c>
      <c r="G29363">
        <v>8385729</v>
      </c>
      <c r="H29363">
        <v>13125030</v>
      </c>
      <c r="I29363">
        <v>11962500</v>
      </c>
      <c r="J29363">
        <v>2</v>
      </c>
    </row>
    <row r="29364" spans="1:10" x14ac:dyDescent="0.25">
      <c r="A29364" t="s">
        <v>333</v>
      </c>
      <c r="B29364" s="1" t="str">
        <f>HYPERLINK("http://concur.de","concur.de")</f>
        <v>concur.de</v>
      </c>
      <c r="C29364" t="s">
        <v>436</v>
      </c>
      <c r="D29364" t="s">
        <v>815</v>
      </c>
      <c r="F29364">
        <v>1.7756594930500901E-7</v>
      </c>
      <c r="G29364">
        <v>217775</v>
      </c>
      <c r="H29364">
        <v>13463069</v>
      </c>
      <c r="I29364">
        <v>10147179</v>
      </c>
      <c r="J29364">
        <v>3</v>
      </c>
    </row>
    <row r="29365" spans="1:10" x14ac:dyDescent="0.25">
      <c r="A29365" t="s">
        <v>333</v>
      </c>
      <c r="B29365" s="1" t="str">
        <f>HYPERLINK("http://sap.de","sap.de")</f>
        <v>sap.de</v>
      </c>
      <c r="C29365" t="s">
        <v>436</v>
      </c>
      <c r="D29365" t="s">
        <v>815</v>
      </c>
      <c r="E29365">
        <v>42898</v>
      </c>
      <c r="F29365">
        <v>2.1565304604088799E-7</v>
      </c>
      <c r="G29365">
        <v>174937</v>
      </c>
      <c r="H29365">
        <v>14375057</v>
      </c>
      <c r="I29365">
        <v>1230257</v>
      </c>
      <c r="J29365">
        <v>2</v>
      </c>
    </row>
    <row r="29366" spans="1:10" x14ac:dyDescent="0.25">
      <c r="A29366" t="s">
        <v>333</v>
      </c>
      <c r="B29366" s="1" t="str">
        <f>HYPERLINK("http://concur.dk","concur.dk")</f>
        <v>concur.dk</v>
      </c>
      <c r="C29366" t="s">
        <v>437</v>
      </c>
      <c r="D29366" t="s">
        <v>816</v>
      </c>
      <c r="F29366">
        <v>1.9268397324708401E-8</v>
      </c>
      <c r="G29366">
        <v>2787236</v>
      </c>
      <c r="H29366">
        <v>12377612</v>
      </c>
      <c r="I29366">
        <v>19266694</v>
      </c>
      <c r="J29366">
        <v>3</v>
      </c>
    </row>
    <row r="29367" spans="1:10" x14ac:dyDescent="0.25">
      <c r="A29367" t="s">
        <v>333</v>
      </c>
      <c r="B29367" s="1" t="str">
        <f>HYPERLINK("http://concur.es","concur.es")</f>
        <v>concur.es</v>
      </c>
      <c r="C29367" t="s">
        <v>443</v>
      </c>
      <c r="D29367" t="s">
        <v>822</v>
      </c>
      <c r="F29367">
        <v>2.12449244324046E-8</v>
      </c>
      <c r="G29367">
        <v>2481284</v>
      </c>
      <c r="H29367">
        <v>13117336</v>
      </c>
      <c r="I29367">
        <v>12003852</v>
      </c>
      <c r="J29367">
        <v>3</v>
      </c>
    </row>
    <row r="29368" spans="1:10" x14ac:dyDescent="0.25">
      <c r="A29368" t="s">
        <v>333</v>
      </c>
      <c r="B29368" s="1" t="str">
        <f>HYPERLINK("http://sybase.es","sybase.es")</f>
        <v>sybase.es</v>
      </c>
      <c r="C29368" t="s">
        <v>443</v>
      </c>
      <c r="D29368" t="s">
        <v>822</v>
      </c>
      <c r="F29368">
        <v>6.3941122484772203E-9</v>
      </c>
      <c r="G29368">
        <v>14550296</v>
      </c>
      <c r="H29368">
        <v>13240872</v>
      </c>
      <c r="I29368">
        <v>11215792</v>
      </c>
      <c r="J29368">
        <v>3</v>
      </c>
    </row>
    <row r="29369" spans="1:10" x14ac:dyDescent="0.25">
      <c r="A29369" t="s">
        <v>333</v>
      </c>
      <c r="B29369" s="1" t="str">
        <f>HYPERLINK("http://appgyver.fi","appgyver.fi")</f>
        <v>appgyver.fi</v>
      </c>
      <c r="C29369" t="s">
        <v>445</v>
      </c>
      <c r="D29369" t="s">
        <v>823</v>
      </c>
      <c r="F29369">
        <v>5.3566989393501799E-9</v>
      </c>
      <c r="G29369">
        <v>22713036</v>
      </c>
      <c r="H29369">
        <v>12113077</v>
      </c>
      <c r="I29369">
        <v>25650319</v>
      </c>
      <c r="J29369">
        <v>4</v>
      </c>
    </row>
    <row r="29370" spans="1:10" x14ac:dyDescent="0.25">
      <c r="A29370" t="s">
        <v>333</v>
      </c>
      <c r="B29370" s="1" t="str">
        <f>HYPERLINK("http://concur.fi","concur.fi")</f>
        <v>concur.fi</v>
      </c>
      <c r="C29370" t="s">
        <v>445</v>
      </c>
      <c r="D29370" t="s">
        <v>823</v>
      </c>
      <c r="F29370">
        <v>1.86803011423258E-8</v>
      </c>
      <c r="G29370">
        <v>2892844</v>
      </c>
      <c r="H29370">
        <v>12606823</v>
      </c>
      <c r="I29370">
        <v>16259181</v>
      </c>
      <c r="J29370">
        <v>2</v>
      </c>
    </row>
    <row r="29371" spans="1:10" x14ac:dyDescent="0.25">
      <c r="A29371" t="s">
        <v>333</v>
      </c>
      <c r="B29371" s="1" t="str">
        <f>HYPERLINK("http://concur.fr","concur.fr")</f>
        <v>concur.fr</v>
      </c>
      <c r="C29371" t="s">
        <v>446</v>
      </c>
      <c r="D29371" t="s">
        <v>824</v>
      </c>
      <c r="F29371">
        <v>8.2537326081724304E-8</v>
      </c>
      <c r="G29371">
        <v>505492</v>
      </c>
      <c r="H29371">
        <v>13283853</v>
      </c>
      <c r="I29371">
        <v>10901335</v>
      </c>
      <c r="J29371">
        <v>3</v>
      </c>
    </row>
    <row r="29372" spans="1:10" x14ac:dyDescent="0.25">
      <c r="A29372" t="s">
        <v>333</v>
      </c>
      <c r="B29372" s="1" t="str">
        <f>HYPERLINK("http://concur.com.hk","concur.com.hk")</f>
        <v>concur.com.hk</v>
      </c>
      <c r="C29372" t="s">
        <v>450</v>
      </c>
      <c r="D29372" t="s">
        <v>827</v>
      </c>
      <c r="F29372">
        <v>1.84219614395355E-8</v>
      </c>
      <c r="G29372">
        <v>2941368</v>
      </c>
      <c r="H29372">
        <v>12483379</v>
      </c>
      <c r="I29372">
        <v>17565481</v>
      </c>
      <c r="J29372">
        <v>3</v>
      </c>
    </row>
    <row r="29373" spans="1:10" x14ac:dyDescent="0.25">
      <c r="A29373" t="s">
        <v>333</v>
      </c>
      <c r="B29373" s="1" t="str">
        <f>HYPERLINK("http://concur.co.in","concur.co.in")</f>
        <v>concur.co.in</v>
      </c>
      <c r="C29373" t="s">
        <v>457</v>
      </c>
      <c r="D29373" t="s">
        <v>834</v>
      </c>
      <c r="F29373">
        <v>4.5150463617557801E-8</v>
      </c>
      <c r="G29373">
        <v>1045024</v>
      </c>
      <c r="H29373">
        <v>13836015</v>
      </c>
      <c r="I29373">
        <v>6087338</v>
      </c>
      <c r="J29373">
        <v>3</v>
      </c>
    </row>
    <row r="29374" spans="1:10" x14ac:dyDescent="0.25">
      <c r="A29374" t="s">
        <v>333</v>
      </c>
      <c r="B29374" s="1" t="str">
        <f>HYPERLINK("http://sap.info","sap.info")</f>
        <v>sap.info</v>
      </c>
      <c r="C29374" t="s">
        <v>458</v>
      </c>
      <c r="F29374">
        <v>9.9263216384190504E-8</v>
      </c>
      <c r="G29374">
        <v>405744</v>
      </c>
      <c r="H29374">
        <v>14588623</v>
      </c>
      <c r="I29374">
        <v>697764</v>
      </c>
      <c r="J29374">
        <v>2</v>
      </c>
    </row>
    <row r="29375" spans="1:10" x14ac:dyDescent="0.25">
      <c r="A29375" t="s">
        <v>333</v>
      </c>
      <c r="B29375" s="1" t="str">
        <f>HYPERLINK("http://loyalsys.io","loyalsys.io")</f>
        <v>loyalsys.io</v>
      </c>
      <c r="C29375" t="s">
        <v>518</v>
      </c>
      <c r="E29375">
        <v>83759</v>
      </c>
      <c r="F29375">
        <v>1.0406366866732E-8</v>
      </c>
      <c r="G29375">
        <v>6353235</v>
      </c>
      <c r="H29375">
        <v>12311902</v>
      </c>
      <c r="I29375">
        <v>20580993</v>
      </c>
      <c r="J29375">
        <v>3</v>
      </c>
    </row>
    <row r="29376" spans="1:10" x14ac:dyDescent="0.25">
      <c r="A29376" t="s">
        <v>333</v>
      </c>
      <c r="B29376" s="1" t="str">
        <f>HYPERLINK("http://sap.io","sap.io")</f>
        <v>sap.io</v>
      </c>
      <c r="C29376" t="s">
        <v>518</v>
      </c>
      <c r="E29376">
        <v>732434</v>
      </c>
      <c r="F29376">
        <v>2.00168644440633E-7</v>
      </c>
      <c r="G29376">
        <v>190391</v>
      </c>
      <c r="H29376">
        <v>14305381</v>
      </c>
      <c r="I29376">
        <v>1351226</v>
      </c>
      <c r="J29376">
        <v>2</v>
      </c>
    </row>
    <row r="29377" spans="1:10" x14ac:dyDescent="0.25">
      <c r="A29377" t="s">
        <v>333</v>
      </c>
      <c r="B29377" s="1" t="str">
        <f>HYPERLINK("http://concur.it","concur.it")</f>
        <v>concur.it</v>
      </c>
      <c r="C29377" t="s">
        <v>459</v>
      </c>
      <c r="D29377" t="s">
        <v>835</v>
      </c>
      <c r="F29377">
        <v>5.2252973269098297E-8</v>
      </c>
      <c r="G29377">
        <v>873315</v>
      </c>
      <c r="H29377">
        <v>13277156</v>
      </c>
      <c r="I29377">
        <v>10924522</v>
      </c>
      <c r="J29377">
        <v>3</v>
      </c>
    </row>
    <row r="29378" spans="1:10" x14ac:dyDescent="0.25">
      <c r="A29378" t="s">
        <v>333</v>
      </c>
      <c r="B29378" s="1" t="str">
        <f>HYPERLINK("http://concur.co.jp","concur.co.jp")</f>
        <v>concur.co.jp</v>
      </c>
      <c r="C29378" t="s">
        <v>461</v>
      </c>
      <c r="D29378" t="s">
        <v>837</v>
      </c>
      <c r="F29378">
        <v>1.0095629932753699E-6</v>
      </c>
      <c r="G29378">
        <v>37921</v>
      </c>
      <c r="H29378">
        <v>15594579</v>
      </c>
      <c r="I29378">
        <v>372636</v>
      </c>
      <c r="J29378">
        <v>3</v>
      </c>
    </row>
    <row r="29379" spans="1:10" x14ac:dyDescent="0.25">
      <c r="A29379" t="s">
        <v>333</v>
      </c>
      <c r="B29379" s="1" t="str">
        <f>HYPERLINK("http://sap.co.jp","sap.co.jp")</f>
        <v>sap.co.jp</v>
      </c>
      <c r="C29379" t="s">
        <v>461</v>
      </c>
      <c r="D29379" t="s">
        <v>837</v>
      </c>
      <c r="F29379">
        <v>9.1793460670424693E-9</v>
      </c>
      <c r="G29379">
        <v>7737533</v>
      </c>
      <c r="H29379">
        <v>13456489</v>
      </c>
      <c r="I29379">
        <v>10184689</v>
      </c>
      <c r="J29379">
        <v>2</v>
      </c>
    </row>
    <row r="29380" spans="1:10" x14ac:dyDescent="0.25">
      <c r="A29380" t="s">
        <v>333</v>
      </c>
      <c r="B29380" s="1" t="str">
        <f>HYPERLINK("http://concur.kr","concur.kr")</f>
        <v>concur.kr</v>
      </c>
      <c r="C29380" t="s">
        <v>463</v>
      </c>
      <c r="D29380" t="s">
        <v>839</v>
      </c>
      <c r="F29380">
        <v>3.4364608451587302E-8</v>
      </c>
      <c r="G29380">
        <v>1508938</v>
      </c>
      <c r="H29380">
        <v>13117142</v>
      </c>
      <c r="I29380">
        <v>12004458</v>
      </c>
      <c r="J29380">
        <v>3</v>
      </c>
    </row>
    <row r="29381" spans="1:10" x14ac:dyDescent="0.25">
      <c r="A29381" t="s">
        <v>333</v>
      </c>
      <c r="B29381" s="1" t="str">
        <f>HYPERLINK("http://concur.com.mx","concur.com.mx")</f>
        <v>concur.com.mx</v>
      </c>
      <c r="C29381" t="s">
        <v>471</v>
      </c>
      <c r="D29381" t="s">
        <v>847</v>
      </c>
      <c r="F29381">
        <v>2.6479190653259999E-8</v>
      </c>
      <c r="G29381">
        <v>1944392</v>
      </c>
      <c r="H29381">
        <v>13141270</v>
      </c>
      <c r="I29381">
        <v>11873466</v>
      </c>
      <c r="J29381">
        <v>3</v>
      </c>
    </row>
    <row r="29382" spans="1:10" x14ac:dyDescent="0.25">
      <c r="A29382" t="s">
        <v>333</v>
      </c>
      <c r="B29382" s="1" t="str">
        <f>HYPERLINK("http://emarsys.net","emarsys.net")</f>
        <v>emarsys.net</v>
      </c>
      <c r="C29382" t="s">
        <v>474</v>
      </c>
      <c r="E29382">
        <v>5009</v>
      </c>
      <c r="F29382">
        <v>3.1252264604836999E-7</v>
      </c>
      <c r="G29382">
        <v>118975</v>
      </c>
      <c r="H29382">
        <v>13969471</v>
      </c>
      <c r="I29382">
        <v>4078167</v>
      </c>
      <c r="J29382">
        <v>4</v>
      </c>
    </row>
    <row r="29383" spans="1:10" x14ac:dyDescent="0.25">
      <c r="A29383" t="s">
        <v>333</v>
      </c>
      <c r="B29383" s="1" t="str">
        <f>HYPERLINK("http://concur.nl","concur.nl")</f>
        <v>concur.nl</v>
      </c>
      <c r="C29383" t="s">
        <v>477</v>
      </c>
      <c r="D29383" t="s">
        <v>852</v>
      </c>
      <c r="F29383">
        <v>2.3607610599637801E-8</v>
      </c>
      <c r="G29383">
        <v>2203156</v>
      </c>
      <c r="H29383">
        <v>13171568</v>
      </c>
      <c r="I29383">
        <v>11719131</v>
      </c>
      <c r="J29383">
        <v>3</v>
      </c>
    </row>
    <row r="29384" spans="1:10" x14ac:dyDescent="0.25">
      <c r="A29384" t="s">
        <v>333</v>
      </c>
      <c r="B29384" s="1" t="str">
        <f>HYPERLINK("http://sap.nl","sap.nl")</f>
        <v>sap.nl</v>
      </c>
      <c r="C29384" t="s">
        <v>477</v>
      </c>
      <c r="D29384" t="s">
        <v>852</v>
      </c>
      <c r="F29384">
        <v>1.5801245668681001E-8</v>
      </c>
      <c r="G29384">
        <v>3599143</v>
      </c>
      <c r="H29384">
        <v>13145069</v>
      </c>
      <c r="I29384">
        <v>11851916</v>
      </c>
      <c r="J29384">
        <v>2</v>
      </c>
    </row>
    <row r="29385" spans="1:10" x14ac:dyDescent="0.25">
      <c r="A29385" t="s">
        <v>333</v>
      </c>
      <c r="B29385" s="1" t="str">
        <f>HYPERLINK("http://sybase.nl","sybase.nl")</f>
        <v>sybase.nl</v>
      </c>
      <c r="C29385" t="s">
        <v>477</v>
      </c>
      <c r="D29385" t="s">
        <v>852</v>
      </c>
      <c r="F29385">
        <v>4.6812403808873E-9</v>
      </c>
      <c r="G29385">
        <v>42259950</v>
      </c>
      <c r="H29385">
        <v>12850677</v>
      </c>
      <c r="I29385">
        <v>14266919</v>
      </c>
      <c r="J29385">
        <v>3</v>
      </c>
    </row>
    <row r="29386" spans="1:10" x14ac:dyDescent="0.25">
      <c r="A29386" t="s">
        <v>333</v>
      </c>
      <c r="B29386" s="1" t="str">
        <f>HYPERLINK("http://concur.no","concur.no")</f>
        <v>concur.no</v>
      </c>
      <c r="C29386" t="s">
        <v>478</v>
      </c>
      <c r="D29386" t="s">
        <v>853</v>
      </c>
      <c r="F29386">
        <v>1.9001641255947001E-8</v>
      </c>
      <c r="G29386">
        <v>2835727</v>
      </c>
      <c r="H29386">
        <v>12459383</v>
      </c>
      <c r="I29386">
        <v>17888202</v>
      </c>
      <c r="J29386">
        <v>3</v>
      </c>
    </row>
    <row r="29387" spans="1:10" x14ac:dyDescent="0.25">
      <c r="A29387" t="s">
        <v>333</v>
      </c>
      <c r="B29387" s="1" t="str">
        <f>HYPERLINK("http://concur.pe","concur.pe")</f>
        <v>concur.pe</v>
      </c>
      <c r="C29387" t="s">
        <v>483</v>
      </c>
      <c r="D29387" t="s">
        <v>857</v>
      </c>
      <c r="F29387">
        <v>1.81701635644849E-8</v>
      </c>
      <c r="G29387">
        <v>2995677</v>
      </c>
      <c r="H29387">
        <v>12357281</v>
      </c>
      <c r="I29387">
        <v>19639383</v>
      </c>
      <c r="J29387">
        <v>3</v>
      </c>
    </row>
    <row r="29388" spans="1:10" x14ac:dyDescent="0.25">
      <c r="A29388" t="s">
        <v>333</v>
      </c>
      <c r="B29388" s="1" t="str">
        <f>HYPERLINK("http://sap.pl","sap.pl")</f>
        <v>sap.pl</v>
      </c>
      <c r="C29388" t="s">
        <v>486</v>
      </c>
      <c r="D29388" t="s">
        <v>860</v>
      </c>
      <c r="F29388">
        <v>1.0617569071864799E-8</v>
      </c>
      <c r="G29388">
        <v>6168794</v>
      </c>
      <c r="H29388">
        <v>14074279</v>
      </c>
      <c r="I29388">
        <v>2949099</v>
      </c>
      <c r="J29388">
        <v>2</v>
      </c>
    </row>
    <row r="29389" spans="1:10" x14ac:dyDescent="0.25">
      <c r="A29389" t="s">
        <v>333</v>
      </c>
      <c r="B29389" s="1" t="str">
        <f>HYPERLINK("http://sap.ru","sap.ru")</f>
        <v>sap.ru</v>
      </c>
      <c r="C29389" t="s">
        <v>493</v>
      </c>
      <c r="D29389" t="s">
        <v>867</v>
      </c>
      <c r="F29389">
        <v>2.2415106411937E-8</v>
      </c>
      <c r="G29389">
        <v>2338070</v>
      </c>
      <c r="H29389">
        <v>13117921</v>
      </c>
      <c r="I29389">
        <v>12001672</v>
      </c>
      <c r="J29389">
        <v>2</v>
      </c>
    </row>
    <row r="29390" spans="1:10" x14ac:dyDescent="0.25">
      <c r="A29390" t="s">
        <v>333</v>
      </c>
      <c r="B29390" s="1" t="str">
        <f>HYPERLINK("http://cloud.sap","cloud.sap")</f>
        <v>cloud.sap</v>
      </c>
      <c r="C29390" t="s">
        <v>780</v>
      </c>
      <c r="E29390">
        <v>6821</v>
      </c>
      <c r="F29390">
        <v>2.4145073321338702E-7</v>
      </c>
      <c r="G29390">
        <v>154949</v>
      </c>
      <c r="H29390">
        <v>16961714</v>
      </c>
      <c r="I29390">
        <v>105348</v>
      </c>
      <c r="J29390">
        <v>2</v>
      </c>
    </row>
    <row r="29391" spans="1:10" x14ac:dyDescent="0.25">
      <c r="A29391" t="s">
        <v>333</v>
      </c>
      <c r="B29391" s="1" t="str">
        <f>HYPERLINK("http://dev.sap","dev.sap")</f>
        <v>dev.sap</v>
      </c>
      <c r="C29391" t="s">
        <v>780</v>
      </c>
      <c r="J29391">
        <v>4</v>
      </c>
    </row>
    <row r="29392" spans="1:10" x14ac:dyDescent="0.25">
      <c r="A29392" t="s">
        <v>333</v>
      </c>
      <c r="B29392" s="1" t="str">
        <f>HYPERLINK("http://for.sap","for.sap")</f>
        <v>for.sap</v>
      </c>
      <c r="C29392" t="s">
        <v>780</v>
      </c>
      <c r="E29392">
        <v>687192</v>
      </c>
      <c r="F29392">
        <v>4.4448285828608403E-9</v>
      </c>
      <c r="G29392">
        <v>76018761</v>
      </c>
      <c r="H29392">
        <v>10367521</v>
      </c>
      <c r="I29392">
        <v>54941239</v>
      </c>
      <c r="J29392">
        <v>2</v>
      </c>
    </row>
    <row r="29393" spans="1:10" x14ac:dyDescent="0.25">
      <c r="A29393" t="s">
        <v>333</v>
      </c>
      <c r="B29393" s="1" t="str">
        <f>HYPERLINK("http://services.sap","services.sap")</f>
        <v>services.sap</v>
      </c>
      <c r="C29393" t="s">
        <v>780</v>
      </c>
      <c r="E29393">
        <v>90161</v>
      </c>
      <c r="F29393">
        <v>3.1331716357445E-8</v>
      </c>
      <c r="G29393">
        <v>1645932</v>
      </c>
      <c r="H29393">
        <v>13230516</v>
      </c>
      <c r="I29393">
        <v>11275720</v>
      </c>
      <c r="J29393">
        <v>2</v>
      </c>
    </row>
    <row r="29394" spans="1:10" x14ac:dyDescent="0.25">
      <c r="A29394" t="s">
        <v>333</v>
      </c>
      <c r="B29394" s="1" t="str">
        <f>HYPERLINK("http://tools.sap","tools.sap")</f>
        <v>tools.sap</v>
      </c>
      <c r="C29394" t="s">
        <v>780</v>
      </c>
      <c r="E29394">
        <v>93617</v>
      </c>
      <c r="F29394">
        <v>5.2587075167284201E-7</v>
      </c>
      <c r="G29394">
        <v>73149</v>
      </c>
      <c r="H29394">
        <v>14464910</v>
      </c>
      <c r="I29394">
        <v>1044907</v>
      </c>
      <c r="J29394">
        <v>2</v>
      </c>
    </row>
    <row r="29395" spans="1:10" x14ac:dyDescent="0.25">
      <c r="A29395" t="s">
        <v>333</v>
      </c>
      <c r="B29395" s="1" t="str">
        <f>HYPERLINK("http://concur.se","concur.se")</f>
        <v>concur.se</v>
      </c>
      <c r="C29395" t="s">
        <v>495</v>
      </c>
      <c r="D29395" t="s">
        <v>869</v>
      </c>
      <c r="F29395">
        <v>7.8966279767419699E-8</v>
      </c>
      <c r="G29395">
        <v>529272</v>
      </c>
      <c r="H29395">
        <v>13708138</v>
      </c>
      <c r="I29395">
        <v>9509080</v>
      </c>
      <c r="J29395">
        <v>3</v>
      </c>
    </row>
    <row r="29396" spans="1:10" x14ac:dyDescent="0.25">
      <c r="A29396" t="s">
        <v>333</v>
      </c>
      <c r="B29396" s="1" t="str">
        <f>HYPERLINK("http://concur.com.sg","concur.com.sg")</f>
        <v>concur.com.sg</v>
      </c>
      <c r="C29396" t="s">
        <v>496</v>
      </c>
      <c r="D29396" t="s">
        <v>870</v>
      </c>
      <c r="F29396">
        <v>2.8263690618056699E-8</v>
      </c>
      <c r="G29396">
        <v>1821020</v>
      </c>
      <c r="H29396">
        <v>13194100</v>
      </c>
      <c r="I29396">
        <v>11583714</v>
      </c>
      <c r="J29396">
        <v>3</v>
      </c>
    </row>
    <row r="29397" spans="1:10" x14ac:dyDescent="0.25">
      <c r="A29397" t="s">
        <v>333</v>
      </c>
      <c r="B29397" s="1" t="str">
        <f>HYPERLINK("http://sap.sk","sap.sk")</f>
        <v>sap.sk</v>
      </c>
      <c r="C29397" t="s">
        <v>498</v>
      </c>
      <c r="D29397" t="s">
        <v>872</v>
      </c>
      <c r="F29397">
        <v>9.3657868721367197E-9</v>
      </c>
      <c r="G29397">
        <v>7488040</v>
      </c>
      <c r="H29397">
        <v>13101784</v>
      </c>
      <c r="I29397">
        <v>12090811</v>
      </c>
      <c r="J29397">
        <v>2</v>
      </c>
    </row>
    <row r="29398" spans="1:10" x14ac:dyDescent="0.25">
      <c r="A29398" t="s">
        <v>333</v>
      </c>
      <c r="B29398" s="1" t="str">
        <f>HYPERLINK("http://sap.to","sap.to")</f>
        <v>sap.to</v>
      </c>
      <c r="C29398" t="s">
        <v>578</v>
      </c>
      <c r="D29398" t="s">
        <v>921</v>
      </c>
      <c r="F29398">
        <v>4.1658759226406502E-8</v>
      </c>
      <c r="G29398">
        <v>1188970</v>
      </c>
      <c r="H29398">
        <v>13404207</v>
      </c>
      <c r="I29398">
        <v>10359334</v>
      </c>
      <c r="J29398">
        <v>2</v>
      </c>
    </row>
    <row r="29399" spans="1:10" x14ac:dyDescent="0.25">
      <c r="A29399" t="s">
        <v>333</v>
      </c>
      <c r="B29399" s="1" t="str">
        <f>HYPERLINK("http://concur.tw","concur.tw")</f>
        <v>concur.tw</v>
      </c>
      <c r="C29399" t="s">
        <v>504</v>
      </c>
      <c r="D29399" t="s">
        <v>878</v>
      </c>
      <c r="F29399">
        <v>1.8085065785980001E-8</v>
      </c>
      <c r="G29399">
        <v>3012767</v>
      </c>
      <c r="H29399">
        <v>12381834</v>
      </c>
      <c r="I29399">
        <v>19174083</v>
      </c>
      <c r="J29399">
        <v>3</v>
      </c>
    </row>
    <row r="29400" spans="1:10" x14ac:dyDescent="0.25">
      <c r="A29400" t="s">
        <v>333</v>
      </c>
      <c r="B29400" s="1" t="str">
        <f>HYPERLINK("http://sap.ua","sap.ua")</f>
        <v>sap.ua</v>
      </c>
      <c r="C29400" t="s">
        <v>505</v>
      </c>
      <c r="D29400" t="s">
        <v>879</v>
      </c>
      <c r="F29400">
        <v>7.3098196202464103E-9</v>
      </c>
      <c r="G29400">
        <v>11455818</v>
      </c>
      <c r="H29400">
        <v>13098972</v>
      </c>
      <c r="I29400">
        <v>12109048</v>
      </c>
      <c r="J29400">
        <v>2</v>
      </c>
    </row>
    <row r="29401" spans="1:10" x14ac:dyDescent="0.25">
      <c r="A29401" t="s">
        <v>333</v>
      </c>
      <c r="B29401" s="1" t="str">
        <f>HYPERLINK("http://concur.co.uk","concur.co.uk")</f>
        <v>concur.co.uk</v>
      </c>
      <c r="C29401" t="s">
        <v>506</v>
      </c>
      <c r="D29401" t="s">
        <v>880</v>
      </c>
      <c r="E29401">
        <v>459929</v>
      </c>
      <c r="F29401">
        <v>1.5443410187413799E-7</v>
      </c>
      <c r="G29401">
        <v>251498</v>
      </c>
      <c r="H29401">
        <v>16782400</v>
      </c>
      <c r="I29401">
        <v>215627</v>
      </c>
      <c r="J29401">
        <v>3</v>
      </c>
    </row>
    <row r="29402" spans="1:10" x14ac:dyDescent="0.25">
      <c r="A29402" t="s">
        <v>333</v>
      </c>
      <c r="B29402" s="1" t="str">
        <f>HYPERLINK("http://concur.co.za","concur.co.za")</f>
        <v>concur.co.za</v>
      </c>
      <c r="C29402" t="s">
        <v>510</v>
      </c>
      <c r="D29402" t="s">
        <v>884</v>
      </c>
      <c r="F29402">
        <v>2.0133108508323699E-8</v>
      </c>
      <c r="G29402">
        <v>2638808</v>
      </c>
      <c r="H29402">
        <v>13117979</v>
      </c>
      <c r="I29402">
        <v>12001474</v>
      </c>
      <c r="J29402">
        <v>3</v>
      </c>
    </row>
    <row r="29403" spans="1:10" x14ac:dyDescent="0.25">
      <c r="A29403" t="s">
        <v>334</v>
      </c>
      <c r="B29403" s="1" t="str">
        <f>HYPERLINK("http://skhynix.com.cn","skhynix.com.cn")</f>
        <v>skhynix.com.cn</v>
      </c>
      <c r="C29403" t="s">
        <v>431</v>
      </c>
      <c r="D29403" t="s">
        <v>812</v>
      </c>
      <c r="F29403">
        <v>3.4447879365961501E-8</v>
      </c>
      <c r="G29403">
        <v>1505671</v>
      </c>
      <c r="H29403">
        <v>13166819</v>
      </c>
      <c r="I29403">
        <v>11737070</v>
      </c>
      <c r="J29403">
        <v>2</v>
      </c>
    </row>
    <row r="29404" spans="1:10" x14ac:dyDescent="0.25">
      <c r="A29404" t="s">
        <v>334</v>
      </c>
      <c r="B29404" s="1" t="str">
        <f>HYPERLINK("http://011st.com","011st.com")</f>
        <v>011st.com</v>
      </c>
      <c r="C29404" t="s">
        <v>433</v>
      </c>
      <c r="E29404">
        <v>133894</v>
      </c>
      <c r="F29404">
        <v>1.21280245590609E-7</v>
      </c>
      <c r="G29404">
        <v>325649</v>
      </c>
      <c r="H29404">
        <v>13800769</v>
      </c>
      <c r="I29404">
        <v>6277614</v>
      </c>
      <c r="J29404">
        <v>6</v>
      </c>
    </row>
    <row r="29405" spans="1:10" x14ac:dyDescent="0.25">
      <c r="A29405" t="s">
        <v>334</v>
      </c>
      <c r="B29405" s="1" t="str">
        <f>HYPERLINK("http://11street.com","11street.com")</f>
        <v>11street.com</v>
      </c>
      <c r="C29405" t="s">
        <v>433</v>
      </c>
      <c r="F29405">
        <v>2.59704644348194E-8</v>
      </c>
      <c r="G29405">
        <v>1984030</v>
      </c>
      <c r="H29405">
        <v>13766344</v>
      </c>
      <c r="I29405">
        <v>7013258</v>
      </c>
      <c r="J29405">
        <v>6</v>
      </c>
    </row>
    <row r="29406" spans="1:10" x14ac:dyDescent="0.25">
      <c r="A29406" t="s">
        <v>334</v>
      </c>
      <c r="B29406" s="1" t="str">
        <f>HYPERLINK("http://amitok.com","amitok.com")</f>
        <v>amitok.com</v>
      </c>
      <c r="C29406" t="s">
        <v>433</v>
      </c>
      <c r="J29406">
        <v>2</v>
      </c>
    </row>
    <row r="29407" spans="1:10" x14ac:dyDescent="0.25">
      <c r="A29407" t="s">
        <v>334</v>
      </c>
      <c r="B29407" s="1" t="str">
        <f>HYPERLINK("http://astellnkern.com","astellnkern.com")</f>
        <v>astellnkern.com</v>
      </c>
      <c r="C29407" t="s">
        <v>433</v>
      </c>
      <c r="E29407">
        <v>337407</v>
      </c>
      <c r="F29407">
        <v>1.31488492678744E-7</v>
      </c>
      <c r="G29407">
        <v>297368</v>
      </c>
      <c r="H29407">
        <v>14130723</v>
      </c>
      <c r="I29407">
        <v>2024670</v>
      </c>
      <c r="J29407">
        <v>5</v>
      </c>
    </row>
    <row r="29408" spans="1:10" x14ac:dyDescent="0.25">
      <c r="A29408" t="s">
        <v>334</v>
      </c>
      <c r="B29408" s="1" t="str">
        <f>HYPERLINK("http://happynarae.com","happynarae.com")</f>
        <v>happynarae.com</v>
      </c>
      <c r="C29408" t="s">
        <v>433</v>
      </c>
      <c r="F29408">
        <v>1.5663505201276401E-8</v>
      </c>
      <c r="G29408">
        <v>3637561</v>
      </c>
      <c r="H29408">
        <v>12944442</v>
      </c>
      <c r="I29408">
        <v>13248319</v>
      </c>
      <c r="J29408">
        <v>4</v>
      </c>
    </row>
    <row r="29409" spans="1:10" x14ac:dyDescent="0.25">
      <c r="A29409" t="s">
        <v>334</v>
      </c>
      <c r="B29409" s="1" t="str">
        <f>HYPERLINK("http://hynix.com","hynix.com")</f>
        <v>hynix.com</v>
      </c>
      <c r="C29409" t="s">
        <v>433</v>
      </c>
      <c r="E29409">
        <v>296012</v>
      </c>
      <c r="F29409">
        <v>7.6579225872455406E-8</v>
      </c>
      <c r="G29409">
        <v>547555</v>
      </c>
      <c r="H29409">
        <v>14609129</v>
      </c>
      <c r="I29409">
        <v>679512</v>
      </c>
      <c r="J29409">
        <v>3</v>
      </c>
    </row>
    <row r="29410" spans="1:10" x14ac:dyDescent="0.25">
      <c r="A29410" t="s">
        <v>334</v>
      </c>
      <c r="B29410" s="1" t="str">
        <f>HYPERLINK("http://hystec.com","hystec.com")</f>
        <v>hystec.com</v>
      </c>
      <c r="C29410" t="s">
        <v>433</v>
      </c>
      <c r="F29410">
        <v>4.44381528729671E-9</v>
      </c>
      <c r="G29410">
        <v>79371649</v>
      </c>
      <c r="H29410">
        <v>10358497</v>
      </c>
      <c r="I29410">
        <v>55361609</v>
      </c>
      <c r="J29410">
        <v>3</v>
      </c>
    </row>
    <row r="29411" spans="1:10" x14ac:dyDescent="0.25">
      <c r="A29411" t="s">
        <v>334</v>
      </c>
      <c r="B29411" s="1" t="str">
        <f>HYPERLINK("http://iriver.com","iriver.com")</f>
        <v>iriver.com</v>
      </c>
      <c r="C29411" t="s">
        <v>433</v>
      </c>
      <c r="E29411">
        <v>366493</v>
      </c>
      <c r="F29411">
        <v>3.4465987660121402E-7</v>
      </c>
      <c r="G29411">
        <v>108352</v>
      </c>
      <c r="H29411">
        <v>14867260</v>
      </c>
      <c r="I29411">
        <v>480874</v>
      </c>
      <c r="J29411">
        <v>5</v>
      </c>
    </row>
    <row r="29412" spans="1:10" x14ac:dyDescent="0.25">
      <c r="A29412" t="s">
        <v>334</v>
      </c>
      <c r="B29412" s="1" t="str">
        <f>HYPERLINK("http://mobilebtv.com","mobilebtv.com")</f>
        <v>mobilebtv.com</v>
      </c>
      <c r="C29412" t="s">
        <v>433</v>
      </c>
      <c r="F29412">
        <v>8.3137106348340707E-9</v>
      </c>
      <c r="G29412">
        <v>9225869</v>
      </c>
      <c r="H29412">
        <v>12659522</v>
      </c>
      <c r="I29412">
        <v>15724311</v>
      </c>
      <c r="J29412">
        <v>7</v>
      </c>
    </row>
    <row r="29413" spans="1:10" x14ac:dyDescent="0.25">
      <c r="A29413" t="s">
        <v>334</v>
      </c>
      <c r="B29413" s="1" t="str">
        <f>HYPERLINK("http://sam-kang.com","sam-kang.com")</f>
        <v>sam-kang.com</v>
      </c>
      <c r="C29413" t="s">
        <v>433</v>
      </c>
      <c r="F29413">
        <v>1.1818410582642701E-8</v>
      </c>
      <c r="G29413">
        <v>5290580</v>
      </c>
      <c r="H29413">
        <v>12432843</v>
      </c>
      <c r="I29413">
        <v>18256077</v>
      </c>
      <c r="J29413">
        <v>11</v>
      </c>
    </row>
    <row r="29414" spans="1:10" x14ac:dyDescent="0.25">
      <c r="A29414" t="s">
        <v>334</v>
      </c>
      <c r="B29414" s="1" t="str">
        <f>HYPERLINK("http://sk.com","sk.com")</f>
        <v>sk.com</v>
      </c>
      <c r="C29414" t="s">
        <v>433</v>
      </c>
      <c r="E29414">
        <v>163122</v>
      </c>
      <c r="F29414">
        <v>2.1581591025716799E-7</v>
      </c>
      <c r="G29414">
        <v>174795</v>
      </c>
      <c r="H29414">
        <v>14426533</v>
      </c>
      <c r="I29414">
        <v>1078860</v>
      </c>
      <c r="J29414">
        <v>3</v>
      </c>
    </row>
    <row r="29415" spans="1:10" x14ac:dyDescent="0.25">
      <c r="A29415" t="s">
        <v>334</v>
      </c>
      <c r="B29415" s="1" t="str">
        <f>HYPERLINK("http://sk-inc.com","sk-inc.com")</f>
        <v>sk-inc.com</v>
      </c>
      <c r="C29415" t="s">
        <v>433</v>
      </c>
      <c r="F29415">
        <v>3.38212466952264E-8</v>
      </c>
      <c r="G29415">
        <v>1530025</v>
      </c>
      <c r="H29415">
        <v>14045951</v>
      </c>
      <c r="I29415">
        <v>3900281</v>
      </c>
      <c r="J29415">
        <v>4</v>
      </c>
    </row>
    <row r="29416" spans="1:10" x14ac:dyDescent="0.25">
      <c r="A29416" t="s">
        <v>334</v>
      </c>
      <c r="B29416" s="1" t="str">
        <f>HYPERLINK("http://sk-iptv.com","sk-iptv.com")</f>
        <v>sk-iptv.com</v>
      </c>
      <c r="C29416" t="s">
        <v>433</v>
      </c>
      <c r="J29416">
        <v>8</v>
      </c>
    </row>
    <row r="29417" spans="1:10" x14ac:dyDescent="0.25">
      <c r="A29417" t="s">
        <v>334</v>
      </c>
      <c r="B29417" s="1" t="str">
        <f>HYPERLINK("http://sk-materials.com","sk-materials.com")</f>
        <v>sk-materials.com</v>
      </c>
      <c r="C29417" t="s">
        <v>433</v>
      </c>
      <c r="F29417">
        <v>2.3397477101241601E-8</v>
      </c>
      <c r="G29417">
        <v>2226017</v>
      </c>
      <c r="H29417">
        <v>13765201</v>
      </c>
      <c r="I29417">
        <v>7129896</v>
      </c>
      <c r="J29417">
        <v>8</v>
      </c>
    </row>
    <row r="29418" spans="1:10" x14ac:dyDescent="0.25">
      <c r="A29418" t="s">
        <v>334</v>
      </c>
      <c r="B29418" s="1" t="str">
        <f>HYPERLINK("http://skbroadband.com","skbroadband.com")</f>
        <v>skbroadband.com</v>
      </c>
      <c r="C29418" t="s">
        <v>433</v>
      </c>
      <c r="E29418">
        <v>87346</v>
      </c>
      <c r="F29418">
        <v>3.4083663774050898E-7</v>
      </c>
      <c r="G29418">
        <v>109509</v>
      </c>
      <c r="H29418">
        <v>14526869</v>
      </c>
      <c r="I29418">
        <v>793565</v>
      </c>
      <c r="J29418">
        <v>5</v>
      </c>
    </row>
    <row r="29419" spans="1:10" x14ac:dyDescent="0.25">
      <c r="A29419" t="s">
        <v>334</v>
      </c>
      <c r="B29419" s="1" t="str">
        <f>HYPERLINK("http://skcc.com","skcc.com")</f>
        <v>skcc.com</v>
      </c>
      <c r="C29419" t="s">
        <v>433</v>
      </c>
      <c r="E29419">
        <v>147427</v>
      </c>
      <c r="F29419">
        <v>3.6949207878548203E-8</v>
      </c>
      <c r="G29419">
        <v>1405978</v>
      </c>
      <c r="H29419">
        <v>14187643</v>
      </c>
      <c r="I29419">
        <v>1765844</v>
      </c>
      <c r="J29419">
        <v>6</v>
      </c>
    </row>
    <row r="29420" spans="1:10" x14ac:dyDescent="0.25">
      <c r="A29420" t="s">
        <v>334</v>
      </c>
      <c r="B29420" s="1" t="str">
        <f>HYPERLINK("http://skchtm.com","skchtm.com")</f>
        <v>skchtm.com</v>
      </c>
      <c r="C29420" t="s">
        <v>433</v>
      </c>
      <c r="F29420">
        <v>9.1282003048555304E-9</v>
      </c>
      <c r="G29420">
        <v>7808164</v>
      </c>
      <c r="H29420">
        <v>12266326</v>
      </c>
      <c r="I29420">
        <v>21610718</v>
      </c>
      <c r="J29420">
        <v>8</v>
      </c>
    </row>
    <row r="29421" spans="1:10" x14ac:dyDescent="0.25">
      <c r="A29421" t="s">
        <v>334</v>
      </c>
      <c r="B29421" s="1" t="str">
        <f>HYPERLINK("http://skcsolmics.com","skcsolmics.com")</f>
        <v>skcsolmics.com</v>
      </c>
      <c r="C29421" t="s">
        <v>433</v>
      </c>
      <c r="F29421">
        <v>7.54422345423184E-9</v>
      </c>
      <c r="G29421">
        <v>10917418</v>
      </c>
      <c r="H29421">
        <v>10516035</v>
      </c>
      <c r="I29421">
        <v>49206818</v>
      </c>
      <c r="J29421">
        <v>8</v>
      </c>
    </row>
    <row r="29422" spans="1:10" x14ac:dyDescent="0.25">
      <c r="A29422" t="s">
        <v>334</v>
      </c>
      <c r="B29422" s="1" t="str">
        <f>HYPERLINK("http://skenergy.com","skenergy.com")</f>
        <v>skenergy.com</v>
      </c>
      <c r="C29422" t="s">
        <v>433</v>
      </c>
      <c r="F29422">
        <v>6.1917618231838003E-8</v>
      </c>
      <c r="G29422">
        <v>710231</v>
      </c>
      <c r="H29422">
        <v>14090733</v>
      </c>
      <c r="I29422">
        <v>2748219</v>
      </c>
      <c r="J29422">
        <v>6</v>
      </c>
    </row>
    <row r="29423" spans="1:10" x14ac:dyDescent="0.25">
      <c r="A29423" t="s">
        <v>334</v>
      </c>
      <c r="B29423" s="1" t="str">
        <f>HYPERLINK("http://skens.com","skens.com")</f>
        <v>skens.com</v>
      </c>
      <c r="C29423" t="s">
        <v>433</v>
      </c>
      <c r="F29423">
        <v>7.2927417523418801E-8</v>
      </c>
      <c r="G29423">
        <v>578282</v>
      </c>
      <c r="H29423">
        <v>14095828</v>
      </c>
      <c r="I29423">
        <v>2727709</v>
      </c>
      <c r="J29423">
        <v>8</v>
      </c>
    </row>
    <row r="29424" spans="1:10" x14ac:dyDescent="0.25">
      <c r="A29424" t="s">
        <v>334</v>
      </c>
      <c r="B29424" s="1" t="str">
        <f>HYPERLINK("http://skglobalchemical.com","skglobalchemical.com")</f>
        <v>skglobalchemical.com</v>
      </c>
      <c r="C29424" t="s">
        <v>433</v>
      </c>
      <c r="F29424">
        <v>1.89756647221503E-8</v>
      </c>
      <c r="G29424">
        <v>2840221</v>
      </c>
      <c r="H29424">
        <v>14076242</v>
      </c>
      <c r="I29424">
        <v>2891568</v>
      </c>
      <c r="J29424">
        <v>8</v>
      </c>
    </row>
    <row r="29425" spans="1:10" x14ac:dyDescent="0.25">
      <c r="A29425" t="s">
        <v>334</v>
      </c>
      <c r="B29425" s="1" t="str">
        <f>HYPERLINK("http://skgoodcar.com","skgoodcar.com")</f>
        <v>skgoodcar.com</v>
      </c>
      <c r="C29425" t="s">
        <v>433</v>
      </c>
      <c r="F29425">
        <v>4.4478245617433598E-9</v>
      </c>
      <c r="G29425">
        <v>73248655</v>
      </c>
      <c r="H29425">
        <v>11974014</v>
      </c>
      <c r="I29425">
        <v>28652654</v>
      </c>
      <c r="J29425">
        <v>10</v>
      </c>
    </row>
    <row r="29426" spans="1:10" x14ac:dyDescent="0.25">
      <c r="A29426" t="s">
        <v>334</v>
      </c>
      <c r="B29426" s="1" t="str">
        <f>HYPERLINK("http://skhyeng.com","skhyeng.com")</f>
        <v>skhyeng.com</v>
      </c>
      <c r="C29426" t="s">
        <v>433</v>
      </c>
      <c r="F29426">
        <v>8.2579709196947593E-9</v>
      </c>
      <c r="G29426">
        <v>9357679</v>
      </c>
      <c r="H29426">
        <v>12090644</v>
      </c>
      <c r="I29426">
        <v>26232890</v>
      </c>
      <c r="J29426">
        <v>2</v>
      </c>
    </row>
    <row r="29427" spans="1:10" x14ac:dyDescent="0.25">
      <c r="A29427" t="s">
        <v>334</v>
      </c>
      <c r="B29427" s="1" t="str">
        <f>HYPERLINK("http://skhynix.com","skhynix.com")</f>
        <v>skhynix.com</v>
      </c>
      <c r="C29427" t="s">
        <v>433</v>
      </c>
      <c r="E29427">
        <v>70940</v>
      </c>
      <c r="F29427">
        <v>6.5269380529208596E-7</v>
      </c>
      <c r="G29427">
        <v>58987</v>
      </c>
      <c r="H29427">
        <v>15308619</v>
      </c>
      <c r="I29427">
        <v>385417</v>
      </c>
      <c r="J29427">
        <v>1</v>
      </c>
    </row>
    <row r="29428" spans="1:10" x14ac:dyDescent="0.25">
      <c r="A29428" t="s">
        <v>334</v>
      </c>
      <c r="B29428" s="1" t="str">
        <f>HYPERLINK("http://skhystec.com","skhystec.com")</f>
        <v>skhystec.com</v>
      </c>
      <c r="C29428" t="s">
        <v>433</v>
      </c>
      <c r="E29428">
        <v>722682</v>
      </c>
      <c r="F29428">
        <v>6.45503525097125E-9</v>
      </c>
      <c r="G29428">
        <v>14271583</v>
      </c>
      <c r="H29428">
        <v>10384916</v>
      </c>
      <c r="I29428">
        <v>54474254</v>
      </c>
      <c r="J29428">
        <v>2</v>
      </c>
    </row>
    <row r="29429" spans="1:10" x14ac:dyDescent="0.25">
      <c r="A29429" t="s">
        <v>334</v>
      </c>
      <c r="B29429" s="1" t="str">
        <f>HYPERLINK("http://skietechnology.com","skietechnology.com")</f>
        <v>skietechnology.com</v>
      </c>
      <c r="C29429" t="s">
        <v>433</v>
      </c>
      <c r="F29429">
        <v>2.6628074457764E-8</v>
      </c>
      <c r="G29429">
        <v>1933179</v>
      </c>
      <c r="H29429">
        <v>14073593</v>
      </c>
      <c r="I29429">
        <v>2983679</v>
      </c>
      <c r="J29429">
        <v>8</v>
      </c>
    </row>
    <row r="29430" spans="1:10" x14ac:dyDescent="0.25">
      <c r="A29430" t="s">
        <v>334</v>
      </c>
      <c r="B29430" s="1" t="str">
        <f>HYPERLINK("http://skincheonpetrochem.com","skincheonpetrochem.com")</f>
        <v>skincheonpetrochem.com</v>
      </c>
      <c r="C29430" t="s">
        <v>433</v>
      </c>
      <c r="F29430">
        <v>2.5429872284789701E-8</v>
      </c>
      <c r="G29430">
        <v>2028597</v>
      </c>
      <c r="H29430">
        <v>14081033</v>
      </c>
      <c r="I29430">
        <v>2814158</v>
      </c>
      <c r="J29430">
        <v>6</v>
      </c>
    </row>
    <row r="29431" spans="1:10" x14ac:dyDescent="0.25">
      <c r="A29431" t="s">
        <v>334</v>
      </c>
      <c r="B29431" s="1" t="str">
        <f>HYPERLINK("http://skinnovation.com","skinnovation.com")</f>
        <v>skinnovation.com</v>
      </c>
      <c r="C29431" t="s">
        <v>433</v>
      </c>
      <c r="E29431">
        <v>278282</v>
      </c>
      <c r="F29431">
        <v>1.15407746771405E-7</v>
      </c>
      <c r="G29431">
        <v>344791</v>
      </c>
      <c r="H29431">
        <v>14526969</v>
      </c>
      <c r="I29431">
        <v>793399</v>
      </c>
      <c r="J29431">
        <v>5</v>
      </c>
    </row>
    <row r="29432" spans="1:10" x14ac:dyDescent="0.25">
      <c r="A29432" t="s">
        <v>334</v>
      </c>
      <c r="B29432" s="1" t="str">
        <f>HYPERLINK("http://sklifescienceinc.com","sklifescienceinc.com")</f>
        <v>sklifescienceinc.com</v>
      </c>
      <c r="C29432" t="s">
        <v>433</v>
      </c>
      <c r="F29432">
        <v>4.0076832895725101E-8</v>
      </c>
      <c r="G29432">
        <v>1290193</v>
      </c>
      <c r="H29432">
        <v>13263946</v>
      </c>
      <c r="I29432">
        <v>11019565</v>
      </c>
      <c r="J29432">
        <v>9</v>
      </c>
    </row>
    <row r="29433" spans="1:10" x14ac:dyDescent="0.25">
      <c r="A29433" t="s">
        <v>334</v>
      </c>
      <c r="B29433" s="1" t="str">
        <f>HYPERLINK("http://sklubricants.com","sklubricants.com")</f>
        <v>sklubricants.com</v>
      </c>
      <c r="C29433" t="s">
        <v>433</v>
      </c>
      <c r="F29433">
        <v>3.2113181297137801E-8</v>
      </c>
      <c r="G29433">
        <v>1610236</v>
      </c>
      <c r="H29433">
        <v>14071890</v>
      </c>
      <c r="I29433">
        <v>3239589</v>
      </c>
      <c r="J29433">
        <v>8</v>
      </c>
    </row>
    <row r="29434" spans="1:10" x14ac:dyDescent="0.25">
      <c r="A29434" t="s">
        <v>334</v>
      </c>
      <c r="B29434" s="1" t="str">
        <f>HYPERLINK("http://sknetworks.com","sknetworks.com")</f>
        <v>sknetworks.com</v>
      </c>
      <c r="C29434" t="s">
        <v>433</v>
      </c>
      <c r="E29434">
        <v>392512</v>
      </c>
      <c r="F29434">
        <v>8.2334868374155096E-9</v>
      </c>
      <c r="G29434">
        <v>9423060</v>
      </c>
      <c r="H29434">
        <v>11165198</v>
      </c>
      <c r="I29434">
        <v>31580757</v>
      </c>
      <c r="J29434">
        <v>9</v>
      </c>
    </row>
    <row r="29435" spans="1:10" x14ac:dyDescent="0.25">
      <c r="A29435" t="s">
        <v>334</v>
      </c>
      <c r="B29435" s="1" t="str">
        <f>HYPERLINK("http://skplanet.com","skplanet.com")</f>
        <v>skplanet.com</v>
      </c>
      <c r="C29435" t="s">
        <v>433</v>
      </c>
      <c r="E29435">
        <v>25956</v>
      </c>
      <c r="F29435">
        <v>2.3480551958641599E-7</v>
      </c>
      <c r="G29435">
        <v>159646</v>
      </c>
      <c r="H29435">
        <v>14939792</v>
      </c>
      <c r="I29435">
        <v>444078</v>
      </c>
      <c r="J29435">
        <v>5</v>
      </c>
    </row>
    <row r="29436" spans="1:10" x14ac:dyDescent="0.25">
      <c r="A29436" t="s">
        <v>334</v>
      </c>
      <c r="B29436" s="1" t="str">
        <f>HYPERLINK("http://sktcalendar.com","sktcalendar.com")</f>
        <v>sktcalendar.com</v>
      </c>
      <c r="C29436" t="s">
        <v>433</v>
      </c>
      <c r="J29436">
        <v>5</v>
      </c>
    </row>
    <row r="29437" spans="1:10" x14ac:dyDescent="0.25">
      <c r="A29437" t="s">
        <v>334</v>
      </c>
      <c r="B29437" s="1" t="str">
        <f>HYPERLINK("http://sktcms.com","sktcms.com")</f>
        <v>sktcms.com</v>
      </c>
      <c r="C29437" t="s">
        <v>433</v>
      </c>
      <c r="J29437">
        <v>10</v>
      </c>
    </row>
    <row r="29438" spans="1:10" x14ac:dyDescent="0.25">
      <c r="A29438" t="s">
        <v>334</v>
      </c>
      <c r="B29438" s="1" t="str">
        <f>HYPERLINK("http://sktelecom.com","sktelecom.com")</f>
        <v>sktelecom.com</v>
      </c>
      <c r="C29438" t="s">
        <v>433</v>
      </c>
      <c r="E29438">
        <v>45845</v>
      </c>
      <c r="F29438">
        <v>1.0121908717870499E-6</v>
      </c>
      <c r="G29438">
        <v>37815</v>
      </c>
      <c r="H29438">
        <v>17270160</v>
      </c>
      <c r="I29438">
        <v>31338</v>
      </c>
      <c r="J29438">
        <v>4</v>
      </c>
    </row>
    <row r="29439" spans="1:10" x14ac:dyDescent="0.25">
      <c r="A29439" t="s">
        <v>334</v>
      </c>
      <c r="B29439" s="1" t="str">
        <f>HYPERLINK("http://sktmdm.com","sktmdm.com")</f>
        <v>sktmdm.com</v>
      </c>
      <c r="C29439" t="s">
        <v>433</v>
      </c>
      <c r="J29439">
        <v>5</v>
      </c>
    </row>
    <row r="29440" spans="1:10" x14ac:dyDescent="0.25">
      <c r="A29440" t="s">
        <v>334</v>
      </c>
      <c r="B29440" s="1" t="str">
        <f>HYPERLINK("http://sktns.com","sktns.com")</f>
        <v>sktns.com</v>
      </c>
      <c r="C29440" t="s">
        <v>433</v>
      </c>
      <c r="F29440">
        <v>5.5687037357134104E-9</v>
      </c>
      <c r="G29440">
        <v>20190982</v>
      </c>
      <c r="H29440">
        <v>12165550</v>
      </c>
      <c r="I29440">
        <v>24183563</v>
      </c>
      <c r="J29440">
        <v>10</v>
      </c>
    </row>
    <row r="29441" spans="1:10" x14ac:dyDescent="0.25">
      <c r="A29441" t="s">
        <v>334</v>
      </c>
      <c r="B29441" s="1" t="str">
        <f>HYPERLINK("http://speedmate.com","speedmate.com")</f>
        <v>speedmate.com</v>
      </c>
      <c r="C29441" t="s">
        <v>433</v>
      </c>
      <c r="F29441">
        <v>2.75581882288948E-8</v>
      </c>
      <c r="G29441">
        <v>1865520</v>
      </c>
      <c r="H29441">
        <v>13774815</v>
      </c>
      <c r="I29441">
        <v>6595869</v>
      </c>
      <c r="J29441">
        <v>10</v>
      </c>
    </row>
    <row r="29442" spans="1:10" x14ac:dyDescent="0.25">
      <c r="A29442" t="s">
        <v>334</v>
      </c>
      <c r="B29442" s="1" t="str">
        <f>HYPERLINK("http://teafone.com","teafone.com")</f>
        <v>teafone.com</v>
      </c>
      <c r="C29442" t="s">
        <v>433</v>
      </c>
      <c r="E29442">
        <v>373887</v>
      </c>
      <c r="F29442">
        <v>4.4438792664507996E-9</v>
      </c>
      <c r="G29442">
        <v>78076054</v>
      </c>
      <c r="H29442">
        <v>11957340</v>
      </c>
      <c r="I29442">
        <v>29013816</v>
      </c>
      <c r="J29442">
        <v>6</v>
      </c>
    </row>
    <row r="29443" spans="1:10" x14ac:dyDescent="0.25">
      <c r="A29443" t="s">
        <v>334</v>
      </c>
      <c r="B29443" s="1" t="str">
        <f>HYPERLINK("http://wavve.com","wavve.com")</f>
        <v>wavve.com</v>
      </c>
      <c r="C29443" t="s">
        <v>433</v>
      </c>
      <c r="E29443">
        <v>24373</v>
      </c>
      <c r="F29443">
        <v>1.41370400955245E-7</v>
      </c>
      <c r="G29443">
        <v>275469</v>
      </c>
      <c r="H29443">
        <v>15025226</v>
      </c>
      <c r="I29443">
        <v>419745</v>
      </c>
      <c r="J29443">
        <v>5</v>
      </c>
    </row>
    <row r="29444" spans="1:10" x14ac:dyDescent="0.25">
      <c r="A29444" t="s">
        <v>334</v>
      </c>
      <c r="B29444" s="1" t="str">
        <f>HYPERLINK("http://astell-kern.de","astell-kern.de")</f>
        <v>astell-kern.de</v>
      </c>
      <c r="C29444" t="s">
        <v>436</v>
      </c>
      <c r="D29444" t="s">
        <v>815</v>
      </c>
      <c r="F29444">
        <v>1.1276905764243701E-8</v>
      </c>
      <c r="G29444">
        <v>5658584</v>
      </c>
      <c r="H29444">
        <v>12573175</v>
      </c>
      <c r="I29444">
        <v>16597319</v>
      </c>
      <c r="J29444">
        <v>5</v>
      </c>
    </row>
    <row r="29445" spans="1:10" x14ac:dyDescent="0.25">
      <c r="A29445" t="s">
        <v>334</v>
      </c>
      <c r="B29445" s="1" t="str">
        <f>HYPERLINK("http://initial.id","initial.id")</f>
        <v>initial.id</v>
      </c>
      <c r="C29445" t="s">
        <v>454</v>
      </c>
      <c r="D29445" t="s">
        <v>831</v>
      </c>
      <c r="F29445">
        <v>9.2829731808590994E-9</v>
      </c>
      <c r="G29445">
        <v>7594771</v>
      </c>
      <c r="H29445">
        <v>12091730</v>
      </c>
      <c r="I29445">
        <v>26197589</v>
      </c>
      <c r="J29445">
        <v>5</v>
      </c>
    </row>
    <row r="29446" spans="1:10" x14ac:dyDescent="0.25">
      <c r="A29446" t="s">
        <v>334</v>
      </c>
      <c r="B29446" s="1" t="str">
        <f>HYPERLINK("http://apollo-ai.io","apollo-ai.io")</f>
        <v>apollo-ai.io</v>
      </c>
      <c r="C29446" t="s">
        <v>518</v>
      </c>
      <c r="J29446">
        <v>5</v>
      </c>
    </row>
    <row r="29447" spans="1:10" x14ac:dyDescent="0.25">
      <c r="A29447" t="s">
        <v>334</v>
      </c>
      <c r="B29447" s="1" t="str">
        <f>HYPERLINK("http://100letter.co.kr","100letter.co.kr")</f>
        <v>100letter.co.kr</v>
      </c>
      <c r="C29447" t="s">
        <v>463</v>
      </c>
      <c r="D29447" t="s">
        <v>839</v>
      </c>
      <c r="J29447">
        <v>5</v>
      </c>
    </row>
    <row r="29448" spans="1:10" x14ac:dyDescent="0.25">
      <c r="A29448" t="s">
        <v>334</v>
      </c>
      <c r="B29448" s="1" t="str">
        <f>HYPERLINK("http://11st.co.kr","11st.co.kr")</f>
        <v>11st.co.kr</v>
      </c>
      <c r="C29448" t="s">
        <v>463</v>
      </c>
      <c r="D29448" t="s">
        <v>839</v>
      </c>
      <c r="E29448">
        <v>4399</v>
      </c>
      <c r="F29448">
        <v>8.7299391789101704E-7</v>
      </c>
      <c r="G29448">
        <v>45892</v>
      </c>
      <c r="H29448">
        <v>17248628</v>
      </c>
      <c r="I29448">
        <v>34165</v>
      </c>
      <c r="J29448">
        <v>4</v>
      </c>
    </row>
    <row r="29449" spans="1:10" x14ac:dyDescent="0.25">
      <c r="A29449" t="s">
        <v>334</v>
      </c>
      <c r="B29449" s="1" t="str">
        <f>HYPERLINK("http://btvplus.co.kr","btvplus.co.kr")</f>
        <v>btvplus.co.kr</v>
      </c>
      <c r="C29449" t="s">
        <v>463</v>
      </c>
      <c r="D29449" t="s">
        <v>839</v>
      </c>
      <c r="F29449">
        <v>4.4850059414145298E-9</v>
      </c>
      <c r="G29449">
        <v>61396641</v>
      </c>
      <c r="H29449">
        <v>10550492</v>
      </c>
      <c r="I29449">
        <v>46691244</v>
      </c>
      <c r="J29449">
        <v>7</v>
      </c>
    </row>
    <row r="29450" spans="1:10" x14ac:dyDescent="0.25">
      <c r="A29450" t="s">
        <v>334</v>
      </c>
      <c r="B29450" s="1" t="str">
        <f>HYPERLINK("http://gofms.co.kr","gofms.co.kr")</f>
        <v>gofms.co.kr</v>
      </c>
      <c r="C29450" t="s">
        <v>463</v>
      </c>
      <c r="D29450" t="s">
        <v>839</v>
      </c>
      <c r="J29450">
        <v>10</v>
      </c>
    </row>
    <row r="29451" spans="1:10" x14ac:dyDescent="0.25">
      <c r="A29451" t="s">
        <v>334</v>
      </c>
      <c r="B29451" s="1" t="str">
        <f>HYPERLINK("http://happy-more.co.kr","happy-more.co.kr")</f>
        <v>happy-more.co.kr</v>
      </c>
      <c r="C29451" t="s">
        <v>463</v>
      </c>
      <c r="D29451" t="s">
        <v>839</v>
      </c>
      <c r="F29451">
        <v>5.1445397123597199E-9</v>
      </c>
      <c r="G29451">
        <v>26181900</v>
      </c>
      <c r="H29451">
        <v>9873467</v>
      </c>
      <c r="I29451">
        <v>61941983</v>
      </c>
      <c r="J29451">
        <v>2</v>
      </c>
    </row>
    <row r="29452" spans="1:10" x14ac:dyDescent="0.25">
      <c r="A29452" t="s">
        <v>334</v>
      </c>
      <c r="B29452" s="1" t="str">
        <f>HYPERLINK("http://happynarae.co.kr","happynarae.co.kr")</f>
        <v>happynarae.co.kr</v>
      </c>
      <c r="C29452" t="s">
        <v>463</v>
      </c>
      <c r="D29452" t="s">
        <v>839</v>
      </c>
      <c r="F29452">
        <v>1.2203218383132899E-8</v>
      </c>
      <c r="G29452">
        <v>5048668</v>
      </c>
      <c r="H29452">
        <v>13364121</v>
      </c>
      <c r="I29452">
        <v>10493917</v>
      </c>
      <c r="J29452">
        <v>5</v>
      </c>
    </row>
    <row r="29453" spans="1:10" x14ac:dyDescent="0.25">
      <c r="A29453" t="s">
        <v>334</v>
      </c>
      <c r="B29453" s="1" t="str">
        <f>HYPERLINK("http://iriver.co.kr","iriver.co.kr")</f>
        <v>iriver.co.kr</v>
      </c>
      <c r="C29453" t="s">
        <v>463</v>
      </c>
      <c r="D29453" t="s">
        <v>839</v>
      </c>
      <c r="E29453">
        <v>455257</v>
      </c>
      <c r="F29453">
        <v>3.8278613464149797E-7</v>
      </c>
      <c r="G29453">
        <v>97787</v>
      </c>
      <c r="H29453">
        <v>14519065</v>
      </c>
      <c r="I29453">
        <v>807162</v>
      </c>
      <c r="J29453">
        <v>5</v>
      </c>
    </row>
    <row r="29454" spans="1:10" x14ac:dyDescent="0.25">
      <c r="A29454" t="s">
        <v>334</v>
      </c>
      <c r="B29454" s="1" t="str">
        <f>HYPERLINK("http://mro.co.kr","mro.co.kr")</f>
        <v>mro.co.kr</v>
      </c>
      <c r="C29454" t="s">
        <v>463</v>
      </c>
      <c r="D29454" t="s">
        <v>839</v>
      </c>
      <c r="J29454">
        <v>3</v>
      </c>
    </row>
    <row r="29455" spans="1:10" x14ac:dyDescent="0.25">
      <c r="A29455" t="s">
        <v>334</v>
      </c>
      <c r="B29455" s="1" t="str">
        <f>HYPERLINK("http://sk.co.kr","sk.co.kr")</f>
        <v>sk.co.kr</v>
      </c>
      <c r="C29455" t="s">
        <v>463</v>
      </c>
      <c r="D29455" t="s">
        <v>839</v>
      </c>
      <c r="E29455">
        <v>469843</v>
      </c>
      <c r="F29455">
        <v>1.9318350886515099E-7</v>
      </c>
      <c r="G29455">
        <v>199531</v>
      </c>
      <c r="H29455">
        <v>14127000</v>
      </c>
      <c r="I29455">
        <v>2090474</v>
      </c>
      <c r="J29455">
        <v>4</v>
      </c>
    </row>
    <row r="29456" spans="1:10" x14ac:dyDescent="0.25">
      <c r="A29456" t="s">
        <v>334</v>
      </c>
      <c r="B29456" s="1" t="str">
        <f>HYPERLINK("http://skcc.co.kr","skcc.co.kr")</f>
        <v>skcc.co.kr</v>
      </c>
      <c r="C29456" t="s">
        <v>463</v>
      </c>
      <c r="D29456" t="s">
        <v>839</v>
      </c>
      <c r="F29456">
        <v>5.0766589968603502E-8</v>
      </c>
      <c r="G29456">
        <v>903820</v>
      </c>
      <c r="H29456">
        <v>14250717</v>
      </c>
      <c r="I29456">
        <v>1446041</v>
      </c>
      <c r="J29456">
        <v>7</v>
      </c>
    </row>
    <row r="29457" spans="1:10" x14ac:dyDescent="0.25">
      <c r="A29457" t="s">
        <v>334</v>
      </c>
      <c r="B29457" s="1" t="str">
        <f>HYPERLINK("http://skcomms.co.kr","skcomms.co.kr")</f>
        <v>skcomms.co.kr</v>
      </c>
      <c r="C29457" t="s">
        <v>463</v>
      </c>
      <c r="D29457" t="s">
        <v>839</v>
      </c>
      <c r="E29457">
        <v>464007</v>
      </c>
      <c r="F29457">
        <v>2.90451052376607E-8</v>
      </c>
      <c r="G29457">
        <v>1772727</v>
      </c>
      <c r="H29457">
        <v>14246878</v>
      </c>
      <c r="I29457">
        <v>1459710</v>
      </c>
      <c r="J29457">
        <v>4</v>
      </c>
    </row>
    <row r="29458" spans="1:10" x14ac:dyDescent="0.25">
      <c r="A29458" t="s">
        <v>334</v>
      </c>
      <c r="B29458" s="1" t="str">
        <f>HYPERLINK("http://skec.co.kr","skec.co.kr")</f>
        <v>skec.co.kr</v>
      </c>
      <c r="C29458" t="s">
        <v>463</v>
      </c>
      <c r="D29458" t="s">
        <v>839</v>
      </c>
      <c r="E29458">
        <v>177175</v>
      </c>
      <c r="F29458">
        <v>2.66717549733492E-8</v>
      </c>
      <c r="G29458">
        <v>1929758</v>
      </c>
      <c r="H29458">
        <v>13036722</v>
      </c>
      <c r="I29458">
        <v>12635659</v>
      </c>
      <c r="J29458">
        <v>8</v>
      </c>
    </row>
    <row r="29459" spans="1:10" x14ac:dyDescent="0.25">
      <c r="A29459" t="s">
        <v>334</v>
      </c>
      <c r="B29459" s="1" t="str">
        <f>HYPERLINK("http://skfms.co.kr","skfms.co.kr")</f>
        <v>skfms.co.kr</v>
      </c>
      <c r="C29459" t="s">
        <v>463</v>
      </c>
      <c r="D29459" t="s">
        <v>839</v>
      </c>
      <c r="J29459">
        <v>10</v>
      </c>
    </row>
    <row r="29460" spans="1:10" x14ac:dyDescent="0.25">
      <c r="A29460" t="s">
        <v>334</v>
      </c>
      <c r="B29460" s="1" t="str">
        <f>HYPERLINK("http://skhynix.co.kr","skhynix.co.kr")</f>
        <v>skhynix.co.kr</v>
      </c>
      <c r="C29460" t="s">
        <v>463</v>
      </c>
      <c r="D29460" t="s">
        <v>839</v>
      </c>
      <c r="F29460">
        <v>2.2437272258579699E-8</v>
      </c>
      <c r="G29460">
        <v>2335582</v>
      </c>
      <c r="H29460">
        <v>13891863</v>
      </c>
      <c r="I29460">
        <v>5960554</v>
      </c>
      <c r="J29460">
        <v>2</v>
      </c>
    </row>
    <row r="29461" spans="1:10" x14ac:dyDescent="0.25">
      <c r="A29461" t="s">
        <v>334</v>
      </c>
      <c r="B29461" s="1" t="str">
        <f>HYPERLINK("http://skinnovation.co.kr","skinnovation.co.kr")</f>
        <v>skinnovation.co.kr</v>
      </c>
      <c r="C29461" t="s">
        <v>463</v>
      </c>
      <c r="D29461" t="s">
        <v>839</v>
      </c>
      <c r="F29461">
        <v>1.45752362389626E-8</v>
      </c>
      <c r="G29461">
        <v>3985761</v>
      </c>
      <c r="H29461">
        <v>12596679</v>
      </c>
      <c r="I29461">
        <v>16356142</v>
      </c>
      <c r="J29461">
        <v>6</v>
      </c>
    </row>
    <row r="29462" spans="1:10" x14ac:dyDescent="0.25">
      <c r="A29462" t="s">
        <v>334</v>
      </c>
      <c r="B29462" s="1" t="str">
        <f>HYPERLINK("http://sknetworks.co.kr","sknetworks.co.kr")</f>
        <v>sknetworks.co.kr</v>
      </c>
      <c r="C29462" t="s">
        <v>463</v>
      </c>
      <c r="D29462" t="s">
        <v>839</v>
      </c>
      <c r="E29462">
        <v>138740</v>
      </c>
      <c r="F29462">
        <v>5.1738988101968699E-8</v>
      </c>
      <c r="G29462">
        <v>883396</v>
      </c>
      <c r="H29462">
        <v>14095059</v>
      </c>
      <c r="I29462">
        <v>2730308</v>
      </c>
      <c r="J29462">
        <v>8</v>
      </c>
    </row>
    <row r="29463" spans="1:10" x14ac:dyDescent="0.25">
      <c r="A29463" t="s">
        <v>334</v>
      </c>
      <c r="B29463" s="1" t="str">
        <f>HYPERLINK("http://sktcms.co.kr","sktcms.co.kr")</f>
        <v>sktcms.co.kr</v>
      </c>
      <c r="C29463" t="s">
        <v>463</v>
      </c>
      <c r="D29463" t="s">
        <v>839</v>
      </c>
      <c r="J29463">
        <v>10</v>
      </c>
    </row>
    <row r="29464" spans="1:10" x14ac:dyDescent="0.25">
      <c r="A29464" t="s">
        <v>334</v>
      </c>
      <c r="B29464" s="1" t="str">
        <f>HYPERLINK("http://sktelecom.co.kr","sktelecom.co.kr")</f>
        <v>sktelecom.co.kr</v>
      </c>
      <c r="C29464" t="s">
        <v>463</v>
      </c>
      <c r="D29464" t="s">
        <v>839</v>
      </c>
      <c r="F29464">
        <v>1.5421626360625601E-8</v>
      </c>
      <c r="G29464">
        <v>3707661</v>
      </c>
      <c r="H29464">
        <v>13322020</v>
      </c>
      <c r="I29464">
        <v>10742509</v>
      </c>
      <c r="J29464">
        <v>5</v>
      </c>
    </row>
    <row r="29465" spans="1:10" x14ac:dyDescent="0.25">
      <c r="A29465" t="s">
        <v>334</v>
      </c>
      <c r="B29465" s="1" t="str">
        <f>HYPERLINK("http://smparts.co.kr","smparts.co.kr")</f>
        <v>smparts.co.kr</v>
      </c>
      <c r="C29465" t="s">
        <v>463</v>
      </c>
      <c r="D29465" t="s">
        <v>839</v>
      </c>
      <c r="J29465">
        <v>10</v>
      </c>
    </row>
    <row r="29466" spans="1:10" x14ac:dyDescent="0.25">
      <c r="A29466" t="s">
        <v>334</v>
      </c>
      <c r="B29466" s="1" t="str">
        <f>HYPERLINK("http://twifi.co.kr","twifi.co.kr")</f>
        <v>twifi.co.kr</v>
      </c>
      <c r="C29466" t="s">
        <v>463</v>
      </c>
      <c r="D29466" t="s">
        <v>839</v>
      </c>
      <c r="F29466">
        <v>9.8498483481328707E-9</v>
      </c>
      <c r="G29466">
        <v>6914269</v>
      </c>
      <c r="H29466">
        <v>12686986</v>
      </c>
      <c r="I29466">
        <v>15442528</v>
      </c>
      <c r="J29466">
        <v>5</v>
      </c>
    </row>
    <row r="29467" spans="1:10" x14ac:dyDescent="0.25">
      <c r="A29467" t="s">
        <v>334</v>
      </c>
      <c r="B29467" s="1" t="str">
        <f>HYPERLINK("http://tworld.co.kr","tworld.co.kr")</f>
        <v>tworld.co.kr</v>
      </c>
      <c r="C29467" t="s">
        <v>463</v>
      </c>
      <c r="D29467" t="s">
        <v>839</v>
      </c>
      <c r="E29467">
        <v>51907</v>
      </c>
      <c r="F29467">
        <v>5.4176272439491898E-7</v>
      </c>
      <c r="G29467">
        <v>71294</v>
      </c>
      <c r="H29467">
        <v>17169104</v>
      </c>
      <c r="I29467">
        <v>47884</v>
      </c>
      <c r="J29467">
        <v>5</v>
      </c>
    </row>
    <row r="29468" spans="1:10" x14ac:dyDescent="0.25">
      <c r="A29468" t="s">
        <v>334</v>
      </c>
      <c r="B29468" s="1" t="str">
        <f>HYPERLINK("http://k-fsg.kr","k-fsg.kr")</f>
        <v>k-fsg.kr</v>
      </c>
      <c r="C29468" t="s">
        <v>463</v>
      </c>
      <c r="D29468" t="s">
        <v>839</v>
      </c>
      <c r="J29468">
        <v>5</v>
      </c>
    </row>
    <row r="29469" spans="1:10" x14ac:dyDescent="0.25">
      <c r="A29469" t="s">
        <v>335</v>
      </c>
      <c r="B29469" s="1" t="str">
        <f>HYPERLINK("http://powerjet.aero","powerjet.aero")</f>
        <v>powerjet.aero</v>
      </c>
      <c r="C29469" t="s">
        <v>601</v>
      </c>
      <c r="E29469">
        <v>834387</v>
      </c>
      <c r="F29469">
        <v>9.1726623608681503E-9</v>
      </c>
      <c r="G29469">
        <v>7746665</v>
      </c>
      <c r="H29469">
        <v>14236474</v>
      </c>
      <c r="I29469">
        <v>1584793</v>
      </c>
      <c r="J29469">
        <v>4</v>
      </c>
    </row>
    <row r="29470" spans="1:10" x14ac:dyDescent="0.25">
      <c r="A29470" t="s">
        <v>335</v>
      </c>
      <c r="B29470" s="1" t="str">
        <f>HYPERLINK("http://optovac.com.br","optovac.com.br")</f>
        <v>optovac.com.br</v>
      </c>
      <c r="C29470" t="s">
        <v>425</v>
      </c>
      <c r="D29470" t="s">
        <v>806</v>
      </c>
      <c r="F29470">
        <v>4.4545313239581502E-9</v>
      </c>
      <c r="G29470">
        <v>69702795</v>
      </c>
      <c r="H29470">
        <v>10888670</v>
      </c>
      <c r="I29470">
        <v>36131357</v>
      </c>
      <c r="J29470">
        <v>7</v>
      </c>
    </row>
    <row r="29471" spans="1:10" x14ac:dyDescent="0.25">
      <c r="A29471" t="s">
        <v>335</v>
      </c>
      <c r="B29471" s="1" t="str">
        <f>HYPERLINK("http://safran-electronics-defense.ca","safran-electronics-defense.ca")</f>
        <v>safran-electronics-defense.ca</v>
      </c>
      <c r="C29471" t="s">
        <v>428</v>
      </c>
      <c r="D29471" t="s">
        <v>809</v>
      </c>
      <c r="J29471">
        <v>4</v>
      </c>
    </row>
    <row r="29472" spans="1:10" x14ac:dyDescent="0.25">
      <c r="A29472" t="s">
        <v>335</v>
      </c>
      <c r="B29472" s="1" t="str">
        <f>HYPERLINK("http://vectronix.ch","vectronix.ch")</f>
        <v>vectronix.ch</v>
      </c>
      <c r="C29472" t="s">
        <v>429</v>
      </c>
      <c r="D29472" t="s">
        <v>810</v>
      </c>
      <c r="F29472">
        <v>1.47247595831153E-8</v>
      </c>
      <c r="G29472">
        <v>3932416</v>
      </c>
      <c r="H29472">
        <v>14811049</v>
      </c>
      <c r="I29472">
        <v>533186</v>
      </c>
      <c r="J29472">
        <v>3</v>
      </c>
    </row>
    <row r="29473" spans="1:10" x14ac:dyDescent="0.25">
      <c r="A29473" t="s">
        <v>335</v>
      </c>
      <c r="B29473" s="1" t="str">
        <f>HYPERLINK("http://airbusafran-launchers.com","airbusafran-launchers.com")</f>
        <v>airbusafran-launchers.com</v>
      </c>
      <c r="C29473" t="s">
        <v>433</v>
      </c>
      <c r="F29473">
        <v>2.3061109330514601E-8</v>
      </c>
      <c r="G29473">
        <v>2264086</v>
      </c>
      <c r="H29473">
        <v>14488814</v>
      </c>
      <c r="I29473">
        <v>929045</v>
      </c>
      <c r="J29473">
        <v>4</v>
      </c>
    </row>
    <row r="29474" spans="1:10" x14ac:dyDescent="0.25">
      <c r="A29474" t="s">
        <v>335</v>
      </c>
      <c r="B29474" s="1" t="str">
        <f>HYPERLINK("http://aircelle.com","aircelle.com")</f>
        <v>aircelle.com</v>
      </c>
      <c r="C29474" t="s">
        <v>433</v>
      </c>
      <c r="F29474">
        <v>2.2252747895983401E-8</v>
      </c>
      <c r="G29474">
        <v>2356437</v>
      </c>
      <c r="H29474">
        <v>14777959</v>
      </c>
      <c r="I29474">
        <v>555351</v>
      </c>
      <c r="J29474">
        <v>3</v>
      </c>
    </row>
    <row r="29475" spans="1:10" x14ac:dyDescent="0.25">
      <c r="A29475" t="s">
        <v>335</v>
      </c>
      <c r="B29475" s="1" t="str">
        <f>HYPERLINK("http://arianespace.com","arianespace.com")</f>
        <v>arianespace.com</v>
      </c>
      <c r="C29475" t="s">
        <v>433</v>
      </c>
      <c r="E29475">
        <v>108054</v>
      </c>
      <c r="F29475">
        <v>5.1856653641795597E-7</v>
      </c>
      <c r="G29475">
        <v>74064</v>
      </c>
      <c r="H29475">
        <v>15374181</v>
      </c>
      <c r="I29475">
        <v>381491</v>
      </c>
      <c r="J29475">
        <v>4</v>
      </c>
    </row>
    <row r="29476" spans="1:10" x14ac:dyDescent="0.25">
      <c r="A29476" t="s">
        <v>335</v>
      </c>
      <c r="B29476" s="1" t="str">
        <f>HYPERLINK("http://cfmaeroengines.com","cfmaeroengines.com")</f>
        <v>cfmaeroengines.com</v>
      </c>
      <c r="C29476" t="s">
        <v>433</v>
      </c>
      <c r="E29476">
        <v>504579</v>
      </c>
      <c r="F29476">
        <v>1.19976854720703E-7</v>
      </c>
      <c r="G29476">
        <v>329496</v>
      </c>
      <c r="H29476">
        <v>15136162</v>
      </c>
      <c r="I29476">
        <v>401660</v>
      </c>
      <c r="J29476">
        <v>4</v>
      </c>
    </row>
    <row r="29477" spans="1:10" x14ac:dyDescent="0.25">
      <c r="A29477" t="s">
        <v>335</v>
      </c>
      <c r="B29477" s="1" t="str">
        <f>HYPERLINK("http://cilas.com","cilas.com")</f>
        <v>cilas.com</v>
      </c>
      <c r="C29477" t="s">
        <v>433</v>
      </c>
      <c r="F29477">
        <v>3.2910569638772699E-8</v>
      </c>
      <c r="G29477">
        <v>1569944</v>
      </c>
      <c r="H29477">
        <v>14780247</v>
      </c>
      <c r="I29477">
        <v>554691</v>
      </c>
      <c r="J29477">
        <v>4</v>
      </c>
    </row>
    <row r="29478" spans="1:10" x14ac:dyDescent="0.25">
      <c r="A29478" t="s">
        <v>335</v>
      </c>
      <c r="B29478" s="1" t="str">
        <f>HYPERLINK("http://eurockot.com","eurockot.com")</f>
        <v>eurockot.com</v>
      </c>
      <c r="C29478" t="s">
        <v>433</v>
      </c>
      <c r="F29478">
        <v>3.6339293949145902E-8</v>
      </c>
      <c r="G29478">
        <v>1435874</v>
      </c>
      <c r="H29478">
        <v>14828987</v>
      </c>
      <c r="I29478">
        <v>507301</v>
      </c>
      <c r="J29478">
        <v>4</v>
      </c>
    </row>
    <row r="29479" spans="1:10" x14ac:dyDescent="0.25">
      <c r="A29479" t="s">
        <v>335</v>
      </c>
      <c r="B29479" s="1" t="str">
        <f>HYPERLINK("http://herakles.com","herakles.com")</f>
        <v>herakles.com</v>
      </c>
      <c r="C29479" t="s">
        <v>433</v>
      </c>
      <c r="F29479">
        <v>1.69217172243662E-8</v>
      </c>
      <c r="G29479">
        <v>3301954</v>
      </c>
      <c r="H29479">
        <v>13773629</v>
      </c>
      <c r="I29479">
        <v>6626590</v>
      </c>
      <c r="J29479">
        <v>3</v>
      </c>
    </row>
    <row r="29480" spans="1:10" x14ac:dyDescent="0.25">
      <c r="A29480" t="s">
        <v>335</v>
      </c>
      <c r="B29480" s="1" t="str">
        <f>HYPERLINK("http://iddaerospace.com","iddaerospace.com")</f>
        <v>iddaerospace.com</v>
      </c>
      <c r="C29480" t="s">
        <v>433</v>
      </c>
      <c r="F29480">
        <v>4.7518351758530798E-9</v>
      </c>
      <c r="G29480">
        <v>38242306</v>
      </c>
      <c r="H29480">
        <v>12226961</v>
      </c>
      <c r="I29480">
        <v>22593079</v>
      </c>
      <c r="J29480">
        <v>5</v>
      </c>
    </row>
    <row r="29481" spans="1:10" x14ac:dyDescent="0.25">
      <c r="A29481" t="s">
        <v>335</v>
      </c>
      <c r="B29481" s="1" t="str">
        <f>HYPERLINK("http://kannad.com","kannad.com")</f>
        <v>kannad.com</v>
      </c>
      <c r="C29481" t="s">
        <v>433</v>
      </c>
      <c r="F29481">
        <v>1.5618158507588499E-8</v>
      </c>
      <c r="G29481">
        <v>3650127</v>
      </c>
      <c r="H29481">
        <v>13765567</v>
      </c>
      <c r="I29481">
        <v>7089440</v>
      </c>
      <c r="J29481">
        <v>4</v>
      </c>
    </row>
    <row r="29482" spans="1:10" x14ac:dyDescent="0.25">
      <c r="A29482" t="s">
        <v>335</v>
      </c>
      <c r="B29482" s="1" t="str">
        <f>HYPERLINK("http://labinal-power.com","labinal-power.com")</f>
        <v>labinal-power.com</v>
      </c>
      <c r="C29482" t="s">
        <v>433</v>
      </c>
      <c r="E29482">
        <v>808329</v>
      </c>
      <c r="F29482">
        <v>9.4737835966730596E-9</v>
      </c>
      <c r="G29482">
        <v>7354217</v>
      </c>
      <c r="H29482">
        <v>13439662</v>
      </c>
      <c r="I29482">
        <v>10261500</v>
      </c>
      <c r="J29482">
        <v>3</v>
      </c>
    </row>
    <row r="29483" spans="1:10" x14ac:dyDescent="0.25">
      <c r="A29483" t="s">
        <v>335</v>
      </c>
      <c r="B29483" s="1" t="str">
        <f>HYPERLINK("http://lynred.com","lynred.com")</f>
        <v>lynred.com</v>
      </c>
      <c r="C29483" t="s">
        <v>433</v>
      </c>
      <c r="F29483">
        <v>4.4405345276831497E-8</v>
      </c>
      <c r="G29483">
        <v>1068099</v>
      </c>
      <c r="H29483">
        <v>14813092</v>
      </c>
      <c r="I29483">
        <v>528822</v>
      </c>
      <c r="J29483">
        <v>3</v>
      </c>
    </row>
    <row r="29484" spans="1:10" x14ac:dyDescent="0.25">
      <c r="A29484" t="s">
        <v>335</v>
      </c>
      <c r="B29484" s="1" t="str">
        <f>HYPERLINK("http://messierservices.com","messierservices.com")</f>
        <v>messierservices.com</v>
      </c>
      <c r="C29484" t="s">
        <v>433</v>
      </c>
      <c r="F29484">
        <v>4.6231570017776201E-9</v>
      </c>
      <c r="G29484">
        <v>45921333</v>
      </c>
      <c r="H29484">
        <v>11104992</v>
      </c>
      <c r="I29484">
        <v>32212040</v>
      </c>
      <c r="J29484">
        <v>3</v>
      </c>
    </row>
    <row r="29485" spans="1:10" x14ac:dyDescent="0.25">
      <c r="A29485" t="s">
        <v>335</v>
      </c>
      <c r="B29485" s="1" t="str">
        <f>HYPERLINK("http://optics1.com","optics1.com")</f>
        <v>optics1.com</v>
      </c>
      <c r="C29485" t="s">
        <v>433</v>
      </c>
      <c r="F29485">
        <v>2.1769317237665801E-8</v>
      </c>
      <c r="G29485">
        <v>2414920</v>
      </c>
      <c r="H29485">
        <v>14576005</v>
      </c>
      <c r="I29485">
        <v>724038</v>
      </c>
      <c r="J29485">
        <v>4</v>
      </c>
    </row>
    <row r="29486" spans="1:10" x14ac:dyDescent="0.25">
      <c r="A29486" t="s">
        <v>335</v>
      </c>
      <c r="B29486" s="1" t="str">
        <f>HYPERLINK("http://orolia.com","orolia.com")</f>
        <v>orolia.com</v>
      </c>
      <c r="C29486" t="s">
        <v>433</v>
      </c>
      <c r="E29486">
        <v>298035</v>
      </c>
      <c r="F29486">
        <v>5.0487895757575099E-7</v>
      </c>
      <c r="G29486">
        <v>75796</v>
      </c>
      <c r="H29486">
        <v>14824074</v>
      </c>
      <c r="I29486">
        <v>512744</v>
      </c>
      <c r="J29486">
        <v>3</v>
      </c>
    </row>
    <row r="29487" spans="1:10" x14ac:dyDescent="0.25">
      <c r="A29487" t="s">
        <v>335</v>
      </c>
      <c r="B29487" s="1" t="str">
        <f>HYPERLINK("http://pioneeraero.com","pioneeraero.com")</f>
        <v>pioneeraero.com</v>
      </c>
      <c r="C29487" t="s">
        <v>433</v>
      </c>
      <c r="F29487">
        <v>6.3783226631522697E-9</v>
      </c>
      <c r="G29487">
        <v>14625251</v>
      </c>
      <c r="H29487">
        <v>14072715</v>
      </c>
      <c r="I29487">
        <v>3054324</v>
      </c>
      <c r="J29487">
        <v>3</v>
      </c>
    </row>
    <row r="29488" spans="1:10" x14ac:dyDescent="0.25">
      <c r="A29488" t="s">
        <v>335</v>
      </c>
      <c r="B29488" s="1" t="str">
        <f>HYPERLINK("http://reosc.com","reosc.com")</f>
        <v>reosc.com</v>
      </c>
      <c r="C29488" t="s">
        <v>433</v>
      </c>
      <c r="F29488">
        <v>6.5895620936683501E-9</v>
      </c>
      <c r="G29488">
        <v>13716685</v>
      </c>
      <c r="H29488">
        <v>12408395</v>
      </c>
      <c r="I29488">
        <v>18630159</v>
      </c>
      <c r="J29488">
        <v>3</v>
      </c>
    </row>
    <row r="29489" spans="1:10" x14ac:dyDescent="0.25">
      <c r="A29489" t="s">
        <v>335</v>
      </c>
      <c r="B29489" s="1" t="str">
        <f>HYPERLINK("http://safran.com","safran.com")</f>
        <v>safran.com</v>
      </c>
      <c r="C29489" t="s">
        <v>433</v>
      </c>
      <c r="F29489">
        <v>5.5041154176262698E-8</v>
      </c>
      <c r="G29489">
        <v>816920</v>
      </c>
      <c r="H29489">
        <v>14061842</v>
      </c>
      <c r="I29489">
        <v>3763879</v>
      </c>
      <c r="J29489">
        <v>4</v>
      </c>
    </row>
    <row r="29490" spans="1:10" x14ac:dyDescent="0.25">
      <c r="A29490" t="s">
        <v>335</v>
      </c>
      <c r="B29490" s="1" t="str">
        <f>HYPERLINK("http://safran-aero-boosters.com","safran-aero-boosters.com")</f>
        <v>safran-aero-boosters.com</v>
      </c>
      <c r="C29490" t="s">
        <v>433</v>
      </c>
      <c r="F29490">
        <v>2.4919866674704201E-8</v>
      </c>
      <c r="G29490">
        <v>2074644</v>
      </c>
      <c r="H29490">
        <v>13195323</v>
      </c>
      <c r="I29490">
        <v>11579014</v>
      </c>
      <c r="J29490">
        <v>3</v>
      </c>
    </row>
    <row r="29491" spans="1:10" x14ac:dyDescent="0.25">
      <c r="A29491" t="s">
        <v>335</v>
      </c>
      <c r="B29491" s="1" t="str">
        <f>HYPERLINK("http://safran-aerosystems.com","safran-aerosystems.com")</f>
        <v>safran-aerosystems.com</v>
      </c>
      <c r="C29491" t="s">
        <v>433</v>
      </c>
      <c r="F29491">
        <v>1.34898231836746E-8</v>
      </c>
      <c r="G29491">
        <v>4407948</v>
      </c>
      <c r="H29491">
        <v>13106041</v>
      </c>
      <c r="I29491">
        <v>12065834</v>
      </c>
      <c r="J29491">
        <v>5</v>
      </c>
    </row>
    <row r="29492" spans="1:10" x14ac:dyDescent="0.25">
      <c r="A29492" t="s">
        <v>335</v>
      </c>
      <c r="B29492" s="1" t="str">
        <f>HYPERLINK("http://safran-aircraft-engines.com","safran-aircraft-engines.com")</f>
        <v>safran-aircraft-engines.com</v>
      </c>
      <c r="C29492" t="s">
        <v>433</v>
      </c>
      <c r="F29492">
        <v>6.3316348222661603E-8</v>
      </c>
      <c r="G29492">
        <v>686966</v>
      </c>
      <c r="H29492">
        <v>15011043</v>
      </c>
      <c r="I29492">
        <v>423129</v>
      </c>
      <c r="J29492">
        <v>3</v>
      </c>
    </row>
    <row r="29493" spans="1:10" x14ac:dyDescent="0.25">
      <c r="A29493" t="s">
        <v>335</v>
      </c>
      <c r="B29493" s="1" t="str">
        <f>HYPERLINK("http://safran-blades.com","safran-blades.com")</f>
        <v>safran-blades.com</v>
      </c>
      <c r="C29493" t="s">
        <v>433</v>
      </c>
      <c r="J29493">
        <v>5</v>
      </c>
    </row>
    <row r="29494" spans="1:10" x14ac:dyDescent="0.25">
      <c r="A29494" t="s">
        <v>335</v>
      </c>
      <c r="B29494" s="1" t="str">
        <f>HYPERLINK("http://safran-cabin.com","safran-cabin.com")</f>
        <v>safran-cabin.com</v>
      </c>
      <c r="C29494" t="s">
        <v>433</v>
      </c>
      <c r="F29494">
        <v>1.39402110698285E-8</v>
      </c>
      <c r="G29494">
        <v>4225603</v>
      </c>
      <c r="H29494">
        <v>12597763</v>
      </c>
      <c r="I29494">
        <v>16345217</v>
      </c>
      <c r="J29494">
        <v>2</v>
      </c>
    </row>
    <row r="29495" spans="1:10" x14ac:dyDescent="0.25">
      <c r="A29495" t="s">
        <v>335</v>
      </c>
      <c r="B29495" s="1" t="str">
        <f>HYPERLINK("http://safran-electrical-power.com","safran-electrical-power.com")</f>
        <v>safran-electrical-power.com</v>
      </c>
      <c r="C29495" t="s">
        <v>433</v>
      </c>
      <c r="F29495">
        <v>3.4773181678054498E-8</v>
      </c>
      <c r="G29495">
        <v>1492954</v>
      </c>
      <c r="H29495">
        <v>14079870</v>
      </c>
      <c r="I29495">
        <v>2826669</v>
      </c>
      <c r="J29495">
        <v>4</v>
      </c>
    </row>
    <row r="29496" spans="1:10" x14ac:dyDescent="0.25">
      <c r="A29496" t="s">
        <v>335</v>
      </c>
      <c r="B29496" s="1" t="str">
        <f>HYPERLINK("http://safran-electronics-defense.com","safran-electronics-defense.com")</f>
        <v>safran-electronics-defense.com</v>
      </c>
      <c r="C29496" t="s">
        <v>433</v>
      </c>
      <c r="F29496">
        <v>5.1475036368784997E-8</v>
      </c>
      <c r="G29496">
        <v>888795</v>
      </c>
      <c r="H29496">
        <v>14820690</v>
      </c>
      <c r="I29496">
        <v>516947</v>
      </c>
      <c r="J29496">
        <v>3</v>
      </c>
    </row>
    <row r="29497" spans="1:10" x14ac:dyDescent="0.25">
      <c r="A29497" t="s">
        <v>335</v>
      </c>
      <c r="B29497" s="1" t="str">
        <f>HYPERLINK("http://safran-engineering.com","safran-engineering.com")</f>
        <v>safran-engineering.com</v>
      </c>
      <c r="C29497" t="s">
        <v>433</v>
      </c>
      <c r="F29497">
        <v>2.65532951101507E-8</v>
      </c>
      <c r="G29497">
        <v>1938751</v>
      </c>
      <c r="H29497">
        <v>14280476</v>
      </c>
      <c r="I29497">
        <v>1380156</v>
      </c>
      <c r="J29497">
        <v>3</v>
      </c>
    </row>
    <row r="29498" spans="1:10" x14ac:dyDescent="0.25">
      <c r="A29498" t="s">
        <v>335</v>
      </c>
      <c r="B29498" s="1" t="str">
        <f>HYPERLINK("http://safran-group.com","safran-group.com")</f>
        <v>safran-group.com</v>
      </c>
      <c r="C29498" t="s">
        <v>433</v>
      </c>
      <c r="E29498">
        <v>51309</v>
      </c>
      <c r="F29498">
        <v>1.0639394087625801E-6</v>
      </c>
      <c r="G29498">
        <v>36111</v>
      </c>
      <c r="H29498">
        <v>15281024</v>
      </c>
      <c r="I29498">
        <v>387609</v>
      </c>
      <c r="J29498">
        <v>1</v>
      </c>
    </row>
    <row r="29499" spans="1:10" x14ac:dyDescent="0.25">
      <c r="A29499" t="s">
        <v>335</v>
      </c>
      <c r="B29499" s="1" t="str">
        <f>HYPERLINK("http://safran-helicopter-engines.com","safran-helicopter-engines.com")</f>
        <v>safran-helicopter-engines.com</v>
      </c>
      <c r="C29499" t="s">
        <v>433</v>
      </c>
      <c r="E29499">
        <v>872384</v>
      </c>
      <c r="F29499">
        <v>5.82752982491737E-8</v>
      </c>
      <c r="G29499">
        <v>762923</v>
      </c>
      <c r="H29499">
        <v>15019581</v>
      </c>
      <c r="I29499">
        <v>421067</v>
      </c>
      <c r="J29499">
        <v>2</v>
      </c>
    </row>
    <row r="29500" spans="1:10" x14ac:dyDescent="0.25">
      <c r="A29500" t="s">
        <v>335</v>
      </c>
      <c r="B29500" s="1" t="str">
        <f>HYPERLINK("http://safran-landing-systems.com","safran-landing-systems.com")</f>
        <v>safran-landing-systems.com</v>
      </c>
      <c r="C29500" t="s">
        <v>433</v>
      </c>
      <c r="F29500">
        <v>2.9352794319314099E-8</v>
      </c>
      <c r="G29500">
        <v>1755357</v>
      </c>
      <c r="H29500">
        <v>14100437</v>
      </c>
      <c r="I29500">
        <v>2705761</v>
      </c>
      <c r="J29500">
        <v>4</v>
      </c>
    </row>
    <row r="29501" spans="1:10" x14ac:dyDescent="0.25">
      <c r="A29501" t="s">
        <v>335</v>
      </c>
      <c r="B29501" s="1" t="str">
        <f>HYPERLINK("http://safran-nacelles.com","safran-nacelles.com")</f>
        <v>safran-nacelles.com</v>
      </c>
      <c r="C29501" t="s">
        <v>433</v>
      </c>
      <c r="F29501">
        <v>2.49522023914355E-8</v>
      </c>
      <c r="G29501">
        <v>2071476</v>
      </c>
      <c r="H29501">
        <v>14085115</v>
      </c>
      <c r="I29501">
        <v>2780959</v>
      </c>
      <c r="J29501">
        <v>5</v>
      </c>
    </row>
    <row r="29502" spans="1:10" x14ac:dyDescent="0.25">
      <c r="A29502" t="s">
        <v>335</v>
      </c>
      <c r="B29502" s="1" t="str">
        <f>HYPERLINK("http://safran-reosc.com","safran-reosc.com")</f>
        <v>safran-reosc.com</v>
      </c>
      <c r="C29502" t="s">
        <v>433</v>
      </c>
      <c r="F29502">
        <v>1.1868192701926601E-8</v>
      </c>
      <c r="G29502">
        <v>5259327</v>
      </c>
      <c r="H29502">
        <v>14073094</v>
      </c>
      <c r="I29502">
        <v>3017886</v>
      </c>
      <c r="J29502">
        <v>3</v>
      </c>
    </row>
    <row r="29503" spans="1:10" x14ac:dyDescent="0.25">
      <c r="A29503" t="s">
        <v>335</v>
      </c>
      <c r="B29503" s="1" t="str">
        <f>HYPERLINK("http://safran-seats.com","safran-seats.com")</f>
        <v>safran-seats.com</v>
      </c>
      <c r="C29503" t="s">
        <v>433</v>
      </c>
      <c r="F29503">
        <v>1.7303766783936899E-8</v>
      </c>
      <c r="G29503">
        <v>3198329</v>
      </c>
      <c r="H29503">
        <v>12538996</v>
      </c>
      <c r="I29503">
        <v>16951449</v>
      </c>
      <c r="J29503">
        <v>3</v>
      </c>
    </row>
    <row r="29504" spans="1:10" x14ac:dyDescent="0.25">
      <c r="A29504" t="s">
        <v>335</v>
      </c>
      <c r="B29504" s="1" t="str">
        <f>HYPERLINK("http://safrandatasystemsus.com","safrandatasystemsus.com")</f>
        <v>safrandatasystemsus.com</v>
      </c>
      <c r="C29504" t="s">
        <v>433</v>
      </c>
      <c r="F29504">
        <v>9.1398857375660595E-9</v>
      </c>
      <c r="G29504">
        <v>7792239</v>
      </c>
      <c r="H29504">
        <v>12361193</v>
      </c>
      <c r="I29504">
        <v>19563067</v>
      </c>
      <c r="J29504">
        <v>4</v>
      </c>
    </row>
    <row r="29505" spans="1:10" x14ac:dyDescent="0.25">
      <c r="A29505" t="s">
        <v>335</v>
      </c>
      <c r="B29505" s="1" t="str">
        <f>HYPERLINK("http://safrangroup.com","safrangroup.com")</f>
        <v>safrangroup.com</v>
      </c>
      <c r="C29505" t="s">
        <v>433</v>
      </c>
      <c r="E29505">
        <v>166134</v>
      </c>
      <c r="F29505">
        <v>1.8198726925200101E-8</v>
      </c>
      <c r="G29505">
        <v>2988109</v>
      </c>
      <c r="H29505">
        <v>13719582</v>
      </c>
      <c r="I29505">
        <v>9477349</v>
      </c>
      <c r="J29505">
        <v>3</v>
      </c>
    </row>
    <row r="29506" spans="1:10" x14ac:dyDescent="0.25">
      <c r="A29506" t="s">
        <v>335</v>
      </c>
      <c r="B29506" s="1" t="str">
        <f>HYPERLINK("http://sagemavionics.com","sagemavionics.com")</f>
        <v>sagemavionics.com</v>
      </c>
      <c r="C29506" t="s">
        <v>433</v>
      </c>
      <c r="F29506">
        <v>1.1118062610941699E-8</v>
      </c>
      <c r="G29506">
        <v>5772299</v>
      </c>
      <c r="H29506">
        <v>14416510</v>
      </c>
      <c r="I29506">
        <v>1102657</v>
      </c>
      <c r="J29506">
        <v>6</v>
      </c>
    </row>
    <row r="29507" spans="1:10" x14ac:dyDescent="0.25">
      <c r="A29507" t="s">
        <v>335</v>
      </c>
      <c r="B29507" s="1" t="str">
        <f>HYPERLINK("http://sell-interiors.com","sell-interiors.com")</f>
        <v>sell-interiors.com</v>
      </c>
      <c r="C29507" t="s">
        <v>433</v>
      </c>
      <c r="F29507">
        <v>4.7223029788901397E-9</v>
      </c>
      <c r="G29507">
        <v>40095488</v>
      </c>
      <c r="H29507">
        <v>11951158</v>
      </c>
      <c r="I29507">
        <v>29136456</v>
      </c>
      <c r="J29507">
        <v>5</v>
      </c>
    </row>
    <row r="29508" spans="1:10" x14ac:dyDescent="0.25">
      <c r="A29508" t="s">
        <v>335</v>
      </c>
      <c r="B29508" s="1" t="str">
        <f>HYPERLINK("http://snecma-propulsion-solide.com","snecma-propulsion-solide.com")</f>
        <v>snecma-propulsion-solide.com</v>
      </c>
      <c r="C29508" t="s">
        <v>433</v>
      </c>
      <c r="F29508">
        <v>1.31636270656464E-8</v>
      </c>
      <c r="G29508">
        <v>4554623</v>
      </c>
      <c r="H29508">
        <v>13727408</v>
      </c>
      <c r="I29508">
        <v>9460957</v>
      </c>
      <c r="J29508">
        <v>3</v>
      </c>
    </row>
    <row r="29509" spans="1:10" x14ac:dyDescent="0.25">
      <c r="A29509" t="s">
        <v>335</v>
      </c>
      <c r="B29509" s="1" t="str">
        <f>HYPERLINK("http://sodern.com","sodern.com")</f>
        <v>sodern.com</v>
      </c>
      <c r="C29509" t="s">
        <v>433</v>
      </c>
      <c r="F29509">
        <v>2.5128468492471099E-8</v>
      </c>
      <c r="G29509">
        <v>2055567</v>
      </c>
      <c r="H29509">
        <v>14232968</v>
      </c>
      <c r="I29509">
        <v>1671290</v>
      </c>
      <c r="J29509">
        <v>4</v>
      </c>
    </row>
    <row r="29510" spans="1:10" x14ac:dyDescent="0.25">
      <c r="A29510" t="s">
        <v>335</v>
      </c>
      <c r="B29510" s="1" t="str">
        <f>HYPERLINK("http://starsem.com","starsem.com")</f>
        <v>starsem.com</v>
      </c>
      <c r="C29510" t="s">
        <v>433</v>
      </c>
      <c r="F29510">
        <v>2.3600707836808499E-8</v>
      </c>
      <c r="G29510">
        <v>2203871</v>
      </c>
      <c r="H29510">
        <v>14583115</v>
      </c>
      <c r="I29510">
        <v>705167</v>
      </c>
      <c r="J29510">
        <v>5</v>
      </c>
    </row>
    <row r="29511" spans="1:10" x14ac:dyDescent="0.25">
      <c r="A29511" t="s">
        <v>335</v>
      </c>
      <c r="B29511" s="1" t="str">
        <f>HYPERLINK("http://triagnosys.com","triagnosys.com")</f>
        <v>triagnosys.com</v>
      </c>
      <c r="C29511" t="s">
        <v>433</v>
      </c>
      <c r="F29511">
        <v>1.99430704944552E-8</v>
      </c>
      <c r="G29511">
        <v>2667966</v>
      </c>
      <c r="H29511">
        <v>13733775</v>
      </c>
      <c r="I29511">
        <v>9455365</v>
      </c>
      <c r="J29511">
        <v>3</v>
      </c>
    </row>
    <row r="29512" spans="1:10" x14ac:dyDescent="0.25">
      <c r="A29512" t="s">
        <v>335</v>
      </c>
      <c r="B29512" s="1" t="str">
        <f>HYPERLINK("http://zds-fr.com","zds-fr.com")</f>
        <v>zds-fr.com</v>
      </c>
      <c r="C29512" t="s">
        <v>433</v>
      </c>
      <c r="F29512">
        <v>4.51133170070297E-9</v>
      </c>
      <c r="G29512">
        <v>57330905</v>
      </c>
      <c r="H29512">
        <v>11968277</v>
      </c>
      <c r="I29512">
        <v>28745319</v>
      </c>
      <c r="J29512">
        <v>5</v>
      </c>
    </row>
    <row r="29513" spans="1:10" x14ac:dyDescent="0.25">
      <c r="A29513" t="s">
        <v>335</v>
      </c>
      <c r="B29513" s="1" t="str">
        <f>HYPERLINK("http://zodiacaerospace.com","zodiacaerospace.com")</f>
        <v>zodiacaerospace.com</v>
      </c>
      <c r="C29513" t="s">
        <v>433</v>
      </c>
      <c r="E29513">
        <v>418152</v>
      </c>
      <c r="F29513">
        <v>1.3335873519407599E-7</v>
      </c>
      <c r="G29513">
        <v>292865</v>
      </c>
      <c r="H29513">
        <v>14750273</v>
      </c>
      <c r="I29513">
        <v>563677</v>
      </c>
      <c r="J29513">
        <v>3</v>
      </c>
    </row>
    <row r="29514" spans="1:10" x14ac:dyDescent="0.25">
      <c r="A29514" t="s">
        <v>335</v>
      </c>
      <c r="B29514" s="1" t="str">
        <f>HYPERLINK("http://zodiac-data-systems.de","zodiac-data-systems.de")</f>
        <v>zodiac-data-systems.de</v>
      </c>
      <c r="C29514" t="s">
        <v>436</v>
      </c>
      <c r="D29514" t="s">
        <v>815</v>
      </c>
      <c r="F29514">
        <v>4.8376147916526802E-9</v>
      </c>
      <c r="G29514">
        <v>34566866</v>
      </c>
      <c r="H29514">
        <v>11227502</v>
      </c>
      <c r="I29514">
        <v>31043028</v>
      </c>
      <c r="J29514">
        <v>3</v>
      </c>
    </row>
    <row r="29515" spans="1:10" x14ac:dyDescent="0.25">
      <c r="A29515" t="s">
        <v>335</v>
      </c>
      <c r="B29515" s="1" t="str">
        <f>HYPERLINK("http://safran.fi","safran.fi")</f>
        <v>safran.fi</v>
      </c>
      <c r="C29515" t="s">
        <v>445</v>
      </c>
      <c r="D29515" t="s">
        <v>823</v>
      </c>
      <c r="J29515">
        <v>2</v>
      </c>
    </row>
    <row r="29516" spans="1:10" x14ac:dyDescent="0.25">
      <c r="A29516" t="s">
        <v>335</v>
      </c>
      <c r="B29516" s="1" t="str">
        <f>HYPERLINK("http://safran-group.fi","safran-group.fi")</f>
        <v>safran-group.fi</v>
      </c>
      <c r="C29516" t="s">
        <v>445</v>
      </c>
      <c r="D29516" t="s">
        <v>823</v>
      </c>
      <c r="J29516">
        <v>2</v>
      </c>
    </row>
    <row r="29517" spans="1:10" x14ac:dyDescent="0.25">
      <c r="A29517" t="s">
        <v>335</v>
      </c>
      <c r="B29517" s="1" t="str">
        <f>HYPERLINK("http://safrangroup.fi","safrangroup.fi")</f>
        <v>safrangroup.fi</v>
      </c>
      <c r="C29517" t="s">
        <v>445</v>
      </c>
      <c r="D29517" t="s">
        <v>823</v>
      </c>
      <c r="J29517">
        <v>2</v>
      </c>
    </row>
    <row r="29518" spans="1:10" x14ac:dyDescent="0.25">
      <c r="A29518" t="s">
        <v>335</v>
      </c>
      <c r="B29518" s="1" t="str">
        <f>HYPERLINK("http://arianespace.fr","arianespace.fr")</f>
        <v>arianespace.fr</v>
      </c>
      <c r="C29518" t="s">
        <v>446</v>
      </c>
      <c r="D29518" t="s">
        <v>824</v>
      </c>
      <c r="F29518">
        <v>4.4995143222242797E-9</v>
      </c>
      <c r="G29518">
        <v>59015194</v>
      </c>
      <c r="H29518">
        <v>10961499</v>
      </c>
      <c r="I29518">
        <v>34320822</v>
      </c>
      <c r="J29518">
        <v>7</v>
      </c>
    </row>
    <row r="29519" spans="1:10" x14ac:dyDescent="0.25">
      <c r="A29519" t="s">
        <v>335</v>
      </c>
      <c r="B29519" s="1" t="str">
        <f>HYPERLINK("http://pyroalliance.fr","pyroalliance.fr")</f>
        <v>pyroalliance.fr</v>
      </c>
      <c r="C29519" t="s">
        <v>446</v>
      </c>
      <c r="D29519" t="s">
        <v>824</v>
      </c>
      <c r="F29519">
        <v>4.4584305758842698E-9</v>
      </c>
      <c r="G29519">
        <v>68254969</v>
      </c>
      <c r="H29519">
        <v>10910922</v>
      </c>
      <c r="I29519">
        <v>35608723</v>
      </c>
      <c r="J29519">
        <v>6</v>
      </c>
    </row>
    <row r="29520" spans="1:10" x14ac:dyDescent="0.25">
      <c r="A29520" t="s">
        <v>335</v>
      </c>
      <c r="B29520" s="1" t="str">
        <f>HYPERLINK("http://snecma.fr","snecma.fr")</f>
        <v>snecma.fr</v>
      </c>
      <c r="C29520" t="s">
        <v>446</v>
      </c>
      <c r="D29520" t="s">
        <v>824</v>
      </c>
      <c r="E29520">
        <v>197200</v>
      </c>
      <c r="F29520">
        <v>7.9616488562261307E-9</v>
      </c>
      <c r="G29520">
        <v>9991843</v>
      </c>
      <c r="H29520">
        <v>12911642</v>
      </c>
      <c r="I29520">
        <v>13541022</v>
      </c>
      <c r="J29520">
        <v>2</v>
      </c>
    </row>
    <row r="29521" spans="1:10" x14ac:dyDescent="0.25">
      <c r="A29521" t="s">
        <v>335</v>
      </c>
      <c r="B29521" s="1" t="str">
        <f>HYPERLINK("http://ariane.group","ariane.group")</f>
        <v>ariane.group</v>
      </c>
      <c r="C29521" t="s">
        <v>602</v>
      </c>
      <c r="E29521">
        <v>334569</v>
      </c>
      <c r="F29521">
        <v>2.9538235453331201E-7</v>
      </c>
      <c r="G29521">
        <v>125948</v>
      </c>
      <c r="H29521">
        <v>15089610</v>
      </c>
      <c r="I29521">
        <v>408102</v>
      </c>
      <c r="J29521">
        <v>3</v>
      </c>
    </row>
    <row r="29522" spans="1:10" x14ac:dyDescent="0.25">
      <c r="A29522" t="s">
        <v>335</v>
      </c>
      <c r="B29522" s="1" t="str">
        <f>HYPERLINK("http://safran.no","safran.no")</f>
        <v>safran.no</v>
      </c>
      <c r="C29522" t="s">
        <v>478</v>
      </c>
      <c r="D29522" t="s">
        <v>853</v>
      </c>
      <c r="F29522">
        <v>5.6377938454830299E-9</v>
      </c>
      <c r="G29522">
        <v>19504536</v>
      </c>
      <c r="H29522">
        <v>10948161</v>
      </c>
      <c r="I29522">
        <v>34628995</v>
      </c>
      <c r="J29522">
        <v>5</v>
      </c>
    </row>
    <row r="29523" spans="1:10" x14ac:dyDescent="0.25">
      <c r="A29523" t="s">
        <v>335</v>
      </c>
      <c r="B29523" s="1" t="str">
        <f>HYPERLINK("http://sdidec.org","sdidec.org")</f>
        <v>sdidec.org</v>
      </c>
      <c r="C29523" t="s">
        <v>481</v>
      </c>
      <c r="F29523">
        <v>1.48506898320684E-8</v>
      </c>
      <c r="G29523">
        <v>3889258</v>
      </c>
      <c r="H29523">
        <v>13367492</v>
      </c>
      <c r="I29523">
        <v>10477279</v>
      </c>
      <c r="J29523">
        <v>5</v>
      </c>
    </row>
    <row r="29524" spans="1:10" x14ac:dyDescent="0.25">
      <c r="A29524" t="s">
        <v>1650</v>
      </c>
      <c r="B29524" s="1" t="str">
        <f>HYPERLINK("http://bonobo.ai","bonobo.ai")</f>
        <v>bonobo.ai</v>
      </c>
      <c r="C29524" t="s">
        <v>524</v>
      </c>
      <c r="D29524" t="s">
        <v>892</v>
      </c>
      <c r="F29524">
        <v>2.9033999511610901E-8</v>
      </c>
      <c r="G29524">
        <v>1773392</v>
      </c>
      <c r="H29524">
        <v>13290733</v>
      </c>
      <c r="I29524">
        <v>10874574</v>
      </c>
      <c r="J29524">
        <v>3</v>
      </c>
    </row>
    <row r="29525" spans="1:10" x14ac:dyDescent="0.25">
      <c r="A29525" t="s">
        <v>1650</v>
      </c>
      <c r="B29525" s="1" t="str">
        <f>HYPERLINK("http://salesforce.blog","salesforce.blog")</f>
        <v>salesforce.blog</v>
      </c>
      <c r="C29525" t="s">
        <v>581</v>
      </c>
      <c r="F29525">
        <v>4.44380395335525E-9</v>
      </c>
      <c r="G29525">
        <v>80067729</v>
      </c>
      <c r="H29525">
        <v>0</v>
      </c>
      <c r="I29525">
        <v>80095089</v>
      </c>
      <c r="J29525">
        <v>2</v>
      </c>
    </row>
    <row r="29526" spans="1:10" x14ac:dyDescent="0.25">
      <c r="A29526" t="s">
        <v>1650</v>
      </c>
      <c r="B29526" s="1" t="str">
        <f>HYPERLINK("http://acumensolutions.com","acumensolutions.com")</f>
        <v>acumensolutions.com</v>
      </c>
      <c r="C29526" t="s">
        <v>433</v>
      </c>
      <c r="E29526">
        <v>107830</v>
      </c>
      <c r="F29526">
        <v>6.3873189616895395E-8</v>
      </c>
      <c r="G29526">
        <v>678977</v>
      </c>
      <c r="H29526">
        <v>14216742</v>
      </c>
      <c r="I29526">
        <v>1691532</v>
      </c>
      <c r="J29526">
        <v>3</v>
      </c>
    </row>
    <row r="29527" spans="1:10" x14ac:dyDescent="0.25">
      <c r="A29527" t="s">
        <v>1650</v>
      </c>
      <c r="B29527" s="1" t="str">
        <f>HYPERLINK("http://choicepass.com","choicepass.com")</f>
        <v>choicepass.com</v>
      </c>
      <c r="C29527" t="s">
        <v>433</v>
      </c>
      <c r="F29527">
        <v>5.14988859524367E-9</v>
      </c>
      <c r="G29527">
        <v>26083116</v>
      </c>
      <c r="H29527">
        <v>12631411</v>
      </c>
      <c r="I29527">
        <v>15972359</v>
      </c>
      <c r="J29527">
        <v>4</v>
      </c>
    </row>
    <row r="29528" spans="1:10" x14ac:dyDescent="0.25">
      <c r="A29528" t="s">
        <v>1650</v>
      </c>
      <c r="B29528" s="1" t="str">
        <f>HYPERLINK("http://clicksoftware.com","clicksoftware.com")</f>
        <v>clicksoftware.com</v>
      </c>
      <c r="C29528" t="s">
        <v>433</v>
      </c>
      <c r="E29528">
        <v>17542</v>
      </c>
      <c r="F29528">
        <v>1.5037322379346201E-7</v>
      </c>
      <c r="G29528">
        <v>258347</v>
      </c>
      <c r="H29528">
        <v>14566993</v>
      </c>
      <c r="I29528">
        <v>739086</v>
      </c>
      <c r="J29528">
        <v>3</v>
      </c>
    </row>
    <row r="29529" spans="1:10" x14ac:dyDescent="0.25">
      <c r="A29529" t="s">
        <v>1650</v>
      </c>
      <c r="B29529" s="1" t="str">
        <f>HYPERLINK("http://cquotient.com","cquotient.com")</f>
        <v>cquotient.com</v>
      </c>
      <c r="C29529" t="s">
        <v>433</v>
      </c>
      <c r="E29529">
        <v>3419</v>
      </c>
      <c r="F29529">
        <v>6.7134277131995898E-6</v>
      </c>
      <c r="G29529">
        <v>5009</v>
      </c>
      <c r="H29529">
        <v>14131731</v>
      </c>
      <c r="I29529">
        <v>2011818</v>
      </c>
      <c r="J29529">
        <v>7</v>
      </c>
    </row>
    <row r="29530" spans="1:10" x14ac:dyDescent="0.25">
      <c r="A29530" t="s">
        <v>1650</v>
      </c>
      <c r="B29530" s="1" t="str">
        <f>HYPERLINK("http://datorama.com","datorama.com")</f>
        <v>datorama.com</v>
      </c>
      <c r="C29530" t="s">
        <v>433</v>
      </c>
      <c r="E29530">
        <v>20734</v>
      </c>
      <c r="F29530">
        <v>1.3558762840600999E-6</v>
      </c>
      <c r="G29530">
        <v>28684</v>
      </c>
      <c r="H29530">
        <v>16266446</v>
      </c>
      <c r="I29530">
        <v>365359</v>
      </c>
      <c r="J29530">
        <v>3</v>
      </c>
    </row>
    <row r="29531" spans="1:10" x14ac:dyDescent="0.25">
      <c r="A29531" t="s">
        <v>1650</v>
      </c>
      <c r="B29531" s="1" t="str">
        <f>HYPERLINK("http://demandware.com","demandware.com")</f>
        <v>demandware.com</v>
      </c>
      <c r="C29531" t="s">
        <v>433</v>
      </c>
      <c r="E29531">
        <v>31258</v>
      </c>
      <c r="F29531">
        <v>7.4785853528334898E-6</v>
      </c>
      <c r="G29531">
        <v>4489</v>
      </c>
      <c r="H29531">
        <v>16159556</v>
      </c>
      <c r="I29531">
        <v>365706</v>
      </c>
      <c r="J29531">
        <v>3</v>
      </c>
    </row>
    <row r="29532" spans="1:10" x14ac:dyDescent="0.25">
      <c r="A29532" t="s">
        <v>1650</v>
      </c>
      <c r="B29532" s="1" t="str">
        <f>HYPERLINK("http://dimdim.com","dimdim.com")</f>
        <v>dimdim.com</v>
      </c>
      <c r="C29532" t="s">
        <v>433</v>
      </c>
      <c r="E29532">
        <v>343702</v>
      </c>
      <c r="F29532">
        <v>2.4041812202740998E-7</v>
      </c>
      <c r="G29532">
        <v>155624</v>
      </c>
      <c r="H29532">
        <v>17084640</v>
      </c>
      <c r="I29532">
        <v>67219</v>
      </c>
      <c r="J29532">
        <v>3</v>
      </c>
    </row>
    <row r="29533" spans="1:10" x14ac:dyDescent="0.25">
      <c r="A29533" t="s">
        <v>1650</v>
      </c>
      <c r="B29533" s="1" t="str">
        <f>HYPERLINK("http://exacttarget.com","exacttarget.com")</f>
        <v>exacttarget.com</v>
      </c>
      <c r="C29533" t="s">
        <v>433</v>
      </c>
      <c r="E29533">
        <v>460</v>
      </c>
      <c r="F29533">
        <v>4.1911025673159002E-6</v>
      </c>
      <c r="G29533">
        <v>8601</v>
      </c>
      <c r="H29533">
        <v>18003846</v>
      </c>
      <c r="I29533">
        <v>3662</v>
      </c>
      <c r="J29533">
        <v>3</v>
      </c>
    </row>
    <row r="29534" spans="1:10" x14ac:dyDescent="0.25">
      <c r="A29534" t="s">
        <v>1650</v>
      </c>
      <c r="B29534" s="1" t="str">
        <f>HYPERLINK("http://heroku.com","heroku.com")</f>
        <v>heroku.com</v>
      </c>
      <c r="C29534" t="s">
        <v>433</v>
      </c>
      <c r="E29534">
        <v>5764</v>
      </c>
      <c r="F29534">
        <v>7.2874670569146997E-5</v>
      </c>
      <c r="G29534">
        <v>364</v>
      </c>
      <c r="H29534">
        <v>18705518</v>
      </c>
      <c r="I29534">
        <v>1000</v>
      </c>
      <c r="J29534">
        <v>3</v>
      </c>
    </row>
    <row r="29535" spans="1:10" x14ac:dyDescent="0.25">
      <c r="A29535" t="s">
        <v>1650</v>
      </c>
      <c r="B29535" s="1" t="str">
        <f>HYPERLINK("http://tiqueapp.herokuapp.com","tiqueapp.herokuapp.com")</f>
        <v>tiqueapp.herokuapp.com</v>
      </c>
      <c r="C29535" t="s">
        <v>433</v>
      </c>
      <c r="J29535">
        <v>5</v>
      </c>
    </row>
    <row r="29536" spans="1:10" x14ac:dyDescent="0.25">
      <c r="A29536" t="s">
        <v>1650</v>
      </c>
      <c r="B29536" s="1" t="str">
        <f>HYPERLINK("http://implisit.com","implisit.com")</f>
        <v>implisit.com</v>
      </c>
      <c r="C29536" t="s">
        <v>433</v>
      </c>
      <c r="E29536">
        <v>237934</v>
      </c>
      <c r="F29536">
        <v>4.66972242433609E-8</v>
      </c>
      <c r="G29536">
        <v>1000725</v>
      </c>
      <c r="H29536">
        <v>13855810</v>
      </c>
      <c r="I29536">
        <v>6045000</v>
      </c>
      <c r="J29536">
        <v>3</v>
      </c>
    </row>
    <row r="29537" spans="1:10" x14ac:dyDescent="0.25">
      <c r="A29537" t="s">
        <v>1650</v>
      </c>
      <c r="B29537" s="1" t="str">
        <f>HYPERLINK("http://instranet.com","instranet.com")</f>
        <v>instranet.com</v>
      </c>
      <c r="C29537" t="s">
        <v>433</v>
      </c>
      <c r="E29537">
        <v>233136</v>
      </c>
      <c r="F29537">
        <v>8.00438690867497E-9</v>
      </c>
      <c r="G29537">
        <v>9912785</v>
      </c>
      <c r="H29537">
        <v>13373604</v>
      </c>
      <c r="I29537">
        <v>10452477</v>
      </c>
      <c r="J29537">
        <v>4</v>
      </c>
    </row>
    <row r="29538" spans="1:10" x14ac:dyDescent="0.25">
      <c r="A29538" t="s">
        <v>1650</v>
      </c>
      <c r="B29538" s="1" t="str">
        <f>HYPERLINK("http://krux.com","krux.com")</f>
        <v>krux.com</v>
      </c>
      <c r="C29538" t="s">
        <v>433</v>
      </c>
      <c r="E29538">
        <v>264223</v>
      </c>
      <c r="F29538">
        <v>5.4156743557774896E-7</v>
      </c>
      <c r="G29538">
        <v>71324</v>
      </c>
      <c r="H29538">
        <v>17071136</v>
      </c>
      <c r="I29538">
        <v>70639</v>
      </c>
      <c r="J29538">
        <v>3</v>
      </c>
    </row>
    <row r="29539" spans="1:10" x14ac:dyDescent="0.25">
      <c r="A29539" t="s">
        <v>1650</v>
      </c>
      <c r="B29539" s="1" t="str">
        <f>HYPERLINK("http://mobify.com","mobify.com")</f>
        <v>mobify.com</v>
      </c>
      <c r="C29539" t="s">
        <v>433</v>
      </c>
      <c r="E29539">
        <v>19248</v>
      </c>
      <c r="F29539">
        <v>1.7082830709460001E-6</v>
      </c>
      <c r="G29539">
        <v>23313</v>
      </c>
      <c r="H29539">
        <v>17349532</v>
      </c>
      <c r="I29539">
        <v>23146</v>
      </c>
      <c r="J29539">
        <v>3</v>
      </c>
    </row>
    <row r="29540" spans="1:10" x14ac:dyDescent="0.25">
      <c r="A29540" t="s">
        <v>1650</v>
      </c>
      <c r="B29540" s="1" t="str">
        <f>HYPERLINK("http://mulesoft.com","mulesoft.com")</f>
        <v>mulesoft.com</v>
      </c>
      <c r="C29540" t="s">
        <v>433</v>
      </c>
      <c r="E29540">
        <v>5861</v>
      </c>
      <c r="F29540">
        <v>2.8850046170319399E-6</v>
      </c>
      <c r="G29540">
        <v>13386</v>
      </c>
      <c r="H29540">
        <v>17543884</v>
      </c>
      <c r="I29540">
        <v>11517</v>
      </c>
      <c r="J29540">
        <v>3</v>
      </c>
    </row>
    <row r="29541" spans="1:10" x14ac:dyDescent="0.25">
      <c r="A29541" t="s">
        <v>1650</v>
      </c>
      <c r="B29541" s="1" t="str">
        <f>HYPERLINK("http://narrativescience.com","narrativescience.com")</f>
        <v>narrativescience.com</v>
      </c>
      <c r="C29541" t="s">
        <v>433</v>
      </c>
      <c r="E29541">
        <v>123278</v>
      </c>
      <c r="F29541">
        <v>7.0687778403550502E-7</v>
      </c>
      <c r="G29541">
        <v>54808</v>
      </c>
      <c r="H29541">
        <v>15447533</v>
      </c>
      <c r="I29541">
        <v>378305</v>
      </c>
      <c r="J29541">
        <v>3</v>
      </c>
    </row>
    <row r="29542" spans="1:10" x14ac:dyDescent="0.25">
      <c r="A29542" t="s">
        <v>1650</v>
      </c>
      <c r="B29542" s="1" t="str">
        <f>HYPERLINK("http://quip.com","quip.com")</f>
        <v>quip.com</v>
      </c>
      <c r="C29542" t="s">
        <v>433</v>
      </c>
      <c r="E29542">
        <v>7712</v>
      </c>
      <c r="F29542">
        <v>2.3997847847562202E-6</v>
      </c>
      <c r="G29542">
        <v>15485</v>
      </c>
      <c r="H29542">
        <v>17788384</v>
      </c>
      <c r="I29542">
        <v>5764</v>
      </c>
      <c r="J29542">
        <v>3</v>
      </c>
    </row>
    <row r="29543" spans="1:10" x14ac:dyDescent="0.25">
      <c r="A29543" t="s">
        <v>1650</v>
      </c>
      <c r="B29543" s="1" t="str">
        <f>HYPERLINK("http://radian6.com","radian6.com")</f>
        <v>radian6.com</v>
      </c>
      <c r="C29543" t="s">
        <v>433</v>
      </c>
      <c r="E29543">
        <v>48945</v>
      </c>
      <c r="F29543">
        <v>1.8738814126328599E-6</v>
      </c>
      <c r="G29543">
        <v>19912</v>
      </c>
      <c r="H29543">
        <v>17596320</v>
      </c>
      <c r="I29543">
        <v>9778</v>
      </c>
      <c r="J29543">
        <v>4</v>
      </c>
    </row>
    <row r="29544" spans="1:10" x14ac:dyDescent="0.25">
      <c r="A29544" t="s">
        <v>1650</v>
      </c>
      <c r="B29544" s="1" t="str">
        <f>HYPERLINK("http://salesforce.com","salesforce.com")</f>
        <v>salesforce.com</v>
      </c>
      <c r="C29544" t="s">
        <v>433</v>
      </c>
      <c r="E29544">
        <v>105</v>
      </c>
      <c r="F29544">
        <v>9.2668409358526393E-5</v>
      </c>
      <c r="G29544">
        <v>283</v>
      </c>
      <c r="H29544">
        <v>19053316</v>
      </c>
      <c r="I29544">
        <v>490</v>
      </c>
      <c r="J29544">
        <v>1</v>
      </c>
    </row>
    <row r="29545" spans="1:10" x14ac:dyDescent="0.25">
      <c r="A29545" t="s">
        <v>1650</v>
      </c>
      <c r="B29545" s="1" t="str">
        <f>HYPERLINK("http://slack.com","slack.com")</f>
        <v>slack.com</v>
      </c>
      <c r="C29545" t="s">
        <v>433</v>
      </c>
      <c r="E29545">
        <v>276</v>
      </c>
      <c r="F29545">
        <v>7.3537354838692999E-5</v>
      </c>
      <c r="G29545">
        <v>359</v>
      </c>
      <c r="H29545">
        <v>19612954</v>
      </c>
      <c r="I29545">
        <v>133</v>
      </c>
      <c r="J29545">
        <v>3</v>
      </c>
    </row>
    <row r="29546" spans="1:10" x14ac:dyDescent="0.25">
      <c r="A29546" t="s">
        <v>1650</v>
      </c>
      <c r="B29546" s="1" t="str">
        <f>HYPERLINK("http://slack-corp.com","slack-corp.com")</f>
        <v>slack-corp.com</v>
      </c>
      <c r="C29546" t="s">
        <v>433</v>
      </c>
      <c r="E29546">
        <v>38325</v>
      </c>
      <c r="F29546">
        <v>6.8704315788503598E-9</v>
      </c>
      <c r="G29546">
        <v>12727559</v>
      </c>
      <c r="H29546">
        <v>12858164</v>
      </c>
      <c r="I29546">
        <v>14210617</v>
      </c>
      <c r="J29546">
        <v>6</v>
      </c>
    </row>
    <row r="29547" spans="1:10" x14ac:dyDescent="0.25">
      <c r="A29547" t="s">
        <v>1650</v>
      </c>
      <c r="B29547" s="1" t="str">
        <f>HYPERLINK("http://tableau.com","tableau.com")</f>
        <v>tableau.com</v>
      </c>
      <c r="C29547" t="s">
        <v>433</v>
      </c>
      <c r="E29547">
        <v>1821</v>
      </c>
      <c r="F29547">
        <v>2.7426787987823E-5</v>
      </c>
      <c r="G29547">
        <v>1070</v>
      </c>
      <c r="H29547">
        <v>18882418</v>
      </c>
      <c r="I29547">
        <v>675</v>
      </c>
      <c r="J29547">
        <v>3</v>
      </c>
    </row>
    <row r="29548" spans="1:10" x14ac:dyDescent="0.25">
      <c r="A29548" t="s">
        <v>1650</v>
      </c>
      <c r="B29548" s="1" t="str">
        <f>HYPERLINK("http://tableausoftware.com","tableausoftware.com")</f>
        <v>tableausoftware.com</v>
      </c>
      <c r="C29548" t="s">
        <v>433</v>
      </c>
      <c r="E29548">
        <v>9477</v>
      </c>
      <c r="F29548">
        <v>3.9842815872335502E-6</v>
      </c>
      <c r="G29548">
        <v>9505</v>
      </c>
      <c r="H29548">
        <v>17705242</v>
      </c>
      <c r="I29548">
        <v>7200</v>
      </c>
      <c r="J29548">
        <v>3</v>
      </c>
    </row>
    <row r="29549" spans="1:10" x14ac:dyDescent="0.25">
      <c r="A29549" t="s">
        <v>1650</v>
      </c>
      <c r="B29549" s="1" t="str">
        <f>HYPERLINK("http://vlocity.com","vlocity.com")</f>
        <v>vlocity.com</v>
      </c>
      <c r="C29549" t="s">
        <v>433</v>
      </c>
      <c r="E29549">
        <v>48901</v>
      </c>
      <c r="F29549">
        <v>1.20283754972854E-7</v>
      </c>
      <c r="G29549">
        <v>328560</v>
      </c>
      <c r="H29549">
        <v>13802066</v>
      </c>
      <c r="I29549">
        <v>6271341</v>
      </c>
      <c r="J29549">
        <v>3</v>
      </c>
    </row>
    <row r="29550" spans="1:10" x14ac:dyDescent="0.25">
      <c r="A29550" t="s">
        <v>1650</v>
      </c>
      <c r="B29550" s="1" t="str">
        <f>HYPERLINK("http://salesforce.de","salesforce.de")</f>
        <v>salesforce.de</v>
      </c>
      <c r="C29550" t="s">
        <v>436</v>
      </c>
      <c r="D29550" t="s">
        <v>815</v>
      </c>
      <c r="F29550">
        <v>3.2294685955772801E-8</v>
      </c>
      <c r="G29550">
        <v>1601013</v>
      </c>
      <c r="H29550">
        <v>13167721</v>
      </c>
      <c r="I29550">
        <v>11733668</v>
      </c>
      <c r="J29550">
        <v>2</v>
      </c>
    </row>
    <row r="29551" spans="1:10" x14ac:dyDescent="0.25">
      <c r="A29551" t="s">
        <v>1650</v>
      </c>
      <c r="B29551" s="1" t="str">
        <f>HYPERLINK("http://slack.design","slack.design")</f>
        <v>slack.design</v>
      </c>
      <c r="C29551" t="s">
        <v>582</v>
      </c>
      <c r="F29551">
        <v>1.2793482759294701E-7</v>
      </c>
      <c r="G29551">
        <v>306745</v>
      </c>
      <c r="H29551">
        <v>13657531</v>
      </c>
      <c r="I29551">
        <v>9602628</v>
      </c>
      <c r="J29551">
        <v>4</v>
      </c>
    </row>
    <row r="29552" spans="1:10" x14ac:dyDescent="0.25">
      <c r="A29552" t="s">
        <v>1650</v>
      </c>
      <c r="B29552" s="1" t="str">
        <f>HYPERLINK("http://mulesoft-labs.dev","mulesoft-labs.dev")</f>
        <v>mulesoft-labs.dev</v>
      </c>
      <c r="C29552" t="s">
        <v>527</v>
      </c>
      <c r="F29552">
        <v>5.2193863059992798E-9</v>
      </c>
      <c r="G29552">
        <v>24756513</v>
      </c>
      <c r="H29552">
        <v>12124277</v>
      </c>
      <c r="I29552">
        <v>25298629</v>
      </c>
      <c r="J29552">
        <v>4</v>
      </c>
    </row>
    <row r="29553" spans="1:10" x14ac:dyDescent="0.25">
      <c r="A29553" t="s">
        <v>1650</v>
      </c>
      <c r="B29553" s="1" t="str">
        <f>HYPERLINK("http://slack.dev","slack.dev")</f>
        <v>slack.dev</v>
      </c>
      <c r="C29553" t="s">
        <v>527</v>
      </c>
      <c r="E29553">
        <v>919677</v>
      </c>
      <c r="F29553">
        <v>2.6281428440136401E-7</v>
      </c>
      <c r="G29553">
        <v>142295</v>
      </c>
      <c r="H29553">
        <v>14256300</v>
      </c>
      <c r="I29553">
        <v>1430823</v>
      </c>
      <c r="J29553">
        <v>4</v>
      </c>
    </row>
    <row r="29554" spans="1:10" x14ac:dyDescent="0.25">
      <c r="A29554" t="s">
        <v>1650</v>
      </c>
      <c r="B29554" s="1" t="str">
        <f>HYPERLINK("http://slack.engineering","slack.engineering")</f>
        <v>slack.engineering</v>
      </c>
      <c r="C29554" t="s">
        <v>719</v>
      </c>
      <c r="E29554">
        <v>260544</v>
      </c>
      <c r="F29554">
        <v>1.1959227187405301E-6</v>
      </c>
      <c r="G29554">
        <v>32603</v>
      </c>
      <c r="H29554">
        <v>17257826</v>
      </c>
      <c r="I29554">
        <v>32945</v>
      </c>
      <c r="J29554">
        <v>4</v>
      </c>
    </row>
    <row r="29555" spans="1:10" x14ac:dyDescent="0.25">
      <c r="A29555" t="s">
        <v>1650</v>
      </c>
      <c r="B29555" s="1" t="str">
        <f>HYPERLINK("http://demandware.fi","demandware.fi")</f>
        <v>demandware.fi</v>
      </c>
      <c r="C29555" t="s">
        <v>445</v>
      </c>
      <c r="D29555" t="s">
        <v>823</v>
      </c>
      <c r="J29555">
        <v>2</v>
      </c>
    </row>
    <row r="29556" spans="1:10" x14ac:dyDescent="0.25">
      <c r="A29556" t="s">
        <v>1650</v>
      </c>
      <c r="B29556" s="1" t="str">
        <f>HYPERLINK("http://servicetrace.fi","servicetrace.fi")</f>
        <v>servicetrace.fi</v>
      </c>
      <c r="C29556" t="s">
        <v>445</v>
      </c>
      <c r="D29556" t="s">
        <v>823</v>
      </c>
      <c r="J29556">
        <v>4</v>
      </c>
    </row>
    <row r="29557" spans="1:10" x14ac:dyDescent="0.25">
      <c r="A29557" t="s">
        <v>1650</v>
      </c>
      <c r="B29557" s="1" t="str">
        <f>HYPERLINK("http://slack.fi","slack.fi")</f>
        <v>slack.fi</v>
      </c>
      <c r="C29557" t="s">
        <v>445</v>
      </c>
      <c r="D29557" t="s">
        <v>823</v>
      </c>
      <c r="J29557">
        <v>6</v>
      </c>
    </row>
    <row r="29558" spans="1:10" x14ac:dyDescent="0.25">
      <c r="A29558" t="s">
        <v>1650</v>
      </c>
      <c r="B29558" s="1" t="str">
        <f>HYPERLINK("http://slackcertified.fi","slackcertified.fi")</f>
        <v>slackcertified.fi</v>
      </c>
      <c r="C29558" t="s">
        <v>445</v>
      </c>
      <c r="D29558" t="s">
        <v>823</v>
      </c>
      <c r="J29558">
        <v>6</v>
      </c>
    </row>
    <row r="29559" spans="1:10" x14ac:dyDescent="0.25">
      <c r="A29559" t="s">
        <v>1650</v>
      </c>
      <c r="B29559" s="1" t="str">
        <f>HYPERLINK("http://slackexperts.fi","slackexperts.fi")</f>
        <v>slackexperts.fi</v>
      </c>
      <c r="C29559" t="s">
        <v>445</v>
      </c>
      <c r="D29559" t="s">
        <v>823</v>
      </c>
      <c r="J29559">
        <v>6</v>
      </c>
    </row>
    <row r="29560" spans="1:10" x14ac:dyDescent="0.25">
      <c r="A29560" t="s">
        <v>1650</v>
      </c>
      <c r="B29560" s="1" t="str">
        <f>HYPERLINK("http://slackforum.fi","slackforum.fi")</f>
        <v>slackforum.fi</v>
      </c>
      <c r="C29560" t="s">
        <v>445</v>
      </c>
      <c r="D29560" t="s">
        <v>823</v>
      </c>
      <c r="J29560">
        <v>6</v>
      </c>
    </row>
    <row r="29561" spans="1:10" x14ac:dyDescent="0.25">
      <c r="A29561" t="s">
        <v>1650</v>
      </c>
      <c r="B29561" s="1" t="str">
        <f>HYPERLINK("http://slackworkspace.fi","slackworkspace.fi")</f>
        <v>slackworkspace.fi</v>
      </c>
      <c r="C29561" t="s">
        <v>445</v>
      </c>
      <c r="D29561" t="s">
        <v>823</v>
      </c>
      <c r="J29561">
        <v>6</v>
      </c>
    </row>
    <row r="29562" spans="1:10" x14ac:dyDescent="0.25">
      <c r="A29562" t="s">
        <v>1650</v>
      </c>
      <c r="B29562" s="1" t="str">
        <f>HYPERLINK("http://slack.help","slack.help")</f>
        <v>slack.help</v>
      </c>
      <c r="C29562" t="s">
        <v>586</v>
      </c>
      <c r="E29562">
        <v>151936</v>
      </c>
      <c r="F29562">
        <v>3.0007089902615601E-6</v>
      </c>
      <c r="G29562">
        <v>12977</v>
      </c>
      <c r="H29562">
        <v>17832384</v>
      </c>
      <c r="I29562">
        <v>5194</v>
      </c>
      <c r="J29562">
        <v>4</v>
      </c>
    </row>
    <row r="29563" spans="1:10" x14ac:dyDescent="0.25">
      <c r="A29563" t="s">
        <v>1650</v>
      </c>
      <c r="B29563" s="1" t="str">
        <f>HYPERLINK("http://prediction.io","prediction.io")</f>
        <v>prediction.io</v>
      </c>
      <c r="C29563" t="s">
        <v>518</v>
      </c>
      <c r="F29563">
        <v>1.11502911672368E-7</v>
      </c>
      <c r="G29563">
        <v>358452</v>
      </c>
      <c r="H29563">
        <v>14507834</v>
      </c>
      <c r="I29563">
        <v>829799</v>
      </c>
      <c r="J29563">
        <v>4</v>
      </c>
    </row>
    <row r="29564" spans="1:10" x14ac:dyDescent="0.25">
      <c r="A29564" t="s">
        <v>1650</v>
      </c>
      <c r="B29564" s="1" t="str">
        <f>HYPERLINK("http://valuetext.io","valuetext.io")</f>
        <v>valuetext.io</v>
      </c>
      <c r="C29564" t="s">
        <v>518</v>
      </c>
      <c r="F29564">
        <v>8.6389392823733396E-9</v>
      </c>
      <c r="G29564">
        <v>8586068</v>
      </c>
      <c r="H29564">
        <v>12425041</v>
      </c>
      <c r="I29564">
        <v>18375093</v>
      </c>
      <c r="J29564">
        <v>4</v>
      </c>
    </row>
    <row r="29565" spans="1:10" x14ac:dyDescent="0.25">
      <c r="A29565" t="s">
        <v>1650</v>
      </c>
      <c r="B29565" s="1" t="str">
        <f>HYPERLINK("http://demandware.jp","demandware.jp")</f>
        <v>demandware.jp</v>
      </c>
      <c r="C29565" t="s">
        <v>461</v>
      </c>
      <c r="D29565" t="s">
        <v>837</v>
      </c>
      <c r="E29565">
        <v>273245</v>
      </c>
      <c r="F29565">
        <v>6.4669605326092298E-9</v>
      </c>
      <c r="G29565">
        <v>14218542</v>
      </c>
      <c r="H29565">
        <v>12347093</v>
      </c>
      <c r="I29565">
        <v>19812554</v>
      </c>
      <c r="J29565">
        <v>7</v>
      </c>
    </row>
    <row r="29566" spans="1:10" x14ac:dyDescent="0.25">
      <c r="A29566" t="s">
        <v>1650</v>
      </c>
      <c r="B29566" s="1" t="str">
        <f>HYPERLINK("http://tableau.lt","tableau.lt")</f>
        <v>tableau.lt</v>
      </c>
      <c r="C29566" t="s">
        <v>467</v>
      </c>
      <c r="D29566" t="s">
        <v>843</v>
      </c>
      <c r="F29566">
        <v>5.7497765386400699E-9</v>
      </c>
      <c r="G29566">
        <v>18499003</v>
      </c>
      <c r="H29566">
        <v>12152161</v>
      </c>
      <c r="I29566">
        <v>24571137</v>
      </c>
      <c r="J29566">
        <v>4</v>
      </c>
    </row>
    <row r="29567" spans="1:10" x14ac:dyDescent="0.25">
      <c r="A29567" t="s">
        <v>1650</v>
      </c>
      <c r="B29567" s="1" t="str">
        <f>HYPERLINK("http://quip.mobi","quip.mobi")</f>
        <v>quip.mobi</v>
      </c>
      <c r="C29567" t="s">
        <v>532</v>
      </c>
      <c r="F29567">
        <v>1.32992075449781E-8</v>
      </c>
      <c r="G29567">
        <v>4493796</v>
      </c>
      <c r="H29567">
        <v>12548828</v>
      </c>
      <c r="I29567">
        <v>16833705</v>
      </c>
      <c r="J29567">
        <v>4</v>
      </c>
    </row>
    <row r="29568" spans="1:10" x14ac:dyDescent="0.25">
      <c r="A29568" t="s">
        <v>1650</v>
      </c>
      <c r="B29568" s="1" t="str">
        <f>HYPERLINK("http://mulesoft.org","mulesoft.org")</f>
        <v>mulesoft.org</v>
      </c>
      <c r="C29568" t="s">
        <v>481</v>
      </c>
      <c r="E29568">
        <v>132150</v>
      </c>
      <c r="F29568">
        <v>1.6911330037881999E-7</v>
      </c>
      <c r="G29568">
        <v>229378</v>
      </c>
      <c r="H29568">
        <v>14627032</v>
      </c>
      <c r="I29568">
        <v>649168</v>
      </c>
      <c r="J29568">
        <v>4</v>
      </c>
    </row>
    <row r="29569" spans="1:10" x14ac:dyDescent="0.25">
      <c r="A29569" t="s">
        <v>1650</v>
      </c>
      <c r="B29569" s="1" t="str">
        <f>HYPERLINK("http://salesforce.org","salesforce.org")</f>
        <v>salesforce.org</v>
      </c>
      <c r="C29569" t="s">
        <v>481</v>
      </c>
      <c r="E29569">
        <v>33752</v>
      </c>
      <c r="F29569">
        <v>2.0651272439829599E-6</v>
      </c>
      <c r="G29569">
        <v>17708</v>
      </c>
      <c r="H29569">
        <v>17368224</v>
      </c>
      <c r="I29569">
        <v>21576</v>
      </c>
      <c r="J29569">
        <v>2</v>
      </c>
    </row>
    <row r="29570" spans="1:10" x14ac:dyDescent="0.25">
      <c r="A29570" t="s">
        <v>1650</v>
      </c>
      <c r="B29570" s="1" t="str">
        <f>HYPERLINK("http://testforce.org","testforce.org")</f>
        <v>testforce.org</v>
      </c>
      <c r="C29570" t="s">
        <v>481</v>
      </c>
      <c r="F29570">
        <v>5.04701981499976E-9</v>
      </c>
      <c r="G29570">
        <v>28289846</v>
      </c>
      <c r="H29570">
        <v>12185443</v>
      </c>
      <c r="I29570">
        <v>23685304</v>
      </c>
      <c r="J29570">
        <v>4</v>
      </c>
    </row>
    <row r="29571" spans="1:10" x14ac:dyDescent="0.25">
      <c r="A29571" t="s">
        <v>1650</v>
      </c>
      <c r="B29571" s="1" t="str">
        <f>HYPERLINK("http://heroku.support","heroku.support")</f>
        <v>heroku.support</v>
      </c>
      <c r="C29571" t="s">
        <v>712</v>
      </c>
      <c r="E29571">
        <v>441540</v>
      </c>
      <c r="F29571">
        <v>4.52344666587805E-8</v>
      </c>
      <c r="G29571">
        <v>1042478</v>
      </c>
      <c r="H29571">
        <v>13767375</v>
      </c>
      <c r="I29571">
        <v>6937644</v>
      </c>
      <c r="J29571">
        <v>4</v>
      </c>
    </row>
    <row r="29572" spans="1:10" x14ac:dyDescent="0.25">
      <c r="A29572" t="s">
        <v>1650</v>
      </c>
      <c r="B29572" s="1" t="str">
        <f>HYPERLINK("http://socialmediamonitoring.co.uk","socialmediamonitoring.co.uk")</f>
        <v>socialmediamonitoring.co.uk</v>
      </c>
      <c r="C29572" t="s">
        <v>506</v>
      </c>
      <c r="D29572" t="s">
        <v>880</v>
      </c>
      <c r="F29572">
        <v>6.0306668504187999E-9</v>
      </c>
      <c r="G29572">
        <v>16495905</v>
      </c>
      <c r="H29572">
        <v>14136913</v>
      </c>
      <c r="I29572">
        <v>1957976</v>
      </c>
      <c r="J29572">
        <v>4</v>
      </c>
    </row>
    <row r="29573" spans="1:10" x14ac:dyDescent="0.25">
      <c r="A29573" t="s">
        <v>336</v>
      </c>
      <c r="B29573" s="1" t="str">
        <f>HYPERLINK("http://samsungbiologics.com","samsungbiologics.com")</f>
        <v>samsungbiologics.com</v>
      </c>
      <c r="C29573" t="s">
        <v>433</v>
      </c>
      <c r="E29573">
        <v>903166</v>
      </c>
      <c r="F29573">
        <v>1.13595711445831E-7</v>
      </c>
      <c r="G29573">
        <v>350899</v>
      </c>
      <c r="H29573">
        <v>14278886</v>
      </c>
      <c r="I29573">
        <v>1384742</v>
      </c>
      <c r="J29573">
        <v>1</v>
      </c>
    </row>
    <row r="29574" spans="1:10" x14ac:dyDescent="0.25">
      <c r="A29574" t="s">
        <v>337</v>
      </c>
      <c r="B29574" s="1" t="str">
        <f>HYPERLINK("http://jbl.com.ar","jbl.com.ar")</f>
        <v>jbl.com.ar</v>
      </c>
      <c r="C29574" t="s">
        <v>418</v>
      </c>
      <c r="D29574" t="s">
        <v>800</v>
      </c>
      <c r="F29574">
        <v>1.9934893024635399E-8</v>
      </c>
      <c r="G29574">
        <v>2669248</v>
      </c>
      <c r="H29574">
        <v>12412075</v>
      </c>
      <c r="I29574">
        <v>18576092</v>
      </c>
      <c r="J29574">
        <v>5</v>
      </c>
    </row>
    <row r="29575" spans="1:10" x14ac:dyDescent="0.25">
      <c r="A29575" t="s">
        <v>337</v>
      </c>
      <c r="B29575" s="1" t="str">
        <f>HYPERLINK("http://samsung.com.ar","samsung.com.ar")</f>
        <v>samsung.com.ar</v>
      </c>
      <c r="C29575" t="s">
        <v>418</v>
      </c>
      <c r="D29575" t="s">
        <v>800</v>
      </c>
      <c r="F29575">
        <v>2.5586568194894301E-8</v>
      </c>
      <c r="G29575">
        <v>2015372</v>
      </c>
      <c r="H29575">
        <v>13354446</v>
      </c>
      <c r="I29575">
        <v>10602475</v>
      </c>
      <c r="J29575">
        <v>2</v>
      </c>
    </row>
    <row r="29576" spans="1:10" x14ac:dyDescent="0.25">
      <c r="A29576" t="s">
        <v>337</v>
      </c>
      <c r="B29576" s="1" t="str">
        <f>HYPERLINK("http://harmanaudio.at","harmanaudio.at")</f>
        <v>harmanaudio.at</v>
      </c>
      <c r="C29576" t="s">
        <v>419</v>
      </c>
      <c r="D29576" t="s">
        <v>801</v>
      </c>
      <c r="F29576">
        <v>7.2713968540054602E-9</v>
      </c>
      <c r="G29576">
        <v>11550570</v>
      </c>
      <c r="H29576">
        <v>12029027</v>
      </c>
      <c r="I29576">
        <v>27680804</v>
      </c>
      <c r="J29576">
        <v>6</v>
      </c>
    </row>
    <row r="29577" spans="1:10" x14ac:dyDescent="0.25">
      <c r="A29577" t="s">
        <v>337</v>
      </c>
      <c r="B29577" s="1" t="str">
        <f>HYPERLINK("http://harmankardon.at","harmankardon.at")</f>
        <v>harmankardon.at</v>
      </c>
      <c r="C29577" t="s">
        <v>419</v>
      </c>
      <c r="D29577" t="s">
        <v>801</v>
      </c>
      <c r="F29577">
        <v>1.5800523635410699E-8</v>
      </c>
      <c r="G29577">
        <v>3599362</v>
      </c>
      <c r="H29577">
        <v>12270517</v>
      </c>
      <c r="I29577">
        <v>21513997</v>
      </c>
      <c r="J29577">
        <v>5</v>
      </c>
    </row>
    <row r="29578" spans="1:10" x14ac:dyDescent="0.25">
      <c r="A29578" t="s">
        <v>337</v>
      </c>
      <c r="B29578" s="1" t="str">
        <f>HYPERLINK("http://jbl.at","jbl.at")</f>
        <v>jbl.at</v>
      </c>
      <c r="C29578" t="s">
        <v>419</v>
      </c>
      <c r="D29578" t="s">
        <v>801</v>
      </c>
      <c r="F29578">
        <v>3.8365167813318498E-8</v>
      </c>
      <c r="G29578">
        <v>1349424</v>
      </c>
      <c r="H29578">
        <v>13478452</v>
      </c>
      <c r="I29578">
        <v>10014076</v>
      </c>
      <c r="J29578">
        <v>5</v>
      </c>
    </row>
    <row r="29579" spans="1:10" x14ac:dyDescent="0.25">
      <c r="A29579" t="s">
        <v>337</v>
      </c>
      <c r="B29579" s="1" t="str">
        <f>HYPERLINK("http://langwallner.at","langwallner.at")</f>
        <v>langwallner.at</v>
      </c>
      <c r="C29579" t="s">
        <v>419</v>
      </c>
      <c r="D29579" t="s">
        <v>801</v>
      </c>
      <c r="F29579">
        <v>5.45313740627192E-9</v>
      </c>
      <c r="G29579">
        <v>21445767</v>
      </c>
      <c r="H29579">
        <v>10558901</v>
      </c>
      <c r="I29579">
        <v>46401413</v>
      </c>
      <c r="J29579">
        <v>3</v>
      </c>
    </row>
    <row r="29580" spans="1:10" x14ac:dyDescent="0.25">
      <c r="A29580" t="s">
        <v>337</v>
      </c>
      <c r="B29580" s="1" t="str">
        <f>HYPERLINK("http://samsung.at","samsung.at")</f>
        <v>samsung.at</v>
      </c>
      <c r="C29580" t="s">
        <v>419</v>
      </c>
      <c r="D29580" t="s">
        <v>801</v>
      </c>
      <c r="F29580">
        <v>4.7386486338374602E-8</v>
      </c>
      <c r="G29580">
        <v>983296</v>
      </c>
      <c r="H29580">
        <v>13827757</v>
      </c>
      <c r="I29580">
        <v>6117567</v>
      </c>
      <c r="J29580">
        <v>2</v>
      </c>
    </row>
    <row r="29581" spans="1:10" x14ac:dyDescent="0.25">
      <c r="A29581" t="s">
        <v>337</v>
      </c>
      <c r="B29581" s="1" t="str">
        <f>HYPERLINK("http://teleroll.at","teleroll.at")</f>
        <v>teleroll.at</v>
      </c>
      <c r="C29581" t="s">
        <v>419</v>
      </c>
      <c r="D29581" t="s">
        <v>801</v>
      </c>
      <c r="F29581">
        <v>5.4921874895837098E-9</v>
      </c>
      <c r="G29581">
        <v>20987970</v>
      </c>
      <c r="H29581">
        <v>10099592</v>
      </c>
      <c r="I29581">
        <v>59892162</v>
      </c>
      <c r="J29581">
        <v>3</v>
      </c>
    </row>
    <row r="29582" spans="1:10" x14ac:dyDescent="0.25">
      <c r="A29582" t="s">
        <v>337</v>
      </c>
      <c r="B29582" s="1" t="str">
        <f>HYPERLINK("http://harmanaudio.com.au","harmanaudio.com.au")</f>
        <v>harmanaudio.com.au</v>
      </c>
      <c r="C29582" t="s">
        <v>420</v>
      </c>
      <c r="D29582" t="s">
        <v>802</v>
      </c>
      <c r="F29582">
        <v>1.12683842939883E-8</v>
      </c>
      <c r="G29582">
        <v>5664423</v>
      </c>
      <c r="H29582">
        <v>12447542</v>
      </c>
      <c r="I29582">
        <v>18057687</v>
      </c>
      <c r="J29582">
        <v>6</v>
      </c>
    </row>
    <row r="29583" spans="1:10" x14ac:dyDescent="0.25">
      <c r="A29583" t="s">
        <v>337</v>
      </c>
      <c r="B29583" s="1" t="str">
        <f>HYPERLINK("http://harmankardon.com.au","harmankardon.com.au")</f>
        <v>harmankardon.com.au</v>
      </c>
      <c r="C29583" t="s">
        <v>420</v>
      </c>
      <c r="D29583" t="s">
        <v>802</v>
      </c>
      <c r="F29583">
        <v>2.14334572034916E-8</v>
      </c>
      <c r="G29583">
        <v>2457326</v>
      </c>
      <c r="H29583">
        <v>12410992</v>
      </c>
      <c r="I29583">
        <v>18595315</v>
      </c>
      <c r="J29583">
        <v>5</v>
      </c>
    </row>
    <row r="29584" spans="1:10" x14ac:dyDescent="0.25">
      <c r="A29584" t="s">
        <v>337</v>
      </c>
      <c r="B29584" s="1" t="str">
        <f>HYPERLINK("http://jbl.com.au","jbl.com.au")</f>
        <v>jbl.com.au</v>
      </c>
      <c r="C29584" t="s">
        <v>420</v>
      </c>
      <c r="D29584" t="s">
        <v>802</v>
      </c>
      <c r="E29584">
        <v>525101</v>
      </c>
      <c r="F29584">
        <v>5.48407661646997E-8</v>
      </c>
      <c r="G29584">
        <v>820744</v>
      </c>
      <c r="H29584">
        <v>13404351</v>
      </c>
      <c r="I29584">
        <v>10359048</v>
      </c>
      <c r="J29584">
        <v>5</v>
      </c>
    </row>
    <row r="29585" spans="1:10" x14ac:dyDescent="0.25">
      <c r="A29585" t="s">
        <v>337</v>
      </c>
      <c r="B29585" s="1" t="str">
        <f>HYPERLINK("http://samsung.com.au","samsung.com.au")</f>
        <v>samsung.com.au</v>
      </c>
      <c r="C29585" t="s">
        <v>420</v>
      </c>
      <c r="D29585" t="s">
        <v>802</v>
      </c>
      <c r="F29585">
        <v>2.0102366026905099E-8</v>
      </c>
      <c r="G29585">
        <v>2643537</v>
      </c>
      <c r="H29585">
        <v>13832600</v>
      </c>
      <c r="I29585">
        <v>6101655</v>
      </c>
      <c r="J29585">
        <v>2</v>
      </c>
    </row>
    <row r="29586" spans="1:10" x14ac:dyDescent="0.25">
      <c r="A29586" t="s">
        <v>337</v>
      </c>
      <c r="B29586" s="1" t="str">
        <f>HYPERLINK("http://harmankardon.be","harmankardon.be")</f>
        <v>harmankardon.be</v>
      </c>
      <c r="C29586" t="s">
        <v>421</v>
      </c>
      <c r="D29586" t="s">
        <v>803</v>
      </c>
      <c r="F29586">
        <v>2.2921389271202899E-8</v>
      </c>
      <c r="G29586">
        <v>2280459</v>
      </c>
      <c r="H29586">
        <v>12431043</v>
      </c>
      <c r="I29586">
        <v>18288076</v>
      </c>
      <c r="J29586">
        <v>5</v>
      </c>
    </row>
    <row r="29587" spans="1:10" x14ac:dyDescent="0.25">
      <c r="A29587" t="s">
        <v>337</v>
      </c>
      <c r="B29587" s="1" t="str">
        <f>HYPERLINK("http://infinitylab.be","infinitylab.be")</f>
        <v>infinitylab.be</v>
      </c>
      <c r="C29587" t="s">
        <v>421</v>
      </c>
      <c r="D29587" t="s">
        <v>803</v>
      </c>
      <c r="F29587">
        <v>9.0858715993656599E-9</v>
      </c>
      <c r="G29587">
        <v>7866491</v>
      </c>
      <c r="H29587">
        <v>12190180</v>
      </c>
      <c r="I29587">
        <v>23581119</v>
      </c>
      <c r="J29587">
        <v>5</v>
      </c>
    </row>
    <row r="29588" spans="1:10" x14ac:dyDescent="0.25">
      <c r="A29588" t="s">
        <v>337</v>
      </c>
      <c r="B29588" s="1" t="str">
        <f>HYPERLINK("http://harmanaudio.com.br","harmanaudio.com.br")</f>
        <v>harmanaudio.com.br</v>
      </c>
      <c r="C29588" t="s">
        <v>425</v>
      </c>
      <c r="D29588" t="s">
        <v>806</v>
      </c>
      <c r="F29588">
        <v>7.2871807126274297E-9</v>
      </c>
      <c r="G29588">
        <v>11511795</v>
      </c>
      <c r="H29588">
        <v>12155610</v>
      </c>
      <c r="I29588">
        <v>24480296</v>
      </c>
      <c r="J29588">
        <v>6</v>
      </c>
    </row>
    <row r="29589" spans="1:10" x14ac:dyDescent="0.25">
      <c r="A29589" t="s">
        <v>337</v>
      </c>
      <c r="B29589" s="1" t="str">
        <f>HYPERLINK("http://harmankardon.com.br","harmankardon.com.br")</f>
        <v>harmankardon.com.br</v>
      </c>
      <c r="C29589" t="s">
        <v>425</v>
      </c>
      <c r="D29589" t="s">
        <v>806</v>
      </c>
      <c r="F29589">
        <v>1.6985330618386699E-8</v>
      </c>
      <c r="G29589">
        <v>3286617</v>
      </c>
      <c r="H29589">
        <v>12430406</v>
      </c>
      <c r="I29589">
        <v>18297207</v>
      </c>
      <c r="J29589">
        <v>5</v>
      </c>
    </row>
    <row r="29590" spans="1:10" x14ac:dyDescent="0.25">
      <c r="A29590" t="s">
        <v>337</v>
      </c>
      <c r="B29590" s="1" t="str">
        <f>HYPERLINK("http://jbl.com.br","jbl.com.br")</f>
        <v>jbl.com.br</v>
      </c>
      <c r="C29590" t="s">
        <v>425</v>
      </c>
      <c r="D29590" t="s">
        <v>806</v>
      </c>
      <c r="E29590">
        <v>199394</v>
      </c>
      <c r="F29590">
        <v>6.4216275398764294E-8</v>
      </c>
      <c r="G29590">
        <v>674419</v>
      </c>
      <c r="H29590">
        <v>16885402</v>
      </c>
      <c r="I29590">
        <v>137005</v>
      </c>
      <c r="J29590">
        <v>5</v>
      </c>
    </row>
    <row r="29591" spans="1:10" x14ac:dyDescent="0.25">
      <c r="A29591" t="s">
        <v>337</v>
      </c>
      <c r="B29591" s="1" t="str">
        <f>HYPERLINK("http://samsung.com.br","samsung.com.br")</f>
        <v>samsung.com.br</v>
      </c>
      <c r="C29591" t="s">
        <v>425</v>
      </c>
      <c r="D29591" t="s">
        <v>806</v>
      </c>
      <c r="E29591">
        <v>251802</v>
      </c>
      <c r="F29591">
        <v>9.1308733670783203E-8</v>
      </c>
      <c r="G29591">
        <v>446429</v>
      </c>
      <c r="H29591">
        <v>16992100</v>
      </c>
      <c r="I29591">
        <v>95412</v>
      </c>
      <c r="J29591">
        <v>2</v>
      </c>
    </row>
    <row r="29592" spans="1:10" x14ac:dyDescent="0.25">
      <c r="A29592" t="s">
        <v>337</v>
      </c>
      <c r="B29592" s="1" t="str">
        <f>HYPERLINK("http://harmankardon.ch","harmankardon.ch")</f>
        <v>harmankardon.ch</v>
      </c>
      <c r="C29592" t="s">
        <v>429</v>
      </c>
      <c r="D29592" t="s">
        <v>810</v>
      </c>
      <c r="F29592">
        <v>1.8507874231878799E-8</v>
      </c>
      <c r="G29592">
        <v>2924115</v>
      </c>
      <c r="H29592">
        <v>12282898</v>
      </c>
      <c r="I29592">
        <v>21251414</v>
      </c>
      <c r="J29592">
        <v>5</v>
      </c>
    </row>
    <row r="29593" spans="1:10" x14ac:dyDescent="0.25">
      <c r="A29593" t="s">
        <v>337</v>
      </c>
      <c r="B29593" s="1" t="str">
        <f>HYPERLINK("http://samsung.ch","samsung.ch")</f>
        <v>samsung.ch</v>
      </c>
      <c r="C29593" t="s">
        <v>429</v>
      </c>
      <c r="D29593" t="s">
        <v>810</v>
      </c>
      <c r="F29593">
        <v>4.8096968756287297E-8</v>
      </c>
      <c r="G29593">
        <v>966301</v>
      </c>
      <c r="H29593">
        <v>13835153</v>
      </c>
      <c r="I29593">
        <v>6094549</v>
      </c>
      <c r="J29593">
        <v>2</v>
      </c>
    </row>
    <row r="29594" spans="1:10" x14ac:dyDescent="0.25">
      <c r="A29594" t="s">
        <v>337</v>
      </c>
      <c r="B29594" s="1" t="str">
        <f>HYPERLINK("http://jbl.cl","jbl.cl")</f>
        <v>jbl.cl</v>
      </c>
      <c r="C29594" t="s">
        <v>430</v>
      </c>
      <c r="D29594" t="s">
        <v>811</v>
      </c>
      <c r="F29594">
        <v>2.2767616349672501E-8</v>
      </c>
      <c r="G29594">
        <v>2299385</v>
      </c>
      <c r="H29594">
        <v>12635905</v>
      </c>
      <c r="I29594">
        <v>15907008</v>
      </c>
      <c r="J29594">
        <v>5</v>
      </c>
    </row>
    <row r="29595" spans="1:10" x14ac:dyDescent="0.25">
      <c r="A29595" t="s">
        <v>337</v>
      </c>
      <c r="B29595" s="1" t="str">
        <f>HYPERLINK("http://samsung.cl","samsung.cl")</f>
        <v>samsung.cl</v>
      </c>
      <c r="C29595" t="s">
        <v>430</v>
      </c>
      <c r="D29595" t="s">
        <v>811</v>
      </c>
      <c r="F29595">
        <v>3.1272280776206402E-8</v>
      </c>
      <c r="G29595">
        <v>1648861</v>
      </c>
      <c r="H29595">
        <v>13375839</v>
      </c>
      <c r="I29595">
        <v>10443330</v>
      </c>
      <c r="J29595">
        <v>2</v>
      </c>
    </row>
    <row r="29596" spans="1:10" x14ac:dyDescent="0.25">
      <c r="A29596" t="s">
        <v>337</v>
      </c>
      <c r="B29596" s="1" t="str">
        <f>HYPERLINK("http://samsung.com.cn","samsung.com.cn")</f>
        <v>samsung.com.cn</v>
      </c>
      <c r="C29596" t="s">
        <v>431</v>
      </c>
      <c r="D29596" t="s">
        <v>812</v>
      </c>
      <c r="E29596">
        <v>34415</v>
      </c>
      <c r="F29596">
        <v>1.92674609167024E-7</v>
      </c>
      <c r="G29596">
        <v>200025</v>
      </c>
      <c r="H29596">
        <v>14230732</v>
      </c>
      <c r="I29596">
        <v>1673995</v>
      </c>
      <c r="J29596">
        <v>2</v>
      </c>
    </row>
    <row r="29597" spans="1:10" x14ac:dyDescent="0.25">
      <c r="A29597" t="s">
        <v>337</v>
      </c>
      <c r="B29597" s="1" t="str">
        <f>HYPERLINK("http://samsungsdi.com.cn","samsungsdi.com.cn")</f>
        <v>samsungsdi.com.cn</v>
      </c>
      <c r="C29597" t="s">
        <v>431</v>
      </c>
      <c r="D29597" t="s">
        <v>812</v>
      </c>
      <c r="F29597">
        <v>1.8138597992525098E-8</v>
      </c>
      <c r="G29597">
        <v>3002002</v>
      </c>
      <c r="H29597">
        <v>11122265</v>
      </c>
      <c r="I29597">
        <v>32026653</v>
      </c>
      <c r="J29597">
        <v>5</v>
      </c>
    </row>
    <row r="29598" spans="1:10" x14ac:dyDescent="0.25">
      <c r="A29598" t="s">
        <v>337</v>
      </c>
      <c r="B29598" s="1" t="str">
        <f>HYPERLINK("http://samsung.cn","samsung.cn")</f>
        <v>samsung.cn</v>
      </c>
      <c r="C29598" t="s">
        <v>431</v>
      </c>
      <c r="D29598" t="s">
        <v>812</v>
      </c>
      <c r="E29598">
        <v>267944</v>
      </c>
      <c r="F29598">
        <v>2.0399306063042198E-8</v>
      </c>
      <c r="G29598">
        <v>2599818</v>
      </c>
      <c r="H29598">
        <v>12613054</v>
      </c>
      <c r="I29598">
        <v>16218792</v>
      </c>
      <c r="J29598">
        <v>2</v>
      </c>
    </row>
    <row r="29599" spans="1:10" x14ac:dyDescent="0.25">
      <c r="A29599" t="s">
        <v>337</v>
      </c>
      <c r="B29599" s="1" t="str">
        <f>HYPERLINK("http://jbl.com.co","jbl.com.co")</f>
        <v>jbl.com.co</v>
      </c>
      <c r="C29599" t="s">
        <v>432</v>
      </c>
      <c r="F29599">
        <v>1.1115309352164699E-8</v>
      </c>
      <c r="G29599">
        <v>5774238</v>
      </c>
      <c r="H29599">
        <v>12276174</v>
      </c>
      <c r="I29599">
        <v>21387439</v>
      </c>
      <c r="J29599">
        <v>5</v>
      </c>
    </row>
    <row r="29600" spans="1:10" x14ac:dyDescent="0.25">
      <c r="A29600" t="s">
        <v>337</v>
      </c>
      <c r="B29600" s="1" t="str">
        <f>HYPERLINK("http://samsung.com.co","samsung.com.co")</f>
        <v>samsung.com.co</v>
      </c>
      <c r="C29600" t="s">
        <v>432</v>
      </c>
      <c r="F29600">
        <v>3.48565218337316E-8</v>
      </c>
      <c r="G29600">
        <v>1489788</v>
      </c>
      <c r="H29600">
        <v>14148328</v>
      </c>
      <c r="I29600">
        <v>1886058</v>
      </c>
      <c r="J29600">
        <v>2</v>
      </c>
    </row>
    <row r="29601" spans="1:10" x14ac:dyDescent="0.25">
      <c r="A29601" t="s">
        <v>337</v>
      </c>
      <c r="B29601" s="1" t="str">
        <f>HYPERLINK("http://adgear.com","adgear.com")</f>
        <v>adgear.com</v>
      </c>
      <c r="C29601" t="s">
        <v>433</v>
      </c>
      <c r="E29601">
        <v>143005</v>
      </c>
      <c r="F29601">
        <v>1.4636027772835799E-6</v>
      </c>
      <c r="G29601">
        <v>26783</v>
      </c>
      <c r="H29601">
        <v>17007104</v>
      </c>
      <c r="I29601">
        <v>92420</v>
      </c>
      <c r="J29601">
        <v>3</v>
      </c>
    </row>
    <row r="29602" spans="1:10" x14ac:dyDescent="0.25">
      <c r="A29602" t="s">
        <v>337</v>
      </c>
      <c r="B29602" s="1" t="str">
        <f>HYPERLINK("http://akg.com","akg.com")</f>
        <v>akg.com</v>
      </c>
      <c r="C29602" t="s">
        <v>433</v>
      </c>
      <c r="E29602">
        <v>41537</v>
      </c>
      <c r="F29602">
        <v>7.1335673499152204E-7</v>
      </c>
      <c r="G29602">
        <v>54404</v>
      </c>
      <c r="H29602">
        <v>17382352</v>
      </c>
      <c r="I29602">
        <v>20481</v>
      </c>
      <c r="J29602">
        <v>3</v>
      </c>
    </row>
    <row r="29603" spans="1:10" x14ac:dyDescent="0.25">
      <c r="A29603" t="s">
        <v>337</v>
      </c>
      <c r="B29603" s="1" t="str">
        <f>HYPERLINK("http://amx.com","amx.com")</f>
        <v>amx.com</v>
      </c>
      <c r="C29603" t="s">
        <v>433</v>
      </c>
      <c r="E29603">
        <v>211610</v>
      </c>
      <c r="F29603">
        <v>2.54945060836871E-7</v>
      </c>
      <c r="G29603">
        <v>146728</v>
      </c>
      <c r="H29603">
        <v>14595484</v>
      </c>
      <c r="I29603">
        <v>690417</v>
      </c>
      <c r="J29603">
        <v>4</v>
      </c>
    </row>
    <row r="29604" spans="1:10" x14ac:dyDescent="0.25">
      <c r="A29604" t="s">
        <v>337</v>
      </c>
      <c r="B29604" s="1" t="str">
        <f>HYPERLINK("http://anycardirect.com","anycardirect.com")</f>
        <v>anycardirect.com</v>
      </c>
      <c r="C29604" t="s">
        <v>433</v>
      </c>
      <c r="F29604">
        <v>7.0840204387619298E-9</v>
      </c>
      <c r="G29604">
        <v>12060321</v>
      </c>
      <c r="H29604">
        <v>10680313</v>
      </c>
      <c r="I29604">
        <v>42745026</v>
      </c>
      <c r="J29604">
        <v>6</v>
      </c>
    </row>
    <row r="29605" spans="1:10" x14ac:dyDescent="0.25">
      <c r="A29605" t="s">
        <v>337</v>
      </c>
      <c r="B29605" s="1" t="str">
        <f>HYPERLINK("http://cdrf-siel.com","cdrf-siel.com")</f>
        <v>cdrf-siel.com</v>
      </c>
      <c r="C29605" t="s">
        <v>433</v>
      </c>
      <c r="J29605">
        <v>3</v>
      </c>
    </row>
    <row r="29606" spans="1:10" x14ac:dyDescent="0.25">
      <c r="A29606" t="s">
        <v>337</v>
      </c>
      <c r="B29606" s="1" t="str">
        <f>HYPERLINK("http://corephotonics.com","corephotonics.com")</f>
        <v>corephotonics.com</v>
      </c>
      <c r="C29606" t="s">
        <v>433</v>
      </c>
      <c r="F29606">
        <v>2.73781597054119E-8</v>
      </c>
      <c r="G29606">
        <v>1877661</v>
      </c>
      <c r="H29606">
        <v>14266645</v>
      </c>
      <c r="I29606">
        <v>1406617</v>
      </c>
      <c r="J29606">
        <v>3</v>
      </c>
    </row>
    <row r="29607" spans="1:10" x14ac:dyDescent="0.25">
      <c r="A29607" t="s">
        <v>337</v>
      </c>
      <c r="B29607" s="1" t="str">
        <f>HYPERLINK("http://crownaudio.com","crownaudio.com")</f>
        <v>crownaudio.com</v>
      </c>
      <c r="C29607" t="s">
        <v>433</v>
      </c>
      <c r="E29607">
        <v>153513</v>
      </c>
      <c r="F29607">
        <v>1.8051980527148699E-7</v>
      </c>
      <c r="G29607">
        <v>214005</v>
      </c>
      <c r="H29607">
        <v>14861154</v>
      </c>
      <c r="I29607">
        <v>484147</v>
      </c>
      <c r="J29607">
        <v>4</v>
      </c>
    </row>
    <row r="29608" spans="1:10" x14ac:dyDescent="0.25">
      <c r="A29608" t="s">
        <v>337</v>
      </c>
      <c r="B29608" s="1" t="str">
        <f>HYPERLINK("http://dacor.com","dacor.com")</f>
        <v>dacor.com</v>
      </c>
      <c r="C29608" t="s">
        <v>433</v>
      </c>
      <c r="E29608">
        <v>251503</v>
      </c>
      <c r="F29608">
        <v>1.4617349295445801E-7</v>
      </c>
      <c r="G29608">
        <v>266323</v>
      </c>
      <c r="H29608">
        <v>14839131</v>
      </c>
      <c r="I29608">
        <v>498398</v>
      </c>
      <c r="J29608">
        <v>3</v>
      </c>
    </row>
    <row r="29609" spans="1:10" x14ac:dyDescent="0.25">
      <c r="A29609" t="s">
        <v>337</v>
      </c>
      <c r="B29609" s="1" t="str">
        <f>HYPERLINK("http://dacoronline.com","dacoronline.com")</f>
        <v>dacoronline.com</v>
      </c>
      <c r="C29609" t="s">
        <v>433</v>
      </c>
      <c r="J29609">
        <v>5</v>
      </c>
    </row>
    <row r="29610" spans="1:10" x14ac:dyDescent="0.25">
      <c r="A29610" t="s">
        <v>337</v>
      </c>
      <c r="B29610" s="1" t="str">
        <f>HYPERLINK("http://dbxpro.com","dbxpro.com")</f>
        <v>dbxpro.com</v>
      </c>
      <c r="C29610" t="s">
        <v>433</v>
      </c>
      <c r="E29610">
        <v>193331</v>
      </c>
      <c r="F29610">
        <v>1.8232681324095001E-7</v>
      </c>
      <c r="G29610">
        <v>211549</v>
      </c>
      <c r="H29610">
        <v>15267957</v>
      </c>
      <c r="I29610">
        <v>388670</v>
      </c>
      <c r="J29610">
        <v>4</v>
      </c>
    </row>
    <row r="29611" spans="1:10" x14ac:dyDescent="0.25">
      <c r="A29611" t="s">
        <v>337</v>
      </c>
      <c r="B29611" s="1" t="str">
        <f>HYPERLINK("http://digitalcityhousing.com","digitalcityhousing.com")</f>
        <v>digitalcityhousing.com</v>
      </c>
      <c r="C29611" t="s">
        <v>433</v>
      </c>
      <c r="J29611">
        <v>2</v>
      </c>
    </row>
    <row r="29612" spans="1:10" x14ac:dyDescent="0.25">
      <c r="A29612" t="s">
        <v>337</v>
      </c>
      <c r="B29612" s="1" t="str">
        <f>HYPERLINK("http://digitech.com","digitech.com")</f>
        <v>digitech.com</v>
      </c>
      <c r="C29612" t="s">
        <v>433</v>
      </c>
      <c r="E29612">
        <v>204495</v>
      </c>
      <c r="F29612">
        <v>1.5123488141956801E-7</v>
      </c>
      <c r="G29612">
        <v>256853</v>
      </c>
      <c r="H29612">
        <v>14995643</v>
      </c>
      <c r="I29612">
        <v>426896</v>
      </c>
      <c r="J29612">
        <v>5</v>
      </c>
    </row>
    <row r="29613" spans="1:10" x14ac:dyDescent="0.25">
      <c r="A29613" t="s">
        <v>337</v>
      </c>
      <c r="B29613" s="1" t="str">
        <f>HYPERLINK("http://directanycar.com","directanycar.com")</f>
        <v>directanycar.com</v>
      </c>
      <c r="C29613" t="s">
        <v>433</v>
      </c>
      <c r="J29613">
        <v>6</v>
      </c>
    </row>
    <row r="29614" spans="1:10" x14ac:dyDescent="0.25">
      <c r="A29614" t="s">
        <v>337</v>
      </c>
      <c r="B29614" s="1" t="str">
        <f>HYPERLINK("http://divedacor.com","divedacor.com")</f>
        <v>divedacor.com</v>
      </c>
      <c r="C29614" t="s">
        <v>433</v>
      </c>
      <c r="F29614">
        <v>6.7828352111814998E-9</v>
      </c>
      <c r="G29614">
        <v>13017879</v>
      </c>
      <c r="H29614">
        <v>12695774</v>
      </c>
      <c r="I29614">
        <v>15382032</v>
      </c>
      <c r="J29614">
        <v>6</v>
      </c>
    </row>
    <row r="29615" spans="1:10" x14ac:dyDescent="0.25">
      <c r="A29615" t="s">
        <v>337</v>
      </c>
      <c r="B29615" s="1" t="str">
        <f>HYPERLINK("http://ecodesamsung.com","ecodesamsung.com")</f>
        <v>ecodesamsung.com</v>
      </c>
      <c r="C29615" t="s">
        <v>433</v>
      </c>
      <c r="F29615">
        <v>4.4438678236163498E-9</v>
      </c>
      <c r="G29615">
        <v>78200672</v>
      </c>
      <c r="H29615">
        <v>10373073</v>
      </c>
      <c r="I29615">
        <v>54764227</v>
      </c>
      <c r="J29615">
        <v>2</v>
      </c>
    </row>
    <row r="29616" spans="1:10" x14ac:dyDescent="0.25">
      <c r="A29616" t="s">
        <v>337</v>
      </c>
      <c r="B29616" s="1" t="str">
        <f>HYPERLINK("http://egemende.com","egemende.com")</f>
        <v>egemende.com</v>
      </c>
      <c r="C29616" t="s">
        <v>433</v>
      </c>
      <c r="F29616">
        <v>5.1697540721967799E-9</v>
      </c>
      <c r="G29616">
        <v>25729326</v>
      </c>
      <c r="H29616">
        <v>9627068</v>
      </c>
      <c r="I29616">
        <v>64118427</v>
      </c>
      <c r="J29616">
        <v>3</v>
      </c>
    </row>
    <row r="29617" spans="1:10" x14ac:dyDescent="0.25">
      <c r="A29617" t="s">
        <v>337</v>
      </c>
      <c r="B29617" s="1" t="str">
        <f>HYPERLINK("http://getperch.com","getperch.com")</f>
        <v>getperch.com</v>
      </c>
      <c r="C29617" t="s">
        <v>433</v>
      </c>
      <c r="F29617">
        <v>1.1999903510668999E-8</v>
      </c>
      <c r="G29617">
        <v>5175452</v>
      </c>
      <c r="H29617">
        <v>13412565</v>
      </c>
      <c r="I29617">
        <v>10323254</v>
      </c>
      <c r="J29617">
        <v>6</v>
      </c>
    </row>
    <row r="29618" spans="1:10" x14ac:dyDescent="0.25">
      <c r="A29618" t="s">
        <v>337</v>
      </c>
      <c r="B29618" s="1" t="str">
        <f>HYPERLINK("http://harman.com","harman.com")</f>
        <v>harman.com</v>
      </c>
      <c r="C29618" t="s">
        <v>433</v>
      </c>
      <c r="E29618">
        <v>9852</v>
      </c>
      <c r="F29618">
        <v>2.2849463829477001E-6</v>
      </c>
      <c r="G29618">
        <v>16140</v>
      </c>
      <c r="H29618">
        <v>17506340</v>
      </c>
      <c r="I29618">
        <v>13413</v>
      </c>
      <c r="J29618">
        <v>3</v>
      </c>
    </row>
    <row r="29619" spans="1:10" x14ac:dyDescent="0.25">
      <c r="A29619" t="s">
        <v>337</v>
      </c>
      <c r="B29619" s="1" t="str">
        <f>HYPERLINK("http://harmanaudio.com","harmanaudio.com")</f>
        <v>harmanaudio.com</v>
      </c>
      <c r="C29619" t="s">
        <v>433</v>
      </c>
      <c r="E29619">
        <v>120885</v>
      </c>
      <c r="F29619">
        <v>1.62132744203904E-7</v>
      </c>
      <c r="G29619">
        <v>239403</v>
      </c>
      <c r="H29619">
        <v>16916612</v>
      </c>
      <c r="I29619">
        <v>129972</v>
      </c>
      <c r="J29619">
        <v>5</v>
      </c>
    </row>
    <row r="29620" spans="1:10" x14ac:dyDescent="0.25">
      <c r="A29620" t="s">
        <v>337</v>
      </c>
      <c r="B29620" s="1" t="str">
        <f>HYPERLINK("http://harmanbecker.com","harmanbecker.com")</f>
        <v>harmanbecker.com</v>
      </c>
      <c r="C29620" t="s">
        <v>433</v>
      </c>
      <c r="F29620">
        <v>9.5023709449684105E-9</v>
      </c>
      <c r="G29620">
        <v>7319816</v>
      </c>
      <c r="H29620">
        <v>13249114</v>
      </c>
      <c r="I29620">
        <v>11091149</v>
      </c>
      <c r="J29620">
        <v>3</v>
      </c>
    </row>
    <row r="29621" spans="1:10" x14ac:dyDescent="0.25">
      <c r="A29621" t="s">
        <v>337</v>
      </c>
      <c r="B29621" s="1" t="str">
        <f>HYPERLINK("http://harmankardon.com","harmankardon.com")</f>
        <v>harmankardon.com</v>
      </c>
      <c r="C29621" t="s">
        <v>433</v>
      </c>
      <c r="E29621">
        <v>63700</v>
      </c>
      <c r="F29621">
        <v>4.4674765230814302E-7</v>
      </c>
      <c r="G29621">
        <v>84493</v>
      </c>
      <c r="H29621">
        <v>17236356</v>
      </c>
      <c r="I29621">
        <v>35936</v>
      </c>
      <c r="J29621">
        <v>4</v>
      </c>
    </row>
    <row r="29622" spans="1:10" x14ac:dyDescent="0.25">
      <c r="A29622" t="s">
        <v>337</v>
      </c>
      <c r="B29622" s="1" t="str">
        <f>HYPERLINK("http://infinitylab.com","infinitylab.com")</f>
        <v>infinitylab.com</v>
      </c>
      <c r="C29622" t="s">
        <v>433</v>
      </c>
      <c r="F29622">
        <v>1.9616709284862E-8</v>
      </c>
      <c r="G29622">
        <v>2725427</v>
      </c>
      <c r="H29622">
        <v>12996195</v>
      </c>
      <c r="I29622">
        <v>12817731</v>
      </c>
      <c r="J29622">
        <v>5</v>
      </c>
    </row>
    <row r="29623" spans="1:10" x14ac:dyDescent="0.25">
      <c r="A29623" t="s">
        <v>337</v>
      </c>
      <c r="B29623" s="1" t="str">
        <f>HYPERLINK("http://jbl.com","jbl.com")</f>
        <v>jbl.com</v>
      </c>
      <c r="C29623" t="s">
        <v>433</v>
      </c>
      <c r="E29623">
        <v>12384</v>
      </c>
      <c r="F29623">
        <v>1.9507771403382398E-6</v>
      </c>
      <c r="G29623">
        <v>18798</v>
      </c>
      <c r="H29623">
        <v>17546252</v>
      </c>
      <c r="I29623">
        <v>11437</v>
      </c>
      <c r="J29623">
        <v>4</v>
      </c>
    </row>
    <row r="29624" spans="1:10" x14ac:dyDescent="0.25">
      <c r="A29624" t="s">
        <v>337</v>
      </c>
      <c r="B29624" s="1" t="str">
        <f>HYPERLINK("http://joyent.com","joyent.com")</f>
        <v>joyent.com</v>
      </c>
      <c r="C29624" t="s">
        <v>433</v>
      </c>
      <c r="E29624">
        <v>95278</v>
      </c>
      <c r="F29624">
        <v>3.03906887912736E-6</v>
      </c>
      <c r="G29624">
        <v>12880</v>
      </c>
      <c r="H29624">
        <v>17890688</v>
      </c>
      <c r="I29624">
        <v>4556</v>
      </c>
      <c r="J29624">
        <v>3</v>
      </c>
    </row>
    <row r="29625" spans="1:10" x14ac:dyDescent="0.25">
      <c r="A29625" t="s">
        <v>337</v>
      </c>
      <c r="B29625" s="1" t="str">
        <f>HYPERLINK("http://kodex.com","kodex.com")</f>
        <v>kodex.com</v>
      </c>
      <c r="C29625" t="s">
        <v>433</v>
      </c>
      <c r="F29625">
        <v>5.1641718048778102E-8</v>
      </c>
      <c r="G29625">
        <v>885414</v>
      </c>
      <c r="H29625">
        <v>13607808</v>
      </c>
      <c r="I29625">
        <v>9639199</v>
      </c>
      <c r="J29625">
        <v>12</v>
      </c>
    </row>
    <row r="29626" spans="1:10" x14ac:dyDescent="0.25">
      <c r="A29626" t="s">
        <v>337</v>
      </c>
      <c r="B29626" s="1" t="str">
        <f>HYPERLINK("http://lexicon.com","lexicon.com")</f>
        <v>lexicon.com</v>
      </c>
      <c r="C29626" t="s">
        <v>433</v>
      </c>
      <c r="E29626">
        <v>429388</v>
      </c>
      <c r="F29626">
        <v>1.0383183525131101E-7</v>
      </c>
      <c r="G29626">
        <v>386308</v>
      </c>
      <c r="H29626">
        <v>14600448</v>
      </c>
      <c r="I29626">
        <v>685942</v>
      </c>
      <c r="J29626">
        <v>4</v>
      </c>
    </row>
    <row r="29627" spans="1:10" x14ac:dyDescent="0.25">
      <c r="A29627" t="s">
        <v>337</v>
      </c>
      <c r="B29627" s="1" t="str">
        <f>HYPERLINK("http://marklevinson.com","marklevinson.com")</f>
        <v>marklevinson.com</v>
      </c>
      <c r="C29627" t="s">
        <v>433</v>
      </c>
      <c r="E29627">
        <v>462220</v>
      </c>
      <c r="F29627">
        <v>1.2205446575404301E-7</v>
      </c>
      <c r="G29627">
        <v>323461</v>
      </c>
      <c r="H29627">
        <v>14846155</v>
      </c>
      <c r="I29627">
        <v>493564</v>
      </c>
      <c r="J29627">
        <v>4</v>
      </c>
    </row>
    <row r="29628" spans="1:10" x14ac:dyDescent="0.25">
      <c r="A29628" t="s">
        <v>337</v>
      </c>
      <c r="B29628" s="1" t="str">
        <f>HYPERLINK("http://martin.com","martin.com")</f>
        <v>martin.com</v>
      </c>
      <c r="C29628" t="s">
        <v>433</v>
      </c>
      <c r="E29628">
        <v>177663</v>
      </c>
      <c r="F29628">
        <v>2.0565222471342899E-6</v>
      </c>
      <c r="G29628">
        <v>17770</v>
      </c>
      <c r="H29628">
        <v>16289432</v>
      </c>
      <c r="I29628">
        <v>365301</v>
      </c>
      <c r="J29628">
        <v>4</v>
      </c>
    </row>
    <row r="29629" spans="1:10" x14ac:dyDescent="0.25">
      <c r="A29629" t="s">
        <v>337</v>
      </c>
      <c r="B29629" s="1" t="str">
        <f>HYPERLINK("http://myanycar.com","myanycar.com")</f>
        <v>myanycar.com</v>
      </c>
      <c r="C29629" t="s">
        <v>433</v>
      </c>
      <c r="F29629">
        <v>1.1136699746836E-8</v>
      </c>
      <c r="G29629">
        <v>5758816</v>
      </c>
      <c r="H29629">
        <v>14095161</v>
      </c>
      <c r="I29629">
        <v>2729991</v>
      </c>
      <c r="J29629">
        <v>6</v>
      </c>
    </row>
    <row r="29630" spans="1:10" x14ac:dyDescent="0.25">
      <c r="A29630" t="s">
        <v>337</v>
      </c>
      <c r="B29630" s="1" t="str">
        <f>HYPERLINK("http://mybecker.com","mybecker.com")</f>
        <v>mybecker.com</v>
      </c>
      <c r="C29630" t="s">
        <v>433</v>
      </c>
      <c r="E29630">
        <v>665638</v>
      </c>
      <c r="F29630">
        <v>7.3629064872408702E-8</v>
      </c>
      <c r="G29630">
        <v>572222</v>
      </c>
      <c r="H29630">
        <v>14400064</v>
      </c>
      <c r="I29630">
        <v>1154706</v>
      </c>
      <c r="J29630">
        <v>3</v>
      </c>
    </row>
    <row r="29631" spans="1:10" x14ac:dyDescent="0.25">
      <c r="A29631" t="s">
        <v>337</v>
      </c>
      <c r="B29631" s="1" t="str">
        <f>HYPERLINK("http://neurologica.com","neurologica.com")</f>
        <v>neurologica.com</v>
      </c>
      <c r="C29631" t="s">
        <v>433</v>
      </c>
      <c r="F29631">
        <v>6.0948914634097895E-8</v>
      </c>
      <c r="G29631">
        <v>722921</v>
      </c>
      <c r="H29631">
        <v>14426311</v>
      </c>
      <c r="I29631">
        <v>1079113</v>
      </c>
      <c r="J29631">
        <v>3</v>
      </c>
    </row>
    <row r="29632" spans="1:10" x14ac:dyDescent="0.25">
      <c r="A29632" t="s">
        <v>337</v>
      </c>
      <c r="B29632" s="1" t="str">
        <f>HYPERLINK("http://proximaldata.com","proximaldata.com")</f>
        <v>proximaldata.com</v>
      </c>
      <c r="C29632" t="s">
        <v>433</v>
      </c>
      <c r="F29632">
        <v>1.44825813822016E-8</v>
      </c>
      <c r="G29632">
        <v>4028506</v>
      </c>
      <c r="H29632">
        <v>13963129</v>
      </c>
      <c r="I29632">
        <v>4098934</v>
      </c>
      <c r="J29632">
        <v>5</v>
      </c>
    </row>
    <row r="29633" spans="1:10" x14ac:dyDescent="0.25">
      <c r="A29633" t="s">
        <v>337</v>
      </c>
      <c r="B29633" s="1" t="str">
        <f>HYPERLINK("http://redbend.com","redbend.com")</f>
        <v>redbend.com</v>
      </c>
      <c r="C29633" t="s">
        <v>433</v>
      </c>
      <c r="E29633">
        <v>39105</v>
      </c>
      <c r="F29633">
        <v>5.71478480606754E-8</v>
      </c>
      <c r="G29633">
        <v>780964</v>
      </c>
      <c r="H29633">
        <v>13949498</v>
      </c>
      <c r="I29633">
        <v>4183021</v>
      </c>
      <c r="J29633">
        <v>3</v>
      </c>
    </row>
    <row r="29634" spans="1:10" x14ac:dyDescent="0.25">
      <c r="A29634" t="s">
        <v>337</v>
      </c>
      <c r="B29634" s="1" t="str">
        <f>HYPERLINK("http://samsumgmexico.com","samsumgmexico.com")</f>
        <v>samsumgmexico.com</v>
      </c>
      <c r="C29634" t="s">
        <v>433</v>
      </c>
      <c r="J29634">
        <v>3</v>
      </c>
    </row>
    <row r="29635" spans="1:10" x14ac:dyDescent="0.25">
      <c r="A29635" t="s">
        <v>337</v>
      </c>
      <c r="B29635" s="1" t="str">
        <f>HYPERLINK("http://samsung.com","samsung.com")</f>
        <v>samsung.com</v>
      </c>
      <c r="C29635" t="s">
        <v>433</v>
      </c>
      <c r="E29635">
        <v>218</v>
      </c>
      <c r="F29635">
        <v>6.6434895313973398E-5</v>
      </c>
      <c r="G29635">
        <v>396</v>
      </c>
      <c r="H29635">
        <v>19210526</v>
      </c>
      <c r="I29635">
        <v>362</v>
      </c>
      <c r="J29635">
        <v>1</v>
      </c>
    </row>
    <row r="29636" spans="1:10" x14ac:dyDescent="0.25">
      <c r="A29636" t="s">
        <v>337</v>
      </c>
      <c r="B29636" s="1" t="str">
        <f>HYPERLINK("http://samsungatfirst.com","samsungatfirst.com")</f>
        <v>samsungatfirst.com</v>
      </c>
      <c r="C29636" t="s">
        <v>433</v>
      </c>
      <c r="F29636">
        <v>1.3692361138419501E-8</v>
      </c>
      <c r="G29636">
        <v>4324273</v>
      </c>
      <c r="H29636">
        <v>13476315</v>
      </c>
      <c r="I29636">
        <v>10019437</v>
      </c>
      <c r="J29636">
        <v>4</v>
      </c>
    </row>
    <row r="29637" spans="1:10" x14ac:dyDescent="0.25">
      <c r="A29637" t="s">
        <v>337</v>
      </c>
      <c r="B29637" s="1" t="str">
        <f>HYPERLINK("http://samsungbelfast.com","samsungbelfast.com")</f>
        <v>samsungbelfast.com</v>
      </c>
      <c r="C29637" t="s">
        <v>433</v>
      </c>
      <c r="J29637">
        <v>3</v>
      </c>
    </row>
    <row r="29638" spans="1:10" x14ac:dyDescent="0.25">
      <c r="A29638" t="s">
        <v>337</v>
      </c>
      <c r="B29638" s="1" t="str">
        <f>HYPERLINK("http://samsungcard.com","samsungcard.com")</f>
        <v>samsungcard.com</v>
      </c>
      <c r="C29638" t="s">
        <v>433</v>
      </c>
      <c r="E29638">
        <v>75851</v>
      </c>
      <c r="F29638">
        <v>2.9249189698176501E-7</v>
      </c>
      <c r="G29638">
        <v>127249</v>
      </c>
      <c r="H29638">
        <v>14605527</v>
      </c>
      <c r="I29638">
        <v>681944</v>
      </c>
      <c r="J29638">
        <v>5</v>
      </c>
    </row>
    <row r="29639" spans="1:10" x14ac:dyDescent="0.25">
      <c r="A29639" t="s">
        <v>337</v>
      </c>
      <c r="B29639" s="1" t="str">
        <f>HYPERLINK("http://samsungclab.com","samsungclab.com")</f>
        <v>samsungclab.com</v>
      </c>
      <c r="C29639" t="s">
        <v>433</v>
      </c>
      <c r="F29639">
        <v>1.5206054711019601E-8</v>
      </c>
      <c r="G29639">
        <v>3774161</v>
      </c>
      <c r="H29639">
        <v>13398257</v>
      </c>
      <c r="I29639">
        <v>10371885</v>
      </c>
      <c r="J29639">
        <v>2</v>
      </c>
    </row>
    <row r="29640" spans="1:10" x14ac:dyDescent="0.25">
      <c r="A29640" t="s">
        <v>337</v>
      </c>
      <c r="B29640" s="1" t="str">
        <f>HYPERLINK("http://samsungcnt.com","samsungcnt.com")</f>
        <v>samsungcnt.com</v>
      </c>
      <c r="C29640" t="s">
        <v>433</v>
      </c>
      <c r="E29640">
        <v>542872</v>
      </c>
      <c r="F29640">
        <v>1.166730068952E-7</v>
      </c>
      <c r="G29640">
        <v>340776</v>
      </c>
      <c r="H29640">
        <v>14581038</v>
      </c>
      <c r="I29640">
        <v>709089</v>
      </c>
      <c r="J29640">
        <v>5</v>
      </c>
    </row>
    <row r="29641" spans="1:10" x14ac:dyDescent="0.25">
      <c r="A29641" t="s">
        <v>337</v>
      </c>
      <c r="B29641" s="1" t="str">
        <f>HYPERLINK("http://samsungcowork.com","samsungcowork.com")</f>
        <v>samsungcowork.com</v>
      </c>
      <c r="C29641" t="s">
        <v>433</v>
      </c>
      <c r="J29641">
        <v>2</v>
      </c>
    </row>
    <row r="29642" spans="1:10" x14ac:dyDescent="0.25">
      <c r="A29642" t="s">
        <v>337</v>
      </c>
      <c r="B29642" s="1" t="str">
        <f>HYPERLINK("http://samsungcsportal.com","samsungcsportal.com")</f>
        <v>samsungcsportal.com</v>
      </c>
      <c r="C29642" t="s">
        <v>433</v>
      </c>
      <c r="E29642">
        <v>90493</v>
      </c>
      <c r="F29642">
        <v>8.4389718429677102E-8</v>
      </c>
      <c r="G29642">
        <v>489721</v>
      </c>
      <c r="H29642">
        <v>14851460</v>
      </c>
      <c r="I29642">
        <v>490056</v>
      </c>
      <c r="J29642">
        <v>2</v>
      </c>
    </row>
    <row r="29643" spans="1:10" x14ac:dyDescent="0.25">
      <c r="A29643" t="s">
        <v>337</v>
      </c>
      <c r="B29643" s="1" t="str">
        <f>HYPERLINK("http://samsungdisplay.com","samsungdisplay.com")</f>
        <v>samsungdisplay.com</v>
      </c>
      <c r="C29643" t="s">
        <v>433</v>
      </c>
      <c r="E29643">
        <v>182550</v>
      </c>
      <c r="F29643">
        <v>2.2018188081242201E-7</v>
      </c>
      <c r="G29643">
        <v>171175</v>
      </c>
      <c r="H29643">
        <v>15100390</v>
      </c>
      <c r="I29643">
        <v>406456</v>
      </c>
      <c r="J29643">
        <v>3</v>
      </c>
    </row>
    <row r="29644" spans="1:10" x14ac:dyDescent="0.25">
      <c r="A29644" t="s">
        <v>337</v>
      </c>
      <c r="B29644" s="1" t="str">
        <f>HYPERLINK("http://samsungengineering.com","samsungengineering.com")</f>
        <v>samsungengineering.com</v>
      </c>
      <c r="C29644" t="s">
        <v>433</v>
      </c>
      <c r="F29644">
        <v>5.70139930216528E-8</v>
      </c>
      <c r="G29644">
        <v>783169</v>
      </c>
      <c r="H29644">
        <v>14517704</v>
      </c>
      <c r="I29644">
        <v>809320</v>
      </c>
      <c r="J29644">
        <v>4</v>
      </c>
    </row>
    <row r="29645" spans="1:10" x14ac:dyDescent="0.25">
      <c r="A29645" t="s">
        <v>337</v>
      </c>
      <c r="B29645" s="1" t="str">
        <f>HYPERLINK("http://samsungfire.com","samsungfire.com")</f>
        <v>samsungfire.com</v>
      </c>
      <c r="C29645" t="s">
        <v>433</v>
      </c>
      <c r="E29645">
        <v>98656</v>
      </c>
      <c r="F29645">
        <v>2.88786915537234E-7</v>
      </c>
      <c r="G29645">
        <v>128800</v>
      </c>
      <c r="H29645">
        <v>15056783</v>
      </c>
      <c r="I29645">
        <v>413397</v>
      </c>
      <c r="J29645">
        <v>4</v>
      </c>
    </row>
    <row r="29646" spans="1:10" x14ac:dyDescent="0.25">
      <c r="A29646" t="s">
        <v>337</v>
      </c>
      <c r="B29646" s="1" t="str">
        <f>HYPERLINK("http://samsungfund.com","samsungfund.com")</f>
        <v>samsungfund.com</v>
      </c>
      <c r="C29646" t="s">
        <v>433</v>
      </c>
      <c r="F29646">
        <v>5.2623719215829502E-8</v>
      </c>
      <c r="G29646">
        <v>866268</v>
      </c>
      <c r="H29646">
        <v>14113734</v>
      </c>
      <c r="I29646">
        <v>2666743</v>
      </c>
      <c r="J29646">
        <v>9</v>
      </c>
    </row>
    <row r="29647" spans="1:10" x14ac:dyDescent="0.25">
      <c r="A29647" t="s">
        <v>337</v>
      </c>
      <c r="B29647" s="1" t="str">
        <f>HYPERLINK("http://samsungfuturescape.com","samsungfuturescape.com")</f>
        <v>samsungfuturescape.com</v>
      </c>
      <c r="C29647" t="s">
        <v>433</v>
      </c>
      <c r="F29647">
        <v>4.44380395335525E-9</v>
      </c>
      <c r="G29647">
        <v>83286419</v>
      </c>
      <c r="H29647">
        <v>0</v>
      </c>
      <c r="I29647">
        <v>84076926</v>
      </c>
      <c r="J29647">
        <v>3</v>
      </c>
    </row>
    <row r="29648" spans="1:10" x14ac:dyDescent="0.25">
      <c r="A29648" t="s">
        <v>337</v>
      </c>
      <c r="B29648" s="1" t="str">
        <f>HYPERLINK("http://samsungindiasoft.com","samsungindiasoft.com")</f>
        <v>samsungindiasoft.com</v>
      </c>
      <c r="C29648" t="s">
        <v>433</v>
      </c>
      <c r="F29648">
        <v>1.42961633445217E-8</v>
      </c>
      <c r="G29648">
        <v>4094708</v>
      </c>
      <c r="H29648">
        <v>13744920</v>
      </c>
      <c r="I29648">
        <v>9424602</v>
      </c>
      <c r="J29648">
        <v>4</v>
      </c>
    </row>
    <row r="29649" spans="1:10" x14ac:dyDescent="0.25">
      <c r="A29649" t="s">
        <v>337</v>
      </c>
      <c r="B29649" s="1" t="str">
        <f>HYPERLINK("http://samsunglife.com","samsunglife.com")</f>
        <v>samsunglife.com</v>
      </c>
      <c r="C29649" t="s">
        <v>433</v>
      </c>
      <c r="E29649">
        <v>198700</v>
      </c>
      <c r="F29649">
        <v>1.8471915087568999E-7</v>
      </c>
      <c r="G29649">
        <v>208700</v>
      </c>
      <c r="H29649">
        <v>14499693</v>
      </c>
      <c r="I29649">
        <v>856231</v>
      </c>
      <c r="J29649">
        <v>4</v>
      </c>
    </row>
    <row r="29650" spans="1:10" x14ac:dyDescent="0.25">
      <c r="A29650" t="s">
        <v>337</v>
      </c>
      <c r="B29650" s="1" t="str">
        <f>HYPERLINK("http://samsungmedison.com","samsungmedison.com")</f>
        <v>samsungmedison.com</v>
      </c>
      <c r="C29650" t="s">
        <v>433</v>
      </c>
      <c r="F29650">
        <v>5.3249440992321601E-8</v>
      </c>
      <c r="G29650">
        <v>854943</v>
      </c>
      <c r="H29650">
        <v>14437940</v>
      </c>
      <c r="I29650">
        <v>1066664</v>
      </c>
      <c r="J29650">
        <v>3</v>
      </c>
    </row>
    <row r="29651" spans="1:10" x14ac:dyDescent="0.25">
      <c r="A29651" t="s">
        <v>337</v>
      </c>
      <c r="B29651" s="1" t="str">
        <f>HYPERLINK("http://samsungneurologica.com","samsungneurologica.com")</f>
        <v>samsungneurologica.com</v>
      </c>
      <c r="C29651" t="s">
        <v>433</v>
      </c>
      <c r="F29651">
        <v>1.79434898432522E-8</v>
      </c>
      <c r="G29651">
        <v>3044331</v>
      </c>
      <c r="H29651">
        <v>13486265</v>
      </c>
      <c r="I29651">
        <v>9994653</v>
      </c>
      <c r="J29651">
        <v>6</v>
      </c>
    </row>
    <row r="29652" spans="1:10" x14ac:dyDescent="0.25">
      <c r="A29652" t="s">
        <v>337</v>
      </c>
      <c r="B29652" s="1" t="str">
        <f>HYPERLINK("http://samsungnext.com","samsungnext.com")</f>
        <v>samsungnext.com</v>
      </c>
      <c r="C29652" t="s">
        <v>433</v>
      </c>
      <c r="E29652">
        <v>468986</v>
      </c>
      <c r="F29652">
        <v>2.23934639725399E-7</v>
      </c>
      <c r="G29652">
        <v>168302</v>
      </c>
      <c r="H29652">
        <v>14648860</v>
      </c>
      <c r="I29652">
        <v>630576</v>
      </c>
      <c r="J29652">
        <v>4</v>
      </c>
    </row>
    <row r="29653" spans="1:10" x14ac:dyDescent="0.25">
      <c r="A29653" t="s">
        <v>337</v>
      </c>
      <c r="B29653" s="1" t="str">
        <f>HYPERLINK("http://samsungosp.com","samsungosp.com")</f>
        <v>samsungosp.com</v>
      </c>
      <c r="C29653" t="s">
        <v>433</v>
      </c>
      <c r="E29653">
        <v>2696</v>
      </c>
      <c r="F29653">
        <v>6.4080298154611304E-9</v>
      </c>
      <c r="G29653">
        <v>14479733</v>
      </c>
      <c r="H29653">
        <v>13768983</v>
      </c>
      <c r="I29653">
        <v>6824101</v>
      </c>
      <c r="J29653">
        <v>2</v>
      </c>
    </row>
    <row r="29654" spans="1:10" x14ac:dyDescent="0.25">
      <c r="A29654" t="s">
        <v>337</v>
      </c>
      <c r="B29654" s="1" t="str">
        <f>HYPERLINK("http://samsungpop.com","samsungpop.com")</f>
        <v>samsungpop.com</v>
      </c>
      <c r="C29654" t="s">
        <v>433</v>
      </c>
      <c r="E29654">
        <v>202798</v>
      </c>
      <c r="F29654">
        <v>1.52296816033343E-7</v>
      </c>
      <c r="G29654">
        <v>254994</v>
      </c>
      <c r="H29654">
        <v>14393954</v>
      </c>
      <c r="I29654">
        <v>1162614</v>
      </c>
      <c r="J29654">
        <v>5</v>
      </c>
    </row>
    <row r="29655" spans="1:10" x14ac:dyDescent="0.25">
      <c r="A29655" t="s">
        <v>337</v>
      </c>
      <c r="B29655" s="1" t="str">
        <f>HYPERLINK("http://samsungrs.com","samsungrs.com")</f>
        <v>samsungrs.com</v>
      </c>
      <c r="C29655" t="s">
        <v>433</v>
      </c>
      <c r="E29655">
        <v>13654</v>
      </c>
      <c r="F29655">
        <v>8.0578463895666304E-8</v>
      </c>
      <c r="G29655">
        <v>518287</v>
      </c>
      <c r="H29655">
        <v>13825653</v>
      </c>
      <c r="I29655">
        <v>6124525</v>
      </c>
      <c r="J29655">
        <v>2</v>
      </c>
    </row>
    <row r="29656" spans="1:10" x14ac:dyDescent="0.25">
      <c r="A29656" t="s">
        <v>337</v>
      </c>
      <c r="B29656" s="1" t="str">
        <f>HYPERLINK("http://samsungsdi.com","samsungsdi.com")</f>
        <v>samsungsdi.com</v>
      </c>
      <c r="C29656" t="s">
        <v>433</v>
      </c>
      <c r="E29656">
        <v>270766</v>
      </c>
      <c r="F29656">
        <v>1.8452895237543701E-7</v>
      </c>
      <c r="G29656">
        <v>208935</v>
      </c>
      <c r="H29656">
        <v>15002716</v>
      </c>
      <c r="I29656">
        <v>425126</v>
      </c>
      <c r="J29656">
        <v>5</v>
      </c>
    </row>
    <row r="29657" spans="1:10" x14ac:dyDescent="0.25">
      <c r="A29657" t="s">
        <v>337</v>
      </c>
      <c r="B29657" s="1" t="str">
        <f>HYPERLINK("http://samsungsem.com","samsungsem.com")</f>
        <v>samsungsem.com</v>
      </c>
      <c r="C29657" t="s">
        <v>433</v>
      </c>
      <c r="E29657">
        <v>334231</v>
      </c>
      <c r="F29657">
        <v>1.6863596602008001E-7</v>
      </c>
      <c r="G29657">
        <v>230056</v>
      </c>
      <c r="H29657">
        <v>14831550</v>
      </c>
      <c r="I29657">
        <v>504925</v>
      </c>
      <c r="J29657">
        <v>4</v>
      </c>
    </row>
    <row r="29658" spans="1:10" x14ac:dyDescent="0.25">
      <c r="A29658" t="s">
        <v>337</v>
      </c>
      <c r="B29658" s="1" t="str">
        <f>HYPERLINK("http://samsungsemi.com","samsungsemi.com")</f>
        <v>samsungsemi.com</v>
      </c>
      <c r="C29658" t="s">
        <v>433</v>
      </c>
      <c r="E29658">
        <v>77472</v>
      </c>
      <c r="F29658">
        <v>2.6408464683511599E-8</v>
      </c>
      <c r="G29658">
        <v>1949674</v>
      </c>
      <c r="H29658">
        <v>14264919</v>
      </c>
      <c r="I29658">
        <v>1409784</v>
      </c>
      <c r="J29658">
        <v>2</v>
      </c>
    </row>
    <row r="29659" spans="1:10" x14ac:dyDescent="0.25">
      <c r="A29659" t="s">
        <v>337</v>
      </c>
      <c r="B29659" s="1" t="str">
        <f>HYPERLINK("http://samsungshi.com","samsungshi.com")</f>
        <v>samsungshi.com</v>
      </c>
      <c r="C29659" t="s">
        <v>433</v>
      </c>
      <c r="F29659">
        <v>1.11745145724042E-7</v>
      </c>
      <c r="G29659">
        <v>357561</v>
      </c>
      <c r="H29659">
        <v>14265236</v>
      </c>
      <c r="I29659">
        <v>1409184</v>
      </c>
      <c r="J29659">
        <v>6</v>
      </c>
    </row>
    <row r="29660" spans="1:10" x14ac:dyDescent="0.25">
      <c r="A29660" t="s">
        <v>337</v>
      </c>
      <c r="B29660" s="1" t="str">
        <f>HYPERLINK("http://samsungsmartmachine.com","samsungsmartmachine.com")</f>
        <v>samsungsmartmachine.com</v>
      </c>
      <c r="C29660" t="s">
        <v>433</v>
      </c>
      <c r="J29660">
        <v>2</v>
      </c>
    </row>
    <row r="29661" spans="1:10" x14ac:dyDescent="0.25">
      <c r="A29661" t="s">
        <v>337</v>
      </c>
      <c r="B29661" s="1" t="str">
        <f>HYPERLINK("http://samsungsra.com","samsungsra.com")</f>
        <v>samsungsra.com</v>
      </c>
      <c r="C29661" t="s">
        <v>433</v>
      </c>
      <c r="F29661">
        <v>5.2098711139843099E-9</v>
      </c>
      <c r="G29661">
        <v>24927477</v>
      </c>
      <c r="H29661">
        <v>14071888</v>
      </c>
      <c r="I29661">
        <v>3244898</v>
      </c>
      <c r="J29661">
        <v>9</v>
      </c>
    </row>
    <row r="29662" spans="1:10" x14ac:dyDescent="0.25">
      <c r="A29662" t="s">
        <v>337</v>
      </c>
      <c r="B29662" s="1" t="str">
        <f>HYPERLINK("http://sedams-cos.com","sedams-cos.com")</f>
        <v>sedams-cos.com</v>
      </c>
      <c r="C29662" t="s">
        <v>433</v>
      </c>
      <c r="F29662">
        <v>4.44380395335525E-9</v>
      </c>
      <c r="G29662">
        <v>87397290</v>
      </c>
      <c r="H29662">
        <v>0</v>
      </c>
      <c r="I29662">
        <v>84140855</v>
      </c>
      <c r="J29662">
        <v>9</v>
      </c>
    </row>
    <row r="29663" spans="1:10" x14ac:dyDescent="0.25">
      <c r="A29663" t="s">
        <v>337</v>
      </c>
      <c r="B29663" s="1" t="str">
        <f>HYPERLINK("http://smartthings.com","smartthings.com")</f>
        <v>smartthings.com</v>
      </c>
      <c r="C29663" t="s">
        <v>433</v>
      </c>
      <c r="E29663">
        <v>2961</v>
      </c>
      <c r="F29663">
        <v>4.62437791785193E-6</v>
      </c>
      <c r="G29663">
        <v>7617</v>
      </c>
      <c r="H29663">
        <v>17567776</v>
      </c>
      <c r="I29663">
        <v>10696</v>
      </c>
      <c r="J29663">
        <v>3</v>
      </c>
    </row>
    <row r="29664" spans="1:10" x14ac:dyDescent="0.25">
      <c r="A29664" t="s">
        <v>337</v>
      </c>
      <c r="B29664" s="1" t="str">
        <f>HYPERLINK("http://soundcraft.com","soundcraft.com")</f>
        <v>soundcraft.com</v>
      </c>
      <c r="C29664" t="s">
        <v>433</v>
      </c>
      <c r="E29664">
        <v>120614</v>
      </c>
      <c r="F29664">
        <v>3.1636992688309899E-7</v>
      </c>
      <c r="G29664">
        <v>117532</v>
      </c>
      <c r="H29664">
        <v>17096828</v>
      </c>
      <c r="I29664">
        <v>64494</v>
      </c>
      <c r="J29664">
        <v>4</v>
      </c>
    </row>
    <row r="29665" spans="1:10" x14ac:dyDescent="0.25">
      <c r="A29665" t="s">
        <v>337</v>
      </c>
      <c r="B29665" s="1" t="str">
        <f>HYPERLINK("http://ssfutures.com","ssfutures.com")</f>
        <v>ssfutures.com</v>
      </c>
      <c r="C29665" t="s">
        <v>433</v>
      </c>
      <c r="F29665">
        <v>4.7354965373879497E-8</v>
      </c>
      <c r="G29665">
        <v>984054</v>
      </c>
      <c r="H29665">
        <v>14590300</v>
      </c>
      <c r="I29665">
        <v>695950</v>
      </c>
      <c r="J29665">
        <v>10</v>
      </c>
    </row>
    <row r="29666" spans="1:10" x14ac:dyDescent="0.25">
      <c r="A29666" t="s">
        <v>337</v>
      </c>
      <c r="B29666" s="1" t="str">
        <f>HYPERLINK("http://symphonyteleca.com","symphonyteleca.com")</f>
        <v>symphonyteleca.com</v>
      </c>
      <c r="C29666" t="s">
        <v>433</v>
      </c>
      <c r="E29666">
        <v>296811</v>
      </c>
      <c r="F29666">
        <v>2.1795462154442398E-8</v>
      </c>
      <c r="G29666">
        <v>2411174</v>
      </c>
      <c r="H29666">
        <v>13413104</v>
      </c>
      <c r="I29666">
        <v>10321334</v>
      </c>
      <c r="J29666">
        <v>3</v>
      </c>
    </row>
    <row r="29667" spans="1:10" x14ac:dyDescent="0.25">
      <c r="A29667" t="s">
        <v>337</v>
      </c>
      <c r="B29667" s="1" t="str">
        <f>HYPERLINK("http://tritondatacenter.com","tritondatacenter.com")</f>
        <v>tritondatacenter.com</v>
      </c>
      <c r="C29667" t="s">
        <v>433</v>
      </c>
      <c r="E29667">
        <v>382347</v>
      </c>
      <c r="F29667">
        <v>1.38857207337924E-7</v>
      </c>
      <c r="G29667">
        <v>280554</v>
      </c>
      <c r="H29667">
        <v>13702465</v>
      </c>
      <c r="I29667">
        <v>9512689</v>
      </c>
      <c r="J29667">
        <v>4</v>
      </c>
    </row>
    <row r="29668" spans="1:10" x14ac:dyDescent="0.25">
      <c r="A29668" t="s">
        <v>337</v>
      </c>
      <c r="B29668" s="1" t="str">
        <f>HYPERLINK("http://whisk.com","whisk.com")</f>
        <v>whisk.com</v>
      </c>
      <c r="C29668" t="s">
        <v>433</v>
      </c>
      <c r="E29668">
        <v>29763</v>
      </c>
      <c r="F29668">
        <v>8.31832675132706E-7</v>
      </c>
      <c r="G29668">
        <v>47645</v>
      </c>
      <c r="H29668">
        <v>17497330</v>
      </c>
      <c r="I29668">
        <v>13829</v>
      </c>
      <c r="J29668">
        <v>3</v>
      </c>
    </row>
    <row r="29669" spans="1:10" x14ac:dyDescent="0.25">
      <c r="A29669" t="s">
        <v>337</v>
      </c>
      <c r="B29669" s="1" t="str">
        <f>HYPERLINK("http://xn--2j1bp1h3winnas2xtja337dctg.com","xn--2j1bp1h3winnas2xtja337dctg.com")</f>
        <v>xn--2j1bp1h3winnas2xtja337dctg.com</v>
      </c>
      <c r="C29669" t="s">
        <v>433</v>
      </c>
      <c r="J29669">
        <v>6</v>
      </c>
    </row>
    <row r="29670" spans="1:10" x14ac:dyDescent="0.25">
      <c r="A29670" t="s">
        <v>337</v>
      </c>
      <c r="B29670" s="1" t="str">
        <f>HYPERLINK("http://xn--9i1b3b12tpykzqa04rq2dym771cd7jg3j.com","xn--9i1b3b12tpykzqa04rq2dym771cd7jg3j.com")</f>
        <v>xn--9i1b3b12tpykzqa04rq2dym771cd7jg3j.com</v>
      </c>
      <c r="C29670" t="s">
        <v>433</v>
      </c>
      <c r="F29670">
        <v>4.44380395335525E-9</v>
      </c>
      <c r="G29670">
        <v>84059291</v>
      </c>
      <c r="H29670">
        <v>0</v>
      </c>
      <c r="I29670">
        <v>85024768</v>
      </c>
      <c r="J29670">
        <v>6</v>
      </c>
    </row>
    <row r="29671" spans="1:10" x14ac:dyDescent="0.25">
      <c r="A29671" t="s">
        <v>337</v>
      </c>
      <c r="B29671" s="1" t="str">
        <f>HYPERLINK("http://jbl.co.cr","jbl.co.cr")</f>
        <v>jbl.co.cr</v>
      </c>
      <c r="C29671" t="s">
        <v>434</v>
      </c>
      <c r="D29671" t="s">
        <v>813</v>
      </c>
      <c r="F29671">
        <v>1.8395120905754398E-8</v>
      </c>
      <c r="G29671">
        <v>2948319</v>
      </c>
      <c r="H29671">
        <v>12349272</v>
      </c>
      <c r="I29671">
        <v>19777358</v>
      </c>
      <c r="J29671">
        <v>5</v>
      </c>
    </row>
    <row r="29672" spans="1:10" x14ac:dyDescent="0.25">
      <c r="A29672" t="s">
        <v>337</v>
      </c>
      <c r="B29672" s="1" t="str">
        <f>HYPERLINK("http://becker.de","becker.de")</f>
        <v>becker.de</v>
      </c>
      <c r="C29672" t="s">
        <v>436</v>
      </c>
      <c r="D29672" t="s">
        <v>815</v>
      </c>
      <c r="F29672">
        <v>1.65391471780938E-8</v>
      </c>
      <c r="G29672">
        <v>3404084</v>
      </c>
      <c r="H29672">
        <v>13278842</v>
      </c>
      <c r="I29672">
        <v>10918970</v>
      </c>
      <c r="J29672">
        <v>3</v>
      </c>
    </row>
    <row r="29673" spans="1:10" x14ac:dyDescent="0.25">
      <c r="A29673" t="s">
        <v>337</v>
      </c>
      <c r="B29673" s="1" t="str">
        <f>HYPERLINK("http://harmankardon.de","harmankardon.de")</f>
        <v>harmankardon.de</v>
      </c>
      <c r="C29673" t="s">
        <v>436</v>
      </c>
      <c r="D29673" t="s">
        <v>815</v>
      </c>
      <c r="F29673">
        <v>6.6518296047602301E-8</v>
      </c>
      <c r="G29673">
        <v>644041</v>
      </c>
      <c r="H29673">
        <v>16751275</v>
      </c>
      <c r="I29673">
        <v>265775</v>
      </c>
      <c r="J29673">
        <v>5</v>
      </c>
    </row>
    <row r="29674" spans="1:10" x14ac:dyDescent="0.25">
      <c r="A29674" t="s">
        <v>337</v>
      </c>
      <c r="B29674" s="1" t="str">
        <f>HYPERLINK("http://s1nn.de","s1nn.de")</f>
        <v>s1nn.de</v>
      </c>
      <c r="C29674" t="s">
        <v>436</v>
      </c>
      <c r="D29674" t="s">
        <v>815</v>
      </c>
      <c r="F29674">
        <v>5.7069096934620203E-9</v>
      </c>
      <c r="G29674">
        <v>18866363</v>
      </c>
      <c r="H29674">
        <v>13247783</v>
      </c>
      <c r="I29674">
        <v>11101444</v>
      </c>
      <c r="J29674">
        <v>6</v>
      </c>
    </row>
    <row r="29675" spans="1:10" x14ac:dyDescent="0.25">
      <c r="A29675" t="s">
        <v>337</v>
      </c>
      <c r="B29675" s="1" t="str">
        <f>HYPERLINK("http://samsung.de","samsung.de")</f>
        <v>samsung.de</v>
      </c>
      <c r="C29675" t="s">
        <v>436</v>
      </c>
      <c r="D29675" t="s">
        <v>815</v>
      </c>
      <c r="E29675">
        <v>183962</v>
      </c>
      <c r="F29675">
        <v>2.9338453965789901E-7</v>
      </c>
      <c r="G29675">
        <v>126862</v>
      </c>
      <c r="H29675">
        <v>14550768</v>
      </c>
      <c r="I29675">
        <v>759200</v>
      </c>
      <c r="J29675">
        <v>2</v>
      </c>
    </row>
    <row r="29676" spans="1:10" x14ac:dyDescent="0.25">
      <c r="A29676" t="s">
        <v>337</v>
      </c>
      <c r="B29676" s="1" t="str">
        <f>HYPERLINK("http://samsungdeutschland.de","samsungdeutschland.de")</f>
        <v>samsungdeutschland.de</v>
      </c>
      <c r="C29676" t="s">
        <v>436</v>
      </c>
      <c r="D29676" t="s">
        <v>815</v>
      </c>
      <c r="F29676">
        <v>4.4445784802298299E-9</v>
      </c>
      <c r="G29676">
        <v>76489993</v>
      </c>
      <c r="H29676">
        <v>9631919</v>
      </c>
      <c r="I29676">
        <v>64068023</v>
      </c>
      <c r="J29676">
        <v>10</v>
      </c>
    </row>
    <row r="29677" spans="1:10" x14ac:dyDescent="0.25">
      <c r="A29677" t="s">
        <v>337</v>
      </c>
      <c r="B29677" s="1" t="str">
        <f>HYPERLINK("http://harmankardon.dk","harmankardon.dk")</f>
        <v>harmankardon.dk</v>
      </c>
      <c r="C29677" t="s">
        <v>437</v>
      </c>
      <c r="D29677" t="s">
        <v>816</v>
      </c>
      <c r="F29677">
        <v>5.8878932950102E-8</v>
      </c>
      <c r="G29677">
        <v>753475</v>
      </c>
      <c r="H29677">
        <v>16751214</v>
      </c>
      <c r="I29677">
        <v>269261</v>
      </c>
      <c r="J29677">
        <v>5</v>
      </c>
    </row>
    <row r="29678" spans="1:10" x14ac:dyDescent="0.25">
      <c r="A29678" t="s">
        <v>337</v>
      </c>
      <c r="B29678" s="1" t="str">
        <f>HYPERLINK("http://martin.dk","martin.dk")</f>
        <v>martin.dk</v>
      </c>
      <c r="C29678" t="s">
        <v>437</v>
      </c>
      <c r="D29678" t="s">
        <v>816</v>
      </c>
      <c r="F29678">
        <v>2.3304862265761099E-8</v>
      </c>
      <c r="G29678">
        <v>2238419</v>
      </c>
      <c r="H29678">
        <v>12483653</v>
      </c>
      <c r="I29678">
        <v>17563434</v>
      </c>
      <c r="J29678">
        <v>5</v>
      </c>
    </row>
    <row r="29679" spans="1:10" x14ac:dyDescent="0.25">
      <c r="A29679" t="s">
        <v>337</v>
      </c>
      <c r="B29679" s="1" t="str">
        <f>HYPERLINK("http://jbl.es","jbl.es")</f>
        <v>jbl.es</v>
      </c>
      <c r="C29679" t="s">
        <v>443</v>
      </c>
      <c r="D29679" t="s">
        <v>822</v>
      </c>
      <c r="E29679">
        <v>558009</v>
      </c>
      <c r="F29679">
        <v>3.2718961012563902E-8</v>
      </c>
      <c r="G29679">
        <v>1578927</v>
      </c>
      <c r="H29679">
        <v>14078742</v>
      </c>
      <c r="I29679">
        <v>2841939</v>
      </c>
      <c r="J29679">
        <v>5</v>
      </c>
    </row>
    <row r="29680" spans="1:10" x14ac:dyDescent="0.25">
      <c r="A29680" t="s">
        <v>337</v>
      </c>
      <c r="B29680" s="1" t="str">
        <f>HYPERLINK("http://infinitylab.fi","infinitylab.fi")</f>
        <v>infinitylab.fi</v>
      </c>
      <c r="C29680" t="s">
        <v>445</v>
      </c>
      <c r="D29680" t="s">
        <v>823</v>
      </c>
      <c r="J29680">
        <v>4</v>
      </c>
    </row>
    <row r="29681" spans="1:10" x14ac:dyDescent="0.25">
      <c r="A29681" t="s">
        <v>337</v>
      </c>
      <c r="B29681" s="1" t="str">
        <f>HYPERLINK("http://jbl.fi","jbl.fi")</f>
        <v>jbl.fi</v>
      </c>
      <c r="C29681" t="s">
        <v>445</v>
      </c>
      <c r="D29681" t="s">
        <v>823</v>
      </c>
      <c r="F29681">
        <v>4.5844769837666902E-9</v>
      </c>
      <c r="G29681">
        <v>48882280</v>
      </c>
      <c r="H29681">
        <v>9867447</v>
      </c>
      <c r="I29681">
        <v>62007241</v>
      </c>
      <c r="J29681">
        <v>4</v>
      </c>
    </row>
    <row r="29682" spans="1:10" x14ac:dyDescent="0.25">
      <c r="A29682" t="s">
        <v>337</v>
      </c>
      <c r="B29682" s="1" t="str">
        <f>HYPERLINK("http://samsunghealthcare.fi","samsunghealthcare.fi")</f>
        <v>samsunghealthcare.fi</v>
      </c>
      <c r="C29682" t="s">
        <v>445</v>
      </c>
      <c r="D29682" t="s">
        <v>823</v>
      </c>
      <c r="J29682">
        <v>4</v>
      </c>
    </row>
    <row r="29683" spans="1:10" x14ac:dyDescent="0.25">
      <c r="A29683" t="s">
        <v>337</v>
      </c>
      <c r="B29683" s="1" t="str">
        <f>HYPERLINK("http://harmanaudio.fr","harmanaudio.fr")</f>
        <v>harmanaudio.fr</v>
      </c>
      <c r="C29683" t="s">
        <v>446</v>
      </c>
      <c r="D29683" t="s">
        <v>824</v>
      </c>
      <c r="F29683">
        <v>7.4570075499807401E-9</v>
      </c>
      <c r="G29683">
        <v>11109836</v>
      </c>
      <c r="H29683">
        <v>12408445</v>
      </c>
      <c r="I29683">
        <v>18629581</v>
      </c>
      <c r="J29683">
        <v>6</v>
      </c>
    </row>
    <row r="29684" spans="1:10" x14ac:dyDescent="0.25">
      <c r="A29684" t="s">
        <v>337</v>
      </c>
      <c r="B29684" s="1" t="str">
        <f>HYPERLINK("http://harmankardon.fr","harmankardon.fr")</f>
        <v>harmankardon.fr</v>
      </c>
      <c r="C29684" t="s">
        <v>446</v>
      </c>
      <c r="D29684" t="s">
        <v>824</v>
      </c>
      <c r="F29684">
        <v>5.9726100749913705E-8</v>
      </c>
      <c r="G29684">
        <v>739736</v>
      </c>
      <c r="H29684">
        <v>16759887</v>
      </c>
      <c r="I29684">
        <v>229686</v>
      </c>
      <c r="J29684">
        <v>5</v>
      </c>
    </row>
    <row r="29685" spans="1:10" x14ac:dyDescent="0.25">
      <c r="A29685" t="s">
        <v>337</v>
      </c>
      <c r="B29685" s="1" t="str">
        <f>HYPERLINK("http://infinitylab.fr","infinitylab.fr")</f>
        <v>infinitylab.fr</v>
      </c>
      <c r="C29685" t="s">
        <v>446</v>
      </c>
      <c r="D29685" t="s">
        <v>824</v>
      </c>
      <c r="F29685">
        <v>6.1756460559558401E-9</v>
      </c>
      <c r="G29685">
        <v>15662819</v>
      </c>
      <c r="H29685">
        <v>12488443</v>
      </c>
      <c r="I29685">
        <v>17506409</v>
      </c>
      <c r="J29685">
        <v>5</v>
      </c>
    </row>
    <row r="29686" spans="1:10" x14ac:dyDescent="0.25">
      <c r="A29686" t="s">
        <v>337</v>
      </c>
      <c r="B29686" s="1" t="str">
        <f>HYPERLINK("http://samsung.fr","samsung.fr")</f>
        <v>samsung.fr</v>
      </c>
      <c r="C29686" t="s">
        <v>446</v>
      </c>
      <c r="D29686" t="s">
        <v>824</v>
      </c>
      <c r="E29686">
        <v>580820</v>
      </c>
      <c r="F29686">
        <v>4.3404737527966498E-8</v>
      </c>
      <c r="G29686">
        <v>1102972</v>
      </c>
      <c r="H29686">
        <v>13836780</v>
      </c>
      <c r="I29686">
        <v>6084406</v>
      </c>
      <c r="J29686">
        <v>2</v>
      </c>
    </row>
    <row r="29687" spans="1:10" x14ac:dyDescent="0.25">
      <c r="A29687" t="s">
        <v>337</v>
      </c>
      <c r="B29687" s="1" t="str">
        <f>HYPERLINK("http://samsung.gr","samsung.gr")</f>
        <v>samsung.gr</v>
      </c>
      <c r="C29687" t="s">
        <v>447</v>
      </c>
      <c r="D29687" t="s">
        <v>825</v>
      </c>
      <c r="F29687">
        <v>7.4360899695618803E-9</v>
      </c>
      <c r="G29687">
        <v>11158853</v>
      </c>
      <c r="H29687">
        <v>12268342</v>
      </c>
      <c r="I29687">
        <v>21559506</v>
      </c>
      <c r="J29687">
        <v>2</v>
      </c>
    </row>
    <row r="29688" spans="1:10" x14ac:dyDescent="0.25">
      <c r="A29688" t="s">
        <v>337</v>
      </c>
      <c r="B29688" s="1" t="str">
        <f>HYPERLINK("http://jbl.com.gt","jbl.com.gt")</f>
        <v>jbl.com.gt</v>
      </c>
      <c r="C29688" t="s">
        <v>448</v>
      </c>
      <c r="D29688" t="s">
        <v>826</v>
      </c>
      <c r="F29688">
        <v>1.19185566942728E-8</v>
      </c>
      <c r="G29688">
        <v>5225923</v>
      </c>
      <c r="H29688">
        <v>12276190</v>
      </c>
      <c r="I29688">
        <v>21387132</v>
      </c>
      <c r="J29688">
        <v>5</v>
      </c>
    </row>
    <row r="29689" spans="1:10" x14ac:dyDescent="0.25">
      <c r="A29689" t="s">
        <v>337</v>
      </c>
      <c r="B29689" s="1" t="str">
        <f>HYPERLINK("http://samsungfund.com.hk","samsungfund.com.hk")</f>
        <v>samsungfund.com.hk</v>
      </c>
      <c r="C29689" t="s">
        <v>450</v>
      </c>
      <c r="D29689" t="s">
        <v>827</v>
      </c>
      <c r="F29689">
        <v>2.5828225152870399E-8</v>
      </c>
      <c r="G29689">
        <v>1995580</v>
      </c>
      <c r="H29689">
        <v>12447691</v>
      </c>
      <c r="I29689">
        <v>18048283</v>
      </c>
      <c r="J29689">
        <v>9</v>
      </c>
    </row>
    <row r="29690" spans="1:10" x14ac:dyDescent="0.25">
      <c r="A29690" t="s">
        <v>337</v>
      </c>
      <c r="B29690" s="1" t="str">
        <f>HYPERLINK("http://samsung.hr","samsung.hr")</f>
        <v>samsung.hr</v>
      </c>
      <c r="C29690" t="s">
        <v>452</v>
      </c>
      <c r="D29690" t="s">
        <v>829</v>
      </c>
      <c r="F29690">
        <v>6.4577455428995997E-9</v>
      </c>
      <c r="G29690">
        <v>14259433</v>
      </c>
      <c r="H29690">
        <v>12468630</v>
      </c>
      <c r="I29690">
        <v>17774259</v>
      </c>
      <c r="J29690">
        <v>2</v>
      </c>
    </row>
    <row r="29691" spans="1:10" x14ac:dyDescent="0.25">
      <c r="A29691" t="s">
        <v>337</v>
      </c>
      <c r="B29691" s="1" t="str">
        <f>HYPERLINK("http://samsungsdi.hu","samsungsdi.hu")</f>
        <v>samsungsdi.hu</v>
      </c>
      <c r="C29691" t="s">
        <v>453</v>
      </c>
      <c r="D29691" t="s">
        <v>830</v>
      </c>
      <c r="F29691">
        <v>5.56925207894807E-9</v>
      </c>
      <c r="G29691">
        <v>20185494</v>
      </c>
      <c r="H29691">
        <v>12241236</v>
      </c>
      <c r="I29691">
        <v>22228025</v>
      </c>
      <c r="J29691">
        <v>5</v>
      </c>
    </row>
    <row r="29692" spans="1:10" x14ac:dyDescent="0.25">
      <c r="A29692" t="s">
        <v>337</v>
      </c>
      <c r="B29692" s="1" t="str">
        <f>HYPERLINK("http://sestore.hu","sestore.hu")</f>
        <v>sestore.hu</v>
      </c>
      <c r="C29692" t="s">
        <v>453</v>
      </c>
      <c r="D29692" t="s">
        <v>830</v>
      </c>
      <c r="F29692">
        <v>1.37630781868786E-8</v>
      </c>
      <c r="G29692">
        <v>4295955</v>
      </c>
      <c r="H29692">
        <v>13323164</v>
      </c>
      <c r="I29692">
        <v>10737990</v>
      </c>
      <c r="J29692">
        <v>3</v>
      </c>
    </row>
    <row r="29693" spans="1:10" x14ac:dyDescent="0.25">
      <c r="A29693" t="s">
        <v>337</v>
      </c>
      <c r="B29693" s="1" t="str">
        <f>HYPERLINK("http://infinitylab.id","infinitylab.id")</f>
        <v>infinitylab.id</v>
      </c>
      <c r="C29693" t="s">
        <v>454</v>
      </c>
      <c r="D29693" t="s">
        <v>831</v>
      </c>
      <c r="F29693">
        <v>5.8834639857331299E-9</v>
      </c>
      <c r="G29693">
        <v>17472992</v>
      </c>
      <c r="H29693">
        <v>12207582</v>
      </c>
      <c r="I29693">
        <v>23086218</v>
      </c>
      <c r="J29693">
        <v>6</v>
      </c>
    </row>
    <row r="29694" spans="1:10" x14ac:dyDescent="0.25">
      <c r="A29694" t="s">
        <v>337</v>
      </c>
      <c r="B29694" s="1" t="str">
        <f>HYPERLINK("http://harman.in","harman.in")</f>
        <v>harman.in</v>
      </c>
      <c r="C29694" t="s">
        <v>457</v>
      </c>
      <c r="D29694" t="s">
        <v>834</v>
      </c>
      <c r="F29694">
        <v>8.3646810733491605E-9</v>
      </c>
      <c r="G29694">
        <v>9115975</v>
      </c>
      <c r="H29694">
        <v>13763803</v>
      </c>
      <c r="I29694">
        <v>7613939</v>
      </c>
      <c r="J29694">
        <v>4</v>
      </c>
    </row>
    <row r="29695" spans="1:10" x14ac:dyDescent="0.25">
      <c r="A29695" t="s">
        <v>337</v>
      </c>
      <c r="B29695" s="1" t="str">
        <f>HYPERLINK("http://harmanaudio.in","harmanaudio.in")</f>
        <v>harmanaudio.in</v>
      </c>
      <c r="C29695" t="s">
        <v>457</v>
      </c>
      <c r="D29695" t="s">
        <v>834</v>
      </c>
      <c r="F29695">
        <v>3.9946961186809799E-8</v>
      </c>
      <c r="G29695">
        <v>1293875</v>
      </c>
      <c r="H29695">
        <v>13846394</v>
      </c>
      <c r="I29695">
        <v>6060358</v>
      </c>
      <c r="J29695">
        <v>6</v>
      </c>
    </row>
    <row r="29696" spans="1:10" x14ac:dyDescent="0.25">
      <c r="A29696" t="s">
        <v>337</v>
      </c>
      <c r="B29696" s="1" t="str">
        <f>HYPERLINK("http://jblstore.it","jblstore.it")</f>
        <v>jblstore.it</v>
      </c>
      <c r="C29696" t="s">
        <v>459</v>
      </c>
      <c r="D29696" t="s">
        <v>835</v>
      </c>
      <c r="F29696">
        <v>1.8871983137591701E-8</v>
      </c>
      <c r="G29696">
        <v>2858642</v>
      </c>
      <c r="H29696">
        <v>14076540</v>
      </c>
      <c r="I29696">
        <v>2884843</v>
      </c>
      <c r="J29696">
        <v>4</v>
      </c>
    </row>
    <row r="29697" spans="1:10" x14ac:dyDescent="0.25">
      <c r="A29697" t="s">
        <v>337</v>
      </c>
      <c r="B29697" s="1" t="str">
        <f>HYPERLINK("http://samsung.it","samsung.it")</f>
        <v>samsung.it</v>
      </c>
      <c r="C29697" t="s">
        <v>459</v>
      </c>
      <c r="D29697" t="s">
        <v>835</v>
      </c>
      <c r="E29697">
        <v>315287</v>
      </c>
      <c r="F29697">
        <v>1.0035551155024201E-6</v>
      </c>
      <c r="G29697">
        <v>38133</v>
      </c>
      <c r="H29697">
        <v>15799543</v>
      </c>
      <c r="I29697">
        <v>368154</v>
      </c>
      <c r="J29697">
        <v>2</v>
      </c>
    </row>
    <row r="29698" spans="1:10" x14ac:dyDescent="0.25">
      <c r="A29698" t="s">
        <v>337</v>
      </c>
      <c r="B29698" s="1" t="str">
        <f>HYPERLINK("http://harman-japan.co.jp","harman-japan.co.jp")</f>
        <v>harman-japan.co.jp</v>
      </c>
      <c r="C29698" t="s">
        <v>461</v>
      </c>
      <c r="D29698" t="s">
        <v>837</v>
      </c>
      <c r="E29698">
        <v>767481</v>
      </c>
      <c r="F29698">
        <v>7.9711548987663003E-8</v>
      </c>
      <c r="G29698">
        <v>524084</v>
      </c>
      <c r="H29698">
        <v>14225104</v>
      </c>
      <c r="I29698">
        <v>1680261</v>
      </c>
      <c r="J29698">
        <v>3</v>
      </c>
    </row>
    <row r="29699" spans="1:10" x14ac:dyDescent="0.25">
      <c r="A29699" t="s">
        <v>337</v>
      </c>
      <c r="B29699" s="1" t="str">
        <f>HYPERLINK("http://galaxymobile.jp","galaxymobile.jp")</f>
        <v>galaxymobile.jp</v>
      </c>
      <c r="C29699" t="s">
        <v>461</v>
      </c>
      <c r="D29699" t="s">
        <v>837</v>
      </c>
      <c r="E29699">
        <v>132696</v>
      </c>
      <c r="F29699">
        <v>4.71273455149991E-7</v>
      </c>
      <c r="G29699">
        <v>80524</v>
      </c>
      <c r="H29699">
        <v>17095110</v>
      </c>
      <c r="I29699">
        <v>64842</v>
      </c>
      <c r="J29699">
        <v>4</v>
      </c>
    </row>
    <row r="29700" spans="1:10" x14ac:dyDescent="0.25">
      <c r="A29700" t="s">
        <v>337</v>
      </c>
      <c r="B29700" s="1" t="str">
        <f>HYPERLINK("http://anycardirect.kr","anycardirect.kr")</f>
        <v>anycardirect.kr</v>
      </c>
      <c r="C29700" t="s">
        <v>463</v>
      </c>
      <c r="D29700" t="s">
        <v>839</v>
      </c>
      <c r="J29700">
        <v>6</v>
      </c>
    </row>
    <row r="29701" spans="1:10" x14ac:dyDescent="0.25">
      <c r="A29701" t="s">
        <v>337</v>
      </c>
      <c r="B29701" s="1" t="str">
        <f>HYPERLINK("http://anycardirect.co.kr","anycardirect.co.kr")</f>
        <v>anycardirect.co.kr</v>
      </c>
      <c r="C29701" t="s">
        <v>463</v>
      </c>
      <c r="D29701" t="s">
        <v>839</v>
      </c>
      <c r="J29701">
        <v>6</v>
      </c>
    </row>
    <row r="29702" spans="1:10" x14ac:dyDescent="0.25">
      <c r="A29702" t="s">
        <v>337</v>
      </c>
      <c r="B29702" s="1" t="str">
        <f>HYPERLINK("http://directanycar.co.kr","directanycar.co.kr")</f>
        <v>directanycar.co.kr</v>
      </c>
      <c r="C29702" t="s">
        <v>463</v>
      </c>
      <c r="D29702" t="s">
        <v>839</v>
      </c>
      <c r="J29702">
        <v>6</v>
      </c>
    </row>
    <row r="29703" spans="1:10" x14ac:dyDescent="0.25">
      <c r="A29703" t="s">
        <v>337</v>
      </c>
      <c r="B29703" s="1" t="str">
        <f>HYPERLINK("http://mirero.co.kr","mirero.co.kr")</f>
        <v>mirero.co.kr</v>
      </c>
      <c r="C29703" t="s">
        <v>463</v>
      </c>
      <c r="D29703" t="s">
        <v>839</v>
      </c>
      <c r="F29703">
        <v>5.1716684111812403E-9</v>
      </c>
      <c r="G29703">
        <v>25694684</v>
      </c>
      <c r="H29703">
        <v>12217508</v>
      </c>
      <c r="I29703">
        <v>22844759</v>
      </c>
      <c r="J29703">
        <v>3</v>
      </c>
    </row>
    <row r="29704" spans="1:10" x14ac:dyDescent="0.25">
      <c r="A29704" t="s">
        <v>337</v>
      </c>
      <c r="B29704" s="1" t="str">
        <f>HYPERLINK("http://mkiis.co.kr","mkiis.co.kr")</f>
        <v>mkiis.co.kr</v>
      </c>
      <c r="C29704" t="s">
        <v>463</v>
      </c>
      <c r="D29704" t="s">
        <v>839</v>
      </c>
      <c r="J29704">
        <v>8</v>
      </c>
    </row>
    <row r="29705" spans="1:10" x14ac:dyDescent="0.25">
      <c r="A29705" t="s">
        <v>337</v>
      </c>
      <c r="B29705" s="1" t="str">
        <f>HYPERLINK("http://myanycar.co.kr","myanycar.co.kr")</f>
        <v>myanycar.co.kr</v>
      </c>
      <c r="C29705" t="s">
        <v>463</v>
      </c>
      <c r="D29705" t="s">
        <v>839</v>
      </c>
      <c r="J29705">
        <v>6</v>
      </c>
    </row>
    <row r="29706" spans="1:10" x14ac:dyDescent="0.25">
      <c r="A29706" t="s">
        <v>337</v>
      </c>
      <c r="B29706" s="1" t="str">
        <f>HYPERLINK("http://samsung.co.kr","samsung.co.kr")</f>
        <v>samsung.co.kr</v>
      </c>
      <c r="C29706" t="s">
        <v>463</v>
      </c>
      <c r="D29706" t="s">
        <v>839</v>
      </c>
      <c r="E29706">
        <v>12967</v>
      </c>
      <c r="F29706">
        <v>2.2425716906568399E-7</v>
      </c>
      <c r="G29706">
        <v>168063</v>
      </c>
      <c r="H29706">
        <v>15045272</v>
      </c>
      <c r="I29706">
        <v>415557</v>
      </c>
      <c r="J29706">
        <v>2</v>
      </c>
    </row>
    <row r="29707" spans="1:10" x14ac:dyDescent="0.25">
      <c r="A29707" t="s">
        <v>337</v>
      </c>
      <c r="B29707" s="1" t="str">
        <f>HYPERLINK("http://samsungengineering.co.kr","samsungengineering.co.kr")</f>
        <v>samsungengineering.co.kr</v>
      </c>
      <c r="C29707" t="s">
        <v>463</v>
      </c>
      <c r="D29707" t="s">
        <v>839</v>
      </c>
      <c r="F29707">
        <v>4.6071272464417997E-8</v>
      </c>
      <c r="G29707">
        <v>1018104</v>
      </c>
      <c r="H29707">
        <v>14611001</v>
      </c>
      <c r="I29707">
        <v>676711</v>
      </c>
      <c r="J29707">
        <v>7</v>
      </c>
    </row>
    <row r="29708" spans="1:10" x14ac:dyDescent="0.25">
      <c r="A29708" t="s">
        <v>337</v>
      </c>
      <c r="B29708" s="1" t="str">
        <f>HYPERLINK("http://samsungfire.co.kr","samsungfire.co.kr")</f>
        <v>samsungfire.co.kr</v>
      </c>
      <c r="C29708" t="s">
        <v>463</v>
      </c>
      <c r="D29708" t="s">
        <v>839</v>
      </c>
      <c r="F29708">
        <v>7.7360693420194594E-9</v>
      </c>
      <c r="G29708">
        <v>10494998</v>
      </c>
      <c r="H29708">
        <v>12066674</v>
      </c>
      <c r="I29708">
        <v>26858612</v>
      </c>
      <c r="J29708">
        <v>6</v>
      </c>
    </row>
    <row r="29709" spans="1:10" x14ac:dyDescent="0.25">
      <c r="A29709" t="s">
        <v>337</v>
      </c>
      <c r="B29709" s="1" t="str">
        <f>HYPERLINK("http://samsungfiredirect.co.kr","samsungfiredirect.co.kr")</f>
        <v>samsungfiredirect.co.kr</v>
      </c>
      <c r="C29709" t="s">
        <v>463</v>
      </c>
      <c r="D29709" t="s">
        <v>839</v>
      </c>
      <c r="F29709">
        <v>4.44380395335525E-9</v>
      </c>
      <c r="G29709">
        <v>85305574</v>
      </c>
      <c r="H29709">
        <v>0</v>
      </c>
      <c r="I29709">
        <v>86528021</v>
      </c>
      <c r="J29709">
        <v>6</v>
      </c>
    </row>
    <row r="29710" spans="1:10" x14ac:dyDescent="0.25">
      <c r="A29710" t="s">
        <v>337</v>
      </c>
      <c r="B29710" s="1" t="str">
        <f>HYPERLINK("http://samsungmedison.co.kr","samsungmedison.co.kr")</f>
        <v>samsungmedison.co.kr</v>
      </c>
      <c r="C29710" t="s">
        <v>463</v>
      </c>
      <c r="D29710" t="s">
        <v>839</v>
      </c>
      <c r="F29710">
        <v>5.4648116848175798E-8</v>
      </c>
      <c r="G29710">
        <v>824936</v>
      </c>
      <c r="H29710">
        <v>16872670</v>
      </c>
      <c r="I29710">
        <v>145739</v>
      </c>
      <c r="J29710">
        <v>3</v>
      </c>
    </row>
    <row r="29711" spans="1:10" x14ac:dyDescent="0.25">
      <c r="A29711" t="s">
        <v>337</v>
      </c>
      <c r="B29711" s="1" t="str">
        <f>HYPERLINK("http://samsungsales.co.kr","samsungsales.co.kr")</f>
        <v>samsungsales.co.kr</v>
      </c>
      <c r="C29711" t="s">
        <v>463</v>
      </c>
      <c r="D29711" t="s">
        <v>839</v>
      </c>
      <c r="F29711">
        <v>3.1115703487890402E-8</v>
      </c>
      <c r="G29711">
        <v>1656719</v>
      </c>
      <c r="H29711">
        <v>14114574</v>
      </c>
      <c r="I29711">
        <v>2665112</v>
      </c>
      <c r="J29711">
        <v>3</v>
      </c>
    </row>
    <row r="29712" spans="1:10" x14ac:dyDescent="0.25">
      <c r="A29712" t="s">
        <v>337</v>
      </c>
      <c r="B29712" s="1" t="str">
        <f>HYPERLINK("http://samsungsdi.co.kr","samsungsdi.co.kr")</f>
        <v>samsungsdi.co.kr</v>
      </c>
      <c r="C29712" t="s">
        <v>463</v>
      </c>
      <c r="D29712" t="s">
        <v>839</v>
      </c>
      <c r="F29712">
        <v>1.0261927343078499E-7</v>
      </c>
      <c r="G29712">
        <v>391222</v>
      </c>
      <c r="H29712">
        <v>14300217</v>
      </c>
      <c r="I29712">
        <v>1356366</v>
      </c>
      <c r="J29712">
        <v>4</v>
      </c>
    </row>
    <row r="29713" spans="1:10" x14ac:dyDescent="0.25">
      <c r="A29713" t="s">
        <v>337</v>
      </c>
      <c r="B29713" s="1" t="str">
        <f>HYPERLINK("http://samsungsem.co.kr","samsungsem.co.kr")</f>
        <v>samsungsem.co.kr</v>
      </c>
      <c r="C29713" t="s">
        <v>463</v>
      </c>
      <c r="D29713" t="s">
        <v>839</v>
      </c>
      <c r="F29713">
        <v>1.40964125458587E-8</v>
      </c>
      <c r="G29713">
        <v>4166943</v>
      </c>
      <c r="H29713">
        <v>14086945</v>
      </c>
      <c r="I29713">
        <v>2766549</v>
      </c>
      <c r="J29713">
        <v>7</v>
      </c>
    </row>
    <row r="29714" spans="1:10" x14ac:dyDescent="0.25">
      <c r="A29714" t="s">
        <v>337</v>
      </c>
      <c r="B29714" s="1" t="str">
        <f>HYPERLINK("http://samsungsvc.co.kr","samsungsvc.co.kr")</f>
        <v>samsungsvc.co.kr</v>
      </c>
      <c r="C29714" t="s">
        <v>463</v>
      </c>
      <c r="D29714" t="s">
        <v>839</v>
      </c>
      <c r="E29714">
        <v>90678</v>
      </c>
      <c r="F29714">
        <v>1.82411492934252E-7</v>
      </c>
      <c r="G29714">
        <v>211423</v>
      </c>
      <c r="H29714">
        <v>14493621</v>
      </c>
      <c r="I29714">
        <v>886753</v>
      </c>
      <c r="J29714">
        <v>2</v>
      </c>
    </row>
    <row r="29715" spans="1:10" x14ac:dyDescent="0.25">
      <c r="A29715" t="s">
        <v>337</v>
      </c>
      <c r="B29715" s="1" t="str">
        <f>HYPERLINK("http://selc.co.kr","selc.co.kr")</f>
        <v>selc.co.kr</v>
      </c>
      <c r="C29715" t="s">
        <v>463</v>
      </c>
      <c r="D29715" t="s">
        <v>839</v>
      </c>
      <c r="F29715">
        <v>1.7300047441009399E-8</v>
      </c>
      <c r="G29715">
        <v>3199240</v>
      </c>
      <c r="H29715">
        <v>14087095</v>
      </c>
      <c r="I29715">
        <v>2765717</v>
      </c>
      <c r="J29715">
        <v>3</v>
      </c>
    </row>
    <row r="29716" spans="1:10" x14ac:dyDescent="0.25">
      <c r="A29716" t="s">
        <v>337</v>
      </c>
      <c r="B29716" s="1" t="str">
        <f>HYPERLINK("http://steco.co.kr","steco.co.kr")</f>
        <v>steco.co.kr</v>
      </c>
      <c r="C29716" t="s">
        <v>463</v>
      </c>
      <c r="D29716" t="s">
        <v>839</v>
      </c>
      <c r="F29716">
        <v>5.81137358221293E-9</v>
      </c>
      <c r="G29716">
        <v>18002086</v>
      </c>
      <c r="H29716">
        <v>14072037</v>
      </c>
      <c r="I29716">
        <v>3181611</v>
      </c>
      <c r="J29716">
        <v>3</v>
      </c>
    </row>
    <row r="29717" spans="1:10" x14ac:dyDescent="0.25">
      <c r="A29717" t="s">
        <v>337</v>
      </c>
      <c r="B29717" s="1" t="str">
        <f>HYPERLINK("http://samsungfiredirect.kr","samsungfiredirect.kr")</f>
        <v>samsungfiredirect.kr</v>
      </c>
      <c r="C29717" t="s">
        <v>463</v>
      </c>
      <c r="D29717" t="s">
        <v>839</v>
      </c>
      <c r="F29717">
        <v>4.5058661341009503E-9</v>
      </c>
      <c r="G29717">
        <v>58098002</v>
      </c>
      <c r="H29717">
        <v>9859504</v>
      </c>
      <c r="I29717">
        <v>62068840</v>
      </c>
      <c r="J29717">
        <v>6</v>
      </c>
    </row>
    <row r="29718" spans="1:10" x14ac:dyDescent="0.25">
      <c r="A29718" t="s">
        <v>337</v>
      </c>
      <c r="B29718" s="1" t="str">
        <f>HYPERLINK("http://kodex.link","kodex.link")</f>
        <v>kodex.link</v>
      </c>
      <c r="C29718" t="s">
        <v>546</v>
      </c>
      <c r="F29718">
        <v>4.44380395335525E-9</v>
      </c>
      <c r="G29718">
        <v>85332891</v>
      </c>
      <c r="H29718">
        <v>0</v>
      </c>
      <c r="I29718">
        <v>86561448</v>
      </c>
      <c r="J29718">
        <v>13</v>
      </c>
    </row>
    <row r="29719" spans="1:10" x14ac:dyDescent="0.25">
      <c r="A29719" t="s">
        <v>337</v>
      </c>
      <c r="B29719" s="1" t="str">
        <f>HYPERLINK("http://swallet.link","swallet.link")</f>
        <v>swallet.link</v>
      </c>
      <c r="C29719" t="s">
        <v>546</v>
      </c>
      <c r="J29719">
        <v>2</v>
      </c>
    </row>
    <row r="29720" spans="1:10" x14ac:dyDescent="0.25">
      <c r="A29720" t="s">
        <v>337</v>
      </c>
      <c r="B29720" s="1" t="str">
        <f>HYPERLINK("http://samsung.lt","samsung.lt")</f>
        <v>samsung.lt</v>
      </c>
      <c r="C29720" t="s">
        <v>467</v>
      </c>
      <c r="D29720" t="s">
        <v>843</v>
      </c>
      <c r="F29720">
        <v>1.02562684483531E-8</v>
      </c>
      <c r="G29720">
        <v>6492647</v>
      </c>
      <c r="H29720">
        <v>11353502</v>
      </c>
      <c r="I29720">
        <v>30381101</v>
      </c>
      <c r="J29720">
        <v>2</v>
      </c>
    </row>
    <row r="29721" spans="1:10" x14ac:dyDescent="0.25">
      <c r="A29721" t="s">
        <v>337</v>
      </c>
      <c r="B29721" s="1" t="str">
        <f>HYPERLINK("http://samsungusbdriver.me","samsungusbdriver.me")</f>
        <v>samsungusbdriver.me</v>
      </c>
      <c r="C29721" t="s">
        <v>470</v>
      </c>
      <c r="D29721" t="s">
        <v>846</v>
      </c>
      <c r="F29721">
        <v>9.3404143253099096E-9</v>
      </c>
      <c r="G29721">
        <v>7521013</v>
      </c>
      <c r="H29721">
        <v>10365751</v>
      </c>
      <c r="I29721">
        <v>55008118</v>
      </c>
      <c r="J29721">
        <v>4</v>
      </c>
    </row>
    <row r="29722" spans="1:10" x14ac:dyDescent="0.25">
      <c r="A29722" t="s">
        <v>337</v>
      </c>
      <c r="B29722" s="1" t="str">
        <f>HYPERLINK("http://harmanaudio.com.mx","harmanaudio.com.mx")</f>
        <v>harmanaudio.com.mx</v>
      </c>
      <c r="C29722" t="s">
        <v>471</v>
      </c>
      <c r="D29722" t="s">
        <v>847</v>
      </c>
      <c r="F29722">
        <v>1.0299061810018701E-8</v>
      </c>
      <c r="G29722">
        <v>6451793</v>
      </c>
      <c r="H29722">
        <v>12830278</v>
      </c>
      <c r="I29722">
        <v>14419366</v>
      </c>
      <c r="J29722">
        <v>6</v>
      </c>
    </row>
    <row r="29723" spans="1:10" x14ac:dyDescent="0.25">
      <c r="A29723" t="s">
        <v>337</v>
      </c>
      <c r="B29723" s="1" t="str">
        <f>HYPERLINK("http://harmankardon.com.mx","harmankardon.com.mx")</f>
        <v>harmankardon.com.mx</v>
      </c>
      <c r="C29723" t="s">
        <v>471</v>
      </c>
      <c r="D29723" t="s">
        <v>847</v>
      </c>
      <c r="F29723">
        <v>1.6200728862831399E-8</v>
      </c>
      <c r="G29723">
        <v>3495218</v>
      </c>
      <c r="H29723">
        <v>12289418</v>
      </c>
      <c r="I29723">
        <v>21127682</v>
      </c>
      <c r="J29723">
        <v>5</v>
      </c>
    </row>
    <row r="29724" spans="1:10" x14ac:dyDescent="0.25">
      <c r="A29724" t="s">
        <v>337</v>
      </c>
      <c r="B29724" s="1" t="str">
        <f>HYPERLINK("http://jbl.com.mx","jbl.com.mx")</f>
        <v>jbl.com.mx</v>
      </c>
      <c r="C29724" t="s">
        <v>471</v>
      </c>
      <c r="D29724" t="s">
        <v>847</v>
      </c>
      <c r="E29724">
        <v>998466</v>
      </c>
      <c r="F29724">
        <v>2.1120284103309701E-8</v>
      </c>
      <c r="G29724">
        <v>2499985</v>
      </c>
      <c r="H29724">
        <v>13259783</v>
      </c>
      <c r="I29724">
        <v>11042246</v>
      </c>
      <c r="J29724">
        <v>5</v>
      </c>
    </row>
    <row r="29725" spans="1:10" x14ac:dyDescent="0.25">
      <c r="A29725" t="s">
        <v>337</v>
      </c>
      <c r="B29725" s="1" t="str">
        <f>HYPERLINK("http://samsung.com.mx","samsung.com.mx")</f>
        <v>samsung.com.mx</v>
      </c>
      <c r="C29725" t="s">
        <v>471</v>
      </c>
      <c r="D29725" t="s">
        <v>847</v>
      </c>
      <c r="F29725">
        <v>2.6221351678218199E-8</v>
      </c>
      <c r="G29725">
        <v>1964348</v>
      </c>
      <c r="H29725">
        <v>13923913</v>
      </c>
      <c r="I29725">
        <v>5932653</v>
      </c>
      <c r="J29725">
        <v>2</v>
      </c>
    </row>
    <row r="29726" spans="1:10" x14ac:dyDescent="0.25">
      <c r="A29726" t="s">
        <v>337</v>
      </c>
      <c r="B29726" s="1" t="str">
        <f>HYPERLINK("http://jbl.mx","jbl.mx")</f>
        <v>jbl.mx</v>
      </c>
      <c r="C29726" t="s">
        <v>471</v>
      </c>
      <c r="D29726" t="s">
        <v>847</v>
      </c>
      <c r="J29726">
        <v>6</v>
      </c>
    </row>
    <row r="29727" spans="1:10" x14ac:dyDescent="0.25">
      <c r="A29727" t="s">
        <v>337</v>
      </c>
      <c r="B29727" s="1" t="str">
        <f>HYPERLINK("http://infinitylab.com.my","infinitylab.com.my")</f>
        <v>infinitylab.com.my</v>
      </c>
      <c r="C29727" t="s">
        <v>472</v>
      </c>
      <c r="D29727" t="s">
        <v>848</v>
      </c>
      <c r="F29727">
        <v>5.6843627683565403E-9</v>
      </c>
      <c r="G29727">
        <v>19092734</v>
      </c>
      <c r="H29727">
        <v>10902099</v>
      </c>
      <c r="I29727">
        <v>35786467</v>
      </c>
      <c r="J29727">
        <v>6</v>
      </c>
    </row>
    <row r="29728" spans="1:10" x14ac:dyDescent="0.25">
      <c r="A29728" t="s">
        <v>337</v>
      </c>
      <c r="B29728" s="1" t="str">
        <f>HYPERLINK("http://jbl.com.my","jbl.com.my")</f>
        <v>jbl.com.my</v>
      </c>
      <c r="C29728" t="s">
        <v>472</v>
      </c>
      <c r="D29728" t="s">
        <v>848</v>
      </c>
      <c r="F29728">
        <v>2.7492576980653199E-8</v>
      </c>
      <c r="G29728">
        <v>1869964</v>
      </c>
      <c r="H29728">
        <v>12705922</v>
      </c>
      <c r="I29728">
        <v>15323551</v>
      </c>
      <c r="J29728">
        <v>5</v>
      </c>
    </row>
    <row r="29729" spans="1:10" x14ac:dyDescent="0.25">
      <c r="A29729" t="s">
        <v>337</v>
      </c>
      <c r="B29729" s="1" t="str">
        <f>HYPERLINK("http://anycardirect.net","anycardirect.net")</f>
        <v>anycardirect.net</v>
      </c>
      <c r="C29729" t="s">
        <v>474</v>
      </c>
      <c r="J29729">
        <v>6</v>
      </c>
    </row>
    <row r="29730" spans="1:10" x14ac:dyDescent="0.25">
      <c r="A29730" t="s">
        <v>337</v>
      </c>
      <c r="B29730" s="1" t="str">
        <f>HYPERLINK("http://samsungdisplay.net","samsungdisplay.net")</f>
        <v>samsungdisplay.net</v>
      </c>
      <c r="C29730" t="s">
        <v>474</v>
      </c>
      <c r="J29730">
        <v>2</v>
      </c>
    </row>
    <row r="29731" spans="1:10" x14ac:dyDescent="0.25">
      <c r="A29731" t="s">
        <v>337</v>
      </c>
      <c r="B29731" s="1" t="str">
        <f>HYPERLINK("http://samsungfiredirect.net","samsungfiredirect.net")</f>
        <v>samsungfiredirect.net</v>
      </c>
      <c r="C29731" t="s">
        <v>474</v>
      </c>
      <c r="F29731">
        <v>4.4668931444842797E-9</v>
      </c>
      <c r="G29731">
        <v>65660560</v>
      </c>
      <c r="H29731">
        <v>10539945</v>
      </c>
      <c r="I29731">
        <v>47284424</v>
      </c>
      <c r="J29731">
        <v>6</v>
      </c>
    </row>
    <row r="29732" spans="1:10" x14ac:dyDescent="0.25">
      <c r="A29732" t="s">
        <v>337</v>
      </c>
      <c r="B29732" s="1" t="str">
        <f>HYPERLINK("http://samsungsports.net","samsungsports.net")</f>
        <v>samsungsports.net</v>
      </c>
      <c r="C29732" t="s">
        <v>474</v>
      </c>
      <c r="F29732">
        <v>5.0735506205818198E-9</v>
      </c>
      <c r="G29732">
        <v>27664947</v>
      </c>
      <c r="H29732">
        <v>14071789</v>
      </c>
      <c r="I29732">
        <v>3671489</v>
      </c>
      <c r="J29732">
        <v>4</v>
      </c>
    </row>
    <row r="29733" spans="1:10" x14ac:dyDescent="0.25">
      <c r="A29733" t="s">
        <v>337</v>
      </c>
      <c r="B29733" s="1" t="str">
        <f>HYPERLINK("http://harmanaudio.nl","harmanaudio.nl")</f>
        <v>harmanaudio.nl</v>
      </c>
      <c r="C29733" t="s">
        <v>477</v>
      </c>
      <c r="D29733" t="s">
        <v>852</v>
      </c>
      <c r="F29733">
        <v>9.0455741396452103E-9</v>
      </c>
      <c r="G29733">
        <v>7924197</v>
      </c>
      <c r="H29733">
        <v>12619919</v>
      </c>
      <c r="I29733">
        <v>16093126</v>
      </c>
      <c r="J29733">
        <v>6</v>
      </c>
    </row>
    <row r="29734" spans="1:10" x14ac:dyDescent="0.25">
      <c r="A29734" t="s">
        <v>337</v>
      </c>
      <c r="B29734" s="1" t="str">
        <f>HYPERLINK("http://harmankardon.nl","harmankardon.nl")</f>
        <v>harmankardon.nl</v>
      </c>
      <c r="C29734" t="s">
        <v>477</v>
      </c>
      <c r="D29734" t="s">
        <v>852</v>
      </c>
      <c r="F29734">
        <v>3.5915025539238398E-8</v>
      </c>
      <c r="G29734">
        <v>1450559</v>
      </c>
      <c r="H29734">
        <v>12844937</v>
      </c>
      <c r="I29734">
        <v>14320147</v>
      </c>
      <c r="J29734">
        <v>5</v>
      </c>
    </row>
    <row r="29735" spans="1:10" x14ac:dyDescent="0.25">
      <c r="A29735" t="s">
        <v>337</v>
      </c>
      <c r="B29735" s="1" t="str">
        <f>HYPERLINK("http://infinitylab.nl","infinitylab.nl")</f>
        <v>infinitylab.nl</v>
      </c>
      <c r="C29735" t="s">
        <v>477</v>
      </c>
      <c r="D29735" t="s">
        <v>852</v>
      </c>
      <c r="F29735">
        <v>9.7202546303699796E-9</v>
      </c>
      <c r="G29735">
        <v>7057622</v>
      </c>
      <c r="H29735">
        <v>12226536</v>
      </c>
      <c r="I29735">
        <v>22610908</v>
      </c>
      <c r="J29735">
        <v>5</v>
      </c>
    </row>
    <row r="29736" spans="1:10" x14ac:dyDescent="0.25">
      <c r="A29736" t="s">
        <v>337</v>
      </c>
      <c r="B29736" s="1" t="str">
        <f>HYPERLINK("http://jbl.nl","jbl.nl")</f>
        <v>jbl.nl</v>
      </c>
      <c r="C29736" t="s">
        <v>477</v>
      </c>
      <c r="D29736" t="s">
        <v>852</v>
      </c>
      <c r="E29736">
        <v>429455</v>
      </c>
      <c r="F29736">
        <v>6.1141595902324604E-8</v>
      </c>
      <c r="G29736">
        <v>720395</v>
      </c>
      <c r="H29736">
        <v>13431641</v>
      </c>
      <c r="I29736">
        <v>10279032</v>
      </c>
      <c r="J29736">
        <v>5</v>
      </c>
    </row>
    <row r="29737" spans="1:10" x14ac:dyDescent="0.25">
      <c r="A29737" t="s">
        <v>337</v>
      </c>
      <c r="B29737" s="1" t="str">
        <f>HYPERLINK("http://samsung.nl","samsung.nl")</f>
        <v>samsung.nl</v>
      </c>
      <c r="C29737" t="s">
        <v>477</v>
      </c>
      <c r="D29737" t="s">
        <v>852</v>
      </c>
      <c r="E29737">
        <v>633337</v>
      </c>
      <c r="F29737">
        <v>3.9359269114199899E-8</v>
      </c>
      <c r="G29737">
        <v>1311172</v>
      </c>
      <c r="H29737">
        <v>14421227</v>
      </c>
      <c r="I29737">
        <v>1087904</v>
      </c>
      <c r="J29737">
        <v>2</v>
      </c>
    </row>
    <row r="29738" spans="1:10" x14ac:dyDescent="0.25">
      <c r="A29738" t="s">
        <v>337</v>
      </c>
      <c r="B29738" s="1" t="str">
        <f>HYPERLINK("http://samsung.no","samsung.no")</f>
        <v>samsung.no</v>
      </c>
      <c r="C29738" t="s">
        <v>478</v>
      </c>
      <c r="D29738" t="s">
        <v>853</v>
      </c>
      <c r="F29738">
        <v>8.3999510538780105E-9</v>
      </c>
      <c r="G29738">
        <v>9042930</v>
      </c>
      <c r="H29738">
        <v>12443426</v>
      </c>
      <c r="I29738">
        <v>18101711</v>
      </c>
      <c r="J29738">
        <v>2</v>
      </c>
    </row>
    <row r="29739" spans="1:10" x14ac:dyDescent="0.25">
      <c r="A29739" t="s">
        <v>337</v>
      </c>
      <c r="B29739" s="1" t="str">
        <f>HYPERLINK("http://harmankardon.co.nz","harmankardon.co.nz")</f>
        <v>harmankardon.co.nz</v>
      </c>
      <c r="C29739" t="s">
        <v>479</v>
      </c>
      <c r="D29739" t="s">
        <v>854</v>
      </c>
      <c r="F29739">
        <v>1.5805951682522099E-8</v>
      </c>
      <c r="G29739">
        <v>3597831</v>
      </c>
      <c r="H29739">
        <v>12287913</v>
      </c>
      <c r="I29739">
        <v>21155194</v>
      </c>
      <c r="J29739">
        <v>5</v>
      </c>
    </row>
    <row r="29740" spans="1:10" x14ac:dyDescent="0.25">
      <c r="A29740" t="s">
        <v>337</v>
      </c>
      <c r="B29740" s="1" t="str">
        <f>HYPERLINK("http://infinitylab.co.nz","infinitylab.co.nz")</f>
        <v>infinitylab.co.nz</v>
      </c>
      <c r="C29740" t="s">
        <v>479</v>
      </c>
      <c r="D29740" t="s">
        <v>854</v>
      </c>
      <c r="F29740">
        <v>5.6083144148018104E-9</v>
      </c>
      <c r="G29740">
        <v>19778223</v>
      </c>
      <c r="H29740">
        <v>10364614</v>
      </c>
      <c r="I29740">
        <v>55035389</v>
      </c>
      <c r="J29740">
        <v>6</v>
      </c>
    </row>
    <row r="29741" spans="1:10" x14ac:dyDescent="0.25">
      <c r="A29741" t="s">
        <v>337</v>
      </c>
      <c r="B29741" s="1" t="str">
        <f>HYPERLINK("http://jbl.co.nz","jbl.co.nz")</f>
        <v>jbl.co.nz</v>
      </c>
      <c r="C29741" t="s">
        <v>479</v>
      </c>
      <c r="D29741" t="s">
        <v>854</v>
      </c>
      <c r="F29741">
        <v>2.8611947951136299E-8</v>
      </c>
      <c r="G29741">
        <v>1798620</v>
      </c>
      <c r="H29741">
        <v>12547750</v>
      </c>
      <c r="I29741">
        <v>16843354</v>
      </c>
      <c r="J29741">
        <v>5</v>
      </c>
    </row>
    <row r="29742" spans="1:10" x14ac:dyDescent="0.25">
      <c r="A29742" t="s">
        <v>337</v>
      </c>
      <c r="B29742" s="1" t="str">
        <f>HYPERLINK("http://jbl.com.pa","jbl.com.pa")</f>
        <v>jbl.com.pa</v>
      </c>
      <c r="C29742" t="s">
        <v>482</v>
      </c>
      <c r="D29742" t="s">
        <v>856</v>
      </c>
      <c r="F29742">
        <v>1.7620265664086599E-8</v>
      </c>
      <c r="G29742">
        <v>3114449</v>
      </c>
      <c r="H29742">
        <v>12349299</v>
      </c>
      <c r="I29742">
        <v>19776815</v>
      </c>
      <c r="J29742">
        <v>5</v>
      </c>
    </row>
    <row r="29743" spans="1:10" x14ac:dyDescent="0.25">
      <c r="A29743" t="s">
        <v>337</v>
      </c>
      <c r="B29743" s="1" t="str">
        <f>HYPERLINK("http://jbl.com.pe","jbl.com.pe")</f>
        <v>jbl.com.pe</v>
      </c>
      <c r="C29743" t="s">
        <v>483</v>
      </c>
      <c r="D29743" t="s">
        <v>857</v>
      </c>
      <c r="F29743">
        <v>2.59234334628208E-8</v>
      </c>
      <c r="G29743">
        <v>1987872</v>
      </c>
      <c r="H29743">
        <v>13131189</v>
      </c>
      <c r="I29743">
        <v>11931611</v>
      </c>
      <c r="J29743">
        <v>5</v>
      </c>
    </row>
    <row r="29744" spans="1:10" x14ac:dyDescent="0.25">
      <c r="A29744" t="s">
        <v>337</v>
      </c>
      <c r="B29744" s="1" t="str">
        <f>HYPERLINK("http://samsung.com.pe","samsung.com.pe")</f>
        <v>samsung.com.pe</v>
      </c>
      <c r="C29744" t="s">
        <v>483</v>
      </c>
      <c r="D29744" t="s">
        <v>857</v>
      </c>
      <c r="F29744">
        <v>2.3942451672246301E-8</v>
      </c>
      <c r="G29744">
        <v>2168599</v>
      </c>
      <c r="H29744">
        <v>13278312</v>
      </c>
      <c r="I29744">
        <v>10920704</v>
      </c>
      <c r="J29744">
        <v>2</v>
      </c>
    </row>
    <row r="29745" spans="1:10" x14ac:dyDescent="0.25">
      <c r="A29745" t="s">
        <v>337</v>
      </c>
      <c r="B29745" s="1" t="str">
        <f>HYPERLINK("http://infinitylab.com.ph","infinitylab.com.ph")</f>
        <v>infinitylab.com.ph</v>
      </c>
      <c r="C29745" t="s">
        <v>484</v>
      </c>
      <c r="D29745" t="s">
        <v>858</v>
      </c>
      <c r="F29745">
        <v>6.7036654908288303E-9</v>
      </c>
      <c r="G29745">
        <v>13290178</v>
      </c>
      <c r="H29745">
        <v>12160863</v>
      </c>
      <c r="I29745">
        <v>24340359</v>
      </c>
      <c r="J29745">
        <v>6</v>
      </c>
    </row>
    <row r="29746" spans="1:10" x14ac:dyDescent="0.25">
      <c r="A29746" t="s">
        <v>337</v>
      </c>
      <c r="B29746" s="1" t="str">
        <f>HYPERLINK("http://jbl.com.ph","jbl.com.ph")</f>
        <v>jbl.com.ph</v>
      </c>
      <c r="C29746" t="s">
        <v>484</v>
      </c>
      <c r="D29746" t="s">
        <v>858</v>
      </c>
      <c r="F29746">
        <v>2.7683453898681101E-8</v>
      </c>
      <c r="G29746">
        <v>1857325</v>
      </c>
      <c r="H29746">
        <v>13770224</v>
      </c>
      <c r="I29746">
        <v>6738870</v>
      </c>
      <c r="J29746">
        <v>5</v>
      </c>
    </row>
    <row r="29747" spans="1:10" x14ac:dyDescent="0.25">
      <c r="A29747" t="s">
        <v>337</v>
      </c>
      <c r="B29747" s="1" t="str">
        <f>HYPERLINK("http://jbl.com.pl","jbl.com.pl")</f>
        <v>jbl.com.pl</v>
      </c>
      <c r="C29747" t="s">
        <v>486</v>
      </c>
      <c r="D29747" t="s">
        <v>860</v>
      </c>
      <c r="F29747">
        <v>2.2563131856497101E-8</v>
      </c>
      <c r="G29747">
        <v>2321524</v>
      </c>
      <c r="H29747">
        <v>12357748</v>
      </c>
      <c r="I29747">
        <v>19629655</v>
      </c>
      <c r="J29747">
        <v>5</v>
      </c>
    </row>
    <row r="29748" spans="1:10" x14ac:dyDescent="0.25">
      <c r="A29748" t="s">
        <v>337</v>
      </c>
      <c r="B29748" s="1" t="str">
        <f>HYPERLINK("http://samsung.pl","samsung.pl")</f>
        <v>samsung.pl</v>
      </c>
      <c r="C29748" t="s">
        <v>486</v>
      </c>
      <c r="D29748" t="s">
        <v>860</v>
      </c>
      <c r="E29748">
        <v>775973</v>
      </c>
      <c r="F29748">
        <v>8.4669032136900799E-8</v>
      </c>
      <c r="G29748">
        <v>487714</v>
      </c>
      <c r="H29748">
        <v>14506269</v>
      </c>
      <c r="I29748">
        <v>833881</v>
      </c>
      <c r="J29748">
        <v>2</v>
      </c>
    </row>
    <row r="29749" spans="1:10" x14ac:dyDescent="0.25">
      <c r="A29749" t="s">
        <v>337</v>
      </c>
      <c r="B29749" s="1" t="str">
        <f>HYPERLINK("http://samsung.com.py","samsung.com.py")</f>
        <v>samsung.com.py</v>
      </c>
      <c r="C29749" t="s">
        <v>489</v>
      </c>
      <c r="D29749" t="s">
        <v>863</v>
      </c>
      <c r="F29749">
        <v>1.64597009835655E-8</v>
      </c>
      <c r="G29749">
        <v>3423928</v>
      </c>
      <c r="H29749">
        <v>13114028</v>
      </c>
      <c r="I29749">
        <v>12021200</v>
      </c>
      <c r="J29749">
        <v>2</v>
      </c>
    </row>
    <row r="29750" spans="1:10" x14ac:dyDescent="0.25">
      <c r="A29750" t="s">
        <v>337</v>
      </c>
      <c r="B29750" s="1" t="str">
        <f>HYPERLINK("http://samsungplaza.ro","samsungplaza.ro")</f>
        <v>samsungplaza.ro</v>
      </c>
      <c r="C29750" t="s">
        <v>491</v>
      </c>
      <c r="D29750" t="s">
        <v>865</v>
      </c>
      <c r="F29750">
        <v>1.22437796184836E-8</v>
      </c>
      <c r="G29750">
        <v>5025889</v>
      </c>
      <c r="H29750">
        <v>13110232</v>
      </c>
      <c r="I29750">
        <v>12036336</v>
      </c>
      <c r="J29750">
        <v>3</v>
      </c>
    </row>
    <row r="29751" spans="1:10" x14ac:dyDescent="0.25">
      <c r="A29751" t="s">
        <v>337</v>
      </c>
      <c r="B29751" s="1" t="str">
        <f>HYPERLINK("http://1galaxy.ru","1galaxy.ru")</f>
        <v>1galaxy.ru</v>
      </c>
      <c r="C29751" t="s">
        <v>493</v>
      </c>
      <c r="D29751" t="s">
        <v>867</v>
      </c>
      <c r="E29751">
        <v>349923</v>
      </c>
      <c r="F29751">
        <v>2.3149782256270399E-8</v>
      </c>
      <c r="G29751">
        <v>2254539</v>
      </c>
      <c r="H29751">
        <v>13098481</v>
      </c>
      <c r="I29751">
        <v>12111459</v>
      </c>
      <c r="J29751">
        <v>3</v>
      </c>
    </row>
    <row r="29752" spans="1:10" x14ac:dyDescent="0.25">
      <c r="A29752" t="s">
        <v>337</v>
      </c>
      <c r="B29752" s="1" t="str">
        <f>HYPERLINK("http://galaxystore.ru","galaxystore.ru")</f>
        <v>galaxystore.ru</v>
      </c>
      <c r="C29752" t="s">
        <v>493</v>
      </c>
      <c r="D29752" t="s">
        <v>867</v>
      </c>
      <c r="E29752">
        <v>121641</v>
      </c>
      <c r="F29752">
        <v>5.5932539583645098E-8</v>
      </c>
      <c r="G29752">
        <v>801004</v>
      </c>
      <c r="H29752">
        <v>13843062</v>
      </c>
      <c r="I29752">
        <v>6066489</v>
      </c>
      <c r="J29752">
        <v>3</v>
      </c>
    </row>
    <row r="29753" spans="1:10" x14ac:dyDescent="0.25">
      <c r="A29753" t="s">
        <v>337</v>
      </c>
      <c r="B29753" s="1" t="str">
        <f>HYPERLINK("http://jbl.ru","jbl.ru")</f>
        <v>jbl.ru</v>
      </c>
      <c r="C29753" t="s">
        <v>493</v>
      </c>
      <c r="D29753" t="s">
        <v>867</v>
      </c>
      <c r="F29753">
        <v>2.0600287393957599E-8</v>
      </c>
      <c r="G29753">
        <v>2570466</v>
      </c>
      <c r="H29753">
        <v>12677665</v>
      </c>
      <c r="I29753">
        <v>15521151</v>
      </c>
      <c r="J29753">
        <v>5</v>
      </c>
    </row>
    <row r="29754" spans="1:10" x14ac:dyDescent="0.25">
      <c r="A29754" t="s">
        <v>337</v>
      </c>
      <c r="B29754" s="1" t="str">
        <f>HYPERLINK("http://samsung.ru","samsung.ru")</f>
        <v>samsung.ru</v>
      </c>
      <c r="C29754" t="s">
        <v>493</v>
      </c>
      <c r="D29754" t="s">
        <v>867</v>
      </c>
      <c r="E29754">
        <v>205887</v>
      </c>
      <c r="F29754">
        <v>5.8498500148387102E-8</v>
      </c>
      <c r="G29754">
        <v>759282</v>
      </c>
      <c r="H29754">
        <v>14131044</v>
      </c>
      <c r="I29754">
        <v>2020379</v>
      </c>
      <c r="J29754">
        <v>2</v>
      </c>
    </row>
    <row r="29755" spans="1:10" x14ac:dyDescent="0.25">
      <c r="A29755" t="s">
        <v>337</v>
      </c>
      <c r="B29755" s="1" t="str">
        <f>HYPERLINK("http://harmankardon.se","harmankardon.se")</f>
        <v>harmankardon.se</v>
      </c>
      <c r="C29755" t="s">
        <v>495</v>
      </c>
      <c r="D29755" t="s">
        <v>869</v>
      </c>
      <c r="F29755">
        <v>5.7794016497163698E-8</v>
      </c>
      <c r="G29755">
        <v>770781</v>
      </c>
      <c r="H29755">
        <v>16751213</v>
      </c>
      <c r="I29755">
        <v>269715</v>
      </c>
      <c r="J29755">
        <v>5</v>
      </c>
    </row>
    <row r="29756" spans="1:10" x14ac:dyDescent="0.25">
      <c r="A29756" t="s">
        <v>337</v>
      </c>
      <c r="B29756" s="1" t="str">
        <f>HYPERLINK("http://jbl.se","jbl.se")</f>
        <v>jbl.se</v>
      </c>
      <c r="C29756" t="s">
        <v>495</v>
      </c>
      <c r="D29756" t="s">
        <v>869</v>
      </c>
      <c r="F29756">
        <v>8.2613919122296495E-8</v>
      </c>
      <c r="G29756">
        <v>505001</v>
      </c>
      <c r="H29756">
        <v>16759379</v>
      </c>
      <c r="I29756">
        <v>230376</v>
      </c>
      <c r="J29756">
        <v>5</v>
      </c>
    </row>
    <row r="29757" spans="1:10" x14ac:dyDescent="0.25">
      <c r="A29757" t="s">
        <v>337</v>
      </c>
      <c r="B29757" s="1" t="str">
        <f>HYPERLINK("http://akg.com.sg","akg.com.sg")</f>
        <v>akg.com.sg</v>
      </c>
      <c r="C29757" t="s">
        <v>496</v>
      </c>
      <c r="D29757" t="s">
        <v>870</v>
      </c>
      <c r="F29757">
        <v>1.31237055317935E-8</v>
      </c>
      <c r="G29757">
        <v>4572970</v>
      </c>
      <c r="H29757">
        <v>12429200</v>
      </c>
      <c r="I29757">
        <v>18311006</v>
      </c>
      <c r="J29757">
        <v>4</v>
      </c>
    </row>
    <row r="29758" spans="1:10" x14ac:dyDescent="0.25">
      <c r="A29758" t="s">
        <v>337</v>
      </c>
      <c r="B29758" s="1" t="str">
        <f>HYPERLINK("http://harmankardon.com.sg","harmankardon.com.sg")</f>
        <v>harmankardon.com.sg</v>
      </c>
      <c r="C29758" t="s">
        <v>496</v>
      </c>
      <c r="D29758" t="s">
        <v>870</v>
      </c>
      <c r="F29758">
        <v>1.4784951679138499E-8</v>
      </c>
      <c r="G29758">
        <v>3912334</v>
      </c>
      <c r="H29758">
        <v>12326374</v>
      </c>
      <c r="I29758">
        <v>20300199</v>
      </c>
      <c r="J29758">
        <v>5</v>
      </c>
    </row>
    <row r="29759" spans="1:10" x14ac:dyDescent="0.25">
      <c r="A29759" t="s">
        <v>337</v>
      </c>
      <c r="B29759" s="1" t="str">
        <f>HYPERLINK("http://jbl.com.sg","jbl.com.sg")</f>
        <v>jbl.com.sg</v>
      </c>
      <c r="C29759" t="s">
        <v>496</v>
      </c>
      <c r="D29759" t="s">
        <v>870</v>
      </c>
      <c r="F29759">
        <v>3.5949876517205499E-8</v>
      </c>
      <c r="G29759">
        <v>1449270</v>
      </c>
      <c r="H29759">
        <v>13576839</v>
      </c>
      <c r="I29759">
        <v>9698927</v>
      </c>
      <c r="J29759">
        <v>5</v>
      </c>
    </row>
    <row r="29760" spans="1:10" x14ac:dyDescent="0.25">
      <c r="A29760" t="s">
        <v>337</v>
      </c>
      <c r="B29760" s="1" t="str">
        <f>HYPERLINK("http://samsung.com.tr","samsung.com.tr")</f>
        <v>samsung.com.tr</v>
      </c>
      <c r="C29760" t="s">
        <v>502</v>
      </c>
      <c r="D29760" t="s">
        <v>876</v>
      </c>
      <c r="F29760">
        <v>1.5223956544664198E-8</v>
      </c>
      <c r="G29760">
        <v>3768598</v>
      </c>
      <c r="H29760">
        <v>14086857</v>
      </c>
      <c r="I29760">
        <v>2767102</v>
      </c>
      <c r="J29760">
        <v>2</v>
      </c>
    </row>
    <row r="29761" spans="1:10" x14ac:dyDescent="0.25">
      <c r="A29761" t="s">
        <v>337</v>
      </c>
      <c r="B29761" s="1" t="str">
        <f>HYPERLINK("http://jbl.com.tw","jbl.com.tw")</f>
        <v>jbl.com.tw</v>
      </c>
      <c r="C29761" t="s">
        <v>504</v>
      </c>
      <c r="D29761" t="s">
        <v>878</v>
      </c>
      <c r="F29761">
        <v>1.2474089639069301E-8</v>
      </c>
      <c r="G29761">
        <v>4899142</v>
      </c>
      <c r="H29761">
        <v>12469820</v>
      </c>
      <c r="I29761">
        <v>17751223</v>
      </c>
      <c r="J29761">
        <v>5</v>
      </c>
    </row>
    <row r="29762" spans="1:10" x14ac:dyDescent="0.25">
      <c r="A29762" t="s">
        <v>337</v>
      </c>
      <c r="B29762" s="1" t="str">
        <f>HYPERLINK("http://samsung.com.tw","samsung.com.tw")</f>
        <v>samsung.com.tw</v>
      </c>
      <c r="C29762" t="s">
        <v>504</v>
      </c>
      <c r="D29762" t="s">
        <v>878</v>
      </c>
      <c r="F29762">
        <v>1.8867199348784001E-8</v>
      </c>
      <c r="G29762">
        <v>2859510</v>
      </c>
      <c r="H29762">
        <v>13928909</v>
      </c>
      <c r="I29762">
        <v>5929838</v>
      </c>
      <c r="J29762">
        <v>2</v>
      </c>
    </row>
    <row r="29763" spans="1:10" x14ac:dyDescent="0.25">
      <c r="A29763" t="s">
        <v>337</v>
      </c>
      <c r="B29763" s="1" t="str">
        <f>HYPERLINK("http://samsungshop.com.ua","samsungshop.com.ua")</f>
        <v>samsungshop.com.ua</v>
      </c>
      <c r="C29763" t="s">
        <v>505</v>
      </c>
      <c r="D29763" t="s">
        <v>879</v>
      </c>
      <c r="E29763">
        <v>844955</v>
      </c>
      <c r="F29763">
        <v>2.81852775654539E-8</v>
      </c>
      <c r="G29763">
        <v>1825816</v>
      </c>
      <c r="H29763">
        <v>13398452</v>
      </c>
      <c r="I29763">
        <v>10371481</v>
      </c>
      <c r="J29763">
        <v>3</v>
      </c>
    </row>
    <row r="29764" spans="1:10" x14ac:dyDescent="0.25">
      <c r="A29764" t="s">
        <v>337</v>
      </c>
      <c r="B29764" s="1" t="str">
        <f>HYPERLINK("http://ultrahorizont.com.ua","ultrahorizont.com.ua")</f>
        <v>ultrahorizont.com.ua</v>
      </c>
      <c r="C29764" t="s">
        <v>505</v>
      </c>
      <c r="D29764" t="s">
        <v>879</v>
      </c>
      <c r="F29764">
        <v>4.4870928787047701E-9</v>
      </c>
      <c r="G29764">
        <v>61001479</v>
      </c>
      <c r="H29764">
        <v>8547510</v>
      </c>
      <c r="I29764">
        <v>71430966</v>
      </c>
      <c r="J29764">
        <v>5</v>
      </c>
    </row>
    <row r="29765" spans="1:10" x14ac:dyDescent="0.25">
      <c r="A29765" t="s">
        <v>337</v>
      </c>
      <c r="B29765" s="1" t="str">
        <f>HYPERLINK("http://intertop.ua","intertop.ua")</f>
        <v>intertop.ua</v>
      </c>
      <c r="C29765" t="s">
        <v>505</v>
      </c>
      <c r="D29765" t="s">
        <v>879</v>
      </c>
      <c r="E29765">
        <v>135357</v>
      </c>
      <c r="F29765">
        <v>9.20502816793192E-8</v>
      </c>
      <c r="G29765">
        <v>442373</v>
      </c>
      <c r="H29765">
        <v>14601646</v>
      </c>
      <c r="I29765">
        <v>684893</v>
      </c>
      <c r="J29765">
        <v>7</v>
      </c>
    </row>
    <row r="29766" spans="1:10" x14ac:dyDescent="0.25">
      <c r="A29766" t="s">
        <v>337</v>
      </c>
      <c r="B29766" s="1" t="str">
        <f>HYPERLINK("http://mti.ua","mti.ua")</f>
        <v>mti.ua</v>
      </c>
      <c r="C29766" t="s">
        <v>505</v>
      </c>
      <c r="D29766" t="s">
        <v>879</v>
      </c>
      <c r="E29766">
        <v>676584</v>
      </c>
      <c r="F29766">
        <v>7.6000502373591902E-8</v>
      </c>
      <c r="G29766">
        <v>552718</v>
      </c>
      <c r="H29766">
        <v>14254655</v>
      </c>
      <c r="I29766">
        <v>1435369</v>
      </c>
      <c r="J29766">
        <v>5</v>
      </c>
    </row>
    <row r="29767" spans="1:10" x14ac:dyDescent="0.25">
      <c r="A29767" t="s">
        <v>337</v>
      </c>
      <c r="B29767" s="1" t="str">
        <f>HYPERLINK("http://mtigroup.ua","mtigroup.ua")</f>
        <v>mtigroup.ua</v>
      </c>
      <c r="C29767" t="s">
        <v>505</v>
      </c>
      <c r="D29767" t="s">
        <v>879</v>
      </c>
      <c r="F29767">
        <v>6.5162980829122503E-9</v>
      </c>
      <c r="G29767">
        <v>14010470</v>
      </c>
      <c r="H29767">
        <v>14071792</v>
      </c>
      <c r="I29767">
        <v>3411703</v>
      </c>
      <c r="J29767">
        <v>10</v>
      </c>
    </row>
    <row r="29768" spans="1:10" x14ac:dyDescent="0.25">
      <c r="A29768" t="s">
        <v>337</v>
      </c>
      <c r="B29768" s="1" t="str">
        <f>HYPERLINK("http://protoria.ua","protoria.ua")</f>
        <v>protoria.ua</v>
      </c>
      <c r="C29768" t="s">
        <v>505</v>
      </c>
      <c r="D29768" t="s">
        <v>879</v>
      </c>
      <c r="F29768">
        <v>1.15207539377658E-8</v>
      </c>
      <c r="G29768">
        <v>5489283</v>
      </c>
      <c r="H29768">
        <v>12977526</v>
      </c>
      <c r="I29768">
        <v>13003626</v>
      </c>
      <c r="J29768">
        <v>3</v>
      </c>
    </row>
    <row r="29769" spans="1:10" x14ac:dyDescent="0.25">
      <c r="A29769" t="s">
        <v>337</v>
      </c>
      <c r="B29769" s="1" t="str">
        <f>HYPERLINK("http://samsung.ua","samsung.ua")</f>
        <v>samsung.ua</v>
      </c>
      <c r="C29769" t="s">
        <v>505</v>
      </c>
      <c r="D29769" t="s">
        <v>879</v>
      </c>
      <c r="F29769">
        <v>2.0384629899140701E-8</v>
      </c>
      <c r="G29769">
        <v>2601901</v>
      </c>
      <c r="H29769">
        <v>14099549</v>
      </c>
      <c r="I29769">
        <v>2710568</v>
      </c>
      <c r="J29769">
        <v>2</v>
      </c>
    </row>
    <row r="29770" spans="1:10" x14ac:dyDescent="0.25">
      <c r="A29770" t="s">
        <v>337</v>
      </c>
      <c r="B29770" s="1" t="str">
        <f>HYPERLINK("http://arcam.co.uk","arcam.co.uk")</f>
        <v>arcam.co.uk</v>
      </c>
      <c r="C29770" t="s">
        <v>506</v>
      </c>
      <c r="D29770" t="s">
        <v>880</v>
      </c>
      <c r="E29770">
        <v>288802</v>
      </c>
      <c r="F29770">
        <v>1.6104811384107599E-7</v>
      </c>
      <c r="G29770">
        <v>241070</v>
      </c>
      <c r="H29770">
        <v>14583087</v>
      </c>
      <c r="I29770">
        <v>705224</v>
      </c>
      <c r="J29770">
        <v>4</v>
      </c>
    </row>
    <row r="29771" spans="1:10" x14ac:dyDescent="0.25">
      <c r="A29771" t="s">
        <v>337</v>
      </c>
      <c r="B29771" s="1" t="str">
        <f>HYPERLINK("http://harmankardon.co.uk","harmankardon.co.uk")</f>
        <v>harmankardon.co.uk</v>
      </c>
      <c r="C29771" t="s">
        <v>506</v>
      </c>
      <c r="D29771" t="s">
        <v>880</v>
      </c>
      <c r="E29771">
        <v>451202</v>
      </c>
      <c r="F29771">
        <v>1.17652833216399E-7</v>
      </c>
      <c r="G29771">
        <v>337651</v>
      </c>
      <c r="H29771">
        <v>16833498</v>
      </c>
      <c r="I29771">
        <v>165372</v>
      </c>
      <c r="J29771">
        <v>5</v>
      </c>
    </row>
    <row r="29772" spans="1:10" x14ac:dyDescent="0.25">
      <c r="A29772" t="s">
        <v>337</v>
      </c>
      <c r="B29772" s="1" t="str">
        <f>HYPERLINK("http://samsung.com.uy","samsung.com.uy")</f>
        <v>samsung.com.uy</v>
      </c>
      <c r="C29772" t="s">
        <v>507</v>
      </c>
      <c r="D29772" t="s">
        <v>881</v>
      </c>
      <c r="F29772">
        <v>1.63763407565248E-8</v>
      </c>
      <c r="G29772">
        <v>3452139</v>
      </c>
      <c r="H29772">
        <v>13111628</v>
      </c>
      <c r="I29772">
        <v>12030209</v>
      </c>
      <c r="J29772">
        <v>2</v>
      </c>
    </row>
    <row r="29773" spans="1:10" x14ac:dyDescent="0.25">
      <c r="A29773" t="s">
        <v>338</v>
      </c>
      <c r="B29773" s="1" t="str">
        <f>HYPERLINK("http://sanofi.com.ar","sanofi.com.ar")</f>
        <v>sanofi.com.ar</v>
      </c>
      <c r="C29773" t="s">
        <v>418</v>
      </c>
      <c r="D29773" t="s">
        <v>800</v>
      </c>
      <c r="F29773">
        <v>3.67507491891598E-8</v>
      </c>
      <c r="G29773">
        <v>1422205</v>
      </c>
      <c r="H29773">
        <v>13008333</v>
      </c>
      <c r="I29773">
        <v>12758537</v>
      </c>
      <c r="J29773">
        <v>2</v>
      </c>
    </row>
    <row r="29774" spans="1:10" x14ac:dyDescent="0.25">
      <c r="A29774" t="s">
        <v>338</v>
      </c>
      <c r="B29774" s="1" t="str">
        <f>HYPERLINK("http://sanofi.at","sanofi.at")</f>
        <v>sanofi.at</v>
      </c>
      <c r="C29774" t="s">
        <v>419</v>
      </c>
      <c r="D29774" t="s">
        <v>801</v>
      </c>
      <c r="F29774">
        <v>7.2917470406970705E-8</v>
      </c>
      <c r="G29774">
        <v>578389</v>
      </c>
      <c r="H29774">
        <v>14090701</v>
      </c>
      <c r="I29774">
        <v>2748350</v>
      </c>
      <c r="J29774">
        <v>2</v>
      </c>
    </row>
    <row r="29775" spans="1:10" x14ac:dyDescent="0.25">
      <c r="A29775" t="s">
        <v>338</v>
      </c>
      <c r="B29775" s="1" t="str">
        <f>HYPERLINK("http://sanofi.com.au","sanofi.com.au")</f>
        <v>sanofi.com.au</v>
      </c>
      <c r="C29775" t="s">
        <v>420</v>
      </c>
      <c r="D29775" t="s">
        <v>802</v>
      </c>
      <c r="F29775">
        <v>3.3165564923873997E-8</v>
      </c>
      <c r="G29775">
        <v>1557853</v>
      </c>
      <c r="H29775">
        <v>14509952</v>
      </c>
      <c r="I29775">
        <v>824972</v>
      </c>
      <c r="J29775">
        <v>2</v>
      </c>
    </row>
    <row r="29776" spans="1:10" x14ac:dyDescent="0.25">
      <c r="A29776" t="s">
        <v>338</v>
      </c>
      <c r="B29776" s="1" t="str">
        <f>HYPERLINK("http://sanofi.az","sanofi.az")</f>
        <v>sanofi.az</v>
      </c>
      <c r="C29776" t="s">
        <v>561</v>
      </c>
      <c r="D29776" t="s">
        <v>911</v>
      </c>
      <c r="F29776">
        <v>9.6700321604732706E-9</v>
      </c>
      <c r="G29776">
        <v>7116001</v>
      </c>
      <c r="H29776">
        <v>12221243</v>
      </c>
      <c r="I29776">
        <v>22762872</v>
      </c>
      <c r="J29776">
        <v>2</v>
      </c>
    </row>
    <row r="29777" spans="1:10" x14ac:dyDescent="0.25">
      <c r="A29777" t="s">
        <v>338</v>
      </c>
      <c r="B29777" s="1" t="str">
        <f>HYPERLINK("http://sanofi.com.bd","sanofi.com.bd")</f>
        <v>sanofi.com.bd</v>
      </c>
      <c r="C29777" t="s">
        <v>603</v>
      </c>
      <c r="D29777" t="s">
        <v>934</v>
      </c>
      <c r="F29777">
        <v>1.02605470590246E-8</v>
      </c>
      <c r="G29777">
        <v>6488538</v>
      </c>
      <c r="H29777">
        <v>12570063</v>
      </c>
      <c r="I29777">
        <v>16625525</v>
      </c>
      <c r="J29777">
        <v>2</v>
      </c>
    </row>
    <row r="29778" spans="1:10" x14ac:dyDescent="0.25">
      <c r="A29778" t="s">
        <v>338</v>
      </c>
      <c r="B29778" s="1" t="str">
        <f>HYPERLINK("http://sanofi.be","sanofi.be")</f>
        <v>sanofi.be</v>
      </c>
      <c r="C29778" t="s">
        <v>421</v>
      </c>
      <c r="D29778" t="s">
        <v>803</v>
      </c>
      <c r="F29778">
        <v>4.4618869149689203E-8</v>
      </c>
      <c r="G29778">
        <v>1061333</v>
      </c>
      <c r="H29778">
        <v>14077679</v>
      </c>
      <c r="I29778">
        <v>2860673</v>
      </c>
      <c r="J29778">
        <v>2</v>
      </c>
    </row>
    <row r="29779" spans="1:10" x14ac:dyDescent="0.25">
      <c r="A29779" t="s">
        <v>338</v>
      </c>
      <c r="B29779" s="1" t="str">
        <f>HYPERLINK("http://sanofi.bg","sanofi.bg")</f>
        <v>sanofi.bg</v>
      </c>
      <c r="C29779" t="s">
        <v>422</v>
      </c>
      <c r="D29779" t="s">
        <v>804</v>
      </c>
      <c r="F29779">
        <v>1.4518709458459799E-8</v>
      </c>
      <c r="G29779">
        <v>4006476</v>
      </c>
      <c r="H29779">
        <v>12551691</v>
      </c>
      <c r="I29779">
        <v>16812263</v>
      </c>
      <c r="J29779">
        <v>2</v>
      </c>
    </row>
    <row r="29780" spans="1:10" x14ac:dyDescent="0.25">
      <c r="A29780" t="s">
        <v>338</v>
      </c>
      <c r="B29780" s="1" t="str">
        <f>HYPERLINK("http://translate.bio","translate.bio")</f>
        <v>translate.bio</v>
      </c>
      <c r="C29780" t="s">
        <v>728</v>
      </c>
      <c r="F29780">
        <v>7.1726915314472404E-8</v>
      </c>
      <c r="G29780">
        <v>589019</v>
      </c>
      <c r="H29780">
        <v>13980764</v>
      </c>
      <c r="I29780">
        <v>4051307</v>
      </c>
      <c r="J29780">
        <v>3</v>
      </c>
    </row>
    <row r="29781" spans="1:10" x14ac:dyDescent="0.25">
      <c r="A29781" t="s">
        <v>338</v>
      </c>
      <c r="B29781" s="1" t="str">
        <f>HYPERLINK("http://campanhavip.com.br","campanhavip.com.br")</f>
        <v>campanhavip.com.br</v>
      </c>
      <c r="C29781" t="s">
        <v>425</v>
      </c>
      <c r="D29781" t="s">
        <v>806</v>
      </c>
      <c r="J29781">
        <v>3</v>
      </c>
    </row>
    <row r="29782" spans="1:10" x14ac:dyDescent="0.25">
      <c r="A29782" t="s">
        <v>338</v>
      </c>
      <c r="B29782" s="1" t="str">
        <f>HYPERLINK("http://medley.com.br","medley.com.br")</f>
        <v>medley.com.br</v>
      </c>
      <c r="C29782" t="s">
        <v>425</v>
      </c>
      <c r="D29782" t="s">
        <v>806</v>
      </c>
      <c r="F29782">
        <v>1.87763818587556E-8</v>
      </c>
      <c r="G29782">
        <v>2875803</v>
      </c>
      <c r="H29782">
        <v>14243938</v>
      </c>
      <c r="I29782">
        <v>1474488</v>
      </c>
      <c r="J29782">
        <v>3</v>
      </c>
    </row>
    <row r="29783" spans="1:10" x14ac:dyDescent="0.25">
      <c r="A29783" t="s">
        <v>338</v>
      </c>
      <c r="B29783" s="1" t="str">
        <f>HYPERLINK("http://sanofi.com.br","sanofi.com.br")</f>
        <v>sanofi.com.br</v>
      </c>
      <c r="C29783" t="s">
        <v>425</v>
      </c>
      <c r="D29783" t="s">
        <v>806</v>
      </c>
      <c r="F29783">
        <v>2.8122725505540899E-8</v>
      </c>
      <c r="G29783">
        <v>1829646</v>
      </c>
      <c r="H29783">
        <v>13794988</v>
      </c>
      <c r="I29783">
        <v>6312268</v>
      </c>
      <c r="J29783">
        <v>2</v>
      </c>
    </row>
    <row r="29784" spans="1:10" x14ac:dyDescent="0.25">
      <c r="A29784" t="s">
        <v>338</v>
      </c>
      <c r="B29784" s="1" t="str">
        <f>HYPERLINK("http://sanofi.ca","sanofi.ca")</f>
        <v>sanofi.ca</v>
      </c>
      <c r="C29784" t="s">
        <v>428</v>
      </c>
      <c r="D29784" t="s">
        <v>809</v>
      </c>
      <c r="E29784">
        <v>716402</v>
      </c>
      <c r="F29784">
        <v>1.8483167637041999E-7</v>
      </c>
      <c r="G29784">
        <v>208566</v>
      </c>
      <c r="H29784">
        <v>14827393</v>
      </c>
      <c r="I29784">
        <v>508935</v>
      </c>
      <c r="J29784">
        <v>2</v>
      </c>
    </row>
    <row r="29785" spans="1:10" x14ac:dyDescent="0.25">
      <c r="A29785" t="s">
        <v>338</v>
      </c>
      <c r="B29785" s="1" t="str">
        <f>HYPERLINK("http://sanofipasteur.ca","sanofipasteur.ca")</f>
        <v>sanofipasteur.ca</v>
      </c>
      <c r="C29785" t="s">
        <v>428</v>
      </c>
      <c r="D29785" t="s">
        <v>809</v>
      </c>
      <c r="F29785">
        <v>2.6242819973828301E-8</v>
      </c>
      <c r="G29785">
        <v>1962366</v>
      </c>
      <c r="H29785">
        <v>14507841</v>
      </c>
      <c r="I29785">
        <v>829775</v>
      </c>
      <c r="J29785">
        <v>3</v>
      </c>
    </row>
    <row r="29786" spans="1:10" x14ac:dyDescent="0.25">
      <c r="A29786" t="s">
        <v>338</v>
      </c>
      <c r="B29786" s="1" t="str">
        <f>HYPERLINK("http://helvepharm.ch","helvepharm.ch")</f>
        <v>helvepharm.ch</v>
      </c>
      <c r="C29786" t="s">
        <v>429</v>
      </c>
      <c r="D29786" t="s">
        <v>810</v>
      </c>
      <c r="F29786">
        <v>4.8329014157784596E-9</v>
      </c>
      <c r="G29786">
        <v>34734801</v>
      </c>
      <c r="H29786">
        <v>10619051</v>
      </c>
      <c r="I29786">
        <v>44313652</v>
      </c>
      <c r="J29786">
        <v>4</v>
      </c>
    </row>
    <row r="29787" spans="1:10" x14ac:dyDescent="0.25">
      <c r="A29787" t="s">
        <v>338</v>
      </c>
      <c r="B29787" s="1" t="str">
        <f>HYPERLINK("http://sanofi.ch","sanofi.ch")</f>
        <v>sanofi.ch</v>
      </c>
      <c r="C29787" t="s">
        <v>429</v>
      </c>
      <c r="D29787" t="s">
        <v>810</v>
      </c>
      <c r="F29787">
        <v>5.4813361415800197E-8</v>
      </c>
      <c r="G29787">
        <v>821301</v>
      </c>
      <c r="H29787">
        <v>12952237</v>
      </c>
      <c r="I29787">
        <v>13200965</v>
      </c>
      <c r="J29787">
        <v>2</v>
      </c>
    </row>
    <row r="29788" spans="1:10" x14ac:dyDescent="0.25">
      <c r="A29788" t="s">
        <v>338</v>
      </c>
      <c r="B29788" s="1" t="str">
        <f>HYPERLINK("http://sanofi.ci","sanofi.ci")</f>
        <v>sanofi.ci</v>
      </c>
      <c r="C29788" t="s">
        <v>539</v>
      </c>
      <c r="D29788" t="s">
        <v>899</v>
      </c>
      <c r="F29788">
        <v>1.2737068612207501E-8</v>
      </c>
      <c r="G29788">
        <v>4760916</v>
      </c>
      <c r="H29788">
        <v>12217476</v>
      </c>
      <c r="I29788">
        <v>22845368</v>
      </c>
      <c r="J29788">
        <v>2</v>
      </c>
    </row>
    <row r="29789" spans="1:10" x14ac:dyDescent="0.25">
      <c r="A29789" t="s">
        <v>338</v>
      </c>
      <c r="B29789" s="1" t="str">
        <f>HYPERLINK("http://sanofi.cl","sanofi.cl")</f>
        <v>sanofi.cl</v>
      </c>
      <c r="C29789" t="s">
        <v>430</v>
      </c>
      <c r="D29789" t="s">
        <v>811</v>
      </c>
      <c r="F29789">
        <v>1.28508530389297E-8</v>
      </c>
      <c r="G29789">
        <v>4703788</v>
      </c>
      <c r="H29789">
        <v>12260441</v>
      </c>
      <c r="I29789">
        <v>21762984</v>
      </c>
      <c r="J29789">
        <v>2</v>
      </c>
    </row>
    <row r="29790" spans="1:10" x14ac:dyDescent="0.25">
      <c r="A29790" t="s">
        <v>338</v>
      </c>
      <c r="B29790" s="1" t="str">
        <f>HYPERLINK("http://sanofi.cm","sanofi.cm")</f>
        <v>sanofi.cm</v>
      </c>
      <c r="C29790" t="s">
        <v>541</v>
      </c>
      <c r="D29790" t="s">
        <v>900</v>
      </c>
      <c r="F29790">
        <v>1.04421507780554E-8</v>
      </c>
      <c r="G29790">
        <v>6320775</v>
      </c>
      <c r="H29790">
        <v>12217472</v>
      </c>
      <c r="I29790">
        <v>22845473</v>
      </c>
      <c r="J29790">
        <v>2</v>
      </c>
    </row>
    <row r="29791" spans="1:10" x14ac:dyDescent="0.25">
      <c r="A29791" t="s">
        <v>338</v>
      </c>
      <c r="B29791" s="1" t="str">
        <f>HYPERLINK("http://sanofi.cn","sanofi.cn")</f>
        <v>sanofi.cn</v>
      </c>
      <c r="C29791" t="s">
        <v>431</v>
      </c>
      <c r="D29791" t="s">
        <v>812</v>
      </c>
      <c r="F29791">
        <v>5.9086250979251102E-8</v>
      </c>
      <c r="G29791">
        <v>750283</v>
      </c>
      <c r="H29791">
        <v>13390114</v>
      </c>
      <c r="I29791">
        <v>10391696</v>
      </c>
      <c r="J29791">
        <v>2</v>
      </c>
    </row>
    <row r="29792" spans="1:10" x14ac:dyDescent="0.25">
      <c r="A29792" t="s">
        <v>338</v>
      </c>
      <c r="B29792" s="1" t="str">
        <f>HYPERLINK("http://sanofipasteur.cn","sanofipasteur.cn")</f>
        <v>sanofipasteur.cn</v>
      </c>
      <c r="C29792" t="s">
        <v>431</v>
      </c>
      <c r="D29792" t="s">
        <v>812</v>
      </c>
      <c r="F29792">
        <v>5.4778301709683601E-9</v>
      </c>
      <c r="G29792">
        <v>21152880</v>
      </c>
      <c r="H29792">
        <v>12715546</v>
      </c>
      <c r="I29792">
        <v>15274141</v>
      </c>
      <c r="J29792">
        <v>3</v>
      </c>
    </row>
    <row r="29793" spans="1:10" x14ac:dyDescent="0.25">
      <c r="A29793" t="s">
        <v>338</v>
      </c>
      <c r="B29793" s="1" t="str">
        <f>HYPERLINK("http://sanofi.com.co","sanofi.com.co")</f>
        <v>sanofi.com.co</v>
      </c>
      <c r="C29793" t="s">
        <v>432</v>
      </c>
      <c r="F29793">
        <v>2.0653227517130898E-8</v>
      </c>
      <c r="G29793">
        <v>2563329</v>
      </c>
      <c r="H29793">
        <v>12363066</v>
      </c>
      <c r="I29793">
        <v>19529850</v>
      </c>
      <c r="J29793">
        <v>2</v>
      </c>
    </row>
    <row r="29794" spans="1:10" x14ac:dyDescent="0.25">
      <c r="A29794" t="s">
        <v>338</v>
      </c>
      <c r="B29794" s="1" t="str">
        <f>HYPERLINK("http://ablynx.com","ablynx.com")</f>
        <v>ablynx.com</v>
      </c>
      <c r="C29794" t="s">
        <v>433</v>
      </c>
      <c r="F29794">
        <v>6.0556771712604802E-8</v>
      </c>
      <c r="G29794">
        <v>728064</v>
      </c>
      <c r="H29794">
        <v>13889065</v>
      </c>
      <c r="I29794">
        <v>5964456</v>
      </c>
      <c r="J29794">
        <v>3</v>
      </c>
    </row>
    <row r="29795" spans="1:10" x14ac:dyDescent="0.25">
      <c r="A29795" t="s">
        <v>338</v>
      </c>
      <c r="B29795" s="1" t="str">
        <f>HYPERLINK("http://aventis.com","aventis.com")</f>
        <v>aventis.com</v>
      </c>
      <c r="C29795" t="s">
        <v>433</v>
      </c>
      <c r="E29795">
        <v>60383</v>
      </c>
      <c r="F29795">
        <v>5.9830686184260398E-8</v>
      </c>
      <c r="G29795">
        <v>738313</v>
      </c>
      <c r="H29795">
        <v>14354356</v>
      </c>
      <c r="I29795">
        <v>1307271</v>
      </c>
      <c r="J29795">
        <v>4</v>
      </c>
    </row>
    <row r="29796" spans="1:10" x14ac:dyDescent="0.25">
      <c r="A29796" t="s">
        <v>338</v>
      </c>
      <c r="B29796" s="1" t="str">
        <f>HYPERLINK("http://bioverativ.com","bioverativ.com")</f>
        <v>bioverativ.com</v>
      </c>
      <c r="C29796" t="s">
        <v>433</v>
      </c>
      <c r="F29796">
        <v>3.1709789044178101E-8</v>
      </c>
      <c r="G29796">
        <v>1628079</v>
      </c>
      <c r="H29796">
        <v>13375496</v>
      </c>
      <c r="I29796">
        <v>10444396</v>
      </c>
      <c r="J29796">
        <v>3</v>
      </c>
    </row>
    <row r="29797" spans="1:10" x14ac:dyDescent="0.25">
      <c r="A29797" t="s">
        <v>338</v>
      </c>
      <c r="B29797" s="1" t="str">
        <f>HYPERLINK("http://chattem.com","chattem.com")</f>
        <v>chattem.com</v>
      </c>
      <c r="C29797" t="s">
        <v>433</v>
      </c>
      <c r="F29797">
        <v>3.1852361142205098E-8</v>
      </c>
      <c r="G29797">
        <v>1621651</v>
      </c>
      <c r="H29797">
        <v>14572805</v>
      </c>
      <c r="I29797">
        <v>733092</v>
      </c>
      <c r="J29797">
        <v>3</v>
      </c>
    </row>
    <row r="29798" spans="1:10" x14ac:dyDescent="0.25">
      <c r="A29798" t="s">
        <v>338</v>
      </c>
      <c r="B29798" s="1" t="str">
        <f>HYPERLINK("http://genzyme.com","genzyme.com")</f>
        <v>genzyme.com</v>
      </c>
      <c r="C29798" t="s">
        <v>433</v>
      </c>
      <c r="E29798">
        <v>336279</v>
      </c>
      <c r="F29798">
        <v>1.6141667901540199E-7</v>
      </c>
      <c r="G29798">
        <v>240488</v>
      </c>
      <c r="H29798">
        <v>14925135</v>
      </c>
      <c r="I29798">
        <v>449726</v>
      </c>
      <c r="J29798">
        <v>3</v>
      </c>
    </row>
    <row r="29799" spans="1:10" x14ac:dyDescent="0.25">
      <c r="A29799" t="s">
        <v>338</v>
      </c>
      <c r="B29799" s="1" t="str">
        <f>HYPERLINK("http://infraserv.com","infraserv.com")</f>
        <v>infraserv.com</v>
      </c>
      <c r="C29799" t="s">
        <v>433</v>
      </c>
      <c r="E29799">
        <v>425806</v>
      </c>
      <c r="F29799">
        <v>9.8068522838500906E-8</v>
      </c>
      <c r="G29799">
        <v>411447</v>
      </c>
      <c r="H29799">
        <v>14635010</v>
      </c>
      <c r="I29799">
        <v>641379</v>
      </c>
      <c r="J29799">
        <v>3</v>
      </c>
    </row>
    <row r="29800" spans="1:10" x14ac:dyDescent="0.25">
      <c r="A29800" t="s">
        <v>338</v>
      </c>
      <c r="B29800" s="1" t="str">
        <f>HYPERLINK("http://kadmon.com","kadmon.com")</f>
        <v>kadmon.com</v>
      </c>
      <c r="C29800" t="s">
        <v>433</v>
      </c>
      <c r="F29800">
        <v>4.6124241555879802E-8</v>
      </c>
      <c r="G29800">
        <v>1016526</v>
      </c>
      <c r="H29800">
        <v>13898303</v>
      </c>
      <c r="I29800">
        <v>5952901</v>
      </c>
      <c r="J29800">
        <v>3</v>
      </c>
    </row>
    <row r="29801" spans="1:10" x14ac:dyDescent="0.25">
      <c r="A29801" t="s">
        <v>338</v>
      </c>
      <c r="B29801" s="1" t="str">
        <f>HYPERLINK("http://kiadis.com","kiadis.com")</f>
        <v>kiadis.com</v>
      </c>
      <c r="C29801" t="s">
        <v>433</v>
      </c>
      <c r="F29801">
        <v>3.3941913805411498E-8</v>
      </c>
      <c r="G29801">
        <v>1525201</v>
      </c>
      <c r="H29801">
        <v>14294017</v>
      </c>
      <c r="I29801">
        <v>1362392</v>
      </c>
      <c r="J29801">
        <v>4</v>
      </c>
    </row>
    <row r="29802" spans="1:10" x14ac:dyDescent="0.25">
      <c r="A29802" t="s">
        <v>338</v>
      </c>
      <c r="B29802" s="1" t="str">
        <f>HYPERLINK("http://principiabio.com","principiabio.com")</f>
        <v>principiabio.com</v>
      </c>
      <c r="C29802" t="s">
        <v>433</v>
      </c>
      <c r="F29802">
        <v>2.52433982336603E-8</v>
      </c>
      <c r="G29802">
        <v>2044644</v>
      </c>
      <c r="H29802">
        <v>13807583</v>
      </c>
      <c r="I29802">
        <v>6225733</v>
      </c>
      <c r="J29802">
        <v>3</v>
      </c>
    </row>
    <row r="29803" spans="1:10" x14ac:dyDescent="0.25">
      <c r="A29803" t="s">
        <v>338</v>
      </c>
      <c r="B29803" s="1" t="str">
        <f>HYPERLINK("http://sanofi.com","sanofi.com")</f>
        <v>sanofi.com</v>
      </c>
      <c r="C29803" t="s">
        <v>433</v>
      </c>
      <c r="E29803">
        <v>18606</v>
      </c>
      <c r="F29803">
        <v>2.96289573729278E-6</v>
      </c>
      <c r="G29803">
        <v>13112</v>
      </c>
      <c r="H29803">
        <v>17436080</v>
      </c>
      <c r="I29803">
        <v>16911</v>
      </c>
      <c r="J29803">
        <v>1</v>
      </c>
    </row>
    <row r="29804" spans="1:10" x14ac:dyDescent="0.25">
      <c r="A29804" t="s">
        <v>338</v>
      </c>
      <c r="B29804" s="1" t="str">
        <f>HYPERLINK("http://sanofi-aventis.com","sanofi-aventis.com")</f>
        <v>sanofi-aventis.com</v>
      </c>
      <c r="C29804" t="s">
        <v>433</v>
      </c>
      <c r="E29804">
        <v>77964</v>
      </c>
      <c r="F29804">
        <v>1.5793118025171101E-7</v>
      </c>
      <c r="G29804">
        <v>245850</v>
      </c>
      <c r="H29804">
        <v>15127972</v>
      </c>
      <c r="I29804">
        <v>402641</v>
      </c>
      <c r="J29804">
        <v>6</v>
      </c>
    </row>
    <row r="29805" spans="1:10" x14ac:dyDescent="0.25">
      <c r="A29805" t="s">
        <v>338</v>
      </c>
      <c r="B29805" s="1" t="str">
        <f>HYPERLINK("http://sanofiart.com","sanofiart.com")</f>
        <v>sanofiart.com</v>
      </c>
      <c r="C29805" t="s">
        <v>433</v>
      </c>
      <c r="J29805">
        <v>3</v>
      </c>
    </row>
    <row r="29806" spans="1:10" x14ac:dyDescent="0.25">
      <c r="A29806" t="s">
        <v>338</v>
      </c>
      <c r="B29806" s="1" t="str">
        <f>HYPERLINK("http://sanofiflu.com","sanofiflu.com")</f>
        <v>sanofiflu.com</v>
      </c>
      <c r="C29806" t="s">
        <v>433</v>
      </c>
      <c r="F29806">
        <v>5.7291096732360698E-8</v>
      </c>
      <c r="G29806">
        <v>778658</v>
      </c>
      <c r="H29806">
        <v>14053046</v>
      </c>
      <c r="I29806">
        <v>3892445</v>
      </c>
      <c r="J29806">
        <v>5</v>
      </c>
    </row>
    <row r="29807" spans="1:10" x14ac:dyDescent="0.25">
      <c r="A29807" t="s">
        <v>338</v>
      </c>
      <c r="B29807" s="1" t="str">
        <f>HYPERLINK("http://sanofigenzyme.com","sanofigenzyme.com")</f>
        <v>sanofigenzyme.com</v>
      </c>
      <c r="C29807" t="s">
        <v>433</v>
      </c>
      <c r="E29807">
        <v>420753</v>
      </c>
      <c r="F29807">
        <v>3.6781222442885001E-7</v>
      </c>
      <c r="G29807">
        <v>101765</v>
      </c>
      <c r="H29807">
        <v>14192660</v>
      </c>
      <c r="I29807">
        <v>1744983</v>
      </c>
      <c r="J29807">
        <v>3</v>
      </c>
    </row>
    <row r="29808" spans="1:10" x14ac:dyDescent="0.25">
      <c r="A29808" t="s">
        <v>338</v>
      </c>
      <c r="B29808" s="1" t="str">
        <f>HYPERLINK("http://sanofiindialtd.com","sanofiindialtd.com")</f>
        <v>sanofiindialtd.com</v>
      </c>
      <c r="C29808" t="s">
        <v>433</v>
      </c>
      <c r="F29808">
        <v>3.0347571691775699E-8</v>
      </c>
      <c r="G29808">
        <v>1696302</v>
      </c>
      <c r="H29808">
        <v>13252212</v>
      </c>
      <c r="I29808">
        <v>11072768</v>
      </c>
      <c r="J29808">
        <v>3</v>
      </c>
    </row>
    <row r="29809" spans="1:10" x14ac:dyDescent="0.25">
      <c r="A29809" t="s">
        <v>338</v>
      </c>
      <c r="B29809" s="1" t="str">
        <f>HYPERLINK("http://sanofioncology.com","sanofioncology.com")</f>
        <v>sanofioncology.com</v>
      </c>
      <c r="C29809" t="s">
        <v>433</v>
      </c>
      <c r="F29809">
        <v>1.53287130924198E-8</v>
      </c>
      <c r="G29809">
        <v>3737091</v>
      </c>
      <c r="H29809">
        <v>12200676</v>
      </c>
      <c r="I29809">
        <v>23303683</v>
      </c>
      <c r="J29809">
        <v>4</v>
      </c>
    </row>
    <row r="29810" spans="1:10" x14ac:dyDescent="0.25">
      <c r="A29810" t="s">
        <v>338</v>
      </c>
      <c r="B29810" s="1" t="str">
        <f>HYPERLINK("http://sanofipasteur.com","sanofipasteur.com")</f>
        <v>sanofipasteur.com</v>
      </c>
      <c r="C29810" t="s">
        <v>433</v>
      </c>
      <c r="E29810">
        <v>476370</v>
      </c>
      <c r="F29810">
        <v>2.0962851481990599E-7</v>
      </c>
      <c r="G29810">
        <v>180487</v>
      </c>
      <c r="H29810">
        <v>14989664</v>
      </c>
      <c r="I29810">
        <v>428390</v>
      </c>
      <c r="J29810">
        <v>3</v>
      </c>
    </row>
    <row r="29811" spans="1:10" x14ac:dyDescent="0.25">
      <c r="A29811" t="s">
        <v>338</v>
      </c>
      <c r="B29811" s="1" t="str">
        <f>HYPERLINK("http://shanthabiotech.com","shanthabiotech.com")</f>
        <v>shanthabiotech.com</v>
      </c>
      <c r="C29811" t="s">
        <v>433</v>
      </c>
      <c r="F29811">
        <v>2.5207043863862899E-8</v>
      </c>
      <c r="G29811">
        <v>2048348</v>
      </c>
      <c r="H29811">
        <v>13950251</v>
      </c>
      <c r="I29811">
        <v>4175479</v>
      </c>
      <c r="J29811">
        <v>3</v>
      </c>
    </row>
    <row r="29812" spans="1:10" x14ac:dyDescent="0.25">
      <c r="A29812" t="s">
        <v>338</v>
      </c>
      <c r="B29812" s="1" t="str">
        <f>HYPERLINK("http://synthorx.com","synthorx.com")</f>
        <v>synthorx.com</v>
      </c>
      <c r="C29812" t="s">
        <v>433</v>
      </c>
      <c r="F29812">
        <v>2.8195401382586899E-8</v>
      </c>
      <c r="G29812">
        <v>1825176</v>
      </c>
      <c r="H29812">
        <v>13913198</v>
      </c>
      <c r="I29812">
        <v>5940107</v>
      </c>
      <c r="J29812">
        <v>4</v>
      </c>
    </row>
    <row r="29813" spans="1:10" x14ac:dyDescent="0.25">
      <c r="A29813" t="s">
        <v>338</v>
      </c>
      <c r="B29813" s="1" t="str">
        <f>HYPERLINK("http://vaccineshop.com","vaccineshop.com")</f>
        <v>vaccineshop.com</v>
      </c>
      <c r="C29813" t="s">
        <v>433</v>
      </c>
      <c r="J29813">
        <v>5</v>
      </c>
    </row>
    <row r="29814" spans="1:10" x14ac:dyDescent="0.25">
      <c r="A29814" t="s">
        <v>338</v>
      </c>
      <c r="B29814" s="1" t="str">
        <f>HYPERLINK("http://vaxdesign.com","vaxdesign.com")</f>
        <v>vaxdesign.com</v>
      </c>
      <c r="C29814" t="s">
        <v>433</v>
      </c>
      <c r="F29814">
        <v>1.5329980625969401E-8</v>
      </c>
      <c r="G29814">
        <v>3736696</v>
      </c>
      <c r="H29814">
        <v>13772179</v>
      </c>
      <c r="I29814">
        <v>6668831</v>
      </c>
      <c r="J29814">
        <v>4</v>
      </c>
    </row>
    <row r="29815" spans="1:10" x14ac:dyDescent="0.25">
      <c r="A29815" t="s">
        <v>338</v>
      </c>
      <c r="B29815" s="1" t="str">
        <f>HYPERLINK("http://vaxserve.com","vaxserve.com")</f>
        <v>vaxserve.com</v>
      </c>
      <c r="C29815" t="s">
        <v>433</v>
      </c>
      <c r="F29815">
        <v>2.3275324604381998E-8</v>
      </c>
      <c r="G29815">
        <v>2241663</v>
      </c>
      <c r="H29815">
        <v>14082772</v>
      </c>
      <c r="I29815">
        <v>2797983</v>
      </c>
      <c r="J29815">
        <v>3</v>
      </c>
    </row>
    <row r="29816" spans="1:10" x14ac:dyDescent="0.25">
      <c r="A29816" t="s">
        <v>338</v>
      </c>
      <c r="B29816" s="1" t="str">
        <f>HYPERLINK("http://winthropus.com","winthropus.com")</f>
        <v>winthropus.com</v>
      </c>
      <c r="C29816" t="s">
        <v>433</v>
      </c>
      <c r="F29816">
        <v>1.44303258638396E-8</v>
      </c>
      <c r="G29816">
        <v>4046643</v>
      </c>
      <c r="H29816">
        <v>12334228</v>
      </c>
      <c r="I29816">
        <v>20121750</v>
      </c>
      <c r="J29816">
        <v>4</v>
      </c>
    </row>
    <row r="29817" spans="1:10" x14ac:dyDescent="0.25">
      <c r="A29817" t="s">
        <v>338</v>
      </c>
      <c r="B29817" s="1" t="str">
        <f>HYPERLINK("http://sanofi.cz","sanofi.cz")</f>
        <v>sanofi.cz</v>
      </c>
      <c r="C29817" t="s">
        <v>435</v>
      </c>
      <c r="D29817" t="s">
        <v>814</v>
      </c>
      <c r="F29817">
        <v>6.5530400901014794E-8</v>
      </c>
      <c r="G29817">
        <v>656041</v>
      </c>
      <c r="H29817">
        <v>13074009</v>
      </c>
      <c r="I29817">
        <v>12223033</v>
      </c>
      <c r="J29817">
        <v>2</v>
      </c>
    </row>
    <row r="29818" spans="1:10" x14ac:dyDescent="0.25">
      <c r="A29818" t="s">
        <v>338</v>
      </c>
      <c r="B29818" s="1" t="str">
        <f>HYPERLINK("http://sanofi.de","sanofi.de")</f>
        <v>sanofi.de</v>
      </c>
      <c r="C29818" t="s">
        <v>436</v>
      </c>
      <c r="D29818" t="s">
        <v>815</v>
      </c>
      <c r="E29818">
        <v>328126</v>
      </c>
      <c r="F29818">
        <v>3.6147225332447999E-7</v>
      </c>
      <c r="G29818">
        <v>103439</v>
      </c>
      <c r="H29818">
        <v>14568212</v>
      </c>
      <c r="I29818">
        <v>737614</v>
      </c>
      <c r="J29818">
        <v>2</v>
      </c>
    </row>
    <row r="29819" spans="1:10" x14ac:dyDescent="0.25">
      <c r="A29819" t="s">
        <v>338</v>
      </c>
      <c r="B29819" s="1" t="str">
        <f>HYPERLINK("http://sanofi-aventis.de","sanofi-aventis.de")</f>
        <v>sanofi-aventis.de</v>
      </c>
      <c r="C29819" t="s">
        <v>436</v>
      </c>
      <c r="D29819" t="s">
        <v>815</v>
      </c>
      <c r="F29819">
        <v>2.2988954538082501E-8</v>
      </c>
      <c r="G29819">
        <v>2273059</v>
      </c>
      <c r="H29819">
        <v>14080541</v>
      </c>
      <c r="I29819">
        <v>2818966</v>
      </c>
      <c r="J29819">
        <v>6</v>
      </c>
    </row>
    <row r="29820" spans="1:10" x14ac:dyDescent="0.25">
      <c r="A29820" t="s">
        <v>338</v>
      </c>
      <c r="B29820" s="1" t="str">
        <f>HYPERLINK("http://sanofi.dk","sanofi.dk")</f>
        <v>sanofi.dk</v>
      </c>
      <c r="C29820" t="s">
        <v>437</v>
      </c>
      <c r="D29820" t="s">
        <v>816</v>
      </c>
      <c r="F29820">
        <v>1.63570921527674E-8</v>
      </c>
      <c r="G29820">
        <v>3456921</v>
      </c>
      <c r="H29820">
        <v>12249369</v>
      </c>
      <c r="I29820">
        <v>22026808</v>
      </c>
      <c r="J29820">
        <v>2</v>
      </c>
    </row>
    <row r="29821" spans="1:10" x14ac:dyDescent="0.25">
      <c r="A29821" t="s">
        <v>338</v>
      </c>
      <c r="B29821" s="1" t="str">
        <f>HYPERLINK("http://sanofi-aventis.dk","sanofi-aventis.dk")</f>
        <v>sanofi-aventis.dk</v>
      </c>
      <c r="C29821" t="s">
        <v>437</v>
      </c>
      <c r="D29821" t="s">
        <v>816</v>
      </c>
      <c r="F29821">
        <v>4.45196212551019E-9</v>
      </c>
      <c r="G29821">
        <v>70864246</v>
      </c>
      <c r="H29821">
        <v>1.0003663</v>
      </c>
      <c r="I29821">
        <v>79338710</v>
      </c>
      <c r="J29821">
        <v>5</v>
      </c>
    </row>
    <row r="29822" spans="1:10" x14ac:dyDescent="0.25">
      <c r="A29822" t="s">
        <v>338</v>
      </c>
      <c r="B29822" s="1" t="str">
        <f>HYPERLINK("http://sanofi.dz","sanofi.dz")</f>
        <v>sanofi.dz</v>
      </c>
      <c r="C29822" t="s">
        <v>439</v>
      </c>
      <c r="D29822" t="s">
        <v>818</v>
      </c>
      <c r="F29822">
        <v>1.06594735627317E-8</v>
      </c>
      <c r="G29822">
        <v>6133609</v>
      </c>
      <c r="H29822">
        <v>12984733</v>
      </c>
      <c r="I29822">
        <v>12908366</v>
      </c>
      <c r="J29822">
        <v>2</v>
      </c>
    </row>
    <row r="29823" spans="1:10" x14ac:dyDescent="0.25">
      <c r="A29823" t="s">
        <v>338</v>
      </c>
      <c r="B29823" s="1" t="str">
        <f>HYPERLINK("http://sanofi.ee","sanofi.ee")</f>
        <v>sanofi.ee</v>
      </c>
      <c r="C29823" t="s">
        <v>441</v>
      </c>
      <c r="D29823" t="s">
        <v>820</v>
      </c>
      <c r="F29823">
        <v>1.1761331152326301E-8</v>
      </c>
      <c r="G29823">
        <v>5326544</v>
      </c>
      <c r="H29823">
        <v>12259369</v>
      </c>
      <c r="I29823">
        <v>21787188</v>
      </c>
      <c r="J29823">
        <v>2</v>
      </c>
    </row>
    <row r="29824" spans="1:10" x14ac:dyDescent="0.25">
      <c r="A29824" t="s">
        <v>338</v>
      </c>
      <c r="B29824" s="1" t="str">
        <f>HYPERLINK("http://sanofi.com.eg","sanofi.com.eg")</f>
        <v>sanofi.com.eg</v>
      </c>
      <c r="C29824" t="s">
        <v>442</v>
      </c>
      <c r="D29824" t="s">
        <v>821</v>
      </c>
      <c r="F29824">
        <v>1.25747293072728E-8</v>
      </c>
      <c r="G29824">
        <v>4844035</v>
      </c>
      <c r="H29824">
        <v>12931683</v>
      </c>
      <c r="I29824">
        <v>13359679</v>
      </c>
      <c r="J29824">
        <v>2</v>
      </c>
    </row>
    <row r="29825" spans="1:10" x14ac:dyDescent="0.25">
      <c r="A29825" t="s">
        <v>338</v>
      </c>
      <c r="B29825" s="1" t="str">
        <f>HYPERLINK("http://sanofi.es","sanofi.es")</f>
        <v>sanofi.es</v>
      </c>
      <c r="C29825" t="s">
        <v>443</v>
      </c>
      <c r="D29825" t="s">
        <v>822</v>
      </c>
      <c r="F29825">
        <v>1.08593069741655E-7</v>
      </c>
      <c r="G29825">
        <v>368485</v>
      </c>
      <c r="H29825">
        <v>14580411</v>
      </c>
      <c r="I29825">
        <v>710409</v>
      </c>
      <c r="J29825">
        <v>2</v>
      </c>
    </row>
    <row r="29826" spans="1:10" x14ac:dyDescent="0.25">
      <c r="A29826" t="s">
        <v>338</v>
      </c>
      <c r="B29826" s="1" t="str">
        <f>HYPERLINK("http://aldurazyme.fi","aldurazyme.fi")</f>
        <v>aldurazyme.fi</v>
      </c>
      <c r="C29826" t="s">
        <v>445</v>
      </c>
      <c r="D29826" t="s">
        <v>823</v>
      </c>
      <c r="J29826">
        <v>4</v>
      </c>
    </row>
    <row r="29827" spans="1:10" x14ac:dyDescent="0.25">
      <c r="A29827" t="s">
        <v>338</v>
      </c>
      <c r="B29827" s="1" t="str">
        <f>HYPERLINK("http://allergiaan.fi","allergiaan.fi")</f>
        <v>allergiaan.fi</v>
      </c>
      <c r="C29827" t="s">
        <v>445</v>
      </c>
      <c r="D29827" t="s">
        <v>823</v>
      </c>
      <c r="F29827">
        <v>4.9792785633897899E-9</v>
      </c>
      <c r="G29827">
        <v>30014859</v>
      </c>
      <c r="H29827">
        <v>10751945</v>
      </c>
      <c r="I29827">
        <v>40011842</v>
      </c>
      <c r="J29827">
        <v>2</v>
      </c>
    </row>
    <row r="29828" spans="1:10" x14ac:dyDescent="0.25">
      <c r="A29828" t="s">
        <v>338</v>
      </c>
      <c r="B29828" s="1" t="str">
        <f>HYPERLINK("http://atooppinen.fi","atooppinen.fi")</f>
        <v>atooppinen.fi</v>
      </c>
      <c r="C29828" t="s">
        <v>445</v>
      </c>
      <c r="D29828" t="s">
        <v>823</v>
      </c>
      <c r="F29828">
        <v>5.9819030777973697E-9</v>
      </c>
      <c r="G29828">
        <v>16806442</v>
      </c>
      <c r="H29828">
        <v>12892625</v>
      </c>
      <c r="I29828">
        <v>13920279</v>
      </c>
      <c r="J29828">
        <v>2</v>
      </c>
    </row>
    <row r="29829" spans="1:10" x14ac:dyDescent="0.25">
      <c r="A29829" t="s">
        <v>338</v>
      </c>
      <c r="B29829" s="1" t="str">
        <f>HYPERLINK("http://bisolvon.fi","bisolvon.fi")</f>
        <v>bisolvon.fi</v>
      </c>
      <c r="C29829" t="s">
        <v>445</v>
      </c>
      <c r="D29829" t="s">
        <v>823</v>
      </c>
      <c r="F29829">
        <v>5.2980588247347404E-9</v>
      </c>
      <c r="G29829">
        <v>23522840</v>
      </c>
      <c r="H29829">
        <v>9796751</v>
      </c>
      <c r="I29829">
        <v>62627068</v>
      </c>
      <c r="J29829">
        <v>4</v>
      </c>
    </row>
    <row r="29830" spans="1:10" x14ac:dyDescent="0.25">
      <c r="A29830" t="s">
        <v>338</v>
      </c>
      <c r="B29830" s="1" t="str">
        <f>HYPERLINK("http://cablivi.fi","cablivi.fi")</f>
        <v>cablivi.fi</v>
      </c>
      <c r="C29830" t="s">
        <v>445</v>
      </c>
      <c r="D29830" t="s">
        <v>823</v>
      </c>
      <c r="J29830">
        <v>4</v>
      </c>
    </row>
    <row r="29831" spans="1:10" x14ac:dyDescent="0.25">
      <c r="A29831" t="s">
        <v>338</v>
      </c>
      <c r="B29831" s="1" t="str">
        <f>HYPERLINK("http://cablivihcp.fi","cablivihcp.fi")</f>
        <v>cablivihcp.fi</v>
      </c>
      <c r="C29831" t="s">
        <v>445</v>
      </c>
      <c r="D29831" t="s">
        <v>823</v>
      </c>
      <c r="J29831">
        <v>4</v>
      </c>
    </row>
    <row r="29832" spans="1:10" x14ac:dyDescent="0.25">
      <c r="A29832" t="s">
        <v>338</v>
      </c>
      <c r="B29832" s="1" t="str">
        <f>HYPERLINK("http://caplacizumab.fi","caplacizumab.fi")</f>
        <v>caplacizumab.fi</v>
      </c>
      <c r="C29832" t="s">
        <v>445</v>
      </c>
      <c r="D29832" t="s">
        <v>823</v>
      </c>
      <c r="J29832">
        <v>4</v>
      </c>
    </row>
    <row r="29833" spans="1:10" x14ac:dyDescent="0.25">
      <c r="A29833" t="s">
        <v>338</v>
      </c>
      <c r="B29833" s="1" t="str">
        <f>HYPERLINK("http://caplivi.fi","caplivi.fi")</f>
        <v>caplivi.fi</v>
      </c>
      <c r="C29833" t="s">
        <v>445</v>
      </c>
      <c r="D29833" t="s">
        <v>823</v>
      </c>
      <c r="J29833">
        <v>4</v>
      </c>
    </row>
    <row r="29834" spans="1:10" x14ac:dyDescent="0.25">
      <c r="A29834" t="s">
        <v>338</v>
      </c>
      <c r="B29834" s="1" t="str">
        <f>HYPERLINK("http://cerezyme.fi","cerezyme.fi")</f>
        <v>cerezyme.fi</v>
      </c>
      <c r="C29834" t="s">
        <v>445</v>
      </c>
      <c r="D29834" t="s">
        <v>823</v>
      </c>
      <c r="J29834">
        <v>4</v>
      </c>
    </row>
    <row r="29835" spans="1:10" x14ac:dyDescent="0.25">
      <c r="A29835" t="s">
        <v>338</v>
      </c>
      <c r="B29835" s="1" t="str">
        <f>HYPERLINK("http://cholestagel.fi","cholestagel.fi")</f>
        <v>cholestagel.fi</v>
      </c>
      <c r="C29835" t="s">
        <v>445</v>
      </c>
      <c r="D29835" t="s">
        <v>823</v>
      </c>
      <c r="J29835">
        <v>4</v>
      </c>
    </row>
    <row r="29836" spans="1:10" x14ac:dyDescent="0.25">
      <c r="A29836" t="s">
        <v>338</v>
      </c>
      <c r="B29836" s="1" t="str">
        <f>HYPERLINK("http://diabeteselamaa.fi","diabeteselamaa.fi")</f>
        <v>diabeteselamaa.fi</v>
      </c>
      <c r="C29836" t="s">
        <v>445</v>
      </c>
      <c r="D29836" t="s">
        <v>823</v>
      </c>
      <c r="F29836">
        <v>4.7809374785181897E-9</v>
      </c>
      <c r="G29836">
        <v>36916932</v>
      </c>
      <c r="H29836">
        <v>11160480</v>
      </c>
      <c r="I29836">
        <v>31625960</v>
      </c>
      <c r="J29836">
        <v>2</v>
      </c>
    </row>
    <row r="29837" spans="1:10" x14ac:dyDescent="0.25">
      <c r="A29837" t="s">
        <v>338</v>
      </c>
      <c r="B29837" s="1" t="str">
        <f>HYPERLINK("http://diabeteselm.fi","diabeteselm.fi")</f>
        <v>diabeteselm.fi</v>
      </c>
      <c r="C29837" t="s">
        <v>445</v>
      </c>
      <c r="D29837" t="s">
        <v>823</v>
      </c>
      <c r="J29837">
        <v>2</v>
      </c>
    </row>
    <row r="29838" spans="1:10" x14ac:dyDescent="0.25">
      <c r="A29838" t="s">
        <v>338</v>
      </c>
      <c r="B29838" s="1" t="str">
        <f>HYPERLINK("http://dulcosoft.fi","dulcosoft.fi")</f>
        <v>dulcosoft.fi</v>
      </c>
      <c r="C29838" t="s">
        <v>445</v>
      </c>
      <c r="D29838" t="s">
        <v>823</v>
      </c>
      <c r="J29838">
        <v>4</v>
      </c>
    </row>
    <row r="29839" spans="1:10" x14ac:dyDescent="0.25">
      <c r="A29839" t="s">
        <v>338</v>
      </c>
      <c r="B29839" s="1" t="str">
        <f>HYPERLINK("http://ehkaisetukos.fi","ehkaisetukos.fi")</f>
        <v>ehkaisetukos.fi</v>
      </c>
      <c r="C29839" t="s">
        <v>445</v>
      </c>
      <c r="D29839" t="s">
        <v>823</v>
      </c>
      <c r="J29839">
        <v>4</v>
      </c>
    </row>
    <row r="29840" spans="1:10" x14ac:dyDescent="0.25">
      <c r="A29840" t="s">
        <v>338</v>
      </c>
      <c r="B29840" s="1" t="str">
        <f>HYPERLINK("http://elcapsur.fi","elcapsur.fi")</f>
        <v>elcapsur.fi</v>
      </c>
      <c r="C29840" t="s">
        <v>445</v>
      </c>
      <c r="D29840" t="s">
        <v>823</v>
      </c>
      <c r="J29840">
        <v>4</v>
      </c>
    </row>
    <row r="29841" spans="1:10" x14ac:dyDescent="0.25">
      <c r="A29841" t="s">
        <v>338</v>
      </c>
      <c r="B29841" s="1" t="str">
        <f>HYPERLINK("http://fabry.fi","fabry.fi")</f>
        <v>fabry.fi</v>
      </c>
      <c r="C29841" t="s">
        <v>445</v>
      </c>
      <c r="D29841" t="s">
        <v>823</v>
      </c>
      <c r="J29841">
        <v>4</v>
      </c>
    </row>
    <row r="29842" spans="1:10" x14ac:dyDescent="0.25">
      <c r="A29842" t="s">
        <v>338</v>
      </c>
      <c r="B29842" s="1" t="str">
        <f>HYPERLINK("http://gaucher.fi","gaucher.fi")</f>
        <v>gaucher.fi</v>
      </c>
      <c r="C29842" t="s">
        <v>445</v>
      </c>
      <c r="D29842" t="s">
        <v>823</v>
      </c>
      <c r="J29842">
        <v>4</v>
      </c>
    </row>
    <row r="29843" spans="1:10" x14ac:dyDescent="0.25">
      <c r="A29843" t="s">
        <v>338</v>
      </c>
      <c r="B29843" s="1" t="str">
        <f>HYPERLINK("http://genzyme.fi","genzyme.fi")</f>
        <v>genzyme.fi</v>
      </c>
      <c r="C29843" t="s">
        <v>445</v>
      </c>
      <c r="D29843" t="s">
        <v>823</v>
      </c>
      <c r="J29843">
        <v>3</v>
      </c>
    </row>
    <row r="29844" spans="1:10" x14ac:dyDescent="0.25">
      <c r="A29844" t="s">
        <v>338</v>
      </c>
      <c r="B29844" s="1" t="str">
        <f>HYPERLINK("http://harvinainen.fi","harvinainen.fi")</f>
        <v>harvinainen.fi</v>
      </c>
      <c r="C29844" t="s">
        <v>445</v>
      </c>
      <c r="D29844" t="s">
        <v>823</v>
      </c>
      <c r="F29844">
        <v>4.44380395335525E-9</v>
      </c>
      <c r="G29844">
        <v>84772476</v>
      </c>
      <c r="H29844">
        <v>0</v>
      </c>
      <c r="I29844">
        <v>85885857</v>
      </c>
      <c r="J29844">
        <v>2</v>
      </c>
    </row>
    <row r="29845" spans="1:10" x14ac:dyDescent="0.25">
      <c r="A29845" t="s">
        <v>338</v>
      </c>
      <c r="B29845" s="1" t="str">
        <f>HYPERLINK("http://huomioidiabetes.fi","huomioidiabetes.fi")</f>
        <v>huomioidiabetes.fi</v>
      </c>
      <c r="C29845" t="s">
        <v>445</v>
      </c>
      <c r="D29845" t="s">
        <v>823</v>
      </c>
      <c r="F29845">
        <v>4.4438422530922502E-9</v>
      </c>
      <c r="G29845">
        <v>78737189</v>
      </c>
      <c r="H29845">
        <v>10483721</v>
      </c>
      <c r="I29845">
        <v>50868319</v>
      </c>
      <c r="J29845">
        <v>2</v>
      </c>
    </row>
    <row r="29846" spans="1:10" x14ac:dyDescent="0.25">
      <c r="A29846" t="s">
        <v>338</v>
      </c>
      <c r="B29846" s="1" t="str">
        <f>HYPERLINK("http://hyvayo.fi","hyvayo.fi")</f>
        <v>hyvayo.fi</v>
      </c>
      <c r="C29846" t="s">
        <v>445</v>
      </c>
      <c r="D29846" t="s">
        <v>823</v>
      </c>
      <c r="F29846">
        <v>6.0315330790382903E-9</v>
      </c>
      <c r="G29846">
        <v>16491096</v>
      </c>
      <c r="H29846">
        <v>10735560</v>
      </c>
      <c r="I29846">
        <v>40638842</v>
      </c>
      <c r="J29846">
        <v>2</v>
      </c>
    </row>
    <row r="29847" spans="1:10" x14ac:dyDescent="0.25">
      <c r="A29847" t="s">
        <v>338</v>
      </c>
      <c r="B29847" s="1" t="str">
        <f>HYPERLINK("http://influenssarokotus.fi","influenssarokotus.fi")</f>
        <v>influenssarokotus.fi</v>
      </c>
      <c r="C29847" t="s">
        <v>445</v>
      </c>
      <c r="D29847" t="s">
        <v>823</v>
      </c>
      <c r="F29847">
        <v>4.44380395335525E-9</v>
      </c>
      <c r="G29847">
        <v>84773599</v>
      </c>
      <c r="H29847">
        <v>0</v>
      </c>
      <c r="I29847">
        <v>85887173</v>
      </c>
      <c r="J29847">
        <v>2</v>
      </c>
    </row>
    <row r="29848" spans="1:10" x14ac:dyDescent="0.25">
      <c r="A29848" t="s">
        <v>338</v>
      </c>
      <c r="B29848" s="1" t="str">
        <f>HYPERLINK("http://influenssatauti.fi","influenssatauti.fi")</f>
        <v>influenssatauti.fi</v>
      </c>
      <c r="C29848" t="s">
        <v>445</v>
      </c>
      <c r="D29848" t="s">
        <v>823</v>
      </c>
      <c r="J29848">
        <v>2</v>
      </c>
    </row>
    <row r="29849" spans="1:10" x14ac:dyDescent="0.25">
      <c r="A29849" t="s">
        <v>338</v>
      </c>
      <c r="B29849" s="1" t="str">
        <f>HYPERLINK("http://influenssatieto.fi","influenssatieto.fi")</f>
        <v>influenssatieto.fi</v>
      </c>
      <c r="C29849" t="s">
        <v>445</v>
      </c>
      <c r="D29849" t="s">
        <v>823</v>
      </c>
      <c r="J29849">
        <v>2</v>
      </c>
    </row>
    <row r="29850" spans="1:10" x14ac:dyDescent="0.25">
      <c r="A29850" t="s">
        <v>338</v>
      </c>
      <c r="B29850" s="1" t="str">
        <f>HYPERLINK("http://kovavatsa.fi","kovavatsa.fi")</f>
        <v>kovavatsa.fi</v>
      </c>
      <c r="C29850" t="s">
        <v>445</v>
      </c>
      <c r="D29850" t="s">
        <v>823</v>
      </c>
      <c r="F29850">
        <v>4.94603595458927E-9</v>
      </c>
      <c r="G29850">
        <v>30896110</v>
      </c>
      <c r="H29850">
        <v>10993639</v>
      </c>
      <c r="I29850">
        <v>33686590</v>
      </c>
      <c r="J29850">
        <v>4</v>
      </c>
    </row>
    <row r="29851" spans="1:10" x14ac:dyDescent="0.25">
      <c r="A29851" t="s">
        <v>338</v>
      </c>
      <c r="B29851" s="1" t="str">
        <f>HYPERLINK("http://laxoberon.fi","laxoberon.fi")</f>
        <v>laxoberon.fi</v>
      </c>
      <c r="C29851" t="s">
        <v>445</v>
      </c>
      <c r="D29851" t="s">
        <v>823</v>
      </c>
      <c r="F29851">
        <v>4.7129311967470297E-9</v>
      </c>
      <c r="G29851">
        <v>40605223</v>
      </c>
      <c r="H29851">
        <v>10536906</v>
      </c>
      <c r="I29851">
        <v>47470709</v>
      </c>
      <c r="J29851">
        <v>4</v>
      </c>
    </row>
    <row r="29852" spans="1:10" x14ac:dyDescent="0.25">
      <c r="A29852" t="s">
        <v>338</v>
      </c>
      <c r="B29852" s="1" t="str">
        <f>HYPERLINK("http://laxoplant.fi","laxoplant.fi")</f>
        <v>laxoplant.fi</v>
      </c>
      <c r="C29852" t="s">
        <v>445</v>
      </c>
      <c r="D29852" t="s">
        <v>823</v>
      </c>
      <c r="J29852">
        <v>4</v>
      </c>
    </row>
    <row r="29853" spans="1:10" x14ac:dyDescent="0.25">
      <c r="A29853" t="s">
        <v>338</v>
      </c>
      <c r="B29853" s="1" t="str">
        <f>HYPERLINK("http://lomudal.fi","lomudal.fi")</f>
        <v>lomudal.fi</v>
      </c>
      <c r="C29853" t="s">
        <v>445</v>
      </c>
      <c r="D29853" t="s">
        <v>823</v>
      </c>
      <c r="J29853">
        <v>2</v>
      </c>
    </row>
    <row r="29854" spans="1:10" x14ac:dyDescent="0.25">
      <c r="A29854" t="s">
        <v>338</v>
      </c>
      <c r="B29854" s="1" t="str">
        <f>HYPERLINK("http://matkarokote.fi","matkarokote.fi")</f>
        <v>matkarokote.fi</v>
      </c>
      <c r="C29854" t="s">
        <v>445</v>
      </c>
      <c r="D29854" t="s">
        <v>823</v>
      </c>
      <c r="J29854">
        <v>2</v>
      </c>
    </row>
    <row r="29855" spans="1:10" x14ac:dyDescent="0.25">
      <c r="A29855" t="s">
        <v>338</v>
      </c>
      <c r="B29855" s="1" t="str">
        <f>HYPERLINK("http://millainenyska.fi","millainenyska.fi")</f>
        <v>millainenyska.fi</v>
      </c>
      <c r="C29855" t="s">
        <v>445</v>
      </c>
      <c r="D29855" t="s">
        <v>823</v>
      </c>
      <c r="F29855">
        <v>4.44380395335525E-9</v>
      </c>
      <c r="G29855">
        <v>84778425</v>
      </c>
      <c r="H29855">
        <v>0</v>
      </c>
      <c r="I29855">
        <v>85892916</v>
      </c>
      <c r="J29855">
        <v>4</v>
      </c>
    </row>
    <row r="29856" spans="1:10" x14ac:dyDescent="0.25">
      <c r="A29856" t="s">
        <v>338</v>
      </c>
      <c r="B29856" s="1" t="str">
        <f>HYPERLINK("http://minunrokotukseni.fi","minunrokotukseni.fi")</f>
        <v>minunrokotukseni.fi</v>
      </c>
      <c r="C29856" t="s">
        <v>445</v>
      </c>
      <c r="D29856" t="s">
        <v>823</v>
      </c>
      <c r="J29856">
        <v>2</v>
      </c>
    </row>
    <row r="29857" spans="1:10" x14ac:dyDescent="0.25">
      <c r="A29857" t="s">
        <v>338</v>
      </c>
      <c r="B29857" s="1" t="str">
        <f>HYPERLINK("http://mozobil.fi","mozobil.fi")</f>
        <v>mozobil.fi</v>
      </c>
      <c r="C29857" t="s">
        <v>445</v>
      </c>
      <c r="D29857" t="s">
        <v>823</v>
      </c>
      <c r="J29857">
        <v>4</v>
      </c>
    </row>
    <row r="29858" spans="1:10" x14ac:dyDescent="0.25">
      <c r="A29858" t="s">
        <v>338</v>
      </c>
      <c r="B29858" s="1" t="str">
        <f>HYPERLINK("http://mps1.fi","mps1.fi")</f>
        <v>mps1.fi</v>
      </c>
      <c r="C29858" t="s">
        <v>445</v>
      </c>
      <c r="D29858" t="s">
        <v>823</v>
      </c>
      <c r="J29858">
        <v>4</v>
      </c>
    </row>
    <row r="29859" spans="1:10" x14ac:dyDescent="0.25">
      <c r="A29859" t="s">
        <v>338</v>
      </c>
      <c r="B29859" s="1" t="str">
        <f>HYPERLINK("http://ms-tuki.fi","ms-tuki.fi")</f>
        <v>ms-tuki.fi</v>
      </c>
      <c r="C29859" t="s">
        <v>445</v>
      </c>
      <c r="D29859" t="s">
        <v>823</v>
      </c>
      <c r="J29859">
        <v>2</v>
      </c>
    </row>
    <row r="29860" spans="1:10" x14ac:dyDescent="0.25">
      <c r="A29860" t="s">
        <v>338</v>
      </c>
      <c r="B29860" s="1" t="str">
        <f>HYPERLINK("http://msopas.fi","msopas.fi")</f>
        <v>msopas.fi</v>
      </c>
      <c r="C29860" t="s">
        <v>445</v>
      </c>
      <c r="D29860" t="s">
        <v>823</v>
      </c>
      <c r="F29860">
        <v>5.6928995430557604E-9</v>
      </c>
      <c r="G29860">
        <v>19020966</v>
      </c>
      <c r="H29860">
        <v>12105293</v>
      </c>
      <c r="I29860">
        <v>25841960</v>
      </c>
      <c r="J29860">
        <v>2</v>
      </c>
    </row>
    <row r="29861" spans="1:10" x14ac:dyDescent="0.25">
      <c r="A29861" t="s">
        <v>338</v>
      </c>
      <c r="B29861" s="1" t="str">
        <f>HYPERLINK("http://myozyme.fi","myozyme.fi")</f>
        <v>myozyme.fi</v>
      </c>
      <c r="C29861" t="s">
        <v>445</v>
      </c>
      <c r="D29861" t="s">
        <v>823</v>
      </c>
      <c r="J29861">
        <v>4</v>
      </c>
    </row>
    <row r="29862" spans="1:10" x14ac:dyDescent="0.25">
      <c r="A29862" t="s">
        <v>338</v>
      </c>
      <c r="B29862" s="1" t="str">
        <f>HYPERLINK("http://nasacort.fi","nasacort.fi")</f>
        <v>nasacort.fi</v>
      </c>
      <c r="C29862" t="s">
        <v>445</v>
      </c>
      <c r="D29862" t="s">
        <v>823</v>
      </c>
      <c r="J29862">
        <v>2</v>
      </c>
    </row>
    <row r="29863" spans="1:10" x14ac:dyDescent="0.25">
      <c r="A29863" t="s">
        <v>338</v>
      </c>
      <c r="B29863" s="1" t="str">
        <f>HYPERLINK("http://novanight.fi","novanight.fi")</f>
        <v>novanight.fi</v>
      </c>
      <c r="C29863" t="s">
        <v>445</v>
      </c>
      <c r="D29863" t="s">
        <v>823</v>
      </c>
      <c r="J29863">
        <v>2</v>
      </c>
    </row>
    <row r="29864" spans="1:10" x14ac:dyDescent="0.25">
      <c r="A29864" t="s">
        <v>338</v>
      </c>
      <c r="B29864" s="1" t="str">
        <f>HYPERLINK("http://pompe.fi","pompe.fi")</f>
        <v>pompe.fi</v>
      </c>
      <c r="C29864" t="s">
        <v>445</v>
      </c>
      <c r="D29864" t="s">
        <v>823</v>
      </c>
      <c r="J29864">
        <v>4</v>
      </c>
    </row>
    <row r="29865" spans="1:10" x14ac:dyDescent="0.25">
      <c r="A29865" t="s">
        <v>338</v>
      </c>
      <c r="B29865" s="1" t="str">
        <f>HYPERLINK("http://proacademy.fi","proacademy.fi")</f>
        <v>proacademy.fi</v>
      </c>
      <c r="C29865" t="s">
        <v>445</v>
      </c>
      <c r="D29865" t="s">
        <v>823</v>
      </c>
      <c r="F29865">
        <v>6.9020356963798301E-9</v>
      </c>
      <c r="G29865">
        <v>12615205</v>
      </c>
      <c r="H29865">
        <v>10949449</v>
      </c>
      <c r="I29865">
        <v>34597361</v>
      </c>
      <c r="J29865">
        <v>2</v>
      </c>
    </row>
    <row r="29866" spans="1:10" x14ac:dyDescent="0.25">
      <c r="A29866" t="s">
        <v>338</v>
      </c>
      <c r="B29866" s="1" t="str">
        <f>HYPERLINK("http://rokotteista.fi","rokotteista.fi")</f>
        <v>rokotteista.fi</v>
      </c>
      <c r="C29866" t="s">
        <v>445</v>
      </c>
      <c r="D29866" t="s">
        <v>823</v>
      </c>
      <c r="J29866">
        <v>2</v>
      </c>
    </row>
    <row r="29867" spans="1:10" x14ac:dyDescent="0.25">
      <c r="A29867" t="s">
        <v>338</v>
      </c>
      <c r="B29867" s="1" t="str">
        <f>HYPERLINK("http://rsvirus.fi","rsvirus.fi")</f>
        <v>rsvirus.fi</v>
      </c>
      <c r="C29867" t="s">
        <v>445</v>
      </c>
      <c r="D29867" t="s">
        <v>823</v>
      </c>
      <c r="J29867">
        <v>2</v>
      </c>
    </row>
    <row r="29868" spans="1:10" x14ac:dyDescent="0.25">
      <c r="A29868" t="s">
        <v>338</v>
      </c>
      <c r="B29868" s="1" t="str">
        <f>HYPERLINK("http://rsvsuoja.fi","rsvsuoja.fi")</f>
        <v>rsvsuoja.fi</v>
      </c>
      <c r="C29868" t="s">
        <v>445</v>
      </c>
      <c r="D29868" t="s">
        <v>823</v>
      </c>
      <c r="J29868">
        <v>2</v>
      </c>
    </row>
    <row r="29869" spans="1:10" x14ac:dyDescent="0.25">
      <c r="A29869" t="s">
        <v>338</v>
      </c>
      <c r="B29869" s="1" t="str">
        <f>HYPERLINK("http://sanofi.fi","sanofi.fi")</f>
        <v>sanofi.fi</v>
      </c>
      <c r="C29869" t="s">
        <v>445</v>
      </c>
      <c r="D29869" t="s">
        <v>823</v>
      </c>
      <c r="F29869">
        <v>3.2319632190226199E-8</v>
      </c>
      <c r="G29869">
        <v>1599800</v>
      </c>
      <c r="H29869">
        <v>12436544</v>
      </c>
      <c r="I29869">
        <v>18194466</v>
      </c>
      <c r="J29869">
        <v>2</v>
      </c>
    </row>
    <row r="29870" spans="1:10" x14ac:dyDescent="0.25">
      <c r="A29870" t="s">
        <v>338</v>
      </c>
      <c r="B29870" s="1" t="str">
        <f>HYPERLINK("http://sanofi-aventis.fi","sanofi-aventis.fi")</f>
        <v>sanofi-aventis.fi</v>
      </c>
      <c r="C29870" t="s">
        <v>445</v>
      </c>
      <c r="D29870" t="s">
        <v>823</v>
      </c>
      <c r="J29870">
        <v>2</v>
      </c>
    </row>
    <row r="29871" spans="1:10" x14ac:dyDescent="0.25">
      <c r="A29871" t="s">
        <v>338</v>
      </c>
      <c r="B29871" s="1" t="str">
        <f>HYPERLINK("http://sanofi-synthelabo.fi","sanofi-synthelabo.fi")</f>
        <v>sanofi-synthelabo.fi</v>
      </c>
      <c r="C29871" t="s">
        <v>445</v>
      </c>
      <c r="D29871" t="s">
        <v>823</v>
      </c>
      <c r="J29871">
        <v>2</v>
      </c>
    </row>
    <row r="29872" spans="1:10" x14ac:dyDescent="0.25">
      <c r="A29872" t="s">
        <v>338</v>
      </c>
      <c r="B29872" s="1" t="str">
        <f>HYPERLINK("http://sanofiaventis.fi","sanofiaventis.fi")</f>
        <v>sanofiaventis.fi</v>
      </c>
      <c r="C29872" t="s">
        <v>445</v>
      </c>
      <c r="D29872" t="s">
        <v>823</v>
      </c>
      <c r="J29872">
        <v>2</v>
      </c>
    </row>
    <row r="29873" spans="1:10" x14ac:dyDescent="0.25">
      <c r="A29873" t="s">
        <v>338</v>
      </c>
      <c r="B29873" s="1" t="str">
        <f>HYPERLINK("http://sanofigenzyme.fi","sanofigenzyme.fi")</f>
        <v>sanofigenzyme.fi</v>
      </c>
      <c r="C29873" t="s">
        <v>445</v>
      </c>
      <c r="D29873" t="s">
        <v>823</v>
      </c>
      <c r="F29873">
        <v>4.6755484898234798E-9</v>
      </c>
      <c r="G29873">
        <v>42620618</v>
      </c>
      <c r="H29873">
        <v>9485359</v>
      </c>
      <c r="I29873">
        <v>65939837</v>
      </c>
      <c r="J29873">
        <v>2</v>
      </c>
    </row>
    <row r="29874" spans="1:10" x14ac:dyDescent="0.25">
      <c r="A29874" t="s">
        <v>338</v>
      </c>
      <c r="B29874" s="1" t="str">
        <f>HYPERLINK("http://sanofijasin.fi","sanofijasin.fi")</f>
        <v>sanofijasin.fi</v>
      </c>
      <c r="C29874" t="s">
        <v>445</v>
      </c>
      <c r="D29874" t="s">
        <v>823</v>
      </c>
      <c r="J29874">
        <v>2</v>
      </c>
    </row>
    <row r="29875" spans="1:10" x14ac:dyDescent="0.25">
      <c r="A29875" t="s">
        <v>338</v>
      </c>
      <c r="B29875" s="1" t="str">
        <f>HYPERLINK("http://sanofijasina.fi","sanofijasina.fi")</f>
        <v>sanofijasina.fi</v>
      </c>
      <c r="C29875" t="s">
        <v>445</v>
      </c>
      <c r="D29875" t="s">
        <v>823</v>
      </c>
      <c r="F29875">
        <v>1.10909736440226E-8</v>
      </c>
      <c r="G29875">
        <v>5792153</v>
      </c>
      <c r="H29875">
        <v>10741809</v>
      </c>
      <c r="I29875">
        <v>40355578</v>
      </c>
      <c r="J29875">
        <v>2</v>
      </c>
    </row>
    <row r="29876" spans="1:10" x14ac:dyDescent="0.25">
      <c r="A29876" t="s">
        <v>338</v>
      </c>
      <c r="B29876" s="1" t="str">
        <f>HYPERLINK("http://sanofipro.fi","sanofipro.fi")</f>
        <v>sanofipro.fi</v>
      </c>
      <c r="C29876" t="s">
        <v>445</v>
      </c>
      <c r="D29876" t="s">
        <v>823</v>
      </c>
      <c r="F29876">
        <v>5.86286474299997E-9</v>
      </c>
      <c r="G29876">
        <v>17617981</v>
      </c>
      <c r="H29876">
        <v>9583061</v>
      </c>
      <c r="I29876">
        <v>64590181</v>
      </c>
      <c r="J29876">
        <v>4</v>
      </c>
    </row>
    <row r="29877" spans="1:10" x14ac:dyDescent="0.25">
      <c r="A29877" t="s">
        <v>338</v>
      </c>
      <c r="B29877" s="1" t="str">
        <f>HYPERLINK("http://sarclisa.fi","sarclisa.fi")</f>
        <v>sarclisa.fi</v>
      </c>
      <c r="C29877" t="s">
        <v>445</v>
      </c>
      <c r="D29877" t="s">
        <v>823</v>
      </c>
      <c r="J29877">
        <v>2</v>
      </c>
    </row>
    <row r="29878" spans="1:10" x14ac:dyDescent="0.25">
      <c r="A29878" t="s">
        <v>338</v>
      </c>
      <c r="B29878" s="1" t="str">
        <f>HYPERLINK("http://silotec.fi","silotec.fi")</f>
        <v>silotec.fi</v>
      </c>
      <c r="C29878" t="s">
        <v>445</v>
      </c>
      <c r="D29878" t="s">
        <v>823</v>
      </c>
      <c r="J29878">
        <v>4</v>
      </c>
    </row>
    <row r="29879" spans="1:10" x14ac:dyDescent="0.25">
      <c r="A29879" t="s">
        <v>338</v>
      </c>
      <c r="B29879" s="1" t="str">
        <f>HYPERLINK("http://silotoc.fi","silotoc.fi")</f>
        <v>silotoc.fi</v>
      </c>
      <c r="C29879" t="s">
        <v>445</v>
      </c>
      <c r="D29879" t="s">
        <v>823</v>
      </c>
      <c r="J29879">
        <v>4</v>
      </c>
    </row>
    <row r="29880" spans="1:10" x14ac:dyDescent="0.25">
      <c r="A29880" t="s">
        <v>338</v>
      </c>
      <c r="B29880" s="1" t="str">
        <f>HYPERLINK("http://sopeutumisopas.fi","sopeutumisopas.fi")</f>
        <v>sopeutumisopas.fi</v>
      </c>
      <c r="C29880" t="s">
        <v>445</v>
      </c>
      <c r="D29880" t="s">
        <v>823</v>
      </c>
      <c r="F29880">
        <v>4.9970658934237904E-9</v>
      </c>
      <c r="G29880">
        <v>29483122</v>
      </c>
      <c r="H29880">
        <v>9857601</v>
      </c>
      <c r="I29880">
        <v>62088301</v>
      </c>
      <c r="J29880">
        <v>2</v>
      </c>
    </row>
    <row r="29881" spans="1:10" x14ac:dyDescent="0.25">
      <c r="A29881" t="s">
        <v>338</v>
      </c>
      <c r="B29881" s="1" t="str">
        <f>HYPERLINK("http://suljepoisgaucherintauti.fi","suljepoisgaucherintauti.fi")</f>
        <v>suljepoisgaucherintauti.fi</v>
      </c>
      <c r="C29881" t="s">
        <v>445</v>
      </c>
      <c r="D29881" t="s">
        <v>823</v>
      </c>
      <c r="J29881">
        <v>2</v>
      </c>
    </row>
    <row r="29882" spans="1:10" x14ac:dyDescent="0.25">
      <c r="A29882" t="s">
        <v>338</v>
      </c>
      <c r="B29882" s="1" t="str">
        <f>HYPERLINK("http://synvisc.fi","synvisc.fi")</f>
        <v>synvisc.fi</v>
      </c>
      <c r="C29882" t="s">
        <v>445</v>
      </c>
      <c r="D29882" t="s">
        <v>823</v>
      </c>
      <c r="F29882">
        <v>5.5164872100889501E-9</v>
      </c>
      <c r="G29882">
        <v>20724768</v>
      </c>
      <c r="H29882">
        <v>14236067</v>
      </c>
      <c r="I29882">
        <v>1644826</v>
      </c>
      <c r="J29882">
        <v>3</v>
      </c>
    </row>
    <row r="29883" spans="1:10" x14ac:dyDescent="0.25">
      <c r="A29883" t="s">
        <v>338</v>
      </c>
      <c r="B29883" s="1" t="str">
        <f>HYPERLINK("http://syvemmalle.fi","syvemmalle.fi")</f>
        <v>syvemmalle.fi</v>
      </c>
      <c r="C29883" t="s">
        <v>445</v>
      </c>
      <c r="D29883" t="s">
        <v>823</v>
      </c>
      <c r="F29883">
        <v>4.5956224765995798E-9</v>
      </c>
      <c r="G29883">
        <v>47950281</v>
      </c>
      <c r="H29883">
        <v>10758281</v>
      </c>
      <c r="I29883">
        <v>39690902</v>
      </c>
      <c r="J29883">
        <v>2</v>
      </c>
    </row>
    <row r="29884" spans="1:10" x14ac:dyDescent="0.25">
      <c r="A29884" t="s">
        <v>338</v>
      </c>
      <c r="B29884" s="1" t="str">
        <f>HYPERLINK("http://telfast.fi","telfast.fi")</f>
        <v>telfast.fi</v>
      </c>
      <c r="C29884" t="s">
        <v>445</v>
      </c>
      <c r="D29884" t="s">
        <v>823</v>
      </c>
      <c r="J29884">
        <v>4</v>
      </c>
    </row>
    <row r="29885" spans="1:10" x14ac:dyDescent="0.25">
      <c r="A29885" t="s">
        <v>338</v>
      </c>
      <c r="B29885" s="1" t="str">
        <f>HYPERLINK("http://thymoglobulin.fi","thymoglobulin.fi")</f>
        <v>thymoglobulin.fi</v>
      </c>
      <c r="C29885" t="s">
        <v>445</v>
      </c>
      <c r="D29885" t="s">
        <v>823</v>
      </c>
      <c r="J29885">
        <v>4</v>
      </c>
    </row>
    <row r="29886" spans="1:10" x14ac:dyDescent="0.25">
      <c r="A29886" t="s">
        <v>338</v>
      </c>
      <c r="B29886" s="1" t="str">
        <f>HYPERLINK("http://thymoglobuline.fi","thymoglobuline.fi")</f>
        <v>thymoglobuline.fi</v>
      </c>
      <c r="C29886" t="s">
        <v>445</v>
      </c>
      <c r="D29886" t="s">
        <v>823</v>
      </c>
      <c r="J29886">
        <v>4</v>
      </c>
    </row>
    <row r="29887" spans="1:10" x14ac:dyDescent="0.25">
      <c r="A29887" t="s">
        <v>338</v>
      </c>
      <c r="B29887" s="1" t="str">
        <f>HYPERLINK("http://torjutaanrsv.fi","torjutaanrsv.fi")</f>
        <v>torjutaanrsv.fi</v>
      </c>
      <c r="C29887" t="s">
        <v>445</v>
      </c>
      <c r="D29887" t="s">
        <v>823</v>
      </c>
      <c r="J29887">
        <v>2</v>
      </c>
    </row>
    <row r="29888" spans="1:10" x14ac:dyDescent="0.25">
      <c r="A29888" t="s">
        <v>338</v>
      </c>
      <c r="B29888" s="1" t="str">
        <f>HYPERLINK("http://torjutaanyhdessarsv.fi","torjutaanyhdessarsv.fi")</f>
        <v>torjutaanyhdessarsv.fi</v>
      </c>
      <c r="C29888" t="s">
        <v>445</v>
      </c>
      <c r="D29888" t="s">
        <v>823</v>
      </c>
      <c r="J29888">
        <v>2</v>
      </c>
    </row>
    <row r="29889" spans="1:10" x14ac:dyDescent="0.25">
      <c r="A29889" t="s">
        <v>338</v>
      </c>
      <c r="B29889" s="1" t="str">
        <f>HYPERLINK("http://understandingttp.fi","understandingttp.fi")</f>
        <v>understandingttp.fi</v>
      </c>
      <c r="C29889" t="s">
        <v>445</v>
      </c>
      <c r="D29889" t="s">
        <v>823</v>
      </c>
      <c r="J29889">
        <v>4</v>
      </c>
    </row>
    <row r="29890" spans="1:10" x14ac:dyDescent="0.25">
      <c r="A29890" t="s">
        <v>338</v>
      </c>
      <c r="B29890" s="1" t="str">
        <f>HYPERLINK("http://vaccininfo.fi","vaccininfo.fi")</f>
        <v>vaccininfo.fi</v>
      </c>
      <c r="C29890" t="s">
        <v>445</v>
      </c>
      <c r="D29890" t="s">
        <v>823</v>
      </c>
      <c r="J29890">
        <v>2</v>
      </c>
    </row>
    <row r="29891" spans="1:10" x14ac:dyDescent="0.25">
      <c r="A29891" t="s">
        <v>338</v>
      </c>
      <c r="B29891" s="1" t="str">
        <f>HYPERLINK("http://vaippaihottuma.fi","vaippaihottuma.fi")</f>
        <v>vaippaihottuma.fi</v>
      </c>
      <c r="C29891" t="s">
        <v>445</v>
      </c>
      <c r="D29891" t="s">
        <v>823</v>
      </c>
      <c r="J29891">
        <v>2</v>
      </c>
    </row>
    <row r="29892" spans="1:10" x14ac:dyDescent="0.25">
      <c r="A29892" t="s">
        <v>338</v>
      </c>
      <c r="B29892" s="1" t="str">
        <f>HYPERLINK("http://valproateandme.fi","valproateandme.fi")</f>
        <v>valproateandme.fi</v>
      </c>
      <c r="C29892" t="s">
        <v>445</v>
      </c>
      <c r="D29892" t="s">
        <v>823</v>
      </c>
      <c r="J29892">
        <v>2</v>
      </c>
    </row>
    <row r="29893" spans="1:10" x14ac:dyDescent="0.25">
      <c r="A29893" t="s">
        <v>338</v>
      </c>
      <c r="B29893" s="1" t="str">
        <f>HYPERLINK("http://sanofi.fr","sanofi.fr")</f>
        <v>sanofi.fr</v>
      </c>
      <c r="C29893" t="s">
        <v>446</v>
      </c>
      <c r="D29893" t="s">
        <v>824</v>
      </c>
      <c r="E29893">
        <v>156863</v>
      </c>
      <c r="F29893">
        <v>2.7325918890605697E-7</v>
      </c>
      <c r="G29893">
        <v>136131</v>
      </c>
      <c r="H29893">
        <v>14620117</v>
      </c>
      <c r="I29893">
        <v>659111</v>
      </c>
      <c r="J29893">
        <v>2</v>
      </c>
    </row>
    <row r="29894" spans="1:10" x14ac:dyDescent="0.25">
      <c r="A29894" t="s">
        <v>338</v>
      </c>
      <c r="B29894" s="1" t="str">
        <f>HYPERLINK("http://sanofi.ge","sanofi.ge")</f>
        <v>sanofi.ge</v>
      </c>
      <c r="C29894" t="s">
        <v>637</v>
      </c>
      <c r="D29894" t="s">
        <v>958</v>
      </c>
      <c r="F29894">
        <v>9.6688275564649104E-9</v>
      </c>
      <c r="G29894">
        <v>7117384</v>
      </c>
      <c r="H29894">
        <v>12217472</v>
      </c>
      <c r="I29894">
        <v>22845494</v>
      </c>
      <c r="J29894">
        <v>2</v>
      </c>
    </row>
    <row r="29895" spans="1:10" x14ac:dyDescent="0.25">
      <c r="A29895" t="s">
        <v>338</v>
      </c>
      <c r="B29895" s="1" t="str">
        <f>HYPERLINK("http://sanofi.gr","sanofi.gr")</f>
        <v>sanofi.gr</v>
      </c>
      <c r="C29895" t="s">
        <v>447</v>
      </c>
      <c r="D29895" t="s">
        <v>825</v>
      </c>
      <c r="F29895">
        <v>3.0453320336888698E-8</v>
      </c>
      <c r="G29895">
        <v>1690664</v>
      </c>
      <c r="H29895">
        <v>13766894</v>
      </c>
      <c r="I29895">
        <v>6968058</v>
      </c>
      <c r="J29895">
        <v>2</v>
      </c>
    </row>
    <row r="29896" spans="1:10" x14ac:dyDescent="0.25">
      <c r="A29896" t="s">
        <v>338</v>
      </c>
      <c r="B29896" s="1" t="str">
        <f>HYPERLINK("http://sanofi.hk","sanofi.hk")</f>
        <v>sanofi.hk</v>
      </c>
      <c r="C29896" t="s">
        <v>450</v>
      </c>
      <c r="D29896" t="s">
        <v>827</v>
      </c>
      <c r="F29896">
        <v>1.38739383475093E-8</v>
      </c>
      <c r="G29896">
        <v>4251305</v>
      </c>
      <c r="H29896">
        <v>12562977</v>
      </c>
      <c r="I29896">
        <v>16686014</v>
      </c>
      <c r="J29896">
        <v>2</v>
      </c>
    </row>
    <row r="29897" spans="1:10" x14ac:dyDescent="0.25">
      <c r="A29897" t="s">
        <v>338</v>
      </c>
      <c r="B29897" s="1" t="str">
        <f>HYPERLINK("http://sanofi-aventis.hk","sanofi-aventis.hk")</f>
        <v>sanofi-aventis.hk</v>
      </c>
      <c r="C29897" t="s">
        <v>450</v>
      </c>
      <c r="D29897" t="s">
        <v>827</v>
      </c>
      <c r="F29897">
        <v>4.9914784710937601E-9</v>
      </c>
      <c r="G29897">
        <v>29631852</v>
      </c>
      <c r="H29897">
        <v>13763635</v>
      </c>
      <c r="I29897">
        <v>8225621</v>
      </c>
      <c r="J29897">
        <v>4</v>
      </c>
    </row>
    <row r="29898" spans="1:10" x14ac:dyDescent="0.25">
      <c r="A29898" t="s">
        <v>338</v>
      </c>
      <c r="B29898" s="1" t="str">
        <f>HYPERLINK("http://sanofi.hu","sanofi.hu")</f>
        <v>sanofi.hu</v>
      </c>
      <c r="C29898" t="s">
        <v>453</v>
      </c>
      <c r="D29898" t="s">
        <v>830</v>
      </c>
      <c r="F29898">
        <v>3.7194935499134598E-8</v>
      </c>
      <c r="G29898">
        <v>1392669</v>
      </c>
      <c r="H29898">
        <v>12606513</v>
      </c>
      <c r="I29898">
        <v>16261092</v>
      </c>
      <c r="J29898">
        <v>2</v>
      </c>
    </row>
    <row r="29899" spans="1:10" x14ac:dyDescent="0.25">
      <c r="A29899" t="s">
        <v>338</v>
      </c>
      <c r="B29899" s="1" t="str">
        <f>HYPERLINK("http://sanofi.co.id","sanofi.co.id")</f>
        <v>sanofi.co.id</v>
      </c>
      <c r="C29899" t="s">
        <v>454</v>
      </c>
      <c r="D29899" t="s">
        <v>831</v>
      </c>
      <c r="F29899">
        <v>1.2779292737029599E-8</v>
      </c>
      <c r="G29899">
        <v>4739931</v>
      </c>
      <c r="H29899">
        <v>13934323</v>
      </c>
      <c r="I29899">
        <v>4607614</v>
      </c>
      <c r="J29899">
        <v>2</v>
      </c>
    </row>
    <row r="29900" spans="1:10" x14ac:dyDescent="0.25">
      <c r="A29900" t="s">
        <v>338</v>
      </c>
      <c r="B29900" s="1" t="str">
        <f>HYPERLINK("http://genzyme.ie","genzyme.ie")</f>
        <v>genzyme.ie</v>
      </c>
      <c r="C29900" t="s">
        <v>455</v>
      </c>
      <c r="D29900" t="s">
        <v>832</v>
      </c>
      <c r="F29900">
        <v>8.9454306107738107E-9</v>
      </c>
      <c r="G29900">
        <v>8074180</v>
      </c>
      <c r="H29900">
        <v>13933400</v>
      </c>
      <c r="I29900">
        <v>4753153</v>
      </c>
      <c r="J29900">
        <v>4</v>
      </c>
    </row>
    <row r="29901" spans="1:10" x14ac:dyDescent="0.25">
      <c r="A29901" t="s">
        <v>338</v>
      </c>
      <c r="B29901" s="1" t="str">
        <f>HYPERLINK("http://sanofi.ie","sanofi.ie")</f>
        <v>sanofi.ie</v>
      </c>
      <c r="C29901" t="s">
        <v>455</v>
      </c>
      <c r="D29901" t="s">
        <v>832</v>
      </c>
      <c r="F29901">
        <v>2.21198991860275E-8</v>
      </c>
      <c r="G29901">
        <v>2372128</v>
      </c>
      <c r="H29901">
        <v>12487229</v>
      </c>
      <c r="I29901">
        <v>17520842</v>
      </c>
      <c r="J29901">
        <v>2</v>
      </c>
    </row>
    <row r="29902" spans="1:10" x14ac:dyDescent="0.25">
      <c r="A29902" t="s">
        <v>338</v>
      </c>
      <c r="B29902" s="1" t="str">
        <f>HYPERLINK("http://sanofi-aventis.ie","sanofi-aventis.ie")</f>
        <v>sanofi-aventis.ie</v>
      </c>
      <c r="C29902" t="s">
        <v>455</v>
      </c>
      <c r="D29902" t="s">
        <v>832</v>
      </c>
      <c r="F29902">
        <v>4.7425885274120303E-9</v>
      </c>
      <c r="G29902">
        <v>38674685</v>
      </c>
      <c r="H29902">
        <v>10942242</v>
      </c>
      <c r="I29902">
        <v>34772048</v>
      </c>
      <c r="J29902">
        <v>4</v>
      </c>
    </row>
    <row r="29903" spans="1:10" x14ac:dyDescent="0.25">
      <c r="A29903" t="s">
        <v>338</v>
      </c>
      <c r="B29903" s="1" t="str">
        <f>HYPERLINK("http://sanofi.co.il","sanofi.co.il")</f>
        <v>sanofi.co.il</v>
      </c>
      <c r="C29903" t="s">
        <v>456</v>
      </c>
      <c r="D29903" t="s">
        <v>833</v>
      </c>
      <c r="F29903">
        <v>1.10347091964213E-8</v>
      </c>
      <c r="G29903">
        <v>5833743</v>
      </c>
      <c r="H29903">
        <v>12221672</v>
      </c>
      <c r="I29903">
        <v>22754379</v>
      </c>
      <c r="J29903">
        <v>2</v>
      </c>
    </row>
    <row r="29904" spans="1:10" x14ac:dyDescent="0.25">
      <c r="A29904" t="s">
        <v>338</v>
      </c>
      <c r="B29904" s="1" t="str">
        <f>HYPERLINK("http://sanofi.in","sanofi.in")</f>
        <v>sanofi.in</v>
      </c>
      <c r="C29904" t="s">
        <v>457</v>
      </c>
      <c r="D29904" t="s">
        <v>834</v>
      </c>
      <c r="F29904">
        <v>7.0963265817113196E-8</v>
      </c>
      <c r="G29904">
        <v>595989</v>
      </c>
      <c r="H29904">
        <v>14077278</v>
      </c>
      <c r="I29904">
        <v>2869620</v>
      </c>
      <c r="J29904">
        <v>2</v>
      </c>
    </row>
    <row r="29905" spans="1:10" x14ac:dyDescent="0.25">
      <c r="A29905" t="s">
        <v>338</v>
      </c>
      <c r="B29905" s="1" t="str">
        <f>HYPERLINK("http://carcinomidellapelle.it","carcinomidellapelle.it")</f>
        <v>carcinomidellapelle.it</v>
      </c>
      <c r="C29905" t="s">
        <v>459</v>
      </c>
      <c r="D29905" t="s">
        <v>835</v>
      </c>
      <c r="F29905">
        <v>4.8192431955490203E-9</v>
      </c>
      <c r="G29905">
        <v>35298327</v>
      </c>
      <c r="H29905">
        <v>10730560</v>
      </c>
      <c r="I29905">
        <v>40908576</v>
      </c>
      <c r="J29905">
        <v>3</v>
      </c>
    </row>
    <row r="29906" spans="1:10" x14ac:dyDescent="0.25">
      <c r="A29906" t="s">
        <v>338</v>
      </c>
      <c r="B29906" s="1" t="str">
        <f>HYPERLINK("http://lemgo.it","lemgo.it")</f>
        <v>lemgo.it</v>
      </c>
      <c r="C29906" t="s">
        <v>459</v>
      </c>
      <c r="D29906" t="s">
        <v>835</v>
      </c>
      <c r="J29906">
        <v>2</v>
      </c>
    </row>
    <row r="29907" spans="1:10" x14ac:dyDescent="0.25">
      <c r="A29907" t="s">
        <v>338</v>
      </c>
      <c r="B29907" s="1" t="str">
        <f>HYPERLINK("http://sanofi.it","sanofi.it")</f>
        <v>sanofi.it</v>
      </c>
      <c r="C29907" t="s">
        <v>459</v>
      </c>
      <c r="D29907" t="s">
        <v>835</v>
      </c>
      <c r="F29907">
        <v>1.08805779677243E-7</v>
      </c>
      <c r="G29907">
        <v>367691</v>
      </c>
      <c r="H29907">
        <v>14790415</v>
      </c>
      <c r="I29907">
        <v>551074</v>
      </c>
      <c r="J29907">
        <v>2</v>
      </c>
    </row>
    <row r="29908" spans="1:10" x14ac:dyDescent="0.25">
      <c r="A29908" t="s">
        <v>338</v>
      </c>
      <c r="B29908" s="1" t="str">
        <f>HYPERLINK("http://sanofi.com.jo","sanofi.com.jo")</f>
        <v>sanofi.com.jo</v>
      </c>
      <c r="C29908" t="s">
        <v>519</v>
      </c>
      <c r="D29908" t="s">
        <v>889</v>
      </c>
      <c r="F29908">
        <v>4.4480617502371802E-9</v>
      </c>
      <c r="G29908">
        <v>73093778</v>
      </c>
      <c r="H29908">
        <v>10753101</v>
      </c>
      <c r="I29908">
        <v>39899141</v>
      </c>
      <c r="J29908">
        <v>2</v>
      </c>
    </row>
    <row r="29909" spans="1:10" x14ac:dyDescent="0.25">
      <c r="A29909" t="s">
        <v>338</v>
      </c>
      <c r="B29909" s="1" t="str">
        <f>HYPERLINK("http://sanofi.jobs","sanofi.jobs")</f>
        <v>sanofi.jobs</v>
      </c>
      <c r="C29909" t="s">
        <v>521</v>
      </c>
      <c r="F29909">
        <v>1.06492353223763E-8</v>
      </c>
      <c r="G29909">
        <v>6142154</v>
      </c>
      <c r="H29909">
        <v>12280612</v>
      </c>
      <c r="I29909">
        <v>21293201</v>
      </c>
      <c r="J29909">
        <v>3</v>
      </c>
    </row>
    <row r="29910" spans="1:10" x14ac:dyDescent="0.25">
      <c r="A29910" t="s">
        <v>338</v>
      </c>
      <c r="B29910" s="1" t="str">
        <f>HYPERLINK("http://sanofi.co.jp","sanofi.co.jp")</f>
        <v>sanofi.co.jp</v>
      </c>
      <c r="C29910" t="s">
        <v>461</v>
      </c>
      <c r="D29910" t="s">
        <v>837</v>
      </c>
      <c r="F29910">
        <v>1.3106320846386899E-7</v>
      </c>
      <c r="G29910">
        <v>298435</v>
      </c>
      <c r="H29910">
        <v>14611985</v>
      </c>
      <c r="I29910">
        <v>675851</v>
      </c>
      <c r="J29910">
        <v>2</v>
      </c>
    </row>
    <row r="29911" spans="1:10" x14ac:dyDescent="0.25">
      <c r="A29911" t="s">
        <v>338</v>
      </c>
      <c r="B29911" s="1" t="str">
        <f>HYPERLINK("http://ssp.co.jp","ssp.co.jp")</f>
        <v>ssp.co.jp</v>
      </c>
      <c r="C29911" t="s">
        <v>461</v>
      </c>
      <c r="D29911" t="s">
        <v>837</v>
      </c>
      <c r="E29911">
        <v>217916</v>
      </c>
      <c r="F29911">
        <v>1.42786315128042E-7</v>
      </c>
      <c r="G29911">
        <v>272638</v>
      </c>
      <c r="H29911">
        <v>14733372</v>
      </c>
      <c r="I29911">
        <v>570712</v>
      </c>
      <c r="J29911">
        <v>3</v>
      </c>
    </row>
    <row r="29912" spans="1:10" x14ac:dyDescent="0.25">
      <c r="A29912" t="s">
        <v>338</v>
      </c>
      <c r="B29912" s="1" t="str">
        <f>HYPERLINK("http://sanofi.co.kr","sanofi.co.kr")</f>
        <v>sanofi.co.kr</v>
      </c>
      <c r="C29912" t="s">
        <v>463</v>
      </c>
      <c r="D29912" t="s">
        <v>839</v>
      </c>
      <c r="F29912">
        <v>1.9453943431001401E-8</v>
      </c>
      <c r="G29912">
        <v>2753239</v>
      </c>
      <c r="H29912">
        <v>13047087</v>
      </c>
      <c r="I29912">
        <v>12600303</v>
      </c>
      <c r="J29912">
        <v>2</v>
      </c>
    </row>
    <row r="29913" spans="1:10" x14ac:dyDescent="0.25">
      <c r="A29913" t="s">
        <v>338</v>
      </c>
      <c r="B29913" s="1" t="str">
        <f>HYPERLINK("http://sanofi-aventis.co.kr","sanofi-aventis.co.kr")</f>
        <v>sanofi-aventis.co.kr</v>
      </c>
      <c r="C29913" t="s">
        <v>463</v>
      </c>
      <c r="D29913" t="s">
        <v>839</v>
      </c>
      <c r="F29913">
        <v>4.7057348156048002E-9</v>
      </c>
      <c r="G29913">
        <v>40948829</v>
      </c>
      <c r="H29913">
        <v>11134368</v>
      </c>
      <c r="I29913">
        <v>31902552</v>
      </c>
      <c r="J29913">
        <v>3</v>
      </c>
    </row>
    <row r="29914" spans="1:10" x14ac:dyDescent="0.25">
      <c r="A29914" t="s">
        <v>338</v>
      </c>
      <c r="B29914" s="1" t="str">
        <f>HYPERLINK("http://sanofi.kz","sanofi.kz")</f>
        <v>sanofi.kz</v>
      </c>
      <c r="C29914" t="s">
        <v>465</v>
      </c>
      <c r="D29914" t="s">
        <v>841</v>
      </c>
      <c r="F29914">
        <v>1.5291525002556798E-8</v>
      </c>
      <c r="G29914">
        <v>3748277</v>
      </c>
      <c r="H29914">
        <v>12275649</v>
      </c>
      <c r="I29914">
        <v>21400538</v>
      </c>
      <c r="J29914">
        <v>2</v>
      </c>
    </row>
    <row r="29915" spans="1:10" x14ac:dyDescent="0.25">
      <c r="A29915" t="s">
        <v>338</v>
      </c>
      <c r="B29915" s="1" t="str">
        <f>HYPERLINK("http://sanofi.lt","sanofi.lt")</f>
        <v>sanofi.lt</v>
      </c>
      <c r="C29915" t="s">
        <v>467</v>
      </c>
      <c r="D29915" t="s">
        <v>843</v>
      </c>
      <c r="F29915">
        <v>1.19150759238253E-8</v>
      </c>
      <c r="G29915">
        <v>5228018</v>
      </c>
      <c r="H29915">
        <v>12237689</v>
      </c>
      <c r="I29915">
        <v>22318213</v>
      </c>
      <c r="J29915">
        <v>2</v>
      </c>
    </row>
    <row r="29916" spans="1:10" x14ac:dyDescent="0.25">
      <c r="A29916" t="s">
        <v>338</v>
      </c>
      <c r="B29916" s="1" t="str">
        <f>HYPERLINK("http://sanofi.lv","sanofi.lv")</f>
        <v>sanofi.lv</v>
      </c>
      <c r="C29916" t="s">
        <v>468</v>
      </c>
      <c r="D29916" t="s">
        <v>844</v>
      </c>
      <c r="F29916">
        <v>1.1260228400611E-8</v>
      </c>
      <c r="G29916">
        <v>5670411</v>
      </c>
      <c r="H29916">
        <v>14072015</v>
      </c>
      <c r="I29916">
        <v>3186004</v>
      </c>
      <c r="J29916">
        <v>2</v>
      </c>
    </row>
    <row r="29917" spans="1:10" x14ac:dyDescent="0.25">
      <c r="A29917" t="s">
        <v>338</v>
      </c>
      <c r="B29917" s="1" t="str">
        <f>HYPERLINK("http://sanofi.ma","sanofi.ma")</f>
        <v>sanofi.ma</v>
      </c>
      <c r="C29917" t="s">
        <v>469</v>
      </c>
      <c r="D29917" t="s">
        <v>845</v>
      </c>
      <c r="F29917">
        <v>1.12555010368726E-8</v>
      </c>
      <c r="G29917">
        <v>5673855</v>
      </c>
      <c r="H29917">
        <v>12245999</v>
      </c>
      <c r="I29917">
        <v>22096601</v>
      </c>
      <c r="J29917">
        <v>2</v>
      </c>
    </row>
    <row r="29918" spans="1:10" x14ac:dyDescent="0.25">
      <c r="A29918" t="s">
        <v>338</v>
      </c>
      <c r="B29918" s="1" t="str">
        <f>HYPERLINK("http://sanofi.com.mx","sanofi.com.mx")</f>
        <v>sanofi.com.mx</v>
      </c>
      <c r="C29918" t="s">
        <v>471</v>
      </c>
      <c r="D29918" t="s">
        <v>847</v>
      </c>
      <c r="F29918">
        <v>1.9526918333002001E-8</v>
      </c>
      <c r="G29918">
        <v>2740162</v>
      </c>
      <c r="H29918">
        <v>13594178</v>
      </c>
      <c r="I29918">
        <v>9660109</v>
      </c>
      <c r="J29918">
        <v>2</v>
      </c>
    </row>
    <row r="29919" spans="1:10" x14ac:dyDescent="0.25">
      <c r="A29919" t="s">
        <v>338</v>
      </c>
      <c r="B29919" s="1" t="str">
        <f>HYPERLINK("http://sanofi.com.my","sanofi.com.my")</f>
        <v>sanofi.com.my</v>
      </c>
      <c r="C29919" t="s">
        <v>472</v>
      </c>
      <c r="D29919" t="s">
        <v>848</v>
      </c>
      <c r="F29919">
        <v>1.11395375886806E-8</v>
      </c>
      <c r="G29919">
        <v>5756753</v>
      </c>
      <c r="H29919">
        <v>12341864</v>
      </c>
      <c r="I29919">
        <v>19917258</v>
      </c>
      <c r="J29919">
        <v>2</v>
      </c>
    </row>
    <row r="29920" spans="1:10" x14ac:dyDescent="0.25">
      <c r="A29920" t="s">
        <v>338</v>
      </c>
      <c r="B29920" s="1" t="str">
        <f>HYPERLINK("http://sanofi-aventis.com.my","sanofi-aventis.com.my")</f>
        <v>sanofi-aventis.com.my</v>
      </c>
      <c r="C29920" t="s">
        <v>472</v>
      </c>
      <c r="D29920" t="s">
        <v>848</v>
      </c>
      <c r="F29920">
        <v>4.53518709125468E-9</v>
      </c>
      <c r="G29920">
        <v>54370471</v>
      </c>
      <c r="H29920">
        <v>13763633</v>
      </c>
      <c r="I29920">
        <v>9205069</v>
      </c>
      <c r="J29920">
        <v>3</v>
      </c>
    </row>
    <row r="29921" spans="1:10" x14ac:dyDescent="0.25">
      <c r="A29921" t="s">
        <v>338</v>
      </c>
      <c r="B29921" s="1" t="str">
        <f>HYPERLINK("http://sanofi.com.ng","sanofi.com.ng")</f>
        <v>sanofi.com.ng</v>
      </c>
      <c r="C29921" t="s">
        <v>475</v>
      </c>
      <c r="D29921" t="s">
        <v>850</v>
      </c>
      <c r="F29921">
        <v>9.7749394858809604E-9</v>
      </c>
      <c r="G29921">
        <v>6995913</v>
      </c>
      <c r="H29921">
        <v>12232570</v>
      </c>
      <c r="I29921">
        <v>22435164</v>
      </c>
      <c r="J29921">
        <v>2</v>
      </c>
    </row>
    <row r="29922" spans="1:10" x14ac:dyDescent="0.25">
      <c r="A29922" t="s">
        <v>338</v>
      </c>
      <c r="B29922" s="1" t="str">
        <f>HYPERLINK("http://genzyme.nl","genzyme.nl")</f>
        <v>genzyme.nl</v>
      </c>
      <c r="C29922" t="s">
        <v>477</v>
      </c>
      <c r="D29922" t="s">
        <v>852</v>
      </c>
      <c r="F29922">
        <v>5.8069494535424298E-9</v>
      </c>
      <c r="G29922">
        <v>18035121</v>
      </c>
      <c r="H29922">
        <v>8830458</v>
      </c>
      <c r="I29922">
        <v>69265299</v>
      </c>
      <c r="J29922">
        <v>4</v>
      </c>
    </row>
    <row r="29923" spans="1:10" x14ac:dyDescent="0.25">
      <c r="A29923" t="s">
        <v>338</v>
      </c>
      <c r="B29923" s="1" t="str">
        <f>HYPERLINK("http://sanofi.nl","sanofi.nl")</f>
        <v>sanofi.nl</v>
      </c>
      <c r="C29923" t="s">
        <v>477</v>
      </c>
      <c r="D29923" t="s">
        <v>852</v>
      </c>
      <c r="F29923">
        <v>5.4316635339471299E-8</v>
      </c>
      <c r="G29923">
        <v>831655</v>
      </c>
      <c r="H29923">
        <v>14078028</v>
      </c>
      <c r="I29923">
        <v>2853945</v>
      </c>
      <c r="J29923">
        <v>2</v>
      </c>
    </row>
    <row r="29924" spans="1:10" x14ac:dyDescent="0.25">
      <c r="A29924" t="s">
        <v>338</v>
      </c>
      <c r="B29924" s="1" t="str">
        <f>HYPERLINK("http://sanofi.no","sanofi.no")</f>
        <v>sanofi.no</v>
      </c>
      <c r="C29924" t="s">
        <v>478</v>
      </c>
      <c r="D29924" t="s">
        <v>853</v>
      </c>
      <c r="F29924">
        <v>2.2368944803289501E-8</v>
      </c>
      <c r="G29924">
        <v>2343214</v>
      </c>
      <c r="H29924">
        <v>12315677</v>
      </c>
      <c r="I29924">
        <v>20504399</v>
      </c>
      <c r="J29924">
        <v>2</v>
      </c>
    </row>
    <row r="29925" spans="1:10" x14ac:dyDescent="0.25">
      <c r="A29925" t="s">
        <v>338</v>
      </c>
      <c r="B29925" s="1" t="str">
        <f>HYPERLINK("http://sanofi-aventis.no","sanofi-aventis.no")</f>
        <v>sanofi-aventis.no</v>
      </c>
      <c r="C29925" t="s">
        <v>478</v>
      </c>
      <c r="D29925" t="s">
        <v>853</v>
      </c>
      <c r="J29925">
        <v>3</v>
      </c>
    </row>
    <row r="29926" spans="1:10" x14ac:dyDescent="0.25">
      <c r="A29926" t="s">
        <v>338</v>
      </c>
      <c r="B29926" s="1" t="str">
        <f>HYPERLINK("http://sanofi-aventis.com.pa","sanofi-aventis.com.pa")</f>
        <v>sanofi-aventis.com.pa</v>
      </c>
      <c r="C29926" t="s">
        <v>482</v>
      </c>
      <c r="D29926" t="s">
        <v>856</v>
      </c>
      <c r="J29926">
        <v>3</v>
      </c>
    </row>
    <row r="29927" spans="1:10" x14ac:dyDescent="0.25">
      <c r="A29927" t="s">
        <v>338</v>
      </c>
      <c r="B29927" s="1" t="str">
        <f>HYPERLINK("http://sanofi.com.pe","sanofi.com.pe")</f>
        <v>sanofi.com.pe</v>
      </c>
      <c r="C29927" t="s">
        <v>483</v>
      </c>
      <c r="D29927" t="s">
        <v>857</v>
      </c>
      <c r="F29927">
        <v>1.97536223750125E-8</v>
      </c>
      <c r="G29927">
        <v>2700471</v>
      </c>
      <c r="H29927">
        <v>12246740</v>
      </c>
      <c r="I29927">
        <v>22078736</v>
      </c>
      <c r="J29927">
        <v>2</v>
      </c>
    </row>
    <row r="29928" spans="1:10" x14ac:dyDescent="0.25">
      <c r="A29928" t="s">
        <v>338</v>
      </c>
      <c r="B29928" s="1" t="str">
        <f>HYPERLINK("http://sanofi-aventis.com.pe","sanofi-aventis.com.pe")</f>
        <v>sanofi-aventis.com.pe</v>
      </c>
      <c r="C29928" t="s">
        <v>483</v>
      </c>
      <c r="D29928" t="s">
        <v>857</v>
      </c>
      <c r="F29928">
        <v>4.44483600803009E-9</v>
      </c>
      <c r="G29928">
        <v>76011091</v>
      </c>
      <c r="H29928">
        <v>10723365</v>
      </c>
      <c r="I29928">
        <v>41508776</v>
      </c>
      <c r="J29928">
        <v>3</v>
      </c>
    </row>
    <row r="29929" spans="1:10" x14ac:dyDescent="0.25">
      <c r="A29929" t="s">
        <v>338</v>
      </c>
      <c r="B29929" s="1" t="str">
        <f>HYPERLINK("http://sanofi.ph","sanofi.ph")</f>
        <v>sanofi.ph</v>
      </c>
      <c r="C29929" t="s">
        <v>484</v>
      </c>
      <c r="D29929" t="s">
        <v>858</v>
      </c>
      <c r="F29929">
        <v>2.4764217904487399E-8</v>
      </c>
      <c r="G29929">
        <v>2088591</v>
      </c>
      <c r="H29929">
        <v>14120064</v>
      </c>
      <c r="I29929">
        <v>2392209</v>
      </c>
      <c r="J29929">
        <v>2</v>
      </c>
    </row>
    <row r="29930" spans="1:10" x14ac:dyDescent="0.25">
      <c r="A29930" t="s">
        <v>338</v>
      </c>
      <c r="B29930" s="1" t="str">
        <f>HYPERLINK("http://sanofi-aventis.ph","sanofi-aventis.ph")</f>
        <v>sanofi-aventis.ph</v>
      </c>
      <c r="C29930" t="s">
        <v>484</v>
      </c>
      <c r="D29930" t="s">
        <v>858</v>
      </c>
      <c r="F29930">
        <v>6.6109022022444304E-9</v>
      </c>
      <c r="G29930">
        <v>13635720</v>
      </c>
      <c r="H29930">
        <v>13315043</v>
      </c>
      <c r="I29930">
        <v>10762105</v>
      </c>
      <c r="J29930">
        <v>3</v>
      </c>
    </row>
    <row r="29931" spans="1:10" x14ac:dyDescent="0.25">
      <c r="A29931" t="s">
        <v>338</v>
      </c>
      <c r="B29931" s="1" t="str">
        <f>HYPERLINK("http://sanofi.com.pk","sanofi.com.pk")</f>
        <v>sanofi.com.pk</v>
      </c>
      <c r="C29931" t="s">
        <v>485</v>
      </c>
      <c r="D29931" t="s">
        <v>859</v>
      </c>
      <c r="F29931">
        <v>1.2727067671678301E-8</v>
      </c>
      <c r="G29931">
        <v>4765862</v>
      </c>
      <c r="H29931">
        <v>12505580</v>
      </c>
      <c r="I29931">
        <v>17288981</v>
      </c>
      <c r="J29931">
        <v>2</v>
      </c>
    </row>
    <row r="29932" spans="1:10" x14ac:dyDescent="0.25">
      <c r="A29932" t="s">
        <v>338</v>
      </c>
      <c r="B29932" s="1" t="str">
        <f>HYPERLINK("http://sanofi-aventis.com.pl","sanofi-aventis.com.pl")</f>
        <v>sanofi-aventis.com.pl</v>
      </c>
      <c r="C29932" t="s">
        <v>486</v>
      </c>
      <c r="D29932" t="s">
        <v>860</v>
      </c>
      <c r="F29932">
        <v>8.1424955651004495E-9</v>
      </c>
      <c r="G29932">
        <v>9668847</v>
      </c>
      <c r="H29932">
        <v>14488247</v>
      </c>
      <c r="I29932">
        <v>935992</v>
      </c>
      <c r="J29932">
        <v>3</v>
      </c>
    </row>
    <row r="29933" spans="1:10" x14ac:dyDescent="0.25">
      <c r="A29933" t="s">
        <v>338</v>
      </c>
      <c r="B29933" s="1" t="str">
        <f>HYPERLINK("http://sanofi.pl","sanofi.pl")</f>
        <v>sanofi.pl</v>
      </c>
      <c r="C29933" t="s">
        <v>486</v>
      </c>
      <c r="D29933" t="s">
        <v>860</v>
      </c>
      <c r="F29933">
        <v>6.0044441196474999E-8</v>
      </c>
      <c r="G29933">
        <v>735143</v>
      </c>
      <c r="H29933">
        <v>14376085</v>
      </c>
      <c r="I29933">
        <v>1220124</v>
      </c>
      <c r="J29933">
        <v>2</v>
      </c>
    </row>
    <row r="29934" spans="1:10" x14ac:dyDescent="0.25">
      <c r="A29934" t="s">
        <v>338</v>
      </c>
      <c r="B29934" s="1" t="str">
        <f>HYPERLINK("http://sanofi.pt","sanofi.pt")</f>
        <v>sanofi.pt</v>
      </c>
      <c r="C29934" t="s">
        <v>488</v>
      </c>
      <c r="D29934" t="s">
        <v>862</v>
      </c>
      <c r="F29934">
        <v>3.1636149632187398E-8</v>
      </c>
      <c r="G29934">
        <v>1631525</v>
      </c>
      <c r="H29934">
        <v>13772144</v>
      </c>
      <c r="I29934">
        <v>6669881</v>
      </c>
      <c r="J29934">
        <v>2</v>
      </c>
    </row>
    <row r="29935" spans="1:10" x14ac:dyDescent="0.25">
      <c r="A29935" t="s">
        <v>338</v>
      </c>
      <c r="B29935" s="1" t="str">
        <f>HYPERLINK("http://sanofi-aventis.pt","sanofi-aventis.pt")</f>
        <v>sanofi-aventis.pt</v>
      </c>
      <c r="C29935" t="s">
        <v>488</v>
      </c>
      <c r="D29935" t="s">
        <v>862</v>
      </c>
      <c r="F29935">
        <v>4.4493382983716901E-9</v>
      </c>
      <c r="G29935">
        <v>72294987</v>
      </c>
      <c r="H29935">
        <v>10528573</v>
      </c>
      <c r="I29935">
        <v>48779765</v>
      </c>
      <c r="J29935">
        <v>3</v>
      </c>
    </row>
    <row r="29936" spans="1:10" x14ac:dyDescent="0.25">
      <c r="A29936" t="s">
        <v>338</v>
      </c>
      <c r="B29936" s="1" t="str">
        <f>HYPERLINK("http://sanofi.com.py","sanofi.com.py")</f>
        <v>sanofi.com.py</v>
      </c>
      <c r="C29936" t="s">
        <v>489</v>
      </c>
      <c r="D29936" t="s">
        <v>863</v>
      </c>
      <c r="F29936">
        <v>1.19956036119697E-8</v>
      </c>
      <c r="G29936">
        <v>5179485</v>
      </c>
      <c r="H29936">
        <v>12217504</v>
      </c>
      <c r="I29936">
        <v>22844843</v>
      </c>
      <c r="J29936">
        <v>2</v>
      </c>
    </row>
    <row r="29937" spans="1:10" x14ac:dyDescent="0.25">
      <c r="A29937" t="s">
        <v>338</v>
      </c>
      <c r="B29937" s="1" t="str">
        <f>HYPERLINK("http://sanofi.ro","sanofi.ro")</f>
        <v>sanofi.ro</v>
      </c>
      <c r="C29937" t="s">
        <v>491</v>
      </c>
      <c r="D29937" t="s">
        <v>865</v>
      </c>
      <c r="F29937">
        <v>2.18616051192088E-8</v>
      </c>
      <c r="G29937">
        <v>2402536</v>
      </c>
      <c r="H29937">
        <v>12346824</v>
      </c>
      <c r="I29937">
        <v>19820837</v>
      </c>
      <c r="J29937">
        <v>2</v>
      </c>
    </row>
    <row r="29938" spans="1:10" x14ac:dyDescent="0.25">
      <c r="A29938" t="s">
        <v>338</v>
      </c>
      <c r="B29938" s="1" t="str">
        <f>HYPERLINK("http://sanofi.ru","sanofi.ru")</f>
        <v>sanofi.ru</v>
      </c>
      <c r="C29938" t="s">
        <v>493</v>
      </c>
      <c r="D29938" t="s">
        <v>867</v>
      </c>
      <c r="F29938">
        <v>9.9787972415935195E-8</v>
      </c>
      <c r="G29938">
        <v>403390</v>
      </c>
      <c r="H29938">
        <v>13120929</v>
      </c>
      <c r="I29938">
        <v>11989310</v>
      </c>
      <c r="J29938">
        <v>2</v>
      </c>
    </row>
    <row r="29939" spans="1:10" x14ac:dyDescent="0.25">
      <c r="A29939" t="s">
        <v>338</v>
      </c>
      <c r="B29939" s="1" t="str">
        <f>HYPERLINK("http://sanofi.com.sa","sanofi.com.sa")</f>
        <v>sanofi.com.sa</v>
      </c>
      <c r="C29939" t="s">
        <v>494</v>
      </c>
      <c r="D29939" t="s">
        <v>868</v>
      </c>
      <c r="F29939">
        <v>1.1376003941816999E-8</v>
      </c>
      <c r="G29939">
        <v>5590487</v>
      </c>
      <c r="H29939">
        <v>12224611</v>
      </c>
      <c r="I29939">
        <v>22666207</v>
      </c>
      <c r="J29939">
        <v>2</v>
      </c>
    </row>
    <row r="29940" spans="1:10" x14ac:dyDescent="0.25">
      <c r="A29940" t="s">
        <v>338</v>
      </c>
      <c r="B29940" s="1" t="str">
        <f>HYPERLINK("http://sanofi.se","sanofi.se")</f>
        <v>sanofi.se</v>
      </c>
      <c r="C29940" t="s">
        <v>495</v>
      </c>
      <c r="D29940" t="s">
        <v>869</v>
      </c>
      <c r="F29940">
        <v>3.76893896987175E-8</v>
      </c>
      <c r="G29940">
        <v>1373043</v>
      </c>
      <c r="H29940">
        <v>13799958</v>
      </c>
      <c r="I29940">
        <v>6282642</v>
      </c>
      <c r="J29940">
        <v>2</v>
      </c>
    </row>
    <row r="29941" spans="1:10" x14ac:dyDescent="0.25">
      <c r="A29941" t="s">
        <v>338</v>
      </c>
      <c r="B29941" s="1" t="str">
        <f>HYPERLINK("http://sanofi-aventis.se","sanofi-aventis.se")</f>
        <v>sanofi-aventis.se</v>
      </c>
      <c r="C29941" t="s">
        <v>495</v>
      </c>
      <c r="D29941" t="s">
        <v>869</v>
      </c>
      <c r="F29941">
        <v>8.3991529693595894E-9</v>
      </c>
      <c r="G29941">
        <v>9044688</v>
      </c>
      <c r="H29941">
        <v>12645984</v>
      </c>
      <c r="I29941">
        <v>15827519</v>
      </c>
      <c r="J29941">
        <v>3</v>
      </c>
    </row>
    <row r="29942" spans="1:10" x14ac:dyDescent="0.25">
      <c r="A29942" t="s">
        <v>338</v>
      </c>
      <c r="B29942" s="1" t="str">
        <f>HYPERLINK("http://sanofi.com.sg","sanofi.com.sg")</f>
        <v>sanofi.com.sg</v>
      </c>
      <c r="C29942" t="s">
        <v>496</v>
      </c>
      <c r="D29942" t="s">
        <v>870</v>
      </c>
      <c r="F29942">
        <v>1.15962574518829E-8</v>
      </c>
      <c r="G29942">
        <v>5435517</v>
      </c>
      <c r="H29942">
        <v>12659685</v>
      </c>
      <c r="I29942">
        <v>15723504</v>
      </c>
      <c r="J29942">
        <v>2</v>
      </c>
    </row>
    <row r="29943" spans="1:10" x14ac:dyDescent="0.25">
      <c r="A29943" t="s">
        <v>338</v>
      </c>
      <c r="B29943" s="1" t="str">
        <f>HYPERLINK("http://sanofi-aventis.com.sg","sanofi-aventis.com.sg")</f>
        <v>sanofi-aventis.com.sg</v>
      </c>
      <c r="C29943" t="s">
        <v>496</v>
      </c>
      <c r="D29943" t="s">
        <v>870</v>
      </c>
      <c r="J29943">
        <v>3</v>
      </c>
    </row>
    <row r="29944" spans="1:10" x14ac:dyDescent="0.25">
      <c r="A29944" t="s">
        <v>338</v>
      </c>
      <c r="B29944" s="1" t="str">
        <f>HYPERLINK("http://sanofi.sk","sanofi.sk")</f>
        <v>sanofi.sk</v>
      </c>
      <c r="C29944" t="s">
        <v>498</v>
      </c>
      <c r="D29944" t="s">
        <v>872</v>
      </c>
      <c r="F29944">
        <v>2.1955003559335101E-8</v>
      </c>
      <c r="G29944">
        <v>2391578</v>
      </c>
      <c r="H29944">
        <v>12305192</v>
      </c>
      <c r="I29944">
        <v>20730956</v>
      </c>
      <c r="J29944">
        <v>2</v>
      </c>
    </row>
    <row r="29945" spans="1:10" x14ac:dyDescent="0.25">
      <c r="A29945" t="s">
        <v>338</v>
      </c>
      <c r="B29945" s="1" t="str">
        <f>HYPERLINK("http://sanofi.sn","sanofi.sn")</f>
        <v>sanofi.sn</v>
      </c>
      <c r="C29945" t="s">
        <v>551</v>
      </c>
      <c r="D29945" t="s">
        <v>907</v>
      </c>
      <c r="F29945">
        <v>1.22996093546012E-8</v>
      </c>
      <c r="G29945">
        <v>4994437</v>
      </c>
      <c r="H29945">
        <v>12309238</v>
      </c>
      <c r="I29945">
        <v>20636251</v>
      </c>
      <c r="J29945">
        <v>2</v>
      </c>
    </row>
    <row r="29946" spans="1:10" x14ac:dyDescent="0.25">
      <c r="A29946" t="s">
        <v>338</v>
      </c>
      <c r="B29946" s="1" t="str">
        <f>HYPERLINK("http://sanofi.co.th","sanofi.co.th")</f>
        <v>sanofi.co.th</v>
      </c>
      <c r="C29946" t="s">
        <v>500</v>
      </c>
      <c r="D29946" t="s">
        <v>874</v>
      </c>
      <c r="F29946">
        <v>1.16990843521545E-8</v>
      </c>
      <c r="G29946">
        <v>5367039</v>
      </c>
      <c r="H29946">
        <v>12974510</v>
      </c>
      <c r="I29946">
        <v>13019692</v>
      </c>
      <c r="J29946">
        <v>2</v>
      </c>
    </row>
    <row r="29947" spans="1:10" x14ac:dyDescent="0.25">
      <c r="A29947" t="s">
        <v>338</v>
      </c>
      <c r="B29947" s="1" t="str">
        <f>HYPERLINK("http://sanofi-aventis.co.th","sanofi-aventis.co.th")</f>
        <v>sanofi-aventis.co.th</v>
      </c>
      <c r="C29947" t="s">
        <v>500</v>
      </c>
      <c r="D29947" t="s">
        <v>874</v>
      </c>
      <c r="J29947">
        <v>3</v>
      </c>
    </row>
    <row r="29948" spans="1:10" x14ac:dyDescent="0.25">
      <c r="A29948" t="s">
        <v>338</v>
      </c>
      <c r="B29948" s="1" t="str">
        <f>HYPERLINK("http://sanofi.com.tr","sanofi.com.tr")</f>
        <v>sanofi.com.tr</v>
      </c>
      <c r="C29948" t="s">
        <v>502</v>
      </c>
      <c r="D29948" t="s">
        <v>876</v>
      </c>
      <c r="F29948">
        <v>1.8744507743025998E-8</v>
      </c>
      <c r="G29948">
        <v>2881458</v>
      </c>
      <c r="H29948">
        <v>12598273</v>
      </c>
      <c r="I29948">
        <v>16342130</v>
      </c>
      <c r="J29948">
        <v>2</v>
      </c>
    </row>
    <row r="29949" spans="1:10" x14ac:dyDescent="0.25">
      <c r="A29949" t="s">
        <v>338</v>
      </c>
      <c r="B29949" s="1" t="str">
        <f>HYPERLINK("http://sanofi.com.tw","sanofi.com.tw")</f>
        <v>sanofi.com.tw</v>
      </c>
      <c r="C29949" t="s">
        <v>504</v>
      </c>
      <c r="D29949" t="s">
        <v>878</v>
      </c>
      <c r="F29949">
        <v>1.33063189016043E-8</v>
      </c>
      <c r="G29949">
        <v>4490669</v>
      </c>
      <c r="H29949">
        <v>13471488</v>
      </c>
      <c r="I29949">
        <v>10032467</v>
      </c>
      <c r="J29949">
        <v>2</v>
      </c>
    </row>
    <row r="29950" spans="1:10" x14ac:dyDescent="0.25">
      <c r="A29950" t="s">
        <v>338</v>
      </c>
      <c r="B29950" s="1" t="str">
        <f>HYPERLINK("http://sanofi.ua","sanofi.ua")</f>
        <v>sanofi.ua</v>
      </c>
      <c r="C29950" t="s">
        <v>505</v>
      </c>
      <c r="D29950" t="s">
        <v>879</v>
      </c>
      <c r="F29950">
        <v>2.2937544667618601E-8</v>
      </c>
      <c r="G29950">
        <v>2278737</v>
      </c>
      <c r="H29950">
        <v>12873887</v>
      </c>
      <c r="I29950">
        <v>14042437</v>
      </c>
      <c r="J29950">
        <v>2</v>
      </c>
    </row>
    <row r="29951" spans="1:10" x14ac:dyDescent="0.25">
      <c r="A29951" t="s">
        <v>338</v>
      </c>
      <c r="B29951" s="1" t="str">
        <f>HYPERLINK("http://genzyme.co.uk","genzyme.co.uk")</f>
        <v>genzyme.co.uk</v>
      </c>
      <c r="C29951" t="s">
        <v>506</v>
      </c>
      <c r="D29951" t="s">
        <v>880</v>
      </c>
      <c r="F29951">
        <v>8.0430423033918407E-9</v>
      </c>
      <c r="G29951">
        <v>9842676</v>
      </c>
      <c r="H29951">
        <v>13099486</v>
      </c>
      <c r="I29951">
        <v>12107263</v>
      </c>
      <c r="J29951">
        <v>4</v>
      </c>
    </row>
    <row r="29952" spans="1:10" x14ac:dyDescent="0.25">
      <c r="A29952" t="s">
        <v>338</v>
      </c>
      <c r="B29952" s="1" t="str">
        <f>HYPERLINK("http://sanofi.co.uk","sanofi.co.uk")</f>
        <v>sanofi.co.uk</v>
      </c>
      <c r="C29952" t="s">
        <v>506</v>
      </c>
      <c r="D29952" t="s">
        <v>880</v>
      </c>
      <c r="F29952">
        <v>5.4845473231836697E-8</v>
      </c>
      <c r="G29952">
        <v>820645</v>
      </c>
      <c r="H29952">
        <v>14200198</v>
      </c>
      <c r="I29952">
        <v>1723956</v>
      </c>
      <c r="J29952">
        <v>2</v>
      </c>
    </row>
    <row r="29953" spans="1:10" x14ac:dyDescent="0.25">
      <c r="A29953" t="s">
        <v>338</v>
      </c>
      <c r="B29953" s="1" t="str">
        <f>HYPERLINK("http://sanofi.us","sanofi.us")</f>
        <v>sanofi.us</v>
      </c>
      <c r="C29953" t="s">
        <v>522</v>
      </c>
      <c r="D29953" t="s">
        <v>891</v>
      </c>
      <c r="E29953">
        <v>114528</v>
      </c>
      <c r="F29953">
        <v>9.8024813854373298E-7</v>
      </c>
      <c r="G29953">
        <v>39009</v>
      </c>
      <c r="H29953">
        <v>15202067</v>
      </c>
      <c r="I29953">
        <v>395485</v>
      </c>
      <c r="J29953">
        <v>2</v>
      </c>
    </row>
    <row r="29954" spans="1:10" x14ac:dyDescent="0.25">
      <c r="A29954" t="s">
        <v>338</v>
      </c>
      <c r="B29954" s="1" t="str">
        <f>HYPERLINK("http://sanofi-aventis.us","sanofi-aventis.us")</f>
        <v>sanofi-aventis.us</v>
      </c>
      <c r="C29954" t="s">
        <v>522</v>
      </c>
      <c r="D29954" t="s">
        <v>891</v>
      </c>
      <c r="E29954">
        <v>929978</v>
      </c>
      <c r="F29954">
        <v>1.27958405988112E-7</v>
      </c>
      <c r="G29954">
        <v>306681</v>
      </c>
      <c r="H29954">
        <v>14861065</v>
      </c>
      <c r="I29954">
        <v>484209</v>
      </c>
      <c r="J29954">
        <v>3</v>
      </c>
    </row>
    <row r="29955" spans="1:10" x14ac:dyDescent="0.25">
      <c r="A29955" t="s">
        <v>338</v>
      </c>
      <c r="B29955" s="1" t="str">
        <f>HYPERLINK("http://sanofipasteur.us","sanofipasteur.us")</f>
        <v>sanofipasteur.us</v>
      </c>
      <c r="C29955" t="s">
        <v>522</v>
      </c>
      <c r="D29955" t="s">
        <v>891</v>
      </c>
      <c r="F29955">
        <v>6.3364934417244205E-8</v>
      </c>
      <c r="G29955">
        <v>686210</v>
      </c>
      <c r="H29955">
        <v>14317014</v>
      </c>
      <c r="I29955">
        <v>1334611</v>
      </c>
      <c r="J29955">
        <v>3</v>
      </c>
    </row>
    <row r="29956" spans="1:10" x14ac:dyDescent="0.25">
      <c r="A29956" t="s">
        <v>338</v>
      </c>
      <c r="B29956" s="1" t="str">
        <f>HYPERLINK("http://sanofi.com.uy","sanofi.com.uy")</f>
        <v>sanofi.com.uy</v>
      </c>
      <c r="C29956" t="s">
        <v>507</v>
      </c>
      <c r="D29956" t="s">
        <v>881</v>
      </c>
      <c r="F29956">
        <v>1.24669683603275E-8</v>
      </c>
      <c r="G29956">
        <v>4903125</v>
      </c>
      <c r="H29956">
        <v>12240569</v>
      </c>
      <c r="I29956">
        <v>22242359</v>
      </c>
      <c r="J29956">
        <v>2</v>
      </c>
    </row>
    <row r="29957" spans="1:10" x14ac:dyDescent="0.25">
      <c r="A29957" t="s">
        <v>338</v>
      </c>
      <c r="B29957" s="1" t="str">
        <f>HYPERLINK("http://sanofi.uz","sanofi.uz")</f>
        <v>sanofi.uz</v>
      </c>
      <c r="C29957" t="s">
        <v>560</v>
      </c>
      <c r="D29957" t="s">
        <v>910</v>
      </c>
      <c r="F29957">
        <v>1.1575695485559899E-8</v>
      </c>
      <c r="G29957">
        <v>5450194</v>
      </c>
      <c r="H29957">
        <v>12283993</v>
      </c>
      <c r="I29957">
        <v>21231067</v>
      </c>
      <c r="J29957">
        <v>2</v>
      </c>
    </row>
    <row r="29958" spans="1:10" x14ac:dyDescent="0.25">
      <c r="A29958" t="s">
        <v>338</v>
      </c>
      <c r="B29958" s="1" t="str">
        <f>HYPERLINK("http://sanofi.com.ve","sanofi.com.ve")</f>
        <v>sanofi.com.ve</v>
      </c>
      <c r="C29958" t="s">
        <v>508</v>
      </c>
      <c r="D29958" t="s">
        <v>882</v>
      </c>
      <c r="F29958">
        <v>1.40631598745267E-8</v>
      </c>
      <c r="G29958">
        <v>4179201</v>
      </c>
      <c r="H29958">
        <v>12801372</v>
      </c>
      <c r="I29958">
        <v>14632351</v>
      </c>
      <c r="J29958">
        <v>2</v>
      </c>
    </row>
    <row r="29959" spans="1:10" x14ac:dyDescent="0.25">
      <c r="A29959" t="s">
        <v>338</v>
      </c>
      <c r="B29959" s="1" t="str">
        <f>HYPERLINK("http://sanofi-aventis.com.ve","sanofi-aventis.com.ve")</f>
        <v>sanofi-aventis.com.ve</v>
      </c>
      <c r="C29959" t="s">
        <v>508</v>
      </c>
      <c r="D29959" t="s">
        <v>882</v>
      </c>
      <c r="F29959">
        <v>4.4709302770660603E-9</v>
      </c>
      <c r="G29959">
        <v>64344628</v>
      </c>
      <c r="H29959">
        <v>10731497</v>
      </c>
      <c r="I29959">
        <v>40854500</v>
      </c>
      <c r="J29959">
        <v>3</v>
      </c>
    </row>
    <row r="29960" spans="1:10" x14ac:dyDescent="0.25">
      <c r="A29960" t="s">
        <v>338</v>
      </c>
      <c r="B29960" s="1" t="str">
        <f>HYPERLINK("http://sanofi.com.vn","sanofi.com.vn")</f>
        <v>sanofi.com.vn</v>
      </c>
      <c r="C29960" t="s">
        <v>509</v>
      </c>
      <c r="D29960" t="s">
        <v>883</v>
      </c>
      <c r="F29960">
        <v>4.8009480799144303E-8</v>
      </c>
      <c r="G29960">
        <v>968367</v>
      </c>
      <c r="H29960">
        <v>12887806</v>
      </c>
      <c r="I29960">
        <v>13950463</v>
      </c>
      <c r="J29960">
        <v>2</v>
      </c>
    </row>
    <row r="29961" spans="1:10" x14ac:dyDescent="0.25">
      <c r="A29961" t="s">
        <v>338</v>
      </c>
      <c r="B29961" s="1" t="str">
        <f>HYPERLINK("http://sanofi-aventis.com.vn","sanofi-aventis.com.vn")</f>
        <v>sanofi-aventis.com.vn</v>
      </c>
      <c r="C29961" t="s">
        <v>509</v>
      </c>
      <c r="D29961" t="s">
        <v>883</v>
      </c>
      <c r="F29961">
        <v>4.9562506867675896E-9</v>
      </c>
      <c r="G29961">
        <v>30613635</v>
      </c>
      <c r="H29961">
        <v>12077342</v>
      </c>
      <c r="I29961">
        <v>26622754</v>
      </c>
      <c r="J29961">
        <v>3</v>
      </c>
    </row>
    <row r="29962" spans="1:10" x14ac:dyDescent="0.25">
      <c r="A29962" t="s">
        <v>338</v>
      </c>
      <c r="B29962" s="1" t="str">
        <f>HYPERLINK("http://sanofi.co.za","sanofi.co.za")</f>
        <v>sanofi.co.za</v>
      </c>
      <c r="C29962" t="s">
        <v>510</v>
      </c>
      <c r="D29962" t="s">
        <v>884</v>
      </c>
      <c r="F29962">
        <v>7.4554070924356702E-8</v>
      </c>
      <c r="G29962">
        <v>564352</v>
      </c>
      <c r="H29962">
        <v>13698148</v>
      </c>
      <c r="I29962">
        <v>9516424</v>
      </c>
      <c r="J29962">
        <v>2</v>
      </c>
    </row>
    <row r="29963" spans="1:10" x14ac:dyDescent="0.25">
      <c r="A29963" t="s">
        <v>1651</v>
      </c>
      <c r="B29963" s="1" t="str">
        <f>HYPERLINK("http://maaden.com.sa","maaden.com.sa")</f>
        <v>maaden.com.sa</v>
      </c>
      <c r="C29963" t="s">
        <v>494</v>
      </c>
      <c r="D29963" t="s">
        <v>868</v>
      </c>
      <c r="E29963">
        <v>233868</v>
      </c>
      <c r="F29963">
        <v>8.0381357278241901E-8</v>
      </c>
      <c r="G29963">
        <v>519577</v>
      </c>
      <c r="H29963">
        <v>14145453</v>
      </c>
      <c r="I29963">
        <v>1900221</v>
      </c>
      <c r="J29963">
        <v>1</v>
      </c>
    </row>
    <row r="29964" spans="1:10" x14ac:dyDescent="0.25">
      <c r="A29964" t="s">
        <v>339</v>
      </c>
      <c r="B29964" s="1" t="str">
        <f>HYPERLINK("http://lanxess.ae","lanxess.ae")</f>
        <v>lanxess.ae</v>
      </c>
      <c r="C29964" t="s">
        <v>417</v>
      </c>
      <c r="D29964" t="s">
        <v>799</v>
      </c>
      <c r="J29964">
        <v>7</v>
      </c>
    </row>
    <row r="29965" spans="1:10" x14ac:dyDescent="0.25">
      <c r="A29965" t="s">
        <v>339</v>
      </c>
      <c r="B29965" s="1" t="str">
        <f>HYPERLINK("http://vela.ae","vela.ae")</f>
        <v>vela.ae</v>
      </c>
      <c r="C29965" t="s">
        <v>417</v>
      </c>
      <c r="D29965" t="s">
        <v>799</v>
      </c>
      <c r="F29965">
        <v>5.0554989407993203E-9</v>
      </c>
      <c r="G29965">
        <v>28100729</v>
      </c>
      <c r="H29965">
        <v>14071795</v>
      </c>
      <c r="I29965">
        <v>3334962</v>
      </c>
      <c r="J29965">
        <v>4</v>
      </c>
    </row>
    <row r="29966" spans="1:10" x14ac:dyDescent="0.25">
      <c r="A29966" t="s">
        <v>339</v>
      </c>
      <c r="B29966" s="1" t="str">
        <f>HYPERLINK("http://lanxess.com.ar","lanxess.com.ar")</f>
        <v>lanxess.com.ar</v>
      </c>
      <c r="C29966" t="s">
        <v>418</v>
      </c>
      <c r="D29966" t="s">
        <v>800</v>
      </c>
      <c r="F29966">
        <v>4.7161932419008598E-9</v>
      </c>
      <c r="G29966">
        <v>40403650</v>
      </c>
      <c r="H29966">
        <v>10828598</v>
      </c>
      <c r="I29966">
        <v>37431267</v>
      </c>
      <c r="J29966">
        <v>6</v>
      </c>
    </row>
    <row r="29967" spans="1:10" x14ac:dyDescent="0.25">
      <c r="A29967" t="s">
        <v>339</v>
      </c>
      <c r="B29967" s="1" t="str">
        <f>HYPERLINK("http://lanxess.at","lanxess.at")</f>
        <v>lanxess.at</v>
      </c>
      <c r="C29967" t="s">
        <v>419</v>
      </c>
      <c r="D29967" t="s">
        <v>801</v>
      </c>
      <c r="F29967">
        <v>4.6115990222218099E-9</v>
      </c>
      <c r="G29967">
        <v>46729740</v>
      </c>
      <c r="H29967">
        <v>9305487</v>
      </c>
      <c r="I29967">
        <v>68446071</v>
      </c>
      <c r="J29967">
        <v>7</v>
      </c>
    </row>
    <row r="29968" spans="1:10" x14ac:dyDescent="0.25">
      <c r="A29968" t="s">
        <v>339</v>
      </c>
      <c r="B29968" s="1" t="str">
        <f>HYPERLINK("http://lanxess.com.au","lanxess.com.au")</f>
        <v>lanxess.com.au</v>
      </c>
      <c r="C29968" t="s">
        <v>420</v>
      </c>
      <c r="D29968" t="s">
        <v>802</v>
      </c>
      <c r="F29968">
        <v>1.1563444120790799E-8</v>
      </c>
      <c r="G29968">
        <v>5458522</v>
      </c>
      <c r="H29968">
        <v>11004766</v>
      </c>
      <c r="I29968">
        <v>33495299</v>
      </c>
      <c r="J29968">
        <v>6</v>
      </c>
    </row>
    <row r="29969" spans="1:10" x14ac:dyDescent="0.25">
      <c r="A29969" t="s">
        <v>339</v>
      </c>
      <c r="B29969" s="1" t="str">
        <f>HYPERLINK("http://lanxess.be","lanxess.be")</f>
        <v>lanxess.be</v>
      </c>
      <c r="C29969" t="s">
        <v>421</v>
      </c>
      <c r="D29969" t="s">
        <v>803</v>
      </c>
      <c r="F29969">
        <v>1.94618578432525E-8</v>
      </c>
      <c r="G29969">
        <v>2751841</v>
      </c>
      <c r="H29969">
        <v>12269225</v>
      </c>
      <c r="I29969">
        <v>21539778</v>
      </c>
      <c r="J29969">
        <v>5</v>
      </c>
    </row>
    <row r="29970" spans="1:10" x14ac:dyDescent="0.25">
      <c r="A29970" t="s">
        <v>339</v>
      </c>
      <c r="B29970" s="1" t="str">
        <f>HYPERLINK("http://lanxess.com.br","lanxess.com.br")</f>
        <v>lanxess.com.br</v>
      </c>
      <c r="C29970" t="s">
        <v>425</v>
      </c>
      <c r="D29970" t="s">
        <v>806</v>
      </c>
      <c r="F29970">
        <v>1.9583768572415701E-8</v>
      </c>
      <c r="G29970">
        <v>2730672</v>
      </c>
      <c r="H29970">
        <v>14073224</v>
      </c>
      <c r="I29970">
        <v>3008364</v>
      </c>
      <c r="J29970">
        <v>6</v>
      </c>
    </row>
    <row r="29971" spans="1:10" x14ac:dyDescent="0.25">
      <c r="A29971" t="s">
        <v>339</v>
      </c>
      <c r="B29971" s="1" t="str">
        <f>HYPERLINK("http://lanxess.ca","lanxess.ca")</f>
        <v>lanxess.ca</v>
      </c>
      <c r="C29971" t="s">
        <v>428</v>
      </c>
      <c r="D29971" t="s">
        <v>809</v>
      </c>
      <c r="F29971">
        <v>1.78325743779424E-8</v>
      </c>
      <c r="G29971">
        <v>3067819</v>
      </c>
      <c r="H29971">
        <v>13941443</v>
      </c>
      <c r="I29971">
        <v>4347447</v>
      </c>
      <c r="J29971">
        <v>6</v>
      </c>
    </row>
    <row r="29972" spans="1:10" x14ac:dyDescent="0.25">
      <c r="A29972" t="s">
        <v>339</v>
      </c>
      <c r="B29972" s="1" t="str">
        <f>HYPERLINK("http://lanxess.cn","lanxess.cn")</f>
        <v>lanxess.cn</v>
      </c>
      <c r="C29972" t="s">
        <v>431</v>
      </c>
      <c r="D29972" t="s">
        <v>812</v>
      </c>
      <c r="F29972">
        <v>3.4925957830554703E-8</v>
      </c>
      <c r="G29972">
        <v>1487171</v>
      </c>
      <c r="H29972">
        <v>14078208</v>
      </c>
      <c r="I29972">
        <v>2850605</v>
      </c>
      <c r="J29972">
        <v>6</v>
      </c>
    </row>
    <row r="29973" spans="1:10" x14ac:dyDescent="0.25">
      <c r="A29973" t="s">
        <v>339</v>
      </c>
      <c r="B29973" s="1" t="str">
        <f>HYPERLINK("http://aramco.com","aramco.com")</f>
        <v>aramco.com</v>
      </c>
      <c r="C29973" t="s">
        <v>433</v>
      </c>
      <c r="E29973">
        <v>34221</v>
      </c>
      <c r="F29973">
        <v>8.7628973869191604E-7</v>
      </c>
      <c r="G29973">
        <v>45758</v>
      </c>
      <c r="H29973">
        <v>14775319</v>
      </c>
      <c r="I29973">
        <v>556133</v>
      </c>
      <c r="J29973">
        <v>1</v>
      </c>
    </row>
    <row r="29974" spans="1:10" x14ac:dyDescent="0.25">
      <c r="A29974" t="s">
        <v>339</v>
      </c>
      <c r="B29974" s="1" t="str">
        <f>HYPERLINK("http://aramcoamericas.com","aramcoamericas.com")</f>
        <v>aramcoamericas.com</v>
      </c>
      <c r="C29974" t="s">
        <v>433</v>
      </c>
      <c r="F29974">
        <v>4.9079944357357698E-9</v>
      </c>
      <c r="G29974">
        <v>32235282</v>
      </c>
      <c r="H29974">
        <v>10693715</v>
      </c>
      <c r="I29974">
        <v>42434070</v>
      </c>
      <c r="J29974">
        <v>5</v>
      </c>
    </row>
    <row r="29975" spans="1:10" x14ac:dyDescent="0.25">
      <c r="A29975" t="s">
        <v>339</v>
      </c>
      <c r="B29975" s="1" t="str">
        <f>HYPERLINK("http://aramcoservices.com","aramcoservices.com")</f>
        <v>aramcoservices.com</v>
      </c>
      <c r="C29975" t="s">
        <v>433</v>
      </c>
      <c r="E29975">
        <v>425241</v>
      </c>
      <c r="F29975">
        <v>6.7186765704183805E-8</v>
      </c>
      <c r="G29975">
        <v>636475</v>
      </c>
      <c r="H29975">
        <v>14879815</v>
      </c>
      <c r="I29975">
        <v>472910</v>
      </c>
      <c r="J29975">
        <v>3</v>
      </c>
    </row>
    <row r="29976" spans="1:10" x14ac:dyDescent="0.25">
      <c r="A29976" t="s">
        <v>339</v>
      </c>
      <c r="B29976" s="1" t="str">
        <f>HYPERLINK("http://aramcotrading.com","aramcotrading.com")</f>
        <v>aramcotrading.com</v>
      </c>
      <c r="C29976" t="s">
        <v>433</v>
      </c>
      <c r="F29976">
        <v>1.08656208864256E-8</v>
      </c>
      <c r="G29976">
        <v>5968796</v>
      </c>
      <c r="H29976">
        <v>12990277</v>
      </c>
      <c r="I29976">
        <v>12858008</v>
      </c>
      <c r="J29976">
        <v>3</v>
      </c>
    </row>
    <row r="29977" spans="1:10" x14ac:dyDescent="0.25">
      <c r="A29977" t="s">
        <v>339</v>
      </c>
      <c r="B29977" s="1" t="str">
        <f>HYPERLINK("http://aramcoventures.com","aramcoventures.com")</f>
        <v>aramcoventures.com</v>
      </c>
      <c r="C29977" t="s">
        <v>433</v>
      </c>
      <c r="F29977">
        <v>1.5724139210202201E-8</v>
      </c>
      <c r="G29977">
        <v>3620521</v>
      </c>
      <c r="H29977">
        <v>13493935</v>
      </c>
      <c r="I29977">
        <v>9981911</v>
      </c>
      <c r="J29977">
        <v>6</v>
      </c>
    </row>
    <row r="29978" spans="1:10" x14ac:dyDescent="0.25">
      <c r="A29978" t="s">
        <v>339</v>
      </c>
      <c r="B29978" s="1" t="str">
        <f>HYPERLINK("http://arlanxeo.com","arlanxeo.com")</f>
        <v>arlanxeo.com</v>
      </c>
      <c r="C29978" t="s">
        <v>433</v>
      </c>
      <c r="E29978">
        <v>970458</v>
      </c>
      <c r="F29978">
        <v>5.0284413383422802E-8</v>
      </c>
      <c r="G29978">
        <v>914651</v>
      </c>
      <c r="H29978">
        <v>13328029</v>
      </c>
      <c r="I29978">
        <v>10726035</v>
      </c>
      <c r="J29978">
        <v>3</v>
      </c>
    </row>
    <row r="29979" spans="1:10" x14ac:dyDescent="0.25">
      <c r="A29979" t="s">
        <v>339</v>
      </c>
      <c r="B29979" s="1" t="str">
        <f>HYPERLINK("http://bond-laminates.com","bond-laminates.com")</f>
        <v>bond-laminates.com</v>
      </c>
      <c r="C29979" t="s">
        <v>433</v>
      </c>
      <c r="F29979">
        <v>1.3848588237836401E-8</v>
      </c>
      <c r="G29979">
        <v>4261101</v>
      </c>
      <c r="H29979">
        <v>12566925</v>
      </c>
      <c r="I29979">
        <v>16652414</v>
      </c>
      <c r="J29979">
        <v>14</v>
      </c>
    </row>
    <row r="29980" spans="1:10" x14ac:dyDescent="0.25">
      <c r="A29980" t="s">
        <v>339</v>
      </c>
      <c r="B29980" s="1" t="str">
        <f>HYPERLINK("http://cromptoncorp.com","cromptoncorp.com")</f>
        <v>cromptoncorp.com</v>
      </c>
      <c r="C29980" t="s">
        <v>433</v>
      </c>
      <c r="F29980">
        <v>8.6268038929430695E-9</v>
      </c>
      <c r="G29980">
        <v>8608031</v>
      </c>
      <c r="H29980">
        <v>13209172</v>
      </c>
      <c r="I29980">
        <v>11507420</v>
      </c>
      <c r="J29980">
        <v>11</v>
      </c>
    </row>
    <row r="29981" spans="1:10" x14ac:dyDescent="0.25">
      <c r="A29981" t="s">
        <v>339</v>
      </c>
      <c r="B29981" s="1" t="str">
        <f>HYPERLINK("http://jhah.com","jhah.com")</f>
        <v>jhah.com</v>
      </c>
      <c r="C29981" t="s">
        <v>433</v>
      </c>
      <c r="E29981">
        <v>278682</v>
      </c>
      <c r="F29981">
        <v>1.9324860653457902E-8</v>
      </c>
      <c r="G29981">
        <v>2778070</v>
      </c>
      <c r="H29981">
        <v>13322901</v>
      </c>
      <c r="I29981">
        <v>10738657</v>
      </c>
      <c r="J29981">
        <v>3</v>
      </c>
    </row>
    <row r="29982" spans="1:10" x14ac:dyDescent="0.25">
      <c r="A29982" t="s">
        <v>339</v>
      </c>
      <c r="B29982" s="1" t="str">
        <f>HYPERLINK("http://lanxess.com","lanxess.com")</f>
        <v>lanxess.com</v>
      </c>
      <c r="C29982" t="s">
        <v>433</v>
      </c>
      <c r="E29982">
        <v>71024</v>
      </c>
      <c r="F29982">
        <v>7.2065901967236304E-7</v>
      </c>
      <c r="G29982">
        <v>53881</v>
      </c>
      <c r="H29982">
        <v>15072963</v>
      </c>
      <c r="I29982">
        <v>410685</v>
      </c>
      <c r="J29982">
        <v>6</v>
      </c>
    </row>
    <row r="29983" spans="1:10" x14ac:dyDescent="0.25">
      <c r="A29983" t="s">
        <v>339</v>
      </c>
      <c r="B29983" s="1" t="str">
        <f>HYPERLINK("http://motiva.com","motiva.com")</f>
        <v>motiva.com</v>
      </c>
      <c r="C29983" t="s">
        <v>433</v>
      </c>
      <c r="E29983">
        <v>785399</v>
      </c>
      <c r="F29983">
        <v>6.3736345669741305E-8</v>
      </c>
      <c r="G29983">
        <v>680840</v>
      </c>
      <c r="H29983">
        <v>14514414</v>
      </c>
      <c r="I29983">
        <v>815292</v>
      </c>
      <c r="J29983">
        <v>3</v>
      </c>
    </row>
    <row r="29984" spans="1:10" x14ac:dyDescent="0.25">
      <c r="A29984" t="s">
        <v>339</v>
      </c>
      <c r="B29984" s="1" t="str">
        <f>HYPERLINK("http://s-oil.com","s-oil.com")</f>
        <v>s-oil.com</v>
      </c>
      <c r="C29984" t="s">
        <v>433</v>
      </c>
      <c r="E29984">
        <v>814907</v>
      </c>
      <c r="F29984">
        <v>7.7068614340297303E-8</v>
      </c>
      <c r="G29984">
        <v>543522</v>
      </c>
      <c r="H29984">
        <v>14218164</v>
      </c>
      <c r="I29984">
        <v>1689409</v>
      </c>
      <c r="J29984">
        <v>3</v>
      </c>
    </row>
    <row r="29985" spans="1:10" x14ac:dyDescent="0.25">
      <c r="A29985" t="s">
        <v>339</v>
      </c>
      <c r="B29985" s="1" t="str">
        <f>HYPERLINK("http://sabic.com","sabic.com")</f>
        <v>sabic.com</v>
      </c>
      <c r="C29985" t="s">
        <v>433</v>
      </c>
      <c r="E29985">
        <v>16832</v>
      </c>
      <c r="F29985">
        <v>5.7443188494397205E-7</v>
      </c>
      <c r="G29985">
        <v>66499</v>
      </c>
      <c r="H29985">
        <v>14814124</v>
      </c>
      <c r="I29985">
        <v>526813</v>
      </c>
      <c r="J29985">
        <v>2</v>
      </c>
    </row>
    <row r="29986" spans="1:10" x14ac:dyDescent="0.25">
      <c r="A29986" t="s">
        <v>339</v>
      </c>
      <c r="B29986" s="1" t="str">
        <f>HYPERLINK("http://sabic-europe.com","sabic-europe.com")</f>
        <v>sabic-europe.com</v>
      </c>
      <c r="C29986" t="s">
        <v>433</v>
      </c>
      <c r="F29986">
        <v>1.4663154706505699E-8</v>
      </c>
      <c r="G29986">
        <v>3953752</v>
      </c>
      <c r="H29986">
        <v>12772887</v>
      </c>
      <c r="I29986">
        <v>14820620</v>
      </c>
      <c r="J29986">
        <v>3</v>
      </c>
    </row>
    <row r="29987" spans="1:10" x14ac:dyDescent="0.25">
      <c r="A29987" t="s">
        <v>339</v>
      </c>
      <c r="B29987" s="1" t="str">
        <f>HYPERLINK("http://sabic-ip.com","sabic-ip.com")</f>
        <v>sabic-ip.com</v>
      </c>
      <c r="C29987" t="s">
        <v>433</v>
      </c>
      <c r="E29987">
        <v>587810</v>
      </c>
      <c r="F29987">
        <v>5.2288138493694499E-8</v>
      </c>
      <c r="G29987">
        <v>872602</v>
      </c>
      <c r="H29987">
        <v>14460130</v>
      </c>
      <c r="I29987">
        <v>1047297</v>
      </c>
      <c r="J29987">
        <v>3</v>
      </c>
    </row>
    <row r="29988" spans="1:10" x14ac:dyDescent="0.25">
      <c r="A29988" t="s">
        <v>339</v>
      </c>
      <c r="B29988" s="1" t="str">
        <f>HYPERLINK("http://sadco.com","sadco.com")</f>
        <v>sadco.com</v>
      </c>
      <c r="C29988" t="s">
        <v>433</v>
      </c>
      <c r="F29988">
        <v>7.4199863244616202E-9</v>
      </c>
      <c r="G29988">
        <v>11196417</v>
      </c>
      <c r="H29988">
        <v>12295708</v>
      </c>
      <c r="I29988">
        <v>20951947</v>
      </c>
      <c r="J29988">
        <v>3</v>
      </c>
    </row>
    <row r="29989" spans="1:10" x14ac:dyDescent="0.25">
      <c r="A29989" t="s">
        <v>339</v>
      </c>
      <c r="B29989" s="1" t="str">
        <f>HYPERLINK("http://saev.com","saev.com")</f>
        <v>saev.com</v>
      </c>
      <c r="C29989" t="s">
        <v>433</v>
      </c>
      <c r="F29989">
        <v>3.5198167418919797E-8</v>
      </c>
      <c r="G29989">
        <v>1477071</v>
      </c>
      <c r="H29989">
        <v>13310152</v>
      </c>
      <c r="I29989">
        <v>10777227</v>
      </c>
      <c r="J29989">
        <v>3</v>
      </c>
    </row>
    <row r="29990" spans="1:10" x14ac:dyDescent="0.25">
      <c r="A29990" t="s">
        <v>339</v>
      </c>
      <c r="B29990" s="1" t="str">
        <f>HYPERLINK("http://saltigo.com","saltigo.com")</f>
        <v>saltigo.com</v>
      </c>
      <c r="C29990" t="s">
        <v>433</v>
      </c>
      <c r="F29990">
        <v>1.6898414169639401E-8</v>
      </c>
      <c r="G29990">
        <v>3307607</v>
      </c>
      <c r="H29990">
        <v>14076597</v>
      </c>
      <c r="I29990">
        <v>2883675</v>
      </c>
      <c r="J29990">
        <v>10</v>
      </c>
    </row>
    <row r="29991" spans="1:10" x14ac:dyDescent="0.25">
      <c r="A29991" t="s">
        <v>339</v>
      </c>
      <c r="B29991" s="1" t="str">
        <f>HYPERLINK("http://satorp.com","satorp.com")</f>
        <v>satorp.com</v>
      </c>
      <c r="C29991" t="s">
        <v>433</v>
      </c>
      <c r="E29991">
        <v>350405</v>
      </c>
      <c r="F29991">
        <v>1.5083986750739099E-8</v>
      </c>
      <c r="G29991">
        <v>3812782</v>
      </c>
      <c r="H29991">
        <v>14243837</v>
      </c>
      <c r="I29991">
        <v>1475060</v>
      </c>
      <c r="J29991">
        <v>4</v>
      </c>
    </row>
    <row r="29992" spans="1:10" x14ac:dyDescent="0.25">
      <c r="A29992" t="s">
        <v>339</v>
      </c>
      <c r="B29992" s="1" t="str">
        <f>HYPERLINK("http://saudiaramco.com","saudiaramco.com")</f>
        <v>saudiaramco.com</v>
      </c>
      <c r="C29992" t="s">
        <v>433</v>
      </c>
      <c r="E29992">
        <v>99247</v>
      </c>
      <c r="F29992">
        <v>5.56156186989251E-7</v>
      </c>
      <c r="G29992">
        <v>69688</v>
      </c>
      <c r="H29992">
        <v>15091844</v>
      </c>
      <c r="I29992">
        <v>407773</v>
      </c>
      <c r="J29992">
        <v>3</v>
      </c>
    </row>
    <row r="29993" spans="1:10" x14ac:dyDescent="0.25">
      <c r="A29993" t="s">
        <v>339</v>
      </c>
      <c r="B29993" s="1" t="str">
        <f>HYPERLINK("http://saudikayan.com","saudikayan.com")</f>
        <v>saudikayan.com</v>
      </c>
      <c r="C29993" t="s">
        <v>433</v>
      </c>
      <c r="F29993">
        <v>9.6388177580461199E-9</v>
      </c>
      <c r="G29993">
        <v>7152751</v>
      </c>
      <c r="H29993">
        <v>13559160</v>
      </c>
      <c r="I29993">
        <v>9858157</v>
      </c>
      <c r="J29993">
        <v>5</v>
      </c>
    </row>
    <row r="29994" spans="1:10" x14ac:dyDescent="0.25">
      <c r="A29994" t="s">
        <v>339</v>
      </c>
      <c r="B29994" s="1" t="str">
        <f>HYPERLINK("http://scidesign.com","scidesign.com")</f>
        <v>scidesign.com</v>
      </c>
      <c r="C29994" t="s">
        <v>433</v>
      </c>
      <c r="F29994">
        <v>1.08785559122176E-8</v>
      </c>
      <c r="G29994">
        <v>5959101</v>
      </c>
      <c r="H29994">
        <v>14415809</v>
      </c>
      <c r="I29994">
        <v>1109734</v>
      </c>
      <c r="J29994">
        <v>3</v>
      </c>
    </row>
    <row r="29995" spans="1:10" x14ac:dyDescent="0.25">
      <c r="A29995" t="s">
        <v>339</v>
      </c>
      <c r="B29995" s="1" t="str">
        <f>HYPERLINK("http://vpsm1.com","vpsm1.com")</f>
        <v>vpsm1.com</v>
      </c>
      <c r="C29995" t="s">
        <v>433</v>
      </c>
      <c r="F29995">
        <v>4.4527455245754898E-9</v>
      </c>
      <c r="G29995">
        <v>70519663</v>
      </c>
      <c r="H29995">
        <v>10355066</v>
      </c>
      <c r="I29995">
        <v>55783043</v>
      </c>
      <c r="J29995">
        <v>4</v>
      </c>
    </row>
    <row r="29996" spans="1:10" x14ac:dyDescent="0.25">
      <c r="A29996" t="s">
        <v>339</v>
      </c>
      <c r="B29996" s="1" t="str">
        <f>HYPERLINK("http://yasref.com","yasref.com")</f>
        <v>yasref.com</v>
      </c>
      <c r="C29996" t="s">
        <v>433</v>
      </c>
      <c r="F29996">
        <v>1.41303967157133E-8</v>
      </c>
      <c r="G29996">
        <v>4154541</v>
      </c>
      <c r="H29996">
        <v>13876488</v>
      </c>
      <c r="I29996">
        <v>5989092</v>
      </c>
      <c r="J29996">
        <v>4</v>
      </c>
    </row>
    <row r="29997" spans="1:10" x14ac:dyDescent="0.25">
      <c r="A29997" t="s">
        <v>339</v>
      </c>
      <c r="B29997" s="1" t="str">
        <f>HYPERLINK("http://lanxess.cz","lanxess.cz")</f>
        <v>lanxess.cz</v>
      </c>
      <c r="C29997" t="s">
        <v>435</v>
      </c>
      <c r="D29997" t="s">
        <v>814</v>
      </c>
      <c r="F29997">
        <v>4.6257568962978297E-9</v>
      </c>
      <c r="G29997">
        <v>45723351</v>
      </c>
      <c r="H29997">
        <v>10646511</v>
      </c>
      <c r="I29997">
        <v>43658313</v>
      </c>
      <c r="J29997">
        <v>7</v>
      </c>
    </row>
    <row r="29998" spans="1:10" x14ac:dyDescent="0.25">
      <c r="A29998" t="s">
        <v>339</v>
      </c>
      <c r="B29998" s="1" t="str">
        <f>HYPERLINK("http://arlanxeo.de","arlanxeo.de")</f>
        <v>arlanxeo.de</v>
      </c>
      <c r="C29998" t="s">
        <v>436</v>
      </c>
      <c r="D29998" t="s">
        <v>815</v>
      </c>
      <c r="F29998">
        <v>6.5826571783777701E-9</v>
      </c>
      <c r="G29998">
        <v>13743405</v>
      </c>
      <c r="H29998">
        <v>11392292</v>
      </c>
      <c r="I29998">
        <v>30245941</v>
      </c>
      <c r="J29998">
        <v>3</v>
      </c>
    </row>
    <row r="29999" spans="1:10" x14ac:dyDescent="0.25">
      <c r="A29999" t="s">
        <v>339</v>
      </c>
      <c r="B29999" s="1" t="str">
        <f>HYPERLINK("http://ausbildung-lanxess.de","ausbildung-lanxess.de")</f>
        <v>ausbildung-lanxess.de</v>
      </c>
      <c r="C29999" t="s">
        <v>436</v>
      </c>
      <c r="D29999" t="s">
        <v>815</v>
      </c>
      <c r="F29999">
        <v>7.8628737395736805E-9</v>
      </c>
      <c r="G29999">
        <v>10186583</v>
      </c>
      <c r="H29999">
        <v>10896757</v>
      </c>
      <c r="I29999">
        <v>35913034</v>
      </c>
      <c r="J29999">
        <v>8</v>
      </c>
    </row>
    <row r="30000" spans="1:10" x14ac:dyDescent="0.25">
      <c r="A30000" t="s">
        <v>339</v>
      </c>
      <c r="B30000" s="1" t="str">
        <f>HYPERLINK("http://bond-laminates.de","bond-laminates.de")</f>
        <v>bond-laminates.de</v>
      </c>
      <c r="C30000" t="s">
        <v>436</v>
      </c>
      <c r="D30000" t="s">
        <v>815</v>
      </c>
      <c r="F30000">
        <v>1.9657725709326799E-8</v>
      </c>
      <c r="G30000">
        <v>2717918</v>
      </c>
      <c r="H30000">
        <v>12648371</v>
      </c>
      <c r="I30000">
        <v>15812157</v>
      </c>
      <c r="J30000">
        <v>11</v>
      </c>
    </row>
    <row r="30001" spans="1:10" x14ac:dyDescent="0.25">
      <c r="A30001" t="s">
        <v>339</v>
      </c>
      <c r="B30001" s="1" t="str">
        <f>HYPERLINK("http://lanxess.de","lanxess.de")</f>
        <v>lanxess.de</v>
      </c>
      <c r="C30001" t="s">
        <v>436</v>
      </c>
      <c r="D30001" t="s">
        <v>815</v>
      </c>
      <c r="F30001">
        <v>9.5345850095306795E-8</v>
      </c>
      <c r="G30001">
        <v>424910</v>
      </c>
      <c r="H30001">
        <v>14549538</v>
      </c>
      <c r="I30001">
        <v>761181</v>
      </c>
      <c r="J30001">
        <v>6</v>
      </c>
    </row>
    <row r="30002" spans="1:10" x14ac:dyDescent="0.25">
      <c r="A30002" t="s">
        <v>339</v>
      </c>
      <c r="B30002" s="1" t="str">
        <f>HYPERLINK("http://saltigo.de","saltigo.de")</f>
        <v>saltigo.de</v>
      </c>
      <c r="C30002" t="s">
        <v>436</v>
      </c>
      <c r="D30002" t="s">
        <v>815</v>
      </c>
      <c r="F30002">
        <v>8.3237913655819299E-9</v>
      </c>
      <c r="G30002">
        <v>9203368</v>
      </c>
      <c r="H30002">
        <v>12435541</v>
      </c>
      <c r="I30002">
        <v>18207470</v>
      </c>
      <c r="J30002">
        <v>11</v>
      </c>
    </row>
    <row r="30003" spans="1:10" x14ac:dyDescent="0.25">
      <c r="A30003" t="s">
        <v>339</v>
      </c>
      <c r="B30003" s="1" t="str">
        <f>HYPERLINK("http://lanxess.es","lanxess.es")</f>
        <v>lanxess.es</v>
      </c>
      <c r="C30003" t="s">
        <v>443</v>
      </c>
      <c r="D30003" t="s">
        <v>822</v>
      </c>
      <c r="F30003">
        <v>1.09878390662625E-8</v>
      </c>
      <c r="G30003">
        <v>5870220</v>
      </c>
      <c r="H30003">
        <v>13775569</v>
      </c>
      <c r="I30003">
        <v>6576051</v>
      </c>
      <c r="J30003">
        <v>7</v>
      </c>
    </row>
    <row r="30004" spans="1:10" x14ac:dyDescent="0.25">
      <c r="A30004" t="s">
        <v>339</v>
      </c>
      <c r="B30004" s="1" t="str">
        <f>HYPERLINK("http://sabic.eu","sabic.eu")</f>
        <v>sabic.eu</v>
      </c>
      <c r="C30004" t="s">
        <v>444</v>
      </c>
      <c r="F30004">
        <v>7.1392847461015202E-8</v>
      </c>
      <c r="G30004">
        <v>592010</v>
      </c>
      <c r="H30004">
        <v>14436117</v>
      </c>
      <c r="I30004">
        <v>1068463</v>
      </c>
      <c r="J30004">
        <v>3</v>
      </c>
    </row>
    <row r="30005" spans="1:10" x14ac:dyDescent="0.25">
      <c r="A30005" t="s">
        <v>339</v>
      </c>
      <c r="B30005" s="1" t="str">
        <f>HYPERLINK("http://lanxess.fr","lanxess.fr")</f>
        <v>lanxess.fr</v>
      </c>
      <c r="C30005" t="s">
        <v>446</v>
      </c>
      <c r="D30005" t="s">
        <v>824</v>
      </c>
      <c r="F30005">
        <v>1.7073225807895399E-8</v>
      </c>
      <c r="G30005">
        <v>3266691</v>
      </c>
      <c r="H30005">
        <v>12521402</v>
      </c>
      <c r="I30005">
        <v>17134005</v>
      </c>
      <c r="J30005">
        <v>6</v>
      </c>
    </row>
    <row r="30006" spans="1:10" x14ac:dyDescent="0.25">
      <c r="A30006" t="s">
        <v>339</v>
      </c>
      <c r="B30006" s="1" t="str">
        <f>HYPERLINK("http://lanxess.hu","lanxess.hu")</f>
        <v>lanxess.hu</v>
      </c>
      <c r="C30006" t="s">
        <v>453</v>
      </c>
      <c r="D30006" t="s">
        <v>830</v>
      </c>
      <c r="F30006">
        <v>4.5814527977945696E-9</v>
      </c>
      <c r="G30006">
        <v>49166878</v>
      </c>
      <c r="H30006">
        <v>10509319</v>
      </c>
      <c r="I30006">
        <v>49822053</v>
      </c>
      <c r="J30006">
        <v>7</v>
      </c>
    </row>
    <row r="30007" spans="1:10" x14ac:dyDescent="0.25">
      <c r="A30007" t="s">
        <v>339</v>
      </c>
      <c r="B30007" s="1" t="str">
        <f>HYPERLINK("http://lanxess.co.id","lanxess.co.id")</f>
        <v>lanxess.co.id</v>
      </c>
      <c r="C30007" t="s">
        <v>454</v>
      </c>
      <c r="D30007" t="s">
        <v>831</v>
      </c>
      <c r="F30007">
        <v>4.44380395335525E-9</v>
      </c>
      <c r="G30007">
        <v>84975083</v>
      </c>
      <c r="H30007">
        <v>0</v>
      </c>
      <c r="I30007">
        <v>86133004</v>
      </c>
      <c r="J30007">
        <v>6</v>
      </c>
    </row>
    <row r="30008" spans="1:10" x14ac:dyDescent="0.25">
      <c r="A30008" t="s">
        <v>339</v>
      </c>
      <c r="B30008" s="1" t="str">
        <f>HYPERLINK("http://lanxess.in","lanxess.in")</f>
        <v>lanxess.in</v>
      </c>
      <c r="C30008" t="s">
        <v>457</v>
      </c>
      <c r="D30008" t="s">
        <v>834</v>
      </c>
      <c r="F30008">
        <v>1.3683148142186501E-8</v>
      </c>
      <c r="G30008">
        <v>4327906</v>
      </c>
      <c r="H30008">
        <v>12605888</v>
      </c>
      <c r="I30008">
        <v>16267923</v>
      </c>
      <c r="J30008">
        <v>6</v>
      </c>
    </row>
    <row r="30009" spans="1:10" x14ac:dyDescent="0.25">
      <c r="A30009" t="s">
        <v>339</v>
      </c>
      <c r="B30009" s="1" t="str">
        <f>HYPERLINK("http://lanxess.it","lanxess.it")</f>
        <v>lanxess.it</v>
      </c>
      <c r="C30009" t="s">
        <v>459</v>
      </c>
      <c r="D30009" t="s">
        <v>835</v>
      </c>
      <c r="F30009">
        <v>4.82950284734215E-9</v>
      </c>
      <c r="G30009">
        <v>34862452</v>
      </c>
      <c r="H30009">
        <v>12025161</v>
      </c>
      <c r="I30009">
        <v>27778969</v>
      </c>
      <c r="J30009">
        <v>6</v>
      </c>
    </row>
    <row r="30010" spans="1:10" x14ac:dyDescent="0.25">
      <c r="A30010" t="s">
        <v>339</v>
      </c>
      <c r="B30010" s="1" t="str">
        <f>HYPERLINK("http://aramco.jobs","aramco.jobs")</f>
        <v>aramco.jobs</v>
      </c>
      <c r="C30010" t="s">
        <v>521</v>
      </c>
      <c r="F30010">
        <v>2.4075653944702201E-8</v>
      </c>
      <c r="G30010">
        <v>2155588</v>
      </c>
      <c r="H30010">
        <v>14381900</v>
      </c>
      <c r="I30010">
        <v>1190136</v>
      </c>
      <c r="J30010">
        <v>2</v>
      </c>
    </row>
    <row r="30011" spans="1:10" x14ac:dyDescent="0.25">
      <c r="A30011" t="s">
        <v>339</v>
      </c>
      <c r="B30011" s="1" t="str">
        <f>HYPERLINK("http://lanxess.co.jp","lanxess.co.jp")</f>
        <v>lanxess.co.jp</v>
      </c>
      <c r="C30011" t="s">
        <v>461</v>
      </c>
      <c r="D30011" t="s">
        <v>837</v>
      </c>
      <c r="F30011">
        <v>2.9044794248368199E-8</v>
      </c>
      <c r="G30011">
        <v>1772743</v>
      </c>
      <c r="H30011">
        <v>14081128</v>
      </c>
      <c r="I30011">
        <v>2813238</v>
      </c>
      <c r="J30011">
        <v>6</v>
      </c>
    </row>
    <row r="30012" spans="1:10" x14ac:dyDescent="0.25">
      <c r="A30012" t="s">
        <v>339</v>
      </c>
      <c r="B30012" s="1" t="str">
        <f>HYPERLINK("http://lanxess.kr","lanxess.kr")</f>
        <v>lanxess.kr</v>
      </c>
      <c r="C30012" t="s">
        <v>463</v>
      </c>
      <c r="D30012" t="s">
        <v>839</v>
      </c>
      <c r="F30012">
        <v>1.7501696064923701E-8</v>
      </c>
      <c r="G30012">
        <v>3145711</v>
      </c>
      <c r="H30012">
        <v>12371235</v>
      </c>
      <c r="I30012">
        <v>19385758</v>
      </c>
      <c r="J30012">
        <v>6</v>
      </c>
    </row>
    <row r="30013" spans="1:10" x14ac:dyDescent="0.25">
      <c r="A30013" t="s">
        <v>339</v>
      </c>
      <c r="B30013" s="1" t="str">
        <f>HYPERLINK("http://sabic.com.mx","sabic.com.mx")</f>
        <v>sabic.com.mx</v>
      </c>
      <c r="C30013" t="s">
        <v>471</v>
      </c>
      <c r="D30013" t="s">
        <v>847</v>
      </c>
      <c r="J30013">
        <v>4</v>
      </c>
    </row>
    <row r="30014" spans="1:10" x14ac:dyDescent="0.25">
      <c r="A30014" t="s">
        <v>339</v>
      </c>
      <c r="B30014" s="1" t="str">
        <f>HYPERLINK("http://lanxess.mx","lanxess.mx")</f>
        <v>lanxess.mx</v>
      </c>
      <c r="C30014" t="s">
        <v>471</v>
      </c>
      <c r="D30014" t="s">
        <v>847</v>
      </c>
      <c r="F30014">
        <v>4.5177425916129802E-9</v>
      </c>
      <c r="G30014">
        <v>56502816</v>
      </c>
      <c r="H30014">
        <v>10441623</v>
      </c>
      <c r="I30014">
        <v>52337399</v>
      </c>
      <c r="J30014">
        <v>6</v>
      </c>
    </row>
    <row r="30015" spans="1:10" x14ac:dyDescent="0.25">
      <c r="A30015" t="s">
        <v>339</v>
      </c>
      <c r="B30015" s="1" t="str">
        <f>HYPERLINK("http://lanxess.my","lanxess.my")</f>
        <v>lanxess.my</v>
      </c>
      <c r="C30015" t="s">
        <v>472</v>
      </c>
      <c r="D30015" t="s">
        <v>848</v>
      </c>
      <c r="F30015">
        <v>4.4438168976926404E-9</v>
      </c>
      <c r="G30015">
        <v>79302677</v>
      </c>
      <c r="H30015">
        <v>10455065</v>
      </c>
      <c r="I30015">
        <v>52013784</v>
      </c>
      <c r="J30015">
        <v>6</v>
      </c>
    </row>
    <row r="30016" spans="1:10" x14ac:dyDescent="0.25">
      <c r="A30016" t="s">
        <v>339</v>
      </c>
      <c r="B30016" s="1" t="str">
        <f>HYPERLINK("http://waed.net","waed.net")</f>
        <v>waed.net</v>
      </c>
      <c r="C30016" t="s">
        <v>474</v>
      </c>
      <c r="F30016">
        <v>4.31146226621802E-8</v>
      </c>
      <c r="G30016">
        <v>1114127</v>
      </c>
      <c r="H30016">
        <v>14193980</v>
      </c>
      <c r="I30016">
        <v>1741248</v>
      </c>
      <c r="J30016">
        <v>3</v>
      </c>
    </row>
    <row r="30017" spans="1:10" x14ac:dyDescent="0.25">
      <c r="A30017" t="s">
        <v>339</v>
      </c>
      <c r="B30017" s="1" t="str">
        <f>HYPERLINK("http://lanxess.nl","lanxess.nl")</f>
        <v>lanxess.nl</v>
      </c>
      <c r="C30017" t="s">
        <v>477</v>
      </c>
      <c r="D30017" t="s">
        <v>852</v>
      </c>
      <c r="F30017">
        <v>1.0755654244744201E-8</v>
      </c>
      <c r="G30017">
        <v>6055638</v>
      </c>
      <c r="H30017">
        <v>12575081</v>
      </c>
      <c r="I30017">
        <v>16565616</v>
      </c>
      <c r="J30017">
        <v>6</v>
      </c>
    </row>
    <row r="30018" spans="1:10" x14ac:dyDescent="0.25">
      <c r="A30018" t="s">
        <v>339</v>
      </c>
      <c r="B30018" s="1" t="str">
        <f>HYPERLINK("http://lanxess.ph","lanxess.ph")</f>
        <v>lanxess.ph</v>
      </c>
      <c r="C30018" t="s">
        <v>484</v>
      </c>
      <c r="D30018" t="s">
        <v>858</v>
      </c>
      <c r="F30018">
        <v>4.44380395335525E-9</v>
      </c>
      <c r="G30018">
        <v>85974671</v>
      </c>
      <c r="H30018">
        <v>0</v>
      </c>
      <c r="I30018">
        <v>87350594</v>
      </c>
      <c r="J30018">
        <v>6</v>
      </c>
    </row>
    <row r="30019" spans="1:10" x14ac:dyDescent="0.25">
      <c r="A30019" t="s">
        <v>339</v>
      </c>
      <c r="B30019" s="1" t="str">
        <f>HYPERLINK("http://lanxess.pk","lanxess.pk")</f>
        <v>lanxess.pk</v>
      </c>
      <c r="C30019" t="s">
        <v>485</v>
      </c>
      <c r="D30019" t="s">
        <v>859</v>
      </c>
      <c r="F30019">
        <v>4.4538628668406799E-9</v>
      </c>
      <c r="G30019">
        <v>69990086</v>
      </c>
      <c r="H30019">
        <v>10624874</v>
      </c>
      <c r="I30019">
        <v>44144186</v>
      </c>
      <c r="J30019">
        <v>6</v>
      </c>
    </row>
    <row r="30020" spans="1:10" x14ac:dyDescent="0.25">
      <c r="A30020" t="s">
        <v>339</v>
      </c>
      <c r="B30020" s="1" t="str">
        <f>HYPERLINK("http://lanxess.pl","lanxess.pl")</f>
        <v>lanxess.pl</v>
      </c>
      <c r="C30020" t="s">
        <v>486</v>
      </c>
      <c r="D30020" t="s">
        <v>860</v>
      </c>
      <c r="F30020">
        <v>4.9009376379058604E-9</v>
      </c>
      <c r="G30020">
        <v>32439032</v>
      </c>
      <c r="H30020">
        <v>10866945</v>
      </c>
      <c r="I30020">
        <v>36558524</v>
      </c>
      <c r="J30020">
        <v>7</v>
      </c>
    </row>
    <row r="30021" spans="1:10" x14ac:dyDescent="0.25">
      <c r="A30021" t="s">
        <v>339</v>
      </c>
      <c r="B30021" s="1" t="str">
        <f>HYPERLINK("http://lanxess.rs","lanxess.rs")</f>
        <v>lanxess.rs</v>
      </c>
      <c r="C30021" t="s">
        <v>492</v>
      </c>
      <c r="D30021" t="s">
        <v>866</v>
      </c>
      <c r="J30021">
        <v>7</v>
      </c>
    </row>
    <row r="30022" spans="1:10" x14ac:dyDescent="0.25">
      <c r="A30022" t="s">
        <v>339</v>
      </c>
      <c r="B30022" s="1" t="str">
        <f>HYPERLINK("http://lanxess.ru","lanxess.ru")</f>
        <v>lanxess.ru</v>
      </c>
      <c r="C30022" t="s">
        <v>493</v>
      </c>
      <c r="D30022" t="s">
        <v>867</v>
      </c>
      <c r="F30022">
        <v>6.50532740809443E-9</v>
      </c>
      <c r="G30022">
        <v>14056095</v>
      </c>
      <c r="H30022">
        <v>12374546</v>
      </c>
      <c r="I30022">
        <v>19325180</v>
      </c>
      <c r="J30022">
        <v>6</v>
      </c>
    </row>
    <row r="30023" spans="1:10" x14ac:dyDescent="0.25">
      <c r="A30023" t="s">
        <v>339</v>
      </c>
      <c r="B30023" s="1" t="str">
        <f>HYPERLINK("http://agoc.com.sa","agoc.com.sa")</f>
        <v>agoc.com.sa</v>
      </c>
      <c r="C30023" t="s">
        <v>494</v>
      </c>
      <c r="D30023" t="s">
        <v>868</v>
      </c>
      <c r="F30023">
        <v>7.1939191817390604E-9</v>
      </c>
      <c r="G30023">
        <v>11760553</v>
      </c>
      <c r="H30023">
        <v>14074901</v>
      </c>
      <c r="I30023">
        <v>2925570</v>
      </c>
      <c r="J30023">
        <v>3</v>
      </c>
    </row>
    <row r="30024" spans="1:10" x14ac:dyDescent="0.25">
      <c r="A30024" t="s">
        <v>339</v>
      </c>
      <c r="B30024" s="1" t="str">
        <f>HYPERLINK("http://saic.com.sa","saic.com.sa")</f>
        <v>saic.com.sa</v>
      </c>
      <c r="C30024" t="s">
        <v>494</v>
      </c>
      <c r="D30024" t="s">
        <v>868</v>
      </c>
      <c r="F30024">
        <v>7.5455160803514096E-9</v>
      </c>
      <c r="G30024">
        <v>10914826</v>
      </c>
      <c r="H30024">
        <v>13120311</v>
      </c>
      <c r="I30024">
        <v>11992506</v>
      </c>
      <c r="J30024">
        <v>3</v>
      </c>
    </row>
    <row r="30025" spans="1:10" x14ac:dyDescent="0.25">
      <c r="A30025" t="s">
        <v>339</v>
      </c>
      <c r="B30025" s="1" t="str">
        <f>HYPERLINK("http://sasref.com.sa","sasref.com.sa")</f>
        <v>sasref.com.sa</v>
      </c>
      <c r="C30025" t="s">
        <v>494</v>
      </c>
      <c r="D30025" t="s">
        <v>868</v>
      </c>
      <c r="E30025">
        <v>670412</v>
      </c>
      <c r="F30025">
        <v>1.5496130792790701E-8</v>
      </c>
      <c r="G30025">
        <v>3685817</v>
      </c>
      <c r="H30025">
        <v>13483384</v>
      </c>
      <c r="I30025">
        <v>10000165</v>
      </c>
      <c r="J30025">
        <v>2</v>
      </c>
    </row>
    <row r="30026" spans="1:10" x14ac:dyDescent="0.25">
      <c r="A30026" t="s">
        <v>339</v>
      </c>
      <c r="B30026" s="1" t="str">
        <f>HYPERLINK("http://saudikayan.com.sa","saudikayan.com.sa")</f>
        <v>saudikayan.com.sa</v>
      </c>
      <c r="C30026" t="s">
        <v>494</v>
      </c>
      <c r="D30026" t="s">
        <v>868</v>
      </c>
      <c r="F30026">
        <v>1.16367479288837E-8</v>
      </c>
      <c r="G30026">
        <v>5408371</v>
      </c>
      <c r="H30026">
        <v>12315350</v>
      </c>
      <c r="I30026">
        <v>20509747</v>
      </c>
      <c r="J30026">
        <v>6</v>
      </c>
    </row>
    <row r="30027" spans="1:10" x14ac:dyDescent="0.25">
      <c r="A30027" t="s">
        <v>339</v>
      </c>
      <c r="B30027" s="1" t="str">
        <f>HYPERLINK("http://yansab.com.sa","yansab.com.sa")</f>
        <v>yansab.com.sa</v>
      </c>
      <c r="C30027" t="s">
        <v>494</v>
      </c>
      <c r="D30027" t="s">
        <v>868</v>
      </c>
      <c r="F30027">
        <v>1.17838054387903E-8</v>
      </c>
      <c r="G30027">
        <v>5312215</v>
      </c>
      <c r="H30027">
        <v>12686767</v>
      </c>
      <c r="I30027">
        <v>15444068</v>
      </c>
      <c r="J30027">
        <v>3</v>
      </c>
    </row>
    <row r="30028" spans="1:10" x14ac:dyDescent="0.25">
      <c r="A30028" t="s">
        <v>339</v>
      </c>
      <c r="B30028" s="1" t="str">
        <f>HYPERLINK("http://lanxess.sg","lanxess.sg")</f>
        <v>lanxess.sg</v>
      </c>
      <c r="C30028" t="s">
        <v>496</v>
      </c>
      <c r="D30028" t="s">
        <v>870</v>
      </c>
      <c r="F30028">
        <v>1.1569570846876401E-8</v>
      </c>
      <c r="G30028">
        <v>5454289</v>
      </c>
      <c r="H30028">
        <v>14073142</v>
      </c>
      <c r="I30028">
        <v>3014328</v>
      </c>
      <c r="J30028">
        <v>6</v>
      </c>
    </row>
    <row r="30029" spans="1:10" x14ac:dyDescent="0.25">
      <c r="A30029" t="s">
        <v>339</v>
      </c>
      <c r="B30029" s="1" t="str">
        <f>HYPERLINK("http://lanxess.sk","lanxess.sk")</f>
        <v>lanxess.sk</v>
      </c>
      <c r="C30029" t="s">
        <v>498</v>
      </c>
      <c r="D30029" t="s">
        <v>872</v>
      </c>
      <c r="F30029">
        <v>5.1132374340368001E-9</v>
      </c>
      <c r="G30029">
        <v>26789065</v>
      </c>
      <c r="H30029">
        <v>10802492</v>
      </c>
      <c r="I30029">
        <v>38087108</v>
      </c>
      <c r="J30029">
        <v>7</v>
      </c>
    </row>
    <row r="30030" spans="1:10" x14ac:dyDescent="0.25">
      <c r="A30030" t="s">
        <v>339</v>
      </c>
      <c r="B30030" s="1" t="str">
        <f>HYPERLINK("http://lanxess.co.th","lanxess.co.th")</f>
        <v>lanxess.co.th</v>
      </c>
      <c r="C30030" t="s">
        <v>500</v>
      </c>
      <c r="D30030" t="s">
        <v>874</v>
      </c>
      <c r="F30030">
        <v>4.5223569428945098E-9</v>
      </c>
      <c r="G30030">
        <v>55918787</v>
      </c>
      <c r="H30030">
        <v>9938510</v>
      </c>
      <c r="I30030">
        <v>61348277</v>
      </c>
      <c r="J30030">
        <v>6</v>
      </c>
    </row>
    <row r="30031" spans="1:10" x14ac:dyDescent="0.25">
      <c r="A30031" t="s">
        <v>339</v>
      </c>
      <c r="B30031" s="1" t="str">
        <f>HYPERLINK("http://lanxess.com.tr","lanxess.com.tr")</f>
        <v>lanxess.com.tr</v>
      </c>
      <c r="C30031" t="s">
        <v>502</v>
      </c>
      <c r="D30031" t="s">
        <v>876</v>
      </c>
      <c r="J30031">
        <v>7</v>
      </c>
    </row>
    <row r="30032" spans="1:10" x14ac:dyDescent="0.25">
      <c r="A30032" t="s">
        <v>339</v>
      </c>
      <c r="B30032" s="1" t="str">
        <f>HYPERLINK("http://lanxess.co.uk","lanxess.co.uk")</f>
        <v>lanxess.co.uk</v>
      </c>
      <c r="C30032" t="s">
        <v>506</v>
      </c>
      <c r="D30032" t="s">
        <v>880</v>
      </c>
      <c r="F30032">
        <v>1.2013278600626699E-8</v>
      </c>
      <c r="G30032">
        <v>5166941</v>
      </c>
      <c r="H30032">
        <v>14073218</v>
      </c>
      <c r="I30032">
        <v>3008809</v>
      </c>
      <c r="J30032">
        <v>6</v>
      </c>
    </row>
    <row r="30033" spans="1:10" x14ac:dyDescent="0.25">
      <c r="A30033" t="s">
        <v>339</v>
      </c>
      <c r="B30033" s="1" t="str">
        <f>HYPERLINK("http://lanxess.us","lanxess.us")</f>
        <v>lanxess.us</v>
      </c>
      <c r="C30033" t="s">
        <v>522</v>
      </c>
      <c r="D30033" t="s">
        <v>891</v>
      </c>
      <c r="F30033">
        <v>2.6728975723159698E-8</v>
      </c>
      <c r="G30033">
        <v>1925419</v>
      </c>
      <c r="H30033">
        <v>13298669</v>
      </c>
      <c r="I30033">
        <v>10837178</v>
      </c>
      <c r="J30033">
        <v>6</v>
      </c>
    </row>
    <row r="30034" spans="1:10" x14ac:dyDescent="0.25">
      <c r="A30034" t="s">
        <v>339</v>
      </c>
      <c r="B30034" s="1" t="str">
        <f>HYPERLINK("http://lanxess.vn","lanxess.vn")</f>
        <v>lanxess.vn</v>
      </c>
      <c r="C30034" t="s">
        <v>509</v>
      </c>
      <c r="D30034" t="s">
        <v>883</v>
      </c>
      <c r="F30034">
        <v>4.44380395335525E-9</v>
      </c>
      <c r="G30034">
        <v>86513923</v>
      </c>
      <c r="H30034">
        <v>0</v>
      </c>
      <c r="I30034">
        <v>87996281</v>
      </c>
      <c r="J30034">
        <v>6</v>
      </c>
    </row>
    <row r="30035" spans="1:10" x14ac:dyDescent="0.25">
      <c r="A30035" t="s">
        <v>339</v>
      </c>
      <c r="B30035" s="1" t="str">
        <f>HYPERLINK("http://lanxess.co.za","lanxess.co.za")</f>
        <v>lanxess.co.za</v>
      </c>
      <c r="C30035" t="s">
        <v>510</v>
      </c>
      <c r="D30035" t="s">
        <v>884</v>
      </c>
      <c r="F30035">
        <v>4.4584144770893601E-9</v>
      </c>
      <c r="G30035">
        <v>68259494</v>
      </c>
      <c r="H30035">
        <v>10625842</v>
      </c>
      <c r="I30035">
        <v>44117147</v>
      </c>
      <c r="J30035">
        <v>7</v>
      </c>
    </row>
    <row r="30036" spans="1:10" x14ac:dyDescent="0.25">
      <c r="A30036" t="s">
        <v>1652</v>
      </c>
      <c r="B30036" s="1" t="str">
        <f>HYPERLINK("http://alahli.com","alahli.com")</f>
        <v>alahli.com</v>
      </c>
      <c r="C30036" t="s">
        <v>433</v>
      </c>
      <c r="E30036">
        <v>33647</v>
      </c>
      <c r="F30036">
        <v>3.1127987953799901E-7</v>
      </c>
      <c r="G30036">
        <v>119459</v>
      </c>
      <c r="H30036">
        <v>17060726</v>
      </c>
      <c r="I30036">
        <v>73858</v>
      </c>
      <c r="J30036">
        <v>1</v>
      </c>
    </row>
    <row r="30037" spans="1:10" x14ac:dyDescent="0.25">
      <c r="A30037" t="s">
        <v>1652</v>
      </c>
      <c r="B30037" s="1" t="str">
        <f>HYPERLINK("http://ncbc.com","ncbc.com")</f>
        <v>ncbc.com</v>
      </c>
      <c r="C30037" t="s">
        <v>433</v>
      </c>
      <c r="F30037">
        <v>2.6063781293071399E-8</v>
      </c>
      <c r="G30037">
        <v>1976598</v>
      </c>
      <c r="H30037">
        <v>14032664</v>
      </c>
      <c r="I30037">
        <v>3922413</v>
      </c>
      <c r="J30037">
        <v>6</v>
      </c>
    </row>
    <row r="30038" spans="1:10" x14ac:dyDescent="0.25">
      <c r="A30038" t="s">
        <v>1652</v>
      </c>
      <c r="B30038" s="1" t="str">
        <f>HYPERLINK("http://samba.com","samba.com")</f>
        <v>samba.com</v>
      </c>
      <c r="C30038" t="s">
        <v>433</v>
      </c>
      <c r="E30038">
        <v>32442</v>
      </c>
      <c r="F30038">
        <v>5.9037594516177E-8</v>
      </c>
      <c r="G30038">
        <v>751085</v>
      </c>
      <c r="H30038">
        <v>14492923</v>
      </c>
      <c r="I30038">
        <v>891327</v>
      </c>
      <c r="J30038">
        <v>4</v>
      </c>
    </row>
    <row r="30039" spans="1:10" x14ac:dyDescent="0.25">
      <c r="A30039" t="s">
        <v>1652</v>
      </c>
      <c r="B30039" s="1" t="str">
        <f>HYPERLINK("http://samba.com.pk","samba.com.pk")</f>
        <v>samba.com.pk</v>
      </c>
      <c r="C30039" t="s">
        <v>485</v>
      </c>
      <c r="D30039" t="s">
        <v>859</v>
      </c>
      <c r="F30039">
        <v>2.5869542814082501E-8</v>
      </c>
      <c r="G30039">
        <v>1992177</v>
      </c>
      <c r="H30039">
        <v>12294580</v>
      </c>
      <c r="I30039">
        <v>20973646</v>
      </c>
      <c r="J30039">
        <v>3</v>
      </c>
    </row>
    <row r="30040" spans="1:10" x14ac:dyDescent="0.25">
      <c r="A30040" t="s">
        <v>1652</v>
      </c>
      <c r="B30040" s="1" t="str">
        <f>HYPERLINK("http://tfvarlikkiralama.com.tr","tfvarlikkiralama.com.tr")</f>
        <v>tfvarlikkiralama.com.tr</v>
      </c>
      <c r="C30040" t="s">
        <v>502</v>
      </c>
      <c r="D30040" t="s">
        <v>876</v>
      </c>
      <c r="J30040">
        <v>5</v>
      </c>
    </row>
    <row r="30041" spans="1:10" x14ac:dyDescent="0.25">
      <c r="A30041" t="s">
        <v>1652</v>
      </c>
      <c r="B30041" s="1" t="str">
        <f>HYPERLINK("http://turkiyefinans.com.tr","turkiyefinans.com.tr")</f>
        <v>turkiyefinans.com.tr</v>
      </c>
      <c r="C30041" t="s">
        <v>502</v>
      </c>
      <c r="D30041" t="s">
        <v>876</v>
      </c>
      <c r="E30041">
        <v>145049</v>
      </c>
      <c r="F30041">
        <v>5.7620334455257402E-8</v>
      </c>
      <c r="G30041">
        <v>773441</v>
      </c>
      <c r="H30041">
        <v>14078273</v>
      </c>
      <c r="I30041">
        <v>2849555</v>
      </c>
      <c r="J30041">
        <v>4</v>
      </c>
    </row>
    <row r="30042" spans="1:10" x14ac:dyDescent="0.25">
      <c r="A30042" t="s">
        <v>340</v>
      </c>
      <c r="B30042" s="1" t="str">
        <f>HYPERLINK("http://stc.com.bh","stc.com.bh")</f>
        <v>stc.com.bh</v>
      </c>
      <c r="C30042" t="s">
        <v>580</v>
      </c>
      <c r="D30042" t="s">
        <v>922</v>
      </c>
      <c r="E30042">
        <v>193851</v>
      </c>
      <c r="F30042">
        <v>1.7019810255769001E-7</v>
      </c>
      <c r="G30042">
        <v>227918</v>
      </c>
      <c r="H30042">
        <v>16817096</v>
      </c>
      <c r="I30042">
        <v>187351</v>
      </c>
      <c r="J30042">
        <v>2</v>
      </c>
    </row>
    <row r="30043" spans="1:10" x14ac:dyDescent="0.25">
      <c r="A30043" t="s">
        <v>340</v>
      </c>
      <c r="B30043" s="1" t="str">
        <f>HYPERLINK("http://viva.com.bh","viva.com.bh")</f>
        <v>viva.com.bh</v>
      </c>
      <c r="C30043" t="s">
        <v>580</v>
      </c>
      <c r="D30043" t="s">
        <v>922</v>
      </c>
      <c r="F30043">
        <v>6.2912474836914795E-8</v>
      </c>
      <c r="G30043">
        <v>696899</v>
      </c>
      <c r="H30043">
        <v>14690607</v>
      </c>
      <c r="I30043">
        <v>602241</v>
      </c>
      <c r="J30043">
        <v>5</v>
      </c>
    </row>
    <row r="30044" spans="1:10" x14ac:dyDescent="0.25">
      <c r="A30044" t="s">
        <v>340</v>
      </c>
      <c r="B30044" s="1" t="str">
        <f>HYPERLINK("http://stc.com.kw","stc.com.kw")</f>
        <v>stc.com.kw</v>
      </c>
      <c r="C30044" t="s">
        <v>464</v>
      </c>
      <c r="D30044" t="s">
        <v>840</v>
      </c>
      <c r="E30044">
        <v>206038</v>
      </c>
      <c r="F30044">
        <v>4.9085194598851203E-8</v>
      </c>
      <c r="G30044">
        <v>943496</v>
      </c>
      <c r="H30044">
        <v>14038713</v>
      </c>
      <c r="I30044">
        <v>3910451</v>
      </c>
      <c r="J30044">
        <v>2</v>
      </c>
    </row>
    <row r="30045" spans="1:10" x14ac:dyDescent="0.25">
      <c r="A30045" t="s">
        <v>340</v>
      </c>
      <c r="B30045" s="1" t="str">
        <f>HYPERLINK("http://stc.com.sa","stc.com.sa")</f>
        <v>stc.com.sa</v>
      </c>
      <c r="C30045" t="s">
        <v>494</v>
      </c>
      <c r="D30045" t="s">
        <v>868</v>
      </c>
      <c r="E30045">
        <v>17991</v>
      </c>
      <c r="F30045">
        <v>6.9408091932593095E-7</v>
      </c>
      <c r="G30045">
        <v>55658</v>
      </c>
      <c r="H30045">
        <v>17189608</v>
      </c>
      <c r="I30045">
        <v>43676</v>
      </c>
      <c r="J30045">
        <v>1</v>
      </c>
    </row>
    <row r="30046" spans="1:10" x14ac:dyDescent="0.25">
      <c r="A30046" t="s">
        <v>340</v>
      </c>
      <c r="B30046" s="1" t="str">
        <f>HYPERLINK("http://stcpay.com.sa","stcpay.com.sa")</f>
        <v>stcpay.com.sa</v>
      </c>
      <c r="C30046" t="s">
        <v>494</v>
      </c>
      <c r="D30046" t="s">
        <v>868</v>
      </c>
      <c r="E30046">
        <v>73938</v>
      </c>
      <c r="F30046">
        <v>1.00740168207192E-7</v>
      </c>
      <c r="G30046">
        <v>399188</v>
      </c>
      <c r="H30046">
        <v>16934284</v>
      </c>
      <c r="I30046">
        <v>116444</v>
      </c>
      <c r="J30046">
        <v>4</v>
      </c>
    </row>
    <row r="30047" spans="1:10" x14ac:dyDescent="0.25">
      <c r="A30047" t="s">
        <v>340</v>
      </c>
      <c r="B30047" s="1" t="str">
        <f>HYPERLINK("http://stc.sa","stc.sa")</f>
        <v>stc.sa</v>
      </c>
      <c r="C30047" t="s">
        <v>494</v>
      </c>
      <c r="D30047" t="s">
        <v>868</v>
      </c>
      <c r="F30047">
        <v>1.42771350900701E-8</v>
      </c>
      <c r="G30047">
        <v>4101367</v>
      </c>
      <c r="H30047">
        <v>12964461</v>
      </c>
      <c r="I30047">
        <v>13133909</v>
      </c>
      <c r="J30047">
        <v>2</v>
      </c>
    </row>
    <row r="30048" spans="1:10" x14ac:dyDescent="0.25">
      <c r="A30048" t="s">
        <v>341</v>
      </c>
      <c r="B30048" s="1" t="str">
        <f>HYPERLINK("http://sberbank.at","sberbank.at")</f>
        <v>sberbank.at</v>
      </c>
      <c r="C30048" t="s">
        <v>419</v>
      </c>
      <c r="D30048" t="s">
        <v>801</v>
      </c>
      <c r="F30048">
        <v>2.8999334607749602E-8</v>
      </c>
      <c r="G30048">
        <v>1775389</v>
      </c>
      <c r="H30048">
        <v>14387619</v>
      </c>
      <c r="I30048">
        <v>1174909</v>
      </c>
      <c r="J30048">
        <v>3</v>
      </c>
    </row>
    <row r="30049" spans="1:10" x14ac:dyDescent="0.25">
      <c r="A30049" t="s">
        <v>341</v>
      </c>
      <c r="B30049" s="1" t="str">
        <f>HYPERLINK("http://nlb.ba","nlb.ba")</f>
        <v>nlb.ba</v>
      </c>
      <c r="C30049" t="s">
        <v>526</v>
      </c>
      <c r="D30049" t="s">
        <v>893</v>
      </c>
      <c r="F30049">
        <v>1.4943304063919701E-8</v>
      </c>
      <c r="G30049">
        <v>3858241</v>
      </c>
      <c r="H30049">
        <v>14072300</v>
      </c>
      <c r="I30049">
        <v>3119053</v>
      </c>
      <c r="J30049">
        <v>9</v>
      </c>
    </row>
    <row r="30050" spans="1:10" x14ac:dyDescent="0.25">
      <c r="A30050" t="s">
        <v>341</v>
      </c>
      <c r="B30050" s="1" t="str">
        <f>HYPERLINK("http://nlb-fbih.ba","nlb-fbih.ba")</f>
        <v>nlb-fbih.ba</v>
      </c>
      <c r="C30050" t="s">
        <v>526</v>
      </c>
      <c r="D30050" t="s">
        <v>893</v>
      </c>
      <c r="F30050">
        <v>2.8743153765365499E-8</v>
      </c>
      <c r="G30050">
        <v>1790584</v>
      </c>
      <c r="H30050">
        <v>12473990</v>
      </c>
      <c r="I30050">
        <v>17655098</v>
      </c>
      <c r="J30050">
        <v>10</v>
      </c>
    </row>
    <row r="30051" spans="1:10" x14ac:dyDescent="0.25">
      <c r="A30051" t="s">
        <v>341</v>
      </c>
      <c r="B30051" s="1" t="str">
        <f>HYPERLINK("http://nlb-rs.ba","nlb-rs.ba")</f>
        <v>nlb-rs.ba</v>
      </c>
      <c r="C30051" t="s">
        <v>526</v>
      </c>
      <c r="D30051" t="s">
        <v>893</v>
      </c>
      <c r="E30051">
        <v>535886</v>
      </c>
      <c r="F30051">
        <v>5.3885691011867899E-8</v>
      </c>
      <c r="G30051">
        <v>843317</v>
      </c>
      <c r="H30051">
        <v>16791990</v>
      </c>
      <c r="I30051">
        <v>210553</v>
      </c>
      <c r="J30051">
        <v>12</v>
      </c>
    </row>
    <row r="30052" spans="1:10" x14ac:dyDescent="0.25">
      <c r="A30052" t="s">
        <v>341</v>
      </c>
      <c r="B30052" s="1" t="str">
        <f>HYPERLINK("http://sberbank.ba","sberbank.ba")</f>
        <v>sberbank.ba</v>
      </c>
      <c r="C30052" t="s">
        <v>526</v>
      </c>
      <c r="D30052" t="s">
        <v>893</v>
      </c>
      <c r="F30052">
        <v>1.6754093380878899E-8</v>
      </c>
      <c r="G30052">
        <v>3344868</v>
      </c>
      <c r="H30052">
        <v>13764634</v>
      </c>
      <c r="I30052">
        <v>7221594</v>
      </c>
      <c r="J30052">
        <v>3</v>
      </c>
    </row>
    <row r="30053" spans="1:10" x14ac:dyDescent="0.25">
      <c r="A30053" t="s">
        <v>341</v>
      </c>
      <c r="B30053" s="1" t="str">
        <f>HYPERLINK("http://bps-sberbank.by","bps-sberbank.by")</f>
        <v>bps-sberbank.by</v>
      </c>
      <c r="C30053" t="s">
        <v>427</v>
      </c>
      <c r="D30053" t="s">
        <v>808</v>
      </c>
      <c r="E30053">
        <v>154230</v>
      </c>
      <c r="F30053">
        <v>1.8086622370969499E-7</v>
      </c>
      <c r="G30053">
        <v>213592</v>
      </c>
      <c r="H30053">
        <v>14181357</v>
      </c>
      <c r="I30053">
        <v>1778940</v>
      </c>
      <c r="J30053">
        <v>4</v>
      </c>
    </row>
    <row r="30054" spans="1:10" x14ac:dyDescent="0.25">
      <c r="A30054" t="s">
        <v>341</v>
      </c>
      <c r="B30054" s="1" t="str">
        <f>HYPERLINK("http://sber-bank.by","sber-bank.by")</f>
        <v>sber-bank.by</v>
      </c>
      <c r="C30054" t="s">
        <v>427</v>
      </c>
      <c r="D30054" t="s">
        <v>808</v>
      </c>
      <c r="E30054">
        <v>221661</v>
      </c>
      <c r="F30054">
        <v>1.53004487227892E-7</v>
      </c>
      <c r="G30054">
        <v>253850</v>
      </c>
      <c r="H30054">
        <v>14421168</v>
      </c>
      <c r="I30054">
        <v>1088081</v>
      </c>
      <c r="J30054">
        <v>3</v>
      </c>
    </row>
    <row r="30055" spans="1:10" x14ac:dyDescent="0.25">
      <c r="A30055" t="s">
        <v>341</v>
      </c>
      <c r="B30055" s="1" t="str">
        <f>HYPERLINK("http://sberbank.ch","sberbank.ch")</f>
        <v>sberbank.ch</v>
      </c>
      <c r="C30055" t="s">
        <v>429</v>
      </c>
      <c r="D30055" t="s">
        <v>810</v>
      </c>
      <c r="F30055">
        <v>1.3130130324238199E-8</v>
      </c>
      <c r="G30055">
        <v>4570048</v>
      </c>
      <c r="H30055">
        <v>14046107</v>
      </c>
      <c r="I30055">
        <v>3900065</v>
      </c>
      <c r="J30055">
        <v>3</v>
      </c>
    </row>
    <row r="30056" spans="1:10" x14ac:dyDescent="0.25">
      <c r="A30056" t="s">
        <v>341</v>
      </c>
      <c r="B30056" s="1" t="str">
        <f>HYPERLINK("http://lesfillesdelair.com","lesfillesdelair.com")</f>
        <v>lesfillesdelair.com</v>
      </c>
      <c r="C30056" t="s">
        <v>433</v>
      </c>
      <c r="F30056">
        <v>5.0053487899613E-9</v>
      </c>
      <c r="G30056">
        <v>29282246</v>
      </c>
      <c r="H30056">
        <v>10343680</v>
      </c>
      <c r="I30056">
        <v>57957022</v>
      </c>
      <c r="J30056">
        <v>4</v>
      </c>
    </row>
    <row r="30057" spans="1:10" x14ac:dyDescent="0.25">
      <c r="A30057" t="s">
        <v>341</v>
      </c>
      <c r="B30057" s="1" t="str">
        <f>HYPERLINK("http://mymaisonrose.com","mymaisonrose.com")</f>
        <v>mymaisonrose.com</v>
      </c>
      <c r="C30057" t="s">
        <v>433</v>
      </c>
      <c r="F30057">
        <v>5.1275695602777098E-9</v>
      </c>
      <c r="G30057">
        <v>26500904</v>
      </c>
      <c r="H30057">
        <v>11496574</v>
      </c>
      <c r="I30057">
        <v>30036189</v>
      </c>
      <c r="J30057">
        <v>4</v>
      </c>
    </row>
    <row r="30058" spans="1:10" x14ac:dyDescent="0.25">
      <c r="A30058" t="s">
        <v>341</v>
      </c>
      <c r="B30058" s="1" t="str">
        <f>HYPERLINK("http://nlbprishtina-kos.com","nlbprishtina-kos.com")</f>
        <v>nlbprishtina-kos.com</v>
      </c>
      <c r="C30058" t="s">
        <v>433</v>
      </c>
      <c r="F30058">
        <v>8.1570000274547001E-9</v>
      </c>
      <c r="G30058">
        <v>9644300</v>
      </c>
      <c r="H30058">
        <v>12270096</v>
      </c>
      <c r="I30058">
        <v>21522283</v>
      </c>
      <c r="J30058">
        <v>9</v>
      </c>
    </row>
    <row r="30059" spans="1:10" x14ac:dyDescent="0.25">
      <c r="A30059" t="s">
        <v>341</v>
      </c>
      <c r="B30059" s="1" t="str">
        <f>HYPERLINK("http://nlbrazvojnabanka.com","nlbrazvojnabanka.com")</f>
        <v>nlbrazvojnabanka.com</v>
      </c>
      <c r="C30059" t="s">
        <v>433</v>
      </c>
      <c r="E30059">
        <v>561839</v>
      </c>
      <c r="F30059">
        <v>7.1414009372380396E-9</v>
      </c>
      <c r="G30059">
        <v>11900088</v>
      </c>
      <c r="H30059">
        <v>12334768</v>
      </c>
      <c r="I30059">
        <v>20113154</v>
      </c>
      <c r="J30059">
        <v>9</v>
      </c>
    </row>
    <row r="30060" spans="1:10" x14ac:dyDescent="0.25">
      <c r="A30060" t="s">
        <v>341</v>
      </c>
      <c r="B30060" s="1" t="str">
        <f>HYPERLINK("http://prisbank.com","prisbank.com")</f>
        <v>prisbank.com</v>
      </c>
      <c r="C30060" t="s">
        <v>433</v>
      </c>
      <c r="E30060">
        <v>220539</v>
      </c>
      <c r="F30060">
        <v>2.8936737207898501E-8</v>
      </c>
      <c r="G30060">
        <v>1779077</v>
      </c>
      <c r="H30060">
        <v>14422565</v>
      </c>
      <c r="I30060">
        <v>1084783</v>
      </c>
      <c r="J30060">
        <v>3</v>
      </c>
    </row>
    <row r="30061" spans="1:10" x14ac:dyDescent="0.25">
      <c r="A30061" t="s">
        <v>341</v>
      </c>
      <c r="B30061" s="1" t="str">
        <f>HYPERLINK("http://sberbank.com","sberbank.com")</f>
        <v>sberbank.com</v>
      </c>
      <c r="C30061" t="s">
        <v>433</v>
      </c>
      <c r="E30061">
        <v>35938</v>
      </c>
      <c r="F30061">
        <v>1.36187260559131E-6</v>
      </c>
      <c r="G30061">
        <v>28581</v>
      </c>
      <c r="H30061">
        <v>15031663</v>
      </c>
      <c r="I30061">
        <v>418315</v>
      </c>
      <c r="J30061">
        <v>3</v>
      </c>
    </row>
    <row r="30062" spans="1:10" x14ac:dyDescent="0.25">
      <c r="A30062" t="s">
        <v>341</v>
      </c>
      <c r="B30062" s="1" t="str">
        <f>HYPERLINK("http://sib.com.cy","sib.com.cy")</f>
        <v>sib.com.cy</v>
      </c>
      <c r="C30062" t="s">
        <v>610</v>
      </c>
      <c r="D30062" t="s">
        <v>937</v>
      </c>
      <c r="F30062">
        <v>1.39760366648387E-8</v>
      </c>
      <c r="G30062">
        <v>4211780</v>
      </c>
      <c r="H30062">
        <v>13061759</v>
      </c>
      <c r="I30062">
        <v>12321347</v>
      </c>
      <c r="J30062">
        <v>7</v>
      </c>
    </row>
    <row r="30063" spans="1:10" x14ac:dyDescent="0.25">
      <c r="A30063" t="s">
        <v>341</v>
      </c>
      <c r="B30063" s="1" t="str">
        <f>HYPERLINK("http://sberbank.cz","sberbank.cz")</f>
        <v>sberbank.cz</v>
      </c>
      <c r="C30063" t="s">
        <v>435</v>
      </c>
      <c r="D30063" t="s">
        <v>814</v>
      </c>
      <c r="F30063">
        <v>5.5771591491715798E-8</v>
      </c>
      <c r="G30063">
        <v>803822</v>
      </c>
      <c r="H30063">
        <v>12818150</v>
      </c>
      <c r="I30063">
        <v>14523554</v>
      </c>
      <c r="J30063">
        <v>3</v>
      </c>
    </row>
    <row r="30064" spans="1:10" x14ac:dyDescent="0.25">
      <c r="A30064" t="s">
        <v>341</v>
      </c>
      <c r="B30064" s="1" t="str">
        <f>HYPERLINK("http://sberbankcz.cz","sberbankcz.cz")</f>
        <v>sberbankcz.cz</v>
      </c>
      <c r="C30064" t="s">
        <v>435</v>
      </c>
      <c r="D30064" t="s">
        <v>814</v>
      </c>
      <c r="F30064">
        <v>3.8378935067194103E-8</v>
      </c>
      <c r="G30064">
        <v>1348947</v>
      </c>
      <c r="H30064">
        <v>13212581</v>
      </c>
      <c r="I30064">
        <v>11395303</v>
      </c>
      <c r="J30064">
        <v>3</v>
      </c>
    </row>
    <row r="30065" spans="1:10" x14ac:dyDescent="0.25">
      <c r="A30065" t="s">
        <v>341</v>
      </c>
      <c r="B30065" s="1" t="str">
        <f>HYPERLINK("http://schauspiel-leipzig.de","schauspiel-leipzig.de")</f>
        <v>schauspiel-leipzig.de</v>
      </c>
      <c r="C30065" t="s">
        <v>436</v>
      </c>
      <c r="D30065" t="s">
        <v>815</v>
      </c>
      <c r="E30065">
        <v>581642</v>
      </c>
      <c r="F30065">
        <v>1.20441769211464E-7</v>
      </c>
      <c r="G30065">
        <v>328099</v>
      </c>
      <c r="H30065">
        <v>14555808</v>
      </c>
      <c r="I30065">
        <v>752005</v>
      </c>
      <c r="J30065">
        <v>4</v>
      </c>
    </row>
    <row r="30066" spans="1:10" x14ac:dyDescent="0.25">
      <c r="A30066" t="s">
        <v>341</v>
      </c>
      <c r="B30066" s="1" t="str">
        <f>HYPERLINK("http://sberbank.hr","sberbank.hr")</f>
        <v>sberbank.hr</v>
      </c>
      <c r="C30066" t="s">
        <v>452</v>
      </c>
      <c r="D30066" t="s">
        <v>829</v>
      </c>
      <c r="F30066">
        <v>2.3547883546571199E-8</v>
      </c>
      <c r="G30066">
        <v>2209494</v>
      </c>
      <c r="H30066">
        <v>14076243</v>
      </c>
      <c r="I30066">
        <v>2891556</v>
      </c>
      <c r="J30066">
        <v>3</v>
      </c>
    </row>
    <row r="30067" spans="1:10" x14ac:dyDescent="0.25">
      <c r="A30067" t="s">
        <v>341</v>
      </c>
      <c r="B30067" s="1" t="str">
        <f>HYPERLINK("http://sberbank.hu","sberbank.hu")</f>
        <v>sberbank.hu</v>
      </c>
      <c r="C30067" t="s">
        <v>453</v>
      </c>
      <c r="D30067" t="s">
        <v>830</v>
      </c>
      <c r="F30067">
        <v>3.9791081070241502E-8</v>
      </c>
      <c r="G30067">
        <v>1298385</v>
      </c>
      <c r="H30067">
        <v>14076901</v>
      </c>
      <c r="I30067">
        <v>2877616</v>
      </c>
      <c r="J30067">
        <v>5</v>
      </c>
    </row>
    <row r="30068" spans="1:10" x14ac:dyDescent="0.25">
      <c r="A30068" t="s">
        <v>341</v>
      </c>
      <c r="B30068" s="1" t="str">
        <f>HYPERLINK("http://sber.insure","sber.insure")</f>
        <v>sber.insure</v>
      </c>
      <c r="C30068" t="s">
        <v>781</v>
      </c>
      <c r="E30068">
        <v>575157</v>
      </c>
      <c r="F30068">
        <v>1.4395136456333201E-7</v>
      </c>
      <c r="G30068">
        <v>270501</v>
      </c>
      <c r="H30068">
        <v>13117380</v>
      </c>
      <c r="I30068">
        <v>12003694</v>
      </c>
      <c r="J30068">
        <v>5</v>
      </c>
    </row>
    <row r="30069" spans="1:10" x14ac:dyDescent="0.25">
      <c r="A30069" t="s">
        <v>341</v>
      </c>
      <c r="B30069" s="1" t="str">
        <f>HYPERLINK("http://berekebank.kz","berekebank.kz")</f>
        <v>berekebank.kz</v>
      </c>
      <c r="C30069" t="s">
        <v>465</v>
      </c>
      <c r="D30069" t="s">
        <v>841</v>
      </c>
      <c r="E30069">
        <v>116445</v>
      </c>
      <c r="F30069">
        <v>3.1596535938706803E-8</v>
      </c>
      <c r="G30069">
        <v>1633405</v>
      </c>
      <c r="H30069">
        <v>12853839</v>
      </c>
      <c r="I30069">
        <v>14241197</v>
      </c>
      <c r="J30069">
        <v>3</v>
      </c>
    </row>
    <row r="30070" spans="1:10" x14ac:dyDescent="0.25">
      <c r="A30070" t="s">
        <v>341</v>
      </c>
      <c r="B30070" s="1" t="str">
        <f>HYPERLINK("http://sberbank.kz","sberbank.kz")</f>
        <v>sberbank.kz</v>
      </c>
      <c r="C30070" t="s">
        <v>465</v>
      </c>
      <c r="D30070" t="s">
        <v>841</v>
      </c>
      <c r="E30070">
        <v>119790</v>
      </c>
      <c r="F30070">
        <v>9.1753721003081105E-8</v>
      </c>
      <c r="G30070">
        <v>443987</v>
      </c>
      <c r="H30070">
        <v>14135659</v>
      </c>
      <c r="I30070">
        <v>1968260</v>
      </c>
      <c r="J30070">
        <v>3</v>
      </c>
    </row>
    <row r="30071" spans="1:10" x14ac:dyDescent="0.25">
      <c r="A30071" t="s">
        <v>341</v>
      </c>
      <c r="B30071" s="1" t="str">
        <f>HYPERLINK("http://nlb.me","nlb.me")</f>
        <v>nlb.me</v>
      </c>
      <c r="C30071" t="s">
        <v>470</v>
      </c>
      <c r="D30071" t="s">
        <v>846</v>
      </c>
      <c r="F30071">
        <v>3.2395326485829602E-8</v>
      </c>
      <c r="G30071">
        <v>1594886</v>
      </c>
      <c r="H30071">
        <v>13672403</v>
      </c>
      <c r="I30071">
        <v>9544521</v>
      </c>
      <c r="J30071">
        <v>9</v>
      </c>
    </row>
    <row r="30072" spans="1:10" x14ac:dyDescent="0.25">
      <c r="A30072" t="s">
        <v>341</v>
      </c>
      <c r="B30072" s="1" t="str">
        <f>HYPERLINK("http://sber.me","sber.me")</f>
        <v>sber.me</v>
      </c>
      <c r="C30072" t="s">
        <v>470</v>
      </c>
      <c r="D30072" t="s">
        <v>846</v>
      </c>
      <c r="F30072">
        <v>6.6747601599375699E-8</v>
      </c>
      <c r="G30072">
        <v>641383</v>
      </c>
      <c r="H30072">
        <v>13286780</v>
      </c>
      <c r="I30072">
        <v>10889631</v>
      </c>
      <c r="J30072">
        <v>5</v>
      </c>
    </row>
    <row r="30073" spans="1:10" x14ac:dyDescent="0.25">
      <c r="A30073" t="s">
        <v>341</v>
      </c>
      <c r="B30073" s="1" t="str">
        <f>HYPERLINK("http://nlbtb.com.mk","nlbtb.com.mk")</f>
        <v>nlbtb.com.mk</v>
      </c>
      <c r="C30073" t="s">
        <v>531</v>
      </c>
      <c r="D30073" t="s">
        <v>895</v>
      </c>
      <c r="F30073">
        <v>3.44932145138592E-8</v>
      </c>
      <c r="G30073">
        <v>1503934</v>
      </c>
      <c r="H30073">
        <v>14423299</v>
      </c>
      <c r="I30073">
        <v>1083376</v>
      </c>
      <c r="J30073">
        <v>9</v>
      </c>
    </row>
    <row r="30074" spans="1:10" x14ac:dyDescent="0.25">
      <c r="A30074" t="s">
        <v>341</v>
      </c>
      <c r="B30074" s="1" t="str">
        <f>HYPERLINK("http://nlb.mk","nlb.mk")</f>
        <v>nlb.mk</v>
      </c>
      <c r="C30074" t="s">
        <v>531</v>
      </c>
      <c r="D30074" t="s">
        <v>895</v>
      </c>
      <c r="E30074">
        <v>841476</v>
      </c>
      <c r="F30074">
        <v>9.5497227951413798E-8</v>
      </c>
      <c r="G30074">
        <v>424088</v>
      </c>
      <c r="H30074">
        <v>14038012</v>
      </c>
      <c r="I30074">
        <v>3911405</v>
      </c>
      <c r="J30074">
        <v>9</v>
      </c>
    </row>
    <row r="30075" spans="1:10" x14ac:dyDescent="0.25">
      <c r="A30075" t="s">
        <v>341</v>
      </c>
      <c r="B30075" s="1" t="str">
        <f>HYPERLINK("http://rns.online","rns.online")</f>
        <v>rns.online</v>
      </c>
      <c r="C30075" t="s">
        <v>563</v>
      </c>
      <c r="E30075">
        <v>87672</v>
      </c>
      <c r="F30075">
        <v>4.41587834654876E-6</v>
      </c>
      <c r="G30075">
        <v>8007</v>
      </c>
      <c r="H30075">
        <v>17497466</v>
      </c>
      <c r="I30075">
        <v>13820</v>
      </c>
      <c r="J30075">
        <v>4</v>
      </c>
    </row>
    <row r="30076" spans="1:10" x14ac:dyDescent="0.25">
      <c r="A30076" t="s">
        <v>341</v>
      </c>
      <c r="B30076" s="1" t="str">
        <f>HYPERLINK("http://sber.pro","sber.pro")</f>
        <v>sber.pro</v>
      </c>
      <c r="C30076" t="s">
        <v>574</v>
      </c>
      <c r="E30076">
        <v>521028</v>
      </c>
      <c r="F30076">
        <v>2.2880963175859599E-7</v>
      </c>
      <c r="G30076">
        <v>164363</v>
      </c>
      <c r="H30076">
        <v>16881212</v>
      </c>
      <c r="I30076">
        <v>139016</v>
      </c>
      <c r="J30076">
        <v>5</v>
      </c>
    </row>
    <row r="30077" spans="1:10" x14ac:dyDescent="0.25">
      <c r="A30077" t="s">
        <v>341</v>
      </c>
      <c r="B30077" s="1" t="str">
        <f>HYPERLINK("http://aikbanka.rs","aikbanka.rs")</f>
        <v>aikbanka.rs</v>
      </c>
      <c r="C30077" t="s">
        <v>492</v>
      </c>
      <c r="D30077" t="s">
        <v>866</v>
      </c>
      <c r="E30077">
        <v>477752</v>
      </c>
      <c r="F30077">
        <v>6.7461445276213696E-8</v>
      </c>
      <c r="G30077">
        <v>633374</v>
      </c>
      <c r="H30077">
        <v>14420939</v>
      </c>
      <c r="I30077">
        <v>1088487</v>
      </c>
      <c r="J30077">
        <v>4</v>
      </c>
    </row>
    <row r="30078" spans="1:10" x14ac:dyDescent="0.25">
      <c r="A30078" t="s">
        <v>341</v>
      </c>
      <c r="B30078" s="1" t="str">
        <f>HYPERLINK("http://nlb.rs","nlb.rs")</f>
        <v>nlb.rs</v>
      </c>
      <c r="C30078" t="s">
        <v>492</v>
      </c>
      <c r="D30078" t="s">
        <v>866</v>
      </c>
      <c r="F30078">
        <v>2.49056053625296E-8</v>
      </c>
      <c r="G30078">
        <v>2075968</v>
      </c>
      <c r="H30078">
        <v>12498418</v>
      </c>
      <c r="I30078">
        <v>17377184</v>
      </c>
      <c r="J30078">
        <v>9</v>
      </c>
    </row>
    <row r="30079" spans="1:10" x14ac:dyDescent="0.25">
      <c r="A30079" t="s">
        <v>341</v>
      </c>
      <c r="B30079" s="1" t="str">
        <f>HYPERLINK("http://sberbank.rs","sberbank.rs")</f>
        <v>sberbank.rs</v>
      </c>
      <c r="C30079" t="s">
        <v>492</v>
      </c>
      <c r="D30079" t="s">
        <v>866</v>
      </c>
      <c r="F30079">
        <v>3.9023990955833803E-8</v>
      </c>
      <c r="G30079">
        <v>1321566</v>
      </c>
      <c r="H30079">
        <v>14497892</v>
      </c>
      <c r="I30079">
        <v>864070</v>
      </c>
      <c r="J30079">
        <v>3</v>
      </c>
    </row>
    <row r="30080" spans="1:10" x14ac:dyDescent="0.25">
      <c r="A30080" t="s">
        <v>341</v>
      </c>
      <c r="B30080" s="1" t="str">
        <f>HYPERLINK("http://amazme.ru","amazme.ru")</f>
        <v>amazme.ru</v>
      </c>
      <c r="C30080" t="s">
        <v>493</v>
      </c>
      <c r="D30080" t="s">
        <v>867</v>
      </c>
      <c r="J30080">
        <v>4</v>
      </c>
    </row>
    <row r="30081" spans="1:10" x14ac:dyDescent="0.25">
      <c r="A30081" t="s">
        <v>341</v>
      </c>
      <c r="B30081" s="1" t="str">
        <f>HYPERLINK("http://cetelem.ru","cetelem.ru")</f>
        <v>cetelem.ru</v>
      </c>
      <c r="C30081" t="s">
        <v>493</v>
      </c>
      <c r="D30081" t="s">
        <v>867</v>
      </c>
      <c r="E30081">
        <v>28385</v>
      </c>
      <c r="F30081">
        <v>1.5401789840763201E-7</v>
      </c>
      <c r="G30081">
        <v>252198</v>
      </c>
      <c r="H30081">
        <v>16952754</v>
      </c>
      <c r="I30081">
        <v>107497</v>
      </c>
      <c r="J30081">
        <v>7</v>
      </c>
    </row>
    <row r="30082" spans="1:10" x14ac:dyDescent="0.25">
      <c r="A30082" t="s">
        <v>341</v>
      </c>
      <c r="B30082" s="1" t="str">
        <f>HYPERLINK("http://citydrive.ru","citydrive.ru")</f>
        <v>citydrive.ru</v>
      </c>
      <c r="C30082" t="s">
        <v>493</v>
      </c>
      <c r="D30082" t="s">
        <v>867</v>
      </c>
      <c r="E30082">
        <v>267298</v>
      </c>
      <c r="F30082">
        <v>2.7906061144749402E-7</v>
      </c>
      <c r="G30082">
        <v>133282</v>
      </c>
      <c r="H30082">
        <v>16814886</v>
      </c>
      <c r="I30082">
        <v>189386</v>
      </c>
      <c r="J30082">
        <v>3</v>
      </c>
    </row>
    <row r="30083" spans="1:10" x14ac:dyDescent="0.25">
      <c r="A30083" t="s">
        <v>341</v>
      </c>
      <c r="B30083" s="1" t="str">
        <f>HYPERLINK("http://eapteka.ru","eapteka.ru")</f>
        <v>eapteka.ru</v>
      </c>
      <c r="C30083" t="s">
        <v>493</v>
      </c>
      <c r="D30083" t="s">
        <v>867</v>
      </c>
      <c r="E30083">
        <v>16458</v>
      </c>
      <c r="F30083">
        <v>5.7314009830652497E-7</v>
      </c>
      <c r="G30083">
        <v>66674</v>
      </c>
      <c r="H30083">
        <v>14706158</v>
      </c>
      <c r="I30083">
        <v>586888</v>
      </c>
      <c r="J30083">
        <v>3</v>
      </c>
    </row>
    <row r="30084" spans="1:10" x14ac:dyDescent="0.25">
      <c r="A30084" t="s">
        <v>341</v>
      </c>
      <c r="B30084" s="1" t="str">
        <f>HYPERLINK("http://mysbertips.ru","mysbertips.ru")</f>
        <v>mysbertips.ru</v>
      </c>
      <c r="C30084" t="s">
        <v>493</v>
      </c>
      <c r="D30084" t="s">
        <v>867</v>
      </c>
      <c r="E30084">
        <v>887352</v>
      </c>
      <c r="F30084">
        <v>5.01943894874157E-8</v>
      </c>
      <c r="G30084">
        <v>916728</v>
      </c>
      <c r="H30084">
        <v>13346439</v>
      </c>
      <c r="I30084">
        <v>10647750</v>
      </c>
      <c r="J30084">
        <v>4</v>
      </c>
    </row>
    <row r="30085" spans="1:10" x14ac:dyDescent="0.25">
      <c r="A30085" t="s">
        <v>341</v>
      </c>
      <c r="B30085" s="1" t="str">
        <f>HYPERLINK("http://navplatform.ru","navplatform.ru")</f>
        <v>navplatform.ru</v>
      </c>
      <c r="C30085" t="s">
        <v>493</v>
      </c>
      <c r="D30085" t="s">
        <v>867</v>
      </c>
      <c r="J30085">
        <v>4</v>
      </c>
    </row>
    <row r="30086" spans="1:10" x14ac:dyDescent="0.25">
      <c r="A30086" t="s">
        <v>341</v>
      </c>
      <c r="B30086" s="1" t="str">
        <f>HYPERLINK("http://rambler.ru","rambler.ru")</f>
        <v>rambler.ru</v>
      </c>
      <c r="C30086" t="s">
        <v>493</v>
      </c>
      <c r="D30086" t="s">
        <v>867</v>
      </c>
      <c r="E30086">
        <v>393</v>
      </c>
      <c r="F30086">
        <v>5.07774008383559E-5</v>
      </c>
      <c r="G30086">
        <v>513</v>
      </c>
      <c r="H30086">
        <v>18009052</v>
      </c>
      <c r="I30086">
        <v>3630</v>
      </c>
      <c r="J30086">
        <v>4</v>
      </c>
    </row>
    <row r="30087" spans="1:10" x14ac:dyDescent="0.25">
      <c r="A30087" t="s">
        <v>341</v>
      </c>
      <c r="B30087" s="1" t="str">
        <f>HYPERLINK("http://sber.ru","sber.ru")</f>
        <v>sber.ru</v>
      </c>
      <c r="C30087" t="s">
        <v>493</v>
      </c>
      <c r="D30087" t="s">
        <v>867</v>
      </c>
      <c r="E30087">
        <v>2888</v>
      </c>
      <c r="F30087">
        <v>1.4273392907564299E-6</v>
      </c>
      <c r="G30087">
        <v>27422</v>
      </c>
      <c r="H30087">
        <v>14588812</v>
      </c>
      <c r="I30087">
        <v>697539</v>
      </c>
      <c r="J30087">
        <v>4</v>
      </c>
    </row>
    <row r="30088" spans="1:10" x14ac:dyDescent="0.25">
      <c r="A30088" t="s">
        <v>341</v>
      </c>
      <c r="B30088" s="1" t="str">
        <f>HYPERLINK("http://sberbank.ru","sberbank.ru")</f>
        <v>sberbank.ru</v>
      </c>
      <c r="C30088" t="s">
        <v>493</v>
      </c>
      <c r="D30088" t="s">
        <v>867</v>
      </c>
      <c r="E30088">
        <v>918</v>
      </c>
      <c r="F30088">
        <v>9.3575464650453697E-6</v>
      </c>
      <c r="G30088">
        <v>3614</v>
      </c>
      <c r="H30088">
        <v>17789962</v>
      </c>
      <c r="I30088">
        <v>5735</v>
      </c>
      <c r="J30088">
        <v>2</v>
      </c>
    </row>
    <row r="30089" spans="1:10" x14ac:dyDescent="0.25">
      <c r="A30089" t="s">
        <v>341</v>
      </c>
      <c r="B30089" s="1" t="str">
        <f>HYPERLINK("http://sberbank-fa.ru","sberbank-fa.ru")</f>
        <v>sberbank-fa.ru</v>
      </c>
      <c r="C30089" t="s">
        <v>493</v>
      </c>
      <c r="D30089" t="s">
        <v>867</v>
      </c>
      <c r="F30089">
        <v>7.7527514041298003E-9</v>
      </c>
      <c r="G30089">
        <v>10461402</v>
      </c>
      <c r="H30089">
        <v>10895403</v>
      </c>
      <c r="I30089">
        <v>35943586</v>
      </c>
      <c r="J30089">
        <v>7</v>
      </c>
    </row>
    <row r="30090" spans="1:10" x14ac:dyDescent="0.25">
      <c r="A30090" t="s">
        <v>341</v>
      </c>
      <c r="B30090" s="1" t="str">
        <f>HYPERLINK("http://sberbank-insurance.ru","sberbank-insurance.ru")</f>
        <v>sberbank-insurance.ru</v>
      </c>
      <c r="C30090" t="s">
        <v>493</v>
      </c>
      <c r="D30090" t="s">
        <v>867</v>
      </c>
      <c r="E30090">
        <v>429405</v>
      </c>
      <c r="F30090">
        <v>1.73055239781139E-7</v>
      </c>
      <c r="G30090">
        <v>224191</v>
      </c>
      <c r="H30090">
        <v>13207507</v>
      </c>
      <c r="I30090">
        <v>11523552</v>
      </c>
      <c r="J30090">
        <v>7</v>
      </c>
    </row>
    <row r="30091" spans="1:10" x14ac:dyDescent="0.25">
      <c r="A30091" t="s">
        <v>341</v>
      </c>
      <c r="B30091" s="1" t="str">
        <f>HYPERLINK("http://sberbank1.ru","sberbank1.ru")</f>
        <v>sberbank1.ru</v>
      </c>
      <c r="C30091" t="s">
        <v>493</v>
      </c>
      <c r="D30091" t="s">
        <v>867</v>
      </c>
      <c r="F30091">
        <v>9.3951934835678896E-9</v>
      </c>
      <c r="G30091">
        <v>7450406</v>
      </c>
      <c r="H30091">
        <v>12968262</v>
      </c>
      <c r="I30091">
        <v>13062957</v>
      </c>
      <c r="J30091">
        <v>4</v>
      </c>
    </row>
    <row r="30092" spans="1:10" x14ac:dyDescent="0.25">
      <c r="A30092" t="s">
        <v>341</v>
      </c>
      <c r="B30092" s="1" t="str">
        <f>HYPERLINK("http://sbrf.ru","sbrf.ru")</f>
        <v>sbrf.ru</v>
      </c>
      <c r="C30092" t="s">
        <v>493</v>
      </c>
      <c r="D30092" t="s">
        <v>867</v>
      </c>
      <c r="E30092">
        <v>3322</v>
      </c>
      <c r="F30092">
        <v>4.3008213293372502E-7</v>
      </c>
      <c r="G30092">
        <v>87601</v>
      </c>
      <c r="H30092">
        <v>14920098</v>
      </c>
      <c r="I30092">
        <v>452049</v>
      </c>
      <c r="J30092">
        <v>3</v>
      </c>
    </row>
    <row r="30093" spans="1:10" x14ac:dyDescent="0.25">
      <c r="A30093" t="s">
        <v>341</v>
      </c>
      <c r="B30093" s="1" t="str">
        <f>HYPERLINK("http://spasibosberbank.ru","spasibosberbank.ru")</f>
        <v>spasibosberbank.ru</v>
      </c>
      <c r="C30093" t="s">
        <v>493</v>
      </c>
      <c r="D30093" t="s">
        <v>867</v>
      </c>
      <c r="E30093">
        <v>92528</v>
      </c>
      <c r="F30093">
        <v>5.39969605590057E-7</v>
      </c>
      <c r="G30093">
        <v>71524</v>
      </c>
      <c r="H30093">
        <v>13304508</v>
      </c>
      <c r="I30093">
        <v>10808392</v>
      </c>
      <c r="J30093">
        <v>4</v>
      </c>
    </row>
    <row r="30094" spans="1:10" x14ac:dyDescent="0.25">
      <c r="A30094" t="s">
        <v>341</v>
      </c>
      <c r="B30094" s="1" t="str">
        <f>HYPERLINK("http://strategy.ru","strategy.ru")</f>
        <v>strategy.ru</v>
      </c>
      <c r="C30094" t="s">
        <v>493</v>
      </c>
      <c r="D30094" t="s">
        <v>867</v>
      </c>
      <c r="F30094">
        <v>9.8997750913309494E-8</v>
      </c>
      <c r="G30094">
        <v>406920</v>
      </c>
      <c r="H30094">
        <v>13260557</v>
      </c>
      <c r="I30094">
        <v>11039400</v>
      </c>
      <c r="J30094">
        <v>3</v>
      </c>
    </row>
    <row r="30095" spans="1:10" x14ac:dyDescent="0.25">
      <c r="A30095" t="s">
        <v>341</v>
      </c>
      <c r="B30095" s="1" t="str">
        <f>HYPERLINK("http://gbkr.si","gbkr.si")</f>
        <v>gbkr.si</v>
      </c>
      <c r="C30095" t="s">
        <v>497</v>
      </c>
      <c r="D30095" t="s">
        <v>871</v>
      </c>
      <c r="E30095">
        <v>903871</v>
      </c>
      <c r="F30095">
        <v>4.8161941984660001E-8</v>
      </c>
      <c r="G30095">
        <v>964825</v>
      </c>
      <c r="H30095">
        <v>13872623</v>
      </c>
      <c r="I30095">
        <v>5995491</v>
      </c>
      <c r="J30095">
        <v>9</v>
      </c>
    </row>
    <row r="30096" spans="1:10" x14ac:dyDescent="0.25">
      <c r="A30096" t="s">
        <v>341</v>
      </c>
      <c r="B30096" s="1" t="str">
        <f>HYPERLINK("http://nlb.si","nlb.si")</f>
        <v>nlb.si</v>
      </c>
      <c r="C30096" t="s">
        <v>497</v>
      </c>
      <c r="D30096" t="s">
        <v>871</v>
      </c>
      <c r="E30096">
        <v>144411</v>
      </c>
      <c r="F30096">
        <v>3.34204688297098E-7</v>
      </c>
      <c r="G30096">
        <v>111553</v>
      </c>
      <c r="H30096">
        <v>15414146</v>
      </c>
      <c r="I30096">
        <v>379598</v>
      </c>
      <c r="J30096">
        <v>8</v>
      </c>
    </row>
    <row r="30097" spans="1:10" x14ac:dyDescent="0.25">
      <c r="A30097" t="s">
        <v>341</v>
      </c>
      <c r="B30097" s="1" t="str">
        <f>HYPERLINK("http://nlbskladi.si","nlbskladi.si")</f>
        <v>nlbskladi.si</v>
      </c>
      <c r="C30097" t="s">
        <v>497</v>
      </c>
      <c r="D30097" t="s">
        <v>871</v>
      </c>
      <c r="F30097">
        <v>9.7660858797512395E-9</v>
      </c>
      <c r="G30097">
        <v>7005706</v>
      </c>
      <c r="H30097">
        <v>14072567</v>
      </c>
      <c r="I30097">
        <v>3072590</v>
      </c>
      <c r="J30097">
        <v>9</v>
      </c>
    </row>
    <row r="30098" spans="1:10" x14ac:dyDescent="0.25">
      <c r="A30098" t="s">
        <v>341</v>
      </c>
      <c r="B30098" s="1" t="str">
        <f>HYPERLINK("http://sberbank.si","sberbank.si")</f>
        <v>sberbank.si</v>
      </c>
      <c r="C30098" t="s">
        <v>497</v>
      </c>
      <c r="D30098" t="s">
        <v>871</v>
      </c>
      <c r="E30098">
        <v>798619</v>
      </c>
      <c r="F30098">
        <v>4.5526773297808802E-8</v>
      </c>
      <c r="G30098">
        <v>1033790</v>
      </c>
      <c r="H30098">
        <v>14033133</v>
      </c>
      <c r="I30098">
        <v>3921055</v>
      </c>
      <c r="J30098">
        <v>3</v>
      </c>
    </row>
    <row r="30099" spans="1:10" x14ac:dyDescent="0.25">
      <c r="A30099" t="s">
        <v>341</v>
      </c>
      <c r="B30099" s="1" t="str">
        <f>HYPERLINK("http://rambler.su","rambler.su")</f>
        <v>rambler.su</v>
      </c>
      <c r="C30099" t="s">
        <v>670</v>
      </c>
      <c r="E30099">
        <v>92784</v>
      </c>
      <c r="F30099">
        <v>1.71097075200919E-8</v>
      </c>
      <c r="G30099">
        <v>3258669</v>
      </c>
      <c r="H30099">
        <v>12542056</v>
      </c>
      <c r="I30099">
        <v>16911628</v>
      </c>
      <c r="J30099">
        <v>5</v>
      </c>
    </row>
    <row r="30100" spans="1:10" x14ac:dyDescent="0.25">
      <c r="A30100" t="s">
        <v>341</v>
      </c>
      <c r="B30100" s="1" t="str">
        <f>HYPERLINK("http://rambler.ua","rambler.ua")</f>
        <v>rambler.ua</v>
      </c>
      <c r="C30100" t="s">
        <v>505</v>
      </c>
      <c r="D30100" t="s">
        <v>879</v>
      </c>
      <c r="E30100">
        <v>881195</v>
      </c>
      <c r="F30100">
        <v>2.3120276884149401E-8</v>
      </c>
      <c r="G30100">
        <v>2257971</v>
      </c>
      <c r="H30100">
        <v>13463025</v>
      </c>
      <c r="I30100">
        <v>10147296</v>
      </c>
      <c r="J30100">
        <v>5</v>
      </c>
    </row>
    <row r="30101" spans="1:10" x14ac:dyDescent="0.25">
      <c r="A30101" t="s">
        <v>341</v>
      </c>
      <c r="B30101" s="1" t="str">
        <f>HYPERLINK("http://sberbank-cib.co.uk","sberbank-cib.co.uk")</f>
        <v>sberbank-cib.co.uk</v>
      </c>
      <c r="C30101" t="s">
        <v>506</v>
      </c>
      <c r="D30101" t="s">
        <v>880</v>
      </c>
      <c r="F30101">
        <v>4.9822842946035696E-9</v>
      </c>
      <c r="G30101">
        <v>29939112</v>
      </c>
      <c r="H30101">
        <v>14071791</v>
      </c>
      <c r="I30101">
        <v>3468550</v>
      </c>
      <c r="J30101">
        <v>7</v>
      </c>
    </row>
    <row r="30102" spans="1:10" x14ac:dyDescent="0.25">
      <c r="A30102" t="s">
        <v>342</v>
      </c>
      <c r="B30102" s="1" t="str">
        <f>HYPERLINK("http://c-a-m.com","c-a-m.com")</f>
        <v>c-a-m.com</v>
      </c>
      <c r="C30102" t="s">
        <v>433</v>
      </c>
      <c r="E30102">
        <v>305797</v>
      </c>
      <c r="F30102">
        <v>8.8484843485392205E-8</v>
      </c>
      <c r="G30102">
        <v>462590</v>
      </c>
      <c r="H30102">
        <v>17043600</v>
      </c>
      <c r="I30102">
        <v>78294</v>
      </c>
      <c r="J30102">
        <v>5</v>
      </c>
    </row>
    <row r="30103" spans="1:10" x14ac:dyDescent="0.25">
      <c r="A30103" t="s">
        <v>342</v>
      </c>
      <c r="B30103" s="1" t="str">
        <f>HYPERLINK("http://midf.com","midf.com")</f>
        <v>midf.com</v>
      </c>
      <c r="C30103" t="s">
        <v>433</v>
      </c>
      <c r="F30103">
        <v>4.44380395335525E-9</v>
      </c>
      <c r="G30103">
        <v>87246271</v>
      </c>
      <c r="H30103">
        <v>0</v>
      </c>
      <c r="I30103">
        <v>83285077</v>
      </c>
      <c r="J30103">
        <v>4</v>
      </c>
    </row>
    <row r="30104" spans="1:10" x14ac:dyDescent="0.25">
      <c r="A30104" t="s">
        <v>342</v>
      </c>
      <c r="B30104" s="1" t="str">
        <f>HYPERLINK("http://onesubsea.com","onesubsea.com")</f>
        <v>onesubsea.com</v>
      </c>
      <c r="C30104" t="s">
        <v>433</v>
      </c>
      <c r="F30104">
        <v>1.9148157897349299E-8</v>
      </c>
      <c r="G30104">
        <v>2807417</v>
      </c>
      <c r="H30104">
        <v>14106718</v>
      </c>
      <c r="I30104">
        <v>2685987</v>
      </c>
      <c r="J30104">
        <v>4</v>
      </c>
    </row>
    <row r="30105" spans="1:10" x14ac:dyDescent="0.25">
      <c r="A30105" t="s">
        <v>342</v>
      </c>
      <c r="B30105" s="1" t="str">
        <f>HYPERLINK("http://slb.com","slb.com")</f>
        <v>slb.com</v>
      </c>
      <c r="C30105" t="s">
        <v>433</v>
      </c>
      <c r="E30105">
        <v>8327</v>
      </c>
      <c r="F30105">
        <v>1.9064787421051101E-6</v>
      </c>
      <c r="G30105">
        <v>19351</v>
      </c>
      <c r="H30105">
        <v>17755416</v>
      </c>
      <c r="I30105">
        <v>6275</v>
      </c>
      <c r="J30105">
        <v>1</v>
      </c>
    </row>
    <row r="30106" spans="1:10" x14ac:dyDescent="0.25">
      <c r="A30106" t="s">
        <v>342</v>
      </c>
      <c r="B30106" s="1" t="str">
        <f>HYPERLINK("http://slb-ds.com","slb-ds.com")</f>
        <v>slb-ds.com</v>
      </c>
      <c r="C30106" t="s">
        <v>433</v>
      </c>
      <c r="E30106">
        <v>137909</v>
      </c>
      <c r="F30106">
        <v>4.4448341860149098E-9</v>
      </c>
      <c r="G30106">
        <v>76013098</v>
      </c>
      <c r="H30106">
        <v>10366670</v>
      </c>
      <c r="I30106">
        <v>54971768</v>
      </c>
      <c r="J30106">
        <v>3</v>
      </c>
    </row>
    <row r="30107" spans="1:10" x14ac:dyDescent="0.25">
      <c r="A30107" t="s">
        <v>342</v>
      </c>
      <c r="B30107" s="1" t="str">
        <f>HYPERLINK("http://westerngeco.com","westerngeco.com")</f>
        <v>westerngeco.com</v>
      </c>
      <c r="C30107" t="s">
        <v>433</v>
      </c>
      <c r="F30107">
        <v>1.98380183863956E-8</v>
      </c>
      <c r="G30107">
        <v>2687117</v>
      </c>
      <c r="H30107">
        <v>14851320</v>
      </c>
      <c r="I30107">
        <v>490146</v>
      </c>
      <c r="J30107">
        <v>6</v>
      </c>
    </row>
    <row r="30108" spans="1:10" x14ac:dyDescent="0.25">
      <c r="A30108" t="s">
        <v>342</v>
      </c>
      <c r="B30108" s="1" t="str">
        <f>HYPERLINK("http://rdrgroup.co.uk","rdrgroup.co.uk")</f>
        <v>rdrgroup.co.uk</v>
      </c>
      <c r="C30108" t="s">
        <v>506</v>
      </c>
      <c r="D30108" t="s">
        <v>880</v>
      </c>
      <c r="J30108">
        <v>5</v>
      </c>
    </row>
    <row r="30109" spans="1:10" x14ac:dyDescent="0.25">
      <c r="A30109" t="s">
        <v>343</v>
      </c>
      <c r="B30109" s="1" t="str">
        <f>HYPERLINK("http://se.app","se.app")</f>
        <v>se.app</v>
      </c>
      <c r="C30109" t="s">
        <v>587</v>
      </c>
      <c r="F30109">
        <v>3.3351806164682598E-8</v>
      </c>
      <c r="G30109">
        <v>1549683</v>
      </c>
      <c r="H30109">
        <v>13359037</v>
      </c>
      <c r="I30109">
        <v>10590838</v>
      </c>
      <c r="J30109">
        <v>3</v>
      </c>
    </row>
    <row r="30110" spans="1:10" x14ac:dyDescent="0.25">
      <c r="A30110" t="s">
        <v>343</v>
      </c>
      <c r="B30110" s="1" t="str">
        <f>HYPERLINK("http://proface.at","proface.at")</f>
        <v>proface.at</v>
      </c>
      <c r="C30110" t="s">
        <v>419</v>
      </c>
      <c r="D30110" t="s">
        <v>801</v>
      </c>
      <c r="F30110">
        <v>5.5231607386642499E-9</v>
      </c>
      <c r="G30110">
        <v>20653481</v>
      </c>
      <c r="H30110">
        <v>10858176</v>
      </c>
      <c r="I30110">
        <v>36700706</v>
      </c>
      <c r="J30110">
        <v>4</v>
      </c>
    </row>
    <row r="30111" spans="1:10" x14ac:dyDescent="0.25">
      <c r="A30111" t="s">
        <v>343</v>
      </c>
      <c r="B30111" s="1" t="str">
        <f>HYPERLINK("http://creativeenergy.com.au","creativeenergy.com.au")</f>
        <v>creativeenergy.com.au</v>
      </c>
      <c r="C30111" t="s">
        <v>420</v>
      </c>
      <c r="D30111" t="s">
        <v>802</v>
      </c>
      <c r="J30111">
        <v>3</v>
      </c>
    </row>
    <row r="30112" spans="1:10" x14ac:dyDescent="0.25">
      <c r="A30112" t="s">
        <v>343</v>
      </c>
      <c r="B30112" s="1" t="str">
        <f>HYPERLINK("http://schneider-electric.com.au","schneider-electric.com.au")</f>
        <v>schneider-electric.com.au</v>
      </c>
      <c r="C30112" t="s">
        <v>420</v>
      </c>
      <c r="D30112" t="s">
        <v>802</v>
      </c>
      <c r="F30112">
        <v>6.3769942309806002E-8</v>
      </c>
      <c r="G30112">
        <v>680393</v>
      </c>
      <c r="H30112">
        <v>16876044</v>
      </c>
      <c r="I30112">
        <v>141531</v>
      </c>
      <c r="J30112">
        <v>2</v>
      </c>
    </row>
    <row r="30113" spans="1:10" x14ac:dyDescent="0.25">
      <c r="A30113" t="s">
        <v>343</v>
      </c>
      <c r="B30113" s="1" t="str">
        <f>HYPERLINK("http://proface.be","proface.be")</f>
        <v>proface.be</v>
      </c>
      <c r="C30113" t="s">
        <v>421</v>
      </c>
      <c r="D30113" t="s">
        <v>803</v>
      </c>
      <c r="F30113">
        <v>5.5231314955034104E-9</v>
      </c>
      <c r="G30113">
        <v>20653793</v>
      </c>
      <c r="H30113">
        <v>10757210</v>
      </c>
      <c r="I30113">
        <v>39738364</v>
      </c>
      <c r="J30113">
        <v>4</v>
      </c>
    </row>
    <row r="30114" spans="1:10" x14ac:dyDescent="0.25">
      <c r="A30114" t="s">
        <v>343</v>
      </c>
      <c r="B30114" s="1" t="str">
        <f>HYPERLINK("http://schneider-electric.be","schneider-electric.be")</f>
        <v>schneider-electric.be</v>
      </c>
      <c r="C30114" t="s">
        <v>421</v>
      </c>
      <c r="D30114" t="s">
        <v>803</v>
      </c>
      <c r="F30114">
        <v>2.9171095004306101E-8</v>
      </c>
      <c r="G30114">
        <v>1765599</v>
      </c>
      <c r="H30114">
        <v>13944192</v>
      </c>
      <c r="I30114">
        <v>4304729</v>
      </c>
      <c r="J30114">
        <v>2</v>
      </c>
    </row>
    <row r="30115" spans="1:10" x14ac:dyDescent="0.25">
      <c r="A30115" t="s">
        <v>343</v>
      </c>
      <c r="B30115" s="1" t="str">
        <f>HYPERLINK("http://microsol.com.br","microsol.com.br")</f>
        <v>microsol.com.br</v>
      </c>
      <c r="C30115" t="s">
        <v>425</v>
      </c>
      <c r="D30115" t="s">
        <v>806</v>
      </c>
      <c r="F30115">
        <v>4.7015663617248199E-9</v>
      </c>
      <c r="G30115">
        <v>41153721</v>
      </c>
      <c r="H30115">
        <v>12330889</v>
      </c>
      <c r="I30115">
        <v>20196867</v>
      </c>
      <c r="J30115">
        <v>3</v>
      </c>
    </row>
    <row r="30116" spans="1:10" x14ac:dyDescent="0.25">
      <c r="A30116" t="s">
        <v>343</v>
      </c>
      <c r="B30116" s="1" t="str">
        <f>HYPERLINK("http://osisoft.com.br","osisoft.com.br")</f>
        <v>osisoft.com.br</v>
      </c>
      <c r="C30116" t="s">
        <v>425</v>
      </c>
      <c r="D30116" t="s">
        <v>806</v>
      </c>
      <c r="F30116">
        <v>4.44387935887094E-9</v>
      </c>
      <c r="G30116">
        <v>78069363</v>
      </c>
      <c r="H30116">
        <v>10494036</v>
      </c>
      <c r="I30116">
        <v>50546412</v>
      </c>
      <c r="J30116">
        <v>8</v>
      </c>
    </row>
    <row r="30117" spans="1:10" x14ac:dyDescent="0.25">
      <c r="A30117" t="s">
        <v>343</v>
      </c>
      <c r="B30117" s="1" t="str">
        <f>HYPERLINK("http://steck.com.br","steck.com.br")</f>
        <v>steck.com.br</v>
      </c>
      <c r="C30117" t="s">
        <v>425</v>
      </c>
      <c r="D30117" t="s">
        <v>806</v>
      </c>
      <c r="F30117">
        <v>9.9208222056422994E-9</v>
      </c>
      <c r="G30117">
        <v>6837092</v>
      </c>
      <c r="H30117">
        <v>13937098</v>
      </c>
      <c r="I30117">
        <v>4474290</v>
      </c>
      <c r="J30117">
        <v>5</v>
      </c>
    </row>
    <row r="30118" spans="1:10" x14ac:dyDescent="0.25">
      <c r="A30118" t="s">
        <v>343</v>
      </c>
      <c r="B30118" s="1" t="str">
        <f>HYPERLINK("http://wonderware.by","wonderware.by")</f>
        <v>wonderware.by</v>
      </c>
      <c r="C30118" t="s">
        <v>427</v>
      </c>
      <c r="D30118" t="s">
        <v>808</v>
      </c>
      <c r="F30118">
        <v>6.1272000074847199E-9</v>
      </c>
      <c r="G30118">
        <v>15940408</v>
      </c>
      <c r="H30118">
        <v>9526583</v>
      </c>
      <c r="I30118">
        <v>65337640</v>
      </c>
      <c r="J30118">
        <v>8</v>
      </c>
    </row>
    <row r="30119" spans="1:10" x14ac:dyDescent="0.25">
      <c r="A30119" t="s">
        <v>343</v>
      </c>
      <c r="B30119" s="1" t="str">
        <f>HYPERLINK("http://schneider-electric.ca","schneider-electric.ca")</f>
        <v>schneider-electric.ca</v>
      </c>
      <c r="C30119" t="s">
        <v>428</v>
      </c>
      <c r="D30119" t="s">
        <v>809</v>
      </c>
      <c r="F30119">
        <v>4.8483110413376199E-8</v>
      </c>
      <c r="G30119">
        <v>956920</v>
      </c>
      <c r="H30119">
        <v>14109715</v>
      </c>
      <c r="I30119">
        <v>2676730</v>
      </c>
      <c r="J30119">
        <v>2</v>
      </c>
    </row>
    <row r="30120" spans="1:10" x14ac:dyDescent="0.25">
      <c r="A30120" t="s">
        <v>343</v>
      </c>
      <c r="B30120" s="1" t="str">
        <f>HYPERLINK("http://gutor.ch","gutor.ch")</f>
        <v>gutor.ch</v>
      </c>
      <c r="C30120" t="s">
        <v>429</v>
      </c>
      <c r="D30120" t="s">
        <v>810</v>
      </c>
      <c r="F30120">
        <v>6.5483271646244798E-9</v>
      </c>
      <c r="G30120">
        <v>13879775</v>
      </c>
      <c r="H30120">
        <v>8029730.5</v>
      </c>
      <c r="I30120">
        <v>75146882</v>
      </c>
      <c r="J30120">
        <v>3</v>
      </c>
    </row>
    <row r="30121" spans="1:10" x14ac:dyDescent="0.25">
      <c r="A30121" t="s">
        <v>343</v>
      </c>
      <c r="B30121" s="1" t="str">
        <f>HYPERLINK("http://proface.ch","proface.ch")</f>
        <v>proface.ch</v>
      </c>
      <c r="C30121" t="s">
        <v>429</v>
      </c>
      <c r="D30121" t="s">
        <v>810</v>
      </c>
      <c r="F30121">
        <v>5.5231314955034203E-9</v>
      </c>
      <c r="G30121">
        <v>20653791</v>
      </c>
      <c r="H30121">
        <v>10757210</v>
      </c>
      <c r="I30121">
        <v>39738365</v>
      </c>
      <c r="J30121">
        <v>4</v>
      </c>
    </row>
    <row r="30122" spans="1:10" x14ac:dyDescent="0.25">
      <c r="A30122" t="s">
        <v>343</v>
      </c>
      <c r="B30122" s="1" t="str">
        <f>HYPERLINK("http://aveva.cn","aveva.cn")</f>
        <v>aveva.cn</v>
      </c>
      <c r="C30122" t="s">
        <v>431</v>
      </c>
      <c r="D30122" t="s">
        <v>812</v>
      </c>
      <c r="F30122">
        <v>1.8343920789830201E-8</v>
      </c>
      <c r="G30122">
        <v>2958986</v>
      </c>
      <c r="H30122">
        <v>12600922</v>
      </c>
      <c r="I30122">
        <v>16319599</v>
      </c>
      <c r="J30122">
        <v>5</v>
      </c>
    </row>
    <row r="30123" spans="1:10" x14ac:dyDescent="0.25">
      <c r="A30123" t="s">
        <v>343</v>
      </c>
      <c r="B30123" s="1" t="str">
        <f>HYPERLINK("http://proface.com.cn","proface.com.cn")</f>
        <v>proface.com.cn</v>
      </c>
      <c r="C30123" t="s">
        <v>431</v>
      </c>
      <c r="D30123" t="s">
        <v>812</v>
      </c>
      <c r="F30123">
        <v>2.5551780440982199E-8</v>
      </c>
      <c r="G30123">
        <v>2018344</v>
      </c>
      <c r="H30123">
        <v>11226589</v>
      </c>
      <c r="I30123">
        <v>31048741</v>
      </c>
      <c r="J30123">
        <v>4</v>
      </c>
    </row>
    <row r="30124" spans="1:10" x14ac:dyDescent="0.25">
      <c r="A30124" t="s">
        <v>343</v>
      </c>
      <c r="B30124" s="1" t="str">
        <f>HYPERLINK("http://tayee.com.cn","tayee.com.cn")</f>
        <v>tayee.com.cn</v>
      </c>
      <c r="C30124" t="s">
        <v>431</v>
      </c>
      <c r="D30124" t="s">
        <v>812</v>
      </c>
      <c r="F30124">
        <v>6.1671378901501996E-9</v>
      </c>
      <c r="G30124">
        <v>15708232</v>
      </c>
      <c r="H30124">
        <v>7806689</v>
      </c>
      <c r="I30124">
        <v>75612091</v>
      </c>
      <c r="J30124">
        <v>3</v>
      </c>
    </row>
    <row r="30125" spans="1:10" x14ac:dyDescent="0.25">
      <c r="A30125" t="s">
        <v>343</v>
      </c>
      <c r="B30125" s="1" t="str">
        <f>HYPERLINK("http://osisoft.cn","osisoft.cn")</f>
        <v>osisoft.cn</v>
      </c>
      <c r="C30125" t="s">
        <v>431</v>
      </c>
      <c r="D30125" t="s">
        <v>812</v>
      </c>
      <c r="F30125">
        <v>6.6970537479333299E-9</v>
      </c>
      <c r="G30125">
        <v>13313437</v>
      </c>
      <c r="H30125">
        <v>12148985</v>
      </c>
      <c r="I30125">
        <v>24648189</v>
      </c>
      <c r="J30125">
        <v>7</v>
      </c>
    </row>
    <row r="30126" spans="1:10" x14ac:dyDescent="0.25">
      <c r="A30126" t="s">
        <v>343</v>
      </c>
      <c r="B30126" s="1" t="str">
        <f>HYPERLINK("http://schneider-electric.cn","schneider-electric.cn")</f>
        <v>schneider-electric.cn</v>
      </c>
      <c r="C30126" t="s">
        <v>431</v>
      </c>
      <c r="D30126" t="s">
        <v>812</v>
      </c>
      <c r="E30126">
        <v>132352</v>
      </c>
      <c r="F30126">
        <v>4.4867463669543903E-7</v>
      </c>
      <c r="G30126">
        <v>84174</v>
      </c>
      <c r="H30126">
        <v>13724752</v>
      </c>
      <c r="I30126">
        <v>9465574</v>
      </c>
      <c r="J30126">
        <v>2</v>
      </c>
    </row>
    <row r="30127" spans="1:10" x14ac:dyDescent="0.25">
      <c r="A30127" t="s">
        <v>343</v>
      </c>
      <c r="B30127" s="1" t="str">
        <f>HYPERLINK("http://apwpresident.com","apwpresident.com")</f>
        <v>apwpresident.com</v>
      </c>
      <c r="C30127" t="s">
        <v>433</v>
      </c>
      <c r="F30127">
        <v>5.6958057819180497E-9</v>
      </c>
      <c r="G30127">
        <v>18997004</v>
      </c>
      <c r="H30127">
        <v>13764917</v>
      </c>
      <c r="I30127">
        <v>7171437</v>
      </c>
      <c r="J30127">
        <v>3</v>
      </c>
    </row>
    <row r="30128" spans="1:10" x14ac:dyDescent="0.25">
      <c r="A30128" t="s">
        <v>343</v>
      </c>
      <c r="B30128" s="1" t="str">
        <f>HYPERLINK("http://aveva.com","aveva.com")</f>
        <v>aveva.com</v>
      </c>
      <c r="C30128" t="s">
        <v>433</v>
      </c>
      <c r="E30128">
        <v>37948</v>
      </c>
      <c r="F30128">
        <v>8.5254177067212604E-7</v>
      </c>
      <c r="G30128">
        <v>46721</v>
      </c>
      <c r="H30128">
        <v>17241614</v>
      </c>
      <c r="I30128">
        <v>35155</v>
      </c>
      <c r="J30128">
        <v>4</v>
      </c>
    </row>
    <row r="30129" spans="1:10" x14ac:dyDescent="0.25">
      <c r="A30129" t="s">
        <v>343</v>
      </c>
      <c r="B30129" s="1" t="str">
        <f>HYPERLINK("http://avevaselect.com","avevaselect.com")</f>
        <v>avevaselect.com</v>
      </c>
      <c r="C30129" t="s">
        <v>433</v>
      </c>
      <c r="F30129">
        <v>1.4103240079366599E-8</v>
      </c>
      <c r="G30129">
        <v>4164462</v>
      </c>
      <c r="H30129">
        <v>12635066</v>
      </c>
      <c r="I30129">
        <v>15915898</v>
      </c>
      <c r="J30129">
        <v>6</v>
      </c>
    </row>
    <row r="30130" spans="1:10" x14ac:dyDescent="0.25">
      <c r="A30130" t="s">
        <v>343</v>
      </c>
      <c r="B30130" s="1" t="str">
        <f>HYPERLINK("http://citect.com","citect.com")</f>
        <v>citect.com</v>
      </c>
      <c r="C30130" t="s">
        <v>433</v>
      </c>
      <c r="F30130">
        <v>2.46272478136175E-8</v>
      </c>
      <c r="G30130">
        <v>2103006</v>
      </c>
      <c r="H30130">
        <v>13774803</v>
      </c>
      <c r="I30130">
        <v>6596183</v>
      </c>
      <c r="J30130">
        <v>3</v>
      </c>
    </row>
    <row r="30131" spans="1:10" x14ac:dyDescent="0.25">
      <c r="A30131" t="s">
        <v>343</v>
      </c>
      <c r="B30131" s="1" t="str">
        <f>HYPERLINK("http://d5x-solutions.com","d5x-solutions.com")</f>
        <v>d5x-solutions.com</v>
      </c>
      <c r="C30131" t="s">
        <v>433</v>
      </c>
      <c r="F30131">
        <v>4.9248134217101901E-9</v>
      </c>
      <c r="G30131">
        <v>31535122</v>
      </c>
      <c r="H30131">
        <v>12114485</v>
      </c>
      <c r="I30131">
        <v>25618367</v>
      </c>
      <c r="J30131">
        <v>5</v>
      </c>
    </row>
    <row r="30132" spans="1:10" x14ac:dyDescent="0.25">
      <c r="A30132" t="s">
        <v>343</v>
      </c>
      <c r="B30132" s="1" t="str">
        <f>HYPERLINK("http://elau.com","elau.com")</f>
        <v>elau.com</v>
      </c>
      <c r="C30132" t="s">
        <v>433</v>
      </c>
      <c r="F30132">
        <v>7.6987219125451393E-9</v>
      </c>
      <c r="G30132">
        <v>10585901</v>
      </c>
      <c r="H30132">
        <v>14377056</v>
      </c>
      <c r="I30132">
        <v>1212762</v>
      </c>
      <c r="J30132">
        <v>5</v>
      </c>
    </row>
    <row r="30133" spans="1:10" x14ac:dyDescent="0.25">
      <c r="A30133" t="s">
        <v>343</v>
      </c>
      <c r="B30133" s="1" t="str">
        <f>HYPERLINK("http://esmi.com","esmi.com")</f>
        <v>esmi.com</v>
      </c>
      <c r="C30133" t="s">
        <v>433</v>
      </c>
      <c r="F30133">
        <v>4.9645540408925804E-9</v>
      </c>
      <c r="G30133">
        <v>30387416</v>
      </c>
      <c r="H30133">
        <v>10606819</v>
      </c>
      <c r="I30133">
        <v>44659858</v>
      </c>
      <c r="J30133">
        <v>3</v>
      </c>
    </row>
    <row r="30134" spans="1:10" x14ac:dyDescent="0.25">
      <c r="A30134" t="s">
        <v>343</v>
      </c>
      <c r="B30134" s="1" t="str">
        <f>HYPERLINK("http://eurotherm.com","eurotherm.com")</f>
        <v>eurotherm.com</v>
      </c>
      <c r="C30134" t="s">
        <v>433</v>
      </c>
      <c r="E30134">
        <v>198756</v>
      </c>
      <c r="F30134">
        <v>9.7387264319477404E-8</v>
      </c>
      <c r="G30134">
        <v>414755</v>
      </c>
      <c r="H30134">
        <v>14499397</v>
      </c>
      <c r="I30134">
        <v>857431</v>
      </c>
      <c r="J30134">
        <v>8</v>
      </c>
    </row>
    <row r="30135" spans="1:10" x14ac:dyDescent="0.25">
      <c r="A30135" t="s">
        <v>343</v>
      </c>
      <c r="B30135" s="1" t="str">
        <f>HYPERLINK("http://fabtrol.com","fabtrol.com")</f>
        <v>fabtrol.com</v>
      </c>
      <c r="C30135" t="s">
        <v>433</v>
      </c>
      <c r="F30135">
        <v>7.8639527133425705E-9</v>
      </c>
      <c r="G30135">
        <v>10184382</v>
      </c>
      <c r="H30135">
        <v>13112321</v>
      </c>
      <c r="I30135">
        <v>12027643</v>
      </c>
      <c r="J30135">
        <v>7</v>
      </c>
    </row>
    <row r="30136" spans="1:10" x14ac:dyDescent="0.25">
      <c r="A30136" t="s">
        <v>343</v>
      </c>
      <c r="B30136" s="1" t="str">
        <f>HYPERLINK("http://henikwon.com","henikwon.com")</f>
        <v>henikwon.com</v>
      </c>
      <c r="C30136" t="s">
        <v>433</v>
      </c>
      <c r="F30136">
        <v>5.56752044228294E-9</v>
      </c>
      <c r="G30136">
        <v>20202115</v>
      </c>
      <c r="H30136">
        <v>9263881</v>
      </c>
      <c r="I30136">
        <v>68682751</v>
      </c>
      <c r="J30136">
        <v>3</v>
      </c>
    </row>
    <row r="30137" spans="1:10" x14ac:dyDescent="0.25">
      <c r="A30137" t="s">
        <v>343</v>
      </c>
      <c r="B30137" s="1" t="str">
        <f>HYPERLINK("http://huadianswg.com","huadianswg.com")</f>
        <v>huadianswg.com</v>
      </c>
      <c r="C30137" t="s">
        <v>433</v>
      </c>
      <c r="F30137">
        <v>1.11591863996048E-8</v>
      </c>
      <c r="G30137">
        <v>5742674</v>
      </c>
      <c r="H30137">
        <v>10435672</v>
      </c>
      <c r="I30137">
        <v>52718293</v>
      </c>
      <c r="J30137">
        <v>3</v>
      </c>
    </row>
    <row r="30138" spans="1:10" x14ac:dyDescent="0.25">
      <c r="A30138" t="s">
        <v>343</v>
      </c>
      <c r="B30138" s="1" t="str">
        <f>HYPERLINK("http://imshome.com","imshome.com")</f>
        <v>imshome.com</v>
      </c>
      <c r="C30138" t="s">
        <v>433</v>
      </c>
      <c r="E30138">
        <v>791906</v>
      </c>
      <c r="F30138">
        <v>1.15930309013139E-8</v>
      </c>
      <c r="G30138">
        <v>5438458</v>
      </c>
      <c r="H30138">
        <v>14077277</v>
      </c>
      <c r="I30138">
        <v>2869630</v>
      </c>
      <c r="J30138">
        <v>4</v>
      </c>
    </row>
    <row r="30139" spans="1:10" x14ac:dyDescent="0.25">
      <c r="A30139" t="s">
        <v>343</v>
      </c>
      <c r="B30139" s="1" t="str">
        <f>HYPERLINK("http://invensys.com","invensys.com")</f>
        <v>invensys.com</v>
      </c>
      <c r="C30139" t="s">
        <v>433</v>
      </c>
      <c r="E30139">
        <v>292142</v>
      </c>
      <c r="F30139">
        <v>9.2510231737756701E-8</v>
      </c>
      <c r="G30139">
        <v>439895</v>
      </c>
      <c r="H30139">
        <v>14530027</v>
      </c>
      <c r="I30139">
        <v>787600</v>
      </c>
      <c r="J30139">
        <v>3</v>
      </c>
    </row>
    <row r="30140" spans="1:10" x14ac:dyDescent="0.25">
      <c r="A30140" t="s">
        <v>343</v>
      </c>
      <c r="B30140" s="1" t="str">
        <f>HYPERLINK("http://jk-regeltechnik.com","jk-regeltechnik.com")</f>
        <v>jk-regeltechnik.com</v>
      </c>
      <c r="C30140" t="s">
        <v>433</v>
      </c>
      <c r="F30140">
        <v>5.1317822793496396E-9</v>
      </c>
      <c r="G30140">
        <v>26422687</v>
      </c>
      <c r="H30140">
        <v>8583916</v>
      </c>
      <c r="I30140">
        <v>70932593</v>
      </c>
      <c r="J30140">
        <v>4</v>
      </c>
    </row>
    <row r="30141" spans="1:10" x14ac:dyDescent="0.25">
      <c r="A30141" t="s">
        <v>343</v>
      </c>
      <c r="B30141" s="1" t="str">
        <f>HYPERLINK("http://kanacontrols.com","kanacontrols.com")</f>
        <v>kanacontrols.com</v>
      </c>
      <c r="C30141" t="s">
        <v>433</v>
      </c>
      <c r="J30141">
        <v>3</v>
      </c>
    </row>
    <row r="30142" spans="1:10" x14ac:dyDescent="0.25">
      <c r="A30142" t="s">
        <v>343</v>
      </c>
      <c r="B30142" s="1" t="str">
        <f>HYPERLINK("http://luminousindia.com","luminousindia.com")</f>
        <v>luminousindia.com</v>
      </c>
      <c r="C30142" t="s">
        <v>433</v>
      </c>
      <c r="E30142">
        <v>227263</v>
      </c>
      <c r="F30142">
        <v>2.3496696075666999E-7</v>
      </c>
      <c r="G30142">
        <v>159520</v>
      </c>
      <c r="H30142">
        <v>13558370</v>
      </c>
      <c r="I30142">
        <v>9882173</v>
      </c>
      <c r="J30142">
        <v>3</v>
      </c>
    </row>
    <row r="30143" spans="1:10" x14ac:dyDescent="0.25">
      <c r="A30143" t="s">
        <v>343</v>
      </c>
      <c r="B30143" s="1" t="str">
        <f>HYPERLINK("http://mgeups.com","mgeups.com")</f>
        <v>mgeups.com</v>
      </c>
      <c r="C30143" t="s">
        <v>433</v>
      </c>
      <c r="F30143">
        <v>3.48979382347911E-8</v>
      </c>
      <c r="G30143">
        <v>1488203</v>
      </c>
      <c r="H30143">
        <v>13365377</v>
      </c>
      <c r="I30143">
        <v>10487081</v>
      </c>
      <c r="J30143">
        <v>4</v>
      </c>
    </row>
    <row r="30144" spans="1:10" x14ac:dyDescent="0.25">
      <c r="A30144" t="s">
        <v>343</v>
      </c>
      <c r="B30144" s="1" t="str">
        <f>HYPERLINK("http://myosisoft.com","myosisoft.com")</f>
        <v>myosisoft.com</v>
      </c>
      <c r="C30144" t="s">
        <v>433</v>
      </c>
      <c r="J30144">
        <v>8</v>
      </c>
    </row>
    <row r="30145" spans="1:10" x14ac:dyDescent="0.25">
      <c r="A30145" t="s">
        <v>343</v>
      </c>
      <c r="B30145" s="1" t="str">
        <f>HYPERLINK("http://nxtcontrol.com","nxtcontrol.com")</f>
        <v>nxtcontrol.com</v>
      </c>
      <c r="C30145" t="s">
        <v>433</v>
      </c>
      <c r="F30145">
        <v>2.4846542661551301E-8</v>
      </c>
      <c r="G30145">
        <v>2081125</v>
      </c>
      <c r="H30145">
        <v>14157909</v>
      </c>
      <c r="I30145">
        <v>1846883</v>
      </c>
      <c r="J30145">
        <v>3</v>
      </c>
    </row>
    <row r="30146" spans="1:10" x14ac:dyDescent="0.25">
      <c r="A30146" t="s">
        <v>343</v>
      </c>
      <c r="B30146" s="1" t="str">
        <f>HYPERLINK("http://osisoft.com","osisoft.com")</f>
        <v>osisoft.com</v>
      </c>
      <c r="C30146" t="s">
        <v>433</v>
      </c>
      <c r="E30146">
        <v>90068</v>
      </c>
      <c r="F30146">
        <v>5.2694889799519999E-7</v>
      </c>
      <c r="G30146">
        <v>73026</v>
      </c>
      <c r="H30146">
        <v>17293382</v>
      </c>
      <c r="I30146">
        <v>28617</v>
      </c>
      <c r="J30146">
        <v>6</v>
      </c>
    </row>
    <row r="30147" spans="1:10" x14ac:dyDescent="0.25">
      <c r="A30147" t="s">
        <v>343</v>
      </c>
      <c r="B30147" s="1" t="str">
        <f>HYPERLINK("http://pml.com","pml.com")</f>
        <v>pml.com</v>
      </c>
      <c r="C30147" t="s">
        <v>433</v>
      </c>
      <c r="F30147">
        <v>4.8709289138040801E-9</v>
      </c>
      <c r="G30147">
        <v>33372671</v>
      </c>
      <c r="H30147">
        <v>13059955</v>
      </c>
      <c r="I30147">
        <v>12360054</v>
      </c>
      <c r="J30147">
        <v>5</v>
      </c>
    </row>
    <row r="30148" spans="1:10" x14ac:dyDescent="0.25">
      <c r="A30148" t="s">
        <v>343</v>
      </c>
      <c r="B30148" s="1" t="str">
        <f>HYPERLINK("http://proface.com","proface.com")</f>
        <v>proface.com</v>
      </c>
      <c r="C30148" t="s">
        <v>433</v>
      </c>
      <c r="E30148">
        <v>385558</v>
      </c>
      <c r="F30148">
        <v>1.56185017736619E-7</v>
      </c>
      <c r="G30148">
        <v>248661</v>
      </c>
      <c r="H30148">
        <v>14543840</v>
      </c>
      <c r="I30148">
        <v>771333</v>
      </c>
      <c r="J30148">
        <v>3</v>
      </c>
    </row>
    <row r="30149" spans="1:10" x14ac:dyDescent="0.25">
      <c r="A30149" t="s">
        <v>343</v>
      </c>
      <c r="B30149" s="1" t="str">
        <f>HYPERLINK("http://pwrm.com","pwrm.com")</f>
        <v>pwrm.com</v>
      </c>
      <c r="C30149" t="s">
        <v>433</v>
      </c>
      <c r="F30149">
        <v>1.42657809592411E-8</v>
      </c>
      <c r="G30149">
        <v>4105439</v>
      </c>
      <c r="H30149">
        <v>12746723</v>
      </c>
      <c r="I30149">
        <v>15081196</v>
      </c>
      <c r="J30149">
        <v>3</v>
      </c>
    </row>
    <row r="30150" spans="1:10" x14ac:dyDescent="0.25">
      <c r="A30150" t="s">
        <v>343</v>
      </c>
      <c r="B30150" s="1" t="str">
        <f>HYPERLINK("http://schneider.com","schneider.com")</f>
        <v>schneider.com</v>
      </c>
      <c r="C30150" t="s">
        <v>433</v>
      </c>
      <c r="E30150">
        <v>80011</v>
      </c>
      <c r="F30150">
        <v>3.2734224052369997E-7</v>
      </c>
      <c r="G30150">
        <v>113777</v>
      </c>
      <c r="H30150">
        <v>17031300</v>
      </c>
      <c r="I30150">
        <v>83189</v>
      </c>
      <c r="J30150">
        <v>4</v>
      </c>
    </row>
    <row r="30151" spans="1:10" x14ac:dyDescent="0.25">
      <c r="A30151" t="s">
        <v>343</v>
      </c>
      <c r="B30151" s="1" t="str">
        <f>HYPERLINK("http://schneider-electric.com","schneider-electric.com")</f>
        <v>schneider-electric.com</v>
      </c>
      <c r="C30151" t="s">
        <v>433</v>
      </c>
      <c r="E30151">
        <v>8068</v>
      </c>
      <c r="F30151">
        <v>4.0801417271170002E-6</v>
      </c>
      <c r="G30151">
        <v>9023</v>
      </c>
      <c r="H30151">
        <v>17933952</v>
      </c>
      <c r="I30151">
        <v>4179</v>
      </c>
      <c r="J30151">
        <v>1</v>
      </c>
    </row>
    <row r="30152" spans="1:10" x14ac:dyDescent="0.25">
      <c r="A30152" t="s">
        <v>343</v>
      </c>
      <c r="B30152" s="1" t="str">
        <f>HYPERLINK("http://schneider-electric-dms.com","schneider-electric-dms.com")</f>
        <v>schneider-electric-dms.com</v>
      </c>
      <c r="C30152" t="s">
        <v>433</v>
      </c>
      <c r="E30152">
        <v>806135</v>
      </c>
      <c r="F30152">
        <v>1.9859047561293699E-8</v>
      </c>
      <c r="G30152">
        <v>2682337</v>
      </c>
      <c r="H30152">
        <v>14224447</v>
      </c>
      <c r="I30152">
        <v>1681066</v>
      </c>
      <c r="J30152">
        <v>4</v>
      </c>
    </row>
    <row r="30153" spans="1:10" x14ac:dyDescent="0.25">
      <c r="A30153" t="s">
        <v>343</v>
      </c>
      <c r="B30153" s="1" t="str">
        <f>HYPERLINK("http://schneider-electrnic.com","schneider-electrnic.com")</f>
        <v>schneider-electrnic.com</v>
      </c>
      <c r="C30153" t="s">
        <v>433</v>
      </c>
      <c r="J30153">
        <v>4</v>
      </c>
    </row>
    <row r="30154" spans="1:10" x14ac:dyDescent="0.25">
      <c r="A30154" t="s">
        <v>343</v>
      </c>
      <c r="B30154" s="1" t="str">
        <f>HYPERLINK("http://schneider-electronic.com","schneider-electronic.com")</f>
        <v>schneider-electronic.com</v>
      </c>
      <c r="C30154" t="s">
        <v>433</v>
      </c>
      <c r="J30154">
        <v>4</v>
      </c>
    </row>
    <row r="30155" spans="1:10" x14ac:dyDescent="0.25">
      <c r="A30155" t="s">
        <v>343</v>
      </c>
      <c r="B30155" s="1" t="str">
        <f>HYPERLINK("http://schneiderlogistics.com","schneiderlogistics.com")</f>
        <v>schneiderlogistics.com</v>
      </c>
      <c r="C30155" t="s">
        <v>433</v>
      </c>
      <c r="F30155">
        <v>6.0153080184977704E-9</v>
      </c>
      <c r="G30155">
        <v>16590680</v>
      </c>
      <c r="H30155">
        <v>12697144</v>
      </c>
      <c r="I30155">
        <v>15375612</v>
      </c>
      <c r="J30155">
        <v>7</v>
      </c>
    </row>
    <row r="30156" spans="1:10" x14ac:dyDescent="0.25">
      <c r="A30156" t="s">
        <v>343</v>
      </c>
      <c r="B30156" s="1" t="str">
        <f>HYPERLINK("http://se.com","se.com")</f>
        <v>se.com</v>
      </c>
      <c r="C30156" t="s">
        <v>433</v>
      </c>
      <c r="E30156">
        <v>4920</v>
      </c>
      <c r="F30156">
        <v>7.3298000032908599E-6</v>
      </c>
      <c r="G30156">
        <v>4585</v>
      </c>
      <c r="H30156">
        <v>17804030</v>
      </c>
      <c r="I30156">
        <v>5540</v>
      </c>
      <c r="J30156">
        <v>2</v>
      </c>
    </row>
    <row r="30157" spans="1:10" x14ac:dyDescent="0.25">
      <c r="A30157" t="s">
        <v>343</v>
      </c>
      <c r="B30157" s="1" t="str">
        <f>HYPERLINK("http://serelays.com","serelays.com")</f>
        <v>serelays.com</v>
      </c>
      <c r="C30157" t="s">
        <v>433</v>
      </c>
      <c r="F30157">
        <v>9.7199496564779707E-9</v>
      </c>
      <c r="G30157">
        <v>7058008</v>
      </c>
      <c r="H30157">
        <v>14074666</v>
      </c>
      <c r="I30157">
        <v>2934059</v>
      </c>
      <c r="J30157">
        <v>5</v>
      </c>
    </row>
    <row r="30158" spans="1:10" x14ac:dyDescent="0.25">
      <c r="A30158" t="s">
        <v>343</v>
      </c>
      <c r="B30158" s="1" t="str">
        <f>HYPERLINK("http://squared.com","squared.com")</f>
        <v>squared.com</v>
      </c>
      <c r="C30158" t="s">
        <v>433</v>
      </c>
      <c r="F30158">
        <v>5.9986742221551602E-8</v>
      </c>
      <c r="G30158">
        <v>735956</v>
      </c>
      <c r="H30158">
        <v>16941490</v>
      </c>
      <c r="I30158">
        <v>111957</v>
      </c>
      <c r="J30158">
        <v>5</v>
      </c>
    </row>
    <row r="30159" spans="1:10" x14ac:dyDescent="0.25">
      <c r="A30159" t="s">
        <v>343</v>
      </c>
      <c r="B30159" s="1" t="str">
        <f>HYPERLINK("http://steckgroup.com","steckgroup.com")</f>
        <v>steckgroup.com</v>
      </c>
      <c r="C30159" t="s">
        <v>433</v>
      </c>
      <c r="F30159">
        <v>5.6777889113540698E-9</v>
      </c>
      <c r="G30159">
        <v>19149131</v>
      </c>
      <c r="H30159">
        <v>10604281</v>
      </c>
      <c r="I30159">
        <v>44740650</v>
      </c>
      <c r="J30159">
        <v>8</v>
      </c>
    </row>
    <row r="30160" spans="1:10" x14ac:dyDescent="0.25">
      <c r="A30160" t="s">
        <v>343</v>
      </c>
      <c r="B30160" s="1" t="str">
        <f>HYPERLINK("http://summitenergy.com","summitenergy.com")</f>
        <v>summitenergy.com</v>
      </c>
      <c r="C30160" t="s">
        <v>433</v>
      </c>
      <c r="F30160">
        <v>9.5373916543141601E-9</v>
      </c>
      <c r="G30160">
        <v>7278471</v>
      </c>
      <c r="H30160">
        <v>14083514</v>
      </c>
      <c r="I30160">
        <v>2793023</v>
      </c>
      <c r="J30160">
        <v>3</v>
      </c>
    </row>
    <row r="30161" spans="1:10" x14ac:dyDescent="0.25">
      <c r="A30161" t="s">
        <v>343</v>
      </c>
      <c r="B30161" s="1" t="str">
        <f>HYPERLINK("http://tac-americas.com","tac-americas.com")</f>
        <v>tac-americas.com</v>
      </c>
      <c r="C30161" t="s">
        <v>433</v>
      </c>
      <c r="F30161">
        <v>4.4755072878991698E-9</v>
      </c>
      <c r="G30161">
        <v>63304877</v>
      </c>
      <c r="H30161">
        <v>10917057</v>
      </c>
      <c r="I30161">
        <v>35472971</v>
      </c>
      <c r="J30161">
        <v>5</v>
      </c>
    </row>
    <row r="30162" spans="1:10" x14ac:dyDescent="0.25">
      <c r="A30162" t="s">
        <v>343</v>
      </c>
      <c r="B30162" s="1" t="str">
        <f>HYPERLINK("http://telvent.com","telvent.com")</f>
        <v>telvent.com</v>
      </c>
      <c r="C30162" t="s">
        <v>433</v>
      </c>
      <c r="F30162">
        <v>5.25345753661477E-8</v>
      </c>
      <c r="G30162">
        <v>867956</v>
      </c>
      <c r="H30162">
        <v>14878076</v>
      </c>
      <c r="I30162">
        <v>473865</v>
      </c>
      <c r="J30162">
        <v>5</v>
      </c>
    </row>
    <row r="30163" spans="1:10" x14ac:dyDescent="0.25">
      <c r="A30163" t="s">
        <v>343</v>
      </c>
      <c r="B30163" s="1" t="str">
        <f>HYPERLINK("http://uniflair.com","uniflair.com")</f>
        <v>uniflair.com</v>
      </c>
      <c r="C30163" t="s">
        <v>433</v>
      </c>
      <c r="F30163">
        <v>1.0082308551202101E-8</v>
      </c>
      <c r="G30163">
        <v>6667814</v>
      </c>
      <c r="H30163">
        <v>12465791</v>
      </c>
      <c r="I30163">
        <v>17808632</v>
      </c>
      <c r="J30163">
        <v>3</v>
      </c>
    </row>
    <row r="30164" spans="1:10" x14ac:dyDescent="0.25">
      <c r="A30164" t="s">
        <v>343</v>
      </c>
      <c r="B30164" s="1" t="str">
        <f>HYPERLINK("http://vamp.com","vamp.com")</f>
        <v>vamp.com</v>
      </c>
      <c r="C30164" t="s">
        <v>433</v>
      </c>
      <c r="F30164">
        <v>3.1450859593521703E-8</v>
      </c>
      <c r="G30164">
        <v>1640275</v>
      </c>
      <c r="H30164">
        <v>13980225</v>
      </c>
      <c r="I30164">
        <v>4052272</v>
      </c>
      <c r="J30164">
        <v>9</v>
      </c>
    </row>
    <row r="30165" spans="1:10" x14ac:dyDescent="0.25">
      <c r="A30165" t="s">
        <v>343</v>
      </c>
      <c r="B30165" s="1" t="str">
        <f>HYPERLINK("http://vamp-brands.com","vamp-brands.com")</f>
        <v>vamp-brands.com</v>
      </c>
      <c r="C30165" t="s">
        <v>433</v>
      </c>
      <c r="F30165">
        <v>2.3650952090683299E-7</v>
      </c>
      <c r="G30165">
        <v>158382</v>
      </c>
      <c r="H30165">
        <v>14707418</v>
      </c>
      <c r="I30165">
        <v>585943</v>
      </c>
      <c r="J30165">
        <v>8</v>
      </c>
    </row>
    <row r="30166" spans="1:10" x14ac:dyDescent="0.25">
      <c r="A30166" t="s">
        <v>343</v>
      </c>
      <c r="B30166" s="1" t="str">
        <f>HYPERLINK("http://veris.com","veris.com")</f>
        <v>veris.com</v>
      </c>
      <c r="C30166" t="s">
        <v>433</v>
      </c>
      <c r="E30166">
        <v>346412</v>
      </c>
      <c r="F30166">
        <v>6.9439360597203094E-8</v>
      </c>
      <c r="G30166">
        <v>611481</v>
      </c>
      <c r="H30166">
        <v>13444890</v>
      </c>
      <c r="I30166">
        <v>10221089</v>
      </c>
      <c r="J30166">
        <v>3</v>
      </c>
    </row>
    <row r="30167" spans="1:10" x14ac:dyDescent="0.25">
      <c r="A30167" t="s">
        <v>343</v>
      </c>
      <c r="B30167" s="1" t="str">
        <f>HYPERLINK("http://vizelia.com","vizelia.com")</f>
        <v>vizelia.com</v>
      </c>
      <c r="C30167" t="s">
        <v>433</v>
      </c>
      <c r="F30167">
        <v>7.1149692553765297E-9</v>
      </c>
      <c r="G30167">
        <v>11972835</v>
      </c>
      <c r="H30167">
        <v>14121764</v>
      </c>
      <c r="I30167">
        <v>2239068</v>
      </c>
      <c r="J30167">
        <v>5</v>
      </c>
    </row>
    <row r="30168" spans="1:10" x14ac:dyDescent="0.25">
      <c r="A30168" t="s">
        <v>343</v>
      </c>
      <c r="B30168" s="1" t="str">
        <f>HYPERLINK("http://wonderware.com","wonderware.com")</f>
        <v>wonderware.com</v>
      </c>
      <c r="C30168" t="s">
        <v>433</v>
      </c>
      <c r="E30168">
        <v>101261</v>
      </c>
      <c r="F30168">
        <v>2.5726853003184599E-7</v>
      </c>
      <c r="G30168">
        <v>145391</v>
      </c>
      <c r="H30168">
        <v>14678759</v>
      </c>
      <c r="I30168">
        <v>609581</v>
      </c>
      <c r="J30168">
        <v>3</v>
      </c>
    </row>
    <row r="30169" spans="1:10" x14ac:dyDescent="0.25">
      <c r="A30169" t="s">
        <v>343</v>
      </c>
      <c r="B30169" s="1" t="str">
        <f>HYPERLINK("http://schneider-electric.cz","schneider-electric.cz")</f>
        <v>schneider-electric.cz</v>
      </c>
      <c r="C30169" t="s">
        <v>435</v>
      </c>
      <c r="D30169" t="s">
        <v>814</v>
      </c>
      <c r="F30169">
        <v>4.9481508503322397E-8</v>
      </c>
      <c r="G30169">
        <v>935065</v>
      </c>
      <c r="H30169">
        <v>12748857</v>
      </c>
      <c r="I30169">
        <v>15056502</v>
      </c>
      <c r="J30169">
        <v>2</v>
      </c>
    </row>
    <row r="30170" spans="1:10" x14ac:dyDescent="0.25">
      <c r="A30170" t="s">
        <v>343</v>
      </c>
      <c r="B30170" s="1" t="str">
        <f>HYPERLINK("http://eurotherm.de","eurotherm.de")</f>
        <v>eurotherm.de</v>
      </c>
      <c r="C30170" t="s">
        <v>436</v>
      </c>
      <c r="D30170" t="s">
        <v>815</v>
      </c>
      <c r="F30170">
        <v>6.9571159218882499E-9</v>
      </c>
      <c r="G30170">
        <v>12441708</v>
      </c>
      <c r="H30170">
        <v>12178304</v>
      </c>
      <c r="I30170">
        <v>23854139</v>
      </c>
      <c r="J30170">
        <v>9</v>
      </c>
    </row>
    <row r="30171" spans="1:10" x14ac:dyDescent="0.25">
      <c r="A30171" t="s">
        <v>343</v>
      </c>
      <c r="B30171" s="1" t="str">
        <f>HYPERLINK("http://jk-regeltechnik.de","jk-regeltechnik.de")</f>
        <v>jk-regeltechnik.de</v>
      </c>
      <c r="C30171" t="s">
        <v>436</v>
      </c>
      <c r="D30171" t="s">
        <v>815</v>
      </c>
      <c r="F30171">
        <v>4.8563171220762999E-9</v>
      </c>
      <c r="G30171">
        <v>33931707</v>
      </c>
      <c r="H30171">
        <v>10814039</v>
      </c>
      <c r="I30171">
        <v>37762908</v>
      </c>
      <c r="J30171">
        <v>3</v>
      </c>
    </row>
    <row r="30172" spans="1:10" x14ac:dyDescent="0.25">
      <c r="A30172" t="s">
        <v>343</v>
      </c>
      <c r="B30172" s="1" t="str">
        <f>HYPERLINK("http://osisoft.de","osisoft.de")</f>
        <v>osisoft.de</v>
      </c>
      <c r="C30172" t="s">
        <v>436</v>
      </c>
      <c r="D30172" t="s">
        <v>815</v>
      </c>
      <c r="F30172">
        <v>1.2447017802657699E-8</v>
      </c>
      <c r="G30172">
        <v>4913930</v>
      </c>
      <c r="H30172">
        <v>12516211</v>
      </c>
      <c r="I30172">
        <v>17184341</v>
      </c>
      <c r="J30172">
        <v>7</v>
      </c>
    </row>
    <row r="30173" spans="1:10" x14ac:dyDescent="0.25">
      <c r="A30173" t="s">
        <v>343</v>
      </c>
      <c r="B30173" s="1" t="str">
        <f>HYPERLINK("http://proface.de","proface.de")</f>
        <v>proface.de</v>
      </c>
      <c r="C30173" t="s">
        <v>436</v>
      </c>
      <c r="D30173" t="s">
        <v>815</v>
      </c>
      <c r="F30173">
        <v>6.3760930429021098E-9</v>
      </c>
      <c r="G30173">
        <v>14635975</v>
      </c>
      <c r="H30173">
        <v>12107863</v>
      </c>
      <c r="I30173">
        <v>25788994</v>
      </c>
      <c r="J30173">
        <v>4</v>
      </c>
    </row>
    <row r="30174" spans="1:10" x14ac:dyDescent="0.25">
      <c r="A30174" t="s">
        <v>343</v>
      </c>
      <c r="B30174" s="1" t="str">
        <f>HYPERLINK("http://schneider-electric.de","schneider-electric.de")</f>
        <v>schneider-electric.de</v>
      </c>
      <c r="C30174" t="s">
        <v>436</v>
      </c>
      <c r="D30174" t="s">
        <v>815</v>
      </c>
      <c r="F30174">
        <v>1.04943672384076E-7</v>
      </c>
      <c r="G30174">
        <v>381857</v>
      </c>
      <c r="H30174">
        <v>14445310</v>
      </c>
      <c r="I30174">
        <v>1057669</v>
      </c>
      <c r="J30174">
        <v>3</v>
      </c>
    </row>
    <row r="30175" spans="1:10" x14ac:dyDescent="0.25">
      <c r="A30175" t="s">
        <v>343</v>
      </c>
      <c r="B30175" s="1" t="str">
        <f>HYPERLINK("http://proface.dk","proface.dk")</f>
        <v>proface.dk</v>
      </c>
      <c r="C30175" t="s">
        <v>437</v>
      </c>
      <c r="D30175" t="s">
        <v>816</v>
      </c>
      <c r="F30175">
        <v>6.17243087487467E-9</v>
      </c>
      <c r="G30175">
        <v>15680019</v>
      </c>
      <c r="H30175">
        <v>13011011</v>
      </c>
      <c r="I30175">
        <v>12748237</v>
      </c>
      <c r="J30175">
        <v>4</v>
      </c>
    </row>
    <row r="30176" spans="1:10" x14ac:dyDescent="0.25">
      <c r="A30176" t="s">
        <v>343</v>
      </c>
      <c r="B30176" s="1" t="str">
        <f>HYPERLINK("http://wonderware.dk","wonderware.dk")</f>
        <v>wonderware.dk</v>
      </c>
      <c r="C30176" t="s">
        <v>437</v>
      </c>
      <c r="D30176" t="s">
        <v>816</v>
      </c>
      <c r="F30176">
        <v>4.6786091746779E-9</v>
      </c>
      <c r="G30176">
        <v>42453080</v>
      </c>
      <c r="H30176">
        <v>11214852</v>
      </c>
      <c r="I30176">
        <v>31130905</v>
      </c>
      <c r="J30176">
        <v>7</v>
      </c>
    </row>
    <row r="30177" spans="1:10" x14ac:dyDescent="0.25">
      <c r="A30177" t="s">
        <v>343</v>
      </c>
      <c r="B30177" s="1" t="str">
        <f>HYPERLINK("http://wonderware.ee","wonderware.ee")</f>
        <v>wonderware.ee</v>
      </c>
      <c r="C30177" t="s">
        <v>441</v>
      </c>
      <c r="D30177" t="s">
        <v>820</v>
      </c>
      <c r="F30177">
        <v>5.1125771707053598E-9</v>
      </c>
      <c r="G30177">
        <v>26802116</v>
      </c>
      <c r="H30177">
        <v>8679466</v>
      </c>
      <c r="I30177">
        <v>70110841</v>
      </c>
      <c r="J30177">
        <v>8</v>
      </c>
    </row>
    <row r="30178" spans="1:10" x14ac:dyDescent="0.25">
      <c r="A30178" t="s">
        <v>343</v>
      </c>
      <c r="B30178" s="1" t="str">
        <f>HYPERLINK("http://osisoft.es","osisoft.es")</f>
        <v>osisoft.es</v>
      </c>
      <c r="C30178" t="s">
        <v>443</v>
      </c>
      <c r="D30178" t="s">
        <v>822</v>
      </c>
      <c r="F30178">
        <v>8.2328349663261195E-9</v>
      </c>
      <c r="G30178">
        <v>9424978</v>
      </c>
      <c r="H30178">
        <v>13764138</v>
      </c>
      <c r="I30178">
        <v>7365144</v>
      </c>
      <c r="J30178">
        <v>7</v>
      </c>
    </row>
    <row r="30179" spans="1:10" x14ac:dyDescent="0.25">
      <c r="A30179" t="s">
        <v>343</v>
      </c>
      <c r="B30179" s="1" t="str">
        <f>HYPERLINK("http://proface.es","proface.es")</f>
        <v>proface.es</v>
      </c>
      <c r="C30179" t="s">
        <v>443</v>
      </c>
      <c r="D30179" t="s">
        <v>822</v>
      </c>
      <c r="F30179">
        <v>7.6742995665864901E-9</v>
      </c>
      <c r="G30179">
        <v>10635058</v>
      </c>
      <c r="H30179">
        <v>10861917</v>
      </c>
      <c r="I30179">
        <v>36640483</v>
      </c>
      <c r="J30179">
        <v>4</v>
      </c>
    </row>
    <row r="30180" spans="1:10" x14ac:dyDescent="0.25">
      <c r="A30180" t="s">
        <v>343</v>
      </c>
      <c r="B30180" s="1" t="str">
        <f>HYPERLINK("http://proface.eu","proface.eu")</f>
        <v>proface.eu</v>
      </c>
      <c r="C30180" t="s">
        <v>444</v>
      </c>
      <c r="F30180">
        <v>6.1029359546583697E-9</v>
      </c>
      <c r="G30180">
        <v>16077017</v>
      </c>
      <c r="H30180">
        <v>10974240</v>
      </c>
      <c r="I30180">
        <v>34052371</v>
      </c>
      <c r="J30180">
        <v>4</v>
      </c>
    </row>
    <row r="30181" spans="1:10" x14ac:dyDescent="0.25">
      <c r="A30181" t="s">
        <v>343</v>
      </c>
      <c r="B30181" s="1" t="str">
        <f>HYPERLINK("http://atmostech.fi","atmostech.fi")</f>
        <v>atmostech.fi</v>
      </c>
      <c r="C30181" t="s">
        <v>445</v>
      </c>
      <c r="D30181" t="s">
        <v>823</v>
      </c>
      <c r="J30181">
        <v>4</v>
      </c>
    </row>
    <row r="30182" spans="1:10" x14ac:dyDescent="0.25">
      <c r="A30182" t="s">
        <v>343</v>
      </c>
      <c r="B30182" s="1" t="str">
        <f>HYPERLINK("http://avevaselect.fi","avevaselect.fi")</f>
        <v>avevaselect.fi</v>
      </c>
      <c r="C30182" t="s">
        <v>445</v>
      </c>
      <c r="D30182" t="s">
        <v>823</v>
      </c>
      <c r="J30182">
        <v>5</v>
      </c>
    </row>
    <row r="30183" spans="1:10" x14ac:dyDescent="0.25">
      <c r="A30183" t="s">
        <v>343</v>
      </c>
      <c r="B30183" s="1" t="str">
        <f>HYPERLINK("http://directcurrent.fi","directcurrent.fi")</f>
        <v>directcurrent.fi</v>
      </c>
      <c r="C30183" t="s">
        <v>445</v>
      </c>
      <c r="D30183" t="s">
        <v>823</v>
      </c>
      <c r="J30183">
        <v>4</v>
      </c>
    </row>
    <row r="30184" spans="1:10" x14ac:dyDescent="0.25">
      <c r="A30184" t="s">
        <v>343</v>
      </c>
      <c r="B30184" s="1" t="str">
        <f>HYPERLINK("http://elko.fi","elko.fi")</f>
        <v>elko.fi</v>
      </c>
      <c r="C30184" t="s">
        <v>445</v>
      </c>
      <c r="D30184" t="s">
        <v>823</v>
      </c>
      <c r="F30184">
        <v>7.2828058758293399E-9</v>
      </c>
      <c r="G30184">
        <v>11522228</v>
      </c>
      <c r="H30184">
        <v>10723301</v>
      </c>
      <c r="I30184">
        <v>41514965</v>
      </c>
      <c r="J30184">
        <v>4</v>
      </c>
    </row>
    <row r="30185" spans="1:10" x14ac:dyDescent="0.25">
      <c r="A30185" t="s">
        <v>343</v>
      </c>
      <c r="B30185" s="1" t="str">
        <f>HYPERLINK("http://esmi.fi","esmi.fi")</f>
        <v>esmi.fi</v>
      </c>
      <c r="C30185" t="s">
        <v>445</v>
      </c>
      <c r="D30185" t="s">
        <v>823</v>
      </c>
      <c r="F30185">
        <v>5.2905439927191598E-9</v>
      </c>
      <c r="G30185">
        <v>23634796</v>
      </c>
      <c r="H30185">
        <v>14071789</v>
      </c>
      <c r="I30185">
        <v>3635037</v>
      </c>
      <c r="J30185">
        <v>4</v>
      </c>
    </row>
    <row r="30186" spans="1:10" x14ac:dyDescent="0.25">
      <c r="A30186" t="s">
        <v>343</v>
      </c>
      <c r="B30186" s="1" t="str">
        <f>HYPERLINK("http://himel.fi","himel.fi")</f>
        <v>himel.fi</v>
      </c>
      <c r="C30186" t="s">
        <v>445</v>
      </c>
      <c r="D30186" t="s">
        <v>823</v>
      </c>
      <c r="J30186">
        <v>4</v>
      </c>
    </row>
    <row r="30187" spans="1:10" x14ac:dyDescent="0.25">
      <c r="A30187" t="s">
        <v>343</v>
      </c>
      <c r="B30187" s="1" t="str">
        <f>HYPERLINK("http://innovationsummit.fi","innovationsummit.fi")</f>
        <v>innovationsummit.fi</v>
      </c>
      <c r="C30187" t="s">
        <v>445</v>
      </c>
      <c r="D30187" t="s">
        <v>823</v>
      </c>
      <c r="J30187">
        <v>7</v>
      </c>
    </row>
    <row r="30188" spans="1:10" x14ac:dyDescent="0.25">
      <c r="A30188" t="s">
        <v>343</v>
      </c>
      <c r="B30188" s="1" t="str">
        <f>HYPERLINK("http://lifeison.fi","lifeison.fi")</f>
        <v>lifeison.fi</v>
      </c>
      <c r="C30188" t="s">
        <v>445</v>
      </c>
      <c r="D30188" t="s">
        <v>823</v>
      </c>
      <c r="F30188">
        <v>4.4517226378104597E-9</v>
      </c>
      <c r="G30188">
        <v>70987715</v>
      </c>
      <c r="H30188">
        <v>10532929</v>
      </c>
      <c r="I30188">
        <v>47929674</v>
      </c>
      <c r="J30188">
        <v>4</v>
      </c>
    </row>
    <row r="30189" spans="1:10" x14ac:dyDescent="0.25">
      <c r="A30189" t="s">
        <v>343</v>
      </c>
      <c r="B30189" s="1" t="str">
        <f>HYPERLINK("http://merlin-gerin.fi","merlin-gerin.fi")</f>
        <v>merlin-gerin.fi</v>
      </c>
      <c r="C30189" t="s">
        <v>445</v>
      </c>
      <c r="D30189" t="s">
        <v>823</v>
      </c>
      <c r="J30189">
        <v>4</v>
      </c>
    </row>
    <row r="30190" spans="1:10" x14ac:dyDescent="0.25">
      <c r="A30190" t="s">
        <v>343</v>
      </c>
      <c r="B30190" s="1" t="str">
        <f>HYPERLINK("http://merlingerin.fi","merlingerin.fi")</f>
        <v>merlingerin.fi</v>
      </c>
      <c r="C30190" t="s">
        <v>445</v>
      </c>
      <c r="D30190" t="s">
        <v>823</v>
      </c>
      <c r="J30190">
        <v>4</v>
      </c>
    </row>
    <row r="30191" spans="1:10" x14ac:dyDescent="0.25">
      <c r="A30191" t="s">
        <v>343</v>
      </c>
      <c r="B30191" s="1" t="str">
        <f>HYPERLINK("http://modicon.fi","modicon.fi")</f>
        <v>modicon.fi</v>
      </c>
      <c r="C30191" t="s">
        <v>445</v>
      </c>
      <c r="D30191" t="s">
        <v>823</v>
      </c>
      <c r="J30191">
        <v>4</v>
      </c>
    </row>
    <row r="30192" spans="1:10" x14ac:dyDescent="0.25">
      <c r="A30192" t="s">
        <v>343</v>
      </c>
      <c r="B30192" s="1" t="str">
        <f>HYPERLINK("http://pro-face.fi","pro-face.fi")</f>
        <v>pro-face.fi</v>
      </c>
      <c r="C30192" t="s">
        <v>445</v>
      </c>
      <c r="D30192" t="s">
        <v>823</v>
      </c>
      <c r="J30192">
        <v>4</v>
      </c>
    </row>
    <row r="30193" spans="1:10" x14ac:dyDescent="0.25">
      <c r="A30193" t="s">
        <v>343</v>
      </c>
      <c r="B30193" s="1" t="str">
        <f>HYPERLINK("http://proface.fi","proface.fi")</f>
        <v>proface.fi</v>
      </c>
      <c r="C30193" t="s">
        <v>445</v>
      </c>
      <c r="D30193" t="s">
        <v>823</v>
      </c>
      <c r="J30193">
        <v>4</v>
      </c>
    </row>
    <row r="30194" spans="1:10" x14ac:dyDescent="0.25">
      <c r="A30194" t="s">
        <v>343</v>
      </c>
      <c r="B30194" s="1" t="str">
        <f>HYPERLINK("http://schneider.fi","schneider.fi")</f>
        <v>schneider.fi</v>
      </c>
      <c r="C30194" t="s">
        <v>445</v>
      </c>
      <c r="D30194" t="s">
        <v>823</v>
      </c>
      <c r="J30194">
        <v>4</v>
      </c>
    </row>
    <row r="30195" spans="1:10" x14ac:dyDescent="0.25">
      <c r="A30195" t="s">
        <v>343</v>
      </c>
      <c r="B30195" s="1" t="str">
        <f>HYPERLINK("http://schneider-electric.fi","schneider-electric.fi")</f>
        <v>schneider-electric.fi</v>
      </c>
      <c r="C30195" t="s">
        <v>445</v>
      </c>
      <c r="D30195" t="s">
        <v>823</v>
      </c>
      <c r="F30195">
        <v>3.6963995951480303E-8</v>
      </c>
      <c r="G30195">
        <v>1404508</v>
      </c>
      <c r="H30195">
        <v>14240835</v>
      </c>
      <c r="I30195">
        <v>1497572</v>
      </c>
      <c r="J30195">
        <v>4</v>
      </c>
    </row>
    <row r="30196" spans="1:10" x14ac:dyDescent="0.25">
      <c r="A30196" t="s">
        <v>343</v>
      </c>
      <c r="B30196" s="1" t="str">
        <f>HYPERLINK("http://schneiderelectric.fi","schneiderelectric.fi")</f>
        <v>schneiderelectric.fi</v>
      </c>
      <c r="C30196" t="s">
        <v>445</v>
      </c>
      <c r="D30196" t="s">
        <v>823</v>
      </c>
      <c r="F30196">
        <v>4.6338111345961398E-9</v>
      </c>
      <c r="G30196">
        <v>45171115</v>
      </c>
      <c r="H30196">
        <v>10783608</v>
      </c>
      <c r="I30196">
        <v>38773324</v>
      </c>
      <c r="J30196">
        <v>4</v>
      </c>
    </row>
    <row r="30197" spans="1:10" x14ac:dyDescent="0.25">
      <c r="A30197" t="s">
        <v>343</v>
      </c>
      <c r="B30197" s="1" t="str">
        <f>HYPERLINK("http://se-technet.fi","se-technet.fi")</f>
        <v>se-technet.fi</v>
      </c>
      <c r="C30197" t="s">
        <v>445</v>
      </c>
      <c r="D30197" t="s">
        <v>823</v>
      </c>
      <c r="J30197">
        <v>4</v>
      </c>
    </row>
    <row r="30198" spans="1:10" x14ac:dyDescent="0.25">
      <c r="A30198" t="s">
        <v>343</v>
      </c>
      <c r="B30198" s="1" t="str">
        <f>HYPERLINK("http://square-d.fi","square-d.fi")</f>
        <v>square-d.fi</v>
      </c>
      <c r="C30198" t="s">
        <v>445</v>
      </c>
      <c r="D30198" t="s">
        <v>823</v>
      </c>
      <c r="J30198">
        <v>4</v>
      </c>
    </row>
    <row r="30199" spans="1:10" x14ac:dyDescent="0.25">
      <c r="A30199" t="s">
        <v>343</v>
      </c>
      <c r="B30199" s="1" t="str">
        <f>HYPERLINK("http://squared.fi","squared.fi")</f>
        <v>squared.fi</v>
      </c>
      <c r="C30199" t="s">
        <v>445</v>
      </c>
      <c r="D30199" t="s">
        <v>823</v>
      </c>
      <c r="J30199">
        <v>4</v>
      </c>
    </row>
    <row r="30200" spans="1:10" x14ac:dyDescent="0.25">
      <c r="A30200" t="s">
        <v>343</v>
      </c>
      <c r="B30200" s="1" t="str">
        <f>HYPERLINK("http://stromfors.fi","stromfors.fi")</f>
        <v>stromfors.fi</v>
      </c>
      <c r="C30200" t="s">
        <v>445</v>
      </c>
      <c r="D30200" t="s">
        <v>823</v>
      </c>
      <c r="J30200">
        <v>4</v>
      </c>
    </row>
    <row r="30201" spans="1:10" x14ac:dyDescent="0.25">
      <c r="A30201" t="s">
        <v>343</v>
      </c>
      <c r="B30201" s="1" t="str">
        <f>HYPERLINK("http://tac.fi","tac.fi")</f>
        <v>tac.fi</v>
      </c>
      <c r="C30201" t="s">
        <v>445</v>
      </c>
      <c r="D30201" t="s">
        <v>823</v>
      </c>
      <c r="J30201">
        <v>4</v>
      </c>
    </row>
    <row r="30202" spans="1:10" x14ac:dyDescent="0.25">
      <c r="A30202" t="s">
        <v>343</v>
      </c>
      <c r="B30202" s="1" t="str">
        <f>HYPERLINK("http://tac-com.fi","tac-com.fi")</f>
        <v>tac-com.fi</v>
      </c>
      <c r="C30202" t="s">
        <v>445</v>
      </c>
      <c r="D30202" t="s">
        <v>823</v>
      </c>
      <c r="J30202">
        <v>4</v>
      </c>
    </row>
    <row r="30203" spans="1:10" x14ac:dyDescent="0.25">
      <c r="A30203" t="s">
        <v>343</v>
      </c>
      <c r="B30203" s="1" t="str">
        <f>HYPERLINK("http://telemecanique.fi","telemecanique.fi")</f>
        <v>telemecanique.fi</v>
      </c>
      <c r="C30203" t="s">
        <v>445</v>
      </c>
      <c r="D30203" t="s">
        <v>823</v>
      </c>
      <c r="J30203">
        <v>4</v>
      </c>
    </row>
    <row r="30204" spans="1:10" x14ac:dyDescent="0.25">
      <c r="A30204" t="s">
        <v>343</v>
      </c>
      <c r="B30204" s="1" t="str">
        <f>HYPERLINK("http://tesensors.fi","tesensors.fi")</f>
        <v>tesensors.fi</v>
      </c>
      <c r="C30204" t="s">
        <v>445</v>
      </c>
      <c r="D30204" t="s">
        <v>823</v>
      </c>
      <c r="J30204">
        <v>4</v>
      </c>
    </row>
    <row r="30205" spans="1:10" x14ac:dyDescent="0.25">
      <c r="A30205" t="s">
        <v>343</v>
      </c>
      <c r="B30205" s="1" t="str">
        <f>HYPERLINK("http://vamp.fi","vamp.fi")</f>
        <v>vamp.fi</v>
      </c>
      <c r="C30205" t="s">
        <v>445</v>
      </c>
      <c r="D30205" t="s">
        <v>823</v>
      </c>
      <c r="F30205">
        <v>1.30146550842384E-8</v>
      </c>
      <c r="G30205">
        <v>4624723</v>
      </c>
      <c r="H30205">
        <v>13719478</v>
      </c>
      <c r="I30205">
        <v>9477738</v>
      </c>
      <c r="J30205">
        <v>5</v>
      </c>
    </row>
    <row r="30206" spans="1:10" x14ac:dyDescent="0.25">
      <c r="A30206" t="s">
        <v>343</v>
      </c>
      <c r="B30206" s="1" t="str">
        <f>HYPERLINK("http://wonderware.fi","wonderware.fi")</f>
        <v>wonderware.fi</v>
      </c>
      <c r="C30206" t="s">
        <v>445</v>
      </c>
      <c r="D30206" t="s">
        <v>823</v>
      </c>
      <c r="F30206">
        <v>5.5755106677826603E-9</v>
      </c>
      <c r="G30206">
        <v>20103249</v>
      </c>
      <c r="H30206">
        <v>10350864</v>
      </c>
      <c r="I30206">
        <v>56274058</v>
      </c>
      <c r="J30206">
        <v>8</v>
      </c>
    </row>
    <row r="30207" spans="1:10" x14ac:dyDescent="0.25">
      <c r="A30207" t="s">
        <v>343</v>
      </c>
      <c r="B30207" s="1" t="str">
        <f>HYPERLINK("http://osisoft.fr","osisoft.fr")</f>
        <v>osisoft.fr</v>
      </c>
      <c r="C30207" t="s">
        <v>446</v>
      </c>
      <c r="D30207" t="s">
        <v>824</v>
      </c>
      <c r="F30207">
        <v>6.4137759234207498E-9</v>
      </c>
      <c r="G30207">
        <v>14453838</v>
      </c>
      <c r="H30207">
        <v>12164399</v>
      </c>
      <c r="I30207">
        <v>24240290</v>
      </c>
      <c r="J30207">
        <v>7</v>
      </c>
    </row>
    <row r="30208" spans="1:10" x14ac:dyDescent="0.25">
      <c r="A30208" t="s">
        <v>343</v>
      </c>
      <c r="B30208" s="1" t="str">
        <f>HYPERLINK("http://proface.fr","proface.fr")</f>
        <v>proface.fr</v>
      </c>
      <c r="C30208" t="s">
        <v>446</v>
      </c>
      <c r="D30208" t="s">
        <v>824</v>
      </c>
      <c r="F30208">
        <v>9.4725397102036603E-9</v>
      </c>
      <c r="G30208">
        <v>7355605</v>
      </c>
      <c r="H30208">
        <v>12660474</v>
      </c>
      <c r="I30208">
        <v>15718628</v>
      </c>
      <c r="J30208">
        <v>4</v>
      </c>
    </row>
    <row r="30209" spans="1:10" x14ac:dyDescent="0.25">
      <c r="A30209" t="s">
        <v>343</v>
      </c>
      <c r="B30209" s="1" t="str">
        <f>HYPERLINK("http://schneider-electric.fr","schneider-electric.fr")</f>
        <v>schneider-electric.fr</v>
      </c>
      <c r="C30209" t="s">
        <v>446</v>
      </c>
      <c r="D30209" t="s">
        <v>824</v>
      </c>
      <c r="E30209">
        <v>535632</v>
      </c>
      <c r="F30209">
        <v>1.88568406450021E-7</v>
      </c>
      <c r="G30209">
        <v>204344</v>
      </c>
      <c r="H30209">
        <v>14371024</v>
      </c>
      <c r="I30209">
        <v>1288477</v>
      </c>
      <c r="J30209">
        <v>2</v>
      </c>
    </row>
    <row r="30210" spans="1:10" x14ac:dyDescent="0.25">
      <c r="A30210" t="s">
        <v>343</v>
      </c>
      <c r="B30210" s="1" t="str">
        <f>HYPERLINK("http://schneider-electric.gr","schneider-electric.gr")</f>
        <v>schneider-electric.gr</v>
      </c>
      <c r="C30210" t="s">
        <v>447</v>
      </c>
      <c r="D30210" t="s">
        <v>825</v>
      </c>
      <c r="F30210">
        <v>2.1205413114545598E-8</v>
      </c>
      <c r="G30210">
        <v>2487055</v>
      </c>
      <c r="H30210">
        <v>14073055</v>
      </c>
      <c r="I30210">
        <v>3021186</v>
      </c>
      <c r="J30210">
        <v>3</v>
      </c>
    </row>
    <row r="30211" spans="1:10" x14ac:dyDescent="0.25">
      <c r="A30211" t="s">
        <v>343</v>
      </c>
      <c r="B30211" s="1" t="str">
        <f>HYPERLINK("http://schneider-electric.com.hk","schneider-electric.com.hk")</f>
        <v>schneider-electric.com.hk</v>
      </c>
      <c r="C30211" t="s">
        <v>450</v>
      </c>
      <c r="D30211" t="s">
        <v>827</v>
      </c>
      <c r="F30211">
        <v>1.9450405994955501E-8</v>
      </c>
      <c r="G30211">
        <v>2754955</v>
      </c>
      <c r="H30211">
        <v>12898842</v>
      </c>
      <c r="I30211">
        <v>13885827</v>
      </c>
      <c r="J30211">
        <v>3</v>
      </c>
    </row>
    <row r="30212" spans="1:10" x14ac:dyDescent="0.25">
      <c r="A30212" t="s">
        <v>343</v>
      </c>
      <c r="B30212" s="1" t="str">
        <f>HYPERLINK("http://proface.co.in","proface.co.in")</f>
        <v>proface.co.in</v>
      </c>
      <c r="C30212" t="s">
        <v>457</v>
      </c>
      <c r="D30212" t="s">
        <v>834</v>
      </c>
      <c r="F30212">
        <v>5.5231313116977299E-9</v>
      </c>
      <c r="G30212">
        <v>20653799</v>
      </c>
      <c r="H30212">
        <v>10757210</v>
      </c>
      <c r="I30212">
        <v>39738383</v>
      </c>
      <c r="J30212">
        <v>4</v>
      </c>
    </row>
    <row r="30213" spans="1:10" x14ac:dyDescent="0.25">
      <c r="A30213" t="s">
        <v>343</v>
      </c>
      <c r="B30213" s="1" t="str">
        <f>HYPERLINK("http://schneider-electric.co.in","schneider-electric.co.in")</f>
        <v>schneider-electric.co.in</v>
      </c>
      <c r="C30213" t="s">
        <v>457</v>
      </c>
      <c r="D30213" t="s">
        <v>834</v>
      </c>
      <c r="E30213">
        <v>720883</v>
      </c>
      <c r="F30213">
        <v>7.4103515681909103E-8</v>
      </c>
      <c r="G30213">
        <v>568110</v>
      </c>
      <c r="H30213">
        <v>14494664</v>
      </c>
      <c r="I30213">
        <v>880428</v>
      </c>
      <c r="J30213">
        <v>2</v>
      </c>
    </row>
    <row r="30214" spans="1:10" x14ac:dyDescent="0.25">
      <c r="A30214" t="s">
        <v>343</v>
      </c>
      <c r="B30214" s="1" t="str">
        <f>HYPERLINK("http://eurotherm.it","eurotherm.it")</f>
        <v>eurotherm.it</v>
      </c>
      <c r="C30214" t="s">
        <v>459</v>
      </c>
      <c r="D30214" t="s">
        <v>835</v>
      </c>
      <c r="F30214">
        <v>7.1877368681585799E-9</v>
      </c>
      <c r="G30214">
        <v>11776250</v>
      </c>
      <c r="H30214">
        <v>12513454</v>
      </c>
      <c r="I30214">
        <v>17213675</v>
      </c>
      <c r="J30214">
        <v>9</v>
      </c>
    </row>
    <row r="30215" spans="1:10" x14ac:dyDescent="0.25">
      <c r="A30215" t="s">
        <v>343</v>
      </c>
      <c r="B30215" s="1" t="str">
        <f>HYPERLINK("http://proface.it","proface.it")</f>
        <v>proface.it</v>
      </c>
      <c r="C30215" t="s">
        <v>459</v>
      </c>
      <c r="D30215" t="s">
        <v>835</v>
      </c>
      <c r="F30215">
        <v>5.7120617388431996E-9</v>
      </c>
      <c r="G30215">
        <v>18820007</v>
      </c>
      <c r="H30215">
        <v>12106951</v>
      </c>
      <c r="I30215">
        <v>25805674</v>
      </c>
      <c r="J30215">
        <v>4</v>
      </c>
    </row>
    <row r="30216" spans="1:10" x14ac:dyDescent="0.25">
      <c r="A30216" t="s">
        <v>343</v>
      </c>
      <c r="B30216" s="1" t="str">
        <f>HYPERLINK("http://schneider-electric.it","schneider-electric.it")</f>
        <v>schneider-electric.it</v>
      </c>
      <c r="C30216" t="s">
        <v>459</v>
      </c>
      <c r="D30216" t="s">
        <v>835</v>
      </c>
      <c r="F30216">
        <v>6.0193186629649301E-8</v>
      </c>
      <c r="G30216">
        <v>733044</v>
      </c>
      <c r="H30216">
        <v>14128149</v>
      </c>
      <c r="I30216">
        <v>2067704</v>
      </c>
      <c r="J30216">
        <v>2</v>
      </c>
    </row>
    <row r="30217" spans="1:10" x14ac:dyDescent="0.25">
      <c r="A30217" t="s">
        <v>343</v>
      </c>
      <c r="B30217" s="1" t="str">
        <f>HYPERLINK("http://inverter.co.jp","inverter.co.jp")</f>
        <v>inverter.co.jp</v>
      </c>
      <c r="C30217" t="s">
        <v>461</v>
      </c>
      <c r="D30217" t="s">
        <v>837</v>
      </c>
      <c r="F30217">
        <v>1.5559457182229001E-8</v>
      </c>
      <c r="G30217">
        <v>3667604</v>
      </c>
      <c r="H30217">
        <v>14112863</v>
      </c>
      <c r="I30217">
        <v>2668678</v>
      </c>
      <c r="J30217">
        <v>3</v>
      </c>
    </row>
    <row r="30218" spans="1:10" x14ac:dyDescent="0.25">
      <c r="A30218" t="s">
        <v>343</v>
      </c>
      <c r="B30218" s="1" t="str">
        <f>HYPERLINK("http://proface.co.jp","proface.co.jp")</f>
        <v>proface.co.jp</v>
      </c>
      <c r="C30218" t="s">
        <v>461</v>
      </c>
      <c r="D30218" t="s">
        <v>837</v>
      </c>
      <c r="F30218">
        <v>2.05270429416402E-8</v>
      </c>
      <c r="G30218">
        <v>2580916</v>
      </c>
      <c r="H30218">
        <v>13823503</v>
      </c>
      <c r="I30218">
        <v>6133345</v>
      </c>
      <c r="J30218">
        <v>4</v>
      </c>
    </row>
    <row r="30219" spans="1:10" x14ac:dyDescent="0.25">
      <c r="A30219" t="s">
        <v>343</v>
      </c>
      <c r="B30219" s="1" t="str">
        <f>HYPERLINK("http://osisoft.jp","osisoft.jp")</f>
        <v>osisoft.jp</v>
      </c>
      <c r="C30219" t="s">
        <v>461</v>
      </c>
      <c r="D30219" t="s">
        <v>837</v>
      </c>
      <c r="F30219">
        <v>7.4982797843738603E-9</v>
      </c>
      <c r="G30219">
        <v>11017322</v>
      </c>
      <c r="H30219">
        <v>14071866</v>
      </c>
      <c r="I30219">
        <v>3276980</v>
      </c>
      <c r="J30219">
        <v>7</v>
      </c>
    </row>
    <row r="30220" spans="1:10" x14ac:dyDescent="0.25">
      <c r="A30220" t="s">
        <v>343</v>
      </c>
      <c r="B30220" s="1" t="str">
        <f>HYPERLINK("http://eurotherm.co.kr","eurotherm.co.kr")</f>
        <v>eurotherm.co.kr</v>
      </c>
      <c r="C30220" t="s">
        <v>463</v>
      </c>
      <c r="D30220" t="s">
        <v>839</v>
      </c>
      <c r="F30220">
        <v>4.9485550184257101E-9</v>
      </c>
      <c r="G30220">
        <v>30829226</v>
      </c>
      <c r="H30220">
        <v>10727314</v>
      </c>
      <c r="I30220">
        <v>41127159</v>
      </c>
      <c r="J30220">
        <v>9</v>
      </c>
    </row>
    <row r="30221" spans="1:10" x14ac:dyDescent="0.25">
      <c r="A30221" t="s">
        <v>343</v>
      </c>
      <c r="B30221" s="1" t="str">
        <f>HYPERLINK("http://proface.co.kr","proface.co.kr")</f>
        <v>proface.co.kr</v>
      </c>
      <c r="C30221" t="s">
        <v>463</v>
      </c>
      <c r="D30221" t="s">
        <v>839</v>
      </c>
      <c r="F30221">
        <v>7.9589822499764093E-9</v>
      </c>
      <c r="G30221">
        <v>9996808</v>
      </c>
      <c r="H30221">
        <v>10811900</v>
      </c>
      <c r="I30221">
        <v>37822678</v>
      </c>
      <c r="J30221">
        <v>4</v>
      </c>
    </row>
    <row r="30222" spans="1:10" x14ac:dyDescent="0.25">
      <c r="A30222" t="s">
        <v>343</v>
      </c>
      <c r="B30222" s="1" t="str">
        <f>HYPERLINK("http://osisoft.kr","osisoft.kr")</f>
        <v>osisoft.kr</v>
      </c>
      <c r="C30222" t="s">
        <v>463</v>
      </c>
      <c r="D30222" t="s">
        <v>839</v>
      </c>
      <c r="F30222">
        <v>8.4070226759906007E-9</v>
      </c>
      <c r="G30222">
        <v>9028536</v>
      </c>
      <c r="H30222">
        <v>12216020</v>
      </c>
      <c r="I30222">
        <v>22880775</v>
      </c>
      <c r="J30222">
        <v>7</v>
      </c>
    </row>
    <row r="30223" spans="1:10" x14ac:dyDescent="0.25">
      <c r="A30223" t="s">
        <v>343</v>
      </c>
      <c r="B30223" s="1" t="str">
        <f>HYPERLINK("http://wonderware.kz","wonderware.kz")</f>
        <v>wonderware.kz</v>
      </c>
      <c r="C30223" t="s">
        <v>465</v>
      </c>
      <c r="D30223" t="s">
        <v>841</v>
      </c>
      <c r="F30223">
        <v>7.6809302435500306E-9</v>
      </c>
      <c r="G30223">
        <v>10621677</v>
      </c>
      <c r="H30223">
        <v>10932453</v>
      </c>
      <c r="I30223">
        <v>35015542</v>
      </c>
      <c r="J30223">
        <v>8</v>
      </c>
    </row>
    <row r="30224" spans="1:10" x14ac:dyDescent="0.25">
      <c r="A30224" t="s">
        <v>343</v>
      </c>
      <c r="B30224" s="1" t="str">
        <f>HYPERLINK("http://wonderware.lt","wonderware.lt")</f>
        <v>wonderware.lt</v>
      </c>
      <c r="C30224" t="s">
        <v>467</v>
      </c>
      <c r="D30224" t="s">
        <v>843</v>
      </c>
      <c r="F30224">
        <v>4.8083565739410399E-9</v>
      </c>
      <c r="G30224">
        <v>35761043</v>
      </c>
      <c r="H30224">
        <v>8299008</v>
      </c>
      <c r="I30224">
        <v>74391982</v>
      </c>
      <c r="J30224">
        <v>8</v>
      </c>
    </row>
    <row r="30225" spans="1:10" x14ac:dyDescent="0.25">
      <c r="A30225" t="s">
        <v>343</v>
      </c>
      <c r="B30225" s="1" t="str">
        <f>HYPERLINK("http://wonderware.lv","wonderware.lv")</f>
        <v>wonderware.lv</v>
      </c>
      <c r="C30225" t="s">
        <v>468</v>
      </c>
      <c r="D30225" t="s">
        <v>844</v>
      </c>
      <c r="F30225">
        <v>4.80835657394103E-9</v>
      </c>
      <c r="G30225">
        <v>35761044</v>
      </c>
      <c r="H30225">
        <v>8299008.5</v>
      </c>
      <c r="I30225">
        <v>74391975</v>
      </c>
      <c r="J30225">
        <v>8</v>
      </c>
    </row>
    <row r="30226" spans="1:10" x14ac:dyDescent="0.25">
      <c r="A30226" t="s">
        <v>343</v>
      </c>
      <c r="B30226" s="1" t="str">
        <f>HYPERLINK("http://elko.no","elko.no")</f>
        <v>elko.no</v>
      </c>
      <c r="C30226" t="s">
        <v>478</v>
      </c>
      <c r="D30226" t="s">
        <v>853</v>
      </c>
      <c r="F30226">
        <v>9.1427148197544901E-8</v>
      </c>
      <c r="G30226">
        <v>445780</v>
      </c>
      <c r="H30226">
        <v>13867518</v>
      </c>
      <c r="I30226">
        <v>6004509</v>
      </c>
      <c r="J30226">
        <v>4</v>
      </c>
    </row>
    <row r="30227" spans="1:10" x14ac:dyDescent="0.25">
      <c r="A30227" t="s">
        <v>343</v>
      </c>
      <c r="B30227" s="1" t="str">
        <f>HYPERLINK("http://schneider-electric.no","schneider-electric.no")</f>
        <v>schneider-electric.no</v>
      </c>
      <c r="C30227" t="s">
        <v>478</v>
      </c>
      <c r="D30227" t="s">
        <v>853</v>
      </c>
      <c r="F30227">
        <v>3.8830473212464503E-8</v>
      </c>
      <c r="G30227">
        <v>1327878</v>
      </c>
      <c r="H30227">
        <v>13941505</v>
      </c>
      <c r="I30227">
        <v>4346392</v>
      </c>
      <c r="J30227">
        <v>4</v>
      </c>
    </row>
    <row r="30228" spans="1:10" x14ac:dyDescent="0.25">
      <c r="A30228" t="s">
        <v>343</v>
      </c>
      <c r="B30228" s="1" t="str">
        <f>HYPERLINK("http://schneider-electric.co.nz","schneider-electric.co.nz")</f>
        <v>schneider-electric.co.nz</v>
      </c>
      <c r="C30228" t="s">
        <v>479</v>
      </c>
      <c r="D30228" t="s">
        <v>854</v>
      </c>
      <c r="F30228">
        <v>7.6341396746758E-9</v>
      </c>
      <c r="G30228">
        <v>10721093</v>
      </c>
      <c r="H30228">
        <v>12262313</v>
      </c>
      <c r="I30228">
        <v>21710747</v>
      </c>
      <c r="J30228">
        <v>3</v>
      </c>
    </row>
    <row r="30229" spans="1:10" x14ac:dyDescent="0.25">
      <c r="A30229" t="s">
        <v>343</v>
      </c>
      <c r="B30229" s="1" t="str">
        <f>HYPERLINK("http://wonderware.online","wonderware.online")</f>
        <v>wonderware.online</v>
      </c>
      <c r="C30229" t="s">
        <v>563</v>
      </c>
      <c r="F30229">
        <v>5.6688318555660697E-9</v>
      </c>
      <c r="G30229">
        <v>19226722</v>
      </c>
      <c r="H30229">
        <v>10824965</v>
      </c>
      <c r="I30229">
        <v>37505850</v>
      </c>
      <c r="J30229">
        <v>4</v>
      </c>
    </row>
    <row r="30230" spans="1:10" x14ac:dyDescent="0.25">
      <c r="A30230" t="s">
        <v>343</v>
      </c>
      <c r="B30230" s="1" t="str">
        <f>HYPERLINK("http://proface.pl","proface.pl")</f>
        <v>proface.pl</v>
      </c>
      <c r="C30230" t="s">
        <v>486</v>
      </c>
      <c r="D30230" t="s">
        <v>860</v>
      </c>
      <c r="F30230">
        <v>6.0359785775788502E-9</v>
      </c>
      <c r="G30230">
        <v>16464753</v>
      </c>
      <c r="H30230">
        <v>10844130</v>
      </c>
      <c r="I30230">
        <v>37009565</v>
      </c>
      <c r="J30230">
        <v>4</v>
      </c>
    </row>
    <row r="30231" spans="1:10" x14ac:dyDescent="0.25">
      <c r="A30231" t="s">
        <v>343</v>
      </c>
      <c r="B30231" s="1" t="str">
        <f>HYPERLINK("http://osisoft.pt","osisoft.pt")</f>
        <v>osisoft.pt</v>
      </c>
      <c r="C30231" t="s">
        <v>488</v>
      </c>
      <c r="D30231" t="s">
        <v>862</v>
      </c>
      <c r="F30231">
        <v>6.4083389121238298E-9</v>
      </c>
      <c r="G30231">
        <v>14478373</v>
      </c>
      <c r="H30231">
        <v>12181325</v>
      </c>
      <c r="I30231">
        <v>23788526</v>
      </c>
      <c r="J30231">
        <v>7</v>
      </c>
    </row>
    <row r="30232" spans="1:10" x14ac:dyDescent="0.25">
      <c r="A30232" t="s">
        <v>343</v>
      </c>
      <c r="B30232" s="1" t="str">
        <f>HYPERLINK("http://schneiderelectric.pt","schneiderelectric.pt")</f>
        <v>schneiderelectric.pt</v>
      </c>
      <c r="C30232" t="s">
        <v>488</v>
      </c>
      <c r="D30232" t="s">
        <v>862</v>
      </c>
      <c r="F30232">
        <v>7.8947475829324097E-9</v>
      </c>
      <c r="G30232">
        <v>10122267</v>
      </c>
      <c r="H30232">
        <v>14071870</v>
      </c>
      <c r="I30232">
        <v>3261139</v>
      </c>
      <c r="J30232">
        <v>3</v>
      </c>
    </row>
    <row r="30233" spans="1:10" x14ac:dyDescent="0.25">
      <c r="A30233" t="s">
        <v>343</v>
      </c>
      <c r="B30233" s="1" t="str">
        <f>HYPERLINK("http://schneider-electric.rs","schneider-electric.rs")</f>
        <v>schneider-electric.rs</v>
      </c>
      <c r="C30233" t="s">
        <v>492</v>
      </c>
      <c r="D30233" t="s">
        <v>866</v>
      </c>
      <c r="F30233">
        <v>2.2397198649641698E-8</v>
      </c>
      <c r="G30233">
        <v>2340028</v>
      </c>
      <c r="H30233">
        <v>13934548</v>
      </c>
      <c r="I30233">
        <v>4591404</v>
      </c>
      <c r="J30233">
        <v>3</v>
      </c>
    </row>
    <row r="30234" spans="1:10" x14ac:dyDescent="0.25">
      <c r="A30234" t="s">
        <v>343</v>
      </c>
      <c r="B30234" s="1" t="str">
        <f>HYPERLINK("http://osisoft.ru","osisoft.ru")</f>
        <v>osisoft.ru</v>
      </c>
      <c r="C30234" t="s">
        <v>493</v>
      </c>
      <c r="D30234" t="s">
        <v>867</v>
      </c>
      <c r="F30234">
        <v>7.2300124891178301E-9</v>
      </c>
      <c r="G30234">
        <v>11657036</v>
      </c>
      <c r="H30234">
        <v>12180528</v>
      </c>
      <c r="I30234">
        <v>23804892</v>
      </c>
      <c r="J30234">
        <v>7</v>
      </c>
    </row>
    <row r="30235" spans="1:10" x14ac:dyDescent="0.25">
      <c r="A30235" t="s">
        <v>343</v>
      </c>
      <c r="B30235" s="1" t="str">
        <f>HYPERLINK("http://wonderware.ru","wonderware.ru")</f>
        <v>wonderware.ru</v>
      </c>
      <c r="C30235" t="s">
        <v>493</v>
      </c>
      <c r="D30235" t="s">
        <v>867</v>
      </c>
      <c r="F30235">
        <v>1.760779296956E-8</v>
      </c>
      <c r="G30235">
        <v>3117238</v>
      </c>
      <c r="H30235">
        <v>12353092</v>
      </c>
      <c r="I30235">
        <v>19713611</v>
      </c>
      <c r="J30235">
        <v>7</v>
      </c>
    </row>
    <row r="30236" spans="1:10" x14ac:dyDescent="0.25">
      <c r="A30236" t="s">
        <v>343</v>
      </c>
      <c r="B30236" s="1" t="str">
        <f>HYPERLINK("http://eurotherm.se","eurotherm.se")</f>
        <v>eurotherm.se</v>
      </c>
      <c r="C30236" t="s">
        <v>495</v>
      </c>
      <c r="D30236" t="s">
        <v>869</v>
      </c>
      <c r="F30236">
        <v>5.5738713625767E-9</v>
      </c>
      <c r="G30236">
        <v>20125682</v>
      </c>
      <c r="H30236">
        <v>12387757</v>
      </c>
      <c r="I30236">
        <v>19087164</v>
      </c>
      <c r="J30236">
        <v>9</v>
      </c>
    </row>
    <row r="30237" spans="1:10" x14ac:dyDescent="0.25">
      <c r="A30237" t="s">
        <v>343</v>
      </c>
      <c r="B30237" s="1" t="str">
        <f>HYPERLINK("http://schneider-electric.se","schneider-electric.se")</f>
        <v>schneider-electric.se</v>
      </c>
      <c r="C30237" t="s">
        <v>495</v>
      </c>
      <c r="D30237" t="s">
        <v>869</v>
      </c>
      <c r="F30237">
        <v>5.5063541616235698E-8</v>
      </c>
      <c r="G30237">
        <v>816523</v>
      </c>
      <c r="H30237">
        <v>13345153</v>
      </c>
      <c r="I30237">
        <v>10652147</v>
      </c>
      <c r="J30237">
        <v>3</v>
      </c>
    </row>
    <row r="30238" spans="1:10" x14ac:dyDescent="0.25">
      <c r="A30238" t="s">
        <v>343</v>
      </c>
      <c r="B30238" s="1" t="str">
        <f>HYPERLINK("http://proface.sg","proface.sg")</f>
        <v>proface.sg</v>
      </c>
      <c r="C30238" t="s">
        <v>496</v>
      </c>
      <c r="D30238" t="s">
        <v>870</v>
      </c>
      <c r="F30238">
        <v>5.5300378842675304E-9</v>
      </c>
      <c r="G30238">
        <v>20583883</v>
      </c>
      <c r="H30238">
        <v>10810237</v>
      </c>
      <c r="I30238">
        <v>37863754</v>
      </c>
      <c r="J30238">
        <v>4</v>
      </c>
    </row>
    <row r="30239" spans="1:10" x14ac:dyDescent="0.25">
      <c r="A30239" t="s">
        <v>343</v>
      </c>
      <c r="B30239" s="1" t="str">
        <f>HYPERLINK("http://schneider-electric.sk","schneider-electric.sk")</f>
        <v>schneider-electric.sk</v>
      </c>
      <c r="C30239" t="s">
        <v>498</v>
      </c>
      <c r="D30239" t="s">
        <v>872</v>
      </c>
      <c r="F30239">
        <v>2.3947551675127901E-8</v>
      </c>
      <c r="G30239">
        <v>2168100</v>
      </c>
      <c r="H30239">
        <v>12677920</v>
      </c>
      <c r="I30239">
        <v>15519325</v>
      </c>
      <c r="J30239">
        <v>5</v>
      </c>
    </row>
    <row r="30240" spans="1:10" x14ac:dyDescent="0.25">
      <c r="A30240" t="s">
        <v>343</v>
      </c>
      <c r="B30240" s="1" t="str">
        <f>HYPERLINK("http://proface.tech","proface.tech")</f>
        <v>proface.tech</v>
      </c>
      <c r="C30240" t="s">
        <v>534</v>
      </c>
      <c r="F30240">
        <v>5.5231780016960401E-9</v>
      </c>
      <c r="G30240">
        <v>20653283</v>
      </c>
      <c r="H30240">
        <v>10815928</v>
      </c>
      <c r="I30240">
        <v>37718151</v>
      </c>
      <c r="J30240">
        <v>4</v>
      </c>
    </row>
    <row r="30241" spans="1:10" x14ac:dyDescent="0.25">
      <c r="A30241" t="s">
        <v>343</v>
      </c>
      <c r="B30241" s="1" t="str">
        <f>HYPERLINK("http://schneider-electric.com.tr","schneider-electric.com.tr")</f>
        <v>schneider-electric.com.tr</v>
      </c>
      <c r="C30241" t="s">
        <v>502</v>
      </c>
      <c r="D30241" t="s">
        <v>876</v>
      </c>
      <c r="F30241">
        <v>3.1923356836288098E-8</v>
      </c>
      <c r="G30241">
        <v>1618461</v>
      </c>
      <c r="H30241">
        <v>12844365</v>
      </c>
      <c r="I30241">
        <v>14322830</v>
      </c>
      <c r="J30241">
        <v>3</v>
      </c>
    </row>
    <row r="30242" spans="1:10" x14ac:dyDescent="0.25">
      <c r="A30242" t="s">
        <v>343</v>
      </c>
      <c r="B30242" s="1" t="str">
        <f>HYPERLINK("http://schneider-enerji.com.tr","schneider-enerji.com.tr")</f>
        <v>schneider-enerji.com.tr</v>
      </c>
      <c r="C30242" t="s">
        <v>502</v>
      </c>
      <c r="D30242" t="s">
        <v>876</v>
      </c>
      <c r="J30242">
        <v>2</v>
      </c>
    </row>
    <row r="30243" spans="1:10" x14ac:dyDescent="0.25">
      <c r="A30243" t="s">
        <v>343</v>
      </c>
      <c r="B30243" s="1" t="str">
        <f>HYPERLINK("http://proface.com.tw","proface.com.tw")</f>
        <v>proface.com.tw</v>
      </c>
      <c r="C30243" t="s">
        <v>504</v>
      </c>
      <c r="D30243" t="s">
        <v>878</v>
      </c>
      <c r="F30243">
        <v>6.7968614796978504E-9</v>
      </c>
      <c r="G30243">
        <v>12971412</v>
      </c>
      <c r="H30243">
        <v>10810495</v>
      </c>
      <c r="I30243">
        <v>37857799</v>
      </c>
      <c r="J30243">
        <v>4</v>
      </c>
    </row>
    <row r="30244" spans="1:10" x14ac:dyDescent="0.25">
      <c r="A30244" t="s">
        <v>343</v>
      </c>
      <c r="B30244" s="1" t="str">
        <f>HYPERLINK("http://schneider-electric.com.tw","schneider-electric.com.tw")</f>
        <v>schneider-electric.com.tw</v>
      </c>
      <c r="C30244" t="s">
        <v>504</v>
      </c>
      <c r="D30244" t="s">
        <v>878</v>
      </c>
      <c r="F30244">
        <v>5.40974719758216E-9</v>
      </c>
      <c r="G30244">
        <v>21988235</v>
      </c>
      <c r="H30244">
        <v>12404624</v>
      </c>
      <c r="I30244">
        <v>18694789</v>
      </c>
      <c r="J30244">
        <v>2</v>
      </c>
    </row>
    <row r="30245" spans="1:10" x14ac:dyDescent="0.25">
      <c r="A30245" t="s">
        <v>343</v>
      </c>
      <c r="B30245" s="1" t="str">
        <f>HYPERLINK("http://wonderware.com.ua","wonderware.com.ua")</f>
        <v>wonderware.com.ua</v>
      </c>
      <c r="C30245" t="s">
        <v>505</v>
      </c>
      <c r="D30245" t="s">
        <v>879</v>
      </c>
      <c r="F30245">
        <v>6.8924165486339098E-9</v>
      </c>
      <c r="G30245">
        <v>12658150</v>
      </c>
      <c r="H30245">
        <v>9536549</v>
      </c>
      <c r="I30245">
        <v>65200038</v>
      </c>
      <c r="J30245">
        <v>8</v>
      </c>
    </row>
    <row r="30246" spans="1:10" x14ac:dyDescent="0.25">
      <c r="A30246" t="s">
        <v>343</v>
      </c>
      <c r="B30246" s="1" t="str">
        <f>HYPERLINK("http://schneider-electric.ua","schneider-electric.ua")</f>
        <v>schneider-electric.ua</v>
      </c>
      <c r="C30246" t="s">
        <v>505</v>
      </c>
      <c r="D30246" t="s">
        <v>879</v>
      </c>
      <c r="F30246">
        <v>1.8455587163817499E-8</v>
      </c>
      <c r="G30246">
        <v>2934692</v>
      </c>
      <c r="H30246">
        <v>14072486</v>
      </c>
      <c r="I30246">
        <v>3083279</v>
      </c>
      <c r="J30246">
        <v>2</v>
      </c>
    </row>
    <row r="30247" spans="1:10" x14ac:dyDescent="0.25">
      <c r="A30247" t="s">
        <v>343</v>
      </c>
      <c r="B30247" s="1" t="str">
        <f>HYPERLINK("http://eurotherm.co.uk","eurotherm.co.uk")</f>
        <v>eurotherm.co.uk</v>
      </c>
      <c r="C30247" t="s">
        <v>506</v>
      </c>
      <c r="D30247" t="s">
        <v>880</v>
      </c>
      <c r="F30247">
        <v>2.3321264596258201E-8</v>
      </c>
      <c r="G30247">
        <v>2236773</v>
      </c>
      <c r="H30247">
        <v>14579708</v>
      </c>
      <c r="I30247">
        <v>711948</v>
      </c>
      <c r="J30247">
        <v>7</v>
      </c>
    </row>
    <row r="30248" spans="1:10" x14ac:dyDescent="0.25">
      <c r="A30248" t="s">
        <v>343</v>
      </c>
      <c r="B30248" s="1" t="str">
        <f>HYPERLINK("http://mcenergygroup.co.uk","mcenergygroup.co.uk")</f>
        <v>mcenergygroup.co.uk</v>
      </c>
      <c r="C30248" t="s">
        <v>506</v>
      </c>
      <c r="D30248" t="s">
        <v>880</v>
      </c>
      <c r="F30248">
        <v>4.6100775337545197E-9</v>
      </c>
      <c r="G30248">
        <v>46838556</v>
      </c>
      <c r="H30248">
        <v>11179032</v>
      </c>
      <c r="I30248">
        <v>31443090</v>
      </c>
      <c r="J30248">
        <v>5</v>
      </c>
    </row>
    <row r="30249" spans="1:10" x14ac:dyDescent="0.25">
      <c r="A30249" t="s">
        <v>343</v>
      </c>
      <c r="B30249" s="1" t="str">
        <f>HYPERLINK("http://proface.co.uk","proface.co.uk")</f>
        <v>proface.co.uk</v>
      </c>
      <c r="C30249" t="s">
        <v>506</v>
      </c>
      <c r="D30249" t="s">
        <v>880</v>
      </c>
      <c r="F30249">
        <v>5.56358247128335E-9</v>
      </c>
      <c r="G30249">
        <v>20239831</v>
      </c>
      <c r="H30249">
        <v>11002688</v>
      </c>
      <c r="I30249">
        <v>33539711</v>
      </c>
      <c r="J30249">
        <v>4</v>
      </c>
    </row>
    <row r="30250" spans="1:10" x14ac:dyDescent="0.25">
      <c r="A30250" t="s">
        <v>343</v>
      </c>
      <c r="B30250" s="1" t="str">
        <f>HYPERLINK("http://schneider-electric.co.uk","schneider-electric.co.uk")</f>
        <v>schneider-electric.co.uk</v>
      </c>
      <c r="C30250" t="s">
        <v>506</v>
      </c>
      <c r="D30250" t="s">
        <v>880</v>
      </c>
      <c r="E30250">
        <v>925450</v>
      </c>
      <c r="F30250">
        <v>9.7961243602560797E-8</v>
      </c>
      <c r="G30250">
        <v>411922</v>
      </c>
      <c r="H30250">
        <v>14483400</v>
      </c>
      <c r="I30250">
        <v>1022351</v>
      </c>
      <c r="J30250">
        <v>2</v>
      </c>
    </row>
    <row r="30251" spans="1:10" x14ac:dyDescent="0.25">
      <c r="A30251" t="s">
        <v>343</v>
      </c>
      <c r="B30251" s="1" t="str">
        <f>HYPERLINK("http://schneider-electric.us","schneider-electric.us")</f>
        <v>schneider-electric.us</v>
      </c>
      <c r="C30251" t="s">
        <v>522</v>
      </c>
      <c r="D30251" t="s">
        <v>891</v>
      </c>
      <c r="E30251">
        <v>221145</v>
      </c>
      <c r="F30251">
        <v>4.0918692148859198E-7</v>
      </c>
      <c r="G30251">
        <v>91871</v>
      </c>
      <c r="H30251">
        <v>14997785</v>
      </c>
      <c r="I30251">
        <v>426374</v>
      </c>
      <c r="J30251">
        <v>2</v>
      </c>
    </row>
    <row r="30252" spans="1:10" x14ac:dyDescent="0.25">
      <c r="A30252" t="s">
        <v>343</v>
      </c>
      <c r="B30252" s="1" t="str">
        <f>HYPERLINK("http://schneider-electric.co.za","schneider-electric.co.za")</f>
        <v>schneider-electric.co.za</v>
      </c>
      <c r="C30252" t="s">
        <v>510</v>
      </c>
      <c r="D30252" t="s">
        <v>884</v>
      </c>
      <c r="F30252">
        <v>9.11441686047717E-9</v>
      </c>
      <c r="G30252">
        <v>7827151</v>
      </c>
      <c r="H30252">
        <v>13765400</v>
      </c>
      <c r="I30252">
        <v>7107733</v>
      </c>
      <c r="J30252">
        <v>4</v>
      </c>
    </row>
    <row r="30253" spans="1:10" x14ac:dyDescent="0.25">
      <c r="A30253" t="s">
        <v>344</v>
      </c>
      <c r="B30253" s="1" t="str">
        <f>HYPERLINK("http://gasoductosdc.com","gasoductosdc.com")</f>
        <v>gasoductosdc.com</v>
      </c>
      <c r="C30253" t="s">
        <v>433</v>
      </c>
      <c r="F30253">
        <v>4.9850039888583099E-9</v>
      </c>
      <c r="G30253">
        <v>29810593</v>
      </c>
      <c r="H30253">
        <v>12886493</v>
      </c>
      <c r="I30253">
        <v>13958550</v>
      </c>
      <c r="J30253">
        <v>4</v>
      </c>
    </row>
    <row r="30254" spans="1:10" x14ac:dyDescent="0.25">
      <c r="A30254" t="s">
        <v>344</v>
      </c>
      <c r="B30254" s="1" t="str">
        <f>HYPERLINK("http://ienova.com","ienova.com")</f>
        <v>ienova.com</v>
      </c>
      <c r="C30254" t="s">
        <v>433</v>
      </c>
      <c r="F30254">
        <v>4.4438674124113197E-9</v>
      </c>
      <c r="G30254">
        <v>78214080</v>
      </c>
      <c r="H30254">
        <v>10464127</v>
      </c>
      <c r="I30254">
        <v>51581690</v>
      </c>
      <c r="J30254">
        <v>7</v>
      </c>
    </row>
    <row r="30255" spans="1:10" x14ac:dyDescent="0.25">
      <c r="A30255" t="s">
        <v>344</v>
      </c>
      <c r="B30255" s="1" t="str">
        <f>HYPERLINK("http://sdge.com","sdge.com")</f>
        <v>sdge.com</v>
      </c>
      <c r="C30255" t="s">
        <v>433</v>
      </c>
      <c r="E30255">
        <v>21646</v>
      </c>
      <c r="F30255">
        <v>7.7562344003961302E-7</v>
      </c>
      <c r="G30255">
        <v>50486</v>
      </c>
      <c r="H30255">
        <v>17393110</v>
      </c>
      <c r="I30255">
        <v>19693</v>
      </c>
      <c r="J30255">
        <v>3</v>
      </c>
    </row>
    <row r="30256" spans="1:10" x14ac:dyDescent="0.25">
      <c r="A30256" t="s">
        <v>344</v>
      </c>
      <c r="B30256" s="1" t="str">
        <f>HYPERLINK("http://sempra.com","sempra.com")</f>
        <v>sempra.com</v>
      </c>
      <c r="C30256" t="s">
        <v>433</v>
      </c>
      <c r="E30256">
        <v>12473</v>
      </c>
      <c r="F30256">
        <v>3.01479646910487E-7</v>
      </c>
      <c r="G30256">
        <v>123358</v>
      </c>
      <c r="H30256">
        <v>14909743</v>
      </c>
      <c r="I30256">
        <v>458127</v>
      </c>
      <c r="J30256">
        <v>1</v>
      </c>
    </row>
    <row r="30257" spans="1:10" x14ac:dyDescent="0.25">
      <c r="A30257" t="s">
        <v>344</v>
      </c>
      <c r="B30257" s="1" t="str">
        <f>HYPERLINK("http://sempraglobal.com","sempraglobal.com")</f>
        <v>sempraglobal.com</v>
      </c>
      <c r="C30257" t="s">
        <v>433</v>
      </c>
      <c r="E30257">
        <v>247472</v>
      </c>
      <c r="F30257">
        <v>4.5308722253693597E-9</v>
      </c>
      <c r="G30257">
        <v>54966398</v>
      </c>
      <c r="H30257">
        <v>10358742</v>
      </c>
      <c r="I30257">
        <v>55300246</v>
      </c>
      <c r="J30257">
        <v>5</v>
      </c>
    </row>
    <row r="30258" spans="1:10" x14ac:dyDescent="0.25">
      <c r="A30258" t="s">
        <v>344</v>
      </c>
      <c r="B30258" s="1" t="str">
        <f>HYPERLINK("http://sempralng.com","sempralng.com")</f>
        <v>sempralng.com</v>
      </c>
      <c r="C30258" t="s">
        <v>433</v>
      </c>
      <c r="E30258">
        <v>243623</v>
      </c>
      <c r="F30258">
        <v>4.4019514823458198E-8</v>
      </c>
      <c r="G30258">
        <v>1080954</v>
      </c>
      <c r="H30258">
        <v>13487678</v>
      </c>
      <c r="I30258">
        <v>9992092</v>
      </c>
      <c r="J30258">
        <v>4</v>
      </c>
    </row>
    <row r="30259" spans="1:10" x14ac:dyDescent="0.25">
      <c r="A30259" t="s">
        <v>344</v>
      </c>
      <c r="B30259" s="1" t="str">
        <f>HYPERLINK("http://socalgas.com","socalgas.com")</f>
        <v>socalgas.com</v>
      </c>
      <c r="C30259" t="s">
        <v>433</v>
      </c>
      <c r="E30259">
        <v>13594</v>
      </c>
      <c r="F30259">
        <v>7.22711084119464E-7</v>
      </c>
      <c r="G30259">
        <v>53760</v>
      </c>
      <c r="H30259">
        <v>15210867</v>
      </c>
      <c r="I30259">
        <v>394471</v>
      </c>
      <c r="J30259">
        <v>3</v>
      </c>
    </row>
    <row r="30260" spans="1:10" x14ac:dyDescent="0.25">
      <c r="A30260" t="s">
        <v>344</v>
      </c>
      <c r="B30260" s="1" t="str">
        <f>HYPERLINK("http://ecogas.com.mx","ecogas.com.mx")</f>
        <v>ecogas.com.mx</v>
      </c>
      <c r="C30260" t="s">
        <v>471</v>
      </c>
      <c r="D30260" t="s">
        <v>847</v>
      </c>
      <c r="F30260">
        <v>7.0903133219344698E-9</v>
      </c>
      <c r="G30260">
        <v>12042724</v>
      </c>
      <c r="H30260">
        <v>11070128</v>
      </c>
      <c r="I30260">
        <v>32576230</v>
      </c>
      <c r="J30260">
        <v>7</v>
      </c>
    </row>
    <row r="30261" spans="1:10" x14ac:dyDescent="0.25">
      <c r="A30261" t="s">
        <v>344</v>
      </c>
      <c r="B30261" s="1" t="str">
        <f>HYPERLINK("http://ienova.com.mx","ienova.com.mx")</f>
        <v>ienova.com.mx</v>
      </c>
      <c r="C30261" t="s">
        <v>471</v>
      </c>
      <c r="D30261" t="s">
        <v>847</v>
      </c>
      <c r="E30261">
        <v>80744</v>
      </c>
      <c r="F30261">
        <v>5.6281588125848299E-8</v>
      </c>
      <c r="G30261">
        <v>795047</v>
      </c>
      <c r="H30261">
        <v>14056290</v>
      </c>
      <c r="I30261">
        <v>3889885</v>
      </c>
      <c r="J30261">
        <v>5</v>
      </c>
    </row>
    <row r="30262" spans="1:10" x14ac:dyDescent="0.25">
      <c r="A30262" t="s">
        <v>345</v>
      </c>
      <c r="B30262" s="1" t="str">
        <f>HYPERLINK("http://rolunk.at","rolunk.at")</f>
        <v>rolunk.at</v>
      </c>
      <c r="C30262" t="s">
        <v>419</v>
      </c>
      <c r="D30262" t="s">
        <v>801</v>
      </c>
      <c r="F30262">
        <v>8.4226638702597906E-9</v>
      </c>
      <c r="G30262">
        <v>8996834</v>
      </c>
      <c r="H30262">
        <v>12212154</v>
      </c>
      <c r="I30262">
        <v>22976518</v>
      </c>
      <c r="J30262">
        <v>6</v>
      </c>
    </row>
    <row r="30263" spans="1:10" x14ac:dyDescent="0.25">
      <c r="A30263" t="s">
        <v>345</v>
      </c>
      <c r="B30263" s="1" t="str">
        <f>HYPERLINK("http://servicenow.com.au","servicenow.com.au")</f>
        <v>servicenow.com.au</v>
      </c>
      <c r="C30263" t="s">
        <v>420</v>
      </c>
      <c r="D30263" t="s">
        <v>802</v>
      </c>
      <c r="F30263">
        <v>7.5561064619535506E-9</v>
      </c>
      <c r="G30263">
        <v>10892519</v>
      </c>
      <c r="H30263">
        <v>12394805</v>
      </c>
      <c r="I30263">
        <v>18940929</v>
      </c>
      <c r="J30263">
        <v>2</v>
      </c>
    </row>
    <row r="30264" spans="1:10" x14ac:dyDescent="0.25">
      <c r="A30264" t="s">
        <v>345</v>
      </c>
      <c r="B30264" s="1" t="str">
        <f>HYPERLINK("http://servicenow.com.br","servicenow.com.br")</f>
        <v>servicenow.com.br</v>
      </c>
      <c r="C30264" t="s">
        <v>425</v>
      </c>
      <c r="D30264" t="s">
        <v>806</v>
      </c>
      <c r="F30264">
        <v>1.6281093320256601E-8</v>
      </c>
      <c r="G30264">
        <v>3475359</v>
      </c>
      <c r="H30264">
        <v>13049157</v>
      </c>
      <c r="I30264">
        <v>12592091</v>
      </c>
      <c r="J30264">
        <v>2</v>
      </c>
    </row>
    <row r="30265" spans="1:10" x14ac:dyDescent="0.25">
      <c r="A30265" t="s">
        <v>345</v>
      </c>
      <c r="B30265" s="1" t="str">
        <f>HYPERLINK("http://era.co","era.co")</f>
        <v>era.co</v>
      </c>
      <c r="C30265" t="s">
        <v>432</v>
      </c>
      <c r="F30265">
        <v>7.96690719209494E-8</v>
      </c>
      <c r="G30265">
        <v>524363</v>
      </c>
      <c r="H30265">
        <v>13883378</v>
      </c>
      <c r="I30265">
        <v>5974476</v>
      </c>
      <c r="J30265">
        <v>3</v>
      </c>
    </row>
    <row r="30266" spans="1:10" x14ac:dyDescent="0.25">
      <c r="A30266" t="s">
        <v>345</v>
      </c>
      <c r="B30266" s="1" t="str">
        <f>HYPERLINK("http://itapp.com","itapp.com")</f>
        <v>itapp.com</v>
      </c>
      <c r="C30266" t="s">
        <v>433</v>
      </c>
      <c r="F30266">
        <v>4.7384268872082602E-9</v>
      </c>
      <c r="G30266">
        <v>38879707</v>
      </c>
      <c r="H30266">
        <v>11206996</v>
      </c>
      <c r="I30266">
        <v>31186021</v>
      </c>
      <c r="J30266">
        <v>3</v>
      </c>
    </row>
    <row r="30267" spans="1:10" x14ac:dyDescent="0.25">
      <c r="A30267" t="s">
        <v>345</v>
      </c>
      <c r="B30267" s="1" t="str">
        <f>HYPERLINK("http://lightstep.com","lightstep.com")</f>
        <v>lightstep.com</v>
      </c>
      <c r="C30267" t="s">
        <v>433</v>
      </c>
      <c r="E30267">
        <v>28840</v>
      </c>
      <c r="F30267">
        <v>1.0410391616006901E-6</v>
      </c>
      <c r="G30267">
        <v>36821</v>
      </c>
      <c r="H30267">
        <v>17161184</v>
      </c>
      <c r="I30267">
        <v>49713</v>
      </c>
      <c r="J30267">
        <v>3</v>
      </c>
    </row>
    <row r="30268" spans="1:10" x14ac:dyDescent="0.25">
      <c r="A30268" t="s">
        <v>345</v>
      </c>
      <c r="B30268" s="1" t="str">
        <f>HYPERLINK("http://martechservicenow.com","martechservicenow.com")</f>
        <v>martechservicenow.com</v>
      </c>
      <c r="C30268" t="s">
        <v>433</v>
      </c>
      <c r="E30268">
        <v>562820</v>
      </c>
      <c r="F30268">
        <v>2.0682606035961999E-8</v>
      </c>
      <c r="G30268">
        <v>2559197</v>
      </c>
      <c r="H30268">
        <v>13413353</v>
      </c>
      <c r="I30268">
        <v>10320652</v>
      </c>
      <c r="J30268">
        <v>3</v>
      </c>
    </row>
    <row r="30269" spans="1:10" x14ac:dyDescent="0.25">
      <c r="A30269" t="s">
        <v>345</v>
      </c>
      <c r="B30269" s="1" t="str">
        <f>HYPERLINK("http://mirror42.com","mirror42.com")</f>
        <v>mirror42.com</v>
      </c>
      <c r="C30269" t="s">
        <v>433</v>
      </c>
      <c r="F30269">
        <v>1.42279398255711E-8</v>
      </c>
      <c r="G30269">
        <v>4119066</v>
      </c>
      <c r="H30269">
        <v>12589256</v>
      </c>
      <c r="I30269">
        <v>16419082</v>
      </c>
      <c r="J30269">
        <v>4</v>
      </c>
    </row>
    <row r="30270" spans="1:10" x14ac:dyDescent="0.25">
      <c r="A30270" t="s">
        <v>345</v>
      </c>
      <c r="B30270" s="1" t="str">
        <f>HYPERLINK("http://service-now.com","service-now.com")</f>
        <v>service-now.com</v>
      </c>
      <c r="C30270" t="s">
        <v>433</v>
      </c>
      <c r="E30270">
        <v>1174</v>
      </c>
      <c r="F30270">
        <v>6.5359947332442699E-6</v>
      </c>
      <c r="G30270">
        <v>5197</v>
      </c>
      <c r="H30270">
        <v>17601624</v>
      </c>
      <c r="I30270">
        <v>9622</v>
      </c>
      <c r="J30270">
        <v>3</v>
      </c>
    </row>
    <row r="30271" spans="1:10" x14ac:dyDescent="0.25">
      <c r="A30271" t="s">
        <v>345</v>
      </c>
      <c r="B30271" s="1" t="str">
        <f>HYPERLINK("http://servicenow.com","servicenow.com")</f>
        <v>servicenow.com</v>
      </c>
      <c r="C30271" t="s">
        <v>433</v>
      </c>
      <c r="E30271">
        <v>10456</v>
      </c>
      <c r="F30271">
        <v>6.3417726935328599E-6</v>
      </c>
      <c r="G30271">
        <v>5374</v>
      </c>
      <c r="H30271">
        <v>17782034</v>
      </c>
      <c r="I30271">
        <v>5848</v>
      </c>
      <c r="J30271">
        <v>1</v>
      </c>
    </row>
    <row r="30272" spans="1:10" x14ac:dyDescent="0.25">
      <c r="A30272" t="s">
        <v>345</v>
      </c>
      <c r="B30272" s="1" t="str">
        <f>HYPERLINK("http://sweagle.com","sweagle.com")</f>
        <v>sweagle.com</v>
      </c>
      <c r="C30272" t="s">
        <v>433</v>
      </c>
      <c r="F30272">
        <v>1.63369534311843E-8</v>
      </c>
      <c r="G30272">
        <v>3461747</v>
      </c>
      <c r="H30272">
        <v>13429299</v>
      </c>
      <c r="I30272">
        <v>10283124</v>
      </c>
      <c r="J30272">
        <v>3</v>
      </c>
    </row>
    <row r="30273" spans="1:10" x14ac:dyDescent="0.25">
      <c r="A30273" t="s">
        <v>345</v>
      </c>
      <c r="B30273" s="1" t="str">
        <f>HYPERLINK("http://servicenow.de","servicenow.de")</f>
        <v>servicenow.de</v>
      </c>
      <c r="C30273" t="s">
        <v>436</v>
      </c>
      <c r="D30273" t="s">
        <v>815</v>
      </c>
      <c r="E30273">
        <v>102649</v>
      </c>
      <c r="F30273">
        <v>1.05630250632845E-7</v>
      </c>
      <c r="G30273">
        <v>379235</v>
      </c>
      <c r="H30273">
        <v>13839646</v>
      </c>
      <c r="I30273">
        <v>6075243</v>
      </c>
      <c r="J30273">
        <v>2</v>
      </c>
    </row>
    <row r="30274" spans="1:10" x14ac:dyDescent="0.25">
      <c r="A30274" t="s">
        <v>345</v>
      </c>
      <c r="B30274" s="1" t="str">
        <f>HYPERLINK("http://servicenow.es","servicenow.es")</f>
        <v>servicenow.es</v>
      </c>
      <c r="C30274" t="s">
        <v>443</v>
      </c>
      <c r="D30274" t="s">
        <v>822</v>
      </c>
      <c r="E30274">
        <v>542424</v>
      </c>
      <c r="F30274">
        <v>1.5768855906881599E-8</v>
      </c>
      <c r="G30274">
        <v>3608477</v>
      </c>
      <c r="H30274">
        <v>13570843</v>
      </c>
      <c r="I30274">
        <v>9722256</v>
      </c>
      <c r="J30274">
        <v>2</v>
      </c>
    </row>
    <row r="30275" spans="1:10" x14ac:dyDescent="0.25">
      <c r="A30275" t="s">
        <v>345</v>
      </c>
      <c r="B30275" s="1" t="str">
        <f>HYPERLINK("http://service-now.fi","service-now.fi")</f>
        <v>service-now.fi</v>
      </c>
      <c r="C30275" t="s">
        <v>445</v>
      </c>
      <c r="D30275" t="s">
        <v>823</v>
      </c>
      <c r="J30275">
        <v>2</v>
      </c>
    </row>
    <row r="30276" spans="1:10" x14ac:dyDescent="0.25">
      <c r="A30276" t="s">
        <v>345</v>
      </c>
      <c r="B30276" s="1" t="str">
        <f>HYPERLINK("http://servicenow.fi","servicenow.fi")</f>
        <v>servicenow.fi</v>
      </c>
      <c r="C30276" t="s">
        <v>445</v>
      </c>
      <c r="D30276" t="s">
        <v>823</v>
      </c>
      <c r="J30276">
        <v>2</v>
      </c>
    </row>
    <row r="30277" spans="1:10" x14ac:dyDescent="0.25">
      <c r="A30277" t="s">
        <v>345</v>
      </c>
      <c r="B30277" s="1" t="str">
        <f>HYPERLINK("http://servicenow.fr","servicenow.fr")</f>
        <v>servicenow.fr</v>
      </c>
      <c r="C30277" t="s">
        <v>446</v>
      </c>
      <c r="D30277" t="s">
        <v>824</v>
      </c>
      <c r="F30277">
        <v>1.0802150140486901E-7</v>
      </c>
      <c r="G30277">
        <v>370551</v>
      </c>
      <c r="H30277">
        <v>12957627</v>
      </c>
      <c r="I30277">
        <v>13178955</v>
      </c>
      <c r="J30277">
        <v>2</v>
      </c>
    </row>
    <row r="30278" spans="1:10" x14ac:dyDescent="0.25">
      <c r="A30278" t="s">
        <v>345</v>
      </c>
      <c r="B30278" s="1" t="str">
        <f>HYPERLINK("http://servicenow.co.it","servicenow.co.it")</f>
        <v>servicenow.co.it</v>
      </c>
      <c r="C30278" t="s">
        <v>459</v>
      </c>
      <c r="D30278" t="s">
        <v>835</v>
      </c>
      <c r="F30278">
        <v>2.1142646445717901E-8</v>
      </c>
      <c r="G30278">
        <v>2495122</v>
      </c>
      <c r="H30278">
        <v>12826868</v>
      </c>
      <c r="I30278">
        <v>14453408</v>
      </c>
      <c r="J30278">
        <v>2</v>
      </c>
    </row>
    <row r="30279" spans="1:10" x14ac:dyDescent="0.25">
      <c r="A30279" t="s">
        <v>345</v>
      </c>
      <c r="B30279" s="1" t="str">
        <f>HYPERLINK("http://servicenow.co.jp","servicenow.co.jp")</f>
        <v>servicenow.co.jp</v>
      </c>
      <c r="C30279" t="s">
        <v>461</v>
      </c>
      <c r="D30279" t="s">
        <v>837</v>
      </c>
      <c r="F30279">
        <v>3.97105887022329E-7</v>
      </c>
      <c r="G30279">
        <v>94509</v>
      </c>
      <c r="H30279">
        <v>14090158</v>
      </c>
      <c r="I30279">
        <v>2750562</v>
      </c>
      <c r="J30279">
        <v>2</v>
      </c>
    </row>
    <row r="30280" spans="1:10" x14ac:dyDescent="0.25">
      <c r="A30280" t="s">
        <v>345</v>
      </c>
      <c r="B30280" s="1" t="str">
        <f>HYPERLINK("http://servicenow.kr","servicenow.kr")</f>
        <v>servicenow.kr</v>
      </c>
      <c r="C30280" t="s">
        <v>463</v>
      </c>
      <c r="D30280" t="s">
        <v>839</v>
      </c>
      <c r="E30280">
        <v>89924</v>
      </c>
      <c r="F30280">
        <v>1.48957526009913E-8</v>
      </c>
      <c r="G30280">
        <v>3873967</v>
      </c>
      <c r="H30280">
        <v>12739420</v>
      </c>
      <c r="I30280">
        <v>15147352</v>
      </c>
      <c r="J30280">
        <v>2</v>
      </c>
    </row>
    <row r="30281" spans="1:10" x14ac:dyDescent="0.25">
      <c r="A30281" t="s">
        <v>345</v>
      </c>
      <c r="B30281" s="1" t="str">
        <f>HYPERLINK("http://buildon.me","buildon.me")</f>
        <v>buildon.me</v>
      </c>
      <c r="C30281" t="s">
        <v>470</v>
      </c>
      <c r="D30281" t="s">
        <v>846</v>
      </c>
      <c r="F30281">
        <v>8.6852727445848702E-9</v>
      </c>
      <c r="G30281">
        <v>8503017</v>
      </c>
      <c r="H30281">
        <v>13267006</v>
      </c>
      <c r="I30281">
        <v>11004534</v>
      </c>
      <c r="J30281">
        <v>4</v>
      </c>
    </row>
    <row r="30282" spans="1:10" x14ac:dyDescent="0.25">
      <c r="A30282" t="s">
        <v>345</v>
      </c>
      <c r="B30282" s="1" t="str">
        <f>HYPERLINK("http://servicenow.nl","servicenow.nl")</f>
        <v>servicenow.nl</v>
      </c>
      <c r="C30282" t="s">
        <v>477</v>
      </c>
      <c r="D30282" t="s">
        <v>852</v>
      </c>
      <c r="E30282">
        <v>71606</v>
      </c>
      <c r="F30282">
        <v>2.4375121427191399E-8</v>
      </c>
      <c r="G30282">
        <v>2126481</v>
      </c>
      <c r="H30282">
        <v>12864802</v>
      </c>
      <c r="I30282">
        <v>14162523</v>
      </c>
      <c r="J30282">
        <v>2</v>
      </c>
    </row>
    <row r="30283" spans="1:10" x14ac:dyDescent="0.25">
      <c r="A30283" t="s">
        <v>345</v>
      </c>
      <c r="B30283" s="1" t="str">
        <f>HYPERLINK("http://servicenow.co.uk","servicenow.co.uk")</f>
        <v>servicenow.co.uk</v>
      </c>
      <c r="C30283" t="s">
        <v>506</v>
      </c>
      <c r="D30283" t="s">
        <v>880</v>
      </c>
      <c r="F30283">
        <v>7.8816012722666898E-8</v>
      </c>
      <c r="G30283">
        <v>530304</v>
      </c>
      <c r="H30283">
        <v>13523650</v>
      </c>
      <c r="I30283">
        <v>9934406</v>
      </c>
      <c r="J30283">
        <v>2</v>
      </c>
    </row>
    <row r="30284" spans="1:10" x14ac:dyDescent="0.25">
      <c r="A30284" t="s">
        <v>1653</v>
      </c>
      <c r="B30284" s="1" t="str">
        <f>HYPERLINK("http://7-eleven.com.au","7-eleven.com.au")</f>
        <v>7-eleven.com.au</v>
      </c>
      <c r="C30284" t="s">
        <v>420</v>
      </c>
      <c r="D30284" t="s">
        <v>802</v>
      </c>
      <c r="J30284">
        <v>5</v>
      </c>
    </row>
    <row r="30285" spans="1:10" x14ac:dyDescent="0.25">
      <c r="A30285" t="s">
        <v>1653</v>
      </c>
      <c r="B30285" s="1" t="str">
        <f>HYPERLINK("http://7eleven.com.au","7eleven.com.au")</f>
        <v>7eleven.com.au</v>
      </c>
      <c r="C30285" t="s">
        <v>420</v>
      </c>
      <c r="D30285" t="s">
        <v>802</v>
      </c>
      <c r="E30285">
        <v>438874</v>
      </c>
      <c r="F30285">
        <v>4.8459173436194201E-7</v>
      </c>
      <c r="G30285">
        <v>78551</v>
      </c>
      <c r="H30285">
        <v>14929516</v>
      </c>
      <c r="I30285">
        <v>447981</v>
      </c>
      <c r="J30285">
        <v>5</v>
      </c>
    </row>
    <row r="30286" spans="1:10" x14ac:dyDescent="0.25">
      <c r="A30286" t="s">
        <v>1653</v>
      </c>
      <c r="B30286" s="1" t="str">
        <f>HYPERLINK("http://7elven.com.au","7elven.com.au")</f>
        <v>7elven.com.au</v>
      </c>
      <c r="C30286" t="s">
        <v>420</v>
      </c>
      <c r="D30286" t="s">
        <v>802</v>
      </c>
      <c r="J30286">
        <v>5</v>
      </c>
    </row>
    <row r="30287" spans="1:10" x14ac:dyDescent="0.25">
      <c r="A30287" t="s">
        <v>1653</v>
      </c>
      <c r="B30287" s="1" t="str">
        <f>HYPERLINK("http://7leven.com.au","7leven.com.au")</f>
        <v>7leven.com.au</v>
      </c>
      <c r="C30287" t="s">
        <v>420</v>
      </c>
      <c r="D30287" t="s">
        <v>802</v>
      </c>
      <c r="J30287">
        <v>5</v>
      </c>
    </row>
    <row r="30288" spans="1:10" x14ac:dyDescent="0.25">
      <c r="A30288" t="s">
        <v>1653</v>
      </c>
      <c r="B30288" s="1" t="str">
        <f>HYPERLINK("http://7-eleven.ca","7-eleven.ca")</f>
        <v>7-eleven.ca</v>
      </c>
      <c r="C30288" t="s">
        <v>428</v>
      </c>
      <c r="D30288" t="s">
        <v>809</v>
      </c>
      <c r="E30288">
        <v>600053</v>
      </c>
      <c r="F30288">
        <v>7.9332910682901802E-8</v>
      </c>
      <c r="G30288">
        <v>526727</v>
      </c>
      <c r="H30288">
        <v>14098533</v>
      </c>
      <c r="I30288">
        <v>2717202</v>
      </c>
      <c r="J30288">
        <v>3</v>
      </c>
    </row>
    <row r="30289" spans="1:10" x14ac:dyDescent="0.25">
      <c r="A30289" t="s">
        <v>1653</v>
      </c>
      <c r="B30289" s="1" t="str">
        <f>HYPERLINK("http://7eleven.ca","7eleven.ca")</f>
        <v>7eleven.ca</v>
      </c>
      <c r="C30289" t="s">
        <v>428</v>
      </c>
      <c r="D30289" t="s">
        <v>809</v>
      </c>
      <c r="F30289">
        <v>2.8068237515929601E-8</v>
      </c>
      <c r="G30289">
        <v>1833078</v>
      </c>
      <c r="H30289">
        <v>12942411</v>
      </c>
      <c r="I30289">
        <v>13272349</v>
      </c>
      <c r="J30289">
        <v>5</v>
      </c>
    </row>
    <row r="30290" spans="1:10" x14ac:dyDescent="0.25">
      <c r="A30290" t="s">
        <v>1653</v>
      </c>
      <c r="B30290" s="1" t="str">
        <f>HYPERLINK("http://7elevenstores.ca","7elevenstores.ca")</f>
        <v>7elevenstores.ca</v>
      </c>
      <c r="C30290" t="s">
        <v>428</v>
      </c>
      <c r="D30290" t="s">
        <v>809</v>
      </c>
      <c r="F30290">
        <v>5.4546633644752199E-9</v>
      </c>
      <c r="G30290">
        <v>21427409</v>
      </c>
      <c r="H30290">
        <v>13768515</v>
      </c>
      <c r="I30290">
        <v>6869869</v>
      </c>
      <c r="J30290">
        <v>5</v>
      </c>
    </row>
    <row r="30291" spans="1:10" x14ac:dyDescent="0.25">
      <c r="A30291" t="s">
        <v>1653</v>
      </c>
      <c r="B30291" s="1" t="str">
        <f>HYPERLINK("http://slurpee.ca","slurpee.ca")</f>
        <v>slurpee.ca</v>
      </c>
      <c r="C30291" t="s">
        <v>428</v>
      </c>
      <c r="D30291" t="s">
        <v>809</v>
      </c>
      <c r="F30291">
        <v>7.9735249051338798E-9</v>
      </c>
      <c r="G30291">
        <v>9969792</v>
      </c>
      <c r="H30291">
        <v>13095593</v>
      </c>
      <c r="I30291">
        <v>12123585</v>
      </c>
      <c r="J30291">
        <v>5</v>
      </c>
    </row>
    <row r="30292" spans="1:10" x14ac:dyDescent="0.25">
      <c r="A30292" t="s">
        <v>1653</v>
      </c>
      <c r="B30292" s="1" t="str">
        <f>HYPERLINK("http://7-11.cn","7-11.cn")</f>
        <v>7-11.cn</v>
      </c>
      <c r="C30292" t="s">
        <v>431</v>
      </c>
      <c r="D30292" t="s">
        <v>812</v>
      </c>
      <c r="F30292">
        <v>8.1457968134546902E-9</v>
      </c>
      <c r="G30292">
        <v>9663196</v>
      </c>
      <c r="H30292">
        <v>14071870</v>
      </c>
      <c r="I30292">
        <v>3259727</v>
      </c>
      <c r="J30292">
        <v>5</v>
      </c>
    </row>
    <row r="30293" spans="1:10" x14ac:dyDescent="0.25">
      <c r="A30293" t="s">
        <v>1653</v>
      </c>
      <c r="B30293" s="1" t="str">
        <f>HYPERLINK("http://7-11bj.com.cn","7-11bj.com.cn")</f>
        <v>7-11bj.com.cn</v>
      </c>
      <c r="C30293" t="s">
        <v>431</v>
      </c>
      <c r="D30293" t="s">
        <v>812</v>
      </c>
      <c r="F30293">
        <v>6.1579220858203901E-9</v>
      </c>
      <c r="G30293">
        <v>15759027</v>
      </c>
      <c r="H30293">
        <v>14080234</v>
      </c>
      <c r="I30293">
        <v>2822214</v>
      </c>
      <c r="J30293">
        <v>3</v>
      </c>
    </row>
    <row r="30294" spans="1:10" x14ac:dyDescent="0.25">
      <c r="A30294" t="s">
        <v>1653</v>
      </c>
      <c r="B30294" s="1" t="str">
        <f>HYPERLINK("http://7-11.com","7-11.com")</f>
        <v>7-11.com</v>
      </c>
      <c r="C30294" t="s">
        <v>433</v>
      </c>
      <c r="E30294">
        <v>230694</v>
      </c>
      <c r="F30294">
        <v>1.3913767286397E-8</v>
      </c>
      <c r="G30294">
        <v>4235663</v>
      </c>
      <c r="H30294">
        <v>13425170</v>
      </c>
      <c r="I30294">
        <v>10294951</v>
      </c>
      <c r="J30294">
        <v>2</v>
      </c>
    </row>
    <row r="30295" spans="1:10" x14ac:dyDescent="0.25">
      <c r="A30295" t="s">
        <v>1653</v>
      </c>
      <c r="B30295" s="1" t="str">
        <f>HYPERLINK("http://7-e;even.com","7-e;even.com")</f>
        <v>7-e;even.com</v>
      </c>
      <c r="C30295" t="s">
        <v>433</v>
      </c>
      <c r="J30295">
        <v>5</v>
      </c>
    </row>
    <row r="30296" spans="1:10" x14ac:dyDescent="0.25">
      <c r="A30296" t="s">
        <v>1653</v>
      </c>
      <c r="B30296" s="1" t="str">
        <f>HYPERLINK("http://7-eleven.com","7-eleven.com")</f>
        <v>7-eleven.com</v>
      </c>
      <c r="C30296" t="s">
        <v>433</v>
      </c>
      <c r="E30296">
        <v>27899</v>
      </c>
      <c r="F30296">
        <v>1.13381189983396E-6</v>
      </c>
      <c r="G30296">
        <v>34063</v>
      </c>
      <c r="H30296">
        <v>17398602</v>
      </c>
      <c r="I30296">
        <v>19263</v>
      </c>
      <c r="J30296">
        <v>2</v>
      </c>
    </row>
    <row r="30297" spans="1:10" x14ac:dyDescent="0.25">
      <c r="A30297" t="s">
        <v>1653</v>
      </c>
      <c r="B30297" s="1" t="str">
        <f>HYPERLINK("http://711.com","711.com")</f>
        <v>711.com</v>
      </c>
      <c r="C30297" t="s">
        <v>433</v>
      </c>
      <c r="F30297">
        <v>5.4487519912753398E-9</v>
      </c>
      <c r="G30297">
        <v>21513585</v>
      </c>
      <c r="H30297">
        <v>13763964</v>
      </c>
      <c r="I30297">
        <v>7463814</v>
      </c>
      <c r="J30297">
        <v>5</v>
      </c>
    </row>
    <row r="30298" spans="1:10" x14ac:dyDescent="0.25">
      <c r="A30298" t="s">
        <v>1653</v>
      </c>
      <c r="B30298" s="1" t="str">
        <f>HYPERLINK("http://7andi.com","7andi.com")</f>
        <v>7andi.com</v>
      </c>
      <c r="C30298" t="s">
        <v>433</v>
      </c>
      <c r="E30298">
        <v>260254</v>
      </c>
      <c r="F30298">
        <v>3.2184997440564E-7</v>
      </c>
      <c r="G30298">
        <v>115616</v>
      </c>
      <c r="H30298">
        <v>14793118</v>
      </c>
      <c r="I30298">
        <v>550187</v>
      </c>
      <c r="J30298">
        <v>1</v>
      </c>
    </row>
    <row r="30299" spans="1:10" x14ac:dyDescent="0.25">
      <c r="A30299" t="s">
        <v>1653</v>
      </c>
      <c r="B30299" s="1" t="str">
        <f>HYPERLINK("http://7eleven.com","7eleven.com")</f>
        <v>7eleven.com</v>
      </c>
      <c r="C30299" t="s">
        <v>433</v>
      </c>
      <c r="F30299">
        <v>2.2000353184557202E-8</v>
      </c>
      <c r="G30299">
        <v>2386219</v>
      </c>
      <c r="H30299">
        <v>13828603</v>
      </c>
      <c r="I30299">
        <v>6115159</v>
      </c>
      <c r="J30299">
        <v>5</v>
      </c>
    </row>
    <row r="30300" spans="1:10" x14ac:dyDescent="0.25">
      <c r="A30300" t="s">
        <v>1653</v>
      </c>
      <c r="B30300" s="1" t="str">
        <f>HYPERLINK("http://7elevenhawaii.com","7elevenhawaii.com")</f>
        <v>7elevenhawaii.com</v>
      </c>
      <c r="C30300" t="s">
        <v>433</v>
      </c>
      <c r="F30300">
        <v>5.2274179972591503E-8</v>
      </c>
      <c r="G30300">
        <v>872878</v>
      </c>
      <c r="H30300">
        <v>14259144</v>
      </c>
      <c r="I30300">
        <v>1422980</v>
      </c>
      <c r="J30300">
        <v>5</v>
      </c>
    </row>
    <row r="30301" spans="1:10" x14ac:dyDescent="0.25">
      <c r="A30301" t="s">
        <v>1653</v>
      </c>
      <c r="B30301" s="1" t="str">
        <f>HYPERLINK("http://7now.com","7now.com")</f>
        <v>7now.com</v>
      </c>
      <c r="C30301" t="s">
        <v>433</v>
      </c>
      <c r="E30301">
        <v>148156</v>
      </c>
      <c r="F30301">
        <v>1.08121204890835E-7</v>
      </c>
      <c r="G30301">
        <v>370192</v>
      </c>
      <c r="H30301">
        <v>16860022</v>
      </c>
      <c r="I30301">
        <v>155343</v>
      </c>
      <c r="J30301">
        <v>5</v>
      </c>
    </row>
    <row r="30302" spans="1:10" x14ac:dyDescent="0.25">
      <c r="A30302" t="s">
        <v>1653</v>
      </c>
      <c r="B30302" s="1" t="str">
        <f>HYPERLINK("http://brandeli.com","brandeli.com")</f>
        <v>brandeli.com</v>
      </c>
      <c r="C30302" t="s">
        <v>433</v>
      </c>
      <c r="F30302">
        <v>1.62688174897396E-8</v>
      </c>
      <c r="G30302">
        <v>3478377</v>
      </c>
      <c r="H30302">
        <v>13500743</v>
      </c>
      <c r="I30302">
        <v>9969375</v>
      </c>
      <c r="J30302">
        <v>2</v>
      </c>
    </row>
    <row r="30303" spans="1:10" x14ac:dyDescent="0.25">
      <c r="A30303" t="s">
        <v>1653</v>
      </c>
      <c r="B30303" s="1" t="str">
        <f>HYPERLINK("http://hessexpress.com","hessexpress.com")</f>
        <v>hessexpress.com</v>
      </c>
      <c r="C30303" t="s">
        <v>433</v>
      </c>
      <c r="F30303">
        <v>1.04483238078929E-8</v>
      </c>
      <c r="G30303">
        <v>6315081</v>
      </c>
      <c r="H30303">
        <v>13969498</v>
      </c>
      <c r="I30303">
        <v>4078084</v>
      </c>
      <c r="J30303">
        <v>4</v>
      </c>
    </row>
    <row r="30304" spans="1:10" x14ac:dyDescent="0.25">
      <c r="A30304" t="s">
        <v>1653</v>
      </c>
      <c r="B30304" s="1" t="str">
        <f>HYPERLINK("http://openaccount-7bk.com","openaccount-7bk.com")</f>
        <v>openaccount-7bk.com</v>
      </c>
      <c r="C30304" t="s">
        <v>433</v>
      </c>
      <c r="J30304">
        <v>4</v>
      </c>
    </row>
    <row r="30305" spans="1:10" x14ac:dyDescent="0.25">
      <c r="A30305" t="s">
        <v>1653</v>
      </c>
      <c r="B30305" s="1" t="str">
        <f>HYPERLINK("http://philseven.com","philseven.com")</f>
        <v>philseven.com</v>
      </c>
      <c r="C30305" t="s">
        <v>433</v>
      </c>
      <c r="F30305">
        <v>4.7183524971934501E-9</v>
      </c>
      <c r="G30305">
        <v>40299303</v>
      </c>
      <c r="H30305">
        <v>11372204</v>
      </c>
      <c r="I30305">
        <v>30320525</v>
      </c>
      <c r="J30305">
        <v>5</v>
      </c>
    </row>
    <row r="30306" spans="1:10" x14ac:dyDescent="0.25">
      <c r="A30306" t="s">
        <v>1653</v>
      </c>
      <c r="B30306" s="1" t="str">
        <f>HYPERLINK("http://sogo-gogo.com","sogo-gogo.com")</f>
        <v>sogo-gogo.com</v>
      </c>
      <c r="C30306" t="s">
        <v>433</v>
      </c>
      <c r="E30306">
        <v>723543</v>
      </c>
      <c r="F30306">
        <v>6.9728005116633994E-8</v>
      </c>
      <c r="G30306">
        <v>608133</v>
      </c>
      <c r="H30306">
        <v>13935050</v>
      </c>
      <c r="I30306">
        <v>4555592</v>
      </c>
      <c r="J30306">
        <v>4</v>
      </c>
    </row>
    <row r="30307" spans="1:10" x14ac:dyDescent="0.25">
      <c r="A30307" t="s">
        <v>1653</v>
      </c>
      <c r="B30307" s="1" t="str">
        <f>HYPERLINK("http://speedway.com","speedway.com")</f>
        <v>speedway.com</v>
      </c>
      <c r="C30307" t="s">
        <v>433</v>
      </c>
      <c r="E30307">
        <v>115202</v>
      </c>
      <c r="F30307">
        <v>2.7435836876798199E-7</v>
      </c>
      <c r="G30307">
        <v>135595</v>
      </c>
      <c r="H30307">
        <v>15297429</v>
      </c>
      <c r="I30307">
        <v>386291</v>
      </c>
      <c r="J30307">
        <v>4</v>
      </c>
    </row>
    <row r="30308" spans="1:10" x14ac:dyDescent="0.25">
      <c r="A30308" t="s">
        <v>1653</v>
      </c>
      <c r="B30308" s="1" t="str">
        <f>HYPERLINK("http://superamerica.com","superamerica.com")</f>
        <v>superamerica.com</v>
      </c>
      <c r="C30308" t="s">
        <v>433</v>
      </c>
      <c r="F30308">
        <v>1.02805346893675E-8</v>
      </c>
      <c r="G30308">
        <v>6469292</v>
      </c>
      <c r="H30308">
        <v>13104200</v>
      </c>
      <c r="I30308">
        <v>12076850</v>
      </c>
      <c r="J30308">
        <v>4</v>
      </c>
    </row>
    <row r="30309" spans="1:10" x14ac:dyDescent="0.25">
      <c r="A30309" t="s">
        <v>1653</v>
      </c>
      <c r="B30309" s="1" t="str">
        <f>HYPERLINK("http://tedeschifoodshops.com","tedeschifoodshops.com")</f>
        <v>tedeschifoodshops.com</v>
      </c>
      <c r="C30309" t="s">
        <v>433</v>
      </c>
      <c r="F30309">
        <v>7.6673858648198504E-9</v>
      </c>
      <c r="G30309">
        <v>10649232</v>
      </c>
      <c r="H30309">
        <v>13765439</v>
      </c>
      <c r="I30309">
        <v>7103515</v>
      </c>
      <c r="J30309">
        <v>5</v>
      </c>
    </row>
    <row r="30310" spans="1:10" x14ac:dyDescent="0.25">
      <c r="A30310" t="s">
        <v>1653</v>
      </c>
      <c r="B30310" s="1" t="str">
        <f>HYPERLINK("http://twcoupon.com","twcoupon.com")</f>
        <v>twcoupon.com</v>
      </c>
      <c r="C30310" t="s">
        <v>433</v>
      </c>
      <c r="E30310">
        <v>965205</v>
      </c>
      <c r="F30310">
        <v>8.4607326033654997E-9</v>
      </c>
      <c r="G30310">
        <v>8920963</v>
      </c>
      <c r="H30310">
        <v>13884140</v>
      </c>
      <c r="I30310">
        <v>5972988</v>
      </c>
      <c r="J30310">
        <v>5</v>
      </c>
    </row>
    <row r="30311" spans="1:10" x14ac:dyDescent="0.25">
      <c r="A30311" t="s">
        <v>1653</v>
      </c>
      <c r="B30311" s="1" t="str">
        <f>HYPERLINK("http://wilcohess.com","wilcohess.com")</f>
        <v>wilcohess.com</v>
      </c>
      <c r="C30311" t="s">
        <v>433</v>
      </c>
      <c r="F30311">
        <v>1.6004489124410501E-8</v>
      </c>
      <c r="G30311">
        <v>3544991</v>
      </c>
      <c r="H30311">
        <v>12388818</v>
      </c>
      <c r="I30311">
        <v>19069387</v>
      </c>
      <c r="J30311">
        <v>4</v>
      </c>
    </row>
    <row r="30312" spans="1:10" x14ac:dyDescent="0.25">
      <c r="A30312" t="s">
        <v>1653</v>
      </c>
      <c r="B30312" s="1" t="str">
        <f>HYPERLINK("http://yorkbenimaru.com","yorkbenimaru.com")</f>
        <v>yorkbenimaru.com</v>
      </c>
      <c r="C30312" t="s">
        <v>433</v>
      </c>
      <c r="F30312">
        <v>4.5751882424246001E-8</v>
      </c>
      <c r="G30312">
        <v>1027357</v>
      </c>
      <c r="H30312">
        <v>14104934</v>
      </c>
      <c r="I30312">
        <v>2692205</v>
      </c>
      <c r="J30312">
        <v>3</v>
      </c>
    </row>
    <row r="30313" spans="1:10" x14ac:dyDescent="0.25">
      <c r="A30313" t="s">
        <v>1653</v>
      </c>
      <c r="B30313" s="1" t="str">
        <f>HYPERLINK("http://yorkmart.com","yorkmart.com")</f>
        <v>yorkmart.com</v>
      </c>
      <c r="C30313" t="s">
        <v>433</v>
      </c>
      <c r="F30313">
        <v>5.36248822500934E-8</v>
      </c>
      <c r="G30313">
        <v>848039</v>
      </c>
      <c r="H30313">
        <v>16757696</v>
      </c>
      <c r="I30313">
        <v>232662</v>
      </c>
      <c r="J30313">
        <v>3</v>
      </c>
    </row>
    <row r="30314" spans="1:10" x14ac:dyDescent="0.25">
      <c r="A30314" t="s">
        <v>1653</v>
      </c>
      <c r="B30314" s="1" t="str">
        <f>HYPERLINK("http://7-eleven.dk","7-eleven.dk")</f>
        <v>7-eleven.dk</v>
      </c>
      <c r="C30314" t="s">
        <v>437</v>
      </c>
      <c r="D30314" t="s">
        <v>816</v>
      </c>
      <c r="F30314">
        <v>6.80264793429835E-8</v>
      </c>
      <c r="G30314">
        <v>627403</v>
      </c>
      <c r="H30314">
        <v>14608238</v>
      </c>
      <c r="I30314">
        <v>680043</v>
      </c>
      <c r="J30314">
        <v>5</v>
      </c>
    </row>
    <row r="30315" spans="1:10" x14ac:dyDescent="0.25">
      <c r="A30315" t="s">
        <v>1653</v>
      </c>
      <c r="B30315" s="1" t="str">
        <f>HYPERLINK("http://7eleven.dk","7eleven.dk")</f>
        <v>7eleven.dk</v>
      </c>
      <c r="C30315" t="s">
        <v>437</v>
      </c>
      <c r="D30315" t="s">
        <v>816</v>
      </c>
      <c r="J30315">
        <v>8</v>
      </c>
    </row>
    <row r="30316" spans="1:10" x14ac:dyDescent="0.25">
      <c r="A30316" t="s">
        <v>1653</v>
      </c>
      <c r="B30316" s="1" t="str">
        <f>HYPERLINK("http://7-eleven.com.hk","7-eleven.com.hk")</f>
        <v>7-eleven.com.hk</v>
      </c>
      <c r="C30316" t="s">
        <v>450</v>
      </c>
      <c r="D30316" t="s">
        <v>827</v>
      </c>
      <c r="E30316">
        <v>814848</v>
      </c>
      <c r="F30316">
        <v>1.6821404894277299E-7</v>
      </c>
      <c r="G30316">
        <v>230672</v>
      </c>
      <c r="H30316">
        <v>14651960</v>
      </c>
      <c r="I30316">
        <v>626331</v>
      </c>
      <c r="J30316">
        <v>5</v>
      </c>
    </row>
    <row r="30317" spans="1:10" x14ac:dyDescent="0.25">
      <c r="A30317" t="s">
        <v>1653</v>
      </c>
      <c r="B30317" s="1" t="str">
        <f>HYPERLINK("http://akachan.jp","akachan.jp")</f>
        <v>akachan.jp</v>
      </c>
      <c r="C30317" t="s">
        <v>461</v>
      </c>
      <c r="D30317" t="s">
        <v>837</v>
      </c>
      <c r="E30317">
        <v>259116</v>
      </c>
      <c r="F30317">
        <v>1.5069843092024599E-7</v>
      </c>
      <c r="G30317">
        <v>257771</v>
      </c>
      <c r="H30317">
        <v>14483143</v>
      </c>
      <c r="I30317">
        <v>1022663</v>
      </c>
      <c r="J30317">
        <v>3</v>
      </c>
    </row>
    <row r="30318" spans="1:10" x14ac:dyDescent="0.25">
      <c r="A30318" t="s">
        <v>1653</v>
      </c>
      <c r="B30318" s="1" t="str">
        <f>HYPERLINK("http://barneys.jp","barneys.jp")</f>
        <v>barneys.jp</v>
      </c>
      <c r="C30318" t="s">
        <v>461</v>
      </c>
      <c r="D30318" t="s">
        <v>837</v>
      </c>
      <c r="F30318">
        <v>4.44380395335525E-9</v>
      </c>
      <c r="G30318">
        <v>85247763</v>
      </c>
      <c r="H30318">
        <v>0</v>
      </c>
      <c r="I30318">
        <v>86457093</v>
      </c>
      <c r="J30318">
        <v>4</v>
      </c>
    </row>
    <row r="30319" spans="1:10" x14ac:dyDescent="0.25">
      <c r="A30319" t="s">
        <v>1653</v>
      </c>
      <c r="B30319" s="1" t="str">
        <f>HYPERLINK("http://7andi.co.jp","7andi.co.jp")</f>
        <v>7andi.co.jp</v>
      </c>
      <c r="C30319" t="s">
        <v>461</v>
      </c>
      <c r="D30319" t="s">
        <v>837</v>
      </c>
      <c r="E30319">
        <v>253651</v>
      </c>
      <c r="F30319">
        <v>4.5751270208081398E-9</v>
      </c>
      <c r="G30319">
        <v>49718834</v>
      </c>
      <c r="H30319">
        <v>10566642</v>
      </c>
      <c r="I30319">
        <v>46194595</v>
      </c>
      <c r="J30319">
        <v>2</v>
      </c>
    </row>
    <row r="30320" spans="1:10" x14ac:dyDescent="0.25">
      <c r="A30320" t="s">
        <v>1653</v>
      </c>
      <c r="B30320" s="1" t="str">
        <f>HYPERLINK("http://7andinm.co.jp","7andinm.co.jp")</f>
        <v>7andinm.co.jp</v>
      </c>
      <c r="C30320" t="s">
        <v>461</v>
      </c>
      <c r="D30320" t="s">
        <v>837</v>
      </c>
      <c r="F30320">
        <v>9.2828010495463904E-9</v>
      </c>
      <c r="G30320">
        <v>7595034</v>
      </c>
      <c r="H30320">
        <v>11886406</v>
      </c>
      <c r="I30320">
        <v>29571639</v>
      </c>
      <c r="J30320">
        <v>3</v>
      </c>
    </row>
    <row r="30321" spans="1:10" x14ac:dyDescent="0.25">
      <c r="A30321" t="s">
        <v>1653</v>
      </c>
      <c r="B30321" s="1" t="str">
        <f>HYPERLINK("http://bankbusinessfactory.co.jp","bankbusinessfactory.co.jp")</f>
        <v>bankbusinessfactory.co.jp</v>
      </c>
      <c r="C30321" t="s">
        <v>461</v>
      </c>
      <c r="D30321" t="s">
        <v>837</v>
      </c>
      <c r="F30321">
        <v>7.2253626341827301E-9</v>
      </c>
      <c r="G30321">
        <v>11669526</v>
      </c>
      <c r="H30321">
        <v>10879908</v>
      </c>
      <c r="I30321">
        <v>36331823</v>
      </c>
      <c r="J30321">
        <v>3</v>
      </c>
    </row>
    <row r="30322" spans="1:10" x14ac:dyDescent="0.25">
      <c r="A30322" t="s">
        <v>1653</v>
      </c>
      <c r="B30322" s="1" t="str">
        <f>HYPERLINK("http://barneys.co.jp","barneys.co.jp")</f>
        <v>barneys.co.jp</v>
      </c>
      <c r="C30322" t="s">
        <v>461</v>
      </c>
      <c r="D30322" t="s">
        <v>837</v>
      </c>
      <c r="E30322">
        <v>308938</v>
      </c>
      <c r="F30322">
        <v>1.29903048375253E-7</v>
      </c>
      <c r="G30322">
        <v>301346</v>
      </c>
      <c r="H30322">
        <v>14166780</v>
      </c>
      <c r="I30322">
        <v>1817404</v>
      </c>
      <c r="J30322">
        <v>3</v>
      </c>
    </row>
    <row r="30323" spans="1:10" x14ac:dyDescent="0.25">
      <c r="A30323" t="s">
        <v>1653</v>
      </c>
      <c r="B30323" s="1" t="str">
        <f>HYPERLINK("http://daily-yamazaki.co.jp","daily-yamazaki.co.jp")</f>
        <v>daily-yamazaki.co.jp</v>
      </c>
      <c r="C30323" t="s">
        <v>461</v>
      </c>
      <c r="D30323" t="s">
        <v>837</v>
      </c>
      <c r="F30323">
        <v>7.3247961448513001E-9</v>
      </c>
      <c r="G30323">
        <v>11419896</v>
      </c>
      <c r="H30323">
        <v>14257507</v>
      </c>
      <c r="I30323">
        <v>1427887</v>
      </c>
      <c r="J30323">
        <v>7</v>
      </c>
    </row>
    <row r="30324" spans="1:10" x14ac:dyDescent="0.25">
      <c r="A30324" t="s">
        <v>1653</v>
      </c>
      <c r="B30324" s="1" t="str">
        <f>HYPERLINK("http://garden.co.jp","garden.co.jp")</f>
        <v>garden.co.jp</v>
      </c>
      <c r="C30324" t="s">
        <v>461</v>
      </c>
      <c r="D30324" t="s">
        <v>837</v>
      </c>
      <c r="F30324">
        <v>4.5203851543338603E-8</v>
      </c>
      <c r="G30324">
        <v>1043423</v>
      </c>
      <c r="H30324">
        <v>14326966</v>
      </c>
      <c r="I30324">
        <v>1326134</v>
      </c>
      <c r="J30324">
        <v>3</v>
      </c>
    </row>
    <row r="30325" spans="1:10" x14ac:dyDescent="0.25">
      <c r="A30325" t="s">
        <v>1653</v>
      </c>
      <c r="B30325" s="1" t="str">
        <f>HYPERLINK("http://itoyokado.co.jp","itoyokado.co.jp")</f>
        <v>itoyokado.co.jp</v>
      </c>
      <c r="C30325" t="s">
        <v>461</v>
      </c>
      <c r="D30325" t="s">
        <v>837</v>
      </c>
      <c r="E30325">
        <v>93460</v>
      </c>
      <c r="F30325">
        <v>4.0546361858143499E-7</v>
      </c>
      <c r="G30325">
        <v>92647</v>
      </c>
      <c r="H30325">
        <v>17085888</v>
      </c>
      <c r="I30325">
        <v>66909</v>
      </c>
      <c r="J30325">
        <v>3</v>
      </c>
    </row>
    <row r="30326" spans="1:10" x14ac:dyDescent="0.25">
      <c r="A30326" t="s">
        <v>1653</v>
      </c>
      <c r="B30326" s="1" t="str">
        <f>HYPERLINK("http://loft.co.jp","loft.co.jp")</f>
        <v>loft.co.jp</v>
      </c>
      <c r="C30326" t="s">
        <v>461</v>
      </c>
      <c r="D30326" t="s">
        <v>837</v>
      </c>
      <c r="E30326">
        <v>116908</v>
      </c>
      <c r="F30326">
        <v>5.86135371104298E-7</v>
      </c>
      <c r="G30326">
        <v>65226</v>
      </c>
      <c r="H30326">
        <v>15029302</v>
      </c>
      <c r="I30326">
        <v>418805</v>
      </c>
      <c r="J30326">
        <v>4</v>
      </c>
    </row>
    <row r="30327" spans="1:10" x14ac:dyDescent="0.25">
      <c r="A30327" t="s">
        <v>1653</v>
      </c>
      <c r="B30327" s="1" t="str">
        <f>HYPERLINK("http://nissen-hd.co.jp","nissen-hd.co.jp")</f>
        <v>nissen-hd.co.jp</v>
      </c>
      <c r="C30327" t="s">
        <v>461</v>
      </c>
      <c r="D30327" t="s">
        <v>837</v>
      </c>
      <c r="F30327">
        <v>1.7799053787820199E-8</v>
      </c>
      <c r="G30327">
        <v>3075040</v>
      </c>
      <c r="H30327">
        <v>14080459</v>
      </c>
      <c r="I30327">
        <v>2819779</v>
      </c>
      <c r="J30327">
        <v>3</v>
      </c>
    </row>
    <row r="30328" spans="1:10" x14ac:dyDescent="0.25">
      <c r="A30328" t="s">
        <v>1653</v>
      </c>
      <c r="B30328" s="1" t="str">
        <f>HYPERLINK("http://sej.co.jp","sej.co.jp")</f>
        <v>sej.co.jp</v>
      </c>
      <c r="C30328" t="s">
        <v>461</v>
      </c>
      <c r="D30328" t="s">
        <v>837</v>
      </c>
      <c r="E30328">
        <v>29502</v>
      </c>
      <c r="F30328">
        <v>1.26384989356963E-6</v>
      </c>
      <c r="G30328">
        <v>30815</v>
      </c>
      <c r="H30328">
        <v>17390920</v>
      </c>
      <c r="I30328">
        <v>19852</v>
      </c>
      <c r="J30328">
        <v>3</v>
      </c>
    </row>
    <row r="30329" spans="1:10" x14ac:dyDescent="0.25">
      <c r="A30329" t="s">
        <v>1653</v>
      </c>
      <c r="B30329" s="1" t="str">
        <f>HYPERLINK("http://sevenbank.co.jp","sevenbank.co.jp")</f>
        <v>sevenbank.co.jp</v>
      </c>
      <c r="C30329" t="s">
        <v>461</v>
      </c>
      <c r="D30329" t="s">
        <v>837</v>
      </c>
      <c r="E30329">
        <v>98399</v>
      </c>
      <c r="F30329">
        <v>4.1689843745907002E-7</v>
      </c>
      <c r="G30329">
        <v>90321</v>
      </c>
      <c r="H30329">
        <v>15287101</v>
      </c>
      <c r="I30329">
        <v>387111</v>
      </c>
      <c r="J30329">
        <v>3</v>
      </c>
    </row>
    <row r="30330" spans="1:10" x14ac:dyDescent="0.25">
      <c r="A30330" t="s">
        <v>1653</v>
      </c>
      <c r="B30330" s="1" t="str">
        <f>HYPERLINK("http://sogo-seibu.co.jp","sogo-seibu.co.jp")</f>
        <v>sogo-seibu.co.jp</v>
      </c>
      <c r="C30330" t="s">
        <v>461</v>
      </c>
      <c r="D30330" t="s">
        <v>837</v>
      </c>
      <c r="E30330">
        <v>414611</v>
      </c>
      <c r="F30330">
        <v>1.01272905491243E-7</v>
      </c>
      <c r="G30330">
        <v>396996</v>
      </c>
      <c r="H30330">
        <v>16953450</v>
      </c>
      <c r="I30330">
        <v>107302</v>
      </c>
      <c r="J30330">
        <v>3</v>
      </c>
    </row>
    <row r="30331" spans="1:10" x14ac:dyDescent="0.25">
      <c r="A30331" t="s">
        <v>1653</v>
      </c>
      <c r="B30331" s="1" t="str">
        <f>HYPERLINK("http://yorkbeni.co.jp","yorkbeni.co.jp")</f>
        <v>yorkbeni.co.jp</v>
      </c>
      <c r="C30331" t="s">
        <v>461</v>
      </c>
      <c r="D30331" t="s">
        <v>837</v>
      </c>
      <c r="F30331">
        <v>1.8968531510361801E-8</v>
      </c>
      <c r="G30331">
        <v>2841412</v>
      </c>
      <c r="H30331">
        <v>14132025</v>
      </c>
      <c r="I30331">
        <v>2004314</v>
      </c>
      <c r="J30331">
        <v>3</v>
      </c>
    </row>
    <row r="30332" spans="1:10" x14ac:dyDescent="0.25">
      <c r="A30332" t="s">
        <v>1653</v>
      </c>
      <c r="B30332" s="1" t="str">
        <f>HYPERLINK("http://createlink.jp","createlink.jp")</f>
        <v>createlink.jp</v>
      </c>
      <c r="C30332" t="s">
        <v>461</v>
      </c>
      <c r="D30332" t="s">
        <v>837</v>
      </c>
      <c r="F30332">
        <v>8.12453297293635E-8</v>
      </c>
      <c r="G30332">
        <v>513781</v>
      </c>
      <c r="H30332">
        <v>13710066</v>
      </c>
      <c r="I30332">
        <v>9507639</v>
      </c>
      <c r="J30332">
        <v>4</v>
      </c>
    </row>
    <row r="30333" spans="1:10" x14ac:dyDescent="0.25">
      <c r="A30333" t="s">
        <v>1653</v>
      </c>
      <c r="B30333" s="1" t="str">
        <f>HYPERLINK("http://daily-yamazaki.jp","daily-yamazaki.jp")</f>
        <v>daily-yamazaki.jp</v>
      </c>
      <c r="C30333" t="s">
        <v>461</v>
      </c>
      <c r="D30333" t="s">
        <v>837</v>
      </c>
      <c r="F30333">
        <v>1.1969200216009099E-7</v>
      </c>
      <c r="G30333">
        <v>330322</v>
      </c>
      <c r="H30333">
        <v>13730819</v>
      </c>
      <c r="I30333">
        <v>9457661</v>
      </c>
      <c r="J30333">
        <v>6</v>
      </c>
    </row>
    <row r="30334" spans="1:10" x14ac:dyDescent="0.25">
      <c r="A30334" t="s">
        <v>1653</v>
      </c>
      <c r="B30334" s="1" t="str">
        <f>HYPERLINK("http://marron-style.jp","marron-style.jp")</f>
        <v>marron-style.jp</v>
      </c>
      <c r="C30334" t="s">
        <v>461</v>
      </c>
      <c r="D30334" t="s">
        <v>837</v>
      </c>
      <c r="F30334">
        <v>5.0865160313127003E-9</v>
      </c>
      <c r="G30334">
        <v>27367732</v>
      </c>
      <c r="H30334">
        <v>10514829</v>
      </c>
      <c r="I30334">
        <v>49255887</v>
      </c>
      <c r="J30334">
        <v>3</v>
      </c>
    </row>
    <row r="30335" spans="1:10" x14ac:dyDescent="0.25">
      <c r="A30335" t="s">
        <v>1653</v>
      </c>
      <c r="B30335" s="1" t="str">
        <f>HYPERLINK("http://omni7.jp","omni7.jp")</f>
        <v>omni7.jp</v>
      </c>
      <c r="C30335" t="s">
        <v>461</v>
      </c>
      <c r="D30335" t="s">
        <v>837</v>
      </c>
      <c r="E30335">
        <v>19933</v>
      </c>
      <c r="F30335">
        <v>1.6142201304341299E-6</v>
      </c>
      <c r="G30335">
        <v>24400</v>
      </c>
      <c r="H30335">
        <v>15115816</v>
      </c>
      <c r="I30335">
        <v>404341</v>
      </c>
      <c r="J30335">
        <v>2</v>
      </c>
    </row>
    <row r="30336" spans="1:10" x14ac:dyDescent="0.25">
      <c r="A30336" t="s">
        <v>1653</v>
      </c>
      <c r="B30336" s="1" t="str">
        <f>HYPERLINK("http://seibu.jp","seibu.jp")</f>
        <v>seibu.jp</v>
      </c>
      <c r="C30336" t="s">
        <v>461</v>
      </c>
      <c r="D30336" t="s">
        <v>837</v>
      </c>
      <c r="E30336">
        <v>754007</v>
      </c>
      <c r="F30336">
        <v>7.8486342446322097E-8</v>
      </c>
      <c r="G30336">
        <v>532676</v>
      </c>
      <c r="H30336">
        <v>14654269</v>
      </c>
      <c r="I30336">
        <v>624763</v>
      </c>
      <c r="J30336">
        <v>4</v>
      </c>
    </row>
    <row r="30337" spans="1:10" x14ac:dyDescent="0.25">
      <c r="A30337" t="s">
        <v>1653</v>
      </c>
      <c r="B30337" s="1" t="str">
        <f>HYPERLINK("http://seventown-sengendai.jp","seventown-sengendai.jp")</f>
        <v>seventown-sengendai.jp</v>
      </c>
      <c r="C30337" t="s">
        <v>461</v>
      </c>
      <c r="D30337" t="s">
        <v>837</v>
      </c>
      <c r="F30337">
        <v>1.2892306247493001E-8</v>
      </c>
      <c r="G30337">
        <v>4683007</v>
      </c>
      <c r="H30337">
        <v>11091996</v>
      </c>
      <c r="I30337">
        <v>32362285</v>
      </c>
      <c r="J30337">
        <v>4</v>
      </c>
    </row>
    <row r="30338" spans="1:10" x14ac:dyDescent="0.25">
      <c r="A30338" t="s">
        <v>1653</v>
      </c>
      <c r="B30338" s="1" t="str">
        <f>HYPERLINK("http://sogo-seibu.jp","sogo-seibu.jp")</f>
        <v>sogo-seibu.jp</v>
      </c>
      <c r="C30338" t="s">
        <v>461</v>
      </c>
      <c r="D30338" t="s">
        <v>837</v>
      </c>
      <c r="E30338">
        <v>95016</v>
      </c>
      <c r="F30338">
        <v>6.7426719498069798E-7</v>
      </c>
      <c r="G30338">
        <v>57161</v>
      </c>
      <c r="H30338">
        <v>17184842</v>
      </c>
      <c r="I30338">
        <v>44593</v>
      </c>
      <c r="J30338">
        <v>3</v>
      </c>
    </row>
    <row r="30339" spans="1:10" x14ac:dyDescent="0.25">
      <c r="A30339" t="s">
        <v>1653</v>
      </c>
      <c r="B30339" s="1" t="str">
        <f>HYPERLINK("http://7-eleven.co.kr","7-eleven.co.kr")</f>
        <v>7-eleven.co.kr</v>
      </c>
      <c r="C30339" t="s">
        <v>463</v>
      </c>
      <c r="D30339" t="s">
        <v>839</v>
      </c>
      <c r="F30339">
        <v>1.00768527732699E-7</v>
      </c>
      <c r="G30339">
        <v>399070</v>
      </c>
      <c r="H30339">
        <v>16883428</v>
      </c>
      <c r="I30339">
        <v>138267</v>
      </c>
      <c r="J30339">
        <v>5</v>
      </c>
    </row>
    <row r="30340" spans="1:10" x14ac:dyDescent="0.25">
      <c r="A30340" t="s">
        <v>1653</v>
      </c>
      <c r="B30340" s="1" t="str">
        <f>HYPERLINK("http://-eleven.com.mx","-eleven.com.mx")</f>
        <v>-eleven.com.mx</v>
      </c>
      <c r="C30340" t="s">
        <v>471</v>
      </c>
      <c r="D30340" t="s">
        <v>847</v>
      </c>
      <c r="J30340">
        <v>7</v>
      </c>
    </row>
    <row r="30341" spans="1:10" x14ac:dyDescent="0.25">
      <c r="A30341" t="s">
        <v>1653</v>
      </c>
      <c r="B30341" s="1" t="str">
        <f>HYPERLINK("http://7-eleven.com.mx","7-eleven.com.mx")</f>
        <v>7-eleven.com.mx</v>
      </c>
      <c r="C30341" t="s">
        <v>471</v>
      </c>
      <c r="D30341" t="s">
        <v>847</v>
      </c>
      <c r="E30341">
        <v>734876</v>
      </c>
      <c r="F30341">
        <v>4.1627799306356298E-7</v>
      </c>
      <c r="G30341">
        <v>90432</v>
      </c>
      <c r="H30341">
        <v>14166704</v>
      </c>
      <c r="I30341">
        <v>1817629</v>
      </c>
      <c r="J30341">
        <v>5</v>
      </c>
    </row>
    <row r="30342" spans="1:10" x14ac:dyDescent="0.25">
      <c r="A30342" t="s">
        <v>1653</v>
      </c>
      <c r="B30342" s="1" t="str">
        <f>HYPERLINK("http://7eleven.com.mx","7eleven.com.mx")</f>
        <v>7eleven.com.mx</v>
      </c>
      <c r="C30342" t="s">
        <v>471</v>
      </c>
      <c r="D30342" t="s">
        <v>847</v>
      </c>
      <c r="J30342">
        <v>5</v>
      </c>
    </row>
    <row r="30343" spans="1:10" x14ac:dyDescent="0.25">
      <c r="A30343" t="s">
        <v>1653</v>
      </c>
      <c r="B30343" s="1" t="str">
        <f>HYPERLINK("http://7eleven.com.my","7eleven.com.my")</f>
        <v>7eleven.com.my</v>
      </c>
      <c r="C30343" t="s">
        <v>472</v>
      </c>
      <c r="D30343" t="s">
        <v>848</v>
      </c>
      <c r="E30343">
        <v>509569</v>
      </c>
      <c r="F30343">
        <v>6.9682411013345795E-8</v>
      </c>
      <c r="G30343">
        <v>608993</v>
      </c>
      <c r="H30343">
        <v>14590727</v>
      </c>
      <c r="I30343">
        <v>695488</v>
      </c>
      <c r="J30343">
        <v>5</v>
      </c>
    </row>
    <row r="30344" spans="1:10" x14ac:dyDescent="0.25">
      <c r="A30344" t="s">
        <v>1653</v>
      </c>
      <c r="B30344" s="1" t="str">
        <f>HYPERLINK("http://kkgroup.my","kkgroup.my")</f>
        <v>kkgroup.my</v>
      </c>
      <c r="C30344" t="s">
        <v>472</v>
      </c>
      <c r="D30344" t="s">
        <v>848</v>
      </c>
      <c r="F30344">
        <v>1.7930575739029299E-8</v>
      </c>
      <c r="G30344">
        <v>3047108</v>
      </c>
      <c r="H30344">
        <v>14381978</v>
      </c>
      <c r="I30344">
        <v>1189928</v>
      </c>
      <c r="J30344">
        <v>8</v>
      </c>
    </row>
    <row r="30345" spans="1:10" x14ac:dyDescent="0.25">
      <c r="A30345" t="s">
        <v>1653</v>
      </c>
      <c r="B30345" s="1" t="str">
        <f>HYPERLINK("http://7-eleven.com.ph","7-eleven.com.ph")</f>
        <v>7-eleven.com.ph</v>
      </c>
      <c r="C30345" t="s">
        <v>484</v>
      </c>
      <c r="D30345" t="s">
        <v>858</v>
      </c>
      <c r="E30345">
        <v>766122</v>
      </c>
      <c r="F30345">
        <v>5.6898603353711497E-8</v>
      </c>
      <c r="G30345">
        <v>784991</v>
      </c>
      <c r="H30345">
        <v>14846709</v>
      </c>
      <c r="I30345">
        <v>493189</v>
      </c>
      <c r="J30345">
        <v>5</v>
      </c>
    </row>
    <row r="30346" spans="1:10" x14ac:dyDescent="0.25">
      <c r="A30346" t="s">
        <v>1653</v>
      </c>
      <c r="B30346" s="1" t="str">
        <f>HYPERLINK("http://7-eleven.se","7-eleven.se")</f>
        <v>7-eleven.se</v>
      </c>
      <c r="C30346" t="s">
        <v>495</v>
      </c>
      <c r="D30346" t="s">
        <v>869</v>
      </c>
      <c r="F30346">
        <v>6.2458198913997406E-8</v>
      </c>
      <c r="G30346">
        <v>702703</v>
      </c>
      <c r="H30346">
        <v>14492636</v>
      </c>
      <c r="I30346">
        <v>893487</v>
      </c>
      <c r="J30346">
        <v>5</v>
      </c>
    </row>
    <row r="30347" spans="1:10" x14ac:dyDescent="0.25">
      <c r="A30347" t="s">
        <v>1653</v>
      </c>
      <c r="B30347" s="1" t="str">
        <f>HYPERLINK("http://7-eleven.com.sg","7-eleven.com.sg")</f>
        <v>7-eleven.com.sg</v>
      </c>
      <c r="C30347" t="s">
        <v>496</v>
      </c>
      <c r="D30347" t="s">
        <v>870</v>
      </c>
      <c r="F30347">
        <v>8.5325969196037702E-8</v>
      </c>
      <c r="G30347">
        <v>483229</v>
      </c>
      <c r="H30347">
        <v>14482021</v>
      </c>
      <c r="I30347">
        <v>1023906</v>
      </c>
      <c r="J30347">
        <v>5</v>
      </c>
    </row>
    <row r="30348" spans="1:10" x14ac:dyDescent="0.25">
      <c r="A30348" t="s">
        <v>1653</v>
      </c>
      <c r="B30348" s="1" t="str">
        <f>HYPERLINK("http://7eleven.co.th","7eleven.co.th")</f>
        <v>7eleven.co.th</v>
      </c>
      <c r="C30348" t="s">
        <v>500</v>
      </c>
      <c r="D30348" t="s">
        <v>874</v>
      </c>
      <c r="E30348">
        <v>382199</v>
      </c>
      <c r="F30348">
        <v>7.8485143299487299E-8</v>
      </c>
      <c r="G30348">
        <v>532692</v>
      </c>
      <c r="H30348">
        <v>14388744</v>
      </c>
      <c r="I30348">
        <v>1172279</v>
      </c>
      <c r="J30348">
        <v>5</v>
      </c>
    </row>
    <row r="30349" spans="1:10" x14ac:dyDescent="0.25">
      <c r="A30349" t="s">
        <v>1653</v>
      </c>
      <c r="B30349" s="1" t="str">
        <f>HYPERLINK("http://7-11.com.tw","7-11.com.tw")</f>
        <v>7-11.com.tw</v>
      </c>
      <c r="C30349" t="s">
        <v>504</v>
      </c>
      <c r="D30349" t="s">
        <v>878</v>
      </c>
      <c r="E30349">
        <v>18862</v>
      </c>
      <c r="F30349">
        <v>4.89835310012525E-7</v>
      </c>
      <c r="G30349">
        <v>77844</v>
      </c>
      <c r="H30349">
        <v>17253410</v>
      </c>
      <c r="I30349">
        <v>33536</v>
      </c>
      <c r="J30349">
        <v>5</v>
      </c>
    </row>
    <row r="30350" spans="1:10" x14ac:dyDescent="0.25">
      <c r="A30350" t="s">
        <v>1653</v>
      </c>
      <c r="B30350" s="1" t="str">
        <f>HYPERLINK("http://7-eleven.com.tw","7-eleven.com.tw")</f>
        <v>7-eleven.com.tw</v>
      </c>
      <c r="C30350" t="s">
        <v>504</v>
      </c>
      <c r="D30350" t="s">
        <v>878</v>
      </c>
      <c r="F30350">
        <v>4.49935625273248E-9</v>
      </c>
      <c r="G30350">
        <v>59040010</v>
      </c>
      <c r="H30350">
        <v>10192776</v>
      </c>
      <c r="I30350">
        <v>59087959</v>
      </c>
      <c r="J30350">
        <v>5</v>
      </c>
    </row>
    <row r="30351" spans="1:10" x14ac:dyDescent="0.25">
      <c r="A30351" t="s">
        <v>1653</v>
      </c>
      <c r="B30351" s="1" t="str">
        <f>HYPERLINK("http://cosmed.com.tw","cosmed.com.tw")</f>
        <v>cosmed.com.tw</v>
      </c>
      <c r="C30351" t="s">
        <v>504</v>
      </c>
      <c r="D30351" t="s">
        <v>878</v>
      </c>
      <c r="E30351">
        <v>195745</v>
      </c>
      <c r="F30351">
        <v>2.4925431596638197E-7</v>
      </c>
      <c r="G30351">
        <v>150093</v>
      </c>
      <c r="H30351">
        <v>14618607</v>
      </c>
      <c r="I30351">
        <v>661386</v>
      </c>
      <c r="J30351">
        <v>8</v>
      </c>
    </row>
    <row r="30352" spans="1:10" x14ac:dyDescent="0.25">
      <c r="A30352" t="s">
        <v>1653</v>
      </c>
      <c r="B30352" s="1" t="str">
        <f>HYPERLINK("http://ibon.com.tw","ibon.com.tw")</f>
        <v>ibon.com.tw</v>
      </c>
      <c r="C30352" t="s">
        <v>504</v>
      </c>
      <c r="D30352" t="s">
        <v>878</v>
      </c>
      <c r="E30352">
        <v>134089</v>
      </c>
      <c r="F30352">
        <v>2.8271030146381401E-7</v>
      </c>
      <c r="G30352">
        <v>131507</v>
      </c>
      <c r="H30352">
        <v>14681342</v>
      </c>
      <c r="I30352">
        <v>608164</v>
      </c>
      <c r="J30352">
        <v>7</v>
      </c>
    </row>
    <row r="30353" spans="1:10" x14ac:dyDescent="0.25">
      <c r="A30353" t="s">
        <v>1653</v>
      </c>
      <c r="B30353" s="1" t="str">
        <f>HYPERLINK("http://openpoint.com.tw","openpoint.com.tw")</f>
        <v>openpoint.com.tw</v>
      </c>
      <c r="C30353" t="s">
        <v>504</v>
      </c>
      <c r="D30353" t="s">
        <v>878</v>
      </c>
      <c r="E30353">
        <v>271534</v>
      </c>
      <c r="F30353">
        <v>1.7568474244588401E-7</v>
      </c>
      <c r="G30353">
        <v>220657</v>
      </c>
      <c r="H30353">
        <v>16960808</v>
      </c>
      <c r="I30353">
        <v>105552</v>
      </c>
      <c r="J30353">
        <v>8</v>
      </c>
    </row>
    <row r="30354" spans="1:10" x14ac:dyDescent="0.25">
      <c r="A30354" t="s">
        <v>1653</v>
      </c>
      <c r="B30354" s="1" t="str">
        <f>HYPERLINK("http://pcsc.com.tw","pcsc.com.tw")</f>
        <v>pcsc.com.tw</v>
      </c>
      <c r="C30354" t="s">
        <v>504</v>
      </c>
      <c r="D30354" t="s">
        <v>878</v>
      </c>
      <c r="E30354">
        <v>86331</v>
      </c>
      <c r="F30354">
        <v>2.3180383182124201E-7</v>
      </c>
      <c r="G30354">
        <v>161976</v>
      </c>
      <c r="H30354">
        <v>16959270</v>
      </c>
      <c r="I30354">
        <v>105869</v>
      </c>
      <c r="J30354">
        <v>5</v>
      </c>
    </row>
    <row r="30355" spans="1:10" x14ac:dyDescent="0.25">
      <c r="A30355" t="s">
        <v>1653</v>
      </c>
      <c r="B30355" s="1" t="str">
        <f>HYPERLINK("http://pec21c.com.tw","pec21c.com.tw")</f>
        <v>pec21c.com.tw</v>
      </c>
      <c r="C30355" t="s">
        <v>504</v>
      </c>
      <c r="D30355" t="s">
        <v>878</v>
      </c>
      <c r="F30355">
        <v>2.01226903466579E-8</v>
      </c>
      <c r="G30355">
        <v>2640473</v>
      </c>
      <c r="H30355">
        <v>13651219</v>
      </c>
      <c r="I30355">
        <v>9605577</v>
      </c>
      <c r="J30355">
        <v>8</v>
      </c>
    </row>
    <row r="30356" spans="1:10" x14ac:dyDescent="0.25">
      <c r="A30356" t="s">
        <v>346</v>
      </c>
      <c r="B30356" s="1" t="str">
        <f>HYPERLINK("http://fenjiu.com.cn","fenjiu.com.cn")</f>
        <v>fenjiu.com.cn</v>
      </c>
      <c r="C30356" t="s">
        <v>431</v>
      </c>
      <c r="D30356" t="s">
        <v>812</v>
      </c>
      <c r="E30356">
        <v>381930</v>
      </c>
      <c r="F30356">
        <v>6.9554692954933004E-8</v>
      </c>
      <c r="G30356">
        <v>610266</v>
      </c>
      <c r="H30356">
        <v>13860182</v>
      </c>
      <c r="I30356">
        <v>6022200</v>
      </c>
      <c r="J30356">
        <v>1</v>
      </c>
    </row>
    <row r="30357" spans="1:10" x14ac:dyDescent="0.25">
      <c r="A30357" t="s">
        <v>347</v>
      </c>
      <c r="B30357" s="1" t="str">
        <f>HYPERLINK("http://shell.ae","shell.ae")</f>
        <v>shell.ae</v>
      </c>
      <c r="C30357" t="s">
        <v>417</v>
      </c>
      <c r="D30357" t="s">
        <v>799</v>
      </c>
      <c r="F30357">
        <v>4.1518667247517399E-8</v>
      </c>
      <c r="G30357">
        <v>1198847</v>
      </c>
      <c r="H30357">
        <v>13294998</v>
      </c>
      <c r="I30357">
        <v>10853779</v>
      </c>
      <c r="J30357">
        <v>2</v>
      </c>
    </row>
    <row r="30358" spans="1:10" x14ac:dyDescent="0.25">
      <c r="A30358" t="s">
        <v>347</v>
      </c>
      <c r="B30358" s="1" t="str">
        <f>HYPERLINK("http://shell.al","shell.al")</f>
        <v>shell.al</v>
      </c>
      <c r="C30358" t="s">
        <v>588</v>
      </c>
      <c r="D30358" t="s">
        <v>924</v>
      </c>
      <c r="F30358">
        <v>3.71699813752743E-8</v>
      </c>
      <c r="G30358">
        <v>1393725</v>
      </c>
      <c r="H30358">
        <v>12573495</v>
      </c>
      <c r="I30358">
        <v>16594998</v>
      </c>
      <c r="J30358">
        <v>2</v>
      </c>
    </row>
    <row r="30359" spans="1:10" x14ac:dyDescent="0.25">
      <c r="A30359" t="s">
        <v>347</v>
      </c>
      <c r="B30359" s="1" t="str">
        <f>HYPERLINK("http://coopmonje.com.ar","coopmonje.com.ar")</f>
        <v>coopmonje.com.ar</v>
      </c>
      <c r="C30359" t="s">
        <v>418</v>
      </c>
      <c r="D30359" t="s">
        <v>800</v>
      </c>
      <c r="F30359">
        <v>1.2662825997053801E-8</v>
      </c>
      <c r="G30359">
        <v>4798216</v>
      </c>
      <c r="H30359">
        <v>12916234</v>
      </c>
      <c r="I30359">
        <v>13513974</v>
      </c>
      <c r="J30359">
        <v>4</v>
      </c>
    </row>
    <row r="30360" spans="1:10" x14ac:dyDescent="0.25">
      <c r="A30360" t="s">
        <v>347</v>
      </c>
      <c r="B30360" s="1" t="str">
        <f>HYPERLINK("http://shell.com.ar","shell.com.ar")</f>
        <v>shell.com.ar</v>
      </c>
      <c r="C30360" t="s">
        <v>418</v>
      </c>
      <c r="D30360" t="s">
        <v>800</v>
      </c>
      <c r="E30360">
        <v>824207</v>
      </c>
      <c r="F30360">
        <v>6.9654289204380804E-8</v>
      </c>
      <c r="G30360">
        <v>609268</v>
      </c>
      <c r="H30360">
        <v>14246991</v>
      </c>
      <c r="I30360">
        <v>1459258</v>
      </c>
      <c r="J30360">
        <v>2</v>
      </c>
    </row>
    <row r="30361" spans="1:10" x14ac:dyDescent="0.25">
      <c r="A30361" t="s">
        <v>347</v>
      </c>
      <c r="B30361" s="1" t="str">
        <f>HYPERLINK("http://capi.at","capi.at")</f>
        <v>capi.at</v>
      </c>
      <c r="C30361" t="s">
        <v>419</v>
      </c>
      <c r="D30361" t="s">
        <v>801</v>
      </c>
      <c r="F30361">
        <v>5.2067967949575397E-9</v>
      </c>
      <c r="G30361">
        <v>24981695</v>
      </c>
      <c r="H30361">
        <v>11201370</v>
      </c>
      <c r="I30361">
        <v>31239639</v>
      </c>
      <c r="J30361">
        <v>4</v>
      </c>
    </row>
    <row r="30362" spans="1:10" x14ac:dyDescent="0.25">
      <c r="A30362" t="s">
        <v>347</v>
      </c>
      <c r="B30362" s="1" t="str">
        <f>HYPERLINK("http://carpentari.at","carpentari.at")</f>
        <v>carpentari.at</v>
      </c>
      <c r="C30362" t="s">
        <v>419</v>
      </c>
      <c r="D30362" t="s">
        <v>801</v>
      </c>
      <c r="F30362">
        <v>4.44380395335525E-9</v>
      </c>
      <c r="G30362">
        <v>79959544</v>
      </c>
      <c r="H30362">
        <v>0</v>
      </c>
      <c r="I30362">
        <v>79966554</v>
      </c>
      <c r="J30362">
        <v>4</v>
      </c>
    </row>
    <row r="30363" spans="1:10" x14ac:dyDescent="0.25">
      <c r="A30363" t="s">
        <v>347</v>
      </c>
      <c r="B30363" s="1" t="str">
        <f>HYPERLINK("http://kerschhackel.at","kerschhackel.at")</f>
        <v>kerschhackel.at</v>
      </c>
      <c r="C30363" t="s">
        <v>419</v>
      </c>
      <c r="D30363" t="s">
        <v>801</v>
      </c>
      <c r="F30363">
        <v>4.5671900667432496E-9</v>
      </c>
      <c r="G30363">
        <v>50447805</v>
      </c>
      <c r="H30363">
        <v>8725360</v>
      </c>
      <c r="I30363">
        <v>69772270</v>
      </c>
      <c r="J30363">
        <v>3</v>
      </c>
    </row>
    <row r="30364" spans="1:10" x14ac:dyDescent="0.25">
      <c r="A30364" t="s">
        <v>347</v>
      </c>
      <c r="B30364" s="1" t="str">
        <f>HYPERLINK("http://next-kraftwerke.at","next-kraftwerke.at")</f>
        <v>next-kraftwerke.at</v>
      </c>
      <c r="C30364" t="s">
        <v>419</v>
      </c>
      <c r="D30364" t="s">
        <v>801</v>
      </c>
      <c r="F30364">
        <v>9.8844847845448996E-9</v>
      </c>
      <c r="G30364">
        <v>6875769</v>
      </c>
      <c r="H30364">
        <v>12654172</v>
      </c>
      <c r="I30364">
        <v>15773082</v>
      </c>
      <c r="J30364">
        <v>3</v>
      </c>
    </row>
    <row r="30365" spans="1:10" x14ac:dyDescent="0.25">
      <c r="A30365" t="s">
        <v>347</v>
      </c>
      <c r="B30365" s="1" t="str">
        <f>HYPERLINK("http://shell.at","shell.at")</f>
        <v>shell.at</v>
      </c>
      <c r="C30365" t="s">
        <v>419</v>
      </c>
      <c r="D30365" t="s">
        <v>801</v>
      </c>
      <c r="F30365">
        <v>8.8102152236051803E-8</v>
      </c>
      <c r="G30365">
        <v>465153</v>
      </c>
      <c r="H30365">
        <v>14398824</v>
      </c>
      <c r="I30365">
        <v>1156141</v>
      </c>
      <c r="J30365">
        <v>2</v>
      </c>
    </row>
    <row r="30366" spans="1:10" x14ac:dyDescent="0.25">
      <c r="A30366" t="s">
        <v>347</v>
      </c>
      <c r="B30366" s="1" t="str">
        <f>HYPERLINK("http://shellstationen.at","shellstationen.at")</f>
        <v>shellstationen.at</v>
      </c>
      <c r="C30366" t="s">
        <v>419</v>
      </c>
      <c r="D30366" t="s">
        <v>801</v>
      </c>
      <c r="F30366">
        <v>4.5271791909902799E-9</v>
      </c>
      <c r="G30366">
        <v>55364941</v>
      </c>
      <c r="H30366">
        <v>9658075</v>
      </c>
      <c r="I30366">
        <v>63827846</v>
      </c>
      <c r="J30366">
        <v>3</v>
      </c>
    </row>
    <row r="30367" spans="1:10" x14ac:dyDescent="0.25">
      <c r="A30367" t="s">
        <v>347</v>
      </c>
      <c r="B30367" s="1" t="str">
        <f>HYPERLINK("http://sonnen.at","sonnen.at")</f>
        <v>sonnen.at</v>
      </c>
      <c r="C30367" t="s">
        <v>419</v>
      </c>
      <c r="D30367" t="s">
        <v>801</v>
      </c>
      <c r="F30367">
        <v>3.9327305248960698E-8</v>
      </c>
      <c r="G30367">
        <v>1312104</v>
      </c>
      <c r="H30367">
        <v>12171434</v>
      </c>
      <c r="I30367">
        <v>24035344</v>
      </c>
      <c r="J30367">
        <v>4</v>
      </c>
    </row>
    <row r="30368" spans="1:10" x14ac:dyDescent="0.25">
      <c r="A30368" t="s">
        <v>347</v>
      </c>
      <c r="B30368" s="1" t="str">
        <f>HYPERLINK("http://stuckenberger.at","stuckenberger.at")</f>
        <v>stuckenberger.at</v>
      </c>
      <c r="C30368" t="s">
        <v>419</v>
      </c>
      <c r="D30368" t="s">
        <v>801</v>
      </c>
      <c r="F30368">
        <v>7.3730316834904298E-9</v>
      </c>
      <c r="G30368">
        <v>11306975</v>
      </c>
      <c r="H30368">
        <v>12368700</v>
      </c>
      <c r="I30368">
        <v>19430448</v>
      </c>
      <c r="J30368">
        <v>3</v>
      </c>
    </row>
    <row r="30369" spans="1:10" x14ac:dyDescent="0.25">
      <c r="A30369" t="s">
        <v>347</v>
      </c>
      <c r="B30369" s="1" t="str">
        <f>HYPERLINK("http://arrowenergy.com.au","arrowenergy.com.au")</f>
        <v>arrowenergy.com.au</v>
      </c>
      <c r="C30369" t="s">
        <v>420</v>
      </c>
      <c r="D30369" t="s">
        <v>802</v>
      </c>
      <c r="F30369">
        <v>1.85963204333069E-8</v>
      </c>
      <c r="G30369">
        <v>2907980</v>
      </c>
      <c r="H30369">
        <v>13851009</v>
      </c>
      <c r="I30369">
        <v>6051997</v>
      </c>
      <c r="J30369">
        <v>3</v>
      </c>
    </row>
    <row r="30370" spans="1:10" x14ac:dyDescent="0.25">
      <c r="A30370" t="s">
        <v>347</v>
      </c>
      <c r="B30370" s="1" t="str">
        <f>HYPERLINK("http://ermgroup.com.au","ermgroup.com.au")</f>
        <v>ermgroup.com.au</v>
      </c>
      <c r="C30370" t="s">
        <v>420</v>
      </c>
      <c r="D30370" t="s">
        <v>802</v>
      </c>
      <c r="F30370">
        <v>4.4459752770633703E-9</v>
      </c>
      <c r="G30370">
        <v>74717344</v>
      </c>
      <c r="H30370">
        <v>10534882</v>
      </c>
      <c r="I30370">
        <v>47721552</v>
      </c>
      <c r="J30370">
        <v>3</v>
      </c>
    </row>
    <row r="30371" spans="1:10" x14ac:dyDescent="0.25">
      <c r="A30371" t="s">
        <v>347</v>
      </c>
      <c r="B30371" s="1" t="str">
        <f>HYPERLINK("http://ermpower.com.au","ermpower.com.au")</f>
        <v>ermpower.com.au</v>
      </c>
      <c r="C30371" t="s">
        <v>420</v>
      </c>
      <c r="D30371" t="s">
        <v>802</v>
      </c>
      <c r="F30371">
        <v>1.80878276961298E-8</v>
      </c>
      <c r="G30371">
        <v>3012235</v>
      </c>
      <c r="H30371">
        <v>14319567</v>
      </c>
      <c r="I30371">
        <v>1332377</v>
      </c>
      <c r="J30371">
        <v>3</v>
      </c>
    </row>
    <row r="30372" spans="1:10" x14ac:dyDescent="0.25">
      <c r="A30372" t="s">
        <v>347</v>
      </c>
      <c r="B30372" s="1" t="str">
        <f>HYPERLINK("http://greensense.com.au","greensense.com.au")</f>
        <v>greensense.com.au</v>
      </c>
      <c r="C30372" t="s">
        <v>420</v>
      </c>
      <c r="D30372" t="s">
        <v>802</v>
      </c>
      <c r="F30372">
        <v>6.12873406386218E-9</v>
      </c>
      <c r="G30372">
        <v>15932114</v>
      </c>
      <c r="H30372">
        <v>13202924</v>
      </c>
      <c r="I30372">
        <v>11540711</v>
      </c>
      <c r="J30372">
        <v>3</v>
      </c>
    </row>
    <row r="30373" spans="1:10" x14ac:dyDescent="0.25">
      <c r="A30373" t="s">
        <v>347</v>
      </c>
      <c r="B30373" s="1" t="str">
        <f>HYPERLINK("http://lumaled.com.au","lumaled.com.au")</f>
        <v>lumaled.com.au</v>
      </c>
      <c r="C30373" t="s">
        <v>420</v>
      </c>
      <c r="D30373" t="s">
        <v>802</v>
      </c>
      <c r="F30373">
        <v>4.5253079750271904E-9</v>
      </c>
      <c r="G30373">
        <v>55575515</v>
      </c>
      <c r="H30373">
        <v>10517910</v>
      </c>
      <c r="I30373">
        <v>49141554</v>
      </c>
      <c r="J30373">
        <v>3</v>
      </c>
    </row>
    <row r="30374" spans="1:10" x14ac:dyDescent="0.25">
      <c r="A30374" t="s">
        <v>347</v>
      </c>
      <c r="B30374" s="1" t="str">
        <f>HYPERLINK("http://qgc.com.au","qgc.com.au")</f>
        <v>qgc.com.au</v>
      </c>
      <c r="C30374" t="s">
        <v>420</v>
      </c>
      <c r="D30374" t="s">
        <v>802</v>
      </c>
      <c r="F30374">
        <v>1.7510022870560101E-8</v>
      </c>
      <c r="G30374">
        <v>3143830</v>
      </c>
      <c r="H30374">
        <v>14534012</v>
      </c>
      <c r="I30374">
        <v>782450</v>
      </c>
      <c r="J30374">
        <v>3</v>
      </c>
    </row>
    <row r="30375" spans="1:10" x14ac:dyDescent="0.25">
      <c r="A30375" t="s">
        <v>347</v>
      </c>
      <c r="B30375" s="1" t="str">
        <f>HYPERLINK("http://shell.com.au","shell.com.au")</f>
        <v>shell.com.au</v>
      </c>
      <c r="C30375" t="s">
        <v>420</v>
      </c>
      <c r="D30375" t="s">
        <v>802</v>
      </c>
      <c r="E30375">
        <v>371637</v>
      </c>
      <c r="F30375">
        <v>8.6876989231178006E-8</v>
      </c>
      <c r="G30375">
        <v>472806</v>
      </c>
      <c r="H30375">
        <v>14899893</v>
      </c>
      <c r="I30375">
        <v>462971</v>
      </c>
      <c r="J30375">
        <v>2</v>
      </c>
    </row>
    <row r="30376" spans="1:10" x14ac:dyDescent="0.25">
      <c r="A30376" t="s">
        <v>347</v>
      </c>
      <c r="B30376" s="1" t="str">
        <f>HYPERLINK("http://solarpoweraustralia.com.au","solarpoweraustralia.com.au")</f>
        <v>solarpoweraustralia.com.au</v>
      </c>
      <c r="C30376" t="s">
        <v>420</v>
      </c>
      <c r="D30376" t="s">
        <v>802</v>
      </c>
      <c r="F30376">
        <v>5.4184621448439502E-9</v>
      </c>
      <c r="G30376">
        <v>21880228</v>
      </c>
      <c r="H30376">
        <v>12171667</v>
      </c>
      <c r="I30376">
        <v>24026935</v>
      </c>
      <c r="J30376">
        <v>6</v>
      </c>
    </row>
    <row r="30377" spans="1:10" x14ac:dyDescent="0.25">
      <c r="A30377" t="s">
        <v>347</v>
      </c>
      <c r="B30377" s="1" t="str">
        <f>HYPERLINK("http://sonnen.com.au","sonnen.com.au")</f>
        <v>sonnen.com.au</v>
      </c>
      <c r="C30377" t="s">
        <v>420</v>
      </c>
      <c r="D30377" t="s">
        <v>802</v>
      </c>
      <c r="F30377">
        <v>5.7166475279943998E-8</v>
      </c>
      <c r="G30377">
        <v>780657</v>
      </c>
      <c r="H30377">
        <v>13052913</v>
      </c>
      <c r="I30377">
        <v>12574390</v>
      </c>
      <c r="J30377">
        <v>4</v>
      </c>
    </row>
    <row r="30378" spans="1:10" x14ac:dyDescent="0.25">
      <c r="A30378" t="s">
        <v>347</v>
      </c>
      <c r="B30378" s="1" t="str">
        <f>HYPERLINK("http://maesmobility.be","maesmobility.be")</f>
        <v>maesmobility.be</v>
      </c>
      <c r="C30378" t="s">
        <v>421</v>
      </c>
      <c r="D30378" t="s">
        <v>803</v>
      </c>
      <c r="F30378">
        <v>8.09001937191436E-8</v>
      </c>
      <c r="G30378">
        <v>516054</v>
      </c>
      <c r="H30378">
        <v>16813268</v>
      </c>
      <c r="I30378">
        <v>191955</v>
      </c>
      <c r="J30378">
        <v>4</v>
      </c>
    </row>
    <row r="30379" spans="1:10" x14ac:dyDescent="0.25">
      <c r="A30379" t="s">
        <v>347</v>
      </c>
      <c r="B30379" s="1" t="str">
        <f>HYPERLINK("http://next-kraftwerke.be","next-kraftwerke.be")</f>
        <v>next-kraftwerke.be</v>
      </c>
      <c r="C30379" t="s">
        <v>421</v>
      </c>
      <c r="D30379" t="s">
        <v>803</v>
      </c>
      <c r="F30379">
        <v>1.5593100769606501E-8</v>
      </c>
      <c r="G30379">
        <v>3657064</v>
      </c>
      <c r="H30379">
        <v>13525810</v>
      </c>
      <c r="I30379">
        <v>9932196</v>
      </c>
      <c r="J30379">
        <v>3</v>
      </c>
    </row>
    <row r="30380" spans="1:10" x14ac:dyDescent="0.25">
      <c r="A30380" t="s">
        <v>347</v>
      </c>
      <c r="B30380" s="1" t="str">
        <f>HYPERLINK("http://shell.be","shell.be")</f>
        <v>shell.be</v>
      </c>
      <c r="C30380" t="s">
        <v>421</v>
      </c>
      <c r="D30380" t="s">
        <v>803</v>
      </c>
      <c r="F30380">
        <v>6.2415927769454703E-8</v>
      </c>
      <c r="G30380">
        <v>703269</v>
      </c>
      <c r="H30380">
        <v>14263283</v>
      </c>
      <c r="I30380">
        <v>1412964</v>
      </c>
      <c r="J30380">
        <v>2</v>
      </c>
    </row>
    <row r="30381" spans="1:10" x14ac:dyDescent="0.25">
      <c r="A30381" t="s">
        <v>347</v>
      </c>
      <c r="B30381" s="1" t="str">
        <f>HYPERLINK("http://shelldiepenbeek.be","shelldiepenbeek.be")</f>
        <v>shelldiepenbeek.be</v>
      </c>
      <c r="C30381" t="s">
        <v>421</v>
      </c>
      <c r="D30381" t="s">
        <v>803</v>
      </c>
      <c r="F30381">
        <v>4.49092996956407E-9</v>
      </c>
      <c r="G30381">
        <v>60373880</v>
      </c>
      <c r="H30381">
        <v>10773647</v>
      </c>
      <c r="I30381">
        <v>39116341</v>
      </c>
      <c r="J30381">
        <v>4</v>
      </c>
    </row>
    <row r="30382" spans="1:10" x14ac:dyDescent="0.25">
      <c r="A30382" t="s">
        <v>347</v>
      </c>
      <c r="B30382" s="1" t="str">
        <f>HYPERLINK("http://sonnen.be","sonnen.be")</f>
        <v>sonnen.be</v>
      </c>
      <c r="C30382" t="s">
        <v>421</v>
      </c>
      <c r="D30382" t="s">
        <v>803</v>
      </c>
      <c r="F30382">
        <v>1.31404629764047E-8</v>
      </c>
      <c r="G30382">
        <v>4565432</v>
      </c>
      <c r="H30382">
        <v>12120457</v>
      </c>
      <c r="I30382">
        <v>25394040</v>
      </c>
      <c r="J30382">
        <v>4</v>
      </c>
    </row>
    <row r="30383" spans="1:10" x14ac:dyDescent="0.25">
      <c r="A30383" t="s">
        <v>347</v>
      </c>
      <c r="B30383" s="1" t="str">
        <f>HYPERLINK("http://shell.bf","shell.bf")</f>
        <v>shell.bf</v>
      </c>
      <c r="C30383" t="s">
        <v>621</v>
      </c>
      <c r="D30383" t="s">
        <v>945</v>
      </c>
      <c r="F30383">
        <v>3.5669519970767298E-8</v>
      </c>
      <c r="G30383">
        <v>1460268</v>
      </c>
      <c r="H30383">
        <v>12564983</v>
      </c>
      <c r="I30383">
        <v>16666577</v>
      </c>
      <c r="J30383">
        <v>2</v>
      </c>
    </row>
    <row r="30384" spans="1:10" x14ac:dyDescent="0.25">
      <c r="A30384" t="s">
        <v>347</v>
      </c>
      <c r="B30384" s="1" t="str">
        <f>HYPERLINK("http://shell.bg","shell.bg")</f>
        <v>shell.bg</v>
      </c>
      <c r="C30384" t="s">
        <v>422</v>
      </c>
      <c r="D30384" t="s">
        <v>804</v>
      </c>
      <c r="F30384">
        <v>8.0391430540407503E-8</v>
      </c>
      <c r="G30384">
        <v>519515</v>
      </c>
      <c r="H30384">
        <v>13736605</v>
      </c>
      <c r="I30384">
        <v>9453336</v>
      </c>
      <c r="J30384">
        <v>2</v>
      </c>
    </row>
    <row r="30385" spans="1:10" x14ac:dyDescent="0.25">
      <c r="A30385" t="s">
        <v>347</v>
      </c>
      <c r="B30385" s="1" t="str">
        <f>HYPERLINK("http://shell.com.bn","shell.com.bn")</f>
        <v>shell.com.bn</v>
      </c>
      <c r="C30385" t="s">
        <v>511</v>
      </c>
      <c r="D30385" t="s">
        <v>885</v>
      </c>
      <c r="F30385">
        <v>4.1609912902087599E-8</v>
      </c>
      <c r="G30385">
        <v>1192328</v>
      </c>
      <c r="H30385">
        <v>14417687</v>
      </c>
      <c r="I30385">
        <v>1097098</v>
      </c>
      <c r="J30385">
        <v>2</v>
      </c>
    </row>
    <row r="30386" spans="1:10" x14ac:dyDescent="0.25">
      <c r="A30386" t="s">
        <v>347</v>
      </c>
      <c r="B30386" s="1" t="str">
        <f>HYPERLINK("http://shell.com.bo","shell.com.bo")</f>
        <v>shell.com.bo</v>
      </c>
      <c r="C30386" t="s">
        <v>424</v>
      </c>
      <c r="D30386" t="s">
        <v>805</v>
      </c>
      <c r="F30386">
        <v>3.5648970071122803E-8</v>
      </c>
      <c r="G30386">
        <v>1461006</v>
      </c>
      <c r="H30386">
        <v>12567190</v>
      </c>
      <c r="I30386">
        <v>16649925</v>
      </c>
      <c r="J30386">
        <v>2</v>
      </c>
    </row>
    <row r="30387" spans="1:10" x14ac:dyDescent="0.25">
      <c r="A30387" t="s">
        <v>347</v>
      </c>
      <c r="B30387" s="1" t="str">
        <f>HYPERLINK("http://buffon.com.br","buffon.com.br")</f>
        <v>buffon.com.br</v>
      </c>
      <c r="C30387" t="s">
        <v>425</v>
      </c>
      <c r="D30387" t="s">
        <v>806</v>
      </c>
      <c r="E30387">
        <v>584679</v>
      </c>
      <c r="F30387">
        <v>1.1816306386954999E-8</v>
      </c>
      <c r="G30387">
        <v>5291929</v>
      </c>
      <c r="H30387">
        <v>12131100</v>
      </c>
      <c r="I30387">
        <v>25106916</v>
      </c>
      <c r="J30387">
        <v>4</v>
      </c>
    </row>
    <row r="30388" spans="1:10" x14ac:dyDescent="0.25">
      <c r="A30388" t="s">
        <v>347</v>
      </c>
      <c r="B30388" s="1" t="str">
        <f>HYPERLINK("http://shell.com.br","shell.com.br")</f>
        <v>shell.com.br</v>
      </c>
      <c r="C30388" t="s">
        <v>425</v>
      </c>
      <c r="D30388" t="s">
        <v>806</v>
      </c>
      <c r="E30388">
        <v>437138</v>
      </c>
      <c r="F30388">
        <v>2.77799377796899E-7</v>
      </c>
      <c r="G30388">
        <v>133878</v>
      </c>
      <c r="H30388">
        <v>14493995</v>
      </c>
      <c r="I30388">
        <v>884445</v>
      </c>
      <c r="J30388">
        <v>2</v>
      </c>
    </row>
    <row r="30389" spans="1:10" x14ac:dyDescent="0.25">
      <c r="A30389" t="s">
        <v>347</v>
      </c>
      <c r="B30389" s="1" t="str">
        <f>HYPERLINK("http://sobralepalacio.com.br","sobralepalacio.com.br")</f>
        <v>sobralepalacio.com.br</v>
      </c>
      <c r="C30389" t="s">
        <v>425</v>
      </c>
      <c r="D30389" t="s">
        <v>806</v>
      </c>
      <c r="J30389">
        <v>3</v>
      </c>
    </row>
    <row r="30390" spans="1:10" x14ac:dyDescent="0.25">
      <c r="A30390" t="s">
        <v>347</v>
      </c>
      <c r="B30390" s="1" t="str">
        <f>HYPERLINK("http://shell.co.bw","shell.co.bw")</f>
        <v>shell.co.bw</v>
      </c>
      <c r="C30390" t="s">
        <v>426</v>
      </c>
      <c r="D30390" t="s">
        <v>807</v>
      </c>
      <c r="F30390">
        <v>3.5671841944009401E-8</v>
      </c>
      <c r="G30390">
        <v>1460181</v>
      </c>
      <c r="H30390">
        <v>12565031</v>
      </c>
      <c r="I30390">
        <v>16666281</v>
      </c>
      <c r="J30390">
        <v>2</v>
      </c>
    </row>
    <row r="30391" spans="1:10" x14ac:dyDescent="0.25">
      <c r="A30391" t="s">
        <v>347</v>
      </c>
      <c r="B30391" s="1" t="str">
        <f>HYPERLINK("http://allansgarage.ca","allansgarage.ca")</f>
        <v>allansgarage.ca</v>
      </c>
      <c r="C30391" t="s">
        <v>428</v>
      </c>
      <c r="D30391" t="s">
        <v>809</v>
      </c>
      <c r="F30391">
        <v>5.0044384239872398E-9</v>
      </c>
      <c r="G30391">
        <v>29304399</v>
      </c>
      <c r="H30391">
        <v>10350792</v>
      </c>
      <c r="I30391">
        <v>56279236</v>
      </c>
      <c r="J30391">
        <v>4</v>
      </c>
    </row>
    <row r="30392" spans="1:10" x14ac:dyDescent="0.25">
      <c r="A30392" t="s">
        <v>347</v>
      </c>
      <c r="B30392" s="1" t="str">
        <f>HYPERLINK("http://jiffylube.ca","jiffylube.ca")</f>
        <v>jiffylube.ca</v>
      </c>
      <c r="C30392" t="s">
        <v>428</v>
      </c>
      <c r="D30392" t="s">
        <v>809</v>
      </c>
      <c r="F30392">
        <v>1.5761744844197999E-6</v>
      </c>
      <c r="G30392">
        <v>24918</v>
      </c>
      <c r="H30392">
        <v>13066218</v>
      </c>
      <c r="I30392">
        <v>12285625</v>
      </c>
      <c r="J30392">
        <v>4</v>
      </c>
    </row>
    <row r="30393" spans="1:10" x14ac:dyDescent="0.25">
      <c r="A30393" t="s">
        <v>347</v>
      </c>
      <c r="B30393" s="1" t="str">
        <f>HYPERLINK("http://jiffylubeservice.ca","jiffylubeservice.ca")</f>
        <v>jiffylubeservice.ca</v>
      </c>
      <c r="C30393" t="s">
        <v>428</v>
      </c>
      <c r="D30393" t="s">
        <v>809</v>
      </c>
      <c r="F30393">
        <v>9.3141084462091393E-9</v>
      </c>
      <c r="G30393">
        <v>7554170</v>
      </c>
      <c r="H30393">
        <v>12348576</v>
      </c>
      <c r="I30393">
        <v>19788019</v>
      </c>
      <c r="J30393">
        <v>4</v>
      </c>
    </row>
    <row r="30394" spans="1:10" x14ac:dyDescent="0.25">
      <c r="A30394" t="s">
        <v>347</v>
      </c>
      <c r="B30394" s="1" t="str">
        <f>HYPERLINK("http://mymilesmatter.ca","mymilesmatter.ca")</f>
        <v>mymilesmatter.ca</v>
      </c>
      <c r="C30394" t="s">
        <v>428</v>
      </c>
      <c r="D30394" t="s">
        <v>809</v>
      </c>
      <c r="F30394">
        <v>6.6994299592903697E-9</v>
      </c>
      <c r="G30394">
        <v>13304998</v>
      </c>
      <c r="H30394">
        <v>11022143</v>
      </c>
      <c r="I30394">
        <v>33218491</v>
      </c>
      <c r="J30394">
        <v>4</v>
      </c>
    </row>
    <row r="30395" spans="1:10" x14ac:dyDescent="0.25">
      <c r="A30395" t="s">
        <v>347</v>
      </c>
      <c r="B30395" s="1" t="str">
        <f>HYPERLINK("http://pennzoil.ca","pennzoil.ca")</f>
        <v>pennzoil.ca</v>
      </c>
      <c r="C30395" t="s">
        <v>428</v>
      </c>
      <c r="D30395" t="s">
        <v>809</v>
      </c>
      <c r="F30395">
        <v>1.1874726007781899E-8</v>
      </c>
      <c r="G30395">
        <v>5254939</v>
      </c>
      <c r="H30395">
        <v>12449031</v>
      </c>
      <c r="I30395">
        <v>18032060</v>
      </c>
      <c r="J30395">
        <v>4</v>
      </c>
    </row>
    <row r="30396" spans="1:10" x14ac:dyDescent="0.25">
      <c r="A30396" t="s">
        <v>347</v>
      </c>
      <c r="B30396" s="1" t="str">
        <f>HYPERLINK("http://shell.ca","shell.ca")</f>
        <v>shell.ca</v>
      </c>
      <c r="C30396" t="s">
        <v>428</v>
      </c>
      <c r="D30396" t="s">
        <v>809</v>
      </c>
      <c r="E30396">
        <v>116223</v>
      </c>
      <c r="F30396">
        <v>3.4944518316065398E-7</v>
      </c>
      <c r="G30396">
        <v>106990</v>
      </c>
      <c r="H30396">
        <v>14991099</v>
      </c>
      <c r="I30396">
        <v>428013</v>
      </c>
      <c r="J30396">
        <v>2</v>
      </c>
    </row>
    <row r="30397" spans="1:10" x14ac:dyDescent="0.25">
      <c r="A30397" t="s">
        <v>347</v>
      </c>
      <c r="B30397" s="1" t="str">
        <f>HYPERLINK("http://shell.ch","shell.ch")</f>
        <v>shell.ch</v>
      </c>
      <c r="C30397" t="s">
        <v>429</v>
      </c>
      <c r="D30397" t="s">
        <v>810</v>
      </c>
      <c r="F30397">
        <v>8.5443336954193594E-8</v>
      </c>
      <c r="G30397">
        <v>482412</v>
      </c>
      <c r="H30397">
        <v>14413346</v>
      </c>
      <c r="I30397">
        <v>1142076</v>
      </c>
      <c r="J30397">
        <v>2</v>
      </c>
    </row>
    <row r="30398" spans="1:10" x14ac:dyDescent="0.25">
      <c r="A30398" t="s">
        <v>347</v>
      </c>
      <c r="B30398" s="1" t="str">
        <f>HYPERLINK("http://suisse-next.ch","suisse-next.ch")</f>
        <v>suisse-next.ch</v>
      </c>
      <c r="C30398" t="s">
        <v>429</v>
      </c>
      <c r="D30398" t="s">
        <v>810</v>
      </c>
      <c r="F30398">
        <v>9.18940720704018E-9</v>
      </c>
      <c r="G30398">
        <v>7724138</v>
      </c>
      <c r="H30398">
        <v>12152971</v>
      </c>
      <c r="I30398">
        <v>24553358</v>
      </c>
      <c r="J30398">
        <v>5</v>
      </c>
    </row>
    <row r="30399" spans="1:10" x14ac:dyDescent="0.25">
      <c r="A30399" t="s">
        <v>347</v>
      </c>
      <c r="B30399" s="1" t="str">
        <f>HYPERLINK("http://shell.ci","shell.ci")</f>
        <v>shell.ci</v>
      </c>
      <c r="C30399" t="s">
        <v>539</v>
      </c>
      <c r="D30399" t="s">
        <v>899</v>
      </c>
      <c r="F30399">
        <v>3.6223765267589403E-8</v>
      </c>
      <c r="G30399">
        <v>1439717</v>
      </c>
      <c r="H30399">
        <v>12571541</v>
      </c>
      <c r="I30399">
        <v>16611586</v>
      </c>
      <c r="J30399">
        <v>2</v>
      </c>
    </row>
    <row r="30400" spans="1:10" x14ac:dyDescent="0.25">
      <c r="A30400" t="s">
        <v>347</v>
      </c>
      <c r="B30400" s="1" t="str">
        <f>HYPERLINK("http://shell.cl","shell.cl")</f>
        <v>shell.cl</v>
      </c>
      <c r="C30400" t="s">
        <v>430</v>
      </c>
      <c r="D30400" t="s">
        <v>811</v>
      </c>
      <c r="F30400">
        <v>4.45827570621838E-8</v>
      </c>
      <c r="G30400">
        <v>1062468</v>
      </c>
      <c r="H30400">
        <v>13769577</v>
      </c>
      <c r="I30400">
        <v>6779832</v>
      </c>
      <c r="J30400">
        <v>2</v>
      </c>
    </row>
    <row r="30401" spans="1:10" x14ac:dyDescent="0.25">
      <c r="A30401" t="s">
        <v>347</v>
      </c>
      <c r="B30401" s="1" t="str">
        <f>HYPERLINK("http://shell.com.cn","shell.com.cn")</f>
        <v>shell.com.cn</v>
      </c>
      <c r="C30401" t="s">
        <v>431</v>
      </c>
      <c r="D30401" t="s">
        <v>812</v>
      </c>
      <c r="E30401">
        <v>314267</v>
      </c>
      <c r="F30401">
        <v>1.7094131641232201E-7</v>
      </c>
      <c r="G30401">
        <v>226909</v>
      </c>
      <c r="H30401">
        <v>14212741</v>
      </c>
      <c r="I30401">
        <v>1698827</v>
      </c>
      <c r="J30401">
        <v>2</v>
      </c>
    </row>
    <row r="30402" spans="1:10" x14ac:dyDescent="0.25">
      <c r="A30402" t="s">
        <v>347</v>
      </c>
      <c r="B30402" s="1" t="str">
        <f>HYPERLINK("http://shell.com.co","shell.com.co")</f>
        <v>shell.com.co</v>
      </c>
      <c r="C30402" t="s">
        <v>432</v>
      </c>
      <c r="F30402">
        <v>3.8290053010660797E-8</v>
      </c>
      <c r="G30402">
        <v>1352015</v>
      </c>
      <c r="H30402">
        <v>13037543</v>
      </c>
      <c r="I30402">
        <v>12632846</v>
      </c>
      <c r="J30402">
        <v>2</v>
      </c>
    </row>
    <row r="30403" spans="1:10" x14ac:dyDescent="0.25">
      <c r="A30403" t="s">
        <v>347</v>
      </c>
      <c r="B30403" s="1" t="str">
        <f>HYPERLINK("http://aeraenergy.com","aeraenergy.com")</f>
        <v>aeraenergy.com</v>
      </c>
      <c r="C30403" t="s">
        <v>433</v>
      </c>
      <c r="E30403">
        <v>723781</v>
      </c>
      <c r="F30403">
        <v>4.8111587360433998E-8</v>
      </c>
      <c r="G30403">
        <v>965959</v>
      </c>
      <c r="H30403">
        <v>14229477</v>
      </c>
      <c r="I30403">
        <v>1675345</v>
      </c>
      <c r="J30403">
        <v>3</v>
      </c>
    </row>
    <row r="30404" spans="1:10" x14ac:dyDescent="0.25">
      <c r="A30404" t="s">
        <v>347</v>
      </c>
      <c r="B30404" s="1" t="str">
        <f>HYPERLINK("http://bg-group.com","bg-group.com")</f>
        <v>bg-group.com</v>
      </c>
      <c r="C30404" t="s">
        <v>433</v>
      </c>
      <c r="E30404">
        <v>512465</v>
      </c>
      <c r="F30404">
        <v>1.2642587154598601E-7</v>
      </c>
      <c r="G30404">
        <v>311925</v>
      </c>
      <c r="H30404">
        <v>17161952</v>
      </c>
      <c r="I30404">
        <v>49532</v>
      </c>
      <c r="J30404">
        <v>3</v>
      </c>
    </row>
    <row r="30405" spans="1:10" x14ac:dyDescent="0.25">
      <c r="A30405" t="s">
        <v>347</v>
      </c>
      <c r="B30405" s="1" t="str">
        <f>HYPERLINK("http://blueashshell.com","blueashshell.com")</f>
        <v>blueashshell.com</v>
      </c>
      <c r="C30405" t="s">
        <v>433</v>
      </c>
      <c r="F30405">
        <v>4.90819786413879E-9</v>
      </c>
      <c r="G30405">
        <v>32229321</v>
      </c>
      <c r="H30405">
        <v>10617789</v>
      </c>
      <c r="I30405">
        <v>44348251</v>
      </c>
      <c r="J30405">
        <v>3</v>
      </c>
    </row>
    <row r="30406" spans="1:10" x14ac:dyDescent="0.25">
      <c r="A30406" t="s">
        <v>347</v>
      </c>
      <c r="B30406" s="1" t="str">
        <f>HYPERLINK("http://colesexpress.com","colesexpress.com")</f>
        <v>colesexpress.com</v>
      </c>
      <c r="C30406" t="s">
        <v>433</v>
      </c>
      <c r="J30406">
        <v>4</v>
      </c>
    </row>
    <row r="30407" spans="1:10" x14ac:dyDescent="0.25">
      <c r="A30407" t="s">
        <v>347</v>
      </c>
      <c r="B30407" s="1" t="str">
        <f>HYPERLINK("http://cri-catalysts.com","cri-catalysts.com")</f>
        <v>cri-catalysts.com</v>
      </c>
      <c r="C30407" t="s">
        <v>433</v>
      </c>
      <c r="F30407">
        <v>4.47934993684275E-9</v>
      </c>
      <c r="G30407">
        <v>62491000</v>
      </c>
      <c r="H30407">
        <v>10885185</v>
      </c>
      <c r="I30407">
        <v>36236975</v>
      </c>
      <c r="J30407">
        <v>3</v>
      </c>
    </row>
    <row r="30408" spans="1:10" x14ac:dyDescent="0.25">
      <c r="A30408" t="s">
        <v>347</v>
      </c>
      <c r="B30408" s="1" t="str">
        <f>HYPERLINK("http://cricatalyst.com","cricatalyst.com")</f>
        <v>cricatalyst.com</v>
      </c>
      <c r="C30408" t="s">
        <v>433</v>
      </c>
      <c r="F30408">
        <v>1.3390439701086301E-8</v>
      </c>
      <c r="G30408">
        <v>4451960</v>
      </c>
      <c r="H30408">
        <v>13951675</v>
      </c>
      <c r="I30408">
        <v>4162736</v>
      </c>
      <c r="J30408">
        <v>3</v>
      </c>
    </row>
    <row r="30409" spans="1:10" x14ac:dyDescent="0.25">
      <c r="A30409" t="s">
        <v>347</v>
      </c>
      <c r="B30409" s="1" t="str">
        <f>HYPERLINK("http://criterioncatalysts.com","criterioncatalysts.com")</f>
        <v>criterioncatalysts.com</v>
      </c>
      <c r="C30409" t="s">
        <v>433</v>
      </c>
      <c r="F30409">
        <v>1.22896746529153E-8</v>
      </c>
      <c r="G30409">
        <v>4999872</v>
      </c>
      <c r="H30409">
        <v>14315557</v>
      </c>
      <c r="I30409">
        <v>1335973</v>
      </c>
      <c r="J30409">
        <v>4</v>
      </c>
    </row>
    <row r="30410" spans="1:10" x14ac:dyDescent="0.25">
      <c r="A30410" t="s">
        <v>347</v>
      </c>
      <c r="B30410" s="1" t="str">
        <f>HYPERLINK("http://dashin.com","dashin.com")</f>
        <v>dashin.com</v>
      </c>
      <c r="C30410" t="s">
        <v>433</v>
      </c>
      <c r="F30410">
        <v>1.6408343199338101E-8</v>
      </c>
      <c r="G30410">
        <v>3444205</v>
      </c>
      <c r="H30410">
        <v>12730688</v>
      </c>
      <c r="I30410">
        <v>15194627</v>
      </c>
      <c r="J30410">
        <v>4</v>
      </c>
    </row>
    <row r="30411" spans="1:10" x14ac:dyDescent="0.25">
      <c r="A30411" t="s">
        <v>347</v>
      </c>
      <c r="B30411" s="1" t="str">
        <f>HYPERLINK("http://dashinfoodstores.com","dashinfoodstores.com")</f>
        <v>dashinfoodstores.com</v>
      </c>
      <c r="C30411" t="s">
        <v>433</v>
      </c>
      <c r="F30411">
        <v>5.11031373458874E-9</v>
      </c>
      <c r="G30411">
        <v>26846932</v>
      </c>
      <c r="H30411">
        <v>12325058</v>
      </c>
      <c r="I30411">
        <v>20323677</v>
      </c>
      <c r="J30411">
        <v>7</v>
      </c>
    </row>
    <row r="30412" spans="1:10" x14ac:dyDescent="0.25">
      <c r="A30412" t="s">
        <v>347</v>
      </c>
      <c r="B30412" s="1" t="str">
        <f>HYPERLINK("http://ecooils-kcg.com","ecooils-kcg.com")</f>
        <v>ecooils-kcg.com</v>
      </c>
      <c r="C30412" t="s">
        <v>433</v>
      </c>
      <c r="F30412">
        <v>8.2509995375976605E-9</v>
      </c>
      <c r="G30412">
        <v>9375141</v>
      </c>
      <c r="H30412">
        <v>12439834</v>
      </c>
      <c r="I30412">
        <v>18146871</v>
      </c>
      <c r="J30412">
        <v>3</v>
      </c>
    </row>
    <row r="30413" spans="1:10" x14ac:dyDescent="0.25">
      <c r="A30413" t="s">
        <v>347</v>
      </c>
      <c r="B30413" s="1" t="str">
        <f>HYPERLINK("http://eolfi.com","eolfi.com")</f>
        <v>eolfi.com</v>
      </c>
      <c r="C30413" t="s">
        <v>433</v>
      </c>
      <c r="F30413">
        <v>2.6916753385405499E-8</v>
      </c>
      <c r="G30413">
        <v>1910973</v>
      </c>
      <c r="H30413">
        <v>13247972</v>
      </c>
      <c r="I30413">
        <v>11098853</v>
      </c>
      <c r="J30413">
        <v>3</v>
      </c>
    </row>
    <row r="30414" spans="1:10" x14ac:dyDescent="0.25">
      <c r="A30414" t="s">
        <v>347</v>
      </c>
      <c r="B30414" s="1" t="str">
        <f>HYPERLINK("http://erniesshellservice.com","erniesshellservice.com")</f>
        <v>erniesshellservice.com</v>
      </c>
      <c r="C30414" t="s">
        <v>433</v>
      </c>
      <c r="F30414">
        <v>4.8703648664593097E-9</v>
      </c>
      <c r="G30414">
        <v>33390516</v>
      </c>
      <c r="H30414">
        <v>6580890</v>
      </c>
      <c r="I30414">
        <v>77287349</v>
      </c>
      <c r="J30414">
        <v>4</v>
      </c>
    </row>
    <row r="30415" spans="1:10" x14ac:dyDescent="0.25">
      <c r="A30415" t="s">
        <v>347</v>
      </c>
      <c r="B30415" s="1" t="str">
        <f>HYPERLINK("http://gasterra.com","gasterra.com")</f>
        <v>gasterra.com</v>
      </c>
      <c r="C30415" t="s">
        <v>433</v>
      </c>
      <c r="F30415">
        <v>6.1365661888933298E-9</v>
      </c>
      <c r="G30415">
        <v>15880148</v>
      </c>
      <c r="H30415">
        <v>13411004</v>
      </c>
      <c r="I30415">
        <v>10334387</v>
      </c>
      <c r="J30415">
        <v>3</v>
      </c>
    </row>
    <row r="30416" spans="1:10" x14ac:dyDescent="0.25">
      <c r="A30416" t="s">
        <v>347</v>
      </c>
      <c r="B30416" s="1" t="str">
        <f>HYPERLINK("http://gatewayshellandservicecenter.com","gatewayshellandservicecenter.com")</f>
        <v>gatewayshellandservicecenter.com</v>
      </c>
      <c r="C30416" t="s">
        <v>433</v>
      </c>
      <c r="F30416">
        <v>4.56900420230107E-9</v>
      </c>
      <c r="G30416">
        <v>50283954</v>
      </c>
      <c r="H30416">
        <v>12254400</v>
      </c>
      <c r="I30416">
        <v>21911474</v>
      </c>
      <c r="J30416">
        <v>4</v>
      </c>
    </row>
    <row r="30417" spans="1:10" x14ac:dyDescent="0.25">
      <c r="A30417" t="s">
        <v>347</v>
      </c>
      <c r="B30417" s="1" t="str">
        <f>HYPERLINK("http://greenlots.com","greenlots.com")</f>
        <v>greenlots.com</v>
      </c>
      <c r="C30417" t="s">
        <v>433</v>
      </c>
      <c r="E30417">
        <v>812122</v>
      </c>
      <c r="F30417">
        <v>1.06541772059134E-7</v>
      </c>
      <c r="G30417">
        <v>375814</v>
      </c>
      <c r="H30417">
        <v>14011722</v>
      </c>
      <c r="I30417">
        <v>4000070</v>
      </c>
      <c r="J30417">
        <v>3</v>
      </c>
    </row>
    <row r="30418" spans="1:10" x14ac:dyDescent="0.25">
      <c r="A30418" t="s">
        <v>347</v>
      </c>
      <c r="B30418" s="1" t="str">
        <f>HYPERLINK("http://hatirlipetrol.com","hatirlipetrol.com")</f>
        <v>hatirlipetrol.com</v>
      </c>
      <c r="C30418" t="s">
        <v>433</v>
      </c>
      <c r="F30418">
        <v>4.8294637271051804E-9</v>
      </c>
      <c r="G30418">
        <v>34863874</v>
      </c>
      <c r="H30418">
        <v>7086437.5</v>
      </c>
      <c r="I30418">
        <v>76670492</v>
      </c>
      <c r="J30418">
        <v>3</v>
      </c>
    </row>
    <row r="30419" spans="1:10" x14ac:dyDescent="0.25">
      <c r="A30419" t="s">
        <v>347</v>
      </c>
      <c r="B30419" s="1" t="str">
        <f>HYPERLINK("http://haziralngandport.com","haziralngandport.com")</f>
        <v>haziralngandport.com</v>
      </c>
      <c r="C30419" t="s">
        <v>433</v>
      </c>
      <c r="F30419">
        <v>8.6470330696935799E-9</v>
      </c>
      <c r="G30419">
        <v>8571827</v>
      </c>
      <c r="H30419">
        <v>10779411</v>
      </c>
      <c r="I30419">
        <v>38951096</v>
      </c>
      <c r="J30419">
        <v>3</v>
      </c>
    </row>
    <row r="30420" spans="1:10" x14ac:dyDescent="0.25">
      <c r="A30420" t="s">
        <v>347</v>
      </c>
      <c r="B30420" s="1" t="str">
        <f>HYPERLINK("http://hell.com","hell.com")</f>
        <v>hell.com</v>
      </c>
      <c r="C30420" t="s">
        <v>433</v>
      </c>
      <c r="E30420">
        <v>574989</v>
      </c>
      <c r="F30420">
        <v>3.0283040159227603E-8</v>
      </c>
      <c r="G30420">
        <v>1699699</v>
      </c>
      <c r="H30420">
        <v>14156389</v>
      </c>
      <c r="I30420">
        <v>1853903</v>
      </c>
      <c r="J30420">
        <v>5</v>
      </c>
    </row>
    <row r="30421" spans="1:10" x14ac:dyDescent="0.25">
      <c r="A30421" t="s">
        <v>347</v>
      </c>
      <c r="B30421" s="1" t="str">
        <f>HYPERLINK("http://hellmexico.com","hellmexico.com")</f>
        <v>hellmexico.com</v>
      </c>
      <c r="C30421" t="s">
        <v>433</v>
      </c>
      <c r="J30421">
        <v>5</v>
      </c>
    </row>
    <row r="30422" spans="1:10" x14ac:dyDescent="0.25">
      <c r="A30422" t="s">
        <v>347</v>
      </c>
      <c r="B30422" s="1" t="str">
        <f>HYPERLINK("http://infineum.com","infineum.com")</f>
        <v>infineum.com</v>
      </c>
      <c r="C30422" t="s">
        <v>433</v>
      </c>
      <c r="E30422">
        <v>613255</v>
      </c>
      <c r="F30422">
        <v>6.6863990181708895E-8</v>
      </c>
      <c r="G30422">
        <v>640055</v>
      </c>
      <c r="H30422">
        <v>14519249</v>
      </c>
      <c r="I30422">
        <v>806860</v>
      </c>
      <c r="J30422">
        <v>6</v>
      </c>
    </row>
    <row r="30423" spans="1:10" x14ac:dyDescent="0.25">
      <c r="A30423" t="s">
        <v>347</v>
      </c>
      <c r="B30423" s="1" t="str">
        <f>HYPERLINK("http://inspirecleanenergy.com","inspirecleanenergy.com")</f>
        <v>inspirecleanenergy.com</v>
      </c>
      <c r="C30423" t="s">
        <v>433</v>
      </c>
      <c r="E30423">
        <v>274550</v>
      </c>
      <c r="F30423">
        <v>7.6552017449167296E-8</v>
      </c>
      <c r="G30423">
        <v>547816</v>
      </c>
      <c r="H30423">
        <v>14065748</v>
      </c>
      <c r="I30423">
        <v>3736231</v>
      </c>
      <c r="J30423">
        <v>4</v>
      </c>
    </row>
    <row r="30424" spans="1:10" x14ac:dyDescent="0.25">
      <c r="A30424" t="s">
        <v>347</v>
      </c>
      <c r="B30424" s="1" t="str">
        <f>HYPERLINK("http://inspireenergy.com","inspireenergy.com")</f>
        <v>inspireenergy.com</v>
      </c>
      <c r="C30424" t="s">
        <v>433</v>
      </c>
      <c r="F30424">
        <v>1.21467935141804E-8</v>
      </c>
      <c r="G30424">
        <v>5081434</v>
      </c>
      <c r="H30424">
        <v>13033057</v>
      </c>
      <c r="I30424">
        <v>12656091</v>
      </c>
      <c r="J30424">
        <v>7</v>
      </c>
    </row>
    <row r="30425" spans="1:10" x14ac:dyDescent="0.25">
      <c r="A30425" t="s">
        <v>347</v>
      </c>
      <c r="B30425" s="1" t="str">
        <f>HYPERLINK("http://jiffylube.com","jiffylube.com")</f>
        <v>jiffylube.com</v>
      </c>
      <c r="C30425" t="s">
        <v>433</v>
      </c>
      <c r="E30425">
        <v>81366</v>
      </c>
      <c r="F30425">
        <v>1.8269294176834299E-6</v>
      </c>
      <c r="G30425">
        <v>20714</v>
      </c>
      <c r="H30425">
        <v>14634775</v>
      </c>
      <c r="I30425">
        <v>641565</v>
      </c>
      <c r="J30425">
        <v>3</v>
      </c>
    </row>
    <row r="30426" spans="1:10" x14ac:dyDescent="0.25">
      <c r="A30426" t="s">
        <v>347</v>
      </c>
      <c r="B30426" s="1" t="str">
        <f>HYPERLINK("http://jiffylubegfl.com","jiffylubegfl.com")</f>
        <v>jiffylubegfl.com</v>
      </c>
      <c r="C30426" t="s">
        <v>433</v>
      </c>
      <c r="F30426">
        <v>1.1196111377829199E-8</v>
      </c>
      <c r="G30426">
        <v>5715839</v>
      </c>
      <c r="H30426">
        <v>12984721</v>
      </c>
      <c r="I30426">
        <v>12908435</v>
      </c>
      <c r="J30426">
        <v>4</v>
      </c>
    </row>
    <row r="30427" spans="1:10" x14ac:dyDescent="0.25">
      <c r="A30427" t="s">
        <v>347</v>
      </c>
      <c r="B30427" s="1" t="str">
        <f>HYPERLINK("http://jiffylubeindiana.com","jiffylubeindiana.com")</f>
        <v>jiffylubeindiana.com</v>
      </c>
      <c r="C30427" t="s">
        <v>433</v>
      </c>
      <c r="F30427">
        <v>1.3716514629877499E-8</v>
      </c>
      <c r="G30427">
        <v>4314539</v>
      </c>
      <c r="H30427">
        <v>13356071</v>
      </c>
      <c r="I30427">
        <v>10598476</v>
      </c>
      <c r="J30427">
        <v>4</v>
      </c>
    </row>
    <row r="30428" spans="1:10" x14ac:dyDescent="0.25">
      <c r="A30428" t="s">
        <v>347</v>
      </c>
      <c r="B30428" s="1" t="str">
        <f>HYPERLINK("http://jiffylubeontario.com","jiffylubeontario.com")</f>
        <v>jiffylubeontario.com</v>
      </c>
      <c r="C30428" t="s">
        <v>433</v>
      </c>
      <c r="F30428">
        <v>2.3438528559659001E-8</v>
      </c>
      <c r="G30428">
        <v>2221378</v>
      </c>
      <c r="H30428">
        <v>13494007</v>
      </c>
      <c r="I30428">
        <v>9981789</v>
      </c>
      <c r="J30428">
        <v>4</v>
      </c>
    </row>
    <row r="30429" spans="1:10" x14ac:dyDescent="0.25">
      <c r="A30429" t="s">
        <v>347</v>
      </c>
      <c r="B30429" s="1" t="str">
        <f>HYPERLINK("http://jiffylubeoregon.com","jiffylubeoregon.com")</f>
        <v>jiffylubeoregon.com</v>
      </c>
      <c r="C30429" t="s">
        <v>433</v>
      </c>
      <c r="F30429">
        <v>1.08069115183329E-8</v>
      </c>
      <c r="G30429">
        <v>6015203</v>
      </c>
      <c r="H30429">
        <v>12524332</v>
      </c>
      <c r="I30429">
        <v>17108071</v>
      </c>
      <c r="J30429">
        <v>4</v>
      </c>
    </row>
    <row r="30430" spans="1:10" x14ac:dyDescent="0.25">
      <c r="A30430" t="s">
        <v>347</v>
      </c>
      <c r="B30430" s="1" t="str">
        <f>HYPERLINK("http://jiffylubesocal.com","jiffylubesocal.com")</f>
        <v>jiffylubesocal.com</v>
      </c>
      <c r="C30430" t="s">
        <v>433</v>
      </c>
      <c r="F30430">
        <v>1.9633520159962799E-8</v>
      </c>
      <c r="G30430">
        <v>2722040</v>
      </c>
      <c r="H30430">
        <v>13399042</v>
      </c>
      <c r="I30430">
        <v>10370143</v>
      </c>
      <c r="J30430">
        <v>4</v>
      </c>
    </row>
    <row r="30431" spans="1:10" x14ac:dyDescent="0.25">
      <c r="A30431" t="s">
        <v>347</v>
      </c>
      <c r="B30431" s="1" t="str">
        <f>HYPERLINK("http://limejump.com","limejump.com")</f>
        <v>limejump.com</v>
      </c>
      <c r="C30431" t="s">
        <v>433</v>
      </c>
      <c r="F30431">
        <v>5.3654097385801703E-8</v>
      </c>
      <c r="G30431">
        <v>847494</v>
      </c>
      <c r="H30431">
        <v>14454302</v>
      </c>
      <c r="I30431">
        <v>1050561</v>
      </c>
      <c r="J30431">
        <v>2</v>
      </c>
    </row>
    <row r="30432" spans="1:10" x14ac:dyDescent="0.25">
      <c r="A30432" t="s">
        <v>347</v>
      </c>
      <c r="B30432" s="1" t="str">
        <f>HYPERLINK("http://lucorjiffylube.com","lucorjiffylube.com")</f>
        <v>lucorjiffylube.com</v>
      </c>
      <c r="C30432" t="s">
        <v>433</v>
      </c>
      <c r="F30432">
        <v>4.8449261884956698E-9</v>
      </c>
      <c r="G30432">
        <v>34311005</v>
      </c>
      <c r="H30432">
        <v>12371484</v>
      </c>
      <c r="I30432">
        <v>19382292</v>
      </c>
      <c r="J30432">
        <v>4</v>
      </c>
    </row>
    <row r="30433" spans="1:10" x14ac:dyDescent="0.25">
      <c r="A30433" t="s">
        <v>347</v>
      </c>
      <c r="B30433" s="1" t="str">
        <f>HYPERLINK("http://machinemax.com","machinemax.com")</f>
        <v>machinemax.com</v>
      </c>
      <c r="C30433" t="s">
        <v>433</v>
      </c>
      <c r="F30433">
        <v>7.7333542168037297E-8</v>
      </c>
      <c r="G30433">
        <v>541454</v>
      </c>
      <c r="H30433">
        <v>16762772</v>
      </c>
      <c r="I30433">
        <v>226938</v>
      </c>
      <c r="J30433">
        <v>3</v>
      </c>
    </row>
    <row r="30434" spans="1:10" x14ac:dyDescent="0.25">
      <c r="A30434" t="s">
        <v>347</v>
      </c>
      <c r="B30434" s="1" t="str">
        <f>HYPERLINK("http://mayflowerwind.com","mayflowerwind.com")</f>
        <v>mayflowerwind.com</v>
      </c>
      <c r="C30434" t="s">
        <v>433</v>
      </c>
      <c r="F30434">
        <v>4.6356082232372102E-8</v>
      </c>
      <c r="G30434">
        <v>1009568</v>
      </c>
      <c r="H30434">
        <v>13806924</v>
      </c>
      <c r="I30434">
        <v>6228913</v>
      </c>
      <c r="J30434">
        <v>4</v>
      </c>
    </row>
    <row r="30435" spans="1:10" x14ac:dyDescent="0.25">
      <c r="A30435" t="s">
        <v>347</v>
      </c>
      <c r="B30435" s="1" t="str">
        <f>HYPERLINK("http://mirantegency.com","mirantegency.com")</f>
        <v>mirantegency.com</v>
      </c>
      <c r="C30435" t="s">
        <v>433</v>
      </c>
      <c r="J30435">
        <v>3</v>
      </c>
    </row>
    <row r="30436" spans="1:10" x14ac:dyDescent="0.25">
      <c r="A30436" t="s">
        <v>347</v>
      </c>
      <c r="B30436" s="1" t="str">
        <f>HYPERLINK("http://motiva.com","motiva.com")</f>
        <v>motiva.com</v>
      </c>
      <c r="C30436" t="s">
        <v>433</v>
      </c>
      <c r="E30436">
        <v>785399</v>
      </c>
      <c r="F30436">
        <v>6.3736345669741305E-8</v>
      </c>
      <c r="G30436">
        <v>680840</v>
      </c>
      <c r="H30436">
        <v>14514414</v>
      </c>
      <c r="I30436">
        <v>815292</v>
      </c>
      <c r="J30436">
        <v>3</v>
      </c>
    </row>
    <row r="30437" spans="1:10" x14ac:dyDescent="0.25">
      <c r="A30437" t="s">
        <v>347</v>
      </c>
      <c r="B30437" s="1" t="str">
        <f>HYPERLINK("http://mp2energy.com","mp2energy.com")</f>
        <v>mp2energy.com</v>
      </c>
      <c r="C30437" t="s">
        <v>433</v>
      </c>
      <c r="F30437">
        <v>3.7212683890299303E-8</v>
      </c>
      <c r="G30437">
        <v>1391910</v>
      </c>
      <c r="H30437">
        <v>13417164</v>
      </c>
      <c r="I30437">
        <v>10311376</v>
      </c>
      <c r="J30437">
        <v>3</v>
      </c>
    </row>
    <row r="30438" spans="1:10" x14ac:dyDescent="0.25">
      <c r="A30438" t="s">
        <v>347</v>
      </c>
      <c r="B30438" s="1" t="str">
        <f>HYPERLINK("http://myjiffy.com","myjiffy.com")</f>
        <v>myjiffy.com</v>
      </c>
      <c r="C30438" t="s">
        <v>433</v>
      </c>
      <c r="F30438">
        <v>5.48129718044493E-9</v>
      </c>
      <c r="G30438">
        <v>21113058</v>
      </c>
      <c r="H30438">
        <v>12670950</v>
      </c>
      <c r="I30438">
        <v>15611664</v>
      </c>
      <c r="J30438">
        <v>4</v>
      </c>
    </row>
    <row r="30439" spans="1:10" x14ac:dyDescent="0.25">
      <c r="A30439" t="s">
        <v>347</v>
      </c>
      <c r="B30439" s="1" t="str">
        <f>HYPERLINK("http://mymilesmatter.com","mymilesmatter.com")</f>
        <v>mymilesmatter.com</v>
      </c>
      <c r="C30439" t="s">
        <v>433</v>
      </c>
      <c r="F30439">
        <v>1.21333948268388E-8</v>
      </c>
      <c r="G30439">
        <v>5089384</v>
      </c>
      <c r="H30439">
        <v>12480378</v>
      </c>
      <c r="I30439">
        <v>17594783</v>
      </c>
      <c r="J30439">
        <v>3</v>
      </c>
    </row>
    <row r="30440" spans="1:10" x14ac:dyDescent="0.25">
      <c r="A30440" t="s">
        <v>347</v>
      </c>
      <c r="B30440" s="1" t="str">
        <f>HYPERLINK("http://newmotion.com","newmotion.com")</f>
        <v>newmotion.com</v>
      </c>
      <c r="C30440" t="s">
        <v>433</v>
      </c>
      <c r="E30440">
        <v>161371</v>
      </c>
      <c r="F30440">
        <v>3.6036209432008899E-7</v>
      </c>
      <c r="G30440">
        <v>103745</v>
      </c>
      <c r="H30440">
        <v>16864154</v>
      </c>
      <c r="I30440">
        <v>154602</v>
      </c>
      <c r="J30440">
        <v>3</v>
      </c>
    </row>
    <row r="30441" spans="1:10" x14ac:dyDescent="0.25">
      <c r="A30441" t="s">
        <v>347</v>
      </c>
      <c r="B30441" s="1" t="str">
        <f>HYPERLINK("http://next-kraftwerke.com","next-kraftwerke.com")</f>
        <v>next-kraftwerke.com</v>
      </c>
      <c r="C30441" t="s">
        <v>433</v>
      </c>
      <c r="F30441">
        <v>6.6626310361138694E-8</v>
      </c>
      <c r="G30441">
        <v>642806</v>
      </c>
      <c r="H30441">
        <v>14731363</v>
      </c>
      <c r="I30441">
        <v>571770</v>
      </c>
      <c r="J30441">
        <v>3</v>
      </c>
    </row>
    <row r="30442" spans="1:10" x14ac:dyDescent="0.25">
      <c r="A30442" t="s">
        <v>347</v>
      </c>
      <c r="B30442" s="1" t="str">
        <f>HYPERLINK("http://nyackshell.com","nyackshell.com")</f>
        <v>nyackshell.com</v>
      </c>
      <c r="C30442" t="s">
        <v>433</v>
      </c>
      <c r="F30442">
        <v>4.6333816429471902E-9</v>
      </c>
      <c r="G30442">
        <v>45204413</v>
      </c>
      <c r="H30442">
        <v>11141678</v>
      </c>
      <c r="I30442">
        <v>31819696</v>
      </c>
      <c r="J30442">
        <v>4</v>
      </c>
    </row>
    <row r="30443" spans="1:10" x14ac:dyDescent="0.25">
      <c r="A30443" t="s">
        <v>347</v>
      </c>
      <c r="B30443" s="1" t="str">
        <f>HYPERLINK("http://oberscheider-carworld.com","oberscheider-carworld.com")</f>
        <v>oberscheider-carworld.com</v>
      </c>
      <c r="C30443" t="s">
        <v>433</v>
      </c>
      <c r="F30443">
        <v>7.5015297124371706E-9</v>
      </c>
      <c r="G30443">
        <v>11010384</v>
      </c>
      <c r="H30443">
        <v>11940700</v>
      </c>
      <c r="I30443">
        <v>29194387</v>
      </c>
      <c r="J30443">
        <v>4</v>
      </c>
    </row>
    <row r="30444" spans="1:10" x14ac:dyDescent="0.25">
      <c r="A30444" t="s">
        <v>347</v>
      </c>
      <c r="B30444" s="1" t="str">
        <f>HYPERLINK("http://omanlng.com","omanlng.com")</f>
        <v>omanlng.com</v>
      </c>
      <c r="C30444" t="s">
        <v>433</v>
      </c>
      <c r="F30444">
        <v>1.27578629195438E-8</v>
      </c>
      <c r="G30444">
        <v>4750642</v>
      </c>
      <c r="H30444">
        <v>14485999</v>
      </c>
      <c r="I30444">
        <v>975859</v>
      </c>
      <c r="J30444">
        <v>3</v>
      </c>
    </row>
    <row r="30445" spans="1:10" x14ac:dyDescent="0.25">
      <c r="A30445" t="s">
        <v>347</v>
      </c>
      <c r="B30445" s="1" t="str">
        <f>HYPERLINK("http://pennzoil.com","pennzoil.com")</f>
        <v>pennzoil.com</v>
      </c>
      <c r="C30445" t="s">
        <v>433</v>
      </c>
      <c r="E30445">
        <v>206504</v>
      </c>
      <c r="F30445">
        <v>3.2107144030661802E-7</v>
      </c>
      <c r="G30445">
        <v>115885</v>
      </c>
      <c r="H30445">
        <v>15010021</v>
      </c>
      <c r="I30445">
        <v>423355</v>
      </c>
      <c r="J30445">
        <v>3</v>
      </c>
    </row>
    <row r="30446" spans="1:10" x14ac:dyDescent="0.25">
      <c r="A30446" t="s">
        <v>347</v>
      </c>
      <c r="B30446" s="1" t="str">
        <f>HYPERLINK("http://portlandjiffylube.com","portlandjiffylube.com")</f>
        <v>portlandjiffylube.com</v>
      </c>
      <c r="C30446" t="s">
        <v>433</v>
      </c>
      <c r="F30446">
        <v>4.8426558991020196E-9</v>
      </c>
      <c r="G30446">
        <v>34386993</v>
      </c>
      <c r="H30446">
        <v>12516498</v>
      </c>
      <c r="I30446">
        <v>17181916</v>
      </c>
      <c r="J30446">
        <v>4</v>
      </c>
    </row>
    <row r="30447" spans="1:10" x14ac:dyDescent="0.25">
      <c r="A30447" t="s">
        <v>347</v>
      </c>
      <c r="B30447" s="1" t="str">
        <f>HYPERLINK("http://postorecanto.com","postorecanto.com")</f>
        <v>postorecanto.com</v>
      </c>
      <c r="C30447" t="s">
        <v>433</v>
      </c>
      <c r="J30447">
        <v>4</v>
      </c>
    </row>
    <row r="30448" spans="1:10" x14ac:dyDescent="0.25">
      <c r="A30448" t="s">
        <v>347</v>
      </c>
      <c r="B30448" s="1" t="str">
        <f>HYPERLINK("http://quakerstate.com","quakerstate.com")</f>
        <v>quakerstate.com</v>
      </c>
      <c r="C30448" t="s">
        <v>433</v>
      </c>
      <c r="E30448">
        <v>734984</v>
      </c>
      <c r="F30448">
        <v>4.56099379032285E-8</v>
      </c>
      <c r="G30448">
        <v>1031433</v>
      </c>
      <c r="H30448">
        <v>14253270</v>
      </c>
      <c r="I30448">
        <v>1439393</v>
      </c>
      <c r="J30448">
        <v>4</v>
      </c>
    </row>
    <row r="30449" spans="1:10" x14ac:dyDescent="0.25">
      <c r="A30449" t="s">
        <v>347</v>
      </c>
      <c r="B30449" s="1" t="str">
        <f>HYPERLINK("http://roadrunnermarkets.com","roadrunnermarkets.com")</f>
        <v>roadrunnermarkets.com</v>
      </c>
      <c r="C30449" t="s">
        <v>433</v>
      </c>
      <c r="F30449">
        <v>4.85745930091388E-9</v>
      </c>
      <c r="G30449">
        <v>33894704</v>
      </c>
      <c r="H30449">
        <v>11220692</v>
      </c>
      <c r="I30449">
        <v>31086706</v>
      </c>
      <c r="J30449">
        <v>3</v>
      </c>
    </row>
    <row r="30450" spans="1:10" x14ac:dyDescent="0.25">
      <c r="A30450" t="s">
        <v>347</v>
      </c>
      <c r="B30450" s="1" t="str">
        <f>HYPERLINK("http://salympetroleum.com","salympetroleum.com")</f>
        <v>salympetroleum.com</v>
      </c>
      <c r="C30450" t="s">
        <v>433</v>
      </c>
      <c r="F30450">
        <v>9.8469746901947505E-9</v>
      </c>
      <c r="G30450">
        <v>6919279</v>
      </c>
      <c r="H30450">
        <v>13810838</v>
      </c>
      <c r="I30450">
        <v>6210084</v>
      </c>
      <c r="J30450">
        <v>3</v>
      </c>
    </row>
    <row r="30451" spans="1:10" x14ac:dyDescent="0.25">
      <c r="A30451" t="s">
        <v>347</v>
      </c>
      <c r="B30451" s="1" t="str">
        <f>HYPERLINK("http://savionenergy.com","savionenergy.com")</f>
        <v>savionenergy.com</v>
      </c>
      <c r="C30451" t="s">
        <v>433</v>
      </c>
      <c r="F30451">
        <v>4.1859220560131997E-8</v>
      </c>
      <c r="G30451">
        <v>1174630</v>
      </c>
      <c r="H30451">
        <v>13469204</v>
      </c>
      <c r="I30451">
        <v>10041148</v>
      </c>
      <c r="J30451">
        <v>3</v>
      </c>
    </row>
    <row r="30452" spans="1:10" x14ac:dyDescent="0.25">
      <c r="A30452" t="s">
        <v>347</v>
      </c>
      <c r="B30452" s="1" t="str">
        <f>HYPERLINK("http://selectcarbon.com","selectcarbon.com")</f>
        <v>selectcarbon.com</v>
      </c>
      <c r="C30452" t="s">
        <v>433</v>
      </c>
      <c r="F30452">
        <v>8.7940984668736192E-9</v>
      </c>
      <c r="G30452">
        <v>8320330</v>
      </c>
      <c r="H30452">
        <v>12448886</v>
      </c>
      <c r="I30452">
        <v>18033313</v>
      </c>
      <c r="J30452">
        <v>3</v>
      </c>
    </row>
    <row r="30453" spans="1:10" x14ac:dyDescent="0.25">
      <c r="A30453" t="s">
        <v>347</v>
      </c>
      <c r="B30453" s="1" t="str">
        <f>HYPERLINK("http://shell.com","shell.com")</f>
        <v>shell.com</v>
      </c>
      <c r="C30453" t="s">
        <v>433</v>
      </c>
      <c r="E30453">
        <v>4613</v>
      </c>
      <c r="F30453">
        <v>5.8267577839606503E-6</v>
      </c>
      <c r="G30453">
        <v>5962</v>
      </c>
      <c r="H30453">
        <v>17751546</v>
      </c>
      <c r="I30453">
        <v>6333</v>
      </c>
      <c r="J30453">
        <v>1</v>
      </c>
    </row>
    <row r="30454" spans="1:10" x14ac:dyDescent="0.25">
      <c r="A30454" t="s">
        <v>347</v>
      </c>
      <c r="B30454" s="1" t="str">
        <f>HYPERLINK("http://shell-cafe.com","shell-cafe.com")</f>
        <v>shell-cafe.com</v>
      </c>
      <c r="C30454" t="s">
        <v>433</v>
      </c>
      <c r="J30454">
        <v>3</v>
      </c>
    </row>
    <row r="30455" spans="1:10" x14ac:dyDescent="0.25">
      <c r="A30455" t="s">
        <v>347</v>
      </c>
      <c r="B30455" s="1" t="str">
        <f>HYPERLINK("http://shell-moh.com","shell-moh.com")</f>
        <v>shell-moh.com</v>
      </c>
      <c r="C30455" t="s">
        <v>433</v>
      </c>
      <c r="F30455">
        <v>7.6132631580973707E-9</v>
      </c>
      <c r="G30455">
        <v>10767082</v>
      </c>
      <c r="H30455">
        <v>12629398</v>
      </c>
      <c r="I30455">
        <v>15994983</v>
      </c>
      <c r="J30455">
        <v>4</v>
      </c>
    </row>
    <row r="30456" spans="1:10" x14ac:dyDescent="0.25">
      <c r="A30456" t="s">
        <v>347</v>
      </c>
      <c r="B30456" s="1" t="str">
        <f>HYPERLINK("http://shellchemicals.com","shellchemicals.com")</f>
        <v>shellchemicals.com</v>
      </c>
      <c r="C30456" t="s">
        <v>433</v>
      </c>
      <c r="F30456">
        <v>2.0749282956229301E-8</v>
      </c>
      <c r="G30456">
        <v>2549989</v>
      </c>
      <c r="H30456">
        <v>14439175</v>
      </c>
      <c r="I30456">
        <v>1065425</v>
      </c>
      <c r="J30456">
        <v>3</v>
      </c>
    </row>
    <row r="30457" spans="1:10" x14ac:dyDescent="0.25">
      <c r="A30457" t="s">
        <v>347</v>
      </c>
      <c r="B30457" s="1" t="str">
        <f>HYPERLINK("http://shellcoloniamarina.com","shellcoloniamarina.com")</f>
        <v>shellcoloniamarina.com</v>
      </c>
      <c r="C30457" t="s">
        <v>433</v>
      </c>
      <c r="J30457">
        <v>3</v>
      </c>
    </row>
    <row r="30458" spans="1:10" x14ac:dyDescent="0.25">
      <c r="A30458" t="s">
        <v>347</v>
      </c>
      <c r="B30458" s="1" t="str">
        <f>HYPERLINK("http://shellrecharge.com","shellrecharge.com")</f>
        <v>shellrecharge.com</v>
      </c>
      <c r="C30458" t="s">
        <v>433</v>
      </c>
      <c r="E30458">
        <v>140049</v>
      </c>
      <c r="F30458">
        <v>2.9742359568437201E-7</v>
      </c>
      <c r="G30458">
        <v>125041</v>
      </c>
      <c r="H30458">
        <v>16846998</v>
      </c>
      <c r="I30458">
        <v>158726</v>
      </c>
      <c r="J30458">
        <v>4</v>
      </c>
    </row>
    <row r="30459" spans="1:10" x14ac:dyDescent="0.25">
      <c r="A30459" t="s">
        <v>347</v>
      </c>
      <c r="B30459" s="1" t="str">
        <f>HYPERLINK("http://shirlingtonshell.com","shirlingtonshell.com")</f>
        <v>shirlingtonshell.com</v>
      </c>
      <c r="C30459" t="s">
        <v>433</v>
      </c>
      <c r="F30459">
        <v>4.4775563381887903E-9</v>
      </c>
      <c r="G30459">
        <v>62857565</v>
      </c>
      <c r="H30459">
        <v>10734116</v>
      </c>
      <c r="I30459">
        <v>40703794</v>
      </c>
      <c r="J30459">
        <v>4</v>
      </c>
    </row>
    <row r="30460" spans="1:10" x14ac:dyDescent="0.25">
      <c r="A30460" t="s">
        <v>347</v>
      </c>
      <c r="B30460" s="1" t="str">
        <f>HYPERLINK("http://sonnenusa.com","sonnenusa.com")</f>
        <v>sonnenusa.com</v>
      </c>
      <c r="C30460" t="s">
        <v>433</v>
      </c>
      <c r="E30460">
        <v>926599</v>
      </c>
      <c r="F30460">
        <v>1.08076672228163E-7</v>
      </c>
      <c r="G30460">
        <v>370355</v>
      </c>
      <c r="H30460">
        <v>14563308</v>
      </c>
      <c r="I30460">
        <v>742814</v>
      </c>
      <c r="J30460">
        <v>7</v>
      </c>
    </row>
    <row r="30461" spans="1:10" x14ac:dyDescent="0.25">
      <c r="A30461" t="s">
        <v>347</v>
      </c>
      <c r="B30461" s="1" t="str">
        <f>HYPERLINK("http://spgenergy.com","spgenergy.com")</f>
        <v>spgenergy.com</v>
      </c>
      <c r="C30461" t="s">
        <v>433</v>
      </c>
      <c r="F30461">
        <v>6.9921898399155003E-9</v>
      </c>
      <c r="G30461">
        <v>12334811</v>
      </c>
      <c r="H30461">
        <v>13939765</v>
      </c>
      <c r="I30461">
        <v>4384647</v>
      </c>
      <c r="J30461">
        <v>3</v>
      </c>
    </row>
    <row r="30462" spans="1:10" x14ac:dyDescent="0.25">
      <c r="A30462" t="s">
        <v>347</v>
      </c>
      <c r="B30462" s="1" t="str">
        <f>HYPERLINK("http://sprngenergy.com","sprngenergy.com")</f>
        <v>sprngenergy.com</v>
      </c>
      <c r="C30462" t="s">
        <v>433</v>
      </c>
      <c r="F30462">
        <v>1.98671428455449E-8</v>
      </c>
      <c r="G30462">
        <v>2680031</v>
      </c>
      <c r="H30462">
        <v>13261705</v>
      </c>
      <c r="I30462">
        <v>11035446</v>
      </c>
      <c r="J30462">
        <v>5</v>
      </c>
    </row>
    <row r="30463" spans="1:10" x14ac:dyDescent="0.25">
      <c r="A30463" t="s">
        <v>347</v>
      </c>
      <c r="B30463" s="1" t="str">
        <f>HYPERLINK("http://stgeorgeautorepair.com","stgeorgeautorepair.com")</f>
        <v>stgeorgeautorepair.com</v>
      </c>
      <c r="C30463" t="s">
        <v>433</v>
      </c>
      <c r="F30463">
        <v>4.4549526354630003E-9</v>
      </c>
      <c r="G30463">
        <v>69534313</v>
      </c>
      <c r="H30463">
        <v>10344066</v>
      </c>
      <c r="I30463">
        <v>57354886</v>
      </c>
      <c r="J30463">
        <v>3</v>
      </c>
    </row>
    <row r="30464" spans="1:10" x14ac:dyDescent="0.25">
      <c r="A30464" t="s">
        <v>347</v>
      </c>
      <c r="B30464" s="1" t="str">
        <f>HYPERLINK("http://truenorthstores.com","truenorthstores.com")</f>
        <v>truenorthstores.com</v>
      </c>
      <c r="C30464" t="s">
        <v>433</v>
      </c>
      <c r="F30464">
        <v>1.1041311673473599E-8</v>
      </c>
      <c r="G30464">
        <v>5828731</v>
      </c>
      <c r="H30464">
        <v>12930988</v>
      </c>
      <c r="I30464">
        <v>13363243</v>
      </c>
      <c r="J30464">
        <v>3</v>
      </c>
    </row>
    <row r="30465" spans="1:10" x14ac:dyDescent="0.25">
      <c r="A30465" t="s">
        <v>347</v>
      </c>
      <c r="B30465" s="1" t="str">
        <f>HYPERLINK("http://tubbys.com","tubbys.com")</f>
        <v>tubbys.com</v>
      </c>
      <c r="C30465" t="s">
        <v>433</v>
      </c>
      <c r="F30465">
        <v>2.1979320329262598E-8</v>
      </c>
      <c r="G30465">
        <v>2388707</v>
      </c>
      <c r="H30465">
        <v>12331242</v>
      </c>
      <c r="I30465">
        <v>20183421</v>
      </c>
      <c r="J30465">
        <v>3</v>
      </c>
    </row>
    <row r="30466" spans="1:10" x14ac:dyDescent="0.25">
      <c r="A30466" t="s">
        <v>347</v>
      </c>
      <c r="B30466" s="1" t="str">
        <f>HYPERLINK("http://tumalostore.com","tumalostore.com")</f>
        <v>tumalostore.com</v>
      </c>
      <c r="C30466" t="s">
        <v>433</v>
      </c>
      <c r="J30466">
        <v>4</v>
      </c>
    </row>
    <row r="30467" spans="1:10" x14ac:dyDescent="0.25">
      <c r="A30467" t="s">
        <v>347</v>
      </c>
      <c r="B30467" s="1" t="str">
        <f>HYPERLINK("http://ubitricity.com","ubitricity.com")</f>
        <v>ubitricity.com</v>
      </c>
      <c r="C30467" t="s">
        <v>433</v>
      </c>
      <c r="E30467">
        <v>587967</v>
      </c>
      <c r="F30467">
        <v>1.07822342796206E-7</v>
      </c>
      <c r="G30467">
        <v>371297</v>
      </c>
      <c r="H30467">
        <v>14425460</v>
      </c>
      <c r="I30467">
        <v>1080228</v>
      </c>
      <c r="J30467">
        <v>3</v>
      </c>
    </row>
    <row r="30468" spans="1:10" x14ac:dyDescent="0.25">
      <c r="A30468" t="s">
        <v>347</v>
      </c>
      <c r="B30468" s="1" t="str">
        <f>HYPERLINK("http://vpsm1.com","vpsm1.com")</f>
        <v>vpsm1.com</v>
      </c>
      <c r="C30468" t="s">
        <v>433</v>
      </c>
      <c r="F30468">
        <v>4.4527455245754898E-9</v>
      </c>
      <c r="G30468">
        <v>70519663</v>
      </c>
      <c r="H30468">
        <v>10355066</v>
      </c>
      <c r="I30468">
        <v>55783043</v>
      </c>
      <c r="J30468">
        <v>5</v>
      </c>
    </row>
    <row r="30469" spans="1:10" x14ac:dyDescent="0.25">
      <c r="A30469" t="s">
        <v>347</v>
      </c>
      <c r="B30469" s="1" t="str">
        <f>HYPERLINK("http://whiteoakstation.com","whiteoakstation.com")</f>
        <v>whiteoakstation.com</v>
      </c>
      <c r="C30469" t="s">
        <v>433</v>
      </c>
      <c r="F30469">
        <v>6.2856937427514998E-9</v>
      </c>
      <c r="G30469">
        <v>15100545</v>
      </c>
      <c r="H30469">
        <v>12827089</v>
      </c>
      <c r="I30469">
        <v>14451530</v>
      </c>
      <c r="J30469">
        <v>4</v>
      </c>
    </row>
    <row r="30470" spans="1:10" x14ac:dyDescent="0.25">
      <c r="A30470" t="s">
        <v>347</v>
      </c>
      <c r="B30470" s="1" t="str">
        <f>HYPERLINK("http://shell.com.cv","shell.com.cv")</f>
        <v>shell.com.cv</v>
      </c>
      <c r="C30470" t="s">
        <v>631</v>
      </c>
      <c r="D30470" t="s">
        <v>953</v>
      </c>
      <c r="F30470">
        <v>3.56468957147262E-8</v>
      </c>
      <c r="G30470">
        <v>1461079</v>
      </c>
      <c r="H30470">
        <v>12564904</v>
      </c>
      <c r="I30470">
        <v>16667083</v>
      </c>
      <c r="J30470">
        <v>2</v>
      </c>
    </row>
    <row r="30471" spans="1:10" x14ac:dyDescent="0.25">
      <c r="A30471" t="s">
        <v>347</v>
      </c>
      <c r="B30471" s="1" t="str">
        <f>HYPERLINK("http://shell.cz","shell.cz")</f>
        <v>shell.cz</v>
      </c>
      <c r="C30471" t="s">
        <v>435</v>
      </c>
      <c r="D30471" t="s">
        <v>814</v>
      </c>
      <c r="F30471">
        <v>8.6081705315200102E-8</v>
      </c>
      <c r="G30471">
        <v>478007</v>
      </c>
      <c r="H30471">
        <v>14377922</v>
      </c>
      <c r="I30471">
        <v>1207091</v>
      </c>
      <c r="J30471">
        <v>2</v>
      </c>
    </row>
    <row r="30472" spans="1:10" x14ac:dyDescent="0.25">
      <c r="A30472" t="s">
        <v>347</v>
      </c>
      <c r="B30472" s="1" t="str">
        <f>HYPERLINK("http://auftanken-chiemsee.de","auftanken-chiemsee.de")</f>
        <v>auftanken-chiemsee.de</v>
      </c>
      <c r="C30472" t="s">
        <v>436</v>
      </c>
      <c r="D30472" t="s">
        <v>815</v>
      </c>
      <c r="F30472">
        <v>4.44380395335525E-9</v>
      </c>
      <c r="G30472">
        <v>84249190</v>
      </c>
      <c r="H30472">
        <v>0</v>
      </c>
      <c r="I30472">
        <v>85265346</v>
      </c>
      <c r="J30472">
        <v>4</v>
      </c>
    </row>
    <row r="30473" spans="1:10" x14ac:dyDescent="0.25">
      <c r="A30473" t="s">
        <v>347</v>
      </c>
      <c r="B30473" s="1" t="str">
        <f>HYPERLINK("http://autohof-berg.de","autohof-berg.de")</f>
        <v>autohof-berg.de</v>
      </c>
      <c r="C30473" t="s">
        <v>436</v>
      </c>
      <c r="D30473" t="s">
        <v>815</v>
      </c>
      <c r="F30473">
        <v>5.6460525287509997E-9</v>
      </c>
      <c r="G30473">
        <v>19427600</v>
      </c>
      <c r="H30473">
        <v>10350838</v>
      </c>
      <c r="I30473">
        <v>56275700</v>
      </c>
      <c r="J30473">
        <v>3</v>
      </c>
    </row>
    <row r="30474" spans="1:10" x14ac:dyDescent="0.25">
      <c r="A30474" t="s">
        <v>347</v>
      </c>
      <c r="B30474" s="1" t="str">
        <f>HYPERLINK("http://autohof-wulsdorf.de","autohof-wulsdorf.de")</f>
        <v>autohof-wulsdorf.de</v>
      </c>
      <c r="C30474" t="s">
        <v>436</v>
      </c>
      <c r="D30474" t="s">
        <v>815</v>
      </c>
      <c r="F30474">
        <v>6.2979341984804701E-9</v>
      </c>
      <c r="G30474">
        <v>15042418</v>
      </c>
      <c r="H30474">
        <v>10475880</v>
      </c>
      <c r="I30474">
        <v>51131140</v>
      </c>
      <c r="J30474">
        <v>3</v>
      </c>
    </row>
    <row r="30475" spans="1:10" x14ac:dyDescent="0.25">
      <c r="A30475" t="s">
        <v>347</v>
      </c>
      <c r="B30475" s="1" t="str">
        <f>HYPERLINK("http://bohr-tankstelle.de","bohr-tankstelle.de")</f>
        <v>bohr-tankstelle.de</v>
      </c>
      <c r="C30475" t="s">
        <v>436</v>
      </c>
      <c r="D30475" t="s">
        <v>815</v>
      </c>
      <c r="J30475">
        <v>4</v>
      </c>
    </row>
    <row r="30476" spans="1:10" x14ac:dyDescent="0.25">
      <c r="A30476" t="s">
        <v>347</v>
      </c>
      <c r="B30476" s="1" t="str">
        <f>HYPERLINK("http://carissa.de","carissa.de")</f>
        <v>carissa.de</v>
      </c>
      <c r="C30476" t="s">
        <v>436</v>
      </c>
      <c r="D30476" t="s">
        <v>815</v>
      </c>
      <c r="E30476">
        <v>757998</v>
      </c>
      <c r="F30476">
        <v>1.0323863448381299E-8</v>
      </c>
      <c r="G30476">
        <v>6428831</v>
      </c>
      <c r="H30476">
        <v>12917276</v>
      </c>
      <c r="I30476">
        <v>13506321</v>
      </c>
      <c r="J30476">
        <v>3</v>
      </c>
    </row>
    <row r="30477" spans="1:10" x14ac:dyDescent="0.25">
      <c r="A30477" t="s">
        <v>347</v>
      </c>
      <c r="B30477" s="1" t="str">
        <f>HYPERLINK("http://cleanenergypartnership.de","cleanenergypartnership.de")</f>
        <v>cleanenergypartnership.de</v>
      </c>
      <c r="C30477" t="s">
        <v>436</v>
      </c>
      <c r="D30477" t="s">
        <v>815</v>
      </c>
      <c r="F30477">
        <v>6.3600640239086596E-8</v>
      </c>
      <c r="G30477">
        <v>682738</v>
      </c>
      <c r="H30477">
        <v>14515703</v>
      </c>
      <c r="I30477">
        <v>812804</v>
      </c>
      <c r="J30477">
        <v>3</v>
      </c>
    </row>
    <row r="30478" spans="1:10" x14ac:dyDescent="0.25">
      <c r="A30478" t="s">
        <v>347</v>
      </c>
      <c r="B30478" s="1" t="str">
        <f>HYPERLINK("http://hackmann-gmbh.de","hackmann-gmbh.de")</f>
        <v>hackmann-gmbh.de</v>
      </c>
      <c r="C30478" t="s">
        <v>436</v>
      </c>
      <c r="D30478" t="s">
        <v>815</v>
      </c>
      <c r="J30478">
        <v>3</v>
      </c>
    </row>
    <row r="30479" spans="1:10" x14ac:dyDescent="0.25">
      <c r="A30479" t="s">
        <v>347</v>
      </c>
      <c r="B30479" s="1" t="str">
        <f>HYPERLINK("http://hermannwolf-gmbh.de","hermannwolf-gmbh.de")</f>
        <v>hermannwolf-gmbh.de</v>
      </c>
      <c r="C30479" t="s">
        <v>436</v>
      </c>
      <c r="D30479" t="s">
        <v>815</v>
      </c>
      <c r="J30479">
        <v>4</v>
      </c>
    </row>
    <row r="30480" spans="1:10" x14ac:dyDescent="0.25">
      <c r="A30480" t="s">
        <v>347</v>
      </c>
      <c r="B30480" s="1" t="str">
        <f>HYPERLINK("http://kropatgmbh.de","kropatgmbh.de")</f>
        <v>kropatgmbh.de</v>
      </c>
      <c r="C30480" t="s">
        <v>436</v>
      </c>
      <c r="D30480" t="s">
        <v>815</v>
      </c>
      <c r="F30480">
        <v>5.0658171307687598E-9</v>
      </c>
      <c r="G30480">
        <v>27879882</v>
      </c>
      <c r="H30480">
        <v>11974790</v>
      </c>
      <c r="I30480">
        <v>28573722</v>
      </c>
      <c r="J30480">
        <v>4</v>
      </c>
    </row>
    <row r="30481" spans="1:10" x14ac:dyDescent="0.25">
      <c r="A30481" t="s">
        <v>347</v>
      </c>
      <c r="B30481" s="1" t="str">
        <f>HYPERLINK("http://next-kraftwerke.de","next-kraftwerke.de")</f>
        <v>next-kraftwerke.de</v>
      </c>
      <c r="C30481" t="s">
        <v>436</v>
      </c>
      <c r="D30481" t="s">
        <v>815</v>
      </c>
      <c r="E30481">
        <v>310624</v>
      </c>
      <c r="F30481">
        <v>1.0047587280886199E-7</v>
      </c>
      <c r="G30481">
        <v>400266</v>
      </c>
      <c r="H30481">
        <v>14753951</v>
      </c>
      <c r="I30481">
        <v>562415</v>
      </c>
      <c r="J30481">
        <v>2</v>
      </c>
    </row>
    <row r="30482" spans="1:10" x14ac:dyDescent="0.25">
      <c r="A30482" t="s">
        <v>347</v>
      </c>
      <c r="B30482" s="1" t="str">
        <f>HYPERLINK("http://nievenheim-ost.de","nievenheim-ost.de")</f>
        <v>nievenheim-ost.de</v>
      </c>
      <c r="C30482" t="s">
        <v>436</v>
      </c>
      <c r="D30482" t="s">
        <v>815</v>
      </c>
      <c r="J30482">
        <v>3</v>
      </c>
    </row>
    <row r="30483" spans="1:10" x14ac:dyDescent="0.25">
      <c r="A30483" t="s">
        <v>347</v>
      </c>
      <c r="B30483" s="1" t="str">
        <f>HYPERLINK("http://praeg.de","praeg.de")</f>
        <v>praeg.de</v>
      </c>
      <c r="C30483" t="s">
        <v>436</v>
      </c>
      <c r="D30483" t="s">
        <v>815</v>
      </c>
      <c r="F30483">
        <v>2.25364848884561E-8</v>
      </c>
      <c r="G30483">
        <v>2324465</v>
      </c>
      <c r="H30483">
        <v>12315878</v>
      </c>
      <c r="I30483">
        <v>20499703</v>
      </c>
      <c r="J30483">
        <v>8</v>
      </c>
    </row>
    <row r="30484" spans="1:10" x14ac:dyDescent="0.25">
      <c r="A30484" t="s">
        <v>347</v>
      </c>
      <c r="B30484" s="1" t="str">
        <f>HYPERLINK("http://praeg-energie.de","praeg-energie.de")</f>
        <v>praeg-energie.de</v>
      </c>
      <c r="C30484" t="s">
        <v>436</v>
      </c>
      <c r="D30484" t="s">
        <v>815</v>
      </c>
      <c r="F30484">
        <v>4.4637060834540601E-9</v>
      </c>
      <c r="G30484">
        <v>66628353</v>
      </c>
      <c r="H30484">
        <v>10508959</v>
      </c>
      <c r="I30484">
        <v>49950911</v>
      </c>
      <c r="J30484">
        <v>8</v>
      </c>
    </row>
    <row r="30485" spans="1:10" x14ac:dyDescent="0.25">
      <c r="A30485" t="s">
        <v>347</v>
      </c>
      <c r="B30485" s="1" t="str">
        <f>HYPERLINK("http://rheinland-kraftstoff.de","rheinland-kraftstoff.de")</f>
        <v>rheinland-kraftstoff.de</v>
      </c>
      <c r="C30485" t="s">
        <v>436</v>
      </c>
      <c r="D30485" t="s">
        <v>815</v>
      </c>
      <c r="F30485">
        <v>1.41823612989621E-8</v>
      </c>
      <c r="G30485">
        <v>4135384</v>
      </c>
      <c r="H30485">
        <v>13146072</v>
      </c>
      <c r="I30485">
        <v>11845975</v>
      </c>
      <c r="J30485">
        <v>3</v>
      </c>
    </row>
    <row r="30486" spans="1:10" x14ac:dyDescent="0.25">
      <c r="A30486" t="s">
        <v>347</v>
      </c>
      <c r="B30486" s="1" t="str">
        <f>HYPERLINK("http://schmid-tankstellen.de","schmid-tankstellen.de")</f>
        <v>schmid-tankstellen.de</v>
      </c>
      <c r="C30486" t="s">
        <v>436</v>
      </c>
      <c r="D30486" t="s">
        <v>815</v>
      </c>
      <c r="J30486">
        <v>3</v>
      </c>
    </row>
    <row r="30487" spans="1:10" x14ac:dyDescent="0.25">
      <c r="A30487" t="s">
        <v>347</v>
      </c>
      <c r="B30487" s="1" t="str">
        <f>HYPERLINK("http://shell.de","shell.de")</f>
        <v>shell.de</v>
      </c>
      <c r="C30487" t="s">
        <v>436</v>
      </c>
      <c r="D30487" t="s">
        <v>815</v>
      </c>
      <c r="E30487">
        <v>194792</v>
      </c>
      <c r="F30487">
        <v>6.4744269783078995E-7</v>
      </c>
      <c r="G30487">
        <v>59408</v>
      </c>
      <c r="H30487">
        <v>17160510</v>
      </c>
      <c r="I30487">
        <v>49870</v>
      </c>
      <c r="J30487">
        <v>2</v>
      </c>
    </row>
    <row r="30488" spans="1:10" x14ac:dyDescent="0.25">
      <c r="A30488" t="s">
        <v>347</v>
      </c>
      <c r="B30488" s="1" t="str">
        <f>HYPERLINK("http://shell-autohof.de","shell-autohof.de")</f>
        <v>shell-autohof.de</v>
      </c>
      <c r="C30488" t="s">
        <v>436</v>
      </c>
      <c r="D30488" t="s">
        <v>815</v>
      </c>
      <c r="F30488">
        <v>6.7713115553781E-9</v>
      </c>
      <c r="G30488">
        <v>13056763</v>
      </c>
      <c r="H30488">
        <v>12338014</v>
      </c>
      <c r="I30488">
        <v>20051596</v>
      </c>
      <c r="J30488">
        <v>4</v>
      </c>
    </row>
    <row r="30489" spans="1:10" x14ac:dyDescent="0.25">
      <c r="A30489" t="s">
        <v>347</v>
      </c>
      <c r="B30489" s="1" t="str">
        <f>HYPERLINK("http://shell-autohof-binzen.de","shell-autohof-binzen.de")</f>
        <v>shell-autohof-binzen.de</v>
      </c>
      <c r="C30489" t="s">
        <v>436</v>
      </c>
      <c r="D30489" t="s">
        <v>815</v>
      </c>
      <c r="F30489">
        <v>8.9472383035204895E-9</v>
      </c>
      <c r="G30489">
        <v>8071368</v>
      </c>
      <c r="H30489">
        <v>12230964</v>
      </c>
      <c r="I30489">
        <v>22479526</v>
      </c>
      <c r="J30489">
        <v>3</v>
      </c>
    </row>
    <row r="30490" spans="1:10" x14ac:dyDescent="0.25">
      <c r="A30490" t="s">
        <v>347</v>
      </c>
      <c r="B30490" s="1" t="str">
        <f>HYPERLINK("http://shell-gaggenau.de","shell-gaggenau.de")</f>
        <v>shell-gaggenau.de</v>
      </c>
      <c r="C30490" t="s">
        <v>436</v>
      </c>
      <c r="D30490" t="s">
        <v>815</v>
      </c>
      <c r="J30490">
        <v>3</v>
      </c>
    </row>
    <row r="30491" spans="1:10" x14ac:dyDescent="0.25">
      <c r="A30491" t="s">
        <v>347</v>
      </c>
      <c r="B30491" s="1" t="str">
        <f>HYPERLINK("http://shell-pb.de","shell-pb.de")</f>
        <v>shell-pb.de</v>
      </c>
      <c r="C30491" t="s">
        <v>436</v>
      </c>
      <c r="D30491" t="s">
        <v>815</v>
      </c>
      <c r="F30491">
        <v>4.5349554431579098E-9</v>
      </c>
      <c r="G30491">
        <v>54518441</v>
      </c>
      <c r="H30491">
        <v>9420352</v>
      </c>
      <c r="I30491">
        <v>66965197</v>
      </c>
      <c r="J30491">
        <v>3</v>
      </c>
    </row>
    <row r="30492" spans="1:10" x14ac:dyDescent="0.25">
      <c r="A30492" t="s">
        <v>347</v>
      </c>
      <c r="B30492" s="1" t="str">
        <f>HYPERLINK("http://shell-select.de","shell-select.de")</f>
        <v>shell-select.de</v>
      </c>
      <c r="C30492" t="s">
        <v>436</v>
      </c>
      <c r="D30492" t="s">
        <v>815</v>
      </c>
      <c r="F30492">
        <v>6.5356347126295697E-9</v>
      </c>
      <c r="G30492">
        <v>13930685</v>
      </c>
      <c r="H30492">
        <v>13933178</v>
      </c>
      <c r="I30492">
        <v>4882841</v>
      </c>
      <c r="J30492">
        <v>4</v>
      </c>
    </row>
    <row r="30493" spans="1:10" x14ac:dyDescent="0.25">
      <c r="A30493" t="s">
        <v>347</v>
      </c>
      <c r="B30493" s="1" t="str">
        <f>HYPERLINK("http://shell-station-twist.de","shell-station-twist.de")</f>
        <v>shell-station-twist.de</v>
      </c>
      <c r="C30493" t="s">
        <v>436</v>
      </c>
      <c r="D30493" t="s">
        <v>815</v>
      </c>
      <c r="F30493">
        <v>4.5180388443388804E-9</v>
      </c>
      <c r="G30493">
        <v>56464381</v>
      </c>
      <c r="H30493">
        <v>8494414</v>
      </c>
      <c r="I30493">
        <v>72077423</v>
      </c>
      <c r="J30493">
        <v>3</v>
      </c>
    </row>
    <row r="30494" spans="1:10" x14ac:dyDescent="0.25">
      <c r="A30494" t="s">
        <v>347</v>
      </c>
      <c r="B30494" s="1" t="str">
        <f>HYPERLINK("http://shell-wilms.de","shell-wilms.de")</f>
        <v>shell-wilms.de</v>
      </c>
      <c r="C30494" t="s">
        <v>436</v>
      </c>
      <c r="D30494" t="s">
        <v>815</v>
      </c>
      <c r="F30494">
        <v>5.1054681956546701E-9</v>
      </c>
      <c r="G30494">
        <v>26942115</v>
      </c>
      <c r="H30494">
        <v>12755977</v>
      </c>
      <c r="I30494">
        <v>14983505</v>
      </c>
      <c r="J30494">
        <v>3</v>
      </c>
    </row>
    <row r="30495" spans="1:10" x14ac:dyDescent="0.25">
      <c r="A30495" t="s">
        <v>347</v>
      </c>
      <c r="B30495" s="1" t="str">
        <f>HYPERLINK("http://shellprivatenergie.de","shellprivatenergie.de")</f>
        <v>shellprivatenergie.de</v>
      </c>
      <c r="C30495" t="s">
        <v>436</v>
      </c>
      <c r="D30495" t="s">
        <v>815</v>
      </c>
      <c r="F30495">
        <v>6.4842461740067702E-9</v>
      </c>
      <c r="G30495">
        <v>14143849</v>
      </c>
      <c r="H30495">
        <v>12185412</v>
      </c>
      <c r="I30495">
        <v>23685811</v>
      </c>
      <c r="J30495">
        <v>3</v>
      </c>
    </row>
    <row r="30496" spans="1:10" x14ac:dyDescent="0.25">
      <c r="A30496" t="s">
        <v>347</v>
      </c>
      <c r="B30496" s="1" t="str">
        <f>HYPERLINK("http://shellstation.de","shellstation.de")</f>
        <v>shellstation.de</v>
      </c>
      <c r="C30496" t="s">
        <v>436</v>
      </c>
      <c r="D30496" t="s">
        <v>815</v>
      </c>
      <c r="J30496">
        <v>3</v>
      </c>
    </row>
    <row r="30497" spans="1:10" x14ac:dyDescent="0.25">
      <c r="A30497" t="s">
        <v>347</v>
      </c>
      <c r="B30497" s="1" t="str">
        <f>HYPERLINK("http://sonnen.de","sonnen.de")</f>
        <v>sonnen.de</v>
      </c>
      <c r="C30497" t="s">
        <v>436</v>
      </c>
      <c r="D30497" t="s">
        <v>815</v>
      </c>
      <c r="E30497">
        <v>60980</v>
      </c>
      <c r="F30497">
        <v>2.1533808984938301E-7</v>
      </c>
      <c r="G30497">
        <v>175221</v>
      </c>
      <c r="H30497">
        <v>16896650</v>
      </c>
      <c r="I30497">
        <v>133663</v>
      </c>
      <c r="J30497">
        <v>3</v>
      </c>
    </row>
    <row r="30498" spans="1:10" x14ac:dyDescent="0.25">
      <c r="A30498" t="s">
        <v>347</v>
      </c>
      <c r="B30498" s="1" t="str">
        <f>HYPERLINK("http://sonnenbatterie.de","sonnenbatterie.de")</f>
        <v>sonnenbatterie.de</v>
      </c>
      <c r="C30498" t="s">
        <v>436</v>
      </c>
      <c r="D30498" t="s">
        <v>815</v>
      </c>
      <c r="E30498">
        <v>71819</v>
      </c>
      <c r="F30498">
        <v>1.40098611318806E-7</v>
      </c>
      <c r="G30498">
        <v>278047</v>
      </c>
      <c r="H30498">
        <v>16968736</v>
      </c>
      <c r="I30498">
        <v>103184</v>
      </c>
      <c r="J30498">
        <v>3</v>
      </c>
    </row>
    <row r="30499" spans="1:10" x14ac:dyDescent="0.25">
      <c r="A30499" t="s">
        <v>347</v>
      </c>
      <c r="B30499" s="1" t="str">
        <f>HYPERLINK("http://tankstelle-floh.de","tankstelle-floh.de")</f>
        <v>tankstelle-floh.de</v>
      </c>
      <c r="C30499" t="s">
        <v>436</v>
      </c>
      <c r="D30499" t="s">
        <v>815</v>
      </c>
      <c r="J30499">
        <v>3</v>
      </c>
    </row>
    <row r="30500" spans="1:10" x14ac:dyDescent="0.25">
      <c r="A30500" t="s">
        <v>347</v>
      </c>
      <c r="B30500" s="1" t="str">
        <f>HYPERLINK("http://tankstelle-ltg-autohof.de","tankstelle-ltg-autohof.de")</f>
        <v>tankstelle-ltg-autohof.de</v>
      </c>
      <c r="C30500" t="s">
        <v>436</v>
      </c>
      <c r="D30500" t="s">
        <v>815</v>
      </c>
      <c r="F30500">
        <v>4.4445249251846E-9</v>
      </c>
      <c r="G30500">
        <v>76639140</v>
      </c>
      <c r="H30500">
        <v>10068778</v>
      </c>
      <c r="I30500">
        <v>60138876</v>
      </c>
      <c r="J30500">
        <v>4</v>
      </c>
    </row>
    <row r="30501" spans="1:10" x14ac:dyDescent="0.25">
      <c r="A30501" t="s">
        <v>347</v>
      </c>
      <c r="B30501" s="1" t="str">
        <f>HYPERLINK("http://tankstellehauk.de","tankstellehauk.de")</f>
        <v>tankstellehauk.de</v>
      </c>
      <c r="C30501" t="s">
        <v>436</v>
      </c>
      <c r="D30501" t="s">
        <v>815</v>
      </c>
      <c r="F30501">
        <v>4.9079546560847096E-9</v>
      </c>
      <c r="G30501">
        <v>32236488</v>
      </c>
      <c r="H30501">
        <v>12165363</v>
      </c>
      <c r="I30501">
        <v>24188988</v>
      </c>
      <c r="J30501">
        <v>4</v>
      </c>
    </row>
    <row r="30502" spans="1:10" x14ac:dyDescent="0.25">
      <c r="A30502" t="s">
        <v>347</v>
      </c>
      <c r="B30502" s="1" t="str">
        <f>HYPERLINK("http://tankstellen-senser.de","tankstellen-senser.de")</f>
        <v>tankstellen-senser.de</v>
      </c>
      <c r="C30502" t="s">
        <v>436</v>
      </c>
      <c r="D30502" t="s">
        <v>815</v>
      </c>
      <c r="J30502">
        <v>3</v>
      </c>
    </row>
    <row r="30503" spans="1:10" x14ac:dyDescent="0.25">
      <c r="A30503" t="s">
        <v>347</v>
      </c>
      <c r="B30503" s="1" t="str">
        <f>HYPERLINK("http://thenewmotion.de","thenewmotion.de")</f>
        <v>thenewmotion.de</v>
      </c>
      <c r="C30503" t="s">
        <v>436</v>
      </c>
      <c r="D30503" t="s">
        <v>815</v>
      </c>
      <c r="F30503">
        <v>6.0090082556604701E-9</v>
      </c>
      <c r="G30503">
        <v>16628324</v>
      </c>
      <c r="H30503">
        <v>11314649</v>
      </c>
      <c r="I30503">
        <v>30533593</v>
      </c>
      <c r="J30503">
        <v>3</v>
      </c>
    </row>
    <row r="30504" spans="1:10" x14ac:dyDescent="0.25">
      <c r="A30504" t="s">
        <v>347</v>
      </c>
      <c r="B30504" s="1" t="str">
        <f>HYPERLINK("http://shell.dk","shell.dk")</f>
        <v>shell.dk</v>
      </c>
      <c r="C30504" t="s">
        <v>437</v>
      </c>
      <c r="D30504" t="s">
        <v>816</v>
      </c>
      <c r="F30504">
        <v>7.9576627850295105E-8</v>
      </c>
      <c r="G30504">
        <v>525043</v>
      </c>
      <c r="H30504">
        <v>14078884</v>
      </c>
      <c r="I30504">
        <v>2839879</v>
      </c>
      <c r="J30504">
        <v>2</v>
      </c>
    </row>
    <row r="30505" spans="1:10" x14ac:dyDescent="0.25">
      <c r="A30505" t="s">
        <v>347</v>
      </c>
      <c r="B30505" s="1" t="str">
        <f>HYPERLINK("http://shell-morud.dk","shell-morud.dk")</f>
        <v>shell-morud.dk</v>
      </c>
      <c r="C30505" t="s">
        <v>437</v>
      </c>
      <c r="D30505" t="s">
        <v>816</v>
      </c>
      <c r="F30505">
        <v>4.8738221733347402E-9</v>
      </c>
      <c r="G30505">
        <v>33279087</v>
      </c>
      <c r="H30505">
        <v>10662974</v>
      </c>
      <c r="I30505">
        <v>43274840</v>
      </c>
      <c r="J30505">
        <v>4</v>
      </c>
    </row>
    <row r="30506" spans="1:10" x14ac:dyDescent="0.25">
      <c r="A30506" t="s">
        <v>347</v>
      </c>
      <c r="B30506" s="1" t="str">
        <f>HYPERLINK("http://shellgoerlev.dk","shellgoerlev.dk")</f>
        <v>shellgoerlev.dk</v>
      </c>
      <c r="C30506" t="s">
        <v>437</v>
      </c>
      <c r="D30506" t="s">
        <v>816</v>
      </c>
      <c r="J30506">
        <v>4</v>
      </c>
    </row>
    <row r="30507" spans="1:10" x14ac:dyDescent="0.25">
      <c r="A30507" t="s">
        <v>347</v>
      </c>
      <c r="B30507" s="1" t="str">
        <f>HYPERLINK("http://shellkorskro.dk","shellkorskro.dk")</f>
        <v>shellkorskro.dk</v>
      </c>
      <c r="C30507" t="s">
        <v>437</v>
      </c>
      <c r="D30507" t="s">
        <v>816</v>
      </c>
      <c r="F30507">
        <v>4.4438364415277001E-9</v>
      </c>
      <c r="G30507">
        <v>78899543</v>
      </c>
      <c r="H30507">
        <v>10482327</v>
      </c>
      <c r="I30507">
        <v>50949649</v>
      </c>
      <c r="J30507">
        <v>4</v>
      </c>
    </row>
    <row r="30508" spans="1:10" x14ac:dyDescent="0.25">
      <c r="A30508" t="s">
        <v>347</v>
      </c>
      <c r="B30508" s="1" t="str">
        <f>HYPERLINK("http://sonnen.dk","sonnen.dk")</f>
        <v>sonnen.dk</v>
      </c>
      <c r="C30508" t="s">
        <v>437</v>
      </c>
      <c r="D30508" t="s">
        <v>816</v>
      </c>
      <c r="F30508">
        <v>1.27532907210945E-8</v>
      </c>
      <c r="G30508">
        <v>4752943</v>
      </c>
      <c r="H30508">
        <v>12083201</v>
      </c>
      <c r="I30508">
        <v>26484120</v>
      </c>
      <c r="J30508">
        <v>4</v>
      </c>
    </row>
    <row r="30509" spans="1:10" x14ac:dyDescent="0.25">
      <c r="A30509" t="s">
        <v>347</v>
      </c>
      <c r="B30509" s="1" t="str">
        <f>HYPERLINK("http://shell.com.do","shell.com.do")</f>
        <v>shell.com.do</v>
      </c>
      <c r="C30509" t="s">
        <v>438</v>
      </c>
      <c r="D30509" t="s">
        <v>817</v>
      </c>
      <c r="F30509">
        <v>3.6439099559291899E-8</v>
      </c>
      <c r="G30509">
        <v>1432604</v>
      </c>
      <c r="H30509">
        <v>12603761</v>
      </c>
      <c r="I30509">
        <v>16289527</v>
      </c>
      <c r="J30509">
        <v>2</v>
      </c>
    </row>
    <row r="30510" spans="1:10" x14ac:dyDescent="0.25">
      <c r="A30510" t="s">
        <v>347</v>
      </c>
      <c r="B30510" s="1" t="str">
        <f>HYPERLINK("http://shell.com.ec","shell.com.ec")</f>
        <v>shell.com.ec</v>
      </c>
      <c r="C30510" t="s">
        <v>440</v>
      </c>
      <c r="D30510" t="s">
        <v>819</v>
      </c>
      <c r="F30510">
        <v>3.56441505691533E-8</v>
      </c>
      <c r="G30510">
        <v>1461184</v>
      </c>
      <c r="H30510">
        <v>12570274</v>
      </c>
      <c r="I30510">
        <v>16623924</v>
      </c>
      <c r="J30510">
        <v>2</v>
      </c>
    </row>
    <row r="30511" spans="1:10" x14ac:dyDescent="0.25">
      <c r="A30511" t="s">
        <v>347</v>
      </c>
      <c r="B30511" s="1" t="str">
        <f>HYPERLINK("http://shell.eg","shell.eg")</f>
        <v>shell.eg</v>
      </c>
      <c r="C30511" t="s">
        <v>442</v>
      </c>
      <c r="D30511" t="s">
        <v>821</v>
      </c>
      <c r="F30511">
        <v>4.2880237541962203E-8</v>
      </c>
      <c r="G30511">
        <v>1123596</v>
      </c>
      <c r="H30511">
        <v>13581271</v>
      </c>
      <c r="I30511">
        <v>9686662</v>
      </c>
      <c r="J30511">
        <v>2</v>
      </c>
    </row>
    <row r="30512" spans="1:10" x14ac:dyDescent="0.25">
      <c r="A30512" t="s">
        <v>347</v>
      </c>
      <c r="B30512" s="1" t="str">
        <f>HYPERLINK("http://next-kraftwerke.es","next-kraftwerke.es")</f>
        <v>next-kraftwerke.es</v>
      </c>
      <c r="C30512" t="s">
        <v>443</v>
      </c>
      <c r="D30512" t="s">
        <v>822</v>
      </c>
      <c r="F30512">
        <v>5.1975512262300102E-9</v>
      </c>
      <c r="G30512">
        <v>25205742</v>
      </c>
      <c r="H30512">
        <v>12414128</v>
      </c>
      <c r="I30512">
        <v>18550000</v>
      </c>
      <c r="J30512">
        <v>3</v>
      </c>
    </row>
    <row r="30513" spans="1:10" x14ac:dyDescent="0.25">
      <c r="A30513" t="s">
        <v>347</v>
      </c>
      <c r="B30513" s="1" t="str">
        <f>HYPERLINK("http://shell.es","shell.es")</f>
        <v>shell.es</v>
      </c>
      <c r="C30513" t="s">
        <v>443</v>
      </c>
      <c r="D30513" t="s">
        <v>822</v>
      </c>
      <c r="F30513">
        <v>7.4847873613596397E-8</v>
      </c>
      <c r="G30513">
        <v>562069</v>
      </c>
      <c r="H30513">
        <v>14497051</v>
      </c>
      <c r="I30513">
        <v>867944</v>
      </c>
      <c r="J30513">
        <v>2</v>
      </c>
    </row>
    <row r="30514" spans="1:10" x14ac:dyDescent="0.25">
      <c r="A30514" t="s">
        <v>347</v>
      </c>
      <c r="B30514" s="1" t="str">
        <f>HYPERLINK("http://sonnen.es","sonnen.es")</f>
        <v>sonnen.es</v>
      </c>
      <c r="C30514" t="s">
        <v>443</v>
      </c>
      <c r="D30514" t="s">
        <v>822</v>
      </c>
      <c r="F30514">
        <v>1.6800639940417099E-8</v>
      </c>
      <c r="G30514">
        <v>3333187</v>
      </c>
      <c r="H30514">
        <v>12348352</v>
      </c>
      <c r="I30514">
        <v>19791134</v>
      </c>
      <c r="J30514">
        <v>4</v>
      </c>
    </row>
    <row r="30515" spans="1:10" x14ac:dyDescent="0.25">
      <c r="A30515" t="s">
        <v>347</v>
      </c>
      <c r="B30515" s="1" t="str">
        <f>HYPERLINK("http://euroshell.fi","euroshell.fi")</f>
        <v>euroshell.fi</v>
      </c>
      <c r="C30515" t="s">
        <v>445</v>
      </c>
      <c r="D30515" t="s">
        <v>823</v>
      </c>
      <c r="J30515">
        <v>2</v>
      </c>
    </row>
    <row r="30516" spans="1:10" x14ac:dyDescent="0.25">
      <c r="A30516" t="s">
        <v>347</v>
      </c>
      <c r="B30516" s="1" t="str">
        <f>HYPERLINK("http://safoy.fi","safoy.fi")</f>
        <v>safoy.fi</v>
      </c>
      <c r="C30516" t="s">
        <v>445</v>
      </c>
      <c r="D30516" t="s">
        <v>823</v>
      </c>
      <c r="J30516">
        <v>2</v>
      </c>
    </row>
    <row r="30517" spans="1:10" x14ac:dyDescent="0.25">
      <c r="A30517" t="s">
        <v>347</v>
      </c>
      <c r="B30517" s="1" t="str">
        <f>HYPERLINK("http://shell.fi","shell.fi")</f>
        <v>shell.fi</v>
      </c>
      <c r="C30517" t="s">
        <v>445</v>
      </c>
      <c r="D30517" t="s">
        <v>823</v>
      </c>
      <c r="F30517">
        <v>6.0530151920857803E-8</v>
      </c>
      <c r="G30517">
        <v>728404</v>
      </c>
      <c r="H30517">
        <v>14596288</v>
      </c>
      <c r="I30517">
        <v>689664</v>
      </c>
      <c r="J30517">
        <v>2</v>
      </c>
    </row>
    <row r="30518" spans="1:10" x14ac:dyDescent="0.25">
      <c r="A30518" t="s">
        <v>347</v>
      </c>
      <c r="B30518" s="1" t="str">
        <f>HYPERLINK("http://shellaviationfinland.fi","shellaviationfinland.fi")</f>
        <v>shellaviationfinland.fi</v>
      </c>
      <c r="C30518" t="s">
        <v>445</v>
      </c>
      <c r="D30518" t="s">
        <v>823</v>
      </c>
      <c r="J30518">
        <v>2</v>
      </c>
    </row>
    <row r="30519" spans="1:10" x14ac:dyDescent="0.25">
      <c r="A30519" t="s">
        <v>347</v>
      </c>
      <c r="B30519" s="1" t="str">
        <f>HYPERLINK("http://shellciti.fi","shellciti.fi")</f>
        <v>shellciti.fi</v>
      </c>
      <c r="C30519" t="s">
        <v>445</v>
      </c>
      <c r="D30519" t="s">
        <v>823</v>
      </c>
      <c r="J30519">
        <v>2</v>
      </c>
    </row>
    <row r="30520" spans="1:10" x14ac:dyDescent="0.25">
      <c r="A30520" t="s">
        <v>347</v>
      </c>
      <c r="B30520" s="1" t="str">
        <f>HYPERLINK("http://shellexpress.fi","shellexpress.fi")</f>
        <v>shellexpress.fi</v>
      </c>
      <c r="C30520" t="s">
        <v>445</v>
      </c>
      <c r="D30520" t="s">
        <v>823</v>
      </c>
      <c r="J30520">
        <v>2</v>
      </c>
    </row>
    <row r="30521" spans="1:10" x14ac:dyDescent="0.25">
      <c r="A30521" t="s">
        <v>347</v>
      </c>
      <c r="B30521" s="1" t="str">
        <f>HYPERLINK("http://sonnen.fi","sonnen.fi")</f>
        <v>sonnen.fi</v>
      </c>
      <c r="C30521" t="s">
        <v>445</v>
      </c>
      <c r="D30521" t="s">
        <v>823</v>
      </c>
      <c r="F30521">
        <v>4.4517195481293698E-9</v>
      </c>
      <c r="G30521">
        <v>71011431</v>
      </c>
      <c r="H30521">
        <v>10619572</v>
      </c>
      <c r="I30521">
        <v>44286552</v>
      </c>
      <c r="J30521">
        <v>4</v>
      </c>
    </row>
    <row r="30522" spans="1:10" x14ac:dyDescent="0.25">
      <c r="A30522" t="s">
        <v>347</v>
      </c>
      <c r="B30522" s="1" t="str">
        <f>HYPERLINK("http://sonnenbatterie.fi","sonnenbatterie.fi")</f>
        <v>sonnenbatterie.fi</v>
      </c>
      <c r="C30522" t="s">
        <v>445</v>
      </c>
      <c r="D30522" t="s">
        <v>823</v>
      </c>
      <c r="J30522">
        <v>4</v>
      </c>
    </row>
    <row r="30523" spans="1:10" x14ac:dyDescent="0.25">
      <c r="A30523" t="s">
        <v>347</v>
      </c>
      <c r="B30523" s="1" t="str">
        <f>HYPERLINK("http://taysihyotyjokapisarasta.fi","taysihyotyjokapisarasta.fi")</f>
        <v>taysihyotyjokapisarasta.fi</v>
      </c>
      <c r="C30523" t="s">
        <v>445</v>
      </c>
      <c r="D30523" t="s">
        <v>823</v>
      </c>
      <c r="J30523">
        <v>2</v>
      </c>
    </row>
    <row r="30524" spans="1:10" x14ac:dyDescent="0.25">
      <c r="A30524" t="s">
        <v>347</v>
      </c>
      <c r="B30524" s="1" t="str">
        <f>HYPERLINK("http://shell.fr","shell.fr")</f>
        <v>shell.fr</v>
      </c>
      <c r="C30524" t="s">
        <v>446</v>
      </c>
      <c r="D30524" t="s">
        <v>824</v>
      </c>
      <c r="F30524">
        <v>8.7670379631555894E-8</v>
      </c>
      <c r="G30524">
        <v>467833</v>
      </c>
      <c r="H30524">
        <v>14506044</v>
      </c>
      <c r="I30524">
        <v>834576</v>
      </c>
      <c r="J30524">
        <v>2</v>
      </c>
    </row>
    <row r="30525" spans="1:10" x14ac:dyDescent="0.25">
      <c r="A30525" t="s">
        <v>347</v>
      </c>
      <c r="B30525" s="1" t="str">
        <f>HYPERLINK("http://shell.com.gh","shell.com.gh")</f>
        <v>shell.com.gh</v>
      </c>
      <c r="C30525" t="s">
        <v>640</v>
      </c>
      <c r="D30525" t="s">
        <v>961</v>
      </c>
      <c r="F30525">
        <v>3.5738004831452802E-8</v>
      </c>
      <c r="G30525">
        <v>1457893</v>
      </c>
      <c r="H30525">
        <v>12567137</v>
      </c>
      <c r="I30525">
        <v>16650260</v>
      </c>
      <c r="J30525">
        <v>2</v>
      </c>
    </row>
    <row r="30526" spans="1:10" x14ac:dyDescent="0.25">
      <c r="A30526" t="s">
        <v>347</v>
      </c>
      <c r="B30526" s="1" t="str">
        <f>HYPERLINK("http://shell.com.gn","shell.com.gn")</f>
        <v>shell.com.gn</v>
      </c>
      <c r="C30526" t="s">
        <v>782</v>
      </c>
      <c r="D30526" t="s">
        <v>1020</v>
      </c>
      <c r="F30526">
        <v>3.7872439617556E-8</v>
      </c>
      <c r="G30526">
        <v>1366432</v>
      </c>
      <c r="H30526">
        <v>12568600</v>
      </c>
      <c r="I30526">
        <v>16637339</v>
      </c>
      <c r="J30526">
        <v>2</v>
      </c>
    </row>
    <row r="30527" spans="1:10" x14ac:dyDescent="0.25">
      <c r="A30527" t="s">
        <v>347</v>
      </c>
      <c r="B30527" s="1" t="str">
        <f>HYPERLINK("http://gourgourakia.gr","gourgourakia.gr")</f>
        <v>gourgourakia.gr</v>
      </c>
      <c r="C30527" t="s">
        <v>447</v>
      </c>
      <c r="D30527" t="s">
        <v>825</v>
      </c>
      <c r="F30527">
        <v>4.6810378289651299E-9</v>
      </c>
      <c r="G30527">
        <v>42274670</v>
      </c>
      <c r="H30527">
        <v>9480800</v>
      </c>
      <c r="I30527">
        <v>66011885</v>
      </c>
      <c r="J30527">
        <v>4</v>
      </c>
    </row>
    <row r="30528" spans="1:10" x14ac:dyDescent="0.25">
      <c r="A30528" t="s">
        <v>347</v>
      </c>
      <c r="B30528" s="1" t="str">
        <f>HYPERLINK("http://shell.gr","shell.gr")</f>
        <v>shell.gr</v>
      </c>
      <c r="C30528" t="s">
        <v>447</v>
      </c>
      <c r="D30528" t="s">
        <v>825</v>
      </c>
      <c r="F30528">
        <v>3.8142939437338202E-8</v>
      </c>
      <c r="G30528">
        <v>1357058</v>
      </c>
      <c r="H30528">
        <v>13769041</v>
      </c>
      <c r="I30528">
        <v>6816922</v>
      </c>
      <c r="J30528">
        <v>2</v>
      </c>
    </row>
    <row r="30529" spans="1:10" x14ac:dyDescent="0.25">
      <c r="A30529" t="s">
        <v>347</v>
      </c>
      <c r="B30529" s="1" t="str">
        <f>HYPERLINK("http://stamatelatosgas.gr","stamatelatosgas.gr")</f>
        <v>stamatelatosgas.gr</v>
      </c>
      <c r="C30529" t="s">
        <v>447</v>
      </c>
      <c r="D30529" t="s">
        <v>825</v>
      </c>
      <c r="F30529">
        <v>5.1112916668141803E-9</v>
      </c>
      <c r="G30529">
        <v>26828159</v>
      </c>
      <c r="H30529">
        <v>13464515</v>
      </c>
      <c r="I30529">
        <v>10115571</v>
      </c>
      <c r="J30529">
        <v>4</v>
      </c>
    </row>
    <row r="30530" spans="1:10" x14ac:dyDescent="0.25">
      <c r="A30530" t="s">
        <v>347</v>
      </c>
      <c r="B30530" s="1" t="str">
        <f>HYPERLINK("http://shell.com.gt","shell.com.gt")</f>
        <v>shell.com.gt</v>
      </c>
      <c r="C30530" t="s">
        <v>448</v>
      </c>
      <c r="D30530" t="s">
        <v>826</v>
      </c>
      <c r="F30530">
        <v>5.2344902291693899E-8</v>
      </c>
      <c r="G30530">
        <v>871524</v>
      </c>
      <c r="H30530">
        <v>12610020</v>
      </c>
      <c r="I30530">
        <v>16237769</v>
      </c>
      <c r="J30530">
        <v>2</v>
      </c>
    </row>
    <row r="30531" spans="1:10" x14ac:dyDescent="0.25">
      <c r="A30531" t="s">
        <v>347</v>
      </c>
      <c r="B30531" s="1" t="str">
        <f>HYPERLINK("http://shell.com.hk","shell.com.hk")</f>
        <v>shell.com.hk</v>
      </c>
      <c r="C30531" t="s">
        <v>450</v>
      </c>
      <c r="D30531" t="s">
        <v>827</v>
      </c>
      <c r="F30531">
        <v>5.7309647790836201E-8</v>
      </c>
      <c r="G30531">
        <v>778362</v>
      </c>
      <c r="H30531">
        <v>14314625</v>
      </c>
      <c r="I30531">
        <v>1336864</v>
      </c>
      <c r="J30531">
        <v>2</v>
      </c>
    </row>
    <row r="30532" spans="1:10" x14ac:dyDescent="0.25">
      <c r="A30532" t="s">
        <v>347</v>
      </c>
      <c r="B30532" s="1" t="str">
        <f>HYPERLINK("http://shell.hk","shell.hk")</f>
        <v>shell.hk</v>
      </c>
      <c r="C30532" t="s">
        <v>450</v>
      </c>
      <c r="D30532" t="s">
        <v>827</v>
      </c>
      <c r="F30532">
        <v>8.0675047730296992E-9</v>
      </c>
      <c r="G30532">
        <v>9798937</v>
      </c>
      <c r="H30532">
        <v>10812554</v>
      </c>
      <c r="I30532">
        <v>37800285</v>
      </c>
      <c r="J30532">
        <v>3</v>
      </c>
    </row>
    <row r="30533" spans="1:10" x14ac:dyDescent="0.25">
      <c r="A30533" t="s">
        <v>347</v>
      </c>
      <c r="B30533" s="1" t="str">
        <f>HYPERLINK("http://apios.hr","apios.hr")</f>
        <v>apios.hr</v>
      </c>
      <c r="C30533" t="s">
        <v>452</v>
      </c>
      <c r="D30533" t="s">
        <v>829</v>
      </c>
      <c r="F30533">
        <v>1.1726468375369599E-8</v>
      </c>
      <c r="G30533">
        <v>5349446</v>
      </c>
      <c r="H30533">
        <v>14072131</v>
      </c>
      <c r="I30533">
        <v>3157908</v>
      </c>
      <c r="J30533">
        <v>3</v>
      </c>
    </row>
    <row r="30534" spans="1:10" x14ac:dyDescent="0.25">
      <c r="A30534" t="s">
        <v>347</v>
      </c>
      <c r="B30534" s="1" t="str">
        <f>HYPERLINK("http://coralenergy.hr","coralenergy.hr")</f>
        <v>coralenergy.hr</v>
      </c>
      <c r="C30534" t="s">
        <v>452</v>
      </c>
      <c r="D30534" t="s">
        <v>829</v>
      </c>
      <c r="F30534">
        <v>5.9082533144610398E-9</v>
      </c>
      <c r="G30534">
        <v>17302534</v>
      </c>
      <c r="H30534">
        <v>12164148</v>
      </c>
      <c r="I30534">
        <v>24251463</v>
      </c>
      <c r="J30534">
        <v>4</v>
      </c>
    </row>
    <row r="30535" spans="1:10" x14ac:dyDescent="0.25">
      <c r="A30535" t="s">
        <v>347</v>
      </c>
      <c r="B30535" s="1" t="str">
        <f>HYPERLINK("http://shell.hu","shell.hu")</f>
        <v>shell.hu</v>
      </c>
      <c r="C30535" t="s">
        <v>453</v>
      </c>
      <c r="D30535" t="s">
        <v>830</v>
      </c>
      <c r="F30535">
        <v>7.6117511494212404E-8</v>
      </c>
      <c r="G30535">
        <v>551761</v>
      </c>
      <c r="H30535">
        <v>14577876</v>
      </c>
      <c r="I30535">
        <v>716455</v>
      </c>
      <c r="J30535">
        <v>2</v>
      </c>
    </row>
    <row r="30536" spans="1:10" x14ac:dyDescent="0.25">
      <c r="A30536" t="s">
        <v>347</v>
      </c>
      <c r="B30536" s="1" t="str">
        <f>HYPERLINK("http://shell.co.id","shell.co.id")</f>
        <v>shell.co.id</v>
      </c>
      <c r="C30536" t="s">
        <v>454</v>
      </c>
      <c r="D30536" t="s">
        <v>831</v>
      </c>
      <c r="E30536">
        <v>816116</v>
      </c>
      <c r="F30536">
        <v>7.67021615114452E-8</v>
      </c>
      <c r="G30536">
        <v>546333</v>
      </c>
      <c r="H30536">
        <v>14819892</v>
      </c>
      <c r="I30536">
        <v>518069</v>
      </c>
      <c r="J30536">
        <v>2</v>
      </c>
    </row>
    <row r="30537" spans="1:10" x14ac:dyDescent="0.25">
      <c r="A30537" t="s">
        <v>347</v>
      </c>
      <c r="B30537" s="1" t="str">
        <f>HYPERLINK("http://shell.id","shell.id")</f>
        <v>shell.id</v>
      </c>
      <c r="C30537" t="s">
        <v>454</v>
      </c>
      <c r="D30537" t="s">
        <v>831</v>
      </c>
      <c r="F30537">
        <v>5.6663090739879302E-9</v>
      </c>
      <c r="G30537">
        <v>19248647</v>
      </c>
      <c r="H30537">
        <v>14072734</v>
      </c>
      <c r="I30537">
        <v>3052326</v>
      </c>
      <c r="J30537">
        <v>3</v>
      </c>
    </row>
    <row r="30538" spans="1:10" x14ac:dyDescent="0.25">
      <c r="A30538" t="s">
        <v>347</v>
      </c>
      <c r="B30538" s="1" t="str">
        <f>HYPERLINK("http://shell.ie","shell.ie")</f>
        <v>shell.ie</v>
      </c>
      <c r="C30538" t="s">
        <v>455</v>
      </c>
      <c r="D30538" t="s">
        <v>832</v>
      </c>
      <c r="F30538">
        <v>4.3819830614344503E-8</v>
      </c>
      <c r="G30538">
        <v>1087771</v>
      </c>
      <c r="H30538">
        <v>13373229</v>
      </c>
      <c r="I30538">
        <v>10455115</v>
      </c>
      <c r="J30538">
        <v>2</v>
      </c>
    </row>
    <row r="30539" spans="1:10" x14ac:dyDescent="0.25">
      <c r="A30539" t="s">
        <v>347</v>
      </c>
      <c r="B30539" s="1" t="str">
        <f>HYPERLINK("http://shell.in","shell.in")</f>
        <v>shell.in</v>
      </c>
      <c r="C30539" t="s">
        <v>457</v>
      </c>
      <c r="D30539" t="s">
        <v>834</v>
      </c>
      <c r="E30539">
        <v>631987</v>
      </c>
      <c r="F30539">
        <v>8.5003504696268599E-8</v>
      </c>
      <c r="G30539">
        <v>485364</v>
      </c>
      <c r="H30539">
        <v>13533970</v>
      </c>
      <c r="I30539">
        <v>9914602</v>
      </c>
      <c r="J30539">
        <v>2</v>
      </c>
    </row>
    <row r="30540" spans="1:10" x14ac:dyDescent="0.25">
      <c r="A30540" t="s">
        <v>347</v>
      </c>
      <c r="B30540" s="1" t="str">
        <f>HYPERLINK("http://energeticum.info","energeticum.info")</f>
        <v>energeticum.info</v>
      </c>
      <c r="C30540" t="s">
        <v>458</v>
      </c>
      <c r="F30540">
        <v>7.0813814719546E-9</v>
      </c>
      <c r="G30540">
        <v>12067651</v>
      </c>
      <c r="H30540">
        <v>12336116</v>
      </c>
      <c r="I30540">
        <v>20083974</v>
      </c>
      <c r="J30540">
        <v>3</v>
      </c>
    </row>
    <row r="30541" spans="1:10" x14ac:dyDescent="0.25">
      <c r="A30541" t="s">
        <v>347</v>
      </c>
      <c r="B30541" s="1" t="str">
        <f>HYPERLINK("http://shell.iq","shell.iq")</f>
        <v>shell.iq</v>
      </c>
      <c r="C30541" t="s">
        <v>647</v>
      </c>
      <c r="D30541" t="s">
        <v>966</v>
      </c>
      <c r="F30541">
        <v>3.7623321560533501E-8</v>
      </c>
      <c r="G30541">
        <v>1375441</v>
      </c>
      <c r="H30541">
        <v>13025840</v>
      </c>
      <c r="I30541">
        <v>12691352</v>
      </c>
      <c r="J30541">
        <v>2</v>
      </c>
    </row>
    <row r="30542" spans="1:10" x14ac:dyDescent="0.25">
      <c r="A30542" t="s">
        <v>347</v>
      </c>
      <c r="B30542" s="1" t="str">
        <f>HYPERLINK("http://shell.it","shell.it")</f>
        <v>shell.it</v>
      </c>
      <c r="C30542" t="s">
        <v>459</v>
      </c>
      <c r="D30542" t="s">
        <v>835</v>
      </c>
      <c r="F30542">
        <v>8.7549022760453196E-8</v>
      </c>
      <c r="G30542">
        <v>468595</v>
      </c>
      <c r="H30542">
        <v>14172221</v>
      </c>
      <c r="I30542">
        <v>1799425</v>
      </c>
      <c r="J30542">
        <v>2</v>
      </c>
    </row>
    <row r="30543" spans="1:10" x14ac:dyDescent="0.25">
      <c r="A30543" t="s">
        <v>347</v>
      </c>
      <c r="B30543" s="1" t="str">
        <f>HYPERLINK("http://sonnen.it","sonnen.it")</f>
        <v>sonnen.it</v>
      </c>
      <c r="C30543" t="s">
        <v>459</v>
      </c>
      <c r="D30543" t="s">
        <v>835</v>
      </c>
      <c r="F30543">
        <v>5.8744476005451E-8</v>
      </c>
      <c r="G30543">
        <v>755475</v>
      </c>
      <c r="H30543">
        <v>14030328</v>
      </c>
      <c r="I30543">
        <v>3936082</v>
      </c>
      <c r="J30543">
        <v>4</v>
      </c>
    </row>
    <row r="30544" spans="1:10" x14ac:dyDescent="0.25">
      <c r="A30544" t="s">
        <v>347</v>
      </c>
      <c r="B30544" s="1" t="str">
        <f>HYPERLINK("http://shell.co.jp","shell.co.jp")</f>
        <v>shell.co.jp</v>
      </c>
      <c r="C30544" t="s">
        <v>461</v>
      </c>
      <c r="D30544" t="s">
        <v>837</v>
      </c>
      <c r="F30544">
        <v>4.6877913022195797E-8</v>
      </c>
      <c r="G30544">
        <v>996077</v>
      </c>
      <c r="H30544">
        <v>14398093</v>
      </c>
      <c r="I30544">
        <v>1157045</v>
      </c>
      <c r="J30544">
        <v>2</v>
      </c>
    </row>
    <row r="30545" spans="1:10" x14ac:dyDescent="0.25">
      <c r="A30545" t="s">
        <v>347</v>
      </c>
      <c r="B30545" s="1" t="str">
        <f>HYPERLINK("http://shell-lubes.co.jp","shell-lubes.co.jp")</f>
        <v>shell-lubes.co.jp</v>
      </c>
      <c r="C30545" t="s">
        <v>461</v>
      </c>
      <c r="D30545" t="s">
        <v>837</v>
      </c>
      <c r="F30545">
        <v>1.04431493490813E-8</v>
      </c>
      <c r="G30545">
        <v>6319911</v>
      </c>
      <c r="H30545">
        <v>14072050</v>
      </c>
      <c r="I30545">
        <v>3178518</v>
      </c>
      <c r="J30545">
        <v>3</v>
      </c>
    </row>
    <row r="30546" spans="1:10" x14ac:dyDescent="0.25">
      <c r="A30546" t="s">
        <v>347</v>
      </c>
      <c r="B30546" s="1" t="str">
        <f>HYPERLINK("http://ssskk-lobp.jp","ssskk-lobp.jp")</f>
        <v>ssskk-lobp.jp</v>
      </c>
      <c r="C30546" t="s">
        <v>461</v>
      </c>
      <c r="D30546" t="s">
        <v>837</v>
      </c>
      <c r="J30546">
        <v>2</v>
      </c>
    </row>
    <row r="30547" spans="1:10" x14ac:dyDescent="0.25">
      <c r="A30547" t="s">
        <v>347</v>
      </c>
      <c r="B30547" s="1" t="str">
        <f>HYPERLINK("http://shell.co.ke","shell.co.ke")</f>
        <v>shell.co.ke</v>
      </c>
      <c r="C30547" t="s">
        <v>462</v>
      </c>
      <c r="D30547" t="s">
        <v>838</v>
      </c>
      <c r="F30547">
        <v>5.0326525432166601E-8</v>
      </c>
      <c r="G30547">
        <v>913677</v>
      </c>
      <c r="H30547">
        <v>14034323</v>
      </c>
      <c r="I30547">
        <v>3918250</v>
      </c>
      <c r="J30547">
        <v>2</v>
      </c>
    </row>
    <row r="30548" spans="1:10" x14ac:dyDescent="0.25">
      <c r="A30548" t="s">
        <v>347</v>
      </c>
      <c r="B30548" s="1" t="str">
        <f>HYPERLINK("http://shell.co.kr","shell.co.kr")</f>
        <v>shell.co.kr</v>
      </c>
      <c r="C30548" t="s">
        <v>463</v>
      </c>
      <c r="D30548" t="s">
        <v>839</v>
      </c>
      <c r="F30548">
        <v>4.4143789055803302E-8</v>
      </c>
      <c r="G30548">
        <v>1076817</v>
      </c>
      <c r="H30548">
        <v>14076209</v>
      </c>
      <c r="I30548">
        <v>2892139</v>
      </c>
      <c r="J30548">
        <v>2</v>
      </c>
    </row>
    <row r="30549" spans="1:10" x14ac:dyDescent="0.25">
      <c r="A30549" t="s">
        <v>347</v>
      </c>
      <c r="B30549" s="1" t="str">
        <f>HYPERLINK("http://shell.com.kw","shell.com.kw")</f>
        <v>shell.com.kw</v>
      </c>
      <c r="C30549" t="s">
        <v>464</v>
      </c>
      <c r="D30549" t="s">
        <v>840</v>
      </c>
      <c r="F30549">
        <v>3.5700814563283398E-8</v>
      </c>
      <c r="G30549">
        <v>1459218</v>
      </c>
      <c r="H30549">
        <v>12602080</v>
      </c>
      <c r="I30549">
        <v>16306955</v>
      </c>
      <c r="J30549">
        <v>2</v>
      </c>
    </row>
    <row r="30550" spans="1:10" x14ac:dyDescent="0.25">
      <c r="A30550" t="s">
        <v>347</v>
      </c>
      <c r="B30550" s="1" t="str">
        <f>HYPERLINK("http://shell.com.kz","shell.com.kz")</f>
        <v>shell.com.kz</v>
      </c>
      <c r="C30550" t="s">
        <v>465</v>
      </c>
      <c r="D30550" t="s">
        <v>841</v>
      </c>
      <c r="F30550">
        <v>4.0797530991368501E-8</v>
      </c>
      <c r="G30550">
        <v>1270736</v>
      </c>
      <c r="H30550">
        <v>12642910</v>
      </c>
      <c r="I30550">
        <v>15848377</v>
      </c>
      <c r="J30550">
        <v>2</v>
      </c>
    </row>
    <row r="30551" spans="1:10" x14ac:dyDescent="0.25">
      <c r="A30551" t="s">
        <v>347</v>
      </c>
      <c r="B30551" s="1" t="str">
        <f>HYPERLINK("http://shell.lu","shell.lu")</f>
        <v>shell.lu</v>
      </c>
      <c r="C30551" t="s">
        <v>547</v>
      </c>
      <c r="D30551" t="s">
        <v>904</v>
      </c>
      <c r="F30551">
        <v>6.0523685164467304E-8</v>
      </c>
      <c r="G30551">
        <v>728492</v>
      </c>
      <c r="H30551">
        <v>13828145</v>
      </c>
      <c r="I30551">
        <v>6116425</v>
      </c>
      <c r="J30551">
        <v>2</v>
      </c>
    </row>
    <row r="30552" spans="1:10" x14ac:dyDescent="0.25">
      <c r="A30552" t="s">
        <v>347</v>
      </c>
      <c r="B30552" s="1" t="str">
        <f>HYPERLINK("http://shell.co.ma","shell.co.ma")</f>
        <v>shell.co.ma</v>
      </c>
      <c r="C30552" t="s">
        <v>469</v>
      </c>
      <c r="D30552" t="s">
        <v>845</v>
      </c>
      <c r="F30552">
        <v>4.4438573700202796E-9</v>
      </c>
      <c r="G30552">
        <v>78303208</v>
      </c>
      <c r="H30552">
        <v>10462797</v>
      </c>
      <c r="I30552">
        <v>51634046</v>
      </c>
      <c r="J30552">
        <v>2</v>
      </c>
    </row>
    <row r="30553" spans="1:10" x14ac:dyDescent="0.25">
      <c r="A30553" t="s">
        <v>347</v>
      </c>
      <c r="B30553" s="1" t="str">
        <f>HYPERLINK("http://shell.ma","shell.ma")</f>
        <v>shell.ma</v>
      </c>
      <c r="C30553" t="s">
        <v>469</v>
      </c>
      <c r="D30553" t="s">
        <v>845</v>
      </c>
      <c r="F30553">
        <v>3.7216042495492801E-8</v>
      </c>
      <c r="G30553">
        <v>1391770</v>
      </c>
      <c r="H30553">
        <v>12614359</v>
      </c>
      <c r="I30553">
        <v>16148765</v>
      </c>
      <c r="J30553">
        <v>2</v>
      </c>
    </row>
    <row r="30554" spans="1:10" x14ac:dyDescent="0.25">
      <c r="A30554" t="s">
        <v>347</v>
      </c>
      <c r="B30554" s="1" t="str">
        <f>HYPERLINK("http://shell.mg","shell.mg")</f>
        <v>shell.mg</v>
      </c>
      <c r="C30554" t="s">
        <v>615</v>
      </c>
      <c r="D30554" t="s">
        <v>940</v>
      </c>
      <c r="F30554">
        <v>3.5664829754858098E-8</v>
      </c>
      <c r="G30554">
        <v>1460437</v>
      </c>
      <c r="H30554">
        <v>12565031</v>
      </c>
      <c r="I30554">
        <v>16666286</v>
      </c>
      <c r="J30554">
        <v>2</v>
      </c>
    </row>
    <row r="30555" spans="1:10" x14ac:dyDescent="0.25">
      <c r="A30555" t="s">
        <v>347</v>
      </c>
      <c r="B30555" s="1" t="str">
        <f>HYPERLINK("http://shell.ml","shell.ml")</f>
        <v>shell.ml</v>
      </c>
      <c r="C30555" t="s">
        <v>596</v>
      </c>
      <c r="D30555" t="s">
        <v>931</v>
      </c>
      <c r="F30555">
        <v>3.5699199545112899E-8</v>
      </c>
      <c r="G30555">
        <v>1459278</v>
      </c>
      <c r="H30555">
        <v>12564984</v>
      </c>
      <c r="I30555">
        <v>16666575</v>
      </c>
      <c r="J30555">
        <v>2</v>
      </c>
    </row>
    <row r="30556" spans="1:10" x14ac:dyDescent="0.25">
      <c r="A30556" t="s">
        <v>347</v>
      </c>
      <c r="B30556" s="1" t="str">
        <f>HYPERLINK("http://shell.mu","shell.mu")</f>
        <v>shell.mu</v>
      </c>
      <c r="C30556" t="s">
        <v>572</v>
      </c>
      <c r="D30556" t="s">
        <v>919</v>
      </c>
      <c r="F30556">
        <v>3.6434826406759501E-8</v>
      </c>
      <c r="G30556">
        <v>1432741</v>
      </c>
      <c r="H30556">
        <v>12565062</v>
      </c>
      <c r="I30556">
        <v>16666048</v>
      </c>
      <c r="J30556">
        <v>2</v>
      </c>
    </row>
    <row r="30557" spans="1:10" x14ac:dyDescent="0.25">
      <c r="A30557" t="s">
        <v>347</v>
      </c>
      <c r="B30557" s="1" t="str">
        <f>HYPERLINK("http://shell.com.mx","shell.com.mx")</f>
        <v>shell.com.mx</v>
      </c>
      <c r="C30557" t="s">
        <v>471</v>
      </c>
      <c r="D30557" t="s">
        <v>847</v>
      </c>
      <c r="F30557">
        <v>5.0022164998415101E-8</v>
      </c>
      <c r="G30557">
        <v>920782</v>
      </c>
      <c r="H30557">
        <v>14243053</v>
      </c>
      <c r="I30557">
        <v>1479769</v>
      </c>
      <c r="J30557">
        <v>2</v>
      </c>
    </row>
    <row r="30558" spans="1:10" x14ac:dyDescent="0.25">
      <c r="A30558" t="s">
        <v>347</v>
      </c>
      <c r="B30558" s="1" t="str">
        <f>HYPERLINK("http://shell.com.my","shell.com.my")</f>
        <v>shell.com.my</v>
      </c>
      <c r="C30558" t="s">
        <v>472</v>
      </c>
      <c r="D30558" t="s">
        <v>848</v>
      </c>
      <c r="E30558">
        <v>448321</v>
      </c>
      <c r="F30558">
        <v>1.4646287061650701E-7</v>
      </c>
      <c r="G30558">
        <v>265806</v>
      </c>
      <c r="H30558">
        <v>17058690</v>
      </c>
      <c r="I30558">
        <v>74442</v>
      </c>
      <c r="J30558">
        <v>2</v>
      </c>
    </row>
    <row r="30559" spans="1:10" x14ac:dyDescent="0.25">
      <c r="A30559" t="s">
        <v>347</v>
      </c>
      <c r="B30559" s="1" t="str">
        <f>HYPERLINK("http://shell.my","shell.my")</f>
        <v>shell.my</v>
      </c>
      <c r="C30559" t="s">
        <v>472</v>
      </c>
      <c r="D30559" t="s">
        <v>848</v>
      </c>
      <c r="F30559">
        <v>5.4220984472262E-9</v>
      </c>
      <c r="G30559">
        <v>21836471</v>
      </c>
      <c r="H30559">
        <v>12103585</v>
      </c>
      <c r="I30559">
        <v>25883554</v>
      </c>
      <c r="J30559">
        <v>3</v>
      </c>
    </row>
    <row r="30560" spans="1:10" x14ac:dyDescent="0.25">
      <c r="A30560" t="s">
        <v>347</v>
      </c>
      <c r="B30560" s="1" t="str">
        <f>HYPERLINK("http://shell.com.na","shell.com.na")</f>
        <v>shell.com.na</v>
      </c>
      <c r="C30560" t="s">
        <v>473</v>
      </c>
      <c r="D30560" t="s">
        <v>849</v>
      </c>
      <c r="F30560">
        <v>9.0623751919154601E-9</v>
      </c>
      <c r="G30560">
        <v>7900446</v>
      </c>
      <c r="H30560">
        <v>12928451</v>
      </c>
      <c r="I30560">
        <v>13375963</v>
      </c>
      <c r="J30560">
        <v>2</v>
      </c>
    </row>
    <row r="30561" spans="1:10" x14ac:dyDescent="0.25">
      <c r="A30561" t="s">
        <v>347</v>
      </c>
      <c r="B30561" s="1" t="str">
        <f>HYPERLINK("http://pfennings.net","pfennings.net")</f>
        <v>pfennings.net</v>
      </c>
      <c r="C30561" t="s">
        <v>474</v>
      </c>
      <c r="F30561">
        <v>7.6917532274447702E-9</v>
      </c>
      <c r="G30561">
        <v>10600113</v>
      </c>
      <c r="H30561">
        <v>12787122</v>
      </c>
      <c r="I30561">
        <v>14704542</v>
      </c>
      <c r="J30561">
        <v>3</v>
      </c>
    </row>
    <row r="30562" spans="1:10" x14ac:dyDescent="0.25">
      <c r="A30562" t="s">
        <v>347</v>
      </c>
      <c r="B30562" s="1" t="str">
        <f>HYPERLINK("http://shell.com.ng","shell.com.ng")</f>
        <v>shell.com.ng</v>
      </c>
      <c r="C30562" t="s">
        <v>475</v>
      </c>
      <c r="D30562" t="s">
        <v>850</v>
      </c>
      <c r="E30562">
        <v>386616</v>
      </c>
      <c r="F30562">
        <v>2.4185663915546999E-7</v>
      </c>
      <c r="G30562">
        <v>154695</v>
      </c>
      <c r="H30562">
        <v>14655644</v>
      </c>
      <c r="I30562">
        <v>623508</v>
      </c>
      <c r="J30562">
        <v>2</v>
      </c>
    </row>
    <row r="30563" spans="1:10" x14ac:dyDescent="0.25">
      <c r="A30563" t="s">
        <v>347</v>
      </c>
      <c r="B30563" s="1" t="str">
        <f>HYPERLINK("http://crosswindhkn.nl","crosswindhkn.nl")</f>
        <v>crosswindhkn.nl</v>
      </c>
      <c r="C30563" t="s">
        <v>477</v>
      </c>
      <c r="D30563" t="s">
        <v>852</v>
      </c>
      <c r="F30563">
        <v>1.9179272622294301E-8</v>
      </c>
      <c r="G30563">
        <v>2802142</v>
      </c>
      <c r="H30563">
        <v>12642179</v>
      </c>
      <c r="I30563">
        <v>15853038</v>
      </c>
      <c r="J30563">
        <v>3</v>
      </c>
    </row>
    <row r="30564" spans="1:10" x14ac:dyDescent="0.25">
      <c r="A30564" t="s">
        <v>347</v>
      </c>
      <c r="B30564" s="1" t="str">
        <f>HYPERLINK("http://degoey.nl","degoey.nl")</f>
        <v>degoey.nl</v>
      </c>
      <c r="C30564" t="s">
        <v>477</v>
      </c>
      <c r="D30564" t="s">
        <v>852</v>
      </c>
      <c r="F30564">
        <v>6.3169653632757998E-9</v>
      </c>
      <c r="G30564">
        <v>14951283</v>
      </c>
      <c r="H30564">
        <v>13933142</v>
      </c>
      <c r="I30564">
        <v>4897555</v>
      </c>
      <c r="J30564">
        <v>4</v>
      </c>
    </row>
    <row r="30565" spans="1:10" x14ac:dyDescent="0.25">
      <c r="A30565" t="s">
        <v>347</v>
      </c>
      <c r="B30565" s="1" t="str">
        <f>HYPERLINK("http://greenplanet.nl","greenplanet.nl")</f>
        <v>greenplanet.nl</v>
      </c>
      <c r="C30565" t="s">
        <v>477</v>
      </c>
      <c r="D30565" t="s">
        <v>852</v>
      </c>
      <c r="F30565">
        <v>1.9979200502974001E-8</v>
      </c>
      <c r="G30565">
        <v>2662416</v>
      </c>
      <c r="H30565">
        <v>13249312</v>
      </c>
      <c r="I30565">
        <v>11090057</v>
      </c>
      <c r="J30565">
        <v>3</v>
      </c>
    </row>
    <row r="30566" spans="1:10" x14ac:dyDescent="0.25">
      <c r="A30566" t="s">
        <v>347</v>
      </c>
      <c r="B30566" s="1" t="str">
        <f>HYPERLINK("http://groot-jebbink.nl","groot-jebbink.nl")</f>
        <v>groot-jebbink.nl</v>
      </c>
      <c r="C30566" t="s">
        <v>477</v>
      </c>
      <c r="D30566" t="s">
        <v>852</v>
      </c>
      <c r="F30566">
        <v>6.4978881410744702E-9</v>
      </c>
      <c r="G30566">
        <v>14086936</v>
      </c>
      <c r="H30566">
        <v>12233199</v>
      </c>
      <c r="I30566">
        <v>22420426</v>
      </c>
      <c r="J30566">
        <v>3</v>
      </c>
    </row>
    <row r="30567" spans="1:10" x14ac:dyDescent="0.25">
      <c r="A30567" t="s">
        <v>347</v>
      </c>
      <c r="B30567" s="1" t="str">
        <f>HYPERLINK("http://nam.nl","nam.nl")</f>
        <v>nam.nl</v>
      </c>
      <c r="C30567" t="s">
        <v>477</v>
      </c>
      <c r="D30567" t="s">
        <v>852</v>
      </c>
      <c r="E30567">
        <v>647479</v>
      </c>
      <c r="F30567">
        <v>1.3967806754321101E-7</v>
      </c>
      <c r="G30567">
        <v>278937</v>
      </c>
      <c r="H30567">
        <v>14848801</v>
      </c>
      <c r="I30567">
        <v>491857</v>
      </c>
      <c r="J30567">
        <v>4</v>
      </c>
    </row>
    <row r="30568" spans="1:10" x14ac:dyDescent="0.25">
      <c r="A30568" t="s">
        <v>347</v>
      </c>
      <c r="B30568" s="1" t="str">
        <f>HYPERLINK("http://next-kraftwerke.nl","next-kraftwerke.nl")</f>
        <v>next-kraftwerke.nl</v>
      </c>
      <c r="C30568" t="s">
        <v>477</v>
      </c>
      <c r="D30568" t="s">
        <v>852</v>
      </c>
      <c r="F30568">
        <v>7.7827465574531293E-9</v>
      </c>
      <c r="G30568">
        <v>10362172</v>
      </c>
      <c r="H30568">
        <v>11072602</v>
      </c>
      <c r="I30568">
        <v>32551936</v>
      </c>
      <c r="J30568">
        <v>3</v>
      </c>
    </row>
    <row r="30569" spans="1:10" x14ac:dyDescent="0.25">
      <c r="A30569" t="s">
        <v>347</v>
      </c>
      <c r="B30569" s="1" t="str">
        <f>HYPERLINK("http://noordzeewind.nl","noordzeewind.nl")</f>
        <v>noordzeewind.nl</v>
      </c>
      <c r="C30569" t="s">
        <v>477</v>
      </c>
      <c r="D30569" t="s">
        <v>852</v>
      </c>
      <c r="F30569">
        <v>1.9667916537007402E-8</v>
      </c>
      <c r="G30569">
        <v>2714345</v>
      </c>
      <c r="H30569">
        <v>14257540</v>
      </c>
      <c r="I30569">
        <v>1427815</v>
      </c>
      <c r="J30569">
        <v>3</v>
      </c>
    </row>
    <row r="30570" spans="1:10" x14ac:dyDescent="0.25">
      <c r="A30570" t="s">
        <v>347</v>
      </c>
      <c r="B30570" s="1" t="str">
        <f>HYPERLINK("http://shell.nl","shell.nl")</f>
        <v>shell.nl</v>
      </c>
      <c r="C30570" t="s">
        <v>477</v>
      </c>
      <c r="D30570" t="s">
        <v>852</v>
      </c>
      <c r="E30570">
        <v>158102</v>
      </c>
      <c r="F30570">
        <v>4.1357043100553498E-7</v>
      </c>
      <c r="G30570">
        <v>90993</v>
      </c>
      <c r="H30570">
        <v>15352760</v>
      </c>
      <c r="I30570">
        <v>382662</v>
      </c>
      <c r="J30570">
        <v>2</v>
      </c>
    </row>
    <row r="30571" spans="1:10" x14ac:dyDescent="0.25">
      <c r="A30571" t="s">
        <v>347</v>
      </c>
      <c r="B30571" s="1" t="str">
        <f>HYPERLINK("http://shellexpress.nl","shellexpress.nl")</f>
        <v>shellexpress.nl</v>
      </c>
      <c r="C30571" t="s">
        <v>477</v>
      </c>
      <c r="D30571" t="s">
        <v>852</v>
      </c>
      <c r="F30571">
        <v>4.8119085306600898E-9</v>
      </c>
      <c r="G30571">
        <v>35584870</v>
      </c>
      <c r="H30571">
        <v>11942165</v>
      </c>
      <c r="I30571">
        <v>29185720</v>
      </c>
      <c r="J30571">
        <v>5</v>
      </c>
    </row>
    <row r="30572" spans="1:10" x14ac:dyDescent="0.25">
      <c r="A30572" t="s">
        <v>347</v>
      </c>
      <c r="B30572" s="1" t="str">
        <f>HYPERLINK("http://shellrilland.nl","shellrilland.nl")</f>
        <v>shellrilland.nl</v>
      </c>
      <c r="C30572" t="s">
        <v>477</v>
      </c>
      <c r="D30572" t="s">
        <v>852</v>
      </c>
      <c r="F30572">
        <v>4.5822552775662898E-9</v>
      </c>
      <c r="G30572">
        <v>49100841</v>
      </c>
      <c r="H30572">
        <v>9913424</v>
      </c>
      <c r="I30572">
        <v>61522249</v>
      </c>
      <c r="J30572">
        <v>4</v>
      </c>
    </row>
    <row r="30573" spans="1:10" x14ac:dyDescent="0.25">
      <c r="A30573" t="s">
        <v>347</v>
      </c>
      <c r="B30573" s="1" t="str">
        <f>HYPERLINK("http://shellvanberkel.nl","shellvanberkel.nl")</f>
        <v>shellvanberkel.nl</v>
      </c>
      <c r="C30573" t="s">
        <v>477</v>
      </c>
      <c r="D30573" t="s">
        <v>852</v>
      </c>
      <c r="F30573">
        <v>4.4668591402972998E-9</v>
      </c>
      <c r="G30573">
        <v>65668428</v>
      </c>
      <c r="H30573">
        <v>8398641</v>
      </c>
      <c r="I30573">
        <v>73316371</v>
      </c>
      <c r="J30573">
        <v>4</v>
      </c>
    </row>
    <row r="30574" spans="1:10" x14ac:dyDescent="0.25">
      <c r="A30574" t="s">
        <v>347</v>
      </c>
      <c r="B30574" s="1" t="str">
        <f>HYPERLINK("http://shellzevenbergen.nl","shellzevenbergen.nl")</f>
        <v>shellzevenbergen.nl</v>
      </c>
      <c r="C30574" t="s">
        <v>477</v>
      </c>
      <c r="D30574" t="s">
        <v>852</v>
      </c>
      <c r="J30574">
        <v>3</v>
      </c>
    </row>
    <row r="30575" spans="1:10" x14ac:dyDescent="0.25">
      <c r="A30575" t="s">
        <v>347</v>
      </c>
      <c r="B30575" s="1" t="str">
        <f>HYPERLINK("http://truckstop8.nl","truckstop8.nl")</f>
        <v>truckstop8.nl</v>
      </c>
      <c r="C30575" t="s">
        <v>477</v>
      </c>
      <c r="D30575" t="s">
        <v>852</v>
      </c>
      <c r="F30575">
        <v>5.0497401455886901E-9</v>
      </c>
      <c r="G30575">
        <v>28224624</v>
      </c>
      <c r="H30575">
        <v>10759664</v>
      </c>
      <c r="I30575">
        <v>39621460</v>
      </c>
      <c r="J30575">
        <v>4</v>
      </c>
    </row>
    <row r="30576" spans="1:10" x14ac:dyDescent="0.25">
      <c r="A30576" t="s">
        <v>347</v>
      </c>
      <c r="B30576" s="1" t="str">
        <f>HYPERLINK("http://vika-wezep.nl","vika-wezep.nl")</f>
        <v>vika-wezep.nl</v>
      </c>
      <c r="C30576" t="s">
        <v>477</v>
      </c>
      <c r="D30576" t="s">
        <v>852</v>
      </c>
      <c r="F30576">
        <v>4.4440149048557501E-9</v>
      </c>
      <c r="G30576">
        <v>77656349</v>
      </c>
      <c r="H30576">
        <v>9581762</v>
      </c>
      <c r="I30576">
        <v>64605313</v>
      </c>
      <c r="J30576">
        <v>4</v>
      </c>
    </row>
    <row r="30577" spans="1:10" x14ac:dyDescent="0.25">
      <c r="A30577" t="s">
        <v>347</v>
      </c>
      <c r="B30577" s="1" t="str">
        <f>HYPERLINK("http://gasnor.no","gasnor.no")</f>
        <v>gasnor.no</v>
      </c>
      <c r="C30577" t="s">
        <v>478</v>
      </c>
      <c r="D30577" t="s">
        <v>853</v>
      </c>
      <c r="F30577">
        <v>1.5504674425658601E-8</v>
      </c>
      <c r="G30577">
        <v>3683349</v>
      </c>
      <c r="H30577">
        <v>13935066</v>
      </c>
      <c r="I30577">
        <v>4554737</v>
      </c>
      <c r="J30577">
        <v>4</v>
      </c>
    </row>
    <row r="30578" spans="1:10" x14ac:dyDescent="0.25">
      <c r="A30578" t="s">
        <v>347</v>
      </c>
      <c r="B30578" s="1" t="str">
        <f>HYPERLINK("http://shell.no","shell.no")</f>
        <v>shell.no</v>
      </c>
      <c r="C30578" t="s">
        <v>478</v>
      </c>
      <c r="D30578" t="s">
        <v>853</v>
      </c>
      <c r="F30578">
        <v>1.06673479994258E-7</v>
      </c>
      <c r="G30578">
        <v>375308</v>
      </c>
      <c r="H30578">
        <v>14683177</v>
      </c>
      <c r="I30578">
        <v>606870</v>
      </c>
      <c r="J30578">
        <v>2</v>
      </c>
    </row>
    <row r="30579" spans="1:10" x14ac:dyDescent="0.25">
      <c r="A30579" t="s">
        <v>347</v>
      </c>
      <c r="B30579" s="1" t="str">
        <f>HYPERLINK("http://omanlng.co.om","omanlng.co.om")</f>
        <v>omanlng.co.om</v>
      </c>
      <c r="C30579" t="s">
        <v>480</v>
      </c>
      <c r="D30579" t="s">
        <v>855</v>
      </c>
      <c r="F30579">
        <v>2.1339124318689499E-8</v>
      </c>
      <c r="G30579">
        <v>2469327</v>
      </c>
      <c r="H30579">
        <v>12514439</v>
      </c>
      <c r="I30579">
        <v>17202318</v>
      </c>
      <c r="J30579">
        <v>6</v>
      </c>
    </row>
    <row r="30580" spans="1:10" x14ac:dyDescent="0.25">
      <c r="A30580" t="s">
        <v>347</v>
      </c>
      <c r="B30580" s="1" t="str">
        <f>HYPERLINK("http://shell.com.om","shell.com.om")</f>
        <v>shell.com.om</v>
      </c>
      <c r="C30580" t="s">
        <v>480</v>
      </c>
      <c r="D30580" t="s">
        <v>855</v>
      </c>
      <c r="F30580">
        <v>3.8533264867914999E-8</v>
      </c>
      <c r="G30580">
        <v>1338406</v>
      </c>
      <c r="H30580">
        <v>13771177</v>
      </c>
      <c r="I30580">
        <v>6702668</v>
      </c>
      <c r="J30580">
        <v>2</v>
      </c>
    </row>
    <row r="30581" spans="1:10" x14ac:dyDescent="0.25">
      <c r="A30581" t="s">
        <v>347</v>
      </c>
      <c r="B30581" s="1" t="str">
        <f>HYPERLINK("http://shelloman.com.om","shelloman.com.om")</f>
        <v>shelloman.com.om</v>
      </c>
      <c r="C30581" t="s">
        <v>480</v>
      </c>
      <c r="D30581" t="s">
        <v>855</v>
      </c>
      <c r="F30581">
        <v>4.1413042770006698E-8</v>
      </c>
      <c r="G30581">
        <v>1207251</v>
      </c>
      <c r="H30581">
        <v>13769574</v>
      </c>
      <c r="I30581">
        <v>6780014</v>
      </c>
      <c r="J30581">
        <v>3</v>
      </c>
    </row>
    <row r="30582" spans="1:10" x14ac:dyDescent="0.25">
      <c r="A30582" t="s">
        <v>347</v>
      </c>
      <c r="B30582" s="1" t="str">
        <f>HYPERLINK("http://shell.pe","shell.pe")</f>
        <v>shell.pe</v>
      </c>
      <c r="C30582" t="s">
        <v>483</v>
      </c>
      <c r="D30582" t="s">
        <v>857</v>
      </c>
      <c r="F30582">
        <v>3.5801382251097802E-8</v>
      </c>
      <c r="G30582">
        <v>1454689</v>
      </c>
      <c r="H30582">
        <v>12565011</v>
      </c>
      <c r="I30582">
        <v>16666412</v>
      </c>
      <c r="J30582">
        <v>2</v>
      </c>
    </row>
    <row r="30583" spans="1:10" x14ac:dyDescent="0.25">
      <c r="A30583" t="s">
        <v>347</v>
      </c>
      <c r="B30583" s="1" t="str">
        <f>HYPERLINK("http://shell.com.ph","shell.com.ph")</f>
        <v>shell.com.ph</v>
      </c>
      <c r="C30583" t="s">
        <v>484</v>
      </c>
      <c r="D30583" t="s">
        <v>858</v>
      </c>
      <c r="E30583">
        <v>717262</v>
      </c>
      <c r="F30583">
        <v>9.3086406967639303E-8</v>
      </c>
      <c r="G30583">
        <v>436882</v>
      </c>
      <c r="H30583">
        <v>15028890</v>
      </c>
      <c r="I30583">
        <v>418894</v>
      </c>
      <c r="J30583">
        <v>2</v>
      </c>
    </row>
    <row r="30584" spans="1:10" x14ac:dyDescent="0.25">
      <c r="A30584" t="s">
        <v>347</v>
      </c>
      <c r="B30584" s="1" t="str">
        <f>HYPERLINK("http://shell.ph","shell.ph")</f>
        <v>shell.ph</v>
      </c>
      <c r="C30584" t="s">
        <v>484</v>
      </c>
      <c r="D30584" t="s">
        <v>858</v>
      </c>
      <c r="F30584">
        <v>1.08213549910032E-8</v>
      </c>
      <c r="G30584">
        <v>6003922</v>
      </c>
      <c r="H30584">
        <v>12422298</v>
      </c>
      <c r="I30584">
        <v>18410955</v>
      </c>
      <c r="J30584">
        <v>2</v>
      </c>
    </row>
    <row r="30585" spans="1:10" x14ac:dyDescent="0.25">
      <c r="A30585" t="s">
        <v>347</v>
      </c>
      <c r="B30585" s="1" t="str">
        <f>HYPERLINK("http://shell.com.pk","shell.com.pk")</f>
        <v>shell.com.pk</v>
      </c>
      <c r="C30585" t="s">
        <v>485</v>
      </c>
      <c r="D30585" t="s">
        <v>859</v>
      </c>
      <c r="E30585">
        <v>833001</v>
      </c>
      <c r="F30585">
        <v>5.6845146667999402E-8</v>
      </c>
      <c r="G30585">
        <v>785853</v>
      </c>
      <c r="H30585">
        <v>14085351</v>
      </c>
      <c r="I30585">
        <v>2778594</v>
      </c>
      <c r="J30585">
        <v>2</v>
      </c>
    </row>
    <row r="30586" spans="1:10" x14ac:dyDescent="0.25">
      <c r="A30586" t="s">
        <v>347</v>
      </c>
      <c r="B30586" s="1" t="str">
        <f>HYPERLINK("http://next-kraftwerke.pl","next-kraftwerke.pl")</f>
        <v>next-kraftwerke.pl</v>
      </c>
      <c r="C30586" t="s">
        <v>486</v>
      </c>
      <c r="D30586" t="s">
        <v>860</v>
      </c>
      <c r="F30586">
        <v>7.4807386847466708E-9</v>
      </c>
      <c r="G30586">
        <v>11056191</v>
      </c>
      <c r="H30586">
        <v>12127628</v>
      </c>
      <c r="I30586">
        <v>25210291</v>
      </c>
      <c r="J30586">
        <v>3</v>
      </c>
    </row>
    <row r="30587" spans="1:10" x14ac:dyDescent="0.25">
      <c r="A30587" t="s">
        <v>347</v>
      </c>
      <c r="B30587" s="1" t="str">
        <f>HYPERLINK("http://shell.pl","shell.pl")</f>
        <v>shell.pl</v>
      </c>
      <c r="C30587" t="s">
        <v>486</v>
      </c>
      <c r="D30587" t="s">
        <v>860</v>
      </c>
      <c r="E30587">
        <v>618859</v>
      </c>
      <c r="F30587">
        <v>1.0198260210319699E-7</v>
      </c>
      <c r="G30587">
        <v>393968</v>
      </c>
      <c r="H30587">
        <v>14398220</v>
      </c>
      <c r="I30587">
        <v>1156897</v>
      </c>
      <c r="J30587">
        <v>2</v>
      </c>
    </row>
    <row r="30588" spans="1:10" x14ac:dyDescent="0.25">
      <c r="A30588" t="s">
        <v>347</v>
      </c>
      <c r="B30588" s="1" t="str">
        <f>HYPERLINK("http://shell.com.pr","shell.com.pr")</f>
        <v>shell.com.pr</v>
      </c>
      <c r="C30588" t="s">
        <v>487</v>
      </c>
      <c r="D30588" t="s">
        <v>861</v>
      </c>
      <c r="F30588">
        <v>3.8371622923685802E-8</v>
      </c>
      <c r="G30588">
        <v>1349186</v>
      </c>
      <c r="H30588">
        <v>12642646</v>
      </c>
      <c r="I30588">
        <v>15849915</v>
      </c>
      <c r="J30588">
        <v>2</v>
      </c>
    </row>
    <row r="30589" spans="1:10" x14ac:dyDescent="0.25">
      <c r="A30589" t="s">
        <v>347</v>
      </c>
      <c r="B30589" s="1" t="str">
        <f>HYPERLINK("http://shell.com.py","shell.com.py")</f>
        <v>shell.com.py</v>
      </c>
      <c r="C30589" t="s">
        <v>489</v>
      </c>
      <c r="D30589" t="s">
        <v>863</v>
      </c>
      <c r="F30589">
        <v>3.6162396822865202E-8</v>
      </c>
      <c r="G30589">
        <v>1441845</v>
      </c>
      <c r="H30589">
        <v>12570521</v>
      </c>
      <c r="I30589">
        <v>16622396</v>
      </c>
      <c r="J30589">
        <v>2</v>
      </c>
    </row>
    <row r="30590" spans="1:10" x14ac:dyDescent="0.25">
      <c r="A30590" t="s">
        <v>347</v>
      </c>
      <c r="B30590" s="1" t="str">
        <f>HYPERLINK("http://shell.com.qa","shell.com.qa")</f>
        <v>shell.com.qa</v>
      </c>
      <c r="C30590" t="s">
        <v>490</v>
      </c>
      <c r="D30590" t="s">
        <v>864</v>
      </c>
      <c r="F30590">
        <v>5.0906774200759297E-8</v>
      </c>
      <c r="G30590">
        <v>900876</v>
      </c>
      <c r="H30590">
        <v>13950111</v>
      </c>
      <c r="I30590">
        <v>4176840</v>
      </c>
      <c r="J30590">
        <v>2</v>
      </c>
    </row>
    <row r="30591" spans="1:10" x14ac:dyDescent="0.25">
      <c r="A30591" t="s">
        <v>347</v>
      </c>
      <c r="B30591" s="1" t="str">
        <f>HYPERLINK("http://shell.com.ro","shell.com.ro")</f>
        <v>shell.com.ro</v>
      </c>
      <c r="C30591" t="s">
        <v>491</v>
      </c>
      <c r="D30591" t="s">
        <v>865</v>
      </c>
      <c r="F30591">
        <v>3.6031386967542102E-8</v>
      </c>
      <c r="G30591">
        <v>1446393</v>
      </c>
      <c r="H30591">
        <v>12578602</v>
      </c>
      <c r="I30591">
        <v>16526947</v>
      </c>
      <c r="J30591">
        <v>2</v>
      </c>
    </row>
    <row r="30592" spans="1:10" x14ac:dyDescent="0.25">
      <c r="A30592" t="s">
        <v>347</v>
      </c>
      <c r="B30592" s="1" t="str">
        <f>HYPERLINK("http://shell.com.ru","shell.com.ru")</f>
        <v>shell.com.ru</v>
      </c>
      <c r="C30592" t="s">
        <v>493</v>
      </c>
      <c r="D30592" t="s">
        <v>867</v>
      </c>
      <c r="J30592">
        <v>3</v>
      </c>
    </row>
    <row r="30593" spans="1:10" x14ac:dyDescent="0.25">
      <c r="A30593" t="s">
        <v>347</v>
      </c>
      <c r="B30593" s="1" t="str">
        <f>HYPERLINK("http://salympetroleum.ru","salympetroleum.ru")</f>
        <v>salympetroleum.ru</v>
      </c>
      <c r="C30593" t="s">
        <v>493</v>
      </c>
      <c r="D30593" t="s">
        <v>867</v>
      </c>
      <c r="F30593">
        <v>3.4956487438415001E-8</v>
      </c>
      <c r="G30593">
        <v>1485848</v>
      </c>
      <c r="H30593">
        <v>14074842</v>
      </c>
      <c r="I30593">
        <v>2927440</v>
      </c>
      <c r="J30593">
        <v>3</v>
      </c>
    </row>
    <row r="30594" spans="1:10" x14ac:dyDescent="0.25">
      <c r="A30594" t="s">
        <v>347</v>
      </c>
      <c r="B30594" s="1" t="str">
        <f>HYPERLINK("http://shell-azs.ru","shell-azs.ru")</f>
        <v>shell-azs.ru</v>
      </c>
      <c r="C30594" t="s">
        <v>493</v>
      </c>
      <c r="D30594" t="s">
        <v>867</v>
      </c>
      <c r="J30594">
        <v>3</v>
      </c>
    </row>
    <row r="30595" spans="1:10" x14ac:dyDescent="0.25">
      <c r="A30595" t="s">
        <v>347</v>
      </c>
      <c r="B30595" s="1" t="str">
        <f>HYPERLINK("http://teboil-azs.ru","teboil-azs.ru")</f>
        <v>teboil-azs.ru</v>
      </c>
      <c r="C30595" t="s">
        <v>493</v>
      </c>
      <c r="D30595" t="s">
        <v>867</v>
      </c>
      <c r="E30595">
        <v>359853</v>
      </c>
      <c r="F30595">
        <v>5.6836458366012203E-9</v>
      </c>
      <c r="G30595">
        <v>19098565</v>
      </c>
      <c r="H30595">
        <v>12052430</v>
      </c>
      <c r="I30595">
        <v>27183658</v>
      </c>
      <c r="J30595">
        <v>4</v>
      </c>
    </row>
    <row r="30596" spans="1:10" x14ac:dyDescent="0.25">
      <c r="A30596" t="s">
        <v>347</v>
      </c>
      <c r="B30596" s="1" t="str">
        <f>HYPERLINK("http://shell.sa","shell.sa")</f>
        <v>shell.sa</v>
      </c>
      <c r="C30596" t="s">
        <v>494</v>
      </c>
      <c r="D30596" t="s">
        <v>868</v>
      </c>
      <c r="F30596">
        <v>3.8317390362758797E-8</v>
      </c>
      <c r="G30596">
        <v>1351117</v>
      </c>
      <c r="H30596">
        <v>12789919</v>
      </c>
      <c r="I30596">
        <v>14688841</v>
      </c>
      <c r="J30596">
        <v>2</v>
      </c>
    </row>
    <row r="30597" spans="1:10" x14ac:dyDescent="0.25">
      <c r="A30597" t="s">
        <v>347</v>
      </c>
      <c r="B30597" s="1" t="str">
        <f>HYPERLINK("http://shell.se","shell.se")</f>
        <v>shell.se</v>
      </c>
      <c r="C30597" t="s">
        <v>495</v>
      </c>
      <c r="D30597" t="s">
        <v>869</v>
      </c>
      <c r="F30597">
        <v>6.2996402263466004E-8</v>
      </c>
      <c r="G30597">
        <v>692397</v>
      </c>
      <c r="H30597">
        <v>13773439</v>
      </c>
      <c r="I30597">
        <v>6632163</v>
      </c>
      <c r="J30597">
        <v>2</v>
      </c>
    </row>
    <row r="30598" spans="1:10" x14ac:dyDescent="0.25">
      <c r="A30598" t="s">
        <v>347</v>
      </c>
      <c r="B30598" s="1" t="str">
        <f>HYPERLINK("http://shellstationer.se","shellstationer.se")</f>
        <v>shellstationer.se</v>
      </c>
      <c r="C30598" t="s">
        <v>495</v>
      </c>
      <c r="D30598" t="s">
        <v>869</v>
      </c>
      <c r="F30598">
        <v>9.73102320043407E-9</v>
      </c>
      <c r="G30598">
        <v>7045331</v>
      </c>
      <c r="H30598">
        <v>12204249</v>
      </c>
      <c r="I30598">
        <v>23207305</v>
      </c>
      <c r="J30598">
        <v>3</v>
      </c>
    </row>
    <row r="30599" spans="1:10" x14ac:dyDescent="0.25">
      <c r="A30599" t="s">
        <v>347</v>
      </c>
      <c r="B30599" s="1" t="str">
        <f>HYPERLINK("http://sonnen.se","sonnen.se")</f>
        <v>sonnen.se</v>
      </c>
      <c r="C30599" t="s">
        <v>495</v>
      </c>
      <c r="D30599" t="s">
        <v>869</v>
      </c>
      <c r="F30599">
        <v>1.2629289218014299E-8</v>
      </c>
      <c r="G30599">
        <v>4816028</v>
      </c>
      <c r="H30599">
        <v>12082540</v>
      </c>
      <c r="I30599">
        <v>26500948</v>
      </c>
      <c r="J30599">
        <v>4</v>
      </c>
    </row>
    <row r="30600" spans="1:10" x14ac:dyDescent="0.25">
      <c r="A30600" t="s">
        <v>347</v>
      </c>
      <c r="B30600" s="1" t="str">
        <f>HYPERLINK("http://shell.com.sg","shell.com.sg")</f>
        <v>shell.com.sg</v>
      </c>
      <c r="C30600" t="s">
        <v>496</v>
      </c>
      <c r="D30600" t="s">
        <v>870</v>
      </c>
      <c r="E30600">
        <v>647204</v>
      </c>
      <c r="F30600">
        <v>7.97658401609124E-8</v>
      </c>
      <c r="G30600">
        <v>523731</v>
      </c>
      <c r="H30600">
        <v>14159918</v>
      </c>
      <c r="I30600">
        <v>1839954</v>
      </c>
      <c r="J30600">
        <v>2</v>
      </c>
    </row>
    <row r="30601" spans="1:10" x14ac:dyDescent="0.25">
      <c r="A30601" t="s">
        <v>347</v>
      </c>
      <c r="B30601" s="1" t="str">
        <f>HYPERLINK("http://shell.sg","shell.sg")</f>
        <v>shell.sg</v>
      </c>
      <c r="C30601" t="s">
        <v>496</v>
      </c>
      <c r="D30601" t="s">
        <v>870</v>
      </c>
      <c r="F30601">
        <v>6.2929240001290198E-9</v>
      </c>
      <c r="G30601">
        <v>15065915</v>
      </c>
      <c r="H30601">
        <v>10550020</v>
      </c>
      <c r="I30601">
        <v>46706782</v>
      </c>
      <c r="J30601">
        <v>3</v>
      </c>
    </row>
    <row r="30602" spans="1:10" x14ac:dyDescent="0.25">
      <c r="A30602" t="s">
        <v>347</v>
      </c>
      <c r="B30602" s="1" t="str">
        <f>HYPERLINK("http://ru.shell","ru.shell")</f>
        <v>ru.shell</v>
      </c>
      <c r="C30602" t="s">
        <v>783</v>
      </c>
      <c r="E30602">
        <v>649366</v>
      </c>
      <c r="F30602">
        <v>3.9591205970964399E-8</v>
      </c>
      <c r="G30602">
        <v>1304202</v>
      </c>
      <c r="H30602">
        <v>13201272</v>
      </c>
      <c r="I30602">
        <v>11546582</v>
      </c>
      <c r="J30602">
        <v>3</v>
      </c>
    </row>
    <row r="30603" spans="1:10" x14ac:dyDescent="0.25">
      <c r="A30603" t="s">
        <v>347</v>
      </c>
      <c r="B30603" s="1" t="str">
        <f>HYPERLINK("http://shell.si","shell.si")</f>
        <v>shell.si</v>
      </c>
      <c r="C30603" t="s">
        <v>497</v>
      </c>
      <c r="D30603" t="s">
        <v>871</v>
      </c>
      <c r="F30603">
        <v>3.6811252875775798E-8</v>
      </c>
      <c r="G30603">
        <v>1420261</v>
      </c>
      <c r="H30603">
        <v>12654375</v>
      </c>
      <c r="I30603">
        <v>15771778</v>
      </c>
      <c r="J30603">
        <v>2</v>
      </c>
    </row>
    <row r="30604" spans="1:10" x14ac:dyDescent="0.25">
      <c r="A30604" t="s">
        <v>347</v>
      </c>
      <c r="B30604" s="1" t="str">
        <f>HYPERLINK("http://shell.sk","shell.sk")</f>
        <v>shell.sk</v>
      </c>
      <c r="C30604" t="s">
        <v>498</v>
      </c>
      <c r="D30604" t="s">
        <v>872</v>
      </c>
      <c r="F30604">
        <v>6.8793949009173698E-8</v>
      </c>
      <c r="G30604">
        <v>618199</v>
      </c>
      <c r="H30604">
        <v>14037082</v>
      </c>
      <c r="I30604">
        <v>3912907</v>
      </c>
      <c r="J30604">
        <v>2</v>
      </c>
    </row>
    <row r="30605" spans="1:10" x14ac:dyDescent="0.25">
      <c r="A30605" t="s">
        <v>347</v>
      </c>
      <c r="B30605" s="1" t="str">
        <f>HYPERLINK("http://shell.sn","shell.sn")</f>
        <v>shell.sn</v>
      </c>
      <c r="C30605" t="s">
        <v>551</v>
      </c>
      <c r="D30605" t="s">
        <v>907</v>
      </c>
      <c r="F30605">
        <v>3.5779829561632702E-8</v>
      </c>
      <c r="G30605">
        <v>1455489</v>
      </c>
      <c r="H30605">
        <v>12566073</v>
      </c>
      <c r="I30605">
        <v>16658495</v>
      </c>
      <c r="J30605">
        <v>2</v>
      </c>
    </row>
    <row r="30606" spans="1:10" x14ac:dyDescent="0.25">
      <c r="A30606" t="s">
        <v>347</v>
      </c>
      <c r="B30606" s="1" t="str">
        <f>HYPERLINK("http://shell.co.th","shell.co.th")</f>
        <v>shell.co.th</v>
      </c>
      <c r="C30606" t="s">
        <v>500</v>
      </c>
      <c r="D30606" t="s">
        <v>874</v>
      </c>
      <c r="F30606">
        <v>5.2382755318847598E-8</v>
      </c>
      <c r="G30606">
        <v>870832</v>
      </c>
      <c r="H30606">
        <v>14392604</v>
      </c>
      <c r="I30606">
        <v>1164704</v>
      </c>
      <c r="J30606">
        <v>2</v>
      </c>
    </row>
    <row r="30607" spans="1:10" x14ac:dyDescent="0.25">
      <c r="A30607" t="s">
        <v>347</v>
      </c>
      <c r="B30607" s="1" t="str">
        <f>HYPERLINK("http://shell.tn","shell.tn")</f>
        <v>shell.tn</v>
      </c>
      <c r="C30607" t="s">
        <v>501</v>
      </c>
      <c r="D30607" t="s">
        <v>875</v>
      </c>
      <c r="F30607">
        <v>3.6845551130887902E-8</v>
      </c>
      <c r="G30607">
        <v>1419098</v>
      </c>
      <c r="H30607">
        <v>12565038</v>
      </c>
      <c r="I30607">
        <v>16666233</v>
      </c>
      <c r="J30607">
        <v>2</v>
      </c>
    </row>
    <row r="30608" spans="1:10" x14ac:dyDescent="0.25">
      <c r="A30608" t="s">
        <v>347</v>
      </c>
      <c r="B30608" s="1" t="str">
        <f>HYPERLINK("http://shell.com.tr","shell.com.tr")</f>
        <v>shell.com.tr</v>
      </c>
      <c r="C30608" t="s">
        <v>502</v>
      </c>
      <c r="D30608" t="s">
        <v>876</v>
      </c>
      <c r="E30608">
        <v>478030</v>
      </c>
      <c r="F30608">
        <v>7.1652023277005704E-8</v>
      </c>
      <c r="G30608">
        <v>589671</v>
      </c>
      <c r="H30608">
        <v>13592188</v>
      </c>
      <c r="I30608">
        <v>9663988</v>
      </c>
      <c r="J30608">
        <v>2</v>
      </c>
    </row>
    <row r="30609" spans="1:10" x14ac:dyDescent="0.25">
      <c r="A30609" t="s">
        <v>347</v>
      </c>
      <c r="B30609" s="1" t="str">
        <f>HYPERLINK("http://shell.com.tw","shell.com.tw")</f>
        <v>shell.com.tw</v>
      </c>
      <c r="C30609" t="s">
        <v>504</v>
      </c>
      <c r="D30609" t="s">
        <v>878</v>
      </c>
      <c r="F30609">
        <v>3.6458517653657599E-8</v>
      </c>
      <c r="G30609">
        <v>1431923</v>
      </c>
      <c r="H30609">
        <v>14076304</v>
      </c>
      <c r="I30609">
        <v>2890395</v>
      </c>
      <c r="J30609">
        <v>2</v>
      </c>
    </row>
    <row r="30610" spans="1:10" x14ac:dyDescent="0.25">
      <c r="A30610" t="s">
        <v>347</v>
      </c>
      <c r="B30610" s="1" t="str">
        <f>HYPERLINK("http://shell.co.tz","shell.co.tz")</f>
        <v>shell.co.tz</v>
      </c>
      <c r="C30610" t="s">
        <v>676</v>
      </c>
      <c r="D30610" t="s">
        <v>994</v>
      </c>
      <c r="F30610">
        <v>3.6966640552996101E-8</v>
      </c>
      <c r="G30610">
        <v>1404343</v>
      </c>
      <c r="H30610">
        <v>13110179</v>
      </c>
      <c r="I30610">
        <v>12036902</v>
      </c>
      <c r="J30610">
        <v>2</v>
      </c>
    </row>
    <row r="30611" spans="1:10" x14ac:dyDescent="0.25">
      <c r="A30611" t="s">
        <v>347</v>
      </c>
      <c r="B30611" s="1" t="str">
        <f>HYPERLINK("http://shellsmart.com.ua","shellsmart.com.ua")</f>
        <v>shellsmart.com.ua</v>
      </c>
      <c r="C30611" t="s">
        <v>505</v>
      </c>
      <c r="D30611" t="s">
        <v>879</v>
      </c>
      <c r="F30611">
        <v>2.1920576385154602E-8</v>
      </c>
      <c r="G30611">
        <v>2395632</v>
      </c>
      <c r="H30611">
        <v>14032146</v>
      </c>
      <c r="I30611">
        <v>3924262</v>
      </c>
      <c r="J30611">
        <v>3</v>
      </c>
    </row>
    <row r="30612" spans="1:10" x14ac:dyDescent="0.25">
      <c r="A30612" t="s">
        <v>347</v>
      </c>
      <c r="B30612" s="1" t="str">
        <f>HYPERLINK("http://shell.ua","shell.ua")</f>
        <v>shell.ua</v>
      </c>
      <c r="C30612" t="s">
        <v>505</v>
      </c>
      <c r="D30612" t="s">
        <v>879</v>
      </c>
      <c r="F30612">
        <v>6.7248416035230901E-8</v>
      </c>
      <c r="G30612">
        <v>635800</v>
      </c>
      <c r="H30612">
        <v>14084496</v>
      </c>
      <c r="I30612">
        <v>2786909</v>
      </c>
      <c r="J30612">
        <v>2</v>
      </c>
    </row>
    <row r="30613" spans="1:10" x14ac:dyDescent="0.25">
      <c r="A30613" t="s">
        <v>347</v>
      </c>
      <c r="B30613" s="1" t="str">
        <f>HYPERLINK("http://shell.co.ug","shell.co.ug")</f>
        <v>shell.co.ug</v>
      </c>
      <c r="C30613" t="s">
        <v>677</v>
      </c>
      <c r="D30613" t="s">
        <v>995</v>
      </c>
      <c r="F30613">
        <v>3.6898770129834399E-8</v>
      </c>
      <c r="G30613">
        <v>1417379</v>
      </c>
      <c r="H30613">
        <v>12619146</v>
      </c>
      <c r="I30613">
        <v>16098476</v>
      </c>
      <c r="J30613">
        <v>2</v>
      </c>
    </row>
    <row r="30614" spans="1:10" x14ac:dyDescent="0.25">
      <c r="A30614" t="s">
        <v>347</v>
      </c>
      <c r="B30614" s="1" t="str">
        <f>HYPERLINK("http://bpa.co.uk","bpa.co.uk")</f>
        <v>bpa.co.uk</v>
      </c>
      <c r="C30614" t="s">
        <v>506</v>
      </c>
      <c r="D30614" t="s">
        <v>880</v>
      </c>
      <c r="F30614">
        <v>1.2837239248009499E-8</v>
      </c>
      <c r="G30614">
        <v>4710400</v>
      </c>
      <c r="H30614">
        <v>14261025</v>
      </c>
      <c r="I30614">
        <v>1418095</v>
      </c>
      <c r="J30614">
        <v>5</v>
      </c>
    </row>
    <row r="30615" spans="1:10" x14ac:dyDescent="0.25">
      <c r="A30615" t="s">
        <v>347</v>
      </c>
      <c r="B30615" s="1" t="str">
        <f>HYPERLINK("http://corallian.co.uk","corallian.co.uk")</f>
        <v>corallian.co.uk</v>
      </c>
      <c r="C30615" t="s">
        <v>506</v>
      </c>
      <c r="D30615" t="s">
        <v>880</v>
      </c>
      <c r="F30615">
        <v>9.8623626202764706E-9</v>
      </c>
      <c r="G30615">
        <v>6899979</v>
      </c>
      <c r="H30615">
        <v>13970823</v>
      </c>
      <c r="I30615">
        <v>4074969</v>
      </c>
      <c r="J30615">
        <v>3</v>
      </c>
    </row>
    <row r="30616" spans="1:10" x14ac:dyDescent="0.25">
      <c r="A30616" t="s">
        <v>347</v>
      </c>
      <c r="B30616" s="1" t="str">
        <f>HYPERLINK("http://hudsonenergy.co.uk","hudsonenergy.co.uk")</f>
        <v>hudsonenergy.co.uk</v>
      </c>
      <c r="C30616" t="s">
        <v>506</v>
      </c>
      <c r="D30616" t="s">
        <v>880</v>
      </c>
      <c r="F30616">
        <v>8.7493080072082306E-9</v>
      </c>
      <c r="G30616">
        <v>8393664</v>
      </c>
      <c r="H30616">
        <v>11175008</v>
      </c>
      <c r="I30616">
        <v>31481587</v>
      </c>
      <c r="J30616">
        <v>3</v>
      </c>
    </row>
    <row r="30617" spans="1:10" x14ac:dyDescent="0.25">
      <c r="A30617" t="s">
        <v>347</v>
      </c>
      <c r="B30617" s="1" t="str">
        <f>HYPERLINK("http://lavenderhillgarage.co.uk","lavenderhillgarage.co.uk")</f>
        <v>lavenderhillgarage.co.uk</v>
      </c>
      <c r="C30617" t="s">
        <v>506</v>
      </c>
      <c r="D30617" t="s">
        <v>880</v>
      </c>
      <c r="J30617">
        <v>4</v>
      </c>
    </row>
    <row r="30618" spans="1:10" x14ac:dyDescent="0.25">
      <c r="A30618" t="s">
        <v>347</v>
      </c>
      <c r="B30618" s="1" t="str">
        <f>HYPERLINK("http://shell.co.uk","shell.co.uk")</f>
        <v>shell.co.uk</v>
      </c>
      <c r="C30618" t="s">
        <v>506</v>
      </c>
      <c r="D30618" t="s">
        <v>880</v>
      </c>
      <c r="E30618">
        <v>103668</v>
      </c>
      <c r="F30618">
        <v>4.5361039828833802E-7</v>
      </c>
      <c r="G30618">
        <v>83355</v>
      </c>
      <c r="H30618">
        <v>17284982</v>
      </c>
      <c r="I30618">
        <v>29606</v>
      </c>
      <c r="J30618">
        <v>2</v>
      </c>
    </row>
    <row r="30619" spans="1:10" x14ac:dyDescent="0.25">
      <c r="A30619" t="s">
        <v>347</v>
      </c>
      <c r="B30619" s="1" t="str">
        <f>HYPERLINK("http://shellenergy.co.uk","shellenergy.co.uk")</f>
        <v>shellenergy.co.uk</v>
      </c>
      <c r="C30619" t="s">
        <v>506</v>
      </c>
      <c r="D30619" t="s">
        <v>880</v>
      </c>
      <c r="E30619">
        <v>84093</v>
      </c>
      <c r="F30619">
        <v>1.66962546467575E-7</v>
      </c>
      <c r="G30619">
        <v>232442</v>
      </c>
      <c r="H30619">
        <v>14565641</v>
      </c>
      <c r="I30619">
        <v>740417</v>
      </c>
      <c r="J30619">
        <v>2</v>
      </c>
    </row>
    <row r="30620" spans="1:10" x14ac:dyDescent="0.25">
      <c r="A30620" t="s">
        <v>347</v>
      </c>
      <c r="B30620" s="1" t="str">
        <f>HYPERLINK("http://ubitricity.co.uk","ubitricity.co.uk")</f>
        <v>ubitricity.co.uk</v>
      </c>
      <c r="C30620" t="s">
        <v>506</v>
      </c>
      <c r="D30620" t="s">
        <v>880</v>
      </c>
      <c r="F30620">
        <v>5.7558725541638501E-8</v>
      </c>
      <c r="G30620">
        <v>774454</v>
      </c>
      <c r="H30620">
        <v>13972074</v>
      </c>
      <c r="I30620">
        <v>4072182</v>
      </c>
      <c r="J30620">
        <v>4</v>
      </c>
    </row>
    <row r="30621" spans="1:10" x14ac:dyDescent="0.25">
      <c r="A30621" t="s">
        <v>347</v>
      </c>
      <c r="B30621" s="1" t="str">
        <f>HYPERLINK("http://shell.us","shell.us")</f>
        <v>shell.us</v>
      </c>
      <c r="C30621" t="s">
        <v>522</v>
      </c>
      <c r="D30621" t="s">
        <v>891</v>
      </c>
      <c r="E30621">
        <v>67435</v>
      </c>
      <c r="F30621">
        <v>6.4826504410980601E-7</v>
      </c>
      <c r="G30621">
        <v>59349</v>
      </c>
      <c r="H30621">
        <v>17251014</v>
      </c>
      <c r="I30621">
        <v>33843</v>
      </c>
      <c r="J30621">
        <v>2</v>
      </c>
    </row>
    <row r="30622" spans="1:10" x14ac:dyDescent="0.25">
      <c r="A30622" t="s">
        <v>347</v>
      </c>
      <c r="B30622" s="1" t="str">
        <f>HYPERLINK("http://shell.com.ve","shell.com.ve")</f>
        <v>shell.com.ve</v>
      </c>
      <c r="C30622" t="s">
        <v>508</v>
      </c>
      <c r="D30622" t="s">
        <v>882</v>
      </c>
      <c r="F30622">
        <v>4.0949213414408497E-8</v>
      </c>
      <c r="G30622">
        <v>1266765</v>
      </c>
      <c r="H30622">
        <v>13028687</v>
      </c>
      <c r="I30622">
        <v>12676168</v>
      </c>
      <c r="J30622">
        <v>2</v>
      </c>
    </row>
    <row r="30623" spans="1:10" x14ac:dyDescent="0.25">
      <c r="A30623" t="s">
        <v>347</v>
      </c>
      <c r="B30623" s="1" t="str">
        <f>HYPERLINK("http://shell.com.vn","shell.com.vn")</f>
        <v>shell.com.vn</v>
      </c>
      <c r="C30623" t="s">
        <v>509</v>
      </c>
      <c r="D30623" t="s">
        <v>883</v>
      </c>
      <c r="F30623">
        <v>4.5488979484231002E-8</v>
      </c>
      <c r="G30623">
        <v>1034860</v>
      </c>
      <c r="H30623">
        <v>13051407</v>
      </c>
      <c r="I30623">
        <v>12578709</v>
      </c>
      <c r="J30623">
        <v>2</v>
      </c>
    </row>
    <row r="30624" spans="1:10" x14ac:dyDescent="0.25">
      <c r="A30624" t="s">
        <v>347</v>
      </c>
      <c r="B30624" s="1" t="str">
        <f>HYPERLINK("http://shell.co.za","shell.co.za")</f>
        <v>shell.co.za</v>
      </c>
      <c r="C30624" t="s">
        <v>510</v>
      </c>
      <c r="D30624" t="s">
        <v>884</v>
      </c>
      <c r="F30624">
        <v>6.1287987584430901E-8</v>
      </c>
      <c r="G30624">
        <v>718481</v>
      </c>
      <c r="H30624">
        <v>13956053</v>
      </c>
      <c r="I30624">
        <v>4135237</v>
      </c>
      <c r="J30624">
        <v>2</v>
      </c>
    </row>
    <row r="30625" spans="1:10" x14ac:dyDescent="0.25">
      <c r="A30625" t="s">
        <v>348</v>
      </c>
      <c r="B30625" s="1" t="str">
        <f>HYPERLINK("http://mindray.com.cn","mindray.com.cn")</f>
        <v>mindray.com.cn</v>
      </c>
      <c r="C30625" t="s">
        <v>431</v>
      </c>
      <c r="D30625" t="s">
        <v>812</v>
      </c>
      <c r="E30625">
        <v>220911</v>
      </c>
      <c r="F30625">
        <v>6.7821511637104204E-9</v>
      </c>
      <c r="G30625">
        <v>13020090</v>
      </c>
      <c r="H30625">
        <v>10649019</v>
      </c>
      <c r="I30625">
        <v>43620125</v>
      </c>
      <c r="J30625">
        <v>4</v>
      </c>
    </row>
    <row r="30626" spans="1:10" x14ac:dyDescent="0.25">
      <c r="A30626" t="s">
        <v>348</v>
      </c>
      <c r="B30626" s="1" t="str">
        <f>HYPERLINK("http://mindray.com","mindray.com")</f>
        <v>mindray.com</v>
      </c>
      <c r="C30626" t="s">
        <v>433</v>
      </c>
      <c r="E30626">
        <v>43261</v>
      </c>
      <c r="F30626">
        <v>3.1855445117372498E-7</v>
      </c>
      <c r="G30626">
        <v>116765</v>
      </c>
      <c r="H30626">
        <v>14736217</v>
      </c>
      <c r="I30626">
        <v>569387</v>
      </c>
      <c r="J30626">
        <v>1</v>
      </c>
    </row>
    <row r="30627" spans="1:10" x14ac:dyDescent="0.25">
      <c r="A30627" t="s">
        <v>348</v>
      </c>
      <c r="B30627" s="1" t="str">
        <f>HYPERLINK("http://mindray.de","mindray.de")</f>
        <v>mindray.de</v>
      </c>
      <c r="C30627" t="s">
        <v>436</v>
      </c>
      <c r="D30627" t="s">
        <v>815</v>
      </c>
      <c r="F30627">
        <v>2.28933814891339E-8</v>
      </c>
      <c r="G30627">
        <v>2283631</v>
      </c>
      <c r="H30627">
        <v>13174462</v>
      </c>
      <c r="I30627">
        <v>11710541</v>
      </c>
      <c r="J30627">
        <v>2</v>
      </c>
    </row>
    <row r="30628" spans="1:10" x14ac:dyDescent="0.25">
      <c r="A30628" t="s">
        <v>349</v>
      </c>
      <c r="B30628" s="1" t="str">
        <f>HYPERLINK("http://sherwin.com.ar","sherwin.com.ar")</f>
        <v>sherwin.com.ar</v>
      </c>
      <c r="C30628" t="s">
        <v>418</v>
      </c>
      <c r="D30628" t="s">
        <v>800</v>
      </c>
      <c r="F30628">
        <v>2.2984100547561201E-8</v>
      </c>
      <c r="G30628">
        <v>2273576</v>
      </c>
      <c r="H30628">
        <v>14201455</v>
      </c>
      <c r="I30628">
        <v>1720559</v>
      </c>
      <c r="J30628">
        <v>4</v>
      </c>
    </row>
    <row r="30629" spans="1:10" x14ac:dyDescent="0.25">
      <c r="A30629" t="s">
        <v>349</v>
      </c>
      <c r="B30629" s="1" t="str">
        <f>HYPERLINK("http://isocoat.com.br","isocoat.com.br")</f>
        <v>isocoat.com.br</v>
      </c>
      <c r="C30629" t="s">
        <v>425</v>
      </c>
      <c r="D30629" t="s">
        <v>806</v>
      </c>
      <c r="F30629">
        <v>4.5190858416997801E-9</v>
      </c>
      <c r="G30629">
        <v>56339610</v>
      </c>
      <c r="H30629">
        <v>12320822</v>
      </c>
      <c r="I30629">
        <v>20401755</v>
      </c>
      <c r="J30629">
        <v>3</v>
      </c>
    </row>
    <row r="30630" spans="1:10" x14ac:dyDescent="0.25">
      <c r="A30630" t="s">
        <v>349</v>
      </c>
      <c r="B30630" s="1" t="str">
        <f>HYPERLINK("http://sherwin-williams.com.br","sherwin-williams.com.br")</f>
        <v>sherwin-williams.com.br</v>
      </c>
      <c r="C30630" t="s">
        <v>425</v>
      </c>
      <c r="D30630" t="s">
        <v>806</v>
      </c>
      <c r="F30630">
        <v>1.5525655682287599E-8</v>
      </c>
      <c r="G30630">
        <v>3677280</v>
      </c>
      <c r="H30630">
        <v>13769760</v>
      </c>
      <c r="I30630">
        <v>6770684</v>
      </c>
      <c r="J30630">
        <v>2</v>
      </c>
    </row>
    <row r="30631" spans="1:10" x14ac:dyDescent="0.25">
      <c r="A30631" t="s">
        <v>349</v>
      </c>
      <c r="B30631" s="1" t="str">
        <f>HYPERLINK("http://sherwin-williams.ca","sherwin-williams.ca")</f>
        <v>sherwin-williams.ca</v>
      </c>
      <c r="C30631" t="s">
        <v>428</v>
      </c>
      <c r="D30631" t="s">
        <v>809</v>
      </c>
      <c r="F30631">
        <v>5.8877043467843603E-8</v>
      </c>
      <c r="G30631">
        <v>753509</v>
      </c>
      <c r="H30631">
        <v>14108582</v>
      </c>
      <c r="I30631">
        <v>2679633</v>
      </c>
      <c r="J30631">
        <v>2</v>
      </c>
    </row>
    <row r="30632" spans="1:10" x14ac:dyDescent="0.25">
      <c r="A30632" t="s">
        <v>349</v>
      </c>
      <c r="B30632" s="1" t="str">
        <f>HYPERLINK("http://valspar.ca","valspar.ca")</f>
        <v>valspar.ca</v>
      </c>
      <c r="C30632" t="s">
        <v>428</v>
      </c>
      <c r="D30632" t="s">
        <v>809</v>
      </c>
      <c r="F30632">
        <v>5.1376227812723797E-8</v>
      </c>
      <c r="G30632">
        <v>890925</v>
      </c>
      <c r="H30632">
        <v>13576122</v>
      </c>
      <c r="I30632">
        <v>9700950</v>
      </c>
      <c r="J30632">
        <v>6</v>
      </c>
    </row>
    <row r="30633" spans="1:10" x14ac:dyDescent="0.25">
      <c r="A30633" t="s">
        <v>349</v>
      </c>
      <c r="B30633" s="1" t="str">
        <f>HYPERLINK("http://sherwin.cl","sherwin.cl")</f>
        <v>sherwin.cl</v>
      </c>
      <c r="C30633" t="s">
        <v>430</v>
      </c>
      <c r="D30633" t="s">
        <v>811</v>
      </c>
      <c r="F30633">
        <v>2.09842052440274E-8</v>
      </c>
      <c r="G30633">
        <v>2517911</v>
      </c>
      <c r="H30633">
        <v>13174935</v>
      </c>
      <c r="I30633">
        <v>11708178</v>
      </c>
      <c r="J30633">
        <v>3</v>
      </c>
    </row>
    <row r="30634" spans="1:10" x14ac:dyDescent="0.25">
      <c r="A30634" t="s">
        <v>349</v>
      </c>
      <c r="B30634" s="1" t="str">
        <f>HYPERLINK("http://sherwin-automotive.com.cn","sherwin-automotive.com.cn")</f>
        <v>sherwin-automotive.com.cn</v>
      </c>
      <c r="C30634" t="s">
        <v>431</v>
      </c>
      <c r="D30634" t="s">
        <v>812</v>
      </c>
      <c r="F30634">
        <v>1.61130249972365E-8</v>
      </c>
      <c r="G30634">
        <v>3517269</v>
      </c>
      <c r="H30634">
        <v>12326645</v>
      </c>
      <c r="I30634">
        <v>20296351</v>
      </c>
      <c r="J30634">
        <v>4</v>
      </c>
    </row>
    <row r="30635" spans="1:10" x14ac:dyDescent="0.25">
      <c r="A30635" t="s">
        <v>349</v>
      </c>
      <c r="B30635" s="1" t="str">
        <f>HYPERLINK("http://becker-acroma.com","becker-acroma.com")</f>
        <v>becker-acroma.com</v>
      </c>
      <c r="C30635" t="s">
        <v>433</v>
      </c>
      <c r="F30635">
        <v>6.0687758410108299E-9</v>
      </c>
      <c r="G30635">
        <v>16272932</v>
      </c>
      <c r="H30635">
        <v>13763637</v>
      </c>
      <c r="I30635">
        <v>8011651</v>
      </c>
      <c r="J30635">
        <v>5</v>
      </c>
    </row>
    <row r="30636" spans="1:10" x14ac:dyDescent="0.25">
      <c r="A30636" t="s">
        <v>349</v>
      </c>
      <c r="B30636" s="1" t="str">
        <f>HYPERLINK("http://collisioncore.com","collisioncore.com")</f>
        <v>collisioncore.com</v>
      </c>
      <c r="C30636" t="s">
        <v>433</v>
      </c>
      <c r="F30636">
        <v>5.6041506166863697E-9</v>
      </c>
      <c r="G30636">
        <v>19818144</v>
      </c>
      <c r="H30636">
        <v>1.0003663</v>
      </c>
      <c r="I30636">
        <v>78551222</v>
      </c>
      <c r="J30636">
        <v>2</v>
      </c>
    </row>
    <row r="30637" spans="1:10" x14ac:dyDescent="0.25">
      <c r="A30637" t="s">
        <v>349</v>
      </c>
      <c r="B30637" s="1" t="str">
        <f>HYPERLINK("http://dutchboy.com","dutchboy.com")</f>
        <v>dutchboy.com</v>
      </c>
      <c r="C30637" t="s">
        <v>433</v>
      </c>
      <c r="E30637">
        <v>850313</v>
      </c>
      <c r="F30637">
        <v>9.2423038783944106E-8</v>
      </c>
      <c r="G30637">
        <v>440343</v>
      </c>
      <c r="H30637">
        <v>14765475</v>
      </c>
      <c r="I30637">
        <v>559145</v>
      </c>
      <c r="J30637">
        <v>3</v>
      </c>
    </row>
    <row r="30638" spans="1:10" x14ac:dyDescent="0.25">
      <c r="A30638" t="s">
        <v>349</v>
      </c>
      <c r="B30638" s="1" t="str">
        <f>HYPERLINK("http://eps-materials.com","eps-materials.com")</f>
        <v>eps-materials.com</v>
      </c>
      <c r="C30638" t="s">
        <v>433</v>
      </c>
      <c r="F30638">
        <v>4.6836971621189299E-9</v>
      </c>
      <c r="G30638">
        <v>42124568</v>
      </c>
      <c r="H30638">
        <v>11101362</v>
      </c>
      <c r="I30638">
        <v>32249386</v>
      </c>
      <c r="J30638">
        <v>3</v>
      </c>
    </row>
    <row r="30639" spans="1:10" x14ac:dyDescent="0.25">
      <c r="A30639" t="s">
        <v>349</v>
      </c>
      <c r="B30639" s="1" t="str">
        <f>HYPERLINK("http://generalpaint.com","generalpaint.com")</f>
        <v>generalpaint.com</v>
      </c>
      <c r="C30639" t="s">
        <v>433</v>
      </c>
      <c r="F30639">
        <v>2.21320278198957E-8</v>
      </c>
      <c r="G30639">
        <v>2370725</v>
      </c>
      <c r="H30639">
        <v>14170321</v>
      </c>
      <c r="I30639">
        <v>1804715</v>
      </c>
      <c r="J30639">
        <v>3</v>
      </c>
    </row>
    <row r="30640" spans="1:10" x14ac:dyDescent="0.25">
      <c r="A30640" t="s">
        <v>349</v>
      </c>
      <c r="B30640" s="1" t="str">
        <f>HYPERLINK("http://gmscolor.com","gmscolor.com")</f>
        <v>gmscolor.com</v>
      </c>
      <c r="C30640" t="s">
        <v>433</v>
      </c>
      <c r="E30640">
        <v>860058</v>
      </c>
      <c r="F30640">
        <v>3.8342828731345101E-8</v>
      </c>
      <c r="G30640">
        <v>1350258</v>
      </c>
      <c r="H30640">
        <v>13739224</v>
      </c>
      <c r="I30640">
        <v>9432180</v>
      </c>
      <c r="J30640">
        <v>2</v>
      </c>
    </row>
    <row r="30641" spans="1:10" x14ac:dyDescent="0.25">
      <c r="A30641" t="s">
        <v>349</v>
      </c>
      <c r="B30641" s="1" t="str">
        <f>HYPERLINK("http://huarun.com","huarun.com")</f>
        <v>huarun.com</v>
      </c>
      <c r="C30641" t="s">
        <v>433</v>
      </c>
      <c r="F30641">
        <v>3.1668180609126698E-8</v>
      </c>
      <c r="G30641">
        <v>1630001</v>
      </c>
      <c r="H30641">
        <v>12672644</v>
      </c>
      <c r="I30641">
        <v>15579809</v>
      </c>
      <c r="J30641">
        <v>2</v>
      </c>
    </row>
    <row r="30642" spans="1:10" x14ac:dyDescent="0.25">
      <c r="A30642" t="s">
        <v>349</v>
      </c>
      <c r="B30642" s="1" t="str">
        <f>HYPERLINK("http://inver.com","inver.com")</f>
        <v>inver.com</v>
      </c>
      <c r="C30642" t="s">
        <v>433</v>
      </c>
      <c r="F30642">
        <v>1.1934146738787E-8</v>
      </c>
      <c r="G30642">
        <v>5216619</v>
      </c>
      <c r="H30642">
        <v>11297649</v>
      </c>
      <c r="I30642">
        <v>30619960</v>
      </c>
      <c r="J30642">
        <v>3</v>
      </c>
    </row>
    <row r="30643" spans="1:10" x14ac:dyDescent="0.25">
      <c r="A30643" t="s">
        <v>349</v>
      </c>
      <c r="B30643" s="1" t="str">
        <f>HYPERLINK("http://leighspaints.com","leighspaints.com")</f>
        <v>leighspaints.com</v>
      </c>
      <c r="C30643" t="s">
        <v>433</v>
      </c>
      <c r="F30643">
        <v>4.4718645957190799E-9</v>
      </c>
      <c r="G30643">
        <v>64115551</v>
      </c>
      <c r="H30643">
        <v>10910419</v>
      </c>
      <c r="I30643">
        <v>35620029</v>
      </c>
      <c r="J30643">
        <v>4</v>
      </c>
    </row>
    <row r="30644" spans="1:10" x14ac:dyDescent="0.25">
      <c r="A30644" t="s">
        <v>349</v>
      </c>
      <c r="B30644" s="1" t="str">
        <f>HYPERLINK("http://mabpaints.com","mabpaints.com")</f>
        <v>mabpaints.com</v>
      </c>
      <c r="C30644" t="s">
        <v>433</v>
      </c>
      <c r="F30644">
        <v>8.3151615677079498E-9</v>
      </c>
      <c r="G30644">
        <v>9222597</v>
      </c>
      <c r="H30644">
        <v>13076404</v>
      </c>
      <c r="I30644">
        <v>12206788</v>
      </c>
      <c r="J30644">
        <v>3</v>
      </c>
    </row>
    <row r="30645" spans="1:10" x14ac:dyDescent="0.25">
      <c r="A30645" t="s">
        <v>349</v>
      </c>
      <c r="B30645" s="1" t="str">
        <f>HYPERLINK("http://myprattandlambert.com","myprattandlambert.com")</f>
        <v>myprattandlambert.com</v>
      </c>
      <c r="C30645" t="s">
        <v>433</v>
      </c>
      <c r="F30645">
        <v>4.7202660094462403E-9</v>
      </c>
      <c r="G30645">
        <v>40206915</v>
      </c>
      <c r="H30645">
        <v>9527829</v>
      </c>
      <c r="I30645">
        <v>65321100</v>
      </c>
      <c r="J30645">
        <v>2</v>
      </c>
    </row>
    <row r="30646" spans="1:10" x14ac:dyDescent="0.25">
      <c r="A30646" t="s">
        <v>349</v>
      </c>
      <c r="B30646" s="1" t="str">
        <f>HYPERLINK("http://pinturascondor.com","pinturascondor.com")</f>
        <v>pinturascondor.com</v>
      </c>
      <c r="C30646" t="s">
        <v>433</v>
      </c>
      <c r="F30646">
        <v>6.4589987472261802E-9</v>
      </c>
      <c r="G30646">
        <v>14252883</v>
      </c>
      <c r="H30646">
        <v>13933068</v>
      </c>
      <c r="I30646">
        <v>4968807</v>
      </c>
      <c r="J30646">
        <v>2</v>
      </c>
    </row>
    <row r="30647" spans="1:10" x14ac:dyDescent="0.25">
      <c r="A30647" t="s">
        <v>349</v>
      </c>
      <c r="B30647" s="1" t="str">
        <f>HYPERLINK("http://plasti-kote.com","plasti-kote.com")</f>
        <v>plasti-kote.com</v>
      </c>
      <c r="C30647" t="s">
        <v>433</v>
      </c>
      <c r="F30647">
        <v>6.2237023793145301E-9</v>
      </c>
      <c r="G30647">
        <v>15406687</v>
      </c>
      <c r="H30647">
        <v>12749536</v>
      </c>
      <c r="I30647">
        <v>15052725</v>
      </c>
      <c r="J30647">
        <v>3</v>
      </c>
    </row>
    <row r="30648" spans="1:10" x14ac:dyDescent="0.25">
      <c r="A30648" t="s">
        <v>349</v>
      </c>
      <c r="B30648" s="1" t="str">
        <f>HYPERLINK("http://prattandlambert.com","prattandlambert.com")</f>
        <v>prattandlambert.com</v>
      </c>
      <c r="C30648" t="s">
        <v>433</v>
      </c>
      <c r="F30648">
        <v>1.1201866053595E-7</v>
      </c>
      <c r="G30648">
        <v>356661</v>
      </c>
      <c r="H30648">
        <v>14004058</v>
      </c>
      <c r="I30648">
        <v>4008251</v>
      </c>
      <c r="J30648">
        <v>2</v>
      </c>
    </row>
    <row r="30649" spans="1:10" x14ac:dyDescent="0.25">
      <c r="A30649" t="s">
        <v>349</v>
      </c>
      <c r="B30649" s="1" t="str">
        <f>HYPERLINK("http://ronseal.com","ronseal.com")</f>
        <v>ronseal.com</v>
      </c>
      <c r="C30649" t="s">
        <v>433</v>
      </c>
      <c r="E30649">
        <v>532027</v>
      </c>
      <c r="F30649">
        <v>1.2670625542007E-7</v>
      </c>
      <c r="G30649">
        <v>311245</v>
      </c>
      <c r="H30649">
        <v>14412664</v>
      </c>
      <c r="I30649">
        <v>1142581</v>
      </c>
      <c r="J30649">
        <v>4</v>
      </c>
    </row>
    <row r="30650" spans="1:10" x14ac:dyDescent="0.25">
      <c r="A30650" t="s">
        <v>349</v>
      </c>
      <c r="B30650" s="1" t="str">
        <f>HYPERLINK("http://sherwin.com","sherwin.com")</f>
        <v>sherwin.com</v>
      </c>
      <c r="C30650" t="s">
        <v>433</v>
      </c>
      <c r="E30650">
        <v>37699</v>
      </c>
      <c r="F30650">
        <v>1.3787881861944601E-7</v>
      </c>
      <c r="G30650">
        <v>282613</v>
      </c>
      <c r="H30650">
        <v>14582843</v>
      </c>
      <c r="I30650">
        <v>705721</v>
      </c>
      <c r="J30650">
        <v>2</v>
      </c>
    </row>
    <row r="30651" spans="1:10" x14ac:dyDescent="0.25">
      <c r="A30651" t="s">
        <v>349</v>
      </c>
      <c r="B30651" s="1" t="str">
        <f>HYPERLINK("http://sherwin-automotive.com","sherwin-automotive.com")</f>
        <v>sherwin-automotive.com</v>
      </c>
      <c r="C30651" t="s">
        <v>433</v>
      </c>
      <c r="E30651">
        <v>794643</v>
      </c>
      <c r="F30651">
        <v>6.9968357340427206E-8</v>
      </c>
      <c r="G30651">
        <v>605621</v>
      </c>
      <c r="H30651">
        <v>13953301</v>
      </c>
      <c r="I30651">
        <v>4151283</v>
      </c>
      <c r="J30651">
        <v>3</v>
      </c>
    </row>
    <row r="30652" spans="1:10" x14ac:dyDescent="0.25">
      <c r="A30652" t="s">
        <v>349</v>
      </c>
      <c r="B30652" s="1" t="str">
        <f>HYPERLINK("http://sherwin-williams.com","sherwin-williams.com")</f>
        <v>sherwin-williams.com</v>
      </c>
      <c r="C30652" t="s">
        <v>433</v>
      </c>
      <c r="E30652">
        <v>11554</v>
      </c>
      <c r="F30652">
        <v>3.31460024164187E-6</v>
      </c>
      <c r="G30652">
        <v>12128</v>
      </c>
      <c r="H30652">
        <v>17615574</v>
      </c>
      <c r="I30652">
        <v>9230</v>
      </c>
      <c r="J30652">
        <v>1</v>
      </c>
    </row>
    <row r="30653" spans="1:10" x14ac:dyDescent="0.25">
      <c r="A30653" t="s">
        <v>349</v>
      </c>
      <c r="B30653" s="1" t="str">
        <f>HYPERLINK("http://sherwinwilliams.com","sherwinwilliams.com")</f>
        <v>sherwinwilliams.com</v>
      </c>
      <c r="C30653" t="s">
        <v>433</v>
      </c>
      <c r="F30653">
        <v>6.17502794787962E-8</v>
      </c>
      <c r="G30653">
        <v>712361</v>
      </c>
      <c r="H30653">
        <v>14638073</v>
      </c>
      <c r="I30653">
        <v>638799</v>
      </c>
      <c r="J30653">
        <v>3</v>
      </c>
    </row>
    <row r="30654" spans="1:10" x14ac:dyDescent="0.25">
      <c r="A30654" t="s">
        <v>349</v>
      </c>
      <c r="B30654" s="1" t="str">
        <f>HYPERLINK("http://sherwinwilliamsadvisoryboard.com","sherwinwilliamsadvisoryboard.com")</f>
        <v>sherwinwilliamsadvisoryboard.com</v>
      </c>
      <c r="C30654" t="s">
        <v>433</v>
      </c>
      <c r="J30654">
        <v>2</v>
      </c>
    </row>
    <row r="30655" spans="1:10" x14ac:dyDescent="0.25">
      <c r="A30655" t="s">
        <v>349</v>
      </c>
      <c r="B30655" s="1" t="str">
        <f>HYPERLINK("http://shwaks.com","shwaks.com")</f>
        <v>shwaks.com</v>
      </c>
      <c r="C30655" t="s">
        <v>433</v>
      </c>
      <c r="J30655">
        <v>2</v>
      </c>
    </row>
    <row r="30656" spans="1:10" x14ac:dyDescent="0.25">
      <c r="A30656" t="s">
        <v>349</v>
      </c>
      <c r="B30656" s="1" t="str">
        <f>HYPERLINK("http://swkaleidoscope.com","swkaleidoscope.com")</f>
        <v>swkaleidoscope.com</v>
      </c>
      <c r="C30656" t="s">
        <v>433</v>
      </c>
      <c r="J30656">
        <v>2</v>
      </c>
    </row>
    <row r="30657" spans="1:10" x14ac:dyDescent="0.25">
      <c r="A30657" t="s">
        <v>349</v>
      </c>
      <c r="B30657" s="1" t="str">
        <f>HYPERLINK("http://valspar.com","valspar.com")</f>
        <v>valspar.com</v>
      </c>
      <c r="C30657" t="s">
        <v>433</v>
      </c>
      <c r="E30657">
        <v>106929</v>
      </c>
      <c r="F30657">
        <v>4.60034146858853E-7</v>
      </c>
      <c r="G30657">
        <v>82210</v>
      </c>
      <c r="H30657">
        <v>14918330</v>
      </c>
      <c r="I30657">
        <v>452938</v>
      </c>
      <c r="J30657">
        <v>5</v>
      </c>
    </row>
    <row r="30658" spans="1:10" x14ac:dyDescent="0.25">
      <c r="A30658" t="s">
        <v>349</v>
      </c>
      <c r="B30658" s="1" t="str">
        <f>HYPERLINK("http://valsparcoileurope.com","valsparcoileurope.com")</f>
        <v>valsparcoileurope.com</v>
      </c>
      <c r="C30658" t="s">
        <v>433</v>
      </c>
      <c r="F30658">
        <v>1.30818693634616E-8</v>
      </c>
      <c r="G30658">
        <v>4592377</v>
      </c>
      <c r="H30658">
        <v>12308000</v>
      </c>
      <c r="I30658">
        <v>20676901</v>
      </c>
      <c r="J30658">
        <v>3</v>
      </c>
    </row>
    <row r="30659" spans="1:10" x14ac:dyDescent="0.25">
      <c r="A30659" t="s">
        <v>349</v>
      </c>
      <c r="B30659" s="1" t="str">
        <f>HYPERLINK("http://valsparglobal.com","valsparglobal.com")</f>
        <v>valsparglobal.com</v>
      </c>
      <c r="C30659" t="s">
        <v>433</v>
      </c>
      <c r="F30659">
        <v>2.2677881949392801E-8</v>
      </c>
      <c r="G30659">
        <v>2309163</v>
      </c>
      <c r="H30659">
        <v>13989714</v>
      </c>
      <c r="I30659">
        <v>4033483</v>
      </c>
      <c r="J30659">
        <v>3</v>
      </c>
    </row>
    <row r="30660" spans="1:10" x14ac:dyDescent="0.25">
      <c r="A30660" t="s">
        <v>349</v>
      </c>
      <c r="B30660" s="1" t="str">
        <f>HYPERLINK("http://valsparpackaging.com","valsparpackaging.com")</f>
        <v>valsparpackaging.com</v>
      </c>
      <c r="C30660" t="s">
        <v>433</v>
      </c>
      <c r="F30660">
        <v>1.6117645106589599E-8</v>
      </c>
      <c r="G30660">
        <v>3516136</v>
      </c>
      <c r="H30660">
        <v>12431309</v>
      </c>
      <c r="I30660">
        <v>18283679</v>
      </c>
      <c r="J30660">
        <v>13</v>
      </c>
    </row>
    <row r="30661" spans="1:10" x14ac:dyDescent="0.25">
      <c r="A30661" t="s">
        <v>349</v>
      </c>
      <c r="B30661" s="1" t="str">
        <f>HYPERLINK("http://de-beer.fi","de-beer.fi")</f>
        <v>de-beer.fi</v>
      </c>
      <c r="C30661" t="s">
        <v>445</v>
      </c>
      <c r="D30661" t="s">
        <v>823</v>
      </c>
      <c r="J30661">
        <v>4</v>
      </c>
    </row>
    <row r="30662" spans="1:10" x14ac:dyDescent="0.25">
      <c r="A30662" t="s">
        <v>349</v>
      </c>
      <c r="B30662" s="1" t="str">
        <f>HYPERLINK("http://debeer.fi","debeer.fi")</f>
        <v>debeer.fi</v>
      </c>
      <c r="C30662" t="s">
        <v>445</v>
      </c>
      <c r="D30662" t="s">
        <v>823</v>
      </c>
      <c r="J30662">
        <v>4</v>
      </c>
    </row>
    <row r="30663" spans="1:10" x14ac:dyDescent="0.25">
      <c r="A30663" t="s">
        <v>349</v>
      </c>
      <c r="B30663" s="1" t="str">
        <f>HYPERLINK("http://houseofkolor.fi","houseofkolor.fi")</f>
        <v>houseofkolor.fi</v>
      </c>
      <c r="C30663" t="s">
        <v>445</v>
      </c>
      <c r="D30663" t="s">
        <v>823</v>
      </c>
      <c r="J30663">
        <v>4</v>
      </c>
    </row>
    <row r="30664" spans="1:10" x14ac:dyDescent="0.25">
      <c r="A30664" t="s">
        <v>349</v>
      </c>
      <c r="B30664" s="1" t="str">
        <f>HYPERLINK("http://powdertech.fi","powdertech.fi")</f>
        <v>powdertech.fi</v>
      </c>
      <c r="C30664" t="s">
        <v>445</v>
      </c>
      <c r="D30664" t="s">
        <v>823</v>
      </c>
      <c r="F30664">
        <v>5.4829965257428697E-9</v>
      </c>
      <c r="G30664">
        <v>21094412</v>
      </c>
      <c r="H30664">
        <v>10178271</v>
      </c>
      <c r="I30664">
        <v>59257452</v>
      </c>
      <c r="J30664">
        <v>4</v>
      </c>
    </row>
    <row r="30665" spans="1:10" x14ac:dyDescent="0.25">
      <c r="A30665" t="s">
        <v>349</v>
      </c>
      <c r="B30665" s="1" t="str">
        <f>HYPERLINK("http://valspar.fi","valspar.fi")</f>
        <v>valspar.fi</v>
      </c>
      <c r="C30665" t="s">
        <v>445</v>
      </c>
      <c r="D30665" t="s">
        <v>823</v>
      </c>
      <c r="J30665">
        <v>4</v>
      </c>
    </row>
    <row r="30666" spans="1:10" x14ac:dyDescent="0.25">
      <c r="A30666" t="s">
        <v>349</v>
      </c>
      <c r="B30666" s="1" t="str">
        <f>HYPERLINK("http://vantaco.fi","vantaco.fi")</f>
        <v>vantaco.fi</v>
      </c>
      <c r="C30666" t="s">
        <v>445</v>
      </c>
      <c r="D30666" t="s">
        <v>823</v>
      </c>
      <c r="J30666">
        <v>4</v>
      </c>
    </row>
    <row r="30667" spans="1:10" x14ac:dyDescent="0.25">
      <c r="A30667" t="s">
        <v>349</v>
      </c>
      <c r="B30667" s="1" t="str">
        <f>HYPERLINK("http://valsparpaint.fr","valsparpaint.fr")</f>
        <v>valsparpaint.fr</v>
      </c>
      <c r="C30667" t="s">
        <v>446</v>
      </c>
      <c r="D30667" t="s">
        <v>824</v>
      </c>
      <c r="F30667">
        <v>4.7681248262363403E-9</v>
      </c>
      <c r="G30667">
        <v>37455985</v>
      </c>
      <c r="H30667">
        <v>7273378.5</v>
      </c>
      <c r="I30667">
        <v>76341700</v>
      </c>
      <c r="J30667">
        <v>9</v>
      </c>
    </row>
    <row r="30668" spans="1:10" x14ac:dyDescent="0.25">
      <c r="A30668" t="s">
        <v>349</v>
      </c>
      <c r="B30668" s="1" t="str">
        <f>HYPERLINK("http://inver.gr","inver.gr")</f>
        <v>inver.gr</v>
      </c>
      <c r="C30668" t="s">
        <v>447</v>
      </c>
      <c r="D30668" t="s">
        <v>825</v>
      </c>
      <c r="F30668">
        <v>7.1566657179545997E-9</v>
      </c>
      <c r="G30668">
        <v>11859245</v>
      </c>
      <c r="H30668">
        <v>11124985</v>
      </c>
      <c r="I30668">
        <v>32002858</v>
      </c>
      <c r="J30668">
        <v>3</v>
      </c>
    </row>
    <row r="30669" spans="1:10" x14ac:dyDescent="0.25">
      <c r="A30669" t="s">
        <v>349</v>
      </c>
      <c r="B30669" s="1" t="str">
        <f>HYPERLINK("http://isva.it","isva.it")</f>
        <v>isva.it</v>
      </c>
      <c r="C30669" t="s">
        <v>459</v>
      </c>
      <c r="D30669" t="s">
        <v>835</v>
      </c>
      <c r="J30669">
        <v>3</v>
      </c>
    </row>
    <row r="30670" spans="1:10" x14ac:dyDescent="0.25">
      <c r="A30670" t="s">
        <v>349</v>
      </c>
      <c r="B30670" s="1" t="str">
        <f>HYPERLINK("http://sherwin-williams.com.jm","sherwin-williams.com.jm")</f>
        <v>sherwin-williams.com.jm</v>
      </c>
      <c r="C30670" t="s">
        <v>460</v>
      </c>
      <c r="D30670" t="s">
        <v>836</v>
      </c>
      <c r="F30670">
        <v>1.2773445155053999E-8</v>
      </c>
      <c r="G30670">
        <v>4742757</v>
      </c>
      <c r="H30670">
        <v>14073296</v>
      </c>
      <c r="I30670">
        <v>3003869</v>
      </c>
      <c r="J30670">
        <v>2</v>
      </c>
    </row>
    <row r="30671" spans="1:10" x14ac:dyDescent="0.25">
      <c r="A30671" t="s">
        <v>349</v>
      </c>
      <c r="B30671" s="1" t="str">
        <f>HYPERLINK("http://sherwi.com.mx","sherwi.com.mx")</f>
        <v>sherwi.com.mx</v>
      </c>
      <c r="C30671" t="s">
        <v>471</v>
      </c>
      <c r="D30671" t="s">
        <v>847</v>
      </c>
      <c r="J30671">
        <v>4</v>
      </c>
    </row>
    <row r="30672" spans="1:10" x14ac:dyDescent="0.25">
      <c r="A30672" t="s">
        <v>349</v>
      </c>
      <c r="B30672" s="1" t="str">
        <f>HYPERLINK("http://sherwin.com.mx","sherwin.com.mx")</f>
        <v>sherwin.com.mx</v>
      </c>
      <c r="C30672" t="s">
        <v>471</v>
      </c>
      <c r="D30672" t="s">
        <v>847</v>
      </c>
      <c r="F30672">
        <v>1.1866167019191199E-8</v>
      </c>
      <c r="G30672">
        <v>5260562</v>
      </c>
      <c r="H30672">
        <v>14076839</v>
      </c>
      <c r="I30672">
        <v>2878966</v>
      </c>
      <c r="J30672">
        <v>3</v>
      </c>
    </row>
    <row r="30673" spans="1:10" x14ac:dyDescent="0.25">
      <c r="A30673" t="s">
        <v>349</v>
      </c>
      <c r="B30673" s="1" t="str">
        <f>HYPERLINK("http://sherwinwilliams.com.mx","sherwinwilliams.com.mx")</f>
        <v>sherwinwilliams.com.mx</v>
      </c>
      <c r="C30673" t="s">
        <v>471</v>
      </c>
      <c r="D30673" t="s">
        <v>847</v>
      </c>
      <c r="J30673">
        <v>4</v>
      </c>
    </row>
    <row r="30674" spans="1:10" x14ac:dyDescent="0.25">
      <c r="A30674" t="s">
        <v>349</v>
      </c>
      <c r="B30674" s="1" t="str">
        <f>HYPERLINK("http://florock.net","florock.net")</f>
        <v>florock.net</v>
      </c>
      <c r="C30674" t="s">
        <v>474</v>
      </c>
      <c r="F30674">
        <v>2.4666816143107599E-8</v>
      </c>
      <c r="G30674">
        <v>2097549</v>
      </c>
      <c r="H30674">
        <v>14226800</v>
      </c>
      <c r="I30674">
        <v>1678298</v>
      </c>
      <c r="J30674">
        <v>2</v>
      </c>
    </row>
    <row r="30675" spans="1:10" x14ac:dyDescent="0.25">
      <c r="A30675" t="s">
        <v>349</v>
      </c>
      <c r="B30675" s="1" t="str">
        <f>HYPERLINK("http://minwax.co.nz","minwax.co.nz")</f>
        <v>minwax.co.nz</v>
      </c>
      <c r="C30675" t="s">
        <v>479</v>
      </c>
      <c r="D30675" t="s">
        <v>854</v>
      </c>
      <c r="J30675">
        <v>2</v>
      </c>
    </row>
    <row r="30676" spans="1:10" x14ac:dyDescent="0.25">
      <c r="A30676" t="s">
        <v>349</v>
      </c>
      <c r="B30676" s="1" t="str">
        <f>HYPERLINK("http://altax.pl","altax.pl")</f>
        <v>altax.pl</v>
      </c>
      <c r="C30676" t="s">
        <v>486</v>
      </c>
      <c r="D30676" t="s">
        <v>860</v>
      </c>
      <c r="F30676">
        <v>3.1634416379954897E-8</v>
      </c>
      <c r="G30676">
        <v>1631617</v>
      </c>
      <c r="H30676">
        <v>13770720</v>
      </c>
      <c r="I30676">
        <v>6718637</v>
      </c>
      <c r="J30676">
        <v>3</v>
      </c>
    </row>
    <row r="30677" spans="1:10" x14ac:dyDescent="0.25">
      <c r="A30677" t="s">
        <v>349</v>
      </c>
      <c r="B30677" s="1" t="str">
        <f>HYPERLINK("http://geocel.co.uk","geocel.co.uk")</f>
        <v>geocel.co.uk</v>
      </c>
      <c r="C30677" t="s">
        <v>506</v>
      </c>
      <c r="D30677" t="s">
        <v>880</v>
      </c>
      <c r="F30677">
        <v>1.03254585720925E-7</v>
      </c>
      <c r="G30677">
        <v>388657</v>
      </c>
      <c r="H30677">
        <v>12850860</v>
      </c>
      <c r="I30677">
        <v>14265115</v>
      </c>
      <c r="J30677">
        <v>7</v>
      </c>
    </row>
    <row r="30678" spans="1:10" x14ac:dyDescent="0.25">
      <c r="A30678" t="s">
        <v>349</v>
      </c>
      <c r="B30678" s="1" t="str">
        <f>HYPERLINK("http://house-of-kolor.co.uk","house-of-kolor.co.uk")</f>
        <v>house-of-kolor.co.uk</v>
      </c>
      <c r="C30678" t="s">
        <v>506</v>
      </c>
      <c r="D30678" t="s">
        <v>880</v>
      </c>
      <c r="F30678">
        <v>4.4444954414396599E-9</v>
      </c>
      <c r="G30678">
        <v>76679642</v>
      </c>
      <c r="H30678">
        <v>10461982</v>
      </c>
      <c r="I30678">
        <v>51686663</v>
      </c>
      <c r="J30678">
        <v>13</v>
      </c>
    </row>
    <row r="30679" spans="1:10" x14ac:dyDescent="0.25">
      <c r="A30679" t="s">
        <v>349</v>
      </c>
      <c r="B30679" s="1" t="str">
        <f>HYPERLINK("http://plasti-kote.co.uk","plasti-kote.co.uk")</f>
        <v>plasti-kote.co.uk</v>
      </c>
      <c r="C30679" t="s">
        <v>506</v>
      </c>
      <c r="D30679" t="s">
        <v>880</v>
      </c>
      <c r="F30679">
        <v>2.1460178086559199E-8</v>
      </c>
      <c r="G30679">
        <v>2453994</v>
      </c>
      <c r="H30679">
        <v>13781065</v>
      </c>
      <c r="I30679">
        <v>6463368</v>
      </c>
      <c r="J30679">
        <v>2</v>
      </c>
    </row>
    <row r="30680" spans="1:10" x14ac:dyDescent="0.25">
      <c r="A30680" t="s">
        <v>349</v>
      </c>
      <c r="B30680" s="1" t="str">
        <f>HYPERLINK("http://sherwin-williams.co.uk","sherwin-williams.co.uk")</f>
        <v>sherwin-williams.co.uk</v>
      </c>
      <c r="C30680" t="s">
        <v>506</v>
      </c>
      <c r="D30680" t="s">
        <v>880</v>
      </c>
      <c r="F30680">
        <v>5.0887660917100199E-9</v>
      </c>
      <c r="G30680">
        <v>27314650</v>
      </c>
      <c r="H30680">
        <v>11644360</v>
      </c>
      <c r="I30680">
        <v>29885913</v>
      </c>
      <c r="J30680">
        <v>4</v>
      </c>
    </row>
    <row r="30681" spans="1:10" x14ac:dyDescent="0.25">
      <c r="A30681" t="s">
        <v>349</v>
      </c>
      <c r="B30681" s="1" t="str">
        <f>HYPERLINK("http://valsparpaint.co.uk","valsparpaint.co.uk")</f>
        <v>valsparpaint.co.uk</v>
      </c>
      <c r="C30681" t="s">
        <v>506</v>
      </c>
      <c r="D30681" t="s">
        <v>880</v>
      </c>
      <c r="E30681">
        <v>686800</v>
      </c>
      <c r="F30681">
        <v>5.3913560544776401E-8</v>
      </c>
      <c r="G30681">
        <v>842836</v>
      </c>
      <c r="H30681">
        <v>14631327</v>
      </c>
      <c r="I30681">
        <v>644612</v>
      </c>
      <c r="J30681">
        <v>8</v>
      </c>
    </row>
    <row r="30682" spans="1:10" x14ac:dyDescent="0.25">
      <c r="A30682" t="s">
        <v>349</v>
      </c>
      <c r="B30682" s="1" t="str">
        <f>HYPERLINK("http://sherwin.com.uy","sherwin.com.uy")</f>
        <v>sherwin.com.uy</v>
      </c>
      <c r="C30682" t="s">
        <v>507</v>
      </c>
      <c r="D30682" t="s">
        <v>881</v>
      </c>
      <c r="F30682">
        <v>1.27762505791235E-8</v>
      </c>
      <c r="G30682">
        <v>4741392</v>
      </c>
      <c r="H30682">
        <v>12307910</v>
      </c>
      <c r="I30682">
        <v>20679424</v>
      </c>
      <c r="J30682">
        <v>4</v>
      </c>
    </row>
    <row r="30683" spans="1:10" x14ac:dyDescent="0.25">
      <c r="A30683" t="s">
        <v>349</v>
      </c>
      <c r="B30683" s="1" t="str">
        <f>HYPERLINK("http://sherwin.com.ve","sherwin.com.ve")</f>
        <v>sherwin.com.ve</v>
      </c>
      <c r="C30683" t="s">
        <v>508</v>
      </c>
      <c r="D30683" t="s">
        <v>882</v>
      </c>
      <c r="J30683">
        <v>3</v>
      </c>
    </row>
    <row r="30684" spans="1:10" x14ac:dyDescent="0.25">
      <c r="A30684" t="s">
        <v>350</v>
      </c>
      <c r="B30684" s="1" t="str">
        <f>HYPERLINK("http://shinetsu.com.cn","shinetsu.com.cn")</f>
        <v>shinetsu.com.cn</v>
      </c>
      <c r="C30684" t="s">
        <v>431</v>
      </c>
      <c r="D30684" t="s">
        <v>812</v>
      </c>
      <c r="F30684">
        <v>1.02907393409729E-8</v>
      </c>
      <c r="G30684">
        <v>6459559</v>
      </c>
      <c r="H30684">
        <v>10609173</v>
      </c>
      <c r="I30684">
        <v>44595370</v>
      </c>
      <c r="J30684">
        <v>3</v>
      </c>
    </row>
    <row r="30685" spans="1:10" x14ac:dyDescent="0.25">
      <c r="A30685" t="s">
        <v>350</v>
      </c>
      <c r="B30685" s="1" t="str">
        <f>HYPERLINK("http://seha.com","seha.com")</f>
        <v>seha.com</v>
      </c>
      <c r="C30685" t="s">
        <v>433</v>
      </c>
      <c r="F30685">
        <v>5.08573608564248E-9</v>
      </c>
      <c r="G30685">
        <v>27385786</v>
      </c>
      <c r="H30685">
        <v>12423703</v>
      </c>
      <c r="I30685">
        <v>18391715</v>
      </c>
      <c r="J30685">
        <v>6</v>
      </c>
    </row>
    <row r="30686" spans="1:10" x14ac:dyDescent="0.25">
      <c r="A30686" t="s">
        <v>350</v>
      </c>
      <c r="B30686" s="1" t="str">
        <f>HYPERLINK("http://sehamerica.com","sehamerica.com")</f>
        <v>sehamerica.com</v>
      </c>
      <c r="C30686" t="s">
        <v>433</v>
      </c>
      <c r="F30686">
        <v>9.6985052484898196E-9</v>
      </c>
      <c r="G30686">
        <v>7082256</v>
      </c>
      <c r="H30686">
        <v>13253229</v>
      </c>
      <c r="I30686">
        <v>11068093</v>
      </c>
      <c r="J30686">
        <v>3</v>
      </c>
    </row>
    <row r="30687" spans="1:10" x14ac:dyDescent="0.25">
      <c r="A30687" t="s">
        <v>350</v>
      </c>
      <c r="B30687" s="1" t="str">
        <f>HYPERLINK("http://sehe.com","sehe.com")</f>
        <v>sehe.com</v>
      </c>
      <c r="C30687" t="s">
        <v>433</v>
      </c>
      <c r="F30687">
        <v>1.10172169369719E-8</v>
      </c>
      <c r="G30687">
        <v>5846762</v>
      </c>
      <c r="H30687">
        <v>14242404</v>
      </c>
      <c r="I30687">
        <v>1484465</v>
      </c>
      <c r="J30687">
        <v>3</v>
      </c>
    </row>
    <row r="30688" spans="1:10" x14ac:dyDescent="0.25">
      <c r="A30688" t="s">
        <v>350</v>
      </c>
      <c r="B30688" s="1" t="str">
        <f>HYPERLINK("http://sehmy.com","sehmy.com")</f>
        <v>sehmy.com</v>
      </c>
      <c r="C30688" t="s">
        <v>433</v>
      </c>
      <c r="F30688">
        <v>6.4802838553703902E-9</v>
      </c>
      <c r="G30688">
        <v>14161582</v>
      </c>
      <c r="H30688">
        <v>12155928</v>
      </c>
      <c r="I30688">
        <v>24472511</v>
      </c>
      <c r="J30688">
        <v>3</v>
      </c>
    </row>
    <row r="30689" spans="1:10" x14ac:dyDescent="0.25">
      <c r="A30689" t="s">
        <v>350</v>
      </c>
      <c r="B30689" s="1" t="str">
        <f>HYPERLINK("http://shinetsumagnetics.com","shinetsumagnetics.com")</f>
        <v>shinetsumagnetics.com</v>
      </c>
      <c r="C30689" t="s">
        <v>433</v>
      </c>
      <c r="F30689">
        <v>4.9933859174363397E-9</v>
      </c>
      <c r="G30689">
        <v>29581936</v>
      </c>
      <c r="H30689">
        <v>10059858</v>
      </c>
      <c r="I30689">
        <v>60253404</v>
      </c>
      <c r="J30689">
        <v>3</v>
      </c>
    </row>
    <row r="30690" spans="1:10" x14ac:dyDescent="0.25">
      <c r="A30690" t="s">
        <v>350</v>
      </c>
      <c r="B30690" s="1" t="str">
        <f>HYPERLINK("http://shinetsupharmausa.com","shinetsupharmausa.com")</f>
        <v>shinetsupharmausa.com</v>
      </c>
      <c r="C30690" t="s">
        <v>433</v>
      </c>
      <c r="F30690">
        <v>5.56276079593726E-9</v>
      </c>
      <c r="G30690">
        <v>20247655</v>
      </c>
      <c r="H30690">
        <v>11068231</v>
      </c>
      <c r="I30690">
        <v>32598667</v>
      </c>
      <c r="J30690">
        <v>3</v>
      </c>
    </row>
    <row r="30691" spans="1:10" x14ac:dyDescent="0.25">
      <c r="A30691" t="s">
        <v>350</v>
      </c>
      <c r="B30691" s="1" t="str">
        <f>HYPERLINK("http://shinetsusilicones.com","shinetsusilicones.com")</f>
        <v>shinetsusilicones.com</v>
      </c>
      <c r="C30691" t="s">
        <v>433</v>
      </c>
      <c r="F30691">
        <v>1.51712034965651E-8</v>
      </c>
      <c r="G30691">
        <v>3784739</v>
      </c>
      <c r="H30691">
        <v>12536261</v>
      </c>
      <c r="I30691">
        <v>16975655</v>
      </c>
      <c r="J30691">
        <v>3</v>
      </c>
    </row>
    <row r="30692" spans="1:10" x14ac:dyDescent="0.25">
      <c r="A30692" t="s">
        <v>350</v>
      </c>
      <c r="B30692" s="1" t="str">
        <f>HYPERLINK("http://shinpoly.com","shinpoly.com")</f>
        <v>shinpoly.com</v>
      </c>
      <c r="C30692" t="s">
        <v>433</v>
      </c>
      <c r="F30692">
        <v>5.78597712864597E-9</v>
      </c>
      <c r="G30692">
        <v>18198111</v>
      </c>
      <c r="H30692">
        <v>10202671</v>
      </c>
      <c r="I30692">
        <v>59014796</v>
      </c>
      <c r="J30692">
        <v>4</v>
      </c>
    </row>
    <row r="30693" spans="1:10" x14ac:dyDescent="0.25">
      <c r="A30693" t="s">
        <v>350</v>
      </c>
      <c r="B30693" s="1" t="str">
        <f>HYPERLINK("http://setylose.de","setylose.de")</f>
        <v>setylose.de</v>
      </c>
      <c r="C30693" t="s">
        <v>436</v>
      </c>
      <c r="D30693" t="s">
        <v>815</v>
      </c>
      <c r="F30693">
        <v>7.1505087833771798E-9</v>
      </c>
      <c r="G30693">
        <v>11875538</v>
      </c>
      <c r="H30693">
        <v>11022279</v>
      </c>
      <c r="I30693">
        <v>33216731</v>
      </c>
      <c r="J30693">
        <v>3</v>
      </c>
    </row>
    <row r="30694" spans="1:10" x14ac:dyDescent="0.25">
      <c r="A30694" t="s">
        <v>350</v>
      </c>
      <c r="B30694" s="1" t="str">
        <f>HYPERLINK("http://shinetsu.hu","shinetsu.hu")</f>
        <v>shinetsu.hu</v>
      </c>
      <c r="C30694" t="s">
        <v>453</v>
      </c>
      <c r="D30694" t="s">
        <v>830</v>
      </c>
      <c r="F30694">
        <v>4.9858266520865599E-9</v>
      </c>
      <c r="G30694">
        <v>29787630</v>
      </c>
      <c r="H30694">
        <v>10508863</v>
      </c>
      <c r="I30694">
        <v>49996573</v>
      </c>
      <c r="J30694">
        <v>4</v>
      </c>
    </row>
    <row r="30695" spans="1:10" x14ac:dyDescent="0.25">
      <c r="A30695" t="s">
        <v>350</v>
      </c>
      <c r="B30695" s="1" t="str">
        <f>HYPERLINK("http://j-vp.co.jp","j-vp.co.jp")</f>
        <v>j-vp.co.jp</v>
      </c>
      <c r="C30695" t="s">
        <v>461</v>
      </c>
      <c r="D30695" t="s">
        <v>837</v>
      </c>
      <c r="F30695">
        <v>6.0535636288848399E-9</v>
      </c>
      <c r="G30695">
        <v>16361795</v>
      </c>
      <c r="H30695">
        <v>11988985</v>
      </c>
      <c r="I30695">
        <v>28393128</v>
      </c>
      <c r="J30695">
        <v>3</v>
      </c>
    </row>
    <row r="30696" spans="1:10" x14ac:dyDescent="0.25">
      <c r="A30696" t="s">
        <v>350</v>
      </c>
      <c r="B30696" s="1" t="str">
        <f>HYPERLINK("http://nissin-chem.co.jp","nissin-chem.co.jp")</f>
        <v>nissin-chem.co.jp</v>
      </c>
      <c r="C30696" t="s">
        <v>461</v>
      </c>
      <c r="D30696" t="s">
        <v>837</v>
      </c>
      <c r="F30696">
        <v>9.1743904113180198E-9</v>
      </c>
      <c r="G30696">
        <v>7744371</v>
      </c>
      <c r="H30696">
        <v>14073156</v>
      </c>
      <c r="I30696">
        <v>3013230</v>
      </c>
      <c r="J30696">
        <v>3</v>
      </c>
    </row>
    <row r="30697" spans="1:10" x14ac:dyDescent="0.25">
      <c r="A30697" t="s">
        <v>350</v>
      </c>
      <c r="B30697" s="1" t="str">
        <f>HYPERLINK("http://shinetsu.co.jp","shinetsu.co.jp")</f>
        <v>shinetsu.co.jp</v>
      </c>
      <c r="C30697" t="s">
        <v>461</v>
      </c>
      <c r="D30697" t="s">
        <v>837</v>
      </c>
      <c r="E30697">
        <v>218451</v>
      </c>
      <c r="F30697">
        <v>1.6558168460034799E-7</v>
      </c>
      <c r="G30697">
        <v>234406</v>
      </c>
      <c r="H30697">
        <v>14608237</v>
      </c>
      <c r="I30697">
        <v>680044</v>
      </c>
      <c r="J30697">
        <v>1</v>
      </c>
    </row>
    <row r="30698" spans="1:10" x14ac:dyDescent="0.25">
      <c r="A30698" t="s">
        <v>350</v>
      </c>
      <c r="B30698" s="1" t="str">
        <f>HYPERLINK("http://shinetsu-astech.co.jp","shinetsu-astech.co.jp")</f>
        <v>shinetsu-astech.co.jp</v>
      </c>
      <c r="C30698" t="s">
        <v>461</v>
      </c>
      <c r="D30698" t="s">
        <v>837</v>
      </c>
      <c r="F30698">
        <v>1.17974566254378E-8</v>
      </c>
      <c r="G30698">
        <v>5303775</v>
      </c>
      <c r="H30698">
        <v>12918283</v>
      </c>
      <c r="I30698">
        <v>13484274</v>
      </c>
      <c r="J30698">
        <v>3</v>
      </c>
    </row>
    <row r="30699" spans="1:10" x14ac:dyDescent="0.25">
      <c r="A30699" t="s">
        <v>350</v>
      </c>
      <c r="B30699" s="1" t="str">
        <f>HYPERLINK("http://shinetsu-film.co.jp","shinetsu-film.co.jp")</f>
        <v>shinetsu-film.co.jp</v>
      </c>
      <c r="C30699" t="s">
        <v>461</v>
      </c>
      <c r="D30699" t="s">
        <v>837</v>
      </c>
      <c r="F30699">
        <v>5.2961542318647602E-9</v>
      </c>
      <c r="G30699">
        <v>23549614</v>
      </c>
      <c r="H30699">
        <v>10458181</v>
      </c>
      <c r="I30699">
        <v>51900198</v>
      </c>
      <c r="J30699">
        <v>3</v>
      </c>
    </row>
    <row r="30700" spans="1:10" x14ac:dyDescent="0.25">
      <c r="A30700" t="s">
        <v>350</v>
      </c>
      <c r="B30700" s="1" t="str">
        <f>HYPERLINK("http://shinpoly.co.jp","shinpoly.co.jp")</f>
        <v>shinpoly.co.jp</v>
      </c>
      <c r="C30700" t="s">
        <v>461</v>
      </c>
      <c r="D30700" t="s">
        <v>837</v>
      </c>
      <c r="E30700">
        <v>525400</v>
      </c>
      <c r="F30700">
        <v>4.7758313855477403E-8</v>
      </c>
      <c r="G30700">
        <v>974477</v>
      </c>
      <c r="H30700">
        <v>14519385</v>
      </c>
      <c r="I30700">
        <v>806666</v>
      </c>
      <c r="J30700">
        <v>3</v>
      </c>
    </row>
    <row r="30701" spans="1:10" x14ac:dyDescent="0.25">
      <c r="A30701" t="s">
        <v>350</v>
      </c>
      <c r="B30701" s="1" t="str">
        <f>HYPERLINK("http://shinetsu-rare-earth-magnet.jp","shinetsu-rare-earth-magnet.jp")</f>
        <v>shinetsu-rare-earth-magnet.jp</v>
      </c>
      <c r="C30701" t="s">
        <v>461</v>
      </c>
      <c r="D30701" t="s">
        <v>837</v>
      </c>
      <c r="F30701">
        <v>7.6757458644450794E-9</v>
      </c>
      <c r="G30701">
        <v>10632161</v>
      </c>
      <c r="H30701">
        <v>12503325</v>
      </c>
      <c r="I30701">
        <v>17311257</v>
      </c>
      <c r="J30701">
        <v>3</v>
      </c>
    </row>
    <row r="30702" spans="1:10" x14ac:dyDescent="0.25">
      <c r="A30702" t="s">
        <v>350</v>
      </c>
      <c r="B30702" s="1" t="str">
        <f>HYPERLINK("http://shinetsu.net","shinetsu.net")</f>
        <v>shinetsu.net</v>
      </c>
      <c r="C30702" t="s">
        <v>474</v>
      </c>
      <c r="F30702">
        <v>8.7853314180042299E-9</v>
      </c>
      <c r="G30702">
        <v>8334452</v>
      </c>
      <c r="H30702">
        <v>14071794</v>
      </c>
      <c r="I30702">
        <v>3352689</v>
      </c>
      <c r="J30702">
        <v>2</v>
      </c>
    </row>
    <row r="30703" spans="1:10" x14ac:dyDescent="0.25">
      <c r="A30703" t="s">
        <v>350</v>
      </c>
      <c r="B30703" s="1" t="str">
        <f>HYPERLINK("http://shinetsu.nl","shinetsu.nl")</f>
        <v>shinetsu.nl</v>
      </c>
      <c r="C30703" t="s">
        <v>477</v>
      </c>
      <c r="D30703" t="s">
        <v>852</v>
      </c>
      <c r="F30703">
        <v>1.3303030515020999E-8</v>
      </c>
      <c r="G30703">
        <v>4492103</v>
      </c>
      <c r="H30703">
        <v>12111568</v>
      </c>
      <c r="I30703">
        <v>25683645</v>
      </c>
      <c r="J30703">
        <v>2</v>
      </c>
    </row>
    <row r="30704" spans="1:10" x14ac:dyDescent="0.25">
      <c r="A30704" t="s">
        <v>350</v>
      </c>
      <c r="B30704" s="1" t="str">
        <f>HYPERLINK("http://cires.pt","cires.pt")</f>
        <v>cires.pt</v>
      </c>
      <c r="C30704" t="s">
        <v>488</v>
      </c>
      <c r="D30704" t="s">
        <v>862</v>
      </c>
      <c r="F30704">
        <v>1.2705345763050201E-8</v>
      </c>
      <c r="G30704">
        <v>4776934</v>
      </c>
      <c r="H30704">
        <v>13764088</v>
      </c>
      <c r="I30704">
        <v>7388756</v>
      </c>
      <c r="J30704">
        <v>4</v>
      </c>
    </row>
    <row r="30705" spans="1:10" x14ac:dyDescent="0.25">
      <c r="A30705" t="s">
        <v>351</v>
      </c>
      <c r="B30705" s="1" t="str">
        <f>HYPERLINK("http://shopify.com.au","shopify.com.au")</f>
        <v>shopify.com.au</v>
      </c>
      <c r="C30705" t="s">
        <v>420</v>
      </c>
      <c r="D30705" t="s">
        <v>802</v>
      </c>
      <c r="E30705">
        <v>272569</v>
      </c>
      <c r="F30705">
        <v>7.5144613730407105E-7</v>
      </c>
      <c r="G30705">
        <v>51872</v>
      </c>
      <c r="H30705">
        <v>14763679</v>
      </c>
      <c r="I30705">
        <v>559621</v>
      </c>
      <c r="J30705">
        <v>2</v>
      </c>
    </row>
    <row r="30706" spans="1:10" x14ac:dyDescent="0.25">
      <c r="A30706" t="s">
        <v>351</v>
      </c>
      <c r="B30706" s="1" t="str">
        <f>HYPERLINK("http://shopify.be","shopify.be")</f>
        <v>shopify.be</v>
      </c>
      <c r="C30706" t="s">
        <v>421</v>
      </c>
      <c r="D30706" t="s">
        <v>803</v>
      </c>
      <c r="F30706">
        <v>1.4567809390479499E-7</v>
      </c>
      <c r="G30706">
        <v>267221</v>
      </c>
      <c r="H30706">
        <v>14041809</v>
      </c>
      <c r="I30706">
        <v>3906851</v>
      </c>
      <c r="J30706">
        <v>2</v>
      </c>
    </row>
    <row r="30707" spans="1:10" x14ac:dyDescent="0.25">
      <c r="A30707" t="s">
        <v>351</v>
      </c>
      <c r="B30707" s="1" t="str">
        <f>HYPERLINK("http://shopify.com.br","shopify.com.br")</f>
        <v>shopify.com.br</v>
      </c>
      <c r="C30707" t="s">
        <v>425</v>
      </c>
      <c r="D30707" t="s">
        <v>806</v>
      </c>
      <c r="E30707">
        <v>663635</v>
      </c>
      <c r="F30707">
        <v>9.6211788934964298E-8</v>
      </c>
      <c r="G30707">
        <v>420482</v>
      </c>
      <c r="H30707">
        <v>14552951</v>
      </c>
      <c r="I30707">
        <v>756084</v>
      </c>
      <c r="J30707">
        <v>2</v>
      </c>
    </row>
    <row r="30708" spans="1:10" x14ac:dyDescent="0.25">
      <c r="A30708" t="s">
        <v>351</v>
      </c>
      <c r="B30708" s="1" t="str">
        <f>HYPERLINK("http://canadianbaconapparel.ca","canadianbaconapparel.ca")</f>
        <v>canadianbaconapparel.ca</v>
      </c>
      <c r="C30708" t="s">
        <v>428</v>
      </c>
      <c r="D30708" t="s">
        <v>809</v>
      </c>
      <c r="F30708">
        <v>4.44380395335525E-9</v>
      </c>
      <c r="G30708">
        <v>80100951</v>
      </c>
      <c r="H30708">
        <v>0</v>
      </c>
      <c r="I30708">
        <v>80133843</v>
      </c>
      <c r="J30708">
        <v>4</v>
      </c>
    </row>
    <row r="30709" spans="1:10" x14ac:dyDescent="0.25">
      <c r="A30709" t="s">
        <v>351</v>
      </c>
      <c r="B30709" s="1" t="str">
        <f>HYPERLINK("http://physiosuppliescanada.ca","physiosuppliescanada.ca")</f>
        <v>physiosuppliescanada.ca</v>
      </c>
      <c r="C30709" t="s">
        <v>428</v>
      </c>
      <c r="D30709" t="s">
        <v>809</v>
      </c>
      <c r="F30709">
        <v>5.8154783075149803E-9</v>
      </c>
      <c r="G30709">
        <v>17971058</v>
      </c>
      <c r="H30709">
        <v>10729710</v>
      </c>
      <c r="I30709">
        <v>40963733</v>
      </c>
      <c r="J30709">
        <v>5</v>
      </c>
    </row>
    <row r="30710" spans="1:10" x14ac:dyDescent="0.25">
      <c r="A30710" t="s">
        <v>351</v>
      </c>
      <c r="B30710" s="1" t="str">
        <f>HYPERLINK("http://shopify.ca","shopify.ca")</f>
        <v>shopify.ca</v>
      </c>
      <c r="C30710" t="s">
        <v>428</v>
      </c>
      <c r="D30710" t="s">
        <v>809</v>
      </c>
      <c r="E30710">
        <v>64040</v>
      </c>
      <c r="F30710">
        <v>3.5902943547556201E-6</v>
      </c>
      <c r="G30710">
        <v>11465</v>
      </c>
      <c r="H30710">
        <v>16308715</v>
      </c>
      <c r="I30710">
        <v>365248</v>
      </c>
      <c r="J30710">
        <v>2</v>
      </c>
    </row>
    <row r="30711" spans="1:10" x14ac:dyDescent="0.25">
      <c r="A30711" t="s">
        <v>351</v>
      </c>
      <c r="B30711" s="1" t="str">
        <f>HYPERLINK("http://shopify.cn","shopify.cn")</f>
        <v>shopify.cn</v>
      </c>
      <c r="C30711" t="s">
        <v>431</v>
      </c>
      <c r="D30711" t="s">
        <v>812</v>
      </c>
      <c r="E30711">
        <v>391197</v>
      </c>
      <c r="F30711">
        <v>6.4790335788526301E-7</v>
      </c>
      <c r="G30711">
        <v>59373</v>
      </c>
      <c r="H30711">
        <v>14649363</v>
      </c>
      <c r="I30711">
        <v>628571</v>
      </c>
      <c r="J30711">
        <v>2</v>
      </c>
    </row>
    <row r="30712" spans="1:10" x14ac:dyDescent="0.25">
      <c r="A30712" t="s">
        <v>351</v>
      </c>
      <c r="B30712" s="1" t="str">
        <f>HYPERLINK("http://candleboss.co","candleboss.co")</f>
        <v>candleboss.co</v>
      </c>
      <c r="C30712" t="s">
        <v>432</v>
      </c>
      <c r="F30712">
        <v>5.2136708801543602E-9</v>
      </c>
      <c r="G30712">
        <v>24857551</v>
      </c>
      <c r="H30712">
        <v>11117590</v>
      </c>
      <c r="I30712">
        <v>32074008</v>
      </c>
      <c r="J30712">
        <v>6</v>
      </c>
    </row>
    <row r="30713" spans="1:10" x14ac:dyDescent="0.25">
      <c r="A30713" t="s">
        <v>351</v>
      </c>
      <c r="B30713" s="1" t="str">
        <f>HYPERLINK("http://shopify.com.co","shopify.com.co")</f>
        <v>shopify.com.co</v>
      </c>
      <c r="C30713" t="s">
        <v>432</v>
      </c>
      <c r="F30713">
        <v>4.7096343282834201E-8</v>
      </c>
      <c r="G30713">
        <v>990668</v>
      </c>
      <c r="H30713">
        <v>14156951</v>
      </c>
      <c r="I30713">
        <v>1850856</v>
      </c>
      <c r="J30713">
        <v>2</v>
      </c>
    </row>
    <row r="30714" spans="1:10" x14ac:dyDescent="0.25">
      <c r="A30714" t="s">
        <v>351</v>
      </c>
      <c r="B30714" s="1" t="str">
        <f>HYPERLINK("http://acenature.com","acenature.com")</f>
        <v>acenature.com</v>
      </c>
      <c r="C30714" t="s">
        <v>433</v>
      </c>
      <c r="F30714">
        <v>4.6634798038614802E-9</v>
      </c>
      <c r="G30714">
        <v>43316116</v>
      </c>
      <c r="H30714">
        <v>10408854</v>
      </c>
      <c r="I30714">
        <v>54070995</v>
      </c>
      <c r="J30714">
        <v>4</v>
      </c>
    </row>
    <row r="30715" spans="1:10" x14ac:dyDescent="0.25">
      <c r="A30715" t="s">
        <v>351</v>
      </c>
      <c r="B30715" s="1" t="str">
        <f>HYPERLINK("http://akocommerce.com","akocommerce.com")</f>
        <v>akocommerce.com</v>
      </c>
      <c r="C30715" t="s">
        <v>433</v>
      </c>
      <c r="F30715">
        <v>1.3563823736613001E-8</v>
      </c>
      <c r="G30715">
        <v>4376985</v>
      </c>
      <c r="H30715">
        <v>13934712</v>
      </c>
      <c r="I30715">
        <v>4579866</v>
      </c>
      <c r="J30715">
        <v>4</v>
      </c>
    </row>
    <row r="30716" spans="1:10" x14ac:dyDescent="0.25">
      <c r="A30716" t="s">
        <v>351</v>
      </c>
      <c r="B30716" s="1" t="str">
        <f>HYPERLINK("http://aldonashop.com","aldonashop.com")</f>
        <v>aldonashop.com</v>
      </c>
      <c r="C30716" t="s">
        <v>433</v>
      </c>
      <c r="F30716">
        <v>4.44380395335525E-9</v>
      </c>
      <c r="G30716">
        <v>80585455</v>
      </c>
      <c r="H30716">
        <v>0</v>
      </c>
      <c r="I30716">
        <v>80779423</v>
      </c>
      <c r="J30716">
        <v>4</v>
      </c>
    </row>
    <row r="30717" spans="1:10" x14ac:dyDescent="0.25">
      <c r="A30717" t="s">
        <v>351</v>
      </c>
      <c r="B30717" s="1" t="str">
        <f>HYPERLINK("http://alternativesolutionscbdshop.com","alternativesolutionscbdshop.com")</f>
        <v>alternativesolutionscbdshop.com</v>
      </c>
      <c r="C30717" t="s">
        <v>433</v>
      </c>
      <c r="F30717">
        <v>4.44380395335525E-9</v>
      </c>
      <c r="G30717">
        <v>80616947</v>
      </c>
      <c r="H30717">
        <v>0</v>
      </c>
      <c r="I30717">
        <v>80817171</v>
      </c>
      <c r="J30717">
        <v>4</v>
      </c>
    </row>
    <row r="30718" spans="1:10" x14ac:dyDescent="0.25">
      <c r="A30718" t="s">
        <v>351</v>
      </c>
      <c r="B30718" s="1" t="str">
        <f>HYPERLINK("http://amphisbaenaexotics.com","amphisbaenaexotics.com")</f>
        <v>amphisbaenaexotics.com</v>
      </c>
      <c r="C30718" t="s">
        <v>433</v>
      </c>
      <c r="F30718">
        <v>4.44380395335525E-9</v>
      </c>
      <c r="G30718">
        <v>80636065</v>
      </c>
      <c r="H30718">
        <v>0</v>
      </c>
      <c r="I30718">
        <v>80840097</v>
      </c>
      <c r="J30718">
        <v>4</v>
      </c>
    </row>
    <row r="30719" spans="1:10" x14ac:dyDescent="0.25">
      <c r="A30719" t="s">
        <v>351</v>
      </c>
      <c r="B30719" s="1" t="str">
        <f>HYPERLINK("http://arthurandluna.com","arthurandluna.com")</f>
        <v>arthurandluna.com</v>
      </c>
      <c r="C30719" t="s">
        <v>433</v>
      </c>
      <c r="F30719">
        <v>4.6540262487570502E-9</v>
      </c>
      <c r="G30719">
        <v>43876024</v>
      </c>
      <c r="H30719">
        <v>11464230</v>
      </c>
      <c r="I30719">
        <v>30093947</v>
      </c>
      <c r="J30719">
        <v>4</v>
      </c>
    </row>
    <row r="30720" spans="1:10" x14ac:dyDescent="0.25">
      <c r="A30720" t="s">
        <v>351</v>
      </c>
      <c r="B30720" s="1" t="str">
        <f>HYPERLINK("http://bamboocandlemarket.com","bamboocandlemarket.com")</f>
        <v>bamboocandlemarket.com</v>
      </c>
      <c r="C30720" t="s">
        <v>433</v>
      </c>
      <c r="F30720">
        <v>4.5068502184977897E-9</v>
      </c>
      <c r="G30720">
        <v>57951053</v>
      </c>
      <c r="H30720">
        <v>10490466</v>
      </c>
      <c r="I30720">
        <v>50621675</v>
      </c>
      <c r="J30720">
        <v>6</v>
      </c>
    </row>
    <row r="30721" spans="1:10" x14ac:dyDescent="0.25">
      <c r="A30721" t="s">
        <v>351</v>
      </c>
      <c r="B30721" s="1" t="str">
        <f>HYPERLINK("http://biscotticavanna.com","biscotticavanna.com")</f>
        <v>biscotticavanna.com</v>
      </c>
      <c r="C30721" t="s">
        <v>433</v>
      </c>
      <c r="F30721">
        <v>9.6610325314566398E-9</v>
      </c>
      <c r="G30721">
        <v>7127453</v>
      </c>
      <c r="H30721">
        <v>12181251</v>
      </c>
      <c r="I30721">
        <v>23790611</v>
      </c>
      <c r="J30721">
        <v>4</v>
      </c>
    </row>
    <row r="30722" spans="1:10" x14ac:dyDescent="0.25">
      <c r="A30722" t="s">
        <v>351</v>
      </c>
      <c r="B30722" s="1" t="str">
        <f>HYPERLINK("http://blackbananas.com","blackbananas.com")</f>
        <v>blackbananas.com</v>
      </c>
      <c r="C30722" t="s">
        <v>433</v>
      </c>
      <c r="F30722">
        <v>2.9611712274358E-8</v>
      </c>
      <c r="G30722">
        <v>1740921</v>
      </c>
      <c r="H30722">
        <v>13632600</v>
      </c>
      <c r="I30722">
        <v>9616408</v>
      </c>
      <c r="J30722">
        <v>4</v>
      </c>
    </row>
    <row r="30723" spans="1:10" x14ac:dyDescent="0.25">
      <c r="A30723" t="s">
        <v>351</v>
      </c>
      <c r="B30723" s="1" t="str">
        <f>HYPERLINK("http://bundledformama.com","bundledformama.com")</f>
        <v>bundledformama.com</v>
      </c>
      <c r="C30723" t="s">
        <v>433</v>
      </c>
      <c r="F30723">
        <v>4.44380395335525E-9</v>
      </c>
      <c r="G30723">
        <v>80975814</v>
      </c>
      <c r="H30723">
        <v>0</v>
      </c>
      <c r="I30723">
        <v>81253258</v>
      </c>
      <c r="J30723">
        <v>6</v>
      </c>
    </row>
    <row r="30724" spans="1:10" x14ac:dyDescent="0.25">
      <c r="A30724" t="s">
        <v>351</v>
      </c>
      <c r="B30724" s="1" t="str">
        <f>HYPERLINK("http://cozicabana.com","cozicabana.com")</f>
        <v>cozicabana.com</v>
      </c>
      <c r="C30724" t="s">
        <v>433</v>
      </c>
      <c r="F30724">
        <v>4.4438559666463104E-9</v>
      </c>
      <c r="G30724">
        <v>78325656</v>
      </c>
      <c r="H30724">
        <v>10367427</v>
      </c>
      <c r="I30724">
        <v>54947863</v>
      </c>
      <c r="J30724">
        <v>4</v>
      </c>
    </row>
    <row r="30725" spans="1:10" x14ac:dyDescent="0.25">
      <c r="A30725" t="s">
        <v>351</v>
      </c>
      <c r="B30725" s="1" t="str">
        <f>HYPERLINK("http://designsbydenali.com","designsbydenali.com")</f>
        <v>designsbydenali.com</v>
      </c>
      <c r="C30725" t="s">
        <v>433</v>
      </c>
      <c r="F30725">
        <v>6.6335509999079803E-9</v>
      </c>
      <c r="G30725">
        <v>13546070</v>
      </c>
      <c r="H30725">
        <v>12160450</v>
      </c>
      <c r="I30725">
        <v>24351920</v>
      </c>
      <c r="J30725">
        <v>4</v>
      </c>
    </row>
    <row r="30726" spans="1:10" x14ac:dyDescent="0.25">
      <c r="A30726" t="s">
        <v>351</v>
      </c>
      <c r="B30726" s="1" t="str">
        <f>HYPERLINK("http://dinarippercreations.com","dinarippercreations.com")</f>
        <v>dinarippercreations.com</v>
      </c>
      <c r="C30726" t="s">
        <v>433</v>
      </c>
      <c r="F30726">
        <v>4.6753505073558398E-9</v>
      </c>
      <c r="G30726">
        <v>42630897</v>
      </c>
      <c r="H30726">
        <v>13763634</v>
      </c>
      <c r="I30726">
        <v>8327388</v>
      </c>
      <c r="J30726">
        <v>4</v>
      </c>
    </row>
    <row r="30727" spans="1:10" x14ac:dyDescent="0.25">
      <c r="A30727" t="s">
        <v>351</v>
      </c>
      <c r="B30727" s="1" t="str">
        <f>HYPERLINK("http://exchangemarketplace.com","exchangemarketplace.com")</f>
        <v>exchangemarketplace.com</v>
      </c>
      <c r="C30727" t="s">
        <v>433</v>
      </c>
      <c r="E30727">
        <v>57943</v>
      </c>
      <c r="F30727">
        <v>4.8624863935597697E-7</v>
      </c>
      <c r="G30727">
        <v>78332</v>
      </c>
      <c r="H30727">
        <v>14797955</v>
      </c>
      <c r="I30727">
        <v>548850</v>
      </c>
      <c r="J30727">
        <v>3</v>
      </c>
    </row>
    <row r="30728" spans="1:10" x14ac:dyDescent="0.25">
      <c r="A30728" t="s">
        <v>351</v>
      </c>
      <c r="B30728" s="1" t="str">
        <f>HYPERLINK("http://fochastore.com","fochastore.com")</f>
        <v>fochastore.com</v>
      </c>
      <c r="C30728" t="s">
        <v>433</v>
      </c>
      <c r="F30728">
        <v>5.1476052169502004E-9</v>
      </c>
      <c r="G30728">
        <v>26128230</v>
      </c>
      <c r="H30728">
        <v>10999803</v>
      </c>
      <c r="I30728">
        <v>33588547</v>
      </c>
      <c r="J30728">
        <v>6</v>
      </c>
    </row>
    <row r="30729" spans="1:10" x14ac:dyDescent="0.25">
      <c r="A30729" t="s">
        <v>351</v>
      </c>
      <c r="B30729" s="1" t="str">
        <f>HYPERLINK("http://folhaverdeinternacional.com","folhaverdeinternacional.com")</f>
        <v>folhaverdeinternacional.com</v>
      </c>
      <c r="C30729" t="s">
        <v>433</v>
      </c>
      <c r="F30729">
        <v>4.44380395335525E-9</v>
      </c>
      <c r="G30729">
        <v>81671133</v>
      </c>
      <c r="H30729">
        <v>0</v>
      </c>
      <c r="I30729">
        <v>82103829</v>
      </c>
      <c r="J30729">
        <v>4</v>
      </c>
    </row>
    <row r="30730" spans="1:10" x14ac:dyDescent="0.25">
      <c r="A30730" t="s">
        <v>351</v>
      </c>
      <c r="B30730" s="1" t="str">
        <f>HYPERLINK("http://ganacheparfums.com","ganacheparfums.com")</f>
        <v>ganacheparfums.com</v>
      </c>
      <c r="C30730" t="s">
        <v>433</v>
      </c>
      <c r="F30730">
        <v>4.52616929594161E-9</v>
      </c>
      <c r="G30730">
        <v>55476407</v>
      </c>
      <c r="H30730">
        <v>10731990</v>
      </c>
      <c r="I30730">
        <v>40832756</v>
      </c>
      <c r="J30730">
        <v>4</v>
      </c>
    </row>
    <row r="30731" spans="1:10" x14ac:dyDescent="0.25">
      <c r="A30731" t="s">
        <v>351</v>
      </c>
      <c r="B30731" s="1" t="str">
        <f>HYPERLINK("http://gentlemanaf.com","gentlemanaf.com")</f>
        <v>gentlemanaf.com</v>
      </c>
      <c r="C30731" t="s">
        <v>433</v>
      </c>
      <c r="F30731">
        <v>4.44380395335525E-9</v>
      </c>
      <c r="G30731">
        <v>81756416</v>
      </c>
      <c r="H30731">
        <v>0</v>
      </c>
      <c r="I30731">
        <v>82208293</v>
      </c>
      <c r="J30731">
        <v>4</v>
      </c>
    </row>
    <row r="30732" spans="1:10" x14ac:dyDescent="0.25">
      <c r="A30732" t="s">
        <v>351</v>
      </c>
      <c r="B30732" s="1" t="str">
        <f>HYPERLINK("http://getsignatured.com","getsignatured.com")</f>
        <v>getsignatured.com</v>
      </c>
      <c r="C30732" t="s">
        <v>433</v>
      </c>
      <c r="F30732">
        <v>4.5397745406290798E-9</v>
      </c>
      <c r="G30732">
        <v>53365112</v>
      </c>
      <c r="H30732">
        <v>10925990</v>
      </c>
      <c r="I30732">
        <v>35148520</v>
      </c>
      <c r="J30732">
        <v>4</v>
      </c>
    </row>
    <row r="30733" spans="1:10" x14ac:dyDescent="0.25">
      <c r="A30733" t="s">
        <v>351</v>
      </c>
      <c r="B30733" s="1" t="str">
        <f>HYPERLINK("http://goldenaussieco.com","goldenaussieco.com")</f>
        <v>goldenaussieco.com</v>
      </c>
      <c r="C30733" t="s">
        <v>433</v>
      </c>
      <c r="F30733">
        <v>4.44380395335525E-9</v>
      </c>
      <c r="G30733">
        <v>81799864</v>
      </c>
      <c r="H30733">
        <v>0</v>
      </c>
      <c r="I30733">
        <v>82261307</v>
      </c>
      <c r="J30733">
        <v>4</v>
      </c>
    </row>
    <row r="30734" spans="1:10" x14ac:dyDescent="0.25">
      <c r="A30734" t="s">
        <v>351</v>
      </c>
      <c r="B30734" s="1" t="str">
        <f>HYPERLINK("http://inayasecret.com","inayasecret.com")</f>
        <v>inayasecret.com</v>
      </c>
      <c r="C30734" t="s">
        <v>433</v>
      </c>
      <c r="F30734">
        <v>4.44380395335525E-9</v>
      </c>
      <c r="G30734">
        <v>82058330</v>
      </c>
      <c r="H30734">
        <v>0</v>
      </c>
      <c r="I30734">
        <v>82583542</v>
      </c>
      <c r="J30734">
        <v>4</v>
      </c>
    </row>
    <row r="30735" spans="1:10" x14ac:dyDescent="0.25">
      <c r="A30735" t="s">
        <v>351</v>
      </c>
      <c r="B30735" s="1" t="str">
        <f>HYPERLINK("http://indiabusinessinternational.com","indiabusinessinternational.com")</f>
        <v>indiabusinessinternational.com</v>
      </c>
      <c r="C30735" t="s">
        <v>433</v>
      </c>
      <c r="F30735">
        <v>4.5039279390870504E-9</v>
      </c>
      <c r="G30735">
        <v>58363670</v>
      </c>
      <c r="H30735">
        <v>9410804</v>
      </c>
      <c r="I30735">
        <v>67104521</v>
      </c>
      <c r="J30735">
        <v>4</v>
      </c>
    </row>
    <row r="30736" spans="1:10" x14ac:dyDescent="0.25">
      <c r="A30736" t="s">
        <v>351</v>
      </c>
      <c r="B30736" s="1" t="str">
        <f>HYPERLINK("http://innatechoice.com","innatechoice.com")</f>
        <v>innatechoice.com</v>
      </c>
      <c r="C30736" t="s">
        <v>433</v>
      </c>
      <c r="F30736">
        <v>2.8225996291585E-8</v>
      </c>
      <c r="G30736">
        <v>1823291</v>
      </c>
      <c r="H30736">
        <v>13933320</v>
      </c>
      <c r="I30736">
        <v>4789149</v>
      </c>
      <c r="J30736">
        <v>4</v>
      </c>
    </row>
    <row r="30737" spans="1:10" x14ac:dyDescent="0.25">
      <c r="A30737" t="s">
        <v>351</v>
      </c>
      <c r="B30737" s="1" t="str">
        <f>HYPERLINK("http://kcoriginalcreations.com","kcoriginalcreations.com")</f>
        <v>kcoriginalcreations.com</v>
      </c>
      <c r="C30737" t="s">
        <v>433</v>
      </c>
      <c r="F30737">
        <v>4.44380395335525E-9</v>
      </c>
      <c r="G30737">
        <v>82266619</v>
      </c>
      <c r="H30737">
        <v>0</v>
      </c>
      <c r="I30737">
        <v>82839559</v>
      </c>
      <c r="J30737">
        <v>4</v>
      </c>
    </row>
    <row r="30738" spans="1:10" x14ac:dyDescent="0.25">
      <c r="A30738" t="s">
        <v>351</v>
      </c>
      <c r="B30738" s="1" t="str">
        <f>HYPERLINK("http://kocopinecollective.com","kocopinecollective.com")</f>
        <v>kocopinecollective.com</v>
      </c>
      <c r="C30738" t="s">
        <v>433</v>
      </c>
      <c r="F30738">
        <v>4.44380395335525E-9</v>
      </c>
      <c r="G30738">
        <v>82313616</v>
      </c>
      <c r="H30738">
        <v>0</v>
      </c>
      <c r="I30738">
        <v>82896533</v>
      </c>
      <c r="J30738">
        <v>6</v>
      </c>
    </row>
    <row r="30739" spans="1:10" x14ac:dyDescent="0.25">
      <c r="A30739" t="s">
        <v>351</v>
      </c>
      <c r="B30739" s="1" t="str">
        <f>HYPERLINK("http://koznaobuca.com","koznaobuca.com")</f>
        <v>koznaobuca.com</v>
      </c>
      <c r="C30739" t="s">
        <v>433</v>
      </c>
      <c r="F30739">
        <v>4.44380395335525E-9</v>
      </c>
      <c r="G30739">
        <v>82324503</v>
      </c>
      <c r="H30739">
        <v>0</v>
      </c>
      <c r="I30739">
        <v>82909666</v>
      </c>
      <c r="J30739">
        <v>4</v>
      </c>
    </row>
    <row r="30740" spans="1:10" x14ac:dyDescent="0.25">
      <c r="A30740" t="s">
        <v>351</v>
      </c>
      <c r="B30740" s="1" t="str">
        <f>HYPERLINK("http://lainalux.com","lainalux.com")</f>
        <v>lainalux.com</v>
      </c>
      <c r="C30740" t="s">
        <v>433</v>
      </c>
      <c r="F30740">
        <v>5.5464701945732103E-9</v>
      </c>
      <c r="G30740">
        <v>20412920</v>
      </c>
      <c r="H30740">
        <v>8302135.5</v>
      </c>
      <c r="I30740">
        <v>74325891</v>
      </c>
      <c r="J30740">
        <v>4</v>
      </c>
    </row>
    <row r="30741" spans="1:10" x14ac:dyDescent="0.25">
      <c r="A30741" t="s">
        <v>351</v>
      </c>
      <c r="B30741" s="1" t="str">
        <f>HYPERLINK("http://lashanarchist.com","lashanarchist.com")</f>
        <v>lashanarchist.com</v>
      </c>
      <c r="C30741" t="s">
        <v>433</v>
      </c>
      <c r="F30741">
        <v>5.9719683607164097E-9</v>
      </c>
      <c r="G30741">
        <v>16869087</v>
      </c>
      <c r="H30741">
        <v>9970572</v>
      </c>
      <c r="I30741">
        <v>61062312</v>
      </c>
      <c r="J30741">
        <v>4</v>
      </c>
    </row>
    <row r="30742" spans="1:10" x14ac:dyDescent="0.25">
      <c r="A30742" t="s">
        <v>351</v>
      </c>
      <c r="B30742" s="1" t="str">
        <f>HYPERLINK("http://loonara.com","loonara.com")</f>
        <v>loonara.com</v>
      </c>
      <c r="C30742" t="s">
        <v>433</v>
      </c>
      <c r="F30742">
        <v>4.44380395335525E-9</v>
      </c>
      <c r="G30742">
        <v>82465079</v>
      </c>
      <c r="H30742">
        <v>0</v>
      </c>
      <c r="I30742">
        <v>83080321</v>
      </c>
      <c r="J30742">
        <v>4</v>
      </c>
    </row>
    <row r="30743" spans="1:10" x14ac:dyDescent="0.25">
      <c r="A30743" t="s">
        <v>351</v>
      </c>
      <c r="B30743" s="1" t="str">
        <f>HYPERLINK("http://medzena.com","medzena.com")</f>
        <v>medzena.com</v>
      </c>
      <c r="C30743" t="s">
        <v>433</v>
      </c>
      <c r="F30743">
        <v>4.44380395335525E-9</v>
      </c>
      <c r="G30743">
        <v>82597154</v>
      </c>
      <c r="H30743">
        <v>0</v>
      </c>
      <c r="I30743">
        <v>83240181</v>
      </c>
      <c r="J30743">
        <v>4</v>
      </c>
    </row>
    <row r="30744" spans="1:10" x14ac:dyDescent="0.25">
      <c r="A30744" t="s">
        <v>351</v>
      </c>
      <c r="B30744" s="1" t="str">
        <f>HYPERLINK("http://moonangelcrystals.com","moonangelcrystals.com")</f>
        <v>moonangelcrystals.com</v>
      </c>
      <c r="C30744" t="s">
        <v>433</v>
      </c>
      <c r="F30744">
        <v>4.5543540077508099E-9</v>
      </c>
      <c r="G30744">
        <v>51738037</v>
      </c>
      <c r="H30744">
        <v>10345955</v>
      </c>
      <c r="I30744">
        <v>56903048</v>
      </c>
      <c r="J30744">
        <v>4</v>
      </c>
    </row>
    <row r="30745" spans="1:10" x14ac:dyDescent="0.25">
      <c r="A30745" t="s">
        <v>351</v>
      </c>
      <c r="B30745" s="1" t="str">
        <f>HYPERLINK("http://mythinsnacks.com","mythinsnacks.com")</f>
        <v>mythinsnacks.com</v>
      </c>
      <c r="C30745" t="s">
        <v>433</v>
      </c>
      <c r="F30745">
        <v>4.6433450664050799E-9</v>
      </c>
      <c r="G30745">
        <v>44555591</v>
      </c>
      <c r="H30745">
        <v>12189343</v>
      </c>
      <c r="I30745">
        <v>23598200</v>
      </c>
      <c r="J30745">
        <v>4</v>
      </c>
    </row>
    <row r="30746" spans="1:10" x14ac:dyDescent="0.25">
      <c r="A30746" t="s">
        <v>351</v>
      </c>
      <c r="B30746" s="1" t="str">
        <f>HYPERLINK("http://nagunalabs.com","nagunalabs.com")</f>
        <v>nagunalabs.com</v>
      </c>
      <c r="C30746" t="s">
        <v>433</v>
      </c>
      <c r="F30746">
        <v>4.87828900848272E-9</v>
      </c>
      <c r="G30746">
        <v>33138129</v>
      </c>
      <c r="H30746">
        <v>8674323</v>
      </c>
      <c r="I30746">
        <v>70152995</v>
      </c>
      <c r="J30746">
        <v>4</v>
      </c>
    </row>
    <row r="30747" spans="1:10" x14ac:dyDescent="0.25">
      <c r="A30747" t="s">
        <v>351</v>
      </c>
      <c r="B30747" s="1" t="str">
        <f>HYPERLINK("http://nai-jo.com","nai-jo.com")</f>
        <v>nai-jo.com</v>
      </c>
      <c r="C30747" t="s">
        <v>433</v>
      </c>
      <c r="F30747">
        <v>5.0202799147468497E-9</v>
      </c>
      <c r="G30747">
        <v>28895206</v>
      </c>
      <c r="H30747">
        <v>12470074</v>
      </c>
      <c r="I30747">
        <v>17747543</v>
      </c>
      <c r="J30747">
        <v>4</v>
      </c>
    </row>
    <row r="30748" spans="1:10" x14ac:dyDescent="0.25">
      <c r="A30748" t="s">
        <v>351</v>
      </c>
      <c r="B30748" s="1" t="str">
        <f>HYPERLINK("http://naiveer.com","naiveer.com")</f>
        <v>naiveer.com</v>
      </c>
      <c r="C30748" t="s">
        <v>433</v>
      </c>
      <c r="F30748">
        <v>4.8074131525748898E-9</v>
      </c>
      <c r="G30748">
        <v>35796408</v>
      </c>
      <c r="H30748">
        <v>10974470</v>
      </c>
      <c r="I30748">
        <v>34044706</v>
      </c>
      <c r="J30748">
        <v>4</v>
      </c>
    </row>
    <row r="30749" spans="1:10" x14ac:dyDescent="0.25">
      <c r="A30749" t="s">
        <v>351</v>
      </c>
      <c r="B30749" s="1" t="str">
        <f>HYPERLINK("http://nakedbites.com","nakedbites.com")</f>
        <v>nakedbites.com</v>
      </c>
      <c r="C30749" t="s">
        <v>433</v>
      </c>
      <c r="F30749">
        <v>4.82121142840705E-9</v>
      </c>
      <c r="G30749">
        <v>35228216</v>
      </c>
      <c r="H30749">
        <v>11193587</v>
      </c>
      <c r="I30749">
        <v>31324382</v>
      </c>
      <c r="J30749">
        <v>4</v>
      </c>
    </row>
    <row r="30750" spans="1:10" x14ac:dyDescent="0.25">
      <c r="A30750" t="s">
        <v>351</v>
      </c>
      <c r="B30750" s="1" t="str">
        <f>HYPERLINK("http://nalaetmilo.com","nalaetmilo.com")</f>
        <v>nalaetmilo.com</v>
      </c>
      <c r="C30750" t="s">
        <v>433</v>
      </c>
      <c r="F30750">
        <v>4.52758593595866E-9</v>
      </c>
      <c r="G30750">
        <v>55321621</v>
      </c>
      <c r="H30750">
        <v>10541464</v>
      </c>
      <c r="I30750">
        <v>47167935</v>
      </c>
      <c r="J30750">
        <v>4</v>
      </c>
    </row>
    <row r="30751" spans="1:10" x14ac:dyDescent="0.25">
      <c r="A30751" t="s">
        <v>351</v>
      </c>
      <c r="B30751" s="1" t="str">
        <f>HYPERLINK("http://nanotoothbrushshop.com","nanotoothbrushshop.com")</f>
        <v>nanotoothbrushshop.com</v>
      </c>
      <c r="C30751" t="s">
        <v>433</v>
      </c>
      <c r="F30751">
        <v>4.4590513315363E-9</v>
      </c>
      <c r="G30751">
        <v>68058397</v>
      </c>
      <c r="H30751">
        <v>10529870</v>
      </c>
      <c r="I30751">
        <v>48354036</v>
      </c>
      <c r="J30751">
        <v>4</v>
      </c>
    </row>
    <row r="30752" spans="1:10" x14ac:dyDescent="0.25">
      <c r="A30752" t="s">
        <v>351</v>
      </c>
      <c r="B30752" s="1" t="str">
        <f>HYPERLINK("http://natalies-kitchen.com","natalies-kitchen.com")</f>
        <v>natalies-kitchen.com</v>
      </c>
      <c r="C30752" t="s">
        <v>433</v>
      </c>
      <c r="F30752">
        <v>4.4575628199230104E-9</v>
      </c>
      <c r="G30752">
        <v>68549740</v>
      </c>
      <c r="H30752">
        <v>10740232</v>
      </c>
      <c r="I30752">
        <v>40422065</v>
      </c>
      <c r="J30752">
        <v>4</v>
      </c>
    </row>
    <row r="30753" spans="1:10" x14ac:dyDescent="0.25">
      <c r="A30753" t="s">
        <v>351</v>
      </c>
      <c r="B30753" s="1" t="str">
        <f>HYPERLINK("http://nationofshades.com","nationofshades.com")</f>
        <v>nationofshades.com</v>
      </c>
      <c r="C30753" t="s">
        <v>433</v>
      </c>
      <c r="F30753">
        <v>4.44380395335525E-9</v>
      </c>
      <c r="G30753">
        <v>82765552</v>
      </c>
      <c r="H30753">
        <v>0</v>
      </c>
      <c r="I30753">
        <v>83444816</v>
      </c>
      <c r="J30753">
        <v>4</v>
      </c>
    </row>
    <row r="30754" spans="1:10" x14ac:dyDescent="0.25">
      <c r="A30754" t="s">
        <v>351</v>
      </c>
      <c r="B30754" s="1" t="str">
        <f>HYPERLINK("http://natix.com","natix.com")</f>
        <v>natix.com</v>
      </c>
      <c r="C30754" t="s">
        <v>433</v>
      </c>
      <c r="F30754">
        <v>7.0751831583159099E-9</v>
      </c>
      <c r="G30754">
        <v>12084617</v>
      </c>
      <c r="H30754">
        <v>12736317</v>
      </c>
      <c r="I30754">
        <v>15161248</v>
      </c>
      <c r="J30754">
        <v>4</v>
      </c>
    </row>
    <row r="30755" spans="1:10" x14ac:dyDescent="0.25">
      <c r="A30755" t="s">
        <v>351</v>
      </c>
      <c r="B30755" s="1" t="str">
        <f>HYPERLINK("http://naturalbeautifulbliss.com","naturalbeautifulbliss.com")</f>
        <v>naturalbeautifulbliss.com</v>
      </c>
      <c r="C30755" t="s">
        <v>433</v>
      </c>
      <c r="F30755">
        <v>4.4838843325923903E-9</v>
      </c>
      <c r="G30755">
        <v>61602610</v>
      </c>
      <c r="H30755">
        <v>10370144</v>
      </c>
      <c r="I30755">
        <v>54857612</v>
      </c>
      <c r="J30755">
        <v>4</v>
      </c>
    </row>
    <row r="30756" spans="1:10" x14ac:dyDescent="0.25">
      <c r="A30756" t="s">
        <v>351</v>
      </c>
      <c r="B30756" s="1" t="str">
        <f>HYPERLINK("http://naturallearningshop.com","naturallearningshop.com")</f>
        <v>naturallearningshop.com</v>
      </c>
      <c r="C30756" t="s">
        <v>433</v>
      </c>
      <c r="F30756">
        <v>3.2092693471248897E-8</v>
      </c>
      <c r="G30756">
        <v>1611107</v>
      </c>
      <c r="H30756">
        <v>12830330</v>
      </c>
      <c r="I30756">
        <v>14418421</v>
      </c>
      <c r="J30756">
        <v>4</v>
      </c>
    </row>
    <row r="30757" spans="1:10" x14ac:dyDescent="0.25">
      <c r="A30757" t="s">
        <v>351</v>
      </c>
      <c r="B30757" s="1" t="str">
        <f>HYPERLINK("http://naturalnature2020.com","naturalnature2020.com")</f>
        <v>naturalnature2020.com</v>
      </c>
      <c r="C30757" t="s">
        <v>433</v>
      </c>
      <c r="F30757">
        <v>4.44380395335525E-9</v>
      </c>
      <c r="G30757">
        <v>82767394</v>
      </c>
      <c r="H30757">
        <v>0</v>
      </c>
      <c r="I30757">
        <v>83446962</v>
      </c>
      <c r="J30757">
        <v>4</v>
      </c>
    </row>
    <row r="30758" spans="1:10" x14ac:dyDescent="0.25">
      <c r="A30758" t="s">
        <v>351</v>
      </c>
      <c r="B30758" s="1" t="str">
        <f>HYPERLINK("http://navaleaf.com","navaleaf.com")</f>
        <v>navaleaf.com</v>
      </c>
      <c r="C30758" t="s">
        <v>433</v>
      </c>
      <c r="F30758">
        <v>4.7110237192768098E-9</v>
      </c>
      <c r="G30758">
        <v>40693449</v>
      </c>
      <c r="H30758">
        <v>9758290</v>
      </c>
      <c r="I30758">
        <v>62923915</v>
      </c>
      <c r="J30758">
        <v>4</v>
      </c>
    </row>
    <row r="30759" spans="1:10" x14ac:dyDescent="0.25">
      <c r="A30759" t="s">
        <v>351</v>
      </c>
      <c r="B30759" s="1" t="str">
        <f>HYPERLINK("http://nay-jo.com","nay-jo.com")</f>
        <v>nay-jo.com</v>
      </c>
      <c r="C30759" t="s">
        <v>433</v>
      </c>
      <c r="F30759">
        <v>4.6683954471358097E-9</v>
      </c>
      <c r="G30759">
        <v>43012854</v>
      </c>
      <c r="H30759">
        <v>9587373</v>
      </c>
      <c r="I30759">
        <v>64540673</v>
      </c>
      <c r="J30759">
        <v>4</v>
      </c>
    </row>
    <row r="30760" spans="1:10" x14ac:dyDescent="0.25">
      <c r="A30760" t="s">
        <v>351</v>
      </c>
      <c r="B30760" s="1" t="str">
        <f>HYPERLINK("http://neatnannyph.com","neatnannyph.com")</f>
        <v>neatnannyph.com</v>
      </c>
      <c r="C30760" t="s">
        <v>433</v>
      </c>
      <c r="F30760">
        <v>4.44380395335525E-9</v>
      </c>
      <c r="G30760">
        <v>82776429</v>
      </c>
      <c r="H30760">
        <v>0</v>
      </c>
      <c r="I30760">
        <v>83458356</v>
      </c>
      <c r="J30760">
        <v>4</v>
      </c>
    </row>
    <row r="30761" spans="1:10" x14ac:dyDescent="0.25">
      <c r="A30761" t="s">
        <v>351</v>
      </c>
      <c r="B30761" s="1" t="str">
        <f>HYPERLINK("http://nenaandpasadena.com","nenaandpasadena.com")</f>
        <v>nenaandpasadena.com</v>
      </c>
      <c r="C30761" t="s">
        <v>433</v>
      </c>
      <c r="F30761">
        <v>5.2394430865630097E-9</v>
      </c>
      <c r="G30761">
        <v>24422439</v>
      </c>
      <c r="H30761">
        <v>10953904</v>
      </c>
      <c r="I30761">
        <v>34494581</v>
      </c>
      <c r="J30761">
        <v>4</v>
      </c>
    </row>
    <row r="30762" spans="1:10" x14ac:dyDescent="0.25">
      <c r="A30762" t="s">
        <v>351</v>
      </c>
      <c r="B30762" s="1" t="str">
        <f>HYPERLINK("http://okanagandyeworks.com","okanagandyeworks.com")</f>
        <v>okanagandyeworks.com</v>
      </c>
      <c r="C30762" t="s">
        <v>433</v>
      </c>
      <c r="F30762">
        <v>4.8946219070867801E-9</v>
      </c>
      <c r="G30762">
        <v>32623381</v>
      </c>
      <c r="H30762">
        <v>10711470</v>
      </c>
      <c r="I30762">
        <v>42135693</v>
      </c>
      <c r="J30762">
        <v>4</v>
      </c>
    </row>
    <row r="30763" spans="1:10" x14ac:dyDescent="0.25">
      <c r="A30763" t="s">
        <v>351</v>
      </c>
      <c r="B30763" s="1" t="str">
        <f>HYPERLINK("http://physiosuppliescanada.com","physiosuppliescanada.com")</f>
        <v>physiosuppliescanada.com</v>
      </c>
      <c r="C30763" t="s">
        <v>433</v>
      </c>
      <c r="F30763">
        <v>7.8846218961140405E-9</v>
      </c>
      <c r="G30763">
        <v>10142070</v>
      </c>
      <c r="H30763">
        <v>12917122</v>
      </c>
      <c r="I30763">
        <v>13507133</v>
      </c>
      <c r="J30763">
        <v>4</v>
      </c>
    </row>
    <row r="30764" spans="1:10" x14ac:dyDescent="0.25">
      <c r="A30764" t="s">
        <v>351</v>
      </c>
      <c r="B30764" s="1" t="str">
        <f>HYPERLINK("http://portemonnaie-shop.com","portemonnaie-shop.com")</f>
        <v>portemonnaie-shop.com</v>
      </c>
      <c r="C30764" t="s">
        <v>433</v>
      </c>
      <c r="F30764">
        <v>4.4475968923636498E-9</v>
      </c>
      <c r="G30764">
        <v>73415284</v>
      </c>
      <c r="H30764">
        <v>10539931</v>
      </c>
      <c r="I30764">
        <v>47285268</v>
      </c>
      <c r="J30764">
        <v>4</v>
      </c>
    </row>
    <row r="30765" spans="1:10" x14ac:dyDescent="0.25">
      <c r="A30765" t="s">
        <v>351</v>
      </c>
      <c r="B30765" s="1" t="str">
        <f>HYPERLINK("http://professionalhomechefshop.com","professionalhomechefshop.com")</f>
        <v>professionalhomechefshop.com</v>
      </c>
      <c r="C30765" t="s">
        <v>433</v>
      </c>
      <c r="F30765">
        <v>4.8273051848248998E-9</v>
      </c>
      <c r="G30765">
        <v>34943467</v>
      </c>
      <c r="H30765">
        <v>9524851</v>
      </c>
      <c r="I30765">
        <v>65363520</v>
      </c>
      <c r="J30765">
        <v>4</v>
      </c>
    </row>
    <row r="30766" spans="1:10" x14ac:dyDescent="0.25">
      <c r="A30766" t="s">
        <v>351</v>
      </c>
      <c r="B30766" s="1" t="str">
        <f>HYPERLINK("http://quintadonaadelaide.com","quintadonaadelaide.com")</f>
        <v>quintadonaadelaide.com</v>
      </c>
      <c r="C30766" t="s">
        <v>433</v>
      </c>
      <c r="F30766">
        <v>5.0874535664485702E-9</v>
      </c>
      <c r="G30766">
        <v>27343555</v>
      </c>
      <c r="H30766">
        <v>12376536</v>
      </c>
      <c r="I30766">
        <v>19281989</v>
      </c>
      <c r="J30766">
        <v>4</v>
      </c>
    </row>
    <row r="30767" spans="1:10" x14ac:dyDescent="0.25">
      <c r="A30767" t="s">
        <v>351</v>
      </c>
      <c r="B30767" s="1" t="str">
        <f>HYPERLINK("http://samangeloriginalarts.com","samangeloriginalarts.com")</f>
        <v>samangeloriginalarts.com</v>
      </c>
      <c r="C30767" t="s">
        <v>433</v>
      </c>
      <c r="F30767">
        <v>8.0071858859323096E-9</v>
      </c>
      <c r="G30767">
        <v>9907647</v>
      </c>
      <c r="H30767">
        <v>14060726</v>
      </c>
      <c r="I30767">
        <v>3820139</v>
      </c>
      <c r="J30767">
        <v>4</v>
      </c>
    </row>
    <row r="30768" spans="1:10" x14ac:dyDescent="0.25">
      <c r="A30768" t="s">
        <v>351</v>
      </c>
      <c r="B30768" s="1" t="str">
        <f>HYPERLINK("http://saunanwater.com","saunanwater.com")</f>
        <v>saunanwater.com</v>
      </c>
      <c r="C30768" t="s">
        <v>433</v>
      </c>
      <c r="F30768">
        <v>4.4438588325642003E-9</v>
      </c>
      <c r="G30768">
        <v>78283665</v>
      </c>
      <c r="H30768">
        <v>10358364</v>
      </c>
      <c r="I30768">
        <v>55466662</v>
      </c>
      <c r="J30768">
        <v>4</v>
      </c>
    </row>
    <row r="30769" spans="1:10" x14ac:dyDescent="0.25">
      <c r="A30769" t="s">
        <v>351</v>
      </c>
      <c r="B30769" s="1" t="str">
        <f>HYPERLINK("http://shifterz-sna.com","shifterz-sna.com")</f>
        <v>shifterz-sna.com</v>
      </c>
      <c r="C30769" t="s">
        <v>433</v>
      </c>
      <c r="F30769">
        <v>4.44380395335525E-9</v>
      </c>
      <c r="G30769">
        <v>83385185</v>
      </c>
      <c r="H30769">
        <v>0</v>
      </c>
      <c r="I30769">
        <v>84197743</v>
      </c>
      <c r="J30769">
        <v>4</v>
      </c>
    </row>
    <row r="30770" spans="1:10" x14ac:dyDescent="0.25">
      <c r="A30770" t="s">
        <v>351</v>
      </c>
      <c r="B30770" s="1" t="str">
        <f>HYPERLINK("http://shopify.com","shopify.com")</f>
        <v>shopify.com</v>
      </c>
      <c r="C30770" t="s">
        <v>433</v>
      </c>
      <c r="E30770">
        <v>189</v>
      </c>
      <c r="F30770">
        <v>5.2931198289907395E-4</v>
      </c>
      <c r="G30770">
        <v>62</v>
      </c>
      <c r="H30770">
        <v>20178722</v>
      </c>
      <c r="I30770">
        <v>48</v>
      </c>
      <c r="J30770">
        <v>1</v>
      </c>
    </row>
    <row r="30771" spans="1:10" x14ac:dyDescent="0.25">
      <c r="A30771" t="s">
        <v>351</v>
      </c>
      <c r="B30771" s="1" t="str">
        <f>HYPERLINK("http://shopmalcreates.com","shopmalcreates.com")</f>
        <v>shopmalcreates.com</v>
      </c>
      <c r="C30771" t="s">
        <v>433</v>
      </c>
      <c r="F30771">
        <v>5.0029277483983702E-9</v>
      </c>
      <c r="G30771">
        <v>29340129</v>
      </c>
      <c r="H30771">
        <v>12396277</v>
      </c>
      <c r="I30771">
        <v>18908562</v>
      </c>
      <c r="J30771">
        <v>6</v>
      </c>
    </row>
    <row r="30772" spans="1:10" x14ac:dyDescent="0.25">
      <c r="A30772" t="s">
        <v>351</v>
      </c>
      <c r="B30772" s="1" t="str">
        <f>HYPERLINK("http://shoshannaco.com","shoshannaco.com")</f>
        <v>shoshannaco.com</v>
      </c>
      <c r="C30772" t="s">
        <v>433</v>
      </c>
      <c r="F30772">
        <v>1.5603634903214999E-8</v>
      </c>
      <c r="G30772">
        <v>3654123</v>
      </c>
      <c r="H30772">
        <v>13652882</v>
      </c>
      <c r="I30772">
        <v>9604831</v>
      </c>
      <c r="J30772">
        <v>5</v>
      </c>
    </row>
    <row r="30773" spans="1:10" x14ac:dyDescent="0.25">
      <c r="A30773" t="s">
        <v>351</v>
      </c>
      <c r="B30773" s="1" t="str">
        <f>HYPERLINK("http://simplynakedpetfood.com","simplynakedpetfood.com")</f>
        <v>simplynakedpetfood.com</v>
      </c>
      <c r="C30773" t="s">
        <v>433</v>
      </c>
      <c r="F30773">
        <v>6.7506603595562601E-9</v>
      </c>
      <c r="G30773">
        <v>13126793</v>
      </c>
      <c r="H30773">
        <v>12238747</v>
      </c>
      <c r="I30773">
        <v>22292835</v>
      </c>
      <c r="J30773">
        <v>4</v>
      </c>
    </row>
    <row r="30774" spans="1:10" x14ac:dyDescent="0.25">
      <c r="A30774" t="s">
        <v>351</v>
      </c>
      <c r="B30774" s="1" t="str">
        <f>HYPERLINK("http://snarkgifts.com","snarkgifts.com")</f>
        <v>snarkgifts.com</v>
      </c>
      <c r="C30774" t="s">
        <v>433</v>
      </c>
      <c r="F30774">
        <v>4.8784814161574003E-9</v>
      </c>
      <c r="G30774">
        <v>33131927</v>
      </c>
      <c r="H30774">
        <v>12218748</v>
      </c>
      <c r="I30774">
        <v>22815565</v>
      </c>
      <c r="J30774">
        <v>4</v>
      </c>
    </row>
    <row r="30775" spans="1:10" x14ac:dyDescent="0.25">
      <c r="A30775" t="s">
        <v>351</v>
      </c>
      <c r="B30775" s="1" t="str">
        <f>HYPERLINK("http://supplynatural.com","supplynatural.com")</f>
        <v>supplynatural.com</v>
      </c>
      <c r="C30775" t="s">
        <v>433</v>
      </c>
      <c r="F30775">
        <v>4.7124162210559302E-9</v>
      </c>
      <c r="G30775">
        <v>40627871</v>
      </c>
      <c r="H30775">
        <v>11943022</v>
      </c>
      <c r="I30775">
        <v>29182092</v>
      </c>
      <c r="J30775">
        <v>4</v>
      </c>
    </row>
    <row r="30776" spans="1:10" x14ac:dyDescent="0.25">
      <c r="A30776" t="s">
        <v>351</v>
      </c>
      <c r="B30776" s="1" t="str">
        <f>HYPERLINK("http://surpresanatural.com","surpresanatural.com")</f>
        <v>surpresanatural.com</v>
      </c>
      <c r="C30776" t="s">
        <v>433</v>
      </c>
      <c r="F30776">
        <v>5.0691926976610798E-9</v>
      </c>
      <c r="G30776">
        <v>27807620</v>
      </c>
      <c r="H30776">
        <v>7298504.5</v>
      </c>
      <c r="I30776">
        <v>76321591</v>
      </c>
      <c r="J30776">
        <v>4</v>
      </c>
    </row>
    <row r="30777" spans="1:10" x14ac:dyDescent="0.25">
      <c r="A30777" t="s">
        <v>351</v>
      </c>
      <c r="B30777" s="1" t="str">
        <f>HYPERLINK("http://tattname.com","tattname.com")</f>
        <v>tattname.com</v>
      </c>
      <c r="C30777" t="s">
        <v>433</v>
      </c>
      <c r="F30777">
        <v>5.5969961117539702E-9</v>
      </c>
      <c r="G30777">
        <v>19886339</v>
      </c>
      <c r="H30777">
        <v>10506067</v>
      </c>
      <c r="I30777">
        <v>50400210</v>
      </c>
      <c r="J30777">
        <v>4</v>
      </c>
    </row>
    <row r="30778" spans="1:10" x14ac:dyDescent="0.25">
      <c r="A30778" t="s">
        <v>351</v>
      </c>
      <c r="B30778" s="1" t="str">
        <f>HYPERLINK("http://tesorinaboutique.com","tesorinaboutique.com")</f>
        <v>tesorinaboutique.com</v>
      </c>
      <c r="C30778" t="s">
        <v>433</v>
      </c>
      <c r="F30778">
        <v>4.9500357771164697E-9</v>
      </c>
      <c r="G30778">
        <v>30787244</v>
      </c>
      <c r="H30778">
        <v>12352925</v>
      </c>
      <c r="I30778">
        <v>19719595</v>
      </c>
      <c r="J30778">
        <v>4</v>
      </c>
    </row>
    <row r="30779" spans="1:10" x14ac:dyDescent="0.25">
      <c r="A30779" t="s">
        <v>351</v>
      </c>
      <c r="B30779" s="1" t="str">
        <f>HYPERLINK("http://thebvainnailsupply.com","thebvainnailsupply.com")</f>
        <v>thebvainnailsupply.com</v>
      </c>
      <c r="C30779" t="s">
        <v>433</v>
      </c>
      <c r="F30779">
        <v>4.4787910401762702E-9</v>
      </c>
      <c r="G30779">
        <v>62607651</v>
      </c>
      <c r="H30779">
        <v>10343675</v>
      </c>
      <c r="I30779">
        <v>58239245</v>
      </c>
      <c r="J30779">
        <v>4</v>
      </c>
    </row>
    <row r="30780" spans="1:10" x14ac:dyDescent="0.25">
      <c r="A30780" t="s">
        <v>351</v>
      </c>
      <c r="B30780" s="1" t="str">
        <f>HYPERLINK("http://thecarrypack.com","thecarrypack.com")</f>
        <v>thecarrypack.com</v>
      </c>
      <c r="C30780" t="s">
        <v>433</v>
      </c>
      <c r="F30780">
        <v>4.44380395335525E-9</v>
      </c>
      <c r="G30780">
        <v>83676086</v>
      </c>
      <c r="H30780">
        <v>0</v>
      </c>
      <c r="I30780">
        <v>84552924</v>
      </c>
      <c r="J30780">
        <v>6</v>
      </c>
    </row>
    <row r="30781" spans="1:10" x14ac:dyDescent="0.25">
      <c r="A30781" t="s">
        <v>351</v>
      </c>
      <c r="B30781" s="1" t="str">
        <f>HYPERLINK("http://thornalexander.com","thornalexander.com")</f>
        <v>thornalexander.com</v>
      </c>
      <c r="C30781" t="s">
        <v>433</v>
      </c>
      <c r="F30781">
        <v>8.1096936787147795E-9</v>
      </c>
      <c r="G30781">
        <v>9724945</v>
      </c>
      <c r="H30781">
        <v>13809452</v>
      </c>
      <c r="I30781">
        <v>6215689</v>
      </c>
      <c r="J30781">
        <v>4</v>
      </c>
    </row>
    <row r="30782" spans="1:10" x14ac:dyDescent="0.25">
      <c r="A30782" t="s">
        <v>351</v>
      </c>
      <c r="B30782" s="1" t="str">
        <f>HYPERLINK("http://trustana.com","trustana.com")</f>
        <v>trustana.com</v>
      </c>
      <c r="C30782" t="s">
        <v>433</v>
      </c>
      <c r="F30782">
        <v>3.3888609423291703E-8</v>
      </c>
      <c r="G30782">
        <v>1527364</v>
      </c>
      <c r="H30782">
        <v>14049577</v>
      </c>
      <c r="I30782">
        <v>3895812</v>
      </c>
      <c r="J30782">
        <v>4</v>
      </c>
    </row>
    <row r="30783" spans="1:10" x14ac:dyDescent="0.25">
      <c r="A30783" t="s">
        <v>351</v>
      </c>
      <c r="B30783" s="1" t="str">
        <f>HYPERLINK("http://veterinariaasis.com","veterinariaasis.com")</f>
        <v>veterinariaasis.com</v>
      </c>
      <c r="C30783" t="s">
        <v>433</v>
      </c>
      <c r="F30783">
        <v>4.44380395335525E-9</v>
      </c>
      <c r="G30783">
        <v>83896936</v>
      </c>
      <c r="H30783">
        <v>0</v>
      </c>
      <c r="I30783">
        <v>84820642</v>
      </c>
      <c r="J30783">
        <v>4</v>
      </c>
    </row>
    <row r="30784" spans="1:10" x14ac:dyDescent="0.25">
      <c r="A30784" t="s">
        <v>351</v>
      </c>
      <c r="B30784" s="1" t="str">
        <f>HYPERLINK("http://yanasleep.com","yanasleep.com")</f>
        <v>yanasleep.com</v>
      </c>
      <c r="C30784" t="s">
        <v>433</v>
      </c>
      <c r="E30784">
        <v>600827</v>
      </c>
      <c r="F30784">
        <v>1.8266857448592201E-8</v>
      </c>
      <c r="G30784">
        <v>2973894</v>
      </c>
      <c r="H30784">
        <v>13388866</v>
      </c>
      <c r="I30784">
        <v>10395706</v>
      </c>
      <c r="J30784">
        <v>4</v>
      </c>
    </row>
    <row r="30785" spans="1:10" x14ac:dyDescent="0.25">
      <c r="A30785" t="s">
        <v>351</v>
      </c>
      <c r="B30785" s="1" t="str">
        <f>HYPERLINK("http://monamor.de","monamor.de")</f>
        <v>monamor.de</v>
      </c>
      <c r="C30785" t="s">
        <v>436</v>
      </c>
      <c r="D30785" t="s">
        <v>815</v>
      </c>
      <c r="F30785">
        <v>8.6135025644352708E-9</v>
      </c>
      <c r="G30785">
        <v>8632429</v>
      </c>
      <c r="H30785">
        <v>8409116</v>
      </c>
      <c r="I30785">
        <v>73128773</v>
      </c>
      <c r="J30785">
        <v>4</v>
      </c>
    </row>
    <row r="30786" spans="1:10" x14ac:dyDescent="0.25">
      <c r="A30786" t="s">
        <v>351</v>
      </c>
      <c r="B30786" s="1" t="str">
        <f>HYPERLINK("http://shopify.de","shopify.de")</f>
        <v>shopify.de</v>
      </c>
      <c r="C30786" t="s">
        <v>436</v>
      </c>
      <c r="D30786" t="s">
        <v>815</v>
      </c>
      <c r="E30786">
        <v>244404</v>
      </c>
      <c r="F30786">
        <v>1.8647884924350801E-6</v>
      </c>
      <c r="G30786">
        <v>20053</v>
      </c>
      <c r="H30786">
        <v>17231228</v>
      </c>
      <c r="I30786">
        <v>36723</v>
      </c>
      <c r="J30786">
        <v>2</v>
      </c>
    </row>
    <row r="30787" spans="1:10" x14ac:dyDescent="0.25">
      <c r="A30787" t="s">
        <v>351</v>
      </c>
      <c r="B30787" s="1" t="str">
        <f>HYPERLINK("http://surpresanatural.de","surpresanatural.de")</f>
        <v>surpresanatural.de</v>
      </c>
      <c r="C30787" t="s">
        <v>436</v>
      </c>
      <c r="D30787" t="s">
        <v>815</v>
      </c>
      <c r="F30787">
        <v>5.1385143030153599E-9</v>
      </c>
      <c r="G30787">
        <v>26292601</v>
      </c>
      <c r="H30787">
        <v>8845666</v>
      </c>
      <c r="I30787">
        <v>69188717</v>
      </c>
      <c r="J30787">
        <v>5</v>
      </c>
    </row>
    <row r="30788" spans="1:10" x14ac:dyDescent="0.25">
      <c r="A30788" t="s">
        <v>351</v>
      </c>
      <c r="B30788" s="1" t="str">
        <f>HYPERLINK("http://shopify.dev","shopify.dev")</f>
        <v>shopify.dev</v>
      </c>
      <c r="C30788" t="s">
        <v>527</v>
      </c>
      <c r="E30788">
        <v>28314</v>
      </c>
      <c r="F30788">
        <v>3.9675654091674899E-6</v>
      </c>
      <c r="G30788">
        <v>9594</v>
      </c>
      <c r="H30788">
        <v>15464609</v>
      </c>
      <c r="I30788">
        <v>377761</v>
      </c>
      <c r="J30788">
        <v>2</v>
      </c>
    </row>
    <row r="30789" spans="1:10" x14ac:dyDescent="0.25">
      <c r="A30789" t="s">
        <v>351</v>
      </c>
      <c r="B30789" s="1" t="str">
        <f>HYPERLINK("http://shopify.dk","shopify.dk")</f>
        <v>shopify.dk</v>
      </c>
      <c r="C30789" t="s">
        <v>437</v>
      </c>
      <c r="D30789" t="s">
        <v>816</v>
      </c>
      <c r="F30789">
        <v>1.4120982990906201E-7</v>
      </c>
      <c r="G30789">
        <v>275804</v>
      </c>
      <c r="H30789">
        <v>14043599</v>
      </c>
      <c r="I30789">
        <v>3904776</v>
      </c>
      <c r="J30789">
        <v>2</v>
      </c>
    </row>
    <row r="30790" spans="1:10" x14ac:dyDescent="0.25">
      <c r="A30790" t="s">
        <v>351</v>
      </c>
      <c r="B30790" s="1" t="str">
        <f>HYPERLINK("http://shopify.engineering","shopify.engineering")</f>
        <v>shopify.engineering</v>
      </c>
      <c r="C30790" t="s">
        <v>719</v>
      </c>
      <c r="E30790">
        <v>357008</v>
      </c>
      <c r="F30790">
        <v>2.6718511028951102E-6</v>
      </c>
      <c r="G30790">
        <v>14233</v>
      </c>
      <c r="H30790">
        <v>15615776</v>
      </c>
      <c r="I30790">
        <v>371606</v>
      </c>
      <c r="J30790">
        <v>2</v>
      </c>
    </row>
    <row r="30791" spans="1:10" x14ac:dyDescent="0.25">
      <c r="A30791" t="s">
        <v>351</v>
      </c>
      <c r="B30791" s="1" t="str">
        <f>HYPERLINK("http://shopify.es","shopify.es")</f>
        <v>shopify.es</v>
      </c>
      <c r="C30791" t="s">
        <v>443</v>
      </c>
      <c r="D30791" t="s">
        <v>822</v>
      </c>
      <c r="E30791">
        <v>400302</v>
      </c>
      <c r="F30791">
        <v>5.9907152915081503E-7</v>
      </c>
      <c r="G30791">
        <v>63821</v>
      </c>
      <c r="H30791">
        <v>14881417</v>
      </c>
      <c r="I30791">
        <v>471984</v>
      </c>
      <c r="J30791">
        <v>2</v>
      </c>
    </row>
    <row r="30792" spans="1:10" x14ac:dyDescent="0.25">
      <c r="A30792" t="s">
        <v>351</v>
      </c>
      <c r="B30792" s="1" t="str">
        <f>HYPERLINK("http://shopify.eu","shopify.eu")</f>
        <v>shopify.eu</v>
      </c>
      <c r="C30792" t="s">
        <v>444</v>
      </c>
      <c r="F30792">
        <v>1.3042020811856901E-7</v>
      </c>
      <c r="G30792">
        <v>300082</v>
      </c>
      <c r="H30792">
        <v>13569152</v>
      </c>
      <c r="I30792">
        <v>9731770</v>
      </c>
      <c r="J30792">
        <v>2</v>
      </c>
    </row>
    <row r="30793" spans="1:10" x14ac:dyDescent="0.25">
      <c r="A30793" t="s">
        <v>351</v>
      </c>
      <c r="B30793" s="1" t="str">
        <f>HYPERLINK("http://expertsmarketplace.fi","expertsmarketplace.fi")</f>
        <v>expertsmarketplace.fi</v>
      </c>
      <c r="C30793" t="s">
        <v>445</v>
      </c>
      <c r="D30793" t="s">
        <v>823</v>
      </c>
      <c r="J30793">
        <v>2</v>
      </c>
    </row>
    <row r="30794" spans="1:10" x14ac:dyDescent="0.25">
      <c r="A30794" t="s">
        <v>351</v>
      </c>
      <c r="B30794" s="1" t="str">
        <f>HYPERLINK("http://fulfillment.fi","fulfillment.fi")</f>
        <v>fulfillment.fi</v>
      </c>
      <c r="C30794" t="s">
        <v>445</v>
      </c>
      <c r="D30794" t="s">
        <v>823</v>
      </c>
      <c r="J30794">
        <v>2</v>
      </c>
    </row>
    <row r="30795" spans="1:10" x14ac:dyDescent="0.25">
      <c r="A30795" t="s">
        <v>351</v>
      </c>
      <c r="B30795" s="1" t="str">
        <f>HYPERLINK("http://gospaces.fi","gospaces.fi")</f>
        <v>gospaces.fi</v>
      </c>
      <c r="C30795" t="s">
        <v>445</v>
      </c>
      <c r="D30795" t="s">
        <v>823</v>
      </c>
      <c r="J30795">
        <v>2</v>
      </c>
    </row>
    <row r="30796" spans="1:10" x14ac:dyDescent="0.25">
      <c r="A30796" t="s">
        <v>351</v>
      </c>
      <c r="B30796" s="1" t="str">
        <f>HYPERLINK("http://hatchful.fi","hatchful.fi")</f>
        <v>hatchful.fi</v>
      </c>
      <c r="C30796" t="s">
        <v>445</v>
      </c>
      <c r="D30796" t="s">
        <v>823</v>
      </c>
      <c r="J30796">
        <v>2</v>
      </c>
    </row>
    <row r="30797" spans="1:10" x14ac:dyDescent="0.25">
      <c r="A30797" t="s">
        <v>351</v>
      </c>
      <c r="B30797" s="1" t="str">
        <f>HYPERLINK("http://shop-pay.fi","shop-pay.fi")</f>
        <v>shop-pay.fi</v>
      </c>
      <c r="C30797" t="s">
        <v>445</v>
      </c>
      <c r="D30797" t="s">
        <v>823</v>
      </c>
      <c r="J30797">
        <v>2</v>
      </c>
    </row>
    <row r="30798" spans="1:10" x14ac:dyDescent="0.25">
      <c r="A30798" t="s">
        <v>351</v>
      </c>
      <c r="B30798" s="1" t="str">
        <f>HYPERLINK("http://shopexchange.fi","shopexchange.fi")</f>
        <v>shopexchange.fi</v>
      </c>
      <c r="C30798" t="s">
        <v>445</v>
      </c>
      <c r="D30798" t="s">
        <v>823</v>
      </c>
      <c r="J30798">
        <v>2</v>
      </c>
    </row>
    <row r="30799" spans="1:10" x14ac:dyDescent="0.25">
      <c r="A30799" t="s">
        <v>351</v>
      </c>
      <c r="B30799" s="1" t="str">
        <f>HYPERLINK("http://shopfulfillment.fi","shopfulfillment.fi")</f>
        <v>shopfulfillment.fi</v>
      </c>
      <c r="C30799" t="s">
        <v>445</v>
      </c>
      <c r="D30799" t="s">
        <v>823</v>
      </c>
      <c r="J30799">
        <v>2</v>
      </c>
    </row>
    <row r="30800" spans="1:10" x14ac:dyDescent="0.25">
      <c r="A30800" t="s">
        <v>351</v>
      </c>
      <c r="B30800" s="1" t="str">
        <f>HYPERLINK("http://shopi.fi","shopi.fi")</f>
        <v>shopi.fi</v>
      </c>
      <c r="C30800" t="s">
        <v>445</v>
      </c>
      <c r="D30800" t="s">
        <v>823</v>
      </c>
      <c r="J30800">
        <v>2</v>
      </c>
    </row>
    <row r="30801" spans="1:10" x14ac:dyDescent="0.25">
      <c r="A30801" t="s">
        <v>351</v>
      </c>
      <c r="B30801" s="1" t="str">
        <f>HYPERLINK("http://shopify.fi","shopify.fi")</f>
        <v>shopify.fi</v>
      </c>
      <c r="C30801" t="s">
        <v>445</v>
      </c>
      <c r="D30801" t="s">
        <v>823</v>
      </c>
      <c r="J30801">
        <v>2</v>
      </c>
    </row>
    <row r="30802" spans="1:10" x14ac:dyDescent="0.25">
      <c r="A30802" t="s">
        <v>351</v>
      </c>
      <c r="B30802" s="1" t="str">
        <f>HYPERLINK("http://shopifybalance.fi","shopifybalance.fi")</f>
        <v>shopifybalance.fi</v>
      </c>
      <c r="C30802" t="s">
        <v>445</v>
      </c>
      <c r="D30802" t="s">
        <v>823</v>
      </c>
      <c r="J30802">
        <v>2</v>
      </c>
    </row>
    <row r="30803" spans="1:10" x14ac:dyDescent="0.25">
      <c r="A30803" t="s">
        <v>351</v>
      </c>
      <c r="B30803" s="1" t="str">
        <f>HYPERLINK("http://shopifycapital.fi","shopifycapital.fi")</f>
        <v>shopifycapital.fi</v>
      </c>
      <c r="C30803" t="s">
        <v>445</v>
      </c>
      <c r="D30803" t="s">
        <v>823</v>
      </c>
      <c r="J30803">
        <v>2</v>
      </c>
    </row>
    <row r="30804" spans="1:10" x14ac:dyDescent="0.25">
      <c r="A30804" t="s">
        <v>351</v>
      </c>
      <c r="B30804" s="1" t="str">
        <f>HYPERLINK("http://shopifyexchange.fi","shopifyexchange.fi")</f>
        <v>shopifyexchange.fi</v>
      </c>
      <c r="C30804" t="s">
        <v>445</v>
      </c>
      <c r="D30804" t="s">
        <v>823</v>
      </c>
      <c r="J30804">
        <v>2</v>
      </c>
    </row>
    <row r="30805" spans="1:10" x14ac:dyDescent="0.25">
      <c r="A30805" t="s">
        <v>351</v>
      </c>
      <c r="B30805" s="1" t="str">
        <f>HYPERLINK("http://shopifyfulfillment.fi","shopifyfulfillment.fi")</f>
        <v>shopifyfulfillment.fi</v>
      </c>
      <c r="C30805" t="s">
        <v>445</v>
      </c>
      <c r="D30805" t="s">
        <v>823</v>
      </c>
      <c r="J30805">
        <v>2</v>
      </c>
    </row>
    <row r="30806" spans="1:10" x14ac:dyDescent="0.25">
      <c r="A30806" t="s">
        <v>351</v>
      </c>
      <c r="B30806" s="1" t="str">
        <f>HYPERLINK("http://shopifyhatchful.fi","shopifyhatchful.fi")</f>
        <v>shopifyhatchful.fi</v>
      </c>
      <c r="C30806" t="s">
        <v>445</v>
      </c>
      <c r="D30806" t="s">
        <v>823</v>
      </c>
      <c r="J30806">
        <v>2</v>
      </c>
    </row>
    <row r="30807" spans="1:10" x14ac:dyDescent="0.25">
      <c r="A30807" t="s">
        <v>351</v>
      </c>
      <c r="B30807" s="1" t="str">
        <f>HYPERLINK("http://shopifyplus.fi","shopifyplus.fi")</f>
        <v>shopifyplus.fi</v>
      </c>
      <c r="C30807" t="s">
        <v>445</v>
      </c>
      <c r="D30807" t="s">
        <v>823</v>
      </c>
      <c r="J30807">
        <v>2</v>
      </c>
    </row>
    <row r="30808" spans="1:10" x14ac:dyDescent="0.25">
      <c r="A30808" t="s">
        <v>351</v>
      </c>
      <c r="B30808" s="1" t="str">
        <f>HYPERLINK("http://shopifyrebellion.fi","shopifyrebellion.fi")</f>
        <v>shopifyrebellion.fi</v>
      </c>
      <c r="C30808" t="s">
        <v>445</v>
      </c>
      <c r="D30808" t="s">
        <v>823</v>
      </c>
      <c r="J30808">
        <v>2</v>
      </c>
    </row>
    <row r="30809" spans="1:10" x14ac:dyDescent="0.25">
      <c r="A30809" t="s">
        <v>351</v>
      </c>
      <c r="B30809" s="1" t="str">
        <f>HYPERLINK("http://shopinstalments.fi","shopinstalments.fi")</f>
        <v>shopinstalments.fi</v>
      </c>
      <c r="C30809" t="s">
        <v>445</v>
      </c>
      <c r="D30809" t="s">
        <v>823</v>
      </c>
      <c r="J30809">
        <v>2</v>
      </c>
    </row>
    <row r="30810" spans="1:10" x14ac:dyDescent="0.25">
      <c r="A30810" t="s">
        <v>351</v>
      </c>
      <c r="B30810" s="1" t="str">
        <f>HYPERLINK("http://shoppayinstalments.fi","shoppayinstalments.fi")</f>
        <v>shoppayinstalments.fi</v>
      </c>
      <c r="C30810" t="s">
        <v>445</v>
      </c>
      <c r="D30810" t="s">
        <v>823</v>
      </c>
      <c r="J30810">
        <v>2</v>
      </c>
    </row>
    <row r="30811" spans="1:10" x14ac:dyDescent="0.25">
      <c r="A30811" t="s">
        <v>351</v>
      </c>
      <c r="B30811" s="1" t="str">
        <f>HYPERLINK("http://mddynamics.fr","mddynamics.fr")</f>
        <v>mddynamics.fr</v>
      </c>
      <c r="C30811" t="s">
        <v>446</v>
      </c>
      <c r="D30811" t="s">
        <v>824</v>
      </c>
      <c r="F30811">
        <v>4.44380395335525E-9</v>
      </c>
      <c r="G30811">
        <v>84853775</v>
      </c>
      <c r="H30811">
        <v>0</v>
      </c>
      <c r="I30811">
        <v>85978704</v>
      </c>
      <c r="J30811">
        <v>4</v>
      </c>
    </row>
    <row r="30812" spans="1:10" x14ac:dyDescent="0.25">
      <c r="A30812" t="s">
        <v>351</v>
      </c>
      <c r="B30812" s="1" t="str">
        <f>HYPERLINK("http://naturubis.fr","naturubis.fr")</f>
        <v>naturubis.fr</v>
      </c>
      <c r="C30812" t="s">
        <v>446</v>
      </c>
      <c r="D30812" t="s">
        <v>824</v>
      </c>
      <c r="F30812">
        <v>4.7215162689534298E-9</v>
      </c>
      <c r="G30812">
        <v>40131562</v>
      </c>
      <c r="H30812">
        <v>9697212</v>
      </c>
      <c r="I30812">
        <v>63395723</v>
      </c>
      <c r="J30812">
        <v>4</v>
      </c>
    </row>
    <row r="30813" spans="1:10" x14ac:dyDescent="0.25">
      <c r="A30813" t="s">
        <v>351</v>
      </c>
      <c r="B30813" s="1" t="str">
        <f>HYPERLINK("http://shopify.fr","shopify.fr")</f>
        <v>shopify.fr</v>
      </c>
      <c r="C30813" t="s">
        <v>446</v>
      </c>
      <c r="D30813" t="s">
        <v>824</v>
      </c>
      <c r="E30813">
        <v>478847</v>
      </c>
      <c r="F30813">
        <v>1.09139845853239E-6</v>
      </c>
      <c r="G30813">
        <v>35243</v>
      </c>
      <c r="H30813">
        <v>13942728</v>
      </c>
      <c r="I30813">
        <v>4326160</v>
      </c>
      <c r="J30813">
        <v>2</v>
      </c>
    </row>
    <row r="30814" spans="1:10" x14ac:dyDescent="0.25">
      <c r="A30814" t="s">
        <v>351</v>
      </c>
      <c r="B30814" s="1" t="str">
        <f>HYPERLINK("http://shopify.hk","shopify.hk")</f>
        <v>shopify.hk</v>
      </c>
      <c r="C30814" t="s">
        <v>450</v>
      </c>
      <c r="D30814" t="s">
        <v>827</v>
      </c>
      <c r="F30814">
        <v>5.8185904244314999E-8</v>
      </c>
      <c r="G30814">
        <v>764454</v>
      </c>
      <c r="H30814">
        <v>14174017</v>
      </c>
      <c r="I30814">
        <v>1794466</v>
      </c>
      <c r="J30814">
        <v>2</v>
      </c>
    </row>
    <row r="30815" spans="1:10" x14ac:dyDescent="0.25">
      <c r="A30815" t="s">
        <v>351</v>
      </c>
      <c r="B30815" s="1" t="str">
        <f>HYPERLINK("http://shopify.co.id","shopify.co.id")</f>
        <v>shopify.co.id</v>
      </c>
      <c r="C30815" t="s">
        <v>454</v>
      </c>
      <c r="D30815" t="s">
        <v>831</v>
      </c>
      <c r="F30815">
        <v>6.1872721664095994E-8</v>
      </c>
      <c r="G30815">
        <v>710817</v>
      </c>
      <c r="H30815">
        <v>14633751</v>
      </c>
      <c r="I30815">
        <v>642450</v>
      </c>
      <c r="J30815">
        <v>2</v>
      </c>
    </row>
    <row r="30816" spans="1:10" x14ac:dyDescent="0.25">
      <c r="A30816" t="s">
        <v>351</v>
      </c>
      <c r="B30816" s="1" t="str">
        <f>HYPERLINK("http://shopify.ie","shopify.ie")</f>
        <v>shopify.ie</v>
      </c>
      <c r="C30816" t="s">
        <v>455</v>
      </c>
      <c r="D30816" t="s">
        <v>832</v>
      </c>
      <c r="E30816">
        <v>710575</v>
      </c>
      <c r="F30816">
        <v>2.9747157189110101E-7</v>
      </c>
      <c r="G30816">
        <v>125027</v>
      </c>
      <c r="H30816">
        <v>14402896</v>
      </c>
      <c r="I30816">
        <v>1151647</v>
      </c>
      <c r="J30816">
        <v>2</v>
      </c>
    </row>
    <row r="30817" spans="1:10" x14ac:dyDescent="0.25">
      <c r="A30817" t="s">
        <v>351</v>
      </c>
      <c r="B30817" s="1" t="str">
        <f>HYPERLINK("http://shopify.in","shopify.in")</f>
        <v>shopify.in</v>
      </c>
      <c r="C30817" t="s">
        <v>457</v>
      </c>
      <c r="D30817" t="s">
        <v>834</v>
      </c>
      <c r="E30817">
        <v>97788</v>
      </c>
      <c r="F30817">
        <v>1.0724549235506601E-6</v>
      </c>
      <c r="G30817">
        <v>35872</v>
      </c>
      <c r="H30817">
        <v>14657863</v>
      </c>
      <c r="I30817">
        <v>621865</v>
      </c>
      <c r="J30817">
        <v>2</v>
      </c>
    </row>
    <row r="30818" spans="1:10" x14ac:dyDescent="0.25">
      <c r="A30818" t="s">
        <v>351</v>
      </c>
      <c r="B30818" s="1" t="str">
        <f>HYPERLINK("http://firenzenastri.it","firenzenastri.it")</f>
        <v>firenzenastri.it</v>
      </c>
      <c r="C30818" t="s">
        <v>459</v>
      </c>
      <c r="D30818" t="s">
        <v>835</v>
      </c>
      <c r="F30818">
        <v>6.9174872149147999E-9</v>
      </c>
      <c r="G30818">
        <v>12566460</v>
      </c>
      <c r="H30818">
        <v>12849117</v>
      </c>
      <c r="I30818">
        <v>14296194</v>
      </c>
      <c r="J30818">
        <v>4</v>
      </c>
    </row>
    <row r="30819" spans="1:10" x14ac:dyDescent="0.25">
      <c r="A30819" t="s">
        <v>351</v>
      </c>
      <c r="B30819" s="1" t="str">
        <f>HYPERLINK("http://shopify.it","shopify.it")</f>
        <v>shopify.it</v>
      </c>
      <c r="C30819" t="s">
        <v>459</v>
      </c>
      <c r="D30819" t="s">
        <v>835</v>
      </c>
      <c r="F30819">
        <v>1.0516908032050999E-7</v>
      </c>
      <c r="G30819">
        <v>380932</v>
      </c>
      <c r="H30819">
        <v>13528958</v>
      </c>
      <c r="I30819">
        <v>9920846</v>
      </c>
      <c r="J30819">
        <v>2</v>
      </c>
    </row>
    <row r="30820" spans="1:10" x14ac:dyDescent="0.25">
      <c r="A30820" t="s">
        <v>351</v>
      </c>
      <c r="B30820" s="1" t="str">
        <f>HYPERLINK("http://shopify.jp","shopify.jp")</f>
        <v>shopify.jp</v>
      </c>
      <c r="C30820" t="s">
        <v>461</v>
      </c>
      <c r="D30820" t="s">
        <v>837</v>
      </c>
      <c r="E30820">
        <v>514843</v>
      </c>
      <c r="F30820">
        <v>5.4829509398641804E-7</v>
      </c>
      <c r="G30820">
        <v>70564</v>
      </c>
      <c r="H30820">
        <v>15058945</v>
      </c>
      <c r="I30820">
        <v>412998</v>
      </c>
      <c r="J30820">
        <v>2</v>
      </c>
    </row>
    <row r="30821" spans="1:10" x14ac:dyDescent="0.25">
      <c r="A30821" t="s">
        <v>351</v>
      </c>
      <c r="B30821" s="1" t="str">
        <f>HYPERLINK("http://shopify.co.kr","shopify.co.kr")</f>
        <v>shopify.co.kr</v>
      </c>
      <c r="C30821" t="s">
        <v>463</v>
      </c>
      <c r="D30821" t="s">
        <v>839</v>
      </c>
      <c r="F30821">
        <v>2.80930355142815E-8</v>
      </c>
      <c r="G30821">
        <v>1831452</v>
      </c>
      <c r="H30821">
        <v>14066139</v>
      </c>
      <c r="I30821">
        <v>3733161</v>
      </c>
      <c r="J30821">
        <v>2</v>
      </c>
    </row>
    <row r="30822" spans="1:10" x14ac:dyDescent="0.25">
      <c r="A30822" t="s">
        <v>351</v>
      </c>
      <c r="B30822" s="1" t="str">
        <f>HYPERLINK("http://shopify.com.mx","shopify.com.mx")</f>
        <v>shopify.com.mx</v>
      </c>
      <c r="C30822" t="s">
        <v>471</v>
      </c>
      <c r="D30822" t="s">
        <v>847</v>
      </c>
      <c r="E30822">
        <v>999412</v>
      </c>
      <c r="F30822">
        <v>1.39957070626811E-7</v>
      </c>
      <c r="G30822">
        <v>278341</v>
      </c>
      <c r="H30822">
        <v>17033204</v>
      </c>
      <c r="I30822">
        <v>82330</v>
      </c>
      <c r="J30822">
        <v>2</v>
      </c>
    </row>
    <row r="30823" spans="1:10" x14ac:dyDescent="0.25">
      <c r="A30823" t="s">
        <v>351</v>
      </c>
      <c r="B30823" s="1" t="str">
        <f>HYPERLINK("http://shopify.my","shopify.my")</f>
        <v>shopify.my</v>
      </c>
      <c r="C30823" t="s">
        <v>472</v>
      </c>
      <c r="D30823" t="s">
        <v>848</v>
      </c>
      <c r="F30823">
        <v>1.03413641433346E-7</v>
      </c>
      <c r="G30823">
        <v>387991</v>
      </c>
      <c r="H30823">
        <v>14199214</v>
      </c>
      <c r="I30823">
        <v>1726783</v>
      </c>
      <c r="J30823">
        <v>2</v>
      </c>
    </row>
    <row r="30824" spans="1:10" x14ac:dyDescent="0.25">
      <c r="A30824" t="s">
        <v>351</v>
      </c>
      <c r="B30824" s="1" t="str">
        <f>HYPERLINK("http://ariannacosmetics.net","ariannacosmetics.net")</f>
        <v>ariannacosmetics.net</v>
      </c>
      <c r="C30824" t="s">
        <v>474</v>
      </c>
      <c r="F30824">
        <v>4.44380395335525E-9</v>
      </c>
      <c r="G30824">
        <v>85418238</v>
      </c>
      <c r="H30824">
        <v>0</v>
      </c>
      <c r="I30824">
        <v>86667597</v>
      </c>
      <c r="J30824">
        <v>4</v>
      </c>
    </row>
    <row r="30825" spans="1:10" x14ac:dyDescent="0.25">
      <c r="A30825" t="s">
        <v>351</v>
      </c>
      <c r="B30825" s="1" t="str">
        <f>HYPERLINK("http://personalwellnessspa.net","personalwellnessspa.net")</f>
        <v>personalwellnessspa.net</v>
      </c>
      <c r="C30825" t="s">
        <v>474</v>
      </c>
      <c r="F30825">
        <v>5.1904072432181799E-9</v>
      </c>
      <c r="G30825">
        <v>25330382</v>
      </c>
      <c r="H30825">
        <v>11242852</v>
      </c>
      <c r="I30825">
        <v>30946995</v>
      </c>
      <c r="J30825">
        <v>4</v>
      </c>
    </row>
    <row r="30826" spans="1:10" x14ac:dyDescent="0.25">
      <c r="A30826" t="s">
        <v>351</v>
      </c>
      <c r="B30826" s="1" t="str">
        <f>HYPERLINK("http://shopify.com.ng","shopify.com.ng")</f>
        <v>shopify.com.ng</v>
      </c>
      <c r="C30826" t="s">
        <v>475</v>
      </c>
      <c r="D30826" t="s">
        <v>850</v>
      </c>
      <c r="F30826">
        <v>1.2749722207767099E-7</v>
      </c>
      <c r="G30826">
        <v>308078</v>
      </c>
      <c r="H30826">
        <v>14473364</v>
      </c>
      <c r="I30826">
        <v>1040727</v>
      </c>
      <c r="J30826">
        <v>2</v>
      </c>
    </row>
    <row r="30827" spans="1:10" x14ac:dyDescent="0.25">
      <c r="A30827" t="s">
        <v>351</v>
      </c>
      <c r="B30827" s="1" t="str">
        <f>HYPERLINK("http://shopify.nl","shopify.nl")</f>
        <v>shopify.nl</v>
      </c>
      <c r="C30827" t="s">
        <v>477</v>
      </c>
      <c r="D30827" t="s">
        <v>852</v>
      </c>
      <c r="E30827">
        <v>862887</v>
      </c>
      <c r="F30827">
        <v>3.1347983674017499E-7</v>
      </c>
      <c r="G30827">
        <v>118581</v>
      </c>
      <c r="H30827">
        <v>14761080</v>
      </c>
      <c r="I30827">
        <v>560345</v>
      </c>
      <c r="J30827">
        <v>2</v>
      </c>
    </row>
    <row r="30828" spans="1:10" x14ac:dyDescent="0.25">
      <c r="A30828" t="s">
        <v>351</v>
      </c>
      <c r="B30828" s="1" t="str">
        <f>HYPERLINK("http://thenaturalist.nl","thenaturalist.nl")</f>
        <v>thenaturalist.nl</v>
      </c>
      <c r="C30828" t="s">
        <v>477</v>
      </c>
      <c r="D30828" t="s">
        <v>852</v>
      </c>
      <c r="F30828">
        <v>7.75602382045451E-9</v>
      </c>
      <c r="G30828">
        <v>10448767</v>
      </c>
      <c r="H30828">
        <v>14060724</v>
      </c>
      <c r="I30828">
        <v>3881911</v>
      </c>
      <c r="J30828">
        <v>4</v>
      </c>
    </row>
    <row r="30829" spans="1:10" x14ac:dyDescent="0.25">
      <c r="A30829" t="s">
        <v>351</v>
      </c>
      <c r="B30829" s="1" t="str">
        <f>HYPERLINK("http://shopify.no","shopify.no")</f>
        <v>shopify.no</v>
      </c>
      <c r="C30829" t="s">
        <v>478</v>
      </c>
      <c r="D30829" t="s">
        <v>853</v>
      </c>
      <c r="F30829">
        <v>2.98987830370999E-8</v>
      </c>
      <c r="G30829">
        <v>1721155</v>
      </c>
      <c r="H30829">
        <v>14015082</v>
      </c>
      <c r="I30829">
        <v>3997597</v>
      </c>
      <c r="J30829">
        <v>2</v>
      </c>
    </row>
    <row r="30830" spans="1:10" x14ac:dyDescent="0.25">
      <c r="A30830" t="s">
        <v>351</v>
      </c>
      <c r="B30830" s="1" t="str">
        <f>HYPERLINK("http://shopify.co.nz","shopify.co.nz")</f>
        <v>shopify.co.nz</v>
      </c>
      <c r="C30830" t="s">
        <v>479</v>
      </c>
      <c r="D30830" t="s">
        <v>854</v>
      </c>
      <c r="F30830">
        <v>2.0770503213439801E-7</v>
      </c>
      <c r="G30830">
        <v>182638</v>
      </c>
      <c r="H30830">
        <v>14318154</v>
      </c>
      <c r="I30830">
        <v>1333623</v>
      </c>
      <c r="J30830">
        <v>2</v>
      </c>
    </row>
    <row r="30831" spans="1:10" x14ac:dyDescent="0.25">
      <c r="A30831" t="s">
        <v>351</v>
      </c>
      <c r="B30831" s="1" t="str">
        <f>HYPERLINK("http://zhiwumi.org","zhiwumi.org")</f>
        <v>zhiwumi.org</v>
      </c>
      <c r="C30831" t="s">
        <v>481</v>
      </c>
      <c r="F30831">
        <v>4.47705084292276E-9</v>
      </c>
      <c r="G30831">
        <v>62964022</v>
      </c>
      <c r="H30831">
        <v>10513647</v>
      </c>
      <c r="I30831">
        <v>49332225</v>
      </c>
      <c r="J30831">
        <v>3</v>
      </c>
    </row>
    <row r="30832" spans="1:10" x14ac:dyDescent="0.25">
      <c r="A30832" t="s">
        <v>351</v>
      </c>
      <c r="B30832" s="1" t="str">
        <f>HYPERLINK("http://shopify.com.ph","shopify.com.ph")</f>
        <v>shopify.com.ph</v>
      </c>
      <c r="C30832" t="s">
        <v>484</v>
      </c>
      <c r="D30832" t="s">
        <v>858</v>
      </c>
      <c r="E30832">
        <v>884653</v>
      </c>
      <c r="F30832">
        <v>1.2329917218912201E-7</v>
      </c>
      <c r="G30832">
        <v>320052</v>
      </c>
      <c r="H30832">
        <v>14252127</v>
      </c>
      <c r="I30832">
        <v>1442183</v>
      </c>
      <c r="J30832">
        <v>2</v>
      </c>
    </row>
    <row r="30833" spans="1:10" x14ac:dyDescent="0.25">
      <c r="A30833" t="s">
        <v>351</v>
      </c>
      <c r="B30833" s="1" t="str">
        <f>HYPERLINK("http://surpresanatural.pt","surpresanatural.pt")</f>
        <v>surpresanatural.pt</v>
      </c>
      <c r="C30833" t="s">
        <v>488</v>
      </c>
      <c r="D30833" t="s">
        <v>862</v>
      </c>
      <c r="F30833">
        <v>4.8428548268237401E-9</v>
      </c>
      <c r="G30833">
        <v>34380496</v>
      </c>
      <c r="H30833">
        <v>7298504</v>
      </c>
      <c r="I30833">
        <v>76321592</v>
      </c>
      <c r="J30833">
        <v>5</v>
      </c>
    </row>
    <row r="30834" spans="1:10" x14ac:dyDescent="0.25">
      <c r="A30834" t="s">
        <v>351</v>
      </c>
      <c r="B30834" s="1" t="str">
        <f>HYPERLINK("http://shopify.se","shopify.se")</f>
        <v>shopify.se</v>
      </c>
      <c r="C30834" t="s">
        <v>495</v>
      </c>
      <c r="D30834" t="s">
        <v>869</v>
      </c>
      <c r="F30834">
        <v>3.3833192219730899E-8</v>
      </c>
      <c r="G30834">
        <v>1529525</v>
      </c>
      <c r="H30834">
        <v>14022537</v>
      </c>
      <c r="I30834">
        <v>3979683</v>
      </c>
      <c r="J30834">
        <v>2</v>
      </c>
    </row>
    <row r="30835" spans="1:10" x14ac:dyDescent="0.25">
      <c r="A30835" t="s">
        <v>351</v>
      </c>
      <c r="B30835" s="1" t="str">
        <f>HYPERLINK("http://shopify.com.sg","shopify.com.sg")</f>
        <v>shopify.com.sg</v>
      </c>
      <c r="C30835" t="s">
        <v>496</v>
      </c>
      <c r="D30835" t="s">
        <v>870</v>
      </c>
      <c r="E30835">
        <v>963143</v>
      </c>
      <c r="F30835">
        <v>4.4933125698860002E-7</v>
      </c>
      <c r="G30835">
        <v>84057</v>
      </c>
      <c r="H30835">
        <v>14301998</v>
      </c>
      <c r="I30835">
        <v>1354913</v>
      </c>
      <c r="J30835">
        <v>2</v>
      </c>
    </row>
    <row r="30836" spans="1:10" x14ac:dyDescent="0.25">
      <c r="A30836" t="s">
        <v>351</v>
      </c>
      <c r="B30836" s="1" t="str">
        <f>HYPERLINK("http://shoshannaco.shop","shoshannaco.shop")</f>
        <v>shoshannaco.shop</v>
      </c>
      <c r="C30836" t="s">
        <v>708</v>
      </c>
      <c r="F30836">
        <v>4.7838831756048101E-9</v>
      </c>
      <c r="G30836">
        <v>36796402</v>
      </c>
      <c r="H30836">
        <v>10285389</v>
      </c>
      <c r="I30836">
        <v>58515035</v>
      </c>
      <c r="J30836">
        <v>4</v>
      </c>
    </row>
    <row r="30837" spans="1:10" x14ac:dyDescent="0.25">
      <c r="A30837" t="s">
        <v>351</v>
      </c>
      <c r="B30837" s="1" t="str">
        <f>HYPERLINK("http://shopify.supply","shopify.supply")</f>
        <v>shopify.supply</v>
      </c>
      <c r="C30837" t="s">
        <v>784</v>
      </c>
      <c r="F30837">
        <v>5.6587235262993302E-8</v>
      </c>
      <c r="G30837">
        <v>790113</v>
      </c>
      <c r="H30837">
        <v>13584311</v>
      </c>
      <c r="I30837">
        <v>9679546</v>
      </c>
      <c r="J30837">
        <v>2</v>
      </c>
    </row>
    <row r="30838" spans="1:10" x14ac:dyDescent="0.25">
      <c r="A30838" t="s">
        <v>351</v>
      </c>
      <c r="B30838" s="1" t="str">
        <f>HYPERLINK("http://shopify.tw","shopify.tw")</f>
        <v>shopify.tw</v>
      </c>
      <c r="C30838" t="s">
        <v>504</v>
      </c>
      <c r="D30838" t="s">
        <v>878</v>
      </c>
      <c r="F30838">
        <v>1.31067142666685E-7</v>
      </c>
      <c r="G30838">
        <v>298428</v>
      </c>
      <c r="H30838">
        <v>14021503</v>
      </c>
      <c r="I30838">
        <v>3981736</v>
      </c>
      <c r="J30838">
        <v>2</v>
      </c>
    </row>
    <row r="30839" spans="1:10" x14ac:dyDescent="0.25">
      <c r="A30839" t="s">
        <v>351</v>
      </c>
      <c r="B30839" s="1" t="str">
        <f>HYPERLINK("http://shopify.co.uk","shopify.co.uk")</f>
        <v>shopify.co.uk</v>
      </c>
      <c r="C30839" t="s">
        <v>506</v>
      </c>
      <c r="D30839" t="s">
        <v>880</v>
      </c>
      <c r="E30839">
        <v>60352</v>
      </c>
      <c r="F30839">
        <v>2.5017769669388098E-6</v>
      </c>
      <c r="G30839">
        <v>14985</v>
      </c>
      <c r="H30839">
        <v>15360823</v>
      </c>
      <c r="I30839">
        <v>382201</v>
      </c>
      <c r="J30839">
        <v>2</v>
      </c>
    </row>
    <row r="30840" spans="1:10" x14ac:dyDescent="0.25">
      <c r="A30840" t="s">
        <v>351</v>
      </c>
      <c r="B30840" s="1" t="str">
        <f>HYPERLINK("http://shopify.net.vn","shopify.net.vn")</f>
        <v>shopify.net.vn</v>
      </c>
      <c r="C30840" t="s">
        <v>509</v>
      </c>
      <c r="D30840" t="s">
        <v>883</v>
      </c>
      <c r="F30840">
        <v>2.3499222395662601E-8</v>
      </c>
      <c r="G30840">
        <v>2214841</v>
      </c>
      <c r="H30840">
        <v>14009850</v>
      </c>
      <c r="I30840">
        <v>4001677</v>
      </c>
      <c r="J30840">
        <v>2</v>
      </c>
    </row>
    <row r="30841" spans="1:10" x14ac:dyDescent="0.25">
      <c r="A30841" t="s">
        <v>351</v>
      </c>
      <c r="B30841" s="1" t="str">
        <f>HYPERLINK("http://shopify.co.za","shopify.co.za")</f>
        <v>shopify.co.za</v>
      </c>
      <c r="C30841" t="s">
        <v>510</v>
      </c>
      <c r="D30841" t="s">
        <v>884</v>
      </c>
      <c r="F30841">
        <v>1.1952455740216501E-7</v>
      </c>
      <c r="G30841">
        <v>330903</v>
      </c>
      <c r="H30841">
        <v>14275679</v>
      </c>
      <c r="I30841">
        <v>1390804</v>
      </c>
      <c r="J30841">
        <v>2</v>
      </c>
    </row>
    <row r="30842" spans="1:10" x14ac:dyDescent="0.25">
      <c r="A30842" t="s">
        <v>352</v>
      </c>
      <c r="B30842" s="1" t="str">
        <f>HYPERLINK("http://siemens.ae","siemens.ae")</f>
        <v>siemens.ae</v>
      </c>
      <c r="C30842" t="s">
        <v>417</v>
      </c>
      <c r="D30842" t="s">
        <v>799</v>
      </c>
      <c r="F30842">
        <v>6.7586024707854699E-9</v>
      </c>
      <c r="G30842">
        <v>13100012</v>
      </c>
      <c r="H30842">
        <v>12930290</v>
      </c>
      <c r="I30842">
        <v>13366530</v>
      </c>
      <c r="J30842">
        <v>2</v>
      </c>
    </row>
    <row r="30843" spans="1:10" x14ac:dyDescent="0.25">
      <c r="A30843" t="s">
        <v>352</v>
      </c>
      <c r="B30843" s="1" t="str">
        <f>HYPERLINK("http://gigaset.ag","gigaset.ag")</f>
        <v>gigaset.ag</v>
      </c>
      <c r="C30843" t="s">
        <v>564</v>
      </c>
      <c r="D30843" t="s">
        <v>912</v>
      </c>
      <c r="F30843">
        <v>5.0490660524773702E-9</v>
      </c>
      <c r="G30843">
        <v>28239388</v>
      </c>
      <c r="H30843">
        <v>12115053</v>
      </c>
      <c r="I30843">
        <v>25606089</v>
      </c>
      <c r="J30843">
        <v>3</v>
      </c>
    </row>
    <row r="30844" spans="1:10" x14ac:dyDescent="0.25">
      <c r="A30844" t="s">
        <v>352</v>
      </c>
      <c r="B30844" s="1" t="str">
        <f>HYPERLINK("http://worldline.com.ar","worldline.com.ar")</f>
        <v>worldline.com.ar</v>
      </c>
      <c r="C30844" t="s">
        <v>418</v>
      </c>
      <c r="D30844" t="s">
        <v>800</v>
      </c>
      <c r="F30844">
        <v>6.0851352199277104E-9</v>
      </c>
      <c r="G30844">
        <v>16176842</v>
      </c>
      <c r="H30844">
        <v>13764038</v>
      </c>
      <c r="I30844">
        <v>7415825</v>
      </c>
      <c r="J30844">
        <v>7</v>
      </c>
    </row>
    <row r="30845" spans="1:10" x14ac:dyDescent="0.25">
      <c r="A30845" t="s">
        <v>352</v>
      </c>
      <c r="B30845" s="1" t="str">
        <f>HYPERLINK("http://comos.co.at","comos.co.at")</f>
        <v>comos.co.at</v>
      </c>
      <c r="C30845" t="s">
        <v>419</v>
      </c>
      <c r="D30845" t="s">
        <v>801</v>
      </c>
      <c r="J30845">
        <v>4</v>
      </c>
    </row>
    <row r="30846" spans="1:10" x14ac:dyDescent="0.25">
      <c r="A30846" t="s">
        <v>352</v>
      </c>
      <c r="B30846" s="1" t="str">
        <f>HYPERLINK("http://marc.co.at","marc.co.at")</f>
        <v>marc.co.at</v>
      </c>
      <c r="C30846" t="s">
        <v>419</v>
      </c>
      <c r="D30846" t="s">
        <v>801</v>
      </c>
      <c r="F30846">
        <v>5.4897897187089401E-9</v>
      </c>
      <c r="G30846">
        <v>21016019</v>
      </c>
      <c r="H30846">
        <v>8540529</v>
      </c>
      <c r="I30846">
        <v>71517091</v>
      </c>
      <c r="J30846">
        <v>4</v>
      </c>
    </row>
    <row r="30847" spans="1:10" x14ac:dyDescent="0.25">
      <c r="A30847" t="s">
        <v>352</v>
      </c>
      <c r="B30847" s="1" t="str">
        <f>HYPERLINK("http://etm.at","etm.at")</f>
        <v>etm.at</v>
      </c>
      <c r="C30847" t="s">
        <v>419</v>
      </c>
      <c r="D30847" t="s">
        <v>801</v>
      </c>
      <c r="F30847">
        <v>3.4277188027212803E-8</v>
      </c>
      <c r="G30847">
        <v>1512373</v>
      </c>
      <c r="H30847">
        <v>13825059</v>
      </c>
      <c r="I30847">
        <v>6126812</v>
      </c>
      <c r="J30847">
        <v>3</v>
      </c>
    </row>
    <row r="30848" spans="1:10" x14ac:dyDescent="0.25">
      <c r="A30848" t="s">
        <v>352</v>
      </c>
      <c r="B30848" s="1" t="str">
        <f>HYPERLINK("http://ingenico.at","ingenico.at")</f>
        <v>ingenico.at</v>
      </c>
      <c r="C30848" t="s">
        <v>419</v>
      </c>
      <c r="D30848" t="s">
        <v>801</v>
      </c>
      <c r="F30848">
        <v>2.4622970973739099E-8</v>
      </c>
      <c r="G30848">
        <v>2103398</v>
      </c>
      <c r="H30848">
        <v>12229294</v>
      </c>
      <c r="I30848">
        <v>22521943</v>
      </c>
      <c r="J30848">
        <v>9</v>
      </c>
    </row>
    <row r="30849" spans="1:10" x14ac:dyDescent="0.25">
      <c r="A30849" t="s">
        <v>352</v>
      </c>
      <c r="B30849" s="1" t="str">
        <f>HYPERLINK("http://siemens.at","siemens.at")</f>
        <v>siemens.at</v>
      </c>
      <c r="C30849" t="s">
        <v>419</v>
      </c>
      <c r="D30849" t="s">
        <v>801</v>
      </c>
      <c r="E30849">
        <v>370014</v>
      </c>
      <c r="F30849">
        <v>1.5874885831871499E-7</v>
      </c>
      <c r="G30849">
        <v>244565</v>
      </c>
      <c r="H30849">
        <v>15051573</v>
      </c>
      <c r="I30849">
        <v>414308</v>
      </c>
      <c r="J30849">
        <v>2</v>
      </c>
    </row>
    <row r="30850" spans="1:10" x14ac:dyDescent="0.25">
      <c r="A30850" t="s">
        <v>352</v>
      </c>
      <c r="B30850" s="1" t="str">
        <f>HYPERLINK("http://siemens-healthineers.at","siemens-healthineers.at")</f>
        <v>siemens-healthineers.at</v>
      </c>
      <c r="C30850" t="s">
        <v>419</v>
      </c>
      <c r="D30850" t="s">
        <v>801</v>
      </c>
      <c r="F30850">
        <v>5.5681351986993899E-9</v>
      </c>
      <c r="G30850">
        <v>20196352</v>
      </c>
      <c r="H30850">
        <v>12130046</v>
      </c>
      <c r="I30850">
        <v>25138901</v>
      </c>
      <c r="J30850">
        <v>3</v>
      </c>
    </row>
    <row r="30851" spans="1:10" x14ac:dyDescent="0.25">
      <c r="A30851" t="s">
        <v>352</v>
      </c>
      <c r="B30851" s="1" t="str">
        <f>HYPERLINK("http://trench.at","trench.at")</f>
        <v>trench.at</v>
      </c>
      <c r="C30851" t="s">
        <v>419</v>
      </c>
      <c r="D30851" t="s">
        <v>801</v>
      </c>
      <c r="F30851">
        <v>4.9837018697939401E-9</v>
      </c>
      <c r="G30851">
        <v>29848408</v>
      </c>
      <c r="H30851">
        <v>10487966</v>
      </c>
      <c r="I30851">
        <v>50705372</v>
      </c>
      <c r="J30851">
        <v>6</v>
      </c>
    </row>
    <row r="30852" spans="1:10" x14ac:dyDescent="0.25">
      <c r="A30852" t="s">
        <v>352</v>
      </c>
      <c r="B30852" s="1" t="str">
        <f>HYPERLINK("http://mrxtech.com.au","mrxtech.com.au")</f>
        <v>mrxtech.com.au</v>
      </c>
      <c r="C30852" t="s">
        <v>420</v>
      </c>
      <c r="D30852" t="s">
        <v>802</v>
      </c>
      <c r="F30852">
        <v>4.5532313473673798E-9</v>
      </c>
      <c r="G30852">
        <v>51843069</v>
      </c>
      <c r="H30852">
        <v>10716521</v>
      </c>
      <c r="I30852">
        <v>42060623</v>
      </c>
      <c r="J30852">
        <v>4</v>
      </c>
    </row>
    <row r="30853" spans="1:10" x14ac:dyDescent="0.25">
      <c r="A30853" t="s">
        <v>352</v>
      </c>
      <c r="B30853" s="1" t="str">
        <f>HYPERLINK("http://pacifichydro.com.au","pacifichydro.com.au")</f>
        <v>pacifichydro.com.au</v>
      </c>
      <c r="C30853" t="s">
        <v>420</v>
      </c>
      <c r="D30853" t="s">
        <v>802</v>
      </c>
      <c r="F30853">
        <v>3.1367707259767398E-8</v>
      </c>
      <c r="G30853">
        <v>1644174</v>
      </c>
      <c r="H30853">
        <v>14823422</v>
      </c>
      <c r="I30853">
        <v>513491</v>
      </c>
      <c r="J30853">
        <v>7</v>
      </c>
    </row>
    <row r="30854" spans="1:10" x14ac:dyDescent="0.25">
      <c r="A30854" t="s">
        <v>352</v>
      </c>
      <c r="B30854" s="1" t="str">
        <f>HYPERLINK("http://siemens.com.au","siemens.com.au")</f>
        <v>siemens.com.au</v>
      </c>
      <c r="C30854" t="s">
        <v>420</v>
      </c>
      <c r="D30854" t="s">
        <v>802</v>
      </c>
      <c r="F30854">
        <v>1.5863923135056701E-8</v>
      </c>
      <c r="G30854">
        <v>3582073</v>
      </c>
      <c r="H30854">
        <v>13958979</v>
      </c>
      <c r="I30854">
        <v>4120194</v>
      </c>
      <c r="J30854">
        <v>2</v>
      </c>
    </row>
    <row r="30855" spans="1:10" x14ac:dyDescent="0.25">
      <c r="A30855" t="s">
        <v>352</v>
      </c>
      <c r="B30855" s="1" t="str">
        <f>HYPERLINK("http://siemens.com.bd","siemens.com.bd")</f>
        <v>siemens.com.bd</v>
      </c>
      <c r="C30855" t="s">
        <v>603</v>
      </c>
      <c r="D30855" t="s">
        <v>934</v>
      </c>
      <c r="F30855">
        <v>4.5962176004255598E-9</v>
      </c>
      <c r="G30855">
        <v>47900741</v>
      </c>
      <c r="H30855">
        <v>10847979</v>
      </c>
      <c r="I30855">
        <v>36917339</v>
      </c>
      <c r="J30855">
        <v>2</v>
      </c>
    </row>
    <row r="30856" spans="1:10" x14ac:dyDescent="0.25">
      <c r="A30856" t="s">
        <v>352</v>
      </c>
      <c r="B30856" s="1" t="str">
        <f>HYPERLINK("http://electro-nite.be","electro-nite.be")</f>
        <v>electro-nite.be</v>
      </c>
      <c r="C30856" t="s">
        <v>421</v>
      </c>
      <c r="D30856" t="s">
        <v>803</v>
      </c>
      <c r="F30856">
        <v>4.4542356311809301E-9</v>
      </c>
      <c r="G30856">
        <v>69823834</v>
      </c>
      <c r="H30856">
        <v>12049813</v>
      </c>
      <c r="I30856">
        <v>27241380</v>
      </c>
      <c r="J30856">
        <v>12</v>
      </c>
    </row>
    <row r="30857" spans="1:10" x14ac:dyDescent="0.25">
      <c r="A30857" t="s">
        <v>352</v>
      </c>
      <c r="B30857" s="1" t="str">
        <f>HYPERLINK("http://ingenico.be","ingenico.be")</f>
        <v>ingenico.be</v>
      </c>
      <c r="C30857" t="s">
        <v>421</v>
      </c>
      <c r="D30857" t="s">
        <v>803</v>
      </c>
      <c r="F30857">
        <v>8.0770159518357398E-8</v>
      </c>
      <c r="G30857">
        <v>516984</v>
      </c>
      <c r="H30857">
        <v>12772718</v>
      </c>
      <c r="I30857">
        <v>14822024</v>
      </c>
      <c r="J30857">
        <v>9</v>
      </c>
    </row>
    <row r="30858" spans="1:10" x14ac:dyDescent="0.25">
      <c r="A30858" t="s">
        <v>352</v>
      </c>
      <c r="B30858" s="1" t="str">
        <f>HYPERLINK("http://siemens.be","siemens.be")</f>
        <v>siemens.be</v>
      </c>
      <c r="C30858" t="s">
        <v>421</v>
      </c>
      <c r="D30858" t="s">
        <v>803</v>
      </c>
      <c r="E30858">
        <v>280911</v>
      </c>
      <c r="F30858">
        <v>5.9683553891007894E-8</v>
      </c>
      <c r="G30858">
        <v>740326</v>
      </c>
      <c r="H30858">
        <v>14171556</v>
      </c>
      <c r="I30858">
        <v>1801172</v>
      </c>
      <c r="J30858">
        <v>2</v>
      </c>
    </row>
    <row r="30859" spans="1:10" x14ac:dyDescent="0.25">
      <c r="A30859" t="s">
        <v>352</v>
      </c>
      <c r="B30859" s="1" t="str">
        <f>HYPERLINK("http://siemens-healthineers.be","siemens-healthineers.be")</f>
        <v>siemens-healthineers.be</v>
      </c>
      <c r="C30859" t="s">
        <v>421</v>
      </c>
      <c r="D30859" t="s">
        <v>803</v>
      </c>
      <c r="F30859">
        <v>5.6537076072271597E-9</v>
      </c>
      <c r="G30859">
        <v>19359044</v>
      </c>
      <c r="H30859">
        <v>12130050</v>
      </c>
      <c r="I30859">
        <v>25138774</v>
      </c>
      <c r="J30859">
        <v>3</v>
      </c>
    </row>
    <row r="30860" spans="1:10" x14ac:dyDescent="0.25">
      <c r="A30860" t="s">
        <v>352</v>
      </c>
      <c r="B30860" s="1" t="str">
        <f>HYPERLINK("http://siemens.bg","siemens.bg")</f>
        <v>siemens.bg</v>
      </c>
      <c r="C30860" t="s">
        <v>422</v>
      </c>
      <c r="D30860" t="s">
        <v>804</v>
      </c>
      <c r="F30860">
        <v>9.3469550170357498E-9</v>
      </c>
      <c r="G30860">
        <v>7511909</v>
      </c>
      <c r="H30860">
        <v>13181313</v>
      </c>
      <c r="I30860">
        <v>11681017</v>
      </c>
      <c r="J30860">
        <v>2</v>
      </c>
    </row>
    <row r="30861" spans="1:10" x14ac:dyDescent="0.25">
      <c r="A30861" t="s">
        <v>352</v>
      </c>
      <c r="B30861" s="1" t="str">
        <f>HYPERLINK("http://siemens.biz","siemens.biz")</f>
        <v>siemens.biz</v>
      </c>
      <c r="C30861" t="s">
        <v>423</v>
      </c>
      <c r="E30861">
        <v>878029</v>
      </c>
      <c r="F30861">
        <v>8.3828059574999002E-8</v>
      </c>
      <c r="G30861">
        <v>494145</v>
      </c>
      <c r="H30861">
        <v>14995973</v>
      </c>
      <c r="I30861">
        <v>426799</v>
      </c>
      <c r="J30861">
        <v>2</v>
      </c>
    </row>
    <row r="30862" spans="1:10" x14ac:dyDescent="0.25">
      <c r="A30862" t="s">
        <v>352</v>
      </c>
      <c r="B30862" s="1" t="str">
        <f>HYPERLINK("http://ingenico.com.br","ingenico.com.br")</f>
        <v>ingenico.com.br</v>
      </c>
      <c r="C30862" t="s">
        <v>425</v>
      </c>
      <c r="D30862" t="s">
        <v>806</v>
      </c>
      <c r="F30862">
        <v>2.3718435963678001E-8</v>
      </c>
      <c r="G30862">
        <v>2191630</v>
      </c>
      <c r="H30862">
        <v>12383978</v>
      </c>
      <c r="I30862">
        <v>19137537</v>
      </c>
      <c r="J30862">
        <v>9</v>
      </c>
    </row>
    <row r="30863" spans="1:10" x14ac:dyDescent="0.25">
      <c r="A30863" t="s">
        <v>352</v>
      </c>
      <c r="B30863" s="1" t="str">
        <f>HYPERLINK("http://siemens.com.br","siemens.com.br")</f>
        <v>siemens.com.br</v>
      </c>
      <c r="C30863" t="s">
        <v>425</v>
      </c>
      <c r="D30863" t="s">
        <v>806</v>
      </c>
      <c r="E30863">
        <v>761694</v>
      </c>
      <c r="F30863">
        <v>2.49550689547021E-8</v>
      </c>
      <c r="G30863">
        <v>2071195</v>
      </c>
      <c r="H30863">
        <v>14490379</v>
      </c>
      <c r="I30863">
        <v>912421</v>
      </c>
      <c r="J30863">
        <v>2</v>
      </c>
    </row>
    <row r="30864" spans="1:10" x14ac:dyDescent="0.25">
      <c r="A30864" t="s">
        <v>352</v>
      </c>
      <c r="B30864" s="1" t="str">
        <f>HYPERLINK("http://siemens-healthineers.com.br","siemens-healthineers.com.br")</f>
        <v>siemens-healthineers.com.br</v>
      </c>
      <c r="C30864" t="s">
        <v>425</v>
      </c>
      <c r="D30864" t="s">
        <v>806</v>
      </c>
      <c r="J30864">
        <v>3</v>
      </c>
    </row>
    <row r="30865" spans="1:10" x14ac:dyDescent="0.25">
      <c r="A30865" t="s">
        <v>352</v>
      </c>
      <c r="B30865" s="1" t="str">
        <f>HYPERLINK("http://ingenico.ca","ingenico.ca")</f>
        <v>ingenico.ca</v>
      </c>
      <c r="C30865" t="s">
        <v>428</v>
      </c>
      <c r="D30865" t="s">
        <v>809</v>
      </c>
      <c r="F30865">
        <v>2.5454756949590099E-8</v>
      </c>
      <c r="G30865">
        <v>2026468</v>
      </c>
      <c r="H30865">
        <v>12669145</v>
      </c>
      <c r="I30865">
        <v>15631407</v>
      </c>
      <c r="J30865">
        <v>9</v>
      </c>
    </row>
    <row r="30866" spans="1:10" x14ac:dyDescent="0.25">
      <c r="A30866" t="s">
        <v>352</v>
      </c>
      <c r="B30866" s="1" t="str">
        <f>HYPERLINK("http://northlandpower.ca","northlandpower.ca")</f>
        <v>northlandpower.ca</v>
      </c>
      <c r="C30866" t="s">
        <v>428</v>
      </c>
      <c r="D30866" t="s">
        <v>809</v>
      </c>
      <c r="F30866">
        <v>5.30363090969603E-8</v>
      </c>
      <c r="G30866">
        <v>858684</v>
      </c>
      <c r="H30866">
        <v>14493441</v>
      </c>
      <c r="I30866">
        <v>887869</v>
      </c>
      <c r="J30866">
        <v>7</v>
      </c>
    </row>
    <row r="30867" spans="1:10" x14ac:dyDescent="0.25">
      <c r="A30867" t="s">
        <v>352</v>
      </c>
      <c r="B30867" s="1" t="str">
        <f>HYPERLINK("http://siemens.ca","siemens.ca")</f>
        <v>siemens.ca</v>
      </c>
      <c r="C30867" t="s">
        <v>428</v>
      </c>
      <c r="D30867" t="s">
        <v>809</v>
      </c>
      <c r="F30867">
        <v>3.9321198691570302E-8</v>
      </c>
      <c r="G30867">
        <v>1312314</v>
      </c>
      <c r="H30867">
        <v>14410384</v>
      </c>
      <c r="I30867">
        <v>1145292</v>
      </c>
      <c r="J30867">
        <v>2</v>
      </c>
    </row>
    <row r="30868" spans="1:10" x14ac:dyDescent="0.25">
      <c r="A30868" t="s">
        <v>352</v>
      </c>
      <c r="B30868" s="1" t="str">
        <f>HYPERLINK("http://siemens-energy.ca","siemens-energy.ca")</f>
        <v>siemens-energy.ca</v>
      </c>
      <c r="C30868" t="s">
        <v>428</v>
      </c>
      <c r="D30868" t="s">
        <v>809</v>
      </c>
      <c r="F30868">
        <v>6.6786150317920403E-9</v>
      </c>
      <c r="G30868">
        <v>13380251</v>
      </c>
      <c r="H30868">
        <v>12146517</v>
      </c>
      <c r="I30868">
        <v>24712444</v>
      </c>
      <c r="J30868">
        <v>4</v>
      </c>
    </row>
    <row r="30869" spans="1:10" x14ac:dyDescent="0.25">
      <c r="A30869" t="s">
        <v>352</v>
      </c>
      <c r="B30869" s="1" t="str">
        <f>HYPERLINK("http://siemens-healthineers.ca","siemens-healthineers.ca")</f>
        <v>siemens-healthineers.ca</v>
      </c>
      <c r="C30869" t="s">
        <v>428</v>
      </c>
      <c r="D30869" t="s">
        <v>809</v>
      </c>
      <c r="F30869">
        <v>6.6754955912060098E-9</v>
      </c>
      <c r="G30869">
        <v>13391743</v>
      </c>
      <c r="H30869">
        <v>12329039</v>
      </c>
      <c r="I30869">
        <v>20225044</v>
      </c>
      <c r="J30869">
        <v>3</v>
      </c>
    </row>
    <row r="30870" spans="1:10" x14ac:dyDescent="0.25">
      <c r="A30870" t="s">
        <v>352</v>
      </c>
      <c r="B30870" s="1" t="str">
        <f>HYPERLINK("http://siemens.ch","siemens.ch")</f>
        <v>siemens.ch</v>
      </c>
      <c r="C30870" t="s">
        <v>429</v>
      </c>
      <c r="D30870" t="s">
        <v>810</v>
      </c>
      <c r="E30870">
        <v>832660</v>
      </c>
      <c r="F30870">
        <v>9.2836717646759199E-8</v>
      </c>
      <c r="G30870">
        <v>438138</v>
      </c>
      <c r="H30870">
        <v>14763769</v>
      </c>
      <c r="I30870">
        <v>559600</v>
      </c>
      <c r="J30870">
        <v>2</v>
      </c>
    </row>
    <row r="30871" spans="1:10" x14ac:dyDescent="0.25">
      <c r="A30871" t="s">
        <v>352</v>
      </c>
      <c r="B30871" s="1" t="str">
        <f>HYPERLINK("http://siemens.cl","siemens.cl")</f>
        <v>siemens.cl</v>
      </c>
      <c r="C30871" t="s">
        <v>430</v>
      </c>
      <c r="D30871" t="s">
        <v>811</v>
      </c>
      <c r="F30871">
        <v>5.7987237801003199E-9</v>
      </c>
      <c r="G30871">
        <v>18096034</v>
      </c>
      <c r="H30871">
        <v>12312657</v>
      </c>
      <c r="I30871">
        <v>20561995</v>
      </c>
      <c r="J30871">
        <v>4</v>
      </c>
    </row>
    <row r="30872" spans="1:10" x14ac:dyDescent="0.25">
      <c r="A30872" t="s">
        <v>352</v>
      </c>
      <c r="B30872" s="1" t="str">
        <f>HYPERLINK("http://phos.cloud","phos.cloud")</f>
        <v>phos.cloud</v>
      </c>
      <c r="C30872" t="s">
        <v>516</v>
      </c>
      <c r="F30872">
        <v>6.9826776896774205E-8</v>
      </c>
      <c r="G30872">
        <v>607161</v>
      </c>
      <c r="H30872">
        <v>16756265</v>
      </c>
      <c r="I30872">
        <v>235519</v>
      </c>
      <c r="J30872">
        <v>13</v>
      </c>
    </row>
    <row r="30873" spans="1:10" x14ac:dyDescent="0.25">
      <c r="A30873" t="s">
        <v>352</v>
      </c>
      <c r="B30873" s="1" t="str">
        <f>HYPERLINK("http://siemens.cloud","siemens.cloud")</f>
        <v>siemens.cloud</v>
      </c>
      <c r="C30873" t="s">
        <v>516</v>
      </c>
      <c r="E30873">
        <v>43370</v>
      </c>
      <c r="F30873">
        <v>8.9609395493138594E-8</v>
      </c>
      <c r="G30873">
        <v>455683</v>
      </c>
      <c r="H30873">
        <v>13226156</v>
      </c>
      <c r="I30873">
        <v>11303997</v>
      </c>
      <c r="J30873">
        <v>2</v>
      </c>
    </row>
    <row r="30874" spans="1:10" x14ac:dyDescent="0.25">
      <c r="A30874" t="s">
        <v>352</v>
      </c>
      <c r="B30874" s="1" t="str">
        <f>HYPERLINK("http://siemens-energy.cloud","siemens-energy.cloud")</f>
        <v>siemens-energy.cloud</v>
      </c>
      <c r="C30874" t="s">
        <v>516</v>
      </c>
      <c r="E30874">
        <v>335463</v>
      </c>
      <c r="F30874">
        <v>7.1118357593401802E-9</v>
      </c>
      <c r="G30874">
        <v>11981275</v>
      </c>
      <c r="H30874">
        <v>12476864</v>
      </c>
      <c r="I30874">
        <v>17627731</v>
      </c>
      <c r="J30874">
        <v>4</v>
      </c>
    </row>
    <row r="30875" spans="1:10" x14ac:dyDescent="0.25">
      <c r="A30875" t="s">
        <v>352</v>
      </c>
      <c r="B30875" s="1" t="str">
        <f>HYPERLINK("http://cntic.com.cn","cntic.com.cn")</f>
        <v>cntic.com.cn</v>
      </c>
      <c r="C30875" t="s">
        <v>431</v>
      </c>
      <c r="D30875" t="s">
        <v>812</v>
      </c>
      <c r="F30875">
        <v>1.7615765571804899E-8</v>
      </c>
      <c r="G30875">
        <v>3115427</v>
      </c>
      <c r="H30875">
        <v>14236077</v>
      </c>
      <c r="I30875">
        <v>1613569</v>
      </c>
      <c r="J30875">
        <v>6</v>
      </c>
    </row>
    <row r="30876" spans="1:10" x14ac:dyDescent="0.25">
      <c r="A30876" t="s">
        <v>352</v>
      </c>
      <c r="B30876" s="1" t="str">
        <f>HYPERLINK("http://genertec.com.cn","genertec.com.cn")</f>
        <v>genertec.com.cn</v>
      </c>
      <c r="C30876" t="s">
        <v>431</v>
      </c>
      <c r="D30876" t="s">
        <v>812</v>
      </c>
      <c r="E30876">
        <v>532427</v>
      </c>
      <c r="F30876">
        <v>1.44087347129317E-7</v>
      </c>
      <c r="G30876">
        <v>270257</v>
      </c>
      <c r="H30876">
        <v>14443648</v>
      </c>
      <c r="I30876">
        <v>1059413</v>
      </c>
      <c r="J30876">
        <v>7</v>
      </c>
    </row>
    <row r="30877" spans="1:10" x14ac:dyDescent="0.25">
      <c r="A30877" t="s">
        <v>352</v>
      </c>
      <c r="B30877" s="1" t="str">
        <f>HYPERLINK("http://hhsd.com.cn","hhsd.com.cn")</f>
        <v>hhsd.com.cn</v>
      </c>
      <c r="C30877" t="s">
        <v>431</v>
      </c>
      <c r="D30877" t="s">
        <v>812</v>
      </c>
      <c r="F30877">
        <v>1.3043362657177499E-8</v>
      </c>
      <c r="G30877">
        <v>4610552</v>
      </c>
      <c r="H30877">
        <v>11490256</v>
      </c>
      <c r="I30877">
        <v>30047073</v>
      </c>
      <c r="J30877">
        <v>5</v>
      </c>
    </row>
    <row r="30878" spans="1:10" x14ac:dyDescent="0.25">
      <c r="A30878" t="s">
        <v>352</v>
      </c>
      <c r="B30878" s="1" t="str">
        <f>HYPERLINK("http://siemens.com.cn","siemens.com.cn")</f>
        <v>siemens.com.cn</v>
      </c>
      <c r="C30878" t="s">
        <v>431</v>
      </c>
      <c r="D30878" t="s">
        <v>812</v>
      </c>
      <c r="E30878">
        <v>39900</v>
      </c>
      <c r="F30878">
        <v>4.5916220279335301E-7</v>
      </c>
      <c r="G30878">
        <v>82383</v>
      </c>
      <c r="H30878">
        <v>14730040</v>
      </c>
      <c r="I30878">
        <v>572520</v>
      </c>
      <c r="J30878">
        <v>2</v>
      </c>
    </row>
    <row r="30879" spans="1:10" x14ac:dyDescent="0.25">
      <c r="A30879" t="s">
        <v>352</v>
      </c>
      <c r="B30879" s="1" t="str">
        <f>HYPERLINK("http://snptc.com.cn","snptc.com.cn")</f>
        <v>snptc.com.cn</v>
      </c>
      <c r="C30879" t="s">
        <v>431</v>
      </c>
      <c r="D30879" t="s">
        <v>812</v>
      </c>
      <c r="E30879">
        <v>938920</v>
      </c>
      <c r="F30879">
        <v>4.32824955296669E-8</v>
      </c>
      <c r="G30879">
        <v>1107586</v>
      </c>
      <c r="H30879">
        <v>14184843</v>
      </c>
      <c r="I30879">
        <v>1771395</v>
      </c>
      <c r="J30879">
        <v>5</v>
      </c>
    </row>
    <row r="30880" spans="1:10" x14ac:dyDescent="0.25">
      <c r="A30880" t="s">
        <v>352</v>
      </c>
      <c r="B30880" s="1" t="str">
        <f>HYPERLINK("http://spic.com.cn","spic.com.cn")</f>
        <v>spic.com.cn</v>
      </c>
      <c r="C30880" t="s">
        <v>431</v>
      </c>
      <c r="D30880" t="s">
        <v>812</v>
      </c>
      <c r="E30880">
        <v>55970</v>
      </c>
      <c r="F30880">
        <v>4.6561825187413198E-7</v>
      </c>
      <c r="G30880">
        <v>81351</v>
      </c>
      <c r="H30880">
        <v>14182370</v>
      </c>
      <c r="I30880">
        <v>1777082</v>
      </c>
      <c r="J30880">
        <v>4</v>
      </c>
    </row>
    <row r="30881" spans="1:10" x14ac:dyDescent="0.25">
      <c r="A30881" t="s">
        <v>352</v>
      </c>
      <c r="B30881" s="1" t="str">
        <f>HYPERLINK("http://varian.com.cn","varian.com.cn")</f>
        <v>varian.com.cn</v>
      </c>
      <c r="C30881" t="s">
        <v>431</v>
      </c>
      <c r="D30881" t="s">
        <v>812</v>
      </c>
      <c r="F30881">
        <v>5.90538461939777E-9</v>
      </c>
      <c r="G30881">
        <v>17322806</v>
      </c>
      <c r="H30881">
        <v>11013782</v>
      </c>
      <c r="I30881">
        <v>33350258</v>
      </c>
      <c r="J30881">
        <v>4</v>
      </c>
    </row>
    <row r="30882" spans="1:10" x14ac:dyDescent="0.25">
      <c r="A30882" t="s">
        <v>352</v>
      </c>
      <c r="B30882" s="1" t="str">
        <f>HYPERLINK("http://gt.cn","gt.cn")</f>
        <v>gt.cn</v>
      </c>
      <c r="C30882" t="s">
        <v>431</v>
      </c>
      <c r="D30882" t="s">
        <v>812</v>
      </c>
      <c r="E30882">
        <v>506297</v>
      </c>
      <c r="F30882">
        <v>9.9900965928627004E-8</v>
      </c>
      <c r="G30882">
        <v>402891</v>
      </c>
      <c r="H30882">
        <v>13048367</v>
      </c>
      <c r="I30882">
        <v>12596358</v>
      </c>
      <c r="J30882">
        <v>10</v>
      </c>
    </row>
    <row r="30883" spans="1:10" x14ac:dyDescent="0.25">
      <c r="A30883" t="s">
        <v>352</v>
      </c>
      <c r="B30883" s="1" t="str">
        <f>HYPERLINK("http://heraeus.cn","heraeus.cn")</f>
        <v>heraeus.cn</v>
      </c>
      <c r="C30883" t="s">
        <v>431</v>
      </c>
      <c r="D30883" t="s">
        <v>812</v>
      </c>
      <c r="F30883">
        <v>6.6895108986742296E-8</v>
      </c>
      <c r="G30883">
        <v>639728</v>
      </c>
      <c r="H30883">
        <v>11481284</v>
      </c>
      <c r="I30883">
        <v>30063265</v>
      </c>
      <c r="J30883">
        <v>8</v>
      </c>
    </row>
    <row r="30884" spans="1:10" x14ac:dyDescent="0.25">
      <c r="A30884" t="s">
        <v>352</v>
      </c>
      <c r="B30884" s="1" t="str">
        <f>HYPERLINK("http://ingenico.cn","ingenico.cn")</f>
        <v>ingenico.cn</v>
      </c>
      <c r="C30884" t="s">
        <v>431</v>
      </c>
      <c r="D30884" t="s">
        <v>812</v>
      </c>
      <c r="F30884">
        <v>2.05212625665774E-8</v>
      </c>
      <c r="G30884">
        <v>2581741</v>
      </c>
      <c r="H30884">
        <v>12215233</v>
      </c>
      <c r="I30884">
        <v>22898151</v>
      </c>
      <c r="J30884">
        <v>9</v>
      </c>
    </row>
    <row r="30885" spans="1:10" x14ac:dyDescent="0.25">
      <c r="A30885" t="s">
        <v>352</v>
      </c>
      <c r="B30885" s="1" t="str">
        <f>HYPERLINK("http://siemens-energy.cn","siemens-energy.cn")</f>
        <v>siemens-energy.cn</v>
      </c>
      <c r="C30885" t="s">
        <v>431</v>
      </c>
      <c r="D30885" t="s">
        <v>812</v>
      </c>
      <c r="F30885">
        <v>1.3422752847347401E-8</v>
      </c>
      <c r="G30885">
        <v>4437927</v>
      </c>
      <c r="H30885">
        <v>12338548</v>
      </c>
      <c r="I30885">
        <v>20036557</v>
      </c>
      <c r="J30885">
        <v>4</v>
      </c>
    </row>
    <row r="30886" spans="1:10" x14ac:dyDescent="0.25">
      <c r="A30886" t="s">
        <v>352</v>
      </c>
      <c r="B30886" s="1" t="str">
        <f>HYPERLINK("http://bytemark.co","bytemark.co")</f>
        <v>bytemark.co</v>
      </c>
      <c r="C30886" t="s">
        <v>432</v>
      </c>
      <c r="E30886">
        <v>475001</v>
      </c>
      <c r="F30886">
        <v>9.8082142346327397E-8</v>
      </c>
      <c r="G30886">
        <v>411373</v>
      </c>
      <c r="H30886">
        <v>16815414</v>
      </c>
      <c r="I30886">
        <v>188750</v>
      </c>
      <c r="J30886">
        <v>4</v>
      </c>
    </row>
    <row r="30887" spans="1:10" x14ac:dyDescent="0.25">
      <c r="A30887" t="s">
        <v>352</v>
      </c>
      <c r="B30887" s="1" t="str">
        <f>HYPERLINK("http://siemens.com.co","siemens.com.co")</f>
        <v>siemens.com.co</v>
      </c>
      <c r="C30887" t="s">
        <v>432</v>
      </c>
      <c r="F30887">
        <v>9.9137508210184297E-9</v>
      </c>
      <c r="G30887">
        <v>6845201</v>
      </c>
      <c r="H30887">
        <v>13179600</v>
      </c>
      <c r="I30887">
        <v>11685861</v>
      </c>
      <c r="J30887">
        <v>6</v>
      </c>
    </row>
    <row r="30888" spans="1:10" x14ac:dyDescent="0.25">
      <c r="A30888" t="s">
        <v>352</v>
      </c>
      <c r="B30888" s="1" t="str">
        <f>HYPERLINK("http://25sevenit.com","25sevenit.com")</f>
        <v>25sevenit.com</v>
      </c>
      <c r="C30888" t="s">
        <v>433</v>
      </c>
      <c r="F30888">
        <v>5.3528809087991397E-9</v>
      </c>
      <c r="G30888">
        <v>22767010</v>
      </c>
      <c r="H30888">
        <v>12648187</v>
      </c>
      <c r="I30888">
        <v>15813061</v>
      </c>
      <c r="J30888">
        <v>12</v>
      </c>
    </row>
    <row r="30889" spans="1:10" x14ac:dyDescent="0.25">
      <c r="A30889" t="s">
        <v>352</v>
      </c>
      <c r="B30889" s="1" t="str">
        <f>HYPERLINK("http://adwenoffshore.com","adwenoffshore.com")</f>
        <v>adwenoffshore.com</v>
      </c>
      <c r="C30889" t="s">
        <v>433</v>
      </c>
      <c r="F30889">
        <v>1.2960717723534E-8</v>
      </c>
      <c r="G30889">
        <v>4650716</v>
      </c>
      <c r="H30889">
        <v>14073892</v>
      </c>
      <c r="I30889">
        <v>2965876</v>
      </c>
      <c r="J30889">
        <v>6</v>
      </c>
    </row>
    <row r="30890" spans="1:10" x14ac:dyDescent="0.25">
      <c r="A30890" t="s">
        <v>352</v>
      </c>
      <c r="B30890" s="1" t="str">
        <f>HYPERLINK("http://aimsun.com","aimsun.com")</f>
        <v>aimsun.com</v>
      </c>
      <c r="C30890" t="s">
        <v>433</v>
      </c>
      <c r="F30890">
        <v>6.9705902433927201E-8</v>
      </c>
      <c r="G30890">
        <v>608754</v>
      </c>
      <c r="H30890">
        <v>14217249</v>
      </c>
      <c r="I30890">
        <v>1690750</v>
      </c>
      <c r="J30890">
        <v>6</v>
      </c>
    </row>
    <row r="30891" spans="1:10" x14ac:dyDescent="0.25">
      <c r="A30891" t="s">
        <v>352</v>
      </c>
      <c r="B30891" s="1" t="str">
        <f>HYPERLINK("http://arcuscloudservices.com","arcuscloudservices.com")</f>
        <v>arcuscloudservices.com</v>
      </c>
      <c r="C30891" t="s">
        <v>433</v>
      </c>
      <c r="F30891">
        <v>2.8673229641789501E-8</v>
      </c>
      <c r="G30891">
        <v>1794773</v>
      </c>
      <c r="H30891">
        <v>13768958</v>
      </c>
      <c r="I30891">
        <v>6826265</v>
      </c>
      <c r="J30891">
        <v>11</v>
      </c>
    </row>
    <row r="30892" spans="1:10" x14ac:dyDescent="0.25">
      <c r="A30892" t="s">
        <v>352</v>
      </c>
      <c r="B30892" s="1" t="str">
        <f>HYPERLINK("http://argor.com","argor.com")</f>
        <v>argor.com</v>
      </c>
      <c r="C30892" t="s">
        <v>433</v>
      </c>
      <c r="F30892">
        <v>8.5632403895871294E-8</v>
      </c>
      <c r="G30892">
        <v>481059</v>
      </c>
      <c r="H30892">
        <v>14440635</v>
      </c>
      <c r="I30892">
        <v>1063441</v>
      </c>
      <c r="J30892">
        <v>12</v>
      </c>
    </row>
    <row r="30893" spans="1:10" x14ac:dyDescent="0.25">
      <c r="A30893" t="s">
        <v>352</v>
      </c>
      <c r="B30893" s="1" t="str">
        <f>HYPERLINK("http://atompower.com","atompower.com")</f>
        <v>atompower.com</v>
      </c>
      <c r="C30893" t="s">
        <v>433</v>
      </c>
      <c r="F30893">
        <v>3.5672577928019698E-8</v>
      </c>
      <c r="G30893">
        <v>1460163</v>
      </c>
      <c r="H30893">
        <v>13908140</v>
      </c>
      <c r="I30893">
        <v>5943943</v>
      </c>
      <c r="J30893">
        <v>2</v>
      </c>
    </row>
    <row r="30894" spans="1:10" x14ac:dyDescent="0.25">
      <c r="A30894" t="s">
        <v>352</v>
      </c>
      <c r="B30894" s="1" t="str">
        <f>HYPERLINK("http://atompowerusa.com","atompowerusa.com")</f>
        <v>atompowerusa.com</v>
      </c>
      <c r="C30894" t="s">
        <v>433</v>
      </c>
      <c r="J30894">
        <v>5</v>
      </c>
    </row>
    <row r="30895" spans="1:10" x14ac:dyDescent="0.25">
      <c r="A30895" t="s">
        <v>352</v>
      </c>
      <c r="B30895" s="1" t="str">
        <f>HYPERLINK("http://atosorigin.com","atosorigin.com")</f>
        <v>atosorigin.com</v>
      </c>
      <c r="C30895" t="s">
        <v>433</v>
      </c>
      <c r="E30895">
        <v>225314</v>
      </c>
      <c r="F30895">
        <v>2.08236800029823E-7</v>
      </c>
      <c r="G30895">
        <v>181941</v>
      </c>
      <c r="H30895">
        <v>15034529</v>
      </c>
      <c r="I30895">
        <v>417686</v>
      </c>
      <c r="J30895">
        <v>6</v>
      </c>
    </row>
    <row r="30896" spans="1:10" x14ac:dyDescent="0.25">
      <c r="A30896" t="s">
        <v>352</v>
      </c>
      <c r="B30896" s="1" t="str">
        <f>HYPERLINK("http://beamcharging.com","beamcharging.com")</f>
        <v>beamcharging.com</v>
      </c>
      <c r="C30896" t="s">
        <v>433</v>
      </c>
      <c r="F30896">
        <v>5.4013598890631201E-9</v>
      </c>
      <c r="G30896">
        <v>22097260</v>
      </c>
      <c r="H30896">
        <v>10841802</v>
      </c>
      <c r="I30896">
        <v>37067679</v>
      </c>
      <c r="J30896">
        <v>6</v>
      </c>
    </row>
    <row r="30897" spans="1:10" x14ac:dyDescent="0.25">
      <c r="A30897" t="s">
        <v>352</v>
      </c>
      <c r="B30897" s="1" t="str">
        <f>HYPERLINK("http://bentley.com","bentley.com")</f>
        <v>bentley.com</v>
      </c>
      <c r="C30897" t="s">
        <v>433</v>
      </c>
      <c r="E30897">
        <v>1019</v>
      </c>
      <c r="F30897">
        <v>1.95980846599112E-6</v>
      </c>
      <c r="G30897">
        <v>18699</v>
      </c>
      <c r="H30897">
        <v>17764620</v>
      </c>
      <c r="I30897">
        <v>6106</v>
      </c>
      <c r="J30897">
        <v>3</v>
      </c>
    </row>
    <row r="30898" spans="1:10" x14ac:dyDescent="0.25">
      <c r="A30898" t="s">
        <v>352</v>
      </c>
      <c r="B30898" s="1" t="str">
        <f>HYPERLINK("http://blinkcharging.com","blinkcharging.com")</f>
        <v>blinkcharging.com</v>
      </c>
      <c r="C30898" t="s">
        <v>433</v>
      </c>
      <c r="E30898">
        <v>285375</v>
      </c>
      <c r="F30898">
        <v>2.0415090401396499E-7</v>
      </c>
      <c r="G30898">
        <v>186161</v>
      </c>
      <c r="H30898">
        <v>14561038</v>
      </c>
      <c r="I30898">
        <v>745365</v>
      </c>
      <c r="J30898">
        <v>9</v>
      </c>
    </row>
    <row r="30899" spans="1:10" x14ac:dyDescent="0.25">
      <c r="A30899" t="s">
        <v>352</v>
      </c>
      <c r="B30899" s="1" t="str">
        <f>HYPERLINK("http://blinknetwork.com","blinknetwork.com")</f>
        <v>blinknetwork.com</v>
      </c>
      <c r="C30899" t="s">
        <v>433</v>
      </c>
      <c r="E30899">
        <v>335392</v>
      </c>
      <c r="F30899">
        <v>8.3734016260582797E-8</v>
      </c>
      <c r="G30899">
        <v>494934</v>
      </c>
      <c r="H30899">
        <v>14634959</v>
      </c>
      <c r="I30899">
        <v>641429</v>
      </c>
      <c r="J30899">
        <v>10</v>
      </c>
    </row>
    <row r="30900" spans="1:10" x14ac:dyDescent="0.25">
      <c r="A30900" t="s">
        <v>352</v>
      </c>
      <c r="B30900" s="1" t="str">
        <f>HYPERLINK("http://blueridgeanalytics.com","blueridgeanalytics.com")</f>
        <v>blueridgeanalytics.com</v>
      </c>
      <c r="C30900" t="s">
        <v>433</v>
      </c>
      <c r="J30900">
        <v>4</v>
      </c>
    </row>
    <row r="30901" spans="1:10" x14ac:dyDescent="0.25">
      <c r="A30901" t="s">
        <v>352</v>
      </c>
      <c r="B30901" s="1" t="str">
        <f>HYPERLINK("http://box.com","box.com")</f>
        <v>box.com</v>
      </c>
      <c r="C30901" t="s">
        <v>433</v>
      </c>
      <c r="E30901">
        <v>516</v>
      </c>
      <c r="F30901">
        <v>3.97248364145524E-5</v>
      </c>
      <c r="G30901">
        <v>677</v>
      </c>
      <c r="H30901">
        <v>19402862</v>
      </c>
      <c r="I30901">
        <v>213</v>
      </c>
      <c r="J30901">
        <v>7</v>
      </c>
    </row>
    <row r="30902" spans="1:10" x14ac:dyDescent="0.25">
      <c r="A30902" t="s">
        <v>352</v>
      </c>
      <c r="B30902" s="1" t="str">
        <f>HYPERLINK("http://brightlysoftware.com","brightlysoftware.com")</f>
        <v>brightlysoftware.com</v>
      </c>
      <c r="C30902" t="s">
        <v>433</v>
      </c>
      <c r="E30902">
        <v>193245</v>
      </c>
      <c r="F30902">
        <v>1.4338078703951901E-7</v>
      </c>
      <c r="G30902">
        <v>271537</v>
      </c>
      <c r="H30902">
        <v>13475154</v>
      </c>
      <c r="I30902">
        <v>10022353</v>
      </c>
      <c r="J30902">
        <v>5</v>
      </c>
    </row>
    <row r="30903" spans="1:10" x14ac:dyDescent="0.25">
      <c r="A30903" t="s">
        <v>352</v>
      </c>
      <c r="B30903" s="1" t="str">
        <f>HYPERLINK("http://bull.com","bull.com")</f>
        <v>bull.com</v>
      </c>
      <c r="C30903" t="s">
        <v>433</v>
      </c>
      <c r="E30903">
        <v>105543</v>
      </c>
      <c r="F30903">
        <v>3.18781862185549E-7</v>
      </c>
      <c r="G30903">
        <v>116690</v>
      </c>
      <c r="H30903">
        <v>17181132</v>
      </c>
      <c r="I30903">
        <v>45317</v>
      </c>
      <c r="J30903">
        <v>6</v>
      </c>
    </row>
    <row r="30904" spans="1:10" x14ac:dyDescent="0.25">
      <c r="A30904" t="s">
        <v>352</v>
      </c>
      <c r="B30904" s="1" t="str">
        <f>HYPERLINK("http://calypsomedical.com","calypsomedical.com")</f>
        <v>calypsomedical.com</v>
      </c>
      <c r="C30904" t="s">
        <v>433</v>
      </c>
      <c r="F30904">
        <v>1.0503009944792799E-8</v>
      </c>
      <c r="G30904">
        <v>6266850</v>
      </c>
      <c r="H30904">
        <v>13777052</v>
      </c>
      <c r="I30904">
        <v>6543773</v>
      </c>
      <c r="J30904">
        <v>7</v>
      </c>
    </row>
    <row r="30905" spans="1:10" x14ac:dyDescent="0.25">
      <c r="A30905" t="s">
        <v>352</v>
      </c>
      <c r="B30905" s="1" t="str">
        <f>HYPERLINK("http://carcharging.com","carcharging.com")</f>
        <v>carcharging.com</v>
      </c>
      <c r="C30905" t="s">
        <v>433</v>
      </c>
      <c r="F30905">
        <v>1.8709837708858601E-8</v>
      </c>
      <c r="G30905">
        <v>2887571</v>
      </c>
      <c r="H30905">
        <v>13895520</v>
      </c>
      <c r="I30905">
        <v>5955835</v>
      </c>
      <c r="J30905">
        <v>11</v>
      </c>
    </row>
    <row r="30906" spans="1:10" x14ac:dyDescent="0.25">
      <c r="A30906" t="s">
        <v>352</v>
      </c>
      <c r="B30906" s="1" t="str">
        <f>HYPERLINK("http://ccl-siemens.com","ccl-siemens.com")</f>
        <v>ccl-siemens.com</v>
      </c>
      <c r="C30906" t="s">
        <v>433</v>
      </c>
      <c r="E30906">
        <v>463846</v>
      </c>
      <c r="F30906">
        <v>4.4438099640082497E-9</v>
      </c>
      <c r="G30906">
        <v>79611342</v>
      </c>
      <c r="H30906">
        <v>10351910</v>
      </c>
      <c r="I30906">
        <v>56118319</v>
      </c>
      <c r="J30906">
        <v>2</v>
      </c>
    </row>
    <row r="30907" spans="1:10" x14ac:dyDescent="0.25">
      <c r="A30907" t="s">
        <v>352</v>
      </c>
      <c r="B30907" s="1" t="str">
        <f>HYPERLINK("http://chargepoint.com","chargepoint.com")</f>
        <v>chargepoint.com</v>
      </c>
      <c r="C30907" t="s">
        <v>433</v>
      </c>
      <c r="E30907">
        <v>2387</v>
      </c>
      <c r="F30907">
        <v>1.39588897050653E-6</v>
      </c>
      <c r="G30907">
        <v>27979</v>
      </c>
      <c r="H30907">
        <v>17239572</v>
      </c>
      <c r="I30907">
        <v>35439</v>
      </c>
      <c r="J30907">
        <v>3</v>
      </c>
    </row>
    <row r="30908" spans="1:10" x14ac:dyDescent="0.25">
      <c r="A30908" t="s">
        <v>352</v>
      </c>
      <c r="B30908" s="1" t="str">
        <f>HYPERLINK("http://cohesivegroup.com","cohesivegroup.com")</f>
        <v>cohesivegroup.com</v>
      </c>
      <c r="C30908" t="s">
        <v>433</v>
      </c>
      <c r="F30908">
        <v>2.21092550421426E-8</v>
      </c>
      <c r="G30908">
        <v>2373357</v>
      </c>
      <c r="H30908">
        <v>13250204</v>
      </c>
      <c r="I30908">
        <v>11085133</v>
      </c>
      <c r="J30908">
        <v>10</v>
      </c>
    </row>
    <row r="30909" spans="1:10" x14ac:dyDescent="0.25">
      <c r="A30909" t="s">
        <v>352</v>
      </c>
      <c r="B30909" s="1" t="str">
        <f>HYPERLINK("http://cohesivesolutions.com","cohesivesolutions.com")</f>
        <v>cohesivesolutions.com</v>
      </c>
      <c r="C30909" t="s">
        <v>433</v>
      </c>
      <c r="F30909">
        <v>2.29346034906681E-8</v>
      </c>
      <c r="G30909">
        <v>2279020</v>
      </c>
      <c r="H30909">
        <v>13483546</v>
      </c>
      <c r="I30909">
        <v>9999862</v>
      </c>
      <c r="J30909">
        <v>6</v>
      </c>
    </row>
    <row r="30910" spans="1:10" x14ac:dyDescent="0.25">
      <c r="A30910" t="s">
        <v>352</v>
      </c>
      <c r="B30910" s="1" t="str">
        <f>HYPERLINK("http://comfyapp.com","comfyapp.com")</f>
        <v>comfyapp.com</v>
      </c>
      <c r="C30910" t="s">
        <v>433</v>
      </c>
      <c r="E30910">
        <v>454940</v>
      </c>
      <c r="F30910">
        <v>1.35079125224982E-7</v>
      </c>
      <c r="G30910">
        <v>288931</v>
      </c>
      <c r="H30910">
        <v>16877896</v>
      </c>
      <c r="I30910">
        <v>140570</v>
      </c>
      <c r="J30910">
        <v>3</v>
      </c>
    </row>
    <row r="30911" spans="1:10" x14ac:dyDescent="0.25">
      <c r="A30911" t="s">
        <v>352</v>
      </c>
      <c r="B30911" s="1" t="str">
        <f>HYPERLINK("http://comos.com","comos.com")</f>
        <v>comos.com</v>
      </c>
      <c r="C30911" t="s">
        <v>433</v>
      </c>
      <c r="F30911">
        <v>5.0485744312404199E-9</v>
      </c>
      <c r="G30911">
        <v>28251884</v>
      </c>
      <c r="H30911">
        <v>10996152</v>
      </c>
      <c r="I30911">
        <v>33645339</v>
      </c>
      <c r="J30911">
        <v>4</v>
      </c>
    </row>
    <row r="30912" spans="1:10" x14ac:dyDescent="0.25">
      <c r="A30912" t="s">
        <v>352</v>
      </c>
      <c r="B30912" s="1" t="str">
        <f>HYPERLINK("http://complyserve.com","complyserve.com")</f>
        <v>complyserve.com</v>
      </c>
      <c r="C30912" t="s">
        <v>433</v>
      </c>
      <c r="F30912">
        <v>5.3913191594593299E-9</v>
      </c>
      <c r="G30912">
        <v>22229934</v>
      </c>
      <c r="H30912">
        <v>12980678</v>
      </c>
      <c r="I30912">
        <v>12980094</v>
      </c>
      <c r="J30912">
        <v>6</v>
      </c>
    </row>
    <row r="30913" spans="1:10" x14ac:dyDescent="0.25">
      <c r="A30913" t="s">
        <v>352</v>
      </c>
      <c r="B30913" s="1" t="str">
        <f>HYPERLINK("http://d3onc.com","d3onc.com")</f>
        <v>d3onc.com</v>
      </c>
      <c r="C30913" t="s">
        <v>433</v>
      </c>
      <c r="F30913">
        <v>4.7957974872328101E-9</v>
      </c>
      <c r="G30913">
        <v>36251231</v>
      </c>
      <c r="H30913">
        <v>13110059</v>
      </c>
      <c r="I30913">
        <v>12037416</v>
      </c>
      <c r="J30913">
        <v>3</v>
      </c>
    </row>
    <row r="30914" spans="1:10" x14ac:dyDescent="0.25">
      <c r="A30914" t="s">
        <v>352</v>
      </c>
      <c r="B30914" s="1" t="str">
        <f>HYPERLINK("http://datasentics.com","datasentics.com")</f>
        <v>datasentics.com</v>
      </c>
      <c r="C30914" t="s">
        <v>433</v>
      </c>
      <c r="F30914">
        <v>3.0293926429761703E-8</v>
      </c>
      <c r="G30914">
        <v>1699122</v>
      </c>
      <c r="H30914">
        <v>13823054</v>
      </c>
      <c r="I30914">
        <v>6134920</v>
      </c>
      <c r="J30914">
        <v>6</v>
      </c>
    </row>
    <row r="30915" spans="1:10" x14ac:dyDescent="0.25">
      <c r="A30915" t="s">
        <v>352</v>
      </c>
      <c r="B30915" s="1" t="str">
        <f>HYPERLINK("http://dresser-rand.com","dresser-rand.com")</f>
        <v>dresser-rand.com</v>
      </c>
      <c r="C30915" t="s">
        <v>433</v>
      </c>
      <c r="E30915">
        <v>688201</v>
      </c>
      <c r="F30915">
        <v>5.4070842501589E-8</v>
      </c>
      <c r="G30915">
        <v>837152</v>
      </c>
      <c r="H30915">
        <v>14525893</v>
      </c>
      <c r="I30915">
        <v>795069</v>
      </c>
      <c r="J30915">
        <v>3</v>
      </c>
    </row>
    <row r="30916" spans="1:10" x14ac:dyDescent="0.25">
      <c r="A30916" t="s">
        <v>352</v>
      </c>
      <c r="B30916" s="1" t="str">
        <f>HYPERLINK("http://dudesolutions.com","dudesolutions.com")</f>
        <v>dudesolutions.com</v>
      </c>
      <c r="C30916" t="s">
        <v>433</v>
      </c>
      <c r="E30916">
        <v>90029</v>
      </c>
      <c r="F30916">
        <v>2.2003409759995002E-6</v>
      </c>
      <c r="G30916">
        <v>16674</v>
      </c>
      <c r="H30916">
        <v>16962226</v>
      </c>
      <c r="I30916">
        <v>105048</v>
      </c>
      <c r="J30916">
        <v>3</v>
      </c>
    </row>
    <row r="30917" spans="1:10" x14ac:dyDescent="0.25">
      <c r="A30917" t="s">
        <v>352</v>
      </c>
      <c r="B30917" s="1" t="str">
        <f>HYPERLINK("http://embapower.com","embapower.com")</f>
        <v>embapower.com</v>
      </c>
      <c r="C30917" t="s">
        <v>433</v>
      </c>
      <c r="F30917">
        <v>6.6824788379352799E-9</v>
      </c>
      <c r="G30917">
        <v>13366469</v>
      </c>
      <c r="H30917">
        <v>13765659</v>
      </c>
      <c r="I30917">
        <v>7079863</v>
      </c>
      <c r="J30917">
        <v>5</v>
      </c>
    </row>
    <row r="30918" spans="1:10" x14ac:dyDescent="0.25">
      <c r="A30918" t="s">
        <v>352</v>
      </c>
      <c r="B30918" s="1" t="str">
        <f>HYPERLINK("http://emeter.com","emeter.com")</f>
        <v>emeter.com</v>
      </c>
      <c r="C30918" t="s">
        <v>433</v>
      </c>
      <c r="F30918">
        <v>6.2809983139137704E-8</v>
      </c>
      <c r="G30918">
        <v>698191</v>
      </c>
      <c r="H30918">
        <v>14395199</v>
      </c>
      <c r="I30918">
        <v>1160828</v>
      </c>
      <c r="J30918">
        <v>3</v>
      </c>
    </row>
    <row r="30919" spans="1:10" x14ac:dyDescent="0.25">
      <c r="A30919" t="s">
        <v>352</v>
      </c>
      <c r="B30919" s="1" t="str">
        <f>HYPERLINK("http://engage-esm.com","engage-esm.com")</f>
        <v>engage-esm.com</v>
      </c>
      <c r="C30919" t="s">
        <v>433</v>
      </c>
      <c r="F30919">
        <v>2.61154906841142E-8</v>
      </c>
      <c r="G30919">
        <v>1972608</v>
      </c>
      <c r="H30919">
        <v>13094412</v>
      </c>
      <c r="I30919">
        <v>12127295</v>
      </c>
      <c r="J30919">
        <v>6</v>
      </c>
    </row>
    <row r="30920" spans="1:10" x14ac:dyDescent="0.25">
      <c r="A30920" t="s">
        <v>352</v>
      </c>
      <c r="B30920" s="1" t="str">
        <f>HYPERLINK("http://enlightedinc.com","enlightedinc.com")</f>
        <v>enlightedinc.com</v>
      </c>
      <c r="C30920" t="s">
        <v>433</v>
      </c>
      <c r="E30920">
        <v>312311</v>
      </c>
      <c r="F30920">
        <v>8.2061886056926802E-8</v>
      </c>
      <c r="G30920">
        <v>508484</v>
      </c>
      <c r="H30920">
        <v>14149835</v>
      </c>
      <c r="I30920">
        <v>1879730</v>
      </c>
      <c r="J30920">
        <v>4</v>
      </c>
    </row>
    <row r="30921" spans="1:10" x14ac:dyDescent="0.25">
      <c r="A30921" t="s">
        <v>352</v>
      </c>
      <c r="B30921" s="1" t="str">
        <f>HYPERLINK("http://enterpriseinformatics.com","enterpriseinformatics.com")</f>
        <v>enterpriseinformatics.com</v>
      </c>
      <c r="C30921" t="s">
        <v>433</v>
      </c>
      <c r="F30921">
        <v>6.1681239588748101E-9</v>
      </c>
      <c r="G30921">
        <v>15702983</v>
      </c>
      <c r="H30921">
        <v>12187935</v>
      </c>
      <c r="I30921">
        <v>23634067</v>
      </c>
      <c r="J30921">
        <v>6</v>
      </c>
    </row>
    <row r="30922" spans="1:10" x14ac:dyDescent="0.25">
      <c r="A30922" t="s">
        <v>352</v>
      </c>
      <c r="B30922" s="1" t="str">
        <f>HYPERLINK("http://equens.com","equens.com")</f>
        <v>equens.com</v>
      </c>
      <c r="C30922" t="s">
        <v>433</v>
      </c>
      <c r="E30922">
        <v>943441</v>
      </c>
      <c r="F30922">
        <v>1.7465068344663301E-8</v>
      </c>
      <c r="G30922">
        <v>3154402</v>
      </c>
      <c r="H30922">
        <v>14489423</v>
      </c>
      <c r="I30922">
        <v>922168</v>
      </c>
      <c r="J30922">
        <v>8</v>
      </c>
    </row>
    <row r="30923" spans="1:10" x14ac:dyDescent="0.25">
      <c r="A30923" t="s">
        <v>352</v>
      </c>
      <c r="B30923" s="1" t="str">
        <f>HYPERLINK("http://etacomgroup.com","etacomgroup.com")</f>
        <v>etacomgroup.com</v>
      </c>
      <c r="C30923" t="s">
        <v>433</v>
      </c>
      <c r="F30923">
        <v>1.0415965656483799E-8</v>
      </c>
      <c r="G30923">
        <v>6344378</v>
      </c>
      <c r="H30923">
        <v>10775037</v>
      </c>
      <c r="I30923">
        <v>39075000</v>
      </c>
      <c r="J30923">
        <v>6</v>
      </c>
    </row>
    <row r="30924" spans="1:10" x14ac:dyDescent="0.25">
      <c r="A30924" t="s">
        <v>352</v>
      </c>
      <c r="B30924" s="1" t="str">
        <f>HYPERLINK("http://evidian.com","evidian.com")</f>
        <v>evidian.com</v>
      </c>
      <c r="C30924" t="s">
        <v>433</v>
      </c>
      <c r="E30924">
        <v>758317</v>
      </c>
      <c r="F30924">
        <v>1.6907575690060999E-7</v>
      </c>
      <c r="G30924">
        <v>229420</v>
      </c>
      <c r="H30924">
        <v>16910058</v>
      </c>
      <c r="I30924">
        <v>131025</v>
      </c>
      <c r="J30924">
        <v>11</v>
      </c>
    </row>
    <row r="30925" spans="1:10" x14ac:dyDescent="0.25">
      <c r="A30925" t="s">
        <v>352</v>
      </c>
      <c r="B30925" s="1" t="str">
        <f>HYPERLINK("http://evosoft.com","evosoft.com")</f>
        <v>evosoft.com</v>
      </c>
      <c r="C30925" t="s">
        <v>433</v>
      </c>
      <c r="F30925">
        <v>5.4808879109916397E-8</v>
      </c>
      <c r="G30925">
        <v>821401</v>
      </c>
      <c r="H30925">
        <v>13679582</v>
      </c>
      <c r="I30925">
        <v>9536215</v>
      </c>
      <c r="J30925">
        <v>3</v>
      </c>
    </row>
    <row r="30926" spans="1:10" x14ac:dyDescent="0.25">
      <c r="A30926" t="s">
        <v>352</v>
      </c>
      <c r="B30926" s="1" t="str">
        <f>HYPERLINK("http://fast-trackdiagnostics.com","fast-trackdiagnostics.com")</f>
        <v>fast-trackdiagnostics.com</v>
      </c>
      <c r="C30926" t="s">
        <v>433</v>
      </c>
      <c r="F30926">
        <v>2.7933600720454E-8</v>
      </c>
      <c r="G30926">
        <v>1841481</v>
      </c>
      <c r="H30926">
        <v>13873730</v>
      </c>
      <c r="I30926">
        <v>5993686</v>
      </c>
      <c r="J30926">
        <v>3</v>
      </c>
    </row>
    <row r="30927" spans="1:10" x14ac:dyDescent="0.25">
      <c r="A30927" t="s">
        <v>352</v>
      </c>
      <c r="B30927" s="1" t="str">
        <f>HYPERLINK("http://flender.com","flender.com")</f>
        <v>flender.com</v>
      </c>
      <c r="C30927" t="s">
        <v>433</v>
      </c>
      <c r="E30927">
        <v>507511</v>
      </c>
      <c r="F30927">
        <v>7.2216683638026197E-8</v>
      </c>
      <c r="G30927">
        <v>584516</v>
      </c>
      <c r="H30927">
        <v>14612919</v>
      </c>
      <c r="I30927">
        <v>675086</v>
      </c>
      <c r="J30927">
        <v>5</v>
      </c>
    </row>
    <row r="30928" spans="1:10" x14ac:dyDescent="0.25">
      <c r="A30928" t="s">
        <v>352</v>
      </c>
      <c r="B30928" s="1" t="str">
        <f>HYPERLINK("http://flender-graff.com","flender-graff.com")</f>
        <v>flender-graff.com</v>
      </c>
      <c r="C30928" t="s">
        <v>433</v>
      </c>
      <c r="F30928">
        <v>1.06790430053724E-8</v>
      </c>
      <c r="G30928">
        <v>6117653</v>
      </c>
      <c r="H30928">
        <v>14072537</v>
      </c>
      <c r="I30928">
        <v>3076567</v>
      </c>
      <c r="J30928">
        <v>6</v>
      </c>
    </row>
    <row r="30929" spans="1:10" x14ac:dyDescent="0.25">
      <c r="A30929" t="s">
        <v>352</v>
      </c>
      <c r="B30929" s="1" t="str">
        <f>HYPERLINK("http://formsys.com","formsys.com")</f>
        <v>formsys.com</v>
      </c>
      <c r="C30929" t="s">
        <v>433</v>
      </c>
      <c r="F30929">
        <v>6.6421273337170101E-9</v>
      </c>
      <c r="G30929">
        <v>13514133</v>
      </c>
      <c r="H30929">
        <v>13771179</v>
      </c>
      <c r="I30929">
        <v>6702585</v>
      </c>
      <c r="J30929">
        <v>6</v>
      </c>
    </row>
    <row r="30930" spans="1:10" x14ac:dyDescent="0.25">
      <c r="A30930" t="s">
        <v>352</v>
      </c>
      <c r="B30930" s="1" t="str">
        <f>HYPERLINK("http://fusionuv.com","fusionuv.com")</f>
        <v>fusionuv.com</v>
      </c>
      <c r="C30930" t="s">
        <v>433</v>
      </c>
      <c r="F30930">
        <v>7.75427201365771E-9</v>
      </c>
      <c r="G30930">
        <v>10458204</v>
      </c>
      <c r="H30930">
        <v>12785471</v>
      </c>
      <c r="I30930">
        <v>14714116</v>
      </c>
      <c r="J30930">
        <v>12</v>
      </c>
    </row>
    <row r="30931" spans="1:10" x14ac:dyDescent="0.25">
      <c r="A30931" t="s">
        <v>352</v>
      </c>
      <c r="B30931" s="1" t="str">
        <f>HYPERLINK("http://galloperwindfarm.com","galloperwindfarm.com")</f>
        <v>galloperwindfarm.com</v>
      </c>
      <c r="C30931" t="s">
        <v>433</v>
      </c>
      <c r="F30931">
        <v>1.8670388132623299E-8</v>
      </c>
      <c r="G30931">
        <v>2894687</v>
      </c>
      <c r="H30931">
        <v>13186077</v>
      </c>
      <c r="I30931">
        <v>11619409</v>
      </c>
      <c r="J30931">
        <v>4</v>
      </c>
    </row>
    <row r="30932" spans="1:10" x14ac:dyDescent="0.25">
      <c r="A30932" t="s">
        <v>352</v>
      </c>
      <c r="B30932" s="1" t="str">
        <f>HYPERLINK("http://gamesacorp.com","gamesacorp.com")</f>
        <v>gamesacorp.com</v>
      </c>
      <c r="C30932" t="s">
        <v>433</v>
      </c>
      <c r="E30932">
        <v>331308</v>
      </c>
      <c r="F30932">
        <v>1.06267314209805E-7</v>
      </c>
      <c r="G30932">
        <v>376797</v>
      </c>
      <c r="H30932">
        <v>14602191</v>
      </c>
      <c r="I30932">
        <v>684440</v>
      </c>
      <c r="J30932">
        <v>5</v>
      </c>
    </row>
    <row r="30933" spans="1:10" x14ac:dyDescent="0.25">
      <c r="A30933" t="s">
        <v>352</v>
      </c>
      <c r="B30933" s="1" t="str">
        <f>HYPERLINK("http://geminiwindfarm.com","geminiwindfarm.com")</f>
        <v>geminiwindfarm.com</v>
      </c>
      <c r="C30933" t="s">
        <v>433</v>
      </c>
      <c r="F30933">
        <v>5.53571160324897E-9</v>
      </c>
      <c r="G30933">
        <v>20524500</v>
      </c>
      <c r="H30933">
        <v>12257980</v>
      </c>
      <c r="I30933">
        <v>21826432</v>
      </c>
      <c r="J30933">
        <v>7</v>
      </c>
    </row>
    <row r="30934" spans="1:10" x14ac:dyDescent="0.25">
      <c r="A30934" t="s">
        <v>352</v>
      </c>
      <c r="B30934" s="1" t="str">
        <f>HYPERLINK("http://giftnow.com","giftnow.com")</f>
        <v>giftnow.com</v>
      </c>
      <c r="C30934" t="s">
        <v>433</v>
      </c>
      <c r="E30934">
        <v>320978</v>
      </c>
      <c r="F30934">
        <v>1.5431869144782699E-7</v>
      </c>
      <c r="G30934">
        <v>251685</v>
      </c>
      <c r="H30934">
        <v>13893805</v>
      </c>
      <c r="I30934">
        <v>5957896</v>
      </c>
      <c r="J30934">
        <v>13</v>
      </c>
    </row>
    <row r="30935" spans="1:10" x14ac:dyDescent="0.25">
      <c r="A30935" t="s">
        <v>352</v>
      </c>
      <c r="B30935" s="1" t="str">
        <f>HYPERLINK("http://gigaset.com","gigaset.com")</f>
        <v>gigaset.com</v>
      </c>
      <c r="C30935" t="s">
        <v>433</v>
      </c>
      <c r="E30935">
        <v>49025</v>
      </c>
      <c r="F30935">
        <v>8.8726059194494502E-7</v>
      </c>
      <c r="G30935">
        <v>45325</v>
      </c>
      <c r="H30935">
        <v>17154792</v>
      </c>
      <c r="I30935">
        <v>51198</v>
      </c>
      <c r="J30935">
        <v>3</v>
      </c>
    </row>
    <row r="30936" spans="1:10" x14ac:dyDescent="0.25">
      <c r="A30936" t="s">
        <v>352</v>
      </c>
      <c r="B30936" s="1" t="str">
        <f>HYPERLINK("http://gmcparking.com","gmcparking.com")</f>
        <v>gmcparking.com</v>
      </c>
      <c r="C30936" t="s">
        <v>433</v>
      </c>
      <c r="F30936">
        <v>2.1167132117943798E-8</v>
      </c>
      <c r="G30936">
        <v>2491906</v>
      </c>
      <c r="H30936">
        <v>13305006</v>
      </c>
      <c r="I30936">
        <v>10804739</v>
      </c>
      <c r="J30936">
        <v>6</v>
      </c>
    </row>
    <row r="30937" spans="1:10" x14ac:dyDescent="0.25">
      <c r="A30937" t="s">
        <v>352</v>
      </c>
      <c r="B30937" s="1" t="str">
        <f>HYPERLINK("http://gopay.com","gopay.com")</f>
        <v>gopay.com</v>
      </c>
      <c r="C30937" t="s">
        <v>433</v>
      </c>
      <c r="E30937">
        <v>164102</v>
      </c>
      <c r="F30937">
        <v>2.3161881492078001E-6</v>
      </c>
      <c r="G30937">
        <v>15957</v>
      </c>
      <c r="H30937">
        <v>17149504</v>
      </c>
      <c r="I30937">
        <v>52315</v>
      </c>
      <c r="J30937">
        <v>8</v>
      </c>
    </row>
    <row r="30938" spans="1:10" x14ac:dyDescent="0.25">
      <c r="A30938" t="s">
        <v>352</v>
      </c>
      <c r="B30938" s="1" t="str">
        <f>HYPERLINK("http://haraeus-kulzer-us.com","haraeus-kulzer-us.com")</f>
        <v>haraeus-kulzer-us.com</v>
      </c>
      <c r="C30938" t="s">
        <v>433</v>
      </c>
      <c r="J30938">
        <v>7</v>
      </c>
    </row>
    <row r="30939" spans="1:10" x14ac:dyDescent="0.25">
      <c r="A30939" t="s">
        <v>352</v>
      </c>
      <c r="B30939" s="1" t="str">
        <f>HYPERLINK("http://heraeus.com","heraeus.com")</f>
        <v>heraeus.com</v>
      </c>
      <c r="C30939" t="s">
        <v>433</v>
      </c>
      <c r="E30939">
        <v>79613</v>
      </c>
      <c r="F30939">
        <v>5.48846829045319E-7</v>
      </c>
      <c r="G30939">
        <v>70498</v>
      </c>
      <c r="H30939">
        <v>15304155</v>
      </c>
      <c r="I30939">
        <v>385752</v>
      </c>
      <c r="J30939">
        <v>7</v>
      </c>
    </row>
    <row r="30940" spans="1:10" x14ac:dyDescent="0.25">
      <c r="A30940" t="s">
        <v>352</v>
      </c>
      <c r="B30940" s="1" t="str">
        <f>HYPERLINK("http://heraeus-electro-nite.com","heraeus-electro-nite.com")</f>
        <v>heraeus-electro-nite.com</v>
      </c>
      <c r="C30940" t="s">
        <v>433</v>
      </c>
      <c r="F30940">
        <v>8.7133912595791996E-9</v>
      </c>
      <c r="G30940">
        <v>8454202</v>
      </c>
      <c r="H30940">
        <v>12604503</v>
      </c>
      <c r="I30940">
        <v>16281377</v>
      </c>
      <c r="J30940">
        <v>12</v>
      </c>
    </row>
    <row r="30941" spans="1:10" x14ac:dyDescent="0.25">
      <c r="A30941" t="s">
        <v>352</v>
      </c>
      <c r="B30941" s="1" t="str">
        <f>HYPERLINK("http://heraeus-inc.com","heraeus-inc.com")</f>
        <v>heraeus-inc.com</v>
      </c>
      <c r="C30941" t="s">
        <v>433</v>
      </c>
      <c r="J30941">
        <v>12</v>
      </c>
    </row>
    <row r="30942" spans="1:10" x14ac:dyDescent="0.25">
      <c r="A30942" t="s">
        <v>352</v>
      </c>
      <c r="B30942" s="1" t="str">
        <f>HYPERLINK("http://heraeus-noblelight.com","heraeus-noblelight.com")</f>
        <v>heraeus-noblelight.com</v>
      </c>
      <c r="C30942" t="s">
        <v>433</v>
      </c>
      <c r="F30942">
        <v>2.06104080512999E-8</v>
      </c>
      <c r="G30942">
        <v>2569120</v>
      </c>
      <c r="H30942">
        <v>14079276</v>
      </c>
      <c r="I30942">
        <v>2834797</v>
      </c>
      <c r="J30942">
        <v>11</v>
      </c>
    </row>
    <row r="30943" spans="1:10" x14ac:dyDescent="0.25">
      <c r="A30943" t="s">
        <v>352</v>
      </c>
      <c r="B30943" s="1" t="str">
        <f>HYPERLINK("http://heraeus-pvsilverpaste.com","heraeus-pvsilverpaste.com")</f>
        <v>heraeus-pvsilverpaste.com</v>
      </c>
      <c r="C30943" t="s">
        <v>433</v>
      </c>
      <c r="F30943">
        <v>5.1348619638543703E-9</v>
      </c>
      <c r="G30943">
        <v>26364419</v>
      </c>
      <c r="H30943">
        <v>10960326</v>
      </c>
      <c r="I30943">
        <v>34346658</v>
      </c>
      <c r="J30943">
        <v>12</v>
      </c>
    </row>
    <row r="30944" spans="1:10" x14ac:dyDescent="0.25">
      <c r="A30944" t="s">
        <v>352</v>
      </c>
      <c r="B30944" s="1" t="str">
        <f>HYPERLINK("http://heraeus-tenevo.com","heraeus-tenevo.com")</f>
        <v>heraeus-tenevo.com</v>
      </c>
      <c r="C30944" t="s">
        <v>433</v>
      </c>
      <c r="J30944">
        <v>12</v>
      </c>
    </row>
    <row r="30945" spans="1:10" x14ac:dyDescent="0.25">
      <c r="A30945" t="s">
        <v>352</v>
      </c>
      <c r="B30945" s="1" t="str">
        <f>HYPERLINK("http://heraeus-trading.com","heraeus-trading.com")</f>
        <v>heraeus-trading.com</v>
      </c>
      <c r="C30945" t="s">
        <v>433</v>
      </c>
      <c r="F30945">
        <v>9.3971589858215394E-9</v>
      </c>
      <c r="G30945">
        <v>7447920</v>
      </c>
      <c r="H30945">
        <v>12274285</v>
      </c>
      <c r="I30945">
        <v>21432647</v>
      </c>
      <c r="J30945">
        <v>10</v>
      </c>
    </row>
    <row r="30946" spans="1:10" x14ac:dyDescent="0.25">
      <c r="A30946" t="s">
        <v>352</v>
      </c>
      <c r="B30946" s="1" t="str">
        <f>HYPERLINK("http://humediq.com","humediq.com")</f>
        <v>humediq.com</v>
      </c>
      <c r="C30946" t="s">
        <v>433</v>
      </c>
      <c r="F30946">
        <v>5.8196368827371404E-9</v>
      </c>
      <c r="G30946">
        <v>17940429</v>
      </c>
      <c r="H30946">
        <v>12658568</v>
      </c>
      <c r="I30946">
        <v>15748678</v>
      </c>
      <c r="J30946">
        <v>5</v>
      </c>
    </row>
    <row r="30947" spans="1:10" x14ac:dyDescent="0.25">
      <c r="A30947" t="s">
        <v>352</v>
      </c>
      <c r="B30947" s="1" t="str">
        <f>HYPERLINK("http://ingenico.com","ingenico.com")</f>
        <v>ingenico.com</v>
      </c>
      <c r="C30947" t="s">
        <v>433</v>
      </c>
      <c r="E30947">
        <v>20476</v>
      </c>
      <c r="F30947">
        <v>1.3670174710828201E-6</v>
      </c>
      <c r="G30947">
        <v>28482</v>
      </c>
      <c r="H30947">
        <v>17376634</v>
      </c>
      <c r="I30947">
        <v>20931</v>
      </c>
      <c r="J30947">
        <v>8</v>
      </c>
    </row>
    <row r="30948" spans="1:10" x14ac:dyDescent="0.25">
      <c r="A30948" t="s">
        <v>352</v>
      </c>
      <c r="B30948" s="1" t="str">
        <f>HYPERLINK("http://inspecttech.com","inspecttech.com")</f>
        <v>inspecttech.com</v>
      </c>
      <c r="C30948" t="s">
        <v>433</v>
      </c>
      <c r="F30948">
        <v>4.4441197890386898E-9</v>
      </c>
      <c r="G30948">
        <v>77485400</v>
      </c>
      <c r="H30948">
        <v>10775106</v>
      </c>
      <c r="I30948">
        <v>39072285</v>
      </c>
      <c r="J30948">
        <v>6</v>
      </c>
    </row>
    <row r="30949" spans="1:10" x14ac:dyDescent="0.25">
      <c r="A30949" t="s">
        <v>352</v>
      </c>
      <c r="B30949" s="1" t="str">
        <f>HYPERLINK("http://iscosa-ksa.com","iscosa-ksa.com")</f>
        <v>iscosa-ksa.com</v>
      </c>
      <c r="C30949" t="s">
        <v>433</v>
      </c>
      <c r="F30949">
        <v>4.5095543940372303E-9</v>
      </c>
      <c r="G30949">
        <v>57559945</v>
      </c>
      <c r="H30949">
        <v>12054781</v>
      </c>
      <c r="I30949">
        <v>27121753</v>
      </c>
      <c r="J30949">
        <v>6</v>
      </c>
    </row>
    <row r="30950" spans="1:10" x14ac:dyDescent="0.25">
      <c r="A30950" t="s">
        <v>352</v>
      </c>
      <c r="B30950" s="1" t="str">
        <f>HYPERLINK("http://ith-icoserve.com","ith-icoserve.com")</f>
        <v>ith-icoserve.com</v>
      </c>
      <c r="C30950" t="s">
        <v>433</v>
      </c>
      <c r="F30950">
        <v>8.7576445357221593E-9</v>
      </c>
      <c r="G30950">
        <v>8379794</v>
      </c>
      <c r="H30950">
        <v>12329171</v>
      </c>
      <c r="I30950">
        <v>20223398</v>
      </c>
      <c r="J30950">
        <v>4</v>
      </c>
    </row>
    <row r="30951" spans="1:10" x14ac:dyDescent="0.25">
      <c r="A30951" t="s">
        <v>352</v>
      </c>
      <c r="B30951" s="1" t="str">
        <f>HYPERLINK("http://j2inn.com","j2inn.com")</f>
        <v>j2inn.com</v>
      </c>
      <c r="C30951" t="s">
        <v>433</v>
      </c>
      <c r="F30951">
        <v>6.7970118074840202E-8</v>
      </c>
      <c r="G30951">
        <v>628010</v>
      </c>
      <c r="H30951">
        <v>16773943</v>
      </c>
      <c r="I30951">
        <v>220156</v>
      </c>
      <c r="J30951">
        <v>4</v>
      </c>
    </row>
    <row r="30952" spans="1:10" x14ac:dyDescent="0.25">
      <c r="A30952" t="s">
        <v>352</v>
      </c>
      <c r="B30952" s="1" t="str">
        <f>HYPERLINK("http://kaco.com","kaco.com")</f>
        <v>kaco.com</v>
      </c>
      <c r="C30952" t="s">
        <v>433</v>
      </c>
      <c r="F30952">
        <v>5.1411451815089096E-9</v>
      </c>
      <c r="G30952">
        <v>26245215</v>
      </c>
      <c r="H30952">
        <v>10541411</v>
      </c>
      <c r="I30952">
        <v>47198053</v>
      </c>
      <c r="J30952">
        <v>9</v>
      </c>
    </row>
    <row r="30953" spans="1:10" x14ac:dyDescent="0.25">
      <c r="A30953" t="s">
        <v>352</v>
      </c>
      <c r="B30953" s="1" t="str">
        <f>HYPERLINK("http://kaco-newenergy.com","kaco-newenergy.com")</f>
        <v>kaco-newenergy.com</v>
      </c>
      <c r="C30953" t="s">
        <v>433</v>
      </c>
      <c r="E30953">
        <v>668305</v>
      </c>
      <c r="F30953">
        <v>1.8971495188922099E-7</v>
      </c>
      <c r="G30953">
        <v>203108</v>
      </c>
      <c r="H30953">
        <v>16956052</v>
      </c>
      <c r="I30953">
        <v>106617</v>
      </c>
      <c r="J30953">
        <v>6</v>
      </c>
    </row>
    <row r="30954" spans="1:10" x14ac:dyDescent="0.25">
      <c r="A30954" t="s">
        <v>352</v>
      </c>
      <c r="B30954" s="1" t="str">
        <f>HYPERLINK("http://loopcommerce.com","loopcommerce.com")</f>
        <v>loopcommerce.com</v>
      </c>
      <c r="C30954" t="s">
        <v>433</v>
      </c>
      <c r="F30954">
        <v>3.3852113240781401E-8</v>
      </c>
      <c r="G30954">
        <v>1528814</v>
      </c>
      <c r="H30954">
        <v>13593822</v>
      </c>
      <c r="I30954">
        <v>9660658</v>
      </c>
      <c r="J30954">
        <v>10</v>
      </c>
    </row>
    <row r="30955" spans="1:10" x14ac:dyDescent="0.25">
      <c r="A30955" t="s">
        <v>352</v>
      </c>
      <c r="B30955" s="1" t="str">
        <f>HYPERLINK("http://marineturbines.com","marineturbines.com")</f>
        <v>marineturbines.com</v>
      </c>
      <c r="C30955" t="s">
        <v>433</v>
      </c>
      <c r="F30955">
        <v>2.65579254673383E-8</v>
      </c>
      <c r="G30955">
        <v>1938424</v>
      </c>
      <c r="H30955">
        <v>14277306</v>
      </c>
      <c r="I30955">
        <v>1387963</v>
      </c>
      <c r="J30955">
        <v>3</v>
      </c>
    </row>
    <row r="30956" spans="1:10" x14ac:dyDescent="0.25">
      <c r="A30956" t="s">
        <v>352</v>
      </c>
      <c r="B30956" s="1" t="str">
        <f>HYPERLINK("http://mendix.com","mendix.com")</f>
        <v>mendix.com</v>
      </c>
      <c r="C30956" t="s">
        <v>433</v>
      </c>
      <c r="E30956">
        <v>12422</v>
      </c>
      <c r="F30956">
        <v>1.0520734511532799E-6</v>
      </c>
      <c r="G30956">
        <v>36464</v>
      </c>
      <c r="H30956">
        <v>17384348</v>
      </c>
      <c r="I30956">
        <v>20330</v>
      </c>
      <c r="J30956">
        <v>5</v>
      </c>
    </row>
    <row r="30957" spans="1:10" x14ac:dyDescent="0.25">
      <c r="A30957" t="s">
        <v>352</v>
      </c>
      <c r="B30957" s="1" t="str">
        <f>HYPERLINK("http://mentor.com","mentor.com")</f>
        <v>mentor.com</v>
      </c>
      <c r="C30957" t="s">
        <v>433</v>
      </c>
      <c r="E30957">
        <v>54069</v>
      </c>
      <c r="F30957">
        <v>1.1387236977664899E-6</v>
      </c>
      <c r="G30957">
        <v>33947</v>
      </c>
      <c r="H30957">
        <v>15551616</v>
      </c>
      <c r="I30957">
        <v>373675</v>
      </c>
      <c r="J30957">
        <v>4</v>
      </c>
    </row>
    <row r="30958" spans="1:10" x14ac:dyDescent="0.25">
      <c r="A30958" t="s">
        <v>352</v>
      </c>
      <c r="B30958" s="1" t="str">
        <f>HYPERLINK("http://mrlposnet.com","mrlposnet.com")</f>
        <v>mrlposnet.com</v>
      </c>
      <c r="C30958" t="s">
        <v>433</v>
      </c>
      <c r="F30958">
        <v>4.4451089637145804E-9</v>
      </c>
      <c r="G30958">
        <v>75647900</v>
      </c>
      <c r="H30958">
        <v>10660501</v>
      </c>
      <c r="I30958">
        <v>43412466</v>
      </c>
      <c r="J30958">
        <v>8</v>
      </c>
    </row>
    <row r="30959" spans="1:10" x14ac:dyDescent="0.25">
      <c r="A30959" t="s">
        <v>352</v>
      </c>
      <c r="B30959" s="1" t="str">
        <f>HYPERLINK("http://nem-energy.com","nem-energy.com")</f>
        <v>nem-energy.com</v>
      </c>
      <c r="C30959" t="s">
        <v>433</v>
      </c>
      <c r="F30959">
        <v>5.0274789511047599E-9</v>
      </c>
      <c r="G30959">
        <v>28727031</v>
      </c>
      <c r="H30959">
        <v>10773865</v>
      </c>
      <c r="I30959">
        <v>39109585</v>
      </c>
      <c r="J30959">
        <v>9</v>
      </c>
    </row>
    <row r="30960" spans="1:10" x14ac:dyDescent="0.25">
      <c r="A30960" t="s">
        <v>352</v>
      </c>
      <c r="B30960" s="1" t="str">
        <f>HYPERLINK("http://nem-group.com","nem-group.com")</f>
        <v>nem-group.com</v>
      </c>
      <c r="C30960" t="s">
        <v>433</v>
      </c>
      <c r="F30960">
        <v>1.3455859496107299E-8</v>
      </c>
      <c r="G30960">
        <v>4424120</v>
      </c>
      <c r="H30960">
        <v>12564800</v>
      </c>
      <c r="I30960">
        <v>16667831</v>
      </c>
      <c r="J30960">
        <v>6</v>
      </c>
    </row>
    <row r="30961" spans="1:10" x14ac:dyDescent="0.25">
      <c r="A30961" t="s">
        <v>352</v>
      </c>
      <c r="B30961" s="1" t="str">
        <f>HYPERLINK("http://next47.com","next47.com")</f>
        <v>next47.com</v>
      </c>
      <c r="C30961" t="s">
        <v>433</v>
      </c>
      <c r="F30961">
        <v>6.0852506367031106E-8</v>
      </c>
      <c r="G30961">
        <v>724182</v>
      </c>
      <c r="H30961">
        <v>13741773</v>
      </c>
      <c r="I30961">
        <v>9427889</v>
      </c>
      <c r="J30961">
        <v>4</v>
      </c>
    </row>
    <row r="30962" spans="1:10" x14ac:dyDescent="0.25">
      <c r="A30962" t="s">
        <v>352</v>
      </c>
      <c r="B30962" s="1" t="str">
        <f>HYPERLINK("http://nordseeone.com","nordseeone.com")</f>
        <v>nordseeone.com</v>
      </c>
      <c r="C30962" t="s">
        <v>433</v>
      </c>
      <c r="F30962">
        <v>1.9120375112664999E-8</v>
      </c>
      <c r="G30962">
        <v>2812497</v>
      </c>
      <c r="H30962">
        <v>14567544</v>
      </c>
      <c r="I30962">
        <v>738341</v>
      </c>
      <c r="J30962">
        <v>9</v>
      </c>
    </row>
    <row r="30963" spans="1:10" x14ac:dyDescent="0.25">
      <c r="A30963" t="s">
        <v>352</v>
      </c>
      <c r="B30963" s="1" t="str">
        <f>HYPERLINK("http://northlandpower.com","northlandpower.com")</f>
        <v>northlandpower.com</v>
      </c>
      <c r="C30963" t="s">
        <v>433</v>
      </c>
      <c r="E30963">
        <v>773448</v>
      </c>
      <c r="F30963">
        <v>1.1983408922977499E-7</v>
      </c>
      <c r="G30963">
        <v>329915</v>
      </c>
      <c r="H30963">
        <v>13931316</v>
      </c>
      <c r="I30963">
        <v>5928635</v>
      </c>
      <c r="J30963">
        <v>6</v>
      </c>
    </row>
    <row r="30964" spans="1:10" x14ac:dyDescent="0.25">
      <c r="A30964" t="s">
        <v>352</v>
      </c>
      <c r="B30964" s="1" t="str">
        <f>HYPERLINK("http://oez.com","oez.com")</f>
        <v>oez.com</v>
      </c>
      <c r="C30964" t="s">
        <v>433</v>
      </c>
      <c r="F30964">
        <v>2.4728478237594699E-8</v>
      </c>
      <c r="G30964">
        <v>2091811</v>
      </c>
      <c r="H30964">
        <v>11180479</v>
      </c>
      <c r="I30964">
        <v>31430439</v>
      </c>
      <c r="J30964">
        <v>4</v>
      </c>
    </row>
    <row r="30965" spans="1:10" x14ac:dyDescent="0.25">
      <c r="A30965" t="s">
        <v>352</v>
      </c>
      <c r="B30965" s="1" t="str">
        <f>HYPERLINK("http://ogone.com","ogone.com")</f>
        <v>ogone.com</v>
      </c>
      <c r="C30965" t="s">
        <v>433</v>
      </c>
      <c r="E30965">
        <v>28751</v>
      </c>
      <c r="F30965">
        <v>2.3138115893634401E-7</v>
      </c>
      <c r="G30965">
        <v>162309</v>
      </c>
      <c r="H30965">
        <v>14323096</v>
      </c>
      <c r="I30965">
        <v>1329357</v>
      </c>
      <c r="J30965">
        <v>10</v>
      </c>
    </row>
    <row r="30966" spans="1:10" x14ac:dyDescent="0.25">
      <c r="A30966" t="s">
        <v>352</v>
      </c>
      <c r="B30966" s="1" t="str">
        <f>HYPERLINK("http://omnetric.com","omnetric.com")</f>
        <v>omnetric.com</v>
      </c>
      <c r="C30966" t="s">
        <v>433</v>
      </c>
      <c r="F30966">
        <v>9.2598865806488393E-9</v>
      </c>
      <c r="G30966">
        <v>7625403</v>
      </c>
      <c r="H30966">
        <v>12740278</v>
      </c>
      <c r="I30966">
        <v>15132801</v>
      </c>
      <c r="J30966">
        <v>4</v>
      </c>
    </row>
    <row r="30967" spans="1:10" x14ac:dyDescent="0.25">
      <c r="A30967" t="s">
        <v>352</v>
      </c>
      <c r="B30967" s="1" t="str">
        <f>HYPERLINK("http://omnetricgroup.com","omnetricgroup.com")</f>
        <v>omnetricgroup.com</v>
      </c>
      <c r="C30967" t="s">
        <v>433</v>
      </c>
      <c r="F30967">
        <v>1.26700536300655E-8</v>
      </c>
      <c r="G30967">
        <v>4794569</v>
      </c>
      <c r="H30967">
        <v>13074671</v>
      </c>
      <c r="I30967">
        <v>12219583</v>
      </c>
      <c r="J30967">
        <v>4</v>
      </c>
    </row>
    <row r="30968" spans="1:10" x14ac:dyDescent="0.25">
      <c r="A30968" t="s">
        <v>352</v>
      </c>
      <c r="B30968" s="1" t="str">
        <f>HYPERLINK("http://pacifichydro.com","pacifichydro.com")</f>
        <v>pacifichydro.com</v>
      </c>
      <c r="C30968" t="s">
        <v>433</v>
      </c>
      <c r="F30968">
        <v>2.2648672268033602E-8</v>
      </c>
      <c r="G30968">
        <v>2312244</v>
      </c>
      <c r="H30968">
        <v>13934331</v>
      </c>
      <c r="I30968">
        <v>4607085</v>
      </c>
      <c r="J30968">
        <v>10</v>
      </c>
    </row>
    <row r="30969" spans="1:10" x14ac:dyDescent="0.25">
      <c r="A30969" t="s">
        <v>352</v>
      </c>
      <c r="B30969" s="1" t="str">
        <f>HYPERLINK("http://petnetsolutions.com","petnetsolutions.com")</f>
        <v>petnetsolutions.com</v>
      </c>
      <c r="C30969" t="s">
        <v>433</v>
      </c>
      <c r="F30969">
        <v>6.3766174644015497E-9</v>
      </c>
      <c r="G30969">
        <v>14633522</v>
      </c>
      <c r="H30969">
        <v>13080959</v>
      </c>
      <c r="I30969">
        <v>12184342</v>
      </c>
      <c r="J30969">
        <v>3</v>
      </c>
    </row>
    <row r="30970" spans="1:10" x14ac:dyDescent="0.25">
      <c r="A30970" t="s">
        <v>352</v>
      </c>
      <c r="B30970" s="1" t="str">
        <f>HYPERLINK("http://playstub.com","playstub.com")</f>
        <v>playstub.com</v>
      </c>
      <c r="C30970" t="s">
        <v>433</v>
      </c>
      <c r="J30970">
        <v>8</v>
      </c>
    </row>
    <row r="30971" spans="1:10" x14ac:dyDescent="0.25">
      <c r="A30971" t="s">
        <v>352</v>
      </c>
      <c r="B30971" s="1" t="str">
        <f>HYPERLINK("http://polarion.com","polarion.com")</f>
        <v>polarion.com</v>
      </c>
      <c r="C30971" t="s">
        <v>433</v>
      </c>
      <c r="E30971">
        <v>284114</v>
      </c>
      <c r="F30971">
        <v>1.2468282525068999E-7</v>
      </c>
      <c r="G30971">
        <v>316486</v>
      </c>
      <c r="H30971">
        <v>14323208</v>
      </c>
      <c r="I30971">
        <v>1329241</v>
      </c>
      <c r="J30971">
        <v>4</v>
      </c>
    </row>
    <row r="30972" spans="1:10" x14ac:dyDescent="0.25">
      <c r="A30972" t="s">
        <v>352</v>
      </c>
      <c r="B30972" s="1" t="str">
        <f>HYPERLINK("http://polydyne.com","polydyne.com")</f>
        <v>polydyne.com</v>
      </c>
      <c r="C30972" t="s">
        <v>433</v>
      </c>
      <c r="E30972">
        <v>41091</v>
      </c>
      <c r="F30972">
        <v>9.5757656290389006E-9</v>
      </c>
      <c r="G30972">
        <v>7232791</v>
      </c>
      <c r="H30972">
        <v>13177474</v>
      </c>
      <c r="I30972">
        <v>11692407</v>
      </c>
      <c r="J30972">
        <v>3</v>
      </c>
    </row>
    <row r="30973" spans="1:10" x14ac:dyDescent="0.25">
      <c r="A30973" t="s">
        <v>352</v>
      </c>
      <c r="B30973" s="1" t="str">
        <f>HYPERLINK("http://preactor.com","preactor.com")</f>
        <v>preactor.com</v>
      </c>
      <c r="C30973" t="s">
        <v>433</v>
      </c>
      <c r="F30973">
        <v>2.62920002411232E-8</v>
      </c>
      <c r="G30973">
        <v>1958591</v>
      </c>
      <c r="H30973">
        <v>13816487</v>
      </c>
      <c r="I30973">
        <v>6161863</v>
      </c>
      <c r="J30973">
        <v>4</v>
      </c>
    </row>
    <row r="30974" spans="1:10" x14ac:dyDescent="0.25">
      <c r="A30974" t="s">
        <v>352</v>
      </c>
      <c r="B30974" s="1" t="str">
        <f>HYPERLINK("http://psenterprise.com","psenterprise.com")</f>
        <v>psenterprise.com</v>
      </c>
      <c r="C30974" t="s">
        <v>433</v>
      </c>
      <c r="F30974">
        <v>4.9651171930201799E-8</v>
      </c>
      <c r="G30974">
        <v>930078</v>
      </c>
      <c r="H30974">
        <v>14330155</v>
      </c>
      <c r="I30974">
        <v>1323401</v>
      </c>
      <c r="J30974">
        <v>5</v>
      </c>
    </row>
    <row r="30975" spans="1:10" x14ac:dyDescent="0.25">
      <c r="A30975" t="s">
        <v>352</v>
      </c>
      <c r="B30975" s="1" t="str">
        <f>HYPERLINK("http://pyxistech.com","pyxistech.com")</f>
        <v>pyxistech.com</v>
      </c>
      <c r="C30975" t="s">
        <v>433</v>
      </c>
      <c r="F30975">
        <v>5.4207169687994299E-9</v>
      </c>
      <c r="G30975">
        <v>21853008</v>
      </c>
      <c r="H30975">
        <v>12363089</v>
      </c>
      <c r="I30975">
        <v>19529552</v>
      </c>
      <c r="J30975">
        <v>7</v>
      </c>
    </row>
    <row r="30976" spans="1:10" x14ac:dyDescent="0.25">
      <c r="A30976" t="s">
        <v>352</v>
      </c>
      <c r="B30976" s="1" t="str">
        <f>HYPERLINK("http://redspottedhanky.com","redspottedhanky.com")</f>
        <v>redspottedhanky.com</v>
      </c>
      <c r="C30976" t="s">
        <v>433</v>
      </c>
      <c r="F30976">
        <v>3.85138085377149E-8</v>
      </c>
      <c r="G30976">
        <v>1339135</v>
      </c>
      <c r="H30976">
        <v>14383400</v>
      </c>
      <c r="I30976">
        <v>1185932</v>
      </c>
      <c r="J30976">
        <v>7</v>
      </c>
    </row>
    <row r="30977" spans="1:10" x14ac:dyDescent="0.25">
      <c r="A30977" t="s">
        <v>352</v>
      </c>
      <c r="B30977" s="1" t="str">
        <f>HYPERLINK("http://samacsys.com","samacsys.com")</f>
        <v>samacsys.com</v>
      </c>
      <c r="C30977" t="s">
        <v>433</v>
      </c>
      <c r="F30977">
        <v>4.2877119809368498E-8</v>
      </c>
      <c r="G30977">
        <v>1123725</v>
      </c>
      <c r="H30977">
        <v>14100507</v>
      </c>
      <c r="I30977">
        <v>2705479</v>
      </c>
      <c r="J30977">
        <v>6</v>
      </c>
    </row>
    <row r="30978" spans="1:10" x14ac:dyDescent="0.25">
      <c r="A30978" t="s">
        <v>352</v>
      </c>
      <c r="B30978" s="1" t="str">
        <f>HYPERLINK("http://samtech.com","samtech.com")</f>
        <v>samtech.com</v>
      </c>
      <c r="C30978" t="s">
        <v>433</v>
      </c>
      <c r="F30978">
        <v>6.91459216174549E-9</v>
      </c>
      <c r="G30978">
        <v>12575352</v>
      </c>
      <c r="H30978">
        <v>12256077</v>
      </c>
      <c r="I30978">
        <v>21868009</v>
      </c>
      <c r="J30978">
        <v>4</v>
      </c>
    </row>
    <row r="30979" spans="1:10" x14ac:dyDescent="0.25">
      <c r="A30979" t="s">
        <v>352</v>
      </c>
      <c r="B30979" s="1" t="str">
        <f>HYPERLINK("http://service-carte-achat.com","service-carte-achat.com")</f>
        <v>service-carte-achat.com</v>
      </c>
      <c r="C30979" t="s">
        <v>433</v>
      </c>
      <c r="F30979">
        <v>4.7741913104253097E-9</v>
      </c>
      <c r="G30979">
        <v>37199007</v>
      </c>
      <c r="H30979">
        <v>8404516</v>
      </c>
      <c r="I30979">
        <v>73212365</v>
      </c>
      <c r="J30979">
        <v>8</v>
      </c>
    </row>
    <row r="30980" spans="1:10" x14ac:dyDescent="0.25">
      <c r="A30980" t="s">
        <v>352</v>
      </c>
      <c r="B30980" s="1" t="str">
        <f>HYPERLINK("http://sgt-sgcmp.com","sgt-sgcmp.com")</f>
        <v>sgt-sgcmp.com</v>
      </c>
      <c r="C30980" t="s">
        <v>433</v>
      </c>
      <c r="J30980">
        <v>4</v>
      </c>
    </row>
    <row r="30981" spans="1:10" x14ac:dyDescent="0.25">
      <c r="A30981" t="s">
        <v>352</v>
      </c>
      <c r="B30981" s="1" t="str">
        <f>HYPERLINK("http://sgtextranet.com","sgtextranet.com")</f>
        <v>sgtextranet.com</v>
      </c>
      <c r="C30981" t="s">
        <v>433</v>
      </c>
      <c r="J30981">
        <v>4</v>
      </c>
    </row>
    <row r="30982" spans="1:10" x14ac:dyDescent="0.25">
      <c r="A30982" t="s">
        <v>352</v>
      </c>
      <c r="B30982" s="1" t="str">
        <f>HYPERLINK("http://shanghaipower.com","shanghaipower.com")</f>
        <v>shanghaipower.com</v>
      </c>
      <c r="C30982" t="s">
        <v>433</v>
      </c>
      <c r="F30982">
        <v>4.3412397556988302E-8</v>
      </c>
      <c r="G30982">
        <v>1102693</v>
      </c>
      <c r="H30982">
        <v>13808394</v>
      </c>
      <c r="I30982">
        <v>6222166</v>
      </c>
      <c r="J30982">
        <v>5</v>
      </c>
    </row>
    <row r="30983" spans="1:10" x14ac:dyDescent="0.25">
      <c r="A30983" t="s">
        <v>352</v>
      </c>
      <c r="B30983" s="1" t="str">
        <f>HYPERLINK("http://siemens.com","siemens.com")</f>
        <v>siemens.com</v>
      </c>
      <c r="C30983" t="s">
        <v>433</v>
      </c>
      <c r="E30983">
        <v>1158</v>
      </c>
      <c r="F30983">
        <v>1.52658300529513E-5</v>
      </c>
      <c r="G30983">
        <v>2339</v>
      </c>
      <c r="H30983">
        <v>18431554</v>
      </c>
      <c r="I30983">
        <v>1858</v>
      </c>
      <c r="J30983">
        <v>1</v>
      </c>
    </row>
    <row r="30984" spans="1:10" x14ac:dyDescent="0.25">
      <c r="A30984" t="s">
        <v>352</v>
      </c>
      <c r="B30984" s="1" t="str">
        <f>HYPERLINK("http://siemens-energy.com","siemens-energy.com")</f>
        <v>siemens-energy.com</v>
      </c>
      <c r="C30984" t="s">
        <v>433</v>
      </c>
      <c r="E30984">
        <v>51307</v>
      </c>
      <c r="F30984">
        <v>8.0190263096546796E-7</v>
      </c>
      <c r="G30984">
        <v>49138</v>
      </c>
      <c r="H30984">
        <v>17293776</v>
      </c>
      <c r="I30984">
        <v>28582</v>
      </c>
      <c r="J30984">
        <v>3</v>
      </c>
    </row>
    <row r="30985" spans="1:10" x14ac:dyDescent="0.25">
      <c r="A30985" t="s">
        <v>352</v>
      </c>
      <c r="B30985" s="1" t="str">
        <f>HYPERLINK("http://siemens-healthineers.com","siemens-healthineers.com")</f>
        <v>siemens-healthineers.com</v>
      </c>
      <c r="C30985" t="s">
        <v>433</v>
      </c>
      <c r="E30985">
        <v>29743</v>
      </c>
      <c r="F30985">
        <v>1.4920533958760001E-6</v>
      </c>
      <c r="G30985">
        <v>26272</v>
      </c>
      <c r="H30985">
        <v>17261248</v>
      </c>
      <c r="I30985">
        <v>32481</v>
      </c>
      <c r="J30985">
        <v>2</v>
      </c>
    </row>
    <row r="30986" spans="1:10" x14ac:dyDescent="0.25">
      <c r="A30986" t="s">
        <v>352</v>
      </c>
      <c r="B30986" s="1" t="str">
        <f>HYPERLINK("http://siemens-vai.com","siemens-vai.com")</f>
        <v>siemens-vai.com</v>
      </c>
      <c r="C30986" t="s">
        <v>433</v>
      </c>
      <c r="F30986">
        <v>5.9032260862546001E-9</v>
      </c>
      <c r="G30986">
        <v>17337510</v>
      </c>
      <c r="H30986">
        <v>12282681</v>
      </c>
      <c r="I30986">
        <v>21255026</v>
      </c>
      <c r="J30986">
        <v>3</v>
      </c>
    </row>
    <row r="30987" spans="1:10" x14ac:dyDescent="0.25">
      <c r="A30987" t="s">
        <v>352</v>
      </c>
      <c r="B30987" s="1" t="str">
        <f>HYPERLINK("http://siemensgamesa.com","siemensgamesa.com")</f>
        <v>siemensgamesa.com</v>
      </c>
      <c r="C30987" t="s">
        <v>433</v>
      </c>
      <c r="E30987">
        <v>60325</v>
      </c>
      <c r="F30987">
        <v>5.8032117201366901E-7</v>
      </c>
      <c r="G30987">
        <v>65821</v>
      </c>
      <c r="H30987">
        <v>15233124</v>
      </c>
      <c r="I30987">
        <v>391970</v>
      </c>
      <c r="J30987">
        <v>5</v>
      </c>
    </row>
    <row r="30988" spans="1:10" x14ac:dyDescent="0.25">
      <c r="A30988" t="s">
        <v>352</v>
      </c>
      <c r="B30988" s="1" t="str">
        <f>HYPERLINK("http://siemensgovt.com","siemensgovt.com")</f>
        <v>siemensgovt.com</v>
      </c>
      <c r="C30988" t="s">
        <v>433</v>
      </c>
      <c r="F30988">
        <v>2.6323472501604499E-8</v>
      </c>
      <c r="G30988">
        <v>1956185</v>
      </c>
      <c r="H30988">
        <v>13401336</v>
      </c>
      <c r="I30988">
        <v>10365494</v>
      </c>
      <c r="J30988">
        <v>4</v>
      </c>
    </row>
    <row r="30989" spans="1:10" x14ac:dyDescent="0.25">
      <c r="A30989" t="s">
        <v>352</v>
      </c>
      <c r="B30989" s="1" t="str">
        <f>HYPERLINK("http://sips-atos.com","sips-atos.com")</f>
        <v>sips-atos.com</v>
      </c>
      <c r="C30989" t="s">
        <v>433</v>
      </c>
      <c r="F30989">
        <v>1.28905302901202E-8</v>
      </c>
      <c r="G30989">
        <v>4683910</v>
      </c>
      <c r="H30989">
        <v>13941392</v>
      </c>
      <c r="I30989">
        <v>4348407</v>
      </c>
      <c r="J30989">
        <v>8</v>
      </c>
    </row>
    <row r="30990" spans="1:10" x14ac:dyDescent="0.25">
      <c r="A30990" t="s">
        <v>352</v>
      </c>
      <c r="B30990" s="1" t="str">
        <f>HYPERLINK("http://starrview.com","starrview.com")</f>
        <v>starrview.com</v>
      </c>
      <c r="C30990" t="s">
        <v>433</v>
      </c>
      <c r="F30990">
        <v>7.8355639733009307E-9</v>
      </c>
      <c r="G30990">
        <v>10244181</v>
      </c>
      <c r="H30990">
        <v>12327950</v>
      </c>
      <c r="I30990">
        <v>20248283</v>
      </c>
      <c r="J30990">
        <v>11</v>
      </c>
    </row>
    <row r="30991" spans="1:10" x14ac:dyDescent="0.25">
      <c r="A30991" t="s">
        <v>352</v>
      </c>
      <c r="B30991" s="1" t="str">
        <f>HYPERLINK("http://supplyframe.com","supplyframe.com")</f>
        <v>supplyframe.com</v>
      </c>
      <c r="C30991" t="s">
        <v>433</v>
      </c>
      <c r="E30991">
        <v>54880</v>
      </c>
      <c r="F30991">
        <v>3.6771245326541699E-7</v>
      </c>
      <c r="G30991">
        <v>101787</v>
      </c>
      <c r="H30991">
        <v>14653259</v>
      </c>
      <c r="I30991">
        <v>625395</v>
      </c>
      <c r="J30991">
        <v>4</v>
      </c>
    </row>
    <row r="30992" spans="1:10" x14ac:dyDescent="0.25">
      <c r="A30992" t="s">
        <v>352</v>
      </c>
      <c r="B30992" s="1" t="str">
        <f>HYPERLINK("http://supplyfx.com","supplyfx.com")</f>
        <v>supplyfx.com</v>
      </c>
      <c r="C30992" t="s">
        <v>433</v>
      </c>
      <c r="E30992">
        <v>446716</v>
      </c>
      <c r="F30992">
        <v>1.3092767794156599E-7</v>
      </c>
      <c r="G30992">
        <v>298799</v>
      </c>
      <c r="H30992">
        <v>14029705</v>
      </c>
      <c r="I30992">
        <v>3968673</v>
      </c>
      <c r="J30992">
        <v>7</v>
      </c>
    </row>
    <row r="30993" spans="1:10" x14ac:dyDescent="0.25">
      <c r="A30993" t="s">
        <v>352</v>
      </c>
      <c r="B30993" s="1" t="str">
        <f>HYPERLINK("http://syf.com","syf.com")</f>
        <v>syf.com</v>
      </c>
      <c r="C30993" t="s">
        <v>433</v>
      </c>
      <c r="E30993">
        <v>4201</v>
      </c>
      <c r="F30993">
        <v>1.5032111555127601E-6</v>
      </c>
      <c r="G30993">
        <v>26084</v>
      </c>
      <c r="H30993">
        <v>16993726</v>
      </c>
      <c r="I30993">
        <v>95026</v>
      </c>
      <c r="J30993">
        <v>7</v>
      </c>
    </row>
    <row r="30994" spans="1:10" x14ac:dyDescent="0.25">
      <c r="A30994" t="s">
        <v>352</v>
      </c>
      <c r="B30994" s="1" t="str">
        <f>HYPERLINK("http://sygea.com","sygea.com")</f>
        <v>sygea.com</v>
      </c>
      <c r="C30994" t="s">
        <v>433</v>
      </c>
      <c r="J30994">
        <v>8</v>
      </c>
    </row>
    <row r="30995" spans="1:10" x14ac:dyDescent="0.25">
      <c r="A30995" t="s">
        <v>352</v>
      </c>
      <c r="B30995" s="1" t="str">
        <f>HYPERLINK("http://synchrony.com","synchrony.com")</f>
        <v>synchrony.com</v>
      </c>
      <c r="C30995" t="s">
        <v>433</v>
      </c>
      <c r="E30995">
        <v>5909</v>
      </c>
      <c r="F30995">
        <v>9.832301329047629E-7</v>
      </c>
      <c r="G30995">
        <v>38902</v>
      </c>
      <c r="H30995">
        <v>15004941</v>
      </c>
      <c r="I30995">
        <v>424597</v>
      </c>
      <c r="J30995">
        <v>4</v>
      </c>
    </row>
    <row r="30996" spans="1:10" x14ac:dyDescent="0.25">
      <c r="A30996" t="s">
        <v>352</v>
      </c>
      <c r="B30996" s="1" t="str">
        <f>HYPERLINK("http://synchronybank.com","synchronybank.com")</f>
        <v>synchronybank.com</v>
      </c>
      <c r="C30996" t="s">
        <v>433</v>
      </c>
      <c r="E30996">
        <v>47841</v>
      </c>
      <c r="F30996">
        <v>2.9233964578513497E-7</v>
      </c>
      <c r="G30996">
        <v>127309</v>
      </c>
      <c r="H30996">
        <v>17063578</v>
      </c>
      <c r="I30996">
        <v>73082</v>
      </c>
      <c r="J30996">
        <v>4</v>
      </c>
    </row>
    <row r="30997" spans="1:10" x14ac:dyDescent="0.25">
      <c r="A30997" t="s">
        <v>352</v>
      </c>
      <c r="B30997" s="1" t="str">
        <f>HYPERLINK("http://synchronycareers.com","synchronycareers.com")</f>
        <v>synchronycareers.com</v>
      </c>
      <c r="C30997" t="s">
        <v>433</v>
      </c>
      <c r="E30997">
        <v>766252</v>
      </c>
      <c r="F30997">
        <v>5.4443461155936798E-8</v>
      </c>
      <c r="G30997">
        <v>829009</v>
      </c>
      <c r="H30997">
        <v>13420445</v>
      </c>
      <c r="I30997">
        <v>10304471</v>
      </c>
      <c r="J30997">
        <v>6</v>
      </c>
    </row>
    <row r="30998" spans="1:10" x14ac:dyDescent="0.25">
      <c r="A30998" t="s">
        <v>352</v>
      </c>
      <c r="B30998" s="1" t="str">
        <f>HYPERLINK("http://synchronyfinancial.com","synchronyfinancial.com")</f>
        <v>synchronyfinancial.com</v>
      </c>
      <c r="C30998" t="s">
        <v>433</v>
      </c>
      <c r="E30998">
        <v>93833</v>
      </c>
      <c r="F30998">
        <v>1.82871105604795E-7</v>
      </c>
      <c r="G30998">
        <v>210865</v>
      </c>
      <c r="H30998">
        <v>14499739</v>
      </c>
      <c r="I30998">
        <v>856034</v>
      </c>
      <c r="J30998">
        <v>5</v>
      </c>
    </row>
    <row r="30999" spans="1:10" x14ac:dyDescent="0.25">
      <c r="A30999" t="s">
        <v>352</v>
      </c>
      <c r="B30999" s="1" t="str">
        <f>HYPERLINK("http://tassinternational.com","tassinternational.com")</f>
        <v>tassinternational.com</v>
      </c>
      <c r="C30999" t="s">
        <v>433</v>
      </c>
      <c r="F30999">
        <v>4.3241555837253699E-8</v>
      </c>
      <c r="G30999">
        <v>1109287</v>
      </c>
      <c r="H30999">
        <v>13840961</v>
      </c>
      <c r="I30999">
        <v>6071579</v>
      </c>
      <c r="J30999">
        <v>4</v>
      </c>
    </row>
    <row r="31000" spans="1:10" x14ac:dyDescent="0.25">
      <c r="A31000" t="s">
        <v>352</v>
      </c>
      <c r="B31000" s="1" t="str">
        <f>HYPERLINK("http://timico.com","timico.com")</f>
        <v>timico.com</v>
      </c>
      <c r="C31000" t="s">
        <v>433</v>
      </c>
      <c r="F31000">
        <v>2.6327194253526699E-8</v>
      </c>
      <c r="G31000">
        <v>1955915</v>
      </c>
      <c r="H31000">
        <v>13770955</v>
      </c>
      <c r="I31000">
        <v>6710108</v>
      </c>
      <c r="J31000">
        <v>9</v>
      </c>
    </row>
    <row r="31001" spans="1:10" x14ac:dyDescent="0.25">
      <c r="A31001" t="s">
        <v>352</v>
      </c>
      <c r="B31001" s="1" t="str">
        <f>HYPERLINK("http://tunz.com","tunz.com")</f>
        <v>tunz.com</v>
      </c>
      <c r="C31001" t="s">
        <v>433</v>
      </c>
      <c r="F31001">
        <v>5.8792041759374697E-9</v>
      </c>
      <c r="G31001">
        <v>17502963</v>
      </c>
      <c r="H31001">
        <v>13396436</v>
      </c>
      <c r="I31001">
        <v>10376579</v>
      </c>
      <c r="J31001">
        <v>11</v>
      </c>
    </row>
    <row r="31002" spans="1:10" x14ac:dyDescent="0.25">
      <c r="A31002" t="s">
        <v>352</v>
      </c>
      <c r="B31002" s="1" t="str">
        <f>HYPERLINK("http://unify.com","unify.com")</f>
        <v>unify.com</v>
      </c>
      <c r="C31002" t="s">
        <v>433</v>
      </c>
      <c r="E31002">
        <v>109807</v>
      </c>
      <c r="F31002">
        <v>7.6590216882629702E-7</v>
      </c>
      <c r="G31002">
        <v>51003</v>
      </c>
      <c r="H31002">
        <v>17154198</v>
      </c>
      <c r="I31002">
        <v>51342</v>
      </c>
      <c r="J31002">
        <v>6</v>
      </c>
    </row>
    <row r="31003" spans="1:10" x14ac:dyDescent="0.25">
      <c r="A31003" t="s">
        <v>352</v>
      </c>
      <c r="B31003" s="1" t="str">
        <f>HYPERLINK("http://vacuumschmelze.com","vacuumschmelze.com")</f>
        <v>vacuumschmelze.com</v>
      </c>
      <c r="C31003" t="s">
        <v>433</v>
      </c>
      <c r="E31003">
        <v>336170</v>
      </c>
      <c r="F31003">
        <v>5.0819803171297903E-8</v>
      </c>
      <c r="G31003">
        <v>902710</v>
      </c>
      <c r="H31003">
        <v>14295435</v>
      </c>
      <c r="I31003">
        <v>1360903</v>
      </c>
      <c r="J31003">
        <v>6</v>
      </c>
    </row>
    <row r="31004" spans="1:10" x14ac:dyDescent="0.25">
      <c r="A31004" t="s">
        <v>352</v>
      </c>
      <c r="B31004" s="1" t="str">
        <f>HYPERLINK("http://valeo-siemens.com","valeo-siemens.com")</f>
        <v>valeo-siemens.com</v>
      </c>
      <c r="C31004" t="s">
        <v>433</v>
      </c>
      <c r="F31004">
        <v>3.8786314148646402E-8</v>
      </c>
      <c r="G31004">
        <v>1329341</v>
      </c>
      <c r="H31004">
        <v>13775415</v>
      </c>
      <c r="I31004">
        <v>6582350</v>
      </c>
      <c r="J31004">
        <v>4</v>
      </c>
    </row>
    <row r="31005" spans="1:10" x14ac:dyDescent="0.25">
      <c r="A31005" t="s">
        <v>352</v>
      </c>
      <c r="B31005" s="1" t="str">
        <f>HYPERLINK("http://vareximaging.com","vareximaging.com")</f>
        <v>vareximaging.com</v>
      </c>
      <c r="C31005" t="s">
        <v>433</v>
      </c>
      <c r="E31005">
        <v>290739</v>
      </c>
      <c r="F31005">
        <v>5.1984270971279198E-8</v>
      </c>
      <c r="G31005">
        <v>878482</v>
      </c>
      <c r="H31005">
        <v>14455383</v>
      </c>
      <c r="I31005">
        <v>1049925</v>
      </c>
      <c r="J31005">
        <v>7</v>
      </c>
    </row>
    <row r="31006" spans="1:10" x14ac:dyDescent="0.25">
      <c r="A31006" t="s">
        <v>352</v>
      </c>
      <c r="B31006" s="1" t="str">
        <f>HYPERLINK("http://vareximagining.com","vareximagining.com")</f>
        <v>vareximagining.com</v>
      </c>
      <c r="C31006" t="s">
        <v>433</v>
      </c>
      <c r="J31006">
        <v>9</v>
      </c>
    </row>
    <row r="31007" spans="1:10" x14ac:dyDescent="0.25">
      <c r="A31007" t="s">
        <v>352</v>
      </c>
      <c r="B31007" s="1" t="str">
        <f>HYPERLINK("http://varian.com","varian.com")</f>
        <v>varian.com</v>
      </c>
      <c r="C31007" t="s">
        <v>433</v>
      </c>
      <c r="E31007">
        <v>50897</v>
      </c>
      <c r="F31007">
        <v>5.2172858528193698E-7</v>
      </c>
      <c r="G31007">
        <v>73645</v>
      </c>
      <c r="H31007">
        <v>15048605</v>
      </c>
      <c r="I31007">
        <v>414925</v>
      </c>
      <c r="J31007">
        <v>3</v>
      </c>
    </row>
    <row r="31008" spans="1:10" x14ac:dyDescent="0.25">
      <c r="A31008" t="s">
        <v>352</v>
      </c>
      <c r="B31008" s="1" t="str">
        <f>HYPERLINK("http://varinak.com","varinak.com")</f>
        <v>varinak.com</v>
      </c>
      <c r="C31008" t="s">
        <v>433</v>
      </c>
      <c r="F31008">
        <v>4.8789442109344499E-9</v>
      </c>
      <c r="G31008">
        <v>33117557</v>
      </c>
      <c r="H31008">
        <v>10368283</v>
      </c>
      <c r="I31008">
        <v>54918007</v>
      </c>
      <c r="J31008">
        <v>5</v>
      </c>
    </row>
    <row r="31009" spans="1:10" x14ac:dyDescent="0.25">
      <c r="A31009" t="s">
        <v>352</v>
      </c>
      <c r="B31009" s="1" t="str">
        <f>HYPERLINK("http://verteiler.com","verteiler.com")</f>
        <v>verteiler.com</v>
      </c>
      <c r="C31009" t="s">
        <v>433</v>
      </c>
      <c r="F31009">
        <v>6.2027624146458297E-9</v>
      </c>
      <c r="G31009">
        <v>15521057</v>
      </c>
      <c r="H31009">
        <v>10958831</v>
      </c>
      <c r="I31009">
        <v>34385889</v>
      </c>
      <c r="J31009">
        <v>4</v>
      </c>
    </row>
    <row r="31010" spans="1:10" x14ac:dyDescent="0.25">
      <c r="A31010" t="s">
        <v>352</v>
      </c>
      <c r="B31010" s="1" t="str">
        <f>HYPERLINK("http://vistascape.com","vistascape.com")</f>
        <v>vistascape.com</v>
      </c>
      <c r="C31010" t="s">
        <v>433</v>
      </c>
      <c r="F31010">
        <v>4.5931475677287098E-9</v>
      </c>
      <c r="G31010">
        <v>48156360</v>
      </c>
      <c r="H31010">
        <v>10980107</v>
      </c>
      <c r="I31010">
        <v>33933309</v>
      </c>
      <c r="J31010">
        <v>4</v>
      </c>
    </row>
    <row r="31011" spans="1:10" x14ac:dyDescent="0.25">
      <c r="A31011" t="s">
        <v>352</v>
      </c>
      <c r="B31011" s="1" t="str">
        <f>HYPERLINK("http://vmindt.com","vmindt.com")</f>
        <v>vmindt.com</v>
      </c>
      <c r="C31011" t="s">
        <v>433</v>
      </c>
      <c r="F31011">
        <v>1.28318305368021E-8</v>
      </c>
      <c r="G31011">
        <v>4713035</v>
      </c>
      <c r="H31011">
        <v>11501727</v>
      </c>
      <c r="I31011">
        <v>30028917</v>
      </c>
      <c r="J31011">
        <v>8</v>
      </c>
    </row>
    <row r="31012" spans="1:10" x14ac:dyDescent="0.25">
      <c r="A31012" t="s">
        <v>352</v>
      </c>
      <c r="B31012" s="1" t="str">
        <f>HYPERLINK("http://vmzberlin.com","vmzberlin.com")</f>
        <v>vmzberlin.com</v>
      </c>
      <c r="C31012" t="s">
        <v>433</v>
      </c>
      <c r="F31012">
        <v>2.4606877314687901E-8</v>
      </c>
      <c r="G31012">
        <v>2104813</v>
      </c>
      <c r="H31012">
        <v>12819321</v>
      </c>
      <c r="I31012">
        <v>14515221</v>
      </c>
      <c r="J31012">
        <v>4</v>
      </c>
    </row>
    <row r="31013" spans="1:10" x14ac:dyDescent="0.25">
      <c r="A31013" t="s">
        <v>352</v>
      </c>
      <c r="B31013" s="1" t="str">
        <f>HYPERLINK("http://vseaplmsolutions.com","vseaplmsolutions.com")</f>
        <v>vseaplmsolutions.com</v>
      </c>
      <c r="C31013" t="s">
        <v>433</v>
      </c>
      <c r="J31013">
        <v>3</v>
      </c>
    </row>
    <row r="31014" spans="1:10" x14ac:dyDescent="0.25">
      <c r="A31014" t="s">
        <v>352</v>
      </c>
      <c r="B31014" s="1" t="str">
        <f>HYPERLINK("http://works-credentials.com","works-credentials.com")</f>
        <v>works-credentials.com</v>
      </c>
      <c r="C31014" t="s">
        <v>433</v>
      </c>
      <c r="J31014">
        <v>2</v>
      </c>
    </row>
    <row r="31015" spans="1:10" x14ac:dyDescent="0.25">
      <c r="A31015" t="s">
        <v>352</v>
      </c>
      <c r="B31015" s="1" t="str">
        <f>HYPERLINK("http://worldline.com","worldline.com")</f>
        <v>worldline.com</v>
      </c>
      <c r="C31015" t="s">
        <v>433</v>
      </c>
      <c r="E31015">
        <v>49417</v>
      </c>
      <c r="F31015">
        <v>1.62653347805104E-6</v>
      </c>
      <c r="G31015">
        <v>24246</v>
      </c>
      <c r="H31015">
        <v>17366894</v>
      </c>
      <c r="I31015">
        <v>21669</v>
      </c>
      <c r="J31015">
        <v>6</v>
      </c>
    </row>
    <row r="31016" spans="1:10" x14ac:dyDescent="0.25">
      <c r="A31016" t="s">
        <v>352</v>
      </c>
      <c r="B31016" s="1" t="str">
        <f>HYPERLINK("http://worldline-solutions.com","worldline-solutions.com")</f>
        <v>worldline-solutions.com</v>
      </c>
      <c r="C31016" t="s">
        <v>433</v>
      </c>
      <c r="E31016">
        <v>112941</v>
      </c>
      <c r="F31016">
        <v>7.3993181543874907E-8</v>
      </c>
      <c r="G31016">
        <v>569018</v>
      </c>
      <c r="H31016">
        <v>13564402</v>
      </c>
      <c r="I31016">
        <v>9839244</v>
      </c>
      <c r="J31016">
        <v>8</v>
      </c>
    </row>
    <row r="31017" spans="1:10" x14ac:dyDescent="0.25">
      <c r="A31017" t="s">
        <v>352</v>
      </c>
      <c r="B31017" s="1" t="str">
        <f>HYPERLINK("http://worldlinenordics.com","worldlinenordics.com")</f>
        <v>worldlinenordics.com</v>
      </c>
      <c r="C31017" t="s">
        <v>433</v>
      </c>
      <c r="E31017">
        <v>227603</v>
      </c>
      <c r="F31017">
        <v>4.4447743910160603E-9</v>
      </c>
      <c r="G31017">
        <v>76108860</v>
      </c>
      <c r="H31017">
        <v>10355503</v>
      </c>
      <c r="I31017">
        <v>55756881</v>
      </c>
      <c r="J31017">
        <v>8</v>
      </c>
    </row>
    <row r="31018" spans="1:10" x14ac:dyDescent="0.25">
      <c r="A31018" t="s">
        <v>352</v>
      </c>
      <c r="B31018" s="1" t="str">
        <f>HYPERLINK("http://zj-siemens.com","zj-siemens.com")</f>
        <v>zj-siemens.com</v>
      </c>
      <c r="C31018" t="s">
        <v>433</v>
      </c>
      <c r="F31018">
        <v>4.9274740798252698E-9</v>
      </c>
      <c r="G31018">
        <v>31454816</v>
      </c>
      <c r="H31018">
        <v>2.0009769999999998</v>
      </c>
      <c r="I31018">
        <v>77946081</v>
      </c>
      <c r="J31018">
        <v>3</v>
      </c>
    </row>
    <row r="31019" spans="1:10" x14ac:dyDescent="0.25">
      <c r="A31019" t="s">
        <v>352</v>
      </c>
      <c r="B31019" s="1" t="str">
        <f>HYPERLINK("http://gopay.cz","gopay.cz")</f>
        <v>gopay.cz</v>
      </c>
      <c r="C31019" t="s">
        <v>435</v>
      </c>
      <c r="D31019" t="s">
        <v>814</v>
      </c>
      <c r="E31019">
        <v>55170</v>
      </c>
      <c r="F31019">
        <v>6.5094329865859102E-7</v>
      </c>
      <c r="G31019">
        <v>59134</v>
      </c>
      <c r="H31019">
        <v>12968728</v>
      </c>
      <c r="I31019">
        <v>13060066</v>
      </c>
      <c r="J31019">
        <v>9</v>
      </c>
    </row>
    <row r="31020" spans="1:10" x14ac:dyDescent="0.25">
      <c r="A31020" t="s">
        <v>352</v>
      </c>
      <c r="B31020" s="1" t="str">
        <f>HYPERLINK("http://ingenico.cz","ingenico.cz")</f>
        <v>ingenico.cz</v>
      </c>
      <c r="C31020" t="s">
        <v>435</v>
      </c>
      <c r="D31020" t="s">
        <v>814</v>
      </c>
      <c r="F31020">
        <v>2.2072677648535701E-8</v>
      </c>
      <c r="G31020">
        <v>2377672</v>
      </c>
      <c r="H31020">
        <v>12285519</v>
      </c>
      <c r="I31020">
        <v>21200784</v>
      </c>
      <c r="J31020">
        <v>9</v>
      </c>
    </row>
    <row r="31021" spans="1:10" x14ac:dyDescent="0.25">
      <c r="A31021" t="s">
        <v>352</v>
      </c>
      <c r="B31021" s="1" t="str">
        <f>HYPERLINK("http://oez.cz","oez.cz")</f>
        <v>oez.cz</v>
      </c>
      <c r="C31021" t="s">
        <v>435</v>
      </c>
      <c r="D31021" t="s">
        <v>814</v>
      </c>
      <c r="F31021">
        <v>4.28668843984986E-8</v>
      </c>
      <c r="G31021">
        <v>1124100</v>
      </c>
      <c r="H31021">
        <v>14238764</v>
      </c>
      <c r="I31021">
        <v>1521385</v>
      </c>
      <c r="J31021">
        <v>3</v>
      </c>
    </row>
    <row r="31022" spans="1:10" x14ac:dyDescent="0.25">
      <c r="A31022" t="s">
        <v>352</v>
      </c>
      <c r="B31022" s="1" t="str">
        <f>HYPERLINK("http://semd.cz","semd.cz")</f>
        <v>semd.cz</v>
      </c>
      <c r="C31022" t="s">
        <v>435</v>
      </c>
      <c r="D31022" t="s">
        <v>814</v>
      </c>
      <c r="F31022">
        <v>5.6842558589345998E-9</v>
      </c>
      <c r="G31022">
        <v>19093598</v>
      </c>
      <c r="H31022">
        <v>12722588</v>
      </c>
      <c r="I31022">
        <v>15240966</v>
      </c>
      <c r="J31022">
        <v>4</v>
      </c>
    </row>
    <row r="31023" spans="1:10" x14ac:dyDescent="0.25">
      <c r="A31023" t="s">
        <v>352</v>
      </c>
      <c r="B31023" s="1" t="str">
        <f>HYPERLINK("http://siemens.cz","siemens.cz")</f>
        <v>siemens.cz</v>
      </c>
      <c r="C31023" t="s">
        <v>435</v>
      </c>
      <c r="D31023" t="s">
        <v>814</v>
      </c>
      <c r="F31023">
        <v>9.8923891078288894E-8</v>
      </c>
      <c r="G31023">
        <v>407284</v>
      </c>
      <c r="H31023">
        <v>14394150</v>
      </c>
      <c r="I31023">
        <v>1162290</v>
      </c>
      <c r="J31023">
        <v>2</v>
      </c>
    </row>
    <row r="31024" spans="1:10" x14ac:dyDescent="0.25">
      <c r="A31024" t="s">
        <v>352</v>
      </c>
      <c r="B31024" s="1" t="str">
        <f>HYPERLINK("http://axit.de","axit.de")</f>
        <v>axit.de</v>
      </c>
      <c r="C31024" t="s">
        <v>436</v>
      </c>
      <c r="D31024" t="s">
        <v>815</v>
      </c>
      <c r="F31024">
        <v>1.03608024100944E-8</v>
      </c>
      <c r="G31024">
        <v>6394905</v>
      </c>
      <c r="H31024">
        <v>12663092</v>
      </c>
      <c r="I31024">
        <v>15692591</v>
      </c>
      <c r="J31024">
        <v>4</v>
      </c>
    </row>
    <row r="31025" spans="1:10" x14ac:dyDescent="0.25">
      <c r="A31025" t="s">
        <v>352</v>
      </c>
      <c r="B31025" s="1" t="str">
        <f>HYPERLINK("http://befund24.de","befund24.de")</f>
        <v>befund24.de</v>
      </c>
      <c r="C31025" t="s">
        <v>436</v>
      </c>
      <c r="D31025" t="s">
        <v>815</v>
      </c>
      <c r="F31025">
        <v>1.5079402562476101E-8</v>
      </c>
      <c r="G31025">
        <v>3814356</v>
      </c>
      <c r="H31025">
        <v>12487668</v>
      </c>
      <c r="I31025">
        <v>17515635</v>
      </c>
      <c r="J31025">
        <v>5</v>
      </c>
    </row>
    <row r="31026" spans="1:10" x14ac:dyDescent="0.25">
      <c r="A31026" t="s">
        <v>352</v>
      </c>
      <c r="B31026" s="1" t="str">
        <f>HYPERLINK("http://beg-fs.de","beg-fs.de")</f>
        <v>beg-fs.de</v>
      </c>
      <c r="C31026" t="s">
        <v>436</v>
      </c>
      <c r="D31026" t="s">
        <v>815</v>
      </c>
      <c r="F31026">
        <v>1.6811583090401899E-8</v>
      </c>
      <c r="G31026">
        <v>3330570</v>
      </c>
      <c r="H31026">
        <v>13156538</v>
      </c>
      <c r="I31026">
        <v>11800149</v>
      </c>
      <c r="J31026">
        <v>6</v>
      </c>
    </row>
    <row r="31027" spans="1:10" x14ac:dyDescent="0.25">
      <c r="A31027" t="s">
        <v>352</v>
      </c>
      <c r="B31027" s="1" t="str">
        <f>HYPERLINK("http://bentley.de","bentley.de")</f>
        <v>bentley.de</v>
      </c>
      <c r="C31027" t="s">
        <v>436</v>
      </c>
      <c r="D31027" t="s">
        <v>815</v>
      </c>
      <c r="F31027">
        <v>9.1252595906097703E-9</v>
      </c>
      <c r="G31027">
        <v>7812184</v>
      </c>
      <c r="H31027">
        <v>12743876</v>
      </c>
      <c r="I31027">
        <v>15096198</v>
      </c>
      <c r="J31027">
        <v>4</v>
      </c>
    </row>
    <row r="31028" spans="1:10" x14ac:dyDescent="0.25">
      <c r="A31028" t="s">
        <v>352</v>
      </c>
      <c r="B31028" s="1" t="str">
        <f>HYPERLINK("http://easycash.de","easycash.de")</f>
        <v>easycash.de</v>
      </c>
      <c r="C31028" t="s">
        <v>436</v>
      </c>
      <c r="D31028" t="s">
        <v>815</v>
      </c>
      <c r="F31028">
        <v>3.5541521045975001E-8</v>
      </c>
      <c r="G31028">
        <v>1464817</v>
      </c>
      <c r="H31028">
        <v>14394389</v>
      </c>
      <c r="I31028">
        <v>1161923</v>
      </c>
      <c r="J31028">
        <v>10</v>
      </c>
    </row>
    <row r="31029" spans="1:10" x14ac:dyDescent="0.25">
      <c r="A31029" t="s">
        <v>352</v>
      </c>
      <c r="B31029" s="1" t="str">
        <f>HYPERLINK("http://electro-nite.de","electro-nite.de")</f>
        <v>electro-nite.de</v>
      </c>
      <c r="C31029" t="s">
        <v>436</v>
      </c>
      <c r="D31029" t="s">
        <v>815</v>
      </c>
      <c r="F31029">
        <v>5.4131261375603301E-9</v>
      </c>
      <c r="G31029">
        <v>21945597</v>
      </c>
      <c r="H31029">
        <v>10727876</v>
      </c>
      <c r="I31029">
        <v>41085398</v>
      </c>
      <c r="J31029">
        <v>12</v>
      </c>
    </row>
    <row r="31030" spans="1:10" x14ac:dyDescent="0.25">
      <c r="A31030" t="s">
        <v>352</v>
      </c>
      <c r="B31030" s="1" t="str">
        <f>HYPERLINK("http://facta.de","facta.de")</f>
        <v>facta.de</v>
      </c>
      <c r="C31030" t="s">
        <v>436</v>
      </c>
      <c r="D31030" t="s">
        <v>815</v>
      </c>
      <c r="F31030">
        <v>4.44380395335525E-9</v>
      </c>
      <c r="G31030">
        <v>84328594</v>
      </c>
      <c r="H31030">
        <v>0</v>
      </c>
      <c r="I31030">
        <v>85360378</v>
      </c>
      <c r="J31030">
        <v>4</v>
      </c>
    </row>
    <row r="31031" spans="1:10" x14ac:dyDescent="0.25">
      <c r="A31031" t="s">
        <v>352</v>
      </c>
      <c r="B31031" s="1" t="str">
        <f>HYPERLINK("http://gigaset.de","gigaset.de")</f>
        <v>gigaset.de</v>
      </c>
      <c r="C31031" t="s">
        <v>436</v>
      </c>
      <c r="D31031" t="s">
        <v>815</v>
      </c>
      <c r="F31031">
        <v>2.97607008522562E-8</v>
      </c>
      <c r="G31031">
        <v>1729302</v>
      </c>
      <c r="H31031">
        <v>12533516</v>
      </c>
      <c r="I31031">
        <v>17005580</v>
      </c>
      <c r="J31031">
        <v>4</v>
      </c>
    </row>
    <row r="31032" spans="1:10" x14ac:dyDescent="0.25">
      <c r="A31032" t="s">
        <v>352</v>
      </c>
      <c r="B31032" s="1" t="str">
        <f>HYPERLINK("http://hacon.de","hacon.de")</f>
        <v>hacon.de</v>
      </c>
      <c r="C31032" t="s">
        <v>436</v>
      </c>
      <c r="D31032" t="s">
        <v>815</v>
      </c>
      <c r="E31032">
        <v>143356</v>
      </c>
      <c r="F31032">
        <v>2.0383749667693301E-7</v>
      </c>
      <c r="G31032">
        <v>186461</v>
      </c>
      <c r="H31032">
        <v>14926653</v>
      </c>
      <c r="I31032">
        <v>449112</v>
      </c>
      <c r="J31032">
        <v>3</v>
      </c>
    </row>
    <row r="31033" spans="1:10" x14ac:dyDescent="0.25">
      <c r="A31033" t="s">
        <v>352</v>
      </c>
      <c r="B31033" s="1" t="str">
        <f>HYPERLINK("http://heraeus.de","heraeus.de")</f>
        <v>heraeus.de</v>
      </c>
      <c r="C31033" t="s">
        <v>436</v>
      </c>
      <c r="D31033" t="s">
        <v>815</v>
      </c>
      <c r="F31033">
        <v>2.95791993222167E-8</v>
      </c>
      <c r="G31033">
        <v>1742764</v>
      </c>
      <c r="H31033">
        <v>13045394</v>
      </c>
      <c r="I31033">
        <v>12606647</v>
      </c>
      <c r="J31033">
        <v>6</v>
      </c>
    </row>
    <row r="31034" spans="1:10" x14ac:dyDescent="0.25">
      <c r="A31034" t="s">
        <v>352</v>
      </c>
      <c r="B31034" s="1" t="str">
        <f>HYPERLINK("http://ibs-ag.de","ibs-ag.de")</f>
        <v>ibs-ag.de</v>
      </c>
      <c r="C31034" t="s">
        <v>436</v>
      </c>
      <c r="D31034" t="s">
        <v>815</v>
      </c>
      <c r="F31034">
        <v>8.7752993559784804E-9</v>
      </c>
      <c r="G31034">
        <v>8350882</v>
      </c>
      <c r="H31034">
        <v>13790464</v>
      </c>
      <c r="I31034">
        <v>6347386</v>
      </c>
      <c r="J31034">
        <v>4</v>
      </c>
    </row>
    <row r="31035" spans="1:10" x14ac:dyDescent="0.25">
      <c r="A31035" t="s">
        <v>352</v>
      </c>
      <c r="B31035" s="1" t="str">
        <f>HYPERLINK("http://ingenico.de","ingenico.de")</f>
        <v>ingenico.de</v>
      </c>
      <c r="C31035" t="s">
        <v>436</v>
      </c>
      <c r="D31035" t="s">
        <v>815</v>
      </c>
      <c r="F31035">
        <v>2.5492065298009599E-7</v>
      </c>
      <c r="G31035">
        <v>146740</v>
      </c>
      <c r="H31035">
        <v>14086533</v>
      </c>
      <c r="I31035">
        <v>2769481</v>
      </c>
      <c r="J31035">
        <v>9</v>
      </c>
    </row>
    <row r="31036" spans="1:10" x14ac:dyDescent="0.25">
      <c r="A31036" t="s">
        <v>352</v>
      </c>
      <c r="B31036" s="1" t="str">
        <f>HYPERLINK("http://kaco-newenergy.de","kaco-newenergy.de")</f>
        <v>kaco-newenergy.de</v>
      </c>
      <c r="C31036" t="s">
        <v>436</v>
      </c>
      <c r="D31036" t="s">
        <v>815</v>
      </c>
      <c r="F31036">
        <v>5.3820236945419997E-8</v>
      </c>
      <c r="G31036">
        <v>844518</v>
      </c>
      <c r="H31036">
        <v>16831110</v>
      </c>
      <c r="I31036">
        <v>167981</v>
      </c>
      <c r="J31036">
        <v>5</v>
      </c>
    </row>
    <row r="31037" spans="1:10" x14ac:dyDescent="0.25">
      <c r="A31037" t="s">
        <v>352</v>
      </c>
      <c r="B31037" s="1" t="str">
        <f>HYPERLINK("http://owp-butendiek.de","owp-butendiek.de")</f>
        <v>owp-butendiek.de</v>
      </c>
      <c r="C31037" t="s">
        <v>436</v>
      </c>
      <c r="D31037" t="s">
        <v>815</v>
      </c>
      <c r="F31037">
        <v>6.25433055577735E-9</v>
      </c>
      <c r="G31037">
        <v>15253338</v>
      </c>
      <c r="H31037">
        <v>14071966</v>
      </c>
      <c r="I31037">
        <v>3209738</v>
      </c>
      <c r="J31037">
        <v>3</v>
      </c>
    </row>
    <row r="31038" spans="1:10" x14ac:dyDescent="0.25">
      <c r="A31038" t="s">
        <v>352</v>
      </c>
      <c r="B31038" s="1" t="str">
        <f>HYPERLINK("http://remech-gmbh.de","remech-gmbh.de")</f>
        <v>remech-gmbh.de</v>
      </c>
      <c r="C31038" t="s">
        <v>436</v>
      </c>
      <c r="D31038" t="s">
        <v>815</v>
      </c>
      <c r="J31038">
        <v>4</v>
      </c>
    </row>
    <row r="31039" spans="1:10" x14ac:dyDescent="0.25">
      <c r="A31039" t="s">
        <v>352</v>
      </c>
      <c r="B31039" s="1" t="str">
        <f>HYPERLINK("http://siemens.de","siemens.de")</f>
        <v>siemens.de</v>
      </c>
      <c r="C31039" t="s">
        <v>436</v>
      </c>
      <c r="D31039" t="s">
        <v>815</v>
      </c>
      <c r="E31039">
        <v>3211</v>
      </c>
      <c r="F31039">
        <v>1.05847807865384E-6</v>
      </c>
      <c r="G31039">
        <v>36262</v>
      </c>
      <c r="H31039">
        <v>17215286</v>
      </c>
      <c r="I31039">
        <v>39155</v>
      </c>
      <c r="J31039">
        <v>2</v>
      </c>
    </row>
    <row r="31040" spans="1:10" x14ac:dyDescent="0.25">
      <c r="A31040" t="s">
        <v>352</v>
      </c>
      <c r="B31040" s="1" t="str">
        <f>HYPERLINK("http://siemens-healthineers.de","siemens-healthineers.de")</f>
        <v>siemens-healthineers.de</v>
      </c>
      <c r="C31040" t="s">
        <v>436</v>
      </c>
      <c r="D31040" t="s">
        <v>815</v>
      </c>
      <c r="F31040">
        <v>8.5721567262617098E-9</v>
      </c>
      <c r="G31040">
        <v>8707113</v>
      </c>
      <c r="H31040">
        <v>12269647</v>
      </c>
      <c r="I31040">
        <v>21530798</v>
      </c>
      <c r="J31040">
        <v>3</v>
      </c>
    </row>
    <row r="31041" spans="1:10" x14ac:dyDescent="0.25">
      <c r="A31041" t="s">
        <v>352</v>
      </c>
      <c r="B31041" s="1" t="str">
        <f>HYPERLINK("http://siemens-power-control.de","siemens-power-control.de")</f>
        <v>siemens-power-control.de</v>
      </c>
      <c r="C31041" t="s">
        <v>436</v>
      </c>
      <c r="D31041" t="s">
        <v>815</v>
      </c>
      <c r="F31041">
        <v>4.7744273853897802E-9</v>
      </c>
      <c r="G31041">
        <v>37187217</v>
      </c>
      <c r="H31041">
        <v>12900815</v>
      </c>
      <c r="I31041">
        <v>13872017</v>
      </c>
      <c r="J31041">
        <v>6</v>
      </c>
    </row>
    <row r="31042" spans="1:10" x14ac:dyDescent="0.25">
      <c r="A31042" t="s">
        <v>352</v>
      </c>
      <c r="B31042" s="1" t="str">
        <f>HYPERLINK("http://siemens-pse.de","siemens-pse.de")</f>
        <v>siemens-pse.de</v>
      </c>
      <c r="C31042" t="s">
        <v>436</v>
      </c>
      <c r="D31042" t="s">
        <v>815</v>
      </c>
      <c r="F31042">
        <v>4.6580488068170197E-9</v>
      </c>
      <c r="G31042">
        <v>43624819</v>
      </c>
      <c r="H31042">
        <v>10508912</v>
      </c>
      <c r="I31042">
        <v>49972534</v>
      </c>
      <c r="J31042">
        <v>4</v>
      </c>
    </row>
    <row r="31043" spans="1:10" x14ac:dyDescent="0.25">
      <c r="A31043" t="s">
        <v>352</v>
      </c>
      <c r="B31043" s="1" t="str">
        <f>HYPERLINK("http://sykatec.de","sykatec.de")</f>
        <v>sykatec.de</v>
      </c>
      <c r="C31043" t="s">
        <v>436</v>
      </c>
      <c r="D31043" t="s">
        <v>815</v>
      </c>
      <c r="F31043">
        <v>8.0793613208070501E-9</v>
      </c>
      <c r="G31043">
        <v>9778473</v>
      </c>
      <c r="H31043">
        <v>13081776</v>
      </c>
      <c r="I31043">
        <v>12180397</v>
      </c>
      <c r="J31043">
        <v>3</v>
      </c>
    </row>
    <row r="31044" spans="1:10" x14ac:dyDescent="0.25">
      <c r="A31044" t="s">
        <v>352</v>
      </c>
      <c r="B31044" s="1" t="str">
        <f>HYPERLINK("http://vacuumschmelze.de","vacuumschmelze.de")</f>
        <v>vacuumschmelze.de</v>
      </c>
      <c r="C31044" t="s">
        <v>436</v>
      </c>
      <c r="D31044" t="s">
        <v>815</v>
      </c>
      <c r="F31044">
        <v>3.8511610605231301E-8</v>
      </c>
      <c r="G31044">
        <v>1339206</v>
      </c>
      <c r="H31044">
        <v>14092747</v>
      </c>
      <c r="I31044">
        <v>2738326</v>
      </c>
      <c r="J31044">
        <v>5</v>
      </c>
    </row>
    <row r="31045" spans="1:10" x14ac:dyDescent="0.25">
      <c r="A31045" t="s">
        <v>352</v>
      </c>
      <c r="B31045" s="1" t="str">
        <f>HYPERLINK("http://box.dev","box.dev")</f>
        <v>box.dev</v>
      </c>
      <c r="C31045" t="s">
        <v>527</v>
      </c>
      <c r="F31045">
        <v>2.9921809074980002E-8</v>
      </c>
      <c r="G31045">
        <v>1719817</v>
      </c>
      <c r="H31045">
        <v>13204937</v>
      </c>
      <c r="I31045">
        <v>11532495</v>
      </c>
      <c r="J31045">
        <v>8</v>
      </c>
    </row>
    <row r="31046" spans="1:10" x14ac:dyDescent="0.25">
      <c r="A31046" t="s">
        <v>352</v>
      </c>
      <c r="B31046" s="1" t="str">
        <f>HYPERLINK("http://bentley.dk","bentley.dk")</f>
        <v>bentley.dk</v>
      </c>
      <c r="C31046" t="s">
        <v>437</v>
      </c>
      <c r="D31046" t="s">
        <v>816</v>
      </c>
      <c r="F31046">
        <v>4.9945878278000799E-9</v>
      </c>
      <c r="G31046">
        <v>29550299</v>
      </c>
      <c r="H31046">
        <v>12111905</v>
      </c>
      <c r="I31046">
        <v>25674783</v>
      </c>
      <c r="J31046">
        <v>6</v>
      </c>
    </row>
    <row r="31047" spans="1:10" x14ac:dyDescent="0.25">
      <c r="A31047" t="s">
        <v>352</v>
      </c>
      <c r="B31047" s="1" t="str">
        <f>HYPERLINK("http://siemens.dk","siemens.dk")</f>
        <v>siemens.dk</v>
      </c>
      <c r="C31047" t="s">
        <v>437</v>
      </c>
      <c r="D31047" t="s">
        <v>816</v>
      </c>
      <c r="F31047">
        <v>3.0636821183667101E-8</v>
      </c>
      <c r="G31047">
        <v>1681188</v>
      </c>
      <c r="H31047">
        <v>14580406</v>
      </c>
      <c r="I31047">
        <v>710416</v>
      </c>
      <c r="J31047">
        <v>2</v>
      </c>
    </row>
    <row r="31048" spans="1:10" x14ac:dyDescent="0.25">
      <c r="A31048" t="s">
        <v>352</v>
      </c>
      <c r="B31048" s="1" t="str">
        <f>HYPERLINK("http://siemens.dz","siemens.dz")</f>
        <v>siemens.dz</v>
      </c>
      <c r="C31048" t="s">
        <v>439</v>
      </c>
      <c r="D31048" t="s">
        <v>818</v>
      </c>
      <c r="F31048">
        <v>6.4167732078348903E-9</v>
      </c>
      <c r="G31048">
        <v>14440407</v>
      </c>
      <c r="H31048">
        <v>12735876</v>
      </c>
      <c r="I31048">
        <v>15164604</v>
      </c>
      <c r="J31048">
        <v>2</v>
      </c>
    </row>
    <row r="31049" spans="1:10" x14ac:dyDescent="0.25">
      <c r="A31049" t="s">
        <v>352</v>
      </c>
      <c r="B31049" s="1" t="str">
        <f>HYPERLINK("http://siemens.ee","siemens.ee")</f>
        <v>siemens.ee</v>
      </c>
      <c r="C31049" t="s">
        <v>441</v>
      </c>
      <c r="D31049" t="s">
        <v>820</v>
      </c>
      <c r="F31049">
        <v>6.7623049622379999E-9</v>
      </c>
      <c r="G31049">
        <v>13087610</v>
      </c>
      <c r="H31049">
        <v>14071871</v>
      </c>
      <c r="I31049">
        <v>3258909</v>
      </c>
      <c r="J31049">
        <v>2</v>
      </c>
    </row>
    <row r="31050" spans="1:10" x14ac:dyDescent="0.25">
      <c r="A31050" t="s">
        <v>352</v>
      </c>
      <c r="B31050" s="1" t="str">
        <f>HYPERLINK("http://siemens.com.eg","siemens.com.eg")</f>
        <v>siemens.com.eg</v>
      </c>
      <c r="C31050" t="s">
        <v>442</v>
      </c>
      <c r="D31050" t="s">
        <v>821</v>
      </c>
      <c r="F31050">
        <v>6.3078850036311797E-9</v>
      </c>
      <c r="G31050">
        <v>14993588</v>
      </c>
      <c r="H31050">
        <v>13427942</v>
      </c>
      <c r="I31050">
        <v>10286328</v>
      </c>
      <c r="J31050">
        <v>6</v>
      </c>
    </row>
    <row r="31051" spans="1:10" x14ac:dyDescent="0.25">
      <c r="A31051" t="s">
        <v>352</v>
      </c>
      <c r="B31051" s="1" t="str">
        <f>HYPERLINK("http://ingenico.es","ingenico.es")</f>
        <v>ingenico.es</v>
      </c>
      <c r="C31051" t="s">
        <v>443</v>
      </c>
      <c r="D31051" t="s">
        <v>822</v>
      </c>
      <c r="F31051">
        <v>3.4187382719977102E-8</v>
      </c>
      <c r="G31051">
        <v>1515735</v>
      </c>
      <c r="H31051">
        <v>13493263</v>
      </c>
      <c r="I31051">
        <v>9982860</v>
      </c>
      <c r="J31051">
        <v>9</v>
      </c>
    </row>
    <row r="31052" spans="1:10" x14ac:dyDescent="0.25">
      <c r="A31052" t="s">
        <v>352</v>
      </c>
      <c r="B31052" s="1" t="str">
        <f>HYPERLINK("http://siemens.es","siemens.es")</f>
        <v>siemens.es</v>
      </c>
      <c r="C31052" t="s">
        <v>443</v>
      </c>
      <c r="D31052" t="s">
        <v>822</v>
      </c>
      <c r="E31052">
        <v>239894</v>
      </c>
      <c r="F31052">
        <v>3.1862581866389497E-8</v>
      </c>
      <c r="G31052">
        <v>1621176</v>
      </c>
      <c r="H31052">
        <v>14133457</v>
      </c>
      <c r="I31052">
        <v>1988539</v>
      </c>
      <c r="J31052">
        <v>2</v>
      </c>
    </row>
    <row r="31053" spans="1:10" x14ac:dyDescent="0.25">
      <c r="A31053" t="s">
        <v>352</v>
      </c>
      <c r="B31053" s="1" t="str">
        <f>HYPERLINK("http://tecosa.es","tecosa.es")</f>
        <v>tecosa.es</v>
      </c>
      <c r="C31053" t="s">
        <v>443</v>
      </c>
      <c r="D31053" t="s">
        <v>822</v>
      </c>
      <c r="F31053">
        <v>7.24824100535017E-9</v>
      </c>
      <c r="G31053">
        <v>11610167</v>
      </c>
      <c r="H31053">
        <v>12832711</v>
      </c>
      <c r="I31053">
        <v>14399917</v>
      </c>
      <c r="J31053">
        <v>4</v>
      </c>
    </row>
    <row r="31054" spans="1:10" x14ac:dyDescent="0.25">
      <c r="A31054" t="s">
        <v>352</v>
      </c>
      <c r="B31054" s="1" t="str">
        <f>HYPERLINK("http://adelmann.fi","adelmann.fi")</f>
        <v>adelmann.fi</v>
      </c>
      <c r="C31054" t="s">
        <v>445</v>
      </c>
      <c r="D31054" t="s">
        <v>823</v>
      </c>
      <c r="J31054">
        <v>6</v>
      </c>
    </row>
    <row r="31055" spans="1:10" x14ac:dyDescent="0.25">
      <c r="A31055" t="s">
        <v>352</v>
      </c>
      <c r="B31055" s="1" t="str">
        <f>HYPERLINK("http://bmscloud.fi","bmscloud.fi")</f>
        <v>bmscloud.fi</v>
      </c>
      <c r="C31055" t="s">
        <v>445</v>
      </c>
      <c r="D31055" t="s">
        <v>823</v>
      </c>
      <c r="J31055">
        <v>5</v>
      </c>
    </row>
    <row r="31056" spans="1:10" x14ac:dyDescent="0.25">
      <c r="A31056" t="s">
        <v>352</v>
      </c>
      <c r="B31056" s="1" t="str">
        <f>HYPERLINK("http://cerkio.fi","cerkio.fi")</f>
        <v>cerkio.fi</v>
      </c>
      <c r="C31056" t="s">
        <v>445</v>
      </c>
      <c r="D31056" t="s">
        <v>823</v>
      </c>
      <c r="J31056">
        <v>11</v>
      </c>
    </row>
    <row r="31057" spans="1:10" x14ac:dyDescent="0.25">
      <c r="A31057" t="s">
        <v>352</v>
      </c>
      <c r="B31057" s="1" t="str">
        <f>HYPERLINK("http://clinitest.fi","clinitest.fi")</f>
        <v>clinitest.fi</v>
      </c>
      <c r="C31057" t="s">
        <v>445</v>
      </c>
      <c r="D31057" t="s">
        <v>823</v>
      </c>
      <c r="J31057">
        <v>2</v>
      </c>
    </row>
    <row r="31058" spans="1:10" x14ac:dyDescent="0.25">
      <c r="A31058" t="s">
        <v>352</v>
      </c>
      <c r="B31058" s="1" t="str">
        <f>HYPERLINK("http://electro-nite.fi","electro-nite.fi")</f>
        <v>electro-nite.fi</v>
      </c>
      <c r="C31058" t="s">
        <v>445</v>
      </c>
      <c r="D31058" t="s">
        <v>823</v>
      </c>
      <c r="J31058">
        <v>13</v>
      </c>
    </row>
    <row r="31059" spans="1:10" x14ac:dyDescent="0.25">
      <c r="A31059" t="s">
        <v>352</v>
      </c>
      <c r="B31059" s="1" t="str">
        <f>HYPERLINK("http://elipso.fi","elipso.fi")</f>
        <v>elipso.fi</v>
      </c>
      <c r="C31059" t="s">
        <v>445</v>
      </c>
      <c r="D31059" t="s">
        <v>823</v>
      </c>
      <c r="J31059">
        <v>11</v>
      </c>
    </row>
    <row r="31060" spans="1:10" x14ac:dyDescent="0.25">
      <c r="A31060" t="s">
        <v>352</v>
      </c>
      <c r="B31060" s="1" t="str">
        <f>HYPERLINK("http://equensworldline.fi","equensworldline.fi")</f>
        <v>equensworldline.fi</v>
      </c>
      <c r="C31060" t="s">
        <v>445</v>
      </c>
      <c r="D31060" t="s">
        <v>823</v>
      </c>
      <c r="J31060">
        <v>8</v>
      </c>
    </row>
    <row r="31061" spans="1:10" x14ac:dyDescent="0.25">
      <c r="A31061" t="s">
        <v>352</v>
      </c>
      <c r="B31061" s="1" t="str">
        <f>HYPERLINK("http://equensworldlinecompany.fi","equensworldlinecompany.fi")</f>
        <v>equensworldlinecompany.fi</v>
      </c>
      <c r="C31061" t="s">
        <v>445</v>
      </c>
      <c r="D31061" t="s">
        <v>823</v>
      </c>
      <c r="J31061">
        <v>8</v>
      </c>
    </row>
    <row r="31062" spans="1:10" x14ac:dyDescent="0.25">
      <c r="A31062" t="s">
        <v>352</v>
      </c>
      <c r="B31062" s="1" t="str">
        <f>HYPERLINK("http://evidian.fi","evidian.fi")</f>
        <v>evidian.fi</v>
      </c>
      <c r="C31062" t="s">
        <v>445</v>
      </c>
      <c r="D31062" t="s">
        <v>823</v>
      </c>
      <c r="J31062">
        <v>12</v>
      </c>
    </row>
    <row r="31063" spans="1:10" x14ac:dyDescent="0.25">
      <c r="A31063" t="s">
        <v>352</v>
      </c>
      <c r="B31063" s="1" t="str">
        <f>HYPERLINK("http://flender.fi","flender.fi")</f>
        <v>flender.fi</v>
      </c>
      <c r="C31063" t="s">
        <v>445</v>
      </c>
      <c r="D31063" t="s">
        <v>823</v>
      </c>
      <c r="J31063">
        <v>6</v>
      </c>
    </row>
    <row r="31064" spans="1:10" x14ac:dyDescent="0.25">
      <c r="A31064" t="s">
        <v>352</v>
      </c>
      <c r="B31064" s="1" t="str">
        <f>HYPERLINK("http://gigaset-shop.fi","gigaset-shop.fi")</f>
        <v>gigaset-shop.fi</v>
      </c>
      <c r="C31064" t="s">
        <v>445</v>
      </c>
      <c r="D31064" t="s">
        <v>823</v>
      </c>
      <c r="J31064">
        <v>6</v>
      </c>
    </row>
    <row r="31065" spans="1:10" x14ac:dyDescent="0.25">
      <c r="A31065" t="s">
        <v>352</v>
      </c>
      <c r="B31065" s="1" t="str">
        <f>HYPERLINK("http://healthineer.fi","healthineer.fi")</f>
        <v>healthineer.fi</v>
      </c>
      <c r="C31065" t="s">
        <v>445</v>
      </c>
      <c r="D31065" t="s">
        <v>823</v>
      </c>
      <c r="J31065">
        <v>2</v>
      </c>
    </row>
    <row r="31066" spans="1:10" x14ac:dyDescent="0.25">
      <c r="A31066" t="s">
        <v>352</v>
      </c>
      <c r="B31066" s="1" t="str">
        <f>HYPERLINK("http://healthineers.fi","healthineers.fi")</f>
        <v>healthineers.fi</v>
      </c>
      <c r="C31066" t="s">
        <v>445</v>
      </c>
      <c r="D31066" t="s">
        <v>823</v>
      </c>
      <c r="J31066">
        <v>2</v>
      </c>
    </row>
    <row r="31067" spans="1:10" x14ac:dyDescent="0.25">
      <c r="A31067" t="s">
        <v>352</v>
      </c>
      <c r="B31067" s="1" t="str">
        <f>HYPERLINK("http://ingenico.fi","ingenico.fi")</f>
        <v>ingenico.fi</v>
      </c>
      <c r="C31067" t="s">
        <v>445</v>
      </c>
      <c r="D31067" t="s">
        <v>823</v>
      </c>
      <c r="J31067">
        <v>10</v>
      </c>
    </row>
    <row r="31068" spans="1:10" x14ac:dyDescent="0.25">
      <c r="A31068" t="s">
        <v>352</v>
      </c>
      <c r="B31068" s="1" t="str">
        <f>HYPERLINK("http://neera.fi","neera.fi")</f>
        <v>neera.fi</v>
      </c>
      <c r="C31068" t="s">
        <v>445</v>
      </c>
      <c r="D31068" t="s">
        <v>823</v>
      </c>
      <c r="J31068">
        <v>11</v>
      </c>
    </row>
    <row r="31069" spans="1:10" x14ac:dyDescent="0.25">
      <c r="A31069" t="s">
        <v>352</v>
      </c>
      <c r="B31069" s="1" t="str">
        <f>HYPERLINK("http://palacos.fi","palacos.fi")</f>
        <v>palacos.fi</v>
      </c>
      <c r="C31069" t="s">
        <v>445</v>
      </c>
      <c r="D31069" t="s">
        <v>823</v>
      </c>
      <c r="J31069">
        <v>13</v>
      </c>
    </row>
    <row r="31070" spans="1:10" x14ac:dyDescent="0.25">
      <c r="A31070" t="s">
        <v>352</v>
      </c>
      <c r="B31070" s="1" t="str">
        <f>HYPERLINK("http://remote-sbt.fi","remote-sbt.fi")</f>
        <v>remote-sbt.fi</v>
      </c>
      <c r="C31070" t="s">
        <v>445</v>
      </c>
      <c r="D31070" t="s">
        <v>823</v>
      </c>
      <c r="F31070">
        <v>4.4443914642997904E-9</v>
      </c>
      <c r="G31070">
        <v>76830978</v>
      </c>
      <c r="H31070">
        <v>8737755</v>
      </c>
      <c r="I31070">
        <v>69707279</v>
      </c>
      <c r="J31070">
        <v>2</v>
      </c>
    </row>
    <row r="31071" spans="1:10" x14ac:dyDescent="0.25">
      <c r="A31071" t="s">
        <v>352</v>
      </c>
      <c r="B31071" s="1" t="str">
        <f>HYPERLINK("http://siemens.fi","siemens.fi")</f>
        <v>siemens.fi</v>
      </c>
      <c r="C31071" t="s">
        <v>445</v>
      </c>
      <c r="D31071" t="s">
        <v>823</v>
      </c>
      <c r="F31071">
        <v>2.0525289016393201E-8</v>
      </c>
      <c r="G31071">
        <v>2581177</v>
      </c>
      <c r="H31071">
        <v>14487169</v>
      </c>
      <c r="I31071">
        <v>951804</v>
      </c>
      <c r="J31071">
        <v>2</v>
      </c>
    </row>
    <row r="31072" spans="1:10" x14ac:dyDescent="0.25">
      <c r="A31072" t="s">
        <v>352</v>
      </c>
      <c r="B31072" s="1" t="str">
        <f>HYPERLINK("http://siemens-gamesa.fi","siemens-gamesa.fi")</f>
        <v>siemens-gamesa.fi</v>
      </c>
      <c r="C31072" t="s">
        <v>445</v>
      </c>
      <c r="D31072" t="s">
        <v>823</v>
      </c>
      <c r="J31072">
        <v>7</v>
      </c>
    </row>
    <row r="31073" spans="1:10" x14ac:dyDescent="0.25">
      <c r="A31073" t="s">
        <v>352</v>
      </c>
      <c r="B31073" s="1" t="str">
        <f>HYPERLINK("http://siemens-healthineers.fi","siemens-healthineers.fi")</f>
        <v>siemens-healthineers.fi</v>
      </c>
      <c r="C31073" t="s">
        <v>445</v>
      </c>
      <c r="D31073" t="s">
        <v>823</v>
      </c>
      <c r="J31073">
        <v>2</v>
      </c>
    </row>
    <row r="31074" spans="1:10" x14ac:dyDescent="0.25">
      <c r="A31074" t="s">
        <v>352</v>
      </c>
      <c r="B31074" s="1" t="str">
        <f>HYPERLINK("http://siemenshealthineers.fi","siemenshealthineers.fi")</f>
        <v>siemenshealthineers.fi</v>
      </c>
      <c r="C31074" t="s">
        <v>445</v>
      </c>
      <c r="D31074" t="s">
        <v>823</v>
      </c>
      <c r="J31074">
        <v>2</v>
      </c>
    </row>
    <row r="31075" spans="1:10" x14ac:dyDescent="0.25">
      <c r="A31075" t="s">
        <v>352</v>
      </c>
      <c r="B31075" s="1" t="str">
        <f>HYPERLINK("http://siemensremote.fi","siemensremote.fi")</f>
        <v>siemensremote.fi</v>
      </c>
      <c r="C31075" t="s">
        <v>445</v>
      </c>
      <c r="D31075" t="s">
        <v>823</v>
      </c>
      <c r="F31075">
        <v>4.4443914642997904E-9</v>
      </c>
      <c r="G31075">
        <v>76831096</v>
      </c>
      <c r="H31075">
        <v>8737755</v>
      </c>
      <c r="I31075">
        <v>69707400</v>
      </c>
      <c r="J31075">
        <v>2</v>
      </c>
    </row>
    <row r="31076" spans="1:10" x14ac:dyDescent="0.25">
      <c r="A31076" t="s">
        <v>352</v>
      </c>
      <c r="B31076" s="1" t="str">
        <f>HYPERLINK("http://tigrant.fi","tigrant.fi")</f>
        <v>tigrant.fi</v>
      </c>
      <c r="C31076" t="s">
        <v>445</v>
      </c>
      <c r="D31076" t="s">
        <v>823</v>
      </c>
      <c r="J31076">
        <v>11</v>
      </c>
    </row>
    <row r="31077" spans="1:10" x14ac:dyDescent="0.25">
      <c r="A31077" t="s">
        <v>352</v>
      </c>
      <c r="B31077" s="1" t="str">
        <f>HYPERLINK("http://unify.fi","unify.fi")</f>
        <v>unify.fi</v>
      </c>
      <c r="C31077" t="s">
        <v>445</v>
      </c>
      <c r="D31077" t="s">
        <v>823</v>
      </c>
      <c r="J31077">
        <v>9</v>
      </c>
    </row>
    <row r="31078" spans="1:10" x14ac:dyDescent="0.25">
      <c r="A31078" t="s">
        <v>352</v>
      </c>
      <c r="B31078" s="1" t="str">
        <f>HYPERLINK("http://varian.fi","varian.fi")</f>
        <v>varian.fi</v>
      </c>
      <c r="C31078" t="s">
        <v>445</v>
      </c>
      <c r="D31078" t="s">
        <v>823</v>
      </c>
      <c r="F31078">
        <v>5.0477733562552197E-9</v>
      </c>
      <c r="G31078">
        <v>28272886</v>
      </c>
      <c r="H31078">
        <v>12450336</v>
      </c>
      <c r="I31078">
        <v>17992463</v>
      </c>
      <c r="J31078">
        <v>6</v>
      </c>
    </row>
    <row r="31079" spans="1:10" x14ac:dyDescent="0.25">
      <c r="A31079" t="s">
        <v>352</v>
      </c>
      <c r="B31079" s="1" t="str">
        <f>HYPERLINK("http://xcargo.fi","xcargo.fi")</f>
        <v>xcargo.fi</v>
      </c>
      <c r="C31079" t="s">
        <v>445</v>
      </c>
      <c r="D31079" t="s">
        <v>823</v>
      </c>
      <c r="J31079">
        <v>5</v>
      </c>
    </row>
    <row r="31080" spans="1:10" x14ac:dyDescent="0.25">
      <c r="A31080" t="s">
        <v>352</v>
      </c>
      <c r="B31080" s="1" t="str">
        <f>HYPERLINK("http://siemens.finance","siemens.finance")</f>
        <v>siemens.finance</v>
      </c>
      <c r="C31080" t="s">
        <v>722</v>
      </c>
      <c r="F31080">
        <v>7.35485276902477E-9</v>
      </c>
      <c r="G31080">
        <v>11349755</v>
      </c>
      <c r="H31080">
        <v>12783728</v>
      </c>
      <c r="I31080">
        <v>14724331</v>
      </c>
      <c r="J31080">
        <v>2</v>
      </c>
    </row>
    <row r="31081" spans="1:10" x14ac:dyDescent="0.25">
      <c r="A31081" t="s">
        <v>352</v>
      </c>
      <c r="B31081" s="1" t="str">
        <f>HYPERLINK("http://siemens.fm","siemens.fm")</f>
        <v>siemens.fm</v>
      </c>
      <c r="C31081" t="s">
        <v>528</v>
      </c>
      <c r="D31081" t="s">
        <v>894</v>
      </c>
      <c r="E31081">
        <v>936265</v>
      </c>
      <c r="F31081">
        <v>1.22905262986552E-8</v>
      </c>
      <c r="G31081">
        <v>4999410</v>
      </c>
      <c r="H31081">
        <v>12998036</v>
      </c>
      <c r="I31081">
        <v>12807499</v>
      </c>
      <c r="J31081">
        <v>2</v>
      </c>
    </row>
    <row r="31082" spans="1:10" x14ac:dyDescent="0.25">
      <c r="A31082" t="s">
        <v>352</v>
      </c>
      <c r="B31082" s="1" t="str">
        <f>HYPERLINK("http://amesys.fr","amesys.fr")</f>
        <v>amesys.fr</v>
      </c>
      <c r="C31082" t="s">
        <v>446</v>
      </c>
      <c r="D31082" t="s">
        <v>824</v>
      </c>
      <c r="F31082">
        <v>1.75836981596111E-8</v>
      </c>
      <c r="G31082">
        <v>3122611</v>
      </c>
      <c r="H31082">
        <v>14394562</v>
      </c>
      <c r="I31082">
        <v>1161680</v>
      </c>
      <c r="J31082">
        <v>6</v>
      </c>
    </row>
    <row r="31083" spans="1:10" x14ac:dyDescent="0.25">
      <c r="A31083" t="s">
        <v>352</v>
      </c>
      <c r="B31083" s="1" t="str">
        <f>HYPERLINK("http://bull.fr","bull.fr")</f>
        <v>bull.fr</v>
      </c>
      <c r="C31083" t="s">
        <v>446</v>
      </c>
      <c r="D31083" t="s">
        <v>824</v>
      </c>
      <c r="E31083">
        <v>46710</v>
      </c>
      <c r="F31083">
        <v>9.3581292300305906E-8</v>
      </c>
      <c r="G31083">
        <v>434237</v>
      </c>
      <c r="H31083">
        <v>16901650</v>
      </c>
      <c r="I31083">
        <v>132712</v>
      </c>
      <c r="J31083">
        <v>6</v>
      </c>
    </row>
    <row r="31084" spans="1:10" x14ac:dyDescent="0.25">
      <c r="A31084" t="s">
        <v>352</v>
      </c>
      <c r="B31084" s="1" t="str">
        <f>HYPERLINK("http://evidian.fr","evidian.fr")</f>
        <v>evidian.fr</v>
      </c>
      <c r="C31084" t="s">
        <v>446</v>
      </c>
      <c r="D31084" t="s">
        <v>824</v>
      </c>
      <c r="F31084">
        <v>5.0853860665941699E-9</v>
      </c>
      <c r="G31084">
        <v>27393256</v>
      </c>
      <c r="H31084">
        <v>11951533</v>
      </c>
      <c r="I31084">
        <v>29134632</v>
      </c>
      <c r="J31084">
        <v>12</v>
      </c>
    </row>
    <row r="31085" spans="1:10" x14ac:dyDescent="0.25">
      <c r="A31085" t="s">
        <v>352</v>
      </c>
      <c r="B31085" s="1" t="str">
        <f>HYPERLINK("http://ingenico.fr","ingenico.fr")</f>
        <v>ingenico.fr</v>
      </c>
      <c r="C31085" t="s">
        <v>446</v>
      </c>
      <c r="D31085" t="s">
        <v>824</v>
      </c>
      <c r="F31085">
        <v>6.11389790756124E-8</v>
      </c>
      <c r="G31085">
        <v>720436</v>
      </c>
      <c r="H31085">
        <v>13022572</v>
      </c>
      <c r="I31085">
        <v>12703371</v>
      </c>
      <c r="J31085">
        <v>9</v>
      </c>
    </row>
    <row r="31086" spans="1:10" x14ac:dyDescent="0.25">
      <c r="A31086" t="s">
        <v>352</v>
      </c>
      <c r="B31086" s="1" t="str">
        <f>HYPERLINK("http://lmsfrance.fr","lmsfrance.fr")</f>
        <v>lmsfrance.fr</v>
      </c>
      <c r="C31086" t="s">
        <v>446</v>
      </c>
      <c r="D31086" t="s">
        <v>824</v>
      </c>
      <c r="F31086">
        <v>4.5781241639317096E-9</v>
      </c>
      <c r="G31086">
        <v>49461480</v>
      </c>
      <c r="H31086">
        <v>10748291</v>
      </c>
      <c r="I31086">
        <v>40136439</v>
      </c>
      <c r="J31086">
        <v>3</v>
      </c>
    </row>
    <row r="31087" spans="1:10" x14ac:dyDescent="0.25">
      <c r="A31087" t="s">
        <v>352</v>
      </c>
      <c r="B31087" s="1" t="str">
        <f>HYPERLINK("http://siemens.fr","siemens.fr")</f>
        <v>siemens.fr</v>
      </c>
      <c r="C31087" t="s">
        <v>446</v>
      </c>
      <c r="D31087" t="s">
        <v>824</v>
      </c>
      <c r="E31087">
        <v>631519</v>
      </c>
      <c r="F31087">
        <v>2.4732279359253099E-8</v>
      </c>
      <c r="G31087">
        <v>2091472</v>
      </c>
      <c r="H31087">
        <v>13216038</v>
      </c>
      <c r="I31087">
        <v>11360746</v>
      </c>
      <c r="J31087">
        <v>2</v>
      </c>
    </row>
    <row r="31088" spans="1:10" x14ac:dyDescent="0.25">
      <c r="A31088" t="s">
        <v>352</v>
      </c>
      <c r="B31088" s="1" t="str">
        <f>HYPERLINK("http://blinkcharging.gr","blinkcharging.gr")</f>
        <v>blinkcharging.gr</v>
      </c>
      <c r="C31088" t="s">
        <v>447</v>
      </c>
      <c r="D31088" t="s">
        <v>825</v>
      </c>
      <c r="F31088">
        <v>1.3927271197354101E-8</v>
      </c>
      <c r="G31088">
        <v>4230565</v>
      </c>
      <c r="H31088">
        <v>12281078</v>
      </c>
      <c r="I31088">
        <v>21285438</v>
      </c>
      <c r="J31088">
        <v>10</v>
      </c>
    </row>
    <row r="31089" spans="1:10" x14ac:dyDescent="0.25">
      <c r="A31089" t="s">
        <v>352</v>
      </c>
      <c r="B31089" s="1" t="str">
        <f>HYPERLINK("http://siemens.gr","siemens.gr")</f>
        <v>siemens.gr</v>
      </c>
      <c r="C31089" t="s">
        <v>447</v>
      </c>
      <c r="D31089" t="s">
        <v>825</v>
      </c>
      <c r="F31089">
        <v>1.19783907796183E-8</v>
      </c>
      <c r="G31089">
        <v>5189829</v>
      </c>
      <c r="H31089">
        <v>14237881</v>
      </c>
      <c r="I31089">
        <v>1538443</v>
      </c>
      <c r="J31089">
        <v>2</v>
      </c>
    </row>
    <row r="31090" spans="1:10" x14ac:dyDescent="0.25">
      <c r="A31090" t="s">
        <v>352</v>
      </c>
      <c r="B31090" s="1" t="str">
        <f>HYPERLINK("http://ingenico.group","ingenico.group")</f>
        <v>ingenico.group</v>
      </c>
      <c r="C31090" t="s">
        <v>602</v>
      </c>
      <c r="F31090">
        <v>2.3841287063020701E-8</v>
      </c>
      <c r="G31090">
        <v>2178953</v>
      </c>
      <c r="H31090">
        <v>12779610</v>
      </c>
      <c r="I31090">
        <v>14771052</v>
      </c>
      <c r="J31090">
        <v>9</v>
      </c>
    </row>
    <row r="31091" spans="1:10" x14ac:dyDescent="0.25">
      <c r="A31091" t="s">
        <v>352</v>
      </c>
      <c r="B31091" s="1" t="str">
        <f>HYPERLINK("http://chinapower.hk","chinapower.hk")</f>
        <v>chinapower.hk</v>
      </c>
      <c r="C31091" t="s">
        <v>450</v>
      </c>
      <c r="D31091" t="s">
        <v>827</v>
      </c>
      <c r="F31091">
        <v>2.35135640629703E-8</v>
      </c>
      <c r="G31091">
        <v>2213165</v>
      </c>
      <c r="H31091">
        <v>14035174</v>
      </c>
      <c r="I31091">
        <v>3916612</v>
      </c>
      <c r="J31091">
        <v>5</v>
      </c>
    </row>
    <row r="31092" spans="1:10" x14ac:dyDescent="0.25">
      <c r="A31092" t="s">
        <v>352</v>
      </c>
      <c r="B31092" s="1" t="str">
        <f>HYPERLINK("http://siemens.com.hk","siemens.com.hk")</f>
        <v>siemens.com.hk</v>
      </c>
      <c r="C31092" t="s">
        <v>450</v>
      </c>
      <c r="D31092" t="s">
        <v>827</v>
      </c>
      <c r="F31092">
        <v>8.6776177254340806E-9</v>
      </c>
      <c r="G31092">
        <v>8516879</v>
      </c>
      <c r="H31092">
        <v>12898561</v>
      </c>
      <c r="I31092">
        <v>13887071</v>
      </c>
      <c r="J31092">
        <v>4</v>
      </c>
    </row>
    <row r="31093" spans="1:10" x14ac:dyDescent="0.25">
      <c r="A31093" t="s">
        <v>352</v>
      </c>
      <c r="B31093" s="1" t="str">
        <f>HYPERLINK("http://siemens.hr","siemens.hr")</f>
        <v>siemens.hr</v>
      </c>
      <c r="C31093" t="s">
        <v>452</v>
      </c>
      <c r="D31093" t="s">
        <v>829</v>
      </c>
      <c r="F31093">
        <v>1.0918362927608201E-8</v>
      </c>
      <c r="G31093">
        <v>5928287</v>
      </c>
      <c r="H31093">
        <v>14075352</v>
      </c>
      <c r="I31093">
        <v>2911448</v>
      </c>
      <c r="J31093">
        <v>2</v>
      </c>
    </row>
    <row r="31094" spans="1:10" x14ac:dyDescent="0.25">
      <c r="A31094" t="s">
        <v>352</v>
      </c>
      <c r="B31094" s="1" t="str">
        <f>HYPERLINK("http://evosoft.hu","evosoft.hu")</f>
        <v>evosoft.hu</v>
      </c>
      <c r="C31094" t="s">
        <v>453</v>
      </c>
      <c r="D31094" t="s">
        <v>830</v>
      </c>
      <c r="F31094">
        <v>1.99068333068945E-8</v>
      </c>
      <c r="G31094">
        <v>2673620</v>
      </c>
      <c r="H31094">
        <v>13325220</v>
      </c>
      <c r="I31094">
        <v>10732883</v>
      </c>
      <c r="J31094">
        <v>4</v>
      </c>
    </row>
    <row r="31095" spans="1:10" x14ac:dyDescent="0.25">
      <c r="A31095" t="s">
        <v>352</v>
      </c>
      <c r="B31095" s="1" t="str">
        <f>HYPERLINK("http://ingenico.hu","ingenico.hu")</f>
        <v>ingenico.hu</v>
      </c>
      <c r="C31095" t="s">
        <v>453</v>
      </c>
      <c r="D31095" t="s">
        <v>830</v>
      </c>
      <c r="F31095">
        <v>2.2288681045976299E-8</v>
      </c>
      <c r="G31095">
        <v>2352290</v>
      </c>
      <c r="H31095">
        <v>12371755</v>
      </c>
      <c r="I31095">
        <v>19377298</v>
      </c>
      <c r="J31095">
        <v>9</v>
      </c>
    </row>
    <row r="31096" spans="1:10" x14ac:dyDescent="0.25">
      <c r="A31096" t="s">
        <v>352</v>
      </c>
      <c r="B31096" s="1" t="str">
        <f>HYPERLINK("http://siemens.hu","siemens.hu")</f>
        <v>siemens.hu</v>
      </c>
      <c r="C31096" t="s">
        <v>453</v>
      </c>
      <c r="D31096" t="s">
        <v>830</v>
      </c>
      <c r="F31096">
        <v>2.52423459487809E-8</v>
      </c>
      <c r="G31096">
        <v>2044741</v>
      </c>
      <c r="H31096">
        <v>14282096</v>
      </c>
      <c r="I31096">
        <v>1377068</v>
      </c>
      <c r="J31096">
        <v>2</v>
      </c>
    </row>
    <row r="31097" spans="1:10" x14ac:dyDescent="0.25">
      <c r="A31097" t="s">
        <v>352</v>
      </c>
      <c r="B31097" s="1" t="str">
        <f>HYPERLINK("http://jawapower.co.id","jawapower.co.id")</f>
        <v>jawapower.co.id</v>
      </c>
      <c r="C31097" t="s">
        <v>454</v>
      </c>
      <c r="D31097" t="s">
        <v>831</v>
      </c>
      <c r="F31097">
        <v>4.98778761648384E-9</v>
      </c>
      <c r="G31097">
        <v>29733693</v>
      </c>
      <c r="H31097">
        <v>13763639</v>
      </c>
      <c r="I31097">
        <v>7967080</v>
      </c>
      <c r="J31097">
        <v>3</v>
      </c>
    </row>
    <row r="31098" spans="1:10" x14ac:dyDescent="0.25">
      <c r="A31098" t="s">
        <v>352</v>
      </c>
      <c r="B31098" s="1" t="str">
        <f>HYPERLINK("http://siemens.co.id","siemens.co.id")</f>
        <v>siemens.co.id</v>
      </c>
      <c r="C31098" t="s">
        <v>454</v>
      </c>
      <c r="D31098" t="s">
        <v>831</v>
      </c>
      <c r="F31098">
        <v>5.8940920125160799E-9</v>
      </c>
      <c r="G31098">
        <v>17401055</v>
      </c>
      <c r="H31098">
        <v>12722811</v>
      </c>
      <c r="I31098">
        <v>15239527</v>
      </c>
      <c r="J31098">
        <v>2</v>
      </c>
    </row>
    <row r="31099" spans="1:10" x14ac:dyDescent="0.25">
      <c r="A31099" t="s">
        <v>352</v>
      </c>
      <c r="B31099" s="1" t="str">
        <f>HYPERLINK("http://siemens.ie","siemens.ie")</f>
        <v>siemens.ie</v>
      </c>
      <c r="C31099" t="s">
        <v>455</v>
      </c>
      <c r="D31099" t="s">
        <v>832</v>
      </c>
      <c r="F31099">
        <v>1.0839135574179401E-8</v>
      </c>
      <c r="G31099">
        <v>5989186</v>
      </c>
      <c r="H31099">
        <v>14078033</v>
      </c>
      <c r="I31099">
        <v>2853845</v>
      </c>
      <c r="J31099">
        <v>2</v>
      </c>
    </row>
    <row r="31100" spans="1:10" x14ac:dyDescent="0.25">
      <c r="A31100" t="s">
        <v>352</v>
      </c>
      <c r="B31100" s="1" t="str">
        <f>HYPERLINK("http://siemens.co.il","siemens.co.il")</f>
        <v>siemens.co.il</v>
      </c>
      <c r="C31100" t="s">
        <v>456</v>
      </c>
      <c r="D31100" t="s">
        <v>833</v>
      </c>
      <c r="F31100">
        <v>4.91691024696081E-9</v>
      </c>
      <c r="G31100">
        <v>31795894</v>
      </c>
      <c r="H31100">
        <v>14071791</v>
      </c>
      <c r="I31100">
        <v>3446933</v>
      </c>
      <c r="J31100">
        <v>6</v>
      </c>
    </row>
    <row r="31101" spans="1:10" x14ac:dyDescent="0.25">
      <c r="A31101" t="s">
        <v>352</v>
      </c>
      <c r="B31101" s="1" t="str">
        <f>HYPERLINK("http://cselectric.co.in","cselectric.co.in")</f>
        <v>cselectric.co.in</v>
      </c>
      <c r="C31101" t="s">
        <v>457</v>
      </c>
      <c r="D31101" t="s">
        <v>834</v>
      </c>
      <c r="E31101">
        <v>909337</v>
      </c>
      <c r="F31101">
        <v>1.8685876167012699E-8</v>
      </c>
      <c r="G31101">
        <v>2891854</v>
      </c>
      <c r="H31101">
        <v>13473145</v>
      </c>
      <c r="I31101">
        <v>10027673</v>
      </c>
      <c r="J31101">
        <v>3</v>
      </c>
    </row>
    <row r="31102" spans="1:10" x14ac:dyDescent="0.25">
      <c r="A31102" t="s">
        <v>352</v>
      </c>
      <c r="B31102" s="1" t="str">
        <f>HYPERLINK("http://siemens.co.in","siemens.co.in")</f>
        <v>siemens.co.in</v>
      </c>
      <c r="C31102" t="s">
        <v>457</v>
      </c>
      <c r="D31102" t="s">
        <v>834</v>
      </c>
      <c r="E31102">
        <v>790428</v>
      </c>
      <c r="F31102">
        <v>8.1454682553831296E-8</v>
      </c>
      <c r="G31102">
        <v>512423</v>
      </c>
      <c r="H31102">
        <v>14499945</v>
      </c>
      <c r="I31102">
        <v>855208</v>
      </c>
      <c r="J31102">
        <v>2</v>
      </c>
    </row>
    <row r="31103" spans="1:10" x14ac:dyDescent="0.25">
      <c r="A31103" t="s">
        <v>352</v>
      </c>
      <c r="B31103" s="1" t="str">
        <f>HYPERLINK("http://siemens-healthineers.co.in","siemens-healthineers.co.in")</f>
        <v>siemens-healthineers.co.in</v>
      </c>
      <c r="C31103" t="s">
        <v>457</v>
      </c>
      <c r="D31103" t="s">
        <v>834</v>
      </c>
      <c r="F31103">
        <v>5.5943565168424898E-9</v>
      </c>
      <c r="G31103">
        <v>19912016</v>
      </c>
      <c r="H31103">
        <v>12148107</v>
      </c>
      <c r="I31103">
        <v>24674875</v>
      </c>
      <c r="J31103">
        <v>3</v>
      </c>
    </row>
    <row r="31104" spans="1:10" x14ac:dyDescent="0.25">
      <c r="A31104" t="s">
        <v>352</v>
      </c>
      <c r="B31104" s="1" t="str">
        <f>HYPERLINK("http://aimsun.inc","aimsun.inc")</f>
        <v>aimsun.inc</v>
      </c>
      <c r="C31104" t="s">
        <v>754</v>
      </c>
      <c r="J31104">
        <v>7</v>
      </c>
    </row>
    <row r="31105" spans="1:10" x14ac:dyDescent="0.25">
      <c r="A31105" t="s">
        <v>352</v>
      </c>
      <c r="B31105" s="1" t="str">
        <f>HYPERLINK("http://evidian.info","evidian.info")</f>
        <v>evidian.info</v>
      </c>
      <c r="C31105" t="s">
        <v>458</v>
      </c>
      <c r="F31105">
        <v>6.1388994724398497E-9</v>
      </c>
      <c r="G31105">
        <v>15867537</v>
      </c>
      <c r="H31105">
        <v>12287350</v>
      </c>
      <c r="I31105">
        <v>21168229</v>
      </c>
      <c r="J31105">
        <v>12</v>
      </c>
    </row>
    <row r="31106" spans="1:10" x14ac:dyDescent="0.25">
      <c r="A31106" t="s">
        <v>352</v>
      </c>
      <c r="B31106" s="1" t="str">
        <f>HYPERLINK("http://mindsphere.io","mindsphere.io")</f>
        <v>mindsphere.io</v>
      </c>
      <c r="C31106" t="s">
        <v>518</v>
      </c>
      <c r="E31106">
        <v>170159</v>
      </c>
      <c r="F31106">
        <v>1.9930698298024199E-6</v>
      </c>
      <c r="G31106">
        <v>18345</v>
      </c>
      <c r="H31106">
        <v>17625522</v>
      </c>
      <c r="I31106">
        <v>8983</v>
      </c>
      <c r="J31106">
        <v>2</v>
      </c>
    </row>
    <row r="31107" spans="1:10" x14ac:dyDescent="0.25">
      <c r="A31107" t="s">
        <v>352</v>
      </c>
      <c r="B31107" s="1" t="str">
        <f>HYPERLINK("http://parts.io","parts.io")</f>
        <v>parts.io</v>
      </c>
      <c r="C31107" t="s">
        <v>518</v>
      </c>
      <c r="F31107">
        <v>2.40689713228583E-8</v>
      </c>
      <c r="G31107">
        <v>2156236</v>
      </c>
      <c r="H31107">
        <v>13771900</v>
      </c>
      <c r="I31107">
        <v>6677377</v>
      </c>
      <c r="J31107">
        <v>7</v>
      </c>
    </row>
    <row r="31108" spans="1:10" x14ac:dyDescent="0.25">
      <c r="A31108" t="s">
        <v>352</v>
      </c>
      <c r="B31108" s="1" t="str">
        <f>HYPERLINK("http://senseye.io","senseye.io")</f>
        <v>senseye.io</v>
      </c>
      <c r="C31108" t="s">
        <v>518</v>
      </c>
      <c r="F31108">
        <v>1.3114523309493201E-7</v>
      </c>
      <c r="G31108">
        <v>298221</v>
      </c>
      <c r="H31108">
        <v>17010466</v>
      </c>
      <c r="I31108">
        <v>91534</v>
      </c>
      <c r="J31108">
        <v>6</v>
      </c>
    </row>
    <row r="31109" spans="1:10" x14ac:dyDescent="0.25">
      <c r="A31109" t="s">
        <v>352</v>
      </c>
      <c r="B31109" s="1" t="str">
        <f>HYPERLINK("http://siemens.io","siemens.io")</f>
        <v>siemens.io</v>
      </c>
      <c r="C31109" t="s">
        <v>518</v>
      </c>
      <c r="F31109">
        <v>1.6400590858104201E-8</v>
      </c>
      <c r="G31109">
        <v>3446047</v>
      </c>
      <c r="H31109">
        <v>12722611</v>
      </c>
      <c r="I31109">
        <v>15240504</v>
      </c>
      <c r="J31109">
        <v>2</v>
      </c>
    </row>
    <row r="31110" spans="1:10" x14ac:dyDescent="0.25">
      <c r="A31110" t="s">
        <v>352</v>
      </c>
      <c r="B31110" s="1" t="str">
        <f>HYPERLINK("http://siemens.co.ir","siemens.co.ir")</f>
        <v>siemens.co.ir</v>
      </c>
      <c r="C31110" t="s">
        <v>751</v>
      </c>
      <c r="D31110" t="s">
        <v>1010</v>
      </c>
      <c r="F31110">
        <v>8.2002947527514206E-9</v>
      </c>
      <c r="G31110">
        <v>9570635</v>
      </c>
      <c r="H31110">
        <v>13153927</v>
      </c>
      <c r="I31110">
        <v>11810676</v>
      </c>
      <c r="J31110">
        <v>2</v>
      </c>
    </row>
    <row r="31111" spans="1:10" x14ac:dyDescent="0.25">
      <c r="A31111" t="s">
        <v>352</v>
      </c>
      <c r="B31111" s="1" t="str">
        <f>HYPERLINK("http://bnlpositivity.it","bnlpositivity.it")</f>
        <v>bnlpositivity.it</v>
      </c>
      <c r="C31111" t="s">
        <v>459</v>
      </c>
      <c r="D31111" t="s">
        <v>835</v>
      </c>
      <c r="E31111">
        <v>745310</v>
      </c>
      <c r="F31111">
        <v>4.1017100628784097E-8</v>
      </c>
      <c r="G31111">
        <v>1265023</v>
      </c>
      <c r="H31111">
        <v>12744011</v>
      </c>
      <c r="I31111">
        <v>15095545</v>
      </c>
      <c r="J31111">
        <v>8</v>
      </c>
    </row>
    <row r="31112" spans="1:10" x14ac:dyDescent="0.25">
      <c r="A31112" t="s">
        <v>352</v>
      </c>
      <c r="B31112" s="1" t="str">
        <f>HYPERLINK("http://ingenico.it","ingenico.it")</f>
        <v>ingenico.it</v>
      </c>
      <c r="C31112" t="s">
        <v>459</v>
      </c>
      <c r="D31112" t="s">
        <v>835</v>
      </c>
      <c r="F31112">
        <v>3.5406190038176E-8</v>
      </c>
      <c r="G31112">
        <v>1469599</v>
      </c>
      <c r="H31112">
        <v>12527673</v>
      </c>
      <c r="I31112">
        <v>17068252</v>
      </c>
      <c r="J31112">
        <v>9</v>
      </c>
    </row>
    <row r="31113" spans="1:10" x14ac:dyDescent="0.25">
      <c r="A31113" t="s">
        <v>352</v>
      </c>
      <c r="B31113" s="1" t="str">
        <f>HYPERLINK("http://siemens.it","siemens.it")</f>
        <v>siemens.it</v>
      </c>
      <c r="C31113" t="s">
        <v>459</v>
      </c>
      <c r="D31113" t="s">
        <v>835</v>
      </c>
      <c r="F31113">
        <v>3.7027341112703502E-8</v>
      </c>
      <c r="G31113">
        <v>1400724</v>
      </c>
      <c r="H31113">
        <v>13787886</v>
      </c>
      <c r="I31113">
        <v>6369354</v>
      </c>
      <c r="J31113">
        <v>2</v>
      </c>
    </row>
    <row r="31114" spans="1:10" x14ac:dyDescent="0.25">
      <c r="A31114" t="s">
        <v>352</v>
      </c>
      <c r="B31114" s="1" t="str">
        <f>HYPERLINK("http://acrorad.co.jp","acrorad.co.jp")</f>
        <v>acrorad.co.jp</v>
      </c>
      <c r="C31114" t="s">
        <v>461</v>
      </c>
      <c r="D31114" t="s">
        <v>837</v>
      </c>
      <c r="F31114">
        <v>1.0459895751152501E-8</v>
      </c>
      <c r="G31114">
        <v>6304491</v>
      </c>
      <c r="H31114">
        <v>14080600</v>
      </c>
      <c r="I31114">
        <v>2818414</v>
      </c>
      <c r="J31114">
        <v>4</v>
      </c>
    </row>
    <row r="31115" spans="1:10" x14ac:dyDescent="0.25">
      <c r="A31115" t="s">
        <v>352</v>
      </c>
      <c r="B31115" s="1" t="str">
        <f>HYPERLINK("http://mentorg.co.jp","mentorg.co.jp")</f>
        <v>mentorg.co.jp</v>
      </c>
      <c r="C31115" t="s">
        <v>461</v>
      </c>
      <c r="D31115" t="s">
        <v>837</v>
      </c>
      <c r="F31115">
        <v>2.46256211345252E-8</v>
      </c>
      <c r="G31115">
        <v>2103171</v>
      </c>
      <c r="H31115">
        <v>14108239</v>
      </c>
      <c r="I31115">
        <v>2680587</v>
      </c>
      <c r="J31115">
        <v>4</v>
      </c>
    </row>
    <row r="31116" spans="1:10" x14ac:dyDescent="0.25">
      <c r="A31116" t="s">
        <v>352</v>
      </c>
      <c r="B31116" s="1" t="str">
        <f>HYPERLINK("http://siemens.co.jp","siemens.co.jp")</f>
        <v>siemens.co.jp</v>
      </c>
      <c r="C31116" t="s">
        <v>461</v>
      </c>
      <c r="D31116" t="s">
        <v>837</v>
      </c>
      <c r="E31116">
        <v>579177</v>
      </c>
      <c r="F31116">
        <v>4.07013098030426E-8</v>
      </c>
      <c r="G31116">
        <v>1273227</v>
      </c>
      <c r="H31116">
        <v>14436839</v>
      </c>
      <c r="I31116">
        <v>1067739</v>
      </c>
      <c r="J31116">
        <v>4</v>
      </c>
    </row>
    <row r="31117" spans="1:10" x14ac:dyDescent="0.25">
      <c r="A31117" t="s">
        <v>352</v>
      </c>
      <c r="B31117" s="1" t="str">
        <f>HYPERLINK("http://siemens.co.kr","siemens.co.kr")</f>
        <v>siemens.co.kr</v>
      </c>
      <c r="C31117" t="s">
        <v>463</v>
      </c>
      <c r="D31117" t="s">
        <v>839</v>
      </c>
      <c r="F31117">
        <v>1.3644864772727599E-8</v>
      </c>
      <c r="G31117">
        <v>4343342</v>
      </c>
      <c r="H31117">
        <v>12981364</v>
      </c>
      <c r="I31117">
        <v>12966036</v>
      </c>
      <c r="J31117">
        <v>2</v>
      </c>
    </row>
    <row r="31118" spans="1:10" x14ac:dyDescent="0.25">
      <c r="A31118" t="s">
        <v>352</v>
      </c>
      <c r="B31118" s="1" t="str">
        <f>HYPERLINK("http://siemens-healthineers.co.kr","siemens-healthineers.co.kr")</f>
        <v>siemens-healthineers.co.kr</v>
      </c>
      <c r="C31118" t="s">
        <v>463</v>
      </c>
      <c r="D31118" t="s">
        <v>839</v>
      </c>
      <c r="F31118">
        <v>5.5681349697511703E-9</v>
      </c>
      <c r="G31118">
        <v>20196361</v>
      </c>
      <c r="H31118">
        <v>12130045</v>
      </c>
      <c r="I31118">
        <v>25138966</v>
      </c>
      <c r="J31118">
        <v>3</v>
      </c>
    </row>
    <row r="31119" spans="1:10" x14ac:dyDescent="0.25">
      <c r="A31119" t="s">
        <v>352</v>
      </c>
      <c r="B31119" s="1" t="str">
        <f>HYPERLINK("http://siemens.com.kw","siemens.com.kw")</f>
        <v>siemens.com.kw</v>
      </c>
      <c r="C31119" t="s">
        <v>464</v>
      </c>
      <c r="D31119" t="s">
        <v>840</v>
      </c>
      <c r="F31119">
        <v>5.6223038983346703E-9</v>
      </c>
      <c r="G31119">
        <v>19647247</v>
      </c>
      <c r="H31119">
        <v>12722648</v>
      </c>
      <c r="I31119">
        <v>15240216</v>
      </c>
      <c r="J31119">
        <v>2</v>
      </c>
    </row>
    <row r="31120" spans="1:10" x14ac:dyDescent="0.25">
      <c r="A31120" t="s">
        <v>352</v>
      </c>
      <c r="B31120" s="1" t="str">
        <f>HYPERLINK("http://siemens.kz","siemens.kz")</f>
        <v>siemens.kz</v>
      </c>
      <c r="C31120" t="s">
        <v>465</v>
      </c>
      <c r="D31120" t="s">
        <v>841</v>
      </c>
      <c r="F31120">
        <v>7.6823332485398592E-9</v>
      </c>
      <c r="G31120">
        <v>10618850</v>
      </c>
      <c r="H31120">
        <v>12736507</v>
      </c>
      <c r="I31120">
        <v>15160431</v>
      </c>
      <c r="J31120">
        <v>2</v>
      </c>
    </row>
    <row r="31121" spans="1:10" x14ac:dyDescent="0.25">
      <c r="A31121" t="s">
        <v>352</v>
      </c>
      <c r="B31121" s="1" t="str">
        <f>HYPERLINK("http://siemens.lt","siemens.lt")</f>
        <v>siemens.lt</v>
      </c>
      <c r="C31121" t="s">
        <v>467</v>
      </c>
      <c r="D31121" t="s">
        <v>843</v>
      </c>
      <c r="F31121">
        <v>6.0584454272526499E-9</v>
      </c>
      <c r="G31121">
        <v>16334205</v>
      </c>
      <c r="H31121">
        <v>10943289</v>
      </c>
      <c r="I31121">
        <v>34744200</v>
      </c>
      <c r="J31121">
        <v>2</v>
      </c>
    </row>
    <row r="31122" spans="1:10" x14ac:dyDescent="0.25">
      <c r="A31122" t="s">
        <v>352</v>
      </c>
      <c r="B31122" s="1" t="str">
        <f>HYPERLINK("http://siemens.lv","siemens.lv")</f>
        <v>siemens.lv</v>
      </c>
      <c r="C31122" t="s">
        <v>468</v>
      </c>
      <c r="D31122" t="s">
        <v>844</v>
      </c>
      <c r="F31122">
        <v>7.7699807550584997E-9</v>
      </c>
      <c r="G31122">
        <v>10391306</v>
      </c>
      <c r="H31122">
        <v>12722663</v>
      </c>
      <c r="I31122">
        <v>15240137</v>
      </c>
      <c r="J31122">
        <v>2</v>
      </c>
    </row>
    <row r="31123" spans="1:10" x14ac:dyDescent="0.25">
      <c r="A31123" t="s">
        <v>352</v>
      </c>
      <c r="B31123" s="1" t="str">
        <f>HYPERLINK("http://ingenico.com.mx","ingenico.com.mx")</f>
        <v>ingenico.com.mx</v>
      </c>
      <c r="C31123" t="s">
        <v>471</v>
      </c>
      <c r="D31123" t="s">
        <v>847</v>
      </c>
      <c r="J31123">
        <v>11</v>
      </c>
    </row>
    <row r="31124" spans="1:10" x14ac:dyDescent="0.25">
      <c r="A31124" t="s">
        <v>352</v>
      </c>
      <c r="B31124" s="1" t="str">
        <f>HYPERLINK("http://sbs.com.mx","sbs.com.mx")</f>
        <v>sbs.com.mx</v>
      </c>
      <c r="C31124" t="s">
        <v>471</v>
      </c>
      <c r="D31124" t="s">
        <v>847</v>
      </c>
      <c r="J31124">
        <v>4</v>
      </c>
    </row>
    <row r="31125" spans="1:10" x14ac:dyDescent="0.25">
      <c r="A31125" t="s">
        <v>352</v>
      </c>
      <c r="B31125" s="1" t="str">
        <f>HYPERLINK("http://siemens.com.mx","siemens.com.mx")</f>
        <v>siemens.com.mx</v>
      </c>
      <c r="C31125" t="s">
        <v>471</v>
      </c>
      <c r="D31125" t="s">
        <v>847</v>
      </c>
      <c r="F31125">
        <v>8.4930096212122297E-9</v>
      </c>
      <c r="G31125">
        <v>8858706</v>
      </c>
      <c r="H31125">
        <v>13771437</v>
      </c>
      <c r="I31125">
        <v>6693981</v>
      </c>
      <c r="J31125">
        <v>2</v>
      </c>
    </row>
    <row r="31126" spans="1:10" x14ac:dyDescent="0.25">
      <c r="A31126" t="s">
        <v>352</v>
      </c>
      <c r="B31126" s="1" t="str">
        <f>HYPERLINK("http://siemens.com.my","siemens.com.my")</f>
        <v>siemens.com.my</v>
      </c>
      <c r="C31126" t="s">
        <v>472</v>
      </c>
      <c r="D31126" t="s">
        <v>848</v>
      </c>
      <c r="F31126">
        <v>7.7574617295549908E-9</v>
      </c>
      <c r="G31126">
        <v>10420844</v>
      </c>
      <c r="H31126">
        <v>12814489</v>
      </c>
      <c r="I31126">
        <v>14540479</v>
      </c>
      <c r="J31126">
        <v>2</v>
      </c>
    </row>
    <row r="31127" spans="1:10" x14ac:dyDescent="0.25">
      <c r="A31127" t="s">
        <v>352</v>
      </c>
      <c r="B31127" s="1" t="str">
        <f>HYPERLINK("http://as8677.net","as8677.net")</f>
        <v>as8677.net</v>
      </c>
      <c r="C31127" t="s">
        <v>474</v>
      </c>
      <c r="E31127">
        <v>17751</v>
      </c>
      <c r="F31127">
        <v>1.7788384268235201E-8</v>
      </c>
      <c r="G31127">
        <v>3077252</v>
      </c>
      <c r="H31127">
        <v>12087870</v>
      </c>
      <c r="I31127">
        <v>26337540</v>
      </c>
      <c r="J31127">
        <v>8</v>
      </c>
    </row>
    <row r="31128" spans="1:10" x14ac:dyDescent="0.25">
      <c r="A31128" t="s">
        <v>352</v>
      </c>
      <c r="B31128" s="1" t="str">
        <f>HYPERLINK("http://atos.net","atos.net")</f>
        <v>atos.net</v>
      </c>
      <c r="C31128" t="s">
        <v>474</v>
      </c>
      <c r="E31128">
        <v>12424</v>
      </c>
      <c r="F31128">
        <v>3.7667591654630201E-6</v>
      </c>
      <c r="G31128">
        <v>11049</v>
      </c>
      <c r="H31128">
        <v>17570220</v>
      </c>
      <c r="I31128">
        <v>10618</v>
      </c>
      <c r="J31128">
        <v>3</v>
      </c>
    </row>
    <row r="31129" spans="1:10" x14ac:dyDescent="0.25">
      <c r="A31129" t="s">
        <v>352</v>
      </c>
      <c r="B31129" s="1" t="str">
        <f>HYPERLINK("http://atos-syntel.net","atos-syntel.net")</f>
        <v>atos-syntel.net</v>
      </c>
      <c r="C31129" t="s">
        <v>474</v>
      </c>
      <c r="F31129">
        <v>4.0631590463484998E-8</v>
      </c>
      <c r="G31129">
        <v>1275092</v>
      </c>
      <c r="H31129">
        <v>13775092</v>
      </c>
      <c r="I31129">
        <v>6589440</v>
      </c>
      <c r="J31129">
        <v>6</v>
      </c>
    </row>
    <row r="31130" spans="1:10" x14ac:dyDescent="0.25">
      <c r="A31130" t="s">
        <v>352</v>
      </c>
      <c r="B31130" s="1" t="str">
        <f>HYPERLINK("http://box.net","box.net")</f>
        <v>box.net</v>
      </c>
      <c r="C31130" t="s">
        <v>474</v>
      </c>
      <c r="E31130">
        <v>4167</v>
      </c>
      <c r="F31130">
        <v>2.0247212401503799E-6</v>
      </c>
      <c r="G31130">
        <v>18033</v>
      </c>
      <c r="H31130">
        <v>17980342</v>
      </c>
      <c r="I31130">
        <v>3816</v>
      </c>
      <c r="J31130">
        <v>8</v>
      </c>
    </row>
    <row r="31131" spans="1:10" x14ac:dyDescent="0.25">
      <c r="A31131" t="s">
        <v>352</v>
      </c>
      <c r="B31131" s="1" t="str">
        <f>HYPERLINK("http://chargepoint.net","chargepoint.net")</f>
        <v>chargepoint.net</v>
      </c>
      <c r="C31131" t="s">
        <v>474</v>
      </c>
      <c r="F31131">
        <v>1.79649474351393E-8</v>
      </c>
      <c r="G31131">
        <v>3039917</v>
      </c>
      <c r="H31131">
        <v>13803097</v>
      </c>
      <c r="I31131">
        <v>6264524</v>
      </c>
      <c r="J31131">
        <v>6</v>
      </c>
    </row>
    <row r="31132" spans="1:10" x14ac:dyDescent="0.25">
      <c r="A31132" t="s">
        <v>352</v>
      </c>
      <c r="B31132" s="1" t="str">
        <f>HYPERLINK("http://gigaset.net","gigaset.net")</f>
        <v>gigaset.net</v>
      </c>
      <c r="C31132" t="s">
        <v>474</v>
      </c>
      <c r="E31132">
        <v>6277</v>
      </c>
      <c r="F31132">
        <v>7.9172182560198102E-9</v>
      </c>
      <c r="G31132">
        <v>10078185</v>
      </c>
      <c r="H31132">
        <v>12586295</v>
      </c>
      <c r="I31132">
        <v>16445612</v>
      </c>
      <c r="J31132">
        <v>4</v>
      </c>
    </row>
    <row r="31133" spans="1:10" x14ac:dyDescent="0.25">
      <c r="A31133" t="s">
        <v>352</v>
      </c>
      <c r="B31133" s="1" t="str">
        <f>HYPERLINK("http://iris-atos.net","iris-atos.net")</f>
        <v>iris-atos.net</v>
      </c>
      <c r="C31133" t="s">
        <v>474</v>
      </c>
      <c r="J31133">
        <v>8</v>
      </c>
    </row>
    <row r="31134" spans="1:10" x14ac:dyDescent="0.25">
      <c r="A31134" t="s">
        <v>352</v>
      </c>
      <c r="B31134" s="1" t="str">
        <f>HYPERLINK("http://my-it-solutions.net","my-it-solutions.net")</f>
        <v>my-it-solutions.net</v>
      </c>
      <c r="C31134" t="s">
        <v>474</v>
      </c>
      <c r="E31134">
        <v>39927</v>
      </c>
      <c r="F31134">
        <v>5.4323905587198103E-9</v>
      </c>
      <c r="G31134">
        <v>21710409</v>
      </c>
      <c r="H31134">
        <v>12320703</v>
      </c>
      <c r="I31134">
        <v>20407805</v>
      </c>
      <c r="J31134">
        <v>4</v>
      </c>
    </row>
    <row r="31135" spans="1:10" x14ac:dyDescent="0.25">
      <c r="A31135" t="s">
        <v>352</v>
      </c>
      <c r="B31135" s="1" t="str">
        <f>HYPERLINK("http://myatos.net","myatos.net")</f>
        <v>myatos.net</v>
      </c>
      <c r="C31135" t="s">
        <v>474</v>
      </c>
      <c r="E31135">
        <v>89458</v>
      </c>
      <c r="F31135">
        <v>2.5632124939419599E-8</v>
      </c>
      <c r="G31135">
        <v>2011649</v>
      </c>
      <c r="H31135">
        <v>14543079</v>
      </c>
      <c r="I31135">
        <v>772331</v>
      </c>
      <c r="J31135">
        <v>4</v>
      </c>
    </row>
    <row r="31136" spans="1:10" x14ac:dyDescent="0.25">
      <c r="A31136" t="s">
        <v>352</v>
      </c>
      <c r="B31136" s="1" t="str">
        <f>HYPERLINK("http://russelectric.net","russelectric.net")</f>
        <v>russelectric.net</v>
      </c>
      <c r="C31136" t="s">
        <v>474</v>
      </c>
      <c r="J31136">
        <v>4</v>
      </c>
    </row>
    <row r="31137" spans="1:10" x14ac:dyDescent="0.25">
      <c r="A31137" t="s">
        <v>352</v>
      </c>
      <c r="B31137" s="1" t="str">
        <f>HYPERLINK("http://siemens.net","siemens.net")</f>
        <v>siemens.net</v>
      </c>
      <c r="C31137" t="s">
        <v>474</v>
      </c>
      <c r="E31137">
        <v>16296</v>
      </c>
      <c r="F31137">
        <v>1.2442138530861E-8</v>
      </c>
      <c r="G31137">
        <v>4916495</v>
      </c>
      <c r="H31137">
        <v>12723967</v>
      </c>
      <c r="I31137">
        <v>15233507</v>
      </c>
      <c r="J31137">
        <v>2</v>
      </c>
    </row>
    <row r="31138" spans="1:10" x14ac:dyDescent="0.25">
      <c r="A31138" t="s">
        <v>352</v>
      </c>
      <c r="B31138" s="1" t="str">
        <f>HYPERLINK("http://siemensgs.net","siemensgs.net")</f>
        <v>siemensgs.net</v>
      </c>
      <c r="C31138" t="s">
        <v>474</v>
      </c>
      <c r="F31138">
        <v>5.58044141661633E-9</v>
      </c>
      <c r="G31138">
        <v>20050882</v>
      </c>
      <c r="H31138">
        <v>12921490</v>
      </c>
      <c r="I31138">
        <v>13423079</v>
      </c>
      <c r="J31138">
        <v>6</v>
      </c>
    </row>
    <row r="31139" spans="1:10" x14ac:dyDescent="0.25">
      <c r="A31139" t="s">
        <v>352</v>
      </c>
      <c r="B31139" s="1" t="str">
        <f>HYPERLINK("http://vejamate.net","vejamate.net")</f>
        <v>vejamate.net</v>
      </c>
      <c r="C31139" t="s">
        <v>474</v>
      </c>
      <c r="F31139">
        <v>2.09409672587637E-8</v>
      </c>
      <c r="G31139">
        <v>2523947</v>
      </c>
      <c r="H31139">
        <v>14279744</v>
      </c>
      <c r="I31139">
        <v>1381885</v>
      </c>
      <c r="J31139">
        <v>4</v>
      </c>
    </row>
    <row r="31140" spans="1:10" x14ac:dyDescent="0.25">
      <c r="A31140" t="s">
        <v>352</v>
      </c>
      <c r="B31140" s="1" t="str">
        <f>HYPERLINK("http://siemens.com.ng","siemens.com.ng")</f>
        <v>siemens.com.ng</v>
      </c>
      <c r="C31140" t="s">
        <v>475</v>
      </c>
      <c r="D31140" t="s">
        <v>850</v>
      </c>
      <c r="F31140">
        <v>5.7477099887872399E-9</v>
      </c>
      <c r="G31140">
        <v>18515582</v>
      </c>
      <c r="H31140">
        <v>13771370</v>
      </c>
      <c r="I31140">
        <v>6696238</v>
      </c>
      <c r="J31140">
        <v>2</v>
      </c>
    </row>
    <row r="31141" spans="1:10" x14ac:dyDescent="0.25">
      <c r="A31141" t="s">
        <v>352</v>
      </c>
      <c r="B31141" s="1" t="str">
        <f>HYPERLINK("http://geminiwindpark.nl","geminiwindpark.nl")</f>
        <v>geminiwindpark.nl</v>
      </c>
      <c r="C31141" t="s">
        <v>477</v>
      </c>
      <c r="D31141" t="s">
        <v>852</v>
      </c>
      <c r="F31141">
        <v>5.7427439314181103E-8</v>
      </c>
      <c r="G31141">
        <v>776451</v>
      </c>
      <c r="H31141">
        <v>14389904</v>
      </c>
      <c r="I31141">
        <v>1169551</v>
      </c>
      <c r="J31141">
        <v>5</v>
      </c>
    </row>
    <row r="31142" spans="1:10" x14ac:dyDescent="0.25">
      <c r="A31142" t="s">
        <v>352</v>
      </c>
      <c r="B31142" s="1" t="str">
        <f>HYPERLINK("http://ingenico.nl","ingenico.nl")</f>
        <v>ingenico.nl</v>
      </c>
      <c r="C31142" t="s">
        <v>477</v>
      </c>
      <c r="D31142" t="s">
        <v>852</v>
      </c>
      <c r="F31142">
        <v>8.6132397315936994E-8</v>
      </c>
      <c r="G31142">
        <v>477641</v>
      </c>
      <c r="H31142">
        <v>12694974</v>
      </c>
      <c r="I31142">
        <v>15385958</v>
      </c>
      <c r="J31142">
        <v>9</v>
      </c>
    </row>
    <row r="31143" spans="1:10" x14ac:dyDescent="0.25">
      <c r="A31143" t="s">
        <v>352</v>
      </c>
      <c r="B31143" s="1" t="str">
        <f>HYPERLINK("http://mendix.nl","mendix.nl")</f>
        <v>mendix.nl</v>
      </c>
      <c r="C31143" t="s">
        <v>477</v>
      </c>
      <c r="D31143" t="s">
        <v>852</v>
      </c>
      <c r="E31143">
        <v>196416</v>
      </c>
      <c r="F31143">
        <v>7.1834839954293202E-9</v>
      </c>
      <c r="G31143">
        <v>11787373</v>
      </c>
      <c r="H31143">
        <v>13300887</v>
      </c>
      <c r="I31143">
        <v>10820938</v>
      </c>
      <c r="J31143">
        <v>6</v>
      </c>
    </row>
    <row r="31144" spans="1:10" x14ac:dyDescent="0.25">
      <c r="A31144" t="s">
        <v>352</v>
      </c>
      <c r="B31144" s="1" t="str">
        <f>HYPERLINK("http://siemens.nl","siemens.nl")</f>
        <v>siemens.nl</v>
      </c>
      <c r="C31144" t="s">
        <v>477</v>
      </c>
      <c r="D31144" t="s">
        <v>852</v>
      </c>
      <c r="E31144">
        <v>646539</v>
      </c>
      <c r="F31144">
        <v>6.2260706016769396E-8</v>
      </c>
      <c r="G31144">
        <v>705329</v>
      </c>
      <c r="H31144">
        <v>14694312</v>
      </c>
      <c r="I31144">
        <v>600253</v>
      </c>
      <c r="J31144">
        <v>2</v>
      </c>
    </row>
    <row r="31145" spans="1:10" x14ac:dyDescent="0.25">
      <c r="A31145" t="s">
        <v>352</v>
      </c>
      <c r="B31145" s="1" t="str">
        <f>HYPERLINK("http://worldline.nl","worldline.nl")</f>
        <v>worldline.nl</v>
      </c>
      <c r="C31145" t="s">
        <v>477</v>
      </c>
      <c r="D31145" t="s">
        <v>852</v>
      </c>
      <c r="F31145">
        <v>1.6139561227081599E-8</v>
      </c>
      <c r="G31145">
        <v>3510602</v>
      </c>
      <c r="H31145">
        <v>12344286</v>
      </c>
      <c r="I31145">
        <v>19864549</v>
      </c>
      <c r="J31145">
        <v>7</v>
      </c>
    </row>
    <row r="31146" spans="1:10" x14ac:dyDescent="0.25">
      <c r="A31146" t="s">
        <v>352</v>
      </c>
      <c r="B31146" s="1" t="str">
        <f>HYPERLINK("http://dresser-rand.no","dresser-rand.no")</f>
        <v>dresser-rand.no</v>
      </c>
      <c r="C31146" t="s">
        <v>478</v>
      </c>
      <c r="D31146" t="s">
        <v>853</v>
      </c>
      <c r="F31146">
        <v>4.7524897639867001E-9</v>
      </c>
      <c r="G31146">
        <v>38212488</v>
      </c>
      <c r="H31146">
        <v>11426929</v>
      </c>
      <c r="I31146">
        <v>30159979</v>
      </c>
      <c r="J31146">
        <v>7</v>
      </c>
    </row>
    <row r="31147" spans="1:10" x14ac:dyDescent="0.25">
      <c r="A31147" t="s">
        <v>352</v>
      </c>
      <c r="B31147" s="1" t="str">
        <f>HYPERLINK("http://siemens.no","siemens.no")</f>
        <v>siemens.no</v>
      </c>
      <c r="C31147" t="s">
        <v>478</v>
      </c>
      <c r="D31147" t="s">
        <v>853</v>
      </c>
      <c r="F31147">
        <v>2.8534566121635299E-8</v>
      </c>
      <c r="G31147">
        <v>1803986</v>
      </c>
      <c r="H31147">
        <v>14391355</v>
      </c>
      <c r="I31147">
        <v>1166678</v>
      </c>
      <c r="J31147">
        <v>2</v>
      </c>
    </row>
    <row r="31148" spans="1:10" x14ac:dyDescent="0.25">
      <c r="A31148" t="s">
        <v>352</v>
      </c>
      <c r="B31148" s="1" t="str">
        <f>HYPERLINK("http://constructech.online","constructech.online")</f>
        <v>constructech.online</v>
      </c>
      <c r="C31148" t="s">
        <v>563</v>
      </c>
      <c r="F31148">
        <v>1.6532945376302499E-8</v>
      </c>
      <c r="G31148">
        <v>3405605</v>
      </c>
      <c r="H31148">
        <v>13740455</v>
      </c>
      <c r="I31148">
        <v>9429883</v>
      </c>
      <c r="J31148">
        <v>5</v>
      </c>
    </row>
    <row r="31149" spans="1:10" x14ac:dyDescent="0.25">
      <c r="A31149" t="s">
        <v>352</v>
      </c>
      <c r="B31149" s="1" t="str">
        <f>HYPERLINK("http://box.org","box.org")</f>
        <v>box.org</v>
      </c>
      <c r="C31149" t="s">
        <v>481</v>
      </c>
      <c r="E31149">
        <v>431410</v>
      </c>
      <c r="F31149">
        <v>1.93996076714875E-7</v>
      </c>
      <c r="G31149">
        <v>198741</v>
      </c>
      <c r="H31149">
        <v>14232246</v>
      </c>
      <c r="I31149">
        <v>1672098</v>
      </c>
      <c r="J31149">
        <v>8</v>
      </c>
    </row>
    <row r="31150" spans="1:10" x14ac:dyDescent="0.25">
      <c r="A31150" t="s">
        <v>352</v>
      </c>
      <c r="B31150" s="1" t="str">
        <f>HYPERLINK("http://siemens.com.pk","siemens.com.pk")</f>
        <v>siemens.com.pk</v>
      </c>
      <c r="C31150" t="s">
        <v>485</v>
      </c>
      <c r="D31150" t="s">
        <v>859</v>
      </c>
      <c r="F31150">
        <v>6.6002542861032999E-9</v>
      </c>
      <c r="G31150">
        <v>13676032</v>
      </c>
      <c r="H31150">
        <v>12722797</v>
      </c>
      <c r="I31150">
        <v>15239583</v>
      </c>
      <c r="J31150">
        <v>2</v>
      </c>
    </row>
    <row r="31151" spans="1:10" x14ac:dyDescent="0.25">
      <c r="A31151" t="s">
        <v>352</v>
      </c>
      <c r="B31151" s="1" t="str">
        <f>HYPERLINK("http://ingenico.pl","ingenico.pl")</f>
        <v>ingenico.pl</v>
      </c>
      <c r="C31151" t="s">
        <v>486</v>
      </c>
      <c r="D31151" t="s">
        <v>860</v>
      </c>
      <c r="F31151">
        <v>2.2071208049628699E-8</v>
      </c>
      <c r="G31151">
        <v>2377845</v>
      </c>
      <c r="H31151">
        <v>12283781</v>
      </c>
      <c r="I31151">
        <v>21235181</v>
      </c>
      <c r="J31151">
        <v>9</v>
      </c>
    </row>
    <row r="31152" spans="1:10" x14ac:dyDescent="0.25">
      <c r="A31152" t="s">
        <v>352</v>
      </c>
      <c r="B31152" s="1" t="str">
        <f>HYPERLINK("http://siemens.pl","siemens.pl")</f>
        <v>siemens.pl</v>
      </c>
      <c r="C31152" t="s">
        <v>486</v>
      </c>
      <c r="D31152" t="s">
        <v>860</v>
      </c>
      <c r="F31152">
        <v>6.1447660697932404E-8</v>
      </c>
      <c r="G31152">
        <v>716267</v>
      </c>
      <c r="H31152">
        <v>14242604</v>
      </c>
      <c r="I31152">
        <v>1482909</v>
      </c>
      <c r="J31152">
        <v>2</v>
      </c>
    </row>
    <row r="31153" spans="1:10" x14ac:dyDescent="0.25">
      <c r="A31153" t="s">
        <v>352</v>
      </c>
      <c r="B31153" s="1" t="str">
        <f>HYPERLINK("http://gigaset.pro","gigaset.pro")</f>
        <v>gigaset.pro</v>
      </c>
      <c r="C31153" t="s">
        <v>574</v>
      </c>
      <c r="F31153">
        <v>5.0325404897746102E-9</v>
      </c>
      <c r="G31153">
        <v>28610990</v>
      </c>
      <c r="H31153">
        <v>12075950</v>
      </c>
      <c r="I31153">
        <v>26664629</v>
      </c>
      <c r="J31153">
        <v>4</v>
      </c>
    </row>
    <row r="31154" spans="1:10" x14ac:dyDescent="0.25">
      <c r="A31154" t="s">
        <v>352</v>
      </c>
      <c r="B31154" s="1" t="str">
        <f>HYPERLINK("http://siemens.pt","siemens.pt")</f>
        <v>siemens.pt</v>
      </c>
      <c r="C31154" t="s">
        <v>488</v>
      </c>
      <c r="D31154" t="s">
        <v>862</v>
      </c>
      <c r="F31154">
        <v>2.2121287949277598E-8</v>
      </c>
      <c r="G31154">
        <v>2371962</v>
      </c>
      <c r="H31154">
        <v>14077679</v>
      </c>
      <c r="I31154">
        <v>2860695</v>
      </c>
      <c r="J31154">
        <v>2</v>
      </c>
    </row>
    <row r="31155" spans="1:10" x14ac:dyDescent="0.25">
      <c r="A31155" t="s">
        <v>352</v>
      </c>
      <c r="B31155" s="1" t="str">
        <f>HYPERLINK("http://siemens.com.qa","siemens.com.qa")</f>
        <v>siemens.com.qa</v>
      </c>
      <c r="C31155" t="s">
        <v>490</v>
      </c>
      <c r="D31155" t="s">
        <v>864</v>
      </c>
      <c r="F31155">
        <v>5.0255813858463296E-9</v>
      </c>
      <c r="G31155">
        <v>28772328</v>
      </c>
      <c r="H31155">
        <v>10693016</v>
      </c>
      <c r="I31155">
        <v>42445986</v>
      </c>
      <c r="J31155">
        <v>4</v>
      </c>
    </row>
    <row r="31156" spans="1:10" x14ac:dyDescent="0.25">
      <c r="A31156" t="s">
        <v>352</v>
      </c>
      <c r="B31156" s="1" t="str">
        <f>HYPERLINK("http://siemens.ro","siemens.ro")</f>
        <v>siemens.ro</v>
      </c>
      <c r="C31156" t="s">
        <v>491</v>
      </c>
      <c r="D31156" t="s">
        <v>865</v>
      </c>
      <c r="F31156">
        <v>1.10972199712366E-8</v>
      </c>
      <c r="G31156">
        <v>5787444</v>
      </c>
      <c r="H31156">
        <v>12865126</v>
      </c>
      <c r="I31156">
        <v>14160221</v>
      </c>
      <c r="J31156">
        <v>2</v>
      </c>
    </row>
    <row r="31157" spans="1:10" x14ac:dyDescent="0.25">
      <c r="A31157" t="s">
        <v>352</v>
      </c>
      <c r="B31157" s="1" t="str">
        <f>HYPERLINK("http://siemens.rs","siemens.rs")</f>
        <v>siemens.rs</v>
      </c>
      <c r="C31157" t="s">
        <v>492</v>
      </c>
      <c r="D31157" t="s">
        <v>866</v>
      </c>
      <c r="F31157">
        <v>1.1758128350361799E-8</v>
      </c>
      <c r="G31157">
        <v>5328636</v>
      </c>
      <c r="H31157">
        <v>14074266</v>
      </c>
      <c r="I31157">
        <v>2949699</v>
      </c>
      <c r="J31157">
        <v>2</v>
      </c>
    </row>
    <row r="31158" spans="1:10" x14ac:dyDescent="0.25">
      <c r="A31158" t="s">
        <v>352</v>
      </c>
      <c r="B31158" s="1" t="str">
        <f>HYPERLINK("http://ingenico.ru","ingenico.ru")</f>
        <v>ingenico.ru</v>
      </c>
      <c r="C31158" t="s">
        <v>493</v>
      </c>
      <c r="D31158" t="s">
        <v>867</v>
      </c>
      <c r="E31158">
        <v>960826</v>
      </c>
      <c r="F31158">
        <v>3.9083686685267899E-8</v>
      </c>
      <c r="G31158">
        <v>1319695</v>
      </c>
      <c r="H31158">
        <v>12468324</v>
      </c>
      <c r="I31158">
        <v>17777655</v>
      </c>
      <c r="J31158">
        <v>9</v>
      </c>
    </row>
    <row r="31159" spans="1:10" x14ac:dyDescent="0.25">
      <c r="A31159" t="s">
        <v>352</v>
      </c>
      <c r="B31159" s="1" t="str">
        <f>HYPERLINK("http://oez.ru","oez.ru")</f>
        <v>oez.ru</v>
      </c>
      <c r="C31159" t="s">
        <v>493</v>
      </c>
      <c r="D31159" t="s">
        <v>867</v>
      </c>
      <c r="F31159">
        <v>8.6403377153426999E-9</v>
      </c>
      <c r="G31159">
        <v>8583722</v>
      </c>
      <c r="H31159">
        <v>10966468</v>
      </c>
      <c r="I31159">
        <v>34214169</v>
      </c>
      <c r="J31159">
        <v>4</v>
      </c>
    </row>
    <row r="31160" spans="1:10" x14ac:dyDescent="0.25">
      <c r="A31160" t="s">
        <v>352</v>
      </c>
      <c r="B31160" s="1" t="str">
        <f>HYPERLINK("http://siemens.ru","siemens.ru")</f>
        <v>siemens.ru</v>
      </c>
      <c r="C31160" t="s">
        <v>493</v>
      </c>
      <c r="D31160" t="s">
        <v>867</v>
      </c>
      <c r="E31160">
        <v>395837</v>
      </c>
      <c r="F31160">
        <v>1.52375234233035E-7</v>
      </c>
      <c r="G31160">
        <v>254880</v>
      </c>
      <c r="H31160">
        <v>14261111</v>
      </c>
      <c r="I31160">
        <v>1417914</v>
      </c>
      <c r="J31160">
        <v>2</v>
      </c>
    </row>
    <row r="31161" spans="1:10" x14ac:dyDescent="0.25">
      <c r="A31161" t="s">
        <v>352</v>
      </c>
      <c r="B31161" s="1" t="str">
        <f>HYPERLINK("http://siemens-healthineers.ru","siemens-healthineers.ru")</f>
        <v>siemens-healthineers.ru</v>
      </c>
      <c r="C31161" t="s">
        <v>493</v>
      </c>
      <c r="D31161" t="s">
        <v>867</v>
      </c>
      <c r="F31161">
        <v>5.5681349697511703E-9</v>
      </c>
      <c r="G31161">
        <v>20196365</v>
      </c>
      <c r="H31161">
        <v>12130045</v>
      </c>
      <c r="I31161">
        <v>25138979</v>
      </c>
      <c r="J31161">
        <v>3</v>
      </c>
    </row>
    <row r="31162" spans="1:10" x14ac:dyDescent="0.25">
      <c r="A31162" t="s">
        <v>352</v>
      </c>
      <c r="B31162" s="1" t="str">
        <f>HYPERLINK("http://siemens.com.sa","siemens.com.sa")</f>
        <v>siemens.com.sa</v>
      </c>
      <c r="C31162" t="s">
        <v>494</v>
      </c>
      <c r="D31162" t="s">
        <v>868</v>
      </c>
      <c r="F31162">
        <v>7.1171563327044602E-9</v>
      </c>
      <c r="G31162">
        <v>11967070</v>
      </c>
      <c r="H31162">
        <v>12734679</v>
      </c>
      <c r="I31162">
        <v>15173424</v>
      </c>
      <c r="J31162">
        <v>2</v>
      </c>
    </row>
    <row r="31163" spans="1:10" x14ac:dyDescent="0.25">
      <c r="A31163" t="s">
        <v>352</v>
      </c>
      <c r="B31163" s="1" t="str">
        <f>HYPERLINK("http://siemens.se","siemens.se")</f>
        <v>siemens.se</v>
      </c>
      <c r="C31163" t="s">
        <v>495</v>
      </c>
      <c r="D31163" t="s">
        <v>869</v>
      </c>
      <c r="E31163">
        <v>295655</v>
      </c>
      <c r="F31163">
        <v>3.5464220182477098E-8</v>
      </c>
      <c r="G31163">
        <v>1467515</v>
      </c>
      <c r="H31163">
        <v>14243622</v>
      </c>
      <c r="I31163">
        <v>1476317</v>
      </c>
      <c r="J31163">
        <v>2</v>
      </c>
    </row>
    <row r="31164" spans="1:10" x14ac:dyDescent="0.25">
      <c r="A31164" t="s">
        <v>352</v>
      </c>
      <c r="B31164" s="1" t="str">
        <f>HYPERLINK("http://asysbs.services","asysbs.services")</f>
        <v>asysbs.services</v>
      </c>
      <c r="C31164" t="s">
        <v>579</v>
      </c>
      <c r="E31164">
        <v>540332</v>
      </c>
      <c r="F31164">
        <v>4.44381528729582E-9</v>
      </c>
      <c r="G31164">
        <v>79436299</v>
      </c>
      <c r="H31164">
        <v>10358497</v>
      </c>
      <c r="I31164">
        <v>55425382</v>
      </c>
      <c r="J31164">
        <v>4</v>
      </c>
    </row>
    <row r="31165" spans="1:10" x14ac:dyDescent="0.25">
      <c r="A31165" t="s">
        <v>352</v>
      </c>
      <c r="B31165" s="1" t="str">
        <f>HYPERLINK("http://siemens.com.sg","siemens.com.sg")</f>
        <v>siemens.com.sg</v>
      </c>
      <c r="C31165" t="s">
        <v>496</v>
      </c>
      <c r="D31165" t="s">
        <v>870</v>
      </c>
      <c r="E31165">
        <v>73925</v>
      </c>
      <c r="F31165">
        <v>1.3277737313783999E-8</v>
      </c>
      <c r="G31165">
        <v>4503275</v>
      </c>
      <c r="H31165">
        <v>13144787</v>
      </c>
      <c r="I31165">
        <v>11856819</v>
      </c>
      <c r="J31165">
        <v>2</v>
      </c>
    </row>
    <row r="31166" spans="1:10" x14ac:dyDescent="0.25">
      <c r="A31166" t="s">
        <v>352</v>
      </c>
      <c r="B31166" s="1" t="str">
        <f>HYPERLINK("http://oez.sk","oez.sk")</f>
        <v>oez.sk</v>
      </c>
      <c r="C31166" t="s">
        <v>498</v>
      </c>
      <c r="D31166" t="s">
        <v>872</v>
      </c>
      <c r="F31166">
        <v>2.1197119252728399E-8</v>
      </c>
      <c r="G31166">
        <v>2488087</v>
      </c>
      <c r="H31166">
        <v>12736187</v>
      </c>
      <c r="I31166">
        <v>15161856</v>
      </c>
      <c r="J31166">
        <v>4</v>
      </c>
    </row>
    <row r="31167" spans="1:10" x14ac:dyDescent="0.25">
      <c r="A31167" t="s">
        <v>352</v>
      </c>
      <c r="B31167" s="1" t="str">
        <f>HYPERLINK("http://siemens.sk","siemens.sk")</f>
        <v>siemens.sk</v>
      </c>
      <c r="C31167" t="s">
        <v>498</v>
      </c>
      <c r="D31167" t="s">
        <v>872</v>
      </c>
      <c r="F31167">
        <v>3.3979235579517597E-8</v>
      </c>
      <c r="G31167">
        <v>1523756</v>
      </c>
      <c r="H31167">
        <v>13875019</v>
      </c>
      <c r="I31167">
        <v>5991607</v>
      </c>
      <c r="J31167">
        <v>2</v>
      </c>
    </row>
    <row r="31168" spans="1:10" x14ac:dyDescent="0.25">
      <c r="A31168" t="s">
        <v>352</v>
      </c>
      <c r="B31168" s="1" t="str">
        <f>HYPERLINK("http://siprin.sk","siprin.sk")</f>
        <v>siprin.sk</v>
      </c>
      <c r="C31168" t="s">
        <v>498</v>
      </c>
      <c r="D31168" t="s">
        <v>872</v>
      </c>
      <c r="F31168">
        <v>7.3612272795395198E-9</v>
      </c>
      <c r="G31168">
        <v>11334800</v>
      </c>
      <c r="H31168">
        <v>12723786</v>
      </c>
      <c r="I31168">
        <v>15234274</v>
      </c>
      <c r="J31168">
        <v>4</v>
      </c>
    </row>
    <row r="31169" spans="1:10" x14ac:dyDescent="0.25">
      <c r="A31169" t="s">
        <v>352</v>
      </c>
      <c r="B31169" s="1" t="str">
        <f>HYPERLINK("http://vacuumschmelze.sk","vacuumschmelze.sk")</f>
        <v>vacuumschmelze.sk</v>
      </c>
      <c r="C31169" t="s">
        <v>498</v>
      </c>
      <c r="D31169" t="s">
        <v>872</v>
      </c>
      <c r="F31169">
        <v>8.4720109599523202E-9</v>
      </c>
      <c r="G31169">
        <v>8899103</v>
      </c>
      <c r="H31169">
        <v>10945881</v>
      </c>
      <c r="I31169">
        <v>34678893</v>
      </c>
      <c r="J31169">
        <v>6</v>
      </c>
    </row>
    <row r="31170" spans="1:10" x14ac:dyDescent="0.25">
      <c r="A31170" t="s">
        <v>352</v>
      </c>
      <c r="B31170" s="1" t="str">
        <f>HYPERLINK("http://worldline.tech","worldline.tech")</f>
        <v>worldline.tech</v>
      </c>
      <c r="C31170" t="s">
        <v>534</v>
      </c>
      <c r="F31170">
        <v>3.5653060644733601E-8</v>
      </c>
      <c r="G31170">
        <v>1460873</v>
      </c>
      <c r="H31170">
        <v>13566887</v>
      </c>
      <c r="I31170">
        <v>9749439</v>
      </c>
      <c r="J31170">
        <v>7</v>
      </c>
    </row>
    <row r="31171" spans="1:10" x14ac:dyDescent="0.25">
      <c r="A31171" t="s">
        <v>352</v>
      </c>
      <c r="B31171" s="1" t="str">
        <f>HYPERLINK("http://siemens.co.th","siemens.co.th")</f>
        <v>siemens.co.th</v>
      </c>
      <c r="C31171" t="s">
        <v>500</v>
      </c>
      <c r="D31171" t="s">
        <v>874</v>
      </c>
      <c r="F31171">
        <v>7.9345661832466001E-9</v>
      </c>
      <c r="G31171">
        <v>10044658</v>
      </c>
      <c r="H31171">
        <v>14075509</v>
      </c>
      <c r="I31171">
        <v>2907326</v>
      </c>
      <c r="J31171">
        <v>2</v>
      </c>
    </row>
    <row r="31172" spans="1:10" x14ac:dyDescent="0.25">
      <c r="A31172" t="s">
        <v>352</v>
      </c>
      <c r="B31172" s="1" t="str">
        <f>HYPERLINK("http://technohouse.com.tn","technohouse.com.tn")</f>
        <v>technohouse.com.tn</v>
      </c>
      <c r="C31172" t="s">
        <v>501</v>
      </c>
      <c r="D31172" t="s">
        <v>875</v>
      </c>
      <c r="J31172">
        <v>3</v>
      </c>
    </row>
    <row r="31173" spans="1:10" x14ac:dyDescent="0.25">
      <c r="A31173" t="s">
        <v>352</v>
      </c>
      <c r="B31173" s="1" t="str">
        <f>HYPERLINK("http://ingenico.com.tr","ingenico.com.tr")</f>
        <v>ingenico.com.tr</v>
      </c>
      <c r="C31173" t="s">
        <v>502</v>
      </c>
      <c r="D31173" t="s">
        <v>876</v>
      </c>
      <c r="F31173">
        <v>3.8529076819850599E-8</v>
      </c>
      <c r="G31173">
        <v>1338574</v>
      </c>
      <c r="H31173">
        <v>14030244</v>
      </c>
      <c r="I31173">
        <v>3937577</v>
      </c>
      <c r="J31173">
        <v>9</v>
      </c>
    </row>
    <row r="31174" spans="1:10" x14ac:dyDescent="0.25">
      <c r="A31174" t="s">
        <v>352</v>
      </c>
      <c r="B31174" s="1" t="str">
        <f>HYPERLINK("http://siemens.com.tr","siemens.com.tr")</f>
        <v>siemens.com.tr</v>
      </c>
      <c r="C31174" t="s">
        <v>502</v>
      </c>
      <c r="D31174" t="s">
        <v>876</v>
      </c>
      <c r="E31174">
        <v>609250</v>
      </c>
      <c r="F31174">
        <v>2.8262631097688599E-8</v>
      </c>
      <c r="G31174">
        <v>1821077</v>
      </c>
      <c r="H31174">
        <v>14134962</v>
      </c>
      <c r="I31174">
        <v>1974024</v>
      </c>
      <c r="J31174">
        <v>2</v>
      </c>
    </row>
    <row r="31175" spans="1:10" x14ac:dyDescent="0.25">
      <c r="A31175" t="s">
        <v>352</v>
      </c>
      <c r="B31175" s="1" t="str">
        <f>HYPERLINK("http://coopcl.com.tw","coopcl.com.tw")</f>
        <v>coopcl.com.tw</v>
      </c>
      <c r="C31175" t="s">
        <v>504</v>
      </c>
      <c r="D31175" t="s">
        <v>878</v>
      </c>
      <c r="F31175">
        <v>4.8600391048267703E-9</v>
      </c>
      <c r="G31175">
        <v>33812353</v>
      </c>
      <c r="H31175">
        <v>12559358</v>
      </c>
      <c r="I31175">
        <v>16720864</v>
      </c>
      <c r="J31175">
        <v>5</v>
      </c>
    </row>
    <row r="31176" spans="1:10" x14ac:dyDescent="0.25">
      <c r="A31176" t="s">
        <v>352</v>
      </c>
      <c r="B31176" s="1" t="str">
        <f>HYPERLINK("http://siemens.com.tw","siemens.com.tw")</f>
        <v>siemens.com.tw</v>
      </c>
      <c r="C31176" t="s">
        <v>504</v>
      </c>
      <c r="D31176" t="s">
        <v>878</v>
      </c>
      <c r="F31176">
        <v>9.4564939237898508E-9</v>
      </c>
      <c r="G31176">
        <v>7374896</v>
      </c>
      <c r="H31176">
        <v>14074346</v>
      </c>
      <c r="I31176">
        <v>2946459</v>
      </c>
      <c r="J31176">
        <v>2</v>
      </c>
    </row>
    <row r="31177" spans="1:10" x14ac:dyDescent="0.25">
      <c r="A31177" t="s">
        <v>352</v>
      </c>
      <c r="B31177" s="1" t="str">
        <f>HYPERLINK("http://ingenico.ua","ingenico.ua")</f>
        <v>ingenico.ua</v>
      </c>
      <c r="C31177" t="s">
        <v>505</v>
      </c>
      <c r="D31177" t="s">
        <v>879</v>
      </c>
      <c r="F31177">
        <v>2.2071208049628699E-8</v>
      </c>
      <c r="G31177">
        <v>2377844</v>
      </c>
      <c r="H31177">
        <v>12283781</v>
      </c>
      <c r="I31177">
        <v>21235182</v>
      </c>
      <c r="J31177">
        <v>9</v>
      </c>
    </row>
    <row r="31178" spans="1:10" x14ac:dyDescent="0.25">
      <c r="A31178" t="s">
        <v>352</v>
      </c>
      <c r="B31178" s="1" t="str">
        <f>HYPERLINK("http://siemens.ua","siemens.ua")</f>
        <v>siemens.ua</v>
      </c>
      <c r="C31178" t="s">
        <v>505</v>
      </c>
      <c r="D31178" t="s">
        <v>879</v>
      </c>
      <c r="F31178">
        <v>7.0998248833500796E-9</v>
      </c>
      <c r="G31178">
        <v>12015517</v>
      </c>
      <c r="H31178">
        <v>12731868</v>
      </c>
      <c r="I31178">
        <v>15188913</v>
      </c>
      <c r="J31178">
        <v>2</v>
      </c>
    </row>
    <row r="31179" spans="1:10" x14ac:dyDescent="0.25">
      <c r="A31179" t="s">
        <v>352</v>
      </c>
      <c r="B31179" s="1" t="str">
        <f>HYPERLINK("http://digitalspace.co.uk","digitalspace.co.uk")</f>
        <v>digitalspace.co.uk</v>
      </c>
      <c r="C31179" t="s">
        <v>506</v>
      </c>
      <c r="D31179" t="s">
        <v>880</v>
      </c>
      <c r="F31179">
        <v>5.5340785173742002E-8</v>
      </c>
      <c r="G31179">
        <v>811449</v>
      </c>
      <c r="H31179">
        <v>13771309</v>
      </c>
      <c r="I31179">
        <v>6698099</v>
      </c>
      <c r="J31179">
        <v>7</v>
      </c>
    </row>
    <row r="31180" spans="1:10" x14ac:dyDescent="0.25">
      <c r="A31180" t="s">
        <v>352</v>
      </c>
      <c r="B31180" s="1" t="str">
        <f>HYPERLINK("http://electrium.co.uk","electrium.co.uk")</f>
        <v>electrium.co.uk</v>
      </c>
      <c r="C31180" t="s">
        <v>506</v>
      </c>
      <c r="D31180" t="s">
        <v>880</v>
      </c>
      <c r="F31180">
        <v>1.8601368975366099E-8</v>
      </c>
      <c r="G31180">
        <v>2907073</v>
      </c>
      <c r="H31180">
        <v>12413085</v>
      </c>
      <c r="I31180">
        <v>18563102</v>
      </c>
      <c r="J31180">
        <v>3</v>
      </c>
    </row>
    <row r="31181" spans="1:10" x14ac:dyDescent="0.25">
      <c r="A31181" t="s">
        <v>352</v>
      </c>
      <c r="B31181" s="1" t="str">
        <f>HYPERLINK("http://ingenico.co.uk","ingenico.co.uk")</f>
        <v>ingenico.co.uk</v>
      </c>
      <c r="C31181" t="s">
        <v>506</v>
      </c>
      <c r="D31181" t="s">
        <v>880</v>
      </c>
      <c r="F31181">
        <v>4.0504408413406501E-8</v>
      </c>
      <c r="G31181">
        <v>1278500</v>
      </c>
      <c r="H31181">
        <v>14076102</v>
      </c>
      <c r="I31181">
        <v>2894191</v>
      </c>
      <c r="J31181">
        <v>9</v>
      </c>
    </row>
    <row r="31182" spans="1:10" x14ac:dyDescent="0.25">
      <c r="A31182" t="s">
        <v>352</v>
      </c>
      <c r="B31182" s="1" t="str">
        <f>HYPERLINK("http://materialssolutions.co.uk","materialssolutions.co.uk")</f>
        <v>materialssolutions.co.uk</v>
      </c>
      <c r="C31182" t="s">
        <v>506</v>
      </c>
      <c r="D31182" t="s">
        <v>880</v>
      </c>
      <c r="F31182">
        <v>2.4851408803088699E-8</v>
      </c>
      <c r="G31182">
        <v>2080676</v>
      </c>
      <c r="H31182">
        <v>13764291</v>
      </c>
      <c r="I31182">
        <v>7305792</v>
      </c>
      <c r="J31182">
        <v>6</v>
      </c>
    </row>
    <row r="31183" spans="1:10" x14ac:dyDescent="0.25">
      <c r="A31183" t="s">
        <v>352</v>
      </c>
      <c r="B31183" s="1" t="str">
        <f>HYPERLINK("http://newnet.co.uk","newnet.co.uk")</f>
        <v>newnet.co.uk</v>
      </c>
      <c r="C31183" t="s">
        <v>506</v>
      </c>
      <c r="D31183" t="s">
        <v>880</v>
      </c>
      <c r="E31183">
        <v>66177</v>
      </c>
      <c r="F31183">
        <v>4.7245036894388497E-8</v>
      </c>
      <c r="G31183">
        <v>986853</v>
      </c>
      <c r="H31183">
        <v>14580377</v>
      </c>
      <c r="I31183">
        <v>710484</v>
      </c>
      <c r="J31183">
        <v>13</v>
      </c>
    </row>
    <row r="31184" spans="1:10" x14ac:dyDescent="0.25">
      <c r="A31184" t="s">
        <v>352</v>
      </c>
      <c r="B31184" s="1" t="str">
        <f>HYPERLINK("http://rail.co.uk","rail.co.uk")</f>
        <v>rail.co.uk</v>
      </c>
      <c r="C31184" t="s">
        <v>506</v>
      </c>
      <c r="D31184" t="s">
        <v>880</v>
      </c>
      <c r="E31184">
        <v>298747</v>
      </c>
      <c r="F31184">
        <v>4.3125380871542599E-8</v>
      </c>
      <c r="G31184">
        <v>1113680</v>
      </c>
      <c r="H31184">
        <v>14838444</v>
      </c>
      <c r="I31184">
        <v>498949</v>
      </c>
      <c r="J31184">
        <v>8</v>
      </c>
    </row>
    <row r="31185" spans="1:10" x14ac:dyDescent="0.25">
      <c r="A31185" t="s">
        <v>352</v>
      </c>
      <c r="B31185" s="1" t="str">
        <f>HYPERLINK("http://siemens.co.uk","siemens.co.uk")</f>
        <v>siemens.co.uk</v>
      </c>
      <c r="C31185" t="s">
        <v>506</v>
      </c>
      <c r="D31185" t="s">
        <v>880</v>
      </c>
      <c r="E31185">
        <v>53908</v>
      </c>
      <c r="F31185">
        <v>2.02887876767793E-7</v>
      </c>
      <c r="G31185">
        <v>187452</v>
      </c>
      <c r="H31185">
        <v>15208045</v>
      </c>
      <c r="I31185">
        <v>394835</v>
      </c>
      <c r="J31185">
        <v>2</v>
      </c>
    </row>
    <row r="31186" spans="1:10" x14ac:dyDescent="0.25">
      <c r="A31186" t="s">
        <v>352</v>
      </c>
      <c r="B31186" s="1" t="str">
        <f>HYPERLINK("http://siemens-healthineers.co.uk","siemens-healthineers.co.uk")</f>
        <v>siemens-healthineers.co.uk</v>
      </c>
      <c r="C31186" t="s">
        <v>506</v>
      </c>
      <c r="D31186" t="s">
        <v>880</v>
      </c>
      <c r="F31186">
        <v>6.6050473149655903E-9</v>
      </c>
      <c r="G31186">
        <v>13657963</v>
      </c>
      <c r="H31186">
        <v>12253089</v>
      </c>
      <c r="I31186">
        <v>21940023</v>
      </c>
      <c r="J31186">
        <v>3</v>
      </c>
    </row>
    <row r="31187" spans="1:10" x14ac:dyDescent="0.25">
      <c r="A31187" t="s">
        <v>352</v>
      </c>
      <c r="B31187" s="1" t="str">
        <f>HYPERLINK("http://timico.co.uk","timico.co.uk")</f>
        <v>timico.co.uk</v>
      </c>
      <c r="C31187" t="s">
        <v>506</v>
      </c>
      <c r="D31187" t="s">
        <v>880</v>
      </c>
      <c r="F31187">
        <v>4.2522206999259797E-8</v>
      </c>
      <c r="G31187">
        <v>1139133</v>
      </c>
      <c r="H31187">
        <v>13319987</v>
      </c>
      <c r="I31187">
        <v>10748547</v>
      </c>
      <c r="J31187">
        <v>12</v>
      </c>
    </row>
    <row r="31188" spans="1:10" x14ac:dyDescent="0.25">
      <c r="A31188" t="s">
        <v>352</v>
      </c>
      <c r="B31188" s="1" t="str">
        <f>HYPERLINK("http://ingenico.us","ingenico.us")</f>
        <v>ingenico.us</v>
      </c>
      <c r="C31188" t="s">
        <v>522</v>
      </c>
      <c r="D31188" t="s">
        <v>891</v>
      </c>
      <c r="E31188">
        <v>801633</v>
      </c>
      <c r="F31188">
        <v>1.42695160338801E-7</v>
      </c>
      <c r="G31188">
        <v>272823</v>
      </c>
      <c r="H31188">
        <v>13923069</v>
      </c>
      <c r="I31188">
        <v>5933131</v>
      </c>
      <c r="J31188">
        <v>9</v>
      </c>
    </row>
    <row r="31189" spans="1:10" x14ac:dyDescent="0.25">
      <c r="A31189" t="s">
        <v>352</v>
      </c>
      <c r="B31189" s="1" t="str">
        <f>HYPERLINK("http://siemens-healthineers.us","siemens-healthineers.us")</f>
        <v>siemens-healthineers.us</v>
      </c>
      <c r="C31189" t="s">
        <v>522</v>
      </c>
      <c r="D31189" t="s">
        <v>891</v>
      </c>
      <c r="F31189">
        <v>6.1270904391172404E-9</v>
      </c>
      <c r="G31189">
        <v>15941036</v>
      </c>
      <c r="H31189">
        <v>12223750</v>
      </c>
      <c r="I31189">
        <v>22688936</v>
      </c>
      <c r="J31189">
        <v>3</v>
      </c>
    </row>
    <row r="31190" spans="1:10" x14ac:dyDescent="0.25">
      <c r="A31190" t="s">
        <v>352</v>
      </c>
      <c r="B31190" s="1" t="str">
        <f>HYPERLINK("http://siemens.uz","siemens.uz")</f>
        <v>siemens.uz</v>
      </c>
      <c r="C31190" t="s">
        <v>560</v>
      </c>
      <c r="D31190" t="s">
        <v>910</v>
      </c>
      <c r="F31190">
        <v>5.71611883659109E-9</v>
      </c>
      <c r="G31190">
        <v>18783729</v>
      </c>
      <c r="H31190">
        <v>12737997</v>
      </c>
      <c r="I31190">
        <v>15153475</v>
      </c>
      <c r="J31190">
        <v>2</v>
      </c>
    </row>
    <row r="31191" spans="1:10" x14ac:dyDescent="0.25">
      <c r="A31191" t="s">
        <v>352</v>
      </c>
      <c r="B31191" s="1" t="str">
        <f>HYPERLINK("http://siemens.com.vn","siemens.com.vn")</f>
        <v>siemens.com.vn</v>
      </c>
      <c r="C31191" t="s">
        <v>509</v>
      </c>
      <c r="D31191" t="s">
        <v>883</v>
      </c>
      <c r="F31191">
        <v>1.5644460181288601E-8</v>
      </c>
      <c r="G31191">
        <v>3642853</v>
      </c>
      <c r="H31191">
        <v>13771476</v>
      </c>
      <c r="I31191">
        <v>6692682</v>
      </c>
      <c r="J31191">
        <v>2</v>
      </c>
    </row>
    <row r="31192" spans="1:10" x14ac:dyDescent="0.25">
      <c r="A31192" t="s">
        <v>352</v>
      </c>
      <c r="B31192" s="1" t="str">
        <f>HYPERLINK("http://ingenico.vn","ingenico.vn")</f>
        <v>ingenico.vn</v>
      </c>
      <c r="C31192" t="s">
        <v>509</v>
      </c>
      <c r="D31192" t="s">
        <v>883</v>
      </c>
      <c r="F31192">
        <v>2.1397580408079999E-8</v>
      </c>
      <c r="G31192">
        <v>2461957</v>
      </c>
      <c r="H31192">
        <v>12283780</v>
      </c>
      <c r="I31192">
        <v>21235194</v>
      </c>
      <c r="J31192">
        <v>9</v>
      </c>
    </row>
    <row r="31193" spans="1:10" x14ac:dyDescent="0.25">
      <c r="A31193" t="s">
        <v>352</v>
      </c>
      <c r="B31193" s="1" t="str">
        <f>HYPERLINK("http://siemens.co.za","siemens.co.za")</f>
        <v>siemens.co.za</v>
      </c>
      <c r="C31193" t="s">
        <v>510</v>
      </c>
      <c r="D31193" t="s">
        <v>884</v>
      </c>
      <c r="F31193">
        <v>1.1111416914622401E-8</v>
      </c>
      <c r="G31193">
        <v>5777087</v>
      </c>
      <c r="H31193">
        <v>12922037</v>
      </c>
      <c r="I31193">
        <v>13417418</v>
      </c>
      <c r="J31193">
        <v>2</v>
      </c>
    </row>
    <row r="31194" spans="1:10" x14ac:dyDescent="0.25">
      <c r="A31194" t="s">
        <v>353</v>
      </c>
      <c r="B31194" s="1" t="str">
        <f>HYPERLINK("http://sika.com.au","sika.com.au")</f>
        <v>sika.com.au</v>
      </c>
      <c r="C31194" t="s">
        <v>420</v>
      </c>
      <c r="D31194" t="s">
        <v>802</v>
      </c>
      <c r="F31194">
        <v>6.5153586154368497E-9</v>
      </c>
      <c r="G31194">
        <v>14014799</v>
      </c>
      <c r="H31194">
        <v>12708934</v>
      </c>
      <c r="I31194">
        <v>15308279</v>
      </c>
      <c r="J31194">
        <v>2</v>
      </c>
    </row>
    <row r="31195" spans="1:10" x14ac:dyDescent="0.25">
      <c r="A31195" t="s">
        <v>353</v>
      </c>
      <c r="B31195" s="1" t="str">
        <f>HYPERLINK("http://supermassa.com.br","supermassa.com.br")</f>
        <v>supermassa.com.br</v>
      </c>
      <c r="C31195" t="s">
        <v>425</v>
      </c>
      <c r="D31195" t="s">
        <v>806</v>
      </c>
      <c r="F31195">
        <v>4.4438620780468497E-9</v>
      </c>
      <c r="G31195">
        <v>78261790</v>
      </c>
      <c r="H31195">
        <v>10471270</v>
      </c>
      <c r="I31195">
        <v>51265143</v>
      </c>
      <c r="J31195">
        <v>3</v>
      </c>
    </row>
    <row r="31196" spans="1:10" x14ac:dyDescent="0.25">
      <c r="A31196" t="s">
        <v>353</v>
      </c>
      <c r="B31196" s="1" t="str">
        <f>HYPERLINK("http://hydrotechmembrane.ca","hydrotechmembrane.ca")</f>
        <v>hydrotechmembrane.ca</v>
      </c>
      <c r="C31196" t="s">
        <v>428</v>
      </c>
      <c r="D31196" t="s">
        <v>809</v>
      </c>
      <c r="F31196">
        <v>1.12359253863589E-8</v>
      </c>
      <c r="G31196">
        <v>5688056</v>
      </c>
      <c r="H31196">
        <v>12317727</v>
      </c>
      <c r="I31196">
        <v>20458346</v>
      </c>
      <c r="J31196">
        <v>3</v>
      </c>
    </row>
    <row r="31197" spans="1:10" x14ac:dyDescent="0.25">
      <c r="A31197" t="s">
        <v>353</v>
      </c>
      <c r="B31197" s="1" t="str">
        <f>HYPERLINK("http://polypag.ch","polypag.ch")</f>
        <v>polypag.ch</v>
      </c>
      <c r="C31197" t="s">
        <v>429</v>
      </c>
      <c r="D31197" t="s">
        <v>810</v>
      </c>
      <c r="F31197">
        <v>4.9015640963452297E-9</v>
      </c>
      <c r="G31197">
        <v>32420746</v>
      </c>
      <c r="H31197">
        <v>12581757</v>
      </c>
      <c r="I31197">
        <v>16490143</v>
      </c>
      <c r="J31197">
        <v>3</v>
      </c>
    </row>
    <row r="31198" spans="1:10" x14ac:dyDescent="0.25">
      <c r="A31198" t="s">
        <v>353</v>
      </c>
      <c r="B31198" s="1" t="str">
        <f>HYPERLINK("http://sika.cn","sika.cn")</f>
        <v>sika.cn</v>
      </c>
      <c r="C31198" t="s">
        <v>431</v>
      </c>
      <c r="D31198" t="s">
        <v>812</v>
      </c>
      <c r="F31198">
        <v>3.1903193331284197E-8</v>
      </c>
      <c r="G31198">
        <v>1619401</v>
      </c>
      <c r="H31198">
        <v>12328790</v>
      </c>
      <c r="I31198">
        <v>20228359</v>
      </c>
      <c r="J31198">
        <v>2</v>
      </c>
    </row>
    <row r="31199" spans="1:10" x14ac:dyDescent="0.25">
      <c r="A31199" t="s">
        <v>353</v>
      </c>
      <c r="B31199" s="1" t="str">
        <f>HYPERLINK("http://sika.com.co","sika.com.co")</f>
        <v>sika.com.co</v>
      </c>
      <c r="C31199" t="s">
        <v>432</v>
      </c>
      <c r="F31199">
        <v>5.6625462093088599E-9</v>
      </c>
      <c r="G31199">
        <v>19282989</v>
      </c>
      <c r="H31199">
        <v>12203318</v>
      </c>
      <c r="I31199">
        <v>23235761</v>
      </c>
      <c r="J31199">
        <v>2</v>
      </c>
    </row>
    <row r="31200" spans="1:10" x14ac:dyDescent="0.25">
      <c r="A31200" t="s">
        <v>353</v>
      </c>
      <c r="B31200" s="1" t="str">
        <f>HYPERLINK("http://belineco.com","belineco.com")</f>
        <v>belineco.com</v>
      </c>
      <c r="C31200" t="s">
        <v>433</v>
      </c>
      <c r="F31200">
        <v>6.1655249781518302E-9</v>
      </c>
      <c r="G31200">
        <v>15717125</v>
      </c>
      <c r="H31200">
        <v>12099324</v>
      </c>
      <c r="I31200">
        <v>25984640</v>
      </c>
      <c r="J31200">
        <v>3</v>
      </c>
    </row>
    <row r="31201" spans="1:10" x14ac:dyDescent="0.25">
      <c r="A31201" t="s">
        <v>353</v>
      </c>
      <c r="B31201" s="1" t="str">
        <f>HYPERLINK("http://bitumode.com","bitumode.com")</f>
        <v>bitumode.com</v>
      </c>
      <c r="C31201" t="s">
        <v>433</v>
      </c>
      <c r="F31201">
        <v>4.9667539372580503E-9</v>
      </c>
      <c r="G31201">
        <v>30329398</v>
      </c>
      <c r="H31201">
        <v>12167494</v>
      </c>
      <c r="I31201">
        <v>24133081</v>
      </c>
      <c r="J31201">
        <v>3</v>
      </c>
    </row>
    <row r="31202" spans="1:10" x14ac:dyDescent="0.25">
      <c r="A31202" t="s">
        <v>353</v>
      </c>
      <c r="B31202" s="1" t="str">
        <f>HYPERLINK("http://emseal.com","emseal.com")</f>
        <v>emseal.com</v>
      </c>
      <c r="C31202" t="s">
        <v>433</v>
      </c>
      <c r="F31202">
        <v>2.7457109410029198E-8</v>
      </c>
      <c r="G31202">
        <v>1872328</v>
      </c>
      <c r="H31202">
        <v>14243237</v>
      </c>
      <c r="I31202">
        <v>1478643</v>
      </c>
      <c r="J31202">
        <v>3</v>
      </c>
    </row>
    <row r="31203" spans="1:10" x14ac:dyDescent="0.25">
      <c r="A31203" t="s">
        <v>353</v>
      </c>
      <c r="B31203" s="1" t="str">
        <f>HYPERLINK("http://hydrotechusa.com","hydrotechusa.com")</f>
        <v>hydrotechusa.com</v>
      </c>
      <c r="C31203" t="s">
        <v>433</v>
      </c>
      <c r="F31203">
        <v>3.9954752736211097E-8</v>
      </c>
      <c r="G31203">
        <v>1293650</v>
      </c>
      <c r="H31203">
        <v>14238465</v>
      </c>
      <c r="I31203">
        <v>1526370</v>
      </c>
      <c r="J31203">
        <v>3</v>
      </c>
    </row>
    <row r="31204" spans="1:10" x14ac:dyDescent="0.25">
      <c r="A31204" t="s">
        <v>353</v>
      </c>
      <c r="B31204" s="1" t="str">
        <f>HYPERLINK("http://parex.com","parex.com")</f>
        <v>parex.com</v>
      </c>
      <c r="C31204" t="s">
        <v>433</v>
      </c>
      <c r="F31204">
        <v>6.7709646970476394E-8</v>
      </c>
      <c r="G31204">
        <v>630723</v>
      </c>
      <c r="H31204">
        <v>13811120</v>
      </c>
      <c r="I31204">
        <v>6208980</v>
      </c>
      <c r="J31204">
        <v>7</v>
      </c>
    </row>
    <row r="31205" spans="1:10" x14ac:dyDescent="0.25">
      <c r="A31205" t="s">
        <v>353</v>
      </c>
      <c r="B31205" s="1" t="str">
        <f>HYPERLINK("http://parex-group.com","parex-group.com")</f>
        <v>parex-group.com</v>
      </c>
      <c r="C31205" t="s">
        <v>433</v>
      </c>
      <c r="F31205">
        <v>2.1830176284490498E-8</v>
      </c>
      <c r="G31205">
        <v>2406246</v>
      </c>
      <c r="H31205">
        <v>13772754</v>
      </c>
      <c r="I31205">
        <v>6649758</v>
      </c>
      <c r="J31205">
        <v>5</v>
      </c>
    </row>
    <row r="31206" spans="1:10" x14ac:dyDescent="0.25">
      <c r="A31206" t="s">
        <v>353</v>
      </c>
      <c r="B31206" s="1" t="str">
        <f>HYPERLINK("http://parexusa.com","parexusa.com")</f>
        <v>parexusa.com</v>
      </c>
      <c r="C31206" t="s">
        <v>433</v>
      </c>
      <c r="F31206">
        <v>3.0008336553658799E-8</v>
      </c>
      <c r="G31206">
        <v>1714542</v>
      </c>
      <c r="H31206">
        <v>13778975</v>
      </c>
      <c r="I31206">
        <v>6494827</v>
      </c>
      <c r="J31206">
        <v>3</v>
      </c>
    </row>
    <row r="31207" spans="1:10" x14ac:dyDescent="0.25">
      <c r="A31207" t="s">
        <v>353</v>
      </c>
      <c r="B31207" s="1" t="str">
        <f>HYPERLINK("http://sika.com","sika.com")</f>
        <v>sika.com</v>
      </c>
      <c r="C31207" t="s">
        <v>433</v>
      </c>
      <c r="E31207">
        <v>15642</v>
      </c>
      <c r="F31207">
        <v>1.86311695890647E-6</v>
      </c>
      <c r="G31207">
        <v>20072</v>
      </c>
      <c r="H31207">
        <v>17406044</v>
      </c>
      <c r="I31207">
        <v>18779</v>
      </c>
      <c r="J31207">
        <v>1</v>
      </c>
    </row>
    <row r="31208" spans="1:10" x14ac:dyDescent="0.25">
      <c r="A31208" t="s">
        <v>353</v>
      </c>
      <c r="B31208" s="1" t="str">
        <f>HYPERLINK("http://ugl.com","ugl.com")</f>
        <v>ugl.com</v>
      </c>
      <c r="C31208" t="s">
        <v>433</v>
      </c>
      <c r="F31208">
        <v>2.7813306769791199E-8</v>
      </c>
      <c r="G31208">
        <v>1849008</v>
      </c>
      <c r="H31208">
        <v>14140922</v>
      </c>
      <c r="I31208">
        <v>1930231</v>
      </c>
      <c r="J31208">
        <v>3</v>
      </c>
    </row>
    <row r="31209" spans="1:10" x14ac:dyDescent="0.25">
      <c r="A31209" t="s">
        <v>353</v>
      </c>
      <c r="B31209" s="1" t="str">
        <f>HYPERLINK("http://kvk.cz","kvk.cz")</f>
        <v>kvk.cz</v>
      </c>
      <c r="C31209" t="s">
        <v>435</v>
      </c>
      <c r="D31209" t="s">
        <v>814</v>
      </c>
      <c r="F31209">
        <v>1.9576903595931399E-8</v>
      </c>
      <c r="G31209">
        <v>2731766</v>
      </c>
      <c r="H31209">
        <v>14078694</v>
      </c>
      <c r="I31209">
        <v>2842709</v>
      </c>
      <c r="J31209">
        <v>4</v>
      </c>
    </row>
    <row r="31210" spans="1:10" x14ac:dyDescent="0.25">
      <c r="A31210" t="s">
        <v>353</v>
      </c>
      <c r="B31210" s="1" t="str">
        <f>HYPERLINK("http://sika.cz","sika.cz")</f>
        <v>sika.cz</v>
      </c>
      <c r="C31210" t="s">
        <v>435</v>
      </c>
      <c r="D31210" t="s">
        <v>814</v>
      </c>
      <c r="F31210">
        <v>1.1045721521962999E-8</v>
      </c>
      <c r="G31210">
        <v>5825531</v>
      </c>
      <c r="H31210">
        <v>12291411</v>
      </c>
      <c r="I31210">
        <v>21075312</v>
      </c>
      <c r="J31210">
        <v>2</v>
      </c>
    </row>
    <row r="31211" spans="1:10" x14ac:dyDescent="0.25">
      <c r="A31211" t="s">
        <v>353</v>
      </c>
      <c r="B31211" s="1" t="str">
        <f>HYPERLINK("http://sika.de","sika.de")</f>
        <v>sika.de</v>
      </c>
      <c r="C31211" t="s">
        <v>436</v>
      </c>
      <c r="D31211" t="s">
        <v>815</v>
      </c>
      <c r="F31211">
        <v>4.2029392557880401E-8</v>
      </c>
      <c r="G31211">
        <v>1164819</v>
      </c>
      <c r="H31211">
        <v>12589470</v>
      </c>
      <c r="I31211">
        <v>16417660</v>
      </c>
      <c r="J31211">
        <v>2</v>
      </c>
    </row>
    <row r="31212" spans="1:10" x14ac:dyDescent="0.25">
      <c r="A31212" t="s">
        <v>353</v>
      </c>
      <c r="B31212" s="1" t="str">
        <f>HYPERLINK("http://sika.dk","sika.dk")</f>
        <v>sika.dk</v>
      </c>
      <c r="C31212" t="s">
        <v>437</v>
      </c>
      <c r="D31212" t="s">
        <v>816</v>
      </c>
      <c r="F31212">
        <v>9.1981170417109397E-9</v>
      </c>
      <c r="G31212">
        <v>7712581</v>
      </c>
      <c r="H31212">
        <v>12215409</v>
      </c>
      <c r="I31212">
        <v>22894937</v>
      </c>
      <c r="J31212">
        <v>3</v>
      </c>
    </row>
    <row r="31213" spans="1:10" x14ac:dyDescent="0.25">
      <c r="A31213" t="s">
        <v>353</v>
      </c>
      <c r="B31213" s="1" t="str">
        <f>HYPERLINK("http://sika.es","sika.es")</f>
        <v>sika.es</v>
      </c>
      <c r="C31213" t="s">
        <v>443</v>
      </c>
      <c r="D31213" t="s">
        <v>822</v>
      </c>
      <c r="F31213">
        <v>2.39439136495584E-8</v>
      </c>
      <c r="G31213">
        <v>2168457</v>
      </c>
      <c r="H31213">
        <v>14066311</v>
      </c>
      <c r="I31213">
        <v>3731920</v>
      </c>
      <c r="J31213">
        <v>3</v>
      </c>
    </row>
    <row r="31214" spans="1:10" x14ac:dyDescent="0.25">
      <c r="A31214" t="s">
        <v>353</v>
      </c>
      <c r="B31214" s="1" t="str">
        <f>HYPERLINK("http://casco.eu","casco.eu")</f>
        <v>casco.eu</v>
      </c>
      <c r="C31214" t="s">
        <v>444</v>
      </c>
      <c r="F31214">
        <v>5.02509483404058E-8</v>
      </c>
      <c r="G31214">
        <v>915390</v>
      </c>
      <c r="H31214">
        <v>14379722</v>
      </c>
      <c r="I31214">
        <v>1197781</v>
      </c>
      <c r="J31214">
        <v>3</v>
      </c>
    </row>
    <row r="31215" spans="1:10" x14ac:dyDescent="0.25">
      <c r="A31215" t="s">
        <v>353</v>
      </c>
      <c r="B31215" s="1" t="str">
        <f>HYPERLINK("http://casco.fi","casco.fi")</f>
        <v>casco.fi</v>
      </c>
      <c r="C31215" t="s">
        <v>445</v>
      </c>
      <c r="D31215" t="s">
        <v>823</v>
      </c>
      <c r="F31215">
        <v>9.49846028699273E-9</v>
      </c>
      <c r="G31215">
        <v>7324420</v>
      </c>
      <c r="H31215">
        <v>13764173</v>
      </c>
      <c r="I31215">
        <v>7350470</v>
      </c>
      <c r="J31215">
        <v>2</v>
      </c>
    </row>
    <row r="31216" spans="1:10" x14ac:dyDescent="0.25">
      <c r="A31216" t="s">
        <v>353</v>
      </c>
      <c r="B31216" s="1" t="str">
        <f>HYPERLINK("http://sika.fi","sika.fi")</f>
        <v>sika.fi</v>
      </c>
      <c r="C31216" t="s">
        <v>445</v>
      </c>
      <c r="D31216" t="s">
        <v>823</v>
      </c>
      <c r="F31216">
        <v>1.2386666835436001E-8</v>
      </c>
      <c r="G31216">
        <v>4946588</v>
      </c>
      <c r="H31216">
        <v>13764177</v>
      </c>
      <c r="I31216">
        <v>7349034</v>
      </c>
      <c r="J31216">
        <v>2</v>
      </c>
    </row>
    <row r="31217" spans="1:10" x14ac:dyDescent="0.25">
      <c r="A31217" t="s">
        <v>353</v>
      </c>
      <c r="B31217" s="1" t="str">
        <f>HYPERLINK("http://sikaliimausopas.fi","sikaliimausopas.fi")</f>
        <v>sikaliimausopas.fi</v>
      </c>
      <c r="C31217" t="s">
        <v>445</v>
      </c>
      <c r="D31217" t="s">
        <v>823</v>
      </c>
      <c r="J31217">
        <v>4</v>
      </c>
    </row>
    <row r="31218" spans="1:10" x14ac:dyDescent="0.25">
      <c r="A31218" t="s">
        <v>353</v>
      </c>
      <c r="B31218" s="1" t="str">
        <f>HYPERLINK("http://revocoat.fr","revocoat.fr")</f>
        <v>revocoat.fr</v>
      </c>
      <c r="C31218" t="s">
        <v>446</v>
      </c>
      <c r="D31218" t="s">
        <v>824</v>
      </c>
      <c r="F31218">
        <v>4.4693338778537602E-9</v>
      </c>
      <c r="G31218">
        <v>64728893</v>
      </c>
      <c r="H31218">
        <v>10600308</v>
      </c>
      <c r="I31218">
        <v>44890231</v>
      </c>
      <c r="J31218">
        <v>3</v>
      </c>
    </row>
    <row r="31219" spans="1:10" x14ac:dyDescent="0.25">
      <c r="A31219" t="s">
        <v>353</v>
      </c>
      <c r="B31219" s="1" t="str">
        <f>HYPERLINK("http://sika.fr","sika.fr")</f>
        <v>sika.fr</v>
      </c>
      <c r="C31219" t="s">
        <v>446</v>
      </c>
      <c r="D31219" t="s">
        <v>824</v>
      </c>
      <c r="F31219">
        <v>1.0468421091755E-8</v>
      </c>
      <c r="G31219">
        <v>6297028</v>
      </c>
      <c r="H31219">
        <v>14092615</v>
      </c>
      <c r="I31219">
        <v>2738853</v>
      </c>
      <c r="J31219">
        <v>2</v>
      </c>
    </row>
    <row r="31220" spans="1:10" x14ac:dyDescent="0.25">
      <c r="A31220" t="s">
        <v>353</v>
      </c>
      <c r="B31220" s="1" t="str">
        <f>HYPERLINK("http://apurvaindia.in","apurvaindia.in")</f>
        <v>apurvaindia.in</v>
      </c>
      <c r="C31220" t="s">
        <v>457</v>
      </c>
      <c r="D31220" t="s">
        <v>834</v>
      </c>
      <c r="F31220">
        <v>6.1750905175363504E-9</v>
      </c>
      <c r="G31220">
        <v>15665807</v>
      </c>
      <c r="H31220">
        <v>13020786</v>
      </c>
      <c r="I31220">
        <v>12709262</v>
      </c>
      <c r="J31220">
        <v>3</v>
      </c>
    </row>
    <row r="31221" spans="1:10" x14ac:dyDescent="0.25">
      <c r="A31221" t="s">
        <v>353</v>
      </c>
      <c r="B31221" s="1" t="str">
        <f>HYPERLINK("http://index-spa.it","index-spa.it")</f>
        <v>index-spa.it</v>
      </c>
      <c r="C31221" t="s">
        <v>459</v>
      </c>
      <c r="D31221" t="s">
        <v>835</v>
      </c>
      <c r="F31221">
        <v>5.6559928961777801E-9</v>
      </c>
      <c r="G31221">
        <v>19339149</v>
      </c>
      <c r="H31221">
        <v>13464741</v>
      </c>
      <c r="I31221">
        <v>10075280</v>
      </c>
      <c r="J31221">
        <v>6</v>
      </c>
    </row>
    <row r="31222" spans="1:10" x14ac:dyDescent="0.25">
      <c r="A31222" t="s">
        <v>353</v>
      </c>
      <c r="B31222" s="1" t="str">
        <f>HYPERLINK("http://indexspa.it","indexspa.it")</f>
        <v>indexspa.it</v>
      </c>
      <c r="C31222" t="s">
        <v>459</v>
      </c>
      <c r="D31222" t="s">
        <v>835</v>
      </c>
      <c r="F31222">
        <v>3.2790460740948998E-8</v>
      </c>
      <c r="G31222">
        <v>1575528</v>
      </c>
      <c r="H31222">
        <v>14081569</v>
      </c>
      <c r="I31222">
        <v>2808845</v>
      </c>
      <c r="J31222">
        <v>3</v>
      </c>
    </row>
    <row r="31223" spans="1:10" x14ac:dyDescent="0.25">
      <c r="A31223" t="s">
        <v>353</v>
      </c>
      <c r="B31223" s="1" t="str">
        <f>HYPERLINK("http://dyflex.co.jp","dyflex.co.jp")</f>
        <v>dyflex.co.jp</v>
      </c>
      <c r="C31223" t="s">
        <v>461</v>
      </c>
      <c r="D31223" t="s">
        <v>837</v>
      </c>
      <c r="F31223">
        <v>4.59544478466579E-8</v>
      </c>
      <c r="G31223">
        <v>1021783</v>
      </c>
      <c r="H31223">
        <v>12776522</v>
      </c>
      <c r="I31223">
        <v>14791331</v>
      </c>
      <c r="J31223">
        <v>3</v>
      </c>
    </row>
    <row r="31224" spans="1:10" x14ac:dyDescent="0.25">
      <c r="A31224" t="s">
        <v>353</v>
      </c>
      <c r="B31224" s="1" t="str">
        <f>HYPERLINK("http://dyflex.or.jp","dyflex.or.jp")</f>
        <v>dyflex.or.jp</v>
      </c>
      <c r="C31224" t="s">
        <v>461</v>
      </c>
      <c r="D31224" t="s">
        <v>837</v>
      </c>
      <c r="F31224">
        <v>8.6830877041731598E-9</v>
      </c>
      <c r="G31224">
        <v>8506945</v>
      </c>
      <c r="H31224">
        <v>10628705</v>
      </c>
      <c r="I31224">
        <v>44029060</v>
      </c>
      <c r="J31224">
        <v>4</v>
      </c>
    </row>
    <row r="31225" spans="1:10" x14ac:dyDescent="0.25">
      <c r="A31225" t="s">
        <v>353</v>
      </c>
      <c r="B31225" s="1" t="str">
        <f>HYPERLINK("http://bexel.mx","bexel.mx")</f>
        <v>bexel.mx</v>
      </c>
      <c r="C31225" t="s">
        <v>471</v>
      </c>
      <c r="D31225" t="s">
        <v>847</v>
      </c>
      <c r="F31225">
        <v>4.8194453177382096E-9</v>
      </c>
      <c r="G31225">
        <v>35291467</v>
      </c>
      <c r="H31225">
        <v>11969943</v>
      </c>
      <c r="I31225">
        <v>28725262</v>
      </c>
      <c r="J31225">
        <v>4</v>
      </c>
    </row>
    <row r="31226" spans="1:10" x14ac:dyDescent="0.25">
      <c r="A31226" t="s">
        <v>353</v>
      </c>
      <c r="B31226" s="1" t="str">
        <f>HYPERLINK("http://bexel.com.mx","bexel.com.mx")</f>
        <v>bexel.com.mx</v>
      </c>
      <c r="C31226" t="s">
        <v>471</v>
      </c>
      <c r="D31226" t="s">
        <v>847</v>
      </c>
      <c r="F31226">
        <v>5.2348262669979597E-9</v>
      </c>
      <c r="G31226">
        <v>24496357</v>
      </c>
      <c r="H31226">
        <v>12046519</v>
      </c>
      <c r="I31226">
        <v>27337105</v>
      </c>
      <c r="J31226">
        <v>3</v>
      </c>
    </row>
    <row r="31227" spans="1:10" x14ac:dyDescent="0.25">
      <c r="A31227" t="s">
        <v>353</v>
      </c>
      <c r="B31227" s="1" t="str">
        <f>HYPERLINK("http://sika.com.mx","sika.com.mx")</f>
        <v>sika.com.mx</v>
      </c>
      <c r="C31227" t="s">
        <v>471</v>
      </c>
      <c r="D31227" t="s">
        <v>847</v>
      </c>
      <c r="F31227">
        <v>4.7186520654953402E-9</v>
      </c>
      <c r="G31227">
        <v>40285645</v>
      </c>
      <c r="H31227">
        <v>11871344</v>
      </c>
      <c r="I31227">
        <v>29664209</v>
      </c>
      <c r="J31227">
        <v>3</v>
      </c>
    </row>
    <row r="31228" spans="1:10" x14ac:dyDescent="0.25">
      <c r="A31228" t="s">
        <v>353</v>
      </c>
      <c r="B31228" s="1" t="str">
        <f>HYPERLINK("http://casco.no","casco.no")</f>
        <v>casco.no</v>
      </c>
      <c r="C31228" t="s">
        <v>478</v>
      </c>
      <c r="D31228" t="s">
        <v>853</v>
      </c>
      <c r="F31228">
        <v>6.4318469156007199E-9</v>
      </c>
      <c r="G31228">
        <v>14373140</v>
      </c>
      <c r="H31228">
        <v>14236072</v>
      </c>
      <c r="I31228">
        <v>1621181</v>
      </c>
      <c r="J31228">
        <v>4</v>
      </c>
    </row>
    <row r="31229" spans="1:10" x14ac:dyDescent="0.25">
      <c r="A31229" t="s">
        <v>353</v>
      </c>
      <c r="B31229" s="1" t="str">
        <f>HYPERLINK("http://sika.no","sika.no")</f>
        <v>sika.no</v>
      </c>
      <c r="C31229" t="s">
        <v>478</v>
      </c>
      <c r="D31229" t="s">
        <v>853</v>
      </c>
      <c r="F31229">
        <v>1.1782915938035401E-8</v>
      </c>
      <c r="G31229">
        <v>5312751</v>
      </c>
      <c r="H31229">
        <v>12251668</v>
      </c>
      <c r="I31229">
        <v>21970115</v>
      </c>
      <c r="J31229">
        <v>3</v>
      </c>
    </row>
    <row r="31230" spans="1:10" x14ac:dyDescent="0.25">
      <c r="A31230" t="s">
        <v>353</v>
      </c>
      <c r="B31230" s="1" t="str">
        <f>HYPERLINK("http://casco.se","casco.se")</f>
        <v>casco.se</v>
      </c>
      <c r="C31230" t="s">
        <v>495</v>
      </c>
      <c r="D31230" t="s">
        <v>869</v>
      </c>
      <c r="F31230">
        <v>1.1020701214279901E-8</v>
      </c>
      <c r="G31230">
        <v>5844162</v>
      </c>
      <c r="H31230">
        <v>12411759</v>
      </c>
      <c r="I31230">
        <v>18583970</v>
      </c>
      <c r="J31230">
        <v>4</v>
      </c>
    </row>
    <row r="31231" spans="1:10" x14ac:dyDescent="0.25">
      <c r="A31231" t="s">
        <v>353</v>
      </c>
      <c r="B31231" s="1" t="str">
        <f>HYPERLINK("http://enewall.co.uk","enewall.co.uk")</f>
        <v>enewall.co.uk</v>
      </c>
      <c r="C31231" t="s">
        <v>506</v>
      </c>
      <c r="D31231" t="s">
        <v>880</v>
      </c>
      <c r="F31231">
        <v>5.1927397904746004E-9</v>
      </c>
      <c r="G31231">
        <v>25290414</v>
      </c>
      <c r="H31231">
        <v>12683919</v>
      </c>
      <c r="I31231">
        <v>15466287</v>
      </c>
      <c r="J31231">
        <v>6</v>
      </c>
    </row>
    <row r="31232" spans="1:10" x14ac:dyDescent="0.25">
      <c r="A31232" t="s">
        <v>353</v>
      </c>
      <c r="B31232" s="1" t="str">
        <f>HYPERLINK("http://everbuild.co.uk","everbuild.co.uk")</f>
        <v>everbuild.co.uk</v>
      </c>
      <c r="C31232" t="s">
        <v>506</v>
      </c>
      <c r="D31232" t="s">
        <v>880</v>
      </c>
      <c r="E31232">
        <v>805176</v>
      </c>
      <c r="F31232">
        <v>3.2640564974835397E-8</v>
      </c>
      <c r="G31232">
        <v>1583098</v>
      </c>
      <c r="H31232">
        <v>14144460</v>
      </c>
      <c r="I31232">
        <v>1906146</v>
      </c>
      <c r="J31232">
        <v>3</v>
      </c>
    </row>
    <row r="31233" spans="1:10" x14ac:dyDescent="0.25">
      <c r="A31233" t="s">
        <v>353</v>
      </c>
      <c r="B31233" s="1" t="str">
        <f>HYPERLINK("http://sika.co.uk","sika.co.uk")</f>
        <v>sika.co.uk</v>
      </c>
      <c r="C31233" t="s">
        <v>506</v>
      </c>
      <c r="D31233" t="s">
        <v>880</v>
      </c>
      <c r="F31233">
        <v>9.7468555250286405E-9</v>
      </c>
      <c r="G31233">
        <v>7027500</v>
      </c>
      <c r="H31233">
        <v>12648264</v>
      </c>
      <c r="I31233">
        <v>15812688</v>
      </c>
      <c r="J31233">
        <v>2</v>
      </c>
    </row>
    <row r="31234" spans="1:10" x14ac:dyDescent="0.25">
      <c r="A31234" t="s">
        <v>354</v>
      </c>
      <c r="B31234" s="1" t="str">
        <f>HYPERLINK("http://cpgi.com","cpgi.com")</f>
        <v>cpgi.com</v>
      </c>
      <c r="C31234" t="s">
        <v>433</v>
      </c>
      <c r="F31234">
        <v>6.5119637357471601E-9</v>
      </c>
      <c r="G31234">
        <v>14029145</v>
      </c>
      <c r="H31234">
        <v>12781603</v>
      </c>
      <c r="I31234">
        <v>14739129</v>
      </c>
      <c r="J31234">
        <v>4</v>
      </c>
    </row>
    <row r="31235" spans="1:10" x14ac:dyDescent="0.25">
      <c r="A31235" t="s">
        <v>354</v>
      </c>
      <c r="B31235" s="1" t="str">
        <f>HYPERLINK("http://grapevinemills.com","grapevinemills.com")</f>
        <v>grapevinemills.com</v>
      </c>
      <c r="C31235" t="s">
        <v>433</v>
      </c>
      <c r="F31235">
        <v>7.5946006838362502E-9</v>
      </c>
      <c r="G31235">
        <v>10806250</v>
      </c>
      <c r="H31235">
        <v>13801894</v>
      </c>
      <c r="I31235">
        <v>6272096</v>
      </c>
      <c r="J31235">
        <v>3</v>
      </c>
    </row>
    <row r="31236" spans="1:10" x14ac:dyDescent="0.25">
      <c r="A31236" t="s">
        <v>354</v>
      </c>
      <c r="B31236" s="1" t="str">
        <f>HYPERLINK("http://greatmallbayarea.com","greatmallbayarea.com")</f>
        <v>greatmallbayarea.com</v>
      </c>
      <c r="C31236" t="s">
        <v>433</v>
      </c>
      <c r="F31236">
        <v>1.2937427011044099E-8</v>
      </c>
      <c r="G31236">
        <v>4661770</v>
      </c>
      <c r="H31236">
        <v>14195589</v>
      </c>
      <c r="I31236">
        <v>1736792</v>
      </c>
      <c r="J31236">
        <v>3</v>
      </c>
    </row>
    <row r="31237" spans="1:10" x14ac:dyDescent="0.25">
      <c r="A31237" t="s">
        <v>354</v>
      </c>
      <c r="B31237" s="1" t="str">
        <f>HYPERLINK("http://jerseygardens.com","jerseygardens.com")</f>
        <v>jerseygardens.com</v>
      </c>
      <c r="C31237" t="s">
        <v>433</v>
      </c>
      <c r="F31237">
        <v>1.34989321059744E-8</v>
      </c>
      <c r="G31237">
        <v>4404153</v>
      </c>
      <c r="H31237">
        <v>14221908</v>
      </c>
      <c r="I31237">
        <v>1684284</v>
      </c>
      <c r="J31237">
        <v>3</v>
      </c>
    </row>
    <row r="31238" spans="1:10" x14ac:dyDescent="0.25">
      <c r="A31238" t="s">
        <v>354</v>
      </c>
      <c r="B31238" s="1" t="str">
        <f>HYPERLINK("http://katymills.com","katymills.com")</f>
        <v>katymills.com</v>
      </c>
      <c r="C31238" t="s">
        <v>433</v>
      </c>
      <c r="F31238">
        <v>6.5167259258217299E-9</v>
      </c>
      <c r="G31238">
        <v>14008732</v>
      </c>
      <c r="H31238">
        <v>13801189</v>
      </c>
      <c r="I31238">
        <v>6275440</v>
      </c>
      <c r="J31238">
        <v>3</v>
      </c>
    </row>
    <row r="31239" spans="1:10" x14ac:dyDescent="0.25">
      <c r="A31239" t="s">
        <v>354</v>
      </c>
      <c r="B31239" s="1" t="str">
        <f>HYPERLINK("http://mcarthurglen.com","mcarthurglen.com")</f>
        <v>mcarthurglen.com</v>
      </c>
      <c r="C31239" t="s">
        <v>433</v>
      </c>
      <c r="E31239">
        <v>37433</v>
      </c>
      <c r="F31239">
        <v>7.7823685615661003E-7</v>
      </c>
      <c r="G31239">
        <v>50334</v>
      </c>
      <c r="H31239">
        <v>15138279</v>
      </c>
      <c r="I31239">
        <v>401439</v>
      </c>
      <c r="J31239">
        <v>5</v>
      </c>
    </row>
    <row r="31240" spans="1:10" x14ac:dyDescent="0.25">
      <c r="A31240" t="s">
        <v>354</v>
      </c>
      <c r="B31240" s="1" t="str">
        <f>HYPERLINK("http://oprymills.com","oprymills.com")</f>
        <v>oprymills.com</v>
      </c>
      <c r="C31240" t="s">
        <v>433</v>
      </c>
      <c r="F31240">
        <v>1.5458676010159401E-8</v>
      </c>
      <c r="G31240">
        <v>3696457</v>
      </c>
      <c r="H31240">
        <v>13802125</v>
      </c>
      <c r="I31240">
        <v>6271089</v>
      </c>
      <c r="J31240">
        <v>3</v>
      </c>
    </row>
    <row r="31241" spans="1:10" x14ac:dyDescent="0.25">
      <c r="A31241" t="s">
        <v>354</v>
      </c>
      <c r="B31241" s="1" t="str">
        <f>HYPERLINK("http://premiumoutlets.com","premiumoutlets.com")</f>
        <v>premiumoutlets.com</v>
      </c>
      <c r="C31241" t="s">
        <v>433</v>
      </c>
      <c r="E31241">
        <v>18349</v>
      </c>
      <c r="F31241">
        <v>1.08012315269799E-6</v>
      </c>
      <c r="G31241">
        <v>35656</v>
      </c>
      <c r="H31241">
        <v>15637629</v>
      </c>
      <c r="I31241">
        <v>371081</v>
      </c>
      <c r="J31241">
        <v>3</v>
      </c>
    </row>
    <row r="31242" spans="1:10" x14ac:dyDescent="0.25">
      <c r="A31242" t="s">
        <v>354</v>
      </c>
      <c r="B31242" s="1" t="str">
        <f>HYPERLINK("http://sawgrassmills.com","sawgrassmills.com")</f>
        <v>sawgrassmills.com</v>
      </c>
      <c r="C31242" t="s">
        <v>433</v>
      </c>
      <c r="F31242">
        <v>8.3307917269678499E-9</v>
      </c>
      <c r="G31242">
        <v>9187407</v>
      </c>
      <c r="H31242">
        <v>13972579</v>
      </c>
      <c r="I31242">
        <v>4069835</v>
      </c>
      <c r="J31242">
        <v>3</v>
      </c>
    </row>
    <row r="31243" spans="1:10" x14ac:dyDescent="0.25">
      <c r="A31243" t="s">
        <v>354</v>
      </c>
      <c r="B31243" s="1" t="str">
        <f>HYPERLINK("http://simon.com","simon.com")</f>
        <v>simon.com</v>
      </c>
      <c r="C31243" t="s">
        <v>433</v>
      </c>
      <c r="E31243">
        <v>12288</v>
      </c>
      <c r="F31243">
        <v>2.4818813578360299E-6</v>
      </c>
      <c r="G31243">
        <v>15080</v>
      </c>
      <c r="H31243">
        <v>17448222</v>
      </c>
      <c r="I31243">
        <v>16259</v>
      </c>
      <c r="J31243">
        <v>1</v>
      </c>
    </row>
    <row r="31244" spans="1:10" x14ac:dyDescent="0.25">
      <c r="A31244" t="s">
        <v>354</v>
      </c>
      <c r="B31244" s="1" t="str">
        <f>HYPERLINK("http://themills.com","themills.com")</f>
        <v>themills.com</v>
      </c>
      <c r="C31244" t="s">
        <v>433</v>
      </c>
      <c r="F31244">
        <v>1.11932507881121E-8</v>
      </c>
      <c r="G31244">
        <v>5717803</v>
      </c>
      <c r="H31244">
        <v>13966591</v>
      </c>
      <c r="I31244">
        <v>4087243</v>
      </c>
      <c r="J31244">
        <v>4</v>
      </c>
    </row>
    <row r="31245" spans="1:10" x14ac:dyDescent="0.25">
      <c r="A31245" t="s">
        <v>354</v>
      </c>
      <c r="B31245" s="1" t="str">
        <f>HYPERLINK("http://mcarthurglen.it","mcarthurglen.it")</f>
        <v>mcarthurglen.it</v>
      </c>
      <c r="C31245" t="s">
        <v>459</v>
      </c>
      <c r="D31245" t="s">
        <v>835</v>
      </c>
      <c r="F31245">
        <v>4.5236451927451099E-8</v>
      </c>
      <c r="G31245">
        <v>1042412</v>
      </c>
      <c r="H31245">
        <v>13839276</v>
      </c>
      <c r="I31245">
        <v>6076258</v>
      </c>
      <c r="J31245">
        <v>6</v>
      </c>
    </row>
    <row r="31246" spans="1:10" x14ac:dyDescent="0.25">
      <c r="A31246" t="s">
        <v>354</v>
      </c>
      <c r="B31246" s="1" t="str">
        <f>HYPERLINK("http://coralsquaremall.org","coralsquaremall.org")</f>
        <v>coralsquaremall.org</v>
      </c>
      <c r="C31246" t="s">
        <v>481</v>
      </c>
      <c r="F31246">
        <v>4.4620223446907497E-9</v>
      </c>
      <c r="G31246">
        <v>67097536</v>
      </c>
      <c r="H31246">
        <v>6811762</v>
      </c>
      <c r="I31246">
        <v>77192991</v>
      </c>
      <c r="J31246">
        <v>6</v>
      </c>
    </row>
    <row r="31247" spans="1:10" x14ac:dyDescent="0.25">
      <c r="A31247" t="s">
        <v>354</v>
      </c>
      <c r="B31247" s="1" t="str">
        <f>HYPERLINK("http://simon.travel","simon.travel")</f>
        <v>simon.travel</v>
      </c>
      <c r="C31247" t="s">
        <v>553</v>
      </c>
      <c r="F31247">
        <v>3.3487037575048897E-8</v>
      </c>
      <c r="G31247">
        <v>1543770</v>
      </c>
      <c r="H31247">
        <v>12399692</v>
      </c>
      <c r="I31247">
        <v>18854216</v>
      </c>
      <c r="J31247">
        <v>2</v>
      </c>
    </row>
    <row r="31248" spans="1:10" x14ac:dyDescent="0.25">
      <c r="A31248" t="s">
        <v>355</v>
      </c>
      <c r="B31248" s="1" t="str">
        <f>HYPERLINK("http://class2career.com","class2career.com")</f>
        <v>class2career.com</v>
      </c>
      <c r="C31248" t="s">
        <v>433</v>
      </c>
      <c r="F31248">
        <v>6.4525741555564301E-9</v>
      </c>
      <c r="G31248">
        <v>14282985</v>
      </c>
      <c r="H31248">
        <v>12251272</v>
      </c>
      <c r="I31248">
        <v>21989627</v>
      </c>
      <c r="J31248">
        <v>6</v>
      </c>
    </row>
    <row r="31249" spans="1:10" x14ac:dyDescent="0.25">
      <c r="A31249" t="s">
        <v>355</v>
      </c>
      <c r="B31249" s="1" t="str">
        <f>HYPERLINK("http://snowflake.com","snowflake.com")</f>
        <v>snowflake.com</v>
      </c>
      <c r="C31249" t="s">
        <v>433</v>
      </c>
      <c r="E31249">
        <v>1538</v>
      </c>
      <c r="F31249">
        <v>5.6893846665258704E-6</v>
      </c>
      <c r="G31249">
        <v>6103</v>
      </c>
      <c r="H31249">
        <v>17736042</v>
      </c>
      <c r="I31249">
        <v>6629</v>
      </c>
      <c r="J31249">
        <v>1</v>
      </c>
    </row>
    <row r="31250" spans="1:10" x14ac:dyDescent="0.25">
      <c r="A31250" t="s">
        <v>355</v>
      </c>
      <c r="B31250" s="1" t="str">
        <f>HYPERLINK("http://snowflakecomputing.com","snowflakecomputing.com")</f>
        <v>snowflakecomputing.com</v>
      </c>
      <c r="C31250" t="s">
        <v>433</v>
      </c>
      <c r="E31250">
        <v>18923</v>
      </c>
      <c r="F31250">
        <v>1.6461921600783401E-7</v>
      </c>
      <c r="G31250">
        <v>235831</v>
      </c>
      <c r="H31250">
        <v>14211227</v>
      </c>
      <c r="I31250">
        <v>1701620</v>
      </c>
      <c r="J31250">
        <v>3</v>
      </c>
    </row>
    <row r="31251" spans="1:10" x14ac:dyDescent="0.25">
      <c r="A31251" t="s">
        <v>355</v>
      </c>
      <c r="B31251" s="1" t="str">
        <f>HYPERLINK("http://leapyear.io","leapyear.io")</f>
        <v>leapyear.io</v>
      </c>
      <c r="C31251" t="s">
        <v>518</v>
      </c>
      <c r="F31251">
        <v>3.6065648947909801E-8</v>
      </c>
      <c r="G31251">
        <v>1445206</v>
      </c>
      <c r="H31251">
        <v>13693960</v>
      </c>
      <c r="I31251">
        <v>9527139</v>
      </c>
      <c r="J31251">
        <v>3</v>
      </c>
    </row>
    <row r="31252" spans="1:10" x14ac:dyDescent="0.25">
      <c r="A31252" t="s">
        <v>355</v>
      </c>
      <c r="B31252" s="1" t="str">
        <f>HYPERLINK("http://snowflake.net","snowflake.net")</f>
        <v>snowflake.net</v>
      </c>
      <c r="C31252" t="s">
        <v>474</v>
      </c>
      <c r="E31252">
        <v>114509</v>
      </c>
      <c r="F31252">
        <v>7.5061008350875298E-7</v>
      </c>
      <c r="G31252">
        <v>51925</v>
      </c>
      <c r="H31252">
        <v>17173072</v>
      </c>
      <c r="I31252">
        <v>47065</v>
      </c>
      <c r="J31252">
        <v>2</v>
      </c>
    </row>
    <row r="31253" spans="1:10" x14ac:dyDescent="0.25">
      <c r="A31253" t="s">
        <v>356</v>
      </c>
      <c r="B31253" s="1" t="str">
        <f>HYPERLINK("http://line.biz","line.biz")</f>
        <v>line.biz</v>
      </c>
      <c r="C31253" t="s">
        <v>423</v>
      </c>
      <c r="E31253">
        <v>3275</v>
      </c>
      <c r="F31253">
        <v>1.7889469728261901E-6</v>
      </c>
      <c r="G31253">
        <v>22346</v>
      </c>
      <c r="H31253">
        <v>17511488</v>
      </c>
      <c r="I31253">
        <v>13153</v>
      </c>
      <c r="J31253">
        <v>6</v>
      </c>
    </row>
    <row r="31254" spans="1:10" x14ac:dyDescent="0.25">
      <c r="A31254" t="s">
        <v>356</v>
      </c>
      <c r="B31254" s="1" t="str">
        <f>HYPERLINK("http://livedoor.biz","livedoor.biz")</f>
        <v>livedoor.biz</v>
      </c>
      <c r="C31254" t="s">
        <v>423</v>
      </c>
      <c r="E31254">
        <v>3456</v>
      </c>
      <c r="F31254">
        <v>1.0831841434881699E-6</v>
      </c>
      <c r="G31254">
        <v>35564</v>
      </c>
      <c r="H31254">
        <v>17481456</v>
      </c>
      <c r="I31254">
        <v>14545</v>
      </c>
      <c r="J31254">
        <v>6</v>
      </c>
    </row>
    <row r="31255" spans="1:10" x14ac:dyDescent="0.25">
      <c r="A31255" t="s">
        <v>356</v>
      </c>
      <c r="B31255" s="1" t="str">
        <f>HYPERLINK("http://livedoor.blog","livedoor.blog")</f>
        <v>livedoor.blog</v>
      </c>
      <c r="C31255" t="s">
        <v>581</v>
      </c>
      <c r="E31255">
        <v>5196</v>
      </c>
      <c r="F31255">
        <v>2.19802821184634E-6</v>
      </c>
      <c r="G31255">
        <v>16689</v>
      </c>
      <c r="H31255">
        <v>17553208</v>
      </c>
      <c r="I31255">
        <v>11181</v>
      </c>
      <c r="J31255">
        <v>6</v>
      </c>
    </row>
    <row r="31256" spans="1:10" x14ac:dyDescent="0.25">
      <c r="A31256" t="s">
        <v>356</v>
      </c>
      <c r="B31256" s="1" t="str">
        <f>HYPERLINK("http://mapbox.by","mapbox.by")</f>
        <v>mapbox.by</v>
      </c>
      <c r="C31256" t="s">
        <v>427</v>
      </c>
      <c r="D31256" t="s">
        <v>808</v>
      </c>
      <c r="F31256">
        <v>4.6406754286809102E-9</v>
      </c>
      <c r="G31256">
        <v>44742489</v>
      </c>
      <c r="H31256">
        <v>10969125</v>
      </c>
      <c r="I31256">
        <v>34161014</v>
      </c>
      <c r="J31256">
        <v>7</v>
      </c>
    </row>
    <row r="31257" spans="1:10" x14ac:dyDescent="0.25">
      <c r="A31257" t="s">
        <v>356</v>
      </c>
      <c r="B31257" s="1" t="str">
        <f>HYPERLINK("http://allinea.com","allinea.com")</f>
        <v>allinea.com</v>
      </c>
      <c r="C31257" t="s">
        <v>433</v>
      </c>
      <c r="F31257">
        <v>7.2362655238072205E-8</v>
      </c>
      <c r="G31257">
        <v>583215</v>
      </c>
      <c r="H31257">
        <v>14325232</v>
      </c>
      <c r="I31257">
        <v>1327418</v>
      </c>
      <c r="J31257">
        <v>6</v>
      </c>
    </row>
    <row r="31258" spans="1:10" x14ac:dyDescent="0.25">
      <c r="A31258" t="s">
        <v>356</v>
      </c>
      <c r="B31258" s="1" t="str">
        <f>HYPERLINK("http://arm.com","arm.com")</f>
        <v>arm.com</v>
      </c>
      <c r="C31258" t="s">
        <v>433</v>
      </c>
      <c r="E31258">
        <v>6890</v>
      </c>
      <c r="F31258">
        <v>6.4346895850461796E-6</v>
      </c>
      <c r="G31258">
        <v>5279</v>
      </c>
      <c r="H31258">
        <v>18134344</v>
      </c>
      <c r="I31258">
        <v>2981</v>
      </c>
      <c r="J31258">
        <v>4</v>
      </c>
    </row>
    <row r="31259" spans="1:10" x14ac:dyDescent="0.25">
      <c r="A31259" t="s">
        <v>356</v>
      </c>
      <c r="B31259" s="1" t="str">
        <f>HYPERLINK("http://cbenergy.com","cbenergy.com")</f>
        <v>cbenergy.com</v>
      </c>
      <c r="C31259" t="s">
        <v>433</v>
      </c>
      <c r="F31259">
        <v>4.44380395335525E-9</v>
      </c>
      <c r="G31259">
        <v>81054275</v>
      </c>
      <c r="H31259">
        <v>0</v>
      </c>
      <c r="I31259">
        <v>81349009</v>
      </c>
      <c r="J31259">
        <v>8</v>
      </c>
    </row>
    <row r="31260" spans="1:10" x14ac:dyDescent="0.25">
      <c r="A31260" t="s">
        <v>356</v>
      </c>
      <c r="B31260" s="1" t="str">
        <f>HYPERLINK("http://denen.com","denen.com")</f>
        <v>denen.com</v>
      </c>
      <c r="C31260" t="s">
        <v>433</v>
      </c>
      <c r="F31260">
        <v>1.4688760323749599E-8</v>
      </c>
      <c r="G31260">
        <v>3945038</v>
      </c>
      <c r="H31260">
        <v>13438038</v>
      </c>
      <c r="I31260">
        <v>10265840</v>
      </c>
      <c r="J31260">
        <v>6</v>
      </c>
    </row>
    <row r="31261" spans="1:10" x14ac:dyDescent="0.25">
      <c r="A31261" t="s">
        <v>356</v>
      </c>
      <c r="B31261" s="1" t="str">
        <f>HYPERLINK("http://dobank.com","dobank.com")</f>
        <v>dobank.com</v>
      </c>
      <c r="C31261" t="s">
        <v>433</v>
      </c>
      <c r="F31261">
        <v>8.8047862179634808E-9</v>
      </c>
      <c r="G31261">
        <v>8297151</v>
      </c>
      <c r="H31261">
        <v>12315319</v>
      </c>
      <c r="I31261">
        <v>20510113</v>
      </c>
      <c r="J31261">
        <v>7</v>
      </c>
    </row>
    <row r="31262" spans="1:10" x14ac:dyDescent="0.25">
      <c r="A31262" t="s">
        <v>356</v>
      </c>
      <c r="B31262" s="1" t="str">
        <f>HYPERLINK("http://idcfcloud.com","idcfcloud.com")</f>
        <v>idcfcloud.com</v>
      </c>
      <c r="C31262" t="s">
        <v>433</v>
      </c>
      <c r="E31262">
        <v>42622</v>
      </c>
      <c r="F31262">
        <v>9.0103216485886897E-8</v>
      </c>
      <c r="G31262">
        <v>452874</v>
      </c>
      <c r="H31262">
        <v>13488480</v>
      </c>
      <c r="I31262">
        <v>9990510</v>
      </c>
      <c r="J31262">
        <v>8</v>
      </c>
    </row>
    <row r="31263" spans="1:10" x14ac:dyDescent="0.25">
      <c r="A31263" t="s">
        <v>356</v>
      </c>
      <c r="B31263" s="1" t="str">
        <f>HYPERLINK("http://ikyu.com","ikyu.com")</f>
        <v>ikyu.com</v>
      </c>
      <c r="C31263" t="s">
        <v>433</v>
      </c>
      <c r="E31263">
        <v>25168</v>
      </c>
      <c r="F31263">
        <v>1.20614850422896E-6</v>
      </c>
      <c r="G31263">
        <v>32369</v>
      </c>
      <c r="H31263">
        <v>17291306</v>
      </c>
      <c r="I31263">
        <v>28848</v>
      </c>
      <c r="J31263">
        <v>7</v>
      </c>
    </row>
    <row r="31264" spans="1:10" x14ac:dyDescent="0.25">
      <c r="A31264" t="s">
        <v>356</v>
      </c>
      <c r="B31264" s="1" t="str">
        <f>HYPERLINK("http://j-enoc.com","j-enoc.com")</f>
        <v>j-enoc.com</v>
      </c>
      <c r="C31264" t="s">
        <v>433</v>
      </c>
      <c r="J31264">
        <v>2</v>
      </c>
    </row>
    <row r="31265" spans="1:10" x14ac:dyDescent="0.25">
      <c r="A31265" t="s">
        <v>356</v>
      </c>
      <c r="B31265" s="1" t="str">
        <f>HYPERLINK("http://jt-america.com","jt-america.com")</f>
        <v>jt-america.com</v>
      </c>
      <c r="C31265" t="s">
        <v>433</v>
      </c>
      <c r="J31265">
        <v>5</v>
      </c>
    </row>
    <row r="31266" spans="1:10" x14ac:dyDescent="0.25">
      <c r="A31266" t="s">
        <v>356</v>
      </c>
      <c r="B31266" s="1" t="str">
        <f>HYPERLINK("http://keil.com","keil.com")</f>
        <v>keil.com</v>
      </c>
      <c r="C31266" t="s">
        <v>433</v>
      </c>
      <c r="E31266">
        <v>42991</v>
      </c>
      <c r="F31266">
        <v>6.4180558077600803E-7</v>
      </c>
      <c r="G31266">
        <v>59861</v>
      </c>
      <c r="H31266">
        <v>17314670</v>
      </c>
      <c r="I31266">
        <v>26362</v>
      </c>
      <c r="J31266">
        <v>4</v>
      </c>
    </row>
    <row r="31267" spans="1:10" x14ac:dyDescent="0.25">
      <c r="A31267" t="s">
        <v>356</v>
      </c>
      <c r="B31267" s="1" t="str">
        <f>HYPERLINK("http://line-apps-rc.com","line-apps-rc.com")</f>
        <v>line-apps-rc.com</v>
      </c>
      <c r="C31267" t="s">
        <v>433</v>
      </c>
      <c r="E31267">
        <v>93115</v>
      </c>
      <c r="F31267">
        <v>4.4438486064592198E-9</v>
      </c>
      <c r="G31267">
        <v>78528938</v>
      </c>
      <c r="H31267">
        <v>10541462</v>
      </c>
      <c r="I31267">
        <v>47178248</v>
      </c>
      <c r="J31267">
        <v>5</v>
      </c>
    </row>
    <row r="31268" spans="1:10" x14ac:dyDescent="0.25">
      <c r="A31268" t="s">
        <v>356</v>
      </c>
      <c r="B31268" s="1" t="str">
        <f>HYPERLINK("http://line-oa-marketplace.com","line-oa-marketplace.com")</f>
        <v>line-oa-marketplace.com</v>
      </c>
      <c r="C31268" t="s">
        <v>433</v>
      </c>
      <c r="F31268">
        <v>5.9409067178527503E-7</v>
      </c>
      <c r="G31268">
        <v>64386</v>
      </c>
      <c r="H31268">
        <v>13201841</v>
      </c>
      <c r="I31268">
        <v>11544353</v>
      </c>
      <c r="J31268">
        <v>5</v>
      </c>
    </row>
    <row r="31269" spans="1:10" x14ac:dyDescent="0.25">
      <c r="A31269" t="s">
        <v>356</v>
      </c>
      <c r="B31269" s="1" t="str">
        <f>HYPERLINK("http://line-objects-internal.com","line-objects-internal.com")</f>
        <v>line-objects-internal.com</v>
      </c>
      <c r="C31269" t="s">
        <v>433</v>
      </c>
      <c r="F31269">
        <v>9.8484259105322906E-9</v>
      </c>
      <c r="G31269">
        <v>6917192</v>
      </c>
      <c r="H31269">
        <v>13162415</v>
      </c>
      <c r="I31269">
        <v>11771991</v>
      </c>
      <c r="J31269">
        <v>5</v>
      </c>
    </row>
    <row r="31270" spans="1:10" x14ac:dyDescent="0.25">
      <c r="A31270" t="s">
        <v>356</v>
      </c>
      <c r="B31270" s="1" t="str">
        <f>HYPERLINK("http://linebizid.com","linebizid.com")</f>
        <v>linebizid.com</v>
      </c>
      <c r="C31270" t="s">
        <v>433</v>
      </c>
      <c r="F31270">
        <v>7.6772734400952005E-9</v>
      </c>
      <c r="G31270">
        <v>10629027</v>
      </c>
      <c r="H31270">
        <v>12076775</v>
      </c>
      <c r="I31270">
        <v>26647771</v>
      </c>
      <c r="J31270">
        <v>5</v>
      </c>
    </row>
    <row r="31271" spans="1:10" x14ac:dyDescent="0.25">
      <c r="A31271" t="s">
        <v>356</v>
      </c>
      <c r="B31271" s="1" t="str">
        <f>HYPERLINK("http://linecorp.com","linecorp.com")</f>
        <v>linecorp.com</v>
      </c>
      <c r="C31271" t="s">
        <v>433</v>
      </c>
      <c r="E31271">
        <v>7957</v>
      </c>
      <c r="F31271">
        <v>3.9681749341209397E-6</v>
      </c>
      <c r="G31271">
        <v>9590</v>
      </c>
      <c r="H31271">
        <v>17875726</v>
      </c>
      <c r="I31271">
        <v>4696</v>
      </c>
      <c r="J31271">
        <v>4</v>
      </c>
    </row>
    <row r="31272" spans="1:10" x14ac:dyDescent="0.25">
      <c r="A31272" t="s">
        <v>356</v>
      </c>
      <c r="B31272" s="1" t="str">
        <f>HYPERLINK("http://linecreditcorp.com","linecreditcorp.com")</f>
        <v>linecreditcorp.com</v>
      </c>
      <c r="C31272" t="s">
        <v>433</v>
      </c>
      <c r="F31272">
        <v>5.9556000854541695E-7</v>
      </c>
      <c r="G31272">
        <v>64205</v>
      </c>
      <c r="H31272">
        <v>13974098</v>
      </c>
      <c r="I31272">
        <v>4065747</v>
      </c>
      <c r="J31272">
        <v>6</v>
      </c>
    </row>
    <row r="31273" spans="1:10" x14ac:dyDescent="0.25">
      <c r="A31273" t="s">
        <v>356</v>
      </c>
      <c r="B31273" s="1" t="str">
        <f>HYPERLINK("http://linefinancialcorp.com","linefinancialcorp.com")</f>
        <v>linefinancialcorp.com</v>
      </c>
      <c r="C31273" t="s">
        <v>433</v>
      </c>
      <c r="F31273">
        <v>6.5421795161914701E-8</v>
      </c>
      <c r="G31273">
        <v>657410</v>
      </c>
      <c r="H31273">
        <v>14093581</v>
      </c>
      <c r="I31273">
        <v>2735074</v>
      </c>
      <c r="J31273">
        <v>5</v>
      </c>
    </row>
    <row r="31274" spans="1:10" x14ac:dyDescent="0.25">
      <c r="A31274" t="s">
        <v>356</v>
      </c>
      <c r="B31274" s="1" t="str">
        <f>HYPERLINK("http://linefinancialpluscorp.com","linefinancialpluscorp.com")</f>
        <v>linefinancialpluscorp.com</v>
      </c>
      <c r="C31274" t="s">
        <v>433</v>
      </c>
      <c r="J31274">
        <v>5</v>
      </c>
    </row>
    <row r="31275" spans="1:10" x14ac:dyDescent="0.25">
      <c r="A31275" t="s">
        <v>356</v>
      </c>
      <c r="B31275" s="1" t="str">
        <f>HYPERLINK("http://linepaycorp.com","linepaycorp.com")</f>
        <v>linepaycorp.com</v>
      </c>
      <c r="C31275" t="s">
        <v>433</v>
      </c>
      <c r="F31275">
        <v>9.0912511924419996E-8</v>
      </c>
      <c r="G31275">
        <v>448460</v>
      </c>
      <c r="H31275">
        <v>16951208</v>
      </c>
      <c r="I31275">
        <v>107936</v>
      </c>
      <c r="J31275">
        <v>6</v>
      </c>
    </row>
    <row r="31276" spans="1:10" x14ac:dyDescent="0.25">
      <c r="A31276" t="s">
        <v>356</v>
      </c>
      <c r="B31276" s="1" t="str">
        <f>HYPERLINK("http://lineventurescorp.com","lineventurescorp.com")</f>
        <v>lineventurescorp.com</v>
      </c>
      <c r="C31276" t="s">
        <v>433</v>
      </c>
      <c r="F31276">
        <v>9.2161892098061703E-9</v>
      </c>
      <c r="G31276">
        <v>7688230</v>
      </c>
      <c r="H31276">
        <v>12371367</v>
      </c>
      <c r="I31276">
        <v>19384115</v>
      </c>
      <c r="J31276">
        <v>6</v>
      </c>
    </row>
    <row r="31277" spans="1:10" x14ac:dyDescent="0.25">
      <c r="A31277" t="s">
        <v>356</v>
      </c>
      <c r="B31277" s="1" t="str">
        <f>HYPERLINK("http://livedoor.com","livedoor.com")</f>
        <v>livedoor.com</v>
      </c>
      <c r="C31277" t="s">
        <v>433</v>
      </c>
      <c r="E31277">
        <v>1114</v>
      </c>
      <c r="F31277">
        <v>5.20408805384811E-6</v>
      </c>
      <c r="G31277">
        <v>6649</v>
      </c>
      <c r="H31277">
        <v>18131820</v>
      </c>
      <c r="I31277">
        <v>2993</v>
      </c>
      <c r="J31277">
        <v>5</v>
      </c>
    </row>
    <row r="31278" spans="1:10" x14ac:dyDescent="0.25">
      <c r="A31278" t="s">
        <v>356</v>
      </c>
      <c r="B31278" s="1" t="str">
        <f>HYPERLINK("http://lvc-corp.com","lvc-corp.com")</f>
        <v>lvc-corp.com</v>
      </c>
      <c r="C31278" t="s">
        <v>433</v>
      </c>
      <c r="F31278">
        <v>1.85120849715085E-8</v>
      </c>
      <c r="G31278">
        <v>2923382</v>
      </c>
      <c r="H31278">
        <v>12725096</v>
      </c>
      <c r="I31278">
        <v>15228396</v>
      </c>
      <c r="J31278">
        <v>8</v>
      </c>
    </row>
    <row r="31279" spans="1:10" x14ac:dyDescent="0.25">
      <c r="A31279" t="s">
        <v>356</v>
      </c>
      <c r="B31279" s="1" t="str">
        <f>HYPERLINK("http://mapbox.com","mapbox.com")</f>
        <v>mapbox.com</v>
      </c>
      <c r="C31279" t="s">
        <v>433</v>
      </c>
      <c r="E31279">
        <v>2180</v>
      </c>
      <c r="F31279">
        <v>7.7814578330431204E-5</v>
      </c>
      <c r="G31279">
        <v>338</v>
      </c>
      <c r="H31279">
        <v>18627162</v>
      </c>
      <c r="I31279">
        <v>1206</v>
      </c>
      <c r="J31279">
        <v>6</v>
      </c>
    </row>
    <row r="31280" spans="1:10" x14ac:dyDescent="0.25">
      <c r="A31280" t="s">
        <v>356</v>
      </c>
      <c r="B31280" s="1" t="str">
        <f>HYPERLINK("http://oddspark.com","oddspark.com")</f>
        <v>oddspark.com</v>
      </c>
      <c r="C31280" t="s">
        <v>433</v>
      </c>
      <c r="E31280">
        <v>313581</v>
      </c>
      <c r="F31280">
        <v>1.1803448992566899E-7</v>
      </c>
      <c r="G31280">
        <v>335834</v>
      </c>
      <c r="H31280">
        <v>14328217</v>
      </c>
      <c r="I31280">
        <v>1325240</v>
      </c>
      <c r="J31280">
        <v>6</v>
      </c>
    </row>
    <row r="31281" spans="1:10" x14ac:dyDescent="0.25">
      <c r="A31281" t="s">
        <v>356</v>
      </c>
      <c r="B31281" s="1" t="str">
        <f>HYPERLINK("http://r8-crm.com","r8-crm.com")</f>
        <v>r8-crm.com</v>
      </c>
      <c r="C31281" t="s">
        <v>433</v>
      </c>
      <c r="F31281">
        <v>4.8443525791019602E-9</v>
      </c>
      <c r="G31281">
        <v>34329624</v>
      </c>
      <c r="H31281">
        <v>10706794</v>
      </c>
      <c r="I31281">
        <v>42215543</v>
      </c>
      <c r="J31281">
        <v>4</v>
      </c>
    </row>
    <row r="31282" spans="1:10" x14ac:dyDescent="0.25">
      <c r="A31282" t="s">
        <v>356</v>
      </c>
      <c r="B31282" s="1" t="str">
        <f>HYPERLINK("http://sbenergy.com","sbenergy.com")</f>
        <v>sbenergy.com</v>
      </c>
      <c r="C31282" t="s">
        <v>433</v>
      </c>
      <c r="F31282">
        <v>2.01470520902656E-8</v>
      </c>
      <c r="G31282">
        <v>2636707</v>
      </c>
      <c r="H31282">
        <v>13497641</v>
      </c>
      <c r="I31282">
        <v>9976593</v>
      </c>
      <c r="J31282">
        <v>6</v>
      </c>
    </row>
    <row r="31283" spans="1:10" x14ac:dyDescent="0.25">
      <c r="A31283" t="s">
        <v>356</v>
      </c>
      <c r="B31283" s="1" t="str">
        <f>HYPERLINK("http://sbps-system.com","sbps-system.com")</f>
        <v>sbps-system.com</v>
      </c>
      <c r="C31283" t="s">
        <v>433</v>
      </c>
      <c r="J31283">
        <v>5</v>
      </c>
    </row>
    <row r="31284" spans="1:10" x14ac:dyDescent="0.25">
      <c r="A31284" t="s">
        <v>356</v>
      </c>
      <c r="B31284" s="1" t="str">
        <f>HYPERLINK("http://simulity.com","simulity.com")</f>
        <v>simulity.com</v>
      </c>
      <c r="C31284" t="s">
        <v>433</v>
      </c>
      <c r="F31284">
        <v>4.71943998849119E-9</v>
      </c>
      <c r="G31284">
        <v>40247879</v>
      </c>
      <c r="H31284">
        <v>13763663</v>
      </c>
      <c r="I31284">
        <v>7863882</v>
      </c>
      <c r="J31284">
        <v>6</v>
      </c>
    </row>
    <row r="31285" spans="1:10" x14ac:dyDescent="0.25">
      <c r="A31285" t="s">
        <v>356</v>
      </c>
      <c r="B31285" s="1" t="str">
        <f>HYPERLINK("http://softbank.com","softbank.com")</f>
        <v>softbank.com</v>
      </c>
      <c r="C31285" t="s">
        <v>433</v>
      </c>
      <c r="E31285">
        <v>361892</v>
      </c>
      <c r="F31285">
        <v>1.2903767168751699E-7</v>
      </c>
      <c r="G31285">
        <v>303691</v>
      </c>
      <c r="H31285">
        <v>14385109</v>
      </c>
      <c r="I31285">
        <v>1180684</v>
      </c>
      <c r="J31285">
        <v>4</v>
      </c>
    </row>
    <row r="31286" spans="1:10" x14ac:dyDescent="0.25">
      <c r="A31286" t="s">
        <v>356</v>
      </c>
      <c r="B31286" s="1" t="str">
        <f>HYPERLINK("http://softbankrobotics.com","softbankrobotics.com")</f>
        <v>softbankrobotics.com</v>
      </c>
      <c r="C31286" t="s">
        <v>433</v>
      </c>
      <c r="E31286">
        <v>83178</v>
      </c>
      <c r="F31286">
        <v>6.6417764581759796E-7</v>
      </c>
      <c r="G31286">
        <v>57985</v>
      </c>
      <c r="H31286">
        <v>17417354</v>
      </c>
      <c r="I31286">
        <v>18047</v>
      </c>
      <c r="J31286">
        <v>3</v>
      </c>
    </row>
    <row r="31287" spans="1:10" x14ac:dyDescent="0.25">
      <c r="A31287" t="s">
        <v>356</v>
      </c>
      <c r="B31287" s="1" t="str">
        <f>HYPERLINK("http://soloel.com","soloel.com")</f>
        <v>soloel.com</v>
      </c>
      <c r="C31287" t="s">
        <v>433</v>
      </c>
      <c r="E31287">
        <v>289796</v>
      </c>
      <c r="F31287">
        <v>1.3953859090467801E-8</v>
      </c>
      <c r="G31287">
        <v>4220426</v>
      </c>
      <c r="H31287">
        <v>12531588</v>
      </c>
      <c r="I31287">
        <v>17019910</v>
      </c>
      <c r="J31287">
        <v>4</v>
      </c>
    </row>
    <row r="31288" spans="1:10" x14ac:dyDescent="0.25">
      <c r="A31288" t="s">
        <v>356</v>
      </c>
      <c r="B31288" s="1" t="str">
        <f>HYPERLINK("http://sps-system.com","sps-system.com")</f>
        <v>sps-system.com</v>
      </c>
      <c r="C31288" t="s">
        <v>433</v>
      </c>
      <c r="E31288">
        <v>32641</v>
      </c>
      <c r="F31288">
        <v>9.1858426979715799E-8</v>
      </c>
      <c r="G31288">
        <v>443435</v>
      </c>
      <c r="H31288">
        <v>12792582</v>
      </c>
      <c r="I31288">
        <v>14676056</v>
      </c>
      <c r="J31288">
        <v>5</v>
      </c>
    </row>
    <row r="31289" spans="1:10" x14ac:dyDescent="0.25">
      <c r="A31289" t="s">
        <v>356</v>
      </c>
      <c r="B31289" s="1" t="str">
        <f>HYPERLINK("http://techbasevn.com","techbasevn.com")</f>
        <v>techbasevn.com</v>
      </c>
      <c r="C31289" t="s">
        <v>433</v>
      </c>
      <c r="F31289">
        <v>4.73485466775801E-9</v>
      </c>
      <c r="G31289">
        <v>39061278</v>
      </c>
      <c r="H31289">
        <v>10825687</v>
      </c>
      <c r="I31289">
        <v>37490784</v>
      </c>
      <c r="J31289">
        <v>2</v>
      </c>
    </row>
    <row r="31290" spans="1:10" x14ac:dyDescent="0.25">
      <c r="A31290" t="s">
        <v>356</v>
      </c>
      <c r="B31290" s="1" t="str">
        <f>HYPERLINK("http://valuecommerce.com","valuecommerce.com")</f>
        <v>valuecommerce.com</v>
      </c>
      <c r="C31290" t="s">
        <v>433</v>
      </c>
      <c r="E31290">
        <v>7245</v>
      </c>
      <c r="F31290">
        <v>1.7469242629818501E-5</v>
      </c>
      <c r="G31290">
        <v>1910</v>
      </c>
      <c r="H31290">
        <v>17370994</v>
      </c>
      <c r="I31290">
        <v>21365</v>
      </c>
      <c r="J31290">
        <v>4</v>
      </c>
    </row>
    <row r="31291" spans="1:10" x14ac:dyDescent="0.25">
      <c r="A31291" t="s">
        <v>356</v>
      </c>
      <c r="B31291" s="1" t="str">
        <f>HYPERLINK("http://visionfund.com","visionfund.com")</f>
        <v>visionfund.com</v>
      </c>
      <c r="C31291" t="s">
        <v>433</v>
      </c>
      <c r="E31291">
        <v>433566</v>
      </c>
      <c r="F31291">
        <v>1.45123414267091E-7</v>
      </c>
      <c r="G31291">
        <v>268226</v>
      </c>
      <c r="H31291">
        <v>14297439</v>
      </c>
      <c r="I31291">
        <v>1358987</v>
      </c>
      <c r="J31291">
        <v>3</v>
      </c>
    </row>
    <row r="31292" spans="1:10" x14ac:dyDescent="0.25">
      <c r="A31292" t="s">
        <v>356</v>
      </c>
      <c r="B31292" s="1" t="str">
        <f>HYPERLINK("http://zozo.com","zozo.com")</f>
        <v>zozo.com</v>
      </c>
      <c r="C31292" t="s">
        <v>433</v>
      </c>
      <c r="E31292">
        <v>230945</v>
      </c>
      <c r="F31292">
        <v>3.1297143339746803E-7</v>
      </c>
      <c r="G31292">
        <v>118808</v>
      </c>
      <c r="H31292">
        <v>17298460</v>
      </c>
      <c r="I31292">
        <v>28067</v>
      </c>
      <c r="J31292">
        <v>3</v>
      </c>
    </row>
    <row r="31293" spans="1:10" x14ac:dyDescent="0.25">
      <c r="A31293" t="s">
        <v>356</v>
      </c>
      <c r="B31293" s="1" t="str">
        <f>HYPERLINK("http://zozonz.com","zozonz.com")</f>
        <v>zozonz.com</v>
      </c>
      <c r="C31293" t="s">
        <v>433</v>
      </c>
      <c r="F31293">
        <v>4.75050980259E-9</v>
      </c>
      <c r="G31293">
        <v>38302128</v>
      </c>
      <c r="H31293">
        <v>12149546</v>
      </c>
      <c r="I31293">
        <v>24635214</v>
      </c>
      <c r="J31293">
        <v>6</v>
      </c>
    </row>
    <row r="31294" spans="1:10" x14ac:dyDescent="0.25">
      <c r="A31294" t="s">
        <v>356</v>
      </c>
      <c r="B31294" s="1" t="str">
        <f>HYPERLINK("http://arm-holdings.fi","arm-holdings.fi")</f>
        <v>arm-holdings.fi</v>
      </c>
      <c r="C31294" t="s">
        <v>445</v>
      </c>
      <c r="D31294" t="s">
        <v>823</v>
      </c>
      <c r="J31294">
        <v>4</v>
      </c>
    </row>
    <row r="31295" spans="1:10" x14ac:dyDescent="0.25">
      <c r="A31295" t="s">
        <v>356</v>
      </c>
      <c r="B31295" s="1" t="str">
        <f>HYPERLINK("http://armholdings.fi","armholdings.fi")</f>
        <v>armholdings.fi</v>
      </c>
      <c r="C31295" t="s">
        <v>445</v>
      </c>
      <c r="D31295" t="s">
        <v>823</v>
      </c>
      <c r="J31295">
        <v>4</v>
      </c>
    </row>
    <row r="31296" spans="1:10" x14ac:dyDescent="0.25">
      <c r="A31296" t="s">
        <v>356</v>
      </c>
      <c r="B31296" s="1" t="str">
        <f>HYPERLINK("http://line.games","line.games")</f>
        <v>line.games</v>
      </c>
      <c r="C31296" t="s">
        <v>700</v>
      </c>
      <c r="E31296">
        <v>42625</v>
      </c>
      <c r="F31296">
        <v>1.8694088593361201E-7</v>
      </c>
      <c r="G31296">
        <v>206134</v>
      </c>
      <c r="H31296">
        <v>17033224</v>
      </c>
      <c r="I31296">
        <v>82318</v>
      </c>
      <c r="J31296">
        <v>6</v>
      </c>
    </row>
    <row r="31297" spans="1:10" x14ac:dyDescent="0.25">
      <c r="A31297" t="s">
        <v>356</v>
      </c>
      <c r="B31297" s="1" t="str">
        <f>HYPERLINK("http://xd.gy","xd.gy")</f>
        <v>xd.gy</v>
      </c>
      <c r="C31297" t="s">
        <v>593</v>
      </c>
      <c r="D31297" t="s">
        <v>928</v>
      </c>
      <c r="J31297">
        <v>5</v>
      </c>
    </row>
    <row r="31298" spans="1:10" x14ac:dyDescent="0.25">
      <c r="A31298" t="s">
        <v>356</v>
      </c>
      <c r="B31298" s="1" t="str">
        <f>HYPERLINK("http://improbable.io","improbable.io")</f>
        <v>improbable.io</v>
      </c>
      <c r="C31298" t="s">
        <v>518</v>
      </c>
      <c r="E31298">
        <v>15602</v>
      </c>
      <c r="F31298">
        <v>7.4769275524801001E-7</v>
      </c>
      <c r="G31298">
        <v>52101</v>
      </c>
      <c r="H31298">
        <v>17101338</v>
      </c>
      <c r="I31298">
        <v>63630</v>
      </c>
      <c r="J31298">
        <v>6</v>
      </c>
    </row>
    <row r="31299" spans="1:10" x14ac:dyDescent="0.25">
      <c r="A31299" t="s">
        <v>356</v>
      </c>
      <c r="B31299" s="1" t="str">
        <f>HYPERLINK("http://dovalue.it","dovalue.it")</f>
        <v>dovalue.it</v>
      </c>
      <c r="C31299" t="s">
        <v>459</v>
      </c>
      <c r="D31299" t="s">
        <v>835</v>
      </c>
      <c r="E31299">
        <v>951947</v>
      </c>
      <c r="F31299">
        <v>2.9432255686394701E-8</v>
      </c>
      <c r="G31299">
        <v>1751013</v>
      </c>
      <c r="H31299">
        <v>14170066</v>
      </c>
      <c r="I31299">
        <v>1805456</v>
      </c>
      <c r="J31299">
        <v>4</v>
      </c>
    </row>
    <row r="31300" spans="1:10" x14ac:dyDescent="0.25">
      <c r="A31300" t="s">
        <v>356</v>
      </c>
      <c r="B31300" s="1" t="str">
        <f>HYPERLINK("http://bspace.jp","bspace.jp")</f>
        <v>bspace.jp</v>
      </c>
      <c r="C31300" t="s">
        <v>461</v>
      </c>
      <c r="D31300" t="s">
        <v>837</v>
      </c>
      <c r="E31300">
        <v>748706</v>
      </c>
      <c r="F31300">
        <v>3.1455931310877101E-8</v>
      </c>
      <c r="G31300">
        <v>1640026</v>
      </c>
      <c r="H31300">
        <v>13993303</v>
      </c>
      <c r="I31300">
        <v>4028452</v>
      </c>
      <c r="J31300">
        <v>2</v>
      </c>
    </row>
    <row r="31301" spans="1:10" x14ac:dyDescent="0.25">
      <c r="A31301" t="s">
        <v>356</v>
      </c>
      <c r="B31301" s="1" t="str">
        <f>HYPERLINK("http://agoop.co.jp","agoop.co.jp")</f>
        <v>agoop.co.jp</v>
      </c>
      <c r="C31301" t="s">
        <v>461</v>
      </c>
      <c r="D31301" t="s">
        <v>837</v>
      </c>
      <c r="F31301">
        <v>8.9517266223433202E-8</v>
      </c>
      <c r="G31301">
        <v>456207</v>
      </c>
      <c r="H31301">
        <v>16839518</v>
      </c>
      <c r="I31301">
        <v>161476</v>
      </c>
      <c r="J31301">
        <v>5</v>
      </c>
    </row>
    <row r="31302" spans="1:10" x14ac:dyDescent="0.25">
      <c r="A31302" t="s">
        <v>356</v>
      </c>
      <c r="B31302" s="1" t="str">
        <f>HYPERLINK("http://askul.co.jp","askul.co.jp")</f>
        <v>askul.co.jp</v>
      </c>
      <c r="C31302" t="s">
        <v>461</v>
      </c>
      <c r="D31302" t="s">
        <v>837</v>
      </c>
      <c r="E31302">
        <v>33140</v>
      </c>
      <c r="F31302">
        <v>5.3742679024767002E-7</v>
      </c>
      <c r="G31302">
        <v>71808</v>
      </c>
      <c r="H31302">
        <v>17297030</v>
      </c>
      <c r="I31302">
        <v>28219</v>
      </c>
      <c r="J31302">
        <v>3</v>
      </c>
    </row>
    <row r="31303" spans="1:10" x14ac:dyDescent="0.25">
      <c r="A31303" t="s">
        <v>356</v>
      </c>
      <c r="B31303" s="1" t="str">
        <f>HYPERLINK("http://cybertrust.co.jp","cybertrust.co.jp")</f>
        <v>cybertrust.co.jp</v>
      </c>
      <c r="C31303" t="s">
        <v>461</v>
      </c>
      <c r="D31303" t="s">
        <v>837</v>
      </c>
      <c r="E31303">
        <v>738329</v>
      </c>
      <c r="F31303">
        <v>3.1913770964736699E-7</v>
      </c>
      <c r="G31303">
        <v>116572</v>
      </c>
      <c r="H31303">
        <v>14755890</v>
      </c>
      <c r="I31303">
        <v>561841</v>
      </c>
      <c r="J31303">
        <v>3</v>
      </c>
    </row>
    <row r="31304" spans="1:10" x14ac:dyDescent="0.25">
      <c r="A31304" t="s">
        <v>356</v>
      </c>
      <c r="B31304" s="1" t="str">
        <f>HYPERLINK("http://eduas.co.jp","eduas.co.jp")</f>
        <v>eduas.co.jp</v>
      </c>
      <c r="C31304" t="s">
        <v>461</v>
      </c>
      <c r="D31304" t="s">
        <v>837</v>
      </c>
      <c r="F31304">
        <v>1.0738014855554001E-8</v>
      </c>
      <c r="G31304">
        <v>6069504</v>
      </c>
      <c r="H31304">
        <v>14087182</v>
      </c>
      <c r="I31304">
        <v>2765185</v>
      </c>
      <c r="J31304">
        <v>6</v>
      </c>
    </row>
    <row r="31305" spans="1:10" x14ac:dyDescent="0.25">
      <c r="A31305" t="s">
        <v>356</v>
      </c>
      <c r="B31305" s="1" t="str">
        <f>HYPERLINK("http://emnet.co.jp","emnet.co.jp")</f>
        <v>emnet.co.jp</v>
      </c>
      <c r="C31305" t="s">
        <v>461</v>
      </c>
      <c r="D31305" t="s">
        <v>837</v>
      </c>
      <c r="F31305">
        <v>1.8160688288635099E-8</v>
      </c>
      <c r="G31305">
        <v>2997568</v>
      </c>
      <c r="H31305">
        <v>12775449</v>
      </c>
      <c r="I31305">
        <v>14797670</v>
      </c>
      <c r="J31305">
        <v>3</v>
      </c>
    </row>
    <row r="31306" spans="1:10" x14ac:dyDescent="0.25">
      <c r="A31306" t="s">
        <v>356</v>
      </c>
      <c r="B31306" s="1" t="str">
        <f>HYPERLINK("http://fontworks.co.jp","fontworks.co.jp")</f>
        <v>fontworks.co.jp</v>
      </c>
      <c r="C31306" t="s">
        <v>461</v>
      </c>
      <c r="D31306" t="s">
        <v>837</v>
      </c>
      <c r="E31306">
        <v>597906</v>
      </c>
      <c r="F31306">
        <v>3.2988502911488601E-7</v>
      </c>
      <c r="G31306">
        <v>112949</v>
      </c>
      <c r="H31306">
        <v>15016482</v>
      </c>
      <c r="I31306">
        <v>421753</v>
      </c>
      <c r="J31306">
        <v>6</v>
      </c>
    </row>
    <row r="31307" spans="1:10" x14ac:dyDescent="0.25">
      <c r="A31307" t="s">
        <v>356</v>
      </c>
      <c r="B31307" s="1" t="str">
        <f>HYPERLINK("http://ikyu.co.jp","ikyu.co.jp")</f>
        <v>ikyu.co.jp</v>
      </c>
      <c r="C31307" t="s">
        <v>461</v>
      </c>
      <c r="D31307" t="s">
        <v>837</v>
      </c>
      <c r="F31307">
        <v>9.7014965931867205E-8</v>
      </c>
      <c r="G31307">
        <v>416485</v>
      </c>
      <c r="H31307">
        <v>14480073</v>
      </c>
      <c r="I31307">
        <v>1026819</v>
      </c>
      <c r="J31307">
        <v>6</v>
      </c>
    </row>
    <row r="31308" spans="1:10" x14ac:dyDescent="0.25">
      <c r="A31308" t="s">
        <v>356</v>
      </c>
      <c r="B31308" s="1" t="str">
        <f>HYPERLINK("http://itmedia.co.jp","itmedia.co.jp")</f>
        <v>itmedia.co.jp</v>
      </c>
      <c r="C31308" t="s">
        <v>461</v>
      </c>
      <c r="D31308" t="s">
        <v>837</v>
      </c>
      <c r="E31308">
        <v>2669</v>
      </c>
      <c r="F31308">
        <v>6.7122547878971702E-6</v>
      </c>
      <c r="G31308">
        <v>5012</v>
      </c>
      <c r="H31308">
        <v>18382760</v>
      </c>
      <c r="I31308">
        <v>2048</v>
      </c>
      <c r="J31308">
        <v>3</v>
      </c>
    </row>
    <row r="31309" spans="1:10" x14ac:dyDescent="0.25">
      <c r="A31309" t="s">
        <v>356</v>
      </c>
      <c r="B31309" s="1" t="str">
        <f>HYPERLINK("http://japannetbank.co.jp","japannetbank.co.jp")</f>
        <v>japannetbank.co.jp</v>
      </c>
      <c r="C31309" t="s">
        <v>461</v>
      </c>
      <c r="D31309" t="s">
        <v>837</v>
      </c>
      <c r="E31309">
        <v>82175</v>
      </c>
      <c r="F31309">
        <v>5.7376030298863601E-7</v>
      </c>
      <c r="G31309">
        <v>66591</v>
      </c>
      <c r="H31309">
        <v>14607585</v>
      </c>
      <c r="I31309">
        <v>680505</v>
      </c>
      <c r="J31309">
        <v>4</v>
      </c>
    </row>
    <row r="31310" spans="1:10" x14ac:dyDescent="0.25">
      <c r="A31310" t="s">
        <v>356</v>
      </c>
      <c r="B31310" s="1" t="str">
        <f>HYPERLINK("http://line-sec.co.jp","line-sec.co.jp")</f>
        <v>line-sec.co.jp</v>
      </c>
      <c r="C31310" t="s">
        <v>461</v>
      </c>
      <c r="D31310" t="s">
        <v>837</v>
      </c>
      <c r="E31310">
        <v>239257</v>
      </c>
      <c r="F31310">
        <v>6.8289359647483896E-7</v>
      </c>
      <c r="G31310">
        <v>56574</v>
      </c>
      <c r="H31310">
        <v>13620397</v>
      </c>
      <c r="I31310">
        <v>9625810</v>
      </c>
      <c r="J31310">
        <v>6</v>
      </c>
    </row>
    <row r="31311" spans="1:10" x14ac:dyDescent="0.25">
      <c r="A31311" t="s">
        <v>356</v>
      </c>
      <c r="B31311" s="1" t="str">
        <f>HYPERLINK("http://linefukuoka.co.jp","linefukuoka.co.jp")</f>
        <v>linefukuoka.co.jp</v>
      </c>
      <c r="C31311" t="s">
        <v>461</v>
      </c>
      <c r="D31311" t="s">
        <v>837</v>
      </c>
      <c r="F31311">
        <v>6.3199171825613397E-8</v>
      </c>
      <c r="G31311">
        <v>688852</v>
      </c>
      <c r="H31311">
        <v>13480368</v>
      </c>
      <c r="I31311">
        <v>10009495</v>
      </c>
      <c r="J31311">
        <v>5</v>
      </c>
    </row>
    <row r="31312" spans="1:10" x14ac:dyDescent="0.25">
      <c r="A31312" t="s">
        <v>356</v>
      </c>
      <c r="B31312" s="1" t="str">
        <f>HYPERLINK("http://paypay-bank.co.jp","paypay-bank.co.jp")</f>
        <v>paypay-bank.co.jp</v>
      </c>
      <c r="C31312" t="s">
        <v>461</v>
      </c>
      <c r="D31312" t="s">
        <v>837</v>
      </c>
      <c r="E31312">
        <v>41954</v>
      </c>
      <c r="F31312">
        <v>3.5658603740236798E-7</v>
      </c>
      <c r="G31312">
        <v>104815</v>
      </c>
      <c r="H31312">
        <v>17123470</v>
      </c>
      <c r="I31312">
        <v>58619</v>
      </c>
      <c r="J31312">
        <v>3</v>
      </c>
    </row>
    <row r="31313" spans="1:10" x14ac:dyDescent="0.25">
      <c r="A31313" t="s">
        <v>356</v>
      </c>
      <c r="B31313" s="1" t="str">
        <f>HYPERLINK("http://paypay-corp.co.jp","paypay-corp.co.jp")</f>
        <v>paypay-corp.co.jp</v>
      </c>
      <c r="C31313" t="s">
        <v>461</v>
      </c>
      <c r="D31313" t="s">
        <v>837</v>
      </c>
      <c r="F31313">
        <v>5.43774858006181E-8</v>
      </c>
      <c r="G31313">
        <v>830353</v>
      </c>
      <c r="H31313">
        <v>13869018</v>
      </c>
      <c r="I31313">
        <v>6001823</v>
      </c>
      <c r="J31313">
        <v>5</v>
      </c>
    </row>
    <row r="31314" spans="1:10" x14ac:dyDescent="0.25">
      <c r="A31314" t="s">
        <v>356</v>
      </c>
      <c r="B31314" s="1" t="str">
        <f>HYPERLINK("http://paypay-sec.co.jp","paypay-sec.co.jp")</f>
        <v>paypay-sec.co.jp</v>
      </c>
      <c r="C31314" t="s">
        <v>461</v>
      </c>
      <c r="D31314" t="s">
        <v>837</v>
      </c>
      <c r="E31314">
        <v>507288</v>
      </c>
      <c r="F31314">
        <v>6.8485015195435603E-8</v>
      </c>
      <c r="G31314">
        <v>621754</v>
      </c>
      <c r="H31314">
        <v>14323895</v>
      </c>
      <c r="I31314">
        <v>1328656</v>
      </c>
      <c r="J31314">
        <v>5</v>
      </c>
    </row>
    <row r="31315" spans="1:10" x14ac:dyDescent="0.25">
      <c r="A31315" t="s">
        <v>356</v>
      </c>
      <c r="B31315" s="1" t="str">
        <f>HYPERLINK("http://realize-mobile.co.jp","realize-mobile.co.jp")</f>
        <v>realize-mobile.co.jp</v>
      </c>
      <c r="C31315" t="s">
        <v>461</v>
      </c>
      <c r="D31315" t="s">
        <v>837</v>
      </c>
      <c r="F31315">
        <v>1.17396105486659E-8</v>
      </c>
      <c r="G31315">
        <v>5341034</v>
      </c>
      <c r="H31315">
        <v>13361236</v>
      </c>
      <c r="I31315">
        <v>10515041</v>
      </c>
      <c r="J31315">
        <v>7</v>
      </c>
    </row>
    <row r="31316" spans="1:10" x14ac:dyDescent="0.25">
      <c r="A31316" t="s">
        <v>356</v>
      </c>
      <c r="B31316" s="1" t="str">
        <f>HYPERLINK("http://sbenergy.co.jp","sbenergy.co.jp")</f>
        <v>sbenergy.co.jp</v>
      </c>
      <c r="C31316" t="s">
        <v>461</v>
      </c>
      <c r="D31316" t="s">
        <v>837</v>
      </c>
      <c r="F31316">
        <v>4.0292218479119102E-8</v>
      </c>
      <c r="G31316">
        <v>1284333</v>
      </c>
      <c r="H31316">
        <v>14123505</v>
      </c>
      <c r="I31316">
        <v>2172381</v>
      </c>
      <c r="J31316">
        <v>3</v>
      </c>
    </row>
    <row r="31317" spans="1:10" x14ac:dyDescent="0.25">
      <c r="A31317" t="s">
        <v>356</v>
      </c>
      <c r="B31317" s="1" t="str">
        <f>HYPERLINK("http://sbmm-holdings.co.jp","sbmm-holdings.co.jp")</f>
        <v>sbmm-holdings.co.jp</v>
      </c>
      <c r="C31317" t="s">
        <v>461</v>
      </c>
      <c r="D31317" t="s">
        <v>837</v>
      </c>
      <c r="F31317">
        <v>8.44101410017999E-9</v>
      </c>
      <c r="G31317">
        <v>8960301</v>
      </c>
      <c r="H31317">
        <v>14375611</v>
      </c>
      <c r="I31317">
        <v>1224127</v>
      </c>
      <c r="J31317">
        <v>6</v>
      </c>
    </row>
    <row r="31318" spans="1:10" x14ac:dyDescent="0.25">
      <c r="A31318" t="s">
        <v>356</v>
      </c>
      <c r="B31318" s="1" t="str">
        <f>HYPERLINK("http://sbpayment.co.jp","sbpayment.co.jp")</f>
        <v>sbpayment.co.jp</v>
      </c>
      <c r="C31318" t="s">
        <v>461</v>
      </c>
      <c r="D31318" t="s">
        <v>837</v>
      </c>
      <c r="F31318">
        <v>5.0956769730507201E-8</v>
      </c>
      <c r="G31318">
        <v>899813</v>
      </c>
      <c r="H31318">
        <v>13653298</v>
      </c>
      <c r="I31318">
        <v>9604668</v>
      </c>
      <c r="J31318">
        <v>6</v>
      </c>
    </row>
    <row r="31319" spans="1:10" x14ac:dyDescent="0.25">
      <c r="A31319" t="s">
        <v>356</v>
      </c>
      <c r="B31319" s="1" t="str">
        <f>HYPERLINK("http://sbpower.co.jp","sbpower.co.jp")</f>
        <v>sbpower.co.jp</v>
      </c>
      <c r="C31319" t="s">
        <v>461</v>
      </c>
      <c r="D31319" t="s">
        <v>837</v>
      </c>
      <c r="F31319">
        <v>2.2026668359527601E-8</v>
      </c>
      <c r="G31319">
        <v>2382996</v>
      </c>
      <c r="H31319">
        <v>14036722</v>
      </c>
      <c r="I31319">
        <v>3913526</v>
      </c>
      <c r="J31319">
        <v>6</v>
      </c>
    </row>
    <row r="31320" spans="1:10" x14ac:dyDescent="0.25">
      <c r="A31320" t="s">
        <v>356</v>
      </c>
      <c r="B31320" s="1" t="str">
        <f>HYPERLINK("http://softbank.co.jp","softbank.co.jp")</f>
        <v>softbank.co.jp</v>
      </c>
      <c r="C31320" t="s">
        <v>461</v>
      </c>
      <c r="D31320" t="s">
        <v>837</v>
      </c>
      <c r="E31320">
        <v>43057</v>
      </c>
      <c r="F31320">
        <v>2.15180309704565E-7</v>
      </c>
      <c r="G31320">
        <v>175356</v>
      </c>
      <c r="H31320">
        <v>14656340</v>
      </c>
      <c r="I31320">
        <v>622928</v>
      </c>
      <c r="J31320">
        <v>2</v>
      </c>
    </row>
    <row r="31321" spans="1:10" x14ac:dyDescent="0.25">
      <c r="A31321" t="s">
        <v>356</v>
      </c>
      <c r="B31321" s="1" t="str">
        <f>HYPERLINK("http://softbankcr.co.jp","softbankcr.co.jp")</f>
        <v>softbankcr.co.jp</v>
      </c>
      <c r="C31321" t="s">
        <v>461</v>
      </c>
      <c r="D31321" t="s">
        <v>837</v>
      </c>
      <c r="F31321">
        <v>4.41249685995715E-8</v>
      </c>
      <c r="G31321">
        <v>1077438</v>
      </c>
      <c r="H31321">
        <v>14326184</v>
      </c>
      <c r="I31321">
        <v>1326686</v>
      </c>
      <c r="J31321">
        <v>7</v>
      </c>
    </row>
    <row r="31322" spans="1:10" x14ac:dyDescent="0.25">
      <c r="A31322" t="s">
        <v>356</v>
      </c>
      <c r="B31322" s="1" t="str">
        <f>HYPERLINK("http://softbankhawks.co.jp","softbankhawks.co.jp")</f>
        <v>softbankhawks.co.jp</v>
      </c>
      <c r="C31322" t="s">
        <v>461</v>
      </c>
      <c r="D31322" t="s">
        <v>837</v>
      </c>
      <c r="E31322">
        <v>139341</v>
      </c>
      <c r="F31322">
        <v>2.7725103985167298E-7</v>
      </c>
      <c r="G31322">
        <v>134170</v>
      </c>
      <c r="H31322">
        <v>14949151</v>
      </c>
      <c r="I31322">
        <v>440782</v>
      </c>
      <c r="J31322">
        <v>2</v>
      </c>
    </row>
    <row r="31323" spans="1:10" x14ac:dyDescent="0.25">
      <c r="A31323" t="s">
        <v>356</v>
      </c>
      <c r="B31323" s="1" t="str">
        <f>HYPERLINK("http://softbankhc.co.jp","softbankhc.co.jp")</f>
        <v>softbankhc.co.jp</v>
      </c>
      <c r="C31323" t="s">
        <v>461</v>
      </c>
      <c r="D31323" t="s">
        <v>837</v>
      </c>
      <c r="F31323">
        <v>2.43820317509911E-8</v>
      </c>
      <c r="G31323">
        <v>2125819</v>
      </c>
      <c r="H31323">
        <v>13848566</v>
      </c>
      <c r="I31323">
        <v>6056601</v>
      </c>
      <c r="J31323">
        <v>7</v>
      </c>
    </row>
    <row r="31324" spans="1:10" x14ac:dyDescent="0.25">
      <c r="A31324" t="s">
        <v>356</v>
      </c>
      <c r="B31324" s="1" t="str">
        <f>HYPERLINK("http://softbankplayers.co.jp","softbankplayers.co.jp")</f>
        <v>softbankplayers.co.jp</v>
      </c>
      <c r="C31324" t="s">
        <v>461</v>
      </c>
      <c r="D31324" t="s">
        <v>837</v>
      </c>
      <c r="F31324">
        <v>4.5719925254537299E-8</v>
      </c>
      <c r="G31324">
        <v>1028236</v>
      </c>
      <c r="H31324">
        <v>14089838</v>
      </c>
      <c r="I31324">
        <v>2751947</v>
      </c>
      <c r="J31324">
        <v>5</v>
      </c>
    </row>
    <row r="31325" spans="1:10" x14ac:dyDescent="0.25">
      <c r="A31325" t="s">
        <v>356</v>
      </c>
      <c r="B31325" s="1" t="str">
        <f>HYPERLINK("http://softbanktech.co.jp","softbanktech.co.jp")</f>
        <v>softbanktech.co.jp</v>
      </c>
      <c r="C31325" t="s">
        <v>461</v>
      </c>
      <c r="D31325" t="s">
        <v>837</v>
      </c>
      <c r="E31325">
        <v>629897</v>
      </c>
      <c r="F31325">
        <v>3.2316922342319099E-7</v>
      </c>
      <c r="G31325">
        <v>115199</v>
      </c>
      <c r="H31325">
        <v>14509923</v>
      </c>
      <c r="I31325">
        <v>825033</v>
      </c>
      <c r="J31325">
        <v>3</v>
      </c>
    </row>
    <row r="31326" spans="1:10" x14ac:dyDescent="0.25">
      <c r="A31326" t="s">
        <v>356</v>
      </c>
      <c r="B31326" s="1" t="str">
        <f>HYPERLINK("http://tabirism.co.jp","tabirism.co.jp")</f>
        <v>tabirism.co.jp</v>
      </c>
      <c r="C31326" t="s">
        <v>461</v>
      </c>
      <c r="D31326" t="s">
        <v>837</v>
      </c>
      <c r="F31326">
        <v>4.1519023448693297E-8</v>
      </c>
      <c r="G31326">
        <v>1198827</v>
      </c>
      <c r="H31326">
        <v>11344579</v>
      </c>
      <c r="I31326">
        <v>30408091</v>
      </c>
      <c r="J31326">
        <v>7</v>
      </c>
    </row>
    <row r="31327" spans="1:10" x14ac:dyDescent="0.25">
      <c r="A31327" t="s">
        <v>356</v>
      </c>
      <c r="B31327" s="1" t="str">
        <f>HYPERLINK("http://valuecommerce.co.jp","valuecommerce.co.jp")</f>
        <v>valuecommerce.co.jp</v>
      </c>
      <c r="C31327" t="s">
        <v>461</v>
      </c>
      <c r="D31327" t="s">
        <v>837</v>
      </c>
      <c r="F31327">
        <v>2.6587538959010699E-7</v>
      </c>
      <c r="G31327">
        <v>140210</v>
      </c>
      <c r="H31327">
        <v>16888842</v>
      </c>
      <c r="I31327">
        <v>135755</v>
      </c>
      <c r="J31327">
        <v>3</v>
      </c>
    </row>
    <row r="31328" spans="1:10" x14ac:dyDescent="0.25">
      <c r="A31328" t="s">
        <v>356</v>
      </c>
      <c r="B31328" s="1" t="str">
        <f>HYPERLINK("http://viewn.co.jp","viewn.co.jp")</f>
        <v>viewn.co.jp</v>
      </c>
      <c r="C31328" t="s">
        <v>461</v>
      </c>
      <c r="D31328" t="s">
        <v>837</v>
      </c>
      <c r="E31328">
        <v>953952</v>
      </c>
      <c r="F31328">
        <v>9.8291305265339302E-7</v>
      </c>
      <c r="G31328">
        <v>38913</v>
      </c>
      <c r="H31328">
        <v>15814752</v>
      </c>
      <c r="I31328">
        <v>367973</v>
      </c>
      <c r="J31328">
        <v>5</v>
      </c>
    </row>
    <row r="31329" spans="1:10" x14ac:dyDescent="0.25">
      <c r="A31329" t="s">
        <v>356</v>
      </c>
      <c r="B31329" s="1" t="str">
        <f>HYPERLINK("http://yahoo.co.jp","yahoo.co.jp")</f>
        <v>yahoo.co.jp</v>
      </c>
      <c r="C31329" t="s">
        <v>461</v>
      </c>
      <c r="D31329" t="s">
        <v>837</v>
      </c>
      <c r="E31329">
        <v>122</v>
      </c>
      <c r="F31329">
        <v>9.8477543803460595E-5</v>
      </c>
      <c r="G31329">
        <v>267</v>
      </c>
      <c r="H31329">
        <v>19123686</v>
      </c>
      <c r="I31329">
        <v>432</v>
      </c>
      <c r="J31329">
        <v>2</v>
      </c>
    </row>
    <row r="31330" spans="1:10" x14ac:dyDescent="0.25">
      <c r="A31330" t="s">
        <v>356</v>
      </c>
      <c r="B31330" s="1" t="str">
        <f>HYPERLINK("http://yjcard.co.jp","yjcard.co.jp")</f>
        <v>yjcard.co.jp</v>
      </c>
      <c r="C31330" t="s">
        <v>461</v>
      </c>
      <c r="D31330" t="s">
        <v>837</v>
      </c>
      <c r="F31330">
        <v>1.3176686136369501E-8</v>
      </c>
      <c r="G31330">
        <v>4548743</v>
      </c>
      <c r="H31330">
        <v>12737928</v>
      </c>
      <c r="I31330">
        <v>15153756</v>
      </c>
      <c r="J31330">
        <v>2</v>
      </c>
    </row>
    <row r="31331" spans="1:10" x14ac:dyDescent="0.25">
      <c r="A31331" t="s">
        <v>356</v>
      </c>
      <c r="B31331" s="1" t="str">
        <f>HYPERLINK("http://ys-insurance.co.jp","ys-insurance.co.jp")</f>
        <v>ys-insurance.co.jp</v>
      </c>
      <c r="C31331" t="s">
        <v>461</v>
      </c>
      <c r="D31331" t="s">
        <v>837</v>
      </c>
      <c r="F31331">
        <v>4.7477172294637604E-9</v>
      </c>
      <c r="G31331">
        <v>38430688</v>
      </c>
      <c r="H31331">
        <v>10043472</v>
      </c>
      <c r="I31331">
        <v>60475176</v>
      </c>
      <c r="J31331">
        <v>2</v>
      </c>
    </row>
    <row r="31332" spans="1:10" x14ac:dyDescent="0.25">
      <c r="A31332" t="s">
        <v>356</v>
      </c>
      <c r="B31332" s="1" t="str">
        <f>HYPERLINK("http://z-financial.co.jp","z-financial.co.jp")</f>
        <v>z-financial.co.jp</v>
      </c>
      <c r="C31332" t="s">
        <v>461</v>
      </c>
      <c r="D31332" t="s">
        <v>837</v>
      </c>
      <c r="F31332">
        <v>5.6241426672505303E-9</v>
      </c>
      <c r="G31332">
        <v>19630959</v>
      </c>
      <c r="H31332">
        <v>14071793</v>
      </c>
      <c r="I31332">
        <v>3370222</v>
      </c>
      <c r="J31332">
        <v>6</v>
      </c>
    </row>
    <row r="31333" spans="1:10" x14ac:dyDescent="0.25">
      <c r="A31333" t="s">
        <v>356</v>
      </c>
      <c r="B31333" s="1" t="str">
        <f>HYPERLINK("http://z-holdings.co.jp","z-holdings.co.jp")</f>
        <v>z-holdings.co.jp</v>
      </c>
      <c r="C31333" t="s">
        <v>461</v>
      </c>
      <c r="D31333" t="s">
        <v>837</v>
      </c>
      <c r="E31333">
        <v>464775</v>
      </c>
      <c r="F31333">
        <v>1.5488958948653101E-7</v>
      </c>
      <c r="G31333">
        <v>250752</v>
      </c>
      <c r="H31333">
        <v>14557745</v>
      </c>
      <c r="I31333">
        <v>749512</v>
      </c>
      <c r="J31333">
        <v>3</v>
      </c>
    </row>
    <row r="31334" spans="1:10" x14ac:dyDescent="0.25">
      <c r="A31334" t="s">
        <v>356</v>
      </c>
      <c r="B31334" s="1" t="str">
        <f>HYPERLINK("http://ebookjapan.jp","ebookjapan.jp")</f>
        <v>ebookjapan.jp</v>
      </c>
      <c r="C31334" t="s">
        <v>461</v>
      </c>
      <c r="D31334" t="s">
        <v>837</v>
      </c>
      <c r="E31334">
        <v>239874</v>
      </c>
      <c r="F31334">
        <v>2.22449824500256E-7</v>
      </c>
      <c r="G31334">
        <v>169447</v>
      </c>
      <c r="H31334">
        <v>14760549</v>
      </c>
      <c r="I31334">
        <v>560478</v>
      </c>
      <c r="J31334">
        <v>6</v>
      </c>
    </row>
    <row r="31335" spans="1:10" x14ac:dyDescent="0.25">
      <c r="A31335" t="s">
        <v>356</v>
      </c>
      <c r="B31335" s="1" t="str">
        <f>HYPERLINK("http://emnet.jp","emnet.jp")</f>
        <v>emnet.jp</v>
      </c>
      <c r="C31335" t="s">
        <v>461</v>
      </c>
      <c r="D31335" t="s">
        <v>837</v>
      </c>
      <c r="F31335">
        <v>1.5870119069742E-8</v>
      </c>
      <c r="G31335">
        <v>3580422</v>
      </c>
      <c r="H31335">
        <v>13216461</v>
      </c>
      <c r="I31335">
        <v>11358119</v>
      </c>
      <c r="J31335">
        <v>4</v>
      </c>
    </row>
    <row r="31336" spans="1:10" x14ac:dyDescent="0.25">
      <c r="A31336" t="s">
        <v>356</v>
      </c>
      <c r="B31336" s="1" t="str">
        <f>HYPERLINK("http://geocities.jp","geocities.jp")</f>
        <v>geocities.jp</v>
      </c>
      <c r="C31336" t="s">
        <v>461</v>
      </c>
      <c r="D31336" t="s">
        <v>837</v>
      </c>
      <c r="E31336">
        <v>5275</v>
      </c>
      <c r="F31336">
        <v>8.0383211541515292E-6</v>
      </c>
      <c r="G31336">
        <v>4174</v>
      </c>
      <c r="H31336">
        <v>17916238</v>
      </c>
      <c r="I31336">
        <v>4314</v>
      </c>
      <c r="J31336">
        <v>2</v>
      </c>
    </row>
    <row r="31337" spans="1:10" x14ac:dyDescent="0.25">
      <c r="A31337" t="s">
        <v>356</v>
      </c>
      <c r="B31337" s="1" t="str">
        <f>HYPERLINK("http://idcf.jp","idcf.jp")</f>
        <v>idcf.jp</v>
      </c>
      <c r="C31337" t="s">
        <v>461</v>
      </c>
      <c r="D31337" t="s">
        <v>837</v>
      </c>
      <c r="E31337">
        <v>357569</v>
      </c>
      <c r="F31337">
        <v>7.1265225803511905E-7</v>
      </c>
      <c r="G31337">
        <v>54442</v>
      </c>
      <c r="H31337">
        <v>14404096</v>
      </c>
      <c r="I31337">
        <v>1150515</v>
      </c>
      <c r="J31337">
        <v>5</v>
      </c>
    </row>
    <row r="31338" spans="1:10" x14ac:dyDescent="0.25">
      <c r="A31338" t="s">
        <v>356</v>
      </c>
      <c r="B31338" s="1" t="str">
        <f>HYPERLINK("http://itmedia.jp","itmedia.jp")</f>
        <v>itmedia.jp</v>
      </c>
      <c r="C31338" t="s">
        <v>461</v>
      </c>
      <c r="D31338" t="s">
        <v>837</v>
      </c>
      <c r="E31338">
        <v>408430</v>
      </c>
      <c r="F31338">
        <v>1.11182484667057E-8</v>
      </c>
      <c r="G31338">
        <v>5772167</v>
      </c>
      <c r="H31338">
        <v>13813632</v>
      </c>
      <c r="I31338">
        <v>6179828</v>
      </c>
      <c r="J31338">
        <v>4</v>
      </c>
    </row>
    <row r="31339" spans="1:10" x14ac:dyDescent="0.25">
      <c r="A31339" t="s">
        <v>356</v>
      </c>
      <c r="B31339" s="1" t="str">
        <f>HYPERLINK("http://jtidc.jp","jtidc.jp")</f>
        <v>jtidc.jp</v>
      </c>
      <c r="C31339" t="s">
        <v>461</v>
      </c>
      <c r="D31339" t="s">
        <v>837</v>
      </c>
      <c r="E31339">
        <v>23634</v>
      </c>
      <c r="F31339">
        <v>4.6187698731746098E-9</v>
      </c>
      <c r="G31339">
        <v>46218952</v>
      </c>
      <c r="H31339">
        <v>11980980</v>
      </c>
      <c r="I31339">
        <v>28496309</v>
      </c>
      <c r="J31339">
        <v>2</v>
      </c>
    </row>
    <row r="31340" spans="1:10" x14ac:dyDescent="0.25">
      <c r="A31340" t="s">
        <v>356</v>
      </c>
      <c r="B31340" s="1" t="str">
        <f>HYPERLINK("http://linemo.jp","linemo.jp")</f>
        <v>linemo.jp</v>
      </c>
      <c r="C31340" t="s">
        <v>461</v>
      </c>
      <c r="D31340" t="s">
        <v>837</v>
      </c>
      <c r="E31340">
        <v>104823</v>
      </c>
      <c r="F31340">
        <v>2.0111563365888401E-7</v>
      </c>
      <c r="G31340">
        <v>189277</v>
      </c>
      <c r="H31340">
        <v>14447072</v>
      </c>
      <c r="I31340">
        <v>1056099</v>
      </c>
      <c r="J31340">
        <v>4</v>
      </c>
    </row>
    <row r="31341" spans="1:10" x14ac:dyDescent="0.25">
      <c r="A31341" t="s">
        <v>356</v>
      </c>
      <c r="B31341" s="1" t="str">
        <f>HYPERLINK("http://livedoor.jp","livedoor.jp")</f>
        <v>livedoor.jp</v>
      </c>
      <c r="C31341" t="s">
        <v>461</v>
      </c>
      <c r="D31341" t="s">
        <v>837</v>
      </c>
      <c r="E31341">
        <v>891</v>
      </c>
      <c r="F31341">
        <v>1.5748224665853601E-5</v>
      </c>
      <c r="G31341">
        <v>2167</v>
      </c>
      <c r="H31341">
        <v>18471594</v>
      </c>
      <c r="I31341">
        <v>1698</v>
      </c>
      <c r="J31341">
        <v>6</v>
      </c>
    </row>
    <row r="31342" spans="1:10" x14ac:dyDescent="0.25">
      <c r="A31342" t="s">
        <v>356</v>
      </c>
      <c r="B31342" s="1" t="str">
        <f>HYPERLINK("http://mapbox.jp","mapbox.jp")</f>
        <v>mapbox.jp</v>
      </c>
      <c r="C31342" t="s">
        <v>461</v>
      </c>
      <c r="D31342" t="s">
        <v>837</v>
      </c>
      <c r="F31342">
        <v>1.01411720575794E-7</v>
      </c>
      <c r="G31342">
        <v>396420</v>
      </c>
      <c r="H31342">
        <v>14116386</v>
      </c>
      <c r="I31342">
        <v>2661911</v>
      </c>
      <c r="J31342">
        <v>5</v>
      </c>
    </row>
    <row r="31343" spans="1:10" x14ac:dyDescent="0.25">
      <c r="A31343" t="s">
        <v>356</v>
      </c>
      <c r="B31343" s="1" t="str">
        <f>HYPERLINK("http://mapsall.jp","mapsall.jp")</f>
        <v>mapsall.jp</v>
      </c>
      <c r="C31343" t="s">
        <v>461</v>
      </c>
      <c r="D31343" t="s">
        <v>837</v>
      </c>
      <c r="J31343">
        <v>2</v>
      </c>
    </row>
    <row r="31344" spans="1:10" x14ac:dyDescent="0.25">
      <c r="A31344" t="s">
        <v>356</v>
      </c>
      <c r="B31344" s="1" t="str">
        <f>HYPERLINK("http://naver.jp","naver.jp")</f>
        <v>naver.jp</v>
      </c>
      <c r="C31344" t="s">
        <v>461</v>
      </c>
      <c r="D31344" t="s">
        <v>837</v>
      </c>
      <c r="E31344">
        <v>2060</v>
      </c>
      <c r="F31344">
        <v>1.38270261744614E-5</v>
      </c>
      <c r="G31344">
        <v>2553</v>
      </c>
      <c r="H31344">
        <v>17791638</v>
      </c>
      <c r="I31344">
        <v>5714</v>
      </c>
      <c r="J31344">
        <v>5</v>
      </c>
    </row>
    <row r="31345" spans="1:10" x14ac:dyDescent="0.25">
      <c r="A31345" t="s">
        <v>356</v>
      </c>
      <c r="B31345" s="1" t="str">
        <f>HYPERLINK("http://cybertrust.ne.jp","cybertrust.ne.jp")</f>
        <v>cybertrust.ne.jp</v>
      </c>
      <c r="C31345" t="s">
        <v>461</v>
      </c>
      <c r="D31345" t="s">
        <v>837</v>
      </c>
      <c r="E31345">
        <v>67951</v>
      </c>
      <c r="F31345">
        <v>5.9139692609486095E-7</v>
      </c>
      <c r="G31345">
        <v>64689</v>
      </c>
      <c r="H31345">
        <v>14297699</v>
      </c>
      <c r="I31345">
        <v>1358740</v>
      </c>
      <c r="J31345">
        <v>4</v>
      </c>
    </row>
    <row r="31346" spans="1:10" x14ac:dyDescent="0.25">
      <c r="A31346" t="s">
        <v>356</v>
      </c>
      <c r="B31346" s="1" t="str">
        <f>HYPERLINK("http://jmad.ne.jp","jmad.ne.jp")</f>
        <v>jmad.ne.jp</v>
      </c>
      <c r="C31346" t="s">
        <v>461</v>
      </c>
      <c r="D31346" t="s">
        <v>837</v>
      </c>
      <c r="F31346">
        <v>4.8627850451401398E-9</v>
      </c>
      <c r="G31346">
        <v>33725969</v>
      </c>
      <c r="H31346">
        <v>12274729</v>
      </c>
      <c r="I31346">
        <v>21420568</v>
      </c>
      <c r="J31346">
        <v>2</v>
      </c>
    </row>
    <row r="31347" spans="1:10" x14ac:dyDescent="0.25">
      <c r="A31347" t="s">
        <v>356</v>
      </c>
      <c r="B31347" s="1" t="str">
        <f>HYPERLINK("http://managedpki.ne.jp","managedpki.ne.jp")</f>
        <v>managedpki.ne.jp</v>
      </c>
      <c r="C31347" t="s">
        <v>461</v>
      </c>
      <c r="D31347" t="s">
        <v>837</v>
      </c>
      <c r="E31347">
        <v>52869</v>
      </c>
      <c r="F31347">
        <v>4.6651303124325801E-9</v>
      </c>
      <c r="G31347">
        <v>43225229</v>
      </c>
      <c r="H31347">
        <v>10361693</v>
      </c>
      <c r="I31347">
        <v>55172430</v>
      </c>
      <c r="J31347">
        <v>4</v>
      </c>
    </row>
    <row r="31348" spans="1:10" x14ac:dyDescent="0.25">
      <c r="A31348" t="s">
        <v>356</v>
      </c>
      <c r="B31348" s="1" t="str">
        <f>HYPERLINK("http://odn.ne.jp","odn.ne.jp")</f>
        <v>odn.ne.jp</v>
      </c>
      <c r="C31348" t="s">
        <v>461</v>
      </c>
      <c r="D31348" t="s">
        <v>837</v>
      </c>
      <c r="E31348">
        <v>5176</v>
      </c>
      <c r="F31348">
        <v>1.66116823177833E-6</v>
      </c>
      <c r="G31348">
        <v>23841</v>
      </c>
      <c r="H31348">
        <v>17522782</v>
      </c>
      <c r="I31348">
        <v>12414</v>
      </c>
      <c r="J31348">
        <v>2</v>
      </c>
    </row>
    <row r="31349" spans="1:10" x14ac:dyDescent="0.25">
      <c r="A31349" t="s">
        <v>356</v>
      </c>
      <c r="B31349" s="1" t="str">
        <f>HYPERLINK("http://paypay.ne.jp","paypay.ne.jp")</f>
        <v>paypay.ne.jp</v>
      </c>
      <c r="C31349" t="s">
        <v>461</v>
      </c>
      <c r="D31349" t="s">
        <v>837</v>
      </c>
      <c r="E31349">
        <v>17445</v>
      </c>
      <c r="F31349">
        <v>3.49911184628088E-6</v>
      </c>
      <c r="G31349">
        <v>11668</v>
      </c>
      <c r="H31349">
        <v>17676540</v>
      </c>
      <c r="I31349">
        <v>7805</v>
      </c>
      <c r="J31349">
        <v>5</v>
      </c>
    </row>
    <row r="31350" spans="1:10" x14ac:dyDescent="0.25">
      <c r="A31350" t="s">
        <v>356</v>
      </c>
      <c r="B31350" s="1" t="str">
        <f>HYPERLINK("http://valuecommerce.ne.jp","valuecommerce.ne.jp")</f>
        <v>valuecommerce.ne.jp</v>
      </c>
      <c r="C31350" t="s">
        <v>461</v>
      </c>
      <c r="D31350" t="s">
        <v>837</v>
      </c>
      <c r="E31350">
        <v>35383</v>
      </c>
      <c r="F31350">
        <v>1.03820686701566E-6</v>
      </c>
      <c r="G31350">
        <v>36916</v>
      </c>
      <c r="H31350">
        <v>17098992</v>
      </c>
      <c r="I31350">
        <v>64102</v>
      </c>
      <c r="J31350">
        <v>4</v>
      </c>
    </row>
    <row r="31351" spans="1:10" x14ac:dyDescent="0.25">
      <c r="A31351" t="s">
        <v>356</v>
      </c>
      <c r="B31351" s="1" t="str">
        <f>HYPERLINK("http://z-holdings.ne.jp","z-holdings.ne.jp")</f>
        <v>z-holdings.ne.jp</v>
      </c>
      <c r="C31351" t="s">
        <v>461</v>
      </c>
      <c r="D31351" t="s">
        <v>837</v>
      </c>
      <c r="J31351">
        <v>4</v>
      </c>
    </row>
    <row r="31352" spans="1:10" x14ac:dyDescent="0.25">
      <c r="A31352" t="s">
        <v>356</v>
      </c>
      <c r="B31352" s="1" t="str">
        <f>HYPERLINK("http://prime-service.jp","prime-service.jp")</f>
        <v>prime-service.jp</v>
      </c>
      <c r="C31352" t="s">
        <v>461</v>
      </c>
      <c r="D31352" t="s">
        <v>837</v>
      </c>
      <c r="J31352">
        <v>2</v>
      </c>
    </row>
    <row r="31353" spans="1:10" x14ac:dyDescent="0.25">
      <c r="A31353" t="s">
        <v>356</v>
      </c>
      <c r="B31353" s="1" t="str">
        <f>HYPERLINK("http://primedrive.jp","primedrive.jp")</f>
        <v>primedrive.jp</v>
      </c>
      <c r="C31353" t="s">
        <v>461</v>
      </c>
      <c r="D31353" t="s">
        <v>837</v>
      </c>
      <c r="E31353">
        <v>586410</v>
      </c>
      <c r="F31353">
        <v>1.48069401700075E-8</v>
      </c>
      <c r="G31353">
        <v>3904859</v>
      </c>
      <c r="H31353">
        <v>12603581</v>
      </c>
      <c r="I31353">
        <v>16291095</v>
      </c>
      <c r="J31353">
        <v>2</v>
      </c>
    </row>
    <row r="31354" spans="1:10" x14ac:dyDescent="0.25">
      <c r="A31354" t="s">
        <v>356</v>
      </c>
      <c r="B31354" s="1" t="str">
        <f>HYPERLINK("http://satofull.jp","satofull.jp")</f>
        <v>satofull.jp</v>
      </c>
      <c r="C31354" t="s">
        <v>461</v>
      </c>
      <c r="D31354" t="s">
        <v>837</v>
      </c>
      <c r="E31354">
        <v>37459</v>
      </c>
      <c r="F31354">
        <v>2.0288455095927602E-6</v>
      </c>
      <c r="G31354">
        <v>17995</v>
      </c>
      <c r="H31354">
        <v>15316420</v>
      </c>
      <c r="I31354">
        <v>384886</v>
      </c>
      <c r="J31354">
        <v>6</v>
      </c>
    </row>
    <row r="31355" spans="1:10" x14ac:dyDescent="0.25">
      <c r="A31355" t="s">
        <v>356</v>
      </c>
      <c r="B31355" s="1" t="str">
        <f>HYPERLINK("http://sbcr.jp","sbcr.jp")</f>
        <v>sbcr.jp</v>
      </c>
      <c r="C31355" t="s">
        <v>461</v>
      </c>
      <c r="D31355" t="s">
        <v>837</v>
      </c>
      <c r="E31355">
        <v>144655</v>
      </c>
      <c r="F31355">
        <v>6.0171358833673196E-7</v>
      </c>
      <c r="G31355">
        <v>63556</v>
      </c>
      <c r="H31355">
        <v>17498792</v>
      </c>
      <c r="I31355">
        <v>13745</v>
      </c>
      <c r="J31355">
        <v>8</v>
      </c>
    </row>
    <row r="31356" spans="1:10" x14ac:dyDescent="0.25">
      <c r="A31356" t="s">
        <v>356</v>
      </c>
      <c r="B31356" s="1" t="str">
        <f>HYPERLINK("http://sbcvic.jp","sbcvic.jp")</f>
        <v>sbcvic.jp</v>
      </c>
      <c r="C31356" t="s">
        <v>461</v>
      </c>
      <c r="D31356" t="s">
        <v>837</v>
      </c>
      <c r="F31356">
        <v>2.2885248622481299E-8</v>
      </c>
      <c r="G31356">
        <v>2284525</v>
      </c>
      <c r="H31356">
        <v>13425465</v>
      </c>
      <c r="I31356">
        <v>10294360</v>
      </c>
      <c r="J31356">
        <v>4</v>
      </c>
    </row>
    <row r="31357" spans="1:10" x14ac:dyDescent="0.25">
      <c r="A31357" t="s">
        <v>356</v>
      </c>
      <c r="B31357" s="1" t="str">
        <f>HYPERLINK("http://sbenergy.jp","sbenergy.jp")</f>
        <v>sbenergy.jp</v>
      </c>
      <c r="C31357" t="s">
        <v>461</v>
      </c>
      <c r="D31357" t="s">
        <v>837</v>
      </c>
      <c r="F31357">
        <v>1.10903748503141E-8</v>
      </c>
      <c r="G31357">
        <v>5792574</v>
      </c>
      <c r="H31357">
        <v>14075661</v>
      </c>
      <c r="I31357">
        <v>2903617</v>
      </c>
      <c r="J31357">
        <v>4</v>
      </c>
    </row>
    <row r="31358" spans="1:10" x14ac:dyDescent="0.25">
      <c r="A31358" t="s">
        <v>356</v>
      </c>
      <c r="B31358" s="1" t="str">
        <f>HYPERLINK("http://sbpayment.jp","sbpayment.jp")</f>
        <v>sbpayment.jp</v>
      </c>
      <c r="C31358" t="s">
        <v>461</v>
      </c>
      <c r="D31358" t="s">
        <v>837</v>
      </c>
      <c r="E31358">
        <v>441153</v>
      </c>
      <c r="F31358">
        <v>5.4863640670753896E-7</v>
      </c>
      <c r="G31358">
        <v>70520</v>
      </c>
      <c r="H31358">
        <v>17129382</v>
      </c>
      <c r="I31358">
        <v>56946</v>
      </c>
      <c r="J31358">
        <v>5</v>
      </c>
    </row>
    <row r="31359" spans="1:10" x14ac:dyDescent="0.25">
      <c r="A31359" t="s">
        <v>356</v>
      </c>
      <c r="B31359" s="1" t="str">
        <f>HYPERLINK("http://softbank.jp","softbank.jp")</f>
        <v>softbank.jp</v>
      </c>
      <c r="C31359" t="s">
        <v>461</v>
      </c>
      <c r="D31359" t="s">
        <v>837</v>
      </c>
      <c r="E31359">
        <v>5967</v>
      </c>
      <c r="F31359">
        <v>9.3842433576017605E-6</v>
      </c>
      <c r="G31359">
        <v>3605</v>
      </c>
      <c r="H31359">
        <v>17788040</v>
      </c>
      <c r="I31359">
        <v>5767</v>
      </c>
      <c r="J31359">
        <v>2</v>
      </c>
    </row>
    <row r="31360" spans="1:10" x14ac:dyDescent="0.25">
      <c r="A31360" t="s">
        <v>356</v>
      </c>
      <c r="B31360" s="1" t="str">
        <f>HYPERLINK("http://sp-hinan.jp","sp-hinan.jp")</f>
        <v>sp-hinan.jp</v>
      </c>
      <c r="C31360" t="s">
        <v>461</v>
      </c>
      <c r="D31360" t="s">
        <v>837</v>
      </c>
      <c r="F31360">
        <v>2.0025033944767999E-8</v>
      </c>
      <c r="G31360">
        <v>2655390</v>
      </c>
      <c r="H31360">
        <v>13334852</v>
      </c>
      <c r="I31360">
        <v>10695884</v>
      </c>
      <c r="J31360">
        <v>2</v>
      </c>
    </row>
    <row r="31361" spans="1:10" x14ac:dyDescent="0.25">
      <c r="A31361" t="s">
        <v>356</v>
      </c>
      <c r="B31361" s="1" t="str">
        <f>HYPERLINK("http://storage-yahoo.jp","storage-yahoo.jp")</f>
        <v>storage-yahoo.jp</v>
      </c>
      <c r="C31361" t="s">
        <v>461</v>
      </c>
      <c r="D31361" t="s">
        <v>837</v>
      </c>
      <c r="E31361">
        <v>103088</v>
      </c>
      <c r="F31361">
        <v>1.34524058800452E-7</v>
      </c>
      <c r="G31361">
        <v>290185</v>
      </c>
      <c r="H31361">
        <v>14650778</v>
      </c>
      <c r="I31361">
        <v>627190</v>
      </c>
      <c r="J31361">
        <v>2</v>
      </c>
    </row>
    <row r="31362" spans="1:10" x14ac:dyDescent="0.25">
      <c r="A31362" t="s">
        <v>356</v>
      </c>
      <c r="B31362" s="1" t="str">
        <f>HYPERLINK("http://storage-yahoobox.jp","storage-yahoobox.jp")</f>
        <v>storage-yahoobox.jp</v>
      </c>
      <c r="C31362" t="s">
        <v>461</v>
      </c>
      <c r="D31362" t="s">
        <v>837</v>
      </c>
      <c r="J31362">
        <v>2</v>
      </c>
    </row>
    <row r="31363" spans="1:10" x14ac:dyDescent="0.25">
      <c r="A31363" t="s">
        <v>356</v>
      </c>
      <c r="B31363" s="1" t="str">
        <f>HYPERLINK("http://yahoo.jp","yahoo.jp")</f>
        <v>yahoo.jp</v>
      </c>
      <c r="C31363" t="s">
        <v>461</v>
      </c>
      <c r="D31363" t="s">
        <v>837</v>
      </c>
      <c r="E31363">
        <v>37914</v>
      </c>
      <c r="F31363">
        <v>2.0380248737259201E-6</v>
      </c>
      <c r="G31363">
        <v>17918</v>
      </c>
      <c r="H31363">
        <v>15729360</v>
      </c>
      <c r="I31363">
        <v>369219</v>
      </c>
      <c r="J31363">
        <v>2</v>
      </c>
    </row>
    <row r="31364" spans="1:10" x14ac:dyDescent="0.25">
      <c r="A31364" t="s">
        <v>356</v>
      </c>
      <c r="B31364" s="1" t="str">
        <f>HYPERLINK("http://yahoo-help.jp","yahoo-help.jp")</f>
        <v>yahoo-help.jp</v>
      </c>
      <c r="C31364" t="s">
        <v>461</v>
      </c>
      <c r="D31364" t="s">
        <v>837</v>
      </c>
      <c r="E31364">
        <v>287695</v>
      </c>
      <c r="F31364">
        <v>8.22774304285215E-7</v>
      </c>
      <c r="G31364">
        <v>48074</v>
      </c>
      <c r="H31364">
        <v>17326762</v>
      </c>
      <c r="I31364">
        <v>25182</v>
      </c>
      <c r="J31364">
        <v>2</v>
      </c>
    </row>
    <row r="31365" spans="1:10" x14ac:dyDescent="0.25">
      <c r="A31365" t="s">
        <v>356</v>
      </c>
      <c r="B31365" s="1" t="str">
        <f>HYPERLINK("http://yahoo-labs.jp","yahoo-labs.jp")</f>
        <v>yahoo-labs.jp</v>
      </c>
      <c r="C31365" t="s">
        <v>461</v>
      </c>
      <c r="D31365" t="s">
        <v>837</v>
      </c>
      <c r="F31365">
        <v>1.18917799646891E-8</v>
      </c>
      <c r="G31365">
        <v>5244271</v>
      </c>
      <c r="H31365">
        <v>13806409</v>
      </c>
      <c r="I31365">
        <v>6231534</v>
      </c>
      <c r="J31365">
        <v>2</v>
      </c>
    </row>
    <row r="31366" spans="1:10" x14ac:dyDescent="0.25">
      <c r="A31366" t="s">
        <v>356</v>
      </c>
      <c r="B31366" s="1" t="str">
        <f>HYPERLINK("http://yahoo-net.jp","yahoo-net.jp")</f>
        <v>yahoo-net.jp</v>
      </c>
      <c r="C31366" t="s">
        <v>461</v>
      </c>
      <c r="D31366" t="s">
        <v>837</v>
      </c>
      <c r="E31366">
        <v>29661</v>
      </c>
      <c r="F31366">
        <v>9.2170241985371698E-7</v>
      </c>
      <c r="G31366">
        <v>41903</v>
      </c>
      <c r="H31366">
        <v>17242220</v>
      </c>
      <c r="I31366">
        <v>35057</v>
      </c>
      <c r="J31366">
        <v>2</v>
      </c>
    </row>
    <row r="31367" spans="1:10" x14ac:dyDescent="0.25">
      <c r="A31367" t="s">
        <v>356</v>
      </c>
      <c r="B31367" s="1" t="str">
        <f>HYPERLINK("http://yahooapis.jp","yahooapis.jp")</f>
        <v>yahooapis.jp</v>
      </c>
      <c r="C31367" t="s">
        <v>461</v>
      </c>
      <c r="D31367" t="s">
        <v>837</v>
      </c>
      <c r="E31367">
        <v>65994</v>
      </c>
      <c r="F31367">
        <v>3.9031848879762801E-6</v>
      </c>
      <c r="G31367">
        <v>10128</v>
      </c>
      <c r="H31367">
        <v>13908900</v>
      </c>
      <c r="I31367">
        <v>5943336</v>
      </c>
      <c r="J31367">
        <v>2</v>
      </c>
    </row>
    <row r="31368" spans="1:10" x14ac:dyDescent="0.25">
      <c r="A31368" t="s">
        <v>356</v>
      </c>
      <c r="B31368" s="1" t="str">
        <f>HYPERLINK("http://yahoobox.jp","yahoobox.jp")</f>
        <v>yahoobox.jp</v>
      </c>
      <c r="C31368" t="s">
        <v>461</v>
      </c>
      <c r="D31368" t="s">
        <v>837</v>
      </c>
      <c r="F31368">
        <v>4.5187497586450402E-9</v>
      </c>
      <c r="G31368">
        <v>56381294</v>
      </c>
      <c r="H31368">
        <v>12276057</v>
      </c>
      <c r="I31368">
        <v>21390783</v>
      </c>
      <c r="J31368">
        <v>2</v>
      </c>
    </row>
    <row r="31369" spans="1:10" x14ac:dyDescent="0.25">
      <c r="A31369" t="s">
        <v>356</v>
      </c>
      <c r="B31369" s="1" t="str">
        <f>HYPERLINK("http://yimg.jp","yimg.jp")</f>
        <v>yimg.jp</v>
      </c>
      <c r="C31369" t="s">
        <v>461</v>
      </c>
      <c r="D31369" t="s">
        <v>837</v>
      </c>
      <c r="E31369">
        <v>4752</v>
      </c>
      <c r="F31369">
        <v>2.0687203531765799E-5</v>
      </c>
      <c r="G31369">
        <v>1426</v>
      </c>
      <c r="H31369">
        <v>17704910</v>
      </c>
      <c r="I31369">
        <v>7210</v>
      </c>
      <c r="J31369">
        <v>2</v>
      </c>
    </row>
    <row r="31370" spans="1:10" x14ac:dyDescent="0.25">
      <c r="A31370" t="s">
        <v>356</v>
      </c>
      <c r="B31370" s="1" t="str">
        <f>HYPERLINK("http://yjcard.jp","yjcard.jp")</f>
        <v>yjcard.jp</v>
      </c>
      <c r="C31370" t="s">
        <v>461</v>
      </c>
      <c r="D31370" t="s">
        <v>837</v>
      </c>
      <c r="F31370">
        <v>8.0389091987401701E-9</v>
      </c>
      <c r="G31370">
        <v>9849836</v>
      </c>
      <c r="H31370">
        <v>11101042</v>
      </c>
      <c r="I31370">
        <v>32256540</v>
      </c>
      <c r="J31370">
        <v>3</v>
      </c>
    </row>
    <row r="31371" spans="1:10" x14ac:dyDescent="0.25">
      <c r="A31371" t="s">
        <v>356</v>
      </c>
      <c r="B31371" s="1" t="str">
        <f>HYPERLINK("http://yjtag.jp","yjtag.jp")</f>
        <v>yjtag.jp</v>
      </c>
      <c r="C31371" t="s">
        <v>461</v>
      </c>
      <c r="D31371" t="s">
        <v>837</v>
      </c>
      <c r="E31371">
        <v>17254</v>
      </c>
      <c r="F31371">
        <v>1.15177891211854E-5</v>
      </c>
      <c r="G31371">
        <v>2970</v>
      </c>
      <c r="H31371">
        <v>14927478</v>
      </c>
      <c r="I31371">
        <v>448777</v>
      </c>
      <c r="J31371">
        <v>2</v>
      </c>
    </row>
    <row r="31372" spans="1:10" x14ac:dyDescent="0.25">
      <c r="A31372" t="s">
        <v>356</v>
      </c>
      <c r="B31372" s="1" t="str">
        <f>HYPERLINK("http://ymobile.jp","ymobile.jp")</f>
        <v>ymobile.jp</v>
      </c>
      <c r="C31372" t="s">
        <v>461</v>
      </c>
      <c r="D31372" t="s">
        <v>837</v>
      </c>
      <c r="E31372">
        <v>33020</v>
      </c>
      <c r="F31372">
        <v>1.19439977551896E-6</v>
      </c>
      <c r="G31372">
        <v>32631</v>
      </c>
      <c r="H31372">
        <v>15092312</v>
      </c>
      <c r="I31372">
        <v>407677</v>
      </c>
      <c r="J31372">
        <v>4</v>
      </c>
    </row>
    <row r="31373" spans="1:10" x14ac:dyDescent="0.25">
      <c r="A31373" t="s">
        <v>356</v>
      </c>
      <c r="B31373" s="1" t="str">
        <f>HYPERLINK("http://zozo.jp","zozo.jp")</f>
        <v>zozo.jp</v>
      </c>
      <c r="C31373" t="s">
        <v>461</v>
      </c>
      <c r="D31373" t="s">
        <v>837</v>
      </c>
      <c r="E31373">
        <v>9071</v>
      </c>
      <c r="F31373">
        <v>1.3748792071034799E-6</v>
      </c>
      <c r="G31373">
        <v>28335</v>
      </c>
      <c r="H31373">
        <v>17623326</v>
      </c>
      <c r="I31373">
        <v>9033</v>
      </c>
      <c r="J31373">
        <v>4</v>
      </c>
    </row>
    <row r="31374" spans="1:10" x14ac:dyDescent="0.25">
      <c r="A31374" t="s">
        <v>356</v>
      </c>
      <c r="B31374" s="1" t="str">
        <f>HYPERLINK("http://line.me","line.me")</f>
        <v>line.me</v>
      </c>
      <c r="C31374" t="s">
        <v>470</v>
      </c>
      <c r="D31374" t="s">
        <v>846</v>
      </c>
      <c r="E31374">
        <v>328</v>
      </c>
      <c r="F31374">
        <v>2.1141606470097301E-4</v>
      </c>
      <c r="G31374">
        <v>141</v>
      </c>
      <c r="H31374">
        <v>19385242</v>
      </c>
      <c r="I31374">
        <v>224</v>
      </c>
      <c r="J31374">
        <v>5</v>
      </c>
    </row>
    <row r="31375" spans="1:10" x14ac:dyDescent="0.25">
      <c r="A31375" t="s">
        <v>356</v>
      </c>
      <c r="B31375" s="1" t="str">
        <f>HYPERLINK("http://line-beta.me","line-beta.me")</f>
        <v>line-beta.me</v>
      </c>
      <c r="C31375" t="s">
        <v>470</v>
      </c>
      <c r="D31375" t="s">
        <v>846</v>
      </c>
      <c r="E31375">
        <v>887703</v>
      </c>
      <c r="F31375">
        <v>1.3579750145762E-8</v>
      </c>
      <c r="G31375">
        <v>4370207</v>
      </c>
      <c r="H31375">
        <v>13175012</v>
      </c>
      <c r="I31375">
        <v>11706221</v>
      </c>
      <c r="J31375">
        <v>5</v>
      </c>
    </row>
    <row r="31376" spans="1:10" x14ac:dyDescent="0.25">
      <c r="A31376" t="s">
        <v>356</v>
      </c>
      <c r="B31376" s="1" t="str">
        <f>HYPERLINK("http://line-community.me","line-community.me")</f>
        <v>line-community.me</v>
      </c>
      <c r="C31376" t="s">
        <v>470</v>
      </c>
      <c r="D31376" t="s">
        <v>846</v>
      </c>
      <c r="F31376">
        <v>7.1934176083111499E-8</v>
      </c>
      <c r="G31376">
        <v>587119</v>
      </c>
      <c r="H31376">
        <v>14354162</v>
      </c>
      <c r="I31376">
        <v>1307363</v>
      </c>
      <c r="J31376">
        <v>5</v>
      </c>
    </row>
    <row r="31377" spans="1:10" x14ac:dyDescent="0.25">
      <c r="A31377" t="s">
        <v>356</v>
      </c>
      <c r="B31377" s="1" t="str">
        <f>HYPERLINK("http://lineblog.me","lineblog.me")</f>
        <v>lineblog.me</v>
      </c>
      <c r="C31377" t="s">
        <v>470</v>
      </c>
      <c r="D31377" t="s">
        <v>846</v>
      </c>
      <c r="E31377">
        <v>42832</v>
      </c>
      <c r="F31377">
        <v>2.5369432432030902E-6</v>
      </c>
      <c r="G31377">
        <v>14845</v>
      </c>
      <c r="H31377">
        <v>17612310</v>
      </c>
      <c r="I31377">
        <v>9319</v>
      </c>
      <c r="J31377">
        <v>5</v>
      </c>
    </row>
    <row r="31378" spans="1:10" x14ac:dyDescent="0.25">
      <c r="A31378" t="s">
        <v>356</v>
      </c>
      <c r="B31378" s="1" t="str">
        <f>HYPERLINK("http://livedoor.me","livedoor.me")</f>
        <v>livedoor.me</v>
      </c>
      <c r="C31378" t="s">
        <v>470</v>
      </c>
      <c r="D31378" t="s">
        <v>846</v>
      </c>
      <c r="F31378">
        <v>8.2449832394205097E-9</v>
      </c>
      <c r="G31378">
        <v>9390506</v>
      </c>
      <c r="H31378">
        <v>12905207</v>
      </c>
      <c r="I31378">
        <v>13827077</v>
      </c>
      <c r="J31378">
        <v>6</v>
      </c>
    </row>
    <row r="31379" spans="1:10" x14ac:dyDescent="0.25">
      <c r="A31379" t="s">
        <v>356</v>
      </c>
      <c r="B31379" s="1" t="str">
        <f>HYPERLINK("http://b612.net","b612.net")</f>
        <v>b612.net</v>
      </c>
      <c r="C31379" t="s">
        <v>474</v>
      </c>
      <c r="E31379">
        <v>89243</v>
      </c>
      <c r="F31379">
        <v>4.6913845668595297E-9</v>
      </c>
      <c r="G31379">
        <v>41718337</v>
      </c>
      <c r="H31379">
        <v>13765981</v>
      </c>
      <c r="I31379">
        <v>7047726</v>
      </c>
      <c r="J31379">
        <v>5</v>
      </c>
    </row>
    <row r="31380" spans="1:10" x14ac:dyDescent="0.25">
      <c r="A31380" t="s">
        <v>356</v>
      </c>
      <c r="B31380" s="1" t="str">
        <f>HYPERLINK("http://eaccess.net","eaccess.net")</f>
        <v>eaccess.net</v>
      </c>
      <c r="C31380" t="s">
        <v>474</v>
      </c>
      <c r="E31380">
        <v>847333</v>
      </c>
      <c r="F31380">
        <v>7.5582185907285197E-8</v>
      </c>
      <c r="G31380">
        <v>556160</v>
      </c>
      <c r="H31380">
        <v>14559751</v>
      </c>
      <c r="I31380">
        <v>746880</v>
      </c>
      <c r="J31380">
        <v>6</v>
      </c>
    </row>
    <row r="31381" spans="1:10" x14ac:dyDescent="0.25">
      <c r="A31381" t="s">
        <v>356</v>
      </c>
      <c r="B31381" s="1" t="str">
        <f>HYPERLINK("http://livedoor.net","livedoor.net")</f>
        <v>livedoor.net</v>
      </c>
      <c r="C31381" t="s">
        <v>474</v>
      </c>
      <c r="E31381">
        <v>173803</v>
      </c>
      <c r="F31381">
        <v>3.8416862312694802E-7</v>
      </c>
      <c r="G31381">
        <v>97459</v>
      </c>
      <c r="H31381">
        <v>14296177</v>
      </c>
      <c r="I31381">
        <v>1360148</v>
      </c>
      <c r="J31381">
        <v>6</v>
      </c>
    </row>
    <row r="31382" spans="1:10" x14ac:dyDescent="0.25">
      <c r="A31382" t="s">
        <v>356</v>
      </c>
      <c r="B31382" s="1" t="str">
        <f>HYPERLINK("http://yj.pn","yj.pn")</f>
        <v>yj.pn</v>
      </c>
      <c r="C31382" t="s">
        <v>660</v>
      </c>
      <c r="D31382" t="s">
        <v>979</v>
      </c>
      <c r="E31382">
        <v>930129</v>
      </c>
      <c r="F31382">
        <v>2.01622898074492E-7</v>
      </c>
      <c r="G31382">
        <v>188736</v>
      </c>
      <c r="H31382">
        <v>14153738</v>
      </c>
      <c r="I31382">
        <v>1865101</v>
      </c>
      <c r="J31382">
        <v>2</v>
      </c>
    </row>
    <row r="31383" spans="1:10" x14ac:dyDescent="0.25">
      <c r="A31383" t="s">
        <v>356</v>
      </c>
      <c r="B31383" s="1" t="str">
        <f>HYPERLINK("http://global.softbank","global.softbank")</f>
        <v>global.softbank</v>
      </c>
      <c r="C31383" t="s">
        <v>785</v>
      </c>
      <c r="F31383">
        <v>4.3499987346923299E-8</v>
      </c>
      <c r="G31383">
        <v>1099445</v>
      </c>
      <c r="H31383">
        <v>14158566</v>
      </c>
      <c r="I31383">
        <v>1844458</v>
      </c>
      <c r="J31383">
        <v>6</v>
      </c>
    </row>
    <row r="31384" spans="1:10" x14ac:dyDescent="0.25">
      <c r="A31384" t="s">
        <v>356</v>
      </c>
      <c r="B31384" s="1" t="str">
        <f>HYPERLINK("http://group.softbank","group.softbank")</f>
        <v>group.softbank</v>
      </c>
      <c r="C31384" t="s">
        <v>785</v>
      </c>
      <c r="E31384">
        <v>118193</v>
      </c>
      <c r="F31384">
        <v>3.7492568932763898E-7</v>
      </c>
      <c r="G31384">
        <v>99913</v>
      </c>
      <c r="H31384">
        <v>15111906</v>
      </c>
      <c r="I31384">
        <v>404861</v>
      </c>
      <c r="J31384">
        <v>1</v>
      </c>
    </row>
    <row r="31385" spans="1:10" x14ac:dyDescent="0.25">
      <c r="A31385" t="s">
        <v>356</v>
      </c>
      <c r="B31385" s="1" t="str">
        <f>HYPERLINK("http://linebank.com.tw","linebank.com.tw")</f>
        <v>linebank.com.tw</v>
      </c>
      <c r="C31385" t="s">
        <v>504</v>
      </c>
      <c r="D31385" t="s">
        <v>878</v>
      </c>
      <c r="E31385">
        <v>474665</v>
      </c>
      <c r="F31385">
        <v>3.0370622850769997E-8</v>
      </c>
      <c r="G31385">
        <v>1695159</v>
      </c>
      <c r="H31385">
        <v>14468408</v>
      </c>
      <c r="I31385">
        <v>1043173</v>
      </c>
      <c r="J31385">
        <v>5</v>
      </c>
    </row>
    <row r="31386" spans="1:10" x14ac:dyDescent="0.25">
      <c r="A31386" t="s">
        <v>356</v>
      </c>
      <c r="B31386" s="1" t="str">
        <f>HYPERLINK("http://apical.co.uk","apical.co.uk")</f>
        <v>apical.co.uk</v>
      </c>
      <c r="C31386" t="s">
        <v>506</v>
      </c>
      <c r="D31386" t="s">
        <v>880</v>
      </c>
      <c r="F31386">
        <v>2.21087838654743E-8</v>
      </c>
      <c r="G31386">
        <v>2373405</v>
      </c>
      <c r="H31386">
        <v>14819609</v>
      </c>
      <c r="I31386">
        <v>518451</v>
      </c>
      <c r="J31386">
        <v>6</v>
      </c>
    </row>
    <row r="31387" spans="1:10" x14ac:dyDescent="0.25">
      <c r="A31387" t="s">
        <v>356</v>
      </c>
      <c r="B31387" s="1" t="str">
        <f>HYPERLINK("http://vindhya.co.uk","vindhya.co.uk")</f>
        <v>vindhya.co.uk</v>
      </c>
      <c r="C31387" t="s">
        <v>506</v>
      </c>
      <c r="D31387" t="s">
        <v>880</v>
      </c>
      <c r="J31387">
        <v>4</v>
      </c>
    </row>
    <row r="31388" spans="1:10" x14ac:dyDescent="0.25">
      <c r="A31388" t="s">
        <v>356</v>
      </c>
      <c r="B31388" s="1" t="str">
        <f>HYPERLINK("http://dosi.world","dosi.world")</f>
        <v>dosi.world</v>
      </c>
      <c r="C31388" t="s">
        <v>745</v>
      </c>
      <c r="E31388">
        <v>172260</v>
      </c>
      <c r="F31388">
        <v>5.3726803622334703E-8</v>
      </c>
      <c r="G31388">
        <v>846239</v>
      </c>
      <c r="H31388">
        <v>13824301</v>
      </c>
      <c r="I31388">
        <v>6129725</v>
      </c>
      <c r="J31388">
        <v>5</v>
      </c>
    </row>
    <row r="31389" spans="1:10" x14ac:dyDescent="0.25">
      <c r="A31389" t="s">
        <v>357</v>
      </c>
      <c r="B31389" s="1" t="str">
        <f>HYPERLINK("http://sony.com.ar","sony.com.ar")</f>
        <v>sony.com.ar</v>
      </c>
      <c r="C31389" t="s">
        <v>418</v>
      </c>
      <c r="D31389" t="s">
        <v>800</v>
      </c>
      <c r="E31389">
        <v>407337</v>
      </c>
      <c r="F31389">
        <v>1.50296200058512E-7</v>
      </c>
      <c r="G31389">
        <v>258508</v>
      </c>
      <c r="H31389">
        <v>13815819</v>
      </c>
      <c r="I31389">
        <v>6165921</v>
      </c>
      <c r="J31389">
        <v>2</v>
      </c>
    </row>
    <row r="31390" spans="1:10" x14ac:dyDescent="0.25">
      <c r="A31390" t="s">
        <v>357</v>
      </c>
      <c r="B31390" s="1" t="str">
        <f>HYPERLINK("http://sonymusic.com.ar","sonymusic.com.ar")</f>
        <v>sonymusic.com.ar</v>
      </c>
      <c r="C31390" t="s">
        <v>418</v>
      </c>
      <c r="D31390" t="s">
        <v>800</v>
      </c>
      <c r="F31390">
        <v>1.12181692998973E-8</v>
      </c>
      <c r="G31390">
        <v>5700373</v>
      </c>
      <c r="H31390">
        <v>14268792</v>
      </c>
      <c r="I31390">
        <v>1403007</v>
      </c>
      <c r="J31390">
        <v>5</v>
      </c>
    </row>
    <row r="31391" spans="1:10" x14ac:dyDescent="0.25">
      <c r="A31391" t="s">
        <v>357</v>
      </c>
      <c r="B31391" s="1" t="str">
        <f>HYPERLINK("http://olympus.at","olympus.at")</f>
        <v>olympus.at</v>
      </c>
      <c r="C31391" t="s">
        <v>419</v>
      </c>
      <c r="D31391" t="s">
        <v>801</v>
      </c>
      <c r="F31391">
        <v>6.0586671525720603E-8</v>
      </c>
      <c r="G31391">
        <v>727685</v>
      </c>
      <c r="H31391">
        <v>13969831</v>
      </c>
      <c r="I31391">
        <v>4077216</v>
      </c>
      <c r="J31391">
        <v>5</v>
      </c>
    </row>
    <row r="31392" spans="1:10" x14ac:dyDescent="0.25">
      <c r="A31392" t="s">
        <v>357</v>
      </c>
      <c r="B31392" s="1" t="str">
        <f>HYPERLINK("http://playstation.at","playstation.at")</f>
        <v>playstation.at</v>
      </c>
      <c r="C31392" t="s">
        <v>419</v>
      </c>
      <c r="D31392" t="s">
        <v>801</v>
      </c>
      <c r="F31392">
        <v>8.7940515015688695E-9</v>
      </c>
      <c r="G31392">
        <v>8320422</v>
      </c>
      <c r="H31392">
        <v>12950523</v>
      </c>
      <c r="I31392">
        <v>13209681</v>
      </c>
      <c r="J31392">
        <v>4</v>
      </c>
    </row>
    <row r="31393" spans="1:10" x14ac:dyDescent="0.25">
      <c r="A31393" t="s">
        <v>357</v>
      </c>
      <c r="B31393" s="1" t="str">
        <f>HYPERLINK("http://sony.at","sony.at")</f>
        <v>sony.at</v>
      </c>
      <c r="C31393" t="s">
        <v>419</v>
      </c>
      <c r="D31393" t="s">
        <v>801</v>
      </c>
      <c r="E31393">
        <v>413419</v>
      </c>
      <c r="F31393">
        <v>2.4317234219704702E-7</v>
      </c>
      <c r="G31393">
        <v>153845</v>
      </c>
      <c r="H31393">
        <v>14546674</v>
      </c>
      <c r="I31393">
        <v>766627</v>
      </c>
      <c r="J31393">
        <v>2</v>
      </c>
    </row>
    <row r="31394" spans="1:10" x14ac:dyDescent="0.25">
      <c r="A31394" t="s">
        <v>357</v>
      </c>
      <c r="B31394" s="1" t="str">
        <f>HYPERLINK("http://sonymusic.at","sonymusic.at")</f>
        <v>sonymusic.at</v>
      </c>
      <c r="C31394" t="s">
        <v>419</v>
      </c>
      <c r="D31394" t="s">
        <v>801</v>
      </c>
      <c r="F31394">
        <v>1.7609540924570902E-8</v>
      </c>
      <c r="G31394">
        <v>3116853</v>
      </c>
      <c r="H31394">
        <v>14073306</v>
      </c>
      <c r="I31394">
        <v>3003161</v>
      </c>
      <c r="J31394">
        <v>4</v>
      </c>
    </row>
    <row r="31395" spans="1:10" x14ac:dyDescent="0.25">
      <c r="A31395" t="s">
        <v>357</v>
      </c>
      <c r="B31395" s="1" t="str">
        <f>HYPERLINK("http://sonypictures.at","sonypictures.at")</f>
        <v>sonypictures.at</v>
      </c>
      <c r="C31395" t="s">
        <v>419</v>
      </c>
      <c r="D31395" t="s">
        <v>801</v>
      </c>
      <c r="F31395">
        <v>5.0276742119921698E-8</v>
      </c>
      <c r="G31395">
        <v>914804</v>
      </c>
      <c r="H31395">
        <v>14254652</v>
      </c>
      <c r="I31395">
        <v>1435378</v>
      </c>
      <c r="J31395">
        <v>4</v>
      </c>
    </row>
    <row r="31396" spans="1:10" x14ac:dyDescent="0.25">
      <c r="A31396" t="s">
        <v>357</v>
      </c>
      <c r="B31396" s="1" t="str">
        <f>HYPERLINK("http://olympus.com.au","olympus.com.au")</f>
        <v>olympus.com.au</v>
      </c>
      <c r="C31396" t="s">
        <v>420</v>
      </c>
      <c r="D31396" t="s">
        <v>802</v>
      </c>
      <c r="E31396">
        <v>914820</v>
      </c>
      <c r="F31396">
        <v>5.1202375306141002E-8</v>
      </c>
      <c r="G31396">
        <v>894609</v>
      </c>
      <c r="H31396">
        <v>13833988</v>
      </c>
      <c r="I31396">
        <v>6097472</v>
      </c>
      <c r="J31396">
        <v>7</v>
      </c>
    </row>
    <row r="31397" spans="1:10" x14ac:dyDescent="0.25">
      <c r="A31397" t="s">
        <v>357</v>
      </c>
      <c r="B31397" s="1" t="str">
        <f>HYPERLINK("http://sony.com.au","sony.com.au")</f>
        <v>sony.com.au</v>
      </c>
      <c r="C31397" t="s">
        <v>420</v>
      </c>
      <c r="D31397" t="s">
        <v>802</v>
      </c>
      <c r="E31397">
        <v>101603</v>
      </c>
      <c r="F31397">
        <v>3.4439323909481801E-7</v>
      </c>
      <c r="G31397">
        <v>108437</v>
      </c>
      <c r="H31397">
        <v>14906710</v>
      </c>
      <c r="I31397">
        <v>460198</v>
      </c>
      <c r="J31397">
        <v>2</v>
      </c>
    </row>
    <row r="31398" spans="1:10" x14ac:dyDescent="0.25">
      <c r="A31398" t="s">
        <v>357</v>
      </c>
      <c r="B31398" s="1" t="str">
        <f>HYPERLINK("http://sonypicturespublicity.com.au","sonypicturespublicity.com.au")</f>
        <v>sonypicturespublicity.com.au</v>
      </c>
      <c r="C31398" t="s">
        <v>420</v>
      </c>
      <c r="D31398" t="s">
        <v>802</v>
      </c>
      <c r="F31398">
        <v>8.9629620239728092E-9</v>
      </c>
      <c r="G31398">
        <v>8047209</v>
      </c>
      <c r="H31398">
        <v>12363918</v>
      </c>
      <c r="I31398">
        <v>19516956</v>
      </c>
      <c r="J31398">
        <v>3</v>
      </c>
    </row>
    <row r="31399" spans="1:10" x14ac:dyDescent="0.25">
      <c r="A31399" t="s">
        <v>357</v>
      </c>
      <c r="B31399" s="1" t="str">
        <f>HYPERLINK("http://spheconnect.com.au","spheconnect.com.au")</f>
        <v>spheconnect.com.au</v>
      </c>
      <c r="C31399" t="s">
        <v>420</v>
      </c>
      <c r="D31399" t="s">
        <v>802</v>
      </c>
      <c r="J31399">
        <v>3</v>
      </c>
    </row>
    <row r="31400" spans="1:10" x14ac:dyDescent="0.25">
      <c r="A31400" t="s">
        <v>357</v>
      </c>
      <c r="B31400" s="1" t="str">
        <f>HYPERLINK("http://sphepublicity.com.au","sphepublicity.com.au")</f>
        <v>sphepublicity.com.au</v>
      </c>
      <c r="C31400" t="s">
        <v>420</v>
      </c>
      <c r="D31400" t="s">
        <v>802</v>
      </c>
      <c r="J31400">
        <v>3</v>
      </c>
    </row>
    <row r="31401" spans="1:10" x14ac:dyDescent="0.25">
      <c r="A31401" t="s">
        <v>357</v>
      </c>
      <c r="B31401" s="1" t="str">
        <f>HYPERLINK("http://unisphe.com.au","unisphe.com.au")</f>
        <v>unisphe.com.au</v>
      </c>
      <c r="C31401" t="s">
        <v>420</v>
      </c>
      <c r="D31401" t="s">
        <v>802</v>
      </c>
      <c r="J31401">
        <v>3</v>
      </c>
    </row>
    <row r="31402" spans="1:10" x14ac:dyDescent="0.25">
      <c r="A31402" t="s">
        <v>357</v>
      </c>
      <c r="B31402" s="1" t="str">
        <f>HYPERLINK("http://sony.ba","sony.ba")</f>
        <v>sony.ba</v>
      </c>
      <c r="C31402" t="s">
        <v>526</v>
      </c>
      <c r="D31402" t="s">
        <v>893</v>
      </c>
      <c r="F31402">
        <v>5.57060674041902E-8</v>
      </c>
      <c r="G31402">
        <v>804963</v>
      </c>
      <c r="H31402">
        <v>13522021</v>
      </c>
      <c r="I31402">
        <v>9936203</v>
      </c>
      <c r="J31402">
        <v>2</v>
      </c>
    </row>
    <row r="31403" spans="1:10" x14ac:dyDescent="0.25">
      <c r="A31403" t="s">
        <v>357</v>
      </c>
      <c r="B31403" s="1" t="str">
        <f>HYPERLINK("http://olympus.be","olympus.be")</f>
        <v>olympus.be</v>
      </c>
      <c r="C31403" t="s">
        <v>421</v>
      </c>
      <c r="D31403" t="s">
        <v>803</v>
      </c>
      <c r="F31403">
        <v>4.2553249614432698E-8</v>
      </c>
      <c r="G31403">
        <v>1137705</v>
      </c>
      <c r="H31403">
        <v>12686610</v>
      </c>
      <c r="I31403">
        <v>15445003</v>
      </c>
      <c r="J31403">
        <v>5</v>
      </c>
    </row>
    <row r="31404" spans="1:10" x14ac:dyDescent="0.25">
      <c r="A31404" t="s">
        <v>357</v>
      </c>
      <c r="B31404" s="1" t="str">
        <f>HYPERLINK("http://sony.be","sony.be")</f>
        <v>sony.be</v>
      </c>
      <c r="C31404" t="s">
        <v>421</v>
      </c>
      <c r="D31404" t="s">
        <v>803</v>
      </c>
      <c r="E31404">
        <v>460600</v>
      </c>
      <c r="F31404">
        <v>2.23733884758958E-7</v>
      </c>
      <c r="G31404">
        <v>168431</v>
      </c>
      <c r="H31404">
        <v>14505632</v>
      </c>
      <c r="I31404">
        <v>835803</v>
      </c>
      <c r="J31404">
        <v>2</v>
      </c>
    </row>
    <row r="31405" spans="1:10" x14ac:dyDescent="0.25">
      <c r="A31405" t="s">
        <v>357</v>
      </c>
      <c r="B31405" s="1" t="str">
        <f>HYPERLINK("http://sonypictures.be","sonypictures.be")</f>
        <v>sonypictures.be</v>
      </c>
      <c r="C31405" t="s">
        <v>421</v>
      </c>
      <c r="D31405" t="s">
        <v>803</v>
      </c>
      <c r="F31405">
        <v>4.0802284345203098E-8</v>
      </c>
      <c r="G31405">
        <v>1270606</v>
      </c>
      <c r="H31405">
        <v>14072283</v>
      </c>
      <c r="I31405">
        <v>3121832</v>
      </c>
      <c r="J31405">
        <v>4</v>
      </c>
    </row>
    <row r="31406" spans="1:10" x14ac:dyDescent="0.25">
      <c r="A31406" t="s">
        <v>357</v>
      </c>
      <c r="B31406" s="1" t="str">
        <f>HYPERLINK("http://spheconnect.be","spheconnect.be")</f>
        <v>spheconnect.be</v>
      </c>
      <c r="C31406" t="s">
        <v>421</v>
      </c>
      <c r="D31406" t="s">
        <v>803</v>
      </c>
      <c r="J31406">
        <v>3</v>
      </c>
    </row>
    <row r="31407" spans="1:10" x14ac:dyDescent="0.25">
      <c r="A31407" t="s">
        <v>357</v>
      </c>
      <c r="B31407" s="1" t="str">
        <f>HYPERLINK("http://sphepublicity.be","sphepublicity.be")</f>
        <v>sphepublicity.be</v>
      </c>
      <c r="C31407" t="s">
        <v>421</v>
      </c>
      <c r="D31407" t="s">
        <v>803</v>
      </c>
      <c r="J31407">
        <v>3</v>
      </c>
    </row>
    <row r="31408" spans="1:10" x14ac:dyDescent="0.25">
      <c r="A31408" t="s">
        <v>357</v>
      </c>
      <c r="B31408" s="1" t="str">
        <f>HYPERLINK("http://olympus.bg","olympus.bg")</f>
        <v>olympus.bg</v>
      </c>
      <c r="C31408" t="s">
        <v>422</v>
      </c>
      <c r="D31408" t="s">
        <v>804</v>
      </c>
      <c r="F31408">
        <v>3.6559654272801698E-8</v>
      </c>
      <c r="G31408">
        <v>1428510</v>
      </c>
      <c r="H31408">
        <v>13765317</v>
      </c>
      <c r="I31408">
        <v>7116481</v>
      </c>
      <c r="J31408">
        <v>5</v>
      </c>
    </row>
    <row r="31409" spans="1:10" x14ac:dyDescent="0.25">
      <c r="A31409" t="s">
        <v>357</v>
      </c>
      <c r="B31409" s="1" t="str">
        <f>HYPERLINK("http://sony.bg","sony.bg")</f>
        <v>sony.bg</v>
      </c>
      <c r="C31409" t="s">
        <v>422</v>
      </c>
      <c r="D31409" t="s">
        <v>804</v>
      </c>
      <c r="F31409">
        <v>1.07272533422775E-7</v>
      </c>
      <c r="G31409">
        <v>373227</v>
      </c>
      <c r="H31409">
        <v>14246857</v>
      </c>
      <c r="I31409">
        <v>1459789</v>
      </c>
      <c r="J31409">
        <v>2</v>
      </c>
    </row>
    <row r="31410" spans="1:10" x14ac:dyDescent="0.25">
      <c r="A31410" t="s">
        <v>357</v>
      </c>
      <c r="B31410" s="1" t="str">
        <f>HYPERLINK("http://eclipserecords.biz","eclipserecords.biz")</f>
        <v>eclipserecords.biz</v>
      </c>
      <c r="C31410" t="s">
        <v>423</v>
      </c>
      <c r="F31410">
        <v>1.2635003811823101E-8</v>
      </c>
      <c r="G31410">
        <v>4813063</v>
      </c>
      <c r="H31410">
        <v>12542736</v>
      </c>
      <c r="I31410">
        <v>16906730</v>
      </c>
      <c r="J31410">
        <v>11</v>
      </c>
    </row>
    <row r="31411" spans="1:10" x14ac:dyDescent="0.25">
      <c r="A31411" t="s">
        <v>357</v>
      </c>
      <c r="B31411" s="1" t="str">
        <f>HYPERLINK("http://sony.biz","sony.biz")</f>
        <v>sony.biz</v>
      </c>
      <c r="C31411" t="s">
        <v>423</v>
      </c>
      <c r="E31411">
        <v>82135</v>
      </c>
      <c r="F31411">
        <v>3.5781213571076601E-8</v>
      </c>
      <c r="G31411">
        <v>1455448</v>
      </c>
      <c r="H31411">
        <v>14252700</v>
      </c>
      <c r="I31411">
        <v>1440751</v>
      </c>
      <c r="J31411">
        <v>3</v>
      </c>
    </row>
    <row r="31412" spans="1:10" x14ac:dyDescent="0.25">
      <c r="A31412" t="s">
        <v>357</v>
      </c>
      <c r="B31412" s="1" t="str">
        <f>HYPERLINK("http://sony.com.bo","sony.com.bo")</f>
        <v>sony.com.bo</v>
      </c>
      <c r="C31412" t="s">
        <v>424</v>
      </c>
      <c r="D31412" t="s">
        <v>805</v>
      </c>
      <c r="F31412">
        <v>1.06231053555039E-7</v>
      </c>
      <c r="G31412">
        <v>376933</v>
      </c>
      <c r="H31412">
        <v>13054766</v>
      </c>
      <c r="I31412">
        <v>12568981</v>
      </c>
      <c r="J31412">
        <v>2</v>
      </c>
    </row>
    <row r="31413" spans="1:10" x14ac:dyDescent="0.25">
      <c r="A31413" t="s">
        <v>357</v>
      </c>
      <c r="B31413" s="1" t="str">
        <f>HYPERLINK("http://sony.com.br","sony.com.br")</f>
        <v>sony.com.br</v>
      </c>
      <c r="C31413" t="s">
        <v>425</v>
      </c>
      <c r="D31413" t="s">
        <v>806</v>
      </c>
      <c r="E31413">
        <v>274262</v>
      </c>
      <c r="F31413">
        <v>1.7784693024176901E-7</v>
      </c>
      <c r="G31413">
        <v>217382</v>
      </c>
      <c r="H31413">
        <v>14495831</v>
      </c>
      <c r="I31413">
        <v>873857</v>
      </c>
      <c r="J31413">
        <v>2</v>
      </c>
    </row>
    <row r="31414" spans="1:10" x14ac:dyDescent="0.25">
      <c r="A31414" t="s">
        <v>357</v>
      </c>
      <c r="B31414" s="1" t="str">
        <f>HYPERLINK("http://sonypictures.com.br","sonypictures.com.br")</f>
        <v>sonypictures.com.br</v>
      </c>
      <c r="C31414" t="s">
        <v>425</v>
      </c>
      <c r="D31414" t="s">
        <v>806</v>
      </c>
      <c r="F31414">
        <v>6.2135521923319094E-8</v>
      </c>
      <c r="G31414">
        <v>707491</v>
      </c>
      <c r="H31414">
        <v>14844042</v>
      </c>
      <c r="I31414">
        <v>494980</v>
      </c>
      <c r="J31414">
        <v>4</v>
      </c>
    </row>
    <row r="31415" spans="1:10" x14ac:dyDescent="0.25">
      <c r="A31415" t="s">
        <v>357</v>
      </c>
      <c r="B31415" s="1" t="str">
        <f>HYPERLINK("http://scentre.by","scentre.by")</f>
        <v>scentre.by</v>
      </c>
      <c r="C31415" t="s">
        <v>427</v>
      </c>
      <c r="D31415" t="s">
        <v>808</v>
      </c>
      <c r="F31415">
        <v>1.1359438065265599E-8</v>
      </c>
      <c r="G31415">
        <v>5601794</v>
      </c>
      <c r="H31415">
        <v>12912338</v>
      </c>
      <c r="I31415">
        <v>13535187</v>
      </c>
      <c r="J31415">
        <v>6</v>
      </c>
    </row>
    <row r="31416" spans="1:10" x14ac:dyDescent="0.25">
      <c r="A31416" t="s">
        <v>357</v>
      </c>
      <c r="B31416" s="1" t="str">
        <f>HYPERLINK("http://apmmusic.ca","apmmusic.ca")</f>
        <v>apmmusic.ca</v>
      </c>
      <c r="C31416" t="s">
        <v>428</v>
      </c>
      <c r="D31416" t="s">
        <v>809</v>
      </c>
      <c r="F31416">
        <v>6.1471846879006097E-9</v>
      </c>
      <c r="G31416">
        <v>15818705</v>
      </c>
      <c r="H31416">
        <v>11174968</v>
      </c>
      <c r="I31416">
        <v>31481838</v>
      </c>
      <c r="J31416">
        <v>5</v>
      </c>
    </row>
    <row r="31417" spans="1:10" x14ac:dyDescent="0.25">
      <c r="A31417" t="s">
        <v>357</v>
      </c>
      <c r="B31417" s="1" t="str">
        <f>HYPERLINK("http://sony.ca","sony.ca")</f>
        <v>sony.ca</v>
      </c>
      <c r="C31417" t="s">
        <v>428</v>
      </c>
      <c r="D31417" t="s">
        <v>809</v>
      </c>
      <c r="E31417">
        <v>126047</v>
      </c>
      <c r="F31417">
        <v>5.8332412795266203E-7</v>
      </c>
      <c r="G31417">
        <v>65504</v>
      </c>
      <c r="H31417">
        <v>17178066</v>
      </c>
      <c r="I31417">
        <v>45963</v>
      </c>
      <c r="J31417">
        <v>2</v>
      </c>
    </row>
    <row r="31418" spans="1:10" x14ac:dyDescent="0.25">
      <c r="A31418" t="s">
        <v>357</v>
      </c>
      <c r="B31418" s="1" t="str">
        <f>HYPERLINK("http://sonypictures.ca","sonypictures.ca")</f>
        <v>sonypictures.ca</v>
      </c>
      <c r="C31418" t="s">
        <v>428</v>
      </c>
      <c r="D31418" t="s">
        <v>809</v>
      </c>
      <c r="F31418">
        <v>9.5306706267010606E-8</v>
      </c>
      <c r="G31418">
        <v>425117</v>
      </c>
      <c r="H31418">
        <v>13794566</v>
      </c>
      <c r="I31418">
        <v>6314810</v>
      </c>
      <c r="J31418">
        <v>4</v>
      </c>
    </row>
    <row r="31419" spans="1:10" x14ac:dyDescent="0.25">
      <c r="A31419" t="s">
        <v>357</v>
      </c>
      <c r="B31419" s="1" t="str">
        <f>HYPERLINK("http://spheconnect.ca","spheconnect.ca")</f>
        <v>spheconnect.ca</v>
      </c>
      <c r="C31419" t="s">
        <v>428</v>
      </c>
      <c r="D31419" t="s">
        <v>809</v>
      </c>
      <c r="J31419">
        <v>3</v>
      </c>
    </row>
    <row r="31420" spans="1:10" x14ac:dyDescent="0.25">
      <c r="A31420" t="s">
        <v>357</v>
      </c>
      <c r="B31420" s="1" t="str">
        <f>HYPERLINK("http://sphepublicity.ca","sphepublicity.ca")</f>
        <v>sphepublicity.ca</v>
      </c>
      <c r="C31420" t="s">
        <v>428</v>
      </c>
      <c r="D31420" t="s">
        <v>809</v>
      </c>
      <c r="J31420">
        <v>3</v>
      </c>
    </row>
    <row r="31421" spans="1:10" x14ac:dyDescent="0.25">
      <c r="A31421" t="s">
        <v>357</v>
      </c>
      <c r="B31421" s="1" t="str">
        <f>HYPERLINK("http://highlight-communications.ch","highlight-communications.ch")</f>
        <v>highlight-communications.ch</v>
      </c>
      <c r="C31421" t="s">
        <v>429</v>
      </c>
      <c r="D31421" t="s">
        <v>810</v>
      </c>
      <c r="F31421">
        <v>1.5432388459186401E-8</v>
      </c>
      <c r="G31421">
        <v>3704481</v>
      </c>
      <c r="H31421">
        <v>13774455</v>
      </c>
      <c r="I31421">
        <v>6605083</v>
      </c>
      <c r="J31421">
        <v>8</v>
      </c>
    </row>
    <row r="31422" spans="1:10" x14ac:dyDescent="0.25">
      <c r="A31422" t="s">
        <v>357</v>
      </c>
      <c r="B31422" s="1" t="str">
        <f>HYPERLINK("http://hlcom.ch","hlcom.ch")</f>
        <v>hlcom.ch</v>
      </c>
      <c r="C31422" t="s">
        <v>429</v>
      </c>
      <c r="D31422" t="s">
        <v>810</v>
      </c>
      <c r="F31422">
        <v>4.9062089734265803E-9</v>
      </c>
      <c r="G31422">
        <v>32290206</v>
      </c>
      <c r="H31422">
        <v>12499846</v>
      </c>
      <c r="I31422">
        <v>17361305</v>
      </c>
      <c r="J31422">
        <v>10</v>
      </c>
    </row>
    <row r="31423" spans="1:10" x14ac:dyDescent="0.25">
      <c r="A31423" t="s">
        <v>357</v>
      </c>
      <c r="B31423" s="1" t="str">
        <f>HYPERLINK("http://hlee.ch","hlee.ch")</f>
        <v>hlee.ch</v>
      </c>
      <c r="C31423" t="s">
        <v>429</v>
      </c>
      <c r="D31423" t="s">
        <v>810</v>
      </c>
      <c r="F31423">
        <v>1.1245658827256001E-8</v>
      </c>
      <c r="G31423">
        <v>5681225</v>
      </c>
      <c r="H31423">
        <v>13566393</v>
      </c>
      <c r="I31423">
        <v>9755482</v>
      </c>
      <c r="J31423">
        <v>15</v>
      </c>
    </row>
    <row r="31424" spans="1:10" x14ac:dyDescent="0.25">
      <c r="A31424" t="s">
        <v>357</v>
      </c>
      <c r="B31424" s="1" t="str">
        <f>HYPERLINK("http://olympus.ch","olympus.ch")</f>
        <v>olympus.ch</v>
      </c>
      <c r="C31424" t="s">
        <v>429</v>
      </c>
      <c r="D31424" t="s">
        <v>810</v>
      </c>
      <c r="F31424">
        <v>4.8871769926566997E-8</v>
      </c>
      <c r="G31424">
        <v>948062</v>
      </c>
      <c r="H31424">
        <v>13772292</v>
      </c>
      <c r="I31424">
        <v>6665412</v>
      </c>
      <c r="J31424">
        <v>5</v>
      </c>
    </row>
    <row r="31425" spans="1:10" x14ac:dyDescent="0.25">
      <c r="A31425" t="s">
        <v>357</v>
      </c>
      <c r="B31425" s="1" t="str">
        <f>HYPERLINK("http://sony.ch","sony.ch")</f>
        <v>sony.ch</v>
      </c>
      <c r="C31425" t="s">
        <v>429</v>
      </c>
      <c r="D31425" t="s">
        <v>810</v>
      </c>
      <c r="E31425">
        <v>546806</v>
      </c>
      <c r="F31425">
        <v>2.8667519447540498E-7</v>
      </c>
      <c r="G31425">
        <v>129680</v>
      </c>
      <c r="H31425">
        <v>14327663</v>
      </c>
      <c r="I31425">
        <v>1325619</v>
      </c>
      <c r="J31425">
        <v>2</v>
      </c>
    </row>
    <row r="31426" spans="1:10" x14ac:dyDescent="0.25">
      <c r="A31426" t="s">
        <v>357</v>
      </c>
      <c r="B31426" s="1" t="str">
        <f>HYPERLINK("http://team.ch","team.ch")</f>
        <v>team.ch</v>
      </c>
      <c r="C31426" t="s">
        <v>429</v>
      </c>
      <c r="D31426" t="s">
        <v>810</v>
      </c>
      <c r="F31426">
        <v>9.5259896599043608E-9</v>
      </c>
      <c r="G31426">
        <v>7291633</v>
      </c>
      <c r="H31426">
        <v>14075868</v>
      </c>
      <c r="I31426">
        <v>2898871</v>
      </c>
      <c r="J31426">
        <v>9</v>
      </c>
    </row>
    <row r="31427" spans="1:10" x14ac:dyDescent="0.25">
      <c r="A31427" t="s">
        <v>357</v>
      </c>
      <c r="B31427" s="1" t="str">
        <f>HYPERLINK("http://sony.cl","sony.cl")</f>
        <v>sony.cl</v>
      </c>
      <c r="C31427" t="s">
        <v>430</v>
      </c>
      <c r="D31427" t="s">
        <v>811</v>
      </c>
      <c r="E31427">
        <v>908645</v>
      </c>
      <c r="F31427">
        <v>1.2292097835252301E-7</v>
      </c>
      <c r="G31427">
        <v>321063</v>
      </c>
      <c r="H31427">
        <v>13473553</v>
      </c>
      <c r="I31427">
        <v>10026535</v>
      </c>
      <c r="J31427">
        <v>2</v>
      </c>
    </row>
    <row r="31428" spans="1:10" x14ac:dyDescent="0.25">
      <c r="A31428" t="s">
        <v>357</v>
      </c>
      <c r="B31428" s="1" t="str">
        <f>HYPERLINK("http://olympus.com.cn","olympus.com.cn")</f>
        <v>olympus.com.cn</v>
      </c>
      <c r="C31428" t="s">
        <v>431</v>
      </c>
      <c r="D31428" t="s">
        <v>812</v>
      </c>
      <c r="E31428">
        <v>604151</v>
      </c>
      <c r="F31428">
        <v>5.7314597126866803E-8</v>
      </c>
      <c r="G31428">
        <v>778271</v>
      </c>
      <c r="H31428">
        <v>14154848</v>
      </c>
      <c r="I31428">
        <v>1861487</v>
      </c>
      <c r="J31428">
        <v>7</v>
      </c>
    </row>
    <row r="31429" spans="1:10" x14ac:dyDescent="0.25">
      <c r="A31429" t="s">
        <v>357</v>
      </c>
      <c r="B31429" s="1" t="str">
        <f>HYPERLINK("http://playstation.com.cn","playstation.com.cn")</f>
        <v>playstation.com.cn</v>
      </c>
      <c r="C31429" t="s">
        <v>431</v>
      </c>
      <c r="D31429" t="s">
        <v>812</v>
      </c>
      <c r="E31429">
        <v>802603</v>
      </c>
      <c r="F31429">
        <v>7.00187829242933E-8</v>
      </c>
      <c r="G31429">
        <v>605141</v>
      </c>
      <c r="H31429">
        <v>14415462</v>
      </c>
      <c r="I31429">
        <v>1112656</v>
      </c>
      <c r="J31429">
        <v>4</v>
      </c>
    </row>
    <row r="31430" spans="1:10" x14ac:dyDescent="0.25">
      <c r="A31430" t="s">
        <v>357</v>
      </c>
      <c r="B31430" s="1" t="str">
        <f>HYPERLINK("http://sony.com.cn","sony.com.cn")</f>
        <v>sony.com.cn</v>
      </c>
      <c r="C31430" t="s">
        <v>431</v>
      </c>
      <c r="D31430" t="s">
        <v>812</v>
      </c>
      <c r="E31430">
        <v>33888</v>
      </c>
      <c r="F31430">
        <v>5.4564938546110897E-7</v>
      </c>
      <c r="G31430">
        <v>70839</v>
      </c>
      <c r="H31430">
        <v>14595369</v>
      </c>
      <c r="I31430">
        <v>690525</v>
      </c>
      <c r="J31430">
        <v>2</v>
      </c>
    </row>
    <row r="31431" spans="1:10" x14ac:dyDescent="0.25">
      <c r="A31431" t="s">
        <v>357</v>
      </c>
      <c r="B31431" s="1" t="str">
        <f>HYPERLINK("http://sony-semicon.com.cn","sony-semicon.com.cn")</f>
        <v>sony-semicon.com.cn</v>
      </c>
      <c r="C31431" t="s">
        <v>431</v>
      </c>
      <c r="D31431" t="s">
        <v>812</v>
      </c>
      <c r="F31431">
        <v>1.1718892323609301E-8</v>
      </c>
      <c r="G31431">
        <v>5354290</v>
      </c>
      <c r="H31431">
        <v>12126618</v>
      </c>
      <c r="I31431">
        <v>25240638</v>
      </c>
      <c r="J31431">
        <v>4</v>
      </c>
    </row>
    <row r="31432" spans="1:10" x14ac:dyDescent="0.25">
      <c r="A31432" t="s">
        <v>357</v>
      </c>
      <c r="B31432" s="1" t="str">
        <f>HYPERLINK("http://sonystyle.com.cn","sonystyle.com.cn")</f>
        <v>sonystyle.com.cn</v>
      </c>
      <c r="C31432" t="s">
        <v>431</v>
      </c>
      <c r="D31432" t="s">
        <v>812</v>
      </c>
      <c r="E31432">
        <v>43919</v>
      </c>
      <c r="F31432">
        <v>2.9109666454490898E-7</v>
      </c>
      <c r="G31432">
        <v>127855</v>
      </c>
      <c r="H31432">
        <v>14927818</v>
      </c>
      <c r="I31432">
        <v>448649</v>
      </c>
      <c r="J31432">
        <v>3</v>
      </c>
    </row>
    <row r="31433" spans="1:10" x14ac:dyDescent="0.25">
      <c r="A31433" t="s">
        <v>357</v>
      </c>
      <c r="B31433" s="1" t="str">
        <f>HYPERLINK("http://sony.com.co","sony.com.co")</f>
        <v>sony.com.co</v>
      </c>
      <c r="C31433" t="s">
        <v>432</v>
      </c>
      <c r="F31433">
        <v>1.18587440694603E-7</v>
      </c>
      <c r="G31433">
        <v>333892</v>
      </c>
      <c r="H31433">
        <v>13954519</v>
      </c>
      <c r="I31433">
        <v>4144560</v>
      </c>
      <c r="J31433">
        <v>2</v>
      </c>
    </row>
    <row r="31434" spans="1:10" x14ac:dyDescent="0.25">
      <c r="A31434" t="s">
        <v>357</v>
      </c>
      <c r="B31434" s="1" t="str">
        <f>HYPERLINK("http://sonypictures.com.co","sonypictures.com.co")</f>
        <v>sonypictures.com.co</v>
      </c>
      <c r="C31434" t="s">
        <v>432</v>
      </c>
      <c r="F31434">
        <v>7.8463537087342098E-9</v>
      </c>
      <c r="G31434">
        <v>10222217</v>
      </c>
      <c r="H31434">
        <v>10943289</v>
      </c>
      <c r="I31434">
        <v>34744192</v>
      </c>
      <c r="J31434">
        <v>4</v>
      </c>
    </row>
    <row r="31435" spans="1:10" x14ac:dyDescent="0.25">
      <c r="A31435" t="s">
        <v>357</v>
      </c>
      <c r="B31435" s="1" t="str">
        <f>HYPERLINK("http://liquidstate.co","liquidstate.co")</f>
        <v>liquidstate.co</v>
      </c>
      <c r="C31435" t="s">
        <v>432</v>
      </c>
      <c r="F31435">
        <v>7.8313768515195102E-9</v>
      </c>
      <c r="G31435">
        <v>10252793</v>
      </c>
      <c r="H31435">
        <v>12471360</v>
      </c>
      <c r="I31435">
        <v>17734580</v>
      </c>
      <c r="J31435">
        <v>5</v>
      </c>
    </row>
    <row r="31436" spans="1:10" x14ac:dyDescent="0.25">
      <c r="A31436" t="s">
        <v>357</v>
      </c>
      <c r="B31436" s="1" t="str">
        <f>HYPERLINK("http://vrv.co","vrv.co")</f>
        <v>vrv.co</v>
      </c>
      <c r="C31436" t="s">
        <v>432</v>
      </c>
      <c r="E31436">
        <v>10918</v>
      </c>
      <c r="F31436">
        <v>3.2763623068992599E-7</v>
      </c>
      <c r="G31436">
        <v>113677</v>
      </c>
      <c r="H31436">
        <v>15454230</v>
      </c>
      <c r="I31436">
        <v>378108</v>
      </c>
      <c r="J31436">
        <v>6</v>
      </c>
    </row>
    <row r="31437" spans="1:10" x14ac:dyDescent="0.25">
      <c r="A31437" t="s">
        <v>357</v>
      </c>
      <c r="B31437" s="1" t="str">
        <f>HYPERLINK("http://105music.com","105music.com")</f>
        <v>105music.com</v>
      </c>
      <c r="C31437" t="s">
        <v>433</v>
      </c>
      <c r="F31437">
        <v>7.7501212174148407E-9</v>
      </c>
      <c r="G31437">
        <v>10466614</v>
      </c>
      <c r="H31437">
        <v>12244679</v>
      </c>
      <c r="I31437">
        <v>22134067</v>
      </c>
      <c r="J31437">
        <v>7</v>
      </c>
    </row>
    <row r="31438" spans="1:10" x14ac:dyDescent="0.25">
      <c r="A31438" t="s">
        <v>357</v>
      </c>
      <c r="B31438" s="1" t="str">
        <f>HYPERLINK("http://2waytraffic.com","2waytraffic.com")</f>
        <v>2waytraffic.com</v>
      </c>
      <c r="C31438" t="s">
        <v>433</v>
      </c>
      <c r="F31438">
        <v>1.0531169515882E-8</v>
      </c>
      <c r="G31438">
        <v>6242872</v>
      </c>
      <c r="H31438">
        <v>13818121</v>
      </c>
      <c r="I31438">
        <v>6154107</v>
      </c>
      <c r="J31438">
        <v>7</v>
      </c>
    </row>
    <row r="31439" spans="1:10" x14ac:dyDescent="0.25">
      <c r="A31439" t="s">
        <v>357</v>
      </c>
      <c r="B31439" s="1" t="str">
        <f>HYPERLINK("http://affirmfilms.com","affirmfilms.com")</f>
        <v>affirmfilms.com</v>
      </c>
      <c r="C31439" t="s">
        <v>433</v>
      </c>
      <c r="F31439">
        <v>4.0188639626244E-8</v>
      </c>
      <c r="G31439">
        <v>1287095</v>
      </c>
      <c r="H31439">
        <v>14837688</v>
      </c>
      <c r="I31439">
        <v>499539</v>
      </c>
      <c r="J31439">
        <v>4</v>
      </c>
    </row>
    <row r="31440" spans="1:10" x14ac:dyDescent="0.25">
      <c r="A31440" t="s">
        <v>357</v>
      </c>
      <c r="B31440" s="1" t="str">
        <f>HYPERLINK("http://agoniarecords.com","agoniarecords.com")</f>
        <v>agoniarecords.com</v>
      </c>
      <c r="C31440" t="s">
        <v>433</v>
      </c>
      <c r="F31440">
        <v>3.8674682830528701E-8</v>
      </c>
      <c r="G31440">
        <v>1333088</v>
      </c>
      <c r="H31440">
        <v>14630022</v>
      </c>
      <c r="I31440">
        <v>645876</v>
      </c>
      <c r="J31440">
        <v>11</v>
      </c>
    </row>
    <row r="31441" spans="1:10" x14ac:dyDescent="0.25">
      <c r="A31441" t="s">
        <v>357</v>
      </c>
      <c r="B31441" s="1" t="str">
        <f>HYPERLINK("http://aicarddass.com","aicarddass.com")</f>
        <v>aicarddass.com</v>
      </c>
      <c r="C31441" t="s">
        <v>433</v>
      </c>
      <c r="F31441">
        <v>2.1245426305341302E-8</v>
      </c>
      <c r="G31441">
        <v>2481202</v>
      </c>
      <c r="H31441">
        <v>14143983</v>
      </c>
      <c r="I31441">
        <v>1909286</v>
      </c>
      <c r="J31441">
        <v>10</v>
      </c>
    </row>
    <row r="31442" spans="1:10" x14ac:dyDescent="0.25">
      <c r="A31442" t="s">
        <v>357</v>
      </c>
      <c r="B31442" s="1" t="str">
        <f>HYPERLINK("http://aikatsu.com","aikatsu.com")</f>
        <v>aikatsu.com</v>
      </c>
      <c r="C31442" t="s">
        <v>433</v>
      </c>
      <c r="E31442">
        <v>995944</v>
      </c>
      <c r="F31442">
        <v>5.8822956492447601E-8</v>
      </c>
      <c r="G31442">
        <v>754300</v>
      </c>
      <c r="H31442">
        <v>14511321</v>
      </c>
      <c r="I31442">
        <v>821725</v>
      </c>
      <c r="J31442">
        <v>10</v>
      </c>
    </row>
    <row r="31443" spans="1:10" x14ac:dyDescent="0.25">
      <c r="A31443" t="s">
        <v>357</v>
      </c>
      <c r="B31443" s="1" t="str">
        <f>HYPERLINK("http://animelab.com","animelab.com")</f>
        <v>animelab.com</v>
      </c>
      <c r="C31443" t="s">
        <v>433</v>
      </c>
      <c r="E31443">
        <v>210167</v>
      </c>
      <c r="F31443">
        <v>1.88149869693361E-7</v>
      </c>
      <c r="G31443">
        <v>204780</v>
      </c>
      <c r="H31443">
        <v>17158486</v>
      </c>
      <c r="I31443">
        <v>50361</v>
      </c>
      <c r="J31443">
        <v>4</v>
      </c>
    </row>
    <row r="31444" spans="1:10" x14ac:dyDescent="0.25">
      <c r="A31444" t="s">
        <v>357</v>
      </c>
      <c r="B31444" s="1" t="str">
        <f>HYPERLINK("http://aniplexusa.com","aniplexusa.com")</f>
        <v>aniplexusa.com</v>
      </c>
      <c r="C31444" t="s">
        <v>433</v>
      </c>
      <c r="E31444">
        <v>358031</v>
      </c>
      <c r="F31444">
        <v>1.40526474017516E-7</v>
      </c>
      <c r="G31444">
        <v>277143</v>
      </c>
      <c r="H31444">
        <v>14923242</v>
      </c>
      <c r="I31444">
        <v>450583</v>
      </c>
      <c r="J31444">
        <v>4</v>
      </c>
    </row>
    <row r="31445" spans="1:10" x14ac:dyDescent="0.25">
      <c r="A31445" t="s">
        <v>357</v>
      </c>
      <c r="B31445" s="1" t="str">
        <f>HYPERLINK("http://apmmusic.com","apmmusic.com")</f>
        <v>apmmusic.com</v>
      </c>
      <c r="C31445" t="s">
        <v>433</v>
      </c>
      <c r="E31445">
        <v>174930</v>
      </c>
      <c r="F31445">
        <v>1.4078005311097699E-7</v>
      </c>
      <c r="G31445">
        <v>276647</v>
      </c>
      <c r="H31445">
        <v>15296143</v>
      </c>
      <c r="I31445">
        <v>386390</v>
      </c>
      <c r="J31445">
        <v>4</v>
      </c>
    </row>
    <row r="31446" spans="1:10" x14ac:dyDescent="0.25">
      <c r="A31446" t="s">
        <v>357</v>
      </c>
      <c r="B31446" s="1" t="str">
        <f>HYPERLINK("http://aristanashville.com","aristanashville.com")</f>
        <v>aristanashville.com</v>
      </c>
      <c r="C31446" t="s">
        <v>433</v>
      </c>
      <c r="F31446">
        <v>1.30549260204546E-8</v>
      </c>
      <c r="G31446">
        <v>4604971</v>
      </c>
      <c r="H31446">
        <v>14246152</v>
      </c>
      <c r="I31446">
        <v>1462814</v>
      </c>
      <c r="J31446">
        <v>5</v>
      </c>
    </row>
    <row r="31447" spans="1:10" x14ac:dyDescent="0.25">
      <c r="A31447" t="s">
        <v>357</v>
      </c>
      <c r="B31447" s="1" t="str">
        <f>HYPERLINK("http://awal.com","awal.com")</f>
        <v>awal.com</v>
      </c>
      <c r="C31447" t="s">
        <v>433</v>
      </c>
      <c r="E31447">
        <v>388526</v>
      </c>
      <c r="F31447">
        <v>2.8137341047508899E-7</v>
      </c>
      <c r="G31447">
        <v>132159</v>
      </c>
      <c r="H31447">
        <v>15116974</v>
      </c>
      <c r="I31447">
        <v>404185</v>
      </c>
      <c r="J31447">
        <v>5</v>
      </c>
    </row>
    <row r="31448" spans="1:10" x14ac:dyDescent="0.25">
      <c r="A31448" t="s">
        <v>357</v>
      </c>
      <c r="B31448" s="1" t="str">
        <f>HYPERLINK("http://b-ch.com","b-ch.com")</f>
        <v>b-ch.com</v>
      </c>
      <c r="C31448" t="s">
        <v>433</v>
      </c>
      <c r="E31448">
        <v>125338</v>
      </c>
      <c r="F31448">
        <v>9.2218604534875695E-7</v>
      </c>
      <c r="G31448">
        <v>41870</v>
      </c>
      <c r="H31448">
        <v>15169005</v>
      </c>
      <c r="I31448">
        <v>398278</v>
      </c>
      <c r="J31448">
        <v>6</v>
      </c>
    </row>
    <row r="31449" spans="1:10" x14ac:dyDescent="0.25">
      <c r="A31449" t="s">
        <v>357</v>
      </c>
      <c r="B31449" s="1" t="str">
        <f>HYPERLINK("http://badboyonline.com","badboyonline.com")</f>
        <v>badboyonline.com</v>
      </c>
      <c r="C31449" t="s">
        <v>433</v>
      </c>
      <c r="F31449">
        <v>1.6618638680144201E-8</v>
      </c>
      <c r="G31449">
        <v>3384348</v>
      </c>
      <c r="H31449">
        <v>14402911</v>
      </c>
      <c r="I31449">
        <v>1151633</v>
      </c>
      <c r="J31449">
        <v>5</v>
      </c>
    </row>
    <row r="31450" spans="1:10" x14ac:dyDescent="0.25">
      <c r="A31450" t="s">
        <v>357</v>
      </c>
      <c r="B31450" s="1" t="str">
        <f>HYPERLINK("http://bandai.com","bandai.com")</f>
        <v>bandai.com</v>
      </c>
      <c r="C31450" t="s">
        <v>433</v>
      </c>
      <c r="E31450">
        <v>153106</v>
      </c>
      <c r="F31450">
        <v>2.2332758782883501E-7</v>
      </c>
      <c r="G31450">
        <v>168742</v>
      </c>
      <c r="H31450">
        <v>15089488</v>
      </c>
      <c r="I31450">
        <v>408124</v>
      </c>
      <c r="J31450">
        <v>6</v>
      </c>
    </row>
    <row r="31451" spans="1:10" x14ac:dyDescent="0.25">
      <c r="A31451" t="s">
        <v>357</v>
      </c>
      <c r="B31451" s="1" t="str">
        <f>HYPERLINK("http://bandai-net.com","bandai-net.com")</f>
        <v>bandai-net.com</v>
      </c>
      <c r="C31451" t="s">
        <v>433</v>
      </c>
      <c r="F31451">
        <v>1.37692738581952E-8</v>
      </c>
      <c r="G31451">
        <v>4293629</v>
      </c>
      <c r="H31451">
        <v>14431293</v>
      </c>
      <c r="I31451">
        <v>1073290</v>
      </c>
      <c r="J31451">
        <v>6</v>
      </c>
    </row>
    <row r="31452" spans="1:10" x14ac:dyDescent="0.25">
      <c r="A31452" t="s">
        <v>357</v>
      </c>
      <c r="B31452" s="1" t="str">
        <f>HYPERLINK("http://bandainamco.com","bandainamco.com")</f>
        <v>bandainamco.com</v>
      </c>
      <c r="C31452" t="s">
        <v>433</v>
      </c>
      <c r="F31452">
        <v>8.2711061811710193E-9</v>
      </c>
      <c r="G31452">
        <v>9325815</v>
      </c>
      <c r="H31452">
        <v>12939307</v>
      </c>
      <c r="I31452">
        <v>13303939</v>
      </c>
      <c r="J31452">
        <v>6</v>
      </c>
    </row>
    <row r="31453" spans="1:10" x14ac:dyDescent="0.25">
      <c r="A31453" t="s">
        <v>357</v>
      </c>
      <c r="B31453" s="1" t="str">
        <f>HYPERLINK("http://bandainamco-am.com","bandainamco-am.com")</f>
        <v>bandainamco-am.com</v>
      </c>
      <c r="C31453" t="s">
        <v>433</v>
      </c>
      <c r="F31453">
        <v>5.1927520758734897E-8</v>
      </c>
      <c r="G31453">
        <v>879624</v>
      </c>
      <c r="H31453">
        <v>14079749</v>
      </c>
      <c r="I31453">
        <v>2828369</v>
      </c>
      <c r="J31453">
        <v>8</v>
      </c>
    </row>
    <row r="31454" spans="1:10" x14ac:dyDescent="0.25">
      <c r="A31454" t="s">
        <v>357</v>
      </c>
      <c r="B31454" s="1" t="str">
        <f>HYPERLINK("http://bandainamcoent.com","bandainamcoent.com")</f>
        <v>bandainamcoent.com</v>
      </c>
      <c r="C31454" t="s">
        <v>433</v>
      </c>
      <c r="E31454">
        <v>35418</v>
      </c>
      <c r="F31454">
        <v>1.54140629846413E-6</v>
      </c>
      <c r="G31454">
        <v>25450</v>
      </c>
      <c r="H31454">
        <v>17234128</v>
      </c>
      <c r="I31454">
        <v>36288</v>
      </c>
      <c r="J31454">
        <v>4</v>
      </c>
    </row>
    <row r="31455" spans="1:10" x14ac:dyDescent="0.25">
      <c r="A31455" t="s">
        <v>357</v>
      </c>
      <c r="B31455" s="1" t="str">
        <f>HYPERLINK("http://bandainamcoid.com","bandainamcoid.com")</f>
        <v>bandainamcoid.com</v>
      </c>
      <c r="C31455" t="s">
        <v>433</v>
      </c>
      <c r="E31455">
        <v>88049</v>
      </c>
      <c r="F31455">
        <v>3.18488019471095E-7</v>
      </c>
      <c r="G31455">
        <v>116794</v>
      </c>
      <c r="H31455">
        <v>14647047</v>
      </c>
      <c r="I31455">
        <v>631762</v>
      </c>
      <c r="J31455">
        <v>7</v>
      </c>
    </row>
    <row r="31456" spans="1:10" x14ac:dyDescent="0.25">
      <c r="A31456" t="s">
        <v>357</v>
      </c>
      <c r="B31456" s="1" t="str">
        <f>HYPERLINK("http://bandainamcostudios.com","bandainamcostudios.com")</f>
        <v>bandainamcostudios.com</v>
      </c>
      <c r="C31456" t="s">
        <v>433</v>
      </c>
      <c r="E31456">
        <v>716966</v>
      </c>
      <c r="F31456">
        <v>1.2400306459659E-7</v>
      </c>
      <c r="G31456">
        <v>318199</v>
      </c>
      <c r="H31456">
        <v>14435780</v>
      </c>
      <c r="I31456">
        <v>1068739</v>
      </c>
      <c r="J31456">
        <v>5</v>
      </c>
    </row>
    <row r="31457" spans="1:10" x14ac:dyDescent="0.25">
      <c r="A31457" t="s">
        <v>357</v>
      </c>
      <c r="B31457" s="1" t="str">
        <f>HYPERLINK("http://bendstudio.com","bendstudio.com")</f>
        <v>bendstudio.com</v>
      </c>
      <c r="C31457" t="s">
        <v>433</v>
      </c>
      <c r="E31457">
        <v>582935</v>
      </c>
      <c r="F31457">
        <v>5.9589768110637999E-8</v>
      </c>
      <c r="G31457">
        <v>741653</v>
      </c>
      <c r="H31457">
        <v>14468960</v>
      </c>
      <c r="I31457">
        <v>1042903</v>
      </c>
      <c r="J31457">
        <v>3</v>
      </c>
    </row>
    <row r="31458" spans="1:10" x14ac:dyDescent="0.25">
      <c r="A31458" t="s">
        <v>357</v>
      </c>
      <c r="B31458" s="1" t="str">
        <f>HYPERLINK("http://blackmetalterror.com","blackmetalterror.com")</f>
        <v>blackmetalterror.com</v>
      </c>
      <c r="C31458" t="s">
        <v>433</v>
      </c>
      <c r="F31458">
        <v>5.09994467053513E-9</v>
      </c>
      <c r="G31458">
        <v>27079073</v>
      </c>
      <c r="H31458">
        <v>10546298</v>
      </c>
      <c r="I31458">
        <v>46904536</v>
      </c>
      <c r="J31458">
        <v>12</v>
      </c>
    </row>
    <row r="31459" spans="1:10" x14ac:dyDescent="0.25">
      <c r="A31459" t="s">
        <v>357</v>
      </c>
      <c r="B31459" s="1" t="str">
        <f>HYPERLINK("http://blood-music.com","blood-music.com")</f>
        <v>blood-music.com</v>
      </c>
      <c r="C31459" t="s">
        <v>433</v>
      </c>
      <c r="F31459">
        <v>1.9287278758673599E-8</v>
      </c>
      <c r="G31459">
        <v>2784152</v>
      </c>
      <c r="H31459">
        <v>14566073</v>
      </c>
      <c r="I31459">
        <v>739994</v>
      </c>
      <c r="J31459">
        <v>11</v>
      </c>
    </row>
    <row r="31460" spans="1:10" x14ac:dyDescent="0.25">
      <c r="A31460" t="s">
        <v>357</v>
      </c>
      <c r="B31460" s="1" t="str">
        <f>HYPERLINK("http://blpinc.com","blpinc.com")</f>
        <v>blpinc.com</v>
      </c>
      <c r="C31460" t="s">
        <v>433</v>
      </c>
      <c r="F31460">
        <v>8.0853291092161899E-9</v>
      </c>
      <c r="G31460">
        <v>9767807</v>
      </c>
      <c r="H31460">
        <v>12405278</v>
      </c>
      <c r="I31460">
        <v>18685142</v>
      </c>
      <c r="J31460">
        <v>7</v>
      </c>
    </row>
    <row r="31461" spans="1:10" x14ac:dyDescent="0.25">
      <c r="A31461" t="s">
        <v>357</v>
      </c>
      <c r="B31461" s="1" t="str">
        <f>HYPERLINK("http://bluebirdjazz.com","bluebirdjazz.com")</f>
        <v>bluebirdjazz.com</v>
      </c>
      <c r="C31461" t="s">
        <v>433</v>
      </c>
      <c r="F31461">
        <v>5.4964100904939197E-9</v>
      </c>
      <c r="G31461">
        <v>20941868</v>
      </c>
      <c r="H31461">
        <v>13767166</v>
      </c>
      <c r="I31461">
        <v>6950309</v>
      </c>
      <c r="J31461">
        <v>5</v>
      </c>
    </row>
    <row r="31462" spans="1:10" x14ac:dyDescent="0.25">
      <c r="A31462" t="s">
        <v>357</v>
      </c>
      <c r="B31462" s="1" t="str">
        <f>HYPERLINK("http://bluepointgames.com","bluepointgames.com")</f>
        <v>bluepointgames.com</v>
      </c>
      <c r="C31462" t="s">
        <v>433</v>
      </c>
      <c r="E31462">
        <v>892819</v>
      </c>
      <c r="F31462">
        <v>4.3264518040917001E-8</v>
      </c>
      <c r="G31462">
        <v>1108334</v>
      </c>
      <c r="H31462">
        <v>14756200</v>
      </c>
      <c r="I31462">
        <v>561746</v>
      </c>
      <c r="J31462">
        <v>5</v>
      </c>
    </row>
    <row r="31463" spans="1:10" x14ac:dyDescent="0.25">
      <c r="A31463" t="s">
        <v>357</v>
      </c>
      <c r="B31463" s="1" t="str">
        <f>HYPERLINK("http://bungie.com","bungie.com")</f>
        <v>bungie.com</v>
      </c>
      <c r="C31463" t="s">
        <v>433</v>
      </c>
      <c r="E31463">
        <v>178169</v>
      </c>
      <c r="F31463">
        <v>1.6210344768430499E-7</v>
      </c>
      <c r="G31463">
        <v>239447</v>
      </c>
      <c r="H31463">
        <v>17000794</v>
      </c>
      <c r="I31463">
        <v>93599</v>
      </c>
      <c r="J31463">
        <v>5</v>
      </c>
    </row>
    <row r="31464" spans="1:10" x14ac:dyDescent="0.25">
      <c r="A31464" t="s">
        <v>357</v>
      </c>
      <c r="B31464" s="1" t="str">
        <f>HYPERLINK("http://bungiestore.com","bungiestore.com")</f>
        <v>bungiestore.com</v>
      </c>
      <c r="C31464" t="s">
        <v>433</v>
      </c>
      <c r="E31464">
        <v>99509</v>
      </c>
      <c r="F31464">
        <v>1.3547795727345201E-7</v>
      </c>
      <c r="G31464">
        <v>288056</v>
      </c>
      <c r="H31464">
        <v>14383351</v>
      </c>
      <c r="I31464">
        <v>1186379</v>
      </c>
      <c r="J31464">
        <v>6</v>
      </c>
    </row>
    <row r="31465" spans="1:10" x14ac:dyDescent="0.25">
      <c r="A31465" t="s">
        <v>357</v>
      </c>
      <c r="B31465" s="1" t="str">
        <f>HYPERLINK("http://carddass.com","carddass.com")</f>
        <v>carddass.com</v>
      </c>
      <c r="C31465" t="s">
        <v>433</v>
      </c>
      <c r="E31465">
        <v>350831</v>
      </c>
      <c r="F31465">
        <v>2.9404381936018799E-7</v>
      </c>
      <c r="G31465">
        <v>126598</v>
      </c>
      <c r="H31465">
        <v>14868255</v>
      </c>
      <c r="I31465">
        <v>480155</v>
      </c>
      <c r="J31465">
        <v>10</v>
      </c>
    </row>
    <row r="31466" spans="1:10" x14ac:dyDescent="0.25">
      <c r="A31466" t="s">
        <v>357</v>
      </c>
      <c r="B31466" s="1" t="str">
        <f>HYPERLINK("http://centurymedia.com","centurymedia.com")</f>
        <v>centurymedia.com</v>
      </c>
      <c r="C31466" t="s">
        <v>433</v>
      </c>
      <c r="E31466">
        <v>223271</v>
      </c>
      <c r="F31466">
        <v>1.3542509625514701E-7</v>
      </c>
      <c r="G31466">
        <v>288168</v>
      </c>
      <c r="H31466">
        <v>14660922</v>
      </c>
      <c r="I31466">
        <v>619966</v>
      </c>
      <c r="J31466">
        <v>7</v>
      </c>
    </row>
    <row r="31467" spans="1:10" x14ac:dyDescent="0.25">
      <c r="A31467" t="s">
        <v>357</v>
      </c>
      <c r="B31467" s="1" t="str">
        <f>HYPERLINK("http://chara-ani.com","chara-ani.com")</f>
        <v>chara-ani.com</v>
      </c>
      <c r="C31467" t="s">
        <v>433</v>
      </c>
      <c r="E31467">
        <v>116194</v>
      </c>
      <c r="F31467">
        <v>2.9706679651911899E-7</v>
      </c>
      <c r="G31467">
        <v>125203</v>
      </c>
      <c r="H31467">
        <v>14916160</v>
      </c>
      <c r="I31467">
        <v>454119</v>
      </c>
      <c r="J31467">
        <v>6</v>
      </c>
    </row>
    <row r="31468" spans="1:10" x14ac:dyDescent="0.25">
      <c r="A31468" t="s">
        <v>357</v>
      </c>
      <c r="B31468" s="1" t="str">
        <f>HYPERLINK("http://christmasmusic.com","christmasmusic.com")</f>
        <v>christmasmusic.com</v>
      </c>
      <c r="C31468" t="s">
        <v>433</v>
      </c>
      <c r="F31468">
        <v>6.2877280361709703E-9</v>
      </c>
      <c r="G31468">
        <v>15091023</v>
      </c>
      <c r="H31468">
        <v>12400686</v>
      </c>
      <c r="I31468">
        <v>18769336</v>
      </c>
      <c r="J31468">
        <v>6</v>
      </c>
    </row>
    <row r="31469" spans="1:10" x14ac:dyDescent="0.25">
      <c r="A31469" t="s">
        <v>357</v>
      </c>
      <c r="B31469" s="1" t="str">
        <f>HYPERLINK("http://cinematicmusicgroup.com","cinematicmusicgroup.com")</f>
        <v>cinematicmusicgroup.com</v>
      </c>
      <c r="C31469" t="s">
        <v>433</v>
      </c>
      <c r="F31469">
        <v>1.2807810746253399E-8</v>
      </c>
      <c r="G31469">
        <v>4724856</v>
      </c>
      <c r="H31469">
        <v>12884637</v>
      </c>
      <c r="I31469">
        <v>13970426</v>
      </c>
      <c r="J31469">
        <v>10</v>
      </c>
    </row>
    <row r="31470" spans="1:10" x14ac:dyDescent="0.25">
      <c r="A31470" t="s">
        <v>357</v>
      </c>
      <c r="B31470" s="1" t="str">
        <f>HYPERLINK("http://cinematicworldwide.com","cinematicworldwide.com")</f>
        <v>cinematicworldwide.com</v>
      </c>
      <c r="C31470" t="s">
        <v>433</v>
      </c>
      <c r="F31470">
        <v>2.76000441899823E-8</v>
      </c>
      <c r="G31470">
        <v>1862811</v>
      </c>
      <c r="H31470">
        <v>13548781</v>
      </c>
      <c r="I31470">
        <v>9898404</v>
      </c>
      <c r="J31470">
        <v>7</v>
      </c>
    </row>
    <row r="31471" spans="1:10" x14ac:dyDescent="0.25">
      <c r="A31471" t="s">
        <v>357</v>
      </c>
      <c r="B31471" s="1" t="str">
        <f>HYPERLINK("http://click2music.com","click2music.com")</f>
        <v>click2music.com</v>
      </c>
      <c r="C31471" t="s">
        <v>433</v>
      </c>
      <c r="F31471">
        <v>1.1928872025989E-8</v>
      </c>
      <c r="G31471">
        <v>5219807</v>
      </c>
      <c r="H31471">
        <v>14241914</v>
      </c>
      <c r="I31471">
        <v>1488131</v>
      </c>
      <c r="J31471">
        <v>6</v>
      </c>
    </row>
    <row r="31472" spans="1:10" x14ac:dyDescent="0.25">
      <c r="A31472" t="s">
        <v>357</v>
      </c>
      <c r="B31472" s="1" t="str">
        <f>HYPERLINK("http://columbiarecords.com","columbiarecords.com")</f>
        <v>columbiarecords.com</v>
      </c>
      <c r="C31472" t="s">
        <v>433</v>
      </c>
      <c r="E31472">
        <v>164118</v>
      </c>
      <c r="F31472">
        <v>2.3571400844111601E-7</v>
      </c>
      <c r="G31472">
        <v>158945</v>
      </c>
      <c r="H31472">
        <v>14959132</v>
      </c>
      <c r="I31472">
        <v>437571</v>
      </c>
      <c r="J31472">
        <v>5</v>
      </c>
    </row>
    <row r="31473" spans="1:10" x14ac:dyDescent="0.25">
      <c r="A31473" t="s">
        <v>357</v>
      </c>
      <c r="B31473" s="1" t="str">
        <f>HYPERLINK("http://columbusnova.com","columbusnova.com")</f>
        <v>columbusnova.com</v>
      </c>
      <c r="C31473" t="s">
        <v>433</v>
      </c>
      <c r="F31473">
        <v>1.3410455775687801E-8</v>
      </c>
      <c r="G31473">
        <v>4443331</v>
      </c>
      <c r="H31473">
        <v>14155556</v>
      </c>
      <c r="I31473">
        <v>1859255</v>
      </c>
      <c r="J31473">
        <v>4</v>
      </c>
    </row>
    <row r="31474" spans="1:10" x14ac:dyDescent="0.25">
      <c r="A31474" t="s">
        <v>357</v>
      </c>
      <c r="B31474" s="1" t="str">
        <f>HYPERLINK("http://comic-walker.com","comic-walker.com")</f>
        <v>comic-walker.com</v>
      </c>
      <c r="C31474" t="s">
        <v>433</v>
      </c>
      <c r="E31474">
        <v>12184</v>
      </c>
      <c r="F31474">
        <v>3.5751213391322999E-7</v>
      </c>
      <c r="G31474">
        <v>104574</v>
      </c>
      <c r="H31474">
        <v>14932547</v>
      </c>
      <c r="I31474">
        <v>446766</v>
      </c>
      <c r="J31474">
        <v>7</v>
      </c>
    </row>
    <row r="31475" spans="1:10" x14ac:dyDescent="0.25">
      <c r="A31475" t="s">
        <v>357</v>
      </c>
      <c r="B31475" s="1" t="str">
        <f>HYPERLINK("http://crunchyroll.com","crunchyroll.com")</f>
        <v>crunchyroll.com</v>
      </c>
      <c r="C31475" t="s">
        <v>433</v>
      </c>
      <c r="E31475">
        <v>1676</v>
      </c>
      <c r="F31475">
        <v>3.3294825525383401E-6</v>
      </c>
      <c r="G31475">
        <v>12074</v>
      </c>
      <c r="H31475">
        <v>17851502</v>
      </c>
      <c r="I31475">
        <v>4972</v>
      </c>
      <c r="J31475">
        <v>3</v>
      </c>
    </row>
    <row r="31476" spans="1:10" x14ac:dyDescent="0.25">
      <c r="A31476" t="s">
        <v>357</v>
      </c>
      <c r="B31476" s="1" t="str">
        <f>HYPERLINK("http://csxdev.com","csxdev.com")</f>
        <v>csxdev.com</v>
      </c>
      <c r="C31476" t="s">
        <v>433</v>
      </c>
      <c r="E31476">
        <v>221872</v>
      </c>
      <c r="J31476">
        <v>2</v>
      </c>
    </row>
    <row r="31477" spans="1:10" x14ac:dyDescent="0.25">
      <c r="A31477" t="s">
        <v>357</v>
      </c>
      <c r="B31477" s="1" t="str">
        <f>HYPERLINK("http://d3go.com","d3go.com")</f>
        <v>d3go.com</v>
      </c>
      <c r="C31477" t="s">
        <v>433</v>
      </c>
      <c r="E31477">
        <v>343663</v>
      </c>
      <c r="F31477">
        <v>2.1668016598936899E-7</v>
      </c>
      <c r="G31477">
        <v>174072</v>
      </c>
      <c r="H31477">
        <v>17268432</v>
      </c>
      <c r="I31477">
        <v>31560</v>
      </c>
      <c r="J31477">
        <v>5</v>
      </c>
    </row>
    <row r="31478" spans="1:10" x14ac:dyDescent="0.25">
      <c r="A31478" t="s">
        <v>357</v>
      </c>
      <c r="B31478" s="1" t="str">
        <f>HYPERLINK("http://daybreakgames.com","daybreakgames.com")</f>
        <v>daybreakgames.com</v>
      </c>
      <c r="C31478" t="s">
        <v>433</v>
      </c>
      <c r="E31478">
        <v>44105</v>
      </c>
      <c r="F31478">
        <v>3.8867031060112601E-7</v>
      </c>
      <c r="G31478">
        <v>96388</v>
      </c>
      <c r="H31478">
        <v>17328670</v>
      </c>
      <c r="I31478">
        <v>25022</v>
      </c>
      <c r="J31478">
        <v>3</v>
      </c>
    </row>
    <row r="31479" spans="1:10" x14ac:dyDescent="0.25">
      <c r="A31479" t="s">
        <v>357</v>
      </c>
      <c r="B31479" s="1" t="str">
        <f>HYPERLINK("http://dengeki.com","dengeki.com")</f>
        <v>dengeki.com</v>
      </c>
      <c r="C31479" t="s">
        <v>433</v>
      </c>
      <c r="E31479">
        <v>30342</v>
      </c>
      <c r="F31479">
        <v>6.8431642442770995E-7</v>
      </c>
      <c r="G31479">
        <v>56464</v>
      </c>
      <c r="H31479">
        <v>15858115</v>
      </c>
      <c r="I31479">
        <v>367489</v>
      </c>
      <c r="J31479">
        <v>8</v>
      </c>
    </row>
    <row r="31480" spans="1:10" x14ac:dyDescent="0.25">
      <c r="A31480" t="s">
        <v>357</v>
      </c>
      <c r="B31480" s="1" t="str">
        <f>HYPERLINK("http://digimoncard.com","digimoncard.com")</f>
        <v>digimoncard.com</v>
      </c>
      <c r="C31480" t="s">
        <v>433</v>
      </c>
      <c r="E31480">
        <v>313668</v>
      </c>
      <c r="F31480">
        <v>1.13116587181742E-7</v>
      </c>
      <c r="G31480">
        <v>352885</v>
      </c>
      <c r="H31480">
        <v>16955448</v>
      </c>
      <c r="I31480">
        <v>106758</v>
      </c>
      <c r="J31480">
        <v>10</v>
      </c>
    </row>
    <row r="31481" spans="1:10" x14ac:dyDescent="0.25">
      <c r="A31481" t="s">
        <v>357</v>
      </c>
      <c r="B31481" s="1" t="str">
        <f>HYPERLINK("http://disruptorrecords.com","disruptorrecords.com")</f>
        <v>disruptorrecords.com</v>
      </c>
      <c r="C31481" t="s">
        <v>433</v>
      </c>
      <c r="F31481">
        <v>6.68038554022495E-9</v>
      </c>
      <c r="G31481">
        <v>13373919</v>
      </c>
      <c r="H31481">
        <v>12711961</v>
      </c>
      <c r="I31481">
        <v>15291751</v>
      </c>
      <c r="J31481">
        <v>5</v>
      </c>
    </row>
    <row r="31482" spans="1:10" x14ac:dyDescent="0.25">
      <c r="A31482" t="s">
        <v>357</v>
      </c>
      <c r="B31482" s="1" t="str">
        <f>HYPERLINK("http://distrolution.com","distrolution.com")</f>
        <v>distrolution.com</v>
      </c>
      <c r="C31482" t="s">
        <v>433</v>
      </c>
      <c r="F31482">
        <v>8.9983753111536201E-9</v>
      </c>
      <c r="G31482">
        <v>7994160</v>
      </c>
      <c r="H31482">
        <v>14074060</v>
      </c>
      <c r="I31482">
        <v>2958273</v>
      </c>
      <c r="J31482">
        <v>8</v>
      </c>
    </row>
    <row r="31483" spans="1:10" x14ac:dyDescent="0.25">
      <c r="A31483" t="s">
        <v>357</v>
      </c>
      <c r="B31483" s="1" t="str">
        <f>HYPERLINK("http://dmgi.com","dmgi.com")</f>
        <v>dmgi.com</v>
      </c>
      <c r="C31483" t="s">
        <v>433</v>
      </c>
      <c r="F31483">
        <v>5.1520038462459599E-9</v>
      </c>
      <c r="G31483">
        <v>26043991</v>
      </c>
      <c r="H31483">
        <v>12474319</v>
      </c>
      <c r="I31483">
        <v>17652049</v>
      </c>
      <c r="J31483">
        <v>7</v>
      </c>
    </row>
    <row r="31484" spans="1:10" x14ac:dyDescent="0.25">
      <c r="A31484" t="s">
        <v>357</v>
      </c>
      <c r="B31484" s="1" t="str">
        <f>HYPERLINK("http://eclipserecords.com","eclipserecords.com")</f>
        <v>eclipserecords.com</v>
      </c>
      <c r="C31484" t="s">
        <v>433</v>
      </c>
      <c r="F31484">
        <v>3.5178503276914199E-8</v>
      </c>
      <c r="G31484">
        <v>1477809</v>
      </c>
      <c r="H31484">
        <v>14570050</v>
      </c>
      <c r="I31484">
        <v>735740</v>
      </c>
      <c r="J31484">
        <v>10</v>
      </c>
    </row>
    <row r="31485" spans="1:10" x14ac:dyDescent="0.25">
      <c r="A31485" t="s">
        <v>357</v>
      </c>
      <c r="B31485" s="1" t="str">
        <f>HYPERLINK("http://embassyrow.com","embassyrow.com")</f>
        <v>embassyrow.com</v>
      </c>
      <c r="C31485" t="s">
        <v>433</v>
      </c>
      <c r="F31485">
        <v>2.2787333496889499E-8</v>
      </c>
      <c r="G31485">
        <v>2297247</v>
      </c>
      <c r="H31485">
        <v>14480377</v>
      </c>
      <c r="I31485">
        <v>1026192</v>
      </c>
      <c r="J31485">
        <v>3</v>
      </c>
    </row>
    <row r="31486" spans="1:10" x14ac:dyDescent="0.25">
      <c r="A31486" t="s">
        <v>357</v>
      </c>
      <c r="B31486" s="1" t="str">
        <f>HYPERLINK("http://emimusicpub.com","emimusicpub.com")</f>
        <v>emimusicpub.com</v>
      </c>
      <c r="C31486" t="s">
        <v>433</v>
      </c>
      <c r="F31486">
        <v>9.4852954387052897E-8</v>
      </c>
      <c r="G31486">
        <v>427566</v>
      </c>
      <c r="H31486">
        <v>15098740</v>
      </c>
      <c r="I31486">
        <v>406666</v>
      </c>
      <c r="J31486">
        <v>4</v>
      </c>
    </row>
    <row r="31487" spans="1:10" x14ac:dyDescent="0.25">
      <c r="A31487" t="s">
        <v>357</v>
      </c>
      <c r="B31487" s="1" t="str">
        <f>HYPERLINK("http://emipm.com","emipm.com")</f>
        <v>emipm.com</v>
      </c>
      <c r="C31487" t="s">
        <v>433</v>
      </c>
      <c r="F31487">
        <v>6.9067715900273897E-8</v>
      </c>
      <c r="G31487">
        <v>615289</v>
      </c>
      <c r="H31487">
        <v>14490092</v>
      </c>
      <c r="I31487">
        <v>915267</v>
      </c>
      <c r="J31487">
        <v>4</v>
      </c>
    </row>
    <row r="31488" spans="1:10" x14ac:dyDescent="0.25">
      <c r="A31488" t="s">
        <v>357</v>
      </c>
      <c r="B31488" s="1" t="str">
        <f>HYPERLINK("http://epicrecords.com","epicrecords.com")</f>
        <v>epicrecords.com</v>
      </c>
      <c r="C31488" t="s">
        <v>433</v>
      </c>
      <c r="E31488">
        <v>294807</v>
      </c>
      <c r="F31488">
        <v>1.10423135822684E-7</v>
      </c>
      <c r="G31488">
        <v>362183</v>
      </c>
      <c r="H31488">
        <v>14895610</v>
      </c>
      <c r="I31488">
        <v>464788</v>
      </c>
      <c r="J31488">
        <v>5</v>
      </c>
    </row>
    <row r="31489" spans="1:10" x14ac:dyDescent="0.25">
      <c r="A31489" t="s">
        <v>357</v>
      </c>
      <c r="B31489" s="1" t="str">
        <f>HYPERLINK("http://essentialmusicandmarketing.com","essentialmusicandmarketing.com")</f>
        <v>essentialmusicandmarketing.com</v>
      </c>
      <c r="C31489" t="s">
        <v>433</v>
      </c>
      <c r="F31489">
        <v>4.4441197890386898E-9</v>
      </c>
      <c r="G31489">
        <v>77484877</v>
      </c>
      <c r="H31489">
        <v>10775106</v>
      </c>
      <c r="I31489">
        <v>39072121</v>
      </c>
      <c r="J31489">
        <v>8</v>
      </c>
    </row>
    <row r="31490" spans="1:10" x14ac:dyDescent="0.25">
      <c r="A31490" t="s">
        <v>357</v>
      </c>
      <c r="B31490" s="1" t="str">
        <f>HYPERLINK("http://firesprite.com","firesprite.com")</f>
        <v>firesprite.com</v>
      </c>
      <c r="C31490" t="s">
        <v>433</v>
      </c>
      <c r="E31490">
        <v>967039</v>
      </c>
      <c r="F31490">
        <v>4.7730402530688297E-8</v>
      </c>
      <c r="G31490">
        <v>975122</v>
      </c>
      <c r="H31490">
        <v>14387071</v>
      </c>
      <c r="I31490">
        <v>1176035</v>
      </c>
      <c r="J31490">
        <v>5</v>
      </c>
    </row>
    <row r="31491" spans="1:10" x14ac:dyDescent="0.25">
      <c r="A31491" t="s">
        <v>357</v>
      </c>
      <c r="B31491" s="1" t="str">
        <f>HYPERLINK("http://fourmusic.com","fourmusic.com")</f>
        <v>fourmusic.com</v>
      </c>
      <c r="C31491" t="s">
        <v>433</v>
      </c>
      <c r="F31491">
        <v>3.2045732581412503E-8</v>
      </c>
      <c r="G31491">
        <v>1613121</v>
      </c>
      <c r="H31491">
        <v>14489777</v>
      </c>
      <c r="I31491">
        <v>918583</v>
      </c>
      <c r="J31491">
        <v>5</v>
      </c>
    </row>
    <row r="31492" spans="1:10" x14ac:dyDescent="0.25">
      <c r="A31492" t="s">
        <v>357</v>
      </c>
      <c r="B31492" s="1" t="str">
        <f>HYPERLINK("http://freebandz.com","freebandz.com")</f>
        <v>freebandz.com</v>
      </c>
      <c r="C31492" t="s">
        <v>433</v>
      </c>
      <c r="E31492">
        <v>822823</v>
      </c>
      <c r="F31492">
        <v>1.00206458290318E-7</v>
      </c>
      <c r="G31492">
        <v>401451</v>
      </c>
      <c r="H31492">
        <v>14420140</v>
      </c>
      <c r="I31492">
        <v>1090210</v>
      </c>
      <c r="J31492">
        <v>5</v>
      </c>
    </row>
    <row r="31493" spans="1:10" x14ac:dyDescent="0.25">
      <c r="A31493" t="s">
        <v>357</v>
      </c>
      <c r="B31493" s="1" t="str">
        <f>HYPERLINK("http://funimation.com","funimation.com")</f>
        <v>funimation.com</v>
      </c>
      <c r="C31493" t="s">
        <v>433</v>
      </c>
      <c r="E31493">
        <v>7775</v>
      </c>
      <c r="F31493">
        <v>1.36785030714421E-6</v>
      </c>
      <c r="G31493">
        <v>28466</v>
      </c>
      <c r="H31493">
        <v>17461572</v>
      </c>
      <c r="I31493">
        <v>15524</v>
      </c>
      <c r="J31493">
        <v>3</v>
      </c>
    </row>
    <row r="31494" spans="1:10" x14ac:dyDescent="0.25">
      <c r="A31494" t="s">
        <v>357</v>
      </c>
      <c r="B31494" s="1" t="str">
        <f>HYPERLINK("http://gaikai.com","gaikai.com")</f>
        <v>gaikai.com</v>
      </c>
      <c r="C31494" t="s">
        <v>433</v>
      </c>
      <c r="E31494">
        <v>22072</v>
      </c>
      <c r="F31494">
        <v>7.2336864895317098E-8</v>
      </c>
      <c r="G31494">
        <v>583446</v>
      </c>
      <c r="H31494">
        <v>14694388</v>
      </c>
      <c r="I31494">
        <v>600203</v>
      </c>
      <c r="J31494">
        <v>3</v>
      </c>
    </row>
    <row r="31495" spans="1:10" x14ac:dyDescent="0.25">
      <c r="A31495" t="s">
        <v>357</v>
      </c>
      <c r="B31495" s="1" t="str">
        <f>HYPERLINK("http://gaumontanimation.com","gaumontanimation.com")</f>
        <v>gaumontanimation.com</v>
      </c>
      <c r="C31495" t="s">
        <v>433</v>
      </c>
      <c r="F31495">
        <v>1.2647661037239199E-8</v>
      </c>
      <c r="G31495">
        <v>4806103</v>
      </c>
      <c r="H31495">
        <v>14576722</v>
      </c>
      <c r="I31495">
        <v>720134</v>
      </c>
      <c r="J31495">
        <v>8</v>
      </c>
    </row>
    <row r="31496" spans="1:10" x14ac:dyDescent="0.25">
      <c r="A31496" t="s">
        <v>357</v>
      </c>
      <c r="B31496" s="1" t="str">
        <f>HYPERLINK("http://gaumontinternationaltv.com","gaumontinternationaltv.com")</f>
        <v>gaumontinternationaltv.com</v>
      </c>
      <c r="C31496" t="s">
        <v>433</v>
      </c>
      <c r="F31496">
        <v>6.75978086231868E-9</v>
      </c>
      <c r="G31496">
        <v>13096135</v>
      </c>
      <c r="H31496">
        <v>13281039</v>
      </c>
      <c r="I31496">
        <v>10912080</v>
      </c>
      <c r="J31496">
        <v>5</v>
      </c>
    </row>
    <row r="31497" spans="1:10" x14ac:dyDescent="0.25">
      <c r="A31497" t="s">
        <v>357</v>
      </c>
      <c r="B31497" s="1" t="str">
        <f>HYPERLINK("http://gaumonttelevision.com","gaumonttelevision.com")</f>
        <v>gaumonttelevision.com</v>
      </c>
      <c r="C31497" t="s">
        <v>433</v>
      </c>
      <c r="F31497">
        <v>2.4564965611699902E-8</v>
      </c>
      <c r="G31497">
        <v>2108576</v>
      </c>
      <c r="H31497">
        <v>14236810</v>
      </c>
      <c r="I31497">
        <v>1569402</v>
      </c>
      <c r="J31497">
        <v>5</v>
      </c>
    </row>
    <row r="31498" spans="1:10" x14ac:dyDescent="0.25">
      <c r="A31498" t="s">
        <v>357</v>
      </c>
      <c r="B31498" s="1" t="str">
        <f>HYPERLINK("http://goplaytv.com","goplaytv.com")</f>
        <v>goplaytv.com</v>
      </c>
      <c r="C31498" t="s">
        <v>433</v>
      </c>
      <c r="F31498">
        <v>4.4566482119219897E-9</v>
      </c>
      <c r="G31498">
        <v>68878724</v>
      </c>
      <c r="H31498">
        <v>11947992</v>
      </c>
      <c r="I31498">
        <v>29155483</v>
      </c>
      <c r="J31498">
        <v>5</v>
      </c>
    </row>
    <row r="31499" spans="1:10" x14ac:dyDescent="0.25">
      <c r="A31499" t="s">
        <v>357</v>
      </c>
      <c r="B31499" s="1" t="str">
        <f>HYPERLINK("http://guerrilla-games.com","guerrilla-games.com")</f>
        <v>guerrilla-games.com</v>
      </c>
      <c r="C31499" t="s">
        <v>433</v>
      </c>
      <c r="E31499">
        <v>148406</v>
      </c>
      <c r="F31499">
        <v>2.6637479577201198E-7</v>
      </c>
      <c r="G31499">
        <v>139926</v>
      </c>
      <c r="H31499">
        <v>14889209</v>
      </c>
      <c r="I31499">
        <v>467853</v>
      </c>
      <c r="J31499">
        <v>5</v>
      </c>
    </row>
    <row r="31500" spans="1:10" x14ac:dyDescent="0.25">
      <c r="A31500" t="s">
        <v>357</v>
      </c>
      <c r="B31500" s="1" t="str">
        <f>HYPERLINK("http://gundam-ab.com","gundam-ab.com")</f>
        <v>gundam-ab.com</v>
      </c>
      <c r="C31500" t="s">
        <v>433</v>
      </c>
      <c r="F31500">
        <v>2.8332363551436999E-8</v>
      </c>
      <c r="G31500">
        <v>1816324</v>
      </c>
      <c r="H31500">
        <v>14085477</v>
      </c>
      <c r="I31500">
        <v>2777464</v>
      </c>
      <c r="J31500">
        <v>10</v>
      </c>
    </row>
    <row r="31501" spans="1:10" x14ac:dyDescent="0.25">
      <c r="A31501" t="s">
        <v>357</v>
      </c>
      <c r="B31501" s="1" t="str">
        <f>HYPERLINK("http://hawkeyeinnovations.com","hawkeyeinnovations.com")</f>
        <v>hawkeyeinnovations.com</v>
      </c>
      <c r="C31501" t="s">
        <v>433</v>
      </c>
      <c r="E31501">
        <v>540377</v>
      </c>
      <c r="F31501">
        <v>1.7267894441423399E-7</v>
      </c>
      <c r="G31501">
        <v>224635</v>
      </c>
      <c r="H31501">
        <v>14008442</v>
      </c>
      <c r="I31501">
        <v>4003014</v>
      </c>
      <c r="J31501">
        <v>5</v>
      </c>
    </row>
    <row r="31502" spans="1:10" x14ac:dyDescent="0.25">
      <c r="A31502" t="s">
        <v>357</v>
      </c>
      <c r="B31502" s="1" t="str">
        <f>HYPERLINK("http://hmvgroup.com","hmvgroup.com")</f>
        <v>hmvgroup.com</v>
      </c>
      <c r="C31502" t="s">
        <v>433</v>
      </c>
      <c r="F31502">
        <v>1.8647306633616501E-8</v>
      </c>
      <c r="G31502">
        <v>2898854</v>
      </c>
      <c r="H31502">
        <v>14809224</v>
      </c>
      <c r="I31502">
        <v>537609</v>
      </c>
      <c r="J31502">
        <v>6</v>
      </c>
    </row>
    <row r="31503" spans="1:10" x14ac:dyDescent="0.25">
      <c r="A31503" t="s">
        <v>357</v>
      </c>
      <c r="B31503" s="1" t="str">
        <f>HYPERLINK("http://housemarque.com","housemarque.com")</f>
        <v>housemarque.com</v>
      </c>
      <c r="C31503" t="s">
        <v>433</v>
      </c>
      <c r="E31503">
        <v>330180</v>
      </c>
      <c r="F31503">
        <v>1.2494598388451299E-7</v>
      </c>
      <c r="G31503">
        <v>315812</v>
      </c>
      <c r="H31503">
        <v>14735641</v>
      </c>
      <c r="I31503">
        <v>569624</v>
      </c>
      <c r="J31503">
        <v>5</v>
      </c>
    </row>
    <row r="31504" spans="1:10" x14ac:dyDescent="0.25">
      <c r="A31504" t="s">
        <v>357</v>
      </c>
      <c r="B31504" s="1" t="str">
        <f>HYPERLINK("http://imageworks.com","imageworks.com")</f>
        <v>imageworks.com</v>
      </c>
      <c r="C31504" t="s">
        <v>433</v>
      </c>
      <c r="E31504">
        <v>71828</v>
      </c>
      <c r="F31504">
        <v>2.1406962528773701E-7</v>
      </c>
      <c r="G31504">
        <v>176335</v>
      </c>
      <c r="H31504">
        <v>17204238</v>
      </c>
      <c r="I31504">
        <v>41029</v>
      </c>
      <c r="J31504">
        <v>3</v>
      </c>
    </row>
    <row r="31505" spans="1:10" x14ac:dyDescent="0.25">
      <c r="A31505" t="s">
        <v>357</v>
      </c>
      <c r="B31505" s="1" t="str">
        <f>HYPERLINK("http://indochinerecords.com","indochinerecords.com")</f>
        <v>indochinerecords.com</v>
      </c>
      <c r="C31505" t="s">
        <v>433</v>
      </c>
      <c r="F31505">
        <v>1.10186681518997E-8</v>
      </c>
      <c r="G31505">
        <v>5845706</v>
      </c>
      <c r="H31505">
        <v>12873525</v>
      </c>
      <c r="I31505">
        <v>14044624</v>
      </c>
      <c r="J31505">
        <v>5</v>
      </c>
    </row>
    <row r="31506" spans="1:10" x14ac:dyDescent="0.25">
      <c r="A31506" t="s">
        <v>357</v>
      </c>
      <c r="B31506" s="1" t="str">
        <f>HYPERLINK("http://insideoutmusic.com","insideoutmusic.com")</f>
        <v>insideoutmusic.com</v>
      </c>
      <c r="C31506" t="s">
        <v>433</v>
      </c>
      <c r="E31506">
        <v>487342</v>
      </c>
      <c r="F31506">
        <v>7.2064845924499296E-8</v>
      </c>
      <c r="G31506">
        <v>585920</v>
      </c>
      <c r="H31506">
        <v>14925626</v>
      </c>
      <c r="I31506">
        <v>449533</v>
      </c>
      <c r="J31506">
        <v>8</v>
      </c>
    </row>
    <row r="31507" spans="1:10" x14ac:dyDescent="0.25">
      <c r="A31507" t="s">
        <v>357</v>
      </c>
      <c r="B31507" s="1" t="str">
        <f>HYPERLINK("http://insomniacgames.com","insomniacgames.com")</f>
        <v>insomniacgames.com</v>
      </c>
      <c r="C31507" t="s">
        <v>433</v>
      </c>
      <c r="E31507">
        <v>203064</v>
      </c>
      <c r="F31507">
        <v>9.2787851123033295E-7</v>
      </c>
      <c r="G31507">
        <v>41505</v>
      </c>
      <c r="H31507">
        <v>17224224</v>
      </c>
      <c r="I31507">
        <v>37781</v>
      </c>
      <c r="J31507">
        <v>7</v>
      </c>
    </row>
    <row r="31508" spans="1:10" x14ac:dyDescent="0.25">
      <c r="A31508" t="s">
        <v>357</v>
      </c>
      <c r="B31508" s="1" t="str">
        <f>HYPERLINK("http://iodalliance.com","iodalliance.com")</f>
        <v>iodalliance.com</v>
      </c>
      <c r="C31508" t="s">
        <v>433</v>
      </c>
      <c r="F31508">
        <v>8.3733984399895301E-8</v>
      </c>
      <c r="G31508">
        <v>494936</v>
      </c>
      <c r="H31508">
        <v>14677018</v>
      </c>
      <c r="I31508">
        <v>610493</v>
      </c>
      <c r="J31508">
        <v>7</v>
      </c>
    </row>
    <row r="31509" spans="1:10" x14ac:dyDescent="0.25">
      <c r="A31509" t="s">
        <v>357</v>
      </c>
      <c r="B31509" s="1" t="str">
        <f>HYPERLINK("http://kadokawa-architecture.com","kadokawa-architecture.com")</f>
        <v>kadokawa-architecture.com</v>
      </c>
      <c r="C31509" t="s">
        <v>433</v>
      </c>
      <c r="F31509">
        <v>4.6841417640177903E-9</v>
      </c>
      <c r="G31509">
        <v>42101792</v>
      </c>
      <c r="H31509">
        <v>12265358</v>
      </c>
      <c r="I31509">
        <v>21628889</v>
      </c>
      <c r="J31509">
        <v>7</v>
      </c>
    </row>
    <row r="31510" spans="1:10" x14ac:dyDescent="0.25">
      <c r="A31510" t="s">
        <v>357</v>
      </c>
      <c r="B31510" s="1" t="str">
        <f>HYPERLINK("http://kemosaberecords.com","kemosaberecords.com")</f>
        <v>kemosaberecords.com</v>
      </c>
      <c r="C31510" t="s">
        <v>433</v>
      </c>
      <c r="F31510">
        <v>4.8976101498218402E-9</v>
      </c>
      <c r="G31510">
        <v>32534462</v>
      </c>
      <c r="H31510">
        <v>12554215</v>
      </c>
      <c r="I31510">
        <v>16781911</v>
      </c>
      <c r="J31510">
        <v>5</v>
      </c>
    </row>
    <row r="31511" spans="1:10" x14ac:dyDescent="0.25">
      <c r="A31511" t="s">
        <v>357</v>
      </c>
      <c r="B31511" s="1" t="str">
        <f>HYPERLINK("http://kennedystreet.com","kennedystreet.com")</f>
        <v>kennedystreet.com</v>
      </c>
      <c r="C31511" t="s">
        <v>433</v>
      </c>
      <c r="F31511">
        <v>5.7322188723557E-9</v>
      </c>
      <c r="G31511">
        <v>18646333</v>
      </c>
      <c r="H31511">
        <v>11351172</v>
      </c>
      <c r="I31511">
        <v>30387337</v>
      </c>
      <c r="J31511">
        <v>9</v>
      </c>
    </row>
    <row r="31512" spans="1:10" x14ac:dyDescent="0.25">
      <c r="A31512" t="s">
        <v>357</v>
      </c>
      <c r="B31512" s="1" t="str">
        <f>HYPERLINK("http://kioon.com","kioon.com")</f>
        <v>kioon.com</v>
      </c>
      <c r="C31512" t="s">
        <v>433</v>
      </c>
      <c r="F31512">
        <v>5.9574937619309898E-8</v>
      </c>
      <c r="G31512">
        <v>741867</v>
      </c>
      <c r="H31512">
        <v>14261000</v>
      </c>
      <c r="I31512">
        <v>1418142</v>
      </c>
      <c r="J31512">
        <v>4</v>
      </c>
    </row>
    <row r="31513" spans="1:10" x14ac:dyDescent="0.25">
      <c r="A31513" t="s">
        <v>357</v>
      </c>
      <c r="B31513" s="1" t="str">
        <f>HYPERLINK("http://kontrabandstores.com","kontrabandstores.com")</f>
        <v>kontrabandstores.com</v>
      </c>
      <c r="C31513" t="s">
        <v>433</v>
      </c>
      <c r="F31513">
        <v>6.93568551296204E-9</v>
      </c>
      <c r="G31513">
        <v>12508100</v>
      </c>
      <c r="H31513">
        <v>12840513</v>
      </c>
      <c r="I31513">
        <v>14344748</v>
      </c>
      <c r="J31513">
        <v>8</v>
      </c>
    </row>
    <row r="31514" spans="1:10" x14ac:dyDescent="0.25">
      <c r="A31514" t="s">
        <v>357</v>
      </c>
      <c r="B31514" s="1" t="str">
        <f>HYPERLINK("http://krucyator.com","krucyator.com")</f>
        <v>krucyator.com</v>
      </c>
      <c r="C31514" t="s">
        <v>433</v>
      </c>
      <c r="F31514">
        <v>1.2367677081803199E-8</v>
      </c>
      <c r="G31514">
        <v>4956924</v>
      </c>
      <c r="H31514">
        <v>13857794</v>
      </c>
      <c r="I31514">
        <v>6029607</v>
      </c>
      <c r="J31514">
        <v>10</v>
      </c>
    </row>
    <row r="31515" spans="1:10" x14ac:dyDescent="0.25">
      <c r="A31515" t="s">
        <v>357</v>
      </c>
      <c r="B31515" s="1" t="str">
        <f>HYPERLINK("http://laface.com","laface.com")</f>
        <v>laface.com</v>
      </c>
      <c r="C31515" t="s">
        <v>433</v>
      </c>
      <c r="F31515">
        <v>6.1233254210927499E-9</v>
      </c>
      <c r="G31515">
        <v>15961349</v>
      </c>
      <c r="H31515">
        <v>14374724</v>
      </c>
      <c r="I31515">
        <v>1235098</v>
      </c>
      <c r="J31515">
        <v>5</v>
      </c>
    </row>
    <row r="31516" spans="1:10" x14ac:dyDescent="0.25">
      <c r="A31516" t="s">
        <v>357</v>
      </c>
      <c r="B31516" s="1" t="str">
        <f>HYPERLINK("http://legacyrecordings.com","legacyrecordings.com")</f>
        <v>legacyrecordings.com</v>
      </c>
      <c r="C31516" t="s">
        <v>433</v>
      </c>
      <c r="E31516">
        <v>247724</v>
      </c>
      <c r="F31516">
        <v>7.4990551371057604E-7</v>
      </c>
      <c r="G31516">
        <v>51961</v>
      </c>
      <c r="H31516">
        <v>14974457</v>
      </c>
      <c r="I31516">
        <v>432649</v>
      </c>
      <c r="J31516">
        <v>5</v>
      </c>
    </row>
    <row r="31517" spans="1:10" x14ac:dyDescent="0.25">
      <c r="A31517" t="s">
        <v>357</v>
      </c>
      <c r="B31517" s="1" t="str">
        <f>HYPERLINK("http://manickatrecords.com","manickatrecords.com")</f>
        <v>manickatrecords.com</v>
      </c>
      <c r="C31517" t="s">
        <v>433</v>
      </c>
      <c r="F31517">
        <v>1.2668286684882599E-8</v>
      </c>
      <c r="G31517">
        <v>4795499</v>
      </c>
      <c r="H31517">
        <v>13946360</v>
      </c>
      <c r="I31517">
        <v>4221310</v>
      </c>
      <c r="J31517">
        <v>11</v>
      </c>
    </row>
    <row r="31518" spans="1:10" x14ac:dyDescent="0.25">
      <c r="A31518" t="s">
        <v>357</v>
      </c>
      <c r="B31518" s="1" t="str">
        <f>HYPERLINK("http://masterworksbroadway.com","masterworksbroadway.com")</f>
        <v>masterworksbroadway.com</v>
      </c>
      <c r="C31518" t="s">
        <v>433</v>
      </c>
      <c r="E31518">
        <v>627922</v>
      </c>
      <c r="F31518">
        <v>1.17748649819915E-7</v>
      </c>
      <c r="G31518">
        <v>337352</v>
      </c>
      <c r="H31518">
        <v>17189650</v>
      </c>
      <c r="I31518">
        <v>43670</v>
      </c>
      <c r="J31518">
        <v>5</v>
      </c>
    </row>
    <row r="31519" spans="1:10" x14ac:dyDescent="0.25">
      <c r="A31519" t="s">
        <v>357</v>
      </c>
      <c r="B31519" s="1" t="str">
        <f>HYPERLINK("http://mediamolecule.com","mediamolecule.com")</f>
        <v>mediamolecule.com</v>
      </c>
      <c r="C31519" t="s">
        <v>433</v>
      </c>
      <c r="E31519">
        <v>296356</v>
      </c>
      <c r="F31519">
        <v>1.7055279917314901E-7</v>
      </c>
      <c r="G31519">
        <v>227453</v>
      </c>
      <c r="H31519">
        <v>15007011</v>
      </c>
      <c r="I31519">
        <v>424067</v>
      </c>
      <c r="J31519">
        <v>3</v>
      </c>
    </row>
    <row r="31520" spans="1:10" x14ac:dyDescent="0.25">
      <c r="A31520" t="s">
        <v>357</v>
      </c>
      <c r="B31520" s="1" t="str">
        <f>HYPERLINK("http://metalblade.com","metalblade.com")</f>
        <v>metalblade.com</v>
      </c>
      <c r="C31520" t="s">
        <v>433</v>
      </c>
      <c r="E31520">
        <v>145058</v>
      </c>
      <c r="F31520">
        <v>2.8809825716884498E-7</v>
      </c>
      <c r="G31520">
        <v>129052</v>
      </c>
      <c r="H31520">
        <v>15345678</v>
      </c>
      <c r="I31520">
        <v>383070</v>
      </c>
      <c r="J31520">
        <v>11</v>
      </c>
    </row>
    <row r="31521" spans="1:10" x14ac:dyDescent="0.25">
      <c r="A31521" t="s">
        <v>357</v>
      </c>
      <c r="B31521" s="1" t="str">
        <f>HYPERLINK("http://monument-records.com","monument-records.com")</f>
        <v>monument-records.com</v>
      </c>
      <c r="C31521" t="s">
        <v>433</v>
      </c>
      <c r="F31521">
        <v>8.4820726215862304E-9</v>
      </c>
      <c r="G31521">
        <v>8879663</v>
      </c>
      <c r="H31521">
        <v>14152332</v>
      </c>
      <c r="I31521">
        <v>1869966</v>
      </c>
      <c r="J31521">
        <v>5</v>
      </c>
    </row>
    <row r="31522" spans="1:10" x14ac:dyDescent="0.25">
      <c r="A31522" t="s">
        <v>357</v>
      </c>
      <c r="B31522" s="1" t="str">
        <f>HYPERLINK("http://mosleymusicgroup.com","mosleymusicgroup.com")</f>
        <v>mosleymusicgroup.com</v>
      </c>
      <c r="C31522" t="s">
        <v>433</v>
      </c>
      <c r="F31522">
        <v>8.7127526745223993E-9</v>
      </c>
      <c r="G31522">
        <v>8455186</v>
      </c>
      <c r="H31522">
        <v>14089265</v>
      </c>
      <c r="I31522">
        <v>2754732</v>
      </c>
      <c r="J31522">
        <v>5</v>
      </c>
    </row>
    <row r="31523" spans="1:10" x14ac:dyDescent="0.25">
      <c r="A31523" t="s">
        <v>357</v>
      </c>
      <c r="B31523" s="1" t="str">
        <f>HYPERLINK("http://musicrayn.com","musicrayn.com")</f>
        <v>musicrayn.com</v>
      </c>
      <c r="C31523" t="s">
        <v>433</v>
      </c>
      <c r="F31523">
        <v>2.7142908816484198E-8</v>
      </c>
      <c r="G31523">
        <v>1894629</v>
      </c>
      <c r="H31523">
        <v>14738466</v>
      </c>
      <c r="I31523">
        <v>568428</v>
      </c>
      <c r="J31523">
        <v>4</v>
      </c>
    </row>
    <row r="31524" spans="1:10" x14ac:dyDescent="0.25">
      <c r="A31524" t="s">
        <v>357</v>
      </c>
      <c r="B31524" s="1" t="str">
        <f>HYPERLINK("http://namcoamerica.com","namcoamerica.com")</f>
        <v>namcoamerica.com</v>
      </c>
      <c r="C31524" t="s">
        <v>433</v>
      </c>
      <c r="F31524">
        <v>1.0249260409481601E-8</v>
      </c>
      <c r="G31524">
        <v>6499352</v>
      </c>
      <c r="H31524">
        <v>14490154</v>
      </c>
      <c r="I31524">
        <v>914713</v>
      </c>
      <c r="J31524">
        <v>10</v>
      </c>
    </row>
    <row r="31525" spans="1:10" x14ac:dyDescent="0.25">
      <c r="A31525" t="s">
        <v>357</v>
      </c>
      <c r="B31525" s="1" t="str">
        <f>HYPERLINK("http://namcogames.com","namcogames.com")</f>
        <v>namcogames.com</v>
      </c>
      <c r="C31525" t="s">
        <v>433</v>
      </c>
      <c r="F31525">
        <v>3.4994416367626503E-8</v>
      </c>
      <c r="G31525">
        <v>1484491</v>
      </c>
      <c r="H31525">
        <v>15034914</v>
      </c>
      <c r="I31525">
        <v>417601</v>
      </c>
      <c r="J31525">
        <v>6</v>
      </c>
    </row>
    <row r="31526" spans="1:10" x14ac:dyDescent="0.25">
      <c r="A31526" t="s">
        <v>357</v>
      </c>
      <c r="B31526" s="1" t="str">
        <f>HYPERLINK("http://namcoparts.com","namcoparts.com")</f>
        <v>namcoparts.com</v>
      </c>
      <c r="C31526" t="s">
        <v>433</v>
      </c>
      <c r="F31526">
        <v>9.2595900599767303E-9</v>
      </c>
      <c r="G31526">
        <v>7625837</v>
      </c>
      <c r="H31526">
        <v>10604685</v>
      </c>
      <c r="I31526">
        <v>44720362</v>
      </c>
      <c r="J31526">
        <v>10</v>
      </c>
    </row>
    <row r="31527" spans="1:10" x14ac:dyDescent="0.25">
      <c r="A31527" t="s">
        <v>357</v>
      </c>
      <c r="B31527" s="1" t="str">
        <f>HYPERLINK("http://napalmrecords.com","napalmrecords.com")</f>
        <v>napalmrecords.com</v>
      </c>
      <c r="C31527" t="s">
        <v>433</v>
      </c>
      <c r="E31527">
        <v>149790</v>
      </c>
      <c r="F31527">
        <v>2.4704675436256198E-7</v>
      </c>
      <c r="G31527">
        <v>151437</v>
      </c>
      <c r="H31527">
        <v>15032631</v>
      </c>
      <c r="I31527">
        <v>418108</v>
      </c>
      <c r="J31527">
        <v>11</v>
      </c>
    </row>
    <row r="31528" spans="1:10" x14ac:dyDescent="0.25">
      <c r="A31528" t="s">
        <v>357</v>
      </c>
      <c r="B31528" s="1" t="str">
        <f>HYPERLINK("http://napalmrecordsamerica.com","napalmrecordsamerica.com")</f>
        <v>napalmrecordsamerica.com</v>
      </c>
      <c r="C31528" t="s">
        <v>433</v>
      </c>
      <c r="E31528">
        <v>855113</v>
      </c>
      <c r="F31528">
        <v>4.71224459037579E-8</v>
      </c>
      <c r="G31528">
        <v>990030</v>
      </c>
      <c r="H31528">
        <v>14581199</v>
      </c>
      <c r="I31528">
        <v>708813</v>
      </c>
      <c r="J31528">
        <v>10</v>
      </c>
    </row>
    <row r="31529" spans="1:10" x14ac:dyDescent="0.25">
      <c r="A31529" t="s">
        <v>357</v>
      </c>
      <c r="B31529" s="1" t="str">
        <f>HYPERLINK("http://naughtydog.com","naughtydog.com")</f>
        <v>naughtydog.com</v>
      </c>
      <c r="C31529" t="s">
        <v>433</v>
      </c>
      <c r="E31529">
        <v>68355</v>
      </c>
      <c r="F31529">
        <v>5.6878467924071805E-7</v>
      </c>
      <c r="G31529">
        <v>67204</v>
      </c>
      <c r="H31529">
        <v>15193638</v>
      </c>
      <c r="I31529">
        <v>396153</v>
      </c>
      <c r="J31529">
        <v>5</v>
      </c>
    </row>
    <row r="31530" spans="1:10" x14ac:dyDescent="0.25">
      <c r="A31530" t="s">
        <v>357</v>
      </c>
      <c r="B31530" s="1" t="str">
        <f>HYPERLINK("http://nixxes.com","nixxes.com")</f>
        <v>nixxes.com</v>
      </c>
      <c r="C31530" t="s">
        <v>433</v>
      </c>
      <c r="F31530">
        <v>6.4651170899348702E-8</v>
      </c>
      <c r="G31530">
        <v>668890</v>
      </c>
      <c r="H31530">
        <v>14734515</v>
      </c>
      <c r="I31530">
        <v>570162</v>
      </c>
      <c r="J31530">
        <v>5</v>
      </c>
    </row>
    <row r="31531" spans="1:10" x14ac:dyDescent="0.25">
      <c r="A31531" t="s">
        <v>357</v>
      </c>
      <c r="B31531" s="1" t="str">
        <f>HYPERLINK("http://odin-vision.com","odin-vision.com")</f>
        <v>odin-vision.com</v>
      </c>
      <c r="C31531" t="s">
        <v>433</v>
      </c>
      <c r="F31531">
        <v>1.1315405761344101E-8</v>
      </c>
      <c r="G31531">
        <v>5631942</v>
      </c>
      <c r="H31531">
        <v>13014203</v>
      </c>
      <c r="I31531">
        <v>12735068</v>
      </c>
      <c r="J31531">
        <v>9</v>
      </c>
    </row>
    <row r="31532" spans="1:10" x14ac:dyDescent="0.25">
      <c r="A31532" t="s">
        <v>357</v>
      </c>
      <c r="B31532" s="1" t="str">
        <f>HYPERLINK("http://olympus.com","olympus.com")</f>
        <v>olympus.com</v>
      </c>
      <c r="C31532" t="s">
        <v>433</v>
      </c>
      <c r="E31532">
        <v>148193</v>
      </c>
      <c r="F31532">
        <v>1.67202402304853E-7</v>
      </c>
      <c r="G31532">
        <v>232082</v>
      </c>
      <c r="H31532">
        <v>14601535</v>
      </c>
      <c r="I31532">
        <v>684998</v>
      </c>
      <c r="J31532">
        <v>6</v>
      </c>
    </row>
    <row r="31533" spans="1:10" x14ac:dyDescent="0.25">
      <c r="A31533" t="s">
        <v>357</v>
      </c>
      <c r="B31533" s="1" t="str">
        <f>HYPERLINK("http://olympus-global.com","olympus-global.com")</f>
        <v>olympus-global.com</v>
      </c>
      <c r="C31533" t="s">
        <v>433</v>
      </c>
      <c r="E31533">
        <v>98000</v>
      </c>
      <c r="F31533">
        <v>7.3664046378190003E-7</v>
      </c>
      <c r="G31533">
        <v>52875</v>
      </c>
      <c r="H31533">
        <v>15170563</v>
      </c>
      <c r="I31533">
        <v>398134</v>
      </c>
      <c r="J31533">
        <v>3</v>
      </c>
    </row>
    <row r="31534" spans="1:10" x14ac:dyDescent="0.25">
      <c r="A31534" t="s">
        <v>357</v>
      </c>
      <c r="B31534" s="1" t="str">
        <f>HYPERLINK("http://olympus-ims.com","olympus-ims.com")</f>
        <v>olympus-ims.com</v>
      </c>
      <c r="C31534" t="s">
        <v>433</v>
      </c>
      <c r="E31534">
        <v>171243</v>
      </c>
      <c r="F31534">
        <v>3.1665884541933602E-7</v>
      </c>
      <c r="G31534">
        <v>117439</v>
      </c>
      <c r="H31534">
        <v>14641757</v>
      </c>
      <c r="I31534">
        <v>636042</v>
      </c>
      <c r="J31534">
        <v>11</v>
      </c>
    </row>
    <row r="31535" spans="1:10" x14ac:dyDescent="0.25">
      <c r="A31535" t="s">
        <v>357</v>
      </c>
      <c r="B31535" s="1" t="str">
        <f>HYPERLINK("http://olympus-sis.com","olympus-sis.com")</f>
        <v>olympus-sis.com</v>
      </c>
      <c r="C31535" t="s">
        <v>433</v>
      </c>
      <c r="F31535">
        <v>5.2625337315158098E-8</v>
      </c>
      <c r="G31535">
        <v>866241</v>
      </c>
      <c r="H31535">
        <v>13235864</v>
      </c>
      <c r="I31535">
        <v>11242682</v>
      </c>
      <c r="J31535">
        <v>4</v>
      </c>
    </row>
    <row r="31536" spans="1:10" x14ac:dyDescent="0.25">
      <c r="A31536" t="s">
        <v>357</v>
      </c>
      <c r="B31536" s="1" t="str">
        <f>HYPERLINK("http://olympusamerica.com","olympusamerica.com")</f>
        <v>olympusamerica.com</v>
      </c>
      <c r="C31536" t="s">
        <v>433</v>
      </c>
      <c r="E31536">
        <v>57162</v>
      </c>
      <c r="F31536">
        <v>5.6293986946647199E-7</v>
      </c>
      <c r="G31536">
        <v>68132</v>
      </c>
      <c r="H31536">
        <v>17243460</v>
      </c>
      <c r="I31536">
        <v>34882</v>
      </c>
      <c r="J31536">
        <v>8</v>
      </c>
    </row>
    <row r="31537" spans="1:10" x14ac:dyDescent="0.25">
      <c r="A31537" t="s">
        <v>357</v>
      </c>
      <c r="B31537" s="1" t="str">
        <f>HYPERLINK("http://optiarcinc.com","optiarcinc.com")</f>
        <v>optiarcinc.com</v>
      </c>
      <c r="C31537" t="s">
        <v>433</v>
      </c>
      <c r="F31537">
        <v>1.32142898301247E-8</v>
      </c>
      <c r="G31537">
        <v>4531788</v>
      </c>
      <c r="H31537">
        <v>14415067</v>
      </c>
      <c r="I31537">
        <v>1118368</v>
      </c>
      <c r="J31537">
        <v>3</v>
      </c>
    </row>
    <row r="31538" spans="1:10" x14ac:dyDescent="0.25">
      <c r="A31538" t="s">
        <v>357</v>
      </c>
      <c r="B31538" s="1" t="str">
        <f>HYPERLINK("http://pac-mancave.com","pac-mancave.com")</f>
        <v>pac-mancave.com</v>
      </c>
      <c r="C31538" t="s">
        <v>433</v>
      </c>
      <c r="J31538">
        <v>10</v>
      </c>
    </row>
    <row r="31539" spans="1:10" x14ac:dyDescent="0.25">
      <c r="A31539" t="s">
        <v>357</v>
      </c>
      <c r="B31539" s="1" t="str">
        <f>HYPERLINK("http://pacmancave.com","pacmancave.com")</f>
        <v>pacmancave.com</v>
      </c>
      <c r="C31539" t="s">
        <v>433</v>
      </c>
      <c r="F31539">
        <v>4.4939681764589197E-9</v>
      </c>
      <c r="G31539">
        <v>59865454</v>
      </c>
      <c r="H31539">
        <v>11126736</v>
      </c>
      <c r="I31539">
        <v>31982121</v>
      </c>
      <c r="J31539">
        <v>10</v>
      </c>
    </row>
    <row r="31540" spans="1:10" x14ac:dyDescent="0.25">
      <c r="A31540" t="s">
        <v>357</v>
      </c>
      <c r="B31540" s="1" t="str">
        <f>HYPERLINK("http://playstation.com","playstation.com")</f>
        <v>playstation.com</v>
      </c>
      <c r="C31540" t="s">
        <v>433</v>
      </c>
      <c r="E31540">
        <v>578</v>
      </c>
      <c r="F31540">
        <v>2.23233915118334E-5</v>
      </c>
      <c r="G31540">
        <v>1314</v>
      </c>
      <c r="H31540">
        <v>18805568</v>
      </c>
      <c r="I31540">
        <v>789</v>
      </c>
      <c r="J31540">
        <v>3</v>
      </c>
    </row>
    <row r="31541" spans="1:10" x14ac:dyDescent="0.25">
      <c r="A31541" t="s">
        <v>357</v>
      </c>
      <c r="B31541" s="1" t="str">
        <f>HYPERLINK("http://playstationlondonstudio.com","playstationlondonstudio.com")</f>
        <v>playstationlondonstudio.com</v>
      </c>
      <c r="C31541" t="s">
        <v>433</v>
      </c>
      <c r="F31541">
        <v>1.9679586153724101E-8</v>
      </c>
      <c r="G31541">
        <v>2712408</v>
      </c>
      <c r="H31541">
        <v>14500829</v>
      </c>
      <c r="I31541">
        <v>851894</v>
      </c>
      <c r="J31541">
        <v>5</v>
      </c>
    </row>
    <row r="31542" spans="1:10" x14ac:dyDescent="0.25">
      <c r="A31542" t="s">
        <v>357</v>
      </c>
      <c r="B31542" s="1" t="str">
        <f>HYPERLINK("http://pologroundsmusic.com","pologroundsmusic.com")</f>
        <v>pologroundsmusic.com</v>
      </c>
      <c r="C31542" t="s">
        <v>433</v>
      </c>
      <c r="F31542">
        <v>8.3104053449491498E-9</v>
      </c>
      <c r="G31542">
        <v>9233730</v>
      </c>
      <c r="H31542">
        <v>13963907</v>
      </c>
      <c r="I31542">
        <v>4095924</v>
      </c>
      <c r="J31542">
        <v>7</v>
      </c>
    </row>
    <row r="31543" spans="1:10" x14ac:dyDescent="0.25">
      <c r="A31543" t="s">
        <v>357</v>
      </c>
      <c r="B31543" s="1" t="str">
        <f>HYPERLINK("http://prostheticrecords.com","prostheticrecords.com")</f>
        <v>prostheticrecords.com</v>
      </c>
      <c r="C31543" t="s">
        <v>433</v>
      </c>
      <c r="E31543">
        <v>845089</v>
      </c>
      <c r="F31543">
        <v>6.4022935719734304E-8</v>
      </c>
      <c r="G31543">
        <v>676978</v>
      </c>
      <c r="H31543">
        <v>14631231</v>
      </c>
      <c r="I31543">
        <v>644719</v>
      </c>
      <c r="J31543">
        <v>10</v>
      </c>
    </row>
    <row r="31544" spans="1:10" x14ac:dyDescent="0.25">
      <c r="A31544" t="s">
        <v>357</v>
      </c>
      <c r="B31544" s="1" t="str">
        <f>HYPERLINK("http://providentlabelgroup.com","providentlabelgroup.com")</f>
        <v>providentlabelgroup.com</v>
      </c>
      <c r="C31544" t="s">
        <v>433</v>
      </c>
      <c r="F31544">
        <v>4.9769720870526099E-8</v>
      </c>
      <c r="G31544">
        <v>926977</v>
      </c>
      <c r="H31544">
        <v>13235681</v>
      </c>
      <c r="I31544">
        <v>11243851</v>
      </c>
      <c r="J31544">
        <v>5</v>
      </c>
    </row>
    <row r="31545" spans="1:10" x14ac:dyDescent="0.25">
      <c r="A31545" t="s">
        <v>357</v>
      </c>
      <c r="B31545" s="1" t="str">
        <f>HYPERLINK("http://rcainspiration.com","rcainspiration.com")</f>
        <v>rcainspiration.com</v>
      </c>
      <c r="C31545" t="s">
        <v>433</v>
      </c>
      <c r="F31545">
        <v>1.43727231419794E-8</v>
      </c>
      <c r="G31545">
        <v>4066587</v>
      </c>
      <c r="H31545">
        <v>13373184</v>
      </c>
      <c r="I31545">
        <v>10456007</v>
      </c>
      <c r="J31545">
        <v>5</v>
      </c>
    </row>
    <row r="31546" spans="1:10" x14ac:dyDescent="0.25">
      <c r="A31546" t="s">
        <v>357</v>
      </c>
      <c r="B31546" s="1" t="str">
        <f>HYPERLINK("http://rcarecords.com","rcarecords.com")</f>
        <v>rcarecords.com</v>
      </c>
      <c r="C31546" t="s">
        <v>433</v>
      </c>
      <c r="E31546">
        <v>219615</v>
      </c>
      <c r="F31546">
        <v>2.9829807152486498E-7</v>
      </c>
      <c r="G31546">
        <v>124671</v>
      </c>
      <c r="H31546">
        <v>14983225</v>
      </c>
      <c r="I31546">
        <v>430068</v>
      </c>
      <c r="J31546">
        <v>5</v>
      </c>
    </row>
    <row r="31547" spans="1:10" x14ac:dyDescent="0.25">
      <c r="A31547" t="s">
        <v>357</v>
      </c>
      <c r="B31547" s="1" t="str">
        <f>HYPERLINK("http://rollinghillsaptnashville.com","rollinghillsaptnashville.com")</f>
        <v>rollinghillsaptnashville.com</v>
      </c>
      <c r="C31547" t="s">
        <v>433</v>
      </c>
      <c r="F31547">
        <v>5.2406190618844601E-9</v>
      </c>
      <c r="G31547">
        <v>24404063</v>
      </c>
      <c r="H31547">
        <v>12158824</v>
      </c>
      <c r="I31547">
        <v>24401359</v>
      </c>
      <c r="J31547">
        <v>6</v>
      </c>
    </row>
    <row r="31548" spans="1:10" x14ac:dyDescent="0.25">
      <c r="A31548" t="s">
        <v>357</v>
      </c>
      <c r="B31548" s="1" t="str">
        <f>HYPERLINK("http://royaltyshare.com","royaltyshare.com")</f>
        <v>royaltyshare.com</v>
      </c>
      <c r="C31548" t="s">
        <v>433</v>
      </c>
      <c r="F31548">
        <v>1.26907481382688E-8</v>
      </c>
      <c r="G31548">
        <v>4784320</v>
      </c>
      <c r="H31548">
        <v>13818371</v>
      </c>
      <c r="I31548">
        <v>6152898</v>
      </c>
      <c r="J31548">
        <v>6</v>
      </c>
    </row>
    <row r="31549" spans="1:10" x14ac:dyDescent="0.25">
      <c r="A31549" t="s">
        <v>357</v>
      </c>
      <c r="B31549" s="1" t="str">
        <f>HYPERLINK("http://saulgoodman.com","saulgoodman.com")</f>
        <v>saulgoodman.com</v>
      </c>
      <c r="C31549" t="s">
        <v>433</v>
      </c>
      <c r="F31549">
        <v>4.4626653655860399E-9</v>
      </c>
      <c r="G31549">
        <v>66908770</v>
      </c>
      <c r="H31549">
        <v>10371582</v>
      </c>
      <c r="I31549">
        <v>54808699</v>
      </c>
      <c r="J31549">
        <v>5</v>
      </c>
    </row>
    <row r="31550" spans="1:10" x14ac:dyDescent="0.25">
      <c r="A31550" t="s">
        <v>357</v>
      </c>
      <c r="B31550" s="1" t="str">
        <f>HYPERLINK("http://scornow.com","scornow.com")</f>
        <v>scornow.com</v>
      </c>
      <c r="C31550" t="s">
        <v>433</v>
      </c>
      <c r="J31550">
        <v>3</v>
      </c>
    </row>
    <row r="31551" spans="1:10" x14ac:dyDescent="0.25">
      <c r="A31551" t="s">
        <v>357</v>
      </c>
      <c r="B31551" s="1" t="str">
        <f>HYPERLINK("http://shopatsc.com","shopatsc.com")</f>
        <v>shopatsc.com</v>
      </c>
      <c r="C31551" t="s">
        <v>433</v>
      </c>
      <c r="E31551">
        <v>295380</v>
      </c>
      <c r="F31551">
        <v>5.60253128082719E-8</v>
      </c>
      <c r="G31551">
        <v>799468</v>
      </c>
      <c r="H31551">
        <v>13690937</v>
      </c>
      <c r="I31551">
        <v>9528777</v>
      </c>
      <c r="J31551">
        <v>5</v>
      </c>
    </row>
    <row r="31552" spans="1:10" x14ac:dyDescent="0.25">
      <c r="A31552" t="s">
        <v>357</v>
      </c>
      <c r="B31552" s="1" t="str">
        <f>HYPERLINK("http://sie.com","sie.com")</f>
        <v>sie.com</v>
      </c>
      <c r="C31552" t="s">
        <v>433</v>
      </c>
      <c r="E31552">
        <v>87775</v>
      </c>
      <c r="F31552">
        <v>1.0368021009407899E-6</v>
      </c>
      <c r="G31552">
        <v>36964</v>
      </c>
      <c r="H31552">
        <v>15314813</v>
      </c>
      <c r="I31552">
        <v>384992</v>
      </c>
      <c r="J31552">
        <v>3</v>
      </c>
    </row>
    <row r="31553" spans="1:10" x14ac:dyDescent="0.25">
      <c r="A31553" t="s">
        <v>357</v>
      </c>
      <c r="B31553" s="1" t="str">
        <f>HYPERLINK("http://silvergatemedia.com","silvergatemedia.com")</f>
        <v>silvergatemedia.com</v>
      </c>
      <c r="C31553" t="s">
        <v>433</v>
      </c>
      <c r="F31553">
        <v>2.0081106881482499E-8</v>
      </c>
      <c r="G31553">
        <v>2647005</v>
      </c>
      <c r="H31553">
        <v>14598471</v>
      </c>
      <c r="I31553">
        <v>687658</v>
      </c>
      <c r="J31553">
        <v>4</v>
      </c>
    </row>
    <row r="31554" spans="1:10" x14ac:dyDescent="0.25">
      <c r="A31554" t="s">
        <v>357</v>
      </c>
      <c r="B31554" s="1" t="str">
        <f>HYPERLINK("http://sonimusic.com","sonimusic.com")</f>
        <v>sonimusic.com</v>
      </c>
      <c r="C31554" t="s">
        <v>433</v>
      </c>
      <c r="J31554">
        <v>6</v>
      </c>
    </row>
    <row r="31555" spans="1:10" x14ac:dyDescent="0.25">
      <c r="A31555" t="s">
        <v>357</v>
      </c>
      <c r="B31555" s="1" t="str">
        <f>HYPERLINK("http://sony.com","sony.com")</f>
        <v>sony.com</v>
      </c>
      <c r="C31555" t="s">
        <v>433</v>
      </c>
      <c r="E31555">
        <v>1220</v>
      </c>
      <c r="F31555">
        <v>9.4804655670063801E-6</v>
      </c>
      <c r="G31555">
        <v>3563</v>
      </c>
      <c r="H31555">
        <v>18217256</v>
      </c>
      <c r="I31555">
        <v>2667</v>
      </c>
      <c r="J31555">
        <v>1</v>
      </c>
    </row>
    <row r="31556" spans="1:10" x14ac:dyDescent="0.25">
      <c r="A31556" t="s">
        <v>357</v>
      </c>
      <c r="B31556" s="1" t="str">
        <f>HYPERLINK("http://sony-depthsensing.com","sony-depthsensing.com")</f>
        <v>sony-depthsensing.com</v>
      </c>
      <c r="C31556" t="s">
        <v>433</v>
      </c>
      <c r="F31556">
        <v>2.2728778709776701E-8</v>
      </c>
      <c r="G31556">
        <v>2303620</v>
      </c>
      <c r="H31556">
        <v>13789642</v>
      </c>
      <c r="I31556">
        <v>6353732</v>
      </c>
      <c r="J31556">
        <v>4</v>
      </c>
    </row>
    <row r="31557" spans="1:10" x14ac:dyDescent="0.25">
      <c r="A31557" t="s">
        <v>357</v>
      </c>
      <c r="B31557" s="1" t="str">
        <f>HYPERLINK("http://sony-europe.com","sony-europe.com")</f>
        <v>sony-europe.com</v>
      </c>
      <c r="C31557" t="s">
        <v>433</v>
      </c>
      <c r="E31557">
        <v>60622</v>
      </c>
      <c r="F31557">
        <v>3.7195041558100898E-7</v>
      </c>
      <c r="G31557">
        <v>100688</v>
      </c>
      <c r="H31557">
        <v>15266956</v>
      </c>
      <c r="I31557">
        <v>388758</v>
      </c>
      <c r="J31557">
        <v>3</v>
      </c>
    </row>
    <row r="31558" spans="1:10" x14ac:dyDescent="0.25">
      <c r="A31558" t="s">
        <v>357</v>
      </c>
      <c r="B31558" s="1" t="str">
        <f>HYPERLINK("http://sony-semicon.com","sony-semicon.com")</f>
        <v>sony-semicon.com</v>
      </c>
      <c r="C31558" t="s">
        <v>433</v>
      </c>
      <c r="E31558">
        <v>662954</v>
      </c>
      <c r="F31558">
        <v>9.5894824266461394E-8</v>
      </c>
      <c r="G31558">
        <v>422099</v>
      </c>
      <c r="H31558">
        <v>16879726</v>
      </c>
      <c r="I31558">
        <v>139785</v>
      </c>
      <c r="J31558">
        <v>4</v>
      </c>
    </row>
    <row r="31559" spans="1:10" x14ac:dyDescent="0.25">
      <c r="A31559" t="s">
        <v>357</v>
      </c>
      <c r="B31559" s="1" t="str">
        <f>HYPERLINK("http://sony-webgate.com","sony-webgate.com")</f>
        <v>sony-webgate.com</v>
      </c>
      <c r="C31559" t="s">
        <v>433</v>
      </c>
      <c r="J31559">
        <v>3</v>
      </c>
    </row>
    <row r="31560" spans="1:10" x14ac:dyDescent="0.25">
      <c r="A31560" t="s">
        <v>357</v>
      </c>
      <c r="B31560" s="1" t="str">
        <f>HYPERLINK("http://sonyatv.com","sonyatv.com")</f>
        <v>sonyatv.com</v>
      </c>
      <c r="C31560" t="s">
        <v>433</v>
      </c>
      <c r="E31560">
        <v>808252</v>
      </c>
      <c r="F31560">
        <v>1.3408211502538199E-7</v>
      </c>
      <c r="G31560">
        <v>291187</v>
      </c>
      <c r="H31560">
        <v>14920502</v>
      </c>
      <c r="I31560">
        <v>451865</v>
      </c>
      <c r="J31560">
        <v>3</v>
      </c>
    </row>
    <row r="31561" spans="1:10" x14ac:dyDescent="0.25">
      <c r="A31561" t="s">
        <v>357</v>
      </c>
      <c r="B31561" s="1" t="str">
        <f>HYPERLINK("http://sonyclassical.com","sonyclassical.com")</f>
        <v>sonyclassical.com</v>
      </c>
      <c r="C31561" t="s">
        <v>433</v>
      </c>
      <c r="E31561">
        <v>408967</v>
      </c>
      <c r="F31561">
        <v>9.0692008574486496E-8</v>
      </c>
      <c r="G31561">
        <v>449698</v>
      </c>
      <c r="H31561">
        <v>14875425</v>
      </c>
      <c r="I31561">
        <v>475521</v>
      </c>
      <c r="J31561">
        <v>5</v>
      </c>
    </row>
    <row r="31562" spans="1:10" x14ac:dyDescent="0.25">
      <c r="A31562" t="s">
        <v>357</v>
      </c>
      <c r="B31562" s="1" t="str">
        <f>HYPERLINK("http://sonyclassics.com","sonyclassics.com")</f>
        <v>sonyclassics.com</v>
      </c>
      <c r="C31562" t="s">
        <v>433</v>
      </c>
      <c r="E31562">
        <v>25818</v>
      </c>
      <c r="F31562">
        <v>1.5787308794994601E-6</v>
      </c>
      <c r="G31562">
        <v>24885</v>
      </c>
      <c r="H31562">
        <v>17419296</v>
      </c>
      <c r="I31562">
        <v>17911</v>
      </c>
      <c r="J31562">
        <v>3</v>
      </c>
    </row>
    <row r="31563" spans="1:10" x14ac:dyDescent="0.25">
      <c r="A31563" t="s">
        <v>357</v>
      </c>
      <c r="B31563" s="1" t="str">
        <f>HYPERLINK("http://sonyentertainmentnetwork.com","sonyentertainmentnetwork.com")</f>
        <v>sonyentertainmentnetwork.com</v>
      </c>
      <c r="C31563" t="s">
        <v>433</v>
      </c>
      <c r="E31563">
        <v>4773</v>
      </c>
      <c r="F31563">
        <v>1.2628077595563701E-6</v>
      </c>
      <c r="G31563">
        <v>30844</v>
      </c>
      <c r="H31563">
        <v>15509766</v>
      </c>
      <c r="I31563">
        <v>376418</v>
      </c>
      <c r="J31563">
        <v>4</v>
      </c>
    </row>
    <row r="31564" spans="1:10" x14ac:dyDescent="0.25">
      <c r="A31564" t="s">
        <v>357</v>
      </c>
      <c r="B31564" s="1" t="str">
        <f>HYPERLINK("http://sonymobile.com","sonymobile.com")</f>
        <v>sonymobile.com</v>
      </c>
      <c r="C31564" t="s">
        <v>433</v>
      </c>
      <c r="E31564">
        <v>9771</v>
      </c>
      <c r="F31564">
        <v>2.28368624442871E-6</v>
      </c>
      <c r="G31564">
        <v>16149</v>
      </c>
      <c r="H31564">
        <v>18001268</v>
      </c>
      <c r="I31564">
        <v>3680</v>
      </c>
      <c r="J31564">
        <v>3</v>
      </c>
    </row>
    <row r="31565" spans="1:10" x14ac:dyDescent="0.25">
      <c r="A31565" t="s">
        <v>357</v>
      </c>
      <c r="B31565" s="1" t="str">
        <f>HYPERLINK("http://sonymusic.com","sonymusic.com")</f>
        <v>sonymusic.com</v>
      </c>
      <c r="C31565" t="s">
        <v>433</v>
      </c>
      <c r="E31565">
        <v>28473</v>
      </c>
      <c r="F31565">
        <v>2.0809303792825601E-6</v>
      </c>
      <c r="G31565">
        <v>17580</v>
      </c>
      <c r="H31565">
        <v>17358172</v>
      </c>
      <c r="I31565">
        <v>22372</v>
      </c>
      <c r="J31565">
        <v>4</v>
      </c>
    </row>
    <row r="31566" spans="1:10" x14ac:dyDescent="0.25">
      <c r="A31566" t="s">
        <v>357</v>
      </c>
      <c r="B31566" s="1" t="str">
        <f>HYPERLINK("http://sonymusicindia.com","sonymusicindia.com")</f>
        <v>sonymusicindia.com</v>
      </c>
      <c r="C31566" t="s">
        <v>433</v>
      </c>
      <c r="F31566">
        <v>6.24488760743903E-9</v>
      </c>
      <c r="G31566">
        <v>15300629</v>
      </c>
      <c r="H31566">
        <v>10774936</v>
      </c>
      <c r="I31566">
        <v>39078157</v>
      </c>
      <c r="J31566">
        <v>4</v>
      </c>
    </row>
    <row r="31567" spans="1:10" x14ac:dyDescent="0.25">
      <c r="A31567" t="s">
        <v>357</v>
      </c>
      <c r="B31567" s="1" t="str">
        <f>HYPERLINK("http://sonymusicnashville.com","sonymusicnashville.com")</f>
        <v>sonymusicnashville.com</v>
      </c>
      <c r="C31567" t="s">
        <v>433</v>
      </c>
      <c r="F31567">
        <v>1.04327076827238E-7</v>
      </c>
      <c r="G31567">
        <v>384253</v>
      </c>
      <c r="H31567">
        <v>14515541</v>
      </c>
      <c r="I31567">
        <v>813098</v>
      </c>
      <c r="J31567">
        <v>5</v>
      </c>
    </row>
    <row r="31568" spans="1:10" x14ac:dyDescent="0.25">
      <c r="A31568" t="s">
        <v>357</v>
      </c>
      <c r="B31568" s="1" t="str">
        <f>HYPERLINK("http://sonymusicpub.com","sonymusicpub.com")</f>
        <v>sonymusicpub.com</v>
      </c>
      <c r="C31568" t="s">
        <v>433</v>
      </c>
      <c r="E31568">
        <v>447190</v>
      </c>
      <c r="F31568">
        <v>2.04715608714544E-7</v>
      </c>
      <c r="G31568">
        <v>185574</v>
      </c>
      <c r="H31568">
        <v>14486800</v>
      </c>
      <c r="I31568">
        <v>959052</v>
      </c>
      <c r="J31568">
        <v>3</v>
      </c>
    </row>
    <row r="31569" spans="1:10" x14ac:dyDescent="0.25">
      <c r="A31569" t="s">
        <v>357</v>
      </c>
      <c r="B31569" s="1" t="str">
        <f>HYPERLINK("http://sonypictures.com","sonypictures.com")</f>
        <v>sonypictures.com</v>
      </c>
      <c r="C31569" t="s">
        <v>433</v>
      </c>
      <c r="E31569">
        <v>8876</v>
      </c>
      <c r="F31569">
        <v>5.2423965648959099E-6</v>
      </c>
      <c r="G31569">
        <v>6587</v>
      </c>
      <c r="H31569">
        <v>17786130</v>
      </c>
      <c r="I31569">
        <v>5795</v>
      </c>
      <c r="J31569">
        <v>3</v>
      </c>
    </row>
    <row r="31570" spans="1:10" x14ac:dyDescent="0.25">
      <c r="A31570" t="s">
        <v>357</v>
      </c>
      <c r="B31570" s="1" t="str">
        <f>HYPERLINK("http://sonypicturesanimation.com","sonypicturesanimation.com")</f>
        <v>sonypicturesanimation.com</v>
      </c>
      <c r="C31570" t="s">
        <v>433</v>
      </c>
      <c r="E31570">
        <v>532672</v>
      </c>
      <c r="F31570">
        <v>2.19129559284398E-7</v>
      </c>
      <c r="G31570">
        <v>172034</v>
      </c>
      <c r="H31570">
        <v>14995020</v>
      </c>
      <c r="I31570">
        <v>427053</v>
      </c>
      <c r="J31570">
        <v>3</v>
      </c>
    </row>
    <row r="31571" spans="1:10" x14ac:dyDescent="0.25">
      <c r="A31571" t="s">
        <v>357</v>
      </c>
      <c r="B31571" s="1" t="str">
        <f>HYPERLINK("http://sonypicturesdigital.com","sonypicturesdigital.com")</f>
        <v>sonypicturesdigital.com</v>
      </c>
      <c r="C31571" t="s">
        <v>433</v>
      </c>
      <c r="F31571">
        <v>4.9163486943717898E-9</v>
      </c>
      <c r="G31571">
        <v>31892929</v>
      </c>
      <c r="H31571">
        <v>14071789</v>
      </c>
      <c r="I31571">
        <v>3607960</v>
      </c>
      <c r="J31571">
        <v>4</v>
      </c>
    </row>
    <row r="31572" spans="1:10" x14ac:dyDescent="0.25">
      <c r="A31572" t="s">
        <v>357</v>
      </c>
      <c r="B31572" s="1" t="str">
        <f>HYPERLINK("http://sonypicturesinflight.com","sonypicturesinflight.com")</f>
        <v>sonypicturesinflight.com</v>
      </c>
      <c r="C31572" t="s">
        <v>433</v>
      </c>
      <c r="F31572">
        <v>4.4438088691451501E-9</v>
      </c>
      <c r="G31572">
        <v>79875364</v>
      </c>
      <c r="H31572">
        <v>10343677</v>
      </c>
      <c r="I31572">
        <v>58048763</v>
      </c>
      <c r="J31572">
        <v>3</v>
      </c>
    </row>
    <row r="31573" spans="1:10" x14ac:dyDescent="0.25">
      <c r="A31573" t="s">
        <v>357</v>
      </c>
      <c r="B31573" s="1" t="str">
        <f>HYPERLINK("http://sonypicturespublicity.com","sonypicturespublicity.com")</f>
        <v>sonypicturespublicity.com</v>
      </c>
      <c r="C31573" t="s">
        <v>433</v>
      </c>
      <c r="F31573">
        <v>3.6587049076876003E-8</v>
      </c>
      <c r="G31573">
        <v>1427577</v>
      </c>
      <c r="H31573">
        <v>14721103</v>
      </c>
      <c r="I31573">
        <v>577604</v>
      </c>
      <c r="J31573">
        <v>3</v>
      </c>
    </row>
    <row r="31574" spans="1:10" x14ac:dyDescent="0.25">
      <c r="A31574" t="s">
        <v>357</v>
      </c>
      <c r="B31574" s="1" t="str">
        <f>HYPERLINK("http://sonypicturesreleasing.com","sonypicturesreleasing.com")</f>
        <v>sonypicturesreleasing.com</v>
      </c>
      <c r="C31574" t="s">
        <v>433</v>
      </c>
      <c r="F31574">
        <v>4.8590378268132898E-9</v>
      </c>
      <c r="G31574">
        <v>33843978</v>
      </c>
      <c r="H31574">
        <v>12327525</v>
      </c>
      <c r="I31574">
        <v>20255253</v>
      </c>
      <c r="J31574">
        <v>3</v>
      </c>
    </row>
    <row r="31575" spans="1:10" x14ac:dyDescent="0.25">
      <c r="A31575" t="s">
        <v>357</v>
      </c>
      <c r="B31575" s="1" t="str">
        <f>HYPERLINK("http://sonypicturesrepertory.com","sonypicturesrepertory.com")</f>
        <v>sonypicturesrepertory.com</v>
      </c>
      <c r="C31575" t="s">
        <v>433</v>
      </c>
      <c r="F31575">
        <v>6.2201807105850797E-9</v>
      </c>
      <c r="G31575">
        <v>15424657</v>
      </c>
      <c r="H31575">
        <v>12640245</v>
      </c>
      <c r="I31575">
        <v>15873940</v>
      </c>
      <c r="J31575">
        <v>3</v>
      </c>
    </row>
    <row r="31576" spans="1:10" x14ac:dyDescent="0.25">
      <c r="A31576" t="s">
        <v>357</v>
      </c>
      <c r="B31576" s="1" t="str">
        <f>HYPERLINK("http://sonypicturesrunner.com","sonypicturesrunner.com")</f>
        <v>sonypicturesrunner.com</v>
      </c>
      <c r="C31576" t="s">
        <v>433</v>
      </c>
      <c r="E31576">
        <v>672894</v>
      </c>
      <c r="F31576">
        <v>1.2179707973805801E-8</v>
      </c>
      <c r="G31576">
        <v>5062284</v>
      </c>
      <c r="H31576">
        <v>13134375</v>
      </c>
      <c r="I31576">
        <v>11919878</v>
      </c>
      <c r="J31576">
        <v>3</v>
      </c>
    </row>
    <row r="31577" spans="1:10" x14ac:dyDescent="0.25">
      <c r="A31577" t="s">
        <v>357</v>
      </c>
      <c r="B31577" s="1" t="str">
        <f>HYPERLINK("http://sonypicturestelevision.com","sonypicturestelevision.com")</f>
        <v>sonypicturestelevision.com</v>
      </c>
      <c r="C31577" t="s">
        <v>433</v>
      </c>
      <c r="E31577">
        <v>850048</v>
      </c>
      <c r="F31577">
        <v>2.7913694810711202E-7</v>
      </c>
      <c r="G31577">
        <v>133255</v>
      </c>
      <c r="H31577">
        <v>15022749</v>
      </c>
      <c r="I31577">
        <v>420296</v>
      </c>
      <c r="J31577">
        <v>3</v>
      </c>
    </row>
    <row r="31578" spans="1:10" x14ac:dyDescent="0.25">
      <c r="A31578" t="s">
        <v>357</v>
      </c>
      <c r="B31578" s="1" t="str">
        <f>HYPERLINK("http://sonypicturesworldwideacquisitions.com","sonypicturesworldwideacquisitions.com")</f>
        <v>sonypicturesworldwideacquisitions.com</v>
      </c>
      <c r="C31578" t="s">
        <v>433</v>
      </c>
      <c r="F31578">
        <v>2.7307688203319402E-8</v>
      </c>
      <c r="G31578">
        <v>1882603</v>
      </c>
      <c r="H31578">
        <v>14699516</v>
      </c>
      <c r="I31578">
        <v>594212</v>
      </c>
      <c r="J31578">
        <v>3</v>
      </c>
    </row>
    <row r="31579" spans="1:10" x14ac:dyDescent="0.25">
      <c r="A31579" t="s">
        <v>357</v>
      </c>
      <c r="B31579" s="1" t="str">
        <f>HYPERLINK("http://sonysonpo.com","sonysonpo.com")</f>
        <v>sonysonpo.com</v>
      </c>
      <c r="C31579" t="s">
        <v>433</v>
      </c>
      <c r="F31579">
        <v>4.6728621498390801E-9</v>
      </c>
      <c r="G31579">
        <v>42768149</v>
      </c>
      <c r="H31579">
        <v>9985495</v>
      </c>
      <c r="I31579">
        <v>60938114</v>
      </c>
      <c r="J31579">
        <v>4</v>
      </c>
    </row>
    <row r="31580" spans="1:10" x14ac:dyDescent="0.25">
      <c r="A31580" t="s">
        <v>357</v>
      </c>
      <c r="B31580" s="1" t="str">
        <f>HYPERLINK("http://sonystyle.com","sonystyle.com")</f>
        <v>sonystyle.com</v>
      </c>
      <c r="C31580" t="s">
        <v>433</v>
      </c>
      <c r="E31580">
        <v>36708</v>
      </c>
      <c r="F31580">
        <v>6.3876239789298501E-7</v>
      </c>
      <c r="G31580">
        <v>60137</v>
      </c>
      <c r="H31580">
        <v>17279904</v>
      </c>
      <c r="I31580">
        <v>30163</v>
      </c>
      <c r="J31580">
        <v>3</v>
      </c>
    </row>
    <row r="31581" spans="1:10" x14ac:dyDescent="0.25">
      <c r="A31581" t="s">
        <v>357</v>
      </c>
      <c r="B31581" s="1" t="str">
        <f>HYPERLINK("http://sonyxdeveurope.com","sonyxdeveurope.com")</f>
        <v>sonyxdeveurope.com</v>
      </c>
      <c r="C31581" t="s">
        <v>433</v>
      </c>
      <c r="F31581">
        <v>1.6877352834363299E-8</v>
      </c>
      <c r="G31581">
        <v>3314617</v>
      </c>
      <c r="H31581">
        <v>14423003</v>
      </c>
      <c r="I31581">
        <v>1083902</v>
      </c>
      <c r="J31581">
        <v>5</v>
      </c>
    </row>
    <row r="31582" spans="1:10" x14ac:dyDescent="0.25">
      <c r="A31582" t="s">
        <v>357</v>
      </c>
      <c r="B31582" s="1" t="str">
        <f>HYPERLINK("http://spheconnect.com","spheconnect.com")</f>
        <v>spheconnect.com</v>
      </c>
      <c r="C31582" t="s">
        <v>433</v>
      </c>
      <c r="J31582">
        <v>3</v>
      </c>
    </row>
    <row r="31583" spans="1:10" x14ac:dyDescent="0.25">
      <c r="A31583" t="s">
        <v>357</v>
      </c>
      <c r="B31583" s="1" t="str">
        <f>HYPERLINK("http://sphepublicity.com","sphepublicity.com")</f>
        <v>sphepublicity.com</v>
      </c>
      <c r="C31583" t="s">
        <v>433</v>
      </c>
      <c r="F31583">
        <v>2.5051224965543401E-8</v>
      </c>
      <c r="G31583">
        <v>2062311</v>
      </c>
      <c r="H31583">
        <v>14148231</v>
      </c>
      <c r="I31583">
        <v>1886487</v>
      </c>
      <c r="J31583">
        <v>3</v>
      </c>
    </row>
    <row r="31584" spans="1:10" x14ac:dyDescent="0.25">
      <c r="A31584" t="s">
        <v>357</v>
      </c>
      <c r="B31584" s="1" t="str">
        <f>HYPERLINK("http://spike-chunsoft.com","spike-chunsoft.com")</f>
        <v>spike-chunsoft.com</v>
      </c>
      <c r="C31584" t="s">
        <v>433</v>
      </c>
      <c r="E31584">
        <v>407517</v>
      </c>
      <c r="F31584">
        <v>8.5319317995498298E-8</v>
      </c>
      <c r="G31584">
        <v>483274</v>
      </c>
      <c r="H31584">
        <v>14781407</v>
      </c>
      <c r="I31584">
        <v>554397</v>
      </c>
      <c r="J31584">
        <v>10</v>
      </c>
    </row>
    <row r="31585" spans="1:10" x14ac:dyDescent="0.25">
      <c r="A31585" t="s">
        <v>357</v>
      </c>
      <c r="B31585" s="1" t="str">
        <f>HYPERLINK("http://stage6films.com","stage6films.com")</f>
        <v>stage6films.com</v>
      </c>
      <c r="C31585" t="s">
        <v>433</v>
      </c>
      <c r="F31585">
        <v>2.8805007386741699E-8</v>
      </c>
      <c r="G31585">
        <v>1786857</v>
      </c>
      <c r="H31585">
        <v>14718593</v>
      </c>
      <c r="I31585">
        <v>578933</v>
      </c>
      <c r="J31585">
        <v>4</v>
      </c>
    </row>
    <row r="31586" spans="1:10" x14ac:dyDescent="0.25">
      <c r="A31586" t="s">
        <v>357</v>
      </c>
      <c r="B31586" s="1" t="str">
        <f>HYPERLINK("http://stellifymedia.com","stellifymedia.com")</f>
        <v>stellifymedia.com</v>
      </c>
      <c r="C31586" t="s">
        <v>433</v>
      </c>
      <c r="F31586">
        <v>2.2388879452530999E-8</v>
      </c>
      <c r="G31586">
        <v>2340957</v>
      </c>
      <c r="H31586">
        <v>13261767</v>
      </c>
      <c r="I31586">
        <v>11035190</v>
      </c>
      <c r="J31586">
        <v>4</v>
      </c>
    </row>
    <row r="31587" spans="1:10" x14ac:dyDescent="0.25">
      <c r="A31587" t="s">
        <v>357</v>
      </c>
      <c r="B31587" s="1" t="str">
        <f>HYPERLINK("http://suckerpunch.com","suckerpunch.com")</f>
        <v>suckerpunch.com</v>
      </c>
      <c r="C31587" t="s">
        <v>433</v>
      </c>
      <c r="E31587">
        <v>208852</v>
      </c>
      <c r="F31587">
        <v>2.0620260035292E-7</v>
      </c>
      <c r="G31587">
        <v>184123</v>
      </c>
      <c r="H31587">
        <v>14793757</v>
      </c>
      <c r="I31587">
        <v>550024</v>
      </c>
      <c r="J31587">
        <v>3</v>
      </c>
    </row>
    <row r="31588" spans="1:10" x14ac:dyDescent="0.25">
      <c r="A31588" t="s">
        <v>357</v>
      </c>
      <c r="B31588" s="1" t="str">
        <f>HYPERLINK("http://superbotentertainment.com","superbotentertainment.com")</f>
        <v>superbotentertainment.com</v>
      </c>
      <c r="C31588" t="s">
        <v>433</v>
      </c>
      <c r="F31588">
        <v>8.6491337689686898E-9</v>
      </c>
      <c r="G31588">
        <v>8568200</v>
      </c>
      <c r="H31588">
        <v>13770426</v>
      </c>
      <c r="I31588">
        <v>6730295</v>
      </c>
      <c r="J31588">
        <v>3</v>
      </c>
    </row>
    <row r="31589" spans="1:10" x14ac:dyDescent="0.25">
      <c r="A31589" t="s">
        <v>357</v>
      </c>
      <c r="B31589" s="1" t="str">
        <f>HYPERLINK("http://sycoentertainment.com","sycoentertainment.com")</f>
        <v>sycoentertainment.com</v>
      </c>
      <c r="C31589" t="s">
        <v>433</v>
      </c>
      <c r="F31589">
        <v>1.2650845385076E-8</v>
      </c>
      <c r="G31589">
        <v>4804489</v>
      </c>
      <c r="H31589">
        <v>14074268</v>
      </c>
      <c r="I31589">
        <v>2949594</v>
      </c>
      <c r="J31589">
        <v>5</v>
      </c>
    </row>
    <row r="31590" spans="1:10" x14ac:dyDescent="0.25">
      <c r="A31590" t="s">
        <v>357</v>
      </c>
      <c r="B31590" s="1" t="str">
        <f>HYPERLINK("http://teamasobi.com","teamasobi.com")</f>
        <v>teamasobi.com</v>
      </c>
      <c r="C31590" t="s">
        <v>433</v>
      </c>
      <c r="F31590">
        <v>2.47965387819E-8</v>
      </c>
      <c r="G31590">
        <v>2085695</v>
      </c>
      <c r="H31590">
        <v>14079981</v>
      </c>
      <c r="I31590">
        <v>2825353</v>
      </c>
      <c r="J31590">
        <v>5</v>
      </c>
    </row>
    <row r="31591" spans="1:10" x14ac:dyDescent="0.25">
      <c r="A31591" t="s">
        <v>357</v>
      </c>
      <c r="B31591" s="1" t="str">
        <f>HYPERLINK("http://theorchard.com","theorchard.com")</f>
        <v>theorchard.com</v>
      </c>
      <c r="C31591" t="s">
        <v>433</v>
      </c>
      <c r="E31591">
        <v>85917</v>
      </c>
      <c r="F31591">
        <v>7.7703940746302002E-7</v>
      </c>
      <c r="G31591">
        <v>50412</v>
      </c>
      <c r="H31591">
        <v>17302800</v>
      </c>
      <c r="I31591">
        <v>27578</v>
      </c>
      <c r="J31591">
        <v>3</v>
      </c>
    </row>
    <row r="31592" spans="1:10" x14ac:dyDescent="0.25">
      <c r="A31592" t="s">
        <v>357</v>
      </c>
      <c r="B31592" s="1" t="str">
        <f>HYPERLINK("http://towada-gp.com","towada-gp.com")</f>
        <v>towada-gp.com</v>
      </c>
      <c r="C31592" t="s">
        <v>433</v>
      </c>
      <c r="F31592">
        <v>8.0084239590651997E-9</v>
      </c>
      <c r="G31592">
        <v>9905399</v>
      </c>
      <c r="H31592">
        <v>14075493</v>
      </c>
      <c r="I31592">
        <v>2907735</v>
      </c>
      <c r="J31592">
        <v>3</v>
      </c>
    </row>
    <row r="31593" spans="1:10" x14ac:dyDescent="0.25">
      <c r="A31593" t="s">
        <v>357</v>
      </c>
      <c r="B31593" s="1" t="str">
        <f>HYPERLINK("http://tvtrecords.com","tvtrecords.com")</f>
        <v>tvtrecords.com</v>
      </c>
      <c r="C31593" t="s">
        <v>433</v>
      </c>
      <c r="F31593">
        <v>2.04503660004874E-8</v>
      </c>
      <c r="G31593">
        <v>2591666</v>
      </c>
      <c r="H31593">
        <v>14821386</v>
      </c>
      <c r="I31593">
        <v>516034</v>
      </c>
      <c r="J31593">
        <v>7</v>
      </c>
    </row>
    <row r="31594" spans="1:10" x14ac:dyDescent="0.25">
      <c r="A31594" t="s">
        <v>357</v>
      </c>
      <c r="B31594" s="1" t="str">
        <f>HYPERLINK("http://txdxe.com","txdxe.com")</f>
        <v>txdxe.com</v>
      </c>
      <c r="C31594" t="s">
        <v>433</v>
      </c>
      <c r="E31594">
        <v>533796</v>
      </c>
      <c r="F31594">
        <v>7.3592032749062203E-8</v>
      </c>
      <c r="G31594">
        <v>572549</v>
      </c>
      <c r="H31594">
        <v>14598743</v>
      </c>
      <c r="I31594">
        <v>687430</v>
      </c>
      <c r="J31594">
        <v>5</v>
      </c>
    </row>
    <row r="31595" spans="1:10" x14ac:dyDescent="0.25">
      <c r="A31595" t="s">
        <v>357</v>
      </c>
      <c r="B31595" s="1" t="str">
        <f>HYPERLINK("http://umusicpub.com","umusicpub.com")</f>
        <v>umusicpub.com</v>
      </c>
      <c r="C31595" t="s">
        <v>433</v>
      </c>
      <c r="E31595">
        <v>335451</v>
      </c>
      <c r="F31595">
        <v>1.5267596721566999E-7</v>
      </c>
      <c r="G31595">
        <v>254391</v>
      </c>
      <c r="H31595">
        <v>14975480</v>
      </c>
      <c r="I31595">
        <v>432350</v>
      </c>
      <c r="J31595">
        <v>5</v>
      </c>
    </row>
    <row r="31596" spans="1:10" x14ac:dyDescent="0.25">
      <c r="A31596" t="s">
        <v>357</v>
      </c>
      <c r="B31596" s="1" t="str">
        <f>HYPERLINK("http://unfdcentral.com","unfdcentral.com")</f>
        <v>unfdcentral.com</v>
      </c>
      <c r="C31596" t="s">
        <v>433</v>
      </c>
      <c r="F31596">
        <v>5.8772059476084299E-8</v>
      </c>
      <c r="G31596">
        <v>755039</v>
      </c>
      <c r="H31596">
        <v>14160730</v>
      </c>
      <c r="I31596">
        <v>1837569</v>
      </c>
      <c r="J31596">
        <v>10</v>
      </c>
    </row>
    <row r="31597" spans="1:10" x14ac:dyDescent="0.25">
      <c r="A31597" t="s">
        <v>357</v>
      </c>
      <c r="B31597" s="1" t="str">
        <f>HYPERLINK("http://unholyinquisition.com","unholyinquisition.com")</f>
        <v>unholyinquisition.com</v>
      </c>
      <c r="C31597" t="s">
        <v>433</v>
      </c>
      <c r="F31597">
        <v>6.9037947804121804E-9</v>
      </c>
      <c r="G31597">
        <v>12609620</v>
      </c>
      <c r="H31597">
        <v>12658179</v>
      </c>
      <c r="I31597">
        <v>15751022</v>
      </c>
      <c r="J31597">
        <v>13</v>
      </c>
    </row>
    <row r="31598" spans="1:10" x14ac:dyDescent="0.25">
      <c r="A31598" t="s">
        <v>357</v>
      </c>
      <c r="B31598" s="1" t="str">
        <f>HYPERLINK("http://unisphe.com","unisphe.com")</f>
        <v>unisphe.com</v>
      </c>
      <c r="C31598" t="s">
        <v>433</v>
      </c>
      <c r="J31598">
        <v>3</v>
      </c>
    </row>
    <row r="31599" spans="1:10" x14ac:dyDescent="0.25">
      <c r="A31599" t="s">
        <v>357</v>
      </c>
      <c r="B31599" s="1" t="str">
        <f>HYPERLINK("http://valkyrie-entertainment.com","valkyrie-entertainment.com")</f>
        <v>valkyrie-entertainment.com</v>
      </c>
      <c r="C31599" t="s">
        <v>433</v>
      </c>
      <c r="F31599">
        <v>1.6445208355449901E-8</v>
      </c>
      <c r="G31599">
        <v>3427592</v>
      </c>
      <c r="H31599">
        <v>13400102</v>
      </c>
      <c r="I31599">
        <v>10367921</v>
      </c>
      <c r="J31599">
        <v>5</v>
      </c>
    </row>
    <row r="31600" spans="1:10" x14ac:dyDescent="0.25">
      <c r="A31600" t="s">
        <v>357</v>
      </c>
      <c r="B31600" s="1" t="str">
        <f>HYPERLINK("http://vizeurope.com","vizeurope.com")</f>
        <v>vizeurope.com</v>
      </c>
      <c r="C31600" t="s">
        <v>433</v>
      </c>
      <c r="F31600">
        <v>1.7115665918924801E-8</v>
      </c>
      <c r="G31600">
        <v>3257355</v>
      </c>
      <c r="H31600">
        <v>14826847</v>
      </c>
      <c r="I31600">
        <v>509492</v>
      </c>
      <c r="J31600">
        <v>4</v>
      </c>
    </row>
    <row r="31601" spans="1:10" x14ac:dyDescent="0.25">
      <c r="A31601" t="s">
        <v>357</v>
      </c>
      <c r="B31601" s="1" t="str">
        <f>HYPERLINK("http://xtreemmusic.com","xtreemmusic.com")</f>
        <v>xtreemmusic.com</v>
      </c>
      <c r="C31601" t="s">
        <v>433</v>
      </c>
      <c r="F31601">
        <v>2.72678060208076E-8</v>
      </c>
      <c r="G31601">
        <v>1885525</v>
      </c>
      <c r="H31601">
        <v>14597150</v>
      </c>
      <c r="I31601">
        <v>688863</v>
      </c>
      <c r="J31601">
        <v>10</v>
      </c>
    </row>
    <row r="31602" spans="1:10" x14ac:dyDescent="0.25">
      <c r="A31602" t="s">
        <v>357</v>
      </c>
      <c r="B31602" s="1" t="str">
        <f>HYPERLINK("http://yenpress.com","yenpress.com")</f>
        <v>yenpress.com</v>
      </c>
      <c r="C31602" t="s">
        <v>433</v>
      </c>
      <c r="E31602">
        <v>223478</v>
      </c>
      <c r="F31602">
        <v>8.6965756969263402E-8</v>
      </c>
      <c r="G31602">
        <v>472196</v>
      </c>
      <c r="H31602">
        <v>14942753</v>
      </c>
      <c r="I31602">
        <v>442984</v>
      </c>
      <c r="J31602">
        <v>7</v>
      </c>
    </row>
    <row r="31603" spans="1:10" x14ac:dyDescent="0.25">
      <c r="A31603" t="s">
        <v>357</v>
      </c>
      <c r="B31603" s="1" t="str">
        <f>HYPERLINK("http://zombalabelgroup.com","zombalabelgroup.com")</f>
        <v>zombalabelgroup.com</v>
      </c>
      <c r="C31603" t="s">
        <v>433</v>
      </c>
      <c r="F31603">
        <v>7.3237573827500404E-9</v>
      </c>
      <c r="G31603">
        <v>11422319</v>
      </c>
      <c r="H31603">
        <v>14489443</v>
      </c>
      <c r="I31603">
        <v>921983</v>
      </c>
      <c r="J31603">
        <v>5</v>
      </c>
    </row>
    <row r="31604" spans="1:10" x14ac:dyDescent="0.25">
      <c r="A31604" t="s">
        <v>357</v>
      </c>
      <c r="B31604" s="1" t="str">
        <f>HYPERLINK("http://sony.co.cr","sony.co.cr")</f>
        <v>sony.co.cr</v>
      </c>
      <c r="C31604" t="s">
        <v>434</v>
      </c>
      <c r="D31604" t="s">
        <v>813</v>
      </c>
      <c r="F31604">
        <v>1.0759614047728401E-7</v>
      </c>
      <c r="G31604">
        <v>372036</v>
      </c>
      <c r="H31604">
        <v>13127286</v>
      </c>
      <c r="I31604">
        <v>11952439</v>
      </c>
      <c r="J31604">
        <v>2</v>
      </c>
    </row>
    <row r="31605" spans="1:10" x14ac:dyDescent="0.25">
      <c r="A31605" t="s">
        <v>357</v>
      </c>
      <c r="B31605" s="1" t="str">
        <f>HYPERLINK("http://olympus.cz","olympus.cz")</f>
        <v>olympus.cz</v>
      </c>
      <c r="C31605" t="s">
        <v>435</v>
      </c>
      <c r="D31605" t="s">
        <v>814</v>
      </c>
      <c r="F31605">
        <v>8.2703839276370395E-8</v>
      </c>
      <c r="G31605">
        <v>504439</v>
      </c>
      <c r="H31605">
        <v>14314135</v>
      </c>
      <c r="I31605">
        <v>1337368</v>
      </c>
      <c r="J31605">
        <v>5</v>
      </c>
    </row>
    <row r="31606" spans="1:10" x14ac:dyDescent="0.25">
      <c r="A31606" t="s">
        <v>357</v>
      </c>
      <c r="B31606" s="1" t="str">
        <f>HYPERLINK("http://safina.cz","safina.cz")</f>
        <v>safina.cz</v>
      </c>
      <c r="C31606" t="s">
        <v>435</v>
      </c>
      <c r="D31606" t="s">
        <v>814</v>
      </c>
      <c r="F31606">
        <v>1.6931510791590698E-8</v>
      </c>
      <c r="G31606">
        <v>3299616</v>
      </c>
      <c r="H31606">
        <v>14237526</v>
      </c>
      <c r="I31606">
        <v>1547686</v>
      </c>
      <c r="J31606">
        <v>8</v>
      </c>
    </row>
    <row r="31607" spans="1:10" x14ac:dyDescent="0.25">
      <c r="A31607" t="s">
        <v>357</v>
      </c>
      <c r="B31607" s="1" t="str">
        <f>HYPERLINK("http://sony.cz","sony.cz")</f>
        <v>sony.cz</v>
      </c>
      <c r="C31607" t="s">
        <v>435</v>
      </c>
      <c r="D31607" t="s">
        <v>814</v>
      </c>
      <c r="E31607">
        <v>583602</v>
      </c>
      <c r="F31607">
        <v>1.58405437047525E-7</v>
      </c>
      <c r="G31607">
        <v>245084</v>
      </c>
      <c r="H31607">
        <v>14389196</v>
      </c>
      <c r="I31607">
        <v>1171238</v>
      </c>
      <c r="J31607">
        <v>2</v>
      </c>
    </row>
    <row r="31608" spans="1:10" x14ac:dyDescent="0.25">
      <c r="A31608" t="s">
        <v>357</v>
      </c>
      <c r="B31608" s="1" t="str">
        <f>HYPERLINK("http://centurymedia.de","centurymedia.de")</f>
        <v>centurymedia.de</v>
      </c>
      <c r="C31608" t="s">
        <v>436</v>
      </c>
      <c r="D31608" t="s">
        <v>815</v>
      </c>
      <c r="F31608">
        <v>1.01958345692059E-8</v>
      </c>
      <c r="G31608">
        <v>6551086</v>
      </c>
      <c r="H31608">
        <v>14076570</v>
      </c>
      <c r="I31608">
        <v>2884188</v>
      </c>
      <c r="J31608">
        <v>8</v>
      </c>
    </row>
    <row r="31609" spans="1:10" x14ac:dyDescent="0.25">
      <c r="A31609" t="s">
        <v>357</v>
      </c>
      <c r="B31609" s="1" t="str">
        <f>HYPERLINK("http://constantin-entertainment.de","constantin-entertainment.de")</f>
        <v>constantin-entertainment.de</v>
      </c>
      <c r="C31609" t="s">
        <v>436</v>
      </c>
      <c r="D31609" t="s">
        <v>815</v>
      </c>
      <c r="F31609">
        <v>2.7016246419295501E-8</v>
      </c>
      <c r="G31609">
        <v>1903712</v>
      </c>
      <c r="H31609">
        <v>14383043</v>
      </c>
      <c r="I31609">
        <v>1187135</v>
      </c>
      <c r="J31609">
        <v>8</v>
      </c>
    </row>
    <row r="31610" spans="1:10" x14ac:dyDescent="0.25">
      <c r="A31610" t="s">
        <v>357</v>
      </c>
      <c r="B31610" s="1" t="str">
        <f>HYPERLINK("http://constantin-film.de","constantin-film.de")</f>
        <v>constantin-film.de</v>
      </c>
      <c r="C31610" t="s">
        <v>436</v>
      </c>
      <c r="D31610" t="s">
        <v>815</v>
      </c>
      <c r="E31610">
        <v>315883</v>
      </c>
      <c r="F31610">
        <v>2.5135409985000802E-7</v>
      </c>
      <c r="G31610">
        <v>148834</v>
      </c>
      <c r="H31610">
        <v>14713629</v>
      </c>
      <c r="I31610">
        <v>581758</v>
      </c>
      <c r="J31610">
        <v>7</v>
      </c>
    </row>
    <row r="31611" spans="1:10" x14ac:dyDescent="0.25">
      <c r="A31611" t="s">
        <v>357</v>
      </c>
      <c r="B31611" s="1" t="str">
        <f>HYPERLINK("http://gaumont.de","gaumont.de")</f>
        <v>gaumont.de</v>
      </c>
      <c r="C31611" t="s">
        <v>436</v>
      </c>
      <c r="D31611" t="s">
        <v>815</v>
      </c>
      <c r="F31611">
        <v>1.3785055223770501E-8</v>
      </c>
      <c r="G31611">
        <v>4287488</v>
      </c>
      <c r="H31611">
        <v>14100716</v>
      </c>
      <c r="I31611">
        <v>2704653</v>
      </c>
      <c r="J31611">
        <v>5</v>
      </c>
    </row>
    <row r="31612" spans="1:10" x14ac:dyDescent="0.25">
      <c r="A31612" t="s">
        <v>357</v>
      </c>
      <c r="B31612" s="1" t="str">
        <f>HYPERLINK("http://insideout.de","insideout.de")</f>
        <v>insideout.de</v>
      </c>
      <c r="C31612" t="s">
        <v>436</v>
      </c>
      <c r="D31612" t="s">
        <v>815</v>
      </c>
      <c r="F31612">
        <v>1.9788890917245299E-8</v>
      </c>
      <c r="G31612">
        <v>2694967</v>
      </c>
      <c r="H31612">
        <v>14486051</v>
      </c>
      <c r="I31612">
        <v>974811</v>
      </c>
      <c r="J31612">
        <v>8</v>
      </c>
    </row>
    <row r="31613" spans="1:10" x14ac:dyDescent="0.25">
      <c r="A31613" t="s">
        <v>357</v>
      </c>
      <c r="B31613" s="1" t="str">
        <f>HYPERLINK("http://olympus.de","olympus.de")</f>
        <v>olympus.de</v>
      </c>
      <c r="C31613" t="s">
        <v>436</v>
      </c>
      <c r="D31613" t="s">
        <v>815</v>
      </c>
      <c r="E31613">
        <v>325470</v>
      </c>
      <c r="F31613">
        <v>2.5417041258683E-7</v>
      </c>
      <c r="G31613">
        <v>147183</v>
      </c>
      <c r="H31613">
        <v>14894733</v>
      </c>
      <c r="I31613">
        <v>465161</v>
      </c>
      <c r="J31613">
        <v>5</v>
      </c>
    </row>
    <row r="31614" spans="1:10" x14ac:dyDescent="0.25">
      <c r="A31614" t="s">
        <v>357</v>
      </c>
      <c r="B31614" s="1" t="str">
        <f>HYPERLINK("http://olympusgrill.de","olympusgrill.de")</f>
        <v>olympusgrill.de</v>
      </c>
      <c r="C31614" t="s">
        <v>436</v>
      </c>
      <c r="D31614" t="s">
        <v>815</v>
      </c>
      <c r="J31614">
        <v>7</v>
      </c>
    </row>
    <row r="31615" spans="1:10" x14ac:dyDescent="0.25">
      <c r="A31615" t="s">
        <v>357</v>
      </c>
      <c r="B31615" s="1" t="str">
        <f>HYPERLINK("http://peppermint-anime.de","peppermint-anime.de")</f>
        <v>peppermint-anime.de</v>
      </c>
      <c r="C31615" t="s">
        <v>436</v>
      </c>
      <c r="D31615" t="s">
        <v>815</v>
      </c>
      <c r="F31615">
        <v>6.6306857825892802E-8</v>
      </c>
      <c r="G31615">
        <v>646557</v>
      </c>
      <c r="H31615">
        <v>14734116</v>
      </c>
      <c r="I31615">
        <v>570347</v>
      </c>
      <c r="J31615">
        <v>4</v>
      </c>
    </row>
    <row r="31616" spans="1:10" x14ac:dyDescent="0.25">
      <c r="A31616" t="s">
        <v>357</v>
      </c>
      <c r="B31616" s="1" t="str">
        <f>HYPERLINK("http://playstation.de","playstation.de")</f>
        <v>playstation.de</v>
      </c>
      <c r="C31616" t="s">
        <v>436</v>
      </c>
      <c r="D31616" t="s">
        <v>815</v>
      </c>
      <c r="F31616">
        <v>1.28628602430353E-8</v>
      </c>
      <c r="G31616">
        <v>4697901</v>
      </c>
      <c r="H31616">
        <v>14240802</v>
      </c>
      <c r="I31616">
        <v>1497875</v>
      </c>
      <c r="J31616">
        <v>4</v>
      </c>
    </row>
    <row r="31617" spans="1:10" x14ac:dyDescent="0.25">
      <c r="A31617" t="s">
        <v>357</v>
      </c>
      <c r="B31617" s="1" t="str">
        <f>HYPERLINK("http://ratpack-film.de","ratpack-film.de")</f>
        <v>ratpack-film.de</v>
      </c>
      <c r="C31617" t="s">
        <v>436</v>
      </c>
      <c r="D31617" t="s">
        <v>815</v>
      </c>
      <c r="F31617">
        <v>2.07151263876073E-8</v>
      </c>
      <c r="G31617">
        <v>2554760</v>
      </c>
      <c r="H31617">
        <v>14144146</v>
      </c>
      <c r="I31617">
        <v>1908280</v>
      </c>
      <c r="J31617">
        <v>10</v>
      </c>
    </row>
    <row r="31618" spans="1:10" x14ac:dyDescent="0.25">
      <c r="A31618" t="s">
        <v>357</v>
      </c>
      <c r="B31618" s="1" t="str">
        <f>HYPERLINK("http://sony.de","sony.de")</f>
        <v>sony.de</v>
      </c>
      <c r="C31618" t="s">
        <v>436</v>
      </c>
      <c r="D31618" t="s">
        <v>815</v>
      </c>
      <c r="E31618">
        <v>49414</v>
      </c>
      <c r="F31618">
        <v>8.3532316140247705E-7</v>
      </c>
      <c r="G31618">
        <v>47496</v>
      </c>
      <c r="H31618">
        <v>15117930</v>
      </c>
      <c r="I31618">
        <v>404022</v>
      </c>
      <c r="J31618">
        <v>2</v>
      </c>
    </row>
    <row r="31619" spans="1:10" x14ac:dyDescent="0.25">
      <c r="A31619" t="s">
        <v>357</v>
      </c>
      <c r="B31619" s="1" t="str">
        <f>HYPERLINK("http://sonyclassical.de","sonyclassical.de")</f>
        <v>sonyclassical.de</v>
      </c>
      <c r="C31619" t="s">
        <v>436</v>
      </c>
      <c r="D31619" t="s">
        <v>815</v>
      </c>
      <c r="F31619">
        <v>6.2632957865188693E-8</v>
      </c>
      <c r="G31619">
        <v>700478</v>
      </c>
      <c r="H31619">
        <v>14823464</v>
      </c>
      <c r="I31619">
        <v>513447</v>
      </c>
      <c r="J31619">
        <v>6</v>
      </c>
    </row>
    <row r="31620" spans="1:10" x14ac:dyDescent="0.25">
      <c r="A31620" t="s">
        <v>357</v>
      </c>
      <c r="B31620" s="1" t="str">
        <f>HYPERLINK("http://sonymusic.de","sonymusic.de")</f>
        <v>sonymusic.de</v>
      </c>
      <c r="C31620" t="s">
        <v>436</v>
      </c>
      <c r="D31620" t="s">
        <v>815</v>
      </c>
      <c r="E31620">
        <v>394053</v>
      </c>
      <c r="F31620">
        <v>2.5912262115896599E-7</v>
      </c>
      <c r="G31620">
        <v>144351</v>
      </c>
      <c r="H31620">
        <v>14906726</v>
      </c>
      <c r="I31620">
        <v>460194</v>
      </c>
      <c r="J31620">
        <v>6</v>
      </c>
    </row>
    <row r="31621" spans="1:10" x14ac:dyDescent="0.25">
      <c r="A31621" t="s">
        <v>357</v>
      </c>
      <c r="B31621" s="1" t="str">
        <f>HYPERLINK("http://sonypictures.de","sonypictures.de")</f>
        <v>sonypictures.de</v>
      </c>
      <c r="C31621" t="s">
        <v>436</v>
      </c>
      <c r="D31621" t="s">
        <v>815</v>
      </c>
      <c r="E31621">
        <v>532210</v>
      </c>
      <c r="F31621">
        <v>2.3764513686873099E-7</v>
      </c>
      <c r="G31621">
        <v>157590</v>
      </c>
      <c r="H31621">
        <v>14541359</v>
      </c>
      <c r="I31621">
        <v>774458</v>
      </c>
      <c r="J31621">
        <v>4</v>
      </c>
    </row>
    <row r="31622" spans="1:10" x14ac:dyDescent="0.25">
      <c r="A31622" t="s">
        <v>357</v>
      </c>
      <c r="B31622" s="1" t="str">
        <f>HYPERLINK("http://treppenhausrecords.de","treppenhausrecords.de")</f>
        <v>treppenhausrecords.de</v>
      </c>
      <c r="C31622" t="s">
        <v>436</v>
      </c>
      <c r="D31622" t="s">
        <v>815</v>
      </c>
      <c r="F31622">
        <v>4.8207392455254701E-9</v>
      </c>
      <c r="G31622">
        <v>35244344</v>
      </c>
      <c r="H31622">
        <v>9983508</v>
      </c>
      <c r="I31622">
        <v>60956992</v>
      </c>
      <c r="J31622">
        <v>5</v>
      </c>
    </row>
    <row r="31623" spans="1:10" x14ac:dyDescent="0.25">
      <c r="A31623" t="s">
        <v>357</v>
      </c>
      <c r="B31623" s="1" t="str">
        <f>HYPERLINK("http://olympus.dk","olympus.dk")</f>
        <v>olympus.dk</v>
      </c>
      <c r="C31623" t="s">
        <v>437</v>
      </c>
      <c r="D31623" t="s">
        <v>816</v>
      </c>
      <c r="F31623">
        <v>4.1610140558833499E-8</v>
      </c>
      <c r="G31623">
        <v>1192310</v>
      </c>
      <c r="H31623">
        <v>14374639</v>
      </c>
      <c r="I31623">
        <v>1236493</v>
      </c>
      <c r="J31623">
        <v>5</v>
      </c>
    </row>
    <row r="31624" spans="1:10" x14ac:dyDescent="0.25">
      <c r="A31624" t="s">
        <v>357</v>
      </c>
      <c r="B31624" s="1" t="str">
        <f>HYPERLINK("http://sony.dk","sony.dk")</f>
        <v>sony.dk</v>
      </c>
      <c r="C31624" t="s">
        <v>437</v>
      </c>
      <c r="D31624" t="s">
        <v>816</v>
      </c>
      <c r="E31624">
        <v>701620</v>
      </c>
      <c r="F31624">
        <v>2.53435788852299E-7</v>
      </c>
      <c r="G31624">
        <v>147580</v>
      </c>
      <c r="H31624">
        <v>13816588</v>
      </c>
      <c r="I31624">
        <v>6161291</v>
      </c>
      <c r="J31624">
        <v>2</v>
      </c>
    </row>
    <row r="31625" spans="1:10" x14ac:dyDescent="0.25">
      <c r="A31625" t="s">
        <v>357</v>
      </c>
      <c r="B31625" s="1" t="str">
        <f>HYPERLINK("http://sony.com.do","sony.com.do")</f>
        <v>sony.com.do</v>
      </c>
      <c r="C31625" t="s">
        <v>438</v>
      </c>
      <c r="D31625" t="s">
        <v>817</v>
      </c>
      <c r="F31625">
        <v>3.7522144475514201E-8</v>
      </c>
      <c r="G31625">
        <v>1379244</v>
      </c>
      <c r="H31625">
        <v>12629623</v>
      </c>
      <c r="I31625">
        <v>15993042</v>
      </c>
      <c r="J31625">
        <v>2</v>
      </c>
    </row>
    <row r="31626" spans="1:10" x14ac:dyDescent="0.25">
      <c r="A31626" t="s">
        <v>357</v>
      </c>
      <c r="B31626" s="1" t="str">
        <f>HYPERLINK("http://sony.com.ec","sony.com.ec")</f>
        <v>sony.com.ec</v>
      </c>
      <c r="C31626" t="s">
        <v>440</v>
      </c>
      <c r="D31626" t="s">
        <v>819</v>
      </c>
      <c r="F31626">
        <v>1.13725397911974E-7</v>
      </c>
      <c r="G31626">
        <v>350387</v>
      </c>
      <c r="H31626">
        <v>13424619</v>
      </c>
      <c r="I31626">
        <v>10296016</v>
      </c>
      <c r="J31626">
        <v>2</v>
      </c>
    </row>
    <row r="31627" spans="1:10" x14ac:dyDescent="0.25">
      <c r="A31627" t="s">
        <v>357</v>
      </c>
      <c r="B31627" s="1" t="str">
        <f>HYPERLINK("http://olympus.ee","olympus.ee")</f>
        <v>olympus.ee</v>
      </c>
      <c r="C31627" t="s">
        <v>441</v>
      </c>
      <c r="D31627" t="s">
        <v>820</v>
      </c>
      <c r="F31627">
        <v>3.5627636895926001E-8</v>
      </c>
      <c r="G31627">
        <v>1461796</v>
      </c>
      <c r="H31627">
        <v>13766495</v>
      </c>
      <c r="I31627">
        <v>7000839</v>
      </c>
      <c r="J31627">
        <v>5</v>
      </c>
    </row>
    <row r="31628" spans="1:10" x14ac:dyDescent="0.25">
      <c r="A31628" t="s">
        <v>357</v>
      </c>
      <c r="B31628" s="1" t="str">
        <f>HYPERLINK("http://sony.ee","sony.ee")</f>
        <v>sony.ee</v>
      </c>
      <c r="C31628" t="s">
        <v>441</v>
      </c>
      <c r="D31628" t="s">
        <v>820</v>
      </c>
      <c r="E31628">
        <v>913488</v>
      </c>
      <c r="F31628">
        <v>8.1116602161185695E-8</v>
      </c>
      <c r="G31628">
        <v>514613</v>
      </c>
      <c r="H31628">
        <v>13035167</v>
      </c>
      <c r="I31628">
        <v>12648678</v>
      </c>
      <c r="J31628">
        <v>2</v>
      </c>
    </row>
    <row r="31629" spans="1:10" x14ac:dyDescent="0.25">
      <c r="A31629" t="s">
        <v>357</v>
      </c>
      <c r="B31629" s="1" t="str">
        <f>HYPERLINK("http://banpresto.es","banpresto.es")</f>
        <v>banpresto.es</v>
      </c>
      <c r="C31629" t="s">
        <v>443</v>
      </c>
      <c r="D31629" t="s">
        <v>822</v>
      </c>
      <c r="F31629">
        <v>8.9002245063481702E-9</v>
      </c>
      <c r="G31629">
        <v>8143627</v>
      </c>
      <c r="H31629">
        <v>12305994</v>
      </c>
      <c r="I31629">
        <v>20718616</v>
      </c>
      <c r="J31629">
        <v>5</v>
      </c>
    </row>
    <row r="31630" spans="1:10" x14ac:dyDescent="0.25">
      <c r="A31630" t="s">
        <v>357</v>
      </c>
      <c r="B31630" s="1" t="str">
        <f>HYPERLINK("http://olympus.es","olympus.es")</f>
        <v>olympus.es</v>
      </c>
      <c r="C31630" t="s">
        <v>443</v>
      </c>
      <c r="D31630" t="s">
        <v>822</v>
      </c>
      <c r="E31630">
        <v>830444</v>
      </c>
      <c r="F31630">
        <v>8.6826113407671596E-8</v>
      </c>
      <c r="G31630">
        <v>473129</v>
      </c>
      <c r="H31630">
        <v>14505031</v>
      </c>
      <c r="I31630">
        <v>837552</v>
      </c>
      <c r="J31630">
        <v>5</v>
      </c>
    </row>
    <row r="31631" spans="1:10" x14ac:dyDescent="0.25">
      <c r="A31631" t="s">
        <v>357</v>
      </c>
      <c r="B31631" s="1" t="str">
        <f>HYPERLINK("http://playstation.es","playstation.es")</f>
        <v>playstation.es</v>
      </c>
      <c r="C31631" t="s">
        <v>443</v>
      </c>
      <c r="D31631" t="s">
        <v>822</v>
      </c>
      <c r="F31631">
        <v>7.9052025307969305E-9</v>
      </c>
      <c r="G31631">
        <v>10101387</v>
      </c>
      <c r="H31631">
        <v>14128619</v>
      </c>
      <c r="I31631">
        <v>2058257</v>
      </c>
      <c r="J31631">
        <v>4</v>
      </c>
    </row>
    <row r="31632" spans="1:10" x14ac:dyDescent="0.25">
      <c r="A31632" t="s">
        <v>357</v>
      </c>
      <c r="B31632" s="1" t="str">
        <f>HYPERLINK("http://sony.es","sony.es")</f>
        <v>sony.es</v>
      </c>
      <c r="C31632" t="s">
        <v>443</v>
      </c>
      <c r="D31632" t="s">
        <v>822</v>
      </c>
      <c r="E31632">
        <v>93649</v>
      </c>
      <c r="F31632">
        <v>4.8069050912523995E-7</v>
      </c>
      <c r="G31632">
        <v>79126</v>
      </c>
      <c r="H31632">
        <v>17311566</v>
      </c>
      <c r="I31632">
        <v>26655</v>
      </c>
      <c r="J31632">
        <v>2</v>
      </c>
    </row>
    <row r="31633" spans="1:10" x14ac:dyDescent="0.25">
      <c r="A31633" t="s">
        <v>357</v>
      </c>
      <c r="B31633" s="1" t="str">
        <f>HYPERLINK("http://sonypictures.es","sonypictures.es")</f>
        <v>sonypictures.es</v>
      </c>
      <c r="C31633" t="s">
        <v>443</v>
      </c>
      <c r="D31633" t="s">
        <v>822</v>
      </c>
      <c r="F31633">
        <v>1.00541456330762E-7</v>
      </c>
      <c r="G31633">
        <v>399987</v>
      </c>
      <c r="H31633">
        <v>14496951</v>
      </c>
      <c r="I31633">
        <v>868411</v>
      </c>
      <c r="J31633">
        <v>4</v>
      </c>
    </row>
    <row r="31634" spans="1:10" x14ac:dyDescent="0.25">
      <c r="A31634" t="s">
        <v>357</v>
      </c>
      <c r="B31634" s="1" t="str">
        <f>HYPERLINK("http://bandainamcoent.eu","bandainamcoent.eu")</f>
        <v>bandainamcoent.eu</v>
      </c>
      <c r="C31634" t="s">
        <v>444</v>
      </c>
      <c r="E31634">
        <v>23435</v>
      </c>
      <c r="F31634">
        <v>2.3172964290979402E-6</v>
      </c>
      <c r="G31634">
        <v>15950</v>
      </c>
      <c r="H31634">
        <v>17775798</v>
      </c>
      <c r="I31634">
        <v>5940</v>
      </c>
      <c r="J31634">
        <v>5</v>
      </c>
    </row>
    <row r="31635" spans="1:10" x14ac:dyDescent="0.25">
      <c r="A31635" t="s">
        <v>357</v>
      </c>
      <c r="B31635" s="1" t="str">
        <f>HYPERLINK("http://olympus.eu","olympus.eu")</f>
        <v>olympus.eu</v>
      </c>
      <c r="C31635" t="s">
        <v>444</v>
      </c>
      <c r="E31635">
        <v>160496</v>
      </c>
      <c r="F31635">
        <v>2.5515690050478102E-7</v>
      </c>
      <c r="G31635">
        <v>146601</v>
      </c>
      <c r="H31635">
        <v>17076138</v>
      </c>
      <c r="I31635">
        <v>69281</v>
      </c>
      <c r="J31635">
        <v>5</v>
      </c>
    </row>
    <row r="31636" spans="1:10" x14ac:dyDescent="0.25">
      <c r="A31636" t="s">
        <v>357</v>
      </c>
      <c r="B31636" s="1" t="str">
        <f>HYPERLINK("http://safina.eu","safina.eu")</f>
        <v>safina.eu</v>
      </c>
      <c r="C31636" t="s">
        <v>444</v>
      </c>
      <c r="F31636">
        <v>5.7104056129930104E-9</v>
      </c>
      <c r="G31636">
        <v>18834528</v>
      </c>
      <c r="H31636">
        <v>11059151</v>
      </c>
      <c r="I31636">
        <v>32692937</v>
      </c>
      <c r="J31636">
        <v>9</v>
      </c>
    </row>
    <row r="31637" spans="1:10" x14ac:dyDescent="0.25">
      <c r="A31637" t="s">
        <v>357</v>
      </c>
      <c r="B31637" s="1" t="str">
        <f>HYPERLINK("http://sony.eu","sony.eu")</f>
        <v>sony.eu</v>
      </c>
      <c r="C31637" t="s">
        <v>444</v>
      </c>
      <c r="E31637">
        <v>66391</v>
      </c>
      <c r="F31637">
        <v>4.8083945972036595E-7</v>
      </c>
      <c r="G31637">
        <v>79098</v>
      </c>
      <c r="H31637">
        <v>17242764</v>
      </c>
      <c r="I31637">
        <v>34971</v>
      </c>
      <c r="J31637">
        <v>2</v>
      </c>
    </row>
    <row r="31638" spans="1:10" x14ac:dyDescent="0.25">
      <c r="A31638" t="s">
        <v>357</v>
      </c>
      <c r="B31638" s="1" t="str">
        <f>HYPERLINK("http://sonymusic.eu","sonymusic.eu")</f>
        <v>sonymusic.eu</v>
      </c>
      <c r="C31638" t="s">
        <v>444</v>
      </c>
      <c r="F31638">
        <v>1.43316428330633E-8</v>
      </c>
      <c r="G31638">
        <v>4080949</v>
      </c>
      <c r="H31638">
        <v>14081608</v>
      </c>
      <c r="I31638">
        <v>2808184</v>
      </c>
      <c r="J31638">
        <v>7</v>
      </c>
    </row>
    <row r="31639" spans="1:10" x14ac:dyDescent="0.25">
      <c r="A31639" t="s">
        <v>357</v>
      </c>
      <c r="B31639" s="1" t="str">
        <f>HYPERLINK("http://vaio.eu","vaio.eu")</f>
        <v>vaio.eu</v>
      </c>
      <c r="C31639" t="s">
        <v>444</v>
      </c>
      <c r="F31639">
        <v>1.68546694386252E-8</v>
      </c>
      <c r="G31639">
        <v>3320127</v>
      </c>
      <c r="H31639">
        <v>14376954</v>
      </c>
      <c r="I31639">
        <v>1213526</v>
      </c>
      <c r="J31639">
        <v>3</v>
      </c>
    </row>
    <row r="31640" spans="1:10" x14ac:dyDescent="0.25">
      <c r="A31640" t="s">
        <v>357</v>
      </c>
      <c r="B31640" s="1" t="str">
        <f>HYPERLINK("http://cinelani.fi","cinelani.fi")</f>
        <v>cinelani.fi</v>
      </c>
      <c r="C31640" t="s">
        <v>445</v>
      </c>
      <c r="D31640" t="s">
        <v>823</v>
      </c>
      <c r="J31640">
        <v>3</v>
      </c>
    </row>
    <row r="31641" spans="1:10" x14ac:dyDescent="0.25">
      <c r="A31641" t="s">
        <v>357</v>
      </c>
      <c r="B31641" s="1" t="str">
        <f>HYPERLINK("http://eyepet.fi","eyepet.fi")</f>
        <v>eyepet.fi</v>
      </c>
      <c r="C31641" t="s">
        <v>445</v>
      </c>
      <c r="D31641" t="s">
        <v>823</v>
      </c>
      <c r="J31641">
        <v>3</v>
      </c>
    </row>
    <row r="31642" spans="1:10" x14ac:dyDescent="0.25">
      <c r="A31642" t="s">
        <v>357</v>
      </c>
      <c r="B31642" s="1" t="str">
        <f>HYPERLINK("http://headbangrworld.fi","headbangrworld.fi")</f>
        <v>headbangrworld.fi</v>
      </c>
      <c r="C31642" t="s">
        <v>445</v>
      </c>
      <c r="D31642" t="s">
        <v>823</v>
      </c>
      <c r="J31642">
        <v>8</v>
      </c>
    </row>
    <row r="31643" spans="1:10" x14ac:dyDescent="0.25">
      <c r="A31643" t="s">
        <v>357</v>
      </c>
      <c r="B31643" s="1" t="str">
        <f>HYPERLINK("http://hmq.fi","hmq.fi")</f>
        <v>hmq.fi</v>
      </c>
      <c r="C31643" t="s">
        <v>445</v>
      </c>
      <c r="D31643" t="s">
        <v>823</v>
      </c>
      <c r="J31643">
        <v>8</v>
      </c>
    </row>
    <row r="31644" spans="1:10" x14ac:dyDescent="0.25">
      <c r="A31644" t="s">
        <v>357</v>
      </c>
      <c r="B31644" s="1" t="str">
        <f>HYPERLINK("http://housemarque.fi","housemarque.fi")</f>
        <v>housemarque.fi</v>
      </c>
      <c r="C31644" t="s">
        <v>445</v>
      </c>
      <c r="D31644" t="s">
        <v>823</v>
      </c>
      <c r="F31644">
        <v>1.39292227975147E-8</v>
      </c>
      <c r="G31644">
        <v>4229837</v>
      </c>
      <c r="H31644">
        <v>11262547</v>
      </c>
      <c r="I31644">
        <v>30814169</v>
      </c>
      <c r="J31644">
        <v>8</v>
      </c>
    </row>
    <row r="31645" spans="1:10" x14ac:dyDescent="0.25">
      <c r="A31645" t="s">
        <v>357</v>
      </c>
      <c r="B31645" s="1" t="str">
        <f>HYPERLINK("http://invizimals.fi","invizimals.fi")</f>
        <v>invizimals.fi</v>
      </c>
      <c r="C31645" t="s">
        <v>445</v>
      </c>
      <c r="D31645" t="s">
        <v>823</v>
      </c>
      <c r="J31645">
        <v>3</v>
      </c>
    </row>
    <row r="31646" spans="1:10" x14ac:dyDescent="0.25">
      <c r="A31646" t="s">
        <v>357</v>
      </c>
      <c r="B31646" s="1" t="str">
        <f>HYPERLINK("http://kuorsaushoito.fi","kuorsaushoito.fi")</f>
        <v>kuorsaushoito.fi</v>
      </c>
      <c r="C31646" t="s">
        <v>445</v>
      </c>
      <c r="D31646" t="s">
        <v>823</v>
      </c>
      <c r="J31646">
        <v>7</v>
      </c>
    </row>
    <row r="31647" spans="1:10" x14ac:dyDescent="0.25">
      <c r="A31647" t="s">
        <v>357</v>
      </c>
      <c r="B31647" s="1" t="str">
        <f>HYPERLINK("http://laihdutushoito.fi","laihdutushoito.fi")</f>
        <v>laihdutushoito.fi</v>
      </c>
      <c r="C31647" t="s">
        <v>445</v>
      </c>
      <c r="D31647" t="s">
        <v>823</v>
      </c>
      <c r="J31647">
        <v>8</v>
      </c>
    </row>
    <row r="31648" spans="1:10" x14ac:dyDescent="0.25">
      <c r="A31648" t="s">
        <v>357</v>
      </c>
      <c r="B31648" s="1" t="str">
        <f>HYPERLINK("http://musicpass.fi","musicpass.fi")</f>
        <v>musicpass.fi</v>
      </c>
      <c r="C31648" t="s">
        <v>445</v>
      </c>
      <c r="D31648" t="s">
        <v>823</v>
      </c>
      <c r="J31648">
        <v>6</v>
      </c>
    </row>
    <row r="31649" spans="1:10" x14ac:dyDescent="0.25">
      <c r="A31649" t="s">
        <v>357</v>
      </c>
      <c r="B31649" s="1" t="str">
        <f>HYPERLINK("http://olympus.fi","olympus.fi")</f>
        <v>olympus.fi</v>
      </c>
      <c r="C31649" t="s">
        <v>445</v>
      </c>
      <c r="D31649" t="s">
        <v>823</v>
      </c>
      <c r="F31649">
        <v>4.3219740705415698E-8</v>
      </c>
      <c r="G31649">
        <v>1110117</v>
      </c>
      <c r="H31649">
        <v>14486100</v>
      </c>
      <c r="I31649">
        <v>973932</v>
      </c>
      <c r="J31649">
        <v>5</v>
      </c>
    </row>
    <row r="31650" spans="1:10" x14ac:dyDescent="0.25">
      <c r="A31650" t="s">
        <v>357</v>
      </c>
      <c r="B31650" s="1" t="str">
        <f>HYPERLINK("http://olympusfinland.fi","olympusfinland.fi")</f>
        <v>olympusfinland.fi</v>
      </c>
      <c r="C31650" t="s">
        <v>445</v>
      </c>
      <c r="D31650" t="s">
        <v>823</v>
      </c>
      <c r="J31650">
        <v>8</v>
      </c>
    </row>
    <row r="31651" spans="1:10" x14ac:dyDescent="0.25">
      <c r="A31651" t="s">
        <v>357</v>
      </c>
      <c r="B31651" s="1" t="str">
        <f>HYPERLINK("http://playsafeonline.fi","playsafeonline.fi")</f>
        <v>playsafeonline.fi</v>
      </c>
      <c r="C31651" t="s">
        <v>445</v>
      </c>
      <c r="D31651" t="s">
        <v>823</v>
      </c>
      <c r="J31651">
        <v>3</v>
      </c>
    </row>
    <row r="31652" spans="1:10" x14ac:dyDescent="0.25">
      <c r="A31652" t="s">
        <v>357</v>
      </c>
      <c r="B31652" s="1" t="str">
        <f>HYPERLINK("http://playstation3.fi","playstation3.fi")</f>
        <v>playstation3.fi</v>
      </c>
      <c r="C31652" t="s">
        <v>445</v>
      </c>
      <c r="D31652" t="s">
        <v>823</v>
      </c>
      <c r="J31652">
        <v>3</v>
      </c>
    </row>
    <row r="31653" spans="1:10" x14ac:dyDescent="0.25">
      <c r="A31653" t="s">
        <v>357</v>
      </c>
      <c r="B31653" s="1" t="str">
        <f>HYPERLINK("http://ps3.fi","ps3.fi")</f>
        <v>ps3.fi</v>
      </c>
      <c r="C31653" t="s">
        <v>445</v>
      </c>
      <c r="D31653" t="s">
        <v>823</v>
      </c>
      <c r="J31653">
        <v>3</v>
      </c>
    </row>
    <row r="31654" spans="1:10" x14ac:dyDescent="0.25">
      <c r="A31654" t="s">
        <v>357</v>
      </c>
      <c r="B31654" s="1" t="str">
        <f>HYPERLINK("http://pspstore.fi","pspstore.fi")</f>
        <v>pspstore.fi</v>
      </c>
      <c r="C31654" t="s">
        <v>445</v>
      </c>
      <c r="D31654" t="s">
        <v>823</v>
      </c>
      <c r="J31654">
        <v>3</v>
      </c>
    </row>
    <row r="31655" spans="1:10" x14ac:dyDescent="0.25">
      <c r="A31655" t="s">
        <v>357</v>
      </c>
      <c r="B31655" s="1" t="str">
        <f>HYPERLINK("http://safeplayonline.fi","safeplayonline.fi")</f>
        <v>safeplayonline.fi</v>
      </c>
      <c r="C31655" t="s">
        <v>445</v>
      </c>
      <c r="D31655" t="s">
        <v>823</v>
      </c>
      <c r="J31655">
        <v>3</v>
      </c>
    </row>
    <row r="31656" spans="1:10" x14ac:dyDescent="0.25">
      <c r="A31656" t="s">
        <v>357</v>
      </c>
      <c r="B31656" s="1" t="str">
        <f>HYPERLINK("http://sony.fi","sony.fi")</f>
        <v>sony.fi</v>
      </c>
      <c r="C31656" t="s">
        <v>445</v>
      </c>
      <c r="D31656" t="s">
        <v>823</v>
      </c>
      <c r="E31656">
        <v>402086</v>
      </c>
      <c r="F31656">
        <v>1.9774482507176201E-7</v>
      </c>
      <c r="G31656">
        <v>195003</v>
      </c>
      <c r="H31656">
        <v>14567065</v>
      </c>
      <c r="I31656">
        <v>738976</v>
      </c>
      <c r="J31656">
        <v>2</v>
      </c>
    </row>
    <row r="31657" spans="1:10" x14ac:dyDescent="0.25">
      <c r="A31657" t="s">
        <v>357</v>
      </c>
      <c r="B31657" s="1" t="str">
        <f>HYPERLINK("http://sonycenter.fi","sonycenter.fi")</f>
        <v>sonycenter.fi</v>
      </c>
      <c r="C31657" t="s">
        <v>445</v>
      </c>
      <c r="D31657" t="s">
        <v>823</v>
      </c>
      <c r="F31657">
        <v>4.5531585857735303E-9</v>
      </c>
      <c r="G31657">
        <v>51849797</v>
      </c>
      <c r="H31657">
        <v>13763634</v>
      </c>
      <c r="I31657">
        <v>8462799</v>
      </c>
      <c r="J31657">
        <v>2</v>
      </c>
    </row>
    <row r="31658" spans="1:10" x14ac:dyDescent="0.25">
      <c r="A31658" t="s">
        <v>357</v>
      </c>
      <c r="B31658" s="1" t="str">
        <f>HYPERLINK("http://sonyentertainment.fi","sonyentertainment.fi")</f>
        <v>sonyentertainment.fi</v>
      </c>
      <c r="C31658" t="s">
        <v>445</v>
      </c>
      <c r="D31658" t="s">
        <v>823</v>
      </c>
      <c r="J31658">
        <v>2</v>
      </c>
    </row>
    <row r="31659" spans="1:10" x14ac:dyDescent="0.25">
      <c r="A31659" t="s">
        <v>357</v>
      </c>
      <c r="B31659" s="1" t="str">
        <f>HYPERLINK("http://sonyentertainmentnetwork.fi","sonyentertainmentnetwork.fi")</f>
        <v>sonyentertainmentnetwork.fi</v>
      </c>
      <c r="C31659" t="s">
        <v>445</v>
      </c>
      <c r="D31659" t="s">
        <v>823</v>
      </c>
      <c r="J31659">
        <v>2</v>
      </c>
    </row>
    <row r="31660" spans="1:10" x14ac:dyDescent="0.25">
      <c r="A31660" t="s">
        <v>357</v>
      </c>
      <c r="B31660" s="1" t="str">
        <f>HYPERLINK("http://sonynetwork.fi","sonynetwork.fi")</f>
        <v>sonynetwork.fi</v>
      </c>
      <c r="C31660" t="s">
        <v>445</v>
      </c>
      <c r="D31660" t="s">
        <v>823</v>
      </c>
      <c r="J31660">
        <v>2</v>
      </c>
    </row>
    <row r="31661" spans="1:10" x14ac:dyDescent="0.25">
      <c r="A31661" t="s">
        <v>357</v>
      </c>
      <c r="B31661" s="1" t="str">
        <f>HYPERLINK("http://sonypictures.fi","sonypictures.fi")</f>
        <v>sonypictures.fi</v>
      </c>
      <c r="C31661" t="s">
        <v>445</v>
      </c>
      <c r="D31661" t="s">
        <v>823</v>
      </c>
      <c r="J31661">
        <v>3</v>
      </c>
    </row>
    <row r="31662" spans="1:10" x14ac:dyDescent="0.25">
      <c r="A31662" t="s">
        <v>357</v>
      </c>
      <c r="B31662" s="1" t="str">
        <f>HYPERLINK("http://bandit.fm","bandit.fm")</f>
        <v>bandit.fm</v>
      </c>
      <c r="C31662" t="s">
        <v>528</v>
      </c>
      <c r="D31662" t="s">
        <v>894</v>
      </c>
      <c r="F31662">
        <v>2.2564988549299199E-8</v>
      </c>
      <c r="G31662">
        <v>2321323</v>
      </c>
      <c r="H31662">
        <v>14819282</v>
      </c>
      <c r="I31662">
        <v>518892</v>
      </c>
      <c r="J31662">
        <v>3</v>
      </c>
    </row>
    <row r="31663" spans="1:10" x14ac:dyDescent="0.25">
      <c r="A31663" t="s">
        <v>357</v>
      </c>
      <c r="B31663" s="1" t="str">
        <f>HYPERLINK("http://gaumont.fr","gaumont.fr")</f>
        <v>gaumont.fr</v>
      </c>
      <c r="C31663" t="s">
        <v>446</v>
      </c>
      <c r="D31663" t="s">
        <v>824</v>
      </c>
      <c r="E31663">
        <v>317308</v>
      </c>
      <c r="F31663">
        <v>1.7801023323221799E-7</v>
      </c>
      <c r="G31663">
        <v>217169</v>
      </c>
      <c r="H31663">
        <v>14864140</v>
      </c>
      <c r="I31663">
        <v>482525</v>
      </c>
      <c r="J31663">
        <v>4</v>
      </c>
    </row>
    <row r="31664" spans="1:10" x14ac:dyDescent="0.25">
      <c r="A31664" t="s">
        <v>357</v>
      </c>
      <c r="B31664" s="1" t="str">
        <f>HYPERLINK("http://kaze.fr","kaze.fr")</f>
        <v>kaze.fr</v>
      </c>
      <c r="C31664" t="s">
        <v>446</v>
      </c>
      <c r="D31664" t="s">
        <v>824</v>
      </c>
      <c r="E31664">
        <v>597345</v>
      </c>
      <c r="F31664">
        <v>6.2226282930192599E-8</v>
      </c>
      <c r="G31664">
        <v>706306</v>
      </c>
      <c r="H31664">
        <v>14581046</v>
      </c>
      <c r="I31664">
        <v>709072</v>
      </c>
      <c r="J31664">
        <v>5</v>
      </c>
    </row>
    <row r="31665" spans="1:10" x14ac:dyDescent="0.25">
      <c r="A31665" t="s">
        <v>357</v>
      </c>
      <c r="B31665" s="1" t="str">
        <f>HYPERLINK("http://legacyrecordings.fr","legacyrecordings.fr")</f>
        <v>legacyrecordings.fr</v>
      </c>
      <c r="C31665" t="s">
        <v>446</v>
      </c>
      <c r="D31665" t="s">
        <v>824</v>
      </c>
      <c r="F31665">
        <v>1.2473771542154599E-8</v>
      </c>
      <c r="G31665">
        <v>4899294</v>
      </c>
      <c r="H31665">
        <v>14240448</v>
      </c>
      <c r="I31665">
        <v>1501046</v>
      </c>
      <c r="J31665">
        <v>6</v>
      </c>
    </row>
    <row r="31666" spans="1:10" x14ac:dyDescent="0.25">
      <c r="A31666" t="s">
        <v>357</v>
      </c>
      <c r="B31666" s="1" t="str">
        <f>HYPERLINK("http://olympus.fr","olympus.fr")</f>
        <v>olympus.fr</v>
      </c>
      <c r="C31666" t="s">
        <v>446</v>
      </c>
      <c r="D31666" t="s">
        <v>824</v>
      </c>
      <c r="F31666">
        <v>8.9268071202824006E-8</v>
      </c>
      <c r="G31666">
        <v>457728</v>
      </c>
      <c r="H31666">
        <v>14495885</v>
      </c>
      <c r="I31666">
        <v>873614</v>
      </c>
      <c r="J31666">
        <v>5</v>
      </c>
    </row>
    <row r="31667" spans="1:10" x14ac:dyDescent="0.25">
      <c r="A31667" t="s">
        <v>357</v>
      </c>
      <c r="B31667" s="1" t="str">
        <f>HYPERLINK("http://sony.fr","sony.fr")</f>
        <v>sony.fr</v>
      </c>
      <c r="C31667" t="s">
        <v>446</v>
      </c>
      <c r="D31667" t="s">
        <v>824</v>
      </c>
      <c r="E31667">
        <v>90256</v>
      </c>
      <c r="F31667">
        <v>6.7094975418861101E-7</v>
      </c>
      <c r="G31667">
        <v>57424</v>
      </c>
      <c r="H31667">
        <v>15248143</v>
      </c>
      <c r="I31667">
        <v>390470</v>
      </c>
      <c r="J31667">
        <v>2</v>
      </c>
    </row>
    <row r="31668" spans="1:10" x14ac:dyDescent="0.25">
      <c r="A31668" t="s">
        <v>357</v>
      </c>
      <c r="B31668" s="1" t="str">
        <f>HYPERLINK("http://sonypictures.fr","sonypictures.fr")</f>
        <v>sonypictures.fr</v>
      </c>
      <c r="C31668" t="s">
        <v>446</v>
      </c>
      <c r="D31668" t="s">
        <v>824</v>
      </c>
      <c r="F31668">
        <v>5.9701441460630703E-8</v>
      </c>
      <c r="G31668">
        <v>740074</v>
      </c>
      <c r="H31668">
        <v>14526538</v>
      </c>
      <c r="I31668">
        <v>794081</v>
      </c>
      <c r="J31668">
        <v>4</v>
      </c>
    </row>
    <row r="31669" spans="1:10" x14ac:dyDescent="0.25">
      <c r="A31669" t="s">
        <v>357</v>
      </c>
      <c r="B31669" s="1" t="str">
        <f>HYPERLINK("http://sonypicturespresse.fr","sonypicturespresse.fr")</f>
        <v>sonypicturespresse.fr</v>
      </c>
      <c r="C31669" t="s">
        <v>446</v>
      </c>
      <c r="D31669" t="s">
        <v>824</v>
      </c>
      <c r="F31669">
        <v>8.8956931151425905E-9</v>
      </c>
      <c r="G31669">
        <v>8150820</v>
      </c>
      <c r="H31669">
        <v>12544363</v>
      </c>
      <c r="I31669">
        <v>16892458</v>
      </c>
      <c r="J31669">
        <v>3</v>
      </c>
    </row>
    <row r="31670" spans="1:10" x14ac:dyDescent="0.25">
      <c r="A31670" t="s">
        <v>357</v>
      </c>
      <c r="B31670" s="1" t="str">
        <f>HYPERLINK("http://unemanettealamain.fr","unemanettealamain.fr")</f>
        <v>unemanettealamain.fr</v>
      </c>
      <c r="C31670" t="s">
        <v>446</v>
      </c>
      <c r="D31670" t="s">
        <v>824</v>
      </c>
      <c r="F31670">
        <v>8.87753060103535E-9</v>
      </c>
      <c r="G31670">
        <v>8180392</v>
      </c>
      <c r="H31670">
        <v>13463107</v>
      </c>
      <c r="I31670">
        <v>10147060</v>
      </c>
      <c r="J31670">
        <v>4</v>
      </c>
    </row>
    <row r="31671" spans="1:10" x14ac:dyDescent="0.25">
      <c r="A31671" t="s">
        <v>357</v>
      </c>
      <c r="B31671" s="1" t="str">
        <f>HYPERLINK("http://xilam.fr","xilam.fr")</f>
        <v>xilam.fr</v>
      </c>
      <c r="C31671" t="s">
        <v>446</v>
      </c>
      <c r="D31671" t="s">
        <v>824</v>
      </c>
      <c r="F31671">
        <v>5.2555498050237504E-9</v>
      </c>
      <c r="G31671">
        <v>24173074</v>
      </c>
      <c r="H31671">
        <v>14236235</v>
      </c>
      <c r="I31671">
        <v>1600195</v>
      </c>
      <c r="J31671">
        <v>5</v>
      </c>
    </row>
    <row r="31672" spans="1:10" x14ac:dyDescent="0.25">
      <c r="A31672" t="s">
        <v>357</v>
      </c>
      <c r="B31672" s="1" t="str">
        <f>HYPERLINK("http://insomniac.games","insomniac.games")</f>
        <v>insomniac.games</v>
      </c>
      <c r="C31672" t="s">
        <v>700</v>
      </c>
      <c r="E31672">
        <v>188300</v>
      </c>
      <c r="F31672">
        <v>2.2103952850631101E-6</v>
      </c>
      <c r="G31672">
        <v>16606</v>
      </c>
      <c r="H31672">
        <v>14800859</v>
      </c>
      <c r="I31672">
        <v>548122</v>
      </c>
      <c r="J31672">
        <v>4</v>
      </c>
    </row>
    <row r="31673" spans="1:10" x14ac:dyDescent="0.25">
      <c r="A31673" t="s">
        <v>357</v>
      </c>
      <c r="B31673" s="1" t="str">
        <f>HYPERLINK("http://sonysandiegostudio.games","sonysandiegostudio.games")</f>
        <v>sonysandiegostudio.games</v>
      </c>
      <c r="C31673" t="s">
        <v>700</v>
      </c>
      <c r="F31673">
        <v>1.6672821580631099E-8</v>
      </c>
      <c r="G31673">
        <v>3365675</v>
      </c>
      <c r="H31673">
        <v>12918468</v>
      </c>
      <c r="I31673">
        <v>13481457</v>
      </c>
      <c r="J31673">
        <v>3</v>
      </c>
    </row>
    <row r="31674" spans="1:10" x14ac:dyDescent="0.25">
      <c r="A31674" t="s">
        <v>357</v>
      </c>
      <c r="B31674" s="1" t="str">
        <f>HYPERLINK("http://olympus.gr","olympus.gr")</f>
        <v>olympus.gr</v>
      </c>
      <c r="C31674" t="s">
        <v>447</v>
      </c>
      <c r="D31674" t="s">
        <v>825</v>
      </c>
      <c r="F31674">
        <v>3.4342336758665598E-8</v>
      </c>
      <c r="G31674">
        <v>1509821</v>
      </c>
      <c r="H31674">
        <v>13401304</v>
      </c>
      <c r="I31674">
        <v>10365557</v>
      </c>
      <c r="J31674">
        <v>5</v>
      </c>
    </row>
    <row r="31675" spans="1:10" x14ac:dyDescent="0.25">
      <c r="A31675" t="s">
        <v>357</v>
      </c>
      <c r="B31675" s="1" t="str">
        <f>HYPERLINK("http://sony.gr","sony.gr")</f>
        <v>sony.gr</v>
      </c>
      <c r="C31675" t="s">
        <v>447</v>
      </c>
      <c r="D31675" t="s">
        <v>825</v>
      </c>
      <c r="F31675">
        <v>1.18041903206065E-7</v>
      </c>
      <c r="G31675">
        <v>335793</v>
      </c>
      <c r="H31675">
        <v>14137569</v>
      </c>
      <c r="I31675">
        <v>1953413</v>
      </c>
      <c r="J31675">
        <v>2</v>
      </c>
    </row>
    <row r="31676" spans="1:10" x14ac:dyDescent="0.25">
      <c r="A31676" t="s">
        <v>357</v>
      </c>
      <c r="B31676" s="1" t="str">
        <f>HYPERLINK("http://sonymusic.gr","sonymusic.gr")</f>
        <v>sonymusic.gr</v>
      </c>
      <c r="C31676" t="s">
        <v>447</v>
      </c>
      <c r="D31676" t="s">
        <v>825</v>
      </c>
      <c r="F31676">
        <v>2.9176405257135201E-8</v>
      </c>
      <c r="G31676">
        <v>1765282</v>
      </c>
      <c r="H31676">
        <v>14544708</v>
      </c>
      <c r="I31676">
        <v>770200</v>
      </c>
      <c r="J31676">
        <v>3</v>
      </c>
    </row>
    <row r="31677" spans="1:10" x14ac:dyDescent="0.25">
      <c r="A31677" t="s">
        <v>357</v>
      </c>
      <c r="B31677" s="1" t="str">
        <f>HYPERLINK("http://sony.com.gt","sony.com.gt")</f>
        <v>sony.com.gt</v>
      </c>
      <c r="C31677" t="s">
        <v>448</v>
      </c>
      <c r="D31677" t="s">
        <v>826</v>
      </c>
      <c r="F31677">
        <v>1.0729880045055E-7</v>
      </c>
      <c r="G31677">
        <v>373150</v>
      </c>
      <c r="H31677">
        <v>13127500</v>
      </c>
      <c r="I31677">
        <v>11951365</v>
      </c>
      <c r="J31677">
        <v>2</v>
      </c>
    </row>
    <row r="31678" spans="1:10" x14ac:dyDescent="0.25">
      <c r="A31678" t="s">
        <v>357</v>
      </c>
      <c r="B31678" s="1" t="str">
        <f>HYPERLINK("http://olympus.com.hk","olympus.com.hk")</f>
        <v>olympus.com.hk</v>
      </c>
      <c r="C31678" t="s">
        <v>450</v>
      </c>
      <c r="D31678" t="s">
        <v>827</v>
      </c>
      <c r="F31678">
        <v>2.63029017787559E-8</v>
      </c>
      <c r="G31678">
        <v>1957774</v>
      </c>
      <c r="H31678">
        <v>14243443</v>
      </c>
      <c r="I31678">
        <v>1477438</v>
      </c>
      <c r="J31678">
        <v>7</v>
      </c>
    </row>
    <row r="31679" spans="1:10" x14ac:dyDescent="0.25">
      <c r="A31679" t="s">
        <v>357</v>
      </c>
      <c r="B31679" s="1" t="str">
        <f>HYPERLINK("http://sony.com.hk","sony.com.hk")</f>
        <v>sony.com.hk</v>
      </c>
      <c r="C31679" t="s">
        <v>450</v>
      </c>
      <c r="D31679" t="s">
        <v>827</v>
      </c>
      <c r="E31679">
        <v>157195</v>
      </c>
      <c r="F31679">
        <v>2.49812190232962E-7</v>
      </c>
      <c r="G31679">
        <v>149737</v>
      </c>
      <c r="H31679">
        <v>17050294</v>
      </c>
      <c r="I31679">
        <v>76398</v>
      </c>
      <c r="J31679">
        <v>2</v>
      </c>
    </row>
    <row r="31680" spans="1:10" x14ac:dyDescent="0.25">
      <c r="A31680" t="s">
        <v>357</v>
      </c>
      <c r="B31680" s="1" t="str">
        <f>HYPERLINK("http://sonymusic.com.hk","sonymusic.com.hk")</f>
        <v>sonymusic.com.hk</v>
      </c>
      <c r="C31680" t="s">
        <v>450</v>
      </c>
      <c r="D31680" t="s">
        <v>827</v>
      </c>
      <c r="F31680">
        <v>1.1435765576618099E-8</v>
      </c>
      <c r="G31680">
        <v>5549121</v>
      </c>
      <c r="H31680">
        <v>14238839</v>
      </c>
      <c r="I31680">
        <v>1520318</v>
      </c>
      <c r="J31680">
        <v>5</v>
      </c>
    </row>
    <row r="31681" spans="1:10" x14ac:dyDescent="0.25">
      <c r="A31681" t="s">
        <v>357</v>
      </c>
      <c r="B31681" s="1" t="str">
        <f>HYPERLINK("http://sony.com.hn","sony.com.hn")</f>
        <v>sony.com.hn</v>
      </c>
      <c r="C31681" t="s">
        <v>451</v>
      </c>
      <c r="D31681" t="s">
        <v>828</v>
      </c>
      <c r="F31681">
        <v>1.08424301902824E-7</v>
      </c>
      <c r="G31681">
        <v>369076</v>
      </c>
      <c r="H31681">
        <v>13179512</v>
      </c>
      <c r="I31681">
        <v>11686117</v>
      </c>
      <c r="J31681">
        <v>2</v>
      </c>
    </row>
    <row r="31682" spans="1:10" x14ac:dyDescent="0.25">
      <c r="A31682" t="s">
        <v>357</v>
      </c>
      <c r="B31682" s="1" t="str">
        <f>HYPERLINK("http://olympus.hr","olympus.hr")</f>
        <v>olympus.hr</v>
      </c>
      <c r="C31682" t="s">
        <v>452</v>
      </c>
      <c r="D31682" t="s">
        <v>829</v>
      </c>
      <c r="F31682">
        <v>3.9707089207494297E-8</v>
      </c>
      <c r="G31682">
        <v>1300861</v>
      </c>
      <c r="H31682">
        <v>12476131</v>
      </c>
      <c r="I31682">
        <v>17635603</v>
      </c>
      <c r="J31682">
        <v>5</v>
      </c>
    </row>
    <row r="31683" spans="1:10" x14ac:dyDescent="0.25">
      <c r="A31683" t="s">
        <v>357</v>
      </c>
      <c r="B31683" s="1" t="str">
        <f>HYPERLINK("http://sony.hr","sony.hr")</f>
        <v>sony.hr</v>
      </c>
      <c r="C31683" t="s">
        <v>452</v>
      </c>
      <c r="D31683" t="s">
        <v>829</v>
      </c>
      <c r="F31683">
        <v>6.1051242590732794E-8</v>
      </c>
      <c r="G31683">
        <v>721632</v>
      </c>
      <c r="H31683">
        <v>14248204</v>
      </c>
      <c r="I31683">
        <v>1454615</v>
      </c>
      <c r="J31683">
        <v>2</v>
      </c>
    </row>
    <row r="31684" spans="1:10" x14ac:dyDescent="0.25">
      <c r="A31684" t="s">
        <v>357</v>
      </c>
      <c r="B31684" s="1" t="str">
        <f>HYPERLINK("http://kozpontiszalon.hu","kozpontiszalon.hu")</f>
        <v>kozpontiszalon.hu</v>
      </c>
      <c r="C31684" t="s">
        <v>453</v>
      </c>
      <c r="D31684" t="s">
        <v>830</v>
      </c>
      <c r="F31684">
        <v>9.6269267780853392E-9</v>
      </c>
      <c r="G31684">
        <v>7167103</v>
      </c>
      <c r="H31684">
        <v>10974622</v>
      </c>
      <c r="I31684">
        <v>34041847</v>
      </c>
      <c r="J31684">
        <v>6</v>
      </c>
    </row>
    <row r="31685" spans="1:10" x14ac:dyDescent="0.25">
      <c r="A31685" t="s">
        <v>357</v>
      </c>
      <c r="B31685" s="1" t="str">
        <f>HYPERLINK("http://olympus.hu","olympus.hu")</f>
        <v>olympus.hu</v>
      </c>
      <c r="C31685" t="s">
        <v>453</v>
      </c>
      <c r="D31685" t="s">
        <v>830</v>
      </c>
      <c r="F31685">
        <v>3.9553380994066299E-8</v>
      </c>
      <c r="G31685">
        <v>1305351</v>
      </c>
      <c r="H31685">
        <v>12496092</v>
      </c>
      <c r="I31685">
        <v>17410597</v>
      </c>
      <c r="J31685">
        <v>5</v>
      </c>
    </row>
    <row r="31686" spans="1:10" x14ac:dyDescent="0.25">
      <c r="A31686" t="s">
        <v>357</v>
      </c>
      <c r="B31686" s="1" t="str">
        <f>HYPERLINK("http://sony.hu","sony.hu")</f>
        <v>sony.hu</v>
      </c>
      <c r="C31686" t="s">
        <v>453</v>
      </c>
      <c r="D31686" t="s">
        <v>830</v>
      </c>
      <c r="F31686">
        <v>1.36864232496423E-7</v>
      </c>
      <c r="G31686">
        <v>284785</v>
      </c>
      <c r="H31686">
        <v>14453945</v>
      </c>
      <c r="I31686">
        <v>1050780</v>
      </c>
      <c r="J31686">
        <v>2</v>
      </c>
    </row>
    <row r="31687" spans="1:10" x14ac:dyDescent="0.25">
      <c r="A31687" t="s">
        <v>357</v>
      </c>
      <c r="B31687" s="1" t="str">
        <f>HYPERLINK("http://sony.co.id","sony.co.id")</f>
        <v>sony.co.id</v>
      </c>
      <c r="C31687" t="s">
        <v>454</v>
      </c>
      <c r="D31687" t="s">
        <v>831</v>
      </c>
      <c r="E31687">
        <v>413241</v>
      </c>
      <c r="F31687">
        <v>1.16521565525971E-7</v>
      </c>
      <c r="G31687">
        <v>341237</v>
      </c>
      <c r="H31687">
        <v>14490214</v>
      </c>
      <c r="I31687">
        <v>914023</v>
      </c>
      <c r="J31687">
        <v>2</v>
      </c>
    </row>
    <row r="31688" spans="1:10" x14ac:dyDescent="0.25">
      <c r="A31688" t="s">
        <v>357</v>
      </c>
      <c r="B31688" s="1" t="str">
        <f>HYPERLINK("http://sony.ie","sony.ie")</f>
        <v>sony.ie</v>
      </c>
      <c r="C31688" t="s">
        <v>455</v>
      </c>
      <c r="D31688" t="s">
        <v>832</v>
      </c>
      <c r="E31688">
        <v>512379</v>
      </c>
      <c r="F31688">
        <v>1.42725011047385E-7</v>
      </c>
      <c r="G31688">
        <v>272766</v>
      </c>
      <c r="H31688">
        <v>14568780</v>
      </c>
      <c r="I31688">
        <v>737016</v>
      </c>
      <c r="J31688">
        <v>2</v>
      </c>
    </row>
    <row r="31689" spans="1:10" x14ac:dyDescent="0.25">
      <c r="A31689" t="s">
        <v>357</v>
      </c>
      <c r="B31689" s="1" t="str">
        <f>HYPERLINK("http://sonypictures.ie","sonypictures.ie")</f>
        <v>sonypictures.ie</v>
      </c>
      <c r="C31689" t="s">
        <v>455</v>
      </c>
      <c r="D31689" t="s">
        <v>832</v>
      </c>
      <c r="F31689">
        <v>3.9787652457590101E-8</v>
      </c>
      <c r="G31689">
        <v>1298466</v>
      </c>
      <c r="H31689">
        <v>12402697</v>
      </c>
      <c r="I31689">
        <v>18737596</v>
      </c>
      <c r="J31689">
        <v>4</v>
      </c>
    </row>
    <row r="31690" spans="1:10" x14ac:dyDescent="0.25">
      <c r="A31690" t="s">
        <v>357</v>
      </c>
      <c r="B31690" s="1" t="str">
        <f>HYPERLINK("http://sony.co.il","sony.co.il")</f>
        <v>sony.co.il</v>
      </c>
      <c r="C31690" t="s">
        <v>456</v>
      </c>
      <c r="D31690" t="s">
        <v>833</v>
      </c>
      <c r="F31690">
        <v>3.9996298231573903E-8</v>
      </c>
      <c r="G31690">
        <v>1292498</v>
      </c>
      <c r="H31690">
        <v>12630371</v>
      </c>
      <c r="I31690">
        <v>15980271</v>
      </c>
      <c r="J31690">
        <v>2</v>
      </c>
    </row>
    <row r="31691" spans="1:10" x14ac:dyDescent="0.25">
      <c r="A31691" t="s">
        <v>357</v>
      </c>
      <c r="B31691" s="1" t="str">
        <f>HYPERLINK("http://sony.co.in","sony.co.in")</f>
        <v>sony.co.in</v>
      </c>
      <c r="C31691" t="s">
        <v>457</v>
      </c>
      <c r="D31691" t="s">
        <v>834</v>
      </c>
      <c r="E31691">
        <v>60612</v>
      </c>
      <c r="F31691">
        <v>3.7571336987004002E-7</v>
      </c>
      <c r="G31691">
        <v>99702</v>
      </c>
      <c r="H31691">
        <v>17359054</v>
      </c>
      <c r="I31691">
        <v>22303</v>
      </c>
      <c r="J31691">
        <v>2</v>
      </c>
    </row>
    <row r="31692" spans="1:10" x14ac:dyDescent="0.25">
      <c r="A31692" t="s">
        <v>357</v>
      </c>
      <c r="B31692" s="1" t="str">
        <f>HYPERLINK("http://sonypictures.in","sonypictures.in")</f>
        <v>sonypictures.in</v>
      </c>
      <c r="C31692" t="s">
        <v>457</v>
      </c>
      <c r="D31692" t="s">
        <v>834</v>
      </c>
      <c r="F31692">
        <v>1.0370007048028701E-8</v>
      </c>
      <c r="G31692">
        <v>6386161</v>
      </c>
      <c r="H31692">
        <v>13763897</v>
      </c>
      <c r="I31692">
        <v>7513308</v>
      </c>
      <c r="J31692">
        <v>4</v>
      </c>
    </row>
    <row r="31693" spans="1:10" x14ac:dyDescent="0.25">
      <c r="A31693" t="s">
        <v>357</v>
      </c>
      <c r="B31693" s="1" t="str">
        <f>HYPERLINK("http://columbiatristar.it","columbiatristar.it")</f>
        <v>columbiatristar.it</v>
      </c>
      <c r="C31693" t="s">
        <v>459</v>
      </c>
      <c r="D31693" t="s">
        <v>835</v>
      </c>
      <c r="F31693">
        <v>8.8599018561111795E-9</v>
      </c>
      <c r="G31693">
        <v>8208573</v>
      </c>
      <c r="H31693">
        <v>14389837</v>
      </c>
      <c r="I31693">
        <v>1169681</v>
      </c>
      <c r="J31693">
        <v>3</v>
      </c>
    </row>
    <row r="31694" spans="1:10" x14ac:dyDescent="0.25">
      <c r="A31694" t="s">
        <v>357</v>
      </c>
      <c r="B31694" s="1" t="str">
        <f>HYPERLINK("http://h2omusic.it","h2omusic.it")</f>
        <v>h2omusic.it</v>
      </c>
      <c r="C31694" t="s">
        <v>459</v>
      </c>
      <c r="D31694" t="s">
        <v>835</v>
      </c>
      <c r="F31694">
        <v>4.7006422821072499E-9</v>
      </c>
      <c r="G31694">
        <v>41200447</v>
      </c>
      <c r="H31694">
        <v>10343676</v>
      </c>
      <c r="I31694">
        <v>58159164</v>
      </c>
      <c r="J31694">
        <v>3</v>
      </c>
    </row>
    <row r="31695" spans="1:10" x14ac:dyDescent="0.25">
      <c r="A31695" t="s">
        <v>357</v>
      </c>
      <c r="B31695" s="1" t="str">
        <f>HYPERLINK("http://legacyrecordings.it","legacyrecordings.it")</f>
        <v>legacyrecordings.it</v>
      </c>
      <c r="C31695" t="s">
        <v>459</v>
      </c>
      <c r="D31695" t="s">
        <v>835</v>
      </c>
      <c r="F31695">
        <v>8.42519424987912E-9</v>
      </c>
      <c r="G31695">
        <v>8991565</v>
      </c>
      <c r="H31695">
        <v>14071882</v>
      </c>
      <c r="I31695">
        <v>3251256</v>
      </c>
      <c r="J31695">
        <v>6</v>
      </c>
    </row>
    <row r="31696" spans="1:10" x14ac:dyDescent="0.25">
      <c r="A31696" t="s">
        <v>357</v>
      </c>
      <c r="B31696" s="1" t="str">
        <f>HYPERLINK("http://olympus.it","olympus.it")</f>
        <v>olympus.it</v>
      </c>
      <c r="C31696" t="s">
        <v>459</v>
      </c>
      <c r="D31696" t="s">
        <v>835</v>
      </c>
      <c r="F31696">
        <v>6.4459899939248604E-8</v>
      </c>
      <c r="G31696">
        <v>671323</v>
      </c>
      <c r="H31696">
        <v>14493764</v>
      </c>
      <c r="I31696">
        <v>885830</v>
      </c>
      <c r="J31696">
        <v>5</v>
      </c>
    </row>
    <row r="31697" spans="1:10" x14ac:dyDescent="0.25">
      <c r="A31697" t="s">
        <v>357</v>
      </c>
      <c r="B31697" s="1" t="str">
        <f>HYPERLINK("http://sony.it","sony.it")</f>
        <v>sony.it</v>
      </c>
      <c r="C31697" t="s">
        <v>459</v>
      </c>
      <c r="D31697" t="s">
        <v>835</v>
      </c>
      <c r="E31697">
        <v>156992</v>
      </c>
      <c r="F31697">
        <v>4.4768681507096299E-7</v>
      </c>
      <c r="G31697">
        <v>84344</v>
      </c>
      <c r="H31697">
        <v>17107234</v>
      </c>
      <c r="I31697">
        <v>62515</v>
      </c>
      <c r="J31697">
        <v>2</v>
      </c>
    </row>
    <row r="31698" spans="1:10" x14ac:dyDescent="0.25">
      <c r="A31698" t="s">
        <v>357</v>
      </c>
      <c r="B31698" s="1" t="str">
        <f>HYPERLINK("http://a1p.jp","a1p.jp")</f>
        <v>a1p.jp</v>
      </c>
      <c r="C31698" t="s">
        <v>461</v>
      </c>
      <c r="D31698" t="s">
        <v>837</v>
      </c>
      <c r="F31698">
        <v>4.2200108607599301E-8</v>
      </c>
      <c r="G31698">
        <v>1155670</v>
      </c>
      <c r="H31698">
        <v>14632482</v>
      </c>
      <c r="I31698">
        <v>643578</v>
      </c>
      <c r="J31698">
        <v>4</v>
      </c>
    </row>
    <row r="31699" spans="1:10" x14ac:dyDescent="0.25">
      <c r="A31699" t="s">
        <v>357</v>
      </c>
      <c r="B31699" s="1" t="str">
        <f>HYPERLINK("http://aniplex.jp","aniplex.jp")</f>
        <v>aniplex.jp</v>
      </c>
      <c r="C31699" t="s">
        <v>461</v>
      </c>
      <c r="D31699" t="s">
        <v>837</v>
      </c>
      <c r="F31699">
        <v>1.343652315832E-8</v>
      </c>
      <c r="G31699">
        <v>4432173</v>
      </c>
      <c r="H31699">
        <v>12251471</v>
      </c>
      <c r="I31699">
        <v>21974877</v>
      </c>
      <c r="J31699">
        <v>4</v>
      </c>
    </row>
    <row r="31700" spans="1:10" x14ac:dyDescent="0.25">
      <c r="A31700" t="s">
        <v>357</v>
      </c>
      <c r="B31700" s="1" t="str">
        <f>HYPERLINK("http://ariola.jp","ariola.jp")</f>
        <v>ariola.jp</v>
      </c>
      <c r="C31700" t="s">
        <v>461</v>
      </c>
      <c r="D31700" t="s">
        <v>837</v>
      </c>
      <c r="F31700">
        <v>8.0122753870928104E-9</v>
      </c>
      <c r="G31700">
        <v>9898343</v>
      </c>
      <c r="H31700">
        <v>14084740</v>
      </c>
      <c r="I31700">
        <v>2785446</v>
      </c>
      <c r="J31700">
        <v>6</v>
      </c>
    </row>
    <row r="31701" spans="1:10" x14ac:dyDescent="0.25">
      <c r="A31701" t="s">
        <v>357</v>
      </c>
      <c r="B31701" s="1" t="str">
        <f>HYPERLINK("http://bandai-museum.jp","bandai-museum.jp")</f>
        <v>bandai-museum.jp</v>
      </c>
      <c r="C31701" t="s">
        <v>461</v>
      </c>
      <c r="D31701" t="s">
        <v>837</v>
      </c>
      <c r="F31701">
        <v>2.29224967636956E-8</v>
      </c>
      <c r="G31701">
        <v>2280333</v>
      </c>
      <c r="H31701">
        <v>14148956</v>
      </c>
      <c r="I31701">
        <v>1883410</v>
      </c>
      <c r="J31701">
        <v>9</v>
      </c>
    </row>
    <row r="31702" spans="1:10" x14ac:dyDescent="0.25">
      <c r="A31702" t="s">
        <v>357</v>
      </c>
      <c r="B31702" s="1" t="str">
        <f>HYPERLINK("http://be-official.jp","be-official.jp")</f>
        <v>be-official.jp</v>
      </c>
      <c r="C31702" t="s">
        <v>461</v>
      </c>
      <c r="D31702" t="s">
        <v>837</v>
      </c>
      <c r="F31702">
        <v>1.9173631071591398E-8</v>
      </c>
      <c r="G31702">
        <v>2803113</v>
      </c>
      <c r="H31702">
        <v>14080029</v>
      </c>
      <c r="I31702">
        <v>2824748</v>
      </c>
      <c r="J31702">
        <v>5</v>
      </c>
    </row>
    <row r="31703" spans="1:10" x14ac:dyDescent="0.25">
      <c r="A31703" t="s">
        <v>357</v>
      </c>
      <c r="B31703" s="1" t="str">
        <f>HYPERLINK("http://cellius.jp","cellius.jp")</f>
        <v>cellius.jp</v>
      </c>
      <c r="C31703" t="s">
        <v>461</v>
      </c>
      <c r="D31703" t="s">
        <v>837</v>
      </c>
      <c r="F31703">
        <v>5.20595748810441E-9</v>
      </c>
      <c r="G31703">
        <v>24997038</v>
      </c>
      <c r="H31703">
        <v>12647035</v>
      </c>
      <c r="I31703">
        <v>15820186</v>
      </c>
      <c r="J31703">
        <v>3</v>
      </c>
    </row>
    <row r="31704" spans="1:10" x14ac:dyDescent="0.25">
      <c r="A31704" t="s">
        <v>357</v>
      </c>
      <c r="B31704" s="1" t="str">
        <f>HYPERLINK("http://actas-inc.co.jp","actas-inc.co.jp")</f>
        <v>actas-inc.co.jp</v>
      </c>
      <c r="C31704" t="s">
        <v>461</v>
      </c>
      <c r="D31704" t="s">
        <v>837</v>
      </c>
      <c r="F31704">
        <v>9.8283994816184705E-9</v>
      </c>
      <c r="G31704">
        <v>6938734</v>
      </c>
      <c r="H31704">
        <v>14097274</v>
      </c>
      <c r="I31704">
        <v>2721543</v>
      </c>
      <c r="J31704">
        <v>6</v>
      </c>
    </row>
    <row r="31705" spans="1:10" x14ac:dyDescent="0.25">
      <c r="A31705" t="s">
        <v>357</v>
      </c>
      <c r="B31705" s="1" t="str">
        <f>HYPERLINK("http://aniplex.co.jp","aniplex.co.jp")</f>
        <v>aniplex.co.jp</v>
      </c>
      <c r="C31705" t="s">
        <v>461</v>
      </c>
      <c r="D31705" t="s">
        <v>837</v>
      </c>
      <c r="E31705">
        <v>131662</v>
      </c>
      <c r="F31705">
        <v>1.56114689356315E-6</v>
      </c>
      <c r="G31705">
        <v>25144</v>
      </c>
      <c r="H31705">
        <v>17709522</v>
      </c>
      <c r="I31705">
        <v>7113</v>
      </c>
      <c r="J31705">
        <v>3</v>
      </c>
    </row>
    <row r="31706" spans="1:10" x14ac:dyDescent="0.25">
      <c r="A31706" t="s">
        <v>357</v>
      </c>
      <c r="B31706" s="1" t="str">
        <f>HYPERLINK("http://bandai.co.jp","bandai.co.jp")</f>
        <v>bandai.co.jp</v>
      </c>
      <c r="C31706" t="s">
        <v>461</v>
      </c>
      <c r="D31706" t="s">
        <v>837</v>
      </c>
      <c r="E31706">
        <v>39920</v>
      </c>
      <c r="F31706">
        <v>6.3989311453069496E-7</v>
      </c>
      <c r="G31706">
        <v>60032</v>
      </c>
      <c r="H31706">
        <v>17327050</v>
      </c>
      <c r="I31706">
        <v>25156</v>
      </c>
      <c r="J31706">
        <v>7</v>
      </c>
    </row>
    <row r="31707" spans="1:10" x14ac:dyDescent="0.25">
      <c r="A31707" t="s">
        <v>357</v>
      </c>
      <c r="B31707" s="1" t="str">
        <f>HYPERLINK("http://bandainamco.co.jp","bandainamco.co.jp")</f>
        <v>bandainamco.co.jp</v>
      </c>
      <c r="C31707" t="s">
        <v>461</v>
      </c>
      <c r="D31707" t="s">
        <v>837</v>
      </c>
      <c r="E31707">
        <v>146497</v>
      </c>
      <c r="F31707">
        <v>3.8698887306900501E-7</v>
      </c>
      <c r="G31707">
        <v>96808</v>
      </c>
      <c r="H31707">
        <v>15029842</v>
      </c>
      <c r="I31707">
        <v>418701</v>
      </c>
      <c r="J31707">
        <v>5</v>
      </c>
    </row>
    <row r="31708" spans="1:10" x14ac:dyDescent="0.25">
      <c r="A31708" t="s">
        <v>357</v>
      </c>
      <c r="B31708" s="1" t="str">
        <f>HYPERLINK("http://bandainamco-am.co.jp","bandainamco-am.co.jp")</f>
        <v>bandainamco-am.co.jp</v>
      </c>
      <c r="C31708" t="s">
        <v>461</v>
      </c>
      <c r="D31708" t="s">
        <v>837</v>
      </c>
      <c r="E31708">
        <v>77493</v>
      </c>
      <c r="F31708">
        <v>4.9643449509036095E-7</v>
      </c>
      <c r="G31708">
        <v>76937</v>
      </c>
      <c r="H31708">
        <v>17265364</v>
      </c>
      <c r="I31708">
        <v>31948</v>
      </c>
      <c r="J31708">
        <v>6</v>
      </c>
    </row>
    <row r="31709" spans="1:10" x14ac:dyDescent="0.25">
      <c r="A31709" t="s">
        <v>357</v>
      </c>
      <c r="B31709" s="1" t="str">
        <f>HYPERLINK("http://bandainamcoent.co.jp","bandainamcoent.co.jp")</f>
        <v>bandainamcoent.co.jp</v>
      </c>
      <c r="C31709" t="s">
        <v>461</v>
      </c>
      <c r="D31709" t="s">
        <v>837</v>
      </c>
      <c r="E31709">
        <v>46934</v>
      </c>
      <c r="F31709">
        <v>1.54093174514476E-6</v>
      </c>
      <c r="G31709">
        <v>25461</v>
      </c>
      <c r="H31709">
        <v>17718312</v>
      </c>
      <c r="I31709">
        <v>6963</v>
      </c>
      <c r="J31709">
        <v>4</v>
      </c>
    </row>
    <row r="31710" spans="1:10" x14ac:dyDescent="0.25">
      <c r="A31710" t="s">
        <v>357</v>
      </c>
      <c r="B31710" s="1" t="str">
        <f>HYPERLINK("http://bandainamcomusiclive.co.jp","bandainamcomusiclive.co.jp")</f>
        <v>bandainamcomusiclive.co.jp</v>
      </c>
      <c r="C31710" t="s">
        <v>461</v>
      </c>
      <c r="D31710" t="s">
        <v>837</v>
      </c>
      <c r="F31710">
        <v>6.2345026429834699E-8</v>
      </c>
      <c r="G31710">
        <v>704192</v>
      </c>
      <c r="H31710">
        <v>14073184</v>
      </c>
      <c r="I31710">
        <v>3011211</v>
      </c>
      <c r="J31710">
        <v>6</v>
      </c>
    </row>
    <row r="31711" spans="1:10" x14ac:dyDescent="0.25">
      <c r="A31711" t="s">
        <v>357</v>
      </c>
      <c r="B31711" s="1" t="str">
        <f>HYPERLINK("http://bandainamcotec.co.jp","bandainamcotec.co.jp")</f>
        <v>bandainamcotec.co.jp</v>
      </c>
      <c r="C31711" t="s">
        <v>461</v>
      </c>
      <c r="D31711" t="s">
        <v>837</v>
      </c>
      <c r="F31711">
        <v>7.1837891812921199E-9</v>
      </c>
      <c r="G31711">
        <v>11786599</v>
      </c>
      <c r="H31711">
        <v>14378168</v>
      </c>
      <c r="I31711">
        <v>1205758</v>
      </c>
      <c r="J31711">
        <v>7</v>
      </c>
    </row>
    <row r="31712" spans="1:10" x14ac:dyDescent="0.25">
      <c r="A31712" t="s">
        <v>357</v>
      </c>
      <c r="B31712" s="1" t="str">
        <f>HYPERLINK("http://bandaispirits.co.jp","bandaispirits.co.jp")</f>
        <v>bandaispirits.co.jp</v>
      </c>
      <c r="C31712" t="s">
        <v>461</v>
      </c>
      <c r="D31712" t="s">
        <v>837</v>
      </c>
      <c r="E31712">
        <v>342109</v>
      </c>
      <c r="F31712">
        <v>1.64736200542881E-7</v>
      </c>
      <c r="G31712">
        <v>235667</v>
      </c>
      <c r="H31712">
        <v>14358347</v>
      </c>
      <c r="I31712">
        <v>1305387</v>
      </c>
      <c r="J31712">
        <v>6</v>
      </c>
    </row>
    <row r="31713" spans="1:10" x14ac:dyDescent="0.25">
      <c r="A31713" t="s">
        <v>357</v>
      </c>
      <c r="B31713" s="1" t="str">
        <f>HYPERLINK("http://bandaivisual.co.jp","bandaivisual.co.jp")</f>
        <v>bandaivisual.co.jp</v>
      </c>
      <c r="C31713" t="s">
        <v>461</v>
      </c>
      <c r="D31713" t="s">
        <v>837</v>
      </c>
      <c r="E31713">
        <v>274540</v>
      </c>
      <c r="F31713">
        <v>2.6919426251572903E-7</v>
      </c>
      <c r="G31713">
        <v>138362</v>
      </c>
      <c r="H31713">
        <v>14941774</v>
      </c>
      <c r="I31713">
        <v>443344</v>
      </c>
      <c r="J31713">
        <v>6</v>
      </c>
    </row>
    <row r="31714" spans="1:10" x14ac:dyDescent="0.25">
      <c r="A31714" t="s">
        <v>357</v>
      </c>
      <c r="B31714" s="1" t="str">
        <f>HYPERLINK("http://banpresto.co.jp","banpresto.co.jp")</f>
        <v>banpresto.co.jp</v>
      </c>
      <c r="C31714" t="s">
        <v>461</v>
      </c>
      <c r="D31714" t="s">
        <v>837</v>
      </c>
      <c r="E31714">
        <v>905335</v>
      </c>
      <c r="F31714">
        <v>4.7695959260390801E-8</v>
      </c>
      <c r="G31714">
        <v>975966</v>
      </c>
      <c r="H31714">
        <v>14395564</v>
      </c>
      <c r="I31714">
        <v>1160361</v>
      </c>
      <c r="J31714">
        <v>5</v>
      </c>
    </row>
    <row r="31715" spans="1:10" x14ac:dyDescent="0.25">
      <c r="A31715" t="s">
        <v>357</v>
      </c>
      <c r="B31715" s="1" t="str">
        <f>HYPERLINK("http://bn-pictures.co.jp","bn-pictures.co.jp")</f>
        <v>bn-pictures.co.jp</v>
      </c>
      <c r="C31715" t="s">
        <v>461</v>
      </c>
      <c r="D31715" t="s">
        <v>837</v>
      </c>
      <c r="E31715">
        <v>557624</v>
      </c>
      <c r="F31715">
        <v>5.3409525134167601E-8</v>
      </c>
      <c r="G31715">
        <v>852066</v>
      </c>
      <c r="H31715">
        <v>14130059</v>
      </c>
      <c r="I31715">
        <v>2036809</v>
      </c>
      <c r="J31715">
        <v>6</v>
      </c>
    </row>
    <row r="31716" spans="1:10" x14ac:dyDescent="0.25">
      <c r="A31716" t="s">
        <v>357</v>
      </c>
      <c r="B31716" s="1" t="str">
        <f>HYPERLINK("http://bnfw.co.jp","bnfw.co.jp")</f>
        <v>bnfw.co.jp</v>
      </c>
      <c r="C31716" t="s">
        <v>461</v>
      </c>
      <c r="D31716" t="s">
        <v>837</v>
      </c>
      <c r="F31716">
        <v>6.3884252556570598E-8</v>
      </c>
      <c r="G31716">
        <v>678819</v>
      </c>
      <c r="H31716">
        <v>14083748</v>
      </c>
      <c r="I31716">
        <v>2791600</v>
      </c>
      <c r="J31716">
        <v>5</v>
      </c>
    </row>
    <row r="31717" spans="1:10" x14ac:dyDescent="0.25">
      <c r="A31717" t="s">
        <v>357</v>
      </c>
      <c r="B31717" s="1" t="str">
        <f>HYPERLINK("http://boundary-inc.co.jp","boundary-inc.co.jp")</f>
        <v>boundary-inc.co.jp</v>
      </c>
      <c r="C31717" t="s">
        <v>461</v>
      </c>
      <c r="D31717" t="s">
        <v>837</v>
      </c>
      <c r="F31717">
        <v>5.74997891339553E-9</v>
      </c>
      <c r="G31717">
        <v>18497328</v>
      </c>
      <c r="H31717">
        <v>14072064</v>
      </c>
      <c r="I31717">
        <v>3175277</v>
      </c>
      <c r="J31717">
        <v>4</v>
      </c>
    </row>
    <row r="31718" spans="1:10" x14ac:dyDescent="0.25">
      <c r="A31718" t="s">
        <v>357</v>
      </c>
      <c r="B31718" s="1" t="str">
        <f>HYPERLINK("http://chara-ani.co.jp","chara-ani.co.jp")</f>
        <v>chara-ani.co.jp</v>
      </c>
      <c r="C31718" t="s">
        <v>461</v>
      </c>
      <c r="D31718" t="s">
        <v>837</v>
      </c>
      <c r="F31718">
        <v>9.60561279931737E-9</v>
      </c>
      <c r="G31718">
        <v>7193524</v>
      </c>
      <c r="H31718">
        <v>14078059</v>
      </c>
      <c r="I31718">
        <v>2853412</v>
      </c>
      <c r="J31718">
        <v>7</v>
      </c>
    </row>
    <row r="31719" spans="1:10" x14ac:dyDescent="0.25">
      <c r="A31719" t="s">
        <v>357</v>
      </c>
      <c r="B31719" s="1" t="str">
        <f>HYPERLINK("http://cloverworks.co.jp","cloverworks.co.jp")</f>
        <v>cloverworks.co.jp</v>
      </c>
      <c r="C31719" t="s">
        <v>461</v>
      </c>
      <c r="D31719" t="s">
        <v>837</v>
      </c>
      <c r="F31719">
        <v>2.4716955273716299E-8</v>
      </c>
      <c r="G31719">
        <v>2092868</v>
      </c>
      <c r="H31719">
        <v>14514510</v>
      </c>
      <c r="I31719">
        <v>815088</v>
      </c>
      <c r="J31719">
        <v>4</v>
      </c>
    </row>
    <row r="31720" spans="1:10" x14ac:dyDescent="0.25">
      <c r="A31720" t="s">
        <v>357</v>
      </c>
      <c r="B31720" s="1" t="str">
        <f>HYPERLINK("http://d3p.co.jp","d3p.co.jp")</f>
        <v>d3p.co.jp</v>
      </c>
      <c r="C31720" t="s">
        <v>461</v>
      </c>
      <c r="D31720" t="s">
        <v>837</v>
      </c>
      <c r="E31720">
        <v>145306</v>
      </c>
      <c r="F31720">
        <v>1.8811669840246901E-7</v>
      </c>
      <c r="G31720">
        <v>204826</v>
      </c>
      <c r="H31720">
        <v>14986618</v>
      </c>
      <c r="I31720">
        <v>429181</v>
      </c>
      <c r="J31720">
        <v>5</v>
      </c>
    </row>
    <row r="31721" spans="1:10" x14ac:dyDescent="0.25">
      <c r="A31721" t="s">
        <v>357</v>
      </c>
      <c r="B31721" s="1" t="str">
        <f>HYPERLINK("http://dwango.co.jp","dwango.co.jp")</f>
        <v>dwango.co.jp</v>
      </c>
      <c r="C31721" t="s">
        <v>461</v>
      </c>
      <c r="D31721" t="s">
        <v>837</v>
      </c>
      <c r="E31721">
        <v>348908</v>
      </c>
      <c r="F31721">
        <v>2.7777804722602598E-7</v>
      </c>
      <c r="G31721">
        <v>133897</v>
      </c>
      <c r="H31721">
        <v>17211106</v>
      </c>
      <c r="I31721">
        <v>39847</v>
      </c>
      <c r="J31721">
        <v>8</v>
      </c>
    </row>
    <row r="31722" spans="1:10" x14ac:dyDescent="0.25">
      <c r="A31722" t="s">
        <v>357</v>
      </c>
      <c r="B31722" s="1" t="str">
        <f>HYPERLINK("http://fujimishobo.co.jp","fujimishobo.co.jp")</f>
        <v>fujimishobo.co.jp</v>
      </c>
      <c r="C31722" t="s">
        <v>461</v>
      </c>
      <c r="D31722" t="s">
        <v>837</v>
      </c>
      <c r="E31722">
        <v>441857</v>
      </c>
      <c r="F31722">
        <v>2.20212630866232E-7</v>
      </c>
      <c r="G31722">
        <v>171149</v>
      </c>
      <c r="H31722">
        <v>14823631</v>
      </c>
      <c r="I31722">
        <v>513254</v>
      </c>
      <c r="J31722">
        <v>7</v>
      </c>
    </row>
    <row r="31723" spans="1:10" x14ac:dyDescent="0.25">
      <c r="A31723" t="s">
        <v>357</v>
      </c>
      <c r="B31723" s="1" t="str">
        <f>HYPERLINK("http://glovision.co.jp","glovision.co.jp")</f>
        <v>glovision.co.jp</v>
      </c>
      <c r="C31723" t="s">
        <v>461</v>
      </c>
      <c r="D31723" t="s">
        <v>837</v>
      </c>
      <c r="F31723">
        <v>6.4848970683455997E-9</v>
      </c>
      <c r="G31723">
        <v>14141263</v>
      </c>
      <c r="H31723">
        <v>14075315</v>
      </c>
      <c r="I31723">
        <v>2912542</v>
      </c>
      <c r="J31723">
        <v>6</v>
      </c>
    </row>
    <row r="31724" spans="1:10" x14ac:dyDescent="0.25">
      <c r="A31724" t="s">
        <v>357</v>
      </c>
      <c r="B31724" s="1" t="str">
        <f>HYPERLINK("http://kadokawa.co.jp","kadokawa.co.jp")</f>
        <v>kadokawa.co.jp</v>
      </c>
      <c r="C31724" t="s">
        <v>461</v>
      </c>
      <c r="D31724" t="s">
        <v>837</v>
      </c>
      <c r="E31724">
        <v>18323</v>
      </c>
      <c r="F31724">
        <v>3.75196428312933E-6</v>
      </c>
      <c r="G31724">
        <v>11120</v>
      </c>
      <c r="H31724">
        <v>18050962</v>
      </c>
      <c r="I31724">
        <v>3386</v>
      </c>
      <c r="J31724">
        <v>5</v>
      </c>
    </row>
    <row r="31725" spans="1:10" x14ac:dyDescent="0.25">
      <c r="A31725" t="s">
        <v>357</v>
      </c>
      <c r="B31725" s="1" t="str">
        <f>HYPERLINK("http://kadokawadwango.co.jp","kadokawadwango.co.jp")</f>
        <v>kadokawadwango.co.jp</v>
      </c>
      <c r="C31725" t="s">
        <v>461</v>
      </c>
      <c r="D31725" t="s">
        <v>837</v>
      </c>
      <c r="F31725">
        <v>3.5967172195689098E-8</v>
      </c>
      <c r="G31725">
        <v>1448682</v>
      </c>
      <c r="H31725">
        <v>14336703</v>
      </c>
      <c r="I31725">
        <v>1319080</v>
      </c>
      <c r="J31725">
        <v>7</v>
      </c>
    </row>
    <row r="31726" spans="1:10" x14ac:dyDescent="0.25">
      <c r="A31726" t="s">
        <v>357</v>
      </c>
      <c r="B31726" s="1" t="str">
        <f>HYPERLINK("http://kadokawagames.co.jp","kadokawagames.co.jp")</f>
        <v>kadokawagames.co.jp</v>
      </c>
      <c r="C31726" t="s">
        <v>461</v>
      </c>
      <c r="D31726" t="s">
        <v>837</v>
      </c>
      <c r="F31726">
        <v>4.6981528683252501E-8</v>
      </c>
      <c r="G31726">
        <v>993532</v>
      </c>
      <c r="H31726">
        <v>14124421</v>
      </c>
      <c r="I31726">
        <v>2145876</v>
      </c>
      <c r="J31726">
        <v>7</v>
      </c>
    </row>
    <row r="31727" spans="1:10" x14ac:dyDescent="0.25">
      <c r="A31727" t="s">
        <v>357</v>
      </c>
      <c r="B31727" s="1" t="str">
        <f>HYPERLINK("http://lasengle.co.jp","lasengle.co.jp")</f>
        <v>lasengle.co.jp</v>
      </c>
      <c r="C31727" t="s">
        <v>461</v>
      </c>
      <c r="D31727" t="s">
        <v>837</v>
      </c>
      <c r="F31727">
        <v>1.35798691803206E-8</v>
      </c>
      <c r="G31727">
        <v>4370140</v>
      </c>
      <c r="H31727">
        <v>14120013</v>
      </c>
      <c r="I31727">
        <v>2398449</v>
      </c>
      <c r="J31727">
        <v>4</v>
      </c>
    </row>
    <row r="31728" spans="1:10" x14ac:dyDescent="0.25">
      <c r="A31728" t="s">
        <v>357</v>
      </c>
      <c r="B31728" s="1" t="str">
        <f>HYPERLINK("http://mediafactory.co.jp","mediafactory.co.jp")</f>
        <v>mediafactory.co.jp</v>
      </c>
      <c r="C31728" t="s">
        <v>461</v>
      </c>
      <c r="D31728" t="s">
        <v>837</v>
      </c>
      <c r="E31728">
        <v>373504</v>
      </c>
      <c r="F31728">
        <v>2.2347669347064899E-7</v>
      </c>
      <c r="G31728">
        <v>168636</v>
      </c>
      <c r="H31728">
        <v>14952263</v>
      </c>
      <c r="I31728">
        <v>439771</v>
      </c>
      <c r="J31728">
        <v>7</v>
      </c>
    </row>
    <row r="31729" spans="1:10" x14ac:dyDescent="0.25">
      <c r="A31729" t="s">
        <v>357</v>
      </c>
      <c r="B31729" s="1" t="str">
        <f>HYPERLINK("http://olympus.co.jp","olympus.co.jp")</f>
        <v>olympus.co.jp</v>
      </c>
      <c r="C31729" t="s">
        <v>461</v>
      </c>
      <c r="D31729" t="s">
        <v>837</v>
      </c>
      <c r="E31729">
        <v>52086</v>
      </c>
      <c r="F31729">
        <v>4.0292118879883601E-7</v>
      </c>
      <c r="G31729">
        <v>93188</v>
      </c>
      <c r="H31729">
        <v>14724251</v>
      </c>
      <c r="I31729">
        <v>576171</v>
      </c>
      <c r="J31729">
        <v>6</v>
      </c>
    </row>
    <row r="31730" spans="1:10" x14ac:dyDescent="0.25">
      <c r="A31730" t="s">
        <v>357</v>
      </c>
      <c r="B31730" s="1" t="str">
        <f>HYPERLINK("http://polyphony.co.jp","polyphony.co.jp")</f>
        <v>polyphony.co.jp</v>
      </c>
      <c r="C31730" t="s">
        <v>461</v>
      </c>
      <c r="D31730" t="s">
        <v>837</v>
      </c>
      <c r="E31730">
        <v>558465</v>
      </c>
      <c r="F31730">
        <v>7.0015531842958298E-8</v>
      </c>
      <c r="G31730">
        <v>605171</v>
      </c>
      <c r="H31730">
        <v>14628380</v>
      </c>
      <c r="I31730">
        <v>647658</v>
      </c>
      <c r="J31730">
        <v>4</v>
      </c>
    </row>
    <row r="31731" spans="1:10" x14ac:dyDescent="0.25">
      <c r="A31731" t="s">
        <v>357</v>
      </c>
      <c r="B31731" s="1" t="str">
        <f>HYPERLINK("http://sme.co.jp","sme.co.jp")</f>
        <v>sme.co.jp</v>
      </c>
      <c r="C31731" t="s">
        <v>461</v>
      </c>
      <c r="D31731" t="s">
        <v>837</v>
      </c>
      <c r="E31731">
        <v>171878</v>
      </c>
      <c r="F31731">
        <v>3.6624623638928098E-7</v>
      </c>
      <c r="G31731">
        <v>102181</v>
      </c>
      <c r="H31731">
        <v>17024600</v>
      </c>
      <c r="I31731">
        <v>88672</v>
      </c>
      <c r="J31731">
        <v>3</v>
      </c>
    </row>
    <row r="31732" spans="1:10" x14ac:dyDescent="0.25">
      <c r="A31732" t="s">
        <v>357</v>
      </c>
      <c r="B31732" s="1" t="str">
        <f>HYPERLINK("http://sony.co.jp","sony.co.jp")</f>
        <v>sony.co.jp</v>
      </c>
      <c r="C31732" t="s">
        <v>461</v>
      </c>
      <c r="D31732" t="s">
        <v>837</v>
      </c>
      <c r="E31732">
        <v>11713</v>
      </c>
      <c r="F31732">
        <v>1.6275516958818101E-6</v>
      </c>
      <c r="G31732">
        <v>24234</v>
      </c>
      <c r="H31732">
        <v>17661434</v>
      </c>
      <c r="I31732">
        <v>8132</v>
      </c>
      <c r="J31732">
        <v>2</v>
      </c>
    </row>
    <row r="31733" spans="1:10" x14ac:dyDescent="0.25">
      <c r="A31733" t="s">
        <v>357</v>
      </c>
      <c r="B31733" s="1" t="str">
        <f>HYPERLINK("http://sony-lsi.co.jp","sony-lsi.co.jp")</f>
        <v>sony-lsi.co.jp</v>
      </c>
      <c r="C31733" t="s">
        <v>461</v>
      </c>
      <c r="D31733" t="s">
        <v>837</v>
      </c>
      <c r="F31733">
        <v>4.90348194585942E-9</v>
      </c>
      <c r="G31733">
        <v>32366109</v>
      </c>
      <c r="H31733">
        <v>12374980</v>
      </c>
      <c r="I31733">
        <v>19317773</v>
      </c>
      <c r="J31733">
        <v>5</v>
      </c>
    </row>
    <row r="31734" spans="1:10" x14ac:dyDescent="0.25">
      <c r="A31734" t="s">
        <v>357</v>
      </c>
      <c r="B31734" s="1" t="str">
        <f>HYPERLINK("http://sony-semicon.co.jp","sony-semicon.co.jp")</f>
        <v>sony-semicon.co.jp</v>
      </c>
      <c r="C31734" t="s">
        <v>461</v>
      </c>
      <c r="D31734" t="s">
        <v>837</v>
      </c>
      <c r="E31734">
        <v>264038</v>
      </c>
      <c r="F31734">
        <v>3.30388668956353E-7</v>
      </c>
      <c r="G31734">
        <v>112780</v>
      </c>
      <c r="H31734">
        <v>15195631</v>
      </c>
      <c r="I31734">
        <v>395993</v>
      </c>
      <c r="J31734">
        <v>3</v>
      </c>
    </row>
    <row r="31735" spans="1:10" x14ac:dyDescent="0.25">
      <c r="A31735" t="s">
        <v>357</v>
      </c>
      <c r="B31735" s="1" t="str">
        <f>HYPERLINK("http://sony-semiconductor.co.jp","sony-semiconductor.co.jp")</f>
        <v>sony-semiconductor.co.jp</v>
      </c>
      <c r="C31735" t="s">
        <v>461</v>
      </c>
      <c r="D31735" t="s">
        <v>837</v>
      </c>
      <c r="F31735">
        <v>1.24947655581128E-8</v>
      </c>
      <c r="G31735">
        <v>4888145</v>
      </c>
      <c r="H31735">
        <v>14167612</v>
      </c>
      <c r="I31735">
        <v>1815007</v>
      </c>
      <c r="J31735">
        <v>3</v>
      </c>
    </row>
    <row r="31736" spans="1:10" x14ac:dyDescent="0.25">
      <c r="A31736" t="s">
        <v>357</v>
      </c>
      <c r="B31736" s="1" t="str">
        <f>HYPERLINK("http://sonyfh.co.jp","sonyfh.co.jp")</f>
        <v>sonyfh.co.jp</v>
      </c>
      <c r="C31736" t="s">
        <v>461</v>
      </c>
      <c r="D31736" t="s">
        <v>837</v>
      </c>
      <c r="F31736">
        <v>3.7159116665888003E-8</v>
      </c>
      <c r="G31736">
        <v>1394212</v>
      </c>
      <c r="H31736">
        <v>14457800</v>
      </c>
      <c r="I31736">
        <v>1048556</v>
      </c>
      <c r="J31736">
        <v>3</v>
      </c>
    </row>
    <row r="31737" spans="1:10" x14ac:dyDescent="0.25">
      <c r="A31737" t="s">
        <v>357</v>
      </c>
      <c r="B31737" s="1" t="str">
        <f>HYPERLINK("http://sonygs.co.jp","sonygs.co.jp")</f>
        <v>sonygs.co.jp</v>
      </c>
      <c r="C31737" t="s">
        <v>461</v>
      </c>
      <c r="D31737" t="s">
        <v>837</v>
      </c>
      <c r="F31737">
        <v>4.4617929077298902E-9</v>
      </c>
      <c r="G31737">
        <v>67197676</v>
      </c>
      <c r="H31737">
        <v>10460947</v>
      </c>
      <c r="I31737">
        <v>51794081</v>
      </c>
      <c r="J31737">
        <v>3</v>
      </c>
    </row>
    <row r="31738" spans="1:10" x14ac:dyDescent="0.25">
      <c r="A31738" t="s">
        <v>357</v>
      </c>
      <c r="B31738" s="1" t="str">
        <f>HYPERLINK("http://sonylife.co.jp","sonylife.co.jp")</f>
        <v>sonylife.co.jp</v>
      </c>
      <c r="C31738" t="s">
        <v>461</v>
      </c>
      <c r="D31738" t="s">
        <v>837</v>
      </c>
      <c r="E31738">
        <v>167934</v>
      </c>
      <c r="F31738">
        <v>3.46950621307997E-7</v>
      </c>
      <c r="G31738">
        <v>107681</v>
      </c>
      <c r="H31738">
        <v>14728835</v>
      </c>
      <c r="I31738">
        <v>573276</v>
      </c>
      <c r="J31738">
        <v>2</v>
      </c>
    </row>
    <row r="31739" spans="1:10" x14ac:dyDescent="0.25">
      <c r="A31739" t="s">
        <v>357</v>
      </c>
      <c r="B31739" s="1" t="str">
        <f>HYPERLINK("http://sonymobile.co.jp","sonymobile.co.jp")</f>
        <v>sonymobile.co.jp</v>
      </c>
      <c r="C31739" t="s">
        <v>461</v>
      </c>
      <c r="D31739" t="s">
        <v>837</v>
      </c>
      <c r="E31739">
        <v>273195</v>
      </c>
      <c r="F31739">
        <v>6.0357478188490795E-7</v>
      </c>
      <c r="G31739">
        <v>63361</v>
      </c>
      <c r="H31739">
        <v>17201414</v>
      </c>
      <c r="I31739">
        <v>41553</v>
      </c>
      <c r="J31739">
        <v>5</v>
      </c>
    </row>
    <row r="31740" spans="1:10" x14ac:dyDescent="0.25">
      <c r="A31740" t="s">
        <v>357</v>
      </c>
      <c r="B31740" s="1" t="str">
        <f>HYPERLINK("http://sonymusic.co.jp","sonymusic.co.jp")</f>
        <v>sonymusic.co.jp</v>
      </c>
      <c r="C31740" t="s">
        <v>461</v>
      </c>
      <c r="D31740" t="s">
        <v>837</v>
      </c>
      <c r="E31740">
        <v>43960</v>
      </c>
      <c r="F31740">
        <v>4.4630945662068002E-6</v>
      </c>
      <c r="G31740">
        <v>7909</v>
      </c>
      <c r="H31740">
        <v>18273088</v>
      </c>
      <c r="I31740">
        <v>2452</v>
      </c>
      <c r="J31740">
        <v>2</v>
      </c>
    </row>
    <row r="31741" spans="1:10" x14ac:dyDescent="0.25">
      <c r="A31741" t="s">
        <v>357</v>
      </c>
      <c r="B31741" s="1" t="str">
        <f>HYPERLINK("http://sonynetwork.co.jp","sonynetwork.co.jp")</f>
        <v>sonynetwork.co.jp</v>
      </c>
      <c r="C31741" t="s">
        <v>461</v>
      </c>
      <c r="D31741" t="s">
        <v>837</v>
      </c>
      <c r="E31741">
        <v>423020</v>
      </c>
      <c r="F31741">
        <v>2.5416065407424502E-7</v>
      </c>
      <c r="G31741">
        <v>147186</v>
      </c>
      <c r="H31741">
        <v>17056252</v>
      </c>
      <c r="I31741">
        <v>74974</v>
      </c>
      <c r="J31741">
        <v>2</v>
      </c>
    </row>
    <row r="31742" spans="1:10" x14ac:dyDescent="0.25">
      <c r="A31742" t="s">
        <v>357</v>
      </c>
      <c r="B31742" s="1" t="str">
        <f>HYPERLINK("http://sonysonpo.co.jp","sonysonpo.co.jp")</f>
        <v>sonysonpo.co.jp</v>
      </c>
      <c r="C31742" t="s">
        <v>461</v>
      </c>
      <c r="D31742" t="s">
        <v>837</v>
      </c>
      <c r="E31742">
        <v>180932</v>
      </c>
      <c r="F31742">
        <v>2.53884317231579E-7</v>
      </c>
      <c r="G31742">
        <v>147323</v>
      </c>
      <c r="H31742">
        <v>16967796</v>
      </c>
      <c r="I31742">
        <v>103434</v>
      </c>
      <c r="J31742">
        <v>3</v>
      </c>
    </row>
    <row r="31743" spans="1:10" x14ac:dyDescent="0.25">
      <c r="A31743" t="s">
        <v>357</v>
      </c>
      <c r="B31743" s="1" t="str">
        <f>HYPERLINK("http://sonystoragemedia.co.jp","sonystoragemedia.co.jp")</f>
        <v>sonystoragemedia.co.jp</v>
      </c>
      <c r="C31743" t="s">
        <v>461</v>
      </c>
      <c r="D31743" t="s">
        <v>837</v>
      </c>
      <c r="F31743">
        <v>5.6919274727309297E-9</v>
      </c>
      <c r="G31743">
        <v>19028980</v>
      </c>
      <c r="H31743">
        <v>11998376</v>
      </c>
      <c r="I31743">
        <v>28273264</v>
      </c>
      <c r="J31743">
        <v>3</v>
      </c>
    </row>
    <row r="31744" spans="1:10" x14ac:dyDescent="0.25">
      <c r="A31744" t="s">
        <v>357</v>
      </c>
      <c r="B31744" s="1" t="str">
        <f>HYPERLINK("http://spike-chunsoft.co.jp","spike-chunsoft.co.jp")</f>
        <v>spike-chunsoft.co.jp</v>
      </c>
      <c r="C31744" t="s">
        <v>461</v>
      </c>
      <c r="D31744" t="s">
        <v>837</v>
      </c>
      <c r="E31744">
        <v>183069</v>
      </c>
      <c r="F31744">
        <v>2.4690907679551901E-7</v>
      </c>
      <c r="G31744">
        <v>151517</v>
      </c>
      <c r="H31744">
        <v>17133856</v>
      </c>
      <c r="I31744">
        <v>55808</v>
      </c>
      <c r="J31744">
        <v>9</v>
      </c>
    </row>
    <row r="31745" spans="1:10" x14ac:dyDescent="0.25">
      <c r="A31745" t="s">
        <v>357</v>
      </c>
      <c r="B31745" s="1" t="str">
        <f>HYPERLINK("http://sunrise-inc.co.jp","sunrise-inc.co.jp")</f>
        <v>sunrise-inc.co.jp</v>
      </c>
      <c r="C31745" t="s">
        <v>461</v>
      </c>
      <c r="D31745" t="s">
        <v>837</v>
      </c>
      <c r="E31745">
        <v>169674</v>
      </c>
      <c r="F31745">
        <v>4.5053556036008699E-7</v>
      </c>
      <c r="G31745">
        <v>83868</v>
      </c>
      <c r="H31745">
        <v>15168150</v>
      </c>
      <c r="I31745">
        <v>398368</v>
      </c>
      <c r="J31745">
        <v>8</v>
      </c>
    </row>
    <row r="31746" spans="1:10" x14ac:dyDescent="0.25">
      <c r="A31746" t="s">
        <v>357</v>
      </c>
      <c r="B31746" s="1" t="str">
        <f>HYPERLINK("http://sunrisebeyond.co.jp","sunrisebeyond.co.jp")</f>
        <v>sunrisebeyond.co.jp</v>
      </c>
      <c r="C31746" t="s">
        <v>461</v>
      </c>
      <c r="D31746" t="s">
        <v>837</v>
      </c>
      <c r="F31746">
        <v>8.5062847992281693E-9</v>
      </c>
      <c r="G31746">
        <v>8833809</v>
      </c>
      <c r="H31746">
        <v>14074957</v>
      </c>
      <c r="I31746">
        <v>2923552</v>
      </c>
      <c r="J31746">
        <v>6</v>
      </c>
    </row>
    <row r="31747" spans="1:10" x14ac:dyDescent="0.25">
      <c r="A31747" t="s">
        <v>357</v>
      </c>
      <c r="B31747" s="1" t="str">
        <f>HYPERLINK("http://defstar.jp","defstar.jp")</f>
        <v>defstar.jp</v>
      </c>
      <c r="C31747" t="s">
        <v>461</v>
      </c>
      <c r="D31747" t="s">
        <v>837</v>
      </c>
      <c r="F31747">
        <v>6.0033293730579003E-9</v>
      </c>
      <c r="G31747">
        <v>16662799</v>
      </c>
      <c r="H31747">
        <v>13258271</v>
      </c>
      <c r="I31747">
        <v>11047696</v>
      </c>
      <c r="J31747">
        <v>4</v>
      </c>
    </row>
    <row r="31748" spans="1:10" x14ac:dyDescent="0.25">
      <c r="A31748" t="s">
        <v>357</v>
      </c>
      <c r="B31748" s="1" t="str">
        <f>HYPERLINK("http://dengekibunko.jp","dengekibunko.jp")</f>
        <v>dengekibunko.jp</v>
      </c>
      <c r="C31748" t="s">
        <v>461</v>
      </c>
      <c r="D31748" t="s">
        <v>837</v>
      </c>
      <c r="E31748">
        <v>290532</v>
      </c>
      <c r="F31748">
        <v>1.4928228583790101E-7</v>
      </c>
      <c r="G31748">
        <v>260296</v>
      </c>
      <c r="H31748">
        <v>14667169</v>
      </c>
      <c r="I31748">
        <v>616320</v>
      </c>
      <c r="J31748">
        <v>8</v>
      </c>
    </row>
    <row r="31749" spans="1:10" x14ac:dyDescent="0.25">
      <c r="A31749" t="s">
        <v>357</v>
      </c>
      <c r="B31749" s="1" t="str">
        <f>HYPERLINK("http://dwango.jp","dwango.jp")</f>
        <v>dwango.jp</v>
      </c>
      <c r="C31749" t="s">
        <v>461</v>
      </c>
      <c r="D31749" t="s">
        <v>837</v>
      </c>
      <c r="E31749">
        <v>123249</v>
      </c>
      <c r="F31749">
        <v>3.7150204646000699E-7</v>
      </c>
      <c r="G31749">
        <v>100803</v>
      </c>
      <c r="H31749">
        <v>17105204</v>
      </c>
      <c r="I31749">
        <v>62893</v>
      </c>
      <c r="J31749">
        <v>9</v>
      </c>
    </row>
    <row r="31750" spans="1:10" x14ac:dyDescent="0.25">
      <c r="A31750" t="s">
        <v>357</v>
      </c>
      <c r="B31750" s="1" t="str">
        <f>HYPERLINK("http://engi-st.jp","engi-st.jp")</f>
        <v>engi-st.jp</v>
      </c>
      <c r="C31750" t="s">
        <v>461</v>
      </c>
      <c r="D31750" t="s">
        <v>837</v>
      </c>
      <c r="F31750">
        <v>8.3780722113218796E-9</v>
      </c>
      <c r="G31750">
        <v>9088339</v>
      </c>
      <c r="H31750">
        <v>14096363</v>
      </c>
      <c r="I31750">
        <v>2725352</v>
      </c>
      <c r="J31750">
        <v>8</v>
      </c>
    </row>
    <row r="31751" spans="1:10" x14ac:dyDescent="0.25">
      <c r="A31751" t="s">
        <v>357</v>
      </c>
      <c r="B31751" s="1" t="str">
        <f>HYPERLINK("http://famitsubunko.jp","famitsubunko.jp")</f>
        <v>famitsubunko.jp</v>
      </c>
      <c r="C31751" t="s">
        <v>461</v>
      </c>
      <c r="D31751" t="s">
        <v>837</v>
      </c>
      <c r="F31751">
        <v>4.8276319393655301E-8</v>
      </c>
      <c r="G31751">
        <v>962227</v>
      </c>
      <c r="H31751">
        <v>14092753</v>
      </c>
      <c r="I31751">
        <v>2738301</v>
      </c>
      <c r="J31751">
        <v>7</v>
      </c>
    </row>
    <row r="31752" spans="1:10" x14ac:dyDescent="0.25">
      <c r="A31752" t="s">
        <v>357</v>
      </c>
      <c r="B31752" s="1" t="str">
        <f>HYPERLINK("http://fantasiabunko.jp","fantasiabunko.jp")</f>
        <v>fantasiabunko.jp</v>
      </c>
      <c r="C31752" t="s">
        <v>461</v>
      </c>
      <c r="D31752" t="s">
        <v>837</v>
      </c>
      <c r="E31752">
        <v>545143</v>
      </c>
      <c r="F31752">
        <v>7.6988824076832796E-8</v>
      </c>
      <c r="G31752">
        <v>544155</v>
      </c>
      <c r="H31752">
        <v>14380235</v>
      </c>
      <c r="I31752">
        <v>1195760</v>
      </c>
      <c r="J31752">
        <v>8</v>
      </c>
    </row>
    <row r="31753" spans="1:10" x14ac:dyDescent="0.25">
      <c r="A31753" t="s">
        <v>357</v>
      </c>
      <c r="B31753" s="1" t="str">
        <f>HYPERLINK("http://fromsoftware.jp","fromsoftware.jp")</f>
        <v>fromsoftware.jp</v>
      </c>
      <c r="C31753" t="s">
        <v>461</v>
      </c>
      <c r="D31753" t="s">
        <v>837</v>
      </c>
      <c r="E31753">
        <v>104657</v>
      </c>
      <c r="F31753">
        <v>6.6750674185961304E-7</v>
      </c>
      <c r="G31753">
        <v>57697</v>
      </c>
      <c r="H31753">
        <v>17330776</v>
      </c>
      <c r="I31753">
        <v>24826</v>
      </c>
      <c r="J31753">
        <v>4</v>
      </c>
    </row>
    <row r="31754" spans="1:10" x14ac:dyDescent="0.25">
      <c r="A31754" t="s">
        <v>357</v>
      </c>
      <c r="B31754" s="1" t="str">
        <f>HYPERLINK("http://fujimishobo.jp","fujimishobo.jp")</f>
        <v>fujimishobo.jp</v>
      </c>
      <c r="C31754" t="s">
        <v>461</v>
      </c>
      <c r="D31754" t="s">
        <v>837</v>
      </c>
      <c r="F31754">
        <v>6.1884820637105397E-9</v>
      </c>
      <c r="G31754">
        <v>15596500</v>
      </c>
      <c r="H31754">
        <v>14094054</v>
      </c>
      <c r="I31754">
        <v>2733549</v>
      </c>
      <c r="J31754">
        <v>8</v>
      </c>
    </row>
    <row r="31755" spans="1:10" x14ac:dyDescent="0.25">
      <c r="A31755" t="s">
        <v>357</v>
      </c>
      <c r="B31755" s="1" t="str">
        <f>HYPERLINK("http://hanayashiki.jp","hanayashiki.jp")</f>
        <v>hanayashiki.jp</v>
      </c>
      <c r="C31755" t="s">
        <v>461</v>
      </c>
      <c r="D31755" t="s">
        <v>837</v>
      </c>
      <c r="F31755">
        <v>1.0271446785788E-8</v>
      </c>
      <c r="G31755">
        <v>6478008</v>
      </c>
      <c r="H31755">
        <v>14071856</v>
      </c>
      <c r="I31755">
        <v>3293310</v>
      </c>
      <c r="J31755">
        <v>8</v>
      </c>
    </row>
    <row r="31756" spans="1:10" x14ac:dyDescent="0.25">
      <c r="A31756" t="s">
        <v>357</v>
      </c>
      <c r="B31756" s="1" t="str">
        <f>HYPERLINK("http://kadokawa.jp","kadokawa.jp")</f>
        <v>kadokawa.jp</v>
      </c>
      <c r="C31756" t="s">
        <v>461</v>
      </c>
      <c r="D31756" t="s">
        <v>837</v>
      </c>
      <c r="E31756">
        <v>112119</v>
      </c>
      <c r="F31756">
        <v>8.0627172965214994E-8</v>
      </c>
      <c r="G31756">
        <v>517927</v>
      </c>
      <c r="H31756">
        <v>16963738</v>
      </c>
      <c r="I31756">
        <v>104545</v>
      </c>
      <c r="J31756">
        <v>6</v>
      </c>
    </row>
    <row r="31757" spans="1:10" x14ac:dyDescent="0.25">
      <c r="A31757" t="s">
        <v>357</v>
      </c>
      <c r="B31757" s="1" t="str">
        <f>HYPERLINK("http://lantis.jp","lantis.jp")</f>
        <v>lantis.jp</v>
      </c>
      <c r="C31757" t="s">
        <v>461</v>
      </c>
      <c r="D31757" t="s">
        <v>837</v>
      </c>
      <c r="E31757">
        <v>214271</v>
      </c>
      <c r="F31757">
        <v>3.3362606119143501E-7</v>
      </c>
      <c r="G31757">
        <v>111720</v>
      </c>
      <c r="H31757">
        <v>14766649</v>
      </c>
      <c r="I31757">
        <v>558839</v>
      </c>
      <c r="J31757">
        <v>7</v>
      </c>
    </row>
    <row r="31758" spans="1:10" x14ac:dyDescent="0.25">
      <c r="A31758" t="s">
        <v>357</v>
      </c>
      <c r="B31758" s="1" t="str">
        <f>HYPERLINK("http://m-on.jp","m-on.jp")</f>
        <v>m-on.jp</v>
      </c>
      <c r="C31758" t="s">
        <v>461</v>
      </c>
      <c r="D31758" t="s">
        <v>837</v>
      </c>
      <c r="E31758">
        <v>268549</v>
      </c>
      <c r="F31758">
        <v>1.56806020425471E-7</v>
      </c>
      <c r="G31758">
        <v>247688</v>
      </c>
      <c r="H31758">
        <v>14616376</v>
      </c>
      <c r="I31758">
        <v>665113</v>
      </c>
      <c r="J31758">
        <v>4</v>
      </c>
    </row>
    <row r="31759" spans="1:10" x14ac:dyDescent="0.25">
      <c r="A31759" t="s">
        <v>357</v>
      </c>
      <c r="B31759" s="1" t="str">
        <f>HYPERLINK("http://mediafactory.jp","mediafactory.jp")</f>
        <v>mediafactory.jp</v>
      </c>
      <c r="C31759" t="s">
        <v>461</v>
      </c>
      <c r="D31759" t="s">
        <v>837</v>
      </c>
      <c r="F31759">
        <v>2.4199264985798999E-7</v>
      </c>
      <c r="G31759">
        <v>154596</v>
      </c>
      <c r="H31759">
        <v>15049532</v>
      </c>
      <c r="I31759">
        <v>414718</v>
      </c>
      <c r="J31759">
        <v>8</v>
      </c>
    </row>
    <row r="31760" spans="1:10" x14ac:dyDescent="0.25">
      <c r="A31760" t="s">
        <v>357</v>
      </c>
      <c r="B31760" s="1" t="str">
        <f>HYPERLINK("http://so-net.ne.jp","so-net.ne.jp")</f>
        <v>so-net.ne.jp</v>
      </c>
      <c r="C31760" t="s">
        <v>461</v>
      </c>
      <c r="D31760" t="s">
        <v>837</v>
      </c>
      <c r="E31760">
        <v>1840</v>
      </c>
      <c r="F31760">
        <v>4.3471265151638704E-6</v>
      </c>
      <c r="G31760">
        <v>8153</v>
      </c>
      <c r="H31760">
        <v>17838168</v>
      </c>
      <c r="I31760">
        <v>5124</v>
      </c>
      <c r="J31760">
        <v>2</v>
      </c>
    </row>
    <row r="31761" spans="1:10" x14ac:dyDescent="0.25">
      <c r="A31761" t="s">
        <v>357</v>
      </c>
      <c r="B31761" s="1" t="str">
        <f>HYPERLINK("http://nuro.jp","nuro.jp")</f>
        <v>nuro.jp</v>
      </c>
      <c r="C31761" t="s">
        <v>461</v>
      </c>
      <c r="D31761" t="s">
        <v>837</v>
      </c>
      <c r="E31761">
        <v>6168</v>
      </c>
      <c r="F31761">
        <v>3.6405147067120899E-7</v>
      </c>
      <c r="G31761">
        <v>102736</v>
      </c>
      <c r="H31761">
        <v>15021551</v>
      </c>
      <c r="I31761">
        <v>420636</v>
      </c>
      <c r="J31761">
        <v>2</v>
      </c>
    </row>
    <row r="31762" spans="1:10" x14ac:dyDescent="0.25">
      <c r="A31762" t="s">
        <v>357</v>
      </c>
      <c r="B31762" s="1" t="str">
        <f>HYPERLINK("http://channel.or.jp","channel.or.jp")</f>
        <v>channel.or.jp</v>
      </c>
      <c r="C31762" t="s">
        <v>461</v>
      </c>
      <c r="D31762" t="s">
        <v>837</v>
      </c>
      <c r="E31762">
        <v>10570</v>
      </c>
      <c r="F31762">
        <v>6.5584118772640301E-7</v>
      </c>
      <c r="G31762">
        <v>58709</v>
      </c>
      <c r="H31762">
        <v>15621368</v>
      </c>
      <c r="I31762">
        <v>371472</v>
      </c>
      <c r="J31762">
        <v>7</v>
      </c>
    </row>
    <row r="31763" spans="1:10" x14ac:dyDescent="0.25">
      <c r="A31763" t="s">
        <v>357</v>
      </c>
      <c r="B31763" s="1" t="str">
        <f>HYPERLINK("http://playstation.jp","playstation.jp")</f>
        <v>playstation.jp</v>
      </c>
      <c r="C31763" t="s">
        <v>461</v>
      </c>
      <c r="D31763" t="s">
        <v>837</v>
      </c>
      <c r="E31763">
        <v>410787</v>
      </c>
      <c r="F31763">
        <v>6.2003302788350994E-8</v>
      </c>
      <c r="G31763">
        <v>709172</v>
      </c>
      <c r="H31763">
        <v>14419822</v>
      </c>
      <c r="I31763">
        <v>1090884</v>
      </c>
      <c r="J31763">
        <v>4</v>
      </c>
    </row>
    <row r="31764" spans="1:10" x14ac:dyDescent="0.25">
      <c r="A31764" t="s">
        <v>357</v>
      </c>
      <c r="B31764" s="1" t="str">
        <f>HYPERLINK("http://sacramusic.jp","sacramusic.jp")</f>
        <v>sacramusic.jp</v>
      </c>
      <c r="C31764" t="s">
        <v>461</v>
      </c>
      <c r="D31764" t="s">
        <v>837</v>
      </c>
      <c r="F31764">
        <v>2.3217958229101402E-8</v>
      </c>
      <c r="G31764">
        <v>2247598</v>
      </c>
      <c r="H31764">
        <v>14087217</v>
      </c>
      <c r="I31764">
        <v>2765012</v>
      </c>
      <c r="J31764">
        <v>6</v>
      </c>
    </row>
    <row r="31765" spans="1:10" x14ac:dyDescent="0.25">
      <c r="A31765" t="s">
        <v>357</v>
      </c>
      <c r="B31765" s="1" t="str">
        <f>HYPERLINK("http://sneakerbunko.jp","sneakerbunko.jp")</f>
        <v>sneakerbunko.jp</v>
      </c>
      <c r="C31765" t="s">
        <v>461</v>
      </c>
      <c r="D31765" t="s">
        <v>837</v>
      </c>
      <c r="E31765">
        <v>619214</v>
      </c>
      <c r="F31765">
        <v>1.03959850874875E-7</v>
      </c>
      <c r="G31765">
        <v>385776</v>
      </c>
      <c r="H31765">
        <v>14649667</v>
      </c>
      <c r="I31765">
        <v>628316</v>
      </c>
      <c r="J31765">
        <v>6</v>
      </c>
    </row>
    <row r="31766" spans="1:10" x14ac:dyDescent="0.25">
      <c r="A31766" t="s">
        <v>357</v>
      </c>
      <c r="B31766" s="1" t="str">
        <f>HYPERLINK("http://sony.jp","sony.jp")</f>
        <v>sony.jp</v>
      </c>
      <c r="C31766" t="s">
        <v>461</v>
      </c>
      <c r="D31766" t="s">
        <v>837</v>
      </c>
      <c r="E31766">
        <v>11687</v>
      </c>
      <c r="F31766">
        <v>4.1694264699884803E-6</v>
      </c>
      <c r="G31766">
        <v>8676</v>
      </c>
      <c r="H31766">
        <v>18007912</v>
      </c>
      <c r="I31766">
        <v>3636</v>
      </c>
      <c r="J31766">
        <v>2</v>
      </c>
    </row>
    <row r="31767" spans="1:10" x14ac:dyDescent="0.25">
      <c r="A31767" t="s">
        <v>357</v>
      </c>
      <c r="B31767" s="1" t="str">
        <f>HYPERLINK("http://sonymobile.jp","sonymobile.jp")</f>
        <v>sonymobile.jp</v>
      </c>
      <c r="C31767" t="s">
        <v>461</v>
      </c>
      <c r="D31767" t="s">
        <v>837</v>
      </c>
      <c r="F31767">
        <v>1.2811089756099901E-8</v>
      </c>
      <c r="G31767">
        <v>4723166</v>
      </c>
      <c r="H31767">
        <v>13796227</v>
      </c>
      <c r="I31767">
        <v>6304854</v>
      </c>
      <c r="J31767">
        <v>6</v>
      </c>
    </row>
    <row r="31768" spans="1:10" x14ac:dyDescent="0.25">
      <c r="A31768" t="s">
        <v>357</v>
      </c>
      <c r="B31768" s="1" t="str">
        <f>HYPERLINK("http://sonypcl.jp","sonypcl.jp")</f>
        <v>sonypcl.jp</v>
      </c>
      <c r="C31768" t="s">
        <v>461</v>
      </c>
      <c r="D31768" t="s">
        <v>837</v>
      </c>
      <c r="F31768">
        <v>5.6280195122371198E-8</v>
      </c>
      <c r="G31768">
        <v>795073</v>
      </c>
      <c r="H31768">
        <v>14481988</v>
      </c>
      <c r="I31768">
        <v>1023955</v>
      </c>
      <c r="J31768">
        <v>5</v>
      </c>
    </row>
    <row r="31769" spans="1:10" x14ac:dyDescent="0.25">
      <c r="A31769" t="s">
        <v>357</v>
      </c>
      <c r="B31769" s="1" t="str">
        <f>HYPERLINK("http://sonypictures.jp","sonypictures.jp")</f>
        <v>sonypictures.jp</v>
      </c>
      <c r="C31769" t="s">
        <v>461</v>
      </c>
      <c r="D31769" t="s">
        <v>837</v>
      </c>
      <c r="E31769">
        <v>163906</v>
      </c>
      <c r="F31769">
        <v>5.0921109745523696E-7</v>
      </c>
      <c r="G31769">
        <v>75236</v>
      </c>
      <c r="H31769">
        <v>14995723</v>
      </c>
      <c r="I31769">
        <v>426873</v>
      </c>
      <c r="J31769">
        <v>3</v>
      </c>
    </row>
    <row r="31770" spans="1:10" x14ac:dyDescent="0.25">
      <c r="A31770" t="s">
        <v>357</v>
      </c>
      <c r="B31770" s="1" t="str">
        <f>HYPERLINK("http://sotsu-co.jp","sotsu-co.jp")</f>
        <v>sotsu-co.jp</v>
      </c>
      <c r="C31770" t="s">
        <v>461</v>
      </c>
      <c r="D31770" t="s">
        <v>837</v>
      </c>
      <c r="F31770">
        <v>1.2683953508324899E-8</v>
      </c>
      <c r="G31770">
        <v>4787706</v>
      </c>
      <c r="H31770">
        <v>14271787</v>
      </c>
      <c r="I31770">
        <v>1396205</v>
      </c>
      <c r="J31770">
        <v>6</v>
      </c>
    </row>
    <row r="31771" spans="1:10" x14ac:dyDescent="0.25">
      <c r="A31771" t="s">
        <v>357</v>
      </c>
      <c r="B31771" s="1" t="str">
        <f>HYPERLINK("http://vee-official.jp","vee-official.jp")</f>
        <v>vee-official.jp</v>
      </c>
      <c r="C31771" t="s">
        <v>461</v>
      </c>
      <c r="D31771" t="s">
        <v>837</v>
      </c>
      <c r="F31771">
        <v>1.0546371948404001E-8</v>
      </c>
      <c r="G31771">
        <v>6230030</v>
      </c>
      <c r="H31771">
        <v>12750796</v>
      </c>
      <c r="I31771">
        <v>15045985</v>
      </c>
      <c r="J31771">
        <v>5</v>
      </c>
    </row>
    <row r="31772" spans="1:10" x14ac:dyDescent="0.25">
      <c r="A31772" t="s">
        <v>357</v>
      </c>
      <c r="B31772" s="1" t="str">
        <f>HYPERLINK("http://playstation.co.kr","playstation.co.kr")</f>
        <v>playstation.co.kr</v>
      </c>
      <c r="C31772" t="s">
        <v>463</v>
      </c>
      <c r="D31772" t="s">
        <v>839</v>
      </c>
      <c r="F31772">
        <v>6.0312186783070396E-8</v>
      </c>
      <c r="G31772">
        <v>731356</v>
      </c>
      <c r="H31772">
        <v>14455469</v>
      </c>
      <c r="I31772">
        <v>1049881</v>
      </c>
      <c r="J31772">
        <v>4</v>
      </c>
    </row>
    <row r="31773" spans="1:10" x14ac:dyDescent="0.25">
      <c r="A31773" t="s">
        <v>357</v>
      </c>
      <c r="B31773" s="1" t="str">
        <f>HYPERLINK("http://sony.co.kr","sony.co.kr")</f>
        <v>sony.co.kr</v>
      </c>
      <c r="C31773" t="s">
        <v>463</v>
      </c>
      <c r="D31773" t="s">
        <v>839</v>
      </c>
      <c r="E31773">
        <v>194961</v>
      </c>
      <c r="F31773">
        <v>2.4354812906268099E-7</v>
      </c>
      <c r="G31773">
        <v>153621</v>
      </c>
      <c r="H31773">
        <v>14450250</v>
      </c>
      <c r="I31773">
        <v>1053431</v>
      </c>
      <c r="J31773">
        <v>2</v>
      </c>
    </row>
    <row r="31774" spans="1:10" x14ac:dyDescent="0.25">
      <c r="A31774" t="s">
        <v>357</v>
      </c>
      <c r="B31774" s="1" t="str">
        <f>HYPERLINK("http://sony.kz","sony.kz")</f>
        <v>sony.kz</v>
      </c>
      <c r="C31774" t="s">
        <v>465</v>
      </c>
      <c r="D31774" t="s">
        <v>841</v>
      </c>
      <c r="F31774">
        <v>5.4111179031889303E-8</v>
      </c>
      <c r="G31774">
        <v>836109</v>
      </c>
      <c r="H31774">
        <v>12750260</v>
      </c>
      <c r="I31774">
        <v>15049210</v>
      </c>
      <c r="J31774">
        <v>3</v>
      </c>
    </row>
    <row r="31775" spans="1:10" x14ac:dyDescent="0.25">
      <c r="A31775" t="s">
        <v>357</v>
      </c>
      <c r="B31775" s="1" t="str">
        <f>HYPERLINK("http://olympus.lt","olympus.lt")</f>
        <v>olympus.lt</v>
      </c>
      <c r="C31775" t="s">
        <v>467</v>
      </c>
      <c r="D31775" t="s">
        <v>843</v>
      </c>
      <c r="F31775">
        <v>3.6613501717191997E-8</v>
      </c>
      <c r="G31775">
        <v>1426689</v>
      </c>
      <c r="H31775">
        <v>12378782</v>
      </c>
      <c r="I31775">
        <v>19236928</v>
      </c>
      <c r="J31775">
        <v>5</v>
      </c>
    </row>
    <row r="31776" spans="1:10" x14ac:dyDescent="0.25">
      <c r="A31776" t="s">
        <v>357</v>
      </c>
      <c r="B31776" s="1" t="str">
        <f>HYPERLINK("http://sony.lt","sony.lt")</f>
        <v>sony.lt</v>
      </c>
      <c r="C31776" t="s">
        <v>467</v>
      </c>
      <c r="D31776" t="s">
        <v>843</v>
      </c>
      <c r="F31776">
        <v>6.6073964695905503E-8</v>
      </c>
      <c r="G31776">
        <v>649444</v>
      </c>
      <c r="H31776">
        <v>12856215</v>
      </c>
      <c r="I31776">
        <v>14225223</v>
      </c>
      <c r="J31776">
        <v>2</v>
      </c>
    </row>
    <row r="31777" spans="1:10" x14ac:dyDescent="0.25">
      <c r="A31777" t="s">
        <v>357</v>
      </c>
      <c r="B31777" s="1" t="str">
        <f>HYPERLINK("http://olympus.lu","olympus.lu")</f>
        <v>olympus.lu</v>
      </c>
      <c r="C31777" t="s">
        <v>547</v>
      </c>
      <c r="D31777" t="s">
        <v>904</v>
      </c>
      <c r="F31777">
        <v>2.1349677184004099E-8</v>
      </c>
      <c r="G31777">
        <v>2468000</v>
      </c>
      <c r="H31777">
        <v>11133713</v>
      </c>
      <c r="I31777">
        <v>31908711</v>
      </c>
      <c r="J31777">
        <v>6</v>
      </c>
    </row>
    <row r="31778" spans="1:10" x14ac:dyDescent="0.25">
      <c r="A31778" t="s">
        <v>357</v>
      </c>
      <c r="B31778" s="1" t="str">
        <f>HYPERLINK("http://sony.lu","sony.lu")</f>
        <v>sony.lu</v>
      </c>
      <c r="C31778" t="s">
        <v>547</v>
      </c>
      <c r="D31778" t="s">
        <v>904</v>
      </c>
      <c r="F31778">
        <v>1.3448778877003001E-7</v>
      </c>
      <c r="G31778">
        <v>290269</v>
      </c>
      <c r="H31778">
        <v>13793156</v>
      </c>
      <c r="I31778">
        <v>6324285</v>
      </c>
      <c r="J31778">
        <v>2</v>
      </c>
    </row>
    <row r="31779" spans="1:10" x14ac:dyDescent="0.25">
      <c r="A31779" t="s">
        <v>357</v>
      </c>
      <c r="B31779" s="1" t="str">
        <f>HYPERLINK("http://olympus.lv","olympus.lv")</f>
        <v>olympus.lv</v>
      </c>
      <c r="C31779" t="s">
        <v>468</v>
      </c>
      <c r="D31779" t="s">
        <v>844</v>
      </c>
      <c r="F31779">
        <v>3.2920470617606798E-8</v>
      </c>
      <c r="G31779">
        <v>1569508</v>
      </c>
      <c r="H31779">
        <v>13934383</v>
      </c>
      <c r="I31779">
        <v>4602505</v>
      </c>
      <c r="J31779">
        <v>5</v>
      </c>
    </row>
    <row r="31780" spans="1:10" x14ac:dyDescent="0.25">
      <c r="A31780" t="s">
        <v>357</v>
      </c>
      <c r="B31780" s="1" t="str">
        <f>HYPERLINK("http://sony.com.mk","sony.com.mk")</f>
        <v>sony.com.mk</v>
      </c>
      <c r="C31780" t="s">
        <v>531</v>
      </c>
      <c r="D31780" t="s">
        <v>895</v>
      </c>
      <c r="F31780">
        <v>5.1730728918086499E-8</v>
      </c>
      <c r="G31780">
        <v>883558</v>
      </c>
      <c r="H31780">
        <v>12693987</v>
      </c>
      <c r="I31780">
        <v>15392618</v>
      </c>
      <c r="J31780">
        <v>2</v>
      </c>
    </row>
    <row r="31781" spans="1:10" x14ac:dyDescent="0.25">
      <c r="A31781" t="s">
        <v>357</v>
      </c>
      <c r="B31781" s="1" t="str">
        <f>HYPERLINK("http://sonysonpo.mobi","sonysonpo.mobi")</f>
        <v>sonysonpo.mobi</v>
      </c>
      <c r="C31781" t="s">
        <v>532</v>
      </c>
      <c r="F31781">
        <v>5.4655280431510802E-9</v>
      </c>
      <c r="G31781">
        <v>21295391</v>
      </c>
      <c r="H31781">
        <v>12137799</v>
      </c>
      <c r="I31781">
        <v>24928890</v>
      </c>
      <c r="J31781">
        <v>4</v>
      </c>
    </row>
    <row r="31782" spans="1:10" x14ac:dyDescent="0.25">
      <c r="A31782" t="s">
        <v>357</v>
      </c>
      <c r="B31782" s="1" t="str">
        <f>HYPERLINK("http://bandai.com.mx","bandai.com.mx")</f>
        <v>bandai.com.mx</v>
      </c>
      <c r="C31782" t="s">
        <v>471</v>
      </c>
      <c r="D31782" t="s">
        <v>847</v>
      </c>
      <c r="F31782">
        <v>6.5471291509852801E-9</v>
      </c>
      <c r="G31782">
        <v>13884458</v>
      </c>
      <c r="H31782">
        <v>12362458</v>
      </c>
      <c r="I31782">
        <v>19540771</v>
      </c>
      <c r="J31782">
        <v>8</v>
      </c>
    </row>
    <row r="31783" spans="1:10" x14ac:dyDescent="0.25">
      <c r="A31783" t="s">
        <v>357</v>
      </c>
      <c r="B31783" s="1" t="str">
        <f>HYPERLINK("http://sony.com.mx","sony.com.mx")</f>
        <v>sony.com.mx</v>
      </c>
      <c r="C31783" t="s">
        <v>471</v>
      </c>
      <c r="D31783" t="s">
        <v>847</v>
      </c>
      <c r="E31783">
        <v>191812</v>
      </c>
      <c r="F31783">
        <v>1.52004590201542E-7</v>
      </c>
      <c r="G31783">
        <v>255518</v>
      </c>
      <c r="H31783">
        <v>14501387</v>
      </c>
      <c r="I31783">
        <v>849860</v>
      </c>
      <c r="J31783">
        <v>2</v>
      </c>
    </row>
    <row r="31784" spans="1:10" x14ac:dyDescent="0.25">
      <c r="A31784" t="s">
        <v>357</v>
      </c>
      <c r="B31784" s="1" t="str">
        <f>HYPERLINK("http://sonymusic.com.mx","sonymusic.com.mx")</f>
        <v>sonymusic.com.mx</v>
      </c>
      <c r="C31784" t="s">
        <v>471</v>
      </c>
      <c r="D31784" t="s">
        <v>847</v>
      </c>
      <c r="F31784">
        <v>1.5756060322582802E-8</v>
      </c>
      <c r="G31784">
        <v>3611829</v>
      </c>
      <c r="H31784">
        <v>14294216</v>
      </c>
      <c r="I31784">
        <v>1362204</v>
      </c>
      <c r="J31784">
        <v>5</v>
      </c>
    </row>
    <row r="31785" spans="1:10" x14ac:dyDescent="0.25">
      <c r="A31785" t="s">
        <v>357</v>
      </c>
      <c r="B31785" s="1" t="str">
        <f>HYPERLINK("http://sonypictures.com.mx","sonypictures.com.mx")</f>
        <v>sonypictures.com.mx</v>
      </c>
      <c r="C31785" t="s">
        <v>471</v>
      </c>
      <c r="D31785" t="s">
        <v>847</v>
      </c>
      <c r="F31785">
        <v>3.4752147365411499E-8</v>
      </c>
      <c r="G31785">
        <v>1493737</v>
      </c>
      <c r="H31785">
        <v>14505072</v>
      </c>
      <c r="I31785">
        <v>837407</v>
      </c>
      <c r="J31785">
        <v>4</v>
      </c>
    </row>
    <row r="31786" spans="1:10" x14ac:dyDescent="0.25">
      <c r="A31786" t="s">
        <v>357</v>
      </c>
      <c r="B31786" s="1" t="str">
        <f>HYPERLINK("http://bandainamcostudios.my","bandainamcostudios.my")</f>
        <v>bandainamcostudios.my</v>
      </c>
      <c r="C31786" t="s">
        <v>472</v>
      </c>
      <c r="D31786" t="s">
        <v>848</v>
      </c>
      <c r="F31786">
        <v>8.7355923309322208E-9</v>
      </c>
      <c r="G31786">
        <v>8417215</v>
      </c>
      <c r="H31786">
        <v>14071797</v>
      </c>
      <c r="I31786">
        <v>3327984</v>
      </c>
      <c r="J31786">
        <v>6</v>
      </c>
    </row>
    <row r="31787" spans="1:10" x14ac:dyDescent="0.25">
      <c r="A31787" t="s">
        <v>357</v>
      </c>
      <c r="B31787" s="1" t="str">
        <f>HYPERLINK("http://sony.com.my","sony.com.my")</f>
        <v>sony.com.my</v>
      </c>
      <c r="C31787" t="s">
        <v>472</v>
      </c>
      <c r="D31787" t="s">
        <v>848</v>
      </c>
      <c r="E31787">
        <v>237762</v>
      </c>
      <c r="F31787">
        <v>1.2842081331666101E-7</v>
      </c>
      <c r="G31787">
        <v>305338</v>
      </c>
      <c r="H31787">
        <v>14508236</v>
      </c>
      <c r="I31787">
        <v>828875</v>
      </c>
      <c r="J31787">
        <v>2</v>
      </c>
    </row>
    <row r="31788" spans="1:10" x14ac:dyDescent="0.25">
      <c r="A31788" t="s">
        <v>357</v>
      </c>
      <c r="B31788" s="1" t="str">
        <f>HYPERLINK("http://sonypictures.my","sonypictures.my")</f>
        <v>sonypictures.my</v>
      </c>
      <c r="C31788" t="s">
        <v>472</v>
      </c>
      <c r="D31788" t="s">
        <v>848</v>
      </c>
      <c r="F31788">
        <v>2.7802733199799801E-8</v>
      </c>
      <c r="G31788">
        <v>1849656</v>
      </c>
      <c r="H31788">
        <v>13764310</v>
      </c>
      <c r="I31788">
        <v>7300293</v>
      </c>
      <c r="J31788">
        <v>4</v>
      </c>
    </row>
    <row r="31789" spans="1:10" x14ac:dyDescent="0.25">
      <c r="A31789" t="s">
        <v>357</v>
      </c>
      <c r="B31789" s="1" t="str">
        <f>HYPERLINK("http://aikatsu.net","aikatsu.net")</f>
        <v>aikatsu.net</v>
      </c>
      <c r="C31789" t="s">
        <v>474</v>
      </c>
      <c r="E31789">
        <v>732905</v>
      </c>
      <c r="F31789">
        <v>7.2652926719666501E-8</v>
      </c>
      <c r="G31789">
        <v>580716</v>
      </c>
      <c r="H31789">
        <v>14593711</v>
      </c>
      <c r="I31789">
        <v>692154</v>
      </c>
      <c r="J31789">
        <v>11</v>
      </c>
    </row>
    <row r="31790" spans="1:10" x14ac:dyDescent="0.25">
      <c r="A31790" t="s">
        <v>357</v>
      </c>
      <c r="B31790" s="1" t="str">
        <f>HYPERLINK("http://bn-ent.net","bn-ent.net")</f>
        <v>bn-ent.net</v>
      </c>
      <c r="C31790" t="s">
        <v>474</v>
      </c>
      <c r="E31790">
        <v>50435</v>
      </c>
      <c r="F31790">
        <v>7.2701895594142601E-7</v>
      </c>
      <c r="G31790">
        <v>53445</v>
      </c>
      <c r="H31790">
        <v>15591422</v>
      </c>
      <c r="I31790">
        <v>372707</v>
      </c>
      <c r="J31790">
        <v>6</v>
      </c>
    </row>
    <row r="31791" spans="1:10" x14ac:dyDescent="0.25">
      <c r="A31791" t="s">
        <v>357</v>
      </c>
      <c r="B31791" s="1" t="str">
        <f>HYPERLINK("http://bungie.net","bungie.net")</f>
        <v>bungie.net</v>
      </c>
      <c r="C31791" t="s">
        <v>474</v>
      </c>
      <c r="E31791">
        <v>6777</v>
      </c>
      <c r="F31791">
        <v>1.82378960463564E-6</v>
      </c>
      <c r="G31791">
        <v>20783</v>
      </c>
      <c r="H31791">
        <v>17889608</v>
      </c>
      <c r="I31791">
        <v>4566</v>
      </c>
      <c r="J31791">
        <v>4</v>
      </c>
    </row>
    <row r="31792" spans="1:10" x14ac:dyDescent="0.25">
      <c r="A31792" t="s">
        <v>357</v>
      </c>
      <c r="B31792" s="1" t="str">
        <f>HYPERLINK("http://epic-jp.net","epic-jp.net")</f>
        <v>epic-jp.net</v>
      </c>
      <c r="C31792" t="s">
        <v>474</v>
      </c>
      <c r="F31792">
        <v>8.7613894725233695E-9</v>
      </c>
      <c r="G31792">
        <v>8373382</v>
      </c>
      <c r="H31792">
        <v>14378802</v>
      </c>
      <c r="I31792">
        <v>1202241</v>
      </c>
      <c r="J31792">
        <v>4</v>
      </c>
    </row>
    <row r="31793" spans="1:10" x14ac:dyDescent="0.25">
      <c r="A31793" t="s">
        <v>357</v>
      </c>
      <c r="B31793" s="1" t="str">
        <f>HYPERLINK("http://gaumont.net","gaumont.net")</f>
        <v>gaumont.net</v>
      </c>
      <c r="C31793" t="s">
        <v>474</v>
      </c>
      <c r="F31793">
        <v>2.1762819272198001E-8</v>
      </c>
      <c r="G31793">
        <v>2415771</v>
      </c>
      <c r="H31793">
        <v>14393965</v>
      </c>
      <c r="I31793">
        <v>1162601</v>
      </c>
      <c r="J31793">
        <v>4</v>
      </c>
    </row>
    <row r="31794" spans="1:10" x14ac:dyDescent="0.25">
      <c r="A31794" t="s">
        <v>357</v>
      </c>
      <c r="B31794" s="1" t="str">
        <f>HYPERLINK("http://hanayashiki.net","hanayashiki.net")</f>
        <v>hanayashiki.net</v>
      </c>
      <c r="C31794" t="s">
        <v>474</v>
      </c>
      <c r="E31794">
        <v>411357</v>
      </c>
      <c r="F31794">
        <v>7.7766508744665402E-8</v>
      </c>
      <c r="G31794">
        <v>538080</v>
      </c>
      <c r="H31794">
        <v>14310715</v>
      </c>
      <c r="I31794">
        <v>1341835</v>
      </c>
      <c r="J31794">
        <v>7</v>
      </c>
    </row>
    <row r="31795" spans="1:10" x14ac:dyDescent="0.25">
      <c r="A31795" t="s">
        <v>357</v>
      </c>
      <c r="B31795" s="1" t="str">
        <f>HYPERLINK("http://moneykit.net","moneykit.net")</f>
        <v>moneykit.net</v>
      </c>
      <c r="C31795" t="s">
        <v>474</v>
      </c>
      <c r="E31795">
        <v>115066</v>
      </c>
      <c r="F31795">
        <v>3.5031596880920198E-7</v>
      </c>
      <c r="G31795">
        <v>106699</v>
      </c>
      <c r="H31795">
        <v>15153545</v>
      </c>
      <c r="I31795">
        <v>399772</v>
      </c>
      <c r="J31795">
        <v>4</v>
      </c>
    </row>
    <row r="31796" spans="1:10" x14ac:dyDescent="0.25">
      <c r="A31796" t="s">
        <v>357</v>
      </c>
      <c r="B31796" s="1" t="str">
        <f>HYPERLINK("http://playstation.net","playstation.net")</f>
        <v>playstation.net</v>
      </c>
      <c r="C31796" t="s">
        <v>474</v>
      </c>
      <c r="E31796">
        <v>374</v>
      </c>
      <c r="F31796">
        <v>1.42276542623756E-6</v>
      </c>
      <c r="G31796">
        <v>27516</v>
      </c>
      <c r="H31796">
        <v>15317850</v>
      </c>
      <c r="I31796">
        <v>384792</v>
      </c>
      <c r="J31796">
        <v>4</v>
      </c>
    </row>
    <row r="31797" spans="1:10" x14ac:dyDescent="0.25">
      <c r="A31797" t="s">
        <v>357</v>
      </c>
      <c r="B31797" s="1" t="str">
        <f>HYPERLINK("http://rotana.net","rotana.net")</f>
        <v>rotana.net</v>
      </c>
      <c r="C31797" t="s">
        <v>474</v>
      </c>
      <c r="E31797">
        <v>265687</v>
      </c>
      <c r="F31797">
        <v>1.03507913516284E-7</v>
      </c>
      <c r="G31797">
        <v>387601</v>
      </c>
      <c r="H31797">
        <v>17074874</v>
      </c>
      <c r="I31797">
        <v>69636</v>
      </c>
      <c r="J31797">
        <v>5</v>
      </c>
    </row>
    <row r="31798" spans="1:10" x14ac:dyDescent="0.25">
      <c r="A31798" t="s">
        <v>357</v>
      </c>
      <c r="B31798" s="1" t="str">
        <f>HYPERLINK("http://smehost.net","smehost.net")</f>
        <v>smehost.net</v>
      </c>
      <c r="C31798" t="s">
        <v>474</v>
      </c>
      <c r="E31798">
        <v>116848</v>
      </c>
      <c r="F31798">
        <v>4.9725613435929401E-7</v>
      </c>
      <c r="G31798">
        <v>76840</v>
      </c>
      <c r="H31798">
        <v>17078268</v>
      </c>
      <c r="I31798">
        <v>68771</v>
      </c>
      <c r="J31798">
        <v>6</v>
      </c>
    </row>
    <row r="31799" spans="1:10" x14ac:dyDescent="0.25">
      <c r="A31799" t="s">
        <v>357</v>
      </c>
      <c r="B31799" s="1" t="str">
        <f>HYPERLINK("http://sony.net","sony.net")</f>
        <v>sony.net</v>
      </c>
      <c r="C31799" t="s">
        <v>474</v>
      </c>
      <c r="E31799">
        <v>6508</v>
      </c>
      <c r="F31799">
        <v>4.16747939050193E-6</v>
      </c>
      <c r="G31799">
        <v>8682</v>
      </c>
      <c r="H31799">
        <v>17843566</v>
      </c>
      <c r="I31799">
        <v>5055</v>
      </c>
      <c r="J31799">
        <v>2</v>
      </c>
    </row>
    <row r="31800" spans="1:10" x14ac:dyDescent="0.25">
      <c r="A31800" t="s">
        <v>357</v>
      </c>
      <c r="B31800" s="1" t="str">
        <f>HYPERLINK("http://sonybank.net","sonybank.net")</f>
        <v>sonybank.net</v>
      </c>
      <c r="C31800" t="s">
        <v>474</v>
      </c>
      <c r="E31800">
        <v>940802</v>
      </c>
      <c r="F31800">
        <v>1.1560427539692E-7</v>
      </c>
      <c r="G31800">
        <v>344133</v>
      </c>
      <c r="H31800">
        <v>14768481</v>
      </c>
      <c r="I31800">
        <v>558211</v>
      </c>
      <c r="J31800">
        <v>3</v>
      </c>
    </row>
    <row r="31801" spans="1:10" x14ac:dyDescent="0.25">
      <c r="A31801" t="s">
        <v>357</v>
      </c>
      <c r="B31801" s="1" t="str">
        <f>HYPERLINK("http://sonypictures.net","sonypictures.net")</f>
        <v>sonypictures.net</v>
      </c>
      <c r="C31801" t="s">
        <v>474</v>
      </c>
      <c r="E31801">
        <v>415130</v>
      </c>
      <c r="F31801">
        <v>1.47211074635983E-7</v>
      </c>
      <c r="G31801">
        <v>264477</v>
      </c>
      <c r="H31801">
        <v>14879859</v>
      </c>
      <c r="I31801">
        <v>472885</v>
      </c>
      <c r="J31801">
        <v>3</v>
      </c>
    </row>
    <row r="31802" spans="1:10" x14ac:dyDescent="0.25">
      <c r="A31802" t="s">
        <v>357</v>
      </c>
      <c r="B31802" s="1" t="str">
        <f>HYPERLINK("http://sonypicturespublicity.net","sonypicturespublicity.net")</f>
        <v>sonypicturespublicity.net</v>
      </c>
      <c r="C31802" t="s">
        <v>474</v>
      </c>
      <c r="F31802">
        <v>2.5095831869629501E-8</v>
      </c>
      <c r="G31802">
        <v>2058381</v>
      </c>
      <c r="H31802">
        <v>12396298</v>
      </c>
      <c r="I31802">
        <v>18908192</v>
      </c>
      <c r="J31802">
        <v>3</v>
      </c>
    </row>
    <row r="31803" spans="1:10" x14ac:dyDescent="0.25">
      <c r="A31803" t="s">
        <v>357</v>
      </c>
      <c r="B31803" s="1" t="str">
        <f>HYPERLINK("http://worldwidestudios.net","worldwidestudios.net")</f>
        <v>worldwidestudios.net</v>
      </c>
      <c r="C31803" t="s">
        <v>474</v>
      </c>
      <c r="F31803">
        <v>3.7260246677555303E-8</v>
      </c>
      <c r="G31803">
        <v>1389896</v>
      </c>
      <c r="H31803">
        <v>14896487</v>
      </c>
      <c r="I31803">
        <v>464422</v>
      </c>
      <c r="J31803">
        <v>3</v>
      </c>
    </row>
    <row r="31804" spans="1:10" x14ac:dyDescent="0.25">
      <c r="A31804" t="s">
        <v>357</v>
      </c>
      <c r="B31804" s="1" t="str">
        <f>HYPERLINK("http://fusiongroup.com.ng","fusiongroup.com.ng")</f>
        <v>fusiongroup.com.ng</v>
      </c>
      <c r="C31804" t="s">
        <v>475</v>
      </c>
      <c r="D31804" t="s">
        <v>850</v>
      </c>
      <c r="F31804">
        <v>4.44380395335525E-9</v>
      </c>
      <c r="G31804">
        <v>87901001</v>
      </c>
      <c r="H31804">
        <v>0</v>
      </c>
      <c r="I31804">
        <v>86931747</v>
      </c>
      <c r="J31804">
        <v>6</v>
      </c>
    </row>
    <row r="31805" spans="1:10" x14ac:dyDescent="0.25">
      <c r="A31805" t="s">
        <v>357</v>
      </c>
      <c r="B31805" s="1" t="str">
        <f>HYPERLINK("http://sony.com.ni","sony.com.ni")</f>
        <v>sony.com.ni</v>
      </c>
      <c r="C31805" t="s">
        <v>476</v>
      </c>
      <c r="D31805" t="s">
        <v>851</v>
      </c>
      <c r="F31805">
        <v>1.0724036979309E-7</v>
      </c>
      <c r="G31805">
        <v>373333</v>
      </c>
      <c r="H31805">
        <v>13132367</v>
      </c>
      <c r="I31805">
        <v>11927430</v>
      </c>
      <c r="J31805">
        <v>2</v>
      </c>
    </row>
    <row r="31806" spans="1:10" x14ac:dyDescent="0.25">
      <c r="A31806" t="s">
        <v>357</v>
      </c>
      <c r="B31806" s="1" t="str">
        <f>HYPERLINK("http://olympus.nl","olympus.nl")</f>
        <v>olympus.nl</v>
      </c>
      <c r="C31806" t="s">
        <v>477</v>
      </c>
      <c r="D31806" t="s">
        <v>852</v>
      </c>
      <c r="F31806">
        <v>6.3942172479238198E-8</v>
      </c>
      <c r="G31806">
        <v>678021</v>
      </c>
      <c r="H31806">
        <v>14181969</v>
      </c>
      <c r="I31806">
        <v>1777807</v>
      </c>
      <c r="J31806">
        <v>5</v>
      </c>
    </row>
    <row r="31807" spans="1:10" x14ac:dyDescent="0.25">
      <c r="A31807" t="s">
        <v>357</v>
      </c>
      <c r="B31807" s="1" t="str">
        <f>HYPERLINK("http://sony.nl","sony.nl")</f>
        <v>sony.nl</v>
      </c>
      <c r="C31807" t="s">
        <v>477</v>
      </c>
      <c r="D31807" t="s">
        <v>852</v>
      </c>
      <c r="E31807">
        <v>205415</v>
      </c>
      <c r="F31807">
        <v>3.3644338268703801E-7</v>
      </c>
      <c r="G31807">
        <v>110852</v>
      </c>
      <c r="H31807">
        <v>14648614</v>
      </c>
      <c r="I31807">
        <v>630725</v>
      </c>
      <c r="J31807">
        <v>2</v>
      </c>
    </row>
    <row r="31808" spans="1:10" x14ac:dyDescent="0.25">
      <c r="A31808" t="s">
        <v>357</v>
      </c>
      <c r="B31808" s="1" t="str">
        <f>HYPERLINK("http://noracollective.no","noracollective.no")</f>
        <v>noracollective.no</v>
      </c>
      <c r="C31808" t="s">
        <v>478</v>
      </c>
      <c r="D31808" t="s">
        <v>853</v>
      </c>
      <c r="F31808">
        <v>9.7683021605284803E-9</v>
      </c>
      <c r="G31808">
        <v>7003256</v>
      </c>
      <c r="H31808">
        <v>14072133</v>
      </c>
      <c r="I31808">
        <v>3157301</v>
      </c>
      <c r="J31808">
        <v>5</v>
      </c>
    </row>
    <row r="31809" spans="1:10" x14ac:dyDescent="0.25">
      <c r="A31809" t="s">
        <v>357</v>
      </c>
      <c r="B31809" s="1" t="str">
        <f>HYPERLINK("http://olympus.no","olympus.no")</f>
        <v>olympus.no</v>
      </c>
      <c r="C31809" t="s">
        <v>478</v>
      </c>
      <c r="D31809" t="s">
        <v>853</v>
      </c>
      <c r="F31809">
        <v>4.3710413549934197E-8</v>
      </c>
      <c r="G31809">
        <v>1091635</v>
      </c>
      <c r="H31809">
        <v>13808718</v>
      </c>
      <c r="I31809">
        <v>6219076</v>
      </c>
      <c r="J31809">
        <v>5</v>
      </c>
    </row>
    <row r="31810" spans="1:10" x14ac:dyDescent="0.25">
      <c r="A31810" t="s">
        <v>357</v>
      </c>
      <c r="B31810" s="1" t="str">
        <f>HYPERLINK("http://sony.no","sony.no")</f>
        <v>sony.no</v>
      </c>
      <c r="C31810" t="s">
        <v>478</v>
      </c>
      <c r="D31810" t="s">
        <v>853</v>
      </c>
      <c r="E31810">
        <v>903952</v>
      </c>
      <c r="F31810">
        <v>2.00348358573386E-7</v>
      </c>
      <c r="G31810">
        <v>190166</v>
      </c>
      <c r="H31810">
        <v>14156696</v>
      </c>
      <c r="I31810">
        <v>1852104</v>
      </c>
      <c r="J31810">
        <v>2</v>
      </c>
    </row>
    <row r="31811" spans="1:10" x14ac:dyDescent="0.25">
      <c r="A31811" t="s">
        <v>357</v>
      </c>
      <c r="B31811" s="1" t="str">
        <f>HYPERLINK("http://blacklion.nu","blacklion.nu")</f>
        <v>blacklion.nu</v>
      </c>
      <c r="C31811" t="s">
        <v>533</v>
      </c>
      <c r="D31811" t="s">
        <v>896</v>
      </c>
      <c r="F31811">
        <v>1.64611643789497E-8</v>
      </c>
      <c r="G31811">
        <v>3423546</v>
      </c>
      <c r="H31811">
        <v>14225432</v>
      </c>
      <c r="I31811">
        <v>1679856</v>
      </c>
      <c r="J31811">
        <v>10</v>
      </c>
    </row>
    <row r="31812" spans="1:10" x14ac:dyDescent="0.25">
      <c r="A31812" t="s">
        <v>357</v>
      </c>
      <c r="B31812" s="1" t="str">
        <f>HYPERLINK("http://sony.co.nz","sony.co.nz")</f>
        <v>sony.co.nz</v>
      </c>
      <c r="C31812" t="s">
        <v>479</v>
      </c>
      <c r="D31812" t="s">
        <v>854</v>
      </c>
      <c r="E31812">
        <v>466019</v>
      </c>
      <c r="F31812">
        <v>1.5807347035529001E-7</v>
      </c>
      <c r="G31812">
        <v>245599</v>
      </c>
      <c r="H31812">
        <v>14846729</v>
      </c>
      <c r="I31812">
        <v>493173</v>
      </c>
      <c r="J31812">
        <v>2</v>
      </c>
    </row>
    <row r="31813" spans="1:10" x14ac:dyDescent="0.25">
      <c r="A31813" t="s">
        <v>357</v>
      </c>
      <c r="B31813" s="1" t="str">
        <f>HYPERLINK("http://sonypicturespublicity.co.nz","sonypicturespublicity.co.nz")</f>
        <v>sonypicturespublicity.co.nz</v>
      </c>
      <c r="C31813" t="s">
        <v>479</v>
      </c>
      <c r="D31813" t="s">
        <v>854</v>
      </c>
      <c r="F31813">
        <v>8.7100953711922595E-9</v>
      </c>
      <c r="G31813">
        <v>8459775</v>
      </c>
      <c r="H31813">
        <v>9542990</v>
      </c>
      <c r="I31813">
        <v>65087746</v>
      </c>
      <c r="J31813">
        <v>3</v>
      </c>
    </row>
    <row r="31814" spans="1:10" x14ac:dyDescent="0.25">
      <c r="A31814" t="s">
        <v>357</v>
      </c>
      <c r="B31814" s="1" t="str">
        <f>HYPERLINK("http://spheconnect.co.nz","spheconnect.co.nz")</f>
        <v>spheconnect.co.nz</v>
      </c>
      <c r="C31814" t="s">
        <v>479</v>
      </c>
      <c r="D31814" t="s">
        <v>854</v>
      </c>
      <c r="J31814">
        <v>3</v>
      </c>
    </row>
    <row r="31815" spans="1:10" x14ac:dyDescent="0.25">
      <c r="A31815" t="s">
        <v>357</v>
      </c>
      <c r="B31815" s="1" t="str">
        <f>HYPERLINK("http://sphepublicity.co.nz","sphepublicity.co.nz")</f>
        <v>sphepublicity.co.nz</v>
      </c>
      <c r="C31815" t="s">
        <v>479</v>
      </c>
      <c r="D31815" t="s">
        <v>854</v>
      </c>
      <c r="J31815">
        <v>3</v>
      </c>
    </row>
    <row r="31816" spans="1:10" x14ac:dyDescent="0.25">
      <c r="A31816" t="s">
        <v>357</v>
      </c>
      <c r="B31816" s="1" t="str">
        <f>HYPERLINK("http://rotanamagazine.online","rotanamagazine.online")</f>
        <v>rotanamagazine.online</v>
      </c>
      <c r="C31816" t="s">
        <v>563</v>
      </c>
      <c r="F31816">
        <v>4.4578449408182202E-9</v>
      </c>
      <c r="G31816">
        <v>68447922</v>
      </c>
      <c r="H31816">
        <v>9319053</v>
      </c>
      <c r="I31816">
        <v>68317251</v>
      </c>
      <c r="J31816">
        <v>6</v>
      </c>
    </row>
    <row r="31817" spans="1:10" x14ac:dyDescent="0.25">
      <c r="A31817" t="s">
        <v>357</v>
      </c>
      <c r="B31817" s="1" t="str">
        <f>HYPERLINK("http://bungie.org","bungie.org")</f>
        <v>bungie.org</v>
      </c>
      <c r="C31817" t="s">
        <v>481</v>
      </c>
      <c r="E31817">
        <v>88286</v>
      </c>
      <c r="F31817">
        <v>4.3980244233718102E-7</v>
      </c>
      <c r="G31817">
        <v>85701</v>
      </c>
      <c r="H31817">
        <v>17332278</v>
      </c>
      <c r="I31817">
        <v>24704</v>
      </c>
      <c r="J31817">
        <v>5</v>
      </c>
    </row>
    <row r="31818" spans="1:10" x14ac:dyDescent="0.25">
      <c r="A31818" t="s">
        <v>357</v>
      </c>
      <c r="B31818" s="1" t="str">
        <f>HYPERLINK("http://kadokawa.org","kadokawa.org")</f>
        <v>kadokawa.org</v>
      </c>
      <c r="C31818" t="s">
        <v>481</v>
      </c>
      <c r="F31818">
        <v>6.0392716716897503E-9</v>
      </c>
      <c r="G31818">
        <v>16445432</v>
      </c>
      <c r="H31818">
        <v>14093683</v>
      </c>
      <c r="I31818">
        <v>2734710</v>
      </c>
      <c r="J31818">
        <v>6</v>
      </c>
    </row>
    <row r="31819" spans="1:10" x14ac:dyDescent="0.25">
      <c r="A31819" t="s">
        <v>357</v>
      </c>
      <c r="B31819" s="1" t="str">
        <f>HYPERLINK("http://providentfilms.org","providentfilms.org")</f>
        <v>providentfilms.org</v>
      </c>
      <c r="C31819" t="s">
        <v>481</v>
      </c>
      <c r="F31819">
        <v>2.8997143835618699E-8</v>
      </c>
      <c r="G31819">
        <v>1775515</v>
      </c>
      <c r="H31819">
        <v>13845341</v>
      </c>
      <c r="I31819">
        <v>6062191</v>
      </c>
      <c r="J31819">
        <v>6</v>
      </c>
    </row>
    <row r="31820" spans="1:10" x14ac:dyDescent="0.25">
      <c r="A31820" t="s">
        <v>357</v>
      </c>
      <c r="B31820" s="1" t="str">
        <f>HYPERLINK("http://sony.com.pa","sony.com.pa")</f>
        <v>sony.com.pa</v>
      </c>
      <c r="C31820" t="s">
        <v>482</v>
      </c>
      <c r="D31820" t="s">
        <v>856</v>
      </c>
      <c r="F31820">
        <v>1.1116303209738E-7</v>
      </c>
      <c r="G31820">
        <v>359609</v>
      </c>
      <c r="H31820">
        <v>13796278</v>
      </c>
      <c r="I31820">
        <v>6304555</v>
      </c>
      <c r="J31820">
        <v>2</v>
      </c>
    </row>
    <row r="31821" spans="1:10" x14ac:dyDescent="0.25">
      <c r="A31821" t="s">
        <v>357</v>
      </c>
      <c r="B31821" s="1" t="str">
        <f>HYPERLINK("http://sony.com.pe","sony.com.pe")</f>
        <v>sony.com.pe</v>
      </c>
      <c r="C31821" t="s">
        <v>483</v>
      </c>
      <c r="D31821" t="s">
        <v>857</v>
      </c>
      <c r="E31821">
        <v>721215</v>
      </c>
      <c r="F31821">
        <v>1.1554268555148701E-7</v>
      </c>
      <c r="G31821">
        <v>344363</v>
      </c>
      <c r="H31821">
        <v>13536138</v>
      </c>
      <c r="I31821">
        <v>9912464</v>
      </c>
      <c r="J31821">
        <v>2</v>
      </c>
    </row>
    <row r="31822" spans="1:10" x14ac:dyDescent="0.25">
      <c r="A31822" t="s">
        <v>357</v>
      </c>
      <c r="B31822" s="1" t="str">
        <f>HYPERLINK("http://sony.com.ph","sony.com.ph")</f>
        <v>sony.com.ph</v>
      </c>
      <c r="C31822" t="s">
        <v>484</v>
      </c>
      <c r="D31822" t="s">
        <v>858</v>
      </c>
      <c r="E31822">
        <v>624172</v>
      </c>
      <c r="F31822">
        <v>7.7434175939313603E-8</v>
      </c>
      <c r="G31822">
        <v>540577</v>
      </c>
      <c r="H31822">
        <v>14489934</v>
      </c>
      <c r="I31822">
        <v>917010</v>
      </c>
      <c r="J31822">
        <v>2</v>
      </c>
    </row>
    <row r="31823" spans="1:10" x14ac:dyDescent="0.25">
      <c r="A31823" t="s">
        <v>357</v>
      </c>
      <c r="B31823" s="1" t="str">
        <f>HYPERLINK("http://bmg_poland.com.pl","bmg_poland.com.pl")</f>
        <v>bmg_poland.com.pl</v>
      </c>
      <c r="C31823" t="s">
        <v>486</v>
      </c>
      <c r="D31823" t="s">
        <v>860</v>
      </c>
      <c r="J31823">
        <v>8</v>
      </c>
    </row>
    <row r="31824" spans="1:10" x14ac:dyDescent="0.25">
      <c r="A31824" t="s">
        <v>357</v>
      </c>
      <c r="B31824" s="1" t="str">
        <f>HYPERLINK("http://olympus.pl","olympus.pl")</f>
        <v>olympus.pl</v>
      </c>
      <c r="C31824" t="s">
        <v>486</v>
      </c>
      <c r="D31824" t="s">
        <v>860</v>
      </c>
      <c r="F31824">
        <v>8.1445355001015397E-8</v>
      </c>
      <c r="G31824">
        <v>512483</v>
      </c>
      <c r="H31824">
        <v>14689397</v>
      </c>
      <c r="I31824">
        <v>602923</v>
      </c>
      <c r="J31824">
        <v>5</v>
      </c>
    </row>
    <row r="31825" spans="1:10" x14ac:dyDescent="0.25">
      <c r="A31825" t="s">
        <v>357</v>
      </c>
      <c r="B31825" s="1" t="str">
        <f>HYPERLINK("http://scentre.pl","scentre.pl")</f>
        <v>scentre.pl</v>
      </c>
      <c r="C31825" t="s">
        <v>486</v>
      </c>
      <c r="D31825" t="s">
        <v>860</v>
      </c>
      <c r="F31825">
        <v>2.2276082494857198E-8</v>
      </c>
      <c r="G31825">
        <v>2353730</v>
      </c>
      <c r="H31825">
        <v>12664073</v>
      </c>
      <c r="I31825">
        <v>15686645</v>
      </c>
      <c r="J31825">
        <v>3</v>
      </c>
    </row>
    <row r="31826" spans="1:10" x14ac:dyDescent="0.25">
      <c r="A31826" t="s">
        <v>357</v>
      </c>
      <c r="B31826" s="1" t="str">
        <f>HYPERLINK("http://sony.pl","sony.pl")</f>
        <v>sony.pl</v>
      </c>
      <c r="C31826" t="s">
        <v>486</v>
      </c>
      <c r="D31826" t="s">
        <v>860</v>
      </c>
      <c r="E31826">
        <v>253170</v>
      </c>
      <c r="F31826">
        <v>2.08537704028635E-7</v>
      </c>
      <c r="G31826">
        <v>181615</v>
      </c>
      <c r="H31826">
        <v>17099752</v>
      </c>
      <c r="I31826">
        <v>63935</v>
      </c>
      <c r="J31826">
        <v>2</v>
      </c>
    </row>
    <row r="31827" spans="1:10" x14ac:dyDescent="0.25">
      <c r="A31827" t="s">
        <v>357</v>
      </c>
      <c r="B31827" s="1" t="str">
        <f>HYPERLINK("http://sony-centre.pl","sony-centre.pl")</f>
        <v>sony-centre.pl</v>
      </c>
      <c r="C31827" t="s">
        <v>486</v>
      </c>
      <c r="D31827" t="s">
        <v>860</v>
      </c>
      <c r="F31827">
        <v>4.4880398583747699E-9</v>
      </c>
      <c r="G31827">
        <v>60839425</v>
      </c>
      <c r="H31827">
        <v>10509273</v>
      </c>
      <c r="I31827">
        <v>49834057</v>
      </c>
      <c r="J31827">
        <v>6</v>
      </c>
    </row>
    <row r="31828" spans="1:10" x14ac:dyDescent="0.25">
      <c r="A31828" t="s">
        <v>357</v>
      </c>
      <c r="B31828" s="1" t="str">
        <f>HYPERLINK("http://olympus.pt","olympus.pt")</f>
        <v>olympus.pt</v>
      </c>
      <c r="C31828" t="s">
        <v>488</v>
      </c>
      <c r="D31828" t="s">
        <v>862</v>
      </c>
      <c r="F31828">
        <v>3.5426518527566797E-8</v>
      </c>
      <c r="G31828">
        <v>1468869</v>
      </c>
      <c r="H31828">
        <v>13942809</v>
      </c>
      <c r="I31828">
        <v>4325121</v>
      </c>
      <c r="J31828">
        <v>5</v>
      </c>
    </row>
    <row r="31829" spans="1:10" x14ac:dyDescent="0.25">
      <c r="A31829" t="s">
        <v>357</v>
      </c>
      <c r="B31829" s="1" t="str">
        <f>HYPERLINK("http://sony.pt","sony.pt")</f>
        <v>sony.pt</v>
      </c>
      <c r="C31829" t="s">
        <v>488</v>
      </c>
      <c r="D31829" t="s">
        <v>862</v>
      </c>
      <c r="E31829">
        <v>521048</v>
      </c>
      <c r="F31829">
        <v>1.82716830575913E-7</v>
      </c>
      <c r="G31829">
        <v>211062</v>
      </c>
      <c r="H31829">
        <v>14502549</v>
      </c>
      <c r="I31829">
        <v>845803</v>
      </c>
      <c r="J31829">
        <v>2</v>
      </c>
    </row>
    <row r="31830" spans="1:10" x14ac:dyDescent="0.25">
      <c r="A31830" t="s">
        <v>357</v>
      </c>
      <c r="B31830" s="1" t="str">
        <f>HYPERLINK("http://olympus.ro","olympus.ro")</f>
        <v>olympus.ro</v>
      </c>
      <c r="C31830" t="s">
        <v>491</v>
      </c>
      <c r="D31830" t="s">
        <v>865</v>
      </c>
      <c r="F31830">
        <v>3.3986486355009997E-8</v>
      </c>
      <c r="G31830">
        <v>1523506</v>
      </c>
      <c r="H31830">
        <v>14121409</v>
      </c>
      <c r="I31830">
        <v>2256392</v>
      </c>
      <c r="J31830">
        <v>5</v>
      </c>
    </row>
    <row r="31831" spans="1:10" x14ac:dyDescent="0.25">
      <c r="A31831" t="s">
        <v>357</v>
      </c>
      <c r="B31831" s="1" t="str">
        <f>HYPERLINK("http://premiumbrand.ro","premiumbrand.ro")</f>
        <v>premiumbrand.ro</v>
      </c>
      <c r="C31831" t="s">
        <v>491</v>
      </c>
      <c r="D31831" t="s">
        <v>865</v>
      </c>
      <c r="F31831">
        <v>8.9839013414696093E-9</v>
      </c>
      <c r="G31831">
        <v>8016210</v>
      </c>
      <c r="H31831">
        <v>12935222</v>
      </c>
      <c r="I31831">
        <v>13342893</v>
      </c>
      <c r="J31831">
        <v>6</v>
      </c>
    </row>
    <row r="31832" spans="1:10" x14ac:dyDescent="0.25">
      <c r="A31832" t="s">
        <v>357</v>
      </c>
      <c r="B31832" s="1" t="str">
        <f>HYPERLINK("http://safina.ro","safina.ro")</f>
        <v>safina.ro</v>
      </c>
      <c r="C31832" t="s">
        <v>491</v>
      </c>
      <c r="D31832" t="s">
        <v>865</v>
      </c>
      <c r="F31832">
        <v>6.7395758364889104E-9</v>
      </c>
      <c r="G31832">
        <v>13164377</v>
      </c>
      <c r="H31832">
        <v>12185448</v>
      </c>
      <c r="I31832">
        <v>23685103</v>
      </c>
      <c r="J31832">
        <v>9</v>
      </c>
    </row>
    <row r="31833" spans="1:10" x14ac:dyDescent="0.25">
      <c r="A31833" t="s">
        <v>357</v>
      </c>
      <c r="B31833" s="1" t="str">
        <f>HYPERLINK("http://sony.ro","sony.ro")</f>
        <v>sony.ro</v>
      </c>
      <c r="C31833" t="s">
        <v>491</v>
      </c>
      <c r="D31833" t="s">
        <v>865</v>
      </c>
      <c r="E31833">
        <v>680458</v>
      </c>
      <c r="F31833">
        <v>1.08609752503402E-7</v>
      </c>
      <c r="G31833">
        <v>368401</v>
      </c>
      <c r="H31833">
        <v>14253200</v>
      </c>
      <c r="I31833">
        <v>1439562</v>
      </c>
      <c r="J31833">
        <v>2</v>
      </c>
    </row>
    <row r="31834" spans="1:10" x14ac:dyDescent="0.25">
      <c r="A31834" t="s">
        <v>357</v>
      </c>
      <c r="B31834" s="1" t="str">
        <f>HYPERLINK("http://olympus.rs","olympus.rs")</f>
        <v>olympus.rs</v>
      </c>
      <c r="C31834" t="s">
        <v>492</v>
      </c>
      <c r="D31834" t="s">
        <v>866</v>
      </c>
      <c r="F31834">
        <v>2.9684854685020202E-8</v>
      </c>
      <c r="G31834">
        <v>1734283</v>
      </c>
      <c r="H31834">
        <v>12256080</v>
      </c>
      <c r="I31834">
        <v>21867975</v>
      </c>
      <c r="J31834">
        <v>5</v>
      </c>
    </row>
    <row r="31835" spans="1:10" x14ac:dyDescent="0.25">
      <c r="A31835" t="s">
        <v>357</v>
      </c>
      <c r="B31835" s="1" t="str">
        <f>HYPERLINK("http://sony.rs","sony.rs")</f>
        <v>sony.rs</v>
      </c>
      <c r="C31835" t="s">
        <v>492</v>
      </c>
      <c r="D31835" t="s">
        <v>866</v>
      </c>
      <c r="F31835">
        <v>5.9116470144858902E-8</v>
      </c>
      <c r="G31835">
        <v>749837</v>
      </c>
      <c r="H31835">
        <v>14382911</v>
      </c>
      <c r="I31835">
        <v>1187485</v>
      </c>
      <c r="J31835">
        <v>2</v>
      </c>
    </row>
    <row r="31836" spans="1:10" x14ac:dyDescent="0.25">
      <c r="A31836" t="s">
        <v>357</v>
      </c>
      <c r="B31836" s="1" t="str">
        <f>HYPERLINK("http://akado.ru","akado.ru")</f>
        <v>akado.ru</v>
      </c>
      <c r="C31836" t="s">
        <v>493</v>
      </c>
      <c r="D31836" t="s">
        <v>867</v>
      </c>
      <c r="E31836">
        <v>60177</v>
      </c>
      <c r="F31836">
        <v>3.2138531834795802E-7</v>
      </c>
      <c r="G31836">
        <v>115776</v>
      </c>
      <c r="H31836">
        <v>17258712</v>
      </c>
      <c r="I31836">
        <v>32813</v>
      </c>
      <c r="J31836">
        <v>6</v>
      </c>
    </row>
    <row r="31837" spans="1:10" x14ac:dyDescent="0.25">
      <c r="A31837" t="s">
        <v>357</v>
      </c>
      <c r="B31837" s="1" t="str">
        <f>HYPERLINK("http://ar-management.ru","ar-management.ru")</f>
        <v>ar-management.ru</v>
      </c>
      <c r="C31837" t="s">
        <v>493</v>
      </c>
      <c r="D31837" t="s">
        <v>867</v>
      </c>
      <c r="F31837">
        <v>3.2250340041481298E-8</v>
      </c>
      <c r="G31837">
        <v>1603429</v>
      </c>
      <c r="H31837">
        <v>14422139</v>
      </c>
      <c r="I31837">
        <v>1085725</v>
      </c>
      <c r="J31837">
        <v>6</v>
      </c>
    </row>
    <row r="31838" spans="1:10" x14ac:dyDescent="0.25">
      <c r="A31838" t="s">
        <v>357</v>
      </c>
      <c r="B31838" s="1" t="str">
        <f>HYPERLINK("http://playstation.ru","playstation.ru")</f>
        <v>playstation.ru</v>
      </c>
      <c r="C31838" t="s">
        <v>493</v>
      </c>
      <c r="D31838" t="s">
        <v>867</v>
      </c>
      <c r="F31838">
        <v>8.5874603176271602E-8</v>
      </c>
      <c r="G31838">
        <v>479378</v>
      </c>
      <c r="H31838">
        <v>13443179</v>
      </c>
      <c r="I31838">
        <v>10242233</v>
      </c>
      <c r="J31838">
        <v>4</v>
      </c>
    </row>
    <row r="31839" spans="1:10" x14ac:dyDescent="0.25">
      <c r="A31839" t="s">
        <v>357</v>
      </c>
      <c r="B31839" s="1" t="str">
        <f>HYPERLINK("http://re-store.ru","re-store.ru")</f>
        <v>re-store.ru</v>
      </c>
      <c r="C31839" t="s">
        <v>493</v>
      </c>
      <c r="D31839" t="s">
        <v>867</v>
      </c>
      <c r="E31839">
        <v>50964</v>
      </c>
      <c r="F31839">
        <v>3.1971265873109997E-7</v>
      </c>
      <c r="G31839">
        <v>116377</v>
      </c>
      <c r="H31839">
        <v>15162209</v>
      </c>
      <c r="I31839">
        <v>398940</v>
      </c>
      <c r="J31839">
        <v>3</v>
      </c>
    </row>
    <row r="31840" spans="1:10" x14ac:dyDescent="0.25">
      <c r="A31840" t="s">
        <v>357</v>
      </c>
      <c r="B31840" s="1" t="str">
        <f>HYPERLINK("http://renova.ru","renova.ru")</f>
        <v>renova.ru</v>
      </c>
      <c r="C31840" t="s">
        <v>493</v>
      </c>
      <c r="D31840" t="s">
        <v>867</v>
      </c>
      <c r="F31840">
        <v>4.9870168142777597E-8</v>
      </c>
      <c r="G31840">
        <v>924397</v>
      </c>
      <c r="H31840">
        <v>14501760</v>
      </c>
      <c r="I31840">
        <v>848493</v>
      </c>
      <c r="J31840">
        <v>5</v>
      </c>
    </row>
    <row r="31841" spans="1:10" x14ac:dyDescent="0.25">
      <c r="A31841" t="s">
        <v>357</v>
      </c>
      <c r="B31841" s="1" t="str">
        <f>HYPERLINK("http://restore-retail-group.ru","restore-retail-group.ru")</f>
        <v>restore-retail-group.ru</v>
      </c>
      <c r="C31841" t="s">
        <v>493</v>
      </c>
      <c r="D31841" t="s">
        <v>867</v>
      </c>
      <c r="F31841">
        <v>5.6999565061743399E-9</v>
      </c>
      <c r="G31841">
        <v>18960778</v>
      </c>
      <c r="H31841">
        <v>12945891</v>
      </c>
      <c r="I31841">
        <v>13238503</v>
      </c>
      <c r="J31841">
        <v>5</v>
      </c>
    </row>
    <row r="31842" spans="1:10" x14ac:dyDescent="0.25">
      <c r="A31842" t="s">
        <v>357</v>
      </c>
      <c r="B31842" s="1" t="str">
        <f>HYPERLINK("http://sc-store.ru","sc-store.ru")</f>
        <v>sc-store.ru</v>
      </c>
      <c r="C31842" t="s">
        <v>493</v>
      </c>
      <c r="D31842" t="s">
        <v>867</v>
      </c>
      <c r="F31842">
        <v>1.07085789466059E-8</v>
      </c>
      <c r="G31842">
        <v>6092810</v>
      </c>
      <c r="H31842">
        <v>13009688</v>
      </c>
      <c r="I31842">
        <v>12753501</v>
      </c>
      <c r="J31842">
        <v>3</v>
      </c>
    </row>
    <row r="31843" spans="1:10" x14ac:dyDescent="0.25">
      <c r="A31843" t="s">
        <v>357</v>
      </c>
      <c r="B31843" s="1" t="str">
        <f>HYPERLINK("http://sony.ru","sony.ru")</f>
        <v>sony.ru</v>
      </c>
      <c r="C31843" t="s">
        <v>493</v>
      </c>
      <c r="D31843" t="s">
        <v>867</v>
      </c>
      <c r="E31843">
        <v>95646</v>
      </c>
      <c r="F31843">
        <v>9.3158820427596205E-7</v>
      </c>
      <c r="G31843">
        <v>41293</v>
      </c>
      <c r="H31843">
        <v>15022465</v>
      </c>
      <c r="I31843">
        <v>420396</v>
      </c>
      <c r="J31843">
        <v>2</v>
      </c>
    </row>
    <row r="31844" spans="1:10" x14ac:dyDescent="0.25">
      <c r="A31844" t="s">
        <v>357</v>
      </c>
      <c r="B31844" s="1" t="str">
        <f>HYPERLINK("http://tplusgroup.ru","tplusgroup.ru")</f>
        <v>tplusgroup.ru</v>
      </c>
      <c r="C31844" t="s">
        <v>493</v>
      </c>
      <c r="D31844" t="s">
        <v>867</v>
      </c>
      <c r="E31844">
        <v>121623</v>
      </c>
      <c r="F31844">
        <v>1.69722369624291E-7</v>
      </c>
      <c r="G31844">
        <v>228557</v>
      </c>
      <c r="H31844">
        <v>14088267</v>
      </c>
      <c r="I31844">
        <v>2759480</v>
      </c>
      <c r="J31844">
        <v>6</v>
      </c>
    </row>
    <row r="31845" spans="1:10" x14ac:dyDescent="0.25">
      <c r="A31845" t="s">
        <v>357</v>
      </c>
      <c r="B31845" s="1" t="str">
        <f>HYPERLINK("http://votgk.ru","votgk.ru")</f>
        <v>votgk.ru</v>
      </c>
      <c r="C31845" t="s">
        <v>493</v>
      </c>
      <c r="D31845" t="s">
        <v>867</v>
      </c>
      <c r="F31845">
        <v>1.8950975895595799E-8</v>
      </c>
      <c r="G31845">
        <v>2844324</v>
      </c>
      <c r="H31845">
        <v>14083381</v>
      </c>
      <c r="I31845">
        <v>2793825</v>
      </c>
      <c r="J31845">
        <v>7</v>
      </c>
    </row>
    <row r="31846" spans="1:10" x14ac:dyDescent="0.25">
      <c r="A31846" t="s">
        <v>357</v>
      </c>
      <c r="B31846" s="1" t="str">
        <f>HYPERLINK("http://olympus.se","olympus.se")</f>
        <v>olympus.se</v>
      </c>
      <c r="C31846" t="s">
        <v>495</v>
      </c>
      <c r="D31846" t="s">
        <v>869</v>
      </c>
      <c r="F31846">
        <v>5.9340536801090601E-8</v>
      </c>
      <c r="G31846">
        <v>746329</v>
      </c>
      <c r="H31846">
        <v>14772570</v>
      </c>
      <c r="I31846">
        <v>556960</v>
      </c>
      <c r="J31846">
        <v>5</v>
      </c>
    </row>
    <row r="31847" spans="1:10" x14ac:dyDescent="0.25">
      <c r="A31847" t="s">
        <v>357</v>
      </c>
      <c r="B31847" s="1" t="str">
        <f>HYPERLINK("http://sony.se","sony.se")</f>
        <v>sony.se</v>
      </c>
      <c r="C31847" t="s">
        <v>495</v>
      </c>
      <c r="D31847" t="s">
        <v>869</v>
      </c>
      <c r="E31847">
        <v>573965</v>
      </c>
      <c r="F31847">
        <v>2.4313091155586897E-7</v>
      </c>
      <c r="G31847">
        <v>153873</v>
      </c>
      <c r="H31847">
        <v>14893115</v>
      </c>
      <c r="I31847">
        <v>465915</v>
      </c>
      <c r="J31847">
        <v>2</v>
      </c>
    </row>
    <row r="31848" spans="1:10" x14ac:dyDescent="0.25">
      <c r="A31848" t="s">
        <v>357</v>
      </c>
      <c r="B31848" s="1" t="str">
        <f>HYPERLINK("http://sonymusic.se","sonymusic.se")</f>
        <v>sonymusic.se</v>
      </c>
      <c r="C31848" t="s">
        <v>495</v>
      </c>
      <c r="D31848" t="s">
        <v>869</v>
      </c>
      <c r="F31848">
        <v>2.8829382655272701E-8</v>
      </c>
      <c r="G31848">
        <v>1785311</v>
      </c>
      <c r="H31848">
        <v>14242295</v>
      </c>
      <c r="I31848">
        <v>1485323</v>
      </c>
      <c r="J31848">
        <v>5</v>
      </c>
    </row>
    <row r="31849" spans="1:10" x14ac:dyDescent="0.25">
      <c r="A31849" t="s">
        <v>357</v>
      </c>
      <c r="B31849" s="1" t="str">
        <f>HYPERLINK("http://bandainamcostudios.sg","bandainamcostudios.sg")</f>
        <v>bandainamcostudios.sg</v>
      </c>
      <c r="C31849" t="s">
        <v>496</v>
      </c>
      <c r="D31849" t="s">
        <v>870</v>
      </c>
      <c r="F31849">
        <v>8.5549631795971495E-9</v>
      </c>
      <c r="G31849">
        <v>8739032</v>
      </c>
      <c r="H31849">
        <v>11289387</v>
      </c>
      <c r="I31849">
        <v>30659328</v>
      </c>
      <c r="J31849">
        <v>6</v>
      </c>
    </row>
    <row r="31850" spans="1:10" x14ac:dyDescent="0.25">
      <c r="A31850" t="s">
        <v>357</v>
      </c>
      <c r="B31850" s="1" t="str">
        <f>HYPERLINK("http://sony.com.sg","sony.com.sg")</f>
        <v>sony.com.sg</v>
      </c>
      <c r="C31850" t="s">
        <v>496</v>
      </c>
      <c r="D31850" t="s">
        <v>870</v>
      </c>
      <c r="E31850">
        <v>86403</v>
      </c>
      <c r="F31850">
        <v>2.04809723943931E-7</v>
      </c>
      <c r="G31850">
        <v>185493</v>
      </c>
      <c r="H31850">
        <v>14932335</v>
      </c>
      <c r="I31850">
        <v>446840</v>
      </c>
      <c r="J31850">
        <v>2</v>
      </c>
    </row>
    <row r="31851" spans="1:10" x14ac:dyDescent="0.25">
      <c r="A31851" t="s">
        <v>357</v>
      </c>
      <c r="B31851" s="1" t="str">
        <f>HYPERLINK("http://sonypictures.com.sg","sonypictures.com.sg")</f>
        <v>sonypictures.com.sg</v>
      </c>
      <c r="C31851" t="s">
        <v>496</v>
      </c>
      <c r="D31851" t="s">
        <v>870</v>
      </c>
      <c r="F31851">
        <v>1.2454175957874899E-8</v>
      </c>
      <c r="G31851">
        <v>4910078</v>
      </c>
      <c r="H31851">
        <v>13786266</v>
      </c>
      <c r="I31851">
        <v>6388778</v>
      </c>
      <c r="J31851">
        <v>4</v>
      </c>
    </row>
    <row r="31852" spans="1:10" x14ac:dyDescent="0.25">
      <c r="A31852" t="s">
        <v>357</v>
      </c>
      <c r="B31852" s="1" t="str">
        <f>HYPERLINK("http://sonypictures.sg","sonypictures.sg")</f>
        <v>sonypictures.sg</v>
      </c>
      <c r="C31852" t="s">
        <v>496</v>
      </c>
      <c r="D31852" t="s">
        <v>870</v>
      </c>
      <c r="J31852">
        <v>5</v>
      </c>
    </row>
    <row r="31853" spans="1:10" x14ac:dyDescent="0.25">
      <c r="A31853" t="s">
        <v>357</v>
      </c>
      <c r="B31853" s="1" t="str">
        <f>HYPERLINK("http://olympus.si","olympus.si")</f>
        <v>olympus.si</v>
      </c>
      <c r="C31853" t="s">
        <v>497</v>
      </c>
      <c r="D31853" t="s">
        <v>871</v>
      </c>
      <c r="F31853">
        <v>2.9801865361753999E-8</v>
      </c>
      <c r="G31853">
        <v>1726872</v>
      </c>
      <c r="H31853">
        <v>13765403</v>
      </c>
      <c r="I31853">
        <v>7107447</v>
      </c>
      <c r="J31853">
        <v>5</v>
      </c>
    </row>
    <row r="31854" spans="1:10" x14ac:dyDescent="0.25">
      <c r="A31854" t="s">
        <v>357</v>
      </c>
      <c r="B31854" s="1" t="str">
        <f>HYPERLINK("http://sony.si","sony.si")</f>
        <v>sony.si</v>
      </c>
      <c r="C31854" t="s">
        <v>497</v>
      </c>
      <c r="D31854" t="s">
        <v>871</v>
      </c>
      <c r="F31854">
        <v>6.9711798305888496E-8</v>
      </c>
      <c r="G31854">
        <v>608690</v>
      </c>
      <c r="H31854">
        <v>14242716</v>
      </c>
      <c r="I31854">
        <v>1482144</v>
      </c>
      <c r="J31854">
        <v>2</v>
      </c>
    </row>
    <row r="31855" spans="1:10" x14ac:dyDescent="0.25">
      <c r="A31855" t="s">
        <v>357</v>
      </c>
      <c r="B31855" s="1" t="str">
        <f>HYPERLINK("http://olympus.sk","olympus.sk")</f>
        <v>olympus.sk</v>
      </c>
      <c r="C31855" t="s">
        <v>498</v>
      </c>
      <c r="D31855" t="s">
        <v>872</v>
      </c>
      <c r="F31855">
        <v>3.0466710169372699E-8</v>
      </c>
      <c r="G31855">
        <v>1689956</v>
      </c>
      <c r="H31855">
        <v>12353780</v>
      </c>
      <c r="I31855">
        <v>19703441</v>
      </c>
      <c r="J31855">
        <v>5</v>
      </c>
    </row>
    <row r="31856" spans="1:10" x14ac:dyDescent="0.25">
      <c r="A31856" t="s">
        <v>357</v>
      </c>
      <c r="B31856" s="1" t="str">
        <f>HYPERLINK("http://safina.sk","safina.sk")</f>
        <v>safina.sk</v>
      </c>
      <c r="C31856" t="s">
        <v>498</v>
      </c>
      <c r="D31856" t="s">
        <v>872</v>
      </c>
      <c r="F31856">
        <v>6.4289139194204503E-9</v>
      </c>
      <c r="G31856">
        <v>14385924</v>
      </c>
      <c r="H31856">
        <v>12279309</v>
      </c>
      <c r="I31856">
        <v>21321919</v>
      </c>
      <c r="J31856">
        <v>9</v>
      </c>
    </row>
    <row r="31857" spans="1:10" x14ac:dyDescent="0.25">
      <c r="A31857" t="s">
        <v>357</v>
      </c>
      <c r="B31857" s="1" t="str">
        <f>HYPERLINK("http://sony.sk","sony.sk")</f>
        <v>sony.sk</v>
      </c>
      <c r="C31857" t="s">
        <v>498</v>
      </c>
      <c r="D31857" t="s">
        <v>872</v>
      </c>
      <c r="F31857">
        <v>8.5351391524277604E-8</v>
      </c>
      <c r="G31857">
        <v>483049</v>
      </c>
      <c r="H31857">
        <v>14241309</v>
      </c>
      <c r="I31857">
        <v>1493093</v>
      </c>
      <c r="J31857">
        <v>2</v>
      </c>
    </row>
    <row r="31858" spans="1:10" x14ac:dyDescent="0.25">
      <c r="A31858" t="s">
        <v>357</v>
      </c>
      <c r="B31858" s="1" t="str">
        <f>HYPERLINK("http://locator.sony","locator.sony")</f>
        <v>locator.sony</v>
      </c>
      <c r="C31858" t="s">
        <v>786</v>
      </c>
      <c r="E31858">
        <v>398027</v>
      </c>
      <c r="F31858">
        <v>8.9806111030529102E-8</v>
      </c>
      <c r="G31858">
        <v>454577</v>
      </c>
      <c r="H31858">
        <v>13189439</v>
      </c>
      <c r="I31858">
        <v>11604642</v>
      </c>
      <c r="J31858">
        <v>3</v>
      </c>
    </row>
    <row r="31859" spans="1:10" x14ac:dyDescent="0.25">
      <c r="A31859" t="s">
        <v>357</v>
      </c>
      <c r="B31859" s="1" t="str">
        <f>HYPERLINK("http://pro.sony","pro.sony")</f>
        <v>pro.sony</v>
      </c>
      <c r="C31859" t="s">
        <v>786</v>
      </c>
      <c r="E31859">
        <v>28266</v>
      </c>
      <c r="F31859">
        <v>1.2020876816331999E-6</v>
      </c>
      <c r="G31859">
        <v>32465</v>
      </c>
      <c r="H31859">
        <v>15779129</v>
      </c>
      <c r="I31859">
        <v>368512</v>
      </c>
      <c r="J31859">
        <v>3</v>
      </c>
    </row>
    <row r="31860" spans="1:10" x14ac:dyDescent="0.25">
      <c r="A31860" t="s">
        <v>357</v>
      </c>
      <c r="B31860" s="1" t="str">
        <f>HYPERLINK("http://centurymedia.store","centurymedia.store")</f>
        <v>centurymedia.store</v>
      </c>
      <c r="C31860" t="s">
        <v>559</v>
      </c>
      <c r="F31860">
        <v>5.4969659788616098E-8</v>
      </c>
      <c r="G31860">
        <v>818211</v>
      </c>
      <c r="H31860">
        <v>14564997</v>
      </c>
      <c r="I31860">
        <v>741076</v>
      </c>
      <c r="J31860">
        <v>8</v>
      </c>
    </row>
    <row r="31861" spans="1:10" x14ac:dyDescent="0.25">
      <c r="A31861" t="s">
        <v>357</v>
      </c>
      <c r="B31861" s="1" t="str">
        <f>HYPERLINK("http://sony.com.sv","sony.com.sv")</f>
        <v>sony.com.sv</v>
      </c>
      <c r="C31861" t="s">
        <v>499</v>
      </c>
      <c r="D31861" t="s">
        <v>873</v>
      </c>
      <c r="F31861">
        <v>1.07195517404573E-7</v>
      </c>
      <c r="G31861">
        <v>373475</v>
      </c>
      <c r="H31861">
        <v>13127289</v>
      </c>
      <c r="I31861">
        <v>11952432</v>
      </c>
      <c r="J31861">
        <v>2</v>
      </c>
    </row>
    <row r="31862" spans="1:10" x14ac:dyDescent="0.25">
      <c r="A31862" t="s">
        <v>357</v>
      </c>
      <c r="B31862" s="1" t="str">
        <f>HYPERLINK("http://sony.co.th","sony.co.th")</f>
        <v>sony.co.th</v>
      </c>
      <c r="C31862" t="s">
        <v>500</v>
      </c>
      <c r="D31862" t="s">
        <v>874</v>
      </c>
      <c r="E31862">
        <v>274261</v>
      </c>
      <c r="F31862">
        <v>1.5069629532150599E-7</v>
      </c>
      <c r="G31862">
        <v>257777</v>
      </c>
      <c r="H31862">
        <v>14520147</v>
      </c>
      <c r="I31862">
        <v>805487</v>
      </c>
      <c r="J31862">
        <v>2</v>
      </c>
    </row>
    <row r="31863" spans="1:10" x14ac:dyDescent="0.25">
      <c r="A31863" t="s">
        <v>357</v>
      </c>
      <c r="B31863" s="1" t="str">
        <f>HYPERLINK("http://olympus.com.tr","olympus.com.tr")</f>
        <v>olympus.com.tr</v>
      </c>
      <c r="C31863" t="s">
        <v>502</v>
      </c>
      <c r="D31863" t="s">
        <v>876</v>
      </c>
      <c r="F31863">
        <v>3.0236190018950001E-8</v>
      </c>
      <c r="G31863">
        <v>1702131</v>
      </c>
      <c r="H31863">
        <v>14236261</v>
      </c>
      <c r="I31863">
        <v>1595486</v>
      </c>
      <c r="J31863">
        <v>5</v>
      </c>
    </row>
    <row r="31864" spans="1:10" x14ac:dyDescent="0.25">
      <c r="A31864" t="s">
        <v>357</v>
      </c>
      <c r="B31864" s="1" t="str">
        <f>HYPERLINK("http://sony.com.tr","sony.com.tr")</f>
        <v>sony.com.tr</v>
      </c>
      <c r="C31864" t="s">
        <v>502</v>
      </c>
      <c r="D31864" t="s">
        <v>876</v>
      </c>
      <c r="E31864">
        <v>362343</v>
      </c>
      <c r="F31864">
        <v>1.2182033548799401E-7</v>
      </c>
      <c r="G31864">
        <v>324148</v>
      </c>
      <c r="H31864">
        <v>14242721</v>
      </c>
      <c r="I31864">
        <v>1482106</v>
      </c>
      <c r="J31864">
        <v>2</v>
      </c>
    </row>
    <row r="31865" spans="1:10" x14ac:dyDescent="0.25">
      <c r="A31865" t="s">
        <v>357</v>
      </c>
      <c r="B31865" s="1" t="str">
        <f>HYPERLINK("http://sonymusic.com.tr","sonymusic.com.tr")</f>
        <v>sonymusic.com.tr</v>
      </c>
      <c r="C31865" t="s">
        <v>502</v>
      </c>
      <c r="D31865" t="s">
        <v>876</v>
      </c>
      <c r="F31865">
        <v>1.029689548879E-8</v>
      </c>
      <c r="G31865">
        <v>6453787</v>
      </c>
      <c r="H31865">
        <v>14076054</v>
      </c>
      <c r="I31865">
        <v>2895103</v>
      </c>
      <c r="J31865">
        <v>4</v>
      </c>
    </row>
    <row r="31866" spans="1:10" x14ac:dyDescent="0.25">
      <c r="A31866" t="s">
        <v>357</v>
      </c>
      <c r="B31866" s="1" t="str">
        <f>HYPERLINK("http://wakanim.tv","wakanim.tv")</f>
        <v>wakanim.tv</v>
      </c>
      <c r="C31866" t="s">
        <v>535</v>
      </c>
      <c r="D31866" t="s">
        <v>897</v>
      </c>
      <c r="E31866">
        <v>81115</v>
      </c>
      <c r="F31866">
        <v>1.4483997670873799E-7</v>
      </c>
      <c r="G31866">
        <v>268762</v>
      </c>
      <c r="H31866">
        <v>14944206</v>
      </c>
      <c r="I31866">
        <v>442486</v>
      </c>
      <c r="J31866">
        <v>4</v>
      </c>
    </row>
    <row r="31867" spans="1:10" x14ac:dyDescent="0.25">
      <c r="A31867" t="s">
        <v>357</v>
      </c>
      <c r="B31867" s="1" t="str">
        <f>HYPERLINK("http://sony.com.tw","sony.com.tw")</f>
        <v>sony.com.tw</v>
      </c>
      <c r="C31867" t="s">
        <v>504</v>
      </c>
      <c r="D31867" t="s">
        <v>878</v>
      </c>
      <c r="E31867">
        <v>155441</v>
      </c>
      <c r="F31867">
        <v>1.98484431515526E-7</v>
      </c>
      <c r="G31867">
        <v>194292</v>
      </c>
      <c r="H31867">
        <v>14662770</v>
      </c>
      <c r="I31867">
        <v>618879</v>
      </c>
      <c r="J31867">
        <v>2</v>
      </c>
    </row>
    <row r="31868" spans="1:10" x14ac:dyDescent="0.25">
      <c r="A31868" t="s">
        <v>357</v>
      </c>
      <c r="B31868" s="1" t="str">
        <f>HYPERLINK("http://sonymusic.com.tw","sonymusic.com.tw")</f>
        <v>sonymusic.com.tw</v>
      </c>
      <c r="C31868" t="s">
        <v>504</v>
      </c>
      <c r="D31868" t="s">
        <v>878</v>
      </c>
      <c r="F31868">
        <v>1.5605971596949499E-7</v>
      </c>
      <c r="G31868">
        <v>248849</v>
      </c>
      <c r="H31868">
        <v>14960448</v>
      </c>
      <c r="I31868">
        <v>437143</v>
      </c>
      <c r="J31868">
        <v>5</v>
      </c>
    </row>
    <row r="31869" spans="1:10" x14ac:dyDescent="0.25">
      <c r="A31869" t="s">
        <v>357</v>
      </c>
      <c r="B31869" s="1" t="str">
        <f>HYPERLINK("http://sonypictures.com.tw","sonypictures.com.tw")</f>
        <v>sonypictures.com.tw</v>
      </c>
      <c r="C31869" t="s">
        <v>504</v>
      </c>
      <c r="D31869" t="s">
        <v>878</v>
      </c>
      <c r="F31869">
        <v>1.23784280055147E-8</v>
      </c>
      <c r="G31869">
        <v>4951174</v>
      </c>
      <c r="H31869">
        <v>14244910</v>
      </c>
      <c r="I31869">
        <v>1469340</v>
      </c>
      <c r="J31869">
        <v>4</v>
      </c>
    </row>
    <row r="31870" spans="1:10" x14ac:dyDescent="0.25">
      <c r="A31870" t="s">
        <v>357</v>
      </c>
      <c r="B31870" s="1" t="str">
        <f>HYPERLINK("http://sony.tw","sony.tw")</f>
        <v>sony.tw</v>
      </c>
      <c r="C31870" t="s">
        <v>504</v>
      </c>
      <c r="D31870" t="s">
        <v>878</v>
      </c>
      <c r="F31870">
        <v>8.5890418360096901E-9</v>
      </c>
      <c r="G31870">
        <v>8676253</v>
      </c>
      <c r="H31870">
        <v>13376242</v>
      </c>
      <c r="I31870">
        <v>10442093</v>
      </c>
      <c r="J31870">
        <v>3</v>
      </c>
    </row>
    <row r="31871" spans="1:10" x14ac:dyDescent="0.25">
      <c r="A31871" t="s">
        <v>357</v>
      </c>
      <c r="B31871" s="1" t="str">
        <f>HYPERLINK("http://olympus.ua","olympus.ua")</f>
        <v>olympus.ua</v>
      </c>
      <c r="C31871" t="s">
        <v>505</v>
      </c>
      <c r="D31871" t="s">
        <v>879</v>
      </c>
      <c r="F31871">
        <v>2.8705873417980599E-8</v>
      </c>
      <c r="G31871">
        <v>1792811</v>
      </c>
      <c r="H31871">
        <v>14071861</v>
      </c>
      <c r="I31871">
        <v>3293067</v>
      </c>
      <c r="J31871">
        <v>5</v>
      </c>
    </row>
    <row r="31872" spans="1:10" x14ac:dyDescent="0.25">
      <c r="A31872" t="s">
        <v>357</v>
      </c>
      <c r="B31872" s="1" t="str">
        <f>HYPERLINK("http://sony.ua","sony.ua")</f>
        <v>sony.ua</v>
      </c>
      <c r="C31872" t="s">
        <v>505</v>
      </c>
      <c r="D31872" t="s">
        <v>879</v>
      </c>
      <c r="E31872">
        <v>972720</v>
      </c>
      <c r="F31872">
        <v>1.04188228525515E-7</v>
      </c>
      <c r="G31872">
        <v>384832</v>
      </c>
      <c r="H31872">
        <v>13784306</v>
      </c>
      <c r="I31872">
        <v>6414215</v>
      </c>
      <c r="J31872">
        <v>2</v>
      </c>
    </row>
    <row r="31873" spans="1:10" x14ac:dyDescent="0.25">
      <c r="A31873" t="s">
        <v>357</v>
      </c>
      <c r="B31873" s="1" t="str">
        <f>HYPERLINK("http://culturecreative.co.uk","culturecreative.co.uk")</f>
        <v>culturecreative.co.uk</v>
      </c>
      <c r="C31873" t="s">
        <v>506</v>
      </c>
      <c r="D31873" t="s">
        <v>880</v>
      </c>
      <c r="F31873">
        <v>3.7172386915897203E-8</v>
      </c>
      <c r="G31873">
        <v>1393618</v>
      </c>
      <c r="H31873">
        <v>13509823</v>
      </c>
      <c r="I31873">
        <v>9952449</v>
      </c>
      <c r="J31873">
        <v>8</v>
      </c>
    </row>
    <row r="31874" spans="1:10" x14ac:dyDescent="0.25">
      <c r="A31874" t="s">
        <v>357</v>
      </c>
      <c r="B31874" s="1" t="str">
        <f>HYPERLINK("http://hawkeyeinnovations.co.uk","hawkeyeinnovations.co.uk")</f>
        <v>hawkeyeinnovations.co.uk</v>
      </c>
      <c r="C31874" t="s">
        <v>506</v>
      </c>
      <c r="D31874" t="s">
        <v>880</v>
      </c>
      <c r="F31874">
        <v>5.1648032090209602E-8</v>
      </c>
      <c r="G31874">
        <v>885293</v>
      </c>
      <c r="H31874">
        <v>14552172</v>
      </c>
      <c r="I31874">
        <v>757117</v>
      </c>
      <c r="J31874">
        <v>4</v>
      </c>
    </row>
    <row r="31875" spans="1:10" x14ac:dyDescent="0.25">
      <c r="A31875" t="s">
        <v>357</v>
      </c>
      <c r="B31875" s="1" t="str">
        <f>HYPERLINK("http://keymed.co.uk","keymed.co.uk")</f>
        <v>keymed.co.uk</v>
      </c>
      <c r="C31875" t="s">
        <v>506</v>
      </c>
      <c r="D31875" t="s">
        <v>880</v>
      </c>
      <c r="F31875">
        <v>4.98997803142859E-9</v>
      </c>
      <c r="G31875">
        <v>29671393</v>
      </c>
      <c r="H31875">
        <v>12279177</v>
      </c>
      <c r="I31875">
        <v>21325429</v>
      </c>
      <c r="J31875">
        <v>7</v>
      </c>
    </row>
    <row r="31876" spans="1:10" x14ac:dyDescent="0.25">
      <c r="A31876" t="s">
        <v>357</v>
      </c>
      <c r="B31876" s="1" t="str">
        <f>HYPERLINK("http://leftbankpictures.co.uk","leftbankpictures.co.uk")</f>
        <v>leftbankpictures.co.uk</v>
      </c>
      <c r="C31876" t="s">
        <v>506</v>
      </c>
      <c r="D31876" t="s">
        <v>880</v>
      </c>
      <c r="F31876">
        <v>6.8598152646692303E-8</v>
      </c>
      <c r="G31876">
        <v>620347</v>
      </c>
      <c r="H31876">
        <v>16942022</v>
      </c>
      <c r="I31876">
        <v>111692</v>
      </c>
      <c r="J31876">
        <v>4</v>
      </c>
    </row>
    <row r="31877" spans="1:10" x14ac:dyDescent="0.25">
      <c r="A31877" t="s">
        <v>357</v>
      </c>
      <c r="B31877" s="1" t="str">
        <f>HYPERLINK("http://olympus.co.uk","olympus.co.uk")</f>
        <v>olympus.co.uk</v>
      </c>
      <c r="C31877" t="s">
        <v>506</v>
      </c>
      <c r="D31877" t="s">
        <v>880</v>
      </c>
      <c r="E31877">
        <v>277683</v>
      </c>
      <c r="F31877">
        <v>1.2670150993152799E-7</v>
      </c>
      <c r="G31877">
        <v>311256</v>
      </c>
      <c r="H31877">
        <v>14861797</v>
      </c>
      <c r="I31877">
        <v>483795</v>
      </c>
      <c r="J31877">
        <v>4</v>
      </c>
    </row>
    <row r="31878" spans="1:10" x14ac:dyDescent="0.25">
      <c r="A31878" t="s">
        <v>357</v>
      </c>
      <c r="B31878" s="1" t="str">
        <f>HYPERLINK("http://raymondgubbay.co.uk","raymondgubbay.co.uk")</f>
        <v>raymondgubbay.co.uk</v>
      </c>
      <c r="C31878" t="s">
        <v>506</v>
      </c>
      <c r="D31878" t="s">
        <v>880</v>
      </c>
      <c r="F31878">
        <v>2.9439805834881801E-8</v>
      </c>
      <c r="G31878">
        <v>1750599</v>
      </c>
      <c r="H31878">
        <v>14229384</v>
      </c>
      <c r="I31878">
        <v>1675441</v>
      </c>
      <c r="J31878">
        <v>8</v>
      </c>
    </row>
    <row r="31879" spans="1:10" x14ac:dyDescent="0.25">
      <c r="A31879" t="s">
        <v>357</v>
      </c>
      <c r="B31879" s="1" t="str">
        <f>HYPERLINK("http://sony.co.uk","sony.co.uk")</f>
        <v>sony.co.uk</v>
      </c>
      <c r="C31879" t="s">
        <v>506</v>
      </c>
      <c r="D31879" t="s">
        <v>880</v>
      </c>
      <c r="E31879">
        <v>15127</v>
      </c>
      <c r="F31879">
        <v>1.4711597654653599E-6</v>
      </c>
      <c r="G31879">
        <v>26652</v>
      </c>
      <c r="H31879">
        <v>17457368</v>
      </c>
      <c r="I31879">
        <v>15748</v>
      </c>
      <c r="J31879">
        <v>2</v>
      </c>
    </row>
    <row r="31880" spans="1:10" x14ac:dyDescent="0.25">
      <c r="A31880" t="s">
        <v>357</v>
      </c>
      <c r="B31880" s="1" t="str">
        <f>HYPERLINK("http://sony-semicon.co.uk","sony-semicon.co.uk")</f>
        <v>sony-semicon.co.uk</v>
      </c>
      <c r="C31880" t="s">
        <v>506</v>
      </c>
      <c r="D31880" t="s">
        <v>880</v>
      </c>
      <c r="F31880">
        <v>5.7680634541932096E-9</v>
      </c>
      <c r="G31880">
        <v>18341975</v>
      </c>
      <c r="H31880">
        <v>12151197</v>
      </c>
      <c r="I31880">
        <v>24590981</v>
      </c>
      <c r="J31880">
        <v>4</v>
      </c>
    </row>
    <row r="31881" spans="1:10" x14ac:dyDescent="0.25">
      <c r="A31881" t="s">
        <v>357</v>
      </c>
      <c r="B31881" s="1" t="str">
        <f>HYPERLINK("http://sonycentres.co.uk","sonycentres.co.uk")</f>
        <v>sonycentres.co.uk</v>
      </c>
      <c r="C31881" t="s">
        <v>506</v>
      </c>
      <c r="D31881" t="s">
        <v>880</v>
      </c>
      <c r="F31881">
        <v>4.7684283168531599E-9</v>
      </c>
      <c r="G31881">
        <v>37442800</v>
      </c>
      <c r="H31881">
        <v>12244738</v>
      </c>
      <c r="I31881">
        <v>22133154</v>
      </c>
      <c r="J31881">
        <v>5</v>
      </c>
    </row>
    <row r="31882" spans="1:10" x14ac:dyDescent="0.25">
      <c r="A31882" t="s">
        <v>357</v>
      </c>
      <c r="B31882" s="1" t="str">
        <f>HYPERLINK("http://sonymusic.co.uk","sonymusic.co.uk")</f>
        <v>sonymusic.co.uk</v>
      </c>
      <c r="C31882" t="s">
        <v>506</v>
      </c>
      <c r="D31882" t="s">
        <v>880</v>
      </c>
      <c r="E31882">
        <v>314958</v>
      </c>
      <c r="F31882">
        <v>3.0452962113793502E-7</v>
      </c>
      <c r="G31882">
        <v>122076</v>
      </c>
      <c r="H31882">
        <v>14957498</v>
      </c>
      <c r="I31882">
        <v>438102</v>
      </c>
      <c r="J31882">
        <v>5</v>
      </c>
    </row>
    <row r="31883" spans="1:10" x14ac:dyDescent="0.25">
      <c r="A31883" t="s">
        <v>357</v>
      </c>
      <c r="B31883" s="1" t="str">
        <f>HYPERLINK("http://sonypictures.co.uk","sonypictures.co.uk")</f>
        <v>sonypictures.co.uk</v>
      </c>
      <c r="C31883" t="s">
        <v>506</v>
      </c>
      <c r="D31883" t="s">
        <v>880</v>
      </c>
      <c r="E31883">
        <v>218432</v>
      </c>
      <c r="F31883">
        <v>8.9343027919111097E-8</v>
      </c>
      <c r="G31883">
        <v>457274</v>
      </c>
      <c r="H31883">
        <v>14723978</v>
      </c>
      <c r="I31883">
        <v>576293</v>
      </c>
      <c r="J31883">
        <v>4</v>
      </c>
    </row>
    <row r="31884" spans="1:10" x14ac:dyDescent="0.25">
      <c r="A31884" t="s">
        <v>357</v>
      </c>
      <c r="B31884" s="1" t="str">
        <f>HYPERLINK("http://sphe-publicity.co.uk","sphe-publicity.co.uk")</f>
        <v>sphe-publicity.co.uk</v>
      </c>
      <c r="C31884" t="s">
        <v>506</v>
      </c>
      <c r="D31884" t="s">
        <v>880</v>
      </c>
      <c r="J31884">
        <v>3</v>
      </c>
    </row>
    <row r="31885" spans="1:10" x14ac:dyDescent="0.25">
      <c r="A31885" t="s">
        <v>357</v>
      </c>
      <c r="B31885" s="1" t="str">
        <f>HYPERLINK("http://d3publisher.us","d3publisher.us")</f>
        <v>d3publisher.us</v>
      </c>
      <c r="C31885" t="s">
        <v>522</v>
      </c>
      <c r="D31885" t="s">
        <v>891</v>
      </c>
      <c r="F31885">
        <v>3.0143375594650399E-8</v>
      </c>
      <c r="G31885">
        <v>1707090</v>
      </c>
      <c r="H31885">
        <v>14622551</v>
      </c>
      <c r="I31885">
        <v>655053</v>
      </c>
      <c r="J31885">
        <v>8</v>
      </c>
    </row>
    <row r="31886" spans="1:10" x14ac:dyDescent="0.25">
      <c r="A31886" t="s">
        <v>357</v>
      </c>
      <c r="B31886" s="1" t="str">
        <f>HYPERLINK("http://sony.com.vn","sony.com.vn")</f>
        <v>sony.com.vn</v>
      </c>
      <c r="C31886" t="s">
        <v>509</v>
      </c>
      <c r="D31886" t="s">
        <v>883</v>
      </c>
      <c r="E31886">
        <v>299136</v>
      </c>
      <c r="F31886">
        <v>2.7564079414487802E-7</v>
      </c>
      <c r="G31886">
        <v>134952</v>
      </c>
      <c r="H31886">
        <v>14509803</v>
      </c>
      <c r="I31886">
        <v>825308</v>
      </c>
      <c r="J31886">
        <v>2</v>
      </c>
    </row>
    <row r="31887" spans="1:10" x14ac:dyDescent="0.25">
      <c r="A31887" t="s">
        <v>358</v>
      </c>
      <c r="B31887" s="1" t="str">
        <f>HYPERLINK("http://adobesolar.com","adobesolar.com")</f>
        <v>adobesolar.com</v>
      </c>
      <c r="C31887" t="s">
        <v>433</v>
      </c>
      <c r="F31887">
        <v>4.5081535431902504E-9</v>
      </c>
      <c r="G31887">
        <v>57773309</v>
      </c>
      <c r="H31887">
        <v>12428454</v>
      </c>
      <c r="I31887">
        <v>18325639</v>
      </c>
      <c r="J31887">
        <v>3</v>
      </c>
    </row>
    <row r="31888" spans="1:10" x14ac:dyDescent="0.25">
      <c r="A31888" t="s">
        <v>358</v>
      </c>
      <c r="B31888" s="1" t="str">
        <f>HYPERLINK("http://aglresources.com","aglresources.com")</f>
        <v>aglresources.com</v>
      </c>
      <c r="C31888" t="s">
        <v>433</v>
      </c>
      <c r="F31888">
        <v>5.4419552207595503E-8</v>
      </c>
      <c r="G31888">
        <v>829516</v>
      </c>
      <c r="H31888">
        <v>14613566</v>
      </c>
      <c r="I31888">
        <v>674610</v>
      </c>
      <c r="J31888">
        <v>4</v>
      </c>
    </row>
    <row r="31889" spans="1:10" x14ac:dyDescent="0.25">
      <c r="A31889" t="s">
        <v>358</v>
      </c>
      <c r="B31889" s="1" t="str">
        <f>HYPERLINK("http://alabamapower.com","alabamapower.com")</f>
        <v>alabamapower.com</v>
      </c>
      <c r="C31889" t="s">
        <v>433</v>
      </c>
      <c r="E31889">
        <v>160663</v>
      </c>
      <c r="F31889">
        <v>2.8528218648528202E-7</v>
      </c>
      <c r="G31889">
        <v>130297</v>
      </c>
      <c r="H31889">
        <v>15120454</v>
      </c>
      <c r="I31889">
        <v>403653</v>
      </c>
      <c r="J31889">
        <v>2</v>
      </c>
    </row>
    <row r="31890" spans="1:10" x14ac:dyDescent="0.25">
      <c r="A31890" t="s">
        <v>358</v>
      </c>
      <c r="B31890" s="1" t="str">
        <f>HYPERLINK("http://atlantagaslight.com","atlantagaslight.com")</f>
        <v>atlantagaslight.com</v>
      </c>
      <c r="C31890" t="s">
        <v>433</v>
      </c>
      <c r="E31890">
        <v>936087</v>
      </c>
      <c r="F31890">
        <v>8.5207669836453395E-8</v>
      </c>
      <c r="G31890">
        <v>484037</v>
      </c>
      <c r="H31890">
        <v>14167349</v>
      </c>
      <c r="I31890">
        <v>1815743</v>
      </c>
      <c r="J31890">
        <v>3</v>
      </c>
    </row>
    <row r="31891" spans="1:10" x14ac:dyDescent="0.25">
      <c r="A31891" t="s">
        <v>358</v>
      </c>
      <c r="B31891" s="1" t="str">
        <f>HYPERLINK("http://energydirect.com","energydirect.com")</f>
        <v>energydirect.com</v>
      </c>
      <c r="C31891" t="s">
        <v>433</v>
      </c>
      <c r="F31891">
        <v>9.7814091722860793E-9</v>
      </c>
      <c r="G31891">
        <v>6988869</v>
      </c>
      <c r="H31891">
        <v>12409540</v>
      </c>
      <c r="I31891">
        <v>18614189</v>
      </c>
      <c r="J31891">
        <v>2</v>
      </c>
    </row>
    <row r="31892" spans="1:10" x14ac:dyDescent="0.25">
      <c r="A31892" t="s">
        <v>358</v>
      </c>
      <c r="B31892" s="1" t="str">
        <f>HYPERLINK("http://georgiapower.com","georgiapower.com")</f>
        <v>georgiapower.com</v>
      </c>
      <c r="C31892" t="s">
        <v>433</v>
      </c>
      <c r="E31892">
        <v>68710</v>
      </c>
      <c r="F31892">
        <v>6.3768793797937996E-7</v>
      </c>
      <c r="G31892">
        <v>60225</v>
      </c>
      <c r="H31892">
        <v>17300500</v>
      </c>
      <c r="I31892">
        <v>27825</v>
      </c>
      <c r="J31892">
        <v>2</v>
      </c>
    </row>
    <row r="31893" spans="1:10" x14ac:dyDescent="0.25">
      <c r="A31893" t="s">
        <v>358</v>
      </c>
      <c r="B31893" s="1" t="str">
        <f>HYPERLINK("http://gng.com","gng.com")</f>
        <v>gng.com</v>
      </c>
      <c r="C31893" t="s">
        <v>433</v>
      </c>
      <c r="E31893">
        <v>248607</v>
      </c>
      <c r="F31893">
        <v>7.1727882372262895E-8</v>
      </c>
      <c r="G31893">
        <v>589006</v>
      </c>
      <c r="H31893">
        <v>13792779</v>
      </c>
      <c r="I31893">
        <v>6327316</v>
      </c>
      <c r="J31893">
        <v>2</v>
      </c>
    </row>
    <row r="31894" spans="1:10" x14ac:dyDescent="0.25">
      <c r="A31894" t="s">
        <v>358</v>
      </c>
      <c r="B31894" s="1" t="str">
        <f>HYPERLINK("http://gulfpower.com","gulfpower.com")</f>
        <v>gulfpower.com</v>
      </c>
      <c r="C31894" t="s">
        <v>433</v>
      </c>
      <c r="E31894">
        <v>258701</v>
      </c>
      <c r="F31894">
        <v>9.84101464867594E-8</v>
      </c>
      <c r="G31894">
        <v>409807</v>
      </c>
      <c r="H31894">
        <v>14357191</v>
      </c>
      <c r="I31894">
        <v>1305928</v>
      </c>
      <c r="J31894">
        <v>5</v>
      </c>
    </row>
    <row r="31895" spans="1:10" x14ac:dyDescent="0.25">
      <c r="A31895" t="s">
        <v>358</v>
      </c>
      <c r="B31895" s="1" t="str">
        <f>HYPERLINK("http://illenergy.com","illenergy.com")</f>
        <v>illenergy.com</v>
      </c>
      <c r="C31895" t="s">
        <v>433</v>
      </c>
      <c r="F31895">
        <v>1.0483216186825301E-8</v>
      </c>
      <c r="G31895">
        <v>6284094</v>
      </c>
      <c r="H31895">
        <v>12591109</v>
      </c>
      <c r="I31895">
        <v>16404920</v>
      </c>
      <c r="J31895">
        <v>2</v>
      </c>
    </row>
    <row r="31896" spans="1:10" x14ac:dyDescent="0.25">
      <c r="A31896" t="s">
        <v>358</v>
      </c>
      <c r="B31896" s="1" t="str">
        <f>HYPERLINK("http://illenergysolutions.com","illenergysolutions.com")</f>
        <v>illenergysolutions.com</v>
      </c>
      <c r="C31896" t="s">
        <v>433</v>
      </c>
      <c r="F31896">
        <v>1.46310004308503E-8</v>
      </c>
      <c r="G31896">
        <v>3965308</v>
      </c>
      <c r="H31896">
        <v>12591003</v>
      </c>
      <c r="I31896">
        <v>16406145</v>
      </c>
      <c r="J31896">
        <v>2</v>
      </c>
    </row>
    <row r="31897" spans="1:10" x14ac:dyDescent="0.25">
      <c r="A31897" t="s">
        <v>358</v>
      </c>
      <c r="B31897" s="1" t="str">
        <f>HYPERLINK("http://marylandenergy.com","marylandenergy.com")</f>
        <v>marylandenergy.com</v>
      </c>
      <c r="C31897" t="s">
        <v>433</v>
      </c>
      <c r="F31897">
        <v>6.3452012791174801E-9</v>
      </c>
      <c r="G31897">
        <v>14785411</v>
      </c>
      <c r="H31897">
        <v>10955938</v>
      </c>
      <c r="I31897">
        <v>34450185</v>
      </c>
      <c r="J31897">
        <v>2</v>
      </c>
    </row>
    <row r="31898" spans="1:10" x14ac:dyDescent="0.25">
      <c r="A31898" t="s">
        <v>358</v>
      </c>
      <c r="B31898" s="1" t="str">
        <f>HYPERLINK("http://mississippipower.com","mississippipower.com")</f>
        <v>mississippipower.com</v>
      </c>
      <c r="C31898" t="s">
        <v>433</v>
      </c>
      <c r="E31898">
        <v>591531</v>
      </c>
      <c r="F31898">
        <v>1.1910376946739999E-7</v>
      </c>
      <c r="G31898">
        <v>332171</v>
      </c>
      <c r="H31898">
        <v>14602444</v>
      </c>
      <c r="I31898">
        <v>684216</v>
      </c>
      <c r="J31898">
        <v>3</v>
      </c>
    </row>
    <row r="31899" spans="1:10" x14ac:dyDescent="0.25">
      <c r="A31899" t="s">
        <v>358</v>
      </c>
      <c r="B31899" s="1" t="str">
        <f>HYPERLINK("http://ohionaturalgas.com","ohionaturalgas.com")</f>
        <v>ohionaturalgas.com</v>
      </c>
      <c r="C31899" t="s">
        <v>433</v>
      </c>
      <c r="F31899">
        <v>1.48702570249271E-8</v>
      </c>
      <c r="G31899">
        <v>3882605</v>
      </c>
      <c r="H31899">
        <v>12820021</v>
      </c>
      <c r="I31899">
        <v>14507408</v>
      </c>
      <c r="J31899">
        <v>2</v>
      </c>
    </row>
    <row r="31900" spans="1:10" x14ac:dyDescent="0.25">
      <c r="A31900" t="s">
        <v>358</v>
      </c>
      <c r="B31900" s="1" t="str">
        <f>HYPERLINK("http://onlyong.com","onlyong.com")</f>
        <v>onlyong.com</v>
      </c>
      <c r="C31900" t="s">
        <v>433</v>
      </c>
      <c r="F31900">
        <v>5.0216242607156703E-9</v>
      </c>
      <c r="G31900">
        <v>28862532</v>
      </c>
      <c r="H31900">
        <v>11327158</v>
      </c>
      <c r="I31900">
        <v>30474461</v>
      </c>
      <c r="J31900">
        <v>2</v>
      </c>
    </row>
    <row r="31901" spans="1:10" x14ac:dyDescent="0.25">
      <c r="A31901" t="s">
        <v>358</v>
      </c>
      <c r="B31901" s="1" t="str">
        <f>HYPERLINK("http://pennsylvaniaenergy.com","pennsylvaniaenergy.com")</f>
        <v>pennsylvaniaenergy.com</v>
      </c>
      <c r="C31901" t="s">
        <v>433</v>
      </c>
      <c r="F31901">
        <v>5.6826020567725504E-9</v>
      </c>
      <c r="G31901">
        <v>19107924</v>
      </c>
      <c r="H31901">
        <v>10789056</v>
      </c>
      <c r="I31901">
        <v>38534118</v>
      </c>
      <c r="J31901">
        <v>2</v>
      </c>
    </row>
    <row r="31902" spans="1:10" x14ac:dyDescent="0.25">
      <c r="A31902" t="s">
        <v>358</v>
      </c>
      <c r="B31902" s="1" t="str">
        <f>HYPERLINK("http://powerofgood.com","powerofgood.com")</f>
        <v>powerofgood.com</v>
      </c>
      <c r="C31902" t="s">
        <v>433</v>
      </c>
      <c r="F31902">
        <v>4.6660557709926799E-8</v>
      </c>
      <c r="G31902">
        <v>1001616</v>
      </c>
      <c r="H31902">
        <v>13517381</v>
      </c>
      <c r="I31902">
        <v>9941726</v>
      </c>
      <c r="J31902">
        <v>5</v>
      </c>
    </row>
    <row r="31903" spans="1:10" x14ac:dyDescent="0.25">
      <c r="A31903" t="s">
        <v>358</v>
      </c>
      <c r="B31903" s="1" t="str">
        <f>HYPERLINK("http://southernco.com","southernco.com")</f>
        <v>southernco.com</v>
      </c>
      <c r="C31903" t="s">
        <v>433</v>
      </c>
      <c r="E31903">
        <v>38748</v>
      </c>
      <c r="F31903">
        <v>6.6677775796342103E-8</v>
      </c>
      <c r="G31903">
        <v>642197</v>
      </c>
      <c r="H31903">
        <v>14344350</v>
      </c>
      <c r="I31903">
        <v>1313353</v>
      </c>
      <c r="J31903">
        <v>2</v>
      </c>
    </row>
    <row r="31904" spans="1:10" x14ac:dyDescent="0.25">
      <c r="A31904" t="s">
        <v>358</v>
      </c>
      <c r="B31904" s="1" t="str">
        <f>HYPERLINK("http://southerncompany.com","southerncompany.com")</f>
        <v>southerncompany.com</v>
      </c>
      <c r="C31904" t="s">
        <v>433</v>
      </c>
      <c r="E31904">
        <v>27414</v>
      </c>
      <c r="F31904">
        <v>6.6416683879154098E-7</v>
      </c>
      <c r="G31904">
        <v>57987</v>
      </c>
      <c r="H31904">
        <v>17308526</v>
      </c>
      <c r="I31904">
        <v>26952</v>
      </c>
      <c r="J31904">
        <v>1</v>
      </c>
    </row>
    <row r="31905" spans="1:10" x14ac:dyDescent="0.25">
      <c r="A31905" t="s">
        <v>358</v>
      </c>
      <c r="B31905" s="1" t="str">
        <f>HYPERLINK("http://southerncompanygas.com","southerncompanygas.com")</f>
        <v>southerncompanygas.com</v>
      </c>
      <c r="C31905" t="s">
        <v>433</v>
      </c>
      <c r="F31905">
        <v>4.74494683737509E-8</v>
      </c>
      <c r="G31905">
        <v>981766</v>
      </c>
      <c r="H31905">
        <v>13536055</v>
      </c>
      <c r="I31905">
        <v>9912550</v>
      </c>
      <c r="J31905">
        <v>4</v>
      </c>
    </row>
    <row r="31906" spans="1:10" x14ac:dyDescent="0.25">
      <c r="A31906" t="s">
        <v>358</v>
      </c>
      <c r="B31906" s="1" t="str">
        <f>HYPERLINK("http://southernlinc.com","southernlinc.com")</f>
        <v>southernlinc.com</v>
      </c>
      <c r="C31906" t="s">
        <v>433</v>
      </c>
      <c r="E31906">
        <v>5334</v>
      </c>
      <c r="F31906">
        <v>3.7261160433253597E-8</v>
      </c>
      <c r="G31906">
        <v>1389843</v>
      </c>
      <c r="H31906">
        <v>13447960</v>
      </c>
      <c r="I31906">
        <v>10213498</v>
      </c>
      <c r="J31906">
        <v>2</v>
      </c>
    </row>
    <row r="31907" spans="1:10" x14ac:dyDescent="0.25">
      <c r="A31907" t="s">
        <v>358</v>
      </c>
      <c r="B31907" s="1" t="str">
        <f>HYPERLINK("http://southernpowercompany.com","southernpowercompany.com")</f>
        <v>southernpowercompany.com</v>
      </c>
      <c r="C31907" t="s">
        <v>433</v>
      </c>
      <c r="F31907">
        <v>1.16145004803776E-8</v>
      </c>
      <c r="G31907">
        <v>5423565</v>
      </c>
      <c r="H31907">
        <v>13934941</v>
      </c>
      <c r="I31907">
        <v>4561313</v>
      </c>
      <c r="J31907">
        <v>3</v>
      </c>
    </row>
    <row r="31908" spans="1:10" x14ac:dyDescent="0.25">
      <c r="A31908" t="s">
        <v>358</v>
      </c>
      <c r="B31908" s="1" t="str">
        <f>HYPERLINK("http://southstarenergy.com","southstarenergy.com")</f>
        <v>southstarenergy.com</v>
      </c>
      <c r="C31908" t="s">
        <v>433</v>
      </c>
      <c r="F31908">
        <v>7.9374915802402001E-9</v>
      </c>
      <c r="G31908">
        <v>10038552</v>
      </c>
      <c r="H31908">
        <v>12342396</v>
      </c>
      <c r="I31908">
        <v>19908056</v>
      </c>
      <c r="J31908">
        <v>2</v>
      </c>
    </row>
    <row r="31909" spans="1:10" x14ac:dyDescent="0.25">
      <c r="A31909" t="s">
        <v>358</v>
      </c>
      <c r="B31909" s="1" t="str">
        <f>HYPERLINK("http://southerncompany.info","southerncompany.info")</f>
        <v>southerncompany.info</v>
      </c>
      <c r="C31909" t="s">
        <v>458</v>
      </c>
      <c r="F31909">
        <v>2.80528280056619E-8</v>
      </c>
      <c r="G31909">
        <v>1833951</v>
      </c>
      <c r="H31909">
        <v>13410056</v>
      </c>
      <c r="I31909">
        <v>10340233</v>
      </c>
      <c r="J31909">
        <v>2</v>
      </c>
    </row>
    <row r="31910" spans="1:10" x14ac:dyDescent="0.25">
      <c r="A31910" t="s">
        <v>358</v>
      </c>
      <c r="B31910" s="1" t="str">
        <f>HYPERLINK("http://southerncompany.jobs","southerncompany.jobs")</f>
        <v>southerncompany.jobs</v>
      </c>
      <c r="C31910" t="s">
        <v>521</v>
      </c>
      <c r="F31910">
        <v>3.9811450258394199E-8</v>
      </c>
      <c r="G31910">
        <v>1297767</v>
      </c>
      <c r="H31910">
        <v>13763561</v>
      </c>
      <c r="I31910">
        <v>9412437</v>
      </c>
      <c r="J31910">
        <v>2</v>
      </c>
    </row>
    <row r="31911" spans="1:10" x14ac:dyDescent="0.25">
      <c r="A31911" t="s">
        <v>358</v>
      </c>
      <c r="B31911" s="1" t="str">
        <f>HYPERLINK("http://edr.sc","edr.sc")</f>
        <v>edr.sc</v>
      </c>
      <c r="C31911" t="s">
        <v>664</v>
      </c>
      <c r="D31911" t="s">
        <v>983</v>
      </c>
      <c r="J31911">
        <v>2</v>
      </c>
    </row>
    <row r="31912" spans="1:10" x14ac:dyDescent="0.25">
      <c r="A31912" t="s">
        <v>359</v>
      </c>
      <c r="B31912" s="1" t="str">
        <f>HYPERLINK("http://grupomexico.com","grupomexico.com")</f>
        <v>grupomexico.com</v>
      </c>
      <c r="C31912" t="s">
        <v>433</v>
      </c>
      <c r="F31912">
        <v>6.3315196854192699E-9</v>
      </c>
      <c r="G31912">
        <v>14881376</v>
      </c>
      <c r="H31912">
        <v>13292753</v>
      </c>
      <c r="I31912">
        <v>10868668</v>
      </c>
      <c r="J31912">
        <v>3</v>
      </c>
    </row>
    <row r="31913" spans="1:10" x14ac:dyDescent="0.25">
      <c r="A31913" t="s">
        <v>359</v>
      </c>
      <c r="B31913" s="1" t="str">
        <f>HYPERLINK("http://southerncoppercorp.com","southerncoppercorp.com")</f>
        <v>southerncoppercorp.com</v>
      </c>
      <c r="C31913" t="s">
        <v>433</v>
      </c>
      <c r="F31913">
        <v>8.3587115326471194E-8</v>
      </c>
      <c r="G31913">
        <v>496289</v>
      </c>
      <c r="H31913">
        <v>14130032</v>
      </c>
      <c r="I31913">
        <v>2037180</v>
      </c>
      <c r="J31913">
        <v>1</v>
      </c>
    </row>
    <row r="31914" spans="1:10" x14ac:dyDescent="0.25">
      <c r="A31914" t="s">
        <v>359</v>
      </c>
      <c r="B31914" s="1" t="str">
        <f>HYPERLINK("http://southernperu.com","southernperu.com")</f>
        <v>southernperu.com</v>
      </c>
      <c r="C31914" t="s">
        <v>433</v>
      </c>
      <c r="F31914">
        <v>3.74993023280112E-8</v>
      </c>
      <c r="G31914">
        <v>1380157</v>
      </c>
      <c r="H31914">
        <v>14338629</v>
      </c>
      <c r="I31914">
        <v>1317558</v>
      </c>
      <c r="J31914">
        <v>4</v>
      </c>
    </row>
    <row r="31915" spans="1:10" x14ac:dyDescent="0.25">
      <c r="A31915" t="s">
        <v>360</v>
      </c>
      <c r="B31915" s="1" t="str">
        <f>HYPERLINK("http://starbucks.ae","starbucks.ae")</f>
        <v>starbucks.ae</v>
      </c>
      <c r="C31915" t="s">
        <v>417</v>
      </c>
      <c r="D31915" t="s">
        <v>799</v>
      </c>
      <c r="E31915">
        <v>386103</v>
      </c>
      <c r="F31915">
        <v>2.8676037990279E-8</v>
      </c>
      <c r="G31915">
        <v>1794610</v>
      </c>
      <c r="H31915">
        <v>13020735</v>
      </c>
      <c r="I31915">
        <v>12709505</v>
      </c>
      <c r="J31915">
        <v>2</v>
      </c>
    </row>
    <row r="31916" spans="1:10" x14ac:dyDescent="0.25">
      <c r="A31916" t="s">
        <v>360</v>
      </c>
      <c r="B31916" s="1" t="str">
        <f>HYPERLINK("http://ilverooriente.com.ar","ilverooriente.com.ar")</f>
        <v>ilverooriente.com.ar</v>
      </c>
      <c r="C31916" t="s">
        <v>418</v>
      </c>
      <c r="D31916" t="s">
        <v>800</v>
      </c>
      <c r="J31916">
        <v>4</v>
      </c>
    </row>
    <row r="31917" spans="1:10" x14ac:dyDescent="0.25">
      <c r="A31917" t="s">
        <v>360</v>
      </c>
      <c r="B31917" s="1" t="str">
        <f>HYPERLINK("http://starbucks.com.ar","starbucks.com.ar")</f>
        <v>starbucks.com.ar</v>
      </c>
      <c r="C31917" t="s">
        <v>418</v>
      </c>
      <c r="D31917" t="s">
        <v>800</v>
      </c>
      <c r="F31917">
        <v>3.10489869748166E-8</v>
      </c>
      <c r="G31917">
        <v>1659936</v>
      </c>
      <c r="H31917">
        <v>13570215</v>
      </c>
      <c r="I31917">
        <v>9725796</v>
      </c>
      <c r="J31917">
        <v>2</v>
      </c>
    </row>
    <row r="31918" spans="1:10" x14ac:dyDescent="0.25">
      <c r="A31918" t="s">
        <v>360</v>
      </c>
      <c r="B31918" s="1" t="str">
        <f>HYPERLINK("http://starbucks.at","starbucks.at")</f>
        <v>starbucks.at</v>
      </c>
      <c r="C31918" t="s">
        <v>419</v>
      </c>
      <c r="D31918" t="s">
        <v>801</v>
      </c>
      <c r="F31918">
        <v>7.1420288655451101E-8</v>
      </c>
      <c r="G31918">
        <v>591739</v>
      </c>
      <c r="H31918">
        <v>16941496</v>
      </c>
      <c r="I31918">
        <v>111950</v>
      </c>
      <c r="J31918">
        <v>2</v>
      </c>
    </row>
    <row r="31919" spans="1:10" x14ac:dyDescent="0.25">
      <c r="A31919" t="s">
        <v>360</v>
      </c>
      <c r="B31919" s="1" t="str">
        <f>HYPERLINK("http://delafrance.com.au","delafrance.com.au")</f>
        <v>delafrance.com.au</v>
      </c>
      <c r="C31919" t="s">
        <v>420</v>
      </c>
      <c r="D31919" t="s">
        <v>802</v>
      </c>
      <c r="F31919">
        <v>4.4522434075896201E-9</v>
      </c>
      <c r="G31919">
        <v>70739201</v>
      </c>
      <c r="H31919">
        <v>10343676</v>
      </c>
      <c r="I31919">
        <v>58091571</v>
      </c>
      <c r="J31919">
        <v>3</v>
      </c>
    </row>
    <row r="31920" spans="1:10" x14ac:dyDescent="0.25">
      <c r="A31920" t="s">
        <v>360</v>
      </c>
      <c r="B31920" s="1" t="str">
        <f>HYPERLINK("http://starbucks.com.au","starbucks.com.au")</f>
        <v>starbucks.com.au</v>
      </c>
      <c r="C31920" t="s">
        <v>420</v>
      </c>
      <c r="D31920" t="s">
        <v>802</v>
      </c>
      <c r="E31920">
        <v>569012</v>
      </c>
      <c r="F31920">
        <v>6.0822859869547698E-8</v>
      </c>
      <c r="G31920">
        <v>724568</v>
      </c>
      <c r="H31920">
        <v>14867477</v>
      </c>
      <c r="I31920">
        <v>480681</v>
      </c>
      <c r="J31920">
        <v>3</v>
      </c>
    </row>
    <row r="31921" spans="1:10" x14ac:dyDescent="0.25">
      <c r="A31921" t="s">
        <v>360</v>
      </c>
      <c r="B31921" s="1" t="str">
        <f>HYPERLINK("http://starbucks.az","starbucks.az")</f>
        <v>starbucks.az</v>
      </c>
      <c r="C31921" t="s">
        <v>561</v>
      </c>
      <c r="D31921" t="s">
        <v>911</v>
      </c>
      <c r="E31921">
        <v>705060</v>
      </c>
      <c r="F31921">
        <v>2.2088387325954001E-8</v>
      </c>
      <c r="G31921">
        <v>2375860</v>
      </c>
      <c r="H31921">
        <v>12706384</v>
      </c>
      <c r="I31921">
        <v>15321517</v>
      </c>
      <c r="J31921">
        <v>2</v>
      </c>
    </row>
    <row r="31922" spans="1:10" x14ac:dyDescent="0.25">
      <c r="A31922" t="s">
        <v>360</v>
      </c>
      <c r="B31922" s="1" t="str">
        <f>HYPERLINK("http://starbucks.be","starbucks.be")</f>
        <v>starbucks.be</v>
      </c>
      <c r="C31922" t="s">
        <v>421</v>
      </c>
      <c r="D31922" t="s">
        <v>803</v>
      </c>
      <c r="F31922">
        <v>5.96507438180387E-9</v>
      </c>
      <c r="G31922">
        <v>16912676</v>
      </c>
      <c r="H31922">
        <v>11018378</v>
      </c>
      <c r="I31922">
        <v>33281814</v>
      </c>
      <c r="J31922">
        <v>3</v>
      </c>
    </row>
    <row r="31923" spans="1:10" x14ac:dyDescent="0.25">
      <c r="A31923" t="s">
        <v>360</v>
      </c>
      <c r="B31923" s="1" t="str">
        <f>HYPERLINK("http://starbucks.bg","starbucks.bg")</f>
        <v>starbucks.bg</v>
      </c>
      <c r="C31923" t="s">
        <v>422</v>
      </c>
      <c r="D31923" t="s">
        <v>804</v>
      </c>
      <c r="F31923">
        <v>2.70791122672292E-8</v>
      </c>
      <c r="G31923">
        <v>1899213</v>
      </c>
      <c r="H31923">
        <v>12878964</v>
      </c>
      <c r="I31923">
        <v>14008954</v>
      </c>
      <c r="J31923">
        <v>2</v>
      </c>
    </row>
    <row r="31924" spans="1:10" x14ac:dyDescent="0.25">
      <c r="A31924" t="s">
        <v>360</v>
      </c>
      <c r="B31924" s="1" t="str">
        <f>HYPERLINK("http://starbucks.com.br","starbucks.com.br")</f>
        <v>starbucks.com.br</v>
      </c>
      <c r="C31924" t="s">
        <v>425</v>
      </c>
      <c r="D31924" t="s">
        <v>806</v>
      </c>
      <c r="E31924">
        <v>40066</v>
      </c>
      <c r="F31924">
        <v>6.5984912924689103E-8</v>
      </c>
      <c r="G31924">
        <v>650507</v>
      </c>
      <c r="H31924">
        <v>14690616</v>
      </c>
      <c r="I31924">
        <v>602235</v>
      </c>
      <c r="J31924">
        <v>2</v>
      </c>
    </row>
    <row r="31925" spans="1:10" x14ac:dyDescent="0.25">
      <c r="A31925" t="s">
        <v>360</v>
      </c>
      <c r="B31925" s="1" t="str">
        <f>HYPERLINK("http://starbucks.ca","starbucks.ca")</f>
        <v>starbucks.ca</v>
      </c>
      <c r="C31925" t="s">
        <v>428</v>
      </c>
      <c r="D31925" t="s">
        <v>809</v>
      </c>
      <c r="E31925">
        <v>29381</v>
      </c>
      <c r="F31925">
        <v>5.8162542854475705E-7</v>
      </c>
      <c r="G31925">
        <v>65684</v>
      </c>
      <c r="H31925">
        <v>15405945</v>
      </c>
      <c r="I31925">
        <v>379947</v>
      </c>
      <c r="J31925">
        <v>2</v>
      </c>
    </row>
    <row r="31926" spans="1:10" x14ac:dyDescent="0.25">
      <c r="A31926" t="s">
        <v>360</v>
      </c>
      <c r="B31926" s="1" t="str">
        <f>HYPERLINK("http://starbucks.ch","starbucks.ch")</f>
        <v>starbucks.ch</v>
      </c>
      <c r="C31926" t="s">
        <v>429</v>
      </c>
      <c r="D31926" t="s">
        <v>810</v>
      </c>
      <c r="E31926">
        <v>745418</v>
      </c>
      <c r="F31926">
        <v>4.9750335294489E-8</v>
      </c>
      <c r="G31926">
        <v>927432</v>
      </c>
      <c r="H31926">
        <v>14497771</v>
      </c>
      <c r="I31926">
        <v>864570</v>
      </c>
      <c r="J31926">
        <v>2</v>
      </c>
    </row>
    <row r="31927" spans="1:10" x14ac:dyDescent="0.25">
      <c r="A31927" t="s">
        <v>360</v>
      </c>
      <c r="B31927" s="1" t="str">
        <f>HYPERLINK("http://starbucks.cl","starbucks.cl")</f>
        <v>starbucks.cl</v>
      </c>
      <c r="C31927" t="s">
        <v>430</v>
      </c>
      <c r="D31927" t="s">
        <v>811</v>
      </c>
      <c r="F31927">
        <v>6.5231652773760805E-8</v>
      </c>
      <c r="G31927">
        <v>659888</v>
      </c>
      <c r="H31927">
        <v>16828806</v>
      </c>
      <c r="I31927">
        <v>172436</v>
      </c>
      <c r="J31927">
        <v>2</v>
      </c>
    </row>
    <row r="31928" spans="1:10" x14ac:dyDescent="0.25">
      <c r="A31928" t="s">
        <v>360</v>
      </c>
      <c r="B31928" s="1" t="str">
        <f>HYPERLINK("http://starbucks.com.cn","starbucks.com.cn")</f>
        <v>starbucks.com.cn</v>
      </c>
      <c r="C31928" t="s">
        <v>431</v>
      </c>
      <c r="D31928" t="s">
        <v>812</v>
      </c>
      <c r="E31928">
        <v>12115</v>
      </c>
      <c r="F31928">
        <v>3.2768853471554301E-7</v>
      </c>
      <c r="G31928">
        <v>113655</v>
      </c>
      <c r="H31928">
        <v>17171686</v>
      </c>
      <c r="I31928">
        <v>47382</v>
      </c>
      <c r="J31928">
        <v>2</v>
      </c>
    </row>
    <row r="31929" spans="1:10" x14ac:dyDescent="0.25">
      <c r="A31929" t="s">
        <v>360</v>
      </c>
      <c r="B31929" s="1" t="str">
        <f>HYPERLINK("http://starbucks.com.co","starbucks.com.co")</f>
        <v>starbucks.com.co</v>
      </c>
      <c r="C31929" t="s">
        <v>432</v>
      </c>
      <c r="F31929">
        <v>4.0693605768005703E-8</v>
      </c>
      <c r="G31929">
        <v>1273438</v>
      </c>
      <c r="H31929">
        <v>13608253</v>
      </c>
      <c r="I31929">
        <v>9638651</v>
      </c>
      <c r="J31929">
        <v>2</v>
      </c>
    </row>
    <row r="31930" spans="1:10" x14ac:dyDescent="0.25">
      <c r="A31930" t="s">
        <v>360</v>
      </c>
      <c r="B31930" s="1" t="str">
        <f>HYPERLINK("http://allmenus.com","allmenus.com")</f>
        <v>allmenus.com</v>
      </c>
      <c r="C31930" t="s">
        <v>433</v>
      </c>
      <c r="E31930">
        <v>10662</v>
      </c>
      <c r="F31930">
        <v>2.8775853484723402E-7</v>
      </c>
      <c r="G31930">
        <v>129210</v>
      </c>
      <c r="H31930">
        <v>14887595</v>
      </c>
      <c r="I31930">
        <v>468682</v>
      </c>
      <c r="J31930">
        <v>3</v>
      </c>
    </row>
    <row r="31931" spans="1:10" x14ac:dyDescent="0.25">
      <c r="A31931" t="s">
        <v>360</v>
      </c>
      <c r="B31931" s="1" t="str">
        <f>HYPERLINK("http://creditloansinfo.com","creditloansinfo.com")</f>
        <v>creditloansinfo.com</v>
      </c>
      <c r="C31931" t="s">
        <v>433</v>
      </c>
      <c r="F31931">
        <v>4.44380395335525E-9</v>
      </c>
      <c r="G31931">
        <v>81245513</v>
      </c>
      <c r="H31931">
        <v>0</v>
      </c>
      <c r="I31931">
        <v>81585598</v>
      </c>
      <c r="J31931">
        <v>3</v>
      </c>
    </row>
    <row r="31932" spans="1:10" x14ac:dyDescent="0.25">
      <c r="A31932" t="s">
        <v>360</v>
      </c>
      <c r="B31932" s="1" t="str">
        <f>HYPERLINK("http://ethos-water.com","ethos-water.com")</f>
        <v>ethos-water.com</v>
      </c>
      <c r="C31932" t="s">
        <v>433</v>
      </c>
      <c r="F31932">
        <v>7.4123497916887401E-9</v>
      </c>
      <c r="G31932">
        <v>11215414</v>
      </c>
      <c r="H31932">
        <v>14236156</v>
      </c>
      <c r="I31932">
        <v>1605187</v>
      </c>
      <c r="J31932">
        <v>3</v>
      </c>
    </row>
    <row r="31933" spans="1:10" x14ac:dyDescent="0.25">
      <c r="A31933" t="s">
        <v>360</v>
      </c>
      <c r="B31933" s="1" t="str">
        <f>HYPERLINK("http://ethoswater.com","ethoswater.com")</f>
        <v>ethoswater.com</v>
      </c>
      <c r="C31933" t="s">
        <v>433</v>
      </c>
      <c r="F31933">
        <v>9.2617545702661402E-7</v>
      </c>
      <c r="G31933">
        <v>41609</v>
      </c>
      <c r="H31933">
        <v>15919639</v>
      </c>
      <c r="I31933">
        <v>367026</v>
      </c>
      <c r="J31933">
        <v>4</v>
      </c>
    </row>
    <row r="31934" spans="1:10" x14ac:dyDescent="0.25">
      <c r="A31934" t="s">
        <v>360</v>
      </c>
      <c r="B31934" s="1" t="str">
        <f>HYPERLINK("http://evolutionfresh.com","evolutionfresh.com")</f>
        <v>evolutionfresh.com</v>
      </c>
      <c r="C31934" t="s">
        <v>433</v>
      </c>
      <c r="E31934">
        <v>818962</v>
      </c>
      <c r="F31934">
        <v>7.4841514532573395E-8</v>
      </c>
      <c r="G31934">
        <v>562133</v>
      </c>
      <c r="H31934">
        <v>14255841</v>
      </c>
      <c r="I31934">
        <v>1431973</v>
      </c>
      <c r="J31934">
        <v>3</v>
      </c>
    </row>
    <row r="31935" spans="1:10" x14ac:dyDescent="0.25">
      <c r="A31935" t="s">
        <v>360</v>
      </c>
      <c r="B31935" s="1" t="str">
        <f>HYPERLINK("http://lappetito.com","lappetito.com")</f>
        <v>lappetito.com</v>
      </c>
      <c r="C31935" t="s">
        <v>433</v>
      </c>
      <c r="F31935">
        <v>8.5735396990586503E-9</v>
      </c>
      <c r="G31935">
        <v>8704677</v>
      </c>
      <c r="H31935">
        <v>13842019</v>
      </c>
      <c r="I31935">
        <v>6068895</v>
      </c>
      <c r="J31935">
        <v>3</v>
      </c>
    </row>
    <row r="31936" spans="1:10" x14ac:dyDescent="0.25">
      <c r="A31936" t="s">
        <v>360</v>
      </c>
      <c r="B31936" s="1" t="str">
        <f>HYPERLINK("http://newfrenchbakery.com","newfrenchbakery.com")</f>
        <v>newfrenchbakery.com</v>
      </c>
      <c r="C31936" t="s">
        <v>433</v>
      </c>
      <c r="F31936">
        <v>6.6315535741356101E-9</v>
      </c>
      <c r="G31936">
        <v>13553719</v>
      </c>
      <c r="H31936">
        <v>13790048</v>
      </c>
      <c r="I31936">
        <v>6350439</v>
      </c>
      <c r="J31936">
        <v>3</v>
      </c>
    </row>
    <row r="31937" spans="1:10" x14ac:dyDescent="0.25">
      <c r="A31937" t="s">
        <v>360</v>
      </c>
      <c r="B31937" s="1" t="str">
        <f>HYPERLINK("http://seattlesbest.com","seattlesbest.com")</f>
        <v>seattlesbest.com</v>
      </c>
      <c r="C31937" t="s">
        <v>433</v>
      </c>
      <c r="E31937">
        <v>561155</v>
      </c>
      <c r="F31937">
        <v>2.3409358551440301E-7</v>
      </c>
      <c r="G31937">
        <v>160187</v>
      </c>
      <c r="H31937">
        <v>14209276</v>
      </c>
      <c r="I31937">
        <v>1705380</v>
      </c>
      <c r="J31937">
        <v>3</v>
      </c>
    </row>
    <row r="31938" spans="1:10" x14ac:dyDescent="0.25">
      <c r="A31938" t="s">
        <v>360</v>
      </c>
      <c r="B31938" s="1" t="str">
        <f>HYPERLINK("http://starbuck.com","starbuck.com")</f>
        <v>starbuck.com</v>
      </c>
      <c r="C31938" t="s">
        <v>433</v>
      </c>
      <c r="F31938">
        <v>4.3765261288359803E-8</v>
      </c>
      <c r="G31938">
        <v>1089686</v>
      </c>
      <c r="H31938">
        <v>16838948</v>
      </c>
      <c r="I31938">
        <v>161726</v>
      </c>
      <c r="J31938">
        <v>3</v>
      </c>
    </row>
    <row r="31939" spans="1:10" x14ac:dyDescent="0.25">
      <c r="A31939" t="s">
        <v>360</v>
      </c>
      <c r="B31939" s="1" t="str">
        <f>HYPERLINK("http://starbucks.com","starbucks.com")</f>
        <v>starbucks.com</v>
      </c>
      <c r="C31939" t="s">
        <v>433</v>
      </c>
      <c r="E31939">
        <v>1420</v>
      </c>
      <c r="F31939">
        <v>1.45150756911071E-5</v>
      </c>
      <c r="G31939">
        <v>2445</v>
      </c>
      <c r="H31939">
        <v>18400774</v>
      </c>
      <c r="I31939">
        <v>1984</v>
      </c>
      <c r="J31939">
        <v>1</v>
      </c>
    </row>
    <row r="31940" spans="1:10" x14ac:dyDescent="0.25">
      <c r="A31940" t="s">
        <v>360</v>
      </c>
      <c r="B31940" s="1" t="str">
        <f>HYPERLINK("http://starbucksforyouthksa.com","starbucksforyouthksa.com")</f>
        <v>starbucksforyouthksa.com</v>
      </c>
      <c r="C31940" t="s">
        <v>433</v>
      </c>
      <c r="F31940">
        <v>1.34689048561832E-8</v>
      </c>
      <c r="G31940">
        <v>4417021</v>
      </c>
      <c r="H31940">
        <v>12396962</v>
      </c>
      <c r="I31940">
        <v>18896124</v>
      </c>
      <c r="J31940">
        <v>3</v>
      </c>
    </row>
    <row r="31941" spans="1:10" x14ac:dyDescent="0.25">
      <c r="A31941" t="s">
        <v>360</v>
      </c>
      <c r="B31941" s="1" t="str">
        <f>HYPERLINK("http://starbuckspr.com","starbuckspr.com")</f>
        <v>starbuckspr.com</v>
      </c>
      <c r="C31941" t="s">
        <v>433</v>
      </c>
      <c r="F31941">
        <v>2.3100290190031499E-8</v>
      </c>
      <c r="G31941">
        <v>2260040</v>
      </c>
      <c r="H31941">
        <v>12722764</v>
      </c>
      <c r="I31941">
        <v>15239723</v>
      </c>
      <c r="J31941">
        <v>3</v>
      </c>
    </row>
    <row r="31942" spans="1:10" x14ac:dyDescent="0.25">
      <c r="A31942" t="s">
        <v>360</v>
      </c>
      <c r="B31942" s="1" t="str">
        <f>HYPERLINK("http://starbucksreserve.com","starbucksreserve.com")</f>
        <v>starbucksreserve.com</v>
      </c>
      <c r="C31942" t="s">
        <v>433</v>
      </c>
      <c r="E31942">
        <v>35434</v>
      </c>
      <c r="F31942">
        <v>2.4610989453046101E-7</v>
      </c>
      <c r="G31942">
        <v>152015</v>
      </c>
      <c r="H31942">
        <v>14866276</v>
      </c>
      <c r="I31942">
        <v>481414</v>
      </c>
      <c r="J31942">
        <v>3</v>
      </c>
    </row>
    <row r="31943" spans="1:10" x14ac:dyDescent="0.25">
      <c r="A31943" t="s">
        <v>360</v>
      </c>
      <c r="B31943" s="1" t="str">
        <f>HYPERLINK("http://teavana.com","teavana.com")</f>
        <v>teavana.com</v>
      </c>
      <c r="C31943" t="s">
        <v>433</v>
      </c>
      <c r="E31943">
        <v>126678</v>
      </c>
      <c r="F31943">
        <v>2.8762643390423803E-7</v>
      </c>
      <c r="G31943">
        <v>129260</v>
      </c>
      <c r="H31943">
        <v>15073959</v>
      </c>
      <c r="I31943">
        <v>410511</v>
      </c>
      <c r="J31943">
        <v>3</v>
      </c>
    </row>
    <row r="31944" spans="1:10" x14ac:dyDescent="0.25">
      <c r="A31944" t="s">
        <v>360</v>
      </c>
      <c r="B31944" s="1" t="str">
        <f>HYPERLINK("http://titalia.com","titalia.com")</f>
        <v>titalia.com</v>
      </c>
      <c r="C31944" t="s">
        <v>433</v>
      </c>
      <c r="F31944">
        <v>5.3369719616007898E-9</v>
      </c>
      <c r="G31944">
        <v>22974572</v>
      </c>
      <c r="H31944">
        <v>13781584</v>
      </c>
      <c r="I31944">
        <v>6456453</v>
      </c>
      <c r="J31944">
        <v>3</v>
      </c>
    </row>
    <row r="31945" spans="1:10" x14ac:dyDescent="0.25">
      <c r="A31945" t="s">
        <v>360</v>
      </c>
      <c r="B31945" s="1" t="str">
        <f>HYPERLINK("http://yorumkazani.com","yorumkazani.com")</f>
        <v>yorumkazani.com</v>
      </c>
      <c r="C31945" t="s">
        <v>433</v>
      </c>
      <c r="F31945">
        <v>4.7089538264027502E-9</v>
      </c>
      <c r="G31945">
        <v>40794492</v>
      </c>
      <c r="H31945">
        <v>10728657</v>
      </c>
      <c r="I31945">
        <v>41030355</v>
      </c>
      <c r="J31945">
        <v>3</v>
      </c>
    </row>
    <row r="31946" spans="1:10" x14ac:dyDescent="0.25">
      <c r="A31946" t="s">
        <v>360</v>
      </c>
      <c r="B31946" s="1" t="str">
        <f>HYPERLINK("http://zanitasmexican.com","zanitasmexican.com")</f>
        <v>zanitasmexican.com</v>
      </c>
      <c r="C31946" t="s">
        <v>433</v>
      </c>
      <c r="F31946">
        <v>4.44383663458046E-9</v>
      </c>
      <c r="G31946">
        <v>78888063</v>
      </c>
      <c r="H31946">
        <v>10405199</v>
      </c>
      <c r="I31946">
        <v>54160320</v>
      </c>
      <c r="J31946">
        <v>3</v>
      </c>
    </row>
    <row r="31947" spans="1:10" x14ac:dyDescent="0.25">
      <c r="A31947" t="s">
        <v>360</v>
      </c>
      <c r="B31947" s="1" t="str">
        <f>HYPERLINK("http://starbucks.com.cy","starbucks.com.cy")</f>
        <v>starbucks.com.cy</v>
      </c>
      <c r="C31947" t="s">
        <v>610</v>
      </c>
      <c r="D31947" t="s">
        <v>937</v>
      </c>
      <c r="F31947">
        <v>2.45167864593826E-8</v>
      </c>
      <c r="G31947">
        <v>2113053</v>
      </c>
      <c r="H31947">
        <v>12824163</v>
      </c>
      <c r="I31947">
        <v>14471812</v>
      </c>
      <c r="J31947">
        <v>2</v>
      </c>
    </row>
    <row r="31948" spans="1:10" x14ac:dyDescent="0.25">
      <c r="A31948" t="s">
        <v>360</v>
      </c>
      <c r="B31948" s="1" t="str">
        <f>HYPERLINK("http://starbuckscoffee.cz","starbuckscoffee.cz")</f>
        <v>starbuckscoffee.cz</v>
      </c>
      <c r="C31948" t="s">
        <v>435</v>
      </c>
      <c r="D31948" t="s">
        <v>814</v>
      </c>
      <c r="F31948">
        <v>4.6112548896222399E-8</v>
      </c>
      <c r="G31948">
        <v>1016882</v>
      </c>
      <c r="H31948">
        <v>14500817</v>
      </c>
      <c r="I31948">
        <v>851946</v>
      </c>
      <c r="J31948">
        <v>3</v>
      </c>
    </row>
    <row r="31949" spans="1:10" x14ac:dyDescent="0.25">
      <c r="A31949" t="s">
        <v>360</v>
      </c>
      <c r="B31949" s="1" t="str">
        <f>HYPERLINK("http://pep-muenchen.de","pep-muenchen.de")</f>
        <v>pep-muenchen.de</v>
      </c>
      <c r="C31949" t="s">
        <v>436</v>
      </c>
      <c r="D31949" t="s">
        <v>815</v>
      </c>
      <c r="F31949">
        <v>2.0468924221749201E-8</v>
      </c>
      <c r="G31949">
        <v>2589020</v>
      </c>
      <c r="H31949">
        <v>12594092</v>
      </c>
      <c r="I31949">
        <v>16380851</v>
      </c>
      <c r="J31949">
        <v>3</v>
      </c>
    </row>
    <row r="31950" spans="1:10" x14ac:dyDescent="0.25">
      <c r="A31950" t="s">
        <v>360</v>
      </c>
      <c r="B31950" s="1" t="str">
        <f>HYPERLINK("http://starbuck.de","starbuck.de")</f>
        <v>starbuck.de</v>
      </c>
      <c r="C31950" t="s">
        <v>436</v>
      </c>
      <c r="D31950" t="s">
        <v>815</v>
      </c>
      <c r="J31950">
        <v>3</v>
      </c>
    </row>
    <row r="31951" spans="1:10" x14ac:dyDescent="0.25">
      <c r="A31951" t="s">
        <v>360</v>
      </c>
      <c r="B31951" s="1" t="str">
        <f>HYPERLINK("http://starbucks.de","starbucks.de")</f>
        <v>starbucks.de</v>
      </c>
      <c r="C31951" t="s">
        <v>436</v>
      </c>
      <c r="D31951" t="s">
        <v>815</v>
      </c>
      <c r="E31951">
        <v>38152</v>
      </c>
      <c r="F31951">
        <v>1.2782362264267399E-7</v>
      </c>
      <c r="G31951">
        <v>307063</v>
      </c>
      <c r="H31951">
        <v>14570893</v>
      </c>
      <c r="I31951">
        <v>734879</v>
      </c>
      <c r="J31951">
        <v>2</v>
      </c>
    </row>
    <row r="31952" spans="1:10" x14ac:dyDescent="0.25">
      <c r="A31952" t="s">
        <v>360</v>
      </c>
      <c r="B31952" s="1" t="str">
        <f>HYPERLINK("http://starbucks.dk","starbucks.dk")</f>
        <v>starbucks.dk</v>
      </c>
      <c r="C31952" t="s">
        <v>437</v>
      </c>
      <c r="D31952" t="s">
        <v>816</v>
      </c>
      <c r="F31952">
        <v>5.3161174804421603E-9</v>
      </c>
      <c r="G31952">
        <v>23264394</v>
      </c>
      <c r="H31952">
        <v>10595501</v>
      </c>
      <c r="I31952">
        <v>45185052</v>
      </c>
      <c r="J31952">
        <v>3</v>
      </c>
    </row>
    <row r="31953" spans="1:10" x14ac:dyDescent="0.25">
      <c r="A31953" t="s">
        <v>360</v>
      </c>
      <c r="B31953" s="1" t="str">
        <f>HYPERLINK("http://starbucks.es","starbucks.es")</f>
        <v>starbucks.es</v>
      </c>
      <c r="C31953" t="s">
        <v>443</v>
      </c>
      <c r="D31953" t="s">
        <v>822</v>
      </c>
      <c r="E31953">
        <v>529456</v>
      </c>
      <c r="F31953">
        <v>1.0537391941729E-7</v>
      </c>
      <c r="G31953">
        <v>380140</v>
      </c>
      <c r="H31953">
        <v>14581257</v>
      </c>
      <c r="I31953">
        <v>708694</v>
      </c>
      <c r="J31953">
        <v>2</v>
      </c>
    </row>
    <row r="31954" spans="1:10" x14ac:dyDescent="0.25">
      <c r="A31954" t="s">
        <v>360</v>
      </c>
      <c r="B31954" s="1" t="str">
        <f>HYPERLINK("http://frappuccino.fi","frappuccino.fi")</f>
        <v>frappuccino.fi</v>
      </c>
      <c r="C31954" t="s">
        <v>445</v>
      </c>
      <c r="D31954" t="s">
        <v>823</v>
      </c>
      <c r="J31954">
        <v>2</v>
      </c>
    </row>
    <row r="31955" spans="1:10" x14ac:dyDescent="0.25">
      <c r="A31955" t="s">
        <v>360</v>
      </c>
      <c r="B31955" s="1" t="str">
        <f>HYPERLINK("http://starbucks.fi","starbucks.fi")</f>
        <v>starbucks.fi</v>
      </c>
      <c r="C31955" t="s">
        <v>445</v>
      </c>
      <c r="D31955" t="s">
        <v>823</v>
      </c>
      <c r="F31955">
        <v>5.5896361974701903E-9</v>
      </c>
      <c r="G31955">
        <v>19958908</v>
      </c>
      <c r="H31955">
        <v>10724343</v>
      </c>
      <c r="I31955">
        <v>41410455</v>
      </c>
      <c r="J31955">
        <v>2</v>
      </c>
    </row>
    <row r="31956" spans="1:10" x14ac:dyDescent="0.25">
      <c r="A31956" t="s">
        <v>360</v>
      </c>
      <c r="B31956" s="1" t="str">
        <f>HYPERLINK("http://starbuckscoffee.fi","starbuckscoffee.fi")</f>
        <v>starbuckscoffee.fi</v>
      </c>
      <c r="C31956" t="s">
        <v>445</v>
      </c>
      <c r="D31956" t="s">
        <v>823</v>
      </c>
      <c r="J31956">
        <v>2</v>
      </c>
    </row>
    <row r="31957" spans="1:10" x14ac:dyDescent="0.25">
      <c r="A31957" t="s">
        <v>360</v>
      </c>
      <c r="B31957" s="1" t="str">
        <f>HYPERLINK("http://starbucksfinland.fi","starbucksfinland.fi")</f>
        <v>starbucksfinland.fi</v>
      </c>
      <c r="C31957" t="s">
        <v>445</v>
      </c>
      <c r="D31957" t="s">
        <v>823</v>
      </c>
      <c r="J31957">
        <v>2</v>
      </c>
    </row>
    <row r="31958" spans="1:10" x14ac:dyDescent="0.25">
      <c r="A31958" t="s">
        <v>360</v>
      </c>
      <c r="B31958" s="1" t="str">
        <f>HYPERLINK("http://starbucks.fr","starbucks.fr")</f>
        <v>starbucks.fr</v>
      </c>
      <c r="C31958" t="s">
        <v>446</v>
      </c>
      <c r="D31958" t="s">
        <v>824</v>
      </c>
      <c r="E31958">
        <v>38688</v>
      </c>
      <c r="F31958">
        <v>1.3103132520701799E-7</v>
      </c>
      <c r="G31958">
        <v>298528</v>
      </c>
      <c r="H31958">
        <v>14603294</v>
      </c>
      <c r="I31958">
        <v>683584</v>
      </c>
      <c r="J31958">
        <v>2</v>
      </c>
    </row>
    <row r="31959" spans="1:10" x14ac:dyDescent="0.25">
      <c r="A31959" t="s">
        <v>360</v>
      </c>
      <c r="B31959" s="1" t="str">
        <f>HYPERLINK("http://starbucks.com.gr","starbucks.com.gr")</f>
        <v>starbucks.com.gr</v>
      </c>
      <c r="C31959" t="s">
        <v>447</v>
      </c>
      <c r="D31959" t="s">
        <v>825</v>
      </c>
      <c r="F31959">
        <v>2.6371683649817198E-8</v>
      </c>
      <c r="G31959">
        <v>1952499</v>
      </c>
      <c r="H31959">
        <v>13269231</v>
      </c>
      <c r="I31959">
        <v>10965369</v>
      </c>
      <c r="J31959">
        <v>2</v>
      </c>
    </row>
    <row r="31960" spans="1:10" x14ac:dyDescent="0.25">
      <c r="A31960" t="s">
        <v>360</v>
      </c>
      <c r="B31960" s="1" t="str">
        <f>HYPERLINK("http://starbucks.com.hk","starbucks.com.hk")</f>
        <v>starbucks.com.hk</v>
      </c>
      <c r="C31960" t="s">
        <v>450</v>
      </c>
      <c r="D31960" t="s">
        <v>827</v>
      </c>
      <c r="E31960">
        <v>530363</v>
      </c>
      <c r="F31960">
        <v>1.6767321121498601E-7</v>
      </c>
      <c r="G31960">
        <v>231415</v>
      </c>
      <c r="H31960">
        <v>17265746</v>
      </c>
      <c r="I31960">
        <v>31896</v>
      </c>
      <c r="J31960">
        <v>2</v>
      </c>
    </row>
    <row r="31961" spans="1:10" x14ac:dyDescent="0.25">
      <c r="A31961" t="s">
        <v>360</v>
      </c>
      <c r="B31961" s="1" t="str">
        <f>HYPERLINK("http://starbucks.hu","starbucks.hu")</f>
        <v>starbucks.hu</v>
      </c>
      <c r="C31961" t="s">
        <v>453</v>
      </c>
      <c r="D31961" t="s">
        <v>830</v>
      </c>
      <c r="F31961">
        <v>3.3653816814836602E-8</v>
      </c>
      <c r="G31961">
        <v>1536894</v>
      </c>
      <c r="H31961">
        <v>14259918</v>
      </c>
      <c r="I31961">
        <v>1420644</v>
      </c>
      <c r="J31961">
        <v>2</v>
      </c>
    </row>
    <row r="31962" spans="1:10" x14ac:dyDescent="0.25">
      <c r="A31962" t="s">
        <v>360</v>
      </c>
      <c r="B31962" s="1" t="str">
        <f>HYPERLINK("http://starbucks.co.id","starbucks.co.id")</f>
        <v>starbucks.co.id</v>
      </c>
      <c r="C31962" t="s">
        <v>454</v>
      </c>
      <c r="D31962" t="s">
        <v>831</v>
      </c>
      <c r="E31962">
        <v>410792</v>
      </c>
      <c r="F31962">
        <v>5.2507934125718001E-8</v>
      </c>
      <c r="G31962">
        <v>868480</v>
      </c>
      <c r="H31962">
        <v>14106931</v>
      </c>
      <c r="I31962">
        <v>2684856</v>
      </c>
      <c r="J31962">
        <v>2</v>
      </c>
    </row>
    <row r="31963" spans="1:10" x14ac:dyDescent="0.25">
      <c r="A31963" t="s">
        <v>360</v>
      </c>
      <c r="B31963" s="1" t="str">
        <f>HYPERLINK("http://eegroup.ie","eegroup.ie")</f>
        <v>eegroup.ie</v>
      </c>
      <c r="C31963" t="s">
        <v>455</v>
      </c>
      <c r="D31963" t="s">
        <v>832</v>
      </c>
      <c r="J31963">
        <v>3</v>
      </c>
    </row>
    <row r="31964" spans="1:10" x14ac:dyDescent="0.25">
      <c r="A31964" t="s">
        <v>360</v>
      </c>
      <c r="B31964" s="1" t="str">
        <f>HYPERLINK("http://starbucks.ie","starbucks.ie")</f>
        <v>starbucks.ie</v>
      </c>
      <c r="C31964" t="s">
        <v>455</v>
      </c>
      <c r="D31964" t="s">
        <v>832</v>
      </c>
      <c r="E31964">
        <v>373867</v>
      </c>
      <c r="F31964">
        <v>3.2138425279841802E-7</v>
      </c>
      <c r="G31964">
        <v>115778</v>
      </c>
      <c r="H31964">
        <v>16830452</v>
      </c>
      <c r="I31964">
        <v>169609</v>
      </c>
      <c r="J31964">
        <v>2</v>
      </c>
    </row>
    <row r="31965" spans="1:10" x14ac:dyDescent="0.25">
      <c r="A31965" t="s">
        <v>360</v>
      </c>
      <c r="B31965" s="1" t="str">
        <f>HYPERLINK("http://starbucks.in","starbucks.in")</f>
        <v>starbucks.in</v>
      </c>
      <c r="C31965" t="s">
        <v>457</v>
      </c>
      <c r="D31965" t="s">
        <v>834</v>
      </c>
      <c r="E31965">
        <v>232012</v>
      </c>
      <c r="F31965">
        <v>9.2138555965832497E-8</v>
      </c>
      <c r="G31965">
        <v>441875</v>
      </c>
      <c r="H31965">
        <v>14242651</v>
      </c>
      <c r="I31965">
        <v>1482594</v>
      </c>
      <c r="J31965">
        <v>2</v>
      </c>
    </row>
    <row r="31966" spans="1:10" x14ac:dyDescent="0.25">
      <c r="A31966" t="s">
        <v>360</v>
      </c>
      <c r="B31966" s="1" t="str">
        <f>HYPERLINK("http://starbucks.it","starbucks.it")</f>
        <v>starbucks.it</v>
      </c>
      <c r="C31966" t="s">
        <v>459</v>
      </c>
      <c r="D31966" t="s">
        <v>835</v>
      </c>
      <c r="F31966">
        <v>1.5398304276453598E-8</v>
      </c>
      <c r="G31966">
        <v>3716245</v>
      </c>
      <c r="H31966">
        <v>13934297</v>
      </c>
      <c r="I31966">
        <v>4610136</v>
      </c>
      <c r="J31966">
        <v>3</v>
      </c>
    </row>
    <row r="31967" spans="1:10" x14ac:dyDescent="0.25">
      <c r="A31967" t="s">
        <v>360</v>
      </c>
      <c r="B31967" s="1" t="str">
        <f>HYPERLINK("http://starbucks.co.jp","starbucks.co.jp")</f>
        <v>starbucks.co.jp</v>
      </c>
      <c r="C31967" t="s">
        <v>461</v>
      </c>
      <c r="D31967" t="s">
        <v>837</v>
      </c>
      <c r="E31967">
        <v>13464</v>
      </c>
      <c r="F31967">
        <v>9.4024654471179998E-7</v>
      </c>
      <c r="G31967">
        <v>40799</v>
      </c>
      <c r="H31967">
        <v>17520798</v>
      </c>
      <c r="I31967">
        <v>12660</v>
      </c>
      <c r="J31967">
        <v>2</v>
      </c>
    </row>
    <row r="31968" spans="1:10" x14ac:dyDescent="0.25">
      <c r="A31968" t="s">
        <v>360</v>
      </c>
      <c r="B31968" s="1" t="str">
        <f>HYPERLINK("http://ecute.jp","ecute.jp")</f>
        <v>ecute.jp</v>
      </c>
      <c r="C31968" t="s">
        <v>461</v>
      </c>
      <c r="D31968" t="s">
        <v>837</v>
      </c>
      <c r="E31968">
        <v>406744</v>
      </c>
      <c r="F31968">
        <v>1.6913290324344E-7</v>
      </c>
      <c r="G31968">
        <v>229350</v>
      </c>
      <c r="H31968">
        <v>14628678</v>
      </c>
      <c r="I31968">
        <v>647352</v>
      </c>
      <c r="J31968">
        <v>3</v>
      </c>
    </row>
    <row r="31969" spans="1:10" x14ac:dyDescent="0.25">
      <c r="A31969" t="s">
        <v>360</v>
      </c>
      <c r="B31969" s="1" t="str">
        <f>HYPERLINK("http://starbucks.com.kh","starbucks.com.kh")</f>
        <v>starbucks.com.kh</v>
      </c>
      <c r="C31969" t="s">
        <v>512</v>
      </c>
      <c r="D31969" t="s">
        <v>886</v>
      </c>
      <c r="F31969">
        <v>3.7116401889253601E-8</v>
      </c>
      <c r="G31969">
        <v>1396095</v>
      </c>
      <c r="H31969">
        <v>14043136</v>
      </c>
      <c r="I31969">
        <v>3905305</v>
      </c>
      <c r="J31969">
        <v>2</v>
      </c>
    </row>
    <row r="31970" spans="1:10" x14ac:dyDescent="0.25">
      <c r="A31970" t="s">
        <v>360</v>
      </c>
      <c r="B31970" s="1" t="str">
        <f>HYPERLINK("http://istarbucks.co.kr","istarbucks.co.kr")</f>
        <v>istarbucks.co.kr</v>
      </c>
      <c r="C31970" t="s">
        <v>463</v>
      </c>
      <c r="D31970" t="s">
        <v>839</v>
      </c>
      <c r="E31970">
        <v>91257</v>
      </c>
      <c r="F31970">
        <v>9.6160898232048802E-8</v>
      </c>
      <c r="G31970">
        <v>420735</v>
      </c>
      <c r="H31970">
        <v>14704914</v>
      </c>
      <c r="I31970">
        <v>587998</v>
      </c>
      <c r="J31970">
        <v>3</v>
      </c>
    </row>
    <row r="31971" spans="1:10" x14ac:dyDescent="0.25">
      <c r="A31971" t="s">
        <v>360</v>
      </c>
      <c r="B31971" s="1" t="str">
        <f>HYPERLINK("http://starbucks.co.kr","starbucks.co.kr")</f>
        <v>starbucks.co.kr</v>
      </c>
      <c r="C31971" t="s">
        <v>463</v>
      </c>
      <c r="D31971" t="s">
        <v>839</v>
      </c>
      <c r="E31971">
        <v>58177</v>
      </c>
      <c r="F31971">
        <v>1.27843532619698E-7</v>
      </c>
      <c r="G31971">
        <v>306999</v>
      </c>
      <c r="H31971">
        <v>13849212</v>
      </c>
      <c r="I31971">
        <v>6055505</v>
      </c>
      <c r="J31971">
        <v>3</v>
      </c>
    </row>
    <row r="31972" spans="1:10" x14ac:dyDescent="0.25">
      <c r="A31972" t="s">
        <v>360</v>
      </c>
      <c r="B31972" s="1" t="str">
        <f>HYPERLINK("http://starbucks.com.kw","starbucks.com.kw")</f>
        <v>starbucks.com.kw</v>
      </c>
      <c r="C31972" t="s">
        <v>464</v>
      </c>
      <c r="D31972" t="s">
        <v>840</v>
      </c>
      <c r="F31972">
        <v>4.5663444836075699E-9</v>
      </c>
      <c r="G31972">
        <v>50540864</v>
      </c>
      <c r="H31972">
        <v>9769294</v>
      </c>
      <c r="I31972">
        <v>62825742</v>
      </c>
      <c r="J31972">
        <v>3</v>
      </c>
    </row>
    <row r="31973" spans="1:10" x14ac:dyDescent="0.25">
      <c r="A31973" t="s">
        <v>360</v>
      </c>
      <c r="B31973" s="1" t="str">
        <f>HYPERLINK("http://starbucks.com.kz","starbucks.com.kz")</f>
        <v>starbucks.com.kz</v>
      </c>
      <c r="C31973" t="s">
        <v>465</v>
      </c>
      <c r="D31973" t="s">
        <v>841</v>
      </c>
      <c r="F31973">
        <v>2.3418177924518299E-8</v>
      </c>
      <c r="G31973">
        <v>2223624</v>
      </c>
      <c r="H31973">
        <v>14074611</v>
      </c>
      <c r="I31973">
        <v>2936771</v>
      </c>
      <c r="J31973">
        <v>2</v>
      </c>
    </row>
    <row r="31974" spans="1:10" x14ac:dyDescent="0.25">
      <c r="A31974" t="s">
        <v>360</v>
      </c>
      <c r="B31974" s="1" t="str">
        <f>HYPERLINK("http://starbucks.com.lb","starbucks.com.lb")</f>
        <v>starbucks.com.lb</v>
      </c>
      <c r="C31974" t="s">
        <v>612</v>
      </c>
      <c r="D31974" t="s">
        <v>938</v>
      </c>
      <c r="F31974">
        <v>4.44924635173214E-9</v>
      </c>
      <c r="G31974">
        <v>72343841</v>
      </c>
      <c r="H31974">
        <v>9390011</v>
      </c>
      <c r="I31974">
        <v>67424233</v>
      </c>
      <c r="J31974">
        <v>3</v>
      </c>
    </row>
    <row r="31975" spans="1:10" x14ac:dyDescent="0.25">
      <c r="A31975" t="s">
        <v>360</v>
      </c>
      <c r="B31975" s="1" t="str">
        <f>HYPERLINK("http://starbucks.com.mx","starbucks.com.mx")</f>
        <v>starbucks.com.mx</v>
      </c>
      <c r="C31975" t="s">
        <v>471</v>
      </c>
      <c r="D31975" t="s">
        <v>847</v>
      </c>
      <c r="E31975">
        <v>279715</v>
      </c>
      <c r="F31975">
        <v>5.8203357022585902E-8</v>
      </c>
      <c r="G31975">
        <v>764144</v>
      </c>
      <c r="H31975">
        <v>14049219</v>
      </c>
      <c r="I31975">
        <v>3896242</v>
      </c>
      <c r="J31975">
        <v>2</v>
      </c>
    </row>
    <row r="31976" spans="1:10" x14ac:dyDescent="0.25">
      <c r="A31976" t="s">
        <v>360</v>
      </c>
      <c r="B31976" s="1" t="str">
        <f>HYPERLINK("http://starbuks.com.mx","starbuks.com.mx")</f>
        <v>starbuks.com.mx</v>
      </c>
      <c r="C31976" t="s">
        <v>471</v>
      </c>
      <c r="D31976" t="s">
        <v>847</v>
      </c>
      <c r="J31976">
        <v>3</v>
      </c>
    </row>
    <row r="31977" spans="1:10" x14ac:dyDescent="0.25">
      <c r="A31977" t="s">
        <v>360</v>
      </c>
      <c r="B31977" s="1" t="str">
        <f>HYPERLINK("http://starrbuks.com.mx","starrbuks.com.mx")</f>
        <v>starrbuks.com.mx</v>
      </c>
      <c r="C31977" t="s">
        <v>471</v>
      </c>
      <c r="D31977" t="s">
        <v>847</v>
      </c>
      <c r="J31977">
        <v>3</v>
      </c>
    </row>
    <row r="31978" spans="1:10" x14ac:dyDescent="0.25">
      <c r="A31978" t="s">
        <v>360</v>
      </c>
      <c r="B31978" s="1" t="str">
        <f>HYPERLINK("http://starbucks.mx","starbucks.mx")</f>
        <v>starbucks.mx</v>
      </c>
      <c r="C31978" t="s">
        <v>471</v>
      </c>
      <c r="D31978" t="s">
        <v>847</v>
      </c>
      <c r="E31978">
        <v>499735</v>
      </c>
      <c r="F31978">
        <v>3.92715013177083E-8</v>
      </c>
      <c r="G31978">
        <v>1313784</v>
      </c>
      <c r="H31978">
        <v>13377162</v>
      </c>
      <c r="I31978">
        <v>10439349</v>
      </c>
      <c r="J31978">
        <v>3</v>
      </c>
    </row>
    <row r="31979" spans="1:10" x14ac:dyDescent="0.25">
      <c r="A31979" t="s">
        <v>360</v>
      </c>
      <c r="B31979" s="1" t="str">
        <f>HYPERLINK("http://starbucks.com.my","starbucks.com.my")</f>
        <v>starbucks.com.my</v>
      </c>
      <c r="C31979" t="s">
        <v>472</v>
      </c>
      <c r="D31979" t="s">
        <v>848</v>
      </c>
      <c r="E31979">
        <v>721658</v>
      </c>
      <c r="F31979">
        <v>6.5388783379291306E-8</v>
      </c>
      <c r="G31979">
        <v>657821</v>
      </c>
      <c r="H31979">
        <v>14857692</v>
      </c>
      <c r="I31979">
        <v>486113</v>
      </c>
      <c r="J31979">
        <v>2</v>
      </c>
    </row>
    <row r="31980" spans="1:10" x14ac:dyDescent="0.25">
      <c r="A31980" t="s">
        <v>360</v>
      </c>
      <c r="B31980" s="1" t="str">
        <f>HYPERLINK("http://starbucks.nl","starbucks.nl")</f>
        <v>starbucks.nl</v>
      </c>
      <c r="C31980" t="s">
        <v>477</v>
      </c>
      <c r="D31980" t="s">
        <v>852</v>
      </c>
      <c r="E31980">
        <v>957089</v>
      </c>
      <c r="F31980">
        <v>6.7344501010192402E-8</v>
      </c>
      <c r="G31980">
        <v>634706</v>
      </c>
      <c r="H31980">
        <v>13958826</v>
      </c>
      <c r="I31980">
        <v>4120783</v>
      </c>
      <c r="J31980">
        <v>2</v>
      </c>
    </row>
    <row r="31981" spans="1:10" x14ac:dyDescent="0.25">
      <c r="A31981" t="s">
        <v>360</v>
      </c>
      <c r="B31981" s="1" t="str">
        <f>HYPERLINK("http://starbucks.no","starbucks.no")</f>
        <v>starbucks.no</v>
      </c>
      <c r="C31981" t="s">
        <v>478</v>
      </c>
      <c r="D31981" t="s">
        <v>853</v>
      </c>
      <c r="F31981">
        <v>3.38662839354858E-8</v>
      </c>
      <c r="G31981">
        <v>1528244</v>
      </c>
      <c r="H31981">
        <v>14240469</v>
      </c>
      <c r="I31981">
        <v>1500838</v>
      </c>
      <c r="J31981">
        <v>2</v>
      </c>
    </row>
    <row r="31982" spans="1:10" x14ac:dyDescent="0.25">
      <c r="A31982" t="s">
        <v>360</v>
      </c>
      <c r="B31982" s="1" t="str">
        <f>HYPERLINK("http://starbucks.co.nz","starbucks.co.nz")</f>
        <v>starbucks.co.nz</v>
      </c>
      <c r="C31982" t="s">
        <v>479</v>
      </c>
      <c r="D31982" t="s">
        <v>854</v>
      </c>
      <c r="F31982">
        <v>3.35342290371656E-8</v>
      </c>
      <c r="G31982">
        <v>1541719</v>
      </c>
      <c r="H31982">
        <v>13569509</v>
      </c>
      <c r="I31982">
        <v>9729713</v>
      </c>
      <c r="J31982">
        <v>2</v>
      </c>
    </row>
    <row r="31983" spans="1:10" x14ac:dyDescent="0.25">
      <c r="A31983" t="s">
        <v>360</v>
      </c>
      <c r="B31983" s="1" t="str">
        <f>HYPERLINK("http://starbucks.com.pe","starbucks.com.pe")</f>
        <v>starbucks.com.pe</v>
      </c>
      <c r="C31983" t="s">
        <v>483</v>
      </c>
      <c r="D31983" t="s">
        <v>857</v>
      </c>
      <c r="F31983">
        <v>2.6183196511061501E-8</v>
      </c>
      <c r="G31983">
        <v>1967339</v>
      </c>
      <c r="H31983">
        <v>14238944</v>
      </c>
      <c r="I31983">
        <v>1518810</v>
      </c>
      <c r="J31983">
        <v>3</v>
      </c>
    </row>
    <row r="31984" spans="1:10" x14ac:dyDescent="0.25">
      <c r="A31984" t="s">
        <v>360</v>
      </c>
      <c r="B31984" s="1" t="str">
        <f>HYPERLINK("http://starbucks.pe","starbucks.pe")</f>
        <v>starbucks.pe</v>
      </c>
      <c r="C31984" t="s">
        <v>483</v>
      </c>
      <c r="D31984" t="s">
        <v>857</v>
      </c>
      <c r="F31984">
        <v>4.7123663974745499E-8</v>
      </c>
      <c r="G31984">
        <v>989998</v>
      </c>
      <c r="H31984">
        <v>12734196</v>
      </c>
      <c r="I31984">
        <v>15176174</v>
      </c>
      <c r="J31984">
        <v>2</v>
      </c>
    </row>
    <row r="31985" spans="1:10" x14ac:dyDescent="0.25">
      <c r="A31985" t="s">
        <v>360</v>
      </c>
      <c r="B31985" s="1" t="str">
        <f>HYPERLINK("http://starbucks.com.ph","starbucks.com.ph")</f>
        <v>starbucks.com.ph</v>
      </c>
      <c r="C31985" t="s">
        <v>484</v>
      </c>
      <c r="D31985" t="s">
        <v>858</v>
      </c>
      <c r="F31985">
        <v>4.9567470595924601E-9</v>
      </c>
      <c r="G31985">
        <v>30599929</v>
      </c>
      <c r="H31985">
        <v>14071864</v>
      </c>
      <c r="I31985">
        <v>3289757</v>
      </c>
      <c r="J31985">
        <v>3</v>
      </c>
    </row>
    <row r="31986" spans="1:10" x14ac:dyDescent="0.25">
      <c r="A31986" t="s">
        <v>360</v>
      </c>
      <c r="B31986" s="1" t="str">
        <f>HYPERLINK("http://starbucks.ph","starbucks.ph")</f>
        <v>starbucks.ph</v>
      </c>
      <c r="C31986" t="s">
        <v>484</v>
      </c>
      <c r="D31986" t="s">
        <v>858</v>
      </c>
      <c r="E31986">
        <v>283720</v>
      </c>
      <c r="F31986">
        <v>7.3833833007879101E-8</v>
      </c>
      <c r="G31986">
        <v>570431</v>
      </c>
      <c r="H31986">
        <v>15123697</v>
      </c>
      <c r="I31986">
        <v>403223</v>
      </c>
      <c r="J31986">
        <v>2</v>
      </c>
    </row>
    <row r="31987" spans="1:10" x14ac:dyDescent="0.25">
      <c r="A31987" t="s">
        <v>360</v>
      </c>
      <c r="B31987" s="1" t="str">
        <f>HYPERLINK("http://starbucks.pl","starbucks.pl")</f>
        <v>starbucks.pl</v>
      </c>
      <c r="C31987" t="s">
        <v>486</v>
      </c>
      <c r="D31987" t="s">
        <v>860</v>
      </c>
      <c r="F31987">
        <v>3.4816729872454699E-8</v>
      </c>
      <c r="G31987">
        <v>1491322</v>
      </c>
      <c r="H31987">
        <v>14244325</v>
      </c>
      <c r="I31987">
        <v>1472358</v>
      </c>
      <c r="J31987">
        <v>2</v>
      </c>
    </row>
    <row r="31988" spans="1:10" x14ac:dyDescent="0.25">
      <c r="A31988" t="s">
        <v>360</v>
      </c>
      <c r="B31988" s="1" t="str">
        <f>HYPERLINK("http://starbucks.pt","starbucks.pt")</f>
        <v>starbucks.pt</v>
      </c>
      <c r="C31988" t="s">
        <v>488</v>
      </c>
      <c r="D31988" t="s">
        <v>862</v>
      </c>
      <c r="F31988">
        <v>2.64524384826763E-8</v>
      </c>
      <c r="G31988">
        <v>1946426</v>
      </c>
      <c r="H31988">
        <v>14082021</v>
      </c>
      <c r="I31988">
        <v>2804055</v>
      </c>
      <c r="J31988">
        <v>2</v>
      </c>
    </row>
    <row r="31989" spans="1:10" x14ac:dyDescent="0.25">
      <c r="A31989" t="s">
        <v>360</v>
      </c>
      <c r="B31989" s="1" t="str">
        <f>HYPERLINK("http://starbucksromania.ro","starbucksromania.ro")</f>
        <v>starbucksromania.ro</v>
      </c>
      <c r="C31989" t="s">
        <v>491</v>
      </c>
      <c r="D31989" t="s">
        <v>865</v>
      </c>
      <c r="F31989">
        <v>2.9494831058601501E-8</v>
      </c>
      <c r="G31989">
        <v>1747528</v>
      </c>
      <c r="H31989">
        <v>13772640</v>
      </c>
      <c r="I31989">
        <v>6653208</v>
      </c>
      <c r="J31989">
        <v>3</v>
      </c>
    </row>
    <row r="31990" spans="1:10" x14ac:dyDescent="0.25">
      <c r="A31990" t="s">
        <v>360</v>
      </c>
      <c r="B31990" s="1" t="str">
        <f>HYPERLINK("http://starbucks.rs","starbucks.rs")</f>
        <v>starbucks.rs</v>
      </c>
      <c r="C31990" t="s">
        <v>492</v>
      </c>
      <c r="D31990" t="s">
        <v>866</v>
      </c>
      <c r="F31990">
        <v>4.6011117275477103E-9</v>
      </c>
      <c r="G31990">
        <v>47538951</v>
      </c>
      <c r="H31990">
        <v>10898109</v>
      </c>
      <c r="I31990">
        <v>35879256</v>
      </c>
      <c r="J31990">
        <v>3</v>
      </c>
    </row>
    <row r="31991" spans="1:10" x14ac:dyDescent="0.25">
      <c r="A31991" t="s">
        <v>360</v>
      </c>
      <c r="B31991" s="1" t="str">
        <f>HYPERLINK("http://starbucks.ru","starbucks.ru")</f>
        <v>starbucks.ru</v>
      </c>
      <c r="C31991" t="s">
        <v>493</v>
      </c>
      <c r="D31991" t="s">
        <v>867</v>
      </c>
      <c r="F31991">
        <v>1.9348375939784801E-8</v>
      </c>
      <c r="G31991">
        <v>2771775</v>
      </c>
      <c r="H31991">
        <v>14150272</v>
      </c>
      <c r="I31991">
        <v>1877896</v>
      </c>
      <c r="J31991">
        <v>3</v>
      </c>
    </row>
    <row r="31992" spans="1:10" x14ac:dyDescent="0.25">
      <c r="A31992" t="s">
        <v>360</v>
      </c>
      <c r="B31992" s="1" t="str">
        <f>HYPERLINK("http://starbuckscoffee.ru","starbuckscoffee.ru")</f>
        <v>starbuckscoffee.ru</v>
      </c>
      <c r="C31992" t="s">
        <v>493</v>
      </c>
      <c r="D31992" t="s">
        <v>867</v>
      </c>
      <c r="F31992">
        <v>3.0911668398912197E-8</v>
      </c>
      <c r="G31992">
        <v>1666722</v>
      </c>
      <c r="H31992">
        <v>14075636</v>
      </c>
      <c r="I31992">
        <v>2904269</v>
      </c>
      <c r="J31992">
        <v>3</v>
      </c>
    </row>
    <row r="31993" spans="1:10" x14ac:dyDescent="0.25">
      <c r="A31993" t="s">
        <v>360</v>
      </c>
      <c r="B31993" s="1" t="str">
        <f>HYPERLINK("http://starbucks.sa","starbucks.sa")</f>
        <v>starbucks.sa</v>
      </c>
      <c r="C31993" t="s">
        <v>494</v>
      </c>
      <c r="D31993" t="s">
        <v>868</v>
      </c>
      <c r="F31993">
        <v>8.2778885308079802E-9</v>
      </c>
      <c r="G31993">
        <v>9310271</v>
      </c>
      <c r="H31993">
        <v>12086747</v>
      </c>
      <c r="I31993">
        <v>26364148</v>
      </c>
      <c r="J31993">
        <v>3</v>
      </c>
    </row>
    <row r="31994" spans="1:10" x14ac:dyDescent="0.25">
      <c r="A31994" t="s">
        <v>360</v>
      </c>
      <c r="B31994" s="1" t="str">
        <f>HYPERLINK("http://starbucks.se","starbucks.se")</f>
        <v>starbucks.se</v>
      </c>
      <c r="C31994" t="s">
        <v>495</v>
      </c>
      <c r="D31994" t="s">
        <v>869</v>
      </c>
      <c r="F31994">
        <v>1.81675699641027E-8</v>
      </c>
      <c r="G31994">
        <v>2996171</v>
      </c>
      <c r="H31994">
        <v>13794128</v>
      </c>
      <c r="I31994">
        <v>6318255</v>
      </c>
      <c r="J31994">
        <v>3</v>
      </c>
    </row>
    <row r="31995" spans="1:10" x14ac:dyDescent="0.25">
      <c r="A31995" t="s">
        <v>360</v>
      </c>
      <c r="B31995" s="1" t="str">
        <f>HYPERLINK("http://tabycentrum.se","tabycentrum.se")</f>
        <v>tabycentrum.se</v>
      </c>
      <c r="C31995" t="s">
        <v>495</v>
      </c>
      <c r="D31995" t="s">
        <v>869</v>
      </c>
      <c r="F31995">
        <v>6.6826485722256502E-8</v>
      </c>
      <c r="G31995">
        <v>640489</v>
      </c>
      <c r="H31995">
        <v>16940838</v>
      </c>
      <c r="I31995">
        <v>112410</v>
      </c>
      <c r="J31995">
        <v>3</v>
      </c>
    </row>
    <row r="31996" spans="1:10" x14ac:dyDescent="0.25">
      <c r="A31996" t="s">
        <v>360</v>
      </c>
      <c r="B31996" s="1" t="str">
        <f>HYPERLINK("http://starbucks.com.sg","starbucks.com.sg")</f>
        <v>starbucks.com.sg</v>
      </c>
      <c r="C31996" t="s">
        <v>496</v>
      </c>
      <c r="D31996" t="s">
        <v>870</v>
      </c>
      <c r="E31996">
        <v>48417</v>
      </c>
      <c r="F31996">
        <v>1.51434670753885E-7</v>
      </c>
      <c r="G31996">
        <v>256481</v>
      </c>
      <c r="H31996">
        <v>17033128</v>
      </c>
      <c r="I31996">
        <v>82367</v>
      </c>
      <c r="J31996">
        <v>2</v>
      </c>
    </row>
    <row r="31997" spans="1:10" x14ac:dyDescent="0.25">
      <c r="A31997" t="s">
        <v>360</v>
      </c>
      <c r="B31997" s="1" t="str">
        <f>HYPERLINK("http://starbucksslovakia.sk","starbucksslovakia.sk")</f>
        <v>starbucksslovakia.sk</v>
      </c>
      <c r="C31997" t="s">
        <v>498</v>
      </c>
      <c r="D31997" t="s">
        <v>872</v>
      </c>
      <c r="F31997">
        <v>6.2989063726079403E-9</v>
      </c>
      <c r="G31997">
        <v>15037906</v>
      </c>
      <c r="H31997">
        <v>14071796</v>
      </c>
      <c r="I31997">
        <v>3334628</v>
      </c>
      <c r="J31997">
        <v>3</v>
      </c>
    </row>
    <row r="31998" spans="1:10" x14ac:dyDescent="0.25">
      <c r="A31998" t="s">
        <v>360</v>
      </c>
      <c r="B31998" s="1" t="str">
        <f>HYPERLINK("http://starbucks.com.sv","starbucks.com.sv")</f>
        <v>starbucks.com.sv</v>
      </c>
      <c r="C31998" t="s">
        <v>499</v>
      </c>
      <c r="D31998" t="s">
        <v>873</v>
      </c>
      <c r="F31998">
        <v>4.5761248626361302E-9</v>
      </c>
      <c r="G31998">
        <v>49631246</v>
      </c>
      <c r="H31998">
        <v>10544931</v>
      </c>
      <c r="I31998">
        <v>46961549</v>
      </c>
      <c r="J31998">
        <v>3</v>
      </c>
    </row>
    <row r="31999" spans="1:10" x14ac:dyDescent="0.25">
      <c r="A31999" t="s">
        <v>360</v>
      </c>
      <c r="B31999" s="1" t="str">
        <f>HYPERLINK("http://premium.sv","premium.sv")</f>
        <v>premium.sv</v>
      </c>
      <c r="C31999" t="s">
        <v>499</v>
      </c>
      <c r="D31999" t="s">
        <v>873</v>
      </c>
      <c r="F31999">
        <v>5.1508395604090599E-9</v>
      </c>
      <c r="G31999">
        <v>26065118</v>
      </c>
      <c r="H31999">
        <v>10728332</v>
      </c>
      <c r="I31999">
        <v>41052385</v>
      </c>
      <c r="J31999">
        <v>3</v>
      </c>
    </row>
    <row r="32000" spans="1:10" x14ac:dyDescent="0.25">
      <c r="A32000" t="s">
        <v>360</v>
      </c>
      <c r="B32000" s="1" t="str">
        <f>HYPERLINK("http://starbucks.co.th","starbucks.co.th")</f>
        <v>starbucks.co.th</v>
      </c>
      <c r="C32000" t="s">
        <v>500</v>
      </c>
      <c r="D32000" t="s">
        <v>874</v>
      </c>
      <c r="E32000">
        <v>536085</v>
      </c>
      <c r="F32000">
        <v>8.5102394084341602E-8</v>
      </c>
      <c r="G32000">
        <v>484691</v>
      </c>
      <c r="H32000">
        <v>16931500</v>
      </c>
      <c r="I32000">
        <v>117785</v>
      </c>
      <c r="J32000">
        <v>3</v>
      </c>
    </row>
    <row r="32001" spans="1:10" x14ac:dyDescent="0.25">
      <c r="A32001" t="s">
        <v>360</v>
      </c>
      <c r="B32001" s="1" t="str">
        <f>HYPERLINK("http://starbuckscard.in.th","starbuckscard.in.th")</f>
        <v>starbuckscard.in.th</v>
      </c>
      <c r="C32001" t="s">
        <v>500</v>
      </c>
      <c r="D32001" t="s">
        <v>874</v>
      </c>
      <c r="F32001">
        <v>5.0937281201513896E-9</v>
      </c>
      <c r="G32001">
        <v>27210281</v>
      </c>
      <c r="H32001">
        <v>10963696</v>
      </c>
      <c r="I32001">
        <v>34273041</v>
      </c>
      <c r="J32001">
        <v>3</v>
      </c>
    </row>
    <row r="32002" spans="1:10" x14ac:dyDescent="0.25">
      <c r="A32002" t="s">
        <v>360</v>
      </c>
      <c r="B32002" s="1" t="str">
        <f>HYPERLINK("http://mado.com.tr","mado.com.tr")</f>
        <v>mado.com.tr</v>
      </c>
      <c r="C32002" t="s">
        <v>502</v>
      </c>
      <c r="D32002" t="s">
        <v>876</v>
      </c>
      <c r="F32002">
        <v>2.1803049633182201E-8</v>
      </c>
      <c r="G32002">
        <v>2410150</v>
      </c>
      <c r="H32002">
        <v>14240115</v>
      </c>
      <c r="I32002">
        <v>1504343</v>
      </c>
      <c r="J32002">
        <v>6</v>
      </c>
    </row>
    <row r="32003" spans="1:10" x14ac:dyDescent="0.25">
      <c r="A32003" t="s">
        <v>360</v>
      </c>
      <c r="B32003" s="1" t="str">
        <f>HYPERLINK("http://starbucks.com.tr","starbucks.com.tr")</f>
        <v>starbucks.com.tr</v>
      </c>
      <c r="C32003" t="s">
        <v>502</v>
      </c>
      <c r="D32003" t="s">
        <v>876</v>
      </c>
      <c r="E32003">
        <v>486025</v>
      </c>
      <c r="F32003">
        <v>6.5937400964076197E-8</v>
      </c>
      <c r="G32003">
        <v>651064</v>
      </c>
      <c r="H32003">
        <v>14574820</v>
      </c>
      <c r="I32003">
        <v>731168</v>
      </c>
      <c r="J32003">
        <v>2</v>
      </c>
    </row>
    <row r="32004" spans="1:10" x14ac:dyDescent="0.25">
      <c r="A32004" t="s">
        <v>360</v>
      </c>
      <c r="B32004" s="1" t="str">
        <f>HYPERLINK("http://starbucks.tt","starbucks.tt")</f>
        <v>starbucks.tt</v>
      </c>
      <c r="C32004" t="s">
        <v>503</v>
      </c>
      <c r="D32004" t="s">
        <v>877</v>
      </c>
      <c r="E32004">
        <v>828750</v>
      </c>
      <c r="F32004">
        <v>5.9693070946768097E-9</v>
      </c>
      <c r="G32004">
        <v>16886103</v>
      </c>
      <c r="H32004">
        <v>14077981</v>
      </c>
      <c r="I32004">
        <v>2854795</v>
      </c>
      <c r="J32004">
        <v>3</v>
      </c>
    </row>
    <row r="32005" spans="1:10" x14ac:dyDescent="0.25">
      <c r="A32005" t="s">
        <v>360</v>
      </c>
      <c r="B32005" s="1" t="str">
        <f>HYPERLINK("http://starbucks.com.tw","starbucks.com.tw")</f>
        <v>starbucks.com.tw</v>
      </c>
      <c r="C32005" t="s">
        <v>504</v>
      </c>
      <c r="D32005" t="s">
        <v>878</v>
      </c>
      <c r="E32005">
        <v>103786</v>
      </c>
      <c r="F32005">
        <v>2.5644034192378203E-7</v>
      </c>
      <c r="G32005">
        <v>145893</v>
      </c>
      <c r="H32005">
        <v>14834910</v>
      </c>
      <c r="I32005">
        <v>501878</v>
      </c>
      <c r="J32005">
        <v>2</v>
      </c>
    </row>
    <row r="32006" spans="1:10" x14ac:dyDescent="0.25">
      <c r="A32006" t="s">
        <v>360</v>
      </c>
      <c r="B32006" s="1" t="str">
        <f>HYPERLINK("http://starbucks.co.uk","starbucks.co.uk")</f>
        <v>starbucks.co.uk</v>
      </c>
      <c r="C32006" t="s">
        <v>506</v>
      </c>
      <c r="D32006" t="s">
        <v>880</v>
      </c>
      <c r="E32006">
        <v>33524</v>
      </c>
      <c r="F32006">
        <v>4.3116020946403897E-7</v>
      </c>
      <c r="G32006">
        <v>87376</v>
      </c>
      <c r="H32006">
        <v>15079858</v>
      </c>
      <c r="I32006">
        <v>409596</v>
      </c>
      <c r="J32006">
        <v>2</v>
      </c>
    </row>
    <row r="32007" spans="1:10" x14ac:dyDescent="0.25">
      <c r="A32007" t="s">
        <v>360</v>
      </c>
      <c r="B32007" s="1" t="str">
        <f>HYPERLINK("http://starbucks.com.uy","starbucks.com.uy")</f>
        <v>starbucks.com.uy</v>
      </c>
      <c r="C32007" t="s">
        <v>507</v>
      </c>
      <c r="D32007" t="s">
        <v>881</v>
      </c>
      <c r="F32007">
        <v>7.08867207007842E-9</v>
      </c>
      <c r="G32007">
        <v>12047257</v>
      </c>
      <c r="H32007">
        <v>10910665</v>
      </c>
      <c r="I32007">
        <v>35615167</v>
      </c>
      <c r="J32007">
        <v>3</v>
      </c>
    </row>
    <row r="32008" spans="1:10" x14ac:dyDescent="0.25">
      <c r="A32008" t="s">
        <v>360</v>
      </c>
      <c r="B32008" s="1" t="str">
        <f>HYPERLINK("http://coffee-concepts.com.vn","coffee-concepts.com.vn")</f>
        <v>coffee-concepts.com.vn</v>
      </c>
      <c r="C32008" t="s">
        <v>509</v>
      </c>
      <c r="D32008" t="s">
        <v>883</v>
      </c>
      <c r="J32008">
        <v>3</v>
      </c>
    </row>
    <row r="32009" spans="1:10" x14ac:dyDescent="0.25">
      <c r="A32009" t="s">
        <v>360</v>
      </c>
      <c r="B32009" s="1" t="str">
        <f>HYPERLINK("http://starbucks.vn","starbucks.vn")</f>
        <v>starbucks.vn</v>
      </c>
      <c r="C32009" t="s">
        <v>509</v>
      </c>
      <c r="D32009" t="s">
        <v>883</v>
      </c>
      <c r="F32009">
        <v>4.8297246163729501E-8</v>
      </c>
      <c r="G32009">
        <v>961767</v>
      </c>
      <c r="H32009">
        <v>13425739</v>
      </c>
      <c r="I32009">
        <v>10293857</v>
      </c>
      <c r="J32009">
        <v>2</v>
      </c>
    </row>
    <row r="32010" spans="1:10" x14ac:dyDescent="0.25">
      <c r="A32010" t="s">
        <v>360</v>
      </c>
      <c r="B32010" s="1" t="str">
        <f>HYPERLINK("http://seattlecoffeecompany.co.za","seattlecoffeecompany.co.za")</f>
        <v>seattlecoffeecompany.co.za</v>
      </c>
      <c r="C32010" t="s">
        <v>510</v>
      </c>
      <c r="D32010" t="s">
        <v>884</v>
      </c>
      <c r="F32010">
        <v>9.0280490211843707E-9</v>
      </c>
      <c r="G32010">
        <v>7950414</v>
      </c>
      <c r="H32010">
        <v>13936730</v>
      </c>
      <c r="I32010">
        <v>4485922</v>
      </c>
      <c r="J32010">
        <v>3</v>
      </c>
    </row>
    <row r="32011" spans="1:10" x14ac:dyDescent="0.25">
      <c r="A32011" t="s">
        <v>360</v>
      </c>
      <c r="B32011" s="1" t="str">
        <f>HYPERLINK("http://starbucks.co.za","starbucks.co.za")</f>
        <v>starbucks.co.za</v>
      </c>
      <c r="C32011" t="s">
        <v>510</v>
      </c>
      <c r="D32011" t="s">
        <v>884</v>
      </c>
      <c r="F32011">
        <v>2.7787326257814E-8</v>
      </c>
      <c r="G32011">
        <v>1850617</v>
      </c>
      <c r="H32011">
        <v>13774734</v>
      </c>
      <c r="I32011">
        <v>6597905</v>
      </c>
      <c r="J32011">
        <v>2</v>
      </c>
    </row>
    <row r="32012" spans="1:10" x14ac:dyDescent="0.25">
      <c r="A32012" t="s">
        <v>361</v>
      </c>
      <c r="B32012" s="1" t="str">
        <f>HYPERLINK("http://bankifsccode.com","bankifsccode.com")</f>
        <v>bankifsccode.com</v>
      </c>
      <c r="C32012" t="s">
        <v>433</v>
      </c>
      <c r="E32012">
        <v>88699</v>
      </c>
      <c r="F32012">
        <v>6.5920621828428597E-8</v>
      </c>
      <c r="G32012">
        <v>651273</v>
      </c>
      <c r="H32012">
        <v>14247240</v>
      </c>
      <c r="I32012">
        <v>1458194</v>
      </c>
      <c r="J32012">
        <v>4</v>
      </c>
    </row>
    <row r="32013" spans="1:10" x14ac:dyDescent="0.25">
      <c r="A32013" t="s">
        <v>361</v>
      </c>
      <c r="B32013" s="1" t="str">
        <f>HYPERLINK("http://oijif.com","oijif.com")</f>
        <v>oijif.com</v>
      </c>
      <c r="C32013" t="s">
        <v>433</v>
      </c>
      <c r="F32013">
        <v>4.91181567461225E-9</v>
      </c>
      <c r="G32013">
        <v>32126710</v>
      </c>
      <c r="H32013">
        <v>12560518</v>
      </c>
      <c r="I32013">
        <v>16708303</v>
      </c>
      <c r="J32013">
        <v>3</v>
      </c>
    </row>
    <row r="32014" spans="1:10" x14ac:dyDescent="0.25">
      <c r="A32014" t="s">
        <v>361</v>
      </c>
      <c r="B32014" s="1" t="str">
        <f>HYPERLINK("http://onlinesbi.com","onlinesbi.com")</f>
        <v>onlinesbi.com</v>
      </c>
      <c r="C32014" t="s">
        <v>433</v>
      </c>
      <c r="E32014">
        <v>20363</v>
      </c>
      <c r="F32014">
        <v>1.19118591527687E-6</v>
      </c>
      <c r="G32014">
        <v>32715</v>
      </c>
      <c r="H32014">
        <v>17209280</v>
      </c>
      <c r="I32014">
        <v>40168</v>
      </c>
      <c r="J32014">
        <v>2</v>
      </c>
    </row>
    <row r="32015" spans="1:10" x14ac:dyDescent="0.25">
      <c r="A32015" t="s">
        <v>361</v>
      </c>
      <c r="B32015" s="1" t="str">
        <f>HYPERLINK("http://onlinesbp.com","onlinesbp.com")</f>
        <v>onlinesbp.com</v>
      </c>
      <c r="C32015" t="s">
        <v>433</v>
      </c>
      <c r="F32015">
        <v>5.6903765341714201E-9</v>
      </c>
      <c r="G32015">
        <v>19042298</v>
      </c>
      <c r="H32015">
        <v>10386215</v>
      </c>
      <c r="I32015">
        <v>54444176</v>
      </c>
      <c r="J32015">
        <v>5</v>
      </c>
    </row>
    <row r="32016" spans="1:10" x14ac:dyDescent="0.25">
      <c r="A32016" t="s">
        <v>361</v>
      </c>
      <c r="B32016" s="1" t="str">
        <f>HYPERLINK("http://sbbjbank.com","sbbjbank.com")</f>
        <v>sbbjbank.com</v>
      </c>
      <c r="C32016" t="s">
        <v>433</v>
      </c>
      <c r="F32016">
        <v>1.7121903852627601E-8</v>
      </c>
      <c r="G32016">
        <v>3255914</v>
      </c>
      <c r="H32016">
        <v>14237805</v>
      </c>
      <c r="I32016">
        <v>1541032</v>
      </c>
      <c r="J32016">
        <v>5</v>
      </c>
    </row>
    <row r="32017" spans="1:10" x14ac:dyDescent="0.25">
      <c r="A32017" t="s">
        <v>361</v>
      </c>
      <c r="B32017" s="1" t="str">
        <f>HYPERLINK("http://sbiantwerp.com","sbiantwerp.com")</f>
        <v>sbiantwerp.com</v>
      </c>
      <c r="C32017" t="s">
        <v>433</v>
      </c>
      <c r="F32017">
        <v>1.84224672465062E-8</v>
      </c>
      <c r="G32017">
        <v>2941271</v>
      </c>
      <c r="H32017">
        <v>12196559</v>
      </c>
      <c r="I32017">
        <v>23408574</v>
      </c>
      <c r="J32017">
        <v>4</v>
      </c>
    </row>
    <row r="32018" spans="1:10" x14ac:dyDescent="0.25">
      <c r="A32018" t="s">
        <v>361</v>
      </c>
      <c r="B32018" s="1" t="str">
        <f>HYPERLINK("http://sbical.com","sbical.com")</f>
        <v>sbical.com</v>
      </c>
      <c r="C32018" t="s">
        <v>433</v>
      </c>
      <c r="F32018">
        <v>3.70584426358133E-8</v>
      </c>
      <c r="G32018">
        <v>1398991</v>
      </c>
      <c r="H32018">
        <v>14075189</v>
      </c>
      <c r="I32018">
        <v>2915932</v>
      </c>
      <c r="J32018">
        <v>4</v>
      </c>
    </row>
    <row r="32019" spans="1:10" x14ac:dyDescent="0.25">
      <c r="A32019" t="s">
        <v>361</v>
      </c>
      <c r="B32019" s="1" t="str">
        <f>HYPERLINK("http://sbicanada.com","sbicanada.com")</f>
        <v>sbicanada.com</v>
      </c>
      <c r="C32019" t="s">
        <v>433</v>
      </c>
      <c r="F32019">
        <v>3.14262573328016E-8</v>
      </c>
      <c r="G32019">
        <v>1641417</v>
      </c>
      <c r="H32019">
        <v>13170872</v>
      </c>
      <c r="I32019">
        <v>11721313</v>
      </c>
      <c r="J32019">
        <v>4</v>
      </c>
    </row>
    <row r="32020" spans="1:10" x14ac:dyDescent="0.25">
      <c r="A32020" t="s">
        <v>361</v>
      </c>
      <c r="B32020" s="1" t="str">
        <f>HYPERLINK("http://sbicaps.com","sbicaps.com")</f>
        <v>sbicaps.com</v>
      </c>
      <c r="C32020" t="s">
        <v>433</v>
      </c>
      <c r="F32020">
        <v>3.6876549044265497E-8</v>
      </c>
      <c r="G32020">
        <v>1418110</v>
      </c>
      <c r="H32020">
        <v>13533437</v>
      </c>
      <c r="I32020">
        <v>9915191</v>
      </c>
      <c r="J32020">
        <v>3</v>
      </c>
    </row>
    <row r="32021" spans="1:10" x14ac:dyDescent="0.25">
      <c r="A32021" t="s">
        <v>361</v>
      </c>
      <c r="B32021" s="1" t="str">
        <f>HYPERLINK("http://sbicaptrustee.com","sbicaptrustee.com")</f>
        <v>sbicaptrustee.com</v>
      </c>
      <c r="C32021" t="s">
        <v>433</v>
      </c>
      <c r="F32021">
        <v>1.6564258915801899E-8</v>
      </c>
      <c r="G32021">
        <v>3398061</v>
      </c>
      <c r="H32021">
        <v>12360252</v>
      </c>
      <c r="I32021">
        <v>19580400</v>
      </c>
      <c r="J32021">
        <v>3</v>
      </c>
    </row>
    <row r="32022" spans="1:10" x14ac:dyDescent="0.25">
      <c r="A32022" t="s">
        <v>361</v>
      </c>
      <c r="B32022" s="1" t="str">
        <f>HYPERLINK("http://sbicapventures.com","sbicapventures.com")</f>
        <v>sbicapventures.com</v>
      </c>
      <c r="C32022" t="s">
        <v>433</v>
      </c>
      <c r="F32022">
        <v>1.07255476922713E-8</v>
      </c>
      <c r="G32022">
        <v>6079319</v>
      </c>
      <c r="H32022">
        <v>13625296</v>
      </c>
      <c r="I32022">
        <v>9621744</v>
      </c>
      <c r="J32022">
        <v>3</v>
      </c>
    </row>
    <row r="32023" spans="1:10" x14ac:dyDescent="0.25">
      <c r="A32023" t="s">
        <v>361</v>
      </c>
      <c r="B32023" s="1" t="str">
        <f>HYPERLINK("http://sbicard.com","sbicard.com")</f>
        <v>sbicard.com</v>
      </c>
      <c r="C32023" t="s">
        <v>433</v>
      </c>
      <c r="E32023">
        <v>12481</v>
      </c>
      <c r="F32023">
        <v>2.2329373455486701E-7</v>
      </c>
      <c r="G32023">
        <v>168764</v>
      </c>
      <c r="H32023">
        <v>14218945</v>
      </c>
      <c r="I32023">
        <v>1688272</v>
      </c>
      <c r="J32023">
        <v>3</v>
      </c>
    </row>
    <row r="32024" spans="1:10" x14ac:dyDescent="0.25">
      <c r="A32024" t="s">
        <v>361</v>
      </c>
      <c r="B32024" s="1" t="str">
        <f>HYPERLINK("http://sbidfhi.com","sbidfhi.com")</f>
        <v>sbidfhi.com</v>
      </c>
      <c r="C32024" t="s">
        <v>433</v>
      </c>
      <c r="F32024">
        <v>3.51310781647791E-8</v>
      </c>
      <c r="G32024">
        <v>1479562</v>
      </c>
      <c r="H32024">
        <v>12829308</v>
      </c>
      <c r="I32024">
        <v>14433700</v>
      </c>
      <c r="J32024">
        <v>3</v>
      </c>
    </row>
    <row r="32025" spans="1:10" x14ac:dyDescent="0.25">
      <c r="A32025" t="s">
        <v>361</v>
      </c>
      <c r="B32025" s="1" t="str">
        <f>HYPERLINK("http://sbiindo.com","sbiindo.com")</f>
        <v>sbiindo.com</v>
      </c>
      <c r="C32025" t="s">
        <v>433</v>
      </c>
      <c r="F32025">
        <v>2.1142053995336699E-8</v>
      </c>
      <c r="G32025">
        <v>2495195</v>
      </c>
      <c r="H32025">
        <v>14073895</v>
      </c>
      <c r="I32025">
        <v>2965726</v>
      </c>
      <c r="J32025">
        <v>3</v>
      </c>
    </row>
    <row r="32026" spans="1:10" x14ac:dyDescent="0.25">
      <c r="A32026" t="s">
        <v>361</v>
      </c>
      <c r="B32026" s="1" t="str">
        <f>HYPERLINK("http://sbimf.com","sbimf.com")</f>
        <v>sbimf.com</v>
      </c>
      <c r="C32026" t="s">
        <v>433</v>
      </c>
      <c r="E32026">
        <v>82590</v>
      </c>
      <c r="F32026">
        <v>1.73848618777964E-7</v>
      </c>
      <c r="G32026">
        <v>223062</v>
      </c>
      <c r="H32026">
        <v>14504982</v>
      </c>
      <c r="I32026">
        <v>837690</v>
      </c>
      <c r="J32026">
        <v>3</v>
      </c>
    </row>
    <row r="32027" spans="1:10" x14ac:dyDescent="0.25">
      <c r="A32027" t="s">
        <v>361</v>
      </c>
      <c r="B32027" s="1" t="str">
        <f>HYPERLINK("http://sbipensionfunds.com","sbipensionfunds.com")</f>
        <v>sbipensionfunds.com</v>
      </c>
      <c r="C32027" t="s">
        <v>433</v>
      </c>
      <c r="F32027">
        <v>1.92428555331215E-8</v>
      </c>
      <c r="G32027">
        <v>2791475</v>
      </c>
      <c r="H32027">
        <v>12263909</v>
      </c>
      <c r="I32027">
        <v>21658441</v>
      </c>
      <c r="J32027">
        <v>5</v>
      </c>
    </row>
    <row r="32028" spans="1:10" x14ac:dyDescent="0.25">
      <c r="A32028" t="s">
        <v>361</v>
      </c>
      <c r="B32028" s="1" t="str">
        <f>HYPERLINK("http://sbismart.com","sbismart.com")</f>
        <v>sbismart.com</v>
      </c>
      <c r="C32028" t="s">
        <v>433</v>
      </c>
      <c r="F32028">
        <v>3.7787017948071797E-8</v>
      </c>
      <c r="G32028">
        <v>1369409</v>
      </c>
      <c r="H32028">
        <v>13774325</v>
      </c>
      <c r="I32028">
        <v>6608230</v>
      </c>
      <c r="J32028">
        <v>3</v>
      </c>
    </row>
    <row r="32029" spans="1:10" x14ac:dyDescent="0.25">
      <c r="A32029" t="s">
        <v>361</v>
      </c>
      <c r="B32029" s="1" t="str">
        <f>HYPERLINK("http://sbiuk.com","sbiuk.com")</f>
        <v>sbiuk.com</v>
      </c>
      <c r="C32029" t="s">
        <v>433</v>
      </c>
      <c r="F32029">
        <v>5.93356200699249E-8</v>
      </c>
      <c r="G32029">
        <v>746403</v>
      </c>
      <c r="H32029">
        <v>16753279</v>
      </c>
      <c r="I32029">
        <v>247923</v>
      </c>
      <c r="J32029">
        <v>4</v>
      </c>
    </row>
    <row r="32030" spans="1:10" x14ac:dyDescent="0.25">
      <c r="A32030" t="s">
        <v>361</v>
      </c>
      <c r="B32030" s="1" t="str">
        <f>HYPERLINK("http://statebankofindia.com","statebankofindia.com")</f>
        <v>statebankofindia.com</v>
      </c>
      <c r="C32030" t="s">
        <v>433</v>
      </c>
      <c r="E32030">
        <v>655917</v>
      </c>
      <c r="F32030">
        <v>2.1470185825095E-7</v>
      </c>
      <c r="G32030">
        <v>175780</v>
      </c>
      <c r="H32030">
        <v>14513453</v>
      </c>
      <c r="I32030">
        <v>817187</v>
      </c>
      <c r="J32030">
        <v>4</v>
      </c>
    </row>
    <row r="32031" spans="1:10" x14ac:dyDescent="0.25">
      <c r="A32031" t="s">
        <v>361</v>
      </c>
      <c r="B32031" s="1" t="str">
        <f>HYPERLINK("http://sbi.co.in","sbi.co.in")</f>
        <v>sbi.co.in</v>
      </c>
      <c r="C32031" t="s">
        <v>457</v>
      </c>
      <c r="D32031" t="s">
        <v>834</v>
      </c>
      <c r="E32031">
        <v>14300</v>
      </c>
      <c r="F32031">
        <v>1.3944681920073899E-6</v>
      </c>
      <c r="G32031">
        <v>27995</v>
      </c>
      <c r="H32031">
        <v>17361800</v>
      </c>
      <c r="I32031">
        <v>22072</v>
      </c>
      <c r="J32031">
        <v>1</v>
      </c>
    </row>
    <row r="32032" spans="1:10" x14ac:dyDescent="0.25">
      <c r="A32032" t="s">
        <v>361</v>
      </c>
      <c r="B32032" s="1" t="str">
        <f>HYPERLINK("http://sbilife.co.in","sbilife.co.in")</f>
        <v>sbilife.co.in</v>
      </c>
      <c r="C32032" t="s">
        <v>457</v>
      </c>
      <c r="D32032" t="s">
        <v>834</v>
      </c>
      <c r="E32032">
        <v>90245</v>
      </c>
      <c r="F32032">
        <v>1.27202724762375E-7</v>
      </c>
      <c r="G32032">
        <v>310023</v>
      </c>
      <c r="H32032">
        <v>13942721</v>
      </c>
      <c r="I32032">
        <v>4326247</v>
      </c>
      <c r="J32032">
        <v>3</v>
      </c>
    </row>
    <row r="32033" spans="1:10" x14ac:dyDescent="0.25">
      <c r="A32033" t="s">
        <v>361</v>
      </c>
      <c r="B32033" s="1" t="str">
        <f>HYPERLINK("http://sbisgcsl.co.in","sbisgcsl.co.in")</f>
        <v>sbisgcsl.co.in</v>
      </c>
      <c r="C32033" t="s">
        <v>457</v>
      </c>
      <c r="D32033" t="s">
        <v>834</v>
      </c>
      <c r="F32033">
        <v>6.5488721758706397E-9</v>
      </c>
      <c r="G32033">
        <v>13877733</v>
      </c>
      <c r="H32033">
        <v>11293524</v>
      </c>
      <c r="I32033">
        <v>30639369</v>
      </c>
      <c r="J32033">
        <v>3</v>
      </c>
    </row>
    <row r="32034" spans="1:10" x14ac:dyDescent="0.25">
      <c r="A32034" t="s">
        <v>361</v>
      </c>
      <c r="B32034" s="1" t="str">
        <f>HYPERLINK("http://onlinesbi.in","onlinesbi.in")</f>
        <v>onlinesbi.in</v>
      </c>
      <c r="C32034" t="s">
        <v>457</v>
      </c>
      <c r="D32034" t="s">
        <v>834</v>
      </c>
      <c r="F32034">
        <v>4.5916449432841802E-9</v>
      </c>
      <c r="G32034">
        <v>48272760</v>
      </c>
      <c r="H32034">
        <v>10656373</v>
      </c>
      <c r="I32034">
        <v>43525756</v>
      </c>
      <c r="J32034">
        <v>4</v>
      </c>
    </row>
    <row r="32035" spans="1:10" x14ac:dyDescent="0.25">
      <c r="A32035" t="s">
        <v>361</v>
      </c>
      <c r="B32035" s="1" t="str">
        <f>HYPERLINK("http://sbigeneral.in","sbigeneral.in")</f>
        <v>sbigeneral.in</v>
      </c>
      <c r="C32035" t="s">
        <v>457</v>
      </c>
      <c r="D32035" t="s">
        <v>834</v>
      </c>
      <c r="E32035">
        <v>143232</v>
      </c>
      <c r="F32035">
        <v>1.2598426853945299E-7</v>
      </c>
      <c r="G32035">
        <v>313066</v>
      </c>
      <c r="H32035">
        <v>16814584</v>
      </c>
      <c r="I32035">
        <v>189772</v>
      </c>
      <c r="J32035">
        <v>3</v>
      </c>
    </row>
    <row r="32036" spans="1:10" x14ac:dyDescent="0.25">
      <c r="A32036" t="s">
        <v>361</v>
      </c>
      <c r="B32036" s="1" t="str">
        <f>HYPERLINK("http://sbiglobal.in","sbiglobal.in")</f>
        <v>sbiglobal.in</v>
      </c>
      <c r="C32036" t="s">
        <v>457</v>
      </c>
      <c r="D32036" t="s">
        <v>834</v>
      </c>
      <c r="F32036">
        <v>1.1062049033769001E-8</v>
      </c>
      <c r="G32036">
        <v>5813412</v>
      </c>
      <c r="H32036">
        <v>13291416</v>
      </c>
      <c r="I32036">
        <v>10872413</v>
      </c>
      <c r="J32036">
        <v>3</v>
      </c>
    </row>
    <row r="32037" spans="1:10" x14ac:dyDescent="0.25">
      <c r="A32037" t="s">
        <v>361</v>
      </c>
      <c r="B32037" s="1" t="str">
        <f>HYPERLINK("http://nepalsbi.com.np","nepalsbi.com.np")</f>
        <v>nepalsbi.com.np</v>
      </c>
      <c r="C32037" t="s">
        <v>604</v>
      </c>
      <c r="D32037" t="s">
        <v>935</v>
      </c>
      <c r="F32037">
        <v>2.5540494131284999E-8</v>
      </c>
      <c r="G32037">
        <v>2019295</v>
      </c>
      <c r="H32037">
        <v>12406331</v>
      </c>
      <c r="I32037">
        <v>18665840</v>
      </c>
      <c r="J32037">
        <v>4</v>
      </c>
    </row>
    <row r="32038" spans="1:10" x14ac:dyDescent="0.25">
      <c r="A32038" t="s">
        <v>361</v>
      </c>
      <c r="B32038" s="1" t="str">
        <f>HYPERLINK("http://nsbl.com.np","nsbl.com.np")</f>
        <v>nsbl.com.np</v>
      </c>
      <c r="C32038" t="s">
        <v>604</v>
      </c>
      <c r="D32038" t="s">
        <v>935</v>
      </c>
      <c r="F32038">
        <v>4.5432262731957903E-9</v>
      </c>
      <c r="G32038">
        <v>52917521</v>
      </c>
      <c r="H32038">
        <v>7101590</v>
      </c>
      <c r="I32038">
        <v>76626205</v>
      </c>
      <c r="J32038">
        <v>6</v>
      </c>
    </row>
    <row r="32039" spans="1:10" x14ac:dyDescent="0.25">
      <c r="A32039" t="s">
        <v>361</v>
      </c>
      <c r="B32039" s="1" t="str">
        <f>HYPERLINK("http://c-edge.org","c-edge.org")</f>
        <v>c-edge.org</v>
      </c>
      <c r="C32039" t="s">
        <v>481</v>
      </c>
      <c r="F32039">
        <v>4.9753365336158397E-9</v>
      </c>
      <c r="G32039">
        <v>30113431</v>
      </c>
      <c r="H32039">
        <v>10376339</v>
      </c>
      <c r="I32039">
        <v>54684654</v>
      </c>
      <c r="J32039">
        <v>4</v>
      </c>
    </row>
    <row r="32040" spans="1:10" x14ac:dyDescent="0.25">
      <c r="A32040" t="s">
        <v>361</v>
      </c>
      <c r="B32040" s="1" t="str">
        <f>HYPERLINK("http://cibl.ru","cibl.ru")</f>
        <v>cibl.ru</v>
      </c>
      <c r="C32040" t="s">
        <v>493</v>
      </c>
      <c r="D32040" t="s">
        <v>867</v>
      </c>
      <c r="F32040">
        <v>2.27181699629027E-8</v>
      </c>
      <c r="G32040">
        <v>2304731</v>
      </c>
      <c r="H32040">
        <v>12486223</v>
      </c>
      <c r="I32040">
        <v>17531001</v>
      </c>
      <c r="J32040">
        <v>4</v>
      </c>
    </row>
    <row r="32041" spans="1:10" x14ac:dyDescent="0.25">
      <c r="A32041" t="s">
        <v>361</v>
      </c>
      <c r="B32041" s="1" t="str">
        <f>HYPERLINK("http://globalbank.sbi","globalbank.sbi")</f>
        <v>globalbank.sbi</v>
      </c>
      <c r="C32041" t="s">
        <v>787</v>
      </c>
      <c r="F32041">
        <v>1.24063690483938E-8</v>
      </c>
      <c r="G32041">
        <v>4935873</v>
      </c>
      <c r="H32041">
        <v>10510032</v>
      </c>
      <c r="I32041">
        <v>49672078</v>
      </c>
      <c r="J32041">
        <v>2</v>
      </c>
    </row>
    <row r="32042" spans="1:10" x14ac:dyDescent="0.25">
      <c r="A32042" t="s">
        <v>361</v>
      </c>
      <c r="B32042" s="1" t="str">
        <f>HYPERLINK("http://onlinesbi.sbi","onlinesbi.sbi")</f>
        <v>onlinesbi.sbi</v>
      </c>
      <c r="C32042" t="s">
        <v>787</v>
      </c>
      <c r="E32042">
        <v>1395</v>
      </c>
      <c r="F32042">
        <v>3.4799551788415801E-7</v>
      </c>
      <c r="G32042">
        <v>107390</v>
      </c>
      <c r="H32042">
        <v>14264583</v>
      </c>
      <c r="I32042">
        <v>1410408</v>
      </c>
      <c r="J32042">
        <v>3</v>
      </c>
    </row>
    <row r="32043" spans="1:10" x14ac:dyDescent="0.25">
      <c r="A32043" t="s">
        <v>361</v>
      </c>
      <c r="B32043" s="1" t="str">
        <f>HYPERLINK("http://snafms.sbi","snafms.sbi")</f>
        <v>snafms.sbi</v>
      </c>
      <c r="C32043" t="s">
        <v>787</v>
      </c>
      <c r="F32043">
        <v>4.4447683046655998E-9</v>
      </c>
      <c r="G32043">
        <v>76166370</v>
      </c>
      <c r="H32043">
        <v>10355686</v>
      </c>
      <c r="I32043">
        <v>55683563</v>
      </c>
      <c r="J32043">
        <v>2</v>
      </c>
    </row>
    <row r="32044" spans="1:10" x14ac:dyDescent="0.25">
      <c r="A32044" t="s">
        <v>361</v>
      </c>
      <c r="B32044" s="1" t="str">
        <f>HYPERLINK("http://whatsappmobility.sbi","whatsappmobility.sbi")</f>
        <v>whatsappmobility.sbi</v>
      </c>
      <c r="C32044" t="s">
        <v>787</v>
      </c>
      <c r="J32044">
        <v>2</v>
      </c>
    </row>
    <row r="32045" spans="1:10" x14ac:dyDescent="0.25">
      <c r="A32045" t="s">
        <v>361</v>
      </c>
      <c r="B32045" s="1" t="str">
        <f>HYPERLINK("http://yonotfs.sbi","yonotfs.sbi")</f>
        <v>yonotfs.sbi</v>
      </c>
      <c r="C32045" t="s">
        <v>787</v>
      </c>
      <c r="J32045">
        <v>2</v>
      </c>
    </row>
    <row r="32046" spans="1:10" x14ac:dyDescent="0.25">
      <c r="A32046" t="s">
        <v>361</v>
      </c>
      <c r="B32046" s="1" t="str">
        <f>HYPERLINK("http://nsbl.statebank","nsbl.statebank")</f>
        <v>nsbl.statebank</v>
      </c>
      <c r="C32046" t="s">
        <v>788</v>
      </c>
      <c r="F32046">
        <v>2.3706072681205201E-8</v>
      </c>
      <c r="G32046">
        <v>2192880</v>
      </c>
      <c r="H32046">
        <v>12305773</v>
      </c>
      <c r="I32046">
        <v>20721941</v>
      </c>
      <c r="J32046">
        <v>8</v>
      </c>
    </row>
    <row r="32047" spans="1:10" x14ac:dyDescent="0.25">
      <c r="A32047" t="s">
        <v>361</v>
      </c>
      <c r="B32047" s="1" t="str">
        <f>HYPERLINK("http://sbiuk.statebank","sbiuk.statebank")</f>
        <v>sbiuk.statebank</v>
      </c>
      <c r="C32047" t="s">
        <v>788</v>
      </c>
      <c r="F32047">
        <v>6.5557935475463601E-8</v>
      </c>
      <c r="G32047">
        <v>655733</v>
      </c>
      <c r="H32047">
        <v>14074283</v>
      </c>
      <c r="I32047">
        <v>2948960</v>
      </c>
      <c r="J32047">
        <v>5</v>
      </c>
    </row>
    <row r="32048" spans="1:10" x14ac:dyDescent="0.25">
      <c r="A32048" t="s">
        <v>362</v>
      </c>
      <c r="B32048" s="1" t="str">
        <f>HYPERLINK("http://citroen.ae","citroen.ae")</f>
        <v>citroen.ae</v>
      </c>
      <c r="C32048" t="s">
        <v>417</v>
      </c>
      <c r="D32048" t="s">
        <v>799</v>
      </c>
      <c r="F32048">
        <v>1.3152901853355301E-8</v>
      </c>
      <c r="G32048">
        <v>4559669</v>
      </c>
      <c r="H32048">
        <v>12818237</v>
      </c>
      <c r="I32048">
        <v>14523139</v>
      </c>
      <c r="J32048">
        <v>5</v>
      </c>
    </row>
    <row r="32049" spans="1:10" x14ac:dyDescent="0.25">
      <c r="A32049" t="s">
        <v>362</v>
      </c>
      <c r="B32049" s="1" t="str">
        <f>HYPERLINK("http://jeep.ae","jeep.ae")</f>
        <v>jeep.ae</v>
      </c>
      <c r="C32049" t="s">
        <v>417</v>
      </c>
      <c r="D32049" t="s">
        <v>799</v>
      </c>
      <c r="F32049">
        <v>4.1987378967726399E-8</v>
      </c>
      <c r="G32049">
        <v>1167119</v>
      </c>
      <c r="H32049">
        <v>12443260</v>
      </c>
      <c r="I32049">
        <v>18104850</v>
      </c>
      <c r="J32049">
        <v>5</v>
      </c>
    </row>
    <row r="32050" spans="1:10" x14ac:dyDescent="0.25">
      <c r="A32050" t="s">
        <v>362</v>
      </c>
      <c r="B32050" s="1" t="str">
        <f>HYPERLINK("http://fiat.al","fiat.al")</f>
        <v>fiat.al</v>
      </c>
      <c r="C32050" t="s">
        <v>588</v>
      </c>
      <c r="D32050" t="s">
        <v>924</v>
      </c>
      <c r="F32050">
        <v>8.3963088011100602E-9</v>
      </c>
      <c r="G32050">
        <v>9050464</v>
      </c>
      <c r="H32050">
        <v>12148186</v>
      </c>
      <c r="I32050">
        <v>24673298</v>
      </c>
      <c r="J32050">
        <v>5</v>
      </c>
    </row>
    <row r="32051" spans="1:10" x14ac:dyDescent="0.25">
      <c r="A32051" t="s">
        <v>362</v>
      </c>
      <c r="B32051" s="1" t="str">
        <f>HYPERLINK("http://fiat.co.ao","fiat.co.ao")</f>
        <v>fiat.co.ao</v>
      </c>
      <c r="C32051" t="s">
        <v>566</v>
      </c>
      <c r="D32051" t="s">
        <v>914</v>
      </c>
      <c r="F32051">
        <v>8.2507416615080395E-9</v>
      </c>
      <c r="G32051">
        <v>9375766</v>
      </c>
      <c r="H32051">
        <v>12148175</v>
      </c>
      <c r="I32051">
        <v>24673509</v>
      </c>
      <c r="J32051">
        <v>5</v>
      </c>
    </row>
    <row r="32052" spans="1:10" x14ac:dyDescent="0.25">
      <c r="A32052" t="s">
        <v>362</v>
      </c>
      <c r="B32052" s="1" t="str">
        <f>HYPERLINK("http://chrysler.com.ar","chrysler.com.ar")</f>
        <v>chrysler.com.ar</v>
      </c>
      <c r="C32052" t="s">
        <v>418</v>
      </c>
      <c r="D32052" t="s">
        <v>800</v>
      </c>
      <c r="F32052">
        <v>2.0759111383066901E-8</v>
      </c>
      <c r="G32052">
        <v>2548609</v>
      </c>
      <c r="H32052">
        <v>12943039</v>
      </c>
      <c r="I32052">
        <v>13268873</v>
      </c>
      <c r="J32052">
        <v>4</v>
      </c>
    </row>
    <row r="32053" spans="1:10" x14ac:dyDescent="0.25">
      <c r="A32053" t="s">
        <v>362</v>
      </c>
      <c r="B32053" s="1" t="str">
        <f>HYPERLINK("http://citroen.com.ar","citroen.com.ar")</f>
        <v>citroen.com.ar</v>
      </c>
      <c r="C32053" t="s">
        <v>418</v>
      </c>
      <c r="D32053" t="s">
        <v>800</v>
      </c>
      <c r="F32053">
        <v>2.69174136667275E-8</v>
      </c>
      <c r="G32053">
        <v>1910919</v>
      </c>
      <c r="H32053">
        <v>14250112</v>
      </c>
      <c r="I32053">
        <v>1447748</v>
      </c>
      <c r="J32053">
        <v>5</v>
      </c>
    </row>
    <row r="32054" spans="1:10" x14ac:dyDescent="0.25">
      <c r="A32054" t="s">
        <v>362</v>
      </c>
      <c r="B32054" s="1" t="str">
        <f>HYPERLINK("http://dsautomobiles.com.ar","dsautomobiles.com.ar")</f>
        <v>dsautomobiles.com.ar</v>
      </c>
      <c r="C32054" t="s">
        <v>418</v>
      </c>
      <c r="D32054" t="s">
        <v>800</v>
      </c>
      <c r="F32054">
        <v>1.34742252969909E-8</v>
      </c>
      <c r="G32054">
        <v>4414786</v>
      </c>
      <c r="H32054">
        <v>12958144</v>
      </c>
      <c r="I32054">
        <v>13176988</v>
      </c>
      <c r="J32054">
        <v>5</v>
      </c>
    </row>
    <row r="32055" spans="1:10" x14ac:dyDescent="0.25">
      <c r="A32055" t="s">
        <v>362</v>
      </c>
      <c r="B32055" s="1" t="str">
        <f>HYPERLINK("http://dsstoremartinez.com.ar","dsstoremartinez.com.ar")</f>
        <v>dsstoremartinez.com.ar</v>
      </c>
      <c r="C32055" t="s">
        <v>418</v>
      </c>
      <c r="D32055" t="s">
        <v>800</v>
      </c>
      <c r="F32055">
        <v>4.5072132028879303E-9</v>
      </c>
      <c r="G32055">
        <v>57895850</v>
      </c>
      <c r="H32055">
        <v>8538268</v>
      </c>
      <c r="I32055">
        <v>71556054</v>
      </c>
      <c r="J32055">
        <v>5</v>
      </c>
    </row>
    <row r="32056" spans="1:10" x14ac:dyDescent="0.25">
      <c r="A32056" t="s">
        <v>362</v>
      </c>
      <c r="B32056" s="1" t="str">
        <f>HYPERLINK("http://fiat.com.ar","fiat.com.ar")</f>
        <v>fiat.com.ar</v>
      </c>
      <c r="C32056" t="s">
        <v>418</v>
      </c>
      <c r="D32056" t="s">
        <v>800</v>
      </c>
      <c r="E32056">
        <v>783980</v>
      </c>
      <c r="F32056">
        <v>3.6243024328297599E-8</v>
      </c>
      <c r="G32056">
        <v>1439035</v>
      </c>
      <c r="H32056">
        <v>14254250</v>
      </c>
      <c r="I32056">
        <v>1436869</v>
      </c>
      <c r="J32056">
        <v>3</v>
      </c>
    </row>
    <row r="32057" spans="1:10" x14ac:dyDescent="0.25">
      <c r="A32057" t="s">
        <v>362</v>
      </c>
      <c r="B32057" s="1" t="str">
        <f>HYPERLINK("http://jeep.com.ar","jeep.com.ar")</f>
        <v>jeep.com.ar</v>
      </c>
      <c r="C32057" t="s">
        <v>418</v>
      </c>
      <c r="D32057" t="s">
        <v>800</v>
      </c>
      <c r="F32057">
        <v>6.1073360390366095E-8</v>
      </c>
      <c r="G32057">
        <v>721329</v>
      </c>
      <c r="H32057">
        <v>12928759</v>
      </c>
      <c r="I32057">
        <v>13374499</v>
      </c>
      <c r="J32057">
        <v>5</v>
      </c>
    </row>
    <row r="32058" spans="1:10" x14ac:dyDescent="0.25">
      <c r="A32058" t="s">
        <v>362</v>
      </c>
      <c r="B32058" s="1" t="str">
        <f>HYPERLINK("http://peugeot.com.ar","peugeot.com.ar")</f>
        <v>peugeot.com.ar</v>
      </c>
      <c r="C32058" t="s">
        <v>418</v>
      </c>
      <c r="D32058" t="s">
        <v>800</v>
      </c>
      <c r="F32058">
        <v>3.5176688391067599E-8</v>
      </c>
      <c r="G32058">
        <v>1477870</v>
      </c>
      <c r="H32058">
        <v>14238987</v>
      </c>
      <c r="I32058">
        <v>1518271</v>
      </c>
      <c r="J32058">
        <v>5</v>
      </c>
    </row>
    <row r="32059" spans="1:10" x14ac:dyDescent="0.25">
      <c r="A32059" t="s">
        <v>362</v>
      </c>
      <c r="B32059" s="1" t="str">
        <f>HYPERLINK("http://abarth.at","abarth.at")</f>
        <v>abarth.at</v>
      </c>
      <c r="C32059" t="s">
        <v>419</v>
      </c>
      <c r="D32059" t="s">
        <v>801</v>
      </c>
      <c r="F32059">
        <v>2.8466325225433001E-8</v>
      </c>
      <c r="G32059">
        <v>1808055</v>
      </c>
      <c r="H32059">
        <v>14072111</v>
      </c>
      <c r="I32059">
        <v>3160931</v>
      </c>
      <c r="J32059">
        <v>5</v>
      </c>
    </row>
    <row r="32060" spans="1:10" x14ac:dyDescent="0.25">
      <c r="A32060" t="s">
        <v>362</v>
      </c>
      <c r="B32060" s="1" t="str">
        <f>HYPERLINK("http://alfaromeo.at","alfaromeo.at")</f>
        <v>alfaromeo.at</v>
      </c>
      <c r="C32060" t="s">
        <v>419</v>
      </c>
      <c r="D32060" t="s">
        <v>801</v>
      </c>
      <c r="F32060">
        <v>3.3820326491092298E-8</v>
      </c>
      <c r="G32060">
        <v>1530067</v>
      </c>
      <c r="H32060">
        <v>14073569</v>
      </c>
      <c r="I32060">
        <v>2984925</v>
      </c>
      <c r="J32060">
        <v>5</v>
      </c>
    </row>
    <row r="32061" spans="1:10" x14ac:dyDescent="0.25">
      <c r="A32061" t="s">
        <v>362</v>
      </c>
      <c r="B32061" s="1" t="str">
        <f>HYPERLINK("http://citroen.at","citroen.at")</f>
        <v>citroen.at</v>
      </c>
      <c r="C32061" t="s">
        <v>419</v>
      </c>
      <c r="D32061" t="s">
        <v>801</v>
      </c>
      <c r="F32061">
        <v>5.6105942430161302E-8</v>
      </c>
      <c r="G32061">
        <v>798067</v>
      </c>
      <c r="H32061">
        <v>14138786</v>
      </c>
      <c r="I32061">
        <v>1944844</v>
      </c>
      <c r="J32061">
        <v>5</v>
      </c>
    </row>
    <row r="32062" spans="1:10" x14ac:dyDescent="0.25">
      <c r="A32062" t="s">
        <v>362</v>
      </c>
      <c r="B32062" s="1" t="str">
        <f>HYPERLINK("http://dsautomobiles.at","dsautomobiles.at")</f>
        <v>dsautomobiles.at</v>
      </c>
      <c r="C32062" t="s">
        <v>419</v>
      </c>
      <c r="D32062" t="s">
        <v>801</v>
      </c>
      <c r="F32062">
        <v>1.8300819084420999E-8</v>
      </c>
      <c r="G32062">
        <v>2967254</v>
      </c>
      <c r="H32062">
        <v>12585663</v>
      </c>
      <c r="I32062">
        <v>16450752</v>
      </c>
      <c r="J32062">
        <v>5</v>
      </c>
    </row>
    <row r="32063" spans="1:10" x14ac:dyDescent="0.25">
      <c r="A32063" t="s">
        <v>362</v>
      </c>
      <c r="B32063" s="1" t="str">
        <f>HYPERLINK("http://fiat.at","fiat.at")</f>
        <v>fiat.at</v>
      </c>
      <c r="C32063" t="s">
        <v>419</v>
      </c>
      <c r="D32063" t="s">
        <v>801</v>
      </c>
      <c r="F32063">
        <v>6.8066034520114096E-8</v>
      </c>
      <c r="G32063">
        <v>627016</v>
      </c>
      <c r="H32063">
        <v>14075138</v>
      </c>
      <c r="I32063">
        <v>2917308</v>
      </c>
      <c r="J32063">
        <v>4</v>
      </c>
    </row>
    <row r="32064" spans="1:10" x14ac:dyDescent="0.25">
      <c r="A32064" t="s">
        <v>362</v>
      </c>
      <c r="B32064" s="1" t="str">
        <f>HYPERLINK("http://fiatprofessional.at","fiatprofessional.at")</f>
        <v>fiatprofessional.at</v>
      </c>
      <c r="C32064" t="s">
        <v>419</v>
      </c>
      <c r="D32064" t="s">
        <v>801</v>
      </c>
      <c r="F32064">
        <v>1.9100057870751101E-8</v>
      </c>
      <c r="G32064">
        <v>2817873</v>
      </c>
      <c r="H32064">
        <v>12377491</v>
      </c>
      <c r="I32064">
        <v>19268693</v>
      </c>
      <c r="J32064">
        <v>5</v>
      </c>
    </row>
    <row r="32065" spans="1:10" x14ac:dyDescent="0.25">
      <c r="A32065" t="s">
        <v>362</v>
      </c>
      <c r="B32065" s="1" t="str">
        <f>HYPERLINK("http://jeep.at","jeep.at")</f>
        <v>jeep.at</v>
      </c>
      <c r="C32065" t="s">
        <v>419</v>
      </c>
      <c r="D32065" t="s">
        <v>801</v>
      </c>
      <c r="F32065">
        <v>6.8147132278804002E-8</v>
      </c>
      <c r="G32065">
        <v>626191</v>
      </c>
      <c r="H32065">
        <v>12683011</v>
      </c>
      <c r="I32065">
        <v>15472328</v>
      </c>
      <c r="J32065">
        <v>5</v>
      </c>
    </row>
    <row r="32066" spans="1:10" x14ac:dyDescent="0.25">
      <c r="A32066" t="s">
        <v>362</v>
      </c>
      <c r="B32066" s="1" t="str">
        <f>HYPERLINK("http://maserati.at","maserati.at")</f>
        <v>maserati.at</v>
      </c>
      <c r="C32066" t="s">
        <v>419</v>
      </c>
      <c r="D32066" t="s">
        <v>801</v>
      </c>
      <c r="F32066">
        <v>1.04149000338061E-8</v>
      </c>
      <c r="G32066">
        <v>6345337</v>
      </c>
      <c r="H32066">
        <v>12309182</v>
      </c>
      <c r="I32066">
        <v>20637118</v>
      </c>
      <c r="J32066">
        <v>5</v>
      </c>
    </row>
    <row r="32067" spans="1:10" x14ac:dyDescent="0.25">
      <c r="A32067" t="s">
        <v>362</v>
      </c>
      <c r="B32067" s="1" t="str">
        <f>HYPERLINK("http://opel.at","opel.at")</f>
        <v>opel.at</v>
      </c>
      <c r="C32067" t="s">
        <v>419</v>
      </c>
      <c r="D32067" t="s">
        <v>801</v>
      </c>
      <c r="F32067">
        <v>5.2555573259735603E-8</v>
      </c>
      <c r="G32067">
        <v>867548</v>
      </c>
      <c r="H32067">
        <v>14376687</v>
      </c>
      <c r="I32067">
        <v>1215343</v>
      </c>
      <c r="J32067">
        <v>4</v>
      </c>
    </row>
    <row r="32068" spans="1:10" x14ac:dyDescent="0.25">
      <c r="A32068" t="s">
        <v>362</v>
      </c>
      <c r="B32068" s="1" t="str">
        <f>HYPERLINK("http://peugeot.at","peugeot.at")</f>
        <v>peugeot.at</v>
      </c>
      <c r="C32068" t="s">
        <v>419</v>
      </c>
      <c r="D32068" t="s">
        <v>801</v>
      </c>
      <c r="F32068">
        <v>9.4214398158362604E-8</v>
      </c>
      <c r="G32068">
        <v>430806</v>
      </c>
      <c r="H32068">
        <v>14090291</v>
      </c>
      <c r="I32068">
        <v>2750045</v>
      </c>
      <c r="J32068">
        <v>4</v>
      </c>
    </row>
    <row r="32069" spans="1:10" x14ac:dyDescent="0.25">
      <c r="A32069" t="s">
        <v>362</v>
      </c>
      <c r="B32069" s="1" t="str">
        <f>HYPERLINK("http://chrysler.com.au","chrysler.com.au")</f>
        <v>chrysler.com.au</v>
      </c>
      <c r="C32069" t="s">
        <v>420</v>
      </c>
      <c r="D32069" t="s">
        <v>802</v>
      </c>
      <c r="F32069">
        <v>2.0764287984173499E-8</v>
      </c>
      <c r="G32069">
        <v>2547890</v>
      </c>
      <c r="H32069">
        <v>12575475</v>
      </c>
      <c r="I32069">
        <v>16560674</v>
      </c>
      <c r="J32069">
        <v>4</v>
      </c>
    </row>
    <row r="32070" spans="1:10" x14ac:dyDescent="0.25">
      <c r="A32070" t="s">
        <v>362</v>
      </c>
      <c r="B32070" s="1" t="str">
        <f>HYPERLINK("http://citroen.com.au","citroen.com.au")</f>
        <v>citroen.com.au</v>
      </c>
      <c r="C32070" t="s">
        <v>420</v>
      </c>
      <c r="D32070" t="s">
        <v>802</v>
      </c>
      <c r="F32070">
        <v>1.8252581527015201E-8</v>
      </c>
      <c r="G32070">
        <v>2976719</v>
      </c>
      <c r="H32070">
        <v>14496494</v>
      </c>
      <c r="I32070">
        <v>870562</v>
      </c>
      <c r="J32070">
        <v>5</v>
      </c>
    </row>
    <row r="32071" spans="1:10" x14ac:dyDescent="0.25">
      <c r="A32071" t="s">
        <v>362</v>
      </c>
      <c r="B32071" s="1" t="str">
        <f>HYPERLINK("http://fiatchrysler.com.au","fiatchrysler.com.au")</f>
        <v>fiatchrysler.com.au</v>
      </c>
      <c r="C32071" t="s">
        <v>420</v>
      </c>
      <c r="D32071" t="s">
        <v>802</v>
      </c>
      <c r="F32071">
        <v>5.8984390516120396E-9</v>
      </c>
      <c r="G32071">
        <v>17370209</v>
      </c>
      <c r="H32071">
        <v>12172610</v>
      </c>
      <c r="I32071">
        <v>24002779</v>
      </c>
      <c r="J32071">
        <v>4</v>
      </c>
    </row>
    <row r="32072" spans="1:10" x14ac:dyDescent="0.25">
      <c r="A32072" t="s">
        <v>362</v>
      </c>
      <c r="B32072" s="1" t="str">
        <f>HYPERLINK("http://jeep.com.au","jeep.com.au")</f>
        <v>jeep.com.au</v>
      </c>
      <c r="C32072" t="s">
        <v>420</v>
      </c>
      <c r="D32072" t="s">
        <v>802</v>
      </c>
      <c r="E32072">
        <v>847705</v>
      </c>
      <c r="F32072">
        <v>7.25214145252417E-8</v>
      </c>
      <c r="G32072">
        <v>581855</v>
      </c>
      <c r="H32072">
        <v>13567828</v>
      </c>
      <c r="I32072">
        <v>9740838</v>
      </c>
      <c r="J32072">
        <v>5</v>
      </c>
    </row>
    <row r="32073" spans="1:10" x14ac:dyDescent="0.25">
      <c r="A32073" t="s">
        <v>362</v>
      </c>
      <c r="B32073" s="1" t="str">
        <f>HYPERLINK("http://opel.az","opel.az")</f>
        <v>opel.az</v>
      </c>
      <c r="C32073" t="s">
        <v>561</v>
      </c>
      <c r="D32073" t="s">
        <v>911</v>
      </c>
      <c r="F32073">
        <v>1.15077522234E-8</v>
      </c>
      <c r="G32073">
        <v>5498637</v>
      </c>
      <c r="H32073">
        <v>13934740</v>
      </c>
      <c r="I32073">
        <v>4577674</v>
      </c>
      <c r="J32073">
        <v>4</v>
      </c>
    </row>
    <row r="32074" spans="1:10" x14ac:dyDescent="0.25">
      <c r="A32074" t="s">
        <v>362</v>
      </c>
      <c r="B32074" s="1" t="str">
        <f>HYPERLINK("http://dsautomobiles.ba","dsautomobiles.ba")</f>
        <v>dsautomobiles.ba</v>
      </c>
      <c r="C32074" t="s">
        <v>526</v>
      </c>
      <c r="D32074" t="s">
        <v>893</v>
      </c>
      <c r="F32074">
        <v>7.0966006688676298E-9</v>
      </c>
      <c r="G32074">
        <v>12024479</v>
      </c>
      <c r="H32074">
        <v>11992337</v>
      </c>
      <c r="I32074">
        <v>28339954</v>
      </c>
      <c r="J32074">
        <v>5</v>
      </c>
    </row>
    <row r="32075" spans="1:10" x14ac:dyDescent="0.25">
      <c r="A32075" t="s">
        <v>362</v>
      </c>
      <c r="B32075" s="1" t="str">
        <f>HYPERLINK("http://opel.ba","opel.ba")</f>
        <v>opel.ba</v>
      </c>
      <c r="C32075" t="s">
        <v>526</v>
      </c>
      <c r="D32075" t="s">
        <v>893</v>
      </c>
      <c r="F32075">
        <v>1.6794363052321398E-8</v>
      </c>
      <c r="G32075">
        <v>3334689</v>
      </c>
      <c r="H32075">
        <v>14072334</v>
      </c>
      <c r="I32075">
        <v>3113867</v>
      </c>
      <c r="J32075">
        <v>4</v>
      </c>
    </row>
    <row r="32076" spans="1:10" x14ac:dyDescent="0.25">
      <c r="A32076" t="s">
        <v>362</v>
      </c>
      <c r="B32076" s="1" t="str">
        <f>HYPERLINK("http://jeep.com.bd","jeep.com.bd")</f>
        <v>jeep.com.bd</v>
      </c>
      <c r="C32076" t="s">
        <v>603</v>
      </c>
      <c r="D32076" t="s">
        <v>934</v>
      </c>
      <c r="F32076">
        <v>4.1680741530216699E-8</v>
      </c>
      <c r="G32076">
        <v>1187579</v>
      </c>
      <c r="H32076">
        <v>12273472</v>
      </c>
      <c r="I32076">
        <v>21450339</v>
      </c>
      <c r="J32076">
        <v>5</v>
      </c>
    </row>
    <row r="32077" spans="1:10" x14ac:dyDescent="0.25">
      <c r="A32077" t="s">
        <v>362</v>
      </c>
      <c r="B32077" s="1" t="str">
        <f>HYPERLINK("http://abarthbelgium.be","abarthbelgium.be")</f>
        <v>abarthbelgium.be</v>
      </c>
      <c r="C32077" t="s">
        <v>421</v>
      </c>
      <c r="D32077" t="s">
        <v>803</v>
      </c>
      <c r="F32077">
        <v>3.0567198310592101E-8</v>
      </c>
      <c r="G32077">
        <v>1684758</v>
      </c>
      <c r="H32077">
        <v>12986756</v>
      </c>
      <c r="I32077">
        <v>12888517</v>
      </c>
      <c r="J32077">
        <v>7</v>
      </c>
    </row>
    <row r="32078" spans="1:10" x14ac:dyDescent="0.25">
      <c r="A32078" t="s">
        <v>362</v>
      </c>
      <c r="B32078" s="1" t="str">
        <f>HYPERLINK("http://alfaromeo.be","alfaromeo.be")</f>
        <v>alfaromeo.be</v>
      </c>
      <c r="C32078" t="s">
        <v>421</v>
      </c>
      <c r="D32078" t="s">
        <v>803</v>
      </c>
      <c r="F32078">
        <v>2.1523401097178001E-8</v>
      </c>
      <c r="G32078">
        <v>2446204</v>
      </c>
      <c r="H32078">
        <v>14239271</v>
      </c>
      <c r="I32078">
        <v>1514452</v>
      </c>
      <c r="J32078">
        <v>6</v>
      </c>
    </row>
    <row r="32079" spans="1:10" x14ac:dyDescent="0.25">
      <c r="A32079" t="s">
        <v>362</v>
      </c>
      <c r="B32079" s="1" t="str">
        <f>HYPERLINK("http://citroen.be","citroen.be")</f>
        <v>citroen.be</v>
      </c>
      <c r="C32079" t="s">
        <v>421</v>
      </c>
      <c r="D32079" t="s">
        <v>803</v>
      </c>
      <c r="E32079">
        <v>620387</v>
      </c>
      <c r="F32079">
        <v>1.0890365012971301E-7</v>
      </c>
      <c r="G32079">
        <v>367353</v>
      </c>
      <c r="H32079">
        <v>14319062</v>
      </c>
      <c r="I32079">
        <v>1332832</v>
      </c>
      <c r="J32079">
        <v>5</v>
      </c>
    </row>
    <row r="32080" spans="1:10" x14ac:dyDescent="0.25">
      <c r="A32080" t="s">
        <v>362</v>
      </c>
      <c r="B32080" s="1" t="str">
        <f>HYPERLINK("http://datos.be","datos.be")</f>
        <v>datos.be</v>
      </c>
      <c r="C32080" t="s">
        <v>421</v>
      </c>
      <c r="D32080" t="s">
        <v>803</v>
      </c>
      <c r="F32080">
        <v>4.9277910508030103E-9</v>
      </c>
      <c r="G32080">
        <v>31444875</v>
      </c>
      <c r="H32080">
        <v>10680780</v>
      </c>
      <c r="I32080">
        <v>42733447</v>
      </c>
      <c r="J32080">
        <v>4</v>
      </c>
    </row>
    <row r="32081" spans="1:10" x14ac:dyDescent="0.25">
      <c r="A32081" t="s">
        <v>362</v>
      </c>
      <c r="B32081" s="1" t="str">
        <f>HYPERLINK("http://driveds.be","driveds.be")</f>
        <v>driveds.be</v>
      </c>
      <c r="C32081" t="s">
        <v>421</v>
      </c>
      <c r="D32081" t="s">
        <v>803</v>
      </c>
      <c r="F32081">
        <v>5.1963825364260102E-9</v>
      </c>
      <c r="G32081">
        <v>25228686</v>
      </c>
      <c r="H32081">
        <v>8573275</v>
      </c>
      <c r="I32081">
        <v>71052344</v>
      </c>
      <c r="J32081">
        <v>7</v>
      </c>
    </row>
    <row r="32082" spans="1:10" x14ac:dyDescent="0.25">
      <c r="A32082" t="s">
        <v>362</v>
      </c>
      <c r="B32082" s="1" t="str">
        <f>HYPERLINK("http://dsautomobiles.be","dsautomobiles.be")</f>
        <v>dsautomobiles.be</v>
      </c>
      <c r="C32082" t="s">
        <v>421</v>
      </c>
      <c r="D32082" t="s">
        <v>803</v>
      </c>
      <c r="F32082">
        <v>4.2300082422354399E-8</v>
      </c>
      <c r="G32082">
        <v>1149886</v>
      </c>
      <c r="H32082">
        <v>12507258</v>
      </c>
      <c r="I32082">
        <v>17272548</v>
      </c>
      <c r="J32082">
        <v>5</v>
      </c>
    </row>
    <row r="32083" spans="1:10" x14ac:dyDescent="0.25">
      <c r="A32083" t="s">
        <v>362</v>
      </c>
      <c r="B32083" s="1" t="str">
        <f>HYPERLINK("http://fiat.be","fiat.be")</f>
        <v>fiat.be</v>
      </c>
      <c r="C32083" t="s">
        <v>421</v>
      </c>
      <c r="D32083" t="s">
        <v>803</v>
      </c>
      <c r="F32083">
        <v>4.8918161883092202E-8</v>
      </c>
      <c r="G32083">
        <v>947098</v>
      </c>
      <c r="H32083">
        <v>13582291</v>
      </c>
      <c r="I32083">
        <v>9684202</v>
      </c>
      <c r="J32083">
        <v>4</v>
      </c>
    </row>
    <row r="32084" spans="1:10" x14ac:dyDescent="0.25">
      <c r="A32084" t="s">
        <v>362</v>
      </c>
      <c r="B32084" s="1" t="str">
        <f>HYPERLINK("http://fiatprofessional.be","fiatprofessional.be")</f>
        <v>fiatprofessional.be</v>
      </c>
      <c r="C32084" t="s">
        <v>421</v>
      </c>
      <c r="D32084" t="s">
        <v>803</v>
      </c>
      <c r="F32084">
        <v>1.16584378287575E-8</v>
      </c>
      <c r="G32084">
        <v>5393275</v>
      </c>
      <c r="H32084">
        <v>11408295</v>
      </c>
      <c r="I32084">
        <v>30200941</v>
      </c>
      <c r="J32084">
        <v>5</v>
      </c>
    </row>
    <row r="32085" spans="1:10" x14ac:dyDescent="0.25">
      <c r="A32085" t="s">
        <v>362</v>
      </c>
      <c r="B32085" s="1" t="str">
        <f>HYPERLINK("http://garagedemeer.be","garagedemeer.be")</f>
        <v>garagedemeer.be</v>
      </c>
      <c r="C32085" t="s">
        <v>421</v>
      </c>
      <c r="D32085" t="s">
        <v>803</v>
      </c>
      <c r="F32085">
        <v>4.6809196440353196E-9</v>
      </c>
      <c r="G32085">
        <v>42281097</v>
      </c>
      <c r="H32085">
        <v>9721144</v>
      </c>
      <c r="I32085">
        <v>63173382</v>
      </c>
      <c r="J32085">
        <v>6</v>
      </c>
    </row>
    <row r="32086" spans="1:10" x14ac:dyDescent="0.25">
      <c r="A32086" t="s">
        <v>362</v>
      </c>
      <c r="B32086" s="1" t="str">
        <f>HYPERLINK("http://jeep.be","jeep.be")</f>
        <v>jeep.be</v>
      </c>
      <c r="C32086" t="s">
        <v>421</v>
      </c>
      <c r="D32086" t="s">
        <v>803</v>
      </c>
      <c r="F32086">
        <v>7.0091615021368202E-8</v>
      </c>
      <c r="G32086">
        <v>604476</v>
      </c>
      <c r="H32086">
        <v>14612415</v>
      </c>
      <c r="I32086">
        <v>675495</v>
      </c>
      <c r="J32086">
        <v>5</v>
      </c>
    </row>
    <row r="32087" spans="1:10" x14ac:dyDescent="0.25">
      <c r="A32087" t="s">
        <v>362</v>
      </c>
      <c r="B32087" s="1" t="str">
        <f>HYPERLINK("http://lavrijsen-geel.be","lavrijsen-geel.be")</f>
        <v>lavrijsen-geel.be</v>
      </c>
      <c r="C32087" t="s">
        <v>421</v>
      </c>
      <c r="D32087" t="s">
        <v>803</v>
      </c>
      <c r="F32087">
        <v>8.2838877232275895E-9</v>
      </c>
      <c r="G32087">
        <v>9296241</v>
      </c>
      <c r="H32087">
        <v>10983000</v>
      </c>
      <c r="I32087">
        <v>33879401</v>
      </c>
      <c r="J32087">
        <v>6</v>
      </c>
    </row>
    <row r="32088" spans="1:10" x14ac:dyDescent="0.25">
      <c r="A32088" t="s">
        <v>362</v>
      </c>
      <c r="B32088" s="1" t="str">
        <f>HYPERLINK("http://maserati.be","maserati.be")</f>
        <v>maserati.be</v>
      </c>
      <c r="C32088" t="s">
        <v>421</v>
      </c>
      <c r="D32088" t="s">
        <v>803</v>
      </c>
      <c r="F32088">
        <v>1.0576536360733201E-8</v>
      </c>
      <c r="G32088">
        <v>6203799</v>
      </c>
      <c r="H32088">
        <v>12257559</v>
      </c>
      <c r="I32088">
        <v>21834722</v>
      </c>
      <c r="J32088">
        <v>5</v>
      </c>
    </row>
    <row r="32089" spans="1:10" x14ac:dyDescent="0.25">
      <c r="A32089" t="s">
        <v>362</v>
      </c>
      <c r="B32089" s="1" t="str">
        <f>HYPERLINK("http://opel.be","opel.be")</f>
        <v>opel.be</v>
      </c>
      <c r="C32089" t="s">
        <v>421</v>
      </c>
      <c r="D32089" t="s">
        <v>803</v>
      </c>
      <c r="E32089">
        <v>717207</v>
      </c>
      <c r="F32089">
        <v>2.5336335334193399E-7</v>
      </c>
      <c r="G32089">
        <v>147610</v>
      </c>
      <c r="H32089">
        <v>14818588</v>
      </c>
      <c r="I32089">
        <v>519803</v>
      </c>
      <c r="J32089">
        <v>4</v>
      </c>
    </row>
    <row r="32090" spans="1:10" x14ac:dyDescent="0.25">
      <c r="A32090" t="s">
        <v>362</v>
      </c>
      <c r="B32090" s="1" t="str">
        <f>HYPERLINK("http://peugeot.be","peugeot.be")</f>
        <v>peugeot.be</v>
      </c>
      <c r="C32090" t="s">
        <v>421</v>
      </c>
      <c r="D32090" t="s">
        <v>803</v>
      </c>
      <c r="E32090">
        <v>472844</v>
      </c>
      <c r="F32090">
        <v>1.0933099616740199E-7</v>
      </c>
      <c r="G32090">
        <v>365938</v>
      </c>
      <c r="H32090">
        <v>14321077</v>
      </c>
      <c r="I32090">
        <v>1331150</v>
      </c>
      <c r="J32090">
        <v>4</v>
      </c>
    </row>
    <row r="32091" spans="1:10" x14ac:dyDescent="0.25">
      <c r="A32091" t="s">
        <v>362</v>
      </c>
      <c r="B32091" s="1" t="str">
        <f>HYPERLINK("http://citroen.bg","citroen.bg")</f>
        <v>citroen.bg</v>
      </c>
      <c r="C32091" t="s">
        <v>422</v>
      </c>
      <c r="D32091" t="s">
        <v>804</v>
      </c>
      <c r="F32091">
        <v>2.7132092258199998E-8</v>
      </c>
      <c r="G32091">
        <v>1895411</v>
      </c>
      <c r="H32091">
        <v>14074282</v>
      </c>
      <c r="I32091">
        <v>2948963</v>
      </c>
      <c r="J32091">
        <v>5</v>
      </c>
    </row>
    <row r="32092" spans="1:10" x14ac:dyDescent="0.25">
      <c r="A32092" t="s">
        <v>362</v>
      </c>
      <c r="B32092" s="1" t="str">
        <f>HYPERLINK("http://fiat.bg","fiat.bg")</f>
        <v>fiat.bg</v>
      </c>
      <c r="C32092" t="s">
        <v>422</v>
      </c>
      <c r="D32092" t="s">
        <v>804</v>
      </c>
      <c r="F32092">
        <v>1.21797719813571E-8</v>
      </c>
      <c r="G32092">
        <v>5062231</v>
      </c>
      <c r="H32092">
        <v>12355575</v>
      </c>
      <c r="I32092">
        <v>19670125</v>
      </c>
      <c r="J32092">
        <v>5</v>
      </c>
    </row>
    <row r="32093" spans="1:10" x14ac:dyDescent="0.25">
      <c r="A32093" t="s">
        <v>362</v>
      </c>
      <c r="B32093" s="1" t="str">
        <f>HYPERLINK("http://opel.bg","opel.bg")</f>
        <v>opel.bg</v>
      </c>
      <c r="C32093" t="s">
        <v>422</v>
      </c>
      <c r="D32093" t="s">
        <v>804</v>
      </c>
      <c r="F32093">
        <v>2.94003961837584E-8</v>
      </c>
      <c r="G32093">
        <v>1752798</v>
      </c>
      <c r="H32093">
        <v>14073437</v>
      </c>
      <c r="I32093">
        <v>2994906</v>
      </c>
      <c r="J32093">
        <v>4</v>
      </c>
    </row>
    <row r="32094" spans="1:10" x14ac:dyDescent="0.25">
      <c r="A32094" t="s">
        <v>362</v>
      </c>
      <c r="B32094" s="1" t="str">
        <f>HYPERLINK("http://citroen.com.bn","citroen.com.bn")</f>
        <v>citroen.com.bn</v>
      </c>
      <c r="C32094" t="s">
        <v>511</v>
      </c>
      <c r="D32094" t="s">
        <v>885</v>
      </c>
      <c r="F32094">
        <v>8.3943212284938298E-9</v>
      </c>
      <c r="G32094">
        <v>9054477</v>
      </c>
      <c r="H32094">
        <v>12817561</v>
      </c>
      <c r="I32094">
        <v>14525979</v>
      </c>
      <c r="J32094">
        <v>5</v>
      </c>
    </row>
    <row r="32095" spans="1:10" x14ac:dyDescent="0.25">
      <c r="A32095" t="s">
        <v>362</v>
      </c>
      <c r="B32095" s="1" t="str">
        <f>HYPERLINK("http://dodge.com.bn","dodge.com.bn")</f>
        <v>dodge.com.bn</v>
      </c>
      <c r="C32095" t="s">
        <v>511</v>
      </c>
      <c r="D32095" t="s">
        <v>885</v>
      </c>
      <c r="F32095">
        <v>1.38404162526359E-8</v>
      </c>
      <c r="G32095">
        <v>4264317</v>
      </c>
      <c r="H32095">
        <v>12183245</v>
      </c>
      <c r="I32095">
        <v>23732508</v>
      </c>
      <c r="J32095">
        <v>5</v>
      </c>
    </row>
    <row r="32096" spans="1:10" x14ac:dyDescent="0.25">
      <c r="A32096" t="s">
        <v>362</v>
      </c>
      <c r="B32096" s="1" t="str">
        <f>HYPERLINK("http://dsautomobiles.com.bn","dsautomobiles.com.bn")</f>
        <v>dsautomobiles.com.bn</v>
      </c>
      <c r="C32096" t="s">
        <v>511</v>
      </c>
      <c r="D32096" t="s">
        <v>885</v>
      </c>
      <c r="F32096">
        <v>7.0966006688676298E-9</v>
      </c>
      <c r="G32096">
        <v>12024480</v>
      </c>
      <c r="H32096">
        <v>11992337</v>
      </c>
      <c r="I32096">
        <v>28339956</v>
      </c>
      <c r="J32096">
        <v>5</v>
      </c>
    </row>
    <row r="32097" spans="1:10" x14ac:dyDescent="0.25">
      <c r="A32097" t="s">
        <v>362</v>
      </c>
      <c r="B32097" s="1" t="str">
        <f>HYPERLINK("http://jeep.com.bn","jeep.com.bn")</f>
        <v>jeep.com.bn</v>
      </c>
      <c r="C32097" t="s">
        <v>511</v>
      </c>
      <c r="D32097" t="s">
        <v>885</v>
      </c>
      <c r="F32097">
        <v>4.1737487361942603E-8</v>
      </c>
      <c r="G32097">
        <v>1182288</v>
      </c>
      <c r="H32097">
        <v>12271900</v>
      </c>
      <c r="I32097">
        <v>21481214</v>
      </c>
      <c r="J32097">
        <v>5</v>
      </c>
    </row>
    <row r="32098" spans="1:10" x14ac:dyDescent="0.25">
      <c r="A32098" t="s">
        <v>362</v>
      </c>
      <c r="B32098" s="1" t="str">
        <f>HYPERLINK("http://jeep.bo","jeep.bo")</f>
        <v>jeep.bo</v>
      </c>
      <c r="C32098" t="s">
        <v>424</v>
      </c>
      <c r="D32098" t="s">
        <v>805</v>
      </c>
      <c r="F32098">
        <v>7.7309784302220293E-9</v>
      </c>
      <c r="G32098">
        <v>10505494</v>
      </c>
      <c r="H32098">
        <v>10474513</v>
      </c>
      <c r="I32098">
        <v>51157089</v>
      </c>
      <c r="J32098">
        <v>6</v>
      </c>
    </row>
    <row r="32099" spans="1:10" x14ac:dyDescent="0.25">
      <c r="A32099" t="s">
        <v>362</v>
      </c>
      <c r="B32099" s="1" t="str">
        <f>HYPERLINK("http://bancofidis.com.br","bancofidis.com.br")</f>
        <v>bancofidis.com.br</v>
      </c>
      <c r="C32099" t="s">
        <v>425</v>
      </c>
      <c r="D32099" t="s">
        <v>806</v>
      </c>
      <c r="F32099">
        <v>4.6833141538115396E-9</v>
      </c>
      <c r="G32099">
        <v>42145349</v>
      </c>
      <c r="H32099">
        <v>10349789</v>
      </c>
      <c r="I32099">
        <v>56394375</v>
      </c>
      <c r="J32099">
        <v>3</v>
      </c>
    </row>
    <row r="32100" spans="1:10" x14ac:dyDescent="0.25">
      <c r="A32100" t="s">
        <v>362</v>
      </c>
      <c r="B32100" s="1" t="str">
        <f>HYPERLINK("http://citroen.com.br","citroen.com.br")</f>
        <v>citroen.com.br</v>
      </c>
      <c r="C32100" t="s">
        <v>425</v>
      </c>
      <c r="D32100" t="s">
        <v>806</v>
      </c>
      <c r="E32100">
        <v>355761</v>
      </c>
      <c r="F32100">
        <v>3.5518245636931397E-8</v>
      </c>
      <c r="G32100">
        <v>1465631</v>
      </c>
      <c r="H32100">
        <v>14730559</v>
      </c>
      <c r="I32100">
        <v>572222</v>
      </c>
      <c r="J32100">
        <v>5</v>
      </c>
    </row>
    <row r="32101" spans="1:10" x14ac:dyDescent="0.25">
      <c r="A32101" t="s">
        <v>362</v>
      </c>
      <c r="B32101" s="1" t="str">
        <f>HYPERLINK("http://dsautomobiles.com.br","dsautomobiles.com.br")</f>
        <v>dsautomobiles.com.br</v>
      </c>
      <c r="C32101" t="s">
        <v>425</v>
      </c>
      <c r="D32101" t="s">
        <v>806</v>
      </c>
      <c r="F32101">
        <v>7.09660066886761E-9</v>
      </c>
      <c r="G32101">
        <v>12024482</v>
      </c>
      <c r="H32101">
        <v>11992337</v>
      </c>
      <c r="I32101">
        <v>28339957</v>
      </c>
      <c r="J32101">
        <v>5</v>
      </c>
    </row>
    <row r="32102" spans="1:10" x14ac:dyDescent="0.25">
      <c r="A32102" t="s">
        <v>362</v>
      </c>
      <c r="B32102" s="1" t="str">
        <f>HYPERLINK("http://jeep.com.br","jeep.com.br")</f>
        <v>jeep.com.br</v>
      </c>
      <c r="C32102" t="s">
        <v>425</v>
      </c>
      <c r="D32102" t="s">
        <v>806</v>
      </c>
      <c r="E32102">
        <v>381143</v>
      </c>
      <c r="F32102">
        <v>6.0830125319785497E-8</v>
      </c>
      <c r="G32102">
        <v>724469</v>
      </c>
      <c r="H32102">
        <v>13829530</v>
      </c>
      <c r="I32102">
        <v>6112738</v>
      </c>
      <c r="J32102">
        <v>5</v>
      </c>
    </row>
    <row r="32103" spans="1:10" x14ac:dyDescent="0.25">
      <c r="A32103" t="s">
        <v>362</v>
      </c>
      <c r="B32103" s="1" t="str">
        <f>HYPERLINK("http://opel.by","opel.by")</f>
        <v>opel.by</v>
      </c>
      <c r="C32103" t="s">
        <v>427</v>
      </c>
      <c r="D32103" t="s">
        <v>808</v>
      </c>
      <c r="F32103">
        <v>9.5623931519165496E-9</v>
      </c>
      <c r="G32103">
        <v>7248280</v>
      </c>
      <c r="H32103">
        <v>11082670</v>
      </c>
      <c r="I32103">
        <v>32457314</v>
      </c>
      <c r="J32103">
        <v>4</v>
      </c>
    </row>
    <row r="32104" spans="1:10" x14ac:dyDescent="0.25">
      <c r="A32104" t="s">
        <v>362</v>
      </c>
      <c r="B32104" s="1" t="str">
        <f>HYPERLINK("http://alfaromeo.ca","alfaromeo.ca")</f>
        <v>alfaromeo.ca</v>
      </c>
      <c r="C32104" t="s">
        <v>428</v>
      </c>
      <c r="D32104" t="s">
        <v>809</v>
      </c>
      <c r="F32104">
        <v>3.9237522838990697E-8</v>
      </c>
      <c r="G32104">
        <v>1314823</v>
      </c>
      <c r="H32104">
        <v>13797592</v>
      </c>
      <c r="I32104">
        <v>6296035</v>
      </c>
      <c r="J32104">
        <v>5</v>
      </c>
    </row>
    <row r="32105" spans="1:10" x14ac:dyDescent="0.25">
      <c r="A32105" t="s">
        <v>362</v>
      </c>
      <c r="B32105" s="1" t="str">
        <f>HYPERLINK("http://chrysler.ca","chrysler.ca")</f>
        <v>chrysler.ca</v>
      </c>
      <c r="C32105" t="s">
        <v>428</v>
      </c>
      <c r="D32105" t="s">
        <v>809</v>
      </c>
      <c r="E32105">
        <v>641103</v>
      </c>
      <c r="F32105">
        <v>1.5344621236063101E-7</v>
      </c>
      <c r="G32105">
        <v>253134</v>
      </c>
      <c r="H32105">
        <v>14155435</v>
      </c>
      <c r="I32105">
        <v>1859694</v>
      </c>
      <c r="J32105">
        <v>4</v>
      </c>
    </row>
    <row r="32106" spans="1:10" x14ac:dyDescent="0.25">
      <c r="A32106" t="s">
        <v>362</v>
      </c>
      <c r="B32106" s="1" t="str">
        <f>HYPERLINK("http://jeep.ca","jeep.ca")</f>
        <v>jeep.ca</v>
      </c>
      <c r="C32106" t="s">
        <v>428</v>
      </c>
      <c r="D32106" t="s">
        <v>809</v>
      </c>
      <c r="E32106">
        <v>304666</v>
      </c>
      <c r="F32106">
        <v>1.3214089839334301E-7</v>
      </c>
      <c r="G32106">
        <v>295790</v>
      </c>
      <c r="H32106">
        <v>14961162</v>
      </c>
      <c r="I32106">
        <v>436930</v>
      </c>
      <c r="J32106">
        <v>5</v>
      </c>
    </row>
    <row r="32107" spans="1:10" x14ac:dyDescent="0.25">
      <c r="A32107" t="s">
        <v>362</v>
      </c>
      <c r="B32107" s="1" t="str">
        <f>HYPERLINK("http://maserati.ca","maserati.ca")</f>
        <v>maserati.ca</v>
      </c>
      <c r="C32107" t="s">
        <v>428</v>
      </c>
      <c r="D32107" t="s">
        <v>809</v>
      </c>
      <c r="F32107">
        <v>2.1462048067017001E-8</v>
      </c>
      <c r="G32107">
        <v>2453764</v>
      </c>
      <c r="H32107">
        <v>13839300</v>
      </c>
      <c r="I32107">
        <v>6076199</v>
      </c>
      <c r="J32107">
        <v>5</v>
      </c>
    </row>
    <row r="32108" spans="1:10" x14ac:dyDescent="0.25">
      <c r="A32108" t="s">
        <v>362</v>
      </c>
      <c r="B32108" s="1" t="str">
        <f>HYPERLINK("http://mopar.ca","mopar.ca")</f>
        <v>mopar.ca</v>
      </c>
      <c r="C32108" t="s">
        <v>428</v>
      </c>
      <c r="D32108" t="s">
        <v>809</v>
      </c>
      <c r="F32108">
        <v>4.6393232789485997E-8</v>
      </c>
      <c r="G32108">
        <v>1008609</v>
      </c>
      <c r="H32108">
        <v>14146615</v>
      </c>
      <c r="I32108">
        <v>1894127</v>
      </c>
      <c r="J32108">
        <v>5</v>
      </c>
    </row>
    <row r="32109" spans="1:10" x14ac:dyDescent="0.25">
      <c r="A32109" t="s">
        <v>362</v>
      </c>
      <c r="B32109" s="1" t="str">
        <f>HYPERLINK("http://abarth.ch","abarth.ch")</f>
        <v>abarth.ch</v>
      </c>
      <c r="C32109" t="s">
        <v>429</v>
      </c>
      <c r="D32109" t="s">
        <v>810</v>
      </c>
      <c r="F32109">
        <v>4.5781749621037902E-8</v>
      </c>
      <c r="G32109">
        <v>1026528</v>
      </c>
      <c r="H32109">
        <v>14084176</v>
      </c>
      <c r="I32109">
        <v>2788965</v>
      </c>
      <c r="J32109">
        <v>5</v>
      </c>
    </row>
    <row r="32110" spans="1:10" x14ac:dyDescent="0.25">
      <c r="A32110" t="s">
        <v>362</v>
      </c>
      <c r="B32110" s="1" t="str">
        <f>HYPERLINK("http://alfaromeo.ch","alfaromeo.ch")</f>
        <v>alfaromeo.ch</v>
      </c>
      <c r="C32110" t="s">
        <v>429</v>
      </c>
      <c r="D32110" t="s">
        <v>810</v>
      </c>
      <c r="F32110">
        <v>4.8584250444357799E-8</v>
      </c>
      <c r="G32110">
        <v>954552</v>
      </c>
      <c r="H32110">
        <v>14079022</v>
      </c>
      <c r="I32110">
        <v>2837931</v>
      </c>
      <c r="J32110">
        <v>5</v>
      </c>
    </row>
    <row r="32111" spans="1:10" x14ac:dyDescent="0.25">
      <c r="A32111" t="s">
        <v>362</v>
      </c>
      <c r="B32111" s="1" t="str">
        <f>HYPERLINK("http://autostadelmann.ch","autostadelmann.ch")</f>
        <v>autostadelmann.ch</v>
      </c>
      <c r="C32111" t="s">
        <v>429</v>
      </c>
      <c r="D32111" t="s">
        <v>810</v>
      </c>
      <c r="F32111">
        <v>5.2389184058945001E-9</v>
      </c>
      <c r="G32111">
        <v>24430873</v>
      </c>
      <c r="H32111">
        <v>10538279</v>
      </c>
      <c r="I32111">
        <v>47384810</v>
      </c>
      <c r="J32111">
        <v>6</v>
      </c>
    </row>
    <row r="32112" spans="1:10" x14ac:dyDescent="0.25">
      <c r="A32112" t="s">
        <v>362</v>
      </c>
      <c r="B32112" s="1" t="str">
        <f>HYPERLINK("http://citroen.ch","citroen.ch")</f>
        <v>citroen.ch</v>
      </c>
      <c r="C32112" t="s">
        <v>429</v>
      </c>
      <c r="D32112" t="s">
        <v>810</v>
      </c>
      <c r="E32112">
        <v>993057</v>
      </c>
      <c r="F32112">
        <v>1.1498917029921799E-7</v>
      </c>
      <c r="G32112">
        <v>346168</v>
      </c>
      <c r="H32112">
        <v>14081202</v>
      </c>
      <c r="I32112">
        <v>2812545</v>
      </c>
      <c r="J32112">
        <v>5</v>
      </c>
    </row>
    <row r="32113" spans="1:10" x14ac:dyDescent="0.25">
      <c r="A32113" t="s">
        <v>362</v>
      </c>
      <c r="B32113" s="1" t="str">
        <f>HYPERLINK("http://ds-automobile.ch","ds-automobile.ch")</f>
        <v>ds-automobile.ch</v>
      </c>
      <c r="C32113" t="s">
        <v>429</v>
      </c>
      <c r="D32113" t="s">
        <v>810</v>
      </c>
      <c r="F32113">
        <v>4.9677608856997802E-9</v>
      </c>
      <c r="G32113">
        <v>30303177</v>
      </c>
      <c r="H32113">
        <v>12192944</v>
      </c>
      <c r="I32113">
        <v>23514320</v>
      </c>
      <c r="J32113">
        <v>5</v>
      </c>
    </row>
    <row r="32114" spans="1:10" x14ac:dyDescent="0.25">
      <c r="A32114" t="s">
        <v>362</v>
      </c>
      <c r="B32114" s="1" t="str">
        <f>HYPERLINK("http://dsautomobiles.ch","dsautomobiles.ch")</f>
        <v>dsautomobiles.ch</v>
      </c>
      <c r="C32114" t="s">
        <v>429</v>
      </c>
      <c r="D32114" t="s">
        <v>810</v>
      </c>
      <c r="F32114">
        <v>3.21346138223212E-8</v>
      </c>
      <c r="G32114">
        <v>1609263</v>
      </c>
      <c r="H32114">
        <v>13840753</v>
      </c>
      <c r="I32114">
        <v>6072170</v>
      </c>
      <c r="J32114">
        <v>5</v>
      </c>
    </row>
    <row r="32115" spans="1:10" x14ac:dyDescent="0.25">
      <c r="A32115" t="s">
        <v>362</v>
      </c>
      <c r="B32115" s="1" t="str">
        <f>HYPERLINK("http://fcacapital.ch","fcacapital.ch")</f>
        <v>fcacapital.ch</v>
      </c>
      <c r="C32115" t="s">
        <v>429</v>
      </c>
      <c r="D32115" t="s">
        <v>810</v>
      </c>
      <c r="F32115">
        <v>2.8702410187979199E-8</v>
      </c>
      <c r="G32115">
        <v>1793052</v>
      </c>
      <c r="H32115">
        <v>12365992</v>
      </c>
      <c r="I32115">
        <v>19481233</v>
      </c>
      <c r="J32115">
        <v>5</v>
      </c>
    </row>
    <row r="32116" spans="1:10" x14ac:dyDescent="0.25">
      <c r="A32116" t="s">
        <v>362</v>
      </c>
      <c r="B32116" s="1" t="str">
        <f>HYPERLINK("http://fiat.ch","fiat.ch")</f>
        <v>fiat.ch</v>
      </c>
      <c r="C32116" t="s">
        <v>429</v>
      </c>
      <c r="D32116" t="s">
        <v>810</v>
      </c>
      <c r="F32116">
        <v>1.06022356155158E-7</v>
      </c>
      <c r="G32116">
        <v>377696</v>
      </c>
      <c r="H32116">
        <v>14099812</v>
      </c>
      <c r="I32116">
        <v>2709233</v>
      </c>
      <c r="J32116">
        <v>4</v>
      </c>
    </row>
    <row r="32117" spans="1:10" x14ac:dyDescent="0.25">
      <c r="A32117" t="s">
        <v>362</v>
      </c>
      <c r="B32117" s="1" t="str">
        <f>HYPERLINK("http://fiatprofessional.ch","fiatprofessional.ch")</f>
        <v>fiatprofessional.ch</v>
      </c>
      <c r="C32117" t="s">
        <v>429</v>
      </c>
      <c r="D32117" t="s">
        <v>810</v>
      </c>
      <c r="F32117">
        <v>1.44980587169765E-8</v>
      </c>
      <c r="G32117">
        <v>4023326</v>
      </c>
      <c r="H32117">
        <v>14073926</v>
      </c>
      <c r="I32117">
        <v>2964110</v>
      </c>
      <c r="J32117">
        <v>5</v>
      </c>
    </row>
    <row r="32118" spans="1:10" x14ac:dyDescent="0.25">
      <c r="A32118" t="s">
        <v>362</v>
      </c>
      <c r="B32118" s="1" t="str">
        <f>HYPERLINK("http://jeep.ch","jeep.ch")</f>
        <v>jeep.ch</v>
      </c>
      <c r="C32118" t="s">
        <v>429</v>
      </c>
      <c r="D32118" t="s">
        <v>810</v>
      </c>
      <c r="F32118">
        <v>7.8565298264035401E-8</v>
      </c>
      <c r="G32118">
        <v>532098</v>
      </c>
      <c r="H32118">
        <v>12914528</v>
      </c>
      <c r="I32118">
        <v>13523394</v>
      </c>
      <c r="J32118">
        <v>5</v>
      </c>
    </row>
    <row r="32119" spans="1:10" x14ac:dyDescent="0.25">
      <c r="A32119" t="s">
        <v>362</v>
      </c>
      <c r="B32119" s="1" t="str">
        <f>HYPERLINK("http://maserati.ch","maserati.ch")</f>
        <v>maserati.ch</v>
      </c>
      <c r="C32119" t="s">
        <v>429</v>
      </c>
      <c r="D32119" t="s">
        <v>810</v>
      </c>
      <c r="F32119">
        <v>1.40286983743431E-8</v>
      </c>
      <c r="G32119">
        <v>4191910</v>
      </c>
      <c r="H32119">
        <v>12296696</v>
      </c>
      <c r="I32119">
        <v>20930673</v>
      </c>
      <c r="J32119">
        <v>5</v>
      </c>
    </row>
    <row r="32120" spans="1:10" x14ac:dyDescent="0.25">
      <c r="A32120" t="s">
        <v>362</v>
      </c>
      <c r="B32120" s="1" t="str">
        <f>HYPERLINK("http://opel.ch","opel.ch")</f>
        <v>opel.ch</v>
      </c>
      <c r="C32120" t="s">
        <v>429</v>
      </c>
      <c r="D32120" t="s">
        <v>810</v>
      </c>
      <c r="E32120">
        <v>772826</v>
      </c>
      <c r="F32120">
        <v>1.4025752249052501E-7</v>
      </c>
      <c r="G32120">
        <v>277718</v>
      </c>
      <c r="H32120">
        <v>14285479</v>
      </c>
      <c r="I32120">
        <v>1372032</v>
      </c>
      <c r="J32120">
        <v>4</v>
      </c>
    </row>
    <row r="32121" spans="1:10" x14ac:dyDescent="0.25">
      <c r="A32121" t="s">
        <v>362</v>
      </c>
      <c r="B32121" s="1" t="str">
        <f>HYPERLINK("http://ostring-garage.ch","ostring-garage.ch")</f>
        <v>ostring-garage.ch</v>
      </c>
      <c r="C32121" t="s">
        <v>429</v>
      </c>
      <c r="D32121" t="s">
        <v>810</v>
      </c>
      <c r="J32121">
        <v>6</v>
      </c>
    </row>
    <row r="32122" spans="1:10" x14ac:dyDescent="0.25">
      <c r="A32122" t="s">
        <v>362</v>
      </c>
      <c r="B32122" s="1" t="str">
        <f>HYPERLINK("http://peugeot.ch","peugeot.ch")</f>
        <v>peugeot.ch</v>
      </c>
      <c r="C32122" t="s">
        <v>429</v>
      </c>
      <c r="D32122" t="s">
        <v>810</v>
      </c>
      <c r="E32122">
        <v>942348</v>
      </c>
      <c r="F32122">
        <v>1.00882901031035E-7</v>
      </c>
      <c r="G32122">
        <v>398596</v>
      </c>
      <c r="H32122">
        <v>14281929</v>
      </c>
      <c r="I32122">
        <v>1377356</v>
      </c>
      <c r="J32122">
        <v>4</v>
      </c>
    </row>
    <row r="32123" spans="1:10" x14ac:dyDescent="0.25">
      <c r="A32123" t="s">
        <v>362</v>
      </c>
      <c r="B32123" s="1" t="str">
        <f>HYPERLINK("http://psai.ch","psai.ch")</f>
        <v>psai.ch</v>
      </c>
      <c r="C32123" t="s">
        <v>429</v>
      </c>
      <c r="D32123" t="s">
        <v>810</v>
      </c>
      <c r="J32123">
        <v>3</v>
      </c>
    </row>
    <row r="32124" spans="1:10" x14ac:dyDescent="0.25">
      <c r="A32124" t="s">
        <v>362</v>
      </c>
      <c r="B32124" s="1" t="str">
        <f>HYPERLINK("http://citroen.cl","citroen.cl")</f>
        <v>citroen.cl</v>
      </c>
      <c r="C32124" t="s">
        <v>430</v>
      </c>
      <c r="D32124" t="s">
        <v>811</v>
      </c>
      <c r="F32124">
        <v>1.7040170286078202E-8</v>
      </c>
      <c r="G32124">
        <v>3274067</v>
      </c>
      <c r="H32124">
        <v>14087806</v>
      </c>
      <c r="I32124">
        <v>2761683</v>
      </c>
      <c r="J32124">
        <v>5</v>
      </c>
    </row>
    <row r="32125" spans="1:10" x14ac:dyDescent="0.25">
      <c r="A32125" t="s">
        <v>362</v>
      </c>
      <c r="B32125" s="1" t="str">
        <f>HYPERLINK("http://dodge.cl","dodge.cl")</f>
        <v>dodge.cl</v>
      </c>
      <c r="C32125" t="s">
        <v>430</v>
      </c>
      <c r="D32125" t="s">
        <v>811</v>
      </c>
      <c r="F32125">
        <v>2.2036851171456601E-8</v>
      </c>
      <c r="G32125">
        <v>2381805</v>
      </c>
      <c r="H32125">
        <v>12406257</v>
      </c>
      <c r="I32125">
        <v>18668575</v>
      </c>
      <c r="J32125">
        <v>5</v>
      </c>
    </row>
    <row r="32126" spans="1:10" x14ac:dyDescent="0.25">
      <c r="A32126" t="s">
        <v>362</v>
      </c>
      <c r="B32126" s="1" t="str">
        <f>HYPERLINK("http://dsautomobiles.cl","dsautomobiles.cl")</f>
        <v>dsautomobiles.cl</v>
      </c>
      <c r="C32126" t="s">
        <v>430</v>
      </c>
      <c r="D32126" t="s">
        <v>811</v>
      </c>
      <c r="F32126">
        <v>8.9323345321730105E-9</v>
      </c>
      <c r="G32126">
        <v>8094952</v>
      </c>
      <c r="H32126">
        <v>12063405</v>
      </c>
      <c r="I32126">
        <v>26932509</v>
      </c>
      <c r="J32126">
        <v>5</v>
      </c>
    </row>
    <row r="32127" spans="1:10" x14ac:dyDescent="0.25">
      <c r="A32127" t="s">
        <v>362</v>
      </c>
      <c r="B32127" s="1" t="str">
        <f>HYPERLINK("http://jeep.cl","jeep.cl")</f>
        <v>jeep.cl</v>
      </c>
      <c r="C32127" t="s">
        <v>430</v>
      </c>
      <c r="D32127" t="s">
        <v>811</v>
      </c>
      <c r="F32127">
        <v>4.7934314344400498E-8</v>
      </c>
      <c r="G32127">
        <v>970387</v>
      </c>
      <c r="H32127">
        <v>13025257</v>
      </c>
      <c r="I32127">
        <v>12693231</v>
      </c>
      <c r="J32127">
        <v>5</v>
      </c>
    </row>
    <row r="32128" spans="1:10" x14ac:dyDescent="0.25">
      <c r="A32128" t="s">
        <v>362</v>
      </c>
      <c r="B32128" s="1" t="str">
        <f>HYPERLINK("http://opel.cl","opel.cl")</f>
        <v>opel.cl</v>
      </c>
      <c r="C32128" t="s">
        <v>430</v>
      </c>
      <c r="D32128" t="s">
        <v>811</v>
      </c>
      <c r="F32128">
        <v>1.35802309019596E-8</v>
      </c>
      <c r="G32128">
        <v>4370001</v>
      </c>
      <c r="H32128">
        <v>14072440</v>
      </c>
      <c r="I32128">
        <v>3092783</v>
      </c>
      <c r="J32128">
        <v>4</v>
      </c>
    </row>
    <row r="32129" spans="1:10" x14ac:dyDescent="0.25">
      <c r="A32129" t="s">
        <v>362</v>
      </c>
      <c r="B32129" s="1" t="str">
        <f>HYPERLINK("http://peugeot.cl","peugeot.cl")</f>
        <v>peugeot.cl</v>
      </c>
      <c r="C32129" t="s">
        <v>430</v>
      </c>
      <c r="D32129" t="s">
        <v>811</v>
      </c>
      <c r="F32129">
        <v>2.12696250632149E-8</v>
      </c>
      <c r="G32129">
        <v>2478024</v>
      </c>
      <c r="H32129">
        <v>13765124</v>
      </c>
      <c r="I32129">
        <v>7139848</v>
      </c>
      <c r="J32129">
        <v>6</v>
      </c>
    </row>
    <row r="32130" spans="1:10" x14ac:dyDescent="0.25">
      <c r="A32130" t="s">
        <v>362</v>
      </c>
      <c r="B32130" s="1" t="str">
        <f>HYPERLINK("http://maserati.com.cn","maserati.com.cn")</f>
        <v>maserati.com.cn</v>
      </c>
      <c r="C32130" t="s">
        <v>431</v>
      </c>
      <c r="D32130" t="s">
        <v>812</v>
      </c>
      <c r="F32130">
        <v>1.5481453700351799E-8</v>
      </c>
      <c r="G32130">
        <v>3689935</v>
      </c>
      <c r="H32130">
        <v>14081390</v>
      </c>
      <c r="I32130">
        <v>2810534</v>
      </c>
      <c r="J32130">
        <v>5</v>
      </c>
    </row>
    <row r="32131" spans="1:10" x14ac:dyDescent="0.25">
      <c r="A32131" t="s">
        <v>362</v>
      </c>
      <c r="B32131" s="1" t="str">
        <f>HYPERLINK("http://citroen.com.co","citroen.com.co")</f>
        <v>citroen.com.co</v>
      </c>
      <c r="C32131" t="s">
        <v>432</v>
      </c>
      <c r="F32131">
        <v>1.9367992280769501E-8</v>
      </c>
      <c r="G32131">
        <v>2768159</v>
      </c>
      <c r="H32131">
        <v>13967366</v>
      </c>
      <c r="I32131">
        <v>4084048</v>
      </c>
      <c r="J32131">
        <v>5</v>
      </c>
    </row>
    <row r="32132" spans="1:10" x14ac:dyDescent="0.25">
      <c r="A32132" t="s">
        <v>362</v>
      </c>
      <c r="B32132" s="1" t="str">
        <f>HYPERLINK("http://dodge.com.co","dodge.com.co")</f>
        <v>dodge.com.co</v>
      </c>
      <c r="C32132" t="s">
        <v>432</v>
      </c>
      <c r="F32132">
        <v>1.74375249519544E-8</v>
      </c>
      <c r="G32132">
        <v>3162895</v>
      </c>
      <c r="H32132">
        <v>12224306</v>
      </c>
      <c r="I32132">
        <v>22673819</v>
      </c>
      <c r="J32132">
        <v>5</v>
      </c>
    </row>
    <row r="32133" spans="1:10" x14ac:dyDescent="0.25">
      <c r="A32133" t="s">
        <v>362</v>
      </c>
      <c r="B32133" s="1" t="str">
        <f>HYPERLINK("http://jeep.com.co","jeep.com.co")</f>
        <v>jeep.com.co</v>
      </c>
      <c r="C32133" t="s">
        <v>432</v>
      </c>
      <c r="F32133">
        <v>4.3126914067773103E-8</v>
      </c>
      <c r="G32133">
        <v>1113620</v>
      </c>
      <c r="H32133">
        <v>12354565</v>
      </c>
      <c r="I32133">
        <v>19687021</v>
      </c>
      <c r="J32133">
        <v>5</v>
      </c>
    </row>
    <row r="32134" spans="1:10" x14ac:dyDescent="0.25">
      <c r="A32134" t="s">
        <v>362</v>
      </c>
      <c r="B32134" s="1" t="str">
        <f>HYPERLINK("http://opel.co","opel.co")</f>
        <v>opel.co</v>
      </c>
      <c r="C32134" t="s">
        <v>432</v>
      </c>
      <c r="F32134">
        <v>1.00676575319067E-8</v>
      </c>
      <c r="G32134">
        <v>6688018</v>
      </c>
      <c r="H32134">
        <v>11145215</v>
      </c>
      <c r="I32134">
        <v>31786577</v>
      </c>
      <c r="J32134">
        <v>4</v>
      </c>
    </row>
    <row r="32135" spans="1:10" x14ac:dyDescent="0.25">
      <c r="A32135" t="s">
        <v>362</v>
      </c>
      <c r="B32135" s="1" t="str">
        <f>HYPERLINK("http://abarth.com","abarth.com")</f>
        <v>abarth.com</v>
      </c>
      <c r="C32135" t="s">
        <v>433</v>
      </c>
      <c r="E32135">
        <v>791164</v>
      </c>
      <c r="F32135">
        <v>2.5896006026095401E-7</v>
      </c>
      <c r="G32135">
        <v>144437</v>
      </c>
      <c r="H32135">
        <v>15051913</v>
      </c>
      <c r="I32135">
        <v>414236</v>
      </c>
      <c r="J32135">
        <v>5</v>
      </c>
    </row>
    <row r="32136" spans="1:10" x14ac:dyDescent="0.25">
      <c r="A32136" t="s">
        <v>362</v>
      </c>
      <c r="B32136" s="1" t="str">
        <f>HYPERLINK("http://albanyalfaromeousa.com","albanyalfaromeousa.com")</f>
        <v>albanyalfaromeousa.com</v>
      </c>
      <c r="C32136" t="s">
        <v>433</v>
      </c>
      <c r="F32136">
        <v>4.6132985393717802E-9</v>
      </c>
      <c r="G32136">
        <v>46614192</v>
      </c>
      <c r="H32136">
        <v>10907562</v>
      </c>
      <c r="I32136">
        <v>35676301</v>
      </c>
      <c r="J32136">
        <v>5</v>
      </c>
    </row>
    <row r="32137" spans="1:10" x14ac:dyDescent="0.25">
      <c r="A32137" t="s">
        <v>362</v>
      </c>
      <c r="B32137" s="1" t="str">
        <f>HYPERLINK("http://alfaromeo.com","alfaromeo.com")</f>
        <v>alfaromeo.com</v>
      </c>
      <c r="C32137" t="s">
        <v>433</v>
      </c>
      <c r="E32137">
        <v>92183</v>
      </c>
      <c r="F32137">
        <v>4.0885283241336702E-7</v>
      </c>
      <c r="G32137">
        <v>91938</v>
      </c>
      <c r="H32137">
        <v>15226530</v>
      </c>
      <c r="I32137">
        <v>392651</v>
      </c>
      <c r="J32137">
        <v>4</v>
      </c>
    </row>
    <row r="32138" spans="1:10" x14ac:dyDescent="0.25">
      <c r="A32138" t="s">
        <v>362</v>
      </c>
      <c r="B32138" s="1" t="str">
        <f>HYPERLINK("http://alfaromeo-laval.com","alfaromeo-laval.com")</f>
        <v>alfaromeo-laval.com</v>
      </c>
      <c r="C32138" t="s">
        <v>433</v>
      </c>
      <c r="F32138">
        <v>5.1115142557372697E-9</v>
      </c>
      <c r="G32138">
        <v>26824098</v>
      </c>
      <c r="H32138">
        <v>10734578</v>
      </c>
      <c r="I32138">
        <v>40680504</v>
      </c>
      <c r="J32138">
        <v>5</v>
      </c>
    </row>
    <row r="32139" spans="1:10" x14ac:dyDescent="0.25">
      <c r="A32139" t="s">
        <v>362</v>
      </c>
      <c r="B32139" s="1" t="str">
        <f>HYPERLINK("http://aramisauto.com","aramisauto.com")</f>
        <v>aramisauto.com</v>
      </c>
      <c r="C32139" t="s">
        <v>433</v>
      </c>
      <c r="E32139">
        <v>229020</v>
      </c>
      <c r="F32139">
        <v>1.2391302186626401E-7</v>
      </c>
      <c r="G32139">
        <v>318447</v>
      </c>
      <c r="H32139">
        <v>16966690</v>
      </c>
      <c r="I32139">
        <v>103746</v>
      </c>
      <c r="J32139">
        <v>4</v>
      </c>
    </row>
    <row r="32140" spans="1:10" x14ac:dyDescent="0.25">
      <c r="A32140" t="s">
        <v>362</v>
      </c>
      <c r="B32140" s="1" t="str">
        <f>HYPERLINK("http://autonationdodgeramcoloradosprings.com","autonationdodgeramcoloradosprings.com")</f>
        <v>autonationdodgeramcoloradosprings.com</v>
      </c>
      <c r="C32140" t="s">
        <v>433</v>
      </c>
      <c r="F32140">
        <v>5.7564180439170797E-9</v>
      </c>
      <c r="G32140">
        <v>18445585</v>
      </c>
      <c r="H32140">
        <v>12276645</v>
      </c>
      <c r="I32140">
        <v>21378367</v>
      </c>
      <c r="J32140">
        <v>8</v>
      </c>
    </row>
    <row r="32141" spans="1:10" x14ac:dyDescent="0.25">
      <c r="A32141" t="s">
        <v>362</v>
      </c>
      <c r="B32141" s="1" t="str">
        <f>HYPERLINK("http://autonorte.com","autonorte.com")</f>
        <v>autonorte.com</v>
      </c>
      <c r="C32141" t="s">
        <v>433</v>
      </c>
      <c r="F32141">
        <v>4.7628892880131004E-9</v>
      </c>
      <c r="G32141">
        <v>37689198</v>
      </c>
      <c r="H32141">
        <v>10744429</v>
      </c>
      <c r="I32141">
        <v>40258349</v>
      </c>
      <c r="J32141">
        <v>6</v>
      </c>
    </row>
    <row r="32142" spans="1:10" x14ac:dyDescent="0.25">
      <c r="A32142" t="s">
        <v>362</v>
      </c>
      <c r="B32142" s="1" t="str">
        <f>HYPERLINK("http://badgerchryslerdodgejeepram.com","badgerchryslerdodgejeepram.com")</f>
        <v>badgerchryslerdodgejeepram.com</v>
      </c>
      <c r="C32142" t="s">
        <v>433</v>
      </c>
      <c r="F32142">
        <v>8.2450269957118501E-9</v>
      </c>
      <c r="G32142">
        <v>9390399</v>
      </c>
      <c r="H32142">
        <v>8797168</v>
      </c>
      <c r="I32142">
        <v>69413087</v>
      </c>
      <c r="J32142">
        <v>5</v>
      </c>
    </row>
    <row r="32143" spans="1:10" x14ac:dyDescent="0.25">
      <c r="A32143" t="s">
        <v>362</v>
      </c>
      <c r="B32143" s="1" t="str">
        <f>HYPERLINK("http://banquepsafinance.com","banquepsafinance.com")</f>
        <v>banquepsafinance.com</v>
      </c>
      <c r="C32143" t="s">
        <v>433</v>
      </c>
      <c r="F32143">
        <v>1.66322419734143E-8</v>
      </c>
      <c r="G32143">
        <v>3381107</v>
      </c>
      <c r="H32143">
        <v>14237007</v>
      </c>
      <c r="I32143">
        <v>1562681</v>
      </c>
      <c r="J32143">
        <v>3</v>
      </c>
    </row>
    <row r="32144" spans="1:10" x14ac:dyDescent="0.25">
      <c r="A32144" t="s">
        <v>362</v>
      </c>
      <c r="B32144" s="1" t="str">
        <f>HYPERLINK("http://bijvelds.com","bijvelds.com")</f>
        <v>bijvelds.com</v>
      </c>
      <c r="C32144" t="s">
        <v>433</v>
      </c>
      <c r="F32144">
        <v>5.5992305784126102E-9</v>
      </c>
      <c r="G32144">
        <v>19864949</v>
      </c>
      <c r="H32144">
        <v>10695552</v>
      </c>
      <c r="I32144">
        <v>42396054</v>
      </c>
      <c r="J32144">
        <v>5</v>
      </c>
    </row>
    <row r="32145" spans="1:10" x14ac:dyDescent="0.25">
      <c r="A32145" t="s">
        <v>362</v>
      </c>
      <c r="B32145" s="1" t="str">
        <f>HYPERLINK("http://blakefulenwiderdodge.com","blakefulenwiderdodge.com")</f>
        <v>blakefulenwiderdodge.com</v>
      </c>
      <c r="C32145" t="s">
        <v>433</v>
      </c>
      <c r="F32145">
        <v>4.9728094235659701E-9</v>
      </c>
      <c r="G32145">
        <v>30175063</v>
      </c>
      <c r="H32145">
        <v>11871408</v>
      </c>
      <c r="I32145">
        <v>29661075</v>
      </c>
      <c r="J32145">
        <v>5</v>
      </c>
    </row>
    <row r="32146" spans="1:10" x14ac:dyDescent="0.25">
      <c r="A32146" t="s">
        <v>362</v>
      </c>
      <c r="B32146" s="1" t="str">
        <f>HYPERLINK("http://bostonmotorsportsalfaromeo.com","bostonmotorsportsalfaromeo.com")</f>
        <v>bostonmotorsportsalfaromeo.com</v>
      </c>
      <c r="C32146" t="s">
        <v>433</v>
      </c>
      <c r="F32146">
        <v>4.6735392729287498E-9</v>
      </c>
      <c r="G32146">
        <v>42732651</v>
      </c>
      <c r="H32146">
        <v>11983416</v>
      </c>
      <c r="I32146">
        <v>28458616</v>
      </c>
      <c r="J32146">
        <v>5</v>
      </c>
    </row>
    <row r="32147" spans="1:10" x14ac:dyDescent="0.25">
      <c r="A32147" t="s">
        <v>362</v>
      </c>
      <c r="B32147" s="1" t="str">
        <f>HYPERLINK("http://bradykilmury.com","bradykilmury.com")</f>
        <v>bradykilmury.com</v>
      </c>
      <c r="C32147" t="s">
        <v>433</v>
      </c>
      <c r="F32147">
        <v>5.1551631457735004E-9</v>
      </c>
      <c r="G32147">
        <v>25984860</v>
      </c>
      <c r="H32147">
        <v>12490508</v>
      </c>
      <c r="I32147">
        <v>17484164</v>
      </c>
      <c r="J32147">
        <v>5</v>
      </c>
    </row>
    <row r="32148" spans="1:10" x14ac:dyDescent="0.25">
      <c r="A32148" t="s">
        <v>362</v>
      </c>
      <c r="B32148" s="1" t="str">
        <f>HYPERLINK("http://carsupermarket.com","carsupermarket.com")</f>
        <v>carsupermarket.com</v>
      </c>
      <c r="C32148" t="s">
        <v>433</v>
      </c>
      <c r="F32148">
        <v>8.4403536045797798E-9</v>
      </c>
      <c r="G32148">
        <v>8961572</v>
      </c>
      <c r="H32148">
        <v>14073350</v>
      </c>
      <c r="I32148">
        <v>3000445</v>
      </c>
      <c r="J32148">
        <v>6</v>
      </c>
    </row>
    <row r="32149" spans="1:10" x14ac:dyDescent="0.25">
      <c r="A32149" t="s">
        <v>362</v>
      </c>
      <c r="B32149" s="1" t="str">
        <f>HYPERLINK("http://chrysler.com","chrysler.com")</f>
        <v>chrysler.com</v>
      </c>
      <c r="C32149" t="s">
        <v>433</v>
      </c>
      <c r="E32149">
        <v>13052</v>
      </c>
      <c r="F32149">
        <v>1.45671817018402E-6</v>
      </c>
      <c r="G32149">
        <v>26908</v>
      </c>
      <c r="H32149">
        <v>17412952</v>
      </c>
      <c r="I32149">
        <v>18307</v>
      </c>
      <c r="J32149">
        <v>3</v>
      </c>
    </row>
    <row r="32150" spans="1:10" x14ac:dyDescent="0.25">
      <c r="A32150" t="s">
        <v>362</v>
      </c>
      <c r="B32150" s="1" t="str">
        <f>HYPERLINK("http://chryslerbrochures.com","chryslerbrochures.com")</f>
        <v>chryslerbrochures.com</v>
      </c>
      <c r="C32150" t="s">
        <v>433</v>
      </c>
      <c r="J32150">
        <v>3</v>
      </c>
    </row>
    <row r="32151" spans="1:10" x14ac:dyDescent="0.25">
      <c r="A32151" t="s">
        <v>362</v>
      </c>
      <c r="B32151" s="1" t="str">
        <f>HYPERLINK("http://citroen.com","citroen.com")</f>
        <v>citroen.com</v>
      </c>
      <c r="C32151" t="s">
        <v>433</v>
      </c>
      <c r="E32151">
        <v>42904</v>
      </c>
      <c r="F32151">
        <v>5.9538626367403704E-7</v>
      </c>
      <c r="G32151">
        <v>64235</v>
      </c>
      <c r="H32151">
        <v>17184956</v>
      </c>
      <c r="I32151">
        <v>44569</v>
      </c>
      <c r="J32151">
        <v>4</v>
      </c>
    </row>
    <row r="32152" spans="1:10" x14ac:dyDescent="0.25">
      <c r="A32152" t="s">
        <v>362</v>
      </c>
      <c r="B32152" s="1" t="str">
        <f>HYPERLINK("http://coamu.com","coamu.com")</f>
        <v>coamu.com</v>
      </c>
      <c r="C32152" t="s">
        <v>433</v>
      </c>
      <c r="J32152">
        <v>6</v>
      </c>
    </row>
    <row r="32153" spans="1:10" x14ac:dyDescent="0.25">
      <c r="A32153" t="s">
        <v>362</v>
      </c>
      <c r="B32153" s="1" t="str">
        <f>HYPERLINK("http://comau.com","comau.com")</f>
        <v>comau.com</v>
      </c>
      <c r="C32153" t="s">
        <v>433</v>
      </c>
      <c r="E32153">
        <v>281157</v>
      </c>
      <c r="F32153">
        <v>2.0074823037525201E-7</v>
      </c>
      <c r="G32153">
        <v>189692</v>
      </c>
      <c r="H32153">
        <v>14952691</v>
      </c>
      <c r="I32153">
        <v>439637</v>
      </c>
      <c r="J32153">
        <v>4</v>
      </c>
    </row>
    <row r="32154" spans="1:10" x14ac:dyDescent="0.25">
      <c r="A32154" t="s">
        <v>362</v>
      </c>
      <c r="B32154" s="1" t="str">
        <f>HYPERLINK("http://dcperformance.com","dcperformance.com")</f>
        <v>dcperformance.com</v>
      </c>
      <c r="C32154" t="s">
        <v>433</v>
      </c>
      <c r="F32154">
        <v>4.3636278490154399E-8</v>
      </c>
      <c r="G32154">
        <v>1094439</v>
      </c>
      <c r="H32154">
        <v>13223045</v>
      </c>
      <c r="I32154">
        <v>11319849</v>
      </c>
      <c r="J32154">
        <v>5</v>
      </c>
    </row>
    <row r="32155" spans="1:10" x14ac:dyDescent="0.25">
      <c r="A32155" t="s">
        <v>362</v>
      </c>
      <c r="B32155" s="1" t="str">
        <f>HYPERLINK("http://dodge.com","dodge.com")</f>
        <v>dodge.com</v>
      </c>
      <c r="C32155" t="s">
        <v>433</v>
      </c>
      <c r="E32155">
        <v>27274</v>
      </c>
      <c r="F32155">
        <v>1.0584953407500599E-6</v>
      </c>
      <c r="G32155">
        <v>36261</v>
      </c>
      <c r="H32155">
        <v>17367628</v>
      </c>
      <c r="I32155">
        <v>21615</v>
      </c>
      <c r="J32155">
        <v>4</v>
      </c>
    </row>
    <row r="32156" spans="1:10" x14ac:dyDescent="0.25">
      <c r="A32156" t="s">
        <v>362</v>
      </c>
      <c r="B32156" s="1" t="str">
        <f>HYPERLINK("http://dodgefayetteville.com","dodgefayetteville.com")</f>
        <v>dodgefayetteville.com</v>
      </c>
      <c r="C32156" t="s">
        <v>433</v>
      </c>
      <c r="F32156">
        <v>9.4813476829166497E-9</v>
      </c>
      <c r="G32156">
        <v>7344935</v>
      </c>
      <c r="H32156">
        <v>12290095</v>
      </c>
      <c r="I32156">
        <v>21107783</v>
      </c>
      <c r="J32156">
        <v>5</v>
      </c>
    </row>
    <row r="32157" spans="1:10" x14ac:dyDescent="0.25">
      <c r="A32157" t="s">
        <v>362</v>
      </c>
      <c r="B32157" s="1" t="str">
        <f>HYPERLINK("http://drivemoparconnect.com","drivemoparconnect.com")</f>
        <v>drivemoparconnect.com</v>
      </c>
      <c r="C32157" t="s">
        <v>433</v>
      </c>
      <c r="J32157">
        <v>3</v>
      </c>
    </row>
    <row r="32158" spans="1:10" x14ac:dyDescent="0.25">
      <c r="A32158" t="s">
        <v>362</v>
      </c>
      <c r="B32158" s="1" t="str">
        <f>HYPERLINK("http://drivesrt.com","drivesrt.com")</f>
        <v>drivesrt.com</v>
      </c>
      <c r="C32158" t="s">
        <v>433</v>
      </c>
      <c r="E32158">
        <v>726576</v>
      </c>
      <c r="F32158">
        <v>1.11857132128158E-7</v>
      </c>
      <c r="G32158">
        <v>357211</v>
      </c>
      <c r="H32158">
        <v>14527883</v>
      </c>
      <c r="I32158">
        <v>791020</v>
      </c>
      <c r="J32158">
        <v>6</v>
      </c>
    </row>
    <row r="32159" spans="1:10" x14ac:dyDescent="0.25">
      <c r="A32159" t="s">
        <v>362</v>
      </c>
      <c r="B32159" s="1" t="str">
        <f>HYPERLINK("http://dsautomobiles.com","dsautomobiles.com")</f>
        <v>dsautomobiles.com</v>
      </c>
      <c r="C32159" t="s">
        <v>433</v>
      </c>
      <c r="E32159">
        <v>534324</v>
      </c>
      <c r="F32159">
        <v>2.43433060168457E-7</v>
      </c>
      <c r="G32159">
        <v>153683</v>
      </c>
      <c r="H32159">
        <v>16992514</v>
      </c>
      <c r="I32159">
        <v>95297</v>
      </c>
      <c r="J32159">
        <v>4</v>
      </c>
    </row>
    <row r="32160" spans="1:10" x14ac:dyDescent="0.25">
      <c r="A32160" t="s">
        <v>362</v>
      </c>
      <c r="B32160" s="1" t="str">
        <f>HYPERLINK("http://evpconnect.com","evpconnect.com")</f>
        <v>evpconnect.com</v>
      </c>
      <c r="C32160" t="s">
        <v>433</v>
      </c>
      <c r="J32160">
        <v>3</v>
      </c>
    </row>
    <row r="32161" spans="1:10" x14ac:dyDescent="0.25">
      <c r="A32161" t="s">
        <v>362</v>
      </c>
      <c r="B32161" s="1" t="str">
        <f>HYPERLINK("http://fcabank.com","fcabank.com")</f>
        <v>fcabank.com</v>
      </c>
      <c r="C32161" t="s">
        <v>433</v>
      </c>
      <c r="F32161">
        <v>4.3585555081233998E-8</v>
      </c>
      <c r="G32161">
        <v>1096251</v>
      </c>
      <c r="H32161">
        <v>12367262</v>
      </c>
      <c r="I32161">
        <v>19462412</v>
      </c>
      <c r="J32161">
        <v>5</v>
      </c>
    </row>
    <row r="32162" spans="1:10" x14ac:dyDescent="0.25">
      <c r="A32162" t="s">
        <v>362</v>
      </c>
      <c r="B32162" s="1" t="str">
        <f>HYPERLINK("http://fcabankgroup.com","fcabankgroup.com")</f>
        <v>fcabankgroup.com</v>
      </c>
      <c r="C32162" t="s">
        <v>433</v>
      </c>
      <c r="F32162">
        <v>4.6860881430268299E-7</v>
      </c>
      <c r="G32162">
        <v>80923</v>
      </c>
      <c r="H32162">
        <v>13173674</v>
      </c>
      <c r="I32162">
        <v>11712741</v>
      </c>
      <c r="J32162">
        <v>4</v>
      </c>
    </row>
    <row r="32163" spans="1:10" x14ac:dyDescent="0.25">
      <c r="A32163" t="s">
        <v>362</v>
      </c>
      <c r="B32163" s="1" t="str">
        <f>HYPERLINK("http://fcacustomer.com","fcacustomer.com")</f>
        <v>fcacustomer.com</v>
      </c>
      <c r="C32163" t="s">
        <v>433</v>
      </c>
      <c r="F32163">
        <v>4.44640323638871E-9</v>
      </c>
      <c r="G32163">
        <v>74349293</v>
      </c>
      <c r="H32163">
        <v>11987275</v>
      </c>
      <c r="I32163">
        <v>28411919</v>
      </c>
      <c r="J32163">
        <v>3</v>
      </c>
    </row>
    <row r="32164" spans="1:10" x14ac:dyDescent="0.25">
      <c r="A32164" t="s">
        <v>362</v>
      </c>
      <c r="B32164" s="1" t="str">
        <f>HYPERLINK("http://fcadealerdigitalprogram.com","fcadealerdigitalprogram.com")</f>
        <v>fcadealerdigitalprogram.com</v>
      </c>
      <c r="C32164" t="s">
        <v>433</v>
      </c>
      <c r="F32164">
        <v>4.0523679031718598E-8</v>
      </c>
      <c r="G32164">
        <v>1277939</v>
      </c>
      <c r="H32164">
        <v>10512449</v>
      </c>
      <c r="I32164">
        <v>49405593</v>
      </c>
      <c r="J32164">
        <v>5</v>
      </c>
    </row>
    <row r="32165" spans="1:10" x14ac:dyDescent="0.25">
      <c r="A32165" t="s">
        <v>362</v>
      </c>
      <c r="B32165" s="1" t="str">
        <f>HYPERLINK("http://fcagroup.com","fcagroup.com")</f>
        <v>fcagroup.com</v>
      </c>
      <c r="C32165" t="s">
        <v>433</v>
      </c>
      <c r="E32165">
        <v>44360</v>
      </c>
      <c r="F32165">
        <v>1.6399349664651801E-6</v>
      </c>
      <c r="G32165">
        <v>24079</v>
      </c>
      <c r="H32165">
        <v>17320022</v>
      </c>
      <c r="I32165">
        <v>25845</v>
      </c>
      <c r="J32165">
        <v>3</v>
      </c>
    </row>
    <row r="32166" spans="1:10" x14ac:dyDescent="0.25">
      <c r="A32166" t="s">
        <v>362</v>
      </c>
      <c r="B32166" s="1" t="str">
        <f>HYPERLINK("http://fcagroupafc.com","fcagroupafc.com")</f>
        <v>fcagroupafc.com</v>
      </c>
      <c r="C32166" t="s">
        <v>433</v>
      </c>
      <c r="F32166">
        <v>1.5796808371927999E-8</v>
      </c>
      <c r="G32166">
        <v>3600378</v>
      </c>
      <c r="H32166">
        <v>12340703</v>
      </c>
      <c r="I32166">
        <v>19991089</v>
      </c>
      <c r="J32166">
        <v>3</v>
      </c>
    </row>
    <row r="32167" spans="1:10" x14ac:dyDescent="0.25">
      <c r="A32167" t="s">
        <v>362</v>
      </c>
      <c r="B32167" s="1" t="str">
        <f>HYPERLINK("http://fcagroupapps.com","fcagroupapps.com")</f>
        <v>fcagroupapps.com</v>
      </c>
      <c r="C32167" t="s">
        <v>433</v>
      </c>
      <c r="J32167">
        <v>3</v>
      </c>
    </row>
    <row r="32168" spans="1:10" x14ac:dyDescent="0.25">
      <c r="A32168" t="s">
        <v>362</v>
      </c>
      <c r="B32168" s="1" t="str">
        <f>HYPERLINK("http://fcasuppliertraining.com","fcasuppliertraining.com")</f>
        <v>fcasuppliertraining.com</v>
      </c>
      <c r="C32168" t="s">
        <v>433</v>
      </c>
      <c r="J32168">
        <v>3</v>
      </c>
    </row>
    <row r="32169" spans="1:10" x14ac:dyDescent="0.25">
      <c r="A32169" t="s">
        <v>362</v>
      </c>
      <c r="B32169" s="1" t="str">
        <f>HYPERLINK("http://fiat.com","fiat.com")</f>
        <v>fiat.com</v>
      </c>
      <c r="C32169" t="s">
        <v>433</v>
      </c>
      <c r="E32169">
        <v>45074</v>
      </c>
      <c r="F32169">
        <v>1.0428443927890901E-6</v>
      </c>
      <c r="G32169">
        <v>36760</v>
      </c>
      <c r="H32169">
        <v>17299026</v>
      </c>
      <c r="I32169">
        <v>28008</v>
      </c>
      <c r="J32169">
        <v>4</v>
      </c>
    </row>
    <row r="32170" spans="1:10" x14ac:dyDescent="0.25">
      <c r="A32170" t="s">
        <v>362</v>
      </c>
      <c r="B32170" s="1" t="str">
        <f>HYPERLINK("http://fiat-india.com","fiat-india.com")</f>
        <v>fiat-india.com</v>
      </c>
      <c r="C32170" t="s">
        <v>433</v>
      </c>
      <c r="F32170">
        <v>2.1425721645079299E-8</v>
      </c>
      <c r="G32170">
        <v>2458439</v>
      </c>
      <c r="H32170">
        <v>14811483</v>
      </c>
      <c r="I32170">
        <v>532180</v>
      </c>
      <c r="J32170">
        <v>4</v>
      </c>
    </row>
    <row r="32171" spans="1:10" x14ac:dyDescent="0.25">
      <c r="A32171" t="s">
        <v>362</v>
      </c>
      <c r="B32171" s="1" t="str">
        <f>HYPERLINK("http://fiataccess.com","fiataccess.com")</f>
        <v>fiataccess.com</v>
      </c>
      <c r="C32171" t="s">
        <v>433</v>
      </c>
      <c r="F32171">
        <v>4.4609902491787201E-9</v>
      </c>
      <c r="G32171">
        <v>67446588</v>
      </c>
      <c r="H32171">
        <v>10517372</v>
      </c>
      <c r="I32171">
        <v>49157137</v>
      </c>
      <c r="J32171">
        <v>3</v>
      </c>
    </row>
    <row r="32172" spans="1:10" x14ac:dyDescent="0.25">
      <c r="A32172" t="s">
        <v>362</v>
      </c>
      <c r="B32172" s="1" t="str">
        <f>HYPERLINK("http://fiatauto.com","fiatauto.com")</f>
        <v>fiatauto.com</v>
      </c>
      <c r="C32172" t="s">
        <v>433</v>
      </c>
      <c r="F32172">
        <v>8.1888774385440493E-9</v>
      </c>
      <c r="G32172">
        <v>9590572</v>
      </c>
      <c r="H32172">
        <v>12153189</v>
      </c>
      <c r="I32172">
        <v>24547676</v>
      </c>
      <c r="J32172">
        <v>5</v>
      </c>
    </row>
    <row r="32173" spans="1:10" x14ac:dyDescent="0.25">
      <c r="A32173" t="s">
        <v>362</v>
      </c>
      <c r="B32173" s="1" t="str">
        <f>HYPERLINK("http://fiatdesanjuanpr.com","fiatdesanjuanpr.com")</f>
        <v>fiatdesanjuanpr.com</v>
      </c>
      <c r="C32173" t="s">
        <v>433</v>
      </c>
      <c r="J32173">
        <v>5</v>
      </c>
    </row>
    <row r="32174" spans="1:10" x14ac:dyDescent="0.25">
      <c r="A32174" t="s">
        <v>362</v>
      </c>
      <c r="B32174" s="1" t="str">
        <f>HYPERLINK("http://fiatgroup.com","fiatgroup.com")</f>
        <v>fiatgroup.com</v>
      </c>
      <c r="C32174" t="s">
        <v>433</v>
      </c>
      <c r="E32174">
        <v>219546</v>
      </c>
      <c r="F32174">
        <v>9.4528928520554E-8</v>
      </c>
      <c r="G32174">
        <v>429171</v>
      </c>
      <c r="H32174">
        <v>15028853</v>
      </c>
      <c r="I32174">
        <v>418905</v>
      </c>
      <c r="J32174">
        <v>5</v>
      </c>
    </row>
    <row r="32175" spans="1:10" x14ac:dyDescent="0.25">
      <c r="A32175" t="s">
        <v>362</v>
      </c>
      <c r="B32175" s="1" t="str">
        <f>HYPERLINK("http://fiatprofessional.com","fiatprofessional.com")</f>
        <v>fiatprofessional.com</v>
      </c>
      <c r="C32175" t="s">
        <v>433</v>
      </c>
      <c r="E32175">
        <v>142804</v>
      </c>
      <c r="F32175">
        <v>5.6989946305204795E-7</v>
      </c>
      <c r="G32175">
        <v>67042</v>
      </c>
      <c r="H32175">
        <v>14672203</v>
      </c>
      <c r="I32175">
        <v>613359</v>
      </c>
      <c r="J32175">
        <v>4</v>
      </c>
    </row>
    <row r="32176" spans="1:10" x14ac:dyDescent="0.25">
      <c r="A32176" t="s">
        <v>362</v>
      </c>
      <c r="B32176" s="1" t="str">
        <f>HYPERLINK("http://fontanacdjr.com","fontanacdjr.com")</f>
        <v>fontanacdjr.com</v>
      </c>
      <c r="C32176" t="s">
        <v>433</v>
      </c>
      <c r="J32176">
        <v>5</v>
      </c>
    </row>
    <row r="32177" spans="1:10" x14ac:dyDescent="0.25">
      <c r="A32177" t="s">
        <v>362</v>
      </c>
      <c r="B32177" s="1" t="str">
        <f>HYPERLINK("http://francaisedemecanique.com","francaisedemecanique.com")</f>
        <v>francaisedemecanique.com</v>
      </c>
      <c r="C32177" t="s">
        <v>433</v>
      </c>
      <c r="F32177">
        <v>1.7932526328771501E-8</v>
      </c>
      <c r="G32177">
        <v>3046708</v>
      </c>
      <c r="H32177">
        <v>14414931</v>
      </c>
      <c r="I32177">
        <v>1121094</v>
      </c>
      <c r="J32177">
        <v>4</v>
      </c>
    </row>
    <row r="32178" spans="1:10" x14ac:dyDescent="0.25">
      <c r="A32178" t="s">
        <v>362</v>
      </c>
      <c r="B32178" s="1" t="str">
        <f>HYPERLINK("http://free2move.com","free2move.com")</f>
        <v>free2move.com</v>
      </c>
      <c r="C32178" t="s">
        <v>433</v>
      </c>
      <c r="E32178">
        <v>272718</v>
      </c>
      <c r="F32178">
        <v>2.9862714501194199E-7</v>
      </c>
      <c r="G32178">
        <v>124531</v>
      </c>
      <c r="H32178">
        <v>14611754</v>
      </c>
      <c r="I32178">
        <v>676047</v>
      </c>
      <c r="J32178">
        <v>5</v>
      </c>
    </row>
    <row r="32179" spans="1:10" x14ac:dyDescent="0.25">
      <c r="A32179" t="s">
        <v>362</v>
      </c>
      <c r="B32179" s="1" t="str">
        <f>HYPERLINK("http://garagedesbuis.com","garagedesbuis.com")</f>
        <v>garagedesbuis.com</v>
      </c>
      <c r="C32179" t="s">
        <v>433</v>
      </c>
      <c r="J32179">
        <v>6</v>
      </c>
    </row>
    <row r="32180" spans="1:10" x14ac:dyDescent="0.25">
      <c r="A32180" t="s">
        <v>362</v>
      </c>
      <c r="B32180" s="1" t="str">
        <f>HYPERLINK("http://groupe-psa.com","groupe-psa.com")</f>
        <v>groupe-psa.com</v>
      </c>
      <c r="C32180" t="s">
        <v>433</v>
      </c>
      <c r="E32180">
        <v>78550</v>
      </c>
      <c r="F32180">
        <v>5.7116233842595095E-7</v>
      </c>
      <c r="G32180">
        <v>66894</v>
      </c>
      <c r="H32180">
        <v>15086345</v>
      </c>
      <c r="I32180">
        <v>408607</v>
      </c>
      <c r="J32180">
        <v>4</v>
      </c>
    </row>
    <row r="32181" spans="1:10" x14ac:dyDescent="0.25">
      <c r="A32181" t="s">
        <v>362</v>
      </c>
      <c r="B32181" s="1" t="str">
        <f>HYPERLINK("http://groupebossart.com","groupebossart.com")</f>
        <v>groupebossart.com</v>
      </c>
      <c r="C32181" t="s">
        <v>433</v>
      </c>
      <c r="J32181">
        <v>7</v>
      </c>
    </row>
    <row r="32182" spans="1:10" x14ac:dyDescent="0.25">
      <c r="A32182" t="s">
        <v>362</v>
      </c>
      <c r="B32182" s="1" t="str">
        <f>HYPERLINK("http://ignitecinc.com","ignitecinc.com")</f>
        <v>ignitecinc.com</v>
      </c>
      <c r="C32182" t="s">
        <v>433</v>
      </c>
      <c r="F32182">
        <v>6.5224057045009998E-9</v>
      </c>
      <c r="G32182">
        <v>13985782</v>
      </c>
      <c r="H32182">
        <v>11333279</v>
      </c>
      <c r="I32182">
        <v>30449972</v>
      </c>
      <c r="J32182">
        <v>7</v>
      </c>
    </row>
    <row r="32183" spans="1:10" x14ac:dyDescent="0.25">
      <c r="A32183" t="s">
        <v>362</v>
      </c>
      <c r="B32183" s="1" t="str">
        <f>HYPERLINK("http://ikcopress.com","ikcopress.com")</f>
        <v>ikcopress.com</v>
      </c>
      <c r="C32183" t="s">
        <v>433</v>
      </c>
      <c r="F32183">
        <v>9.5597832002590196E-9</v>
      </c>
      <c r="G32183">
        <v>7251356</v>
      </c>
      <c r="H32183">
        <v>14373840</v>
      </c>
      <c r="I32183">
        <v>1259821</v>
      </c>
      <c r="J32183">
        <v>7</v>
      </c>
    </row>
    <row r="32184" spans="1:10" x14ac:dyDescent="0.25">
      <c r="A32184" t="s">
        <v>362</v>
      </c>
      <c r="B32184" s="1" t="str">
        <f>HYPERLINK("http://jeep.com","jeep.com")</f>
        <v>jeep.com</v>
      </c>
      <c r="C32184" t="s">
        <v>433</v>
      </c>
      <c r="E32184">
        <v>20554</v>
      </c>
      <c r="F32184">
        <v>1.46060332175369E-6</v>
      </c>
      <c r="G32184">
        <v>26830</v>
      </c>
      <c r="H32184">
        <v>17490006</v>
      </c>
      <c r="I32184">
        <v>14151</v>
      </c>
      <c r="J32184">
        <v>4</v>
      </c>
    </row>
    <row r="32185" spans="1:10" x14ac:dyDescent="0.25">
      <c r="A32185" t="s">
        <v>362</v>
      </c>
      <c r="B32185" s="1" t="str">
        <f>HYPERLINK("http://kandsrides.com","kandsrides.com")</f>
        <v>kandsrides.com</v>
      </c>
      <c r="C32185" t="s">
        <v>433</v>
      </c>
      <c r="F32185">
        <v>3.03584676726804E-8</v>
      </c>
      <c r="G32185">
        <v>1695764</v>
      </c>
      <c r="H32185">
        <v>12898251</v>
      </c>
      <c r="I32185">
        <v>13888303</v>
      </c>
      <c r="J32185">
        <v>5</v>
      </c>
    </row>
    <row r="32186" spans="1:10" x14ac:dyDescent="0.25">
      <c r="A32186" t="s">
        <v>362</v>
      </c>
      <c r="B32186" s="1" t="str">
        <f>HYPERLINK("http://lancia.com","lancia.com")</f>
        <v>lancia.com</v>
      </c>
      <c r="C32186" t="s">
        <v>433</v>
      </c>
      <c r="E32186">
        <v>267317</v>
      </c>
      <c r="F32186">
        <v>2.1441057409791999E-7</v>
      </c>
      <c r="G32186">
        <v>176062</v>
      </c>
      <c r="H32186">
        <v>14809983</v>
      </c>
      <c r="I32186">
        <v>535661</v>
      </c>
      <c r="J32186">
        <v>4</v>
      </c>
    </row>
    <row r="32187" spans="1:10" x14ac:dyDescent="0.25">
      <c r="A32187" t="s">
        <v>362</v>
      </c>
      <c r="B32187" s="1" t="str">
        <f>HYPERLINK("http://larrymillerdodgeramtucson.com","larrymillerdodgeramtucson.com")</f>
        <v>larrymillerdodgeramtucson.com</v>
      </c>
      <c r="C32187" t="s">
        <v>433</v>
      </c>
      <c r="F32187">
        <v>1.24513495895504E-8</v>
      </c>
      <c r="G32187">
        <v>4911541</v>
      </c>
      <c r="H32187">
        <v>12759021</v>
      </c>
      <c r="I32187">
        <v>14960464</v>
      </c>
      <c r="J32187">
        <v>5</v>
      </c>
    </row>
    <row r="32188" spans="1:10" x14ac:dyDescent="0.25">
      <c r="A32188" t="s">
        <v>362</v>
      </c>
      <c r="B32188" s="1" t="str">
        <f>HYPERLINK("http://leasys.com","leasys.com")</f>
        <v>leasys.com</v>
      </c>
      <c r="C32188" t="s">
        <v>433</v>
      </c>
      <c r="E32188">
        <v>483717</v>
      </c>
      <c r="F32188">
        <v>1.9060702853386099E-7</v>
      </c>
      <c r="G32188">
        <v>202187</v>
      </c>
      <c r="H32188">
        <v>16903208</v>
      </c>
      <c r="I32188">
        <v>132440</v>
      </c>
      <c r="J32188">
        <v>5</v>
      </c>
    </row>
    <row r="32189" spans="1:10" x14ac:dyDescent="0.25">
      <c r="A32189" t="s">
        <v>362</v>
      </c>
      <c r="B32189" s="1" t="str">
        <f>HYPERLINK("http://maserati.com","maserati.com")</f>
        <v>maserati.com</v>
      </c>
      <c r="C32189" t="s">
        <v>433</v>
      </c>
      <c r="E32189">
        <v>27485</v>
      </c>
      <c r="F32189">
        <v>1.53204975126036E-6</v>
      </c>
      <c r="G32189">
        <v>25602</v>
      </c>
      <c r="H32189">
        <v>17497664</v>
      </c>
      <c r="I32189">
        <v>13804</v>
      </c>
      <c r="J32189">
        <v>4</v>
      </c>
    </row>
    <row r="32190" spans="1:10" x14ac:dyDescent="0.25">
      <c r="A32190" t="s">
        <v>362</v>
      </c>
      <c r="B32190" s="1" t="str">
        <f>HYPERLINK("http://maseratiwatches.com","maseratiwatches.com")</f>
        <v>maseratiwatches.com</v>
      </c>
      <c r="C32190" t="s">
        <v>433</v>
      </c>
      <c r="F32190">
        <v>3.7846177206698102E-8</v>
      </c>
      <c r="G32190">
        <v>1367376</v>
      </c>
      <c r="H32190">
        <v>12737533</v>
      </c>
      <c r="I32190">
        <v>15155573</v>
      </c>
      <c r="J32190">
        <v>6</v>
      </c>
    </row>
    <row r="32191" spans="1:10" x14ac:dyDescent="0.25">
      <c r="A32191" t="s">
        <v>362</v>
      </c>
      <c r="B32191" s="1" t="str">
        <f>HYPERLINK("http://merriondataconsultants.com","merriondataconsultants.com")</f>
        <v>merriondataconsultants.com</v>
      </c>
      <c r="C32191" t="s">
        <v>433</v>
      </c>
      <c r="F32191">
        <v>4.44380395335525E-9</v>
      </c>
      <c r="G32191">
        <v>82613866</v>
      </c>
      <c r="H32191">
        <v>0</v>
      </c>
      <c r="I32191">
        <v>83260625</v>
      </c>
      <c r="J32191">
        <v>5</v>
      </c>
    </row>
    <row r="32192" spans="1:10" x14ac:dyDescent="0.25">
      <c r="A32192" t="s">
        <v>362</v>
      </c>
      <c r="B32192" s="1" t="str">
        <f>HYPERLINK("http://mopar.com","mopar.com")</f>
        <v>mopar.com</v>
      </c>
      <c r="C32192" t="s">
        <v>433</v>
      </c>
      <c r="E32192">
        <v>48186</v>
      </c>
      <c r="F32192">
        <v>9.629607431183749E-7</v>
      </c>
      <c r="G32192">
        <v>39735</v>
      </c>
      <c r="H32192">
        <v>15298150</v>
      </c>
      <c r="I32192">
        <v>386234</v>
      </c>
      <c r="J32192">
        <v>4</v>
      </c>
    </row>
    <row r="32193" spans="1:10" x14ac:dyDescent="0.25">
      <c r="A32193" t="s">
        <v>362</v>
      </c>
      <c r="B32193" s="1" t="str">
        <f>HYPERLINK("http://moparvehicleprotection.com","moparvehicleprotection.com")</f>
        <v>moparvehicleprotection.com</v>
      </c>
      <c r="C32193" t="s">
        <v>433</v>
      </c>
      <c r="F32193">
        <v>1.8879528099924999E-8</v>
      </c>
      <c r="G32193">
        <v>2857125</v>
      </c>
      <c r="H32193">
        <v>13167277</v>
      </c>
      <c r="I32193">
        <v>11735427</v>
      </c>
      <c r="J32193">
        <v>7</v>
      </c>
    </row>
    <row r="32194" spans="1:10" x14ac:dyDescent="0.25">
      <c r="A32194" t="s">
        <v>362</v>
      </c>
      <c r="B32194" s="1" t="str">
        <f>HYPERLINK("http://motorcitizens.com","motorcitizens.com")</f>
        <v>motorcitizens.com</v>
      </c>
      <c r="C32194" t="s">
        <v>433</v>
      </c>
      <c r="J32194">
        <v>3</v>
      </c>
    </row>
    <row r="32195" spans="1:10" x14ac:dyDescent="0.25">
      <c r="A32195" t="s">
        <v>362</v>
      </c>
      <c r="B32195" s="1" t="str">
        <f>HYPERLINK("http://mpsa.com","mpsa.com")</f>
        <v>mpsa.com</v>
      </c>
      <c r="C32195" t="s">
        <v>433</v>
      </c>
      <c r="E32195">
        <v>34679</v>
      </c>
      <c r="F32195">
        <v>3.0442558960200899E-7</v>
      </c>
      <c r="G32195">
        <v>122122</v>
      </c>
      <c r="H32195">
        <v>16932950</v>
      </c>
      <c r="I32195">
        <v>117050</v>
      </c>
      <c r="J32195">
        <v>5</v>
      </c>
    </row>
    <row r="32196" spans="1:10" x14ac:dyDescent="0.25">
      <c r="A32196" t="s">
        <v>362</v>
      </c>
      <c r="B32196" s="1" t="str">
        <f>HYPERLINK("http://opel.com","opel.com")</f>
        <v>opel.com</v>
      </c>
      <c r="C32196" t="s">
        <v>433</v>
      </c>
      <c r="E32196">
        <v>56177</v>
      </c>
      <c r="F32196">
        <v>5.0435500693481504E-7</v>
      </c>
      <c r="G32196">
        <v>75868</v>
      </c>
      <c r="H32196">
        <v>15167791</v>
      </c>
      <c r="I32196">
        <v>398403</v>
      </c>
      <c r="J32196">
        <v>3</v>
      </c>
    </row>
    <row r="32197" spans="1:10" x14ac:dyDescent="0.25">
      <c r="A32197" t="s">
        <v>362</v>
      </c>
      <c r="B32197" s="1" t="str">
        <f>HYPERLINK("http://opel-collection.com","opel-collection.com")</f>
        <v>opel-collection.com</v>
      </c>
      <c r="C32197" t="s">
        <v>433</v>
      </c>
      <c r="F32197">
        <v>5.6377878289792197E-8</v>
      </c>
      <c r="G32197">
        <v>793481</v>
      </c>
      <c r="H32197">
        <v>12661696</v>
      </c>
      <c r="I32197">
        <v>15710872</v>
      </c>
      <c r="J32197">
        <v>6</v>
      </c>
    </row>
    <row r="32198" spans="1:10" x14ac:dyDescent="0.25">
      <c r="A32198" t="s">
        <v>362</v>
      </c>
      <c r="B32198" s="1" t="str">
        <f>HYPERLINK("http://opelpost.com","opelpost.com")</f>
        <v>opelpost.com</v>
      </c>
      <c r="C32198" t="s">
        <v>433</v>
      </c>
      <c r="F32198">
        <v>3.1026055535225498E-8</v>
      </c>
      <c r="G32198">
        <v>1661048</v>
      </c>
      <c r="H32198">
        <v>14704622</v>
      </c>
      <c r="I32198">
        <v>588260</v>
      </c>
      <c r="J32198">
        <v>5</v>
      </c>
    </row>
    <row r="32199" spans="1:10" x14ac:dyDescent="0.25">
      <c r="A32199" t="s">
        <v>362</v>
      </c>
      <c r="B32199" s="1" t="str">
        <f>HYPERLINK("http://ov-fin.com","ov-fin.com")</f>
        <v>ov-fin.com</v>
      </c>
      <c r="C32199" t="s">
        <v>433</v>
      </c>
      <c r="E32199">
        <v>465905</v>
      </c>
      <c r="F32199">
        <v>4.4447685446998097E-9</v>
      </c>
      <c r="G32199">
        <v>76128696</v>
      </c>
      <c r="H32199">
        <v>10351995</v>
      </c>
      <c r="I32199">
        <v>56091647</v>
      </c>
      <c r="J32199">
        <v>10</v>
      </c>
    </row>
    <row r="32200" spans="1:10" x14ac:dyDescent="0.25">
      <c r="A32200" t="s">
        <v>362</v>
      </c>
      <c r="B32200" s="1" t="str">
        <f>HYPERLINK("http://palausacitroen.com","palausacitroen.com")</f>
        <v>palausacitroen.com</v>
      </c>
      <c r="C32200" t="s">
        <v>433</v>
      </c>
      <c r="F32200">
        <v>5.09694394737935E-9</v>
      </c>
      <c r="G32200">
        <v>27142516</v>
      </c>
      <c r="H32200">
        <v>12981566</v>
      </c>
      <c r="I32200">
        <v>12953275</v>
      </c>
      <c r="J32200">
        <v>9</v>
      </c>
    </row>
    <row r="32201" spans="1:10" x14ac:dyDescent="0.25">
      <c r="A32201" t="s">
        <v>362</v>
      </c>
      <c r="B32201" s="1" t="str">
        <f>HYPERLINK("http://parklanddodge.com","parklanddodge.com")</f>
        <v>parklanddodge.com</v>
      </c>
      <c r="C32201" t="s">
        <v>433</v>
      </c>
      <c r="F32201">
        <v>1.0821050825632001E-8</v>
      </c>
      <c r="G32201">
        <v>6004128</v>
      </c>
      <c r="H32201">
        <v>12144207</v>
      </c>
      <c r="I32201">
        <v>24778459</v>
      </c>
      <c r="J32201">
        <v>5</v>
      </c>
    </row>
    <row r="32202" spans="1:10" x14ac:dyDescent="0.25">
      <c r="A32202" t="s">
        <v>362</v>
      </c>
      <c r="B32202" s="1" t="str">
        <f>HYPERLINK("http://peugeot.com","peugeot.com")</f>
        <v>peugeot.com</v>
      </c>
      <c r="C32202" t="s">
        <v>433</v>
      </c>
      <c r="E32202">
        <v>34156</v>
      </c>
      <c r="F32202">
        <v>9.4906073388342002E-7</v>
      </c>
      <c r="G32202">
        <v>40361</v>
      </c>
      <c r="H32202">
        <v>17376924</v>
      </c>
      <c r="I32202">
        <v>20911</v>
      </c>
      <c r="J32202">
        <v>4</v>
      </c>
    </row>
    <row r="32203" spans="1:10" x14ac:dyDescent="0.25">
      <c r="A32203" t="s">
        <v>362</v>
      </c>
      <c r="B32203" s="1" t="str">
        <f>HYPERLINK("http://peugeotksa.com","peugeotksa.com")</f>
        <v>peugeotksa.com</v>
      </c>
      <c r="C32203" t="s">
        <v>433</v>
      </c>
      <c r="F32203">
        <v>5.8098015980831198E-9</v>
      </c>
      <c r="G32203">
        <v>18013678</v>
      </c>
      <c r="H32203">
        <v>10347363</v>
      </c>
      <c r="I32203">
        <v>56674813</v>
      </c>
      <c r="J32203">
        <v>7</v>
      </c>
    </row>
    <row r="32204" spans="1:10" x14ac:dyDescent="0.25">
      <c r="A32204" t="s">
        <v>362</v>
      </c>
      <c r="B32204" s="1" t="str">
        <f>HYPERLINK("http://princefrederickdodge.com","princefrederickdodge.com")</f>
        <v>princefrederickdodge.com</v>
      </c>
      <c r="C32204" t="s">
        <v>433</v>
      </c>
      <c r="F32204">
        <v>6.3409237554206304E-9</v>
      </c>
      <c r="G32204">
        <v>14806603</v>
      </c>
      <c r="H32204">
        <v>12235685</v>
      </c>
      <c r="I32204">
        <v>22358238</v>
      </c>
      <c r="J32204">
        <v>5</v>
      </c>
    </row>
    <row r="32205" spans="1:10" x14ac:dyDescent="0.25">
      <c r="A32205" t="s">
        <v>362</v>
      </c>
      <c r="B32205" s="1" t="str">
        <f>HYPERLINK("http://ramdenver.com","ramdenver.com")</f>
        <v>ramdenver.com</v>
      </c>
      <c r="C32205" t="s">
        <v>433</v>
      </c>
      <c r="F32205">
        <v>6.1146743652552901E-9</v>
      </c>
      <c r="G32205">
        <v>16011327</v>
      </c>
      <c r="H32205">
        <v>12442805</v>
      </c>
      <c r="I32205">
        <v>18113443</v>
      </c>
      <c r="J32205">
        <v>5</v>
      </c>
    </row>
    <row r="32206" spans="1:10" x14ac:dyDescent="0.25">
      <c r="A32206" t="s">
        <v>362</v>
      </c>
      <c r="B32206" s="1" t="str">
        <f>HYPERLINK("http://stellantis.com","stellantis.com")</f>
        <v>stellantis.com</v>
      </c>
      <c r="C32206" t="s">
        <v>433</v>
      </c>
      <c r="E32206">
        <v>16811</v>
      </c>
      <c r="F32206">
        <v>1.89202920472651E-6</v>
      </c>
      <c r="G32206">
        <v>19648</v>
      </c>
      <c r="H32206">
        <v>15435937</v>
      </c>
      <c r="I32206">
        <v>378735</v>
      </c>
      <c r="J32206">
        <v>1</v>
      </c>
    </row>
    <row r="32207" spans="1:10" x14ac:dyDescent="0.25">
      <c r="A32207" t="s">
        <v>362</v>
      </c>
      <c r="B32207" s="1" t="str">
        <f>HYPERLINK("http://stellantisandyou.com","stellantisandyou.com")</f>
        <v>stellantisandyou.com</v>
      </c>
      <c r="C32207" t="s">
        <v>433</v>
      </c>
      <c r="F32207">
        <v>4.52184156525534E-8</v>
      </c>
      <c r="G32207">
        <v>1042944</v>
      </c>
      <c r="H32207">
        <v>13583592</v>
      </c>
      <c r="I32207">
        <v>9681193</v>
      </c>
      <c r="J32207">
        <v>5</v>
      </c>
    </row>
    <row r="32208" spans="1:10" x14ac:dyDescent="0.25">
      <c r="A32208" t="s">
        <v>362</v>
      </c>
      <c r="B32208" s="1" t="str">
        <f>HYPERLINK("http://stellantisnorthamerica.com","stellantisnorthamerica.com")</f>
        <v>stellantisnorthamerica.com</v>
      </c>
      <c r="C32208" t="s">
        <v>433</v>
      </c>
      <c r="E32208">
        <v>110904</v>
      </c>
      <c r="F32208">
        <v>4.3640595183300402E-7</v>
      </c>
      <c r="G32208">
        <v>86348</v>
      </c>
      <c r="H32208">
        <v>14964081</v>
      </c>
      <c r="I32208">
        <v>435964</v>
      </c>
      <c r="J32208">
        <v>4</v>
      </c>
    </row>
    <row r="32209" spans="1:10" x14ac:dyDescent="0.25">
      <c r="A32209" t="s">
        <v>362</v>
      </c>
      <c r="B32209" s="1" t="str">
        <f>HYPERLINK("http://teksid.com","teksid.com")</f>
        <v>teksid.com</v>
      </c>
      <c r="C32209" t="s">
        <v>433</v>
      </c>
      <c r="F32209">
        <v>3.5692757115923499E-8</v>
      </c>
      <c r="G32209">
        <v>1459490</v>
      </c>
      <c r="H32209">
        <v>13226075</v>
      </c>
      <c r="I32209">
        <v>11304298</v>
      </c>
      <c r="J32209">
        <v>4</v>
      </c>
    </row>
    <row r="32210" spans="1:10" x14ac:dyDescent="0.25">
      <c r="A32210" t="s">
        <v>362</v>
      </c>
      <c r="B32210" s="1" t="str">
        <f>HYPERLINK("http://thefcafoundation.com","thefcafoundation.com")</f>
        <v>thefcafoundation.com</v>
      </c>
      <c r="C32210" t="s">
        <v>433</v>
      </c>
      <c r="J32210">
        <v>3</v>
      </c>
    </row>
    <row r="32211" spans="1:10" x14ac:dyDescent="0.25">
      <c r="A32211" t="s">
        <v>362</v>
      </c>
      <c r="B32211" s="1" t="str">
        <f>HYPERLINK("http://theoremaonline.com","theoremaonline.com")</f>
        <v>theoremaonline.com</v>
      </c>
      <c r="C32211" t="s">
        <v>433</v>
      </c>
      <c r="F32211">
        <v>5.3001393511249103E-9</v>
      </c>
      <c r="G32211">
        <v>23493265</v>
      </c>
      <c r="H32211">
        <v>12120967</v>
      </c>
      <c r="I32211">
        <v>25382049</v>
      </c>
      <c r="J32211">
        <v>5</v>
      </c>
    </row>
    <row r="32212" spans="1:10" x14ac:dyDescent="0.25">
      <c r="A32212" t="s">
        <v>362</v>
      </c>
      <c r="B32212" s="1" t="str">
        <f>HYPERLINK("http://tonkindodge.com","tonkindodge.com")</f>
        <v>tonkindodge.com</v>
      </c>
      <c r="C32212" t="s">
        <v>433</v>
      </c>
      <c r="F32212">
        <v>4.44380395335525E-9</v>
      </c>
      <c r="G32212">
        <v>87490587</v>
      </c>
      <c r="H32212">
        <v>0</v>
      </c>
      <c r="I32212">
        <v>84660714</v>
      </c>
      <c r="J32212">
        <v>5</v>
      </c>
    </row>
    <row r="32213" spans="1:10" x14ac:dyDescent="0.25">
      <c r="A32213" t="s">
        <v>362</v>
      </c>
      <c r="B32213" s="1" t="str">
        <f>HYPERLINK("http://uconnectaccess.com","uconnectaccess.com")</f>
        <v>uconnectaccess.com</v>
      </c>
      <c r="C32213" t="s">
        <v>433</v>
      </c>
      <c r="J32213">
        <v>3</v>
      </c>
    </row>
    <row r="32214" spans="1:10" x14ac:dyDescent="0.25">
      <c r="A32214" t="s">
        <v>362</v>
      </c>
      <c r="B32214" s="1" t="str">
        <f>HYPERLINK("http://vauxhallfinance.com","vauxhallfinance.com")</f>
        <v>vauxhallfinance.com</v>
      </c>
      <c r="C32214" t="s">
        <v>433</v>
      </c>
      <c r="F32214">
        <v>5.3906933826787197E-9</v>
      </c>
      <c r="G32214">
        <v>22238304</v>
      </c>
      <c r="H32214">
        <v>11262165</v>
      </c>
      <c r="I32214">
        <v>30816218</v>
      </c>
      <c r="J32214">
        <v>6</v>
      </c>
    </row>
    <row r="32215" spans="1:10" x14ac:dyDescent="0.25">
      <c r="A32215" t="s">
        <v>362</v>
      </c>
      <c r="B32215" s="1" t="str">
        <f>HYPERLINK("http://jeep.cr","jeep.cr")</f>
        <v>jeep.cr</v>
      </c>
      <c r="C32215" t="s">
        <v>434</v>
      </c>
      <c r="D32215" t="s">
        <v>813</v>
      </c>
      <c r="F32215">
        <v>4.0943140614325597E-8</v>
      </c>
      <c r="G32215">
        <v>1266939</v>
      </c>
      <c r="H32215">
        <v>12271907</v>
      </c>
      <c r="I32215">
        <v>21480877</v>
      </c>
      <c r="J32215">
        <v>5</v>
      </c>
    </row>
    <row r="32216" spans="1:10" x14ac:dyDescent="0.25">
      <c r="A32216" t="s">
        <v>362</v>
      </c>
      <c r="B32216" s="1" t="str">
        <f>HYPERLINK("http://citroen.com.cy","citroen.com.cy")</f>
        <v>citroen.com.cy</v>
      </c>
      <c r="C32216" t="s">
        <v>610</v>
      </c>
      <c r="D32216" t="s">
        <v>937</v>
      </c>
      <c r="F32216">
        <v>1.1101875887085999E-8</v>
      </c>
      <c r="G32216">
        <v>5784017</v>
      </c>
      <c r="H32216">
        <v>12966189</v>
      </c>
      <c r="I32216">
        <v>13122169</v>
      </c>
      <c r="J32216">
        <v>5</v>
      </c>
    </row>
    <row r="32217" spans="1:10" x14ac:dyDescent="0.25">
      <c r="A32217" t="s">
        <v>362</v>
      </c>
      <c r="B32217" s="1" t="str">
        <f>HYPERLINK("http://fiat.com.cy","fiat.com.cy")</f>
        <v>fiat.com.cy</v>
      </c>
      <c r="C32217" t="s">
        <v>610</v>
      </c>
      <c r="D32217" t="s">
        <v>937</v>
      </c>
      <c r="F32217">
        <v>8.1969294412139493E-9</v>
      </c>
      <c r="G32217">
        <v>9576204</v>
      </c>
      <c r="H32217">
        <v>12148181</v>
      </c>
      <c r="I32217">
        <v>24673397</v>
      </c>
      <c r="J32217">
        <v>5</v>
      </c>
    </row>
    <row r="32218" spans="1:10" x14ac:dyDescent="0.25">
      <c r="A32218" t="s">
        <v>362</v>
      </c>
      <c r="B32218" s="1" t="str">
        <f>HYPERLINK("http://fiatprofessional.com.cy","fiatprofessional.com.cy")</f>
        <v>fiatprofessional.com.cy</v>
      </c>
      <c r="C32218" t="s">
        <v>610</v>
      </c>
      <c r="D32218" t="s">
        <v>937</v>
      </c>
      <c r="F32218">
        <v>1.2489064406440201E-8</v>
      </c>
      <c r="G32218">
        <v>4891196</v>
      </c>
      <c r="H32218">
        <v>13816293</v>
      </c>
      <c r="I32218">
        <v>6162941</v>
      </c>
      <c r="J32218">
        <v>5</v>
      </c>
    </row>
    <row r="32219" spans="1:10" x14ac:dyDescent="0.25">
      <c r="A32219" t="s">
        <v>362</v>
      </c>
      <c r="B32219" s="1" t="str">
        <f>HYPERLINK("http://opel.com.cy","opel.com.cy")</f>
        <v>opel.com.cy</v>
      </c>
      <c r="C32219" t="s">
        <v>610</v>
      </c>
      <c r="D32219" t="s">
        <v>937</v>
      </c>
      <c r="F32219">
        <v>1.97476251860076E-8</v>
      </c>
      <c r="G32219">
        <v>2701505</v>
      </c>
      <c r="H32219">
        <v>14072931</v>
      </c>
      <c r="I32219">
        <v>3032059</v>
      </c>
      <c r="J32219">
        <v>4</v>
      </c>
    </row>
    <row r="32220" spans="1:10" x14ac:dyDescent="0.25">
      <c r="A32220" t="s">
        <v>362</v>
      </c>
      <c r="B32220" s="1" t="str">
        <f>HYPERLINK("http://alfaromeo.cz","alfaromeo.cz")</f>
        <v>alfaromeo.cz</v>
      </c>
      <c r="C32220" t="s">
        <v>435</v>
      </c>
      <c r="D32220" t="s">
        <v>814</v>
      </c>
      <c r="F32220">
        <v>1.80340096081347E-8</v>
      </c>
      <c r="G32220">
        <v>3023560</v>
      </c>
      <c r="H32220">
        <v>14071987</v>
      </c>
      <c r="I32220">
        <v>3198606</v>
      </c>
      <c r="J32220">
        <v>5</v>
      </c>
    </row>
    <row r="32221" spans="1:10" x14ac:dyDescent="0.25">
      <c r="A32221" t="s">
        <v>362</v>
      </c>
      <c r="B32221" s="1" t="str">
        <f>HYPERLINK("http://citroen.cz","citroen.cz")</f>
        <v>citroen.cz</v>
      </c>
      <c r="C32221" t="s">
        <v>435</v>
      </c>
      <c r="D32221" t="s">
        <v>814</v>
      </c>
      <c r="F32221">
        <v>7.9831164802197106E-8</v>
      </c>
      <c r="G32221">
        <v>523280</v>
      </c>
      <c r="H32221">
        <v>14076642</v>
      </c>
      <c r="I32221">
        <v>2882796</v>
      </c>
      <c r="J32221">
        <v>5</v>
      </c>
    </row>
    <row r="32222" spans="1:10" x14ac:dyDescent="0.25">
      <c r="A32222" t="s">
        <v>362</v>
      </c>
      <c r="B32222" s="1" t="str">
        <f>HYPERLINK("http://dsautomobiles.cz","dsautomobiles.cz")</f>
        <v>dsautomobiles.cz</v>
      </c>
      <c r="C32222" t="s">
        <v>435</v>
      </c>
      <c r="D32222" t="s">
        <v>814</v>
      </c>
      <c r="F32222">
        <v>2.2448526312340302E-8</v>
      </c>
      <c r="G32222">
        <v>2334293</v>
      </c>
      <c r="H32222">
        <v>12336852</v>
      </c>
      <c r="I32222">
        <v>20071439</v>
      </c>
      <c r="J32222">
        <v>5</v>
      </c>
    </row>
    <row r="32223" spans="1:10" x14ac:dyDescent="0.25">
      <c r="A32223" t="s">
        <v>362</v>
      </c>
      <c r="B32223" s="1" t="str">
        <f>HYPERLINK("http://fiat.cz","fiat.cz")</f>
        <v>fiat.cz</v>
      </c>
      <c r="C32223" t="s">
        <v>435</v>
      </c>
      <c r="D32223" t="s">
        <v>814</v>
      </c>
      <c r="F32223">
        <v>7.0095051257482299E-8</v>
      </c>
      <c r="G32223">
        <v>604441</v>
      </c>
      <c r="H32223">
        <v>14075259</v>
      </c>
      <c r="I32223">
        <v>2913913</v>
      </c>
      <c r="J32223">
        <v>4</v>
      </c>
    </row>
    <row r="32224" spans="1:10" x14ac:dyDescent="0.25">
      <c r="A32224" t="s">
        <v>362</v>
      </c>
      <c r="B32224" s="1" t="str">
        <f>HYPERLINK("http://fiatprofessional.cz","fiatprofessional.cz")</f>
        <v>fiatprofessional.cz</v>
      </c>
      <c r="C32224" t="s">
        <v>435</v>
      </c>
      <c r="D32224" t="s">
        <v>814</v>
      </c>
      <c r="F32224">
        <v>1.10808527018846E-8</v>
      </c>
      <c r="G32224">
        <v>5799558</v>
      </c>
      <c r="H32224">
        <v>11542422</v>
      </c>
      <c r="I32224">
        <v>29976626</v>
      </c>
      <c r="J32224">
        <v>5</v>
      </c>
    </row>
    <row r="32225" spans="1:10" x14ac:dyDescent="0.25">
      <c r="A32225" t="s">
        <v>362</v>
      </c>
      <c r="B32225" s="1" t="str">
        <f>HYPERLINK("http://jeep.cz","jeep.cz")</f>
        <v>jeep.cz</v>
      </c>
      <c r="C32225" t="s">
        <v>435</v>
      </c>
      <c r="D32225" t="s">
        <v>814</v>
      </c>
      <c r="F32225">
        <v>6.6891270843546904E-8</v>
      </c>
      <c r="G32225">
        <v>639775</v>
      </c>
      <c r="H32225">
        <v>12388316</v>
      </c>
      <c r="I32225">
        <v>19078027</v>
      </c>
      <c r="J32225">
        <v>5</v>
      </c>
    </row>
    <row r="32226" spans="1:10" x14ac:dyDescent="0.25">
      <c r="A32226" t="s">
        <v>362</v>
      </c>
      <c r="B32226" s="1" t="str">
        <f>HYPERLINK("http://opel.cz","opel.cz")</f>
        <v>opel.cz</v>
      </c>
      <c r="C32226" t="s">
        <v>435</v>
      </c>
      <c r="D32226" t="s">
        <v>814</v>
      </c>
      <c r="F32226">
        <v>6.4525150135465495E-8</v>
      </c>
      <c r="G32226">
        <v>670492</v>
      </c>
      <c r="H32226">
        <v>12545433</v>
      </c>
      <c r="I32226">
        <v>16884631</v>
      </c>
      <c r="J32226">
        <v>4</v>
      </c>
    </row>
    <row r="32227" spans="1:10" x14ac:dyDescent="0.25">
      <c r="A32227" t="s">
        <v>362</v>
      </c>
      <c r="B32227" s="1" t="str">
        <f>HYPERLINK("http://abarth.de","abarth.de")</f>
        <v>abarth.de</v>
      </c>
      <c r="C32227" t="s">
        <v>436</v>
      </c>
      <c r="D32227" t="s">
        <v>815</v>
      </c>
      <c r="F32227">
        <v>8.1517945995331504E-8</v>
      </c>
      <c r="G32227">
        <v>511998</v>
      </c>
      <c r="H32227">
        <v>14083161</v>
      </c>
      <c r="I32227">
        <v>2795258</v>
      </c>
      <c r="J32227">
        <v>5</v>
      </c>
    </row>
    <row r="32228" spans="1:10" x14ac:dyDescent="0.25">
      <c r="A32228" t="s">
        <v>362</v>
      </c>
      <c r="B32228" s="1" t="str">
        <f>HYPERLINK("http://alfaromeo.de","alfaromeo.de")</f>
        <v>alfaromeo.de</v>
      </c>
      <c r="C32228" t="s">
        <v>436</v>
      </c>
      <c r="D32228" t="s">
        <v>815</v>
      </c>
      <c r="E32228">
        <v>711306</v>
      </c>
      <c r="F32228">
        <v>1.32557803086234E-7</v>
      </c>
      <c r="G32228">
        <v>294785</v>
      </c>
      <c r="H32228">
        <v>14264810</v>
      </c>
      <c r="I32228">
        <v>1409979</v>
      </c>
      <c r="J32228">
        <v>5</v>
      </c>
    </row>
    <row r="32229" spans="1:10" x14ac:dyDescent="0.25">
      <c r="A32229" t="s">
        <v>362</v>
      </c>
      <c r="B32229" s="1" t="str">
        <f>HYPERLINK("http://auto-kraemer.de","auto-kraemer.de")</f>
        <v>auto-kraemer.de</v>
      </c>
      <c r="C32229" t="s">
        <v>436</v>
      </c>
      <c r="D32229" t="s">
        <v>815</v>
      </c>
      <c r="F32229">
        <v>4.6204732984242802E-9</v>
      </c>
      <c r="G32229">
        <v>46098233</v>
      </c>
      <c r="H32229">
        <v>12074052</v>
      </c>
      <c r="I32229">
        <v>26705596</v>
      </c>
      <c r="J32229">
        <v>5</v>
      </c>
    </row>
    <row r="32230" spans="1:10" x14ac:dyDescent="0.25">
      <c r="A32230" t="s">
        <v>362</v>
      </c>
      <c r="B32230" s="1" t="str">
        <f>HYPERLINK("http://autohausschell.de","autohausschell.de")</f>
        <v>autohausschell.de</v>
      </c>
      <c r="C32230" t="s">
        <v>436</v>
      </c>
      <c r="D32230" t="s">
        <v>815</v>
      </c>
      <c r="F32230">
        <v>4.7577965438753703E-9</v>
      </c>
      <c r="G32230">
        <v>37974098</v>
      </c>
      <c r="H32230">
        <v>10886530</v>
      </c>
      <c r="I32230">
        <v>36196321</v>
      </c>
      <c r="J32230">
        <v>5</v>
      </c>
    </row>
    <row r="32231" spans="1:10" x14ac:dyDescent="0.25">
      <c r="A32231" t="s">
        <v>362</v>
      </c>
      <c r="B32231" s="1" t="str">
        <f>HYPERLINK("http://citroen.de","citroen.de")</f>
        <v>citroen.de</v>
      </c>
      <c r="C32231" t="s">
        <v>436</v>
      </c>
      <c r="D32231" t="s">
        <v>815</v>
      </c>
      <c r="E32231">
        <v>343257</v>
      </c>
      <c r="F32231">
        <v>2.4507677622762398E-7</v>
      </c>
      <c r="G32231">
        <v>152668</v>
      </c>
      <c r="H32231">
        <v>14578550</v>
      </c>
      <c r="I32231">
        <v>714690</v>
      </c>
      <c r="J32231">
        <v>5</v>
      </c>
    </row>
    <row r="32232" spans="1:10" x14ac:dyDescent="0.25">
      <c r="A32232" t="s">
        <v>362</v>
      </c>
      <c r="B32232" s="1" t="str">
        <f>HYPERLINK("http://dsautomobiles.de","dsautomobiles.de")</f>
        <v>dsautomobiles.de</v>
      </c>
      <c r="C32232" t="s">
        <v>436</v>
      </c>
      <c r="D32232" t="s">
        <v>815</v>
      </c>
      <c r="F32232">
        <v>6.4905222933840003E-8</v>
      </c>
      <c r="G32232">
        <v>664290</v>
      </c>
      <c r="H32232">
        <v>14084190</v>
      </c>
      <c r="I32232">
        <v>2788886</v>
      </c>
      <c r="J32232">
        <v>5</v>
      </c>
    </row>
    <row r="32233" spans="1:10" x14ac:dyDescent="0.25">
      <c r="A32233" t="s">
        <v>362</v>
      </c>
      <c r="B32233" s="1" t="str">
        <f>HYPERLINK("http://fcabank.de","fcabank.de")</f>
        <v>fcabank.de</v>
      </c>
      <c r="C32233" t="s">
        <v>436</v>
      </c>
      <c r="D32233" t="s">
        <v>815</v>
      </c>
      <c r="F32233">
        <v>5.6443412611446499E-8</v>
      </c>
      <c r="G32233">
        <v>792382</v>
      </c>
      <c r="H32233">
        <v>12477091</v>
      </c>
      <c r="I32233">
        <v>17625493</v>
      </c>
      <c r="J32233">
        <v>6</v>
      </c>
    </row>
    <row r="32234" spans="1:10" x14ac:dyDescent="0.25">
      <c r="A32234" t="s">
        <v>362</v>
      </c>
      <c r="B32234" s="1" t="str">
        <f>HYPERLINK("http://fiat.de","fiat.de")</f>
        <v>fiat.de</v>
      </c>
      <c r="C32234" t="s">
        <v>436</v>
      </c>
      <c r="D32234" t="s">
        <v>815</v>
      </c>
      <c r="E32234">
        <v>373719</v>
      </c>
      <c r="F32234">
        <v>2.37844681236529E-7</v>
      </c>
      <c r="G32234">
        <v>157420</v>
      </c>
      <c r="H32234">
        <v>14274071</v>
      </c>
      <c r="I32234">
        <v>1392949</v>
      </c>
      <c r="J32234">
        <v>4</v>
      </c>
    </row>
    <row r="32235" spans="1:10" x14ac:dyDescent="0.25">
      <c r="A32235" t="s">
        <v>362</v>
      </c>
      <c r="B32235" s="1" t="str">
        <f>HYPERLINK("http://fiatprofessional.de","fiatprofessional.de")</f>
        <v>fiatprofessional.de</v>
      </c>
      <c r="C32235" t="s">
        <v>436</v>
      </c>
      <c r="D32235" t="s">
        <v>815</v>
      </c>
      <c r="F32235">
        <v>3.3025720633531997E-8</v>
      </c>
      <c r="G32235">
        <v>1564302</v>
      </c>
      <c r="H32235">
        <v>14072796</v>
      </c>
      <c r="I32235">
        <v>3044258</v>
      </c>
      <c r="J32235">
        <v>5</v>
      </c>
    </row>
    <row r="32236" spans="1:10" x14ac:dyDescent="0.25">
      <c r="A32236" t="s">
        <v>362</v>
      </c>
      <c r="B32236" s="1" t="str">
        <f>HYPERLINK("http://jeep.de","jeep.de")</f>
        <v>jeep.de</v>
      </c>
      <c r="C32236" t="s">
        <v>436</v>
      </c>
      <c r="D32236" t="s">
        <v>815</v>
      </c>
      <c r="E32236">
        <v>621302</v>
      </c>
      <c r="F32236">
        <v>1.59765104077838E-7</v>
      </c>
      <c r="G32236">
        <v>242939</v>
      </c>
      <c r="H32236">
        <v>14503950</v>
      </c>
      <c r="I32236">
        <v>841017</v>
      </c>
      <c r="J32236">
        <v>5</v>
      </c>
    </row>
    <row r="32237" spans="1:10" x14ac:dyDescent="0.25">
      <c r="A32237" t="s">
        <v>362</v>
      </c>
      <c r="B32237" s="1" t="str">
        <f>HYPERLINK("http://maserati.de","maserati.de")</f>
        <v>maserati.de</v>
      </c>
      <c r="C32237" t="s">
        <v>436</v>
      </c>
      <c r="D32237" t="s">
        <v>815</v>
      </c>
      <c r="F32237">
        <v>3.2797108534177497E-8</v>
      </c>
      <c r="G32237">
        <v>1575236</v>
      </c>
      <c r="H32237">
        <v>14244546</v>
      </c>
      <c r="I32237">
        <v>1471180</v>
      </c>
      <c r="J32237">
        <v>5</v>
      </c>
    </row>
    <row r="32238" spans="1:10" x14ac:dyDescent="0.25">
      <c r="A32238" t="s">
        <v>362</v>
      </c>
      <c r="B32238" s="1" t="str">
        <f>HYPERLINK("http://motorvillage.de","motorvillage.de")</f>
        <v>motorvillage.de</v>
      </c>
      <c r="C32238" t="s">
        <v>436</v>
      </c>
      <c r="D32238" t="s">
        <v>815</v>
      </c>
      <c r="F32238">
        <v>6.99249398388027E-9</v>
      </c>
      <c r="G32238">
        <v>12333927</v>
      </c>
      <c r="H32238">
        <v>12187476</v>
      </c>
      <c r="I32238">
        <v>23642481</v>
      </c>
      <c r="J32238">
        <v>5</v>
      </c>
    </row>
    <row r="32239" spans="1:10" x14ac:dyDescent="0.25">
      <c r="A32239" t="s">
        <v>362</v>
      </c>
      <c r="B32239" s="1" t="str">
        <f>HYPERLINK("http://opel.de","opel.de")</f>
        <v>opel.de</v>
      </c>
      <c r="C32239" t="s">
        <v>436</v>
      </c>
      <c r="D32239" t="s">
        <v>815</v>
      </c>
      <c r="E32239">
        <v>101923</v>
      </c>
      <c r="F32239">
        <v>8.8614296821947903E-7</v>
      </c>
      <c r="G32239">
        <v>45367</v>
      </c>
      <c r="H32239">
        <v>17192472</v>
      </c>
      <c r="I32239">
        <v>43165</v>
      </c>
      <c r="J32239">
        <v>3</v>
      </c>
    </row>
    <row r="32240" spans="1:10" x14ac:dyDescent="0.25">
      <c r="A32240" t="s">
        <v>362</v>
      </c>
      <c r="B32240" s="1" t="str">
        <f>HYPERLINK("http://opel-anke-oederan.de","opel-anke-oederan.de")</f>
        <v>opel-anke-oederan.de</v>
      </c>
      <c r="C32240" t="s">
        <v>436</v>
      </c>
      <c r="D32240" t="s">
        <v>815</v>
      </c>
      <c r="F32240">
        <v>4.44380395335525E-9</v>
      </c>
      <c r="G32240">
        <v>84482789</v>
      </c>
      <c r="H32240">
        <v>0</v>
      </c>
      <c r="I32240">
        <v>85543767</v>
      </c>
      <c r="J32240">
        <v>6</v>
      </c>
    </row>
    <row r="32241" spans="1:10" x14ac:dyDescent="0.25">
      <c r="A32241" t="s">
        <v>362</v>
      </c>
      <c r="B32241" s="1" t="str">
        <f>HYPERLINK("http://opel-auersberg-lichtenstein.de","opel-auersberg-lichtenstein.de")</f>
        <v>opel-auersberg-lichtenstein.de</v>
      </c>
      <c r="C32241" t="s">
        <v>436</v>
      </c>
      <c r="D32241" t="s">
        <v>815</v>
      </c>
      <c r="F32241">
        <v>5.0144864320947904E-9</v>
      </c>
      <c r="G32241">
        <v>29029780</v>
      </c>
      <c r="H32241">
        <v>9458400</v>
      </c>
      <c r="I32241">
        <v>66380411</v>
      </c>
      <c r="J32241">
        <v>6</v>
      </c>
    </row>
    <row r="32242" spans="1:10" x14ac:dyDescent="0.25">
      <c r="A32242" t="s">
        <v>362</v>
      </c>
      <c r="B32242" s="1" t="str">
        <f>HYPERLINK("http://opel-winter-nuernberg.de","opel-winter-nuernberg.de")</f>
        <v>opel-winter-nuernberg.de</v>
      </c>
      <c r="C32242" t="s">
        <v>436</v>
      </c>
      <c r="D32242" t="s">
        <v>815</v>
      </c>
      <c r="F32242">
        <v>8.9164785682529195E-9</v>
      </c>
      <c r="G32242">
        <v>8118852</v>
      </c>
      <c r="H32242">
        <v>8607602</v>
      </c>
      <c r="I32242">
        <v>70702404</v>
      </c>
      <c r="J32242">
        <v>5</v>
      </c>
    </row>
    <row r="32243" spans="1:10" x14ac:dyDescent="0.25">
      <c r="A32243" t="s">
        <v>362</v>
      </c>
      <c r="B32243" s="1" t="str">
        <f>HYPERLINK("http://peugeot.de","peugeot.de")</f>
        <v>peugeot.de</v>
      </c>
      <c r="C32243" t="s">
        <v>436</v>
      </c>
      <c r="D32243" t="s">
        <v>815</v>
      </c>
      <c r="E32243">
        <v>207296</v>
      </c>
      <c r="F32243">
        <v>5.4146042269348803E-7</v>
      </c>
      <c r="G32243">
        <v>71339</v>
      </c>
      <c r="H32243">
        <v>14566424</v>
      </c>
      <c r="I32243">
        <v>739642</v>
      </c>
      <c r="J32243">
        <v>4</v>
      </c>
    </row>
    <row r="32244" spans="1:10" x14ac:dyDescent="0.25">
      <c r="A32244" t="s">
        <v>362</v>
      </c>
      <c r="B32244" s="1" t="str">
        <f>HYPERLINK("http://alfaromeo.dk","alfaromeo.dk")</f>
        <v>alfaromeo.dk</v>
      </c>
      <c r="C32244" t="s">
        <v>437</v>
      </c>
      <c r="D32244" t="s">
        <v>816</v>
      </c>
      <c r="F32244">
        <v>1.23399869323097E-8</v>
      </c>
      <c r="G32244">
        <v>4972244</v>
      </c>
      <c r="H32244">
        <v>14074566</v>
      </c>
      <c r="I32244">
        <v>2938599</v>
      </c>
      <c r="J32244">
        <v>5</v>
      </c>
    </row>
    <row r="32245" spans="1:10" x14ac:dyDescent="0.25">
      <c r="A32245" t="s">
        <v>362</v>
      </c>
      <c r="B32245" s="1" t="str">
        <f>HYPERLINK("http://citroen.dk","citroen.dk")</f>
        <v>citroen.dk</v>
      </c>
      <c r="C32245" t="s">
        <v>437</v>
      </c>
      <c r="D32245" t="s">
        <v>816</v>
      </c>
      <c r="F32245">
        <v>6.9774604562959703E-8</v>
      </c>
      <c r="G32245">
        <v>607665</v>
      </c>
      <c r="H32245">
        <v>14379505</v>
      </c>
      <c r="I32245">
        <v>1198741</v>
      </c>
      <c r="J32245">
        <v>5</v>
      </c>
    </row>
    <row r="32246" spans="1:10" x14ac:dyDescent="0.25">
      <c r="A32246" t="s">
        <v>362</v>
      </c>
      <c r="B32246" s="1" t="str">
        <f>HYPERLINK("http://fcacapital.dk","fcacapital.dk")</f>
        <v>fcacapital.dk</v>
      </c>
      <c r="C32246" t="s">
        <v>437</v>
      </c>
      <c r="D32246" t="s">
        <v>816</v>
      </c>
      <c r="F32246">
        <v>2.3444649312043301E-8</v>
      </c>
      <c r="G32246">
        <v>2220745</v>
      </c>
      <c r="H32246">
        <v>11035393</v>
      </c>
      <c r="I32246">
        <v>32990237</v>
      </c>
      <c r="J32246">
        <v>5</v>
      </c>
    </row>
    <row r="32247" spans="1:10" x14ac:dyDescent="0.25">
      <c r="A32247" t="s">
        <v>362</v>
      </c>
      <c r="B32247" s="1" t="str">
        <f>HYPERLINK("http://fiat.dk","fiat.dk")</f>
        <v>fiat.dk</v>
      </c>
      <c r="C32247" t="s">
        <v>437</v>
      </c>
      <c r="D32247" t="s">
        <v>816</v>
      </c>
      <c r="F32247">
        <v>4.3103975639551898E-8</v>
      </c>
      <c r="G32247">
        <v>1114544</v>
      </c>
      <c r="H32247">
        <v>14239882</v>
      </c>
      <c r="I32247">
        <v>1506932</v>
      </c>
      <c r="J32247">
        <v>4</v>
      </c>
    </row>
    <row r="32248" spans="1:10" x14ac:dyDescent="0.25">
      <c r="A32248" t="s">
        <v>362</v>
      </c>
      <c r="B32248" s="1" t="str">
        <f>HYPERLINK("http://fiatprofessional.dk","fiatprofessional.dk")</f>
        <v>fiatprofessional.dk</v>
      </c>
      <c r="C32248" t="s">
        <v>437</v>
      </c>
      <c r="D32248" t="s">
        <v>816</v>
      </c>
      <c r="F32248">
        <v>9.4623231982885892E-9</v>
      </c>
      <c r="G32248">
        <v>7367916</v>
      </c>
      <c r="H32248">
        <v>14071798</v>
      </c>
      <c r="I32248">
        <v>3323778</v>
      </c>
      <c r="J32248">
        <v>5</v>
      </c>
    </row>
    <row r="32249" spans="1:10" x14ac:dyDescent="0.25">
      <c r="A32249" t="s">
        <v>362</v>
      </c>
      <c r="B32249" s="1" t="str">
        <f>HYPERLINK("http://opel.dk","opel.dk")</f>
        <v>opel.dk</v>
      </c>
      <c r="C32249" t="s">
        <v>437</v>
      </c>
      <c r="D32249" t="s">
        <v>816</v>
      </c>
      <c r="F32249">
        <v>3.9657415030918197E-8</v>
      </c>
      <c r="G32249">
        <v>1302292</v>
      </c>
      <c r="H32249">
        <v>14237282</v>
      </c>
      <c r="I32249">
        <v>1555006</v>
      </c>
      <c r="J32249">
        <v>4</v>
      </c>
    </row>
    <row r="32250" spans="1:10" x14ac:dyDescent="0.25">
      <c r="A32250" t="s">
        <v>362</v>
      </c>
      <c r="B32250" s="1" t="str">
        <f>HYPERLINK("http://citroen.com.do","citroen.com.do")</f>
        <v>citroen.com.do</v>
      </c>
      <c r="C32250" t="s">
        <v>438</v>
      </c>
      <c r="D32250" t="s">
        <v>817</v>
      </c>
      <c r="F32250">
        <v>1.03763381102111E-8</v>
      </c>
      <c r="G32250">
        <v>6380496</v>
      </c>
      <c r="H32250">
        <v>12089739</v>
      </c>
      <c r="I32250">
        <v>26258798</v>
      </c>
      <c r="J32250">
        <v>5</v>
      </c>
    </row>
    <row r="32251" spans="1:10" x14ac:dyDescent="0.25">
      <c r="A32251" t="s">
        <v>362</v>
      </c>
      <c r="B32251" s="1" t="str">
        <f>HYPERLINK("http://jeep.com.do","jeep.com.do")</f>
        <v>jeep.com.do</v>
      </c>
      <c r="C32251" t="s">
        <v>438</v>
      </c>
      <c r="D32251" t="s">
        <v>817</v>
      </c>
      <c r="F32251">
        <v>8.61120092954749E-9</v>
      </c>
      <c r="G32251">
        <v>8636394</v>
      </c>
      <c r="H32251">
        <v>10531346</v>
      </c>
      <c r="I32251">
        <v>48145025</v>
      </c>
      <c r="J32251">
        <v>6</v>
      </c>
    </row>
    <row r="32252" spans="1:10" x14ac:dyDescent="0.25">
      <c r="A32252" t="s">
        <v>362</v>
      </c>
      <c r="B32252" s="1" t="str">
        <f>HYPERLINK("http://citroen.dz","citroen.dz")</f>
        <v>citroen.dz</v>
      </c>
      <c r="C32252" t="s">
        <v>439</v>
      </c>
      <c r="D32252" t="s">
        <v>818</v>
      </c>
      <c r="F32252">
        <v>1.35380603991899E-8</v>
      </c>
      <c r="G32252">
        <v>4387981</v>
      </c>
      <c r="H32252">
        <v>12143958</v>
      </c>
      <c r="I32252">
        <v>24783109</v>
      </c>
      <c r="J32252">
        <v>5</v>
      </c>
    </row>
    <row r="32253" spans="1:10" x14ac:dyDescent="0.25">
      <c r="A32253" t="s">
        <v>362</v>
      </c>
      <c r="B32253" s="1" t="str">
        <f>HYPERLINK("http://peugeot.dz","peugeot.dz")</f>
        <v>peugeot.dz</v>
      </c>
      <c r="C32253" t="s">
        <v>439</v>
      </c>
      <c r="D32253" t="s">
        <v>818</v>
      </c>
      <c r="F32253">
        <v>2.0879744779375201E-8</v>
      </c>
      <c r="G32253">
        <v>2532095</v>
      </c>
      <c r="H32253">
        <v>11248358</v>
      </c>
      <c r="I32253">
        <v>30908009</v>
      </c>
      <c r="J32253">
        <v>5</v>
      </c>
    </row>
    <row r="32254" spans="1:10" x14ac:dyDescent="0.25">
      <c r="A32254" t="s">
        <v>362</v>
      </c>
      <c r="B32254" s="1" t="str">
        <f>HYPERLINK("http://citroen.com.ec","citroen.com.ec")</f>
        <v>citroen.com.ec</v>
      </c>
      <c r="C32254" t="s">
        <v>440</v>
      </c>
      <c r="D32254" t="s">
        <v>819</v>
      </c>
      <c r="F32254">
        <v>8.5164337796069895E-9</v>
      </c>
      <c r="G32254">
        <v>8814572</v>
      </c>
      <c r="H32254">
        <v>13764271</v>
      </c>
      <c r="I32254">
        <v>7312780</v>
      </c>
      <c r="J32254">
        <v>5</v>
      </c>
    </row>
    <row r="32255" spans="1:10" x14ac:dyDescent="0.25">
      <c r="A32255" t="s">
        <v>362</v>
      </c>
      <c r="B32255" s="1" t="str">
        <f>HYPERLINK("http://opel.com.ec","opel.com.ec")</f>
        <v>opel.com.ec</v>
      </c>
      <c r="C32255" t="s">
        <v>440</v>
      </c>
      <c r="D32255" t="s">
        <v>819</v>
      </c>
      <c r="F32255">
        <v>9.4127191627385701E-9</v>
      </c>
      <c r="G32255">
        <v>7428612</v>
      </c>
      <c r="H32255">
        <v>11326498</v>
      </c>
      <c r="I32255">
        <v>30477755</v>
      </c>
      <c r="J32255">
        <v>4</v>
      </c>
    </row>
    <row r="32256" spans="1:10" x14ac:dyDescent="0.25">
      <c r="A32256" t="s">
        <v>362</v>
      </c>
      <c r="B32256" s="1" t="str">
        <f>HYPERLINK("http://fiat.ec","fiat.ec")</f>
        <v>fiat.ec</v>
      </c>
      <c r="C32256" t="s">
        <v>440</v>
      </c>
      <c r="D32256" t="s">
        <v>819</v>
      </c>
      <c r="F32256">
        <v>9.27243205388534E-9</v>
      </c>
      <c r="G32256">
        <v>7608568</v>
      </c>
      <c r="H32256">
        <v>12185136</v>
      </c>
      <c r="I32256">
        <v>23693870</v>
      </c>
      <c r="J32256">
        <v>5</v>
      </c>
    </row>
    <row r="32257" spans="1:10" x14ac:dyDescent="0.25">
      <c r="A32257" t="s">
        <v>362</v>
      </c>
      <c r="B32257" s="1" t="str">
        <f>HYPERLINK("http://alfaromeo.ee","alfaromeo.ee")</f>
        <v>alfaromeo.ee</v>
      </c>
      <c r="C32257" t="s">
        <v>441</v>
      </c>
      <c r="D32257" t="s">
        <v>820</v>
      </c>
      <c r="F32257">
        <v>9.28845171481033E-9</v>
      </c>
      <c r="G32257">
        <v>7587724</v>
      </c>
      <c r="H32257">
        <v>12203256</v>
      </c>
      <c r="I32257">
        <v>23237958</v>
      </c>
      <c r="J32257">
        <v>5</v>
      </c>
    </row>
    <row r="32258" spans="1:10" x14ac:dyDescent="0.25">
      <c r="A32258" t="s">
        <v>362</v>
      </c>
      <c r="B32258" s="1" t="str">
        <f>HYPERLINK("http://citroen.ee","citroen.ee")</f>
        <v>citroen.ee</v>
      </c>
      <c r="C32258" t="s">
        <v>441</v>
      </c>
      <c r="D32258" t="s">
        <v>820</v>
      </c>
      <c r="F32258">
        <v>5.77391384111743E-8</v>
      </c>
      <c r="G32258">
        <v>771619</v>
      </c>
      <c r="H32258">
        <v>16751217</v>
      </c>
      <c r="I32258">
        <v>268454</v>
      </c>
      <c r="J32258">
        <v>5</v>
      </c>
    </row>
    <row r="32259" spans="1:10" x14ac:dyDescent="0.25">
      <c r="A32259" t="s">
        <v>362</v>
      </c>
      <c r="B32259" s="1" t="str">
        <f>HYPERLINK("http://fiat.ee","fiat.ee")</f>
        <v>fiat.ee</v>
      </c>
      <c r="C32259" t="s">
        <v>441</v>
      </c>
      <c r="D32259" t="s">
        <v>820</v>
      </c>
      <c r="F32259">
        <v>1.0741342005487E-8</v>
      </c>
      <c r="G32259">
        <v>6066875</v>
      </c>
      <c r="H32259">
        <v>12185407</v>
      </c>
      <c r="I32259">
        <v>23685964</v>
      </c>
      <c r="J32259">
        <v>5</v>
      </c>
    </row>
    <row r="32260" spans="1:10" x14ac:dyDescent="0.25">
      <c r="A32260" t="s">
        <v>362</v>
      </c>
      <c r="B32260" s="1" t="str">
        <f>HYPERLINK("http://opel.ee","opel.ee")</f>
        <v>opel.ee</v>
      </c>
      <c r="C32260" t="s">
        <v>441</v>
      </c>
      <c r="D32260" t="s">
        <v>820</v>
      </c>
      <c r="F32260">
        <v>2.2277994607924699E-8</v>
      </c>
      <c r="G32260">
        <v>2353531</v>
      </c>
      <c r="H32260">
        <v>14074042</v>
      </c>
      <c r="I32260">
        <v>2959044</v>
      </c>
      <c r="J32260">
        <v>4</v>
      </c>
    </row>
    <row r="32261" spans="1:10" x14ac:dyDescent="0.25">
      <c r="A32261" t="s">
        <v>362</v>
      </c>
      <c r="B32261" s="1" t="str">
        <f>HYPERLINK("http://peugeot.ee","peugeot.ee")</f>
        <v>peugeot.ee</v>
      </c>
      <c r="C32261" t="s">
        <v>441</v>
      </c>
      <c r="D32261" t="s">
        <v>820</v>
      </c>
      <c r="F32261">
        <v>2.4261116396995401E-8</v>
      </c>
      <c r="G32261">
        <v>2137476</v>
      </c>
      <c r="H32261">
        <v>13765588</v>
      </c>
      <c r="I32261">
        <v>7086923</v>
      </c>
      <c r="J32261">
        <v>5</v>
      </c>
    </row>
    <row r="32262" spans="1:10" x14ac:dyDescent="0.25">
      <c r="A32262" t="s">
        <v>362</v>
      </c>
      <c r="B32262" s="1" t="str">
        <f>HYPERLINK("http://uscar.ee","uscar.ee")</f>
        <v>uscar.ee</v>
      </c>
      <c r="C32262" t="s">
        <v>441</v>
      </c>
      <c r="D32262" t="s">
        <v>820</v>
      </c>
      <c r="F32262">
        <v>2.0196649851407399E-8</v>
      </c>
      <c r="G32262">
        <v>2629535</v>
      </c>
      <c r="H32262">
        <v>12192558</v>
      </c>
      <c r="I32262">
        <v>23522251</v>
      </c>
      <c r="J32262">
        <v>5</v>
      </c>
    </row>
    <row r="32263" spans="1:10" x14ac:dyDescent="0.25">
      <c r="A32263" t="s">
        <v>362</v>
      </c>
      <c r="B32263" s="1" t="str">
        <f>HYPERLINK("http://fiat.com.eg","fiat.com.eg")</f>
        <v>fiat.com.eg</v>
      </c>
      <c r="C32263" t="s">
        <v>442</v>
      </c>
      <c r="D32263" t="s">
        <v>821</v>
      </c>
      <c r="F32263">
        <v>1.2187574416108799E-8</v>
      </c>
      <c r="G32263">
        <v>5057803</v>
      </c>
      <c r="H32263">
        <v>12452911</v>
      </c>
      <c r="I32263">
        <v>17961831</v>
      </c>
      <c r="J32263">
        <v>5</v>
      </c>
    </row>
    <row r="32264" spans="1:10" x14ac:dyDescent="0.25">
      <c r="A32264" t="s">
        <v>362</v>
      </c>
      <c r="B32264" s="1" t="str">
        <f>HYPERLINK("http://jeep.com.eg","jeep.com.eg")</f>
        <v>jeep.com.eg</v>
      </c>
      <c r="C32264" t="s">
        <v>442</v>
      </c>
      <c r="D32264" t="s">
        <v>821</v>
      </c>
      <c r="F32264">
        <v>4.40395304487957E-8</v>
      </c>
      <c r="G32264">
        <v>1080281</v>
      </c>
      <c r="H32264">
        <v>12384626</v>
      </c>
      <c r="I32264">
        <v>19128445</v>
      </c>
      <c r="J32264">
        <v>5</v>
      </c>
    </row>
    <row r="32265" spans="1:10" x14ac:dyDescent="0.25">
      <c r="A32265" t="s">
        <v>362</v>
      </c>
      <c r="B32265" s="1" t="str">
        <f>HYPERLINK("http://abarth.es","abarth.es")</f>
        <v>abarth.es</v>
      </c>
      <c r="C32265" t="s">
        <v>443</v>
      </c>
      <c r="D32265" t="s">
        <v>822</v>
      </c>
      <c r="F32265">
        <v>3.1840184094685603E-8</v>
      </c>
      <c r="G32265">
        <v>1622204</v>
      </c>
      <c r="H32265">
        <v>13157733</v>
      </c>
      <c r="I32265">
        <v>11795582</v>
      </c>
      <c r="J32265">
        <v>5</v>
      </c>
    </row>
    <row r="32266" spans="1:10" x14ac:dyDescent="0.25">
      <c r="A32266" t="s">
        <v>362</v>
      </c>
      <c r="B32266" s="1" t="str">
        <f>HYPERLINK("http://alfaromeo.es","alfaromeo.es")</f>
        <v>alfaromeo.es</v>
      </c>
      <c r="C32266" t="s">
        <v>443</v>
      </c>
      <c r="D32266" t="s">
        <v>822</v>
      </c>
      <c r="F32266">
        <v>3.93615066058801E-8</v>
      </c>
      <c r="G32266">
        <v>1311112</v>
      </c>
      <c r="H32266">
        <v>14339101</v>
      </c>
      <c r="I32266">
        <v>1317250</v>
      </c>
      <c r="J32266">
        <v>5</v>
      </c>
    </row>
    <row r="32267" spans="1:10" x14ac:dyDescent="0.25">
      <c r="A32267" t="s">
        <v>362</v>
      </c>
      <c r="B32267" s="1" t="str">
        <f>HYPERLINK("http://citroen.es","citroen.es")</f>
        <v>citroen.es</v>
      </c>
      <c r="C32267" t="s">
        <v>443</v>
      </c>
      <c r="D32267" t="s">
        <v>822</v>
      </c>
      <c r="E32267">
        <v>233129</v>
      </c>
      <c r="F32267">
        <v>1.8700729151864899E-7</v>
      </c>
      <c r="G32267">
        <v>206058</v>
      </c>
      <c r="H32267">
        <v>14513545</v>
      </c>
      <c r="I32267">
        <v>816999</v>
      </c>
      <c r="J32267">
        <v>5</v>
      </c>
    </row>
    <row r="32268" spans="1:10" x14ac:dyDescent="0.25">
      <c r="A32268" t="s">
        <v>362</v>
      </c>
      <c r="B32268" s="1" t="str">
        <f>HYPERLINK("http://dsautomobiles.es","dsautomobiles.es")</f>
        <v>dsautomobiles.es</v>
      </c>
      <c r="C32268" t="s">
        <v>443</v>
      </c>
      <c r="D32268" t="s">
        <v>822</v>
      </c>
      <c r="F32268">
        <v>6.5568353600487496E-8</v>
      </c>
      <c r="G32268">
        <v>655579</v>
      </c>
      <c r="H32268">
        <v>14073817</v>
      </c>
      <c r="I32268">
        <v>2970224</v>
      </c>
      <c r="J32268">
        <v>5</v>
      </c>
    </row>
    <row r="32269" spans="1:10" x14ac:dyDescent="0.25">
      <c r="A32269" t="s">
        <v>362</v>
      </c>
      <c r="B32269" s="1" t="str">
        <f>HYPERLINK("http://fiat.es","fiat.es")</f>
        <v>fiat.es</v>
      </c>
      <c r="C32269" t="s">
        <v>443</v>
      </c>
      <c r="D32269" t="s">
        <v>822</v>
      </c>
      <c r="E32269">
        <v>504318</v>
      </c>
      <c r="F32269">
        <v>6.9275990470060598E-8</v>
      </c>
      <c r="G32269">
        <v>613160</v>
      </c>
      <c r="H32269">
        <v>14213159</v>
      </c>
      <c r="I32269">
        <v>1698103</v>
      </c>
      <c r="J32269">
        <v>3</v>
      </c>
    </row>
    <row r="32270" spans="1:10" x14ac:dyDescent="0.25">
      <c r="A32270" t="s">
        <v>362</v>
      </c>
      <c r="B32270" s="1" t="str">
        <f>HYPERLINK("http://fiatprofessional.es","fiatprofessional.es")</f>
        <v>fiatprofessional.es</v>
      </c>
      <c r="C32270" t="s">
        <v>443</v>
      </c>
      <c r="D32270" t="s">
        <v>822</v>
      </c>
      <c r="F32270">
        <v>1.13988621822653E-8</v>
      </c>
      <c r="G32270">
        <v>5575102</v>
      </c>
      <c r="H32270">
        <v>12866700</v>
      </c>
      <c r="I32270">
        <v>14144319</v>
      </c>
      <c r="J32270">
        <v>5</v>
      </c>
    </row>
    <row r="32271" spans="1:10" x14ac:dyDescent="0.25">
      <c r="A32271" t="s">
        <v>362</v>
      </c>
      <c r="B32271" s="1" t="str">
        <f>HYPERLINK("http://jeep.es","jeep.es")</f>
        <v>jeep.es</v>
      </c>
      <c r="C32271" t="s">
        <v>443</v>
      </c>
      <c r="D32271" t="s">
        <v>822</v>
      </c>
      <c r="E32271">
        <v>755194</v>
      </c>
      <c r="F32271">
        <v>7.6567338393683598E-8</v>
      </c>
      <c r="G32271">
        <v>547675</v>
      </c>
      <c r="H32271">
        <v>14140386</v>
      </c>
      <c r="I32271">
        <v>1934072</v>
      </c>
      <c r="J32271">
        <v>5</v>
      </c>
    </row>
    <row r="32272" spans="1:10" x14ac:dyDescent="0.25">
      <c r="A32272" t="s">
        <v>362</v>
      </c>
      <c r="B32272" s="1" t="str">
        <f>HYPERLINK("http://maserati.es","maserati.es")</f>
        <v>maserati.es</v>
      </c>
      <c r="C32272" t="s">
        <v>443</v>
      </c>
      <c r="D32272" t="s">
        <v>822</v>
      </c>
      <c r="F32272">
        <v>1.8052778527596201E-8</v>
      </c>
      <c r="G32272">
        <v>3019701</v>
      </c>
      <c r="H32272">
        <v>14384053</v>
      </c>
      <c r="I32272">
        <v>1183754</v>
      </c>
      <c r="J32272">
        <v>5</v>
      </c>
    </row>
    <row r="32273" spans="1:10" x14ac:dyDescent="0.25">
      <c r="A32273" t="s">
        <v>362</v>
      </c>
      <c r="B32273" s="1" t="str">
        <f>HYPERLINK("http://opel.es","opel.es")</f>
        <v>opel.es</v>
      </c>
      <c r="C32273" t="s">
        <v>443</v>
      </c>
      <c r="D32273" t="s">
        <v>822</v>
      </c>
      <c r="E32273">
        <v>346685</v>
      </c>
      <c r="F32273">
        <v>2.8818588598359E-7</v>
      </c>
      <c r="G32273">
        <v>129020</v>
      </c>
      <c r="H32273">
        <v>14724353</v>
      </c>
      <c r="I32273">
        <v>576124</v>
      </c>
      <c r="J32273">
        <v>4</v>
      </c>
    </row>
    <row r="32274" spans="1:10" x14ac:dyDescent="0.25">
      <c r="A32274" t="s">
        <v>362</v>
      </c>
      <c r="B32274" s="1" t="str">
        <f>HYPERLINK("http://peugeot.es","peugeot.es")</f>
        <v>peugeot.es</v>
      </c>
      <c r="C32274" t="s">
        <v>443</v>
      </c>
      <c r="D32274" t="s">
        <v>822</v>
      </c>
      <c r="E32274">
        <v>251665</v>
      </c>
      <c r="F32274">
        <v>1.8733532106981601E-7</v>
      </c>
      <c r="G32274">
        <v>205708</v>
      </c>
      <c r="H32274">
        <v>14597688</v>
      </c>
      <c r="I32274">
        <v>688365</v>
      </c>
      <c r="J32274">
        <v>4</v>
      </c>
    </row>
    <row r="32275" spans="1:10" x14ac:dyDescent="0.25">
      <c r="A32275" t="s">
        <v>362</v>
      </c>
      <c r="B32275" s="1" t="str">
        <f>HYPERLINK("http://homologationfca.eu","homologationfca.eu")</f>
        <v>homologationfca.eu</v>
      </c>
      <c r="C32275" t="s">
        <v>444</v>
      </c>
      <c r="F32275">
        <v>2.8596936225905901E-8</v>
      </c>
      <c r="G32275">
        <v>1799502</v>
      </c>
      <c r="H32275">
        <v>12220389</v>
      </c>
      <c r="I32275">
        <v>22780069</v>
      </c>
      <c r="J32275">
        <v>5</v>
      </c>
    </row>
    <row r="32276" spans="1:10" x14ac:dyDescent="0.25">
      <c r="A32276" t="s">
        <v>362</v>
      </c>
      <c r="B32276" s="1" t="str">
        <f>HYPERLINK("http://4xe.fi","4xe.fi")</f>
        <v>4xe.fi</v>
      </c>
      <c r="C32276" t="s">
        <v>445</v>
      </c>
      <c r="D32276" t="s">
        <v>823</v>
      </c>
      <c r="J32276">
        <v>5</v>
      </c>
    </row>
    <row r="32277" spans="1:10" x14ac:dyDescent="0.25">
      <c r="A32277" t="s">
        <v>362</v>
      </c>
      <c r="B32277" s="1" t="str">
        <f>HYPERLINK("http://alfaromeo.fi","alfaromeo.fi")</f>
        <v>alfaromeo.fi</v>
      </c>
      <c r="C32277" t="s">
        <v>445</v>
      </c>
      <c r="D32277" t="s">
        <v>823</v>
      </c>
      <c r="F32277">
        <v>9.7754138282829804E-9</v>
      </c>
      <c r="G32277">
        <v>6995406</v>
      </c>
      <c r="H32277">
        <v>14071987</v>
      </c>
      <c r="I32277">
        <v>3198838</v>
      </c>
      <c r="J32277">
        <v>5</v>
      </c>
    </row>
    <row r="32278" spans="1:10" x14ac:dyDescent="0.25">
      <c r="A32278" t="s">
        <v>362</v>
      </c>
      <c r="B32278" s="1" t="str">
        <f>HYPERLINK("http://alfaromeogta.fi","alfaromeogta.fi")</f>
        <v>alfaromeogta.fi</v>
      </c>
      <c r="C32278" t="s">
        <v>445</v>
      </c>
      <c r="D32278" t="s">
        <v>823</v>
      </c>
      <c r="J32278">
        <v>5</v>
      </c>
    </row>
    <row r="32279" spans="1:10" x14ac:dyDescent="0.25">
      <c r="A32279" t="s">
        <v>362</v>
      </c>
      <c r="B32279" s="1" t="str">
        <f>HYPERLINK("http://alfaromeotonale.fi","alfaromeotonale.fi")</f>
        <v>alfaromeotonale.fi</v>
      </c>
      <c r="C32279" t="s">
        <v>445</v>
      </c>
      <c r="D32279" t="s">
        <v>823</v>
      </c>
      <c r="J32279">
        <v>5</v>
      </c>
    </row>
    <row r="32280" spans="1:10" x14ac:dyDescent="0.25">
      <c r="A32280" t="s">
        <v>362</v>
      </c>
      <c r="B32280" s="1" t="str">
        <f>HYPERLINK("http://alfatonale.fi","alfatonale.fi")</f>
        <v>alfatonale.fi</v>
      </c>
      <c r="C32280" t="s">
        <v>445</v>
      </c>
      <c r="D32280" t="s">
        <v>823</v>
      </c>
      <c r="J32280">
        <v>5</v>
      </c>
    </row>
    <row r="32281" spans="1:10" x14ac:dyDescent="0.25">
      <c r="A32281" t="s">
        <v>362</v>
      </c>
      <c r="B32281" s="1" t="str">
        <f>HYPERLINK("http://bproauto.fi","bproauto.fi")</f>
        <v>bproauto.fi</v>
      </c>
      <c r="C32281" t="s">
        <v>445</v>
      </c>
      <c r="D32281" t="s">
        <v>823</v>
      </c>
      <c r="J32281">
        <v>2</v>
      </c>
    </row>
    <row r="32282" spans="1:10" x14ac:dyDescent="0.25">
      <c r="A32282" t="s">
        <v>362</v>
      </c>
      <c r="B32282" s="1" t="str">
        <f>HYPERLINK("http://ca-autoassurance.fi","ca-autoassurance.fi")</f>
        <v>ca-autoassurance.fi</v>
      </c>
      <c r="C32282" t="s">
        <v>445</v>
      </c>
      <c r="D32282" t="s">
        <v>823</v>
      </c>
      <c r="J32282">
        <v>8</v>
      </c>
    </row>
    <row r="32283" spans="1:10" x14ac:dyDescent="0.25">
      <c r="A32283" t="s">
        <v>362</v>
      </c>
      <c r="B32283" s="1" t="str">
        <f>HYPERLINK("http://ca-autobank.fi","ca-autobank.fi")</f>
        <v>ca-autobank.fi</v>
      </c>
      <c r="C32283" t="s">
        <v>445</v>
      </c>
      <c r="D32283" t="s">
        <v>823</v>
      </c>
      <c r="J32283">
        <v>8</v>
      </c>
    </row>
    <row r="32284" spans="1:10" x14ac:dyDescent="0.25">
      <c r="A32284" t="s">
        <v>362</v>
      </c>
      <c r="B32284" s="1" t="str">
        <f>HYPERLINK("http://ca-autofinance.fi","ca-autofinance.fi")</f>
        <v>ca-autofinance.fi</v>
      </c>
      <c r="C32284" t="s">
        <v>445</v>
      </c>
      <c r="D32284" t="s">
        <v>823</v>
      </c>
      <c r="J32284">
        <v>8</v>
      </c>
    </row>
    <row r="32285" spans="1:10" x14ac:dyDescent="0.25">
      <c r="A32285" t="s">
        <v>362</v>
      </c>
      <c r="B32285" s="1" t="str">
        <f>HYPERLINK("http://ca-autolease.fi","ca-autolease.fi")</f>
        <v>ca-autolease.fi</v>
      </c>
      <c r="C32285" t="s">
        <v>445</v>
      </c>
      <c r="D32285" t="s">
        <v>823</v>
      </c>
      <c r="J32285">
        <v>8</v>
      </c>
    </row>
    <row r="32286" spans="1:10" x14ac:dyDescent="0.25">
      <c r="A32286" t="s">
        <v>362</v>
      </c>
      <c r="B32286" s="1" t="str">
        <f>HYPERLINK("http://ca-automotivebank.fi","ca-automotivebank.fi")</f>
        <v>ca-automotivebank.fi</v>
      </c>
      <c r="C32286" t="s">
        <v>445</v>
      </c>
      <c r="D32286" t="s">
        <v>823</v>
      </c>
      <c r="J32286">
        <v>8</v>
      </c>
    </row>
    <row r="32287" spans="1:10" x14ac:dyDescent="0.25">
      <c r="A32287" t="s">
        <v>362</v>
      </c>
      <c r="B32287" s="1" t="str">
        <f>HYPERLINK("http://ca-automotivefinance.fi","ca-automotivefinance.fi")</f>
        <v>ca-automotivefinance.fi</v>
      </c>
      <c r="C32287" t="s">
        <v>445</v>
      </c>
      <c r="D32287" t="s">
        <v>823</v>
      </c>
      <c r="J32287">
        <v>8</v>
      </c>
    </row>
    <row r="32288" spans="1:10" x14ac:dyDescent="0.25">
      <c r="A32288" t="s">
        <v>362</v>
      </c>
      <c r="B32288" s="1" t="str">
        <f>HYPERLINK("http://ca-automotiveinsurance.fi","ca-automotiveinsurance.fi")</f>
        <v>ca-automotiveinsurance.fi</v>
      </c>
      <c r="C32288" t="s">
        <v>445</v>
      </c>
      <c r="D32288" t="s">
        <v>823</v>
      </c>
      <c r="J32288">
        <v>8</v>
      </c>
    </row>
    <row r="32289" spans="1:10" x14ac:dyDescent="0.25">
      <c r="A32289" t="s">
        <v>362</v>
      </c>
      <c r="B32289" s="1" t="str">
        <f>HYPERLINK("http://ca-automotivelease.fi","ca-automotivelease.fi")</f>
        <v>ca-automotivelease.fi</v>
      </c>
      <c r="C32289" t="s">
        <v>445</v>
      </c>
      <c r="D32289" t="s">
        <v>823</v>
      </c>
      <c r="J32289">
        <v>8</v>
      </c>
    </row>
    <row r="32290" spans="1:10" x14ac:dyDescent="0.25">
      <c r="A32290" t="s">
        <v>362</v>
      </c>
      <c r="B32290" s="1" t="str">
        <f>HYPERLINK("http://ca-automotiverent.fi","ca-automotiverent.fi")</f>
        <v>ca-automotiverent.fi</v>
      </c>
      <c r="C32290" t="s">
        <v>445</v>
      </c>
      <c r="D32290" t="s">
        <v>823</v>
      </c>
      <c r="J32290">
        <v>8</v>
      </c>
    </row>
    <row r="32291" spans="1:10" x14ac:dyDescent="0.25">
      <c r="A32291" t="s">
        <v>362</v>
      </c>
      <c r="B32291" s="1" t="str">
        <f>HYPERLINK("http://ca-autoreinsurance.fi","ca-autoreinsurance.fi")</f>
        <v>ca-autoreinsurance.fi</v>
      </c>
      <c r="C32291" t="s">
        <v>445</v>
      </c>
      <c r="D32291" t="s">
        <v>823</v>
      </c>
      <c r="J32291">
        <v>8</v>
      </c>
    </row>
    <row r="32292" spans="1:10" x14ac:dyDescent="0.25">
      <c r="A32292" t="s">
        <v>362</v>
      </c>
      <c r="B32292" s="1" t="str">
        <f>HYPERLINK("http://ca-autorent.fi","ca-autorent.fi")</f>
        <v>ca-autorent.fi</v>
      </c>
      <c r="C32292" t="s">
        <v>445</v>
      </c>
      <c r="D32292" t="s">
        <v>823</v>
      </c>
      <c r="J32292">
        <v>8</v>
      </c>
    </row>
    <row r="32293" spans="1:10" x14ac:dyDescent="0.25">
      <c r="A32293" t="s">
        <v>362</v>
      </c>
      <c r="B32293" s="1" t="str">
        <f>HYPERLINK("http://ca-mobilitybank.fi","ca-mobilitybank.fi")</f>
        <v>ca-mobilitybank.fi</v>
      </c>
      <c r="C32293" t="s">
        <v>445</v>
      </c>
      <c r="D32293" t="s">
        <v>823</v>
      </c>
      <c r="J32293">
        <v>8</v>
      </c>
    </row>
    <row r="32294" spans="1:10" x14ac:dyDescent="0.25">
      <c r="A32294" t="s">
        <v>362</v>
      </c>
      <c r="B32294" s="1" t="str">
        <f>HYPERLINK("http://caautoassurance.fi","caautoassurance.fi")</f>
        <v>caautoassurance.fi</v>
      </c>
      <c r="C32294" t="s">
        <v>445</v>
      </c>
      <c r="D32294" t="s">
        <v>823</v>
      </c>
      <c r="J32294">
        <v>8</v>
      </c>
    </row>
    <row r="32295" spans="1:10" x14ac:dyDescent="0.25">
      <c r="A32295" t="s">
        <v>362</v>
      </c>
      <c r="B32295" s="1" t="str">
        <f>HYPERLINK("http://caautobank.fi","caautobank.fi")</f>
        <v>caautobank.fi</v>
      </c>
      <c r="C32295" t="s">
        <v>445</v>
      </c>
      <c r="D32295" t="s">
        <v>823</v>
      </c>
      <c r="J32295">
        <v>8</v>
      </c>
    </row>
    <row r="32296" spans="1:10" x14ac:dyDescent="0.25">
      <c r="A32296" t="s">
        <v>362</v>
      </c>
      <c r="B32296" s="1" t="str">
        <f>HYPERLINK("http://caautofinance.fi","caautofinance.fi")</f>
        <v>caautofinance.fi</v>
      </c>
      <c r="C32296" t="s">
        <v>445</v>
      </c>
      <c r="D32296" t="s">
        <v>823</v>
      </c>
      <c r="J32296">
        <v>8</v>
      </c>
    </row>
    <row r="32297" spans="1:10" x14ac:dyDescent="0.25">
      <c r="A32297" t="s">
        <v>362</v>
      </c>
      <c r="B32297" s="1" t="str">
        <f>HYPERLINK("http://caautolease.fi","caautolease.fi")</f>
        <v>caautolease.fi</v>
      </c>
      <c r="C32297" t="s">
        <v>445</v>
      </c>
      <c r="D32297" t="s">
        <v>823</v>
      </c>
      <c r="J32297">
        <v>8</v>
      </c>
    </row>
    <row r="32298" spans="1:10" x14ac:dyDescent="0.25">
      <c r="A32298" t="s">
        <v>362</v>
      </c>
      <c r="B32298" s="1" t="str">
        <f>HYPERLINK("http://caautomotivebank.fi","caautomotivebank.fi")</f>
        <v>caautomotivebank.fi</v>
      </c>
      <c r="C32298" t="s">
        <v>445</v>
      </c>
      <c r="D32298" t="s">
        <v>823</v>
      </c>
      <c r="J32298">
        <v>8</v>
      </c>
    </row>
    <row r="32299" spans="1:10" x14ac:dyDescent="0.25">
      <c r="A32299" t="s">
        <v>362</v>
      </c>
      <c r="B32299" s="1" t="str">
        <f>HYPERLINK("http://caautomotivefinance.fi","caautomotivefinance.fi")</f>
        <v>caautomotivefinance.fi</v>
      </c>
      <c r="C32299" t="s">
        <v>445</v>
      </c>
      <c r="D32299" t="s">
        <v>823</v>
      </c>
      <c r="J32299">
        <v>8</v>
      </c>
    </row>
    <row r="32300" spans="1:10" x14ac:dyDescent="0.25">
      <c r="A32300" t="s">
        <v>362</v>
      </c>
      <c r="B32300" s="1" t="str">
        <f>HYPERLINK("http://caautomotiveinsurance.fi","caautomotiveinsurance.fi")</f>
        <v>caautomotiveinsurance.fi</v>
      </c>
      <c r="C32300" t="s">
        <v>445</v>
      </c>
      <c r="D32300" t="s">
        <v>823</v>
      </c>
      <c r="J32300">
        <v>8</v>
      </c>
    </row>
    <row r="32301" spans="1:10" x14ac:dyDescent="0.25">
      <c r="A32301" t="s">
        <v>362</v>
      </c>
      <c r="B32301" s="1" t="str">
        <f>HYPERLINK("http://caautomotivelease.fi","caautomotivelease.fi")</f>
        <v>caautomotivelease.fi</v>
      </c>
      <c r="C32301" t="s">
        <v>445</v>
      </c>
      <c r="D32301" t="s">
        <v>823</v>
      </c>
      <c r="J32301">
        <v>8</v>
      </c>
    </row>
    <row r="32302" spans="1:10" x14ac:dyDescent="0.25">
      <c r="A32302" t="s">
        <v>362</v>
      </c>
      <c r="B32302" s="1" t="str">
        <f>HYPERLINK("http://caautomotiverent.fi","caautomotiverent.fi")</f>
        <v>caautomotiverent.fi</v>
      </c>
      <c r="C32302" t="s">
        <v>445</v>
      </c>
      <c r="D32302" t="s">
        <v>823</v>
      </c>
      <c r="J32302">
        <v>8</v>
      </c>
    </row>
    <row r="32303" spans="1:10" x14ac:dyDescent="0.25">
      <c r="A32303" t="s">
        <v>362</v>
      </c>
      <c r="B32303" s="1" t="str">
        <f>HYPERLINK("http://caautoreinsurance.fi","caautoreinsurance.fi")</f>
        <v>caautoreinsurance.fi</v>
      </c>
      <c r="C32303" t="s">
        <v>445</v>
      </c>
      <c r="D32303" t="s">
        <v>823</v>
      </c>
      <c r="J32303">
        <v>8</v>
      </c>
    </row>
    <row r="32304" spans="1:10" x14ac:dyDescent="0.25">
      <c r="A32304" t="s">
        <v>362</v>
      </c>
      <c r="B32304" s="1" t="str">
        <f>HYPERLINK("http://caautorent.fi","caautorent.fi")</f>
        <v>caautorent.fi</v>
      </c>
      <c r="C32304" t="s">
        <v>445</v>
      </c>
      <c r="D32304" t="s">
        <v>823</v>
      </c>
      <c r="J32304">
        <v>8</v>
      </c>
    </row>
    <row r="32305" spans="1:10" x14ac:dyDescent="0.25">
      <c r="A32305" t="s">
        <v>362</v>
      </c>
      <c r="B32305" s="1" t="str">
        <f>HYPERLINK("http://camobilitybank.fi","camobilitybank.fi")</f>
        <v>camobilitybank.fi</v>
      </c>
      <c r="C32305" t="s">
        <v>445</v>
      </c>
      <c r="D32305" t="s">
        <v>823</v>
      </c>
      <c r="J32305">
        <v>8</v>
      </c>
    </row>
    <row r="32306" spans="1:10" x14ac:dyDescent="0.25">
      <c r="A32306" t="s">
        <v>362</v>
      </c>
      <c r="B32306" s="1" t="str">
        <f>HYPERLINK("http://chrysler.fi","chrysler.fi")</f>
        <v>chrysler.fi</v>
      </c>
      <c r="C32306" t="s">
        <v>445</v>
      </c>
      <c r="D32306" t="s">
        <v>823</v>
      </c>
      <c r="F32306">
        <v>6.8632259839343799E-9</v>
      </c>
      <c r="G32306">
        <v>12750701</v>
      </c>
      <c r="H32306">
        <v>12073055</v>
      </c>
      <c r="I32306">
        <v>26728619</v>
      </c>
      <c r="J32306">
        <v>3</v>
      </c>
    </row>
    <row r="32307" spans="1:10" x14ac:dyDescent="0.25">
      <c r="A32307" t="s">
        <v>362</v>
      </c>
      <c r="B32307" s="1" t="str">
        <f>HYPERLINK("http://citroen.fi","citroen.fi")</f>
        <v>citroen.fi</v>
      </c>
      <c r="C32307" t="s">
        <v>445</v>
      </c>
      <c r="D32307" t="s">
        <v>823</v>
      </c>
      <c r="F32307">
        <v>3.4172340553227399E-8</v>
      </c>
      <c r="G32307">
        <v>1516310</v>
      </c>
      <c r="H32307">
        <v>14487510</v>
      </c>
      <c r="I32307">
        <v>946409</v>
      </c>
      <c r="J32307">
        <v>4</v>
      </c>
    </row>
    <row r="32308" spans="1:10" x14ac:dyDescent="0.25">
      <c r="A32308" t="s">
        <v>362</v>
      </c>
      <c r="B32308" s="1" t="str">
        <f>HYPERLINK("http://citroenorigins.fi","citroenorigins.fi")</f>
        <v>citroenorigins.fi</v>
      </c>
      <c r="C32308" t="s">
        <v>445</v>
      </c>
      <c r="D32308" t="s">
        <v>823</v>
      </c>
      <c r="F32308">
        <v>6.5975747085894499E-9</v>
      </c>
      <c r="G32308">
        <v>13686192</v>
      </c>
      <c r="H32308">
        <v>14071793</v>
      </c>
      <c r="I32308">
        <v>3367378</v>
      </c>
      <c r="J32308">
        <v>4</v>
      </c>
    </row>
    <row r="32309" spans="1:10" x14ac:dyDescent="0.25">
      <c r="A32309" t="s">
        <v>362</v>
      </c>
      <c r="B32309" s="1" t="str">
        <f>HYPERLINK("http://clickar.fi","clickar.fi")</f>
        <v>clickar.fi</v>
      </c>
      <c r="C32309" t="s">
        <v>445</v>
      </c>
      <c r="D32309" t="s">
        <v>823</v>
      </c>
      <c r="J32309">
        <v>5</v>
      </c>
    </row>
    <row r="32310" spans="1:10" x14ac:dyDescent="0.25">
      <c r="A32310" t="s">
        <v>362</v>
      </c>
      <c r="B32310" s="1" t="str">
        <f>HYPERLINK("http://creditagricole-autofinance.fi","creditagricole-autofinance.fi")</f>
        <v>creditagricole-autofinance.fi</v>
      </c>
      <c r="C32310" t="s">
        <v>445</v>
      </c>
      <c r="D32310" t="s">
        <v>823</v>
      </c>
      <c r="J32310">
        <v>8</v>
      </c>
    </row>
    <row r="32311" spans="1:10" x14ac:dyDescent="0.25">
      <c r="A32311" t="s">
        <v>362</v>
      </c>
      <c r="B32311" s="1" t="str">
        <f>HYPERLINK("http://creditagricoleautofinance.fi","creditagricoleautofinance.fi")</f>
        <v>creditagricoleautofinance.fi</v>
      </c>
      <c r="C32311" t="s">
        <v>445</v>
      </c>
      <c r="D32311" t="s">
        <v>823</v>
      </c>
      <c r="J32311">
        <v>8</v>
      </c>
    </row>
    <row r="32312" spans="1:10" x14ac:dyDescent="0.25">
      <c r="A32312" t="s">
        <v>362</v>
      </c>
      <c r="B32312" s="1" t="str">
        <f>HYPERLINK("http://diagbox.fi","diagbox.fi")</f>
        <v>diagbox.fi</v>
      </c>
      <c r="C32312" t="s">
        <v>445</v>
      </c>
      <c r="D32312" t="s">
        <v>823</v>
      </c>
      <c r="J32312">
        <v>2</v>
      </c>
    </row>
    <row r="32313" spans="1:10" x14ac:dyDescent="0.25">
      <c r="A32313" t="s">
        <v>362</v>
      </c>
      <c r="B32313" s="1" t="str">
        <f>HYPERLINK("http://dodge.fi","dodge.fi")</f>
        <v>dodge.fi</v>
      </c>
      <c r="C32313" t="s">
        <v>445</v>
      </c>
      <c r="D32313" t="s">
        <v>823</v>
      </c>
      <c r="F32313">
        <v>5.4522342006984597E-9</v>
      </c>
      <c r="G32313">
        <v>21455679</v>
      </c>
      <c r="H32313">
        <v>10862441</v>
      </c>
      <c r="I32313">
        <v>36632525</v>
      </c>
      <c r="J32313">
        <v>3</v>
      </c>
    </row>
    <row r="32314" spans="1:10" x14ac:dyDescent="0.25">
      <c r="A32314" t="s">
        <v>362</v>
      </c>
      <c r="B32314" s="1" t="str">
        <f>HYPERLINK("http://drivado.fi","drivado.fi")</f>
        <v>drivado.fi</v>
      </c>
      <c r="C32314" t="s">
        <v>445</v>
      </c>
      <c r="D32314" t="s">
        <v>823</v>
      </c>
      <c r="J32314">
        <v>8</v>
      </c>
    </row>
    <row r="32315" spans="1:10" x14ac:dyDescent="0.25">
      <c r="A32315" t="s">
        <v>362</v>
      </c>
      <c r="B32315" s="1" t="str">
        <f>HYPERLINK("http://drivalia.fi","drivalia.fi")</f>
        <v>drivalia.fi</v>
      </c>
      <c r="C32315" t="s">
        <v>445</v>
      </c>
      <c r="D32315" t="s">
        <v>823</v>
      </c>
      <c r="J32315">
        <v>8</v>
      </c>
    </row>
    <row r="32316" spans="1:10" x14ac:dyDescent="0.25">
      <c r="A32316" t="s">
        <v>362</v>
      </c>
      <c r="B32316" s="1" t="str">
        <f>HYPERLINK("http://drivalis.fi","drivalis.fi")</f>
        <v>drivalis.fi</v>
      </c>
      <c r="C32316" t="s">
        <v>445</v>
      </c>
      <c r="D32316" t="s">
        <v>823</v>
      </c>
      <c r="J32316">
        <v>8</v>
      </c>
    </row>
    <row r="32317" spans="1:10" x14ac:dyDescent="0.25">
      <c r="A32317" t="s">
        <v>362</v>
      </c>
      <c r="B32317" s="1" t="str">
        <f>HYPERLINK("http://drivalize.fi","drivalize.fi")</f>
        <v>drivalize.fi</v>
      </c>
      <c r="C32317" t="s">
        <v>445</v>
      </c>
      <c r="D32317" t="s">
        <v>823</v>
      </c>
      <c r="J32317">
        <v>8</v>
      </c>
    </row>
    <row r="32318" spans="1:10" x14ac:dyDescent="0.25">
      <c r="A32318" t="s">
        <v>362</v>
      </c>
      <c r="B32318" s="1" t="str">
        <f>HYPERLINK("http://drivalys.fi","drivalys.fi")</f>
        <v>drivalys.fi</v>
      </c>
      <c r="C32318" t="s">
        <v>445</v>
      </c>
      <c r="D32318" t="s">
        <v>823</v>
      </c>
      <c r="J32318">
        <v>8</v>
      </c>
    </row>
    <row r="32319" spans="1:10" x14ac:dyDescent="0.25">
      <c r="A32319" t="s">
        <v>362</v>
      </c>
      <c r="B32319" s="1" t="str">
        <f>HYPERLINK("http://drivando.fi","drivando.fi")</f>
        <v>drivando.fi</v>
      </c>
      <c r="C32319" t="s">
        <v>445</v>
      </c>
      <c r="D32319" t="s">
        <v>823</v>
      </c>
      <c r="J32319">
        <v>8</v>
      </c>
    </row>
    <row r="32320" spans="1:10" x14ac:dyDescent="0.25">
      <c r="A32320" t="s">
        <v>362</v>
      </c>
      <c r="B32320" s="1" t="str">
        <f>HYPERLINK("http://drivaze.fi","drivaze.fi")</f>
        <v>drivaze.fi</v>
      </c>
      <c r="C32320" t="s">
        <v>445</v>
      </c>
      <c r="D32320" t="s">
        <v>823</v>
      </c>
      <c r="J32320">
        <v>8</v>
      </c>
    </row>
    <row r="32321" spans="1:10" x14ac:dyDescent="0.25">
      <c r="A32321" t="s">
        <v>362</v>
      </c>
      <c r="B32321" s="1" t="str">
        <f>HYPERLINK("http://drive2tennis.fi","drive2tennis.fi")</f>
        <v>drive2tennis.fi</v>
      </c>
      <c r="C32321" t="s">
        <v>445</v>
      </c>
      <c r="D32321" t="s">
        <v>823</v>
      </c>
      <c r="J32321">
        <v>4</v>
      </c>
    </row>
    <row r="32322" spans="1:10" x14ac:dyDescent="0.25">
      <c r="A32322" t="s">
        <v>362</v>
      </c>
      <c r="B32322" s="1" t="str">
        <f>HYPERLINK("http://drivetotennis.fi","drivetotennis.fi")</f>
        <v>drivetotennis.fi</v>
      </c>
      <c r="C32322" t="s">
        <v>445</v>
      </c>
      <c r="D32322" t="s">
        <v>823</v>
      </c>
      <c r="J32322">
        <v>4</v>
      </c>
    </row>
    <row r="32323" spans="1:10" x14ac:dyDescent="0.25">
      <c r="A32323" t="s">
        <v>362</v>
      </c>
      <c r="B32323" s="1" t="str">
        <f>HYPERLINK("http://dsautomobiles.fi","dsautomobiles.fi")</f>
        <v>dsautomobiles.fi</v>
      </c>
      <c r="C32323" t="s">
        <v>445</v>
      </c>
      <c r="D32323" t="s">
        <v>823</v>
      </c>
      <c r="F32323">
        <v>1.0042028160559999E-8</v>
      </c>
      <c r="G32323">
        <v>6713486</v>
      </c>
      <c r="H32323">
        <v>12652364</v>
      </c>
      <c r="I32323">
        <v>15784110</v>
      </c>
      <c r="J32323">
        <v>5</v>
      </c>
    </row>
    <row r="32324" spans="1:10" x14ac:dyDescent="0.25">
      <c r="A32324" t="s">
        <v>362</v>
      </c>
      <c r="B32324" s="1" t="str">
        <f>HYPERLINK("http://fiat.fi","fiat.fi")</f>
        <v>fiat.fi</v>
      </c>
      <c r="C32324" t="s">
        <v>445</v>
      </c>
      <c r="D32324" t="s">
        <v>823</v>
      </c>
      <c r="F32324">
        <v>1.88456671986867E-8</v>
      </c>
      <c r="G32324">
        <v>2863252</v>
      </c>
      <c r="H32324">
        <v>14236251</v>
      </c>
      <c r="I32324">
        <v>1595958</v>
      </c>
      <c r="J32324">
        <v>5</v>
      </c>
    </row>
    <row r="32325" spans="1:10" x14ac:dyDescent="0.25">
      <c r="A32325" t="s">
        <v>362</v>
      </c>
      <c r="B32325" s="1" t="str">
        <f>HYPERLINK("http://fiatprofessional.fi","fiatprofessional.fi")</f>
        <v>fiatprofessional.fi</v>
      </c>
      <c r="C32325" t="s">
        <v>445</v>
      </c>
      <c r="D32325" t="s">
        <v>823</v>
      </c>
      <c r="F32325">
        <v>1.36144456046013E-8</v>
      </c>
      <c r="G32325">
        <v>4355857</v>
      </c>
      <c r="H32325">
        <v>14072313</v>
      </c>
      <c r="I32325">
        <v>3117117</v>
      </c>
      <c r="J32325">
        <v>5</v>
      </c>
    </row>
    <row r="32326" spans="1:10" x14ac:dyDescent="0.25">
      <c r="A32326" t="s">
        <v>362</v>
      </c>
      <c r="B32326" s="1" t="str">
        <f>HYPERLINK("http://findio.fi","findio.fi")</f>
        <v>findio.fi</v>
      </c>
      <c r="C32326" t="s">
        <v>445</v>
      </c>
      <c r="D32326" t="s">
        <v>823</v>
      </c>
      <c r="J32326">
        <v>8</v>
      </c>
    </row>
    <row r="32327" spans="1:10" x14ac:dyDescent="0.25">
      <c r="A32327" t="s">
        <v>362</v>
      </c>
      <c r="B32327" s="1" t="str">
        <f>HYPERLINK("http://forumofmobility.fi","forumofmobility.fi")</f>
        <v>forumofmobility.fi</v>
      </c>
      <c r="C32327" t="s">
        <v>445</v>
      </c>
      <c r="D32327" t="s">
        <v>823</v>
      </c>
      <c r="J32327">
        <v>4</v>
      </c>
    </row>
    <row r="32328" spans="1:10" x14ac:dyDescent="0.25">
      <c r="A32328" t="s">
        <v>362</v>
      </c>
      <c r="B32328" s="1" t="str">
        <f>HYPERLINK("http://freedomofmobility.fi","freedomofmobility.fi")</f>
        <v>freedomofmobility.fi</v>
      </c>
      <c r="C32328" t="s">
        <v>445</v>
      </c>
      <c r="D32328" t="s">
        <v>823</v>
      </c>
      <c r="J32328">
        <v>4</v>
      </c>
    </row>
    <row r="32329" spans="1:10" x14ac:dyDescent="0.25">
      <c r="A32329" t="s">
        <v>362</v>
      </c>
      <c r="B32329" s="1" t="str">
        <f>HYPERLINK("http://giuliagta.fi","giuliagta.fi")</f>
        <v>giuliagta.fi</v>
      </c>
      <c r="C32329" t="s">
        <v>445</v>
      </c>
      <c r="D32329" t="s">
        <v>823</v>
      </c>
      <c r="J32329">
        <v>5</v>
      </c>
    </row>
    <row r="32330" spans="1:10" x14ac:dyDescent="0.25">
      <c r="A32330" t="s">
        <v>362</v>
      </c>
      <c r="B32330" s="1" t="str">
        <f>HYPERLINK("http://groupe-psa.fi","groupe-psa.fi")</f>
        <v>groupe-psa.fi</v>
      </c>
      <c r="C32330" t="s">
        <v>445</v>
      </c>
      <c r="D32330" t="s">
        <v>823</v>
      </c>
      <c r="J32330">
        <v>2</v>
      </c>
    </row>
    <row r="32331" spans="1:10" x14ac:dyDescent="0.25">
      <c r="A32331" t="s">
        <v>362</v>
      </c>
      <c r="B32331" s="1" t="str">
        <f>HYPERLINK("http://groupepsa.fi","groupepsa.fi")</f>
        <v>groupepsa.fi</v>
      </c>
      <c r="C32331" t="s">
        <v>445</v>
      </c>
      <c r="D32331" t="s">
        <v>823</v>
      </c>
      <c r="J32331">
        <v>2</v>
      </c>
    </row>
    <row r="32332" spans="1:10" x14ac:dyDescent="0.25">
      <c r="A32332" t="s">
        <v>362</v>
      </c>
      <c r="B32332" s="1" t="str">
        <f>HYPERLINK("http://gtaalfaromeo.fi","gtaalfaromeo.fi")</f>
        <v>gtaalfaromeo.fi</v>
      </c>
      <c r="C32332" t="s">
        <v>445</v>
      </c>
      <c r="D32332" t="s">
        <v>823</v>
      </c>
      <c r="J32332">
        <v>5</v>
      </c>
    </row>
    <row r="32333" spans="1:10" x14ac:dyDescent="0.25">
      <c r="A32333" t="s">
        <v>362</v>
      </c>
      <c r="B32333" s="1" t="str">
        <f>HYPERLINK("http://jeep.fi","jeep.fi")</f>
        <v>jeep.fi</v>
      </c>
      <c r="C32333" t="s">
        <v>445</v>
      </c>
      <c r="D32333" t="s">
        <v>823</v>
      </c>
      <c r="F32333">
        <v>1.1210798510675699E-8</v>
      </c>
      <c r="G32333">
        <v>5705544</v>
      </c>
      <c r="H32333">
        <v>14071842</v>
      </c>
      <c r="I32333">
        <v>3297627</v>
      </c>
      <c r="J32333">
        <v>3</v>
      </c>
    </row>
    <row r="32334" spans="1:10" x14ac:dyDescent="0.25">
      <c r="A32334" t="s">
        <v>362</v>
      </c>
      <c r="B32334" s="1" t="str">
        <f>HYPERLINK("http://leasys.fi","leasys.fi")</f>
        <v>leasys.fi</v>
      </c>
      <c r="C32334" t="s">
        <v>445</v>
      </c>
      <c r="D32334" t="s">
        <v>823</v>
      </c>
      <c r="J32334">
        <v>5</v>
      </c>
    </row>
    <row r="32335" spans="1:10" x14ac:dyDescent="0.25">
      <c r="A32335" t="s">
        <v>362</v>
      </c>
      <c r="B32335" s="1" t="str">
        <f>HYPERLINK("http://leasyscharge.fi","leasyscharge.fi")</f>
        <v>leasyscharge.fi</v>
      </c>
      <c r="C32335" t="s">
        <v>445</v>
      </c>
      <c r="D32335" t="s">
        <v>823</v>
      </c>
      <c r="J32335">
        <v>5</v>
      </c>
    </row>
    <row r="32336" spans="1:10" x14ac:dyDescent="0.25">
      <c r="A32336" t="s">
        <v>362</v>
      </c>
      <c r="B32336" s="1" t="str">
        <f>HYPERLINK("http://leasysgo.fi","leasysgo.fi")</f>
        <v>leasysgo.fi</v>
      </c>
      <c r="C32336" t="s">
        <v>445</v>
      </c>
      <c r="D32336" t="s">
        <v>823</v>
      </c>
      <c r="J32336">
        <v>5</v>
      </c>
    </row>
    <row r="32337" spans="1:10" x14ac:dyDescent="0.25">
      <c r="A32337" t="s">
        <v>362</v>
      </c>
      <c r="B32337" s="1" t="str">
        <f>HYPERLINK("http://leasyspark.fi","leasyspark.fi")</f>
        <v>leasyspark.fi</v>
      </c>
      <c r="C32337" t="s">
        <v>445</v>
      </c>
      <c r="D32337" t="s">
        <v>823</v>
      </c>
      <c r="J32337">
        <v>5</v>
      </c>
    </row>
    <row r="32338" spans="1:10" x14ac:dyDescent="0.25">
      <c r="A32338" t="s">
        <v>362</v>
      </c>
      <c r="B32338" s="1" t="str">
        <f>HYPERLINK("http://leasysshare.fi","leasysshare.fi")</f>
        <v>leasysshare.fi</v>
      </c>
      <c r="C32338" t="s">
        <v>445</v>
      </c>
      <c r="D32338" t="s">
        <v>823</v>
      </c>
      <c r="J32338">
        <v>5</v>
      </c>
    </row>
    <row r="32339" spans="1:10" x14ac:dyDescent="0.25">
      <c r="A32339" t="s">
        <v>362</v>
      </c>
      <c r="B32339" s="1" t="str">
        <f>HYPERLINK("http://leasystaxi.fi","leasystaxi.fi")</f>
        <v>leasystaxi.fi</v>
      </c>
      <c r="C32339" t="s">
        <v>445</v>
      </c>
      <c r="D32339" t="s">
        <v>823</v>
      </c>
      <c r="J32339">
        <v>5</v>
      </c>
    </row>
    <row r="32340" spans="1:10" x14ac:dyDescent="0.25">
      <c r="A32340" t="s">
        <v>362</v>
      </c>
      <c r="B32340" s="1" t="str">
        <f>HYPERLINK("http://maserati.fi","maserati.fi")</f>
        <v>maserati.fi</v>
      </c>
      <c r="C32340" t="s">
        <v>445</v>
      </c>
      <c r="D32340" t="s">
        <v>823</v>
      </c>
      <c r="F32340">
        <v>4.44380395335525E-9</v>
      </c>
      <c r="G32340">
        <v>84777949</v>
      </c>
      <c r="H32340">
        <v>0</v>
      </c>
      <c r="I32340">
        <v>85892352</v>
      </c>
      <c r="J32340">
        <v>2</v>
      </c>
    </row>
    <row r="32341" spans="1:10" x14ac:dyDescent="0.25">
      <c r="A32341" t="s">
        <v>362</v>
      </c>
      <c r="B32341" s="1" t="str">
        <f>HYPERLINK("http://mobilisights.fi","mobilisights.fi")</f>
        <v>mobilisights.fi</v>
      </c>
      <c r="C32341" t="s">
        <v>445</v>
      </c>
      <c r="D32341" t="s">
        <v>823</v>
      </c>
      <c r="J32341">
        <v>2</v>
      </c>
    </row>
    <row r="32342" spans="1:10" x14ac:dyDescent="0.25">
      <c r="A32342" t="s">
        <v>362</v>
      </c>
      <c r="B32342" s="1" t="str">
        <f>HYPERLINK("http://mopar-store.fi","mopar-store.fi")</f>
        <v>mopar-store.fi</v>
      </c>
      <c r="C32342" t="s">
        <v>445</v>
      </c>
      <c r="D32342" t="s">
        <v>823</v>
      </c>
      <c r="J32342">
        <v>5</v>
      </c>
    </row>
    <row r="32343" spans="1:10" x14ac:dyDescent="0.25">
      <c r="A32343" t="s">
        <v>362</v>
      </c>
      <c r="B32343" s="1" t="str">
        <f>HYPERLINK("http://moparstore.fi","moparstore.fi")</f>
        <v>moparstore.fi</v>
      </c>
      <c r="C32343" t="s">
        <v>445</v>
      </c>
      <c r="D32343" t="s">
        <v>823</v>
      </c>
      <c r="J32343">
        <v>5</v>
      </c>
    </row>
    <row r="32344" spans="1:10" x14ac:dyDescent="0.25">
      <c r="A32344" t="s">
        <v>362</v>
      </c>
      <c r="B32344" s="1" t="str">
        <f>HYPERLINK("http://moparstore-official.fi","moparstore-official.fi")</f>
        <v>moparstore-official.fi</v>
      </c>
      <c r="C32344" t="s">
        <v>445</v>
      </c>
      <c r="D32344" t="s">
        <v>823</v>
      </c>
      <c r="J32344">
        <v>5</v>
      </c>
    </row>
    <row r="32345" spans="1:10" x14ac:dyDescent="0.25">
      <c r="A32345" t="s">
        <v>362</v>
      </c>
      <c r="B32345" s="1" t="str">
        <f>HYPERLINK("http://movadia.fi","movadia.fi")</f>
        <v>movadia.fi</v>
      </c>
      <c r="C32345" t="s">
        <v>445</v>
      </c>
      <c r="D32345" t="s">
        <v>823</v>
      </c>
      <c r="J32345">
        <v>8</v>
      </c>
    </row>
    <row r="32346" spans="1:10" x14ac:dyDescent="0.25">
      <c r="A32346" t="s">
        <v>362</v>
      </c>
      <c r="B32346" s="1" t="str">
        <f>HYPERLINK("http://movando.fi","movando.fi")</f>
        <v>movando.fi</v>
      </c>
      <c r="C32346" t="s">
        <v>445</v>
      </c>
      <c r="D32346" t="s">
        <v>823</v>
      </c>
      <c r="J32346">
        <v>8</v>
      </c>
    </row>
    <row r="32347" spans="1:10" x14ac:dyDescent="0.25">
      <c r="A32347" t="s">
        <v>362</v>
      </c>
      <c r="B32347" s="1" t="str">
        <f>HYPERLINK("http://myopel.fi","myopel.fi")</f>
        <v>myopel.fi</v>
      </c>
      <c r="C32347" t="s">
        <v>445</v>
      </c>
      <c r="D32347" t="s">
        <v>823</v>
      </c>
      <c r="J32347">
        <v>2</v>
      </c>
    </row>
    <row r="32348" spans="1:10" x14ac:dyDescent="0.25">
      <c r="A32348" t="s">
        <v>362</v>
      </c>
      <c r="B32348" s="1" t="str">
        <f>HYPERLINK("http://myopelservice.fi","myopelservice.fi")</f>
        <v>myopelservice.fi</v>
      </c>
      <c r="C32348" t="s">
        <v>445</v>
      </c>
      <c r="D32348" t="s">
        <v>823</v>
      </c>
      <c r="J32348">
        <v>2</v>
      </c>
    </row>
    <row r="32349" spans="1:10" x14ac:dyDescent="0.25">
      <c r="A32349" t="s">
        <v>362</v>
      </c>
      <c r="B32349" s="1" t="str">
        <f>HYPERLINK("http://omaopel.fi","omaopel.fi")</f>
        <v>omaopel.fi</v>
      </c>
      <c r="C32349" t="s">
        <v>445</v>
      </c>
      <c r="D32349" t="s">
        <v>823</v>
      </c>
      <c r="J32349">
        <v>2</v>
      </c>
    </row>
    <row r="32350" spans="1:10" x14ac:dyDescent="0.25">
      <c r="A32350" t="s">
        <v>362</v>
      </c>
      <c r="B32350" s="1" t="str">
        <f>HYPERLINK("http://opel.fi","opel.fi")</f>
        <v>opel.fi</v>
      </c>
      <c r="C32350" t="s">
        <v>445</v>
      </c>
      <c r="D32350" t="s">
        <v>823</v>
      </c>
      <c r="F32350">
        <v>3.6110213593285701E-8</v>
      </c>
      <c r="G32350">
        <v>1443691</v>
      </c>
      <c r="H32350">
        <v>14237371</v>
      </c>
      <c r="I32350">
        <v>1552906</v>
      </c>
      <c r="J32350">
        <v>2</v>
      </c>
    </row>
    <row r="32351" spans="1:10" x14ac:dyDescent="0.25">
      <c r="A32351" t="s">
        <v>362</v>
      </c>
      <c r="B32351" s="1" t="str">
        <f>HYPERLINK("http://opel-adam.fi","opel-adam.fi")</f>
        <v>opel-adam.fi</v>
      </c>
      <c r="C32351" t="s">
        <v>445</v>
      </c>
      <c r="D32351" t="s">
        <v>823</v>
      </c>
      <c r="J32351">
        <v>2</v>
      </c>
    </row>
    <row r="32352" spans="1:10" x14ac:dyDescent="0.25">
      <c r="A32352" t="s">
        <v>362</v>
      </c>
      <c r="B32352" s="1" t="str">
        <f>HYPERLINK("http://opel-automobile.fi","opel-automobile.fi")</f>
        <v>opel-automobile.fi</v>
      </c>
      <c r="C32352" t="s">
        <v>445</v>
      </c>
      <c r="D32352" t="s">
        <v>823</v>
      </c>
      <c r="J32352">
        <v>2</v>
      </c>
    </row>
    <row r="32353" spans="1:10" x14ac:dyDescent="0.25">
      <c r="A32353" t="s">
        <v>362</v>
      </c>
      <c r="B32353" s="1" t="str">
        <f>HYPERLINK("http://opel-collection.fi","opel-collection.fi")</f>
        <v>opel-collection.fi</v>
      </c>
      <c r="C32353" t="s">
        <v>445</v>
      </c>
      <c r="D32353" t="s">
        <v>823</v>
      </c>
      <c r="J32353">
        <v>2</v>
      </c>
    </row>
    <row r="32354" spans="1:10" x14ac:dyDescent="0.25">
      <c r="A32354" t="s">
        <v>362</v>
      </c>
      <c r="B32354" s="1" t="str">
        <f>HYPERLINK("http://opel-exclusive.fi","opel-exclusive.fi")</f>
        <v>opel-exclusive.fi</v>
      </c>
      <c r="C32354" t="s">
        <v>445</v>
      </c>
      <c r="D32354" t="s">
        <v>823</v>
      </c>
      <c r="J32354">
        <v>2</v>
      </c>
    </row>
    <row r="32355" spans="1:10" x14ac:dyDescent="0.25">
      <c r="A32355" t="s">
        <v>362</v>
      </c>
      <c r="B32355" s="1" t="str">
        <f>HYPERLINK("http://opel-varastoautot.fi","opel-varastoautot.fi")</f>
        <v>opel-varastoautot.fi</v>
      </c>
      <c r="C32355" t="s">
        <v>445</v>
      </c>
      <c r="D32355" t="s">
        <v>823</v>
      </c>
      <c r="J32355">
        <v>2</v>
      </c>
    </row>
    <row r="32356" spans="1:10" x14ac:dyDescent="0.25">
      <c r="A32356" t="s">
        <v>362</v>
      </c>
      <c r="B32356" s="1" t="str">
        <f>HYPERLINK("http://opelautomobile.fi","opelautomobile.fi")</f>
        <v>opelautomobile.fi</v>
      </c>
      <c r="C32356" t="s">
        <v>445</v>
      </c>
      <c r="D32356" t="s">
        <v>823</v>
      </c>
      <c r="J32356">
        <v>2</v>
      </c>
    </row>
    <row r="32357" spans="1:10" x14ac:dyDescent="0.25">
      <c r="A32357" t="s">
        <v>362</v>
      </c>
      <c r="B32357" s="1" t="str">
        <f>HYPERLINK("http://opelcollection.fi","opelcollection.fi")</f>
        <v>opelcollection.fi</v>
      </c>
      <c r="C32357" t="s">
        <v>445</v>
      </c>
      <c r="D32357" t="s">
        <v>823</v>
      </c>
      <c r="J32357">
        <v>2</v>
      </c>
    </row>
    <row r="32358" spans="1:10" x14ac:dyDescent="0.25">
      <c r="A32358" t="s">
        <v>362</v>
      </c>
      <c r="B32358" s="1" t="str">
        <f>HYPERLINK("http://opelhuolto.fi","opelhuolto.fi")</f>
        <v>opelhuolto.fi</v>
      </c>
      <c r="C32358" t="s">
        <v>445</v>
      </c>
      <c r="D32358" t="s">
        <v>823</v>
      </c>
      <c r="J32358">
        <v>2</v>
      </c>
    </row>
    <row r="32359" spans="1:10" x14ac:dyDescent="0.25">
      <c r="A32359" t="s">
        <v>362</v>
      </c>
      <c r="B32359" s="1" t="str">
        <f>HYPERLINK("http://opelvakuutus.fi","opelvakuutus.fi")</f>
        <v>opelvakuutus.fi</v>
      </c>
      <c r="C32359" t="s">
        <v>445</v>
      </c>
      <c r="D32359" t="s">
        <v>823</v>
      </c>
      <c r="J32359">
        <v>2</v>
      </c>
    </row>
    <row r="32360" spans="1:10" x14ac:dyDescent="0.25">
      <c r="A32360" t="s">
        <v>362</v>
      </c>
      <c r="B32360" s="1" t="str">
        <f>HYPERLINK("http://peugeot.fi","peugeot.fi")</f>
        <v>peugeot.fi</v>
      </c>
      <c r="C32360" t="s">
        <v>445</v>
      </c>
      <c r="D32360" t="s">
        <v>823</v>
      </c>
      <c r="F32360">
        <v>3.1427258708184398E-8</v>
      </c>
      <c r="G32360">
        <v>1641379</v>
      </c>
      <c r="H32360">
        <v>14239168</v>
      </c>
      <c r="I32360">
        <v>1515921</v>
      </c>
      <c r="J32360">
        <v>4</v>
      </c>
    </row>
    <row r="32361" spans="1:10" x14ac:dyDescent="0.25">
      <c r="A32361" t="s">
        <v>362</v>
      </c>
      <c r="B32361" s="1" t="str">
        <f>HYPERLINK("http://psafinance.fi","psafinance.fi")</f>
        <v>psafinance.fi</v>
      </c>
      <c r="C32361" t="s">
        <v>445</v>
      </c>
      <c r="D32361" t="s">
        <v>823</v>
      </c>
      <c r="J32361">
        <v>2</v>
      </c>
    </row>
    <row r="32362" spans="1:10" x14ac:dyDescent="0.25">
      <c r="A32362" t="s">
        <v>362</v>
      </c>
      <c r="B32362" s="1" t="str">
        <f>HYPERLINK("http://selfonboard.fi","selfonboard.fi")</f>
        <v>selfonboard.fi</v>
      </c>
      <c r="C32362" t="s">
        <v>445</v>
      </c>
      <c r="D32362" t="s">
        <v>823</v>
      </c>
      <c r="J32362">
        <v>5</v>
      </c>
    </row>
    <row r="32363" spans="1:10" x14ac:dyDescent="0.25">
      <c r="A32363" t="s">
        <v>362</v>
      </c>
      <c r="B32363" s="1" t="str">
        <f>HYPERLINK("http://stellantisandyou.fi","stellantisandyou.fi")</f>
        <v>stellantisandyou.fi</v>
      </c>
      <c r="C32363" t="s">
        <v>445</v>
      </c>
      <c r="D32363" t="s">
        <v>823</v>
      </c>
      <c r="J32363">
        <v>2</v>
      </c>
    </row>
    <row r="32364" spans="1:10" x14ac:dyDescent="0.25">
      <c r="A32364" t="s">
        <v>362</v>
      </c>
      <c r="B32364" s="1" t="str">
        <f>HYPERLINK("http://sustainera.fi","sustainera.fi")</f>
        <v>sustainera.fi</v>
      </c>
      <c r="C32364" t="s">
        <v>445</v>
      </c>
      <c r="D32364" t="s">
        <v>823</v>
      </c>
      <c r="J32364">
        <v>2</v>
      </c>
    </row>
    <row r="32365" spans="1:10" x14ac:dyDescent="0.25">
      <c r="A32365" t="s">
        <v>362</v>
      </c>
      <c r="B32365" s="1" t="str">
        <f>HYPERLINK("http://the-future-is-everyones.fi","the-future-is-everyones.fi")</f>
        <v>the-future-is-everyones.fi</v>
      </c>
      <c r="C32365" t="s">
        <v>445</v>
      </c>
      <c r="D32365" t="s">
        <v>823</v>
      </c>
      <c r="J32365">
        <v>2</v>
      </c>
    </row>
    <row r="32366" spans="1:10" x14ac:dyDescent="0.25">
      <c r="A32366" t="s">
        <v>362</v>
      </c>
      <c r="B32366" s="1" t="str">
        <f>HYPERLINK("http://thefutureiseveryones.fi","thefutureiseveryones.fi")</f>
        <v>thefutureiseveryones.fi</v>
      </c>
      <c r="C32366" t="s">
        <v>445</v>
      </c>
      <c r="D32366" t="s">
        <v>823</v>
      </c>
      <c r="J32366">
        <v>2</v>
      </c>
    </row>
    <row r="32367" spans="1:10" x14ac:dyDescent="0.25">
      <c r="A32367" t="s">
        <v>362</v>
      </c>
      <c r="B32367" s="1" t="str">
        <f>HYPERLINK("http://tonalealfaromeo.fi","tonalealfaromeo.fi")</f>
        <v>tonalealfaromeo.fi</v>
      </c>
      <c r="C32367" t="s">
        <v>445</v>
      </c>
      <c r="D32367" t="s">
        <v>823</v>
      </c>
      <c r="J32367">
        <v>5</v>
      </c>
    </row>
    <row r="32368" spans="1:10" x14ac:dyDescent="0.25">
      <c r="A32368" t="s">
        <v>362</v>
      </c>
      <c r="B32368" s="1" t="str">
        <f>HYPERLINK("http://carsupermarket.finance","carsupermarket.finance")</f>
        <v>carsupermarket.finance</v>
      </c>
      <c r="C32368" t="s">
        <v>722</v>
      </c>
      <c r="F32368">
        <v>4.5448504401706399E-9</v>
      </c>
      <c r="G32368">
        <v>52744861</v>
      </c>
      <c r="H32368">
        <v>10509391</v>
      </c>
      <c r="I32368">
        <v>49805205</v>
      </c>
      <c r="J32368">
        <v>7</v>
      </c>
    </row>
    <row r="32369" spans="1:10" x14ac:dyDescent="0.25">
      <c r="A32369" t="s">
        <v>362</v>
      </c>
      <c r="B32369" s="1" t="str">
        <f>HYPERLINK("http://abarth.fr","abarth.fr")</f>
        <v>abarth.fr</v>
      </c>
      <c r="C32369" t="s">
        <v>446</v>
      </c>
      <c r="D32369" t="s">
        <v>824</v>
      </c>
      <c r="F32369">
        <v>3.0100470148908302E-8</v>
      </c>
      <c r="G32369">
        <v>1709520</v>
      </c>
      <c r="H32369">
        <v>14238462</v>
      </c>
      <c r="I32369">
        <v>1526421</v>
      </c>
      <c r="J32369">
        <v>5</v>
      </c>
    </row>
    <row r="32370" spans="1:10" x14ac:dyDescent="0.25">
      <c r="A32370" t="s">
        <v>362</v>
      </c>
      <c r="B32370" s="1" t="str">
        <f>HYPERLINK("http://alfaromeo.fr","alfaromeo.fr")</f>
        <v>alfaromeo.fr</v>
      </c>
      <c r="C32370" t="s">
        <v>446</v>
      </c>
      <c r="D32370" t="s">
        <v>824</v>
      </c>
      <c r="F32370">
        <v>4.5748677875085502E-8</v>
      </c>
      <c r="G32370">
        <v>1027436</v>
      </c>
      <c r="H32370">
        <v>14493276</v>
      </c>
      <c r="I32370">
        <v>888925</v>
      </c>
      <c r="J32370">
        <v>5</v>
      </c>
    </row>
    <row r="32371" spans="1:10" x14ac:dyDescent="0.25">
      <c r="A32371" t="s">
        <v>362</v>
      </c>
      <c r="B32371" s="1" t="str">
        <f>HYPERLINK("http://asn-peugeot.fr","asn-peugeot.fr")</f>
        <v>asn-peugeot.fr</v>
      </c>
      <c r="C32371" t="s">
        <v>446</v>
      </c>
      <c r="D32371" t="s">
        <v>824</v>
      </c>
      <c r="J32371">
        <v>6</v>
      </c>
    </row>
    <row r="32372" spans="1:10" x14ac:dyDescent="0.25">
      <c r="A32372" t="s">
        <v>362</v>
      </c>
      <c r="B32372" s="1" t="str">
        <f>HYPERLINK("http://citroen.fr","citroen.fr")</f>
        <v>citroen.fr</v>
      </c>
      <c r="C32372" t="s">
        <v>446</v>
      </c>
      <c r="D32372" t="s">
        <v>824</v>
      </c>
      <c r="E32372">
        <v>124791</v>
      </c>
      <c r="F32372">
        <v>4.8656168534478101E-7</v>
      </c>
      <c r="G32372">
        <v>78282</v>
      </c>
      <c r="H32372">
        <v>15041747</v>
      </c>
      <c r="I32372">
        <v>416219</v>
      </c>
      <c r="J32372">
        <v>5</v>
      </c>
    </row>
    <row r="32373" spans="1:10" x14ac:dyDescent="0.25">
      <c r="A32373" t="s">
        <v>362</v>
      </c>
      <c r="B32373" s="1" t="str">
        <f>HYPERLINK("http://citroen-retail.fr","citroen-retail.fr")</f>
        <v>citroen-retail.fr</v>
      </c>
      <c r="C32373" t="s">
        <v>446</v>
      </c>
      <c r="D32373" t="s">
        <v>824</v>
      </c>
      <c r="F32373">
        <v>4.4439479828960299E-9</v>
      </c>
      <c r="G32373">
        <v>77830738</v>
      </c>
      <c r="H32373">
        <v>8422531</v>
      </c>
      <c r="I32373">
        <v>72842154</v>
      </c>
      <c r="J32373">
        <v>7</v>
      </c>
    </row>
    <row r="32374" spans="1:10" x14ac:dyDescent="0.25">
      <c r="A32374" t="s">
        <v>362</v>
      </c>
      <c r="B32374" s="1" t="str">
        <f>HYPERLINK("http://driveds.fr","driveds.fr")</f>
        <v>driveds.fr</v>
      </c>
      <c r="C32374" t="s">
        <v>446</v>
      </c>
      <c r="D32374" t="s">
        <v>824</v>
      </c>
      <c r="F32374">
        <v>5.6940245443434502E-9</v>
      </c>
      <c r="G32374">
        <v>19011933</v>
      </c>
      <c r="H32374">
        <v>12186866</v>
      </c>
      <c r="I32374">
        <v>23655588</v>
      </c>
      <c r="J32374">
        <v>7</v>
      </c>
    </row>
    <row r="32375" spans="1:10" x14ac:dyDescent="0.25">
      <c r="A32375" t="s">
        <v>362</v>
      </c>
      <c r="B32375" s="1" t="str">
        <f>HYPERLINK("http://dsautomobiles.fr","dsautomobiles.fr")</f>
        <v>dsautomobiles.fr</v>
      </c>
      <c r="C32375" t="s">
        <v>446</v>
      </c>
      <c r="D32375" t="s">
        <v>824</v>
      </c>
      <c r="E32375">
        <v>930447</v>
      </c>
      <c r="F32375">
        <v>1.5433514628215799E-7</v>
      </c>
      <c r="G32375">
        <v>251664</v>
      </c>
      <c r="H32375">
        <v>14806907</v>
      </c>
      <c r="I32375">
        <v>546677</v>
      </c>
      <c r="J32375">
        <v>5</v>
      </c>
    </row>
    <row r="32376" spans="1:10" x14ac:dyDescent="0.25">
      <c r="A32376" t="s">
        <v>362</v>
      </c>
      <c r="B32376" s="1" t="str">
        <f>HYPERLINK("http://fca-cervinia.fr","fca-cervinia.fr")</f>
        <v>fca-cervinia.fr</v>
      </c>
      <c r="C32376" t="s">
        <v>446</v>
      </c>
      <c r="D32376" t="s">
        <v>824</v>
      </c>
      <c r="F32376">
        <v>4.4845638157609497E-9</v>
      </c>
      <c r="G32376">
        <v>61472847</v>
      </c>
      <c r="H32376">
        <v>10509779</v>
      </c>
      <c r="I32376">
        <v>49717297</v>
      </c>
      <c r="J32376">
        <v>5</v>
      </c>
    </row>
    <row r="32377" spans="1:10" x14ac:dyDescent="0.25">
      <c r="A32377" t="s">
        <v>362</v>
      </c>
      <c r="B32377" s="1" t="str">
        <f>HYPERLINK("http://fiat.fr","fiat.fr")</f>
        <v>fiat.fr</v>
      </c>
      <c r="C32377" t="s">
        <v>446</v>
      </c>
      <c r="D32377" t="s">
        <v>824</v>
      </c>
      <c r="E32377">
        <v>810415</v>
      </c>
      <c r="F32377">
        <v>1.03728635628352E-7</v>
      </c>
      <c r="G32377">
        <v>386710</v>
      </c>
      <c r="H32377">
        <v>14752325</v>
      </c>
      <c r="I32377">
        <v>562937</v>
      </c>
      <c r="J32377">
        <v>4</v>
      </c>
    </row>
    <row r="32378" spans="1:10" x14ac:dyDescent="0.25">
      <c r="A32378" t="s">
        <v>362</v>
      </c>
      <c r="B32378" s="1" t="str">
        <f>HYPERLINK("http://fiatprofessional.fr","fiatprofessional.fr")</f>
        <v>fiatprofessional.fr</v>
      </c>
      <c r="C32378" t="s">
        <v>446</v>
      </c>
      <c r="D32378" t="s">
        <v>824</v>
      </c>
      <c r="F32378">
        <v>1.3120222290384101E-8</v>
      </c>
      <c r="G32378">
        <v>4574544</v>
      </c>
      <c r="H32378">
        <v>14237173</v>
      </c>
      <c r="I32378">
        <v>1557888</v>
      </c>
      <c r="J32378">
        <v>5</v>
      </c>
    </row>
    <row r="32379" spans="1:10" x14ac:dyDescent="0.25">
      <c r="A32379" t="s">
        <v>362</v>
      </c>
      <c r="B32379" s="1" t="str">
        <f>HYPERLINK("http://gmacbanque.fr","gmacbanque.fr")</f>
        <v>gmacbanque.fr</v>
      </c>
      <c r="C32379" t="s">
        <v>446</v>
      </c>
      <c r="D32379" t="s">
        <v>824</v>
      </c>
      <c r="F32379">
        <v>4.5491145430592499E-9</v>
      </c>
      <c r="G32379">
        <v>52282313</v>
      </c>
      <c r="H32379">
        <v>9469952</v>
      </c>
      <c r="I32379">
        <v>66206302</v>
      </c>
      <c r="J32379">
        <v>11</v>
      </c>
    </row>
    <row r="32380" spans="1:10" x14ac:dyDescent="0.25">
      <c r="A32380" t="s">
        <v>362</v>
      </c>
      <c r="B32380" s="1" t="str">
        <f>HYPERLINK("http://jeep.fr","jeep.fr")</f>
        <v>jeep.fr</v>
      </c>
      <c r="C32380" t="s">
        <v>446</v>
      </c>
      <c r="D32380" t="s">
        <v>824</v>
      </c>
      <c r="F32380">
        <v>9.1777462254363395E-8</v>
      </c>
      <c r="G32380">
        <v>443873</v>
      </c>
      <c r="H32380">
        <v>13887768</v>
      </c>
      <c r="I32380">
        <v>5966507</v>
      </c>
      <c r="J32380">
        <v>5</v>
      </c>
    </row>
    <row r="32381" spans="1:10" x14ac:dyDescent="0.25">
      <c r="A32381" t="s">
        <v>362</v>
      </c>
      <c r="B32381" s="1" t="str">
        <f>HYPERLINK("http://maserati.fr","maserati.fr")</f>
        <v>maserati.fr</v>
      </c>
      <c r="C32381" t="s">
        <v>446</v>
      </c>
      <c r="D32381" t="s">
        <v>824</v>
      </c>
      <c r="F32381">
        <v>2.7508507010717299E-8</v>
      </c>
      <c r="G32381">
        <v>1868918</v>
      </c>
      <c r="H32381">
        <v>13788695</v>
      </c>
      <c r="I32381">
        <v>6361771</v>
      </c>
      <c r="J32381">
        <v>5</v>
      </c>
    </row>
    <row r="32382" spans="1:10" x14ac:dyDescent="0.25">
      <c r="A32382" t="s">
        <v>362</v>
      </c>
      <c r="B32382" s="1" t="str">
        <f>HYPERLINK("http://opel.fr","opel.fr")</f>
        <v>opel.fr</v>
      </c>
      <c r="C32382" t="s">
        <v>446</v>
      </c>
      <c r="D32382" t="s">
        <v>824</v>
      </c>
      <c r="E32382">
        <v>612623</v>
      </c>
      <c r="F32382">
        <v>1.2790056616223801E-7</v>
      </c>
      <c r="G32382">
        <v>306832</v>
      </c>
      <c r="H32382">
        <v>14846749</v>
      </c>
      <c r="I32382">
        <v>493163</v>
      </c>
      <c r="J32382">
        <v>4</v>
      </c>
    </row>
    <row r="32383" spans="1:10" x14ac:dyDescent="0.25">
      <c r="A32383" t="s">
        <v>362</v>
      </c>
      <c r="B32383" s="1" t="str">
        <f>HYPERLINK("http://peugeot.fr","peugeot.fr")</f>
        <v>peugeot.fr</v>
      </c>
      <c r="C32383" t="s">
        <v>446</v>
      </c>
      <c r="D32383" t="s">
        <v>824</v>
      </c>
      <c r="E32383">
        <v>92634</v>
      </c>
      <c r="F32383">
        <v>6.3556663797120204E-7</v>
      </c>
      <c r="G32383">
        <v>60405</v>
      </c>
      <c r="H32383">
        <v>15021162</v>
      </c>
      <c r="I32383">
        <v>420729</v>
      </c>
      <c r="J32383">
        <v>4</v>
      </c>
    </row>
    <row r="32384" spans="1:10" x14ac:dyDescent="0.25">
      <c r="A32384" t="s">
        <v>362</v>
      </c>
      <c r="B32384" s="1" t="str">
        <f>HYPERLINK("http://jeep.ga","jeep.ga")</f>
        <v>jeep.ga</v>
      </c>
      <c r="C32384" t="s">
        <v>544</v>
      </c>
      <c r="D32384" t="s">
        <v>902</v>
      </c>
      <c r="F32384">
        <v>3.7959296171515898E-8</v>
      </c>
      <c r="G32384">
        <v>1363351</v>
      </c>
      <c r="H32384">
        <v>12271893</v>
      </c>
      <c r="I32384">
        <v>21481335</v>
      </c>
      <c r="J32384">
        <v>5</v>
      </c>
    </row>
    <row r="32385" spans="1:10" x14ac:dyDescent="0.25">
      <c r="A32385" t="s">
        <v>362</v>
      </c>
      <c r="B32385" s="1" t="str">
        <f>HYPERLINK("http://citroen.com.ge","citroen.com.ge")</f>
        <v>citroen.com.ge</v>
      </c>
      <c r="C32385" t="s">
        <v>637</v>
      </c>
      <c r="D32385" t="s">
        <v>958</v>
      </c>
      <c r="F32385">
        <v>8.5598632809239392E-9</v>
      </c>
      <c r="G32385">
        <v>8729632</v>
      </c>
      <c r="H32385">
        <v>12090423</v>
      </c>
      <c r="I32385">
        <v>26237814</v>
      </c>
      <c r="J32385">
        <v>5</v>
      </c>
    </row>
    <row r="32386" spans="1:10" x14ac:dyDescent="0.25">
      <c r="A32386" t="s">
        <v>362</v>
      </c>
      <c r="B32386" s="1" t="str">
        <f>HYPERLINK("http://fiat.ge","fiat.ge")</f>
        <v>fiat.ge</v>
      </c>
      <c r="C32386" t="s">
        <v>637</v>
      </c>
      <c r="D32386" t="s">
        <v>958</v>
      </c>
      <c r="F32386">
        <v>9.0578506727242399E-9</v>
      </c>
      <c r="G32386">
        <v>7906752</v>
      </c>
      <c r="H32386">
        <v>12185843</v>
      </c>
      <c r="I32386">
        <v>23676879</v>
      </c>
      <c r="J32386">
        <v>5</v>
      </c>
    </row>
    <row r="32387" spans="1:10" x14ac:dyDescent="0.25">
      <c r="A32387" t="s">
        <v>362</v>
      </c>
      <c r="B32387" s="1" t="str">
        <f>HYPERLINK("http://abarth.gf","abarth.gf")</f>
        <v>abarth.gf</v>
      </c>
      <c r="C32387" t="s">
        <v>638</v>
      </c>
      <c r="D32387" t="s">
        <v>959</v>
      </c>
      <c r="F32387">
        <v>1.7002386537520699E-8</v>
      </c>
      <c r="G32387">
        <v>3282699</v>
      </c>
      <c r="H32387">
        <v>12114548</v>
      </c>
      <c r="I32387">
        <v>25616871</v>
      </c>
      <c r="J32387">
        <v>5</v>
      </c>
    </row>
    <row r="32388" spans="1:10" x14ac:dyDescent="0.25">
      <c r="A32388" t="s">
        <v>362</v>
      </c>
      <c r="B32388" s="1" t="str">
        <f>HYPERLINK("http://citroen.gf","citroen.gf")</f>
        <v>citroen.gf</v>
      </c>
      <c r="C32388" t="s">
        <v>638</v>
      </c>
      <c r="D32388" t="s">
        <v>959</v>
      </c>
      <c r="F32388">
        <v>1.3132953596503399E-8</v>
      </c>
      <c r="G32388">
        <v>4568819</v>
      </c>
      <c r="H32388">
        <v>12127891</v>
      </c>
      <c r="I32388">
        <v>25204338</v>
      </c>
      <c r="J32388">
        <v>5</v>
      </c>
    </row>
    <row r="32389" spans="1:10" x14ac:dyDescent="0.25">
      <c r="A32389" t="s">
        <v>362</v>
      </c>
      <c r="B32389" s="1" t="str">
        <f>HYPERLINK("http://dsautomobiles.gf","dsautomobiles.gf")</f>
        <v>dsautomobiles.gf</v>
      </c>
      <c r="C32389" t="s">
        <v>638</v>
      </c>
      <c r="D32389" t="s">
        <v>959</v>
      </c>
      <c r="F32389">
        <v>7.4987316473933102E-9</v>
      </c>
      <c r="G32389">
        <v>11016328</v>
      </c>
      <c r="H32389">
        <v>12114095</v>
      </c>
      <c r="I32389">
        <v>25627119</v>
      </c>
      <c r="J32389">
        <v>5</v>
      </c>
    </row>
    <row r="32390" spans="1:10" x14ac:dyDescent="0.25">
      <c r="A32390" t="s">
        <v>362</v>
      </c>
      <c r="B32390" s="1" t="str">
        <f>HYPERLINK("http://opel.gf","opel.gf")</f>
        <v>opel.gf</v>
      </c>
      <c r="C32390" t="s">
        <v>638</v>
      </c>
      <c r="D32390" t="s">
        <v>959</v>
      </c>
      <c r="F32390">
        <v>9.7330493745140899E-9</v>
      </c>
      <c r="G32390">
        <v>7043091</v>
      </c>
      <c r="H32390">
        <v>11180500</v>
      </c>
      <c r="I32390">
        <v>31429417</v>
      </c>
      <c r="J32390">
        <v>4</v>
      </c>
    </row>
    <row r="32391" spans="1:10" x14ac:dyDescent="0.25">
      <c r="A32391" t="s">
        <v>362</v>
      </c>
      <c r="B32391" s="1" t="str">
        <f>HYPERLINK("http://fiat.com.gh","fiat.com.gh")</f>
        <v>fiat.com.gh</v>
      </c>
      <c r="C32391" t="s">
        <v>640</v>
      </c>
      <c r="D32391" t="s">
        <v>961</v>
      </c>
      <c r="F32391">
        <v>7.9613346433184495E-9</v>
      </c>
      <c r="G32391">
        <v>9992454</v>
      </c>
      <c r="H32391">
        <v>12148174</v>
      </c>
      <c r="I32391">
        <v>24673540</v>
      </c>
      <c r="J32391">
        <v>5</v>
      </c>
    </row>
    <row r="32392" spans="1:10" x14ac:dyDescent="0.25">
      <c r="A32392" t="s">
        <v>362</v>
      </c>
      <c r="B32392" s="1" t="str">
        <f>HYPERLINK("http://citroen.gp","citroen.gp")</f>
        <v>citroen.gp</v>
      </c>
      <c r="C32392" t="s">
        <v>645</v>
      </c>
      <c r="F32392">
        <v>1.37633234315524E-8</v>
      </c>
      <c r="G32392">
        <v>4295865</v>
      </c>
      <c r="H32392">
        <v>12154474</v>
      </c>
      <c r="I32392">
        <v>24507543</v>
      </c>
      <c r="J32392">
        <v>5</v>
      </c>
    </row>
    <row r="32393" spans="1:10" x14ac:dyDescent="0.25">
      <c r="A32393" t="s">
        <v>362</v>
      </c>
      <c r="B32393" s="1" t="str">
        <f>HYPERLINK("http://dsautomobiles.gp","dsautomobiles.gp")</f>
        <v>dsautomobiles.gp</v>
      </c>
      <c r="C32393" t="s">
        <v>645</v>
      </c>
      <c r="F32393">
        <v>7.4949702406254396E-9</v>
      </c>
      <c r="G32393">
        <v>11024449</v>
      </c>
      <c r="H32393">
        <v>11992338</v>
      </c>
      <c r="I32393">
        <v>28339951</v>
      </c>
      <c r="J32393">
        <v>5</v>
      </c>
    </row>
    <row r="32394" spans="1:10" x14ac:dyDescent="0.25">
      <c r="A32394" t="s">
        <v>362</v>
      </c>
      <c r="B32394" s="1" t="str">
        <f>HYPERLINK("http://opel.gp","opel.gp")</f>
        <v>opel.gp</v>
      </c>
      <c r="C32394" t="s">
        <v>645</v>
      </c>
      <c r="F32394">
        <v>1.0209055087946E-8</v>
      </c>
      <c r="G32394">
        <v>6538120</v>
      </c>
      <c r="H32394">
        <v>11180503</v>
      </c>
      <c r="I32394">
        <v>31429389</v>
      </c>
      <c r="J32394">
        <v>5</v>
      </c>
    </row>
    <row r="32395" spans="1:10" x14ac:dyDescent="0.25">
      <c r="A32395" t="s">
        <v>362</v>
      </c>
      <c r="B32395" s="1" t="str">
        <f>HYPERLINK("http://peugeot.gp","peugeot.gp")</f>
        <v>peugeot.gp</v>
      </c>
      <c r="C32395" t="s">
        <v>645</v>
      </c>
      <c r="F32395">
        <v>9.6941112644136806E-9</v>
      </c>
      <c r="G32395">
        <v>7087293</v>
      </c>
      <c r="H32395">
        <v>10996527</v>
      </c>
      <c r="I32395">
        <v>33639794</v>
      </c>
      <c r="J32395">
        <v>5</v>
      </c>
    </row>
    <row r="32396" spans="1:10" x14ac:dyDescent="0.25">
      <c r="A32396" t="s">
        <v>362</v>
      </c>
      <c r="B32396" s="1" t="str">
        <f>HYPERLINK("http://abarth.gr","abarth.gr")</f>
        <v>abarth.gr</v>
      </c>
      <c r="C32396" t="s">
        <v>447</v>
      </c>
      <c r="D32396" t="s">
        <v>825</v>
      </c>
      <c r="F32396">
        <v>2.3080188165834399E-8</v>
      </c>
      <c r="G32396">
        <v>2262180</v>
      </c>
      <c r="H32396">
        <v>12238816</v>
      </c>
      <c r="I32396">
        <v>22291531</v>
      </c>
      <c r="J32396">
        <v>5</v>
      </c>
    </row>
    <row r="32397" spans="1:10" x14ac:dyDescent="0.25">
      <c r="A32397" t="s">
        <v>362</v>
      </c>
      <c r="B32397" s="1" t="str">
        <f>HYPERLINK("http://alfaromeo.gr","alfaromeo.gr")</f>
        <v>alfaromeo.gr</v>
      </c>
      <c r="C32397" t="s">
        <v>447</v>
      </c>
      <c r="D32397" t="s">
        <v>825</v>
      </c>
      <c r="F32397">
        <v>1.7543651947548699E-8</v>
      </c>
      <c r="G32397">
        <v>3132049</v>
      </c>
      <c r="H32397">
        <v>12409255</v>
      </c>
      <c r="I32397">
        <v>18617503</v>
      </c>
      <c r="J32397">
        <v>6</v>
      </c>
    </row>
    <row r="32398" spans="1:10" x14ac:dyDescent="0.25">
      <c r="A32398" t="s">
        <v>362</v>
      </c>
      <c r="B32398" s="1" t="str">
        <f>HYPERLINK("http://citroen.gr","citroen.gr")</f>
        <v>citroen.gr</v>
      </c>
      <c r="C32398" t="s">
        <v>447</v>
      </c>
      <c r="D32398" t="s">
        <v>825</v>
      </c>
      <c r="F32398">
        <v>3.9882346965950699E-8</v>
      </c>
      <c r="G32398">
        <v>1295684</v>
      </c>
      <c r="H32398">
        <v>14239370</v>
      </c>
      <c r="I32398">
        <v>1513324</v>
      </c>
      <c r="J32398">
        <v>5</v>
      </c>
    </row>
    <row r="32399" spans="1:10" x14ac:dyDescent="0.25">
      <c r="A32399" t="s">
        <v>362</v>
      </c>
      <c r="B32399" s="1" t="str">
        <f>HYPERLINK("http://dsautomobiles.gr","dsautomobiles.gr")</f>
        <v>dsautomobiles.gr</v>
      </c>
      <c r="C32399" t="s">
        <v>447</v>
      </c>
      <c r="D32399" t="s">
        <v>825</v>
      </c>
      <c r="F32399">
        <v>1.6668949187865901E-8</v>
      </c>
      <c r="G32399">
        <v>3366714</v>
      </c>
      <c r="H32399">
        <v>14375484</v>
      </c>
      <c r="I32399">
        <v>1225483</v>
      </c>
      <c r="J32399">
        <v>5</v>
      </c>
    </row>
    <row r="32400" spans="1:10" x14ac:dyDescent="0.25">
      <c r="A32400" t="s">
        <v>362</v>
      </c>
      <c r="B32400" s="1" t="str">
        <f>HYPERLINK("http://fiat.gr","fiat.gr")</f>
        <v>fiat.gr</v>
      </c>
      <c r="C32400" t="s">
        <v>447</v>
      </c>
      <c r="D32400" t="s">
        <v>825</v>
      </c>
      <c r="F32400">
        <v>5.8717314558694802E-8</v>
      </c>
      <c r="G32400">
        <v>755889</v>
      </c>
      <c r="H32400">
        <v>13683144</v>
      </c>
      <c r="I32400">
        <v>9533703</v>
      </c>
      <c r="J32400">
        <v>4</v>
      </c>
    </row>
    <row r="32401" spans="1:10" x14ac:dyDescent="0.25">
      <c r="A32401" t="s">
        <v>362</v>
      </c>
      <c r="B32401" s="1" t="str">
        <f>HYPERLINK("http://fiatprofessional.gr","fiatprofessional.gr")</f>
        <v>fiatprofessional.gr</v>
      </c>
      <c r="C32401" t="s">
        <v>447</v>
      </c>
      <c r="D32401" t="s">
        <v>825</v>
      </c>
      <c r="F32401">
        <v>8.5595434965829403E-9</v>
      </c>
      <c r="G32401">
        <v>8730200</v>
      </c>
      <c r="H32401">
        <v>11078128</v>
      </c>
      <c r="I32401">
        <v>32501158</v>
      </c>
      <c r="J32401">
        <v>5</v>
      </c>
    </row>
    <row r="32402" spans="1:10" x14ac:dyDescent="0.25">
      <c r="A32402" t="s">
        <v>362</v>
      </c>
      <c r="B32402" s="1" t="str">
        <f>HYPERLINK("http://jeep.gr","jeep.gr")</f>
        <v>jeep.gr</v>
      </c>
      <c r="C32402" t="s">
        <v>447</v>
      </c>
      <c r="D32402" t="s">
        <v>825</v>
      </c>
      <c r="F32402">
        <v>5.6101248743863401E-8</v>
      </c>
      <c r="G32402">
        <v>798150</v>
      </c>
      <c r="H32402">
        <v>14074386</v>
      </c>
      <c r="I32402">
        <v>2945032</v>
      </c>
      <c r="J32402">
        <v>5</v>
      </c>
    </row>
    <row r="32403" spans="1:10" x14ac:dyDescent="0.25">
      <c r="A32403" t="s">
        <v>362</v>
      </c>
      <c r="B32403" s="1" t="str">
        <f>HYPERLINK("http://opel.gr","opel.gr")</f>
        <v>opel.gr</v>
      </c>
      <c r="C32403" t="s">
        <v>447</v>
      </c>
      <c r="D32403" t="s">
        <v>825</v>
      </c>
      <c r="F32403">
        <v>2.40923788592927E-8</v>
      </c>
      <c r="G32403">
        <v>2153963</v>
      </c>
      <c r="H32403">
        <v>14073091</v>
      </c>
      <c r="I32403">
        <v>3018378</v>
      </c>
      <c r="J32403">
        <v>4</v>
      </c>
    </row>
    <row r="32404" spans="1:10" x14ac:dyDescent="0.25">
      <c r="A32404" t="s">
        <v>362</v>
      </c>
      <c r="B32404" s="1" t="str">
        <f>HYPERLINK("http://aramis.group","aramis.group")</f>
        <v>aramis.group</v>
      </c>
      <c r="C32404" t="s">
        <v>602</v>
      </c>
      <c r="F32404">
        <v>3.1584305011849503E-8</v>
      </c>
      <c r="G32404">
        <v>1633974</v>
      </c>
      <c r="H32404">
        <v>13588920</v>
      </c>
      <c r="I32404">
        <v>9670527</v>
      </c>
      <c r="J32404">
        <v>4</v>
      </c>
    </row>
    <row r="32405" spans="1:10" x14ac:dyDescent="0.25">
      <c r="A32405" t="s">
        <v>362</v>
      </c>
      <c r="B32405" s="1" t="str">
        <f>HYPERLINK("http://citroen.com.hk","citroen.com.hk")</f>
        <v>citroen.com.hk</v>
      </c>
      <c r="C32405" t="s">
        <v>450</v>
      </c>
      <c r="D32405" t="s">
        <v>827</v>
      </c>
      <c r="F32405">
        <v>9.4498797987266894E-9</v>
      </c>
      <c r="G32405">
        <v>7382985</v>
      </c>
      <c r="H32405">
        <v>13764267</v>
      </c>
      <c r="I32405">
        <v>7314005</v>
      </c>
      <c r="J32405">
        <v>5</v>
      </c>
    </row>
    <row r="32406" spans="1:10" x14ac:dyDescent="0.25">
      <c r="A32406" t="s">
        <v>362</v>
      </c>
      <c r="B32406" s="1" t="str">
        <f>HYPERLINK("http://jeep.com.hk","jeep.com.hk")</f>
        <v>jeep.com.hk</v>
      </c>
      <c r="C32406" t="s">
        <v>450</v>
      </c>
      <c r="D32406" t="s">
        <v>827</v>
      </c>
      <c r="F32406">
        <v>4.1683265396482E-8</v>
      </c>
      <c r="G32406">
        <v>1187422</v>
      </c>
      <c r="H32406">
        <v>12295643</v>
      </c>
      <c r="I32406">
        <v>20952855</v>
      </c>
      <c r="J32406">
        <v>5</v>
      </c>
    </row>
    <row r="32407" spans="1:10" x14ac:dyDescent="0.25">
      <c r="A32407" t="s">
        <v>362</v>
      </c>
      <c r="B32407" s="1" t="str">
        <f>HYPERLINK("http://maserati.hk","maserati.hk")</f>
        <v>maserati.hk</v>
      </c>
      <c r="C32407" t="s">
        <v>450</v>
      </c>
      <c r="D32407" t="s">
        <v>827</v>
      </c>
      <c r="F32407">
        <v>5.0803813219071802E-9</v>
      </c>
      <c r="G32407">
        <v>27500072</v>
      </c>
      <c r="H32407">
        <v>8586029</v>
      </c>
      <c r="I32407">
        <v>70907010</v>
      </c>
      <c r="J32407">
        <v>5</v>
      </c>
    </row>
    <row r="32408" spans="1:10" x14ac:dyDescent="0.25">
      <c r="A32408" t="s">
        <v>362</v>
      </c>
      <c r="B32408" s="1" t="str">
        <f>HYPERLINK("http://citroen.hr","citroen.hr")</f>
        <v>citroen.hr</v>
      </c>
      <c r="C32408" t="s">
        <v>452</v>
      </c>
      <c r="D32408" t="s">
        <v>829</v>
      </c>
      <c r="F32408">
        <v>1.8622997579567401E-8</v>
      </c>
      <c r="G32408">
        <v>2903136</v>
      </c>
      <c r="H32408">
        <v>14074290</v>
      </c>
      <c r="I32408">
        <v>2948640</v>
      </c>
      <c r="J32408">
        <v>5</v>
      </c>
    </row>
    <row r="32409" spans="1:10" x14ac:dyDescent="0.25">
      <c r="A32409" t="s">
        <v>362</v>
      </c>
      <c r="B32409" s="1" t="str">
        <f>HYPERLINK("http://fiat.hr","fiat.hr")</f>
        <v>fiat.hr</v>
      </c>
      <c r="C32409" t="s">
        <v>452</v>
      </c>
      <c r="D32409" t="s">
        <v>829</v>
      </c>
      <c r="F32409">
        <v>1.4132487844768899E-8</v>
      </c>
      <c r="G32409">
        <v>4153787</v>
      </c>
      <c r="H32409">
        <v>14073766</v>
      </c>
      <c r="I32409">
        <v>2972930</v>
      </c>
      <c r="J32409">
        <v>5</v>
      </c>
    </row>
    <row r="32410" spans="1:10" x14ac:dyDescent="0.25">
      <c r="A32410" t="s">
        <v>362</v>
      </c>
      <c r="B32410" s="1" t="str">
        <f>HYPERLINK("http://opel.hr","opel.hr")</f>
        <v>opel.hr</v>
      </c>
      <c r="C32410" t="s">
        <v>452</v>
      </c>
      <c r="D32410" t="s">
        <v>829</v>
      </c>
      <c r="F32410">
        <v>2.35709480168146E-8</v>
      </c>
      <c r="G32410">
        <v>2207025</v>
      </c>
      <c r="H32410">
        <v>14073108</v>
      </c>
      <c r="I32410">
        <v>3016692</v>
      </c>
      <c r="J32410">
        <v>4</v>
      </c>
    </row>
    <row r="32411" spans="1:10" x14ac:dyDescent="0.25">
      <c r="A32411" t="s">
        <v>362</v>
      </c>
      <c r="B32411" s="1" t="str">
        <f>HYPERLINK("http://abarth.hu","abarth.hu")</f>
        <v>abarth.hu</v>
      </c>
      <c r="C32411" t="s">
        <v>453</v>
      </c>
      <c r="D32411" t="s">
        <v>830</v>
      </c>
      <c r="F32411">
        <v>2.23086669316931E-8</v>
      </c>
      <c r="G32411">
        <v>2349997</v>
      </c>
      <c r="H32411">
        <v>12176378</v>
      </c>
      <c r="I32411">
        <v>23898194</v>
      </c>
      <c r="J32411">
        <v>5</v>
      </c>
    </row>
    <row r="32412" spans="1:10" x14ac:dyDescent="0.25">
      <c r="A32412" t="s">
        <v>362</v>
      </c>
      <c r="B32412" s="1" t="str">
        <f>HYPERLINK("http://alfaromeo.hu","alfaromeo.hu")</f>
        <v>alfaromeo.hu</v>
      </c>
      <c r="C32412" t="s">
        <v>453</v>
      </c>
      <c r="D32412" t="s">
        <v>830</v>
      </c>
      <c r="F32412">
        <v>2.0888081516055499E-8</v>
      </c>
      <c r="G32412">
        <v>2530974</v>
      </c>
      <c r="H32412">
        <v>12258481</v>
      </c>
      <c r="I32412">
        <v>21806927</v>
      </c>
      <c r="J32412">
        <v>5</v>
      </c>
    </row>
    <row r="32413" spans="1:10" x14ac:dyDescent="0.25">
      <c r="A32413" t="s">
        <v>362</v>
      </c>
      <c r="B32413" s="1" t="str">
        <f>HYPERLINK("http://citroen.hu","citroen.hu")</f>
        <v>citroen.hu</v>
      </c>
      <c r="C32413" t="s">
        <v>453</v>
      </c>
      <c r="D32413" t="s">
        <v>830</v>
      </c>
      <c r="F32413">
        <v>3.73268430604028E-8</v>
      </c>
      <c r="G32413">
        <v>1387052</v>
      </c>
      <c r="H32413">
        <v>14074565</v>
      </c>
      <c r="I32413">
        <v>2938630</v>
      </c>
      <c r="J32413">
        <v>5</v>
      </c>
    </row>
    <row r="32414" spans="1:10" x14ac:dyDescent="0.25">
      <c r="A32414" t="s">
        <v>362</v>
      </c>
      <c r="B32414" s="1" t="str">
        <f>HYPERLINK("http://citroenszekszard.hu","citroenszekszard.hu")</f>
        <v>citroenszekszard.hu</v>
      </c>
      <c r="C32414" t="s">
        <v>453</v>
      </c>
      <c r="D32414" t="s">
        <v>830</v>
      </c>
      <c r="J32414">
        <v>7</v>
      </c>
    </row>
    <row r="32415" spans="1:10" x14ac:dyDescent="0.25">
      <c r="A32415" t="s">
        <v>362</v>
      </c>
      <c r="B32415" s="1" t="str">
        <f>HYPERLINK("http://dsautomobiles.hu","dsautomobiles.hu")</f>
        <v>dsautomobiles.hu</v>
      </c>
      <c r="C32415" t="s">
        <v>453</v>
      </c>
      <c r="D32415" t="s">
        <v>830</v>
      </c>
      <c r="F32415">
        <v>1.04478956902604E-8</v>
      </c>
      <c r="G32415">
        <v>6315459</v>
      </c>
      <c r="H32415">
        <v>12231737</v>
      </c>
      <c r="I32415">
        <v>22454399</v>
      </c>
      <c r="J32415">
        <v>5</v>
      </c>
    </row>
    <row r="32416" spans="1:10" x14ac:dyDescent="0.25">
      <c r="A32416" t="s">
        <v>362</v>
      </c>
      <c r="B32416" s="1" t="str">
        <f>HYPERLINK("http://fiat.hu","fiat.hu")</f>
        <v>fiat.hu</v>
      </c>
      <c r="C32416" t="s">
        <v>453</v>
      </c>
      <c r="D32416" t="s">
        <v>830</v>
      </c>
      <c r="F32416">
        <v>6.0895381256268001E-8</v>
      </c>
      <c r="G32416">
        <v>723657</v>
      </c>
      <c r="H32416">
        <v>14075131</v>
      </c>
      <c r="I32416">
        <v>2917601</v>
      </c>
      <c r="J32416">
        <v>4</v>
      </c>
    </row>
    <row r="32417" spans="1:10" x14ac:dyDescent="0.25">
      <c r="A32417" t="s">
        <v>362</v>
      </c>
      <c r="B32417" s="1" t="str">
        <f>HYPERLINK("http://fiatprofessional.hu","fiatprofessional.hu")</f>
        <v>fiatprofessional.hu</v>
      </c>
      <c r="C32417" t="s">
        <v>453</v>
      </c>
      <c r="D32417" t="s">
        <v>830</v>
      </c>
      <c r="F32417">
        <v>9.6030672019813606E-9</v>
      </c>
      <c r="G32417">
        <v>7196576</v>
      </c>
      <c r="H32417">
        <v>12346018</v>
      </c>
      <c r="I32417">
        <v>19833354</v>
      </c>
      <c r="J32417">
        <v>5</v>
      </c>
    </row>
    <row r="32418" spans="1:10" x14ac:dyDescent="0.25">
      <c r="A32418" t="s">
        <v>362</v>
      </c>
      <c r="B32418" s="1" t="str">
        <f>HYPERLINK("http://jeep.hu","jeep.hu")</f>
        <v>jeep.hu</v>
      </c>
      <c r="C32418" t="s">
        <v>453</v>
      </c>
      <c r="D32418" t="s">
        <v>830</v>
      </c>
      <c r="F32418">
        <v>5.50694223719973E-8</v>
      </c>
      <c r="G32418">
        <v>816411</v>
      </c>
      <c r="H32418">
        <v>12376456</v>
      </c>
      <c r="I32418">
        <v>19283271</v>
      </c>
      <c r="J32418">
        <v>5</v>
      </c>
    </row>
    <row r="32419" spans="1:10" x14ac:dyDescent="0.25">
      <c r="A32419" t="s">
        <v>362</v>
      </c>
      <c r="B32419" s="1" t="str">
        <f>HYPERLINK("http://opel.hu","opel.hu")</f>
        <v>opel.hu</v>
      </c>
      <c r="C32419" t="s">
        <v>453</v>
      </c>
      <c r="D32419" t="s">
        <v>830</v>
      </c>
      <c r="F32419">
        <v>6.72049786080291E-8</v>
      </c>
      <c r="G32419">
        <v>636251</v>
      </c>
      <c r="H32419">
        <v>14076309</v>
      </c>
      <c r="I32419">
        <v>2890300</v>
      </c>
      <c r="J32419">
        <v>4</v>
      </c>
    </row>
    <row r="32420" spans="1:10" x14ac:dyDescent="0.25">
      <c r="A32420" t="s">
        <v>362</v>
      </c>
      <c r="B32420" s="1" t="str">
        <f>HYPERLINK("http://citroen.ie","citroen.ie")</f>
        <v>citroen.ie</v>
      </c>
      <c r="C32420" t="s">
        <v>455</v>
      </c>
      <c r="D32420" t="s">
        <v>832</v>
      </c>
      <c r="F32420">
        <v>3.0660650915567098E-8</v>
      </c>
      <c r="G32420">
        <v>1679956</v>
      </c>
      <c r="H32420">
        <v>14580096</v>
      </c>
      <c r="I32420">
        <v>711102</v>
      </c>
      <c r="J32420">
        <v>5</v>
      </c>
    </row>
    <row r="32421" spans="1:10" x14ac:dyDescent="0.25">
      <c r="A32421" t="s">
        <v>362</v>
      </c>
      <c r="B32421" s="1" t="str">
        <f>HYPERLINK("http://dsautomobiles.ie","dsautomobiles.ie")</f>
        <v>dsautomobiles.ie</v>
      </c>
      <c r="C32421" t="s">
        <v>455</v>
      </c>
      <c r="D32421" t="s">
        <v>832</v>
      </c>
      <c r="F32421">
        <v>1.09554627847763E-8</v>
      </c>
      <c r="G32421">
        <v>5899358</v>
      </c>
      <c r="H32421">
        <v>12609768</v>
      </c>
      <c r="I32421">
        <v>16239116</v>
      </c>
      <c r="J32421">
        <v>5</v>
      </c>
    </row>
    <row r="32422" spans="1:10" x14ac:dyDescent="0.25">
      <c r="A32422" t="s">
        <v>362</v>
      </c>
      <c r="B32422" s="1" t="str">
        <f>HYPERLINK("http://fiat.ie","fiat.ie")</f>
        <v>fiat.ie</v>
      </c>
      <c r="C32422" t="s">
        <v>455</v>
      </c>
      <c r="D32422" t="s">
        <v>832</v>
      </c>
      <c r="F32422">
        <v>1.5484864526337299E-8</v>
      </c>
      <c r="G32422">
        <v>3689042</v>
      </c>
      <c r="H32422">
        <v>13767752</v>
      </c>
      <c r="I32422">
        <v>6915232</v>
      </c>
      <c r="J32422">
        <v>5</v>
      </c>
    </row>
    <row r="32423" spans="1:10" x14ac:dyDescent="0.25">
      <c r="A32423" t="s">
        <v>362</v>
      </c>
      <c r="B32423" s="1" t="str">
        <f>HYPERLINK("http://jeep.ie","jeep.ie")</f>
        <v>jeep.ie</v>
      </c>
      <c r="C32423" t="s">
        <v>455</v>
      </c>
      <c r="D32423" t="s">
        <v>832</v>
      </c>
      <c r="F32423">
        <v>8.3533852258658608E-9</v>
      </c>
      <c r="G32423">
        <v>9139151</v>
      </c>
      <c r="H32423">
        <v>13767276</v>
      </c>
      <c r="I32423">
        <v>6943233</v>
      </c>
      <c r="J32423">
        <v>5</v>
      </c>
    </row>
    <row r="32424" spans="1:10" x14ac:dyDescent="0.25">
      <c r="A32424" t="s">
        <v>362</v>
      </c>
      <c r="B32424" s="1" t="str">
        <f>HYPERLINK("http://opel.ie","opel.ie")</f>
        <v>opel.ie</v>
      </c>
      <c r="C32424" t="s">
        <v>455</v>
      </c>
      <c r="D32424" t="s">
        <v>832</v>
      </c>
      <c r="E32424">
        <v>922351</v>
      </c>
      <c r="F32424">
        <v>6.9014560222636395E-8</v>
      </c>
      <c r="G32424">
        <v>615831</v>
      </c>
      <c r="H32424">
        <v>14248230</v>
      </c>
      <c r="I32424">
        <v>1454541</v>
      </c>
      <c r="J32424">
        <v>4</v>
      </c>
    </row>
    <row r="32425" spans="1:10" x14ac:dyDescent="0.25">
      <c r="A32425" t="s">
        <v>362</v>
      </c>
      <c r="B32425" s="1" t="str">
        <f>HYPERLINK("http://fiat.co.il","fiat.co.il")</f>
        <v>fiat.co.il</v>
      </c>
      <c r="C32425" t="s">
        <v>456</v>
      </c>
      <c r="D32425" t="s">
        <v>833</v>
      </c>
      <c r="F32425">
        <v>1.18159373918134E-8</v>
      </c>
      <c r="G32425">
        <v>5292176</v>
      </c>
      <c r="H32425">
        <v>14077431</v>
      </c>
      <c r="I32425">
        <v>2865796</v>
      </c>
      <c r="J32425">
        <v>5</v>
      </c>
    </row>
    <row r="32426" spans="1:10" x14ac:dyDescent="0.25">
      <c r="A32426" t="s">
        <v>362</v>
      </c>
      <c r="B32426" s="1" t="str">
        <f>HYPERLINK("http://ikco.ir","ikco.ir")</f>
        <v>ikco.ir</v>
      </c>
      <c r="C32426" t="s">
        <v>751</v>
      </c>
      <c r="D32426" t="s">
        <v>1010</v>
      </c>
      <c r="E32426">
        <v>4950</v>
      </c>
      <c r="F32426">
        <v>2.37424466699438E-7</v>
      </c>
      <c r="G32426">
        <v>157769</v>
      </c>
      <c r="H32426">
        <v>14084408</v>
      </c>
      <c r="I32426">
        <v>2787565</v>
      </c>
      <c r="J32426">
        <v>6</v>
      </c>
    </row>
    <row r="32427" spans="1:10" x14ac:dyDescent="0.25">
      <c r="A32427" t="s">
        <v>362</v>
      </c>
      <c r="B32427" s="1" t="str">
        <f>HYPERLINK("http://ikco-peugeot.ir","ikco-peugeot.ir")</f>
        <v>ikco-peugeot.ir</v>
      </c>
      <c r="C32427" t="s">
        <v>751</v>
      </c>
      <c r="D32427" t="s">
        <v>1010</v>
      </c>
      <c r="F32427">
        <v>6.5839267284986297E-9</v>
      </c>
      <c r="G32427">
        <v>13738613</v>
      </c>
      <c r="H32427">
        <v>14071940</v>
      </c>
      <c r="I32427">
        <v>3220266</v>
      </c>
      <c r="J32427">
        <v>5</v>
      </c>
    </row>
    <row r="32428" spans="1:10" x14ac:dyDescent="0.25">
      <c r="A32428" t="s">
        <v>362</v>
      </c>
      <c r="B32428" s="1" t="str">
        <f>HYPERLINK("http://ikcopress.ir","ikcopress.ir")</f>
        <v>ikcopress.ir</v>
      </c>
      <c r="C32428" t="s">
        <v>751</v>
      </c>
      <c r="D32428" t="s">
        <v>1010</v>
      </c>
      <c r="E32428">
        <v>383331</v>
      </c>
      <c r="F32428">
        <v>1.07486986291808E-7</v>
      </c>
      <c r="G32428">
        <v>372432</v>
      </c>
      <c r="H32428">
        <v>14077217</v>
      </c>
      <c r="I32428">
        <v>2870677</v>
      </c>
      <c r="J32428">
        <v>6</v>
      </c>
    </row>
    <row r="32429" spans="1:10" x14ac:dyDescent="0.25">
      <c r="A32429" t="s">
        <v>362</v>
      </c>
      <c r="B32429" s="1" t="str">
        <f>HYPERLINK("http://ikd.ir","ikd.ir")</f>
        <v>ikd.ir</v>
      </c>
      <c r="C32429" t="s">
        <v>751</v>
      </c>
      <c r="D32429" t="s">
        <v>1010</v>
      </c>
      <c r="E32429">
        <v>309452</v>
      </c>
      <c r="F32429">
        <v>2.3702230424834099E-8</v>
      </c>
      <c r="G32429">
        <v>2193282</v>
      </c>
      <c r="H32429">
        <v>12195744</v>
      </c>
      <c r="I32429">
        <v>23433567</v>
      </c>
      <c r="J32429">
        <v>7</v>
      </c>
    </row>
    <row r="32430" spans="1:10" x14ac:dyDescent="0.25">
      <c r="A32430" t="s">
        <v>362</v>
      </c>
      <c r="B32430" s="1" t="str">
        <f>HYPERLINK("http://citroen.is","citroen.is")</f>
        <v>citroen.is</v>
      </c>
      <c r="C32430" t="s">
        <v>594</v>
      </c>
      <c r="D32430" t="s">
        <v>929</v>
      </c>
      <c r="F32430">
        <v>9.5798170537936496E-9</v>
      </c>
      <c r="G32430">
        <v>7228056</v>
      </c>
      <c r="H32430">
        <v>12095047</v>
      </c>
      <c r="I32430">
        <v>26097718</v>
      </c>
      <c r="J32430">
        <v>5</v>
      </c>
    </row>
    <row r="32431" spans="1:10" x14ac:dyDescent="0.25">
      <c r="A32431" t="s">
        <v>362</v>
      </c>
      <c r="B32431" s="1" t="str">
        <f>HYPERLINK("http://fiat.is","fiat.is")</f>
        <v>fiat.is</v>
      </c>
      <c r="C32431" t="s">
        <v>594</v>
      </c>
      <c r="D32431" t="s">
        <v>929</v>
      </c>
      <c r="F32431">
        <v>1.1513830423872501E-8</v>
      </c>
      <c r="G32431">
        <v>5494124</v>
      </c>
      <c r="H32431">
        <v>12254117</v>
      </c>
      <c r="I32431">
        <v>21917874</v>
      </c>
      <c r="J32431">
        <v>5</v>
      </c>
    </row>
    <row r="32432" spans="1:10" x14ac:dyDescent="0.25">
      <c r="A32432" t="s">
        <v>362</v>
      </c>
      <c r="B32432" s="1" t="str">
        <f>HYPERLINK("http://fiatprofessional.is","fiatprofessional.is")</f>
        <v>fiatprofessional.is</v>
      </c>
      <c r="C32432" t="s">
        <v>594</v>
      </c>
      <c r="D32432" t="s">
        <v>929</v>
      </c>
      <c r="F32432">
        <v>7.7841586857029306E-9</v>
      </c>
      <c r="G32432">
        <v>10358795</v>
      </c>
      <c r="H32432">
        <v>11400545</v>
      </c>
      <c r="I32432">
        <v>30223491</v>
      </c>
      <c r="J32432">
        <v>5</v>
      </c>
    </row>
    <row r="32433" spans="1:10" x14ac:dyDescent="0.25">
      <c r="A32433" t="s">
        <v>362</v>
      </c>
      <c r="B32433" s="1" t="str">
        <f>HYPERLINK("http://opel.is","opel.is")</f>
        <v>opel.is</v>
      </c>
      <c r="C32433" t="s">
        <v>594</v>
      </c>
      <c r="D32433" t="s">
        <v>929</v>
      </c>
      <c r="F32433">
        <v>1.7178133375589202E-8</v>
      </c>
      <c r="G32433">
        <v>3231753</v>
      </c>
      <c r="H32433">
        <v>11078764</v>
      </c>
      <c r="I32433">
        <v>32495488</v>
      </c>
      <c r="J32433">
        <v>4</v>
      </c>
    </row>
    <row r="32434" spans="1:10" x14ac:dyDescent="0.25">
      <c r="A32434" t="s">
        <v>362</v>
      </c>
      <c r="B32434" s="1" t="str">
        <f>HYPERLINK("http://3-w.it","3-w.it")</f>
        <v>3-w.it</v>
      </c>
      <c r="C32434" t="s">
        <v>459</v>
      </c>
      <c r="D32434" t="s">
        <v>835</v>
      </c>
      <c r="F32434">
        <v>1.19558539772504E-8</v>
      </c>
      <c r="G32434">
        <v>5203662</v>
      </c>
      <c r="H32434">
        <v>12133271</v>
      </c>
      <c r="I32434">
        <v>25046406</v>
      </c>
      <c r="J32434">
        <v>7</v>
      </c>
    </row>
    <row r="32435" spans="1:10" x14ac:dyDescent="0.25">
      <c r="A32435" t="s">
        <v>362</v>
      </c>
      <c r="B32435" s="1" t="str">
        <f>HYPERLINK("http://abarth.it","abarth.it")</f>
        <v>abarth.it</v>
      </c>
      <c r="C32435" t="s">
        <v>459</v>
      </c>
      <c r="D32435" t="s">
        <v>835</v>
      </c>
      <c r="E32435">
        <v>682585</v>
      </c>
      <c r="F32435">
        <v>1.35200133666953E-7</v>
      </c>
      <c r="G32435">
        <v>288636</v>
      </c>
      <c r="H32435">
        <v>17132278</v>
      </c>
      <c r="I32435">
        <v>56206</v>
      </c>
      <c r="J32435">
        <v>4</v>
      </c>
    </row>
    <row r="32436" spans="1:10" x14ac:dyDescent="0.25">
      <c r="A32436" t="s">
        <v>362</v>
      </c>
      <c r="B32436" s="1" t="str">
        <f>HYPERLINK("http://alfaromeo.it","alfaromeo.it")</f>
        <v>alfaromeo.it</v>
      </c>
      <c r="C32436" t="s">
        <v>459</v>
      </c>
      <c r="D32436" t="s">
        <v>835</v>
      </c>
      <c r="E32436">
        <v>347373</v>
      </c>
      <c r="F32436">
        <v>1.3080365431624499E-7</v>
      </c>
      <c r="G32436">
        <v>299119</v>
      </c>
      <c r="H32436">
        <v>14617226</v>
      </c>
      <c r="I32436">
        <v>663624</v>
      </c>
      <c r="J32436">
        <v>5</v>
      </c>
    </row>
    <row r="32437" spans="1:10" x14ac:dyDescent="0.25">
      <c r="A32437" t="s">
        <v>362</v>
      </c>
      <c r="B32437" s="1" t="str">
        <f>HYPERLINK("http://assistenzacitroenroma.it","assistenzacitroenroma.it")</f>
        <v>assistenzacitroenroma.it</v>
      </c>
      <c r="C32437" t="s">
        <v>459</v>
      </c>
      <c r="D32437" t="s">
        <v>835</v>
      </c>
      <c r="F32437">
        <v>8.6099149011973903E-9</v>
      </c>
      <c r="G32437">
        <v>8638646</v>
      </c>
      <c r="H32437">
        <v>10876396</v>
      </c>
      <c r="I32437">
        <v>36385613</v>
      </c>
      <c r="J32437">
        <v>7</v>
      </c>
    </row>
    <row r="32438" spans="1:10" x14ac:dyDescent="0.25">
      <c r="A32438" t="s">
        <v>362</v>
      </c>
      <c r="B32438" s="1" t="str">
        <f>HYPERLINK("http://auto-e.it","auto-e.it")</f>
        <v>auto-e.it</v>
      </c>
      <c r="C32438" t="s">
        <v>459</v>
      </c>
      <c r="D32438" t="s">
        <v>835</v>
      </c>
      <c r="F32438">
        <v>4.4439304314062803E-9</v>
      </c>
      <c r="G32438">
        <v>77870055</v>
      </c>
      <c r="H32438">
        <v>10593562</v>
      </c>
      <c r="I32438">
        <v>45470463</v>
      </c>
      <c r="J32438">
        <v>7</v>
      </c>
    </row>
    <row r="32439" spans="1:10" x14ac:dyDescent="0.25">
      <c r="A32439" t="s">
        <v>362</v>
      </c>
      <c r="B32439" s="1" t="str">
        <f>HYPERLINK("http://autoalberta.it","autoalberta.it")</f>
        <v>autoalberta.it</v>
      </c>
      <c r="C32439" t="s">
        <v>459</v>
      </c>
      <c r="D32439" t="s">
        <v>835</v>
      </c>
      <c r="F32439">
        <v>4.4879026210134504E-9</v>
      </c>
      <c r="G32439">
        <v>60861007</v>
      </c>
      <c r="H32439">
        <v>10343737</v>
      </c>
      <c r="I32439">
        <v>57791908</v>
      </c>
      <c r="J32439">
        <v>6</v>
      </c>
    </row>
    <row r="32440" spans="1:10" x14ac:dyDescent="0.25">
      <c r="A32440" t="s">
        <v>362</v>
      </c>
      <c r="B32440" s="1" t="str">
        <f>HYPERLINK("http://citroen.it","citroen.it")</f>
        <v>citroen.it</v>
      </c>
      <c r="C32440" t="s">
        <v>459</v>
      </c>
      <c r="D32440" t="s">
        <v>835</v>
      </c>
      <c r="E32440">
        <v>324129</v>
      </c>
      <c r="F32440">
        <v>1.2962555615838399E-7</v>
      </c>
      <c r="G32440">
        <v>302067</v>
      </c>
      <c r="H32440">
        <v>14572706</v>
      </c>
      <c r="I32440">
        <v>733192</v>
      </c>
      <c r="J32440">
        <v>5</v>
      </c>
    </row>
    <row r="32441" spans="1:10" x14ac:dyDescent="0.25">
      <c r="A32441" t="s">
        <v>362</v>
      </c>
      <c r="B32441" s="1" t="str">
        <f>HYPERLINK("http://crf.it","crf.it")</f>
        <v>crf.it</v>
      </c>
      <c r="C32441" t="s">
        <v>459</v>
      </c>
      <c r="D32441" t="s">
        <v>835</v>
      </c>
      <c r="F32441">
        <v>9.3712949254760803E-8</v>
      </c>
      <c r="G32441">
        <v>433469</v>
      </c>
      <c r="H32441">
        <v>14311911</v>
      </c>
      <c r="I32441">
        <v>1340052</v>
      </c>
      <c r="J32441">
        <v>7</v>
      </c>
    </row>
    <row r="32442" spans="1:10" x14ac:dyDescent="0.25">
      <c r="A32442" t="s">
        <v>362</v>
      </c>
      <c r="B32442" s="1" t="str">
        <f>HYPERLINK("http://dsautomobiles.it","dsautomobiles.it")</f>
        <v>dsautomobiles.it</v>
      </c>
      <c r="C32442" t="s">
        <v>459</v>
      </c>
      <c r="D32442" t="s">
        <v>835</v>
      </c>
      <c r="F32442">
        <v>3.4793064052182298E-8</v>
      </c>
      <c r="G32442">
        <v>1492181</v>
      </c>
      <c r="H32442">
        <v>14085190</v>
      </c>
      <c r="I32442">
        <v>2780299</v>
      </c>
      <c r="J32442">
        <v>5</v>
      </c>
    </row>
    <row r="32443" spans="1:10" x14ac:dyDescent="0.25">
      <c r="A32443" t="s">
        <v>362</v>
      </c>
      <c r="B32443" s="1" t="str">
        <f>HYPERLINK("http://dsstoretorino.it","dsstoretorino.it")</f>
        <v>dsstoretorino.it</v>
      </c>
      <c r="C32443" t="s">
        <v>459</v>
      </c>
      <c r="D32443" t="s">
        <v>835</v>
      </c>
      <c r="F32443">
        <v>4.9321575247800801E-9</v>
      </c>
      <c r="G32443">
        <v>31317643</v>
      </c>
      <c r="H32443">
        <v>7687647.5</v>
      </c>
      <c r="I32443">
        <v>75990497</v>
      </c>
      <c r="J32443">
        <v>5</v>
      </c>
    </row>
    <row r="32444" spans="1:10" x14ac:dyDescent="0.25">
      <c r="A32444" t="s">
        <v>362</v>
      </c>
      <c r="B32444" s="1" t="str">
        <f>HYPERLINK("http://fcabank.it","fcabank.it")</f>
        <v>fcabank.it</v>
      </c>
      <c r="C32444" t="s">
        <v>459</v>
      </c>
      <c r="D32444" t="s">
        <v>835</v>
      </c>
      <c r="F32444">
        <v>8.7623079056761794E-8</v>
      </c>
      <c r="G32444">
        <v>468120</v>
      </c>
      <c r="H32444">
        <v>13725008</v>
      </c>
      <c r="I32444">
        <v>9465243</v>
      </c>
      <c r="J32444">
        <v>5</v>
      </c>
    </row>
    <row r="32445" spans="1:10" x14ac:dyDescent="0.25">
      <c r="A32445" t="s">
        <v>362</v>
      </c>
      <c r="B32445" s="1" t="str">
        <f>HYPERLINK("http://fiat.it","fiat.it")</f>
        <v>fiat.it</v>
      </c>
      <c r="C32445" t="s">
        <v>459</v>
      </c>
      <c r="D32445" t="s">
        <v>835</v>
      </c>
      <c r="E32445">
        <v>129538</v>
      </c>
      <c r="F32445">
        <v>3.0434750417629402E-7</v>
      </c>
      <c r="G32445">
        <v>122158</v>
      </c>
      <c r="H32445">
        <v>14920110</v>
      </c>
      <c r="I32445">
        <v>452038</v>
      </c>
      <c r="J32445">
        <v>4</v>
      </c>
    </row>
    <row r="32446" spans="1:10" x14ac:dyDescent="0.25">
      <c r="A32446" t="s">
        <v>362</v>
      </c>
      <c r="B32446" s="1" t="str">
        <f>HYPERLINK("http://fiatprofessional.it","fiatprofessional.it")</f>
        <v>fiatprofessional.it</v>
      </c>
      <c r="C32446" t="s">
        <v>459</v>
      </c>
      <c r="D32446" t="s">
        <v>835</v>
      </c>
      <c r="F32446">
        <v>2.6183043521909301E-8</v>
      </c>
      <c r="G32446">
        <v>1967349</v>
      </c>
      <c r="H32446">
        <v>14236754</v>
      </c>
      <c r="I32446">
        <v>1571096</v>
      </c>
      <c r="J32446">
        <v>5</v>
      </c>
    </row>
    <row r="32447" spans="1:10" x14ac:dyDescent="0.25">
      <c r="A32447" t="s">
        <v>362</v>
      </c>
      <c r="B32447" s="1" t="str">
        <f>HYPERLINK("http://isvor.it","isvor.it")</f>
        <v>isvor.it</v>
      </c>
      <c r="C32447" t="s">
        <v>459</v>
      </c>
      <c r="D32447" t="s">
        <v>835</v>
      </c>
      <c r="E32447">
        <v>243184</v>
      </c>
      <c r="F32447">
        <v>5.1914306887774702E-9</v>
      </c>
      <c r="G32447">
        <v>25313468</v>
      </c>
      <c r="H32447">
        <v>11218514</v>
      </c>
      <c r="I32447">
        <v>31104520</v>
      </c>
      <c r="J32447">
        <v>5</v>
      </c>
    </row>
    <row r="32448" spans="1:10" x14ac:dyDescent="0.25">
      <c r="A32448" t="s">
        <v>362</v>
      </c>
      <c r="B32448" s="1" t="str">
        <f>HYPERLINK("http://lancia.it","lancia.it")</f>
        <v>lancia.it</v>
      </c>
      <c r="C32448" t="s">
        <v>459</v>
      </c>
      <c r="D32448" t="s">
        <v>835</v>
      </c>
      <c r="E32448">
        <v>772370</v>
      </c>
      <c r="F32448">
        <v>8.9443639977861703E-8</v>
      </c>
      <c r="G32448">
        <v>456701</v>
      </c>
      <c r="H32448">
        <v>14528746</v>
      </c>
      <c r="I32448">
        <v>789561</v>
      </c>
      <c r="J32448">
        <v>5</v>
      </c>
    </row>
    <row r="32449" spans="1:10" x14ac:dyDescent="0.25">
      <c r="A32449" t="s">
        <v>362</v>
      </c>
      <c r="B32449" s="1" t="str">
        <f>HYPERLINK("http://maserati.it","maserati.it")</f>
        <v>maserati.it</v>
      </c>
      <c r="C32449" t="s">
        <v>459</v>
      </c>
      <c r="D32449" t="s">
        <v>835</v>
      </c>
      <c r="E32449">
        <v>885926</v>
      </c>
      <c r="F32449">
        <v>8.0792903588748798E-8</v>
      </c>
      <c r="G32449">
        <v>516821</v>
      </c>
      <c r="H32449">
        <v>14463887</v>
      </c>
      <c r="I32449">
        <v>1045411</v>
      </c>
      <c r="J32449">
        <v>3</v>
      </c>
    </row>
    <row r="32450" spans="1:10" x14ac:dyDescent="0.25">
      <c r="A32450" t="s">
        <v>362</v>
      </c>
      <c r="B32450" s="1" t="str">
        <f>HYPERLINK("http://opel.it","opel.it")</f>
        <v>opel.it</v>
      </c>
      <c r="C32450" t="s">
        <v>459</v>
      </c>
      <c r="D32450" t="s">
        <v>835</v>
      </c>
      <c r="E32450">
        <v>588748</v>
      </c>
      <c r="F32450">
        <v>8.27689602449145E-8</v>
      </c>
      <c r="G32450">
        <v>504024</v>
      </c>
      <c r="H32450">
        <v>14496681</v>
      </c>
      <c r="I32450">
        <v>869703</v>
      </c>
      <c r="J32450">
        <v>4</v>
      </c>
    </row>
    <row r="32451" spans="1:10" x14ac:dyDescent="0.25">
      <c r="A32451" t="s">
        <v>362</v>
      </c>
      <c r="B32451" s="1" t="str">
        <f>HYPERLINK("http://peugeot.it","peugeot.it")</f>
        <v>peugeot.it</v>
      </c>
      <c r="C32451" t="s">
        <v>459</v>
      </c>
      <c r="D32451" t="s">
        <v>835</v>
      </c>
      <c r="E32451">
        <v>321822</v>
      </c>
      <c r="F32451">
        <v>2.22002313992576E-7</v>
      </c>
      <c r="G32451">
        <v>169787</v>
      </c>
      <c r="H32451">
        <v>14511369</v>
      </c>
      <c r="I32451">
        <v>821624</v>
      </c>
      <c r="J32451">
        <v>4</v>
      </c>
    </row>
    <row r="32452" spans="1:10" x14ac:dyDescent="0.25">
      <c r="A32452" t="s">
        <v>362</v>
      </c>
      <c r="B32452" s="1" t="str">
        <f>HYPERLINK("http://vmmotori.it","vmmotori.it")</f>
        <v>vmmotori.it</v>
      </c>
      <c r="C32452" t="s">
        <v>459</v>
      </c>
      <c r="D32452" t="s">
        <v>835</v>
      </c>
      <c r="F32452">
        <v>2.5417086523380701E-8</v>
      </c>
      <c r="G32452">
        <v>2029712</v>
      </c>
      <c r="H32452">
        <v>14469711</v>
      </c>
      <c r="I32452">
        <v>1042510</v>
      </c>
      <c r="J32452">
        <v>4</v>
      </c>
    </row>
    <row r="32453" spans="1:10" x14ac:dyDescent="0.25">
      <c r="A32453" t="s">
        <v>362</v>
      </c>
      <c r="B32453" s="1" t="str">
        <f>HYPERLINK("http://citroen.jp","citroen.jp")</f>
        <v>citroen.jp</v>
      </c>
      <c r="C32453" t="s">
        <v>461</v>
      </c>
      <c r="D32453" t="s">
        <v>837</v>
      </c>
      <c r="E32453">
        <v>996167</v>
      </c>
      <c r="F32453">
        <v>5.6472996001054699E-8</v>
      </c>
      <c r="G32453">
        <v>791921</v>
      </c>
      <c r="H32453">
        <v>14373483</v>
      </c>
      <c r="I32453">
        <v>1282269</v>
      </c>
      <c r="J32453">
        <v>5</v>
      </c>
    </row>
    <row r="32454" spans="1:10" x14ac:dyDescent="0.25">
      <c r="A32454" t="s">
        <v>362</v>
      </c>
      <c r="B32454" s="1" t="str">
        <f>HYPERLINK("http://maserati.co.jp","maserati.co.jp")</f>
        <v>maserati.co.jp</v>
      </c>
      <c r="C32454" t="s">
        <v>461</v>
      </c>
      <c r="D32454" t="s">
        <v>837</v>
      </c>
      <c r="F32454">
        <v>2.3374137995881801E-8</v>
      </c>
      <c r="G32454">
        <v>2231124</v>
      </c>
      <c r="H32454">
        <v>14086509</v>
      </c>
      <c r="I32454">
        <v>2769659</v>
      </c>
      <c r="J32454">
        <v>5</v>
      </c>
    </row>
    <row r="32455" spans="1:10" x14ac:dyDescent="0.25">
      <c r="A32455" t="s">
        <v>362</v>
      </c>
      <c r="B32455" s="1" t="str">
        <f>HYPERLINK("http://dsautomobiles.jp","dsautomobiles.jp")</f>
        <v>dsautomobiles.jp</v>
      </c>
      <c r="C32455" t="s">
        <v>461</v>
      </c>
      <c r="D32455" t="s">
        <v>837</v>
      </c>
      <c r="F32455">
        <v>1.66166053678836E-8</v>
      </c>
      <c r="G32455">
        <v>3385194</v>
      </c>
      <c r="H32455">
        <v>14080631</v>
      </c>
      <c r="I32455">
        <v>2818098</v>
      </c>
      <c r="J32455">
        <v>5</v>
      </c>
    </row>
    <row r="32456" spans="1:10" x14ac:dyDescent="0.25">
      <c r="A32456" t="s">
        <v>362</v>
      </c>
      <c r="B32456" s="1" t="str">
        <f>HYPERLINK("http://jeep.com.kh","jeep.com.kh")</f>
        <v>jeep.com.kh</v>
      </c>
      <c r="C32456" t="s">
        <v>512</v>
      </c>
      <c r="D32456" t="s">
        <v>886</v>
      </c>
      <c r="F32456">
        <v>4.1283421426314698E-8</v>
      </c>
      <c r="G32456">
        <v>1220792</v>
      </c>
      <c r="H32456">
        <v>12271898</v>
      </c>
      <c r="I32456">
        <v>21481255</v>
      </c>
      <c r="J32456">
        <v>5</v>
      </c>
    </row>
    <row r="32457" spans="1:10" x14ac:dyDescent="0.25">
      <c r="A32457" t="s">
        <v>362</v>
      </c>
      <c r="B32457" s="1" t="str">
        <f>HYPERLINK("http://dsautomobiles.co.kr","dsautomobiles.co.kr")</f>
        <v>dsautomobiles.co.kr</v>
      </c>
      <c r="C32457" t="s">
        <v>463</v>
      </c>
      <c r="D32457" t="s">
        <v>839</v>
      </c>
      <c r="F32457">
        <v>1.7898046522382798E-8</v>
      </c>
      <c r="G32457">
        <v>3053912</v>
      </c>
      <c r="H32457">
        <v>12733995</v>
      </c>
      <c r="I32457">
        <v>15177047</v>
      </c>
      <c r="J32457">
        <v>5</v>
      </c>
    </row>
    <row r="32458" spans="1:10" x14ac:dyDescent="0.25">
      <c r="A32458" t="s">
        <v>362</v>
      </c>
      <c r="B32458" s="1" t="str">
        <f>HYPERLINK("http://jeep.co.kr","jeep.co.kr")</f>
        <v>jeep.co.kr</v>
      </c>
      <c r="C32458" t="s">
        <v>463</v>
      </c>
      <c r="D32458" t="s">
        <v>839</v>
      </c>
      <c r="F32458">
        <v>1.04341029027923E-7</v>
      </c>
      <c r="G32458">
        <v>384200</v>
      </c>
      <c r="H32458">
        <v>14094388</v>
      </c>
      <c r="I32458">
        <v>2732410</v>
      </c>
      <c r="J32458">
        <v>5</v>
      </c>
    </row>
    <row r="32459" spans="1:10" x14ac:dyDescent="0.25">
      <c r="A32459" t="s">
        <v>362</v>
      </c>
      <c r="B32459" s="1" t="str">
        <f>HYPERLINK("http://opel.com.lb","opel.com.lb")</f>
        <v>opel.com.lb</v>
      </c>
      <c r="C32459" t="s">
        <v>612</v>
      </c>
      <c r="D32459" t="s">
        <v>938</v>
      </c>
      <c r="F32459">
        <v>9.2976533672202405E-9</v>
      </c>
      <c r="G32459">
        <v>7575533</v>
      </c>
      <c r="H32459">
        <v>11070768</v>
      </c>
      <c r="I32459">
        <v>32569250</v>
      </c>
      <c r="J32459">
        <v>4</v>
      </c>
    </row>
    <row r="32460" spans="1:10" x14ac:dyDescent="0.25">
      <c r="A32460" t="s">
        <v>362</v>
      </c>
      <c r="B32460" s="1" t="str">
        <f>HYPERLINK("http://jeep.com.lk","jeep.com.lk")</f>
        <v>jeep.com.lk</v>
      </c>
      <c r="C32460" t="s">
        <v>466</v>
      </c>
      <c r="D32460" t="s">
        <v>842</v>
      </c>
      <c r="F32460">
        <v>4.1216071883559201E-8</v>
      </c>
      <c r="G32460">
        <v>1259910</v>
      </c>
      <c r="H32460">
        <v>12278067</v>
      </c>
      <c r="I32460">
        <v>21346399</v>
      </c>
      <c r="J32460">
        <v>5</v>
      </c>
    </row>
    <row r="32461" spans="1:10" x14ac:dyDescent="0.25">
      <c r="A32461" t="s">
        <v>362</v>
      </c>
      <c r="B32461" s="1" t="str">
        <f>HYPERLINK("http://citroen.lt","citroen.lt")</f>
        <v>citroen.lt</v>
      </c>
      <c r="C32461" t="s">
        <v>467</v>
      </c>
      <c r="D32461" t="s">
        <v>843</v>
      </c>
      <c r="F32461">
        <v>1.10497213435555E-8</v>
      </c>
      <c r="G32461">
        <v>5822372</v>
      </c>
      <c r="H32461">
        <v>12853241</v>
      </c>
      <c r="I32461">
        <v>14244601</v>
      </c>
      <c r="J32461">
        <v>5</v>
      </c>
    </row>
    <row r="32462" spans="1:10" x14ac:dyDescent="0.25">
      <c r="A32462" t="s">
        <v>362</v>
      </c>
      <c r="B32462" s="1" t="str">
        <f>HYPERLINK("http://fiat.lt","fiat.lt")</f>
        <v>fiat.lt</v>
      </c>
      <c r="C32462" t="s">
        <v>467</v>
      </c>
      <c r="D32462" t="s">
        <v>843</v>
      </c>
      <c r="F32462">
        <v>1.18633072185351E-8</v>
      </c>
      <c r="G32462">
        <v>5262333</v>
      </c>
      <c r="H32462">
        <v>12194395</v>
      </c>
      <c r="I32462">
        <v>23470011</v>
      </c>
      <c r="J32462">
        <v>5</v>
      </c>
    </row>
    <row r="32463" spans="1:10" x14ac:dyDescent="0.25">
      <c r="A32463" t="s">
        <v>362</v>
      </c>
      <c r="B32463" s="1" t="str">
        <f>HYPERLINK("http://opel.lt","opel.lt")</f>
        <v>opel.lt</v>
      </c>
      <c r="C32463" t="s">
        <v>467</v>
      </c>
      <c r="D32463" t="s">
        <v>843</v>
      </c>
      <c r="F32463">
        <v>1.8267298341907E-8</v>
      </c>
      <c r="G32463">
        <v>2973815</v>
      </c>
      <c r="H32463">
        <v>14072420</v>
      </c>
      <c r="I32463">
        <v>3096012</v>
      </c>
      <c r="J32463">
        <v>4</v>
      </c>
    </row>
    <row r="32464" spans="1:10" x14ac:dyDescent="0.25">
      <c r="A32464" t="s">
        <v>362</v>
      </c>
      <c r="B32464" s="1" t="str">
        <f>HYPERLINK("http://abarth.lu","abarth.lu")</f>
        <v>abarth.lu</v>
      </c>
      <c r="C32464" t="s">
        <v>547</v>
      </c>
      <c r="D32464" t="s">
        <v>904</v>
      </c>
      <c r="F32464">
        <v>2.0978490492800898E-8</v>
      </c>
      <c r="G32464">
        <v>2518689</v>
      </c>
      <c r="H32464">
        <v>14072598</v>
      </c>
      <c r="I32464">
        <v>3068455</v>
      </c>
      <c r="J32464">
        <v>5</v>
      </c>
    </row>
    <row r="32465" spans="1:10" x14ac:dyDescent="0.25">
      <c r="A32465" t="s">
        <v>362</v>
      </c>
      <c r="B32465" s="1" t="str">
        <f>HYPERLINK("http://alfaromeo.lu","alfaromeo.lu")</f>
        <v>alfaromeo.lu</v>
      </c>
      <c r="C32465" t="s">
        <v>547</v>
      </c>
      <c r="D32465" t="s">
        <v>904</v>
      </c>
      <c r="F32465">
        <v>1.0438079430379801E-8</v>
      </c>
      <c r="G32465">
        <v>6324531</v>
      </c>
      <c r="H32465">
        <v>11259404</v>
      </c>
      <c r="I32465">
        <v>30834839</v>
      </c>
      <c r="J32465">
        <v>7</v>
      </c>
    </row>
    <row r="32466" spans="1:10" x14ac:dyDescent="0.25">
      <c r="A32466" t="s">
        <v>362</v>
      </c>
      <c r="B32466" s="1" t="str">
        <f>HYPERLINK("http://citroen.lu","citroen.lu")</f>
        <v>citroen.lu</v>
      </c>
      <c r="C32466" t="s">
        <v>547</v>
      </c>
      <c r="D32466" t="s">
        <v>904</v>
      </c>
      <c r="F32466">
        <v>3.8779360666104197E-8</v>
      </c>
      <c r="G32466">
        <v>1329541</v>
      </c>
      <c r="H32466">
        <v>14072843</v>
      </c>
      <c r="I32466">
        <v>3040013</v>
      </c>
      <c r="J32466">
        <v>5</v>
      </c>
    </row>
    <row r="32467" spans="1:10" x14ac:dyDescent="0.25">
      <c r="A32467" t="s">
        <v>362</v>
      </c>
      <c r="B32467" s="1" t="str">
        <f>HYPERLINK("http://dsautomobiles.lu","dsautomobiles.lu")</f>
        <v>dsautomobiles.lu</v>
      </c>
      <c r="C32467" t="s">
        <v>547</v>
      </c>
      <c r="D32467" t="s">
        <v>904</v>
      </c>
      <c r="F32467">
        <v>2.12706644096409E-8</v>
      </c>
      <c r="G32467">
        <v>2477896</v>
      </c>
      <c r="H32467">
        <v>12246971</v>
      </c>
      <c r="I32467">
        <v>22073734</v>
      </c>
      <c r="J32467">
        <v>5</v>
      </c>
    </row>
    <row r="32468" spans="1:10" x14ac:dyDescent="0.25">
      <c r="A32468" t="s">
        <v>362</v>
      </c>
      <c r="B32468" s="1" t="str">
        <f>HYPERLINK("http://fiat.lu","fiat.lu")</f>
        <v>fiat.lu</v>
      </c>
      <c r="C32468" t="s">
        <v>547</v>
      </c>
      <c r="D32468" t="s">
        <v>904</v>
      </c>
      <c r="F32468">
        <v>2.7613850984873699E-8</v>
      </c>
      <c r="G32468">
        <v>1861923</v>
      </c>
      <c r="H32468">
        <v>12332813</v>
      </c>
      <c r="I32468">
        <v>20153631</v>
      </c>
      <c r="J32468">
        <v>4</v>
      </c>
    </row>
    <row r="32469" spans="1:10" x14ac:dyDescent="0.25">
      <c r="A32469" t="s">
        <v>362</v>
      </c>
      <c r="B32469" s="1" t="str">
        <f>HYPERLINK("http://fiatprofessional.lu","fiatprofessional.lu")</f>
        <v>fiatprofessional.lu</v>
      </c>
      <c r="C32469" t="s">
        <v>547</v>
      </c>
      <c r="D32469" t="s">
        <v>904</v>
      </c>
      <c r="F32469">
        <v>8.5760109373670507E-9</v>
      </c>
      <c r="G32469">
        <v>8700152</v>
      </c>
      <c r="H32469">
        <v>10821424</v>
      </c>
      <c r="I32469">
        <v>37595766</v>
      </c>
      <c r="J32469">
        <v>5</v>
      </c>
    </row>
    <row r="32470" spans="1:10" x14ac:dyDescent="0.25">
      <c r="A32470" t="s">
        <v>362</v>
      </c>
      <c r="B32470" s="1" t="str">
        <f>HYPERLINK("http://jeep.lu","jeep.lu")</f>
        <v>jeep.lu</v>
      </c>
      <c r="C32470" t="s">
        <v>547</v>
      </c>
      <c r="D32470" t="s">
        <v>904</v>
      </c>
      <c r="F32470">
        <v>1.41299789470984E-8</v>
      </c>
      <c r="G32470">
        <v>4154695</v>
      </c>
      <c r="H32470">
        <v>12277353</v>
      </c>
      <c r="I32470">
        <v>21363103</v>
      </c>
      <c r="J32470">
        <v>6</v>
      </c>
    </row>
    <row r="32471" spans="1:10" x14ac:dyDescent="0.25">
      <c r="A32471" t="s">
        <v>362</v>
      </c>
      <c r="B32471" s="1" t="str">
        <f>HYPERLINK("http://opel.lu","opel.lu")</f>
        <v>opel.lu</v>
      </c>
      <c r="C32471" t="s">
        <v>547</v>
      </c>
      <c r="D32471" t="s">
        <v>904</v>
      </c>
      <c r="F32471">
        <v>1.95363070817775E-8</v>
      </c>
      <c r="G32471">
        <v>2738676</v>
      </c>
      <c r="H32471">
        <v>12401672</v>
      </c>
      <c r="I32471">
        <v>18754284</v>
      </c>
      <c r="J32471">
        <v>4</v>
      </c>
    </row>
    <row r="32472" spans="1:10" x14ac:dyDescent="0.25">
      <c r="A32472" t="s">
        <v>362</v>
      </c>
      <c r="B32472" s="1" t="str">
        <f>HYPERLINK("http://peugeot.lu","peugeot.lu")</f>
        <v>peugeot.lu</v>
      </c>
      <c r="C32472" t="s">
        <v>547</v>
      </c>
      <c r="D32472" t="s">
        <v>904</v>
      </c>
      <c r="F32472">
        <v>3.1322752849053401E-8</v>
      </c>
      <c r="G32472">
        <v>1646389</v>
      </c>
      <c r="H32472">
        <v>12323297</v>
      </c>
      <c r="I32472">
        <v>20352770</v>
      </c>
      <c r="J32472">
        <v>4</v>
      </c>
    </row>
    <row r="32473" spans="1:10" x14ac:dyDescent="0.25">
      <c r="A32473" t="s">
        <v>362</v>
      </c>
      <c r="B32473" s="1" t="str">
        <f>HYPERLINK("http://alfaromeo.lv","alfaromeo.lv")</f>
        <v>alfaromeo.lv</v>
      </c>
      <c r="C32473" t="s">
        <v>468</v>
      </c>
      <c r="D32473" t="s">
        <v>844</v>
      </c>
      <c r="F32473">
        <v>8.0515050832088996E-9</v>
      </c>
      <c r="G32473">
        <v>9827648</v>
      </c>
      <c r="H32473">
        <v>12047404</v>
      </c>
      <c r="I32473">
        <v>27318895</v>
      </c>
      <c r="J32473">
        <v>5</v>
      </c>
    </row>
    <row r="32474" spans="1:10" x14ac:dyDescent="0.25">
      <c r="A32474" t="s">
        <v>362</v>
      </c>
      <c r="B32474" s="1" t="str">
        <f>HYPERLINK("http://citroen.lv","citroen.lv")</f>
        <v>citroen.lv</v>
      </c>
      <c r="C32474" t="s">
        <v>468</v>
      </c>
      <c r="D32474" t="s">
        <v>844</v>
      </c>
      <c r="F32474">
        <v>1.1991647210646399E-8</v>
      </c>
      <c r="G32474">
        <v>5181907</v>
      </c>
      <c r="H32474">
        <v>12843578</v>
      </c>
      <c r="I32474">
        <v>14327176</v>
      </c>
      <c r="J32474">
        <v>5</v>
      </c>
    </row>
    <row r="32475" spans="1:10" x14ac:dyDescent="0.25">
      <c r="A32475" t="s">
        <v>362</v>
      </c>
      <c r="B32475" s="1" t="str">
        <f>HYPERLINK("http://fiat.lv","fiat.lv")</f>
        <v>fiat.lv</v>
      </c>
      <c r="C32475" t="s">
        <v>468</v>
      </c>
      <c r="D32475" t="s">
        <v>844</v>
      </c>
      <c r="F32475">
        <v>1.10279930277065E-8</v>
      </c>
      <c r="G32475">
        <v>5838681</v>
      </c>
      <c r="H32475">
        <v>14072166</v>
      </c>
      <c r="I32475">
        <v>3147619</v>
      </c>
      <c r="J32475">
        <v>5</v>
      </c>
    </row>
    <row r="32476" spans="1:10" x14ac:dyDescent="0.25">
      <c r="A32476" t="s">
        <v>362</v>
      </c>
      <c r="B32476" s="1" t="str">
        <f>HYPERLINK("http://opel.lv","opel.lv")</f>
        <v>opel.lv</v>
      </c>
      <c r="C32476" t="s">
        <v>468</v>
      </c>
      <c r="D32476" t="s">
        <v>844</v>
      </c>
      <c r="F32476">
        <v>2.12242995446431E-8</v>
      </c>
      <c r="G32476">
        <v>2484641</v>
      </c>
      <c r="H32476">
        <v>14073066</v>
      </c>
      <c r="I32476">
        <v>3020231</v>
      </c>
      <c r="J32476">
        <v>4</v>
      </c>
    </row>
    <row r="32477" spans="1:10" x14ac:dyDescent="0.25">
      <c r="A32477" t="s">
        <v>362</v>
      </c>
      <c r="B32477" s="1" t="str">
        <f>HYPERLINK("http://peugeot.lv","peugeot.lv")</f>
        <v>peugeot.lv</v>
      </c>
      <c r="C32477" t="s">
        <v>468</v>
      </c>
      <c r="D32477" t="s">
        <v>844</v>
      </c>
      <c r="F32477">
        <v>8.1344429427312893E-9</v>
      </c>
      <c r="G32477">
        <v>9682564</v>
      </c>
      <c r="H32477">
        <v>14071797</v>
      </c>
      <c r="I32477">
        <v>3327947</v>
      </c>
      <c r="J32477">
        <v>6</v>
      </c>
    </row>
    <row r="32478" spans="1:10" x14ac:dyDescent="0.25">
      <c r="A32478" t="s">
        <v>362</v>
      </c>
      <c r="B32478" s="1" t="str">
        <f>HYPERLINK("http://abarth.ma","abarth.ma")</f>
        <v>abarth.ma</v>
      </c>
      <c r="C32478" t="s">
        <v>469</v>
      </c>
      <c r="D32478" t="s">
        <v>845</v>
      </c>
      <c r="F32478">
        <v>2.01010882034656E-8</v>
      </c>
      <c r="G32478">
        <v>2643733</v>
      </c>
      <c r="H32478">
        <v>12146923</v>
      </c>
      <c r="I32478">
        <v>24703160</v>
      </c>
      <c r="J32478">
        <v>5</v>
      </c>
    </row>
    <row r="32479" spans="1:10" x14ac:dyDescent="0.25">
      <c r="A32479" t="s">
        <v>362</v>
      </c>
      <c r="B32479" s="1" t="str">
        <f>HYPERLINK("http://citroen.ma","citroen.ma")</f>
        <v>citroen.ma</v>
      </c>
      <c r="C32479" t="s">
        <v>469</v>
      </c>
      <c r="D32479" t="s">
        <v>845</v>
      </c>
      <c r="F32479">
        <v>1.38629092341693E-8</v>
      </c>
      <c r="G32479">
        <v>4255515</v>
      </c>
      <c r="H32479">
        <v>13238955</v>
      </c>
      <c r="I32479">
        <v>11226122</v>
      </c>
      <c r="J32479">
        <v>5</v>
      </c>
    </row>
    <row r="32480" spans="1:10" x14ac:dyDescent="0.25">
      <c r="A32480" t="s">
        <v>362</v>
      </c>
      <c r="B32480" s="1" t="str">
        <f>HYPERLINK("http://dsautomobiles.ma","dsautomobiles.ma")</f>
        <v>dsautomobiles.ma</v>
      </c>
      <c r="C32480" t="s">
        <v>469</v>
      </c>
      <c r="D32480" t="s">
        <v>845</v>
      </c>
      <c r="F32480">
        <v>9.6353936886610806E-9</v>
      </c>
      <c r="G32480">
        <v>7156897</v>
      </c>
      <c r="H32480">
        <v>12177063</v>
      </c>
      <c r="I32480">
        <v>23882423</v>
      </c>
      <c r="J32480">
        <v>5</v>
      </c>
    </row>
    <row r="32481" spans="1:10" x14ac:dyDescent="0.25">
      <c r="A32481" t="s">
        <v>362</v>
      </c>
      <c r="B32481" s="1" t="str">
        <f>HYPERLINK("http://fiat.ma","fiat.ma")</f>
        <v>fiat.ma</v>
      </c>
      <c r="C32481" t="s">
        <v>469</v>
      </c>
      <c r="D32481" t="s">
        <v>845</v>
      </c>
      <c r="F32481">
        <v>1.3949155627390899E-8</v>
      </c>
      <c r="G32481">
        <v>4222212</v>
      </c>
      <c r="H32481">
        <v>12267317</v>
      </c>
      <c r="I32481">
        <v>21587719</v>
      </c>
      <c r="J32481">
        <v>5</v>
      </c>
    </row>
    <row r="32482" spans="1:10" x14ac:dyDescent="0.25">
      <c r="A32482" t="s">
        <v>362</v>
      </c>
      <c r="B32482" s="1" t="str">
        <f>HYPERLINK("http://fiatprofessional.ma","fiatprofessional.ma")</f>
        <v>fiatprofessional.ma</v>
      </c>
      <c r="C32482" t="s">
        <v>469</v>
      </c>
      <c r="D32482" t="s">
        <v>845</v>
      </c>
      <c r="F32482">
        <v>6.9610292166002804E-9</v>
      </c>
      <c r="G32482">
        <v>12429836</v>
      </c>
      <c r="H32482">
        <v>10817093</v>
      </c>
      <c r="I32482">
        <v>37690245</v>
      </c>
      <c r="J32482">
        <v>5</v>
      </c>
    </row>
    <row r="32483" spans="1:10" x14ac:dyDescent="0.25">
      <c r="A32483" t="s">
        <v>362</v>
      </c>
      <c r="B32483" s="1" t="str">
        <f>HYPERLINK("http://jeep.ma","jeep.ma")</f>
        <v>jeep.ma</v>
      </c>
      <c r="C32483" t="s">
        <v>469</v>
      </c>
      <c r="D32483" t="s">
        <v>845</v>
      </c>
      <c r="F32483">
        <v>4.6303640799613098E-8</v>
      </c>
      <c r="G32483">
        <v>1011006</v>
      </c>
      <c r="H32483">
        <v>12344404</v>
      </c>
      <c r="I32483">
        <v>19862694</v>
      </c>
      <c r="J32483">
        <v>5</v>
      </c>
    </row>
    <row r="32484" spans="1:10" x14ac:dyDescent="0.25">
      <c r="A32484" t="s">
        <v>362</v>
      </c>
      <c r="B32484" s="1" t="str">
        <f>HYPERLINK("http://opel.ma","opel.ma")</f>
        <v>opel.ma</v>
      </c>
      <c r="C32484" t="s">
        <v>469</v>
      </c>
      <c r="D32484" t="s">
        <v>845</v>
      </c>
      <c r="F32484">
        <v>1.1589122759075901E-8</v>
      </c>
      <c r="G32484">
        <v>5441275</v>
      </c>
      <c r="H32484">
        <v>12160943</v>
      </c>
      <c r="I32484">
        <v>24338918</v>
      </c>
      <c r="J32484">
        <v>4</v>
      </c>
    </row>
    <row r="32485" spans="1:10" x14ac:dyDescent="0.25">
      <c r="A32485" t="s">
        <v>362</v>
      </c>
      <c r="B32485" s="1" t="str">
        <f>HYPERLINK("http://fiatmoldova.md","fiatmoldova.md")</f>
        <v>fiatmoldova.md</v>
      </c>
      <c r="C32485" t="s">
        <v>571</v>
      </c>
      <c r="D32485" t="s">
        <v>918</v>
      </c>
      <c r="F32485">
        <v>5.2111401785253196E-9</v>
      </c>
      <c r="G32485">
        <v>24904752</v>
      </c>
      <c r="H32485">
        <v>10052505</v>
      </c>
      <c r="I32485">
        <v>60363945</v>
      </c>
      <c r="J32485">
        <v>5</v>
      </c>
    </row>
    <row r="32486" spans="1:10" x14ac:dyDescent="0.25">
      <c r="A32486" t="s">
        <v>362</v>
      </c>
      <c r="B32486" s="1" t="str">
        <f>HYPERLINK("http://opel.md","opel.md")</f>
        <v>opel.md</v>
      </c>
      <c r="C32486" t="s">
        <v>571</v>
      </c>
      <c r="D32486" t="s">
        <v>918</v>
      </c>
      <c r="F32486">
        <v>9.1932792000142404E-9</v>
      </c>
      <c r="G32486">
        <v>7718977</v>
      </c>
      <c r="H32486">
        <v>11087986</v>
      </c>
      <c r="I32486">
        <v>32403644</v>
      </c>
      <c r="J32486">
        <v>4</v>
      </c>
    </row>
    <row r="32487" spans="1:10" x14ac:dyDescent="0.25">
      <c r="A32487" t="s">
        <v>362</v>
      </c>
      <c r="B32487" s="1" t="str">
        <f>HYPERLINK("http://citroen.mg","citroen.mg")</f>
        <v>citroen.mg</v>
      </c>
      <c r="C32487" t="s">
        <v>615</v>
      </c>
      <c r="D32487" t="s">
        <v>940</v>
      </c>
      <c r="F32487">
        <v>1.1646062685543301E-8</v>
      </c>
      <c r="G32487">
        <v>5401743</v>
      </c>
      <c r="H32487">
        <v>12114292</v>
      </c>
      <c r="I32487">
        <v>25621838</v>
      </c>
      <c r="J32487">
        <v>5</v>
      </c>
    </row>
    <row r="32488" spans="1:10" x14ac:dyDescent="0.25">
      <c r="A32488" t="s">
        <v>362</v>
      </c>
      <c r="B32488" s="1" t="str">
        <f>HYPERLINK("http://fiat.mg","fiat.mg")</f>
        <v>fiat.mg</v>
      </c>
      <c r="C32488" t="s">
        <v>615</v>
      </c>
      <c r="D32488" t="s">
        <v>940</v>
      </c>
      <c r="F32488">
        <v>8.2461114840433607E-9</v>
      </c>
      <c r="G32488">
        <v>9387607</v>
      </c>
      <c r="H32488">
        <v>12148174</v>
      </c>
      <c r="I32488">
        <v>24673544</v>
      </c>
      <c r="J32488">
        <v>5</v>
      </c>
    </row>
    <row r="32489" spans="1:10" x14ac:dyDescent="0.25">
      <c r="A32489" t="s">
        <v>362</v>
      </c>
      <c r="B32489" s="1" t="str">
        <f>HYPERLINK("http://citroen.mk","citroen.mk")</f>
        <v>citroen.mk</v>
      </c>
      <c r="C32489" t="s">
        <v>531</v>
      </c>
      <c r="D32489" t="s">
        <v>895</v>
      </c>
      <c r="F32489">
        <v>5.6317936175088997E-9</v>
      </c>
      <c r="G32489">
        <v>19559091</v>
      </c>
      <c r="H32489">
        <v>10509846</v>
      </c>
      <c r="I32489">
        <v>49703108</v>
      </c>
      <c r="J32489">
        <v>6</v>
      </c>
    </row>
    <row r="32490" spans="1:10" x14ac:dyDescent="0.25">
      <c r="A32490" t="s">
        <v>362</v>
      </c>
      <c r="B32490" s="1" t="str">
        <f>HYPERLINK("http://citroen.com.mk","citroen.com.mk")</f>
        <v>citroen.com.mk</v>
      </c>
      <c r="C32490" t="s">
        <v>531</v>
      </c>
      <c r="D32490" t="s">
        <v>895</v>
      </c>
      <c r="F32490">
        <v>1.5926068198084198E-8</v>
      </c>
      <c r="G32490">
        <v>3565736</v>
      </c>
      <c r="H32490">
        <v>12113470</v>
      </c>
      <c r="I32490">
        <v>25641062</v>
      </c>
      <c r="J32490">
        <v>5</v>
      </c>
    </row>
    <row r="32491" spans="1:10" x14ac:dyDescent="0.25">
      <c r="A32491" t="s">
        <v>362</v>
      </c>
      <c r="B32491" s="1" t="str">
        <f>HYPERLINK("http://jeep.mk","jeep.mk")</f>
        <v>jeep.mk</v>
      </c>
      <c r="C32491" t="s">
        <v>531</v>
      </c>
      <c r="D32491" t="s">
        <v>895</v>
      </c>
      <c r="F32491">
        <v>5.8578631275998196E-9</v>
      </c>
      <c r="G32491">
        <v>17653475</v>
      </c>
      <c r="H32491">
        <v>10509660</v>
      </c>
      <c r="I32491">
        <v>49740453</v>
      </c>
      <c r="J32491">
        <v>5</v>
      </c>
    </row>
    <row r="32492" spans="1:10" x14ac:dyDescent="0.25">
      <c r="A32492" t="s">
        <v>362</v>
      </c>
      <c r="B32492" s="1" t="str">
        <f>HYPERLINK("http://opel.mk","opel.mk")</f>
        <v>opel.mk</v>
      </c>
      <c r="C32492" t="s">
        <v>531</v>
      </c>
      <c r="D32492" t="s">
        <v>895</v>
      </c>
      <c r="F32492">
        <v>2.09047937427102E-8</v>
      </c>
      <c r="G32492">
        <v>2528747</v>
      </c>
      <c r="H32492">
        <v>12136245</v>
      </c>
      <c r="I32492">
        <v>24971754</v>
      </c>
      <c r="J32492">
        <v>4</v>
      </c>
    </row>
    <row r="32493" spans="1:10" x14ac:dyDescent="0.25">
      <c r="A32493" t="s">
        <v>362</v>
      </c>
      <c r="B32493" s="1" t="str">
        <f>HYPERLINK("http://jeep.mn","jeep.mn")</f>
        <v>jeep.mn</v>
      </c>
      <c r="C32493" t="s">
        <v>652</v>
      </c>
      <c r="D32493" t="s">
        <v>971</v>
      </c>
      <c r="F32493">
        <v>4.1954506267483703E-8</v>
      </c>
      <c r="G32493">
        <v>1168983</v>
      </c>
      <c r="H32493">
        <v>12271923</v>
      </c>
      <c r="I32493">
        <v>21480588</v>
      </c>
      <c r="J32493">
        <v>5</v>
      </c>
    </row>
    <row r="32494" spans="1:10" x14ac:dyDescent="0.25">
      <c r="A32494" t="s">
        <v>362</v>
      </c>
      <c r="B32494" s="1" t="str">
        <f>HYPERLINK("http://opel.mobi","opel.mobi")</f>
        <v>opel.mobi</v>
      </c>
      <c r="C32494" t="s">
        <v>532</v>
      </c>
      <c r="F32494">
        <v>1.3094578360928101E-7</v>
      </c>
      <c r="G32494">
        <v>298752</v>
      </c>
      <c r="H32494">
        <v>14074463</v>
      </c>
      <c r="I32494">
        <v>2942330</v>
      </c>
      <c r="J32494">
        <v>4</v>
      </c>
    </row>
    <row r="32495" spans="1:10" x14ac:dyDescent="0.25">
      <c r="A32495" t="s">
        <v>362</v>
      </c>
      <c r="B32495" s="1" t="str">
        <f>HYPERLINK("http://citroen.mq","citroen.mq")</f>
        <v>citroen.mq</v>
      </c>
      <c r="C32495" t="s">
        <v>732</v>
      </c>
      <c r="D32495" t="s">
        <v>1009</v>
      </c>
      <c r="F32495">
        <v>2.7317579522566E-8</v>
      </c>
      <c r="G32495">
        <v>1881917</v>
      </c>
      <c r="H32495">
        <v>13745849</v>
      </c>
      <c r="I32495">
        <v>9423709</v>
      </c>
      <c r="J32495">
        <v>5</v>
      </c>
    </row>
    <row r="32496" spans="1:10" x14ac:dyDescent="0.25">
      <c r="A32496" t="s">
        <v>362</v>
      </c>
      <c r="B32496" s="1" t="str">
        <f>HYPERLINK("http://dsautomobiles.mq","dsautomobiles.mq")</f>
        <v>dsautomobiles.mq</v>
      </c>
      <c r="C32496" t="s">
        <v>732</v>
      </c>
      <c r="D32496" t="s">
        <v>1009</v>
      </c>
      <c r="F32496">
        <v>8.2159822999764501E-9</v>
      </c>
      <c r="G32496">
        <v>9544381</v>
      </c>
      <c r="H32496">
        <v>12103291</v>
      </c>
      <c r="I32496">
        <v>25889067</v>
      </c>
      <c r="J32496">
        <v>6</v>
      </c>
    </row>
    <row r="32497" spans="1:10" x14ac:dyDescent="0.25">
      <c r="A32497" t="s">
        <v>362</v>
      </c>
      <c r="B32497" s="1" t="str">
        <f>HYPERLINK("http://opel.mq","opel.mq")</f>
        <v>opel.mq</v>
      </c>
      <c r="C32497" t="s">
        <v>732</v>
      </c>
      <c r="D32497" t="s">
        <v>1009</v>
      </c>
      <c r="F32497">
        <v>1.0538828300868699E-8</v>
      </c>
      <c r="G32497">
        <v>6236401</v>
      </c>
      <c r="H32497">
        <v>11182528</v>
      </c>
      <c r="I32497">
        <v>31413403</v>
      </c>
      <c r="J32497">
        <v>5</v>
      </c>
    </row>
    <row r="32498" spans="1:10" x14ac:dyDescent="0.25">
      <c r="A32498" t="s">
        <v>362</v>
      </c>
      <c r="B32498" s="1" t="str">
        <f>HYPERLINK("http://citroen.com.mt","citroen.com.mt")</f>
        <v>citroen.com.mt</v>
      </c>
      <c r="C32498" t="s">
        <v>597</v>
      </c>
      <c r="D32498" t="s">
        <v>932</v>
      </c>
      <c r="F32498">
        <v>9.0007228319668497E-9</v>
      </c>
      <c r="G32498">
        <v>7990702</v>
      </c>
      <c r="H32498">
        <v>12862881</v>
      </c>
      <c r="I32498">
        <v>14180018</v>
      </c>
      <c r="J32498">
        <v>5</v>
      </c>
    </row>
    <row r="32499" spans="1:10" x14ac:dyDescent="0.25">
      <c r="A32499" t="s">
        <v>362</v>
      </c>
      <c r="B32499" s="1" t="str">
        <f>HYPERLINK("http://fiat.com.mt","fiat.com.mt")</f>
        <v>fiat.com.mt</v>
      </c>
      <c r="C32499" t="s">
        <v>597</v>
      </c>
      <c r="D32499" t="s">
        <v>932</v>
      </c>
      <c r="F32499">
        <v>1.0345437690616299E-8</v>
      </c>
      <c r="G32499">
        <v>6408911</v>
      </c>
      <c r="H32499">
        <v>12148274</v>
      </c>
      <c r="I32499">
        <v>24670721</v>
      </c>
      <c r="J32499">
        <v>5</v>
      </c>
    </row>
    <row r="32500" spans="1:10" x14ac:dyDescent="0.25">
      <c r="A32500" t="s">
        <v>362</v>
      </c>
      <c r="B32500" s="1" t="str">
        <f>HYPERLINK("http://opel.com.mt","opel.com.mt")</f>
        <v>opel.com.mt</v>
      </c>
      <c r="C32500" t="s">
        <v>597</v>
      </c>
      <c r="D32500" t="s">
        <v>932</v>
      </c>
      <c r="F32500">
        <v>1.7149340080077799E-8</v>
      </c>
      <c r="G32500">
        <v>3249967</v>
      </c>
      <c r="H32500">
        <v>14072333</v>
      </c>
      <c r="I32500">
        <v>3114201</v>
      </c>
      <c r="J32500">
        <v>4</v>
      </c>
    </row>
    <row r="32501" spans="1:10" x14ac:dyDescent="0.25">
      <c r="A32501" t="s">
        <v>362</v>
      </c>
      <c r="B32501" s="1" t="str">
        <f>HYPERLINK("http://fiat.mu","fiat.mu")</f>
        <v>fiat.mu</v>
      </c>
      <c r="C32501" t="s">
        <v>572</v>
      </c>
      <c r="D32501" t="s">
        <v>919</v>
      </c>
      <c r="F32501">
        <v>4.44380395335525E-9</v>
      </c>
      <c r="G32501">
        <v>85385076</v>
      </c>
      <c r="H32501">
        <v>0</v>
      </c>
      <c r="I32501">
        <v>86626780</v>
      </c>
      <c r="J32501">
        <v>6</v>
      </c>
    </row>
    <row r="32502" spans="1:10" x14ac:dyDescent="0.25">
      <c r="A32502" t="s">
        <v>362</v>
      </c>
      <c r="B32502" s="1" t="str">
        <f>HYPERLINK("http://alfaromeo.mx","alfaromeo.mx")</f>
        <v>alfaromeo.mx</v>
      </c>
      <c r="C32502" t="s">
        <v>471</v>
      </c>
      <c r="D32502" t="s">
        <v>847</v>
      </c>
      <c r="F32502">
        <v>1.36898217589971E-8</v>
      </c>
      <c r="G32502">
        <v>4325248</v>
      </c>
      <c r="H32502">
        <v>13780789</v>
      </c>
      <c r="I32502">
        <v>6467007</v>
      </c>
      <c r="J32502">
        <v>6</v>
      </c>
    </row>
    <row r="32503" spans="1:10" x14ac:dyDescent="0.25">
      <c r="A32503" t="s">
        <v>362</v>
      </c>
      <c r="B32503" s="1" t="str">
        <f>HYPERLINK("http://alfaromeo.com.mx","alfaromeo.com.mx")</f>
        <v>alfaromeo.com.mx</v>
      </c>
      <c r="C32503" t="s">
        <v>471</v>
      </c>
      <c r="D32503" t="s">
        <v>847</v>
      </c>
      <c r="F32503">
        <v>4.7422286959498802E-9</v>
      </c>
      <c r="G32503">
        <v>38692867</v>
      </c>
      <c r="H32503">
        <v>10778425</v>
      </c>
      <c r="I32503">
        <v>38979029</v>
      </c>
      <c r="J32503">
        <v>7</v>
      </c>
    </row>
    <row r="32504" spans="1:10" x14ac:dyDescent="0.25">
      <c r="A32504" t="s">
        <v>362</v>
      </c>
      <c r="B32504" s="1" t="str">
        <f>HYPERLINK("http://chrysler.com.mx","chrysler.com.mx")</f>
        <v>chrysler.com.mx</v>
      </c>
      <c r="C32504" t="s">
        <v>471</v>
      </c>
      <c r="D32504" t="s">
        <v>847</v>
      </c>
      <c r="F32504">
        <v>1.7005416925535199E-8</v>
      </c>
      <c r="G32504">
        <v>3282029</v>
      </c>
      <c r="H32504">
        <v>14079337</v>
      </c>
      <c r="I32504">
        <v>2834002</v>
      </c>
      <c r="J32504">
        <v>6</v>
      </c>
    </row>
    <row r="32505" spans="1:10" x14ac:dyDescent="0.25">
      <c r="A32505" t="s">
        <v>362</v>
      </c>
      <c r="B32505" s="1" t="str">
        <f>HYPERLINK("http://dodge.com.mx","dodge.com.mx")</f>
        <v>dodge.com.mx</v>
      </c>
      <c r="C32505" t="s">
        <v>471</v>
      </c>
      <c r="D32505" t="s">
        <v>847</v>
      </c>
      <c r="F32505">
        <v>2.8784088269845E-8</v>
      </c>
      <c r="G32505">
        <v>1788119</v>
      </c>
      <c r="H32505">
        <v>14586080</v>
      </c>
      <c r="I32505">
        <v>700847</v>
      </c>
      <c r="J32505">
        <v>5</v>
      </c>
    </row>
    <row r="32506" spans="1:10" x14ac:dyDescent="0.25">
      <c r="A32506" t="s">
        <v>362</v>
      </c>
      <c r="B32506" s="1" t="str">
        <f>HYPERLINK("http://eurostar.com.mx","eurostar.com.mx")</f>
        <v>eurostar.com.mx</v>
      </c>
      <c r="C32506" t="s">
        <v>471</v>
      </c>
      <c r="D32506" t="s">
        <v>847</v>
      </c>
      <c r="J32506">
        <v>6</v>
      </c>
    </row>
    <row r="32507" spans="1:10" x14ac:dyDescent="0.25">
      <c r="A32507" t="s">
        <v>362</v>
      </c>
      <c r="B32507" s="1" t="str">
        <f>HYPERLINK("http://fiat.com.mx","fiat.com.mx")</f>
        <v>fiat.com.mx</v>
      </c>
      <c r="C32507" t="s">
        <v>471</v>
      </c>
      <c r="D32507" t="s">
        <v>847</v>
      </c>
      <c r="F32507">
        <v>1.3722238231526001E-8</v>
      </c>
      <c r="G32507">
        <v>4312299</v>
      </c>
      <c r="H32507">
        <v>13136842</v>
      </c>
      <c r="I32507">
        <v>11900505</v>
      </c>
      <c r="J32507">
        <v>5</v>
      </c>
    </row>
    <row r="32508" spans="1:10" x14ac:dyDescent="0.25">
      <c r="A32508" t="s">
        <v>362</v>
      </c>
      <c r="B32508" s="1" t="str">
        <f>HYPERLINK("http://jeep.com.mx","jeep.com.mx")</f>
        <v>jeep.com.mx</v>
      </c>
      <c r="C32508" t="s">
        <v>471</v>
      </c>
      <c r="D32508" t="s">
        <v>847</v>
      </c>
      <c r="F32508">
        <v>4.7397233795313799E-8</v>
      </c>
      <c r="G32508">
        <v>983001</v>
      </c>
      <c r="H32508">
        <v>13156328</v>
      </c>
      <c r="I32508">
        <v>11800861</v>
      </c>
      <c r="J32508">
        <v>5</v>
      </c>
    </row>
    <row r="32509" spans="1:10" x14ac:dyDescent="0.25">
      <c r="A32509" t="s">
        <v>362</v>
      </c>
      <c r="B32509" s="1" t="str">
        <f>HYPERLINK("http://peugeot.com.mx","peugeot.com.mx")</f>
        <v>peugeot.com.mx</v>
      </c>
      <c r="C32509" t="s">
        <v>471</v>
      </c>
      <c r="D32509" t="s">
        <v>847</v>
      </c>
      <c r="F32509">
        <v>1.7336892875493599E-8</v>
      </c>
      <c r="G32509">
        <v>3190179</v>
      </c>
      <c r="H32509">
        <v>13967855</v>
      </c>
      <c r="I32509">
        <v>4082593</v>
      </c>
      <c r="J32509">
        <v>5</v>
      </c>
    </row>
    <row r="32510" spans="1:10" x14ac:dyDescent="0.25">
      <c r="A32510" t="s">
        <v>362</v>
      </c>
      <c r="B32510" s="1" t="str">
        <f>HYPERLINK("http://fcamexico.mx","fcamexico.mx")</f>
        <v>fcamexico.mx</v>
      </c>
      <c r="C32510" t="s">
        <v>471</v>
      </c>
      <c r="D32510" t="s">
        <v>847</v>
      </c>
      <c r="J32510">
        <v>5</v>
      </c>
    </row>
    <row r="32511" spans="1:10" x14ac:dyDescent="0.25">
      <c r="A32511" t="s">
        <v>362</v>
      </c>
      <c r="B32511" s="1" t="str">
        <f>HYPERLINK("http://citroen.com.my","citroen.com.my")</f>
        <v>citroen.com.my</v>
      </c>
      <c r="C32511" t="s">
        <v>472</v>
      </c>
      <c r="D32511" t="s">
        <v>848</v>
      </c>
      <c r="F32511">
        <v>1.07486904127383E-8</v>
      </c>
      <c r="G32511">
        <v>6061033</v>
      </c>
      <c r="H32511">
        <v>13939228</v>
      </c>
      <c r="I32511">
        <v>4400065</v>
      </c>
      <c r="J32511">
        <v>5</v>
      </c>
    </row>
    <row r="32512" spans="1:10" x14ac:dyDescent="0.25">
      <c r="A32512" t="s">
        <v>362</v>
      </c>
      <c r="B32512" s="1" t="str">
        <f>HYPERLINK("http://citroen.nc","citroen.nc")</f>
        <v>citroen.nc</v>
      </c>
      <c r="C32512" t="s">
        <v>724</v>
      </c>
      <c r="D32512" t="s">
        <v>1008</v>
      </c>
      <c r="F32512">
        <v>9.95208863833447E-9</v>
      </c>
      <c r="G32512">
        <v>6804207</v>
      </c>
      <c r="H32512">
        <v>12089754</v>
      </c>
      <c r="I32512">
        <v>26258216</v>
      </c>
      <c r="J32512">
        <v>5</v>
      </c>
    </row>
    <row r="32513" spans="1:10" x14ac:dyDescent="0.25">
      <c r="A32513" t="s">
        <v>362</v>
      </c>
      <c r="B32513" s="1" t="str">
        <f>HYPERLINK("http://dsautomobiles.nc","dsautomobiles.nc")</f>
        <v>dsautomobiles.nc</v>
      </c>
      <c r="C32513" t="s">
        <v>724</v>
      </c>
      <c r="D32513" t="s">
        <v>1008</v>
      </c>
      <c r="F32513">
        <v>7.34014681611173E-9</v>
      </c>
      <c r="G32513">
        <v>11383669</v>
      </c>
      <c r="H32513">
        <v>11992339</v>
      </c>
      <c r="I32513">
        <v>28339943</v>
      </c>
      <c r="J32513">
        <v>6</v>
      </c>
    </row>
    <row r="32514" spans="1:10" x14ac:dyDescent="0.25">
      <c r="A32514" t="s">
        <v>362</v>
      </c>
      <c r="B32514" s="1" t="str">
        <f>HYPERLINK("http://jeep.nc","jeep.nc")</f>
        <v>jeep.nc</v>
      </c>
      <c r="C32514" t="s">
        <v>724</v>
      </c>
      <c r="D32514" t="s">
        <v>1008</v>
      </c>
      <c r="F32514">
        <v>4.1490909574070497E-8</v>
      </c>
      <c r="G32514">
        <v>1201200</v>
      </c>
      <c r="H32514">
        <v>12271921</v>
      </c>
      <c r="I32514">
        <v>21480621</v>
      </c>
      <c r="J32514">
        <v>5</v>
      </c>
    </row>
    <row r="32515" spans="1:10" x14ac:dyDescent="0.25">
      <c r="A32515" t="s">
        <v>362</v>
      </c>
      <c r="B32515" s="1" t="str">
        <f>HYPERLINK("http://opel.nc","opel.nc")</f>
        <v>opel.nc</v>
      </c>
      <c r="C32515" t="s">
        <v>724</v>
      </c>
      <c r="D32515" t="s">
        <v>1008</v>
      </c>
      <c r="F32515">
        <v>8.90944724392392E-9</v>
      </c>
      <c r="G32515">
        <v>8129666</v>
      </c>
      <c r="H32515">
        <v>11070380</v>
      </c>
      <c r="I32515">
        <v>32573489</v>
      </c>
      <c r="J32515">
        <v>4</v>
      </c>
    </row>
    <row r="32516" spans="1:10" x14ac:dyDescent="0.25">
      <c r="A32516" t="s">
        <v>362</v>
      </c>
      <c r="B32516" s="1" t="str">
        <f>HYPERLINK("http://coloradospringsdodge.net","coloradospringsdodge.net")</f>
        <v>coloradospringsdodge.net</v>
      </c>
      <c r="C32516" t="s">
        <v>474</v>
      </c>
      <c r="F32516">
        <v>6.3429588768750603E-9</v>
      </c>
      <c r="G32516">
        <v>14796473</v>
      </c>
      <c r="H32516">
        <v>12720259</v>
      </c>
      <c r="I32516">
        <v>15251696</v>
      </c>
      <c r="J32516">
        <v>5</v>
      </c>
    </row>
    <row r="32517" spans="1:10" x14ac:dyDescent="0.25">
      <c r="A32517" t="s">
        <v>362</v>
      </c>
      <c r="B32517" s="1" t="str">
        <f>HYPERLINK("http://mountainvalleymotors.net","mountainvalleymotors.net")</f>
        <v>mountainvalleymotors.net</v>
      </c>
      <c r="C32517" t="s">
        <v>474</v>
      </c>
      <c r="F32517">
        <v>5.2194000640219104E-9</v>
      </c>
      <c r="G32517">
        <v>24756273</v>
      </c>
      <c r="H32517">
        <v>12484326</v>
      </c>
      <c r="I32517">
        <v>17557543</v>
      </c>
      <c r="J32517">
        <v>4</v>
      </c>
    </row>
    <row r="32518" spans="1:10" x14ac:dyDescent="0.25">
      <c r="A32518" t="s">
        <v>362</v>
      </c>
      <c r="B32518" s="1" t="str">
        <f>HYPERLINK("http://fiat.ng","fiat.ng")</f>
        <v>fiat.ng</v>
      </c>
      <c r="C32518" t="s">
        <v>475</v>
      </c>
      <c r="D32518" t="s">
        <v>850</v>
      </c>
      <c r="F32518">
        <v>7.9613346433184495E-9</v>
      </c>
      <c r="G32518">
        <v>9992455</v>
      </c>
      <c r="H32518">
        <v>12148174</v>
      </c>
      <c r="I32518">
        <v>24673547</v>
      </c>
      <c r="J32518">
        <v>5</v>
      </c>
    </row>
    <row r="32519" spans="1:10" x14ac:dyDescent="0.25">
      <c r="A32519" t="s">
        <v>362</v>
      </c>
      <c r="B32519" s="1" t="str">
        <f>HYPERLINK("http://jeep.ng","jeep.ng")</f>
        <v>jeep.ng</v>
      </c>
      <c r="C32519" t="s">
        <v>475</v>
      </c>
      <c r="D32519" t="s">
        <v>850</v>
      </c>
      <c r="F32519">
        <v>4.44380395335525E-9</v>
      </c>
      <c r="G32519">
        <v>85627429</v>
      </c>
      <c r="H32519">
        <v>0</v>
      </c>
      <c r="I32519">
        <v>86933582</v>
      </c>
      <c r="J32519">
        <v>5</v>
      </c>
    </row>
    <row r="32520" spans="1:10" x14ac:dyDescent="0.25">
      <c r="A32520" t="s">
        <v>362</v>
      </c>
      <c r="B32520" s="1" t="str">
        <f>HYPERLINK("http://abarth.nl","abarth.nl")</f>
        <v>abarth.nl</v>
      </c>
      <c r="C32520" t="s">
        <v>477</v>
      </c>
      <c r="D32520" t="s">
        <v>852</v>
      </c>
      <c r="F32520">
        <v>2.8313079075439999E-8</v>
      </c>
      <c r="G32520">
        <v>1817517</v>
      </c>
      <c r="H32520">
        <v>14124449</v>
      </c>
      <c r="I32520">
        <v>2145201</v>
      </c>
      <c r="J32520">
        <v>5</v>
      </c>
    </row>
    <row r="32521" spans="1:10" x14ac:dyDescent="0.25">
      <c r="A32521" t="s">
        <v>362</v>
      </c>
      <c r="B32521" s="1" t="str">
        <f>HYPERLINK("http://alfa-specialist-kluit.nl","alfa-specialist-kluit.nl")</f>
        <v>alfa-specialist-kluit.nl</v>
      </c>
      <c r="C32521" t="s">
        <v>477</v>
      </c>
      <c r="D32521" t="s">
        <v>852</v>
      </c>
      <c r="F32521">
        <v>4.7576303916253703E-9</v>
      </c>
      <c r="G32521">
        <v>37982610</v>
      </c>
      <c r="H32521">
        <v>8536163</v>
      </c>
      <c r="I32521">
        <v>71588150</v>
      </c>
      <c r="J32521">
        <v>5</v>
      </c>
    </row>
    <row r="32522" spans="1:10" x14ac:dyDescent="0.25">
      <c r="A32522" t="s">
        <v>362</v>
      </c>
      <c r="B32522" s="1" t="str">
        <f>HYPERLINK("http://alfaromeo.nl","alfaromeo.nl")</f>
        <v>alfaromeo.nl</v>
      </c>
      <c r="C32522" t="s">
        <v>477</v>
      </c>
      <c r="D32522" t="s">
        <v>852</v>
      </c>
      <c r="E32522">
        <v>955703</v>
      </c>
      <c r="F32522">
        <v>2.97465301167172E-8</v>
      </c>
      <c r="G32522">
        <v>1730085</v>
      </c>
      <c r="H32522">
        <v>14286869</v>
      </c>
      <c r="I32522">
        <v>1370341</v>
      </c>
      <c r="J32522">
        <v>5</v>
      </c>
    </row>
    <row r="32523" spans="1:10" x14ac:dyDescent="0.25">
      <c r="A32523" t="s">
        <v>362</v>
      </c>
      <c r="B32523" s="1" t="str">
        <f>HYPERLINK("http://autobedrijfdirks.nl","autobedrijfdirks.nl")</f>
        <v>autobedrijfdirks.nl</v>
      </c>
      <c r="C32523" t="s">
        <v>477</v>
      </c>
      <c r="D32523" t="s">
        <v>852</v>
      </c>
      <c r="F32523">
        <v>6.5781693690606497E-9</v>
      </c>
      <c r="G32523">
        <v>13760729</v>
      </c>
      <c r="H32523">
        <v>11273025</v>
      </c>
      <c r="I32523">
        <v>30746141</v>
      </c>
      <c r="J32523">
        <v>7</v>
      </c>
    </row>
    <row r="32524" spans="1:10" x14ac:dyDescent="0.25">
      <c r="A32524" t="s">
        <v>362</v>
      </c>
      <c r="B32524" s="1" t="str">
        <f>HYPERLINK("http://autothooft.nl","autothooft.nl")</f>
        <v>autothooft.nl</v>
      </c>
      <c r="C32524" t="s">
        <v>477</v>
      </c>
      <c r="D32524" t="s">
        <v>852</v>
      </c>
      <c r="F32524">
        <v>6.2000751320939196E-9</v>
      </c>
      <c r="G32524">
        <v>15536384</v>
      </c>
      <c r="H32524">
        <v>11059780</v>
      </c>
      <c r="I32524">
        <v>32685450</v>
      </c>
      <c r="J32524">
        <v>5</v>
      </c>
    </row>
    <row r="32525" spans="1:10" x14ac:dyDescent="0.25">
      <c r="A32525" t="s">
        <v>362</v>
      </c>
      <c r="B32525" s="1" t="str">
        <f>HYPERLINK("http://citroen.nl","citroen.nl")</f>
        <v>citroen.nl</v>
      </c>
      <c r="C32525" t="s">
        <v>477</v>
      </c>
      <c r="D32525" t="s">
        <v>852</v>
      </c>
      <c r="E32525">
        <v>402549</v>
      </c>
      <c r="F32525">
        <v>1.03858462196893E-7</v>
      </c>
      <c r="G32525">
        <v>386199</v>
      </c>
      <c r="H32525">
        <v>14532280</v>
      </c>
      <c r="I32525">
        <v>784613</v>
      </c>
      <c r="J32525">
        <v>5</v>
      </c>
    </row>
    <row r="32526" spans="1:10" x14ac:dyDescent="0.25">
      <c r="A32526" t="s">
        <v>362</v>
      </c>
      <c r="B32526" s="1" t="str">
        <f>HYPERLINK("http://delsinkautos.nl","delsinkautos.nl")</f>
        <v>delsinkautos.nl</v>
      </c>
      <c r="C32526" t="s">
        <v>477</v>
      </c>
      <c r="D32526" t="s">
        <v>852</v>
      </c>
      <c r="F32526">
        <v>4.6794279223066003E-9</v>
      </c>
      <c r="G32526">
        <v>42403224</v>
      </c>
      <c r="H32526">
        <v>9720796</v>
      </c>
      <c r="I32526">
        <v>63175741</v>
      </c>
      <c r="J32526">
        <v>7</v>
      </c>
    </row>
    <row r="32527" spans="1:10" x14ac:dyDescent="0.25">
      <c r="A32527" t="s">
        <v>362</v>
      </c>
      <c r="B32527" s="1" t="str">
        <f>HYPERLINK("http://dsautomobiles.nl","dsautomobiles.nl")</f>
        <v>dsautomobiles.nl</v>
      </c>
      <c r="C32527" t="s">
        <v>477</v>
      </c>
      <c r="D32527" t="s">
        <v>852</v>
      </c>
      <c r="F32527">
        <v>3.5257993382741603E-8</v>
      </c>
      <c r="G32527">
        <v>1474887</v>
      </c>
      <c r="H32527">
        <v>13764488</v>
      </c>
      <c r="I32527">
        <v>7253153</v>
      </c>
      <c r="J32527">
        <v>5</v>
      </c>
    </row>
    <row r="32528" spans="1:10" x14ac:dyDescent="0.25">
      <c r="A32528" t="s">
        <v>362</v>
      </c>
      <c r="B32528" s="1" t="str">
        <f>HYPERLINK("http://fcacapital.nl","fcacapital.nl")</f>
        <v>fcacapital.nl</v>
      </c>
      <c r="C32528" t="s">
        <v>477</v>
      </c>
      <c r="D32528" t="s">
        <v>852</v>
      </c>
      <c r="F32528">
        <v>2.7043505590007299E-8</v>
      </c>
      <c r="G32528">
        <v>1901750</v>
      </c>
      <c r="H32528">
        <v>11334128</v>
      </c>
      <c r="I32528">
        <v>30444430</v>
      </c>
      <c r="J32528">
        <v>5</v>
      </c>
    </row>
    <row r="32529" spans="1:10" x14ac:dyDescent="0.25">
      <c r="A32529" t="s">
        <v>362</v>
      </c>
      <c r="B32529" s="1" t="str">
        <f>HYPERLINK("http://fiat.nl","fiat.nl")</f>
        <v>fiat.nl</v>
      </c>
      <c r="C32529" t="s">
        <v>477</v>
      </c>
      <c r="D32529" t="s">
        <v>852</v>
      </c>
      <c r="E32529">
        <v>649414</v>
      </c>
      <c r="F32529">
        <v>1.04690899635176E-7</v>
      </c>
      <c r="G32529">
        <v>382832</v>
      </c>
      <c r="H32529">
        <v>14287757</v>
      </c>
      <c r="I32529">
        <v>1369250</v>
      </c>
      <c r="J32529">
        <v>4</v>
      </c>
    </row>
    <row r="32530" spans="1:10" x14ac:dyDescent="0.25">
      <c r="A32530" t="s">
        <v>362</v>
      </c>
      <c r="B32530" s="1" t="str">
        <f>HYPERLINK("http://fiatprofessional.nl","fiatprofessional.nl")</f>
        <v>fiatprofessional.nl</v>
      </c>
      <c r="C32530" t="s">
        <v>477</v>
      </c>
      <c r="D32530" t="s">
        <v>852</v>
      </c>
      <c r="F32530">
        <v>1.6518326380989501E-8</v>
      </c>
      <c r="G32530">
        <v>3409181</v>
      </c>
      <c r="H32530">
        <v>12406417</v>
      </c>
      <c r="I32530">
        <v>18664233</v>
      </c>
      <c r="J32530">
        <v>5</v>
      </c>
    </row>
    <row r="32531" spans="1:10" x14ac:dyDescent="0.25">
      <c r="A32531" t="s">
        <v>362</v>
      </c>
      <c r="B32531" s="1" t="str">
        <f>HYPERLINK("http://jeep.nl","jeep.nl")</f>
        <v>jeep.nl</v>
      </c>
      <c r="C32531" t="s">
        <v>477</v>
      </c>
      <c r="D32531" t="s">
        <v>852</v>
      </c>
      <c r="F32531">
        <v>6.1756409241878796E-8</v>
      </c>
      <c r="G32531">
        <v>712283</v>
      </c>
      <c r="H32531">
        <v>14076649</v>
      </c>
      <c r="I32531">
        <v>2882664</v>
      </c>
      <c r="J32531">
        <v>5</v>
      </c>
    </row>
    <row r="32532" spans="1:10" x14ac:dyDescent="0.25">
      <c r="A32532" t="s">
        <v>362</v>
      </c>
      <c r="B32532" s="1" t="str">
        <f>HYPERLINK("http://maserati.nl","maserati.nl")</f>
        <v>maserati.nl</v>
      </c>
      <c r="C32532" t="s">
        <v>477</v>
      </c>
      <c r="D32532" t="s">
        <v>852</v>
      </c>
      <c r="F32532">
        <v>9.9087745632911196E-9</v>
      </c>
      <c r="G32532">
        <v>6850490</v>
      </c>
      <c r="H32532">
        <v>12361378</v>
      </c>
      <c r="I32532">
        <v>19560232</v>
      </c>
      <c r="J32532">
        <v>5</v>
      </c>
    </row>
    <row r="32533" spans="1:10" x14ac:dyDescent="0.25">
      <c r="A32533" t="s">
        <v>362</v>
      </c>
      <c r="B32533" s="1" t="str">
        <f>HYPERLINK("http://opel.nl","opel.nl")</f>
        <v>opel.nl</v>
      </c>
      <c r="C32533" t="s">
        <v>477</v>
      </c>
      <c r="D32533" t="s">
        <v>852</v>
      </c>
      <c r="E32533">
        <v>357725</v>
      </c>
      <c r="F32533">
        <v>1.2511961052252799E-7</v>
      </c>
      <c r="G32533">
        <v>315322</v>
      </c>
      <c r="H32533">
        <v>14313974</v>
      </c>
      <c r="I32533">
        <v>1337527</v>
      </c>
      <c r="J32533">
        <v>4</v>
      </c>
    </row>
    <row r="32534" spans="1:10" x14ac:dyDescent="0.25">
      <c r="A32534" t="s">
        <v>362</v>
      </c>
      <c r="B32534" s="1" t="str">
        <f>HYPERLINK("http://peugeot.nl","peugeot.nl")</f>
        <v>peugeot.nl</v>
      </c>
      <c r="C32534" t="s">
        <v>477</v>
      </c>
      <c r="D32534" t="s">
        <v>852</v>
      </c>
      <c r="E32534">
        <v>356072</v>
      </c>
      <c r="F32534">
        <v>1.16879438108479E-7</v>
      </c>
      <c r="G32534">
        <v>340116</v>
      </c>
      <c r="H32534">
        <v>14148125</v>
      </c>
      <c r="I32534">
        <v>1886947</v>
      </c>
      <c r="J32534">
        <v>4</v>
      </c>
    </row>
    <row r="32535" spans="1:10" x14ac:dyDescent="0.25">
      <c r="A32535" t="s">
        <v>362</v>
      </c>
      <c r="B32535" s="1" t="str">
        <f>HYPERLINK("http://psafinance.nl","psafinance.nl")</f>
        <v>psafinance.nl</v>
      </c>
      <c r="C32535" t="s">
        <v>477</v>
      </c>
      <c r="D32535" t="s">
        <v>852</v>
      </c>
      <c r="F32535">
        <v>9.7372897942829804E-9</v>
      </c>
      <c r="G32535">
        <v>7038126</v>
      </c>
      <c r="H32535">
        <v>11135034</v>
      </c>
      <c r="I32535">
        <v>31891657</v>
      </c>
      <c r="J32535">
        <v>6</v>
      </c>
    </row>
    <row r="32536" spans="1:10" x14ac:dyDescent="0.25">
      <c r="A32536" t="s">
        <v>362</v>
      </c>
      <c r="B32536" s="1" t="str">
        <f>HYPERLINK("http://snipperling.nl","snipperling.nl")</f>
        <v>snipperling.nl</v>
      </c>
      <c r="C32536" t="s">
        <v>477</v>
      </c>
      <c r="D32536" t="s">
        <v>852</v>
      </c>
      <c r="F32536">
        <v>4.7597710983312896E-9</v>
      </c>
      <c r="G32536">
        <v>37834951</v>
      </c>
      <c r="H32536">
        <v>11010916</v>
      </c>
      <c r="I32536">
        <v>33391812</v>
      </c>
      <c r="J32536">
        <v>6</v>
      </c>
    </row>
    <row r="32537" spans="1:10" x14ac:dyDescent="0.25">
      <c r="A32537" t="s">
        <v>362</v>
      </c>
      <c r="B32537" s="1" t="str">
        <f>HYPERLINK("http://citroen.no","citroen.no")</f>
        <v>citroen.no</v>
      </c>
      <c r="C32537" t="s">
        <v>478</v>
      </c>
      <c r="D32537" t="s">
        <v>853</v>
      </c>
      <c r="F32537">
        <v>2.63763940369405E-8</v>
      </c>
      <c r="G32537">
        <v>1952171</v>
      </c>
      <c r="H32537">
        <v>14074802</v>
      </c>
      <c r="I32537">
        <v>2928919</v>
      </c>
      <c r="J32537">
        <v>5</v>
      </c>
    </row>
    <row r="32538" spans="1:10" x14ac:dyDescent="0.25">
      <c r="A32538" t="s">
        <v>362</v>
      </c>
      <c r="B32538" s="1" t="str">
        <f>HYPERLINK("http://dsautomobiles.no","dsautomobiles.no")</f>
        <v>dsautomobiles.no</v>
      </c>
      <c r="C32538" t="s">
        <v>478</v>
      </c>
      <c r="D32538" t="s">
        <v>853</v>
      </c>
      <c r="F32538">
        <v>1.27160205779708E-8</v>
      </c>
      <c r="G32538">
        <v>4771528</v>
      </c>
      <c r="H32538">
        <v>12320489</v>
      </c>
      <c r="I32538">
        <v>20411259</v>
      </c>
      <c r="J32538">
        <v>5</v>
      </c>
    </row>
    <row r="32539" spans="1:10" x14ac:dyDescent="0.25">
      <c r="A32539" t="s">
        <v>362</v>
      </c>
      <c r="B32539" s="1" t="str">
        <f>HYPERLINK("http://fiat.no","fiat.no")</f>
        <v>fiat.no</v>
      </c>
      <c r="C32539" t="s">
        <v>478</v>
      </c>
      <c r="D32539" t="s">
        <v>853</v>
      </c>
      <c r="F32539">
        <v>2.9582556775396299E-8</v>
      </c>
      <c r="G32539">
        <v>1742569</v>
      </c>
      <c r="H32539">
        <v>14073265</v>
      </c>
      <c r="I32539">
        <v>3005760</v>
      </c>
      <c r="J32539">
        <v>4</v>
      </c>
    </row>
    <row r="32540" spans="1:10" x14ac:dyDescent="0.25">
      <c r="A32540" t="s">
        <v>362</v>
      </c>
      <c r="B32540" s="1" t="str">
        <f>HYPERLINK("http://opel.no","opel.no")</f>
        <v>opel.no</v>
      </c>
      <c r="C32540" t="s">
        <v>478</v>
      </c>
      <c r="D32540" t="s">
        <v>853</v>
      </c>
      <c r="F32540">
        <v>3.1270029819230898E-8</v>
      </c>
      <c r="G32540">
        <v>1648981</v>
      </c>
      <c r="H32540">
        <v>14074847</v>
      </c>
      <c r="I32540">
        <v>2927307</v>
      </c>
      <c r="J32540">
        <v>4</v>
      </c>
    </row>
    <row r="32541" spans="1:10" x14ac:dyDescent="0.25">
      <c r="A32541" t="s">
        <v>362</v>
      </c>
      <c r="B32541" s="1" t="str">
        <f>HYPERLINK("http://citroen.co.nz","citroen.co.nz")</f>
        <v>citroen.co.nz</v>
      </c>
      <c r="C32541" t="s">
        <v>479</v>
      </c>
      <c r="D32541" t="s">
        <v>854</v>
      </c>
      <c r="F32541">
        <v>1.2918876660477899E-8</v>
      </c>
      <c r="G32541">
        <v>4670460</v>
      </c>
      <c r="H32541">
        <v>14239969</v>
      </c>
      <c r="I32541">
        <v>1505868</v>
      </c>
      <c r="J32541">
        <v>5</v>
      </c>
    </row>
    <row r="32542" spans="1:10" x14ac:dyDescent="0.25">
      <c r="A32542" t="s">
        <v>362</v>
      </c>
      <c r="B32542" s="1" t="str">
        <f>HYPERLINK("http://alfaromeo.org","alfaromeo.org")</f>
        <v>alfaromeo.org</v>
      </c>
      <c r="C32542" t="s">
        <v>481</v>
      </c>
      <c r="F32542">
        <v>2.30457713836187E-8</v>
      </c>
      <c r="G32542">
        <v>2265628</v>
      </c>
      <c r="H32542">
        <v>14251745</v>
      </c>
      <c r="I32542">
        <v>1443239</v>
      </c>
      <c r="J32542">
        <v>5</v>
      </c>
    </row>
    <row r="32543" spans="1:10" x14ac:dyDescent="0.25">
      <c r="A32543" t="s">
        <v>362</v>
      </c>
      <c r="B32543" s="1" t="str">
        <f>HYPERLINK("http://jeep.com.pa","jeep.com.pa")</f>
        <v>jeep.com.pa</v>
      </c>
      <c r="C32543" t="s">
        <v>482</v>
      </c>
      <c r="D32543" t="s">
        <v>856</v>
      </c>
      <c r="F32543">
        <v>9.0604154508181104E-9</v>
      </c>
      <c r="G32543">
        <v>7903143</v>
      </c>
      <c r="H32543">
        <v>10433149</v>
      </c>
      <c r="I32543">
        <v>52993157</v>
      </c>
      <c r="J32543">
        <v>6</v>
      </c>
    </row>
    <row r="32544" spans="1:10" x14ac:dyDescent="0.25">
      <c r="A32544" t="s">
        <v>362</v>
      </c>
      <c r="B32544" s="1" t="str">
        <f>HYPERLINK("http://jeep.pe","jeep.pe")</f>
        <v>jeep.pe</v>
      </c>
      <c r="C32544" t="s">
        <v>483</v>
      </c>
      <c r="D32544" t="s">
        <v>857</v>
      </c>
      <c r="F32544">
        <v>9.2227276222603701E-9</v>
      </c>
      <c r="G32544">
        <v>7679591</v>
      </c>
      <c r="H32544">
        <v>11998718</v>
      </c>
      <c r="I32544">
        <v>28270259</v>
      </c>
      <c r="J32544">
        <v>6</v>
      </c>
    </row>
    <row r="32545" spans="1:10" x14ac:dyDescent="0.25">
      <c r="A32545" t="s">
        <v>362</v>
      </c>
      <c r="B32545" s="1" t="str">
        <f>HYPERLINK("http://dodge.com.ph","dodge.com.ph")</f>
        <v>dodge.com.ph</v>
      </c>
      <c r="C32545" t="s">
        <v>484</v>
      </c>
      <c r="D32545" t="s">
        <v>858</v>
      </c>
      <c r="F32545">
        <v>5.2172692687458196E-9</v>
      </c>
      <c r="G32545">
        <v>24792367</v>
      </c>
      <c r="H32545">
        <v>11047219</v>
      </c>
      <c r="I32545">
        <v>32832260</v>
      </c>
      <c r="J32545">
        <v>5</v>
      </c>
    </row>
    <row r="32546" spans="1:10" x14ac:dyDescent="0.25">
      <c r="A32546" t="s">
        <v>362</v>
      </c>
      <c r="B32546" s="1" t="str">
        <f>HYPERLINK("http://jeep.com.ph","jeep.com.ph")</f>
        <v>jeep.com.ph</v>
      </c>
      <c r="C32546" t="s">
        <v>484</v>
      </c>
      <c r="D32546" t="s">
        <v>858</v>
      </c>
      <c r="F32546">
        <v>4.3358159943473503E-8</v>
      </c>
      <c r="G32546">
        <v>1104699</v>
      </c>
      <c r="H32546">
        <v>12488777</v>
      </c>
      <c r="I32546">
        <v>17503523</v>
      </c>
      <c r="J32546">
        <v>5</v>
      </c>
    </row>
    <row r="32547" spans="1:10" x14ac:dyDescent="0.25">
      <c r="A32547" t="s">
        <v>362</v>
      </c>
      <c r="B32547" s="1" t="str">
        <f>HYPERLINK("http://abarth.pl","abarth.pl")</f>
        <v>abarth.pl</v>
      </c>
      <c r="C32547" t="s">
        <v>486</v>
      </c>
      <c r="D32547" t="s">
        <v>860</v>
      </c>
      <c r="F32547">
        <v>2.6848554309130601E-8</v>
      </c>
      <c r="G32547">
        <v>1915950</v>
      </c>
      <c r="H32547">
        <v>12169209</v>
      </c>
      <c r="I32547">
        <v>24091271</v>
      </c>
      <c r="J32547">
        <v>5</v>
      </c>
    </row>
    <row r="32548" spans="1:10" x14ac:dyDescent="0.25">
      <c r="A32548" t="s">
        <v>362</v>
      </c>
      <c r="B32548" s="1" t="str">
        <f>HYPERLINK("http://alfaromeo.pl","alfaromeo.pl")</f>
        <v>alfaromeo.pl</v>
      </c>
      <c r="C32548" t="s">
        <v>486</v>
      </c>
      <c r="D32548" t="s">
        <v>860</v>
      </c>
      <c r="F32548">
        <v>2.5281941665087E-8</v>
      </c>
      <c r="G32548">
        <v>2041138</v>
      </c>
      <c r="H32548">
        <v>14074021</v>
      </c>
      <c r="I32548">
        <v>2959883</v>
      </c>
      <c r="J32548">
        <v>5</v>
      </c>
    </row>
    <row r="32549" spans="1:10" x14ac:dyDescent="0.25">
      <c r="A32549" t="s">
        <v>362</v>
      </c>
      <c r="B32549" s="1" t="str">
        <f>HYPERLINK("http://citroen.pl","citroen.pl")</f>
        <v>citroen.pl</v>
      </c>
      <c r="C32549" t="s">
        <v>486</v>
      </c>
      <c r="D32549" t="s">
        <v>860</v>
      </c>
      <c r="F32549">
        <v>5.1303066896729E-8</v>
      </c>
      <c r="G32549">
        <v>892483</v>
      </c>
      <c r="H32549">
        <v>14821278</v>
      </c>
      <c r="I32549">
        <v>516160</v>
      </c>
      <c r="J32549">
        <v>5</v>
      </c>
    </row>
    <row r="32550" spans="1:10" x14ac:dyDescent="0.25">
      <c r="A32550" t="s">
        <v>362</v>
      </c>
      <c r="B32550" s="1" t="str">
        <f>HYPERLINK("http://dodge.pl","dodge.pl")</f>
        <v>dodge.pl</v>
      </c>
      <c r="C32550" t="s">
        <v>486</v>
      </c>
      <c r="D32550" t="s">
        <v>860</v>
      </c>
      <c r="F32550">
        <v>7.7269715535227806E-9</v>
      </c>
      <c r="G32550">
        <v>10514851</v>
      </c>
      <c r="H32550">
        <v>10978837</v>
      </c>
      <c r="I32550">
        <v>33957490</v>
      </c>
      <c r="J32550">
        <v>5</v>
      </c>
    </row>
    <row r="32551" spans="1:10" x14ac:dyDescent="0.25">
      <c r="A32551" t="s">
        <v>362</v>
      </c>
      <c r="B32551" s="1" t="str">
        <f>HYPERLINK("http://dsautomobiles.pl","dsautomobiles.pl")</f>
        <v>dsautomobiles.pl</v>
      </c>
      <c r="C32551" t="s">
        <v>486</v>
      </c>
      <c r="D32551" t="s">
        <v>860</v>
      </c>
      <c r="F32551">
        <v>1.3557712024256099E-8</v>
      </c>
      <c r="G32551">
        <v>4379557</v>
      </c>
      <c r="H32551">
        <v>12179221</v>
      </c>
      <c r="I32551">
        <v>23831524</v>
      </c>
      <c r="J32551">
        <v>5</v>
      </c>
    </row>
    <row r="32552" spans="1:10" x14ac:dyDescent="0.25">
      <c r="A32552" t="s">
        <v>362</v>
      </c>
      <c r="B32552" s="1" t="str">
        <f>HYPERLINK("http://fcabank.pl","fcabank.pl")</f>
        <v>fcabank.pl</v>
      </c>
      <c r="C32552" t="s">
        <v>486</v>
      </c>
      <c r="D32552" t="s">
        <v>860</v>
      </c>
      <c r="F32552">
        <v>3.5911093863664402E-8</v>
      </c>
      <c r="G32552">
        <v>1450716</v>
      </c>
      <c r="H32552">
        <v>12434010</v>
      </c>
      <c r="I32552">
        <v>18230133</v>
      </c>
      <c r="J32552">
        <v>5</v>
      </c>
    </row>
    <row r="32553" spans="1:10" x14ac:dyDescent="0.25">
      <c r="A32553" t="s">
        <v>362</v>
      </c>
      <c r="B32553" s="1" t="str">
        <f>HYPERLINK("http://fiat.pl","fiat.pl")</f>
        <v>fiat.pl</v>
      </c>
      <c r="C32553" t="s">
        <v>486</v>
      </c>
      <c r="D32553" t="s">
        <v>860</v>
      </c>
      <c r="E32553">
        <v>261640</v>
      </c>
      <c r="F32553">
        <v>9.6449288655081204E-8</v>
      </c>
      <c r="G32553">
        <v>419289</v>
      </c>
      <c r="H32553">
        <v>14606184</v>
      </c>
      <c r="I32553">
        <v>681481</v>
      </c>
      <c r="J32553">
        <v>4</v>
      </c>
    </row>
    <row r="32554" spans="1:10" x14ac:dyDescent="0.25">
      <c r="A32554" t="s">
        <v>362</v>
      </c>
      <c r="B32554" s="1" t="str">
        <f>HYPERLINK("http://fiatprofessional.pl","fiatprofessional.pl")</f>
        <v>fiatprofessional.pl</v>
      </c>
      <c r="C32554" t="s">
        <v>486</v>
      </c>
      <c r="D32554" t="s">
        <v>860</v>
      </c>
      <c r="F32554">
        <v>2.2613923866066901E-8</v>
      </c>
      <c r="G32554">
        <v>2316023</v>
      </c>
      <c r="H32554">
        <v>14073245</v>
      </c>
      <c r="I32554">
        <v>3007011</v>
      </c>
      <c r="J32554">
        <v>5</v>
      </c>
    </row>
    <row r="32555" spans="1:10" x14ac:dyDescent="0.25">
      <c r="A32555" t="s">
        <v>362</v>
      </c>
      <c r="B32555" s="1" t="str">
        <f>HYPERLINK("http://golemo.pl","golemo.pl")</f>
        <v>golemo.pl</v>
      </c>
      <c r="C32555" t="s">
        <v>486</v>
      </c>
      <c r="D32555" t="s">
        <v>860</v>
      </c>
      <c r="F32555">
        <v>7.9013161245408694E-9</v>
      </c>
      <c r="G32555">
        <v>10108930</v>
      </c>
      <c r="H32555">
        <v>10929360</v>
      </c>
      <c r="I32555">
        <v>35081366</v>
      </c>
      <c r="J32555">
        <v>7</v>
      </c>
    </row>
    <row r="32556" spans="1:10" x14ac:dyDescent="0.25">
      <c r="A32556" t="s">
        <v>362</v>
      </c>
      <c r="B32556" s="1" t="str">
        <f>HYPERLINK("http://jeep.pl","jeep.pl")</f>
        <v>jeep.pl</v>
      </c>
      <c r="C32556" t="s">
        <v>486</v>
      </c>
      <c r="D32556" t="s">
        <v>860</v>
      </c>
      <c r="F32556">
        <v>7.4307585919789394E-8</v>
      </c>
      <c r="G32556">
        <v>566403</v>
      </c>
      <c r="H32556">
        <v>14236174</v>
      </c>
      <c r="I32556">
        <v>1604104</v>
      </c>
      <c r="J32556">
        <v>5</v>
      </c>
    </row>
    <row r="32557" spans="1:10" x14ac:dyDescent="0.25">
      <c r="A32557" t="s">
        <v>362</v>
      </c>
      <c r="B32557" s="1" t="str">
        <f>HYPERLINK("http://opel.pl","opel.pl")</f>
        <v>opel.pl</v>
      </c>
      <c r="C32557" t="s">
        <v>486</v>
      </c>
      <c r="D32557" t="s">
        <v>860</v>
      </c>
      <c r="F32557">
        <v>5.42375535608931E-8</v>
      </c>
      <c r="G32557">
        <v>833297</v>
      </c>
      <c r="H32557">
        <v>14105086</v>
      </c>
      <c r="I32557">
        <v>2691858</v>
      </c>
      <c r="J32557">
        <v>4</v>
      </c>
    </row>
    <row r="32558" spans="1:10" x14ac:dyDescent="0.25">
      <c r="A32558" t="s">
        <v>362</v>
      </c>
      <c r="B32558" s="1" t="str">
        <f>HYPERLINK("http://peugeot.pl","peugeot.pl")</f>
        <v>peugeot.pl</v>
      </c>
      <c r="C32558" t="s">
        <v>486</v>
      </c>
      <c r="D32558" t="s">
        <v>860</v>
      </c>
      <c r="E32558">
        <v>841088</v>
      </c>
      <c r="F32558">
        <v>5.2717480261472297E-8</v>
      </c>
      <c r="G32558">
        <v>864526</v>
      </c>
      <c r="H32558">
        <v>14078208</v>
      </c>
      <c r="I32558">
        <v>2850620</v>
      </c>
      <c r="J32558">
        <v>5</v>
      </c>
    </row>
    <row r="32559" spans="1:10" x14ac:dyDescent="0.25">
      <c r="A32559" t="s">
        <v>362</v>
      </c>
      <c r="B32559" s="1" t="str">
        <f>HYPERLINK("http://citroen.ps","citroen.ps")</f>
        <v>citroen.ps</v>
      </c>
      <c r="C32559" t="s">
        <v>661</v>
      </c>
      <c r="D32559" t="s">
        <v>980</v>
      </c>
      <c r="F32559">
        <v>9.4700045672978707E-9</v>
      </c>
      <c r="G32559">
        <v>7358654</v>
      </c>
      <c r="H32559">
        <v>12092703</v>
      </c>
      <c r="I32559">
        <v>26165018</v>
      </c>
      <c r="J32559">
        <v>5</v>
      </c>
    </row>
    <row r="32560" spans="1:10" x14ac:dyDescent="0.25">
      <c r="A32560" t="s">
        <v>362</v>
      </c>
      <c r="B32560" s="1" t="str">
        <f>HYPERLINK("http://dsautomobiles.ps","dsautomobiles.ps")</f>
        <v>dsautomobiles.ps</v>
      </c>
      <c r="C32560" t="s">
        <v>661</v>
      </c>
      <c r="D32560" t="s">
        <v>980</v>
      </c>
      <c r="F32560">
        <v>7.1935425909306002E-9</v>
      </c>
      <c r="G32560">
        <v>11761528</v>
      </c>
      <c r="H32560">
        <v>12169629</v>
      </c>
      <c r="I32560">
        <v>24077486</v>
      </c>
      <c r="J32560">
        <v>5</v>
      </c>
    </row>
    <row r="32561" spans="1:10" x14ac:dyDescent="0.25">
      <c r="A32561" t="s">
        <v>362</v>
      </c>
      <c r="B32561" s="1" t="str">
        <f>HYPERLINK("http://abarth.pt","abarth.pt")</f>
        <v>abarth.pt</v>
      </c>
      <c r="C32561" t="s">
        <v>488</v>
      </c>
      <c r="D32561" t="s">
        <v>862</v>
      </c>
      <c r="F32561">
        <v>2.1721129792388401E-8</v>
      </c>
      <c r="G32561">
        <v>2421181</v>
      </c>
      <c r="H32561">
        <v>12692721</v>
      </c>
      <c r="I32561">
        <v>15399436</v>
      </c>
      <c r="J32561">
        <v>5</v>
      </c>
    </row>
    <row r="32562" spans="1:10" x14ac:dyDescent="0.25">
      <c r="A32562" t="s">
        <v>362</v>
      </c>
      <c r="B32562" s="1" t="str">
        <f>HYPERLINK("http://alfaromeo.pt","alfaromeo.pt")</f>
        <v>alfaromeo.pt</v>
      </c>
      <c r="C32562" t="s">
        <v>488</v>
      </c>
      <c r="D32562" t="s">
        <v>862</v>
      </c>
      <c r="F32562">
        <v>2.1645355736380798E-8</v>
      </c>
      <c r="G32562">
        <v>2430807</v>
      </c>
      <c r="H32562">
        <v>14244761</v>
      </c>
      <c r="I32562">
        <v>1470036</v>
      </c>
      <c r="J32562">
        <v>5</v>
      </c>
    </row>
    <row r="32563" spans="1:10" x14ac:dyDescent="0.25">
      <c r="A32563" t="s">
        <v>362</v>
      </c>
      <c r="B32563" s="1" t="str">
        <f>HYPERLINK("http://citroen.pt","citroen.pt")</f>
        <v>citroen.pt</v>
      </c>
      <c r="C32563" t="s">
        <v>488</v>
      </c>
      <c r="D32563" t="s">
        <v>862</v>
      </c>
      <c r="F32563">
        <v>4.8674418964203899E-8</v>
      </c>
      <c r="G32563">
        <v>952533</v>
      </c>
      <c r="H32563">
        <v>14522942</v>
      </c>
      <c r="I32563">
        <v>799858</v>
      </c>
      <c r="J32563">
        <v>5</v>
      </c>
    </row>
    <row r="32564" spans="1:10" x14ac:dyDescent="0.25">
      <c r="A32564" t="s">
        <v>362</v>
      </c>
      <c r="B32564" s="1" t="str">
        <f>HYPERLINK("http://dsautomobiles.pt","dsautomobiles.pt")</f>
        <v>dsautomobiles.pt</v>
      </c>
      <c r="C32564" t="s">
        <v>488</v>
      </c>
      <c r="D32564" t="s">
        <v>862</v>
      </c>
      <c r="F32564">
        <v>2.7440908067177999E-8</v>
      </c>
      <c r="G32564">
        <v>1873358</v>
      </c>
      <c r="H32564">
        <v>13766985</v>
      </c>
      <c r="I32564">
        <v>6962574</v>
      </c>
      <c r="J32564">
        <v>5</v>
      </c>
    </row>
    <row r="32565" spans="1:10" x14ac:dyDescent="0.25">
      <c r="A32565" t="s">
        <v>362</v>
      </c>
      <c r="B32565" s="1" t="str">
        <f>HYPERLINK("http://fiat.pt","fiat.pt")</f>
        <v>fiat.pt</v>
      </c>
      <c r="C32565" t="s">
        <v>488</v>
      </c>
      <c r="D32565" t="s">
        <v>862</v>
      </c>
      <c r="F32565">
        <v>3.3008975215441702E-8</v>
      </c>
      <c r="G32565">
        <v>1565059</v>
      </c>
      <c r="H32565">
        <v>14237652</v>
      </c>
      <c r="I32565">
        <v>1544423</v>
      </c>
      <c r="J32565">
        <v>4</v>
      </c>
    </row>
    <row r="32566" spans="1:10" x14ac:dyDescent="0.25">
      <c r="A32566" t="s">
        <v>362</v>
      </c>
      <c r="B32566" s="1" t="str">
        <f>HYPERLINK("http://fiatprofessional.pt","fiatprofessional.pt")</f>
        <v>fiatprofessional.pt</v>
      </c>
      <c r="C32566" t="s">
        <v>488</v>
      </c>
      <c r="D32566" t="s">
        <v>862</v>
      </c>
      <c r="F32566">
        <v>9.5570537086525604E-9</v>
      </c>
      <c r="G32566">
        <v>7254533</v>
      </c>
      <c r="H32566">
        <v>11160535</v>
      </c>
      <c r="I32566">
        <v>31625105</v>
      </c>
      <c r="J32566">
        <v>5</v>
      </c>
    </row>
    <row r="32567" spans="1:10" x14ac:dyDescent="0.25">
      <c r="A32567" t="s">
        <v>362</v>
      </c>
      <c r="B32567" s="1" t="str">
        <f>HYPERLINK("http://jeep.pt","jeep.pt")</f>
        <v>jeep.pt</v>
      </c>
      <c r="C32567" t="s">
        <v>488</v>
      </c>
      <c r="D32567" t="s">
        <v>862</v>
      </c>
      <c r="F32567">
        <v>5.3433490305400499E-8</v>
      </c>
      <c r="G32567">
        <v>851662</v>
      </c>
      <c r="H32567">
        <v>14089184</v>
      </c>
      <c r="I32567">
        <v>2755068</v>
      </c>
      <c r="J32567">
        <v>5</v>
      </c>
    </row>
    <row r="32568" spans="1:10" x14ac:dyDescent="0.25">
      <c r="A32568" t="s">
        <v>362</v>
      </c>
      <c r="B32568" s="1" t="str">
        <f>HYPERLINK("http://opel.pt","opel.pt")</f>
        <v>opel.pt</v>
      </c>
      <c r="C32568" t="s">
        <v>488</v>
      </c>
      <c r="D32568" t="s">
        <v>862</v>
      </c>
      <c r="F32568">
        <v>4.7611500812911802E-8</v>
      </c>
      <c r="G32568">
        <v>977917</v>
      </c>
      <c r="H32568">
        <v>14240553</v>
      </c>
      <c r="I32568">
        <v>1500027</v>
      </c>
      <c r="J32568">
        <v>4</v>
      </c>
    </row>
    <row r="32569" spans="1:10" x14ac:dyDescent="0.25">
      <c r="A32569" t="s">
        <v>362</v>
      </c>
      <c r="B32569" s="1" t="str">
        <f>HYPERLINK("http://peugeot.pt","peugeot.pt")</f>
        <v>peugeot.pt</v>
      </c>
      <c r="C32569" t="s">
        <v>488</v>
      </c>
      <c r="D32569" t="s">
        <v>862</v>
      </c>
      <c r="F32569">
        <v>4.9715456016719701E-8</v>
      </c>
      <c r="G32569">
        <v>928348</v>
      </c>
      <c r="H32569">
        <v>14498284</v>
      </c>
      <c r="I32569">
        <v>862175</v>
      </c>
      <c r="J32569">
        <v>4</v>
      </c>
    </row>
    <row r="32570" spans="1:10" x14ac:dyDescent="0.25">
      <c r="A32570" t="s">
        <v>362</v>
      </c>
      <c r="B32570" s="1" t="str">
        <f>HYPERLINK("http://citroen.com.py","citroen.com.py")</f>
        <v>citroen.com.py</v>
      </c>
      <c r="C32570" t="s">
        <v>489</v>
      </c>
      <c r="D32570" t="s">
        <v>863</v>
      </c>
      <c r="F32570">
        <v>9.2570304864465493E-9</v>
      </c>
      <c r="G32570">
        <v>7629257</v>
      </c>
      <c r="H32570">
        <v>12156555</v>
      </c>
      <c r="I32570">
        <v>24454325</v>
      </c>
      <c r="J32570">
        <v>5</v>
      </c>
    </row>
    <row r="32571" spans="1:10" x14ac:dyDescent="0.25">
      <c r="A32571" t="s">
        <v>362</v>
      </c>
      <c r="B32571" s="1" t="str">
        <f>HYPERLINK("http://dodge.com.py","dodge.com.py")</f>
        <v>dodge.com.py</v>
      </c>
      <c r="C32571" t="s">
        <v>489</v>
      </c>
      <c r="D32571" t="s">
        <v>863</v>
      </c>
      <c r="F32571">
        <v>1.6076187899317E-8</v>
      </c>
      <c r="G32571">
        <v>3526648</v>
      </c>
      <c r="H32571">
        <v>12183266</v>
      </c>
      <c r="I32571">
        <v>23732005</v>
      </c>
      <c r="J32571">
        <v>5</v>
      </c>
    </row>
    <row r="32572" spans="1:10" x14ac:dyDescent="0.25">
      <c r="A32572" t="s">
        <v>362</v>
      </c>
      <c r="B32572" s="1" t="str">
        <f>HYPERLINK("http://jeep.com.py","jeep.com.py")</f>
        <v>jeep.com.py</v>
      </c>
      <c r="C32572" t="s">
        <v>489</v>
      </c>
      <c r="D32572" t="s">
        <v>863</v>
      </c>
      <c r="F32572">
        <v>7.1304275055048396E-9</v>
      </c>
      <c r="G32572">
        <v>11930720</v>
      </c>
      <c r="H32572">
        <v>10923338</v>
      </c>
      <c r="I32572">
        <v>35204622</v>
      </c>
      <c r="J32572">
        <v>6</v>
      </c>
    </row>
    <row r="32573" spans="1:10" x14ac:dyDescent="0.25">
      <c r="A32573" t="s">
        <v>362</v>
      </c>
      <c r="B32573" s="1" t="str">
        <f>HYPERLINK("http://citroen.re","citroen.re")</f>
        <v>citroen.re</v>
      </c>
      <c r="C32573" t="s">
        <v>575</v>
      </c>
      <c r="D32573" t="s">
        <v>920</v>
      </c>
      <c r="F32573">
        <v>1.32636325241518E-8</v>
      </c>
      <c r="G32573">
        <v>4509440</v>
      </c>
      <c r="H32573">
        <v>12132099</v>
      </c>
      <c r="I32573">
        <v>25083495</v>
      </c>
      <c r="J32573">
        <v>5</v>
      </c>
    </row>
    <row r="32574" spans="1:10" x14ac:dyDescent="0.25">
      <c r="A32574" t="s">
        <v>362</v>
      </c>
      <c r="B32574" s="1" t="str">
        <f>HYPERLINK("http://dsautomobiles.re","dsautomobiles.re")</f>
        <v>dsautomobiles.re</v>
      </c>
      <c r="C32574" t="s">
        <v>575</v>
      </c>
      <c r="D32574" t="s">
        <v>920</v>
      </c>
      <c r="F32574">
        <v>7.6193275365472999E-9</v>
      </c>
      <c r="G32574">
        <v>10751885</v>
      </c>
      <c r="H32574">
        <v>11996749</v>
      </c>
      <c r="I32574">
        <v>28286362</v>
      </c>
      <c r="J32574">
        <v>6</v>
      </c>
    </row>
    <row r="32575" spans="1:10" x14ac:dyDescent="0.25">
      <c r="A32575" t="s">
        <v>362</v>
      </c>
      <c r="B32575" s="1" t="str">
        <f>HYPERLINK("http://fiat.re","fiat.re")</f>
        <v>fiat.re</v>
      </c>
      <c r="C32575" t="s">
        <v>575</v>
      </c>
      <c r="D32575" t="s">
        <v>920</v>
      </c>
      <c r="F32575">
        <v>9.4107739326458192E-9</v>
      </c>
      <c r="G32575">
        <v>7431012</v>
      </c>
      <c r="H32575">
        <v>12150738</v>
      </c>
      <c r="I32575">
        <v>24601588</v>
      </c>
      <c r="J32575">
        <v>5</v>
      </c>
    </row>
    <row r="32576" spans="1:10" x14ac:dyDescent="0.25">
      <c r="A32576" t="s">
        <v>362</v>
      </c>
      <c r="B32576" s="1" t="str">
        <f>HYPERLINK("http://opel.re","opel.re")</f>
        <v>opel.re</v>
      </c>
      <c r="C32576" t="s">
        <v>575</v>
      </c>
      <c r="D32576" t="s">
        <v>920</v>
      </c>
      <c r="F32576">
        <v>1.0255776789203701E-8</v>
      </c>
      <c r="G32576">
        <v>6493119</v>
      </c>
      <c r="H32576">
        <v>11183017</v>
      </c>
      <c r="I32576">
        <v>31409532</v>
      </c>
      <c r="J32576">
        <v>5</v>
      </c>
    </row>
    <row r="32577" spans="1:10" x14ac:dyDescent="0.25">
      <c r="A32577" t="s">
        <v>362</v>
      </c>
      <c r="B32577" s="1" t="str">
        <f>HYPERLINK("http://peugeot.re","peugeot.re")</f>
        <v>peugeot.re</v>
      </c>
      <c r="C32577" t="s">
        <v>575</v>
      </c>
      <c r="D32577" t="s">
        <v>920</v>
      </c>
      <c r="F32577">
        <v>1.5234192495433701E-8</v>
      </c>
      <c r="G32577">
        <v>3765503</v>
      </c>
      <c r="H32577">
        <v>10996716</v>
      </c>
      <c r="I32577">
        <v>33636825</v>
      </c>
      <c r="J32577">
        <v>5</v>
      </c>
    </row>
    <row r="32578" spans="1:10" x14ac:dyDescent="0.25">
      <c r="A32578" t="s">
        <v>362</v>
      </c>
      <c r="B32578" s="1" t="str">
        <f>HYPERLINK("http://citroen.ro","citroen.ro")</f>
        <v>citroen.ro</v>
      </c>
      <c r="C32578" t="s">
        <v>491</v>
      </c>
      <c r="D32578" t="s">
        <v>865</v>
      </c>
      <c r="F32578">
        <v>2.3346585672198498E-8</v>
      </c>
      <c r="G32578">
        <v>2234061</v>
      </c>
      <c r="H32578">
        <v>14374505</v>
      </c>
      <c r="I32578">
        <v>1238846</v>
      </c>
      <c r="J32578">
        <v>5</v>
      </c>
    </row>
    <row r="32579" spans="1:10" x14ac:dyDescent="0.25">
      <c r="A32579" t="s">
        <v>362</v>
      </c>
      <c r="B32579" s="1" t="str">
        <f>HYPERLINK("http://fiat.com.ro","fiat.com.ro")</f>
        <v>fiat.com.ro</v>
      </c>
      <c r="C32579" t="s">
        <v>491</v>
      </c>
      <c r="D32579" t="s">
        <v>865</v>
      </c>
      <c r="F32579">
        <v>2.1010253343502001E-8</v>
      </c>
      <c r="G32579">
        <v>2514514</v>
      </c>
      <c r="H32579">
        <v>14236101</v>
      </c>
      <c r="I32579">
        <v>1609388</v>
      </c>
      <c r="J32579">
        <v>5</v>
      </c>
    </row>
    <row r="32580" spans="1:10" x14ac:dyDescent="0.25">
      <c r="A32580" t="s">
        <v>362</v>
      </c>
      <c r="B32580" s="1" t="str">
        <f>HYPERLINK("http://jeep.ro","jeep.ro")</f>
        <v>jeep.ro</v>
      </c>
      <c r="C32580" t="s">
        <v>491</v>
      </c>
      <c r="D32580" t="s">
        <v>865</v>
      </c>
      <c r="F32580">
        <v>2.0045455523171499E-8</v>
      </c>
      <c r="G32580">
        <v>2652304</v>
      </c>
      <c r="H32580">
        <v>13764989</v>
      </c>
      <c r="I32580">
        <v>7161384</v>
      </c>
      <c r="J32580">
        <v>5</v>
      </c>
    </row>
    <row r="32581" spans="1:10" x14ac:dyDescent="0.25">
      <c r="A32581" t="s">
        <v>362</v>
      </c>
      <c r="B32581" s="1" t="str">
        <f>HYPERLINK("http://opel.ro","opel.ro")</f>
        <v>opel.ro</v>
      </c>
      <c r="C32581" t="s">
        <v>491</v>
      </c>
      <c r="D32581" t="s">
        <v>865</v>
      </c>
      <c r="F32581">
        <v>2.54995576884505E-8</v>
      </c>
      <c r="G32581">
        <v>2022757</v>
      </c>
      <c r="H32581">
        <v>14486154</v>
      </c>
      <c r="I32581">
        <v>972772</v>
      </c>
      <c r="J32581">
        <v>4</v>
      </c>
    </row>
    <row r="32582" spans="1:10" x14ac:dyDescent="0.25">
      <c r="A32582" t="s">
        <v>362</v>
      </c>
      <c r="B32582" s="1" t="str">
        <f>HYPERLINK("http://citroen.rs","citroen.rs")</f>
        <v>citroen.rs</v>
      </c>
      <c r="C32582" t="s">
        <v>492</v>
      </c>
      <c r="D32582" t="s">
        <v>866</v>
      </c>
      <c r="F32582">
        <v>1.6204340210557101E-8</v>
      </c>
      <c r="G32582">
        <v>3494323</v>
      </c>
      <c r="H32582">
        <v>12872823</v>
      </c>
      <c r="I32582">
        <v>14048645</v>
      </c>
      <c r="J32582">
        <v>5</v>
      </c>
    </row>
    <row r="32583" spans="1:10" x14ac:dyDescent="0.25">
      <c r="A32583" t="s">
        <v>362</v>
      </c>
      <c r="B32583" s="1" t="str">
        <f>HYPERLINK("http://fiat.rs","fiat.rs")</f>
        <v>fiat.rs</v>
      </c>
      <c r="C32583" t="s">
        <v>492</v>
      </c>
      <c r="D32583" t="s">
        <v>866</v>
      </c>
      <c r="F32583">
        <v>6.7202711912809402E-9</v>
      </c>
      <c r="G32583">
        <v>13232667</v>
      </c>
      <c r="H32583">
        <v>12260316</v>
      </c>
      <c r="I32583">
        <v>21766045</v>
      </c>
      <c r="J32583">
        <v>4</v>
      </c>
    </row>
    <row r="32584" spans="1:10" x14ac:dyDescent="0.25">
      <c r="A32584" t="s">
        <v>362</v>
      </c>
      <c r="B32584" s="1" t="str">
        <f>HYPERLINK("http://opel.rs","opel.rs")</f>
        <v>opel.rs</v>
      </c>
      <c r="C32584" t="s">
        <v>492</v>
      </c>
      <c r="D32584" t="s">
        <v>866</v>
      </c>
      <c r="F32584">
        <v>1.9483442982416799E-8</v>
      </c>
      <c r="G32584">
        <v>2746998</v>
      </c>
      <c r="H32584">
        <v>14236887</v>
      </c>
      <c r="I32584">
        <v>1566872</v>
      </c>
      <c r="J32584">
        <v>4</v>
      </c>
    </row>
    <row r="32585" spans="1:10" x14ac:dyDescent="0.25">
      <c r="A32585" t="s">
        <v>362</v>
      </c>
      <c r="B32585" s="1" t="str">
        <f>HYPERLINK("http://citroen.ru","citroen.ru")</f>
        <v>citroen.ru</v>
      </c>
      <c r="C32585" t="s">
        <v>493</v>
      </c>
      <c r="D32585" t="s">
        <v>867</v>
      </c>
      <c r="E32585">
        <v>636763</v>
      </c>
      <c r="F32585">
        <v>7.1108720029729806E-8</v>
      </c>
      <c r="G32585">
        <v>594653</v>
      </c>
      <c r="H32585">
        <v>14274820</v>
      </c>
      <c r="I32585">
        <v>1391954</v>
      </c>
      <c r="J32585">
        <v>5</v>
      </c>
    </row>
    <row r="32586" spans="1:10" x14ac:dyDescent="0.25">
      <c r="A32586" t="s">
        <v>362</v>
      </c>
      <c r="B32586" s="1" t="str">
        <f>HYPERLINK("http://dsautomobiles.ru","dsautomobiles.ru")</f>
        <v>dsautomobiles.ru</v>
      </c>
      <c r="C32586" t="s">
        <v>493</v>
      </c>
      <c r="D32586" t="s">
        <v>867</v>
      </c>
      <c r="F32586">
        <v>9.3660485158062501E-9</v>
      </c>
      <c r="G32586">
        <v>7487711</v>
      </c>
      <c r="H32586">
        <v>12010661</v>
      </c>
      <c r="I32586">
        <v>28060385</v>
      </c>
      <c r="J32586">
        <v>5</v>
      </c>
    </row>
    <row r="32587" spans="1:10" x14ac:dyDescent="0.25">
      <c r="A32587" t="s">
        <v>362</v>
      </c>
      <c r="B32587" s="1" t="str">
        <f>HYPERLINK("http://fiat.ru","fiat.ru")</f>
        <v>fiat.ru</v>
      </c>
      <c r="C32587" t="s">
        <v>493</v>
      </c>
      <c r="D32587" t="s">
        <v>867</v>
      </c>
      <c r="F32587">
        <v>2.4729255341160699E-8</v>
      </c>
      <c r="G32587">
        <v>2091745</v>
      </c>
      <c r="H32587">
        <v>14073372</v>
      </c>
      <c r="I32587">
        <v>2999238</v>
      </c>
      <c r="J32587">
        <v>5</v>
      </c>
    </row>
    <row r="32588" spans="1:10" x14ac:dyDescent="0.25">
      <c r="A32588" t="s">
        <v>362</v>
      </c>
      <c r="B32588" s="1" t="str">
        <f>HYPERLINK("http://maserati.ru","maserati.ru")</f>
        <v>maserati.ru</v>
      </c>
      <c r="C32588" t="s">
        <v>493</v>
      </c>
      <c r="D32588" t="s">
        <v>867</v>
      </c>
      <c r="F32588">
        <v>1.00468000413315E-8</v>
      </c>
      <c r="G32588">
        <v>6708748</v>
      </c>
      <c r="H32588">
        <v>14073430</v>
      </c>
      <c r="I32588">
        <v>2995426</v>
      </c>
      <c r="J32588">
        <v>5</v>
      </c>
    </row>
    <row r="32589" spans="1:10" x14ac:dyDescent="0.25">
      <c r="A32589" t="s">
        <v>362</v>
      </c>
      <c r="B32589" s="1" t="str">
        <f>HYPERLINK("http://opel.ru","opel.ru")</f>
        <v>opel.ru</v>
      </c>
      <c r="C32589" t="s">
        <v>493</v>
      </c>
      <c r="D32589" t="s">
        <v>867</v>
      </c>
      <c r="E32589">
        <v>665835</v>
      </c>
      <c r="F32589">
        <v>4.6780722055971101E-8</v>
      </c>
      <c r="G32589">
        <v>998530</v>
      </c>
      <c r="H32589">
        <v>14169074</v>
      </c>
      <c r="I32589">
        <v>1808645</v>
      </c>
      <c r="J32589">
        <v>4</v>
      </c>
    </row>
    <row r="32590" spans="1:10" x14ac:dyDescent="0.25">
      <c r="A32590" t="s">
        <v>362</v>
      </c>
      <c r="B32590" s="1" t="str">
        <f>HYPERLINK("http://citroen.se","citroen.se")</f>
        <v>citroen.se</v>
      </c>
      <c r="C32590" t="s">
        <v>495</v>
      </c>
      <c r="D32590" t="s">
        <v>869</v>
      </c>
      <c r="F32590">
        <v>5.4871865295352001E-8</v>
      </c>
      <c r="G32590">
        <v>820097</v>
      </c>
      <c r="H32590">
        <v>14488899</v>
      </c>
      <c r="I32590">
        <v>928059</v>
      </c>
      <c r="J32590">
        <v>5</v>
      </c>
    </row>
    <row r="32591" spans="1:10" x14ac:dyDescent="0.25">
      <c r="A32591" t="s">
        <v>362</v>
      </c>
      <c r="B32591" s="1" t="str">
        <f>HYPERLINK("http://dsautomobiles.se","dsautomobiles.se")</f>
        <v>dsautomobiles.se</v>
      </c>
      <c r="C32591" t="s">
        <v>495</v>
      </c>
      <c r="D32591" t="s">
        <v>869</v>
      </c>
      <c r="F32591">
        <v>1.3089212045651499E-8</v>
      </c>
      <c r="G32591">
        <v>4589068</v>
      </c>
      <c r="H32591">
        <v>13933114</v>
      </c>
      <c r="I32591">
        <v>4927099</v>
      </c>
      <c r="J32591">
        <v>5</v>
      </c>
    </row>
    <row r="32592" spans="1:10" x14ac:dyDescent="0.25">
      <c r="A32592" t="s">
        <v>362</v>
      </c>
      <c r="B32592" s="1" t="str">
        <f>HYPERLINK("http://fiat.se","fiat.se")</f>
        <v>fiat.se</v>
      </c>
      <c r="C32592" t="s">
        <v>495</v>
      </c>
      <c r="D32592" t="s">
        <v>869</v>
      </c>
      <c r="F32592">
        <v>4.2072399681100198E-8</v>
      </c>
      <c r="G32592">
        <v>1162479</v>
      </c>
      <c r="H32592">
        <v>14077681</v>
      </c>
      <c r="I32592">
        <v>2860652</v>
      </c>
      <c r="J32592">
        <v>4</v>
      </c>
    </row>
    <row r="32593" spans="1:10" x14ac:dyDescent="0.25">
      <c r="A32593" t="s">
        <v>362</v>
      </c>
      <c r="B32593" s="1" t="str">
        <f>HYPERLINK("http://free2move.se","free2move.se")</f>
        <v>free2move.se</v>
      </c>
      <c r="C32593" t="s">
        <v>495</v>
      </c>
      <c r="D32593" t="s">
        <v>869</v>
      </c>
      <c r="F32593">
        <v>1.4158495081985499E-8</v>
      </c>
      <c r="G32593">
        <v>4144247</v>
      </c>
      <c r="H32593">
        <v>13214322</v>
      </c>
      <c r="I32593">
        <v>11375485</v>
      </c>
      <c r="J32593">
        <v>5</v>
      </c>
    </row>
    <row r="32594" spans="1:10" x14ac:dyDescent="0.25">
      <c r="A32594" t="s">
        <v>362</v>
      </c>
      <c r="B32594" s="1" t="str">
        <f>HYPERLINK("http://opel.se","opel.se")</f>
        <v>opel.se</v>
      </c>
      <c r="C32594" t="s">
        <v>495</v>
      </c>
      <c r="D32594" t="s">
        <v>869</v>
      </c>
      <c r="F32594">
        <v>7.0682546104824396E-8</v>
      </c>
      <c r="G32594">
        <v>598771</v>
      </c>
      <c r="H32594">
        <v>14787382</v>
      </c>
      <c r="I32594">
        <v>552043</v>
      </c>
      <c r="J32594">
        <v>4</v>
      </c>
    </row>
    <row r="32595" spans="1:10" x14ac:dyDescent="0.25">
      <c r="A32595" t="s">
        <v>362</v>
      </c>
      <c r="B32595" s="1" t="str">
        <f>HYPERLINK("http://fca.services","fca.services")</f>
        <v>fca.services</v>
      </c>
      <c r="C32595" t="s">
        <v>579</v>
      </c>
      <c r="J32595">
        <v>5</v>
      </c>
    </row>
    <row r="32596" spans="1:10" x14ac:dyDescent="0.25">
      <c r="A32596" t="s">
        <v>362</v>
      </c>
      <c r="B32596" s="1" t="str">
        <f>HYPERLINK("http://citroen.com.sg","citroen.com.sg")</f>
        <v>citroen.com.sg</v>
      </c>
      <c r="C32596" t="s">
        <v>496</v>
      </c>
      <c r="D32596" t="s">
        <v>870</v>
      </c>
      <c r="F32596">
        <v>1.01444395521464E-8</v>
      </c>
      <c r="G32596">
        <v>6602215</v>
      </c>
      <c r="H32596">
        <v>13027658</v>
      </c>
      <c r="I32596">
        <v>12680657</v>
      </c>
      <c r="J32596">
        <v>5</v>
      </c>
    </row>
    <row r="32597" spans="1:10" x14ac:dyDescent="0.25">
      <c r="A32597" t="s">
        <v>362</v>
      </c>
      <c r="B32597" s="1" t="str">
        <f>HYPERLINK("http://jeep.com.sg","jeep.com.sg")</f>
        <v>jeep.com.sg</v>
      </c>
      <c r="C32597" t="s">
        <v>496</v>
      </c>
      <c r="D32597" t="s">
        <v>870</v>
      </c>
      <c r="F32597">
        <v>4.1956112845337503E-8</v>
      </c>
      <c r="G32597">
        <v>1168874</v>
      </c>
      <c r="H32597">
        <v>12347595</v>
      </c>
      <c r="I32597">
        <v>19803816</v>
      </c>
      <c r="J32597">
        <v>5</v>
      </c>
    </row>
    <row r="32598" spans="1:10" x14ac:dyDescent="0.25">
      <c r="A32598" t="s">
        <v>362</v>
      </c>
      <c r="B32598" s="1" t="str">
        <f>HYPERLINK("http://opel.com.sg","opel.com.sg")</f>
        <v>opel.com.sg</v>
      </c>
      <c r="C32598" t="s">
        <v>496</v>
      </c>
      <c r="D32598" t="s">
        <v>870</v>
      </c>
      <c r="F32598">
        <v>1.7918931668094399E-8</v>
      </c>
      <c r="G32598">
        <v>3049514</v>
      </c>
      <c r="H32598">
        <v>14236664</v>
      </c>
      <c r="I32598">
        <v>1575351</v>
      </c>
      <c r="J32598">
        <v>4</v>
      </c>
    </row>
    <row r="32599" spans="1:10" x14ac:dyDescent="0.25">
      <c r="A32599" t="s">
        <v>362</v>
      </c>
      <c r="B32599" s="1" t="str">
        <f>HYPERLINK("http://citroen.si","citroen.si")</f>
        <v>citroen.si</v>
      </c>
      <c r="C32599" t="s">
        <v>497</v>
      </c>
      <c r="D32599" t="s">
        <v>871</v>
      </c>
      <c r="F32599">
        <v>3.4700395896845198E-8</v>
      </c>
      <c r="G32599">
        <v>1495663</v>
      </c>
      <c r="H32599">
        <v>13767165</v>
      </c>
      <c r="I32599">
        <v>6950434</v>
      </c>
      <c r="J32599">
        <v>5</v>
      </c>
    </row>
    <row r="32600" spans="1:10" x14ac:dyDescent="0.25">
      <c r="A32600" t="s">
        <v>362</v>
      </c>
      <c r="B32600" s="1" t="str">
        <f>HYPERLINK("http://dsautomobiles.si","dsautomobiles.si")</f>
        <v>dsautomobiles.si</v>
      </c>
      <c r="C32600" t="s">
        <v>497</v>
      </c>
      <c r="D32600" t="s">
        <v>871</v>
      </c>
      <c r="F32600">
        <v>1.05062806119761E-8</v>
      </c>
      <c r="G32600">
        <v>6264029</v>
      </c>
      <c r="H32600">
        <v>12206411</v>
      </c>
      <c r="I32600">
        <v>23120789</v>
      </c>
      <c r="J32600">
        <v>5</v>
      </c>
    </row>
    <row r="32601" spans="1:10" x14ac:dyDescent="0.25">
      <c r="A32601" t="s">
        <v>362</v>
      </c>
      <c r="B32601" s="1" t="str">
        <f>HYPERLINK("http://fiat.si","fiat.si")</f>
        <v>fiat.si</v>
      </c>
      <c r="C32601" t="s">
        <v>497</v>
      </c>
      <c r="D32601" t="s">
        <v>871</v>
      </c>
      <c r="F32601">
        <v>1.6547904890704199E-8</v>
      </c>
      <c r="G32601">
        <v>3402028</v>
      </c>
      <c r="H32601">
        <v>12314595</v>
      </c>
      <c r="I32601">
        <v>20521348</v>
      </c>
      <c r="J32601">
        <v>5</v>
      </c>
    </row>
    <row r="32602" spans="1:10" x14ac:dyDescent="0.25">
      <c r="A32602" t="s">
        <v>362</v>
      </c>
      <c r="B32602" s="1" t="str">
        <f>HYPERLINK("http://opel.si","opel.si")</f>
        <v>opel.si</v>
      </c>
      <c r="C32602" t="s">
        <v>497</v>
      </c>
      <c r="D32602" t="s">
        <v>871</v>
      </c>
      <c r="F32602">
        <v>2.5340902348042702E-8</v>
      </c>
      <c r="G32602">
        <v>2036213</v>
      </c>
      <c r="H32602">
        <v>14073988</v>
      </c>
      <c r="I32602">
        <v>2961317</v>
      </c>
      <c r="J32602">
        <v>4</v>
      </c>
    </row>
    <row r="32603" spans="1:10" x14ac:dyDescent="0.25">
      <c r="A32603" t="s">
        <v>362</v>
      </c>
      <c r="B32603" s="1" t="str">
        <f>HYPERLINK("http://abarth.sk","abarth.sk")</f>
        <v>abarth.sk</v>
      </c>
      <c r="C32603" t="s">
        <v>498</v>
      </c>
      <c r="D32603" t="s">
        <v>872</v>
      </c>
      <c r="F32603">
        <v>1.7912971356211501E-8</v>
      </c>
      <c r="G32603">
        <v>3050760</v>
      </c>
      <c r="H32603">
        <v>12196878</v>
      </c>
      <c r="I32603">
        <v>23400752</v>
      </c>
      <c r="J32603">
        <v>5</v>
      </c>
    </row>
    <row r="32604" spans="1:10" x14ac:dyDescent="0.25">
      <c r="A32604" t="s">
        <v>362</v>
      </c>
      <c r="B32604" s="1" t="str">
        <f>HYPERLINK("http://alfaromeo.sk","alfaromeo.sk")</f>
        <v>alfaromeo.sk</v>
      </c>
      <c r="C32604" t="s">
        <v>498</v>
      </c>
      <c r="D32604" t="s">
        <v>872</v>
      </c>
      <c r="F32604">
        <v>1.42924498782218E-8</v>
      </c>
      <c r="G32604">
        <v>4096011</v>
      </c>
      <c r="H32604">
        <v>12133814</v>
      </c>
      <c r="I32604">
        <v>25031478</v>
      </c>
      <c r="J32604">
        <v>5</v>
      </c>
    </row>
    <row r="32605" spans="1:10" x14ac:dyDescent="0.25">
      <c r="A32605" t="s">
        <v>362</v>
      </c>
      <c r="B32605" s="1" t="str">
        <f>HYPERLINK("http://citroen.sk","citroen.sk")</f>
        <v>citroen.sk</v>
      </c>
      <c r="C32605" t="s">
        <v>498</v>
      </c>
      <c r="D32605" t="s">
        <v>872</v>
      </c>
      <c r="F32605">
        <v>4.1111194317774997E-8</v>
      </c>
      <c r="G32605">
        <v>1262627</v>
      </c>
      <c r="H32605">
        <v>14076059</v>
      </c>
      <c r="I32605">
        <v>2895024</v>
      </c>
      <c r="J32605">
        <v>5</v>
      </c>
    </row>
    <row r="32606" spans="1:10" x14ac:dyDescent="0.25">
      <c r="A32606" t="s">
        <v>362</v>
      </c>
      <c r="B32606" s="1" t="str">
        <f>HYPERLINK("http://dsautomobiles.sk","dsautomobiles.sk")</f>
        <v>dsautomobiles.sk</v>
      </c>
      <c r="C32606" t="s">
        <v>498</v>
      </c>
      <c r="D32606" t="s">
        <v>872</v>
      </c>
      <c r="F32606">
        <v>8.3938623091983705E-9</v>
      </c>
      <c r="G32606">
        <v>9055459</v>
      </c>
      <c r="H32606">
        <v>12000291</v>
      </c>
      <c r="I32606">
        <v>28251481</v>
      </c>
      <c r="J32606">
        <v>5</v>
      </c>
    </row>
    <row r="32607" spans="1:10" x14ac:dyDescent="0.25">
      <c r="A32607" t="s">
        <v>362</v>
      </c>
      <c r="B32607" s="1" t="str">
        <f>HYPERLINK("http://fiat.sk","fiat.sk")</f>
        <v>fiat.sk</v>
      </c>
      <c r="C32607" t="s">
        <v>498</v>
      </c>
      <c r="D32607" t="s">
        <v>872</v>
      </c>
      <c r="F32607">
        <v>4.55609983311874E-8</v>
      </c>
      <c r="G32607">
        <v>1032778</v>
      </c>
      <c r="H32607">
        <v>12324177</v>
      </c>
      <c r="I32607">
        <v>20337342</v>
      </c>
      <c r="J32607">
        <v>4</v>
      </c>
    </row>
    <row r="32608" spans="1:10" x14ac:dyDescent="0.25">
      <c r="A32608" t="s">
        <v>362</v>
      </c>
      <c r="B32608" s="1" t="str">
        <f>HYPERLINK("http://fiatprofessional.sk","fiatprofessional.sk")</f>
        <v>fiatprofessional.sk</v>
      </c>
      <c r="C32608" t="s">
        <v>498</v>
      </c>
      <c r="D32608" t="s">
        <v>872</v>
      </c>
      <c r="F32608">
        <v>1.0037658348022901E-8</v>
      </c>
      <c r="G32608">
        <v>6717778</v>
      </c>
      <c r="H32608">
        <v>12176363</v>
      </c>
      <c r="I32608">
        <v>23898566</v>
      </c>
      <c r="J32608">
        <v>5</v>
      </c>
    </row>
    <row r="32609" spans="1:10" x14ac:dyDescent="0.25">
      <c r="A32609" t="s">
        <v>362</v>
      </c>
      <c r="B32609" s="1" t="str">
        <f>HYPERLINK("http://jeep.sk","jeep.sk")</f>
        <v>jeep.sk</v>
      </c>
      <c r="C32609" t="s">
        <v>498</v>
      </c>
      <c r="D32609" t="s">
        <v>872</v>
      </c>
      <c r="F32609">
        <v>4.8774887867859799E-8</v>
      </c>
      <c r="G32609">
        <v>950325</v>
      </c>
      <c r="H32609">
        <v>12310763</v>
      </c>
      <c r="I32609">
        <v>20600365</v>
      </c>
      <c r="J32609">
        <v>5</v>
      </c>
    </row>
    <row r="32610" spans="1:10" x14ac:dyDescent="0.25">
      <c r="A32610" t="s">
        <v>362</v>
      </c>
      <c r="B32610" s="1" t="str">
        <f>HYPERLINK("http://opel.sk","opel.sk")</f>
        <v>opel.sk</v>
      </c>
      <c r="C32610" t="s">
        <v>498</v>
      </c>
      <c r="D32610" t="s">
        <v>872</v>
      </c>
      <c r="F32610">
        <v>4.2618685119121401E-8</v>
      </c>
      <c r="G32610">
        <v>1134785</v>
      </c>
      <c r="H32610">
        <v>14073332</v>
      </c>
      <c r="I32610">
        <v>3001555</v>
      </c>
      <c r="J32610">
        <v>4</v>
      </c>
    </row>
    <row r="32611" spans="1:10" x14ac:dyDescent="0.25">
      <c r="A32611" t="s">
        <v>362</v>
      </c>
      <c r="B32611" s="1" t="str">
        <f>HYPERLINK("http://psa-slovakia.sk","psa-slovakia.sk")</f>
        <v>psa-slovakia.sk</v>
      </c>
      <c r="C32611" t="s">
        <v>498</v>
      </c>
      <c r="D32611" t="s">
        <v>872</v>
      </c>
      <c r="F32611">
        <v>1.5289312941114802E-8</v>
      </c>
      <c r="G32611">
        <v>3748947</v>
      </c>
      <c r="H32611">
        <v>14075942</v>
      </c>
      <c r="I32611">
        <v>2897242</v>
      </c>
      <c r="J32611">
        <v>4</v>
      </c>
    </row>
    <row r="32612" spans="1:10" x14ac:dyDescent="0.25">
      <c r="A32612" t="s">
        <v>362</v>
      </c>
      <c r="B32612" s="1" t="str">
        <f>HYPERLINK("http://citroen.sn","citroen.sn")</f>
        <v>citroen.sn</v>
      </c>
      <c r="C32612" t="s">
        <v>551</v>
      </c>
      <c r="D32612" t="s">
        <v>907</v>
      </c>
      <c r="F32612">
        <v>1.1741753854088699E-8</v>
      </c>
      <c r="G32612">
        <v>5339685</v>
      </c>
      <c r="H32612">
        <v>12091082</v>
      </c>
      <c r="I32612">
        <v>26216853</v>
      </c>
      <c r="J32612">
        <v>5</v>
      </c>
    </row>
    <row r="32613" spans="1:10" x14ac:dyDescent="0.25">
      <c r="A32613" t="s">
        <v>362</v>
      </c>
      <c r="B32613" s="1" t="str">
        <f>HYPERLINK("http://citroen.store","citroen.store")</f>
        <v>citroen.store</v>
      </c>
      <c r="C32613" t="s">
        <v>559</v>
      </c>
      <c r="F32613">
        <v>1.0987016862821399E-8</v>
      </c>
      <c r="G32613">
        <v>5870925</v>
      </c>
      <c r="H32613">
        <v>12416847</v>
      </c>
      <c r="I32613">
        <v>18511284</v>
      </c>
      <c r="J32613">
        <v>6</v>
      </c>
    </row>
    <row r="32614" spans="1:10" x14ac:dyDescent="0.25">
      <c r="A32614" t="s">
        <v>362</v>
      </c>
      <c r="B32614" s="1" t="str">
        <f>HYPERLINK("http://dsautomobiles.store","dsautomobiles.store")</f>
        <v>dsautomobiles.store</v>
      </c>
      <c r="C32614" t="s">
        <v>559</v>
      </c>
      <c r="F32614">
        <v>6.0905488049846399E-9</v>
      </c>
      <c r="G32614">
        <v>16145996</v>
      </c>
      <c r="H32614">
        <v>10527924</v>
      </c>
      <c r="I32614">
        <v>48873178</v>
      </c>
      <c r="J32614">
        <v>6</v>
      </c>
    </row>
    <row r="32615" spans="1:10" x14ac:dyDescent="0.25">
      <c r="A32615" t="s">
        <v>362</v>
      </c>
      <c r="B32615" s="1" t="str">
        <f>HYPERLINK("http://peugeot.store","peugeot.store")</f>
        <v>peugeot.store</v>
      </c>
      <c r="C32615" t="s">
        <v>559</v>
      </c>
      <c r="F32615">
        <v>1.56283061378542E-8</v>
      </c>
      <c r="G32615">
        <v>3647403</v>
      </c>
      <c r="H32615">
        <v>11007665</v>
      </c>
      <c r="I32615">
        <v>33442126</v>
      </c>
      <c r="J32615">
        <v>5</v>
      </c>
    </row>
    <row r="32616" spans="1:10" x14ac:dyDescent="0.25">
      <c r="A32616" t="s">
        <v>362</v>
      </c>
      <c r="B32616" s="1" t="str">
        <f>HYPERLINK("http://citroen.tn","citroen.tn")</f>
        <v>citroen.tn</v>
      </c>
      <c r="C32616" t="s">
        <v>501</v>
      </c>
      <c r="D32616" t="s">
        <v>875</v>
      </c>
      <c r="F32616">
        <v>1.40425555855333E-8</v>
      </c>
      <c r="G32616">
        <v>4186815</v>
      </c>
      <c r="H32616">
        <v>14083682</v>
      </c>
      <c r="I32616">
        <v>2792009</v>
      </c>
      <c r="J32616">
        <v>5</v>
      </c>
    </row>
    <row r="32617" spans="1:10" x14ac:dyDescent="0.25">
      <c r="A32617" t="s">
        <v>362</v>
      </c>
      <c r="B32617" s="1" t="str">
        <f>HYPERLINK("http://opel.tn","opel.tn")</f>
        <v>opel.tn</v>
      </c>
      <c r="C32617" t="s">
        <v>501</v>
      </c>
      <c r="D32617" t="s">
        <v>875</v>
      </c>
      <c r="F32617">
        <v>9.3501203635248006E-9</v>
      </c>
      <c r="G32617">
        <v>7507785</v>
      </c>
      <c r="H32617">
        <v>11074241</v>
      </c>
      <c r="I32617">
        <v>32534653</v>
      </c>
      <c r="J32617">
        <v>4</v>
      </c>
    </row>
    <row r="32618" spans="1:10" x14ac:dyDescent="0.25">
      <c r="A32618" t="s">
        <v>362</v>
      </c>
      <c r="B32618" s="1" t="str">
        <f>HYPERLINK("http://f2m.to","f2m.to")</f>
        <v>f2m.to</v>
      </c>
      <c r="C32618" t="s">
        <v>578</v>
      </c>
      <c r="D32618" t="s">
        <v>921</v>
      </c>
      <c r="J32618">
        <v>8</v>
      </c>
    </row>
    <row r="32619" spans="1:10" x14ac:dyDescent="0.25">
      <c r="A32619" t="s">
        <v>362</v>
      </c>
      <c r="B32619" s="1" t="str">
        <f>HYPERLINK("http://citroen.com.tr","citroen.com.tr")</f>
        <v>citroen.com.tr</v>
      </c>
      <c r="C32619" t="s">
        <v>502</v>
      </c>
      <c r="D32619" t="s">
        <v>876</v>
      </c>
      <c r="E32619">
        <v>271993</v>
      </c>
      <c r="F32619">
        <v>2.5950814682054701E-8</v>
      </c>
      <c r="G32619">
        <v>1985624</v>
      </c>
      <c r="H32619">
        <v>14074035</v>
      </c>
      <c r="I32619">
        <v>2959313</v>
      </c>
      <c r="J32619">
        <v>5</v>
      </c>
    </row>
    <row r="32620" spans="1:10" x14ac:dyDescent="0.25">
      <c r="A32620" t="s">
        <v>362</v>
      </c>
      <c r="B32620" s="1" t="str">
        <f>HYPERLINK("http://dsautomobiles.com.tr","dsautomobiles.com.tr")</f>
        <v>dsautomobiles.com.tr</v>
      </c>
      <c r="C32620" t="s">
        <v>502</v>
      </c>
      <c r="D32620" t="s">
        <v>876</v>
      </c>
      <c r="E32620">
        <v>602153</v>
      </c>
      <c r="F32620">
        <v>9.1481534235798003E-9</v>
      </c>
      <c r="G32620">
        <v>7780854</v>
      </c>
      <c r="H32620">
        <v>12262649</v>
      </c>
      <c r="I32620">
        <v>21692003</v>
      </c>
      <c r="J32620">
        <v>5</v>
      </c>
    </row>
    <row r="32621" spans="1:10" x14ac:dyDescent="0.25">
      <c r="A32621" t="s">
        <v>362</v>
      </c>
      <c r="B32621" s="1" t="str">
        <f>HYPERLINK("http://jeep.com.tr","jeep.com.tr")</f>
        <v>jeep.com.tr</v>
      </c>
      <c r="C32621" t="s">
        <v>502</v>
      </c>
      <c r="D32621" t="s">
        <v>876</v>
      </c>
      <c r="F32621">
        <v>4.3447995236093098E-8</v>
      </c>
      <c r="G32621">
        <v>1101415</v>
      </c>
      <c r="H32621">
        <v>14075308</v>
      </c>
      <c r="I32621">
        <v>2912731</v>
      </c>
      <c r="J32621">
        <v>4</v>
      </c>
    </row>
    <row r="32622" spans="1:10" x14ac:dyDescent="0.25">
      <c r="A32622" t="s">
        <v>362</v>
      </c>
      <c r="B32622" s="1" t="str">
        <f>HYPERLINK("http://opel.com.tr","opel.com.tr")</f>
        <v>opel.com.tr</v>
      </c>
      <c r="C32622" t="s">
        <v>502</v>
      </c>
      <c r="D32622" t="s">
        <v>876</v>
      </c>
      <c r="E32622">
        <v>245160</v>
      </c>
      <c r="F32622">
        <v>4.8547006738784697E-8</v>
      </c>
      <c r="G32622">
        <v>955385</v>
      </c>
      <c r="H32622">
        <v>14513282</v>
      </c>
      <c r="I32622">
        <v>817516</v>
      </c>
      <c r="J32622">
        <v>4</v>
      </c>
    </row>
    <row r="32623" spans="1:10" x14ac:dyDescent="0.25">
      <c r="A32623" t="s">
        <v>362</v>
      </c>
      <c r="B32623" s="1" t="str">
        <f>HYPERLINK("http://opel.tw","opel.tw")</f>
        <v>opel.tw</v>
      </c>
      <c r="C32623" t="s">
        <v>504</v>
      </c>
      <c r="D32623" t="s">
        <v>878</v>
      </c>
      <c r="F32623">
        <v>1.97288438049466E-8</v>
      </c>
      <c r="G32623">
        <v>2704566</v>
      </c>
      <c r="H32623">
        <v>12995957</v>
      </c>
      <c r="I32623">
        <v>12818836</v>
      </c>
      <c r="J32623">
        <v>4</v>
      </c>
    </row>
    <row r="32624" spans="1:10" x14ac:dyDescent="0.25">
      <c r="A32624" t="s">
        <v>362</v>
      </c>
      <c r="B32624" s="1" t="str">
        <f>HYPERLINK("http://citroen.ua","citroen.ua")</f>
        <v>citroen.ua</v>
      </c>
      <c r="C32624" t="s">
        <v>505</v>
      </c>
      <c r="D32624" t="s">
        <v>879</v>
      </c>
      <c r="F32624">
        <v>2.7243021384982101E-8</v>
      </c>
      <c r="G32624">
        <v>1887212</v>
      </c>
      <c r="H32624">
        <v>14078246</v>
      </c>
      <c r="I32624">
        <v>2850004</v>
      </c>
      <c r="J32624">
        <v>5</v>
      </c>
    </row>
    <row r="32625" spans="1:10" x14ac:dyDescent="0.25">
      <c r="A32625" t="s">
        <v>362</v>
      </c>
      <c r="B32625" s="1" t="str">
        <f>HYPERLINK("http://citroen.if.ua","citroen.if.ua")</f>
        <v>citroen.if.ua</v>
      </c>
      <c r="C32625" t="s">
        <v>505</v>
      </c>
      <c r="D32625" t="s">
        <v>879</v>
      </c>
      <c r="F32625">
        <v>5.0414961915174502E-9</v>
      </c>
      <c r="G32625">
        <v>28408977</v>
      </c>
      <c r="H32625">
        <v>11113203</v>
      </c>
      <c r="I32625">
        <v>32126081</v>
      </c>
      <c r="J32625">
        <v>6</v>
      </c>
    </row>
    <row r="32626" spans="1:10" x14ac:dyDescent="0.25">
      <c r="A32626" t="s">
        <v>362</v>
      </c>
      <c r="B32626" s="1" t="str">
        <f>HYPERLINK("http://citroen.in.ua","citroen.in.ua")</f>
        <v>citroen.in.ua</v>
      </c>
      <c r="C32626" t="s">
        <v>505</v>
      </c>
      <c r="D32626" t="s">
        <v>879</v>
      </c>
      <c r="F32626">
        <v>5.62972363527388E-9</v>
      </c>
      <c r="G32626">
        <v>19578195</v>
      </c>
      <c r="H32626">
        <v>10965345</v>
      </c>
      <c r="I32626">
        <v>34236280</v>
      </c>
      <c r="J32626">
        <v>6</v>
      </c>
    </row>
    <row r="32627" spans="1:10" x14ac:dyDescent="0.25">
      <c r="A32627" t="s">
        <v>362</v>
      </c>
      <c r="B32627" s="1" t="str">
        <f>HYPERLINK("http://citroen.kh.ua","citroen.kh.ua")</f>
        <v>citroen.kh.ua</v>
      </c>
      <c r="C32627" t="s">
        <v>505</v>
      </c>
      <c r="D32627" t="s">
        <v>879</v>
      </c>
      <c r="F32627">
        <v>5.0897470711090396E-9</v>
      </c>
      <c r="G32627">
        <v>27293183</v>
      </c>
      <c r="H32627">
        <v>11112227</v>
      </c>
      <c r="I32627">
        <v>32135913</v>
      </c>
      <c r="J32627">
        <v>6</v>
      </c>
    </row>
    <row r="32628" spans="1:10" x14ac:dyDescent="0.25">
      <c r="A32628" t="s">
        <v>362</v>
      </c>
      <c r="B32628" s="1" t="str">
        <f>HYPERLINK("http://opel.kharkiv.ua","opel.kharkiv.ua")</f>
        <v>opel.kharkiv.ua</v>
      </c>
      <c r="C32628" t="s">
        <v>505</v>
      </c>
      <c r="D32628" t="s">
        <v>879</v>
      </c>
      <c r="F32628">
        <v>4.8271378093578596E-9</v>
      </c>
      <c r="G32628">
        <v>34949434</v>
      </c>
      <c r="H32628">
        <v>10965165</v>
      </c>
      <c r="I32628">
        <v>34240536</v>
      </c>
      <c r="J32628">
        <v>5</v>
      </c>
    </row>
    <row r="32629" spans="1:10" x14ac:dyDescent="0.25">
      <c r="A32629" t="s">
        <v>362</v>
      </c>
      <c r="B32629" s="1" t="str">
        <f>HYPERLINK("http://citroen.kharkov.ua","citroen.kharkov.ua")</f>
        <v>citroen.kharkov.ua</v>
      </c>
      <c r="C32629" t="s">
        <v>505</v>
      </c>
      <c r="D32629" t="s">
        <v>879</v>
      </c>
      <c r="F32629">
        <v>5.6553804546393001E-9</v>
      </c>
      <c r="G32629">
        <v>19344517</v>
      </c>
      <c r="H32629">
        <v>11295701</v>
      </c>
      <c r="I32629">
        <v>30629854</v>
      </c>
      <c r="J32629">
        <v>6</v>
      </c>
    </row>
    <row r="32630" spans="1:10" x14ac:dyDescent="0.25">
      <c r="A32630" t="s">
        <v>362</v>
      </c>
      <c r="B32630" s="1" t="str">
        <f>HYPERLINK("http://citroen.km.ua","citroen.km.ua")</f>
        <v>citroen.km.ua</v>
      </c>
      <c r="C32630" t="s">
        <v>505</v>
      </c>
      <c r="D32630" t="s">
        <v>879</v>
      </c>
      <c r="F32630">
        <v>5.0424437965571599E-9</v>
      </c>
      <c r="G32630">
        <v>28388451</v>
      </c>
      <c r="H32630">
        <v>10965348</v>
      </c>
      <c r="I32630">
        <v>34236228</v>
      </c>
      <c r="J32630">
        <v>6</v>
      </c>
    </row>
    <row r="32631" spans="1:10" x14ac:dyDescent="0.25">
      <c r="A32631" t="s">
        <v>362</v>
      </c>
      <c r="B32631" s="1" t="str">
        <f>HYPERLINK("http://opel.ks.ua","opel.ks.ua")</f>
        <v>opel.ks.ua</v>
      </c>
      <c r="C32631" t="s">
        <v>505</v>
      </c>
      <c r="D32631" t="s">
        <v>879</v>
      </c>
      <c r="F32631">
        <v>5.0137792355948599E-9</v>
      </c>
      <c r="G32631">
        <v>29047650</v>
      </c>
      <c r="H32631">
        <v>11008891</v>
      </c>
      <c r="I32631">
        <v>33423402</v>
      </c>
      <c r="J32631">
        <v>5</v>
      </c>
    </row>
    <row r="32632" spans="1:10" x14ac:dyDescent="0.25">
      <c r="A32632" t="s">
        <v>362</v>
      </c>
      <c r="B32632" s="1" t="str">
        <f>HYPERLINK("http://citroen.lviv.ua","citroen.lviv.ua")</f>
        <v>citroen.lviv.ua</v>
      </c>
      <c r="C32632" t="s">
        <v>505</v>
      </c>
      <c r="D32632" t="s">
        <v>879</v>
      </c>
      <c r="F32632">
        <v>5.1184984637055597E-9</v>
      </c>
      <c r="G32632">
        <v>26687394</v>
      </c>
      <c r="H32632">
        <v>11113204</v>
      </c>
      <c r="I32632">
        <v>32126070</v>
      </c>
      <c r="J32632">
        <v>6</v>
      </c>
    </row>
    <row r="32633" spans="1:10" x14ac:dyDescent="0.25">
      <c r="A32633" t="s">
        <v>362</v>
      </c>
      <c r="B32633" s="1" t="str">
        <f>HYPERLINK("http://opel.mk.ua","opel.mk.ua")</f>
        <v>opel.mk.ua</v>
      </c>
      <c r="C32633" t="s">
        <v>505</v>
      </c>
      <c r="D32633" t="s">
        <v>879</v>
      </c>
      <c r="F32633">
        <v>5.18408736335933E-9</v>
      </c>
      <c r="G32633">
        <v>25446692</v>
      </c>
      <c r="H32633">
        <v>11153719</v>
      </c>
      <c r="I32633">
        <v>31687750</v>
      </c>
      <c r="J32633">
        <v>5</v>
      </c>
    </row>
    <row r="32634" spans="1:10" x14ac:dyDescent="0.25">
      <c r="A32634" t="s">
        <v>362</v>
      </c>
      <c r="B32634" s="1" t="str">
        <f>HYPERLINK("http://citroen.nikolaev.ua","citroen.nikolaev.ua")</f>
        <v>citroen.nikolaev.ua</v>
      </c>
      <c r="C32634" t="s">
        <v>505</v>
      </c>
      <c r="D32634" t="s">
        <v>879</v>
      </c>
      <c r="F32634">
        <v>4.9806336258131197E-9</v>
      </c>
      <c r="G32634">
        <v>29979864</v>
      </c>
      <c r="H32634">
        <v>10969829</v>
      </c>
      <c r="I32634">
        <v>34147585</v>
      </c>
      <c r="J32634">
        <v>6</v>
      </c>
    </row>
    <row r="32635" spans="1:10" x14ac:dyDescent="0.25">
      <c r="A32635" t="s">
        <v>362</v>
      </c>
      <c r="B32635" s="1" t="str">
        <f>HYPERLINK("http://opel.ua","opel.ua")</f>
        <v>opel.ua</v>
      </c>
      <c r="C32635" t="s">
        <v>505</v>
      </c>
      <c r="D32635" t="s">
        <v>879</v>
      </c>
      <c r="F32635">
        <v>1.85816746929558E-8</v>
      </c>
      <c r="G32635">
        <v>2910633</v>
      </c>
      <c r="H32635">
        <v>14075037</v>
      </c>
      <c r="I32635">
        <v>2920801</v>
      </c>
      <c r="J32635">
        <v>4</v>
      </c>
    </row>
    <row r="32636" spans="1:10" x14ac:dyDescent="0.25">
      <c r="A32636" t="s">
        <v>362</v>
      </c>
      <c r="B32636" s="1" t="str">
        <f>HYPERLINK("http://citroen.poltava.ua","citroen.poltava.ua")</f>
        <v>citroen.poltava.ua</v>
      </c>
      <c r="C32636" t="s">
        <v>505</v>
      </c>
      <c r="D32636" t="s">
        <v>879</v>
      </c>
      <c r="F32636">
        <v>5.8143447363849403E-9</v>
      </c>
      <c r="G32636">
        <v>17980470</v>
      </c>
      <c r="H32636">
        <v>11112227</v>
      </c>
      <c r="I32636">
        <v>32135914</v>
      </c>
      <c r="J32636">
        <v>6</v>
      </c>
    </row>
    <row r="32637" spans="1:10" x14ac:dyDescent="0.25">
      <c r="A32637" t="s">
        <v>362</v>
      </c>
      <c r="B32637" s="1" t="str">
        <f>HYPERLINK("http://opel.poltava.ua","opel.poltava.ua")</f>
        <v>opel.poltava.ua</v>
      </c>
      <c r="C32637" t="s">
        <v>505</v>
      </c>
      <c r="D32637" t="s">
        <v>879</v>
      </c>
      <c r="F32637">
        <v>4.8146970135306704E-9</v>
      </c>
      <c r="G32637">
        <v>35482522</v>
      </c>
      <c r="H32637">
        <v>10965163</v>
      </c>
      <c r="I32637">
        <v>34240572</v>
      </c>
      <c r="J32637">
        <v>5</v>
      </c>
    </row>
    <row r="32638" spans="1:10" x14ac:dyDescent="0.25">
      <c r="A32638" t="s">
        <v>362</v>
      </c>
      <c r="B32638" s="1" t="str">
        <f>HYPERLINK("http://citroen.sumy.ua","citroen.sumy.ua")</f>
        <v>citroen.sumy.ua</v>
      </c>
      <c r="C32638" t="s">
        <v>505</v>
      </c>
      <c r="D32638" t="s">
        <v>879</v>
      </c>
      <c r="F32638">
        <v>5.3755252271333899E-9</v>
      </c>
      <c r="G32638">
        <v>22473294</v>
      </c>
      <c r="H32638">
        <v>12157553</v>
      </c>
      <c r="I32638">
        <v>24430349</v>
      </c>
      <c r="J32638">
        <v>6</v>
      </c>
    </row>
    <row r="32639" spans="1:10" x14ac:dyDescent="0.25">
      <c r="A32639" t="s">
        <v>362</v>
      </c>
      <c r="B32639" s="1" t="str">
        <f>HYPERLINK("http://citroen.vn.ua","citroen.vn.ua")</f>
        <v>citroen.vn.ua</v>
      </c>
      <c r="C32639" t="s">
        <v>505</v>
      </c>
      <c r="D32639" t="s">
        <v>879</v>
      </c>
      <c r="F32639">
        <v>6.1717234847208203E-9</v>
      </c>
      <c r="G32639">
        <v>15683801</v>
      </c>
      <c r="H32639">
        <v>12781738</v>
      </c>
      <c r="I32639">
        <v>14738132</v>
      </c>
      <c r="J32639">
        <v>6</v>
      </c>
    </row>
    <row r="32640" spans="1:10" x14ac:dyDescent="0.25">
      <c r="A32640" t="s">
        <v>362</v>
      </c>
      <c r="B32640" s="1" t="str">
        <f>HYPERLINK("http://citroen.zhitomir.ua","citroen.zhitomir.ua")</f>
        <v>citroen.zhitomir.ua</v>
      </c>
      <c r="C32640" t="s">
        <v>505</v>
      </c>
      <c r="D32640" t="s">
        <v>879</v>
      </c>
      <c r="F32640">
        <v>5.0410340674763696E-9</v>
      </c>
      <c r="G32640">
        <v>28420105</v>
      </c>
      <c r="H32640">
        <v>11112223</v>
      </c>
      <c r="I32640">
        <v>32135944</v>
      </c>
      <c r="J32640">
        <v>6</v>
      </c>
    </row>
    <row r="32641" spans="1:10" x14ac:dyDescent="0.25">
      <c r="A32641" t="s">
        <v>362</v>
      </c>
      <c r="B32641" s="1" t="str">
        <f>HYPERLINK("http://opel.zp.ua","opel.zp.ua")</f>
        <v>opel.zp.ua</v>
      </c>
      <c r="C32641" t="s">
        <v>505</v>
      </c>
      <c r="D32641" t="s">
        <v>879</v>
      </c>
      <c r="F32641">
        <v>5.6876340511355901E-9</v>
      </c>
      <c r="G32641">
        <v>19065356</v>
      </c>
      <c r="H32641">
        <v>12215840</v>
      </c>
      <c r="I32641">
        <v>22884799</v>
      </c>
      <c r="J32641">
        <v>5</v>
      </c>
    </row>
    <row r="32642" spans="1:10" x14ac:dyDescent="0.25">
      <c r="A32642" t="s">
        <v>362</v>
      </c>
      <c r="B32642" s="1" t="str">
        <f>HYPERLINK("http://alfaromeo.co.uk","alfaromeo.co.uk")</f>
        <v>alfaromeo.co.uk</v>
      </c>
      <c r="C32642" t="s">
        <v>506</v>
      </c>
      <c r="D32642" t="s">
        <v>880</v>
      </c>
      <c r="E32642">
        <v>578063</v>
      </c>
      <c r="F32642">
        <v>1.05979087583852E-7</v>
      </c>
      <c r="G32642">
        <v>377873</v>
      </c>
      <c r="H32642">
        <v>14501561</v>
      </c>
      <c r="I32642">
        <v>849191</v>
      </c>
      <c r="J32642">
        <v>5</v>
      </c>
    </row>
    <row r="32643" spans="1:10" x14ac:dyDescent="0.25">
      <c r="A32643" t="s">
        <v>362</v>
      </c>
      <c r="B32643" s="1" t="str">
        <f>HYPERLINK("http://citroen.co.uk","citroen.co.uk")</f>
        <v>citroen.co.uk</v>
      </c>
      <c r="C32643" t="s">
        <v>506</v>
      </c>
      <c r="D32643" t="s">
        <v>880</v>
      </c>
      <c r="E32643">
        <v>147915</v>
      </c>
      <c r="F32643">
        <v>4.6179201465847702E-7</v>
      </c>
      <c r="G32643">
        <v>81938</v>
      </c>
      <c r="H32643">
        <v>15389791</v>
      </c>
      <c r="I32643">
        <v>380694</v>
      </c>
      <c r="J32643">
        <v>4</v>
      </c>
    </row>
    <row r="32644" spans="1:10" x14ac:dyDescent="0.25">
      <c r="A32644" t="s">
        <v>362</v>
      </c>
      <c r="B32644" s="1" t="str">
        <f>HYPERLINK("http://dsautomobiles.co.uk","dsautomobiles.co.uk")</f>
        <v>dsautomobiles.co.uk</v>
      </c>
      <c r="C32644" t="s">
        <v>506</v>
      </c>
      <c r="D32644" t="s">
        <v>880</v>
      </c>
      <c r="E32644">
        <v>588200</v>
      </c>
      <c r="F32644">
        <v>1.2711852947160701E-7</v>
      </c>
      <c r="G32644">
        <v>310209</v>
      </c>
      <c r="H32644">
        <v>15053832</v>
      </c>
      <c r="I32644">
        <v>413878</v>
      </c>
      <c r="J32644">
        <v>5</v>
      </c>
    </row>
    <row r="32645" spans="1:10" x14ac:dyDescent="0.25">
      <c r="A32645" t="s">
        <v>362</v>
      </c>
      <c r="B32645" s="1" t="str">
        <f>HYPERLINK("http://fcaautomotiveservices.co.uk","fcaautomotiveservices.co.uk")</f>
        <v>fcaautomotiveservices.co.uk</v>
      </c>
      <c r="C32645" t="s">
        <v>506</v>
      </c>
      <c r="D32645" t="s">
        <v>880</v>
      </c>
      <c r="F32645">
        <v>1.4304304761445599E-8</v>
      </c>
      <c r="G32645">
        <v>4091752</v>
      </c>
      <c r="H32645">
        <v>12826723</v>
      </c>
      <c r="I32645">
        <v>14455389</v>
      </c>
      <c r="J32645">
        <v>5</v>
      </c>
    </row>
    <row r="32646" spans="1:10" x14ac:dyDescent="0.25">
      <c r="A32646" t="s">
        <v>362</v>
      </c>
      <c r="B32646" s="1" t="str">
        <f>HYPERLINK("http://fiat.co.uk","fiat.co.uk")</f>
        <v>fiat.co.uk</v>
      </c>
      <c r="C32646" t="s">
        <v>506</v>
      </c>
      <c r="D32646" t="s">
        <v>880</v>
      </c>
      <c r="E32646">
        <v>293049</v>
      </c>
      <c r="F32646">
        <v>1.4500633957520301E-7</v>
      </c>
      <c r="G32646">
        <v>268439</v>
      </c>
      <c r="H32646">
        <v>14841714</v>
      </c>
      <c r="I32646">
        <v>496535</v>
      </c>
      <c r="J32646">
        <v>4</v>
      </c>
    </row>
    <row r="32647" spans="1:10" x14ac:dyDescent="0.25">
      <c r="A32647" t="s">
        <v>362</v>
      </c>
      <c r="B32647" s="1" t="str">
        <f>HYPERLINK("http://fiatprofessional.co.uk","fiatprofessional.co.uk")</f>
        <v>fiatprofessional.co.uk</v>
      </c>
      <c r="C32647" t="s">
        <v>506</v>
      </c>
      <c r="D32647" t="s">
        <v>880</v>
      </c>
      <c r="F32647">
        <v>1.7732299583150899E-8</v>
      </c>
      <c r="G32647">
        <v>3089426</v>
      </c>
      <c r="H32647">
        <v>14239573</v>
      </c>
      <c r="I32647">
        <v>1510677</v>
      </c>
      <c r="J32647">
        <v>5</v>
      </c>
    </row>
    <row r="32648" spans="1:10" x14ac:dyDescent="0.25">
      <c r="A32648" t="s">
        <v>362</v>
      </c>
      <c r="B32648" s="1" t="str">
        <f>HYPERLINK("http://jeep.co.uk","jeep.co.uk")</f>
        <v>jeep.co.uk</v>
      </c>
      <c r="C32648" t="s">
        <v>506</v>
      </c>
      <c r="D32648" t="s">
        <v>880</v>
      </c>
      <c r="E32648">
        <v>535083</v>
      </c>
      <c r="F32648">
        <v>8.4071264562239404E-8</v>
      </c>
      <c r="G32648">
        <v>492139</v>
      </c>
      <c r="H32648">
        <v>14142551</v>
      </c>
      <c r="I32648">
        <v>1919134</v>
      </c>
      <c r="J32648">
        <v>4</v>
      </c>
    </row>
    <row r="32649" spans="1:10" x14ac:dyDescent="0.25">
      <c r="A32649" t="s">
        <v>362</v>
      </c>
      <c r="B32649" s="1" t="str">
        <f>HYPERLINK("http://maserati.co.uk","maserati.co.uk")</f>
        <v>maserati.co.uk</v>
      </c>
      <c r="C32649" t="s">
        <v>506</v>
      </c>
      <c r="D32649" t="s">
        <v>880</v>
      </c>
      <c r="F32649">
        <v>1.6005977755052399E-8</v>
      </c>
      <c r="G32649">
        <v>3544620</v>
      </c>
      <c r="H32649">
        <v>13799154</v>
      </c>
      <c r="I32649">
        <v>6287232</v>
      </c>
      <c r="J32649">
        <v>5</v>
      </c>
    </row>
    <row r="32650" spans="1:10" x14ac:dyDescent="0.25">
      <c r="A32650" t="s">
        <v>362</v>
      </c>
      <c r="B32650" s="1" t="str">
        <f>HYPERLINK("http://motordepot.co.uk","motordepot.co.uk")</f>
        <v>motordepot.co.uk</v>
      </c>
      <c r="C32650" t="s">
        <v>506</v>
      </c>
      <c r="D32650" t="s">
        <v>880</v>
      </c>
      <c r="F32650">
        <v>6.60110368382858E-9</v>
      </c>
      <c r="G32650">
        <v>13672718</v>
      </c>
      <c r="H32650">
        <v>12365805</v>
      </c>
      <c r="I32650">
        <v>19485527</v>
      </c>
      <c r="J32650">
        <v>7</v>
      </c>
    </row>
    <row r="32651" spans="1:10" x14ac:dyDescent="0.25">
      <c r="A32651" t="s">
        <v>362</v>
      </c>
      <c r="B32651" s="1" t="str">
        <f>HYPERLINK("http://peugeot.co.uk","peugeot.co.uk")</f>
        <v>peugeot.co.uk</v>
      </c>
      <c r="C32651" t="s">
        <v>506</v>
      </c>
      <c r="D32651" t="s">
        <v>880</v>
      </c>
      <c r="E32651">
        <v>111232</v>
      </c>
      <c r="F32651">
        <v>4.5053017309812002E-7</v>
      </c>
      <c r="G32651">
        <v>83870</v>
      </c>
      <c r="H32651">
        <v>14761334</v>
      </c>
      <c r="I32651">
        <v>560266</v>
      </c>
      <c r="J32651">
        <v>3</v>
      </c>
    </row>
    <row r="32652" spans="1:10" x14ac:dyDescent="0.25">
      <c r="A32652" t="s">
        <v>362</v>
      </c>
      <c r="B32652" s="1" t="str">
        <f>HYPERLINK("http://robinsandday.co.uk","robinsandday.co.uk")</f>
        <v>robinsandday.co.uk</v>
      </c>
      <c r="C32652" t="s">
        <v>506</v>
      </c>
      <c r="D32652" t="s">
        <v>880</v>
      </c>
      <c r="E32652">
        <v>664763</v>
      </c>
      <c r="F32652">
        <v>2.2379716372211001E-8</v>
      </c>
      <c r="G32652">
        <v>2342075</v>
      </c>
      <c r="H32652">
        <v>13318861</v>
      </c>
      <c r="I32652">
        <v>10751193</v>
      </c>
      <c r="J32652">
        <v>5</v>
      </c>
    </row>
    <row r="32653" spans="1:10" x14ac:dyDescent="0.25">
      <c r="A32653" t="s">
        <v>362</v>
      </c>
      <c r="B32653" s="1" t="str">
        <f>HYPERLINK("http://vauxhall.co.uk","vauxhall.co.uk")</f>
        <v>vauxhall.co.uk</v>
      </c>
      <c r="C32653" t="s">
        <v>506</v>
      </c>
      <c r="D32653" t="s">
        <v>880</v>
      </c>
      <c r="E32653">
        <v>89158</v>
      </c>
      <c r="F32653">
        <v>3.4948715708647899E-7</v>
      </c>
      <c r="G32653">
        <v>106971</v>
      </c>
      <c r="H32653">
        <v>15698917</v>
      </c>
      <c r="I32653">
        <v>369747</v>
      </c>
      <c r="J32653">
        <v>3</v>
      </c>
    </row>
    <row r="32654" spans="1:10" x14ac:dyDescent="0.25">
      <c r="A32654" t="s">
        <v>362</v>
      </c>
      <c r="B32654" s="1" t="str">
        <f>HYPERLINK("http://citroen.com.uy","citroen.com.uy")</f>
        <v>citroen.com.uy</v>
      </c>
      <c r="C32654" t="s">
        <v>507</v>
      </c>
      <c r="D32654" t="s">
        <v>881</v>
      </c>
      <c r="F32654">
        <v>9.2878401188157108E-9</v>
      </c>
      <c r="G32654">
        <v>7588492</v>
      </c>
      <c r="H32654">
        <v>12837859</v>
      </c>
      <c r="I32654">
        <v>14366122</v>
      </c>
      <c r="J32654">
        <v>5</v>
      </c>
    </row>
    <row r="32655" spans="1:10" x14ac:dyDescent="0.25">
      <c r="A32655" t="s">
        <v>362</v>
      </c>
      <c r="B32655" s="1" t="str">
        <f>HYPERLINK("http://dodge.com.uy","dodge.com.uy")</f>
        <v>dodge.com.uy</v>
      </c>
      <c r="C32655" t="s">
        <v>507</v>
      </c>
      <c r="D32655" t="s">
        <v>881</v>
      </c>
      <c r="F32655">
        <v>1.6688447538072499E-8</v>
      </c>
      <c r="G32655">
        <v>3361684</v>
      </c>
      <c r="H32655">
        <v>12194497</v>
      </c>
      <c r="I32655">
        <v>23467261</v>
      </c>
      <c r="J32655">
        <v>6</v>
      </c>
    </row>
    <row r="32656" spans="1:10" x14ac:dyDescent="0.25">
      <c r="A32656" t="s">
        <v>362</v>
      </c>
      <c r="B32656" s="1" t="str">
        <f>HYPERLINK("http://opel.uy","opel.uy")</f>
        <v>opel.uy</v>
      </c>
      <c r="C32656" t="s">
        <v>507</v>
      </c>
      <c r="D32656" t="s">
        <v>881</v>
      </c>
      <c r="F32656">
        <v>8.9332638911209501E-9</v>
      </c>
      <c r="G32656">
        <v>8093540</v>
      </c>
      <c r="H32656">
        <v>11071415</v>
      </c>
      <c r="I32656">
        <v>32562637</v>
      </c>
      <c r="J32656">
        <v>4</v>
      </c>
    </row>
    <row r="32657" spans="1:10" x14ac:dyDescent="0.25">
      <c r="A32657" t="s">
        <v>362</v>
      </c>
      <c r="B32657" s="1" t="str">
        <f>HYPERLINK("http://jeep.com.ve","jeep.com.ve")</f>
        <v>jeep.com.ve</v>
      </c>
      <c r="C32657" t="s">
        <v>508</v>
      </c>
      <c r="D32657" t="s">
        <v>882</v>
      </c>
      <c r="F32657">
        <v>7.5810545662158504E-9</v>
      </c>
      <c r="G32657">
        <v>10834890</v>
      </c>
      <c r="H32657">
        <v>13933067</v>
      </c>
      <c r="I32657">
        <v>4980716</v>
      </c>
      <c r="J32657">
        <v>6</v>
      </c>
    </row>
    <row r="32658" spans="1:10" x14ac:dyDescent="0.25">
      <c r="A32658" t="s">
        <v>362</v>
      </c>
      <c r="B32658" s="1" t="str">
        <f>HYPERLINK("http://stellantis.ventures","stellantis.ventures")</f>
        <v>stellantis.ventures</v>
      </c>
      <c r="C32658" t="s">
        <v>763</v>
      </c>
      <c r="F32658">
        <v>2.1270943474315102E-8</v>
      </c>
      <c r="G32658">
        <v>2477842</v>
      </c>
      <c r="H32658">
        <v>12191993</v>
      </c>
      <c r="I32658">
        <v>23535763</v>
      </c>
      <c r="J32658">
        <v>2</v>
      </c>
    </row>
    <row r="32659" spans="1:10" x14ac:dyDescent="0.25">
      <c r="A32659" t="s">
        <v>362</v>
      </c>
      <c r="B32659" s="1" t="str">
        <f>HYPERLINK("http://alfaromeo.co.za","alfaromeo.co.za")</f>
        <v>alfaromeo.co.za</v>
      </c>
      <c r="C32659" t="s">
        <v>510</v>
      </c>
      <c r="D32659" t="s">
        <v>884</v>
      </c>
      <c r="F32659">
        <v>1.01076620175652E-8</v>
      </c>
      <c r="G32659">
        <v>6640398</v>
      </c>
      <c r="H32659">
        <v>14077588</v>
      </c>
      <c r="I32659">
        <v>2862543</v>
      </c>
      <c r="J32659">
        <v>5</v>
      </c>
    </row>
    <row r="32660" spans="1:10" x14ac:dyDescent="0.25">
      <c r="A32660" t="s">
        <v>362</v>
      </c>
      <c r="B32660" s="1" t="str">
        <f>HYPERLINK("http://citroen.co.za","citroen.co.za")</f>
        <v>citroen.co.za</v>
      </c>
      <c r="C32660" t="s">
        <v>510</v>
      </c>
      <c r="D32660" t="s">
        <v>884</v>
      </c>
      <c r="F32660">
        <v>2.37948128219125E-8</v>
      </c>
      <c r="G32660">
        <v>2183687</v>
      </c>
      <c r="H32660">
        <v>13971593</v>
      </c>
      <c r="I32660">
        <v>4073215</v>
      </c>
      <c r="J32660">
        <v>5</v>
      </c>
    </row>
    <row r="32661" spans="1:10" x14ac:dyDescent="0.25">
      <c r="A32661" t="s">
        <v>362</v>
      </c>
      <c r="B32661" s="1" t="str">
        <f>HYPERLINK("http://fiat.co.za","fiat.co.za")</f>
        <v>fiat.co.za</v>
      </c>
      <c r="C32661" t="s">
        <v>510</v>
      </c>
      <c r="D32661" t="s">
        <v>884</v>
      </c>
      <c r="F32661">
        <v>1.2390444635023399E-8</v>
      </c>
      <c r="G32661">
        <v>4944517</v>
      </c>
      <c r="H32661">
        <v>13764014</v>
      </c>
      <c r="I32661">
        <v>7429454</v>
      </c>
      <c r="J32661">
        <v>5</v>
      </c>
    </row>
    <row r="32662" spans="1:10" x14ac:dyDescent="0.25">
      <c r="A32662" t="s">
        <v>362</v>
      </c>
      <c r="B32662" s="1" t="str">
        <f>HYPERLINK("http://fiatprofessional.co.za","fiatprofessional.co.za")</f>
        <v>fiatprofessional.co.za</v>
      </c>
      <c r="C32662" t="s">
        <v>510</v>
      </c>
      <c r="D32662" t="s">
        <v>884</v>
      </c>
      <c r="F32662">
        <v>7.5774585083988407E-9</v>
      </c>
      <c r="G32662">
        <v>10842686</v>
      </c>
      <c r="H32662">
        <v>11531582</v>
      </c>
      <c r="I32662">
        <v>29991702</v>
      </c>
      <c r="J32662">
        <v>5</v>
      </c>
    </row>
    <row r="32663" spans="1:10" x14ac:dyDescent="0.25">
      <c r="A32663" t="s">
        <v>362</v>
      </c>
      <c r="B32663" s="1" t="str">
        <f>HYPERLINK("http://jeep.co.za","jeep.co.za")</f>
        <v>jeep.co.za</v>
      </c>
      <c r="C32663" t="s">
        <v>510</v>
      </c>
      <c r="D32663" t="s">
        <v>884</v>
      </c>
      <c r="F32663">
        <v>4.7438958269105503E-8</v>
      </c>
      <c r="G32663">
        <v>982017</v>
      </c>
      <c r="H32663">
        <v>12559508</v>
      </c>
      <c r="I32663">
        <v>16718694</v>
      </c>
      <c r="J32663">
        <v>5</v>
      </c>
    </row>
    <row r="32664" spans="1:10" x14ac:dyDescent="0.25">
      <c r="A32664" t="s">
        <v>362</v>
      </c>
      <c r="B32664" s="1" t="str">
        <f>HYPERLINK("http://opel.co.za","opel.co.za")</f>
        <v>opel.co.za</v>
      </c>
      <c r="C32664" t="s">
        <v>510</v>
      </c>
      <c r="D32664" t="s">
        <v>884</v>
      </c>
      <c r="F32664">
        <v>1.9417539109273101E-8</v>
      </c>
      <c r="G32664">
        <v>2760176</v>
      </c>
      <c r="H32664">
        <v>14499758</v>
      </c>
      <c r="I32664">
        <v>855956</v>
      </c>
      <c r="J32664">
        <v>4</v>
      </c>
    </row>
    <row r="32665" spans="1:10" x14ac:dyDescent="0.25">
      <c r="A32665" t="s">
        <v>363</v>
      </c>
      <c r="B32665" s="1" t="str">
        <f>HYPERLINK("http://tornier.com.au","tornier.com.au")</f>
        <v>tornier.com.au</v>
      </c>
      <c r="C32665" t="s">
        <v>420</v>
      </c>
      <c r="D32665" t="s">
        <v>802</v>
      </c>
      <c r="J32665">
        <v>3</v>
      </c>
    </row>
    <row r="32666" spans="1:10" x14ac:dyDescent="0.25">
      <c r="A32666" t="s">
        <v>363</v>
      </c>
      <c r="B32666" s="1" t="str">
        <f>HYPERLINK("http://stryker.be","stryker.be")</f>
        <v>stryker.be</v>
      </c>
      <c r="C32666" t="s">
        <v>421</v>
      </c>
      <c r="D32666" t="s">
        <v>803</v>
      </c>
      <c r="J32666">
        <v>4</v>
      </c>
    </row>
    <row r="32667" spans="1:10" x14ac:dyDescent="0.25">
      <c r="A32667" t="s">
        <v>363</v>
      </c>
      <c r="B32667" s="1" t="str">
        <f>HYPERLINK("http://stryker.com.br","stryker.com.br")</f>
        <v>stryker.com.br</v>
      </c>
      <c r="C32667" t="s">
        <v>425</v>
      </c>
      <c r="D32667" t="s">
        <v>806</v>
      </c>
      <c r="F32667">
        <v>5.5703209908488597E-9</v>
      </c>
      <c r="G32667">
        <v>20175321</v>
      </c>
      <c r="H32667">
        <v>12176086</v>
      </c>
      <c r="I32667">
        <v>23904084</v>
      </c>
      <c r="J32667">
        <v>2</v>
      </c>
    </row>
    <row r="32668" spans="1:10" x14ac:dyDescent="0.25">
      <c r="A32668" t="s">
        <v>363</v>
      </c>
      <c r="B32668" s="1" t="str">
        <f>HYPERLINK("http://safeair.ch","safeair.ch")</f>
        <v>safeair.ch</v>
      </c>
      <c r="C32668" t="s">
        <v>429</v>
      </c>
      <c r="D32668" t="s">
        <v>810</v>
      </c>
      <c r="F32668">
        <v>5.5498362061766602E-9</v>
      </c>
      <c r="G32668">
        <v>20379170</v>
      </c>
      <c r="H32668">
        <v>11084976</v>
      </c>
      <c r="I32668">
        <v>32438107</v>
      </c>
      <c r="J32668">
        <v>3</v>
      </c>
    </row>
    <row r="32669" spans="1:10" x14ac:dyDescent="0.25">
      <c r="A32669" t="s">
        <v>363</v>
      </c>
      <c r="B32669" s="1" t="str">
        <f>HYPERLINK("http://aimago.com","aimago.com")</f>
        <v>aimago.com</v>
      </c>
      <c r="C32669" t="s">
        <v>433</v>
      </c>
      <c r="F32669">
        <v>7.2278807624188698E-9</v>
      </c>
      <c r="G32669">
        <v>11662921</v>
      </c>
      <c r="H32669">
        <v>13368095</v>
      </c>
      <c r="I32669">
        <v>10474911</v>
      </c>
      <c r="J32669">
        <v>3</v>
      </c>
    </row>
    <row r="32670" spans="1:10" x14ac:dyDescent="0.25">
      <c r="A32670" t="s">
        <v>363</v>
      </c>
      <c r="B32670" s="1" t="str">
        <f>HYPERLINK("http://arrinex.com","arrinex.com")</f>
        <v>arrinex.com</v>
      </c>
      <c r="C32670" t="s">
        <v>433</v>
      </c>
      <c r="F32670">
        <v>7.95708623031508E-9</v>
      </c>
      <c r="G32670">
        <v>10000362</v>
      </c>
      <c r="H32670">
        <v>13238437</v>
      </c>
      <c r="I32670">
        <v>11228963</v>
      </c>
      <c r="J32670">
        <v>3</v>
      </c>
    </row>
    <row r="32671" spans="1:10" x14ac:dyDescent="0.25">
      <c r="A32671" t="s">
        <v>363</v>
      </c>
      <c r="B32671" s="1" t="str">
        <f>HYPERLINK("http://ascenths.com","ascenths.com")</f>
        <v>ascenths.com</v>
      </c>
      <c r="C32671" t="s">
        <v>433</v>
      </c>
      <c r="F32671">
        <v>1.0111925363124699E-8</v>
      </c>
      <c r="G32671">
        <v>6635592</v>
      </c>
      <c r="H32671">
        <v>13776917</v>
      </c>
      <c r="I32671">
        <v>6546162</v>
      </c>
      <c r="J32671">
        <v>3</v>
      </c>
    </row>
    <row r="32672" spans="1:10" x14ac:dyDescent="0.25">
      <c r="A32672" t="s">
        <v>363</v>
      </c>
      <c r="B32672" s="1" t="str">
        <f>HYPERLINK("http://berchtold.com","berchtold.com")</f>
        <v>berchtold.com</v>
      </c>
      <c r="C32672" t="s">
        <v>433</v>
      </c>
      <c r="F32672">
        <v>1.5024500507347E-8</v>
      </c>
      <c r="G32672">
        <v>3831648</v>
      </c>
      <c r="H32672">
        <v>12431616</v>
      </c>
      <c r="I32672">
        <v>18278386</v>
      </c>
      <c r="J32672">
        <v>3</v>
      </c>
    </row>
    <row r="32673" spans="1:10" x14ac:dyDescent="0.25">
      <c r="A32673" t="s">
        <v>363</v>
      </c>
      <c r="B32673" s="1" t="str">
        <f>HYPERLINK("http://coalign.com","coalign.com")</f>
        <v>coalign.com</v>
      </c>
      <c r="C32673" t="s">
        <v>433</v>
      </c>
      <c r="F32673">
        <v>8.3174656466999295E-9</v>
      </c>
      <c r="G32673">
        <v>9217251</v>
      </c>
      <c r="H32673">
        <v>8916040</v>
      </c>
      <c r="I32673">
        <v>69005090</v>
      </c>
      <c r="J32673">
        <v>4</v>
      </c>
    </row>
    <row r="32674" spans="1:10" x14ac:dyDescent="0.25">
      <c r="A32674" t="s">
        <v>363</v>
      </c>
      <c r="B32674" s="1" t="str">
        <f>HYPERLINK("http://gausssurgical.com","gausssurgical.com")</f>
        <v>gausssurgical.com</v>
      </c>
      <c r="C32674" t="s">
        <v>433</v>
      </c>
      <c r="F32674">
        <v>5.7380286433578299E-8</v>
      </c>
      <c r="G32674">
        <v>777170</v>
      </c>
      <c r="H32674">
        <v>14152839</v>
      </c>
      <c r="I32674">
        <v>1868105</v>
      </c>
      <c r="J32674">
        <v>3</v>
      </c>
    </row>
    <row r="32675" spans="1:10" x14ac:dyDescent="0.25">
      <c r="A32675" t="s">
        <v>363</v>
      </c>
      <c r="B32675" s="1" t="str">
        <f>HYPERLINK("http://heartsine.com","heartsine.com")</f>
        <v>heartsine.com</v>
      </c>
      <c r="C32675" t="s">
        <v>433</v>
      </c>
      <c r="F32675">
        <v>6.6929656851004103E-8</v>
      </c>
      <c r="G32675">
        <v>639356</v>
      </c>
      <c r="H32675">
        <v>14837310</v>
      </c>
      <c r="I32675">
        <v>499839</v>
      </c>
      <c r="J32675">
        <v>3</v>
      </c>
    </row>
    <row r="32676" spans="1:10" x14ac:dyDescent="0.25">
      <c r="A32676" t="s">
        <v>363</v>
      </c>
      <c r="B32676" s="1" t="str">
        <f>HYPERLINK("http://imascap.com","imascap.com")</f>
        <v>imascap.com</v>
      </c>
      <c r="C32676" t="s">
        <v>433</v>
      </c>
      <c r="F32676">
        <v>1.0462984026365699E-8</v>
      </c>
      <c r="G32676">
        <v>6301861</v>
      </c>
      <c r="H32676">
        <v>13938598</v>
      </c>
      <c r="I32676">
        <v>4420670</v>
      </c>
      <c r="J32676">
        <v>3</v>
      </c>
    </row>
    <row r="32677" spans="1:10" x14ac:dyDescent="0.25">
      <c r="A32677" t="s">
        <v>363</v>
      </c>
      <c r="B32677" s="1" t="str">
        <f>HYPERLINK("http://imorphics.com","imorphics.com")</f>
        <v>imorphics.com</v>
      </c>
      <c r="C32677" t="s">
        <v>433</v>
      </c>
      <c r="F32677">
        <v>4.9276330368149603E-9</v>
      </c>
      <c r="G32677">
        <v>31450178</v>
      </c>
      <c r="H32677">
        <v>12567010</v>
      </c>
      <c r="I32677">
        <v>16651461</v>
      </c>
      <c r="J32677">
        <v>3</v>
      </c>
    </row>
    <row r="32678" spans="1:10" x14ac:dyDescent="0.25">
      <c r="A32678" t="s">
        <v>363</v>
      </c>
      <c r="B32678" s="1" t="str">
        <f>HYPERLINK("http://invuity.com","invuity.com")</f>
        <v>invuity.com</v>
      </c>
      <c r="C32678" t="s">
        <v>433</v>
      </c>
      <c r="F32678">
        <v>1.3480971640115299E-8</v>
      </c>
      <c r="G32678">
        <v>4411928</v>
      </c>
      <c r="H32678">
        <v>13435372</v>
      </c>
      <c r="I32678">
        <v>10270339</v>
      </c>
      <c r="J32678">
        <v>3</v>
      </c>
    </row>
    <row r="32679" spans="1:10" x14ac:dyDescent="0.25">
      <c r="A32679" t="s">
        <v>363</v>
      </c>
      <c r="B32679" s="1" t="str">
        <f>HYPERLINK("http://k2m.com","k2m.com")</f>
        <v>k2m.com</v>
      </c>
      <c r="C32679" t="s">
        <v>433</v>
      </c>
      <c r="F32679">
        <v>2.3795254712184102E-8</v>
      </c>
      <c r="G32679">
        <v>2183640</v>
      </c>
      <c r="H32679">
        <v>14140983</v>
      </c>
      <c r="I32679">
        <v>1929793</v>
      </c>
      <c r="J32679">
        <v>3</v>
      </c>
    </row>
    <row r="32680" spans="1:10" x14ac:dyDescent="0.25">
      <c r="A32680" t="s">
        <v>363</v>
      </c>
      <c r="B32680" s="1" t="str">
        <f>HYPERLINK("http://lifenetsystems.com","lifenetsystems.com")</f>
        <v>lifenetsystems.com</v>
      </c>
      <c r="C32680" t="s">
        <v>433</v>
      </c>
      <c r="E32680">
        <v>221323</v>
      </c>
      <c r="F32680">
        <v>5.8362423760355201E-9</v>
      </c>
      <c r="G32680">
        <v>17812343</v>
      </c>
      <c r="H32680">
        <v>12251172</v>
      </c>
      <c r="I32680">
        <v>21992871</v>
      </c>
      <c r="J32680">
        <v>2</v>
      </c>
    </row>
    <row r="32681" spans="1:10" x14ac:dyDescent="0.25">
      <c r="A32681" t="s">
        <v>363</v>
      </c>
      <c r="B32681" s="1" t="str">
        <f>HYPERLINK("http://lucas-cpr.com","lucas-cpr.com")</f>
        <v>lucas-cpr.com</v>
      </c>
      <c r="C32681" t="s">
        <v>433</v>
      </c>
      <c r="F32681">
        <v>3.2162469526154699E-8</v>
      </c>
      <c r="G32681">
        <v>1608105</v>
      </c>
      <c r="H32681">
        <v>14335924</v>
      </c>
      <c r="I32681">
        <v>1319572</v>
      </c>
      <c r="J32681">
        <v>3</v>
      </c>
    </row>
    <row r="32682" spans="1:10" x14ac:dyDescent="0.25">
      <c r="A32682" t="s">
        <v>363</v>
      </c>
      <c r="B32682" s="1" t="str">
        <f>HYPERLINK("http://mvisum.com","mvisum.com")</f>
        <v>mvisum.com</v>
      </c>
      <c r="C32682" t="s">
        <v>433</v>
      </c>
      <c r="F32682">
        <v>5.7909217711637901E-9</v>
      </c>
      <c r="G32682">
        <v>18157341</v>
      </c>
      <c r="H32682">
        <v>12751341</v>
      </c>
      <c r="I32682">
        <v>15020835</v>
      </c>
      <c r="J32682">
        <v>7</v>
      </c>
    </row>
    <row r="32683" spans="1:10" x14ac:dyDescent="0.25">
      <c r="A32683" t="s">
        <v>363</v>
      </c>
      <c r="B32683" s="1" t="str">
        <f>HYPERLINK("http://orthohelix.com","orthohelix.com")</f>
        <v>orthohelix.com</v>
      </c>
      <c r="C32683" t="s">
        <v>433</v>
      </c>
      <c r="F32683">
        <v>6.7578719705100696E-9</v>
      </c>
      <c r="G32683">
        <v>13102602</v>
      </c>
      <c r="H32683">
        <v>12459036</v>
      </c>
      <c r="I32683">
        <v>17891034</v>
      </c>
      <c r="J32683">
        <v>3</v>
      </c>
    </row>
    <row r="32684" spans="1:10" x14ac:dyDescent="0.25">
      <c r="A32684" t="s">
        <v>363</v>
      </c>
      <c r="B32684" s="1" t="str">
        <f>HYPERLINK("http://orthosensor.com","orthosensor.com")</f>
        <v>orthosensor.com</v>
      </c>
      <c r="C32684" t="s">
        <v>433</v>
      </c>
      <c r="F32684">
        <v>2.3115802976825099E-8</v>
      </c>
      <c r="G32684">
        <v>2258422</v>
      </c>
      <c r="H32684">
        <v>13807777</v>
      </c>
      <c r="I32684">
        <v>6224798</v>
      </c>
      <c r="J32684">
        <v>3</v>
      </c>
    </row>
    <row r="32685" spans="1:10" x14ac:dyDescent="0.25">
      <c r="A32685" t="s">
        <v>363</v>
      </c>
      <c r="B32685" s="1" t="str">
        <f>HYPERLINK("http://physio-control.com","physio-control.com")</f>
        <v>physio-control.com</v>
      </c>
      <c r="C32685" t="s">
        <v>433</v>
      </c>
      <c r="E32685">
        <v>279607</v>
      </c>
      <c r="F32685">
        <v>1.07009212066292E-7</v>
      </c>
      <c r="G32685">
        <v>374126</v>
      </c>
      <c r="H32685">
        <v>14538114</v>
      </c>
      <c r="I32685">
        <v>777814</v>
      </c>
      <c r="J32685">
        <v>3</v>
      </c>
    </row>
    <row r="32686" spans="1:10" x14ac:dyDescent="0.25">
      <c r="A32686" t="s">
        <v>363</v>
      </c>
      <c r="B32686" s="1" t="str">
        <f>HYPERLINK("http://safe-reuse.com","safe-reuse.com")</f>
        <v>safe-reuse.com</v>
      </c>
      <c r="C32686" t="s">
        <v>433</v>
      </c>
      <c r="F32686">
        <v>4.7844422189555803E-9</v>
      </c>
      <c r="G32686">
        <v>36773997</v>
      </c>
      <c r="H32686">
        <v>11094329</v>
      </c>
      <c r="I32686">
        <v>32339714</v>
      </c>
      <c r="J32686">
        <v>4</v>
      </c>
    </row>
    <row r="32687" spans="1:10" x14ac:dyDescent="0.25">
      <c r="A32687" t="s">
        <v>363</v>
      </c>
      <c r="B32687" s="1" t="str">
        <f>HYPERLINK("http://scopis.com","scopis.com")</f>
        <v>scopis.com</v>
      </c>
      <c r="C32687" t="s">
        <v>433</v>
      </c>
      <c r="F32687">
        <v>2.4361819212803699E-8</v>
      </c>
      <c r="G32687">
        <v>2127674</v>
      </c>
      <c r="H32687">
        <v>13912450</v>
      </c>
      <c r="I32687">
        <v>5940624</v>
      </c>
      <c r="J32687">
        <v>3</v>
      </c>
    </row>
    <row r="32688" spans="1:10" x14ac:dyDescent="0.25">
      <c r="A32688" t="s">
        <v>363</v>
      </c>
      <c r="B32688" s="1" t="str">
        <f>HYPERLINK("http://stanmoreimplants.com","stanmoreimplants.com")</f>
        <v>stanmoreimplants.com</v>
      </c>
      <c r="C32688" t="s">
        <v>433</v>
      </c>
      <c r="F32688">
        <v>1.5765677161925201E-8</v>
      </c>
      <c r="G32688">
        <v>3609291</v>
      </c>
      <c r="H32688">
        <v>13580862</v>
      </c>
      <c r="I32688">
        <v>9687751</v>
      </c>
      <c r="J32688">
        <v>3</v>
      </c>
    </row>
    <row r="32689" spans="1:10" x14ac:dyDescent="0.25">
      <c r="A32689" t="s">
        <v>363</v>
      </c>
      <c r="B32689" s="1" t="str">
        <f>HYPERLINK("http://stryker.com","stryker.com")</f>
        <v>stryker.com</v>
      </c>
      <c r="C32689" t="s">
        <v>433</v>
      </c>
      <c r="E32689">
        <v>21142</v>
      </c>
      <c r="F32689">
        <v>1.7669804858256401E-6</v>
      </c>
      <c r="G32689">
        <v>22574</v>
      </c>
      <c r="H32689">
        <v>15194507</v>
      </c>
      <c r="I32689">
        <v>396087</v>
      </c>
      <c r="J32689">
        <v>1</v>
      </c>
    </row>
    <row r="32690" spans="1:10" x14ac:dyDescent="0.25">
      <c r="A32690" t="s">
        <v>363</v>
      </c>
      <c r="B32690" s="1" t="str">
        <f>HYPERLINK("http://strykercorp.com","strykercorp.com")</f>
        <v>strykercorp.com</v>
      </c>
      <c r="C32690" t="s">
        <v>433</v>
      </c>
      <c r="E32690">
        <v>47431</v>
      </c>
      <c r="F32690">
        <v>8.5491534871130805E-9</v>
      </c>
      <c r="G32690">
        <v>8751374</v>
      </c>
      <c r="H32690">
        <v>13368009</v>
      </c>
      <c r="I32690">
        <v>10475256</v>
      </c>
      <c r="J32690">
        <v>2</v>
      </c>
    </row>
    <row r="32691" spans="1:10" x14ac:dyDescent="0.25">
      <c r="A32691" t="s">
        <v>363</v>
      </c>
      <c r="B32691" s="1" t="str">
        <f>HYPERLINK("http://strykeremergencycare.com","strykeremergencycare.com")</f>
        <v>strykeremergencycare.com</v>
      </c>
      <c r="C32691" t="s">
        <v>433</v>
      </c>
      <c r="F32691">
        <v>6.7797177571006206E-8</v>
      </c>
      <c r="G32691">
        <v>629818</v>
      </c>
      <c r="H32691">
        <v>13990281</v>
      </c>
      <c r="I32691">
        <v>4032688</v>
      </c>
      <c r="J32691">
        <v>2</v>
      </c>
    </row>
    <row r="32692" spans="1:10" x14ac:dyDescent="0.25">
      <c r="A32692" t="s">
        <v>363</v>
      </c>
      <c r="B32692" s="1" t="str">
        <f>HYPERLINK("http://strykermexico.com","strykermexico.com")</f>
        <v>strykermexico.com</v>
      </c>
      <c r="C32692" t="s">
        <v>433</v>
      </c>
      <c r="F32692">
        <v>4.4583323808258502E-9</v>
      </c>
      <c r="G32692">
        <v>68287654</v>
      </c>
      <c r="H32692">
        <v>8992830</v>
      </c>
      <c r="I32692">
        <v>68877202</v>
      </c>
      <c r="J32692">
        <v>3</v>
      </c>
    </row>
    <row r="32693" spans="1:10" x14ac:dyDescent="0.25">
      <c r="A32693" t="s">
        <v>363</v>
      </c>
      <c r="B32693" s="1" t="str">
        <f>HYPERLINK("http://strykerwelcomeswright.com","strykerwelcomeswright.com")</f>
        <v>strykerwelcomeswright.com</v>
      </c>
      <c r="C32693" t="s">
        <v>433</v>
      </c>
      <c r="F32693">
        <v>6.1040212152710004E-9</v>
      </c>
      <c r="G32693">
        <v>16070953</v>
      </c>
      <c r="H32693">
        <v>11085436</v>
      </c>
      <c r="I32693">
        <v>32432026</v>
      </c>
      <c r="J32693">
        <v>4</v>
      </c>
    </row>
    <row r="32694" spans="1:10" x14ac:dyDescent="0.25">
      <c r="A32694" t="s">
        <v>363</v>
      </c>
      <c r="B32694" s="1" t="str">
        <f>HYPERLINK("http://surpassmedical.com","surpassmedical.com")</f>
        <v>surpassmedical.com</v>
      </c>
      <c r="C32694" t="s">
        <v>433</v>
      </c>
      <c r="J32694">
        <v>4</v>
      </c>
    </row>
    <row r="32695" spans="1:10" x14ac:dyDescent="0.25">
      <c r="A32695" t="s">
        <v>363</v>
      </c>
      <c r="B32695" s="1" t="str">
        <f>HYPERLINK("http://tornier.com","tornier.com")</f>
        <v>tornier.com</v>
      </c>
      <c r="C32695" t="s">
        <v>433</v>
      </c>
      <c r="F32695">
        <v>1.6155756085714901E-8</v>
      </c>
      <c r="G32695">
        <v>3506461</v>
      </c>
      <c r="H32695">
        <v>13382073</v>
      </c>
      <c r="I32695">
        <v>10420839</v>
      </c>
      <c r="J32695">
        <v>5</v>
      </c>
    </row>
    <row r="32696" spans="1:10" x14ac:dyDescent="0.25">
      <c r="A32696" t="s">
        <v>363</v>
      </c>
      <c r="B32696" s="1" t="str">
        <f>HYPERLINK("http://tornier-us.com","tornier-us.com")</f>
        <v>tornier-us.com</v>
      </c>
      <c r="C32696" t="s">
        <v>433</v>
      </c>
      <c r="F32696">
        <v>8.9408126631406602E-9</v>
      </c>
      <c r="G32696">
        <v>8081464</v>
      </c>
      <c r="H32696">
        <v>13299043</v>
      </c>
      <c r="I32696">
        <v>10836024</v>
      </c>
      <c r="J32696">
        <v>2</v>
      </c>
    </row>
    <row r="32697" spans="1:10" x14ac:dyDescent="0.25">
      <c r="A32697" t="s">
        <v>363</v>
      </c>
      <c r="B32697" s="1" t="str">
        <f>HYPERLINK("http://trauson.com","trauson.com")</f>
        <v>trauson.com</v>
      </c>
      <c r="C32697" t="s">
        <v>433</v>
      </c>
      <c r="F32697">
        <v>4.9878328326702099E-9</v>
      </c>
      <c r="G32697">
        <v>29732527</v>
      </c>
      <c r="H32697">
        <v>10688399</v>
      </c>
      <c r="I32697">
        <v>42537493</v>
      </c>
      <c r="J32697">
        <v>3</v>
      </c>
    </row>
    <row r="32698" spans="1:10" x14ac:dyDescent="0.25">
      <c r="A32698" t="s">
        <v>363</v>
      </c>
      <c r="B32698" s="1" t="str">
        <f>HYPERLINK("http://tso3.com","tso3.com")</f>
        <v>tso3.com</v>
      </c>
      <c r="C32698" t="s">
        <v>433</v>
      </c>
      <c r="F32698">
        <v>1.1016131103175999E-8</v>
      </c>
      <c r="G32698">
        <v>5847535</v>
      </c>
      <c r="H32698">
        <v>13836650</v>
      </c>
      <c r="I32698">
        <v>6084880</v>
      </c>
      <c r="J32698">
        <v>3</v>
      </c>
    </row>
    <row r="32699" spans="1:10" x14ac:dyDescent="0.25">
      <c r="A32699" t="s">
        <v>363</v>
      </c>
      <c r="B32699" s="1" t="str">
        <f>HYPERLINK("http://vocera.com","vocera.com")</f>
        <v>vocera.com</v>
      </c>
      <c r="C32699" t="s">
        <v>433</v>
      </c>
      <c r="E32699">
        <v>190825</v>
      </c>
      <c r="F32699">
        <v>2.0459812110026499E-7</v>
      </c>
      <c r="G32699">
        <v>185691</v>
      </c>
      <c r="H32699">
        <v>14357171</v>
      </c>
      <c r="I32699">
        <v>1305933</v>
      </c>
      <c r="J32699">
        <v>3</v>
      </c>
    </row>
    <row r="32700" spans="1:10" x14ac:dyDescent="0.25">
      <c r="A32700" t="s">
        <v>363</v>
      </c>
      <c r="B32700" s="1" t="str">
        <f>HYPERLINK("http://wmt.com","wmt.com")</f>
        <v>wmt.com</v>
      </c>
      <c r="C32700" t="s">
        <v>433</v>
      </c>
      <c r="E32700">
        <v>467138</v>
      </c>
      <c r="F32700">
        <v>2.8806183474540301E-8</v>
      </c>
      <c r="G32700">
        <v>1786745</v>
      </c>
      <c r="H32700">
        <v>14269630</v>
      </c>
      <c r="I32700">
        <v>1401534</v>
      </c>
      <c r="J32700">
        <v>2</v>
      </c>
    </row>
    <row r="32701" spans="1:10" x14ac:dyDescent="0.25">
      <c r="A32701" t="s">
        <v>363</v>
      </c>
      <c r="B32701" s="1" t="str">
        <f>HYPERLINK("http://wright.com","wright.com")</f>
        <v>wright.com</v>
      </c>
      <c r="C32701" t="s">
        <v>433</v>
      </c>
      <c r="E32701">
        <v>336831</v>
      </c>
      <c r="F32701">
        <v>8.0593124422711394E-8</v>
      </c>
      <c r="G32701">
        <v>518167</v>
      </c>
      <c r="H32701">
        <v>13635108</v>
      </c>
      <c r="I32701">
        <v>9614796</v>
      </c>
      <c r="J32701">
        <v>7</v>
      </c>
    </row>
    <row r="32702" spans="1:10" x14ac:dyDescent="0.25">
      <c r="A32702" t="s">
        <v>363</v>
      </c>
      <c r="B32702" s="1" t="str">
        <f>HYPERLINK("http://ziplinemedical.com","ziplinemedical.com")</f>
        <v>ziplinemedical.com</v>
      </c>
      <c r="C32702" t="s">
        <v>433</v>
      </c>
      <c r="F32702">
        <v>1.6579430812930501E-8</v>
      </c>
      <c r="G32702">
        <v>3394358</v>
      </c>
      <c r="H32702">
        <v>13395340</v>
      </c>
      <c r="I32702">
        <v>10378931</v>
      </c>
      <c r="J32702">
        <v>3</v>
      </c>
    </row>
    <row r="32703" spans="1:10" x14ac:dyDescent="0.25">
      <c r="A32703" t="s">
        <v>363</v>
      </c>
      <c r="B32703" s="1" t="str">
        <f>HYPERLINK("http://stryker.de","stryker.de")</f>
        <v>stryker.de</v>
      </c>
      <c r="C32703" t="s">
        <v>436</v>
      </c>
      <c r="D32703" t="s">
        <v>815</v>
      </c>
      <c r="F32703">
        <v>4.49055571526277E-8</v>
      </c>
      <c r="G32703">
        <v>1052458</v>
      </c>
      <c r="H32703">
        <v>14055922</v>
      </c>
      <c r="I32703">
        <v>3890135</v>
      </c>
      <c r="J32703">
        <v>2</v>
      </c>
    </row>
    <row r="32704" spans="1:10" x14ac:dyDescent="0.25">
      <c r="A32704" t="s">
        <v>363</v>
      </c>
      <c r="B32704" s="1" t="str">
        <f>HYPERLINK("http://stryker-freiburg.de","stryker-freiburg.de")</f>
        <v>stryker-freiburg.de</v>
      </c>
      <c r="C32704" t="s">
        <v>436</v>
      </c>
      <c r="D32704" t="s">
        <v>815</v>
      </c>
      <c r="F32704">
        <v>7.5894287811313803E-9</v>
      </c>
      <c r="G32704">
        <v>10817229</v>
      </c>
      <c r="H32704">
        <v>14075381</v>
      </c>
      <c r="I32704">
        <v>2910710</v>
      </c>
      <c r="J32704">
        <v>4</v>
      </c>
    </row>
    <row r="32705" spans="1:10" x14ac:dyDescent="0.25">
      <c r="A32705" t="s">
        <v>363</v>
      </c>
      <c r="B32705" s="1" t="str">
        <f>HYPERLINK("http://lifepak.fi","lifepak.fi")</f>
        <v>lifepak.fi</v>
      </c>
      <c r="C32705" t="s">
        <v>445</v>
      </c>
      <c r="D32705" t="s">
        <v>823</v>
      </c>
      <c r="J32705">
        <v>2</v>
      </c>
    </row>
    <row r="32706" spans="1:10" x14ac:dyDescent="0.25">
      <c r="A32706" t="s">
        <v>363</v>
      </c>
      <c r="B32706" s="1" t="str">
        <f>HYPERLINK("http://physio-control.fi","physio-control.fi")</f>
        <v>physio-control.fi</v>
      </c>
      <c r="C32706" t="s">
        <v>445</v>
      </c>
      <c r="D32706" t="s">
        <v>823</v>
      </c>
      <c r="J32706">
        <v>2</v>
      </c>
    </row>
    <row r="32707" spans="1:10" x14ac:dyDescent="0.25">
      <c r="A32707" t="s">
        <v>363</v>
      </c>
      <c r="B32707" s="1" t="str">
        <f>HYPERLINK("http://orthospace.co.il","orthospace.co.il")</f>
        <v>orthospace.co.il</v>
      </c>
      <c r="C32707" t="s">
        <v>456</v>
      </c>
      <c r="D32707" t="s">
        <v>833</v>
      </c>
      <c r="F32707">
        <v>6.1937244149147503E-9</v>
      </c>
      <c r="G32707">
        <v>15569154</v>
      </c>
      <c r="H32707">
        <v>13258849</v>
      </c>
      <c r="I32707">
        <v>11045415</v>
      </c>
      <c r="J32707">
        <v>3</v>
      </c>
    </row>
    <row r="32708" spans="1:10" x14ac:dyDescent="0.25">
      <c r="A32708" t="s">
        <v>363</v>
      </c>
      <c r="B32708" s="1" t="str">
        <f>HYPERLINK("http://stryker.it","stryker.it")</f>
        <v>stryker.it</v>
      </c>
      <c r="C32708" t="s">
        <v>459</v>
      </c>
      <c r="D32708" t="s">
        <v>835</v>
      </c>
      <c r="F32708">
        <v>4.4909977092072601E-9</v>
      </c>
      <c r="G32708">
        <v>60362209</v>
      </c>
      <c r="H32708">
        <v>9307441</v>
      </c>
      <c r="I32708">
        <v>68430636</v>
      </c>
      <c r="J32708">
        <v>3</v>
      </c>
    </row>
    <row r="32709" spans="1:10" x14ac:dyDescent="0.25">
      <c r="A32709" t="s">
        <v>363</v>
      </c>
      <c r="B32709" s="1" t="str">
        <f>HYPERLINK("http://stryker.co.jp","stryker.co.jp")</f>
        <v>stryker.co.jp</v>
      </c>
      <c r="C32709" t="s">
        <v>461</v>
      </c>
      <c r="D32709" t="s">
        <v>837</v>
      </c>
      <c r="F32709">
        <v>1.0655547121022201E-8</v>
      </c>
      <c r="G32709">
        <v>6136858</v>
      </c>
      <c r="H32709">
        <v>12838570</v>
      </c>
      <c r="I32709">
        <v>14360962</v>
      </c>
      <c r="J32709">
        <v>2</v>
      </c>
    </row>
    <row r="32710" spans="1:10" x14ac:dyDescent="0.25">
      <c r="A32710" t="s">
        <v>363</v>
      </c>
      <c r="B32710" s="1" t="str">
        <f>HYPERLINK("http://cartiva.net","cartiva.net")</f>
        <v>cartiva.net</v>
      </c>
      <c r="C32710" t="s">
        <v>474</v>
      </c>
      <c r="F32710">
        <v>1.5839716782215601E-8</v>
      </c>
      <c r="G32710">
        <v>3588611</v>
      </c>
      <c r="H32710">
        <v>13335358</v>
      </c>
      <c r="I32710">
        <v>10687393</v>
      </c>
      <c r="J32710">
        <v>3</v>
      </c>
    </row>
    <row r="32711" spans="1:10" x14ac:dyDescent="0.25">
      <c r="A32711" t="s">
        <v>363</v>
      </c>
      <c r="B32711" s="1" t="str">
        <f>HYPERLINK("http://orneo.com.tr","orneo.com.tr")</f>
        <v>orneo.com.tr</v>
      </c>
      <c r="C32711" t="s">
        <v>502</v>
      </c>
      <c r="D32711" t="s">
        <v>876</v>
      </c>
      <c r="J32711">
        <v>3</v>
      </c>
    </row>
    <row r="32712" spans="1:10" x14ac:dyDescent="0.25">
      <c r="A32712" t="s">
        <v>363</v>
      </c>
      <c r="B32712" s="1" t="str">
        <f>HYPERLINK("http://stryker.co.uk","stryker.co.uk")</f>
        <v>stryker.co.uk</v>
      </c>
      <c r="C32712" t="s">
        <v>506</v>
      </c>
      <c r="D32712" t="s">
        <v>880</v>
      </c>
      <c r="F32712">
        <v>6.2700446902278299E-9</v>
      </c>
      <c r="G32712">
        <v>15175227</v>
      </c>
      <c r="H32712">
        <v>11110186</v>
      </c>
      <c r="I32712">
        <v>32156995</v>
      </c>
      <c r="J32712">
        <v>2</v>
      </c>
    </row>
    <row r="32713" spans="1:10" x14ac:dyDescent="0.25">
      <c r="A32713" t="s">
        <v>364</v>
      </c>
      <c r="B32713" s="1" t="str">
        <f>HYPERLINK("http://smbc.aero","smbc.aero")</f>
        <v>smbc.aero</v>
      </c>
      <c r="C32713" t="s">
        <v>601</v>
      </c>
      <c r="F32713">
        <v>3.7764683874868702E-8</v>
      </c>
      <c r="G32713">
        <v>1370215</v>
      </c>
      <c r="H32713">
        <v>14492081</v>
      </c>
      <c r="I32713">
        <v>897778</v>
      </c>
      <c r="J32713">
        <v>3</v>
      </c>
    </row>
    <row r="32714" spans="1:10" x14ac:dyDescent="0.25">
      <c r="A32714" t="s">
        <v>364</v>
      </c>
      <c r="B32714" s="1" t="str">
        <f>HYPERLINK("http://smbcgroup.com.br","smbcgroup.com.br")</f>
        <v>smbcgroup.com.br</v>
      </c>
      <c r="C32714" t="s">
        <v>425</v>
      </c>
      <c r="D32714" t="s">
        <v>806</v>
      </c>
      <c r="F32714">
        <v>8.5586221274740093E-9</v>
      </c>
      <c r="G32714">
        <v>8732352</v>
      </c>
      <c r="H32714">
        <v>13016103</v>
      </c>
      <c r="I32714">
        <v>12728268</v>
      </c>
      <c r="J32714">
        <v>3</v>
      </c>
    </row>
    <row r="32715" spans="1:10" x14ac:dyDescent="0.25">
      <c r="A32715" t="s">
        <v>364</v>
      </c>
      <c r="B32715" s="1" t="str">
        <f>HYPERLINK("http://founder.com.cn","founder.com.cn")</f>
        <v>founder.com.cn</v>
      </c>
      <c r="C32715" t="s">
        <v>431</v>
      </c>
      <c r="D32715" t="s">
        <v>812</v>
      </c>
      <c r="F32715">
        <v>1.3949365569727899E-7</v>
      </c>
      <c r="G32715">
        <v>279288</v>
      </c>
      <c r="H32715">
        <v>14607246</v>
      </c>
      <c r="I32715">
        <v>680727</v>
      </c>
      <c r="J32715">
        <v>9</v>
      </c>
    </row>
    <row r="32716" spans="1:10" x14ac:dyDescent="0.25">
      <c r="A32716" t="s">
        <v>364</v>
      </c>
      <c r="B32716" s="1" t="str">
        <f>HYPERLINK("http://hkbea.com.cn","hkbea.com.cn")</f>
        <v>hkbea.com.cn</v>
      </c>
      <c r="C32716" t="s">
        <v>431</v>
      </c>
      <c r="D32716" t="s">
        <v>812</v>
      </c>
      <c r="E32716">
        <v>270265</v>
      </c>
      <c r="F32716">
        <v>6.2201166613676306E-8</v>
      </c>
      <c r="G32716">
        <v>706618</v>
      </c>
      <c r="H32716">
        <v>14297034</v>
      </c>
      <c r="I32716">
        <v>1359353</v>
      </c>
      <c r="J32716">
        <v>5</v>
      </c>
    </row>
    <row r="32717" spans="1:10" x14ac:dyDescent="0.25">
      <c r="A32717" t="s">
        <v>364</v>
      </c>
      <c r="B32717" s="1" t="str">
        <f>HYPERLINK("http://postfund.com.cn","postfund.com.cn")</f>
        <v>postfund.com.cn</v>
      </c>
      <c r="C32717" t="s">
        <v>431</v>
      </c>
      <c r="D32717" t="s">
        <v>812</v>
      </c>
      <c r="E32717">
        <v>231607</v>
      </c>
      <c r="F32717">
        <v>1.0194190134851399E-7</v>
      </c>
      <c r="G32717">
        <v>394153</v>
      </c>
      <c r="H32717">
        <v>12943739</v>
      </c>
      <c r="I32717">
        <v>13265071</v>
      </c>
      <c r="J32717">
        <v>3</v>
      </c>
    </row>
    <row r="32718" spans="1:10" x14ac:dyDescent="0.25">
      <c r="A32718" t="s">
        <v>364</v>
      </c>
      <c r="B32718" s="1" t="str">
        <f>HYPERLINK("http://bawaggroup.com","bawaggroup.com")</f>
        <v>bawaggroup.com</v>
      </c>
      <c r="C32718" t="s">
        <v>433</v>
      </c>
      <c r="E32718">
        <v>780651</v>
      </c>
      <c r="F32718">
        <v>9.4095352664568699E-8</v>
      </c>
      <c r="G32718">
        <v>431451</v>
      </c>
      <c r="H32718">
        <v>14507241</v>
      </c>
      <c r="I32718">
        <v>831247</v>
      </c>
      <c r="J32718">
        <v>10</v>
      </c>
    </row>
    <row r="32719" spans="1:10" x14ac:dyDescent="0.25">
      <c r="A32719" t="s">
        <v>364</v>
      </c>
      <c r="B32719" s="1" t="str">
        <f>HYPERLINK("http://bawagpsk.com","bawagpsk.com")</f>
        <v>bawagpsk.com</v>
      </c>
      <c r="C32719" t="s">
        <v>433</v>
      </c>
      <c r="E32719">
        <v>291341</v>
      </c>
      <c r="F32719">
        <v>4.3993566196244398E-7</v>
      </c>
      <c r="G32719">
        <v>85676</v>
      </c>
      <c r="H32719">
        <v>14307728</v>
      </c>
      <c r="I32719">
        <v>1347267</v>
      </c>
      <c r="J32719">
        <v>10</v>
      </c>
    </row>
    <row r="32720" spans="1:10" x14ac:dyDescent="0.25">
      <c r="A32720" t="s">
        <v>364</v>
      </c>
      <c r="B32720" s="1" t="str">
        <f>HYPERLINK("http://btpn.com","btpn.com")</f>
        <v>btpn.com</v>
      </c>
      <c r="C32720" t="s">
        <v>433</v>
      </c>
      <c r="E32720">
        <v>173603</v>
      </c>
      <c r="F32720">
        <v>5.7429337285702601E-8</v>
      </c>
      <c r="G32720">
        <v>776418</v>
      </c>
      <c r="H32720">
        <v>14356649</v>
      </c>
      <c r="I32720">
        <v>1306168</v>
      </c>
      <c r="J32720">
        <v>4</v>
      </c>
    </row>
    <row r="32721" spans="1:10" x14ac:dyDescent="0.25">
      <c r="A32721" t="s">
        <v>364</v>
      </c>
      <c r="B32721" s="1" t="str">
        <f>HYPERLINK("http://btpnsyariah.com","btpnsyariah.com")</f>
        <v>btpnsyariah.com</v>
      </c>
      <c r="C32721" t="s">
        <v>433</v>
      </c>
      <c r="F32721">
        <v>1.6266434192486001E-8</v>
      </c>
      <c r="G32721">
        <v>3478949</v>
      </c>
      <c r="H32721">
        <v>14073861</v>
      </c>
      <c r="I32721">
        <v>2967781</v>
      </c>
      <c r="J32721">
        <v>5</v>
      </c>
    </row>
    <row r="32722" spans="1:10" x14ac:dyDescent="0.25">
      <c r="A32722" t="s">
        <v>364</v>
      </c>
      <c r="B32722" s="1" t="str">
        <f>HYPERLINK("http://depfa.com","depfa.com")</f>
        <v>depfa.com</v>
      </c>
      <c r="C32722" t="s">
        <v>433</v>
      </c>
      <c r="F32722">
        <v>1.7976589682100099E-8</v>
      </c>
      <c r="G32722">
        <v>3037525</v>
      </c>
      <c r="H32722">
        <v>14380594</v>
      </c>
      <c r="I32722">
        <v>1194405</v>
      </c>
      <c r="J32722">
        <v>9</v>
      </c>
    </row>
    <row r="32723" spans="1:10" x14ac:dyDescent="0.25">
      <c r="A32723" t="s">
        <v>364</v>
      </c>
      <c r="B32723" s="1" t="str">
        <f>HYPERLINK("http://diversifiedcpc.com","diversifiedcpc.com")</f>
        <v>diversifiedcpc.com</v>
      </c>
      <c r="C32723" t="s">
        <v>433</v>
      </c>
      <c r="F32723">
        <v>1.58369573583739E-8</v>
      </c>
      <c r="G32723">
        <v>3589347</v>
      </c>
      <c r="H32723">
        <v>14096956</v>
      </c>
      <c r="I32723">
        <v>2722896</v>
      </c>
      <c r="J32723">
        <v>8</v>
      </c>
    </row>
    <row r="32724" spans="1:10" x14ac:dyDescent="0.25">
      <c r="A32724" t="s">
        <v>364</v>
      </c>
      <c r="B32724" s="1" t="str">
        <f>HYPERLINK("http://fd-trust.com","fd-trust.com")</f>
        <v>fd-trust.com</v>
      </c>
      <c r="C32724" t="s">
        <v>433</v>
      </c>
      <c r="F32724">
        <v>6.7327797202813799E-9</v>
      </c>
      <c r="G32724">
        <v>13187715</v>
      </c>
      <c r="H32724">
        <v>10375669</v>
      </c>
      <c r="I32724">
        <v>54698507</v>
      </c>
      <c r="J32724">
        <v>7</v>
      </c>
    </row>
    <row r="32725" spans="1:10" x14ac:dyDescent="0.25">
      <c r="A32725" t="s">
        <v>364</v>
      </c>
      <c r="B32725" s="1" t="str">
        <f>HYPERLINK("http://founder.com","founder.com")</f>
        <v>founder.com</v>
      </c>
      <c r="C32725" t="s">
        <v>433</v>
      </c>
      <c r="E32725">
        <v>241227</v>
      </c>
      <c r="F32725">
        <v>1.2966881760140299E-7</v>
      </c>
      <c r="G32725">
        <v>301938</v>
      </c>
      <c r="H32725">
        <v>14150925</v>
      </c>
      <c r="I32725">
        <v>1875186</v>
      </c>
      <c r="J32725">
        <v>8</v>
      </c>
    </row>
    <row r="32726" spans="1:10" x14ac:dyDescent="0.25">
      <c r="A32726" t="s">
        <v>364</v>
      </c>
      <c r="B32726" s="1" t="str">
        <f>HYPERLINK("http://fullertonindia.com","fullertonindia.com")</f>
        <v>fullertonindia.com</v>
      </c>
      <c r="C32726" t="s">
        <v>433</v>
      </c>
      <c r="E32726">
        <v>163602</v>
      </c>
      <c r="F32726">
        <v>1.7448864766277701E-7</v>
      </c>
      <c r="G32726">
        <v>222265</v>
      </c>
      <c r="H32726">
        <v>16884692</v>
      </c>
      <c r="I32726">
        <v>137369</v>
      </c>
      <c r="J32726">
        <v>3</v>
      </c>
    </row>
    <row r="32727" spans="1:10" x14ac:dyDescent="0.25">
      <c r="A32727" t="s">
        <v>364</v>
      </c>
      <c r="B32727" s="1" t="str">
        <f>HYPERLINK("http://grihashakti.com","grihashakti.com")</f>
        <v>grihashakti.com</v>
      </c>
      <c r="C32727" t="s">
        <v>433</v>
      </c>
      <c r="E32727">
        <v>419282</v>
      </c>
      <c r="F32727">
        <v>1.2793437500315299E-8</v>
      </c>
      <c r="G32727">
        <v>4732025</v>
      </c>
      <c r="H32727">
        <v>12901780</v>
      </c>
      <c r="I32727">
        <v>13852101</v>
      </c>
      <c r="J32727">
        <v>6</v>
      </c>
    </row>
    <row r="32728" spans="1:10" x14ac:dyDescent="0.25">
      <c r="A32728" t="s">
        <v>364</v>
      </c>
      <c r="B32728" s="1" t="str">
        <f>HYPERLINK("http://hkbea.com","hkbea.com")</f>
        <v>hkbea.com</v>
      </c>
      <c r="C32728" t="s">
        <v>433</v>
      </c>
      <c r="E32728">
        <v>98449</v>
      </c>
      <c r="F32728">
        <v>3.6702396827990099E-7</v>
      </c>
      <c r="G32728">
        <v>101989</v>
      </c>
      <c r="H32728">
        <v>15155541</v>
      </c>
      <c r="I32728">
        <v>399575</v>
      </c>
      <c r="J32728">
        <v>4</v>
      </c>
    </row>
    <row r="32729" spans="1:10" x14ac:dyDescent="0.25">
      <c r="A32729" t="s">
        <v>364</v>
      </c>
      <c r="B32729" s="1" t="str">
        <f>HYPERLINK("http://joe-hr.com","joe-hr.com")</f>
        <v>joe-hr.com</v>
      </c>
      <c r="C32729" t="s">
        <v>433</v>
      </c>
      <c r="F32729">
        <v>1.0958200206027399E-8</v>
      </c>
      <c r="G32729">
        <v>5897328</v>
      </c>
      <c r="H32729">
        <v>11402721</v>
      </c>
      <c r="I32729">
        <v>30216573</v>
      </c>
      <c r="J32729">
        <v>6</v>
      </c>
    </row>
    <row r="32730" spans="1:10" x14ac:dyDescent="0.25">
      <c r="A32730" t="s">
        <v>364</v>
      </c>
      <c r="B32730" s="1" t="str">
        <f>HYPERLINK("http://jri-america.com","jri-america.com")</f>
        <v>jri-america.com</v>
      </c>
      <c r="C32730" t="s">
        <v>433</v>
      </c>
      <c r="F32730">
        <v>5.2534694538362502E-9</v>
      </c>
      <c r="G32730">
        <v>24205200</v>
      </c>
      <c r="H32730">
        <v>12438863</v>
      </c>
      <c r="I32730">
        <v>18157788</v>
      </c>
      <c r="J32730">
        <v>6</v>
      </c>
    </row>
    <row r="32731" spans="1:10" x14ac:dyDescent="0.25">
      <c r="A32731" t="s">
        <v>364</v>
      </c>
      <c r="B32731" s="1" t="str">
        <f>HYPERLINK("http://manubank.com","manubank.com")</f>
        <v>manubank.com</v>
      </c>
      <c r="C32731" t="s">
        <v>433</v>
      </c>
      <c r="E32731">
        <v>185100</v>
      </c>
      <c r="F32731">
        <v>7.1049215340513998E-9</v>
      </c>
      <c r="G32731">
        <v>12001686</v>
      </c>
      <c r="H32731">
        <v>10779752</v>
      </c>
      <c r="I32731">
        <v>38941967</v>
      </c>
      <c r="J32731">
        <v>4</v>
      </c>
    </row>
    <row r="32732" spans="1:10" x14ac:dyDescent="0.25">
      <c r="A32732" t="s">
        <v>364</v>
      </c>
      <c r="B32732" s="1" t="str">
        <f>HYPERLINK("http://manufacturersbank.com","manufacturersbank.com")</f>
        <v>manufacturersbank.com</v>
      </c>
      <c r="C32732" t="s">
        <v>433</v>
      </c>
      <c r="E32732">
        <v>399240</v>
      </c>
      <c r="F32732">
        <v>2.65790416188092E-8</v>
      </c>
      <c r="G32732">
        <v>1936844</v>
      </c>
      <c r="H32732">
        <v>13448724</v>
      </c>
      <c r="I32732">
        <v>10211962</v>
      </c>
      <c r="J32732">
        <v>3</v>
      </c>
    </row>
    <row r="32733" spans="1:10" x14ac:dyDescent="0.25">
      <c r="A32733" t="s">
        <v>364</v>
      </c>
      <c r="B32733" s="1" t="str">
        <f>HYPERLINK("http://mezonss.com","mezonss.com")</f>
        <v>mezonss.com</v>
      </c>
      <c r="C32733" t="s">
        <v>433</v>
      </c>
      <c r="F32733">
        <v>4.44380395335525E-9</v>
      </c>
      <c r="G32733">
        <v>82621462</v>
      </c>
      <c r="H32733">
        <v>0</v>
      </c>
      <c r="I32733">
        <v>83269726</v>
      </c>
      <c r="J32733">
        <v>7</v>
      </c>
    </row>
    <row r="32734" spans="1:10" x14ac:dyDescent="0.25">
      <c r="A32734" t="s">
        <v>364</v>
      </c>
      <c r="B32734" s="1" t="str">
        <f>HYPERLINK("http://pacificsummitenergy.com","pacificsummitenergy.com")</f>
        <v>pacificsummitenergy.com</v>
      </c>
      <c r="C32734" t="s">
        <v>433</v>
      </c>
      <c r="E32734">
        <v>703856</v>
      </c>
      <c r="F32734">
        <v>2.1157553538698498E-8</v>
      </c>
      <c r="G32734">
        <v>2493173</v>
      </c>
      <c r="H32734">
        <v>12985013</v>
      </c>
      <c r="I32734">
        <v>12906602</v>
      </c>
      <c r="J32734">
        <v>8</v>
      </c>
    </row>
    <row r="32735" spans="1:10" x14ac:dyDescent="0.25">
      <c r="A32735" t="s">
        <v>364</v>
      </c>
      <c r="B32735" s="1" t="str">
        <f>HYPERLINK("http://pku-resources.com","pku-resources.com")</f>
        <v>pku-resources.com</v>
      </c>
      <c r="C32735" t="s">
        <v>433</v>
      </c>
      <c r="F32735">
        <v>6.8159680658202298E-9</v>
      </c>
      <c r="G32735">
        <v>12907255</v>
      </c>
      <c r="H32735">
        <v>12943717</v>
      </c>
      <c r="I32735">
        <v>13265185</v>
      </c>
      <c r="J32735">
        <v>9</v>
      </c>
    </row>
    <row r="32736" spans="1:10" x14ac:dyDescent="0.25">
      <c r="A32736" t="s">
        <v>364</v>
      </c>
      <c r="B32736" s="1" t="str">
        <f>HYPERLINK("http://plus-medi-corp.com","plus-medi-corp.com")</f>
        <v>plus-medi-corp.com</v>
      </c>
      <c r="C32736" t="s">
        <v>433</v>
      </c>
      <c r="F32736">
        <v>6.4809513095617794E-8</v>
      </c>
      <c r="G32736">
        <v>665696</v>
      </c>
      <c r="H32736">
        <v>16753003</v>
      </c>
      <c r="I32736">
        <v>250249</v>
      </c>
      <c r="J32736">
        <v>3</v>
      </c>
    </row>
    <row r="32737" spans="1:10" x14ac:dyDescent="0.25">
      <c r="A32737" t="s">
        <v>364</v>
      </c>
      <c r="B32737" s="1" t="str">
        <f>HYPERLINK("http://presidio-ventures.com","presidio-ventures.com")</f>
        <v>presidio-ventures.com</v>
      </c>
      <c r="C32737" t="s">
        <v>433</v>
      </c>
      <c r="F32737">
        <v>5.22784463870986E-8</v>
      </c>
      <c r="G32737">
        <v>872795</v>
      </c>
      <c r="H32737">
        <v>13539663</v>
      </c>
      <c r="I32737">
        <v>9906994</v>
      </c>
      <c r="J32737">
        <v>7</v>
      </c>
    </row>
    <row r="32738" spans="1:10" x14ac:dyDescent="0.25">
      <c r="A32738" t="s">
        <v>364</v>
      </c>
      <c r="B32738" s="1" t="str">
        <f>HYPERLINK("http://smam-jp.com","smam-jp.com")</f>
        <v>smam-jp.com</v>
      </c>
      <c r="C32738" t="s">
        <v>433</v>
      </c>
      <c r="F32738">
        <v>4.69975553930067E-8</v>
      </c>
      <c r="G32738">
        <v>993154</v>
      </c>
      <c r="H32738">
        <v>14273449</v>
      </c>
      <c r="I32738">
        <v>1393817</v>
      </c>
      <c r="J32738">
        <v>6</v>
      </c>
    </row>
    <row r="32739" spans="1:10" x14ac:dyDescent="0.25">
      <c r="A32739" t="s">
        <v>364</v>
      </c>
      <c r="B32739" s="1" t="str">
        <f>HYPERLINK("http://smbc-card.com","smbc-card.com")</f>
        <v>smbc-card.com</v>
      </c>
      <c r="C32739" t="s">
        <v>433</v>
      </c>
      <c r="E32739">
        <v>14479</v>
      </c>
      <c r="F32739">
        <v>1.2224415610341799E-6</v>
      </c>
      <c r="G32739">
        <v>31805</v>
      </c>
      <c r="H32739">
        <v>17329626</v>
      </c>
      <c r="I32739">
        <v>24938</v>
      </c>
      <c r="J32739">
        <v>3</v>
      </c>
    </row>
    <row r="32740" spans="1:10" x14ac:dyDescent="0.25">
      <c r="A32740" t="s">
        <v>364</v>
      </c>
      <c r="B32740" s="1" t="str">
        <f>HYPERLINK("http://smbc-cf.com","smbc-cf.com")</f>
        <v>smbc-cf.com</v>
      </c>
      <c r="C32740" t="s">
        <v>433</v>
      </c>
      <c r="E32740">
        <v>825626</v>
      </c>
      <c r="F32740">
        <v>7.2321535077292403E-8</v>
      </c>
      <c r="G32740">
        <v>583596</v>
      </c>
      <c r="H32740">
        <v>14134149</v>
      </c>
      <c r="I32740">
        <v>1981819</v>
      </c>
      <c r="J32740">
        <v>3</v>
      </c>
    </row>
    <row r="32741" spans="1:10" x14ac:dyDescent="0.25">
      <c r="A32741" t="s">
        <v>364</v>
      </c>
      <c r="B32741" s="1" t="str">
        <f>HYPERLINK("http://smbc-cm.com","smbc-cm.com")</f>
        <v>smbc-cm.com</v>
      </c>
      <c r="C32741" t="s">
        <v>433</v>
      </c>
      <c r="E32741">
        <v>621532</v>
      </c>
      <c r="F32741">
        <v>4.8127387769376099E-9</v>
      </c>
      <c r="G32741">
        <v>35554511</v>
      </c>
      <c r="H32741">
        <v>10959606</v>
      </c>
      <c r="I32741">
        <v>34363197</v>
      </c>
      <c r="J32741">
        <v>3</v>
      </c>
    </row>
    <row r="32742" spans="1:10" x14ac:dyDescent="0.25">
      <c r="A32742" t="s">
        <v>364</v>
      </c>
      <c r="B32742" s="1" t="str">
        <f>HYPERLINK("http://smbc-staff.com","smbc-staff.com")</f>
        <v>smbc-staff.com</v>
      </c>
      <c r="C32742" t="s">
        <v>433</v>
      </c>
      <c r="F32742">
        <v>4.4783211342528802E-9</v>
      </c>
      <c r="G32742">
        <v>62708626</v>
      </c>
      <c r="H32742">
        <v>10667772</v>
      </c>
      <c r="I32742">
        <v>43040694</v>
      </c>
      <c r="J32742">
        <v>3</v>
      </c>
    </row>
    <row r="32743" spans="1:10" x14ac:dyDescent="0.25">
      <c r="A32743" t="s">
        <v>364</v>
      </c>
      <c r="B32743" s="1" t="str">
        <f>HYPERLINK("http://smbcgroup.com","smbcgroup.com")</f>
        <v>smbcgroup.com</v>
      </c>
      <c r="C32743" t="s">
        <v>433</v>
      </c>
      <c r="E32743">
        <v>211708</v>
      </c>
      <c r="F32743">
        <v>7.0643441336783097E-8</v>
      </c>
      <c r="G32743">
        <v>599129</v>
      </c>
      <c r="H32743">
        <v>14140877</v>
      </c>
      <c r="I32743">
        <v>1930562</v>
      </c>
      <c r="J32743">
        <v>3</v>
      </c>
    </row>
    <row r="32744" spans="1:10" x14ac:dyDescent="0.25">
      <c r="A32744" t="s">
        <v>364</v>
      </c>
      <c r="B32744" s="1" t="str">
        <f>HYPERLINK("http://smbcnikko-cm.com","smbcnikko-cm.com")</f>
        <v>smbcnikko-cm.com</v>
      </c>
      <c r="C32744" t="s">
        <v>433</v>
      </c>
      <c r="F32744">
        <v>8.73889205945404E-9</v>
      </c>
      <c r="G32744">
        <v>8411539</v>
      </c>
      <c r="H32744">
        <v>12243639</v>
      </c>
      <c r="I32744">
        <v>22158534</v>
      </c>
      <c r="J32744">
        <v>4</v>
      </c>
    </row>
    <row r="32745" spans="1:10" x14ac:dyDescent="0.25">
      <c r="A32745" t="s">
        <v>364</v>
      </c>
      <c r="B32745" s="1" t="str">
        <f>HYPERLINK("http://smbcnikko-si.com","smbcnikko-si.com")</f>
        <v>smbcnikko-si.com</v>
      </c>
      <c r="C32745" t="s">
        <v>433</v>
      </c>
      <c r="F32745">
        <v>6.9647227079517004E-9</v>
      </c>
      <c r="G32745">
        <v>12417726</v>
      </c>
      <c r="H32745">
        <v>12298383</v>
      </c>
      <c r="I32745">
        <v>20876693</v>
      </c>
      <c r="J32745">
        <v>3</v>
      </c>
    </row>
    <row r="32746" spans="1:10" x14ac:dyDescent="0.25">
      <c r="A32746" t="s">
        <v>364</v>
      </c>
      <c r="B32746" s="1" t="str">
        <f>HYPERLINK("http://smbcrail.com","smbcrail.com")</f>
        <v>smbcrail.com</v>
      </c>
      <c r="C32746" t="s">
        <v>433</v>
      </c>
      <c r="F32746">
        <v>1.12403354477302E-8</v>
      </c>
      <c r="G32746">
        <v>5685048</v>
      </c>
      <c r="H32746">
        <v>13765722</v>
      </c>
      <c r="I32746">
        <v>7070882</v>
      </c>
      <c r="J32746">
        <v>3</v>
      </c>
    </row>
    <row r="32747" spans="1:10" x14ac:dyDescent="0.25">
      <c r="A32747" t="s">
        <v>364</v>
      </c>
      <c r="B32747" s="1" t="str">
        <f>HYPERLINK("http://smd-am.com","smd-am.com")</f>
        <v>smd-am.com</v>
      </c>
      <c r="C32747" t="s">
        <v>433</v>
      </c>
      <c r="F32747">
        <v>4.44380395335525E-9</v>
      </c>
      <c r="G32747">
        <v>83450376</v>
      </c>
      <c r="H32747">
        <v>0</v>
      </c>
      <c r="I32747">
        <v>84277944</v>
      </c>
      <c r="J32747">
        <v>4</v>
      </c>
    </row>
    <row r="32748" spans="1:10" x14ac:dyDescent="0.25">
      <c r="A32748" t="s">
        <v>364</v>
      </c>
      <c r="B32748" s="1" t="str">
        <f>HYPERLINK("http://smsequip.com","smsequip.com")</f>
        <v>smsequip.com</v>
      </c>
      <c r="C32748" t="s">
        <v>433</v>
      </c>
      <c r="F32748">
        <v>2.3928262312619001E-8</v>
      </c>
      <c r="G32748">
        <v>2169975</v>
      </c>
      <c r="H32748">
        <v>13311366</v>
      </c>
      <c r="I32748">
        <v>10773303</v>
      </c>
      <c r="J32748">
        <v>8</v>
      </c>
    </row>
    <row r="32749" spans="1:10" x14ac:dyDescent="0.25">
      <c r="A32749" t="s">
        <v>364</v>
      </c>
      <c r="B32749" s="1" t="str">
        <f>HYPERLINK("http://smsequipment.com","smsequipment.com")</f>
        <v>smsequipment.com</v>
      </c>
      <c r="C32749" t="s">
        <v>433</v>
      </c>
      <c r="F32749">
        <v>5.1505684233687301E-8</v>
      </c>
      <c r="G32749">
        <v>888125</v>
      </c>
      <c r="H32749">
        <v>13598517</v>
      </c>
      <c r="I32749">
        <v>9652766</v>
      </c>
      <c r="J32749">
        <v>11</v>
      </c>
    </row>
    <row r="32750" spans="1:10" x14ac:dyDescent="0.25">
      <c r="A32750" t="s">
        <v>364</v>
      </c>
      <c r="B32750" s="1" t="str">
        <f>HYPERLINK("http://sumiagro.com","sumiagro.com")</f>
        <v>sumiagro.com</v>
      </c>
      <c r="C32750" t="s">
        <v>433</v>
      </c>
      <c r="F32750">
        <v>8.4889998850879394E-9</v>
      </c>
      <c r="G32750">
        <v>8866317</v>
      </c>
      <c r="H32750">
        <v>11086214</v>
      </c>
      <c r="I32750">
        <v>32425282</v>
      </c>
      <c r="J32750">
        <v>8</v>
      </c>
    </row>
    <row r="32751" spans="1:10" x14ac:dyDescent="0.25">
      <c r="A32751" t="s">
        <v>364</v>
      </c>
      <c r="B32751" s="1" t="str">
        <f>HYPERLINK("http://sumitomocorp.com","sumitomocorp.com")</f>
        <v>sumitomocorp.com</v>
      </c>
      <c r="C32751" t="s">
        <v>433</v>
      </c>
      <c r="E32751">
        <v>114758</v>
      </c>
      <c r="F32751">
        <v>3.5744837064407901E-7</v>
      </c>
      <c r="G32751">
        <v>104591</v>
      </c>
      <c r="H32751">
        <v>14793924</v>
      </c>
      <c r="I32751">
        <v>549971</v>
      </c>
      <c r="J32751">
        <v>7</v>
      </c>
    </row>
    <row r="32752" spans="1:10" x14ac:dyDescent="0.25">
      <c r="A32752" t="s">
        <v>364</v>
      </c>
      <c r="B32752" s="1" t="str">
        <f>HYPERLINK("http://sumitomocorp-scao.com","sumitomocorp-scao.com")</f>
        <v>sumitomocorp-scao.com</v>
      </c>
      <c r="C32752" t="s">
        <v>433</v>
      </c>
      <c r="F32752">
        <v>4.4920960940329397E-9</v>
      </c>
      <c r="G32752">
        <v>60171988</v>
      </c>
      <c r="H32752">
        <v>10600808</v>
      </c>
      <c r="I32752">
        <v>44871766</v>
      </c>
      <c r="J32752">
        <v>8</v>
      </c>
    </row>
    <row r="32753" spans="1:10" x14ac:dyDescent="0.25">
      <c r="A32753" t="s">
        <v>364</v>
      </c>
      <c r="B32753" s="1" t="str">
        <f>HYPERLINK("http://sumitomocorpeurope.com","sumitomocorpeurope.com")</f>
        <v>sumitomocorpeurope.com</v>
      </c>
      <c r="C32753" t="s">
        <v>433</v>
      </c>
      <c r="F32753">
        <v>1.21414520340082E-8</v>
      </c>
      <c r="G32753">
        <v>5084585</v>
      </c>
      <c r="H32753">
        <v>14416086</v>
      </c>
      <c r="I32753">
        <v>1108004</v>
      </c>
      <c r="J32753">
        <v>8</v>
      </c>
    </row>
    <row r="32754" spans="1:10" x14ac:dyDescent="0.25">
      <c r="A32754" t="s">
        <v>364</v>
      </c>
      <c r="B32754" s="1" t="str">
        <f>HYPERLINK("http://ttint.com","ttint.com")</f>
        <v>ttint.com</v>
      </c>
      <c r="C32754" t="s">
        <v>433</v>
      </c>
      <c r="F32754">
        <v>8.6046012000407405E-9</v>
      </c>
      <c r="G32754">
        <v>8648310</v>
      </c>
      <c r="H32754">
        <v>12455901</v>
      </c>
      <c r="I32754">
        <v>17923994</v>
      </c>
      <c r="J32754">
        <v>3</v>
      </c>
    </row>
    <row r="32755" spans="1:10" x14ac:dyDescent="0.25">
      <c r="A32755" t="s">
        <v>364</v>
      </c>
      <c r="B32755" s="1" t="str">
        <f>HYPERLINK("http://bfl-leasing.de","bfl-leasing.de")</f>
        <v>bfl-leasing.de</v>
      </c>
      <c r="C32755" t="s">
        <v>436</v>
      </c>
      <c r="D32755" t="s">
        <v>815</v>
      </c>
      <c r="F32755">
        <v>1.9610953996447499E-8</v>
      </c>
      <c r="G32755">
        <v>2726338</v>
      </c>
      <c r="H32755">
        <v>12297935</v>
      </c>
      <c r="I32755">
        <v>20888730</v>
      </c>
      <c r="J32755">
        <v>11</v>
      </c>
    </row>
    <row r="32756" spans="1:10" x14ac:dyDescent="0.25">
      <c r="A32756" t="s">
        <v>364</v>
      </c>
      <c r="B32756" s="1" t="str">
        <f>HYPERLINK("http://drbsk.de","drbsk.de")</f>
        <v>drbsk.de</v>
      </c>
      <c r="C32756" t="s">
        <v>436</v>
      </c>
      <c r="D32756" t="s">
        <v>815</v>
      </c>
      <c r="F32756">
        <v>5.2722443799576199E-9</v>
      </c>
      <c r="G32756">
        <v>23919909</v>
      </c>
      <c r="H32756">
        <v>12200804</v>
      </c>
      <c r="I32756">
        <v>23300782</v>
      </c>
      <c r="J32756">
        <v>11</v>
      </c>
    </row>
    <row r="32757" spans="1:10" x14ac:dyDescent="0.25">
      <c r="A32757" t="s">
        <v>364</v>
      </c>
      <c r="B32757" s="1" t="str">
        <f>HYPERLINK("http://start-bsk.de","start-bsk.de")</f>
        <v>start-bsk.de</v>
      </c>
      <c r="C32757" t="s">
        <v>436</v>
      </c>
      <c r="D32757" t="s">
        <v>815</v>
      </c>
      <c r="F32757">
        <v>1.0133816988353401E-8</v>
      </c>
      <c r="G32757">
        <v>6612889</v>
      </c>
      <c r="H32757">
        <v>14071872</v>
      </c>
      <c r="I32757">
        <v>3257671</v>
      </c>
      <c r="J32757">
        <v>11</v>
      </c>
    </row>
    <row r="32758" spans="1:10" x14ac:dyDescent="0.25">
      <c r="A32758" t="s">
        <v>364</v>
      </c>
      <c r="B32758" s="1" t="str">
        <f>HYPERLINK("http://sumiagro.de","sumiagro.de")</f>
        <v>sumiagro.de</v>
      </c>
      <c r="C32758" t="s">
        <v>436</v>
      </c>
      <c r="D32758" t="s">
        <v>815</v>
      </c>
      <c r="F32758">
        <v>1.42193002795835E-8</v>
      </c>
      <c r="G32758">
        <v>4122094</v>
      </c>
      <c r="H32758">
        <v>13360897</v>
      </c>
      <c r="I32758">
        <v>10540127</v>
      </c>
      <c r="J32758">
        <v>11</v>
      </c>
    </row>
    <row r="32759" spans="1:10" x14ac:dyDescent="0.25">
      <c r="A32759" t="s">
        <v>364</v>
      </c>
      <c r="B32759" s="1" t="str">
        <f>HYPERLINK("http://aimoapp.fi","aimoapp.fi")</f>
        <v>aimoapp.fi</v>
      </c>
      <c r="C32759" t="s">
        <v>445</v>
      </c>
      <c r="D32759" t="s">
        <v>823</v>
      </c>
      <c r="J32759">
        <v>9</v>
      </c>
    </row>
    <row r="32760" spans="1:10" x14ac:dyDescent="0.25">
      <c r="A32760" t="s">
        <v>364</v>
      </c>
      <c r="B32760" s="1" t="str">
        <f>HYPERLINK("http://aimocharge.fi","aimocharge.fi")</f>
        <v>aimocharge.fi</v>
      </c>
      <c r="C32760" t="s">
        <v>445</v>
      </c>
      <c r="D32760" t="s">
        <v>823</v>
      </c>
      <c r="J32760">
        <v>9</v>
      </c>
    </row>
    <row r="32761" spans="1:10" x14ac:dyDescent="0.25">
      <c r="A32761" t="s">
        <v>364</v>
      </c>
      <c r="B32761" s="1" t="str">
        <f>HYPERLINK("http://aimomarket.fi","aimomarket.fi")</f>
        <v>aimomarket.fi</v>
      </c>
      <c r="C32761" t="s">
        <v>445</v>
      </c>
      <c r="D32761" t="s">
        <v>823</v>
      </c>
      <c r="J32761">
        <v>9</v>
      </c>
    </row>
    <row r="32762" spans="1:10" x14ac:dyDescent="0.25">
      <c r="A32762" t="s">
        <v>364</v>
      </c>
      <c r="B32762" s="1" t="str">
        <f>HYPERLINK("http://aimopark.fi","aimopark.fi")</f>
        <v>aimopark.fi</v>
      </c>
      <c r="C32762" t="s">
        <v>445</v>
      </c>
      <c r="D32762" t="s">
        <v>823</v>
      </c>
      <c r="F32762">
        <v>8.7521452999987105E-8</v>
      </c>
      <c r="G32762">
        <v>468754</v>
      </c>
      <c r="H32762">
        <v>13210985</v>
      </c>
      <c r="I32762">
        <v>11405647</v>
      </c>
      <c r="J32762">
        <v>8</v>
      </c>
    </row>
    <row r="32763" spans="1:10" x14ac:dyDescent="0.25">
      <c r="A32763" t="s">
        <v>364</v>
      </c>
      <c r="B32763" s="1" t="str">
        <f>HYPERLINK("http://aimoshare.fi","aimoshare.fi")</f>
        <v>aimoshare.fi</v>
      </c>
      <c r="C32763" t="s">
        <v>445</v>
      </c>
      <c r="D32763" t="s">
        <v>823</v>
      </c>
      <c r="J32763">
        <v>9</v>
      </c>
    </row>
    <row r="32764" spans="1:10" x14ac:dyDescent="0.25">
      <c r="A32764" t="s">
        <v>364</v>
      </c>
      <c r="B32764" s="1" t="str">
        <f>HYPERLINK("http://aimox.fi","aimox.fi")</f>
        <v>aimox.fi</v>
      </c>
      <c r="C32764" t="s">
        <v>445</v>
      </c>
      <c r="D32764" t="s">
        <v>823</v>
      </c>
      <c r="J32764">
        <v>9</v>
      </c>
    </row>
    <row r="32765" spans="1:10" x14ac:dyDescent="0.25">
      <c r="A32765" t="s">
        <v>364</v>
      </c>
      <c r="B32765" s="1" t="str">
        <f>HYPERLINK("http://carpark.fi","carpark.fi")</f>
        <v>carpark.fi</v>
      </c>
      <c r="C32765" t="s">
        <v>445</v>
      </c>
      <c r="D32765" t="s">
        <v>823</v>
      </c>
      <c r="J32765">
        <v>9</v>
      </c>
    </row>
    <row r="32766" spans="1:10" x14ac:dyDescent="0.25">
      <c r="A32766" t="s">
        <v>364</v>
      </c>
      <c r="B32766" s="1" t="str">
        <f>HYPERLINK("http://extapioaimopark.fi","extapioaimopark.fi")</f>
        <v>extapioaimopark.fi</v>
      </c>
      <c r="C32766" t="s">
        <v>445</v>
      </c>
      <c r="D32766" t="s">
        <v>823</v>
      </c>
      <c r="J32766">
        <v>9</v>
      </c>
    </row>
    <row r="32767" spans="1:10" x14ac:dyDescent="0.25">
      <c r="A32767" t="s">
        <v>364</v>
      </c>
      <c r="B32767" s="1" t="str">
        <f>HYPERLINK("http://mobiilikiekko.fi","mobiilikiekko.fi")</f>
        <v>mobiilikiekko.fi</v>
      </c>
      <c r="C32767" t="s">
        <v>445</v>
      </c>
      <c r="D32767" t="s">
        <v>823</v>
      </c>
      <c r="J32767">
        <v>9</v>
      </c>
    </row>
    <row r="32768" spans="1:10" x14ac:dyDescent="0.25">
      <c r="A32768" t="s">
        <v>364</v>
      </c>
      <c r="B32768" s="1" t="str">
        <f>HYPERLINK("http://parking.fi","parking.fi")</f>
        <v>parking.fi</v>
      </c>
      <c r="C32768" t="s">
        <v>445</v>
      </c>
      <c r="D32768" t="s">
        <v>823</v>
      </c>
      <c r="J32768">
        <v>11</v>
      </c>
    </row>
    <row r="32769" spans="1:10" x14ac:dyDescent="0.25">
      <c r="A32769" t="s">
        <v>364</v>
      </c>
      <c r="B32769" s="1" t="str">
        <f>HYPERLINK("http://parkkeeraus.fi","parkkeeraus.fi")</f>
        <v>parkkeeraus.fi</v>
      </c>
      <c r="C32769" t="s">
        <v>445</v>
      </c>
      <c r="D32769" t="s">
        <v>823</v>
      </c>
      <c r="J32769">
        <v>11</v>
      </c>
    </row>
    <row r="32770" spans="1:10" x14ac:dyDescent="0.25">
      <c r="A32770" t="s">
        <v>364</v>
      </c>
      <c r="B32770" s="1" t="str">
        <f>HYPERLINK("http://parkkipaikka.fi","parkkipaikka.fi")</f>
        <v>parkkipaikka.fi</v>
      </c>
      <c r="C32770" t="s">
        <v>445</v>
      </c>
      <c r="D32770" t="s">
        <v>823</v>
      </c>
      <c r="J32770">
        <v>11</v>
      </c>
    </row>
    <row r="32771" spans="1:10" x14ac:dyDescent="0.25">
      <c r="A32771" t="s">
        <v>364</v>
      </c>
      <c r="B32771" s="1" t="str">
        <f>HYPERLINK("http://pysakointi.fi","pysakointi.fi")</f>
        <v>pysakointi.fi</v>
      </c>
      <c r="C32771" t="s">
        <v>445</v>
      </c>
      <c r="D32771" t="s">
        <v>823</v>
      </c>
      <c r="J32771">
        <v>11</v>
      </c>
    </row>
    <row r="32772" spans="1:10" x14ac:dyDescent="0.25">
      <c r="A32772" t="s">
        <v>364</v>
      </c>
      <c r="B32772" s="1" t="str">
        <f>HYPERLINK("http://pysakointiliitto.fi","pysakointiliitto.fi")</f>
        <v>pysakointiliitto.fi</v>
      </c>
      <c r="C32772" t="s">
        <v>445</v>
      </c>
      <c r="D32772" t="s">
        <v>823</v>
      </c>
      <c r="F32772">
        <v>6.4491977074632004E-9</v>
      </c>
      <c r="G32772">
        <v>14297698</v>
      </c>
      <c r="H32772">
        <v>13763634</v>
      </c>
      <c r="I32772">
        <v>8462469</v>
      </c>
      <c r="J32772">
        <v>9</v>
      </c>
    </row>
    <row r="32773" spans="1:10" x14ac:dyDescent="0.25">
      <c r="A32773" t="s">
        <v>364</v>
      </c>
      <c r="B32773" s="1" t="str">
        <f>HYPERLINK("http://q-park.fi","q-park.fi")</f>
        <v>q-park.fi</v>
      </c>
      <c r="C32773" t="s">
        <v>445</v>
      </c>
      <c r="D32773" t="s">
        <v>823</v>
      </c>
      <c r="F32773">
        <v>1.8292044137751701E-8</v>
      </c>
      <c r="G32773">
        <v>2968969</v>
      </c>
      <c r="H32773">
        <v>13766443</v>
      </c>
      <c r="I32773">
        <v>7004659</v>
      </c>
      <c r="J32773">
        <v>8</v>
      </c>
    </row>
    <row r="32774" spans="1:10" x14ac:dyDescent="0.25">
      <c r="A32774" t="s">
        <v>364</v>
      </c>
      <c r="B32774" s="1" t="str">
        <f>HYPERLINK("http://q-park360.fi","q-park360.fi")</f>
        <v>q-park360.fi</v>
      </c>
      <c r="C32774" t="s">
        <v>445</v>
      </c>
      <c r="D32774" t="s">
        <v>823</v>
      </c>
      <c r="F32774">
        <v>7.0671593864998698E-9</v>
      </c>
      <c r="G32774">
        <v>12106791</v>
      </c>
      <c r="H32774">
        <v>11091545</v>
      </c>
      <c r="I32774">
        <v>32366341</v>
      </c>
      <c r="J32774">
        <v>9</v>
      </c>
    </row>
    <row r="32775" spans="1:10" x14ac:dyDescent="0.25">
      <c r="A32775" t="s">
        <v>364</v>
      </c>
      <c r="B32775" s="1" t="str">
        <f>HYPERLINK("http://q-parkextparking.fi","q-parkextparking.fi")</f>
        <v>q-parkextparking.fi</v>
      </c>
      <c r="C32775" t="s">
        <v>445</v>
      </c>
      <c r="D32775" t="s">
        <v>823</v>
      </c>
      <c r="J32775">
        <v>9</v>
      </c>
    </row>
    <row r="32776" spans="1:10" x14ac:dyDescent="0.25">
      <c r="A32776" t="s">
        <v>364</v>
      </c>
      <c r="B32776" s="1" t="str">
        <f>HYPERLINK("http://q-parkkampanja.fi","q-parkkampanja.fi")</f>
        <v>q-parkkampanja.fi</v>
      </c>
      <c r="C32776" t="s">
        <v>445</v>
      </c>
      <c r="D32776" t="s">
        <v>823</v>
      </c>
      <c r="J32776">
        <v>9</v>
      </c>
    </row>
    <row r="32777" spans="1:10" x14ac:dyDescent="0.25">
      <c r="A32777" t="s">
        <v>364</v>
      </c>
      <c r="B32777" s="1" t="str">
        <f>HYPERLINK("http://q-parkpalvelut.fi","q-parkpalvelut.fi")</f>
        <v>q-parkpalvelut.fi</v>
      </c>
      <c r="C32777" t="s">
        <v>445</v>
      </c>
      <c r="D32777" t="s">
        <v>823</v>
      </c>
      <c r="F32777">
        <v>4.4438808529115501E-9</v>
      </c>
      <c r="G32777">
        <v>78059959</v>
      </c>
      <c r="H32777">
        <v>10384873</v>
      </c>
      <c r="I32777">
        <v>54476436</v>
      </c>
      <c r="J32777">
        <v>11</v>
      </c>
    </row>
    <row r="32778" spans="1:10" x14ac:dyDescent="0.25">
      <c r="A32778" t="s">
        <v>364</v>
      </c>
      <c r="B32778" s="1" t="str">
        <f>HYPERLINK("http://q-parkwst.fi","q-parkwst.fi")</f>
        <v>q-parkwst.fi</v>
      </c>
      <c r="C32778" t="s">
        <v>445</v>
      </c>
      <c r="D32778" t="s">
        <v>823</v>
      </c>
      <c r="J32778">
        <v>11</v>
      </c>
    </row>
    <row r="32779" spans="1:10" x14ac:dyDescent="0.25">
      <c r="A32779" t="s">
        <v>364</v>
      </c>
      <c r="B32779" s="1" t="str">
        <f>HYPERLINK("http://qpark.fi","qpark.fi")</f>
        <v>qpark.fi</v>
      </c>
      <c r="C32779" t="s">
        <v>445</v>
      </c>
      <c r="D32779" t="s">
        <v>823</v>
      </c>
      <c r="J32779">
        <v>9</v>
      </c>
    </row>
    <row r="32780" spans="1:10" x14ac:dyDescent="0.25">
      <c r="A32780" t="s">
        <v>364</v>
      </c>
      <c r="B32780" s="1" t="str">
        <f>HYPERLINK("http://qparkkampanja.fi","qparkkampanja.fi")</f>
        <v>qparkkampanja.fi</v>
      </c>
      <c r="C32780" t="s">
        <v>445</v>
      </c>
      <c r="D32780" t="s">
        <v>823</v>
      </c>
      <c r="J32780">
        <v>9</v>
      </c>
    </row>
    <row r="32781" spans="1:10" x14ac:dyDescent="0.25">
      <c r="A32781" t="s">
        <v>364</v>
      </c>
      <c r="B32781" s="1" t="str">
        <f>HYPERLINK("http://qparkpalvelut.fi","qparkpalvelut.fi")</f>
        <v>qparkpalvelut.fi</v>
      </c>
      <c r="C32781" t="s">
        <v>445</v>
      </c>
      <c r="D32781" t="s">
        <v>823</v>
      </c>
      <c r="J32781">
        <v>11</v>
      </c>
    </row>
    <row r="32782" spans="1:10" x14ac:dyDescent="0.25">
      <c r="A32782" t="s">
        <v>364</v>
      </c>
      <c r="B32782" s="1" t="str">
        <f>HYPERLINK("http://senofipark.fi","senofipark.fi")</f>
        <v>senofipark.fi</v>
      </c>
      <c r="C32782" t="s">
        <v>445</v>
      </c>
      <c r="D32782" t="s">
        <v>823</v>
      </c>
      <c r="J32782">
        <v>9</v>
      </c>
    </row>
    <row r="32783" spans="1:10" x14ac:dyDescent="0.25">
      <c r="A32783" t="s">
        <v>364</v>
      </c>
      <c r="B32783" s="1" t="str">
        <f>HYPERLINK("http://taskuparkki.fi","taskuparkki.fi")</f>
        <v>taskuparkki.fi</v>
      </c>
      <c r="C32783" t="s">
        <v>445</v>
      </c>
      <c r="D32783" t="s">
        <v>823</v>
      </c>
      <c r="F32783">
        <v>4.9159220516117299E-8</v>
      </c>
      <c r="G32783">
        <v>941863</v>
      </c>
      <c r="H32783">
        <v>16760488</v>
      </c>
      <c r="I32783">
        <v>229005</v>
      </c>
      <c r="J32783">
        <v>9</v>
      </c>
    </row>
    <row r="32784" spans="1:10" x14ac:dyDescent="0.25">
      <c r="A32784" t="s">
        <v>364</v>
      </c>
      <c r="B32784" s="1" t="str">
        <f>HYPERLINK("http://verkkoparkki.fi","verkkoparkki.fi")</f>
        <v>verkkoparkki.fi</v>
      </c>
      <c r="C32784" t="s">
        <v>445</v>
      </c>
      <c r="D32784" t="s">
        <v>823</v>
      </c>
      <c r="F32784">
        <v>5.9979115894997396E-9</v>
      </c>
      <c r="G32784">
        <v>16696825</v>
      </c>
      <c r="H32784">
        <v>10344628</v>
      </c>
      <c r="I32784">
        <v>57149595</v>
      </c>
      <c r="J32784">
        <v>9</v>
      </c>
    </row>
    <row r="32785" spans="1:10" x14ac:dyDescent="0.25">
      <c r="A32785" t="s">
        <v>364</v>
      </c>
      <c r="B32785" s="1" t="str">
        <f>HYPERLINK("http://eoliennes-mer.fr","eoliennes-mer.fr")</f>
        <v>eoliennes-mer.fr</v>
      </c>
      <c r="C32785" t="s">
        <v>446</v>
      </c>
      <c r="D32785" t="s">
        <v>824</v>
      </c>
      <c r="F32785">
        <v>4.3325541602858498E-8</v>
      </c>
      <c r="G32785">
        <v>1105890</v>
      </c>
      <c r="H32785">
        <v>14090332</v>
      </c>
      <c r="I32785">
        <v>2749850</v>
      </c>
      <c r="J32785">
        <v>7</v>
      </c>
    </row>
    <row r="32786" spans="1:10" x14ac:dyDescent="0.25">
      <c r="A32786" t="s">
        <v>364</v>
      </c>
      <c r="B32786" s="1" t="str">
        <f>HYPERLINK("http://sumiagro.fr","sumiagro.fr")</f>
        <v>sumiagro.fr</v>
      </c>
      <c r="C32786" t="s">
        <v>446</v>
      </c>
      <c r="D32786" t="s">
        <v>824</v>
      </c>
      <c r="F32786">
        <v>7.9000888319474108E-9</v>
      </c>
      <c r="G32786">
        <v>10111380</v>
      </c>
      <c r="H32786">
        <v>12901166</v>
      </c>
      <c r="I32786">
        <v>13855863</v>
      </c>
      <c r="J32786">
        <v>13</v>
      </c>
    </row>
    <row r="32787" spans="1:10" x14ac:dyDescent="0.25">
      <c r="A32787" t="s">
        <v>364</v>
      </c>
      <c r="B32787" s="1" t="str">
        <f>HYPERLINK("http://eafutures.com.hk","eafutures.com.hk")</f>
        <v>eafutures.com.hk</v>
      </c>
      <c r="C32787" t="s">
        <v>450</v>
      </c>
      <c r="D32787" t="s">
        <v>827</v>
      </c>
      <c r="F32787">
        <v>1.5974382947562299E-8</v>
      </c>
      <c r="G32787">
        <v>3552932</v>
      </c>
      <c r="H32787">
        <v>12431297</v>
      </c>
      <c r="I32787">
        <v>18283880</v>
      </c>
      <c r="J32787">
        <v>7</v>
      </c>
    </row>
    <row r="32788" spans="1:10" x14ac:dyDescent="0.25">
      <c r="A32788" t="s">
        <v>364</v>
      </c>
      <c r="B32788" s="1" t="str">
        <f>HYPERLINK("http://sumiagro.hu","sumiagro.hu")</f>
        <v>sumiagro.hu</v>
      </c>
      <c r="C32788" t="s">
        <v>453</v>
      </c>
      <c r="D32788" t="s">
        <v>830</v>
      </c>
      <c r="F32788">
        <v>7.8971902089427693E-9</v>
      </c>
      <c r="G32788">
        <v>10117356</v>
      </c>
      <c r="H32788">
        <v>12290249</v>
      </c>
      <c r="I32788">
        <v>21105428</v>
      </c>
      <c r="J32788">
        <v>8</v>
      </c>
    </row>
    <row r="32789" spans="1:10" x14ac:dyDescent="0.25">
      <c r="A32789" t="s">
        <v>364</v>
      </c>
      <c r="B32789" s="1" t="str">
        <f>HYPERLINK("http://oto.co.id","oto.co.id")</f>
        <v>oto.co.id</v>
      </c>
      <c r="C32789" t="s">
        <v>454</v>
      </c>
      <c r="D32789" t="s">
        <v>831</v>
      </c>
      <c r="F32789">
        <v>2.1515467903943699E-8</v>
      </c>
      <c r="G32789">
        <v>2447230</v>
      </c>
      <c r="H32789">
        <v>14045006</v>
      </c>
      <c r="I32789">
        <v>3901840</v>
      </c>
      <c r="J32789">
        <v>3</v>
      </c>
    </row>
    <row r="32790" spans="1:10" x14ac:dyDescent="0.25">
      <c r="A32790" t="s">
        <v>364</v>
      </c>
      <c r="B32790" s="1" t="str">
        <f>HYPERLINK("http://otofinance.co.id","otofinance.co.id")</f>
        <v>otofinance.co.id</v>
      </c>
      <c r="C32790" t="s">
        <v>454</v>
      </c>
      <c r="D32790" t="s">
        <v>831</v>
      </c>
      <c r="F32790">
        <v>1.53197652694164E-8</v>
      </c>
      <c r="G32790">
        <v>3739830</v>
      </c>
      <c r="H32790">
        <v>13939224</v>
      </c>
      <c r="I32790">
        <v>4400180</v>
      </c>
      <c r="J32790">
        <v>3</v>
      </c>
    </row>
    <row r="32791" spans="1:10" x14ac:dyDescent="0.25">
      <c r="A32791" t="s">
        <v>364</v>
      </c>
      <c r="B32791" s="1" t="str">
        <f>HYPERLINK("http://scsk.info","scsk.info")</f>
        <v>scsk.info</v>
      </c>
      <c r="C32791" t="s">
        <v>458</v>
      </c>
      <c r="F32791">
        <v>9.0627539408166292E-9</v>
      </c>
      <c r="G32791">
        <v>7899893</v>
      </c>
      <c r="H32791">
        <v>13331798</v>
      </c>
      <c r="I32791">
        <v>10715882</v>
      </c>
      <c r="J32791">
        <v>8</v>
      </c>
    </row>
    <row r="32792" spans="1:10" x14ac:dyDescent="0.25">
      <c r="A32792" t="s">
        <v>364</v>
      </c>
      <c r="B32792" s="1" t="str">
        <f>HYPERLINK("http://cedyna.co.jp","cedyna.co.jp")</f>
        <v>cedyna.co.jp</v>
      </c>
      <c r="C32792" t="s">
        <v>461</v>
      </c>
      <c r="D32792" t="s">
        <v>837</v>
      </c>
      <c r="E32792">
        <v>135787</v>
      </c>
      <c r="F32792">
        <v>3.1344902092297002E-7</v>
      </c>
      <c r="G32792">
        <v>118594</v>
      </c>
      <c r="H32792">
        <v>14158884</v>
      </c>
      <c r="I32792">
        <v>1843305</v>
      </c>
      <c r="J32792">
        <v>3</v>
      </c>
    </row>
    <row r="32793" spans="1:10" x14ac:dyDescent="0.25">
      <c r="A32793" t="s">
        <v>364</v>
      </c>
      <c r="B32793" s="1" t="str">
        <f>HYPERLINK("http://j-pec.co.jp","j-pec.co.jp")</f>
        <v>j-pec.co.jp</v>
      </c>
      <c r="C32793" t="s">
        <v>461</v>
      </c>
      <c r="D32793" t="s">
        <v>837</v>
      </c>
      <c r="F32793">
        <v>1.11854138662507E-8</v>
      </c>
      <c r="G32793">
        <v>5723229</v>
      </c>
      <c r="H32793">
        <v>12722673</v>
      </c>
      <c r="I32793">
        <v>15240084</v>
      </c>
      <c r="J32793">
        <v>3</v>
      </c>
    </row>
    <row r="32794" spans="1:10" x14ac:dyDescent="0.25">
      <c r="A32794" t="s">
        <v>364</v>
      </c>
      <c r="B32794" s="1" t="str">
        <f>HYPERLINK("http://jri.co.jp","jri.co.jp")</f>
        <v>jri.co.jp</v>
      </c>
      <c r="C32794" t="s">
        <v>461</v>
      </c>
      <c r="D32794" t="s">
        <v>837</v>
      </c>
      <c r="E32794">
        <v>151842</v>
      </c>
      <c r="F32794">
        <v>3.7012267039413902E-7</v>
      </c>
      <c r="G32794">
        <v>101150</v>
      </c>
      <c r="H32794">
        <v>17099934</v>
      </c>
      <c r="I32794">
        <v>63899</v>
      </c>
      <c r="J32794">
        <v>3</v>
      </c>
    </row>
    <row r="32795" spans="1:10" x14ac:dyDescent="0.25">
      <c r="A32795" t="s">
        <v>364</v>
      </c>
      <c r="B32795" s="1" t="str">
        <f>HYPERLINK("http://jri-sol.co.jp","jri-sol.co.jp")</f>
        <v>jri-sol.co.jp</v>
      </c>
      <c r="C32795" t="s">
        <v>461</v>
      </c>
      <c r="D32795" t="s">
        <v>837</v>
      </c>
      <c r="F32795">
        <v>5.8170833457763399E-9</v>
      </c>
      <c r="G32795">
        <v>17959249</v>
      </c>
      <c r="H32795">
        <v>13126856</v>
      </c>
      <c r="I32795">
        <v>11954118</v>
      </c>
      <c r="J32795">
        <v>6</v>
      </c>
    </row>
    <row r="32796" spans="1:10" x14ac:dyDescent="0.25">
      <c r="A32796" t="s">
        <v>364</v>
      </c>
      <c r="B32796" s="1" t="str">
        <f>HYPERLINK("http://jsol.co.jp","jsol.co.jp")</f>
        <v>jsol.co.jp</v>
      </c>
      <c r="C32796" t="s">
        <v>461</v>
      </c>
      <c r="D32796" t="s">
        <v>837</v>
      </c>
      <c r="E32796">
        <v>849981</v>
      </c>
      <c r="F32796">
        <v>1.1865336650253399E-7</v>
      </c>
      <c r="G32796">
        <v>333679</v>
      </c>
      <c r="H32796">
        <v>13893139</v>
      </c>
      <c r="I32796">
        <v>5958776</v>
      </c>
      <c r="J32796">
        <v>3</v>
      </c>
    </row>
    <row r="32797" spans="1:10" x14ac:dyDescent="0.25">
      <c r="A32797" t="s">
        <v>364</v>
      </c>
      <c r="B32797" s="1" t="str">
        <f>HYPERLINK("http://kansaiurban.co.jp","kansaiurban.co.jp")</f>
        <v>kansaiurban.co.jp</v>
      </c>
      <c r="C32797" t="s">
        <v>461</v>
      </c>
      <c r="D32797" t="s">
        <v>837</v>
      </c>
      <c r="F32797">
        <v>2.1922192316163602E-8</v>
      </c>
      <c r="G32797">
        <v>2395422</v>
      </c>
      <c r="H32797">
        <v>14111745</v>
      </c>
      <c r="I32797">
        <v>2671546</v>
      </c>
      <c r="J32797">
        <v>4</v>
      </c>
    </row>
    <row r="32798" spans="1:10" x14ac:dyDescent="0.25">
      <c r="A32798" t="s">
        <v>364</v>
      </c>
      <c r="B32798" s="1" t="str">
        <f>HYPERLINK("http://kcs.co.jp","kcs.co.jp")</f>
        <v>kcs.co.jp</v>
      </c>
      <c r="C32798" t="s">
        <v>461</v>
      </c>
      <c r="D32798" t="s">
        <v>837</v>
      </c>
      <c r="F32798">
        <v>2.3273103018950201E-8</v>
      </c>
      <c r="G32798">
        <v>2241905</v>
      </c>
      <c r="H32798">
        <v>14095598</v>
      </c>
      <c r="I32798">
        <v>2728399</v>
      </c>
      <c r="J32798">
        <v>3</v>
      </c>
    </row>
    <row r="32799" spans="1:10" x14ac:dyDescent="0.25">
      <c r="A32799" t="s">
        <v>364</v>
      </c>
      <c r="B32799" s="1" t="str">
        <f>HYPERLINK("http://metalex.co.jp","metalex.co.jp")</f>
        <v>metalex.co.jp</v>
      </c>
      <c r="C32799" t="s">
        <v>461</v>
      </c>
      <c r="D32799" t="s">
        <v>837</v>
      </c>
      <c r="F32799">
        <v>7.0293743431870797E-9</v>
      </c>
      <c r="G32799">
        <v>12226249</v>
      </c>
      <c r="H32799">
        <v>12370150</v>
      </c>
      <c r="I32799">
        <v>19411223</v>
      </c>
      <c r="J32799">
        <v>8</v>
      </c>
    </row>
    <row r="32800" spans="1:10" x14ac:dyDescent="0.25">
      <c r="A32800" t="s">
        <v>364</v>
      </c>
      <c r="B32800" s="1" t="str">
        <f>HYPERLINK("http://pocketcard.co.jp","pocketcard.co.jp")</f>
        <v>pocketcard.co.jp</v>
      </c>
      <c r="C32800" t="s">
        <v>461</v>
      </c>
      <c r="D32800" t="s">
        <v>837</v>
      </c>
      <c r="E32800">
        <v>129548</v>
      </c>
      <c r="F32800">
        <v>1.4709732672176001E-7</v>
      </c>
      <c r="G32800">
        <v>264686</v>
      </c>
      <c r="H32800">
        <v>14336176</v>
      </c>
      <c r="I32800">
        <v>1319418</v>
      </c>
      <c r="J32800">
        <v>3</v>
      </c>
    </row>
    <row r="32801" spans="1:10" x14ac:dyDescent="0.25">
      <c r="A32801" t="s">
        <v>364</v>
      </c>
      <c r="B32801" s="1" t="str">
        <f>HYPERLINK("http://promise.co.jp","promise.co.jp")</f>
        <v>promise.co.jp</v>
      </c>
      <c r="C32801" t="s">
        <v>461</v>
      </c>
      <c r="D32801" t="s">
        <v>837</v>
      </c>
      <c r="E32801">
        <v>249974</v>
      </c>
      <c r="F32801">
        <v>1.35465294848148E-7</v>
      </c>
      <c r="G32801">
        <v>288088</v>
      </c>
      <c r="H32801">
        <v>14284379</v>
      </c>
      <c r="I32801">
        <v>1373597</v>
      </c>
      <c r="J32801">
        <v>4</v>
      </c>
    </row>
    <row r="32802" spans="1:10" x14ac:dyDescent="0.25">
      <c r="A32802" t="s">
        <v>364</v>
      </c>
      <c r="B32802" s="1" t="str">
        <f>HYPERLINK("http://sakura-is.co.jp","sakura-is.co.jp")</f>
        <v>sakura-is.co.jp</v>
      </c>
      <c r="C32802" t="s">
        <v>461</v>
      </c>
      <c r="D32802" t="s">
        <v>837</v>
      </c>
      <c r="F32802">
        <v>4.3365784495638798E-8</v>
      </c>
      <c r="G32802">
        <v>1104433</v>
      </c>
      <c r="H32802">
        <v>13415400</v>
      </c>
      <c r="I32802">
        <v>10315472</v>
      </c>
      <c r="J32802">
        <v>3</v>
      </c>
    </row>
    <row r="32803" spans="1:10" x14ac:dyDescent="0.25">
      <c r="A32803" t="s">
        <v>364</v>
      </c>
      <c r="B32803" s="1" t="str">
        <f>HYPERLINK("http://smauto.co.jp","smauto.co.jp")</f>
        <v>smauto.co.jp</v>
      </c>
      <c r="C32803" t="s">
        <v>461</v>
      </c>
      <c r="D32803" t="s">
        <v>837</v>
      </c>
      <c r="F32803">
        <v>3.7972883040633902E-8</v>
      </c>
      <c r="G32803">
        <v>1362856</v>
      </c>
      <c r="H32803">
        <v>13443009</v>
      </c>
      <c r="I32803">
        <v>10242592</v>
      </c>
      <c r="J32803">
        <v>3</v>
      </c>
    </row>
    <row r="32804" spans="1:10" x14ac:dyDescent="0.25">
      <c r="A32804" t="s">
        <v>364</v>
      </c>
      <c r="B32804" s="1" t="str">
        <f>HYPERLINK("http://smbc.co.jp","smbc.co.jp")</f>
        <v>smbc.co.jp</v>
      </c>
      <c r="C32804" t="s">
        <v>461</v>
      </c>
      <c r="D32804" t="s">
        <v>837</v>
      </c>
      <c r="E32804">
        <v>18357</v>
      </c>
      <c r="F32804">
        <v>1.34292801534467E-6</v>
      </c>
      <c r="G32804">
        <v>28946</v>
      </c>
      <c r="H32804">
        <v>17447700</v>
      </c>
      <c r="I32804">
        <v>16287</v>
      </c>
      <c r="J32804">
        <v>3</v>
      </c>
    </row>
    <row r="32805" spans="1:10" x14ac:dyDescent="0.25">
      <c r="A32805" t="s">
        <v>364</v>
      </c>
      <c r="B32805" s="1" t="str">
        <f>HYPERLINK("http://smbc-friend.co.jp","smbc-friend.co.jp")</f>
        <v>smbc-friend.co.jp</v>
      </c>
      <c r="C32805" t="s">
        <v>461</v>
      </c>
      <c r="D32805" t="s">
        <v>837</v>
      </c>
      <c r="F32805">
        <v>8.4544951662183903E-9</v>
      </c>
      <c r="G32805">
        <v>8933930</v>
      </c>
      <c r="H32805">
        <v>14105388</v>
      </c>
      <c r="I32805">
        <v>2691085</v>
      </c>
      <c r="J32805">
        <v>3</v>
      </c>
    </row>
    <row r="32806" spans="1:10" x14ac:dyDescent="0.25">
      <c r="A32806" t="s">
        <v>364</v>
      </c>
      <c r="B32806" s="1" t="str">
        <f>HYPERLINK("http://smbc-green.co.jp","smbc-green.co.jp")</f>
        <v>smbc-green.co.jp</v>
      </c>
      <c r="C32806" t="s">
        <v>461</v>
      </c>
      <c r="D32806" t="s">
        <v>837</v>
      </c>
      <c r="F32806">
        <v>5.2614122204805898E-9</v>
      </c>
      <c r="G32806">
        <v>24083039</v>
      </c>
      <c r="H32806">
        <v>10520922</v>
      </c>
      <c r="I32806">
        <v>49043488</v>
      </c>
      <c r="J32806">
        <v>3</v>
      </c>
    </row>
    <row r="32807" spans="1:10" x14ac:dyDescent="0.25">
      <c r="A32807" t="s">
        <v>364</v>
      </c>
      <c r="B32807" s="1" t="str">
        <f>HYPERLINK("http://smbc-ps.co.jp","smbc-ps.co.jp")</f>
        <v>smbc-ps.co.jp</v>
      </c>
      <c r="C32807" t="s">
        <v>461</v>
      </c>
      <c r="D32807" t="s">
        <v>837</v>
      </c>
      <c r="J32807">
        <v>3</v>
      </c>
    </row>
    <row r="32808" spans="1:10" x14ac:dyDescent="0.25">
      <c r="A32808" t="s">
        <v>364</v>
      </c>
      <c r="B32808" s="1" t="str">
        <f>HYPERLINK("http://smbc-vc.co.jp","smbc-vc.co.jp")</f>
        <v>smbc-vc.co.jp</v>
      </c>
      <c r="C32808" t="s">
        <v>461</v>
      </c>
      <c r="D32808" t="s">
        <v>837</v>
      </c>
      <c r="F32808">
        <v>1.6935604880051099E-8</v>
      </c>
      <c r="G32808">
        <v>3298705</v>
      </c>
      <c r="H32808">
        <v>13275334</v>
      </c>
      <c r="I32808">
        <v>10932895</v>
      </c>
      <c r="J32808">
        <v>3</v>
      </c>
    </row>
    <row r="32809" spans="1:10" x14ac:dyDescent="0.25">
      <c r="A32809" t="s">
        <v>364</v>
      </c>
      <c r="B32809" s="1" t="str">
        <f>HYPERLINK("http://smbchc.co.jp","smbchc.co.jp")</f>
        <v>smbchc.co.jp</v>
      </c>
      <c r="C32809" t="s">
        <v>461</v>
      </c>
      <c r="D32809" t="s">
        <v>837</v>
      </c>
      <c r="F32809">
        <v>7.7614262176997305E-9</v>
      </c>
      <c r="G32809">
        <v>10411250</v>
      </c>
      <c r="H32809">
        <v>11579798</v>
      </c>
      <c r="I32809">
        <v>29946228</v>
      </c>
      <c r="J32809">
        <v>3</v>
      </c>
    </row>
    <row r="32810" spans="1:10" x14ac:dyDescent="0.25">
      <c r="A32810" t="s">
        <v>364</v>
      </c>
      <c r="B32810" s="1" t="str">
        <f>HYPERLINK("http://smbcnikko.co.jp","smbcnikko.co.jp")</f>
        <v>smbcnikko.co.jp</v>
      </c>
      <c r="C32810" t="s">
        <v>461</v>
      </c>
      <c r="D32810" t="s">
        <v>837</v>
      </c>
      <c r="E32810">
        <v>47226</v>
      </c>
      <c r="F32810">
        <v>4.1971229248286701E-7</v>
      </c>
      <c r="G32810">
        <v>89720</v>
      </c>
      <c r="H32810">
        <v>16984418</v>
      </c>
      <c r="I32810">
        <v>97511</v>
      </c>
      <c r="J32810">
        <v>3</v>
      </c>
    </row>
    <row r="32811" spans="1:10" x14ac:dyDescent="0.25">
      <c r="A32811" t="s">
        <v>364</v>
      </c>
      <c r="B32811" s="1" t="str">
        <f>HYPERLINK("http://smbctb.co.jp","smbctb.co.jp")</f>
        <v>smbctb.co.jp</v>
      </c>
      <c r="C32811" t="s">
        <v>461</v>
      </c>
      <c r="D32811" t="s">
        <v>837</v>
      </c>
      <c r="E32811">
        <v>195091</v>
      </c>
      <c r="F32811">
        <v>7.6510207409999295E-8</v>
      </c>
      <c r="G32811">
        <v>548277</v>
      </c>
      <c r="H32811">
        <v>14157075</v>
      </c>
      <c r="I32811">
        <v>1850310</v>
      </c>
      <c r="J32811">
        <v>3</v>
      </c>
    </row>
    <row r="32812" spans="1:10" x14ac:dyDescent="0.25">
      <c r="A32812" t="s">
        <v>364</v>
      </c>
      <c r="B32812" s="1" t="str">
        <f>HYPERLINK("http://smd-am.co.jp","smd-am.co.jp")</f>
        <v>smd-am.co.jp</v>
      </c>
      <c r="C32812" t="s">
        <v>461</v>
      </c>
      <c r="D32812" t="s">
        <v>837</v>
      </c>
      <c r="E32812">
        <v>395365</v>
      </c>
      <c r="F32812">
        <v>1.0897020333575E-7</v>
      </c>
      <c r="G32812">
        <v>367130</v>
      </c>
      <c r="H32812">
        <v>14286373</v>
      </c>
      <c r="I32812">
        <v>1370927</v>
      </c>
      <c r="J32812">
        <v>3</v>
      </c>
    </row>
    <row r="32813" spans="1:10" x14ac:dyDescent="0.25">
      <c r="A32813" t="s">
        <v>364</v>
      </c>
      <c r="B32813" s="1" t="str">
        <f>HYPERLINK("http://smfg.co.jp","smfg.co.jp")</f>
        <v>smfg.co.jp</v>
      </c>
      <c r="C32813" t="s">
        <v>461</v>
      </c>
      <c r="D32813" t="s">
        <v>837</v>
      </c>
      <c r="E32813">
        <v>220524</v>
      </c>
      <c r="F32813">
        <v>2.11434434764493E-7</v>
      </c>
      <c r="G32813">
        <v>178718</v>
      </c>
      <c r="H32813">
        <v>14746702</v>
      </c>
      <c r="I32813">
        <v>564971</v>
      </c>
      <c r="J32813">
        <v>1</v>
      </c>
    </row>
    <row r="32814" spans="1:10" x14ac:dyDescent="0.25">
      <c r="A32814" t="s">
        <v>364</v>
      </c>
      <c r="B32814" s="1" t="str">
        <f>HYPERLINK("http://smfl.co.jp","smfl.co.jp")</f>
        <v>smfl.co.jp</v>
      </c>
      <c r="C32814" t="s">
        <v>461</v>
      </c>
      <c r="D32814" t="s">
        <v>837</v>
      </c>
      <c r="E32814">
        <v>253382</v>
      </c>
      <c r="F32814">
        <v>1.34683065764138E-7</v>
      </c>
      <c r="G32814">
        <v>289830</v>
      </c>
      <c r="H32814">
        <v>14112550</v>
      </c>
      <c r="I32814">
        <v>2669391</v>
      </c>
      <c r="J32814">
        <v>3</v>
      </c>
    </row>
    <row r="32815" spans="1:10" x14ac:dyDescent="0.25">
      <c r="A32815" t="s">
        <v>364</v>
      </c>
      <c r="B32815" s="1" t="str">
        <f>HYPERLINK("http://smflc.co.jp","smflc.co.jp")</f>
        <v>smflc.co.jp</v>
      </c>
      <c r="C32815" t="s">
        <v>461</v>
      </c>
      <c r="D32815" t="s">
        <v>837</v>
      </c>
      <c r="F32815">
        <v>5.9953266564874501E-9</v>
      </c>
      <c r="G32815">
        <v>16713317</v>
      </c>
      <c r="H32815">
        <v>12297478</v>
      </c>
      <c r="I32815">
        <v>20916874</v>
      </c>
      <c r="J32815">
        <v>6</v>
      </c>
    </row>
    <row r="32816" spans="1:10" x14ac:dyDescent="0.25">
      <c r="A32816" t="s">
        <v>364</v>
      </c>
      <c r="B32816" s="1" t="str">
        <f>HYPERLINK("http://sumitomocorp.co.jp","sumitomocorp.co.jp")</f>
        <v>sumitomocorp.co.jp</v>
      </c>
      <c r="C32816" t="s">
        <v>461</v>
      </c>
      <c r="D32816" t="s">
        <v>837</v>
      </c>
      <c r="E32816">
        <v>227611</v>
      </c>
      <c r="F32816">
        <v>1.6884717118702899E-7</v>
      </c>
      <c r="G32816">
        <v>229737</v>
      </c>
      <c r="H32816">
        <v>14929833</v>
      </c>
      <c r="I32816">
        <v>447855</v>
      </c>
      <c r="J32816">
        <v>6</v>
      </c>
    </row>
    <row r="32817" spans="1:10" x14ac:dyDescent="0.25">
      <c r="A32817" t="s">
        <v>364</v>
      </c>
      <c r="B32817" s="1" t="str">
        <f>HYPERLINK("http://summit-energy.co.jp","summit-energy.co.jp")</f>
        <v>summit-energy.co.jp</v>
      </c>
      <c r="C32817" t="s">
        <v>461</v>
      </c>
      <c r="D32817" t="s">
        <v>837</v>
      </c>
      <c r="F32817">
        <v>2.8343577580700599E-8</v>
      </c>
      <c r="G32817">
        <v>1815656</v>
      </c>
      <c r="H32817">
        <v>13779218</v>
      </c>
      <c r="I32817">
        <v>6490875</v>
      </c>
      <c r="J32817">
        <v>8</v>
      </c>
    </row>
    <row r="32818" spans="1:10" x14ac:dyDescent="0.25">
      <c r="A32818" t="s">
        <v>364</v>
      </c>
      <c r="B32818" s="1" t="str">
        <f>HYPERLINK("http://summit-mihama-power.co.jp","summit-mihama-power.co.jp")</f>
        <v>summit-mihama-power.co.jp</v>
      </c>
      <c r="C32818" t="s">
        <v>461</v>
      </c>
      <c r="D32818" t="s">
        <v>837</v>
      </c>
      <c r="F32818">
        <v>4.46452096094601E-9</v>
      </c>
      <c r="G32818">
        <v>66395416</v>
      </c>
      <c r="H32818">
        <v>10629575</v>
      </c>
      <c r="I32818">
        <v>44003106</v>
      </c>
      <c r="J32818">
        <v>11</v>
      </c>
    </row>
    <row r="32819" spans="1:10" x14ac:dyDescent="0.25">
      <c r="A32819" t="s">
        <v>364</v>
      </c>
      <c r="B32819" s="1" t="str">
        <f>HYPERLINK("http://summitstore.co.jp","summitstore.co.jp")</f>
        <v>summitstore.co.jp</v>
      </c>
      <c r="C32819" t="s">
        <v>461</v>
      </c>
      <c r="D32819" t="s">
        <v>837</v>
      </c>
      <c r="E32819">
        <v>699269</v>
      </c>
      <c r="F32819">
        <v>6.5368368537383501E-8</v>
      </c>
      <c r="G32819">
        <v>658105</v>
      </c>
      <c r="H32819">
        <v>14193266</v>
      </c>
      <c r="I32819">
        <v>1743295</v>
      </c>
      <c r="J32819">
        <v>7</v>
      </c>
    </row>
    <row r="32820" spans="1:10" x14ac:dyDescent="0.25">
      <c r="A32820" t="s">
        <v>364</v>
      </c>
      <c r="B32820" s="1" t="str">
        <f>HYPERLINK("http://financial-link.jp","financial-link.jp")</f>
        <v>financial-link.jp</v>
      </c>
      <c r="C32820" t="s">
        <v>461</v>
      </c>
      <c r="D32820" t="s">
        <v>837</v>
      </c>
      <c r="F32820">
        <v>4.4746736790324701E-9</v>
      </c>
      <c r="G32820">
        <v>63483723</v>
      </c>
      <c r="H32820">
        <v>12145245</v>
      </c>
      <c r="I32820">
        <v>24741350</v>
      </c>
      <c r="J32820">
        <v>3</v>
      </c>
    </row>
    <row r="32821" spans="1:10" x14ac:dyDescent="0.25">
      <c r="A32821" t="s">
        <v>364</v>
      </c>
      <c r="B32821" s="1" t="str">
        <f>HYPERLINK("http://joe-cloud.jp","joe-cloud.jp")</f>
        <v>joe-cloud.jp</v>
      </c>
      <c r="C32821" t="s">
        <v>461</v>
      </c>
      <c r="D32821" t="s">
        <v>837</v>
      </c>
      <c r="J32821">
        <v>9</v>
      </c>
    </row>
    <row r="32822" spans="1:10" x14ac:dyDescent="0.25">
      <c r="A32822" t="s">
        <v>364</v>
      </c>
      <c r="B32822" s="1" t="str">
        <f>HYPERLINK("http://minefocus.jp","minefocus.jp")</f>
        <v>minefocus.jp</v>
      </c>
      <c r="C32822" t="s">
        <v>461</v>
      </c>
      <c r="D32822" t="s">
        <v>837</v>
      </c>
      <c r="J32822">
        <v>9</v>
      </c>
    </row>
    <row r="32823" spans="1:10" x14ac:dyDescent="0.25">
      <c r="A32823" t="s">
        <v>364</v>
      </c>
      <c r="B32823" s="1" t="str">
        <f>HYPERLINK("http://mobit.ne.jp","mobit.ne.jp")</f>
        <v>mobit.ne.jp</v>
      </c>
      <c r="C32823" t="s">
        <v>461</v>
      </c>
      <c r="D32823" t="s">
        <v>837</v>
      </c>
      <c r="E32823">
        <v>443979</v>
      </c>
      <c r="F32823">
        <v>8.9166860939042605E-8</v>
      </c>
      <c r="G32823">
        <v>458353</v>
      </c>
      <c r="H32823">
        <v>14460132</v>
      </c>
      <c r="I32823">
        <v>1047293</v>
      </c>
      <c r="J32823">
        <v>3</v>
      </c>
    </row>
    <row r="32824" spans="1:10" x14ac:dyDescent="0.25">
      <c r="A32824" t="s">
        <v>364</v>
      </c>
      <c r="B32824" s="1" t="str">
        <f>HYPERLINK("http://sakura-utopia.jp","sakura-utopia.jp")</f>
        <v>sakura-utopia.jp</v>
      </c>
      <c r="C32824" t="s">
        <v>461</v>
      </c>
      <c r="D32824" t="s">
        <v>837</v>
      </c>
      <c r="F32824">
        <v>4.44381528729582E-9</v>
      </c>
      <c r="G32824">
        <v>79414578</v>
      </c>
      <c r="H32824">
        <v>10358497</v>
      </c>
      <c r="I32824">
        <v>55400413</v>
      </c>
      <c r="J32824">
        <v>4</v>
      </c>
    </row>
    <row r="32825" spans="1:10" x14ac:dyDescent="0.25">
      <c r="A32825" t="s">
        <v>364</v>
      </c>
      <c r="B32825" s="1" t="str">
        <f>HYPERLINK("http://scclubqa.jp","scclubqa.jp")</f>
        <v>scclubqa.jp</v>
      </c>
      <c r="C32825" t="s">
        <v>461</v>
      </c>
      <c r="D32825" t="s">
        <v>837</v>
      </c>
      <c r="J32825">
        <v>7</v>
      </c>
    </row>
    <row r="32826" spans="1:10" x14ac:dyDescent="0.25">
      <c r="A32826" t="s">
        <v>364</v>
      </c>
      <c r="B32826" s="1" t="str">
        <f>HYPERLINK("http://scsk.jp","scsk.jp")</f>
        <v>scsk.jp</v>
      </c>
      <c r="C32826" t="s">
        <v>461</v>
      </c>
      <c r="D32826" t="s">
        <v>837</v>
      </c>
      <c r="E32826">
        <v>71164</v>
      </c>
      <c r="F32826">
        <v>1.3227366695785201E-6</v>
      </c>
      <c r="G32826">
        <v>29356</v>
      </c>
      <c r="H32826">
        <v>16030379</v>
      </c>
      <c r="I32826">
        <v>366228</v>
      </c>
      <c r="J32826">
        <v>7</v>
      </c>
    </row>
    <row r="32827" spans="1:10" x14ac:dyDescent="0.25">
      <c r="A32827" t="s">
        <v>364</v>
      </c>
      <c r="B32827" s="1" t="str">
        <f>HYPERLINK("http://smbcls.jp","smbcls.jp")</f>
        <v>smbcls.jp</v>
      </c>
      <c r="C32827" t="s">
        <v>461</v>
      </c>
      <c r="D32827" t="s">
        <v>837</v>
      </c>
      <c r="F32827">
        <v>4.4532195787639203E-9</v>
      </c>
      <c r="G32827">
        <v>70256564</v>
      </c>
      <c r="H32827">
        <v>9765305</v>
      </c>
      <c r="I32827">
        <v>62860669</v>
      </c>
      <c r="J32827">
        <v>4</v>
      </c>
    </row>
    <row r="32828" spans="1:10" x14ac:dyDescent="0.25">
      <c r="A32828" t="s">
        <v>364</v>
      </c>
      <c r="B32828" s="1" t="str">
        <f>HYPERLINK("http://smfl.jp","smfl.jp")</f>
        <v>smfl.jp</v>
      </c>
      <c r="C32828" t="s">
        <v>461</v>
      </c>
      <c r="D32828" t="s">
        <v>837</v>
      </c>
      <c r="F32828">
        <v>4.8404060260679801E-9</v>
      </c>
      <c r="G32828">
        <v>34464556</v>
      </c>
      <c r="H32828">
        <v>9451832</v>
      </c>
      <c r="I32828">
        <v>66488320</v>
      </c>
      <c r="J32828">
        <v>4</v>
      </c>
    </row>
    <row r="32829" spans="1:10" x14ac:dyDescent="0.25">
      <c r="A32829" t="s">
        <v>364</v>
      </c>
      <c r="B32829" s="1" t="str">
        <f>HYPERLINK("http://smflqa.jp","smflqa.jp")</f>
        <v>smflqa.jp</v>
      </c>
      <c r="C32829" t="s">
        <v>461</v>
      </c>
      <c r="D32829" t="s">
        <v>837</v>
      </c>
      <c r="J32829">
        <v>7</v>
      </c>
    </row>
    <row r="32830" spans="1:10" x14ac:dyDescent="0.25">
      <c r="A32830" t="s">
        <v>364</v>
      </c>
      <c r="B32830" s="1" t="str">
        <f>HYPERLINK("http://smile-system.jp","smile-system.jp")</f>
        <v>smile-system.jp</v>
      </c>
      <c r="C32830" t="s">
        <v>461</v>
      </c>
      <c r="D32830" t="s">
        <v>837</v>
      </c>
      <c r="J32830">
        <v>4</v>
      </c>
    </row>
    <row r="32831" spans="1:10" x14ac:dyDescent="0.25">
      <c r="A32831" t="s">
        <v>364</v>
      </c>
      <c r="B32831" s="1" t="str">
        <f>HYPERLINK("http://summit-energy.jp","summit-energy.jp")</f>
        <v>summit-energy.jp</v>
      </c>
      <c r="C32831" t="s">
        <v>461</v>
      </c>
      <c r="D32831" t="s">
        <v>837</v>
      </c>
      <c r="F32831">
        <v>6.42801381767456E-9</v>
      </c>
      <c r="G32831">
        <v>14390179</v>
      </c>
      <c r="H32831">
        <v>12880844</v>
      </c>
      <c r="I32831">
        <v>13996020</v>
      </c>
      <c r="J32831">
        <v>9</v>
      </c>
    </row>
    <row r="32832" spans="1:10" x14ac:dyDescent="0.25">
      <c r="A32832" t="s">
        <v>364</v>
      </c>
      <c r="B32832" s="1" t="str">
        <f>HYPERLINK("http://summitstore.jp","summitstore.jp")</f>
        <v>summitstore.jp</v>
      </c>
      <c r="C32832" t="s">
        <v>461</v>
      </c>
      <c r="D32832" t="s">
        <v>837</v>
      </c>
      <c r="F32832">
        <v>6.5019608658892198E-9</v>
      </c>
      <c r="G32832">
        <v>14069891</v>
      </c>
      <c r="H32832">
        <v>12766284</v>
      </c>
      <c r="I32832">
        <v>14875762</v>
      </c>
      <c r="J32832">
        <v>8</v>
      </c>
    </row>
    <row r="32833" spans="1:10" x14ac:dyDescent="0.25">
      <c r="A32833" t="s">
        <v>364</v>
      </c>
      <c r="B32833" s="1" t="str">
        <f>HYPERLINK("http://acledabank.com.kh","acledabank.com.kh")</f>
        <v>acledabank.com.kh</v>
      </c>
      <c r="C32833" t="s">
        <v>512</v>
      </c>
      <c r="D32833" t="s">
        <v>886</v>
      </c>
      <c r="E32833">
        <v>301406</v>
      </c>
      <c r="F32833">
        <v>6.8643190045024396E-8</v>
      </c>
      <c r="G32833">
        <v>619843</v>
      </c>
      <c r="H32833">
        <v>14561876</v>
      </c>
      <c r="I32833">
        <v>744446</v>
      </c>
      <c r="J32833">
        <v>3</v>
      </c>
    </row>
    <row r="32834" spans="1:10" x14ac:dyDescent="0.25">
      <c r="A32834" t="s">
        <v>364</v>
      </c>
      <c r="B32834" s="1" t="str">
        <f>HYPERLINK("http://acleda-aib.edu.kh","acleda-aib.edu.kh")</f>
        <v>acleda-aib.edu.kh</v>
      </c>
      <c r="C32834" t="s">
        <v>512</v>
      </c>
      <c r="D32834" t="s">
        <v>886</v>
      </c>
      <c r="F32834">
        <v>5.2621605679353098E-9</v>
      </c>
      <c r="G32834">
        <v>24071787</v>
      </c>
      <c r="H32834">
        <v>12120690</v>
      </c>
      <c r="I32834">
        <v>25387492</v>
      </c>
      <c r="J32834">
        <v>4</v>
      </c>
    </row>
    <row r="32835" spans="1:10" x14ac:dyDescent="0.25">
      <c r="A32835" t="s">
        <v>364</v>
      </c>
      <c r="B32835" s="1" t="str">
        <f>HYPERLINK("http://acledabank.com.la","acledabank.com.la")</f>
        <v>acledabank.com.la</v>
      </c>
      <c r="C32835" t="s">
        <v>595</v>
      </c>
      <c r="D32835" t="s">
        <v>930</v>
      </c>
      <c r="F32835">
        <v>1.05323966198042E-8</v>
      </c>
      <c r="G32835">
        <v>6241879</v>
      </c>
      <c r="H32835">
        <v>11354137</v>
      </c>
      <c r="I32835">
        <v>30378993</v>
      </c>
      <c r="J32835">
        <v>4</v>
      </c>
    </row>
    <row r="32836" spans="1:10" x14ac:dyDescent="0.25">
      <c r="A32836" t="s">
        <v>364</v>
      </c>
      <c r="B32836" s="1" t="str">
        <f>HYPERLINK("http://nikkobank.lu","nikkobank.lu")</f>
        <v>nikkobank.lu</v>
      </c>
      <c r="C32836" t="s">
        <v>547</v>
      </c>
      <c r="D32836" t="s">
        <v>904</v>
      </c>
      <c r="F32836">
        <v>5.03314043876086E-9</v>
      </c>
      <c r="G32836">
        <v>28597694</v>
      </c>
      <c r="H32836">
        <v>10830948</v>
      </c>
      <c r="I32836">
        <v>37371640</v>
      </c>
      <c r="J32836">
        <v>5</v>
      </c>
    </row>
    <row r="32837" spans="1:10" x14ac:dyDescent="0.25">
      <c r="A32837" t="s">
        <v>364</v>
      </c>
      <c r="B32837" s="1" t="str">
        <f>HYPERLINK("http://hkbea.com.mo","hkbea.com.mo")</f>
        <v>hkbea.com.mo</v>
      </c>
      <c r="C32837" t="s">
        <v>548</v>
      </c>
      <c r="D32837" t="s">
        <v>905</v>
      </c>
      <c r="F32837">
        <v>2.8061975713615099E-8</v>
      </c>
      <c r="G32837">
        <v>1833413</v>
      </c>
      <c r="H32837">
        <v>14071870</v>
      </c>
      <c r="I32837">
        <v>3260920</v>
      </c>
      <c r="J32837">
        <v>5</v>
      </c>
    </row>
    <row r="32838" spans="1:10" x14ac:dyDescent="0.25">
      <c r="A32838" t="s">
        <v>364</v>
      </c>
      <c r="B32838" s="1" t="str">
        <f>HYPERLINK("http://diversifiedcpc.net","diversifiedcpc.net")</f>
        <v>diversifiedcpc.net</v>
      </c>
      <c r="C32838" t="s">
        <v>474</v>
      </c>
      <c r="F32838">
        <v>4.7721311181020297E-9</v>
      </c>
      <c r="G32838">
        <v>37286846</v>
      </c>
      <c r="H32838">
        <v>10521899</v>
      </c>
      <c r="I32838">
        <v>49016366</v>
      </c>
      <c r="J32838">
        <v>9</v>
      </c>
    </row>
    <row r="32839" spans="1:10" x14ac:dyDescent="0.25">
      <c r="A32839" t="s">
        <v>364</v>
      </c>
      <c r="B32839" s="1" t="str">
        <f>HYPERLINK("http://aimopark.no","aimopark.no")</f>
        <v>aimopark.no</v>
      </c>
      <c r="C32839" t="s">
        <v>478</v>
      </c>
      <c r="D32839" t="s">
        <v>853</v>
      </c>
      <c r="F32839">
        <v>4.9977332885674602E-8</v>
      </c>
      <c r="G32839">
        <v>921872</v>
      </c>
      <c r="H32839">
        <v>13422090</v>
      </c>
      <c r="I32839">
        <v>10301259</v>
      </c>
      <c r="J32839">
        <v>9</v>
      </c>
    </row>
    <row r="32840" spans="1:10" x14ac:dyDescent="0.25">
      <c r="A32840" t="s">
        <v>364</v>
      </c>
      <c r="B32840" s="1" t="str">
        <f>HYPERLINK("http://petroleumservices.no","petroleumservices.no")</f>
        <v>petroleumservices.no</v>
      </c>
      <c r="C32840" t="s">
        <v>478</v>
      </c>
      <c r="D32840" t="s">
        <v>853</v>
      </c>
      <c r="F32840">
        <v>4.5009082198181198E-9</v>
      </c>
      <c r="G32840">
        <v>58816531</v>
      </c>
      <c r="H32840">
        <v>8151268.5</v>
      </c>
      <c r="I32840">
        <v>74915146</v>
      </c>
      <c r="J32840">
        <v>13</v>
      </c>
    </row>
    <row r="32841" spans="1:10" x14ac:dyDescent="0.25">
      <c r="A32841" t="s">
        <v>364</v>
      </c>
      <c r="B32841" s="1" t="str">
        <f>HYPERLINK("http://sumiagro.pl","sumiagro.pl")</f>
        <v>sumiagro.pl</v>
      </c>
      <c r="C32841" t="s">
        <v>486</v>
      </c>
      <c r="D32841" t="s">
        <v>860</v>
      </c>
      <c r="F32841">
        <v>2.5966464752527799E-8</v>
      </c>
      <c r="G32841">
        <v>1984336</v>
      </c>
      <c r="H32841">
        <v>12337348</v>
      </c>
      <c r="I32841">
        <v>20062069</v>
      </c>
      <c r="J32841">
        <v>9</v>
      </c>
    </row>
    <row r="32842" spans="1:10" x14ac:dyDescent="0.25">
      <c r="A32842" t="s">
        <v>364</v>
      </c>
      <c r="B32842" s="1" t="str">
        <f>HYPERLINK("http://sarom.ro","sarom.ro")</f>
        <v>sarom.ro</v>
      </c>
      <c r="C32842" t="s">
        <v>491</v>
      </c>
      <c r="D32842" t="s">
        <v>865</v>
      </c>
      <c r="F32842">
        <v>4.86791384322908E-9</v>
      </c>
      <c r="G32842">
        <v>33493201</v>
      </c>
      <c r="H32842">
        <v>10529001</v>
      </c>
      <c r="I32842">
        <v>48544030</v>
      </c>
      <c r="J32842">
        <v>8</v>
      </c>
    </row>
    <row r="32843" spans="1:10" x14ac:dyDescent="0.25">
      <c r="A32843" t="s">
        <v>364</v>
      </c>
      <c r="B32843" s="1" t="str">
        <f>HYPERLINK("http://smbcr-bank.ru","smbcr-bank.ru")</f>
        <v>smbcr-bank.ru</v>
      </c>
      <c r="C32843" t="s">
        <v>493</v>
      </c>
      <c r="D32843" t="s">
        <v>867</v>
      </c>
      <c r="F32843">
        <v>2.2671979331229299E-8</v>
      </c>
      <c r="G32843">
        <v>2309822</v>
      </c>
      <c r="H32843">
        <v>12569939</v>
      </c>
      <c r="I32843">
        <v>16626354</v>
      </c>
      <c r="J32843">
        <v>3</v>
      </c>
    </row>
    <row r="32844" spans="1:10" x14ac:dyDescent="0.25">
      <c r="A32844" t="s">
        <v>364</v>
      </c>
      <c r="B32844" s="1" t="str">
        <f>HYPERLINK("http://aimopark.se","aimopark.se")</f>
        <v>aimopark.se</v>
      </c>
      <c r="C32844" t="s">
        <v>495</v>
      </c>
      <c r="D32844" t="s">
        <v>869</v>
      </c>
      <c r="E32844">
        <v>917492</v>
      </c>
      <c r="F32844">
        <v>1.2260739776943199E-7</v>
      </c>
      <c r="G32844">
        <v>321968</v>
      </c>
      <c r="H32844">
        <v>17092244</v>
      </c>
      <c r="I32844">
        <v>65433</v>
      </c>
      <c r="J32844">
        <v>9</v>
      </c>
    </row>
    <row r="32845" spans="1:10" x14ac:dyDescent="0.25">
      <c r="A32845" t="s">
        <v>364</v>
      </c>
      <c r="B32845" s="1" t="str">
        <f>HYPERLINK("http://q-park.se","q-park.se")</f>
        <v>q-park.se</v>
      </c>
      <c r="C32845" t="s">
        <v>495</v>
      </c>
      <c r="D32845" t="s">
        <v>869</v>
      </c>
      <c r="F32845">
        <v>2.33514556532063E-8</v>
      </c>
      <c r="G32845">
        <v>2233558</v>
      </c>
      <c r="H32845">
        <v>14123833</v>
      </c>
      <c r="I32845">
        <v>2162001</v>
      </c>
      <c r="J32845">
        <v>12</v>
      </c>
    </row>
    <row r="32846" spans="1:10" x14ac:dyDescent="0.25">
      <c r="A32846" t="s">
        <v>364</v>
      </c>
      <c r="B32846" s="1" t="str">
        <f>HYPERLINK("http://hkbea.com.sg","hkbea.com.sg")</f>
        <v>hkbea.com.sg</v>
      </c>
      <c r="C32846" t="s">
        <v>496</v>
      </c>
      <c r="D32846" t="s">
        <v>870</v>
      </c>
      <c r="F32846">
        <v>1.8127299299774999E-8</v>
      </c>
      <c r="G32846">
        <v>3004324</v>
      </c>
      <c r="H32846">
        <v>12920549</v>
      </c>
      <c r="I32846">
        <v>13431751</v>
      </c>
      <c r="J32846">
        <v>5</v>
      </c>
    </row>
    <row r="32847" spans="1:10" x14ac:dyDescent="0.25">
      <c r="A32847" t="s">
        <v>364</v>
      </c>
      <c r="B32847" s="1" t="str">
        <f>HYPERLINK("http://hkbea.com.tw","hkbea.com.tw")</f>
        <v>hkbea.com.tw</v>
      </c>
      <c r="C32847" t="s">
        <v>504</v>
      </c>
      <c r="D32847" t="s">
        <v>878</v>
      </c>
      <c r="F32847">
        <v>1.7617239622445399E-8</v>
      </c>
      <c r="G32847">
        <v>3115088</v>
      </c>
      <c r="H32847">
        <v>14143608</v>
      </c>
      <c r="I32847">
        <v>1911844</v>
      </c>
      <c r="J32847">
        <v>5</v>
      </c>
    </row>
    <row r="32848" spans="1:10" x14ac:dyDescent="0.25">
      <c r="A32848" t="s">
        <v>364</v>
      </c>
      <c r="B32848" s="1" t="str">
        <f>HYPERLINK("http://hkbea.co.uk","hkbea.co.uk")</f>
        <v>hkbea.co.uk</v>
      </c>
      <c r="C32848" t="s">
        <v>506</v>
      </c>
      <c r="D32848" t="s">
        <v>880</v>
      </c>
      <c r="F32848">
        <v>1.8711915607024201E-8</v>
      </c>
      <c r="G32848">
        <v>2887243</v>
      </c>
      <c r="H32848">
        <v>12440416</v>
      </c>
      <c r="I32848">
        <v>18139868</v>
      </c>
      <c r="J32848">
        <v>5</v>
      </c>
    </row>
    <row r="32849" spans="1:10" x14ac:dyDescent="0.25">
      <c r="A32849" t="s">
        <v>364</v>
      </c>
      <c r="B32849" s="1" t="str">
        <f>HYPERLINK("http://smd-am.co.uk","smd-am.co.uk")</f>
        <v>smd-am.co.uk</v>
      </c>
      <c r="C32849" t="s">
        <v>506</v>
      </c>
      <c r="D32849" t="s">
        <v>880</v>
      </c>
      <c r="F32849">
        <v>6.8951095469128098E-9</v>
      </c>
      <c r="G32849">
        <v>12649934</v>
      </c>
      <c r="H32849">
        <v>11162413</v>
      </c>
      <c r="I32849">
        <v>31605903</v>
      </c>
      <c r="J32849">
        <v>4</v>
      </c>
    </row>
    <row r="32850" spans="1:10" x14ac:dyDescent="0.25">
      <c r="A32850" t="s">
        <v>364</v>
      </c>
      <c r="B32850" s="1" t="str">
        <f>HYPERLINK("http://fecredit.com.vn","fecredit.com.vn")</f>
        <v>fecredit.com.vn</v>
      </c>
      <c r="C32850" t="s">
        <v>509</v>
      </c>
      <c r="D32850" t="s">
        <v>883</v>
      </c>
      <c r="E32850">
        <v>451975</v>
      </c>
      <c r="F32850">
        <v>2.9011318893346601E-7</v>
      </c>
      <c r="G32850">
        <v>128256</v>
      </c>
      <c r="H32850">
        <v>16967124</v>
      </c>
      <c r="I32850">
        <v>103629</v>
      </c>
      <c r="J32850">
        <v>3</v>
      </c>
    </row>
    <row r="32851" spans="1:10" x14ac:dyDescent="0.25">
      <c r="A32851" t="s">
        <v>364</v>
      </c>
      <c r="B32851" s="1" t="str">
        <f>HYPERLINK("http://vpbank.com.vn","vpbank.com.vn")</f>
        <v>vpbank.com.vn</v>
      </c>
      <c r="C32851" t="s">
        <v>509</v>
      </c>
      <c r="D32851" t="s">
        <v>883</v>
      </c>
      <c r="E32851">
        <v>101600</v>
      </c>
      <c r="F32851">
        <v>6.7184200612126503E-7</v>
      </c>
      <c r="G32851">
        <v>57328</v>
      </c>
      <c r="H32851">
        <v>17232072</v>
      </c>
      <c r="I32851">
        <v>36603</v>
      </c>
      <c r="J32851">
        <v>6</v>
      </c>
    </row>
    <row r="32852" spans="1:10" x14ac:dyDescent="0.25">
      <c r="A32852" t="s">
        <v>1654</v>
      </c>
      <c r="B32852" s="1" t="str">
        <f>HYPERLINK("http://domaincarpark.com.au","domaincarpark.com.au")</f>
        <v>domaincarpark.com.au</v>
      </c>
      <c r="C32852" t="s">
        <v>420</v>
      </c>
      <c r="D32852" t="s">
        <v>802</v>
      </c>
      <c r="F32852">
        <v>1.7470567100610199E-8</v>
      </c>
      <c r="G32852">
        <v>3153180</v>
      </c>
      <c r="H32852">
        <v>14489274</v>
      </c>
      <c r="I32852">
        <v>923912</v>
      </c>
      <c r="J32852">
        <v>5</v>
      </c>
    </row>
    <row r="32853" spans="1:10" x14ac:dyDescent="0.25">
      <c r="A32853" t="s">
        <v>1654</v>
      </c>
      <c r="B32853" s="1" t="str">
        <f>HYPERLINK("http://wilsonparking.com.au","wilsonparking.com.au")</f>
        <v>wilsonparking.com.au</v>
      </c>
      <c r="C32853" t="s">
        <v>420</v>
      </c>
      <c r="D32853" t="s">
        <v>802</v>
      </c>
      <c r="E32853">
        <v>239277</v>
      </c>
      <c r="F32853">
        <v>4.9150293665926399E-7</v>
      </c>
      <c r="G32853">
        <v>77604</v>
      </c>
      <c r="H32853">
        <v>13954774</v>
      </c>
      <c r="I32853">
        <v>4142684</v>
      </c>
      <c r="J32853">
        <v>5</v>
      </c>
    </row>
    <row r="32854" spans="1:10" x14ac:dyDescent="0.25">
      <c r="A32854" t="s">
        <v>1654</v>
      </c>
      <c r="B32854" s="1" t="str">
        <f>HYPERLINK("http://hkbac.com","hkbac.com")</f>
        <v>hkbac.com</v>
      </c>
      <c r="C32854" t="s">
        <v>433</v>
      </c>
      <c r="F32854">
        <v>1.03446145462262E-8</v>
      </c>
      <c r="G32854">
        <v>6409652</v>
      </c>
      <c r="H32854">
        <v>12291997</v>
      </c>
      <c r="I32854">
        <v>21059471</v>
      </c>
      <c r="J32854">
        <v>2</v>
      </c>
    </row>
    <row r="32855" spans="1:10" x14ac:dyDescent="0.25">
      <c r="A32855" t="s">
        <v>1654</v>
      </c>
      <c r="B32855" s="1" t="str">
        <f>HYPERLINK("http://shkp.com","shkp.com")</f>
        <v>shkp.com</v>
      </c>
      <c r="C32855" t="s">
        <v>433</v>
      </c>
      <c r="E32855">
        <v>217459</v>
      </c>
      <c r="F32855">
        <v>4.2167331189238599E-7</v>
      </c>
      <c r="G32855">
        <v>89325</v>
      </c>
      <c r="H32855">
        <v>17275956</v>
      </c>
      <c r="I32855">
        <v>30614</v>
      </c>
      <c r="J32855">
        <v>1</v>
      </c>
    </row>
    <row r="32856" spans="1:10" x14ac:dyDescent="0.25">
      <c r="A32856" t="s">
        <v>1654</v>
      </c>
      <c r="B32856" s="1" t="str">
        <f>HYPERLINK("http://smartone.com","smartone.com")</f>
        <v>smartone.com</v>
      </c>
      <c r="C32856" t="s">
        <v>433</v>
      </c>
      <c r="E32856">
        <v>133515</v>
      </c>
      <c r="F32856">
        <v>2.1230881858013901E-7</v>
      </c>
      <c r="G32856">
        <v>177899</v>
      </c>
      <c r="H32856">
        <v>17201336</v>
      </c>
      <c r="I32856">
        <v>41568</v>
      </c>
      <c r="J32856">
        <v>4</v>
      </c>
    </row>
    <row r="32857" spans="1:10" x14ac:dyDescent="0.25">
      <c r="A32857" t="s">
        <v>1654</v>
      </c>
      <c r="B32857" s="1" t="str">
        <f>HYPERLINK("http://smartoneholdings.com","smartoneholdings.com")</f>
        <v>smartoneholdings.com</v>
      </c>
      <c r="C32857" t="s">
        <v>433</v>
      </c>
      <c r="F32857">
        <v>4.5850301491179401E-8</v>
      </c>
      <c r="G32857">
        <v>1024642</v>
      </c>
      <c r="H32857">
        <v>14097620</v>
      </c>
      <c r="I32857">
        <v>2720405</v>
      </c>
      <c r="J32857">
        <v>3</v>
      </c>
    </row>
    <row r="32858" spans="1:10" x14ac:dyDescent="0.25">
      <c r="A32858" t="s">
        <v>1654</v>
      </c>
      <c r="B32858" s="1" t="str">
        <f>HYPERLINK("http://sunevision.com","sunevision.com")</f>
        <v>sunevision.com</v>
      </c>
      <c r="C32858" t="s">
        <v>433</v>
      </c>
      <c r="F32858">
        <v>3.0266771832328402E-7</v>
      </c>
      <c r="G32858">
        <v>122858</v>
      </c>
      <c r="H32858">
        <v>14041402</v>
      </c>
      <c r="I32858">
        <v>3907285</v>
      </c>
      <c r="J32858">
        <v>4</v>
      </c>
    </row>
    <row r="32859" spans="1:10" x14ac:dyDescent="0.25">
      <c r="A32859" t="s">
        <v>1654</v>
      </c>
      <c r="B32859" s="1" t="str">
        <f>HYPERLINK("http://wtcchk.com","wtcchk.com")</f>
        <v>wtcchk.com</v>
      </c>
      <c r="C32859" t="s">
        <v>433</v>
      </c>
      <c r="F32859">
        <v>7.7814281642833498E-9</v>
      </c>
      <c r="G32859">
        <v>10365074</v>
      </c>
      <c r="H32859">
        <v>12315946</v>
      </c>
      <c r="I32859">
        <v>20498683</v>
      </c>
      <c r="J32859">
        <v>3</v>
      </c>
    </row>
    <row r="32860" spans="1:10" x14ac:dyDescent="0.25">
      <c r="A32860" t="s">
        <v>1654</v>
      </c>
      <c r="B32860" s="1" t="str">
        <f>HYPERLINK("http://affc.com.hk","affc.com.hk")</f>
        <v>affc.com.hk</v>
      </c>
      <c r="C32860" t="s">
        <v>450</v>
      </c>
      <c r="D32860" t="s">
        <v>827</v>
      </c>
      <c r="F32860">
        <v>7.5071603460396706E-9</v>
      </c>
      <c r="G32860">
        <v>10997960</v>
      </c>
      <c r="H32860">
        <v>12267092</v>
      </c>
      <c r="I32860">
        <v>21592685</v>
      </c>
      <c r="J32860">
        <v>3</v>
      </c>
    </row>
    <row r="32861" spans="1:10" x14ac:dyDescent="0.25">
      <c r="A32861" t="s">
        <v>1654</v>
      </c>
      <c r="B32861" s="1" t="str">
        <f>HYPERLINK("http://hongyip.com.hk","hongyip.com.hk")</f>
        <v>hongyip.com.hk</v>
      </c>
      <c r="C32861" t="s">
        <v>450</v>
      </c>
      <c r="D32861" t="s">
        <v>827</v>
      </c>
      <c r="F32861">
        <v>8.6252828520193194E-9</v>
      </c>
      <c r="G32861">
        <v>8610638</v>
      </c>
      <c r="H32861">
        <v>14143442</v>
      </c>
      <c r="I32861">
        <v>1913412</v>
      </c>
      <c r="J32861">
        <v>3</v>
      </c>
    </row>
    <row r="32862" spans="1:10" x14ac:dyDescent="0.25">
      <c r="A32862" t="s">
        <v>1654</v>
      </c>
      <c r="B32862" s="1" t="str">
        <f>HYPERLINK("http://kmb.com.hk","kmb.com.hk")</f>
        <v>kmb.com.hk</v>
      </c>
      <c r="C32862" t="s">
        <v>450</v>
      </c>
      <c r="D32862" t="s">
        <v>827</v>
      </c>
      <c r="F32862">
        <v>2.9829011656043299E-8</v>
      </c>
      <c r="G32862">
        <v>1725427</v>
      </c>
      <c r="H32862">
        <v>14484840</v>
      </c>
      <c r="I32862">
        <v>1021001</v>
      </c>
      <c r="J32862">
        <v>6</v>
      </c>
    </row>
    <row r="32863" spans="1:10" x14ac:dyDescent="0.25">
      <c r="A32863" t="s">
        <v>1654</v>
      </c>
      <c r="B32863" s="1" t="str">
        <f>HYPERLINK("http://nixon.com.hk","nixon.com.hk")</f>
        <v>nixon.com.hk</v>
      </c>
      <c r="C32863" t="s">
        <v>450</v>
      </c>
      <c r="D32863" t="s">
        <v>827</v>
      </c>
      <c r="F32863">
        <v>4.9388651849891497E-9</v>
      </c>
      <c r="G32863">
        <v>31124410</v>
      </c>
      <c r="H32863">
        <v>12242957</v>
      </c>
      <c r="I32863">
        <v>22172846</v>
      </c>
      <c r="J32863">
        <v>3</v>
      </c>
    </row>
    <row r="32864" spans="1:10" x14ac:dyDescent="0.25">
      <c r="A32864" t="s">
        <v>1654</v>
      </c>
      <c r="B32864" s="1" t="str">
        <f>HYPERLINK("http://pitcl.com.hk","pitcl.com.hk")</f>
        <v>pitcl.com.hk</v>
      </c>
      <c r="C32864" t="s">
        <v>450</v>
      </c>
      <c r="D32864" t="s">
        <v>827</v>
      </c>
      <c r="F32864">
        <v>3.5831989847603999E-8</v>
      </c>
      <c r="G32864">
        <v>1453610</v>
      </c>
      <c r="H32864">
        <v>14292002</v>
      </c>
      <c r="I32864">
        <v>1364594</v>
      </c>
      <c r="J32864">
        <v>4</v>
      </c>
    </row>
    <row r="32865" spans="1:10" x14ac:dyDescent="0.25">
      <c r="A32865" t="s">
        <v>1654</v>
      </c>
      <c r="B32865" s="1" t="str">
        <f>HYPERLINK("http://route3cps.com.hk","route3cps.com.hk")</f>
        <v>route3cps.com.hk</v>
      </c>
      <c r="C32865" t="s">
        <v>450</v>
      </c>
      <c r="D32865" t="s">
        <v>827</v>
      </c>
      <c r="F32865">
        <v>1.44771025156464E-8</v>
      </c>
      <c r="G32865">
        <v>4030407</v>
      </c>
      <c r="H32865">
        <v>14072186</v>
      </c>
      <c r="I32865">
        <v>3141193</v>
      </c>
      <c r="J32865">
        <v>3</v>
      </c>
    </row>
    <row r="32866" spans="1:10" x14ac:dyDescent="0.25">
      <c r="A32866" t="s">
        <v>1654</v>
      </c>
      <c r="B32866" s="1" t="str">
        <f>HYPERLINK("http://wilsonparking.com.hk","wilsonparking.com.hk")</f>
        <v>wilsonparking.com.hk</v>
      </c>
      <c r="C32866" t="s">
        <v>450</v>
      </c>
      <c r="D32866" t="s">
        <v>827</v>
      </c>
      <c r="F32866">
        <v>2.7318495494586101E-8</v>
      </c>
      <c r="G32866">
        <v>1881849</v>
      </c>
      <c r="H32866">
        <v>13856132</v>
      </c>
      <c r="I32866">
        <v>6044590</v>
      </c>
      <c r="J32866">
        <v>4</v>
      </c>
    </row>
    <row r="32867" spans="1:10" x14ac:dyDescent="0.25">
      <c r="A32867" t="s">
        <v>1654</v>
      </c>
      <c r="B32867" s="1" t="str">
        <f>HYPERLINK("http://kmb.hk","kmb.hk")</f>
        <v>kmb.hk</v>
      </c>
      <c r="C32867" t="s">
        <v>450</v>
      </c>
      <c r="D32867" t="s">
        <v>827</v>
      </c>
      <c r="E32867">
        <v>147556</v>
      </c>
      <c r="F32867">
        <v>2.1211730825828001E-7</v>
      </c>
      <c r="G32867">
        <v>178063</v>
      </c>
      <c r="H32867">
        <v>15002367</v>
      </c>
      <c r="I32867">
        <v>425218</v>
      </c>
      <c r="J32867">
        <v>5</v>
      </c>
    </row>
    <row r="32868" spans="1:10" x14ac:dyDescent="0.25">
      <c r="A32868" t="s">
        <v>1654</v>
      </c>
      <c r="B32868" s="1" t="str">
        <f>HYPERLINK("http://lwb.hk","lwb.hk")</f>
        <v>lwb.hk</v>
      </c>
      <c r="C32868" t="s">
        <v>450</v>
      </c>
      <c r="D32868" t="s">
        <v>827</v>
      </c>
      <c r="F32868">
        <v>9.66924447330723E-8</v>
      </c>
      <c r="G32868">
        <v>418052</v>
      </c>
      <c r="H32868">
        <v>14190636</v>
      </c>
      <c r="I32868">
        <v>1753088</v>
      </c>
      <c r="J32868">
        <v>5</v>
      </c>
    </row>
    <row r="32869" spans="1:10" x14ac:dyDescent="0.25">
      <c r="A32869" t="s">
        <v>1654</v>
      </c>
      <c r="B32869" s="1" t="str">
        <f>HYPERLINK("http://staywithyohomall.hk","staywithyohomall.hk")</f>
        <v>staywithyohomall.hk</v>
      </c>
      <c r="C32869" t="s">
        <v>450</v>
      </c>
      <c r="D32869" t="s">
        <v>827</v>
      </c>
      <c r="F32869">
        <v>4.5903444111798703E-9</v>
      </c>
      <c r="G32869">
        <v>48378157</v>
      </c>
      <c r="H32869">
        <v>10561901</v>
      </c>
      <c r="I32869">
        <v>46328496</v>
      </c>
      <c r="J32869">
        <v>2</v>
      </c>
    </row>
    <row r="32870" spans="1:10" x14ac:dyDescent="0.25">
      <c r="A32870" t="s">
        <v>1654</v>
      </c>
      <c r="B32870" s="1" t="str">
        <f>HYPERLINK("http://tih.hk","tih.hk")</f>
        <v>tih.hk</v>
      </c>
      <c r="C32870" t="s">
        <v>450</v>
      </c>
      <c r="D32870" t="s">
        <v>827</v>
      </c>
      <c r="F32870">
        <v>2.7647882271153E-8</v>
      </c>
      <c r="G32870">
        <v>1859679</v>
      </c>
      <c r="H32870">
        <v>14072758</v>
      </c>
      <c r="I32870">
        <v>3048046</v>
      </c>
      <c r="J32870">
        <v>4</v>
      </c>
    </row>
    <row r="32871" spans="1:10" x14ac:dyDescent="0.25">
      <c r="A32871" t="s">
        <v>1654</v>
      </c>
      <c r="B32871" s="1" t="str">
        <f>HYPERLINK("http://yata.hk","yata.hk")</f>
        <v>yata.hk</v>
      </c>
      <c r="C32871" t="s">
        <v>450</v>
      </c>
      <c r="D32871" t="s">
        <v>827</v>
      </c>
      <c r="F32871">
        <v>8.5474038282725404E-8</v>
      </c>
      <c r="G32871">
        <v>482210</v>
      </c>
      <c r="H32871">
        <v>14244911</v>
      </c>
      <c r="I32871">
        <v>1469332</v>
      </c>
      <c r="J32871">
        <v>4</v>
      </c>
    </row>
    <row r="32872" spans="1:10" x14ac:dyDescent="0.25">
      <c r="A32872" t="s">
        <v>1654</v>
      </c>
      <c r="B32872" s="1" t="str">
        <f>HYPERLINK("http://smcn3a.net","smcn3a.net")</f>
        <v>smcn3a.net</v>
      </c>
      <c r="C32872" t="s">
        <v>474</v>
      </c>
      <c r="E32872">
        <v>390722</v>
      </c>
      <c r="F32872">
        <v>4.44381528729582E-9</v>
      </c>
      <c r="G32872">
        <v>79423282</v>
      </c>
      <c r="H32872">
        <v>10358497</v>
      </c>
      <c r="I32872">
        <v>55410210</v>
      </c>
      <c r="J32872">
        <v>6</v>
      </c>
    </row>
    <row r="32873" spans="1:10" x14ac:dyDescent="0.25">
      <c r="A32873" t="s">
        <v>1654</v>
      </c>
      <c r="B32873" s="1" t="str">
        <f>HYPERLINK("http://wilsonparking.co.nz","wilsonparking.co.nz")</f>
        <v>wilsonparking.co.nz</v>
      </c>
      <c r="C32873" t="s">
        <v>479</v>
      </c>
      <c r="D32873" t="s">
        <v>854</v>
      </c>
      <c r="F32873">
        <v>2.0594638178871502E-8</v>
      </c>
      <c r="G32873">
        <v>2571242</v>
      </c>
      <c r="H32873">
        <v>13048115</v>
      </c>
      <c r="I32873">
        <v>12597075</v>
      </c>
      <c r="J32873">
        <v>5</v>
      </c>
    </row>
    <row r="32874" spans="1:10" x14ac:dyDescent="0.25">
      <c r="A32874" t="s">
        <v>1655</v>
      </c>
      <c r="B32874" s="1" t="str">
        <f>HYPERLINK("http://petro-canada.ca","petro-canada.ca")</f>
        <v>petro-canada.ca</v>
      </c>
      <c r="C32874" t="s">
        <v>428</v>
      </c>
      <c r="D32874" t="s">
        <v>809</v>
      </c>
      <c r="E32874">
        <v>127023</v>
      </c>
      <c r="F32874">
        <v>3.8585728547563397E-7</v>
      </c>
      <c r="G32874">
        <v>97072</v>
      </c>
      <c r="H32874">
        <v>17277532</v>
      </c>
      <c r="I32874">
        <v>30427</v>
      </c>
      <c r="J32874">
        <v>3</v>
      </c>
    </row>
    <row r="32875" spans="1:10" x14ac:dyDescent="0.25">
      <c r="A32875" t="s">
        <v>1655</v>
      </c>
      <c r="B32875" s="1" t="str">
        <f>HYPERLINK("http://cdnoilsands.com","cdnoilsands.com")</f>
        <v>cdnoilsands.com</v>
      </c>
      <c r="C32875" t="s">
        <v>433</v>
      </c>
      <c r="F32875">
        <v>1.2015117177322301E-8</v>
      </c>
      <c r="G32875">
        <v>5165801</v>
      </c>
      <c r="H32875">
        <v>14248736</v>
      </c>
      <c r="I32875">
        <v>1451956</v>
      </c>
      <c r="J32875">
        <v>2</v>
      </c>
    </row>
    <row r="32876" spans="1:10" x14ac:dyDescent="0.25">
      <c r="A32876" t="s">
        <v>1655</v>
      </c>
      <c r="B32876" s="1" t="str">
        <f>HYPERLINK("http://petro-canada.com","petro-canada.com")</f>
        <v>petro-canada.com</v>
      </c>
      <c r="C32876" t="s">
        <v>433</v>
      </c>
      <c r="E32876">
        <v>702149</v>
      </c>
      <c r="F32876">
        <v>1.2173663701390501E-7</v>
      </c>
      <c r="G32876">
        <v>324381</v>
      </c>
      <c r="H32876">
        <v>12648974</v>
      </c>
      <c r="I32876">
        <v>15808770</v>
      </c>
      <c r="J32876">
        <v>2</v>
      </c>
    </row>
    <row r="32877" spans="1:10" x14ac:dyDescent="0.25">
      <c r="A32877" t="s">
        <v>1655</v>
      </c>
      <c r="B32877" s="1" t="str">
        <f>HYPERLINK("http://suncor.com","suncor.com")</f>
        <v>suncor.com</v>
      </c>
      <c r="C32877" t="s">
        <v>433</v>
      </c>
      <c r="E32877">
        <v>115300</v>
      </c>
      <c r="F32877">
        <v>4.7442176943560802E-7</v>
      </c>
      <c r="G32877">
        <v>80052</v>
      </c>
      <c r="H32877">
        <v>15132467</v>
      </c>
      <c r="I32877">
        <v>402115</v>
      </c>
      <c r="J32877">
        <v>1</v>
      </c>
    </row>
    <row r="32878" spans="1:10" x14ac:dyDescent="0.25">
      <c r="A32878" t="s">
        <v>1655</v>
      </c>
      <c r="B32878" s="1" t="str">
        <f>HYPERLINK("http://petro-canada.de","petro-canada.de")</f>
        <v>petro-canada.de</v>
      </c>
      <c r="C32878" t="s">
        <v>436</v>
      </c>
      <c r="D32878" t="s">
        <v>815</v>
      </c>
      <c r="F32878">
        <v>4.4486740421266403E-9</v>
      </c>
      <c r="G32878">
        <v>72710512</v>
      </c>
      <c r="H32878">
        <v>9886631</v>
      </c>
      <c r="I32878">
        <v>61816676</v>
      </c>
      <c r="J32878">
        <v>4</v>
      </c>
    </row>
    <row r="32879" spans="1:10" x14ac:dyDescent="0.25">
      <c r="A32879" t="s">
        <v>1655</v>
      </c>
      <c r="B32879" s="1" t="str">
        <f>HYPERLINK("http://petro-canada.fi","petro-canada.fi")</f>
        <v>petro-canada.fi</v>
      </c>
      <c r="C32879" t="s">
        <v>445</v>
      </c>
      <c r="D32879" t="s">
        <v>823</v>
      </c>
      <c r="J32879">
        <v>2</v>
      </c>
    </row>
    <row r="32880" spans="1:10" x14ac:dyDescent="0.25">
      <c r="A32880" t="s">
        <v>1655</v>
      </c>
      <c r="B32880" s="1" t="str">
        <f>HYPERLINK("http://petrocanada.fi","petrocanada.fi")</f>
        <v>petrocanada.fi</v>
      </c>
      <c r="C32880" t="s">
        <v>445</v>
      </c>
      <c r="D32880" t="s">
        <v>823</v>
      </c>
      <c r="J32880">
        <v>2</v>
      </c>
    </row>
    <row r="32881" spans="1:10" x14ac:dyDescent="0.25">
      <c r="A32881" t="s">
        <v>365</v>
      </c>
      <c r="B32881" s="1" t="str">
        <f>HYPERLINK("http://synopsys.am","synopsys.am")</f>
        <v>synopsys.am</v>
      </c>
      <c r="C32881" t="s">
        <v>565</v>
      </c>
      <c r="D32881" t="s">
        <v>913</v>
      </c>
      <c r="F32881">
        <v>7.1853292143533904E-9</v>
      </c>
      <c r="G32881">
        <v>11782482</v>
      </c>
      <c r="H32881">
        <v>12527241</v>
      </c>
      <c r="I32881">
        <v>17071772</v>
      </c>
      <c r="J32881">
        <v>2</v>
      </c>
    </row>
    <row r="32882" spans="1:10" x14ac:dyDescent="0.25">
      <c r="A32882" t="s">
        <v>365</v>
      </c>
      <c r="B32882" s="1" t="str">
        <f>HYPERLINK("http://arc.com","arc.com")</f>
        <v>arc.com</v>
      </c>
      <c r="C32882" t="s">
        <v>433</v>
      </c>
      <c r="F32882">
        <v>1.6498417440548599E-8</v>
      </c>
      <c r="G32882">
        <v>3413957</v>
      </c>
      <c r="H32882">
        <v>14266735</v>
      </c>
      <c r="I32882">
        <v>1406484</v>
      </c>
      <c r="J32882">
        <v>4</v>
      </c>
    </row>
    <row r="32883" spans="1:10" x14ac:dyDescent="0.25">
      <c r="A32883" t="s">
        <v>365</v>
      </c>
      <c r="B32883" s="1" t="str">
        <f>HYPERLINK("http://blackducksoftware.com","blackducksoftware.com")</f>
        <v>blackducksoftware.com</v>
      </c>
      <c r="C32883" t="s">
        <v>433</v>
      </c>
      <c r="E32883">
        <v>203875</v>
      </c>
      <c r="F32883">
        <v>1.0416981278423101E-6</v>
      </c>
      <c r="G32883">
        <v>36803</v>
      </c>
      <c r="H32883">
        <v>17287498</v>
      </c>
      <c r="I32883">
        <v>29307</v>
      </c>
      <c r="J32883">
        <v>3</v>
      </c>
    </row>
    <row r="32884" spans="1:10" x14ac:dyDescent="0.25">
      <c r="A32884" t="s">
        <v>365</v>
      </c>
      <c r="B32884" s="1" t="str">
        <f>HYPERLINK("http://extreme-da.com","extreme-da.com")</f>
        <v>extreme-da.com</v>
      </c>
      <c r="C32884" t="s">
        <v>433</v>
      </c>
      <c r="F32884">
        <v>7.6420989690386793E-9</v>
      </c>
      <c r="G32884">
        <v>10701942</v>
      </c>
      <c r="H32884">
        <v>13362998</v>
      </c>
      <c r="I32884">
        <v>10499546</v>
      </c>
      <c r="J32884">
        <v>4</v>
      </c>
    </row>
    <row r="32885" spans="1:10" x14ac:dyDescent="0.25">
      <c r="A32885" t="s">
        <v>365</v>
      </c>
      <c r="B32885" s="1" t="str">
        <f>HYPERLINK("http://synopsys.com","synopsys.com")</f>
        <v>synopsys.com</v>
      </c>
      <c r="C32885" t="s">
        <v>433</v>
      </c>
      <c r="E32885">
        <v>8895</v>
      </c>
      <c r="F32885">
        <v>6.32048062910471E-6</v>
      </c>
      <c r="G32885">
        <v>5395</v>
      </c>
      <c r="H32885">
        <v>17800402</v>
      </c>
      <c r="I32885">
        <v>5582</v>
      </c>
      <c r="J32885">
        <v>1</v>
      </c>
    </row>
    <row r="32886" spans="1:10" x14ac:dyDescent="0.25">
      <c r="A32886" t="s">
        <v>365</v>
      </c>
      <c r="B32886" s="1" t="str">
        <f>HYPERLINK("http://synopsys.fi","synopsys.fi")</f>
        <v>synopsys.fi</v>
      </c>
      <c r="C32886" t="s">
        <v>445</v>
      </c>
      <c r="D32886" t="s">
        <v>823</v>
      </c>
      <c r="J32886">
        <v>2</v>
      </c>
    </row>
    <row r="32887" spans="1:10" x14ac:dyDescent="0.25">
      <c r="A32887" t="s">
        <v>365</v>
      </c>
      <c r="B32887" s="1" t="str">
        <f>HYPERLINK("http://synopsys.co.jp","synopsys.co.jp")</f>
        <v>synopsys.co.jp</v>
      </c>
      <c r="C32887" t="s">
        <v>461</v>
      </c>
      <c r="D32887" t="s">
        <v>837</v>
      </c>
      <c r="F32887">
        <v>7.7021399763549496E-9</v>
      </c>
      <c r="G32887">
        <v>10566666</v>
      </c>
      <c r="H32887">
        <v>12531759</v>
      </c>
      <c r="I32887">
        <v>17018722</v>
      </c>
      <c r="J32887">
        <v>2</v>
      </c>
    </row>
    <row r="32888" spans="1:10" x14ac:dyDescent="0.25">
      <c r="A32888" t="s">
        <v>365</v>
      </c>
      <c r="B32888" s="1" t="str">
        <f>HYPERLINK("http://lymans.net","lymans.net")</f>
        <v>lymans.net</v>
      </c>
      <c r="C32888" t="s">
        <v>474</v>
      </c>
      <c r="F32888">
        <v>4.7870740521847897E-9</v>
      </c>
      <c r="G32888">
        <v>36668543</v>
      </c>
      <c r="H32888">
        <v>12072185</v>
      </c>
      <c r="I32888">
        <v>26746478</v>
      </c>
      <c r="J32888">
        <v>3</v>
      </c>
    </row>
    <row r="32889" spans="1:10" x14ac:dyDescent="0.25">
      <c r="A32889" t="s">
        <v>365</v>
      </c>
      <c r="B32889" s="1" t="str">
        <f>HYPERLINK("http://synopsys.com.tw","synopsys.com.tw")</f>
        <v>synopsys.com.tw</v>
      </c>
      <c r="C32889" t="s">
        <v>504</v>
      </c>
      <c r="D32889" t="s">
        <v>878</v>
      </c>
      <c r="F32889">
        <v>7.5196164549383293E-9</v>
      </c>
      <c r="G32889">
        <v>10969882</v>
      </c>
      <c r="H32889">
        <v>12426067</v>
      </c>
      <c r="I32889">
        <v>18362404</v>
      </c>
      <c r="J32889">
        <v>2</v>
      </c>
    </row>
    <row r="32890" spans="1:10" x14ac:dyDescent="0.25">
      <c r="A32890" t="s">
        <v>1656</v>
      </c>
      <c r="B32890" s="1" t="str">
        <f>HYPERLINK("http://davigel.be","davigel.be")</f>
        <v>davigel.be</v>
      </c>
      <c r="C32890" t="s">
        <v>421</v>
      </c>
      <c r="D32890" t="s">
        <v>803</v>
      </c>
      <c r="F32890">
        <v>6.1702935994150196E-9</v>
      </c>
      <c r="G32890">
        <v>15691225</v>
      </c>
      <c r="H32890">
        <v>10805697</v>
      </c>
      <c r="I32890">
        <v>37992797</v>
      </c>
      <c r="J32890">
        <v>4</v>
      </c>
    </row>
    <row r="32891" spans="1:10" x14ac:dyDescent="0.25">
      <c r="A32891" t="s">
        <v>1656</v>
      </c>
      <c r="B32891" s="1" t="str">
        <f>HYPERLINK("http://guestsupply.ca","guestsupply.ca")</f>
        <v>guestsupply.ca</v>
      </c>
      <c r="C32891" t="s">
        <v>428</v>
      </c>
      <c r="D32891" t="s">
        <v>809</v>
      </c>
      <c r="F32891">
        <v>7.2045545858658202E-9</v>
      </c>
      <c r="G32891">
        <v>11728267</v>
      </c>
      <c r="H32891">
        <v>12341772</v>
      </c>
      <c r="I32891">
        <v>19918345</v>
      </c>
      <c r="J32891">
        <v>4</v>
      </c>
    </row>
    <row r="32892" spans="1:10" x14ac:dyDescent="0.25">
      <c r="A32892" t="s">
        <v>1656</v>
      </c>
      <c r="B32892" s="1" t="str">
        <f>HYPERLINK("http://sysco.ca","sysco.ca")</f>
        <v>sysco.ca</v>
      </c>
      <c r="C32892" t="s">
        <v>428</v>
      </c>
      <c r="D32892" t="s">
        <v>809</v>
      </c>
      <c r="E32892">
        <v>302814</v>
      </c>
      <c r="F32892">
        <v>1.0856501652045E-7</v>
      </c>
      <c r="G32892">
        <v>368593</v>
      </c>
      <c r="H32892">
        <v>16877894</v>
      </c>
      <c r="I32892">
        <v>140572</v>
      </c>
      <c r="J32892">
        <v>2</v>
      </c>
    </row>
    <row r="32893" spans="1:10" x14ac:dyDescent="0.25">
      <c r="A32893" t="s">
        <v>1656</v>
      </c>
      <c r="B32893" s="1" t="str">
        <f>HYPERLINK("http://syscosource.ca","syscosource.ca")</f>
        <v>syscosource.ca</v>
      </c>
      <c r="C32893" t="s">
        <v>428</v>
      </c>
      <c r="D32893" t="s">
        <v>809</v>
      </c>
      <c r="F32893">
        <v>8.1570861091756705E-9</v>
      </c>
      <c r="G32893">
        <v>9644150</v>
      </c>
      <c r="H32893">
        <v>12052047</v>
      </c>
      <c r="I32893">
        <v>27190696</v>
      </c>
      <c r="J32893">
        <v>2</v>
      </c>
    </row>
    <row r="32894" spans="1:10" x14ac:dyDescent="0.25">
      <c r="A32894" t="s">
        <v>1656</v>
      </c>
      <c r="B32894" s="1" t="str">
        <f>HYPERLINK("http://apperts.com","apperts.com")</f>
        <v>apperts.com</v>
      </c>
      <c r="C32894" t="s">
        <v>433</v>
      </c>
      <c r="F32894">
        <v>4.74222318793696E-9</v>
      </c>
      <c r="G32894">
        <v>38693090</v>
      </c>
      <c r="H32894">
        <v>11871030</v>
      </c>
      <c r="I32894">
        <v>29667809</v>
      </c>
      <c r="J32894">
        <v>4</v>
      </c>
    </row>
    <row r="32895" spans="1:10" x14ac:dyDescent="0.25">
      <c r="A32895" t="s">
        <v>1656</v>
      </c>
      <c r="B32895" s="1" t="str">
        <f>HYPERLINK("http://brakesgroup.com","brakesgroup.com")</f>
        <v>brakesgroup.com</v>
      </c>
      <c r="C32895" t="s">
        <v>433</v>
      </c>
      <c r="F32895">
        <v>6.5201067206611899E-9</v>
      </c>
      <c r="G32895">
        <v>13995097</v>
      </c>
      <c r="H32895">
        <v>12488216</v>
      </c>
      <c r="I32895">
        <v>17508612</v>
      </c>
      <c r="J32895">
        <v>6</v>
      </c>
    </row>
    <row r="32896" spans="1:10" x14ac:dyDescent="0.25">
      <c r="A32896" t="s">
        <v>1656</v>
      </c>
      <c r="B32896" s="1" t="str">
        <f>HYPERLINK("http://crown1enterprises.com","crown1enterprises.com")</f>
        <v>crown1enterprises.com</v>
      </c>
      <c r="C32896" t="s">
        <v>433</v>
      </c>
      <c r="F32896">
        <v>4.4736107919321097E-9</v>
      </c>
      <c r="G32896">
        <v>63714338</v>
      </c>
      <c r="H32896">
        <v>9318312</v>
      </c>
      <c r="I32896">
        <v>68325765</v>
      </c>
      <c r="J32896">
        <v>3</v>
      </c>
    </row>
    <row r="32897" spans="1:10" x14ac:dyDescent="0.25">
      <c r="A32897" t="s">
        <v>1656</v>
      </c>
      <c r="B32897" s="1" t="str">
        <f>HYPERLINK("http://freshpoint.com","freshpoint.com")</f>
        <v>freshpoint.com</v>
      </c>
      <c r="C32897" t="s">
        <v>433</v>
      </c>
      <c r="E32897">
        <v>522849</v>
      </c>
      <c r="F32897">
        <v>7.1336140314862796E-8</v>
      </c>
      <c r="G32897">
        <v>592532</v>
      </c>
      <c r="H32897">
        <v>14870553</v>
      </c>
      <c r="I32897">
        <v>478649</v>
      </c>
      <c r="J32897">
        <v>3</v>
      </c>
    </row>
    <row r="32898" spans="1:10" x14ac:dyDescent="0.25">
      <c r="A32898" t="s">
        <v>1656</v>
      </c>
      <c r="B32898" s="1" t="str">
        <f>HYPERLINK("http://gilchristsoames.com","gilchristsoames.com")</f>
        <v>gilchristsoames.com</v>
      </c>
      <c r="C32898" t="s">
        <v>433</v>
      </c>
      <c r="F32898">
        <v>3.9778300391714797E-8</v>
      </c>
      <c r="G32898">
        <v>1298726</v>
      </c>
      <c r="H32898">
        <v>14296326</v>
      </c>
      <c r="I32898">
        <v>1360020</v>
      </c>
      <c r="J32898">
        <v>3</v>
      </c>
    </row>
    <row r="32899" spans="1:10" x14ac:dyDescent="0.25">
      <c r="A32899" t="s">
        <v>1656</v>
      </c>
      <c r="B32899" s="1" t="str">
        <f>HYPERLINK("http://guestsupply.com","guestsupply.com")</f>
        <v>guestsupply.com</v>
      </c>
      <c r="C32899" t="s">
        <v>433</v>
      </c>
      <c r="E32899">
        <v>458104</v>
      </c>
      <c r="F32899">
        <v>6.69286800311331E-8</v>
      </c>
      <c r="G32899">
        <v>639370</v>
      </c>
      <c r="H32899">
        <v>13572310</v>
      </c>
      <c r="I32899">
        <v>9715136</v>
      </c>
      <c r="J32899">
        <v>3</v>
      </c>
    </row>
    <row r="32900" spans="1:10" x14ac:dyDescent="0.25">
      <c r="A32900" t="s">
        <v>1656</v>
      </c>
      <c r="B32900" s="1" t="str">
        <f>HYPERLINK("http://guestworldwide.com","guestworldwide.com")</f>
        <v>guestworldwide.com</v>
      </c>
      <c r="C32900" t="s">
        <v>433</v>
      </c>
      <c r="F32900">
        <v>3.25655640346306E-8</v>
      </c>
      <c r="G32900">
        <v>1586613</v>
      </c>
      <c r="H32900">
        <v>13236771</v>
      </c>
      <c r="I32900">
        <v>11238541</v>
      </c>
      <c r="J32900">
        <v>4</v>
      </c>
    </row>
    <row r="32901" spans="1:10" x14ac:dyDescent="0.25">
      <c r="A32901" t="s">
        <v>1656</v>
      </c>
      <c r="B32901" s="1" t="str">
        <f>HYPERLINK("http://ifoodgroup.com","ifoodgroup.com")</f>
        <v>ifoodgroup.com</v>
      </c>
      <c r="C32901" t="s">
        <v>433</v>
      </c>
      <c r="F32901">
        <v>1.01659243887948E-8</v>
      </c>
      <c r="G32901">
        <v>6580453</v>
      </c>
      <c r="H32901">
        <v>12335945</v>
      </c>
      <c r="I32901">
        <v>20086623</v>
      </c>
      <c r="J32901">
        <v>3</v>
      </c>
    </row>
    <row r="32902" spans="1:10" x14ac:dyDescent="0.25">
      <c r="A32902" t="s">
        <v>1656</v>
      </c>
      <c r="B32902" s="1" t="str">
        <f>HYPERLINK("http://lancasterfoods.com","lancasterfoods.com")</f>
        <v>lancasterfoods.com</v>
      </c>
      <c r="C32902" t="s">
        <v>433</v>
      </c>
      <c r="F32902">
        <v>1.18208136046594E-8</v>
      </c>
      <c r="G32902">
        <v>5289128</v>
      </c>
      <c r="H32902">
        <v>12648737</v>
      </c>
      <c r="I32902">
        <v>15810179</v>
      </c>
      <c r="J32902">
        <v>3</v>
      </c>
    </row>
    <row r="32903" spans="1:10" x14ac:dyDescent="0.25">
      <c r="A32903" t="s">
        <v>1656</v>
      </c>
      <c r="B32903" s="1" t="str">
        <f>HYPERLINK("http://manchestermills.com","manchestermills.com")</f>
        <v>manchestermills.com</v>
      </c>
      <c r="C32903" t="s">
        <v>433</v>
      </c>
      <c r="F32903">
        <v>1.7064621101386902E-8</v>
      </c>
      <c r="G32903">
        <v>3268607</v>
      </c>
      <c r="H32903">
        <v>12933035</v>
      </c>
      <c r="I32903">
        <v>13353753</v>
      </c>
      <c r="J32903">
        <v>3</v>
      </c>
    </row>
    <row r="32904" spans="1:10" x14ac:dyDescent="0.25">
      <c r="A32904" t="s">
        <v>1656</v>
      </c>
      <c r="B32904" s="1" t="str">
        <f>HYPERLINK("http://mayca.com","mayca.com")</f>
        <v>mayca.com</v>
      </c>
      <c r="C32904" t="s">
        <v>433</v>
      </c>
      <c r="F32904">
        <v>1.32859048712269E-8</v>
      </c>
      <c r="G32904">
        <v>4499630</v>
      </c>
      <c r="H32904">
        <v>12296793</v>
      </c>
      <c r="I32904">
        <v>20929301</v>
      </c>
      <c r="J32904">
        <v>3</v>
      </c>
    </row>
    <row r="32905" spans="1:10" x14ac:dyDescent="0.25">
      <c r="A32905" t="s">
        <v>1656</v>
      </c>
      <c r="B32905" s="1" t="str">
        <f>HYPERLINK("http://menigo.com","menigo.com")</f>
        <v>menigo.com</v>
      </c>
      <c r="C32905" t="s">
        <v>433</v>
      </c>
      <c r="F32905">
        <v>5.7636488498414503E-9</v>
      </c>
      <c r="G32905">
        <v>18377469</v>
      </c>
      <c r="H32905">
        <v>10608563</v>
      </c>
      <c r="I32905">
        <v>44610604</v>
      </c>
      <c r="J32905">
        <v>4</v>
      </c>
    </row>
    <row r="32906" spans="1:10" x14ac:dyDescent="0.25">
      <c r="A32906" t="s">
        <v>1656</v>
      </c>
      <c r="B32906" s="1" t="str">
        <f>HYPERLINK("http://mjseafood.com","mjseafood.com")</f>
        <v>mjseafood.com</v>
      </c>
      <c r="C32906" t="s">
        <v>433</v>
      </c>
      <c r="F32906">
        <v>3.1787241413469703E-8</v>
      </c>
      <c r="G32906">
        <v>1624586</v>
      </c>
      <c r="H32906">
        <v>12794558</v>
      </c>
      <c r="I32906">
        <v>14665410</v>
      </c>
      <c r="J32906">
        <v>3</v>
      </c>
    </row>
    <row r="32907" spans="1:10" x14ac:dyDescent="0.25">
      <c r="A32907" t="s">
        <v>1656</v>
      </c>
      <c r="B32907" s="1" t="str">
        <f>HYPERLINK("http://northstarseafood.com","northstarseafood.com")</f>
        <v>northstarseafood.com</v>
      </c>
      <c r="C32907" t="s">
        <v>433</v>
      </c>
      <c r="F32907">
        <v>4.8895094880709003E-9</v>
      </c>
      <c r="G32907">
        <v>32782032</v>
      </c>
      <c r="H32907">
        <v>12092034</v>
      </c>
      <c r="I32907">
        <v>26190319</v>
      </c>
      <c r="J32907">
        <v>3</v>
      </c>
    </row>
    <row r="32908" spans="1:10" x14ac:dyDescent="0.25">
      <c r="A32908" t="s">
        <v>1656</v>
      </c>
      <c r="B32908" s="1" t="str">
        <f>HYPERLINK("http://pallasfoods.com","pallasfoods.com")</f>
        <v>pallasfoods.com</v>
      </c>
      <c r="C32908" t="s">
        <v>433</v>
      </c>
      <c r="F32908">
        <v>3.9809948316334897E-8</v>
      </c>
      <c r="G32908">
        <v>1297807</v>
      </c>
      <c r="H32908">
        <v>12475575</v>
      </c>
      <c r="I32908">
        <v>17641337</v>
      </c>
      <c r="J32908">
        <v>7</v>
      </c>
    </row>
    <row r="32909" spans="1:10" x14ac:dyDescent="0.25">
      <c r="A32909" t="s">
        <v>1656</v>
      </c>
      <c r="B32909" s="1" t="str">
        <f>HYPERLINK("http://paragonfoods.com","paragonfoods.com")</f>
        <v>paragonfoods.com</v>
      </c>
      <c r="C32909" t="s">
        <v>433</v>
      </c>
      <c r="F32909">
        <v>4.6925436514572999E-9</v>
      </c>
      <c r="G32909">
        <v>41660188</v>
      </c>
      <c r="H32909">
        <v>10757899</v>
      </c>
      <c r="I32909">
        <v>39705955</v>
      </c>
      <c r="J32909">
        <v>6</v>
      </c>
    </row>
    <row r="32910" spans="1:10" x14ac:dyDescent="0.25">
      <c r="A32910" t="s">
        <v>1656</v>
      </c>
      <c r="B32910" s="1" t="str">
        <f>HYPERLINK("http://rittersysco.com","rittersysco.com")</f>
        <v>rittersysco.com</v>
      </c>
      <c r="C32910" t="s">
        <v>433</v>
      </c>
      <c r="J32910">
        <v>3</v>
      </c>
    </row>
    <row r="32911" spans="1:10" x14ac:dyDescent="0.25">
      <c r="A32911" t="s">
        <v>1656</v>
      </c>
      <c r="B32911" s="1" t="str">
        <f>HYPERLINK("http://sysco.com","sysco.com")</f>
        <v>sysco.com</v>
      </c>
      <c r="C32911" t="s">
        <v>433</v>
      </c>
      <c r="E32911">
        <v>4959</v>
      </c>
      <c r="F32911">
        <v>9.827271908910851E-7</v>
      </c>
      <c r="G32911">
        <v>38922</v>
      </c>
      <c r="H32911">
        <v>17299494</v>
      </c>
      <c r="I32911">
        <v>27958</v>
      </c>
      <c r="J32911">
        <v>1</v>
      </c>
    </row>
    <row r="32912" spans="1:10" x14ac:dyDescent="0.25">
      <c r="A32912" t="s">
        <v>1656</v>
      </c>
      <c r="B32912" s="1" t="str">
        <f>HYPERLINK("http://sysco-jax.com","sysco-jax.com")</f>
        <v>sysco-jax.com</v>
      </c>
      <c r="C32912" t="s">
        <v>433</v>
      </c>
      <c r="F32912">
        <v>5.1063927484140299E-9</v>
      </c>
      <c r="G32912">
        <v>26923396</v>
      </c>
      <c r="H32912">
        <v>12250109</v>
      </c>
      <c r="I32912">
        <v>22012640</v>
      </c>
      <c r="J32912">
        <v>3</v>
      </c>
    </row>
    <row r="32913" spans="1:10" x14ac:dyDescent="0.25">
      <c r="A32913" t="s">
        <v>1656</v>
      </c>
      <c r="B32913" s="1" t="str">
        <f>HYPERLINK("http://syscoatlanta.com","syscoatlanta.com")</f>
        <v>syscoatlanta.com</v>
      </c>
      <c r="C32913" t="s">
        <v>433</v>
      </c>
      <c r="F32913">
        <v>5.5512130357352303E-9</v>
      </c>
      <c r="G32913">
        <v>20365454</v>
      </c>
      <c r="H32913">
        <v>13767833</v>
      </c>
      <c r="I32913">
        <v>6911328</v>
      </c>
      <c r="J32913">
        <v>3</v>
      </c>
    </row>
    <row r="32914" spans="1:10" x14ac:dyDescent="0.25">
      <c r="A32914" t="s">
        <v>1656</v>
      </c>
      <c r="B32914" s="1" t="str">
        <f>HYPERLINK("http://syscobalt.com","syscobalt.com")</f>
        <v>syscobalt.com</v>
      </c>
      <c r="C32914" t="s">
        <v>433</v>
      </c>
      <c r="F32914">
        <v>5.0477912108801204E-9</v>
      </c>
      <c r="G32914">
        <v>28272313</v>
      </c>
      <c r="H32914">
        <v>12154086</v>
      </c>
      <c r="I32914">
        <v>24519187</v>
      </c>
      <c r="J32914">
        <v>3</v>
      </c>
    </row>
    <row r="32915" spans="1:10" x14ac:dyDescent="0.25">
      <c r="A32915" t="s">
        <v>1656</v>
      </c>
      <c r="B32915" s="1" t="str">
        <f>HYPERLINK("http://syscocentralca.com","syscocentralca.com")</f>
        <v>syscocentralca.com</v>
      </c>
      <c r="C32915" t="s">
        <v>433</v>
      </c>
      <c r="J32915">
        <v>3</v>
      </c>
    </row>
    <row r="32916" spans="1:10" x14ac:dyDescent="0.25">
      <c r="A32916" t="s">
        <v>1656</v>
      </c>
      <c r="B32916" s="1" t="str">
        <f>HYPERLINK("http://syscocentralpa.com","syscocentralpa.com")</f>
        <v>syscocentralpa.com</v>
      </c>
      <c r="C32916" t="s">
        <v>433</v>
      </c>
      <c r="F32916">
        <v>5.2840556946919E-9</v>
      </c>
      <c r="G32916">
        <v>23731362</v>
      </c>
      <c r="H32916">
        <v>11320614</v>
      </c>
      <c r="I32916">
        <v>30504170</v>
      </c>
      <c r="J32916">
        <v>3</v>
      </c>
    </row>
    <row r="32917" spans="1:10" x14ac:dyDescent="0.25">
      <c r="A32917" t="s">
        <v>1656</v>
      </c>
      <c r="B32917" s="1" t="str">
        <f>HYPERLINK("http://syscoct.com","syscoct.com")</f>
        <v>syscoct.com</v>
      </c>
      <c r="C32917" t="s">
        <v>433</v>
      </c>
      <c r="F32917">
        <v>4.8150573710758404E-9</v>
      </c>
      <c r="G32917">
        <v>35468517</v>
      </c>
      <c r="H32917">
        <v>10499264</v>
      </c>
      <c r="I32917">
        <v>50475751</v>
      </c>
      <c r="J32917">
        <v>3</v>
      </c>
    </row>
    <row r="32918" spans="1:10" x14ac:dyDescent="0.25">
      <c r="A32918" t="s">
        <v>1656</v>
      </c>
      <c r="B32918" s="1" t="str">
        <f>HYPERLINK("http://syscoeast.com","syscoeast.com")</f>
        <v>syscoeast.com</v>
      </c>
      <c r="C32918" t="s">
        <v>433</v>
      </c>
      <c r="F32918">
        <v>1.04989349524088E-8</v>
      </c>
      <c r="G32918">
        <v>6270467</v>
      </c>
      <c r="H32918">
        <v>12230291</v>
      </c>
      <c r="I32918">
        <v>22496118</v>
      </c>
      <c r="J32918">
        <v>3</v>
      </c>
    </row>
    <row r="32919" spans="1:10" x14ac:dyDescent="0.25">
      <c r="A32919" t="s">
        <v>1656</v>
      </c>
      <c r="B32919" s="1" t="str">
        <f>HYPERLINK("http://syscohamptonroads.com","syscohamptonroads.com")</f>
        <v>syscohamptonroads.com</v>
      </c>
      <c r="C32919" t="s">
        <v>433</v>
      </c>
      <c r="F32919">
        <v>4.6026725520389901E-9</v>
      </c>
      <c r="G32919">
        <v>47401381</v>
      </c>
      <c r="H32919">
        <v>11959382</v>
      </c>
      <c r="I32919">
        <v>28959351</v>
      </c>
      <c r="J32919">
        <v>3</v>
      </c>
    </row>
    <row r="32920" spans="1:10" x14ac:dyDescent="0.25">
      <c r="A32920" t="s">
        <v>1656</v>
      </c>
      <c r="B32920" s="1" t="str">
        <f>HYPERLINK("http://syscoindy.com","syscoindy.com")</f>
        <v>syscoindy.com</v>
      </c>
      <c r="C32920" t="s">
        <v>433</v>
      </c>
      <c r="F32920">
        <v>4.4442410137649197E-9</v>
      </c>
      <c r="G32920">
        <v>77218219</v>
      </c>
      <c r="H32920">
        <v>7361618.5</v>
      </c>
      <c r="I32920">
        <v>76284692</v>
      </c>
      <c r="J32920">
        <v>3</v>
      </c>
    </row>
    <row r="32921" spans="1:10" x14ac:dyDescent="0.25">
      <c r="A32921" t="s">
        <v>1656</v>
      </c>
      <c r="B32921" s="1" t="str">
        <f>HYPERLINK("http://syscoiowa.com","syscoiowa.com")</f>
        <v>syscoiowa.com</v>
      </c>
      <c r="C32921" t="s">
        <v>433</v>
      </c>
      <c r="J32921">
        <v>3</v>
      </c>
    </row>
    <row r="32922" spans="1:10" x14ac:dyDescent="0.25">
      <c r="A32922" t="s">
        <v>1656</v>
      </c>
      <c r="B32922" s="1" t="str">
        <f>HYPERLINK("http://syscojackson.com","syscojackson.com")</f>
        <v>syscojackson.com</v>
      </c>
      <c r="C32922" t="s">
        <v>433</v>
      </c>
      <c r="J32922">
        <v>4</v>
      </c>
    </row>
    <row r="32923" spans="1:10" x14ac:dyDescent="0.25">
      <c r="A32923" t="s">
        <v>1656</v>
      </c>
      <c r="B32923" s="1" t="str">
        <f>HYPERLINK("http://syscoknoxville.com","syscoknoxville.com")</f>
        <v>syscoknoxville.com</v>
      </c>
      <c r="C32923" t="s">
        <v>433</v>
      </c>
      <c r="F32923">
        <v>4.4527577184587098E-9</v>
      </c>
      <c r="G32923">
        <v>70513987</v>
      </c>
      <c r="H32923">
        <v>10684073</v>
      </c>
      <c r="I32923">
        <v>42669351</v>
      </c>
      <c r="J32923">
        <v>3</v>
      </c>
    </row>
    <row r="32924" spans="1:10" x14ac:dyDescent="0.25">
      <c r="A32924" t="s">
        <v>1656</v>
      </c>
      <c r="B32924" s="1" t="str">
        <f>HYPERLINK("http://syscomn.com","syscomn.com")</f>
        <v>syscomn.com</v>
      </c>
      <c r="C32924" t="s">
        <v>433</v>
      </c>
      <c r="F32924">
        <v>5.3333818126131997E-9</v>
      </c>
      <c r="G32924">
        <v>23021911</v>
      </c>
      <c r="H32924">
        <v>10829546</v>
      </c>
      <c r="I32924">
        <v>37404389</v>
      </c>
      <c r="J32924">
        <v>3</v>
      </c>
    </row>
    <row r="32925" spans="1:10" x14ac:dyDescent="0.25">
      <c r="A32925" t="s">
        <v>1656</v>
      </c>
      <c r="B32925" s="1" t="str">
        <f>HYPERLINK("http://sysconne.com","sysconne.com")</f>
        <v>sysconne.com</v>
      </c>
      <c r="C32925" t="s">
        <v>433</v>
      </c>
      <c r="F32925">
        <v>5.5899098388377702E-9</v>
      </c>
      <c r="G32925">
        <v>19956361</v>
      </c>
      <c r="H32925">
        <v>12054080</v>
      </c>
      <c r="I32925">
        <v>27137600</v>
      </c>
      <c r="J32925">
        <v>3</v>
      </c>
    </row>
    <row r="32926" spans="1:10" x14ac:dyDescent="0.25">
      <c r="A32926" t="s">
        <v>1656</v>
      </c>
      <c r="B32926" s="1" t="str">
        <f>HYPERLINK("http://syscoportland.com","syscoportland.com")</f>
        <v>syscoportland.com</v>
      </c>
      <c r="C32926" t="s">
        <v>433</v>
      </c>
      <c r="F32926">
        <v>5.5917070103402198E-9</v>
      </c>
      <c r="G32926">
        <v>19936873</v>
      </c>
      <c r="H32926">
        <v>11424292</v>
      </c>
      <c r="I32926">
        <v>30164644</v>
      </c>
      <c r="J32926">
        <v>3</v>
      </c>
    </row>
    <row r="32927" spans="1:10" x14ac:dyDescent="0.25">
      <c r="A32927" t="s">
        <v>1656</v>
      </c>
      <c r="B32927" s="1" t="str">
        <f>HYPERLINK("http://syscoraleigh.com","syscoraleigh.com")</f>
        <v>syscoraleigh.com</v>
      </c>
      <c r="C32927" t="s">
        <v>433</v>
      </c>
      <c r="F32927">
        <v>4.48463994024285E-9</v>
      </c>
      <c r="G32927">
        <v>61461037</v>
      </c>
      <c r="H32927">
        <v>11957258</v>
      </c>
      <c r="I32927">
        <v>29019189</v>
      </c>
      <c r="J32927">
        <v>4</v>
      </c>
    </row>
    <row r="32928" spans="1:10" x14ac:dyDescent="0.25">
      <c r="A32928" t="s">
        <v>1656</v>
      </c>
      <c r="B32928" s="1" t="str">
        <f>HYPERLINK("http://syscoseattle.com","syscoseattle.com")</f>
        <v>syscoseattle.com</v>
      </c>
      <c r="C32928" t="s">
        <v>433</v>
      </c>
      <c r="F32928">
        <v>5.1140647220517098E-9</v>
      </c>
      <c r="G32928">
        <v>26773369</v>
      </c>
      <c r="H32928">
        <v>12200400</v>
      </c>
      <c r="I32928">
        <v>23309497</v>
      </c>
      <c r="J32928">
        <v>3</v>
      </c>
    </row>
    <row r="32929" spans="1:10" x14ac:dyDescent="0.25">
      <c r="A32929" t="s">
        <v>1656</v>
      </c>
      <c r="B32929" s="1" t="str">
        <f>HYPERLINK("http://syscosef.com","syscosef.com")</f>
        <v>syscosef.com</v>
      </c>
      <c r="C32929" t="s">
        <v>433</v>
      </c>
      <c r="J32929">
        <v>3</v>
      </c>
    </row>
    <row r="32930" spans="1:10" x14ac:dyDescent="0.25">
      <c r="A32930" t="s">
        <v>1656</v>
      </c>
      <c r="B32930" s="1" t="str">
        <f>HYPERLINK("http://syscosf.com","syscosf.com")</f>
        <v>syscosf.com</v>
      </c>
      <c r="C32930" t="s">
        <v>433</v>
      </c>
      <c r="F32930">
        <v>4.7860851148462199E-9</v>
      </c>
      <c r="G32930">
        <v>36708106</v>
      </c>
      <c r="H32930">
        <v>11101517</v>
      </c>
      <c r="I32930">
        <v>32247810</v>
      </c>
      <c r="J32930">
        <v>3</v>
      </c>
    </row>
    <row r="32931" spans="1:10" x14ac:dyDescent="0.25">
      <c r="A32931" t="s">
        <v>1656</v>
      </c>
      <c r="B32931" s="1" t="str">
        <f>HYPERLINK("http://syscosouthflorida.com","syscosouthflorida.com")</f>
        <v>syscosouthflorida.com</v>
      </c>
      <c r="C32931" t="s">
        <v>433</v>
      </c>
      <c r="F32931">
        <v>4.44380395335525E-9</v>
      </c>
      <c r="G32931">
        <v>87453089</v>
      </c>
      <c r="H32931">
        <v>0</v>
      </c>
      <c r="I32931">
        <v>84451244</v>
      </c>
      <c r="J32931">
        <v>3</v>
      </c>
    </row>
    <row r="32932" spans="1:10" x14ac:dyDescent="0.25">
      <c r="A32932" t="s">
        <v>1656</v>
      </c>
      <c r="B32932" s="1" t="str">
        <f>HYPERLINK("http://syscostlouis.com","syscostlouis.com")</f>
        <v>syscostlouis.com</v>
      </c>
      <c r="C32932" t="s">
        <v>433</v>
      </c>
      <c r="J32932">
        <v>3</v>
      </c>
    </row>
    <row r="32933" spans="1:10" x14ac:dyDescent="0.25">
      <c r="A32933" t="s">
        <v>1656</v>
      </c>
      <c r="B32933" s="1" t="str">
        <f>HYPERLINK("http://syscosyracuse.com","syscosyracuse.com")</f>
        <v>syscosyracuse.com</v>
      </c>
      <c r="C32933" t="s">
        <v>433</v>
      </c>
      <c r="F32933">
        <v>4.56142289394445E-9</v>
      </c>
      <c r="G32933">
        <v>51034125</v>
      </c>
      <c r="H32933">
        <v>9978105</v>
      </c>
      <c r="I32933">
        <v>60997354</v>
      </c>
      <c r="J32933">
        <v>3</v>
      </c>
    </row>
    <row r="32934" spans="1:10" x14ac:dyDescent="0.25">
      <c r="A32934" t="s">
        <v>1656</v>
      </c>
      <c r="B32934" s="1" t="str">
        <f>HYPERLINK("http://syscowcf.com","syscowcf.com")</f>
        <v>syscowcf.com</v>
      </c>
      <c r="C32934" t="s">
        <v>433</v>
      </c>
      <c r="F32934">
        <v>4.5028751190717299E-9</v>
      </c>
      <c r="G32934">
        <v>58514406</v>
      </c>
      <c r="H32934">
        <v>10929264</v>
      </c>
      <c r="I32934">
        <v>35083048</v>
      </c>
      <c r="J32934">
        <v>3</v>
      </c>
    </row>
    <row r="32935" spans="1:10" x14ac:dyDescent="0.25">
      <c r="A32935" t="s">
        <v>1656</v>
      </c>
      <c r="B32935" s="1" t="str">
        <f>HYPERLINK("http://walkerfoodsinc.com","walkerfoodsinc.com")</f>
        <v>walkerfoodsinc.com</v>
      </c>
      <c r="C32935" t="s">
        <v>433</v>
      </c>
      <c r="J32935">
        <v>3</v>
      </c>
    </row>
    <row r="32936" spans="1:10" x14ac:dyDescent="0.25">
      <c r="A32936" t="s">
        <v>1656</v>
      </c>
      <c r="B32936" s="1" t="str">
        <f>HYPERLINK("http://pallasfoods.eu","pallasfoods.eu")</f>
        <v>pallasfoods.eu</v>
      </c>
      <c r="C32936" t="s">
        <v>444</v>
      </c>
      <c r="F32936">
        <v>6.7267472209126298E-9</v>
      </c>
      <c r="G32936">
        <v>13208243</v>
      </c>
      <c r="H32936">
        <v>10803517</v>
      </c>
      <c r="I32936">
        <v>38055939</v>
      </c>
      <c r="J32936">
        <v>4</v>
      </c>
    </row>
    <row r="32937" spans="1:10" x14ac:dyDescent="0.25">
      <c r="A32937" t="s">
        <v>1656</v>
      </c>
      <c r="B32937" s="1" t="str">
        <f>HYPERLINK("http://davigel.fr","davigel.fr")</f>
        <v>davigel.fr</v>
      </c>
      <c r="C32937" t="s">
        <v>446</v>
      </c>
      <c r="D32937" t="s">
        <v>824</v>
      </c>
      <c r="F32937">
        <v>1.40733117196063E-8</v>
      </c>
      <c r="G32937">
        <v>4175464</v>
      </c>
      <c r="H32937">
        <v>13782109</v>
      </c>
      <c r="I32937">
        <v>6448632</v>
      </c>
      <c r="J32937">
        <v>3</v>
      </c>
    </row>
    <row r="32938" spans="1:10" x14ac:dyDescent="0.25">
      <c r="A32938" t="s">
        <v>1656</v>
      </c>
      <c r="B32938" s="1" t="str">
        <f>HYPERLINK("http://sysco.fr","sysco.fr")</f>
        <v>sysco.fr</v>
      </c>
      <c r="C32938" t="s">
        <v>446</v>
      </c>
      <c r="D32938" t="s">
        <v>824</v>
      </c>
      <c r="F32938">
        <v>4.6517586556256298E-8</v>
      </c>
      <c r="G32938">
        <v>1005347</v>
      </c>
      <c r="H32938">
        <v>13728237</v>
      </c>
      <c r="I32938">
        <v>9460030</v>
      </c>
      <c r="J32938">
        <v>2</v>
      </c>
    </row>
    <row r="32939" spans="1:10" x14ac:dyDescent="0.25">
      <c r="A32939" t="s">
        <v>1656</v>
      </c>
      <c r="B32939" s="1" t="str">
        <f>HYPERLINK("http://guestsupply.com.hk","guestsupply.com.hk")</f>
        <v>guestsupply.com.hk</v>
      </c>
      <c r="C32939" t="s">
        <v>450</v>
      </c>
      <c r="D32939" t="s">
        <v>827</v>
      </c>
      <c r="F32939">
        <v>6.5665895241231997E-9</v>
      </c>
      <c r="G32939">
        <v>13807161</v>
      </c>
      <c r="H32939">
        <v>10634391</v>
      </c>
      <c r="I32939">
        <v>43882964</v>
      </c>
      <c r="J32939">
        <v>4</v>
      </c>
    </row>
    <row r="32940" spans="1:10" x14ac:dyDescent="0.25">
      <c r="A32940" t="s">
        <v>1656</v>
      </c>
      <c r="B32940" s="1" t="str">
        <f>HYPERLINK("http://classicdrinks.ie","classicdrinks.ie")</f>
        <v>classicdrinks.ie</v>
      </c>
      <c r="C32940" t="s">
        <v>455</v>
      </c>
      <c r="D32940" t="s">
        <v>832</v>
      </c>
      <c r="F32940">
        <v>6.3512505211913297E-9</v>
      </c>
      <c r="G32940">
        <v>14756121</v>
      </c>
      <c r="H32940">
        <v>12919138</v>
      </c>
      <c r="I32940">
        <v>13445919</v>
      </c>
      <c r="J32940">
        <v>3</v>
      </c>
    </row>
    <row r="32941" spans="1:10" x14ac:dyDescent="0.25">
      <c r="A32941" t="s">
        <v>1656</v>
      </c>
      <c r="B32941" s="1" t="str">
        <f>HYPERLINK("http://pacificstar.com.mx","pacificstar.com.mx")</f>
        <v>pacificstar.com.mx</v>
      </c>
      <c r="C32941" t="s">
        <v>471</v>
      </c>
      <c r="D32941" t="s">
        <v>847</v>
      </c>
      <c r="F32941">
        <v>9.6328077603550903E-9</v>
      </c>
      <c r="G32941">
        <v>7159946</v>
      </c>
      <c r="H32941">
        <v>12226430</v>
      </c>
      <c r="I32941">
        <v>22613221</v>
      </c>
      <c r="J32941">
        <v>4</v>
      </c>
    </row>
    <row r="32942" spans="1:10" x14ac:dyDescent="0.25">
      <c r="A32942" t="s">
        <v>1656</v>
      </c>
      <c r="B32942" s="1" t="str">
        <f>HYPERLINK("http://esysco.net","esysco.net")</f>
        <v>esysco.net</v>
      </c>
      <c r="C32942" t="s">
        <v>474</v>
      </c>
      <c r="E32942">
        <v>688478</v>
      </c>
      <c r="F32942">
        <v>5.1651527663978298E-8</v>
      </c>
      <c r="G32942">
        <v>885215</v>
      </c>
      <c r="H32942">
        <v>16751230</v>
      </c>
      <c r="I32942">
        <v>266824</v>
      </c>
      <c r="J32942">
        <v>2</v>
      </c>
    </row>
    <row r="32943" spans="1:10" x14ac:dyDescent="0.25">
      <c r="A32943" t="s">
        <v>1656</v>
      </c>
      <c r="B32943" s="1" t="str">
        <f>HYPERLINK("http://paragonfoods.net","paragonfoods.net")</f>
        <v>paragonfoods.net</v>
      </c>
      <c r="C32943" t="s">
        <v>474</v>
      </c>
      <c r="F32943">
        <v>5.2648757077690801E-9</v>
      </c>
      <c r="G32943">
        <v>24029136</v>
      </c>
      <c r="H32943">
        <v>12205381</v>
      </c>
      <c r="I32943">
        <v>23182304</v>
      </c>
      <c r="J32943">
        <v>3</v>
      </c>
    </row>
    <row r="32944" spans="1:10" x14ac:dyDescent="0.25">
      <c r="A32944" t="s">
        <v>1656</v>
      </c>
      <c r="B32944" s="1" t="str">
        <f>HYPERLINK("http://sysco.net","sysco.net")</f>
        <v>sysco.net</v>
      </c>
      <c r="C32944" t="s">
        <v>474</v>
      </c>
      <c r="E32944">
        <v>77504</v>
      </c>
      <c r="F32944">
        <v>5.4512304237143998E-9</v>
      </c>
      <c r="G32944">
        <v>21467522</v>
      </c>
      <c r="H32944">
        <v>13565691</v>
      </c>
      <c r="I32944">
        <v>9784372</v>
      </c>
      <c r="J32944">
        <v>2</v>
      </c>
    </row>
    <row r="32945" spans="1:10" x14ac:dyDescent="0.25">
      <c r="A32945" t="s">
        <v>1656</v>
      </c>
      <c r="B32945" s="1" t="str">
        <f>HYPERLINK("http://andysfrukt.se","andysfrukt.se")</f>
        <v>andysfrukt.se</v>
      </c>
      <c r="C32945" t="s">
        <v>495</v>
      </c>
      <c r="D32945" t="s">
        <v>869</v>
      </c>
      <c r="F32945">
        <v>8.4727685301619001E-9</v>
      </c>
      <c r="G32945">
        <v>8897677</v>
      </c>
      <c r="H32945">
        <v>12385663</v>
      </c>
      <c r="I32945">
        <v>19113549</v>
      </c>
      <c r="J32945">
        <v>3</v>
      </c>
    </row>
    <row r="32946" spans="1:10" x14ac:dyDescent="0.25">
      <c r="A32946" t="s">
        <v>1656</v>
      </c>
      <c r="B32946" s="1" t="str">
        <f>HYPERLINK("http://menigo.se","menigo.se")</f>
        <v>menigo.se</v>
      </c>
      <c r="C32946" t="s">
        <v>495</v>
      </c>
      <c r="D32946" t="s">
        <v>869</v>
      </c>
      <c r="F32946">
        <v>8.2905382215280103E-8</v>
      </c>
      <c r="G32946">
        <v>503152</v>
      </c>
      <c r="H32946">
        <v>14265664</v>
      </c>
      <c r="I32946">
        <v>1408392</v>
      </c>
      <c r="J32946">
        <v>3</v>
      </c>
    </row>
    <row r="32947" spans="1:10" x14ac:dyDescent="0.25">
      <c r="A32947" t="s">
        <v>1656</v>
      </c>
      <c r="B32947" s="1" t="str">
        <f>HYPERLINK("http://restaurangakademien.se","restaurangakademien.se")</f>
        <v>restaurangakademien.se</v>
      </c>
      <c r="C32947" t="s">
        <v>495</v>
      </c>
      <c r="D32947" t="s">
        <v>869</v>
      </c>
      <c r="F32947">
        <v>2.08176812390937E-8</v>
      </c>
      <c r="G32947">
        <v>2540455</v>
      </c>
      <c r="H32947">
        <v>14123993</v>
      </c>
      <c r="I32947">
        <v>2157175</v>
      </c>
      <c r="J32947">
        <v>3</v>
      </c>
    </row>
    <row r="32948" spans="1:10" x14ac:dyDescent="0.25">
      <c r="A32948" t="s">
        <v>1656</v>
      </c>
      <c r="B32948" s="1" t="str">
        <f>HYPERLINK("http://servicestyckarna.se","servicestyckarna.se")</f>
        <v>servicestyckarna.se</v>
      </c>
      <c r="C32948" t="s">
        <v>495</v>
      </c>
      <c r="D32948" t="s">
        <v>869</v>
      </c>
      <c r="F32948">
        <v>4.6396070102411397E-9</v>
      </c>
      <c r="G32948">
        <v>44806895</v>
      </c>
      <c r="H32948">
        <v>12375900</v>
      </c>
      <c r="I32948">
        <v>19302872</v>
      </c>
      <c r="J32948">
        <v>3</v>
      </c>
    </row>
    <row r="32949" spans="1:10" x14ac:dyDescent="0.25">
      <c r="A32949" t="s">
        <v>1656</v>
      </c>
      <c r="B32949" s="1" t="str">
        <f>HYPERLINK("http://brake.co.uk","brake.co.uk")</f>
        <v>brake.co.uk</v>
      </c>
      <c r="C32949" t="s">
        <v>506</v>
      </c>
      <c r="D32949" t="s">
        <v>880</v>
      </c>
      <c r="E32949">
        <v>236214</v>
      </c>
      <c r="F32949">
        <v>9.5335149786665502E-8</v>
      </c>
      <c r="G32949">
        <v>424969</v>
      </c>
      <c r="H32949">
        <v>13982474</v>
      </c>
      <c r="I32949">
        <v>4046019</v>
      </c>
      <c r="J32949">
        <v>3</v>
      </c>
    </row>
    <row r="32950" spans="1:10" x14ac:dyDescent="0.25">
      <c r="A32950" t="s">
        <v>1656</v>
      </c>
      <c r="B32950" s="1" t="str">
        <f>HYPERLINK("http://freshdirect.co.uk","freshdirect.co.uk")</f>
        <v>freshdirect.co.uk</v>
      </c>
      <c r="C32950" t="s">
        <v>506</v>
      </c>
      <c r="D32950" t="s">
        <v>880</v>
      </c>
      <c r="F32950">
        <v>9.7378700488360494E-9</v>
      </c>
      <c r="G32950">
        <v>7037465</v>
      </c>
      <c r="H32950">
        <v>13933376</v>
      </c>
      <c r="I32950">
        <v>4758662</v>
      </c>
      <c r="J32950">
        <v>5</v>
      </c>
    </row>
    <row r="32951" spans="1:10" x14ac:dyDescent="0.25">
      <c r="A32951" t="s">
        <v>1656</v>
      </c>
      <c r="B32951" s="1" t="str">
        <f>HYPERLINK("http://guestsupply.co.uk","guestsupply.co.uk")</f>
        <v>guestsupply.co.uk</v>
      </c>
      <c r="C32951" t="s">
        <v>506</v>
      </c>
      <c r="D32951" t="s">
        <v>880</v>
      </c>
      <c r="F32951">
        <v>9.8490420129515304E-9</v>
      </c>
      <c r="G32951">
        <v>6915164</v>
      </c>
      <c r="H32951">
        <v>12250435</v>
      </c>
      <c r="I32951">
        <v>22006510</v>
      </c>
      <c r="J32951">
        <v>3</v>
      </c>
    </row>
    <row r="32952" spans="1:10" x14ac:dyDescent="0.25">
      <c r="A32952" t="s">
        <v>1656</v>
      </c>
      <c r="B32952" s="1" t="str">
        <f>HYPERLINK("http://kff.co.uk","kff.co.uk")</f>
        <v>kff.co.uk</v>
      </c>
      <c r="C32952" t="s">
        <v>506</v>
      </c>
      <c r="D32952" t="s">
        <v>880</v>
      </c>
      <c r="F32952">
        <v>5.8536759547225102E-8</v>
      </c>
      <c r="G32952">
        <v>758665</v>
      </c>
      <c r="H32952">
        <v>16813254</v>
      </c>
      <c r="I32952">
        <v>192859</v>
      </c>
      <c r="J32952">
        <v>5</v>
      </c>
    </row>
    <row r="32953" spans="1:10" x14ac:dyDescent="0.25">
      <c r="A32953" t="s">
        <v>366</v>
      </c>
      <c r="B32953" s="1" t="str">
        <f>HYPERLINK("http://columbiagastrans.com","columbiagastrans.com")</f>
        <v>columbiagastrans.com</v>
      </c>
      <c r="C32953" t="s">
        <v>433</v>
      </c>
      <c r="F32953">
        <v>5.3586830008657703E-9</v>
      </c>
      <c r="G32953">
        <v>22686964</v>
      </c>
      <c r="H32953">
        <v>12770106</v>
      </c>
      <c r="I32953">
        <v>14840388</v>
      </c>
      <c r="J32953">
        <v>3</v>
      </c>
    </row>
    <row r="32954" spans="1:10" x14ac:dyDescent="0.25">
      <c r="A32954" t="s">
        <v>366</v>
      </c>
      <c r="B32954" s="1" t="str">
        <f>HYPERLINK("http://gazoductqm.com","gazoductqm.com")</f>
        <v>gazoductqm.com</v>
      </c>
      <c r="C32954" t="s">
        <v>433</v>
      </c>
      <c r="F32954">
        <v>1.0521832313204201E-8</v>
      </c>
      <c r="G32954">
        <v>6250835</v>
      </c>
      <c r="H32954">
        <v>12415427</v>
      </c>
      <c r="I32954">
        <v>18534926</v>
      </c>
      <c r="J32954">
        <v>3</v>
      </c>
    </row>
    <row r="32955" spans="1:10" x14ac:dyDescent="0.25">
      <c r="A32955" t="s">
        <v>366</v>
      </c>
      <c r="B32955" s="1" t="str">
        <f>HYPERLINK("http://tcenergia.com","tcenergia.com")</f>
        <v>tcenergia.com</v>
      </c>
      <c r="C32955" t="s">
        <v>433</v>
      </c>
      <c r="F32955">
        <v>9.8805513802072093E-9</v>
      </c>
      <c r="G32955">
        <v>6880296</v>
      </c>
      <c r="H32955">
        <v>12533421</v>
      </c>
      <c r="I32955">
        <v>17006204</v>
      </c>
      <c r="J32955">
        <v>4</v>
      </c>
    </row>
    <row r="32956" spans="1:10" x14ac:dyDescent="0.25">
      <c r="A32956" t="s">
        <v>366</v>
      </c>
      <c r="B32956" s="1" t="str">
        <f>HYPERLINK("http://tcenergy.com","tcenergy.com")</f>
        <v>tcenergy.com</v>
      </c>
      <c r="C32956" t="s">
        <v>433</v>
      </c>
      <c r="E32956">
        <v>128427</v>
      </c>
      <c r="F32956">
        <v>5.5388266829162097E-7</v>
      </c>
      <c r="G32956">
        <v>69934</v>
      </c>
      <c r="H32956">
        <v>17206734</v>
      </c>
      <c r="I32956">
        <v>40581</v>
      </c>
      <c r="J32956">
        <v>1</v>
      </c>
    </row>
    <row r="32957" spans="1:10" x14ac:dyDescent="0.25">
      <c r="A32957" t="s">
        <v>366</v>
      </c>
      <c r="B32957" s="1" t="str">
        <f>HYPERLINK("http://tcpipelineslp.com","tcpipelineslp.com")</f>
        <v>tcpipelineslp.com</v>
      </c>
      <c r="C32957" t="s">
        <v>433</v>
      </c>
      <c r="F32957">
        <v>3.6369842209846401E-8</v>
      </c>
      <c r="G32957">
        <v>1434847</v>
      </c>
      <c r="H32957">
        <v>14132115</v>
      </c>
      <c r="I32957">
        <v>2003151</v>
      </c>
      <c r="J32957">
        <v>4</v>
      </c>
    </row>
    <row r="32958" spans="1:10" x14ac:dyDescent="0.25">
      <c r="A32958" t="s">
        <v>366</v>
      </c>
      <c r="B32958" s="1" t="str">
        <f>HYPERLINK("http://transcanada.com","transcanada.com")</f>
        <v>transcanada.com</v>
      </c>
      <c r="C32958" t="s">
        <v>433</v>
      </c>
      <c r="E32958">
        <v>226436</v>
      </c>
      <c r="F32958">
        <v>3.4776699304856299E-7</v>
      </c>
      <c r="G32958">
        <v>107444</v>
      </c>
      <c r="H32958">
        <v>15155780</v>
      </c>
      <c r="I32958">
        <v>399552</v>
      </c>
      <c r="J32958">
        <v>2</v>
      </c>
    </row>
    <row r="32959" spans="1:10" x14ac:dyDescent="0.25">
      <c r="A32959" t="s">
        <v>367</v>
      </c>
      <c r="B32959" s="1" t="str">
        <f>HYPERLINK("http://teconnectivity.ch","teconnectivity.ch")</f>
        <v>teconnectivity.ch</v>
      </c>
      <c r="C32959" t="s">
        <v>429</v>
      </c>
      <c r="D32959" t="s">
        <v>810</v>
      </c>
      <c r="F32959">
        <v>4.4520929063139901E-9</v>
      </c>
      <c r="G32959">
        <v>70812227</v>
      </c>
      <c r="H32959">
        <v>8387565.5</v>
      </c>
      <c r="I32959">
        <v>73448685</v>
      </c>
      <c r="J32959">
        <v>4</v>
      </c>
    </row>
    <row r="32960" spans="1:10" x14ac:dyDescent="0.25">
      <c r="A32960" t="s">
        <v>367</v>
      </c>
      <c r="B32960" s="1" t="str">
        <f>HYPERLINK("http://te.com.cn","te.com.cn")</f>
        <v>te.com.cn</v>
      </c>
      <c r="C32960" t="s">
        <v>431</v>
      </c>
      <c r="D32960" t="s">
        <v>812</v>
      </c>
      <c r="E32960">
        <v>281737</v>
      </c>
      <c r="F32960">
        <v>1.82673972013174E-7</v>
      </c>
      <c r="G32960">
        <v>211114</v>
      </c>
      <c r="H32960">
        <v>13536431</v>
      </c>
      <c r="I32960">
        <v>9912154</v>
      </c>
      <c r="J32960">
        <v>2</v>
      </c>
    </row>
    <row r="32961" spans="1:10" x14ac:dyDescent="0.25">
      <c r="A32961" t="s">
        <v>367</v>
      </c>
      <c r="B32961" s="1" t="str">
        <f>HYPERLINK("http://adc.com","adc.com")</f>
        <v>adc.com</v>
      </c>
      <c r="C32961" t="s">
        <v>433</v>
      </c>
      <c r="E32961">
        <v>241051</v>
      </c>
      <c r="F32961">
        <v>5.2072705549745401E-8</v>
      </c>
      <c r="G32961">
        <v>876768</v>
      </c>
      <c r="H32961">
        <v>14539314</v>
      </c>
      <c r="I32961">
        <v>776549</v>
      </c>
      <c r="J32961">
        <v>4</v>
      </c>
    </row>
    <row r="32962" spans="1:10" x14ac:dyDescent="0.25">
      <c r="A32962" t="s">
        <v>367</v>
      </c>
      <c r="B32962" s="1" t="str">
        <f>HYPERLINK("http://amp.com","amp.com")</f>
        <v>amp.com</v>
      </c>
      <c r="C32962" t="s">
        <v>433</v>
      </c>
      <c r="E32962">
        <v>478197</v>
      </c>
      <c r="F32962">
        <v>3.6323464318185799E-8</v>
      </c>
      <c r="G32962">
        <v>1436403</v>
      </c>
      <c r="H32962">
        <v>14159433</v>
      </c>
      <c r="I32962">
        <v>1841484</v>
      </c>
      <c r="J32962">
        <v>3</v>
      </c>
    </row>
    <row r="32963" spans="1:10" x14ac:dyDescent="0.25">
      <c r="A32963" t="s">
        <v>367</v>
      </c>
      <c r="B32963" s="1" t="str">
        <f>HYPERLINK("http://crompton-instruments.com","crompton-instruments.com")</f>
        <v>crompton-instruments.com</v>
      </c>
      <c r="C32963" t="s">
        <v>433</v>
      </c>
      <c r="F32963">
        <v>1.38523384133919E-8</v>
      </c>
      <c r="G32963">
        <v>4259623</v>
      </c>
      <c r="H32963">
        <v>13772606</v>
      </c>
      <c r="I32963">
        <v>6655573</v>
      </c>
      <c r="J32963">
        <v>4</v>
      </c>
    </row>
    <row r="32964" spans="1:10" x14ac:dyDescent="0.25">
      <c r="A32964" t="s">
        <v>367</v>
      </c>
      <c r="B32964" s="1" t="str">
        <f>HYPERLINK("http://macrosensors.com","macrosensors.com")</f>
        <v>macrosensors.com</v>
      </c>
      <c r="C32964" t="s">
        <v>433</v>
      </c>
      <c r="F32964">
        <v>7.7662128308008905E-9</v>
      </c>
      <c r="G32964">
        <v>10399924</v>
      </c>
      <c r="H32964">
        <v>13768718</v>
      </c>
      <c r="I32964">
        <v>6860184</v>
      </c>
      <c r="J32964">
        <v>4</v>
      </c>
    </row>
    <row r="32965" spans="1:10" x14ac:dyDescent="0.25">
      <c r="A32965" t="s">
        <v>367</v>
      </c>
      <c r="B32965" s="1" t="str">
        <f>HYPERLINK("http://microliquid.com","microliquid.com")</f>
        <v>microliquid.com</v>
      </c>
      <c r="C32965" t="s">
        <v>433</v>
      </c>
      <c r="F32965">
        <v>1.82688026385815E-8</v>
      </c>
      <c r="G32965">
        <v>2973537</v>
      </c>
      <c r="H32965">
        <v>14081592</v>
      </c>
      <c r="I32965">
        <v>2808554</v>
      </c>
      <c r="J32965">
        <v>3</v>
      </c>
    </row>
    <row r="32966" spans="1:10" x14ac:dyDescent="0.25">
      <c r="A32966" t="s">
        <v>367</v>
      </c>
      <c r="B32966" s="1" t="str">
        <f>HYPERLINK("http://te.com","te.com")</f>
        <v>te.com</v>
      </c>
      <c r="C32966" t="s">
        <v>433</v>
      </c>
      <c r="E32966">
        <v>15504</v>
      </c>
      <c r="F32966">
        <v>1.4831181885768999E-6</v>
      </c>
      <c r="G32966">
        <v>26433</v>
      </c>
      <c r="H32966">
        <v>17329860</v>
      </c>
      <c r="I32966">
        <v>24919</v>
      </c>
      <c r="J32966">
        <v>1</v>
      </c>
    </row>
    <row r="32967" spans="1:10" x14ac:dyDescent="0.25">
      <c r="A32967" t="s">
        <v>367</v>
      </c>
      <c r="B32967" s="1" t="str">
        <f>HYPERLINK("http://techdevice.com","techdevice.com")</f>
        <v>techdevice.com</v>
      </c>
      <c r="C32967" t="s">
        <v>433</v>
      </c>
      <c r="F32967">
        <v>4.6597908600420599E-9</v>
      </c>
      <c r="G32967">
        <v>43525101</v>
      </c>
      <c r="H32967">
        <v>11229499</v>
      </c>
      <c r="I32967">
        <v>31030306</v>
      </c>
      <c r="J32967">
        <v>4</v>
      </c>
    </row>
    <row r="32968" spans="1:10" x14ac:dyDescent="0.25">
      <c r="A32968" t="s">
        <v>367</v>
      </c>
      <c r="B32968" s="1" t="str">
        <f>HYPERLINK("http://teconnectivity.com","teconnectivity.com")</f>
        <v>teconnectivity.com</v>
      </c>
      <c r="C32968" t="s">
        <v>433</v>
      </c>
      <c r="F32968">
        <v>7.8696311872788392E-9</v>
      </c>
      <c r="G32968">
        <v>10172559</v>
      </c>
      <c r="H32968">
        <v>12447376</v>
      </c>
      <c r="I32968">
        <v>18059443</v>
      </c>
      <c r="J32968">
        <v>4</v>
      </c>
    </row>
    <row r="32969" spans="1:10" x14ac:dyDescent="0.25">
      <c r="A32969" t="s">
        <v>367</v>
      </c>
      <c r="B32969" s="1" t="str">
        <f>HYPERLINK("http://tycoelectronics.com","tycoelectronics.com")</f>
        <v>tycoelectronics.com</v>
      </c>
      <c r="C32969" t="s">
        <v>433</v>
      </c>
      <c r="E32969">
        <v>18068</v>
      </c>
      <c r="F32969">
        <v>1.4873298333759301E-7</v>
      </c>
      <c r="G32969">
        <v>261329</v>
      </c>
      <c r="H32969">
        <v>17075602</v>
      </c>
      <c r="I32969">
        <v>69424</v>
      </c>
      <c r="J32969">
        <v>3</v>
      </c>
    </row>
    <row r="32970" spans="1:10" x14ac:dyDescent="0.25">
      <c r="A32970" t="s">
        <v>367</v>
      </c>
      <c r="B32970" s="1" t="str">
        <f>HYPERLINK("http://amp.fi","amp.fi")</f>
        <v>amp.fi</v>
      </c>
      <c r="C32970" t="s">
        <v>445</v>
      </c>
      <c r="D32970" t="s">
        <v>823</v>
      </c>
      <c r="J32970">
        <v>2</v>
      </c>
    </row>
    <row r="32971" spans="1:10" x14ac:dyDescent="0.25">
      <c r="A32971" t="s">
        <v>367</v>
      </c>
      <c r="B32971" s="1" t="str">
        <f>HYPERLINK("http://raychem.fi","raychem.fi")</f>
        <v>raychem.fi</v>
      </c>
      <c r="C32971" t="s">
        <v>445</v>
      </c>
      <c r="D32971" t="s">
        <v>823</v>
      </c>
      <c r="J32971">
        <v>4</v>
      </c>
    </row>
    <row r="32972" spans="1:10" x14ac:dyDescent="0.25">
      <c r="A32972" t="s">
        <v>367</v>
      </c>
      <c r="B32972" s="1" t="str">
        <f>HYPERLINK("http://tyco-electronics.fi","tyco-electronics.fi")</f>
        <v>tyco-electronics.fi</v>
      </c>
      <c r="C32972" t="s">
        <v>445</v>
      </c>
      <c r="D32972" t="s">
        <v>823</v>
      </c>
      <c r="J32972">
        <v>2</v>
      </c>
    </row>
    <row r="32973" spans="1:10" x14ac:dyDescent="0.25">
      <c r="A32973" t="s">
        <v>367</v>
      </c>
      <c r="B32973" s="1" t="str">
        <f>HYPERLINK("http://tycoelectronics.fi","tycoelectronics.fi")</f>
        <v>tycoelectronics.fi</v>
      </c>
      <c r="C32973" t="s">
        <v>445</v>
      </c>
      <c r="D32973" t="s">
        <v>823</v>
      </c>
      <c r="J32973">
        <v>2</v>
      </c>
    </row>
    <row r="32974" spans="1:10" x14ac:dyDescent="0.25">
      <c r="A32974" t="s">
        <v>367</v>
      </c>
      <c r="B32974" s="1" t="str">
        <f>HYPERLINK("http://deutsh.net","deutsh.net")</f>
        <v>deutsh.net</v>
      </c>
      <c r="C32974" t="s">
        <v>474</v>
      </c>
      <c r="J32974">
        <v>3</v>
      </c>
    </row>
    <row r="32975" spans="1:10" x14ac:dyDescent="0.25">
      <c r="A32975" t="s">
        <v>367</v>
      </c>
      <c r="B32975" s="1" t="str">
        <f>HYPERLINK("http://precisionsubsea.no","precisionsubsea.no")</f>
        <v>precisionsubsea.no</v>
      </c>
      <c r="C32975" t="s">
        <v>478</v>
      </c>
      <c r="D32975" t="s">
        <v>853</v>
      </c>
      <c r="J32975">
        <v>3</v>
      </c>
    </row>
    <row r="32976" spans="1:10" x14ac:dyDescent="0.25">
      <c r="A32976" t="s">
        <v>368</v>
      </c>
      <c r="B32976" s="1" t="str">
        <f>HYPERLINK("http://tkmaxx.at","tkmaxx.at")</f>
        <v>tkmaxx.at</v>
      </c>
      <c r="C32976" t="s">
        <v>419</v>
      </c>
      <c r="D32976" t="s">
        <v>801</v>
      </c>
      <c r="F32976">
        <v>3.7434881870466599E-8</v>
      </c>
      <c r="G32976">
        <v>1382746</v>
      </c>
      <c r="H32976">
        <v>13358376</v>
      </c>
      <c r="I32976">
        <v>10592352</v>
      </c>
      <c r="J32976">
        <v>4</v>
      </c>
    </row>
    <row r="32977" spans="1:10" x14ac:dyDescent="0.25">
      <c r="A32977" t="s">
        <v>368</v>
      </c>
      <c r="B32977" s="1" t="str">
        <f>HYPERLINK("http://tkmaxxonline.at","tkmaxxonline.at")</f>
        <v>tkmaxxonline.at</v>
      </c>
      <c r="C32977" t="s">
        <v>419</v>
      </c>
      <c r="D32977" t="s">
        <v>801</v>
      </c>
      <c r="F32977">
        <v>6.3969432334727802E-9</v>
      </c>
      <c r="G32977">
        <v>14530810</v>
      </c>
      <c r="H32977">
        <v>13765520</v>
      </c>
      <c r="I32977">
        <v>7094709</v>
      </c>
      <c r="J32977">
        <v>7</v>
      </c>
    </row>
    <row r="32978" spans="1:10" x14ac:dyDescent="0.25">
      <c r="A32978" t="s">
        <v>368</v>
      </c>
      <c r="B32978" s="1" t="str">
        <f>HYPERLINK("http://tkmaxx.com.au","tkmaxx.com.au")</f>
        <v>tkmaxx.com.au</v>
      </c>
      <c r="C32978" t="s">
        <v>420</v>
      </c>
      <c r="D32978" t="s">
        <v>802</v>
      </c>
      <c r="E32978">
        <v>944116</v>
      </c>
      <c r="F32978">
        <v>2.6267922048924801E-8</v>
      </c>
      <c r="G32978">
        <v>1960435</v>
      </c>
      <c r="H32978">
        <v>12962678</v>
      </c>
      <c r="I32978">
        <v>13156623</v>
      </c>
      <c r="J32978">
        <v>7</v>
      </c>
    </row>
    <row r="32979" spans="1:10" x14ac:dyDescent="0.25">
      <c r="A32979" t="s">
        <v>368</v>
      </c>
      <c r="B32979" s="1" t="str">
        <f>HYPERLINK("http://tradesecret.com.au","tradesecret.com.au")</f>
        <v>tradesecret.com.au</v>
      </c>
      <c r="C32979" t="s">
        <v>420</v>
      </c>
      <c r="D32979" t="s">
        <v>802</v>
      </c>
      <c r="F32979">
        <v>6.1756255392906199E-9</v>
      </c>
      <c r="G32979">
        <v>15662928</v>
      </c>
      <c r="H32979">
        <v>13245722</v>
      </c>
      <c r="I32979">
        <v>11145077</v>
      </c>
      <c r="J32979">
        <v>7</v>
      </c>
    </row>
    <row r="32980" spans="1:10" x14ac:dyDescent="0.25">
      <c r="A32980" t="s">
        <v>368</v>
      </c>
      <c r="B32980" s="1" t="str">
        <f>HYPERLINK("http://easyhome.ca","easyhome.ca")</f>
        <v>easyhome.ca</v>
      </c>
      <c r="C32980" t="s">
        <v>428</v>
      </c>
      <c r="D32980" t="s">
        <v>809</v>
      </c>
      <c r="F32980">
        <v>1.7464567545956399E-8</v>
      </c>
      <c r="G32980">
        <v>3154493</v>
      </c>
      <c r="H32980">
        <v>14125506</v>
      </c>
      <c r="I32980">
        <v>2118237</v>
      </c>
      <c r="J32980">
        <v>4</v>
      </c>
    </row>
    <row r="32981" spans="1:10" x14ac:dyDescent="0.25">
      <c r="A32981" t="s">
        <v>368</v>
      </c>
      <c r="B32981" s="1" t="str">
        <f>HYPERLINK("http://homesense.ca","homesense.ca")</f>
        <v>homesense.ca</v>
      </c>
      <c r="C32981" t="s">
        <v>428</v>
      </c>
      <c r="D32981" t="s">
        <v>809</v>
      </c>
      <c r="E32981">
        <v>358559</v>
      </c>
      <c r="F32981">
        <v>9.6004906938860194E-8</v>
      </c>
      <c r="G32981">
        <v>421547</v>
      </c>
      <c r="H32981">
        <v>14646946</v>
      </c>
      <c r="I32981">
        <v>631829</v>
      </c>
      <c r="J32981">
        <v>3</v>
      </c>
    </row>
    <row r="32982" spans="1:10" x14ac:dyDescent="0.25">
      <c r="A32982" t="s">
        <v>368</v>
      </c>
      <c r="B32982" s="1" t="str">
        <f>HYPERLINK("http://marshalls.ca","marshalls.ca")</f>
        <v>marshalls.ca</v>
      </c>
      <c r="C32982" t="s">
        <v>428</v>
      </c>
      <c r="D32982" t="s">
        <v>809</v>
      </c>
      <c r="E32982">
        <v>976364</v>
      </c>
      <c r="F32982">
        <v>5.6002063387473201E-8</v>
      </c>
      <c r="G32982">
        <v>799862</v>
      </c>
      <c r="H32982">
        <v>14395583</v>
      </c>
      <c r="I32982">
        <v>1160318</v>
      </c>
      <c r="J32982">
        <v>4</v>
      </c>
    </row>
    <row r="32983" spans="1:10" x14ac:dyDescent="0.25">
      <c r="A32983" t="s">
        <v>368</v>
      </c>
      <c r="B32983" s="1" t="str">
        <f>HYPERLINK("http://marshallscanada.ca","marshallscanada.ca")</f>
        <v>marshallscanada.ca</v>
      </c>
      <c r="C32983" t="s">
        <v>428</v>
      </c>
      <c r="D32983" t="s">
        <v>809</v>
      </c>
      <c r="F32983">
        <v>1.0731467139349099E-8</v>
      </c>
      <c r="G32983">
        <v>6074607</v>
      </c>
      <c r="H32983">
        <v>14123558</v>
      </c>
      <c r="I32983">
        <v>2170700</v>
      </c>
      <c r="J32983">
        <v>4</v>
      </c>
    </row>
    <row r="32984" spans="1:10" x14ac:dyDescent="0.25">
      <c r="A32984" t="s">
        <v>368</v>
      </c>
      <c r="B32984" s="1" t="str">
        <f>HYPERLINK("http://winners.ca","winners.ca")</f>
        <v>winners.ca</v>
      </c>
      <c r="C32984" t="s">
        <v>428</v>
      </c>
      <c r="D32984" t="s">
        <v>809</v>
      </c>
      <c r="E32984">
        <v>311591</v>
      </c>
      <c r="F32984">
        <v>1.07042784573782E-7</v>
      </c>
      <c r="G32984">
        <v>374017</v>
      </c>
      <c r="H32984">
        <v>14247492</v>
      </c>
      <c r="I32984">
        <v>1457175</v>
      </c>
      <c r="J32984">
        <v>3</v>
      </c>
    </row>
    <row r="32985" spans="1:10" x14ac:dyDescent="0.25">
      <c r="A32985" t="s">
        <v>368</v>
      </c>
      <c r="B32985" s="1" t="str">
        <f>HYPERLINK("http://fastraxraceway.com","fastraxraceway.com")</f>
        <v>fastraxraceway.com</v>
      </c>
      <c r="C32985" t="s">
        <v>433</v>
      </c>
      <c r="F32985">
        <v>9.4266577092281997E-9</v>
      </c>
      <c r="G32985">
        <v>7411383</v>
      </c>
      <c r="H32985">
        <v>13322275</v>
      </c>
      <c r="I32985">
        <v>10741605</v>
      </c>
      <c r="J32985">
        <v>4</v>
      </c>
    </row>
    <row r="32986" spans="1:10" x14ac:dyDescent="0.25">
      <c r="A32986" t="s">
        <v>368</v>
      </c>
      <c r="B32986" s="1" t="str">
        <f>HYPERLINK("http://homegoods.com","homegoods.com")</f>
        <v>homegoods.com</v>
      </c>
      <c r="C32986" t="s">
        <v>433</v>
      </c>
      <c r="E32986">
        <v>28966</v>
      </c>
      <c r="F32986">
        <v>5.3505745176163995E-7</v>
      </c>
      <c r="G32986">
        <v>72077</v>
      </c>
      <c r="H32986">
        <v>14995829</v>
      </c>
      <c r="I32986">
        <v>426845</v>
      </c>
      <c r="J32986">
        <v>3</v>
      </c>
    </row>
    <row r="32987" spans="1:10" x14ac:dyDescent="0.25">
      <c r="A32987" t="s">
        <v>368</v>
      </c>
      <c r="B32987" s="1" t="str">
        <f>HYPERLINK("http://homesense.com","homesense.com")</f>
        <v>homesense.com</v>
      </c>
      <c r="C32987" t="s">
        <v>433</v>
      </c>
      <c r="E32987">
        <v>174126</v>
      </c>
      <c r="F32987">
        <v>9.6290210294646795E-8</v>
      </c>
      <c r="G32987">
        <v>420082</v>
      </c>
      <c r="H32987">
        <v>14242083</v>
      </c>
      <c r="I32987">
        <v>1486839</v>
      </c>
      <c r="J32987">
        <v>3</v>
      </c>
    </row>
    <row r="32988" spans="1:10" x14ac:dyDescent="0.25">
      <c r="A32988" t="s">
        <v>368</v>
      </c>
      <c r="B32988" s="1" t="str">
        <f>HYPERLINK("http://marshalls.com","marshalls.com")</f>
        <v>marshalls.com</v>
      </c>
      <c r="C32988" t="s">
        <v>433</v>
      </c>
      <c r="E32988">
        <v>20404</v>
      </c>
      <c r="F32988">
        <v>4.3023651715217199E-7</v>
      </c>
      <c r="G32988">
        <v>87569</v>
      </c>
      <c r="H32988">
        <v>15286437</v>
      </c>
      <c r="I32988">
        <v>387159</v>
      </c>
      <c r="J32988">
        <v>4</v>
      </c>
    </row>
    <row r="32989" spans="1:10" x14ac:dyDescent="0.25">
      <c r="A32989" t="s">
        <v>368</v>
      </c>
      <c r="B32989" s="1" t="str">
        <f>HYPERLINK("http://marshallsonline.com","marshallsonline.com")</f>
        <v>marshallsonline.com</v>
      </c>
      <c r="C32989" t="s">
        <v>433</v>
      </c>
      <c r="E32989">
        <v>226218</v>
      </c>
      <c r="F32989">
        <v>1.45453021397873E-7</v>
      </c>
      <c r="G32989">
        <v>267650</v>
      </c>
      <c r="H32989">
        <v>14602949</v>
      </c>
      <c r="I32989">
        <v>683847</v>
      </c>
      <c r="J32989">
        <v>3</v>
      </c>
    </row>
    <row r="32990" spans="1:10" x14ac:dyDescent="0.25">
      <c r="A32990" t="s">
        <v>368</v>
      </c>
      <c r="B32990" s="1" t="str">
        <f>HYPERLINK("http://sierra.com","sierra.com")</f>
        <v>sierra.com</v>
      </c>
      <c r="C32990" t="s">
        <v>433</v>
      </c>
      <c r="E32990">
        <v>16225</v>
      </c>
      <c r="F32990">
        <v>4.6539479515318802E-7</v>
      </c>
      <c r="G32990">
        <v>81387</v>
      </c>
      <c r="H32990">
        <v>15408419</v>
      </c>
      <c r="I32990">
        <v>379825</v>
      </c>
      <c r="J32990">
        <v>3</v>
      </c>
    </row>
    <row r="32991" spans="1:10" x14ac:dyDescent="0.25">
      <c r="A32991" t="s">
        <v>368</v>
      </c>
      <c r="B32991" s="1" t="str">
        <f>HYPERLINK("http://sierratradingpost.com","sierratradingpost.com")</f>
        <v>sierratradingpost.com</v>
      </c>
      <c r="C32991" t="s">
        <v>433</v>
      </c>
      <c r="E32991">
        <v>84913</v>
      </c>
      <c r="F32991">
        <v>2.56434283734986E-7</v>
      </c>
      <c r="G32991">
        <v>145898</v>
      </c>
      <c r="H32991">
        <v>15440725</v>
      </c>
      <c r="I32991">
        <v>378550</v>
      </c>
      <c r="J32991">
        <v>3</v>
      </c>
    </row>
    <row r="32992" spans="1:10" x14ac:dyDescent="0.25">
      <c r="A32992" t="s">
        <v>368</v>
      </c>
      <c r="B32992" s="1" t="str">
        <f>HYPERLINK("http://tjmax.com","tjmax.com")</f>
        <v>tjmax.com</v>
      </c>
      <c r="C32992" t="s">
        <v>433</v>
      </c>
      <c r="F32992">
        <v>4.5739109861358804E-9</v>
      </c>
      <c r="G32992">
        <v>49837593</v>
      </c>
      <c r="H32992">
        <v>10784611</v>
      </c>
      <c r="I32992">
        <v>38719975</v>
      </c>
      <c r="J32992">
        <v>4</v>
      </c>
    </row>
    <row r="32993" spans="1:10" x14ac:dyDescent="0.25">
      <c r="A32993" t="s">
        <v>368</v>
      </c>
      <c r="B32993" s="1" t="str">
        <f>HYPERLINK("http://tjmaxx.com","tjmaxx.com")</f>
        <v>tjmaxx.com</v>
      </c>
      <c r="C32993" t="s">
        <v>433</v>
      </c>
      <c r="E32993">
        <v>80174</v>
      </c>
      <c r="F32993">
        <v>1.8121205795603401E-7</v>
      </c>
      <c r="G32993">
        <v>213099</v>
      </c>
      <c r="H32993">
        <v>14512744</v>
      </c>
      <c r="I32993">
        <v>818586</v>
      </c>
      <c r="J32993">
        <v>4</v>
      </c>
    </row>
    <row r="32994" spans="1:10" x14ac:dyDescent="0.25">
      <c r="A32994" t="s">
        <v>368</v>
      </c>
      <c r="B32994" s="1" t="str">
        <f>HYPERLINK("http://tjx.com","tjx.com")</f>
        <v>tjx.com</v>
      </c>
      <c r="C32994" t="s">
        <v>433</v>
      </c>
      <c r="E32994">
        <v>11395</v>
      </c>
      <c r="F32994">
        <v>1.1969636613840199E-6</v>
      </c>
      <c r="G32994">
        <v>32578</v>
      </c>
      <c r="H32994">
        <v>15722642</v>
      </c>
      <c r="I32994">
        <v>369306</v>
      </c>
      <c r="J32994">
        <v>1</v>
      </c>
    </row>
    <row r="32995" spans="1:10" x14ac:dyDescent="0.25">
      <c r="A32995" t="s">
        <v>368</v>
      </c>
      <c r="B32995" s="1" t="str">
        <f>HYPERLINK("http://tjxeurope.com","tjxeurope.com")</f>
        <v>tjxeurope.com</v>
      </c>
      <c r="C32995" t="s">
        <v>433</v>
      </c>
      <c r="E32995">
        <v>991512</v>
      </c>
      <c r="F32995">
        <v>8.0230052158168498E-9</v>
      </c>
      <c r="G32995">
        <v>9878895</v>
      </c>
      <c r="H32995">
        <v>12765500</v>
      </c>
      <c r="I32995">
        <v>14919099</v>
      </c>
      <c r="J32995">
        <v>6</v>
      </c>
    </row>
    <row r="32996" spans="1:10" x14ac:dyDescent="0.25">
      <c r="A32996" t="s">
        <v>368</v>
      </c>
      <c r="B32996" s="1" t="str">
        <f>HYPERLINK("http://tkmaxx.com","tkmaxx.com")</f>
        <v>tkmaxx.com</v>
      </c>
      <c r="C32996" t="s">
        <v>433</v>
      </c>
      <c r="E32996">
        <v>26117</v>
      </c>
      <c r="F32996">
        <v>4.7945302274608004E-7</v>
      </c>
      <c r="G32996">
        <v>79287</v>
      </c>
      <c r="H32996">
        <v>15019189</v>
      </c>
      <c r="I32996">
        <v>421156</v>
      </c>
      <c r="J32996">
        <v>3</v>
      </c>
    </row>
    <row r="32997" spans="1:10" x14ac:dyDescent="0.25">
      <c r="A32997" t="s">
        <v>368</v>
      </c>
      <c r="B32997" s="1" t="str">
        <f>HYPERLINK("http://tkmaxx-australia.com","tkmaxx-australia.com")</f>
        <v>tkmaxx-australia.com</v>
      </c>
      <c r="C32997" t="s">
        <v>433</v>
      </c>
      <c r="J32997">
        <v>7</v>
      </c>
    </row>
    <row r="32998" spans="1:10" x14ac:dyDescent="0.25">
      <c r="A32998" t="s">
        <v>368</v>
      </c>
      <c r="B32998" s="1" t="str">
        <f>HYPERLINK("http://whitesierra.com","whitesierra.com")</f>
        <v>whitesierra.com</v>
      </c>
      <c r="C32998" t="s">
        <v>433</v>
      </c>
      <c r="F32998">
        <v>7.0643380664099496E-9</v>
      </c>
      <c r="G32998">
        <v>12114632</v>
      </c>
      <c r="H32998">
        <v>12455007</v>
      </c>
      <c r="I32998">
        <v>17933404</v>
      </c>
      <c r="J32998">
        <v>5</v>
      </c>
    </row>
    <row r="32999" spans="1:10" x14ac:dyDescent="0.25">
      <c r="A32999" t="s">
        <v>368</v>
      </c>
      <c r="B32999" s="1" t="str">
        <f>HYPERLINK("http://tk-maxx.de","tk-maxx.de")</f>
        <v>tk-maxx.de</v>
      </c>
      <c r="C32999" t="s">
        <v>436</v>
      </c>
      <c r="D32999" t="s">
        <v>815</v>
      </c>
      <c r="J32999">
        <v>7</v>
      </c>
    </row>
    <row r="33000" spans="1:10" x14ac:dyDescent="0.25">
      <c r="A33000" t="s">
        <v>368</v>
      </c>
      <c r="B33000" s="1" t="str">
        <f>HYPERLINK("http://tkmaxx.de","tkmaxx.de")</f>
        <v>tkmaxx.de</v>
      </c>
      <c r="C33000" t="s">
        <v>436</v>
      </c>
      <c r="D33000" t="s">
        <v>815</v>
      </c>
      <c r="E33000">
        <v>659446</v>
      </c>
      <c r="F33000">
        <v>6.6037037830521006E-8</v>
      </c>
      <c r="G33000">
        <v>649887</v>
      </c>
      <c r="H33000">
        <v>14590125</v>
      </c>
      <c r="I33000">
        <v>696134</v>
      </c>
      <c r="J33000">
        <v>3</v>
      </c>
    </row>
    <row r="33001" spans="1:10" x14ac:dyDescent="0.25">
      <c r="A33001" t="s">
        <v>368</v>
      </c>
      <c r="B33001" s="1" t="str">
        <f>HYPERLINK("http://homesense.ie","homesense.ie")</f>
        <v>homesense.ie</v>
      </c>
      <c r="C33001" t="s">
        <v>455</v>
      </c>
      <c r="D33001" t="s">
        <v>832</v>
      </c>
      <c r="F33001">
        <v>2.5256800702774599E-8</v>
      </c>
      <c r="G33001">
        <v>2043467</v>
      </c>
      <c r="H33001">
        <v>13936007</v>
      </c>
      <c r="I33001">
        <v>4508240</v>
      </c>
      <c r="J33001">
        <v>3</v>
      </c>
    </row>
    <row r="33002" spans="1:10" x14ac:dyDescent="0.25">
      <c r="A33002" t="s">
        <v>368</v>
      </c>
      <c r="B33002" s="1" t="str">
        <f>HYPERLINK("http://tkmaxx.ie","tkmaxx.ie")</f>
        <v>tkmaxx.ie</v>
      </c>
      <c r="C33002" t="s">
        <v>455</v>
      </c>
      <c r="D33002" t="s">
        <v>832</v>
      </c>
      <c r="F33002">
        <v>3.1376452641723703E-8</v>
      </c>
      <c r="G33002">
        <v>1643745</v>
      </c>
      <c r="H33002">
        <v>14488432</v>
      </c>
      <c r="I33002">
        <v>933517</v>
      </c>
      <c r="J33002">
        <v>4</v>
      </c>
    </row>
    <row r="33003" spans="1:10" x14ac:dyDescent="0.25">
      <c r="A33003" t="s">
        <v>368</v>
      </c>
      <c r="B33003" s="1" t="str">
        <f>HYPERLINK("http://tkmaxx.nl","tkmaxx.nl")</f>
        <v>tkmaxx.nl</v>
      </c>
      <c r="C33003" t="s">
        <v>477</v>
      </c>
      <c r="D33003" t="s">
        <v>852</v>
      </c>
      <c r="E33003">
        <v>966012</v>
      </c>
      <c r="F33003">
        <v>2.7906419843839199E-8</v>
      </c>
      <c r="G33003">
        <v>1843122</v>
      </c>
      <c r="H33003">
        <v>13136475</v>
      </c>
      <c r="I33003">
        <v>11902173</v>
      </c>
      <c r="J33003">
        <v>4</v>
      </c>
    </row>
    <row r="33004" spans="1:10" x14ac:dyDescent="0.25">
      <c r="A33004" t="s">
        <v>368</v>
      </c>
      <c r="B33004" s="1" t="str">
        <f>HYPERLINK("http://tkmaxx.pl","tkmaxx.pl")</f>
        <v>tkmaxx.pl</v>
      </c>
      <c r="C33004" t="s">
        <v>486</v>
      </c>
      <c r="D33004" t="s">
        <v>860</v>
      </c>
      <c r="F33004">
        <v>4.1638078716850902E-8</v>
      </c>
      <c r="G33004">
        <v>1190349</v>
      </c>
      <c r="H33004">
        <v>14125459</v>
      </c>
      <c r="I33004">
        <v>2119316</v>
      </c>
      <c r="J33004">
        <v>3</v>
      </c>
    </row>
    <row r="33005" spans="1:10" x14ac:dyDescent="0.25">
      <c r="A33005" t="s">
        <v>368</v>
      </c>
      <c r="B33005" s="1" t="str">
        <f>HYPERLINK("http://pondenhome.co.uk","pondenhome.co.uk")</f>
        <v>pondenhome.co.uk</v>
      </c>
      <c r="C33005" t="s">
        <v>506</v>
      </c>
      <c r="D33005" t="s">
        <v>880</v>
      </c>
      <c r="F33005">
        <v>1.05559667010333E-8</v>
      </c>
      <c r="G33005">
        <v>6221438</v>
      </c>
      <c r="H33005">
        <v>13462781</v>
      </c>
      <c r="I33005">
        <v>10148005</v>
      </c>
      <c r="J33005">
        <v>4</v>
      </c>
    </row>
    <row r="33006" spans="1:10" x14ac:dyDescent="0.25">
      <c r="A33006" t="s">
        <v>368</v>
      </c>
      <c r="B33006" s="1" t="str">
        <f>HYPERLINK("http://www,tkmaxx.co.uk","www,tkmaxx.co.uk")</f>
        <v>www,tkmaxx.co.uk</v>
      </c>
      <c r="C33006" t="s">
        <v>506</v>
      </c>
      <c r="D33006" t="s">
        <v>880</v>
      </c>
      <c r="J33006">
        <v>7</v>
      </c>
    </row>
    <row r="33007" spans="1:10" x14ac:dyDescent="0.25">
      <c r="A33007" t="s">
        <v>369</v>
      </c>
      <c r="B33007" s="1" t="str">
        <f>HYPERLINK("http://ssmc.com","ssmc.com")</f>
        <v>ssmc.com</v>
      </c>
      <c r="C33007" t="s">
        <v>433</v>
      </c>
      <c r="F33007">
        <v>1.27834152974883E-8</v>
      </c>
      <c r="G33007">
        <v>4737706</v>
      </c>
      <c r="H33007">
        <v>14092631</v>
      </c>
      <c r="I33007">
        <v>2738797</v>
      </c>
      <c r="J33007">
        <v>3</v>
      </c>
    </row>
    <row r="33008" spans="1:10" x14ac:dyDescent="0.25">
      <c r="A33008" t="s">
        <v>369</v>
      </c>
      <c r="B33008" s="1" t="str">
        <f>HYPERLINK("http://tsmc.com","tsmc.com")</f>
        <v>tsmc.com</v>
      </c>
      <c r="C33008" t="s">
        <v>433</v>
      </c>
      <c r="E33008">
        <v>29464</v>
      </c>
      <c r="F33008">
        <v>8.5619927048597102E-7</v>
      </c>
      <c r="G33008">
        <v>46570</v>
      </c>
      <c r="H33008">
        <v>15723059</v>
      </c>
      <c r="I33008">
        <v>369297</v>
      </c>
      <c r="J33008">
        <v>1</v>
      </c>
    </row>
    <row r="33009" spans="1:10" x14ac:dyDescent="0.25">
      <c r="A33009" t="s">
        <v>369</v>
      </c>
      <c r="B33009" s="1" t="str">
        <f>HYPERLINK("http://viseratech.com","viseratech.com")</f>
        <v>viseratech.com</v>
      </c>
      <c r="C33009" t="s">
        <v>433</v>
      </c>
      <c r="F33009">
        <v>8.3525688679778006E-9</v>
      </c>
      <c r="G33009">
        <v>9140868</v>
      </c>
      <c r="H33009">
        <v>13863883</v>
      </c>
      <c r="I33009">
        <v>6012792</v>
      </c>
      <c r="J33009">
        <v>3</v>
      </c>
    </row>
    <row r="33010" spans="1:10" x14ac:dyDescent="0.25">
      <c r="A33010" t="s">
        <v>369</v>
      </c>
      <c r="B33010" s="1" t="str">
        <f>HYPERLINK("http://wafertech.com","wafertech.com")</f>
        <v>wafertech.com</v>
      </c>
      <c r="C33010" t="s">
        <v>433</v>
      </c>
      <c r="F33010">
        <v>1.31964908512178E-8</v>
      </c>
      <c r="G33010">
        <v>4539775</v>
      </c>
      <c r="H33010">
        <v>14245387</v>
      </c>
      <c r="I33010">
        <v>1466616</v>
      </c>
      <c r="J33010">
        <v>5</v>
      </c>
    </row>
    <row r="33011" spans="1:10" x14ac:dyDescent="0.25">
      <c r="A33011" t="s">
        <v>369</v>
      </c>
      <c r="B33011" s="1" t="str">
        <f>HYPERLINK("http://tsmc.com.tw","tsmc.com.tw")</f>
        <v>tsmc.com.tw</v>
      </c>
      <c r="C33011" t="s">
        <v>504</v>
      </c>
      <c r="D33011" t="s">
        <v>878</v>
      </c>
      <c r="E33011">
        <v>204269</v>
      </c>
      <c r="F33011">
        <v>2.6378944129333698E-8</v>
      </c>
      <c r="G33011">
        <v>1951967</v>
      </c>
      <c r="H33011">
        <v>14282841</v>
      </c>
      <c r="I33011">
        <v>1375931</v>
      </c>
      <c r="J33011">
        <v>2</v>
      </c>
    </row>
    <row r="33012" spans="1:10" x14ac:dyDescent="0.25">
      <c r="A33012" t="s">
        <v>370</v>
      </c>
      <c r="B33012" s="1" t="str">
        <f>HYPERLINK("http://biolife.at","biolife.at")</f>
        <v>biolife.at</v>
      </c>
      <c r="C33012" t="s">
        <v>419</v>
      </c>
      <c r="D33012" t="s">
        <v>801</v>
      </c>
      <c r="F33012">
        <v>8.2303076821713697E-9</v>
      </c>
      <c r="G33012">
        <v>9432580</v>
      </c>
      <c r="H33012">
        <v>8676267</v>
      </c>
      <c r="I33012">
        <v>70137155</v>
      </c>
      <c r="J33012">
        <v>6</v>
      </c>
    </row>
    <row r="33013" spans="1:10" x14ac:dyDescent="0.25">
      <c r="A33013" t="s">
        <v>370</v>
      </c>
      <c r="B33013" s="1" t="str">
        <f>HYPERLINK("http://plasmazentrum.at","plasmazentrum.at")</f>
        <v>plasmazentrum.at</v>
      </c>
      <c r="C33013" t="s">
        <v>419</v>
      </c>
      <c r="D33013" t="s">
        <v>801</v>
      </c>
      <c r="F33013">
        <v>1.88071889907358E-8</v>
      </c>
      <c r="G33013">
        <v>2870211</v>
      </c>
      <c r="H33013">
        <v>12563732</v>
      </c>
      <c r="I33013">
        <v>16679800</v>
      </c>
      <c r="J33013">
        <v>4</v>
      </c>
    </row>
    <row r="33014" spans="1:10" x14ac:dyDescent="0.25">
      <c r="A33014" t="s">
        <v>370</v>
      </c>
      <c r="B33014" s="1" t="str">
        <f>HYPERLINK("http://takeda.at","takeda.at")</f>
        <v>takeda.at</v>
      </c>
      <c r="C33014" t="s">
        <v>419</v>
      </c>
      <c r="D33014" t="s">
        <v>801</v>
      </c>
      <c r="F33014">
        <v>2.0787714908249999E-8</v>
      </c>
      <c r="G33014">
        <v>2544736</v>
      </c>
      <c r="H33014">
        <v>12678670</v>
      </c>
      <c r="I33014">
        <v>15512489</v>
      </c>
      <c r="J33014">
        <v>2</v>
      </c>
    </row>
    <row r="33015" spans="1:10" x14ac:dyDescent="0.25">
      <c r="A33015" t="s">
        <v>370</v>
      </c>
      <c r="B33015" s="1" t="str">
        <f>HYPERLINK("http://shireaustralia.com.au","shireaustralia.com.au")</f>
        <v>shireaustralia.com.au</v>
      </c>
      <c r="C33015" t="s">
        <v>420</v>
      </c>
      <c r="D33015" t="s">
        <v>802</v>
      </c>
      <c r="F33015">
        <v>8.5075386500918304E-9</v>
      </c>
      <c r="G33015">
        <v>8831401</v>
      </c>
      <c r="H33015">
        <v>12116078</v>
      </c>
      <c r="I33015">
        <v>25580414</v>
      </c>
      <c r="J33015">
        <v>4</v>
      </c>
    </row>
    <row r="33016" spans="1:10" x14ac:dyDescent="0.25">
      <c r="A33016" t="s">
        <v>370</v>
      </c>
      <c r="B33016" s="1" t="str">
        <f>HYPERLINK("http://takeda.ba","takeda.ba")</f>
        <v>takeda.ba</v>
      </c>
      <c r="C33016" t="s">
        <v>526</v>
      </c>
      <c r="D33016" t="s">
        <v>893</v>
      </c>
      <c r="F33016">
        <v>5.7952191677500704E-9</v>
      </c>
      <c r="G33016">
        <v>18122902</v>
      </c>
      <c r="H33016">
        <v>12277841</v>
      </c>
      <c r="I33016">
        <v>21351819</v>
      </c>
      <c r="J33016">
        <v>2</v>
      </c>
    </row>
    <row r="33017" spans="1:10" x14ac:dyDescent="0.25">
      <c r="A33017" t="s">
        <v>370</v>
      </c>
      <c r="B33017" s="1" t="str">
        <f>HYPERLINK("http://supportibd.be","supportibd.be")</f>
        <v>supportibd.be</v>
      </c>
      <c r="C33017" t="s">
        <v>421</v>
      </c>
      <c r="D33017" t="s">
        <v>803</v>
      </c>
      <c r="F33017">
        <v>5.2596928539740901E-9</v>
      </c>
      <c r="G33017">
        <v>24108477</v>
      </c>
      <c r="H33017">
        <v>10952087</v>
      </c>
      <c r="I33017">
        <v>34534767</v>
      </c>
      <c r="J33017">
        <v>3</v>
      </c>
    </row>
    <row r="33018" spans="1:10" x14ac:dyDescent="0.25">
      <c r="A33018" t="s">
        <v>370</v>
      </c>
      <c r="B33018" s="1" t="str">
        <f>HYPERLINK("http://takeda.be","takeda.be")</f>
        <v>takeda.be</v>
      </c>
      <c r="C33018" t="s">
        <v>421</v>
      </c>
      <c r="D33018" t="s">
        <v>803</v>
      </c>
      <c r="F33018">
        <v>9.3971135136063099E-9</v>
      </c>
      <c r="G33018">
        <v>7447979</v>
      </c>
      <c r="H33018">
        <v>12297892</v>
      </c>
      <c r="I33018">
        <v>20889567</v>
      </c>
      <c r="J33018">
        <v>2</v>
      </c>
    </row>
    <row r="33019" spans="1:10" x14ac:dyDescent="0.25">
      <c r="A33019" t="s">
        <v>370</v>
      </c>
      <c r="B33019" s="1" t="str">
        <f>HYPERLINK("http://sicmar.com.br","sicmar.com.br")</f>
        <v>sicmar.com.br</v>
      </c>
      <c r="C33019" t="s">
        <v>425</v>
      </c>
      <c r="D33019" t="s">
        <v>806</v>
      </c>
      <c r="J33019">
        <v>6</v>
      </c>
    </row>
    <row r="33020" spans="1:10" x14ac:dyDescent="0.25">
      <c r="A33020" t="s">
        <v>370</v>
      </c>
      <c r="B33020" s="1" t="str">
        <f>HYPERLINK("http://takeda.ch","takeda.ch")</f>
        <v>takeda.ch</v>
      </c>
      <c r="C33020" t="s">
        <v>429</v>
      </c>
      <c r="D33020" t="s">
        <v>810</v>
      </c>
      <c r="F33020">
        <v>1.28544095733611E-8</v>
      </c>
      <c r="G33020">
        <v>4702085</v>
      </c>
      <c r="H33020">
        <v>12448577</v>
      </c>
      <c r="I33020">
        <v>18037260</v>
      </c>
      <c r="J33020">
        <v>2</v>
      </c>
    </row>
    <row r="33021" spans="1:10" x14ac:dyDescent="0.25">
      <c r="A33021" t="s">
        <v>370</v>
      </c>
      <c r="B33021" s="1" t="str">
        <f>HYPERLINK("http://takeda.com.cn","takeda.com.cn")</f>
        <v>takeda.com.cn</v>
      </c>
      <c r="C33021" t="s">
        <v>431</v>
      </c>
      <c r="D33021" t="s">
        <v>812</v>
      </c>
      <c r="E33021">
        <v>577581</v>
      </c>
      <c r="F33021">
        <v>1.0270043765227001E-8</v>
      </c>
      <c r="G33021">
        <v>6479272</v>
      </c>
      <c r="H33021">
        <v>12277873</v>
      </c>
      <c r="I33021">
        <v>21350618</v>
      </c>
      <c r="J33021">
        <v>2</v>
      </c>
    </row>
    <row r="33022" spans="1:10" x14ac:dyDescent="0.25">
      <c r="A33022" t="s">
        <v>370</v>
      </c>
      <c r="B33022" s="1" t="str">
        <f>HYPERLINK("http://ariad.com","ariad.com")</f>
        <v>ariad.com</v>
      </c>
      <c r="C33022" t="s">
        <v>433</v>
      </c>
      <c r="F33022">
        <v>5.6886714842974197E-8</v>
      </c>
      <c r="G33022">
        <v>785191</v>
      </c>
      <c r="H33022">
        <v>14539471</v>
      </c>
      <c r="I33022">
        <v>776363</v>
      </c>
      <c r="J33022">
        <v>3</v>
      </c>
    </row>
    <row r="33023" spans="1:10" x14ac:dyDescent="0.25">
      <c r="A33023" t="s">
        <v>370</v>
      </c>
      <c r="B33023" s="1" t="str">
        <f>HYPERLINK("http://gtcaustria.com","gtcaustria.com")</f>
        <v>gtcaustria.com</v>
      </c>
      <c r="C33023" t="s">
        <v>433</v>
      </c>
      <c r="F33023">
        <v>5.7034454306788397E-9</v>
      </c>
      <c r="G33023">
        <v>18900142</v>
      </c>
      <c r="H33023">
        <v>12241581</v>
      </c>
      <c r="I33023">
        <v>22210276</v>
      </c>
      <c r="J33023">
        <v>3</v>
      </c>
    </row>
    <row r="33024" spans="1:10" x14ac:dyDescent="0.25">
      <c r="A33024" t="s">
        <v>370</v>
      </c>
      <c r="B33024" s="1" t="str">
        <f>HYPERLINK("http://shire.com","shire.com")</f>
        <v>shire.com</v>
      </c>
      <c r="C33024" t="s">
        <v>433</v>
      </c>
      <c r="E33024">
        <v>48825</v>
      </c>
      <c r="F33024">
        <v>3.9952745271126601E-7</v>
      </c>
      <c r="G33024">
        <v>93929</v>
      </c>
      <c r="H33024">
        <v>17186038</v>
      </c>
      <c r="I33024">
        <v>44384</v>
      </c>
      <c r="J33024">
        <v>3</v>
      </c>
    </row>
    <row r="33025" spans="1:10" x14ac:dyDescent="0.25">
      <c r="A33025" t="s">
        <v>370</v>
      </c>
      <c r="B33025" s="1" t="str">
        <f>HYPERLINK("http://takeda.com","takeda.com")</f>
        <v>takeda.com</v>
      </c>
      <c r="C33025" t="s">
        <v>433</v>
      </c>
      <c r="E33025">
        <v>18815</v>
      </c>
      <c r="F33025">
        <v>3.14005235592863E-6</v>
      </c>
      <c r="G33025">
        <v>12575</v>
      </c>
      <c r="H33025">
        <v>17553646</v>
      </c>
      <c r="I33025">
        <v>11165</v>
      </c>
      <c r="J33025">
        <v>1</v>
      </c>
    </row>
    <row r="33026" spans="1:10" x14ac:dyDescent="0.25">
      <c r="A33026" t="s">
        <v>370</v>
      </c>
      <c r="B33026" s="1" t="str">
        <f>HYPERLINK("http://takedacanada.com","takedacanada.com")</f>
        <v>takedacanada.com</v>
      </c>
      <c r="C33026" t="s">
        <v>433</v>
      </c>
      <c r="F33026">
        <v>1.1416785353298101E-8</v>
      </c>
      <c r="G33026">
        <v>5562945</v>
      </c>
      <c r="H33026">
        <v>13000765</v>
      </c>
      <c r="I33026">
        <v>12792470</v>
      </c>
      <c r="J33026">
        <v>4</v>
      </c>
    </row>
    <row r="33027" spans="1:10" x14ac:dyDescent="0.25">
      <c r="A33027" t="s">
        <v>370</v>
      </c>
      <c r="B33027" s="1" t="str">
        <f>HYPERLINK("http://takedamexico.com","takedamexico.com")</f>
        <v>takedamexico.com</v>
      </c>
      <c r="C33027" t="s">
        <v>433</v>
      </c>
      <c r="F33027">
        <v>7.2571167096179996E-9</v>
      </c>
      <c r="G33027">
        <v>11586320</v>
      </c>
      <c r="H33027">
        <v>12553049</v>
      </c>
      <c r="I33027">
        <v>16800010</v>
      </c>
      <c r="J33027">
        <v>3</v>
      </c>
    </row>
    <row r="33028" spans="1:10" x14ac:dyDescent="0.25">
      <c r="A33028" t="s">
        <v>370</v>
      </c>
      <c r="B33028" s="1" t="str">
        <f>HYPERLINK("http://takedaventures.com","takedaventures.com")</f>
        <v>takedaventures.com</v>
      </c>
      <c r="C33028" t="s">
        <v>433</v>
      </c>
      <c r="F33028">
        <v>1.0361442625691E-8</v>
      </c>
      <c r="G33028">
        <v>6394332</v>
      </c>
      <c r="H33028">
        <v>14073301</v>
      </c>
      <c r="I33028">
        <v>3003510</v>
      </c>
      <c r="J33028">
        <v>4</v>
      </c>
    </row>
    <row r="33029" spans="1:10" x14ac:dyDescent="0.25">
      <c r="A33029" t="s">
        <v>370</v>
      </c>
      <c r="B33029" s="1" t="str">
        <f>HYPERLINK("http://takeda.de","takeda.de")</f>
        <v>takeda.de</v>
      </c>
      <c r="C33029" t="s">
        <v>436</v>
      </c>
      <c r="D33029" t="s">
        <v>815</v>
      </c>
      <c r="F33029">
        <v>4.9467170810853699E-8</v>
      </c>
      <c r="G33029">
        <v>935394</v>
      </c>
      <c r="H33029">
        <v>13054041</v>
      </c>
      <c r="I33029">
        <v>12571197</v>
      </c>
      <c r="J33029">
        <v>2</v>
      </c>
    </row>
    <row r="33030" spans="1:10" x14ac:dyDescent="0.25">
      <c r="A33030" t="s">
        <v>370</v>
      </c>
      <c r="B33030" s="1" t="str">
        <f>HYPERLINK("http://takeda.dk","takeda.dk")</f>
        <v>takeda.dk</v>
      </c>
      <c r="C33030" t="s">
        <v>437</v>
      </c>
      <c r="D33030" t="s">
        <v>816</v>
      </c>
      <c r="F33030">
        <v>7.0108199386791197E-9</v>
      </c>
      <c r="G33030">
        <v>12280362</v>
      </c>
      <c r="H33030">
        <v>12280417</v>
      </c>
      <c r="I33030">
        <v>21296492</v>
      </c>
      <c r="J33030">
        <v>2</v>
      </c>
    </row>
    <row r="33031" spans="1:10" x14ac:dyDescent="0.25">
      <c r="A33031" t="s">
        <v>370</v>
      </c>
      <c r="B33031" s="1" t="str">
        <f>HYPERLINK("http://takeda.ee","takeda.ee")</f>
        <v>takeda.ee</v>
      </c>
      <c r="C33031" t="s">
        <v>441</v>
      </c>
      <c r="D33031" t="s">
        <v>820</v>
      </c>
      <c r="F33031">
        <v>5.8261655349096103E-9</v>
      </c>
      <c r="G33031">
        <v>17892313</v>
      </c>
      <c r="H33031">
        <v>12277854</v>
      </c>
      <c r="I33031">
        <v>21351427</v>
      </c>
      <c r="J33031">
        <v>2</v>
      </c>
    </row>
    <row r="33032" spans="1:10" x14ac:dyDescent="0.25">
      <c r="A33032" t="s">
        <v>370</v>
      </c>
      <c r="B33032" s="1" t="str">
        <f>HYPERLINK("http://takeda.es","takeda.es")</f>
        <v>takeda.es</v>
      </c>
      <c r="C33032" t="s">
        <v>443</v>
      </c>
      <c r="D33032" t="s">
        <v>822</v>
      </c>
      <c r="F33032">
        <v>1.05674769062703E-8</v>
      </c>
      <c r="G33032">
        <v>6211456</v>
      </c>
      <c r="H33032">
        <v>12332297</v>
      </c>
      <c r="I33032">
        <v>20163124</v>
      </c>
      <c r="J33032">
        <v>2</v>
      </c>
    </row>
    <row r="33033" spans="1:10" x14ac:dyDescent="0.25">
      <c r="A33033" t="s">
        <v>370</v>
      </c>
      <c r="B33033" s="1" t="str">
        <f>HYPERLINK("http://tdceurope.eu","tdceurope.eu")</f>
        <v>tdceurope.eu</v>
      </c>
      <c r="C33033" t="s">
        <v>444</v>
      </c>
      <c r="F33033">
        <v>5.2754342715362697E-9</v>
      </c>
      <c r="G33033">
        <v>23856801</v>
      </c>
      <c r="H33033">
        <v>11401350</v>
      </c>
      <c r="I33033">
        <v>30219626</v>
      </c>
      <c r="J33033">
        <v>4</v>
      </c>
    </row>
    <row r="33034" spans="1:10" x14ac:dyDescent="0.25">
      <c r="A33034" t="s">
        <v>370</v>
      </c>
      <c r="B33034" s="1" t="str">
        <f>HYPERLINK("http://adcetris.fi","adcetris.fi")</f>
        <v>adcetris.fi</v>
      </c>
      <c r="C33034" t="s">
        <v>445</v>
      </c>
      <c r="D33034" t="s">
        <v>823</v>
      </c>
      <c r="J33034">
        <v>2</v>
      </c>
    </row>
    <row r="33035" spans="1:10" x14ac:dyDescent="0.25">
      <c r="A33035" t="s">
        <v>370</v>
      </c>
      <c r="B33035" s="1" t="str">
        <f>HYPERLINK("http://adhdjasin.fi","adhdjasin.fi")</f>
        <v>adhdjasin.fi</v>
      </c>
      <c r="C33035" t="s">
        <v>445</v>
      </c>
      <c r="D33035" t="s">
        <v>823</v>
      </c>
      <c r="J33035">
        <v>2</v>
      </c>
    </row>
    <row r="33036" spans="1:10" x14ac:dyDescent="0.25">
      <c r="A33036" t="s">
        <v>370</v>
      </c>
      <c r="B33036" s="1" t="str">
        <f>HYPERLINK("http://adhdjasina.fi","adhdjasina.fi")</f>
        <v>adhdjasina.fi</v>
      </c>
      <c r="C33036" t="s">
        <v>445</v>
      </c>
      <c r="D33036" t="s">
        <v>823</v>
      </c>
      <c r="J33036">
        <v>2</v>
      </c>
    </row>
    <row r="33037" spans="1:10" x14ac:dyDescent="0.25">
      <c r="A33037" t="s">
        <v>370</v>
      </c>
      <c r="B33037" s="1" t="str">
        <f>HYPERLINK("http://adhdtukipaketti.fi","adhdtukipaketti.fi")</f>
        <v>adhdtukipaketti.fi</v>
      </c>
      <c r="C33037" t="s">
        <v>445</v>
      </c>
      <c r="D33037" t="s">
        <v>823</v>
      </c>
      <c r="F33037">
        <v>5.7312418362040604E-9</v>
      </c>
      <c r="G33037">
        <v>18654565</v>
      </c>
      <c r="H33037">
        <v>12305419</v>
      </c>
      <c r="I33037">
        <v>20727475</v>
      </c>
      <c r="J33037">
        <v>2</v>
      </c>
    </row>
    <row r="33038" spans="1:10" x14ac:dyDescent="0.25">
      <c r="A33038" t="s">
        <v>370</v>
      </c>
      <c r="B33038" s="1" t="str">
        <f>HYPERLINK("http://adhdtuntuu.fi","adhdtuntuu.fi")</f>
        <v>adhdtuntuu.fi</v>
      </c>
      <c r="C33038" t="s">
        <v>445</v>
      </c>
      <c r="D33038" t="s">
        <v>823</v>
      </c>
      <c r="F33038">
        <v>6.6041361865938899E-9</v>
      </c>
      <c r="G33038">
        <v>13661301</v>
      </c>
      <c r="H33038">
        <v>12284807</v>
      </c>
      <c r="I33038">
        <v>21214635</v>
      </c>
      <c r="J33038">
        <v>2</v>
      </c>
    </row>
    <row r="33039" spans="1:10" x14ac:dyDescent="0.25">
      <c r="A33039" t="s">
        <v>370</v>
      </c>
      <c r="B33039" s="1" t="str">
        <f>HYPERLINK("http://adhypo.fi","adhypo.fi")</f>
        <v>adhypo.fi</v>
      </c>
      <c r="C33039" t="s">
        <v>445</v>
      </c>
      <c r="D33039" t="s">
        <v>823</v>
      </c>
      <c r="J33039">
        <v>2</v>
      </c>
    </row>
    <row r="33040" spans="1:10" x14ac:dyDescent="0.25">
      <c r="A33040" t="s">
        <v>370</v>
      </c>
      <c r="B33040" s="1" t="str">
        <f>HYPERLINK("http://ariad.fi","ariad.fi")</f>
        <v>ariad.fi</v>
      </c>
      <c r="C33040" t="s">
        <v>445</v>
      </c>
      <c r="D33040" t="s">
        <v>823</v>
      </c>
      <c r="J33040">
        <v>2</v>
      </c>
    </row>
    <row r="33041" spans="1:10" x14ac:dyDescent="0.25">
      <c r="A33041" t="s">
        <v>370</v>
      </c>
      <c r="B33041" s="1" t="str">
        <f>HYPERLINK("http://avitahydra.fi","avitahydra.fi")</f>
        <v>avitahydra.fi</v>
      </c>
      <c r="C33041" t="s">
        <v>445</v>
      </c>
      <c r="D33041" t="s">
        <v>823</v>
      </c>
      <c r="J33041">
        <v>2</v>
      </c>
    </row>
    <row r="33042" spans="1:10" x14ac:dyDescent="0.25">
      <c r="A33042" t="s">
        <v>370</v>
      </c>
      <c r="B33042" s="1" t="str">
        <f>HYPERLINK("http://avitahydraplus.fi","avitahydraplus.fi")</f>
        <v>avitahydraplus.fi</v>
      </c>
      <c r="C33042" t="s">
        <v>445</v>
      </c>
      <c r="D33042" t="s">
        <v>823</v>
      </c>
      <c r="J33042">
        <v>2</v>
      </c>
    </row>
    <row r="33043" spans="1:10" x14ac:dyDescent="0.25">
      <c r="A33043" t="s">
        <v>370</v>
      </c>
      <c r="B33043" s="1" t="str">
        <f>HYPERLINK("http://baxalta.fi","baxalta.fi")</f>
        <v>baxalta.fi</v>
      </c>
      <c r="C33043" t="s">
        <v>445</v>
      </c>
      <c r="D33043" t="s">
        <v>823</v>
      </c>
      <c r="J33043">
        <v>2</v>
      </c>
    </row>
    <row r="33044" spans="1:10" x14ac:dyDescent="0.25">
      <c r="A33044" t="s">
        <v>370</v>
      </c>
      <c r="B33044" s="1" t="str">
        <f>HYPERLINK("http://baxchoice.fi","baxchoice.fi")</f>
        <v>baxchoice.fi</v>
      </c>
      <c r="C33044" t="s">
        <v>445</v>
      </c>
      <c r="D33044" t="s">
        <v>823</v>
      </c>
      <c r="J33044">
        <v>2</v>
      </c>
    </row>
    <row r="33045" spans="1:10" x14ac:dyDescent="0.25">
      <c r="A33045" t="s">
        <v>370</v>
      </c>
      <c r="B33045" s="1" t="str">
        <f>HYPERLINK("http://berex.fi","berex.fi")</f>
        <v>berex.fi</v>
      </c>
      <c r="C33045" t="s">
        <v>445</v>
      </c>
      <c r="D33045" t="s">
        <v>823</v>
      </c>
      <c r="J33045">
        <v>2</v>
      </c>
    </row>
    <row r="33046" spans="1:10" x14ac:dyDescent="0.25">
      <c r="A33046" t="s">
        <v>370</v>
      </c>
      <c r="B33046" s="1" t="str">
        <f>HYPERLINK("http://calcifit.fi","calcifit.fi")</f>
        <v>calcifit.fi</v>
      </c>
      <c r="C33046" t="s">
        <v>445</v>
      </c>
      <c r="D33046" t="s">
        <v>823</v>
      </c>
      <c r="F33046">
        <v>4.57326535030351E-9</v>
      </c>
      <c r="G33046">
        <v>49890601</v>
      </c>
      <c r="H33046">
        <v>10343826</v>
      </c>
      <c r="I33046">
        <v>57646091</v>
      </c>
      <c r="J33046">
        <v>2</v>
      </c>
    </row>
    <row r="33047" spans="1:10" x14ac:dyDescent="0.25">
      <c r="A33047" t="s">
        <v>370</v>
      </c>
      <c r="B33047" s="1" t="str">
        <f>HYPERLINK("http://changedengue.fi","changedengue.fi")</f>
        <v>changedengue.fi</v>
      </c>
      <c r="C33047" t="s">
        <v>445</v>
      </c>
      <c r="D33047" t="s">
        <v>823</v>
      </c>
      <c r="J33047">
        <v>2</v>
      </c>
    </row>
    <row r="33048" spans="1:10" x14ac:dyDescent="0.25">
      <c r="A33048" t="s">
        <v>370</v>
      </c>
      <c r="B33048" s="1" t="str">
        <f>HYPERLINK("http://circadin.fi","circadin.fi")</f>
        <v>circadin.fi</v>
      </c>
      <c r="C33048" t="s">
        <v>445</v>
      </c>
      <c r="D33048" t="s">
        <v>823</v>
      </c>
      <c r="J33048">
        <v>2</v>
      </c>
    </row>
    <row r="33049" spans="1:10" x14ac:dyDescent="0.25">
      <c r="A33049" t="s">
        <v>370</v>
      </c>
      <c r="B33049" s="1" t="str">
        <f>HYPERLINK("http://deferitazole.fi","deferitazole.fi")</f>
        <v>deferitazole.fi</v>
      </c>
      <c r="C33049" t="s">
        <v>445</v>
      </c>
      <c r="D33049" t="s">
        <v>823</v>
      </c>
      <c r="J33049">
        <v>2</v>
      </c>
    </row>
    <row r="33050" spans="1:10" x14ac:dyDescent="0.25">
      <c r="A33050" t="s">
        <v>370</v>
      </c>
      <c r="B33050" s="1" t="str">
        <f>HYPERLINK("http://denguekuumetietoa.fi","denguekuumetietoa.fi")</f>
        <v>denguekuumetietoa.fi</v>
      </c>
      <c r="C33050" t="s">
        <v>445</v>
      </c>
      <c r="D33050" t="s">
        <v>823</v>
      </c>
      <c r="J33050">
        <v>2</v>
      </c>
    </row>
    <row r="33051" spans="1:10" x14ac:dyDescent="0.25">
      <c r="A33051" t="s">
        <v>370</v>
      </c>
      <c r="B33051" s="1" t="str">
        <f>HYPERLINK("http://denguelocation.fi","denguelocation.fi")</f>
        <v>denguelocation.fi</v>
      </c>
      <c r="C33051" t="s">
        <v>445</v>
      </c>
      <c r="D33051" t="s">
        <v>823</v>
      </c>
      <c r="J33051">
        <v>2</v>
      </c>
    </row>
    <row r="33052" spans="1:10" x14ac:dyDescent="0.25">
      <c r="A33052" t="s">
        <v>370</v>
      </c>
      <c r="B33052" s="1" t="str">
        <f>HYPERLINK("http://denguenow.fi","denguenow.fi")</f>
        <v>denguenow.fi</v>
      </c>
      <c r="C33052" t="s">
        <v>445</v>
      </c>
      <c r="D33052" t="s">
        <v>823</v>
      </c>
      <c r="J33052">
        <v>2</v>
      </c>
    </row>
    <row r="33053" spans="1:10" x14ac:dyDescent="0.25">
      <c r="A33053" t="s">
        <v>370</v>
      </c>
      <c r="B33053" s="1" t="str">
        <f>HYPERLINK("http://diabeteshoitoon.fi","diabeteshoitoon.fi")</f>
        <v>diabeteshoitoon.fi</v>
      </c>
      <c r="C33053" t="s">
        <v>445</v>
      </c>
      <c r="D33053" t="s">
        <v>823</v>
      </c>
      <c r="J33053">
        <v>2</v>
      </c>
    </row>
    <row r="33054" spans="1:10" x14ac:dyDescent="0.25">
      <c r="A33054" t="s">
        <v>370</v>
      </c>
      <c r="B33054" s="1" t="str">
        <f>HYPERLINK("http://elaprase.fi","elaprase.fi")</f>
        <v>elaprase.fi</v>
      </c>
      <c r="C33054" t="s">
        <v>445</v>
      </c>
      <c r="D33054" t="s">
        <v>823</v>
      </c>
      <c r="J33054">
        <v>2</v>
      </c>
    </row>
    <row r="33055" spans="1:10" x14ac:dyDescent="0.25">
      <c r="A33055" t="s">
        <v>370</v>
      </c>
      <c r="B33055" s="1" t="str">
        <f>HYPERLINK("http://elvanse-adult.fi","elvanse-adult.fi")</f>
        <v>elvanse-adult.fi</v>
      </c>
      <c r="C33055" t="s">
        <v>445</v>
      </c>
      <c r="D33055" t="s">
        <v>823</v>
      </c>
      <c r="J33055">
        <v>2</v>
      </c>
    </row>
    <row r="33056" spans="1:10" x14ac:dyDescent="0.25">
      <c r="A33056" t="s">
        <v>370</v>
      </c>
      <c r="B33056" s="1" t="str">
        <f>HYPERLINK("http://elvanseadult.fi","elvanseadult.fi")</f>
        <v>elvanseadult.fi</v>
      </c>
      <c r="C33056" t="s">
        <v>445</v>
      </c>
      <c r="D33056" t="s">
        <v>823</v>
      </c>
      <c r="J33056">
        <v>2</v>
      </c>
    </row>
    <row r="33057" spans="1:10" x14ac:dyDescent="0.25">
      <c r="A33057" t="s">
        <v>370</v>
      </c>
      <c r="B33057" s="1" t="str">
        <f>HYPERLINK("http://elvantrin.fi","elvantrin.fi")</f>
        <v>elvantrin.fi</v>
      </c>
      <c r="C33057" t="s">
        <v>445</v>
      </c>
      <c r="D33057" t="s">
        <v>823</v>
      </c>
      <c r="J33057">
        <v>2</v>
      </c>
    </row>
    <row r="33058" spans="1:10" x14ac:dyDescent="0.25">
      <c r="A33058" t="s">
        <v>370</v>
      </c>
      <c r="B33058" s="1" t="str">
        <f>HYPERLINK("http://entyvio.fi","entyvio.fi")</f>
        <v>entyvio.fi</v>
      </c>
      <c r="C33058" t="s">
        <v>445</v>
      </c>
      <c r="D33058" t="s">
        <v>823</v>
      </c>
      <c r="J33058">
        <v>2</v>
      </c>
    </row>
    <row r="33059" spans="1:10" x14ac:dyDescent="0.25">
      <c r="A33059" t="s">
        <v>370</v>
      </c>
      <c r="B33059" s="1" t="str">
        <f>HYPERLINK("http://equasym.fi","equasym.fi")</f>
        <v>equasym.fi</v>
      </c>
      <c r="C33059" t="s">
        <v>445</v>
      </c>
      <c r="D33059" t="s">
        <v>823</v>
      </c>
      <c r="J33059">
        <v>2</v>
      </c>
    </row>
    <row r="33060" spans="1:10" x14ac:dyDescent="0.25">
      <c r="A33060" t="s">
        <v>370</v>
      </c>
      <c r="B33060" s="1" t="str">
        <f>HYPERLINK("http://flunssatutka.fi","flunssatutka.fi")</f>
        <v>flunssatutka.fi</v>
      </c>
      <c r="C33060" t="s">
        <v>445</v>
      </c>
      <c r="D33060" t="s">
        <v>823</v>
      </c>
      <c r="F33060">
        <v>4.4438335000452598E-9</v>
      </c>
      <c r="G33060">
        <v>78967759</v>
      </c>
      <c r="H33060">
        <v>10480218</v>
      </c>
      <c r="I33060">
        <v>51032481</v>
      </c>
      <c r="J33060">
        <v>2</v>
      </c>
    </row>
    <row r="33061" spans="1:10" x14ac:dyDescent="0.25">
      <c r="A33061" t="s">
        <v>370</v>
      </c>
      <c r="B33061" s="1" t="str">
        <f>HYPERLINK("http://focusonhae.fi","focusonhae.fi")</f>
        <v>focusonhae.fi</v>
      </c>
      <c r="C33061" t="s">
        <v>445</v>
      </c>
      <c r="D33061" t="s">
        <v>823</v>
      </c>
      <c r="J33061">
        <v>2</v>
      </c>
    </row>
    <row r="33062" spans="1:10" x14ac:dyDescent="0.25">
      <c r="A33062" t="s">
        <v>370</v>
      </c>
      <c r="B33062" s="1" t="str">
        <f>HYPERLINK("http://fullattention.fi","fullattention.fi")</f>
        <v>fullattention.fi</v>
      </c>
      <c r="C33062" t="s">
        <v>445</v>
      </c>
      <c r="D33062" t="s">
        <v>823</v>
      </c>
      <c r="J33062">
        <v>2</v>
      </c>
    </row>
    <row r="33063" spans="1:10" x14ac:dyDescent="0.25">
      <c r="A33063" t="s">
        <v>370</v>
      </c>
      <c r="B33063" s="1" t="str">
        <f>HYPERLINK("http://glucadol.fi","glucadol.fi")</f>
        <v>glucadol.fi</v>
      </c>
      <c r="C33063" t="s">
        <v>445</v>
      </c>
      <c r="D33063" t="s">
        <v>823</v>
      </c>
      <c r="J33063">
        <v>2</v>
      </c>
    </row>
    <row r="33064" spans="1:10" x14ac:dyDescent="0.25">
      <c r="A33064" t="s">
        <v>370</v>
      </c>
      <c r="B33064" s="1" t="str">
        <f>HYPERLINK("http://hyalgan.fi","hyalgan.fi")</f>
        <v>hyalgan.fi</v>
      </c>
      <c r="C33064" t="s">
        <v>445</v>
      </c>
      <c r="D33064" t="s">
        <v>823</v>
      </c>
      <c r="J33064">
        <v>2</v>
      </c>
    </row>
    <row r="33065" spans="1:10" x14ac:dyDescent="0.25">
      <c r="A33065" t="s">
        <v>370</v>
      </c>
      <c r="B33065" s="1" t="str">
        <f>HYPERLINK("http://hypopara.fi","hypopara.fi")</f>
        <v>hypopara.fi</v>
      </c>
      <c r="C33065" t="s">
        <v>445</v>
      </c>
      <c r="D33065" t="s">
        <v>823</v>
      </c>
      <c r="J33065">
        <v>2</v>
      </c>
    </row>
    <row r="33066" spans="1:10" x14ac:dyDescent="0.25">
      <c r="A33066" t="s">
        <v>370</v>
      </c>
      <c r="B33066" s="1" t="str">
        <f>HYPERLINK("http://hypoparathyroidism.fi","hypoparathyroidism.fi")</f>
        <v>hypoparathyroidism.fi</v>
      </c>
      <c r="C33066" t="s">
        <v>445</v>
      </c>
      <c r="D33066" t="s">
        <v>823</v>
      </c>
      <c r="J33066">
        <v>2</v>
      </c>
    </row>
    <row r="33067" spans="1:10" x14ac:dyDescent="0.25">
      <c r="A33067" t="s">
        <v>370</v>
      </c>
      <c r="B33067" s="1" t="str">
        <f>HYPERLINK("http://hyqvia.fi","hyqvia.fi")</f>
        <v>hyqvia.fi</v>
      </c>
      <c r="C33067" t="s">
        <v>445</v>
      </c>
      <c r="D33067" t="s">
        <v>823</v>
      </c>
      <c r="J33067">
        <v>2</v>
      </c>
    </row>
    <row r="33068" spans="1:10" x14ac:dyDescent="0.25">
      <c r="A33068" t="s">
        <v>370</v>
      </c>
      <c r="B33068" s="1" t="str">
        <f>HYPERLINK("http://ibd-mekanismi.fi","ibd-mekanismi.fi")</f>
        <v>ibd-mekanismi.fi</v>
      </c>
      <c r="C33068" t="s">
        <v>445</v>
      </c>
      <c r="D33068" t="s">
        <v>823</v>
      </c>
      <c r="J33068">
        <v>2</v>
      </c>
    </row>
    <row r="33069" spans="1:10" x14ac:dyDescent="0.25">
      <c r="A33069" t="s">
        <v>370</v>
      </c>
      <c r="B33069" s="1" t="str">
        <f>HYPERLINK("http://ibdmekanismi.fi","ibdmekanismi.fi")</f>
        <v>ibdmekanismi.fi</v>
      </c>
      <c r="C33069" t="s">
        <v>445</v>
      </c>
      <c r="D33069" t="s">
        <v>823</v>
      </c>
      <c r="J33069">
        <v>2</v>
      </c>
    </row>
    <row r="33070" spans="1:10" x14ac:dyDescent="0.25">
      <c r="A33070" t="s">
        <v>370</v>
      </c>
      <c r="B33070" s="1" t="str">
        <f>HYPERLINK("http://ibwe.fi","ibwe.fi")</f>
        <v>ibwe.fi</v>
      </c>
      <c r="C33070" t="s">
        <v>445</v>
      </c>
      <c r="D33070" t="s">
        <v>823</v>
      </c>
      <c r="J33070">
        <v>2</v>
      </c>
    </row>
    <row r="33071" spans="1:10" x14ac:dyDescent="0.25">
      <c r="A33071" t="s">
        <v>370</v>
      </c>
      <c r="B33071" s="1" t="str">
        <f>HYPERLINK("http://iclusig.fi","iclusig.fi")</f>
        <v>iclusig.fi</v>
      </c>
      <c r="C33071" t="s">
        <v>445</v>
      </c>
      <c r="D33071" t="s">
        <v>823</v>
      </c>
      <c r="F33071">
        <v>4.7458978691499199E-9</v>
      </c>
      <c r="G33071">
        <v>38520699</v>
      </c>
      <c r="H33071">
        <v>8683730</v>
      </c>
      <c r="I33071">
        <v>70076743</v>
      </c>
      <c r="J33071">
        <v>2</v>
      </c>
    </row>
    <row r="33072" spans="1:10" x14ac:dyDescent="0.25">
      <c r="A33072" t="s">
        <v>370</v>
      </c>
      <c r="B33072" s="1" t="str">
        <f>HYPERLINK("http://immuunipouutos.fi","immuunipouutos.fi")</f>
        <v>immuunipouutos.fi</v>
      </c>
      <c r="C33072" t="s">
        <v>445</v>
      </c>
      <c r="D33072" t="s">
        <v>823</v>
      </c>
      <c r="J33072">
        <v>2</v>
      </c>
    </row>
    <row r="33073" spans="1:10" x14ac:dyDescent="0.25">
      <c r="A33073" t="s">
        <v>370</v>
      </c>
      <c r="B33073" s="1" t="str">
        <f>HYPERLINK("http://immuunipuutos.fi","immuunipuutos.fi")</f>
        <v>immuunipuutos.fi</v>
      </c>
      <c r="C33073" t="s">
        <v>445</v>
      </c>
      <c r="D33073" t="s">
        <v>823</v>
      </c>
      <c r="J33073">
        <v>2</v>
      </c>
    </row>
    <row r="33074" spans="1:10" x14ac:dyDescent="0.25">
      <c r="A33074" t="s">
        <v>370</v>
      </c>
      <c r="B33074" s="1" t="str">
        <f>HYPERLINK("http://impactdengue.fi","impactdengue.fi")</f>
        <v>impactdengue.fi</v>
      </c>
      <c r="C33074" t="s">
        <v>445</v>
      </c>
      <c r="D33074" t="s">
        <v>823</v>
      </c>
      <c r="J33074">
        <v>2</v>
      </c>
    </row>
    <row r="33075" spans="1:10" x14ac:dyDescent="0.25">
      <c r="A33075" t="s">
        <v>370</v>
      </c>
      <c r="B33075" s="1" t="str">
        <f>HYPERLINK("http://influenssarokote.fi","influenssarokote.fi")</f>
        <v>influenssarokote.fi</v>
      </c>
      <c r="C33075" t="s">
        <v>445</v>
      </c>
      <c r="D33075" t="s">
        <v>823</v>
      </c>
      <c r="J33075">
        <v>2</v>
      </c>
    </row>
    <row r="33076" spans="1:10" x14ac:dyDescent="0.25">
      <c r="A33076" t="s">
        <v>370</v>
      </c>
      <c r="B33076" s="1" t="str">
        <f>HYPERLINK("http://infortia.fi","infortia.fi")</f>
        <v>infortia.fi</v>
      </c>
      <c r="C33076" t="s">
        <v>445</v>
      </c>
      <c r="D33076" t="s">
        <v>823</v>
      </c>
      <c r="J33076">
        <v>2</v>
      </c>
    </row>
    <row r="33077" spans="1:10" x14ac:dyDescent="0.25">
      <c r="A33077" t="s">
        <v>370</v>
      </c>
      <c r="B33077" s="1" t="str">
        <f>HYPERLINK("http://intuniv.fi","intuniv.fi")</f>
        <v>intuniv.fi</v>
      </c>
      <c r="C33077" t="s">
        <v>445</v>
      </c>
      <c r="D33077" t="s">
        <v>823</v>
      </c>
      <c r="J33077">
        <v>2</v>
      </c>
    </row>
    <row r="33078" spans="1:10" x14ac:dyDescent="0.25">
      <c r="A33078" t="s">
        <v>370</v>
      </c>
      <c r="B33078" s="1" t="str">
        <f>HYPERLINK("http://intunivxl.fi","intunivxl.fi")</f>
        <v>intunivxl.fi</v>
      </c>
      <c r="C33078" t="s">
        <v>445</v>
      </c>
      <c r="D33078" t="s">
        <v>823</v>
      </c>
      <c r="J33078">
        <v>2</v>
      </c>
    </row>
    <row r="33079" spans="1:10" x14ac:dyDescent="0.25">
      <c r="A33079" t="s">
        <v>370</v>
      </c>
      <c r="B33079" s="1" t="str">
        <f>HYPERLINK("http://ituniv.fi","ituniv.fi")</f>
        <v>ituniv.fi</v>
      </c>
      <c r="C33079" t="s">
        <v>445</v>
      </c>
      <c r="D33079" t="s">
        <v>823</v>
      </c>
      <c r="J33079">
        <v>2</v>
      </c>
    </row>
    <row r="33080" spans="1:10" x14ac:dyDescent="0.25">
      <c r="A33080" t="s">
        <v>370</v>
      </c>
      <c r="B33080" s="1" t="str">
        <f>HYPERLINK("http://jalkiehkaisy.fi","jalkiehkaisy.fi")</f>
        <v>jalkiehkaisy.fi</v>
      </c>
      <c r="C33080" t="s">
        <v>445</v>
      </c>
      <c r="D33080" t="s">
        <v>823</v>
      </c>
      <c r="J33080">
        <v>2</v>
      </c>
    </row>
    <row r="33081" spans="1:10" x14ac:dyDescent="0.25">
      <c r="A33081" t="s">
        <v>370</v>
      </c>
      <c r="B33081" s="1" t="str">
        <f>HYPERLINK("http://kestine.fi","kestine.fi")</f>
        <v>kestine.fi</v>
      </c>
      <c r="C33081" t="s">
        <v>445</v>
      </c>
      <c r="D33081" t="s">
        <v>823</v>
      </c>
      <c r="F33081">
        <v>4.44380395335525E-9</v>
      </c>
      <c r="G33081">
        <v>84775287</v>
      </c>
      <c r="H33081">
        <v>0</v>
      </c>
      <c r="I33081">
        <v>85889188</v>
      </c>
      <c r="J33081">
        <v>2</v>
      </c>
    </row>
    <row r="33082" spans="1:10" x14ac:dyDescent="0.25">
      <c r="A33082" t="s">
        <v>370</v>
      </c>
      <c r="B33082" s="1" t="str">
        <f>HYPERLINK("http://leiras.fi","leiras.fi")</f>
        <v>leiras.fi</v>
      </c>
      <c r="C33082" t="s">
        <v>445</v>
      </c>
      <c r="D33082" t="s">
        <v>823</v>
      </c>
      <c r="F33082">
        <v>6.2189480246283499E-9</v>
      </c>
      <c r="G33082">
        <v>15435952</v>
      </c>
      <c r="H33082">
        <v>14485865</v>
      </c>
      <c r="I33082">
        <v>980282</v>
      </c>
      <c r="J33082">
        <v>2</v>
      </c>
    </row>
    <row r="33083" spans="1:10" x14ac:dyDescent="0.25">
      <c r="A33083" t="s">
        <v>370</v>
      </c>
      <c r="B33083" s="1" t="str">
        <f>HYPERLINK("http://leiraskampus.fi","leiraskampus.fi")</f>
        <v>leiraskampus.fi</v>
      </c>
      <c r="C33083" t="s">
        <v>445</v>
      </c>
      <c r="D33083" t="s">
        <v>823</v>
      </c>
      <c r="J33083">
        <v>2</v>
      </c>
    </row>
    <row r="33084" spans="1:10" x14ac:dyDescent="0.25">
      <c r="A33084" t="s">
        <v>370</v>
      </c>
      <c r="B33084" s="1" t="str">
        <f>HYPERLINK("http://levolac.fi","levolac.fi")</f>
        <v>levolac.fi</v>
      </c>
      <c r="C33084" t="s">
        <v>445</v>
      </c>
      <c r="D33084" t="s">
        <v>823</v>
      </c>
      <c r="J33084">
        <v>2</v>
      </c>
    </row>
    <row r="33085" spans="1:10" x14ac:dyDescent="0.25">
      <c r="A33085" t="s">
        <v>370</v>
      </c>
      <c r="B33085" s="1" t="str">
        <f>HYPERLINK("http://locationdengue.fi","locationdengue.fi")</f>
        <v>locationdengue.fi</v>
      </c>
      <c r="C33085" t="s">
        <v>445</v>
      </c>
      <c r="D33085" t="s">
        <v>823</v>
      </c>
      <c r="J33085">
        <v>2</v>
      </c>
    </row>
    <row r="33086" spans="1:10" x14ac:dyDescent="0.25">
      <c r="A33086" t="s">
        <v>370</v>
      </c>
      <c r="B33086" s="1" t="str">
        <f>HYPERLINK("http://melatoniini.fi","melatoniini.fi")</f>
        <v>melatoniini.fi</v>
      </c>
      <c r="C33086" t="s">
        <v>445</v>
      </c>
      <c r="D33086" t="s">
        <v>823</v>
      </c>
      <c r="J33086">
        <v>2</v>
      </c>
    </row>
    <row r="33087" spans="1:10" x14ac:dyDescent="0.25">
      <c r="A33087" t="s">
        <v>370</v>
      </c>
      <c r="B33087" s="1" t="str">
        <f>HYPERLINK("http://minajalymfooma.fi","minajalymfooma.fi")</f>
        <v>minajalymfooma.fi</v>
      </c>
      <c r="C33087" t="s">
        <v>445</v>
      </c>
      <c r="D33087" t="s">
        <v>823</v>
      </c>
      <c r="J33087">
        <v>2</v>
      </c>
    </row>
    <row r="33088" spans="1:10" x14ac:dyDescent="0.25">
      <c r="A33088" t="s">
        <v>370</v>
      </c>
      <c r="B33088" s="1" t="str">
        <f>HYPERLINK("http://minajamyelooma.fi","minajamyelooma.fi")</f>
        <v>minajamyelooma.fi</v>
      </c>
      <c r="C33088" t="s">
        <v>445</v>
      </c>
      <c r="D33088" t="s">
        <v>823</v>
      </c>
      <c r="F33088">
        <v>6.1748251721720399E-9</v>
      </c>
      <c r="G33088">
        <v>15667202</v>
      </c>
      <c r="H33088">
        <v>14120074</v>
      </c>
      <c r="I33088">
        <v>2391375</v>
      </c>
      <c r="J33088">
        <v>2</v>
      </c>
    </row>
    <row r="33089" spans="1:10" x14ac:dyDescent="0.25">
      <c r="A33089" t="s">
        <v>370</v>
      </c>
      <c r="B33089" s="1" t="str">
        <f>HYPERLINK("http://minjalymfooma.fi","minjalymfooma.fi")</f>
        <v>minjalymfooma.fi</v>
      </c>
      <c r="C33089" t="s">
        <v>445</v>
      </c>
      <c r="D33089" t="s">
        <v>823</v>
      </c>
      <c r="J33089">
        <v>2</v>
      </c>
    </row>
    <row r="33090" spans="1:10" x14ac:dyDescent="0.25">
      <c r="A33090" t="s">
        <v>370</v>
      </c>
      <c r="B33090" s="1" t="str">
        <f>HYPERLINK("http://minjamyelooma.fi","minjamyelooma.fi")</f>
        <v>minjamyelooma.fi</v>
      </c>
      <c r="C33090" t="s">
        <v>445</v>
      </c>
      <c r="D33090" t="s">
        <v>823</v>
      </c>
      <c r="J33090">
        <v>2</v>
      </c>
    </row>
    <row r="33091" spans="1:10" x14ac:dyDescent="0.25">
      <c r="A33091" t="s">
        <v>370</v>
      </c>
      <c r="B33091" s="1" t="str">
        <f>HYPERLINK("http://myvyo.fi","myvyo.fi")</f>
        <v>myvyo.fi</v>
      </c>
      <c r="C33091" t="s">
        <v>445</v>
      </c>
      <c r="D33091" t="s">
        <v>823</v>
      </c>
      <c r="J33091">
        <v>2</v>
      </c>
    </row>
    <row r="33092" spans="1:10" x14ac:dyDescent="0.25">
      <c r="A33092" t="s">
        <v>370</v>
      </c>
      <c r="B33092" s="1" t="str">
        <f>HYPERLINK("http://narastyksenhallinta.fi","narastyksenhallinta.fi")</f>
        <v>narastyksenhallinta.fi</v>
      </c>
      <c r="C33092" t="s">
        <v>445</v>
      </c>
      <c r="D33092" t="s">
        <v>823</v>
      </c>
      <c r="J33092">
        <v>2</v>
      </c>
    </row>
    <row r="33093" spans="1:10" x14ac:dyDescent="0.25">
      <c r="A33093" t="s">
        <v>370</v>
      </c>
      <c r="B33093" s="1" t="str">
        <f>HYPERLINK("http://narastyshallintaan.fi","narastyshallintaan.fi")</f>
        <v>narastyshallintaan.fi</v>
      </c>
      <c r="C33093" t="s">
        <v>445</v>
      </c>
      <c r="D33093" t="s">
        <v>823</v>
      </c>
      <c r="F33093">
        <v>4.4961420782666202E-9</v>
      </c>
      <c r="G33093">
        <v>59524805</v>
      </c>
      <c r="H33093">
        <v>10595613</v>
      </c>
      <c r="I33093">
        <v>45175345</v>
      </c>
      <c r="J33093">
        <v>2</v>
      </c>
    </row>
    <row r="33094" spans="1:10" x14ac:dyDescent="0.25">
      <c r="A33094" t="s">
        <v>370</v>
      </c>
      <c r="B33094" s="1" t="str">
        <f>HYPERLINK("http://natpar.fi","natpar.fi")</f>
        <v>natpar.fi</v>
      </c>
      <c r="C33094" t="s">
        <v>445</v>
      </c>
      <c r="D33094" t="s">
        <v>823</v>
      </c>
      <c r="J33094">
        <v>2</v>
      </c>
    </row>
    <row r="33095" spans="1:10" x14ac:dyDescent="0.25">
      <c r="A33095" t="s">
        <v>370</v>
      </c>
      <c r="B33095" s="1" t="str">
        <f>HYPERLINK("http://nenatotuus.fi","nenatotuus.fi")</f>
        <v>nenatotuus.fi</v>
      </c>
      <c r="C33095" t="s">
        <v>445</v>
      </c>
      <c r="D33095" t="s">
        <v>823</v>
      </c>
      <c r="J33095">
        <v>2</v>
      </c>
    </row>
    <row r="33096" spans="1:10" x14ac:dyDescent="0.25">
      <c r="A33096" t="s">
        <v>370</v>
      </c>
      <c r="B33096" s="1" t="str">
        <f>HYPERLINK("http://ninlaro.fi","ninlaro.fi")</f>
        <v>ninlaro.fi</v>
      </c>
      <c r="C33096" t="s">
        <v>445</v>
      </c>
      <c r="D33096" t="s">
        <v>823</v>
      </c>
      <c r="J33096">
        <v>2</v>
      </c>
    </row>
    <row r="33097" spans="1:10" x14ac:dyDescent="0.25">
      <c r="A33097" t="s">
        <v>370</v>
      </c>
      <c r="B33097" s="1" t="str">
        <f>HYPERLINK("http://nivelet.fi","nivelet.fi")</f>
        <v>nivelet.fi</v>
      </c>
      <c r="C33097" t="s">
        <v>445</v>
      </c>
      <c r="D33097" t="s">
        <v>823</v>
      </c>
      <c r="J33097">
        <v>2</v>
      </c>
    </row>
    <row r="33098" spans="1:10" x14ac:dyDescent="0.25">
      <c r="A33098" t="s">
        <v>370</v>
      </c>
      <c r="B33098" s="1" t="str">
        <f>HYPERLINK("http://norlevo.fi","norlevo.fi")</f>
        <v>norlevo.fi</v>
      </c>
      <c r="C33098" t="s">
        <v>445</v>
      </c>
      <c r="D33098" t="s">
        <v>823</v>
      </c>
      <c r="J33098">
        <v>2</v>
      </c>
    </row>
    <row r="33099" spans="1:10" x14ac:dyDescent="0.25">
      <c r="A33099" t="s">
        <v>370</v>
      </c>
      <c r="B33099" s="1" t="str">
        <f>HYPERLINK("http://nowdengue.fi","nowdengue.fi")</f>
        <v>nowdengue.fi</v>
      </c>
      <c r="C33099" t="s">
        <v>445</v>
      </c>
      <c r="D33099" t="s">
        <v>823</v>
      </c>
      <c r="J33099">
        <v>2</v>
      </c>
    </row>
    <row r="33100" spans="1:10" x14ac:dyDescent="0.25">
      <c r="A33100" t="s">
        <v>370</v>
      </c>
      <c r="B33100" s="1" t="str">
        <f>HYPERLINK("http://npsp.fi","npsp.fi")</f>
        <v>npsp.fi</v>
      </c>
      <c r="C33100" t="s">
        <v>445</v>
      </c>
      <c r="D33100" t="s">
        <v>823</v>
      </c>
      <c r="J33100">
        <v>2</v>
      </c>
    </row>
    <row r="33101" spans="1:10" x14ac:dyDescent="0.25">
      <c r="A33101" t="s">
        <v>370</v>
      </c>
      <c r="B33101" s="1" t="str">
        <f>HYPERLINK("http://nrds.fi","nrds.fi")</f>
        <v>nrds.fi</v>
      </c>
      <c r="C33101" t="s">
        <v>445</v>
      </c>
      <c r="D33101" t="s">
        <v>823</v>
      </c>
      <c r="J33101">
        <v>2</v>
      </c>
    </row>
    <row r="33102" spans="1:10" x14ac:dyDescent="0.25">
      <c r="A33102" t="s">
        <v>370</v>
      </c>
      <c r="B33102" s="1" t="str">
        <f>HYPERLINK("http://nrds2023.fi","nrds2023.fi")</f>
        <v>nrds2023.fi</v>
      </c>
      <c r="C33102" t="s">
        <v>445</v>
      </c>
      <c r="D33102" t="s">
        <v>823</v>
      </c>
      <c r="J33102">
        <v>2</v>
      </c>
    </row>
    <row r="33103" spans="1:10" x14ac:dyDescent="0.25">
      <c r="A33103" t="s">
        <v>370</v>
      </c>
      <c r="B33103" s="1" t="str">
        <f>HYPERLINK("http://olotilasovellus.fi","olotilasovellus.fi")</f>
        <v>olotilasovellus.fi</v>
      </c>
      <c r="C33103" t="s">
        <v>445</v>
      </c>
      <c r="D33103" t="s">
        <v>823</v>
      </c>
      <c r="F33103">
        <v>5.6893946930473702E-8</v>
      </c>
      <c r="G33103">
        <v>785062</v>
      </c>
      <c r="H33103">
        <v>16813240</v>
      </c>
      <c r="I33103">
        <v>199290</v>
      </c>
      <c r="J33103">
        <v>2</v>
      </c>
    </row>
    <row r="33104" spans="1:10" x14ac:dyDescent="0.25">
      <c r="A33104" t="s">
        <v>370</v>
      </c>
      <c r="B33104" s="1" t="str">
        <f>HYPERLINK("http://osmosal.fi","osmosal.fi")</f>
        <v>osmosal.fi</v>
      </c>
      <c r="C33104" t="s">
        <v>445</v>
      </c>
      <c r="D33104" t="s">
        <v>823</v>
      </c>
      <c r="J33104">
        <v>2</v>
      </c>
    </row>
    <row r="33105" spans="1:10" x14ac:dyDescent="0.25">
      <c r="A33105" t="s">
        <v>370</v>
      </c>
      <c r="B33105" s="1" t="str">
        <f>HYPERLINK("http://pickit.fi","pickit.fi")</f>
        <v>pickit.fi</v>
      </c>
      <c r="C33105" t="s">
        <v>445</v>
      </c>
      <c r="D33105" t="s">
        <v>823</v>
      </c>
      <c r="J33105">
        <v>2</v>
      </c>
    </row>
    <row r="33106" spans="1:10" x14ac:dyDescent="0.25">
      <c r="A33106" t="s">
        <v>370</v>
      </c>
      <c r="B33106" s="1" t="str">
        <f>HYPERLINK("http://plenadren.fi","plenadren.fi")</f>
        <v>plenadren.fi</v>
      </c>
      <c r="C33106" t="s">
        <v>445</v>
      </c>
      <c r="D33106" t="s">
        <v>823</v>
      </c>
      <c r="J33106">
        <v>2</v>
      </c>
    </row>
    <row r="33107" spans="1:10" x14ac:dyDescent="0.25">
      <c r="A33107" t="s">
        <v>370</v>
      </c>
      <c r="B33107" s="1" t="str">
        <f>HYPERLINK("http://preotact.fi","preotact.fi")</f>
        <v>preotact.fi</v>
      </c>
      <c r="C33107" t="s">
        <v>445</v>
      </c>
      <c r="D33107" t="s">
        <v>823</v>
      </c>
      <c r="J33107">
        <v>2</v>
      </c>
    </row>
    <row r="33108" spans="1:10" x14ac:dyDescent="0.25">
      <c r="A33108" t="s">
        <v>370</v>
      </c>
      <c r="B33108" s="1" t="str">
        <f>HYPERLINK("http://puhuaummetus.fi","puhuaummetus.fi")</f>
        <v>puhuaummetus.fi</v>
      </c>
      <c r="C33108" t="s">
        <v>445</v>
      </c>
      <c r="D33108" t="s">
        <v>823</v>
      </c>
      <c r="J33108">
        <v>2</v>
      </c>
    </row>
    <row r="33109" spans="1:10" x14ac:dyDescent="0.25">
      <c r="A33109" t="s">
        <v>370</v>
      </c>
      <c r="B33109" s="1" t="str">
        <f>HYPERLINK("http://qdenga.fi","qdenga.fi")</f>
        <v>qdenga.fi</v>
      </c>
      <c r="C33109" t="s">
        <v>445</v>
      </c>
      <c r="D33109" t="s">
        <v>823</v>
      </c>
      <c r="J33109">
        <v>2</v>
      </c>
    </row>
    <row r="33110" spans="1:10" x14ac:dyDescent="0.25">
      <c r="A33110" t="s">
        <v>370</v>
      </c>
      <c r="B33110" s="1" t="str">
        <f>HYPERLINK("http://reunapaikka.fi","reunapaikka.fi")</f>
        <v>reunapaikka.fi</v>
      </c>
      <c r="C33110" t="s">
        <v>445</v>
      </c>
      <c r="D33110" t="s">
        <v>823</v>
      </c>
      <c r="F33110">
        <v>6.4126438513066003E-8</v>
      </c>
      <c r="G33110">
        <v>675536</v>
      </c>
      <c r="H33110">
        <v>16986132</v>
      </c>
      <c r="I33110">
        <v>97072</v>
      </c>
      <c r="J33110">
        <v>2</v>
      </c>
    </row>
    <row r="33111" spans="1:10" x14ac:dyDescent="0.25">
      <c r="A33111" t="s">
        <v>370</v>
      </c>
      <c r="B33111" s="1" t="str">
        <f>HYPERLINK("http://revestive.fi","revestive.fi")</f>
        <v>revestive.fi</v>
      </c>
      <c r="C33111" t="s">
        <v>445</v>
      </c>
      <c r="D33111" t="s">
        <v>823</v>
      </c>
      <c r="J33111">
        <v>2</v>
      </c>
    </row>
    <row r="33112" spans="1:10" x14ac:dyDescent="0.25">
      <c r="A33112" t="s">
        <v>370</v>
      </c>
      <c r="B33112" s="1" t="str">
        <f>HYPERLINK("http://shire.fi","shire.fi")</f>
        <v>shire.fi</v>
      </c>
      <c r="C33112" t="s">
        <v>445</v>
      </c>
      <c r="D33112" t="s">
        <v>823</v>
      </c>
      <c r="J33112">
        <v>2</v>
      </c>
    </row>
    <row r="33113" spans="1:10" x14ac:dyDescent="0.25">
      <c r="A33113" t="s">
        <v>370</v>
      </c>
      <c r="B33113" s="1" t="str">
        <f>HYPERLINK("http://shirefinland.fi","shirefinland.fi")</f>
        <v>shirefinland.fi</v>
      </c>
      <c r="C33113" t="s">
        <v>445</v>
      </c>
      <c r="D33113" t="s">
        <v>823</v>
      </c>
      <c r="J33113">
        <v>2</v>
      </c>
    </row>
    <row r="33114" spans="1:10" x14ac:dyDescent="0.25">
      <c r="A33114" t="s">
        <v>370</v>
      </c>
      <c r="B33114" s="1" t="str">
        <f>HYPERLINK("http://shiregi.fi","shiregi.fi")</f>
        <v>shiregi.fi</v>
      </c>
      <c r="C33114" t="s">
        <v>445</v>
      </c>
      <c r="D33114" t="s">
        <v>823</v>
      </c>
      <c r="J33114">
        <v>2</v>
      </c>
    </row>
    <row r="33115" spans="1:10" x14ac:dyDescent="0.25">
      <c r="A33115" t="s">
        <v>370</v>
      </c>
      <c r="B33115" s="1" t="str">
        <f>HYPERLINK("http://skitsofreniahoitoon.fi","skitsofreniahoitoon.fi")</f>
        <v>skitsofreniahoitoon.fi</v>
      </c>
      <c r="C33115" t="s">
        <v>445</v>
      </c>
      <c r="D33115" t="s">
        <v>823</v>
      </c>
      <c r="J33115">
        <v>2</v>
      </c>
    </row>
    <row r="33116" spans="1:10" x14ac:dyDescent="0.25">
      <c r="A33116" t="s">
        <v>370</v>
      </c>
      <c r="B33116" s="1" t="str">
        <f>HYPERLINK("http://somac.fi","somac.fi")</f>
        <v>somac.fi</v>
      </c>
      <c r="C33116" t="s">
        <v>445</v>
      </c>
      <c r="D33116" t="s">
        <v>823</v>
      </c>
      <c r="J33116">
        <v>2</v>
      </c>
    </row>
    <row r="33117" spans="1:10" x14ac:dyDescent="0.25">
      <c r="A33117" t="s">
        <v>370</v>
      </c>
      <c r="B33117" s="1" t="str">
        <f>HYPERLINK("http://somac-control.fi","somac-control.fi")</f>
        <v>somac-control.fi</v>
      </c>
      <c r="C33117" t="s">
        <v>445</v>
      </c>
      <c r="D33117" t="s">
        <v>823</v>
      </c>
      <c r="J33117">
        <v>2</v>
      </c>
    </row>
    <row r="33118" spans="1:10" x14ac:dyDescent="0.25">
      <c r="A33118" t="s">
        <v>370</v>
      </c>
      <c r="B33118" s="1" t="str">
        <f>HYPERLINK("http://somaccontrol.fi","somaccontrol.fi")</f>
        <v>somaccontrol.fi</v>
      </c>
      <c r="C33118" t="s">
        <v>445</v>
      </c>
      <c r="D33118" t="s">
        <v>823</v>
      </c>
      <c r="F33118">
        <v>4.4438194642406201E-9</v>
      </c>
      <c r="G33118">
        <v>79207185</v>
      </c>
      <c r="H33118">
        <v>10457916</v>
      </c>
      <c r="I33118">
        <v>51926266</v>
      </c>
      <c r="J33118">
        <v>2</v>
      </c>
    </row>
    <row r="33119" spans="1:10" x14ac:dyDescent="0.25">
      <c r="A33119" t="s">
        <v>370</v>
      </c>
      <c r="B33119" s="1" t="str">
        <f>HYPERLINK("http://somackontrol.fi","somackontrol.fi")</f>
        <v>somackontrol.fi</v>
      </c>
      <c r="C33119" t="s">
        <v>445</v>
      </c>
      <c r="D33119" t="s">
        <v>823</v>
      </c>
      <c r="J33119">
        <v>2</v>
      </c>
    </row>
    <row r="33120" spans="1:10" x14ac:dyDescent="0.25">
      <c r="A33120" t="s">
        <v>370</v>
      </c>
      <c r="B33120" s="1" t="str">
        <f>HYPERLINK("http://somackontrolli.fi","somackontrolli.fi")</f>
        <v>somackontrolli.fi</v>
      </c>
      <c r="C33120" t="s">
        <v>445</v>
      </c>
      <c r="D33120" t="s">
        <v>823</v>
      </c>
      <c r="J33120">
        <v>2</v>
      </c>
    </row>
    <row r="33121" spans="1:10" x14ac:dyDescent="0.25">
      <c r="A33121" t="s">
        <v>370</v>
      </c>
      <c r="B33121" s="1" t="str">
        <f>HYPERLINK("http://somakkontrol.fi","somakkontrol.fi")</f>
        <v>somakkontrol.fi</v>
      </c>
      <c r="C33121" t="s">
        <v>445</v>
      </c>
      <c r="D33121" t="s">
        <v>823</v>
      </c>
      <c r="J33121">
        <v>2</v>
      </c>
    </row>
    <row r="33122" spans="1:10" x14ac:dyDescent="0.25">
      <c r="A33122" t="s">
        <v>370</v>
      </c>
      <c r="B33122" s="1" t="str">
        <f>HYPERLINK("http://spotlightdengue.fi","spotlightdengue.fi")</f>
        <v>spotlightdengue.fi</v>
      </c>
      <c r="C33122" t="s">
        <v>445</v>
      </c>
      <c r="D33122" t="s">
        <v>823</v>
      </c>
      <c r="J33122">
        <v>2</v>
      </c>
    </row>
    <row r="33123" spans="1:10" x14ac:dyDescent="0.25">
      <c r="A33123" t="s">
        <v>370</v>
      </c>
      <c r="B33123" s="1" t="str">
        <f>HYPERLINK("http://tachosil.fi","tachosil.fi")</f>
        <v>tachosil.fi</v>
      </c>
      <c r="C33123" t="s">
        <v>445</v>
      </c>
      <c r="D33123" t="s">
        <v>823</v>
      </c>
      <c r="J33123">
        <v>2</v>
      </c>
    </row>
    <row r="33124" spans="1:10" x14ac:dyDescent="0.25">
      <c r="A33124" t="s">
        <v>370</v>
      </c>
      <c r="B33124" s="1" t="str">
        <f>HYPERLINK("http://takeda.fi","takeda.fi")</f>
        <v>takeda.fi</v>
      </c>
      <c r="C33124" t="s">
        <v>445</v>
      </c>
      <c r="D33124" t="s">
        <v>823</v>
      </c>
      <c r="F33124">
        <v>3.3522444727842703E-8</v>
      </c>
      <c r="G33124">
        <v>1542263</v>
      </c>
      <c r="H33124">
        <v>14422383</v>
      </c>
      <c r="I33124">
        <v>1085161</v>
      </c>
      <c r="J33124">
        <v>2</v>
      </c>
    </row>
    <row r="33125" spans="1:10" x14ac:dyDescent="0.25">
      <c r="A33125" t="s">
        <v>370</v>
      </c>
      <c r="B33125" s="1" t="str">
        <f>HYPERLINK("http://takeda-campus.fi","takeda-campus.fi")</f>
        <v>takeda-campus.fi</v>
      </c>
      <c r="C33125" t="s">
        <v>445</v>
      </c>
      <c r="D33125" t="s">
        <v>823</v>
      </c>
      <c r="J33125">
        <v>2</v>
      </c>
    </row>
    <row r="33126" spans="1:10" x14ac:dyDescent="0.25">
      <c r="A33126" t="s">
        <v>370</v>
      </c>
      <c r="B33126" s="1" t="str">
        <f>HYPERLINK("http://takeda-kampus.fi","takeda-kampus.fi")</f>
        <v>takeda-kampus.fi</v>
      </c>
      <c r="C33126" t="s">
        <v>445</v>
      </c>
      <c r="D33126" t="s">
        <v>823</v>
      </c>
      <c r="J33126">
        <v>2</v>
      </c>
    </row>
    <row r="33127" spans="1:10" x14ac:dyDescent="0.25">
      <c r="A33127" t="s">
        <v>370</v>
      </c>
      <c r="B33127" s="1" t="str">
        <f>HYPERLINK("http://takedacampus.fi","takedacampus.fi")</f>
        <v>takedacampus.fi</v>
      </c>
      <c r="C33127" t="s">
        <v>445</v>
      </c>
      <c r="D33127" t="s">
        <v>823</v>
      </c>
      <c r="J33127">
        <v>2</v>
      </c>
    </row>
    <row r="33128" spans="1:10" x14ac:dyDescent="0.25">
      <c r="A33128" t="s">
        <v>370</v>
      </c>
      <c r="B33128" s="1" t="str">
        <f>HYPERLINK("http://takedakampus.fi","takedakampus.fi")</f>
        <v>takedakampus.fi</v>
      </c>
      <c r="C33128" t="s">
        <v>445</v>
      </c>
      <c r="D33128" t="s">
        <v>823</v>
      </c>
      <c r="F33128">
        <v>5.9358446277686702E-9</v>
      </c>
      <c r="G33128">
        <v>17113499</v>
      </c>
      <c r="H33128">
        <v>12277861</v>
      </c>
      <c r="I33128">
        <v>21351287</v>
      </c>
      <c r="J33128">
        <v>2</v>
      </c>
    </row>
    <row r="33129" spans="1:10" x14ac:dyDescent="0.25">
      <c r="A33129" t="s">
        <v>370</v>
      </c>
      <c r="B33129" s="1" t="str">
        <f>HYPERLINK("http://tietoaunettomuudesta.fi","tietoaunettomuudesta.fi")</f>
        <v>tietoaunettomuudesta.fi</v>
      </c>
      <c r="C33129" t="s">
        <v>445</v>
      </c>
      <c r="D33129" t="s">
        <v>823</v>
      </c>
      <c r="F33129">
        <v>6.4409896204019801E-9</v>
      </c>
      <c r="G33129">
        <v>14333812</v>
      </c>
      <c r="H33129">
        <v>14485383</v>
      </c>
      <c r="I33129">
        <v>996271</v>
      </c>
      <c r="J33129">
        <v>2</v>
      </c>
    </row>
    <row r="33130" spans="1:10" x14ac:dyDescent="0.25">
      <c r="A33130" t="s">
        <v>370</v>
      </c>
      <c r="B33130" s="1" t="str">
        <f>HYPERLINK("http://tyvense-adult.fi","tyvense-adult.fi")</f>
        <v>tyvense-adult.fi</v>
      </c>
      <c r="C33130" t="s">
        <v>445</v>
      </c>
      <c r="D33130" t="s">
        <v>823</v>
      </c>
      <c r="J33130">
        <v>2</v>
      </c>
    </row>
    <row r="33131" spans="1:10" x14ac:dyDescent="0.25">
      <c r="A33131" t="s">
        <v>370</v>
      </c>
      <c r="B33131" s="1" t="str">
        <f>HYPERLINK("http://tyvenseadult.fi","tyvenseadult.fi")</f>
        <v>tyvenseadult.fi</v>
      </c>
      <c r="C33131" t="s">
        <v>445</v>
      </c>
      <c r="D33131" t="s">
        <v>823</v>
      </c>
      <c r="J33131">
        <v>2</v>
      </c>
    </row>
    <row r="33132" spans="1:10" x14ac:dyDescent="0.25">
      <c r="A33132" t="s">
        <v>370</v>
      </c>
      <c r="B33132" s="1" t="str">
        <f>HYPERLINK("http://uncoverdengue.fi","uncoverdengue.fi")</f>
        <v>uncoverdengue.fi</v>
      </c>
      <c r="C33132" t="s">
        <v>445</v>
      </c>
      <c r="D33132" t="s">
        <v>823</v>
      </c>
      <c r="J33132">
        <v>2</v>
      </c>
    </row>
    <row r="33133" spans="1:10" x14ac:dyDescent="0.25">
      <c r="A33133" t="s">
        <v>370</v>
      </c>
      <c r="B33133" s="1" t="str">
        <f>HYPERLINK("http://venvanse-adult.fi","venvanse-adult.fi")</f>
        <v>venvanse-adult.fi</v>
      </c>
      <c r="C33133" t="s">
        <v>445</v>
      </c>
      <c r="D33133" t="s">
        <v>823</v>
      </c>
      <c r="J33133">
        <v>2</v>
      </c>
    </row>
    <row r="33134" spans="1:10" x14ac:dyDescent="0.25">
      <c r="A33134" t="s">
        <v>370</v>
      </c>
      <c r="B33134" s="1" t="str">
        <f>HYPERLINK("http://venvanseadult.fi","venvanseadult.fi")</f>
        <v>venvanseadult.fi</v>
      </c>
      <c r="C33134" t="s">
        <v>445</v>
      </c>
      <c r="D33134" t="s">
        <v>823</v>
      </c>
      <c r="J33134">
        <v>2</v>
      </c>
    </row>
    <row r="33135" spans="1:10" x14ac:dyDescent="0.25">
      <c r="A33135" t="s">
        <v>370</v>
      </c>
      <c r="B33135" s="1" t="str">
        <f>HYPERLINK("http://vipidia.fi","vipidia.fi")</f>
        <v>vipidia.fi</v>
      </c>
      <c r="C33135" t="s">
        <v>445</v>
      </c>
      <c r="D33135" t="s">
        <v>823</v>
      </c>
      <c r="J33135">
        <v>2</v>
      </c>
    </row>
    <row r="33136" spans="1:10" x14ac:dyDescent="0.25">
      <c r="A33136" t="s">
        <v>370</v>
      </c>
      <c r="B33136" s="1" t="str">
        <f>HYPERLINK("http://virtuaaliapteekki.fi","virtuaaliapteekki.fi")</f>
        <v>virtuaaliapteekki.fi</v>
      </c>
      <c r="C33136" t="s">
        <v>445</v>
      </c>
      <c r="D33136" t="s">
        <v>823</v>
      </c>
      <c r="J33136">
        <v>2</v>
      </c>
    </row>
    <row r="33137" spans="1:10" x14ac:dyDescent="0.25">
      <c r="A33137" t="s">
        <v>370</v>
      </c>
      <c r="B33137" s="1" t="str">
        <f>HYPERLINK("http://vonwillebrandintauti.fi","vonwillebrandintauti.fi")</f>
        <v>vonwillebrandintauti.fi</v>
      </c>
      <c r="C33137" t="s">
        <v>445</v>
      </c>
      <c r="D33137" t="s">
        <v>823</v>
      </c>
      <c r="J33137">
        <v>2</v>
      </c>
    </row>
    <row r="33138" spans="1:10" x14ac:dyDescent="0.25">
      <c r="A33138" t="s">
        <v>370</v>
      </c>
      <c r="B33138" s="1" t="str">
        <f>HYPERLINK("http://vonwillebrandtietoa.fi","vonwillebrandtietoa.fi")</f>
        <v>vonwillebrandtietoa.fi</v>
      </c>
      <c r="C33138" t="s">
        <v>445</v>
      </c>
      <c r="D33138" t="s">
        <v>823</v>
      </c>
      <c r="J33138">
        <v>2</v>
      </c>
    </row>
    <row r="33139" spans="1:10" x14ac:dyDescent="0.25">
      <c r="A33139" t="s">
        <v>370</v>
      </c>
      <c r="B33139" s="1" t="str">
        <f>HYPERLINK("http://vwd360.fi","vwd360.fi")</f>
        <v>vwd360.fi</v>
      </c>
      <c r="C33139" t="s">
        <v>445</v>
      </c>
      <c r="D33139" t="s">
        <v>823</v>
      </c>
      <c r="J33139">
        <v>2</v>
      </c>
    </row>
    <row r="33140" spans="1:10" x14ac:dyDescent="0.25">
      <c r="A33140" t="s">
        <v>370</v>
      </c>
      <c r="B33140" s="1" t="str">
        <f>HYPERLINK("http://shire.fr","shire.fr")</f>
        <v>shire.fr</v>
      </c>
      <c r="C33140" t="s">
        <v>446</v>
      </c>
      <c r="D33140" t="s">
        <v>824</v>
      </c>
      <c r="F33140">
        <v>1.04654642353196E-8</v>
      </c>
      <c r="G33140">
        <v>6299702</v>
      </c>
      <c r="H33140">
        <v>12452045</v>
      </c>
      <c r="I33140">
        <v>17971006</v>
      </c>
      <c r="J33140">
        <v>4</v>
      </c>
    </row>
    <row r="33141" spans="1:10" x14ac:dyDescent="0.25">
      <c r="A33141" t="s">
        <v>370</v>
      </c>
      <c r="B33141" s="1" t="str">
        <f>HYPERLINK("http://takeda.fr","takeda.fr")</f>
        <v>takeda.fr</v>
      </c>
      <c r="C33141" t="s">
        <v>446</v>
      </c>
      <c r="D33141" t="s">
        <v>824</v>
      </c>
      <c r="F33141">
        <v>1.0666393549783199E-8</v>
      </c>
      <c r="G33141">
        <v>6128023</v>
      </c>
      <c r="H33141">
        <v>13764513</v>
      </c>
      <c r="I33141">
        <v>7247309</v>
      </c>
      <c r="J33141">
        <v>2</v>
      </c>
    </row>
    <row r="33142" spans="1:10" x14ac:dyDescent="0.25">
      <c r="A33142" t="s">
        <v>370</v>
      </c>
      <c r="B33142" s="1" t="str">
        <f>HYPERLINK("http://takeda.gr","takeda.gr")</f>
        <v>takeda.gr</v>
      </c>
      <c r="C33142" t="s">
        <v>447</v>
      </c>
      <c r="D33142" t="s">
        <v>825</v>
      </c>
      <c r="F33142">
        <v>6.6167043590158897E-9</v>
      </c>
      <c r="G33142">
        <v>13613112</v>
      </c>
      <c r="H33142">
        <v>12335090</v>
      </c>
      <c r="I33142">
        <v>20102158</v>
      </c>
      <c r="J33142">
        <v>2</v>
      </c>
    </row>
    <row r="33143" spans="1:10" x14ac:dyDescent="0.25">
      <c r="A33143" t="s">
        <v>370</v>
      </c>
      <c r="B33143" s="1" t="str">
        <f>HYPERLINK("http://takeda.hr","takeda.hr")</f>
        <v>takeda.hr</v>
      </c>
      <c r="C33143" t="s">
        <v>452</v>
      </c>
      <c r="D33143" t="s">
        <v>829</v>
      </c>
      <c r="F33143">
        <v>5.89445892669531E-9</v>
      </c>
      <c r="G33143">
        <v>17397290</v>
      </c>
      <c r="H33143">
        <v>12277847</v>
      </c>
      <c r="I33143">
        <v>21351625</v>
      </c>
      <c r="J33143">
        <v>2</v>
      </c>
    </row>
    <row r="33144" spans="1:10" x14ac:dyDescent="0.25">
      <c r="A33144" t="s">
        <v>370</v>
      </c>
      <c r="B33144" s="1" t="str">
        <f>HYPERLINK("http://takeda.ie","takeda.ie")</f>
        <v>takeda.ie</v>
      </c>
      <c r="C33144" t="s">
        <v>455</v>
      </c>
      <c r="D33144" t="s">
        <v>832</v>
      </c>
      <c r="F33144">
        <v>8.8570736379495607E-9</v>
      </c>
      <c r="G33144">
        <v>8212953</v>
      </c>
      <c r="H33144">
        <v>12446235</v>
      </c>
      <c r="I33144">
        <v>18072191</v>
      </c>
      <c r="J33144">
        <v>2</v>
      </c>
    </row>
    <row r="33145" spans="1:10" x14ac:dyDescent="0.25">
      <c r="A33145" t="s">
        <v>370</v>
      </c>
      <c r="B33145" s="1" t="str">
        <f>HYPERLINK("http://takeda.co.il","takeda.co.il")</f>
        <v>takeda.co.il</v>
      </c>
      <c r="C33145" t="s">
        <v>456</v>
      </c>
      <c r="D33145" t="s">
        <v>833</v>
      </c>
      <c r="F33145">
        <v>5.79521889134984E-9</v>
      </c>
      <c r="G33145">
        <v>18122939</v>
      </c>
      <c r="H33145">
        <v>12277842</v>
      </c>
      <c r="I33145">
        <v>21351793</v>
      </c>
      <c r="J33145">
        <v>2</v>
      </c>
    </row>
    <row r="33146" spans="1:10" x14ac:dyDescent="0.25">
      <c r="A33146" t="s">
        <v>370</v>
      </c>
      <c r="B33146" s="1" t="str">
        <f>HYPERLINK("http://takeda.info","takeda.info")</f>
        <v>takeda.info</v>
      </c>
      <c r="C33146" t="s">
        <v>458</v>
      </c>
      <c r="F33146">
        <v>7.3962455302479703E-9</v>
      </c>
      <c r="G33146">
        <v>11252260</v>
      </c>
      <c r="H33146">
        <v>12283272</v>
      </c>
      <c r="I33146">
        <v>21245411</v>
      </c>
      <c r="J33146">
        <v>2</v>
      </c>
    </row>
    <row r="33147" spans="1:10" x14ac:dyDescent="0.25">
      <c r="A33147" t="s">
        <v>370</v>
      </c>
      <c r="B33147" s="1" t="str">
        <f>HYPERLINK("http://takeda.it","takeda.it")</f>
        <v>takeda.it</v>
      </c>
      <c r="C33147" t="s">
        <v>459</v>
      </c>
      <c r="D33147" t="s">
        <v>835</v>
      </c>
      <c r="F33147">
        <v>4.5871602960546699E-8</v>
      </c>
      <c r="G33147">
        <v>1024049</v>
      </c>
      <c r="H33147">
        <v>16751211</v>
      </c>
      <c r="I33147">
        <v>270549</v>
      </c>
      <c r="J33147">
        <v>2</v>
      </c>
    </row>
    <row r="33148" spans="1:10" x14ac:dyDescent="0.25">
      <c r="A33148" t="s">
        <v>370</v>
      </c>
      <c r="B33148" s="1" t="str">
        <f>HYPERLINK("http://takeda.co.jp","takeda.co.jp")</f>
        <v>takeda.co.jp</v>
      </c>
      <c r="C33148" t="s">
        <v>461</v>
      </c>
      <c r="D33148" t="s">
        <v>837</v>
      </c>
      <c r="E33148">
        <v>76126</v>
      </c>
      <c r="F33148">
        <v>1.2627467613877499E-7</v>
      </c>
      <c r="G33148">
        <v>312342</v>
      </c>
      <c r="H33148">
        <v>14361494</v>
      </c>
      <c r="I33148">
        <v>1303936</v>
      </c>
      <c r="J33148">
        <v>2</v>
      </c>
    </row>
    <row r="33149" spans="1:10" x14ac:dyDescent="0.25">
      <c r="A33149" t="s">
        <v>370</v>
      </c>
      <c r="B33149" s="1" t="str">
        <f>HYPERLINK("http://takeda.co.kr","takeda.co.kr")</f>
        <v>takeda.co.kr</v>
      </c>
      <c r="C33149" t="s">
        <v>463</v>
      </c>
      <c r="D33149" t="s">
        <v>839</v>
      </c>
      <c r="F33149">
        <v>6.03888565928333E-9</v>
      </c>
      <c r="G33149">
        <v>16447629</v>
      </c>
      <c r="H33149">
        <v>12314124</v>
      </c>
      <c r="I33149">
        <v>20531264</v>
      </c>
      <c r="J33149">
        <v>2</v>
      </c>
    </row>
    <row r="33150" spans="1:10" x14ac:dyDescent="0.25">
      <c r="A33150" t="s">
        <v>370</v>
      </c>
      <c r="B33150" s="1" t="str">
        <f>HYPERLINK("http://ig-learning.nl","ig-learning.nl")</f>
        <v>ig-learning.nl</v>
      </c>
      <c r="C33150" t="s">
        <v>477</v>
      </c>
      <c r="D33150" t="s">
        <v>852</v>
      </c>
      <c r="F33150">
        <v>4.7254623172039996E-9</v>
      </c>
      <c r="G33150">
        <v>39568588</v>
      </c>
      <c r="H33150">
        <v>10512671</v>
      </c>
      <c r="I33150">
        <v>49390853</v>
      </c>
      <c r="J33150">
        <v>3</v>
      </c>
    </row>
    <row r="33151" spans="1:10" x14ac:dyDescent="0.25">
      <c r="A33151" t="s">
        <v>370</v>
      </c>
      <c r="B33151" s="1" t="str">
        <f>HYPERLINK("http://takeda.nl","takeda.nl")</f>
        <v>takeda.nl</v>
      </c>
      <c r="C33151" t="s">
        <v>477</v>
      </c>
      <c r="D33151" t="s">
        <v>852</v>
      </c>
      <c r="F33151">
        <v>1.02699956444057E-8</v>
      </c>
      <c r="G33151">
        <v>6479320</v>
      </c>
      <c r="H33151">
        <v>12278001</v>
      </c>
      <c r="I33151">
        <v>21347609</v>
      </c>
      <c r="J33151">
        <v>2</v>
      </c>
    </row>
    <row r="33152" spans="1:10" x14ac:dyDescent="0.25">
      <c r="A33152" t="s">
        <v>370</v>
      </c>
      <c r="B33152" s="1" t="str">
        <f>HYPERLINK("http://takeda.no","takeda.no")</f>
        <v>takeda.no</v>
      </c>
      <c r="C33152" t="s">
        <v>478</v>
      </c>
      <c r="D33152" t="s">
        <v>853</v>
      </c>
      <c r="F33152">
        <v>9.7109573667685298E-9</v>
      </c>
      <c r="G33152">
        <v>7068047</v>
      </c>
      <c r="H33152">
        <v>12304032</v>
      </c>
      <c r="I33152">
        <v>20752360</v>
      </c>
      <c r="J33152">
        <v>2</v>
      </c>
    </row>
    <row r="33153" spans="1:10" x14ac:dyDescent="0.25">
      <c r="A33153" t="s">
        <v>370</v>
      </c>
      <c r="B33153" s="1" t="str">
        <f>HYPERLINK("http://takeda.com.pl","takeda.com.pl")</f>
        <v>takeda.com.pl</v>
      </c>
      <c r="C33153" t="s">
        <v>486</v>
      </c>
      <c r="D33153" t="s">
        <v>860</v>
      </c>
      <c r="F33153">
        <v>9.8300832938107694E-9</v>
      </c>
      <c r="G33153">
        <v>6937004</v>
      </c>
      <c r="H33153">
        <v>12324364</v>
      </c>
      <c r="I33153">
        <v>20334393</v>
      </c>
      <c r="J33153">
        <v>2</v>
      </c>
    </row>
    <row r="33154" spans="1:10" x14ac:dyDescent="0.25">
      <c r="A33154" t="s">
        <v>370</v>
      </c>
      <c r="B33154" s="1" t="str">
        <f>HYPERLINK("http://takeda.pl","takeda.pl")</f>
        <v>takeda.pl</v>
      </c>
      <c r="C33154" t="s">
        <v>486</v>
      </c>
      <c r="D33154" t="s">
        <v>860</v>
      </c>
      <c r="F33154">
        <v>6.13973423716101E-9</v>
      </c>
      <c r="G33154">
        <v>15862841</v>
      </c>
      <c r="H33154">
        <v>12277850</v>
      </c>
      <c r="I33154">
        <v>21351513</v>
      </c>
      <c r="J33154">
        <v>2</v>
      </c>
    </row>
    <row r="33155" spans="1:10" x14ac:dyDescent="0.25">
      <c r="A33155" t="s">
        <v>370</v>
      </c>
      <c r="B33155" s="1" t="str">
        <f>HYPERLINK("http://takeda.pt","takeda.pt")</f>
        <v>takeda.pt</v>
      </c>
      <c r="C33155" t="s">
        <v>488</v>
      </c>
      <c r="D33155" t="s">
        <v>862</v>
      </c>
      <c r="F33155">
        <v>7.9641504678220598E-9</v>
      </c>
      <c r="G33155">
        <v>9987273</v>
      </c>
      <c r="H33155">
        <v>13371750</v>
      </c>
      <c r="I33155">
        <v>10461818</v>
      </c>
      <c r="J33155">
        <v>2</v>
      </c>
    </row>
    <row r="33156" spans="1:10" x14ac:dyDescent="0.25">
      <c r="A33156" t="s">
        <v>370</v>
      </c>
      <c r="B33156" s="1" t="str">
        <f>HYPERLINK("http://takeda.com.ro","takeda.com.ro")</f>
        <v>takeda.com.ro</v>
      </c>
      <c r="C33156" t="s">
        <v>491</v>
      </c>
      <c r="D33156" t="s">
        <v>865</v>
      </c>
      <c r="F33156">
        <v>5.9005849135143803E-9</v>
      </c>
      <c r="G33156">
        <v>17355377</v>
      </c>
      <c r="H33156">
        <v>12277847</v>
      </c>
      <c r="I33156">
        <v>21351638</v>
      </c>
      <c r="J33156">
        <v>2</v>
      </c>
    </row>
    <row r="33157" spans="1:10" x14ac:dyDescent="0.25">
      <c r="A33157" t="s">
        <v>370</v>
      </c>
      <c r="B33157" s="1" t="str">
        <f>HYPERLINK("http://takeda.rs","takeda.rs")</f>
        <v>takeda.rs</v>
      </c>
      <c r="C33157" t="s">
        <v>492</v>
      </c>
      <c r="D33157" t="s">
        <v>866</v>
      </c>
      <c r="F33157">
        <v>6.0001375169575698E-9</v>
      </c>
      <c r="G33157">
        <v>16682930</v>
      </c>
      <c r="H33157">
        <v>12277843</v>
      </c>
      <c r="I33157">
        <v>21351749</v>
      </c>
      <c r="J33157">
        <v>2</v>
      </c>
    </row>
    <row r="33158" spans="1:10" x14ac:dyDescent="0.25">
      <c r="A33158" t="s">
        <v>370</v>
      </c>
      <c r="B33158" s="1" t="str">
        <f>HYPERLINK("http://takeda.com.ru","takeda.com.ru")</f>
        <v>takeda.com.ru</v>
      </c>
      <c r="C33158" t="s">
        <v>493</v>
      </c>
      <c r="D33158" t="s">
        <v>867</v>
      </c>
      <c r="J33158">
        <v>3</v>
      </c>
    </row>
    <row r="33159" spans="1:10" x14ac:dyDescent="0.25">
      <c r="A33159" t="s">
        <v>370</v>
      </c>
      <c r="B33159" s="1" t="str">
        <f>HYPERLINK("http://shiresverige.se","shiresverige.se")</f>
        <v>shiresverige.se</v>
      </c>
      <c r="C33159" t="s">
        <v>495</v>
      </c>
      <c r="D33159" t="s">
        <v>869</v>
      </c>
      <c r="F33159">
        <v>1.12917468045244E-8</v>
      </c>
      <c r="G33159">
        <v>5648290</v>
      </c>
      <c r="H33159">
        <v>12298390</v>
      </c>
      <c r="I33159">
        <v>20876360</v>
      </c>
      <c r="J33159">
        <v>4</v>
      </c>
    </row>
    <row r="33160" spans="1:10" x14ac:dyDescent="0.25">
      <c r="A33160" t="s">
        <v>370</v>
      </c>
      <c r="B33160" s="1" t="str">
        <f>HYPERLINK("http://takeda.se","takeda.se")</f>
        <v>takeda.se</v>
      </c>
      <c r="C33160" t="s">
        <v>495</v>
      </c>
      <c r="D33160" t="s">
        <v>869</v>
      </c>
      <c r="F33160">
        <v>5.447498507078E-8</v>
      </c>
      <c r="G33160">
        <v>828394</v>
      </c>
      <c r="H33160">
        <v>16753140</v>
      </c>
      <c r="I33160">
        <v>249252</v>
      </c>
      <c r="J33160">
        <v>2</v>
      </c>
    </row>
    <row r="33161" spans="1:10" x14ac:dyDescent="0.25">
      <c r="A33161" t="s">
        <v>370</v>
      </c>
      <c r="B33161" s="1" t="str">
        <f>HYPERLINK("http://takeda.co.th","takeda.co.th")</f>
        <v>takeda.co.th</v>
      </c>
      <c r="C33161" t="s">
        <v>500</v>
      </c>
      <c r="D33161" t="s">
        <v>874</v>
      </c>
      <c r="F33161">
        <v>6.0129979304200501E-9</v>
      </c>
      <c r="G33161">
        <v>16604385</v>
      </c>
      <c r="H33161">
        <v>12278079</v>
      </c>
      <c r="I33161">
        <v>21346235</v>
      </c>
      <c r="J33161">
        <v>2</v>
      </c>
    </row>
    <row r="33162" spans="1:10" x14ac:dyDescent="0.25">
      <c r="A33162" t="s">
        <v>370</v>
      </c>
      <c r="B33162" s="1" t="str">
        <f>HYPERLINK("http://takeda.com.tr","takeda.com.tr")</f>
        <v>takeda.com.tr</v>
      </c>
      <c r="C33162" t="s">
        <v>502</v>
      </c>
      <c r="D33162" t="s">
        <v>876</v>
      </c>
      <c r="F33162">
        <v>6.1613166089989497E-9</v>
      </c>
      <c r="G33162">
        <v>15740165</v>
      </c>
      <c r="H33162">
        <v>12277866</v>
      </c>
      <c r="I33162">
        <v>21351131</v>
      </c>
      <c r="J33162">
        <v>2</v>
      </c>
    </row>
    <row r="33163" spans="1:10" x14ac:dyDescent="0.25">
      <c r="A33163" t="s">
        <v>370</v>
      </c>
      <c r="B33163" s="1" t="str">
        <f>HYPERLINK("http://takeda.com.tw","takeda.com.tw")</f>
        <v>takeda.com.tw</v>
      </c>
      <c r="C33163" t="s">
        <v>504</v>
      </c>
      <c r="D33163" t="s">
        <v>878</v>
      </c>
      <c r="E33163">
        <v>570673</v>
      </c>
      <c r="F33163">
        <v>6.73961918856325E-9</v>
      </c>
      <c r="G33163">
        <v>13164227</v>
      </c>
      <c r="H33163">
        <v>12895452</v>
      </c>
      <c r="I33163">
        <v>13900090</v>
      </c>
      <c r="J33163">
        <v>2</v>
      </c>
    </row>
    <row r="33164" spans="1:10" x14ac:dyDescent="0.25">
      <c r="A33164" t="s">
        <v>370</v>
      </c>
      <c r="B33164" s="1" t="str">
        <f>HYPERLINK("http://takeda.ua","takeda.ua")</f>
        <v>takeda.ua</v>
      </c>
      <c r="C33164" t="s">
        <v>505</v>
      </c>
      <c r="D33164" t="s">
        <v>879</v>
      </c>
      <c r="F33164">
        <v>6.4846315991636797E-9</v>
      </c>
      <c r="G33164">
        <v>14142331</v>
      </c>
      <c r="H33164">
        <v>12278667</v>
      </c>
      <c r="I33164">
        <v>21334668</v>
      </c>
      <c r="J33164">
        <v>2</v>
      </c>
    </row>
    <row r="33165" spans="1:10" x14ac:dyDescent="0.25">
      <c r="A33165" t="s">
        <v>370</v>
      </c>
      <c r="B33165" s="1" t="str">
        <f>HYPERLINK("http://auralis.co.uk","auralis.co.uk")</f>
        <v>auralis.co.uk</v>
      </c>
      <c r="C33165" t="s">
        <v>506</v>
      </c>
      <c r="D33165" t="s">
        <v>880</v>
      </c>
      <c r="F33165">
        <v>4.7989927820998403E-9</v>
      </c>
      <c r="G33165">
        <v>36126777</v>
      </c>
      <c r="H33165">
        <v>12261791</v>
      </c>
      <c r="I33165">
        <v>21723148</v>
      </c>
      <c r="J33165">
        <v>7</v>
      </c>
    </row>
    <row r="33166" spans="1:10" x14ac:dyDescent="0.25">
      <c r="A33166" t="s">
        <v>370</v>
      </c>
      <c r="B33166" s="1" t="str">
        <f>HYPERLINK("http://shirepharmaceuticals.co.uk","shirepharmaceuticals.co.uk")</f>
        <v>shirepharmaceuticals.co.uk</v>
      </c>
      <c r="C33166" t="s">
        <v>506</v>
      </c>
      <c r="D33166" t="s">
        <v>880</v>
      </c>
      <c r="F33166">
        <v>1.0014125635736901E-8</v>
      </c>
      <c r="G33166">
        <v>6741706</v>
      </c>
      <c r="H33166">
        <v>13763990</v>
      </c>
      <c r="I33166">
        <v>7443254</v>
      </c>
      <c r="J33166">
        <v>7</v>
      </c>
    </row>
    <row r="33167" spans="1:10" x14ac:dyDescent="0.25">
      <c r="A33167" t="s">
        <v>370</v>
      </c>
      <c r="B33167" s="1" t="str">
        <f>HYPERLINK("http://takeda.co.uk","takeda.co.uk")</f>
        <v>takeda.co.uk</v>
      </c>
      <c r="C33167" t="s">
        <v>506</v>
      </c>
      <c r="D33167" t="s">
        <v>880</v>
      </c>
      <c r="F33167">
        <v>1.00338161266084E-8</v>
      </c>
      <c r="G33167">
        <v>6721716</v>
      </c>
      <c r="H33167">
        <v>13788744</v>
      </c>
      <c r="I33167">
        <v>6361390</v>
      </c>
      <c r="J33167">
        <v>2</v>
      </c>
    </row>
    <row r="33168" spans="1:10" x14ac:dyDescent="0.25">
      <c r="A33168" t="s">
        <v>370</v>
      </c>
      <c r="B33168" s="1" t="str">
        <f>HYPERLINK("http://takeda.us","takeda.us")</f>
        <v>takeda.us</v>
      </c>
      <c r="C33168" t="s">
        <v>522</v>
      </c>
      <c r="D33168" t="s">
        <v>891</v>
      </c>
      <c r="E33168">
        <v>887420</v>
      </c>
      <c r="F33168">
        <v>9.8747806335858294E-8</v>
      </c>
      <c r="G33168">
        <v>408081</v>
      </c>
      <c r="H33168">
        <v>14349511</v>
      </c>
      <c r="I33168">
        <v>1309990</v>
      </c>
      <c r="J33168">
        <v>2</v>
      </c>
    </row>
    <row r="33169" spans="1:10" x14ac:dyDescent="0.25">
      <c r="A33169" t="s">
        <v>371</v>
      </c>
      <c r="B33169" s="1" t="str">
        <f>HYPERLINK("http://target.ca","target.ca")</f>
        <v>target.ca</v>
      </c>
      <c r="C33169" t="s">
        <v>428</v>
      </c>
      <c r="D33169" t="s">
        <v>809</v>
      </c>
      <c r="F33169">
        <v>5.49149216468395E-8</v>
      </c>
      <c r="G33169">
        <v>819287</v>
      </c>
      <c r="H33169">
        <v>14546835</v>
      </c>
      <c r="I33169">
        <v>766253</v>
      </c>
      <c r="J33169">
        <v>2</v>
      </c>
    </row>
    <row r="33170" spans="1:10" x14ac:dyDescent="0.25">
      <c r="A33170" t="s">
        <v>371</v>
      </c>
      <c r="B33170" s="1" t="str">
        <f>HYPERLINK("http://abullseyeview.com","abullseyeview.com")</f>
        <v>abullseyeview.com</v>
      </c>
      <c r="C33170" t="s">
        <v>433</v>
      </c>
      <c r="E33170">
        <v>710132</v>
      </c>
      <c r="F33170">
        <v>1.3112940265735801E-7</v>
      </c>
      <c r="G33170">
        <v>298258</v>
      </c>
      <c r="H33170">
        <v>14995002</v>
      </c>
      <c r="I33170">
        <v>427058</v>
      </c>
      <c r="J33170">
        <v>4</v>
      </c>
    </row>
    <row r="33171" spans="1:10" x14ac:dyDescent="0.25">
      <c r="A33171" t="s">
        <v>371</v>
      </c>
      <c r="B33171" s="1" t="str">
        <f>HYPERLINK("http://target.com","target.com")</f>
        <v>target.com</v>
      </c>
      <c r="C33171" t="s">
        <v>433</v>
      </c>
      <c r="E33171">
        <v>618</v>
      </c>
      <c r="F33171">
        <v>2.2240404774713598E-5</v>
      </c>
      <c r="G33171">
        <v>1320</v>
      </c>
      <c r="H33171">
        <v>18370338</v>
      </c>
      <c r="I33171">
        <v>2087</v>
      </c>
      <c r="J33171">
        <v>1</v>
      </c>
    </row>
    <row r="33172" spans="1:10" x14ac:dyDescent="0.25">
      <c r="A33172" t="s">
        <v>371</v>
      </c>
      <c r="B33172" s="1" t="str">
        <f>HYPERLINK("http://targetoptical.com","targetoptical.com")</f>
        <v>targetoptical.com</v>
      </c>
      <c r="C33172" t="s">
        <v>433</v>
      </c>
      <c r="E33172">
        <v>126725</v>
      </c>
      <c r="F33172">
        <v>2.7466961956662799E-7</v>
      </c>
      <c r="G33172">
        <v>135431</v>
      </c>
      <c r="H33172">
        <v>14582292</v>
      </c>
      <c r="I33172">
        <v>706670</v>
      </c>
      <c r="J33172">
        <v>4</v>
      </c>
    </row>
    <row r="33173" spans="1:10" x14ac:dyDescent="0.25">
      <c r="A33173" t="s">
        <v>372</v>
      </c>
      <c r="B33173" s="1" t="str">
        <f>HYPERLINK("http://dicon-tcs.com.br","dicon-tcs.com.br")</f>
        <v>dicon-tcs.com.br</v>
      </c>
      <c r="C33173" t="s">
        <v>425</v>
      </c>
      <c r="D33173" t="s">
        <v>806</v>
      </c>
      <c r="J33173">
        <v>3</v>
      </c>
    </row>
    <row r="33174" spans="1:10" x14ac:dyDescent="0.25">
      <c r="A33174" t="s">
        <v>372</v>
      </c>
      <c r="B33174" s="1" t="str">
        <f>HYPERLINK("http://airindia.com","airindia.com")</f>
        <v>airindia.com</v>
      </c>
      <c r="C33174" t="s">
        <v>433</v>
      </c>
      <c r="E33174">
        <v>152802</v>
      </c>
      <c r="F33174">
        <v>3.1878746078656698E-7</v>
      </c>
      <c r="G33174">
        <v>116687</v>
      </c>
      <c r="H33174">
        <v>15163458</v>
      </c>
      <c r="I33174">
        <v>398810</v>
      </c>
      <c r="J33174">
        <v>8</v>
      </c>
    </row>
    <row r="33175" spans="1:10" x14ac:dyDescent="0.25">
      <c r="A33175" t="s">
        <v>372</v>
      </c>
      <c r="B33175" s="1" t="str">
        <f>HYPERLINK("http://autostampings.com","autostampings.com")</f>
        <v>autostampings.com</v>
      </c>
      <c r="C33175" t="s">
        <v>433</v>
      </c>
      <c r="F33175">
        <v>1.62481792663426E-8</v>
      </c>
      <c r="G33175">
        <v>3483444</v>
      </c>
      <c r="H33175">
        <v>13255178</v>
      </c>
      <c r="I33175">
        <v>11059715</v>
      </c>
      <c r="J33175">
        <v>8</v>
      </c>
    </row>
    <row r="33176" spans="1:10" x14ac:dyDescent="0.25">
      <c r="A33176" t="s">
        <v>372</v>
      </c>
      <c r="B33176" s="1" t="str">
        <f>HYPERLINK("http://crlindia.com","crlindia.com")</f>
        <v>crlindia.com</v>
      </c>
      <c r="C33176" t="s">
        <v>433</v>
      </c>
      <c r="F33176">
        <v>1.10790741588042E-8</v>
      </c>
      <c r="G33176">
        <v>5800827</v>
      </c>
      <c r="H33176">
        <v>14126995</v>
      </c>
      <c r="I33176">
        <v>2090552</v>
      </c>
      <c r="J33176">
        <v>4</v>
      </c>
    </row>
    <row r="33177" spans="1:10" x14ac:dyDescent="0.25">
      <c r="A33177" t="s">
        <v>372</v>
      </c>
      <c r="B33177" s="1" t="str">
        <f>HYPERLINK("http://seleqtionshotels.com","seleqtionshotels.com")</f>
        <v>seleqtionshotels.com</v>
      </c>
      <c r="C33177" t="s">
        <v>433</v>
      </c>
      <c r="E33177">
        <v>555290</v>
      </c>
      <c r="F33177">
        <v>7.4126397886833804E-8</v>
      </c>
      <c r="G33177">
        <v>567914</v>
      </c>
      <c r="H33177">
        <v>13351927</v>
      </c>
      <c r="I33177">
        <v>10609593</v>
      </c>
      <c r="J33177">
        <v>10</v>
      </c>
    </row>
    <row r="33178" spans="1:10" x14ac:dyDescent="0.25">
      <c r="A33178" t="s">
        <v>372</v>
      </c>
      <c r="B33178" s="1" t="str">
        <f>HYPERLINK("http://tacogroup.com","tacogroup.com")</f>
        <v>tacogroup.com</v>
      </c>
      <c r="C33178" t="s">
        <v>433</v>
      </c>
      <c r="F33178">
        <v>6.4946068307834504E-9</v>
      </c>
      <c r="G33178">
        <v>14100679</v>
      </c>
      <c r="H33178">
        <v>14373830</v>
      </c>
      <c r="I33178">
        <v>1268680</v>
      </c>
      <c r="J33178">
        <v>7</v>
      </c>
    </row>
    <row r="33179" spans="1:10" x14ac:dyDescent="0.25">
      <c r="A33179" t="s">
        <v>372</v>
      </c>
      <c r="B33179" s="1" t="str">
        <f>HYPERLINK("http://tajhotels.com","tajhotels.com")</f>
        <v>tajhotels.com</v>
      </c>
      <c r="C33179" t="s">
        <v>433</v>
      </c>
      <c r="E33179">
        <v>26788</v>
      </c>
      <c r="F33179">
        <v>8.6776499735371699E-7</v>
      </c>
      <c r="G33179">
        <v>46112</v>
      </c>
      <c r="H33179">
        <v>17366932</v>
      </c>
      <c r="I33179">
        <v>21665</v>
      </c>
      <c r="J33179">
        <v>8</v>
      </c>
    </row>
    <row r="33180" spans="1:10" x14ac:dyDescent="0.25">
      <c r="A33180" t="s">
        <v>372</v>
      </c>
      <c r="B33180" s="1" t="str">
        <f>HYPERLINK("http://tamlindia.com","tamlindia.com")</f>
        <v>tamlindia.com</v>
      </c>
      <c r="C33180" t="s">
        <v>433</v>
      </c>
      <c r="F33180">
        <v>6.6805812242543402E-9</v>
      </c>
      <c r="G33180">
        <v>13373227</v>
      </c>
      <c r="H33180">
        <v>12418514</v>
      </c>
      <c r="I33180">
        <v>18486301</v>
      </c>
      <c r="J33180">
        <v>10</v>
      </c>
    </row>
    <row r="33181" spans="1:10" x14ac:dyDescent="0.25">
      <c r="A33181" t="s">
        <v>372</v>
      </c>
      <c r="B33181" s="1" t="str">
        <f>HYPERLINK("http://tata.com","tata.com")</f>
        <v>tata.com</v>
      </c>
      <c r="C33181" t="s">
        <v>433</v>
      </c>
      <c r="E33181">
        <v>54823</v>
      </c>
      <c r="F33181">
        <v>7.29035240873892E-7</v>
      </c>
      <c r="G33181">
        <v>53329</v>
      </c>
      <c r="H33181">
        <v>15419798</v>
      </c>
      <c r="I33181">
        <v>379363</v>
      </c>
      <c r="J33181">
        <v>5</v>
      </c>
    </row>
    <row r="33182" spans="1:10" x14ac:dyDescent="0.25">
      <c r="A33182" t="s">
        <v>372</v>
      </c>
      <c r="B33182" s="1" t="str">
        <f>HYPERLINK("http://tataadvancedsystems.com","tataadvancedsystems.com")</f>
        <v>tataadvancedsystems.com</v>
      </c>
      <c r="C33182" t="s">
        <v>433</v>
      </c>
      <c r="F33182">
        <v>2.1953799570567499E-8</v>
      </c>
      <c r="G33182">
        <v>2391724</v>
      </c>
      <c r="H33182">
        <v>13769720</v>
      </c>
      <c r="I33182">
        <v>6772729</v>
      </c>
      <c r="J33182">
        <v>8</v>
      </c>
    </row>
    <row r="33183" spans="1:10" x14ac:dyDescent="0.25">
      <c r="A33183" t="s">
        <v>372</v>
      </c>
      <c r="B33183" s="1" t="str">
        <f>HYPERLINK("http://tatacapital.com","tatacapital.com")</f>
        <v>tatacapital.com</v>
      </c>
      <c r="C33183" t="s">
        <v>433</v>
      </c>
      <c r="E33183">
        <v>83194</v>
      </c>
      <c r="F33183">
        <v>3.3457637960515302E-7</v>
      </c>
      <c r="G33183">
        <v>111423</v>
      </c>
      <c r="H33183">
        <v>16963278</v>
      </c>
      <c r="I33183">
        <v>104711</v>
      </c>
      <c r="J33183">
        <v>6</v>
      </c>
    </row>
    <row r="33184" spans="1:10" x14ac:dyDescent="0.25">
      <c r="A33184" t="s">
        <v>372</v>
      </c>
      <c r="B33184" s="1" t="str">
        <f>HYPERLINK("http://tatacapitalfinancialservices.com","tatacapitalfinancialservices.com")</f>
        <v>tatacapitalfinancialservices.com</v>
      </c>
      <c r="C33184" t="s">
        <v>433</v>
      </c>
      <c r="F33184">
        <v>4.8255989847648601E-9</v>
      </c>
      <c r="G33184">
        <v>35006665</v>
      </c>
      <c r="H33184">
        <v>10603552</v>
      </c>
      <c r="I33184">
        <v>44763071</v>
      </c>
      <c r="J33184">
        <v>6</v>
      </c>
    </row>
    <row r="33185" spans="1:10" x14ac:dyDescent="0.25">
      <c r="A33185" t="s">
        <v>372</v>
      </c>
      <c r="B33185" s="1" t="str">
        <f>HYPERLINK("http://tatacommunications.com","tatacommunications.com")</f>
        <v>tatacommunications.com</v>
      </c>
      <c r="C33185" t="s">
        <v>433</v>
      </c>
      <c r="E33185">
        <v>34870</v>
      </c>
      <c r="F33185">
        <v>9.1011456123958895E-7</v>
      </c>
      <c r="G33185">
        <v>42778</v>
      </c>
      <c r="H33185">
        <v>17265538</v>
      </c>
      <c r="I33185">
        <v>31922</v>
      </c>
      <c r="J33185">
        <v>7</v>
      </c>
    </row>
    <row r="33186" spans="1:10" x14ac:dyDescent="0.25">
      <c r="A33186" t="s">
        <v>372</v>
      </c>
      <c r="B33186" s="1" t="str">
        <f>HYPERLINK("http://tataelxsi.com","tataelxsi.com")</f>
        <v>tataelxsi.com</v>
      </c>
      <c r="C33186" t="s">
        <v>433</v>
      </c>
      <c r="E33186">
        <v>414749</v>
      </c>
      <c r="F33186">
        <v>1.6404761701195701E-7</v>
      </c>
      <c r="G33186">
        <v>236588</v>
      </c>
      <c r="H33186">
        <v>14846715</v>
      </c>
      <c r="I33186">
        <v>493183</v>
      </c>
      <c r="J33186">
        <v>6</v>
      </c>
    </row>
    <row r="33187" spans="1:10" x14ac:dyDescent="0.25">
      <c r="A33187" t="s">
        <v>372</v>
      </c>
      <c r="B33187" s="1" t="str">
        <f>HYPERLINK("http://tataindustries.com","tataindustries.com")</f>
        <v>tataindustries.com</v>
      </c>
      <c r="C33187" t="s">
        <v>433</v>
      </c>
      <c r="F33187">
        <v>4.44380395335525E-9</v>
      </c>
      <c r="G33187">
        <v>83625994</v>
      </c>
      <c r="H33187">
        <v>0</v>
      </c>
      <c r="I33187">
        <v>84492239</v>
      </c>
      <c r="J33187">
        <v>8</v>
      </c>
    </row>
    <row r="33188" spans="1:10" x14ac:dyDescent="0.25">
      <c r="A33188" t="s">
        <v>372</v>
      </c>
      <c r="B33188" s="1" t="str">
        <f>HYPERLINK("http://tatainvestment.com","tatainvestment.com")</f>
        <v>tatainvestment.com</v>
      </c>
      <c r="C33188" t="s">
        <v>433</v>
      </c>
      <c r="F33188">
        <v>1.5687208994952501E-8</v>
      </c>
      <c r="G33188">
        <v>3631025</v>
      </c>
      <c r="H33188">
        <v>13255109</v>
      </c>
      <c r="I33188">
        <v>11059943</v>
      </c>
      <c r="J33188">
        <v>8</v>
      </c>
    </row>
    <row r="33189" spans="1:10" x14ac:dyDescent="0.25">
      <c r="A33189" t="s">
        <v>372</v>
      </c>
      <c r="B33189" s="1" t="str">
        <f>HYPERLINK("http://tatamd.com","tatamd.com")</f>
        <v>tatamd.com</v>
      </c>
      <c r="C33189" t="s">
        <v>433</v>
      </c>
      <c r="F33189">
        <v>1.07938874543671E-8</v>
      </c>
      <c r="G33189">
        <v>6025599</v>
      </c>
      <c r="H33189">
        <v>12539900</v>
      </c>
      <c r="I33189">
        <v>16943707</v>
      </c>
      <c r="J33189">
        <v>8</v>
      </c>
    </row>
    <row r="33190" spans="1:10" x14ac:dyDescent="0.25">
      <c r="A33190" t="s">
        <v>372</v>
      </c>
      <c r="B33190" s="1" t="str">
        <f>HYPERLINK("http://tataplay.com","tataplay.com")</f>
        <v>tataplay.com</v>
      </c>
      <c r="C33190" t="s">
        <v>433</v>
      </c>
      <c r="E33190">
        <v>39108</v>
      </c>
      <c r="F33190">
        <v>2.6531846170297898E-7</v>
      </c>
      <c r="G33190">
        <v>140552</v>
      </c>
      <c r="H33190">
        <v>17078402</v>
      </c>
      <c r="I33190">
        <v>68743</v>
      </c>
      <c r="J33190">
        <v>8</v>
      </c>
    </row>
    <row r="33191" spans="1:10" x14ac:dyDescent="0.25">
      <c r="A33191" t="s">
        <v>372</v>
      </c>
      <c r="B33191" s="1" t="str">
        <f>HYPERLINK("http://tataplayrecharge.com","tataplayrecharge.com")</f>
        <v>tataplayrecharge.com</v>
      </c>
      <c r="C33191" t="s">
        <v>433</v>
      </c>
      <c r="E33191">
        <v>253028</v>
      </c>
      <c r="F33191">
        <v>1.04841498338938E-8</v>
      </c>
      <c r="G33191">
        <v>6283274</v>
      </c>
      <c r="H33191">
        <v>12148875</v>
      </c>
      <c r="I33191">
        <v>24650741</v>
      </c>
      <c r="J33191">
        <v>10</v>
      </c>
    </row>
    <row r="33192" spans="1:10" x14ac:dyDescent="0.25">
      <c r="A33192" t="s">
        <v>372</v>
      </c>
      <c r="B33192" s="1" t="str">
        <f>HYPERLINK("http://tatasky.com","tatasky.com")</f>
        <v>tatasky.com</v>
      </c>
      <c r="C33192" t="s">
        <v>433</v>
      </c>
      <c r="E33192">
        <v>171074</v>
      </c>
      <c r="F33192">
        <v>3.04578157448544E-7</v>
      </c>
      <c r="G33192">
        <v>122050</v>
      </c>
      <c r="H33192">
        <v>14939852</v>
      </c>
      <c r="I33192">
        <v>444052</v>
      </c>
      <c r="J33192">
        <v>10</v>
      </c>
    </row>
    <row r="33193" spans="1:10" x14ac:dyDescent="0.25">
      <c r="A33193" t="s">
        <v>372</v>
      </c>
      <c r="B33193" s="1" t="str">
        <f>HYPERLINK("http://tatavaluehomes.com","tatavaluehomes.com")</f>
        <v>tatavaluehomes.com</v>
      </c>
      <c r="C33193" t="s">
        <v>433</v>
      </c>
      <c r="F33193">
        <v>6.25592014873985E-9</v>
      </c>
      <c r="G33193">
        <v>15245514</v>
      </c>
      <c r="H33193">
        <v>13934580</v>
      </c>
      <c r="I33193">
        <v>4589488</v>
      </c>
      <c r="J33193">
        <v>8</v>
      </c>
    </row>
    <row r="33194" spans="1:10" x14ac:dyDescent="0.25">
      <c r="A33194" t="s">
        <v>372</v>
      </c>
      <c r="B33194" s="1" t="str">
        <f>HYPERLINK("http://tcs.com","tcs.com")</f>
        <v>tcs.com</v>
      </c>
      <c r="C33194" t="s">
        <v>433</v>
      </c>
      <c r="E33194">
        <v>9846</v>
      </c>
      <c r="F33194">
        <v>2.5762291823194201E-6</v>
      </c>
      <c r="G33194">
        <v>14662</v>
      </c>
      <c r="H33194">
        <v>17582242</v>
      </c>
      <c r="I33194">
        <v>10236</v>
      </c>
      <c r="J33194">
        <v>1</v>
      </c>
    </row>
    <row r="33195" spans="1:10" x14ac:dyDescent="0.25">
      <c r="A33195" t="s">
        <v>372</v>
      </c>
      <c r="B33195" s="1" t="str">
        <f>HYPERLINK("http://tcsapps.com","tcsapps.com")</f>
        <v>tcsapps.com</v>
      </c>
      <c r="C33195" t="s">
        <v>433</v>
      </c>
      <c r="E33195">
        <v>293285</v>
      </c>
      <c r="F33195">
        <v>8.4326853653688195E-8</v>
      </c>
      <c r="G33195">
        <v>490199</v>
      </c>
      <c r="H33195">
        <v>16804392</v>
      </c>
      <c r="I33195">
        <v>206617</v>
      </c>
      <c r="J33195">
        <v>2</v>
      </c>
    </row>
    <row r="33196" spans="1:10" x14ac:dyDescent="0.25">
      <c r="A33196" t="s">
        <v>372</v>
      </c>
      <c r="B33196" s="1" t="str">
        <f>HYPERLINK("http://theparkhotels.com","theparkhotels.com")</f>
        <v>theparkhotels.com</v>
      </c>
      <c r="C33196" t="s">
        <v>433</v>
      </c>
      <c r="E33196">
        <v>387403</v>
      </c>
      <c r="F33196">
        <v>1.3009611882521201E-7</v>
      </c>
      <c r="G33196">
        <v>300830</v>
      </c>
      <c r="H33196">
        <v>15156974</v>
      </c>
      <c r="I33196">
        <v>399431</v>
      </c>
      <c r="J33196">
        <v>10</v>
      </c>
    </row>
    <row r="33197" spans="1:10" x14ac:dyDescent="0.25">
      <c r="A33197" t="s">
        <v>372</v>
      </c>
      <c r="B33197" s="1" t="str">
        <f>HYPERLINK("http://thepierreny.com","thepierreny.com")</f>
        <v>thepierreny.com</v>
      </c>
      <c r="C33197" t="s">
        <v>433</v>
      </c>
      <c r="F33197">
        <v>5.4235815106832799E-8</v>
      </c>
      <c r="G33197">
        <v>833337</v>
      </c>
      <c r="H33197">
        <v>14157835</v>
      </c>
      <c r="I33197">
        <v>1847185</v>
      </c>
      <c r="J33197">
        <v>11</v>
      </c>
    </row>
    <row r="33198" spans="1:10" x14ac:dyDescent="0.25">
      <c r="A33198" t="s">
        <v>372</v>
      </c>
      <c r="B33198" s="1" t="str">
        <f>HYPERLINK("http://usilaw.com","usilaw.com")</f>
        <v>usilaw.com</v>
      </c>
      <c r="C33198" t="s">
        <v>433</v>
      </c>
      <c r="F33198">
        <v>5.0269410736991898E-9</v>
      </c>
      <c r="G33198">
        <v>28740223</v>
      </c>
      <c r="H33198">
        <v>10676409</v>
      </c>
      <c r="I33198">
        <v>42824862</v>
      </c>
      <c r="J33198">
        <v>3</v>
      </c>
    </row>
    <row r="33199" spans="1:10" x14ac:dyDescent="0.25">
      <c r="A33199" t="s">
        <v>372</v>
      </c>
      <c r="B33199" s="1" t="str">
        <f>HYPERLINK("http://vivantahotels.com","vivantahotels.com")</f>
        <v>vivantahotels.com</v>
      </c>
      <c r="C33199" t="s">
        <v>433</v>
      </c>
      <c r="E33199">
        <v>326346</v>
      </c>
      <c r="F33199">
        <v>6.5283318480541397E-8</v>
      </c>
      <c r="G33199">
        <v>659238</v>
      </c>
      <c r="H33199">
        <v>13119852</v>
      </c>
      <c r="I33199">
        <v>11993906</v>
      </c>
      <c r="J33199">
        <v>10</v>
      </c>
    </row>
    <row r="33200" spans="1:10" x14ac:dyDescent="0.25">
      <c r="A33200" t="s">
        <v>372</v>
      </c>
      <c r="B33200" s="1" t="str">
        <f>HYPERLINK("http://w12studios.com","w12studios.com")</f>
        <v>w12studios.com</v>
      </c>
      <c r="C33200" t="s">
        <v>433</v>
      </c>
      <c r="F33200">
        <v>1.6851763999392901E-8</v>
      </c>
      <c r="G33200">
        <v>3320799</v>
      </c>
      <c r="H33200">
        <v>13569543</v>
      </c>
      <c r="I33200">
        <v>9729530</v>
      </c>
      <c r="J33200">
        <v>3</v>
      </c>
    </row>
    <row r="33201" spans="1:10" x14ac:dyDescent="0.25">
      <c r="A33201" t="s">
        <v>372</v>
      </c>
      <c r="B33201" s="1" t="str">
        <f>HYPERLINK("http://airindia.in","airindia.in")</f>
        <v>airindia.in</v>
      </c>
      <c r="C33201" t="s">
        <v>457</v>
      </c>
      <c r="D33201" t="s">
        <v>834</v>
      </c>
      <c r="E33201">
        <v>15008</v>
      </c>
      <c r="F33201">
        <v>1.19642925148806E-6</v>
      </c>
      <c r="G33201">
        <v>32592</v>
      </c>
      <c r="H33201">
        <v>17520754</v>
      </c>
      <c r="I33201">
        <v>12661</v>
      </c>
      <c r="J33201">
        <v>9</v>
      </c>
    </row>
    <row r="33202" spans="1:10" x14ac:dyDescent="0.25">
      <c r="A33202" t="s">
        <v>372</v>
      </c>
      <c r="B33202" s="1" t="str">
        <f>HYPERLINK("http://airindiaexpress.in","airindiaexpress.in")</f>
        <v>airindiaexpress.in</v>
      </c>
      <c r="C33202" t="s">
        <v>457</v>
      </c>
      <c r="D33202" t="s">
        <v>834</v>
      </c>
      <c r="E33202">
        <v>86483</v>
      </c>
      <c r="F33202">
        <v>3.3835488525271E-7</v>
      </c>
      <c r="G33202">
        <v>110271</v>
      </c>
      <c r="H33202">
        <v>17057652</v>
      </c>
      <c r="I33202">
        <v>74672</v>
      </c>
      <c r="J33202">
        <v>10</v>
      </c>
    </row>
    <row r="33203" spans="1:10" x14ac:dyDescent="0.25">
      <c r="A33203" t="s">
        <v>372</v>
      </c>
      <c r="B33203" s="1" t="str">
        <f>HYPERLINK("http://aptonline.in","aptonline.in")</f>
        <v>aptonline.in</v>
      </c>
      <c r="C33203" t="s">
        <v>457</v>
      </c>
      <c r="D33203" t="s">
        <v>834</v>
      </c>
      <c r="E33203">
        <v>178102</v>
      </c>
      <c r="F33203">
        <v>1.39020053085636E-7</v>
      </c>
      <c r="G33203">
        <v>280235</v>
      </c>
      <c r="H33203">
        <v>14244934</v>
      </c>
      <c r="I33203">
        <v>1469241</v>
      </c>
      <c r="J33203">
        <v>4</v>
      </c>
    </row>
    <row r="33204" spans="1:10" x14ac:dyDescent="0.25">
      <c r="A33204" t="s">
        <v>372</v>
      </c>
      <c r="B33204" s="1" t="str">
        <f>HYPERLINK("http://airindia.co.in","airindia.co.in")</f>
        <v>airindia.co.in</v>
      </c>
      <c r="C33204" t="s">
        <v>457</v>
      </c>
      <c r="D33204" t="s">
        <v>834</v>
      </c>
      <c r="F33204">
        <v>1.29199799019614E-8</v>
      </c>
      <c r="G33204">
        <v>4669965</v>
      </c>
      <c r="H33204">
        <v>14575989</v>
      </c>
      <c r="I33204">
        <v>724089</v>
      </c>
      <c r="J33204">
        <v>10</v>
      </c>
    </row>
    <row r="33205" spans="1:10" x14ac:dyDescent="0.25">
      <c r="A33205" t="s">
        <v>372</v>
      </c>
      <c r="B33205" s="1" t="str">
        <f>HYPERLINK("http://tril.co.in","tril.co.in")</f>
        <v>tril.co.in</v>
      </c>
      <c r="C33205" t="s">
        <v>457</v>
      </c>
      <c r="D33205" t="s">
        <v>834</v>
      </c>
      <c r="F33205">
        <v>7.6775293886184E-9</v>
      </c>
      <c r="G33205">
        <v>10628552</v>
      </c>
      <c r="H33205">
        <v>12723176</v>
      </c>
      <c r="I33205">
        <v>15238177</v>
      </c>
      <c r="J33205">
        <v>7</v>
      </c>
    </row>
    <row r="33206" spans="1:10" x14ac:dyDescent="0.25">
      <c r="A33206" t="s">
        <v>372</v>
      </c>
      <c r="B33206" s="1" t="str">
        <f>HYPERLINK("http://tatahousing.in","tatahousing.in")</f>
        <v>tatahousing.in</v>
      </c>
      <c r="C33206" t="s">
        <v>457</v>
      </c>
      <c r="D33206" t="s">
        <v>834</v>
      </c>
      <c r="F33206">
        <v>1.1842015671573301E-8</v>
      </c>
      <c r="G33206">
        <v>5275443</v>
      </c>
      <c r="H33206">
        <v>14123959</v>
      </c>
      <c r="I33206">
        <v>2158018</v>
      </c>
      <c r="J33206">
        <v>7</v>
      </c>
    </row>
    <row r="33207" spans="1:10" x14ac:dyDescent="0.25">
      <c r="A33207" t="s">
        <v>372</v>
      </c>
      <c r="B33207" s="1" t="str">
        <f>HYPERLINK("http://tatarealty.in","tatarealty.in")</f>
        <v>tatarealty.in</v>
      </c>
      <c r="C33207" t="s">
        <v>457</v>
      </c>
      <c r="D33207" t="s">
        <v>834</v>
      </c>
      <c r="E33207">
        <v>523864</v>
      </c>
      <c r="F33207">
        <v>4.6213420435374902E-8</v>
      </c>
      <c r="G33207">
        <v>1014007</v>
      </c>
      <c r="H33207">
        <v>13091329</v>
      </c>
      <c r="I33207">
        <v>12141484</v>
      </c>
      <c r="J33207">
        <v>10</v>
      </c>
    </row>
    <row r="33208" spans="1:10" x14ac:dyDescent="0.25">
      <c r="A33208" t="s">
        <v>372</v>
      </c>
      <c r="B33208" s="1" t="str">
        <f>HYPERLINK("http://tcsapps.in","tcsapps.in")</f>
        <v>tcsapps.in</v>
      </c>
      <c r="C33208" t="s">
        <v>457</v>
      </c>
      <c r="D33208" t="s">
        <v>834</v>
      </c>
      <c r="E33208">
        <v>70007</v>
      </c>
      <c r="J33208">
        <v>2</v>
      </c>
    </row>
    <row r="33209" spans="1:10" x14ac:dyDescent="0.25">
      <c r="A33209" t="s">
        <v>372</v>
      </c>
      <c r="B33209" s="1" t="str">
        <f>HYPERLINK("http://airindia.co.kr","airindia.co.kr")</f>
        <v>airindia.co.kr</v>
      </c>
      <c r="C33209" t="s">
        <v>463</v>
      </c>
      <c r="D33209" t="s">
        <v>839</v>
      </c>
      <c r="F33209">
        <v>1.23065997829007E-8</v>
      </c>
      <c r="G33209">
        <v>4990710</v>
      </c>
      <c r="H33209">
        <v>12331055</v>
      </c>
      <c r="I33209">
        <v>20194054</v>
      </c>
      <c r="J33209">
        <v>10</v>
      </c>
    </row>
    <row r="33210" spans="1:10" x14ac:dyDescent="0.25">
      <c r="A33210" t="s">
        <v>372</v>
      </c>
      <c r="B33210" s="1" t="str">
        <f>HYPERLINK("http://iur.ls","iur.ls")</f>
        <v>iur.ls</v>
      </c>
      <c r="C33210" t="s">
        <v>651</v>
      </c>
      <c r="D33210" t="s">
        <v>970</v>
      </c>
      <c r="E33210">
        <v>869586</v>
      </c>
      <c r="F33210">
        <v>4.0184573525627597E-8</v>
      </c>
      <c r="G33210">
        <v>1287204</v>
      </c>
      <c r="H33210">
        <v>13140747</v>
      </c>
      <c r="I33210">
        <v>11876644</v>
      </c>
      <c r="J33210">
        <v>2</v>
      </c>
    </row>
    <row r="33211" spans="1:10" x14ac:dyDescent="0.25">
      <c r="A33211" t="s">
        <v>372</v>
      </c>
      <c r="B33211" s="1" t="str">
        <f>HYPERLINK("http://ext-ultimatix.net","ext-ultimatix.net")</f>
        <v>ext-ultimatix.net</v>
      </c>
      <c r="C33211" t="s">
        <v>474</v>
      </c>
      <c r="F33211">
        <v>4.4438425958010404E-9</v>
      </c>
      <c r="G33211">
        <v>78718476</v>
      </c>
      <c r="H33211">
        <v>10535755</v>
      </c>
      <c r="I33211">
        <v>47621914</v>
      </c>
      <c r="J33211">
        <v>2</v>
      </c>
    </row>
    <row r="33212" spans="1:10" x14ac:dyDescent="0.25">
      <c r="A33212" t="s">
        <v>372</v>
      </c>
      <c r="B33212" s="1" t="str">
        <f>HYPERLINK("http://ultimatix.net","ultimatix.net")</f>
        <v>ultimatix.net</v>
      </c>
      <c r="C33212" t="s">
        <v>474</v>
      </c>
      <c r="E33212">
        <v>16988</v>
      </c>
      <c r="F33212">
        <v>1.0671251261851999E-8</v>
      </c>
      <c r="G33212">
        <v>6124010</v>
      </c>
      <c r="H33212">
        <v>13860056</v>
      </c>
      <c r="I33212">
        <v>6022583</v>
      </c>
      <c r="J33212">
        <v>2</v>
      </c>
    </row>
    <row r="33213" spans="1:10" x14ac:dyDescent="0.25">
      <c r="A33213" t="s">
        <v>372</v>
      </c>
      <c r="B33213" s="1" t="str">
        <f>HYPERLINK("http://c-edge.org","c-edge.org")</f>
        <v>c-edge.org</v>
      </c>
      <c r="C33213" t="s">
        <v>481</v>
      </c>
      <c r="F33213">
        <v>4.9753365336158397E-9</v>
      </c>
      <c r="G33213">
        <v>30113431</v>
      </c>
      <c r="H33213">
        <v>10376339</v>
      </c>
      <c r="I33213">
        <v>54684654</v>
      </c>
      <c r="J33213">
        <v>2</v>
      </c>
    </row>
    <row r="33214" spans="1:10" x14ac:dyDescent="0.25">
      <c r="A33214" t="s">
        <v>372</v>
      </c>
      <c r="B33214" s="1" t="str">
        <f>HYPERLINK("http://inspro.com.sg","inspro.com.sg")</f>
        <v>inspro.com.sg</v>
      </c>
      <c r="C33214" t="s">
        <v>496</v>
      </c>
      <c r="D33214" t="s">
        <v>870</v>
      </c>
      <c r="F33214">
        <v>4.7243682668577901E-9</v>
      </c>
      <c r="G33214">
        <v>39623758</v>
      </c>
      <c r="H33214">
        <v>13933061</v>
      </c>
      <c r="I33214">
        <v>5550921</v>
      </c>
      <c r="J33214">
        <v>8</v>
      </c>
    </row>
    <row r="33215" spans="1:10" x14ac:dyDescent="0.25">
      <c r="A33215" t="s">
        <v>372</v>
      </c>
      <c r="B33215" s="1" t="str">
        <f>HYPERLINK("http://bfsiplatform.co.uk","bfsiplatform.co.uk")</f>
        <v>bfsiplatform.co.uk</v>
      </c>
      <c r="C33215" t="s">
        <v>506</v>
      </c>
      <c r="D33215" t="s">
        <v>880</v>
      </c>
      <c r="J33215">
        <v>2</v>
      </c>
    </row>
    <row r="33216" spans="1:10" x14ac:dyDescent="0.25">
      <c r="A33216" t="s">
        <v>372</v>
      </c>
      <c r="B33216" s="1" t="str">
        <f>HYPERLINK("http://diligenta.co.uk","diligenta.co.uk")</f>
        <v>diligenta.co.uk</v>
      </c>
      <c r="C33216" t="s">
        <v>506</v>
      </c>
      <c r="D33216" t="s">
        <v>880</v>
      </c>
      <c r="F33216">
        <v>9.5255250123613502E-9</v>
      </c>
      <c r="G33216">
        <v>7292197</v>
      </c>
      <c r="H33216">
        <v>13142331</v>
      </c>
      <c r="I33216">
        <v>11869600</v>
      </c>
      <c r="J33216">
        <v>2</v>
      </c>
    </row>
    <row r="33217" spans="1:10" x14ac:dyDescent="0.25">
      <c r="A33217" t="s">
        <v>372</v>
      </c>
      <c r="B33217" s="1" t="str">
        <f>HYPERLINK("http://lbpres.co.uk","lbpres.co.uk")</f>
        <v>lbpres.co.uk</v>
      </c>
      <c r="C33217" t="s">
        <v>506</v>
      </c>
      <c r="D33217" t="s">
        <v>880</v>
      </c>
      <c r="J33217">
        <v>2</v>
      </c>
    </row>
    <row r="33218" spans="1:10" x14ac:dyDescent="0.25">
      <c r="A33218" t="s">
        <v>372</v>
      </c>
      <c r="B33218" s="1" t="str">
        <f>HYPERLINK("http://pbpres.co.uk","pbpres.co.uk")</f>
        <v>pbpres.co.uk</v>
      </c>
      <c r="C33218" t="s">
        <v>506</v>
      </c>
      <c r="D33218" t="s">
        <v>880</v>
      </c>
      <c r="J33218">
        <v>2</v>
      </c>
    </row>
    <row r="33219" spans="1:10" x14ac:dyDescent="0.25">
      <c r="A33219" t="s">
        <v>372</v>
      </c>
      <c r="B33219" s="1" t="str">
        <f>HYPERLINK("http://taj51buckinghamgate.co.uk","taj51buckinghamgate.co.uk")</f>
        <v>taj51buckinghamgate.co.uk</v>
      </c>
      <c r="C33219" t="s">
        <v>506</v>
      </c>
      <c r="D33219" t="s">
        <v>880</v>
      </c>
      <c r="F33219">
        <v>1.3776390003567401E-8</v>
      </c>
      <c r="G33219">
        <v>4290785</v>
      </c>
      <c r="H33219">
        <v>14133313</v>
      </c>
      <c r="I33219">
        <v>1989998</v>
      </c>
      <c r="J33219">
        <v>13</v>
      </c>
    </row>
    <row r="33220" spans="1:10" x14ac:dyDescent="0.25">
      <c r="A33220" t="s">
        <v>372</v>
      </c>
      <c r="B33220" s="1" t="str">
        <f>HYPERLINK("http://neotel.co.za","neotel.co.za")</f>
        <v>neotel.co.za</v>
      </c>
      <c r="C33220" t="s">
        <v>510</v>
      </c>
      <c r="D33220" t="s">
        <v>884</v>
      </c>
      <c r="F33220">
        <v>3.3041456502048999E-8</v>
      </c>
      <c r="G33220">
        <v>1563580</v>
      </c>
      <c r="H33220">
        <v>14505634</v>
      </c>
      <c r="I33220">
        <v>835800</v>
      </c>
      <c r="J33220">
        <v>10</v>
      </c>
    </row>
    <row r="33221" spans="1:10" x14ac:dyDescent="0.25">
      <c r="A33221" t="s">
        <v>373</v>
      </c>
      <c r="B33221" s="1" t="str">
        <f>HYPERLINK("http://shopee.com.ar","shopee.com.ar")</f>
        <v>shopee.com.ar</v>
      </c>
      <c r="C33221" t="s">
        <v>418</v>
      </c>
      <c r="D33221" t="s">
        <v>800</v>
      </c>
      <c r="E33221">
        <v>363039</v>
      </c>
      <c r="F33221">
        <v>1.4259001710764099E-7</v>
      </c>
      <c r="G33221">
        <v>273010</v>
      </c>
      <c r="H33221">
        <v>13781867</v>
      </c>
      <c r="I33221">
        <v>6452123</v>
      </c>
      <c r="J33221">
        <v>7</v>
      </c>
    </row>
    <row r="33222" spans="1:10" x14ac:dyDescent="0.25">
      <c r="A33222" t="s">
        <v>373</v>
      </c>
      <c r="B33222" s="1" t="str">
        <f>HYPERLINK("http://tencent.blog","tencent.blog")</f>
        <v>tencent.blog</v>
      </c>
      <c r="C33222" t="s">
        <v>581</v>
      </c>
      <c r="F33222">
        <v>1.8441959768294301E-8</v>
      </c>
      <c r="G33222">
        <v>2937459</v>
      </c>
      <c r="H33222">
        <v>13147632</v>
      </c>
      <c r="I33222">
        <v>11837660</v>
      </c>
      <c r="J33222">
        <v>2</v>
      </c>
    </row>
    <row r="33223" spans="1:10" x14ac:dyDescent="0.25">
      <c r="A33223" t="s">
        <v>373</v>
      </c>
      <c r="B33223" s="1" t="str">
        <f>HYPERLINK("http://shopee.com.br","shopee.com.br")</f>
        <v>shopee.com.br</v>
      </c>
      <c r="C33223" t="s">
        <v>425</v>
      </c>
      <c r="D33223" t="s">
        <v>806</v>
      </c>
      <c r="E33223">
        <v>6260</v>
      </c>
      <c r="F33223">
        <v>8.0884937737480695E-7</v>
      </c>
      <c r="G33223">
        <v>48799</v>
      </c>
      <c r="H33223">
        <v>17579594</v>
      </c>
      <c r="I33223">
        <v>10318</v>
      </c>
      <c r="J33223">
        <v>7</v>
      </c>
    </row>
    <row r="33224" spans="1:10" x14ac:dyDescent="0.25">
      <c r="A33224" t="s">
        <v>373</v>
      </c>
      <c r="B33224" s="1" t="str">
        <f>HYPERLINK("http://shopee.cl","shopee.cl")</f>
        <v>shopee.cl</v>
      </c>
      <c r="C33224" t="s">
        <v>430</v>
      </c>
      <c r="D33224" t="s">
        <v>811</v>
      </c>
      <c r="E33224">
        <v>71378</v>
      </c>
      <c r="F33224">
        <v>2.1756608582086701E-7</v>
      </c>
      <c r="G33224">
        <v>173292</v>
      </c>
      <c r="H33224">
        <v>14081074</v>
      </c>
      <c r="I33224">
        <v>2813782</v>
      </c>
      <c r="J33224">
        <v>7</v>
      </c>
    </row>
    <row r="33225" spans="1:10" x14ac:dyDescent="0.25">
      <c r="A33225" t="s">
        <v>373</v>
      </c>
      <c r="B33225" s="1" t="str">
        <f>HYPERLINK("http://cofile.com.cn","cofile.com.cn")</f>
        <v>cofile.com.cn</v>
      </c>
      <c r="C33225" t="s">
        <v>431</v>
      </c>
      <c r="D33225" t="s">
        <v>812</v>
      </c>
      <c r="J33225">
        <v>3</v>
      </c>
    </row>
    <row r="33226" spans="1:10" x14ac:dyDescent="0.25">
      <c r="A33226" t="s">
        <v>373</v>
      </c>
      <c r="B33226" s="1" t="str">
        <f>HYPERLINK("http://tencent.com.cn","tencent.com.cn")</f>
        <v>tencent.com.cn</v>
      </c>
      <c r="C33226" t="s">
        <v>431</v>
      </c>
      <c r="D33226" t="s">
        <v>812</v>
      </c>
      <c r="F33226">
        <v>9.3514002214592197E-9</v>
      </c>
      <c r="G33226">
        <v>7506236</v>
      </c>
      <c r="H33226">
        <v>14072502</v>
      </c>
      <c r="I33226">
        <v>3080926</v>
      </c>
      <c r="J33226">
        <v>3</v>
      </c>
    </row>
    <row r="33227" spans="1:10" x14ac:dyDescent="0.25">
      <c r="A33227" t="s">
        <v>373</v>
      </c>
      <c r="B33227" s="1" t="str">
        <f>HYPERLINK("http://tencentcloudapi.com.cn","tencentcloudapi.com.cn")</f>
        <v>tencentcloudapi.com.cn</v>
      </c>
      <c r="C33227" t="s">
        <v>431</v>
      </c>
      <c r="D33227" t="s">
        <v>812</v>
      </c>
      <c r="F33227">
        <v>4.4438479190968097E-9</v>
      </c>
      <c r="G33227">
        <v>78566458</v>
      </c>
      <c r="H33227">
        <v>10542119</v>
      </c>
      <c r="I33227">
        <v>47104442</v>
      </c>
      <c r="J33227">
        <v>3</v>
      </c>
    </row>
    <row r="33228" spans="1:10" x14ac:dyDescent="0.25">
      <c r="A33228" t="s">
        <v>373</v>
      </c>
      <c r="B33228" s="1" t="str">
        <f>HYPERLINK("http://tencentidentity.com.cn","tencentidentity.com.cn")</f>
        <v>tencentidentity.com.cn</v>
      </c>
      <c r="C33228" t="s">
        <v>431</v>
      </c>
      <c r="D33228" t="s">
        <v>812</v>
      </c>
      <c r="J33228">
        <v>3</v>
      </c>
    </row>
    <row r="33229" spans="1:10" x14ac:dyDescent="0.25">
      <c r="A33229" t="s">
        <v>373</v>
      </c>
      <c r="B33229" s="1" t="str">
        <f>HYPERLINK("http://wegame.com.cn","wegame.com.cn")</f>
        <v>wegame.com.cn</v>
      </c>
      <c r="C33229" t="s">
        <v>431</v>
      </c>
      <c r="D33229" t="s">
        <v>812</v>
      </c>
      <c r="E33229">
        <v>10916</v>
      </c>
      <c r="F33229">
        <v>5.3122871499198598E-7</v>
      </c>
      <c r="G33229">
        <v>72520</v>
      </c>
      <c r="H33229">
        <v>14509468</v>
      </c>
      <c r="I33229">
        <v>826022</v>
      </c>
      <c r="J33229">
        <v>4</v>
      </c>
    </row>
    <row r="33230" spans="1:10" x14ac:dyDescent="0.25">
      <c r="A33230" t="s">
        <v>373</v>
      </c>
      <c r="B33230" s="1" t="str">
        <f>HYPERLINK("http://dothework.cn","dothework.cn")</f>
        <v>dothework.cn</v>
      </c>
      <c r="C33230" t="s">
        <v>431</v>
      </c>
      <c r="D33230" t="s">
        <v>812</v>
      </c>
      <c r="F33230">
        <v>5.5198130389769704E-9</v>
      </c>
      <c r="G33230">
        <v>20689487</v>
      </c>
      <c r="H33230">
        <v>9545939</v>
      </c>
      <c r="I33230">
        <v>65043339</v>
      </c>
      <c r="J33230">
        <v>3</v>
      </c>
    </row>
    <row r="33231" spans="1:10" x14ac:dyDescent="0.25">
      <c r="A33231" t="s">
        <v>373</v>
      </c>
      <c r="B33231" s="1" t="str">
        <f>HYPERLINK("http://gtimg.cn","gtimg.cn")</f>
        <v>gtimg.cn</v>
      </c>
      <c r="C33231" t="s">
        <v>431</v>
      </c>
      <c r="D33231" t="s">
        <v>812</v>
      </c>
      <c r="E33231">
        <v>18019</v>
      </c>
      <c r="F33231">
        <v>2.6192338777339399E-5</v>
      </c>
      <c r="G33231">
        <v>1126</v>
      </c>
      <c r="H33231">
        <v>14721615</v>
      </c>
      <c r="I33231">
        <v>577374</v>
      </c>
      <c r="J33231">
        <v>3</v>
      </c>
    </row>
    <row r="33232" spans="1:10" x14ac:dyDescent="0.25">
      <c r="A33232" t="s">
        <v>373</v>
      </c>
      <c r="B33232" s="1" t="str">
        <f>HYPERLINK("http://cofile.net.cn","cofile.net.cn")</f>
        <v>cofile.net.cn</v>
      </c>
      <c r="C33232" t="s">
        <v>431</v>
      </c>
      <c r="D33232" t="s">
        <v>812</v>
      </c>
      <c r="J33232">
        <v>3</v>
      </c>
    </row>
    <row r="33233" spans="1:10" x14ac:dyDescent="0.25">
      <c r="A33233" t="s">
        <v>373</v>
      </c>
      <c r="B33233" s="1" t="str">
        <f>HYPERLINK("http://nintendoswitch.cn","nintendoswitch.cn")</f>
        <v>nintendoswitch.cn</v>
      </c>
      <c r="C33233" t="s">
        <v>431</v>
      </c>
      <c r="D33233" t="s">
        <v>812</v>
      </c>
      <c r="E33233">
        <v>281375</v>
      </c>
      <c r="J33233">
        <v>3</v>
      </c>
    </row>
    <row r="33234" spans="1:10" x14ac:dyDescent="0.25">
      <c r="A33234" t="s">
        <v>373</v>
      </c>
      <c r="B33234" s="1" t="str">
        <f>HYPERLINK("http://qpic.cn","qpic.cn")</f>
        <v>qpic.cn</v>
      </c>
      <c r="C33234" t="s">
        <v>431</v>
      </c>
      <c r="D33234" t="s">
        <v>812</v>
      </c>
      <c r="E33234">
        <v>3794</v>
      </c>
      <c r="F33234">
        <v>9.5941512818505605E-5</v>
      </c>
      <c r="G33234">
        <v>274</v>
      </c>
      <c r="H33234">
        <v>18016378</v>
      </c>
      <c r="I33234">
        <v>3586</v>
      </c>
      <c r="J33234">
        <v>3</v>
      </c>
    </row>
    <row r="33235" spans="1:10" x14ac:dyDescent="0.25">
      <c r="A33235" t="s">
        <v>373</v>
      </c>
      <c r="B33235" s="1" t="str">
        <f>HYPERLINK("http://shopee.cn","shopee.cn")</f>
        <v>shopee.cn</v>
      </c>
      <c r="C33235" t="s">
        <v>431</v>
      </c>
      <c r="D33235" t="s">
        <v>812</v>
      </c>
      <c r="E33235">
        <v>9308</v>
      </c>
      <c r="F33235">
        <v>3.7278841534809699E-7</v>
      </c>
      <c r="G33235">
        <v>100498</v>
      </c>
      <c r="H33235">
        <v>14491187</v>
      </c>
      <c r="I33235">
        <v>905194</v>
      </c>
      <c r="J33235">
        <v>7</v>
      </c>
    </row>
    <row r="33236" spans="1:10" x14ac:dyDescent="0.25">
      <c r="A33236" t="s">
        <v>373</v>
      </c>
      <c r="B33236" s="1" t="str">
        <f>HYPERLINK("http://swd7.cn","swd7.cn")</f>
        <v>swd7.cn</v>
      </c>
      <c r="C33236" t="s">
        <v>431</v>
      </c>
      <c r="D33236" t="s">
        <v>812</v>
      </c>
      <c r="F33236">
        <v>1.16034114711375E-8</v>
      </c>
      <c r="G33236">
        <v>5430777</v>
      </c>
      <c r="H33236">
        <v>12573409</v>
      </c>
      <c r="I33236">
        <v>16595724</v>
      </c>
      <c r="J33236">
        <v>3</v>
      </c>
    </row>
    <row r="33237" spans="1:10" x14ac:dyDescent="0.25">
      <c r="A33237" t="s">
        <v>373</v>
      </c>
      <c r="B33237" s="1" t="str">
        <f>HYPERLINK("http://tencent.cn","tencent.cn")</f>
        <v>tencent.cn</v>
      </c>
      <c r="C33237" t="s">
        <v>431</v>
      </c>
      <c r="D33237" t="s">
        <v>812</v>
      </c>
      <c r="E33237">
        <v>127960</v>
      </c>
      <c r="F33237">
        <v>2.8293354244062499E-8</v>
      </c>
      <c r="G33237">
        <v>1819188</v>
      </c>
      <c r="H33237">
        <v>12833780</v>
      </c>
      <c r="I33237">
        <v>14392762</v>
      </c>
      <c r="J33237">
        <v>2</v>
      </c>
    </row>
    <row r="33238" spans="1:10" x14ac:dyDescent="0.25">
      <c r="A33238" t="s">
        <v>373</v>
      </c>
      <c r="B33238" s="1" t="str">
        <f>HYPERLINK("http://tencentart.cn","tencentart.cn")</f>
        <v>tencentart.cn</v>
      </c>
      <c r="C33238" t="s">
        <v>431</v>
      </c>
      <c r="D33238" t="s">
        <v>812</v>
      </c>
      <c r="J33238">
        <v>3</v>
      </c>
    </row>
    <row r="33239" spans="1:10" x14ac:dyDescent="0.25">
      <c r="A33239" t="s">
        <v>373</v>
      </c>
      <c r="B33239" s="1" t="str">
        <f>HYPERLINK("http://tencentci.cn","tencentci.cn")</f>
        <v>tencentci.cn</v>
      </c>
      <c r="C33239" t="s">
        <v>431</v>
      </c>
      <c r="D33239" t="s">
        <v>812</v>
      </c>
      <c r="J33239">
        <v>3</v>
      </c>
    </row>
    <row r="33240" spans="1:10" x14ac:dyDescent="0.25">
      <c r="A33240" t="s">
        <v>373</v>
      </c>
      <c r="B33240" s="1" t="str">
        <f>HYPERLINK("http://tencentcloudapi.cn","tencentcloudapi.cn")</f>
        <v>tencentcloudapi.cn</v>
      </c>
      <c r="C33240" t="s">
        <v>431</v>
      </c>
      <c r="D33240" t="s">
        <v>812</v>
      </c>
      <c r="J33240">
        <v>3</v>
      </c>
    </row>
    <row r="33241" spans="1:10" x14ac:dyDescent="0.25">
      <c r="A33241" t="s">
        <v>373</v>
      </c>
      <c r="B33241" s="1" t="str">
        <f>HYPERLINK("http://tencentidentity.cn","tencentidentity.cn")</f>
        <v>tencentidentity.cn</v>
      </c>
      <c r="C33241" t="s">
        <v>431</v>
      </c>
      <c r="D33241" t="s">
        <v>812</v>
      </c>
      <c r="J33241">
        <v>3</v>
      </c>
    </row>
    <row r="33242" spans="1:10" x14ac:dyDescent="0.25">
      <c r="A33242" t="s">
        <v>373</v>
      </c>
      <c r="B33242" s="1" t="str">
        <f>HYPERLINK("http://tencentsmh.cn","tencentsmh.cn")</f>
        <v>tencentsmh.cn</v>
      </c>
      <c r="C33242" t="s">
        <v>431</v>
      </c>
      <c r="D33242" t="s">
        <v>812</v>
      </c>
      <c r="J33242">
        <v>3</v>
      </c>
    </row>
    <row r="33243" spans="1:10" x14ac:dyDescent="0.25">
      <c r="A33243" t="s">
        <v>373</v>
      </c>
      <c r="B33243" s="1" t="str">
        <f>HYPERLINK("http://zenvideo.cn","zenvideo.cn")</f>
        <v>zenvideo.cn</v>
      </c>
      <c r="C33243" t="s">
        <v>431</v>
      </c>
      <c r="D33243" t="s">
        <v>812</v>
      </c>
      <c r="F33243">
        <v>5.3964144772894599E-9</v>
      </c>
      <c r="G33243">
        <v>22159977</v>
      </c>
      <c r="H33243">
        <v>10492502</v>
      </c>
      <c r="I33243">
        <v>50582373</v>
      </c>
      <c r="J33243">
        <v>3</v>
      </c>
    </row>
    <row r="33244" spans="1:10" x14ac:dyDescent="0.25">
      <c r="A33244" t="s">
        <v>373</v>
      </c>
      <c r="B33244" s="1" t="str">
        <f>HYPERLINK("http://zjdwz.cn","zjdwz.cn")</f>
        <v>zjdwz.cn</v>
      </c>
      <c r="C33244" t="s">
        <v>431</v>
      </c>
      <c r="D33244" t="s">
        <v>812</v>
      </c>
      <c r="J33244">
        <v>3</v>
      </c>
    </row>
    <row r="33245" spans="1:10" x14ac:dyDescent="0.25">
      <c r="A33245" t="s">
        <v>373</v>
      </c>
      <c r="B33245" s="1" t="str">
        <f>HYPERLINK("http://shopee.com.co","shopee.com.co")</f>
        <v>shopee.com.co</v>
      </c>
      <c r="C33245" t="s">
        <v>432</v>
      </c>
      <c r="E33245">
        <v>54171</v>
      </c>
      <c r="F33245">
        <v>2.86150072124125E-7</v>
      </c>
      <c r="G33245">
        <v>129873</v>
      </c>
      <c r="H33245">
        <v>14104485</v>
      </c>
      <c r="I33245">
        <v>2693245</v>
      </c>
      <c r="J33245">
        <v>7</v>
      </c>
    </row>
    <row r="33246" spans="1:10" x14ac:dyDescent="0.25">
      <c r="A33246" t="s">
        <v>373</v>
      </c>
      <c r="B33246" s="1" t="str">
        <f>HYPERLINK("http://liquidstate.co","liquidstate.co")</f>
        <v>liquidstate.co</v>
      </c>
      <c r="C33246" t="s">
        <v>432</v>
      </c>
      <c r="F33246">
        <v>7.8313768515195102E-9</v>
      </c>
      <c r="G33246">
        <v>10252793</v>
      </c>
      <c r="H33246">
        <v>12471360</v>
      </c>
      <c r="I33246">
        <v>17734580</v>
      </c>
      <c r="J33246">
        <v>7</v>
      </c>
    </row>
    <row r="33247" spans="1:10" x14ac:dyDescent="0.25">
      <c r="A33247" t="s">
        <v>373</v>
      </c>
      <c r="B33247" s="1" t="str">
        <f>HYPERLINK("http://anticheatexpert.com","anticheatexpert.com")</f>
        <v>anticheatexpert.com</v>
      </c>
      <c r="C33247" t="s">
        <v>433</v>
      </c>
      <c r="E33247">
        <v>24794</v>
      </c>
      <c r="F33247">
        <v>1.52632302275985E-8</v>
      </c>
      <c r="G33247">
        <v>3756762</v>
      </c>
      <c r="H33247">
        <v>12345107</v>
      </c>
      <c r="I33247">
        <v>19848776</v>
      </c>
      <c r="J33247">
        <v>3</v>
      </c>
    </row>
    <row r="33248" spans="1:10" x14ac:dyDescent="0.25">
      <c r="A33248" t="s">
        <v>373</v>
      </c>
      <c r="B33248" s="1" t="str">
        <f>HYPERLINK("http://appynation.com","appynation.com")</f>
        <v>appynation.com</v>
      </c>
      <c r="C33248" t="s">
        <v>433</v>
      </c>
      <c r="F33248">
        <v>6.2616180929213104E-8</v>
      </c>
      <c r="G33248">
        <v>700690</v>
      </c>
      <c r="H33248">
        <v>16826244</v>
      </c>
      <c r="I33248">
        <v>183510</v>
      </c>
      <c r="J33248">
        <v>12</v>
      </c>
    </row>
    <row r="33249" spans="1:10" x14ac:dyDescent="0.25">
      <c r="A33249" t="s">
        <v>373</v>
      </c>
      <c r="B33249" s="1" t="str">
        <f>HYPERLINK("http://cdntips.com","cdntips.com")</f>
        <v>cdntips.com</v>
      </c>
      <c r="C33249" t="s">
        <v>433</v>
      </c>
      <c r="E33249">
        <v>165375</v>
      </c>
      <c r="F33249">
        <v>3.06398853256541E-8</v>
      </c>
      <c r="G33249">
        <v>1681038</v>
      </c>
      <c r="H33249">
        <v>11115396</v>
      </c>
      <c r="I33249">
        <v>32098520</v>
      </c>
      <c r="J33249">
        <v>3</v>
      </c>
    </row>
    <row r="33250" spans="1:10" x14ac:dyDescent="0.25">
      <c r="A33250" t="s">
        <v>373</v>
      </c>
      <c r="B33250" s="1" t="str">
        <f>HYPERLINK("http://cenega.com","cenega.com")</f>
        <v>cenega.com</v>
      </c>
      <c r="C33250" t="s">
        <v>433</v>
      </c>
      <c r="F33250">
        <v>1.00445486988927E-8</v>
      </c>
      <c r="G33250">
        <v>6710910</v>
      </c>
      <c r="H33250">
        <v>14491027</v>
      </c>
      <c r="I33250">
        <v>906537</v>
      </c>
      <c r="J33250">
        <v>5</v>
      </c>
    </row>
    <row r="33251" spans="1:10" x14ac:dyDescent="0.25">
      <c r="A33251" t="s">
        <v>373</v>
      </c>
      <c r="B33251" s="1" t="str">
        <f>HYPERLINK("http://forticheprod.com","forticheprod.com")</f>
        <v>forticheprod.com</v>
      </c>
      <c r="C33251" t="s">
        <v>433</v>
      </c>
      <c r="F33251">
        <v>3.6559533826336899E-8</v>
      </c>
      <c r="G33251">
        <v>1428514</v>
      </c>
      <c r="H33251">
        <v>13945526</v>
      </c>
      <c r="I33251">
        <v>4241878</v>
      </c>
      <c r="J33251">
        <v>5</v>
      </c>
    </row>
    <row r="33252" spans="1:10" x14ac:dyDescent="0.25">
      <c r="A33252" t="s">
        <v>373</v>
      </c>
      <c r="B33252" s="1" t="str">
        <f>HYPERLINK("http://g-proxy.com","g-proxy.com")</f>
        <v>g-proxy.com</v>
      </c>
      <c r="C33252" t="s">
        <v>433</v>
      </c>
      <c r="F33252">
        <v>5.3545408926750997E-9</v>
      </c>
      <c r="G33252">
        <v>22740449</v>
      </c>
      <c r="H33252">
        <v>12350457</v>
      </c>
      <c r="I33252">
        <v>19759607</v>
      </c>
      <c r="J33252">
        <v>3</v>
      </c>
    </row>
    <row r="33253" spans="1:10" x14ac:dyDescent="0.25">
      <c r="A33253" t="s">
        <v>373</v>
      </c>
      <c r="B33253" s="1" t="str">
        <f>HYPERLINK("http://gameexp.com","gameexp.com")</f>
        <v>gameexp.com</v>
      </c>
      <c r="C33253" t="s">
        <v>433</v>
      </c>
      <c r="F33253">
        <v>5.1043276757135398E-7</v>
      </c>
      <c r="G33253">
        <v>75059</v>
      </c>
      <c r="H33253">
        <v>12519488</v>
      </c>
      <c r="I33253">
        <v>17156560</v>
      </c>
      <c r="J33253">
        <v>3</v>
      </c>
    </row>
    <row r="33254" spans="1:10" x14ac:dyDescent="0.25">
      <c r="A33254" t="s">
        <v>373</v>
      </c>
      <c r="B33254" s="1" t="str">
        <f>HYPERLINK("http://garena.com","garena.com")</f>
        <v>garena.com</v>
      </c>
      <c r="C33254" t="s">
        <v>433</v>
      </c>
      <c r="E33254">
        <v>4782</v>
      </c>
      <c r="F33254">
        <v>1.0081655280593701E-6</v>
      </c>
      <c r="G33254">
        <v>37968</v>
      </c>
      <c r="H33254">
        <v>17284260</v>
      </c>
      <c r="I33254">
        <v>29687</v>
      </c>
      <c r="J33254">
        <v>5</v>
      </c>
    </row>
    <row r="33255" spans="1:10" x14ac:dyDescent="0.25">
      <c r="A33255" t="s">
        <v>373</v>
      </c>
      <c r="B33255" s="1" t="str">
        <f>HYPERLINK("http://gormanrichardson.com","gormanrichardson.com")</f>
        <v>gormanrichardson.com</v>
      </c>
      <c r="C33255" t="s">
        <v>433</v>
      </c>
      <c r="F33255">
        <v>4.5414927033012702E-9</v>
      </c>
      <c r="G33255">
        <v>53167234</v>
      </c>
      <c r="H33255">
        <v>10793754</v>
      </c>
      <c r="I33255">
        <v>38361500</v>
      </c>
      <c r="J33255">
        <v>5</v>
      </c>
    </row>
    <row r="33256" spans="1:10" x14ac:dyDescent="0.25">
      <c r="A33256" t="s">
        <v>373</v>
      </c>
      <c r="B33256" s="1" t="str">
        <f>HYPERLINK("http://grindinggear.com","grindinggear.com")</f>
        <v>grindinggear.com</v>
      </c>
      <c r="C33256" t="s">
        <v>433</v>
      </c>
      <c r="E33256">
        <v>761565</v>
      </c>
      <c r="F33256">
        <v>6.9899707828593695E-8</v>
      </c>
      <c r="G33256">
        <v>606362</v>
      </c>
      <c r="H33256">
        <v>14053505</v>
      </c>
      <c r="I33256">
        <v>3892052</v>
      </c>
      <c r="J33256">
        <v>4</v>
      </c>
    </row>
    <row r="33257" spans="1:10" x14ac:dyDescent="0.25">
      <c r="A33257" t="s">
        <v>373</v>
      </c>
      <c r="B33257" s="1" t="str">
        <f>HYPERLINK("http://gtimg.com","gtimg.com")</f>
        <v>gtimg.com</v>
      </c>
      <c r="C33257" t="s">
        <v>433</v>
      </c>
      <c r="E33257">
        <v>14409</v>
      </c>
      <c r="F33257">
        <v>1.9935235228248499E-5</v>
      </c>
      <c r="G33257">
        <v>1499</v>
      </c>
      <c r="H33257">
        <v>17585274</v>
      </c>
      <c r="I33257">
        <v>10129</v>
      </c>
      <c r="J33257">
        <v>3</v>
      </c>
    </row>
    <row r="33258" spans="1:10" x14ac:dyDescent="0.25">
      <c r="A33258" t="s">
        <v>373</v>
      </c>
      <c r="B33258" s="1" t="str">
        <f>HYPERLINK("http://hypixelstudios.com","hypixelstudios.com")</f>
        <v>hypixelstudios.com</v>
      </c>
      <c r="C33258" t="s">
        <v>433</v>
      </c>
      <c r="E33258">
        <v>144260</v>
      </c>
      <c r="F33258">
        <v>2.6718483967057598E-8</v>
      </c>
      <c r="G33258">
        <v>1926282</v>
      </c>
      <c r="H33258">
        <v>12582329</v>
      </c>
      <c r="I33258">
        <v>16485572</v>
      </c>
      <c r="J33258">
        <v>5</v>
      </c>
    </row>
    <row r="33259" spans="1:10" x14ac:dyDescent="0.25">
      <c r="A33259" t="s">
        <v>373</v>
      </c>
      <c r="B33259" s="1" t="str">
        <f>HYPERLINK("http://joox.com","joox.com")</f>
        <v>joox.com</v>
      </c>
      <c r="C33259" t="s">
        <v>433</v>
      </c>
      <c r="E33259">
        <v>44753</v>
      </c>
      <c r="F33259">
        <v>4.3892955453849002E-7</v>
      </c>
      <c r="G33259">
        <v>85873</v>
      </c>
      <c r="H33259">
        <v>17243858</v>
      </c>
      <c r="I33259">
        <v>34834</v>
      </c>
      <c r="J33259">
        <v>3</v>
      </c>
    </row>
    <row r="33260" spans="1:10" x14ac:dyDescent="0.25">
      <c r="A33260" t="s">
        <v>373</v>
      </c>
      <c r="B33260" s="1" t="str">
        <f>HYPERLINK("http://klei.com","klei.com")</f>
        <v>klei.com</v>
      </c>
      <c r="C33260" t="s">
        <v>433</v>
      </c>
      <c r="E33260">
        <v>15507</v>
      </c>
      <c r="F33260">
        <v>3.5775542644846098E-7</v>
      </c>
      <c r="G33260">
        <v>104497</v>
      </c>
      <c r="H33260">
        <v>17187350</v>
      </c>
      <c r="I33260">
        <v>44143</v>
      </c>
      <c r="J33260">
        <v>4</v>
      </c>
    </row>
    <row r="33261" spans="1:10" x14ac:dyDescent="0.25">
      <c r="A33261" t="s">
        <v>373</v>
      </c>
      <c r="B33261" s="1" t="str">
        <f>HYPERLINK("http://leagueoflegends.com","leagueoflegends.com")</f>
        <v>leagueoflegends.com</v>
      </c>
      <c r="C33261" t="s">
        <v>433</v>
      </c>
      <c r="E33261">
        <v>2113</v>
      </c>
      <c r="F33261">
        <v>4.2510449235725698E-6</v>
      </c>
      <c r="G33261">
        <v>8415</v>
      </c>
      <c r="H33261">
        <v>18098892</v>
      </c>
      <c r="I33261">
        <v>3133</v>
      </c>
      <c r="J33261">
        <v>5</v>
      </c>
    </row>
    <row r="33262" spans="1:10" x14ac:dyDescent="0.25">
      <c r="A33262" t="s">
        <v>373</v>
      </c>
      <c r="B33262" s="1" t="str">
        <f>HYPERLINK("http://lolesports.com","lolesports.com")</f>
        <v>lolesports.com</v>
      </c>
      <c r="C33262" t="s">
        <v>433</v>
      </c>
      <c r="E33262">
        <v>9155</v>
      </c>
      <c r="F33262">
        <v>9.3190963930684801E-7</v>
      </c>
      <c r="G33262">
        <v>41271</v>
      </c>
      <c r="H33262">
        <v>15411514</v>
      </c>
      <c r="I33262">
        <v>379698</v>
      </c>
      <c r="J33262">
        <v>5</v>
      </c>
    </row>
    <row r="33263" spans="1:10" x14ac:dyDescent="0.25">
      <c r="A33263" t="s">
        <v>373</v>
      </c>
      <c r="B33263" s="1" t="str">
        <f>HYPERLINK("http://me-tencent.com","me-tencent.com")</f>
        <v>me-tencent.com</v>
      </c>
      <c r="C33263" t="s">
        <v>433</v>
      </c>
      <c r="J33263">
        <v>3</v>
      </c>
    </row>
    <row r="33264" spans="1:10" x14ac:dyDescent="0.25">
      <c r="A33264" t="s">
        <v>373</v>
      </c>
      <c r="B33264" s="1" t="str">
        <f>HYPERLINK("http://miniclip.com","miniclip.com")</f>
        <v>miniclip.com</v>
      </c>
      <c r="C33264" t="s">
        <v>433</v>
      </c>
      <c r="E33264">
        <v>10201</v>
      </c>
      <c r="F33264">
        <v>1.1831372497430701E-6</v>
      </c>
      <c r="G33264">
        <v>32903</v>
      </c>
      <c r="H33264">
        <v>17593316</v>
      </c>
      <c r="I33264">
        <v>9863</v>
      </c>
      <c r="J33264">
        <v>4</v>
      </c>
    </row>
    <row r="33265" spans="1:10" x14ac:dyDescent="0.25">
      <c r="A33265" t="s">
        <v>373</v>
      </c>
      <c r="B33265" s="1" t="str">
        <f>HYPERLINK("http://myapp.com","myapp.com")</f>
        <v>myapp.com</v>
      </c>
      <c r="C33265" t="s">
        <v>433</v>
      </c>
      <c r="E33265">
        <v>22629</v>
      </c>
      <c r="F33265">
        <v>3.4648144921945299E-6</v>
      </c>
      <c r="G33265">
        <v>11742</v>
      </c>
      <c r="H33265">
        <v>17556930</v>
      </c>
      <c r="I33265">
        <v>11059</v>
      </c>
      <c r="J33265">
        <v>3</v>
      </c>
    </row>
    <row r="33266" spans="1:10" x14ac:dyDescent="0.25">
      <c r="A33266" t="s">
        <v>373</v>
      </c>
      <c r="B33266" s="1" t="str">
        <f>HYPERLINK("http://myqcloud.com","myqcloud.com")</f>
        <v>myqcloud.com</v>
      </c>
      <c r="C33266" t="s">
        <v>433</v>
      </c>
      <c r="E33266">
        <v>1008</v>
      </c>
      <c r="F33266">
        <v>2.2521539527574699E-5</v>
      </c>
      <c r="G33266">
        <v>1305</v>
      </c>
      <c r="H33266">
        <v>17649906</v>
      </c>
      <c r="I33266">
        <v>8383</v>
      </c>
      <c r="J33266">
        <v>3</v>
      </c>
    </row>
    <row r="33267" spans="1:10" x14ac:dyDescent="0.25">
      <c r="A33267" t="s">
        <v>373</v>
      </c>
      <c r="B33267" s="1" t="str">
        <f>HYPERLINK("http://nextstudios.com","nextstudios.com")</f>
        <v>nextstudios.com</v>
      </c>
      <c r="C33267" t="s">
        <v>433</v>
      </c>
      <c r="E33267">
        <v>963823</v>
      </c>
      <c r="F33267">
        <v>1.24788254962452E-7</v>
      </c>
      <c r="G33267">
        <v>316224</v>
      </c>
      <c r="H33267">
        <v>13992406</v>
      </c>
      <c r="I33267">
        <v>4029620</v>
      </c>
      <c r="J33267">
        <v>5</v>
      </c>
    </row>
    <row r="33268" spans="1:10" x14ac:dyDescent="0.25">
      <c r="A33268" t="s">
        <v>373</v>
      </c>
      <c r="B33268" s="1" t="str">
        <f>HYPERLINK("http://pcmgr-global.com","pcmgr-global.com")</f>
        <v>pcmgr-global.com</v>
      </c>
      <c r="C33268" t="s">
        <v>433</v>
      </c>
      <c r="F33268">
        <v>7.2512818011602403E-8</v>
      </c>
      <c r="G33268">
        <v>581929</v>
      </c>
      <c r="H33268">
        <v>13711800</v>
      </c>
      <c r="I33268">
        <v>9506405</v>
      </c>
      <c r="J33268">
        <v>3</v>
      </c>
    </row>
    <row r="33269" spans="1:10" x14ac:dyDescent="0.25">
      <c r="A33269" t="s">
        <v>373</v>
      </c>
      <c r="B33269" s="1" t="str">
        <f>HYPERLINK("http://pengyou.com","pengyou.com")</f>
        <v>pengyou.com</v>
      </c>
      <c r="C33269" t="s">
        <v>433</v>
      </c>
      <c r="E33269">
        <v>292529</v>
      </c>
      <c r="F33269">
        <v>1.3791722186212899E-7</v>
      </c>
      <c r="G33269">
        <v>282533</v>
      </c>
      <c r="H33269">
        <v>14218094</v>
      </c>
      <c r="I33269">
        <v>1689508</v>
      </c>
      <c r="J33269">
        <v>3</v>
      </c>
    </row>
    <row r="33270" spans="1:10" x14ac:dyDescent="0.25">
      <c r="A33270" t="s">
        <v>373</v>
      </c>
      <c r="B33270" s="1" t="str">
        <f>HYPERLINK("http://qcloud.com","qcloud.com")</f>
        <v>qcloud.com</v>
      </c>
      <c r="C33270" t="s">
        <v>433</v>
      </c>
      <c r="E33270">
        <v>2804</v>
      </c>
      <c r="F33270">
        <v>1.8317734284188301E-5</v>
      </c>
      <c r="G33270">
        <v>1824</v>
      </c>
      <c r="H33270">
        <v>14839205</v>
      </c>
      <c r="I33270">
        <v>498346</v>
      </c>
      <c r="J33270">
        <v>3</v>
      </c>
    </row>
    <row r="33271" spans="1:10" x14ac:dyDescent="0.25">
      <c r="A33271" t="s">
        <v>373</v>
      </c>
      <c r="B33271" s="1" t="str">
        <f>HYPERLINK("http://qdkefu.com","qdkefu.com")</f>
        <v>qdkefu.com</v>
      </c>
      <c r="C33271" t="s">
        <v>433</v>
      </c>
      <c r="J33271">
        <v>3</v>
      </c>
    </row>
    <row r="33272" spans="1:10" x14ac:dyDescent="0.25">
      <c r="A33272" t="s">
        <v>373</v>
      </c>
      <c r="B33272" s="1" t="str">
        <f>HYPERLINK("http://qq.com","qq.com")</f>
        <v>qq.com</v>
      </c>
      <c r="C33272" t="s">
        <v>433</v>
      </c>
      <c r="E33272">
        <v>19</v>
      </c>
      <c r="F33272">
        <v>1.00022006604415E-3</v>
      </c>
      <c r="G33272">
        <v>37</v>
      </c>
      <c r="H33272">
        <v>20094912</v>
      </c>
      <c r="I33272">
        <v>56</v>
      </c>
      <c r="J33272">
        <v>3</v>
      </c>
    </row>
    <row r="33273" spans="1:10" x14ac:dyDescent="0.25">
      <c r="A33273" t="s">
        <v>373</v>
      </c>
      <c r="B33273" s="1" t="str">
        <f>HYPERLINK("http://qqmail.com","qqmail.com")</f>
        <v>qqmail.com</v>
      </c>
      <c r="C33273" t="s">
        <v>433</v>
      </c>
      <c r="E33273">
        <v>164900</v>
      </c>
      <c r="F33273">
        <v>9.1774695884952898E-6</v>
      </c>
      <c r="G33273">
        <v>3685</v>
      </c>
      <c r="H33273">
        <v>14277888</v>
      </c>
      <c r="I33273">
        <v>1386606</v>
      </c>
      <c r="J33273">
        <v>3</v>
      </c>
    </row>
    <row r="33274" spans="1:10" x14ac:dyDescent="0.25">
      <c r="A33274" t="s">
        <v>373</v>
      </c>
      <c r="B33274" s="1" t="str">
        <f>HYPERLINK("http://qqmusic.com","qqmusic.com")</f>
        <v>qqmusic.com</v>
      </c>
      <c r="C33274" t="s">
        <v>433</v>
      </c>
      <c r="F33274">
        <v>5.4130199431402904E-9</v>
      </c>
      <c r="G33274">
        <v>21948257</v>
      </c>
      <c r="H33274">
        <v>13161157</v>
      </c>
      <c r="I33274">
        <v>11783802</v>
      </c>
      <c r="J33274">
        <v>7</v>
      </c>
    </row>
    <row r="33275" spans="1:10" x14ac:dyDescent="0.25">
      <c r="A33275" t="s">
        <v>373</v>
      </c>
      <c r="B33275" s="1" t="str">
        <f>HYPERLINK("http://qzone.com","qzone.com")</f>
        <v>qzone.com</v>
      </c>
      <c r="C33275" t="s">
        <v>433</v>
      </c>
      <c r="E33275">
        <v>479942</v>
      </c>
      <c r="F33275">
        <v>7.9392861799947592E-6</v>
      </c>
      <c r="G33275">
        <v>4225</v>
      </c>
      <c r="H33275">
        <v>14654017</v>
      </c>
      <c r="I33275">
        <v>624903</v>
      </c>
      <c r="J33275">
        <v>3</v>
      </c>
    </row>
    <row r="33276" spans="1:10" x14ac:dyDescent="0.25">
      <c r="A33276" t="s">
        <v>373</v>
      </c>
      <c r="B33276" s="1" t="str">
        <f>HYPERLINK("http://riotgames.com","riotgames.com")</f>
        <v>riotgames.com</v>
      </c>
      <c r="C33276" t="s">
        <v>433</v>
      </c>
      <c r="E33276">
        <v>818</v>
      </c>
      <c r="F33276">
        <v>2.8873623915343602E-6</v>
      </c>
      <c r="G33276">
        <v>13378</v>
      </c>
      <c r="H33276">
        <v>17510080</v>
      </c>
      <c r="I33276">
        <v>13241</v>
      </c>
      <c r="J33276">
        <v>3</v>
      </c>
    </row>
    <row r="33277" spans="1:10" x14ac:dyDescent="0.25">
      <c r="A33277" t="s">
        <v>373</v>
      </c>
      <c r="B33277" s="1" t="str">
        <f>HYPERLINK("http://sanook.com","sanook.com")</f>
        <v>sanook.com</v>
      </c>
      <c r="C33277" t="s">
        <v>433</v>
      </c>
      <c r="E33277">
        <v>6922</v>
      </c>
      <c r="F33277">
        <v>2.05911663909183E-6</v>
      </c>
      <c r="G33277">
        <v>17751</v>
      </c>
      <c r="H33277">
        <v>17720396</v>
      </c>
      <c r="I33277">
        <v>6922</v>
      </c>
      <c r="J33277">
        <v>5</v>
      </c>
    </row>
    <row r="33278" spans="1:10" x14ac:dyDescent="0.25">
      <c r="A33278" t="s">
        <v>373</v>
      </c>
      <c r="B33278" s="1" t="str">
        <f>HYPERLINK("http://sea.com","sea.com")</f>
        <v>sea.com</v>
      </c>
      <c r="C33278" t="s">
        <v>433</v>
      </c>
      <c r="E33278">
        <v>146806</v>
      </c>
      <c r="F33278">
        <v>3.2065388807507499E-7</v>
      </c>
      <c r="G33278">
        <v>116033</v>
      </c>
      <c r="H33278">
        <v>14729091</v>
      </c>
      <c r="I33278">
        <v>573103</v>
      </c>
      <c r="J33278">
        <v>5</v>
      </c>
    </row>
    <row r="33279" spans="1:10" x14ac:dyDescent="0.25">
      <c r="A33279" t="s">
        <v>373</v>
      </c>
      <c r="B33279" s="1" t="str">
        <f>HYPERLINK("http://sgwoa.com","sgwoa.com")</f>
        <v>sgwoa.com</v>
      </c>
      <c r="C33279" t="s">
        <v>433</v>
      </c>
      <c r="J33279">
        <v>3</v>
      </c>
    </row>
    <row r="33280" spans="1:10" x14ac:dyDescent="0.25">
      <c r="A33280" t="s">
        <v>373</v>
      </c>
      <c r="B33280" s="1" t="str">
        <f>HYPERLINK("http://sharkmob.com","sharkmob.com")</f>
        <v>sharkmob.com</v>
      </c>
      <c r="C33280" t="s">
        <v>433</v>
      </c>
      <c r="E33280">
        <v>730743</v>
      </c>
      <c r="F33280">
        <v>5.3567427382780799E-8</v>
      </c>
      <c r="G33280">
        <v>849078</v>
      </c>
      <c r="H33280">
        <v>13507965</v>
      </c>
      <c r="I33280">
        <v>9960418</v>
      </c>
      <c r="J33280">
        <v>4</v>
      </c>
    </row>
    <row r="33281" spans="1:10" x14ac:dyDescent="0.25">
      <c r="A33281" t="s">
        <v>373</v>
      </c>
      <c r="B33281" s="1" t="str">
        <f>HYPERLINK("http://shopee.com","shopee.com")</f>
        <v>shopee.com</v>
      </c>
      <c r="C33281" t="s">
        <v>433</v>
      </c>
      <c r="E33281">
        <v>11878</v>
      </c>
      <c r="F33281">
        <v>8.2608957161228103E-7</v>
      </c>
      <c r="G33281">
        <v>47904</v>
      </c>
      <c r="H33281">
        <v>15486531</v>
      </c>
      <c r="I33281">
        <v>377106</v>
      </c>
      <c r="J33281">
        <v>7</v>
      </c>
    </row>
    <row r="33282" spans="1:10" x14ac:dyDescent="0.25">
      <c r="A33282" t="s">
        <v>373</v>
      </c>
      <c r="B33282" s="1" t="str">
        <f>HYPERLINK("http://smtcdns.com","smtcdns.com")</f>
        <v>smtcdns.com</v>
      </c>
      <c r="C33282" t="s">
        <v>433</v>
      </c>
      <c r="E33282">
        <v>79911</v>
      </c>
      <c r="F33282">
        <v>1.9696536182446E-7</v>
      </c>
      <c r="G33282">
        <v>195773</v>
      </c>
      <c r="H33282">
        <v>12955816</v>
      </c>
      <c r="I33282">
        <v>13185765</v>
      </c>
      <c r="J33282">
        <v>3</v>
      </c>
    </row>
    <row r="33283" spans="1:10" x14ac:dyDescent="0.25">
      <c r="A33283" t="s">
        <v>373</v>
      </c>
      <c r="B33283" s="1" t="str">
        <f>HYPERLINK("http://sogou.com","sogou.com")</f>
        <v>sogou.com</v>
      </c>
      <c r="C33283" t="s">
        <v>433</v>
      </c>
      <c r="E33283">
        <v>297</v>
      </c>
      <c r="F33283">
        <v>5.8904346235584403E-5</v>
      </c>
      <c r="G33283">
        <v>443</v>
      </c>
      <c r="H33283">
        <v>17820322</v>
      </c>
      <c r="I33283">
        <v>5325</v>
      </c>
      <c r="J33283">
        <v>4</v>
      </c>
    </row>
    <row r="33284" spans="1:10" x14ac:dyDescent="0.25">
      <c r="A33284" t="s">
        <v>373</v>
      </c>
      <c r="B33284" s="1" t="str">
        <f>HYPERLINK("http://sogou-inc.com","sogou-inc.com")</f>
        <v>sogou-inc.com</v>
      </c>
      <c r="C33284" t="s">
        <v>433</v>
      </c>
      <c r="F33284">
        <v>6.8841932132168606E-8</v>
      </c>
      <c r="G33284">
        <v>617639</v>
      </c>
      <c r="H33284">
        <v>13043661</v>
      </c>
      <c r="I33284">
        <v>12613262</v>
      </c>
      <c r="J33284">
        <v>7</v>
      </c>
    </row>
    <row r="33285" spans="1:10" x14ac:dyDescent="0.25">
      <c r="A33285" t="s">
        <v>373</v>
      </c>
      <c r="B33285" s="1" t="str">
        <f>HYPERLINK("http://supercell.com","supercell.com")</f>
        <v>supercell.com</v>
      </c>
      <c r="C33285" t="s">
        <v>433</v>
      </c>
      <c r="E33285">
        <v>4043</v>
      </c>
      <c r="F33285">
        <v>1.38362904397256E-6</v>
      </c>
      <c r="G33285">
        <v>28170</v>
      </c>
      <c r="H33285">
        <v>17467536</v>
      </c>
      <c r="I33285">
        <v>15204</v>
      </c>
      <c r="J33285">
        <v>3</v>
      </c>
    </row>
    <row r="33286" spans="1:10" x14ac:dyDescent="0.25">
      <c r="A33286" t="s">
        <v>373</v>
      </c>
      <c r="B33286" s="1" t="str">
        <f>HYPERLINK("http://tcdntip.com","tcdntip.com")</f>
        <v>tcdntip.com</v>
      </c>
      <c r="C33286" t="s">
        <v>433</v>
      </c>
      <c r="J33286">
        <v>3</v>
      </c>
    </row>
    <row r="33287" spans="1:10" x14ac:dyDescent="0.25">
      <c r="A33287" t="s">
        <v>373</v>
      </c>
      <c r="B33287" s="1" t="str">
        <f>HYPERLINK("http://tencent.com","tencent.com")</f>
        <v>tencent.com</v>
      </c>
      <c r="C33287" t="s">
        <v>433</v>
      </c>
      <c r="E33287">
        <v>255</v>
      </c>
      <c r="F33287">
        <v>2.9861552470008599E-5</v>
      </c>
      <c r="G33287">
        <v>970</v>
      </c>
      <c r="H33287">
        <v>18561754</v>
      </c>
      <c r="I33287">
        <v>1378</v>
      </c>
      <c r="J33287">
        <v>1</v>
      </c>
    </row>
    <row r="33288" spans="1:10" x14ac:dyDescent="0.25">
      <c r="A33288" t="s">
        <v>373</v>
      </c>
      <c r="B33288" s="1" t="str">
        <f>HYPERLINK("http://tencent-cloud.com","tencent-cloud.com")</f>
        <v>tencent-cloud.com</v>
      </c>
      <c r="C33288" t="s">
        <v>433</v>
      </c>
      <c r="E33288">
        <v>40872</v>
      </c>
      <c r="F33288">
        <v>1.2563612585902799E-6</v>
      </c>
      <c r="G33288">
        <v>30969</v>
      </c>
      <c r="H33288">
        <v>13287757</v>
      </c>
      <c r="I33288">
        <v>10886458</v>
      </c>
      <c r="J33288">
        <v>3</v>
      </c>
    </row>
    <row r="33289" spans="1:10" x14ac:dyDescent="0.25">
      <c r="A33289" t="s">
        <v>373</v>
      </c>
      <c r="B33289" s="1" t="str">
        <f>HYPERLINK("http://tencentcloud.com","tencentcloud.com")</f>
        <v>tencentcloud.com</v>
      </c>
      <c r="C33289" t="s">
        <v>433</v>
      </c>
      <c r="E33289">
        <v>102591</v>
      </c>
      <c r="F33289">
        <v>6.6828365493448001E-7</v>
      </c>
      <c r="G33289">
        <v>57636</v>
      </c>
      <c r="H33289">
        <v>14029287</v>
      </c>
      <c r="I33289">
        <v>3969137</v>
      </c>
      <c r="J33289">
        <v>3</v>
      </c>
    </row>
    <row r="33290" spans="1:10" x14ac:dyDescent="0.25">
      <c r="A33290" t="s">
        <v>373</v>
      </c>
      <c r="B33290" s="1" t="str">
        <f>HYPERLINK("http://tencentcloudapi.com","tencentcloudapi.com")</f>
        <v>tencentcloudapi.com</v>
      </c>
      <c r="C33290" t="s">
        <v>433</v>
      </c>
      <c r="E33290">
        <v>193127</v>
      </c>
      <c r="F33290">
        <v>3.2799838421733599E-8</v>
      </c>
      <c r="G33290">
        <v>1575117</v>
      </c>
      <c r="H33290">
        <v>12590295</v>
      </c>
      <c r="I33290">
        <v>16412202</v>
      </c>
      <c r="J33290">
        <v>3</v>
      </c>
    </row>
    <row r="33291" spans="1:10" x14ac:dyDescent="0.25">
      <c r="A33291" t="s">
        <v>373</v>
      </c>
      <c r="B33291" s="1" t="str">
        <f>HYPERLINK("http://tencentcs.com","tencentcs.com")</f>
        <v>tencentcs.com</v>
      </c>
      <c r="C33291" t="s">
        <v>433</v>
      </c>
      <c r="E33291">
        <v>41245</v>
      </c>
      <c r="F33291">
        <v>1.08142611152435E-7</v>
      </c>
      <c r="G33291">
        <v>370106</v>
      </c>
      <c r="H33291">
        <v>13712190</v>
      </c>
      <c r="I33291">
        <v>9505207</v>
      </c>
      <c r="J33291">
        <v>3</v>
      </c>
    </row>
    <row r="33292" spans="1:10" x14ac:dyDescent="0.25">
      <c r="A33292" t="s">
        <v>373</v>
      </c>
      <c r="B33292" s="1" t="str">
        <f>HYPERLINK("http://tencentidentity.com","tencentidentity.com")</f>
        <v>tencentidentity.com</v>
      </c>
      <c r="C33292" t="s">
        <v>433</v>
      </c>
      <c r="J33292">
        <v>3</v>
      </c>
    </row>
    <row r="33293" spans="1:10" x14ac:dyDescent="0.25">
      <c r="A33293" t="s">
        <v>373</v>
      </c>
      <c r="B33293" s="1" t="str">
        <f>HYPERLINK("http://tencentmusic.com","tencentmusic.com")</f>
        <v>tencentmusic.com</v>
      </c>
      <c r="C33293" t="s">
        <v>433</v>
      </c>
      <c r="E33293">
        <v>38512</v>
      </c>
      <c r="F33293">
        <v>3.2401616016379903E-7</v>
      </c>
      <c r="G33293">
        <v>114903</v>
      </c>
      <c r="H33293">
        <v>15100391</v>
      </c>
      <c r="I33293">
        <v>406454</v>
      </c>
      <c r="J33293">
        <v>4</v>
      </c>
    </row>
    <row r="33294" spans="1:10" x14ac:dyDescent="0.25">
      <c r="A33294" t="s">
        <v>373</v>
      </c>
      <c r="B33294" s="1" t="str">
        <f>HYPERLINK("http://tgovcloud.com","tgovcloud.com")</f>
        <v>tgovcloud.com</v>
      </c>
      <c r="C33294" t="s">
        <v>433</v>
      </c>
      <c r="F33294">
        <v>4.4439006197489501E-9</v>
      </c>
      <c r="G33294">
        <v>77925476</v>
      </c>
      <c r="H33294">
        <v>10551768</v>
      </c>
      <c r="I33294">
        <v>46646401</v>
      </c>
      <c r="J33294">
        <v>3</v>
      </c>
    </row>
    <row r="33295" spans="1:10" x14ac:dyDescent="0.25">
      <c r="A33295" t="s">
        <v>373</v>
      </c>
      <c r="B33295" s="1" t="str">
        <f>HYPERLINK("http://trailmixgames.com","trailmixgames.com")</f>
        <v>trailmixgames.com</v>
      </c>
      <c r="C33295" t="s">
        <v>433</v>
      </c>
      <c r="F33295">
        <v>7.4268842363432705E-8</v>
      </c>
      <c r="G33295">
        <v>566712</v>
      </c>
      <c r="H33295">
        <v>16813252</v>
      </c>
      <c r="I33295">
        <v>193018</v>
      </c>
      <c r="J33295">
        <v>7</v>
      </c>
    </row>
    <row r="33296" spans="1:10" x14ac:dyDescent="0.25">
      <c r="A33296" t="s">
        <v>373</v>
      </c>
      <c r="B33296" s="1" t="str">
        <f>HYPERLINK("http://turtlerockstudios.com","turtlerockstudios.com")</f>
        <v>turtlerockstudios.com</v>
      </c>
      <c r="C33296" t="s">
        <v>433</v>
      </c>
      <c r="E33296">
        <v>227213</v>
      </c>
      <c r="F33296">
        <v>1.107170373316E-6</v>
      </c>
      <c r="G33296">
        <v>34744</v>
      </c>
      <c r="H33296">
        <v>14646757</v>
      </c>
      <c r="I33296">
        <v>631966</v>
      </c>
      <c r="J33296">
        <v>4</v>
      </c>
    </row>
    <row r="33297" spans="1:10" x14ac:dyDescent="0.25">
      <c r="A33297" t="s">
        <v>373</v>
      </c>
      <c r="B33297" s="1" t="str">
        <f>HYPERLINK("http://webank.com","webank.com")</f>
        <v>webank.com</v>
      </c>
      <c r="C33297" t="s">
        <v>433</v>
      </c>
      <c r="E33297">
        <v>74042</v>
      </c>
      <c r="F33297">
        <v>3.2092700976375299E-7</v>
      </c>
      <c r="G33297">
        <v>115941</v>
      </c>
      <c r="H33297">
        <v>14409725</v>
      </c>
      <c r="I33297">
        <v>1145759</v>
      </c>
      <c r="J33297">
        <v>4</v>
      </c>
    </row>
    <row r="33298" spans="1:10" x14ac:dyDescent="0.25">
      <c r="A33298" t="s">
        <v>373</v>
      </c>
      <c r="B33298" s="1" t="str">
        <f>HYPERLINK("http://wechat.com","wechat.com")</f>
        <v>wechat.com</v>
      </c>
      <c r="C33298" t="s">
        <v>433</v>
      </c>
      <c r="E33298">
        <v>5504</v>
      </c>
      <c r="F33298">
        <v>8.7579638456385805E-6</v>
      </c>
      <c r="G33298">
        <v>3854</v>
      </c>
      <c r="H33298">
        <v>17946120</v>
      </c>
      <c r="I33298">
        <v>4083</v>
      </c>
      <c r="J33298">
        <v>3</v>
      </c>
    </row>
    <row r="33299" spans="1:10" x14ac:dyDescent="0.25">
      <c r="A33299" t="s">
        <v>373</v>
      </c>
      <c r="B33299" s="1" t="str">
        <f>HYPERLINK("http://wegame.com","wegame.com")</f>
        <v>wegame.com</v>
      </c>
      <c r="C33299" t="s">
        <v>433</v>
      </c>
      <c r="E33299">
        <v>243380</v>
      </c>
      <c r="F33299">
        <v>3.5357604560068302E-7</v>
      </c>
      <c r="G33299">
        <v>105752</v>
      </c>
      <c r="H33299">
        <v>15107826</v>
      </c>
      <c r="I33299">
        <v>405415</v>
      </c>
      <c r="J33299">
        <v>3</v>
      </c>
    </row>
    <row r="33300" spans="1:10" x14ac:dyDescent="0.25">
      <c r="A33300" t="s">
        <v>373</v>
      </c>
      <c r="B33300" s="1" t="str">
        <f>HYPERLINK("http://wegameplus.com","wegameplus.com")</f>
        <v>wegameplus.com</v>
      </c>
      <c r="C33300" t="s">
        <v>433</v>
      </c>
      <c r="J33300">
        <v>3</v>
      </c>
    </row>
    <row r="33301" spans="1:10" x14ac:dyDescent="0.25">
      <c r="A33301" t="s">
        <v>373</v>
      </c>
      <c r="B33301" s="1" t="str">
        <f>HYPERLINK("http://weigo.com","weigo.com")</f>
        <v>weigo.com</v>
      </c>
      <c r="C33301" t="s">
        <v>433</v>
      </c>
      <c r="F33301">
        <v>4.4443517349065896E-9</v>
      </c>
      <c r="G33301">
        <v>76918496</v>
      </c>
      <c r="H33301">
        <v>10594484</v>
      </c>
      <c r="I33301">
        <v>45308160</v>
      </c>
      <c r="J33301">
        <v>3</v>
      </c>
    </row>
    <row r="33302" spans="1:10" x14ac:dyDescent="0.25">
      <c r="A33302" t="s">
        <v>373</v>
      </c>
      <c r="B33302" s="1" t="str">
        <f>HYPERLINK("http://wisefx.com","wisefx.com")</f>
        <v>wisefx.com</v>
      </c>
      <c r="C33302" t="s">
        <v>433</v>
      </c>
      <c r="F33302">
        <v>4.4438147154613999E-9</v>
      </c>
      <c r="G33302">
        <v>79469856</v>
      </c>
      <c r="H33302">
        <v>10347198</v>
      </c>
      <c r="I33302">
        <v>56723402</v>
      </c>
      <c r="J33302">
        <v>3</v>
      </c>
    </row>
    <row r="33303" spans="1:10" x14ac:dyDescent="0.25">
      <c r="A33303" t="s">
        <v>373</v>
      </c>
      <c r="B33303" s="1" t="str">
        <f>HYPERLINK("http://woa.com","woa.com")</f>
        <v>woa.com</v>
      </c>
      <c r="C33303" t="s">
        <v>433</v>
      </c>
      <c r="E33303">
        <v>3308</v>
      </c>
      <c r="F33303">
        <v>5.1739507784606901E-8</v>
      </c>
      <c r="G33303">
        <v>883391</v>
      </c>
      <c r="H33303">
        <v>13501172</v>
      </c>
      <c r="I33303">
        <v>9968747</v>
      </c>
      <c r="J33303">
        <v>3</v>
      </c>
    </row>
    <row r="33304" spans="1:10" x14ac:dyDescent="0.25">
      <c r="A33304" t="s">
        <v>373</v>
      </c>
      <c r="B33304" s="1" t="str">
        <f>HYPERLINK("http://yoorekastudio.com","yoorekastudio.com")</f>
        <v>yoorekastudio.com</v>
      </c>
      <c r="C33304" t="s">
        <v>433</v>
      </c>
      <c r="F33304">
        <v>7.7161839629704097E-9</v>
      </c>
      <c r="G33304">
        <v>10537594</v>
      </c>
      <c r="H33304">
        <v>13765013</v>
      </c>
      <c r="I33304">
        <v>7158072</v>
      </c>
      <c r="J33304">
        <v>3</v>
      </c>
    </row>
    <row r="33305" spans="1:10" x14ac:dyDescent="0.25">
      <c r="A33305" t="s">
        <v>373</v>
      </c>
      <c r="B33305" s="1" t="str">
        <f>HYPERLINK("http://yuewen.com","yuewen.com")</f>
        <v>yuewen.com</v>
      </c>
      <c r="C33305" t="s">
        <v>433</v>
      </c>
      <c r="E33305">
        <v>34496</v>
      </c>
      <c r="F33305">
        <v>4.5826974254998702E-7</v>
      </c>
      <c r="G33305">
        <v>82526</v>
      </c>
      <c r="H33305">
        <v>14438246</v>
      </c>
      <c r="I33305">
        <v>1066397</v>
      </c>
      <c r="J33305">
        <v>3</v>
      </c>
    </row>
    <row r="33306" spans="1:10" x14ac:dyDescent="0.25">
      <c r="A33306" t="s">
        <v>373</v>
      </c>
      <c r="B33306" s="1" t="str">
        <f>HYPERLINK("http://cenega.cz","cenega.cz")</f>
        <v>cenega.cz</v>
      </c>
      <c r="C33306" t="s">
        <v>435</v>
      </c>
      <c r="D33306" t="s">
        <v>814</v>
      </c>
      <c r="F33306">
        <v>2.2285403748314801E-8</v>
      </c>
      <c r="G33306">
        <v>2352680</v>
      </c>
      <c r="H33306">
        <v>13775739</v>
      </c>
      <c r="I33306">
        <v>6571451</v>
      </c>
      <c r="J33306">
        <v>5</v>
      </c>
    </row>
    <row r="33307" spans="1:10" x14ac:dyDescent="0.25">
      <c r="A33307" t="s">
        <v>373</v>
      </c>
      <c r="B33307" s="1" t="str">
        <f>HYPERLINK("http://yager.de","yager.de")</f>
        <v>yager.de</v>
      </c>
      <c r="C33307" t="s">
        <v>436</v>
      </c>
      <c r="D33307" t="s">
        <v>815</v>
      </c>
      <c r="E33307">
        <v>870451</v>
      </c>
      <c r="F33307">
        <v>6.8136467580374795E-8</v>
      </c>
      <c r="G33307">
        <v>626297</v>
      </c>
      <c r="H33307">
        <v>14407596</v>
      </c>
      <c r="I33307">
        <v>1147377</v>
      </c>
      <c r="J33307">
        <v>4</v>
      </c>
    </row>
    <row r="33308" spans="1:10" x14ac:dyDescent="0.25">
      <c r="A33308" t="s">
        <v>373</v>
      </c>
      <c r="B33308" s="1" t="str">
        <f>HYPERLINK("http://shopee.es","shopee.es")</f>
        <v>shopee.es</v>
      </c>
      <c r="C33308" t="s">
        <v>443</v>
      </c>
      <c r="D33308" t="s">
        <v>822</v>
      </c>
      <c r="E33308">
        <v>175028</v>
      </c>
      <c r="F33308">
        <v>9.3598914756562393E-9</v>
      </c>
      <c r="G33308">
        <v>7495491</v>
      </c>
      <c r="H33308">
        <v>12796343</v>
      </c>
      <c r="I33308">
        <v>14654245</v>
      </c>
      <c r="J33308">
        <v>7</v>
      </c>
    </row>
    <row r="33309" spans="1:10" x14ac:dyDescent="0.25">
      <c r="A33309" t="s">
        <v>373</v>
      </c>
      <c r="B33309" s="1" t="str">
        <f>HYPERLINK("http://brawl-esports.fi","brawl-esports.fi")</f>
        <v>brawl-esports.fi</v>
      </c>
      <c r="C33309" t="s">
        <v>445</v>
      </c>
      <c r="D33309" t="s">
        <v>823</v>
      </c>
      <c r="J33309">
        <v>2</v>
      </c>
    </row>
    <row r="33310" spans="1:10" x14ac:dyDescent="0.25">
      <c r="A33310" t="s">
        <v>373</v>
      </c>
      <c r="B33310" s="1" t="str">
        <f>HYPERLINK("http://brawlesports.fi","brawlesports.fi")</f>
        <v>brawlesports.fi</v>
      </c>
      <c r="C33310" t="s">
        <v>445</v>
      </c>
      <c r="D33310" t="s">
        <v>823</v>
      </c>
      <c r="J33310">
        <v>2</v>
      </c>
    </row>
    <row r="33311" spans="1:10" x14ac:dyDescent="0.25">
      <c r="A33311" t="s">
        <v>373</v>
      </c>
      <c r="B33311" s="1" t="str">
        <f>HYPERLINK("http://brawlstars.fi","brawlstars.fi")</f>
        <v>brawlstars.fi</v>
      </c>
      <c r="C33311" t="s">
        <v>445</v>
      </c>
      <c r="D33311" t="s">
        <v>823</v>
      </c>
      <c r="J33311">
        <v>2</v>
      </c>
    </row>
    <row r="33312" spans="1:10" x14ac:dyDescent="0.25">
      <c r="A33312" t="s">
        <v>373</v>
      </c>
      <c r="B33312" s="1" t="str">
        <f>HYPERLINK("http://clashmini.fi","clashmini.fi")</f>
        <v>clashmini.fi</v>
      </c>
      <c r="C33312" t="s">
        <v>445</v>
      </c>
      <c r="D33312" t="s">
        <v>823</v>
      </c>
      <c r="J33312">
        <v>2</v>
      </c>
    </row>
    <row r="33313" spans="1:10" x14ac:dyDescent="0.25">
      <c r="A33313" t="s">
        <v>373</v>
      </c>
      <c r="B33313" s="1" t="str">
        <f>HYPERLINK("http://clashroyale.fi","clashroyale.fi")</f>
        <v>clashroyale.fi</v>
      </c>
      <c r="C33313" t="s">
        <v>445</v>
      </c>
      <c r="D33313" t="s">
        <v>823</v>
      </c>
      <c r="J33313">
        <v>2</v>
      </c>
    </row>
    <row r="33314" spans="1:10" x14ac:dyDescent="0.25">
      <c r="A33314" t="s">
        <v>373</v>
      </c>
      <c r="B33314" s="1" t="str">
        <f>HYPERLINK("http://everdale.fi","everdale.fi")</f>
        <v>everdale.fi</v>
      </c>
      <c r="C33314" t="s">
        <v>445</v>
      </c>
      <c r="D33314" t="s">
        <v>823</v>
      </c>
      <c r="J33314">
        <v>4</v>
      </c>
    </row>
    <row r="33315" spans="1:10" x14ac:dyDescent="0.25">
      <c r="A33315" t="s">
        <v>373</v>
      </c>
      <c r="B33315" s="1" t="str">
        <f>HYPERLINK("http://focusgroup.fi","focusgroup.fi")</f>
        <v>focusgroup.fi</v>
      </c>
      <c r="C33315" t="s">
        <v>445</v>
      </c>
      <c r="D33315" t="s">
        <v>823</v>
      </c>
      <c r="J33315">
        <v>2</v>
      </c>
    </row>
    <row r="33316" spans="1:10" x14ac:dyDescent="0.25">
      <c r="A33316" t="s">
        <v>373</v>
      </c>
      <c r="B33316" s="1" t="str">
        <f>HYPERLINK("http://squadbusters.fi","squadbusters.fi")</f>
        <v>squadbusters.fi</v>
      </c>
      <c r="C33316" t="s">
        <v>445</v>
      </c>
      <c r="D33316" t="s">
        <v>823</v>
      </c>
      <c r="J33316">
        <v>2</v>
      </c>
    </row>
    <row r="33317" spans="1:10" x14ac:dyDescent="0.25">
      <c r="A33317" t="s">
        <v>373</v>
      </c>
      <c r="B33317" s="1" t="str">
        <f>HYPERLINK("http://supercell.fi","supercell.fi")</f>
        <v>supercell.fi</v>
      </c>
      <c r="C33317" t="s">
        <v>445</v>
      </c>
      <c r="D33317" t="s">
        <v>823</v>
      </c>
      <c r="F33317">
        <v>5.1003805098330498E-9</v>
      </c>
      <c r="G33317">
        <v>27070000</v>
      </c>
      <c r="H33317">
        <v>11080062</v>
      </c>
      <c r="I33317">
        <v>32482189</v>
      </c>
      <c r="J33317">
        <v>2</v>
      </c>
    </row>
    <row r="33318" spans="1:10" x14ac:dyDescent="0.25">
      <c r="A33318" t="s">
        <v>373</v>
      </c>
      <c r="B33318" s="1" t="str">
        <f>HYPERLINK("http://shopee.fr","shopee.fr")</f>
        <v>shopee.fr</v>
      </c>
      <c r="C33318" t="s">
        <v>446</v>
      </c>
      <c r="D33318" t="s">
        <v>824</v>
      </c>
      <c r="E33318">
        <v>319174</v>
      </c>
      <c r="F33318">
        <v>6.8847855416503797E-9</v>
      </c>
      <c r="G33318">
        <v>12681590</v>
      </c>
      <c r="H33318">
        <v>12607835</v>
      </c>
      <c r="I33318">
        <v>16253205</v>
      </c>
      <c r="J33318">
        <v>7</v>
      </c>
    </row>
    <row r="33319" spans="1:10" x14ac:dyDescent="0.25">
      <c r="A33319" t="s">
        <v>373</v>
      </c>
      <c r="B33319" s="1" t="str">
        <f>HYPERLINK("http://klei.gg","klei.gg")</f>
        <v>klei.gg</v>
      </c>
      <c r="C33319" t="s">
        <v>639</v>
      </c>
      <c r="D33319" t="s">
        <v>960</v>
      </c>
      <c r="F33319">
        <v>9.4479384294156906E-9</v>
      </c>
      <c r="G33319">
        <v>7385414</v>
      </c>
      <c r="H33319">
        <v>12374099</v>
      </c>
      <c r="I33319">
        <v>19333544</v>
      </c>
      <c r="J33319">
        <v>5</v>
      </c>
    </row>
    <row r="33320" spans="1:10" x14ac:dyDescent="0.25">
      <c r="A33320" t="s">
        <v>373</v>
      </c>
      <c r="B33320" s="1" t="str">
        <f>HYPERLINK("http://cenega.hu","cenega.hu")</f>
        <v>cenega.hu</v>
      </c>
      <c r="C33320" t="s">
        <v>453</v>
      </c>
      <c r="D33320" t="s">
        <v>830</v>
      </c>
      <c r="F33320">
        <v>7.1970017478368404E-9</v>
      </c>
      <c r="G33320">
        <v>11748830</v>
      </c>
      <c r="H33320">
        <v>12181330</v>
      </c>
      <c r="I33320">
        <v>23788379</v>
      </c>
      <c r="J33320">
        <v>5</v>
      </c>
    </row>
    <row r="33321" spans="1:10" x14ac:dyDescent="0.25">
      <c r="A33321" t="s">
        <v>373</v>
      </c>
      <c r="B33321" s="1" t="str">
        <f>HYPERLINK("http://garena.co.id","garena.co.id")</f>
        <v>garena.co.id</v>
      </c>
      <c r="C33321" t="s">
        <v>454</v>
      </c>
      <c r="D33321" t="s">
        <v>831</v>
      </c>
      <c r="E33321">
        <v>66183</v>
      </c>
      <c r="F33321">
        <v>1.88642028300256E-7</v>
      </c>
      <c r="G33321">
        <v>204262</v>
      </c>
      <c r="H33321">
        <v>14511552</v>
      </c>
      <c r="I33321">
        <v>821157</v>
      </c>
      <c r="J33321">
        <v>4</v>
      </c>
    </row>
    <row r="33322" spans="1:10" x14ac:dyDescent="0.25">
      <c r="A33322" t="s">
        <v>373</v>
      </c>
      <c r="B33322" s="1" t="str">
        <f>HYPERLINK("http://shopee.co.id","shopee.co.id")</f>
        <v>shopee.co.id</v>
      </c>
      <c r="C33322" t="s">
        <v>454</v>
      </c>
      <c r="D33322" t="s">
        <v>831</v>
      </c>
      <c r="E33322">
        <v>1232</v>
      </c>
      <c r="F33322">
        <v>1.3037524449947301E-5</v>
      </c>
      <c r="G33322">
        <v>2670</v>
      </c>
      <c r="H33322">
        <v>17902416</v>
      </c>
      <c r="I33322">
        <v>4445</v>
      </c>
      <c r="J33322">
        <v>7</v>
      </c>
    </row>
    <row r="33323" spans="1:10" x14ac:dyDescent="0.25">
      <c r="A33323" t="s">
        <v>373</v>
      </c>
      <c r="B33323" s="1" t="str">
        <f>HYPERLINK("http://shopee.in","shopee.in")</f>
        <v>shopee.in</v>
      </c>
      <c r="C33323" t="s">
        <v>457</v>
      </c>
      <c r="D33323" t="s">
        <v>834</v>
      </c>
      <c r="E33323">
        <v>255217</v>
      </c>
      <c r="F33323">
        <v>1.6663849294672702E-8</v>
      </c>
      <c r="G33323">
        <v>3368092</v>
      </c>
      <c r="H33323">
        <v>13972557</v>
      </c>
      <c r="I33323">
        <v>4069902</v>
      </c>
      <c r="J33323">
        <v>8</v>
      </c>
    </row>
    <row r="33324" spans="1:10" x14ac:dyDescent="0.25">
      <c r="A33324" t="s">
        <v>373</v>
      </c>
      <c r="B33324" s="1" t="str">
        <f>HYPERLINK("http://tencentcloud.io","tencentcloud.io")</f>
        <v>tencentcloud.io</v>
      </c>
      <c r="C33324" t="s">
        <v>518</v>
      </c>
      <c r="F33324">
        <v>4.7352421388508396E-9</v>
      </c>
      <c r="G33324">
        <v>39040357</v>
      </c>
      <c r="H33324">
        <v>12604233</v>
      </c>
      <c r="I33324">
        <v>16283864</v>
      </c>
      <c r="J33324">
        <v>4</v>
      </c>
    </row>
    <row r="33325" spans="1:10" x14ac:dyDescent="0.25">
      <c r="A33325" t="s">
        <v>373</v>
      </c>
      <c r="B33325" s="1" t="str">
        <f>HYPERLINK("http://leagueoflegends.co.kr","leagueoflegends.co.kr")</f>
        <v>leagueoflegends.co.kr</v>
      </c>
      <c r="C33325" t="s">
        <v>463</v>
      </c>
      <c r="D33325" t="s">
        <v>839</v>
      </c>
      <c r="E33325">
        <v>26606</v>
      </c>
      <c r="F33325">
        <v>4.7382052356526303E-8</v>
      </c>
      <c r="G33325">
        <v>983411</v>
      </c>
      <c r="H33325">
        <v>14094677</v>
      </c>
      <c r="I33325">
        <v>2731460</v>
      </c>
      <c r="J33325">
        <v>6</v>
      </c>
    </row>
    <row r="33326" spans="1:10" x14ac:dyDescent="0.25">
      <c r="A33326" t="s">
        <v>373</v>
      </c>
      <c r="B33326" s="1" t="str">
        <f>HYPERLINK("http://shopee.kr","shopee.kr")</f>
        <v>shopee.kr</v>
      </c>
      <c r="C33326" t="s">
        <v>463</v>
      </c>
      <c r="D33326" t="s">
        <v>839</v>
      </c>
      <c r="E33326">
        <v>143297</v>
      </c>
      <c r="F33326">
        <v>1.18899453110285E-7</v>
      </c>
      <c r="G33326">
        <v>332844</v>
      </c>
      <c r="H33326">
        <v>13012341</v>
      </c>
      <c r="I33326">
        <v>12742948</v>
      </c>
      <c r="J33326">
        <v>7</v>
      </c>
    </row>
    <row r="33327" spans="1:10" x14ac:dyDescent="0.25">
      <c r="A33327" t="s">
        <v>373</v>
      </c>
      <c r="B33327" s="1" t="str">
        <f>HYPERLINK("http://trovo.live","trovo.live")</f>
        <v>trovo.live</v>
      </c>
      <c r="C33327" t="s">
        <v>529</v>
      </c>
      <c r="E33327">
        <v>12292</v>
      </c>
      <c r="F33327">
        <v>4.716896369976E-7</v>
      </c>
      <c r="G33327">
        <v>80456</v>
      </c>
      <c r="H33327">
        <v>15103382</v>
      </c>
      <c r="I33327">
        <v>406018</v>
      </c>
      <c r="J33327">
        <v>4</v>
      </c>
    </row>
    <row r="33328" spans="1:10" x14ac:dyDescent="0.25">
      <c r="A33328" t="s">
        <v>373</v>
      </c>
      <c r="B33328" s="1" t="str">
        <f>HYPERLINK("http://shopee.com.mx","shopee.com.mx")</f>
        <v>shopee.com.mx</v>
      </c>
      <c r="C33328" t="s">
        <v>471</v>
      </c>
      <c r="D33328" t="s">
        <v>847</v>
      </c>
      <c r="E33328">
        <v>34795</v>
      </c>
      <c r="F33328">
        <v>3.4922855453007402E-7</v>
      </c>
      <c r="G33328">
        <v>107055</v>
      </c>
      <c r="H33328">
        <v>14862491</v>
      </c>
      <c r="I33328">
        <v>483394</v>
      </c>
      <c r="J33328">
        <v>7</v>
      </c>
    </row>
    <row r="33329" spans="1:10" x14ac:dyDescent="0.25">
      <c r="A33329" t="s">
        <v>373</v>
      </c>
      <c r="B33329" s="1" t="str">
        <f>HYPERLINK("http://shopee.com.my","shopee.com.my")</f>
        <v>shopee.com.my</v>
      </c>
      <c r="C33329" t="s">
        <v>472</v>
      </c>
      <c r="D33329" t="s">
        <v>848</v>
      </c>
      <c r="E33329">
        <v>1720</v>
      </c>
      <c r="F33329">
        <v>2.9948843934740199E-6</v>
      </c>
      <c r="G33329">
        <v>12997</v>
      </c>
      <c r="H33329">
        <v>17620972</v>
      </c>
      <c r="I33329">
        <v>9100</v>
      </c>
      <c r="J33329">
        <v>7</v>
      </c>
    </row>
    <row r="33330" spans="1:10" x14ac:dyDescent="0.25">
      <c r="A33330" t="s">
        <v>373</v>
      </c>
      <c r="B33330" s="1" t="str">
        <f>HYPERLINK("http://wechatpay.com.my","wechatpay.com.my")</f>
        <v>wechatpay.com.my</v>
      </c>
      <c r="C33330" t="s">
        <v>472</v>
      </c>
      <c r="D33330" t="s">
        <v>848</v>
      </c>
      <c r="F33330">
        <v>4.7078413138530003E-9</v>
      </c>
      <c r="G33330">
        <v>40846632</v>
      </c>
      <c r="H33330">
        <v>10949341</v>
      </c>
      <c r="I33330">
        <v>34599361</v>
      </c>
      <c r="J33330">
        <v>3</v>
      </c>
    </row>
    <row r="33331" spans="1:10" x14ac:dyDescent="0.25">
      <c r="A33331" t="s">
        <v>373</v>
      </c>
      <c r="B33331" s="1" t="str">
        <f>HYPERLINK("http://garena.my","garena.my")</f>
        <v>garena.my</v>
      </c>
      <c r="C33331" t="s">
        <v>472</v>
      </c>
      <c r="D33331" t="s">
        <v>848</v>
      </c>
      <c r="E33331">
        <v>380109</v>
      </c>
      <c r="F33331">
        <v>3.5295691254477898E-8</v>
      </c>
      <c r="G33331">
        <v>1473555</v>
      </c>
      <c r="H33331">
        <v>12539244</v>
      </c>
      <c r="I33331">
        <v>16948262</v>
      </c>
      <c r="J33331">
        <v>4</v>
      </c>
    </row>
    <row r="33332" spans="1:10" x14ac:dyDescent="0.25">
      <c r="A33332" t="s">
        <v>373</v>
      </c>
      <c r="B33332" s="1" t="str">
        <f>HYPERLINK("http://cofile.net","cofile.net")</f>
        <v>cofile.net</v>
      </c>
      <c r="C33332" t="s">
        <v>474</v>
      </c>
      <c r="E33332">
        <v>44383</v>
      </c>
      <c r="F33332">
        <v>1.6530628820915399E-8</v>
      </c>
      <c r="G33332">
        <v>3406192</v>
      </c>
      <c r="H33332">
        <v>12791357</v>
      </c>
      <c r="I33332">
        <v>14682068</v>
      </c>
      <c r="J33332">
        <v>3</v>
      </c>
    </row>
    <row r="33333" spans="1:10" x14ac:dyDescent="0.25">
      <c r="A33333" t="s">
        <v>373</v>
      </c>
      <c r="B33333" s="1" t="str">
        <f>HYPERLINK("http://goldenacornacademy.net","goldenacornacademy.net")</f>
        <v>goldenacornacademy.net</v>
      </c>
      <c r="C33333" t="s">
        <v>474</v>
      </c>
      <c r="F33333">
        <v>4.5481515839818004E-9</v>
      </c>
      <c r="G33333">
        <v>52401582</v>
      </c>
      <c r="H33333">
        <v>10345993</v>
      </c>
      <c r="I33333">
        <v>56897465</v>
      </c>
      <c r="J33333">
        <v>5</v>
      </c>
    </row>
    <row r="33334" spans="1:10" x14ac:dyDescent="0.25">
      <c r="A33334" t="s">
        <v>373</v>
      </c>
      <c r="B33334" s="1" t="str">
        <f>HYPERLINK("http://supercell.net","supercell.net")</f>
        <v>supercell.net</v>
      </c>
      <c r="C33334" t="s">
        <v>474</v>
      </c>
      <c r="E33334">
        <v>217379</v>
      </c>
      <c r="F33334">
        <v>1.7130104101184199E-7</v>
      </c>
      <c r="G33334">
        <v>226445</v>
      </c>
      <c r="H33334">
        <v>15008443</v>
      </c>
      <c r="I33334">
        <v>423728</v>
      </c>
      <c r="J33334">
        <v>3</v>
      </c>
    </row>
    <row r="33335" spans="1:10" x14ac:dyDescent="0.25">
      <c r="A33335" t="s">
        <v>373</v>
      </c>
      <c r="B33335" s="1" t="str">
        <f>HYPERLINK("http://tencent-cloud.net","tencent-cloud.net")</f>
        <v>tencent-cloud.net</v>
      </c>
      <c r="C33335" t="s">
        <v>474</v>
      </c>
      <c r="E33335">
        <v>1687</v>
      </c>
      <c r="F33335">
        <v>5.6713248077953899E-9</v>
      </c>
      <c r="G33335">
        <v>19205607</v>
      </c>
      <c r="H33335">
        <v>12410384</v>
      </c>
      <c r="I33335">
        <v>18604075</v>
      </c>
      <c r="J33335">
        <v>3</v>
      </c>
    </row>
    <row r="33336" spans="1:10" x14ac:dyDescent="0.25">
      <c r="A33336" t="s">
        <v>373</v>
      </c>
      <c r="B33336" s="1" t="str">
        <f>HYPERLINK("http://javastring.org","javastring.org")</f>
        <v>javastring.org</v>
      </c>
      <c r="C33336" t="s">
        <v>481</v>
      </c>
      <c r="F33336">
        <v>4.6186077197790702E-9</v>
      </c>
      <c r="G33336">
        <v>46229790</v>
      </c>
      <c r="H33336">
        <v>12298673</v>
      </c>
      <c r="I33336">
        <v>20869450</v>
      </c>
      <c r="J33336">
        <v>5</v>
      </c>
    </row>
    <row r="33337" spans="1:10" x14ac:dyDescent="0.25">
      <c r="A33337" t="s">
        <v>373</v>
      </c>
      <c r="B33337" s="1" t="str">
        <f>HYPERLINK("http://garena.ph","garena.ph")</f>
        <v>garena.ph</v>
      </c>
      <c r="C33337" t="s">
        <v>484</v>
      </c>
      <c r="D33337" t="s">
        <v>858</v>
      </c>
      <c r="E33337">
        <v>79522</v>
      </c>
      <c r="F33337">
        <v>3.8989180694557101E-8</v>
      </c>
      <c r="G33337">
        <v>1322585</v>
      </c>
      <c r="H33337">
        <v>14420695</v>
      </c>
      <c r="I33337">
        <v>1088954</v>
      </c>
      <c r="J33337">
        <v>4</v>
      </c>
    </row>
    <row r="33338" spans="1:10" x14ac:dyDescent="0.25">
      <c r="A33338" t="s">
        <v>373</v>
      </c>
      <c r="B33338" s="1" t="str">
        <f>HYPERLINK("http://shopee.ph","shopee.ph")</f>
        <v>shopee.ph</v>
      </c>
      <c r="C33338" t="s">
        <v>484</v>
      </c>
      <c r="D33338" t="s">
        <v>858</v>
      </c>
      <c r="E33338">
        <v>2760</v>
      </c>
      <c r="F33338">
        <v>1.9009534149961699E-6</v>
      </c>
      <c r="G33338">
        <v>19516</v>
      </c>
      <c r="H33338">
        <v>17628744</v>
      </c>
      <c r="I33338">
        <v>8900</v>
      </c>
      <c r="J33338">
        <v>6</v>
      </c>
    </row>
    <row r="33339" spans="1:10" x14ac:dyDescent="0.25">
      <c r="A33339" t="s">
        <v>373</v>
      </c>
      <c r="B33339" s="1" t="str">
        <f>HYPERLINK("http://garena.pk","garena.pk")</f>
        <v>garena.pk</v>
      </c>
      <c r="C33339" t="s">
        <v>485</v>
      </c>
      <c r="D33339" t="s">
        <v>859</v>
      </c>
      <c r="E33339">
        <v>925136</v>
      </c>
      <c r="F33339">
        <v>1.44351527426792E-8</v>
      </c>
      <c r="G33339">
        <v>4044999</v>
      </c>
      <c r="H33339">
        <v>12234796</v>
      </c>
      <c r="I33339">
        <v>22383832</v>
      </c>
      <c r="J33339">
        <v>6</v>
      </c>
    </row>
    <row r="33340" spans="1:10" x14ac:dyDescent="0.25">
      <c r="A33340" t="s">
        <v>373</v>
      </c>
      <c r="B33340" s="1" t="str">
        <f>HYPERLINK("http://cenega.pl","cenega.pl")</f>
        <v>cenega.pl</v>
      </c>
      <c r="C33340" t="s">
        <v>486</v>
      </c>
      <c r="D33340" t="s">
        <v>860</v>
      </c>
      <c r="E33340">
        <v>945696</v>
      </c>
      <c r="F33340">
        <v>4.2688808327880502E-8</v>
      </c>
      <c r="G33340">
        <v>1131716</v>
      </c>
      <c r="H33340">
        <v>14377091</v>
      </c>
      <c r="I33340">
        <v>1212561</v>
      </c>
      <c r="J33340">
        <v>4</v>
      </c>
    </row>
    <row r="33341" spans="1:10" x14ac:dyDescent="0.25">
      <c r="A33341" t="s">
        <v>373</v>
      </c>
      <c r="B33341" s="1" t="str">
        <f>HYPERLINK("http://shopee.pl","shopee.pl")</f>
        <v>shopee.pl</v>
      </c>
      <c r="C33341" t="s">
        <v>486</v>
      </c>
      <c r="D33341" t="s">
        <v>860</v>
      </c>
      <c r="E33341">
        <v>26099</v>
      </c>
      <c r="F33341">
        <v>3.8487768117948199E-7</v>
      </c>
      <c r="G33341">
        <v>97292</v>
      </c>
      <c r="H33341">
        <v>14274545</v>
      </c>
      <c r="I33341">
        <v>1392309</v>
      </c>
      <c r="J33341">
        <v>7</v>
      </c>
    </row>
    <row r="33342" spans="1:10" x14ac:dyDescent="0.25">
      <c r="A33342" t="s">
        <v>373</v>
      </c>
      <c r="B33342" s="1" t="str">
        <f>HYPERLINK("http://nohost.pro","nohost.pro")</f>
        <v>nohost.pro</v>
      </c>
      <c r="C33342" t="s">
        <v>574</v>
      </c>
      <c r="F33342">
        <v>4.7725656601058802E-9</v>
      </c>
      <c r="G33342">
        <v>37268128</v>
      </c>
      <c r="H33342">
        <v>12740293</v>
      </c>
      <c r="I33342">
        <v>15131084</v>
      </c>
      <c r="J33342">
        <v>3</v>
      </c>
    </row>
    <row r="33343" spans="1:10" x14ac:dyDescent="0.25">
      <c r="A33343" t="s">
        <v>373</v>
      </c>
      <c r="B33343" s="1" t="str">
        <f>HYPERLINK("http://garena.ru","garena.ru")</f>
        <v>garena.ru</v>
      </c>
      <c r="C33343" t="s">
        <v>493</v>
      </c>
      <c r="D33343" t="s">
        <v>867</v>
      </c>
      <c r="E33343">
        <v>533114</v>
      </c>
      <c r="F33343">
        <v>1.6428670804018101E-8</v>
      </c>
      <c r="G33343">
        <v>3431925</v>
      </c>
      <c r="H33343">
        <v>13229534</v>
      </c>
      <c r="I33343">
        <v>11287717</v>
      </c>
      <c r="J33343">
        <v>6</v>
      </c>
    </row>
    <row r="33344" spans="1:10" x14ac:dyDescent="0.25">
      <c r="A33344" t="s">
        <v>373</v>
      </c>
      <c r="B33344" s="1" t="str">
        <f>HYPERLINK("http://garena.sg","garena.sg")</f>
        <v>garena.sg</v>
      </c>
      <c r="C33344" t="s">
        <v>496</v>
      </c>
      <c r="D33344" t="s">
        <v>870</v>
      </c>
      <c r="E33344">
        <v>68091</v>
      </c>
      <c r="F33344">
        <v>2.19121143681988E-7</v>
      </c>
      <c r="G33344">
        <v>172037</v>
      </c>
      <c r="H33344">
        <v>16963604</v>
      </c>
      <c r="I33344">
        <v>104580</v>
      </c>
      <c r="J33344">
        <v>4</v>
      </c>
    </row>
    <row r="33345" spans="1:10" x14ac:dyDescent="0.25">
      <c r="A33345" t="s">
        <v>373</v>
      </c>
      <c r="B33345" s="1" t="str">
        <f>HYPERLINK("http://shopee.sg","shopee.sg")</f>
        <v>shopee.sg</v>
      </c>
      <c r="C33345" t="s">
        <v>496</v>
      </c>
      <c r="D33345" t="s">
        <v>870</v>
      </c>
      <c r="E33345">
        <v>4292</v>
      </c>
      <c r="F33345">
        <v>2.0791879527340898E-6</v>
      </c>
      <c r="G33345">
        <v>17596</v>
      </c>
      <c r="H33345">
        <v>17815856</v>
      </c>
      <c r="I33345">
        <v>5386</v>
      </c>
      <c r="J33345">
        <v>7</v>
      </c>
    </row>
    <row r="33346" spans="1:10" x14ac:dyDescent="0.25">
      <c r="A33346" t="s">
        <v>373</v>
      </c>
      <c r="B33346" s="1" t="str">
        <f>HYPERLINK("http://shopee.co.th","shopee.co.th")</f>
        <v>shopee.co.th</v>
      </c>
      <c r="C33346" t="s">
        <v>500</v>
      </c>
      <c r="D33346" t="s">
        <v>874</v>
      </c>
      <c r="E33346">
        <v>1627</v>
      </c>
      <c r="F33346">
        <v>2.7909506068367299E-6</v>
      </c>
      <c r="G33346">
        <v>13739</v>
      </c>
      <c r="H33346">
        <v>17474598</v>
      </c>
      <c r="I33346">
        <v>14853</v>
      </c>
      <c r="J33346">
        <v>7</v>
      </c>
    </row>
    <row r="33347" spans="1:10" x14ac:dyDescent="0.25">
      <c r="A33347" t="s">
        <v>373</v>
      </c>
      <c r="B33347" s="1" t="str">
        <f>HYPERLINK("http://tencent.co.th","tencent.co.th")</f>
        <v>tencent.co.th</v>
      </c>
      <c r="C33347" t="s">
        <v>500</v>
      </c>
      <c r="D33347" t="s">
        <v>874</v>
      </c>
      <c r="E33347">
        <v>686048</v>
      </c>
      <c r="F33347">
        <v>4.2522744232720199E-8</v>
      </c>
      <c r="G33347">
        <v>1139111</v>
      </c>
      <c r="H33347">
        <v>14756662</v>
      </c>
      <c r="I33347">
        <v>561612</v>
      </c>
      <c r="J33347">
        <v>2</v>
      </c>
    </row>
    <row r="33348" spans="1:10" x14ac:dyDescent="0.25">
      <c r="A33348" t="s">
        <v>373</v>
      </c>
      <c r="B33348" s="1" t="str">
        <f>HYPERLINK("http://garena.in.th","garena.in.th")</f>
        <v>garena.in.th</v>
      </c>
      <c r="C33348" t="s">
        <v>500</v>
      </c>
      <c r="D33348" t="s">
        <v>874</v>
      </c>
      <c r="E33348">
        <v>58190</v>
      </c>
      <c r="F33348">
        <v>9.49550867840068E-8</v>
      </c>
      <c r="G33348">
        <v>426974</v>
      </c>
      <c r="H33348">
        <v>14649605</v>
      </c>
      <c r="I33348">
        <v>628356</v>
      </c>
      <c r="J33348">
        <v>6</v>
      </c>
    </row>
    <row r="33349" spans="1:10" x14ac:dyDescent="0.25">
      <c r="A33349" t="s">
        <v>373</v>
      </c>
      <c r="B33349" s="1" t="str">
        <f>HYPERLINK("http://garena.tw","garena.tw")</f>
        <v>garena.tw</v>
      </c>
      <c r="C33349" t="s">
        <v>504</v>
      </c>
      <c r="D33349" t="s">
        <v>878</v>
      </c>
      <c r="E33349">
        <v>31493</v>
      </c>
      <c r="F33349">
        <v>3.4308678518551702E-7</v>
      </c>
      <c r="G33349">
        <v>108838</v>
      </c>
      <c r="H33349">
        <v>17255034</v>
      </c>
      <c r="I33349">
        <v>33332</v>
      </c>
      <c r="J33349">
        <v>4</v>
      </c>
    </row>
    <row r="33350" spans="1:10" x14ac:dyDescent="0.25">
      <c r="A33350" t="s">
        <v>373</v>
      </c>
      <c r="B33350" s="1" t="str">
        <f>HYPERLINK("http://shopee.tw","shopee.tw")</f>
        <v>shopee.tw</v>
      </c>
      <c r="C33350" t="s">
        <v>504</v>
      </c>
      <c r="D33350" t="s">
        <v>878</v>
      </c>
      <c r="E33350">
        <v>995</v>
      </c>
      <c r="F33350">
        <v>2.1993697624794599E-6</v>
      </c>
      <c r="G33350">
        <v>16684</v>
      </c>
      <c r="H33350">
        <v>17426904</v>
      </c>
      <c r="I33350">
        <v>17451</v>
      </c>
      <c r="J33350">
        <v>7</v>
      </c>
    </row>
    <row r="33351" spans="1:10" x14ac:dyDescent="0.25">
      <c r="A33351" t="s">
        <v>373</v>
      </c>
      <c r="B33351" s="1" t="str">
        <f>HYPERLINK("http://wetv.vip","wetv.vip")</f>
        <v>wetv.vip</v>
      </c>
      <c r="C33351" t="s">
        <v>607</v>
      </c>
      <c r="E33351">
        <v>15307</v>
      </c>
      <c r="F33351">
        <v>3.7007876857830202E-7</v>
      </c>
      <c r="G33351">
        <v>101161</v>
      </c>
      <c r="H33351">
        <v>17263284</v>
      </c>
      <c r="I33351">
        <v>32214</v>
      </c>
      <c r="J33351">
        <v>4</v>
      </c>
    </row>
    <row r="33352" spans="1:10" x14ac:dyDescent="0.25">
      <c r="A33352" t="s">
        <v>373</v>
      </c>
      <c r="B33352" s="1" t="str">
        <f>HYPERLINK("http://garena.vn","garena.vn")</f>
        <v>garena.vn</v>
      </c>
      <c r="C33352" t="s">
        <v>509</v>
      </c>
      <c r="D33352" t="s">
        <v>883</v>
      </c>
      <c r="E33352">
        <v>25341</v>
      </c>
      <c r="F33352">
        <v>2.8137358838038199E-7</v>
      </c>
      <c r="G33352">
        <v>132158</v>
      </c>
      <c r="H33352">
        <v>17115798</v>
      </c>
      <c r="I33352">
        <v>61024</v>
      </c>
      <c r="J33352">
        <v>4</v>
      </c>
    </row>
    <row r="33353" spans="1:10" x14ac:dyDescent="0.25">
      <c r="A33353" t="s">
        <v>373</v>
      </c>
      <c r="B33353" s="1" t="str">
        <f>HYPERLINK("http://shopee.vn","shopee.vn")</f>
        <v>shopee.vn</v>
      </c>
      <c r="C33353" t="s">
        <v>509</v>
      </c>
      <c r="D33353" t="s">
        <v>883</v>
      </c>
      <c r="E33353">
        <v>1749</v>
      </c>
      <c r="F33353">
        <v>4.7549270947595398E-6</v>
      </c>
      <c r="G33353">
        <v>7369</v>
      </c>
      <c r="H33353">
        <v>16100752</v>
      </c>
      <c r="I33353">
        <v>365892</v>
      </c>
      <c r="J33353">
        <v>7</v>
      </c>
    </row>
    <row r="33354" spans="1:10" x14ac:dyDescent="0.25">
      <c r="A33354" t="s">
        <v>373</v>
      </c>
      <c r="B33354" s="1" t="str">
        <f>HYPERLINK("http://joox.co.za","joox.co.za")</f>
        <v>joox.co.za</v>
      </c>
      <c r="C33354" t="s">
        <v>510</v>
      </c>
      <c r="D33354" t="s">
        <v>884</v>
      </c>
      <c r="F33354">
        <v>1.1431169689098599E-8</v>
      </c>
      <c r="G33354">
        <v>5553438</v>
      </c>
      <c r="H33354">
        <v>12848861</v>
      </c>
      <c r="I33354">
        <v>14297129</v>
      </c>
      <c r="J33354">
        <v>4</v>
      </c>
    </row>
    <row r="33355" spans="1:10" x14ac:dyDescent="0.25">
      <c r="A33355" t="s">
        <v>374</v>
      </c>
      <c r="B33355" s="1" t="str">
        <f>HYPERLINK("http://glocknerhof.at","glocknerhof.at")</f>
        <v>glocknerhof.at</v>
      </c>
      <c r="C33355" t="s">
        <v>419</v>
      </c>
      <c r="D33355" t="s">
        <v>801</v>
      </c>
      <c r="F33355">
        <v>2.67239087049915E-8</v>
      </c>
      <c r="G33355">
        <v>1925846</v>
      </c>
      <c r="H33355">
        <v>14087994</v>
      </c>
      <c r="I33355">
        <v>2760779</v>
      </c>
      <c r="J33355">
        <v>4</v>
      </c>
    </row>
    <row r="33356" spans="1:10" x14ac:dyDescent="0.25">
      <c r="A33356" t="s">
        <v>374</v>
      </c>
      <c r="B33356" s="1" t="str">
        <f>HYPERLINK("http://rapidlift.ca","rapidlift.ca")</f>
        <v>rapidlift.ca</v>
      </c>
      <c r="C33356" t="s">
        <v>428</v>
      </c>
      <c r="D33356" t="s">
        <v>809</v>
      </c>
      <c r="F33356">
        <v>4.8857202310857998E-9</v>
      </c>
      <c r="G33356">
        <v>32899555</v>
      </c>
      <c r="H33356">
        <v>10019716</v>
      </c>
      <c r="I33356">
        <v>60684510</v>
      </c>
      <c r="J33356">
        <v>3</v>
      </c>
    </row>
    <row r="33357" spans="1:10" x14ac:dyDescent="0.25">
      <c r="A33357" t="s">
        <v>374</v>
      </c>
      <c r="B33357" s="1" t="str">
        <f>HYPERLINK("http://tesla.cn","tesla.cn")</f>
        <v>tesla.cn</v>
      </c>
      <c r="C33357" t="s">
        <v>431</v>
      </c>
      <c r="D33357" t="s">
        <v>812</v>
      </c>
      <c r="E33357">
        <v>12137</v>
      </c>
      <c r="F33357">
        <v>3.0817334025233602E-7</v>
      </c>
      <c r="G33357">
        <v>120658</v>
      </c>
      <c r="H33357">
        <v>14829819</v>
      </c>
      <c r="I33357">
        <v>506498</v>
      </c>
      <c r="J33357">
        <v>2</v>
      </c>
    </row>
    <row r="33358" spans="1:10" x14ac:dyDescent="0.25">
      <c r="A33358" t="s">
        <v>374</v>
      </c>
      <c r="B33358" s="1" t="str">
        <f>HYPERLINK("http://glocknerhof.com","glocknerhof.com")</f>
        <v>glocknerhof.com</v>
      </c>
      <c r="C33358" t="s">
        <v>433</v>
      </c>
      <c r="F33358">
        <v>5.1091501813427398E-9</v>
      </c>
      <c r="G33358">
        <v>26869393</v>
      </c>
      <c r="H33358">
        <v>10517138</v>
      </c>
      <c r="I33358">
        <v>49164684</v>
      </c>
      <c r="J33358">
        <v>5</v>
      </c>
    </row>
    <row r="33359" spans="1:10" x14ac:dyDescent="0.25">
      <c r="A33359" t="s">
        <v>374</v>
      </c>
      <c r="B33359" s="1" t="str">
        <f>HYPERLINK("http://hamiltonsolarusa.com","hamiltonsolarusa.com")</f>
        <v>hamiltonsolarusa.com</v>
      </c>
      <c r="C33359" t="s">
        <v>433</v>
      </c>
      <c r="J33359">
        <v>3</v>
      </c>
    </row>
    <row r="33360" spans="1:10" x14ac:dyDescent="0.25">
      <c r="A33360" t="s">
        <v>374</v>
      </c>
      <c r="B33360" s="1" t="str">
        <f>HYPERLINK("http://hibar.com","hibar.com")</f>
        <v>hibar.com</v>
      </c>
      <c r="C33360" t="s">
        <v>433</v>
      </c>
      <c r="F33360">
        <v>6.9942741814888404E-9</v>
      </c>
      <c r="G33360">
        <v>12328632</v>
      </c>
      <c r="H33360">
        <v>13094529</v>
      </c>
      <c r="I33360">
        <v>12126940</v>
      </c>
      <c r="J33360">
        <v>3</v>
      </c>
    </row>
    <row r="33361" spans="1:10" x14ac:dyDescent="0.25">
      <c r="A33361" t="s">
        <v>374</v>
      </c>
      <c r="B33361" s="1" t="str">
        <f>HYPERLINK("http://hotel-de-la-paix.com","hotel-de-la-paix.com")</f>
        <v>hotel-de-la-paix.com</v>
      </c>
      <c r="C33361" t="s">
        <v>433</v>
      </c>
      <c r="J33361">
        <v>4</v>
      </c>
    </row>
    <row r="33362" spans="1:10" x14ac:dyDescent="0.25">
      <c r="A33362" t="s">
        <v>374</v>
      </c>
      <c r="B33362" s="1" t="str">
        <f>HYPERLINK("http://ilioss.com","ilioss.com")</f>
        <v>ilioss.com</v>
      </c>
      <c r="C33362" t="s">
        <v>433</v>
      </c>
      <c r="F33362">
        <v>6.3168503307214299E-9</v>
      </c>
      <c r="G33362">
        <v>14951817</v>
      </c>
      <c r="H33362">
        <v>12865397</v>
      </c>
      <c r="I33362">
        <v>14158601</v>
      </c>
      <c r="J33362">
        <v>3</v>
      </c>
    </row>
    <row r="33363" spans="1:10" x14ac:dyDescent="0.25">
      <c r="A33363" t="s">
        <v>374</v>
      </c>
      <c r="B33363" s="1" t="str">
        <f>HYPERLINK("http://imtechdirect.com","imtechdirect.com")</f>
        <v>imtechdirect.com</v>
      </c>
      <c r="C33363" t="s">
        <v>433</v>
      </c>
      <c r="E33363">
        <v>974932</v>
      </c>
      <c r="F33363">
        <v>4.44380996400719E-9</v>
      </c>
      <c r="G33363">
        <v>79621134</v>
      </c>
      <c r="H33363">
        <v>10351910</v>
      </c>
      <c r="I33363">
        <v>56124874</v>
      </c>
      <c r="J33363">
        <v>3</v>
      </c>
    </row>
    <row r="33364" spans="1:10" x14ac:dyDescent="0.25">
      <c r="A33364" t="s">
        <v>374</v>
      </c>
      <c r="B33364" s="1" t="str">
        <f>HYPERLINK("http://perbix.com","perbix.com")</f>
        <v>perbix.com</v>
      </c>
      <c r="C33364" t="s">
        <v>433</v>
      </c>
      <c r="F33364">
        <v>5.4783203742788998E-9</v>
      </c>
      <c r="G33364">
        <v>21146802</v>
      </c>
      <c r="H33364">
        <v>13238377</v>
      </c>
      <c r="I33364">
        <v>11229319</v>
      </c>
      <c r="J33364">
        <v>3</v>
      </c>
    </row>
    <row r="33365" spans="1:10" x14ac:dyDescent="0.25">
      <c r="A33365" t="s">
        <v>374</v>
      </c>
      <c r="B33365" s="1" t="str">
        <f>HYPERLINK("http://solarcity.com","solarcity.com")</f>
        <v>solarcity.com</v>
      </c>
      <c r="C33365" t="s">
        <v>433</v>
      </c>
      <c r="E33365">
        <v>5611</v>
      </c>
      <c r="F33365">
        <v>5.4540988242214E-7</v>
      </c>
      <c r="G33365">
        <v>70866</v>
      </c>
      <c r="H33365">
        <v>17284642</v>
      </c>
      <c r="I33365">
        <v>29648</v>
      </c>
      <c r="J33365">
        <v>3</v>
      </c>
    </row>
    <row r="33366" spans="1:10" x14ac:dyDescent="0.25">
      <c r="A33366" t="s">
        <v>374</v>
      </c>
      <c r="B33366" s="1" t="str">
        <f>HYPERLINK("http://suzukiofkw.com","suzukiofkw.com")</f>
        <v>suzukiofkw.com</v>
      </c>
      <c r="C33366" t="s">
        <v>433</v>
      </c>
      <c r="J33366">
        <v>4</v>
      </c>
    </row>
    <row r="33367" spans="1:10" x14ac:dyDescent="0.25">
      <c r="A33367" t="s">
        <v>374</v>
      </c>
      <c r="B33367" s="1" t="str">
        <f>HYPERLINK("http://tesla.com","tesla.com")</f>
        <v>tesla.com</v>
      </c>
      <c r="C33367" t="s">
        <v>433</v>
      </c>
      <c r="E33367">
        <v>1253</v>
      </c>
      <c r="F33367">
        <v>1.02574056802563E-5</v>
      </c>
      <c r="G33367">
        <v>3291</v>
      </c>
      <c r="H33367">
        <v>18418828</v>
      </c>
      <c r="I33367">
        <v>1907</v>
      </c>
      <c r="J33367">
        <v>1</v>
      </c>
    </row>
    <row r="33368" spans="1:10" x14ac:dyDescent="0.25">
      <c r="A33368" t="s">
        <v>374</v>
      </c>
      <c r="B33368" s="1" t="str">
        <f>HYPERLINK("http://teslaforecast.com","teslaforecast.com")</f>
        <v>teslaforecast.com</v>
      </c>
      <c r="C33368" t="s">
        <v>433</v>
      </c>
      <c r="F33368">
        <v>1.10263724667582E-8</v>
      </c>
      <c r="G33368">
        <v>5839843</v>
      </c>
      <c r="H33368">
        <v>12575023</v>
      </c>
      <c r="I33368">
        <v>16565993</v>
      </c>
      <c r="J33368">
        <v>2</v>
      </c>
    </row>
    <row r="33369" spans="1:10" x14ac:dyDescent="0.25">
      <c r="A33369" t="s">
        <v>374</v>
      </c>
      <c r="B33369" s="1" t="str">
        <f>HYPERLINK("http://teslamotors.com","teslamotors.com")</f>
        <v>teslamotors.com</v>
      </c>
      <c r="C33369" t="s">
        <v>433</v>
      </c>
      <c r="E33369">
        <v>4282</v>
      </c>
      <c r="F33369">
        <v>2.4263918287472899E-6</v>
      </c>
      <c r="G33369">
        <v>15329</v>
      </c>
      <c r="H33369">
        <v>17647884</v>
      </c>
      <c r="I33369">
        <v>8427</v>
      </c>
      <c r="J33369">
        <v>2</v>
      </c>
    </row>
    <row r="33370" spans="1:10" x14ac:dyDescent="0.25">
      <c r="A33370" t="s">
        <v>374</v>
      </c>
      <c r="B33370" s="1" t="str">
        <f>HYPERLINK("http://tesla.cz","tesla.cz")</f>
        <v>tesla.cz</v>
      </c>
      <c r="C33370" t="s">
        <v>435</v>
      </c>
      <c r="D33370" t="s">
        <v>814</v>
      </c>
      <c r="F33370">
        <v>3.0234345940747798E-8</v>
      </c>
      <c r="G33370">
        <v>1702229</v>
      </c>
      <c r="H33370">
        <v>14283273</v>
      </c>
      <c r="I33370">
        <v>1375237</v>
      </c>
      <c r="J33370">
        <v>4</v>
      </c>
    </row>
    <row r="33371" spans="1:10" x14ac:dyDescent="0.25">
      <c r="A33371" t="s">
        <v>374</v>
      </c>
      <c r="B33371" s="1" t="str">
        <f>HYPERLINK("http://grohmann-engineering.de","grohmann-engineering.de")</f>
        <v>grohmann-engineering.de</v>
      </c>
      <c r="C33371" t="s">
        <v>436</v>
      </c>
      <c r="D33371" t="s">
        <v>815</v>
      </c>
      <c r="F33371">
        <v>5.1966939543817496E-9</v>
      </c>
      <c r="G33371">
        <v>25221542</v>
      </c>
      <c r="H33371">
        <v>12284889</v>
      </c>
      <c r="I33371">
        <v>21213323</v>
      </c>
      <c r="J33371">
        <v>7</v>
      </c>
    </row>
    <row r="33372" spans="1:10" x14ac:dyDescent="0.25">
      <c r="A33372" t="s">
        <v>374</v>
      </c>
      <c r="B33372" s="1" t="str">
        <f>HYPERLINK("http://jjmotors.de","jjmotors.de")</f>
        <v>jjmotors.de</v>
      </c>
      <c r="C33372" t="s">
        <v>436</v>
      </c>
      <c r="D33372" t="s">
        <v>815</v>
      </c>
      <c r="F33372">
        <v>5.0510814329833897E-9</v>
      </c>
      <c r="G33372">
        <v>28196114</v>
      </c>
      <c r="H33372">
        <v>12603053</v>
      </c>
      <c r="I33372">
        <v>16296226</v>
      </c>
      <c r="J33372">
        <v>4</v>
      </c>
    </row>
    <row r="33373" spans="1:10" x14ac:dyDescent="0.25">
      <c r="A33373" t="s">
        <v>374</v>
      </c>
      <c r="B33373" s="1" t="str">
        <f>HYPERLINK("http://lautlos-performance.de","lautlos-performance.de")</f>
        <v>lautlos-performance.de</v>
      </c>
      <c r="C33373" t="s">
        <v>436</v>
      </c>
      <c r="D33373" t="s">
        <v>815</v>
      </c>
      <c r="F33373">
        <v>5.3850898558869398E-9</v>
      </c>
      <c r="G33373">
        <v>22354928</v>
      </c>
      <c r="H33373">
        <v>12606251</v>
      </c>
      <c r="I33373">
        <v>16265783</v>
      </c>
      <c r="J33373">
        <v>4</v>
      </c>
    </row>
    <row r="33374" spans="1:10" x14ac:dyDescent="0.25">
      <c r="A33374" t="s">
        <v>374</v>
      </c>
      <c r="B33374" s="1" t="str">
        <f>HYPERLINK("http://teslagrohmannautomation.de","teslagrohmannautomation.de")</f>
        <v>teslagrohmannautomation.de</v>
      </c>
      <c r="C33374" t="s">
        <v>436</v>
      </c>
      <c r="D33374" t="s">
        <v>815</v>
      </c>
      <c r="F33374">
        <v>1.3375405639004E-8</v>
      </c>
      <c r="G33374">
        <v>4458878</v>
      </c>
      <c r="H33374">
        <v>13456624</v>
      </c>
      <c r="I33374">
        <v>10184406</v>
      </c>
      <c r="J33374">
        <v>4</v>
      </c>
    </row>
    <row r="33375" spans="1:10" x14ac:dyDescent="0.25">
      <c r="A33375" t="s">
        <v>374</v>
      </c>
      <c r="B33375" s="1" t="str">
        <f>HYPERLINK("http://tess-drive.de","tess-drive.de")</f>
        <v>tess-drive.de</v>
      </c>
      <c r="C33375" t="s">
        <v>436</v>
      </c>
      <c r="D33375" t="s">
        <v>815</v>
      </c>
      <c r="F33375">
        <v>4.44380395335525E-9</v>
      </c>
      <c r="G33375">
        <v>84569919</v>
      </c>
      <c r="H33375">
        <v>0</v>
      </c>
      <c r="I33375">
        <v>85647211</v>
      </c>
      <c r="J33375">
        <v>4</v>
      </c>
    </row>
    <row r="33376" spans="1:10" x14ac:dyDescent="0.25">
      <c r="A33376" t="s">
        <v>374</v>
      </c>
      <c r="B33376" s="1" t="str">
        <f>HYPERLINK("http://insuremytesla.fi","insuremytesla.fi")</f>
        <v>insuremytesla.fi</v>
      </c>
      <c r="C33376" t="s">
        <v>445</v>
      </c>
      <c r="D33376" t="s">
        <v>823</v>
      </c>
      <c r="F33376">
        <v>4.44383663458046E-9</v>
      </c>
      <c r="G33376">
        <v>78888959</v>
      </c>
      <c r="H33376">
        <v>10405199</v>
      </c>
      <c r="I33376">
        <v>54161456</v>
      </c>
      <c r="J33376">
        <v>2</v>
      </c>
    </row>
    <row r="33377" spans="1:10" x14ac:dyDescent="0.25">
      <c r="A33377" t="s">
        <v>374</v>
      </c>
      <c r="B33377" s="1" t="str">
        <f>HYPERLINK("http://glocknerhof.it","glocknerhof.it")</f>
        <v>glocknerhof.it</v>
      </c>
      <c r="C33377" t="s">
        <v>459</v>
      </c>
      <c r="D33377" t="s">
        <v>835</v>
      </c>
      <c r="F33377">
        <v>4.8147448126841101E-9</v>
      </c>
      <c r="G33377">
        <v>35480800</v>
      </c>
      <c r="H33377">
        <v>12015630</v>
      </c>
      <c r="I33377">
        <v>27953966</v>
      </c>
      <c r="J33377">
        <v>5</v>
      </c>
    </row>
    <row r="33378" spans="1:10" x14ac:dyDescent="0.25">
      <c r="A33378" t="s">
        <v>374</v>
      </c>
      <c r="B33378" s="1" t="str">
        <f>HYPERLINK("http://bonecutter.net","bonecutter.net")</f>
        <v>bonecutter.net</v>
      </c>
      <c r="C33378" t="s">
        <v>474</v>
      </c>
      <c r="J33378">
        <v>5</v>
      </c>
    </row>
    <row r="33379" spans="1:10" x14ac:dyDescent="0.25">
      <c r="A33379" t="s">
        <v>374</v>
      </c>
      <c r="B33379" s="1" t="str">
        <f>HYPERLINK("http://teslaforecast.us","teslaforecast.us")</f>
        <v>teslaforecast.us</v>
      </c>
      <c r="C33379" t="s">
        <v>522</v>
      </c>
      <c r="D33379" t="s">
        <v>891</v>
      </c>
      <c r="F33379">
        <v>4.6026584719441299E-9</v>
      </c>
      <c r="G33379">
        <v>47402257</v>
      </c>
      <c r="H33379">
        <v>9650712</v>
      </c>
      <c r="I33379">
        <v>63892261</v>
      </c>
      <c r="J33379">
        <v>3</v>
      </c>
    </row>
    <row r="33380" spans="1:10" x14ac:dyDescent="0.25">
      <c r="A33380" t="s">
        <v>375</v>
      </c>
      <c r="B33380" s="1" t="str">
        <f>HYPERLINK("http://ti.com.cn","ti.com.cn")</f>
        <v>ti.com.cn</v>
      </c>
      <c r="C33380" t="s">
        <v>431</v>
      </c>
      <c r="D33380" t="s">
        <v>812</v>
      </c>
      <c r="E33380">
        <v>64034</v>
      </c>
      <c r="F33380">
        <v>4.3110393503342003E-7</v>
      </c>
      <c r="G33380">
        <v>87391</v>
      </c>
      <c r="H33380">
        <v>17247012</v>
      </c>
      <c r="I33380">
        <v>34365</v>
      </c>
      <c r="J33380">
        <v>2</v>
      </c>
    </row>
    <row r="33381" spans="1:10" x14ac:dyDescent="0.25">
      <c r="A33381" t="s">
        <v>375</v>
      </c>
      <c r="B33381" s="1" t="str">
        <f>HYPERLINK("http://ic-designs.com","ic-designs.com")</f>
        <v>ic-designs.com</v>
      </c>
      <c r="C33381" t="s">
        <v>433</v>
      </c>
      <c r="F33381">
        <v>4.6510713825066001E-9</v>
      </c>
      <c r="G33381">
        <v>44083385</v>
      </c>
      <c r="H33381">
        <v>12200176</v>
      </c>
      <c r="I33381">
        <v>23313763</v>
      </c>
      <c r="J33381">
        <v>3</v>
      </c>
    </row>
    <row r="33382" spans="1:10" x14ac:dyDescent="0.25">
      <c r="A33382" t="s">
        <v>375</v>
      </c>
      <c r="B33382" s="1" t="str">
        <f>HYPERLINK("http://ti.com","ti.com")</f>
        <v>ti.com</v>
      </c>
      <c r="C33382" t="s">
        <v>433</v>
      </c>
      <c r="E33382">
        <v>2585</v>
      </c>
      <c r="F33382">
        <v>8.8006533716218092E-6</v>
      </c>
      <c r="G33382">
        <v>3830</v>
      </c>
      <c r="H33382">
        <v>17882882</v>
      </c>
      <c r="I33382">
        <v>4631</v>
      </c>
      <c r="J33382">
        <v>1</v>
      </c>
    </row>
    <row r="33383" spans="1:10" x14ac:dyDescent="0.25">
      <c r="A33383" t="s">
        <v>375</v>
      </c>
      <c r="B33383" s="1" t="str">
        <f>HYPERLINK("http://bsg-texins-ev.de","bsg-texins-ev.de")</f>
        <v>bsg-texins-ev.de</v>
      </c>
      <c r="C33383" t="s">
        <v>436</v>
      </c>
      <c r="D33383" t="s">
        <v>815</v>
      </c>
      <c r="F33383">
        <v>4.44380395335525E-9</v>
      </c>
      <c r="G33383">
        <v>84276227</v>
      </c>
      <c r="H33383">
        <v>0</v>
      </c>
      <c r="I33383">
        <v>85297413</v>
      </c>
      <c r="J33383">
        <v>3</v>
      </c>
    </row>
    <row r="33384" spans="1:10" x14ac:dyDescent="0.25">
      <c r="A33384" t="s">
        <v>375</v>
      </c>
      <c r="B33384" s="1" t="str">
        <f>HYPERLINK("http://ti-campus.de","ti-campus.de")</f>
        <v>ti-campus.de</v>
      </c>
      <c r="C33384" t="s">
        <v>436</v>
      </c>
      <c r="D33384" t="s">
        <v>815</v>
      </c>
      <c r="J33384">
        <v>3</v>
      </c>
    </row>
    <row r="33385" spans="1:10" x14ac:dyDescent="0.25">
      <c r="A33385" t="s">
        <v>375</v>
      </c>
      <c r="B33385" s="1" t="str">
        <f>HYPERLINK("http://t3suomi.fi","t3suomi.fi")</f>
        <v>t3suomi.fi</v>
      </c>
      <c r="C33385" t="s">
        <v>445</v>
      </c>
      <c r="D33385" t="s">
        <v>823</v>
      </c>
      <c r="J33385">
        <v>2</v>
      </c>
    </row>
    <row r="33386" spans="1:10" x14ac:dyDescent="0.25">
      <c r="A33386" t="s">
        <v>375</v>
      </c>
      <c r="B33386" s="1" t="str">
        <f>HYPERLINK("http://tinspire.fi","tinspire.fi")</f>
        <v>tinspire.fi</v>
      </c>
      <c r="C33386" t="s">
        <v>445</v>
      </c>
      <c r="D33386" t="s">
        <v>823</v>
      </c>
      <c r="J33386">
        <v>4</v>
      </c>
    </row>
    <row r="33387" spans="1:10" x14ac:dyDescent="0.25">
      <c r="A33387" t="s">
        <v>375</v>
      </c>
      <c r="B33387" s="1" t="str">
        <f>HYPERLINK("http://tij.co.jp","tij.co.jp")</f>
        <v>tij.co.jp</v>
      </c>
      <c r="C33387" t="s">
        <v>461</v>
      </c>
      <c r="D33387" t="s">
        <v>837</v>
      </c>
      <c r="E33387">
        <v>578623</v>
      </c>
      <c r="F33387">
        <v>2.3085759662651899E-7</v>
      </c>
      <c r="G33387">
        <v>162749</v>
      </c>
      <c r="H33387">
        <v>14830291</v>
      </c>
      <c r="I33387">
        <v>506087</v>
      </c>
      <c r="J33387">
        <v>3</v>
      </c>
    </row>
    <row r="33388" spans="1:10" x14ac:dyDescent="0.25">
      <c r="A33388" t="s">
        <v>375</v>
      </c>
      <c r="B33388" s="1" t="str">
        <f>HYPERLINK("http://ti.com.tw","ti.com.tw")</f>
        <v>ti.com.tw</v>
      </c>
      <c r="C33388" t="s">
        <v>504</v>
      </c>
      <c r="D33388" t="s">
        <v>878</v>
      </c>
      <c r="F33388">
        <v>7.8396984673691204E-9</v>
      </c>
      <c r="G33388">
        <v>10235674</v>
      </c>
      <c r="H33388">
        <v>13989326</v>
      </c>
      <c r="I33388">
        <v>4034022</v>
      </c>
      <c r="J33388">
        <v>2</v>
      </c>
    </row>
    <row r="33389" spans="1:10" x14ac:dyDescent="0.25">
      <c r="A33389" t="s">
        <v>376</v>
      </c>
      <c r="B33389" s="1" t="str">
        <f>HYPERLINK("http://invitrogen.com.ar","invitrogen.com.ar")</f>
        <v>invitrogen.com.ar</v>
      </c>
      <c r="C33389" t="s">
        <v>418</v>
      </c>
      <c r="D33389" t="s">
        <v>800</v>
      </c>
      <c r="F33389">
        <v>4.7239451747061202E-9</v>
      </c>
      <c r="G33389">
        <v>39748937</v>
      </c>
      <c r="H33389">
        <v>13933060</v>
      </c>
      <c r="I33389">
        <v>5568287</v>
      </c>
      <c r="J33389">
        <v>3</v>
      </c>
    </row>
    <row r="33390" spans="1:10" x14ac:dyDescent="0.25">
      <c r="A33390" t="s">
        <v>376</v>
      </c>
      <c r="B33390" s="1" t="str">
        <f>HYPERLINK("http://ppdargentina.com.ar","ppdargentina.com.ar")</f>
        <v>ppdargentina.com.ar</v>
      </c>
      <c r="C33390" t="s">
        <v>418</v>
      </c>
      <c r="D33390" t="s">
        <v>800</v>
      </c>
      <c r="J33390">
        <v>3</v>
      </c>
    </row>
    <row r="33391" spans="1:10" x14ac:dyDescent="0.25">
      <c r="A33391" t="s">
        <v>376</v>
      </c>
      <c r="B33391" s="1" t="str">
        <f>HYPERLINK("http://fishersci.at","fishersci.at")</f>
        <v>fishersci.at</v>
      </c>
      <c r="C33391" t="s">
        <v>419</v>
      </c>
      <c r="D33391" t="s">
        <v>801</v>
      </c>
      <c r="F33391">
        <v>1.5066375671294999E-8</v>
      </c>
      <c r="G33391">
        <v>3818356</v>
      </c>
      <c r="H33391">
        <v>12259982</v>
      </c>
      <c r="I33391">
        <v>21772636</v>
      </c>
      <c r="J33391">
        <v>3</v>
      </c>
    </row>
    <row r="33392" spans="1:10" x14ac:dyDescent="0.25">
      <c r="A33392" t="s">
        <v>376</v>
      </c>
      <c r="B33392" s="1" t="str">
        <f>HYPERLINK("http://lomb.com.au","lomb.com.au")</f>
        <v>lomb.com.au</v>
      </c>
      <c r="C33392" t="s">
        <v>420</v>
      </c>
      <c r="D33392" t="s">
        <v>802</v>
      </c>
      <c r="F33392">
        <v>4.7289249537561004E-9</v>
      </c>
      <c r="G33392">
        <v>39398383</v>
      </c>
      <c r="H33392">
        <v>11371372</v>
      </c>
      <c r="I33392">
        <v>30323371</v>
      </c>
      <c r="J33392">
        <v>4</v>
      </c>
    </row>
    <row r="33393" spans="1:10" x14ac:dyDescent="0.25">
      <c r="A33393" t="s">
        <v>376</v>
      </c>
      <c r="B33393" s="1" t="str">
        <f>HYPERLINK("http://thermofisher.com.au","thermofisher.com.au")</f>
        <v>thermofisher.com.au</v>
      </c>
      <c r="C33393" t="s">
        <v>420</v>
      </c>
      <c r="D33393" t="s">
        <v>802</v>
      </c>
      <c r="F33393">
        <v>4.7084750467820202E-8</v>
      </c>
      <c r="G33393">
        <v>990936</v>
      </c>
      <c r="H33393">
        <v>14189452</v>
      </c>
      <c r="I33393">
        <v>1762510</v>
      </c>
      <c r="J33393">
        <v>2</v>
      </c>
    </row>
    <row r="33394" spans="1:10" x14ac:dyDescent="0.25">
      <c r="A33394" t="s">
        <v>376</v>
      </c>
      <c r="B33394" s="1" t="str">
        <f>HYPERLINK("http://fishersci.be","fishersci.be")</f>
        <v>fishersci.be</v>
      </c>
      <c r="C33394" t="s">
        <v>421</v>
      </c>
      <c r="D33394" t="s">
        <v>803</v>
      </c>
      <c r="F33394">
        <v>1.6942948116338799E-8</v>
      </c>
      <c r="G33394">
        <v>3296980</v>
      </c>
      <c r="H33394">
        <v>13567738</v>
      </c>
      <c r="I33394">
        <v>9741557</v>
      </c>
      <c r="J33394">
        <v>3</v>
      </c>
    </row>
    <row r="33395" spans="1:10" x14ac:dyDescent="0.25">
      <c r="A33395" t="s">
        <v>376</v>
      </c>
      <c r="B33395" s="1" t="str">
        <f>HYPERLINK("http://fishersci.ca","fishersci.ca")</f>
        <v>fishersci.ca</v>
      </c>
      <c r="C33395" t="s">
        <v>428</v>
      </c>
      <c r="D33395" t="s">
        <v>809</v>
      </c>
      <c r="E33395">
        <v>288822</v>
      </c>
      <c r="F33395">
        <v>7.3460710147457906E-8</v>
      </c>
      <c r="G33395">
        <v>573712</v>
      </c>
      <c r="H33395">
        <v>14475184</v>
      </c>
      <c r="I33395">
        <v>1033410</v>
      </c>
      <c r="J33395">
        <v>3</v>
      </c>
    </row>
    <row r="33396" spans="1:10" x14ac:dyDescent="0.25">
      <c r="A33396" t="s">
        <v>376</v>
      </c>
      <c r="B33396" s="1" t="str">
        <f>HYPERLINK("http://fishersci.ch","fishersci.ch")</f>
        <v>fishersci.ch</v>
      </c>
      <c r="C33396" t="s">
        <v>429</v>
      </c>
      <c r="D33396" t="s">
        <v>810</v>
      </c>
      <c r="F33396">
        <v>1.7384828307460699E-8</v>
      </c>
      <c r="G33396">
        <v>3178700</v>
      </c>
      <c r="H33396">
        <v>12717821</v>
      </c>
      <c r="I33396">
        <v>15262121</v>
      </c>
      <c r="J33396">
        <v>3</v>
      </c>
    </row>
    <row r="33397" spans="1:10" x14ac:dyDescent="0.25">
      <c r="A33397" t="s">
        <v>376</v>
      </c>
      <c r="B33397" s="1" t="str">
        <f>HYPERLINK("http://patheon.cn","patheon.cn")</f>
        <v>patheon.cn</v>
      </c>
      <c r="C33397" t="s">
        <v>431</v>
      </c>
      <c r="D33397" t="s">
        <v>812</v>
      </c>
      <c r="F33397">
        <v>6.3810957336646703E-9</v>
      </c>
      <c r="G33397">
        <v>14611356</v>
      </c>
      <c r="H33397">
        <v>10842090</v>
      </c>
      <c r="I33397">
        <v>37060582</v>
      </c>
      <c r="J33397">
        <v>4</v>
      </c>
    </row>
    <row r="33398" spans="1:10" x14ac:dyDescent="0.25">
      <c r="A33398" t="s">
        <v>376</v>
      </c>
      <c r="B33398" s="1" t="str">
        <f>HYPERLINK("http://thermofisher.cn","thermofisher.cn")</f>
        <v>thermofisher.cn</v>
      </c>
      <c r="C33398" t="s">
        <v>431</v>
      </c>
      <c r="D33398" t="s">
        <v>812</v>
      </c>
      <c r="E33398">
        <v>65193</v>
      </c>
      <c r="F33398">
        <v>2.5916899879825102E-7</v>
      </c>
      <c r="G33398">
        <v>144325</v>
      </c>
      <c r="H33398">
        <v>13499316</v>
      </c>
      <c r="I33398">
        <v>9974200</v>
      </c>
      <c r="J33398">
        <v>2</v>
      </c>
    </row>
    <row r="33399" spans="1:10" x14ac:dyDescent="0.25">
      <c r="A33399" t="s">
        <v>376</v>
      </c>
      <c r="B33399" s="1" t="str">
        <f>HYPERLINK("http://abcro.com","abcro.com")</f>
        <v>abcro.com</v>
      </c>
      <c r="C33399" t="s">
        <v>433</v>
      </c>
      <c r="F33399">
        <v>4.7145556094604698E-9</v>
      </c>
      <c r="G33399">
        <v>40485894</v>
      </c>
      <c r="H33399">
        <v>13763635</v>
      </c>
      <c r="I33399">
        <v>8142353</v>
      </c>
      <c r="J33399">
        <v>6</v>
      </c>
    </row>
    <row r="33400" spans="1:10" x14ac:dyDescent="0.25">
      <c r="A33400" t="s">
        <v>376</v>
      </c>
      <c r="B33400" s="1" t="str">
        <f>HYPERLINK("http://abgene.com","abgene.com")</f>
        <v>abgene.com</v>
      </c>
      <c r="C33400" t="s">
        <v>433</v>
      </c>
      <c r="F33400">
        <v>7.1542747982826604E-9</v>
      </c>
      <c r="G33400">
        <v>11865581</v>
      </c>
      <c r="H33400">
        <v>13093250</v>
      </c>
      <c r="I33400">
        <v>12134583</v>
      </c>
      <c r="J33400">
        <v>3</v>
      </c>
    </row>
    <row r="33401" spans="1:10" x14ac:dyDescent="0.25">
      <c r="A33401" t="s">
        <v>376</v>
      </c>
      <c r="B33401" s="1" t="str">
        <f>HYPERLINK("http://acurian.com","acurian.com")</f>
        <v>acurian.com</v>
      </c>
      <c r="C33401" t="s">
        <v>433</v>
      </c>
      <c r="E33401">
        <v>389954</v>
      </c>
      <c r="F33401">
        <v>2.1604919485484601E-8</v>
      </c>
      <c r="G33401">
        <v>2435995</v>
      </c>
      <c r="H33401">
        <v>13796390</v>
      </c>
      <c r="I33401">
        <v>6303884</v>
      </c>
      <c r="J33401">
        <v>3</v>
      </c>
    </row>
    <row r="33402" spans="1:10" x14ac:dyDescent="0.25">
      <c r="A33402" t="s">
        <v>376</v>
      </c>
      <c r="B33402" s="1" t="str">
        <f>HYPERLINK("http://acurianhealth.com","acurianhealth.com")</f>
        <v>acurianhealth.com</v>
      </c>
      <c r="C33402" t="s">
        <v>433</v>
      </c>
      <c r="E33402">
        <v>813084</v>
      </c>
      <c r="F33402">
        <v>5.2056906738616499E-8</v>
      </c>
      <c r="G33402">
        <v>877105</v>
      </c>
      <c r="H33402">
        <v>12938081</v>
      </c>
      <c r="I33402">
        <v>13314574</v>
      </c>
      <c r="J33402">
        <v>5</v>
      </c>
    </row>
    <row r="33403" spans="1:10" x14ac:dyDescent="0.25">
      <c r="A33403" t="s">
        <v>376</v>
      </c>
      <c r="B33403" s="1" t="str">
        <f>HYPERLINK("http://affymetrix.com","affymetrix.com")</f>
        <v>affymetrix.com</v>
      </c>
      <c r="C33403" t="s">
        <v>433</v>
      </c>
      <c r="E33403">
        <v>61260</v>
      </c>
      <c r="F33403">
        <v>3.25699811669511E-7</v>
      </c>
      <c r="G33403">
        <v>114358</v>
      </c>
      <c r="H33403">
        <v>14786449</v>
      </c>
      <c r="I33403">
        <v>552342</v>
      </c>
      <c r="J33403">
        <v>3</v>
      </c>
    </row>
    <row r="33404" spans="1:10" x14ac:dyDescent="0.25">
      <c r="A33404" t="s">
        <v>376</v>
      </c>
      <c r="B33404" s="1" t="str">
        <f>HYPERLINK("http://allergon.com","allergon.com")</f>
        <v>allergon.com</v>
      </c>
      <c r="C33404" t="s">
        <v>433</v>
      </c>
      <c r="F33404">
        <v>8.7340281821729506E-9</v>
      </c>
      <c r="G33404">
        <v>8419803</v>
      </c>
      <c r="H33404">
        <v>12580135</v>
      </c>
      <c r="I33404">
        <v>16506008</v>
      </c>
      <c r="J33404">
        <v>3</v>
      </c>
    </row>
    <row r="33405" spans="1:10" x14ac:dyDescent="0.25">
      <c r="A33405" t="s">
        <v>376</v>
      </c>
      <c r="B33405" s="1" t="str">
        <f>HYPERLINK("http://autogen.com","autogen.com")</f>
        <v>autogen.com</v>
      </c>
      <c r="C33405" t="s">
        <v>433</v>
      </c>
      <c r="F33405">
        <v>9.14170052151854E-9</v>
      </c>
      <c r="G33405">
        <v>7789859</v>
      </c>
      <c r="H33405">
        <v>13334241</v>
      </c>
      <c r="I33405">
        <v>10697944</v>
      </c>
      <c r="J33405">
        <v>6</v>
      </c>
    </row>
    <row r="33406" spans="1:10" x14ac:dyDescent="0.25">
      <c r="A33406" t="s">
        <v>376</v>
      </c>
      <c r="B33406" s="1" t="str">
        <f>HYPERLINK("http://bacbv.com","bacbv.com")</f>
        <v>bacbv.com</v>
      </c>
      <c r="C33406" t="s">
        <v>433</v>
      </c>
      <c r="F33406">
        <v>5.0848569625309198E-9</v>
      </c>
      <c r="G33406">
        <v>27403744</v>
      </c>
      <c r="H33406">
        <v>12599246</v>
      </c>
      <c r="I33406">
        <v>16335765</v>
      </c>
      <c r="J33406">
        <v>3</v>
      </c>
    </row>
    <row r="33407" spans="1:10" x14ac:dyDescent="0.25">
      <c r="A33407" t="s">
        <v>376</v>
      </c>
      <c r="B33407" s="1" t="str">
        <f>HYPERLINK("http://bindingsite.com","bindingsite.com")</f>
        <v>bindingsite.com</v>
      </c>
      <c r="C33407" t="s">
        <v>433</v>
      </c>
      <c r="E33407">
        <v>424541</v>
      </c>
      <c r="F33407">
        <v>5.3078846566598701E-8</v>
      </c>
      <c r="G33407">
        <v>857931</v>
      </c>
      <c r="H33407">
        <v>13794328</v>
      </c>
      <c r="I33407">
        <v>6316418</v>
      </c>
      <c r="J33407">
        <v>3</v>
      </c>
    </row>
    <row r="33408" spans="1:10" x14ac:dyDescent="0.25">
      <c r="A33408" t="s">
        <v>376</v>
      </c>
      <c r="B33408" s="1" t="str">
        <f>HYPERLINK("http://bindingsitelatam.com","bindingsitelatam.com")</f>
        <v>bindingsitelatam.com</v>
      </c>
      <c r="C33408" t="s">
        <v>433</v>
      </c>
      <c r="F33408">
        <v>4.69841344665492E-9</v>
      </c>
      <c r="G33408">
        <v>41325871</v>
      </c>
      <c r="H33408">
        <v>1.0003663</v>
      </c>
      <c r="I33408">
        <v>78483517</v>
      </c>
      <c r="J33408">
        <v>5</v>
      </c>
    </row>
    <row r="33409" spans="1:10" x14ac:dyDescent="0.25">
      <c r="A33409" t="s">
        <v>376</v>
      </c>
      <c r="B33409" s="1" t="str">
        <f>HYPERLINK("http://biotix.com","biotix.com")</f>
        <v>biotix.com</v>
      </c>
      <c r="C33409" t="s">
        <v>433</v>
      </c>
      <c r="F33409">
        <v>1.4023986138812799E-8</v>
      </c>
      <c r="G33409">
        <v>4193651</v>
      </c>
      <c r="H33409">
        <v>12702370</v>
      </c>
      <c r="I33409">
        <v>15342261</v>
      </c>
      <c r="J33409">
        <v>6</v>
      </c>
    </row>
    <row r="33410" spans="1:10" x14ac:dyDescent="0.25">
      <c r="A33410" t="s">
        <v>376</v>
      </c>
      <c r="B33410" s="1" t="str">
        <f>HYPERLINK("http://bitesizebio.com","bitesizebio.com")</f>
        <v>bitesizebio.com</v>
      </c>
      <c r="C33410" t="s">
        <v>433</v>
      </c>
      <c r="E33410">
        <v>131452</v>
      </c>
      <c r="F33410">
        <v>2.4250971718394898E-7</v>
      </c>
      <c r="G33410">
        <v>154259</v>
      </c>
      <c r="H33410">
        <v>15187646</v>
      </c>
      <c r="I33410">
        <v>396633</v>
      </c>
      <c r="J33410">
        <v>3</v>
      </c>
    </row>
    <row r="33411" spans="1:10" x14ac:dyDescent="0.25">
      <c r="A33411" t="s">
        <v>376</v>
      </c>
      <c r="B33411" s="1" t="str">
        <f>HYPERLINK("http://brammerbio.com","brammerbio.com")</f>
        <v>brammerbio.com</v>
      </c>
      <c r="C33411" t="s">
        <v>433</v>
      </c>
      <c r="F33411">
        <v>2.48045866745576E-8</v>
      </c>
      <c r="G33411">
        <v>2084948</v>
      </c>
      <c r="H33411">
        <v>13357286</v>
      </c>
      <c r="I33411">
        <v>10594836</v>
      </c>
      <c r="J33411">
        <v>3</v>
      </c>
    </row>
    <row r="33412" spans="1:10" x14ac:dyDescent="0.25">
      <c r="A33412" t="s">
        <v>376</v>
      </c>
      <c r="B33412" s="1" t="str">
        <f>HYPERLINK("http://careerpathwritingsolutions.com","careerpathwritingsolutions.com")</f>
        <v>careerpathwritingsolutions.com</v>
      </c>
      <c r="C33412" t="s">
        <v>433</v>
      </c>
      <c r="F33412">
        <v>9.8587387852325598E-9</v>
      </c>
      <c r="G33412">
        <v>6904509</v>
      </c>
      <c r="H33412">
        <v>13195757</v>
      </c>
      <c r="I33412">
        <v>11577514</v>
      </c>
      <c r="J33412">
        <v>5</v>
      </c>
    </row>
    <row r="33413" spans="1:10" x14ac:dyDescent="0.25">
      <c r="A33413" t="s">
        <v>376</v>
      </c>
      <c r="B33413" s="1" t="str">
        <f>HYPERLINK("http://chasescientific.com","chasescientific.com")</f>
        <v>chasescientific.com</v>
      </c>
      <c r="C33413" t="s">
        <v>433</v>
      </c>
      <c r="F33413">
        <v>4.6633472152870603E-9</v>
      </c>
      <c r="G33413">
        <v>43323434</v>
      </c>
      <c r="H33413">
        <v>8884987</v>
      </c>
      <c r="I33413">
        <v>69074140</v>
      </c>
      <c r="J33413">
        <v>3</v>
      </c>
    </row>
    <row r="33414" spans="1:10" x14ac:dyDescent="0.25">
      <c r="A33414" t="s">
        <v>376</v>
      </c>
      <c r="B33414" s="1" t="str">
        <f>HYPERLINK("http://clintrak.com","clintrak.com")</f>
        <v>clintrak.com</v>
      </c>
      <c r="C33414" t="s">
        <v>433</v>
      </c>
      <c r="F33414">
        <v>4.8099708961111803E-9</v>
      </c>
      <c r="G33414">
        <v>35700367</v>
      </c>
      <c r="H33414">
        <v>11435558</v>
      </c>
      <c r="I33414">
        <v>30142621</v>
      </c>
      <c r="J33414">
        <v>3</v>
      </c>
    </row>
    <row r="33415" spans="1:10" x14ac:dyDescent="0.25">
      <c r="A33415" t="s">
        <v>376</v>
      </c>
      <c r="B33415" s="1" t="str">
        <f>HYPERLINK("http://coastaluminu.com","coastaluminu.com")</f>
        <v>coastaluminu.com</v>
      </c>
      <c r="C33415" t="s">
        <v>433</v>
      </c>
      <c r="J33415">
        <v>10</v>
      </c>
    </row>
    <row r="33416" spans="1:10" x14ac:dyDescent="0.25">
      <c r="A33416" t="s">
        <v>376</v>
      </c>
      <c r="B33416" s="1" t="str">
        <f>HYPERLINK("http://coastaluminum.com","coastaluminum.com")</f>
        <v>coastaluminum.com</v>
      </c>
      <c r="C33416" t="s">
        <v>433</v>
      </c>
      <c r="F33416">
        <v>1.0640201447111199E-8</v>
      </c>
      <c r="G33416">
        <v>6149684</v>
      </c>
      <c r="H33416">
        <v>13136550</v>
      </c>
      <c r="I33416">
        <v>11901783</v>
      </c>
      <c r="J33416">
        <v>8</v>
      </c>
    </row>
    <row r="33417" spans="1:10" x14ac:dyDescent="0.25">
      <c r="A33417" t="s">
        <v>376</v>
      </c>
      <c r="B33417" s="1" t="str">
        <f>HYPERLINK("http://coastmetal.com","coastmetal.com")</f>
        <v>coastmetal.com</v>
      </c>
      <c r="C33417" t="s">
        <v>433</v>
      </c>
      <c r="F33417">
        <v>4.4796770371938998E-9</v>
      </c>
      <c r="G33417">
        <v>62420394</v>
      </c>
      <c r="H33417">
        <v>12164421</v>
      </c>
      <c r="I33417">
        <v>24238035</v>
      </c>
      <c r="J33417">
        <v>10</v>
      </c>
    </row>
    <row r="33418" spans="1:10" x14ac:dyDescent="0.25">
      <c r="A33418" t="s">
        <v>376</v>
      </c>
      <c r="B33418" s="1" t="str">
        <f>HYPERLINK("http://coastmetalaluminum.com","coastmetalaluminum.com")</f>
        <v>coastmetalaluminum.com</v>
      </c>
      <c r="C33418" t="s">
        <v>433</v>
      </c>
      <c r="J33418">
        <v>10</v>
      </c>
    </row>
    <row r="33419" spans="1:10" x14ac:dyDescent="0.25">
      <c r="A33419" t="s">
        <v>376</v>
      </c>
      <c r="B33419" s="1" t="str">
        <f>HYPERLINK("http://combinati.com","combinati.com")</f>
        <v>combinati.com</v>
      </c>
      <c r="C33419" t="s">
        <v>433</v>
      </c>
      <c r="F33419">
        <v>9.1826390971125004E-9</v>
      </c>
      <c r="G33419">
        <v>7733165</v>
      </c>
      <c r="H33419">
        <v>13181355</v>
      </c>
      <c r="I33419">
        <v>11680574</v>
      </c>
      <c r="J33419">
        <v>3</v>
      </c>
    </row>
    <row r="33420" spans="1:10" x14ac:dyDescent="0.25">
      <c r="A33420" t="s">
        <v>376</v>
      </c>
      <c r="B33420" s="1" t="str">
        <f>HYPERLINK("http://compass-clinic.com","compass-clinic.com")</f>
        <v>compass-clinic.com</v>
      </c>
      <c r="C33420" t="s">
        <v>433</v>
      </c>
      <c r="F33420">
        <v>4.56151650244139E-9</v>
      </c>
      <c r="G33420">
        <v>51025889</v>
      </c>
      <c r="H33420">
        <v>10499225</v>
      </c>
      <c r="I33420">
        <v>50476243</v>
      </c>
      <c r="J33420">
        <v>3</v>
      </c>
    </row>
    <row r="33421" spans="1:10" x14ac:dyDescent="0.25">
      <c r="A33421" t="s">
        <v>376</v>
      </c>
      <c r="B33421" s="1" t="str">
        <f>HYPERLINK("http://compassresearch.com","compassresearch.com")</f>
        <v>compassresearch.com</v>
      </c>
      <c r="C33421" t="s">
        <v>433</v>
      </c>
      <c r="F33421">
        <v>5.4450633248242299E-9</v>
      </c>
      <c r="G33421">
        <v>21557941</v>
      </c>
      <c r="H33421">
        <v>12578651</v>
      </c>
      <c r="I33421">
        <v>16526621</v>
      </c>
      <c r="J33421">
        <v>3</v>
      </c>
    </row>
    <row r="33422" spans="1:10" x14ac:dyDescent="0.25">
      <c r="A33422" t="s">
        <v>376</v>
      </c>
      <c r="B33422" s="1" t="str">
        <f>HYPERLINK("http://corelims.com","corelims.com")</f>
        <v>corelims.com</v>
      </c>
      <c r="C33422" t="s">
        <v>433</v>
      </c>
      <c r="E33422">
        <v>426654</v>
      </c>
      <c r="F33422">
        <v>1.26788782363679E-8</v>
      </c>
      <c r="G33422">
        <v>4790164</v>
      </c>
      <c r="H33422">
        <v>13374183</v>
      </c>
      <c r="I33422">
        <v>10450165</v>
      </c>
      <c r="J33422">
        <v>3</v>
      </c>
    </row>
    <row r="33423" spans="1:10" x14ac:dyDescent="0.25">
      <c r="A33423" t="s">
        <v>376</v>
      </c>
      <c r="B33423" s="1" t="str">
        <f>HYPERLINK("http://dionex.com","dionex.com")</f>
        <v>dionex.com</v>
      </c>
      <c r="C33423" t="s">
        <v>433</v>
      </c>
      <c r="E33423">
        <v>556858</v>
      </c>
      <c r="F33423">
        <v>4.9664571951399801E-8</v>
      </c>
      <c r="G33423">
        <v>929717</v>
      </c>
      <c r="H33423">
        <v>14596147</v>
      </c>
      <c r="I33423">
        <v>689785</v>
      </c>
      <c r="J33423">
        <v>3</v>
      </c>
    </row>
    <row r="33424" spans="1:10" x14ac:dyDescent="0.25">
      <c r="A33424" t="s">
        <v>376</v>
      </c>
      <c r="B33424" s="1" t="str">
        <f>HYPERLINK("http://dsii.com","dsii.com")</f>
        <v>dsii.com</v>
      </c>
      <c r="C33424" t="s">
        <v>433</v>
      </c>
      <c r="F33424">
        <v>4.4449949594804497E-9</v>
      </c>
      <c r="G33424">
        <v>75800625</v>
      </c>
      <c r="H33424">
        <v>10537426</v>
      </c>
      <c r="I33424">
        <v>47435456</v>
      </c>
      <c r="J33424">
        <v>3</v>
      </c>
    </row>
    <row r="33425" spans="1:10" x14ac:dyDescent="0.25">
      <c r="A33425" t="s">
        <v>376</v>
      </c>
      <c r="B33425" s="1" t="str">
        <f>HYPERLINK("http://dukescientific.com","dukescientific.com")</f>
        <v>dukescientific.com</v>
      </c>
      <c r="C33425" t="s">
        <v>433</v>
      </c>
      <c r="F33425">
        <v>6.6673086433912002E-9</v>
      </c>
      <c r="G33425">
        <v>13421531</v>
      </c>
      <c r="H33425">
        <v>13203399</v>
      </c>
      <c r="I33425">
        <v>11539088</v>
      </c>
      <c r="J33425">
        <v>3</v>
      </c>
    </row>
    <row r="33426" spans="1:10" x14ac:dyDescent="0.25">
      <c r="A33426" t="s">
        <v>376</v>
      </c>
      <c r="B33426" s="1" t="str">
        <f>HYPERLINK("http://eriesci.com","eriesci.com")</f>
        <v>eriesci.com</v>
      </c>
      <c r="C33426" t="s">
        <v>433</v>
      </c>
      <c r="F33426">
        <v>5.3986421313646996E-9</v>
      </c>
      <c r="G33426">
        <v>22131598</v>
      </c>
      <c r="H33426">
        <v>12351621</v>
      </c>
      <c r="I33426">
        <v>19741341</v>
      </c>
      <c r="J33426">
        <v>3</v>
      </c>
    </row>
    <row r="33427" spans="1:10" x14ac:dyDescent="0.25">
      <c r="A33427" t="s">
        <v>376</v>
      </c>
      <c r="B33427" s="1" t="str">
        <f>HYPERLINK("http://evidera.com","evidera.com")</f>
        <v>evidera.com</v>
      </c>
      <c r="C33427" t="s">
        <v>433</v>
      </c>
      <c r="F33427">
        <v>5.6975233525539399E-8</v>
      </c>
      <c r="G33427">
        <v>783775</v>
      </c>
      <c r="H33427">
        <v>14502191</v>
      </c>
      <c r="I33427">
        <v>847039</v>
      </c>
      <c r="J33427">
        <v>3</v>
      </c>
    </row>
    <row r="33428" spans="1:10" x14ac:dyDescent="0.25">
      <c r="A33428" t="s">
        <v>376</v>
      </c>
      <c r="B33428" s="1" t="str">
        <f>HYPERLINK("http://ezflash.com","ezflash.com")</f>
        <v>ezflash.com</v>
      </c>
      <c r="C33428" t="s">
        <v>433</v>
      </c>
      <c r="J33428">
        <v>3</v>
      </c>
    </row>
    <row r="33429" spans="1:10" x14ac:dyDescent="0.25">
      <c r="A33429" t="s">
        <v>376</v>
      </c>
      <c r="B33429" s="1" t="str">
        <f>HYPERLINK("http://fei.com","fei.com")</f>
        <v>fei.com</v>
      </c>
      <c r="C33429" t="s">
        <v>433</v>
      </c>
      <c r="E33429">
        <v>197189</v>
      </c>
      <c r="F33429">
        <v>2.5566455872188602E-7</v>
      </c>
      <c r="G33429">
        <v>146321</v>
      </c>
      <c r="H33429">
        <v>14984762</v>
      </c>
      <c r="I33429">
        <v>429640</v>
      </c>
      <c r="J33429">
        <v>3</v>
      </c>
    </row>
    <row r="33430" spans="1:10" x14ac:dyDescent="0.25">
      <c r="A33430" t="s">
        <v>376</v>
      </c>
      <c r="B33430" s="1" t="str">
        <f>HYPERLINK("http://finesse.com","finesse.com")</f>
        <v>finesse.com</v>
      </c>
      <c r="C33430" t="s">
        <v>433</v>
      </c>
      <c r="F33430">
        <v>1.4303158479858299E-8</v>
      </c>
      <c r="G33430">
        <v>4092147</v>
      </c>
      <c r="H33430">
        <v>14386185</v>
      </c>
      <c r="I33430">
        <v>1177962</v>
      </c>
      <c r="J33430">
        <v>3</v>
      </c>
    </row>
    <row r="33431" spans="1:10" x14ac:dyDescent="0.25">
      <c r="A33431" t="s">
        <v>376</v>
      </c>
      <c r="B33431" s="1" t="str">
        <f>HYPERLINK("http://fisherbioservices.com","fisherbioservices.com")</f>
        <v>fisherbioservices.com</v>
      </c>
      <c r="C33431" t="s">
        <v>433</v>
      </c>
      <c r="F33431">
        <v>1.6908915750170801E-8</v>
      </c>
      <c r="G33431">
        <v>3304984</v>
      </c>
      <c r="H33431">
        <v>13944147</v>
      </c>
      <c r="I33431">
        <v>4305222</v>
      </c>
      <c r="J33431">
        <v>3</v>
      </c>
    </row>
    <row r="33432" spans="1:10" x14ac:dyDescent="0.25">
      <c r="A33432" t="s">
        <v>376</v>
      </c>
      <c r="B33432" s="1" t="str">
        <f>HYPERLINK("http://fishersci.com","fishersci.com")</f>
        <v>fishersci.com</v>
      </c>
      <c r="C33432" t="s">
        <v>433</v>
      </c>
      <c r="E33432">
        <v>20305</v>
      </c>
      <c r="F33432">
        <v>6.5504284847559204E-7</v>
      </c>
      <c r="G33432">
        <v>58775</v>
      </c>
      <c r="H33432">
        <v>17372068</v>
      </c>
      <c r="I33432">
        <v>21284</v>
      </c>
      <c r="J33432">
        <v>3</v>
      </c>
    </row>
    <row r="33433" spans="1:10" x14ac:dyDescent="0.25">
      <c r="A33433" t="s">
        <v>376</v>
      </c>
      <c r="B33433" s="1" t="str">
        <f>HYPERLINK("http://gallusbiopharma.com","gallusbiopharma.com")</f>
        <v>gallusbiopharma.com</v>
      </c>
      <c r="C33433" t="s">
        <v>433</v>
      </c>
      <c r="F33433">
        <v>5.7839687188904401E-9</v>
      </c>
      <c r="G33433">
        <v>18213634</v>
      </c>
      <c r="H33433">
        <v>12471878</v>
      </c>
      <c r="I33433">
        <v>17680555</v>
      </c>
      <c r="J33433">
        <v>6</v>
      </c>
    </row>
    <row r="33434" spans="1:10" x14ac:dyDescent="0.25">
      <c r="A33434" t="s">
        <v>376</v>
      </c>
      <c r="B33434" s="1" t="str">
        <f>HYPERLINK("http://globalaes.com","globalaes.com")</f>
        <v>globalaes.com</v>
      </c>
      <c r="C33434" t="s">
        <v>433</v>
      </c>
      <c r="E33434">
        <v>425230</v>
      </c>
      <c r="F33434">
        <v>4.1232430974234598E-8</v>
      </c>
      <c r="G33434">
        <v>1228683</v>
      </c>
      <c r="H33434">
        <v>13798901</v>
      </c>
      <c r="I33434">
        <v>6288599</v>
      </c>
      <c r="J33434">
        <v>4</v>
      </c>
    </row>
    <row r="33435" spans="1:10" x14ac:dyDescent="0.25">
      <c r="A33435" t="s">
        <v>376</v>
      </c>
      <c r="B33435" s="1" t="str">
        <f>HYPERLINK("http://highchem.com","highchem.com")</f>
        <v>highchem.com</v>
      </c>
      <c r="C33435" t="s">
        <v>433</v>
      </c>
      <c r="F33435">
        <v>2.6821005433798399E-8</v>
      </c>
      <c r="G33435">
        <v>1918043</v>
      </c>
      <c r="H33435">
        <v>14698915</v>
      </c>
      <c r="I33435">
        <v>596104</v>
      </c>
      <c r="J33435">
        <v>3</v>
      </c>
    </row>
    <row r="33436" spans="1:10" x14ac:dyDescent="0.25">
      <c r="A33436" t="s">
        <v>376</v>
      </c>
      <c r="B33436" s="1" t="str">
        <f>HYPERLINK("http://histotrac.com","histotrac.com")</f>
        <v>histotrac.com</v>
      </c>
      <c r="C33436" t="s">
        <v>433</v>
      </c>
      <c r="F33436">
        <v>6.3345456211885301E-9</v>
      </c>
      <c r="G33436">
        <v>14840290</v>
      </c>
      <c r="H33436">
        <v>10519646</v>
      </c>
      <c r="I33436">
        <v>49076978</v>
      </c>
      <c r="J33436">
        <v>7</v>
      </c>
    </row>
    <row r="33437" spans="1:10" x14ac:dyDescent="0.25">
      <c r="A33437" t="s">
        <v>376</v>
      </c>
      <c r="B33437" s="1" t="str">
        <f>HYPERLINK("http://hxbmarketing.com","hxbmarketing.com")</f>
        <v>hxbmarketing.com</v>
      </c>
      <c r="C33437" t="s">
        <v>433</v>
      </c>
      <c r="F33437">
        <v>4.49310829199299E-9</v>
      </c>
      <c r="G33437">
        <v>59997711</v>
      </c>
      <c r="H33437">
        <v>1.0003663</v>
      </c>
      <c r="I33437">
        <v>78740436</v>
      </c>
      <c r="J33437">
        <v>5</v>
      </c>
    </row>
    <row r="33438" spans="1:10" x14ac:dyDescent="0.25">
      <c r="A33438" t="s">
        <v>376</v>
      </c>
      <c r="B33438" s="1" t="str">
        <f>HYPERLINK("http://integenx.com","integenx.com")</f>
        <v>integenx.com</v>
      </c>
      <c r="C33438" t="s">
        <v>433</v>
      </c>
      <c r="F33438">
        <v>3.2524395731796197E-8</v>
      </c>
      <c r="G33438">
        <v>1588618</v>
      </c>
      <c r="H33438">
        <v>14163944</v>
      </c>
      <c r="I33438">
        <v>1828365</v>
      </c>
      <c r="J33438">
        <v>3</v>
      </c>
    </row>
    <row r="33439" spans="1:10" x14ac:dyDescent="0.25">
      <c r="A33439" t="s">
        <v>376</v>
      </c>
      <c r="B33439" s="1" t="str">
        <f>HYPERLINK("http://invitrogen.com","invitrogen.com")</f>
        <v>invitrogen.com</v>
      </c>
      <c r="C33439" t="s">
        <v>433</v>
      </c>
      <c r="E33439">
        <v>64190</v>
      </c>
      <c r="F33439">
        <v>3.2754847436101297E-7</v>
      </c>
      <c r="G33439">
        <v>113710</v>
      </c>
      <c r="H33439">
        <v>17240566</v>
      </c>
      <c r="I33439">
        <v>35287</v>
      </c>
      <c r="J33439">
        <v>4</v>
      </c>
    </row>
    <row r="33440" spans="1:10" x14ac:dyDescent="0.25">
      <c r="A33440" t="s">
        <v>376</v>
      </c>
      <c r="B33440" s="1" t="str">
        <f>HYPERLINK("http://iontorrent.com","iontorrent.com")</f>
        <v>iontorrent.com</v>
      </c>
      <c r="C33440" t="s">
        <v>433</v>
      </c>
      <c r="F33440">
        <v>3.8704447140200398E-8</v>
      </c>
      <c r="G33440">
        <v>1332017</v>
      </c>
      <c r="H33440">
        <v>14554934</v>
      </c>
      <c r="I33440">
        <v>753197</v>
      </c>
      <c r="J33440">
        <v>3</v>
      </c>
    </row>
    <row r="33441" spans="1:10" x14ac:dyDescent="0.25">
      <c r="A33441" t="s">
        <v>376</v>
      </c>
      <c r="B33441" s="1" t="str">
        <f>HYPERLINK("http://la-pha-pack.com","la-pha-pack.com")</f>
        <v>la-pha-pack.com</v>
      </c>
      <c r="C33441" t="s">
        <v>433</v>
      </c>
      <c r="F33441">
        <v>9.0069312440448898E-9</v>
      </c>
      <c r="G33441">
        <v>7981454</v>
      </c>
      <c r="H33441">
        <v>11132567</v>
      </c>
      <c r="I33441">
        <v>31919906</v>
      </c>
      <c r="J33441">
        <v>3</v>
      </c>
    </row>
    <row r="33442" spans="1:10" x14ac:dyDescent="0.25">
      <c r="A33442" t="s">
        <v>376</v>
      </c>
      <c r="B33442" s="1" t="str">
        <f>HYPERLINK("http://lifetechnologies.com","lifetechnologies.com")</f>
        <v>lifetechnologies.com</v>
      </c>
      <c r="C33442" t="s">
        <v>433</v>
      </c>
      <c r="E33442">
        <v>199246</v>
      </c>
      <c r="F33442">
        <v>2.95459793793382E-7</v>
      </c>
      <c r="G33442">
        <v>125900</v>
      </c>
      <c r="H33442">
        <v>15079595</v>
      </c>
      <c r="I33442">
        <v>409650</v>
      </c>
      <c r="J33442">
        <v>4</v>
      </c>
    </row>
    <row r="33443" spans="1:10" x14ac:dyDescent="0.25">
      <c r="A33443" t="s">
        <v>376</v>
      </c>
      <c r="B33443" s="1" t="str">
        <f>HYPERLINK("http://lithicon.com","lithicon.com")</f>
        <v>lithicon.com</v>
      </c>
      <c r="C33443" t="s">
        <v>433</v>
      </c>
      <c r="F33443">
        <v>5.1339752592288097E-9</v>
      </c>
      <c r="G33443">
        <v>26380954</v>
      </c>
      <c r="H33443">
        <v>12467629</v>
      </c>
      <c r="I33443">
        <v>17786240</v>
      </c>
      <c r="J33443">
        <v>3</v>
      </c>
    </row>
    <row r="33444" spans="1:10" x14ac:dyDescent="0.25">
      <c r="A33444" t="s">
        <v>376</v>
      </c>
      <c r="B33444" s="1" t="str">
        <f>HYPERLINK("http://matrixmsci.com","matrixmsci.com")</f>
        <v>matrixmsci.com</v>
      </c>
      <c r="C33444" t="s">
        <v>433</v>
      </c>
      <c r="F33444">
        <v>4.9624785307170604E-9</v>
      </c>
      <c r="G33444">
        <v>30441987</v>
      </c>
      <c r="H33444">
        <v>12197264</v>
      </c>
      <c r="I33444">
        <v>23392235</v>
      </c>
      <c r="J33444">
        <v>3</v>
      </c>
    </row>
    <row r="33445" spans="1:10" x14ac:dyDescent="0.25">
      <c r="A33445" t="s">
        <v>376</v>
      </c>
      <c r="B33445" s="1" t="str">
        <f>HYPERLINK("http://mbpinc.com","mbpinc.com")</f>
        <v>mbpinc.com</v>
      </c>
      <c r="C33445" t="s">
        <v>433</v>
      </c>
      <c r="F33445">
        <v>6.6095247314053901E-9</v>
      </c>
      <c r="G33445">
        <v>13640838</v>
      </c>
      <c r="H33445">
        <v>12281121</v>
      </c>
      <c r="I33445">
        <v>21284743</v>
      </c>
      <c r="J33445">
        <v>3</v>
      </c>
    </row>
    <row r="33446" spans="1:10" x14ac:dyDescent="0.25">
      <c r="A33446" t="s">
        <v>376</v>
      </c>
      <c r="B33446" s="1" t="str">
        <f>HYPERLINK("http://mbpine.com","mbpine.com")</f>
        <v>mbpine.com</v>
      </c>
      <c r="C33446" t="s">
        <v>433</v>
      </c>
      <c r="J33446">
        <v>3</v>
      </c>
    </row>
    <row r="33447" spans="1:10" x14ac:dyDescent="0.25">
      <c r="A33447" t="s">
        <v>376</v>
      </c>
      <c r="B33447" s="1" t="str">
        <f>HYPERLINK("http://mediciglobal.com","mediciglobal.com")</f>
        <v>mediciglobal.com</v>
      </c>
      <c r="C33447" t="s">
        <v>433</v>
      </c>
      <c r="F33447">
        <v>5.9892453635901204E-9</v>
      </c>
      <c r="G33447">
        <v>16761577</v>
      </c>
      <c r="H33447">
        <v>13966947</v>
      </c>
      <c r="I33447">
        <v>4085540</v>
      </c>
      <c r="J33447">
        <v>3</v>
      </c>
    </row>
    <row r="33448" spans="1:10" x14ac:dyDescent="0.25">
      <c r="A33448" t="s">
        <v>376</v>
      </c>
      <c r="B33448" s="1" t="str">
        <f>HYPERLINK("http://mesabiotech.com","mesabiotech.com")</f>
        <v>mesabiotech.com</v>
      </c>
      <c r="C33448" t="s">
        <v>433</v>
      </c>
      <c r="F33448">
        <v>4.3390324825358702E-8</v>
      </c>
      <c r="G33448">
        <v>1103486</v>
      </c>
      <c r="H33448">
        <v>13988958</v>
      </c>
      <c r="I33448">
        <v>4034629</v>
      </c>
      <c r="J33448">
        <v>3</v>
      </c>
    </row>
    <row r="33449" spans="1:10" x14ac:dyDescent="0.25">
      <c r="A33449" t="s">
        <v>376</v>
      </c>
      <c r="B33449" s="1" t="str">
        <f>HYPERLINK("http://mti-globalstem.com","mti-globalstem.com")</f>
        <v>mti-globalstem.com</v>
      </c>
      <c r="C33449" t="s">
        <v>433</v>
      </c>
      <c r="F33449">
        <v>6.5323097518363704E-9</v>
      </c>
      <c r="G33449">
        <v>13945343</v>
      </c>
      <c r="H33449">
        <v>12265475</v>
      </c>
      <c r="I33449">
        <v>21626594</v>
      </c>
      <c r="J33449">
        <v>3</v>
      </c>
    </row>
    <row r="33450" spans="1:10" x14ac:dyDescent="0.25">
      <c r="A33450" t="s">
        <v>376</v>
      </c>
      <c r="B33450" s="1" t="str">
        <f>HYPERLINK("http://nalgenunc.com","nalgenunc.com")</f>
        <v>nalgenunc.com</v>
      </c>
      <c r="C33450" t="s">
        <v>433</v>
      </c>
      <c r="F33450">
        <v>1.25221823334756E-8</v>
      </c>
      <c r="G33450">
        <v>4873695</v>
      </c>
      <c r="H33450">
        <v>13257948</v>
      </c>
      <c r="I33450">
        <v>11048779</v>
      </c>
      <c r="J33450">
        <v>3</v>
      </c>
    </row>
    <row r="33451" spans="1:10" x14ac:dyDescent="0.25">
      <c r="A33451" t="s">
        <v>376</v>
      </c>
      <c r="B33451" s="1" t="str">
        <f>HYPERLINK("http://nanodrop.com","nanodrop.com")</f>
        <v>nanodrop.com</v>
      </c>
      <c r="C33451" t="s">
        <v>433</v>
      </c>
      <c r="F33451">
        <v>4.2043253554791803E-8</v>
      </c>
      <c r="G33451">
        <v>1164012</v>
      </c>
      <c r="H33451">
        <v>14017864</v>
      </c>
      <c r="I33451">
        <v>3992390</v>
      </c>
      <c r="J33451">
        <v>3</v>
      </c>
    </row>
    <row r="33452" spans="1:10" x14ac:dyDescent="0.25">
      <c r="A33452" t="s">
        <v>376</v>
      </c>
      <c r="B33452" s="1" t="str">
        <f>HYPERLINK("http://nationalscientific.com","nationalscientific.com")</f>
        <v>nationalscientific.com</v>
      </c>
      <c r="C33452" t="s">
        <v>433</v>
      </c>
      <c r="F33452">
        <v>7.4747495429440397E-9</v>
      </c>
      <c r="G33452">
        <v>11070216</v>
      </c>
      <c r="H33452">
        <v>11211547</v>
      </c>
      <c r="I33452">
        <v>31151688</v>
      </c>
      <c r="J33452">
        <v>3</v>
      </c>
    </row>
    <row r="33453" spans="1:10" x14ac:dyDescent="0.25">
      <c r="A33453" t="s">
        <v>376</v>
      </c>
      <c r="B33453" s="1" t="str">
        <f>HYPERLINK("http://novawavetech.com","novawavetech.com")</f>
        <v>novawavetech.com</v>
      </c>
      <c r="C33453" t="s">
        <v>433</v>
      </c>
      <c r="F33453">
        <v>5.9289144181087096E-9</v>
      </c>
      <c r="G33453">
        <v>17159201</v>
      </c>
      <c r="H33453">
        <v>12978936</v>
      </c>
      <c r="I33453">
        <v>12997634</v>
      </c>
      <c r="J33453">
        <v>3</v>
      </c>
    </row>
    <row r="33454" spans="1:10" x14ac:dyDescent="0.25">
      <c r="A33454" t="s">
        <v>376</v>
      </c>
      <c r="B33454" s="1" t="str">
        <f>HYPERLINK("http://onelambda.com","onelambda.com")</f>
        <v>onelambda.com</v>
      </c>
      <c r="C33454" t="s">
        <v>433</v>
      </c>
      <c r="F33454">
        <v>6.1296044243260606E-8</v>
      </c>
      <c r="G33454">
        <v>718360</v>
      </c>
      <c r="H33454">
        <v>14284587</v>
      </c>
      <c r="I33454">
        <v>1373299</v>
      </c>
      <c r="J33454">
        <v>3</v>
      </c>
    </row>
    <row r="33455" spans="1:10" x14ac:dyDescent="0.25">
      <c r="A33455" t="s">
        <v>376</v>
      </c>
      <c r="B33455" s="1" t="str">
        <f>HYPERLINK("http://patheon.com","patheon.com")</f>
        <v>patheon.com</v>
      </c>
      <c r="C33455" t="s">
        <v>433</v>
      </c>
      <c r="E33455">
        <v>346951</v>
      </c>
      <c r="F33455">
        <v>1.1653389375149801E-7</v>
      </c>
      <c r="G33455">
        <v>341202</v>
      </c>
      <c r="H33455">
        <v>14671422</v>
      </c>
      <c r="I33455">
        <v>613762</v>
      </c>
      <c r="J33455">
        <v>3</v>
      </c>
    </row>
    <row r="33456" spans="1:10" x14ac:dyDescent="0.25">
      <c r="A33456" t="s">
        <v>376</v>
      </c>
      <c r="B33456" s="1" t="str">
        <f>HYPERLINK("http://peprotech.com","peprotech.com")</f>
        <v>peprotech.com</v>
      </c>
      <c r="C33456" t="s">
        <v>433</v>
      </c>
      <c r="E33456">
        <v>908796</v>
      </c>
      <c r="F33456">
        <v>6.7984899629280696E-8</v>
      </c>
      <c r="G33456">
        <v>627869</v>
      </c>
      <c r="H33456">
        <v>13748936</v>
      </c>
      <c r="I33456">
        <v>9421305</v>
      </c>
      <c r="J33456">
        <v>3</v>
      </c>
    </row>
    <row r="33457" spans="1:10" x14ac:dyDescent="0.25">
      <c r="A33457" t="s">
        <v>376</v>
      </c>
      <c r="B33457" s="1" t="str">
        <f>HYPERLINK("http://phadia.com","phadia.com")</f>
        <v>phadia.com</v>
      </c>
      <c r="C33457" t="s">
        <v>433</v>
      </c>
      <c r="E33457">
        <v>645415</v>
      </c>
      <c r="F33457">
        <v>1.06075879174299E-7</v>
      </c>
      <c r="G33457">
        <v>377489</v>
      </c>
      <c r="H33457">
        <v>14295473</v>
      </c>
      <c r="I33457">
        <v>1360871</v>
      </c>
      <c r="J33457">
        <v>3</v>
      </c>
    </row>
    <row r="33458" spans="1:10" x14ac:dyDescent="0.25">
      <c r="A33458" t="s">
        <v>376</v>
      </c>
      <c r="B33458" s="1" t="str">
        <f>HYPERLINK("http://phitonex.com","phitonex.com")</f>
        <v>phitonex.com</v>
      </c>
      <c r="C33458" t="s">
        <v>433</v>
      </c>
      <c r="F33458">
        <v>9.5723307201901908E-9</v>
      </c>
      <c r="G33458">
        <v>7236618</v>
      </c>
      <c r="H33458">
        <v>13102679</v>
      </c>
      <c r="I33458">
        <v>12086034</v>
      </c>
      <c r="J33458">
        <v>3</v>
      </c>
    </row>
    <row r="33459" spans="1:10" x14ac:dyDescent="0.25">
      <c r="A33459" t="s">
        <v>376</v>
      </c>
      <c r="B33459" s="1" t="str">
        <f>HYPERLINK("http://picospin.com","picospin.com")</f>
        <v>picospin.com</v>
      </c>
      <c r="C33459" t="s">
        <v>433</v>
      </c>
      <c r="F33459">
        <v>9.4330137951939204E-9</v>
      </c>
      <c r="G33459">
        <v>7403715</v>
      </c>
      <c r="H33459">
        <v>12687770</v>
      </c>
      <c r="I33459">
        <v>15438168</v>
      </c>
      <c r="J33459">
        <v>3</v>
      </c>
    </row>
    <row r="33460" spans="1:10" x14ac:dyDescent="0.25">
      <c r="A33460" t="s">
        <v>376</v>
      </c>
      <c r="B33460" s="1" t="str">
        <f>HYPERLINK("http://piercenet.com","piercenet.com")</f>
        <v>piercenet.com</v>
      </c>
      <c r="C33460" t="s">
        <v>433</v>
      </c>
      <c r="F33460">
        <v>6.9429824991644596E-8</v>
      </c>
      <c r="G33460">
        <v>611576</v>
      </c>
      <c r="H33460">
        <v>14882997</v>
      </c>
      <c r="I33460">
        <v>471066</v>
      </c>
      <c r="J33460">
        <v>3</v>
      </c>
    </row>
    <row r="33461" spans="1:10" x14ac:dyDescent="0.25">
      <c r="A33461" t="s">
        <v>376</v>
      </c>
      <c r="B33461" s="1" t="str">
        <f>HYPERLINK("http://ppd.com","ppd.com")</f>
        <v>ppd.com</v>
      </c>
      <c r="C33461" t="s">
        <v>433</v>
      </c>
      <c r="E33461">
        <v>145025</v>
      </c>
      <c r="F33461">
        <v>1.4522618753020199E-7</v>
      </c>
      <c r="G33461">
        <v>268039</v>
      </c>
      <c r="H33461">
        <v>13808029</v>
      </c>
      <c r="I33461">
        <v>6223693</v>
      </c>
      <c r="J33461">
        <v>3</v>
      </c>
    </row>
    <row r="33462" spans="1:10" x14ac:dyDescent="0.25">
      <c r="A33462" t="s">
        <v>376</v>
      </c>
      <c r="B33462" s="1" t="str">
        <f>HYPERLINK("http://ppdi.com","ppdi.com")</f>
        <v>ppdi.com</v>
      </c>
      <c r="C33462" t="s">
        <v>433</v>
      </c>
      <c r="E33462">
        <v>46466</v>
      </c>
      <c r="F33462">
        <v>1.2427614462668801E-7</v>
      </c>
      <c r="G33462">
        <v>317522</v>
      </c>
      <c r="H33462">
        <v>14375250</v>
      </c>
      <c r="I33462">
        <v>1227978</v>
      </c>
      <c r="J33462">
        <v>2</v>
      </c>
    </row>
    <row r="33463" spans="1:10" x14ac:dyDescent="0.25">
      <c r="A33463" t="s">
        <v>376</v>
      </c>
      <c r="B33463" s="1" t="str">
        <f>HYPERLINK("http://priorityairexpress.com","priorityairexpress.com")</f>
        <v>priorityairexpress.com</v>
      </c>
      <c r="C33463" t="s">
        <v>433</v>
      </c>
      <c r="F33463">
        <v>4.4475022753895501E-9</v>
      </c>
      <c r="G33463">
        <v>73476737</v>
      </c>
      <c r="H33463">
        <v>10600052</v>
      </c>
      <c r="I33463">
        <v>44900615</v>
      </c>
      <c r="J33463">
        <v>3</v>
      </c>
    </row>
    <row r="33464" spans="1:10" x14ac:dyDescent="0.25">
      <c r="A33464" t="s">
        <v>376</v>
      </c>
      <c r="B33464" s="1" t="str">
        <f>HYPERLINK("http://probes.com","probes.com")</f>
        <v>probes.com</v>
      </c>
      <c r="C33464" t="s">
        <v>433</v>
      </c>
      <c r="F33464">
        <v>3.24517259702119E-8</v>
      </c>
      <c r="G33464">
        <v>1592091</v>
      </c>
      <c r="H33464">
        <v>14111691</v>
      </c>
      <c r="I33464">
        <v>2671706</v>
      </c>
      <c r="J33464">
        <v>4</v>
      </c>
    </row>
    <row r="33465" spans="1:10" x14ac:dyDescent="0.25">
      <c r="A33465" t="s">
        <v>376</v>
      </c>
      <c r="B33465" s="1" t="str">
        <f>HYPERLINK("http://rctlogic.com","rctlogic.com")</f>
        <v>rctlogic.com</v>
      </c>
      <c r="C33465" t="s">
        <v>433</v>
      </c>
      <c r="F33465">
        <v>4.5684905667943596E-9</v>
      </c>
      <c r="G33465">
        <v>50330567</v>
      </c>
      <c r="H33465">
        <v>13763634</v>
      </c>
      <c r="I33465">
        <v>8402602</v>
      </c>
      <c r="J33465">
        <v>6</v>
      </c>
    </row>
    <row r="33466" spans="1:10" x14ac:dyDescent="0.25">
      <c r="A33466" t="s">
        <v>376</v>
      </c>
      <c r="B33466" s="1" t="str">
        <f>HYPERLINK("http://rochecarolina.com","rochecarolina.com")</f>
        <v>rochecarolina.com</v>
      </c>
      <c r="C33466" t="s">
        <v>433</v>
      </c>
      <c r="F33466">
        <v>4.6873674282766296E-9</v>
      </c>
      <c r="G33466">
        <v>41928572</v>
      </c>
      <c r="H33466">
        <v>10006721</v>
      </c>
      <c r="I33466">
        <v>60771362</v>
      </c>
      <c r="J33466">
        <v>3</v>
      </c>
    </row>
    <row r="33467" spans="1:10" x14ac:dyDescent="0.25">
      <c r="A33467" t="s">
        <v>376</v>
      </c>
      <c r="B33467" s="1" t="str">
        <f>HYPERLINK("http://sagescience.com","sagescience.com")</f>
        <v>sagescience.com</v>
      </c>
      <c r="C33467" t="s">
        <v>433</v>
      </c>
      <c r="F33467">
        <v>4.6119941330845203E-8</v>
      </c>
      <c r="G33467">
        <v>1016656</v>
      </c>
      <c r="H33467">
        <v>14207327</v>
      </c>
      <c r="I33467">
        <v>1708918</v>
      </c>
      <c r="J33467">
        <v>6</v>
      </c>
    </row>
    <row r="33468" spans="1:10" x14ac:dyDescent="0.25">
      <c r="A33468" t="s">
        <v>376</v>
      </c>
      <c r="B33468" s="1" t="str">
        <f>HYPERLINK("http://synexus.com","synexus.com")</f>
        <v>synexus.com</v>
      </c>
      <c r="C33468" t="s">
        <v>433</v>
      </c>
      <c r="F33468">
        <v>1.1352002382599901E-8</v>
      </c>
      <c r="G33468">
        <v>5606838</v>
      </c>
      <c r="H33468">
        <v>13053083</v>
      </c>
      <c r="I33468">
        <v>12573934</v>
      </c>
      <c r="J33468">
        <v>5</v>
      </c>
    </row>
    <row r="33469" spans="1:10" x14ac:dyDescent="0.25">
      <c r="A33469" t="s">
        <v>376</v>
      </c>
      <c r="B33469" s="1" t="str">
        <f>HYPERLINK("http://systemlink-inc.com","systemlink-inc.com")</f>
        <v>systemlink-inc.com</v>
      </c>
      <c r="C33469" t="s">
        <v>433</v>
      </c>
      <c r="J33469">
        <v>4</v>
      </c>
    </row>
    <row r="33470" spans="1:10" x14ac:dyDescent="0.25">
      <c r="A33470" t="s">
        <v>376</v>
      </c>
      <c r="B33470" s="1" t="str">
        <f>HYPERLINK("http://termofisher.com","termofisher.com")</f>
        <v>termofisher.com</v>
      </c>
      <c r="C33470" t="s">
        <v>433</v>
      </c>
      <c r="F33470">
        <v>4.44380395335525E-9</v>
      </c>
      <c r="G33470">
        <v>83654711</v>
      </c>
      <c r="H33470">
        <v>0</v>
      </c>
      <c r="I33470">
        <v>84527215</v>
      </c>
      <c r="J33470">
        <v>3</v>
      </c>
    </row>
    <row r="33471" spans="1:10" x14ac:dyDescent="0.25">
      <c r="A33471" t="s">
        <v>376</v>
      </c>
      <c r="B33471" s="1" t="str">
        <f>HYPERLINK("http://themofisher.com","themofisher.com")</f>
        <v>themofisher.com</v>
      </c>
      <c r="C33471" t="s">
        <v>433</v>
      </c>
      <c r="J33471">
        <v>3</v>
      </c>
    </row>
    <row r="33472" spans="1:10" x14ac:dyDescent="0.25">
      <c r="A33472" t="s">
        <v>376</v>
      </c>
      <c r="B33472" s="1" t="str">
        <f>HYPERLINK("http://thermfisher.com","thermfisher.com")</f>
        <v>thermfisher.com</v>
      </c>
      <c r="C33472" t="s">
        <v>433</v>
      </c>
      <c r="F33472">
        <v>4.44380395335525E-9</v>
      </c>
      <c r="G33472">
        <v>87478494</v>
      </c>
      <c r="H33472">
        <v>0</v>
      </c>
      <c r="I33472">
        <v>84593640</v>
      </c>
      <c r="J33472">
        <v>2</v>
      </c>
    </row>
    <row r="33473" spans="1:10" x14ac:dyDescent="0.25">
      <c r="A33473" t="s">
        <v>376</v>
      </c>
      <c r="B33473" s="1" t="str">
        <f>HYPERLINK("http://thermo.com","thermo.com")</f>
        <v>thermo.com</v>
      </c>
      <c r="C33473" t="s">
        <v>433</v>
      </c>
      <c r="E33473">
        <v>14294</v>
      </c>
      <c r="F33473">
        <v>1.76712908141579E-7</v>
      </c>
      <c r="G33473">
        <v>218998</v>
      </c>
      <c r="H33473">
        <v>15073105</v>
      </c>
      <c r="I33473">
        <v>410664</v>
      </c>
      <c r="J33473">
        <v>3</v>
      </c>
    </row>
    <row r="33474" spans="1:10" x14ac:dyDescent="0.25">
      <c r="A33474" t="s">
        <v>376</v>
      </c>
      <c r="B33474" s="1" t="str">
        <f>HYPERLINK("http://thermofisher.com","thermofisher.com")</f>
        <v>thermofisher.com</v>
      </c>
      <c r="C33474" t="s">
        <v>433</v>
      </c>
      <c r="E33474">
        <v>5680</v>
      </c>
      <c r="F33474">
        <v>5.7400658584023304E-6</v>
      </c>
      <c r="G33474">
        <v>6049</v>
      </c>
      <c r="H33474">
        <v>17764532</v>
      </c>
      <c r="I33474">
        <v>6108</v>
      </c>
      <c r="J33474">
        <v>1</v>
      </c>
    </row>
    <row r="33475" spans="1:10" x14ac:dyDescent="0.25">
      <c r="A33475" t="s">
        <v>376</v>
      </c>
      <c r="B33475" s="1" t="str">
        <f>HYPERLINK("http://thermoinformatics.com","thermoinformatics.com")</f>
        <v>thermoinformatics.com</v>
      </c>
      <c r="C33475" t="s">
        <v>433</v>
      </c>
      <c r="F33475">
        <v>5.6717654705747098E-8</v>
      </c>
      <c r="G33475">
        <v>787906</v>
      </c>
      <c r="H33475">
        <v>16815764</v>
      </c>
      <c r="I33475">
        <v>188475</v>
      </c>
      <c r="J33475">
        <v>3</v>
      </c>
    </row>
    <row r="33476" spans="1:10" x14ac:dyDescent="0.25">
      <c r="A33476" t="s">
        <v>376</v>
      </c>
      <c r="B33476" s="1" t="str">
        <f>HYPERLINK("http://thermoscientific.com","thermoscientific.com")</f>
        <v>thermoscientific.com</v>
      </c>
      <c r="C33476" t="s">
        <v>433</v>
      </c>
      <c r="E33476">
        <v>181539</v>
      </c>
      <c r="F33476">
        <v>4.3165781679631601E-7</v>
      </c>
      <c r="G33476">
        <v>87279</v>
      </c>
      <c r="H33476">
        <v>15042684</v>
      </c>
      <c r="I33476">
        <v>416040</v>
      </c>
      <c r="J33476">
        <v>3</v>
      </c>
    </row>
    <row r="33477" spans="1:10" x14ac:dyDescent="0.25">
      <c r="A33477" t="s">
        <v>376</v>
      </c>
      <c r="B33477" s="1" t="str">
        <f>HYPERLINK("http://theromfisher.com","theromfisher.com")</f>
        <v>theromfisher.com</v>
      </c>
      <c r="C33477" t="s">
        <v>433</v>
      </c>
      <c r="J33477">
        <v>2</v>
      </c>
    </row>
    <row r="33478" spans="1:10" x14ac:dyDescent="0.25">
      <c r="A33478" t="s">
        <v>376</v>
      </c>
      <c r="B33478" s="1" t="str">
        <f>HYPERLINK("http://trekds.com","trekds.com")</f>
        <v>trekds.com</v>
      </c>
      <c r="C33478" t="s">
        <v>433</v>
      </c>
      <c r="F33478">
        <v>1.8062769256947699E-8</v>
      </c>
      <c r="G33478">
        <v>3017726</v>
      </c>
      <c r="H33478">
        <v>13416295</v>
      </c>
      <c r="I33478">
        <v>10313458</v>
      </c>
      <c r="J33478">
        <v>3</v>
      </c>
    </row>
    <row r="33479" spans="1:10" x14ac:dyDescent="0.25">
      <c r="A33479" t="s">
        <v>376</v>
      </c>
      <c r="B33479" s="1" t="str">
        <f>HYPERLINK("http://vsg3d.com","vsg3d.com")</f>
        <v>vsg3d.com</v>
      </c>
      <c r="C33479" t="s">
        <v>433</v>
      </c>
      <c r="F33479">
        <v>5.3774928886154302E-8</v>
      </c>
      <c r="G33479">
        <v>845336</v>
      </c>
      <c r="H33479">
        <v>14112440</v>
      </c>
      <c r="I33479">
        <v>2669646</v>
      </c>
      <c r="J33479">
        <v>3</v>
      </c>
    </row>
    <row r="33480" spans="1:10" x14ac:dyDescent="0.25">
      <c r="A33480" t="s">
        <v>376</v>
      </c>
      <c r="B33480" s="1" t="str">
        <f>HYPERLINK("http://spectronex.cz","spectronex.cz")</f>
        <v>spectronex.cz</v>
      </c>
      <c r="C33480" t="s">
        <v>435</v>
      </c>
      <c r="D33480" t="s">
        <v>814</v>
      </c>
      <c r="F33480">
        <v>5.1175345417920899E-9</v>
      </c>
      <c r="G33480">
        <v>26706176</v>
      </c>
      <c r="H33480">
        <v>12287687</v>
      </c>
      <c r="I33480">
        <v>21161863</v>
      </c>
      <c r="J33480">
        <v>3</v>
      </c>
    </row>
    <row r="33481" spans="1:10" x14ac:dyDescent="0.25">
      <c r="A33481" t="s">
        <v>376</v>
      </c>
      <c r="B33481" s="1" t="str">
        <f>HYPERLINK("http://bindingsite.de","bindingsite.de")</f>
        <v>bindingsite.de</v>
      </c>
      <c r="C33481" t="s">
        <v>436</v>
      </c>
      <c r="D33481" t="s">
        <v>815</v>
      </c>
      <c r="F33481">
        <v>1.1676805391976399E-8</v>
      </c>
      <c r="G33481">
        <v>5381228</v>
      </c>
      <c r="H33481">
        <v>13721125</v>
      </c>
      <c r="I33481">
        <v>9472476</v>
      </c>
      <c r="J33481">
        <v>3</v>
      </c>
    </row>
    <row r="33482" spans="1:10" x14ac:dyDescent="0.25">
      <c r="A33482" t="s">
        <v>376</v>
      </c>
      <c r="B33482" s="1" t="str">
        <f>HYPERLINK("http://biotech-hennigsdorf.de","biotech-hennigsdorf.de")</f>
        <v>biotech-hennigsdorf.de</v>
      </c>
      <c r="C33482" t="s">
        <v>436</v>
      </c>
      <c r="D33482" t="s">
        <v>815</v>
      </c>
      <c r="J33482">
        <v>3</v>
      </c>
    </row>
    <row r="33483" spans="1:10" x14ac:dyDescent="0.25">
      <c r="A33483" t="s">
        <v>376</v>
      </c>
      <c r="B33483" s="1" t="str">
        <f>HYPERLINK("http://bmt.de","bmt.de")</f>
        <v>bmt.de</v>
      </c>
      <c r="C33483" t="s">
        <v>436</v>
      </c>
      <c r="D33483" t="s">
        <v>815</v>
      </c>
      <c r="F33483">
        <v>6.1019172699182402E-9</v>
      </c>
      <c r="G33483">
        <v>16082514</v>
      </c>
      <c r="H33483">
        <v>12019554</v>
      </c>
      <c r="I33483">
        <v>27876699</v>
      </c>
      <c r="J33483">
        <v>3</v>
      </c>
    </row>
    <row r="33484" spans="1:10" x14ac:dyDescent="0.25">
      <c r="A33484" t="s">
        <v>376</v>
      </c>
      <c r="B33484" s="1" t="str">
        <f>HYPERLINK("http://brahms.de","brahms.de")</f>
        <v>brahms.de</v>
      </c>
      <c r="C33484" t="s">
        <v>436</v>
      </c>
      <c r="D33484" t="s">
        <v>815</v>
      </c>
      <c r="F33484">
        <v>4.34729079838507E-8</v>
      </c>
      <c r="G33484">
        <v>1100504</v>
      </c>
      <c r="H33484">
        <v>13059208</v>
      </c>
      <c r="I33484">
        <v>12511718</v>
      </c>
      <c r="J33484">
        <v>4</v>
      </c>
    </row>
    <row r="33485" spans="1:10" x14ac:dyDescent="0.25">
      <c r="A33485" t="s">
        <v>376</v>
      </c>
      <c r="B33485" s="1" t="str">
        <f>HYPERLINK("http://dionex-softron.de","dionex-softron.de")</f>
        <v>dionex-softron.de</v>
      </c>
      <c r="C33485" t="s">
        <v>436</v>
      </c>
      <c r="D33485" t="s">
        <v>815</v>
      </c>
      <c r="F33485">
        <v>4.5210424270554498E-9</v>
      </c>
      <c r="G33485">
        <v>56089744</v>
      </c>
      <c r="H33485">
        <v>10616839</v>
      </c>
      <c r="I33485">
        <v>44378222</v>
      </c>
      <c r="J33485">
        <v>3</v>
      </c>
    </row>
    <row r="33486" spans="1:10" x14ac:dyDescent="0.25">
      <c r="A33486" t="s">
        <v>376</v>
      </c>
      <c r="B33486" s="1" t="str">
        <f>HYPERLINK("http://fishersci.de","fishersci.de")</f>
        <v>fishersci.de</v>
      </c>
      <c r="C33486" t="s">
        <v>436</v>
      </c>
      <c r="D33486" t="s">
        <v>815</v>
      </c>
      <c r="F33486">
        <v>2.4405587265894301E-8</v>
      </c>
      <c r="G33486">
        <v>2123439</v>
      </c>
      <c r="H33486">
        <v>14079995</v>
      </c>
      <c r="I33486">
        <v>2825198</v>
      </c>
      <c r="J33486">
        <v>3</v>
      </c>
    </row>
    <row r="33487" spans="1:10" x14ac:dyDescent="0.25">
      <c r="A33487" t="s">
        <v>376</v>
      </c>
      <c r="B33487" s="1" t="str">
        <f>HYPERLINK("http://kendro.de","kendro.de")</f>
        <v>kendro.de</v>
      </c>
      <c r="C33487" t="s">
        <v>436</v>
      </c>
      <c r="D33487" t="s">
        <v>815</v>
      </c>
      <c r="F33487">
        <v>4.8887822159976698E-9</v>
      </c>
      <c r="G33487">
        <v>32804375</v>
      </c>
      <c r="H33487">
        <v>12900816</v>
      </c>
      <c r="I33487">
        <v>13866751</v>
      </c>
      <c r="J33487">
        <v>3</v>
      </c>
    </row>
    <row r="33488" spans="1:10" x14ac:dyDescent="0.25">
      <c r="A33488" t="s">
        <v>376</v>
      </c>
      <c r="B33488" s="1" t="str">
        <f>HYPERLINK("http://synexus-studien.de","synexus-studien.de")</f>
        <v>synexus-studien.de</v>
      </c>
      <c r="C33488" t="s">
        <v>436</v>
      </c>
      <c r="D33488" t="s">
        <v>815</v>
      </c>
      <c r="F33488">
        <v>5.7091771005416497E-9</v>
      </c>
      <c r="G33488">
        <v>18845715</v>
      </c>
      <c r="H33488">
        <v>12028160</v>
      </c>
      <c r="I33488">
        <v>27695660</v>
      </c>
      <c r="J33488">
        <v>3</v>
      </c>
    </row>
    <row r="33489" spans="1:10" x14ac:dyDescent="0.25">
      <c r="A33489" t="s">
        <v>376</v>
      </c>
      <c r="B33489" s="1" t="str">
        <f>HYPERLINK("http://fishersci.dk","fishersci.dk")</f>
        <v>fishersci.dk</v>
      </c>
      <c r="C33489" t="s">
        <v>437</v>
      </c>
      <c r="D33489" t="s">
        <v>816</v>
      </c>
      <c r="F33489">
        <v>1.72361879117777E-8</v>
      </c>
      <c r="G33489">
        <v>3215647</v>
      </c>
      <c r="H33489">
        <v>13173673</v>
      </c>
      <c r="I33489">
        <v>11712748</v>
      </c>
      <c r="J33489">
        <v>3</v>
      </c>
    </row>
    <row r="33490" spans="1:10" x14ac:dyDescent="0.25">
      <c r="A33490" t="s">
        <v>376</v>
      </c>
      <c r="B33490" s="1" t="str">
        <f>HYPERLINK("http://fishersci.es","fishersci.es")</f>
        <v>fishersci.es</v>
      </c>
      <c r="C33490" t="s">
        <v>443</v>
      </c>
      <c r="D33490" t="s">
        <v>822</v>
      </c>
      <c r="E33490">
        <v>646651</v>
      </c>
      <c r="F33490">
        <v>2.8844295001093002E-8</v>
      </c>
      <c r="G33490">
        <v>1784470</v>
      </c>
      <c r="H33490">
        <v>14397565</v>
      </c>
      <c r="I33490">
        <v>1157951</v>
      </c>
      <c r="J33490">
        <v>3</v>
      </c>
    </row>
    <row r="33491" spans="1:10" x14ac:dyDescent="0.25">
      <c r="A33491" t="s">
        <v>376</v>
      </c>
      <c r="B33491" s="1" t="str">
        <f>HYPERLINK("http://thermoscientific.es","thermoscientific.es")</f>
        <v>thermoscientific.es</v>
      </c>
      <c r="C33491" t="s">
        <v>443</v>
      </c>
      <c r="D33491" t="s">
        <v>822</v>
      </c>
      <c r="F33491">
        <v>5.9300832558211496E-9</v>
      </c>
      <c r="G33491">
        <v>17151598</v>
      </c>
      <c r="H33491">
        <v>11026546</v>
      </c>
      <c r="I33491">
        <v>33158922</v>
      </c>
      <c r="J33491">
        <v>2</v>
      </c>
    </row>
    <row r="33492" spans="1:10" x14ac:dyDescent="0.25">
      <c r="A33492" t="s">
        <v>376</v>
      </c>
      <c r="B33492" s="1" t="str">
        <f>HYPERLINK("http://fishersci.eu","fishersci.eu")</f>
        <v>fishersci.eu</v>
      </c>
      <c r="C33492" t="s">
        <v>444</v>
      </c>
      <c r="E33492">
        <v>424922</v>
      </c>
      <c r="F33492">
        <v>1.5134590994979899E-8</v>
      </c>
      <c r="G33492">
        <v>3796718</v>
      </c>
      <c r="H33492">
        <v>12225051</v>
      </c>
      <c r="I33492">
        <v>22653672</v>
      </c>
      <c r="J33492">
        <v>4</v>
      </c>
    </row>
    <row r="33493" spans="1:10" x14ac:dyDescent="0.25">
      <c r="A33493" t="s">
        <v>376</v>
      </c>
      <c r="B33493" s="1" t="str">
        <f>HYPERLINK("http://bindingsite.fi","bindingsite.fi")</f>
        <v>bindingsite.fi</v>
      </c>
      <c r="C33493" t="s">
        <v>445</v>
      </c>
      <c r="D33493" t="s">
        <v>823</v>
      </c>
      <c r="J33493">
        <v>4</v>
      </c>
    </row>
    <row r="33494" spans="1:10" x14ac:dyDescent="0.25">
      <c r="A33494" t="s">
        <v>376</v>
      </c>
      <c r="B33494" s="1" t="str">
        <f>HYPERLINK("http://cascadionsm.fi","cascadionsm.fi")</f>
        <v>cascadionsm.fi</v>
      </c>
      <c r="C33494" t="s">
        <v>445</v>
      </c>
      <c r="D33494" t="s">
        <v>823</v>
      </c>
      <c r="J33494">
        <v>2</v>
      </c>
    </row>
    <row r="33495" spans="1:10" x14ac:dyDescent="0.25">
      <c r="A33495" t="s">
        <v>376</v>
      </c>
      <c r="B33495" s="1" t="str">
        <f>HYPERLINK("http://fishersci.fi","fishersci.fi")</f>
        <v>fishersci.fi</v>
      </c>
      <c r="C33495" t="s">
        <v>445</v>
      </c>
      <c r="D33495" t="s">
        <v>823</v>
      </c>
      <c r="F33495">
        <v>1.69685421766194E-8</v>
      </c>
      <c r="G33495">
        <v>3290788</v>
      </c>
      <c r="H33495">
        <v>12942006</v>
      </c>
      <c r="I33495">
        <v>13275962</v>
      </c>
      <c r="J33495">
        <v>2</v>
      </c>
    </row>
    <row r="33496" spans="1:10" x14ac:dyDescent="0.25">
      <c r="A33496" t="s">
        <v>376</v>
      </c>
      <c r="B33496" s="1" t="str">
        <f>HYPERLINK("http://immunocap.fi","immunocap.fi")</f>
        <v>immunocap.fi</v>
      </c>
      <c r="C33496" t="s">
        <v>445</v>
      </c>
      <c r="D33496" t="s">
        <v>823</v>
      </c>
      <c r="J33496">
        <v>4</v>
      </c>
    </row>
    <row r="33497" spans="1:10" x14ac:dyDescent="0.25">
      <c r="A33497" t="s">
        <v>376</v>
      </c>
      <c r="B33497" s="1" t="str">
        <f>HYPERLINK("http://immunocapisac.fi","immunocapisac.fi")</f>
        <v>immunocapisac.fi</v>
      </c>
      <c r="C33497" t="s">
        <v>445</v>
      </c>
      <c r="D33497" t="s">
        <v>823</v>
      </c>
      <c r="J33497">
        <v>4</v>
      </c>
    </row>
    <row r="33498" spans="1:10" x14ac:dyDescent="0.25">
      <c r="A33498" t="s">
        <v>376</v>
      </c>
      <c r="B33498" s="1" t="str">
        <f>HYPERLINK("http://immunocaprapid.fi","immunocaprapid.fi")</f>
        <v>immunocaprapid.fi</v>
      </c>
      <c r="C33498" t="s">
        <v>445</v>
      </c>
      <c r="D33498" t="s">
        <v>823</v>
      </c>
      <c r="J33498">
        <v>4</v>
      </c>
    </row>
    <row r="33499" spans="1:10" x14ac:dyDescent="0.25">
      <c r="A33499" t="s">
        <v>376</v>
      </c>
      <c r="B33499" s="1" t="str">
        <f>HYPERLINK("http://isitallergy.fi","isitallergy.fi")</f>
        <v>isitallergy.fi</v>
      </c>
      <c r="C33499" t="s">
        <v>445</v>
      </c>
      <c r="D33499" t="s">
        <v>823</v>
      </c>
      <c r="J33499">
        <v>4</v>
      </c>
    </row>
    <row r="33500" spans="1:10" x14ac:dyDescent="0.25">
      <c r="A33500" t="s">
        <v>376</v>
      </c>
      <c r="B33500" s="1" t="str">
        <f>HYPERLINK("http://labsystems.fi","labsystems.fi")</f>
        <v>labsystems.fi</v>
      </c>
      <c r="C33500" t="s">
        <v>445</v>
      </c>
      <c r="D33500" t="s">
        <v>823</v>
      </c>
      <c r="F33500">
        <v>4.7846324532744397E-9</v>
      </c>
      <c r="G33500">
        <v>36765119</v>
      </c>
      <c r="H33500">
        <v>12388492</v>
      </c>
      <c r="I33500">
        <v>19075915</v>
      </c>
      <c r="J33500">
        <v>4</v>
      </c>
    </row>
    <row r="33501" spans="1:10" x14ac:dyDescent="0.25">
      <c r="A33501" t="s">
        <v>376</v>
      </c>
      <c r="B33501" s="1" t="str">
        <f>HYPERLINK("http://phadia.fi","phadia.fi")</f>
        <v>phadia.fi</v>
      </c>
      <c r="C33501" t="s">
        <v>445</v>
      </c>
      <c r="D33501" t="s">
        <v>823</v>
      </c>
      <c r="J33501">
        <v>4</v>
      </c>
    </row>
    <row r="33502" spans="1:10" x14ac:dyDescent="0.25">
      <c r="A33502" t="s">
        <v>376</v>
      </c>
      <c r="B33502" s="1" t="str">
        <f>HYPERLINK("http://thermo.fi","thermo.fi")</f>
        <v>thermo.fi</v>
      </c>
      <c r="C33502" t="s">
        <v>445</v>
      </c>
      <c r="D33502" t="s">
        <v>823</v>
      </c>
      <c r="J33502">
        <v>4</v>
      </c>
    </row>
    <row r="33503" spans="1:10" x14ac:dyDescent="0.25">
      <c r="A33503" t="s">
        <v>376</v>
      </c>
      <c r="B33503" s="1" t="str">
        <f>HYPERLINK("http://thermo-fisher.fi","thermo-fisher.fi")</f>
        <v>thermo-fisher.fi</v>
      </c>
      <c r="C33503" t="s">
        <v>445</v>
      </c>
      <c r="D33503" t="s">
        <v>823</v>
      </c>
      <c r="J33503">
        <v>4</v>
      </c>
    </row>
    <row r="33504" spans="1:10" x14ac:dyDescent="0.25">
      <c r="A33504" t="s">
        <v>376</v>
      </c>
      <c r="B33504" s="1" t="str">
        <f>HYPERLINK("http://thermofisher.fi","thermofisher.fi")</f>
        <v>thermofisher.fi</v>
      </c>
      <c r="C33504" t="s">
        <v>445</v>
      </c>
      <c r="D33504" t="s">
        <v>823</v>
      </c>
      <c r="J33504">
        <v>4</v>
      </c>
    </row>
    <row r="33505" spans="1:10" x14ac:dyDescent="0.25">
      <c r="A33505" t="s">
        <v>376</v>
      </c>
      <c r="B33505" s="1" t="str">
        <f>HYPERLINK("http://thermofisherscientific.fi","thermofisherscientific.fi")</f>
        <v>thermofisherscientific.fi</v>
      </c>
      <c r="C33505" t="s">
        <v>445</v>
      </c>
      <c r="D33505" t="s">
        <v>823</v>
      </c>
      <c r="J33505">
        <v>4</v>
      </c>
    </row>
    <row r="33506" spans="1:10" x14ac:dyDescent="0.25">
      <c r="A33506" t="s">
        <v>376</v>
      </c>
      <c r="B33506" s="1" t="str">
        <f>HYPERLINK("http://thermolabsystems.fi","thermolabsystems.fi")</f>
        <v>thermolabsystems.fi</v>
      </c>
      <c r="C33506" t="s">
        <v>445</v>
      </c>
      <c r="D33506" t="s">
        <v>823</v>
      </c>
      <c r="J33506">
        <v>4</v>
      </c>
    </row>
    <row r="33507" spans="1:10" x14ac:dyDescent="0.25">
      <c r="A33507" t="s">
        <v>376</v>
      </c>
      <c r="B33507" s="1" t="str">
        <f>HYPERLINK("http://fishersci.fr","fishersci.fr")</f>
        <v>fishersci.fr</v>
      </c>
      <c r="C33507" t="s">
        <v>446</v>
      </c>
      <c r="D33507" t="s">
        <v>824</v>
      </c>
      <c r="F33507">
        <v>3.6231177010025299E-8</v>
      </c>
      <c r="G33507">
        <v>1439472</v>
      </c>
      <c r="H33507">
        <v>13852229</v>
      </c>
      <c r="I33507">
        <v>6050082</v>
      </c>
      <c r="J33507">
        <v>3</v>
      </c>
    </row>
    <row r="33508" spans="1:10" x14ac:dyDescent="0.25">
      <c r="A33508" t="s">
        <v>376</v>
      </c>
      <c r="B33508" s="1" t="str">
        <f>HYPERLINK("http://inel.fr","inel.fr")</f>
        <v>inel.fr</v>
      </c>
      <c r="C33508" t="s">
        <v>446</v>
      </c>
      <c r="D33508" t="s">
        <v>824</v>
      </c>
      <c r="F33508">
        <v>1.07777129374204E-8</v>
      </c>
      <c r="G33508">
        <v>6038393</v>
      </c>
      <c r="H33508">
        <v>13098556</v>
      </c>
      <c r="I33508">
        <v>12110922</v>
      </c>
      <c r="J33508">
        <v>3</v>
      </c>
    </row>
    <row r="33509" spans="1:10" x14ac:dyDescent="0.25">
      <c r="A33509" t="s">
        <v>376</v>
      </c>
      <c r="B33509" s="1" t="str">
        <f>HYPERLINK("http://fishersci.ie","fishersci.ie")</f>
        <v>fishersci.ie</v>
      </c>
      <c r="C33509" t="s">
        <v>455</v>
      </c>
      <c r="D33509" t="s">
        <v>832</v>
      </c>
      <c r="F33509">
        <v>1.4375839407277E-8</v>
      </c>
      <c r="G33509">
        <v>4065574</v>
      </c>
      <c r="H33509">
        <v>12214047</v>
      </c>
      <c r="I33509">
        <v>22926059</v>
      </c>
      <c r="J33509">
        <v>3</v>
      </c>
    </row>
    <row r="33510" spans="1:10" x14ac:dyDescent="0.25">
      <c r="A33510" t="s">
        <v>376</v>
      </c>
      <c r="B33510" s="1" t="str">
        <f>HYPERLINK("http://fishersci.it","fishersci.it")</f>
        <v>fishersci.it</v>
      </c>
      <c r="C33510" t="s">
        <v>459</v>
      </c>
      <c r="D33510" t="s">
        <v>835</v>
      </c>
      <c r="F33510">
        <v>1.69588172560703E-8</v>
      </c>
      <c r="G33510">
        <v>3293269</v>
      </c>
      <c r="H33510">
        <v>14107013</v>
      </c>
      <c r="I33510">
        <v>2684579</v>
      </c>
      <c r="J33510">
        <v>3</v>
      </c>
    </row>
    <row r="33511" spans="1:10" x14ac:dyDescent="0.25">
      <c r="A33511" t="s">
        <v>376</v>
      </c>
      <c r="B33511" s="1" t="str">
        <f>HYPERLINK("http://dcgsystems.co.jp","dcgsystems.co.jp")</f>
        <v>dcgsystems.co.jp</v>
      </c>
      <c r="C33511" t="s">
        <v>461</v>
      </c>
      <c r="D33511" t="s">
        <v>837</v>
      </c>
      <c r="F33511">
        <v>4.6832523207557001E-9</v>
      </c>
      <c r="G33511">
        <v>42148473</v>
      </c>
      <c r="H33511">
        <v>8167094.5</v>
      </c>
      <c r="I33511">
        <v>74886764</v>
      </c>
      <c r="J33511">
        <v>3</v>
      </c>
    </row>
    <row r="33512" spans="1:10" x14ac:dyDescent="0.25">
      <c r="A33512" t="s">
        <v>376</v>
      </c>
      <c r="B33512" s="1" t="str">
        <f>HYPERLINK("http://thermofisher.co.jp","thermofisher.co.jp")</f>
        <v>thermofisher.co.jp</v>
      </c>
      <c r="C33512" t="s">
        <v>461</v>
      </c>
      <c r="D33512" t="s">
        <v>837</v>
      </c>
      <c r="F33512">
        <v>8.0813549831071508E-9</v>
      </c>
      <c r="G33512">
        <v>9775038</v>
      </c>
      <c r="H33512">
        <v>13002999</v>
      </c>
      <c r="I33512">
        <v>12782404</v>
      </c>
      <c r="J33512">
        <v>3</v>
      </c>
    </row>
    <row r="33513" spans="1:10" x14ac:dyDescent="0.25">
      <c r="A33513" t="s">
        <v>376</v>
      </c>
      <c r="B33513" s="1" t="str">
        <f>HYPERLINK("http://patheon.jp","patheon.jp")</f>
        <v>patheon.jp</v>
      </c>
      <c r="C33513" t="s">
        <v>461</v>
      </c>
      <c r="D33513" t="s">
        <v>837</v>
      </c>
      <c r="F33513">
        <v>7.7910236627297407E-9</v>
      </c>
      <c r="G33513">
        <v>10343868</v>
      </c>
      <c r="H33513">
        <v>11169151</v>
      </c>
      <c r="I33513">
        <v>31546520</v>
      </c>
      <c r="J33513">
        <v>4</v>
      </c>
    </row>
    <row r="33514" spans="1:10" x14ac:dyDescent="0.25">
      <c r="A33514" t="s">
        <v>376</v>
      </c>
      <c r="B33514" s="1" t="str">
        <f>HYPERLINK("http://patheon.kr","patheon.kr")</f>
        <v>patheon.kr</v>
      </c>
      <c r="C33514" t="s">
        <v>463</v>
      </c>
      <c r="D33514" t="s">
        <v>839</v>
      </c>
      <c r="F33514">
        <v>6.1808436428810502E-9</v>
      </c>
      <c r="G33514">
        <v>15635205</v>
      </c>
      <c r="H33514">
        <v>12158581</v>
      </c>
      <c r="I33514">
        <v>24407924</v>
      </c>
      <c r="J33514">
        <v>4</v>
      </c>
    </row>
    <row r="33515" spans="1:10" x14ac:dyDescent="0.25">
      <c r="A33515" t="s">
        <v>376</v>
      </c>
      <c r="B33515" s="1" t="str">
        <f>HYPERLINK("http://l2fu.net","l2fu.net")</f>
        <v>l2fu.net</v>
      </c>
      <c r="C33515" t="s">
        <v>474</v>
      </c>
      <c r="F33515">
        <v>5.4409672846853102E-9</v>
      </c>
      <c r="G33515">
        <v>21606261</v>
      </c>
      <c r="H33515">
        <v>13161158</v>
      </c>
      <c r="I33515">
        <v>11782860</v>
      </c>
      <c r="J33515">
        <v>7</v>
      </c>
    </row>
    <row r="33516" spans="1:10" x14ac:dyDescent="0.25">
      <c r="A33516" t="s">
        <v>376</v>
      </c>
      <c r="B33516" s="1" t="str">
        <f>HYPERLINK("http://optimalsites.net","optimalsites.net")</f>
        <v>optimalsites.net</v>
      </c>
      <c r="C33516" t="s">
        <v>474</v>
      </c>
      <c r="F33516">
        <v>8.6198064713485001E-9</v>
      </c>
      <c r="G33516">
        <v>8620627</v>
      </c>
      <c r="H33516">
        <v>13124267</v>
      </c>
      <c r="I33516">
        <v>11968047</v>
      </c>
      <c r="J33516">
        <v>3</v>
      </c>
    </row>
    <row r="33517" spans="1:10" x14ac:dyDescent="0.25">
      <c r="A33517" t="s">
        <v>376</v>
      </c>
      <c r="B33517" s="1" t="str">
        <f>HYPERLINK("http://fishersci.nl","fishersci.nl")</f>
        <v>fishersci.nl</v>
      </c>
      <c r="C33517" t="s">
        <v>477</v>
      </c>
      <c r="D33517" t="s">
        <v>852</v>
      </c>
      <c r="F33517">
        <v>1.63566775822863E-8</v>
      </c>
      <c r="G33517">
        <v>3457024</v>
      </c>
      <c r="H33517">
        <v>12832536</v>
      </c>
      <c r="I33517">
        <v>14400946</v>
      </c>
      <c r="J33517">
        <v>3</v>
      </c>
    </row>
    <row r="33518" spans="1:10" x14ac:dyDescent="0.25">
      <c r="A33518" t="s">
        <v>376</v>
      </c>
      <c r="B33518" s="1" t="str">
        <f>HYPERLINK("http://fishersci.no","fishersci.no")</f>
        <v>fishersci.no</v>
      </c>
      <c r="C33518" t="s">
        <v>478</v>
      </c>
      <c r="D33518" t="s">
        <v>853</v>
      </c>
      <c r="F33518">
        <v>1.57983398618994E-8</v>
      </c>
      <c r="G33518">
        <v>3599962</v>
      </c>
      <c r="H33518">
        <v>14072127</v>
      </c>
      <c r="I33518">
        <v>3158440</v>
      </c>
      <c r="J33518">
        <v>3</v>
      </c>
    </row>
    <row r="33519" spans="1:10" x14ac:dyDescent="0.25">
      <c r="A33519" t="s">
        <v>376</v>
      </c>
      <c r="B33519" s="1" t="str">
        <f>HYPERLINK("http://thermofisher.co.nz","thermofisher.co.nz")</f>
        <v>thermofisher.co.nz</v>
      </c>
      <c r="C33519" t="s">
        <v>479</v>
      </c>
      <c r="D33519" t="s">
        <v>854</v>
      </c>
      <c r="F33519">
        <v>1.3150891495049101E-8</v>
      </c>
      <c r="G33519">
        <v>4560638</v>
      </c>
      <c r="H33519">
        <v>12927019</v>
      </c>
      <c r="I33519">
        <v>13383219</v>
      </c>
      <c r="J33519">
        <v>2</v>
      </c>
    </row>
    <row r="33520" spans="1:10" x14ac:dyDescent="0.25">
      <c r="A33520" t="s">
        <v>376</v>
      </c>
      <c r="B33520" s="1" t="str">
        <f>HYPERLINK("http://fishersci.pt","fishersci.pt")</f>
        <v>fishersci.pt</v>
      </c>
      <c r="C33520" t="s">
        <v>488</v>
      </c>
      <c r="D33520" t="s">
        <v>862</v>
      </c>
      <c r="F33520">
        <v>1.7839368359888401E-8</v>
      </c>
      <c r="G33520">
        <v>3066338</v>
      </c>
      <c r="H33520">
        <v>14143664</v>
      </c>
      <c r="I33520">
        <v>1911441</v>
      </c>
      <c r="J33520">
        <v>3</v>
      </c>
    </row>
    <row r="33521" spans="1:10" x14ac:dyDescent="0.25">
      <c r="A33521" t="s">
        <v>376</v>
      </c>
      <c r="B33521" s="1" t="str">
        <f>HYPERLINK("http://fishersci.se","fishersci.se")</f>
        <v>fishersci.se</v>
      </c>
      <c r="C33521" t="s">
        <v>495</v>
      </c>
      <c r="D33521" t="s">
        <v>869</v>
      </c>
      <c r="E33521">
        <v>807159</v>
      </c>
      <c r="F33521">
        <v>3.1605390727144297E-8</v>
      </c>
      <c r="G33521">
        <v>1633022</v>
      </c>
      <c r="H33521">
        <v>14424855</v>
      </c>
      <c r="I33521">
        <v>1080973</v>
      </c>
      <c r="J33521">
        <v>3</v>
      </c>
    </row>
    <row r="33522" spans="1:10" x14ac:dyDescent="0.25">
      <c r="A33522" t="s">
        <v>376</v>
      </c>
      <c r="B33522" s="1" t="str">
        <f>HYPERLINK("http://fishersci.co.uk","fishersci.co.uk")</f>
        <v>fishersci.co.uk</v>
      </c>
      <c r="C33522" t="s">
        <v>506</v>
      </c>
      <c r="D33522" t="s">
        <v>880</v>
      </c>
      <c r="E33522">
        <v>230432</v>
      </c>
      <c r="F33522">
        <v>5.36729983553556E-8</v>
      </c>
      <c r="G33522">
        <v>847192</v>
      </c>
      <c r="H33522">
        <v>14355670</v>
      </c>
      <c r="I33522">
        <v>1306622</v>
      </c>
      <c r="J33522">
        <v>3</v>
      </c>
    </row>
    <row r="33523" spans="1:10" x14ac:dyDescent="0.25">
      <c r="A33523" t="s">
        <v>377</v>
      </c>
      <c r="B33523" s="1" t="str">
        <f>HYPERLINK("http://thomsonreuters.ae","thomsonreuters.ae")</f>
        <v>thomsonreuters.ae</v>
      </c>
      <c r="C33523" t="s">
        <v>417</v>
      </c>
      <c r="D33523" t="s">
        <v>799</v>
      </c>
      <c r="F33523">
        <v>5.4573778755761104E-9</v>
      </c>
      <c r="G33523">
        <v>21391347</v>
      </c>
      <c r="H33523">
        <v>9915677</v>
      </c>
      <c r="I33523">
        <v>61502700</v>
      </c>
      <c r="J33523">
        <v>3</v>
      </c>
    </row>
    <row r="33524" spans="1:10" x14ac:dyDescent="0.25">
      <c r="A33524" t="s">
        <v>377</v>
      </c>
      <c r="B33524" s="1" t="str">
        <f>HYPERLINK("http://thomsonreuters.com.ar","thomsonreuters.com.ar")</f>
        <v>thomsonreuters.com.ar</v>
      </c>
      <c r="C33524" t="s">
        <v>418</v>
      </c>
      <c r="D33524" t="s">
        <v>800</v>
      </c>
      <c r="E33524">
        <v>784110</v>
      </c>
      <c r="F33524">
        <v>1.63769785350321E-7</v>
      </c>
      <c r="G33524">
        <v>237013</v>
      </c>
      <c r="H33524">
        <v>14252288</v>
      </c>
      <c r="I33524">
        <v>1441801</v>
      </c>
      <c r="J33524">
        <v>2</v>
      </c>
    </row>
    <row r="33525" spans="1:10" x14ac:dyDescent="0.25">
      <c r="A33525" t="s">
        <v>377</v>
      </c>
      <c r="B33525" s="1" t="str">
        <f>HYPERLINK("http://thomsonreuters.com.au","thomsonreuters.com.au")</f>
        <v>thomsonreuters.com.au</v>
      </c>
      <c r="C33525" t="s">
        <v>420</v>
      </c>
      <c r="D33525" t="s">
        <v>802</v>
      </c>
      <c r="E33525">
        <v>328513</v>
      </c>
      <c r="F33525">
        <v>6.3065806547185599E-7</v>
      </c>
      <c r="G33525">
        <v>60831</v>
      </c>
      <c r="H33525">
        <v>14992820</v>
      </c>
      <c r="I33525">
        <v>427603</v>
      </c>
      <c r="J33525">
        <v>2</v>
      </c>
    </row>
    <row r="33526" spans="1:10" x14ac:dyDescent="0.25">
      <c r="A33526" t="s">
        <v>377</v>
      </c>
      <c r="B33526" s="1" t="str">
        <f>HYPERLINK("http://thomsonreuters.biz","thomsonreuters.biz")</f>
        <v>thomsonreuters.biz</v>
      </c>
      <c r="C33526" t="s">
        <v>423</v>
      </c>
      <c r="E33526">
        <v>172837</v>
      </c>
      <c r="F33526">
        <v>1.11556597431276E-7</v>
      </c>
      <c r="G33526">
        <v>358302</v>
      </c>
      <c r="H33526">
        <v>14604507</v>
      </c>
      <c r="I33526">
        <v>682662</v>
      </c>
      <c r="J33526">
        <v>2</v>
      </c>
    </row>
    <row r="33527" spans="1:10" x14ac:dyDescent="0.25">
      <c r="A33527" t="s">
        <v>377</v>
      </c>
      <c r="B33527" s="1" t="str">
        <f>HYPERLINK("http://thomsonreuters.com.br","thomsonreuters.com.br")</f>
        <v>thomsonreuters.com.br</v>
      </c>
      <c r="C33527" t="s">
        <v>425</v>
      </c>
      <c r="D33527" t="s">
        <v>806</v>
      </c>
      <c r="E33527">
        <v>752869</v>
      </c>
      <c r="F33527">
        <v>2.3504684883280001E-8</v>
      </c>
      <c r="G33527">
        <v>2214136</v>
      </c>
      <c r="H33527">
        <v>13785175</v>
      </c>
      <c r="I33527">
        <v>6404278</v>
      </c>
      <c r="J33527">
        <v>2</v>
      </c>
    </row>
    <row r="33528" spans="1:10" x14ac:dyDescent="0.25">
      <c r="A33528" t="s">
        <v>377</v>
      </c>
      <c r="B33528" s="1" t="str">
        <f>HYPERLINK("http://thomsonreuters.ca","thomsonreuters.ca")</f>
        <v>thomsonreuters.ca</v>
      </c>
      <c r="C33528" t="s">
        <v>428</v>
      </c>
      <c r="D33528" t="s">
        <v>809</v>
      </c>
      <c r="E33528">
        <v>368119</v>
      </c>
      <c r="F33528">
        <v>3.56357408507045E-7</v>
      </c>
      <c r="G33528">
        <v>104875</v>
      </c>
      <c r="H33528">
        <v>14605635</v>
      </c>
      <c r="I33528">
        <v>681863</v>
      </c>
      <c r="J33528">
        <v>2</v>
      </c>
    </row>
    <row r="33529" spans="1:10" x14ac:dyDescent="0.25">
      <c r="A33529" t="s">
        <v>377</v>
      </c>
      <c r="B33529" s="1" t="str">
        <f>HYPERLINK("http://thomsonreuters.cl","thomsonreuters.cl")</f>
        <v>thomsonreuters.cl</v>
      </c>
      <c r="C33529" t="s">
        <v>430</v>
      </c>
      <c r="D33529" t="s">
        <v>811</v>
      </c>
      <c r="F33529">
        <v>1.95043029526911E-8</v>
      </c>
      <c r="G33529">
        <v>2743733</v>
      </c>
      <c r="H33529">
        <v>14082270</v>
      </c>
      <c r="I33529">
        <v>2801871</v>
      </c>
      <c r="J33529">
        <v>2</v>
      </c>
    </row>
    <row r="33530" spans="1:10" x14ac:dyDescent="0.25">
      <c r="A33530" t="s">
        <v>377</v>
      </c>
      <c r="B33530" s="1" t="str">
        <f>HYPERLINK("http://thomsonreuters.cn","thomsonreuters.cn")</f>
        <v>thomsonreuters.cn</v>
      </c>
      <c r="C33530" t="s">
        <v>431</v>
      </c>
      <c r="D33530" t="s">
        <v>812</v>
      </c>
      <c r="F33530">
        <v>7.0829035484453996E-8</v>
      </c>
      <c r="G33530">
        <v>597346</v>
      </c>
      <c r="H33530">
        <v>14153630</v>
      </c>
      <c r="I33530">
        <v>1865438</v>
      </c>
      <c r="J33530">
        <v>2</v>
      </c>
    </row>
    <row r="33531" spans="1:10" x14ac:dyDescent="0.25">
      <c r="A33531" t="s">
        <v>377</v>
      </c>
      <c r="B33531" s="1" t="str">
        <f>HYPERLINK("http://aumentumtech.com","aumentumtech.com")</f>
        <v>aumentumtech.com</v>
      </c>
      <c r="C33531" t="s">
        <v>433</v>
      </c>
      <c r="E33531">
        <v>890649</v>
      </c>
      <c r="F33531">
        <v>3.7679338840067998E-8</v>
      </c>
      <c r="G33531">
        <v>1373408</v>
      </c>
      <c r="H33531">
        <v>12681045</v>
      </c>
      <c r="I33531">
        <v>15491571</v>
      </c>
      <c r="J33531">
        <v>5</v>
      </c>
    </row>
    <row r="33532" spans="1:10" x14ac:dyDescent="0.25">
      <c r="A33532" t="s">
        <v>377</v>
      </c>
      <c r="B33532" s="1" t="str">
        <f>HYPERLINK("http://breakingviews.com","breakingviews.com")</f>
        <v>breakingviews.com</v>
      </c>
      <c r="C33532" t="s">
        <v>433</v>
      </c>
      <c r="E33532">
        <v>157733</v>
      </c>
      <c r="F33532">
        <v>4.9464128643462504E-7</v>
      </c>
      <c r="G33532">
        <v>77175</v>
      </c>
      <c r="H33532">
        <v>15047235</v>
      </c>
      <c r="I33532">
        <v>415177</v>
      </c>
      <c r="J33532">
        <v>3</v>
      </c>
    </row>
    <row r="33533" spans="1:10" x14ac:dyDescent="0.25">
      <c r="A33533" t="s">
        <v>377</v>
      </c>
      <c r="B33533" s="1" t="str">
        <f>HYPERLINK("http://caselines.com","caselines.com")</f>
        <v>caselines.com</v>
      </c>
      <c r="C33533" t="s">
        <v>433</v>
      </c>
      <c r="E33533">
        <v>458430</v>
      </c>
      <c r="F33533">
        <v>3.3289020994929401E-8</v>
      </c>
      <c r="G33533">
        <v>1552375</v>
      </c>
      <c r="H33533">
        <v>13615194</v>
      </c>
      <c r="I33533">
        <v>9630816</v>
      </c>
      <c r="J33533">
        <v>3</v>
      </c>
    </row>
    <row r="33534" spans="1:10" x14ac:dyDescent="0.25">
      <c r="A33534" t="s">
        <v>377</v>
      </c>
      <c r="B33534" s="1" t="str">
        <f>HYPERLINK("http://confirmation.com","confirmation.com")</f>
        <v>confirmation.com</v>
      </c>
      <c r="C33534" t="s">
        <v>433</v>
      </c>
      <c r="E33534">
        <v>155022</v>
      </c>
      <c r="F33534">
        <v>1.11812596093414E-7</v>
      </c>
      <c r="G33534">
        <v>357359</v>
      </c>
      <c r="H33534">
        <v>13989574</v>
      </c>
      <c r="I33534">
        <v>4033657</v>
      </c>
      <c r="J33534">
        <v>3</v>
      </c>
    </row>
    <row r="33535" spans="1:10" x14ac:dyDescent="0.25">
      <c r="A33535" t="s">
        <v>377</v>
      </c>
      <c r="B33535" s="1" t="str">
        <f>HYPERLINK("http://corepublishingsolutions.com","corepublishingsolutions.com")</f>
        <v>corepublishingsolutions.com</v>
      </c>
      <c r="C33535" t="s">
        <v>433</v>
      </c>
      <c r="F33535">
        <v>1.1763860398632501E-8</v>
      </c>
      <c r="G33535">
        <v>5325014</v>
      </c>
      <c r="H33535">
        <v>12680968</v>
      </c>
      <c r="I33535">
        <v>15492070</v>
      </c>
      <c r="J33535">
        <v>3</v>
      </c>
    </row>
    <row r="33536" spans="1:10" x14ac:dyDescent="0.25">
      <c r="A33536" t="s">
        <v>377</v>
      </c>
      <c r="B33536" s="1" t="str">
        <f>HYPERLINK("http://ecotality.com","ecotality.com")</f>
        <v>ecotality.com</v>
      </c>
      <c r="C33536" t="s">
        <v>433</v>
      </c>
      <c r="E33536">
        <v>296236</v>
      </c>
      <c r="F33536">
        <v>6.6761009987318297E-8</v>
      </c>
      <c r="G33536">
        <v>641253</v>
      </c>
      <c r="H33536">
        <v>14567243</v>
      </c>
      <c r="I33536">
        <v>738743</v>
      </c>
      <c r="J33536">
        <v>5</v>
      </c>
    </row>
    <row r="33537" spans="1:10" x14ac:dyDescent="0.25">
      <c r="A33537" t="s">
        <v>377</v>
      </c>
      <c r="B33537" s="1" t="str">
        <f>HYPERLINK("http://elite.com","elite.com")</f>
        <v>elite.com</v>
      </c>
      <c r="C33537" t="s">
        <v>433</v>
      </c>
      <c r="E33537">
        <v>319001</v>
      </c>
      <c r="F33537">
        <v>1.09733112087907E-7</v>
      </c>
      <c r="G33537">
        <v>364570</v>
      </c>
      <c r="H33537">
        <v>14152251</v>
      </c>
      <c r="I33537">
        <v>1870270</v>
      </c>
      <c r="J33537">
        <v>3</v>
      </c>
    </row>
    <row r="33538" spans="1:10" x14ac:dyDescent="0.25">
      <c r="A33538" t="s">
        <v>377</v>
      </c>
      <c r="B33538" s="1" t="str">
        <f>HYPERLINK("http://highq.com","highq.com")</f>
        <v>highq.com</v>
      </c>
      <c r="C33538" t="s">
        <v>433</v>
      </c>
      <c r="E33538">
        <v>90086</v>
      </c>
      <c r="F33538">
        <v>3.0433327546272001E-7</v>
      </c>
      <c r="G33538">
        <v>122162</v>
      </c>
      <c r="H33538">
        <v>14362281</v>
      </c>
      <c r="I33538">
        <v>1303583</v>
      </c>
      <c r="J33538">
        <v>3</v>
      </c>
    </row>
    <row r="33539" spans="1:10" x14ac:dyDescent="0.25">
      <c r="A33539" t="s">
        <v>377</v>
      </c>
      <c r="B33539" s="1" t="str">
        <f>HYPERLINK("http://politicususa.com","politicususa.com")</f>
        <v>politicususa.com</v>
      </c>
      <c r="C33539" t="s">
        <v>433</v>
      </c>
      <c r="E33539">
        <v>49820</v>
      </c>
      <c r="F33539">
        <v>4.44788878010167E-7</v>
      </c>
      <c r="G33539">
        <v>84839</v>
      </c>
      <c r="H33539">
        <v>15616636</v>
      </c>
      <c r="I33539">
        <v>371589</v>
      </c>
      <c r="J33539">
        <v>4</v>
      </c>
    </row>
    <row r="33540" spans="1:10" x14ac:dyDescent="0.25">
      <c r="A33540" t="s">
        <v>377</v>
      </c>
      <c r="B33540" s="1" t="str">
        <f>HYPERLINK("http://reuters.com","reuters.com")</f>
        <v>reuters.com</v>
      </c>
      <c r="C33540" t="s">
        <v>433</v>
      </c>
      <c r="E33540">
        <v>207</v>
      </c>
      <c r="F33540">
        <v>8.7175504871063499E-5</v>
      </c>
      <c r="G33540">
        <v>304</v>
      </c>
      <c r="H33540">
        <v>19805166</v>
      </c>
      <c r="I33540">
        <v>86</v>
      </c>
      <c r="J33540">
        <v>3</v>
      </c>
    </row>
    <row r="33541" spans="1:10" x14ac:dyDescent="0.25">
      <c r="A33541" t="s">
        <v>377</v>
      </c>
      <c r="B33541" s="1" t="str">
        <f>HYPERLINK("http://reutersevents.com","reutersevents.com")</f>
        <v>reutersevents.com</v>
      </c>
      <c r="C33541" t="s">
        <v>433</v>
      </c>
      <c r="E33541">
        <v>27446</v>
      </c>
      <c r="F33541">
        <v>2.5191760217408901E-6</v>
      </c>
      <c r="G33541">
        <v>14919</v>
      </c>
      <c r="H33541">
        <v>16360344</v>
      </c>
      <c r="I33541">
        <v>365137</v>
      </c>
      <c r="J33541">
        <v>5</v>
      </c>
    </row>
    <row r="33542" spans="1:10" x14ac:dyDescent="0.25">
      <c r="A33542" t="s">
        <v>377</v>
      </c>
      <c r="B33542" s="1" t="str">
        <f>HYPERLINK("http://thomsonreuters.com","thomsonreuters.com")</f>
        <v>thomsonreuters.com</v>
      </c>
      <c r="C33542" t="s">
        <v>433</v>
      </c>
      <c r="E33542">
        <v>1884</v>
      </c>
      <c r="F33542">
        <v>1.5931881743181701E-5</v>
      </c>
      <c r="G33542">
        <v>2123</v>
      </c>
      <c r="H33542">
        <v>18299642</v>
      </c>
      <c r="I33542">
        <v>2365</v>
      </c>
      <c r="J33542">
        <v>1</v>
      </c>
    </row>
    <row r="33543" spans="1:10" x14ac:dyDescent="0.25">
      <c r="A33543" t="s">
        <v>377</v>
      </c>
      <c r="B33543" s="1" t="str">
        <f>HYPERLINK("http://tr.com","tr.com")</f>
        <v>tr.com</v>
      </c>
      <c r="C33543" t="s">
        <v>433</v>
      </c>
      <c r="E33543">
        <v>67078</v>
      </c>
      <c r="F33543">
        <v>1.8246181128432801E-7</v>
      </c>
      <c r="G33543">
        <v>211368</v>
      </c>
      <c r="H33543">
        <v>16973482</v>
      </c>
      <c r="I33543">
        <v>101489</v>
      </c>
      <c r="J33543">
        <v>3</v>
      </c>
    </row>
    <row r="33544" spans="1:10" x14ac:dyDescent="0.25">
      <c r="A33544" t="s">
        <v>377</v>
      </c>
      <c r="B33544" s="1" t="str">
        <f>HYPERLINK("http://westlaw.com","westlaw.com")</f>
        <v>westlaw.com</v>
      </c>
      <c r="C33544" t="s">
        <v>433</v>
      </c>
      <c r="E33544">
        <v>8012</v>
      </c>
      <c r="F33544">
        <v>4.7157768623279E-6</v>
      </c>
      <c r="G33544">
        <v>7448</v>
      </c>
      <c r="H33544">
        <v>17560116</v>
      </c>
      <c r="I33544">
        <v>10931</v>
      </c>
      <c r="J33544">
        <v>5</v>
      </c>
    </row>
    <row r="33545" spans="1:10" x14ac:dyDescent="0.25">
      <c r="A33545" t="s">
        <v>377</v>
      </c>
      <c r="B33545" s="1" t="str">
        <f>HYPERLINK("http://aranzadi.es","aranzadi.es")</f>
        <v>aranzadi.es</v>
      </c>
      <c r="C33545" t="s">
        <v>443</v>
      </c>
      <c r="D33545" t="s">
        <v>822</v>
      </c>
      <c r="E33545">
        <v>385968</v>
      </c>
      <c r="F33545">
        <v>1.08199932325238E-7</v>
      </c>
      <c r="G33545">
        <v>369877</v>
      </c>
      <c r="H33545">
        <v>14634519</v>
      </c>
      <c r="I33545">
        <v>641803</v>
      </c>
      <c r="J33545">
        <v>3</v>
      </c>
    </row>
    <row r="33546" spans="1:10" x14ac:dyDescent="0.25">
      <c r="A33546" t="s">
        <v>377</v>
      </c>
      <c r="B33546" s="1" t="str">
        <f>HYPERLINK("http://thomsonreuters.es","thomsonreuters.es")</f>
        <v>thomsonreuters.es</v>
      </c>
      <c r="C33546" t="s">
        <v>443</v>
      </c>
      <c r="D33546" t="s">
        <v>822</v>
      </c>
      <c r="E33546">
        <v>617966</v>
      </c>
      <c r="F33546">
        <v>1.8263013156638601E-7</v>
      </c>
      <c r="G33546">
        <v>211162</v>
      </c>
      <c r="H33546">
        <v>14587553</v>
      </c>
      <c r="I33546">
        <v>698975</v>
      </c>
      <c r="J33546">
        <v>2</v>
      </c>
    </row>
    <row r="33547" spans="1:10" x14ac:dyDescent="0.25">
      <c r="A33547" t="s">
        <v>377</v>
      </c>
      <c r="B33547" s="1" t="str">
        <f>HYPERLINK("http://findlaw.fi","findlaw.fi")</f>
        <v>findlaw.fi</v>
      </c>
      <c r="C33547" t="s">
        <v>445</v>
      </c>
      <c r="D33547" t="s">
        <v>823</v>
      </c>
      <c r="J33547">
        <v>2</v>
      </c>
    </row>
    <row r="33548" spans="1:10" x14ac:dyDescent="0.25">
      <c r="A33548" t="s">
        <v>377</v>
      </c>
      <c r="B33548" s="1" t="str">
        <f>HYPERLINK("http://onesource.fi","onesource.fi")</f>
        <v>onesource.fi</v>
      </c>
      <c r="C33548" t="s">
        <v>445</v>
      </c>
      <c r="D33548" t="s">
        <v>823</v>
      </c>
      <c r="J33548">
        <v>2</v>
      </c>
    </row>
    <row r="33549" spans="1:10" x14ac:dyDescent="0.25">
      <c r="A33549" t="s">
        <v>377</v>
      </c>
      <c r="B33549" s="1" t="str">
        <f>HYPERLINK("http://onvio.fi","onvio.fi")</f>
        <v>onvio.fi</v>
      </c>
      <c r="C33549" t="s">
        <v>445</v>
      </c>
      <c r="D33549" t="s">
        <v>823</v>
      </c>
      <c r="J33549">
        <v>2</v>
      </c>
    </row>
    <row r="33550" spans="1:10" x14ac:dyDescent="0.25">
      <c r="A33550" t="s">
        <v>377</v>
      </c>
      <c r="B33550" s="1" t="str">
        <f>HYPERLINK("http://reuters.fi","reuters.fi")</f>
        <v>reuters.fi</v>
      </c>
      <c r="C33550" t="s">
        <v>445</v>
      </c>
      <c r="D33550" t="s">
        <v>823</v>
      </c>
      <c r="J33550">
        <v>2</v>
      </c>
    </row>
    <row r="33551" spans="1:10" x14ac:dyDescent="0.25">
      <c r="A33551" t="s">
        <v>377</v>
      </c>
      <c r="B33551" s="1" t="str">
        <f>HYPERLINK("http://reutersfinancial.fi","reutersfinancial.fi")</f>
        <v>reutersfinancial.fi</v>
      </c>
      <c r="C33551" t="s">
        <v>445</v>
      </c>
      <c r="D33551" t="s">
        <v>823</v>
      </c>
      <c r="J33551">
        <v>2</v>
      </c>
    </row>
    <row r="33552" spans="1:10" x14ac:dyDescent="0.25">
      <c r="A33552" t="s">
        <v>377</v>
      </c>
      <c r="B33552" s="1" t="str">
        <f>HYPERLINK("http://thomsonreuters.fi","thomsonreuters.fi")</f>
        <v>thomsonreuters.fi</v>
      </c>
      <c r="C33552" t="s">
        <v>445</v>
      </c>
      <c r="D33552" t="s">
        <v>823</v>
      </c>
      <c r="J33552">
        <v>2</v>
      </c>
    </row>
    <row r="33553" spans="1:10" x14ac:dyDescent="0.25">
      <c r="A33553" t="s">
        <v>377</v>
      </c>
      <c r="B33553" s="1" t="str">
        <f>HYPERLINK("http://tr.fi","tr.fi")</f>
        <v>tr.fi</v>
      </c>
      <c r="C33553" t="s">
        <v>445</v>
      </c>
      <c r="D33553" t="s">
        <v>823</v>
      </c>
      <c r="J33553">
        <v>2</v>
      </c>
    </row>
    <row r="33554" spans="1:10" x14ac:dyDescent="0.25">
      <c r="A33554" t="s">
        <v>377</v>
      </c>
      <c r="B33554" s="1" t="str">
        <f>HYPERLINK("http://westlaw.fi","westlaw.fi")</f>
        <v>westlaw.fi</v>
      </c>
      <c r="C33554" t="s">
        <v>445</v>
      </c>
      <c r="D33554" t="s">
        <v>823</v>
      </c>
      <c r="J33554">
        <v>2</v>
      </c>
    </row>
    <row r="33555" spans="1:10" x14ac:dyDescent="0.25">
      <c r="A33555" t="s">
        <v>377</v>
      </c>
      <c r="B33555" s="1" t="str">
        <f>HYPERLINK("http://thomsonreuters.com.hk","thomsonreuters.com.hk")</f>
        <v>thomsonreuters.com.hk</v>
      </c>
      <c r="C33555" t="s">
        <v>450</v>
      </c>
      <c r="D33555" t="s">
        <v>827</v>
      </c>
      <c r="F33555">
        <v>2.9481357932777499E-8</v>
      </c>
      <c r="G33555">
        <v>1748294</v>
      </c>
      <c r="H33555">
        <v>13003844</v>
      </c>
      <c r="I33555">
        <v>12777433</v>
      </c>
      <c r="J33555">
        <v>2</v>
      </c>
    </row>
    <row r="33556" spans="1:10" x14ac:dyDescent="0.25">
      <c r="A33556" t="s">
        <v>377</v>
      </c>
      <c r="B33556" s="1" t="str">
        <f>HYPERLINK("http://thomsonreuters.in","thomsonreuters.in")</f>
        <v>thomsonreuters.in</v>
      </c>
      <c r="C33556" t="s">
        <v>457</v>
      </c>
      <c r="D33556" t="s">
        <v>834</v>
      </c>
      <c r="F33556">
        <v>4.9330048728801297E-8</v>
      </c>
      <c r="G33556">
        <v>938224</v>
      </c>
      <c r="H33556">
        <v>13031335</v>
      </c>
      <c r="I33556">
        <v>12665472</v>
      </c>
      <c r="J33556">
        <v>2</v>
      </c>
    </row>
    <row r="33557" spans="1:10" x14ac:dyDescent="0.25">
      <c r="A33557" t="s">
        <v>377</v>
      </c>
      <c r="B33557" s="1" t="str">
        <f>HYPERLINK("http://verifirm.in","verifirm.in")</f>
        <v>verifirm.in</v>
      </c>
      <c r="C33557" t="s">
        <v>457</v>
      </c>
      <c r="D33557" t="s">
        <v>834</v>
      </c>
      <c r="F33557">
        <v>4.5194016608804298E-9</v>
      </c>
      <c r="G33557">
        <v>56297719</v>
      </c>
      <c r="H33557">
        <v>12320837</v>
      </c>
      <c r="I33557">
        <v>20399579</v>
      </c>
      <c r="J33557">
        <v>6</v>
      </c>
    </row>
    <row r="33558" spans="1:10" x14ac:dyDescent="0.25">
      <c r="A33558" t="s">
        <v>377</v>
      </c>
      <c r="B33558" s="1" t="str">
        <f>HYPERLINK("http://thomsonreuters.info","thomsonreuters.info")</f>
        <v>thomsonreuters.info</v>
      </c>
      <c r="C33558" t="s">
        <v>458</v>
      </c>
      <c r="E33558">
        <v>415188</v>
      </c>
      <c r="F33558">
        <v>1.6137574501749301E-7</v>
      </c>
      <c r="G33558">
        <v>240558</v>
      </c>
      <c r="H33558">
        <v>14007203</v>
      </c>
      <c r="I33558">
        <v>4004368</v>
      </c>
      <c r="J33558">
        <v>2</v>
      </c>
    </row>
    <row r="33559" spans="1:10" x14ac:dyDescent="0.25">
      <c r="A33559" t="s">
        <v>377</v>
      </c>
      <c r="B33559" s="1" t="str">
        <f>HYPERLINK("http://bestlaw.io","bestlaw.io")</f>
        <v>bestlaw.io</v>
      </c>
      <c r="C33559" t="s">
        <v>518</v>
      </c>
      <c r="F33559">
        <v>4.4964181582367702E-8</v>
      </c>
      <c r="G33559">
        <v>1050689</v>
      </c>
      <c r="H33559">
        <v>16839290</v>
      </c>
      <c r="I33559">
        <v>161581</v>
      </c>
      <c r="J33559">
        <v>5</v>
      </c>
    </row>
    <row r="33560" spans="1:10" x14ac:dyDescent="0.25">
      <c r="A33560" t="s">
        <v>377</v>
      </c>
      <c r="B33560" s="1" t="str">
        <f>HYPERLINK("http://reuters.co.jp","reuters.co.jp")</f>
        <v>reuters.co.jp</v>
      </c>
      <c r="C33560" t="s">
        <v>461</v>
      </c>
      <c r="D33560" t="s">
        <v>837</v>
      </c>
      <c r="E33560">
        <v>789231</v>
      </c>
      <c r="F33560">
        <v>8.8610277548815605E-8</v>
      </c>
      <c r="G33560">
        <v>461804</v>
      </c>
      <c r="H33560">
        <v>17062286</v>
      </c>
      <c r="I33560">
        <v>73414</v>
      </c>
      <c r="J33560">
        <v>4</v>
      </c>
    </row>
    <row r="33561" spans="1:10" x14ac:dyDescent="0.25">
      <c r="A33561" t="s">
        <v>377</v>
      </c>
      <c r="B33561" s="1" t="str">
        <f>HYPERLINK("http://thomsonreuters.co.jp","thomsonreuters.co.jp")</f>
        <v>thomsonreuters.co.jp</v>
      </c>
      <c r="C33561" t="s">
        <v>461</v>
      </c>
      <c r="D33561" t="s">
        <v>837</v>
      </c>
      <c r="F33561">
        <v>4.01681874160536E-8</v>
      </c>
      <c r="G33561">
        <v>1287643</v>
      </c>
      <c r="H33561">
        <v>14395019</v>
      </c>
      <c r="I33561">
        <v>1161045</v>
      </c>
      <c r="J33561">
        <v>2</v>
      </c>
    </row>
    <row r="33562" spans="1:10" x14ac:dyDescent="0.25">
      <c r="A33562" t="s">
        <v>377</v>
      </c>
      <c r="B33562" s="1" t="str">
        <f>HYPERLINK("http://thomsonreuters.co.kr","thomsonreuters.co.kr")</f>
        <v>thomsonreuters.co.kr</v>
      </c>
      <c r="C33562" t="s">
        <v>463</v>
      </c>
      <c r="D33562" t="s">
        <v>839</v>
      </c>
      <c r="F33562">
        <v>3.8109724439368199E-8</v>
      </c>
      <c r="G33562">
        <v>1358187</v>
      </c>
      <c r="H33562">
        <v>12829101</v>
      </c>
      <c r="I33562">
        <v>14435241</v>
      </c>
      <c r="J33562">
        <v>2</v>
      </c>
    </row>
    <row r="33563" spans="1:10" x14ac:dyDescent="0.25">
      <c r="A33563" t="s">
        <v>377</v>
      </c>
      <c r="B33563" s="1" t="str">
        <f>HYPERLINK("http://thomsonreuters.com.my","thomsonreuters.com.my")</f>
        <v>thomsonreuters.com.my</v>
      </c>
      <c r="C33563" t="s">
        <v>472</v>
      </c>
      <c r="D33563" t="s">
        <v>848</v>
      </c>
      <c r="F33563">
        <v>1.97075752477872E-8</v>
      </c>
      <c r="G33563">
        <v>2707972</v>
      </c>
      <c r="H33563">
        <v>12784738</v>
      </c>
      <c r="I33563">
        <v>14718582</v>
      </c>
      <c r="J33563">
        <v>2</v>
      </c>
    </row>
    <row r="33564" spans="1:10" x14ac:dyDescent="0.25">
      <c r="A33564" t="s">
        <v>377</v>
      </c>
      <c r="B33564" s="1" t="str">
        <f>HYPERLINK("http://thomsonreuters.net","thomsonreuters.net")</f>
        <v>thomsonreuters.net</v>
      </c>
      <c r="C33564" t="s">
        <v>474</v>
      </c>
      <c r="E33564">
        <v>1971</v>
      </c>
      <c r="F33564">
        <v>1.3539199003325999E-8</v>
      </c>
      <c r="G33564">
        <v>4387491</v>
      </c>
      <c r="H33564">
        <v>13021595</v>
      </c>
      <c r="I33564">
        <v>12706535</v>
      </c>
      <c r="J33564">
        <v>2</v>
      </c>
    </row>
    <row r="33565" spans="1:10" x14ac:dyDescent="0.25">
      <c r="A33565" t="s">
        <v>377</v>
      </c>
      <c r="B33565" s="1" t="str">
        <f>HYPERLINK("http://thomsonreuters.co.nz","thomsonreuters.co.nz")</f>
        <v>thomsonreuters.co.nz</v>
      </c>
      <c r="C33565" t="s">
        <v>479</v>
      </c>
      <c r="D33565" t="s">
        <v>854</v>
      </c>
      <c r="F33565">
        <v>7.8534335144675998E-8</v>
      </c>
      <c r="G33565">
        <v>532312</v>
      </c>
      <c r="H33565">
        <v>14220998</v>
      </c>
      <c r="I33565">
        <v>1685452</v>
      </c>
      <c r="J33565">
        <v>2</v>
      </c>
    </row>
    <row r="33566" spans="1:10" x14ac:dyDescent="0.25">
      <c r="A33566" t="s">
        <v>377</v>
      </c>
      <c r="B33566" s="1" t="str">
        <f>HYPERLINK("http://trust.org","trust.org")</f>
        <v>trust.org</v>
      </c>
      <c r="C33566" t="s">
        <v>481</v>
      </c>
      <c r="E33566">
        <v>9340</v>
      </c>
      <c r="F33566">
        <v>8.8865125936073893E-6</v>
      </c>
      <c r="G33566">
        <v>3803</v>
      </c>
      <c r="H33566">
        <v>18693104</v>
      </c>
      <c r="I33566">
        <v>1023</v>
      </c>
      <c r="J33566">
        <v>4</v>
      </c>
    </row>
    <row r="33567" spans="1:10" x14ac:dyDescent="0.25">
      <c r="A33567" t="s">
        <v>377</v>
      </c>
      <c r="B33567" s="1" t="str">
        <f>HYPERLINK("http://thomsonreuters.com.pe","thomsonreuters.com.pe")</f>
        <v>thomsonreuters.com.pe</v>
      </c>
      <c r="C33567" t="s">
        <v>483</v>
      </c>
      <c r="D33567" t="s">
        <v>857</v>
      </c>
      <c r="F33567">
        <v>1.93542186428088E-8</v>
      </c>
      <c r="G33567">
        <v>2770405</v>
      </c>
      <c r="H33567">
        <v>12783473</v>
      </c>
      <c r="I33567">
        <v>14725828</v>
      </c>
      <c r="J33567">
        <v>2</v>
      </c>
    </row>
    <row r="33568" spans="1:10" x14ac:dyDescent="0.25">
      <c r="A33568" t="s">
        <v>377</v>
      </c>
      <c r="B33568" s="1" t="str">
        <f>HYPERLINK("http://reuters.ru","reuters.ru")</f>
        <v>reuters.ru</v>
      </c>
      <c r="C33568" t="s">
        <v>493</v>
      </c>
      <c r="D33568" t="s">
        <v>867</v>
      </c>
      <c r="F33568">
        <v>2.54407370980577E-8</v>
      </c>
      <c r="G33568">
        <v>2027645</v>
      </c>
      <c r="H33568">
        <v>13080390</v>
      </c>
      <c r="I33568">
        <v>12187602</v>
      </c>
      <c r="J33568">
        <v>4</v>
      </c>
    </row>
    <row r="33569" spans="1:10" x14ac:dyDescent="0.25">
      <c r="A33569" t="s">
        <v>377</v>
      </c>
      <c r="B33569" s="1" t="str">
        <f>HYPERLINK("http://thomsonreuters.ru","thomsonreuters.ru")</f>
        <v>thomsonreuters.ru</v>
      </c>
      <c r="C33569" t="s">
        <v>493</v>
      </c>
      <c r="D33569" t="s">
        <v>867</v>
      </c>
      <c r="F33569">
        <v>5.1494274332675498E-8</v>
      </c>
      <c r="G33569">
        <v>888388</v>
      </c>
      <c r="H33569">
        <v>13297513</v>
      </c>
      <c r="I33569">
        <v>10841292</v>
      </c>
      <c r="J33569">
        <v>2</v>
      </c>
    </row>
    <row r="33570" spans="1:10" x14ac:dyDescent="0.25">
      <c r="A33570" t="s">
        <v>377</v>
      </c>
      <c r="B33570" s="1" t="str">
        <f>HYPERLINK("http://thomsonreuters.com.sg","thomsonreuters.com.sg")</f>
        <v>thomsonreuters.com.sg</v>
      </c>
      <c r="C33570" t="s">
        <v>496</v>
      </c>
      <c r="D33570" t="s">
        <v>870</v>
      </c>
      <c r="F33570">
        <v>3.6399271696625E-8</v>
      </c>
      <c r="G33570">
        <v>1433893</v>
      </c>
      <c r="H33570">
        <v>13406650</v>
      </c>
      <c r="I33570">
        <v>10354085</v>
      </c>
      <c r="J33570">
        <v>2</v>
      </c>
    </row>
    <row r="33571" spans="1:10" x14ac:dyDescent="0.25">
      <c r="A33571" t="s">
        <v>377</v>
      </c>
      <c r="B33571" s="1" t="str">
        <f>HYPERLINK("http://reuters.tv","reuters.tv")</f>
        <v>reuters.tv</v>
      </c>
      <c r="C33571" t="s">
        <v>535</v>
      </c>
      <c r="D33571" t="s">
        <v>897</v>
      </c>
      <c r="E33571">
        <v>60336</v>
      </c>
      <c r="F33571">
        <v>2.37080040658057E-7</v>
      </c>
      <c r="G33571">
        <v>158004</v>
      </c>
      <c r="H33571">
        <v>14977713</v>
      </c>
      <c r="I33571">
        <v>431670</v>
      </c>
      <c r="J33571">
        <v>4</v>
      </c>
    </row>
    <row r="33572" spans="1:10" x14ac:dyDescent="0.25">
      <c r="A33572" t="s">
        <v>377</v>
      </c>
      <c r="B33572" s="1" t="str">
        <f>HYPERLINK("http://sanyukatv.ug","sanyukatv.ug")</f>
        <v>sanyukatv.ug</v>
      </c>
      <c r="C33572" t="s">
        <v>677</v>
      </c>
      <c r="D33572" t="s">
        <v>995</v>
      </c>
      <c r="F33572">
        <v>5.79071024438593E-9</v>
      </c>
      <c r="G33572">
        <v>18159070</v>
      </c>
      <c r="H33572">
        <v>12192298</v>
      </c>
      <c r="I33572">
        <v>23528231</v>
      </c>
      <c r="J33572">
        <v>4</v>
      </c>
    </row>
    <row r="33573" spans="1:10" x14ac:dyDescent="0.25">
      <c r="A33573" t="s">
        <v>377</v>
      </c>
      <c r="B33573" s="1" t="str">
        <f>HYPERLINK("http://caselines.co.uk","caselines.co.uk")</f>
        <v>caselines.co.uk</v>
      </c>
      <c r="C33573" t="s">
        <v>506</v>
      </c>
      <c r="D33573" t="s">
        <v>880</v>
      </c>
      <c r="E33573">
        <v>709509</v>
      </c>
      <c r="F33573">
        <v>9.5826553852264797E-9</v>
      </c>
      <c r="G33573">
        <v>7224833</v>
      </c>
      <c r="H33573">
        <v>12283525</v>
      </c>
      <c r="I33573">
        <v>21240462</v>
      </c>
      <c r="J33573">
        <v>4</v>
      </c>
    </row>
    <row r="33574" spans="1:10" x14ac:dyDescent="0.25">
      <c r="A33574" t="s">
        <v>377</v>
      </c>
      <c r="B33574" s="1" t="str">
        <f>HYPERLINK("http://incomesdata.co.uk","incomesdata.co.uk")</f>
        <v>incomesdata.co.uk</v>
      </c>
      <c r="C33574" t="s">
        <v>506</v>
      </c>
      <c r="D33574" t="s">
        <v>880</v>
      </c>
      <c r="F33574">
        <v>1.5405414708416202E-8</v>
      </c>
      <c r="G33574">
        <v>3712755</v>
      </c>
      <c r="H33574">
        <v>14221358</v>
      </c>
      <c r="I33574">
        <v>1684996</v>
      </c>
      <c r="J33574">
        <v>3</v>
      </c>
    </row>
    <row r="33575" spans="1:10" x14ac:dyDescent="0.25">
      <c r="A33575" t="s">
        <v>377</v>
      </c>
      <c r="B33575" s="1" t="str">
        <f>HYPERLINK("http://sweetandmaxwell.co.uk","sweetandmaxwell.co.uk")</f>
        <v>sweetandmaxwell.co.uk</v>
      </c>
      <c r="C33575" t="s">
        <v>506</v>
      </c>
      <c r="D33575" t="s">
        <v>880</v>
      </c>
      <c r="E33575">
        <v>282124</v>
      </c>
      <c r="F33575">
        <v>3.5242931731035901E-7</v>
      </c>
      <c r="G33575">
        <v>106094</v>
      </c>
      <c r="H33575">
        <v>17163096</v>
      </c>
      <c r="I33575">
        <v>49254</v>
      </c>
      <c r="J33575">
        <v>3</v>
      </c>
    </row>
    <row r="33576" spans="1:10" x14ac:dyDescent="0.25">
      <c r="A33576" t="s">
        <v>377</v>
      </c>
      <c r="B33576" s="1" t="str">
        <f>HYPERLINK("http://thomsonreuters.co.uk","thomsonreuters.co.uk")</f>
        <v>thomsonreuters.co.uk</v>
      </c>
      <c r="C33576" t="s">
        <v>506</v>
      </c>
      <c r="D33576" t="s">
        <v>880</v>
      </c>
      <c r="E33576">
        <v>215900</v>
      </c>
      <c r="F33576">
        <v>2.63652242079045E-7</v>
      </c>
      <c r="G33576">
        <v>141630</v>
      </c>
      <c r="H33576">
        <v>13990128</v>
      </c>
      <c r="I33576">
        <v>4032919</v>
      </c>
      <c r="J33576">
        <v>2</v>
      </c>
    </row>
    <row r="33577" spans="1:10" x14ac:dyDescent="0.25">
      <c r="A33577" t="s">
        <v>1657</v>
      </c>
      <c r="B33577" s="1" t="str">
        <f>HYPERLINK("http://carrierchronicles.com","carrierchronicles.com")</f>
        <v>carrierchronicles.com</v>
      </c>
      <c r="C33577" t="s">
        <v>433</v>
      </c>
      <c r="F33577">
        <v>7.3026369562938098E-9</v>
      </c>
      <c r="G33577">
        <v>11473309</v>
      </c>
      <c r="H33577">
        <v>11031287</v>
      </c>
      <c r="I33577">
        <v>33085399</v>
      </c>
      <c r="J33577">
        <v>6</v>
      </c>
    </row>
    <row r="33578" spans="1:10" x14ac:dyDescent="0.25">
      <c r="A33578" t="s">
        <v>1657</v>
      </c>
      <c r="B33578" s="1" t="str">
        <f>HYPERLINK("http://cs-bikejibaiseki.com","cs-bikejibaiseki.com")</f>
        <v>cs-bikejibaiseki.com</v>
      </c>
      <c r="C33578" t="s">
        <v>433</v>
      </c>
      <c r="J33578">
        <v>4</v>
      </c>
    </row>
    <row r="33579" spans="1:10" x14ac:dyDescent="0.25">
      <c r="A33579" t="s">
        <v>1657</v>
      </c>
      <c r="B33579" s="1" t="str">
        <f>HYPERLINK("http://delphifin.com","delphifin.com")</f>
        <v>delphifin.com</v>
      </c>
      <c r="C33579" t="s">
        <v>433</v>
      </c>
      <c r="F33579">
        <v>1.04403890793311E-8</v>
      </c>
      <c r="G33579">
        <v>6322374</v>
      </c>
      <c r="H33579">
        <v>12194476</v>
      </c>
      <c r="I33579">
        <v>23467693</v>
      </c>
      <c r="J33579">
        <v>3</v>
      </c>
    </row>
    <row r="33580" spans="1:10" x14ac:dyDescent="0.25">
      <c r="A33580" t="s">
        <v>1657</v>
      </c>
      <c r="B33580" s="1" t="str">
        <f>HYPERLINK("http://gcube-insurance.com","gcube-insurance.com")</f>
        <v>gcube-insurance.com</v>
      </c>
      <c r="C33580" t="s">
        <v>433</v>
      </c>
      <c r="F33580">
        <v>2.7084568492589101E-8</v>
      </c>
      <c r="G33580">
        <v>1898832</v>
      </c>
      <c r="H33580">
        <v>14072765</v>
      </c>
      <c r="I33580">
        <v>3047157</v>
      </c>
      <c r="J33580">
        <v>6</v>
      </c>
    </row>
    <row r="33581" spans="1:10" x14ac:dyDescent="0.25">
      <c r="A33581" t="s">
        <v>1657</v>
      </c>
      <c r="B33581" s="1" t="str">
        <f>HYPERLINK("http://hcc.com","hcc.com")</f>
        <v>hcc.com</v>
      </c>
      <c r="C33581" t="s">
        <v>433</v>
      </c>
      <c r="E33581">
        <v>691762</v>
      </c>
      <c r="F33581">
        <v>2.9450226456290599E-8</v>
      </c>
      <c r="G33581">
        <v>1750016</v>
      </c>
      <c r="H33581">
        <v>13580731</v>
      </c>
      <c r="I33581">
        <v>9688049</v>
      </c>
      <c r="J33581">
        <v>5</v>
      </c>
    </row>
    <row r="33582" spans="1:10" x14ac:dyDescent="0.25">
      <c r="A33582" t="s">
        <v>1657</v>
      </c>
      <c r="B33582" s="1" t="str">
        <f>HYPERLINK("http://hcch.com","hcch.com")</f>
        <v>hcch.com</v>
      </c>
      <c r="C33582" t="s">
        <v>433</v>
      </c>
      <c r="E33582">
        <v>225362</v>
      </c>
      <c r="F33582">
        <v>6.4038712733519499E-9</v>
      </c>
      <c r="G33582">
        <v>14498868</v>
      </c>
      <c r="H33582">
        <v>14237532</v>
      </c>
      <c r="I33582">
        <v>1547555</v>
      </c>
      <c r="J33582">
        <v>4</v>
      </c>
    </row>
    <row r="33583" spans="1:10" x14ac:dyDescent="0.25">
      <c r="A33583" t="s">
        <v>1657</v>
      </c>
      <c r="B33583" s="1" t="str">
        <f>HYPERLINK("http://hccint.com","hccint.com")</f>
        <v>hccint.com</v>
      </c>
      <c r="C33583" t="s">
        <v>433</v>
      </c>
      <c r="F33583">
        <v>1.1625278998575399E-8</v>
      </c>
      <c r="G33583">
        <v>5416032</v>
      </c>
      <c r="H33583">
        <v>10851021</v>
      </c>
      <c r="I33583">
        <v>36833492</v>
      </c>
      <c r="J33583">
        <v>4</v>
      </c>
    </row>
    <row r="33584" spans="1:10" x14ac:dyDescent="0.25">
      <c r="A33584" t="s">
        <v>1657</v>
      </c>
      <c r="B33584" s="1" t="str">
        <f>HYPERLINK("http://hcclife.com","hcclife.com")</f>
        <v>hcclife.com</v>
      </c>
      <c r="C33584" t="s">
        <v>433</v>
      </c>
      <c r="F33584">
        <v>4.5455818737885403E-9</v>
      </c>
      <c r="G33584">
        <v>52669410</v>
      </c>
      <c r="H33584">
        <v>10641881</v>
      </c>
      <c r="I33584">
        <v>43726120</v>
      </c>
      <c r="J33584">
        <v>5</v>
      </c>
    </row>
    <row r="33585" spans="1:10" x14ac:dyDescent="0.25">
      <c r="A33585" t="s">
        <v>1657</v>
      </c>
      <c r="B33585" s="1" t="str">
        <f>HYPERLINK("http://oncallinternational.com","oncallinternational.com")</f>
        <v>oncallinternational.com</v>
      </c>
      <c r="C33585" t="s">
        <v>433</v>
      </c>
      <c r="F33585">
        <v>9.4876675351085795E-8</v>
      </c>
      <c r="G33585">
        <v>427432</v>
      </c>
      <c r="H33585">
        <v>14123224</v>
      </c>
      <c r="I33585">
        <v>2183650</v>
      </c>
      <c r="J33585">
        <v>5</v>
      </c>
    </row>
    <row r="33586" spans="1:10" x14ac:dyDescent="0.25">
      <c r="A33586" t="s">
        <v>1657</v>
      </c>
      <c r="B33586" s="1" t="str">
        <f>HYPERLINK("http://phly.com","phly.com")</f>
        <v>phly.com</v>
      </c>
      <c r="C33586" t="s">
        <v>433</v>
      </c>
      <c r="E33586">
        <v>91048</v>
      </c>
      <c r="F33586">
        <v>4.5930434991754102E-7</v>
      </c>
      <c r="G33586">
        <v>82360</v>
      </c>
      <c r="H33586">
        <v>14059693</v>
      </c>
      <c r="I33586">
        <v>3887160</v>
      </c>
      <c r="J33586">
        <v>3</v>
      </c>
    </row>
    <row r="33587" spans="1:10" x14ac:dyDescent="0.25">
      <c r="A33587" t="s">
        <v>1657</v>
      </c>
      <c r="B33587" s="1" t="str">
        <f>HYPERLINK("http://proag.com","proag.com")</f>
        <v>proag.com</v>
      </c>
      <c r="C33587" t="s">
        <v>433</v>
      </c>
      <c r="E33587">
        <v>820069</v>
      </c>
      <c r="F33587">
        <v>4.6818206699820099E-8</v>
      </c>
      <c r="G33587">
        <v>997557</v>
      </c>
      <c r="H33587">
        <v>14451755</v>
      </c>
      <c r="I33587">
        <v>1052290</v>
      </c>
      <c r="J33587">
        <v>5</v>
      </c>
    </row>
    <row r="33588" spans="1:10" x14ac:dyDescent="0.25">
      <c r="A33588" t="s">
        <v>1657</v>
      </c>
      <c r="B33588" s="1" t="str">
        <f>HYPERLINK("http://pureinsurance.com","pureinsurance.com")</f>
        <v>pureinsurance.com</v>
      </c>
      <c r="C33588" t="s">
        <v>433</v>
      </c>
      <c r="E33588">
        <v>139177</v>
      </c>
      <c r="F33588">
        <v>2.2219891857845101E-7</v>
      </c>
      <c r="G33588">
        <v>169637</v>
      </c>
      <c r="H33588">
        <v>16889180</v>
      </c>
      <c r="I33588">
        <v>135620</v>
      </c>
      <c r="J33588">
        <v>4</v>
      </c>
    </row>
    <row r="33589" spans="1:10" x14ac:dyDescent="0.25">
      <c r="A33589" t="s">
        <v>1657</v>
      </c>
      <c r="B33589" s="1" t="str">
        <f>HYPERLINK("http://reliancestandard.com","reliancestandard.com")</f>
        <v>reliancestandard.com</v>
      </c>
      <c r="C33589" t="s">
        <v>433</v>
      </c>
      <c r="E33589">
        <v>421709</v>
      </c>
      <c r="F33589">
        <v>7.6023997997968999E-8</v>
      </c>
      <c r="G33589">
        <v>552492</v>
      </c>
      <c r="H33589">
        <v>13430116</v>
      </c>
      <c r="I33589">
        <v>10281599</v>
      </c>
      <c r="J33589">
        <v>4</v>
      </c>
    </row>
    <row r="33590" spans="1:10" x14ac:dyDescent="0.25">
      <c r="A33590" t="s">
        <v>1657</v>
      </c>
      <c r="B33590" s="1" t="str">
        <f>HYPERLINK("http://safetynational.com","safetynational.com")</f>
        <v>safetynational.com</v>
      </c>
      <c r="C33590" t="s">
        <v>433</v>
      </c>
      <c r="E33590">
        <v>883359</v>
      </c>
      <c r="F33590">
        <v>8.7173778435923494E-8</v>
      </c>
      <c r="G33590">
        <v>470893</v>
      </c>
      <c r="H33590">
        <v>14542632</v>
      </c>
      <c r="I33590">
        <v>772914</v>
      </c>
      <c r="J33590">
        <v>4</v>
      </c>
    </row>
    <row r="33591" spans="1:10" x14ac:dyDescent="0.25">
      <c r="A33591" t="s">
        <v>1657</v>
      </c>
      <c r="B33591" s="1" t="str">
        <f>HYPERLINK("http://theqdosgroup.com","theqdosgroup.com")</f>
        <v>theqdosgroup.com</v>
      </c>
      <c r="C33591" t="s">
        <v>433</v>
      </c>
      <c r="F33591">
        <v>4.79109382419182E-9</v>
      </c>
      <c r="G33591">
        <v>36444812</v>
      </c>
      <c r="H33591">
        <v>10842388</v>
      </c>
      <c r="I33591">
        <v>37054128</v>
      </c>
      <c r="J33591">
        <v>7</v>
      </c>
    </row>
    <row r="33592" spans="1:10" x14ac:dyDescent="0.25">
      <c r="A33592" t="s">
        <v>1657</v>
      </c>
      <c r="B33592" s="1" t="str">
        <f>HYPERLINK("http://tmhcc.com","tmhcc.com")</f>
        <v>tmhcc.com</v>
      </c>
      <c r="C33592" t="s">
        <v>433</v>
      </c>
      <c r="E33592">
        <v>246151</v>
      </c>
      <c r="F33592">
        <v>1.4475160429495399E-7</v>
      </c>
      <c r="G33592">
        <v>268934</v>
      </c>
      <c r="H33592">
        <v>14116511</v>
      </c>
      <c r="I33592">
        <v>2661684</v>
      </c>
      <c r="J33592">
        <v>3</v>
      </c>
    </row>
    <row r="33593" spans="1:10" x14ac:dyDescent="0.25">
      <c r="A33593" t="s">
        <v>1657</v>
      </c>
      <c r="B33593" s="1" t="str">
        <f>HYPERLINK("http://tmhcctransplant.com","tmhcctransplant.com")</f>
        <v>tmhcctransplant.com</v>
      </c>
      <c r="C33593" t="s">
        <v>433</v>
      </c>
      <c r="J33593">
        <v>5</v>
      </c>
    </row>
    <row r="33594" spans="1:10" x14ac:dyDescent="0.25">
      <c r="A33594" t="s">
        <v>1657</v>
      </c>
      <c r="B33594" s="1" t="str">
        <f>HYPERLINK("http://tmkiln.com","tmkiln.com")</f>
        <v>tmkiln.com</v>
      </c>
      <c r="C33594" t="s">
        <v>433</v>
      </c>
      <c r="F33594">
        <v>4.0838753032457803E-8</v>
      </c>
      <c r="G33594">
        <v>1269675</v>
      </c>
      <c r="H33594">
        <v>12917995</v>
      </c>
      <c r="I33594">
        <v>13501243</v>
      </c>
      <c r="J33594">
        <v>4</v>
      </c>
    </row>
    <row r="33595" spans="1:10" x14ac:dyDescent="0.25">
      <c r="A33595" t="s">
        <v>1657</v>
      </c>
      <c r="B33595" s="1" t="str">
        <f>HYPERLINK("http://tmnf-shoukou-kanyuu.com","tmnf-shoukou-kanyuu.com")</f>
        <v>tmnf-shoukou-kanyuu.com</v>
      </c>
      <c r="C33595" t="s">
        <v>433</v>
      </c>
      <c r="F33595">
        <v>4.5017752787118897E-9</v>
      </c>
      <c r="G33595">
        <v>58679624</v>
      </c>
      <c r="H33595">
        <v>6945838</v>
      </c>
      <c r="I33595">
        <v>77044782</v>
      </c>
      <c r="J33595">
        <v>2</v>
      </c>
    </row>
    <row r="33596" spans="1:10" x14ac:dyDescent="0.25">
      <c r="A33596" t="s">
        <v>1657</v>
      </c>
      <c r="B33596" s="1" t="str">
        <f>HYPERLINK("http://tmnf-shoukou-qrsakusei.com","tmnf-shoukou-qrsakusei.com")</f>
        <v>tmnf-shoukou-qrsakusei.com</v>
      </c>
      <c r="C33596" t="s">
        <v>433</v>
      </c>
      <c r="J33596">
        <v>2</v>
      </c>
    </row>
    <row r="33597" spans="1:10" x14ac:dyDescent="0.25">
      <c r="A33597" t="s">
        <v>1657</v>
      </c>
      <c r="B33597" s="1" t="str">
        <f>HYPERLINK("http://tokiomarine.com","tokiomarine.com")</f>
        <v>tokiomarine.com</v>
      </c>
      <c r="C33597" t="s">
        <v>433</v>
      </c>
      <c r="E33597">
        <v>468552</v>
      </c>
      <c r="F33597">
        <v>1.33668915224385E-7</v>
      </c>
      <c r="G33597">
        <v>292185</v>
      </c>
      <c r="H33597">
        <v>14454120</v>
      </c>
      <c r="I33597">
        <v>1050674</v>
      </c>
      <c r="J33597">
        <v>4</v>
      </c>
    </row>
    <row r="33598" spans="1:10" x14ac:dyDescent="0.25">
      <c r="A33598" t="s">
        <v>1657</v>
      </c>
      <c r="B33598" s="1" t="str">
        <f>HYPERLINK("http://tokiomarineam.com","tokiomarineam.com")</f>
        <v>tokiomarineam.com</v>
      </c>
      <c r="C33598" t="s">
        <v>433</v>
      </c>
      <c r="F33598">
        <v>1.00440142213888E-8</v>
      </c>
      <c r="G33598">
        <v>6711420</v>
      </c>
      <c r="H33598">
        <v>12255069</v>
      </c>
      <c r="I33598">
        <v>21892590</v>
      </c>
      <c r="J33598">
        <v>3</v>
      </c>
    </row>
    <row r="33599" spans="1:10" x14ac:dyDescent="0.25">
      <c r="A33599" t="s">
        <v>1657</v>
      </c>
      <c r="B33599" s="1" t="str">
        <f>HYPERLINK("http://tokiomarineasia.com","tokiomarineasia.com")</f>
        <v>tokiomarineasia.com</v>
      </c>
      <c r="C33599" t="s">
        <v>433</v>
      </c>
      <c r="F33599">
        <v>1.05289453050468E-8</v>
      </c>
      <c r="G33599">
        <v>6244722</v>
      </c>
      <c r="H33599">
        <v>14071841</v>
      </c>
      <c r="I33599">
        <v>3298493</v>
      </c>
      <c r="J33599">
        <v>7</v>
      </c>
    </row>
    <row r="33600" spans="1:10" x14ac:dyDescent="0.25">
      <c r="A33600" t="s">
        <v>1657</v>
      </c>
      <c r="B33600" s="1" t="str">
        <f>HYPERLINK("http://tokiomarinehd.com","tokiomarinehd.com")</f>
        <v>tokiomarinehd.com</v>
      </c>
      <c r="C33600" t="s">
        <v>433</v>
      </c>
      <c r="E33600">
        <v>465607</v>
      </c>
      <c r="F33600">
        <v>1.8135963279070099E-7</v>
      </c>
      <c r="G33600">
        <v>212877</v>
      </c>
      <c r="H33600">
        <v>14566025</v>
      </c>
      <c r="I33600">
        <v>740035</v>
      </c>
      <c r="J33600">
        <v>1</v>
      </c>
    </row>
    <row r="33601" spans="1:10" x14ac:dyDescent="0.25">
      <c r="A33601" t="s">
        <v>1657</v>
      </c>
      <c r="B33601" s="1" t="str">
        <f>HYPERLINK("http://tokiomarinekiln.com","tokiomarinekiln.com")</f>
        <v>tokiomarinekiln.com</v>
      </c>
      <c r="C33601" t="s">
        <v>433</v>
      </c>
      <c r="E33601">
        <v>284147</v>
      </c>
      <c r="F33601">
        <v>2.8907924466532601E-8</v>
      </c>
      <c r="G33601">
        <v>1780742</v>
      </c>
      <c r="H33601">
        <v>14077876</v>
      </c>
      <c r="I33601">
        <v>2857163</v>
      </c>
      <c r="J33601">
        <v>2</v>
      </c>
    </row>
    <row r="33602" spans="1:10" x14ac:dyDescent="0.25">
      <c r="A33602" t="s">
        <v>1657</v>
      </c>
      <c r="B33602" s="1" t="str">
        <f>HYPERLINK("http://wncfirst.com","wncfirst.com")</f>
        <v>wncfirst.com</v>
      </c>
      <c r="C33602" t="s">
        <v>433</v>
      </c>
      <c r="F33602">
        <v>6.3193414024984898E-9</v>
      </c>
      <c r="G33602">
        <v>14940554</v>
      </c>
      <c r="H33602">
        <v>13936735</v>
      </c>
      <c r="I33602">
        <v>4485799</v>
      </c>
      <c r="J33602">
        <v>4</v>
      </c>
    </row>
    <row r="33603" spans="1:10" x14ac:dyDescent="0.25">
      <c r="A33603" t="s">
        <v>1657</v>
      </c>
      <c r="B33603" s="1" t="str">
        <f>HYPERLINK("http://tokiomarine.eu","tokiomarine.eu")</f>
        <v>tokiomarine.eu</v>
      </c>
      <c r="C33603" t="s">
        <v>444</v>
      </c>
      <c r="F33603">
        <v>4.7587934971201204E-9</v>
      </c>
      <c r="G33603">
        <v>37883109</v>
      </c>
      <c r="H33603">
        <v>13933061</v>
      </c>
      <c r="I33603">
        <v>5477371</v>
      </c>
      <c r="J33603">
        <v>6</v>
      </c>
    </row>
    <row r="33604" spans="1:10" x14ac:dyDescent="0.25">
      <c r="A33604" t="s">
        <v>1657</v>
      </c>
      <c r="B33604" s="1" t="str">
        <f>HYPERLINK("http://iffcotokio.co.in","iffcotokio.co.in")</f>
        <v>iffcotokio.co.in</v>
      </c>
      <c r="C33604" t="s">
        <v>457</v>
      </c>
      <c r="D33604" t="s">
        <v>834</v>
      </c>
      <c r="E33604">
        <v>148661</v>
      </c>
      <c r="F33604">
        <v>1.52986745199283E-7</v>
      </c>
      <c r="G33604">
        <v>253882</v>
      </c>
      <c r="H33604">
        <v>14273634</v>
      </c>
      <c r="I33604">
        <v>1393544</v>
      </c>
      <c r="J33604">
        <v>3</v>
      </c>
    </row>
    <row r="33605" spans="1:10" x14ac:dyDescent="0.25">
      <c r="A33605" t="s">
        <v>1657</v>
      </c>
      <c r="B33605" s="1" t="str">
        <f>HYPERLINK("http://nisshinfire.co.jp","nisshinfire.co.jp")</f>
        <v>nisshinfire.co.jp</v>
      </c>
      <c r="C33605" t="s">
        <v>461</v>
      </c>
      <c r="D33605" t="s">
        <v>837</v>
      </c>
      <c r="E33605">
        <v>466669</v>
      </c>
      <c r="F33605">
        <v>1.8364875596440399E-7</v>
      </c>
      <c r="G33605">
        <v>209980</v>
      </c>
      <c r="H33605">
        <v>14203004</v>
      </c>
      <c r="I33605">
        <v>1717100</v>
      </c>
      <c r="J33605">
        <v>3</v>
      </c>
    </row>
    <row r="33606" spans="1:10" x14ac:dyDescent="0.25">
      <c r="A33606" t="s">
        <v>1657</v>
      </c>
      <c r="B33606" s="1" t="str">
        <f>HYPERLINK("http://tkn-f.co.jp","tkn-f.co.jp")</f>
        <v>tkn-f.co.jp</v>
      </c>
      <c r="C33606" t="s">
        <v>461</v>
      </c>
      <c r="D33606" t="s">
        <v>837</v>
      </c>
      <c r="F33606">
        <v>1.09946491904015E-8</v>
      </c>
      <c r="G33606">
        <v>5865068</v>
      </c>
      <c r="H33606">
        <v>12624259</v>
      </c>
      <c r="I33606">
        <v>16043614</v>
      </c>
      <c r="J33606">
        <v>5</v>
      </c>
    </row>
    <row r="33607" spans="1:10" x14ac:dyDescent="0.25">
      <c r="A33607" t="s">
        <v>1657</v>
      </c>
      <c r="B33607" s="1" t="str">
        <f>HYPERLINK("http://tmn-anshin.co.jp","tmn-anshin.co.jp")</f>
        <v>tmn-anshin.co.jp</v>
      </c>
      <c r="C33607" t="s">
        <v>461</v>
      </c>
      <c r="D33607" t="s">
        <v>837</v>
      </c>
      <c r="E33607">
        <v>184532</v>
      </c>
      <c r="F33607">
        <v>4.1003861506054199E-7</v>
      </c>
      <c r="G33607">
        <v>91689</v>
      </c>
      <c r="H33607">
        <v>14312563</v>
      </c>
      <c r="I33607">
        <v>1339198</v>
      </c>
      <c r="J33607">
        <v>2</v>
      </c>
    </row>
    <row r="33608" spans="1:10" x14ac:dyDescent="0.25">
      <c r="A33608" t="s">
        <v>1657</v>
      </c>
      <c r="B33608" s="1" t="str">
        <f>HYPERLINK("http://tmssi.co.jp","tmssi.co.jp")</f>
        <v>tmssi.co.jp</v>
      </c>
      <c r="C33608" t="s">
        <v>461</v>
      </c>
      <c r="D33608" t="s">
        <v>837</v>
      </c>
      <c r="F33608">
        <v>2.06315814750826E-8</v>
      </c>
      <c r="G33608">
        <v>2566307</v>
      </c>
      <c r="H33608">
        <v>12941496</v>
      </c>
      <c r="I33608">
        <v>13278833</v>
      </c>
      <c r="J33608">
        <v>3</v>
      </c>
    </row>
    <row r="33609" spans="1:10" x14ac:dyDescent="0.25">
      <c r="A33609" t="s">
        <v>1657</v>
      </c>
      <c r="B33609" s="1" t="str">
        <f>HYPERLINK("http://tokiomarine.co.jp","tokiomarine.co.jp")</f>
        <v>tokiomarine.co.jp</v>
      </c>
      <c r="C33609" t="s">
        <v>461</v>
      </c>
      <c r="D33609" t="s">
        <v>837</v>
      </c>
      <c r="F33609">
        <v>6.5378121102551098E-9</v>
      </c>
      <c r="G33609">
        <v>13922242</v>
      </c>
      <c r="H33609">
        <v>12467822</v>
      </c>
      <c r="I33609">
        <v>17782113</v>
      </c>
      <c r="J33609">
        <v>2</v>
      </c>
    </row>
    <row r="33610" spans="1:10" x14ac:dyDescent="0.25">
      <c r="A33610" t="s">
        <v>1657</v>
      </c>
      <c r="B33610" s="1" t="str">
        <f>HYPERLINK("http://tokiomarine-nichido.co.jp","tokiomarine-nichido.co.jp")</f>
        <v>tokiomarine-nichido.co.jp</v>
      </c>
      <c r="C33610" t="s">
        <v>461</v>
      </c>
      <c r="D33610" t="s">
        <v>837</v>
      </c>
      <c r="E33610">
        <v>44873</v>
      </c>
      <c r="F33610">
        <v>1.42370859683565E-6</v>
      </c>
      <c r="G33610">
        <v>27494</v>
      </c>
      <c r="H33610">
        <v>17243426</v>
      </c>
      <c r="I33610">
        <v>34886</v>
      </c>
      <c r="J33610">
        <v>2</v>
      </c>
    </row>
    <row r="33611" spans="1:10" x14ac:dyDescent="0.25">
      <c r="A33611" t="s">
        <v>1657</v>
      </c>
      <c r="B33611" s="1" t="str">
        <f>HYPERLINK("http://tokiomarineam.co.jp","tokiomarineam.co.jp")</f>
        <v>tokiomarineam.co.jp</v>
      </c>
      <c r="C33611" t="s">
        <v>461</v>
      </c>
      <c r="D33611" t="s">
        <v>837</v>
      </c>
      <c r="F33611">
        <v>2.3244121928949601E-8</v>
      </c>
      <c r="G33611">
        <v>2244928</v>
      </c>
      <c r="H33611">
        <v>14399552</v>
      </c>
      <c r="I33611">
        <v>1155247</v>
      </c>
      <c r="J33611">
        <v>2</v>
      </c>
    </row>
    <row r="33612" spans="1:10" x14ac:dyDescent="0.25">
      <c r="A33612" t="s">
        <v>1657</v>
      </c>
      <c r="B33612" s="1" t="str">
        <f>HYPERLINK("http://dev-tokiomarine-api.jp","dev-tokiomarine-api.jp")</f>
        <v>dev-tokiomarine-api.jp</v>
      </c>
      <c r="C33612" t="s">
        <v>461</v>
      </c>
      <c r="D33612" t="s">
        <v>837</v>
      </c>
      <c r="J33612">
        <v>2</v>
      </c>
    </row>
    <row r="33613" spans="1:10" x14ac:dyDescent="0.25">
      <c r="A33613" t="s">
        <v>1657</v>
      </c>
      <c r="B33613" s="1" t="str">
        <f>HYPERLINK("http://millea.jp","millea.jp")</f>
        <v>millea.jp</v>
      </c>
      <c r="C33613" t="s">
        <v>461</v>
      </c>
      <c r="D33613" t="s">
        <v>837</v>
      </c>
      <c r="F33613">
        <v>6.1164083727477004E-9</v>
      </c>
      <c r="G33613">
        <v>16000126</v>
      </c>
      <c r="H33613">
        <v>10357589</v>
      </c>
      <c r="I33613">
        <v>55577661</v>
      </c>
      <c r="J33613">
        <v>2</v>
      </c>
    </row>
    <row r="33614" spans="1:10" x14ac:dyDescent="0.25">
      <c r="A33614" t="s">
        <v>1657</v>
      </c>
      <c r="B33614" s="1" t="str">
        <f>HYPERLINK("http://tmnf.jp","tmnf.jp")</f>
        <v>tmnf.jp</v>
      </c>
      <c r="C33614" t="s">
        <v>461</v>
      </c>
      <c r="D33614" t="s">
        <v>837</v>
      </c>
      <c r="E33614">
        <v>394041</v>
      </c>
      <c r="F33614">
        <v>7.0196389575671394E-8</v>
      </c>
      <c r="G33614">
        <v>603464</v>
      </c>
      <c r="H33614">
        <v>13100962</v>
      </c>
      <c r="I33614">
        <v>12099890</v>
      </c>
      <c r="J33614">
        <v>2</v>
      </c>
    </row>
    <row r="33615" spans="1:10" x14ac:dyDescent="0.25">
      <c r="A33615" t="s">
        <v>1657</v>
      </c>
      <c r="B33615" s="1" t="str">
        <f>HYPERLINK("http://tokiomarine-api.jp","tokiomarine-api.jp")</f>
        <v>tokiomarine-api.jp</v>
      </c>
      <c r="C33615" t="s">
        <v>461</v>
      </c>
      <c r="D33615" t="s">
        <v>837</v>
      </c>
      <c r="J33615">
        <v>2</v>
      </c>
    </row>
    <row r="33616" spans="1:10" x14ac:dyDescent="0.25">
      <c r="A33616" t="s">
        <v>1657</v>
      </c>
      <c r="B33616" s="1" t="str">
        <f>HYPERLINK("http://qdoscontractor.net","qdoscontractor.net")</f>
        <v>qdoscontractor.net</v>
      </c>
      <c r="C33616" t="s">
        <v>474</v>
      </c>
      <c r="J33616">
        <v>5</v>
      </c>
    </row>
    <row r="33617" spans="1:10" x14ac:dyDescent="0.25">
      <c r="A33617" t="s">
        <v>1657</v>
      </c>
      <c r="B33617" s="1" t="str">
        <f>HYPERLINK("http://tmausa.net","tmausa.net")</f>
        <v>tmausa.net</v>
      </c>
      <c r="C33617" t="s">
        <v>474</v>
      </c>
      <c r="F33617">
        <v>4.9911212786479401E-9</v>
      </c>
      <c r="G33617">
        <v>29641046</v>
      </c>
      <c r="H33617">
        <v>13770725</v>
      </c>
      <c r="I33617">
        <v>6718452</v>
      </c>
      <c r="J33617">
        <v>5</v>
      </c>
    </row>
    <row r="33618" spans="1:10" x14ac:dyDescent="0.25">
      <c r="A33618" t="s">
        <v>1657</v>
      </c>
      <c r="B33618" s="1" t="str">
        <f>HYPERLINK("http://tmn-anshin.net","tmn-anshin.net")</f>
        <v>tmn-anshin.net</v>
      </c>
      <c r="C33618" t="s">
        <v>474</v>
      </c>
      <c r="F33618">
        <v>6.5476567658766498E-9</v>
      </c>
      <c r="G33618">
        <v>13882334</v>
      </c>
      <c r="H33618">
        <v>12251980</v>
      </c>
      <c r="I33618">
        <v>21964421</v>
      </c>
      <c r="J33618">
        <v>3</v>
      </c>
    </row>
    <row r="33619" spans="1:10" x14ac:dyDescent="0.25">
      <c r="A33619" t="s">
        <v>1657</v>
      </c>
      <c r="B33619" s="1" t="str">
        <f>HYPERLINK("http://tokyomarine.net","tokyomarine.net")</f>
        <v>tokyomarine.net</v>
      </c>
      <c r="C33619" t="s">
        <v>474</v>
      </c>
      <c r="F33619">
        <v>7.05019476869132E-9</v>
      </c>
      <c r="G33619">
        <v>12164905</v>
      </c>
      <c r="H33619">
        <v>14075650</v>
      </c>
      <c r="I33619">
        <v>2903854</v>
      </c>
      <c r="J33619">
        <v>3</v>
      </c>
    </row>
    <row r="33620" spans="1:10" x14ac:dyDescent="0.25">
      <c r="A33620" t="s">
        <v>1657</v>
      </c>
      <c r="B33620" s="1" t="str">
        <f>HYPERLINK("http://tokiomarine.com.sg","tokiomarine.com.sg")</f>
        <v>tokiomarine.com.sg</v>
      </c>
      <c r="C33620" t="s">
        <v>496</v>
      </c>
      <c r="D33620" t="s">
        <v>870</v>
      </c>
      <c r="F33620">
        <v>1.05583915549312E-8</v>
      </c>
      <c r="G33620">
        <v>6219242</v>
      </c>
      <c r="H33620">
        <v>13566600</v>
      </c>
      <c r="I33620">
        <v>9752686</v>
      </c>
      <c r="J33620">
        <v>4</v>
      </c>
    </row>
    <row r="33621" spans="1:10" x14ac:dyDescent="0.25">
      <c r="A33621" t="s">
        <v>1657</v>
      </c>
      <c r="B33621" s="1" t="str">
        <f>HYPERLINK("http://tokiomarine-life.sg","tokiomarine-life.sg")</f>
        <v>tokiomarine-life.sg</v>
      </c>
      <c r="C33621" t="s">
        <v>496</v>
      </c>
      <c r="D33621" t="s">
        <v>870</v>
      </c>
      <c r="F33621">
        <v>1.6000322685019901E-8</v>
      </c>
      <c r="G33621">
        <v>3546124</v>
      </c>
      <c r="H33621">
        <v>12536736</v>
      </c>
      <c r="I33621">
        <v>16972299</v>
      </c>
      <c r="J33621">
        <v>3</v>
      </c>
    </row>
    <row r="33622" spans="1:10" x14ac:dyDescent="0.25">
      <c r="A33622" t="s">
        <v>378</v>
      </c>
      <c r="B33622" s="1" t="str">
        <f>HYPERLINK("http://telshanghai.cn","telshanghai.cn")</f>
        <v>telshanghai.cn</v>
      </c>
      <c r="C33622" t="s">
        <v>431</v>
      </c>
      <c r="D33622" t="s">
        <v>812</v>
      </c>
      <c r="J33622">
        <v>5</v>
      </c>
    </row>
    <row r="33623" spans="1:10" x14ac:dyDescent="0.25">
      <c r="A33623" t="s">
        <v>378</v>
      </c>
      <c r="B33623" s="1" t="str">
        <f>HYPERLINK("http://magnetic-solutions.com","magnetic-solutions.com")</f>
        <v>magnetic-solutions.com</v>
      </c>
      <c r="C33623" t="s">
        <v>433</v>
      </c>
      <c r="F33623">
        <v>5.2942846919088599E-9</v>
      </c>
      <c r="G33623">
        <v>23577667</v>
      </c>
      <c r="H33623">
        <v>12119313</v>
      </c>
      <c r="I33623">
        <v>25422819</v>
      </c>
      <c r="J33623">
        <v>3</v>
      </c>
    </row>
    <row r="33624" spans="1:10" x14ac:dyDescent="0.25">
      <c r="A33624" t="s">
        <v>378</v>
      </c>
      <c r="B33624" s="1" t="str">
        <f>HYPERLINK("http://tel.com","tel.com")</f>
        <v>tel.com</v>
      </c>
      <c r="C33624" t="s">
        <v>433</v>
      </c>
      <c r="E33624">
        <v>104855</v>
      </c>
      <c r="F33624">
        <v>1.8408680847107001E-7</v>
      </c>
      <c r="G33624">
        <v>209473</v>
      </c>
      <c r="H33624">
        <v>14992875</v>
      </c>
      <c r="I33624">
        <v>427594</v>
      </c>
      <c r="J33624">
        <v>2</v>
      </c>
    </row>
    <row r="33625" spans="1:10" x14ac:dyDescent="0.25">
      <c r="A33625" t="s">
        <v>378</v>
      </c>
      <c r="B33625" s="1" t="str">
        <f>HYPERLINK("http://teldevice.com","teldevice.com")</f>
        <v>teldevice.com</v>
      </c>
      <c r="C33625" t="s">
        <v>433</v>
      </c>
      <c r="F33625">
        <v>1.5493473021913401E-8</v>
      </c>
      <c r="G33625">
        <v>3686561</v>
      </c>
      <c r="H33625">
        <v>12609840</v>
      </c>
      <c r="I33625">
        <v>16238723</v>
      </c>
      <c r="J33625">
        <v>4</v>
      </c>
    </row>
    <row r="33626" spans="1:10" x14ac:dyDescent="0.25">
      <c r="A33626" t="s">
        <v>378</v>
      </c>
      <c r="B33626" s="1" t="str">
        <f>HYPERLINK("http://tel.co.jp","tel.co.jp")</f>
        <v>tel.co.jp</v>
      </c>
      <c r="C33626" t="s">
        <v>461</v>
      </c>
      <c r="D33626" t="s">
        <v>837</v>
      </c>
      <c r="E33626">
        <v>317998</v>
      </c>
      <c r="F33626">
        <v>1.2753754047043301E-7</v>
      </c>
      <c r="G33626">
        <v>307945</v>
      </c>
      <c r="H33626">
        <v>14434921</v>
      </c>
      <c r="I33626">
        <v>1069520</v>
      </c>
      <c r="J33626">
        <v>1</v>
      </c>
    </row>
    <row r="33627" spans="1:10" x14ac:dyDescent="0.25">
      <c r="A33627" t="s">
        <v>378</v>
      </c>
      <c r="B33627" s="1" t="str">
        <f>HYPERLINK("http://teldevice.co.jp","teldevice.co.jp")</f>
        <v>teldevice.co.jp</v>
      </c>
      <c r="C33627" t="s">
        <v>461</v>
      </c>
      <c r="D33627" t="s">
        <v>837</v>
      </c>
      <c r="E33627">
        <v>481810</v>
      </c>
      <c r="F33627">
        <v>7.2002039551827295E-7</v>
      </c>
      <c r="G33627">
        <v>53929</v>
      </c>
      <c r="H33627">
        <v>15263285</v>
      </c>
      <c r="I33627">
        <v>389079</v>
      </c>
      <c r="J33627">
        <v>3</v>
      </c>
    </row>
    <row r="33628" spans="1:10" x14ac:dyDescent="0.25">
      <c r="A33628" t="s">
        <v>379</v>
      </c>
      <c r="B33628" s="1" t="str">
        <f>HYPERLINK("http://tdbank.ca","tdbank.ca")</f>
        <v>tdbank.ca</v>
      </c>
      <c r="C33628" t="s">
        <v>428</v>
      </c>
      <c r="D33628" t="s">
        <v>809</v>
      </c>
      <c r="E33628">
        <v>35630</v>
      </c>
      <c r="F33628">
        <v>2.1878285652070699E-8</v>
      </c>
      <c r="G33628">
        <v>2400631</v>
      </c>
      <c r="H33628">
        <v>13259209</v>
      </c>
      <c r="I33628">
        <v>11044162</v>
      </c>
      <c r="J33628">
        <v>2</v>
      </c>
    </row>
    <row r="33629" spans="1:10" x14ac:dyDescent="0.25">
      <c r="A33629" t="s">
        <v>379</v>
      </c>
      <c r="B33629" s="1" t="str">
        <f>HYPERLINK("http://tdwaterhouse.ca","tdwaterhouse.ca")</f>
        <v>tdwaterhouse.ca</v>
      </c>
      <c r="C33629" t="s">
        <v>428</v>
      </c>
      <c r="D33629" t="s">
        <v>809</v>
      </c>
      <c r="E33629">
        <v>363660</v>
      </c>
      <c r="F33629">
        <v>3.2082306212413398E-7</v>
      </c>
      <c r="G33629">
        <v>115973</v>
      </c>
      <c r="H33629">
        <v>14564745</v>
      </c>
      <c r="I33629">
        <v>741340</v>
      </c>
      <c r="J33629">
        <v>4</v>
      </c>
    </row>
    <row r="33630" spans="1:10" x14ac:dyDescent="0.25">
      <c r="A33630" t="s">
        <v>379</v>
      </c>
      <c r="B33630" s="1" t="str">
        <f>HYPERLINK("http://blisseducation.com","blisseducation.com")</f>
        <v>blisseducation.com</v>
      </c>
      <c r="C33630" t="s">
        <v>433</v>
      </c>
      <c r="F33630">
        <v>4.44380395335525E-9</v>
      </c>
      <c r="G33630">
        <v>80899379</v>
      </c>
      <c r="H33630">
        <v>0</v>
      </c>
      <c r="I33630">
        <v>81160604</v>
      </c>
      <c r="J33630">
        <v>3</v>
      </c>
    </row>
    <row r="33631" spans="1:10" x14ac:dyDescent="0.25">
      <c r="A33631" t="s">
        <v>379</v>
      </c>
      <c r="B33631" s="1" t="str">
        <f>HYPERLINK("http://eipny.com","eipny.com")</f>
        <v>eipny.com</v>
      </c>
      <c r="C33631" t="s">
        <v>433</v>
      </c>
      <c r="F33631">
        <v>2.95292449980311E-8</v>
      </c>
      <c r="G33631">
        <v>1745569</v>
      </c>
      <c r="H33631">
        <v>14658224</v>
      </c>
      <c r="I33631">
        <v>621641</v>
      </c>
      <c r="J33631">
        <v>5</v>
      </c>
    </row>
    <row r="33632" spans="1:10" x14ac:dyDescent="0.25">
      <c r="A33632" t="s">
        <v>379</v>
      </c>
      <c r="B33632" s="1" t="str">
        <f>HYPERLINK("http://htglobalmarkets.com","htglobalmarkets.com")</f>
        <v>htglobalmarkets.com</v>
      </c>
      <c r="C33632" t="s">
        <v>433</v>
      </c>
      <c r="F33632">
        <v>4.4652655065390597E-9</v>
      </c>
      <c r="G33632">
        <v>66174363</v>
      </c>
      <c r="H33632">
        <v>1.0003663</v>
      </c>
      <c r="I33632">
        <v>78736965</v>
      </c>
      <c r="J33632">
        <v>4</v>
      </c>
    </row>
    <row r="33633" spans="1:10" x14ac:dyDescent="0.25">
      <c r="A33633" t="s">
        <v>379</v>
      </c>
      <c r="B33633" s="1" t="str">
        <f>HYPERLINK("http://melochemonnex.com","melochemonnex.com")</f>
        <v>melochemonnex.com</v>
      </c>
      <c r="C33633" t="s">
        <v>433</v>
      </c>
      <c r="E33633">
        <v>87197</v>
      </c>
      <c r="F33633">
        <v>2.9941973974773701E-8</v>
      </c>
      <c r="G33633">
        <v>1718257</v>
      </c>
      <c r="H33633">
        <v>13801865</v>
      </c>
      <c r="I33633">
        <v>6272226</v>
      </c>
      <c r="J33633">
        <v>3</v>
      </c>
    </row>
    <row r="33634" spans="1:10" x14ac:dyDescent="0.25">
      <c r="A33634" t="s">
        <v>379</v>
      </c>
      <c r="B33634" s="1" t="str">
        <f>HYPERLINK("http://musiquetd.com","musiquetd.com")</f>
        <v>musiquetd.com</v>
      </c>
      <c r="C33634" t="s">
        <v>433</v>
      </c>
      <c r="F33634">
        <v>9.0287854655833693E-9</v>
      </c>
      <c r="G33634">
        <v>7949362</v>
      </c>
      <c r="H33634">
        <v>12660848</v>
      </c>
      <c r="I33634">
        <v>15716609</v>
      </c>
      <c r="J33634">
        <v>3</v>
      </c>
    </row>
    <row r="33635" spans="1:10" x14ac:dyDescent="0.25">
      <c r="A33635" t="s">
        <v>379</v>
      </c>
      <c r="B33635" s="1" t="str">
        <f>HYPERLINK("http://td.com","td.com")</f>
        <v>td.com</v>
      </c>
      <c r="C33635" t="s">
        <v>433</v>
      </c>
      <c r="E33635">
        <v>2352</v>
      </c>
      <c r="F33635">
        <v>3.43387909289782E-6</v>
      </c>
      <c r="G33635">
        <v>11815</v>
      </c>
      <c r="H33635">
        <v>17662888</v>
      </c>
      <c r="I33635">
        <v>8110</v>
      </c>
      <c r="J33635">
        <v>1</v>
      </c>
    </row>
    <row r="33636" spans="1:10" x14ac:dyDescent="0.25">
      <c r="A33636" t="s">
        <v>379</v>
      </c>
      <c r="B33636" s="1" t="str">
        <f>HYPERLINK("http://tdassetmanagement.com","tdassetmanagement.com")</f>
        <v>tdassetmanagement.com</v>
      </c>
      <c r="C33636" t="s">
        <v>433</v>
      </c>
      <c r="F33636">
        <v>4.9570580151222003E-8</v>
      </c>
      <c r="G33636">
        <v>933167</v>
      </c>
      <c r="H33636">
        <v>13938088</v>
      </c>
      <c r="I33636">
        <v>4446164</v>
      </c>
      <c r="J33636">
        <v>6</v>
      </c>
    </row>
    <row r="33637" spans="1:10" x14ac:dyDescent="0.25">
      <c r="A33637" t="s">
        <v>379</v>
      </c>
      <c r="B33637" s="1" t="str">
        <f>HYPERLINK("http://tdautofinance.com","tdautofinance.com")</f>
        <v>tdautofinance.com</v>
      </c>
      <c r="C33637" t="s">
        <v>433</v>
      </c>
      <c r="E33637">
        <v>139352</v>
      </c>
      <c r="F33637">
        <v>1.65500228346097E-8</v>
      </c>
      <c r="G33637">
        <v>3401514</v>
      </c>
      <c r="H33637">
        <v>12664008</v>
      </c>
      <c r="I33637">
        <v>15687168</v>
      </c>
      <c r="J33637">
        <v>3</v>
      </c>
    </row>
    <row r="33638" spans="1:10" x14ac:dyDescent="0.25">
      <c r="A33638" t="s">
        <v>379</v>
      </c>
      <c r="B33638" s="1" t="str">
        <f>HYPERLINK("http://tdbank.com","tdbank.com")</f>
        <v>tdbank.com</v>
      </c>
      <c r="C33638" t="s">
        <v>433</v>
      </c>
      <c r="E33638">
        <v>10624</v>
      </c>
      <c r="F33638">
        <v>9.3690282468903404E-7</v>
      </c>
      <c r="G33638">
        <v>40999</v>
      </c>
      <c r="H33638">
        <v>15644987</v>
      </c>
      <c r="I33638">
        <v>370943</v>
      </c>
      <c r="J33638">
        <v>2</v>
      </c>
    </row>
    <row r="33639" spans="1:10" x14ac:dyDescent="0.25">
      <c r="A33639" t="s">
        <v>379</v>
      </c>
      <c r="B33639" s="1" t="str">
        <f>HYPERLINK("http://tdbanknv.com","tdbanknv.com")</f>
        <v>tdbanknv.com</v>
      </c>
      <c r="C33639" t="s">
        <v>433</v>
      </c>
      <c r="F33639">
        <v>4.4471422482030898E-9</v>
      </c>
      <c r="G33639">
        <v>73740853</v>
      </c>
      <c r="H33639">
        <v>10640213</v>
      </c>
      <c r="I33639">
        <v>43764311</v>
      </c>
      <c r="J33639">
        <v>2</v>
      </c>
    </row>
    <row r="33640" spans="1:10" x14ac:dyDescent="0.25">
      <c r="A33640" t="s">
        <v>379</v>
      </c>
      <c r="B33640" s="1" t="str">
        <f>HYPERLINK("http://tdcanadatrust.com","tdcanadatrust.com")</f>
        <v>tdcanadatrust.com</v>
      </c>
      <c r="C33640" t="s">
        <v>433</v>
      </c>
      <c r="E33640">
        <v>49892</v>
      </c>
      <c r="F33640">
        <v>5.3743732032813696E-7</v>
      </c>
      <c r="G33640">
        <v>71805</v>
      </c>
      <c r="H33640">
        <v>15294184</v>
      </c>
      <c r="I33640">
        <v>386539</v>
      </c>
      <c r="J33640">
        <v>3</v>
      </c>
    </row>
    <row r="33641" spans="1:10" x14ac:dyDescent="0.25">
      <c r="A33641" t="s">
        <v>379</v>
      </c>
      <c r="B33641" s="1" t="str">
        <f>HYPERLINK("http://tdmusic.com","tdmusic.com")</f>
        <v>tdmusic.com</v>
      </c>
      <c r="C33641" t="s">
        <v>433</v>
      </c>
      <c r="F33641">
        <v>2.22943136955096E-8</v>
      </c>
      <c r="G33641">
        <v>2351612</v>
      </c>
      <c r="H33641">
        <v>13007238</v>
      </c>
      <c r="I33641">
        <v>12763599</v>
      </c>
      <c r="J33641">
        <v>3</v>
      </c>
    </row>
    <row r="33642" spans="1:10" x14ac:dyDescent="0.25">
      <c r="A33642" t="s">
        <v>379</v>
      </c>
      <c r="B33642" s="1" t="str">
        <f>HYPERLINK("http://tdprimeservices.com","tdprimeservices.com")</f>
        <v>tdprimeservices.com</v>
      </c>
      <c r="C33642" t="s">
        <v>433</v>
      </c>
      <c r="F33642">
        <v>7.3548157785912699E-9</v>
      </c>
      <c r="G33642">
        <v>11349828</v>
      </c>
      <c r="H33642">
        <v>13000077</v>
      </c>
      <c r="I33642">
        <v>12795567</v>
      </c>
      <c r="J33642">
        <v>4</v>
      </c>
    </row>
    <row r="33643" spans="1:10" x14ac:dyDescent="0.25">
      <c r="A33643" t="s">
        <v>379</v>
      </c>
      <c r="B33643" s="1" t="str">
        <f>HYPERLINK("http://tdsecurities.com","tdsecurities.com")</f>
        <v>tdsecurities.com</v>
      </c>
      <c r="C33643" t="s">
        <v>433</v>
      </c>
      <c r="E33643">
        <v>134485</v>
      </c>
      <c r="F33643">
        <v>1.3543398073433699E-7</v>
      </c>
      <c r="G33643">
        <v>288155</v>
      </c>
      <c r="H33643">
        <v>14318144</v>
      </c>
      <c r="I33643">
        <v>1333635</v>
      </c>
      <c r="J33643">
        <v>2</v>
      </c>
    </row>
    <row r="33644" spans="1:10" x14ac:dyDescent="0.25">
      <c r="A33644" t="s">
        <v>379</v>
      </c>
      <c r="B33644" s="1" t="str">
        <f>HYPERLINK("http://thefenway.com","thefenway.com")</f>
        <v>thefenway.com</v>
      </c>
      <c r="C33644" t="s">
        <v>433</v>
      </c>
      <c r="F33644">
        <v>4.1449913325250897E-8</v>
      </c>
      <c r="G33644">
        <v>1204285</v>
      </c>
      <c r="H33644">
        <v>14164216</v>
      </c>
      <c r="I33644">
        <v>1827579</v>
      </c>
      <c r="J33644">
        <v>4</v>
      </c>
    </row>
    <row r="33645" spans="1:10" x14ac:dyDescent="0.25">
      <c r="A33645" t="s">
        <v>379</v>
      </c>
      <c r="B33645" s="1" t="str">
        <f>HYPERLINK("http://bkng.net","bkng.net")</f>
        <v>bkng.net</v>
      </c>
      <c r="C33645" t="s">
        <v>474</v>
      </c>
      <c r="E33645">
        <v>440305</v>
      </c>
      <c r="J33645">
        <v>2</v>
      </c>
    </row>
    <row r="33646" spans="1:10" x14ac:dyDescent="0.25">
      <c r="A33646" t="s">
        <v>379</v>
      </c>
      <c r="B33646" s="1" t="str">
        <f>HYPERLINK("http://infonow.net","infonow.net")</f>
        <v>infonow.net</v>
      </c>
      <c r="C33646" t="s">
        <v>474</v>
      </c>
      <c r="E33646">
        <v>625557</v>
      </c>
      <c r="F33646">
        <v>9.5279242020121804E-8</v>
      </c>
      <c r="G33646">
        <v>425261</v>
      </c>
      <c r="H33646">
        <v>14174487</v>
      </c>
      <c r="I33646">
        <v>1793228</v>
      </c>
      <c r="J33646">
        <v>4</v>
      </c>
    </row>
    <row r="33647" spans="1:10" x14ac:dyDescent="0.25">
      <c r="A33647" t="s">
        <v>380</v>
      </c>
      <c r="B33647" s="1" t="str">
        <f>HYPERLINK("http://totalenergies.ae","totalenergies.ae")</f>
        <v>totalenergies.ae</v>
      </c>
      <c r="C33647" t="s">
        <v>417</v>
      </c>
      <c r="D33647" t="s">
        <v>799</v>
      </c>
      <c r="F33647">
        <v>3.4895478262891898E-8</v>
      </c>
      <c r="G33647">
        <v>1488281</v>
      </c>
      <c r="H33647">
        <v>12295970</v>
      </c>
      <c r="I33647">
        <v>20946418</v>
      </c>
      <c r="J33647">
        <v>3</v>
      </c>
    </row>
    <row r="33648" spans="1:10" x14ac:dyDescent="0.25">
      <c r="A33648" t="s">
        <v>380</v>
      </c>
      <c r="B33648" s="1" t="str">
        <f>HYPERLINK("http://pfw.aero","pfw.aero")</f>
        <v>pfw.aero</v>
      </c>
      <c r="C33648" t="s">
        <v>601</v>
      </c>
      <c r="E33648">
        <v>883409</v>
      </c>
      <c r="F33648">
        <v>2.0841631980491499E-8</v>
      </c>
      <c r="G33648">
        <v>2537207</v>
      </c>
      <c r="H33648">
        <v>14577274</v>
      </c>
      <c r="I33648">
        <v>718327</v>
      </c>
      <c r="J33648">
        <v>3</v>
      </c>
    </row>
    <row r="33649" spans="1:10" x14ac:dyDescent="0.25">
      <c r="A33649" t="s">
        <v>380</v>
      </c>
      <c r="B33649" s="1" t="str">
        <f>HYPERLINK("http://total.co.ao","total.co.ao")</f>
        <v>total.co.ao</v>
      </c>
      <c r="C33649" t="s">
        <v>566</v>
      </c>
      <c r="D33649" t="s">
        <v>914</v>
      </c>
      <c r="F33649">
        <v>1.0099081427855399E-8</v>
      </c>
      <c r="G33649">
        <v>6649169</v>
      </c>
      <c r="H33649">
        <v>12198018</v>
      </c>
      <c r="I33649">
        <v>23373356</v>
      </c>
      <c r="J33649">
        <v>3</v>
      </c>
    </row>
    <row r="33650" spans="1:10" x14ac:dyDescent="0.25">
      <c r="A33650" t="s">
        <v>380</v>
      </c>
      <c r="B33650" s="1" t="str">
        <f>HYPERLINK("http://totalenergies.com.ar","totalenergies.com.ar")</f>
        <v>totalenergies.com.ar</v>
      </c>
      <c r="C33650" t="s">
        <v>418</v>
      </c>
      <c r="D33650" t="s">
        <v>800</v>
      </c>
      <c r="F33650">
        <v>5.2783391861617603E-8</v>
      </c>
      <c r="G33650">
        <v>863244</v>
      </c>
      <c r="H33650">
        <v>13276556</v>
      </c>
      <c r="I33650">
        <v>10926909</v>
      </c>
      <c r="J33650">
        <v>3</v>
      </c>
    </row>
    <row r="33651" spans="1:10" x14ac:dyDescent="0.25">
      <c r="A33651" t="s">
        <v>380</v>
      </c>
      <c r="B33651" s="1" t="str">
        <f>HYPERLINK("http://totalenergies.asia","totalenergies.asia")</f>
        <v>totalenergies.asia</v>
      </c>
      <c r="C33651" t="s">
        <v>525</v>
      </c>
      <c r="F33651">
        <v>2.6521063811173599E-8</v>
      </c>
      <c r="G33651">
        <v>1941361</v>
      </c>
      <c r="H33651">
        <v>13060447</v>
      </c>
      <c r="I33651">
        <v>12348666</v>
      </c>
      <c r="J33651">
        <v>3</v>
      </c>
    </row>
    <row r="33652" spans="1:10" x14ac:dyDescent="0.25">
      <c r="A33652" t="s">
        <v>380</v>
      </c>
      <c r="B33652" s="1" t="str">
        <f>HYPERLINK("http://totalenergies.at","totalenergies.at")</f>
        <v>totalenergies.at</v>
      </c>
      <c r="C33652" t="s">
        <v>419</v>
      </c>
      <c r="D33652" t="s">
        <v>801</v>
      </c>
      <c r="F33652">
        <v>3.2983320062707703E-8</v>
      </c>
      <c r="G33652">
        <v>1566715</v>
      </c>
      <c r="H33652">
        <v>12231803</v>
      </c>
      <c r="I33652">
        <v>22452804</v>
      </c>
      <c r="J33652">
        <v>3</v>
      </c>
    </row>
    <row r="33653" spans="1:10" x14ac:dyDescent="0.25">
      <c r="A33653" t="s">
        <v>380</v>
      </c>
      <c r="B33653" s="1" t="str">
        <f>HYPERLINK("http://kiamalsolarfarm.com.au","kiamalsolarfarm.com.au")</f>
        <v>kiamalsolarfarm.com.au</v>
      </c>
      <c r="C33653" t="s">
        <v>420</v>
      </c>
      <c r="D33653" t="s">
        <v>802</v>
      </c>
      <c r="F33653">
        <v>7.7219126813452804E-9</v>
      </c>
      <c r="G33653">
        <v>10525078</v>
      </c>
      <c r="H33653">
        <v>12639001</v>
      </c>
      <c r="I33653">
        <v>15884041</v>
      </c>
      <c r="J33653">
        <v>3</v>
      </c>
    </row>
    <row r="33654" spans="1:10" x14ac:dyDescent="0.25">
      <c r="A33654" t="s">
        <v>380</v>
      </c>
      <c r="B33654" s="1" t="str">
        <f>HYPERLINK("http://totalenergies.com.au","totalenergies.com.au")</f>
        <v>totalenergies.com.au</v>
      </c>
      <c r="C33654" t="s">
        <v>420</v>
      </c>
      <c r="D33654" t="s">
        <v>802</v>
      </c>
      <c r="F33654">
        <v>1.10437474713617E-8</v>
      </c>
      <c r="G33654">
        <v>5826993</v>
      </c>
      <c r="H33654">
        <v>12263448</v>
      </c>
      <c r="I33654">
        <v>21669104</v>
      </c>
      <c r="J33654">
        <v>3</v>
      </c>
    </row>
    <row r="33655" spans="1:10" x14ac:dyDescent="0.25">
      <c r="A33655" t="s">
        <v>380</v>
      </c>
      <c r="B33655" s="1" t="str">
        <f>HYPERLINK("http://brandstoffen-deconinck.be","brandstoffen-deconinck.be")</f>
        <v>brandstoffen-deconinck.be</v>
      </c>
      <c r="C33655" t="s">
        <v>421</v>
      </c>
      <c r="D33655" t="s">
        <v>803</v>
      </c>
      <c r="F33655">
        <v>5.7535937857558201E-9</v>
      </c>
      <c r="G33655">
        <v>18468389</v>
      </c>
      <c r="H33655">
        <v>10797316</v>
      </c>
      <c r="I33655">
        <v>38240298</v>
      </c>
      <c r="J33655">
        <v>3</v>
      </c>
    </row>
    <row r="33656" spans="1:10" x14ac:dyDescent="0.25">
      <c r="A33656" t="s">
        <v>380</v>
      </c>
      <c r="B33656" s="1" t="str">
        <f>HYPERLINK("http://lampiris.be","lampiris.be")</f>
        <v>lampiris.be</v>
      </c>
      <c r="C33656" t="s">
        <v>421</v>
      </c>
      <c r="D33656" t="s">
        <v>803</v>
      </c>
      <c r="E33656">
        <v>555387</v>
      </c>
      <c r="F33656">
        <v>5.78745739750965E-8</v>
      </c>
      <c r="G33656">
        <v>769520</v>
      </c>
      <c r="H33656">
        <v>14649576</v>
      </c>
      <c r="I33656">
        <v>628384</v>
      </c>
      <c r="J33656">
        <v>3</v>
      </c>
    </row>
    <row r="33657" spans="1:10" x14ac:dyDescent="0.25">
      <c r="A33657" t="s">
        <v>380</v>
      </c>
      <c r="B33657" s="1" t="str">
        <f>HYPERLINK("http://petraver.be","petraver.be")</f>
        <v>petraver.be</v>
      </c>
      <c r="C33657" t="s">
        <v>421</v>
      </c>
      <c r="D33657" t="s">
        <v>803</v>
      </c>
      <c r="F33657">
        <v>6.3439849189353303E-9</v>
      </c>
      <c r="G33657">
        <v>14791292</v>
      </c>
      <c r="H33657">
        <v>10574689</v>
      </c>
      <c r="I33657">
        <v>45955791</v>
      </c>
      <c r="J33657">
        <v>3</v>
      </c>
    </row>
    <row r="33658" spans="1:10" x14ac:dyDescent="0.25">
      <c r="A33658" t="s">
        <v>380</v>
      </c>
      <c r="B33658" s="1" t="str">
        <f>HYPERLINK("http://radermacher-merols.be","radermacher-merols.be")</f>
        <v>radermacher-merols.be</v>
      </c>
      <c r="C33658" t="s">
        <v>421</v>
      </c>
      <c r="D33658" t="s">
        <v>803</v>
      </c>
      <c r="F33658">
        <v>7.9701091347348206E-9</v>
      </c>
      <c r="G33658">
        <v>9976123</v>
      </c>
      <c r="H33658">
        <v>10889346</v>
      </c>
      <c r="I33658">
        <v>36108657</v>
      </c>
      <c r="J33658">
        <v>3</v>
      </c>
    </row>
    <row r="33659" spans="1:10" x14ac:dyDescent="0.25">
      <c r="A33659" t="s">
        <v>380</v>
      </c>
      <c r="B33659" s="1" t="str">
        <f>HYPERLINK("http://total.be","total.be")</f>
        <v>total.be</v>
      </c>
      <c r="C33659" t="s">
        <v>421</v>
      </c>
      <c r="D33659" t="s">
        <v>803</v>
      </c>
      <c r="E33659">
        <v>881832</v>
      </c>
      <c r="F33659">
        <v>1.0692060877046699E-7</v>
      </c>
      <c r="G33659">
        <v>374425</v>
      </c>
      <c r="H33659">
        <v>14084710</v>
      </c>
      <c r="I33659">
        <v>2785611</v>
      </c>
      <c r="J33659">
        <v>2</v>
      </c>
    </row>
    <row r="33660" spans="1:10" x14ac:dyDescent="0.25">
      <c r="A33660" t="s">
        <v>380</v>
      </c>
      <c r="B33660" s="1" t="str">
        <f>HYPERLINK("http://totalenergies.be","totalenergies.be")</f>
        <v>totalenergies.be</v>
      </c>
      <c r="C33660" t="s">
        <v>421</v>
      </c>
      <c r="D33660" t="s">
        <v>803</v>
      </c>
      <c r="E33660">
        <v>207856</v>
      </c>
      <c r="F33660">
        <v>1.9484505878420901E-7</v>
      </c>
      <c r="G33660">
        <v>197881</v>
      </c>
      <c r="H33660">
        <v>14450230</v>
      </c>
      <c r="I33660">
        <v>1053447</v>
      </c>
      <c r="J33660">
        <v>3</v>
      </c>
    </row>
    <row r="33661" spans="1:10" x14ac:dyDescent="0.25">
      <c r="A33661" t="s">
        <v>380</v>
      </c>
      <c r="B33661" s="1" t="str">
        <f>HYPERLINK("http://zeepanne.be","zeepanne.be")</f>
        <v>zeepanne.be</v>
      </c>
      <c r="C33661" t="s">
        <v>421</v>
      </c>
      <c r="D33661" t="s">
        <v>803</v>
      </c>
      <c r="F33661">
        <v>4.44380395335525E-9</v>
      </c>
      <c r="G33661">
        <v>80041727</v>
      </c>
      <c r="H33661">
        <v>0</v>
      </c>
      <c r="I33661">
        <v>80062621</v>
      </c>
      <c r="J33661">
        <v>3</v>
      </c>
    </row>
    <row r="33662" spans="1:10" x14ac:dyDescent="0.25">
      <c r="A33662" t="s">
        <v>380</v>
      </c>
      <c r="B33662" s="1" t="str">
        <f>HYPERLINK("http://totalenergies.bo","totalenergies.bo")</f>
        <v>totalenergies.bo</v>
      </c>
      <c r="C33662" t="s">
        <v>424</v>
      </c>
      <c r="D33662" t="s">
        <v>805</v>
      </c>
      <c r="F33662">
        <v>1.7867854532357998E-8</v>
      </c>
      <c r="G33662">
        <v>3060270</v>
      </c>
      <c r="H33662">
        <v>12192625</v>
      </c>
      <c r="I33662">
        <v>23520586</v>
      </c>
      <c r="J33662">
        <v>3</v>
      </c>
    </row>
    <row r="33663" spans="1:10" x14ac:dyDescent="0.25">
      <c r="A33663" t="s">
        <v>380</v>
      </c>
      <c r="B33663" s="1" t="str">
        <f>HYPERLINK("http://hutchinson.com.br","hutchinson.com.br")</f>
        <v>hutchinson.com.br</v>
      </c>
      <c r="C33663" t="s">
        <v>425</v>
      </c>
      <c r="D33663" t="s">
        <v>806</v>
      </c>
      <c r="F33663">
        <v>4.4438539297498102E-9</v>
      </c>
      <c r="G33663">
        <v>78354989</v>
      </c>
      <c r="H33663">
        <v>10546614</v>
      </c>
      <c r="I33663">
        <v>46849669</v>
      </c>
      <c r="J33663">
        <v>7</v>
      </c>
    </row>
    <row r="33664" spans="1:10" x14ac:dyDescent="0.25">
      <c r="A33664" t="s">
        <v>380</v>
      </c>
      <c r="B33664" s="1" t="str">
        <f>HYPERLINK("http://saftbatteries.com.br","saftbatteries.com.br")</f>
        <v>saftbatteries.com.br</v>
      </c>
      <c r="C33664" t="s">
        <v>425</v>
      </c>
      <c r="D33664" t="s">
        <v>806</v>
      </c>
      <c r="F33664">
        <v>7.1308194847351501E-9</v>
      </c>
      <c r="G33664">
        <v>11929699</v>
      </c>
      <c r="H33664">
        <v>12098658</v>
      </c>
      <c r="I33664">
        <v>26003902</v>
      </c>
      <c r="J33664">
        <v>4</v>
      </c>
    </row>
    <row r="33665" spans="1:10" x14ac:dyDescent="0.25">
      <c r="A33665" t="s">
        <v>380</v>
      </c>
      <c r="B33665" s="1" t="str">
        <f>HYPERLINK("http://totalenergies.com.br","totalenergies.com.br")</f>
        <v>totalenergies.com.br</v>
      </c>
      <c r="C33665" t="s">
        <v>425</v>
      </c>
      <c r="D33665" t="s">
        <v>806</v>
      </c>
      <c r="F33665">
        <v>2.8911556065527801E-8</v>
      </c>
      <c r="G33665">
        <v>1780540</v>
      </c>
      <c r="H33665">
        <v>14072739</v>
      </c>
      <c r="I33665">
        <v>3051856</v>
      </c>
      <c r="J33665">
        <v>3</v>
      </c>
    </row>
    <row r="33666" spans="1:10" x14ac:dyDescent="0.25">
      <c r="A33666" t="s">
        <v>380</v>
      </c>
      <c r="B33666" s="1" t="str">
        <f>HYPERLINK("http://totalenergies.ca","totalenergies.ca")</f>
        <v>totalenergies.ca</v>
      </c>
      <c r="C33666" t="s">
        <v>428</v>
      </c>
      <c r="D33666" t="s">
        <v>809</v>
      </c>
      <c r="F33666">
        <v>2.6388337666210699E-8</v>
      </c>
      <c r="G33666">
        <v>1951266</v>
      </c>
      <c r="H33666">
        <v>12355883</v>
      </c>
      <c r="I33666">
        <v>19665730</v>
      </c>
      <c r="J33666">
        <v>3</v>
      </c>
    </row>
    <row r="33667" spans="1:10" x14ac:dyDescent="0.25">
      <c r="A33667" t="s">
        <v>380</v>
      </c>
      <c r="B33667" s="1" t="str">
        <f>HYPERLINK("http://totalenergies.cd","totalenergies.cd")</f>
        <v>totalenergies.cd</v>
      </c>
      <c r="C33667" t="s">
        <v>625</v>
      </c>
      <c r="D33667" t="s">
        <v>949</v>
      </c>
      <c r="F33667">
        <v>1.0398326762792E-8</v>
      </c>
      <c r="G33667">
        <v>6360480</v>
      </c>
      <c r="H33667">
        <v>12192626</v>
      </c>
      <c r="I33667">
        <v>23520564</v>
      </c>
      <c r="J33667">
        <v>3</v>
      </c>
    </row>
    <row r="33668" spans="1:10" x14ac:dyDescent="0.25">
      <c r="A33668" t="s">
        <v>380</v>
      </c>
      <c r="B33668" s="1" t="str">
        <f>HYPERLINK("http://totalenergies.cg","totalenergies.cg")</f>
        <v>totalenergies.cg</v>
      </c>
      <c r="C33668" t="s">
        <v>627</v>
      </c>
      <c r="D33668" t="s">
        <v>951</v>
      </c>
      <c r="F33668">
        <v>2.5043036686391001E-8</v>
      </c>
      <c r="G33668">
        <v>2063046</v>
      </c>
      <c r="H33668">
        <v>12272682</v>
      </c>
      <c r="I33668">
        <v>21464298</v>
      </c>
      <c r="J33668">
        <v>3</v>
      </c>
    </row>
    <row r="33669" spans="1:10" x14ac:dyDescent="0.25">
      <c r="A33669" t="s">
        <v>380</v>
      </c>
      <c r="B33669" s="1" t="str">
        <f>HYPERLINK("http://totalenergies.ch","totalenergies.ch")</f>
        <v>totalenergies.ch</v>
      </c>
      <c r="C33669" t="s">
        <v>429</v>
      </c>
      <c r="D33669" t="s">
        <v>810</v>
      </c>
      <c r="F33669">
        <v>2.3951205786346699E-8</v>
      </c>
      <c r="G33669">
        <v>2167705</v>
      </c>
      <c r="H33669">
        <v>12218495</v>
      </c>
      <c r="I33669">
        <v>22821394</v>
      </c>
      <c r="J33669">
        <v>3</v>
      </c>
    </row>
    <row r="33670" spans="1:10" x14ac:dyDescent="0.25">
      <c r="A33670" t="s">
        <v>380</v>
      </c>
      <c r="B33670" s="1" t="str">
        <f>HYPERLINK("http://total.ci","total.ci")</f>
        <v>total.ci</v>
      </c>
      <c r="C33670" t="s">
        <v>539</v>
      </c>
      <c r="D33670" t="s">
        <v>899</v>
      </c>
      <c r="F33670">
        <v>1.57965452325885E-8</v>
      </c>
      <c r="G33670">
        <v>3600452</v>
      </c>
      <c r="H33670">
        <v>12273376</v>
      </c>
      <c r="I33670">
        <v>21451873</v>
      </c>
      <c r="J33670">
        <v>2</v>
      </c>
    </row>
    <row r="33671" spans="1:10" x14ac:dyDescent="0.25">
      <c r="A33671" t="s">
        <v>380</v>
      </c>
      <c r="B33671" s="1" t="str">
        <f>HYPERLINK("http://totalenergies.ci","totalenergies.ci")</f>
        <v>totalenergies.ci</v>
      </c>
      <c r="C33671" t="s">
        <v>539</v>
      </c>
      <c r="D33671" t="s">
        <v>899</v>
      </c>
      <c r="F33671">
        <v>2.16714036716486E-8</v>
      </c>
      <c r="G33671">
        <v>2427312</v>
      </c>
      <c r="H33671">
        <v>12320027</v>
      </c>
      <c r="I33671">
        <v>20419286</v>
      </c>
      <c r="J33671">
        <v>3</v>
      </c>
    </row>
    <row r="33672" spans="1:10" x14ac:dyDescent="0.25">
      <c r="A33672" t="s">
        <v>380</v>
      </c>
      <c r="B33672" s="1" t="str">
        <f>HYPERLINK("http://totalenergies.cl","totalenergies.cl")</f>
        <v>totalenergies.cl</v>
      </c>
      <c r="C33672" t="s">
        <v>430</v>
      </c>
      <c r="D33672" t="s">
        <v>811</v>
      </c>
      <c r="F33672">
        <v>1.1938894734323399E-8</v>
      </c>
      <c r="G33672">
        <v>5213701</v>
      </c>
      <c r="H33672">
        <v>12221830</v>
      </c>
      <c r="I33672">
        <v>22751521</v>
      </c>
      <c r="J33672">
        <v>3</v>
      </c>
    </row>
    <row r="33673" spans="1:10" x14ac:dyDescent="0.25">
      <c r="A33673" t="s">
        <v>380</v>
      </c>
      <c r="B33673" s="1" t="str">
        <f>HYPERLINK("http://totalenergies.cm","totalenergies.cm")</f>
        <v>totalenergies.cm</v>
      </c>
      <c r="C33673" t="s">
        <v>541</v>
      </c>
      <c r="D33673" t="s">
        <v>900</v>
      </c>
      <c r="F33673">
        <v>1.7706241220707501E-8</v>
      </c>
      <c r="G33673">
        <v>3095430</v>
      </c>
      <c r="H33673">
        <v>12253737</v>
      </c>
      <c r="I33673">
        <v>21924771</v>
      </c>
      <c r="J33673">
        <v>3</v>
      </c>
    </row>
    <row r="33674" spans="1:10" x14ac:dyDescent="0.25">
      <c r="A33674" t="s">
        <v>380</v>
      </c>
      <c r="B33674" s="1" t="str">
        <f>HYPERLINK("http://saftbatteries.cn","saftbatteries.cn")</f>
        <v>saftbatteries.cn</v>
      </c>
      <c r="C33674" t="s">
        <v>431</v>
      </c>
      <c r="D33674" t="s">
        <v>812</v>
      </c>
      <c r="F33674">
        <v>9.2638860140381694E-9</v>
      </c>
      <c r="G33674">
        <v>7620249</v>
      </c>
      <c r="H33674">
        <v>12358740</v>
      </c>
      <c r="I33674">
        <v>19610766</v>
      </c>
      <c r="J33674">
        <v>4</v>
      </c>
    </row>
    <row r="33675" spans="1:10" x14ac:dyDescent="0.25">
      <c r="A33675" t="s">
        <v>380</v>
      </c>
      <c r="B33675" s="1" t="str">
        <f>HYPERLINK("http://totalenergies.cn","totalenergies.cn")</f>
        <v>totalenergies.cn</v>
      </c>
      <c r="C33675" t="s">
        <v>431</v>
      </c>
      <c r="D33675" t="s">
        <v>812</v>
      </c>
      <c r="F33675">
        <v>4.4727728188147797E-8</v>
      </c>
      <c r="G33675">
        <v>1057884</v>
      </c>
      <c r="H33675">
        <v>12423115</v>
      </c>
      <c r="I33675">
        <v>18400286</v>
      </c>
      <c r="J33675">
        <v>3</v>
      </c>
    </row>
    <row r="33676" spans="1:10" x14ac:dyDescent="0.25">
      <c r="A33676" t="s">
        <v>380</v>
      </c>
      <c r="B33676" s="1" t="str">
        <f>HYPERLINK("http://totalenergies.co","totalenergies.co")</f>
        <v>totalenergies.co</v>
      </c>
      <c r="C33676" t="s">
        <v>432</v>
      </c>
      <c r="F33676">
        <v>1.7874608869561999E-8</v>
      </c>
      <c r="G33676">
        <v>3058855</v>
      </c>
      <c r="H33676">
        <v>12193197</v>
      </c>
      <c r="I33676">
        <v>23506180</v>
      </c>
      <c r="J33676">
        <v>3</v>
      </c>
    </row>
    <row r="33677" spans="1:10" x14ac:dyDescent="0.25">
      <c r="A33677" t="s">
        <v>380</v>
      </c>
      <c r="B33677" s="1" t="str">
        <f>HYPERLINK("http://alcad.com","alcad.com")</f>
        <v>alcad.com</v>
      </c>
      <c r="C33677" t="s">
        <v>433</v>
      </c>
      <c r="F33677">
        <v>1.1818118423798501E-8</v>
      </c>
      <c r="G33677">
        <v>5290741</v>
      </c>
      <c r="H33677">
        <v>12481005</v>
      </c>
      <c r="I33677">
        <v>17589623</v>
      </c>
      <c r="J33677">
        <v>3</v>
      </c>
    </row>
    <row r="33678" spans="1:10" x14ac:dyDescent="0.25">
      <c r="A33678" t="s">
        <v>380</v>
      </c>
      <c r="B33678" s="1" t="str">
        <f>HYPERLINK("http://as24.com","as24.com")</f>
        <v>as24.com</v>
      </c>
      <c r="C33678" t="s">
        <v>433</v>
      </c>
      <c r="E33678">
        <v>630522</v>
      </c>
      <c r="F33678">
        <v>2.3652802815847799E-7</v>
      </c>
      <c r="G33678">
        <v>158369</v>
      </c>
      <c r="H33678">
        <v>16952496</v>
      </c>
      <c r="I33678">
        <v>107584</v>
      </c>
      <c r="J33678">
        <v>3</v>
      </c>
    </row>
    <row r="33679" spans="1:10" x14ac:dyDescent="0.25">
      <c r="A33679" t="s">
        <v>380</v>
      </c>
      <c r="B33679" s="1" t="str">
        <f>HYPERLINK("http://bonjourhk.com","bonjourhk.com")</f>
        <v>bonjourhk.com</v>
      </c>
      <c r="C33679" t="s">
        <v>433</v>
      </c>
      <c r="E33679">
        <v>699425</v>
      </c>
      <c r="F33679">
        <v>7.5423196381192298E-8</v>
      </c>
      <c r="G33679">
        <v>557426</v>
      </c>
      <c r="H33679">
        <v>14789748</v>
      </c>
      <c r="I33679">
        <v>551249</v>
      </c>
      <c r="J33679">
        <v>7</v>
      </c>
    </row>
    <row r="33680" spans="1:10" x14ac:dyDescent="0.25">
      <c r="A33680" t="s">
        <v>380</v>
      </c>
      <c r="B33680" s="1" t="str">
        <f>HYPERLINK("http://californiavalleysolarranch.com","californiavalleysolarranch.com")</f>
        <v>californiavalleysolarranch.com</v>
      </c>
      <c r="C33680" t="s">
        <v>433</v>
      </c>
      <c r="F33680">
        <v>1.0625459880002901E-8</v>
      </c>
      <c r="G33680">
        <v>6162103</v>
      </c>
      <c r="H33680">
        <v>14530350</v>
      </c>
      <c r="I33680">
        <v>787115</v>
      </c>
      <c r="J33680">
        <v>5</v>
      </c>
    </row>
    <row r="33681" spans="1:10" x14ac:dyDescent="0.25">
      <c r="A33681" t="s">
        <v>380</v>
      </c>
      <c r="B33681" s="1" t="str">
        <f>HYPERLINK("http://crayvalley.com","crayvalley.com")</f>
        <v>crayvalley.com</v>
      </c>
      <c r="C33681" t="s">
        <v>433</v>
      </c>
      <c r="F33681">
        <v>1.7177163719155299E-8</v>
      </c>
      <c r="G33681">
        <v>3232035</v>
      </c>
      <c r="H33681">
        <v>14073764</v>
      </c>
      <c r="I33681">
        <v>2973006</v>
      </c>
      <c r="J33681">
        <v>3</v>
      </c>
    </row>
    <row r="33682" spans="1:10" x14ac:dyDescent="0.25">
      <c r="A33682" t="s">
        <v>380</v>
      </c>
      <c r="B33682" s="1" t="str">
        <f>HYPERLINK("http://diagomarplus.com","diagomarplus.com")</f>
        <v>diagomarplus.com</v>
      </c>
      <c r="C33682" t="s">
        <v>433</v>
      </c>
      <c r="F33682">
        <v>4.8982378352906103E-9</v>
      </c>
      <c r="G33682">
        <v>32516669</v>
      </c>
      <c r="H33682">
        <v>10542120</v>
      </c>
      <c r="I33682">
        <v>47099610</v>
      </c>
      <c r="J33682">
        <v>4</v>
      </c>
    </row>
    <row r="33683" spans="1:10" x14ac:dyDescent="0.25">
      <c r="A33683" t="s">
        <v>380</v>
      </c>
      <c r="B33683" s="1" t="str">
        <f>HYPERLINK("http://direct-energie.com","direct-energie.com")</f>
        <v>direct-energie.com</v>
      </c>
      <c r="C33683" t="s">
        <v>433</v>
      </c>
      <c r="E33683">
        <v>374220</v>
      </c>
      <c r="F33683">
        <v>2.2809557093633699E-7</v>
      </c>
      <c r="G33683">
        <v>164982</v>
      </c>
      <c r="H33683">
        <v>17188370</v>
      </c>
      <c r="I33683">
        <v>43925</v>
      </c>
      <c r="J33683">
        <v>3</v>
      </c>
    </row>
    <row r="33684" spans="1:10" x14ac:dyDescent="0.25">
      <c r="A33684" t="s">
        <v>380</v>
      </c>
      <c r="B33684" s="1" t="str">
        <f>HYPERLINK("http://egedis.com","egedis.com")</f>
        <v>egedis.com</v>
      </c>
      <c r="C33684" t="s">
        <v>433</v>
      </c>
      <c r="F33684">
        <v>1.7330582170503001E-8</v>
      </c>
      <c r="G33684">
        <v>3191662</v>
      </c>
      <c r="H33684">
        <v>14072673</v>
      </c>
      <c r="I33684">
        <v>3059038</v>
      </c>
      <c r="J33684">
        <v>3</v>
      </c>
    </row>
    <row r="33685" spans="1:10" x14ac:dyDescent="0.25">
      <c r="A33685" t="s">
        <v>380</v>
      </c>
      <c r="B33685" s="1" t="str">
        <f>HYPERLINK("http://esiyoklarpetrol.com","esiyoklarpetrol.com")</f>
        <v>esiyoklarpetrol.com</v>
      </c>
      <c r="C33685" t="s">
        <v>433</v>
      </c>
      <c r="F33685">
        <v>4.44380395335525E-9</v>
      </c>
      <c r="G33685">
        <v>81562518</v>
      </c>
      <c r="H33685">
        <v>0</v>
      </c>
      <c r="I33685">
        <v>81971836</v>
      </c>
      <c r="J33685">
        <v>3</v>
      </c>
    </row>
    <row r="33686" spans="1:10" x14ac:dyDescent="0.25">
      <c r="A33686" t="s">
        <v>380</v>
      </c>
      <c r="B33686" s="1" t="str">
        <f>HYPERLINK("http://finatechnologies.com","finatechnologies.com")</f>
        <v>finatechnologies.com</v>
      </c>
      <c r="C33686" t="s">
        <v>433</v>
      </c>
      <c r="F33686">
        <v>5.7002099686380299E-9</v>
      </c>
      <c r="G33686">
        <v>18958737</v>
      </c>
      <c r="H33686">
        <v>13863916</v>
      </c>
      <c r="I33686">
        <v>6012640</v>
      </c>
      <c r="J33686">
        <v>3</v>
      </c>
    </row>
    <row r="33687" spans="1:10" x14ac:dyDescent="0.25">
      <c r="A33687" t="s">
        <v>380</v>
      </c>
      <c r="B33687" s="1" t="str">
        <f>HYPERLINK("http://franke-automobile.com","franke-automobile.com")</f>
        <v>franke-automobile.com</v>
      </c>
      <c r="C33687" t="s">
        <v>433</v>
      </c>
      <c r="F33687">
        <v>1.2668265109709199E-8</v>
      </c>
      <c r="G33687">
        <v>4795511</v>
      </c>
      <c r="H33687">
        <v>11967727</v>
      </c>
      <c r="I33687">
        <v>28753928</v>
      </c>
      <c r="J33687">
        <v>3</v>
      </c>
    </row>
    <row r="33688" spans="1:10" x14ac:dyDescent="0.25">
      <c r="A33688" t="s">
        <v>380</v>
      </c>
      <c r="B33688" s="1" t="str">
        <f>HYPERLINK("http://gapcogroup.com","gapcogroup.com")</f>
        <v>gapcogroup.com</v>
      </c>
      <c r="C33688" t="s">
        <v>433</v>
      </c>
      <c r="F33688">
        <v>4.5309631126764999E-9</v>
      </c>
      <c r="G33688">
        <v>54957879</v>
      </c>
      <c r="H33688">
        <v>12340294</v>
      </c>
      <c r="I33688">
        <v>19997001</v>
      </c>
      <c r="J33688">
        <v>3</v>
      </c>
    </row>
    <row r="33689" spans="1:10" x14ac:dyDescent="0.25">
      <c r="A33689" t="s">
        <v>380</v>
      </c>
      <c r="B33689" s="1" t="str">
        <f>HYPERLINK("http://greenflex.com","greenflex.com")</f>
        <v>greenflex.com</v>
      </c>
      <c r="C33689" t="s">
        <v>433</v>
      </c>
      <c r="F33689">
        <v>1.12629384905929E-7</v>
      </c>
      <c r="G33689">
        <v>354504</v>
      </c>
      <c r="H33689">
        <v>14426973</v>
      </c>
      <c r="I33689">
        <v>1078338</v>
      </c>
      <c r="J33689">
        <v>3</v>
      </c>
    </row>
    <row r="33690" spans="1:10" x14ac:dyDescent="0.25">
      <c r="A33690" t="s">
        <v>380</v>
      </c>
      <c r="B33690" s="1" t="str">
        <f>HYPERLINK("http://hutchinson.com","hutchinson.com")</f>
        <v>hutchinson.com</v>
      </c>
      <c r="C33690" t="s">
        <v>433</v>
      </c>
      <c r="E33690">
        <v>180763</v>
      </c>
      <c r="F33690">
        <v>1.9687382638041999E-7</v>
      </c>
      <c r="G33690">
        <v>195860</v>
      </c>
      <c r="H33690">
        <v>14474369</v>
      </c>
      <c r="I33690">
        <v>1035173</v>
      </c>
      <c r="J33690">
        <v>4</v>
      </c>
    </row>
    <row r="33691" spans="1:10" x14ac:dyDescent="0.25">
      <c r="A33691" t="s">
        <v>380</v>
      </c>
      <c r="B33691" s="1" t="str">
        <f>HYPERLINK("http://hutchinson-aero-cabin.com","hutchinson-aero-cabin.com")</f>
        <v>hutchinson-aero-cabin.com</v>
      </c>
      <c r="C33691" t="s">
        <v>433</v>
      </c>
      <c r="F33691">
        <v>4.85309728835145E-9</v>
      </c>
      <c r="G33691">
        <v>34041596</v>
      </c>
      <c r="H33691">
        <v>10431442</v>
      </c>
      <c r="I33691">
        <v>53168857</v>
      </c>
      <c r="J33691">
        <v>3</v>
      </c>
    </row>
    <row r="33692" spans="1:10" x14ac:dyDescent="0.25">
      <c r="A33692" t="s">
        <v>380</v>
      </c>
      <c r="B33692" s="1" t="str">
        <f>HYPERLINK("http://hutchinsonna.com","hutchinsonna.com")</f>
        <v>hutchinsonna.com</v>
      </c>
      <c r="C33692" t="s">
        <v>433</v>
      </c>
      <c r="F33692">
        <v>5.1464580370546497E-9</v>
      </c>
      <c r="G33692">
        <v>26148416</v>
      </c>
      <c r="H33692">
        <v>12196235</v>
      </c>
      <c r="I33692">
        <v>23417870</v>
      </c>
      <c r="J33692">
        <v>4</v>
      </c>
    </row>
    <row r="33693" spans="1:10" x14ac:dyDescent="0.25">
      <c r="A33693" t="s">
        <v>380</v>
      </c>
      <c r="B33693" s="1" t="str">
        <f>HYPERLINK("http://hutchinsonrubber.com","hutchinsonrubber.com")</f>
        <v>hutchinsonrubber.com</v>
      </c>
      <c r="C33693" t="s">
        <v>433</v>
      </c>
      <c r="F33693">
        <v>6.14252112331186E-9</v>
      </c>
      <c r="G33693">
        <v>15846658</v>
      </c>
      <c r="H33693">
        <v>13055365</v>
      </c>
      <c r="I33693">
        <v>12567505</v>
      </c>
      <c r="J33693">
        <v>3</v>
      </c>
    </row>
    <row r="33694" spans="1:10" x14ac:dyDescent="0.25">
      <c r="A33694" t="s">
        <v>380</v>
      </c>
      <c r="B33694" s="1" t="str">
        <f>HYPERLINK("http://hutchinsontires.com","hutchinsontires.com")</f>
        <v>hutchinsontires.com</v>
      </c>
      <c r="C33694" t="s">
        <v>433</v>
      </c>
      <c r="E33694">
        <v>680036</v>
      </c>
      <c r="F33694">
        <v>3.3436140708223399E-8</v>
      </c>
      <c r="G33694">
        <v>1545982</v>
      </c>
      <c r="H33694">
        <v>14153831</v>
      </c>
      <c r="I33694">
        <v>1864790</v>
      </c>
      <c r="J33694">
        <v>3</v>
      </c>
    </row>
    <row r="33695" spans="1:10" x14ac:dyDescent="0.25">
      <c r="A33695" t="s">
        <v>380</v>
      </c>
      <c r="B33695" s="1" t="str">
        <f>HYPERLINK("http://hutchinsonworldwide.com","hutchinsonworldwide.com")</f>
        <v>hutchinsonworldwide.com</v>
      </c>
      <c r="C33695" t="s">
        <v>433</v>
      </c>
      <c r="F33695">
        <v>3.1155876433558603E-8</v>
      </c>
      <c r="G33695">
        <v>1654746</v>
      </c>
      <c r="H33695">
        <v>14281581</v>
      </c>
      <c r="I33695">
        <v>1377961</v>
      </c>
      <c r="J33695">
        <v>3</v>
      </c>
    </row>
    <row r="33696" spans="1:10" x14ac:dyDescent="0.25">
      <c r="A33696" t="s">
        <v>380</v>
      </c>
      <c r="B33696" s="1" t="str">
        <f>HYPERLINK("http://hutchitson.com","hutchitson.com")</f>
        <v>hutchitson.com</v>
      </c>
      <c r="C33696" t="s">
        <v>433</v>
      </c>
      <c r="J33696">
        <v>4</v>
      </c>
    </row>
    <row r="33697" spans="1:10" x14ac:dyDescent="0.25">
      <c r="A33697" t="s">
        <v>380</v>
      </c>
      <c r="B33697" s="1" t="str">
        <f>HYPERLINK("http://hutchitson-seal-mexico.com","hutchitson-seal-mexico.com")</f>
        <v>hutchitson-seal-mexico.com</v>
      </c>
      <c r="C33697" t="s">
        <v>433</v>
      </c>
      <c r="J33697">
        <v>4</v>
      </c>
    </row>
    <row r="33698" spans="1:10" x14ac:dyDescent="0.25">
      <c r="A33698" t="s">
        <v>380</v>
      </c>
      <c r="B33698" s="1" t="str">
        <f>HYPERLINK("http://landivisiau-lacentrale.com","landivisiau-lacentrale.com")</f>
        <v>landivisiau-lacentrale.com</v>
      </c>
      <c r="C33698" t="s">
        <v>433</v>
      </c>
      <c r="F33698">
        <v>6.71678114077479E-9</v>
      </c>
      <c r="G33698">
        <v>13244584</v>
      </c>
      <c r="H33698">
        <v>13938525</v>
      </c>
      <c r="I33698">
        <v>4423749</v>
      </c>
      <c r="J33698">
        <v>3</v>
      </c>
    </row>
    <row r="33699" spans="1:10" x14ac:dyDescent="0.25">
      <c r="A33699" t="s">
        <v>380</v>
      </c>
      <c r="B33699" s="1" t="str">
        <f>HYPERLINK("http://ljfm.com","ljfm.com")</f>
        <v>ljfm.com</v>
      </c>
      <c r="C33699" t="s">
        <v>433</v>
      </c>
      <c r="F33699">
        <v>4.9120829545094599E-9</v>
      </c>
      <c r="G33699">
        <v>32118502</v>
      </c>
      <c r="H33699">
        <v>11196018</v>
      </c>
      <c r="I33699">
        <v>31305719</v>
      </c>
      <c r="J33699">
        <v>3</v>
      </c>
    </row>
    <row r="33700" spans="1:10" x14ac:dyDescent="0.25">
      <c r="A33700" t="s">
        <v>380</v>
      </c>
      <c r="B33700" s="1" t="str">
        <f>HYPERLINK("http://maerskoil.com","maerskoil.com")</f>
        <v>maerskoil.com</v>
      </c>
      <c r="C33700" t="s">
        <v>433</v>
      </c>
      <c r="F33700">
        <v>3.00143127135291E-8</v>
      </c>
      <c r="G33700">
        <v>1714217</v>
      </c>
      <c r="H33700">
        <v>14498893</v>
      </c>
      <c r="I33700">
        <v>859532</v>
      </c>
      <c r="J33700">
        <v>3</v>
      </c>
    </row>
    <row r="33701" spans="1:10" x14ac:dyDescent="0.25">
      <c r="A33701" t="s">
        <v>380</v>
      </c>
      <c r="B33701" s="1" t="str">
        <f>HYPERLINK("http://maxeon.com","maxeon.com")</f>
        <v>maxeon.com</v>
      </c>
      <c r="C33701" t="s">
        <v>433</v>
      </c>
      <c r="E33701">
        <v>256930</v>
      </c>
      <c r="F33701">
        <v>2.3910866555591E-7</v>
      </c>
      <c r="G33701">
        <v>156533</v>
      </c>
      <c r="H33701">
        <v>14244656</v>
      </c>
      <c r="I33701">
        <v>1470579</v>
      </c>
      <c r="J33701">
        <v>4</v>
      </c>
    </row>
    <row r="33702" spans="1:10" x14ac:dyDescent="0.25">
      <c r="A33702" t="s">
        <v>380</v>
      </c>
      <c r="B33702" s="1" t="str">
        <f>HYPERLINK("http://naphtachimie.com","naphtachimie.com")</f>
        <v>naphtachimie.com</v>
      </c>
      <c r="C33702" t="s">
        <v>433</v>
      </c>
      <c r="F33702">
        <v>7.2054769425504202E-9</v>
      </c>
      <c r="G33702">
        <v>11725719</v>
      </c>
      <c r="H33702">
        <v>12221378</v>
      </c>
      <c r="I33702">
        <v>22759563</v>
      </c>
      <c r="J33702">
        <v>5</v>
      </c>
    </row>
    <row r="33703" spans="1:10" x14ac:dyDescent="0.25">
      <c r="A33703" t="s">
        <v>380</v>
      </c>
      <c r="B33703" s="1" t="str">
        <f>HYPERLINK("http://pitpointcleanfuels.com","pitpointcleanfuels.com")</f>
        <v>pitpointcleanfuels.com</v>
      </c>
      <c r="C33703" t="s">
        <v>433</v>
      </c>
      <c r="F33703">
        <v>1.30389213720526E-7</v>
      </c>
      <c r="G33703">
        <v>300149</v>
      </c>
      <c r="H33703">
        <v>16751236</v>
      </c>
      <c r="I33703">
        <v>266514</v>
      </c>
      <c r="J33703">
        <v>3</v>
      </c>
    </row>
    <row r="33704" spans="1:10" x14ac:dyDescent="0.25">
      <c r="A33704" t="s">
        <v>380</v>
      </c>
      <c r="B33704" s="1" t="str">
        <f>HYPERLINK("http://saftbatteries.com","saftbatteries.com")</f>
        <v>saftbatteries.com</v>
      </c>
      <c r="C33704" t="s">
        <v>433</v>
      </c>
      <c r="E33704">
        <v>232364</v>
      </c>
      <c r="F33704">
        <v>3.3068403227314998E-7</v>
      </c>
      <c r="G33704">
        <v>112677</v>
      </c>
      <c r="H33704">
        <v>17204054</v>
      </c>
      <c r="I33704">
        <v>41067</v>
      </c>
      <c r="J33704">
        <v>3</v>
      </c>
    </row>
    <row r="33705" spans="1:10" x14ac:dyDescent="0.25">
      <c r="A33705" t="s">
        <v>380</v>
      </c>
      <c r="B33705" s="1" t="str">
        <f>HYPERLINK("http://seagreenwindenergy.com","seagreenwindenergy.com")</f>
        <v>seagreenwindenergy.com</v>
      </c>
      <c r="C33705" t="s">
        <v>433</v>
      </c>
      <c r="F33705">
        <v>2.4625003791676E-8</v>
      </c>
      <c r="G33705">
        <v>2103229</v>
      </c>
      <c r="H33705">
        <v>14399170</v>
      </c>
      <c r="I33705">
        <v>1155739</v>
      </c>
      <c r="J33705">
        <v>3</v>
      </c>
    </row>
    <row r="33706" spans="1:10" x14ac:dyDescent="0.25">
      <c r="A33706" t="s">
        <v>380</v>
      </c>
      <c r="B33706" s="1" t="str">
        <f>HYPERLINK("http://stations-carburant.com","stations-carburant.com")</f>
        <v>stations-carburant.com</v>
      </c>
      <c r="C33706" t="s">
        <v>433</v>
      </c>
      <c r="F33706">
        <v>6.9797903536080697E-9</v>
      </c>
      <c r="G33706">
        <v>12372483</v>
      </c>
      <c r="H33706">
        <v>10751896</v>
      </c>
      <c r="I33706">
        <v>40014038</v>
      </c>
      <c r="J33706">
        <v>4</v>
      </c>
    </row>
    <row r="33707" spans="1:10" x14ac:dyDescent="0.25">
      <c r="A33707" t="s">
        <v>380</v>
      </c>
      <c r="B33707" s="1" t="str">
        <f>HYPERLINK("http://sunpower.com","sunpower.com")</f>
        <v>sunpower.com</v>
      </c>
      <c r="C33707" t="s">
        <v>433</v>
      </c>
      <c r="E33707">
        <v>22805</v>
      </c>
      <c r="F33707">
        <v>8.1116184605998099E-7</v>
      </c>
      <c r="G33707">
        <v>48680</v>
      </c>
      <c r="H33707">
        <v>17368262</v>
      </c>
      <c r="I33707">
        <v>21572</v>
      </c>
      <c r="J33707">
        <v>3</v>
      </c>
    </row>
    <row r="33708" spans="1:10" x14ac:dyDescent="0.25">
      <c r="A33708" t="s">
        <v>380</v>
      </c>
      <c r="B33708" s="1" t="str">
        <f>HYPERLINK("http://tenesol.com","tenesol.com")</f>
        <v>tenesol.com</v>
      </c>
      <c r="C33708" t="s">
        <v>433</v>
      </c>
      <c r="F33708">
        <v>1.1868130022359001E-8</v>
      </c>
      <c r="G33708">
        <v>5259365</v>
      </c>
      <c r="H33708">
        <v>13217015</v>
      </c>
      <c r="I33708">
        <v>11355336</v>
      </c>
      <c r="J33708">
        <v>5</v>
      </c>
    </row>
    <row r="33709" spans="1:10" x14ac:dyDescent="0.25">
      <c r="A33709" t="s">
        <v>380</v>
      </c>
      <c r="B33709" s="1" t="str">
        <f>HYPERLINK("http://tgptrading.com","tgptrading.com")</f>
        <v>tgptrading.com</v>
      </c>
      <c r="C33709" t="s">
        <v>433</v>
      </c>
      <c r="F33709">
        <v>4.57243847210042E-9</v>
      </c>
      <c r="G33709">
        <v>49962369</v>
      </c>
      <c r="H33709">
        <v>10385096</v>
      </c>
      <c r="I33709">
        <v>54470510</v>
      </c>
      <c r="J33709">
        <v>4</v>
      </c>
    </row>
    <row r="33710" spans="1:10" x14ac:dyDescent="0.25">
      <c r="A33710" t="s">
        <v>380</v>
      </c>
      <c r="B33710" s="1" t="str">
        <f>HYPERLINK("http://total.com","total.com")</f>
        <v>total.com</v>
      </c>
      <c r="C33710" t="s">
        <v>433</v>
      </c>
      <c r="E33710">
        <v>27279</v>
      </c>
      <c r="F33710">
        <v>1.5083583640762101E-6</v>
      </c>
      <c r="G33710">
        <v>26001</v>
      </c>
      <c r="H33710">
        <v>17463988</v>
      </c>
      <c r="I33710">
        <v>15384</v>
      </c>
      <c r="J33710">
        <v>1</v>
      </c>
    </row>
    <row r="33711" spans="1:10" x14ac:dyDescent="0.25">
      <c r="A33711" t="s">
        <v>380</v>
      </c>
      <c r="B33711" s="1" t="str">
        <f>HYPERLINK("http://total-ev-charge.com","total-ev-charge.com")</f>
        <v>total-ev-charge.com</v>
      </c>
      <c r="C33711" t="s">
        <v>433</v>
      </c>
      <c r="F33711">
        <v>3.5919347196407598E-8</v>
      </c>
      <c r="G33711">
        <v>1450409</v>
      </c>
      <c r="H33711">
        <v>12444839</v>
      </c>
      <c r="I33711">
        <v>18086857</v>
      </c>
      <c r="J33711">
        <v>4</v>
      </c>
    </row>
    <row r="33712" spans="1:10" x14ac:dyDescent="0.25">
      <c r="A33712" t="s">
        <v>380</v>
      </c>
      <c r="B33712" s="1" t="str">
        <f>HYPERLINK("http://total-gabon.com","total-gabon.com")</f>
        <v>total-gabon.com</v>
      </c>
      <c r="C33712" t="s">
        <v>433</v>
      </c>
      <c r="F33712">
        <v>7.9051622336348602E-9</v>
      </c>
      <c r="G33712">
        <v>10101478</v>
      </c>
      <c r="H33712">
        <v>14082517</v>
      </c>
      <c r="I33712">
        <v>2799922</v>
      </c>
      <c r="J33712">
        <v>3</v>
      </c>
    </row>
    <row r="33713" spans="1:10" x14ac:dyDescent="0.25">
      <c r="A33713" t="s">
        <v>380</v>
      </c>
      <c r="B33713" s="1" t="str">
        <f>HYPERLINK("http://total-ghana.com","total-ghana.com")</f>
        <v>total-ghana.com</v>
      </c>
      <c r="C33713" t="s">
        <v>433</v>
      </c>
      <c r="F33713">
        <v>2.2278220284471201E-8</v>
      </c>
      <c r="G33713">
        <v>2353507</v>
      </c>
      <c r="H33713">
        <v>13556152</v>
      </c>
      <c r="I33713">
        <v>9884065</v>
      </c>
      <c r="J33713">
        <v>3</v>
      </c>
    </row>
    <row r="33714" spans="1:10" x14ac:dyDescent="0.25">
      <c r="A33714" t="s">
        <v>380</v>
      </c>
      <c r="B33714" s="1" t="str">
        <f>HYPERLINK("http://totalenergies.com","totalenergies.com")</f>
        <v>totalenergies.com</v>
      </c>
      <c r="C33714" t="s">
        <v>433</v>
      </c>
      <c r="E33714">
        <v>35491</v>
      </c>
      <c r="F33714">
        <v>1.56548610853238E-6</v>
      </c>
      <c r="G33714">
        <v>25073</v>
      </c>
      <c r="H33714">
        <v>17382340</v>
      </c>
      <c r="I33714">
        <v>20482</v>
      </c>
      <c r="J33714">
        <v>2</v>
      </c>
    </row>
    <row r="33715" spans="1:10" x14ac:dyDescent="0.25">
      <c r="A33715" t="s">
        <v>380</v>
      </c>
      <c r="B33715" s="1" t="str">
        <f>HYPERLINK("http://totalgp.com","totalgp.com")</f>
        <v>totalgp.com</v>
      </c>
      <c r="C33715" t="s">
        <v>433</v>
      </c>
      <c r="F33715">
        <v>1.41908882448896E-8</v>
      </c>
      <c r="G33715">
        <v>4132166</v>
      </c>
      <c r="H33715">
        <v>13481030</v>
      </c>
      <c r="I33715">
        <v>10008193</v>
      </c>
      <c r="J33715">
        <v>3</v>
      </c>
    </row>
    <row r="33716" spans="1:10" x14ac:dyDescent="0.25">
      <c r="A33716" t="s">
        <v>380</v>
      </c>
      <c r="B33716" s="1" t="str">
        <f>HYPERLINK("http://totalpetrochemicals.com","totalpetrochemicals.com")</f>
        <v>totalpetrochemicals.com</v>
      </c>
      <c r="C33716" t="s">
        <v>433</v>
      </c>
      <c r="F33716">
        <v>8.7067091006977894E-9</v>
      </c>
      <c r="G33716">
        <v>8465574</v>
      </c>
      <c r="H33716">
        <v>12499417</v>
      </c>
      <c r="I33716">
        <v>17365641</v>
      </c>
      <c r="J33716">
        <v>3</v>
      </c>
    </row>
    <row r="33717" spans="1:10" x14ac:dyDescent="0.25">
      <c r="A33717" t="s">
        <v>380</v>
      </c>
      <c r="B33717" s="1" t="str">
        <f>HYPERLINK("http://totalspecialfluids.com","totalspecialfluids.com")</f>
        <v>totalspecialfluids.com</v>
      </c>
      <c r="C33717" t="s">
        <v>433</v>
      </c>
      <c r="F33717">
        <v>3.7662017188292597E-8</v>
      </c>
      <c r="G33717">
        <v>1374011</v>
      </c>
      <c r="H33717">
        <v>12633194</v>
      </c>
      <c r="I33717">
        <v>15957221</v>
      </c>
      <c r="J33717">
        <v>4</v>
      </c>
    </row>
    <row r="33718" spans="1:10" x14ac:dyDescent="0.25">
      <c r="A33718" t="s">
        <v>380</v>
      </c>
      <c r="B33718" s="1" t="str">
        <f>HYPERLINK("http://totalspecialties.com","totalspecialties.com")</f>
        <v>totalspecialties.com</v>
      </c>
      <c r="C33718" t="s">
        <v>433</v>
      </c>
      <c r="F33718">
        <v>1.4750140622171301E-8</v>
      </c>
      <c r="G33718">
        <v>3923868</v>
      </c>
      <c r="H33718">
        <v>14074025</v>
      </c>
      <c r="I33718">
        <v>2959685</v>
      </c>
      <c r="J33718">
        <v>4</v>
      </c>
    </row>
    <row r="33719" spans="1:10" x14ac:dyDescent="0.25">
      <c r="A33719" t="s">
        <v>380</v>
      </c>
      <c r="B33719" s="1" t="str">
        <f>HYPERLINK("http://totalwineandliquors.com","totalwineandliquors.com")</f>
        <v>totalwineandliquors.com</v>
      </c>
      <c r="C33719" t="s">
        <v>433</v>
      </c>
      <c r="F33719">
        <v>4.8615720850070098E-9</v>
      </c>
      <c r="G33719">
        <v>33763436</v>
      </c>
      <c r="H33719">
        <v>10300305</v>
      </c>
      <c r="I33719">
        <v>58447878</v>
      </c>
      <c r="J33719">
        <v>3</v>
      </c>
    </row>
    <row r="33720" spans="1:10" x14ac:dyDescent="0.25">
      <c r="A33720" t="s">
        <v>380</v>
      </c>
      <c r="B33720" s="1" t="str">
        <f>HYPERLINK("http://waykonect.com","waykonect.com")</f>
        <v>waykonect.com</v>
      </c>
      <c r="C33720" t="s">
        <v>433</v>
      </c>
      <c r="F33720">
        <v>8.1662142575231595E-9</v>
      </c>
      <c r="G33720">
        <v>9628832</v>
      </c>
      <c r="H33720">
        <v>12481602</v>
      </c>
      <c r="I33720">
        <v>17584060</v>
      </c>
      <c r="J33720">
        <v>5</v>
      </c>
    </row>
    <row r="33721" spans="1:10" x14ac:dyDescent="0.25">
      <c r="A33721" t="s">
        <v>380</v>
      </c>
      <c r="B33721" s="1" t="str">
        <f>HYPERLINK("http://hutchinson.cz","hutchinson.cz")</f>
        <v>hutchinson.cz</v>
      </c>
      <c r="C33721" t="s">
        <v>435</v>
      </c>
      <c r="D33721" t="s">
        <v>814</v>
      </c>
      <c r="F33721">
        <v>4.59299469049367E-9</v>
      </c>
      <c r="G33721">
        <v>48167776</v>
      </c>
      <c r="H33721">
        <v>8790641</v>
      </c>
      <c r="I33721">
        <v>69441785</v>
      </c>
      <c r="J33721">
        <v>3</v>
      </c>
    </row>
    <row r="33722" spans="1:10" x14ac:dyDescent="0.25">
      <c r="A33722" t="s">
        <v>380</v>
      </c>
      <c r="B33722" s="1" t="str">
        <f>HYPERLINK("http://saft-ferak.cz","saft-ferak.cz")</f>
        <v>saft-ferak.cz</v>
      </c>
      <c r="C33722" t="s">
        <v>435</v>
      </c>
      <c r="D33722" t="s">
        <v>814</v>
      </c>
      <c r="F33722">
        <v>8.1850968239817308E-9</v>
      </c>
      <c r="G33722">
        <v>9596627</v>
      </c>
      <c r="H33722">
        <v>12304737</v>
      </c>
      <c r="I33722">
        <v>20740148</v>
      </c>
      <c r="J33722">
        <v>3</v>
      </c>
    </row>
    <row r="33723" spans="1:10" x14ac:dyDescent="0.25">
      <c r="A33723" t="s">
        <v>380</v>
      </c>
      <c r="B33723" s="1" t="str">
        <f>HYPERLINK("http://total.cz","total.cz")</f>
        <v>total.cz</v>
      </c>
      <c r="C33723" t="s">
        <v>435</v>
      </c>
      <c r="D33723" t="s">
        <v>814</v>
      </c>
      <c r="F33723">
        <v>2.9612026465834801E-8</v>
      </c>
      <c r="G33723">
        <v>1740908</v>
      </c>
      <c r="H33723">
        <v>12347826</v>
      </c>
      <c r="I33723">
        <v>19799641</v>
      </c>
      <c r="J33723">
        <v>2</v>
      </c>
    </row>
    <row r="33724" spans="1:10" x14ac:dyDescent="0.25">
      <c r="A33724" t="s">
        <v>380</v>
      </c>
      <c r="B33724" s="1" t="str">
        <f>HYPERLINK("http://totalbar.cz","totalbar.cz")</f>
        <v>totalbar.cz</v>
      </c>
      <c r="C33724" t="s">
        <v>435</v>
      </c>
      <c r="D33724" t="s">
        <v>814</v>
      </c>
      <c r="F33724">
        <v>4.4655380721072597E-9</v>
      </c>
      <c r="G33724">
        <v>66092335</v>
      </c>
      <c r="H33724">
        <v>11982146</v>
      </c>
      <c r="I33724">
        <v>28480416</v>
      </c>
      <c r="J33724">
        <v>3</v>
      </c>
    </row>
    <row r="33725" spans="1:10" x14ac:dyDescent="0.25">
      <c r="A33725" t="s">
        <v>380</v>
      </c>
      <c r="B33725" s="1" t="str">
        <f>HYPERLINK("http://totalenergies.cz","totalenergies.cz")</f>
        <v>totalenergies.cz</v>
      </c>
      <c r="C33725" t="s">
        <v>435</v>
      </c>
      <c r="D33725" t="s">
        <v>814</v>
      </c>
      <c r="F33725">
        <v>5.6308500325629698E-8</v>
      </c>
      <c r="G33725">
        <v>794574</v>
      </c>
      <c r="H33725">
        <v>12289145</v>
      </c>
      <c r="I33725">
        <v>21132958</v>
      </c>
      <c r="J33725">
        <v>3</v>
      </c>
    </row>
    <row r="33726" spans="1:10" x14ac:dyDescent="0.25">
      <c r="A33726" t="s">
        <v>380</v>
      </c>
      <c r="B33726" s="1" t="str">
        <f>HYPERLINK("http://24-autohof.de","24-autohof.de")</f>
        <v>24-autohof.de</v>
      </c>
      <c r="C33726" t="s">
        <v>436</v>
      </c>
      <c r="D33726" t="s">
        <v>815</v>
      </c>
      <c r="F33726">
        <v>2.74229855573433E-8</v>
      </c>
      <c r="G33726">
        <v>1874581</v>
      </c>
      <c r="H33726">
        <v>13422478</v>
      </c>
      <c r="I33726">
        <v>10300523</v>
      </c>
      <c r="J33726">
        <v>3</v>
      </c>
    </row>
    <row r="33727" spans="1:10" x14ac:dyDescent="0.25">
      <c r="A33727" t="s">
        <v>380</v>
      </c>
      <c r="B33727" s="1" t="str">
        <f>HYPERLINK("http://autohof-lippetal.de","autohof-lippetal.de")</f>
        <v>autohof-lippetal.de</v>
      </c>
      <c r="C33727" t="s">
        <v>436</v>
      </c>
      <c r="D33727" t="s">
        <v>815</v>
      </c>
      <c r="F33727">
        <v>5.5734386748673998E-9</v>
      </c>
      <c r="G33727">
        <v>20145682</v>
      </c>
      <c r="H33727">
        <v>10761815</v>
      </c>
      <c r="I33727">
        <v>39543627</v>
      </c>
      <c r="J33727">
        <v>3</v>
      </c>
    </row>
    <row r="33728" spans="1:10" x14ac:dyDescent="0.25">
      <c r="A33728" t="s">
        <v>380</v>
      </c>
      <c r="B33728" s="1" t="str">
        <f>HYPERLINK("http://elfstation-wetzel.de","elfstation-wetzel.de")</f>
        <v>elfstation-wetzel.de</v>
      </c>
      <c r="C33728" t="s">
        <v>436</v>
      </c>
      <c r="D33728" t="s">
        <v>815</v>
      </c>
      <c r="F33728">
        <v>4.44380395335525E-9</v>
      </c>
      <c r="G33728">
        <v>84319993</v>
      </c>
      <c r="H33728">
        <v>0</v>
      </c>
      <c r="I33728">
        <v>85350053</v>
      </c>
      <c r="J33728">
        <v>4</v>
      </c>
    </row>
    <row r="33729" spans="1:10" x14ac:dyDescent="0.25">
      <c r="A33729" t="s">
        <v>380</v>
      </c>
      <c r="B33729" s="1" t="str">
        <f>HYPERLINK("http://erp-wl.de","erp-wl.de")</f>
        <v>erp-wl.de</v>
      </c>
      <c r="C33729" t="s">
        <v>436</v>
      </c>
      <c r="D33729" t="s">
        <v>815</v>
      </c>
      <c r="F33729">
        <v>8.7680509119781899E-9</v>
      </c>
      <c r="G33729">
        <v>8362657</v>
      </c>
      <c r="H33729">
        <v>7980062</v>
      </c>
      <c r="I33729">
        <v>75251367</v>
      </c>
      <c r="J33729">
        <v>3</v>
      </c>
    </row>
    <row r="33730" spans="1:10" x14ac:dyDescent="0.25">
      <c r="A33730" t="s">
        <v>380</v>
      </c>
      <c r="B33730" s="1" t="str">
        <f>HYPERLINK("http://fortas-energie-gas.de","fortas-energie-gas.de")</f>
        <v>fortas-energie-gas.de</v>
      </c>
      <c r="C33730" t="s">
        <v>436</v>
      </c>
      <c r="D33730" t="s">
        <v>815</v>
      </c>
      <c r="F33730">
        <v>4.44380395335525E-9</v>
      </c>
      <c r="G33730">
        <v>84344851</v>
      </c>
      <c r="H33730">
        <v>0</v>
      </c>
      <c r="I33730">
        <v>85379402</v>
      </c>
      <c r="J33730">
        <v>4</v>
      </c>
    </row>
    <row r="33731" spans="1:10" x14ac:dyDescent="0.25">
      <c r="A33731" t="s">
        <v>380</v>
      </c>
      <c r="B33731" s="1" t="str">
        <f>HYPERLINK("http://hutchinson.de","hutchinson.de")</f>
        <v>hutchinson.de</v>
      </c>
      <c r="C33731" t="s">
        <v>436</v>
      </c>
      <c r="D33731" t="s">
        <v>815</v>
      </c>
      <c r="E33731">
        <v>950383</v>
      </c>
      <c r="F33731">
        <v>1.40608732305646E-8</v>
      </c>
      <c r="G33731">
        <v>4180053</v>
      </c>
      <c r="H33731">
        <v>14211227</v>
      </c>
      <c r="I33731">
        <v>1701621</v>
      </c>
      <c r="J33731">
        <v>3</v>
      </c>
    </row>
    <row r="33732" spans="1:10" x14ac:dyDescent="0.25">
      <c r="A33732" t="s">
        <v>380</v>
      </c>
      <c r="B33732" s="1" t="str">
        <f>HYPERLINK("http://jura-west.de","jura-west.de")</f>
        <v>jura-west.de</v>
      </c>
      <c r="C33732" t="s">
        <v>436</v>
      </c>
      <c r="D33732" t="s">
        <v>815</v>
      </c>
      <c r="J33732">
        <v>3</v>
      </c>
    </row>
    <row r="33733" spans="1:10" x14ac:dyDescent="0.25">
      <c r="A33733" t="s">
        <v>380</v>
      </c>
      <c r="B33733" s="1" t="str">
        <f>HYPERLINK("http://pfw.de","pfw.de")</f>
        <v>pfw.de</v>
      </c>
      <c r="C33733" t="s">
        <v>436</v>
      </c>
      <c r="D33733" t="s">
        <v>815</v>
      </c>
      <c r="F33733">
        <v>4.9284325061635503E-9</v>
      </c>
      <c r="G33733">
        <v>31426190</v>
      </c>
      <c r="H33733">
        <v>12077673</v>
      </c>
      <c r="I33733">
        <v>26613762</v>
      </c>
      <c r="J33733">
        <v>6</v>
      </c>
    </row>
    <row r="33734" spans="1:10" x14ac:dyDescent="0.25">
      <c r="A33734" t="s">
        <v>380</v>
      </c>
      <c r="B33734" s="1" t="str">
        <f>HYPERLINK("http://polyblend.de","polyblend.de")</f>
        <v>polyblend.de</v>
      </c>
      <c r="C33734" t="s">
        <v>436</v>
      </c>
      <c r="D33734" t="s">
        <v>815</v>
      </c>
      <c r="F33734">
        <v>8.4458085480052202E-9</v>
      </c>
      <c r="G33734">
        <v>8951053</v>
      </c>
      <c r="H33734">
        <v>10912396</v>
      </c>
      <c r="I33734">
        <v>35569399</v>
      </c>
      <c r="J33734">
        <v>3</v>
      </c>
    </row>
    <row r="33735" spans="1:10" x14ac:dyDescent="0.25">
      <c r="A33735" t="s">
        <v>380</v>
      </c>
      <c r="B33735" s="1" t="str">
        <f>HYPERLINK("http://saftbatteries.de","saftbatteries.de")</f>
        <v>saftbatteries.de</v>
      </c>
      <c r="C33735" t="s">
        <v>436</v>
      </c>
      <c r="D33735" t="s">
        <v>815</v>
      </c>
      <c r="F33735">
        <v>1.2772830945169099E-8</v>
      </c>
      <c r="G33735">
        <v>4743050</v>
      </c>
      <c r="H33735">
        <v>14073057</v>
      </c>
      <c r="I33735">
        <v>3020936</v>
      </c>
      <c r="J33735">
        <v>4</v>
      </c>
    </row>
    <row r="33736" spans="1:10" x14ac:dyDescent="0.25">
      <c r="A33736" t="s">
        <v>380</v>
      </c>
      <c r="B33736" s="1" t="str">
        <f>HYPERLINK("http://stop-choc.de","stop-choc.de")</f>
        <v>stop-choc.de</v>
      </c>
      <c r="C33736" t="s">
        <v>436</v>
      </c>
      <c r="D33736" t="s">
        <v>815</v>
      </c>
      <c r="F33736">
        <v>5.6651812056839497E-9</v>
      </c>
      <c r="G33736">
        <v>19259193</v>
      </c>
      <c r="H33736">
        <v>10648635</v>
      </c>
      <c r="I33736">
        <v>43624864</v>
      </c>
      <c r="J33736">
        <v>3</v>
      </c>
    </row>
    <row r="33737" spans="1:10" x14ac:dyDescent="0.25">
      <c r="A33737" t="s">
        <v>380</v>
      </c>
      <c r="B33737" s="1" t="str">
        <f>HYPERLINK("http://tc-kreisel.de","tc-kreisel.de")</f>
        <v>tc-kreisel.de</v>
      </c>
      <c r="C33737" t="s">
        <v>436</v>
      </c>
      <c r="D33737" t="s">
        <v>815</v>
      </c>
      <c r="F33737">
        <v>4.4438815593445496E-9</v>
      </c>
      <c r="G33737">
        <v>78058158</v>
      </c>
      <c r="H33737">
        <v>11974562</v>
      </c>
      <c r="I33737">
        <v>28617144</v>
      </c>
      <c r="J33737">
        <v>4</v>
      </c>
    </row>
    <row r="33738" spans="1:10" x14ac:dyDescent="0.25">
      <c r="A33738" t="s">
        <v>380</v>
      </c>
      <c r="B33738" s="1" t="str">
        <f>HYPERLINK("http://total.de","total.de")</f>
        <v>total.de</v>
      </c>
      <c r="C33738" t="s">
        <v>436</v>
      </c>
      <c r="D33738" t="s">
        <v>815</v>
      </c>
      <c r="E33738">
        <v>426446</v>
      </c>
      <c r="F33738">
        <v>1.4815063909497E-7</v>
      </c>
      <c r="G33738">
        <v>262417</v>
      </c>
      <c r="H33738">
        <v>14423580</v>
      </c>
      <c r="I33738">
        <v>1082834</v>
      </c>
      <c r="J33738">
        <v>3</v>
      </c>
    </row>
    <row r="33739" spans="1:10" x14ac:dyDescent="0.25">
      <c r="A33739" t="s">
        <v>380</v>
      </c>
      <c r="B33739" s="1" t="str">
        <f>HYPERLINK("http://total-sassnitz.de","total-sassnitz.de")</f>
        <v>total-sassnitz.de</v>
      </c>
      <c r="C33739" t="s">
        <v>436</v>
      </c>
      <c r="D33739" t="s">
        <v>815</v>
      </c>
      <c r="J33739">
        <v>3</v>
      </c>
    </row>
    <row r="33740" spans="1:10" x14ac:dyDescent="0.25">
      <c r="A33740" t="s">
        <v>380</v>
      </c>
      <c r="B33740" s="1" t="str">
        <f>HYPERLINK("http://totalenergies.de","totalenergies.de")</f>
        <v>totalenergies.de</v>
      </c>
      <c r="C33740" t="s">
        <v>436</v>
      </c>
      <c r="D33740" t="s">
        <v>815</v>
      </c>
      <c r="E33740">
        <v>391513</v>
      </c>
      <c r="F33740">
        <v>2.9950944004424502E-7</v>
      </c>
      <c r="G33740">
        <v>124166</v>
      </c>
      <c r="H33740">
        <v>14309772</v>
      </c>
      <c r="I33740">
        <v>1343427</v>
      </c>
      <c r="J33740">
        <v>3</v>
      </c>
    </row>
    <row r="33741" spans="1:10" x14ac:dyDescent="0.25">
      <c r="A33741" t="s">
        <v>380</v>
      </c>
      <c r="B33741" s="1" t="str">
        <f>HYPERLINK("http://totalenergies.dk","totalenergies.dk")</f>
        <v>totalenergies.dk</v>
      </c>
      <c r="C33741" t="s">
        <v>437</v>
      </c>
      <c r="D33741" t="s">
        <v>816</v>
      </c>
      <c r="F33741">
        <v>2.7010606108601399E-8</v>
      </c>
      <c r="G33741">
        <v>1904179</v>
      </c>
      <c r="H33741">
        <v>13018180</v>
      </c>
      <c r="I33741">
        <v>12720612</v>
      </c>
      <c r="J33741">
        <v>3</v>
      </c>
    </row>
    <row r="33742" spans="1:10" x14ac:dyDescent="0.25">
      <c r="A33742" t="s">
        <v>380</v>
      </c>
      <c r="B33742" s="1" t="str">
        <f>HYPERLINK("http://totalenergies.do","totalenergies.do")</f>
        <v>totalenergies.do</v>
      </c>
      <c r="C33742" t="s">
        <v>438</v>
      </c>
      <c r="D33742" t="s">
        <v>817</v>
      </c>
      <c r="F33742">
        <v>2.75299923788188E-8</v>
      </c>
      <c r="G33742">
        <v>1867312</v>
      </c>
      <c r="H33742">
        <v>12213412</v>
      </c>
      <c r="I33742">
        <v>22941910</v>
      </c>
      <c r="J33742">
        <v>3</v>
      </c>
    </row>
    <row r="33743" spans="1:10" x14ac:dyDescent="0.25">
      <c r="A33743" t="s">
        <v>380</v>
      </c>
      <c r="B33743" s="1" t="str">
        <f>HYPERLINK("http://totalenergies.eg","totalenergies.eg")</f>
        <v>totalenergies.eg</v>
      </c>
      <c r="C33743" t="s">
        <v>442</v>
      </c>
      <c r="D33743" t="s">
        <v>821</v>
      </c>
      <c r="F33743">
        <v>6.7411364857373998E-9</v>
      </c>
      <c r="G33743">
        <v>13158994</v>
      </c>
      <c r="H33743">
        <v>12212789</v>
      </c>
      <c r="I33743">
        <v>22957801</v>
      </c>
      <c r="J33743">
        <v>3</v>
      </c>
    </row>
    <row r="33744" spans="1:10" x14ac:dyDescent="0.25">
      <c r="A33744" t="s">
        <v>380</v>
      </c>
      <c r="B33744" s="1" t="str">
        <f>HYPERLINK("http://saftbatteries.es","saftbatteries.es")</f>
        <v>saftbatteries.es</v>
      </c>
      <c r="C33744" t="s">
        <v>443</v>
      </c>
      <c r="D33744" t="s">
        <v>822</v>
      </c>
      <c r="F33744">
        <v>1.38050035933859E-8</v>
      </c>
      <c r="G33744">
        <v>4279411</v>
      </c>
      <c r="H33744">
        <v>12479324</v>
      </c>
      <c r="I33744">
        <v>17605068</v>
      </c>
      <c r="J33744">
        <v>4</v>
      </c>
    </row>
    <row r="33745" spans="1:10" x14ac:dyDescent="0.25">
      <c r="A33745" t="s">
        <v>380</v>
      </c>
      <c r="B33745" s="1" t="str">
        <f>HYPERLINK("http://total.es","total.es")</f>
        <v>total.es</v>
      </c>
      <c r="C33745" t="s">
        <v>443</v>
      </c>
      <c r="D33745" t="s">
        <v>822</v>
      </c>
      <c r="F33745">
        <v>4.2230758258642799E-8</v>
      </c>
      <c r="G33745">
        <v>1153885</v>
      </c>
      <c r="H33745">
        <v>14079813</v>
      </c>
      <c r="I33745">
        <v>2827445</v>
      </c>
      <c r="J33745">
        <v>3</v>
      </c>
    </row>
    <row r="33746" spans="1:10" x14ac:dyDescent="0.25">
      <c r="A33746" t="s">
        <v>380</v>
      </c>
      <c r="B33746" s="1" t="str">
        <f>HYPERLINK("http://totalenergies.es","totalenergies.es")</f>
        <v>totalenergies.es</v>
      </c>
      <c r="C33746" t="s">
        <v>443</v>
      </c>
      <c r="D33746" t="s">
        <v>822</v>
      </c>
      <c r="E33746">
        <v>233962</v>
      </c>
      <c r="F33746">
        <v>1.2483382690542599E-7</v>
      </c>
      <c r="G33746">
        <v>316110</v>
      </c>
      <c r="H33746">
        <v>13663703</v>
      </c>
      <c r="I33746">
        <v>9566120</v>
      </c>
      <c r="J33746">
        <v>3</v>
      </c>
    </row>
    <row r="33747" spans="1:10" x14ac:dyDescent="0.25">
      <c r="A33747" t="s">
        <v>380</v>
      </c>
      <c r="B33747" s="1" t="str">
        <f>HYPERLINK("http://totalenergies.et","totalenergies.et")</f>
        <v>totalenergies.et</v>
      </c>
      <c r="C33747" t="s">
        <v>635</v>
      </c>
      <c r="D33747" t="s">
        <v>956</v>
      </c>
      <c r="F33747">
        <v>2.4981894192274299E-8</v>
      </c>
      <c r="G33747">
        <v>2068795</v>
      </c>
      <c r="H33747">
        <v>12192631</v>
      </c>
      <c r="I33747">
        <v>23520496</v>
      </c>
      <c r="J33747">
        <v>3</v>
      </c>
    </row>
    <row r="33748" spans="1:10" x14ac:dyDescent="0.25">
      <c r="A33748" t="s">
        <v>380</v>
      </c>
      <c r="B33748" s="1" t="str">
        <f>HYPERLINK("http://elf.fi","elf.fi")</f>
        <v>elf.fi</v>
      </c>
      <c r="C33748" t="s">
        <v>445</v>
      </c>
      <c r="D33748" t="s">
        <v>823</v>
      </c>
      <c r="F33748">
        <v>4.44381528729582E-9</v>
      </c>
      <c r="G33748">
        <v>79407515</v>
      </c>
      <c r="H33748">
        <v>10358497</v>
      </c>
      <c r="I33748">
        <v>55392324</v>
      </c>
      <c r="J33748">
        <v>2</v>
      </c>
    </row>
    <row r="33749" spans="1:10" x14ac:dyDescent="0.25">
      <c r="A33749" t="s">
        <v>380</v>
      </c>
      <c r="B33749" s="1" t="str">
        <f>HYPERLINK("http://total-energies.fi","total-energies.fi")</f>
        <v>total-energies.fi</v>
      </c>
      <c r="C33749" t="s">
        <v>445</v>
      </c>
      <c r="D33749" t="s">
        <v>823</v>
      </c>
      <c r="F33749">
        <v>4.44380927664388E-9</v>
      </c>
      <c r="G33749">
        <v>79825213</v>
      </c>
      <c r="H33749">
        <v>10352960</v>
      </c>
      <c r="I33749">
        <v>55971525</v>
      </c>
      <c r="J33749">
        <v>2</v>
      </c>
    </row>
    <row r="33750" spans="1:10" x14ac:dyDescent="0.25">
      <c r="A33750" t="s">
        <v>380</v>
      </c>
      <c r="B33750" s="1" t="str">
        <f>HYPERLINK("http://totalenergies.fi","totalenergies.fi")</f>
        <v>totalenergies.fi</v>
      </c>
      <c r="C33750" t="s">
        <v>445</v>
      </c>
      <c r="D33750" t="s">
        <v>823</v>
      </c>
      <c r="J33750">
        <v>2</v>
      </c>
    </row>
    <row r="33751" spans="1:10" x14ac:dyDescent="0.25">
      <c r="A33751" t="s">
        <v>380</v>
      </c>
      <c r="B33751" s="1" t="str">
        <f>HYPERLINK("http://totalfinland.fi","totalfinland.fi")</f>
        <v>totalfinland.fi</v>
      </c>
      <c r="C33751" t="s">
        <v>445</v>
      </c>
      <c r="D33751" t="s">
        <v>823</v>
      </c>
      <c r="J33751">
        <v>2</v>
      </c>
    </row>
    <row r="33752" spans="1:10" x14ac:dyDescent="0.25">
      <c r="A33752" t="s">
        <v>380</v>
      </c>
      <c r="B33752" s="1" t="str">
        <f>HYPERLINK("http://totalsuomi.fi","totalsuomi.fi")</f>
        <v>totalsuomi.fi</v>
      </c>
      <c r="C33752" t="s">
        <v>445</v>
      </c>
      <c r="D33752" t="s">
        <v>823</v>
      </c>
      <c r="J33752">
        <v>2</v>
      </c>
    </row>
    <row r="33753" spans="1:10" x14ac:dyDescent="0.25">
      <c r="A33753" t="s">
        <v>380</v>
      </c>
      <c r="B33753" s="1" t="str">
        <f>HYPERLINK("http://totalenergies.com.fj","totalenergies.com.fj")</f>
        <v>totalenergies.com.fj</v>
      </c>
      <c r="C33753" t="s">
        <v>636</v>
      </c>
      <c r="D33753" t="s">
        <v>957</v>
      </c>
      <c r="F33753">
        <v>2.6025619271863399E-8</v>
      </c>
      <c r="G33753">
        <v>1979699</v>
      </c>
      <c r="H33753">
        <v>12199259</v>
      </c>
      <c r="I33753">
        <v>23336577</v>
      </c>
      <c r="J33753">
        <v>3</v>
      </c>
    </row>
    <row r="33754" spans="1:10" x14ac:dyDescent="0.25">
      <c r="A33754" t="s">
        <v>380</v>
      </c>
      <c r="B33754" s="1" t="str">
        <f>HYPERLINK("http://changeforblue.fr","changeforblue.fr")</f>
        <v>changeforblue.fr</v>
      </c>
      <c r="C33754" t="s">
        <v>446</v>
      </c>
      <c r="D33754" t="s">
        <v>824</v>
      </c>
      <c r="F33754">
        <v>5.1426573934533801E-9</v>
      </c>
      <c r="G33754">
        <v>26216366</v>
      </c>
      <c r="H33754">
        <v>10843587</v>
      </c>
      <c r="I33754">
        <v>37022893</v>
      </c>
      <c r="J33754">
        <v>2</v>
      </c>
    </row>
    <row r="33755" spans="1:10" x14ac:dyDescent="0.25">
      <c r="A33755" t="s">
        <v>380</v>
      </c>
      <c r="B33755" s="1" t="str">
        <f>HYPERLINK("http://fioulmarket.fr","fioulmarket.fr")</f>
        <v>fioulmarket.fr</v>
      </c>
      <c r="C33755" t="s">
        <v>446</v>
      </c>
      <c r="D33755" t="s">
        <v>824</v>
      </c>
      <c r="E33755">
        <v>388998</v>
      </c>
      <c r="F33755">
        <v>4.8774510739469002E-8</v>
      </c>
      <c r="G33755">
        <v>950331</v>
      </c>
      <c r="H33755">
        <v>14118971</v>
      </c>
      <c r="I33755">
        <v>2657850</v>
      </c>
      <c r="J33755">
        <v>3</v>
      </c>
    </row>
    <row r="33756" spans="1:10" x14ac:dyDescent="0.25">
      <c r="A33756" t="s">
        <v>380</v>
      </c>
      <c r="B33756" s="1" t="str">
        <f>HYPERLINK("http://garage-decultieux.fr","garage-decultieux.fr")</f>
        <v>garage-decultieux.fr</v>
      </c>
      <c r="C33756" t="s">
        <v>446</v>
      </c>
      <c r="D33756" t="s">
        <v>824</v>
      </c>
      <c r="F33756">
        <v>4.5825971847440104E-9</v>
      </c>
      <c r="G33756">
        <v>49073520</v>
      </c>
      <c r="H33756">
        <v>10664958</v>
      </c>
      <c r="I33756">
        <v>43152650</v>
      </c>
      <c r="J33756">
        <v>4</v>
      </c>
    </row>
    <row r="33757" spans="1:10" x14ac:dyDescent="0.25">
      <c r="A33757" t="s">
        <v>380</v>
      </c>
      <c r="B33757" s="1" t="str">
        <f>HYPERLINK("http://globalwindpower.fr","globalwindpower.fr")</f>
        <v>globalwindpower.fr</v>
      </c>
      <c r="C33757" t="s">
        <v>446</v>
      </c>
      <c r="D33757" t="s">
        <v>824</v>
      </c>
      <c r="F33757">
        <v>4.6633381011902901E-9</v>
      </c>
      <c r="G33757">
        <v>43324013</v>
      </c>
      <c r="H33757">
        <v>10359801</v>
      </c>
      <c r="I33757">
        <v>55242808</v>
      </c>
      <c r="J33757">
        <v>3</v>
      </c>
    </row>
    <row r="33758" spans="1:10" x14ac:dyDescent="0.25">
      <c r="A33758" t="s">
        <v>380</v>
      </c>
      <c r="B33758" s="1" t="str">
        <f>HYPERLINK("http://hutchinson.fr","hutchinson.fr")</f>
        <v>hutchinson.fr</v>
      </c>
      <c r="C33758" t="s">
        <v>446</v>
      </c>
      <c r="D33758" t="s">
        <v>824</v>
      </c>
      <c r="E33758">
        <v>534236</v>
      </c>
      <c r="F33758">
        <v>2.3640332932490901E-8</v>
      </c>
      <c r="G33758">
        <v>2199633</v>
      </c>
      <c r="H33758">
        <v>13770395</v>
      </c>
      <c r="I33758">
        <v>6731564</v>
      </c>
      <c r="J33758">
        <v>3</v>
      </c>
    </row>
    <row r="33759" spans="1:10" x14ac:dyDescent="0.25">
      <c r="A33759" t="s">
        <v>380</v>
      </c>
      <c r="B33759" s="1" t="str">
        <f>HYPERLINK("http://saftbatteries.fr","saftbatteries.fr")</f>
        <v>saftbatteries.fr</v>
      </c>
      <c r="C33759" t="s">
        <v>446</v>
      </c>
      <c r="D33759" t="s">
        <v>824</v>
      </c>
      <c r="F33759">
        <v>5.6398951339177097E-9</v>
      </c>
      <c r="G33759">
        <v>19485132</v>
      </c>
      <c r="H33759">
        <v>12098650</v>
      </c>
      <c r="I33759">
        <v>26004092</v>
      </c>
      <c r="J33759">
        <v>4</v>
      </c>
    </row>
    <row r="33760" spans="1:10" x14ac:dyDescent="0.25">
      <c r="A33760" t="s">
        <v>380</v>
      </c>
      <c r="B33760" s="1" t="str">
        <f>HYPERLINK("http://stations-elan.fr","stations-elan.fr")</f>
        <v>stations-elan.fr</v>
      </c>
      <c r="C33760" t="s">
        <v>446</v>
      </c>
      <c r="D33760" t="s">
        <v>824</v>
      </c>
      <c r="F33760">
        <v>5.5065081929120702E-9</v>
      </c>
      <c r="G33760">
        <v>20829306</v>
      </c>
      <c r="H33760">
        <v>14074139</v>
      </c>
      <c r="I33760">
        <v>2954973</v>
      </c>
      <c r="J33760">
        <v>4</v>
      </c>
    </row>
    <row r="33761" spans="1:10" x14ac:dyDescent="0.25">
      <c r="A33761" t="s">
        <v>380</v>
      </c>
      <c r="B33761" s="1" t="str">
        <f>HYPERLINK("http://total.fr","total.fr")</f>
        <v>total.fr</v>
      </c>
      <c r="C33761" t="s">
        <v>446</v>
      </c>
      <c r="D33761" t="s">
        <v>824</v>
      </c>
      <c r="E33761">
        <v>293275</v>
      </c>
      <c r="F33761">
        <v>3.74150837654619E-7</v>
      </c>
      <c r="G33761">
        <v>100093</v>
      </c>
      <c r="H33761">
        <v>17222938</v>
      </c>
      <c r="I33761">
        <v>37993</v>
      </c>
      <c r="J33761">
        <v>2</v>
      </c>
    </row>
    <row r="33762" spans="1:10" x14ac:dyDescent="0.25">
      <c r="A33762" t="s">
        <v>380</v>
      </c>
      <c r="B33762" s="1" t="str">
        <f>HYPERLINK("http://total-proxi-energies.fr","total-proxi-energies.fr")</f>
        <v>total-proxi-energies.fr</v>
      </c>
      <c r="C33762" t="s">
        <v>446</v>
      </c>
      <c r="D33762" t="s">
        <v>824</v>
      </c>
      <c r="F33762">
        <v>2.63534538866014E-8</v>
      </c>
      <c r="G33762">
        <v>1953846</v>
      </c>
      <c r="H33762">
        <v>13311691</v>
      </c>
      <c r="I33762">
        <v>10772302</v>
      </c>
      <c r="J33762">
        <v>3</v>
      </c>
    </row>
    <row r="33763" spans="1:10" x14ac:dyDescent="0.25">
      <c r="A33763" t="s">
        <v>380</v>
      </c>
      <c r="B33763" s="1" t="str">
        <f>HYPERLINK("http://totalenergies.fr","totalenergies.fr")</f>
        <v>totalenergies.fr</v>
      </c>
      <c r="C33763" t="s">
        <v>446</v>
      </c>
      <c r="D33763" t="s">
        <v>824</v>
      </c>
      <c r="E33763">
        <v>57319</v>
      </c>
      <c r="F33763">
        <v>9.6536653463299793E-7</v>
      </c>
      <c r="G33763">
        <v>39625</v>
      </c>
      <c r="H33763">
        <v>17113054</v>
      </c>
      <c r="I33763">
        <v>61499</v>
      </c>
      <c r="J33763">
        <v>3</v>
      </c>
    </row>
    <row r="33764" spans="1:10" x14ac:dyDescent="0.25">
      <c r="A33764" t="s">
        <v>380</v>
      </c>
      <c r="B33764" s="1" t="str">
        <f>HYPERLINK("http://totalpetrochemicals.fr","totalpetrochemicals.fr")</f>
        <v>totalpetrochemicals.fr</v>
      </c>
      <c r="C33764" t="s">
        <v>446</v>
      </c>
      <c r="D33764" t="s">
        <v>824</v>
      </c>
      <c r="F33764">
        <v>5.5664365156759198E-9</v>
      </c>
      <c r="G33764">
        <v>20212379</v>
      </c>
      <c r="H33764">
        <v>10350975</v>
      </c>
      <c r="I33764">
        <v>56259148</v>
      </c>
      <c r="J33764">
        <v>4</v>
      </c>
    </row>
    <row r="33765" spans="1:10" x14ac:dyDescent="0.25">
      <c r="A33765" t="s">
        <v>380</v>
      </c>
      <c r="B33765" s="1" t="str">
        <f>HYPERLINK("http://trapil.fr","trapil.fr")</f>
        <v>trapil.fr</v>
      </c>
      <c r="C33765" t="s">
        <v>446</v>
      </c>
      <c r="D33765" t="s">
        <v>824</v>
      </c>
      <c r="F33765">
        <v>1.06098128976318E-8</v>
      </c>
      <c r="G33765">
        <v>6175183</v>
      </c>
      <c r="H33765">
        <v>14077368</v>
      </c>
      <c r="I33765">
        <v>2867545</v>
      </c>
      <c r="J33765">
        <v>3</v>
      </c>
    </row>
    <row r="33766" spans="1:10" x14ac:dyDescent="0.25">
      <c r="A33766" t="s">
        <v>380</v>
      </c>
      <c r="B33766" s="1" t="str">
        <f>HYPERLINK("http://ussongarage86.fr","ussongarage86.fr")</f>
        <v>ussongarage86.fr</v>
      </c>
      <c r="C33766" t="s">
        <v>446</v>
      </c>
      <c r="D33766" t="s">
        <v>824</v>
      </c>
      <c r="F33766">
        <v>4.4803508279786402E-9</v>
      </c>
      <c r="G33766">
        <v>62265609</v>
      </c>
      <c r="H33766">
        <v>8931059</v>
      </c>
      <c r="I33766">
        <v>68968959</v>
      </c>
      <c r="J33766">
        <v>3</v>
      </c>
    </row>
    <row r="33767" spans="1:10" x14ac:dyDescent="0.25">
      <c r="A33767" t="s">
        <v>380</v>
      </c>
      <c r="B33767" s="1" t="str">
        <f>HYPERLINK("http://wash-totalenergies.fr","wash-totalenergies.fr")</f>
        <v>wash-totalenergies.fr</v>
      </c>
      <c r="C33767" t="s">
        <v>446</v>
      </c>
      <c r="D33767" t="s">
        <v>824</v>
      </c>
      <c r="F33767">
        <v>2.57495967648152E-8</v>
      </c>
      <c r="G33767">
        <v>2001978</v>
      </c>
      <c r="H33767">
        <v>12391161</v>
      </c>
      <c r="I33767">
        <v>19013188</v>
      </c>
      <c r="J33767">
        <v>3</v>
      </c>
    </row>
    <row r="33768" spans="1:10" x14ac:dyDescent="0.25">
      <c r="A33768" t="s">
        <v>380</v>
      </c>
      <c r="B33768" s="1" t="str">
        <f>HYPERLINK("http://total.ga","total.ga")</f>
        <v>total.ga</v>
      </c>
      <c r="C33768" t="s">
        <v>544</v>
      </c>
      <c r="D33768" t="s">
        <v>902</v>
      </c>
      <c r="F33768">
        <v>7.4809449500818701E-9</v>
      </c>
      <c r="G33768">
        <v>11055760</v>
      </c>
      <c r="H33768">
        <v>14077004</v>
      </c>
      <c r="I33768">
        <v>2874782</v>
      </c>
      <c r="J33768">
        <v>3</v>
      </c>
    </row>
    <row r="33769" spans="1:10" x14ac:dyDescent="0.25">
      <c r="A33769" t="s">
        <v>380</v>
      </c>
      <c r="B33769" s="1" t="str">
        <f>HYPERLINK("http://totalenergies.ga","totalenergies.ga")</f>
        <v>totalenergies.ga</v>
      </c>
      <c r="C33769" t="s">
        <v>544</v>
      </c>
      <c r="D33769" t="s">
        <v>902</v>
      </c>
      <c r="F33769">
        <v>2.2739511522628001E-8</v>
      </c>
      <c r="G33769">
        <v>2302366</v>
      </c>
      <c r="H33769">
        <v>12671160</v>
      </c>
      <c r="I33769">
        <v>15609712</v>
      </c>
      <c r="J33769">
        <v>3</v>
      </c>
    </row>
    <row r="33770" spans="1:10" x14ac:dyDescent="0.25">
      <c r="A33770" t="s">
        <v>380</v>
      </c>
      <c r="B33770" s="1" t="str">
        <f>HYPERLINK("http://totalenergies.com.gh","totalenergies.com.gh")</f>
        <v>totalenergies.com.gh</v>
      </c>
      <c r="C33770" t="s">
        <v>640</v>
      </c>
      <c r="D33770" t="s">
        <v>961</v>
      </c>
      <c r="F33770">
        <v>1.59049642395555E-8</v>
      </c>
      <c r="G33770">
        <v>3571439</v>
      </c>
      <c r="H33770">
        <v>12203146</v>
      </c>
      <c r="I33770">
        <v>23240183</v>
      </c>
      <c r="J33770">
        <v>3</v>
      </c>
    </row>
    <row r="33771" spans="1:10" x14ac:dyDescent="0.25">
      <c r="A33771" t="s">
        <v>380</v>
      </c>
      <c r="B33771" s="1" t="str">
        <f>HYPERLINK("http://totalenergies.gp","totalenergies.gp")</f>
        <v>totalenergies.gp</v>
      </c>
      <c r="C33771" t="s">
        <v>645</v>
      </c>
      <c r="F33771">
        <v>1.1497376841314401E-8</v>
      </c>
      <c r="G33771">
        <v>5507501</v>
      </c>
      <c r="H33771">
        <v>12199247</v>
      </c>
      <c r="I33771">
        <v>23336850</v>
      </c>
      <c r="J33771">
        <v>3</v>
      </c>
    </row>
    <row r="33772" spans="1:10" x14ac:dyDescent="0.25">
      <c r="A33772" t="s">
        <v>380</v>
      </c>
      <c r="B33772" s="1" t="str">
        <f>HYPERLINK("http://totalenergies.gq","totalenergies.gq")</f>
        <v>totalenergies.gq</v>
      </c>
      <c r="C33772" t="s">
        <v>789</v>
      </c>
      <c r="D33772" t="s">
        <v>1021</v>
      </c>
      <c r="F33772">
        <v>1.5611375639891298E-8</v>
      </c>
      <c r="G33772">
        <v>3651988</v>
      </c>
      <c r="H33772">
        <v>12192636</v>
      </c>
      <c r="I33772">
        <v>23520225</v>
      </c>
      <c r="J33772">
        <v>3</v>
      </c>
    </row>
    <row r="33773" spans="1:10" x14ac:dyDescent="0.25">
      <c r="A33773" t="s">
        <v>380</v>
      </c>
      <c r="B33773" s="1" t="str">
        <f>HYPERLINK("http://totalenergies.gr","totalenergies.gr")</f>
        <v>totalenergies.gr</v>
      </c>
      <c r="C33773" t="s">
        <v>447</v>
      </c>
      <c r="D33773" t="s">
        <v>825</v>
      </c>
      <c r="F33773">
        <v>4.1268386020729199E-8</v>
      </c>
      <c r="G33773">
        <v>1222637</v>
      </c>
      <c r="H33773">
        <v>12643078</v>
      </c>
      <c r="I33773">
        <v>15847413</v>
      </c>
      <c r="J33773">
        <v>3</v>
      </c>
    </row>
    <row r="33774" spans="1:10" x14ac:dyDescent="0.25">
      <c r="A33774" t="s">
        <v>380</v>
      </c>
      <c r="B33774" s="1" t="str">
        <f>HYPERLINK("http://totalenergies.hr","totalenergies.hr")</f>
        <v>totalenergies.hr</v>
      </c>
      <c r="C33774" t="s">
        <v>452</v>
      </c>
      <c r="D33774" t="s">
        <v>829</v>
      </c>
      <c r="F33774">
        <v>2.2484117070506601E-8</v>
      </c>
      <c r="G33774">
        <v>2330254</v>
      </c>
      <c r="H33774">
        <v>12241078</v>
      </c>
      <c r="I33774">
        <v>22231350</v>
      </c>
      <c r="J33774">
        <v>3</v>
      </c>
    </row>
    <row r="33775" spans="1:10" x14ac:dyDescent="0.25">
      <c r="A33775" t="s">
        <v>380</v>
      </c>
      <c r="B33775" s="1" t="str">
        <f>HYPERLINK("http://total.hu","total.hu")</f>
        <v>total.hu</v>
      </c>
      <c r="C33775" t="s">
        <v>453</v>
      </c>
      <c r="D33775" t="s">
        <v>830</v>
      </c>
      <c r="F33775">
        <v>2.2672874210192599E-8</v>
      </c>
      <c r="G33775">
        <v>2309731</v>
      </c>
      <c r="H33775">
        <v>12279830</v>
      </c>
      <c r="I33775">
        <v>21308042</v>
      </c>
      <c r="J33775">
        <v>2</v>
      </c>
    </row>
    <row r="33776" spans="1:10" x14ac:dyDescent="0.25">
      <c r="A33776" t="s">
        <v>380</v>
      </c>
      <c r="B33776" s="1" t="str">
        <f>HYPERLINK("http://totalenergies.hu","totalenergies.hu")</f>
        <v>totalenergies.hu</v>
      </c>
      <c r="C33776" t="s">
        <v>453</v>
      </c>
      <c r="D33776" t="s">
        <v>830</v>
      </c>
      <c r="F33776">
        <v>3.48202913333772E-8</v>
      </c>
      <c r="G33776">
        <v>1491190</v>
      </c>
      <c r="H33776">
        <v>12218064</v>
      </c>
      <c r="I33776">
        <v>22830745</v>
      </c>
      <c r="J33776">
        <v>3</v>
      </c>
    </row>
    <row r="33777" spans="1:10" x14ac:dyDescent="0.25">
      <c r="A33777" t="s">
        <v>380</v>
      </c>
      <c r="B33777" s="1" t="str">
        <f>HYPERLINK("http://totalenergies.id","totalenergies.id")</f>
        <v>totalenergies.id</v>
      </c>
      <c r="C33777" t="s">
        <v>454</v>
      </c>
      <c r="D33777" t="s">
        <v>831</v>
      </c>
      <c r="F33777">
        <v>1.7986809639362799E-8</v>
      </c>
      <c r="G33777">
        <v>3033479</v>
      </c>
      <c r="H33777">
        <v>12340591</v>
      </c>
      <c r="I33777">
        <v>19992749</v>
      </c>
      <c r="J33777">
        <v>3</v>
      </c>
    </row>
    <row r="33778" spans="1:10" x14ac:dyDescent="0.25">
      <c r="A33778" t="s">
        <v>380</v>
      </c>
      <c r="B33778" s="1" t="str">
        <f>HYPERLINK("http://total.co.in","total.co.in")</f>
        <v>total.co.in</v>
      </c>
      <c r="C33778" t="s">
        <v>457</v>
      </c>
      <c r="D33778" t="s">
        <v>834</v>
      </c>
      <c r="F33778">
        <v>2.6994459450326E-8</v>
      </c>
      <c r="G33778">
        <v>1905340</v>
      </c>
      <c r="H33778">
        <v>12403176</v>
      </c>
      <c r="I33778">
        <v>18725651</v>
      </c>
      <c r="J33778">
        <v>5</v>
      </c>
    </row>
    <row r="33779" spans="1:10" x14ac:dyDescent="0.25">
      <c r="A33779" t="s">
        <v>380</v>
      </c>
      <c r="B33779" s="1" t="str">
        <f>HYPERLINK("http://totalenergies.in","totalenergies.in")</f>
        <v>totalenergies.in</v>
      </c>
      <c r="C33779" t="s">
        <v>457</v>
      </c>
      <c r="D33779" t="s">
        <v>834</v>
      </c>
      <c r="F33779">
        <v>4.3885098819024198E-8</v>
      </c>
      <c r="G33779">
        <v>1085526</v>
      </c>
      <c r="H33779">
        <v>12367887</v>
      </c>
      <c r="I33779">
        <v>19450199</v>
      </c>
      <c r="J33779">
        <v>3</v>
      </c>
    </row>
    <row r="33780" spans="1:10" x14ac:dyDescent="0.25">
      <c r="A33780" t="s">
        <v>380</v>
      </c>
      <c r="B33780" s="1" t="str">
        <f>HYPERLINK("http://autohof-guenzburg.info","autohof-guenzburg.info")</f>
        <v>autohof-guenzburg.info</v>
      </c>
      <c r="C33780" t="s">
        <v>458</v>
      </c>
      <c r="F33780">
        <v>4.7145361377364698E-9</v>
      </c>
      <c r="G33780">
        <v>40487123</v>
      </c>
      <c r="H33780">
        <v>10736054</v>
      </c>
      <c r="I33780">
        <v>40616578</v>
      </c>
      <c r="J33780">
        <v>3</v>
      </c>
    </row>
    <row r="33781" spans="1:10" x14ac:dyDescent="0.25">
      <c r="A33781" t="s">
        <v>380</v>
      </c>
      <c r="B33781" s="1" t="str">
        <f>HYPERLINK("http://saftbatteries.it","saftbatteries.it")</f>
        <v>saftbatteries.it</v>
      </c>
      <c r="C33781" t="s">
        <v>459</v>
      </c>
      <c r="D33781" t="s">
        <v>835</v>
      </c>
      <c r="F33781">
        <v>7.0267625588573303E-9</v>
      </c>
      <c r="G33781">
        <v>12234109</v>
      </c>
      <c r="H33781">
        <v>12103548</v>
      </c>
      <c r="I33781">
        <v>25884237</v>
      </c>
      <c r="J33781">
        <v>4</v>
      </c>
    </row>
    <row r="33782" spans="1:10" x14ac:dyDescent="0.25">
      <c r="A33782" t="s">
        <v>380</v>
      </c>
      <c r="B33782" s="1" t="str">
        <f>HYPERLINK("http://totalenergies.it","totalenergies.it")</f>
        <v>totalenergies.it</v>
      </c>
      <c r="C33782" t="s">
        <v>459</v>
      </c>
      <c r="D33782" t="s">
        <v>835</v>
      </c>
      <c r="F33782">
        <v>3.9947026360383702E-8</v>
      </c>
      <c r="G33782">
        <v>1293873</v>
      </c>
      <c r="H33782">
        <v>14075385</v>
      </c>
      <c r="I33782">
        <v>2910610</v>
      </c>
      <c r="J33782">
        <v>3</v>
      </c>
    </row>
    <row r="33783" spans="1:10" x14ac:dyDescent="0.25">
      <c r="A33783" t="s">
        <v>380</v>
      </c>
      <c r="B33783" s="1" t="str">
        <f>HYPERLINK("http://totalenergies.com.jm","totalenergies.com.jm")</f>
        <v>totalenergies.com.jm</v>
      </c>
      <c r="C33783" t="s">
        <v>460</v>
      </c>
      <c r="D33783" t="s">
        <v>836</v>
      </c>
      <c r="F33783">
        <v>5.7221086773425103E-9</v>
      </c>
      <c r="G33783">
        <v>18731382</v>
      </c>
      <c r="H33783">
        <v>12229356</v>
      </c>
      <c r="I33783">
        <v>22520790</v>
      </c>
      <c r="J33783">
        <v>3</v>
      </c>
    </row>
    <row r="33784" spans="1:10" x14ac:dyDescent="0.25">
      <c r="A33784" t="s">
        <v>380</v>
      </c>
      <c r="B33784" s="1" t="str">
        <f>HYPERLINK("http://saftbatteries.jp","saftbatteries.jp")</f>
        <v>saftbatteries.jp</v>
      </c>
      <c r="C33784" t="s">
        <v>461</v>
      </c>
      <c r="D33784" t="s">
        <v>837</v>
      </c>
      <c r="F33784">
        <v>7.9368205987224999E-9</v>
      </c>
      <c r="G33784">
        <v>10039865</v>
      </c>
      <c r="H33784">
        <v>12368073</v>
      </c>
      <c r="I33784">
        <v>19447568</v>
      </c>
      <c r="J33784">
        <v>4</v>
      </c>
    </row>
    <row r="33785" spans="1:10" x14ac:dyDescent="0.25">
      <c r="A33785" t="s">
        <v>380</v>
      </c>
      <c r="B33785" s="1" t="str">
        <f>HYPERLINK("http://totalenergies.jp","totalenergies.jp")</f>
        <v>totalenergies.jp</v>
      </c>
      <c r="C33785" t="s">
        <v>461</v>
      </c>
      <c r="D33785" t="s">
        <v>837</v>
      </c>
      <c r="F33785">
        <v>4.82541818045905E-8</v>
      </c>
      <c r="G33785">
        <v>962742</v>
      </c>
      <c r="H33785">
        <v>14073316</v>
      </c>
      <c r="I33785">
        <v>3002505</v>
      </c>
      <c r="J33785">
        <v>3</v>
      </c>
    </row>
    <row r="33786" spans="1:10" x14ac:dyDescent="0.25">
      <c r="A33786" t="s">
        <v>380</v>
      </c>
      <c r="B33786" s="1" t="str">
        <f>HYPERLINK("http://total.co.ke","total.co.ke")</f>
        <v>total.co.ke</v>
      </c>
      <c r="C33786" t="s">
        <v>462</v>
      </c>
      <c r="D33786" t="s">
        <v>838</v>
      </c>
      <c r="F33786">
        <v>4.67289383712485E-8</v>
      </c>
      <c r="G33786">
        <v>999886</v>
      </c>
      <c r="H33786">
        <v>13433067</v>
      </c>
      <c r="I33786">
        <v>10275740</v>
      </c>
      <c r="J33786">
        <v>3</v>
      </c>
    </row>
    <row r="33787" spans="1:10" x14ac:dyDescent="0.25">
      <c r="A33787" t="s">
        <v>380</v>
      </c>
      <c r="B33787" s="1" t="str">
        <f>HYPERLINK("http://totalenergies.ke","totalenergies.ke")</f>
        <v>totalenergies.ke</v>
      </c>
      <c r="C33787" t="s">
        <v>462</v>
      </c>
      <c r="D33787" t="s">
        <v>838</v>
      </c>
      <c r="F33787">
        <v>2.1621913139811899E-8</v>
      </c>
      <c r="G33787">
        <v>2433937</v>
      </c>
      <c r="H33787">
        <v>12868466</v>
      </c>
      <c r="I33787">
        <v>14093998</v>
      </c>
      <c r="J33787">
        <v>3</v>
      </c>
    </row>
    <row r="33788" spans="1:10" x14ac:dyDescent="0.25">
      <c r="A33788" t="s">
        <v>380</v>
      </c>
      <c r="B33788" s="1" t="str">
        <f>HYPERLINK("http://totalenergies.com.lb","totalenergies.com.lb")</f>
        <v>totalenergies.com.lb</v>
      </c>
      <c r="C33788" t="s">
        <v>612</v>
      </c>
      <c r="D33788" t="s">
        <v>938</v>
      </c>
      <c r="F33788">
        <v>9.9088783915539207E-9</v>
      </c>
      <c r="G33788">
        <v>6850379</v>
      </c>
      <c r="H33788">
        <v>13933307</v>
      </c>
      <c r="I33788">
        <v>4791884</v>
      </c>
      <c r="J33788">
        <v>3</v>
      </c>
    </row>
    <row r="33789" spans="1:10" x14ac:dyDescent="0.25">
      <c r="A33789" t="s">
        <v>380</v>
      </c>
      <c r="B33789" s="1" t="str">
        <f>HYPERLINK("http://total.lu","total.lu")</f>
        <v>total.lu</v>
      </c>
      <c r="C33789" t="s">
        <v>547</v>
      </c>
      <c r="D33789" t="s">
        <v>904</v>
      </c>
      <c r="F33789">
        <v>2.3667024632111999E-8</v>
      </c>
      <c r="G33789">
        <v>2196858</v>
      </c>
      <c r="H33789">
        <v>12391942</v>
      </c>
      <c r="I33789">
        <v>18998990</v>
      </c>
      <c r="J33789">
        <v>4</v>
      </c>
    </row>
    <row r="33790" spans="1:10" x14ac:dyDescent="0.25">
      <c r="A33790" t="s">
        <v>380</v>
      </c>
      <c r="B33790" s="1" t="str">
        <f>HYPERLINK("http://totalenergies.lu","totalenergies.lu")</f>
        <v>totalenergies.lu</v>
      </c>
      <c r="C33790" t="s">
        <v>547</v>
      </c>
      <c r="D33790" t="s">
        <v>904</v>
      </c>
      <c r="F33790">
        <v>4.3686393675298501E-8</v>
      </c>
      <c r="G33790">
        <v>1092477</v>
      </c>
      <c r="H33790">
        <v>12246286</v>
      </c>
      <c r="I33790">
        <v>22090582</v>
      </c>
      <c r="J33790">
        <v>3</v>
      </c>
    </row>
    <row r="33791" spans="1:10" x14ac:dyDescent="0.25">
      <c r="A33791" t="s">
        <v>380</v>
      </c>
      <c r="B33791" s="1" t="str">
        <f>HYPERLINK("http://total.co.ma","total.co.ma")</f>
        <v>total.co.ma</v>
      </c>
      <c r="C33791" t="s">
        <v>469</v>
      </c>
      <c r="D33791" t="s">
        <v>845</v>
      </c>
      <c r="J33791">
        <v>2</v>
      </c>
    </row>
    <row r="33792" spans="1:10" x14ac:dyDescent="0.25">
      <c r="A33792" t="s">
        <v>380</v>
      </c>
      <c r="B33792" s="1" t="str">
        <f>HYPERLINK("http://total.ma","total.ma")</f>
        <v>total.ma</v>
      </c>
      <c r="C33792" t="s">
        <v>469</v>
      </c>
      <c r="D33792" t="s">
        <v>845</v>
      </c>
      <c r="F33792">
        <v>3.01037536519836E-8</v>
      </c>
      <c r="G33792">
        <v>1709339</v>
      </c>
      <c r="H33792">
        <v>12524079</v>
      </c>
      <c r="I33792">
        <v>17109739</v>
      </c>
      <c r="J33792">
        <v>2</v>
      </c>
    </row>
    <row r="33793" spans="1:10" x14ac:dyDescent="0.25">
      <c r="A33793" t="s">
        <v>380</v>
      </c>
      <c r="B33793" s="1" t="str">
        <f>HYPERLINK("http://totalenergies.ma","totalenergies.ma")</f>
        <v>totalenergies.ma</v>
      </c>
      <c r="C33793" t="s">
        <v>469</v>
      </c>
      <c r="D33793" t="s">
        <v>845</v>
      </c>
      <c r="F33793">
        <v>5.74754190811714E-8</v>
      </c>
      <c r="G33793">
        <v>775703</v>
      </c>
      <c r="H33793">
        <v>13306749</v>
      </c>
      <c r="I33793">
        <v>10795373</v>
      </c>
      <c r="J33793">
        <v>3</v>
      </c>
    </row>
    <row r="33794" spans="1:10" x14ac:dyDescent="0.25">
      <c r="A33794" t="s">
        <v>380</v>
      </c>
      <c r="B33794" s="1" t="str">
        <f>HYPERLINK("http://totalenergies.mg","totalenergies.mg")</f>
        <v>totalenergies.mg</v>
      </c>
      <c r="C33794" t="s">
        <v>615</v>
      </c>
      <c r="D33794" t="s">
        <v>940</v>
      </c>
      <c r="F33794">
        <v>2.5407816157880101E-8</v>
      </c>
      <c r="G33794">
        <v>2030475</v>
      </c>
      <c r="H33794">
        <v>12230281</v>
      </c>
      <c r="I33794">
        <v>22496292</v>
      </c>
      <c r="J33794">
        <v>3</v>
      </c>
    </row>
    <row r="33795" spans="1:10" x14ac:dyDescent="0.25">
      <c r="A33795" t="s">
        <v>380</v>
      </c>
      <c r="B33795" s="1" t="str">
        <f>HYPERLINK("http://totalenergies.ml","totalenergies.ml")</f>
        <v>totalenergies.ml</v>
      </c>
      <c r="C33795" t="s">
        <v>596</v>
      </c>
      <c r="D33795" t="s">
        <v>931</v>
      </c>
      <c r="F33795">
        <v>2.46697509316587E-8</v>
      </c>
      <c r="G33795">
        <v>2097188</v>
      </c>
      <c r="H33795">
        <v>12192631</v>
      </c>
      <c r="I33795">
        <v>23520499</v>
      </c>
      <c r="J33795">
        <v>3</v>
      </c>
    </row>
    <row r="33796" spans="1:10" x14ac:dyDescent="0.25">
      <c r="A33796" t="s">
        <v>380</v>
      </c>
      <c r="B33796" s="1" t="str">
        <f>HYPERLINK("http://totalenergies.mq","totalenergies.mq")</f>
        <v>totalenergies.mq</v>
      </c>
      <c r="C33796" t="s">
        <v>732</v>
      </c>
      <c r="D33796" t="s">
        <v>1009</v>
      </c>
      <c r="F33796">
        <v>3.6293168608232403E-8</v>
      </c>
      <c r="G33796">
        <v>1437431</v>
      </c>
      <c r="H33796">
        <v>13761035</v>
      </c>
      <c r="I33796">
        <v>9413757</v>
      </c>
      <c r="J33796">
        <v>3</v>
      </c>
    </row>
    <row r="33797" spans="1:10" x14ac:dyDescent="0.25">
      <c r="A33797" t="s">
        <v>380</v>
      </c>
      <c r="B33797" s="1" t="str">
        <f>HYPERLINK("http://totalenergies.mu","totalenergies.mu")</f>
        <v>totalenergies.mu</v>
      </c>
      <c r="C33797" t="s">
        <v>572</v>
      </c>
      <c r="D33797" t="s">
        <v>919</v>
      </c>
      <c r="F33797">
        <v>2.66475902348701E-8</v>
      </c>
      <c r="G33797">
        <v>1931626</v>
      </c>
      <c r="H33797">
        <v>12199252</v>
      </c>
      <c r="I33797">
        <v>23336699</v>
      </c>
      <c r="J33797">
        <v>3</v>
      </c>
    </row>
    <row r="33798" spans="1:10" x14ac:dyDescent="0.25">
      <c r="A33798" t="s">
        <v>380</v>
      </c>
      <c r="B33798" s="1" t="str">
        <f>HYPERLINK("http://totalenergies.mw","totalenergies.mw")</f>
        <v>totalenergies.mw</v>
      </c>
      <c r="C33798" t="s">
        <v>655</v>
      </c>
      <c r="D33798" t="s">
        <v>974</v>
      </c>
      <c r="F33798">
        <v>4.44380395335525E-9</v>
      </c>
      <c r="G33798">
        <v>85385320</v>
      </c>
      <c r="H33798">
        <v>0</v>
      </c>
      <c r="I33798">
        <v>86627091</v>
      </c>
      <c r="J33798">
        <v>3</v>
      </c>
    </row>
    <row r="33799" spans="1:10" x14ac:dyDescent="0.25">
      <c r="A33799" t="s">
        <v>380</v>
      </c>
      <c r="B33799" s="1" t="str">
        <f>HYPERLINK("http://totalenergies.mx","totalenergies.mx")</f>
        <v>totalenergies.mx</v>
      </c>
      <c r="C33799" t="s">
        <v>471</v>
      </c>
      <c r="D33799" t="s">
        <v>847</v>
      </c>
      <c r="F33799">
        <v>2.0805127039590499E-8</v>
      </c>
      <c r="G33799">
        <v>2542159</v>
      </c>
      <c r="H33799">
        <v>13562264</v>
      </c>
      <c r="I33799">
        <v>9845072</v>
      </c>
      <c r="J33799">
        <v>3</v>
      </c>
    </row>
    <row r="33800" spans="1:10" x14ac:dyDescent="0.25">
      <c r="A33800" t="s">
        <v>380</v>
      </c>
      <c r="B33800" s="1" t="str">
        <f>HYPERLINK("http://totalenergies.my","totalenergies.my")</f>
        <v>totalenergies.my</v>
      </c>
      <c r="C33800" t="s">
        <v>472</v>
      </c>
      <c r="D33800" t="s">
        <v>848</v>
      </c>
      <c r="F33800">
        <v>1.8175956590104401E-8</v>
      </c>
      <c r="G33800">
        <v>2994482</v>
      </c>
      <c r="H33800">
        <v>12192635</v>
      </c>
      <c r="I33800">
        <v>23520247</v>
      </c>
      <c r="J33800">
        <v>3</v>
      </c>
    </row>
    <row r="33801" spans="1:10" x14ac:dyDescent="0.25">
      <c r="A33801" t="s">
        <v>380</v>
      </c>
      <c r="B33801" s="1" t="str">
        <f>HYPERLINK("http://totalenergies.co.mz","totalenergies.co.mz")</f>
        <v>totalenergies.co.mz</v>
      </c>
      <c r="C33801" t="s">
        <v>616</v>
      </c>
      <c r="D33801" t="s">
        <v>941</v>
      </c>
      <c r="F33801">
        <v>4.6495002468946299E-8</v>
      </c>
      <c r="G33801">
        <v>1005947</v>
      </c>
      <c r="H33801">
        <v>14011485</v>
      </c>
      <c r="I33801">
        <v>4000246</v>
      </c>
      <c r="J33801">
        <v>3</v>
      </c>
    </row>
    <row r="33802" spans="1:10" x14ac:dyDescent="0.25">
      <c r="A33802" t="s">
        <v>380</v>
      </c>
      <c r="B33802" s="1" t="str">
        <f>HYPERLINK("http://totalenergies.nc","totalenergies.nc")</f>
        <v>totalenergies.nc</v>
      </c>
      <c r="C33802" t="s">
        <v>724</v>
      </c>
      <c r="D33802" t="s">
        <v>1008</v>
      </c>
      <c r="F33802">
        <v>1.7147801704131801E-8</v>
      </c>
      <c r="G33802">
        <v>3250298</v>
      </c>
      <c r="H33802">
        <v>12192627</v>
      </c>
      <c r="I33802">
        <v>23520557</v>
      </c>
      <c r="J33802">
        <v>3</v>
      </c>
    </row>
    <row r="33803" spans="1:10" x14ac:dyDescent="0.25">
      <c r="A33803" t="s">
        <v>380</v>
      </c>
      <c r="B33803" s="1" t="str">
        <f>HYPERLINK("http://tgscloud.net","tgscloud.net")</f>
        <v>tgscloud.net</v>
      </c>
      <c r="C33803" t="s">
        <v>474</v>
      </c>
      <c r="E33803">
        <v>892006</v>
      </c>
      <c r="F33803">
        <v>4.3807729908577303E-8</v>
      </c>
      <c r="G33803">
        <v>1088217</v>
      </c>
      <c r="H33803">
        <v>12356083</v>
      </c>
      <c r="I33803">
        <v>19660966</v>
      </c>
      <c r="J33803">
        <v>2</v>
      </c>
    </row>
    <row r="33804" spans="1:10" x14ac:dyDescent="0.25">
      <c r="A33804" t="s">
        <v>380</v>
      </c>
      <c r="B33804" s="1" t="str">
        <f>HYPERLINK("http://total.com.ng","total.com.ng")</f>
        <v>total.com.ng</v>
      </c>
      <c r="C33804" t="s">
        <v>475</v>
      </c>
      <c r="D33804" t="s">
        <v>850</v>
      </c>
      <c r="F33804">
        <v>3.2622691440049099E-8</v>
      </c>
      <c r="G33804">
        <v>1583936</v>
      </c>
      <c r="H33804">
        <v>13770940</v>
      </c>
      <c r="I33804">
        <v>6710653</v>
      </c>
      <c r="J33804">
        <v>3</v>
      </c>
    </row>
    <row r="33805" spans="1:10" x14ac:dyDescent="0.25">
      <c r="A33805" t="s">
        <v>380</v>
      </c>
      <c r="B33805" s="1" t="str">
        <f>HYPERLINK("http://totalenergies.ng","totalenergies.ng")</f>
        <v>totalenergies.ng</v>
      </c>
      <c r="C33805" t="s">
        <v>475</v>
      </c>
      <c r="D33805" t="s">
        <v>850</v>
      </c>
      <c r="F33805">
        <v>4.6980424802398299E-8</v>
      </c>
      <c r="G33805">
        <v>993559</v>
      </c>
      <c r="H33805">
        <v>13246011</v>
      </c>
      <c r="I33805">
        <v>11143723</v>
      </c>
      <c r="J33805">
        <v>3</v>
      </c>
    </row>
    <row r="33806" spans="1:10" x14ac:dyDescent="0.25">
      <c r="A33806" t="s">
        <v>380</v>
      </c>
      <c r="B33806" s="1" t="str">
        <f>HYPERLINK("http://berkman.nl","berkman.nl")</f>
        <v>berkman.nl</v>
      </c>
      <c r="C33806" t="s">
        <v>477</v>
      </c>
      <c r="D33806" t="s">
        <v>852</v>
      </c>
      <c r="F33806">
        <v>1.22590779017062E-8</v>
      </c>
      <c r="G33806">
        <v>5017187</v>
      </c>
      <c r="H33806">
        <v>12148615</v>
      </c>
      <c r="I33806">
        <v>24663040</v>
      </c>
      <c r="J33806">
        <v>3</v>
      </c>
    </row>
    <row r="33807" spans="1:10" x14ac:dyDescent="0.25">
      <c r="A33807" t="s">
        <v>380</v>
      </c>
      <c r="B33807" s="1" t="str">
        <f>HYPERLINK("http://changeforblue.nl","changeforblue.nl")</f>
        <v>changeforblue.nl</v>
      </c>
      <c r="C33807" t="s">
        <v>477</v>
      </c>
      <c r="D33807" t="s">
        <v>852</v>
      </c>
      <c r="F33807">
        <v>8.5996157303759192E-9</v>
      </c>
      <c r="G33807">
        <v>8657169</v>
      </c>
      <c r="H33807">
        <v>10466172</v>
      </c>
      <c r="I33807">
        <v>51433570</v>
      </c>
      <c r="J33807">
        <v>2</v>
      </c>
    </row>
    <row r="33808" spans="1:10" x14ac:dyDescent="0.25">
      <c r="A33808" t="s">
        <v>380</v>
      </c>
      <c r="B33808" s="1" t="str">
        <f>HYPERLINK("http://cngnet.nl","cngnet.nl")</f>
        <v>cngnet.nl</v>
      </c>
      <c r="C33808" t="s">
        <v>477</v>
      </c>
      <c r="D33808" t="s">
        <v>852</v>
      </c>
      <c r="F33808">
        <v>1.6150745215448099E-8</v>
      </c>
      <c r="G33808">
        <v>3507794</v>
      </c>
      <c r="H33808">
        <v>13725740</v>
      </c>
      <c r="I33808">
        <v>9464270</v>
      </c>
      <c r="J33808">
        <v>4</v>
      </c>
    </row>
    <row r="33809" spans="1:10" x14ac:dyDescent="0.25">
      <c r="A33809" t="s">
        <v>380</v>
      </c>
      <c r="B33809" s="1" t="str">
        <f>HYPERLINK("http://pitpoint.nl","pitpoint.nl")</f>
        <v>pitpoint.nl</v>
      </c>
      <c r="C33809" t="s">
        <v>477</v>
      </c>
      <c r="D33809" t="s">
        <v>852</v>
      </c>
      <c r="F33809">
        <v>6.7155507877153102E-8</v>
      </c>
      <c r="G33809">
        <v>636820</v>
      </c>
      <c r="H33809">
        <v>16923242</v>
      </c>
      <c r="I33809">
        <v>125935</v>
      </c>
      <c r="J33809">
        <v>4</v>
      </c>
    </row>
    <row r="33810" spans="1:10" x14ac:dyDescent="0.25">
      <c r="A33810" t="s">
        <v>380</v>
      </c>
      <c r="B33810" s="1" t="str">
        <f>HYPERLINK("http://tankstationvandenhemel.nl","tankstationvandenhemel.nl")</f>
        <v>tankstationvandenhemel.nl</v>
      </c>
      <c r="C33810" t="s">
        <v>477</v>
      </c>
      <c r="D33810" t="s">
        <v>852</v>
      </c>
      <c r="F33810">
        <v>4.8444895553496102E-9</v>
      </c>
      <c r="G33810">
        <v>34325143</v>
      </c>
      <c r="H33810">
        <v>11034078</v>
      </c>
      <c r="I33810">
        <v>33010254</v>
      </c>
      <c r="J33810">
        <v>3</v>
      </c>
    </row>
    <row r="33811" spans="1:10" x14ac:dyDescent="0.25">
      <c r="A33811" t="s">
        <v>380</v>
      </c>
      <c r="B33811" s="1" t="str">
        <f>HYPERLINK("http://total.nl","total.nl")</f>
        <v>total.nl</v>
      </c>
      <c r="C33811" t="s">
        <v>477</v>
      </c>
      <c r="D33811" t="s">
        <v>852</v>
      </c>
      <c r="E33811">
        <v>985827</v>
      </c>
      <c r="F33811">
        <v>6.9002578096186895E-8</v>
      </c>
      <c r="G33811">
        <v>615947</v>
      </c>
      <c r="H33811">
        <v>14049650</v>
      </c>
      <c r="I33811">
        <v>3895723</v>
      </c>
      <c r="J33811">
        <v>3</v>
      </c>
    </row>
    <row r="33812" spans="1:10" x14ac:dyDescent="0.25">
      <c r="A33812" t="s">
        <v>380</v>
      </c>
      <c r="B33812" s="1" t="str">
        <f>HYPERLINK("http://total-energie.nl","total-energie.nl")</f>
        <v>total-energie.nl</v>
      </c>
      <c r="C33812" t="s">
        <v>477</v>
      </c>
      <c r="D33812" t="s">
        <v>852</v>
      </c>
      <c r="F33812">
        <v>1.15288970807276E-8</v>
      </c>
      <c r="G33812">
        <v>5483595</v>
      </c>
      <c r="H33812">
        <v>12267097</v>
      </c>
      <c r="I33812">
        <v>21592618</v>
      </c>
      <c r="J33812">
        <v>4</v>
      </c>
    </row>
    <row r="33813" spans="1:10" x14ac:dyDescent="0.25">
      <c r="A33813" t="s">
        <v>380</v>
      </c>
      <c r="B33813" s="1" t="str">
        <f>HYPERLINK("http://total-fleet4u.nl","total-fleet4u.nl")</f>
        <v>total-fleet4u.nl</v>
      </c>
      <c r="C33813" t="s">
        <v>477</v>
      </c>
      <c r="D33813" t="s">
        <v>852</v>
      </c>
      <c r="F33813">
        <v>4.7025811287560601E-9</v>
      </c>
      <c r="G33813">
        <v>41102560</v>
      </c>
      <c r="H33813">
        <v>9832450</v>
      </c>
      <c r="I33813">
        <v>62309951</v>
      </c>
      <c r="J33813">
        <v>4</v>
      </c>
    </row>
    <row r="33814" spans="1:10" x14ac:dyDescent="0.25">
      <c r="A33814" t="s">
        <v>380</v>
      </c>
      <c r="B33814" s="1" t="str">
        <f>HYPERLINK("http://totalenergies.nl","totalenergies.nl")</f>
        <v>totalenergies.nl</v>
      </c>
      <c r="C33814" t="s">
        <v>477</v>
      </c>
      <c r="D33814" t="s">
        <v>852</v>
      </c>
      <c r="F33814">
        <v>1.17941722620262E-7</v>
      </c>
      <c r="G33814">
        <v>336207</v>
      </c>
      <c r="H33814">
        <v>14241642</v>
      </c>
      <c r="I33814">
        <v>1490185</v>
      </c>
      <c r="J33814">
        <v>3</v>
      </c>
    </row>
    <row r="33815" spans="1:10" x14ac:dyDescent="0.25">
      <c r="A33815" t="s">
        <v>380</v>
      </c>
      <c r="B33815" s="1" t="str">
        <f>HYPERLINK("http://totalprijzencheck.nl","totalprijzencheck.nl")</f>
        <v>totalprijzencheck.nl</v>
      </c>
      <c r="C33815" t="s">
        <v>477</v>
      </c>
      <c r="D33815" t="s">
        <v>852</v>
      </c>
      <c r="J33815">
        <v>4</v>
      </c>
    </row>
    <row r="33816" spans="1:10" x14ac:dyDescent="0.25">
      <c r="A33816" t="s">
        <v>380</v>
      </c>
      <c r="B33816" s="1" t="str">
        <f>HYPERLINK("http://totalraffinaderij.nl","totalraffinaderij.nl")</f>
        <v>totalraffinaderij.nl</v>
      </c>
      <c r="C33816" t="s">
        <v>477</v>
      </c>
      <c r="D33816" t="s">
        <v>852</v>
      </c>
      <c r="F33816">
        <v>4.7342398833076598E-9</v>
      </c>
      <c r="G33816">
        <v>39136019</v>
      </c>
      <c r="H33816">
        <v>10755572</v>
      </c>
      <c r="I33816">
        <v>39801980</v>
      </c>
      <c r="J33816">
        <v>5</v>
      </c>
    </row>
    <row r="33817" spans="1:10" x14ac:dyDescent="0.25">
      <c r="A33817" t="s">
        <v>380</v>
      </c>
      <c r="B33817" s="1" t="str">
        <f>HYPERLINK("http://total.no","total.no")</f>
        <v>total.no</v>
      </c>
      <c r="C33817" t="s">
        <v>478</v>
      </c>
      <c r="D33817" t="s">
        <v>853</v>
      </c>
      <c r="F33817">
        <v>1.7416537179419E-8</v>
      </c>
      <c r="G33817">
        <v>3169203</v>
      </c>
      <c r="H33817">
        <v>14807927</v>
      </c>
      <c r="I33817">
        <v>542006</v>
      </c>
      <c r="J33817">
        <v>3</v>
      </c>
    </row>
    <row r="33818" spans="1:10" x14ac:dyDescent="0.25">
      <c r="A33818" t="s">
        <v>380</v>
      </c>
      <c r="B33818" s="1" t="str">
        <f>HYPERLINK("http://totalenergies.no","totalenergies.no")</f>
        <v>totalenergies.no</v>
      </c>
      <c r="C33818" t="s">
        <v>478</v>
      </c>
      <c r="D33818" t="s">
        <v>853</v>
      </c>
      <c r="F33818">
        <v>2.1660452778545399E-8</v>
      </c>
      <c r="G33818">
        <v>2428723</v>
      </c>
      <c r="H33818">
        <v>12322581</v>
      </c>
      <c r="I33818">
        <v>20365322</v>
      </c>
      <c r="J33818">
        <v>3</v>
      </c>
    </row>
    <row r="33819" spans="1:10" x14ac:dyDescent="0.25">
      <c r="A33819" t="s">
        <v>380</v>
      </c>
      <c r="B33819" s="1" t="str">
        <f>HYPERLINK("http://totalenergies.pe","totalenergies.pe")</f>
        <v>totalenergies.pe</v>
      </c>
      <c r="C33819" t="s">
        <v>483</v>
      </c>
      <c r="D33819" t="s">
        <v>857</v>
      </c>
      <c r="F33819">
        <v>1.75366146529305E-8</v>
      </c>
      <c r="G33819">
        <v>3137540</v>
      </c>
      <c r="H33819">
        <v>12192630</v>
      </c>
      <c r="I33819">
        <v>23520514</v>
      </c>
      <c r="J33819">
        <v>3</v>
      </c>
    </row>
    <row r="33820" spans="1:10" x14ac:dyDescent="0.25">
      <c r="A33820" t="s">
        <v>380</v>
      </c>
      <c r="B33820" s="1" t="str">
        <f>HYPERLINK("http://totaloil.com.ph","totaloil.com.ph")</f>
        <v>totaloil.com.ph</v>
      </c>
      <c r="C33820" t="s">
        <v>484</v>
      </c>
      <c r="D33820" t="s">
        <v>858</v>
      </c>
      <c r="F33820">
        <v>2.6542006752450399E-8</v>
      </c>
      <c r="G33820">
        <v>1939628</v>
      </c>
      <c r="H33820">
        <v>13783795</v>
      </c>
      <c r="I33820">
        <v>6421029</v>
      </c>
      <c r="J33820">
        <v>4</v>
      </c>
    </row>
    <row r="33821" spans="1:10" x14ac:dyDescent="0.25">
      <c r="A33821" t="s">
        <v>380</v>
      </c>
      <c r="B33821" s="1" t="str">
        <f>HYPERLINK("http://hutchinson.com.pl","hutchinson.com.pl")</f>
        <v>hutchinson.com.pl</v>
      </c>
      <c r="C33821" t="s">
        <v>486</v>
      </c>
      <c r="D33821" t="s">
        <v>860</v>
      </c>
      <c r="F33821">
        <v>5.44603315448466E-9</v>
      </c>
      <c r="G33821">
        <v>21545756</v>
      </c>
      <c r="H33821">
        <v>12351130</v>
      </c>
      <c r="I33821">
        <v>19748061</v>
      </c>
      <c r="J33821">
        <v>4</v>
      </c>
    </row>
    <row r="33822" spans="1:10" x14ac:dyDescent="0.25">
      <c r="A33822" t="s">
        <v>380</v>
      </c>
      <c r="B33822" s="1" t="str">
        <f>HYPERLINK("http://total.com.pl","total.com.pl")</f>
        <v>total.com.pl</v>
      </c>
      <c r="C33822" t="s">
        <v>486</v>
      </c>
      <c r="D33822" t="s">
        <v>860</v>
      </c>
      <c r="F33822">
        <v>1.4634814895157799E-8</v>
      </c>
      <c r="G33822">
        <v>3964001</v>
      </c>
      <c r="H33822">
        <v>12468413</v>
      </c>
      <c r="I33822">
        <v>17776952</v>
      </c>
      <c r="J33822">
        <v>3</v>
      </c>
    </row>
    <row r="33823" spans="1:10" x14ac:dyDescent="0.25">
      <c r="A33823" t="s">
        <v>380</v>
      </c>
      <c r="B33823" s="1" t="str">
        <f>HYPERLINK("http://totalenergies.com.pl","totalenergies.com.pl")</f>
        <v>totalenergies.com.pl</v>
      </c>
      <c r="C33823" t="s">
        <v>486</v>
      </c>
      <c r="D33823" t="s">
        <v>860</v>
      </c>
      <c r="F33823">
        <v>4.8334146099946802E-9</v>
      </c>
      <c r="G33823">
        <v>34716061</v>
      </c>
      <c r="H33823">
        <v>10707002</v>
      </c>
      <c r="I33823">
        <v>42213444</v>
      </c>
      <c r="J33823">
        <v>4</v>
      </c>
    </row>
    <row r="33824" spans="1:10" x14ac:dyDescent="0.25">
      <c r="A33824" t="s">
        <v>380</v>
      </c>
      <c r="B33824" s="1" t="str">
        <f>HYPERLINK("http://totalenergies.pl","totalenergies.pl")</f>
        <v>totalenergies.pl</v>
      </c>
      <c r="C33824" t="s">
        <v>486</v>
      </c>
      <c r="D33824" t="s">
        <v>860</v>
      </c>
      <c r="F33824">
        <v>1.71898738463325E-8</v>
      </c>
      <c r="G33824">
        <v>3228250</v>
      </c>
      <c r="H33824">
        <v>14072797</v>
      </c>
      <c r="I33824">
        <v>3044194</v>
      </c>
      <c r="J33824">
        <v>3</v>
      </c>
    </row>
    <row r="33825" spans="1:10" x14ac:dyDescent="0.25">
      <c r="A33825" t="s">
        <v>380</v>
      </c>
      <c r="B33825" s="1" t="str">
        <f>HYPERLINK("http://total.com.pr","total.com.pr")</f>
        <v>total.com.pr</v>
      </c>
      <c r="C33825" t="s">
        <v>487</v>
      </c>
      <c r="D33825" t="s">
        <v>861</v>
      </c>
      <c r="F33825">
        <v>1.8446467269488299E-8</v>
      </c>
      <c r="G33825">
        <v>2936632</v>
      </c>
      <c r="H33825">
        <v>12280512</v>
      </c>
      <c r="I33825">
        <v>21294690</v>
      </c>
      <c r="J33825">
        <v>3</v>
      </c>
    </row>
    <row r="33826" spans="1:10" x14ac:dyDescent="0.25">
      <c r="A33826" t="s">
        <v>380</v>
      </c>
      <c r="B33826" s="1" t="str">
        <f>HYPERLINK("http://totalenergies.com.pr","totalenergies.com.pr")</f>
        <v>totalenergies.com.pr</v>
      </c>
      <c r="C33826" t="s">
        <v>487</v>
      </c>
      <c r="D33826" t="s">
        <v>861</v>
      </c>
      <c r="F33826">
        <v>2.8027832750538799E-8</v>
      </c>
      <c r="G33826">
        <v>1835527</v>
      </c>
      <c r="H33826">
        <v>12245152</v>
      </c>
      <c r="I33826">
        <v>22115198</v>
      </c>
      <c r="J33826">
        <v>3</v>
      </c>
    </row>
    <row r="33827" spans="1:10" x14ac:dyDescent="0.25">
      <c r="A33827" t="s">
        <v>380</v>
      </c>
      <c r="B33827" s="1" t="str">
        <f>HYPERLINK("http://hutchinson.pro","hutchinson.pro")</f>
        <v>hutchinson.pro</v>
      </c>
      <c r="C33827" t="s">
        <v>574</v>
      </c>
      <c r="F33827">
        <v>6.7361757481967203E-9</v>
      </c>
      <c r="G33827">
        <v>13176131</v>
      </c>
      <c r="H33827">
        <v>10723883</v>
      </c>
      <c r="I33827">
        <v>41452114</v>
      </c>
      <c r="J33827">
        <v>5</v>
      </c>
    </row>
    <row r="33828" spans="1:10" x14ac:dyDescent="0.25">
      <c r="A33828" t="s">
        <v>380</v>
      </c>
      <c r="B33828" s="1" t="str">
        <f>HYPERLINK("http://totalenergies.pt","totalenergies.pt")</f>
        <v>totalenergies.pt</v>
      </c>
      <c r="C33828" t="s">
        <v>488</v>
      </c>
      <c r="D33828" t="s">
        <v>862</v>
      </c>
      <c r="F33828">
        <v>2.9319672886111099E-8</v>
      </c>
      <c r="G33828">
        <v>1757258</v>
      </c>
      <c r="H33828">
        <v>12332025</v>
      </c>
      <c r="I33828">
        <v>20169637</v>
      </c>
      <c r="J33828">
        <v>3</v>
      </c>
    </row>
    <row r="33829" spans="1:10" x14ac:dyDescent="0.25">
      <c r="A33829" t="s">
        <v>380</v>
      </c>
      <c r="B33829" s="1" t="str">
        <f>HYPERLINK("http://totalenergies.com.py","totalenergies.com.py")</f>
        <v>totalenergies.com.py</v>
      </c>
      <c r="C33829" t="s">
        <v>489</v>
      </c>
      <c r="D33829" t="s">
        <v>863</v>
      </c>
      <c r="F33829">
        <v>1.7993987583214899E-8</v>
      </c>
      <c r="G33829">
        <v>3031707</v>
      </c>
      <c r="H33829">
        <v>12192624</v>
      </c>
      <c r="I33829">
        <v>23520621</v>
      </c>
      <c r="J33829">
        <v>3</v>
      </c>
    </row>
    <row r="33830" spans="1:10" x14ac:dyDescent="0.25">
      <c r="A33830" t="s">
        <v>380</v>
      </c>
      <c r="B33830" s="1" t="str">
        <f>HYPERLINK("http://totalenergies.re","totalenergies.re")</f>
        <v>totalenergies.re</v>
      </c>
      <c r="C33830" t="s">
        <v>575</v>
      </c>
      <c r="D33830" t="s">
        <v>920</v>
      </c>
      <c r="F33830">
        <v>2.7892533195554401E-8</v>
      </c>
      <c r="G33830">
        <v>1843999</v>
      </c>
      <c r="H33830">
        <v>12337634</v>
      </c>
      <c r="I33830">
        <v>20057651</v>
      </c>
      <c r="J33830">
        <v>3</v>
      </c>
    </row>
    <row r="33831" spans="1:10" x14ac:dyDescent="0.25">
      <c r="A33831" t="s">
        <v>380</v>
      </c>
      <c r="B33831" s="1" t="str">
        <f>HYPERLINK("http://totalenergies.ro","totalenergies.ro")</f>
        <v>totalenergies.ro</v>
      </c>
      <c r="C33831" t="s">
        <v>491</v>
      </c>
      <c r="D33831" t="s">
        <v>865</v>
      </c>
      <c r="F33831">
        <v>1.5133559483533701E-8</v>
      </c>
      <c r="G33831">
        <v>3797046</v>
      </c>
      <c r="H33831">
        <v>12310984</v>
      </c>
      <c r="I33831">
        <v>20596510</v>
      </c>
      <c r="J33831">
        <v>3</v>
      </c>
    </row>
    <row r="33832" spans="1:10" x14ac:dyDescent="0.25">
      <c r="A33832" t="s">
        <v>380</v>
      </c>
      <c r="B33832" s="1" t="str">
        <f>HYPERLINK("http://totalenergies.rs","totalenergies.rs")</f>
        <v>totalenergies.rs</v>
      </c>
      <c r="C33832" t="s">
        <v>492</v>
      </c>
      <c r="D33832" t="s">
        <v>866</v>
      </c>
      <c r="F33832">
        <v>2.3778284818672502E-8</v>
      </c>
      <c r="G33832">
        <v>2185433</v>
      </c>
      <c r="H33832">
        <v>12285981</v>
      </c>
      <c r="I33832">
        <v>21191706</v>
      </c>
      <c r="J33832">
        <v>3</v>
      </c>
    </row>
    <row r="33833" spans="1:10" x14ac:dyDescent="0.25">
      <c r="A33833" t="s">
        <v>380</v>
      </c>
      <c r="B33833" s="1" t="str">
        <f>HYPERLINK("http://saftbatteries.ru","saftbatteries.ru")</f>
        <v>saftbatteries.ru</v>
      </c>
      <c r="C33833" t="s">
        <v>493</v>
      </c>
      <c r="D33833" t="s">
        <v>867</v>
      </c>
      <c r="F33833">
        <v>7.8991257480756699E-9</v>
      </c>
      <c r="G33833">
        <v>10113611</v>
      </c>
      <c r="H33833">
        <v>12099558</v>
      </c>
      <c r="I33833">
        <v>25979430</v>
      </c>
      <c r="J33833">
        <v>4</v>
      </c>
    </row>
    <row r="33834" spans="1:10" x14ac:dyDescent="0.25">
      <c r="A33834" t="s">
        <v>380</v>
      </c>
      <c r="B33834" s="1" t="str">
        <f>HYPERLINK("http://totalenergies.ru","totalenergies.ru")</f>
        <v>totalenergies.ru</v>
      </c>
      <c r="C33834" t="s">
        <v>493</v>
      </c>
      <c r="D33834" t="s">
        <v>867</v>
      </c>
      <c r="F33834">
        <v>1.0083098600555801E-7</v>
      </c>
      <c r="G33834">
        <v>398795</v>
      </c>
      <c r="H33834">
        <v>12862100</v>
      </c>
      <c r="I33834">
        <v>14188875</v>
      </c>
      <c r="J33834">
        <v>3</v>
      </c>
    </row>
    <row r="33835" spans="1:10" x14ac:dyDescent="0.25">
      <c r="A33835" t="s">
        <v>380</v>
      </c>
      <c r="B33835" s="1" t="str">
        <f>HYPERLINK("http://total.sg","total.sg")</f>
        <v>total.sg</v>
      </c>
      <c r="C33835" t="s">
        <v>496</v>
      </c>
      <c r="D33835" t="s">
        <v>870</v>
      </c>
      <c r="F33835">
        <v>1.8856342135266702E-8</v>
      </c>
      <c r="G33835">
        <v>2861327</v>
      </c>
      <c r="H33835">
        <v>12284662</v>
      </c>
      <c r="I33835">
        <v>21216857</v>
      </c>
      <c r="J33835">
        <v>4</v>
      </c>
    </row>
    <row r="33836" spans="1:10" x14ac:dyDescent="0.25">
      <c r="A33836" t="s">
        <v>380</v>
      </c>
      <c r="B33836" s="1" t="str">
        <f>HYPERLINK("http://totalenergies.sg","totalenergies.sg")</f>
        <v>totalenergies.sg</v>
      </c>
      <c r="C33836" t="s">
        <v>496</v>
      </c>
      <c r="D33836" t="s">
        <v>870</v>
      </c>
      <c r="F33836">
        <v>4.26321129540077E-8</v>
      </c>
      <c r="G33836">
        <v>1134213</v>
      </c>
      <c r="H33836">
        <v>12905121</v>
      </c>
      <c r="I33836">
        <v>13827474</v>
      </c>
      <c r="J33836">
        <v>3</v>
      </c>
    </row>
    <row r="33837" spans="1:10" x14ac:dyDescent="0.25">
      <c r="A33837" t="s">
        <v>380</v>
      </c>
      <c r="B33837" s="1" t="str">
        <f>HYPERLINK("http://totalenergies.si","totalenergies.si")</f>
        <v>totalenergies.si</v>
      </c>
      <c r="C33837" t="s">
        <v>497</v>
      </c>
      <c r="D33837" t="s">
        <v>871</v>
      </c>
      <c r="F33837">
        <v>2.28693940845243E-8</v>
      </c>
      <c r="G33837">
        <v>2286136</v>
      </c>
      <c r="H33837">
        <v>12231376</v>
      </c>
      <c r="I33837">
        <v>22469464</v>
      </c>
      <c r="J33837">
        <v>3</v>
      </c>
    </row>
    <row r="33838" spans="1:10" x14ac:dyDescent="0.25">
      <c r="A33838" t="s">
        <v>380</v>
      </c>
      <c r="B33838" s="1" t="str">
        <f>HYPERLINK("http://total.sk","total.sk")</f>
        <v>total.sk</v>
      </c>
      <c r="C33838" t="s">
        <v>498</v>
      </c>
      <c r="D33838" t="s">
        <v>872</v>
      </c>
      <c r="F33838">
        <v>1.89527598324861E-8</v>
      </c>
      <c r="G33838">
        <v>2843978</v>
      </c>
      <c r="H33838">
        <v>12275437</v>
      </c>
      <c r="I33838">
        <v>21404708</v>
      </c>
      <c r="J33838">
        <v>2</v>
      </c>
    </row>
    <row r="33839" spans="1:10" x14ac:dyDescent="0.25">
      <c r="A33839" t="s">
        <v>380</v>
      </c>
      <c r="B33839" s="1" t="str">
        <f>HYPERLINK("http://totalenergies.sk","totalenergies.sk")</f>
        <v>totalenergies.sk</v>
      </c>
      <c r="C33839" t="s">
        <v>498</v>
      </c>
      <c r="D33839" t="s">
        <v>872</v>
      </c>
      <c r="F33839">
        <v>3.1380575952492197E-8</v>
      </c>
      <c r="G33839">
        <v>1643553</v>
      </c>
      <c r="H33839">
        <v>12218326</v>
      </c>
      <c r="I33839">
        <v>22825475</v>
      </c>
      <c r="J33839">
        <v>3</v>
      </c>
    </row>
    <row r="33840" spans="1:10" x14ac:dyDescent="0.25">
      <c r="A33840" t="s">
        <v>380</v>
      </c>
      <c r="B33840" s="1" t="str">
        <f>HYPERLINK("http://totalenergies.tg","totalenergies.tg")</f>
        <v>totalenergies.tg</v>
      </c>
      <c r="C33840" t="s">
        <v>672</v>
      </c>
      <c r="D33840" t="s">
        <v>990</v>
      </c>
      <c r="F33840">
        <v>1.0110776319705399E-8</v>
      </c>
      <c r="G33840">
        <v>6636786</v>
      </c>
      <c r="H33840">
        <v>12200544</v>
      </c>
      <c r="I33840">
        <v>23305898</v>
      </c>
      <c r="J33840">
        <v>3</v>
      </c>
    </row>
    <row r="33841" spans="1:10" x14ac:dyDescent="0.25">
      <c r="A33841" t="s">
        <v>380</v>
      </c>
      <c r="B33841" s="1" t="str">
        <f>HYPERLINK("http://total.co.th","total.co.th")</f>
        <v>total.co.th</v>
      </c>
      <c r="C33841" t="s">
        <v>500</v>
      </c>
      <c r="D33841" t="s">
        <v>874</v>
      </c>
      <c r="F33841">
        <v>1.7410251535954898E-8</v>
      </c>
      <c r="G33841">
        <v>3170807</v>
      </c>
      <c r="H33841">
        <v>12285725</v>
      </c>
      <c r="I33841">
        <v>21195726</v>
      </c>
      <c r="J33841">
        <v>4</v>
      </c>
    </row>
    <row r="33842" spans="1:10" x14ac:dyDescent="0.25">
      <c r="A33842" t="s">
        <v>380</v>
      </c>
      <c r="B33842" s="1" t="str">
        <f>HYPERLINK("http://totalenergies.tn","totalenergies.tn")</f>
        <v>totalenergies.tn</v>
      </c>
      <c r="C33842" t="s">
        <v>501</v>
      </c>
      <c r="D33842" t="s">
        <v>875</v>
      </c>
      <c r="F33842">
        <v>2.0365373855851401E-8</v>
      </c>
      <c r="G33842">
        <v>2604599</v>
      </c>
      <c r="H33842">
        <v>12204127</v>
      </c>
      <c r="I33842">
        <v>23210328</v>
      </c>
      <c r="J33842">
        <v>3</v>
      </c>
    </row>
    <row r="33843" spans="1:10" x14ac:dyDescent="0.25">
      <c r="A33843" t="s">
        <v>380</v>
      </c>
      <c r="B33843" s="1" t="str">
        <f>HYPERLINK("http://vista.total","vista.total")</f>
        <v>vista.total</v>
      </c>
      <c r="C33843" t="s">
        <v>790</v>
      </c>
      <c r="J33843">
        <v>2</v>
      </c>
    </row>
    <row r="33844" spans="1:10" x14ac:dyDescent="0.25">
      <c r="A33844" t="s">
        <v>380</v>
      </c>
      <c r="B33844" s="1" t="str">
        <f>HYPERLINK("http://total.com.tr","total.com.tr")</f>
        <v>total.com.tr</v>
      </c>
      <c r="C33844" t="s">
        <v>502</v>
      </c>
      <c r="D33844" t="s">
        <v>876</v>
      </c>
      <c r="F33844">
        <v>2.2032298762874401E-8</v>
      </c>
      <c r="G33844">
        <v>2382338</v>
      </c>
      <c r="H33844">
        <v>12897408</v>
      </c>
      <c r="I33844">
        <v>13891683</v>
      </c>
      <c r="J33844">
        <v>2</v>
      </c>
    </row>
    <row r="33845" spans="1:10" x14ac:dyDescent="0.25">
      <c r="A33845" t="s">
        <v>380</v>
      </c>
      <c r="B33845" s="1" t="str">
        <f>HYPERLINK("http://total.com.tw","total.com.tw")</f>
        <v>total.com.tw</v>
      </c>
      <c r="C33845" t="s">
        <v>504</v>
      </c>
      <c r="D33845" t="s">
        <v>878</v>
      </c>
      <c r="F33845">
        <v>1.6046763180664999E-8</v>
      </c>
      <c r="G33845">
        <v>3534195</v>
      </c>
      <c r="H33845">
        <v>12273381</v>
      </c>
      <c r="I33845">
        <v>21451815</v>
      </c>
      <c r="J33845">
        <v>2</v>
      </c>
    </row>
    <row r="33846" spans="1:10" x14ac:dyDescent="0.25">
      <c r="A33846" t="s">
        <v>380</v>
      </c>
      <c r="B33846" s="1" t="str">
        <f>HYPERLINK("http://totalenergies.tw","totalenergies.tw")</f>
        <v>totalenergies.tw</v>
      </c>
      <c r="C33846" t="s">
        <v>504</v>
      </c>
      <c r="D33846" t="s">
        <v>878</v>
      </c>
      <c r="F33846">
        <v>1.13789667260202E-8</v>
      </c>
      <c r="G33846">
        <v>5588432</v>
      </c>
      <c r="H33846">
        <v>12192644</v>
      </c>
      <c r="I33846">
        <v>23519959</v>
      </c>
      <c r="J33846">
        <v>3</v>
      </c>
    </row>
    <row r="33847" spans="1:10" x14ac:dyDescent="0.25">
      <c r="A33847" t="s">
        <v>380</v>
      </c>
      <c r="B33847" s="1" t="str">
        <f>HYPERLINK("http://totalenergies.co.tz","totalenergies.co.tz")</f>
        <v>totalenergies.co.tz</v>
      </c>
      <c r="C33847" t="s">
        <v>676</v>
      </c>
      <c r="D33847" t="s">
        <v>994</v>
      </c>
      <c r="F33847">
        <v>1.13291605491343E-8</v>
      </c>
      <c r="G33847">
        <v>5622468</v>
      </c>
      <c r="H33847">
        <v>12263302</v>
      </c>
      <c r="I33847">
        <v>21673607</v>
      </c>
      <c r="J33847">
        <v>3</v>
      </c>
    </row>
    <row r="33848" spans="1:10" x14ac:dyDescent="0.25">
      <c r="A33848" t="s">
        <v>380</v>
      </c>
      <c r="B33848" s="1" t="str">
        <f>HYPERLINK("http://total.ua","total.ua")</f>
        <v>total.ua</v>
      </c>
      <c r="C33848" t="s">
        <v>505</v>
      </c>
      <c r="D33848" t="s">
        <v>879</v>
      </c>
      <c r="F33848">
        <v>2.1421574008294701E-8</v>
      </c>
      <c r="G33848">
        <v>2458974</v>
      </c>
      <c r="H33848">
        <v>12673536</v>
      </c>
      <c r="I33848">
        <v>15570085</v>
      </c>
      <c r="J33848">
        <v>2</v>
      </c>
    </row>
    <row r="33849" spans="1:10" x14ac:dyDescent="0.25">
      <c r="A33849" t="s">
        <v>380</v>
      </c>
      <c r="B33849" s="1" t="str">
        <f>HYPERLINK("http://totalenergies.ua","totalenergies.ua")</f>
        <v>totalenergies.ua</v>
      </c>
      <c r="C33849" t="s">
        <v>505</v>
      </c>
      <c r="D33849" t="s">
        <v>879</v>
      </c>
      <c r="F33849">
        <v>5.72206454727238E-9</v>
      </c>
      <c r="G33849">
        <v>18731781</v>
      </c>
      <c r="H33849">
        <v>12191976</v>
      </c>
      <c r="I33849">
        <v>23536139</v>
      </c>
      <c r="J33849">
        <v>3</v>
      </c>
    </row>
    <row r="33850" spans="1:10" x14ac:dyDescent="0.25">
      <c r="A33850" t="s">
        <v>380</v>
      </c>
      <c r="B33850" s="1" t="str">
        <f>HYPERLINK("http://totalenergies.ug","totalenergies.ug")</f>
        <v>totalenergies.ug</v>
      </c>
      <c r="C33850" t="s">
        <v>677</v>
      </c>
      <c r="D33850" t="s">
        <v>995</v>
      </c>
      <c r="F33850">
        <v>4.3781271373429202E-8</v>
      </c>
      <c r="G33850">
        <v>1089134</v>
      </c>
      <c r="H33850">
        <v>13175873</v>
      </c>
      <c r="I33850">
        <v>11700720</v>
      </c>
      <c r="J33850">
        <v>3</v>
      </c>
    </row>
    <row r="33851" spans="1:10" x14ac:dyDescent="0.25">
      <c r="A33851" t="s">
        <v>380</v>
      </c>
      <c r="B33851" s="1" t="str">
        <f>HYPERLINK("http://stopchoc.co.uk","stopchoc.co.uk")</f>
        <v>stopchoc.co.uk</v>
      </c>
      <c r="C33851" t="s">
        <v>506</v>
      </c>
      <c r="D33851" t="s">
        <v>880</v>
      </c>
      <c r="F33851">
        <v>2.58061998400116E-8</v>
      </c>
      <c r="G33851">
        <v>1997392</v>
      </c>
      <c r="H33851">
        <v>12601638</v>
      </c>
      <c r="I33851">
        <v>16309414</v>
      </c>
      <c r="J33851">
        <v>3</v>
      </c>
    </row>
    <row r="33852" spans="1:10" x14ac:dyDescent="0.25">
      <c r="A33852" t="s">
        <v>380</v>
      </c>
      <c r="B33852" s="1" t="str">
        <f>HYPERLINK("http://total.co.uk","total.co.uk")</f>
        <v>total.co.uk</v>
      </c>
      <c r="C33852" t="s">
        <v>506</v>
      </c>
      <c r="D33852" t="s">
        <v>880</v>
      </c>
      <c r="F33852">
        <v>6.6425628116107295E-8</v>
      </c>
      <c r="G33852">
        <v>645069</v>
      </c>
      <c r="H33852">
        <v>14184277</v>
      </c>
      <c r="I33852">
        <v>1772710</v>
      </c>
      <c r="J33852">
        <v>3</v>
      </c>
    </row>
    <row r="33853" spans="1:10" x14ac:dyDescent="0.25">
      <c r="A33853" t="s">
        <v>380</v>
      </c>
      <c r="B33853" s="1" t="str">
        <f>HYPERLINK("http://totalenergies.uk","totalenergies.uk")</f>
        <v>totalenergies.uk</v>
      </c>
      <c r="C33853" t="s">
        <v>506</v>
      </c>
      <c r="D33853" t="s">
        <v>880</v>
      </c>
      <c r="F33853">
        <v>7.2361769499309702E-8</v>
      </c>
      <c r="G33853">
        <v>583227</v>
      </c>
      <c r="H33853">
        <v>13975059</v>
      </c>
      <c r="I33853">
        <v>4063416</v>
      </c>
      <c r="J33853">
        <v>3</v>
      </c>
    </row>
    <row r="33854" spans="1:10" x14ac:dyDescent="0.25">
      <c r="A33854" t="s">
        <v>380</v>
      </c>
      <c r="B33854" s="1" t="str">
        <f>HYPERLINK("http://tottalenergies.uk","tottalenergies.uk")</f>
        <v>tottalenergies.uk</v>
      </c>
      <c r="C33854" t="s">
        <v>506</v>
      </c>
      <c r="D33854" t="s">
        <v>880</v>
      </c>
      <c r="J33854">
        <v>4</v>
      </c>
    </row>
    <row r="33855" spans="1:10" x14ac:dyDescent="0.25">
      <c r="A33855" t="s">
        <v>380</v>
      </c>
      <c r="B33855" s="1" t="str">
        <f>HYPERLINK("http://totalenergies.us","totalenergies.us")</f>
        <v>totalenergies.us</v>
      </c>
      <c r="C33855" t="s">
        <v>522</v>
      </c>
      <c r="D33855" t="s">
        <v>891</v>
      </c>
      <c r="F33855">
        <v>1.97160833722687E-8</v>
      </c>
      <c r="G33855">
        <v>2706542</v>
      </c>
      <c r="H33855">
        <v>13992789</v>
      </c>
      <c r="I33855">
        <v>4029092</v>
      </c>
      <c r="J33855">
        <v>3</v>
      </c>
    </row>
    <row r="33856" spans="1:10" x14ac:dyDescent="0.25">
      <c r="A33856" t="s">
        <v>380</v>
      </c>
      <c r="B33856" s="1" t="str">
        <f>HYPERLINK("http://total.com.vn","total.com.vn")</f>
        <v>total.com.vn</v>
      </c>
      <c r="C33856" t="s">
        <v>509</v>
      </c>
      <c r="D33856" t="s">
        <v>883</v>
      </c>
      <c r="F33856">
        <v>1.53499302548225E-8</v>
      </c>
      <c r="G33856">
        <v>3730684</v>
      </c>
      <c r="H33856">
        <v>12476451</v>
      </c>
      <c r="I33856">
        <v>17632428</v>
      </c>
      <c r="J33856">
        <v>3</v>
      </c>
    </row>
    <row r="33857" spans="1:10" x14ac:dyDescent="0.25">
      <c r="A33857" t="s">
        <v>380</v>
      </c>
      <c r="B33857" s="1" t="str">
        <f>HYPERLINK("http://totalenergies.vn","totalenergies.vn")</f>
        <v>totalenergies.vn</v>
      </c>
      <c r="C33857" t="s">
        <v>509</v>
      </c>
      <c r="D33857" t="s">
        <v>883</v>
      </c>
      <c r="F33857">
        <v>3.1669463633093497E-8</v>
      </c>
      <c r="G33857">
        <v>1629946</v>
      </c>
      <c r="H33857">
        <v>13093231</v>
      </c>
      <c r="I33857">
        <v>12134644</v>
      </c>
      <c r="J33857">
        <v>3</v>
      </c>
    </row>
    <row r="33858" spans="1:10" x14ac:dyDescent="0.25">
      <c r="A33858" t="s">
        <v>380</v>
      </c>
      <c r="B33858" s="1" t="str">
        <f>HYPERLINK("http://totalenergies.yt","totalenergies.yt")</f>
        <v>totalenergies.yt</v>
      </c>
      <c r="C33858" t="s">
        <v>775</v>
      </c>
      <c r="D33858" t="s">
        <v>1019</v>
      </c>
      <c r="F33858">
        <v>1.7736911410401899E-8</v>
      </c>
      <c r="G33858">
        <v>3088249</v>
      </c>
      <c r="H33858">
        <v>13335429</v>
      </c>
      <c r="I33858">
        <v>10687060</v>
      </c>
      <c r="J33858">
        <v>3</v>
      </c>
    </row>
    <row r="33859" spans="1:10" x14ac:dyDescent="0.25">
      <c r="A33859" t="s">
        <v>380</v>
      </c>
      <c r="B33859" s="1" t="str">
        <f>HYPERLINK("http://total.co.za","total.co.za")</f>
        <v>total.co.za</v>
      </c>
      <c r="C33859" t="s">
        <v>510</v>
      </c>
      <c r="D33859" t="s">
        <v>884</v>
      </c>
      <c r="F33859">
        <v>2.90475188847817E-8</v>
      </c>
      <c r="G33859">
        <v>1772575</v>
      </c>
      <c r="H33859">
        <v>13773660</v>
      </c>
      <c r="I33859">
        <v>6625652</v>
      </c>
      <c r="J33859">
        <v>2</v>
      </c>
    </row>
    <row r="33860" spans="1:10" x14ac:dyDescent="0.25">
      <c r="A33860" t="s">
        <v>380</v>
      </c>
      <c r="B33860" s="1" t="str">
        <f>HYPERLINK("http://totalenergies.co.za","totalenergies.co.za")</f>
        <v>totalenergies.co.za</v>
      </c>
      <c r="C33860" t="s">
        <v>510</v>
      </c>
      <c r="D33860" t="s">
        <v>884</v>
      </c>
      <c r="F33860">
        <v>1.60280913947473E-8</v>
      </c>
      <c r="G33860">
        <v>3538926</v>
      </c>
      <c r="H33860">
        <v>12282224</v>
      </c>
      <c r="I33860">
        <v>21262743</v>
      </c>
      <c r="J33860">
        <v>3</v>
      </c>
    </row>
    <row r="33861" spans="1:10" x14ac:dyDescent="0.25">
      <c r="A33861" t="s">
        <v>380</v>
      </c>
      <c r="B33861" s="1" t="str">
        <f>HYPERLINK("http://totalenergies.co.zm","totalenergies.co.zm")</f>
        <v>totalenergies.co.zm</v>
      </c>
      <c r="C33861" t="s">
        <v>681</v>
      </c>
      <c r="D33861" t="s">
        <v>999</v>
      </c>
      <c r="F33861">
        <v>6.2998089952268003E-9</v>
      </c>
      <c r="G33861">
        <v>15033558</v>
      </c>
      <c r="H33861">
        <v>12193152</v>
      </c>
      <c r="I33861">
        <v>23507336</v>
      </c>
      <c r="J33861">
        <v>3</v>
      </c>
    </row>
    <row r="33862" spans="1:10" x14ac:dyDescent="0.25">
      <c r="A33862" t="s">
        <v>381</v>
      </c>
      <c r="B33862" s="1" t="str">
        <f>HYPERLINK("http://audec.com.ar","audec.com.ar")</f>
        <v>audec.com.ar</v>
      </c>
      <c r="C33862" t="s">
        <v>418</v>
      </c>
      <c r="D33862" t="s">
        <v>800</v>
      </c>
      <c r="F33862">
        <v>5.0316389083079604E-9</v>
      </c>
      <c r="G33862">
        <v>28630874</v>
      </c>
      <c r="H33862">
        <v>10509002</v>
      </c>
      <c r="I33862">
        <v>49928579</v>
      </c>
      <c r="J33862">
        <v>3</v>
      </c>
    </row>
    <row r="33863" spans="1:10" x14ac:dyDescent="0.25">
      <c r="A33863" t="s">
        <v>381</v>
      </c>
      <c r="B33863" s="1" t="str">
        <f>HYPERLINK("http://haimovich.com.ar","haimovich.com.ar")</f>
        <v>haimovich.com.ar</v>
      </c>
      <c r="C33863" t="s">
        <v>418</v>
      </c>
      <c r="D33863" t="s">
        <v>800</v>
      </c>
      <c r="F33863">
        <v>4.7630008434295303E-9</v>
      </c>
      <c r="G33863">
        <v>37684581</v>
      </c>
      <c r="H33863">
        <v>9298392</v>
      </c>
      <c r="I33863">
        <v>68487917</v>
      </c>
      <c r="J33863">
        <v>3</v>
      </c>
    </row>
    <row r="33864" spans="1:10" x14ac:dyDescent="0.25">
      <c r="A33864" t="s">
        <v>381</v>
      </c>
      <c r="B33864" s="1" t="str">
        <f>HYPERLINK("http://haimovichtoyota.com.ar","haimovichtoyota.com.ar")</f>
        <v>haimovichtoyota.com.ar</v>
      </c>
      <c r="C33864" t="s">
        <v>418</v>
      </c>
      <c r="D33864" t="s">
        <v>800</v>
      </c>
      <c r="F33864">
        <v>5.2573600213149804E-9</v>
      </c>
      <c r="G33864">
        <v>24145481</v>
      </c>
      <c r="H33864">
        <v>11993884</v>
      </c>
      <c r="I33864">
        <v>28325920</v>
      </c>
      <c r="J33864">
        <v>3</v>
      </c>
    </row>
    <row r="33865" spans="1:10" x14ac:dyDescent="0.25">
      <c r="A33865" t="s">
        <v>381</v>
      </c>
      <c r="B33865" s="1" t="str">
        <f>HYPERLINK("http://nipponcar.com.ar","nipponcar.com.ar")</f>
        <v>nipponcar.com.ar</v>
      </c>
      <c r="C33865" t="s">
        <v>418</v>
      </c>
      <c r="D33865" t="s">
        <v>800</v>
      </c>
      <c r="F33865">
        <v>4.8394640871935999E-9</v>
      </c>
      <c r="G33865">
        <v>34498257</v>
      </c>
      <c r="H33865">
        <v>10816736</v>
      </c>
      <c r="I33865">
        <v>37698522</v>
      </c>
      <c r="J33865">
        <v>3</v>
      </c>
    </row>
    <row r="33866" spans="1:10" x14ac:dyDescent="0.25">
      <c r="A33866" t="s">
        <v>381</v>
      </c>
      <c r="B33866" s="1" t="str">
        <f>HYPERLINK("http://toyota.com.ar","toyota.com.ar")</f>
        <v>toyota.com.ar</v>
      </c>
      <c r="C33866" t="s">
        <v>418</v>
      </c>
      <c r="D33866" t="s">
        <v>800</v>
      </c>
      <c r="E33866">
        <v>582123</v>
      </c>
      <c r="F33866">
        <v>7.3764966692996096E-8</v>
      </c>
      <c r="G33866">
        <v>571064</v>
      </c>
      <c r="H33866">
        <v>14247384</v>
      </c>
      <c r="I33866">
        <v>1457599</v>
      </c>
      <c r="J33866">
        <v>3</v>
      </c>
    </row>
    <row r="33867" spans="1:10" x14ac:dyDescent="0.25">
      <c r="A33867" t="s">
        <v>381</v>
      </c>
      <c r="B33867" s="1" t="str">
        <f>HYPERLINK("http://toyotadelparque.com.ar","toyotadelparque.com.ar")</f>
        <v>toyotadelparque.com.ar</v>
      </c>
      <c r="C33867" t="s">
        <v>418</v>
      </c>
      <c r="D33867" t="s">
        <v>800</v>
      </c>
      <c r="F33867">
        <v>4.44380395335525E-9</v>
      </c>
      <c r="G33867">
        <v>79946161</v>
      </c>
      <c r="H33867">
        <v>0</v>
      </c>
      <c r="I33867">
        <v>79951019</v>
      </c>
      <c r="J33867">
        <v>3</v>
      </c>
    </row>
    <row r="33868" spans="1:10" x14ac:dyDescent="0.25">
      <c r="A33868" t="s">
        <v>381</v>
      </c>
      <c r="B33868" s="1" t="str">
        <f>HYPERLINK("http://treos.com.ar","treos.com.ar")</f>
        <v>treos.com.ar</v>
      </c>
      <c r="C33868" t="s">
        <v>418</v>
      </c>
      <c r="D33868" t="s">
        <v>800</v>
      </c>
      <c r="F33868">
        <v>4.5337624886287099E-9</v>
      </c>
      <c r="G33868">
        <v>54647996</v>
      </c>
      <c r="H33868">
        <v>8367306.5</v>
      </c>
      <c r="I33868">
        <v>73651558</v>
      </c>
      <c r="J33868">
        <v>3</v>
      </c>
    </row>
    <row r="33869" spans="1:10" x14ac:dyDescent="0.25">
      <c r="A33869" t="s">
        <v>381</v>
      </c>
      <c r="B33869" s="1" t="str">
        <f>HYPERLINK("http://autohaus-hennerbichler.at","autohaus-hennerbichler.at")</f>
        <v>autohaus-hennerbichler.at</v>
      </c>
      <c r="C33869" t="s">
        <v>419</v>
      </c>
      <c r="D33869" t="s">
        <v>801</v>
      </c>
      <c r="F33869">
        <v>5.65467437241951E-9</v>
      </c>
      <c r="G33869">
        <v>19350659</v>
      </c>
      <c r="H33869">
        <v>12196206</v>
      </c>
      <c r="I33869">
        <v>23418723</v>
      </c>
      <c r="J33869">
        <v>3</v>
      </c>
    </row>
    <row r="33870" spans="1:10" x14ac:dyDescent="0.25">
      <c r="A33870" t="s">
        <v>381</v>
      </c>
      <c r="B33870" s="1" t="str">
        <f>HYPERLINK("http://autohaus-schinagl.at","autohaus-schinagl.at")</f>
        <v>autohaus-schinagl.at</v>
      </c>
      <c r="C33870" t="s">
        <v>419</v>
      </c>
      <c r="D33870" t="s">
        <v>801</v>
      </c>
      <c r="F33870">
        <v>4.9472850553558003E-9</v>
      </c>
      <c r="G33870">
        <v>30862738</v>
      </c>
      <c r="H33870">
        <v>9506514</v>
      </c>
      <c r="I33870">
        <v>65635498</v>
      </c>
      <c r="J33870">
        <v>3</v>
      </c>
    </row>
    <row r="33871" spans="1:10" x14ac:dyDescent="0.25">
      <c r="A33871" t="s">
        <v>381</v>
      </c>
      <c r="B33871" s="1" t="str">
        <f>HYPERLINK("http://autohaus-wadlegger.at","autohaus-wadlegger.at")</f>
        <v>autohaus-wadlegger.at</v>
      </c>
      <c r="C33871" t="s">
        <v>419</v>
      </c>
      <c r="D33871" t="s">
        <v>801</v>
      </c>
      <c r="F33871">
        <v>4.44380395335525E-9</v>
      </c>
      <c r="G33871">
        <v>79957141</v>
      </c>
      <c r="H33871">
        <v>0</v>
      </c>
      <c r="I33871">
        <v>79963710</v>
      </c>
      <c r="J33871">
        <v>3</v>
      </c>
    </row>
    <row r="33872" spans="1:10" x14ac:dyDescent="0.25">
      <c r="A33872" t="s">
        <v>381</v>
      </c>
      <c r="B33872" s="1" t="str">
        <f>HYPERLINK("http://autohaus-woegerbauer.at","autohaus-woegerbauer.at")</f>
        <v>autohaus-woegerbauer.at</v>
      </c>
      <c r="C33872" t="s">
        <v>419</v>
      </c>
      <c r="D33872" t="s">
        <v>801</v>
      </c>
      <c r="F33872">
        <v>4.4467137655923701E-9</v>
      </c>
      <c r="G33872">
        <v>74046256</v>
      </c>
      <c r="H33872">
        <v>9450881</v>
      </c>
      <c r="I33872">
        <v>66506806</v>
      </c>
      <c r="J33872">
        <v>3</v>
      </c>
    </row>
    <row r="33873" spans="1:10" x14ac:dyDescent="0.25">
      <c r="A33873" t="s">
        <v>381</v>
      </c>
      <c r="B33873" s="1" t="str">
        <f>HYPERLINK("http://wildberger.co.at","wildberger.co.at")</f>
        <v>wildberger.co.at</v>
      </c>
      <c r="C33873" t="s">
        <v>419</v>
      </c>
      <c r="D33873" t="s">
        <v>801</v>
      </c>
      <c r="F33873">
        <v>5.0547828560700497E-9</v>
      </c>
      <c r="G33873">
        <v>28115905</v>
      </c>
      <c r="H33873">
        <v>11151662</v>
      </c>
      <c r="I33873">
        <v>31721281</v>
      </c>
      <c r="J33873">
        <v>3</v>
      </c>
    </row>
    <row r="33874" spans="1:10" x14ac:dyDescent="0.25">
      <c r="A33874" t="s">
        <v>381</v>
      </c>
      <c r="B33874" s="1" t="str">
        <f>HYPERLINK("http://ellensohn.at","ellensohn.at")</f>
        <v>ellensohn.at</v>
      </c>
      <c r="C33874" t="s">
        <v>419</v>
      </c>
      <c r="D33874" t="s">
        <v>801</v>
      </c>
      <c r="F33874">
        <v>8.0067175237163694E-9</v>
      </c>
      <c r="G33874">
        <v>9908526</v>
      </c>
      <c r="H33874">
        <v>10755065</v>
      </c>
      <c r="I33874">
        <v>39822080</v>
      </c>
      <c r="J33874">
        <v>3</v>
      </c>
    </row>
    <row r="33875" spans="1:10" x14ac:dyDescent="0.25">
      <c r="A33875" t="s">
        <v>381</v>
      </c>
      <c r="B33875" s="1" t="str">
        <f>HYPERLINK("http://frey-automobile.at","frey-automobile.at")</f>
        <v>frey-automobile.at</v>
      </c>
      <c r="C33875" t="s">
        <v>419</v>
      </c>
      <c r="D33875" t="s">
        <v>801</v>
      </c>
      <c r="F33875">
        <v>5.9117147850721804E-9</v>
      </c>
      <c r="G33875">
        <v>17279261</v>
      </c>
      <c r="H33875">
        <v>12104617</v>
      </c>
      <c r="I33875">
        <v>25859216</v>
      </c>
      <c r="J33875">
        <v>3</v>
      </c>
    </row>
    <row r="33876" spans="1:10" x14ac:dyDescent="0.25">
      <c r="A33876" t="s">
        <v>381</v>
      </c>
      <c r="B33876" s="1" t="str">
        <f>HYPERLINK("http://lexus.at","lexus.at")</f>
        <v>lexus.at</v>
      </c>
      <c r="C33876" t="s">
        <v>419</v>
      </c>
      <c r="D33876" t="s">
        <v>801</v>
      </c>
      <c r="F33876">
        <v>4.5626331828128301E-8</v>
      </c>
      <c r="G33876">
        <v>1030942</v>
      </c>
      <c r="H33876">
        <v>12406337</v>
      </c>
      <c r="I33876">
        <v>18665667</v>
      </c>
      <c r="J33876">
        <v>4</v>
      </c>
    </row>
    <row r="33877" spans="1:10" x14ac:dyDescent="0.25">
      <c r="A33877" t="s">
        <v>381</v>
      </c>
      <c r="B33877" s="1" t="str">
        <f>HYPERLINK("http://prem-toyota.at","prem-toyota.at")</f>
        <v>prem-toyota.at</v>
      </c>
      <c r="C33877" t="s">
        <v>419</v>
      </c>
      <c r="D33877" t="s">
        <v>801</v>
      </c>
      <c r="F33877">
        <v>4.5726903522643097E-9</v>
      </c>
      <c r="G33877">
        <v>49938642</v>
      </c>
      <c r="H33877">
        <v>8468385</v>
      </c>
      <c r="I33877">
        <v>72314209</v>
      </c>
      <c r="J33877">
        <v>3</v>
      </c>
    </row>
    <row r="33878" spans="1:10" x14ac:dyDescent="0.25">
      <c r="A33878" t="s">
        <v>381</v>
      </c>
      <c r="B33878" s="1" t="str">
        <f>HYPERLINK("http://riewa.at","riewa.at")</f>
        <v>riewa.at</v>
      </c>
      <c r="C33878" t="s">
        <v>419</v>
      </c>
      <c r="D33878" t="s">
        <v>801</v>
      </c>
      <c r="F33878">
        <v>4.44561312704845E-9</v>
      </c>
      <c r="G33878">
        <v>75113957</v>
      </c>
      <c r="H33878">
        <v>11940682</v>
      </c>
      <c r="I33878">
        <v>29200116</v>
      </c>
      <c r="J33878">
        <v>3</v>
      </c>
    </row>
    <row r="33879" spans="1:10" x14ac:dyDescent="0.25">
      <c r="A33879" t="s">
        <v>381</v>
      </c>
      <c r="B33879" s="1" t="str">
        <f>HYPERLINK("http://toyfl.at","toyfl.at")</f>
        <v>toyfl.at</v>
      </c>
      <c r="C33879" t="s">
        <v>419</v>
      </c>
      <c r="D33879" t="s">
        <v>801</v>
      </c>
      <c r="F33879">
        <v>4.8774280986735402E-9</v>
      </c>
      <c r="G33879">
        <v>33164675</v>
      </c>
      <c r="H33879">
        <v>12161088</v>
      </c>
      <c r="I33879">
        <v>24335505</v>
      </c>
      <c r="J33879">
        <v>3</v>
      </c>
    </row>
    <row r="33880" spans="1:10" x14ac:dyDescent="0.25">
      <c r="A33880" t="s">
        <v>381</v>
      </c>
      <c r="B33880" s="1" t="str">
        <f>HYPERLINK("http://toyota.at","toyota.at")</f>
        <v>toyota.at</v>
      </c>
      <c r="C33880" t="s">
        <v>419</v>
      </c>
      <c r="D33880" t="s">
        <v>801</v>
      </c>
      <c r="E33880">
        <v>915866</v>
      </c>
      <c r="F33880">
        <v>1.9402109614131E-7</v>
      </c>
      <c r="G33880">
        <v>198719</v>
      </c>
      <c r="H33880">
        <v>14294816</v>
      </c>
      <c r="I33880">
        <v>1361536</v>
      </c>
      <c r="J33880">
        <v>3</v>
      </c>
    </row>
    <row r="33881" spans="1:10" x14ac:dyDescent="0.25">
      <c r="A33881" t="s">
        <v>381</v>
      </c>
      <c r="B33881" s="1" t="str">
        <f>HYPERLINK("http://toyota-forklifts.at","toyota-forklifts.at")</f>
        <v>toyota-forklifts.at</v>
      </c>
      <c r="C33881" t="s">
        <v>419</v>
      </c>
      <c r="D33881" t="s">
        <v>801</v>
      </c>
      <c r="F33881">
        <v>1.8330243798007799E-8</v>
      </c>
      <c r="G33881">
        <v>2961585</v>
      </c>
      <c r="H33881">
        <v>12753813</v>
      </c>
      <c r="I33881">
        <v>14995569</v>
      </c>
      <c r="J33881">
        <v>4</v>
      </c>
    </row>
    <row r="33882" spans="1:10" x14ac:dyDescent="0.25">
      <c r="A33882" t="s">
        <v>381</v>
      </c>
      <c r="B33882" s="1" t="str">
        <f>HYPERLINK("http://toyota-frech.at","toyota-frech.at")</f>
        <v>toyota-frech.at</v>
      </c>
      <c r="C33882" t="s">
        <v>419</v>
      </c>
      <c r="D33882" t="s">
        <v>801</v>
      </c>
      <c r="F33882">
        <v>6.8108978638976197E-9</v>
      </c>
      <c r="G33882">
        <v>12923845</v>
      </c>
      <c r="H33882">
        <v>12080322</v>
      </c>
      <c r="I33882">
        <v>26558606</v>
      </c>
      <c r="J33882">
        <v>3</v>
      </c>
    </row>
    <row r="33883" spans="1:10" x14ac:dyDescent="0.25">
      <c r="A33883" t="s">
        <v>381</v>
      </c>
      <c r="B33883" s="1" t="str">
        <f>HYPERLINK("http://toyota-fuerst.at","toyota-fuerst.at")</f>
        <v>toyota-fuerst.at</v>
      </c>
      <c r="C33883" t="s">
        <v>419</v>
      </c>
      <c r="D33883" t="s">
        <v>801</v>
      </c>
      <c r="F33883">
        <v>7.8726951411692597E-9</v>
      </c>
      <c r="G33883">
        <v>10166376</v>
      </c>
      <c r="H33883">
        <v>12232937</v>
      </c>
      <c r="I33883">
        <v>22425287</v>
      </c>
      <c r="J33883">
        <v>3</v>
      </c>
    </row>
    <row r="33884" spans="1:10" x14ac:dyDescent="0.25">
      <c r="A33884" t="s">
        <v>381</v>
      </c>
      <c r="B33884" s="1" t="str">
        <f>HYPERLINK("http://toyota-haas.at","toyota-haas.at")</f>
        <v>toyota-haas.at</v>
      </c>
      <c r="C33884" t="s">
        <v>419</v>
      </c>
      <c r="D33884" t="s">
        <v>801</v>
      </c>
      <c r="F33884">
        <v>4.6580977452059498E-9</v>
      </c>
      <c r="G33884">
        <v>43621957</v>
      </c>
      <c r="H33884">
        <v>10643495</v>
      </c>
      <c r="I33884">
        <v>43701669</v>
      </c>
      <c r="J33884">
        <v>3</v>
      </c>
    </row>
    <row r="33885" spans="1:10" x14ac:dyDescent="0.25">
      <c r="A33885" t="s">
        <v>381</v>
      </c>
      <c r="B33885" s="1" t="str">
        <f>HYPERLINK("http://toyota-hollabrunn.at","toyota-hollabrunn.at")</f>
        <v>toyota-hollabrunn.at</v>
      </c>
      <c r="C33885" t="s">
        <v>419</v>
      </c>
      <c r="D33885" t="s">
        <v>801</v>
      </c>
      <c r="F33885">
        <v>4.44380395335525E-9</v>
      </c>
      <c r="G33885">
        <v>79985364</v>
      </c>
      <c r="H33885">
        <v>0</v>
      </c>
      <c r="I33885">
        <v>79997109</v>
      </c>
      <c r="J33885">
        <v>3</v>
      </c>
    </row>
    <row r="33886" spans="1:10" x14ac:dyDescent="0.25">
      <c r="A33886" t="s">
        <v>381</v>
      </c>
      <c r="B33886" s="1" t="str">
        <f>HYPERLINK("http://toyota-innviertel.at","toyota-innviertel.at")</f>
        <v>toyota-innviertel.at</v>
      </c>
      <c r="C33886" t="s">
        <v>419</v>
      </c>
      <c r="D33886" t="s">
        <v>801</v>
      </c>
      <c r="F33886">
        <v>5.23115146359619E-9</v>
      </c>
      <c r="G33886">
        <v>24555793</v>
      </c>
      <c r="H33886">
        <v>10927844</v>
      </c>
      <c r="I33886">
        <v>35109912</v>
      </c>
      <c r="J33886">
        <v>3</v>
      </c>
    </row>
    <row r="33887" spans="1:10" x14ac:dyDescent="0.25">
      <c r="A33887" t="s">
        <v>381</v>
      </c>
      <c r="B33887" s="1" t="str">
        <f>HYPERLINK("http://toyota-kandl.at","toyota-kandl.at")</f>
        <v>toyota-kandl.at</v>
      </c>
      <c r="C33887" t="s">
        <v>419</v>
      </c>
      <c r="D33887" t="s">
        <v>801</v>
      </c>
      <c r="F33887">
        <v>7.6497463331671492E-9</v>
      </c>
      <c r="G33887">
        <v>10686579</v>
      </c>
      <c r="H33887">
        <v>10482644</v>
      </c>
      <c r="I33887">
        <v>50934611</v>
      </c>
      <c r="J33887">
        <v>3</v>
      </c>
    </row>
    <row r="33888" spans="1:10" x14ac:dyDescent="0.25">
      <c r="A33888" t="s">
        <v>381</v>
      </c>
      <c r="B33888" s="1" t="str">
        <f>HYPERLINK("http://toyota-kinzel.at","toyota-kinzel.at")</f>
        <v>toyota-kinzel.at</v>
      </c>
      <c r="C33888" t="s">
        <v>419</v>
      </c>
      <c r="D33888" t="s">
        <v>801</v>
      </c>
      <c r="F33888">
        <v>1.03345477913007E-8</v>
      </c>
      <c r="G33888">
        <v>6418682</v>
      </c>
      <c r="H33888">
        <v>8795722</v>
      </c>
      <c r="I33888">
        <v>69419988</v>
      </c>
      <c r="J33888">
        <v>3</v>
      </c>
    </row>
    <row r="33889" spans="1:10" x14ac:dyDescent="0.25">
      <c r="A33889" t="s">
        <v>381</v>
      </c>
      <c r="B33889" s="1" t="str">
        <f>HYPERLINK("http://toyota-mittelberger.at","toyota-mittelberger.at")</f>
        <v>toyota-mittelberger.at</v>
      </c>
      <c r="C33889" t="s">
        <v>419</v>
      </c>
      <c r="D33889" t="s">
        <v>801</v>
      </c>
      <c r="F33889">
        <v>5.3356163697643002E-9</v>
      </c>
      <c r="G33889">
        <v>22992786</v>
      </c>
      <c r="H33889">
        <v>10865739</v>
      </c>
      <c r="I33889">
        <v>36579473</v>
      </c>
      <c r="J33889">
        <v>3</v>
      </c>
    </row>
    <row r="33890" spans="1:10" x14ac:dyDescent="0.25">
      <c r="A33890" t="s">
        <v>381</v>
      </c>
      <c r="B33890" s="1" t="str">
        <f>HYPERLINK("http://toyota-ploner.at","toyota-ploner.at")</f>
        <v>toyota-ploner.at</v>
      </c>
      <c r="C33890" t="s">
        <v>419</v>
      </c>
      <c r="D33890" t="s">
        <v>801</v>
      </c>
      <c r="F33890">
        <v>5.1363844487732099E-9</v>
      </c>
      <c r="G33890">
        <v>26333760</v>
      </c>
      <c r="H33890">
        <v>10700379</v>
      </c>
      <c r="I33890">
        <v>42307948</v>
      </c>
      <c r="J33890">
        <v>3</v>
      </c>
    </row>
    <row r="33891" spans="1:10" x14ac:dyDescent="0.25">
      <c r="A33891" t="s">
        <v>381</v>
      </c>
      <c r="B33891" s="1" t="str">
        <f>HYPERLINK("http://toyota-tschernitz.at","toyota-tschernitz.at")</f>
        <v>toyota-tschernitz.at</v>
      </c>
      <c r="C33891" t="s">
        <v>419</v>
      </c>
      <c r="D33891" t="s">
        <v>801</v>
      </c>
      <c r="F33891">
        <v>4.4603643248967404E-9</v>
      </c>
      <c r="G33891">
        <v>67640987</v>
      </c>
      <c r="H33891">
        <v>10767809</v>
      </c>
      <c r="I33891">
        <v>39330532</v>
      </c>
      <c r="J33891">
        <v>3</v>
      </c>
    </row>
    <row r="33892" spans="1:10" x14ac:dyDescent="0.25">
      <c r="A33892" t="s">
        <v>381</v>
      </c>
      <c r="B33892" s="1" t="str">
        <f>HYPERLINK("http://toyota-ullrich.at","toyota-ullrich.at")</f>
        <v>toyota-ullrich.at</v>
      </c>
      <c r="C33892" t="s">
        <v>419</v>
      </c>
      <c r="D33892" t="s">
        <v>801</v>
      </c>
      <c r="J33892">
        <v>3</v>
      </c>
    </row>
    <row r="33893" spans="1:10" x14ac:dyDescent="0.25">
      <c r="A33893" t="s">
        <v>381</v>
      </c>
      <c r="B33893" s="1" t="str">
        <f>HYPERLINK("http://toyota-ulrichshofer.at","toyota-ulrichshofer.at")</f>
        <v>toyota-ulrichshofer.at</v>
      </c>
      <c r="C33893" t="s">
        <v>419</v>
      </c>
      <c r="D33893" t="s">
        <v>801</v>
      </c>
      <c r="F33893">
        <v>5.4191029225568597E-9</v>
      </c>
      <c r="G33893">
        <v>21872192</v>
      </c>
      <c r="H33893">
        <v>12240800</v>
      </c>
      <c r="I33893">
        <v>22238194</v>
      </c>
      <c r="J33893">
        <v>3</v>
      </c>
    </row>
    <row r="33894" spans="1:10" x14ac:dyDescent="0.25">
      <c r="A33894" t="s">
        <v>381</v>
      </c>
      <c r="B33894" s="1" t="str">
        <f>HYPERLINK("http://wenko.at","wenko.at")</f>
        <v>wenko.at</v>
      </c>
      <c r="C33894" t="s">
        <v>419</v>
      </c>
      <c r="D33894" t="s">
        <v>801</v>
      </c>
      <c r="F33894">
        <v>5.0790956156689699E-9</v>
      </c>
      <c r="G33894">
        <v>27529065</v>
      </c>
      <c r="H33894">
        <v>12277846</v>
      </c>
      <c r="I33894">
        <v>21351643</v>
      </c>
      <c r="J33894">
        <v>3</v>
      </c>
    </row>
    <row r="33895" spans="1:10" x14ac:dyDescent="0.25">
      <c r="A33895" t="s">
        <v>381</v>
      </c>
      <c r="B33895" s="1" t="str">
        <f>HYPERLINK("http://airporttoyota.com.au","airporttoyota.com.au")</f>
        <v>airporttoyota.com.au</v>
      </c>
      <c r="C33895" t="s">
        <v>420</v>
      </c>
      <c r="D33895" t="s">
        <v>802</v>
      </c>
      <c r="F33895">
        <v>4.7545803761445897E-9</v>
      </c>
      <c r="G33895">
        <v>38120457</v>
      </c>
      <c r="H33895">
        <v>13933197</v>
      </c>
      <c r="I33895">
        <v>4855961</v>
      </c>
      <c r="J33895">
        <v>3</v>
      </c>
    </row>
    <row r="33896" spans="1:10" x14ac:dyDescent="0.25">
      <c r="A33896" t="s">
        <v>381</v>
      </c>
      <c r="B33896" s="1" t="str">
        <f>HYPERLINK("http://begavalleytoyota.com.au","begavalleytoyota.com.au")</f>
        <v>begavalleytoyota.com.au</v>
      </c>
      <c r="C33896" t="s">
        <v>420</v>
      </c>
      <c r="D33896" t="s">
        <v>802</v>
      </c>
      <c r="J33896">
        <v>3</v>
      </c>
    </row>
    <row r="33897" spans="1:10" x14ac:dyDescent="0.25">
      <c r="A33897" t="s">
        <v>381</v>
      </c>
      <c r="B33897" s="1" t="str">
        <f>HYPERLINK("http://berwicktoyota.com.au","berwicktoyota.com.au")</f>
        <v>berwicktoyota.com.au</v>
      </c>
      <c r="C33897" t="s">
        <v>420</v>
      </c>
      <c r="D33897" t="s">
        <v>802</v>
      </c>
      <c r="F33897">
        <v>5.2995835297480203E-9</v>
      </c>
      <c r="G33897">
        <v>23501098</v>
      </c>
      <c r="H33897">
        <v>12079760</v>
      </c>
      <c r="I33897">
        <v>26569662</v>
      </c>
      <c r="J33897">
        <v>3</v>
      </c>
    </row>
    <row r="33898" spans="1:10" x14ac:dyDescent="0.25">
      <c r="A33898" t="s">
        <v>381</v>
      </c>
      <c r="B33898" s="1" t="str">
        <f>HYPERLINK("http://bloodtoyota.com.au","bloodtoyota.com.au")</f>
        <v>bloodtoyota.com.au</v>
      </c>
      <c r="C33898" t="s">
        <v>420</v>
      </c>
      <c r="D33898" t="s">
        <v>802</v>
      </c>
      <c r="F33898">
        <v>4.8068644471881197E-9</v>
      </c>
      <c r="G33898">
        <v>35818355</v>
      </c>
      <c r="H33898">
        <v>10464336</v>
      </c>
      <c r="I33898">
        <v>51523756</v>
      </c>
      <c r="J33898">
        <v>3</v>
      </c>
    </row>
    <row r="33899" spans="1:10" x14ac:dyDescent="0.25">
      <c r="A33899" t="s">
        <v>381</v>
      </c>
      <c r="B33899" s="1" t="str">
        <f>HYPERLINK("http://brianhiltontoyota.com.au","brianhiltontoyota.com.au")</f>
        <v>brianhiltontoyota.com.au</v>
      </c>
      <c r="C33899" t="s">
        <v>420</v>
      </c>
      <c r="D33899" t="s">
        <v>802</v>
      </c>
      <c r="F33899">
        <v>4.4550347956909502E-9</v>
      </c>
      <c r="G33899">
        <v>69503409</v>
      </c>
      <c r="H33899">
        <v>12198378</v>
      </c>
      <c r="I33899">
        <v>23357389</v>
      </c>
      <c r="J33899">
        <v>3</v>
      </c>
    </row>
    <row r="33900" spans="1:10" x14ac:dyDescent="0.25">
      <c r="A33900" t="s">
        <v>381</v>
      </c>
      <c r="B33900" s="1" t="str">
        <f>HYPERLINK("http://bridgetoyota.com.au","bridgetoyota.com.au")</f>
        <v>bridgetoyota.com.au</v>
      </c>
      <c r="C33900" t="s">
        <v>420</v>
      </c>
      <c r="D33900" t="s">
        <v>802</v>
      </c>
      <c r="F33900">
        <v>4.6144834165446398E-9</v>
      </c>
      <c r="G33900">
        <v>46533650</v>
      </c>
      <c r="H33900">
        <v>10594658</v>
      </c>
      <c r="I33900">
        <v>45273562</v>
      </c>
      <c r="J33900">
        <v>3</v>
      </c>
    </row>
    <row r="33901" spans="1:10" x14ac:dyDescent="0.25">
      <c r="A33901" t="s">
        <v>381</v>
      </c>
      <c r="B33901" s="1" t="str">
        <f>HYPERLINK("http://cannontoyota.com.au","cannontoyota.com.au")</f>
        <v>cannontoyota.com.au</v>
      </c>
      <c r="C33901" t="s">
        <v>420</v>
      </c>
      <c r="D33901" t="s">
        <v>802</v>
      </c>
      <c r="J33901">
        <v>3</v>
      </c>
    </row>
    <row r="33902" spans="1:10" x14ac:dyDescent="0.25">
      <c r="A33902" t="s">
        <v>381</v>
      </c>
      <c r="B33902" s="1" t="str">
        <f>HYPERLINK("http://chadstonetoyota.com.au","chadstonetoyota.com.au")</f>
        <v>chadstonetoyota.com.au</v>
      </c>
      <c r="C33902" t="s">
        <v>420</v>
      </c>
      <c r="D33902" t="s">
        <v>802</v>
      </c>
      <c r="F33902">
        <v>4.8215420459256604E-9</v>
      </c>
      <c r="G33902">
        <v>35169037</v>
      </c>
      <c r="H33902">
        <v>11089016</v>
      </c>
      <c r="I33902">
        <v>32392790</v>
      </c>
      <c r="J33902">
        <v>3</v>
      </c>
    </row>
    <row r="33903" spans="1:10" x14ac:dyDescent="0.25">
      <c r="A33903" t="s">
        <v>381</v>
      </c>
      <c r="B33903" s="1" t="str">
        <f>HYPERLINK("http://co-optoyota.com.au","co-optoyota.com.au")</f>
        <v>co-optoyota.com.au</v>
      </c>
      <c r="C33903" t="s">
        <v>420</v>
      </c>
      <c r="D33903" t="s">
        <v>802</v>
      </c>
      <c r="F33903">
        <v>4.8575443851678698E-9</v>
      </c>
      <c r="G33903">
        <v>33892049</v>
      </c>
      <c r="H33903">
        <v>10818545</v>
      </c>
      <c r="I33903">
        <v>37656465</v>
      </c>
      <c r="J33903">
        <v>3</v>
      </c>
    </row>
    <row r="33904" spans="1:10" x14ac:dyDescent="0.25">
      <c r="A33904" t="s">
        <v>381</v>
      </c>
      <c r="B33904" s="1" t="str">
        <f>HYPERLINK("http://devonportburnietoyota.com.au","devonportburnietoyota.com.au")</f>
        <v>devonportburnietoyota.com.au</v>
      </c>
      <c r="C33904" t="s">
        <v>420</v>
      </c>
      <c r="D33904" t="s">
        <v>802</v>
      </c>
      <c r="F33904">
        <v>4.4730125810510802E-9</v>
      </c>
      <c r="G33904">
        <v>63845006</v>
      </c>
      <c r="H33904">
        <v>10464665</v>
      </c>
      <c r="I33904">
        <v>51515043</v>
      </c>
      <c r="J33904">
        <v>3</v>
      </c>
    </row>
    <row r="33905" spans="1:10" x14ac:dyDescent="0.25">
      <c r="A33905" t="s">
        <v>381</v>
      </c>
      <c r="B33905" s="1" t="str">
        <f>HYPERLINK("http://ferntreegullytoyota.com.au","ferntreegullytoyota.com.au")</f>
        <v>ferntreegullytoyota.com.au</v>
      </c>
      <c r="C33905" t="s">
        <v>420</v>
      </c>
      <c r="D33905" t="s">
        <v>802</v>
      </c>
      <c r="F33905">
        <v>4.88660629213299E-9</v>
      </c>
      <c r="G33905">
        <v>32873255</v>
      </c>
      <c r="H33905">
        <v>12024937</v>
      </c>
      <c r="I33905">
        <v>27781721</v>
      </c>
      <c r="J33905">
        <v>3</v>
      </c>
    </row>
    <row r="33906" spans="1:10" x14ac:dyDescent="0.25">
      <c r="A33906" t="s">
        <v>381</v>
      </c>
      <c r="B33906" s="1" t="str">
        <f>HYPERLINK("http://frankstontoyota.com.au","frankstontoyota.com.au")</f>
        <v>frankstontoyota.com.au</v>
      </c>
      <c r="C33906" t="s">
        <v>420</v>
      </c>
      <c r="D33906" t="s">
        <v>802</v>
      </c>
      <c r="F33906">
        <v>5.4039267600369001E-9</v>
      </c>
      <c r="G33906">
        <v>22064462</v>
      </c>
      <c r="H33906">
        <v>14071868</v>
      </c>
      <c r="I33906">
        <v>3263822</v>
      </c>
      <c r="J33906">
        <v>3</v>
      </c>
    </row>
    <row r="33907" spans="1:10" x14ac:dyDescent="0.25">
      <c r="A33907" t="s">
        <v>381</v>
      </c>
      <c r="B33907" s="1" t="str">
        <f>HYPERLINK("http://grandmotorstoyota.com.au","grandmotorstoyota.com.au")</f>
        <v>grandmotorstoyota.com.au</v>
      </c>
      <c r="C33907" t="s">
        <v>420</v>
      </c>
      <c r="D33907" t="s">
        <v>802</v>
      </c>
      <c r="F33907">
        <v>4.6733425579430596E-9</v>
      </c>
      <c r="G33907">
        <v>42743572</v>
      </c>
      <c r="H33907">
        <v>12154925</v>
      </c>
      <c r="I33907">
        <v>24496891</v>
      </c>
      <c r="J33907">
        <v>3</v>
      </c>
    </row>
    <row r="33908" spans="1:10" x14ac:dyDescent="0.25">
      <c r="A33908" t="s">
        <v>381</v>
      </c>
      <c r="B33908" s="1" t="str">
        <f>HYPERLINK("http://greatsoutherntoyota.com.au","greatsoutherntoyota.com.au")</f>
        <v>greatsoutherntoyota.com.au</v>
      </c>
      <c r="C33908" t="s">
        <v>420</v>
      </c>
      <c r="D33908" t="s">
        <v>802</v>
      </c>
      <c r="F33908">
        <v>5.22565282870371E-9</v>
      </c>
      <c r="G33908">
        <v>24649298</v>
      </c>
      <c r="H33908">
        <v>12629453</v>
      </c>
      <c r="I33908">
        <v>15994526</v>
      </c>
      <c r="J33908">
        <v>3</v>
      </c>
    </row>
    <row r="33909" spans="1:10" x14ac:dyDescent="0.25">
      <c r="A33909" t="s">
        <v>381</v>
      </c>
      <c r="B33909" s="1" t="str">
        <f>HYPERLINK("http://kennedyenergypark.com.au","kennedyenergypark.com.au")</f>
        <v>kennedyenergypark.com.au</v>
      </c>
      <c r="C33909" t="s">
        <v>420</v>
      </c>
      <c r="D33909" t="s">
        <v>802</v>
      </c>
      <c r="F33909">
        <v>1.1082916622830799E-8</v>
      </c>
      <c r="G33909">
        <v>5798039</v>
      </c>
      <c r="H33909">
        <v>13884591</v>
      </c>
      <c r="I33909">
        <v>5972078</v>
      </c>
      <c r="J33909">
        <v>11</v>
      </c>
    </row>
    <row r="33910" spans="1:10" x14ac:dyDescent="0.25">
      <c r="A33910" t="s">
        <v>381</v>
      </c>
      <c r="B33910" s="1" t="str">
        <f>HYPERLINK("http://kynetontoyota.com.au","kynetontoyota.com.au")</f>
        <v>kynetontoyota.com.au</v>
      </c>
      <c r="C33910" t="s">
        <v>420</v>
      </c>
      <c r="D33910" t="s">
        <v>802</v>
      </c>
      <c r="F33910">
        <v>4.6236240414555699E-9</v>
      </c>
      <c r="G33910">
        <v>45891138</v>
      </c>
      <c r="H33910">
        <v>11101615</v>
      </c>
      <c r="I33910">
        <v>32246753</v>
      </c>
      <c r="J33910">
        <v>3</v>
      </c>
    </row>
    <row r="33911" spans="1:10" x14ac:dyDescent="0.25">
      <c r="A33911" t="s">
        <v>381</v>
      </c>
      <c r="B33911" s="1" t="str">
        <f>HYPERLINK("http://lanetoyota.com.au","lanetoyota.com.au")</f>
        <v>lanetoyota.com.au</v>
      </c>
      <c r="C33911" t="s">
        <v>420</v>
      </c>
      <c r="D33911" t="s">
        <v>802</v>
      </c>
      <c r="J33911">
        <v>3</v>
      </c>
    </row>
    <row r="33912" spans="1:10" x14ac:dyDescent="0.25">
      <c r="A33912" t="s">
        <v>381</v>
      </c>
      <c r="B33912" s="1" t="str">
        <f>HYPERLINK("http://launcestontoyota.com.au","launcestontoyota.com.au")</f>
        <v>launcestontoyota.com.au</v>
      </c>
      <c r="C33912" t="s">
        <v>420</v>
      </c>
      <c r="D33912" t="s">
        <v>802</v>
      </c>
      <c r="F33912">
        <v>4.8427879508147896E-9</v>
      </c>
      <c r="G33912">
        <v>34382726</v>
      </c>
      <c r="H33912">
        <v>10624375</v>
      </c>
      <c r="I33912">
        <v>44154423</v>
      </c>
      <c r="J33912">
        <v>3</v>
      </c>
    </row>
    <row r="33913" spans="1:10" x14ac:dyDescent="0.25">
      <c r="A33913" t="s">
        <v>381</v>
      </c>
      <c r="B33913" s="1" t="str">
        <f>HYPERLINK("http://lexusofblackburn.com.au","lexusofblackburn.com.au")</f>
        <v>lexusofblackburn.com.au</v>
      </c>
      <c r="C33913" t="s">
        <v>420</v>
      </c>
      <c r="D33913" t="s">
        <v>802</v>
      </c>
      <c r="F33913">
        <v>6.02256020133567E-9</v>
      </c>
      <c r="G33913">
        <v>16543507</v>
      </c>
      <c r="H33913">
        <v>13464558</v>
      </c>
      <c r="I33913">
        <v>10089845</v>
      </c>
      <c r="J33913">
        <v>7</v>
      </c>
    </row>
    <row r="33914" spans="1:10" x14ac:dyDescent="0.25">
      <c r="A33914" t="s">
        <v>381</v>
      </c>
      <c r="B33914" s="1" t="str">
        <f>HYPERLINK("http://lexusofparramatta.com.au","lexusofparramatta.com.au")</f>
        <v>lexusofparramatta.com.au</v>
      </c>
      <c r="C33914" t="s">
        <v>420</v>
      </c>
      <c r="D33914" t="s">
        <v>802</v>
      </c>
      <c r="F33914">
        <v>4.9934695085093298E-9</v>
      </c>
      <c r="G33914">
        <v>29579833</v>
      </c>
      <c r="H33914">
        <v>12359779</v>
      </c>
      <c r="I33914">
        <v>19590688</v>
      </c>
      <c r="J33914">
        <v>7</v>
      </c>
    </row>
    <row r="33915" spans="1:10" x14ac:dyDescent="0.25">
      <c r="A33915" t="s">
        <v>381</v>
      </c>
      <c r="B33915" s="1" t="str">
        <f>HYPERLINK("http://lexusofsouthport.com.au","lexusofsouthport.com.au")</f>
        <v>lexusofsouthport.com.au</v>
      </c>
      <c r="C33915" t="s">
        <v>420</v>
      </c>
      <c r="D33915" t="s">
        <v>802</v>
      </c>
      <c r="F33915">
        <v>4.4457341094637297E-9</v>
      </c>
      <c r="G33915">
        <v>74942370</v>
      </c>
      <c r="H33915">
        <v>10532840</v>
      </c>
      <c r="I33915">
        <v>47941199</v>
      </c>
      <c r="J33915">
        <v>7</v>
      </c>
    </row>
    <row r="33916" spans="1:10" x14ac:dyDescent="0.25">
      <c r="A33916" t="s">
        <v>381</v>
      </c>
      <c r="B33916" s="1" t="str">
        <f>HYPERLINK("http://melbcitytoyota.com.au","melbcitytoyota.com.au")</f>
        <v>melbcitytoyota.com.au</v>
      </c>
      <c r="C33916" t="s">
        <v>420</v>
      </c>
      <c r="D33916" t="s">
        <v>802</v>
      </c>
      <c r="J33916">
        <v>3</v>
      </c>
    </row>
    <row r="33917" spans="1:10" x14ac:dyDescent="0.25">
      <c r="A33917" t="s">
        <v>381</v>
      </c>
      <c r="B33917" s="1" t="str">
        <f>HYPERLINK("http://mentonetoyota.com.au","mentonetoyota.com.au")</f>
        <v>mentonetoyota.com.au</v>
      </c>
      <c r="C33917" t="s">
        <v>420</v>
      </c>
      <c r="D33917" t="s">
        <v>802</v>
      </c>
      <c r="F33917">
        <v>4.44436094083883E-9</v>
      </c>
      <c r="G33917">
        <v>76894244</v>
      </c>
      <c r="H33917">
        <v>10330380</v>
      </c>
      <c r="I33917">
        <v>58331794</v>
      </c>
      <c r="J33917">
        <v>3</v>
      </c>
    </row>
    <row r="33918" spans="1:10" x14ac:dyDescent="0.25">
      <c r="A33918" t="s">
        <v>381</v>
      </c>
      <c r="B33918" s="1" t="str">
        <f>HYPERLINK("http://mikecarneytoyota.com.au","mikecarneytoyota.com.au")</f>
        <v>mikecarneytoyota.com.au</v>
      </c>
      <c r="C33918" t="s">
        <v>420</v>
      </c>
      <c r="D33918" t="s">
        <v>802</v>
      </c>
      <c r="F33918">
        <v>4.5632877277777399E-9</v>
      </c>
      <c r="G33918">
        <v>50837261</v>
      </c>
      <c r="H33918">
        <v>10128246</v>
      </c>
      <c r="I33918">
        <v>59600217</v>
      </c>
      <c r="J33918">
        <v>3</v>
      </c>
    </row>
    <row r="33919" spans="1:10" x14ac:dyDescent="0.25">
      <c r="A33919" t="s">
        <v>381</v>
      </c>
      <c r="B33919" s="1" t="str">
        <f>HYPERLINK("http://morningtontoyota.com.au","morningtontoyota.com.au")</f>
        <v>morningtontoyota.com.au</v>
      </c>
      <c r="C33919" t="s">
        <v>420</v>
      </c>
      <c r="D33919" t="s">
        <v>802</v>
      </c>
      <c r="F33919">
        <v>5.0141903177663801E-9</v>
      </c>
      <c r="G33919">
        <v>29036940</v>
      </c>
      <c r="H33919">
        <v>10471531</v>
      </c>
      <c r="I33919">
        <v>51250757</v>
      </c>
      <c r="J33919">
        <v>3</v>
      </c>
    </row>
    <row r="33920" spans="1:10" x14ac:dyDescent="0.25">
      <c r="A33920" t="s">
        <v>381</v>
      </c>
      <c r="B33920" s="1" t="str">
        <f>HYPERLINK("http://nunawadingtoyota.com.au","nunawadingtoyota.com.au")</f>
        <v>nunawadingtoyota.com.au</v>
      </c>
      <c r="C33920" t="s">
        <v>420</v>
      </c>
      <c r="D33920" t="s">
        <v>802</v>
      </c>
      <c r="F33920">
        <v>4.5626711561800097E-9</v>
      </c>
      <c r="G33920">
        <v>50899061</v>
      </c>
      <c r="H33920">
        <v>12149073</v>
      </c>
      <c r="I33920">
        <v>24645608</v>
      </c>
      <c r="J33920">
        <v>3</v>
      </c>
    </row>
    <row r="33921" spans="1:10" x14ac:dyDescent="0.25">
      <c r="A33921" t="s">
        <v>381</v>
      </c>
      <c r="B33921" s="1" t="str">
        <f>HYPERLINK("http://pilbaratoyota.com.au","pilbaratoyota.com.au")</f>
        <v>pilbaratoyota.com.au</v>
      </c>
      <c r="C33921" t="s">
        <v>420</v>
      </c>
      <c r="D33921" t="s">
        <v>802</v>
      </c>
      <c r="F33921">
        <v>4.5870413351885601E-9</v>
      </c>
      <c r="G33921">
        <v>48664820</v>
      </c>
      <c r="H33921">
        <v>10464803</v>
      </c>
      <c r="I33921">
        <v>51511243</v>
      </c>
      <c r="J33921">
        <v>3</v>
      </c>
    </row>
    <row r="33922" spans="1:10" x14ac:dyDescent="0.25">
      <c r="A33922" t="s">
        <v>381</v>
      </c>
      <c r="B33922" s="1" t="str">
        <f>HYPERLINK("http://seymourtoyota.com.au","seymourtoyota.com.au")</f>
        <v>seymourtoyota.com.au</v>
      </c>
      <c r="C33922" t="s">
        <v>420</v>
      </c>
      <c r="D33922" t="s">
        <v>802</v>
      </c>
      <c r="F33922">
        <v>4.7599291147876301E-9</v>
      </c>
      <c r="G33922">
        <v>37825878</v>
      </c>
      <c r="H33922">
        <v>12190814</v>
      </c>
      <c r="I33922">
        <v>23567425</v>
      </c>
      <c r="J33922">
        <v>3</v>
      </c>
    </row>
    <row r="33923" spans="1:10" x14ac:dyDescent="0.25">
      <c r="A33923" t="s">
        <v>381</v>
      </c>
      <c r="B33923" s="1" t="str">
        <f>HYPERLINK("http://sheppartontoyota.com.au","sheppartontoyota.com.au")</f>
        <v>sheppartontoyota.com.au</v>
      </c>
      <c r="C33923" t="s">
        <v>420</v>
      </c>
      <c r="D33923" t="s">
        <v>802</v>
      </c>
      <c r="F33923">
        <v>4.5306875387881101E-9</v>
      </c>
      <c r="G33923">
        <v>54984435</v>
      </c>
      <c r="H33923">
        <v>12027078</v>
      </c>
      <c r="I33923">
        <v>27723398</v>
      </c>
      <c r="J33923">
        <v>3</v>
      </c>
    </row>
    <row r="33924" spans="1:10" x14ac:dyDescent="0.25">
      <c r="A33924" t="s">
        <v>381</v>
      </c>
      <c r="B33924" s="1" t="str">
        <f>HYPERLINK("http://sunshinetoyota.com.au","sunshinetoyota.com.au")</f>
        <v>sunshinetoyota.com.au</v>
      </c>
      <c r="C33924" t="s">
        <v>420</v>
      </c>
      <c r="D33924" t="s">
        <v>802</v>
      </c>
      <c r="F33924">
        <v>8.5572726626596305E-9</v>
      </c>
      <c r="G33924">
        <v>8734799</v>
      </c>
      <c r="H33924">
        <v>11198750</v>
      </c>
      <c r="I33924">
        <v>31283918</v>
      </c>
      <c r="J33924">
        <v>3</v>
      </c>
    </row>
    <row r="33925" spans="1:10" x14ac:dyDescent="0.25">
      <c r="A33925" t="s">
        <v>381</v>
      </c>
      <c r="B33925" s="1" t="str">
        <f>HYPERLINK("http://surftoyota.com.au","surftoyota.com.au")</f>
        <v>surftoyota.com.au</v>
      </c>
      <c r="C33925" t="s">
        <v>420</v>
      </c>
      <c r="D33925" t="s">
        <v>802</v>
      </c>
      <c r="F33925">
        <v>4.4438386830398798E-9</v>
      </c>
      <c r="G33925">
        <v>78816936</v>
      </c>
      <c r="H33925">
        <v>10461392</v>
      </c>
      <c r="I33925">
        <v>51748351</v>
      </c>
      <c r="J33925">
        <v>3</v>
      </c>
    </row>
    <row r="33926" spans="1:10" x14ac:dyDescent="0.25">
      <c r="A33926" t="s">
        <v>381</v>
      </c>
      <c r="B33926" s="1" t="str">
        <f>HYPERLINK("http://swanhilltoyota.com.au","swanhilltoyota.com.au")</f>
        <v>swanhilltoyota.com.au</v>
      </c>
      <c r="C33926" t="s">
        <v>420</v>
      </c>
      <c r="D33926" t="s">
        <v>802</v>
      </c>
      <c r="F33926">
        <v>4.8381160826453601E-9</v>
      </c>
      <c r="G33926">
        <v>34550449</v>
      </c>
      <c r="H33926">
        <v>9497446</v>
      </c>
      <c r="I33926">
        <v>65766316</v>
      </c>
      <c r="J33926">
        <v>3</v>
      </c>
    </row>
    <row r="33927" spans="1:10" x14ac:dyDescent="0.25">
      <c r="A33927" t="s">
        <v>381</v>
      </c>
      <c r="B33927" s="1" t="str">
        <f>HYPERLINK("http://tmh.com.au","tmh.com.au")</f>
        <v>tmh.com.au</v>
      </c>
      <c r="C33927" t="s">
        <v>420</v>
      </c>
      <c r="D33927" t="s">
        <v>802</v>
      </c>
      <c r="F33927">
        <v>5.7028818559343999E-9</v>
      </c>
      <c r="G33927">
        <v>18914340</v>
      </c>
      <c r="H33927">
        <v>1.0003663</v>
      </c>
      <c r="I33927">
        <v>78227507</v>
      </c>
      <c r="J33927">
        <v>18</v>
      </c>
    </row>
    <row r="33928" spans="1:10" x14ac:dyDescent="0.25">
      <c r="A33928" t="s">
        <v>381</v>
      </c>
      <c r="B33928" s="1" t="str">
        <f>HYPERLINK("http://toyota.com.au","toyota.com.au")</f>
        <v>toyota.com.au</v>
      </c>
      <c r="C33928" t="s">
        <v>420</v>
      </c>
      <c r="D33928" t="s">
        <v>802</v>
      </c>
      <c r="E33928">
        <v>76034</v>
      </c>
      <c r="F33928">
        <v>2.2659320620251401E-7</v>
      </c>
      <c r="G33928">
        <v>166202</v>
      </c>
      <c r="H33928">
        <v>15049225</v>
      </c>
      <c r="I33928">
        <v>414782</v>
      </c>
      <c r="J33928">
        <v>3</v>
      </c>
    </row>
    <row r="33929" spans="1:10" x14ac:dyDescent="0.25">
      <c r="A33929" t="s">
        <v>381</v>
      </c>
      <c r="B33929" s="1" t="str">
        <f>HYPERLINK("http://turnbulltoyota.com.au","turnbulltoyota.com.au")</f>
        <v>turnbulltoyota.com.au</v>
      </c>
      <c r="C33929" t="s">
        <v>420</v>
      </c>
      <c r="D33929" t="s">
        <v>802</v>
      </c>
      <c r="F33929">
        <v>4.5012588475177797E-9</v>
      </c>
      <c r="G33929">
        <v>58757765</v>
      </c>
      <c r="H33929">
        <v>10433721</v>
      </c>
      <c r="I33929">
        <v>52951716</v>
      </c>
      <c r="J33929">
        <v>3</v>
      </c>
    </row>
    <row r="33930" spans="1:10" x14ac:dyDescent="0.25">
      <c r="A33930" t="s">
        <v>381</v>
      </c>
      <c r="B33930" s="1" t="str">
        <f>HYPERLINK("http://windsortoyota.com.au","windsortoyota.com.au")</f>
        <v>windsortoyota.com.au</v>
      </c>
      <c r="C33930" t="s">
        <v>420</v>
      </c>
      <c r="D33930" t="s">
        <v>802</v>
      </c>
      <c r="F33930">
        <v>4.8734597456173202E-9</v>
      </c>
      <c r="G33930">
        <v>33290422</v>
      </c>
      <c r="H33930">
        <v>9407347</v>
      </c>
      <c r="I33930">
        <v>67159386</v>
      </c>
      <c r="J33930">
        <v>3</v>
      </c>
    </row>
    <row r="33931" spans="1:10" x14ac:dyDescent="0.25">
      <c r="A33931" t="s">
        <v>381</v>
      </c>
      <c r="B33931" s="1" t="str">
        <f>HYPERLINK("http://yarravalleytoyota.com.au","yarravalleytoyota.com.au")</f>
        <v>yarravalleytoyota.com.au</v>
      </c>
      <c r="C33931" t="s">
        <v>420</v>
      </c>
      <c r="D33931" t="s">
        <v>802</v>
      </c>
      <c r="F33931">
        <v>4.65591654710373E-9</v>
      </c>
      <c r="G33931">
        <v>43751704</v>
      </c>
      <c r="H33931">
        <v>8536772</v>
      </c>
      <c r="I33931">
        <v>71579860</v>
      </c>
      <c r="J33931">
        <v>3</v>
      </c>
    </row>
    <row r="33932" spans="1:10" x14ac:dyDescent="0.25">
      <c r="A33932" t="s">
        <v>381</v>
      </c>
      <c r="B33932" s="1" t="str">
        <f>HYPERLINK("http://lexus.az","lexus.az")</f>
        <v>lexus.az</v>
      </c>
      <c r="C33932" t="s">
        <v>561</v>
      </c>
      <c r="D33932" t="s">
        <v>911</v>
      </c>
      <c r="F33932">
        <v>3.5114549090014799E-8</v>
      </c>
      <c r="G33932">
        <v>1480203</v>
      </c>
      <c r="H33932">
        <v>14072742</v>
      </c>
      <c r="I33932">
        <v>3051614</v>
      </c>
      <c r="J33932">
        <v>4</v>
      </c>
    </row>
    <row r="33933" spans="1:10" x14ac:dyDescent="0.25">
      <c r="A33933" t="s">
        <v>381</v>
      </c>
      <c r="B33933" s="1" t="str">
        <f>HYPERLINK("http://toyota.az","toyota.az")</f>
        <v>toyota.az</v>
      </c>
      <c r="C33933" t="s">
        <v>561</v>
      </c>
      <c r="D33933" t="s">
        <v>911</v>
      </c>
      <c r="E33933">
        <v>585771</v>
      </c>
      <c r="F33933">
        <v>6.23164214402498E-8</v>
      </c>
      <c r="G33933">
        <v>704591</v>
      </c>
      <c r="H33933">
        <v>14074100</v>
      </c>
      <c r="I33933">
        <v>2956619</v>
      </c>
      <c r="J33933">
        <v>4</v>
      </c>
    </row>
    <row r="33934" spans="1:10" x14ac:dyDescent="0.25">
      <c r="A33934" t="s">
        <v>381</v>
      </c>
      <c r="B33934" s="1" t="str">
        <f>HYPERLINK("http://toyota-forklifts.az","toyota-forklifts.az")</f>
        <v>toyota-forklifts.az</v>
      </c>
      <c r="C33934" t="s">
        <v>561</v>
      </c>
      <c r="D33934" t="s">
        <v>911</v>
      </c>
      <c r="F33934">
        <v>1.36635679621544E-8</v>
      </c>
      <c r="G33934">
        <v>4335810</v>
      </c>
      <c r="H33934">
        <v>12681855</v>
      </c>
      <c r="I33934">
        <v>15480581</v>
      </c>
      <c r="J33934">
        <v>4</v>
      </c>
    </row>
    <row r="33935" spans="1:10" x14ac:dyDescent="0.25">
      <c r="A33935" t="s">
        <v>381</v>
      </c>
      <c r="B33935" s="1" t="str">
        <f>HYPERLINK("http://bunjo.ba","bunjo.ba")</f>
        <v>bunjo.ba</v>
      </c>
      <c r="C33935" t="s">
        <v>526</v>
      </c>
      <c r="D33935" t="s">
        <v>893</v>
      </c>
      <c r="F33935">
        <v>7.5788954784344297E-9</v>
      </c>
      <c r="G33935">
        <v>10839547</v>
      </c>
      <c r="H33935">
        <v>12067868</v>
      </c>
      <c r="I33935">
        <v>26834539</v>
      </c>
      <c r="J33935">
        <v>3</v>
      </c>
    </row>
    <row r="33936" spans="1:10" x14ac:dyDescent="0.25">
      <c r="A33936" t="s">
        <v>381</v>
      </c>
      <c r="B33936" s="1" t="str">
        <f>HYPERLINK("http://expoauto.ba","expoauto.ba")</f>
        <v>expoauto.ba</v>
      </c>
      <c r="C33936" t="s">
        <v>526</v>
      </c>
      <c r="D33936" t="s">
        <v>893</v>
      </c>
      <c r="F33936">
        <v>5.2796268890341296E-9</v>
      </c>
      <c r="G33936">
        <v>23795581</v>
      </c>
      <c r="H33936">
        <v>9981965</v>
      </c>
      <c r="I33936">
        <v>60971350</v>
      </c>
      <c r="J33936">
        <v>3</v>
      </c>
    </row>
    <row r="33937" spans="1:10" x14ac:dyDescent="0.25">
      <c r="A33937" t="s">
        <v>381</v>
      </c>
      <c r="B33937" s="1" t="str">
        <f>HYPERLINK("http://ldauto.ba","ldauto.ba")</f>
        <v>ldauto.ba</v>
      </c>
      <c r="C33937" t="s">
        <v>526</v>
      </c>
      <c r="D33937" t="s">
        <v>893</v>
      </c>
      <c r="F33937">
        <v>4.7463371406232203E-9</v>
      </c>
      <c r="G33937">
        <v>38496928</v>
      </c>
      <c r="H33937">
        <v>11965799</v>
      </c>
      <c r="I33937">
        <v>28787219</v>
      </c>
      <c r="J33937">
        <v>3</v>
      </c>
    </row>
    <row r="33938" spans="1:10" x14ac:dyDescent="0.25">
      <c r="A33938" t="s">
        <v>381</v>
      </c>
      <c r="B33938" s="1" t="str">
        <f>HYPERLINK("http://toyota.ba","toyota.ba")</f>
        <v>toyota.ba</v>
      </c>
      <c r="C33938" t="s">
        <v>526</v>
      </c>
      <c r="D33938" t="s">
        <v>893</v>
      </c>
      <c r="F33938">
        <v>6.1949229350316804E-8</v>
      </c>
      <c r="G33938">
        <v>709791</v>
      </c>
      <c r="H33938">
        <v>13124758</v>
      </c>
      <c r="I33938">
        <v>11963583</v>
      </c>
      <c r="J33938">
        <v>4</v>
      </c>
    </row>
    <row r="33939" spans="1:10" x14ac:dyDescent="0.25">
      <c r="A33939" t="s">
        <v>381</v>
      </c>
      <c r="B33939" s="1" t="str">
        <f>HYPERLINK("http://toyota-forklifts.ba","toyota-forklifts.ba")</f>
        <v>toyota-forklifts.ba</v>
      </c>
      <c r="C33939" t="s">
        <v>526</v>
      </c>
      <c r="D33939" t="s">
        <v>893</v>
      </c>
      <c r="F33939">
        <v>1.3653062559713599E-8</v>
      </c>
      <c r="G33939">
        <v>4340136</v>
      </c>
      <c r="H33939">
        <v>12679643</v>
      </c>
      <c r="I33939">
        <v>15505039</v>
      </c>
      <c r="J33939">
        <v>4</v>
      </c>
    </row>
    <row r="33940" spans="1:10" x14ac:dyDescent="0.25">
      <c r="A33940" t="s">
        <v>381</v>
      </c>
      <c r="B33940" s="1" t="str">
        <f>HYPERLINK("http://toyota-sladaboni.ba","toyota-sladaboni.ba")</f>
        <v>toyota-sladaboni.ba</v>
      </c>
      <c r="C33940" t="s">
        <v>526</v>
      </c>
      <c r="D33940" t="s">
        <v>893</v>
      </c>
      <c r="J33940">
        <v>3</v>
      </c>
    </row>
    <row r="33941" spans="1:10" x14ac:dyDescent="0.25">
      <c r="A33941" t="s">
        <v>381</v>
      </c>
      <c r="B33941" s="1" t="str">
        <f>HYPERLINK("http://autogroeplievens.be","autogroeplievens.be")</f>
        <v>autogroeplievens.be</v>
      </c>
      <c r="C33941" t="s">
        <v>421</v>
      </c>
      <c r="D33941" t="s">
        <v>803</v>
      </c>
      <c r="F33941">
        <v>5.4512477832560602E-9</v>
      </c>
      <c r="G33941">
        <v>21467323</v>
      </c>
      <c r="H33941">
        <v>10797966</v>
      </c>
      <c r="I33941">
        <v>38220056</v>
      </c>
      <c r="J33941">
        <v>3</v>
      </c>
    </row>
    <row r="33942" spans="1:10" x14ac:dyDescent="0.25">
      <c r="A33942" t="s">
        <v>381</v>
      </c>
      <c r="B33942" s="1" t="str">
        <f>HYPERLINK("http://beerens.be","beerens.be")</f>
        <v>beerens.be</v>
      </c>
      <c r="C33942" t="s">
        <v>421</v>
      </c>
      <c r="D33942" t="s">
        <v>803</v>
      </c>
      <c r="F33942">
        <v>1.0537007787318399E-8</v>
      </c>
      <c r="G33942">
        <v>6237907</v>
      </c>
      <c r="H33942">
        <v>12360781</v>
      </c>
      <c r="I33942">
        <v>19571575</v>
      </c>
      <c r="J33942">
        <v>3</v>
      </c>
    </row>
    <row r="33943" spans="1:10" x14ac:dyDescent="0.25">
      <c r="A33943" t="s">
        <v>381</v>
      </c>
      <c r="B33943" s="1" t="str">
        <f>HYPERLINK("http://ciac.be","ciac.be")</f>
        <v>ciac.be</v>
      </c>
      <c r="C33943" t="s">
        <v>421</v>
      </c>
      <c r="D33943" t="s">
        <v>803</v>
      </c>
      <c r="F33943">
        <v>5.4152035726296196E-9</v>
      </c>
      <c r="G33943">
        <v>21919685</v>
      </c>
      <c r="H33943">
        <v>10742067</v>
      </c>
      <c r="I33943">
        <v>40345690</v>
      </c>
      <c r="J33943">
        <v>3</v>
      </c>
    </row>
    <row r="33944" spans="1:10" x14ac:dyDescent="0.25">
      <c r="A33944" t="s">
        <v>381</v>
      </c>
      <c r="B33944" s="1" t="str">
        <f>HYPERLINK("http://dreuw.be","dreuw.be")</f>
        <v>dreuw.be</v>
      </c>
      <c r="C33944" t="s">
        <v>421</v>
      </c>
      <c r="D33944" t="s">
        <v>803</v>
      </c>
      <c r="F33944">
        <v>5.3580168277412698E-9</v>
      </c>
      <c r="G33944">
        <v>22695379</v>
      </c>
      <c r="H33944">
        <v>8875723</v>
      </c>
      <c r="I33944">
        <v>69095831</v>
      </c>
      <c r="J33944">
        <v>3</v>
      </c>
    </row>
    <row r="33945" spans="1:10" x14ac:dyDescent="0.25">
      <c r="A33945" t="s">
        <v>381</v>
      </c>
      <c r="B33945" s="1" t="str">
        <f>HYPERLINK("http://garagehugobol.be","garagehugobol.be")</f>
        <v>garagehugobol.be</v>
      </c>
      <c r="C33945" t="s">
        <v>421</v>
      </c>
      <c r="D33945" t="s">
        <v>803</v>
      </c>
      <c r="F33945">
        <v>4.6812450872392603E-9</v>
      </c>
      <c r="G33945">
        <v>42259680</v>
      </c>
      <c r="H33945">
        <v>10478908</v>
      </c>
      <c r="I33945">
        <v>51054534</v>
      </c>
      <c r="J33945">
        <v>3</v>
      </c>
    </row>
    <row r="33946" spans="1:10" x14ac:dyDescent="0.25">
      <c r="A33946" t="s">
        <v>381</v>
      </c>
      <c r="B33946" s="1" t="str">
        <f>HYPERLINK("http://hino.be","hino.be")</f>
        <v>hino.be</v>
      </c>
      <c r="C33946" t="s">
        <v>421</v>
      </c>
      <c r="D33946" t="s">
        <v>803</v>
      </c>
      <c r="F33946">
        <v>4.9752925269857803E-9</v>
      </c>
      <c r="G33946">
        <v>30114450</v>
      </c>
      <c r="H33946">
        <v>14071966</v>
      </c>
      <c r="I33946">
        <v>3209454</v>
      </c>
      <c r="J33946">
        <v>4</v>
      </c>
    </row>
    <row r="33947" spans="1:10" x14ac:dyDescent="0.25">
      <c r="A33947" t="s">
        <v>381</v>
      </c>
      <c r="B33947" s="1" t="str">
        <f>HYPERLINK("http://kinto-mobility.be","kinto-mobility.be")</f>
        <v>kinto-mobility.be</v>
      </c>
      <c r="C33947" t="s">
        <v>421</v>
      </c>
      <c r="D33947" t="s">
        <v>803</v>
      </c>
      <c r="F33947">
        <v>5.5148122172549601E-9</v>
      </c>
      <c r="G33947">
        <v>20741725</v>
      </c>
      <c r="H33947">
        <v>11000805</v>
      </c>
      <c r="I33947">
        <v>33572874</v>
      </c>
      <c r="J33947">
        <v>4</v>
      </c>
    </row>
    <row r="33948" spans="1:10" x14ac:dyDescent="0.25">
      <c r="A33948" t="s">
        <v>381</v>
      </c>
      <c r="B33948" s="1" t="str">
        <f>HYPERLINK("http://lexus.be","lexus.be")</f>
        <v>lexus.be</v>
      </c>
      <c r="C33948" t="s">
        <v>421</v>
      </c>
      <c r="D33948" t="s">
        <v>803</v>
      </c>
      <c r="F33948">
        <v>5.2381030699615301E-8</v>
      </c>
      <c r="G33948">
        <v>870870</v>
      </c>
      <c r="H33948">
        <v>14395560</v>
      </c>
      <c r="I33948">
        <v>1160365</v>
      </c>
      <c r="J33948">
        <v>4</v>
      </c>
    </row>
    <row r="33949" spans="1:10" x14ac:dyDescent="0.25">
      <c r="A33949" t="s">
        <v>381</v>
      </c>
      <c r="B33949" s="1" t="str">
        <f>HYPERLINK("http://lexusantwerp.be","lexusantwerp.be")</f>
        <v>lexusantwerp.be</v>
      </c>
      <c r="C33949" t="s">
        <v>421</v>
      </c>
      <c r="D33949" t="s">
        <v>803</v>
      </c>
      <c r="J33949">
        <v>6</v>
      </c>
    </row>
    <row r="33950" spans="1:10" x14ac:dyDescent="0.25">
      <c r="A33950" t="s">
        <v>381</v>
      </c>
      <c r="B33950" s="1" t="str">
        <f>HYPERLINK("http://lexusbrussels.be","lexusbrussels.be")</f>
        <v>lexusbrussels.be</v>
      </c>
      <c r="C33950" t="s">
        <v>421</v>
      </c>
      <c r="D33950" t="s">
        <v>803</v>
      </c>
      <c r="J33950">
        <v>6</v>
      </c>
    </row>
    <row r="33951" spans="1:10" x14ac:dyDescent="0.25">
      <c r="A33951" t="s">
        <v>381</v>
      </c>
      <c r="B33951" s="1" t="str">
        <f>HYPERLINK("http://lexuswaterloo.be","lexuswaterloo.be")</f>
        <v>lexuswaterloo.be</v>
      </c>
      <c r="C33951" t="s">
        <v>421</v>
      </c>
      <c r="D33951" t="s">
        <v>803</v>
      </c>
      <c r="J33951">
        <v>6</v>
      </c>
    </row>
    <row r="33952" spans="1:10" x14ac:dyDescent="0.25">
      <c r="A33952" t="s">
        <v>381</v>
      </c>
      <c r="B33952" s="1" t="str">
        <f>HYPERLINK("http://marcbilliau.be","marcbilliau.be")</f>
        <v>marcbilliau.be</v>
      </c>
      <c r="C33952" t="s">
        <v>421</v>
      </c>
      <c r="D33952" t="s">
        <v>803</v>
      </c>
      <c r="F33952">
        <v>4.8988280456742097E-9</v>
      </c>
      <c r="G33952">
        <v>32499847</v>
      </c>
      <c r="H33952">
        <v>9360925</v>
      </c>
      <c r="I33952">
        <v>67830560</v>
      </c>
      <c r="J33952">
        <v>3</v>
      </c>
    </row>
    <row r="33953" spans="1:10" x14ac:dyDescent="0.25">
      <c r="A33953" t="s">
        <v>381</v>
      </c>
      <c r="B33953" s="1" t="str">
        <f>HYPERLINK("http://scerbo.be","scerbo.be")</f>
        <v>scerbo.be</v>
      </c>
      <c r="C33953" t="s">
        <v>421</v>
      </c>
      <c r="D33953" t="s">
        <v>803</v>
      </c>
      <c r="F33953">
        <v>4.6864951639906504E-9</v>
      </c>
      <c r="G33953">
        <v>41973181</v>
      </c>
      <c r="H33953">
        <v>10692614</v>
      </c>
      <c r="I33953">
        <v>42453165</v>
      </c>
      <c r="J33953">
        <v>3</v>
      </c>
    </row>
    <row r="33954" spans="1:10" x14ac:dyDescent="0.25">
      <c r="A33954" t="s">
        <v>381</v>
      </c>
      <c r="B33954" s="1" t="str">
        <f>HYPERLINK("http://toyota.be","toyota.be")</f>
        <v>toyota.be</v>
      </c>
      <c r="C33954" t="s">
        <v>421</v>
      </c>
      <c r="D33954" t="s">
        <v>803</v>
      </c>
      <c r="E33954">
        <v>372717</v>
      </c>
      <c r="F33954">
        <v>1.3743893863575901E-7</v>
      </c>
      <c r="G33954">
        <v>283545</v>
      </c>
      <c r="H33954">
        <v>14527061</v>
      </c>
      <c r="I33954">
        <v>793264</v>
      </c>
      <c r="J33954">
        <v>3</v>
      </c>
    </row>
    <row r="33955" spans="1:10" x14ac:dyDescent="0.25">
      <c r="A33955" t="s">
        <v>381</v>
      </c>
      <c r="B33955" s="1" t="str">
        <f>HYPERLINK("http://toyota-forklifts.be","toyota-forklifts.be")</f>
        <v>toyota-forklifts.be</v>
      </c>
      <c r="C33955" t="s">
        <v>421</v>
      </c>
      <c r="D33955" t="s">
        <v>803</v>
      </c>
      <c r="F33955">
        <v>2.1119574205564199E-8</v>
      </c>
      <c r="G33955">
        <v>2500098</v>
      </c>
      <c r="H33955">
        <v>12752072</v>
      </c>
      <c r="I33955">
        <v>15011693</v>
      </c>
      <c r="J33955">
        <v>4</v>
      </c>
    </row>
    <row r="33956" spans="1:10" x14ac:dyDescent="0.25">
      <c r="A33956" t="s">
        <v>381</v>
      </c>
      <c r="B33956" s="1" t="str">
        <f>HYPERLINK("http://toyotabert.be","toyotabert.be")</f>
        <v>toyotabert.be</v>
      </c>
      <c r="C33956" t="s">
        <v>421</v>
      </c>
      <c r="D33956" t="s">
        <v>803</v>
      </c>
      <c r="J33956">
        <v>3</v>
      </c>
    </row>
    <row r="33957" spans="1:10" x14ac:dyDescent="0.25">
      <c r="A33957" t="s">
        <v>381</v>
      </c>
      <c r="B33957" s="1" t="str">
        <f>HYPERLINK("http://toyotacity.be","toyotacity.be")</f>
        <v>toyotacity.be</v>
      </c>
      <c r="C33957" t="s">
        <v>421</v>
      </c>
      <c r="D33957" t="s">
        <v>803</v>
      </c>
      <c r="F33957">
        <v>4.5316468962530799E-9</v>
      </c>
      <c r="G33957">
        <v>54876583</v>
      </c>
      <c r="H33957">
        <v>8365266</v>
      </c>
      <c r="I33957">
        <v>73679701</v>
      </c>
      <c r="J33957">
        <v>6</v>
      </c>
    </row>
    <row r="33958" spans="1:10" x14ac:dyDescent="0.25">
      <c r="A33958" t="s">
        <v>381</v>
      </c>
      <c r="B33958" s="1" t="str">
        <f>HYPERLINK("http://toyotanet.be","toyotanet.be")</f>
        <v>toyotanet.be</v>
      </c>
      <c r="C33958" t="s">
        <v>421</v>
      </c>
      <c r="D33958" t="s">
        <v>803</v>
      </c>
      <c r="F33958">
        <v>7.2343682076839698E-9</v>
      </c>
      <c r="G33958">
        <v>11645979</v>
      </c>
      <c r="H33958">
        <v>12040320</v>
      </c>
      <c r="I33958">
        <v>27454786</v>
      </c>
      <c r="J33958">
        <v>3</v>
      </c>
    </row>
    <row r="33959" spans="1:10" x14ac:dyDescent="0.25">
      <c r="A33959" t="s">
        <v>381</v>
      </c>
      <c r="B33959" s="1" t="str">
        <f>HYPERLINK("http://toyotaxl.be","toyotaxl.be")</f>
        <v>toyotaxl.be</v>
      </c>
      <c r="C33959" t="s">
        <v>421</v>
      </c>
      <c r="D33959" t="s">
        <v>803</v>
      </c>
      <c r="F33959">
        <v>6.3752462567628797E-9</v>
      </c>
      <c r="G33959">
        <v>14639956</v>
      </c>
      <c r="H33959">
        <v>10888626</v>
      </c>
      <c r="I33959">
        <v>36133302</v>
      </c>
      <c r="J33959">
        <v>3</v>
      </c>
    </row>
    <row r="33960" spans="1:10" x14ac:dyDescent="0.25">
      <c r="A33960" t="s">
        <v>381</v>
      </c>
      <c r="B33960" s="1" t="str">
        <f>HYPERLINK("http://lexus.bg","lexus.bg")</f>
        <v>lexus.bg</v>
      </c>
      <c r="C33960" t="s">
        <v>422</v>
      </c>
      <c r="D33960" t="s">
        <v>804</v>
      </c>
      <c r="F33960">
        <v>3.4980447905373903E-8</v>
      </c>
      <c r="G33960">
        <v>1484975</v>
      </c>
      <c r="H33960">
        <v>12215981</v>
      </c>
      <c r="I33960">
        <v>22881389</v>
      </c>
      <c r="J33960">
        <v>4</v>
      </c>
    </row>
    <row r="33961" spans="1:10" x14ac:dyDescent="0.25">
      <c r="A33961" t="s">
        <v>381</v>
      </c>
      <c r="B33961" s="1" t="str">
        <f>HYPERLINK("http://tmauto.bg","tmauto.bg")</f>
        <v>tmauto.bg</v>
      </c>
      <c r="C33961" t="s">
        <v>422</v>
      </c>
      <c r="D33961" t="s">
        <v>804</v>
      </c>
      <c r="F33961">
        <v>5.1772134826306696E-9</v>
      </c>
      <c r="G33961">
        <v>25600324</v>
      </c>
      <c r="H33961">
        <v>10909795</v>
      </c>
      <c r="I33961">
        <v>35632372</v>
      </c>
      <c r="J33961">
        <v>5</v>
      </c>
    </row>
    <row r="33962" spans="1:10" x14ac:dyDescent="0.25">
      <c r="A33962" t="s">
        <v>381</v>
      </c>
      <c r="B33962" s="1" t="str">
        <f>HYPERLINK("http://toyota.bg","toyota.bg")</f>
        <v>toyota.bg</v>
      </c>
      <c r="C33962" t="s">
        <v>422</v>
      </c>
      <c r="D33962" t="s">
        <v>804</v>
      </c>
      <c r="F33962">
        <v>1.08732958790945E-7</v>
      </c>
      <c r="G33962">
        <v>367958</v>
      </c>
      <c r="H33962">
        <v>14300061</v>
      </c>
      <c r="I33962">
        <v>1356497</v>
      </c>
      <c r="J33962">
        <v>3</v>
      </c>
    </row>
    <row r="33963" spans="1:10" x14ac:dyDescent="0.25">
      <c r="A33963" t="s">
        <v>381</v>
      </c>
      <c r="B33963" s="1" t="str">
        <f>HYPERLINK("http://toyota-forklifts.bg","toyota-forklifts.bg")</f>
        <v>toyota-forklifts.bg</v>
      </c>
      <c r="C33963" t="s">
        <v>422</v>
      </c>
      <c r="D33963" t="s">
        <v>804</v>
      </c>
      <c r="F33963">
        <v>1.3790655990512201E-8</v>
      </c>
      <c r="G33963">
        <v>4285356</v>
      </c>
      <c r="H33963">
        <v>12679646</v>
      </c>
      <c r="I33963">
        <v>15505018</v>
      </c>
      <c r="J33963">
        <v>4</v>
      </c>
    </row>
    <row r="33964" spans="1:10" x14ac:dyDescent="0.25">
      <c r="A33964" t="s">
        <v>381</v>
      </c>
      <c r="B33964" s="1" t="str">
        <f>HYPERLINK("http://lexus.com.bn","lexus.com.bn")</f>
        <v>lexus.com.bn</v>
      </c>
      <c r="C33964" t="s">
        <v>511</v>
      </c>
      <c r="D33964" t="s">
        <v>885</v>
      </c>
      <c r="F33964">
        <v>1.2479780916330001E-8</v>
      </c>
      <c r="G33964">
        <v>4896151</v>
      </c>
      <c r="H33964">
        <v>11069302</v>
      </c>
      <c r="I33964">
        <v>32586235</v>
      </c>
      <c r="J33964">
        <v>7</v>
      </c>
    </row>
    <row r="33965" spans="1:10" x14ac:dyDescent="0.25">
      <c r="A33965" t="s">
        <v>381</v>
      </c>
      <c r="B33965" s="1" t="str">
        <f>HYPERLINK("http://carhouse.com.br","carhouse.com.br")</f>
        <v>carhouse.com.br</v>
      </c>
      <c r="C33965" t="s">
        <v>425</v>
      </c>
      <c r="D33965" t="s">
        <v>806</v>
      </c>
      <c r="F33965">
        <v>4.5812528546440998E-9</v>
      </c>
      <c r="G33965">
        <v>49187496</v>
      </c>
      <c r="H33965">
        <v>10617106</v>
      </c>
      <c r="I33965">
        <v>44369282</v>
      </c>
      <c r="J33965">
        <v>3</v>
      </c>
    </row>
    <row r="33966" spans="1:10" x14ac:dyDescent="0.25">
      <c r="A33966" t="s">
        <v>381</v>
      </c>
      <c r="B33966" s="1" t="str">
        <f>HYPERLINK("http://carhousetoyota.com.br","carhousetoyota.com.br")</f>
        <v>carhousetoyota.com.br</v>
      </c>
      <c r="C33966" t="s">
        <v>425</v>
      </c>
      <c r="D33966" t="s">
        <v>806</v>
      </c>
      <c r="F33966">
        <v>5.6214067915506199E-9</v>
      </c>
      <c r="G33966">
        <v>19655803</v>
      </c>
      <c r="H33966">
        <v>13558659</v>
      </c>
      <c r="I33966">
        <v>9872826</v>
      </c>
      <c r="J33966">
        <v>3</v>
      </c>
    </row>
    <row r="33967" spans="1:10" x14ac:dyDescent="0.25">
      <c r="A33967" t="s">
        <v>381</v>
      </c>
      <c r="B33967" s="1" t="str">
        <f>HYPERLINK("http://osakaveiculos.com.br","osakaveiculos.com.br")</f>
        <v>osakaveiculos.com.br</v>
      </c>
      <c r="C33967" t="s">
        <v>425</v>
      </c>
      <c r="D33967" t="s">
        <v>806</v>
      </c>
      <c r="F33967">
        <v>4.7868174016502897E-9</v>
      </c>
      <c r="G33967">
        <v>36679017</v>
      </c>
      <c r="H33967">
        <v>9479315</v>
      </c>
      <c r="I33967">
        <v>66036114</v>
      </c>
      <c r="J33967">
        <v>3</v>
      </c>
    </row>
    <row r="33968" spans="1:10" x14ac:dyDescent="0.25">
      <c r="A33968" t="s">
        <v>381</v>
      </c>
      <c r="B33968" s="1" t="str">
        <f>HYPERLINK("http://ramiresmotors.com.br","ramiresmotors.com.br")</f>
        <v>ramiresmotors.com.br</v>
      </c>
      <c r="C33968" t="s">
        <v>425</v>
      </c>
      <c r="D33968" t="s">
        <v>806</v>
      </c>
      <c r="F33968">
        <v>4.4438414335725701E-9</v>
      </c>
      <c r="G33968">
        <v>78764701</v>
      </c>
      <c r="H33968">
        <v>10483001</v>
      </c>
      <c r="I33968">
        <v>50917484</v>
      </c>
      <c r="J33968">
        <v>3</v>
      </c>
    </row>
    <row r="33969" spans="1:10" x14ac:dyDescent="0.25">
      <c r="A33969" t="s">
        <v>381</v>
      </c>
      <c r="B33969" s="1" t="str">
        <f>HYPERLINK("http://stradamotors.com.br","stradamotors.com.br")</f>
        <v>stradamotors.com.br</v>
      </c>
      <c r="C33969" t="s">
        <v>425</v>
      </c>
      <c r="D33969" t="s">
        <v>806</v>
      </c>
      <c r="J33969">
        <v>3</v>
      </c>
    </row>
    <row r="33970" spans="1:10" x14ac:dyDescent="0.25">
      <c r="A33970" t="s">
        <v>381</v>
      </c>
      <c r="B33970" s="1" t="str">
        <f>HYPERLINK("http://tsusho.com.br","tsusho.com.br")</f>
        <v>tsusho.com.br</v>
      </c>
      <c r="C33970" t="s">
        <v>425</v>
      </c>
      <c r="D33970" t="s">
        <v>806</v>
      </c>
      <c r="F33970">
        <v>4.5442000979408903E-9</v>
      </c>
      <c r="G33970">
        <v>52813496</v>
      </c>
      <c r="H33970">
        <v>10741381</v>
      </c>
      <c r="I33970">
        <v>40375231</v>
      </c>
      <c r="J33970">
        <v>3</v>
      </c>
    </row>
    <row r="33971" spans="1:10" x14ac:dyDescent="0.25">
      <c r="A33971" t="s">
        <v>381</v>
      </c>
      <c r="B33971" s="1" t="str">
        <f>HYPERLINK("http://birchwood.ca","birchwood.ca")</f>
        <v>birchwood.ca</v>
      </c>
      <c r="C33971" t="s">
        <v>428</v>
      </c>
      <c r="D33971" t="s">
        <v>809</v>
      </c>
      <c r="F33971">
        <v>2.5966349281967601E-8</v>
      </c>
      <c r="G33971">
        <v>1984345</v>
      </c>
      <c r="H33971">
        <v>13239749</v>
      </c>
      <c r="I33971">
        <v>11222914</v>
      </c>
      <c r="J33971">
        <v>9</v>
      </c>
    </row>
    <row r="33972" spans="1:10" x14ac:dyDescent="0.25">
      <c r="A33972" t="s">
        <v>381</v>
      </c>
      <c r="B33972" s="1" t="str">
        <f>HYPERLINK("http://birchwoodbmw.ca","birchwoodbmw.ca")</f>
        <v>birchwoodbmw.ca</v>
      </c>
      <c r="C33972" t="s">
        <v>428</v>
      </c>
      <c r="D33972" t="s">
        <v>809</v>
      </c>
      <c r="F33972">
        <v>6.9579326010769E-9</v>
      </c>
      <c r="G33972">
        <v>12439250</v>
      </c>
      <c r="H33972">
        <v>12179523</v>
      </c>
      <c r="I33972">
        <v>23825756</v>
      </c>
      <c r="J33972">
        <v>9</v>
      </c>
    </row>
    <row r="33973" spans="1:10" x14ac:dyDescent="0.25">
      <c r="A33973" t="s">
        <v>381</v>
      </c>
      <c r="B33973" s="1" t="str">
        <f>HYPERLINK("http://birchwoodford.ca","birchwoodford.ca")</f>
        <v>birchwoodford.ca</v>
      </c>
      <c r="C33973" t="s">
        <v>428</v>
      </c>
      <c r="D33973" t="s">
        <v>809</v>
      </c>
      <c r="F33973">
        <v>1.30326044525731E-8</v>
      </c>
      <c r="G33973">
        <v>4615621</v>
      </c>
      <c r="H33973">
        <v>12563940</v>
      </c>
      <c r="I33973">
        <v>16678312</v>
      </c>
      <c r="J33973">
        <v>9</v>
      </c>
    </row>
    <row r="33974" spans="1:10" x14ac:dyDescent="0.25">
      <c r="A33974" t="s">
        <v>381</v>
      </c>
      <c r="B33974" s="1" t="str">
        <f>HYPERLINK("http://birchwoodhondawest.ca","birchwoodhondawest.ca")</f>
        <v>birchwoodhondawest.ca</v>
      </c>
      <c r="C33974" t="s">
        <v>428</v>
      </c>
      <c r="D33974" t="s">
        <v>809</v>
      </c>
      <c r="F33974">
        <v>5.3794978781854999E-9</v>
      </c>
      <c r="G33974">
        <v>22425473</v>
      </c>
      <c r="H33974">
        <v>12146041</v>
      </c>
      <c r="I33974">
        <v>24722718</v>
      </c>
      <c r="J33974">
        <v>9</v>
      </c>
    </row>
    <row r="33975" spans="1:10" x14ac:dyDescent="0.25">
      <c r="A33975" t="s">
        <v>381</v>
      </c>
      <c r="B33975" s="1" t="str">
        <f>HYPERLINK("http://birchwoodinfiniti.ca","birchwoodinfiniti.ca")</f>
        <v>birchwoodinfiniti.ca</v>
      </c>
      <c r="C33975" t="s">
        <v>428</v>
      </c>
      <c r="D33975" t="s">
        <v>809</v>
      </c>
      <c r="F33975">
        <v>5.0298137856750702E-9</v>
      </c>
      <c r="G33975">
        <v>28673262</v>
      </c>
      <c r="H33975">
        <v>11942461</v>
      </c>
      <c r="I33975">
        <v>29184629</v>
      </c>
      <c r="J33975">
        <v>9</v>
      </c>
    </row>
    <row r="33976" spans="1:10" x14ac:dyDescent="0.25">
      <c r="A33976" t="s">
        <v>381</v>
      </c>
      <c r="B33976" s="1" t="str">
        <f>HYPERLINK("http://birchwoodkiaregent.ca","birchwoodkiaregent.ca")</f>
        <v>birchwoodkiaregent.ca</v>
      </c>
      <c r="C33976" t="s">
        <v>428</v>
      </c>
      <c r="D33976" t="s">
        <v>809</v>
      </c>
      <c r="F33976">
        <v>6.0434315962327401E-9</v>
      </c>
      <c r="G33976">
        <v>16420905</v>
      </c>
      <c r="H33976">
        <v>12145937</v>
      </c>
      <c r="I33976">
        <v>24725194</v>
      </c>
      <c r="J33976">
        <v>9</v>
      </c>
    </row>
    <row r="33977" spans="1:10" x14ac:dyDescent="0.25">
      <c r="A33977" t="s">
        <v>381</v>
      </c>
      <c r="B33977" s="1" t="str">
        <f>HYPERLINK("http://birchwoodkiawest.ca","birchwoodkiawest.ca")</f>
        <v>birchwoodkiawest.ca</v>
      </c>
      <c r="C33977" t="s">
        <v>428</v>
      </c>
      <c r="D33977" t="s">
        <v>809</v>
      </c>
      <c r="F33977">
        <v>5.8276163927884701E-9</v>
      </c>
      <c r="G33977">
        <v>17881111</v>
      </c>
      <c r="H33977">
        <v>11946347</v>
      </c>
      <c r="I33977">
        <v>29166983</v>
      </c>
      <c r="J33977">
        <v>9</v>
      </c>
    </row>
    <row r="33978" spans="1:10" x14ac:dyDescent="0.25">
      <c r="A33978" t="s">
        <v>381</v>
      </c>
      <c r="B33978" s="1" t="str">
        <f>HYPERLINK("http://birchwoodlexus.ca","birchwoodlexus.ca")</f>
        <v>birchwoodlexus.ca</v>
      </c>
      <c r="C33978" t="s">
        <v>428</v>
      </c>
      <c r="D33978" t="s">
        <v>809</v>
      </c>
      <c r="F33978">
        <v>6.4014248062598203E-9</v>
      </c>
      <c r="G33978">
        <v>14509832</v>
      </c>
      <c r="H33978">
        <v>12279349</v>
      </c>
      <c r="I33978">
        <v>21321022</v>
      </c>
      <c r="J33978">
        <v>7</v>
      </c>
    </row>
    <row r="33979" spans="1:10" x14ac:dyDescent="0.25">
      <c r="A33979" t="s">
        <v>381</v>
      </c>
      <c r="B33979" s="1" t="str">
        <f>HYPERLINK("http://birchwoodnissan.ca","birchwoodnissan.ca")</f>
        <v>birchwoodnissan.ca</v>
      </c>
      <c r="C33979" t="s">
        <v>428</v>
      </c>
      <c r="D33979" t="s">
        <v>809</v>
      </c>
      <c r="F33979">
        <v>5.4188821474126304E-9</v>
      </c>
      <c r="G33979">
        <v>21874945</v>
      </c>
      <c r="H33979">
        <v>12173713</v>
      </c>
      <c r="I33979">
        <v>23966317</v>
      </c>
      <c r="J33979">
        <v>9</v>
      </c>
    </row>
    <row r="33980" spans="1:10" x14ac:dyDescent="0.25">
      <c r="A33980" t="s">
        <v>381</v>
      </c>
      <c r="B33980" s="1" t="str">
        <f>HYPERLINK("http://birchwoodwebuy.ca","birchwoodwebuy.ca")</f>
        <v>birchwoodwebuy.ca</v>
      </c>
      <c r="C33980" t="s">
        <v>428</v>
      </c>
      <c r="D33980" t="s">
        <v>809</v>
      </c>
      <c r="F33980">
        <v>6.0836912156111399E-9</v>
      </c>
      <c r="G33980">
        <v>16185488</v>
      </c>
      <c r="H33980">
        <v>10065342</v>
      </c>
      <c r="I33980">
        <v>60178607</v>
      </c>
      <c r="J33980">
        <v>11</v>
      </c>
    </row>
    <row r="33981" spans="1:10" x14ac:dyDescent="0.25">
      <c r="A33981" t="s">
        <v>381</v>
      </c>
      <c r="B33981" s="1" t="str">
        <f>HYPERLINK("http://destinationtoyota.ca","destinationtoyota.ca")</f>
        <v>destinationtoyota.ca</v>
      </c>
      <c r="C33981" t="s">
        <v>428</v>
      </c>
      <c r="D33981" t="s">
        <v>809</v>
      </c>
      <c r="F33981">
        <v>6.5920671538094301E-9</v>
      </c>
      <c r="G33981">
        <v>13707218</v>
      </c>
      <c r="H33981">
        <v>13939957</v>
      </c>
      <c r="I33981">
        <v>4380312</v>
      </c>
      <c r="J33981">
        <v>3</v>
      </c>
    </row>
    <row r="33982" spans="1:10" x14ac:dyDescent="0.25">
      <c r="A33982" t="s">
        <v>381</v>
      </c>
      <c r="B33982" s="1" t="str">
        <f>HYPERLINK("http://gatewaytoyota.ca","gatewaytoyota.ca")</f>
        <v>gatewaytoyota.ca</v>
      </c>
      <c r="C33982" t="s">
        <v>428</v>
      </c>
      <c r="D33982" t="s">
        <v>809</v>
      </c>
      <c r="F33982">
        <v>6.7944543726335E-9</v>
      </c>
      <c r="G33982">
        <v>12979150</v>
      </c>
      <c r="H33982">
        <v>12248415</v>
      </c>
      <c r="I33982">
        <v>22045035</v>
      </c>
      <c r="J33982">
        <v>3</v>
      </c>
    </row>
    <row r="33983" spans="1:10" x14ac:dyDescent="0.25">
      <c r="A33983" t="s">
        <v>381</v>
      </c>
      <c r="B33983" s="1" t="str">
        <f>HYPERLINK("http://hondaonregent.ca","hondaonregent.ca")</f>
        <v>hondaonregent.ca</v>
      </c>
      <c r="C33983" t="s">
        <v>428</v>
      </c>
      <c r="D33983" t="s">
        <v>809</v>
      </c>
      <c r="F33983">
        <v>5.6355371629121401E-9</v>
      </c>
      <c r="G33983">
        <v>19525785</v>
      </c>
      <c r="H33983">
        <v>12156950</v>
      </c>
      <c r="I33983">
        <v>24445655</v>
      </c>
      <c r="J33983">
        <v>9</v>
      </c>
    </row>
    <row r="33984" spans="1:10" x14ac:dyDescent="0.25">
      <c r="A33984" t="s">
        <v>381</v>
      </c>
      <c r="B33984" s="1" t="str">
        <f>HYPERLINK("http://lexus.ca","lexus.ca")</f>
        <v>lexus.ca</v>
      </c>
      <c r="C33984" t="s">
        <v>428</v>
      </c>
      <c r="D33984" t="s">
        <v>809</v>
      </c>
      <c r="E33984">
        <v>324627</v>
      </c>
      <c r="F33984">
        <v>1.00035816376379E-7</v>
      </c>
      <c r="G33984">
        <v>402224</v>
      </c>
      <c r="H33984">
        <v>14940236</v>
      </c>
      <c r="I33984">
        <v>443902</v>
      </c>
      <c r="J33984">
        <v>5</v>
      </c>
    </row>
    <row r="33985" spans="1:10" x14ac:dyDescent="0.25">
      <c r="A33985" t="s">
        <v>381</v>
      </c>
      <c r="B33985" s="1" t="str">
        <f>HYPERLINK("http://lexusofedmonton.ca","lexusofedmonton.ca")</f>
        <v>lexusofedmonton.ca</v>
      </c>
      <c r="C33985" t="s">
        <v>428</v>
      </c>
      <c r="D33985" t="s">
        <v>809</v>
      </c>
      <c r="F33985">
        <v>8.5290642440722298E-9</v>
      </c>
      <c r="G33985">
        <v>8789181</v>
      </c>
      <c r="H33985">
        <v>12298016</v>
      </c>
      <c r="I33985">
        <v>20886807</v>
      </c>
      <c r="J33985">
        <v>7</v>
      </c>
    </row>
    <row r="33986" spans="1:10" x14ac:dyDescent="0.25">
      <c r="A33986" t="s">
        <v>381</v>
      </c>
      <c r="B33986" s="1" t="str">
        <f>HYPERLINK("http://lexusofoakville.ca","lexusofoakville.ca")</f>
        <v>lexusofoakville.ca</v>
      </c>
      <c r="C33986" t="s">
        <v>428</v>
      </c>
      <c r="D33986" t="s">
        <v>809</v>
      </c>
      <c r="F33986">
        <v>7.16187260425672E-9</v>
      </c>
      <c r="G33986">
        <v>11844780</v>
      </c>
      <c r="H33986">
        <v>12455190</v>
      </c>
      <c r="I33986">
        <v>17931662</v>
      </c>
      <c r="J33986">
        <v>7</v>
      </c>
    </row>
    <row r="33987" spans="1:10" x14ac:dyDescent="0.25">
      <c r="A33987" t="s">
        <v>381</v>
      </c>
      <c r="B33987" s="1" t="str">
        <f>HYPERLINK("http://liftcapital.ca","liftcapital.ca")</f>
        <v>liftcapital.ca</v>
      </c>
      <c r="C33987" t="s">
        <v>428</v>
      </c>
      <c r="D33987" t="s">
        <v>809</v>
      </c>
      <c r="J33987">
        <v>12</v>
      </c>
    </row>
    <row r="33988" spans="1:10" x14ac:dyDescent="0.25">
      <c r="A33988" t="s">
        <v>381</v>
      </c>
      <c r="B33988" s="1" t="str">
        <f>HYPERLINK("http://myersbarrhaventoyota.ca","myersbarrhaventoyota.ca")</f>
        <v>myersbarrhaventoyota.ca</v>
      </c>
      <c r="C33988" t="s">
        <v>428</v>
      </c>
      <c r="D33988" t="s">
        <v>809</v>
      </c>
      <c r="F33988">
        <v>6.4849989116214603E-9</v>
      </c>
      <c r="G33988">
        <v>14140815</v>
      </c>
      <c r="H33988">
        <v>12289047</v>
      </c>
      <c r="I33988">
        <v>21134269</v>
      </c>
      <c r="J33988">
        <v>3</v>
      </c>
    </row>
    <row r="33989" spans="1:10" x14ac:dyDescent="0.25">
      <c r="A33989" t="s">
        <v>381</v>
      </c>
      <c r="B33989" s="1" t="str">
        <f>HYPERLINK("http://noraltoyota.ca","noraltoyota.ca")</f>
        <v>noraltoyota.ca</v>
      </c>
      <c r="C33989" t="s">
        <v>428</v>
      </c>
      <c r="D33989" t="s">
        <v>809</v>
      </c>
      <c r="F33989">
        <v>1.6661022585896101E-8</v>
      </c>
      <c r="G33989">
        <v>3368920</v>
      </c>
      <c r="H33989">
        <v>13213357</v>
      </c>
      <c r="I33989">
        <v>11391365</v>
      </c>
      <c r="J33989">
        <v>3</v>
      </c>
    </row>
    <row r="33990" spans="1:10" x14ac:dyDescent="0.25">
      <c r="A33990" t="s">
        <v>381</v>
      </c>
      <c r="B33990" s="1" t="str">
        <f>HYPERLINK("http://northwesttoyota.ca","northwesttoyota.ca")</f>
        <v>northwesttoyota.ca</v>
      </c>
      <c r="C33990" t="s">
        <v>428</v>
      </c>
      <c r="D33990" t="s">
        <v>809</v>
      </c>
      <c r="F33990">
        <v>5.2250523374526898E-9</v>
      </c>
      <c r="G33990">
        <v>24661163</v>
      </c>
      <c r="H33990">
        <v>12222445</v>
      </c>
      <c r="I33990">
        <v>22731174</v>
      </c>
      <c r="J33990">
        <v>3</v>
      </c>
    </row>
    <row r="33991" spans="1:10" x14ac:dyDescent="0.25">
      <c r="A33991" t="s">
        <v>381</v>
      </c>
      <c r="B33991" s="1" t="str">
        <f>HYPERLINK("http://scarboroughtoyota.ca","scarboroughtoyota.ca")</f>
        <v>scarboroughtoyota.ca</v>
      </c>
      <c r="C33991" t="s">
        <v>428</v>
      </c>
      <c r="D33991" t="s">
        <v>809</v>
      </c>
      <c r="F33991">
        <v>8.3775373522260898E-9</v>
      </c>
      <c r="G33991">
        <v>9089432</v>
      </c>
      <c r="H33991">
        <v>12262938</v>
      </c>
      <c r="I33991">
        <v>21683807</v>
      </c>
      <c r="J33991">
        <v>3</v>
      </c>
    </row>
    <row r="33992" spans="1:10" x14ac:dyDescent="0.25">
      <c r="A33992" t="s">
        <v>381</v>
      </c>
      <c r="B33992" s="1" t="str">
        <f>HYPERLINK("http://stouffvilletoyotascion.ca","stouffvilletoyotascion.ca")</f>
        <v>stouffvilletoyotascion.ca</v>
      </c>
      <c r="C33992" t="s">
        <v>428</v>
      </c>
      <c r="D33992" t="s">
        <v>809</v>
      </c>
      <c r="F33992">
        <v>4.4567521281822902E-9</v>
      </c>
      <c r="G33992">
        <v>68827086</v>
      </c>
      <c r="H33992">
        <v>8576753</v>
      </c>
      <c r="I33992">
        <v>71014700</v>
      </c>
      <c r="J33992">
        <v>3</v>
      </c>
    </row>
    <row r="33993" spans="1:10" x14ac:dyDescent="0.25">
      <c r="A33993" t="s">
        <v>381</v>
      </c>
      <c r="B33993" s="1" t="str">
        <f>HYPERLINK("http://tmmc.ca","tmmc.ca")</f>
        <v>tmmc.ca</v>
      </c>
      <c r="C33993" t="s">
        <v>428</v>
      </c>
      <c r="D33993" t="s">
        <v>809</v>
      </c>
      <c r="E33993">
        <v>990545</v>
      </c>
      <c r="F33993">
        <v>3.62783899746364E-8</v>
      </c>
      <c r="G33993">
        <v>1437903</v>
      </c>
      <c r="H33993">
        <v>14436533</v>
      </c>
      <c r="I33993">
        <v>1068085</v>
      </c>
      <c r="J33993">
        <v>3</v>
      </c>
    </row>
    <row r="33994" spans="1:10" x14ac:dyDescent="0.25">
      <c r="A33994" t="s">
        <v>381</v>
      </c>
      <c r="B33994" s="1" t="str">
        <f>HYPERLINK("http://toyota.ca","toyota.ca")</f>
        <v>toyota.ca</v>
      </c>
      <c r="C33994" t="s">
        <v>428</v>
      </c>
      <c r="D33994" t="s">
        <v>809</v>
      </c>
      <c r="E33994">
        <v>74845</v>
      </c>
      <c r="F33994">
        <v>3.5982045999614502E-7</v>
      </c>
      <c r="G33994">
        <v>103912</v>
      </c>
      <c r="H33994">
        <v>17352548</v>
      </c>
      <c r="I33994">
        <v>22861</v>
      </c>
      <c r="J33994">
        <v>3</v>
      </c>
    </row>
    <row r="33995" spans="1:10" x14ac:dyDescent="0.25">
      <c r="A33995" t="s">
        <v>381</v>
      </c>
      <c r="B33995" s="1" t="str">
        <f>HYPERLINK("http://toyotaforklift.ca","toyotaforklift.ca")</f>
        <v>toyotaforklift.ca</v>
      </c>
      <c r="C33995" t="s">
        <v>428</v>
      </c>
      <c r="D33995" t="s">
        <v>809</v>
      </c>
      <c r="F33995">
        <v>1.07345071403022E-8</v>
      </c>
      <c r="G33995">
        <v>6072201</v>
      </c>
      <c r="H33995">
        <v>12230177</v>
      </c>
      <c r="I33995">
        <v>22498445</v>
      </c>
      <c r="J33995">
        <v>16</v>
      </c>
    </row>
    <row r="33996" spans="1:10" x14ac:dyDescent="0.25">
      <c r="A33996" t="s">
        <v>381</v>
      </c>
      <c r="B33996" s="1" t="str">
        <f>HYPERLINK("http://toyotavictoriaville.ca","toyotavictoriaville.ca")</f>
        <v>toyotavictoriaville.ca</v>
      </c>
      <c r="C33996" t="s">
        <v>428</v>
      </c>
      <c r="D33996" t="s">
        <v>809</v>
      </c>
      <c r="F33996">
        <v>6.7134491838615701E-9</v>
      </c>
      <c r="G33996">
        <v>13256182</v>
      </c>
      <c r="H33996">
        <v>12174721</v>
      </c>
      <c r="I33996">
        <v>23940427</v>
      </c>
      <c r="J33996">
        <v>3</v>
      </c>
    </row>
    <row r="33997" spans="1:10" x14ac:dyDescent="0.25">
      <c r="A33997" t="s">
        <v>381</v>
      </c>
      <c r="B33997" s="1" t="str">
        <f>HYPERLINK("http://trtoyota.ca","trtoyota.ca")</f>
        <v>trtoyota.ca</v>
      </c>
      <c r="C33997" t="s">
        <v>428</v>
      </c>
      <c r="D33997" t="s">
        <v>809</v>
      </c>
      <c r="F33997">
        <v>6.4410495135485704E-9</v>
      </c>
      <c r="G33997">
        <v>14333305</v>
      </c>
      <c r="H33997">
        <v>12176921</v>
      </c>
      <c r="I33997">
        <v>23886238</v>
      </c>
      <c r="J33997">
        <v>3</v>
      </c>
    </row>
    <row r="33998" spans="1:10" x14ac:dyDescent="0.25">
      <c r="A33998" t="s">
        <v>381</v>
      </c>
      <c r="B33998" s="1" t="str">
        <f>HYPERLINK("http://winnipegmini.ca","winnipegmini.ca")</f>
        <v>winnipegmini.ca</v>
      </c>
      <c r="C33998" t="s">
        <v>428</v>
      </c>
      <c r="D33998" t="s">
        <v>809</v>
      </c>
      <c r="F33998">
        <v>5.1857703213677301E-9</v>
      </c>
      <c r="G33998">
        <v>25417579</v>
      </c>
      <c r="H33998">
        <v>12069202</v>
      </c>
      <c r="I33998">
        <v>26808150</v>
      </c>
      <c r="J33998">
        <v>9</v>
      </c>
    </row>
    <row r="33999" spans="1:10" x14ac:dyDescent="0.25">
      <c r="A33999" t="s">
        <v>381</v>
      </c>
      <c r="B33999" s="1" t="str">
        <f>HYPERLINK("http://garage-frey.ch","garage-frey.ch")</f>
        <v>garage-frey.ch</v>
      </c>
      <c r="C33999" t="s">
        <v>429</v>
      </c>
      <c r="D33999" t="s">
        <v>810</v>
      </c>
      <c r="F33999">
        <v>5.9332101222677303E-9</v>
      </c>
      <c r="G33999">
        <v>17131073</v>
      </c>
      <c r="H33999">
        <v>12106046</v>
      </c>
      <c r="I33999">
        <v>25823728</v>
      </c>
      <c r="J33999">
        <v>3</v>
      </c>
    </row>
    <row r="34000" spans="1:10" x14ac:dyDescent="0.25">
      <c r="A34000" t="s">
        <v>381</v>
      </c>
      <c r="B34000" s="1" t="str">
        <f>HYPERLINK("http://garageoertig.ch","garageoertig.ch")</f>
        <v>garageoertig.ch</v>
      </c>
      <c r="C34000" t="s">
        <v>429</v>
      </c>
      <c r="D34000" t="s">
        <v>810</v>
      </c>
      <c r="F34000">
        <v>4.4954469622515003E-9</v>
      </c>
      <c r="G34000">
        <v>59633234</v>
      </c>
      <c r="H34000">
        <v>10235796</v>
      </c>
      <c r="I34000">
        <v>58853602</v>
      </c>
      <c r="J34000">
        <v>3</v>
      </c>
    </row>
    <row r="34001" spans="1:10" x14ac:dyDescent="0.25">
      <c r="A34001" t="s">
        <v>381</v>
      </c>
      <c r="B34001" s="1" t="str">
        <f>HYPERLINK("http://gruetli-garage.ch","gruetli-garage.ch")</f>
        <v>gruetli-garage.ch</v>
      </c>
      <c r="C34001" t="s">
        <v>429</v>
      </c>
      <c r="D34001" t="s">
        <v>810</v>
      </c>
      <c r="F34001">
        <v>4.47116217274754E-9</v>
      </c>
      <c r="G34001">
        <v>64290354</v>
      </c>
      <c r="H34001">
        <v>9420876</v>
      </c>
      <c r="I34001">
        <v>66957063</v>
      </c>
      <c r="J34001">
        <v>3</v>
      </c>
    </row>
    <row r="34002" spans="1:10" x14ac:dyDescent="0.25">
      <c r="A34002" t="s">
        <v>381</v>
      </c>
      <c r="B34002" s="1" t="str">
        <f>HYPERLINK("http://lexus.ch","lexus.ch")</f>
        <v>lexus.ch</v>
      </c>
      <c r="C34002" t="s">
        <v>429</v>
      </c>
      <c r="D34002" t="s">
        <v>810</v>
      </c>
      <c r="F34002">
        <v>6.7481184333891494E-8</v>
      </c>
      <c r="G34002">
        <v>633143</v>
      </c>
      <c r="H34002">
        <v>13765794</v>
      </c>
      <c r="I34002">
        <v>7063689</v>
      </c>
      <c r="J34002">
        <v>4</v>
      </c>
    </row>
    <row r="34003" spans="1:10" x14ac:dyDescent="0.25">
      <c r="A34003" t="s">
        <v>381</v>
      </c>
      <c r="B34003" s="1" t="str">
        <f>HYPERLINK("http://riga.ch","riga.ch")</f>
        <v>riga.ch</v>
      </c>
      <c r="C34003" t="s">
        <v>429</v>
      </c>
      <c r="D34003" t="s">
        <v>810</v>
      </c>
      <c r="F34003">
        <v>9.1153364949809102E-9</v>
      </c>
      <c r="G34003">
        <v>7825747</v>
      </c>
      <c r="H34003">
        <v>11158634</v>
      </c>
      <c r="I34003">
        <v>31642082</v>
      </c>
      <c r="J34003">
        <v>3</v>
      </c>
    </row>
    <row r="34004" spans="1:10" x14ac:dyDescent="0.25">
      <c r="A34004" t="s">
        <v>381</v>
      </c>
      <c r="B34004" s="1" t="str">
        <f>HYPERLINK("http://toyota.ch","toyota.ch")</f>
        <v>toyota.ch</v>
      </c>
      <c r="C34004" t="s">
        <v>429</v>
      </c>
      <c r="D34004" t="s">
        <v>810</v>
      </c>
      <c r="E34004">
        <v>672134</v>
      </c>
      <c r="F34004">
        <v>1.8829158796555701E-7</v>
      </c>
      <c r="G34004">
        <v>204638</v>
      </c>
      <c r="H34004">
        <v>14323857</v>
      </c>
      <c r="I34004">
        <v>1328697</v>
      </c>
      <c r="J34004">
        <v>3</v>
      </c>
    </row>
    <row r="34005" spans="1:10" x14ac:dyDescent="0.25">
      <c r="A34005" t="s">
        <v>381</v>
      </c>
      <c r="B34005" s="1" t="str">
        <f>HYPERLINK("http://toyota-forklifts.ch","toyota-forklifts.ch")</f>
        <v>toyota-forklifts.ch</v>
      </c>
      <c r="C34005" t="s">
        <v>429</v>
      </c>
      <c r="D34005" t="s">
        <v>810</v>
      </c>
      <c r="F34005">
        <v>3.1764950438561702E-8</v>
      </c>
      <c r="G34005">
        <v>1625581</v>
      </c>
      <c r="H34005">
        <v>13792694</v>
      </c>
      <c r="I34005">
        <v>6327924</v>
      </c>
      <c r="J34005">
        <v>4</v>
      </c>
    </row>
    <row r="34006" spans="1:10" x14ac:dyDescent="0.25">
      <c r="A34006" t="s">
        <v>381</v>
      </c>
      <c r="B34006" s="1" t="str">
        <f>HYPERLINK("http://toyota-lutry.ch","toyota-lutry.ch")</f>
        <v>toyota-lutry.ch</v>
      </c>
      <c r="C34006" t="s">
        <v>429</v>
      </c>
      <c r="D34006" t="s">
        <v>810</v>
      </c>
      <c r="J34006">
        <v>3</v>
      </c>
    </row>
    <row r="34007" spans="1:10" x14ac:dyDescent="0.25">
      <c r="A34007" t="s">
        <v>381</v>
      </c>
      <c r="B34007" s="1" t="str">
        <f>HYPERLINK("http://ftms.com.cn","ftms.com.cn")</f>
        <v>ftms.com.cn</v>
      </c>
      <c r="C34007" t="s">
        <v>431</v>
      </c>
      <c r="D34007" t="s">
        <v>812</v>
      </c>
      <c r="E34007">
        <v>170656</v>
      </c>
      <c r="F34007">
        <v>1.8263219539666699E-7</v>
      </c>
      <c r="G34007">
        <v>211159</v>
      </c>
      <c r="H34007">
        <v>14220317</v>
      </c>
      <c r="I34007">
        <v>1686362</v>
      </c>
      <c r="J34007">
        <v>3</v>
      </c>
    </row>
    <row r="34008" spans="1:10" x14ac:dyDescent="0.25">
      <c r="A34008" t="s">
        <v>381</v>
      </c>
      <c r="B34008" s="1" t="str">
        <f>HYPERLINK("http://seiren.cn","seiren.cn")</f>
        <v>seiren.cn</v>
      </c>
      <c r="C34008" t="s">
        <v>431</v>
      </c>
      <c r="D34008" t="s">
        <v>812</v>
      </c>
      <c r="F34008">
        <v>5.02330386172136E-9</v>
      </c>
      <c r="G34008">
        <v>28823141</v>
      </c>
      <c r="H34008">
        <v>10391717</v>
      </c>
      <c r="I34008">
        <v>54378519</v>
      </c>
      <c r="J34008">
        <v>4</v>
      </c>
    </row>
    <row r="34009" spans="1:10" x14ac:dyDescent="0.25">
      <c r="A34009" t="s">
        <v>381</v>
      </c>
      <c r="B34009" s="1" t="str">
        <f>HYPERLINK("http://uster.cn","uster.cn")</f>
        <v>uster.cn</v>
      </c>
      <c r="C34009" t="s">
        <v>431</v>
      </c>
      <c r="D34009" t="s">
        <v>812</v>
      </c>
      <c r="F34009">
        <v>5.0137408246689399E-9</v>
      </c>
      <c r="G34009">
        <v>29048557</v>
      </c>
      <c r="H34009">
        <v>11949126</v>
      </c>
      <c r="I34009">
        <v>29149058</v>
      </c>
      <c r="J34009">
        <v>13</v>
      </c>
    </row>
    <row r="34010" spans="1:10" x14ac:dyDescent="0.25">
      <c r="A34010" t="s">
        <v>381</v>
      </c>
      <c r="B34010" s="1" t="str">
        <f>HYPERLINK("http://a1toyota.com","a1toyota.com")</f>
        <v>a1toyota.com</v>
      </c>
      <c r="C34010" t="s">
        <v>433</v>
      </c>
      <c r="F34010">
        <v>1.01671166001826E-8</v>
      </c>
      <c r="G34010">
        <v>6579255</v>
      </c>
      <c r="H34010">
        <v>12991145</v>
      </c>
      <c r="I34010">
        <v>12849938</v>
      </c>
      <c r="J34010">
        <v>3</v>
      </c>
    </row>
    <row r="34011" spans="1:10" x14ac:dyDescent="0.25">
      <c r="A34011" t="s">
        <v>381</v>
      </c>
      <c r="B34011" s="1" t="str">
        <f>HYPERLINK("http://adrieltoyota.com","adrieltoyota.com")</f>
        <v>adrieltoyota.com</v>
      </c>
      <c r="C34011" t="s">
        <v>433</v>
      </c>
      <c r="F34011">
        <v>4.4438121425626699E-9</v>
      </c>
      <c r="G34011">
        <v>79555524</v>
      </c>
      <c r="H34011">
        <v>10344021</v>
      </c>
      <c r="I34011">
        <v>57406192</v>
      </c>
      <c r="J34011">
        <v>3</v>
      </c>
    </row>
    <row r="34012" spans="1:10" x14ac:dyDescent="0.25">
      <c r="A34012" t="s">
        <v>381</v>
      </c>
      <c r="B34012" s="1" t="str">
        <f>HYPERLINK("http://alamotoyota.com","alamotoyota.com")</f>
        <v>alamotoyota.com</v>
      </c>
      <c r="C34012" t="s">
        <v>433</v>
      </c>
      <c r="F34012">
        <v>1.0734870198439701E-8</v>
      </c>
      <c r="G34012">
        <v>6071912</v>
      </c>
      <c r="H34012">
        <v>13882772</v>
      </c>
      <c r="I34012">
        <v>5975629</v>
      </c>
      <c r="J34012">
        <v>3</v>
      </c>
    </row>
    <row r="34013" spans="1:10" x14ac:dyDescent="0.25">
      <c r="A34013" t="s">
        <v>381</v>
      </c>
      <c r="B34013" s="1" t="str">
        <f>HYPERLINK("http://alanjaytoyota.com","alanjaytoyota.com")</f>
        <v>alanjaytoyota.com</v>
      </c>
      <c r="C34013" t="s">
        <v>433</v>
      </c>
      <c r="F34013">
        <v>4.6580773093241603E-9</v>
      </c>
      <c r="G34013">
        <v>43623029</v>
      </c>
      <c r="H34013">
        <v>11471718</v>
      </c>
      <c r="I34013">
        <v>30079846</v>
      </c>
      <c r="J34013">
        <v>3</v>
      </c>
    </row>
    <row r="34014" spans="1:10" x14ac:dyDescent="0.25">
      <c r="A34014" t="s">
        <v>381</v>
      </c>
      <c r="B34014" s="1" t="str">
        <f>HYPERLINK("http://alixtoyota.com","alixtoyota.com")</f>
        <v>alixtoyota.com</v>
      </c>
      <c r="C34014" t="s">
        <v>433</v>
      </c>
      <c r="F34014">
        <v>5.7334680674408801E-9</v>
      </c>
      <c r="G34014">
        <v>18635175</v>
      </c>
      <c r="H34014">
        <v>12199102</v>
      </c>
      <c r="I34014">
        <v>23339565</v>
      </c>
      <c r="J34014">
        <v>3</v>
      </c>
    </row>
    <row r="34015" spans="1:10" x14ac:dyDescent="0.25">
      <c r="A34015" t="s">
        <v>381</v>
      </c>
      <c r="B34015" s="1" t="str">
        <f>HYPERLINK("http://americantoyota.com","americantoyota.com")</f>
        <v>americantoyota.com</v>
      </c>
      <c r="C34015" t="s">
        <v>433</v>
      </c>
      <c r="F34015">
        <v>1.9126188524097599E-8</v>
      </c>
      <c r="G34015">
        <v>2811373</v>
      </c>
      <c r="H34015">
        <v>13163730</v>
      </c>
      <c r="I34015">
        <v>11752666</v>
      </c>
      <c r="J34015">
        <v>3</v>
      </c>
    </row>
    <row r="34016" spans="1:10" x14ac:dyDescent="0.25">
      <c r="A34016" t="s">
        <v>381</v>
      </c>
      <c r="B34016" s="1" t="str">
        <f>HYPERLINK("http://andersontoyota.com","andersontoyota.com")</f>
        <v>andersontoyota.com</v>
      </c>
      <c r="C34016" t="s">
        <v>433</v>
      </c>
      <c r="F34016">
        <v>8.9180815085111495E-9</v>
      </c>
      <c r="G34016">
        <v>8116438</v>
      </c>
      <c r="H34016">
        <v>12484136</v>
      </c>
      <c r="I34016">
        <v>17559875</v>
      </c>
      <c r="J34016">
        <v>3</v>
      </c>
    </row>
    <row r="34017" spans="1:10" x14ac:dyDescent="0.25">
      <c r="A34017" t="s">
        <v>381</v>
      </c>
      <c r="B34017" s="1" t="str">
        <f>HYPERLINK("http://antwerpentoyota.com","antwerpentoyota.com")</f>
        <v>antwerpentoyota.com</v>
      </c>
      <c r="C34017" t="s">
        <v>433</v>
      </c>
      <c r="F34017">
        <v>1.37691436000686E-8</v>
      </c>
      <c r="G34017">
        <v>4293672</v>
      </c>
      <c r="H34017">
        <v>13187803</v>
      </c>
      <c r="I34017">
        <v>11610727</v>
      </c>
      <c r="J34017">
        <v>3</v>
      </c>
    </row>
    <row r="34018" spans="1:10" x14ac:dyDescent="0.25">
      <c r="A34018" t="s">
        <v>381</v>
      </c>
      <c r="B34018" s="1" t="str">
        <f>HYPERLINK("http://aruncauto.com","aruncauto.com")</f>
        <v>aruncauto.com</v>
      </c>
      <c r="C34018" t="s">
        <v>433</v>
      </c>
      <c r="F34018">
        <v>4.5005124212439603E-9</v>
      </c>
      <c r="G34018">
        <v>58869820</v>
      </c>
      <c r="H34018">
        <v>9503812</v>
      </c>
      <c r="I34018">
        <v>65675876</v>
      </c>
      <c r="J34018">
        <v>3</v>
      </c>
    </row>
    <row r="34019" spans="1:10" x14ac:dyDescent="0.25">
      <c r="A34019" t="s">
        <v>381</v>
      </c>
      <c r="B34019" s="1" t="str">
        <f>HYPERLINK("http://auto-koch.com","auto-koch.com")</f>
        <v>auto-koch.com</v>
      </c>
      <c r="C34019" t="s">
        <v>433</v>
      </c>
      <c r="F34019">
        <v>7.6695047355780402E-9</v>
      </c>
      <c r="G34019">
        <v>10644683</v>
      </c>
      <c r="H34019">
        <v>12028352</v>
      </c>
      <c r="I34019">
        <v>27692566</v>
      </c>
      <c r="J34019">
        <v>3</v>
      </c>
    </row>
    <row r="34020" spans="1:10" x14ac:dyDescent="0.25">
      <c r="A34020" t="s">
        <v>381</v>
      </c>
      <c r="B34020" s="1" t="str">
        <f>HYPERLINK("http://autobacher.com","autobacher.com")</f>
        <v>autobacher.com</v>
      </c>
      <c r="C34020" t="s">
        <v>433</v>
      </c>
      <c r="F34020">
        <v>5.5862616702738802E-9</v>
      </c>
      <c r="G34020">
        <v>19992799</v>
      </c>
      <c r="H34020">
        <v>11169366</v>
      </c>
      <c r="I34020">
        <v>31544872</v>
      </c>
      <c r="J34020">
        <v>3</v>
      </c>
    </row>
    <row r="34021" spans="1:10" x14ac:dyDescent="0.25">
      <c r="A34021" t="s">
        <v>381</v>
      </c>
      <c r="B34021" s="1" t="str">
        <f>HYPERLINK("http://autohaus-meindl.com","autohaus-meindl.com")</f>
        <v>autohaus-meindl.com</v>
      </c>
      <c r="C34021" t="s">
        <v>433</v>
      </c>
      <c r="F34021">
        <v>1.0080863016937E-8</v>
      </c>
      <c r="G34021">
        <v>6669376</v>
      </c>
      <c r="H34021">
        <v>10843331</v>
      </c>
      <c r="I34021">
        <v>37028696</v>
      </c>
      <c r="J34021">
        <v>3</v>
      </c>
    </row>
    <row r="34022" spans="1:10" x14ac:dyDescent="0.25">
      <c r="A34022" t="s">
        <v>381</v>
      </c>
      <c r="B34022" s="1" t="str">
        <f>HYPERLINK("http://baysidetoyota.com","baysidetoyota.com")</f>
        <v>baysidetoyota.com</v>
      </c>
      <c r="C34022" t="s">
        <v>433</v>
      </c>
      <c r="F34022">
        <v>1.04276075808557E-8</v>
      </c>
      <c r="G34022">
        <v>6333705</v>
      </c>
      <c r="H34022">
        <v>12542035</v>
      </c>
      <c r="I34022">
        <v>16911770</v>
      </c>
      <c r="J34022">
        <v>3</v>
      </c>
    </row>
    <row r="34023" spans="1:10" x14ac:dyDescent="0.25">
      <c r="A34023" t="s">
        <v>381</v>
      </c>
      <c r="B34023" s="1" t="str">
        <f>HYPERLINK("http://baywesttoyota.com","baywesttoyota.com")</f>
        <v>baywesttoyota.com</v>
      </c>
      <c r="C34023" t="s">
        <v>433</v>
      </c>
      <c r="F34023">
        <v>5.6790830157382302E-9</v>
      </c>
      <c r="G34023">
        <v>19137975</v>
      </c>
      <c r="H34023">
        <v>12186061</v>
      </c>
      <c r="I34023">
        <v>23672828</v>
      </c>
      <c r="J34023">
        <v>3</v>
      </c>
    </row>
    <row r="34024" spans="1:10" x14ac:dyDescent="0.25">
      <c r="A34024" t="s">
        <v>381</v>
      </c>
      <c r="B34024" s="1" t="str">
        <f>HYPERLINK("http://belairlexustoyota.com","belairlexustoyota.com")</f>
        <v>belairlexustoyota.com</v>
      </c>
      <c r="C34024" t="s">
        <v>433</v>
      </c>
      <c r="F34024">
        <v>4.8026827626111003E-9</v>
      </c>
      <c r="G34024">
        <v>35984211</v>
      </c>
      <c r="H34024">
        <v>12098519</v>
      </c>
      <c r="I34024">
        <v>26007783</v>
      </c>
      <c r="J34024">
        <v>3</v>
      </c>
    </row>
    <row r="34025" spans="1:10" x14ac:dyDescent="0.25">
      <c r="A34025" t="s">
        <v>381</v>
      </c>
      <c r="B34025" s="1" t="str">
        <f>HYPERLINK("http://berlincitytoyotanh.com","berlincitytoyotanh.com")</f>
        <v>berlincitytoyotanh.com</v>
      </c>
      <c r="C34025" t="s">
        <v>433</v>
      </c>
      <c r="F34025">
        <v>7.94880079775012E-9</v>
      </c>
      <c r="G34025">
        <v>10015970</v>
      </c>
      <c r="H34025">
        <v>12573717</v>
      </c>
      <c r="I34025">
        <v>16592806</v>
      </c>
      <c r="J34025">
        <v>3</v>
      </c>
    </row>
    <row r="34026" spans="1:10" x14ac:dyDescent="0.25">
      <c r="A34026" t="s">
        <v>381</v>
      </c>
      <c r="B34026" s="1" t="str">
        <f>HYPERLINK("http://bilia.com","bilia.com")</f>
        <v>bilia.com</v>
      </c>
      <c r="C34026" t="s">
        <v>433</v>
      </c>
      <c r="F34026">
        <v>2.2508279850715699E-8</v>
      </c>
      <c r="G34026">
        <v>2327554</v>
      </c>
      <c r="H34026">
        <v>13576860</v>
      </c>
      <c r="I34026">
        <v>9698866</v>
      </c>
      <c r="J34026">
        <v>4</v>
      </c>
    </row>
    <row r="34027" spans="1:10" x14ac:dyDescent="0.25">
      <c r="A34027" t="s">
        <v>381</v>
      </c>
      <c r="B34027" s="1" t="str">
        <f>HYPERLINK("http://billdube.com","billdube.com")</f>
        <v>billdube.com</v>
      </c>
      <c r="C34027" t="s">
        <v>433</v>
      </c>
      <c r="F34027">
        <v>7.3542238464848003E-9</v>
      </c>
      <c r="G34027">
        <v>11351220</v>
      </c>
      <c r="H34027">
        <v>13021516</v>
      </c>
      <c r="I34027">
        <v>12706812</v>
      </c>
      <c r="J34027">
        <v>5</v>
      </c>
    </row>
    <row r="34028" spans="1:10" x14ac:dyDescent="0.25">
      <c r="A34028" t="s">
        <v>381</v>
      </c>
      <c r="B34028" s="1" t="str">
        <f>HYPERLINK("http://billdubetoyota.com","billdubetoyota.com")</f>
        <v>billdubetoyota.com</v>
      </c>
      <c r="C34028" t="s">
        <v>433</v>
      </c>
      <c r="F34028">
        <v>6.7295636950792998E-9</v>
      </c>
      <c r="G34028">
        <v>13198643</v>
      </c>
      <c r="H34028">
        <v>12455175</v>
      </c>
      <c r="I34028">
        <v>17931824</v>
      </c>
      <c r="J34028">
        <v>3</v>
      </c>
    </row>
    <row r="34029" spans="1:10" x14ac:dyDescent="0.25">
      <c r="A34029" t="s">
        <v>381</v>
      </c>
      <c r="B34029" s="1" t="str">
        <f>HYPERLINK("http://birchwoodcredit.com","birchwoodcredit.com")</f>
        <v>birchwoodcredit.com</v>
      </c>
      <c r="C34029" t="s">
        <v>433</v>
      </c>
      <c r="F34029">
        <v>2.6615704160030001E-8</v>
      </c>
      <c r="G34029">
        <v>1934103</v>
      </c>
      <c r="H34029">
        <v>13331971</v>
      </c>
      <c r="I34029">
        <v>10715350</v>
      </c>
      <c r="J34029">
        <v>9</v>
      </c>
    </row>
    <row r="34030" spans="1:10" x14ac:dyDescent="0.25">
      <c r="A34030" t="s">
        <v>381</v>
      </c>
      <c r="B34030" s="1" t="str">
        <f>HYPERLINK("http://birchwoodhyundai.com","birchwoodhyundai.com")</f>
        <v>birchwoodhyundai.com</v>
      </c>
      <c r="C34030" t="s">
        <v>433</v>
      </c>
      <c r="F34030">
        <v>5.8620948487159604E-9</v>
      </c>
      <c r="G34030">
        <v>17623370</v>
      </c>
      <c r="H34030">
        <v>12249744</v>
      </c>
      <c r="I34030">
        <v>22019785</v>
      </c>
      <c r="J34030">
        <v>9</v>
      </c>
    </row>
    <row r="34031" spans="1:10" x14ac:dyDescent="0.25">
      <c r="A34031" t="s">
        <v>381</v>
      </c>
      <c r="B34031" s="1" t="str">
        <f>HYPERLINK("http://bobtylertoyota.com","bobtylertoyota.com")</f>
        <v>bobtylertoyota.com</v>
      </c>
      <c r="C34031" t="s">
        <v>433</v>
      </c>
      <c r="F34031">
        <v>8.9214095496425802E-9</v>
      </c>
      <c r="G34031">
        <v>8111387</v>
      </c>
      <c r="H34031">
        <v>12973932</v>
      </c>
      <c r="I34031">
        <v>13023257</v>
      </c>
      <c r="J34031">
        <v>3</v>
      </c>
    </row>
    <row r="34032" spans="1:10" x14ac:dyDescent="0.25">
      <c r="A34032" t="s">
        <v>381</v>
      </c>
      <c r="B34032" s="1" t="str">
        <f>HYPERLINK("http://boulevardtoyota.com","boulevardtoyota.com")</f>
        <v>boulevardtoyota.com</v>
      </c>
      <c r="C34032" t="s">
        <v>433</v>
      </c>
      <c r="F34032">
        <v>8.3328274731666701E-9</v>
      </c>
      <c r="G34032">
        <v>9183043</v>
      </c>
      <c r="H34032">
        <v>12264445</v>
      </c>
      <c r="I34032">
        <v>21648570</v>
      </c>
      <c r="J34032">
        <v>3</v>
      </c>
    </row>
    <row r="34033" spans="1:10" x14ac:dyDescent="0.25">
      <c r="A34033" t="s">
        <v>381</v>
      </c>
      <c r="B34033" s="1" t="str">
        <f>HYPERLINK("http://brimelltoyota.com","brimelltoyota.com")</f>
        <v>brimelltoyota.com</v>
      </c>
      <c r="C34033" t="s">
        <v>433</v>
      </c>
      <c r="F34033">
        <v>5.4894004062430504E-9</v>
      </c>
      <c r="G34033">
        <v>21020827</v>
      </c>
      <c r="H34033">
        <v>12707992</v>
      </c>
      <c r="I34033">
        <v>15314258</v>
      </c>
      <c r="J34033">
        <v>3</v>
      </c>
    </row>
    <row r="34034" spans="1:10" x14ac:dyDescent="0.25">
      <c r="A34034" t="s">
        <v>381</v>
      </c>
      <c r="B34034" s="1" t="str">
        <f>HYPERLINK("http://brunswickautomarttoyota.com","brunswickautomarttoyota.com")</f>
        <v>brunswickautomarttoyota.com</v>
      </c>
      <c r="C34034" t="s">
        <v>433</v>
      </c>
      <c r="F34034">
        <v>1.06581999043094E-8</v>
      </c>
      <c r="G34034">
        <v>6134648</v>
      </c>
      <c r="H34034">
        <v>12690939</v>
      </c>
      <c r="I34034">
        <v>15413977</v>
      </c>
      <c r="J34034">
        <v>3</v>
      </c>
    </row>
    <row r="34035" spans="1:10" x14ac:dyDescent="0.25">
      <c r="A34035" t="s">
        <v>381</v>
      </c>
      <c r="B34035" s="1" t="str">
        <f>HYPERLINK("http://bt-forklifts.com","bt-forklifts.com")</f>
        <v>bt-forklifts.com</v>
      </c>
      <c r="C34035" t="s">
        <v>433</v>
      </c>
      <c r="F34035">
        <v>1.6959825787490599E-8</v>
      </c>
      <c r="G34035">
        <v>3292882</v>
      </c>
      <c r="H34035">
        <v>11483927</v>
      </c>
      <c r="I34035">
        <v>30059588</v>
      </c>
      <c r="J34035">
        <v>8</v>
      </c>
    </row>
    <row r="34036" spans="1:10" x14ac:dyDescent="0.25">
      <c r="A34036" t="s">
        <v>381</v>
      </c>
      <c r="B34036" s="1" t="str">
        <f>HYPERLINK("http://burdicktoyota.com","burdicktoyota.com")</f>
        <v>burdicktoyota.com</v>
      </c>
      <c r="C34036" t="s">
        <v>433</v>
      </c>
      <c r="F34036">
        <v>7.5309700914471594E-9</v>
      </c>
      <c r="G34036">
        <v>10945622</v>
      </c>
      <c r="H34036">
        <v>12504287</v>
      </c>
      <c r="I34036">
        <v>17303196</v>
      </c>
      <c r="J34036">
        <v>3</v>
      </c>
    </row>
    <row r="34037" spans="1:10" x14ac:dyDescent="0.25">
      <c r="A34037" t="s">
        <v>381</v>
      </c>
      <c r="B34037" s="1" t="str">
        <f>HYPERLINK("http://burlingtontoyota.com","burlingtontoyota.com")</f>
        <v>burlingtontoyota.com</v>
      </c>
      <c r="C34037" t="s">
        <v>433</v>
      </c>
      <c r="F34037">
        <v>9.7703625524542694E-9</v>
      </c>
      <c r="G34037">
        <v>7000928</v>
      </c>
      <c r="H34037">
        <v>12644152</v>
      </c>
      <c r="I34037">
        <v>15840270</v>
      </c>
      <c r="J34037">
        <v>3</v>
      </c>
    </row>
    <row r="34038" spans="1:10" x14ac:dyDescent="0.25">
      <c r="A34038" t="s">
        <v>381</v>
      </c>
      <c r="B34038" s="1" t="str">
        <f>HYPERLINK("http://butlerlexus.com","butlerlexus.com")</f>
        <v>butlerlexus.com</v>
      </c>
      <c r="C34038" t="s">
        <v>433</v>
      </c>
      <c r="F34038">
        <v>5.0573663775582099E-9</v>
      </c>
      <c r="G34038">
        <v>28060783</v>
      </c>
      <c r="H34038">
        <v>12287033</v>
      </c>
      <c r="I34038">
        <v>21173859</v>
      </c>
      <c r="J34038">
        <v>7</v>
      </c>
    </row>
    <row r="34039" spans="1:10" x14ac:dyDescent="0.25">
      <c r="A34039" t="s">
        <v>381</v>
      </c>
      <c r="B34039" s="1" t="str">
        <f>HYPERLINK("http://capitoltoyota.com","capitoltoyota.com")</f>
        <v>capitoltoyota.com</v>
      </c>
      <c r="C34039" t="s">
        <v>433</v>
      </c>
      <c r="F34039">
        <v>8.8057978923819293E-9</v>
      </c>
      <c r="G34039">
        <v>8295359</v>
      </c>
      <c r="H34039">
        <v>13783449</v>
      </c>
      <c r="I34039">
        <v>6425429</v>
      </c>
      <c r="J34039">
        <v>3</v>
      </c>
    </row>
    <row r="34040" spans="1:10" x14ac:dyDescent="0.25">
      <c r="A34040" t="s">
        <v>381</v>
      </c>
      <c r="B34040" s="1" t="str">
        <f>HYPERLINK("http://carbonetoyota.com","carbonetoyota.com")</f>
        <v>carbonetoyota.com</v>
      </c>
      <c r="C34040" t="s">
        <v>433</v>
      </c>
      <c r="F34040">
        <v>5.7568730707382302E-9</v>
      </c>
      <c r="G34040">
        <v>18442068</v>
      </c>
      <c r="H34040">
        <v>12900453</v>
      </c>
      <c r="I34040">
        <v>13877490</v>
      </c>
      <c r="J34040">
        <v>3</v>
      </c>
    </row>
    <row r="34041" spans="1:10" x14ac:dyDescent="0.25">
      <c r="A34041" t="s">
        <v>381</v>
      </c>
      <c r="B34041" s="1" t="str">
        <f>HYPERLINK("http://carsoncitytoyota.com","carsoncitytoyota.com")</f>
        <v>carsoncitytoyota.com</v>
      </c>
      <c r="C34041" t="s">
        <v>433</v>
      </c>
      <c r="F34041">
        <v>1.17603812129059E-8</v>
      </c>
      <c r="G34041">
        <v>5327149</v>
      </c>
      <c r="H34041">
        <v>13845590</v>
      </c>
      <c r="I34041">
        <v>6061696</v>
      </c>
      <c r="J34041">
        <v>3</v>
      </c>
    </row>
    <row r="34042" spans="1:10" x14ac:dyDescent="0.25">
      <c r="A34042" t="s">
        <v>381</v>
      </c>
      <c r="B34042" s="1" t="str">
        <f>HYPERLINK("http://cfao.com","cfao.com")</f>
        <v>cfao.com</v>
      </c>
      <c r="C34042" t="s">
        <v>433</v>
      </c>
      <c r="F34042">
        <v>4.7081448961318898E-9</v>
      </c>
      <c r="G34042">
        <v>40832989</v>
      </c>
      <c r="H34042">
        <v>10986382</v>
      </c>
      <c r="I34042">
        <v>33815932</v>
      </c>
      <c r="J34042">
        <v>6</v>
      </c>
    </row>
    <row r="34043" spans="1:10" x14ac:dyDescent="0.25">
      <c r="A34043" t="s">
        <v>381</v>
      </c>
      <c r="B34043" s="1" t="str">
        <f>HYPERLINK("http://cfaogroup.com","cfaogroup.com")</f>
        <v>cfaogroup.com</v>
      </c>
      <c r="C34043" t="s">
        <v>433</v>
      </c>
      <c r="E34043">
        <v>890001</v>
      </c>
      <c r="F34043">
        <v>1.9678368270909999E-7</v>
      </c>
      <c r="G34043">
        <v>195961</v>
      </c>
      <c r="H34043">
        <v>14385590</v>
      </c>
      <c r="I34043">
        <v>1179412</v>
      </c>
      <c r="J34043">
        <v>4</v>
      </c>
    </row>
    <row r="34044" spans="1:10" x14ac:dyDescent="0.25">
      <c r="A34044" t="s">
        <v>381</v>
      </c>
      <c r="B34044" s="1" t="str">
        <f>HYPERLINK("http://cfaomotors-ghana.com","cfaomotors-ghana.com")</f>
        <v>cfaomotors-ghana.com</v>
      </c>
      <c r="C34044" t="s">
        <v>433</v>
      </c>
      <c r="F34044">
        <v>7.4883308054646101E-9</v>
      </c>
      <c r="G34044">
        <v>11039421</v>
      </c>
      <c r="H34044">
        <v>11185242</v>
      </c>
      <c r="I34044">
        <v>31391723</v>
      </c>
      <c r="J34044">
        <v>5</v>
      </c>
    </row>
    <row r="34045" spans="1:10" x14ac:dyDescent="0.25">
      <c r="A34045" t="s">
        <v>381</v>
      </c>
      <c r="B34045" s="1" t="str">
        <f>HYPERLINK("http://charlestoyota.com","charlestoyota.com")</f>
        <v>charlestoyota.com</v>
      </c>
      <c r="C34045" t="s">
        <v>433</v>
      </c>
      <c r="F34045">
        <v>9.9542988778359208E-9</v>
      </c>
      <c r="G34045">
        <v>6801848</v>
      </c>
      <c r="H34045">
        <v>12724979</v>
      </c>
      <c r="I34045">
        <v>15228910</v>
      </c>
      <c r="J34045">
        <v>3</v>
      </c>
    </row>
    <row r="34046" spans="1:10" x14ac:dyDescent="0.25">
      <c r="A34046" t="s">
        <v>381</v>
      </c>
      <c r="B34046" s="1" t="str">
        <f>HYPERLINK("http://chronolifting.com","chronolifting.com")</f>
        <v>chronolifting.com</v>
      </c>
      <c r="C34046" t="s">
        <v>433</v>
      </c>
      <c r="F34046">
        <v>5.2505676638595498E-9</v>
      </c>
      <c r="G34046">
        <v>24248650</v>
      </c>
      <c r="H34046">
        <v>8531052</v>
      </c>
      <c r="I34046">
        <v>71684308</v>
      </c>
      <c r="J34046">
        <v>3</v>
      </c>
    </row>
    <row r="34047" spans="1:10" x14ac:dyDescent="0.25">
      <c r="A34047" t="s">
        <v>381</v>
      </c>
      <c r="B34047" s="1" t="str">
        <f>HYPERLINK("http://cihanmotors.com","cihanmotors.com")</f>
        <v>cihanmotors.com</v>
      </c>
      <c r="C34047" t="s">
        <v>433</v>
      </c>
      <c r="F34047">
        <v>6.5104845752928801E-9</v>
      </c>
      <c r="G34047">
        <v>14035221</v>
      </c>
      <c r="H34047">
        <v>12121021</v>
      </c>
      <c r="I34047">
        <v>25380072</v>
      </c>
      <c r="J34047">
        <v>3</v>
      </c>
    </row>
    <row r="34048" spans="1:10" x14ac:dyDescent="0.25">
      <c r="A34048" t="s">
        <v>381</v>
      </c>
      <c r="B34048" s="1" t="str">
        <f>HYPERLINK("http://clementiauto.com","clementiauto.com")</f>
        <v>clementiauto.com</v>
      </c>
      <c r="C34048" t="s">
        <v>433</v>
      </c>
      <c r="F34048">
        <v>4.5935301211865501E-9</v>
      </c>
      <c r="G34048">
        <v>48127886</v>
      </c>
      <c r="H34048">
        <v>12289754</v>
      </c>
      <c r="I34048">
        <v>21118147</v>
      </c>
      <c r="J34048">
        <v>3</v>
      </c>
    </row>
    <row r="34049" spans="1:10" x14ac:dyDescent="0.25">
      <c r="A34049" t="s">
        <v>381</v>
      </c>
      <c r="B34049" s="1" t="str">
        <f>HYPERLINK("http://cmwa.com","cmwa.com")</f>
        <v>cmwa.com</v>
      </c>
      <c r="C34049" t="s">
        <v>433</v>
      </c>
      <c r="F34049">
        <v>8.1844707896164103E-9</v>
      </c>
      <c r="G34049">
        <v>9597673</v>
      </c>
      <c r="H34049">
        <v>12508719</v>
      </c>
      <c r="I34049">
        <v>17257164</v>
      </c>
      <c r="J34049">
        <v>4</v>
      </c>
    </row>
    <row r="34050" spans="1:10" x14ac:dyDescent="0.25">
      <c r="A34050" t="s">
        <v>381</v>
      </c>
      <c r="B34050" s="1" t="str">
        <f>HYPERLINK("http://confertoyota.com","confertoyota.com")</f>
        <v>confertoyota.com</v>
      </c>
      <c r="C34050" t="s">
        <v>433</v>
      </c>
      <c r="F34050">
        <v>8.6435161074994005E-9</v>
      </c>
      <c r="G34050">
        <v>8577969</v>
      </c>
      <c r="H34050">
        <v>12930523</v>
      </c>
      <c r="I34050">
        <v>13365498</v>
      </c>
      <c r="J34050">
        <v>3</v>
      </c>
    </row>
    <row r="34051" spans="1:10" x14ac:dyDescent="0.25">
      <c r="A34051" t="s">
        <v>381</v>
      </c>
      <c r="B34051" s="1" t="str">
        <f>HYPERLINK("http://crown-motors.com","crown-motors.com")</f>
        <v>crown-motors.com</v>
      </c>
      <c r="C34051" t="s">
        <v>433</v>
      </c>
      <c r="F34051">
        <v>1.8003202863655599E-8</v>
      </c>
      <c r="G34051">
        <v>3029813</v>
      </c>
      <c r="H34051">
        <v>14576146</v>
      </c>
      <c r="I34051">
        <v>722712</v>
      </c>
      <c r="J34051">
        <v>5</v>
      </c>
    </row>
    <row r="34052" spans="1:10" x14ac:dyDescent="0.25">
      <c r="A34052" t="s">
        <v>381</v>
      </c>
      <c r="B34052" s="1" t="str">
        <f>HYPERLINK("http://crystaltoyota.com","crystaltoyota.com")</f>
        <v>crystaltoyota.com</v>
      </c>
      <c r="C34052" t="s">
        <v>433</v>
      </c>
      <c r="F34052">
        <v>7.8093833176399396E-9</v>
      </c>
      <c r="G34052">
        <v>10299737</v>
      </c>
      <c r="H34052">
        <v>12547511</v>
      </c>
      <c r="I34052">
        <v>16845231</v>
      </c>
      <c r="J34052">
        <v>3</v>
      </c>
    </row>
    <row r="34053" spans="1:10" x14ac:dyDescent="0.25">
      <c r="A34053" t="s">
        <v>381</v>
      </c>
      <c r="B34053" s="1" t="str">
        <f>HYPERLINK("http://currytoyotact.com","currytoyotact.com")</f>
        <v>currytoyotact.com</v>
      </c>
      <c r="C34053" t="s">
        <v>433</v>
      </c>
      <c r="F34053">
        <v>7.0317909943401797E-9</v>
      </c>
      <c r="G34053">
        <v>12218719</v>
      </c>
      <c r="H34053">
        <v>12453196</v>
      </c>
      <c r="I34053">
        <v>17958927</v>
      </c>
      <c r="J34053">
        <v>3</v>
      </c>
    </row>
    <row r="34054" spans="1:10" x14ac:dyDescent="0.25">
      <c r="A34054" t="s">
        <v>381</v>
      </c>
      <c r="B34054" s="1" t="str">
        <f>HYPERLINK("http://daihatsu.com","daihatsu.com")</f>
        <v>daihatsu.com</v>
      </c>
      <c r="C34054" t="s">
        <v>433</v>
      </c>
      <c r="E34054">
        <v>292296</v>
      </c>
      <c r="F34054">
        <v>1.2196841005390701E-7</v>
      </c>
      <c r="G34054">
        <v>323699</v>
      </c>
      <c r="H34054">
        <v>14534114</v>
      </c>
      <c r="I34054">
        <v>782333</v>
      </c>
      <c r="J34054">
        <v>3</v>
      </c>
    </row>
    <row r="34055" spans="1:10" x14ac:dyDescent="0.25">
      <c r="A34055" t="s">
        <v>381</v>
      </c>
      <c r="B34055" s="1" t="str">
        <f>HYPERLINK("http://daytonatoyota.com","daytonatoyota.com")</f>
        <v>daytonatoyota.com</v>
      </c>
      <c r="C34055" t="s">
        <v>433</v>
      </c>
      <c r="F34055">
        <v>1.37270836419737E-8</v>
      </c>
      <c r="G34055">
        <v>4310313</v>
      </c>
      <c r="H34055">
        <v>12977911</v>
      </c>
      <c r="I34055">
        <v>13001906</v>
      </c>
      <c r="J34055">
        <v>3</v>
      </c>
    </row>
    <row r="34056" spans="1:10" x14ac:dyDescent="0.25">
      <c r="A34056" t="s">
        <v>381</v>
      </c>
      <c r="B34056" s="1" t="str">
        <f>HYPERLINK("http://dchbrunswicktoyota.com","dchbrunswicktoyota.com")</f>
        <v>dchbrunswicktoyota.com</v>
      </c>
      <c r="C34056" t="s">
        <v>433</v>
      </c>
      <c r="F34056">
        <v>1.1470156088259E-8</v>
      </c>
      <c r="G34056">
        <v>5525407</v>
      </c>
      <c r="H34056">
        <v>13062585</v>
      </c>
      <c r="I34056">
        <v>12313361</v>
      </c>
      <c r="J34056">
        <v>3</v>
      </c>
    </row>
    <row r="34057" spans="1:10" x14ac:dyDescent="0.25">
      <c r="A34057" t="s">
        <v>381</v>
      </c>
      <c r="B34057" s="1" t="str">
        <f>HYPERLINK("http://dchlexusofsantabarbara.com","dchlexusofsantabarbara.com")</f>
        <v>dchlexusofsantabarbara.com</v>
      </c>
      <c r="C34057" t="s">
        <v>433</v>
      </c>
      <c r="F34057">
        <v>5.2529050145398403E-9</v>
      </c>
      <c r="G34057">
        <v>24213707</v>
      </c>
      <c r="H34057">
        <v>12242010</v>
      </c>
      <c r="I34057">
        <v>22197724</v>
      </c>
      <c r="J34057">
        <v>7</v>
      </c>
    </row>
    <row r="34058" spans="1:10" x14ac:dyDescent="0.25">
      <c r="A34058" t="s">
        <v>381</v>
      </c>
      <c r="B34058" s="1" t="str">
        <f>HYPERLINK("http://dellatoyota.com","dellatoyota.com")</f>
        <v>dellatoyota.com</v>
      </c>
      <c r="C34058" t="s">
        <v>433</v>
      </c>
      <c r="F34058">
        <v>9.2224336488898904E-9</v>
      </c>
      <c r="G34058">
        <v>7680002</v>
      </c>
      <c r="H34058">
        <v>13261365</v>
      </c>
      <c r="I34058">
        <v>11036688</v>
      </c>
      <c r="J34058">
        <v>3</v>
      </c>
    </row>
    <row r="34059" spans="1:10" x14ac:dyDescent="0.25">
      <c r="A34059" t="s">
        <v>381</v>
      </c>
      <c r="B34059" s="1" t="str">
        <f>HYPERLINK("http://diamondtoyota.com","diamondtoyota.com")</f>
        <v>diamondtoyota.com</v>
      </c>
      <c r="C34059" t="s">
        <v>433</v>
      </c>
      <c r="F34059">
        <v>5.8752270828147902E-9</v>
      </c>
      <c r="G34059">
        <v>17530654</v>
      </c>
      <c r="H34059">
        <v>12955096</v>
      </c>
      <c r="I34059">
        <v>13188519</v>
      </c>
      <c r="J34059">
        <v>3</v>
      </c>
    </row>
    <row r="34060" spans="1:10" x14ac:dyDescent="0.25">
      <c r="A34060" t="s">
        <v>381</v>
      </c>
      <c r="B34060" s="1" t="str">
        <f>HYPERLINK("http://dinamic-grup.com","dinamic-grup.com")</f>
        <v>dinamic-grup.com</v>
      </c>
      <c r="C34060" t="s">
        <v>433</v>
      </c>
      <c r="F34060">
        <v>4.5007021164981903E-9</v>
      </c>
      <c r="G34060">
        <v>58844763</v>
      </c>
      <c r="H34060">
        <v>10905698</v>
      </c>
      <c r="I34060">
        <v>35714420</v>
      </c>
      <c r="J34060">
        <v>15</v>
      </c>
    </row>
    <row r="34061" spans="1:10" x14ac:dyDescent="0.25">
      <c r="A34061" t="s">
        <v>381</v>
      </c>
      <c r="B34061" s="1" t="str">
        <f>HYPERLINK("http://dolanrenotoyota.com","dolanrenotoyota.com")</f>
        <v>dolanrenotoyota.com</v>
      </c>
      <c r="C34061" t="s">
        <v>433</v>
      </c>
      <c r="F34061">
        <v>9.4084647790959993E-9</v>
      </c>
      <c r="G34061">
        <v>7433890</v>
      </c>
      <c r="H34061">
        <v>12620822</v>
      </c>
      <c r="I34061">
        <v>16084972</v>
      </c>
      <c r="J34061">
        <v>3</v>
      </c>
    </row>
    <row r="34062" spans="1:10" x14ac:dyDescent="0.25">
      <c r="A34062" t="s">
        <v>381</v>
      </c>
      <c r="B34062" s="1" t="str">
        <f>HYPERLINK("http://dowlingtoyota.com","dowlingtoyota.com")</f>
        <v>dowlingtoyota.com</v>
      </c>
      <c r="C34062" t="s">
        <v>433</v>
      </c>
      <c r="F34062">
        <v>6.9481140621487499E-9</v>
      </c>
      <c r="G34062">
        <v>12469409</v>
      </c>
      <c r="H34062">
        <v>12453754</v>
      </c>
      <c r="I34062">
        <v>17952643</v>
      </c>
      <c r="J34062">
        <v>3</v>
      </c>
    </row>
    <row r="34063" spans="1:10" x14ac:dyDescent="0.25">
      <c r="A34063" t="s">
        <v>381</v>
      </c>
      <c r="B34063" s="1" t="str">
        <f>HYPERLINK("http://driveprestige.com","driveprestige.com")</f>
        <v>driveprestige.com</v>
      </c>
      <c r="C34063" t="s">
        <v>433</v>
      </c>
      <c r="F34063">
        <v>5.6278174293896599E-9</v>
      </c>
      <c r="G34063">
        <v>19597807</v>
      </c>
      <c r="H34063">
        <v>12283089</v>
      </c>
      <c r="I34063">
        <v>21248479</v>
      </c>
      <c r="J34063">
        <v>7</v>
      </c>
    </row>
    <row r="34064" spans="1:10" x14ac:dyDescent="0.25">
      <c r="A34064" t="s">
        <v>381</v>
      </c>
      <c r="B34064" s="1" t="str">
        <f>HYPERLINK("http://edmartintoyota.com","edmartintoyota.com")</f>
        <v>edmartintoyota.com</v>
      </c>
      <c r="C34064" t="s">
        <v>433</v>
      </c>
      <c r="F34064">
        <v>9.2942262223579406E-9</v>
      </c>
      <c r="G34064">
        <v>7579877</v>
      </c>
      <c r="H34064">
        <v>12952935</v>
      </c>
      <c r="I34064">
        <v>13197908</v>
      </c>
      <c r="J34064">
        <v>3</v>
      </c>
    </row>
    <row r="34065" spans="1:10" x14ac:dyDescent="0.25">
      <c r="A34065" t="s">
        <v>381</v>
      </c>
      <c r="B34065" s="1" t="str">
        <f>HYPERLINK("http://elematec.com","elematec.com")</f>
        <v>elematec.com</v>
      </c>
      <c r="C34065" t="s">
        <v>433</v>
      </c>
      <c r="F34065">
        <v>2.38742561328019E-8</v>
      </c>
      <c r="G34065">
        <v>2175420</v>
      </c>
      <c r="H34065">
        <v>12991406</v>
      </c>
      <c r="I34065">
        <v>12843624</v>
      </c>
      <c r="J34065">
        <v>8</v>
      </c>
    </row>
    <row r="34066" spans="1:10" x14ac:dyDescent="0.25">
      <c r="A34066" t="s">
        <v>381</v>
      </c>
      <c r="B34066" s="1" t="str">
        <f>HYPERLINK("http://epdis.com","epdis.com")</f>
        <v>epdis.com</v>
      </c>
      <c r="C34066" t="s">
        <v>433</v>
      </c>
      <c r="F34066">
        <v>4.4696829574122202E-9</v>
      </c>
      <c r="G34066">
        <v>64645188</v>
      </c>
      <c r="H34066">
        <v>10645352</v>
      </c>
      <c r="I34066">
        <v>43675952</v>
      </c>
      <c r="J34066">
        <v>8</v>
      </c>
    </row>
    <row r="34067" spans="1:10" x14ac:dyDescent="0.25">
      <c r="A34067" t="s">
        <v>381</v>
      </c>
      <c r="B34067" s="1" t="str">
        <f>HYPERLINK("http://eric-cheli.com","eric-cheli.com")</f>
        <v>eric-cheli.com</v>
      </c>
      <c r="C34067" t="s">
        <v>433</v>
      </c>
      <c r="F34067">
        <v>4.7009318612169802E-9</v>
      </c>
      <c r="G34067">
        <v>41185618</v>
      </c>
      <c r="H34067">
        <v>10533162</v>
      </c>
      <c r="I34067">
        <v>47903316</v>
      </c>
      <c r="J34067">
        <v>3</v>
      </c>
    </row>
    <row r="34068" spans="1:10" x14ac:dyDescent="0.25">
      <c r="A34068" t="s">
        <v>381</v>
      </c>
      <c r="B34068" s="1" t="str">
        <f>HYPERLINK("http://erinparklexus.com","erinparklexus.com")</f>
        <v>erinparklexus.com</v>
      </c>
      <c r="C34068" t="s">
        <v>433</v>
      </c>
      <c r="F34068">
        <v>6.7328407773302198E-9</v>
      </c>
      <c r="G34068">
        <v>13187527</v>
      </c>
      <c r="H34068">
        <v>12694976</v>
      </c>
      <c r="I34068">
        <v>15385946</v>
      </c>
      <c r="J34068">
        <v>7</v>
      </c>
    </row>
    <row r="34069" spans="1:10" x14ac:dyDescent="0.25">
      <c r="A34069" t="s">
        <v>381</v>
      </c>
      <c r="B34069" s="1" t="str">
        <f>HYPERLINK("http://eurus-energy.com","eurus-energy.com")</f>
        <v>eurus-energy.com</v>
      </c>
      <c r="C34069" t="s">
        <v>433</v>
      </c>
      <c r="F34069">
        <v>3.5361159484969901E-8</v>
      </c>
      <c r="G34069">
        <v>1471247</v>
      </c>
      <c r="H34069">
        <v>14391559</v>
      </c>
      <c r="I34069">
        <v>1166321</v>
      </c>
      <c r="J34069">
        <v>8</v>
      </c>
    </row>
    <row r="34070" spans="1:10" x14ac:dyDescent="0.25">
      <c r="A34070" t="s">
        <v>381</v>
      </c>
      <c r="B34070" s="1" t="str">
        <f>HYPERLINK("http://exiauto.com","exiauto.com")</f>
        <v>exiauto.com</v>
      </c>
      <c r="C34070" t="s">
        <v>433</v>
      </c>
      <c r="F34070">
        <v>4.9462376221624398E-9</v>
      </c>
      <c r="G34070">
        <v>30890620</v>
      </c>
      <c r="H34070">
        <v>2.0009769999999998</v>
      </c>
      <c r="I34070">
        <v>77910250</v>
      </c>
      <c r="J34070">
        <v>3</v>
      </c>
    </row>
    <row r="34071" spans="1:10" x14ac:dyDescent="0.25">
      <c r="A34071" t="s">
        <v>381</v>
      </c>
      <c r="B34071" s="1" t="str">
        <f>HYPERLINK("http://fanack.com","fanack.com")</f>
        <v>fanack.com</v>
      </c>
      <c r="C34071" t="s">
        <v>433</v>
      </c>
      <c r="E34071">
        <v>273086</v>
      </c>
      <c r="F34071">
        <v>1.1848579452964E-7</v>
      </c>
      <c r="G34071">
        <v>334236</v>
      </c>
      <c r="H34071">
        <v>14911626</v>
      </c>
      <c r="I34071">
        <v>456912</v>
      </c>
      <c r="J34071">
        <v>16</v>
      </c>
    </row>
    <row r="34072" spans="1:10" x14ac:dyDescent="0.25">
      <c r="A34072" t="s">
        <v>381</v>
      </c>
      <c r="B34072" s="1" t="str">
        <f>HYPERLINK("http://findlaytoyota.com","findlaytoyota.com")</f>
        <v>findlaytoyota.com</v>
      </c>
      <c r="C34072" t="s">
        <v>433</v>
      </c>
      <c r="F34072">
        <v>2.08751361902486E-8</v>
      </c>
      <c r="G34072">
        <v>2532637</v>
      </c>
      <c r="H34072">
        <v>13793272</v>
      </c>
      <c r="I34072">
        <v>6323421</v>
      </c>
      <c r="J34072">
        <v>3</v>
      </c>
    </row>
    <row r="34073" spans="1:10" x14ac:dyDescent="0.25">
      <c r="A34073" t="s">
        <v>381</v>
      </c>
      <c r="B34073" s="1" t="str">
        <f>HYPERLINK("http://fitsvcs.com","fitsvcs.com")</f>
        <v>fitsvcs.com</v>
      </c>
      <c r="C34073" t="s">
        <v>433</v>
      </c>
      <c r="E34073">
        <v>165295</v>
      </c>
      <c r="F34073">
        <v>4.50598995606769E-9</v>
      </c>
      <c r="G34073">
        <v>58076129</v>
      </c>
      <c r="H34073">
        <v>10769251</v>
      </c>
      <c r="I34073">
        <v>39272532</v>
      </c>
      <c r="J34073">
        <v>6</v>
      </c>
    </row>
    <row r="34074" spans="1:10" x14ac:dyDescent="0.25">
      <c r="A34074" t="s">
        <v>381</v>
      </c>
      <c r="B34074" s="1" t="str">
        <f>HYPERLINK("http://foothillstoyota.com","foothillstoyota.com")</f>
        <v>foothillstoyota.com</v>
      </c>
      <c r="C34074" t="s">
        <v>433</v>
      </c>
      <c r="F34074">
        <v>8.5675750904156199E-9</v>
      </c>
      <c r="G34074">
        <v>8715257</v>
      </c>
      <c r="H34074">
        <v>12498456</v>
      </c>
      <c r="I34074">
        <v>17376832</v>
      </c>
      <c r="J34074">
        <v>3</v>
      </c>
    </row>
    <row r="34075" spans="1:10" x14ac:dyDescent="0.25">
      <c r="A34075" t="s">
        <v>381</v>
      </c>
      <c r="B34075" s="1" t="str">
        <f>HYPERLINK("http://fowlertoyotatulsa.com","fowlertoyotatulsa.com")</f>
        <v>fowlertoyotatulsa.com</v>
      </c>
      <c r="C34075" t="s">
        <v>433</v>
      </c>
      <c r="F34075">
        <v>8.4981433256342101E-9</v>
      </c>
      <c r="G34075">
        <v>8849285</v>
      </c>
      <c r="H34075">
        <v>12478194</v>
      </c>
      <c r="I34075">
        <v>17615442</v>
      </c>
      <c r="J34075">
        <v>3</v>
      </c>
    </row>
    <row r="34076" spans="1:10" x14ac:dyDescent="0.25">
      <c r="A34076" t="s">
        <v>381</v>
      </c>
      <c r="B34076" s="1" t="str">
        <f>HYPERLINK("http://fox-toyota.com","fox-toyota.com")</f>
        <v>fox-toyota.com</v>
      </c>
      <c r="C34076" t="s">
        <v>433</v>
      </c>
      <c r="F34076">
        <v>8.1274991165273805E-9</v>
      </c>
      <c r="G34076">
        <v>9694056</v>
      </c>
      <c r="H34076">
        <v>12504556</v>
      </c>
      <c r="I34076">
        <v>17300346</v>
      </c>
      <c r="J34076">
        <v>3</v>
      </c>
    </row>
    <row r="34077" spans="1:10" x14ac:dyDescent="0.25">
      <c r="A34077" t="s">
        <v>381</v>
      </c>
      <c r="B34077" s="1" t="str">
        <f>HYPERLINK("http://garagecordia.com","garagecordia.com")</f>
        <v>garagecordia.com</v>
      </c>
      <c r="C34077" t="s">
        <v>433</v>
      </c>
      <c r="F34077">
        <v>8.0788334209346697E-9</v>
      </c>
      <c r="G34077">
        <v>9779357</v>
      </c>
      <c r="H34077">
        <v>12346697</v>
      </c>
      <c r="I34077">
        <v>19823011</v>
      </c>
      <c r="J34077">
        <v>3</v>
      </c>
    </row>
    <row r="34078" spans="1:10" x14ac:dyDescent="0.25">
      <c r="A34078" t="s">
        <v>381</v>
      </c>
      <c r="B34078" s="1" t="str">
        <f>HYPERLINK("http://girardtoyota.com","girardtoyota.com")</f>
        <v>girardtoyota.com</v>
      </c>
      <c r="C34078" t="s">
        <v>433</v>
      </c>
      <c r="F34078">
        <v>7.6533868016166103E-9</v>
      </c>
      <c r="G34078">
        <v>10678811</v>
      </c>
      <c r="H34078">
        <v>12962479</v>
      </c>
      <c r="I34078">
        <v>13157346</v>
      </c>
      <c r="J34078">
        <v>3</v>
      </c>
    </row>
    <row r="34079" spans="1:10" x14ac:dyDescent="0.25">
      <c r="A34079" t="s">
        <v>381</v>
      </c>
      <c r="B34079" s="1" t="str">
        <f>HYPERLINK("http://grapponetoyota.com","grapponetoyota.com")</f>
        <v>grapponetoyota.com</v>
      </c>
      <c r="C34079" t="s">
        <v>433</v>
      </c>
      <c r="F34079">
        <v>8.5749080666945995E-9</v>
      </c>
      <c r="G34079">
        <v>8702187</v>
      </c>
      <c r="H34079">
        <v>12461058</v>
      </c>
      <c r="I34079">
        <v>17862946</v>
      </c>
      <c r="J34079">
        <v>3</v>
      </c>
    </row>
    <row r="34080" spans="1:10" x14ac:dyDescent="0.25">
      <c r="A34080" t="s">
        <v>381</v>
      </c>
      <c r="B34080" s="1" t="str">
        <f>HYPERLINK("http://greentoyota.com","greentoyota.com")</f>
        <v>greentoyota.com</v>
      </c>
      <c r="C34080" t="s">
        <v>433</v>
      </c>
      <c r="F34080">
        <v>8.76045858771599E-9</v>
      </c>
      <c r="G34080">
        <v>8375046</v>
      </c>
      <c r="H34080">
        <v>12453796</v>
      </c>
      <c r="I34080">
        <v>17952258</v>
      </c>
      <c r="J34080">
        <v>3</v>
      </c>
    </row>
    <row r="34081" spans="1:10" x14ac:dyDescent="0.25">
      <c r="A34081" t="s">
        <v>381</v>
      </c>
      <c r="B34081" s="1" t="str">
        <f>HYPERLINK("http://greentreetoyota.com","greentreetoyota.com")</f>
        <v>greentreetoyota.com</v>
      </c>
      <c r="C34081" t="s">
        <v>433</v>
      </c>
      <c r="F34081">
        <v>8.3961701759010499E-9</v>
      </c>
      <c r="G34081">
        <v>9050728</v>
      </c>
      <c r="H34081">
        <v>13567183</v>
      </c>
      <c r="I34081">
        <v>9746490</v>
      </c>
      <c r="J34081">
        <v>3</v>
      </c>
    </row>
    <row r="34082" spans="1:10" x14ac:dyDescent="0.25">
      <c r="A34082" t="s">
        <v>381</v>
      </c>
      <c r="B34082" s="1" t="str">
        <f>HYPERLINK("http://halfwaychobe.com","halfwaychobe.com")</f>
        <v>halfwaychobe.com</v>
      </c>
      <c r="C34082" t="s">
        <v>433</v>
      </c>
      <c r="F34082">
        <v>4.6191531903905799E-9</v>
      </c>
      <c r="G34082">
        <v>46193695</v>
      </c>
      <c r="H34082">
        <v>8559264</v>
      </c>
      <c r="I34082">
        <v>71241992</v>
      </c>
      <c r="J34082">
        <v>3</v>
      </c>
    </row>
    <row r="34083" spans="1:10" x14ac:dyDescent="0.25">
      <c r="A34083" t="s">
        <v>381</v>
      </c>
      <c r="B34083" s="1" t="str">
        <f>HYPERLINK("http://hendricklexuskansascity.com","hendricklexuskansascity.com")</f>
        <v>hendricklexuskansascity.com</v>
      </c>
      <c r="C34083" t="s">
        <v>433</v>
      </c>
      <c r="F34083">
        <v>6.8409519188047702E-9</v>
      </c>
      <c r="G34083">
        <v>12824594</v>
      </c>
      <c r="H34083">
        <v>12281260</v>
      </c>
      <c r="I34083">
        <v>21282556</v>
      </c>
      <c r="J34083">
        <v>7</v>
      </c>
    </row>
    <row r="34084" spans="1:10" x14ac:dyDescent="0.25">
      <c r="A34084" t="s">
        <v>381</v>
      </c>
      <c r="B34084" s="1" t="str">
        <f>HYPERLINK("http://hendricklexuskansascitynorth.com","hendricklexuskansascitynorth.com")</f>
        <v>hendricklexuskansascitynorth.com</v>
      </c>
      <c r="C34084" t="s">
        <v>433</v>
      </c>
      <c r="F34084">
        <v>6.4353266469014701E-9</v>
      </c>
      <c r="G34084">
        <v>14358346</v>
      </c>
      <c r="H34084">
        <v>12332213</v>
      </c>
      <c r="I34084">
        <v>20164745</v>
      </c>
      <c r="J34084">
        <v>7</v>
      </c>
    </row>
    <row r="34085" spans="1:10" x14ac:dyDescent="0.25">
      <c r="A34085" t="s">
        <v>381</v>
      </c>
      <c r="B34085" s="1" t="str">
        <f>HYPERLINK("http://hendricktoyotamerriam.com","hendricktoyotamerriam.com")</f>
        <v>hendricktoyotamerriam.com</v>
      </c>
      <c r="C34085" t="s">
        <v>433</v>
      </c>
      <c r="F34085">
        <v>8.1968840673869204E-9</v>
      </c>
      <c r="G34085">
        <v>9576264</v>
      </c>
      <c r="H34085">
        <v>12499657</v>
      </c>
      <c r="I34085">
        <v>17363756</v>
      </c>
      <c r="J34085">
        <v>3</v>
      </c>
    </row>
    <row r="34086" spans="1:10" x14ac:dyDescent="0.25">
      <c r="A34086" t="s">
        <v>381</v>
      </c>
      <c r="B34086" s="1" t="str">
        <f>HYPERLINK("http://hendricktoyotanorthcharleston.com","hendricktoyotanorthcharleston.com")</f>
        <v>hendricktoyotanorthcharleston.com</v>
      </c>
      <c r="C34086" t="s">
        <v>433</v>
      </c>
      <c r="F34086">
        <v>1.0300920795013E-8</v>
      </c>
      <c r="G34086">
        <v>6450120</v>
      </c>
      <c r="H34086">
        <v>12590688</v>
      </c>
      <c r="I34086">
        <v>16408317</v>
      </c>
      <c r="J34086">
        <v>3</v>
      </c>
    </row>
    <row r="34087" spans="1:10" x14ac:dyDescent="0.25">
      <c r="A34087" t="s">
        <v>381</v>
      </c>
      <c r="B34087" s="1" t="str">
        <f>HYPERLINK("http://herbchamberstoyotaofboston.com","herbchamberstoyotaofboston.com")</f>
        <v>herbchamberstoyotaofboston.com</v>
      </c>
      <c r="C34087" t="s">
        <v>433</v>
      </c>
      <c r="F34087">
        <v>7.9714999316149005E-9</v>
      </c>
      <c r="G34087">
        <v>9973607</v>
      </c>
      <c r="H34087">
        <v>12639520</v>
      </c>
      <c r="I34087">
        <v>15880548</v>
      </c>
      <c r="J34087">
        <v>3</v>
      </c>
    </row>
    <row r="34088" spans="1:10" x14ac:dyDescent="0.25">
      <c r="A34088" t="s">
        <v>381</v>
      </c>
      <c r="B34088" s="1" t="str">
        <f>HYPERLINK("http://hino-global.com","hino-global.com")</f>
        <v>hino-global.com</v>
      </c>
      <c r="C34088" t="s">
        <v>433</v>
      </c>
      <c r="E34088">
        <v>728604</v>
      </c>
      <c r="F34088">
        <v>9.3367244857716895E-8</v>
      </c>
      <c r="G34088">
        <v>435388</v>
      </c>
      <c r="H34088">
        <v>14888197</v>
      </c>
      <c r="I34088">
        <v>468381</v>
      </c>
      <c r="J34088">
        <v>3</v>
      </c>
    </row>
    <row r="34089" spans="1:10" x14ac:dyDescent="0.25">
      <c r="A34089" t="s">
        <v>381</v>
      </c>
      <c r="B34089" s="1" t="str">
        <f>HYPERLINK("http://hinointl.com","hinointl.com")</f>
        <v>hinointl.com</v>
      </c>
      <c r="C34089" t="s">
        <v>433</v>
      </c>
      <c r="F34089">
        <v>5.4625638070686601E-9</v>
      </c>
      <c r="G34089">
        <v>21329642</v>
      </c>
      <c r="H34089">
        <v>14072468</v>
      </c>
      <c r="I34089">
        <v>3087881</v>
      </c>
      <c r="J34089">
        <v>6</v>
      </c>
    </row>
    <row r="34090" spans="1:10" x14ac:dyDescent="0.25">
      <c r="A34090" t="s">
        <v>381</v>
      </c>
      <c r="B34090" s="1" t="str">
        <f>HYPERLINK("http://hmmusa.com","hmmusa.com")</f>
        <v>hmmusa.com</v>
      </c>
      <c r="C34090" t="s">
        <v>433</v>
      </c>
      <c r="F34090">
        <v>1.06552831441234E-8</v>
      </c>
      <c r="G34090">
        <v>6137116</v>
      </c>
      <c r="H34090">
        <v>14079116</v>
      </c>
      <c r="I34090">
        <v>2836742</v>
      </c>
      <c r="J34090">
        <v>5</v>
      </c>
    </row>
    <row r="34091" spans="1:10" x14ac:dyDescent="0.25">
      <c r="A34091" t="s">
        <v>381</v>
      </c>
      <c r="B34091" s="1" t="str">
        <f>HYPERLINK("http://hoffmantoyota.com","hoffmantoyota.com")</f>
        <v>hoffmantoyota.com</v>
      </c>
      <c r="C34091" t="s">
        <v>433</v>
      </c>
      <c r="F34091">
        <v>7.7997799618465206E-9</v>
      </c>
      <c r="G34091">
        <v>10320531</v>
      </c>
      <c r="H34091">
        <v>12489176</v>
      </c>
      <c r="I34091">
        <v>17499313</v>
      </c>
      <c r="J34091">
        <v>3</v>
      </c>
    </row>
    <row r="34092" spans="1:10" x14ac:dyDescent="0.25">
      <c r="A34092" t="s">
        <v>381</v>
      </c>
      <c r="B34092" s="1" t="str">
        <f>HYPERLINK("http://holmlundsbil.com","holmlundsbil.com")</f>
        <v>holmlundsbil.com</v>
      </c>
      <c r="C34092" t="s">
        <v>433</v>
      </c>
      <c r="F34092">
        <v>6.6152868187761004E-9</v>
      </c>
      <c r="G34092">
        <v>13618333</v>
      </c>
      <c r="H34092">
        <v>12475681</v>
      </c>
      <c r="I34092">
        <v>17640409</v>
      </c>
      <c r="J34092">
        <v>3</v>
      </c>
    </row>
    <row r="34093" spans="1:10" x14ac:dyDescent="0.25">
      <c r="A34093" t="s">
        <v>381</v>
      </c>
      <c r="B34093" s="1" t="str">
        <f>HYPERLINK("http://ibaraki-daihatsu.com","ibaraki-daihatsu.com")</f>
        <v>ibaraki-daihatsu.com</v>
      </c>
      <c r="C34093" t="s">
        <v>433</v>
      </c>
      <c r="F34093">
        <v>4.4569109572641103E-9</v>
      </c>
      <c r="G34093">
        <v>68771250</v>
      </c>
      <c r="H34093">
        <v>12108773</v>
      </c>
      <c r="I34093">
        <v>25767955</v>
      </c>
      <c r="J34093">
        <v>5</v>
      </c>
    </row>
    <row r="34094" spans="1:10" x14ac:dyDescent="0.25">
      <c r="A34094" t="s">
        <v>381</v>
      </c>
      <c r="B34094" s="1" t="str">
        <f>HYPERLINK("http://ileperrottoyota.com","ileperrottoyota.com")</f>
        <v>ileperrottoyota.com</v>
      </c>
      <c r="C34094" t="s">
        <v>433</v>
      </c>
      <c r="F34094">
        <v>5.8359933651665497E-9</v>
      </c>
      <c r="G34094">
        <v>17814131</v>
      </c>
      <c r="H34094">
        <v>12177388</v>
      </c>
      <c r="I34094">
        <v>23876223</v>
      </c>
      <c r="J34094">
        <v>3</v>
      </c>
    </row>
    <row r="34095" spans="1:10" x14ac:dyDescent="0.25">
      <c r="A34095" t="s">
        <v>381</v>
      </c>
      <c r="B34095" s="1" t="str">
        <f>HYPERLINK("http://iralexusofmanchester.com","iralexusofmanchester.com")</f>
        <v>iralexusofmanchester.com</v>
      </c>
      <c r="C34095" t="s">
        <v>433</v>
      </c>
      <c r="F34095">
        <v>1.38860903306089E-8</v>
      </c>
      <c r="G34095">
        <v>4246545</v>
      </c>
      <c r="H34095">
        <v>12564391</v>
      </c>
      <c r="I34095">
        <v>16675359</v>
      </c>
      <c r="J34095">
        <v>7</v>
      </c>
    </row>
    <row r="34096" spans="1:10" x14ac:dyDescent="0.25">
      <c r="A34096" t="s">
        <v>381</v>
      </c>
      <c r="B34096" s="1" t="str">
        <f>HYPERLINK("http://jirku.com","jirku.com")</f>
        <v>jirku.com</v>
      </c>
      <c r="C34096" t="s">
        <v>433</v>
      </c>
      <c r="F34096">
        <v>6.0775358973121403E-9</v>
      </c>
      <c r="G34096">
        <v>16221324</v>
      </c>
      <c r="H34096">
        <v>11017630</v>
      </c>
      <c r="I34096">
        <v>33293077</v>
      </c>
      <c r="J34096">
        <v>3</v>
      </c>
    </row>
    <row r="34097" spans="1:10" x14ac:dyDescent="0.25">
      <c r="A34097" t="s">
        <v>381</v>
      </c>
      <c r="B34097" s="1" t="str">
        <f>HYPERLINK("http://johnsonlexusdurham.com","johnsonlexusdurham.com")</f>
        <v>johnsonlexusdurham.com</v>
      </c>
      <c r="C34097" t="s">
        <v>433</v>
      </c>
      <c r="F34097">
        <v>1.76785803229423E-8</v>
      </c>
      <c r="G34097">
        <v>3101327</v>
      </c>
      <c r="H34097">
        <v>12917778</v>
      </c>
      <c r="I34097">
        <v>13502367</v>
      </c>
      <c r="J34097">
        <v>7</v>
      </c>
    </row>
    <row r="34098" spans="1:10" x14ac:dyDescent="0.25">
      <c r="A34098" t="s">
        <v>381</v>
      </c>
      <c r="B34098" s="1" t="str">
        <f>HYPERLINK("http://jonesjunction-toyota.com","jonesjunction-toyota.com")</f>
        <v>jonesjunction-toyota.com</v>
      </c>
      <c r="C34098" t="s">
        <v>433</v>
      </c>
      <c r="F34098">
        <v>1.02942728522236E-8</v>
      </c>
      <c r="G34098">
        <v>6456263</v>
      </c>
      <c r="H34098">
        <v>12952059</v>
      </c>
      <c r="I34098">
        <v>13201742</v>
      </c>
      <c r="J34098">
        <v>3</v>
      </c>
    </row>
    <row r="34099" spans="1:10" x14ac:dyDescent="0.25">
      <c r="A34099" t="s">
        <v>381</v>
      </c>
      <c r="B34099" s="1" t="str">
        <f>HYPERLINK("http://kanatatoyota.com","kanatatoyota.com")</f>
        <v>kanatatoyota.com</v>
      </c>
      <c r="C34099" t="s">
        <v>433</v>
      </c>
      <c r="F34099">
        <v>6.5355262437249203E-9</v>
      </c>
      <c r="G34099">
        <v>13931167</v>
      </c>
      <c r="H34099">
        <v>12314328</v>
      </c>
      <c r="I34099">
        <v>20526672</v>
      </c>
      <c r="J34099">
        <v>3</v>
      </c>
    </row>
    <row r="34100" spans="1:10" x14ac:dyDescent="0.25">
      <c r="A34100" t="s">
        <v>381</v>
      </c>
      <c r="B34100" s="1" t="str">
        <f>HYPERLINK("http://kcsummers.com","kcsummers.com")</f>
        <v>kcsummers.com</v>
      </c>
      <c r="C34100" t="s">
        <v>433</v>
      </c>
      <c r="F34100">
        <v>8.3372518090129299E-9</v>
      </c>
      <c r="G34100">
        <v>9173434</v>
      </c>
      <c r="H34100">
        <v>12460485</v>
      </c>
      <c r="I34100">
        <v>17870484</v>
      </c>
      <c r="J34100">
        <v>3</v>
      </c>
    </row>
    <row r="34101" spans="1:10" x14ac:dyDescent="0.25">
      <c r="A34101" t="s">
        <v>381</v>
      </c>
      <c r="B34101" s="1" t="str">
        <f>HYPERLINK("http://kendalllexuseugene.com","kendalllexuseugene.com")</f>
        <v>kendalllexuseugene.com</v>
      </c>
      <c r="C34101" t="s">
        <v>433</v>
      </c>
      <c r="F34101">
        <v>7.2139278303973203E-9</v>
      </c>
      <c r="G34101">
        <v>11704136</v>
      </c>
      <c r="H34101">
        <v>12528478</v>
      </c>
      <c r="I34101">
        <v>17055343</v>
      </c>
      <c r="J34101">
        <v>7</v>
      </c>
    </row>
    <row r="34102" spans="1:10" x14ac:dyDescent="0.25">
      <c r="A34102" t="s">
        <v>381</v>
      </c>
      <c r="B34102" s="1" t="str">
        <f>HYPERLINK("http://kengarfftoyotacheyenne.com","kengarfftoyotacheyenne.com")</f>
        <v>kengarfftoyotacheyenne.com</v>
      </c>
      <c r="C34102" t="s">
        <v>433</v>
      </c>
      <c r="F34102">
        <v>7.4472849285884004E-9</v>
      </c>
      <c r="G34102">
        <v>11133240</v>
      </c>
      <c r="H34102">
        <v>12453068</v>
      </c>
      <c r="I34102">
        <v>17960391</v>
      </c>
      <c r="J34102">
        <v>3</v>
      </c>
    </row>
    <row r="34103" spans="1:10" x14ac:dyDescent="0.25">
      <c r="A34103" t="s">
        <v>381</v>
      </c>
      <c r="B34103" s="1" t="str">
        <f>HYPERLINK("http://kielce.com","kielce.com")</f>
        <v>kielce.com</v>
      </c>
      <c r="C34103" t="s">
        <v>433</v>
      </c>
      <c r="F34103">
        <v>2.3067766841788199E-8</v>
      </c>
      <c r="G34103">
        <v>2263400</v>
      </c>
      <c r="H34103">
        <v>14074219</v>
      </c>
      <c r="I34103">
        <v>2951558</v>
      </c>
      <c r="J34103">
        <v>6</v>
      </c>
    </row>
    <row r="34104" spans="1:10" x14ac:dyDescent="0.25">
      <c r="A34104" t="s">
        <v>381</v>
      </c>
      <c r="B34104" s="1" t="str">
        <f>HYPERLINK("http://kinto-mobility.com","kinto-mobility.com")</f>
        <v>kinto-mobility.com</v>
      </c>
      <c r="C34104" t="s">
        <v>433</v>
      </c>
      <c r="F34104">
        <v>2.9621140472961601E-8</v>
      </c>
      <c r="G34104">
        <v>1739265</v>
      </c>
      <c r="H34104">
        <v>14030166</v>
      </c>
      <c r="I34104">
        <v>3939541</v>
      </c>
      <c r="J34104">
        <v>4</v>
      </c>
    </row>
    <row r="34105" spans="1:10" x14ac:dyDescent="0.25">
      <c r="A34105" t="s">
        <v>381</v>
      </c>
      <c r="B34105" s="1" t="str">
        <f>HYPERLINK("http://klamathfallstoyota.com","klamathfallstoyota.com")</f>
        <v>klamathfallstoyota.com</v>
      </c>
      <c r="C34105" t="s">
        <v>433</v>
      </c>
      <c r="F34105">
        <v>1.24692659511647E-8</v>
      </c>
      <c r="G34105">
        <v>4901759</v>
      </c>
      <c r="H34105">
        <v>12613783</v>
      </c>
      <c r="I34105">
        <v>16157792</v>
      </c>
      <c r="J34105">
        <v>3</v>
      </c>
    </row>
    <row r="34106" spans="1:10" x14ac:dyDescent="0.25">
      <c r="A34106" t="s">
        <v>381</v>
      </c>
      <c r="B34106" s="1" t="str">
        <f>HYPERLINK("http://kooltoyota.com","kooltoyota.com")</f>
        <v>kooltoyota.com</v>
      </c>
      <c r="C34106" t="s">
        <v>433</v>
      </c>
      <c r="F34106">
        <v>9.1356420436870708E-9</v>
      </c>
      <c r="G34106">
        <v>7798044</v>
      </c>
      <c r="H34106">
        <v>12591074</v>
      </c>
      <c r="I34106">
        <v>16405144</v>
      </c>
      <c r="J34106">
        <v>3</v>
      </c>
    </row>
    <row r="34107" spans="1:10" x14ac:dyDescent="0.25">
      <c r="A34107" t="s">
        <v>381</v>
      </c>
      <c r="B34107" s="1" t="str">
        <f>HYPERLINK("http://koonstoyotaarlington.com","koonstoyotaarlington.com")</f>
        <v>koonstoyotaarlington.com</v>
      </c>
      <c r="C34107" t="s">
        <v>433</v>
      </c>
      <c r="F34107">
        <v>1.0397493212165E-8</v>
      </c>
      <c r="G34107">
        <v>6361223</v>
      </c>
      <c r="H34107">
        <v>13017320</v>
      </c>
      <c r="I34107">
        <v>12724191</v>
      </c>
      <c r="J34107">
        <v>3</v>
      </c>
    </row>
    <row r="34108" spans="1:10" x14ac:dyDescent="0.25">
      <c r="A34108" t="s">
        <v>381</v>
      </c>
      <c r="B34108" s="1" t="str">
        <f>HYPERLINK("http://koonstoyotatysonscorner.com","koonstoyotatysonscorner.com")</f>
        <v>koonstoyotatysonscorner.com</v>
      </c>
      <c r="C34108" t="s">
        <v>433</v>
      </c>
      <c r="F34108">
        <v>9.9787473209257505E-9</v>
      </c>
      <c r="G34108">
        <v>6776909</v>
      </c>
      <c r="H34108">
        <v>13017829</v>
      </c>
      <c r="I34108">
        <v>12722142</v>
      </c>
      <c r="J34108">
        <v>3</v>
      </c>
    </row>
    <row r="34109" spans="1:10" x14ac:dyDescent="0.25">
      <c r="A34109" t="s">
        <v>381</v>
      </c>
      <c r="B34109" s="1" t="str">
        <f>HYPERLINK("http://labadietoyota.com","labadietoyota.com")</f>
        <v>labadietoyota.com</v>
      </c>
      <c r="C34109" t="s">
        <v>433</v>
      </c>
      <c r="F34109">
        <v>8.6469523603886806E-9</v>
      </c>
      <c r="G34109">
        <v>8571967</v>
      </c>
      <c r="H34109">
        <v>12557803</v>
      </c>
      <c r="I34109">
        <v>16740610</v>
      </c>
      <c r="J34109">
        <v>3</v>
      </c>
    </row>
    <row r="34110" spans="1:10" x14ac:dyDescent="0.25">
      <c r="A34110" t="s">
        <v>381</v>
      </c>
      <c r="B34110" s="1" t="str">
        <f>HYPERLINK("http://lambebros.com","lambebros.com")</f>
        <v>lambebros.com</v>
      </c>
      <c r="C34110" t="s">
        <v>433</v>
      </c>
      <c r="F34110">
        <v>5.49273184903758E-9</v>
      </c>
      <c r="G34110">
        <v>20982124</v>
      </c>
      <c r="H34110">
        <v>11006115</v>
      </c>
      <c r="I34110">
        <v>33469048</v>
      </c>
      <c r="J34110">
        <v>3</v>
      </c>
    </row>
    <row r="34111" spans="1:10" x14ac:dyDescent="0.25">
      <c r="A34111" t="s">
        <v>381</v>
      </c>
      <c r="B34111" s="1" t="str">
        <f>HYPERLINK("http://langwaytoyotaofnewport.com","langwaytoyotaofnewport.com")</f>
        <v>langwaytoyotaofnewport.com</v>
      </c>
      <c r="C34111" t="s">
        <v>433</v>
      </c>
      <c r="F34111">
        <v>7.1736256527936197E-9</v>
      </c>
      <c r="G34111">
        <v>11813689</v>
      </c>
      <c r="H34111">
        <v>12453194</v>
      </c>
      <c r="I34111">
        <v>17958942</v>
      </c>
      <c r="J34111">
        <v>3</v>
      </c>
    </row>
    <row r="34112" spans="1:10" x14ac:dyDescent="0.25">
      <c r="A34112" t="s">
        <v>381</v>
      </c>
      <c r="B34112" s="1" t="str">
        <f>HYPERLINK("http://lexus.com","lexus.com")</f>
        <v>lexus.com</v>
      </c>
      <c r="C34112" t="s">
        <v>433</v>
      </c>
      <c r="E34112">
        <v>19199</v>
      </c>
      <c r="F34112">
        <v>1.68436176091018E-6</v>
      </c>
      <c r="G34112">
        <v>23590</v>
      </c>
      <c r="H34112">
        <v>17494098</v>
      </c>
      <c r="I34112">
        <v>13960</v>
      </c>
      <c r="J34112">
        <v>4</v>
      </c>
    </row>
    <row r="34113" spans="1:10" x14ac:dyDescent="0.25">
      <c r="A34113" t="s">
        <v>381</v>
      </c>
      <c r="B34113" s="1" t="str">
        <f>HYPERLINK("http://lexus-toys-plus.com","lexus-toys-plus.com")</f>
        <v>lexus-toys-plus.com</v>
      </c>
      <c r="C34113" t="s">
        <v>433</v>
      </c>
      <c r="F34113">
        <v>5.2525068123401301E-9</v>
      </c>
      <c r="G34113">
        <v>24219751</v>
      </c>
      <c r="H34113">
        <v>10135386</v>
      </c>
      <c r="I34113">
        <v>59543278</v>
      </c>
      <c r="J34113">
        <v>6</v>
      </c>
    </row>
    <row r="34114" spans="1:10" x14ac:dyDescent="0.25">
      <c r="A34114" t="s">
        <v>381</v>
      </c>
      <c r="B34114" s="1" t="str">
        <f>HYPERLINK("http://lexusdesanjuan.com","lexusdesanjuan.com")</f>
        <v>lexusdesanjuan.com</v>
      </c>
      <c r="C34114" t="s">
        <v>433</v>
      </c>
      <c r="F34114">
        <v>9.2480190968108008E-9</v>
      </c>
      <c r="G34114">
        <v>7641134</v>
      </c>
      <c r="H34114">
        <v>11983130</v>
      </c>
      <c r="I34114">
        <v>28462915</v>
      </c>
      <c r="J34114">
        <v>7</v>
      </c>
    </row>
    <row r="34115" spans="1:10" x14ac:dyDescent="0.25">
      <c r="A34115" t="s">
        <v>381</v>
      </c>
      <c r="B34115" s="1" t="str">
        <f>HYPERLINK("http://lexusescondido.com","lexusescondido.com")</f>
        <v>lexusescondido.com</v>
      </c>
      <c r="C34115" t="s">
        <v>433</v>
      </c>
      <c r="E34115">
        <v>909791</v>
      </c>
      <c r="F34115">
        <v>5.9585022163917203E-9</v>
      </c>
      <c r="G34115">
        <v>16964847</v>
      </c>
      <c r="H34115">
        <v>12683864</v>
      </c>
      <c r="I34115">
        <v>15467391</v>
      </c>
      <c r="J34115">
        <v>7</v>
      </c>
    </row>
    <row r="34116" spans="1:10" x14ac:dyDescent="0.25">
      <c r="A34116" t="s">
        <v>381</v>
      </c>
      <c r="B34116" s="1" t="str">
        <f>HYPERLINK("http://lexusofbrooklyn.com","lexusofbrooklyn.com")</f>
        <v>lexusofbrooklyn.com</v>
      </c>
      <c r="C34116" t="s">
        <v>433</v>
      </c>
      <c r="F34116">
        <v>7.5175175276075797E-9</v>
      </c>
      <c r="G34116">
        <v>10974474</v>
      </c>
      <c r="H34116">
        <v>12540678</v>
      </c>
      <c r="I34116">
        <v>16937897</v>
      </c>
      <c r="J34116">
        <v>7</v>
      </c>
    </row>
    <row r="34117" spans="1:10" x14ac:dyDescent="0.25">
      <c r="A34117" t="s">
        <v>381</v>
      </c>
      <c r="B34117" s="1" t="str">
        <f>HYPERLINK("http://lexusofconcord.com","lexusofconcord.com")</f>
        <v>lexusofconcord.com</v>
      </c>
      <c r="C34117" t="s">
        <v>433</v>
      </c>
      <c r="F34117">
        <v>4.5120612262998401E-9</v>
      </c>
      <c r="G34117">
        <v>57234749</v>
      </c>
      <c r="H34117">
        <v>10973817</v>
      </c>
      <c r="I34117">
        <v>34061290</v>
      </c>
      <c r="J34117">
        <v>7</v>
      </c>
    </row>
    <row r="34118" spans="1:10" x14ac:dyDescent="0.25">
      <c r="A34118" t="s">
        <v>381</v>
      </c>
      <c r="B34118" s="1" t="str">
        <f>HYPERLINK("http://lexusofhenderson.com","lexusofhenderson.com")</f>
        <v>lexusofhenderson.com</v>
      </c>
      <c r="C34118" t="s">
        <v>433</v>
      </c>
      <c r="F34118">
        <v>8.1665815554396301E-9</v>
      </c>
      <c r="G34118">
        <v>9628225</v>
      </c>
      <c r="H34118">
        <v>12117850</v>
      </c>
      <c r="I34118">
        <v>25463630</v>
      </c>
      <c r="J34118">
        <v>7</v>
      </c>
    </row>
    <row r="34119" spans="1:10" x14ac:dyDescent="0.25">
      <c r="A34119" t="s">
        <v>381</v>
      </c>
      <c r="B34119" s="1" t="str">
        <f>HYPERLINK("http://lexusoflakeway.com","lexusoflakeway.com")</f>
        <v>lexusoflakeway.com</v>
      </c>
      <c r="C34119" t="s">
        <v>433</v>
      </c>
      <c r="F34119">
        <v>5.8242465828109401E-9</v>
      </c>
      <c r="G34119">
        <v>17906691</v>
      </c>
      <c r="H34119">
        <v>12579695</v>
      </c>
      <c r="I34119">
        <v>16516205</v>
      </c>
      <c r="J34119">
        <v>7</v>
      </c>
    </row>
    <row r="34120" spans="1:10" x14ac:dyDescent="0.25">
      <c r="A34120" t="s">
        <v>381</v>
      </c>
      <c r="B34120" s="1" t="str">
        <f>HYPERLINK("http://lexusoflasvegas.com","lexusoflasvegas.com")</f>
        <v>lexusoflasvegas.com</v>
      </c>
      <c r="C34120" t="s">
        <v>433</v>
      </c>
      <c r="F34120">
        <v>2.4003134808822999E-8</v>
      </c>
      <c r="G34120">
        <v>2162633</v>
      </c>
      <c r="H34120">
        <v>13084146</v>
      </c>
      <c r="I34120">
        <v>12167078</v>
      </c>
      <c r="J34120">
        <v>7</v>
      </c>
    </row>
    <row r="34121" spans="1:10" x14ac:dyDescent="0.25">
      <c r="A34121" t="s">
        <v>381</v>
      </c>
      <c r="B34121" s="1" t="str">
        <f>HYPERLINK("http://lexusofmanhattan.com","lexusofmanhattan.com")</f>
        <v>lexusofmanhattan.com</v>
      </c>
      <c r="C34121" t="s">
        <v>433</v>
      </c>
      <c r="F34121">
        <v>7.5905341661154598E-9</v>
      </c>
      <c r="G34121">
        <v>10815078</v>
      </c>
      <c r="H34121">
        <v>13068618</v>
      </c>
      <c r="I34121">
        <v>12260010</v>
      </c>
      <c r="J34121">
        <v>7</v>
      </c>
    </row>
    <row r="34122" spans="1:10" x14ac:dyDescent="0.25">
      <c r="A34122" t="s">
        <v>381</v>
      </c>
      <c r="B34122" s="1" t="str">
        <f>HYPERLINK("http://lexusofnaperville.com","lexusofnaperville.com")</f>
        <v>lexusofnaperville.com</v>
      </c>
      <c r="C34122" t="s">
        <v>433</v>
      </c>
      <c r="F34122">
        <v>7.8450525534286697E-9</v>
      </c>
      <c r="G34122">
        <v>10224958</v>
      </c>
      <c r="H34122">
        <v>12447011</v>
      </c>
      <c r="I34122">
        <v>18063983</v>
      </c>
      <c r="J34122">
        <v>7</v>
      </c>
    </row>
    <row r="34123" spans="1:10" x14ac:dyDescent="0.25">
      <c r="A34123" t="s">
        <v>381</v>
      </c>
      <c r="B34123" s="1" t="str">
        <f>HYPERLINK("http://lexusofqueens.com","lexusofqueens.com")</f>
        <v>lexusofqueens.com</v>
      </c>
      <c r="C34123" t="s">
        <v>433</v>
      </c>
      <c r="F34123">
        <v>7.31299475922782E-9</v>
      </c>
      <c r="G34123">
        <v>11448023</v>
      </c>
      <c r="H34123">
        <v>12267697</v>
      </c>
      <c r="I34123">
        <v>21575015</v>
      </c>
      <c r="J34123">
        <v>7</v>
      </c>
    </row>
    <row r="34124" spans="1:10" x14ac:dyDescent="0.25">
      <c r="A34124" t="s">
        <v>381</v>
      </c>
      <c r="B34124" s="1" t="str">
        <f>HYPERLINK("http://lexusofrockford.com","lexusofrockford.com")</f>
        <v>lexusofrockford.com</v>
      </c>
      <c r="C34124" t="s">
        <v>433</v>
      </c>
      <c r="F34124">
        <v>5.2758208473873702E-9</v>
      </c>
      <c r="G34124">
        <v>23850912</v>
      </c>
      <c r="H34124">
        <v>12278604</v>
      </c>
      <c r="I34124">
        <v>21335642</v>
      </c>
      <c r="J34124">
        <v>7</v>
      </c>
    </row>
    <row r="34125" spans="1:10" x14ac:dyDescent="0.25">
      <c r="A34125" t="s">
        <v>381</v>
      </c>
      <c r="B34125" s="1" t="str">
        <f>HYPERLINK("http://lexusoftucsonautomall.com","lexusoftucsonautomall.com")</f>
        <v>lexusoftucsonautomall.com</v>
      </c>
      <c r="C34125" t="s">
        <v>433</v>
      </c>
      <c r="F34125">
        <v>6.85785429393646E-9</v>
      </c>
      <c r="G34125">
        <v>12767663</v>
      </c>
      <c r="H34125">
        <v>12360860</v>
      </c>
      <c r="I34125">
        <v>19570643</v>
      </c>
      <c r="J34125">
        <v>7</v>
      </c>
    </row>
    <row r="34126" spans="1:10" x14ac:dyDescent="0.25">
      <c r="A34126" t="s">
        <v>381</v>
      </c>
      <c r="B34126" s="1" t="str">
        <f>HYPERLINK("http://lexusofwarwick.com","lexusofwarwick.com")</f>
        <v>lexusofwarwick.com</v>
      </c>
      <c r="C34126" t="s">
        <v>433</v>
      </c>
      <c r="F34126">
        <v>5.3756878639695199E-9</v>
      </c>
      <c r="G34126">
        <v>22471352</v>
      </c>
      <c r="H34126">
        <v>12582552</v>
      </c>
      <c r="I34126">
        <v>16484110</v>
      </c>
      <c r="J34126">
        <v>7</v>
      </c>
    </row>
    <row r="34127" spans="1:10" x14ac:dyDescent="0.25">
      <c r="A34127" t="s">
        <v>381</v>
      </c>
      <c r="B34127" s="1" t="str">
        <f>HYPERLINK("http://lexussevilla.com","lexussevilla.com")</f>
        <v>lexussevilla.com</v>
      </c>
      <c r="C34127" t="s">
        <v>433</v>
      </c>
      <c r="F34127">
        <v>5.0881941372744E-9</v>
      </c>
      <c r="G34127">
        <v>27328086</v>
      </c>
      <c r="H34127">
        <v>10786572</v>
      </c>
      <c r="I34127">
        <v>38634911</v>
      </c>
      <c r="J34127">
        <v>7</v>
      </c>
    </row>
    <row r="34128" spans="1:10" x14ac:dyDescent="0.25">
      <c r="A34128" t="s">
        <v>381</v>
      </c>
      <c r="B34128" s="1" t="str">
        <f>HYPERLINK("http://lhmtoyotalemongrove.com","lhmtoyotalemongrove.com")</f>
        <v>lhmtoyotalemongrove.com</v>
      </c>
      <c r="C34128" t="s">
        <v>433</v>
      </c>
      <c r="F34128">
        <v>1.1570500872108599E-8</v>
      </c>
      <c r="G34128">
        <v>5453653</v>
      </c>
      <c r="H34128">
        <v>13074777</v>
      </c>
      <c r="I34128">
        <v>12219052</v>
      </c>
      <c r="J34128">
        <v>3</v>
      </c>
    </row>
    <row r="34129" spans="1:10" x14ac:dyDescent="0.25">
      <c r="A34129" t="s">
        <v>381</v>
      </c>
      <c r="B34129" s="1" t="str">
        <f>HYPERLINK("http://libertytoyotacoloradosprings.com","libertytoyotacoloradosprings.com")</f>
        <v>libertytoyotacoloradosprings.com</v>
      </c>
      <c r="C34129" t="s">
        <v>433</v>
      </c>
      <c r="F34129">
        <v>8.0999104560236402E-9</v>
      </c>
      <c r="G34129">
        <v>9741668</v>
      </c>
      <c r="H34129">
        <v>12478547</v>
      </c>
      <c r="I34129">
        <v>17612152</v>
      </c>
      <c r="J34129">
        <v>3</v>
      </c>
    </row>
    <row r="34130" spans="1:10" x14ac:dyDescent="0.25">
      <c r="A34130" t="s">
        <v>381</v>
      </c>
      <c r="B34130" s="1" t="str">
        <f>HYPERLINK("http://limbaughtoyota.com","limbaughtoyota.com")</f>
        <v>limbaughtoyota.com</v>
      </c>
      <c r="C34130" t="s">
        <v>433</v>
      </c>
      <c r="F34130">
        <v>9.4435509367294604E-9</v>
      </c>
      <c r="G34130">
        <v>7390646</v>
      </c>
      <c r="H34130">
        <v>13779086</v>
      </c>
      <c r="I34130">
        <v>6492989</v>
      </c>
      <c r="J34130">
        <v>3</v>
      </c>
    </row>
    <row r="34131" spans="1:10" x14ac:dyDescent="0.25">
      <c r="A34131" t="s">
        <v>381</v>
      </c>
      <c r="B34131" s="1" t="str">
        <f>HYPERLINK("http://lithiatoyotaredding.com","lithiatoyotaredding.com")</f>
        <v>lithiatoyotaredding.com</v>
      </c>
      <c r="C34131" t="s">
        <v>433</v>
      </c>
      <c r="F34131">
        <v>1.00104022082002E-8</v>
      </c>
      <c r="G34131">
        <v>6745323</v>
      </c>
      <c r="H34131">
        <v>12819653</v>
      </c>
      <c r="I34131">
        <v>14510173</v>
      </c>
      <c r="J34131">
        <v>3</v>
      </c>
    </row>
    <row r="34132" spans="1:10" x14ac:dyDescent="0.25">
      <c r="A34132" t="s">
        <v>381</v>
      </c>
      <c r="B34132" s="1" t="str">
        <f>HYPERLINK("http://lynchtoyota.com","lynchtoyota.com")</f>
        <v>lynchtoyota.com</v>
      </c>
      <c r="C34132" t="s">
        <v>433</v>
      </c>
      <c r="F34132">
        <v>1.09547657335117E-8</v>
      </c>
      <c r="G34132">
        <v>5899839</v>
      </c>
      <c r="H34132">
        <v>13177798</v>
      </c>
      <c r="I34132">
        <v>11691372</v>
      </c>
      <c r="J34132">
        <v>3</v>
      </c>
    </row>
    <row r="34133" spans="1:10" x14ac:dyDescent="0.25">
      <c r="A34133" t="s">
        <v>381</v>
      </c>
      <c r="B34133" s="1" t="str">
        <f>HYPERLINK("http://manhattanbeachtoyota.com","manhattanbeachtoyota.com")</f>
        <v>manhattanbeachtoyota.com</v>
      </c>
      <c r="C34133" t="s">
        <v>433</v>
      </c>
      <c r="F34133">
        <v>5.9421600717644402E-8</v>
      </c>
      <c r="G34133">
        <v>743977</v>
      </c>
      <c r="H34133">
        <v>16862200</v>
      </c>
      <c r="I34133">
        <v>154939</v>
      </c>
      <c r="J34133">
        <v>3</v>
      </c>
    </row>
    <row r="34134" spans="1:10" x14ac:dyDescent="0.25">
      <c r="A34134" t="s">
        <v>381</v>
      </c>
      <c r="B34134" s="1" t="str">
        <f>HYPERLINK("http://marinadelreytoyota.com","marinadelreytoyota.com")</f>
        <v>marinadelreytoyota.com</v>
      </c>
      <c r="C34134" t="s">
        <v>433</v>
      </c>
      <c r="F34134">
        <v>1.1844246966992201E-8</v>
      </c>
      <c r="G34134">
        <v>5274085</v>
      </c>
      <c r="H34134">
        <v>12633432</v>
      </c>
      <c r="I34134">
        <v>15954962</v>
      </c>
      <c r="J34134">
        <v>3</v>
      </c>
    </row>
    <row r="34135" spans="1:10" x14ac:dyDescent="0.25">
      <c r="A34135" t="s">
        <v>381</v>
      </c>
      <c r="B34135" s="1" t="str">
        <f>HYPERLINK("http://mariperezmotors.com","mariperezmotors.com")</f>
        <v>mariperezmotors.com</v>
      </c>
      <c r="C34135" t="s">
        <v>433</v>
      </c>
      <c r="F34135">
        <v>4.44380395335525E-9</v>
      </c>
      <c r="G34135">
        <v>82548370</v>
      </c>
      <c r="H34135">
        <v>0</v>
      </c>
      <c r="I34135">
        <v>83181872</v>
      </c>
      <c r="J34135">
        <v>3</v>
      </c>
    </row>
    <row r="34136" spans="1:10" x14ac:dyDescent="0.25">
      <c r="A34136" t="s">
        <v>381</v>
      </c>
      <c r="B34136" s="1" t="str">
        <f>HYPERLINK("http://markmillertoyota.com","markmillertoyota.com")</f>
        <v>markmillertoyota.com</v>
      </c>
      <c r="C34136" t="s">
        <v>433</v>
      </c>
      <c r="F34136">
        <v>8.6780433317855307E-9</v>
      </c>
      <c r="G34136">
        <v>8516130</v>
      </c>
      <c r="H34136">
        <v>12483695</v>
      </c>
      <c r="I34136">
        <v>17563114</v>
      </c>
      <c r="J34136">
        <v>3</v>
      </c>
    </row>
    <row r="34137" spans="1:10" x14ac:dyDescent="0.25">
      <c r="A34137" t="s">
        <v>381</v>
      </c>
      <c r="B34137" s="1" t="str">
        <f>HYPERLINK("http://markville.com","markville.com")</f>
        <v>markville.com</v>
      </c>
      <c r="C34137" t="s">
        <v>433</v>
      </c>
      <c r="F34137">
        <v>7.2855610210441404E-9</v>
      </c>
      <c r="G34137">
        <v>11515717</v>
      </c>
      <c r="H34137">
        <v>12795266</v>
      </c>
      <c r="I34137">
        <v>14659824</v>
      </c>
      <c r="J34137">
        <v>3</v>
      </c>
    </row>
    <row r="34138" spans="1:10" x14ac:dyDescent="0.25">
      <c r="A34138" t="s">
        <v>381</v>
      </c>
      <c r="B34138" s="1" t="str">
        <f>HYPERLINK("http://mauricietoyota.com","mauricietoyota.com")</f>
        <v>mauricietoyota.com</v>
      </c>
      <c r="C34138" t="s">
        <v>433</v>
      </c>
      <c r="F34138">
        <v>5.9765847478306398E-9</v>
      </c>
      <c r="G34138">
        <v>16839779</v>
      </c>
      <c r="H34138">
        <v>12194721</v>
      </c>
      <c r="I34138">
        <v>23462008</v>
      </c>
      <c r="J34138">
        <v>3</v>
      </c>
    </row>
    <row r="34139" spans="1:10" x14ac:dyDescent="0.25">
      <c r="A34139" t="s">
        <v>381</v>
      </c>
      <c r="B34139" s="1" t="str">
        <f>HYPERLINK("http://mcgeetoyotaofepping.com","mcgeetoyotaofepping.com")</f>
        <v>mcgeetoyotaofepping.com</v>
      </c>
      <c r="C34139" t="s">
        <v>433</v>
      </c>
      <c r="F34139">
        <v>6.968993277275E-9</v>
      </c>
      <c r="G34139">
        <v>12404579</v>
      </c>
      <c r="H34139">
        <v>12455184</v>
      </c>
      <c r="I34139">
        <v>17931743</v>
      </c>
      <c r="J34139">
        <v>3</v>
      </c>
    </row>
    <row r="34140" spans="1:10" x14ac:dyDescent="0.25">
      <c r="A34140" t="s">
        <v>381</v>
      </c>
      <c r="B34140" s="1" t="str">
        <f>HYPERLINK("http://meadowvaletoyota.com","meadowvaletoyota.com")</f>
        <v>meadowvaletoyota.com</v>
      </c>
      <c r="C34140" t="s">
        <v>433</v>
      </c>
      <c r="F34140">
        <v>5.87457749956494E-9</v>
      </c>
      <c r="G34140">
        <v>17535061</v>
      </c>
      <c r="H34140">
        <v>12202732</v>
      </c>
      <c r="I34140">
        <v>23250255</v>
      </c>
      <c r="J34140">
        <v>3</v>
      </c>
    </row>
    <row r="34141" spans="1:10" x14ac:dyDescent="0.25">
      <c r="A34141" t="s">
        <v>381</v>
      </c>
      <c r="B34141" s="1" t="str">
        <f>HYPERLINK("http://megamotor.com","megamotor.com")</f>
        <v>megamotor.com</v>
      </c>
      <c r="C34141" t="s">
        <v>433</v>
      </c>
      <c r="F34141">
        <v>5.02826929556257E-9</v>
      </c>
      <c r="G34141">
        <v>28709119</v>
      </c>
      <c r="H34141">
        <v>9629794</v>
      </c>
      <c r="I34141">
        <v>64085759</v>
      </c>
      <c r="J34141">
        <v>3</v>
      </c>
    </row>
    <row r="34142" spans="1:10" x14ac:dyDescent="0.25">
      <c r="A34142" t="s">
        <v>381</v>
      </c>
      <c r="B34142" s="1" t="str">
        <f>HYPERLINK("http://melodytoyota.com","melodytoyota.com")</f>
        <v>melodytoyota.com</v>
      </c>
      <c r="C34142" t="s">
        <v>433</v>
      </c>
      <c r="F34142">
        <v>5.7386574171237704E-9</v>
      </c>
      <c r="G34142">
        <v>18591470</v>
      </c>
      <c r="H34142">
        <v>12974157</v>
      </c>
      <c r="I34142">
        <v>13021406</v>
      </c>
      <c r="J34142">
        <v>3</v>
      </c>
    </row>
    <row r="34143" spans="1:10" x14ac:dyDescent="0.25">
      <c r="A34143" t="s">
        <v>381</v>
      </c>
      <c r="B34143" s="1" t="str">
        <f>HYPERLINK("http://mercedtoyota.com","mercedtoyota.com")</f>
        <v>mercedtoyota.com</v>
      </c>
      <c r="C34143" t="s">
        <v>433</v>
      </c>
      <c r="F34143">
        <v>6.8849782302559902E-9</v>
      </c>
      <c r="G34143">
        <v>12680964</v>
      </c>
      <c r="H34143">
        <v>12953224</v>
      </c>
      <c r="I34143">
        <v>13196708</v>
      </c>
      <c r="J34143">
        <v>3</v>
      </c>
    </row>
    <row r="34144" spans="1:10" x14ac:dyDescent="0.25">
      <c r="A34144" t="s">
        <v>381</v>
      </c>
      <c r="B34144" s="1" t="str">
        <f>HYPERLINK("http://middletowntoyota.com","middletowntoyota.com")</f>
        <v>middletowntoyota.com</v>
      </c>
      <c r="C34144" t="s">
        <v>433</v>
      </c>
      <c r="F34144">
        <v>9.7811463643077393E-9</v>
      </c>
      <c r="G34144">
        <v>6989145</v>
      </c>
      <c r="H34144">
        <v>12940528</v>
      </c>
      <c r="I34144">
        <v>13285686</v>
      </c>
      <c r="J34144">
        <v>3</v>
      </c>
    </row>
    <row r="34145" spans="1:10" x14ac:dyDescent="0.25">
      <c r="A34145" t="s">
        <v>381</v>
      </c>
      <c r="B34145" s="1" t="str">
        <f>HYPERLINK("http://midwaytoyota.com","midwaytoyota.com")</f>
        <v>midwaytoyota.com</v>
      </c>
      <c r="C34145" t="s">
        <v>433</v>
      </c>
      <c r="F34145">
        <v>4.71213439996696E-9</v>
      </c>
      <c r="G34145">
        <v>40641218</v>
      </c>
      <c r="H34145">
        <v>11101037</v>
      </c>
      <c r="I34145">
        <v>32256629</v>
      </c>
      <c r="J34145">
        <v>3</v>
      </c>
    </row>
    <row r="34146" spans="1:10" x14ac:dyDescent="0.25">
      <c r="A34146" t="s">
        <v>381</v>
      </c>
      <c r="B34146" s="1" t="str">
        <f>HYPERLINK("http://mikekellytoyota.com","mikekellytoyota.com")</f>
        <v>mikekellytoyota.com</v>
      </c>
      <c r="C34146" t="s">
        <v>433</v>
      </c>
      <c r="F34146">
        <v>8.0190558054974408E-9</v>
      </c>
      <c r="G34146">
        <v>9885975</v>
      </c>
      <c r="H34146">
        <v>12464270</v>
      </c>
      <c r="I34146">
        <v>17824781</v>
      </c>
      <c r="J34146">
        <v>3</v>
      </c>
    </row>
    <row r="34147" spans="1:10" x14ac:dyDescent="0.25">
      <c r="A34147" t="s">
        <v>381</v>
      </c>
      <c r="B34147" s="1" t="str">
        <f>HYPERLINK("http://miltontoyota.com","miltontoyota.com")</f>
        <v>miltontoyota.com</v>
      </c>
      <c r="C34147" t="s">
        <v>433</v>
      </c>
      <c r="F34147">
        <v>6.4897802076070498E-9</v>
      </c>
      <c r="G34147">
        <v>14120902</v>
      </c>
      <c r="H34147">
        <v>12785085</v>
      </c>
      <c r="I34147">
        <v>14716101</v>
      </c>
      <c r="J34147">
        <v>3</v>
      </c>
    </row>
    <row r="34148" spans="1:10" x14ac:dyDescent="0.25">
      <c r="A34148" t="s">
        <v>381</v>
      </c>
      <c r="B34148" s="1" t="str">
        <f>HYPERLINK("http://mississaugatoyota.com","mississaugatoyota.com")</f>
        <v>mississaugatoyota.com</v>
      </c>
      <c r="C34148" t="s">
        <v>433</v>
      </c>
      <c r="F34148">
        <v>3.0311661247794501E-8</v>
      </c>
      <c r="G34148">
        <v>1698172</v>
      </c>
      <c r="H34148">
        <v>13769266</v>
      </c>
      <c r="I34148">
        <v>6800913</v>
      </c>
      <c r="J34148">
        <v>3</v>
      </c>
    </row>
    <row r="34149" spans="1:10" x14ac:dyDescent="0.25">
      <c r="A34149" t="s">
        <v>381</v>
      </c>
      <c r="B34149" s="1" t="str">
        <f>HYPERLINK("http://mundolexus.com","mundolexus.com")</f>
        <v>mundolexus.com</v>
      </c>
      <c r="C34149" t="s">
        <v>433</v>
      </c>
      <c r="F34149">
        <v>8.7398575243364594E-9</v>
      </c>
      <c r="G34149">
        <v>8409880</v>
      </c>
      <c r="H34149">
        <v>14492188</v>
      </c>
      <c r="I34149">
        <v>896840</v>
      </c>
      <c r="J34149">
        <v>7</v>
      </c>
    </row>
    <row r="34150" spans="1:10" x14ac:dyDescent="0.25">
      <c r="A34150" t="s">
        <v>381</v>
      </c>
      <c r="B34150" s="1" t="str">
        <f>HYPERLINK("http://nbt-brunei.com","nbt-brunei.com")</f>
        <v>nbt-brunei.com</v>
      </c>
      <c r="C34150" t="s">
        <v>433</v>
      </c>
      <c r="F34150">
        <v>5.7231186397872997E-9</v>
      </c>
      <c r="G34150">
        <v>18722434</v>
      </c>
      <c r="H34150">
        <v>14072233</v>
      </c>
      <c r="I34150">
        <v>3131324</v>
      </c>
      <c r="J34150">
        <v>3</v>
      </c>
    </row>
    <row r="34151" spans="1:10" x14ac:dyDescent="0.25">
      <c r="A34151" t="s">
        <v>381</v>
      </c>
      <c r="B34151" s="1" t="str">
        <f>HYPERLINK("http://netz-sapporo.com","netz-sapporo.com")</f>
        <v>netz-sapporo.com</v>
      </c>
      <c r="C34151" t="s">
        <v>433</v>
      </c>
      <c r="F34151">
        <v>1.8899762042511899E-8</v>
      </c>
      <c r="G34151">
        <v>2853496</v>
      </c>
      <c r="H34151">
        <v>13163339</v>
      </c>
      <c r="I34151">
        <v>11755062</v>
      </c>
      <c r="J34151">
        <v>3</v>
      </c>
    </row>
    <row r="34152" spans="1:10" x14ac:dyDescent="0.25">
      <c r="A34152" t="s">
        <v>381</v>
      </c>
      <c r="B34152" s="1" t="str">
        <f>HYPERLINK("http://netzdoto.com","netzdoto.com")</f>
        <v>netzdoto.com</v>
      </c>
      <c r="C34152" t="s">
        <v>433</v>
      </c>
      <c r="F34152">
        <v>4.6186971301408503E-9</v>
      </c>
      <c r="G34152">
        <v>46223964</v>
      </c>
      <c r="H34152">
        <v>13210122</v>
      </c>
      <c r="I34152">
        <v>11428413</v>
      </c>
      <c r="J34152">
        <v>7</v>
      </c>
    </row>
    <row r="34153" spans="1:10" x14ac:dyDescent="0.25">
      <c r="A34153" t="s">
        <v>381</v>
      </c>
      <c r="B34153" s="1" t="str">
        <f>HYPERLINK("http://newboldtoyota.com","newboldtoyota.com")</f>
        <v>newboldtoyota.com</v>
      </c>
      <c r="C34153" t="s">
        <v>433</v>
      </c>
      <c r="F34153">
        <v>8.7753342229209595E-9</v>
      </c>
      <c r="G34153">
        <v>8350825</v>
      </c>
      <c r="H34153">
        <v>12462470</v>
      </c>
      <c r="I34153">
        <v>17843685</v>
      </c>
      <c r="J34153">
        <v>3</v>
      </c>
    </row>
    <row r="34154" spans="1:10" x14ac:dyDescent="0.25">
      <c r="A34154" t="s">
        <v>381</v>
      </c>
      <c r="B34154" s="1" t="str">
        <f>HYPERLINK("http://newcountrywestporttoyota.com","newcountrywestporttoyota.com")</f>
        <v>newcountrywestporttoyota.com</v>
      </c>
      <c r="C34154" t="s">
        <v>433</v>
      </c>
      <c r="F34154">
        <v>6.9909607763812004E-9</v>
      </c>
      <c r="G34154">
        <v>12338503</v>
      </c>
      <c r="H34154">
        <v>12461398</v>
      </c>
      <c r="I34154">
        <v>17859838</v>
      </c>
      <c r="J34154">
        <v>3</v>
      </c>
    </row>
    <row r="34155" spans="1:10" x14ac:dyDescent="0.25">
      <c r="A34155" t="s">
        <v>381</v>
      </c>
      <c r="B34155" s="1" t="str">
        <f>HYPERLINK("http://nexty-ele.com","nexty-ele.com")</f>
        <v>nexty-ele.com</v>
      </c>
      <c r="C34155" t="s">
        <v>433</v>
      </c>
      <c r="E34155">
        <v>359927</v>
      </c>
      <c r="F34155">
        <v>7.0847114760187998E-8</v>
      </c>
      <c r="G34155">
        <v>597183</v>
      </c>
      <c r="H34155">
        <v>13407256</v>
      </c>
      <c r="I34155">
        <v>10348301</v>
      </c>
      <c r="J34155">
        <v>8</v>
      </c>
    </row>
    <row r="34156" spans="1:10" x14ac:dyDescent="0.25">
      <c r="A34156" t="s">
        <v>381</v>
      </c>
      <c r="B34156" s="1" t="str">
        <f>HYPERLINK("http://normreevestoyotasandiego.com","normreevestoyotasandiego.com")</f>
        <v>normreevestoyotasandiego.com</v>
      </c>
      <c r="C34156" t="s">
        <v>433</v>
      </c>
      <c r="E34156">
        <v>781018</v>
      </c>
      <c r="F34156">
        <v>1.7687938991269499E-8</v>
      </c>
      <c r="G34156">
        <v>3099355</v>
      </c>
      <c r="H34156">
        <v>12638463</v>
      </c>
      <c r="I34156">
        <v>15887820</v>
      </c>
      <c r="J34156">
        <v>3</v>
      </c>
    </row>
    <row r="34157" spans="1:10" x14ac:dyDescent="0.25">
      <c r="A34157" t="s">
        <v>381</v>
      </c>
      <c r="B34157" s="1" t="str">
        <f>HYPERLINK("http://northtownlexus.com","northtownlexus.com")</f>
        <v>northtownlexus.com</v>
      </c>
      <c r="C34157" t="s">
        <v>433</v>
      </c>
      <c r="F34157">
        <v>6.6274409385184398E-9</v>
      </c>
      <c r="G34157">
        <v>13569596</v>
      </c>
      <c r="H34157">
        <v>12409991</v>
      </c>
      <c r="I34157">
        <v>18608786</v>
      </c>
      <c r="J34157">
        <v>7</v>
      </c>
    </row>
    <row r="34158" spans="1:10" x14ac:dyDescent="0.25">
      <c r="A34158" t="s">
        <v>381</v>
      </c>
      <c r="B34158" s="1" t="str">
        <f>HYPERLINK("http://northwestlexus.com","northwestlexus.com")</f>
        <v>northwestlexus.com</v>
      </c>
      <c r="C34158" t="s">
        <v>433</v>
      </c>
      <c r="F34158">
        <v>9.6625057804123696E-9</v>
      </c>
      <c r="G34158">
        <v>7125780</v>
      </c>
      <c r="H34158">
        <v>14238384</v>
      </c>
      <c r="I34158">
        <v>1527815</v>
      </c>
      <c r="J34158">
        <v>7</v>
      </c>
    </row>
    <row r="34159" spans="1:10" x14ac:dyDescent="0.25">
      <c r="A34159" t="s">
        <v>381</v>
      </c>
      <c r="B34159" s="1" t="str">
        <f>HYPERLINK("http://openroadtoyotaabbotsford.com","openroadtoyotaabbotsford.com")</f>
        <v>openroadtoyotaabbotsford.com</v>
      </c>
      <c r="C34159" t="s">
        <v>433</v>
      </c>
      <c r="F34159">
        <v>1.07237607398863E-8</v>
      </c>
      <c r="G34159">
        <v>6080802</v>
      </c>
      <c r="H34159">
        <v>12215232</v>
      </c>
      <c r="I34159">
        <v>22898170</v>
      </c>
      <c r="J34159">
        <v>3</v>
      </c>
    </row>
    <row r="34160" spans="1:10" x14ac:dyDescent="0.25">
      <c r="A34160" t="s">
        <v>381</v>
      </c>
      <c r="B34160" s="1" t="str">
        <f>HYPERLINK("http://orlandtoyota.com","orlandtoyota.com")</f>
        <v>orlandtoyota.com</v>
      </c>
      <c r="C34160" t="s">
        <v>433</v>
      </c>
      <c r="F34160">
        <v>7.0003136114400498E-9</v>
      </c>
      <c r="G34160">
        <v>12311175</v>
      </c>
      <c r="H34160">
        <v>12464188</v>
      </c>
      <c r="I34160">
        <v>17825895</v>
      </c>
      <c r="J34160">
        <v>3</v>
      </c>
    </row>
    <row r="34161" spans="1:10" x14ac:dyDescent="0.25">
      <c r="A34161" t="s">
        <v>381</v>
      </c>
      <c r="B34161" s="1" t="str">
        <f>HYPERLINK("http://parkerlexus.com","parkerlexus.com")</f>
        <v>parkerlexus.com</v>
      </c>
      <c r="C34161" t="s">
        <v>433</v>
      </c>
      <c r="F34161">
        <v>5.7105643510745398E-9</v>
      </c>
      <c r="G34161">
        <v>18833102</v>
      </c>
      <c r="H34161">
        <v>12322394</v>
      </c>
      <c r="I34161">
        <v>20368315</v>
      </c>
      <c r="J34161">
        <v>7</v>
      </c>
    </row>
    <row r="34162" spans="1:10" x14ac:dyDescent="0.25">
      <c r="A34162" t="s">
        <v>381</v>
      </c>
      <c r="B34162" s="1" t="str">
        <f>HYPERLINK("http://parkwaytoyotaboston.com","parkwaytoyotaboston.com")</f>
        <v>parkwaytoyotaboston.com</v>
      </c>
      <c r="C34162" t="s">
        <v>433</v>
      </c>
      <c r="F34162">
        <v>7.0911192613652503E-9</v>
      </c>
      <c r="G34162">
        <v>12039807</v>
      </c>
      <c r="H34162">
        <v>12452569</v>
      </c>
      <c r="I34162">
        <v>17965328</v>
      </c>
      <c r="J34162">
        <v>3</v>
      </c>
    </row>
    <row r="34163" spans="1:10" x14ac:dyDescent="0.25">
      <c r="A34163" t="s">
        <v>381</v>
      </c>
      <c r="B34163" s="1" t="str">
        <f>HYPERLINK("http://patkellyautopoint.com","patkellyautopoint.com")</f>
        <v>patkellyautopoint.com</v>
      </c>
      <c r="C34163" t="s">
        <v>433</v>
      </c>
      <c r="F34163">
        <v>5.18360415838879E-9</v>
      </c>
      <c r="G34163">
        <v>25455098</v>
      </c>
      <c r="H34163">
        <v>10825421</v>
      </c>
      <c r="I34163">
        <v>37496735</v>
      </c>
      <c r="J34163">
        <v>3</v>
      </c>
    </row>
    <row r="34164" spans="1:10" x14ac:dyDescent="0.25">
      <c r="A34164" t="s">
        <v>381</v>
      </c>
      <c r="B34164" s="1" t="str">
        <f>HYPERLINK("http://paulytoyota.com","paulytoyota.com")</f>
        <v>paulytoyota.com</v>
      </c>
      <c r="C34164" t="s">
        <v>433</v>
      </c>
      <c r="F34164">
        <v>1.52828386941677E-8</v>
      </c>
      <c r="G34164">
        <v>3750848</v>
      </c>
      <c r="H34164">
        <v>12564451</v>
      </c>
      <c r="I34164">
        <v>16675022</v>
      </c>
      <c r="J34164">
        <v>3</v>
      </c>
    </row>
    <row r="34165" spans="1:10" x14ac:dyDescent="0.25">
      <c r="A34165" t="s">
        <v>381</v>
      </c>
      <c r="B34165" s="1" t="str">
        <f>HYPERLINK("http://peterboulwaretoyota.com","peterboulwaretoyota.com")</f>
        <v>peterboulwaretoyota.com</v>
      </c>
      <c r="C34165" t="s">
        <v>433</v>
      </c>
      <c r="F34165">
        <v>1.3712263519055399E-8</v>
      </c>
      <c r="G34165">
        <v>4316260</v>
      </c>
      <c r="H34165">
        <v>12728541</v>
      </c>
      <c r="I34165">
        <v>15204232</v>
      </c>
      <c r="J34165">
        <v>3</v>
      </c>
    </row>
    <row r="34166" spans="1:10" x14ac:dyDescent="0.25">
      <c r="A34166" t="s">
        <v>381</v>
      </c>
      <c r="B34166" s="1" t="str">
        <f>HYPERLINK("http://pretoy.com","pretoy.com")</f>
        <v>pretoy.com</v>
      </c>
      <c r="C34166" t="s">
        <v>433</v>
      </c>
      <c r="E34166">
        <v>721046</v>
      </c>
      <c r="F34166">
        <v>8.4918165749194705E-9</v>
      </c>
      <c r="G34166">
        <v>8861014</v>
      </c>
      <c r="H34166">
        <v>12913615</v>
      </c>
      <c r="I34166">
        <v>13528392</v>
      </c>
      <c r="J34166">
        <v>3</v>
      </c>
    </row>
    <row r="34167" spans="1:10" x14ac:dyDescent="0.25">
      <c r="A34167" t="s">
        <v>381</v>
      </c>
      <c r="B34167" s="1" t="str">
        <f>HYPERLINK("http://priceleblanclexus.com","priceleblanclexus.com")</f>
        <v>priceleblanclexus.com</v>
      </c>
      <c r="C34167" t="s">
        <v>433</v>
      </c>
      <c r="F34167">
        <v>5.1277382516890902E-9</v>
      </c>
      <c r="G34167">
        <v>26497842</v>
      </c>
      <c r="H34167">
        <v>12159816</v>
      </c>
      <c r="I34167">
        <v>24367780</v>
      </c>
      <c r="J34167">
        <v>7</v>
      </c>
    </row>
    <row r="34168" spans="1:10" x14ac:dyDescent="0.25">
      <c r="A34168" t="s">
        <v>381</v>
      </c>
      <c r="B34168" s="1" t="str">
        <f>HYPERLINK("http://priceleblanctoyota.com","priceleblanctoyota.com")</f>
        <v>priceleblanctoyota.com</v>
      </c>
      <c r="C34168" t="s">
        <v>433</v>
      </c>
      <c r="F34168">
        <v>7.9638210930371198E-9</v>
      </c>
      <c r="G34168">
        <v>9987838</v>
      </c>
      <c r="H34168">
        <v>12455347</v>
      </c>
      <c r="I34168">
        <v>17929830</v>
      </c>
      <c r="J34168">
        <v>3</v>
      </c>
    </row>
    <row r="34169" spans="1:10" x14ac:dyDescent="0.25">
      <c r="A34169" t="s">
        <v>381</v>
      </c>
      <c r="B34169" s="1" t="str">
        <f>HYPERLINK("http://putnamtoyota.com","putnamtoyota.com")</f>
        <v>putnamtoyota.com</v>
      </c>
      <c r="C34169" t="s">
        <v>433</v>
      </c>
      <c r="F34169">
        <v>9.8313050596793293E-9</v>
      </c>
      <c r="G34169">
        <v>6935741</v>
      </c>
      <c r="H34169">
        <v>13094281</v>
      </c>
      <c r="I34169">
        <v>12127767</v>
      </c>
      <c r="J34169">
        <v>3</v>
      </c>
    </row>
    <row r="34170" spans="1:10" x14ac:dyDescent="0.25">
      <c r="A34170" t="s">
        <v>381</v>
      </c>
      <c r="B34170" s="1" t="str">
        <f>HYPERLINK("http://queensborotoyota.com","queensborotoyota.com")</f>
        <v>queensborotoyota.com</v>
      </c>
      <c r="C34170" t="s">
        <v>433</v>
      </c>
      <c r="F34170">
        <v>7.9715722791361007E-9</v>
      </c>
      <c r="G34170">
        <v>9973471</v>
      </c>
      <c r="H34170">
        <v>12552271</v>
      </c>
      <c r="I34170">
        <v>16806458</v>
      </c>
      <c r="J34170">
        <v>3</v>
      </c>
    </row>
    <row r="34171" spans="1:10" x14ac:dyDescent="0.25">
      <c r="A34171" t="s">
        <v>381</v>
      </c>
      <c r="B34171" s="1" t="str">
        <f>HYPERLINK("http://redmccombstoyota.com","redmccombstoyota.com")</f>
        <v>redmccombstoyota.com</v>
      </c>
      <c r="C34171" t="s">
        <v>433</v>
      </c>
      <c r="F34171">
        <v>9.3344555611040807E-9</v>
      </c>
      <c r="G34171">
        <v>7528613</v>
      </c>
      <c r="H34171">
        <v>12464778</v>
      </c>
      <c r="I34171">
        <v>17819939</v>
      </c>
      <c r="J34171">
        <v>3</v>
      </c>
    </row>
    <row r="34172" spans="1:10" x14ac:dyDescent="0.25">
      <c r="A34172" t="s">
        <v>381</v>
      </c>
      <c r="B34172" s="1" t="str">
        <f>HYPERLINK("http://reinhardtlexus.com","reinhardtlexus.com")</f>
        <v>reinhardtlexus.com</v>
      </c>
      <c r="C34172" t="s">
        <v>433</v>
      </c>
      <c r="F34172">
        <v>8.8518662060707802E-9</v>
      </c>
      <c r="G34172">
        <v>8221385</v>
      </c>
      <c r="H34172">
        <v>13061396</v>
      </c>
      <c r="I34172">
        <v>12325376</v>
      </c>
      <c r="J34172">
        <v>7</v>
      </c>
    </row>
    <row r="34173" spans="1:10" x14ac:dyDescent="0.25">
      <c r="A34173" t="s">
        <v>381</v>
      </c>
      <c r="B34173" s="1" t="str">
        <f>HYPERLINK("http://rent-a-lease.com","rent-a-lease.com")</f>
        <v>rent-a-lease.com</v>
      </c>
      <c r="C34173" t="s">
        <v>433</v>
      </c>
      <c r="F34173">
        <v>1.8972708042293801E-8</v>
      </c>
      <c r="G34173">
        <v>2840697</v>
      </c>
      <c r="H34173">
        <v>14078545</v>
      </c>
      <c r="I34173">
        <v>2845181</v>
      </c>
      <c r="J34173">
        <v>5</v>
      </c>
    </row>
    <row r="34174" spans="1:10" x14ac:dyDescent="0.25">
      <c r="A34174" t="s">
        <v>381</v>
      </c>
      <c r="B34174" s="1" t="str">
        <f>HYPERLINK("http://ribauto2srl.com","ribauto2srl.com")</f>
        <v>ribauto2srl.com</v>
      </c>
      <c r="C34174" t="s">
        <v>433</v>
      </c>
      <c r="F34174">
        <v>1.1701982352037499E-8</v>
      </c>
      <c r="G34174">
        <v>5365198</v>
      </c>
      <c r="H34174">
        <v>12000462</v>
      </c>
      <c r="I34174">
        <v>28249345</v>
      </c>
      <c r="J34174">
        <v>3</v>
      </c>
    </row>
    <row r="34175" spans="1:10" x14ac:dyDescent="0.25">
      <c r="A34175" t="s">
        <v>381</v>
      </c>
      <c r="B34175" s="1" t="str">
        <f>HYPERLINK("http://ricetoyota.com","ricetoyota.com")</f>
        <v>ricetoyota.com</v>
      </c>
      <c r="C34175" t="s">
        <v>433</v>
      </c>
      <c r="F34175">
        <v>1.02217334198926E-8</v>
      </c>
      <c r="G34175">
        <v>6525792</v>
      </c>
      <c r="H34175">
        <v>12948639</v>
      </c>
      <c r="I34175">
        <v>13219862</v>
      </c>
      <c r="J34175">
        <v>3</v>
      </c>
    </row>
    <row r="34176" spans="1:10" x14ac:dyDescent="0.25">
      <c r="A34176" t="s">
        <v>381</v>
      </c>
      <c r="B34176" s="1" t="str">
        <f>HYPERLINK("http://richmondhilltoyota.com","richmondhilltoyota.com")</f>
        <v>richmondhilltoyota.com</v>
      </c>
      <c r="C34176" t="s">
        <v>433</v>
      </c>
      <c r="F34176">
        <v>7.0515774002733296E-9</v>
      </c>
      <c r="G34176">
        <v>12151133</v>
      </c>
      <c r="H34176">
        <v>12799242</v>
      </c>
      <c r="I34176">
        <v>14641791</v>
      </c>
      <c r="J34176">
        <v>3</v>
      </c>
    </row>
    <row r="34177" spans="1:10" x14ac:dyDescent="0.25">
      <c r="A34177" t="s">
        <v>381</v>
      </c>
      <c r="B34177" s="1" t="str">
        <f>HYPERLINK("http://rickcollinssiouxcitytoyota.com","rickcollinssiouxcitytoyota.com")</f>
        <v>rickcollinssiouxcitytoyota.com</v>
      </c>
      <c r="C34177" t="s">
        <v>433</v>
      </c>
      <c r="J34177">
        <v>3</v>
      </c>
    </row>
    <row r="34178" spans="1:10" x14ac:dyDescent="0.25">
      <c r="A34178" t="s">
        <v>381</v>
      </c>
      <c r="B34178" s="1" t="str">
        <f>HYPERLINK("http://sasiraq.com","sasiraq.com")</f>
        <v>sasiraq.com</v>
      </c>
      <c r="C34178" t="s">
        <v>433</v>
      </c>
      <c r="F34178">
        <v>5.9750781171975099E-9</v>
      </c>
      <c r="G34178">
        <v>16849626</v>
      </c>
      <c r="H34178">
        <v>10526689</v>
      </c>
      <c r="I34178">
        <v>48907625</v>
      </c>
      <c r="J34178">
        <v>3</v>
      </c>
    </row>
    <row r="34179" spans="1:10" x14ac:dyDescent="0.25">
      <c r="A34179" t="s">
        <v>381</v>
      </c>
      <c r="B34179" s="1" t="str">
        <f>HYPERLINK("http://savviihq.com","savviihq.com")</f>
        <v>savviihq.com</v>
      </c>
      <c r="C34179" t="s">
        <v>433</v>
      </c>
      <c r="E34179">
        <v>270260</v>
      </c>
      <c r="F34179">
        <v>8.6964091787463901E-7</v>
      </c>
      <c r="G34179">
        <v>46038</v>
      </c>
      <c r="H34179">
        <v>15122865</v>
      </c>
      <c r="I34179">
        <v>403330</v>
      </c>
      <c r="J34179">
        <v>14</v>
      </c>
    </row>
    <row r="34180" spans="1:10" x14ac:dyDescent="0.25">
      <c r="A34180" t="s">
        <v>381</v>
      </c>
      <c r="B34180" s="1" t="str">
        <f>HYPERLINK("http://seiren.com","seiren.com")</f>
        <v>seiren.com</v>
      </c>
      <c r="C34180" t="s">
        <v>433</v>
      </c>
      <c r="E34180">
        <v>886962</v>
      </c>
      <c r="F34180">
        <v>7.1585270843971402E-8</v>
      </c>
      <c r="G34180">
        <v>590251</v>
      </c>
      <c r="H34180">
        <v>13854026</v>
      </c>
      <c r="I34180">
        <v>6047452</v>
      </c>
      <c r="J34180">
        <v>3</v>
      </c>
    </row>
    <row r="34181" spans="1:10" x14ac:dyDescent="0.25">
      <c r="A34181" t="s">
        <v>381</v>
      </c>
      <c r="B34181" s="1" t="str">
        <f>HYPERLINK("http://servcolexus.com","servcolexus.com")</f>
        <v>servcolexus.com</v>
      </c>
      <c r="C34181" t="s">
        <v>433</v>
      </c>
      <c r="F34181">
        <v>1.43871566261332E-8</v>
      </c>
      <c r="G34181">
        <v>4061531</v>
      </c>
      <c r="H34181">
        <v>12297089</v>
      </c>
      <c r="I34181">
        <v>20923619</v>
      </c>
      <c r="J34181">
        <v>7</v>
      </c>
    </row>
    <row r="34182" spans="1:10" x14ac:dyDescent="0.25">
      <c r="A34182" t="s">
        <v>381</v>
      </c>
      <c r="B34182" s="1" t="str">
        <f>HYPERLINK("http://sftoyota.com","sftoyota.com")</f>
        <v>sftoyota.com</v>
      </c>
      <c r="C34182" t="s">
        <v>433</v>
      </c>
      <c r="E34182">
        <v>874189</v>
      </c>
      <c r="F34182">
        <v>1.3792071773317299E-8</v>
      </c>
      <c r="G34182">
        <v>4284754</v>
      </c>
      <c r="H34182">
        <v>13188334</v>
      </c>
      <c r="I34182">
        <v>11608590</v>
      </c>
      <c r="J34182">
        <v>3</v>
      </c>
    </row>
    <row r="34183" spans="1:10" x14ac:dyDescent="0.25">
      <c r="A34183" t="s">
        <v>381</v>
      </c>
      <c r="B34183" s="1" t="str">
        <f>HYPERLINK("http://shelbournemotors.com","shelbournemotors.com")</f>
        <v>shelbournemotors.com</v>
      </c>
      <c r="C34183" t="s">
        <v>433</v>
      </c>
      <c r="F34183">
        <v>1.3171661864978401E-8</v>
      </c>
      <c r="G34183">
        <v>4551049</v>
      </c>
      <c r="H34183">
        <v>13069500</v>
      </c>
      <c r="I34183">
        <v>12251076</v>
      </c>
      <c r="J34183">
        <v>9</v>
      </c>
    </row>
    <row r="34184" spans="1:10" x14ac:dyDescent="0.25">
      <c r="A34184" t="s">
        <v>381</v>
      </c>
      <c r="B34184" s="1" t="str">
        <f>HYPERLINK("http://silverwoodtoyota.com","silverwoodtoyota.com")</f>
        <v>silverwoodtoyota.com</v>
      </c>
      <c r="C34184" t="s">
        <v>433</v>
      </c>
      <c r="F34184">
        <v>5.0023537619087002E-9</v>
      </c>
      <c r="G34184">
        <v>29353656</v>
      </c>
      <c r="H34184">
        <v>12204857</v>
      </c>
      <c r="I34184">
        <v>23194272</v>
      </c>
      <c r="J34184">
        <v>3</v>
      </c>
    </row>
    <row r="34185" spans="1:10" x14ac:dyDescent="0.25">
      <c r="A34185" t="s">
        <v>381</v>
      </c>
      <c r="B34185" s="1" t="str">
        <f>HYPERLINK("http://sloanetoyotaglenside.com","sloanetoyotaglenside.com")</f>
        <v>sloanetoyotaglenside.com</v>
      </c>
      <c r="C34185" t="s">
        <v>433</v>
      </c>
      <c r="F34185">
        <v>8.6703634071527293E-9</v>
      </c>
      <c r="G34185">
        <v>8529236</v>
      </c>
      <c r="H34185">
        <v>12715749</v>
      </c>
      <c r="I34185">
        <v>15273422</v>
      </c>
      <c r="J34185">
        <v>3</v>
      </c>
    </row>
    <row r="34186" spans="1:10" x14ac:dyDescent="0.25">
      <c r="A34186" t="s">
        <v>381</v>
      </c>
      <c r="B34186" s="1" t="str">
        <f>HYPERLINK("http://sloanetoyotaphiladelphia.com","sloanetoyotaphiladelphia.com")</f>
        <v>sloanetoyotaphiladelphia.com</v>
      </c>
      <c r="C34186" t="s">
        <v>433</v>
      </c>
      <c r="F34186">
        <v>1.35638960070134E-8</v>
      </c>
      <c r="G34186">
        <v>4376954</v>
      </c>
      <c r="H34186">
        <v>12718774</v>
      </c>
      <c r="I34186">
        <v>15257996</v>
      </c>
      <c r="J34186">
        <v>3</v>
      </c>
    </row>
    <row r="34187" spans="1:10" x14ac:dyDescent="0.25">
      <c r="A34187" t="s">
        <v>381</v>
      </c>
      <c r="B34187" s="1" t="str">
        <f>HYPERLINK("http://smarttoyota.com","smarttoyota.com")</f>
        <v>smarttoyota.com</v>
      </c>
      <c r="C34187" t="s">
        <v>433</v>
      </c>
      <c r="F34187">
        <v>1.8031556091253198E-8</v>
      </c>
      <c r="G34187">
        <v>3024063</v>
      </c>
      <c r="H34187">
        <v>13318403</v>
      </c>
      <c r="I34187">
        <v>10752391</v>
      </c>
      <c r="J34187">
        <v>3</v>
      </c>
    </row>
    <row r="34188" spans="1:10" x14ac:dyDescent="0.25">
      <c r="A34188" t="s">
        <v>381</v>
      </c>
      <c r="B34188" s="1" t="str">
        <f>HYPERLINK("http://soil-sensing.com","soil-sensing.com")</f>
        <v>soil-sensing.com</v>
      </c>
      <c r="C34188" t="s">
        <v>433</v>
      </c>
      <c r="J34188">
        <v>2</v>
      </c>
    </row>
    <row r="34189" spans="1:10" x14ac:dyDescent="0.25">
      <c r="A34189" t="s">
        <v>381</v>
      </c>
      <c r="B34189" s="1" t="str">
        <f>HYPERLINK("http://sptoyota.com","sptoyota.com")</f>
        <v>sptoyota.com</v>
      </c>
      <c r="C34189" t="s">
        <v>433</v>
      </c>
      <c r="F34189">
        <v>8.8212474462042902E-9</v>
      </c>
      <c r="G34189">
        <v>8270283</v>
      </c>
      <c r="H34189">
        <v>12438587</v>
      </c>
      <c r="I34189">
        <v>18161599</v>
      </c>
      <c r="J34189">
        <v>3</v>
      </c>
    </row>
    <row r="34190" spans="1:10" x14ac:dyDescent="0.25">
      <c r="A34190" t="s">
        <v>381</v>
      </c>
      <c r="B34190" s="1" t="str">
        <f>HYPERLINK("http://stadiumtoyota.com","stadiumtoyota.com")</f>
        <v>stadiumtoyota.com</v>
      </c>
      <c r="C34190" t="s">
        <v>433</v>
      </c>
      <c r="F34190">
        <v>8.8217646908899694E-9</v>
      </c>
      <c r="G34190">
        <v>8269471</v>
      </c>
      <c r="H34190">
        <v>13016061</v>
      </c>
      <c r="I34190">
        <v>12728429</v>
      </c>
      <c r="J34190">
        <v>3</v>
      </c>
    </row>
    <row r="34191" spans="1:10" x14ac:dyDescent="0.25">
      <c r="A34191" t="s">
        <v>381</v>
      </c>
      <c r="B34191" s="1" t="str">
        <f>HYPERLINK("http://stampedetoyota.com","stampedetoyota.com")</f>
        <v>stampedetoyota.com</v>
      </c>
      <c r="C34191" t="s">
        <v>433</v>
      </c>
      <c r="F34191">
        <v>5.2213805822827696E-9</v>
      </c>
      <c r="G34191">
        <v>24721435</v>
      </c>
      <c r="H34191">
        <v>12194296</v>
      </c>
      <c r="I34191">
        <v>23472169</v>
      </c>
      <c r="J34191">
        <v>3</v>
      </c>
    </row>
    <row r="34192" spans="1:10" x14ac:dyDescent="0.25">
      <c r="A34192" t="s">
        <v>381</v>
      </c>
      <c r="B34192" s="1" t="str">
        <f>HYPERLINK("http://steckels.com","steckels.com")</f>
        <v>steckels.com</v>
      </c>
      <c r="C34192" t="s">
        <v>433</v>
      </c>
      <c r="F34192">
        <v>4.6536502511525803E-9</v>
      </c>
      <c r="G34192">
        <v>43915597</v>
      </c>
      <c r="H34192">
        <v>1.0003663</v>
      </c>
      <c r="I34192">
        <v>79074991</v>
      </c>
      <c r="J34192">
        <v>3</v>
      </c>
    </row>
    <row r="34193" spans="1:10" x14ac:dyDescent="0.25">
      <c r="A34193" t="s">
        <v>381</v>
      </c>
      <c r="B34193" s="1" t="str">
        <f>HYPERLINK("http://stephentoyota.com","stephentoyota.com")</f>
        <v>stephentoyota.com</v>
      </c>
      <c r="C34193" t="s">
        <v>433</v>
      </c>
      <c r="F34193">
        <v>8.1945486164189098E-9</v>
      </c>
      <c r="G34193">
        <v>9580147</v>
      </c>
      <c r="H34193">
        <v>12636815</v>
      </c>
      <c r="I34193">
        <v>15898593</v>
      </c>
      <c r="J34193">
        <v>3</v>
      </c>
    </row>
    <row r="34194" spans="1:10" x14ac:dyDescent="0.25">
      <c r="A34194" t="s">
        <v>381</v>
      </c>
      <c r="B34194" s="1" t="str">
        <f>HYPERLINK("http://stevinsonlexusoflakewood.com","stevinsonlexusoflakewood.com")</f>
        <v>stevinsonlexusoflakewood.com</v>
      </c>
      <c r="C34194" t="s">
        <v>433</v>
      </c>
      <c r="F34194">
        <v>5.7687159569338397E-9</v>
      </c>
      <c r="G34194">
        <v>18336779</v>
      </c>
      <c r="H34194">
        <v>12282693</v>
      </c>
      <c r="I34194">
        <v>21254868</v>
      </c>
      <c r="J34194">
        <v>7</v>
      </c>
    </row>
    <row r="34195" spans="1:10" x14ac:dyDescent="0.25">
      <c r="A34195" t="s">
        <v>381</v>
      </c>
      <c r="B34195" s="1" t="str">
        <f>HYPERLINK("http://stucomm.com","stucomm.com")</f>
        <v>stucomm.com</v>
      </c>
      <c r="C34195" t="s">
        <v>433</v>
      </c>
      <c r="F34195">
        <v>5.0227534653773402E-8</v>
      </c>
      <c r="G34195">
        <v>915997</v>
      </c>
      <c r="H34195">
        <v>16753149</v>
      </c>
      <c r="I34195">
        <v>249146</v>
      </c>
      <c r="J34195">
        <v>16</v>
      </c>
    </row>
    <row r="34196" spans="1:10" x14ac:dyDescent="0.25">
      <c r="A34196" t="s">
        <v>381</v>
      </c>
      <c r="B34196" s="1" t="str">
        <f>HYPERLINK("http://taiamerica.com","taiamerica.com")</f>
        <v>taiamerica.com</v>
      </c>
      <c r="C34196" t="s">
        <v>433</v>
      </c>
      <c r="E34196">
        <v>525599</v>
      </c>
      <c r="F34196">
        <v>2.5261138336656102E-8</v>
      </c>
      <c r="G34196">
        <v>2042953</v>
      </c>
      <c r="H34196">
        <v>12813632</v>
      </c>
      <c r="I34196">
        <v>14545146</v>
      </c>
      <c r="J34196">
        <v>8</v>
      </c>
    </row>
    <row r="34197" spans="1:10" x14ac:dyDescent="0.25">
      <c r="A34197" t="s">
        <v>381</v>
      </c>
      <c r="B34197" s="1" t="str">
        <f>HYPERLINK("http://tanskymotorinc.com","tanskymotorinc.com")</f>
        <v>tanskymotorinc.com</v>
      </c>
      <c r="C34197" t="s">
        <v>433</v>
      </c>
      <c r="F34197">
        <v>5.42136808547955E-9</v>
      </c>
      <c r="G34197">
        <v>21845169</v>
      </c>
      <c r="H34197">
        <v>10925628</v>
      </c>
      <c r="I34197">
        <v>35154976</v>
      </c>
      <c r="J34197">
        <v>3</v>
      </c>
    </row>
    <row r="34198" spans="1:10" x14ac:dyDescent="0.25">
      <c r="A34198" t="s">
        <v>381</v>
      </c>
      <c r="B34198" s="1" t="str">
        <f>HYPERLINK("http://teendrive365inschool.com","teendrive365inschool.com")</f>
        <v>teendrive365inschool.com</v>
      </c>
      <c r="C34198" t="s">
        <v>433</v>
      </c>
      <c r="F34198">
        <v>3.7757666646391997E-8</v>
      </c>
      <c r="G34198">
        <v>1370454</v>
      </c>
      <c r="H34198">
        <v>13675339</v>
      </c>
      <c r="I34198">
        <v>9540455</v>
      </c>
      <c r="J34198">
        <v>7</v>
      </c>
    </row>
    <row r="34199" spans="1:10" x14ac:dyDescent="0.25">
      <c r="A34199" t="s">
        <v>381</v>
      </c>
      <c r="B34199" s="1" t="str">
        <f>HYPERLINK("http://tegelertoyota.com","tegelertoyota.com")</f>
        <v>tegelertoyota.com</v>
      </c>
      <c r="C34199" t="s">
        <v>433</v>
      </c>
      <c r="F34199">
        <v>6.78582789984227E-9</v>
      </c>
      <c r="G34199">
        <v>13008038</v>
      </c>
      <c r="H34199">
        <v>12453950</v>
      </c>
      <c r="I34199">
        <v>17949983</v>
      </c>
      <c r="J34199">
        <v>3</v>
      </c>
    </row>
    <row r="34200" spans="1:10" x14ac:dyDescent="0.25">
      <c r="A34200" t="s">
        <v>381</v>
      </c>
      <c r="B34200" s="1" t="str">
        <f>HYPERLINK("http://th-owners.com","th-owners.com")</f>
        <v>th-owners.com</v>
      </c>
      <c r="C34200" t="s">
        <v>433</v>
      </c>
      <c r="F34200">
        <v>6.6444133629104498E-9</v>
      </c>
      <c r="G34200">
        <v>13505796</v>
      </c>
      <c r="H34200">
        <v>13012609</v>
      </c>
      <c r="I34200">
        <v>12742106</v>
      </c>
      <c r="J34200">
        <v>6</v>
      </c>
    </row>
    <row r="34201" spans="1:10" x14ac:dyDescent="0.25">
      <c r="A34201" t="s">
        <v>381</v>
      </c>
      <c r="B34201" s="1" t="str">
        <f>HYPERLINK("http://tomwoodtoyota.com","tomwoodtoyota.com")</f>
        <v>tomwoodtoyota.com</v>
      </c>
      <c r="C34201" t="s">
        <v>433</v>
      </c>
      <c r="F34201">
        <v>8.7872099330646394E-9</v>
      </c>
      <c r="G34201">
        <v>8331452</v>
      </c>
      <c r="H34201">
        <v>12601151</v>
      </c>
      <c r="I34201">
        <v>16315112</v>
      </c>
      <c r="J34201">
        <v>3</v>
      </c>
    </row>
    <row r="34202" spans="1:10" x14ac:dyDescent="0.25">
      <c r="A34202" t="s">
        <v>381</v>
      </c>
      <c r="B34202" s="1" t="str">
        <f>HYPERLINK("http://toyocamotors.com","toyocamotors.com")</f>
        <v>toyocamotors.com</v>
      </c>
      <c r="C34202" t="s">
        <v>433</v>
      </c>
      <c r="F34202">
        <v>4.4740834058320503E-9</v>
      </c>
      <c r="G34202">
        <v>63613443</v>
      </c>
      <c r="H34202">
        <v>1.5006717000000001</v>
      </c>
      <c r="I34202">
        <v>78113658</v>
      </c>
      <c r="J34202">
        <v>3</v>
      </c>
    </row>
    <row r="34203" spans="1:10" x14ac:dyDescent="0.25">
      <c r="A34203" t="s">
        <v>381</v>
      </c>
      <c r="B34203" s="1" t="str">
        <f>HYPERLINK("http://toyocentro.com","toyocentro.com")</f>
        <v>toyocentro.com</v>
      </c>
      <c r="C34203" t="s">
        <v>433</v>
      </c>
      <c r="F34203">
        <v>4.44380395335525E-9</v>
      </c>
      <c r="G34203">
        <v>83780659</v>
      </c>
      <c r="H34203">
        <v>0</v>
      </c>
      <c r="I34203">
        <v>84679190</v>
      </c>
      <c r="J34203">
        <v>3</v>
      </c>
    </row>
    <row r="34204" spans="1:10" x14ac:dyDescent="0.25">
      <c r="A34204" t="s">
        <v>381</v>
      </c>
      <c r="B34204" s="1" t="str">
        <f>HYPERLINK("http://toyoda-gosei.com","toyoda-gosei.com")</f>
        <v>toyoda-gosei.com</v>
      </c>
      <c r="C34204" t="s">
        <v>433</v>
      </c>
      <c r="F34204">
        <v>4.0222291952771899E-8</v>
      </c>
      <c r="G34204">
        <v>1286176</v>
      </c>
      <c r="H34204">
        <v>14276277</v>
      </c>
      <c r="I34204">
        <v>1390087</v>
      </c>
      <c r="J34204">
        <v>4</v>
      </c>
    </row>
    <row r="34205" spans="1:10" x14ac:dyDescent="0.25">
      <c r="A34205" t="s">
        <v>381</v>
      </c>
      <c r="B34205" s="1" t="str">
        <f>HYPERLINK("http://toyogil.com","toyogil.com")</f>
        <v>toyogil.com</v>
      </c>
      <c r="C34205" t="s">
        <v>433</v>
      </c>
      <c r="J34205">
        <v>5</v>
      </c>
    </row>
    <row r="34206" spans="1:10" x14ac:dyDescent="0.25">
      <c r="A34206" t="s">
        <v>381</v>
      </c>
      <c r="B34206" s="1" t="str">
        <f>HYPERLINK("http://toyosa.com","toyosa.com")</f>
        <v>toyosa.com</v>
      </c>
      <c r="C34206" t="s">
        <v>433</v>
      </c>
      <c r="F34206">
        <v>9.9078882423695997E-9</v>
      </c>
      <c r="G34206">
        <v>6851378</v>
      </c>
      <c r="H34206">
        <v>12274763</v>
      </c>
      <c r="I34206">
        <v>21419689</v>
      </c>
      <c r="J34206">
        <v>3</v>
      </c>
    </row>
    <row r="34207" spans="1:10" x14ac:dyDescent="0.25">
      <c r="A34207" t="s">
        <v>381</v>
      </c>
      <c r="B34207" s="1" t="str">
        <f>HYPERLINK("http://toyota.com","toyota.com")</f>
        <v>toyota.com</v>
      </c>
      <c r="C34207" t="s">
        <v>433</v>
      </c>
      <c r="E34207">
        <v>2363</v>
      </c>
      <c r="F34207">
        <v>6.9727552432888797E-6</v>
      </c>
      <c r="G34207">
        <v>4825</v>
      </c>
      <c r="H34207">
        <v>17898928</v>
      </c>
      <c r="I34207">
        <v>4474</v>
      </c>
      <c r="J34207">
        <v>3</v>
      </c>
    </row>
    <row r="34208" spans="1:10" x14ac:dyDescent="0.25">
      <c r="A34208" t="s">
        <v>381</v>
      </c>
      <c r="B34208" s="1" t="str">
        <f>HYPERLINK("http://toyota-asia.com","toyota-asia.com")</f>
        <v>toyota-asia.com</v>
      </c>
      <c r="C34208" t="s">
        <v>433</v>
      </c>
      <c r="F34208">
        <v>1.2675998512187701E-8</v>
      </c>
      <c r="G34208">
        <v>4791666</v>
      </c>
      <c r="H34208">
        <v>12337858</v>
      </c>
      <c r="I34208">
        <v>20053706</v>
      </c>
      <c r="J34208">
        <v>6</v>
      </c>
    </row>
    <row r="34209" spans="1:10" x14ac:dyDescent="0.25">
      <c r="A34209" t="s">
        <v>381</v>
      </c>
      <c r="B34209" s="1" t="str">
        <f>HYPERLINK("http://toyota-aubagne.com","toyota-aubagne.com")</f>
        <v>toyota-aubagne.com</v>
      </c>
      <c r="C34209" t="s">
        <v>433</v>
      </c>
      <c r="F34209">
        <v>6.1340927117368404E-9</v>
      </c>
      <c r="G34209">
        <v>15894166</v>
      </c>
      <c r="H34209">
        <v>12137301</v>
      </c>
      <c r="I34209">
        <v>24940346</v>
      </c>
      <c r="J34209">
        <v>3</v>
      </c>
    </row>
    <row r="34210" spans="1:10" x14ac:dyDescent="0.25">
      <c r="A34210" t="s">
        <v>381</v>
      </c>
      <c r="B34210" s="1" t="str">
        <f>HYPERLINK("http://toyota-europe.com","toyota-europe.com")</f>
        <v>toyota-europe.com</v>
      </c>
      <c r="C34210" t="s">
        <v>433</v>
      </c>
      <c r="E34210">
        <v>35300</v>
      </c>
      <c r="F34210">
        <v>6.6025559998028397E-7</v>
      </c>
      <c r="G34210">
        <v>58299</v>
      </c>
      <c r="H34210">
        <v>17257932</v>
      </c>
      <c r="I34210">
        <v>32929</v>
      </c>
      <c r="J34210">
        <v>3</v>
      </c>
    </row>
    <row r="34211" spans="1:10" x14ac:dyDescent="0.25">
      <c r="A34211" t="s">
        <v>381</v>
      </c>
      <c r="B34211" s="1" t="str">
        <f>HYPERLINK("http://toyota-france.com","toyota-france.com")</f>
        <v>toyota-france.com</v>
      </c>
      <c r="C34211" t="s">
        <v>433</v>
      </c>
      <c r="J34211">
        <v>6</v>
      </c>
    </row>
    <row r="34212" spans="1:10" x14ac:dyDescent="0.25">
      <c r="A34212" t="s">
        <v>381</v>
      </c>
      <c r="B34212" s="1" t="str">
        <f>HYPERLINK("http://toyota-fs.com","toyota-fs.com")</f>
        <v>toyota-fs.com</v>
      </c>
      <c r="C34212" t="s">
        <v>433</v>
      </c>
      <c r="E34212">
        <v>121743</v>
      </c>
      <c r="F34212">
        <v>6.2198665978519899E-9</v>
      </c>
      <c r="G34212">
        <v>15426310</v>
      </c>
      <c r="H34212">
        <v>10742594</v>
      </c>
      <c r="I34212">
        <v>40325364</v>
      </c>
      <c r="J34212">
        <v>5</v>
      </c>
    </row>
    <row r="34213" spans="1:10" x14ac:dyDescent="0.25">
      <c r="A34213" t="s">
        <v>381</v>
      </c>
      <c r="B34213" s="1" t="str">
        <f>HYPERLINK("http://toyota-gib.com","toyota-gib.com")</f>
        <v>toyota-gib.com</v>
      </c>
      <c r="C34213" t="s">
        <v>433</v>
      </c>
      <c r="E34213">
        <v>746758</v>
      </c>
      <c r="F34213">
        <v>2.4886403972900099E-8</v>
      </c>
      <c r="G34213">
        <v>2077653</v>
      </c>
      <c r="H34213">
        <v>14584271</v>
      </c>
      <c r="I34213">
        <v>703300</v>
      </c>
      <c r="J34213">
        <v>3</v>
      </c>
    </row>
    <row r="34214" spans="1:10" x14ac:dyDescent="0.25">
      <c r="A34214" t="s">
        <v>381</v>
      </c>
      <c r="B34214" s="1" t="str">
        <f>HYPERLINK("http://toyota-industries.com","toyota-industries.com")</f>
        <v>toyota-industries.com</v>
      </c>
      <c r="C34214" t="s">
        <v>433</v>
      </c>
      <c r="E34214">
        <v>336849</v>
      </c>
      <c r="F34214">
        <v>1.4513898237103299E-7</v>
      </c>
      <c r="G34214">
        <v>268196</v>
      </c>
      <c r="H34214">
        <v>15260388</v>
      </c>
      <c r="I34214">
        <v>389335</v>
      </c>
      <c r="J34214">
        <v>12</v>
      </c>
    </row>
    <row r="34215" spans="1:10" x14ac:dyDescent="0.25">
      <c r="A34215" t="s">
        <v>381</v>
      </c>
      <c r="B34215" s="1" t="str">
        <f>HYPERLINK("http://toyota-kyushu.com","toyota-kyushu.com")</f>
        <v>toyota-kyushu.com</v>
      </c>
      <c r="C34215" t="s">
        <v>433</v>
      </c>
      <c r="F34215">
        <v>7.6970032839392502E-8</v>
      </c>
      <c r="G34215">
        <v>544298</v>
      </c>
      <c r="H34215">
        <v>16911728</v>
      </c>
      <c r="I34215">
        <v>130747</v>
      </c>
      <c r="J34215">
        <v>3</v>
      </c>
    </row>
    <row r="34216" spans="1:10" x14ac:dyDescent="0.25">
      <c r="A34216" t="s">
        <v>381</v>
      </c>
      <c r="B34216" s="1" t="str">
        <f>HYPERLINK("http://toyota-lueneburg.com","toyota-lueneburg.com")</f>
        <v>toyota-lueneburg.com</v>
      </c>
      <c r="C34216" t="s">
        <v>433</v>
      </c>
      <c r="J34216">
        <v>3</v>
      </c>
    </row>
    <row r="34217" spans="1:10" x14ac:dyDescent="0.25">
      <c r="A34217" t="s">
        <v>381</v>
      </c>
      <c r="B34217" s="1" t="str">
        <f>HYPERLINK("http://toyota-mueller.com","toyota-mueller.com")</f>
        <v>toyota-mueller.com</v>
      </c>
      <c r="C34217" t="s">
        <v>433</v>
      </c>
      <c r="F34217">
        <v>5.5407432381784399E-9</v>
      </c>
      <c r="G34217">
        <v>20474117</v>
      </c>
      <c r="H34217">
        <v>10509897</v>
      </c>
      <c r="I34217">
        <v>49694168</v>
      </c>
      <c r="J34217">
        <v>3</v>
      </c>
    </row>
    <row r="34218" spans="1:10" x14ac:dyDescent="0.25">
      <c r="A34218" t="s">
        <v>381</v>
      </c>
      <c r="B34218" s="1" t="str">
        <f>HYPERLINK("http://toyota-stockreiter.com","toyota-stockreiter.com")</f>
        <v>toyota-stockreiter.com</v>
      </c>
      <c r="C34218" t="s">
        <v>433</v>
      </c>
      <c r="F34218">
        <v>4.8271815379337104E-9</v>
      </c>
      <c r="G34218">
        <v>34947739</v>
      </c>
      <c r="H34218">
        <v>9431471</v>
      </c>
      <c r="I34218">
        <v>66798486</v>
      </c>
      <c r="J34218">
        <v>3</v>
      </c>
    </row>
    <row r="34219" spans="1:10" x14ac:dyDescent="0.25">
      <c r="A34219" t="s">
        <v>381</v>
      </c>
      <c r="B34219" s="1" t="str">
        <f>HYPERLINK("http://toyota-tsusho.com","toyota-tsusho.com")</f>
        <v>toyota-tsusho.com</v>
      </c>
      <c r="C34219" t="s">
        <v>433</v>
      </c>
      <c r="E34219">
        <v>212821</v>
      </c>
      <c r="F34219">
        <v>2.6731841812619401E-7</v>
      </c>
      <c r="G34219">
        <v>139402</v>
      </c>
      <c r="H34219">
        <v>14796326</v>
      </c>
      <c r="I34219">
        <v>549298</v>
      </c>
      <c r="J34219">
        <v>3</v>
      </c>
    </row>
    <row r="34220" spans="1:10" x14ac:dyDescent="0.25">
      <c r="A34220" t="s">
        <v>381</v>
      </c>
      <c r="B34220" s="1" t="str">
        <f>HYPERLINK("http://toyota-tsusho-europe.com","toyota-tsusho-europe.com")</f>
        <v>toyota-tsusho-europe.com</v>
      </c>
      <c r="C34220" t="s">
        <v>433</v>
      </c>
      <c r="F34220">
        <v>1.0255153279855499E-8</v>
      </c>
      <c r="G34220">
        <v>6493726</v>
      </c>
      <c r="H34220">
        <v>12260284</v>
      </c>
      <c r="I34220">
        <v>21766559</v>
      </c>
      <c r="J34220">
        <v>9</v>
      </c>
    </row>
    <row r="34221" spans="1:10" x14ac:dyDescent="0.25">
      <c r="A34221" t="s">
        <v>381</v>
      </c>
      <c r="B34221" s="1" t="str">
        <f>HYPERLINK("http://toyota-valenciennes.com","toyota-valenciennes.com")</f>
        <v>toyota-valenciennes.com</v>
      </c>
      <c r="C34221" t="s">
        <v>433</v>
      </c>
      <c r="F34221">
        <v>1.5918618698779301E-8</v>
      </c>
      <c r="G34221">
        <v>3567752</v>
      </c>
      <c r="H34221">
        <v>14578397</v>
      </c>
      <c r="I34221">
        <v>715068</v>
      </c>
      <c r="J34221">
        <v>3</v>
      </c>
    </row>
    <row r="34222" spans="1:10" x14ac:dyDescent="0.25">
      <c r="A34222" t="s">
        <v>381</v>
      </c>
      <c r="B34222" s="1" t="str">
        <f>HYPERLINK("http://toyota-weber.com","toyota-weber.com")</f>
        <v>toyota-weber.com</v>
      </c>
      <c r="C34222" t="s">
        <v>433</v>
      </c>
      <c r="J34222">
        <v>3</v>
      </c>
    </row>
    <row r="34223" spans="1:10" x14ac:dyDescent="0.25">
      <c r="A34223" t="s">
        <v>381</v>
      </c>
      <c r="B34223" s="1" t="str">
        <f>HYPERLINK("http://toyotaaruba.com","toyotaaruba.com")</f>
        <v>toyotaaruba.com</v>
      </c>
      <c r="C34223" t="s">
        <v>433</v>
      </c>
      <c r="F34223">
        <v>7.23749679958112E-9</v>
      </c>
      <c r="G34223">
        <v>11637974</v>
      </c>
      <c r="H34223">
        <v>10932346</v>
      </c>
      <c r="I34223">
        <v>35016862</v>
      </c>
      <c r="J34223">
        <v>3</v>
      </c>
    </row>
    <row r="34224" spans="1:10" x14ac:dyDescent="0.25">
      <c r="A34224" t="s">
        <v>381</v>
      </c>
      <c r="B34224" s="1" t="str">
        <f>HYPERLINK("http://toyotabank.com","toyotabank.com")</f>
        <v>toyotabank.com</v>
      </c>
      <c r="C34224" t="s">
        <v>433</v>
      </c>
      <c r="F34224">
        <v>4.9395923427227204E-9</v>
      </c>
      <c r="G34224">
        <v>31102881</v>
      </c>
      <c r="H34224">
        <v>12198627</v>
      </c>
      <c r="I34224">
        <v>23349155</v>
      </c>
      <c r="J34224">
        <v>6</v>
      </c>
    </row>
    <row r="34225" spans="1:10" x14ac:dyDescent="0.25">
      <c r="A34225" t="s">
        <v>381</v>
      </c>
      <c r="B34225" s="1" t="str">
        <f>HYPERLINK("http://toyotabharat.com","toyotabharat.com")</f>
        <v>toyotabharat.com</v>
      </c>
      <c r="C34225" t="s">
        <v>433</v>
      </c>
      <c r="E34225">
        <v>113437</v>
      </c>
      <c r="F34225">
        <v>2.13377458993555E-7</v>
      </c>
      <c r="G34225">
        <v>176954</v>
      </c>
      <c r="H34225">
        <v>17194208</v>
      </c>
      <c r="I34225">
        <v>42850</v>
      </c>
      <c r="J34225">
        <v>3</v>
      </c>
    </row>
    <row r="34226" spans="1:10" x14ac:dyDescent="0.25">
      <c r="A34226" t="s">
        <v>381</v>
      </c>
      <c r="B34226" s="1" t="str">
        <f>HYPERLINK("http://toyotabountiful.com","toyotabountiful.com")</f>
        <v>toyotabountiful.com</v>
      </c>
      <c r="C34226" t="s">
        <v>433</v>
      </c>
      <c r="F34226">
        <v>1.9750135818846601E-8</v>
      </c>
      <c r="G34226">
        <v>2701086</v>
      </c>
      <c r="H34226">
        <v>12991911</v>
      </c>
      <c r="I34226">
        <v>12840395</v>
      </c>
      <c r="J34226">
        <v>3</v>
      </c>
    </row>
    <row r="34227" spans="1:10" x14ac:dyDescent="0.25">
      <c r="A34227" t="s">
        <v>381</v>
      </c>
      <c r="B34227" s="1" t="str">
        <f>HYPERLINK("http://toyotacz.com","toyotacz.com")</f>
        <v>toyotacz.com</v>
      </c>
      <c r="C34227" t="s">
        <v>433</v>
      </c>
      <c r="F34227">
        <v>2.3370954108202401E-8</v>
      </c>
      <c r="G34227">
        <v>2231438</v>
      </c>
      <c r="H34227">
        <v>14072901</v>
      </c>
      <c r="I34227">
        <v>3034427</v>
      </c>
      <c r="J34227">
        <v>3</v>
      </c>
    </row>
    <row r="34228" spans="1:10" x14ac:dyDescent="0.25">
      <c r="A34228" t="s">
        <v>381</v>
      </c>
      <c r="B34228" s="1" t="str">
        <f>HYPERLINK("http://toyotaescondido.com","toyotaescondido.com")</f>
        <v>toyotaescondido.com</v>
      </c>
      <c r="C34228" t="s">
        <v>433</v>
      </c>
      <c r="F34228">
        <v>8.6605757872188992E-9</v>
      </c>
      <c r="G34228">
        <v>8548582</v>
      </c>
      <c r="H34228">
        <v>12618815</v>
      </c>
      <c r="I34228">
        <v>16100769</v>
      </c>
      <c r="J34228">
        <v>3</v>
      </c>
    </row>
    <row r="34229" spans="1:10" x14ac:dyDescent="0.25">
      <c r="A34229" t="s">
        <v>381</v>
      </c>
      <c r="B34229" s="1" t="str">
        <f>HYPERLINK("http://toyotafinancial.com","toyotafinancial.com")</f>
        <v>toyotafinancial.com</v>
      </c>
      <c r="C34229" t="s">
        <v>433</v>
      </c>
      <c r="E34229">
        <v>47535</v>
      </c>
      <c r="F34229">
        <v>3.26884775925736E-7</v>
      </c>
      <c r="G34229">
        <v>113940</v>
      </c>
      <c r="H34229">
        <v>17022848</v>
      </c>
      <c r="I34229">
        <v>88964</v>
      </c>
      <c r="J34229">
        <v>3</v>
      </c>
    </row>
    <row r="34230" spans="1:10" x14ac:dyDescent="0.25">
      <c r="A34230" t="s">
        <v>381</v>
      </c>
      <c r="B34230" s="1" t="str">
        <f>HYPERLINK("http://toyotafinancialdealerbanking.com","toyotafinancialdealerbanking.com")</f>
        <v>toyotafinancialdealerbanking.com</v>
      </c>
      <c r="C34230" t="s">
        <v>433</v>
      </c>
      <c r="F34230">
        <v>5.6342227747132401E-9</v>
      </c>
      <c r="G34230">
        <v>19537330</v>
      </c>
      <c r="H34230">
        <v>14071889</v>
      </c>
      <c r="I34230">
        <v>3242211</v>
      </c>
      <c r="J34230">
        <v>3</v>
      </c>
    </row>
    <row r="34231" spans="1:10" x14ac:dyDescent="0.25">
      <c r="A34231" t="s">
        <v>381</v>
      </c>
      <c r="B34231" s="1" t="str">
        <f>HYPERLINK("http://toyotafinancialpr.com","toyotafinancialpr.com")</f>
        <v>toyotafinancialpr.com</v>
      </c>
      <c r="C34231" t="s">
        <v>433</v>
      </c>
      <c r="F34231">
        <v>1.03799785699784E-8</v>
      </c>
      <c r="G34231">
        <v>6377092</v>
      </c>
      <c r="H34231">
        <v>14071994</v>
      </c>
      <c r="I34231">
        <v>3191241</v>
      </c>
      <c r="J34231">
        <v>6</v>
      </c>
    </row>
    <row r="34232" spans="1:10" x14ac:dyDescent="0.25">
      <c r="A34232" t="s">
        <v>381</v>
      </c>
      <c r="B34232" s="1" t="str">
        <f>HYPERLINK("http://toyotaforklift.com","toyotaforklift.com")</f>
        <v>toyotaforklift.com</v>
      </c>
      <c r="C34232" t="s">
        <v>433</v>
      </c>
      <c r="E34232">
        <v>240551</v>
      </c>
      <c r="F34232">
        <v>2.2548852928147101E-7</v>
      </c>
      <c r="G34232">
        <v>167117</v>
      </c>
      <c r="H34232">
        <v>14584975</v>
      </c>
      <c r="I34232">
        <v>702324</v>
      </c>
      <c r="J34232">
        <v>15</v>
      </c>
    </row>
    <row r="34233" spans="1:10" x14ac:dyDescent="0.25">
      <c r="A34233" t="s">
        <v>381</v>
      </c>
      <c r="B34233" s="1" t="str">
        <f>HYPERLINK("http://toyotagarageclaudy.com","toyotagarageclaudy.com")</f>
        <v>toyotagarageclaudy.com</v>
      </c>
      <c r="C34233" t="s">
        <v>433</v>
      </c>
      <c r="F34233">
        <v>4.4439479828960299E-9</v>
      </c>
      <c r="G34233">
        <v>77830600</v>
      </c>
      <c r="H34233">
        <v>8422531</v>
      </c>
      <c r="I34233">
        <v>72841930</v>
      </c>
      <c r="J34233">
        <v>3</v>
      </c>
    </row>
    <row r="34234" spans="1:10" x14ac:dyDescent="0.25">
      <c r="A34234" t="s">
        <v>381</v>
      </c>
      <c r="B34234" s="1" t="str">
        <f>HYPERLINK("http://toyotageorgetown.com","toyotageorgetown.com")</f>
        <v>toyotageorgetown.com</v>
      </c>
      <c r="C34234" t="s">
        <v>433</v>
      </c>
      <c r="F34234">
        <v>5.4046684386273103E-8</v>
      </c>
      <c r="G34234">
        <v>837693</v>
      </c>
      <c r="H34234">
        <v>14613036</v>
      </c>
      <c r="I34234">
        <v>675005</v>
      </c>
      <c r="J34234">
        <v>3</v>
      </c>
    </row>
    <row r="34235" spans="1:10" x14ac:dyDescent="0.25">
      <c r="A34235" t="s">
        <v>381</v>
      </c>
      <c r="B34235" s="1" t="str">
        <f>HYPERLINK("http://toyotakenya.com","toyotakenya.com")</f>
        <v>toyotakenya.com</v>
      </c>
      <c r="C34235" t="s">
        <v>433</v>
      </c>
      <c r="F34235">
        <v>2.2454806361981101E-8</v>
      </c>
      <c r="G34235">
        <v>2333631</v>
      </c>
      <c r="H34235">
        <v>12987681</v>
      </c>
      <c r="I34235">
        <v>12882378</v>
      </c>
      <c r="J34235">
        <v>3</v>
      </c>
    </row>
    <row r="34236" spans="1:10" x14ac:dyDescent="0.25">
      <c r="A34236" t="s">
        <v>381</v>
      </c>
      <c r="B34236" s="1" t="str">
        <f>HYPERLINK("http://toyotamabolo.com","toyotamabolo.com")</f>
        <v>toyotamabolo.com</v>
      </c>
      <c r="C34236" t="s">
        <v>433</v>
      </c>
      <c r="J34236">
        <v>3</v>
      </c>
    </row>
    <row r="34237" spans="1:10" x14ac:dyDescent="0.25">
      <c r="A34237" t="s">
        <v>381</v>
      </c>
      <c r="B34237" s="1" t="str">
        <f>HYPERLINK("http://toyotamaterialhandlingindia.com","toyotamaterialhandlingindia.com")</f>
        <v>toyotamaterialhandlingindia.com</v>
      </c>
      <c r="C34237" t="s">
        <v>433</v>
      </c>
      <c r="F34237">
        <v>5.9030767217180096E-9</v>
      </c>
      <c r="G34237">
        <v>17338478</v>
      </c>
      <c r="H34237">
        <v>11023189</v>
      </c>
      <c r="I34237">
        <v>33204905</v>
      </c>
      <c r="J34237">
        <v>12</v>
      </c>
    </row>
    <row r="34238" spans="1:10" x14ac:dyDescent="0.25">
      <c r="A34238" t="s">
        <v>381</v>
      </c>
      <c r="B34238" s="1" t="str">
        <f>HYPERLINK("http://toyotaofbraintree.com","toyotaofbraintree.com")</f>
        <v>toyotaofbraintree.com</v>
      </c>
      <c r="C34238" t="s">
        <v>433</v>
      </c>
      <c r="F34238">
        <v>8.5059600080071007E-9</v>
      </c>
      <c r="G34238">
        <v>8834386</v>
      </c>
      <c r="H34238">
        <v>12510659</v>
      </c>
      <c r="I34238">
        <v>17238893</v>
      </c>
      <c r="J34238">
        <v>3</v>
      </c>
    </row>
    <row r="34239" spans="1:10" x14ac:dyDescent="0.25">
      <c r="A34239" t="s">
        <v>381</v>
      </c>
      <c r="B34239" s="1" t="str">
        <f>HYPERLINK("http://toyotaofdenton.com","toyotaofdenton.com")</f>
        <v>toyotaofdenton.com</v>
      </c>
      <c r="C34239" t="s">
        <v>433</v>
      </c>
      <c r="F34239">
        <v>9.4357343301156002E-9</v>
      </c>
      <c r="G34239">
        <v>7400381</v>
      </c>
      <c r="H34239">
        <v>13095953</v>
      </c>
      <c r="I34239">
        <v>12122068</v>
      </c>
      <c r="J34239">
        <v>3</v>
      </c>
    </row>
    <row r="34240" spans="1:10" x14ac:dyDescent="0.25">
      <c r="A34240" t="s">
        <v>381</v>
      </c>
      <c r="B34240" s="1" t="str">
        <f>HYPERLINK("http://toyotaofdothan.com","toyotaofdothan.com")</f>
        <v>toyotaofdothan.com</v>
      </c>
      <c r="C34240" t="s">
        <v>433</v>
      </c>
      <c r="F34240">
        <v>8.1650902178653803E-9</v>
      </c>
      <c r="G34240">
        <v>9630696</v>
      </c>
      <c r="H34240">
        <v>13087347</v>
      </c>
      <c r="I34240">
        <v>12155080</v>
      </c>
      <c r="J34240">
        <v>3</v>
      </c>
    </row>
    <row r="34241" spans="1:10" x14ac:dyDescent="0.25">
      <c r="A34241" t="s">
        <v>381</v>
      </c>
      <c r="B34241" s="1" t="str">
        <f>HYPERLINK("http://toyotaoffortworth.com","toyotaoffortworth.com")</f>
        <v>toyotaoffortworth.com</v>
      </c>
      <c r="C34241" t="s">
        <v>433</v>
      </c>
      <c r="F34241">
        <v>9.2126873281876707E-9</v>
      </c>
      <c r="G34241">
        <v>7692942</v>
      </c>
      <c r="H34241">
        <v>12533489</v>
      </c>
      <c r="I34241">
        <v>17005765</v>
      </c>
      <c r="J34241">
        <v>3</v>
      </c>
    </row>
    <row r="34242" spans="1:10" x14ac:dyDescent="0.25">
      <c r="A34242" t="s">
        <v>381</v>
      </c>
      <c r="B34242" s="1" t="str">
        <f>HYPERLINK("http://toyotaofgladstone.com","toyotaofgladstone.com")</f>
        <v>toyotaofgladstone.com</v>
      </c>
      <c r="C34242" t="s">
        <v>433</v>
      </c>
      <c r="F34242">
        <v>1.0860616087918601E-8</v>
      </c>
      <c r="G34242">
        <v>5972561</v>
      </c>
      <c r="H34242">
        <v>12629230</v>
      </c>
      <c r="I34242">
        <v>15996271</v>
      </c>
      <c r="J34242">
        <v>3</v>
      </c>
    </row>
    <row r="34243" spans="1:10" x14ac:dyDescent="0.25">
      <c r="A34243" t="s">
        <v>381</v>
      </c>
      <c r="B34243" s="1" t="str">
        <f>HYPERLINK("http://toyotaofgreenwich.com","toyotaofgreenwich.com")</f>
        <v>toyotaofgreenwich.com</v>
      </c>
      <c r="C34243" t="s">
        <v>433</v>
      </c>
      <c r="F34243">
        <v>6.7333325907654102E-9</v>
      </c>
      <c r="G34243">
        <v>13185744</v>
      </c>
      <c r="H34243">
        <v>12464049</v>
      </c>
      <c r="I34243">
        <v>17827098</v>
      </c>
      <c r="J34243">
        <v>3</v>
      </c>
    </row>
    <row r="34244" spans="1:10" x14ac:dyDescent="0.25">
      <c r="A34244" t="s">
        <v>381</v>
      </c>
      <c r="B34244" s="1" t="str">
        <f>HYPERLINK("http://toyotaofhollywood.com","toyotaofhollywood.com")</f>
        <v>toyotaofhollywood.com</v>
      </c>
      <c r="C34244" t="s">
        <v>433</v>
      </c>
      <c r="F34244">
        <v>1.46367745208626E-8</v>
      </c>
      <c r="G34244">
        <v>3963214</v>
      </c>
      <c r="H34244">
        <v>14083114</v>
      </c>
      <c r="I34244">
        <v>2795600</v>
      </c>
      <c r="J34244">
        <v>3</v>
      </c>
    </row>
    <row r="34245" spans="1:10" x14ac:dyDescent="0.25">
      <c r="A34245" t="s">
        <v>381</v>
      </c>
      <c r="B34245" s="1" t="str">
        <f>HYPERLINK("http://toyotaoflakecity.com","toyotaoflakecity.com")</f>
        <v>toyotaoflakecity.com</v>
      </c>
      <c r="C34245" t="s">
        <v>433</v>
      </c>
      <c r="F34245">
        <v>7.5406427429521802E-9</v>
      </c>
      <c r="G34245">
        <v>10925033</v>
      </c>
      <c r="H34245">
        <v>12517517</v>
      </c>
      <c r="I34245">
        <v>17173687</v>
      </c>
      <c r="J34245">
        <v>3</v>
      </c>
    </row>
    <row r="34246" spans="1:10" x14ac:dyDescent="0.25">
      <c r="A34246" t="s">
        <v>381</v>
      </c>
      <c r="B34246" s="1" t="str">
        <f>HYPERLINK("http://toyotaofmanhattan.com","toyotaofmanhattan.com")</f>
        <v>toyotaofmanhattan.com</v>
      </c>
      <c r="C34246" t="s">
        <v>433</v>
      </c>
      <c r="F34246">
        <v>9.5798315547173801E-9</v>
      </c>
      <c r="G34246">
        <v>7228038</v>
      </c>
      <c r="H34246">
        <v>13949035</v>
      </c>
      <c r="I34246">
        <v>4187566</v>
      </c>
      <c r="J34246">
        <v>3</v>
      </c>
    </row>
    <row r="34247" spans="1:10" x14ac:dyDescent="0.25">
      <c r="A34247" t="s">
        <v>381</v>
      </c>
      <c r="B34247" s="1" t="str">
        <f>HYPERLINK("http://toyotaofmorristown.com","toyotaofmorristown.com")</f>
        <v>toyotaofmorristown.com</v>
      </c>
      <c r="C34247" t="s">
        <v>433</v>
      </c>
      <c r="F34247">
        <v>9.0246558429616708E-9</v>
      </c>
      <c r="G34247">
        <v>7955333</v>
      </c>
      <c r="H34247">
        <v>13013267</v>
      </c>
      <c r="I34247">
        <v>12739919</v>
      </c>
      <c r="J34247">
        <v>3</v>
      </c>
    </row>
    <row r="34248" spans="1:10" x14ac:dyDescent="0.25">
      <c r="A34248" t="s">
        <v>381</v>
      </c>
      <c r="B34248" s="1" t="str">
        <f>HYPERLINK("http://toyotaofnaperville.com","toyotaofnaperville.com")</f>
        <v>toyotaofnaperville.com</v>
      </c>
      <c r="C34248" t="s">
        <v>433</v>
      </c>
      <c r="E34248">
        <v>941734</v>
      </c>
      <c r="F34248">
        <v>1.34874884986408E-8</v>
      </c>
      <c r="G34248">
        <v>4408956</v>
      </c>
      <c r="H34248">
        <v>13349113</v>
      </c>
      <c r="I34248">
        <v>10618217</v>
      </c>
      <c r="J34248">
        <v>3</v>
      </c>
    </row>
    <row r="34249" spans="1:10" x14ac:dyDescent="0.25">
      <c r="A34249" t="s">
        <v>381</v>
      </c>
      <c r="B34249" s="1" t="str">
        <f>HYPERLINK("http://toyotaofnashua.com","toyotaofnashua.com")</f>
        <v>toyotaofnashua.com</v>
      </c>
      <c r="C34249" t="s">
        <v>433</v>
      </c>
      <c r="F34249">
        <v>9.0947115984287196E-9</v>
      </c>
      <c r="G34249">
        <v>7854137</v>
      </c>
      <c r="H34249">
        <v>12939093</v>
      </c>
      <c r="I34249">
        <v>13305220</v>
      </c>
      <c r="J34249">
        <v>3</v>
      </c>
    </row>
    <row r="34250" spans="1:10" x14ac:dyDescent="0.25">
      <c r="A34250" t="s">
        <v>381</v>
      </c>
      <c r="B34250" s="1" t="str">
        <f>HYPERLINK("http://toyotaofolympia.com","toyotaofolympia.com")</f>
        <v>toyotaofolympia.com</v>
      </c>
      <c r="C34250" t="s">
        <v>433</v>
      </c>
      <c r="F34250">
        <v>8.7473092326073206E-9</v>
      </c>
      <c r="G34250">
        <v>8397541</v>
      </c>
      <c r="H34250">
        <v>13108720</v>
      </c>
      <c r="I34250">
        <v>12045363</v>
      </c>
      <c r="J34250">
        <v>3</v>
      </c>
    </row>
    <row r="34251" spans="1:10" x14ac:dyDescent="0.25">
      <c r="A34251" t="s">
        <v>381</v>
      </c>
      <c r="B34251" s="1" t="str">
        <f>HYPERLINK("http://toyotaofplano.com","toyotaofplano.com")</f>
        <v>toyotaofplano.com</v>
      </c>
      <c r="C34251" t="s">
        <v>433</v>
      </c>
      <c r="F34251">
        <v>8.7794469937625492E-9</v>
      </c>
      <c r="G34251">
        <v>8343964</v>
      </c>
      <c r="H34251">
        <v>12940155</v>
      </c>
      <c r="I34251">
        <v>13288465</v>
      </c>
      <c r="J34251">
        <v>3</v>
      </c>
    </row>
    <row r="34252" spans="1:10" x14ac:dyDescent="0.25">
      <c r="A34252" t="s">
        <v>381</v>
      </c>
      <c r="B34252" s="1" t="str">
        <f>HYPERLINK("http://toyotaofsantafe.com","toyotaofsantafe.com")</f>
        <v>toyotaofsantafe.com</v>
      </c>
      <c r="C34252" t="s">
        <v>433</v>
      </c>
      <c r="F34252">
        <v>1.3015716911596499E-8</v>
      </c>
      <c r="G34252">
        <v>4624252</v>
      </c>
      <c r="H34252">
        <v>13064840</v>
      </c>
      <c r="I34252">
        <v>12294863</v>
      </c>
      <c r="J34252">
        <v>3</v>
      </c>
    </row>
    <row r="34253" spans="1:10" x14ac:dyDescent="0.25">
      <c r="A34253" t="s">
        <v>381</v>
      </c>
      <c r="B34253" s="1" t="str">
        <f>HYPERLINK("http://toyotaofseattle.com","toyotaofseattle.com")</f>
        <v>toyotaofseattle.com</v>
      </c>
      <c r="C34253" t="s">
        <v>433</v>
      </c>
      <c r="F34253">
        <v>1.0121296516817701E-8</v>
      </c>
      <c r="G34253">
        <v>6625676</v>
      </c>
      <c r="H34253">
        <v>13295505</v>
      </c>
      <c r="I34253">
        <v>10851855</v>
      </c>
      <c r="J34253">
        <v>3</v>
      </c>
    </row>
    <row r="34254" spans="1:10" x14ac:dyDescent="0.25">
      <c r="A34254" t="s">
        <v>381</v>
      </c>
      <c r="B34254" s="1" t="str">
        <f>HYPERLINK("http://toyotaofstamford.com","toyotaofstamford.com")</f>
        <v>toyotaofstamford.com</v>
      </c>
      <c r="C34254" t="s">
        <v>433</v>
      </c>
      <c r="F34254">
        <v>9.2379076431440898E-9</v>
      </c>
      <c r="G34254">
        <v>7659553</v>
      </c>
      <c r="H34254">
        <v>12557467</v>
      </c>
      <c r="I34254">
        <v>16743259</v>
      </c>
      <c r="J34254">
        <v>3</v>
      </c>
    </row>
    <row r="34255" spans="1:10" x14ac:dyDescent="0.25">
      <c r="A34255" t="s">
        <v>381</v>
      </c>
      <c r="B34255" s="1" t="str">
        <f>HYPERLINK("http://toyotaofsylacauga.com","toyotaofsylacauga.com")</f>
        <v>toyotaofsylacauga.com</v>
      </c>
      <c r="C34255" t="s">
        <v>433</v>
      </c>
      <c r="F34255">
        <v>9.0251044127343098E-9</v>
      </c>
      <c r="G34255">
        <v>7954708</v>
      </c>
      <c r="H34255">
        <v>12675930</v>
      </c>
      <c r="I34255">
        <v>15553563</v>
      </c>
      <c r="J34255">
        <v>3</v>
      </c>
    </row>
    <row r="34256" spans="1:10" x14ac:dyDescent="0.25">
      <c r="A34256" t="s">
        <v>381</v>
      </c>
      <c r="B34256" s="1" t="str">
        <f>HYPERLINK("http://toyotaortakoy.com","toyotaortakoy.com")</f>
        <v>toyotaortakoy.com</v>
      </c>
      <c r="C34256" t="s">
        <v>433</v>
      </c>
      <c r="F34256">
        <v>4.5999360646505798E-9</v>
      </c>
      <c r="G34256">
        <v>47621787</v>
      </c>
      <c r="H34256">
        <v>7786349</v>
      </c>
      <c r="I34256">
        <v>75665248</v>
      </c>
      <c r="J34256">
        <v>4</v>
      </c>
    </row>
    <row r="34257" spans="1:10" x14ac:dyDescent="0.25">
      <c r="A34257" t="s">
        <v>381</v>
      </c>
      <c r="B34257" s="1" t="str">
        <f>HYPERLINK("http://toyotapaloalto.com","toyotapaloalto.com")</f>
        <v>toyotapaloalto.com</v>
      </c>
      <c r="C34257" t="s">
        <v>433</v>
      </c>
      <c r="F34257">
        <v>1.33173195363842E-8</v>
      </c>
      <c r="G34257">
        <v>4485855</v>
      </c>
      <c r="H34257">
        <v>14138151</v>
      </c>
      <c r="I34257">
        <v>1949460</v>
      </c>
      <c r="J34257">
        <v>3</v>
      </c>
    </row>
    <row r="34258" spans="1:10" x14ac:dyDescent="0.25">
      <c r="A34258" t="s">
        <v>381</v>
      </c>
      <c r="B34258" s="1" t="str">
        <f>HYPERLINK("http://toyotapanamericana.com","toyotapanamericana.com")</f>
        <v>toyotapanamericana.com</v>
      </c>
      <c r="C34258" t="s">
        <v>433</v>
      </c>
      <c r="F34258">
        <v>6.0080670280971299E-9</v>
      </c>
      <c r="G34258">
        <v>16633967</v>
      </c>
      <c r="H34258">
        <v>11214606</v>
      </c>
      <c r="I34258">
        <v>31132257</v>
      </c>
      <c r="J34258">
        <v>3</v>
      </c>
    </row>
    <row r="34259" spans="1:10" x14ac:dyDescent="0.25">
      <c r="A34259" t="s">
        <v>381</v>
      </c>
      <c r="B34259" s="1" t="str">
        <f>HYPERLINK("http://toyotapl.com","toyotapl.com")</f>
        <v>toyotapl.com</v>
      </c>
      <c r="C34259" t="s">
        <v>433</v>
      </c>
      <c r="F34259">
        <v>2.49725774758871E-8</v>
      </c>
      <c r="G34259">
        <v>2069641</v>
      </c>
      <c r="H34259">
        <v>14074882</v>
      </c>
      <c r="I34259">
        <v>2926136</v>
      </c>
      <c r="J34259">
        <v>5</v>
      </c>
    </row>
    <row r="34260" spans="1:10" x14ac:dyDescent="0.25">
      <c r="A34260" t="s">
        <v>381</v>
      </c>
      <c r="B34260" s="1" t="str">
        <f>HYPERLINK("http://toyotaridgecrest.com","toyotaridgecrest.com")</f>
        <v>toyotaridgecrest.com</v>
      </c>
      <c r="C34260" t="s">
        <v>433</v>
      </c>
      <c r="F34260">
        <v>7.9226508678480608E-9</v>
      </c>
      <c r="G34260">
        <v>10067514</v>
      </c>
      <c r="H34260">
        <v>12691888</v>
      </c>
      <c r="I34260">
        <v>15406916</v>
      </c>
      <c r="J34260">
        <v>3</v>
      </c>
    </row>
    <row r="34261" spans="1:10" x14ac:dyDescent="0.25">
      <c r="A34261" t="s">
        <v>381</v>
      </c>
      <c r="B34261" s="1" t="str">
        <f>HYPERLINK("http://toyotasaigon.com","toyotasaigon.com")</f>
        <v>toyotasaigon.com</v>
      </c>
      <c r="C34261" t="s">
        <v>433</v>
      </c>
      <c r="F34261">
        <v>1.1656042505477801E-8</v>
      </c>
      <c r="G34261">
        <v>5394858</v>
      </c>
      <c r="H34261">
        <v>12272758</v>
      </c>
      <c r="I34261">
        <v>21462995</v>
      </c>
      <c r="J34261">
        <v>3</v>
      </c>
    </row>
    <row r="34262" spans="1:10" x14ac:dyDescent="0.25">
      <c r="A34262" t="s">
        <v>381</v>
      </c>
      <c r="B34262" s="1" t="str">
        <f>HYPERLINK("http://toyotasarthou.com","toyotasarthou.com")</f>
        <v>toyotasarthou.com</v>
      </c>
      <c r="C34262" t="s">
        <v>433</v>
      </c>
      <c r="F34262">
        <v>4.7852760380466502E-9</v>
      </c>
      <c r="G34262">
        <v>36738772</v>
      </c>
      <c r="H34262">
        <v>8599127</v>
      </c>
      <c r="I34262">
        <v>70792887</v>
      </c>
      <c r="J34262">
        <v>3</v>
      </c>
    </row>
    <row r="34263" spans="1:10" x14ac:dyDescent="0.25">
      <c r="A34263" t="s">
        <v>381</v>
      </c>
      <c r="B34263" s="1" t="str">
        <f>HYPERLINK("http://toyotasb.com","toyotasb.com")</f>
        <v>toyotasb.com</v>
      </c>
      <c r="C34263" t="s">
        <v>433</v>
      </c>
      <c r="F34263">
        <v>1.8021189031708E-8</v>
      </c>
      <c r="G34263">
        <v>3026117</v>
      </c>
      <c r="H34263">
        <v>12537327</v>
      </c>
      <c r="I34263">
        <v>16968165</v>
      </c>
      <c r="J34263">
        <v>3</v>
      </c>
    </row>
    <row r="34264" spans="1:10" x14ac:dyDescent="0.25">
      <c r="A34264" t="s">
        <v>381</v>
      </c>
      <c r="B34264" s="1" t="str">
        <f>HYPERLINK("http://toyotasukkur.com","toyotasukkur.com")</f>
        <v>toyotasukkur.com</v>
      </c>
      <c r="C34264" t="s">
        <v>433</v>
      </c>
      <c r="F34264">
        <v>4.4518084681362303E-9</v>
      </c>
      <c r="G34264">
        <v>70934283</v>
      </c>
      <c r="H34264">
        <v>10343676</v>
      </c>
      <c r="I34264">
        <v>58139579</v>
      </c>
      <c r="J34264">
        <v>3</v>
      </c>
    </row>
    <row r="34265" spans="1:10" x14ac:dyDescent="0.25">
      <c r="A34265" t="s">
        <v>381</v>
      </c>
      <c r="B34265" s="1" t="str">
        <f>HYPERLINK("http://toyotasunnyvale.com","toyotasunnyvale.com")</f>
        <v>toyotasunnyvale.com</v>
      </c>
      <c r="C34265" t="s">
        <v>433</v>
      </c>
      <c r="F34265">
        <v>1.2811336860233401E-8</v>
      </c>
      <c r="G34265">
        <v>4723038</v>
      </c>
      <c r="H34265">
        <v>13288697</v>
      </c>
      <c r="I34265">
        <v>10881483</v>
      </c>
      <c r="J34265">
        <v>3</v>
      </c>
    </row>
    <row r="34266" spans="1:10" x14ac:dyDescent="0.25">
      <c r="A34266" t="s">
        <v>381</v>
      </c>
      <c r="B34266" s="1" t="str">
        <f>HYPERLINK("http://toyotatr.com","toyotatr.com")</f>
        <v>toyotatr.com</v>
      </c>
      <c r="C34266" t="s">
        <v>433</v>
      </c>
      <c r="F34266">
        <v>6.9514873482364397E-9</v>
      </c>
      <c r="G34266">
        <v>12459117</v>
      </c>
      <c r="H34266">
        <v>14375615</v>
      </c>
      <c r="I34266">
        <v>1224080</v>
      </c>
      <c r="J34266">
        <v>3</v>
      </c>
    </row>
    <row r="34267" spans="1:10" x14ac:dyDescent="0.25">
      <c r="A34267" t="s">
        <v>381</v>
      </c>
      <c r="B34267" s="1" t="str">
        <f>HYPERLINK("http://toyotauk.com","toyotauk.com")</f>
        <v>toyotauk.com</v>
      </c>
      <c r="C34267" t="s">
        <v>433</v>
      </c>
      <c r="F34267">
        <v>4.6234091295479101E-8</v>
      </c>
      <c r="G34267">
        <v>1013420</v>
      </c>
      <c r="H34267">
        <v>14404960</v>
      </c>
      <c r="I34267">
        <v>1149766</v>
      </c>
      <c r="J34267">
        <v>3</v>
      </c>
    </row>
    <row r="34268" spans="1:10" x14ac:dyDescent="0.25">
      <c r="A34268" t="s">
        <v>381</v>
      </c>
      <c r="B34268" s="1" t="str">
        <f>HYPERLINK("http://toyotavalladolid.com","toyotavalladolid.com")</f>
        <v>toyotavalladolid.com</v>
      </c>
      <c r="C34268" t="s">
        <v>433</v>
      </c>
      <c r="F34268">
        <v>4.8846482688222003E-9</v>
      </c>
      <c r="G34268">
        <v>32933026</v>
      </c>
      <c r="H34268">
        <v>11384974</v>
      </c>
      <c r="I34268">
        <v>30267243</v>
      </c>
      <c r="J34268">
        <v>3</v>
      </c>
    </row>
    <row r="34269" spans="1:10" x14ac:dyDescent="0.25">
      <c r="A34269" t="s">
        <v>381</v>
      </c>
      <c r="B34269" s="1" t="str">
        <f>HYPERLINK("http://treasurecoastlexus.com","treasurecoastlexus.com")</f>
        <v>treasurecoastlexus.com</v>
      </c>
      <c r="C34269" t="s">
        <v>433</v>
      </c>
      <c r="F34269">
        <v>7.4091272112253401E-9</v>
      </c>
      <c r="G34269">
        <v>11222737</v>
      </c>
      <c r="H34269">
        <v>12386564</v>
      </c>
      <c r="I34269">
        <v>19101465</v>
      </c>
      <c r="J34269">
        <v>7</v>
      </c>
    </row>
    <row r="34270" spans="1:10" x14ac:dyDescent="0.25">
      <c r="A34270" t="s">
        <v>381</v>
      </c>
      <c r="B34270" s="1" t="str">
        <f>HYPERLINK("http://triangletoyota.com","triangletoyota.com")</f>
        <v>triangletoyota.com</v>
      </c>
      <c r="C34270" t="s">
        <v>433</v>
      </c>
      <c r="F34270">
        <v>5.6683573254721597E-9</v>
      </c>
      <c r="G34270">
        <v>19230702</v>
      </c>
      <c r="H34270">
        <v>10927669</v>
      </c>
      <c r="I34270">
        <v>35117130</v>
      </c>
      <c r="J34270">
        <v>3</v>
      </c>
    </row>
    <row r="34271" spans="1:10" x14ac:dyDescent="0.25">
      <c r="A34271" t="s">
        <v>381</v>
      </c>
      <c r="B34271" s="1" t="str">
        <f>HYPERLINK("http://tscubic-travel.com","tscubic-travel.com")</f>
        <v>tscubic-travel.com</v>
      </c>
      <c r="C34271" t="s">
        <v>433</v>
      </c>
      <c r="F34271">
        <v>5.0994414776463497E-9</v>
      </c>
      <c r="G34271">
        <v>27089335</v>
      </c>
      <c r="H34271">
        <v>10869078</v>
      </c>
      <c r="I34271">
        <v>36519252</v>
      </c>
      <c r="J34271">
        <v>6</v>
      </c>
    </row>
    <row r="34272" spans="1:10" x14ac:dyDescent="0.25">
      <c r="A34272" t="s">
        <v>381</v>
      </c>
      <c r="B34272" s="1" t="str">
        <f>HYPERLINK("http://ttmetals.com","ttmetals.com")</f>
        <v>ttmetals.com</v>
      </c>
      <c r="C34272" t="s">
        <v>433</v>
      </c>
      <c r="F34272">
        <v>5.9323563792234697E-9</v>
      </c>
      <c r="G34272">
        <v>17137096</v>
      </c>
      <c r="H34272">
        <v>10430591</v>
      </c>
      <c r="I34272">
        <v>53511302</v>
      </c>
      <c r="J34272">
        <v>8</v>
      </c>
    </row>
    <row r="34273" spans="1:10" x14ac:dyDescent="0.25">
      <c r="A34273" t="s">
        <v>381</v>
      </c>
      <c r="B34273" s="1" t="str">
        <f>HYPERLINK("http://ttpmx.com","ttpmx.com")</f>
        <v>ttpmx.com</v>
      </c>
      <c r="C34273" t="s">
        <v>433</v>
      </c>
      <c r="J34273">
        <v>5</v>
      </c>
    </row>
    <row r="34274" spans="1:10" x14ac:dyDescent="0.25">
      <c r="A34274" t="s">
        <v>381</v>
      </c>
      <c r="B34274" s="1" t="str">
        <f>HYPERLINK("http://ttsugar.com","ttsugar.com")</f>
        <v>ttsugar.com</v>
      </c>
      <c r="C34274" t="s">
        <v>433</v>
      </c>
      <c r="J34274">
        <v>8</v>
      </c>
    </row>
    <row r="34275" spans="1:10" x14ac:dyDescent="0.25">
      <c r="A34275" t="s">
        <v>381</v>
      </c>
      <c r="B34275" s="1" t="str">
        <f>HYPERLINK("http://u-catch-business.com","u-catch-business.com")</f>
        <v>u-catch-business.com</v>
      </c>
      <c r="C34275" t="s">
        <v>433</v>
      </c>
      <c r="J34275">
        <v>4</v>
      </c>
    </row>
    <row r="34276" spans="1:10" x14ac:dyDescent="0.25">
      <c r="A34276" t="s">
        <v>381</v>
      </c>
      <c r="B34276" s="1" t="str">
        <f>HYPERLINK("http://uster.com","uster.com")</f>
        <v>uster.com</v>
      </c>
      <c r="C34276" t="s">
        <v>433</v>
      </c>
      <c r="E34276">
        <v>738254</v>
      </c>
      <c r="F34276">
        <v>8.3814232373708799E-8</v>
      </c>
      <c r="G34276">
        <v>494265</v>
      </c>
      <c r="H34276">
        <v>16905650</v>
      </c>
      <c r="I34276">
        <v>132004</v>
      </c>
      <c r="J34276">
        <v>12</v>
      </c>
    </row>
    <row r="34277" spans="1:10" x14ac:dyDescent="0.25">
      <c r="A34277" t="s">
        <v>381</v>
      </c>
      <c r="B34277" s="1" t="str">
        <f>HYPERLINK("http://vanderlande.com","vanderlande.com")</f>
        <v>vanderlande.com</v>
      </c>
      <c r="C34277" t="s">
        <v>433</v>
      </c>
      <c r="E34277">
        <v>211346</v>
      </c>
      <c r="F34277">
        <v>2.5021519022174602E-7</v>
      </c>
      <c r="G34277">
        <v>149514</v>
      </c>
      <c r="H34277">
        <v>17115214</v>
      </c>
      <c r="I34277">
        <v>61138</v>
      </c>
      <c r="J34277">
        <v>12</v>
      </c>
    </row>
    <row r="34278" spans="1:10" x14ac:dyDescent="0.25">
      <c r="A34278" t="s">
        <v>381</v>
      </c>
      <c r="B34278" s="1" t="str">
        <f>HYPERLINK("http://vanderstynetoyota.com","vanderstynetoyota.com")</f>
        <v>vanderstynetoyota.com</v>
      </c>
      <c r="C34278" t="s">
        <v>433</v>
      </c>
      <c r="F34278">
        <v>5.4090227935524998E-9</v>
      </c>
      <c r="G34278">
        <v>21997511</v>
      </c>
      <c r="H34278">
        <v>12233693</v>
      </c>
      <c r="I34278">
        <v>22410517</v>
      </c>
      <c r="J34278">
        <v>3</v>
      </c>
    </row>
    <row r="34279" spans="1:10" x14ac:dyDescent="0.25">
      <c r="A34279" t="s">
        <v>381</v>
      </c>
      <c r="B34279" s="1" t="str">
        <f>HYPERLINK("http://villatoyota.com","villatoyota.com")</f>
        <v>villatoyota.com</v>
      </c>
      <c r="C34279" t="s">
        <v>433</v>
      </c>
      <c r="F34279">
        <v>5.3503851241562897E-9</v>
      </c>
      <c r="G34279">
        <v>22798571</v>
      </c>
      <c r="H34279">
        <v>12179009</v>
      </c>
      <c r="I34279">
        <v>23837143</v>
      </c>
      <c r="J34279">
        <v>3</v>
      </c>
    </row>
    <row r="34280" spans="1:10" x14ac:dyDescent="0.25">
      <c r="A34280" t="s">
        <v>381</v>
      </c>
      <c r="B34280" s="1" t="str">
        <f>HYPERLINK("http://vosstoyota.com","vosstoyota.com")</f>
        <v>vosstoyota.com</v>
      </c>
      <c r="C34280" t="s">
        <v>433</v>
      </c>
      <c r="F34280">
        <v>9.62950734046386E-9</v>
      </c>
      <c r="G34280">
        <v>7163835</v>
      </c>
      <c r="H34280">
        <v>12540141</v>
      </c>
      <c r="I34280">
        <v>16942188</v>
      </c>
      <c r="J34280">
        <v>3</v>
      </c>
    </row>
    <row r="34281" spans="1:10" x14ac:dyDescent="0.25">
      <c r="A34281" t="s">
        <v>381</v>
      </c>
      <c r="B34281" s="1" t="str">
        <f>HYPERLINK("http://watermarktoyota.com","watermarktoyota.com")</f>
        <v>watermarktoyota.com</v>
      </c>
      <c r="C34281" t="s">
        <v>433</v>
      </c>
      <c r="F34281">
        <v>7.3695733366618396E-9</v>
      </c>
      <c r="G34281">
        <v>11314786</v>
      </c>
      <c r="H34281">
        <v>12463189</v>
      </c>
      <c r="I34281">
        <v>17836955</v>
      </c>
      <c r="J34281">
        <v>3</v>
      </c>
    </row>
    <row r="34282" spans="1:10" x14ac:dyDescent="0.25">
      <c r="A34282" t="s">
        <v>381</v>
      </c>
      <c r="B34282" s="1" t="str">
        <f>HYPERLINK("http://wemtoyota.com","wemtoyota.com")</f>
        <v>wemtoyota.com</v>
      </c>
      <c r="C34282" t="s">
        <v>433</v>
      </c>
      <c r="F34282">
        <v>1.81779153669837E-8</v>
      </c>
      <c r="G34282">
        <v>2994065</v>
      </c>
      <c r="H34282">
        <v>12220860</v>
      </c>
      <c r="I34282">
        <v>22769737</v>
      </c>
      <c r="J34282">
        <v>3</v>
      </c>
    </row>
    <row r="34283" spans="1:10" x14ac:dyDescent="0.25">
      <c r="A34283" t="s">
        <v>381</v>
      </c>
      <c r="B34283" s="1" t="str">
        <f>HYPERLINK("http://westbrooktoyota.com","westbrooktoyota.com")</f>
        <v>westbrooktoyota.com</v>
      </c>
      <c r="C34283" t="s">
        <v>433</v>
      </c>
      <c r="F34283">
        <v>7.7493983391105503E-9</v>
      </c>
      <c r="G34283">
        <v>10468088</v>
      </c>
      <c r="H34283">
        <v>12463748</v>
      </c>
      <c r="I34283">
        <v>17829885</v>
      </c>
      <c r="J34283">
        <v>3</v>
      </c>
    </row>
    <row r="34284" spans="1:10" x14ac:dyDescent="0.25">
      <c r="A34284" t="s">
        <v>381</v>
      </c>
      <c r="B34284" s="1" t="str">
        <f>HYPERLINK("http://woburntoyota.com","woburntoyota.com")</f>
        <v>woburntoyota.com</v>
      </c>
      <c r="C34284" t="s">
        <v>433</v>
      </c>
      <c r="F34284">
        <v>9.3659757726900397E-9</v>
      </c>
      <c r="G34284">
        <v>7487806</v>
      </c>
      <c r="H34284">
        <v>12993775</v>
      </c>
      <c r="I34284">
        <v>12830610</v>
      </c>
      <c r="J34284">
        <v>3</v>
      </c>
    </row>
    <row r="34285" spans="1:10" x14ac:dyDescent="0.25">
      <c r="A34285" t="s">
        <v>381</v>
      </c>
      <c r="B34285" s="1" t="str">
        <f>HYPERLINK("http://wow-toyota.com","wow-toyota.com")</f>
        <v>wow-toyota.com</v>
      </c>
      <c r="C34285" t="s">
        <v>433</v>
      </c>
      <c r="F34285">
        <v>8.7568593208322394E-9</v>
      </c>
      <c r="G34285">
        <v>8381147</v>
      </c>
      <c r="H34285">
        <v>13067303</v>
      </c>
      <c r="I34285">
        <v>12273689</v>
      </c>
      <c r="J34285">
        <v>3</v>
      </c>
    </row>
    <row r="34286" spans="1:10" x14ac:dyDescent="0.25">
      <c r="A34286" t="s">
        <v>381</v>
      </c>
      <c r="B34286" s="1" t="str">
        <f>HYPERLINK("http://z-logix.com","z-logix.com")</f>
        <v>z-logix.com</v>
      </c>
      <c r="C34286" t="s">
        <v>433</v>
      </c>
      <c r="J34286">
        <v>6</v>
      </c>
    </row>
    <row r="34287" spans="1:10" x14ac:dyDescent="0.25">
      <c r="A34287" t="s">
        <v>381</v>
      </c>
      <c r="B34287" s="1" t="str">
        <f>HYPERLINK("http://lexus.com.cy","lexus.com.cy")</f>
        <v>lexus.com.cy</v>
      </c>
      <c r="C34287" t="s">
        <v>610</v>
      </c>
      <c r="D34287" t="s">
        <v>937</v>
      </c>
      <c r="F34287">
        <v>3.9195966554009799E-8</v>
      </c>
      <c r="G34287">
        <v>1316128</v>
      </c>
      <c r="H34287">
        <v>12883465</v>
      </c>
      <c r="I34287">
        <v>13976329</v>
      </c>
      <c r="J34287">
        <v>4</v>
      </c>
    </row>
    <row r="34288" spans="1:10" x14ac:dyDescent="0.25">
      <c r="A34288" t="s">
        <v>381</v>
      </c>
      <c r="B34288" s="1" t="str">
        <f>HYPERLINK("http://toyota.com.cy","toyota.com.cy")</f>
        <v>toyota.com.cy</v>
      </c>
      <c r="C34288" t="s">
        <v>610</v>
      </c>
      <c r="D34288" t="s">
        <v>937</v>
      </c>
      <c r="F34288">
        <v>7.1355902461603994E-8</v>
      </c>
      <c r="G34288">
        <v>592359</v>
      </c>
      <c r="H34288">
        <v>13074342</v>
      </c>
      <c r="I34288">
        <v>12221314</v>
      </c>
      <c r="J34288">
        <v>4</v>
      </c>
    </row>
    <row r="34289" spans="1:10" x14ac:dyDescent="0.25">
      <c r="A34289" t="s">
        <v>381</v>
      </c>
      <c r="B34289" s="1" t="str">
        <f>HYPERLINK("http://kinto-mobility.cz","kinto-mobility.cz")</f>
        <v>kinto-mobility.cz</v>
      </c>
      <c r="C34289" t="s">
        <v>435</v>
      </c>
      <c r="D34289" t="s">
        <v>814</v>
      </c>
      <c r="F34289">
        <v>7.0472894568452502E-9</v>
      </c>
      <c r="G34289">
        <v>12172964</v>
      </c>
      <c r="H34289">
        <v>10516638</v>
      </c>
      <c r="I34289">
        <v>49181572</v>
      </c>
      <c r="J34289">
        <v>4</v>
      </c>
    </row>
    <row r="34290" spans="1:10" x14ac:dyDescent="0.25">
      <c r="A34290" t="s">
        <v>381</v>
      </c>
      <c r="B34290" s="1" t="str">
        <f>HYPERLINK("http://lexus.cz","lexus.cz")</f>
        <v>lexus.cz</v>
      </c>
      <c r="C34290" t="s">
        <v>435</v>
      </c>
      <c r="D34290" t="s">
        <v>814</v>
      </c>
      <c r="F34290">
        <v>5.1559938513041801E-8</v>
      </c>
      <c r="G34290">
        <v>887050</v>
      </c>
      <c r="H34290">
        <v>14073622</v>
      </c>
      <c r="I34290">
        <v>2982038</v>
      </c>
      <c r="J34290">
        <v>4</v>
      </c>
    </row>
    <row r="34291" spans="1:10" x14ac:dyDescent="0.25">
      <c r="A34291" t="s">
        <v>381</v>
      </c>
      <c r="B34291" s="1" t="str">
        <f>HYPERLINK("http://lexus-praha.cz","lexus-praha.cz")</f>
        <v>lexus-praha.cz</v>
      </c>
      <c r="C34291" t="s">
        <v>435</v>
      </c>
      <c r="D34291" t="s">
        <v>814</v>
      </c>
      <c r="F34291">
        <v>7.1433992239518804E-9</v>
      </c>
      <c r="G34291">
        <v>11894620</v>
      </c>
      <c r="H34291">
        <v>11118553</v>
      </c>
      <c r="I34291">
        <v>32062879</v>
      </c>
      <c r="J34291">
        <v>7</v>
      </c>
    </row>
    <row r="34292" spans="1:10" x14ac:dyDescent="0.25">
      <c r="A34292" t="s">
        <v>381</v>
      </c>
      <c r="B34292" s="1" t="str">
        <f>HYPERLINK("http://toyota.cz","toyota.cz")</f>
        <v>toyota.cz</v>
      </c>
      <c r="C34292" t="s">
        <v>435</v>
      </c>
      <c r="D34292" t="s">
        <v>814</v>
      </c>
      <c r="E34292">
        <v>638137</v>
      </c>
      <c r="F34292">
        <v>1.17754134996219E-7</v>
      </c>
      <c r="G34292">
        <v>337335</v>
      </c>
      <c r="H34292">
        <v>14078259</v>
      </c>
      <c r="I34292">
        <v>2849759</v>
      </c>
      <c r="J34292">
        <v>4</v>
      </c>
    </row>
    <row r="34293" spans="1:10" x14ac:dyDescent="0.25">
      <c r="A34293" t="s">
        <v>381</v>
      </c>
      <c r="B34293" s="1" t="str">
        <f>HYPERLINK("http://toyota-emilfrey.cz","toyota-emilfrey.cz")</f>
        <v>toyota-emilfrey.cz</v>
      </c>
      <c r="C34293" t="s">
        <v>435</v>
      </c>
      <c r="D34293" t="s">
        <v>814</v>
      </c>
      <c r="F34293">
        <v>6.2116736869335E-9</v>
      </c>
      <c r="G34293">
        <v>15472876</v>
      </c>
      <c r="H34293">
        <v>12034280</v>
      </c>
      <c r="I34293">
        <v>27577536</v>
      </c>
      <c r="J34293">
        <v>3</v>
      </c>
    </row>
    <row r="34294" spans="1:10" x14ac:dyDescent="0.25">
      <c r="A34294" t="s">
        <v>381</v>
      </c>
      <c r="B34294" s="1" t="str">
        <f>HYPERLINK("http://toyota-forklifts.cz","toyota-forklifts.cz")</f>
        <v>toyota-forklifts.cz</v>
      </c>
      <c r="C34294" t="s">
        <v>435</v>
      </c>
      <c r="D34294" t="s">
        <v>814</v>
      </c>
      <c r="F34294">
        <v>2.7739619861105099E-8</v>
      </c>
      <c r="G34294">
        <v>1853722</v>
      </c>
      <c r="H34294">
        <v>12732550</v>
      </c>
      <c r="I34294">
        <v>15185848</v>
      </c>
      <c r="J34294">
        <v>4</v>
      </c>
    </row>
    <row r="34295" spans="1:10" x14ac:dyDescent="0.25">
      <c r="A34295" t="s">
        <v>381</v>
      </c>
      <c r="B34295" s="1" t="str">
        <f>HYPERLINK("http://toyotafinance.cz","toyotafinance.cz")</f>
        <v>toyotafinance.cz</v>
      </c>
      <c r="C34295" t="s">
        <v>435</v>
      </c>
      <c r="D34295" t="s">
        <v>814</v>
      </c>
      <c r="F34295">
        <v>1.69899797476094E-8</v>
      </c>
      <c r="G34295">
        <v>3285562</v>
      </c>
      <c r="H34295">
        <v>12283215</v>
      </c>
      <c r="I34295">
        <v>21246320</v>
      </c>
      <c r="J34295">
        <v>4</v>
      </c>
    </row>
    <row r="34296" spans="1:10" x14ac:dyDescent="0.25">
      <c r="A34296" t="s">
        <v>381</v>
      </c>
      <c r="B34296" s="1" t="str">
        <f>HYPERLINK("http://toyotatsusho.cz","toyotatsusho.cz")</f>
        <v>toyotatsusho.cz</v>
      </c>
      <c r="C34296" t="s">
        <v>435</v>
      </c>
      <c r="D34296" t="s">
        <v>814</v>
      </c>
      <c r="F34296">
        <v>8.2483622955687208E-9</v>
      </c>
      <c r="G34296">
        <v>9381684</v>
      </c>
      <c r="H34296">
        <v>11295828</v>
      </c>
      <c r="I34296">
        <v>30629315</v>
      </c>
      <c r="J34296">
        <v>3</v>
      </c>
    </row>
    <row r="34297" spans="1:10" x14ac:dyDescent="0.25">
      <c r="A34297" t="s">
        <v>381</v>
      </c>
      <c r="B34297" s="1" t="str">
        <f>HYPERLINK("http://ahs-schulze.de","ahs-schulze.de")</f>
        <v>ahs-schulze.de</v>
      </c>
      <c r="C34297" t="s">
        <v>436</v>
      </c>
      <c r="D34297" t="s">
        <v>815</v>
      </c>
      <c r="F34297">
        <v>4.4751626454204801E-9</v>
      </c>
      <c r="G34297">
        <v>63380172</v>
      </c>
      <c r="H34297">
        <v>9561217</v>
      </c>
      <c r="I34297">
        <v>64835455</v>
      </c>
      <c r="J34297">
        <v>3</v>
      </c>
    </row>
    <row r="34298" spans="1:10" x14ac:dyDescent="0.25">
      <c r="A34298" t="s">
        <v>381</v>
      </c>
      <c r="B34298" s="1" t="str">
        <f>HYPERLINK("http://auto-baumgarten.de","auto-baumgarten.de")</f>
        <v>auto-baumgarten.de</v>
      </c>
      <c r="C34298" t="s">
        <v>436</v>
      </c>
      <c r="D34298" t="s">
        <v>815</v>
      </c>
      <c r="J34298">
        <v>3</v>
      </c>
    </row>
    <row r="34299" spans="1:10" x14ac:dyDescent="0.25">
      <c r="A34299" t="s">
        <v>381</v>
      </c>
      <c r="B34299" s="1" t="str">
        <f>HYPERLINK("http://auto-fritzsche.de","auto-fritzsche.de")</f>
        <v>auto-fritzsche.de</v>
      </c>
      <c r="C34299" t="s">
        <v>436</v>
      </c>
      <c r="D34299" t="s">
        <v>815</v>
      </c>
      <c r="J34299">
        <v>3</v>
      </c>
    </row>
    <row r="34300" spans="1:10" x14ac:dyDescent="0.25">
      <c r="A34300" t="s">
        <v>381</v>
      </c>
      <c r="B34300" s="1" t="str">
        <f>HYPERLINK("http://auto-hausmann.de","auto-hausmann.de")</f>
        <v>auto-hausmann.de</v>
      </c>
      <c r="C34300" t="s">
        <v>436</v>
      </c>
      <c r="D34300" t="s">
        <v>815</v>
      </c>
      <c r="F34300">
        <v>9.3228077552271207E-9</v>
      </c>
      <c r="G34300">
        <v>7543359</v>
      </c>
      <c r="H34300">
        <v>12343799</v>
      </c>
      <c r="I34300">
        <v>19878092</v>
      </c>
      <c r="J34300">
        <v>3</v>
      </c>
    </row>
    <row r="34301" spans="1:10" x14ac:dyDescent="0.25">
      <c r="A34301" t="s">
        <v>381</v>
      </c>
      <c r="B34301" s="1" t="str">
        <f>HYPERLINK("http://auto-himmels.de","auto-himmels.de")</f>
        <v>auto-himmels.de</v>
      </c>
      <c r="C34301" t="s">
        <v>436</v>
      </c>
      <c r="D34301" t="s">
        <v>815</v>
      </c>
      <c r="F34301">
        <v>1.85125127957129E-8</v>
      </c>
      <c r="G34301">
        <v>2923297</v>
      </c>
      <c r="H34301">
        <v>12091785</v>
      </c>
      <c r="I34301">
        <v>26196483</v>
      </c>
      <c r="J34301">
        <v>3</v>
      </c>
    </row>
    <row r="34302" spans="1:10" x14ac:dyDescent="0.25">
      <c r="A34302" t="s">
        <v>381</v>
      </c>
      <c r="B34302" s="1" t="str">
        <f>HYPERLINK("http://auto-kirchhoff.de","auto-kirchhoff.de")</f>
        <v>auto-kirchhoff.de</v>
      </c>
      <c r="C34302" t="s">
        <v>436</v>
      </c>
      <c r="D34302" t="s">
        <v>815</v>
      </c>
      <c r="J34302">
        <v>3</v>
      </c>
    </row>
    <row r="34303" spans="1:10" x14ac:dyDescent="0.25">
      <c r="A34303" t="s">
        <v>381</v>
      </c>
      <c r="B34303" s="1" t="str">
        <f>HYPERLINK("http://auto-koch-toyota.de","auto-koch-toyota.de")</f>
        <v>auto-koch-toyota.de</v>
      </c>
      <c r="C34303" t="s">
        <v>436</v>
      </c>
      <c r="D34303" t="s">
        <v>815</v>
      </c>
      <c r="F34303">
        <v>4.4560576167397497E-9</v>
      </c>
      <c r="G34303">
        <v>69090390</v>
      </c>
      <c r="H34303">
        <v>10929388</v>
      </c>
      <c r="I34303">
        <v>35080744</v>
      </c>
      <c r="J34303">
        <v>3</v>
      </c>
    </row>
    <row r="34304" spans="1:10" x14ac:dyDescent="0.25">
      <c r="A34304" t="s">
        <v>381</v>
      </c>
      <c r="B34304" s="1" t="str">
        <f>HYPERLINK("http://auto-nix.de","auto-nix.de")</f>
        <v>auto-nix.de</v>
      </c>
      <c r="C34304" t="s">
        <v>436</v>
      </c>
      <c r="D34304" t="s">
        <v>815</v>
      </c>
      <c r="F34304">
        <v>2.5950465279461501E-8</v>
      </c>
      <c r="G34304">
        <v>1985655</v>
      </c>
      <c r="H34304">
        <v>12325907</v>
      </c>
      <c r="I34304">
        <v>20310154</v>
      </c>
      <c r="J34304">
        <v>3</v>
      </c>
    </row>
    <row r="34305" spans="1:10" x14ac:dyDescent="0.25">
      <c r="A34305" t="s">
        <v>381</v>
      </c>
      <c r="B34305" s="1" t="str">
        <f>HYPERLINK("http://auto-oswald.de","auto-oswald.de")</f>
        <v>auto-oswald.de</v>
      </c>
      <c r="C34305" t="s">
        <v>436</v>
      </c>
      <c r="D34305" t="s">
        <v>815</v>
      </c>
      <c r="F34305">
        <v>4.8110249555843903E-9</v>
      </c>
      <c r="G34305">
        <v>35662870</v>
      </c>
      <c r="H34305">
        <v>11968282</v>
      </c>
      <c r="I34305">
        <v>28745215</v>
      </c>
      <c r="J34305">
        <v>3</v>
      </c>
    </row>
    <row r="34306" spans="1:10" x14ac:dyDescent="0.25">
      <c r="A34306" t="s">
        <v>381</v>
      </c>
      <c r="B34306" s="1" t="str">
        <f>HYPERLINK("http://auto-richter-forchheim.de","auto-richter-forchheim.de")</f>
        <v>auto-richter-forchheim.de</v>
      </c>
      <c r="C34306" t="s">
        <v>436</v>
      </c>
      <c r="D34306" t="s">
        <v>815</v>
      </c>
      <c r="F34306">
        <v>4.4446772556747402E-9</v>
      </c>
      <c r="G34306">
        <v>76325476</v>
      </c>
      <c r="H34306">
        <v>9489157</v>
      </c>
      <c r="I34306">
        <v>65880955</v>
      </c>
      <c r="J34306">
        <v>3</v>
      </c>
    </row>
    <row r="34307" spans="1:10" x14ac:dyDescent="0.25">
      <c r="A34307" t="s">
        <v>381</v>
      </c>
      <c r="B34307" s="1" t="str">
        <f>HYPERLINK("http://auto-schubert.de","auto-schubert.de")</f>
        <v>auto-schubert.de</v>
      </c>
      <c r="C34307" t="s">
        <v>436</v>
      </c>
      <c r="D34307" t="s">
        <v>815</v>
      </c>
      <c r="F34307">
        <v>2.84052735613575E-8</v>
      </c>
      <c r="G34307">
        <v>1811745</v>
      </c>
      <c r="H34307">
        <v>12200788</v>
      </c>
      <c r="I34307">
        <v>23301260</v>
      </c>
      <c r="J34307">
        <v>3</v>
      </c>
    </row>
    <row r="34308" spans="1:10" x14ac:dyDescent="0.25">
      <c r="A34308" t="s">
        <v>381</v>
      </c>
      <c r="B34308" s="1" t="str">
        <f>HYPERLINK("http://autobox-bremerhaven.de","autobox-bremerhaven.de")</f>
        <v>autobox-bremerhaven.de</v>
      </c>
      <c r="C34308" t="s">
        <v>436</v>
      </c>
      <c r="D34308" t="s">
        <v>815</v>
      </c>
      <c r="F34308">
        <v>4.7650970165481902E-9</v>
      </c>
      <c r="G34308">
        <v>37589912</v>
      </c>
      <c r="H34308">
        <v>12030214</v>
      </c>
      <c r="I34308">
        <v>27655315</v>
      </c>
      <c r="J34308">
        <v>3</v>
      </c>
    </row>
    <row r="34309" spans="1:10" x14ac:dyDescent="0.25">
      <c r="A34309" t="s">
        <v>381</v>
      </c>
      <c r="B34309" s="1" t="str">
        <f>HYPERLINK("http://autohaus-denk.de","autohaus-denk.de")</f>
        <v>autohaus-denk.de</v>
      </c>
      <c r="C34309" t="s">
        <v>436</v>
      </c>
      <c r="D34309" t="s">
        <v>815</v>
      </c>
      <c r="F34309">
        <v>4.5594055538369897E-9</v>
      </c>
      <c r="G34309">
        <v>51227701</v>
      </c>
      <c r="H34309">
        <v>10618081</v>
      </c>
      <c r="I34309">
        <v>44339819</v>
      </c>
      <c r="J34309">
        <v>3</v>
      </c>
    </row>
    <row r="34310" spans="1:10" x14ac:dyDescent="0.25">
      <c r="A34310" t="s">
        <v>381</v>
      </c>
      <c r="B34310" s="1" t="str">
        <f>HYPERLINK("http://autohaus-dreher.de","autohaus-dreher.de")</f>
        <v>autohaus-dreher.de</v>
      </c>
      <c r="C34310" t="s">
        <v>436</v>
      </c>
      <c r="D34310" t="s">
        <v>815</v>
      </c>
      <c r="F34310">
        <v>1.1331271234830199E-8</v>
      </c>
      <c r="G34310">
        <v>5621049</v>
      </c>
      <c r="H34310">
        <v>12347027</v>
      </c>
      <c r="I34310">
        <v>19813796</v>
      </c>
      <c r="J34310">
        <v>3</v>
      </c>
    </row>
    <row r="34311" spans="1:10" x14ac:dyDescent="0.25">
      <c r="A34311" t="s">
        <v>381</v>
      </c>
      <c r="B34311" s="1" t="str">
        <f>HYPERLINK("http://autohaus-hertkorn.de","autohaus-hertkorn.de")</f>
        <v>autohaus-hertkorn.de</v>
      </c>
      <c r="C34311" t="s">
        <v>436</v>
      </c>
      <c r="D34311" t="s">
        <v>815</v>
      </c>
      <c r="F34311">
        <v>4.5763567702570902E-9</v>
      </c>
      <c r="G34311">
        <v>49612666</v>
      </c>
      <c r="H34311">
        <v>10950168</v>
      </c>
      <c r="I34311">
        <v>34580384</v>
      </c>
      <c r="J34311">
        <v>3</v>
      </c>
    </row>
    <row r="34312" spans="1:10" x14ac:dyDescent="0.25">
      <c r="A34312" t="s">
        <v>381</v>
      </c>
      <c r="B34312" s="1" t="str">
        <f>HYPERLINK("http://autohaus-michael.de","autohaus-michael.de")</f>
        <v>autohaus-michael.de</v>
      </c>
      <c r="C34312" t="s">
        <v>436</v>
      </c>
      <c r="D34312" t="s">
        <v>815</v>
      </c>
      <c r="F34312">
        <v>9.7058584377165695E-9</v>
      </c>
      <c r="G34312">
        <v>7073765</v>
      </c>
      <c r="H34312">
        <v>12756632</v>
      </c>
      <c r="I34312">
        <v>14980121</v>
      </c>
      <c r="J34312">
        <v>5</v>
      </c>
    </row>
    <row r="34313" spans="1:10" x14ac:dyDescent="0.25">
      <c r="A34313" t="s">
        <v>381</v>
      </c>
      <c r="B34313" s="1" t="str">
        <f>HYPERLINK("http://autohaus-muehlmann.de","autohaus-muehlmann.de")</f>
        <v>autohaus-muehlmann.de</v>
      </c>
      <c r="C34313" t="s">
        <v>436</v>
      </c>
      <c r="D34313" t="s">
        <v>815</v>
      </c>
      <c r="F34313">
        <v>5.2443080365898301E-9</v>
      </c>
      <c r="G34313">
        <v>24344701</v>
      </c>
      <c r="H34313">
        <v>11968276</v>
      </c>
      <c r="I34313">
        <v>28745351</v>
      </c>
      <c r="J34313">
        <v>3</v>
      </c>
    </row>
    <row r="34314" spans="1:10" x14ac:dyDescent="0.25">
      <c r="A34314" t="s">
        <v>381</v>
      </c>
      <c r="B34314" s="1" t="str">
        <f>HYPERLINK("http://autohaus-pohlmann.de","autohaus-pohlmann.de")</f>
        <v>autohaus-pohlmann.de</v>
      </c>
      <c r="C34314" t="s">
        <v>436</v>
      </c>
      <c r="D34314" t="s">
        <v>815</v>
      </c>
      <c r="F34314">
        <v>5.0019149647128697E-9</v>
      </c>
      <c r="G34314">
        <v>29365302</v>
      </c>
      <c r="H34314">
        <v>12147938</v>
      </c>
      <c r="I34314">
        <v>24679850</v>
      </c>
      <c r="J34314">
        <v>3</v>
      </c>
    </row>
    <row r="34315" spans="1:10" x14ac:dyDescent="0.25">
      <c r="A34315" t="s">
        <v>381</v>
      </c>
      <c r="B34315" s="1" t="str">
        <f>HYPERLINK("http://autohaus-preissler.de","autohaus-preissler.de")</f>
        <v>autohaus-preissler.de</v>
      </c>
      <c r="C34315" t="s">
        <v>436</v>
      </c>
      <c r="D34315" t="s">
        <v>815</v>
      </c>
      <c r="F34315">
        <v>5.8088451183585296E-9</v>
      </c>
      <c r="G34315">
        <v>18020977</v>
      </c>
      <c r="H34315">
        <v>10851877</v>
      </c>
      <c r="I34315">
        <v>36816848</v>
      </c>
      <c r="J34315">
        <v>3</v>
      </c>
    </row>
    <row r="34316" spans="1:10" x14ac:dyDescent="0.25">
      <c r="A34316" t="s">
        <v>381</v>
      </c>
      <c r="B34316" s="1" t="str">
        <f>HYPERLINK("http://autohaus-sinn.de","autohaus-sinn.de")</f>
        <v>autohaus-sinn.de</v>
      </c>
      <c r="C34316" t="s">
        <v>436</v>
      </c>
      <c r="D34316" t="s">
        <v>815</v>
      </c>
      <c r="F34316">
        <v>4.6097154175625299E-9</v>
      </c>
      <c r="G34316">
        <v>46865151</v>
      </c>
      <c r="H34316">
        <v>12029522</v>
      </c>
      <c r="I34316">
        <v>27672449</v>
      </c>
      <c r="J34316">
        <v>3</v>
      </c>
    </row>
    <row r="34317" spans="1:10" x14ac:dyDescent="0.25">
      <c r="A34317" t="s">
        <v>381</v>
      </c>
      <c r="B34317" s="1" t="str">
        <f>HYPERLINK("http://autohaus-suk.de","autohaus-suk.de")</f>
        <v>autohaus-suk.de</v>
      </c>
      <c r="C34317" t="s">
        <v>436</v>
      </c>
      <c r="D34317" t="s">
        <v>815</v>
      </c>
      <c r="F34317">
        <v>2.6664249104794099E-8</v>
      </c>
      <c r="G34317">
        <v>1930330</v>
      </c>
      <c r="H34317">
        <v>12217219</v>
      </c>
      <c r="I34317">
        <v>22851193</v>
      </c>
      <c r="J34317">
        <v>3</v>
      </c>
    </row>
    <row r="34318" spans="1:10" x14ac:dyDescent="0.25">
      <c r="A34318" t="s">
        <v>381</v>
      </c>
      <c r="B34318" s="1" t="str">
        <f>HYPERLINK("http://autohausmichael.de","autohausmichael.de")</f>
        <v>autohausmichael.de</v>
      </c>
      <c r="C34318" t="s">
        <v>436</v>
      </c>
      <c r="D34318" t="s">
        <v>815</v>
      </c>
      <c r="F34318">
        <v>4.4531790296787997E-9</v>
      </c>
      <c r="G34318">
        <v>70271623</v>
      </c>
      <c r="H34318">
        <v>12067973</v>
      </c>
      <c r="I34318">
        <v>26832841</v>
      </c>
      <c r="J34318">
        <v>3</v>
      </c>
    </row>
    <row r="34319" spans="1:10" x14ac:dyDescent="0.25">
      <c r="A34319" t="s">
        <v>381</v>
      </c>
      <c r="B34319" s="1" t="str">
        <f>HYPERLINK("http://autolevy.de","autolevy.de")</f>
        <v>autolevy.de</v>
      </c>
      <c r="C34319" t="s">
        <v>436</v>
      </c>
      <c r="D34319" t="s">
        <v>815</v>
      </c>
      <c r="F34319">
        <v>2.4948217432565399E-8</v>
      </c>
      <c r="G34319">
        <v>2071835</v>
      </c>
      <c r="H34319">
        <v>13369964</v>
      </c>
      <c r="I34319">
        <v>10468836</v>
      </c>
      <c r="J34319">
        <v>3</v>
      </c>
    </row>
    <row r="34320" spans="1:10" x14ac:dyDescent="0.25">
      <c r="A34320" t="s">
        <v>381</v>
      </c>
      <c r="B34320" s="1" t="str">
        <f>HYPERLINK("http://autoweller.de","autoweller.de")</f>
        <v>autoweller.de</v>
      </c>
      <c r="C34320" t="s">
        <v>436</v>
      </c>
      <c r="D34320" t="s">
        <v>815</v>
      </c>
      <c r="E34320">
        <v>768318</v>
      </c>
      <c r="F34320">
        <v>2.4206637003862801E-8</v>
      </c>
      <c r="G34320">
        <v>2142933</v>
      </c>
      <c r="H34320">
        <v>14242319</v>
      </c>
      <c r="I34320">
        <v>1485168</v>
      </c>
      <c r="J34320">
        <v>3</v>
      </c>
    </row>
    <row r="34321" spans="1:10" x14ac:dyDescent="0.25">
      <c r="A34321" t="s">
        <v>381</v>
      </c>
      <c r="B34321" s="1" t="str">
        <f>HYPERLINK("http://b-r-automobile.de","b-r-automobile.de")</f>
        <v>b-r-automobile.de</v>
      </c>
      <c r="C34321" t="s">
        <v>436</v>
      </c>
      <c r="D34321" t="s">
        <v>815</v>
      </c>
      <c r="J34321">
        <v>3</v>
      </c>
    </row>
    <row r="34322" spans="1:10" x14ac:dyDescent="0.25">
      <c r="A34322" t="s">
        <v>381</v>
      </c>
      <c r="B34322" s="1" t="str">
        <f>HYPERLINK("http://bach-ohg.de","bach-ohg.de")</f>
        <v>bach-ohg.de</v>
      </c>
      <c r="C34322" t="s">
        <v>436</v>
      </c>
      <c r="D34322" t="s">
        <v>815</v>
      </c>
      <c r="J34322">
        <v>5</v>
      </c>
    </row>
    <row r="34323" spans="1:10" x14ac:dyDescent="0.25">
      <c r="A34323" t="s">
        <v>381</v>
      </c>
      <c r="B34323" s="1" t="str">
        <f>HYPERLINK("http://cremergruppe.de","cremergruppe.de")</f>
        <v>cremergruppe.de</v>
      </c>
      <c r="C34323" t="s">
        <v>436</v>
      </c>
      <c r="D34323" t="s">
        <v>815</v>
      </c>
      <c r="F34323">
        <v>4.8406677881274999E-9</v>
      </c>
      <c r="G34323">
        <v>34456008</v>
      </c>
      <c r="H34323">
        <v>12020064</v>
      </c>
      <c r="I34323">
        <v>27867604</v>
      </c>
      <c r="J34323">
        <v>5</v>
      </c>
    </row>
    <row r="34324" spans="1:10" x14ac:dyDescent="0.25">
      <c r="A34324" t="s">
        <v>381</v>
      </c>
      <c r="B34324" s="1" t="str">
        <f>HYPERLINK("http://daihatsu.de","daihatsu.de")</f>
        <v>daihatsu.de</v>
      </c>
      <c r="C34324" t="s">
        <v>436</v>
      </c>
      <c r="D34324" t="s">
        <v>815</v>
      </c>
      <c r="F34324">
        <v>3.6312741301494802E-8</v>
      </c>
      <c r="G34324">
        <v>1436760</v>
      </c>
      <c r="H34324">
        <v>14496781</v>
      </c>
      <c r="I34324">
        <v>869268</v>
      </c>
      <c r="J34324">
        <v>3</v>
      </c>
    </row>
    <row r="34325" spans="1:10" x14ac:dyDescent="0.25">
      <c r="A34325" t="s">
        <v>381</v>
      </c>
      <c r="B34325" s="1" t="str">
        <f>HYPERLINK("http://dasautohausbach.de","dasautohausbach.de")</f>
        <v>dasautohausbach.de</v>
      </c>
      <c r="C34325" t="s">
        <v>436</v>
      </c>
      <c r="D34325" t="s">
        <v>815</v>
      </c>
      <c r="F34325">
        <v>1.05294836564383E-8</v>
      </c>
      <c r="G34325">
        <v>6244288</v>
      </c>
      <c r="H34325">
        <v>12386131</v>
      </c>
      <c r="I34325">
        <v>19107201</v>
      </c>
      <c r="J34325">
        <v>3</v>
      </c>
    </row>
    <row r="34326" spans="1:10" x14ac:dyDescent="0.25">
      <c r="A34326" t="s">
        <v>381</v>
      </c>
      <c r="B34326" s="1" t="str">
        <f>HYPERLINK("http://dit-goettingen.de","dit-goettingen.de")</f>
        <v>dit-goettingen.de</v>
      </c>
      <c r="C34326" t="s">
        <v>436</v>
      </c>
      <c r="D34326" t="s">
        <v>815</v>
      </c>
      <c r="F34326">
        <v>9.7707096108544199E-9</v>
      </c>
      <c r="G34326">
        <v>7000532</v>
      </c>
      <c r="H34326">
        <v>12939743</v>
      </c>
      <c r="I34326">
        <v>13301794</v>
      </c>
      <c r="J34326">
        <v>3</v>
      </c>
    </row>
    <row r="34327" spans="1:10" x14ac:dyDescent="0.25">
      <c r="A34327" t="s">
        <v>381</v>
      </c>
      <c r="B34327" s="1" t="str">
        <f>HYPERLINK("http://dit-halle.de","dit-halle.de")</f>
        <v>dit-halle.de</v>
      </c>
      <c r="C34327" t="s">
        <v>436</v>
      </c>
      <c r="D34327" t="s">
        <v>815</v>
      </c>
      <c r="F34327">
        <v>6.3851208672487401E-9</v>
      </c>
      <c r="G34327">
        <v>14592993</v>
      </c>
      <c r="H34327">
        <v>12056698</v>
      </c>
      <c r="I34327">
        <v>27081828</v>
      </c>
      <c r="J34327">
        <v>3</v>
      </c>
    </row>
    <row r="34328" spans="1:10" x14ac:dyDescent="0.25">
      <c r="A34328" t="s">
        <v>381</v>
      </c>
      <c r="B34328" s="1" t="str">
        <f>HYPERLINK("http://dit-muenchen.de","dit-muenchen.de")</f>
        <v>dit-muenchen.de</v>
      </c>
      <c r="C34328" t="s">
        <v>436</v>
      </c>
      <c r="D34328" t="s">
        <v>815</v>
      </c>
      <c r="F34328">
        <v>2.0415852901917001E-8</v>
      </c>
      <c r="G34328">
        <v>2596727</v>
      </c>
      <c r="H34328">
        <v>12870145</v>
      </c>
      <c r="I34328">
        <v>14069753</v>
      </c>
      <c r="J34328">
        <v>3</v>
      </c>
    </row>
    <row r="34329" spans="1:10" x14ac:dyDescent="0.25">
      <c r="A34329" t="s">
        <v>381</v>
      </c>
      <c r="B34329" s="1" t="str">
        <f>HYPERLINK("http://frankengarage.de","frankengarage.de")</f>
        <v>frankengarage.de</v>
      </c>
      <c r="C34329" t="s">
        <v>436</v>
      </c>
      <c r="D34329" t="s">
        <v>815</v>
      </c>
      <c r="F34329">
        <v>5.1047881118940601E-9</v>
      </c>
      <c r="G34329">
        <v>26955637</v>
      </c>
      <c r="H34329">
        <v>9817881</v>
      </c>
      <c r="I34329">
        <v>62445561</v>
      </c>
      <c r="J34329">
        <v>3</v>
      </c>
    </row>
    <row r="34330" spans="1:10" x14ac:dyDescent="0.25">
      <c r="A34330" t="s">
        <v>381</v>
      </c>
      <c r="B34330" s="1" t="str">
        <f>HYPERLINK("http://honda-motor-company.de","honda-motor-company.de")</f>
        <v>honda-motor-company.de</v>
      </c>
      <c r="C34330" t="s">
        <v>436</v>
      </c>
      <c r="D34330" t="s">
        <v>815</v>
      </c>
      <c r="F34330">
        <v>1.00819352359265E-8</v>
      </c>
      <c r="G34330">
        <v>6668234</v>
      </c>
      <c r="H34330">
        <v>12113185</v>
      </c>
      <c r="I34330">
        <v>25648232</v>
      </c>
      <c r="J34330">
        <v>5</v>
      </c>
    </row>
    <row r="34331" spans="1:10" x14ac:dyDescent="0.25">
      <c r="A34331" t="s">
        <v>381</v>
      </c>
      <c r="B34331" s="1" t="str">
        <f>HYPERLINK("http://kia-fischer-frankfurt.de","kia-fischer-frankfurt.de")</f>
        <v>kia-fischer-frankfurt.de</v>
      </c>
      <c r="C34331" t="s">
        <v>436</v>
      </c>
      <c r="D34331" t="s">
        <v>815</v>
      </c>
      <c r="F34331">
        <v>4.44380395335525E-9</v>
      </c>
      <c r="G34331">
        <v>84415307</v>
      </c>
      <c r="H34331">
        <v>0</v>
      </c>
      <c r="I34331">
        <v>85463272</v>
      </c>
      <c r="J34331">
        <v>3</v>
      </c>
    </row>
    <row r="34332" spans="1:10" x14ac:dyDescent="0.25">
      <c r="A34332" t="s">
        <v>381</v>
      </c>
      <c r="B34332" s="1" t="str">
        <f>HYPERLINK("http://kia-koch-eschweiler.de","kia-koch-eschweiler.de")</f>
        <v>kia-koch-eschweiler.de</v>
      </c>
      <c r="C34332" t="s">
        <v>436</v>
      </c>
      <c r="D34332" t="s">
        <v>815</v>
      </c>
      <c r="F34332">
        <v>6.39224751400047E-9</v>
      </c>
      <c r="G34332">
        <v>14558691</v>
      </c>
      <c r="H34332">
        <v>11972977</v>
      </c>
      <c r="I34332">
        <v>28663315</v>
      </c>
      <c r="J34332">
        <v>5</v>
      </c>
    </row>
    <row r="34333" spans="1:10" x14ac:dyDescent="0.25">
      <c r="A34333" t="s">
        <v>381</v>
      </c>
      <c r="B34333" s="1" t="str">
        <f>HYPERLINK("http://kinto-mobility.de","kinto-mobility.de")</f>
        <v>kinto-mobility.de</v>
      </c>
      <c r="C34333" t="s">
        <v>436</v>
      </c>
      <c r="D34333" t="s">
        <v>815</v>
      </c>
      <c r="F34333">
        <v>2.5800319346699699E-8</v>
      </c>
      <c r="G34333">
        <v>1997849</v>
      </c>
      <c r="H34333">
        <v>12401620</v>
      </c>
      <c r="I34333">
        <v>18754918</v>
      </c>
      <c r="J34333">
        <v>4</v>
      </c>
    </row>
    <row r="34334" spans="1:10" x14ac:dyDescent="0.25">
      <c r="A34334" t="s">
        <v>381</v>
      </c>
      <c r="B34334" s="1" t="str">
        <f>HYPERLINK("http://koenig-autohaus.de","koenig-autohaus.de")</f>
        <v>koenig-autohaus.de</v>
      </c>
      <c r="C34334" t="s">
        <v>436</v>
      </c>
      <c r="D34334" t="s">
        <v>815</v>
      </c>
      <c r="F34334">
        <v>5.2822150173851598E-9</v>
      </c>
      <c r="G34334">
        <v>23758181</v>
      </c>
      <c r="H34334">
        <v>12023374</v>
      </c>
      <c r="I34334">
        <v>27806867</v>
      </c>
      <c r="J34334">
        <v>3</v>
      </c>
    </row>
    <row r="34335" spans="1:10" x14ac:dyDescent="0.25">
      <c r="A34335" t="s">
        <v>381</v>
      </c>
      <c r="B34335" s="1" t="str">
        <f>HYPERLINK("http://lexus.de","lexus.de")</f>
        <v>lexus.de</v>
      </c>
      <c r="C34335" t="s">
        <v>436</v>
      </c>
      <c r="D34335" t="s">
        <v>815</v>
      </c>
      <c r="E34335">
        <v>680451</v>
      </c>
      <c r="F34335">
        <v>3.4986395293986699E-7</v>
      </c>
      <c r="G34335">
        <v>106843</v>
      </c>
      <c r="H34335">
        <v>14497232</v>
      </c>
      <c r="I34335">
        <v>867127</v>
      </c>
      <c r="J34335">
        <v>3</v>
      </c>
    </row>
    <row r="34336" spans="1:10" x14ac:dyDescent="0.25">
      <c r="A34336" t="s">
        <v>381</v>
      </c>
      <c r="B34336" s="1" t="str">
        <f>HYPERLINK("http://lexusforum-giessen.de","lexusforum-giessen.de")</f>
        <v>lexusforum-giessen.de</v>
      </c>
      <c r="C34336" t="s">
        <v>436</v>
      </c>
      <c r="D34336" t="s">
        <v>815</v>
      </c>
      <c r="J34336">
        <v>5</v>
      </c>
    </row>
    <row r="34337" spans="1:10" x14ac:dyDescent="0.25">
      <c r="A34337" t="s">
        <v>381</v>
      </c>
      <c r="B34337" s="1" t="str">
        <f>HYPERLINK("http://mauerhoff.de","mauerhoff.de")</f>
        <v>mauerhoff.de</v>
      </c>
      <c r="C34337" t="s">
        <v>436</v>
      </c>
      <c r="D34337" t="s">
        <v>815</v>
      </c>
      <c r="F34337">
        <v>7.1111956639753698E-9</v>
      </c>
      <c r="G34337">
        <v>11983001</v>
      </c>
      <c r="H34337">
        <v>12194058</v>
      </c>
      <c r="I34337">
        <v>23480071</v>
      </c>
      <c r="J34337">
        <v>3</v>
      </c>
    </row>
    <row r="34338" spans="1:10" x14ac:dyDescent="0.25">
      <c r="A34338" t="s">
        <v>381</v>
      </c>
      <c r="B34338" s="1" t="str">
        <f>HYPERLINK("http://moll-automobile.de","moll-automobile.de")</f>
        <v>moll-automobile.de</v>
      </c>
      <c r="C34338" t="s">
        <v>436</v>
      </c>
      <c r="D34338" t="s">
        <v>815</v>
      </c>
      <c r="F34338">
        <v>2.2376928575528599E-8</v>
      </c>
      <c r="G34338">
        <v>2342387</v>
      </c>
      <c r="H34338">
        <v>12501956</v>
      </c>
      <c r="I34338">
        <v>17341571</v>
      </c>
      <c r="J34338">
        <v>3</v>
      </c>
    </row>
    <row r="34339" spans="1:10" x14ac:dyDescent="0.25">
      <c r="A34339" t="s">
        <v>381</v>
      </c>
      <c r="B34339" s="1" t="str">
        <f>HYPERLINK("http://motor-company.de","motor-company.de")</f>
        <v>motor-company.de</v>
      </c>
      <c r="C34339" t="s">
        <v>436</v>
      </c>
      <c r="D34339" t="s">
        <v>815</v>
      </c>
      <c r="F34339">
        <v>1.81353530429971E-8</v>
      </c>
      <c r="G34339">
        <v>3002728</v>
      </c>
      <c r="H34339">
        <v>12237283</v>
      </c>
      <c r="I34339">
        <v>22326643</v>
      </c>
      <c r="J34339">
        <v>3</v>
      </c>
    </row>
    <row r="34340" spans="1:10" x14ac:dyDescent="0.25">
      <c r="A34340" t="s">
        <v>381</v>
      </c>
      <c r="B34340" s="1" t="str">
        <f>HYPERLINK("http://nobbe-gmbh.de","nobbe-gmbh.de")</f>
        <v>nobbe-gmbh.de</v>
      </c>
      <c r="C34340" t="s">
        <v>436</v>
      </c>
      <c r="D34340" t="s">
        <v>815</v>
      </c>
      <c r="F34340">
        <v>7.7567945736815501E-9</v>
      </c>
      <c r="G34340">
        <v>10423053</v>
      </c>
      <c r="H34340">
        <v>12149256</v>
      </c>
      <c r="I34340">
        <v>24641207</v>
      </c>
      <c r="J34340">
        <v>3</v>
      </c>
    </row>
    <row r="34341" spans="1:10" x14ac:dyDescent="0.25">
      <c r="A34341" t="s">
        <v>381</v>
      </c>
      <c r="B34341" s="1" t="str">
        <f>HYPERLINK("http://opel-dreher.de","opel-dreher.de")</f>
        <v>opel-dreher.de</v>
      </c>
      <c r="C34341" t="s">
        <v>436</v>
      </c>
      <c r="D34341" t="s">
        <v>815</v>
      </c>
      <c r="F34341">
        <v>8.6453108276212105E-9</v>
      </c>
      <c r="G34341">
        <v>8574883</v>
      </c>
      <c r="H34341">
        <v>11974575</v>
      </c>
      <c r="I34341">
        <v>28589242</v>
      </c>
      <c r="J34341">
        <v>3</v>
      </c>
    </row>
    <row r="34342" spans="1:10" x14ac:dyDescent="0.25">
      <c r="A34342" t="s">
        <v>381</v>
      </c>
      <c r="B34342" s="1" t="str">
        <f>HYPERLINK("http://plath24.de","plath24.de")</f>
        <v>plath24.de</v>
      </c>
      <c r="C34342" t="s">
        <v>436</v>
      </c>
      <c r="D34342" t="s">
        <v>815</v>
      </c>
      <c r="F34342">
        <v>1.13218193439812E-8</v>
      </c>
      <c r="G34342">
        <v>5627457</v>
      </c>
      <c r="H34342">
        <v>12271170</v>
      </c>
      <c r="I34342">
        <v>21498786</v>
      </c>
      <c r="J34342">
        <v>3</v>
      </c>
    </row>
    <row r="34343" spans="1:10" x14ac:dyDescent="0.25">
      <c r="A34343" t="s">
        <v>381</v>
      </c>
      <c r="B34343" s="1" t="str">
        <f>HYPERLINK("http://tddk.de","tddk.de")</f>
        <v>tddk.de</v>
      </c>
      <c r="C34343" t="s">
        <v>436</v>
      </c>
      <c r="D34343" t="s">
        <v>815</v>
      </c>
      <c r="F34343">
        <v>9.3537157729773504E-9</v>
      </c>
      <c r="G34343">
        <v>7503370</v>
      </c>
      <c r="H34343">
        <v>12208395</v>
      </c>
      <c r="I34343">
        <v>23065609</v>
      </c>
      <c r="J34343">
        <v>12</v>
      </c>
    </row>
    <row r="34344" spans="1:10" x14ac:dyDescent="0.25">
      <c r="A34344" t="s">
        <v>381</v>
      </c>
      <c r="B34344" s="1" t="str">
        <f>HYPERLINK("http://team-foerster.de","team-foerster.de")</f>
        <v>team-foerster.de</v>
      </c>
      <c r="C34344" t="s">
        <v>436</v>
      </c>
      <c r="D34344" t="s">
        <v>815</v>
      </c>
      <c r="F34344">
        <v>1.42995600701495E-8</v>
      </c>
      <c r="G34344">
        <v>4093441</v>
      </c>
      <c r="H34344">
        <v>12092919</v>
      </c>
      <c r="I34344">
        <v>26160179</v>
      </c>
      <c r="J34344">
        <v>3</v>
      </c>
    </row>
    <row r="34345" spans="1:10" x14ac:dyDescent="0.25">
      <c r="A34345" t="s">
        <v>381</v>
      </c>
      <c r="B34345" s="1" t="str">
        <f>HYPERLINK("http://toyota.de","toyota.de")</f>
        <v>toyota.de</v>
      </c>
      <c r="C34345" t="s">
        <v>436</v>
      </c>
      <c r="D34345" t="s">
        <v>815</v>
      </c>
      <c r="E34345">
        <v>128653</v>
      </c>
      <c r="F34345">
        <v>1.58025357552234E-6</v>
      </c>
      <c r="G34345">
        <v>24868</v>
      </c>
      <c r="H34345">
        <v>17141478</v>
      </c>
      <c r="I34345">
        <v>53967</v>
      </c>
      <c r="J34345">
        <v>3</v>
      </c>
    </row>
    <row r="34346" spans="1:10" x14ac:dyDescent="0.25">
      <c r="A34346" t="s">
        <v>381</v>
      </c>
      <c r="B34346" s="1" t="str">
        <f>HYPERLINK("http://toyota-aem-bitburg.de","toyota-aem-bitburg.de")</f>
        <v>toyota-aem-bitburg.de</v>
      </c>
      <c r="C34346" t="s">
        <v>436</v>
      </c>
      <c r="D34346" t="s">
        <v>815</v>
      </c>
      <c r="F34346">
        <v>1.0671850611910701E-7</v>
      </c>
      <c r="G34346">
        <v>375159</v>
      </c>
      <c r="H34346">
        <v>12028087</v>
      </c>
      <c r="I34346">
        <v>27697036</v>
      </c>
      <c r="J34346">
        <v>3</v>
      </c>
    </row>
    <row r="34347" spans="1:10" x14ac:dyDescent="0.25">
      <c r="A34347" t="s">
        <v>381</v>
      </c>
      <c r="B34347" s="1" t="str">
        <f>HYPERLINK("http://toyota-ags-bad-saulgau.de","toyota-ags-bad-saulgau.de")</f>
        <v>toyota-ags-bad-saulgau.de</v>
      </c>
      <c r="C34347" t="s">
        <v>436</v>
      </c>
      <c r="D34347" t="s">
        <v>815</v>
      </c>
      <c r="F34347">
        <v>5.7589276167157599E-9</v>
      </c>
      <c r="G34347">
        <v>18425464</v>
      </c>
      <c r="H34347">
        <v>9357625</v>
      </c>
      <c r="I34347">
        <v>67878053</v>
      </c>
      <c r="J34347">
        <v>3</v>
      </c>
    </row>
    <row r="34348" spans="1:10" x14ac:dyDescent="0.25">
      <c r="A34348" t="s">
        <v>381</v>
      </c>
      <c r="B34348" s="1" t="str">
        <f>HYPERLINK("http://toyota-ahz-mannheim.de","toyota-ahz-mannheim.de")</f>
        <v>toyota-ahz-mannheim.de</v>
      </c>
      <c r="C34348" t="s">
        <v>436</v>
      </c>
      <c r="D34348" t="s">
        <v>815</v>
      </c>
      <c r="F34348">
        <v>4.44380395335525E-9</v>
      </c>
      <c r="G34348">
        <v>84577869</v>
      </c>
      <c r="H34348">
        <v>0</v>
      </c>
      <c r="I34348">
        <v>85656706</v>
      </c>
      <c r="J34348">
        <v>3</v>
      </c>
    </row>
    <row r="34349" spans="1:10" x14ac:dyDescent="0.25">
      <c r="A34349" t="s">
        <v>381</v>
      </c>
      <c r="B34349" s="1" t="str">
        <f>HYPERLINK("http://toyota-ahz-tuebingen.de","toyota-ahz-tuebingen.de")</f>
        <v>toyota-ahz-tuebingen.de</v>
      </c>
      <c r="C34349" t="s">
        <v>436</v>
      </c>
      <c r="D34349" t="s">
        <v>815</v>
      </c>
      <c r="J34349">
        <v>3</v>
      </c>
    </row>
    <row r="34350" spans="1:10" x14ac:dyDescent="0.25">
      <c r="A34350" t="s">
        <v>381</v>
      </c>
      <c r="B34350" s="1" t="str">
        <f>HYPERLINK("http://toyota-auer.de","toyota-auer.de")</f>
        <v>toyota-auer.de</v>
      </c>
      <c r="C34350" t="s">
        <v>436</v>
      </c>
      <c r="D34350" t="s">
        <v>815</v>
      </c>
      <c r="F34350">
        <v>4.4818475566256202E-9</v>
      </c>
      <c r="G34350">
        <v>61986392</v>
      </c>
      <c r="H34350">
        <v>8563616</v>
      </c>
      <c r="I34350">
        <v>71178265</v>
      </c>
      <c r="J34350">
        <v>3</v>
      </c>
    </row>
    <row r="34351" spans="1:10" x14ac:dyDescent="0.25">
      <c r="A34351" t="s">
        <v>381</v>
      </c>
      <c r="B34351" s="1" t="str">
        <f>HYPERLINK("http://toyota-braunschweig.de","toyota-braunschweig.de")</f>
        <v>toyota-braunschweig.de</v>
      </c>
      <c r="C34351" t="s">
        <v>436</v>
      </c>
      <c r="D34351" t="s">
        <v>815</v>
      </c>
      <c r="F34351">
        <v>6.3383125846430302E-9</v>
      </c>
      <c r="G34351">
        <v>14819978</v>
      </c>
      <c r="H34351">
        <v>8630149</v>
      </c>
      <c r="I34351">
        <v>70539483</v>
      </c>
      <c r="J34351">
        <v>3</v>
      </c>
    </row>
    <row r="34352" spans="1:10" x14ac:dyDescent="0.25">
      <c r="A34352" t="s">
        <v>381</v>
      </c>
      <c r="B34352" s="1" t="str">
        <f>HYPERLINK("http://toyota-burkhardt-weingarten.de","toyota-burkhardt-weingarten.de")</f>
        <v>toyota-burkhardt-weingarten.de</v>
      </c>
      <c r="C34352" t="s">
        <v>436</v>
      </c>
      <c r="D34352" t="s">
        <v>815</v>
      </c>
      <c r="F34352">
        <v>6.6937758328671497E-9</v>
      </c>
      <c r="G34352">
        <v>13324992</v>
      </c>
      <c r="H34352">
        <v>9348879</v>
      </c>
      <c r="I34352">
        <v>67995813</v>
      </c>
      <c r="J34352">
        <v>3</v>
      </c>
    </row>
    <row r="34353" spans="1:10" x14ac:dyDescent="0.25">
      <c r="A34353" t="s">
        <v>381</v>
      </c>
      <c r="B34353" s="1" t="str">
        <f>HYPERLINK("http://toyota-dello.de","toyota-dello.de")</f>
        <v>toyota-dello.de</v>
      </c>
      <c r="C34353" t="s">
        <v>436</v>
      </c>
      <c r="D34353" t="s">
        <v>815</v>
      </c>
      <c r="F34353">
        <v>1.2175528492741099E-8</v>
      </c>
      <c r="G34353">
        <v>5064789</v>
      </c>
      <c r="H34353">
        <v>12242770</v>
      </c>
      <c r="I34353">
        <v>22176499</v>
      </c>
      <c r="J34353">
        <v>3</v>
      </c>
    </row>
    <row r="34354" spans="1:10" x14ac:dyDescent="0.25">
      <c r="A34354" t="s">
        <v>381</v>
      </c>
      <c r="B34354" s="1" t="str">
        <f>HYPERLINK("http://toyota-ehrhard-brensbach.de","toyota-ehrhard-brensbach.de")</f>
        <v>toyota-ehrhard-brensbach.de</v>
      </c>
      <c r="C34354" t="s">
        <v>436</v>
      </c>
      <c r="D34354" t="s">
        <v>815</v>
      </c>
      <c r="F34354">
        <v>4.4438680110577902E-9</v>
      </c>
      <c r="G34354">
        <v>78197824</v>
      </c>
      <c r="H34354">
        <v>11974552</v>
      </c>
      <c r="I34354">
        <v>28634560</v>
      </c>
      <c r="J34354">
        <v>3</v>
      </c>
    </row>
    <row r="34355" spans="1:10" x14ac:dyDescent="0.25">
      <c r="A34355" t="s">
        <v>381</v>
      </c>
      <c r="B34355" s="1" t="str">
        <f>HYPERLINK("http://toyota-eisenhofer-augsburg.de","toyota-eisenhofer-augsburg.de")</f>
        <v>toyota-eisenhofer-augsburg.de</v>
      </c>
      <c r="C34355" t="s">
        <v>436</v>
      </c>
      <c r="D34355" t="s">
        <v>815</v>
      </c>
      <c r="J34355">
        <v>3</v>
      </c>
    </row>
    <row r="34356" spans="1:10" x14ac:dyDescent="0.25">
      <c r="A34356" t="s">
        <v>381</v>
      </c>
      <c r="B34356" s="1" t="str">
        <f>HYPERLINK("http://toyota-ely.de","toyota-ely.de")</f>
        <v>toyota-ely.de</v>
      </c>
      <c r="C34356" t="s">
        <v>436</v>
      </c>
      <c r="D34356" t="s">
        <v>815</v>
      </c>
      <c r="J34356">
        <v>3</v>
      </c>
    </row>
    <row r="34357" spans="1:10" x14ac:dyDescent="0.25">
      <c r="A34357" t="s">
        <v>381</v>
      </c>
      <c r="B34357" s="1" t="str">
        <f>HYPERLINK("http://toyota-ely-neuwied.de","toyota-ely-neuwied.de")</f>
        <v>toyota-ely-neuwied.de</v>
      </c>
      <c r="C34357" t="s">
        <v>436</v>
      </c>
      <c r="D34357" t="s">
        <v>815</v>
      </c>
      <c r="J34357">
        <v>3</v>
      </c>
    </row>
    <row r="34358" spans="1:10" x14ac:dyDescent="0.25">
      <c r="A34358" t="s">
        <v>381</v>
      </c>
      <c r="B34358" s="1" t="str">
        <f>HYPERLINK("http://toyota-fahrzeughandel-pasewalk.de","toyota-fahrzeughandel-pasewalk.de")</f>
        <v>toyota-fahrzeughandel-pasewalk.de</v>
      </c>
      <c r="C34358" t="s">
        <v>436</v>
      </c>
      <c r="D34358" t="s">
        <v>815</v>
      </c>
      <c r="F34358">
        <v>5.0782587454848601E-9</v>
      </c>
      <c r="G34358">
        <v>27549061</v>
      </c>
      <c r="H34358">
        <v>8600937</v>
      </c>
      <c r="I34358">
        <v>70775483</v>
      </c>
      <c r="J34358">
        <v>3</v>
      </c>
    </row>
    <row r="34359" spans="1:10" x14ac:dyDescent="0.25">
      <c r="A34359" t="s">
        <v>381</v>
      </c>
      <c r="B34359" s="1" t="str">
        <f>HYPERLINK("http://toyota-falkenstein-papenburg.de","toyota-falkenstein-papenburg.de")</f>
        <v>toyota-falkenstein-papenburg.de</v>
      </c>
      <c r="C34359" t="s">
        <v>436</v>
      </c>
      <c r="D34359" t="s">
        <v>815</v>
      </c>
      <c r="F34359">
        <v>4.44380395335525E-9</v>
      </c>
      <c r="G34359">
        <v>84577894</v>
      </c>
      <c r="H34359">
        <v>0</v>
      </c>
      <c r="I34359">
        <v>85656733</v>
      </c>
      <c r="J34359">
        <v>3</v>
      </c>
    </row>
    <row r="34360" spans="1:10" x14ac:dyDescent="0.25">
      <c r="A34360" t="s">
        <v>381</v>
      </c>
      <c r="B34360" s="1" t="str">
        <f>HYPERLINK("http://toyota-forklifts.de","toyota-forklifts.de")</f>
        <v>toyota-forklifts.de</v>
      </c>
      <c r="C34360" t="s">
        <v>436</v>
      </c>
      <c r="D34360" t="s">
        <v>815</v>
      </c>
      <c r="F34360">
        <v>4.6146372777393698E-8</v>
      </c>
      <c r="G34360">
        <v>1015921</v>
      </c>
      <c r="H34360">
        <v>14145432</v>
      </c>
      <c r="I34360">
        <v>1900330</v>
      </c>
      <c r="J34360">
        <v>4</v>
      </c>
    </row>
    <row r="34361" spans="1:10" x14ac:dyDescent="0.25">
      <c r="A34361" t="s">
        <v>381</v>
      </c>
      <c r="B34361" s="1" t="str">
        <f>HYPERLINK("http://toyota-freiberg.de","toyota-freiberg.de")</f>
        <v>toyota-freiberg.de</v>
      </c>
      <c r="C34361" t="s">
        <v>436</v>
      </c>
      <c r="D34361" t="s">
        <v>815</v>
      </c>
      <c r="F34361">
        <v>5.7835091088424604E-9</v>
      </c>
      <c r="G34361">
        <v>18217370</v>
      </c>
      <c r="H34361">
        <v>9331298</v>
      </c>
      <c r="I34361">
        <v>68210469</v>
      </c>
      <c r="J34361">
        <v>3</v>
      </c>
    </row>
    <row r="34362" spans="1:10" x14ac:dyDescent="0.25">
      <c r="A34362" t="s">
        <v>381</v>
      </c>
      <c r="B34362" s="1" t="str">
        <f>HYPERLINK("http://toyota-glueckauf-marl.de","toyota-glueckauf-marl.de")</f>
        <v>toyota-glueckauf-marl.de</v>
      </c>
      <c r="C34362" t="s">
        <v>436</v>
      </c>
      <c r="D34362" t="s">
        <v>815</v>
      </c>
      <c r="J34362">
        <v>3</v>
      </c>
    </row>
    <row r="34363" spans="1:10" x14ac:dyDescent="0.25">
      <c r="A34363" t="s">
        <v>381</v>
      </c>
      <c r="B34363" s="1" t="str">
        <f>HYPERLINK("http://toyota-glueckauf-oberhausen.de","toyota-glueckauf-oberhausen.de")</f>
        <v>toyota-glueckauf-oberhausen.de</v>
      </c>
      <c r="C34363" t="s">
        <v>436</v>
      </c>
      <c r="D34363" t="s">
        <v>815</v>
      </c>
      <c r="F34363">
        <v>4.4438680110577902E-9</v>
      </c>
      <c r="G34363">
        <v>78197825</v>
      </c>
      <c r="H34363">
        <v>11974552</v>
      </c>
      <c r="I34363">
        <v>28634563</v>
      </c>
      <c r="J34363">
        <v>3</v>
      </c>
    </row>
    <row r="34364" spans="1:10" x14ac:dyDescent="0.25">
      <c r="A34364" t="s">
        <v>381</v>
      </c>
      <c r="B34364" s="1" t="str">
        <f>HYPERLINK("http://toyota-grabenmeier-beckum.de","toyota-grabenmeier-beckum.de")</f>
        <v>toyota-grabenmeier-beckum.de</v>
      </c>
      <c r="C34364" t="s">
        <v>436</v>
      </c>
      <c r="D34364" t="s">
        <v>815</v>
      </c>
      <c r="J34364">
        <v>3</v>
      </c>
    </row>
    <row r="34365" spans="1:10" x14ac:dyDescent="0.25">
      <c r="A34365" t="s">
        <v>381</v>
      </c>
      <c r="B34365" s="1" t="str">
        <f>HYPERLINK("http://toyota-hagedorn.de","toyota-hagedorn.de")</f>
        <v>toyota-hagedorn.de</v>
      </c>
      <c r="C34365" t="s">
        <v>436</v>
      </c>
      <c r="D34365" t="s">
        <v>815</v>
      </c>
      <c r="F34365">
        <v>4.4438680110577902E-9</v>
      </c>
      <c r="G34365">
        <v>78199960</v>
      </c>
      <c r="H34365">
        <v>11974552</v>
      </c>
      <c r="I34365">
        <v>28634564</v>
      </c>
      <c r="J34365">
        <v>3</v>
      </c>
    </row>
    <row r="34366" spans="1:10" x14ac:dyDescent="0.25">
      <c r="A34366" t="s">
        <v>381</v>
      </c>
      <c r="B34366" s="1" t="str">
        <f>HYPERLINK("http://toyota-haslbeck-waldkraiburg.de","toyota-haslbeck-waldkraiburg.de")</f>
        <v>toyota-haslbeck-waldkraiburg.de</v>
      </c>
      <c r="C34366" t="s">
        <v>436</v>
      </c>
      <c r="D34366" t="s">
        <v>815</v>
      </c>
      <c r="J34366">
        <v>3</v>
      </c>
    </row>
    <row r="34367" spans="1:10" x14ac:dyDescent="0.25">
      <c r="A34367" t="s">
        <v>381</v>
      </c>
      <c r="B34367" s="1" t="str">
        <f>HYPERLINK("http://toyota-herre-sigmaringen.de","toyota-herre-sigmaringen.de")</f>
        <v>toyota-herre-sigmaringen.de</v>
      </c>
      <c r="C34367" t="s">
        <v>436</v>
      </c>
      <c r="D34367" t="s">
        <v>815</v>
      </c>
      <c r="J34367">
        <v>3</v>
      </c>
    </row>
    <row r="34368" spans="1:10" x14ac:dyDescent="0.25">
      <c r="A34368" t="s">
        <v>381</v>
      </c>
      <c r="B34368" s="1" t="str">
        <f>HYPERLINK("http://toyota-hertkorn.de","toyota-hertkorn.de")</f>
        <v>toyota-hertkorn.de</v>
      </c>
      <c r="C34368" t="s">
        <v>436</v>
      </c>
      <c r="D34368" t="s">
        <v>815</v>
      </c>
      <c r="J34368">
        <v>3</v>
      </c>
    </row>
    <row r="34369" spans="1:10" x14ac:dyDescent="0.25">
      <c r="A34369" t="s">
        <v>381</v>
      </c>
      <c r="B34369" s="1" t="str">
        <f>HYPERLINK("http://toyota-hildebrandt-theil-ofterdingen.de","toyota-hildebrandt-theil-ofterdingen.de")</f>
        <v>toyota-hildebrandt-theil-ofterdingen.de</v>
      </c>
      <c r="C34369" t="s">
        <v>436</v>
      </c>
      <c r="D34369" t="s">
        <v>815</v>
      </c>
      <c r="F34369">
        <v>4.9060023836857304E-9</v>
      </c>
      <c r="G34369">
        <v>32296008</v>
      </c>
      <c r="H34369">
        <v>12739752</v>
      </c>
      <c r="I34369">
        <v>15138867</v>
      </c>
      <c r="J34369">
        <v>3</v>
      </c>
    </row>
    <row r="34370" spans="1:10" x14ac:dyDescent="0.25">
      <c r="A34370" t="s">
        <v>381</v>
      </c>
      <c r="B34370" s="1" t="str">
        <f>HYPERLINK("http://toyota-hof.de","toyota-hof.de")</f>
        <v>toyota-hof.de</v>
      </c>
      <c r="C34370" t="s">
        <v>436</v>
      </c>
      <c r="D34370" t="s">
        <v>815</v>
      </c>
      <c r="F34370">
        <v>7.1974189779474296E-9</v>
      </c>
      <c r="G34370">
        <v>11747721</v>
      </c>
      <c r="H34370">
        <v>12091549</v>
      </c>
      <c r="I34370">
        <v>26202088</v>
      </c>
      <c r="J34370">
        <v>3</v>
      </c>
    </row>
    <row r="34371" spans="1:10" x14ac:dyDescent="0.25">
      <c r="A34371" t="s">
        <v>381</v>
      </c>
      <c r="B34371" s="1" t="str">
        <f>HYPERLINK("http://toyota-hof-neuwied.de","toyota-hof-neuwied.de")</f>
        <v>toyota-hof-neuwied.de</v>
      </c>
      <c r="C34371" t="s">
        <v>436</v>
      </c>
      <c r="D34371" t="s">
        <v>815</v>
      </c>
      <c r="F34371">
        <v>4.44380395335525E-9</v>
      </c>
      <c r="G34371">
        <v>84577916</v>
      </c>
      <c r="H34371">
        <v>0</v>
      </c>
      <c r="I34371">
        <v>85656757</v>
      </c>
      <c r="J34371">
        <v>3</v>
      </c>
    </row>
    <row r="34372" spans="1:10" x14ac:dyDescent="0.25">
      <c r="A34372" t="s">
        <v>381</v>
      </c>
      <c r="B34372" s="1" t="str">
        <f>HYPERLINK("http://toyota-kamen.de","toyota-kamen.de")</f>
        <v>toyota-kamen.de</v>
      </c>
      <c r="C34372" t="s">
        <v>436</v>
      </c>
      <c r="D34372" t="s">
        <v>815</v>
      </c>
      <c r="F34372">
        <v>5.0392899896338498E-9</v>
      </c>
      <c r="G34372">
        <v>28457448</v>
      </c>
      <c r="H34372">
        <v>12739746</v>
      </c>
      <c r="I34372">
        <v>15140982</v>
      </c>
      <c r="J34372">
        <v>3</v>
      </c>
    </row>
    <row r="34373" spans="1:10" x14ac:dyDescent="0.25">
      <c r="A34373" t="s">
        <v>381</v>
      </c>
      <c r="B34373" s="1" t="str">
        <f>HYPERLINK("http://toyota-keller.de","toyota-keller.de")</f>
        <v>toyota-keller.de</v>
      </c>
      <c r="C34373" t="s">
        <v>436</v>
      </c>
      <c r="D34373" t="s">
        <v>815</v>
      </c>
      <c r="F34373">
        <v>9.8939489552926906E-9</v>
      </c>
      <c r="G34373">
        <v>6865857</v>
      </c>
      <c r="H34373">
        <v>13763865</v>
      </c>
      <c r="I34373">
        <v>7543117</v>
      </c>
      <c r="J34373">
        <v>3</v>
      </c>
    </row>
    <row r="34374" spans="1:10" x14ac:dyDescent="0.25">
      <c r="A34374" t="s">
        <v>381</v>
      </c>
      <c r="B34374" s="1" t="str">
        <f>HYPERLINK("http://toyota-kretzschmar.de","toyota-kretzschmar.de")</f>
        <v>toyota-kretzschmar.de</v>
      </c>
      <c r="C34374" t="s">
        <v>436</v>
      </c>
      <c r="D34374" t="s">
        <v>815</v>
      </c>
      <c r="F34374">
        <v>4.6519754377069402E-9</v>
      </c>
      <c r="G34374">
        <v>44030992</v>
      </c>
      <c r="H34374">
        <v>10515922</v>
      </c>
      <c r="I34374">
        <v>49212496</v>
      </c>
      <c r="J34374">
        <v>3</v>
      </c>
    </row>
    <row r="34375" spans="1:10" x14ac:dyDescent="0.25">
      <c r="A34375" t="s">
        <v>381</v>
      </c>
      <c r="B34375" s="1" t="str">
        <f>HYPERLINK("http://toyota-kutscher-wipperfuerth.de","toyota-kutscher-wipperfuerth.de")</f>
        <v>toyota-kutscher-wipperfuerth.de</v>
      </c>
      <c r="C34375" t="s">
        <v>436</v>
      </c>
      <c r="D34375" t="s">
        <v>815</v>
      </c>
      <c r="F34375">
        <v>4.44380395335525E-9</v>
      </c>
      <c r="G34375">
        <v>84577925</v>
      </c>
      <c r="H34375">
        <v>0</v>
      </c>
      <c r="I34375">
        <v>85656768</v>
      </c>
      <c r="J34375">
        <v>3</v>
      </c>
    </row>
    <row r="34376" spans="1:10" x14ac:dyDescent="0.25">
      <c r="A34376" t="s">
        <v>381</v>
      </c>
      <c r="B34376" s="1" t="str">
        <f>HYPERLINK("http://toyota-lackas-duisburg.de","toyota-lackas-duisburg.de")</f>
        <v>toyota-lackas-duisburg.de</v>
      </c>
      <c r="C34376" t="s">
        <v>436</v>
      </c>
      <c r="D34376" t="s">
        <v>815</v>
      </c>
      <c r="F34376">
        <v>4.4438680110577902E-9</v>
      </c>
      <c r="G34376">
        <v>78197828</v>
      </c>
      <c r="H34376">
        <v>11974552</v>
      </c>
      <c r="I34376">
        <v>28634567</v>
      </c>
      <c r="J34376">
        <v>3</v>
      </c>
    </row>
    <row r="34377" spans="1:10" x14ac:dyDescent="0.25">
      <c r="A34377" t="s">
        <v>381</v>
      </c>
      <c r="B34377" s="1" t="str">
        <f>HYPERLINK("http://toyota-lackmann-velbert.de","toyota-lackmann-velbert.de")</f>
        <v>toyota-lackmann-velbert.de</v>
      </c>
      <c r="C34377" t="s">
        <v>436</v>
      </c>
      <c r="D34377" t="s">
        <v>815</v>
      </c>
      <c r="F34377">
        <v>4.4438680110577902E-9</v>
      </c>
      <c r="G34377">
        <v>78197829</v>
      </c>
      <c r="H34377">
        <v>11974552</v>
      </c>
      <c r="I34377">
        <v>28634568</v>
      </c>
      <c r="J34377">
        <v>3</v>
      </c>
    </row>
    <row r="34378" spans="1:10" x14ac:dyDescent="0.25">
      <c r="A34378" t="s">
        <v>381</v>
      </c>
      <c r="B34378" s="1" t="str">
        <f>HYPERLINK("http://toyota-lauter.de","toyota-lauter.de")</f>
        <v>toyota-lauter.de</v>
      </c>
      <c r="C34378" t="s">
        <v>436</v>
      </c>
      <c r="D34378" t="s">
        <v>815</v>
      </c>
      <c r="F34378">
        <v>5.6833874760710303E-9</v>
      </c>
      <c r="G34378">
        <v>19100835</v>
      </c>
      <c r="H34378">
        <v>9863089</v>
      </c>
      <c r="I34378">
        <v>62038928</v>
      </c>
      <c r="J34378">
        <v>3</v>
      </c>
    </row>
    <row r="34379" spans="1:10" x14ac:dyDescent="0.25">
      <c r="A34379" t="s">
        <v>381</v>
      </c>
      <c r="B34379" s="1" t="str">
        <f>HYPERLINK("http://toyota-levy-euskirchen.de","toyota-levy-euskirchen.de")</f>
        <v>toyota-levy-euskirchen.de</v>
      </c>
      <c r="C34379" t="s">
        <v>436</v>
      </c>
      <c r="D34379" t="s">
        <v>815</v>
      </c>
      <c r="J34379">
        <v>3</v>
      </c>
    </row>
    <row r="34380" spans="1:10" x14ac:dyDescent="0.25">
      <c r="A34380" t="s">
        <v>381</v>
      </c>
      <c r="B34380" s="1" t="str">
        <f>HYPERLINK("http://toyota-liske-goerlitz.de","toyota-liske-goerlitz.de")</f>
        <v>toyota-liske-goerlitz.de</v>
      </c>
      <c r="C34380" t="s">
        <v>436</v>
      </c>
      <c r="D34380" t="s">
        <v>815</v>
      </c>
      <c r="J34380">
        <v>3</v>
      </c>
    </row>
    <row r="34381" spans="1:10" x14ac:dyDescent="0.25">
      <c r="A34381" t="s">
        <v>381</v>
      </c>
      <c r="B34381" s="1" t="str">
        <f>HYPERLINK("http://toyota-ludwigshafen.de","toyota-ludwigshafen.de")</f>
        <v>toyota-ludwigshafen.de</v>
      </c>
      <c r="C34381" t="s">
        <v>436</v>
      </c>
      <c r="D34381" t="s">
        <v>815</v>
      </c>
      <c r="J34381">
        <v>3</v>
      </c>
    </row>
    <row r="34382" spans="1:10" x14ac:dyDescent="0.25">
      <c r="A34382" t="s">
        <v>381</v>
      </c>
      <c r="B34382" s="1" t="str">
        <f>HYPERLINK("http://toyota-mavag-sangerhausen.de","toyota-mavag-sangerhausen.de")</f>
        <v>toyota-mavag-sangerhausen.de</v>
      </c>
      <c r="C34382" t="s">
        <v>436</v>
      </c>
      <c r="D34382" t="s">
        <v>815</v>
      </c>
      <c r="J34382">
        <v>3</v>
      </c>
    </row>
    <row r="34383" spans="1:10" x14ac:dyDescent="0.25">
      <c r="A34383" t="s">
        <v>381</v>
      </c>
      <c r="B34383" s="1" t="str">
        <f>HYPERLINK("http://toyota-mollier.de","toyota-mollier.de")</f>
        <v>toyota-mollier.de</v>
      </c>
      <c r="C34383" t="s">
        <v>436</v>
      </c>
      <c r="D34383" t="s">
        <v>815</v>
      </c>
      <c r="F34383">
        <v>4.4584443927364604E-9</v>
      </c>
      <c r="G34383">
        <v>68251117</v>
      </c>
      <c r="H34383">
        <v>1.0003663</v>
      </c>
      <c r="I34383">
        <v>79317789</v>
      </c>
      <c r="J34383">
        <v>3</v>
      </c>
    </row>
    <row r="34384" spans="1:10" x14ac:dyDescent="0.25">
      <c r="A34384" t="s">
        <v>381</v>
      </c>
      <c r="B34384" s="1" t="str">
        <f>HYPERLINK("http://toyota-mueller.de","toyota-mueller.de")</f>
        <v>toyota-mueller.de</v>
      </c>
      <c r="C34384" t="s">
        <v>436</v>
      </c>
      <c r="D34384" t="s">
        <v>815</v>
      </c>
      <c r="J34384">
        <v>3</v>
      </c>
    </row>
    <row r="34385" spans="1:10" x14ac:dyDescent="0.25">
      <c r="A34385" t="s">
        <v>381</v>
      </c>
      <c r="B34385" s="1" t="str">
        <f>HYPERLINK("http://toyota-nitschke-rheine.de","toyota-nitschke-rheine.de")</f>
        <v>toyota-nitschke-rheine.de</v>
      </c>
      <c r="C34385" t="s">
        <v>436</v>
      </c>
      <c r="D34385" t="s">
        <v>815</v>
      </c>
      <c r="F34385">
        <v>4.4687547896105699E-9</v>
      </c>
      <c r="G34385">
        <v>64882575</v>
      </c>
      <c r="H34385">
        <v>9346194</v>
      </c>
      <c r="I34385">
        <v>68037668</v>
      </c>
      <c r="J34385">
        <v>3</v>
      </c>
    </row>
    <row r="34386" spans="1:10" x14ac:dyDescent="0.25">
      <c r="A34386" t="s">
        <v>381</v>
      </c>
      <c r="B34386" s="1" t="str">
        <f>HYPERLINK("http://toyota-odertal-schwedt.de","toyota-odertal-schwedt.de")</f>
        <v>toyota-odertal-schwedt.de</v>
      </c>
      <c r="C34386" t="s">
        <v>436</v>
      </c>
      <c r="D34386" t="s">
        <v>815</v>
      </c>
      <c r="F34386">
        <v>4.4499768229814003E-9</v>
      </c>
      <c r="G34386">
        <v>71945728</v>
      </c>
      <c r="H34386">
        <v>8733866</v>
      </c>
      <c r="I34386">
        <v>69727453</v>
      </c>
      <c r="J34386">
        <v>3</v>
      </c>
    </row>
    <row r="34387" spans="1:10" x14ac:dyDescent="0.25">
      <c r="A34387" t="s">
        <v>381</v>
      </c>
      <c r="B34387" s="1" t="str">
        <f>HYPERLINK("http://toyota-oswald-wiesloch.de","toyota-oswald-wiesloch.de")</f>
        <v>toyota-oswald-wiesloch.de</v>
      </c>
      <c r="C34387" t="s">
        <v>436</v>
      </c>
      <c r="D34387" t="s">
        <v>815</v>
      </c>
      <c r="F34387">
        <v>4.6341940540886199E-9</v>
      </c>
      <c r="G34387">
        <v>45145938</v>
      </c>
      <c r="H34387">
        <v>8687375</v>
      </c>
      <c r="I34387">
        <v>70044170</v>
      </c>
      <c r="J34387">
        <v>3</v>
      </c>
    </row>
    <row r="34388" spans="1:10" x14ac:dyDescent="0.25">
      <c r="A34388" t="s">
        <v>381</v>
      </c>
      <c r="B34388" s="1" t="str">
        <f>HYPERLINK("http://toyota-partner.de","toyota-partner.de")</f>
        <v>toyota-partner.de</v>
      </c>
      <c r="C34388" t="s">
        <v>436</v>
      </c>
      <c r="D34388" t="s">
        <v>815</v>
      </c>
      <c r="F34388">
        <v>3.6719125163030803E-8</v>
      </c>
      <c r="G34388">
        <v>1423236</v>
      </c>
      <c r="H34388">
        <v>12546935</v>
      </c>
      <c r="I34388">
        <v>16851304</v>
      </c>
      <c r="J34388">
        <v>3</v>
      </c>
    </row>
    <row r="34389" spans="1:10" x14ac:dyDescent="0.25">
      <c r="A34389" t="s">
        <v>381</v>
      </c>
      <c r="B34389" s="1" t="str">
        <f>HYPERLINK("http://toyota-peene.de","toyota-peene.de")</f>
        <v>toyota-peene.de</v>
      </c>
      <c r="C34389" t="s">
        <v>436</v>
      </c>
      <c r="D34389" t="s">
        <v>815</v>
      </c>
      <c r="F34389">
        <v>4.6608657133006098E-9</v>
      </c>
      <c r="G34389">
        <v>43462854</v>
      </c>
      <c r="H34389">
        <v>11177382</v>
      </c>
      <c r="I34389">
        <v>31461379</v>
      </c>
      <c r="J34389">
        <v>3</v>
      </c>
    </row>
    <row r="34390" spans="1:10" x14ac:dyDescent="0.25">
      <c r="A34390" t="s">
        <v>381</v>
      </c>
      <c r="B34390" s="1" t="str">
        <f>HYPERLINK("http://toyota-poehland-altenburg.de","toyota-poehland-altenburg.de")</f>
        <v>toyota-poehland-altenburg.de</v>
      </c>
      <c r="C34390" t="s">
        <v>436</v>
      </c>
      <c r="D34390" t="s">
        <v>815</v>
      </c>
      <c r="J34390">
        <v>3</v>
      </c>
    </row>
    <row r="34391" spans="1:10" x14ac:dyDescent="0.25">
      <c r="A34391" t="s">
        <v>381</v>
      </c>
      <c r="B34391" s="1" t="str">
        <f>HYPERLINK("http://toyota-schultz.de","toyota-schultz.de")</f>
        <v>toyota-schultz.de</v>
      </c>
      <c r="C34391" t="s">
        <v>436</v>
      </c>
      <c r="D34391" t="s">
        <v>815</v>
      </c>
      <c r="F34391">
        <v>4.7088798427932302E-9</v>
      </c>
      <c r="G34391">
        <v>40798268</v>
      </c>
      <c r="H34391">
        <v>12339246</v>
      </c>
      <c r="I34391">
        <v>20024529</v>
      </c>
      <c r="J34391">
        <v>3</v>
      </c>
    </row>
    <row r="34392" spans="1:10" x14ac:dyDescent="0.25">
      <c r="A34392" t="s">
        <v>381</v>
      </c>
      <c r="B34392" s="1" t="str">
        <f>HYPERLINK("http://toyota-seibold.de","toyota-seibold.de")</f>
        <v>toyota-seibold.de</v>
      </c>
      <c r="C34392" t="s">
        <v>436</v>
      </c>
      <c r="D34392" t="s">
        <v>815</v>
      </c>
      <c r="F34392">
        <v>4.6536502704517702E-9</v>
      </c>
      <c r="G34392">
        <v>43913000</v>
      </c>
      <c r="H34392">
        <v>1.0003663</v>
      </c>
      <c r="I34392">
        <v>79317791</v>
      </c>
      <c r="J34392">
        <v>3</v>
      </c>
    </row>
    <row r="34393" spans="1:10" x14ac:dyDescent="0.25">
      <c r="A34393" t="s">
        <v>381</v>
      </c>
      <c r="B34393" s="1" t="str">
        <f>HYPERLINK("http://toyota-seidl-tittling-rappenhof.de","toyota-seidl-tittling-rappenhof.de")</f>
        <v>toyota-seidl-tittling-rappenhof.de</v>
      </c>
      <c r="C34393" t="s">
        <v>436</v>
      </c>
      <c r="D34393" t="s">
        <v>815</v>
      </c>
      <c r="J34393">
        <v>3</v>
      </c>
    </row>
    <row r="34394" spans="1:10" x14ac:dyDescent="0.25">
      <c r="A34394" t="s">
        <v>381</v>
      </c>
      <c r="B34394" s="1" t="str">
        <f>HYPERLINK("http://toyota-siegburg.de","toyota-siegburg.de")</f>
        <v>toyota-siegburg.de</v>
      </c>
      <c r="C34394" t="s">
        <v>436</v>
      </c>
      <c r="D34394" t="s">
        <v>815</v>
      </c>
      <c r="F34394">
        <v>4.4988369030553004E-9</v>
      </c>
      <c r="G34394">
        <v>59110339</v>
      </c>
      <c r="H34394">
        <v>7900662</v>
      </c>
      <c r="I34394">
        <v>75408939</v>
      </c>
      <c r="J34394">
        <v>3</v>
      </c>
    </row>
    <row r="34395" spans="1:10" x14ac:dyDescent="0.25">
      <c r="A34395" t="s">
        <v>381</v>
      </c>
      <c r="B34395" s="1" t="str">
        <f>HYPERLINK("http://toyota-stelzer.de","toyota-stelzer.de")</f>
        <v>toyota-stelzer.de</v>
      </c>
      <c r="C34395" t="s">
        <v>436</v>
      </c>
      <c r="D34395" t="s">
        <v>815</v>
      </c>
      <c r="F34395">
        <v>4.5439143779835301E-9</v>
      </c>
      <c r="G34395">
        <v>52843751</v>
      </c>
      <c r="H34395">
        <v>9489160</v>
      </c>
      <c r="I34395">
        <v>65880223</v>
      </c>
      <c r="J34395">
        <v>3</v>
      </c>
    </row>
    <row r="34396" spans="1:10" x14ac:dyDescent="0.25">
      <c r="A34396" t="s">
        <v>381</v>
      </c>
      <c r="B34396" s="1" t="str">
        <f>HYPERLINK("http://toyota-stelzer-stadthagen.de","toyota-stelzer-stadthagen.de")</f>
        <v>toyota-stelzer-stadthagen.de</v>
      </c>
      <c r="C34396" t="s">
        <v>436</v>
      </c>
      <c r="D34396" t="s">
        <v>815</v>
      </c>
      <c r="F34396">
        <v>4.6635406438931601E-9</v>
      </c>
      <c r="G34396">
        <v>43312763</v>
      </c>
      <c r="H34396">
        <v>9471496</v>
      </c>
      <c r="I34396">
        <v>66178833</v>
      </c>
      <c r="J34396">
        <v>3</v>
      </c>
    </row>
    <row r="34397" spans="1:10" x14ac:dyDescent="0.25">
      <c r="A34397" t="s">
        <v>381</v>
      </c>
      <c r="B34397" s="1" t="str">
        <f>HYPERLINK("http://toyota-strobel-augsburg-goeggingen.de","toyota-strobel-augsburg-goeggingen.de")</f>
        <v>toyota-strobel-augsburg-goeggingen.de</v>
      </c>
      <c r="C34397" t="s">
        <v>436</v>
      </c>
      <c r="D34397" t="s">
        <v>815</v>
      </c>
      <c r="F34397">
        <v>4.7963895935718303E-9</v>
      </c>
      <c r="G34397">
        <v>36228448</v>
      </c>
      <c r="H34397">
        <v>8405263</v>
      </c>
      <c r="I34397">
        <v>73207396</v>
      </c>
      <c r="J34397">
        <v>3</v>
      </c>
    </row>
    <row r="34398" spans="1:10" x14ac:dyDescent="0.25">
      <c r="A34398" t="s">
        <v>381</v>
      </c>
      <c r="B34398" s="1" t="str">
        <f>HYPERLINK("http://toyota-stueben.de","toyota-stueben.de")</f>
        <v>toyota-stueben.de</v>
      </c>
      <c r="C34398" t="s">
        <v>436</v>
      </c>
      <c r="D34398" t="s">
        <v>815</v>
      </c>
      <c r="F34398">
        <v>4.5777167319336603E-9</v>
      </c>
      <c r="G34398">
        <v>49492810</v>
      </c>
      <c r="H34398">
        <v>10549035</v>
      </c>
      <c r="I34398">
        <v>46738807</v>
      </c>
      <c r="J34398">
        <v>3</v>
      </c>
    </row>
    <row r="34399" spans="1:10" x14ac:dyDescent="0.25">
      <c r="A34399" t="s">
        <v>381</v>
      </c>
      <c r="B34399" s="1" t="str">
        <f>HYPERLINK("http://toyota-stumpf.de","toyota-stumpf.de")</f>
        <v>toyota-stumpf.de</v>
      </c>
      <c r="C34399" t="s">
        <v>436</v>
      </c>
      <c r="D34399" t="s">
        <v>815</v>
      </c>
      <c r="F34399">
        <v>4.45442999405594E-9</v>
      </c>
      <c r="G34399">
        <v>69740028</v>
      </c>
      <c r="H34399">
        <v>10662606</v>
      </c>
      <c r="I34399">
        <v>43316805</v>
      </c>
      <c r="J34399">
        <v>3</v>
      </c>
    </row>
    <row r="34400" spans="1:10" x14ac:dyDescent="0.25">
      <c r="A34400" t="s">
        <v>381</v>
      </c>
      <c r="B34400" s="1" t="str">
        <f>HYPERLINK("http://toyota-ullrich-winkelhaid.de","toyota-ullrich-winkelhaid.de")</f>
        <v>toyota-ullrich-winkelhaid.de</v>
      </c>
      <c r="C34400" t="s">
        <v>436</v>
      </c>
      <c r="D34400" t="s">
        <v>815</v>
      </c>
      <c r="F34400">
        <v>4.5842599745266902E-9</v>
      </c>
      <c r="G34400">
        <v>48929074</v>
      </c>
      <c r="H34400">
        <v>10788412</v>
      </c>
      <c r="I34400">
        <v>38562966</v>
      </c>
      <c r="J34400">
        <v>3</v>
      </c>
    </row>
    <row r="34401" spans="1:10" x14ac:dyDescent="0.25">
      <c r="A34401" t="s">
        <v>381</v>
      </c>
      <c r="B34401" s="1" t="str">
        <f>HYPERLINK("http://toyota-wagner.de","toyota-wagner.de")</f>
        <v>toyota-wagner.de</v>
      </c>
      <c r="C34401" t="s">
        <v>436</v>
      </c>
      <c r="D34401" t="s">
        <v>815</v>
      </c>
      <c r="F34401">
        <v>4.4438680110577902E-9</v>
      </c>
      <c r="G34401">
        <v>78199976</v>
      </c>
      <c r="H34401">
        <v>11974553</v>
      </c>
      <c r="I34401">
        <v>28632615</v>
      </c>
      <c r="J34401">
        <v>3</v>
      </c>
    </row>
    <row r="34402" spans="1:10" x14ac:dyDescent="0.25">
      <c r="A34402" t="s">
        <v>381</v>
      </c>
      <c r="B34402" s="1" t="str">
        <f>HYPERLINK("http://toyota-wagner-ludwigslust.de","toyota-wagner-ludwigslust.de")</f>
        <v>toyota-wagner-ludwigslust.de</v>
      </c>
      <c r="C34402" t="s">
        <v>436</v>
      </c>
      <c r="D34402" t="s">
        <v>815</v>
      </c>
      <c r="J34402">
        <v>3</v>
      </c>
    </row>
    <row r="34403" spans="1:10" x14ac:dyDescent="0.25">
      <c r="A34403" t="s">
        <v>381</v>
      </c>
      <c r="B34403" s="1" t="str">
        <f>HYPERLINK("http://toyota-wahl-guestrow.de","toyota-wahl-guestrow.de")</f>
        <v>toyota-wahl-guestrow.de</v>
      </c>
      <c r="C34403" t="s">
        <v>436</v>
      </c>
      <c r="D34403" t="s">
        <v>815</v>
      </c>
      <c r="F34403">
        <v>4.4457197315952799E-9</v>
      </c>
      <c r="G34403">
        <v>75003355</v>
      </c>
      <c r="H34403">
        <v>10841244</v>
      </c>
      <c r="I34403">
        <v>37149831</v>
      </c>
      <c r="J34403">
        <v>3</v>
      </c>
    </row>
    <row r="34404" spans="1:10" x14ac:dyDescent="0.25">
      <c r="A34404" t="s">
        <v>381</v>
      </c>
      <c r="B34404" s="1" t="str">
        <f>HYPERLINK("http://toyota-wahl-parchim.de","toyota-wahl-parchim.de")</f>
        <v>toyota-wahl-parchim.de</v>
      </c>
      <c r="C34404" t="s">
        <v>436</v>
      </c>
      <c r="D34404" t="s">
        <v>815</v>
      </c>
      <c r="F34404">
        <v>4.5500428868963902E-9</v>
      </c>
      <c r="G34404">
        <v>52183387</v>
      </c>
      <c r="H34404">
        <v>8497371</v>
      </c>
      <c r="I34404">
        <v>72048808</v>
      </c>
      <c r="J34404">
        <v>3</v>
      </c>
    </row>
    <row r="34405" spans="1:10" x14ac:dyDescent="0.25">
      <c r="A34405" t="s">
        <v>381</v>
      </c>
      <c r="B34405" s="1" t="str">
        <f>HYPERLINK("http://toyota-weber.de","toyota-weber.de")</f>
        <v>toyota-weber.de</v>
      </c>
      <c r="C34405" t="s">
        <v>436</v>
      </c>
      <c r="D34405" t="s">
        <v>815</v>
      </c>
      <c r="J34405">
        <v>3</v>
      </c>
    </row>
    <row r="34406" spans="1:10" x14ac:dyDescent="0.25">
      <c r="A34406" t="s">
        <v>381</v>
      </c>
      <c r="B34406" s="1" t="str">
        <f>HYPERLINK("http://toyota-wuerzburg.de","toyota-wuerzburg.de")</f>
        <v>toyota-wuerzburg.de</v>
      </c>
      <c r="C34406" t="s">
        <v>436</v>
      </c>
      <c r="D34406" t="s">
        <v>815</v>
      </c>
      <c r="F34406">
        <v>4.5165654452175904E-9</v>
      </c>
      <c r="G34406">
        <v>56645648</v>
      </c>
      <c r="H34406">
        <v>8641552</v>
      </c>
      <c r="I34406">
        <v>70443950</v>
      </c>
      <c r="J34406">
        <v>3</v>
      </c>
    </row>
    <row r="34407" spans="1:10" x14ac:dyDescent="0.25">
      <c r="A34407" t="s">
        <v>381</v>
      </c>
      <c r="B34407" s="1" t="str">
        <f>HYPERLINK("http://toyota-zentrum.de","toyota-zentrum.de")</f>
        <v>toyota-zentrum.de</v>
      </c>
      <c r="C34407" t="s">
        <v>436</v>
      </c>
      <c r="D34407" t="s">
        <v>815</v>
      </c>
      <c r="F34407">
        <v>5.0689651776117904E-9</v>
      </c>
      <c r="G34407">
        <v>27812035</v>
      </c>
      <c r="H34407">
        <v>10957677</v>
      </c>
      <c r="I34407">
        <v>34411926</v>
      </c>
      <c r="J34407">
        <v>3</v>
      </c>
    </row>
    <row r="34408" spans="1:10" x14ac:dyDescent="0.25">
      <c r="A34408" t="s">
        <v>381</v>
      </c>
      <c r="B34408" s="1" t="str">
        <f>HYPERLINK("http://toyotaue.de","toyotaue.de")</f>
        <v>toyotaue.de</v>
      </c>
      <c r="C34408" t="s">
        <v>436</v>
      </c>
      <c r="D34408" t="s">
        <v>815</v>
      </c>
      <c r="F34408">
        <v>5.1945970922220498E-9</v>
      </c>
      <c r="G34408">
        <v>25259000</v>
      </c>
      <c r="H34408">
        <v>8627879</v>
      </c>
      <c r="I34408">
        <v>70559969</v>
      </c>
      <c r="J34408">
        <v>3</v>
      </c>
    </row>
    <row r="34409" spans="1:10" x14ac:dyDescent="0.25">
      <c r="A34409" t="s">
        <v>381</v>
      </c>
      <c r="B34409" s="1" t="str">
        <f>HYPERLINK("http://west-garage.de","west-garage.de")</f>
        <v>west-garage.de</v>
      </c>
      <c r="C34409" t="s">
        <v>436</v>
      </c>
      <c r="D34409" t="s">
        <v>815</v>
      </c>
      <c r="F34409">
        <v>1.00347628604893E-8</v>
      </c>
      <c r="G34409">
        <v>6720825</v>
      </c>
      <c r="H34409">
        <v>11933389</v>
      </c>
      <c r="I34409">
        <v>29252706</v>
      </c>
      <c r="J34409">
        <v>3</v>
      </c>
    </row>
    <row r="34410" spans="1:10" x14ac:dyDescent="0.25">
      <c r="A34410" t="s">
        <v>381</v>
      </c>
      <c r="B34410" s="1" t="str">
        <f>HYPERLINK("http://widmann-toyota.de","widmann-toyota.de")</f>
        <v>widmann-toyota.de</v>
      </c>
      <c r="C34410" t="s">
        <v>436</v>
      </c>
      <c r="D34410" t="s">
        <v>815</v>
      </c>
      <c r="F34410">
        <v>5.2068689860418999E-9</v>
      </c>
      <c r="G34410">
        <v>24980403</v>
      </c>
      <c r="H34410">
        <v>9432346</v>
      </c>
      <c r="I34410">
        <v>66785905</v>
      </c>
      <c r="J34410">
        <v>3</v>
      </c>
    </row>
    <row r="34411" spans="1:10" x14ac:dyDescent="0.25">
      <c r="A34411" t="s">
        <v>381</v>
      </c>
      <c r="B34411" s="1" t="str">
        <f>HYPERLINK("http://yvel.de","yvel.de")</f>
        <v>yvel.de</v>
      </c>
      <c r="C34411" t="s">
        <v>436</v>
      </c>
      <c r="D34411" t="s">
        <v>815</v>
      </c>
      <c r="F34411">
        <v>8.0405665797887597E-9</v>
      </c>
      <c r="G34411">
        <v>9846876</v>
      </c>
      <c r="H34411">
        <v>12750691</v>
      </c>
      <c r="I34411">
        <v>15046454</v>
      </c>
      <c r="J34411">
        <v>3</v>
      </c>
    </row>
    <row r="34412" spans="1:10" x14ac:dyDescent="0.25">
      <c r="A34412" t="s">
        <v>381</v>
      </c>
      <c r="B34412" s="1" t="str">
        <f>HYPERLINK("http://kinto-mobility.digital","kinto-mobility.digital")</f>
        <v>kinto-mobility.digital</v>
      </c>
      <c r="C34412" t="s">
        <v>543</v>
      </c>
      <c r="F34412">
        <v>8.1918154806471605E-9</v>
      </c>
      <c r="G34412">
        <v>9585830</v>
      </c>
      <c r="H34412">
        <v>10034350</v>
      </c>
      <c r="I34412">
        <v>60553003</v>
      </c>
      <c r="J34412">
        <v>5</v>
      </c>
    </row>
    <row r="34413" spans="1:10" x14ac:dyDescent="0.25">
      <c r="A34413" t="s">
        <v>381</v>
      </c>
      <c r="B34413" s="1" t="str">
        <f>HYPERLINK("http://autohjoernetskagen.dk","autohjoernetskagen.dk")</f>
        <v>autohjoernetskagen.dk</v>
      </c>
      <c r="C34413" t="s">
        <v>437</v>
      </c>
      <c r="D34413" t="s">
        <v>816</v>
      </c>
      <c r="F34413">
        <v>4.6534784969875801E-9</v>
      </c>
      <c r="G34413">
        <v>43934814</v>
      </c>
      <c r="H34413">
        <v>11040126</v>
      </c>
      <c r="I34413">
        <v>32924309</v>
      </c>
      <c r="J34413">
        <v>3</v>
      </c>
    </row>
    <row r="34414" spans="1:10" x14ac:dyDescent="0.25">
      <c r="A34414" t="s">
        <v>381</v>
      </c>
      <c r="B34414" s="1" t="str">
        <f>HYPERLINK("http://bilogco.dk","bilogco.dk")</f>
        <v>bilogco.dk</v>
      </c>
      <c r="C34414" t="s">
        <v>437</v>
      </c>
      <c r="D34414" t="s">
        <v>816</v>
      </c>
      <c r="F34414">
        <v>1.09391846209061E-8</v>
      </c>
      <c r="G34414">
        <v>5911978</v>
      </c>
      <c r="H34414">
        <v>11081465</v>
      </c>
      <c r="I34414">
        <v>32469872</v>
      </c>
      <c r="J34414">
        <v>3</v>
      </c>
    </row>
    <row r="34415" spans="1:10" x14ac:dyDescent="0.25">
      <c r="A34415" t="s">
        <v>381</v>
      </c>
      <c r="B34415" s="1" t="str">
        <f>HYPERLINK("http://boll-biler.dk","boll-biler.dk")</f>
        <v>boll-biler.dk</v>
      </c>
      <c r="C34415" t="s">
        <v>437</v>
      </c>
      <c r="D34415" t="s">
        <v>816</v>
      </c>
      <c r="F34415">
        <v>6.5438052890005597E-9</v>
      </c>
      <c r="G34415">
        <v>13897306</v>
      </c>
      <c r="H34415">
        <v>12109789</v>
      </c>
      <c r="I34415">
        <v>25732230</v>
      </c>
      <c r="J34415">
        <v>3</v>
      </c>
    </row>
    <row r="34416" spans="1:10" x14ac:dyDescent="0.25">
      <c r="A34416" t="s">
        <v>381</v>
      </c>
      <c r="B34416" s="1" t="str">
        <f>HYPERLINK("http://bpabiler.dk","bpabiler.dk")</f>
        <v>bpabiler.dk</v>
      </c>
      <c r="C34416" t="s">
        <v>437</v>
      </c>
      <c r="D34416" t="s">
        <v>816</v>
      </c>
      <c r="F34416">
        <v>4.5894490857997001E-9</v>
      </c>
      <c r="G34416">
        <v>48451720</v>
      </c>
      <c r="H34416">
        <v>10676757</v>
      </c>
      <c r="I34416">
        <v>42818127</v>
      </c>
      <c r="J34416">
        <v>3</v>
      </c>
    </row>
    <row r="34417" spans="1:10" x14ac:dyDescent="0.25">
      <c r="A34417" t="s">
        <v>381</v>
      </c>
      <c r="B34417" s="1" t="str">
        <f>HYPERLINK("http://kinto-mobility.dk","kinto-mobility.dk")</f>
        <v>kinto-mobility.dk</v>
      </c>
      <c r="C34417" t="s">
        <v>437</v>
      </c>
      <c r="D34417" t="s">
        <v>816</v>
      </c>
      <c r="F34417">
        <v>1.4082034014826001E-8</v>
      </c>
      <c r="G34417">
        <v>4172261</v>
      </c>
      <c r="H34417">
        <v>11600058</v>
      </c>
      <c r="I34417">
        <v>29929280</v>
      </c>
      <c r="J34417">
        <v>4</v>
      </c>
    </row>
    <row r="34418" spans="1:10" x14ac:dyDescent="0.25">
      <c r="A34418" t="s">
        <v>381</v>
      </c>
      <c r="B34418" s="1" t="str">
        <f>HYPERLINK("http://lexus.dk","lexus.dk")</f>
        <v>lexus.dk</v>
      </c>
      <c r="C34418" t="s">
        <v>437</v>
      </c>
      <c r="D34418" t="s">
        <v>816</v>
      </c>
      <c r="E34418">
        <v>505891</v>
      </c>
      <c r="F34418">
        <v>4.0890638101555401E-8</v>
      </c>
      <c r="G34418">
        <v>1268317</v>
      </c>
      <c r="H34418">
        <v>14072817</v>
      </c>
      <c r="I34418">
        <v>3042439</v>
      </c>
      <c r="J34418">
        <v>4</v>
      </c>
    </row>
    <row r="34419" spans="1:10" x14ac:dyDescent="0.25">
      <c r="A34419" t="s">
        <v>381</v>
      </c>
      <c r="B34419" s="1" t="str">
        <f>HYPERLINK("http://lihnogboi.dk","lihnogboi.dk")</f>
        <v>lihnogboi.dk</v>
      </c>
      <c r="C34419" t="s">
        <v>437</v>
      </c>
      <c r="D34419" t="s">
        <v>816</v>
      </c>
      <c r="F34419">
        <v>8.7913188842650096E-9</v>
      </c>
      <c r="G34419">
        <v>8324909</v>
      </c>
      <c r="H34419">
        <v>13348928</v>
      </c>
      <c r="I34419">
        <v>10619025</v>
      </c>
      <c r="J34419">
        <v>3</v>
      </c>
    </row>
    <row r="34420" spans="1:10" x14ac:dyDescent="0.25">
      <c r="A34420" t="s">
        <v>381</v>
      </c>
      <c r="B34420" s="1" t="str">
        <f>HYPERLINK("http://louis-lund.dk","louis-lund.dk")</f>
        <v>louis-lund.dk</v>
      </c>
      <c r="C34420" t="s">
        <v>437</v>
      </c>
      <c r="D34420" t="s">
        <v>816</v>
      </c>
      <c r="F34420">
        <v>1.43609678352711E-8</v>
      </c>
      <c r="G34420">
        <v>4070576</v>
      </c>
      <c r="H34420">
        <v>12163938</v>
      </c>
      <c r="I34420">
        <v>24257141</v>
      </c>
      <c r="J34420">
        <v>3</v>
      </c>
    </row>
    <row r="34421" spans="1:10" x14ac:dyDescent="0.25">
      <c r="A34421" t="s">
        <v>381</v>
      </c>
      <c r="B34421" s="1" t="str">
        <f>HYPERLINK("http://louislund.dk","louislund.dk")</f>
        <v>louislund.dk</v>
      </c>
      <c r="C34421" t="s">
        <v>437</v>
      </c>
      <c r="D34421" t="s">
        <v>816</v>
      </c>
      <c r="J34421">
        <v>6</v>
      </c>
    </row>
    <row r="34422" spans="1:10" x14ac:dyDescent="0.25">
      <c r="A34422" t="s">
        <v>381</v>
      </c>
      <c r="B34422" s="1" t="str">
        <f>HYPERLINK("http://mthbiler.dk","mthbiler.dk")</f>
        <v>mthbiler.dk</v>
      </c>
      <c r="C34422" t="s">
        <v>437</v>
      </c>
      <c r="D34422" t="s">
        <v>816</v>
      </c>
      <c r="F34422">
        <v>6.8227862684177304E-9</v>
      </c>
      <c r="G34422">
        <v>12885140</v>
      </c>
      <c r="H34422">
        <v>12191840</v>
      </c>
      <c r="I34422">
        <v>23539335</v>
      </c>
      <c r="J34422">
        <v>3</v>
      </c>
    </row>
    <row r="34423" spans="1:10" x14ac:dyDescent="0.25">
      <c r="A34423" t="s">
        <v>381</v>
      </c>
      <c r="B34423" s="1" t="str">
        <f>HYPERLINK("http://nhebiler.dk","nhebiler.dk")</f>
        <v>nhebiler.dk</v>
      </c>
      <c r="C34423" t="s">
        <v>437</v>
      </c>
      <c r="D34423" t="s">
        <v>816</v>
      </c>
      <c r="F34423">
        <v>5.64021999335839E-9</v>
      </c>
      <c r="G34423">
        <v>19482323</v>
      </c>
      <c r="H34423">
        <v>10742894</v>
      </c>
      <c r="I34423">
        <v>40313579</v>
      </c>
      <c r="J34423">
        <v>3</v>
      </c>
    </row>
    <row r="34424" spans="1:10" x14ac:dyDescent="0.25">
      <c r="A34424" t="s">
        <v>381</v>
      </c>
      <c r="B34424" s="1" t="str">
        <f>HYPERLINK("http://sdkbiler.dk","sdkbiler.dk")</f>
        <v>sdkbiler.dk</v>
      </c>
      <c r="C34424" t="s">
        <v>437</v>
      </c>
      <c r="D34424" t="s">
        <v>816</v>
      </c>
      <c r="F34424">
        <v>9.4082078158578107E-9</v>
      </c>
      <c r="G34424">
        <v>7434219</v>
      </c>
      <c r="H34424">
        <v>11076782</v>
      </c>
      <c r="I34424">
        <v>32512212</v>
      </c>
      <c r="J34424">
        <v>3</v>
      </c>
    </row>
    <row r="34425" spans="1:10" x14ac:dyDescent="0.25">
      <c r="A34425" t="s">
        <v>381</v>
      </c>
      <c r="B34425" s="1" t="str">
        <f>HYPERLINK("http://stsbiler.dk","stsbiler.dk")</f>
        <v>stsbiler.dk</v>
      </c>
      <c r="C34425" t="s">
        <v>437</v>
      </c>
      <c r="D34425" t="s">
        <v>816</v>
      </c>
      <c r="F34425">
        <v>1.76634001498739E-8</v>
      </c>
      <c r="G34425">
        <v>3104764</v>
      </c>
      <c r="H34425">
        <v>12061452</v>
      </c>
      <c r="I34425">
        <v>26975908</v>
      </c>
      <c r="J34425">
        <v>3</v>
      </c>
    </row>
    <row r="34426" spans="1:10" x14ac:dyDescent="0.25">
      <c r="A34426" t="s">
        <v>381</v>
      </c>
      <c r="B34426" s="1" t="str">
        <f>HYPERLINK("http://stubbe.dk","stubbe.dk")</f>
        <v>stubbe.dk</v>
      </c>
      <c r="C34426" t="s">
        <v>437</v>
      </c>
      <c r="D34426" t="s">
        <v>816</v>
      </c>
      <c r="F34426">
        <v>6.3039523567112599E-9</v>
      </c>
      <c r="G34426">
        <v>15012720</v>
      </c>
      <c r="H34426">
        <v>12333534</v>
      </c>
      <c r="I34426">
        <v>20135323</v>
      </c>
      <c r="J34426">
        <v>3</v>
      </c>
    </row>
    <row r="34427" spans="1:10" x14ac:dyDescent="0.25">
      <c r="A34427" t="s">
        <v>381</v>
      </c>
      <c r="B34427" s="1" t="str">
        <f>HYPERLINK("http://toyota.dk","toyota.dk")</f>
        <v>toyota.dk</v>
      </c>
      <c r="C34427" t="s">
        <v>437</v>
      </c>
      <c r="D34427" t="s">
        <v>816</v>
      </c>
      <c r="E34427">
        <v>106266</v>
      </c>
      <c r="F34427">
        <v>2.3136267458142601E-7</v>
      </c>
      <c r="G34427">
        <v>162331</v>
      </c>
      <c r="H34427">
        <v>15108049</v>
      </c>
      <c r="I34427">
        <v>405388</v>
      </c>
      <c r="J34427">
        <v>3</v>
      </c>
    </row>
    <row r="34428" spans="1:10" x14ac:dyDescent="0.25">
      <c r="A34428" t="s">
        <v>381</v>
      </c>
      <c r="B34428" s="1" t="str">
        <f>HYPERLINK("http://toyota-forklifts.dk","toyota-forklifts.dk")</f>
        <v>toyota-forklifts.dk</v>
      </c>
      <c r="C34428" t="s">
        <v>437</v>
      </c>
      <c r="D34428" t="s">
        <v>816</v>
      </c>
      <c r="F34428">
        <v>1.87697643267253E-8</v>
      </c>
      <c r="G34428">
        <v>2876970</v>
      </c>
      <c r="H34428">
        <v>12703838</v>
      </c>
      <c r="I34428">
        <v>15333761</v>
      </c>
      <c r="J34428">
        <v>4</v>
      </c>
    </row>
    <row r="34429" spans="1:10" x14ac:dyDescent="0.25">
      <c r="A34429" t="s">
        <v>381</v>
      </c>
      <c r="B34429" s="1" t="str">
        <f>HYPERLINK("http://toyota-koege.dk","toyota-koege.dk")</f>
        <v>toyota-koege.dk</v>
      </c>
      <c r="C34429" t="s">
        <v>437</v>
      </c>
      <c r="D34429" t="s">
        <v>816</v>
      </c>
      <c r="F34429">
        <v>6.5855019098579996E-9</v>
      </c>
      <c r="G34429">
        <v>13732694</v>
      </c>
      <c r="H34429">
        <v>12237023</v>
      </c>
      <c r="I34429">
        <v>22331163</v>
      </c>
      <c r="J34429">
        <v>3</v>
      </c>
    </row>
    <row r="34430" spans="1:10" x14ac:dyDescent="0.25">
      <c r="A34430" t="s">
        <v>381</v>
      </c>
      <c r="B34430" s="1" t="str">
        <f>HYPERLINK("http://toyota-krogsgaard.dk","toyota-krogsgaard.dk")</f>
        <v>toyota-krogsgaard.dk</v>
      </c>
      <c r="C34430" t="s">
        <v>437</v>
      </c>
      <c r="D34430" t="s">
        <v>816</v>
      </c>
      <c r="F34430">
        <v>4.6315389554488496E-9</v>
      </c>
      <c r="G34430">
        <v>45345185</v>
      </c>
      <c r="H34430">
        <v>10801356</v>
      </c>
      <c r="I34430">
        <v>38119665</v>
      </c>
      <c r="J34430">
        <v>3</v>
      </c>
    </row>
    <row r="34431" spans="1:10" x14ac:dyDescent="0.25">
      <c r="A34431" t="s">
        <v>381</v>
      </c>
      <c r="B34431" s="1" t="str">
        <f>HYPERLINK("http://tomebamba.com.ec","tomebamba.com.ec")</f>
        <v>tomebamba.com.ec</v>
      </c>
      <c r="C34431" t="s">
        <v>440</v>
      </c>
      <c r="D34431" t="s">
        <v>819</v>
      </c>
      <c r="F34431">
        <v>4.4803368967818903E-9</v>
      </c>
      <c r="G34431">
        <v>62267647</v>
      </c>
      <c r="H34431">
        <v>9674959</v>
      </c>
      <c r="I34431">
        <v>63681911</v>
      </c>
      <c r="J34431">
        <v>3</v>
      </c>
    </row>
    <row r="34432" spans="1:10" x14ac:dyDescent="0.25">
      <c r="A34432" t="s">
        <v>381</v>
      </c>
      <c r="B34432" s="1" t="str">
        <f>HYPERLINK("http://amserv.ee","amserv.ee")</f>
        <v>amserv.ee</v>
      </c>
      <c r="C34432" t="s">
        <v>441</v>
      </c>
      <c r="D34432" t="s">
        <v>820</v>
      </c>
      <c r="F34432">
        <v>2.3056085666165002E-8</v>
      </c>
      <c r="G34432">
        <v>2264613</v>
      </c>
      <c r="H34432">
        <v>12907545</v>
      </c>
      <c r="I34432">
        <v>13811560</v>
      </c>
      <c r="J34432">
        <v>3</v>
      </c>
    </row>
    <row r="34433" spans="1:10" x14ac:dyDescent="0.25">
      <c r="A34433" t="s">
        <v>381</v>
      </c>
      <c r="B34433" s="1" t="str">
        <f>HYPERLINK("http://amservauto.ee","amservauto.ee")</f>
        <v>amservauto.ee</v>
      </c>
      <c r="C34433" t="s">
        <v>441</v>
      </c>
      <c r="D34433" t="s">
        <v>820</v>
      </c>
      <c r="F34433">
        <v>1.68903652017479E-8</v>
      </c>
      <c r="G34433">
        <v>3310335</v>
      </c>
      <c r="H34433">
        <v>12296429</v>
      </c>
      <c r="I34433">
        <v>20935615</v>
      </c>
      <c r="J34433">
        <v>3</v>
      </c>
    </row>
    <row r="34434" spans="1:10" x14ac:dyDescent="0.25">
      <c r="A34434" t="s">
        <v>381</v>
      </c>
      <c r="B34434" s="1" t="str">
        <f>HYPERLINK("http://elke.ee","elke.ee")</f>
        <v>elke.ee</v>
      </c>
      <c r="C34434" t="s">
        <v>441</v>
      </c>
      <c r="D34434" t="s">
        <v>820</v>
      </c>
      <c r="F34434">
        <v>2.5959345271381301E-8</v>
      </c>
      <c r="G34434">
        <v>1984940</v>
      </c>
      <c r="H34434">
        <v>12451217</v>
      </c>
      <c r="I34434">
        <v>17982090</v>
      </c>
      <c r="J34434">
        <v>3</v>
      </c>
    </row>
    <row r="34435" spans="1:10" x14ac:dyDescent="0.25">
      <c r="A34435" t="s">
        <v>381</v>
      </c>
      <c r="B34435" s="1" t="str">
        <f>HYPERLINK("http://lexus.ee","lexus.ee")</f>
        <v>lexus.ee</v>
      </c>
      <c r="C34435" t="s">
        <v>441</v>
      </c>
      <c r="D34435" t="s">
        <v>820</v>
      </c>
      <c r="F34435">
        <v>3.8098329511118597E-8</v>
      </c>
      <c r="G34435">
        <v>1358551</v>
      </c>
      <c r="H34435">
        <v>12486788</v>
      </c>
      <c r="I34435">
        <v>17525433</v>
      </c>
      <c r="J34435">
        <v>4</v>
      </c>
    </row>
    <row r="34436" spans="1:10" x14ac:dyDescent="0.25">
      <c r="A34436" t="s">
        <v>381</v>
      </c>
      <c r="B34436" s="1" t="str">
        <f>HYPERLINK("http://toyota.ee","toyota.ee")</f>
        <v>toyota.ee</v>
      </c>
      <c r="C34436" t="s">
        <v>441</v>
      </c>
      <c r="D34436" t="s">
        <v>820</v>
      </c>
      <c r="F34436">
        <v>8.3335567840021794E-8</v>
      </c>
      <c r="G34436">
        <v>498739</v>
      </c>
      <c r="H34436">
        <v>14239365</v>
      </c>
      <c r="I34436">
        <v>1513380</v>
      </c>
      <c r="J34436">
        <v>4</v>
      </c>
    </row>
    <row r="34437" spans="1:10" x14ac:dyDescent="0.25">
      <c r="A34437" t="s">
        <v>381</v>
      </c>
      <c r="B34437" s="1" t="str">
        <f>HYPERLINK("http://kinto-mobility.es","kinto-mobility.es")</f>
        <v>kinto-mobility.es</v>
      </c>
      <c r="C34437" t="s">
        <v>443</v>
      </c>
      <c r="D34437" t="s">
        <v>822</v>
      </c>
      <c r="F34437">
        <v>1.29427436819162E-8</v>
      </c>
      <c r="G34437">
        <v>4659235</v>
      </c>
      <c r="H34437">
        <v>12349369</v>
      </c>
      <c r="I34437">
        <v>19775740</v>
      </c>
      <c r="J34437">
        <v>4</v>
      </c>
    </row>
    <row r="34438" spans="1:10" x14ac:dyDescent="0.25">
      <c r="A34438" t="s">
        <v>381</v>
      </c>
      <c r="B34438" s="1" t="str">
        <f>HYPERLINK("http://lexusauto.es","lexusauto.es")</f>
        <v>lexusauto.es</v>
      </c>
      <c r="C34438" t="s">
        <v>443</v>
      </c>
      <c r="D34438" t="s">
        <v>822</v>
      </c>
      <c r="E34438">
        <v>607764</v>
      </c>
      <c r="F34438">
        <v>9.4380988898266806E-8</v>
      </c>
      <c r="G34438">
        <v>429971</v>
      </c>
      <c r="H34438">
        <v>14255847</v>
      </c>
      <c r="I34438">
        <v>1431963</v>
      </c>
      <c r="J34438">
        <v>7</v>
      </c>
    </row>
    <row r="34439" spans="1:10" x14ac:dyDescent="0.25">
      <c r="A34439" t="s">
        <v>381</v>
      </c>
      <c r="B34439" s="1" t="str">
        <f>HYPERLINK("http://toyota.es","toyota.es")</f>
        <v>toyota.es</v>
      </c>
      <c r="C34439" t="s">
        <v>443</v>
      </c>
      <c r="D34439" t="s">
        <v>822</v>
      </c>
      <c r="E34439">
        <v>131166</v>
      </c>
      <c r="F34439">
        <v>3.6775326361941801E-7</v>
      </c>
      <c r="G34439">
        <v>101780</v>
      </c>
      <c r="H34439">
        <v>14852461</v>
      </c>
      <c r="I34439">
        <v>489358</v>
      </c>
      <c r="J34439">
        <v>3</v>
      </c>
    </row>
    <row r="34440" spans="1:10" x14ac:dyDescent="0.25">
      <c r="A34440" t="s">
        <v>381</v>
      </c>
      <c r="B34440" s="1" t="str">
        <f>HYPERLINK("http://toyota-canarias.es","toyota-canarias.es")</f>
        <v>toyota-canarias.es</v>
      </c>
      <c r="C34440" t="s">
        <v>443</v>
      </c>
      <c r="D34440" t="s">
        <v>822</v>
      </c>
      <c r="F34440">
        <v>3.9110297329243602E-8</v>
      </c>
      <c r="G34440">
        <v>1318874</v>
      </c>
      <c r="H34440">
        <v>13027297</v>
      </c>
      <c r="I34440">
        <v>12682936</v>
      </c>
      <c r="J34440">
        <v>3</v>
      </c>
    </row>
    <row r="34441" spans="1:10" x14ac:dyDescent="0.25">
      <c r="A34441" t="s">
        <v>381</v>
      </c>
      <c r="B34441" s="1" t="str">
        <f>HYPERLINK("http://toyota-forklifts.es","toyota-forklifts.es")</f>
        <v>toyota-forklifts.es</v>
      </c>
      <c r="C34441" t="s">
        <v>443</v>
      </c>
      <c r="D34441" t="s">
        <v>822</v>
      </c>
      <c r="F34441">
        <v>3.5959960416268803E-8</v>
      </c>
      <c r="G34441">
        <v>1448934</v>
      </c>
      <c r="H34441">
        <v>14378472</v>
      </c>
      <c r="I34441">
        <v>1204053</v>
      </c>
      <c r="J34441">
        <v>4</v>
      </c>
    </row>
    <row r="34442" spans="1:10" x14ac:dyDescent="0.25">
      <c r="A34442" t="s">
        <v>381</v>
      </c>
      <c r="B34442" s="1" t="str">
        <f>HYPERLINK("http://anwa.eu","anwa.eu")</f>
        <v>anwa.eu</v>
      </c>
      <c r="C34442" t="s">
        <v>444</v>
      </c>
      <c r="F34442">
        <v>1.32894589216982E-8</v>
      </c>
      <c r="G34442">
        <v>4498040</v>
      </c>
      <c r="H34442">
        <v>12449467</v>
      </c>
      <c r="I34442">
        <v>18004283</v>
      </c>
      <c r="J34442">
        <v>5</v>
      </c>
    </row>
    <row r="34443" spans="1:10" x14ac:dyDescent="0.25">
      <c r="A34443" t="s">
        <v>381</v>
      </c>
      <c r="B34443" s="1" t="str">
        <f>HYPERLINK("http://beelog.eu","beelog.eu")</f>
        <v>beelog.eu</v>
      </c>
      <c r="C34443" t="s">
        <v>444</v>
      </c>
      <c r="F34443">
        <v>4.4438390080756699E-9</v>
      </c>
      <c r="G34443">
        <v>78804120</v>
      </c>
      <c r="H34443">
        <v>10483620</v>
      </c>
      <c r="I34443">
        <v>50882186</v>
      </c>
      <c r="J34443">
        <v>13</v>
      </c>
    </row>
    <row r="34444" spans="1:10" x14ac:dyDescent="0.25">
      <c r="A34444" t="s">
        <v>381</v>
      </c>
      <c r="B34444" s="1" t="str">
        <f>HYPERLINK("http://kielce.eu","kielce.eu")</f>
        <v>kielce.eu</v>
      </c>
      <c r="C34444" t="s">
        <v>444</v>
      </c>
      <c r="E34444">
        <v>291531</v>
      </c>
      <c r="F34444">
        <v>1.1886541969983799E-7</v>
      </c>
      <c r="G34444">
        <v>332983</v>
      </c>
      <c r="H34444">
        <v>14588169</v>
      </c>
      <c r="I34444">
        <v>698249</v>
      </c>
      <c r="J34444">
        <v>6</v>
      </c>
    </row>
    <row r="34445" spans="1:10" x14ac:dyDescent="0.25">
      <c r="A34445" t="s">
        <v>381</v>
      </c>
      <c r="B34445" s="1" t="str">
        <f>HYPERLINK("http://kinto-mobility.eu","kinto-mobility.eu")</f>
        <v>kinto-mobility.eu</v>
      </c>
      <c r="C34445" t="s">
        <v>444</v>
      </c>
      <c r="F34445">
        <v>1.31070474397969E-7</v>
      </c>
      <c r="G34445">
        <v>298416</v>
      </c>
      <c r="H34445">
        <v>13170944</v>
      </c>
      <c r="I34445">
        <v>11721057</v>
      </c>
      <c r="J34445">
        <v>3</v>
      </c>
    </row>
    <row r="34446" spans="1:10" x14ac:dyDescent="0.25">
      <c r="A34446" t="s">
        <v>381</v>
      </c>
      <c r="B34446" s="1" t="str">
        <f>HYPERLINK("http://lexus.eu","lexus.eu")</f>
        <v>lexus.eu</v>
      </c>
      <c r="C34446" t="s">
        <v>444</v>
      </c>
      <c r="E34446">
        <v>417027</v>
      </c>
      <c r="F34446">
        <v>2.6944739094129398E-7</v>
      </c>
      <c r="G34446">
        <v>138225</v>
      </c>
      <c r="H34446">
        <v>17100778</v>
      </c>
      <c r="I34446">
        <v>63751</v>
      </c>
      <c r="J34446">
        <v>4</v>
      </c>
    </row>
    <row r="34447" spans="1:10" x14ac:dyDescent="0.25">
      <c r="A34447" t="s">
        <v>381</v>
      </c>
      <c r="B34447" s="1" t="str">
        <f>HYPERLINK("http://pkauto.eu","pkauto.eu")</f>
        <v>pkauto.eu</v>
      </c>
      <c r="C34447" t="s">
        <v>444</v>
      </c>
      <c r="F34447">
        <v>6.0750438376800701E-9</v>
      </c>
      <c r="G34447">
        <v>16236364</v>
      </c>
      <c r="H34447">
        <v>12181491</v>
      </c>
      <c r="I34447">
        <v>23784127</v>
      </c>
      <c r="J34447">
        <v>4</v>
      </c>
    </row>
    <row r="34448" spans="1:10" x14ac:dyDescent="0.25">
      <c r="A34448" t="s">
        <v>381</v>
      </c>
      <c r="B34448" s="1" t="str">
        <f>HYPERLINK("http://toyota.eu","toyota.eu")</f>
        <v>toyota.eu</v>
      </c>
      <c r="C34448" t="s">
        <v>444</v>
      </c>
      <c r="E34448">
        <v>149225</v>
      </c>
      <c r="F34448">
        <v>3.25921359689759E-7</v>
      </c>
      <c r="G34448">
        <v>114277</v>
      </c>
      <c r="H34448">
        <v>15177640</v>
      </c>
      <c r="I34448">
        <v>397529</v>
      </c>
      <c r="J34448">
        <v>3</v>
      </c>
    </row>
    <row r="34449" spans="1:10" x14ac:dyDescent="0.25">
      <c r="A34449" t="s">
        <v>381</v>
      </c>
      <c r="B34449" s="1" t="str">
        <f>HYPERLINK("http://toyota-forklifts.eu","toyota-forklifts.eu")</f>
        <v>toyota-forklifts.eu</v>
      </c>
      <c r="C34449" t="s">
        <v>444</v>
      </c>
      <c r="E34449">
        <v>465245</v>
      </c>
      <c r="F34449">
        <v>1.3768023137831399E-7</v>
      </c>
      <c r="G34449">
        <v>283035</v>
      </c>
      <c r="H34449">
        <v>14841519</v>
      </c>
      <c r="I34449">
        <v>496664</v>
      </c>
      <c r="J34449">
        <v>4</v>
      </c>
    </row>
    <row r="34450" spans="1:10" x14ac:dyDescent="0.25">
      <c r="A34450" t="s">
        <v>381</v>
      </c>
      <c r="B34450" s="1" t="str">
        <f>HYPERLINK("http://toyota-industries.eu","toyota-industries.eu")</f>
        <v>toyota-industries.eu</v>
      </c>
      <c r="C34450" t="s">
        <v>444</v>
      </c>
      <c r="E34450">
        <v>381860</v>
      </c>
      <c r="F34450">
        <v>6.6013167491025503E-9</v>
      </c>
      <c r="G34450">
        <v>13671916</v>
      </c>
      <c r="H34450">
        <v>11141445</v>
      </c>
      <c r="I34450">
        <v>31821765</v>
      </c>
      <c r="J34450">
        <v>6</v>
      </c>
    </row>
    <row r="34451" spans="1:10" x14ac:dyDescent="0.25">
      <c r="A34451" t="s">
        <v>381</v>
      </c>
      <c r="B34451" s="1" t="str">
        <f>HYPERLINK("http://toyotaconnected.eu","toyotaconnected.eu")</f>
        <v>toyotaconnected.eu</v>
      </c>
      <c r="C34451" t="s">
        <v>444</v>
      </c>
      <c r="F34451">
        <v>1.56658006138666E-8</v>
      </c>
      <c r="G34451">
        <v>3636945</v>
      </c>
      <c r="H34451">
        <v>12405436</v>
      </c>
      <c r="I34451">
        <v>18679956</v>
      </c>
      <c r="J34451">
        <v>5</v>
      </c>
    </row>
    <row r="34452" spans="1:10" x14ac:dyDescent="0.25">
      <c r="A34452" t="s">
        <v>381</v>
      </c>
      <c r="B34452" s="1" t="str">
        <f>HYPERLINK("http://ac.fi","ac.fi")</f>
        <v>ac.fi</v>
      </c>
      <c r="C34452" t="s">
        <v>445</v>
      </c>
      <c r="D34452" t="s">
        <v>823</v>
      </c>
      <c r="F34452">
        <v>1.3153581234603E-8</v>
      </c>
      <c r="G34452">
        <v>4559378</v>
      </c>
      <c r="H34452">
        <v>11195623</v>
      </c>
      <c r="I34452">
        <v>31308234</v>
      </c>
      <c r="J34452">
        <v>5</v>
      </c>
    </row>
    <row r="34453" spans="1:10" x14ac:dyDescent="0.25">
      <c r="A34453" t="s">
        <v>381</v>
      </c>
      <c r="B34453" s="1" t="str">
        <f>HYPERLINK("http://actrucks.fi","actrucks.fi")</f>
        <v>actrucks.fi</v>
      </c>
      <c r="C34453" t="s">
        <v>445</v>
      </c>
      <c r="D34453" t="s">
        <v>823</v>
      </c>
      <c r="J34453">
        <v>5</v>
      </c>
    </row>
    <row r="34454" spans="1:10" x14ac:dyDescent="0.25">
      <c r="A34454" t="s">
        <v>381</v>
      </c>
      <c r="B34454" s="1" t="str">
        <f>HYPERLINK("http://autlet.fi","autlet.fi")</f>
        <v>autlet.fi</v>
      </c>
      <c r="C34454" t="s">
        <v>445</v>
      </c>
      <c r="D34454" t="s">
        <v>823</v>
      </c>
      <c r="J34454">
        <v>5</v>
      </c>
    </row>
    <row r="34455" spans="1:10" x14ac:dyDescent="0.25">
      <c r="A34455" t="s">
        <v>381</v>
      </c>
      <c r="B34455" s="1" t="str">
        <f>HYPERLINK("http://autoaho.fi","autoaho.fi")</f>
        <v>autoaho.fi</v>
      </c>
      <c r="C34455" t="s">
        <v>445</v>
      </c>
      <c r="D34455" t="s">
        <v>823</v>
      </c>
      <c r="J34455">
        <v>5</v>
      </c>
    </row>
    <row r="34456" spans="1:10" x14ac:dyDescent="0.25">
      <c r="A34456" t="s">
        <v>381</v>
      </c>
      <c r="B34456" s="1" t="str">
        <f>HYPERLINK("http://autocenterforssa.fi","autocenterforssa.fi")</f>
        <v>autocenterforssa.fi</v>
      </c>
      <c r="C34456" t="s">
        <v>445</v>
      </c>
      <c r="D34456" t="s">
        <v>823</v>
      </c>
      <c r="J34456">
        <v>5</v>
      </c>
    </row>
    <row r="34457" spans="1:10" x14ac:dyDescent="0.25">
      <c r="A34457" t="s">
        <v>381</v>
      </c>
      <c r="B34457" s="1" t="str">
        <f>HYPERLINK("http://autovuodeksi.fi","autovuodeksi.fi")</f>
        <v>autovuodeksi.fi</v>
      </c>
      <c r="C34457" t="s">
        <v>445</v>
      </c>
      <c r="D34457" t="s">
        <v>823</v>
      </c>
      <c r="F34457">
        <v>5.4452008131193703E-9</v>
      </c>
      <c r="G34457">
        <v>21556289</v>
      </c>
      <c r="H34457">
        <v>10362075</v>
      </c>
      <c r="I34457">
        <v>55112304</v>
      </c>
      <c r="J34457">
        <v>7</v>
      </c>
    </row>
    <row r="34458" spans="1:10" x14ac:dyDescent="0.25">
      <c r="A34458" t="s">
        <v>381</v>
      </c>
      <c r="B34458" s="1" t="str">
        <f>HYPERLINK("http://aygo.fi","aygo.fi")</f>
        <v>aygo.fi</v>
      </c>
      <c r="C34458" t="s">
        <v>445</v>
      </c>
      <c r="D34458" t="s">
        <v>823</v>
      </c>
      <c r="J34458">
        <v>6</v>
      </c>
    </row>
    <row r="34459" spans="1:10" x14ac:dyDescent="0.25">
      <c r="A34459" t="s">
        <v>381</v>
      </c>
      <c r="B34459" s="1" t="str">
        <f>HYPERLINK("http://c-hr.fi","c-hr.fi")</f>
        <v>c-hr.fi</v>
      </c>
      <c r="C34459" t="s">
        <v>445</v>
      </c>
      <c r="D34459" t="s">
        <v>823</v>
      </c>
      <c r="J34459">
        <v>6</v>
      </c>
    </row>
    <row r="34460" spans="1:10" x14ac:dyDescent="0.25">
      <c r="A34460" t="s">
        <v>381</v>
      </c>
      <c r="B34460" s="1" t="str">
        <f>HYPERLINK("http://cfao.fi","cfao.fi")</f>
        <v>cfao.fi</v>
      </c>
      <c r="C34460" t="s">
        <v>445</v>
      </c>
      <c r="D34460" t="s">
        <v>823</v>
      </c>
      <c r="J34460">
        <v>9</v>
      </c>
    </row>
    <row r="34461" spans="1:10" x14ac:dyDescent="0.25">
      <c r="A34461" t="s">
        <v>381</v>
      </c>
      <c r="B34461" s="1" t="str">
        <f>HYPERLINK("http://cfaocommunity.fi","cfaocommunity.fi")</f>
        <v>cfaocommunity.fi</v>
      </c>
      <c r="C34461" t="s">
        <v>445</v>
      </c>
      <c r="D34461" t="s">
        <v>823</v>
      </c>
      <c r="J34461">
        <v>9</v>
      </c>
    </row>
    <row r="34462" spans="1:10" x14ac:dyDescent="0.25">
      <c r="A34462" t="s">
        <v>381</v>
      </c>
      <c r="B34462" s="1" t="str">
        <f>HYPERLINK("http://cfaogroup.fi","cfaogroup.fi")</f>
        <v>cfaogroup.fi</v>
      </c>
      <c r="C34462" t="s">
        <v>445</v>
      </c>
      <c r="D34462" t="s">
        <v>823</v>
      </c>
      <c r="J34462">
        <v>9</v>
      </c>
    </row>
    <row r="34463" spans="1:10" x14ac:dyDescent="0.25">
      <c r="A34463" t="s">
        <v>381</v>
      </c>
      <c r="B34463" s="1" t="str">
        <f>HYPERLINK("http://easyleasing.fi","easyleasing.fi")</f>
        <v>easyleasing.fi</v>
      </c>
      <c r="C34463" t="s">
        <v>445</v>
      </c>
      <c r="D34463" t="s">
        <v>823</v>
      </c>
      <c r="F34463">
        <v>4.4481254919856396E-9</v>
      </c>
      <c r="G34463">
        <v>73055237</v>
      </c>
      <c r="H34463">
        <v>9410337</v>
      </c>
      <c r="I34463">
        <v>67113226</v>
      </c>
      <c r="J34463">
        <v>6</v>
      </c>
    </row>
    <row r="34464" spans="1:10" x14ac:dyDescent="0.25">
      <c r="A34464" t="s">
        <v>381</v>
      </c>
      <c r="B34464" s="1" t="str">
        <f>HYPERLINK("http://ehuolto.fi","ehuolto.fi")</f>
        <v>ehuolto.fi</v>
      </c>
      <c r="C34464" t="s">
        <v>445</v>
      </c>
      <c r="D34464" t="s">
        <v>823</v>
      </c>
      <c r="J34464">
        <v>7</v>
      </c>
    </row>
    <row r="34465" spans="1:10" x14ac:dyDescent="0.25">
      <c r="A34465" t="s">
        <v>381</v>
      </c>
      <c r="B34465" s="1" t="str">
        <f>HYPERLINK("http://ennakkoluottohakemus.fi","ennakkoluottohakemus.fi")</f>
        <v>ennakkoluottohakemus.fi</v>
      </c>
      <c r="C34465" t="s">
        <v>445</v>
      </c>
      <c r="D34465" t="s">
        <v>823</v>
      </c>
      <c r="J34465">
        <v>6</v>
      </c>
    </row>
    <row r="34466" spans="1:10" x14ac:dyDescent="0.25">
      <c r="A34466" t="s">
        <v>381</v>
      </c>
      <c r="B34466" s="1" t="str">
        <f>HYPERLINK("http://experienceamazing.fi","experienceamazing.fi")</f>
        <v>experienceamazing.fi</v>
      </c>
      <c r="C34466" t="s">
        <v>445</v>
      </c>
      <c r="D34466" t="s">
        <v>823</v>
      </c>
      <c r="J34466">
        <v>6</v>
      </c>
    </row>
    <row r="34467" spans="1:10" x14ac:dyDescent="0.25">
      <c r="A34467" t="s">
        <v>381</v>
      </c>
      <c r="B34467" s="1" t="str">
        <f>HYPERLINK("http://forssanautomyynti.fi","forssanautomyynti.fi")</f>
        <v>forssanautomyynti.fi</v>
      </c>
      <c r="C34467" t="s">
        <v>445</v>
      </c>
      <c r="D34467" t="s">
        <v>823</v>
      </c>
      <c r="J34467">
        <v>5</v>
      </c>
    </row>
    <row r="34468" spans="1:10" x14ac:dyDescent="0.25">
      <c r="A34468" t="s">
        <v>381</v>
      </c>
      <c r="B34468" s="1" t="str">
        <f>HYPERLINK("http://halpaleasing.fi","halpaleasing.fi")</f>
        <v>halpaleasing.fi</v>
      </c>
      <c r="C34468" t="s">
        <v>445</v>
      </c>
      <c r="D34468" t="s">
        <v>823</v>
      </c>
      <c r="J34468">
        <v>5</v>
      </c>
    </row>
    <row r="34469" spans="1:10" x14ac:dyDescent="0.25">
      <c r="A34469" t="s">
        <v>381</v>
      </c>
      <c r="B34469" s="1" t="str">
        <f>HYPERLINK("http://huippudiilit.fi","huippudiilit.fi")</f>
        <v>huippudiilit.fi</v>
      </c>
      <c r="C34469" t="s">
        <v>445</v>
      </c>
      <c r="D34469" t="s">
        <v>823</v>
      </c>
      <c r="J34469">
        <v>7</v>
      </c>
    </row>
    <row r="34470" spans="1:10" x14ac:dyDescent="0.25">
      <c r="A34470" t="s">
        <v>381</v>
      </c>
      <c r="B34470" s="1" t="str">
        <f>HYPERLINK("http://hybridi-auto.fi","hybridi-auto.fi")</f>
        <v>hybridi-auto.fi</v>
      </c>
      <c r="C34470" t="s">
        <v>445</v>
      </c>
      <c r="D34470" t="s">
        <v>823</v>
      </c>
      <c r="J34470">
        <v>5</v>
      </c>
    </row>
    <row r="34471" spans="1:10" x14ac:dyDescent="0.25">
      <c r="A34471" t="s">
        <v>381</v>
      </c>
      <c r="B34471" s="1" t="str">
        <f>HYPERLINK("http://hybridikoeajo.fi","hybridikoeajo.fi")</f>
        <v>hybridikoeajo.fi</v>
      </c>
      <c r="C34471" t="s">
        <v>445</v>
      </c>
      <c r="D34471" t="s">
        <v>823</v>
      </c>
      <c r="J34471">
        <v>6</v>
      </c>
    </row>
    <row r="34472" spans="1:10" x14ac:dyDescent="0.25">
      <c r="A34472" t="s">
        <v>381</v>
      </c>
      <c r="B34472" s="1" t="str">
        <f>HYPERLINK("http://hybridkoeajo.fi","hybridkoeajo.fi")</f>
        <v>hybridkoeajo.fi</v>
      </c>
      <c r="C34472" t="s">
        <v>445</v>
      </c>
      <c r="D34472" t="s">
        <v>823</v>
      </c>
      <c r="J34472">
        <v>6</v>
      </c>
    </row>
    <row r="34473" spans="1:10" x14ac:dyDescent="0.25">
      <c r="A34473" t="s">
        <v>381</v>
      </c>
      <c r="B34473" s="1" t="str">
        <f>HYPERLINK("http://hyppaatoyotanohjaimiin.fi","hyppaatoyotanohjaimiin.fi")</f>
        <v>hyppaatoyotanohjaimiin.fi</v>
      </c>
      <c r="C34473" t="s">
        <v>445</v>
      </c>
      <c r="D34473" t="s">
        <v>823</v>
      </c>
      <c r="J34473">
        <v>5</v>
      </c>
    </row>
    <row r="34474" spans="1:10" x14ac:dyDescent="0.25">
      <c r="A34474" t="s">
        <v>381</v>
      </c>
      <c r="B34474" s="1" t="str">
        <f>HYPERLINK("http://hypptoyotanohjaimiin.fi","hypptoyotanohjaimiin.fi")</f>
        <v>hypptoyotanohjaimiin.fi</v>
      </c>
      <c r="C34474" t="s">
        <v>445</v>
      </c>
      <c r="D34474" t="s">
        <v>823</v>
      </c>
      <c r="J34474">
        <v>5</v>
      </c>
    </row>
    <row r="34475" spans="1:10" x14ac:dyDescent="0.25">
      <c r="A34475" t="s">
        <v>381</v>
      </c>
      <c r="B34475" s="1" t="str">
        <f>HYPERLINK("http://kiacenter.fi","kiacenter.fi")</f>
        <v>kiacenter.fi</v>
      </c>
      <c r="C34475" t="s">
        <v>445</v>
      </c>
      <c r="D34475" t="s">
        <v>823</v>
      </c>
      <c r="J34475">
        <v>8</v>
      </c>
    </row>
    <row r="34476" spans="1:10" x14ac:dyDescent="0.25">
      <c r="A34476" t="s">
        <v>381</v>
      </c>
      <c r="B34476" s="1" t="str">
        <f>HYPERLINK("http://kiacenterraisio.fi","kiacenterraisio.fi")</f>
        <v>kiacenterraisio.fi</v>
      </c>
      <c r="C34476" t="s">
        <v>445</v>
      </c>
      <c r="D34476" t="s">
        <v>823</v>
      </c>
      <c r="J34476">
        <v>8</v>
      </c>
    </row>
    <row r="34477" spans="1:10" x14ac:dyDescent="0.25">
      <c r="A34477" t="s">
        <v>381</v>
      </c>
      <c r="B34477" s="1" t="str">
        <f>HYPERLINK("http://kinto.fi","kinto.fi")</f>
        <v>kinto.fi</v>
      </c>
      <c r="C34477" t="s">
        <v>445</v>
      </c>
      <c r="D34477" t="s">
        <v>823</v>
      </c>
      <c r="J34477">
        <v>6</v>
      </c>
    </row>
    <row r="34478" spans="1:10" x14ac:dyDescent="0.25">
      <c r="A34478" t="s">
        <v>381</v>
      </c>
      <c r="B34478" s="1" t="str">
        <f>HYPERLINK("http://kinto-choose.fi","kinto-choose.fi")</f>
        <v>kinto-choose.fi</v>
      </c>
      <c r="C34478" t="s">
        <v>445</v>
      </c>
      <c r="D34478" t="s">
        <v>823</v>
      </c>
      <c r="J34478">
        <v>2</v>
      </c>
    </row>
    <row r="34479" spans="1:10" x14ac:dyDescent="0.25">
      <c r="A34479" t="s">
        <v>381</v>
      </c>
      <c r="B34479" s="1" t="str">
        <f>HYPERLINK("http://kinto-flex.fi","kinto-flex.fi")</f>
        <v>kinto-flex.fi</v>
      </c>
      <c r="C34479" t="s">
        <v>445</v>
      </c>
      <c r="D34479" t="s">
        <v>823</v>
      </c>
      <c r="J34479">
        <v>2</v>
      </c>
    </row>
    <row r="34480" spans="1:10" x14ac:dyDescent="0.25">
      <c r="A34480" t="s">
        <v>381</v>
      </c>
      <c r="B34480" s="1" t="str">
        <f>HYPERLINK("http://kinto-go.fi","kinto-go.fi")</f>
        <v>kinto-go.fi</v>
      </c>
      <c r="C34480" t="s">
        <v>445</v>
      </c>
      <c r="D34480" t="s">
        <v>823</v>
      </c>
      <c r="J34480">
        <v>2</v>
      </c>
    </row>
    <row r="34481" spans="1:10" x14ac:dyDescent="0.25">
      <c r="A34481" t="s">
        <v>381</v>
      </c>
      <c r="B34481" s="1" t="str">
        <f>HYPERLINK("http://kinto-join.fi","kinto-join.fi")</f>
        <v>kinto-join.fi</v>
      </c>
      <c r="C34481" t="s">
        <v>445</v>
      </c>
      <c r="D34481" t="s">
        <v>823</v>
      </c>
      <c r="J34481">
        <v>2</v>
      </c>
    </row>
    <row r="34482" spans="1:10" x14ac:dyDescent="0.25">
      <c r="A34482" t="s">
        <v>381</v>
      </c>
      <c r="B34482" s="1" t="str">
        <f>HYPERLINK("http://kinto-lease.fi","kinto-lease.fi")</f>
        <v>kinto-lease.fi</v>
      </c>
      <c r="C34482" t="s">
        <v>445</v>
      </c>
      <c r="D34482" t="s">
        <v>823</v>
      </c>
      <c r="J34482">
        <v>2</v>
      </c>
    </row>
    <row r="34483" spans="1:10" x14ac:dyDescent="0.25">
      <c r="A34483" t="s">
        <v>381</v>
      </c>
      <c r="B34483" s="1" t="str">
        <f>HYPERLINK("http://kinto-mobility.fi","kinto-mobility.fi")</f>
        <v>kinto-mobility.fi</v>
      </c>
      <c r="C34483" t="s">
        <v>445</v>
      </c>
      <c r="D34483" t="s">
        <v>823</v>
      </c>
      <c r="F34483">
        <v>1.26974419184863E-8</v>
      </c>
      <c r="G34483">
        <v>4780983</v>
      </c>
      <c r="H34483">
        <v>10805178</v>
      </c>
      <c r="I34483">
        <v>38009118</v>
      </c>
      <c r="J34483">
        <v>2</v>
      </c>
    </row>
    <row r="34484" spans="1:10" x14ac:dyDescent="0.25">
      <c r="A34484" t="s">
        <v>381</v>
      </c>
      <c r="B34484" s="1" t="str">
        <f>HYPERLINK("http://kinto-one.fi","kinto-one.fi")</f>
        <v>kinto-one.fi</v>
      </c>
      <c r="C34484" t="s">
        <v>445</v>
      </c>
      <c r="D34484" t="s">
        <v>823</v>
      </c>
      <c r="J34484">
        <v>2</v>
      </c>
    </row>
    <row r="34485" spans="1:10" x14ac:dyDescent="0.25">
      <c r="A34485" t="s">
        <v>381</v>
      </c>
      <c r="B34485" s="1" t="str">
        <f>HYPERLINK("http://kinto-protect.fi","kinto-protect.fi")</f>
        <v>kinto-protect.fi</v>
      </c>
      <c r="C34485" t="s">
        <v>445</v>
      </c>
      <c r="D34485" t="s">
        <v>823</v>
      </c>
      <c r="J34485">
        <v>2</v>
      </c>
    </row>
    <row r="34486" spans="1:10" x14ac:dyDescent="0.25">
      <c r="A34486" t="s">
        <v>381</v>
      </c>
      <c r="B34486" s="1" t="str">
        <f>HYPERLINK("http://kinto-ride.fi","kinto-ride.fi")</f>
        <v>kinto-ride.fi</v>
      </c>
      <c r="C34486" t="s">
        <v>445</v>
      </c>
      <c r="D34486" t="s">
        <v>823</v>
      </c>
      <c r="J34486">
        <v>2</v>
      </c>
    </row>
    <row r="34487" spans="1:10" x14ac:dyDescent="0.25">
      <c r="A34487" t="s">
        <v>381</v>
      </c>
      <c r="B34487" s="1" t="str">
        <f>HYPERLINK("http://kinto-select.fi","kinto-select.fi")</f>
        <v>kinto-select.fi</v>
      </c>
      <c r="C34487" t="s">
        <v>445</v>
      </c>
      <c r="D34487" t="s">
        <v>823</v>
      </c>
      <c r="J34487">
        <v>2</v>
      </c>
    </row>
    <row r="34488" spans="1:10" x14ac:dyDescent="0.25">
      <c r="A34488" t="s">
        <v>381</v>
      </c>
      <c r="B34488" s="1" t="str">
        <f>HYPERLINK("http://kinto-share.fi","kinto-share.fi")</f>
        <v>kinto-share.fi</v>
      </c>
      <c r="C34488" t="s">
        <v>445</v>
      </c>
      <c r="D34488" t="s">
        <v>823</v>
      </c>
      <c r="J34488">
        <v>2</v>
      </c>
    </row>
    <row r="34489" spans="1:10" x14ac:dyDescent="0.25">
      <c r="A34489" t="s">
        <v>381</v>
      </c>
      <c r="B34489" s="1" t="str">
        <f>HYPERLINK("http://kinto-two.fi","kinto-two.fi")</f>
        <v>kinto-two.fi</v>
      </c>
      <c r="C34489" t="s">
        <v>445</v>
      </c>
      <c r="D34489" t="s">
        <v>823</v>
      </c>
      <c r="J34489">
        <v>2</v>
      </c>
    </row>
    <row r="34490" spans="1:10" x14ac:dyDescent="0.25">
      <c r="A34490" t="s">
        <v>381</v>
      </c>
      <c r="B34490" s="1" t="str">
        <f>HYPERLINK("http://kintochoose.fi","kintochoose.fi")</f>
        <v>kintochoose.fi</v>
      </c>
      <c r="C34490" t="s">
        <v>445</v>
      </c>
      <c r="D34490" t="s">
        <v>823</v>
      </c>
      <c r="J34490">
        <v>2</v>
      </c>
    </row>
    <row r="34491" spans="1:10" x14ac:dyDescent="0.25">
      <c r="A34491" t="s">
        <v>381</v>
      </c>
      <c r="B34491" s="1" t="str">
        <f>HYPERLINK("http://kintoflex.fi","kintoflex.fi")</f>
        <v>kintoflex.fi</v>
      </c>
      <c r="C34491" t="s">
        <v>445</v>
      </c>
      <c r="D34491" t="s">
        <v>823</v>
      </c>
      <c r="J34491">
        <v>2</v>
      </c>
    </row>
    <row r="34492" spans="1:10" x14ac:dyDescent="0.25">
      <c r="A34492" t="s">
        <v>381</v>
      </c>
      <c r="B34492" s="1" t="str">
        <f>HYPERLINK("http://kintogo.fi","kintogo.fi")</f>
        <v>kintogo.fi</v>
      </c>
      <c r="C34492" t="s">
        <v>445</v>
      </c>
      <c r="D34492" t="s">
        <v>823</v>
      </c>
      <c r="J34492">
        <v>2</v>
      </c>
    </row>
    <row r="34493" spans="1:10" x14ac:dyDescent="0.25">
      <c r="A34493" t="s">
        <v>381</v>
      </c>
      <c r="B34493" s="1" t="str">
        <f>HYPERLINK("http://kintojoin.fi","kintojoin.fi")</f>
        <v>kintojoin.fi</v>
      </c>
      <c r="C34493" t="s">
        <v>445</v>
      </c>
      <c r="D34493" t="s">
        <v>823</v>
      </c>
      <c r="J34493">
        <v>2</v>
      </c>
    </row>
    <row r="34494" spans="1:10" x14ac:dyDescent="0.25">
      <c r="A34494" t="s">
        <v>381</v>
      </c>
      <c r="B34494" s="1" t="str">
        <f>HYPERLINK("http://kintolease.fi","kintolease.fi")</f>
        <v>kintolease.fi</v>
      </c>
      <c r="C34494" t="s">
        <v>445</v>
      </c>
      <c r="D34494" t="s">
        <v>823</v>
      </c>
      <c r="J34494">
        <v>2</v>
      </c>
    </row>
    <row r="34495" spans="1:10" x14ac:dyDescent="0.25">
      <c r="A34495" t="s">
        <v>381</v>
      </c>
      <c r="B34495" s="1" t="str">
        <f>HYPERLINK("http://kintomobility.fi","kintomobility.fi")</f>
        <v>kintomobility.fi</v>
      </c>
      <c r="C34495" t="s">
        <v>445</v>
      </c>
      <c r="D34495" t="s">
        <v>823</v>
      </c>
      <c r="J34495">
        <v>2</v>
      </c>
    </row>
    <row r="34496" spans="1:10" x14ac:dyDescent="0.25">
      <c r="A34496" t="s">
        <v>381</v>
      </c>
      <c r="B34496" s="1" t="str">
        <f>HYPERLINK("http://kintoone.fi","kintoone.fi")</f>
        <v>kintoone.fi</v>
      </c>
      <c r="C34496" t="s">
        <v>445</v>
      </c>
      <c r="D34496" t="s">
        <v>823</v>
      </c>
      <c r="J34496">
        <v>2</v>
      </c>
    </row>
    <row r="34497" spans="1:10" x14ac:dyDescent="0.25">
      <c r="A34497" t="s">
        <v>381</v>
      </c>
      <c r="B34497" s="1" t="str">
        <f>HYPERLINK("http://kintoride.fi","kintoride.fi")</f>
        <v>kintoride.fi</v>
      </c>
      <c r="C34497" t="s">
        <v>445</v>
      </c>
      <c r="D34497" t="s">
        <v>823</v>
      </c>
      <c r="J34497">
        <v>2</v>
      </c>
    </row>
    <row r="34498" spans="1:10" x14ac:dyDescent="0.25">
      <c r="A34498" t="s">
        <v>381</v>
      </c>
      <c r="B34498" s="1" t="str">
        <f>HYPERLINK("http://kintoselect.fi","kintoselect.fi")</f>
        <v>kintoselect.fi</v>
      </c>
      <c r="C34498" t="s">
        <v>445</v>
      </c>
      <c r="D34498" t="s">
        <v>823</v>
      </c>
      <c r="J34498">
        <v>2</v>
      </c>
    </row>
    <row r="34499" spans="1:10" x14ac:dyDescent="0.25">
      <c r="A34499" t="s">
        <v>381</v>
      </c>
      <c r="B34499" s="1" t="str">
        <f>HYPERLINK("http://kintoshare.fi","kintoshare.fi")</f>
        <v>kintoshare.fi</v>
      </c>
      <c r="C34499" t="s">
        <v>445</v>
      </c>
      <c r="D34499" t="s">
        <v>823</v>
      </c>
      <c r="J34499">
        <v>2</v>
      </c>
    </row>
    <row r="34500" spans="1:10" x14ac:dyDescent="0.25">
      <c r="A34500" t="s">
        <v>381</v>
      </c>
      <c r="B34500" s="1" t="str">
        <f>HYPERLINK("http://kintotwo.fi","kintotwo.fi")</f>
        <v>kintotwo.fi</v>
      </c>
      <c r="C34500" t="s">
        <v>445</v>
      </c>
      <c r="D34500" t="s">
        <v>823</v>
      </c>
      <c r="J34500">
        <v>2</v>
      </c>
    </row>
    <row r="34501" spans="1:10" x14ac:dyDescent="0.25">
      <c r="A34501" t="s">
        <v>381</v>
      </c>
      <c r="B34501" s="1" t="str">
        <f>HYPERLINK("http://korjaamoluotto.fi","korjaamoluotto.fi")</f>
        <v>korjaamoluotto.fi</v>
      </c>
      <c r="C34501" t="s">
        <v>445</v>
      </c>
      <c r="D34501" t="s">
        <v>823</v>
      </c>
      <c r="J34501">
        <v>6</v>
      </c>
    </row>
    <row r="34502" spans="1:10" x14ac:dyDescent="0.25">
      <c r="A34502" t="s">
        <v>381</v>
      </c>
      <c r="B34502" s="1" t="str">
        <f>HYPERLINK("http://la-huolto.fi","la-huolto.fi")</f>
        <v>la-huolto.fi</v>
      </c>
      <c r="C34502" t="s">
        <v>445</v>
      </c>
      <c r="D34502" t="s">
        <v>823</v>
      </c>
      <c r="J34502">
        <v>5</v>
      </c>
    </row>
    <row r="34503" spans="1:10" x14ac:dyDescent="0.25">
      <c r="A34503" t="s">
        <v>381</v>
      </c>
      <c r="B34503" s="1" t="str">
        <f>HYPERLINK("http://leijonadiili.fi","leijonadiili.fi")</f>
        <v>leijonadiili.fi</v>
      </c>
      <c r="C34503" t="s">
        <v>445</v>
      </c>
      <c r="D34503" t="s">
        <v>823</v>
      </c>
      <c r="J34503">
        <v>7</v>
      </c>
    </row>
    <row r="34504" spans="1:10" x14ac:dyDescent="0.25">
      <c r="A34504" t="s">
        <v>381</v>
      </c>
      <c r="B34504" s="1" t="str">
        <f>HYPERLINK("http://leijonadiilit.fi","leijonadiilit.fi")</f>
        <v>leijonadiilit.fi</v>
      </c>
      <c r="C34504" t="s">
        <v>445</v>
      </c>
      <c r="D34504" t="s">
        <v>823</v>
      </c>
      <c r="J34504">
        <v>7</v>
      </c>
    </row>
    <row r="34505" spans="1:10" x14ac:dyDescent="0.25">
      <c r="A34505" t="s">
        <v>381</v>
      </c>
      <c r="B34505" s="1" t="str">
        <f>HYPERLINK("http://lexus.fi","lexus.fi")</f>
        <v>lexus.fi</v>
      </c>
      <c r="C34505" t="s">
        <v>445</v>
      </c>
      <c r="D34505" t="s">
        <v>823</v>
      </c>
      <c r="E34505">
        <v>177930</v>
      </c>
      <c r="F34505">
        <v>4.0671386009788701E-8</v>
      </c>
      <c r="G34505">
        <v>1273990</v>
      </c>
      <c r="H34505">
        <v>14239834</v>
      </c>
      <c r="I34505">
        <v>1507469</v>
      </c>
      <c r="J34505">
        <v>4</v>
      </c>
    </row>
    <row r="34506" spans="1:10" x14ac:dyDescent="0.25">
      <c r="A34506" t="s">
        <v>381</v>
      </c>
      <c r="B34506" s="1" t="str">
        <f>HYPERLINK("http://lexusespoo.fi","lexusespoo.fi")</f>
        <v>lexusespoo.fi</v>
      </c>
      <c r="C34506" t="s">
        <v>445</v>
      </c>
      <c r="D34506" t="s">
        <v>823</v>
      </c>
      <c r="J34506">
        <v>6</v>
      </c>
    </row>
    <row r="34507" spans="1:10" x14ac:dyDescent="0.25">
      <c r="A34507" t="s">
        <v>381</v>
      </c>
      <c r="B34507" s="1" t="str">
        <f>HYPERLINK("http://lexusexperienceamazing.fi","lexusexperienceamazing.fi")</f>
        <v>lexusexperienceamazing.fi</v>
      </c>
      <c r="C34507" t="s">
        <v>445</v>
      </c>
      <c r="D34507" t="s">
        <v>823</v>
      </c>
      <c r="J34507">
        <v>6</v>
      </c>
    </row>
    <row r="34508" spans="1:10" x14ac:dyDescent="0.25">
      <c r="A34508" t="s">
        <v>381</v>
      </c>
      <c r="B34508" s="1" t="str">
        <f>HYPERLINK("http://lexusjyvaskyla.fi","lexusjyvaskyla.fi")</f>
        <v>lexusjyvaskyla.fi</v>
      </c>
      <c r="C34508" t="s">
        <v>445</v>
      </c>
      <c r="D34508" t="s">
        <v>823</v>
      </c>
      <c r="J34508">
        <v>6</v>
      </c>
    </row>
    <row r="34509" spans="1:10" x14ac:dyDescent="0.25">
      <c r="A34509" t="s">
        <v>381</v>
      </c>
      <c r="B34509" s="1" t="str">
        <f>HYPERLINK("http://lexuskaivoksela.fi","lexuskaivoksela.fi")</f>
        <v>lexuskaivoksela.fi</v>
      </c>
      <c r="C34509" t="s">
        <v>445</v>
      </c>
      <c r="D34509" t="s">
        <v>823</v>
      </c>
      <c r="J34509">
        <v>6</v>
      </c>
    </row>
    <row r="34510" spans="1:10" x14ac:dyDescent="0.25">
      <c r="A34510" t="s">
        <v>381</v>
      </c>
      <c r="B34510" s="1" t="str">
        <f>HYPERLINK("http://lexusoulu.fi","lexusoulu.fi")</f>
        <v>lexusoulu.fi</v>
      </c>
      <c r="C34510" t="s">
        <v>445</v>
      </c>
      <c r="D34510" t="s">
        <v>823</v>
      </c>
      <c r="F34510">
        <v>4.91180505797264E-9</v>
      </c>
      <c r="G34510">
        <v>32126968</v>
      </c>
      <c r="H34510">
        <v>9480774</v>
      </c>
      <c r="I34510">
        <v>66012237</v>
      </c>
      <c r="J34510">
        <v>6</v>
      </c>
    </row>
    <row r="34511" spans="1:10" x14ac:dyDescent="0.25">
      <c r="A34511" t="s">
        <v>381</v>
      </c>
      <c r="B34511" s="1" t="str">
        <f>HYPERLINK("http://lexusraisio.fi","lexusraisio.fi")</f>
        <v>lexusraisio.fi</v>
      </c>
      <c r="C34511" t="s">
        <v>445</v>
      </c>
      <c r="D34511" t="s">
        <v>823</v>
      </c>
      <c r="F34511">
        <v>4.7632480690527503E-9</v>
      </c>
      <c r="G34511">
        <v>37673432</v>
      </c>
      <c r="H34511">
        <v>8816644</v>
      </c>
      <c r="I34511">
        <v>69333894</v>
      </c>
      <c r="J34511">
        <v>6</v>
      </c>
    </row>
    <row r="34512" spans="1:10" x14ac:dyDescent="0.25">
      <c r="A34512" t="s">
        <v>381</v>
      </c>
      <c r="B34512" s="1" t="str">
        <f>HYPERLINK("http://lexustampere.fi","lexustampere.fi")</f>
        <v>lexustampere.fi</v>
      </c>
      <c r="C34512" t="s">
        <v>445</v>
      </c>
      <c r="D34512" t="s">
        <v>823</v>
      </c>
      <c r="J34512">
        <v>6</v>
      </c>
    </row>
    <row r="34513" spans="1:10" x14ac:dyDescent="0.25">
      <c r="A34513" t="s">
        <v>381</v>
      </c>
      <c r="B34513" s="1" t="str">
        <f>HYPERLINK("http://lexusvaasa.fi","lexusvaasa.fi")</f>
        <v>lexusvaasa.fi</v>
      </c>
      <c r="C34513" t="s">
        <v>445</v>
      </c>
      <c r="D34513" t="s">
        <v>823</v>
      </c>
      <c r="J34513">
        <v>6</v>
      </c>
    </row>
    <row r="34514" spans="1:10" x14ac:dyDescent="0.25">
      <c r="A34514" t="s">
        <v>381</v>
      </c>
      <c r="B34514" s="1" t="str">
        <f>HYPERLINK("http://lohjanautokeskus.fi","lohjanautokeskus.fi")</f>
        <v>lohjanautokeskus.fi</v>
      </c>
      <c r="C34514" t="s">
        <v>445</v>
      </c>
      <c r="D34514" t="s">
        <v>823</v>
      </c>
      <c r="F34514">
        <v>1.19405551595716E-8</v>
      </c>
      <c r="G34514">
        <v>5212764</v>
      </c>
      <c r="H34514">
        <v>13764153</v>
      </c>
      <c r="I34514">
        <v>7358648</v>
      </c>
      <c r="J34514">
        <v>3</v>
      </c>
    </row>
    <row r="34515" spans="1:10" x14ac:dyDescent="0.25">
      <c r="A34515" t="s">
        <v>381</v>
      </c>
      <c r="B34515" s="1" t="str">
        <f>HYPERLINK("http://megadiili.fi","megadiili.fi")</f>
        <v>megadiili.fi</v>
      </c>
      <c r="C34515" t="s">
        <v>445</v>
      </c>
      <c r="D34515" t="s">
        <v>823</v>
      </c>
      <c r="J34515">
        <v>7</v>
      </c>
    </row>
    <row r="34516" spans="1:10" x14ac:dyDescent="0.25">
      <c r="A34516" t="s">
        <v>381</v>
      </c>
      <c r="B34516" s="1" t="str">
        <f>HYPERLINK("http://metroauto.fi","metroauto.fi")</f>
        <v>metroauto.fi</v>
      </c>
      <c r="C34516" t="s">
        <v>445</v>
      </c>
      <c r="D34516" t="s">
        <v>823</v>
      </c>
      <c r="F34516">
        <v>1.6774681215477301E-8</v>
      </c>
      <c r="G34516">
        <v>3339455</v>
      </c>
      <c r="H34516">
        <v>12974220</v>
      </c>
      <c r="I34516">
        <v>13021103</v>
      </c>
      <c r="J34516">
        <v>7</v>
      </c>
    </row>
    <row r="34517" spans="1:10" x14ac:dyDescent="0.25">
      <c r="A34517" t="s">
        <v>381</v>
      </c>
      <c r="B34517" s="1" t="str">
        <f>HYPERLINK("http://metroautogroup.fi","metroautogroup.fi")</f>
        <v>metroautogroup.fi</v>
      </c>
      <c r="C34517" t="s">
        <v>445</v>
      </c>
      <c r="D34517" t="s">
        <v>823</v>
      </c>
      <c r="J34517">
        <v>7</v>
      </c>
    </row>
    <row r="34518" spans="1:10" x14ac:dyDescent="0.25">
      <c r="A34518" t="s">
        <v>381</v>
      </c>
      <c r="B34518" s="1" t="str">
        <f>HYPERLINK("http://metrocar.fi","metrocar.fi")</f>
        <v>metrocar.fi</v>
      </c>
      <c r="C34518" t="s">
        <v>445</v>
      </c>
      <c r="D34518" t="s">
        <v>823</v>
      </c>
      <c r="J34518">
        <v>5</v>
      </c>
    </row>
    <row r="34519" spans="1:10" x14ac:dyDescent="0.25">
      <c r="A34519" t="s">
        <v>381</v>
      </c>
      <c r="B34519" s="1" t="str">
        <f>HYPERLINK("http://metrohuolto.fi","metrohuolto.fi")</f>
        <v>metrohuolto.fi</v>
      </c>
      <c r="C34519" t="s">
        <v>445</v>
      </c>
      <c r="D34519" t="s">
        <v>823</v>
      </c>
      <c r="J34519">
        <v>9</v>
      </c>
    </row>
    <row r="34520" spans="1:10" x14ac:dyDescent="0.25">
      <c r="A34520" t="s">
        <v>381</v>
      </c>
      <c r="B34520" s="1" t="str">
        <f>HYPERLINK("http://metrooutlet.fi","metrooutlet.fi")</f>
        <v>metrooutlet.fi</v>
      </c>
      <c r="C34520" t="s">
        <v>445</v>
      </c>
      <c r="D34520" t="s">
        <v>823</v>
      </c>
      <c r="J34520">
        <v>5</v>
      </c>
    </row>
    <row r="34521" spans="1:10" x14ac:dyDescent="0.25">
      <c r="A34521" t="s">
        <v>381</v>
      </c>
      <c r="B34521" s="1" t="str">
        <f>HYPERLINK("http://mitsubishicenter.fi","mitsubishicenter.fi")</f>
        <v>mitsubishicenter.fi</v>
      </c>
      <c r="C34521" t="s">
        <v>445</v>
      </c>
      <c r="D34521" t="s">
        <v>823</v>
      </c>
      <c r="J34521">
        <v>8</v>
      </c>
    </row>
    <row r="34522" spans="1:10" x14ac:dyDescent="0.25">
      <c r="A34522" t="s">
        <v>381</v>
      </c>
      <c r="B34522" s="1" t="str">
        <f>HYPERLINK("http://mitsubishicenterraisio.fi","mitsubishicenterraisio.fi")</f>
        <v>mitsubishicenterraisio.fi</v>
      </c>
      <c r="C34522" t="s">
        <v>445</v>
      </c>
      <c r="D34522" t="s">
        <v>823</v>
      </c>
      <c r="J34522">
        <v>8</v>
      </c>
    </row>
    <row r="34523" spans="1:10" x14ac:dyDescent="0.25">
      <c r="A34523" t="s">
        <v>381</v>
      </c>
      <c r="B34523" s="1" t="str">
        <f>HYPERLINK("http://myfinance.fi","myfinance.fi")</f>
        <v>myfinance.fi</v>
      </c>
      <c r="C34523" t="s">
        <v>445</v>
      </c>
      <c r="D34523" t="s">
        <v>823</v>
      </c>
      <c r="J34523">
        <v>6</v>
      </c>
    </row>
    <row r="34524" spans="1:10" x14ac:dyDescent="0.25">
      <c r="A34524" t="s">
        <v>381</v>
      </c>
      <c r="B34524" s="1" t="str">
        <f>HYPERLINK("http://okauto.fi","okauto.fi")</f>
        <v>okauto.fi</v>
      </c>
      <c r="C34524" t="s">
        <v>445</v>
      </c>
      <c r="D34524" t="s">
        <v>823</v>
      </c>
      <c r="F34524">
        <v>1.19812067271587E-8</v>
      </c>
      <c r="G34524">
        <v>5188157</v>
      </c>
      <c r="H34524">
        <v>13763771</v>
      </c>
      <c r="I34524">
        <v>7642137</v>
      </c>
      <c r="J34524">
        <v>3</v>
      </c>
    </row>
    <row r="34525" spans="1:10" x14ac:dyDescent="0.25">
      <c r="A34525" t="s">
        <v>381</v>
      </c>
      <c r="B34525" s="1" t="str">
        <f>HYPERLINK("http://olen-auris.fi","olen-auris.fi")</f>
        <v>olen-auris.fi</v>
      </c>
      <c r="C34525" t="s">
        <v>445</v>
      </c>
      <c r="D34525" t="s">
        <v>823</v>
      </c>
      <c r="F34525">
        <v>4.5070569043787403E-9</v>
      </c>
      <c r="G34525">
        <v>57923964</v>
      </c>
      <c r="H34525">
        <v>10530359</v>
      </c>
      <c r="I34525">
        <v>48276783</v>
      </c>
      <c r="J34525">
        <v>6</v>
      </c>
    </row>
    <row r="34526" spans="1:10" x14ac:dyDescent="0.25">
      <c r="A34526" t="s">
        <v>381</v>
      </c>
      <c r="B34526" s="1" t="str">
        <f>HYPERLINK("http://olenauris.fi","olenauris.fi")</f>
        <v>olenauris.fi</v>
      </c>
      <c r="C34526" t="s">
        <v>445</v>
      </c>
      <c r="D34526" t="s">
        <v>823</v>
      </c>
      <c r="J34526">
        <v>6</v>
      </c>
    </row>
    <row r="34527" spans="1:10" x14ac:dyDescent="0.25">
      <c r="A34527" t="s">
        <v>381</v>
      </c>
      <c r="B34527" s="1" t="str">
        <f>HYPERLINK("http://ostapumppukarry.fi","ostapumppukarry.fi")</f>
        <v>ostapumppukarry.fi</v>
      </c>
      <c r="C34527" t="s">
        <v>445</v>
      </c>
      <c r="D34527" t="s">
        <v>823</v>
      </c>
      <c r="J34527">
        <v>6</v>
      </c>
    </row>
    <row r="34528" spans="1:10" x14ac:dyDescent="0.25">
      <c r="A34528" t="s">
        <v>381</v>
      </c>
      <c r="B34528" s="1" t="str">
        <f>HYPERLINK("http://pakuvuodeksi.fi","pakuvuodeksi.fi")</f>
        <v>pakuvuodeksi.fi</v>
      </c>
      <c r="C34528" t="s">
        <v>445</v>
      </c>
      <c r="D34528" t="s">
        <v>823</v>
      </c>
      <c r="J34528">
        <v>7</v>
      </c>
    </row>
    <row r="34529" spans="1:10" x14ac:dyDescent="0.25">
      <c r="A34529" t="s">
        <v>381</v>
      </c>
      <c r="B34529" s="1" t="str">
        <f>HYPERLINK("http://rallitietaja.fi","rallitietaja.fi")</f>
        <v>rallitietaja.fi</v>
      </c>
      <c r="C34529" t="s">
        <v>445</v>
      </c>
      <c r="D34529" t="s">
        <v>823</v>
      </c>
      <c r="J34529">
        <v>6</v>
      </c>
    </row>
    <row r="34530" spans="1:10" x14ac:dyDescent="0.25">
      <c r="A34530" t="s">
        <v>381</v>
      </c>
      <c r="B34530" s="1" t="str">
        <f>HYPERLINK("http://rallitietj.fi","rallitietj.fi")</f>
        <v>rallitietj.fi</v>
      </c>
      <c r="C34530" t="s">
        <v>445</v>
      </c>
      <c r="D34530" t="s">
        <v>823</v>
      </c>
      <c r="J34530">
        <v>6</v>
      </c>
    </row>
    <row r="34531" spans="1:10" x14ac:dyDescent="0.25">
      <c r="A34531" t="s">
        <v>381</v>
      </c>
      <c r="B34531" s="1" t="str">
        <f>HYPERLINK("http://reiluhinta.fi","reiluhinta.fi")</f>
        <v>reiluhinta.fi</v>
      </c>
      <c r="C34531" t="s">
        <v>445</v>
      </c>
      <c r="D34531" t="s">
        <v>823</v>
      </c>
      <c r="J34531">
        <v>5</v>
      </c>
    </row>
    <row r="34532" spans="1:10" x14ac:dyDescent="0.25">
      <c r="A34532" t="s">
        <v>381</v>
      </c>
      <c r="B34532" s="1" t="str">
        <f>HYPERLINK("http://rengasvarasto.fi","rengasvarasto.fi")</f>
        <v>rengasvarasto.fi</v>
      </c>
      <c r="C34532" t="s">
        <v>445</v>
      </c>
      <c r="D34532" t="s">
        <v>823</v>
      </c>
      <c r="J34532">
        <v>5</v>
      </c>
    </row>
    <row r="34533" spans="1:10" x14ac:dyDescent="0.25">
      <c r="A34533" t="s">
        <v>381</v>
      </c>
      <c r="B34533" s="1" t="str">
        <f>HYPERLINK("http://s-huollot.fi","s-huollot.fi")</f>
        <v>s-huollot.fi</v>
      </c>
      <c r="C34533" t="s">
        <v>445</v>
      </c>
      <c r="D34533" t="s">
        <v>823</v>
      </c>
      <c r="J34533">
        <v>5</v>
      </c>
    </row>
    <row r="34534" spans="1:10" x14ac:dyDescent="0.25">
      <c r="A34534" t="s">
        <v>381</v>
      </c>
      <c r="B34534" s="1" t="str">
        <f>HYPERLINK("http://s-huoltoa.fi","s-huoltoa.fi")</f>
        <v>s-huoltoa.fi</v>
      </c>
      <c r="C34534" t="s">
        <v>445</v>
      </c>
      <c r="D34534" t="s">
        <v>823</v>
      </c>
      <c r="J34534">
        <v>5</v>
      </c>
    </row>
    <row r="34535" spans="1:10" x14ac:dyDescent="0.25">
      <c r="A34535" t="s">
        <v>381</v>
      </c>
      <c r="B34535" s="1" t="str">
        <f>HYPERLINK("http://s-renkaat.fi","s-renkaat.fi")</f>
        <v>s-renkaat.fi</v>
      </c>
      <c r="C34535" t="s">
        <v>445</v>
      </c>
      <c r="D34535" t="s">
        <v>823</v>
      </c>
      <c r="J34535">
        <v>5</v>
      </c>
    </row>
    <row r="34536" spans="1:10" x14ac:dyDescent="0.25">
      <c r="A34536" t="s">
        <v>381</v>
      </c>
      <c r="B34536" s="1" t="str">
        <f>HYPERLINK("http://sahkoloikka.fi","sahkoloikka.fi")</f>
        <v>sahkoloikka.fi</v>
      </c>
      <c r="C34536" t="s">
        <v>445</v>
      </c>
      <c r="D34536" t="s">
        <v>823</v>
      </c>
      <c r="J34536">
        <v>5</v>
      </c>
    </row>
    <row r="34537" spans="1:10" x14ac:dyDescent="0.25">
      <c r="A34537" t="s">
        <v>381</v>
      </c>
      <c r="B34537" s="1" t="str">
        <f>HYPERLINK("http://shkloikka.fi","shkloikka.fi")</f>
        <v>shkloikka.fi</v>
      </c>
      <c r="C34537" t="s">
        <v>445</v>
      </c>
      <c r="D34537" t="s">
        <v>823</v>
      </c>
      <c r="J34537">
        <v>5</v>
      </c>
    </row>
    <row r="34538" spans="1:10" x14ac:dyDescent="0.25">
      <c r="A34538" t="s">
        <v>381</v>
      </c>
      <c r="B34538" s="1" t="str">
        <f>HYPERLINK("http://startyourimpossible.fi","startyourimpossible.fi")</f>
        <v>startyourimpossible.fi</v>
      </c>
      <c r="C34538" t="s">
        <v>445</v>
      </c>
      <c r="D34538" t="s">
        <v>823</v>
      </c>
      <c r="J34538">
        <v>6</v>
      </c>
    </row>
    <row r="34539" spans="1:10" x14ac:dyDescent="0.25">
      <c r="A34539" t="s">
        <v>381</v>
      </c>
      <c r="B34539" s="1" t="str">
        <f>HYPERLINK("http://superdiili.fi","superdiili.fi")</f>
        <v>superdiili.fi</v>
      </c>
      <c r="C34539" t="s">
        <v>445</v>
      </c>
      <c r="D34539" t="s">
        <v>823</v>
      </c>
      <c r="J34539">
        <v>7</v>
      </c>
    </row>
    <row r="34540" spans="1:10" x14ac:dyDescent="0.25">
      <c r="A34540" t="s">
        <v>381</v>
      </c>
      <c r="B34540" s="1" t="str">
        <f>HYPERLINK("http://superdiilit.fi","superdiilit.fi")</f>
        <v>superdiilit.fi</v>
      </c>
      <c r="C34540" t="s">
        <v>445</v>
      </c>
      <c r="D34540" t="s">
        <v>823</v>
      </c>
      <c r="J34540">
        <v>7</v>
      </c>
    </row>
    <row r="34541" spans="1:10" x14ac:dyDescent="0.25">
      <c r="A34541" t="s">
        <v>381</v>
      </c>
      <c r="B34541" s="1" t="str">
        <f>HYPERLINK("http://superleasing.fi","superleasing.fi")</f>
        <v>superleasing.fi</v>
      </c>
      <c r="C34541" t="s">
        <v>445</v>
      </c>
      <c r="D34541" t="s">
        <v>823</v>
      </c>
      <c r="J34541">
        <v>7</v>
      </c>
    </row>
    <row r="34542" spans="1:10" x14ac:dyDescent="0.25">
      <c r="A34542" t="s">
        <v>381</v>
      </c>
      <c r="B34542" s="1" t="str">
        <f>HYPERLINK("http://tafclub.fi","tafclub.fi")</f>
        <v>tafclub.fi</v>
      </c>
      <c r="C34542" t="s">
        <v>445</v>
      </c>
      <c r="D34542" t="s">
        <v>823</v>
      </c>
      <c r="J34542">
        <v>6</v>
      </c>
    </row>
    <row r="34543" spans="1:10" x14ac:dyDescent="0.25">
      <c r="A34543" t="s">
        <v>381</v>
      </c>
      <c r="B34543" s="1" t="str">
        <f>HYPERLINK("http://taksivuodeksi.fi","taksivuodeksi.fi")</f>
        <v>taksivuodeksi.fi</v>
      </c>
      <c r="C34543" t="s">
        <v>445</v>
      </c>
      <c r="D34543" t="s">
        <v>823</v>
      </c>
      <c r="J34543">
        <v>7</v>
      </c>
    </row>
    <row r="34544" spans="1:10" x14ac:dyDescent="0.25">
      <c r="A34544" t="s">
        <v>381</v>
      </c>
      <c r="B34544" s="1" t="str">
        <f>HYPERLINK("http://tammer-auto.fi","tammer-auto.fi")</f>
        <v>tammer-auto.fi</v>
      </c>
      <c r="C34544" t="s">
        <v>445</v>
      </c>
      <c r="D34544" t="s">
        <v>823</v>
      </c>
      <c r="J34544">
        <v>6</v>
      </c>
    </row>
    <row r="34545" spans="1:10" x14ac:dyDescent="0.25">
      <c r="A34545" t="s">
        <v>381</v>
      </c>
      <c r="B34545" s="1" t="str">
        <f>HYPERLINK("http://tammerauto.fi","tammerauto.fi")</f>
        <v>tammerauto.fi</v>
      </c>
      <c r="C34545" t="s">
        <v>445</v>
      </c>
      <c r="D34545" t="s">
        <v>823</v>
      </c>
      <c r="J34545">
        <v>6</v>
      </c>
    </row>
    <row r="34546" spans="1:10" x14ac:dyDescent="0.25">
      <c r="A34546" t="s">
        <v>381</v>
      </c>
      <c r="B34546" s="1" t="str">
        <f>HYPERLINK("http://taxivuodeksi.fi","taxivuodeksi.fi")</f>
        <v>taxivuodeksi.fi</v>
      </c>
      <c r="C34546" t="s">
        <v>445</v>
      </c>
      <c r="D34546" t="s">
        <v>823</v>
      </c>
      <c r="J34546">
        <v>7</v>
      </c>
    </row>
    <row r="34547" spans="1:10" x14ac:dyDescent="0.25">
      <c r="A34547" t="s">
        <v>381</v>
      </c>
      <c r="B34547" s="1" t="str">
        <f>HYPERLINK("http://tcvcta.fi","tcvcta.fi")</f>
        <v>tcvcta.fi</v>
      </c>
      <c r="C34547" t="s">
        <v>445</v>
      </c>
      <c r="D34547" t="s">
        <v>823</v>
      </c>
      <c r="J34547">
        <v>2</v>
      </c>
    </row>
    <row r="34548" spans="1:10" x14ac:dyDescent="0.25">
      <c r="A34548" t="s">
        <v>381</v>
      </c>
      <c r="B34548" s="1" t="str">
        <f>HYPERLINK("http://tcvota.fi","tcvota.fi")</f>
        <v>tcvota.fi</v>
      </c>
      <c r="C34548" t="s">
        <v>445</v>
      </c>
      <c r="D34548" t="s">
        <v>823</v>
      </c>
      <c r="J34548">
        <v>2</v>
      </c>
    </row>
    <row r="34549" spans="1:10" x14ac:dyDescent="0.25">
      <c r="A34549" t="s">
        <v>381</v>
      </c>
      <c r="B34549" s="1" t="str">
        <f>HYPERLINK("http://tcycta.fi","tcycta.fi")</f>
        <v>tcycta.fi</v>
      </c>
      <c r="C34549" t="s">
        <v>445</v>
      </c>
      <c r="D34549" t="s">
        <v>823</v>
      </c>
      <c r="J34549">
        <v>2</v>
      </c>
    </row>
    <row r="34550" spans="1:10" x14ac:dyDescent="0.25">
      <c r="A34550" t="s">
        <v>381</v>
      </c>
      <c r="B34550" s="1" t="str">
        <f>HYPERLINK("http://tcyota.fi","tcyota.fi")</f>
        <v>tcyota.fi</v>
      </c>
      <c r="C34550" t="s">
        <v>445</v>
      </c>
      <c r="D34550" t="s">
        <v>823</v>
      </c>
      <c r="J34550">
        <v>2</v>
      </c>
    </row>
    <row r="34551" spans="1:10" x14ac:dyDescent="0.25">
      <c r="A34551" t="s">
        <v>381</v>
      </c>
      <c r="B34551" s="1" t="str">
        <f>HYPERLINK("http://tffclub.fi","tffclub.fi")</f>
        <v>tffclub.fi</v>
      </c>
      <c r="C34551" t="s">
        <v>445</v>
      </c>
      <c r="D34551" t="s">
        <v>823</v>
      </c>
      <c r="J34551">
        <v>6</v>
      </c>
    </row>
    <row r="34552" spans="1:10" x14ac:dyDescent="0.25">
      <c r="A34552" t="s">
        <v>381</v>
      </c>
      <c r="B34552" s="1" t="str">
        <f>HYPERLINK("http://tilaapumppukarry.fi","tilaapumppukarry.fi")</f>
        <v>tilaapumppukarry.fi</v>
      </c>
      <c r="C34552" t="s">
        <v>445</v>
      </c>
      <c r="D34552" t="s">
        <v>823</v>
      </c>
      <c r="J34552">
        <v>6</v>
      </c>
    </row>
    <row r="34553" spans="1:10" x14ac:dyDescent="0.25">
      <c r="A34553" t="s">
        <v>381</v>
      </c>
      <c r="B34553" s="1" t="str">
        <f>HYPERLINK("http://tojoauto.fi","tojoauto.fi")</f>
        <v>tojoauto.fi</v>
      </c>
      <c r="C34553" t="s">
        <v>445</v>
      </c>
      <c r="D34553" t="s">
        <v>823</v>
      </c>
      <c r="F34553">
        <v>6.8359712693162397E-9</v>
      </c>
      <c r="G34553">
        <v>12843204</v>
      </c>
      <c r="H34553">
        <v>12133596</v>
      </c>
      <c r="I34553">
        <v>25036218</v>
      </c>
      <c r="J34553">
        <v>3</v>
      </c>
    </row>
    <row r="34554" spans="1:10" x14ac:dyDescent="0.25">
      <c r="A34554" t="s">
        <v>381</v>
      </c>
      <c r="B34554" s="1" t="str">
        <f>HYPERLINK("http://tovcta.fi","tovcta.fi")</f>
        <v>tovcta.fi</v>
      </c>
      <c r="C34554" t="s">
        <v>445</v>
      </c>
      <c r="D34554" t="s">
        <v>823</v>
      </c>
      <c r="J34554">
        <v>2</v>
      </c>
    </row>
    <row r="34555" spans="1:10" x14ac:dyDescent="0.25">
      <c r="A34555" t="s">
        <v>381</v>
      </c>
      <c r="B34555" s="1" t="str">
        <f>HYPERLINK("http://tovota.fi","tovota.fi")</f>
        <v>tovota.fi</v>
      </c>
      <c r="C34555" t="s">
        <v>445</v>
      </c>
      <c r="D34555" t="s">
        <v>823</v>
      </c>
      <c r="J34555">
        <v>2</v>
      </c>
    </row>
    <row r="34556" spans="1:10" x14ac:dyDescent="0.25">
      <c r="A34556" t="s">
        <v>381</v>
      </c>
      <c r="B34556" s="1" t="str">
        <f>HYPERLINK("http://toycta.fi","toycta.fi")</f>
        <v>toycta.fi</v>
      </c>
      <c r="C34556" t="s">
        <v>445</v>
      </c>
      <c r="D34556" t="s">
        <v>823</v>
      </c>
      <c r="J34556">
        <v>2</v>
      </c>
    </row>
    <row r="34557" spans="1:10" x14ac:dyDescent="0.25">
      <c r="A34557" t="s">
        <v>381</v>
      </c>
      <c r="B34557" s="1" t="str">
        <f>HYPERLINK("http://toyota.fi","toyota.fi")</f>
        <v>toyota.fi</v>
      </c>
      <c r="C34557" t="s">
        <v>445</v>
      </c>
      <c r="D34557" t="s">
        <v>823</v>
      </c>
      <c r="E34557">
        <v>795320</v>
      </c>
      <c r="F34557">
        <v>1.4458041704141101E-7</v>
      </c>
      <c r="G34557">
        <v>269263</v>
      </c>
      <c r="H34557">
        <v>14296505</v>
      </c>
      <c r="I34557">
        <v>1359835</v>
      </c>
      <c r="J34557">
        <v>4</v>
      </c>
    </row>
    <row r="34558" spans="1:10" x14ac:dyDescent="0.25">
      <c r="A34558" t="s">
        <v>381</v>
      </c>
      <c r="B34558" s="1" t="str">
        <f>HYPERLINK("http://toyota-fm.fi","toyota-fm.fi")</f>
        <v>toyota-fm.fi</v>
      </c>
      <c r="C34558" t="s">
        <v>445</v>
      </c>
      <c r="D34558" t="s">
        <v>823</v>
      </c>
      <c r="J34558">
        <v>2</v>
      </c>
    </row>
    <row r="34559" spans="1:10" x14ac:dyDescent="0.25">
      <c r="A34559" t="s">
        <v>381</v>
      </c>
      <c r="B34559" s="1" t="str">
        <f>HYPERLINK("http://toyota-forklifts.fi","toyota-forklifts.fi")</f>
        <v>toyota-forklifts.fi</v>
      </c>
      <c r="C34559" t="s">
        <v>445</v>
      </c>
      <c r="D34559" t="s">
        <v>823</v>
      </c>
      <c r="F34559">
        <v>1.93995986385963E-8</v>
      </c>
      <c r="G34559">
        <v>2763033</v>
      </c>
      <c r="H34559">
        <v>14079822</v>
      </c>
      <c r="I34559">
        <v>2827304</v>
      </c>
      <c r="J34559">
        <v>4</v>
      </c>
    </row>
    <row r="34560" spans="1:10" x14ac:dyDescent="0.25">
      <c r="A34560" t="s">
        <v>381</v>
      </c>
      <c r="B34560" s="1" t="str">
        <f>HYPERLINK("http://toyota-hyllyt.fi","toyota-hyllyt.fi")</f>
        <v>toyota-hyllyt.fi</v>
      </c>
      <c r="C34560" t="s">
        <v>445</v>
      </c>
      <c r="D34560" t="s">
        <v>823</v>
      </c>
      <c r="J34560">
        <v>6</v>
      </c>
    </row>
    <row r="34561" spans="1:10" x14ac:dyDescent="0.25">
      <c r="A34561" t="s">
        <v>381</v>
      </c>
      <c r="B34561" s="1" t="str">
        <f>HYPERLINK("http://toyota-industries.fi","toyota-industries.fi")</f>
        <v>toyota-industries.fi</v>
      </c>
      <c r="C34561" t="s">
        <v>445</v>
      </c>
      <c r="D34561" t="s">
        <v>823</v>
      </c>
      <c r="J34561">
        <v>6</v>
      </c>
    </row>
    <row r="34562" spans="1:10" x14ac:dyDescent="0.25">
      <c r="A34562" t="s">
        <v>381</v>
      </c>
      <c r="B34562" s="1" t="str">
        <f>HYPERLINK("http://toyota-isite.fi","toyota-isite.fi")</f>
        <v>toyota-isite.fi</v>
      </c>
      <c r="C34562" t="s">
        <v>445</v>
      </c>
      <c r="D34562" t="s">
        <v>823</v>
      </c>
      <c r="J34562">
        <v>6</v>
      </c>
    </row>
    <row r="34563" spans="1:10" x14ac:dyDescent="0.25">
      <c r="A34563" t="s">
        <v>381</v>
      </c>
      <c r="B34563" s="1" t="str">
        <f>HYPERLINK("http://toyota-kauppa.fi","toyota-kauppa.fi")</f>
        <v>toyota-kauppa.fi</v>
      </c>
      <c r="C34563" t="s">
        <v>445</v>
      </c>
      <c r="D34563" t="s">
        <v>823</v>
      </c>
      <c r="J34563">
        <v>6</v>
      </c>
    </row>
    <row r="34564" spans="1:10" x14ac:dyDescent="0.25">
      <c r="A34564" t="s">
        <v>381</v>
      </c>
      <c r="B34564" s="1" t="str">
        <f>HYPERLINK("http://toyota-supraconnect.fi","toyota-supraconnect.fi")</f>
        <v>toyota-supraconnect.fi</v>
      </c>
      <c r="C34564" t="s">
        <v>445</v>
      </c>
      <c r="D34564" t="s">
        <v>823</v>
      </c>
      <c r="F34564">
        <v>4.44380395335525E-9</v>
      </c>
      <c r="G34564">
        <v>84785405</v>
      </c>
      <c r="H34564">
        <v>0</v>
      </c>
      <c r="I34564">
        <v>85901167</v>
      </c>
      <c r="J34564">
        <v>2</v>
      </c>
    </row>
    <row r="34565" spans="1:10" x14ac:dyDescent="0.25">
      <c r="A34565" t="s">
        <v>381</v>
      </c>
      <c r="B34565" s="1" t="str">
        <f>HYPERLINK("http://toyota-vakuutus.fi","toyota-vakuutus.fi")</f>
        <v>toyota-vakuutus.fi</v>
      </c>
      <c r="C34565" t="s">
        <v>445</v>
      </c>
      <c r="D34565" t="s">
        <v>823</v>
      </c>
      <c r="J34565">
        <v>6</v>
      </c>
    </row>
    <row r="34566" spans="1:10" x14ac:dyDescent="0.25">
      <c r="A34566" t="s">
        <v>381</v>
      </c>
      <c r="B34566" s="1" t="str">
        <f>HYPERLINK("http://toyotaairport.fi","toyotaairport.fi")</f>
        <v>toyotaairport.fi</v>
      </c>
      <c r="C34566" t="s">
        <v>445</v>
      </c>
      <c r="D34566" t="s">
        <v>823</v>
      </c>
      <c r="F34566">
        <v>1.71164684242017E-8</v>
      </c>
      <c r="G34566">
        <v>3257157</v>
      </c>
      <c r="H34566">
        <v>11060511</v>
      </c>
      <c r="I34566">
        <v>32677564</v>
      </c>
      <c r="J34566">
        <v>3</v>
      </c>
    </row>
    <row r="34567" spans="1:10" x14ac:dyDescent="0.25">
      <c r="A34567" t="s">
        <v>381</v>
      </c>
      <c r="B34567" s="1" t="str">
        <f>HYPERLINK("http://toyotaautocenter.fi","toyotaautocenter.fi")</f>
        <v>toyotaautocenter.fi</v>
      </c>
      <c r="C34567" t="s">
        <v>445</v>
      </c>
      <c r="D34567" t="s">
        <v>823</v>
      </c>
      <c r="F34567">
        <v>9.3466517763480103E-9</v>
      </c>
      <c r="G34567">
        <v>7512283</v>
      </c>
      <c r="H34567">
        <v>12204113</v>
      </c>
      <c r="I34567">
        <v>23210550</v>
      </c>
      <c r="J34567">
        <v>3</v>
      </c>
    </row>
    <row r="34568" spans="1:10" x14ac:dyDescent="0.25">
      <c r="A34568" t="s">
        <v>381</v>
      </c>
      <c r="B34568" s="1" t="str">
        <f>HYPERLINK("http://toyotaautotalot.fi","toyotaautotalot.fi")</f>
        <v>toyotaautotalot.fi</v>
      </c>
      <c r="C34568" t="s">
        <v>445</v>
      </c>
      <c r="D34568" t="s">
        <v>823</v>
      </c>
      <c r="F34568">
        <v>5.47001314668563E-9</v>
      </c>
      <c r="G34568">
        <v>21245011</v>
      </c>
      <c r="H34568">
        <v>13763639</v>
      </c>
      <c r="I34568">
        <v>7965800</v>
      </c>
      <c r="J34568">
        <v>6</v>
      </c>
    </row>
    <row r="34569" spans="1:10" x14ac:dyDescent="0.25">
      <c r="A34569" t="s">
        <v>381</v>
      </c>
      <c r="B34569" s="1" t="str">
        <f>HYPERLINK("http://toyotaclub.fi","toyotaclub.fi")</f>
        <v>toyotaclub.fi</v>
      </c>
      <c r="C34569" t="s">
        <v>445</v>
      </c>
      <c r="D34569" t="s">
        <v>823</v>
      </c>
      <c r="J34569">
        <v>5</v>
      </c>
    </row>
    <row r="34570" spans="1:10" x14ac:dyDescent="0.25">
      <c r="A34570" t="s">
        <v>381</v>
      </c>
      <c r="B34570" s="1" t="str">
        <f>HYPERLINK("http://toyotaeasy.fi","toyotaeasy.fi")</f>
        <v>toyotaeasy.fi</v>
      </c>
      <c r="C34570" t="s">
        <v>445</v>
      </c>
      <c r="D34570" t="s">
        <v>823</v>
      </c>
      <c r="F34570">
        <v>5.4972817964406799E-9</v>
      </c>
      <c r="G34570">
        <v>20932654</v>
      </c>
      <c r="H34570">
        <v>10626468</v>
      </c>
      <c r="I34570">
        <v>44080613</v>
      </c>
      <c r="J34570">
        <v>6</v>
      </c>
    </row>
    <row r="34571" spans="1:10" x14ac:dyDescent="0.25">
      <c r="A34571" t="s">
        <v>381</v>
      </c>
      <c r="B34571" s="1" t="str">
        <f>HYPERLINK("http://toyotaespoo.fi","toyotaespoo.fi")</f>
        <v>toyotaespoo.fi</v>
      </c>
      <c r="C34571" t="s">
        <v>445</v>
      </c>
      <c r="D34571" t="s">
        <v>823</v>
      </c>
      <c r="J34571">
        <v>5</v>
      </c>
    </row>
    <row r="34572" spans="1:10" x14ac:dyDescent="0.25">
      <c r="A34572" t="s">
        <v>381</v>
      </c>
      <c r="B34572" s="1" t="str">
        <f>HYPERLINK("http://toyotaforklifts.fi","toyotaforklifts.fi")</f>
        <v>toyotaforklifts.fi</v>
      </c>
      <c r="C34572" t="s">
        <v>445</v>
      </c>
      <c r="D34572" t="s">
        <v>823</v>
      </c>
      <c r="J34572">
        <v>6</v>
      </c>
    </row>
    <row r="34573" spans="1:10" x14ac:dyDescent="0.25">
      <c r="A34573" t="s">
        <v>381</v>
      </c>
      <c r="B34573" s="1" t="str">
        <f>HYPERLINK("http://toyotahelsinki.fi","toyotahelsinki.fi")</f>
        <v>toyotahelsinki.fi</v>
      </c>
      <c r="C34573" t="s">
        <v>445</v>
      </c>
      <c r="D34573" t="s">
        <v>823</v>
      </c>
      <c r="J34573">
        <v>7</v>
      </c>
    </row>
    <row r="34574" spans="1:10" x14ac:dyDescent="0.25">
      <c r="A34574" t="s">
        <v>381</v>
      </c>
      <c r="B34574" s="1" t="str">
        <f>HYPERLINK("http://toyotahuoltovaraus.fi","toyotahuoltovaraus.fi")</f>
        <v>toyotahuoltovaraus.fi</v>
      </c>
      <c r="C34574" t="s">
        <v>445</v>
      </c>
      <c r="D34574" t="s">
        <v>823</v>
      </c>
      <c r="F34574">
        <v>1.18652794214023E-8</v>
      </c>
      <c r="G34574">
        <v>5261091</v>
      </c>
      <c r="H34574">
        <v>12468870</v>
      </c>
      <c r="I34574">
        <v>17770504</v>
      </c>
      <c r="J34574">
        <v>6</v>
      </c>
    </row>
    <row r="34575" spans="1:10" x14ac:dyDescent="0.25">
      <c r="A34575" t="s">
        <v>381</v>
      </c>
      <c r="B34575" s="1" t="str">
        <f>HYPERLINK("http://toyotaindustries.fi","toyotaindustries.fi")</f>
        <v>toyotaindustries.fi</v>
      </c>
      <c r="C34575" t="s">
        <v>445</v>
      </c>
      <c r="D34575" t="s">
        <v>823</v>
      </c>
      <c r="J34575">
        <v>6</v>
      </c>
    </row>
    <row r="34576" spans="1:10" x14ac:dyDescent="0.25">
      <c r="A34576" t="s">
        <v>381</v>
      </c>
      <c r="B34576" s="1" t="str">
        <f>HYPERLINK("http://toyotaitakeskus.fi","toyotaitakeskus.fi")</f>
        <v>toyotaitakeskus.fi</v>
      </c>
      <c r="C34576" t="s">
        <v>445</v>
      </c>
      <c r="D34576" t="s">
        <v>823</v>
      </c>
      <c r="F34576">
        <v>1.11098949807081E-8</v>
      </c>
      <c r="G34576">
        <v>5778243</v>
      </c>
      <c r="H34576">
        <v>13763637</v>
      </c>
      <c r="I34576">
        <v>8036889</v>
      </c>
      <c r="J34576">
        <v>3</v>
      </c>
    </row>
    <row r="34577" spans="1:10" x14ac:dyDescent="0.25">
      <c r="A34577" t="s">
        <v>381</v>
      </c>
      <c r="B34577" s="1" t="str">
        <f>HYPERLINK("http://toyotajousto.fi","toyotajousto.fi")</f>
        <v>toyotajousto.fi</v>
      </c>
      <c r="C34577" t="s">
        <v>445</v>
      </c>
      <c r="D34577" t="s">
        <v>823</v>
      </c>
      <c r="J34577">
        <v>6</v>
      </c>
    </row>
    <row r="34578" spans="1:10" x14ac:dyDescent="0.25">
      <c r="A34578" t="s">
        <v>381</v>
      </c>
      <c r="B34578" s="1" t="str">
        <f>HYPERLINK("http://toyotakaivoksela.fi","toyotakaivoksela.fi")</f>
        <v>toyotakaivoksela.fi</v>
      </c>
      <c r="C34578" t="s">
        <v>445</v>
      </c>
      <c r="D34578" t="s">
        <v>823</v>
      </c>
      <c r="F34578">
        <v>5.63236762637843E-9</v>
      </c>
      <c r="G34578">
        <v>19553987</v>
      </c>
      <c r="H34578">
        <v>10728735</v>
      </c>
      <c r="I34578">
        <v>41025201</v>
      </c>
      <c r="J34578">
        <v>5</v>
      </c>
    </row>
    <row r="34579" spans="1:10" x14ac:dyDescent="0.25">
      <c r="A34579" t="s">
        <v>381</v>
      </c>
      <c r="B34579" s="1" t="str">
        <f>HYPERLINK("http://toyotakauppa.fi","toyotakauppa.fi")</f>
        <v>toyotakauppa.fi</v>
      </c>
      <c r="C34579" t="s">
        <v>445</v>
      </c>
      <c r="D34579" t="s">
        <v>823</v>
      </c>
      <c r="F34579">
        <v>4.64489735387728E-9</v>
      </c>
      <c r="G34579">
        <v>44457310</v>
      </c>
      <c r="H34579">
        <v>10512854</v>
      </c>
      <c r="I34579">
        <v>49379580</v>
      </c>
      <c r="J34579">
        <v>6</v>
      </c>
    </row>
    <row r="34580" spans="1:10" x14ac:dyDescent="0.25">
      <c r="A34580" t="s">
        <v>381</v>
      </c>
      <c r="B34580" s="1" t="str">
        <f>HYPERLINK("http://toyotakuukausitilaus.fi","toyotakuukausitilaus.fi")</f>
        <v>toyotakuukausitilaus.fi</v>
      </c>
      <c r="C34580" t="s">
        <v>445</v>
      </c>
      <c r="D34580" t="s">
        <v>823</v>
      </c>
      <c r="F34580">
        <v>4.8020418792662902E-9</v>
      </c>
      <c r="G34580">
        <v>36009651</v>
      </c>
      <c r="H34580">
        <v>10512122</v>
      </c>
      <c r="I34580">
        <v>49432243</v>
      </c>
      <c r="J34580">
        <v>6</v>
      </c>
    </row>
    <row r="34581" spans="1:10" x14ac:dyDescent="0.25">
      <c r="A34581" t="s">
        <v>381</v>
      </c>
      <c r="B34581" s="1" t="str">
        <f>HYPERLINK("http://toyotamaailma.fi","toyotamaailma.fi")</f>
        <v>toyotamaailma.fi</v>
      </c>
      <c r="C34581" t="s">
        <v>445</v>
      </c>
      <c r="D34581" t="s">
        <v>823</v>
      </c>
      <c r="J34581">
        <v>6</v>
      </c>
    </row>
    <row r="34582" spans="1:10" x14ac:dyDescent="0.25">
      <c r="A34582" t="s">
        <v>381</v>
      </c>
      <c r="B34582" s="1" t="str">
        <f>HYPERLINK("http://toyotamaterialhandling.fi","toyotamaterialhandling.fi")</f>
        <v>toyotamaterialhandling.fi</v>
      </c>
      <c r="C34582" t="s">
        <v>445</v>
      </c>
      <c r="D34582" t="s">
        <v>823</v>
      </c>
      <c r="J34582">
        <v>8</v>
      </c>
    </row>
    <row r="34583" spans="1:10" x14ac:dyDescent="0.25">
      <c r="A34583" t="s">
        <v>381</v>
      </c>
      <c r="B34583" s="1" t="str">
        <f>HYPERLINK("http://toyotametroauto.fi","toyotametroauto.fi")</f>
        <v>toyotametroauto.fi</v>
      </c>
      <c r="C34583" t="s">
        <v>445</v>
      </c>
      <c r="D34583" t="s">
        <v>823</v>
      </c>
      <c r="J34583">
        <v>7</v>
      </c>
    </row>
    <row r="34584" spans="1:10" x14ac:dyDescent="0.25">
      <c r="A34584" t="s">
        <v>381</v>
      </c>
      <c r="B34584" s="1" t="str">
        <f>HYPERLINK("http://toyotamh.fi","toyotamh.fi")</f>
        <v>toyotamh.fi</v>
      </c>
      <c r="C34584" t="s">
        <v>445</v>
      </c>
      <c r="D34584" t="s">
        <v>823</v>
      </c>
      <c r="J34584">
        <v>8</v>
      </c>
    </row>
    <row r="34585" spans="1:10" x14ac:dyDescent="0.25">
      <c r="A34585" t="s">
        <v>381</v>
      </c>
      <c r="B34585" s="1" t="str">
        <f>HYPERLINK("http://toyotaokauto.fi","toyotaokauto.fi")</f>
        <v>toyotaokauto.fi</v>
      </c>
      <c r="C34585" t="s">
        <v>445</v>
      </c>
      <c r="D34585" t="s">
        <v>823</v>
      </c>
      <c r="J34585">
        <v>6</v>
      </c>
    </row>
    <row r="34586" spans="1:10" x14ac:dyDescent="0.25">
      <c r="A34586" t="s">
        <v>381</v>
      </c>
      <c r="B34586" s="1" t="str">
        <f>HYPERLINK("http://toyotaplus.fi","toyotaplus.fi")</f>
        <v>toyotaplus.fi</v>
      </c>
      <c r="C34586" t="s">
        <v>445</v>
      </c>
      <c r="D34586" t="s">
        <v>823</v>
      </c>
      <c r="F34586">
        <v>5.0303026486100296E-9</v>
      </c>
      <c r="G34586">
        <v>28662293</v>
      </c>
      <c r="H34586">
        <v>13360932</v>
      </c>
      <c r="I34586">
        <v>10532177</v>
      </c>
      <c r="J34586">
        <v>6</v>
      </c>
    </row>
    <row r="34587" spans="1:10" x14ac:dyDescent="0.25">
      <c r="A34587" t="s">
        <v>381</v>
      </c>
      <c r="B34587" s="1" t="str">
        <f>HYPERLINK("http://toyotarahoitus.fi","toyotarahoitus.fi")</f>
        <v>toyotarahoitus.fi</v>
      </c>
      <c r="C34587" t="s">
        <v>445</v>
      </c>
      <c r="D34587" t="s">
        <v>823</v>
      </c>
      <c r="F34587">
        <v>5.3609185390656902E-9</v>
      </c>
      <c r="G34587">
        <v>22658125</v>
      </c>
      <c r="H34587">
        <v>10626467</v>
      </c>
      <c r="I34587">
        <v>44080635</v>
      </c>
      <c r="J34587">
        <v>6</v>
      </c>
    </row>
    <row r="34588" spans="1:10" x14ac:dyDescent="0.25">
      <c r="A34588" t="s">
        <v>381</v>
      </c>
      <c r="B34588" s="1" t="str">
        <f>HYPERLINK("http://toyotaredi.fi","toyotaredi.fi")</f>
        <v>toyotaredi.fi</v>
      </c>
      <c r="C34588" t="s">
        <v>445</v>
      </c>
      <c r="D34588" t="s">
        <v>823</v>
      </c>
      <c r="J34588">
        <v>6</v>
      </c>
    </row>
    <row r="34589" spans="1:10" x14ac:dyDescent="0.25">
      <c r="A34589" t="s">
        <v>381</v>
      </c>
      <c r="B34589" s="1" t="str">
        <f>HYPERLINK("http://toyotasuomenoja.fi","toyotasuomenoja.fi")</f>
        <v>toyotasuomenoja.fi</v>
      </c>
      <c r="C34589" t="s">
        <v>445</v>
      </c>
      <c r="D34589" t="s">
        <v>823</v>
      </c>
      <c r="J34589">
        <v>5</v>
      </c>
    </row>
    <row r="34590" spans="1:10" x14ac:dyDescent="0.25">
      <c r="A34590" t="s">
        <v>381</v>
      </c>
      <c r="B34590" s="1" t="str">
        <f>HYPERLINK("http://toyotatammerauto.fi","toyotatammerauto.fi")</f>
        <v>toyotatammerauto.fi</v>
      </c>
      <c r="C34590" t="s">
        <v>445</v>
      </c>
      <c r="D34590" t="s">
        <v>823</v>
      </c>
      <c r="F34590">
        <v>1.1102447022600301E-8</v>
      </c>
      <c r="G34590">
        <v>5783602</v>
      </c>
      <c r="H34590">
        <v>11035696</v>
      </c>
      <c r="I34590">
        <v>32985937</v>
      </c>
      <c r="J34590">
        <v>6</v>
      </c>
    </row>
    <row r="34591" spans="1:10" x14ac:dyDescent="0.25">
      <c r="A34591" t="s">
        <v>381</v>
      </c>
      <c r="B34591" s="1" t="str">
        <f>HYPERLINK("http://toyotatampere.fi","toyotatampere.fi")</f>
        <v>toyotatampere.fi</v>
      </c>
      <c r="C34591" t="s">
        <v>445</v>
      </c>
      <c r="D34591" t="s">
        <v>823</v>
      </c>
      <c r="J34591">
        <v>6</v>
      </c>
    </row>
    <row r="34592" spans="1:10" x14ac:dyDescent="0.25">
      <c r="A34592" t="s">
        <v>381</v>
      </c>
      <c r="B34592" s="1" t="str">
        <f>HYPERLINK("http://toyotatrukit.fi","toyotatrukit.fi")</f>
        <v>toyotatrukit.fi</v>
      </c>
      <c r="C34592" t="s">
        <v>445</v>
      </c>
      <c r="D34592" t="s">
        <v>823</v>
      </c>
      <c r="J34592">
        <v>6</v>
      </c>
    </row>
    <row r="34593" spans="1:10" x14ac:dyDescent="0.25">
      <c r="A34593" t="s">
        <v>381</v>
      </c>
      <c r="B34593" s="1" t="str">
        <f>HYPERLINK("http://toyotavakuutus.fi","toyotavakuutus.fi")</f>
        <v>toyotavakuutus.fi</v>
      </c>
      <c r="C34593" t="s">
        <v>445</v>
      </c>
      <c r="D34593" t="s">
        <v>823</v>
      </c>
      <c r="J34593">
        <v>6</v>
      </c>
    </row>
    <row r="34594" spans="1:10" x14ac:dyDescent="0.25">
      <c r="A34594" t="s">
        <v>381</v>
      </c>
      <c r="B34594" s="1" t="str">
        <f>HYPERLINK("http://toyotavantaa.fi","toyotavantaa.fi")</f>
        <v>toyotavantaa.fi</v>
      </c>
      <c r="C34594" t="s">
        <v>445</v>
      </c>
      <c r="D34594" t="s">
        <v>823</v>
      </c>
      <c r="J34594">
        <v>7</v>
      </c>
    </row>
    <row r="34595" spans="1:10" x14ac:dyDescent="0.25">
      <c r="A34595" t="s">
        <v>381</v>
      </c>
      <c r="B34595" s="1" t="str">
        <f>HYPERLINK("http://toyotavauriot.fi","toyotavauriot.fi")</f>
        <v>toyotavauriot.fi</v>
      </c>
      <c r="C34595" t="s">
        <v>445</v>
      </c>
      <c r="D34595" t="s">
        <v>823</v>
      </c>
      <c r="J34595">
        <v>6</v>
      </c>
    </row>
    <row r="34596" spans="1:10" x14ac:dyDescent="0.25">
      <c r="A34596" t="s">
        <v>381</v>
      </c>
      <c r="B34596" s="1" t="str">
        <f>HYPERLINK("http://toyotavuodeksi.fi","toyotavuodeksi.fi")</f>
        <v>toyotavuodeksi.fi</v>
      </c>
      <c r="C34596" t="s">
        <v>445</v>
      </c>
      <c r="D34596" t="s">
        <v>823</v>
      </c>
      <c r="J34596">
        <v>6</v>
      </c>
    </row>
    <row r="34597" spans="1:10" x14ac:dyDescent="0.25">
      <c r="A34597" t="s">
        <v>381</v>
      </c>
      <c r="B34597" s="1" t="str">
        <f>HYPERLINK("http://toyotaway.fi","toyotaway.fi")</f>
        <v>toyotaway.fi</v>
      </c>
      <c r="C34597" t="s">
        <v>445</v>
      </c>
      <c r="D34597" t="s">
        <v>823</v>
      </c>
      <c r="F34597">
        <v>1.0748632031071199E-8</v>
      </c>
      <c r="G34597">
        <v>6061068</v>
      </c>
      <c r="H34597">
        <v>14072482</v>
      </c>
      <c r="I34597">
        <v>3084168</v>
      </c>
      <c r="J34597">
        <v>6</v>
      </c>
    </row>
    <row r="34598" spans="1:10" x14ac:dyDescent="0.25">
      <c r="A34598" t="s">
        <v>381</v>
      </c>
      <c r="B34598" s="1" t="str">
        <f>HYPERLINK("http://toyotawebrent.fi","toyotawebrent.fi")</f>
        <v>toyotawebrent.fi</v>
      </c>
      <c r="C34598" t="s">
        <v>445</v>
      </c>
      <c r="D34598" t="s">
        <v>823</v>
      </c>
      <c r="J34598">
        <v>6</v>
      </c>
    </row>
    <row r="34599" spans="1:10" x14ac:dyDescent="0.25">
      <c r="A34599" t="s">
        <v>381</v>
      </c>
      <c r="B34599" s="1" t="str">
        <f>HYPERLINK("http://trukinajolupa.fi","trukinajolupa.fi")</f>
        <v>trukinajolupa.fi</v>
      </c>
      <c r="C34599" t="s">
        <v>445</v>
      </c>
      <c r="D34599" t="s">
        <v>823</v>
      </c>
      <c r="J34599">
        <v>6</v>
      </c>
    </row>
    <row r="34600" spans="1:10" x14ac:dyDescent="0.25">
      <c r="A34600" t="s">
        <v>381</v>
      </c>
      <c r="B34600" s="1" t="str">
        <f>HYPERLINK("http://trukinajolupakoulutus.fi","trukinajolupakoulutus.fi")</f>
        <v>trukinajolupakoulutus.fi</v>
      </c>
      <c r="C34600" t="s">
        <v>445</v>
      </c>
      <c r="D34600" t="s">
        <v>823</v>
      </c>
      <c r="J34600">
        <v>6</v>
      </c>
    </row>
    <row r="34601" spans="1:10" x14ac:dyDescent="0.25">
      <c r="A34601" t="s">
        <v>381</v>
      </c>
      <c r="B34601" s="1" t="str">
        <f>HYPERLINK("http://trukkivaraosat.fi","trukkivaraosat.fi")</f>
        <v>trukkivaraosat.fi</v>
      </c>
      <c r="C34601" t="s">
        <v>445</v>
      </c>
      <c r="D34601" t="s">
        <v>823</v>
      </c>
      <c r="J34601">
        <v>6</v>
      </c>
    </row>
    <row r="34602" spans="1:10" x14ac:dyDescent="0.25">
      <c r="A34602" t="s">
        <v>381</v>
      </c>
      <c r="B34602" s="1" t="str">
        <f>HYPERLINK("http://trukkivuokraus.fi","trukkivuokraus.fi")</f>
        <v>trukkivuokraus.fi</v>
      </c>
      <c r="C34602" t="s">
        <v>445</v>
      </c>
      <c r="D34602" t="s">
        <v>823</v>
      </c>
      <c r="J34602">
        <v>6</v>
      </c>
    </row>
    <row r="34603" spans="1:10" x14ac:dyDescent="0.25">
      <c r="A34603" t="s">
        <v>381</v>
      </c>
      <c r="B34603" s="1" t="str">
        <f>HYPERLINK("http://tsusho.fi","tsusho.fi")</f>
        <v>tsusho.fi</v>
      </c>
      <c r="C34603" t="s">
        <v>445</v>
      </c>
      <c r="D34603" t="s">
        <v>823</v>
      </c>
      <c r="J34603">
        <v>5</v>
      </c>
    </row>
    <row r="34604" spans="1:10" x14ac:dyDescent="0.25">
      <c r="A34604" t="s">
        <v>381</v>
      </c>
      <c r="B34604" s="1" t="str">
        <f>HYPERLINK("http://tsushoauto.fi","tsushoauto.fi")</f>
        <v>tsushoauto.fi</v>
      </c>
      <c r="C34604" t="s">
        <v>445</v>
      </c>
      <c r="D34604" t="s">
        <v>823</v>
      </c>
      <c r="F34604">
        <v>6.8736204742950298E-9</v>
      </c>
      <c r="G34604">
        <v>12717405</v>
      </c>
      <c r="H34604">
        <v>11136783</v>
      </c>
      <c r="I34604">
        <v>31870621</v>
      </c>
      <c r="J34604">
        <v>5</v>
      </c>
    </row>
    <row r="34605" spans="1:10" x14ac:dyDescent="0.25">
      <c r="A34605" t="s">
        <v>381</v>
      </c>
      <c r="B34605" s="1" t="str">
        <f>HYPERLINK("http://ttnordic.fi","ttnordic.fi")</f>
        <v>ttnordic.fi</v>
      </c>
      <c r="C34605" t="s">
        <v>445</v>
      </c>
      <c r="D34605" t="s">
        <v>823</v>
      </c>
      <c r="F34605">
        <v>1.3867824709883501E-8</v>
      </c>
      <c r="G34605">
        <v>4253667</v>
      </c>
      <c r="H34605">
        <v>12938123</v>
      </c>
      <c r="I34605">
        <v>13313781</v>
      </c>
      <c r="J34605">
        <v>3</v>
      </c>
    </row>
    <row r="34606" spans="1:10" x14ac:dyDescent="0.25">
      <c r="A34606" t="s">
        <v>381</v>
      </c>
      <c r="B34606" s="1" t="str">
        <f>HYPERLINK("http://turunac.fi","turunac.fi")</f>
        <v>turunac.fi</v>
      </c>
      <c r="C34606" t="s">
        <v>445</v>
      </c>
      <c r="D34606" t="s">
        <v>823</v>
      </c>
      <c r="J34606">
        <v>8</v>
      </c>
    </row>
    <row r="34607" spans="1:10" x14ac:dyDescent="0.25">
      <c r="A34607" t="s">
        <v>381</v>
      </c>
      <c r="B34607" s="1" t="str">
        <f>HYPERLINK("http://turunautocenter.fi","turunautocenter.fi")</f>
        <v>turunautocenter.fi</v>
      </c>
      <c r="C34607" t="s">
        <v>445</v>
      </c>
      <c r="D34607" t="s">
        <v>823</v>
      </c>
      <c r="F34607">
        <v>7.9555750381007004E-9</v>
      </c>
      <c r="G34607">
        <v>10003358</v>
      </c>
      <c r="H34607">
        <v>10897401</v>
      </c>
      <c r="I34607">
        <v>35897791</v>
      </c>
      <c r="J34607">
        <v>8</v>
      </c>
    </row>
    <row r="34608" spans="1:10" x14ac:dyDescent="0.25">
      <c r="A34608" t="s">
        <v>381</v>
      </c>
      <c r="B34608" s="1" t="str">
        <f>HYPERLINK("http://vaihtoautocenter.fi","vaihtoautocenter.fi")</f>
        <v>vaihtoautocenter.fi</v>
      </c>
      <c r="C34608" t="s">
        <v>445</v>
      </c>
      <c r="D34608" t="s">
        <v>823</v>
      </c>
      <c r="J34608">
        <v>5</v>
      </c>
    </row>
    <row r="34609" spans="1:10" x14ac:dyDescent="0.25">
      <c r="A34609" t="s">
        <v>381</v>
      </c>
      <c r="B34609" s="1" t="str">
        <f>HYPERLINK("http://vaihtokeskus.fi","vaihtokeskus.fi")</f>
        <v>vaihtokeskus.fi</v>
      </c>
      <c r="C34609" t="s">
        <v>445</v>
      </c>
      <c r="D34609" t="s">
        <v>823</v>
      </c>
      <c r="J34609">
        <v>7</v>
      </c>
    </row>
    <row r="34610" spans="1:10" x14ac:dyDescent="0.25">
      <c r="A34610" t="s">
        <v>381</v>
      </c>
      <c r="B34610" s="1" t="str">
        <f>HYPERLINK("http://vaihtopaivat.fi","vaihtopaivat.fi")</f>
        <v>vaihtopaivat.fi</v>
      </c>
      <c r="C34610" t="s">
        <v>445</v>
      </c>
      <c r="D34610" t="s">
        <v>823</v>
      </c>
      <c r="J34610">
        <v>7</v>
      </c>
    </row>
    <row r="34611" spans="1:10" x14ac:dyDescent="0.25">
      <c r="A34611" t="s">
        <v>381</v>
      </c>
      <c r="B34611" s="1" t="str">
        <f>HYPERLINK("http://vaihtopivt.fi","vaihtopivt.fi")</f>
        <v>vaihtopivt.fi</v>
      </c>
      <c r="C34611" t="s">
        <v>445</v>
      </c>
      <c r="D34611" t="s">
        <v>823</v>
      </c>
      <c r="J34611">
        <v>5</v>
      </c>
    </row>
    <row r="34612" spans="1:10" x14ac:dyDescent="0.25">
      <c r="A34612" t="s">
        <v>381</v>
      </c>
      <c r="B34612" s="1" t="str">
        <f>HYPERLINK("http://vaihtotrukit.fi","vaihtotrukit.fi")</f>
        <v>vaihtotrukit.fi</v>
      </c>
      <c r="C34612" t="s">
        <v>445</v>
      </c>
      <c r="D34612" t="s">
        <v>823</v>
      </c>
      <c r="J34612">
        <v>6</v>
      </c>
    </row>
    <row r="34613" spans="1:10" x14ac:dyDescent="0.25">
      <c r="A34613" t="s">
        <v>381</v>
      </c>
      <c r="B34613" s="1" t="str">
        <f>HYPERLINK("http://vaihtotrukki.fi","vaihtotrukki.fi")</f>
        <v>vaihtotrukki.fi</v>
      </c>
      <c r="C34613" t="s">
        <v>445</v>
      </c>
      <c r="D34613" t="s">
        <v>823</v>
      </c>
      <c r="J34613">
        <v>6</v>
      </c>
    </row>
    <row r="34614" spans="1:10" x14ac:dyDescent="0.25">
      <c r="A34614" t="s">
        <v>381</v>
      </c>
      <c r="B34614" s="1" t="str">
        <f>HYPERLINK("http://varastointiratkaisut.fi","varastointiratkaisut.fi")</f>
        <v>varastointiratkaisut.fi</v>
      </c>
      <c r="C34614" t="s">
        <v>445</v>
      </c>
      <c r="D34614" t="s">
        <v>823</v>
      </c>
      <c r="J34614">
        <v>6</v>
      </c>
    </row>
    <row r="34615" spans="1:10" x14ac:dyDescent="0.25">
      <c r="A34615" t="s">
        <v>381</v>
      </c>
      <c r="B34615" s="1" t="str">
        <f>HYPERLINK("http://varastokaluste.fi","varastokaluste.fi")</f>
        <v>varastokaluste.fi</v>
      </c>
      <c r="C34615" t="s">
        <v>445</v>
      </c>
      <c r="D34615" t="s">
        <v>823</v>
      </c>
      <c r="J34615">
        <v>6</v>
      </c>
    </row>
    <row r="34616" spans="1:10" x14ac:dyDescent="0.25">
      <c r="A34616" t="s">
        <v>381</v>
      </c>
      <c r="B34616" s="1" t="str">
        <f>HYPERLINK("http://varastokalusteratkaisu.fi","varastokalusteratkaisu.fi")</f>
        <v>varastokalusteratkaisu.fi</v>
      </c>
      <c r="C34616" t="s">
        <v>445</v>
      </c>
      <c r="D34616" t="s">
        <v>823</v>
      </c>
      <c r="J34616">
        <v>6</v>
      </c>
    </row>
    <row r="34617" spans="1:10" x14ac:dyDescent="0.25">
      <c r="A34617" t="s">
        <v>381</v>
      </c>
      <c r="B34617" s="1" t="str">
        <f>HYPERLINK("http://varastokalusteratkaisut.fi","varastokalusteratkaisut.fi")</f>
        <v>varastokalusteratkaisut.fi</v>
      </c>
      <c r="C34617" t="s">
        <v>445</v>
      </c>
      <c r="D34617" t="s">
        <v>823</v>
      </c>
      <c r="J34617">
        <v>6</v>
      </c>
    </row>
    <row r="34618" spans="1:10" x14ac:dyDescent="0.25">
      <c r="A34618" t="s">
        <v>381</v>
      </c>
      <c r="B34618" s="1" t="str">
        <f>HYPERLINK("http://varastoratkaisu.fi","varastoratkaisu.fi")</f>
        <v>varastoratkaisu.fi</v>
      </c>
      <c r="C34618" t="s">
        <v>445</v>
      </c>
      <c r="D34618" t="s">
        <v>823</v>
      </c>
      <c r="J34618">
        <v>6</v>
      </c>
    </row>
    <row r="34619" spans="1:10" x14ac:dyDescent="0.25">
      <c r="A34619" t="s">
        <v>381</v>
      </c>
      <c r="B34619" s="1" t="str">
        <f>HYPERLINK("http://varastotrukki.fi","varastotrukki.fi")</f>
        <v>varastotrukki.fi</v>
      </c>
      <c r="C34619" t="s">
        <v>445</v>
      </c>
      <c r="D34619" t="s">
        <v>823</v>
      </c>
      <c r="J34619">
        <v>6</v>
      </c>
    </row>
    <row r="34620" spans="1:10" x14ac:dyDescent="0.25">
      <c r="A34620" t="s">
        <v>381</v>
      </c>
      <c r="B34620" s="1" t="str">
        <f>HYPERLINK("http://vastapainotrukki.fi","vastapainotrukki.fi")</f>
        <v>vastapainotrukki.fi</v>
      </c>
      <c r="C34620" t="s">
        <v>445</v>
      </c>
      <c r="D34620" t="s">
        <v>823</v>
      </c>
      <c r="J34620">
        <v>6</v>
      </c>
    </row>
    <row r="34621" spans="1:10" x14ac:dyDescent="0.25">
      <c r="A34621" t="s">
        <v>381</v>
      </c>
      <c r="B34621" s="1" t="str">
        <f>HYPERLINK("http://villitpaivat.fi","villitpaivat.fi")</f>
        <v>villitpaivat.fi</v>
      </c>
      <c r="C34621" t="s">
        <v>445</v>
      </c>
      <c r="D34621" t="s">
        <v>823</v>
      </c>
      <c r="J34621">
        <v>7</v>
      </c>
    </row>
    <row r="34622" spans="1:10" x14ac:dyDescent="0.25">
      <c r="A34622" t="s">
        <v>381</v>
      </c>
      <c r="B34622" s="1" t="str">
        <f>HYPERLINK("http://villitpivt.fi","villitpivt.fi")</f>
        <v>villitpivt.fi</v>
      </c>
      <c r="C34622" t="s">
        <v>445</v>
      </c>
      <c r="D34622" t="s">
        <v>823</v>
      </c>
      <c r="J34622">
        <v>7</v>
      </c>
    </row>
    <row r="34623" spans="1:10" x14ac:dyDescent="0.25">
      <c r="A34623" t="s">
        <v>381</v>
      </c>
      <c r="B34623" s="1" t="str">
        <f>HYPERLINK("http://vsac.fi","vsac.fi")</f>
        <v>vsac.fi</v>
      </c>
      <c r="C34623" t="s">
        <v>445</v>
      </c>
      <c r="D34623" t="s">
        <v>823</v>
      </c>
      <c r="J34623">
        <v>5</v>
      </c>
    </row>
    <row r="34624" spans="1:10" x14ac:dyDescent="0.25">
      <c r="A34624" t="s">
        <v>381</v>
      </c>
      <c r="B34624" s="1" t="str">
        <f>HYPERLINK("http://vuokraatrukki.fi","vuokraatrukki.fi")</f>
        <v>vuokraatrukki.fi</v>
      </c>
      <c r="C34624" t="s">
        <v>445</v>
      </c>
      <c r="D34624" t="s">
        <v>823</v>
      </c>
      <c r="J34624">
        <v>6</v>
      </c>
    </row>
    <row r="34625" spans="1:10" x14ac:dyDescent="0.25">
      <c r="A34625" t="s">
        <v>381</v>
      </c>
      <c r="B34625" s="1" t="str">
        <f>HYPERLINK("http://concessions-toyota.fr","concessions-toyota.fr")</f>
        <v>concessions-toyota.fr</v>
      </c>
      <c r="C34625" t="s">
        <v>446</v>
      </c>
      <c r="D34625" t="s">
        <v>824</v>
      </c>
      <c r="F34625">
        <v>1.55370195515695E-8</v>
      </c>
      <c r="G34625">
        <v>3674002</v>
      </c>
      <c r="H34625">
        <v>12500391</v>
      </c>
      <c r="I34625">
        <v>17354634</v>
      </c>
      <c r="J34625">
        <v>3</v>
      </c>
    </row>
    <row r="34626" spans="1:10" x14ac:dyDescent="0.25">
      <c r="A34626" t="s">
        <v>381</v>
      </c>
      <c r="B34626" s="1" t="str">
        <f>HYPERLINK("http://degeneve.fr","degeneve.fr")</f>
        <v>degeneve.fr</v>
      </c>
      <c r="C34626" t="s">
        <v>446</v>
      </c>
      <c r="D34626" t="s">
        <v>824</v>
      </c>
      <c r="F34626">
        <v>7.4946727489473194E-9</v>
      </c>
      <c r="G34626">
        <v>11025058</v>
      </c>
      <c r="H34626">
        <v>13061429</v>
      </c>
      <c r="I34626">
        <v>12325078</v>
      </c>
      <c r="J34626">
        <v>3</v>
      </c>
    </row>
    <row r="34627" spans="1:10" x14ac:dyDescent="0.25">
      <c r="A34627" t="s">
        <v>381</v>
      </c>
      <c r="B34627" s="1" t="str">
        <f>HYPERLINK("http://horizon-auto-quimper.fr","horizon-auto-quimper.fr")</f>
        <v>horizon-auto-quimper.fr</v>
      </c>
      <c r="C34627" t="s">
        <v>446</v>
      </c>
      <c r="D34627" t="s">
        <v>824</v>
      </c>
      <c r="F34627">
        <v>5.53494701548957E-9</v>
      </c>
      <c r="G34627">
        <v>20531915</v>
      </c>
      <c r="H34627">
        <v>10516468</v>
      </c>
      <c r="I34627">
        <v>49186940</v>
      </c>
      <c r="J34627">
        <v>3</v>
      </c>
    </row>
    <row r="34628" spans="1:10" x14ac:dyDescent="0.25">
      <c r="A34628" t="s">
        <v>381</v>
      </c>
      <c r="B34628" s="1" t="str">
        <f>HYPERLINK("http://kinto-mobility.fr","kinto-mobility.fr")</f>
        <v>kinto-mobility.fr</v>
      </c>
      <c r="C34628" t="s">
        <v>446</v>
      </c>
      <c r="D34628" t="s">
        <v>824</v>
      </c>
      <c r="F34628">
        <v>1.0776782762290601E-8</v>
      </c>
      <c r="G34628">
        <v>6039188</v>
      </c>
      <c r="H34628">
        <v>11241921</v>
      </c>
      <c r="I34628">
        <v>30952887</v>
      </c>
      <c r="J34628">
        <v>4</v>
      </c>
    </row>
    <row r="34629" spans="1:10" x14ac:dyDescent="0.25">
      <c r="A34629" t="s">
        <v>381</v>
      </c>
      <c r="B34629" s="1" t="str">
        <f>HYPERLINK("http://lexus.fr","lexus.fr")</f>
        <v>lexus.fr</v>
      </c>
      <c r="C34629" t="s">
        <v>446</v>
      </c>
      <c r="D34629" t="s">
        <v>824</v>
      </c>
      <c r="E34629">
        <v>897810</v>
      </c>
      <c r="F34629">
        <v>9.1457974102184806E-8</v>
      </c>
      <c r="G34629">
        <v>445614</v>
      </c>
      <c r="H34629">
        <v>14167607</v>
      </c>
      <c r="I34629">
        <v>1815021</v>
      </c>
      <c r="J34629">
        <v>4</v>
      </c>
    </row>
    <row r="34630" spans="1:10" x14ac:dyDescent="0.25">
      <c r="A34630" t="s">
        <v>381</v>
      </c>
      <c r="B34630" s="1" t="str">
        <f>HYPERLINK("http://lexus-levallois.fr","lexus-levallois.fr")</f>
        <v>lexus-levallois.fr</v>
      </c>
      <c r="C34630" t="s">
        <v>446</v>
      </c>
      <c r="D34630" t="s">
        <v>824</v>
      </c>
      <c r="F34630">
        <v>4.6689685649018203E-9</v>
      </c>
      <c r="G34630">
        <v>42981636</v>
      </c>
      <c r="H34630">
        <v>10695445</v>
      </c>
      <c r="I34630">
        <v>42397326</v>
      </c>
      <c r="J34630">
        <v>7</v>
      </c>
    </row>
    <row r="34631" spans="1:10" x14ac:dyDescent="0.25">
      <c r="A34631" t="s">
        <v>381</v>
      </c>
      <c r="B34631" s="1" t="str">
        <f>HYPERLINK("http://lexus-lyon.fr","lexus-lyon.fr")</f>
        <v>lexus-lyon.fr</v>
      </c>
      <c r="C34631" t="s">
        <v>446</v>
      </c>
      <c r="D34631" t="s">
        <v>824</v>
      </c>
      <c r="F34631">
        <v>5.1646157692782798E-9</v>
      </c>
      <c r="G34631">
        <v>25817729</v>
      </c>
      <c r="H34631">
        <v>9586885</v>
      </c>
      <c r="I34631">
        <v>64545626</v>
      </c>
      <c r="J34631">
        <v>7</v>
      </c>
    </row>
    <row r="34632" spans="1:10" x14ac:dyDescent="0.25">
      <c r="A34632" t="s">
        <v>381</v>
      </c>
      <c r="B34632" s="1" t="str">
        <f>HYPERLINK("http://lexus-lyonsud.fr","lexus-lyonsud.fr")</f>
        <v>lexus-lyonsud.fr</v>
      </c>
      <c r="C34632" t="s">
        <v>446</v>
      </c>
      <c r="D34632" t="s">
        <v>824</v>
      </c>
      <c r="F34632">
        <v>5.1646575135782304E-9</v>
      </c>
      <c r="G34632">
        <v>25816989</v>
      </c>
      <c r="H34632">
        <v>10487402</v>
      </c>
      <c r="I34632">
        <v>50745694</v>
      </c>
      <c r="J34632">
        <v>3</v>
      </c>
    </row>
    <row r="34633" spans="1:10" x14ac:dyDescent="0.25">
      <c r="A34633" t="s">
        <v>381</v>
      </c>
      <c r="B34633" s="1" t="str">
        <f>HYPERLINK("http://lexus-nanterre.fr","lexus-nanterre.fr")</f>
        <v>lexus-nanterre.fr</v>
      </c>
      <c r="C34633" t="s">
        <v>446</v>
      </c>
      <c r="D34633" t="s">
        <v>824</v>
      </c>
      <c r="J34633">
        <v>7</v>
      </c>
    </row>
    <row r="34634" spans="1:10" x14ac:dyDescent="0.25">
      <c r="A34634" t="s">
        <v>381</v>
      </c>
      <c r="B34634" s="1" t="str">
        <f>HYPERLINK("http://reparateurs-toyota.fr","reparateurs-toyota.fr")</f>
        <v>reparateurs-toyota.fr</v>
      </c>
      <c r="C34634" t="s">
        <v>446</v>
      </c>
      <c r="D34634" t="s">
        <v>824</v>
      </c>
      <c r="F34634">
        <v>4.8498378784831703E-9</v>
      </c>
      <c r="G34634">
        <v>34147350</v>
      </c>
      <c r="H34634">
        <v>10516632</v>
      </c>
      <c r="I34634">
        <v>49181832</v>
      </c>
      <c r="J34634">
        <v>3</v>
      </c>
    </row>
    <row r="34635" spans="1:10" x14ac:dyDescent="0.25">
      <c r="A34635" t="s">
        <v>381</v>
      </c>
      <c r="B34635" s="1" t="str">
        <f>HYPERLINK("http://rizzon-auto-guingamp.fr","rizzon-auto-guingamp.fr")</f>
        <v>rizzon-auto-guingamp.fr</v>
      </c>
      <c r="C34635" t="s">
        <v>446</v>
      </c>
      <c r="D34635" t="s">
        <v>824</v>
      </c>
      <c r="F34635">
        <v>6.1569598540499099E-9</v>
      </c>
      <c r="G34635">
        <v>15764152</v>
      </c>
      <c r="H34635">
        <v>10677529</v>
      </c>
      <c r="I34635">
        <v>42803671</v>
      </c>
      <c r="J34635">
        <v>3</v>
      </c>
    </row>
    <row r="34636" spans="1:10" x14ac:dyDescent="0.25">
      <c r="A34636" t="s">
        <v>381</v>
      </c>
      <c r="B34636" s="1" t="str">
        <f>HYPERLINK("http://rizzon-auto-lannion.fr","rizzon-auto-lannion.fr")</f>
        <v>rizzon-auto-lannion.fr</v>
      </c>
      <c r="C34636" t="s">
        <v>446</v>
      </c>
      <c r="D34636" t="s">
        <v>824</v>
      </c>
      <c r="F34636">
        <v>5.6786343323135501E-9</v>
      </c>
      <c r="G34636">
        <v>19142154</v>
      </c>
      <c r="H34636">
        <v>9918868</v>
      </c>
      <c r="I34636">
        <v>61477681</v>
      </c>
      <c r="J34636">
        <v>3</v>
      </c>
    </row>
    <row r="34637" spans="1:10" x14ac:dyDescent="0.25">
      <c r="A34637" t="s">
        <v>381</v>
      </c>
      <c r="B34637" s="1" t="str">
        <f>HYPERLINK("http://rizzon-auto-st-brieuc.fr","rizzon-auto-st-brieuc.fr")</f>
        <v>rizzon-auto-st-brieuc.fr</v>
      </c>
      <c r="C34637" t="s">
        <v>446</v>
      </c>
      <c r="D34637" t="s">
        <v>824</v>
      </c>
      <c r="F34637">
        <v>6.6539576575721397E-9</v>
      </c>
      <c r="G34637">
        <v>13470594</v>
      </c>
      <c r="H34637">
        <v>12047323</v>
      </c>
      <c r="I34637">
        <v>27320938</v>
      </c>
      <c r="J34637">
        <v>3</v>
      </c>
    </row>
    <row r="34638" spans="1:10" x14ac:dyDescent="0.25">
      <c r="A34638" t="s">
        <v>381</v>
      </c>
      <c r="B34638" s="1" t="str">
        <f>HYPERLINK("http://sanseigne-occasions.fr","sanseigne-occasions.fr")</f>
        <v>sanseigne-occasions.fr</v>
      </c>
      <c r="C34638" t="s">
        <v>446</v>
      </c>
      <c r="D34638" t="s">
        <v>824</v>
      </c>
      <c r="F34638">
        <v>6.2087569843901604E-9</v>
      </c>
      <c r="G34638">
        <v>15490395</v>
      </c>
      <c r="H34638">
        <v>10508793</v>
      </c>
      <c r="I34638">
        <v>50036640</v>
      </c>
      <c r="J34638">
        <v>3</v>
      </c>
    </row>
    <row r="34639" spans="1:10" x14ac:dyDescent="0.25">
      <c r="A34639" t="s">
        <v>381</v>
      </c>
      <c r="B34639" s="1" t="str">
        <f>HYPERLINK("http://teamcolin.fr","teamcolin.fr")</f>
        <v>teamcolin.fr</v>
      </c>
      <c r="C34639" t="s">
        <v>446</v>
      </c>
      <c r="D34639" t="s">
        <v>824</v>
      </c>
      <c r="F34639">
        <v>9.6937745136816599E-9</v>
      </c>
      <c r="G34639">
        <v>7087641</v>
      </c>
      <c r="H34639">
        <v>12470499</v>
      </c>
      <c r="I34639">
        <v>17742522</v>
      </c>
      <c r="J34639">
        <v>3</v>
      </c>
    </row>
    <row r="34640" spans="1:10" x14ac:dyDescent="0.25">
      <c r="A34640" t="s">
        <v>381</v>
      </c>
      <c r="B34640" s="1" t="str">
        <f>HYPERLINK("http://toyota.fr","toyota.fr")</f>
        <v>toyota.fr</v>
      </c>
      <c r="C34640" t="s">
        <v>446</v>
      </c>
      <c r="D34640" t="s">
        <v>824</v>
      </c>
      <c r="E34640">
        <v>81800</v>
      </c>
      <c r="F34640">
        <v>4.1670481004023401E-7</v>
      </c>
      <c r="G34640">
        <v>90348</v>
      </c>
      <c r="H34640">
        <v>15223392</v>
      </c>
      <c r="I34640">
        <v>393005</v>
      </c>
      <c r="J34640">
        <v>3</v>
      </c>
    </row>
    <row r="34641" spans="1:10" x14ac:dyDescent="0.25">
      <c r="A34641" t="s">
        <v>381</v>
      </c>
      <c r="B34641" s="1" t="str">
        <f>HYPERLINK("http://toyota-corbeil.fr","toyota-corbeil.fr")</f>
        <v>toyota-corbeil.fr</v>
      </c>
      <c r="C34641" t="s">
        <v>446</v>
      </c>
      <c r="D34641" t="s">
        <v>824</v>
      </c>
      <c r="F34641">
        <v>4.5665746791862603E-9</v>
      </c>
      <c r="G34641">
        <v>50520294</v>
      </c>
      <c r="H34641">
        <v>8499917</v>
      </c>
      <c r="I34641">
        <v>72028388</v>
      </c>
      <c r="J34641">
        <v>3</v>
      </c>
    </row>
    <row r="34642" spans="1:10" x14ac:dyDescent="0.25">
      <c r="A34642" t="s">
        <v>381</v>
      </c>
      <c r="B34642" s="1" t="str">
        <f>HYPERLINK("http://toyota-etampes.fr","toyota-etampes.fr")</f>
        <v>toyota-etampes.fr</v>
      </c>
      <c r="C34642" t="s">
        <v>446</v>
      </c>
      <c r="D34642" t="s">
        <v>824</v>
      </c>
      <c r="F34642">
        <v>4.5665746791862603E-9</v>
      </c>
      <c r="G34642">
        <v>50520295</v>
      </c>
      <c r="H34642">
        <v>8499917</v>
      </c>
      <c r="I34642">
        <v>72028389</v>
      </c>
      <c r="J34642">
        <v>3</v>
      </c>
    </row>
    <row r="34643" spans="1:10" x14ac:dyDescent="0.25">
      <c r="A34643" t="s">
        <v>381</v>
      </c>
      <c r="B34643" s="1" t="str">
        <f>HYPERLINK("http://toyota-forklifts.fr","toyota-forklifts.fr")</f>
        <v>toyota-forklifts.fr</v>
      </c>
      <c r="C34643" t="s">
        <v>446</v>
      </c>
      <c r="D34643" t="s">
        <v>824</v>
      </c>
      <c r="F34643">
        <v>4.2134890980367697E-8</v>
      </c>
      <c r="G34643">
        <v>1159117</v>
      </c>
      <c r="H34643">
        <v>14104110</v>
      </c>
      <c r="I34643">
        <v>2694327</v>
      </c>
      <c r="J34643">
        <v>3</v>
      </c>
    </row>
    <row r="34644" spans="1:10" x14ac:dyDescent="0.25">
      <c r="A34644" t="s">
        <v>381</v>
      </c>
      <c r="B34644" s="1" t="str">
        <f>HYPERLINK("http://toyota-montluel.fr","toyota-montluel.fr")</f>
        <v>toyota-montluel.fr</v>
      </c>
      <c r="C34644" t="s">
        <v>446</v>
      </c>
      <c r="D34644" t="s">
        <v>824</v>
      </c>
      <c r="F34644">
        <v>4.4552155232178001E-9</v>
      </c>
      <c r="G34644">
        <v>69425157</v>
      </c>
      <c r="H34644">
        <v>8424931</v>
      </c>
      <c r="I34644">
        <v>72807037</v>
      </c>
      <c r="J34644">
        <v>3</v>
      </c>
    </row>
    <row r="34645" spans="1:10" x14ac:dyDescent="0.25">
      <c r="A34645" t="s">
        <v>381</v>
      </c>
      <c r="B34645" s="1" t="str">
        <f>HYPERLINK("http://toyota-nanterre.fr","toyota-nanterre.fr")</f>
        <v>toyota-nanterre.fr</v>
      </c>
      <c r="C34645" t="s">
        <v>446</v>
      </c>
      <c r="D34645" t="s">
        <v>824</v>
      </c>
      <c r="F34645">
        <v>4.5225595275825902E-9</v>
      </c>
      <c r="G34645">
        <v>55891929</v>
      </c>
      <c r="H34645">
        <v>9367494</v>
      </c>
      <c r="I34645">
        <v>67749657</v>
      </c>
      <c r="J34645">
        <v>3</v>
      </c>
    </row>
    <row r="34646" spans="1:10" x14ac:dyDescent="0.25">
      <c r="A34646" t="s">
        <v>381</v>
      </c>
      <c r="B34646" s="1" t="str">
        <f>HYPERLINK("http://toyota-paris17.fr","toyota-paris17.fr")</f>
        <v>toyota-paris17.fr</v>
      </c>
      <c r="C34646" t="s">
        <v>446</v>
      </c>
      <c r="D34646" t="s">
        <v>824</v>
      </c>
      <c r="F34646">
        <v>4.4438829444787099E-9</v>
      </c>
      <c r="G34646">
        <v>78013029</v>
      </c>
      <c r="H34646">
        <v>10496834</v>
      </c>
      <c r="I34646">
        <v>50505010</v>
      </c>
      <c r="J34646">
        <v>3</v>
      </c>
    </row>
    <row r="34647" spans="1:10" x14ac:dyDescent="0.25">
      <c r="A34647" t="s">
        <v>381</v>
      </c>
      <c r="B34647" s="1" t="str">
        <f>HYPERLINK("http://toyota-paris5.fr","toyota-paris5.fr")</f>
        <v>toyota-paris5.fr</v>
      </c>
      <c r="C34647" t="s">
        <v>446</v>
      </c>
      <c r="D34647" t="s">
        <v>824</v>
      </c>
      <c r="F34647">
        <v>4.44678752276084E-9</v>
      </c>
      <c r="G34647">
        <v>73993979</v>
      </c>
      <c r="H34647">
        <v>10496836</v>
      </c>
      <c r="I34647">
        <v>50504138</v>
      </c>
      <c r="J34647">
        <v>3</v>
      </c>
    </row>
    <row r="34648" spans="1:10" x14ac:dyDescent="0.25">
      <c r="A34648" t="s">
        <v>381</v>
      </c>
      <c r="B34648" s="1" t="str">
        <f>HYPERLINK("http://toyota-plaisir.fr","toyota-plaisir.fr")</f>
        <v>toyota-plaisir.fr</v>
      </c>
      <c r="C34648" t="s">
        <v>446</v>
      </c>
      <c r="D34648" t="s">
        <v>824</v>
      </c>
      <c r="F34648">
        <v>4.4686441863641701E-9</v>
      </c>
      <c r="G34648">
        <v>64923220</v>
      </c>
      <c r="H34648">
        <v>12292693</v>
      </c>
      <c r="I34648">
        <v>21030974</v>
      </c>
      <c r="J34648">
        <v>3</v>
      </c>
    </row>
    <row r="34649" spans="1:10" x14ac:dyDescent="0.25">
      <c r="A34649" t="s">
        <v>381</v>
      </c>
      <c r="B34649" s="1" t="str">
        <f>HYPERLINK("http://toyota.ge","toyota.ge")</f>
        <v>toyota.ge</v>
      </c>
      <c r="C34649" t="s">
        <v>637</v>
      </c>
      <c r="D34649" t="s">
        <v>958</v>
      </c>
      <c r="F34649">
        <v>6.3318212746804306E-8</v>
      </c>
      <c r="G34649">
        <v>686939</v>
      </c>
      <c r="H34649">
        <v>12370245</v>
      </c>
      <c r="I34649">
        <v>19410010</v>
      </c>
      <c r="J34649">
        <v>4</v>
      </c>
    </row>
    <row r="34650" spans="1:10" x14ac:dyDescent="0.25">
      <c r="A34650" t="s">
        <v>381</v>
      </c>
      <c r="B34650" s="1" t="str">
        <f>HYPERLINK("http://toyota-forklifts.ge","toyota-forklifts.ge")</f>
        <v>toyota-forklifts.ge</v>
      </c>
      <c r="C34650" t="s">
        <v>637</v>
      </c>
      <c r="D34650" t="s">
        <v>958</v>
      </c>
      <c r="F34650">
        <v>1.38499152238388E-8</v>
      </c>
      <c r="G34650">
        <v>4260567</v>
      </c>
      <c r="H34650">
        <v>12679651</v>
      </c>
      <c r="I34650">
        <v>15504999</v>
      </c>
      <c r="J34650">
        <v>5</v>
      </c>
    </row>
    <row r="34651" spans="1:10" x14ac:dyDescent="0.25">
      <c r="A34651" t="s">
        <v>381</v>
      </c>
      <c r="B34651" s="1" t="str">
        <f>HYPERLINK("http://toyota-tegeta.ge","toyota-tegeta.ge")</f>
        <v>toyota-tegeta.ge</v>
      </c>
      <c r="C34651" t="s">
        <v>637</v>
      </c>
      <c r="D34651" t="s">
        <v>958</v>
      </c>
      <c r="F34651">
        <v>2.58205558436277E-8</v>
      </c>
      <c r="G34651">
        <v>1996211</v>
      </c>
      <c r="H34651">
        <v>12330126</v>
      </c>
      <c r="I34651">
        <v>20209924</v>
      </c>
      <c r="J34651">
        <v>3</v>
      </c>
    </row>
    <row r="34652" spans="1:10" x14ac:dyDescent="0.25">
      <c r="A34652" t="s">
        <v>381</v>
      </c>
      <c r="B34652" s="1" t="str">
        <f>HYPERLINK("http://lexus.gr","lexus.gr")</f>
        <v>lexus.gr</v>
      </c>
      <c r="C34652" t="s">
        <v>447</v>
      </c>
      <c r="D34652" t="s">
        <v>825</v>
      </c>
      <c r="F34652">
        <v>3.9071166986645999E-8</v>
      </c>
      <c r="G34652">
        <v>1320081</v>
      </c>
      <c r="H34652">
        <v>14375192</v>
      </c>
      <c r="I34652">
        <v>1228653</v>
      </c>
      <c r="J34652">
        <v>4</v>
      </c>
    </row>
    <row r="34653" spans="1:10" x14ac:dyDescent="0.25">
      <c r="A34653" t="s">
        <v>381</v>
      </c>
      <c r="B34653" s="1" t="str">
        <f>HYPERLINK("http://toyota.gr","toyota.gr")</f>
        <v>toyota.gr</v>
      </c>
      <c r="C34653" t="s">
        <v>447</v>
      </c>
      <c r="D34653" t="s">
        <v>825</v>
      </c>
      <c r="E34653">
        <v>794141</v>
      </c>
      <c r="F34653">
        <v>8.9199194461046405E-8</v>
      </c>
      <c r="G34653">
        <v>458161</v>
      </c>
      <c r="H34653">
        <v>14489629</v>
      </c>
      <c r="I34653">
        <v>920111</v>
      </c>
      <c r="J34653">
        <v>3</v>
      </c>
    </row>
    <row r="34654" spans="1:10" x14ac:dyDescent="0.25">
      <c r="A34654" t="s">
        <v>381</v>
      </c>
      <c r="B34654" s="1" t="str">
        <f>HYPERLINK("http://toyota-alexandridis.gr","toyota-alexandridis.gr")</f>
        <v>toyota-alexandridis.gr</v>
      </c>
      <c r="C34654" t="s">
        <v>447</v>
      </c>
      <c r="D34654" t="s">
        <v>825</v>
      </c>
      <c r="F34654">
        <v>4.5173846336701198E-9</v>
      </c>
      <c r="G34654">
        <v>56544230</v>
      </c>
      <c r="H34654">
        <v>10882764</v>
      </c>
      <c r="I34654">
        <v>36291847</v>
      </c>
      <c r="J34654">
        <v>3</v>
      </c>
    </row>
    <row r="34655" spans="1:10" x14ac:dyDescent="0.25">
      <c r="A34655" t="s">
        <v>381</v>
      </c>
      <c r="B34655" s="1" t="str">
        <f>HYPERLINK("http://toyota-forklifts.gr","toyota-forklifts.gr")</f>
        <v>toyota-forklifts.gr</v>
      </c>
      <c r="C34655" t="s">
        <v>447</v>
      </c>
      <c r="D34655" t="s">
        <v>825</v>
      </c>
      <c r="F34655">
        <v>1.4800330909444601E-8</v>
      </c>
      <c r="G34655">
        <v>3907001</v>
      </c>
      <c r="H34655">
        <v>12703661</v>
      </c>
      <c r="I34655">
        <v>15335639</v>
      </c>
      <c r="J34655">
        <v>4</v>
      </c>
    </row>
    <row r="34656" spans="1:10" x14ac:dyDescent="0.25">
      <c r="A34656" t="s">
        <v>381</v>
      </c>
      <c r="B34656" s="1" t="str">
        <f>HYPERLINK("http://imusedcar.com.hk","imusedcar.com.hk")</f>
        <v>imusedcar.com.hk</v>
      </c>
      <c r="C34656" t="s">
        <v>450</v>
      </c>
      <c r="D34656" t="s">
        <v>827</v>
      </c>
      <c r="F34656">
        <v>5.6858781627480804E-9</v>
      </c>
      <c r="G34656">
        <v>19080141</v>
      </c>
      <c r="H34656">
        <v>10728129</v>
      </c>
      <c r="I34656">
        <v>41065936</v>
      </c>
      <c r="J34656">
        <v>3</v>
      </c>
    </row>
    <row r="34657" spans="1:10" x14ac:dyDescent="0.25">
      <c r="A34657" t="s">
        <v>381</v>
      </c>
      <c r="B34657" s="1" t="str">
        <f>HYPERLINK("http://lexus.com.hk","lexus.com.hk")</f>
        <v>lexus.com.hk</v>
      </c>
      <c r="C34657" t="s">
        <v>450</v>
      </c>
      <c r="D34657" t="s">
        <v>827</v>
      </c>
      <c r="F34657">
        <v>1.5769808988809401E-8</v>
      </c>
      <c r="G34657">
        <v>3608227</v>
      </c>
      <c r="H34657">
        <v>13764873</v>
      </c>
      <c r="I34657">
        <v>7177535</v>
      </c>
      <c r="J34657">
        <v>5</v>
      </c>
    </row>
    <row r="34658" spans="1:10" x14ac:dyDescent="0.25">
      <c r="A34658" t="s">
        <v>381</v>
      </c>
      <c r="B34658" s="1" t="str">
        <f>HYPERLINK("http://toyota.com.hk","toyota.com.hk")</f>
        <v>toyota.com.hk</v>
      </c>
      <c r="C34658" t="s">
        <v>450</v>
      </c>
      <c r="D34658" t="s">
        <v>827</v>
      </c>
      <c r="F34658">
        <v>1.5793501919123401E-8</v>
      </c>
      <c r="G34658">
        <v>3601314</v>
      </c>
      <c r="H34658">
        <v>14488088</v>
      </c>
      <c r="I34658">
        <v>938136</v>
      </c>
      <c r="J34658">
        <v>3</v>
      </c>
    </row>
    <row r="34659" spans="1:10" x14ac:dyDescent="0.25">
      <c r="A34659" t="s">
        <v>381</v>
      </c>
      <c r="B34659" s="1" t="str">
        <f>HYPERLINK("http://lexus.hr","lexus.hr")</f>
        <v>lexus.hr</v>
      </c>
      <c r="C34659" t="s">
        <v>452</v>
      </c>
      <c r="D34659" t="s">
        <v>829</v>
      </c>
      <c r="F34659">
        <v>3.5727090070144501E-8</v>
      </c>
      <c r="G34659">
        <v>1458278</v>
      </c>
      <c r="H34659">
        <v>13111202</v>
      </c>
      <c r="I34659">
        <v>12032079</v>
      </c>
      <c r="J34659">
        <v>4</v>
      </c>
    </row>
    <row r="34660" spans="1:10" x14ac:dyDescent="0.25">
      <c r="A34660" t="s">
        <v>381</v>
      </c>
      <c r="B34660" s="1" t="str">
        <f>HYPERLINK("http://toyota.hr","toyota.hr")</f>
        <v>toyota.hr</v>
      </c>
      <c r="C34660" t="s">
        <v>452</v>
      </c>
      <c r="D34660" t="s">
        <v>829</v>
      </c>
      <c r="F34660">
        <v>7.1002028167351607E-8</v>
      </c>
      <c r="G34660">
        <v>595614</v>
      </c>
      <c r="H34660">
        <v>14381729</v>
      </c>
      <c r="I34660">
        <v>1190686</v>
      </c>
      <c r="J34660">
        <v>4</v>
      </c>
    </row>
    <row r="34661" spans="1:10" x14ac:dyDescent="0.25">
      <c r="A34661" t="s">
        <v>381</v>
      </c>
      <c r="B34661" s="1" t="str">
        <f>HYPERLINK("http://lexus.hu","lexus.hu")</f>
        <v>lexus.hu</v>
      </c>
      <c r="C34661" t="s">
        <v>453</v>
      </c>
      <c r="D34661" t="s">
        <v>830</v>
      </c>
      <c r="F34661">
        <v>4.6964994231420203E-8</v>
      </c>
      <c r="G34661">
        <v>993935</v>
      </c>
      <c r="H34661">
        <v>14075083</v>
      </c>
      <c r="I34661">
        <v>2918957</v>
      </c>
      <c r="J34661">
        <v>4</v>
      </c>
    </row>
    <row r="34662" spans="1:10" x14ac:dyDescent="0.25">
      <c r="A34662" t="s">
        <v>381</v>
      </c>
      <c r="B34662" s="1" t="str">
        <f>HYPERLINK("http://lexusszeged.hu","lexusszeged.hu")</f>
        <v>lexusszeged.hu</v>
      </c>
      <c r="C34662" t="s">
        <v>453</v>
      </c>
      <c r="D34662" t="s">
        <v>830</v>
      </c>
      <c r="F34662">
        <v>5.8582579263302298E-9</v>
      </c>
      <c r="G34662">
        <v>17650762</v>
      </c>
      <c r="H34662">
        <v>10830454</v>
      </c>
      <c r="I34662">
        <v>37383946</v>
      </c>
      <c r="J34662">
        <v>7</v>
      </c>
    </row>
    <row r="34663" spans="1:10" x14ac:dyDescent="0.25">
      <c r="A34663" t="s">
        <v>381</v>
      </c>
      <c r="B34663" s="1" t="str">
        <f>HYPERLINK("http://miskolcauto.hu","miskolcauto.hu")</f>
        <v>miskolcauto.hu</v>
      </c>
      <c r="C34663" t="s">
        <v>453</v>
      </c>
      <c r="D34663" t="s">
        <v>830</v>
      </c>
      <c r="F34663">
        <v>1.0530865116279399E-8</v>
      </c>
      <c r="G34663">
        <v>6243101</v>
      </c>
      <c r="H34663">
        <v>12173225</v>
      </c>
      <c r="I34663">
        <v>23986425</v>
      </c>
      <c r="J34663">
        <v>3</v>
      </c>
    </row>
    <row r="34664" spans="1:10" x14ac:dyDescent="0.25">
      <c r="A34664" t="s">
        <v>381</v>
      </c>
      <c r="B34664" s="1" t="str">
        <f>HYPERLINK("http://sakura.hu","sakura.hu")</f>
        <v>sakura.hu</v>
      </c>
      <c r="C34664" t="s">
        <v>453</v>
      </c>
      <c r="D34664" t="s">
        <v>830</v>
      </c>
      <c r="F34664">
        <v>1.11993058762108E-8</v>
      </c>
      <c r="G34664">
        <v>5713626</v>
      </c>
      <c r="H34664">
        <v>11281728</v>
      </c>
      <c r="I34664">
        <v>30699898</v>
      </c>
      <c r="J34664">
        <v>3</v>
      </c>
    </row>
    <row r="34665" spans="1:10" x14ac:dyDescent="0.25">
      <c r="A34665" t="s">
        <v>381</v>
      </c>
      <c r="B34665" s="1" t="str">
        <f>HYPERLINK("http://toyota.hu","toyota.hu")</f>
        <v>toyota.hu</v>
      </c>
      <c r="C34665" t="s">
        <v>453</v>
      </c>
      <c r="D34665" t="s">
        <v>830</v>
      </c>
      <c r="F34665">
        <v>9.9765005045190795E-8</v>
      </c>
      <c r="G34665">
        <v>403483</v>
      </c>
      <c r="H34665">
        <v>14444153</v>
      </c>
      <c r="I34665">
        <v>1058847</v>
      </c>
      <c r="J34665">
        <v>3</v>
      </c>
    </row>
    <row r="34666" spans="1:10" x14ac:dyDescent="0.25">
      <c r="A34666" t="s">
        <v>381</v>
      </c>
      <c r="B34666" s="1" t="str">
        <f>HYPERLINK("http://toyota-forklifts.hu","toyota-forklifts.hu")</f>
        <v>toyota-forklifts.hu</v>
      </c>
      <c r="C34666" t="s">
        <v>453</v>
      </c>
      <c r="D34666" t="s">
        <v>830</v>
      </c>
      <c r="F34666">
        <v>1.48401988094801E-8</v>
      </c>
      <c r="G34666">
        <v>3892877</v>
      </c>
      <c r="H34666">
        <v>12755050</v>
      </c>
      <c r="I34666">
        <v>14988377</v>
      </c>
      <c r="J34666">
        <v>4</v>
      </c>
    </row>
    <row r="34667" spans="1:10" x14ac:dyDescent="0.25">
      <c r="A34667" t="s">
        <v>381</v>
      </c>
      <c r="B34667" s="1" t="str">
        <f>HYPERLINK("http://toyotadelpest.hu","toyotadelpest.hu")</f>
        <v>toyotadelpest.hu</v>
      </c>
      <c r="C34667" t="s">
        <v>453</v>
      </c>
      <c r="D34667" t="s">
        <v>830</v>
      </c>
      <c r="F34667">
        <v>5.2372271194386299E-9</v>
      </c>
      <c r="G34667">
        <v>24458551</v>
      </c>
      <c r="H34667">
        <v>10742365</v>
      </c>
      <c r="I34667">
        <v>40334121</v>
      </c>
      <c r="J34667">
        <v>3</v>
      </c>
    </row>
    <row r="34668" spans="1:10" x14ac:dyDescent="0.25">
      <c r="A34668" t="s">
        <v>381</v>
      </c>
      <c r="B34668" s="1" t="str">
        <f>HYPERLINK("http://toyotakovacs.hu","toyotakovacs.hu")</f>
        <v>toyotakovacs.hu</v>
      </c>
      <c r="C34668" t="s">
        <v>453</v>
      </c>
      <c r="D34668" t="s">
        <v>830</v>
      </c>
      <c r="F34668">
        <v>7.9415119790092605E-9</v>
      </c>
      <c r="G34668">
        <v>10030122</v>
      </c>
      <c r="H34668">
        <v>12247843</v>
      </c>
      <c r="I34668">
        <v>22056073</v>
      </c>
      <c r="J34668">
        <v>3</v>
      </c>
    </row>
    <row r="34669" spans="1:10" x14ac:dyDescent="0.25">
      <c r="A34669" t="s">
        <v>381</v>
      </c>
      <c r="B34669" s="1" t="str">
        <f>HYPERLINK("http://toyotam5.hu","toyotam5.hu")</f>
        <v>toyotam5.hu</v>
      </c>
      <c r="C34669" t="s">
        <v>453</v>
      </c>
      <c r="D34669" t="s">
        <v>830</v>
      </c>
      <c r="F34669">
        <v>4.8067874721371396E-9</v>
      </c>
      <c r="G34669">
        <v>35822206</v>
      </c>
      <c r="H34669">
        <v>10513165</v>
      </c>
      <c r="I34669">
        <v>49360151</v>
      </c>
      <c r="J34669">
        <v>3</v>
      </c>
    </row>
    <row r="34670" spans="1:10" x14ac:dyDescent="0.25">
      <c r="A34670" t="s">
        <v>381</v>
      </c>
      <c r="B34670" s="1" t="str">
        <f>HYPERLINK("http://daihatsu.co.id","daihatsu.co.id")</f>
        <v>daihatsu.co.id</v>
      </c>
      <c r="C34670" t="s">
        <v>454</v>
      </c>
      <c r="D34670" t="s">
        <v>831</v>
      </c>
      <c r="E34670">
        <v>459930</v>
      </c>
      <c r="F34670">
        <v>8.1815343408230595E-8</v>
      </c>
      <c r="G34670">
        <v>510093</v>
      </c>
      <c r="H34670">
        <v>14496513</v>
      </c>
      <c r="I34670">
        <v>870466</v>
      </c>
      <c r="J34670">
        <v>4</v>
      </c>
    </row>
    <row r="34671" spans="1:10" x14ac:dyDescent="0.25">
      <c r="A34671" t="s">
        <v>381</v>
      </c>
      <c r="B34671" s="1" t="str">
        <f>HYPERLINK("http://cogans.ie","cogans.ie")</f>
        <v>cogans.ie</v>
      </c>
      <c r="C34671" t="s">
        <v>455</v>
      </c>
      <c r="D34671" t="s">
        <v>832</v>
      </c>
      <c r="F34671">
        <v>1.1399059280724901E-8</v>
      </c>
      <c r="G34671">
        <v>5574979</v>
      </c>
      <c r="H34671">
        <v>13872999</v>
      </c>
      <c r="I34671">
        <v>5994914</v>
      </c>
      <c r="J34671">
        <v>3</v>
      </c>
    </row>
    <row r="34672" spans="1:10" x14ac:dyDescent="0.25">
      <c r="A34672" t="s">
        <v>381</v>
      </c>
      <c r="B34672" s="1" t="str">
        <f>HYPERLINK("http://hughbogganmotors.ie","hughbogganmotors.ie")</f>
        <v>hughbogganmotors.ie</v>
      </c>
      <c r="C34672" t="s">
        <v>455</v>
      </c>
      <c r="D34672" t="s">
        <v>832</v>
      </c>
      <c r="F34672">
        <v>5.7478122131942001E-9</v>
      </c>
      <c r="G34672">
        <v>18514826</v>
      </c>
      <c r="H34672">
        <v>12092107</v>
      </c>
      <c r="I34672">
        <v>26188479</v>
      </c>
      <c r="J34672">
        <v>3</v>
      </c>
    </row>
    <row r="34673" spans="1:10" x14ac:dyDescent="0.25">
      <c r="A34673" t="s">
        <v>381</v>
      </c>
      <c r="B34673" s="1" t="str">
        <f>HYPERLINK("http://kinto-mobility.ie","kinto-mobility.ie")</f>
        <v>kinto-mobility.ie</v>
      </c>
      <c r="C34673" t="s">
        <v>455</v>
      </c>
      <c r="D34673" t="s">
        <v>832</v>
      </c>
      <c r="F34673">
        <v>5.3763213386151496E-9</v>
      </c>
      <c r="G34673">
        <v>22464027</v>
      </c>
      <c r="H34673">
        <v>10488305</v>
      </c>
      <c r="I34673">
        <v>50683702</v>
      </c>
      <c r="J34673">
        <v>4</v>
      </c>
    </row>
    <row r="34674" spans="1:10" x14ac:dyDescent="0.25">
      <c r="A34674" t="s">
        <v>381</v>
      </c>
      <c r="B34674" s="1" t="str">
        <f>HYPERLINK("http://lexus.ie","lexus.ie")</f>
        <v>lexus.ie</v>
      </c>
      <c r="C34674" t="s">
        <v>455</v>
      </c>
      <c r="D34674" t="s">
        <v>832</v>
      </c>
      <c r="F34674">
        <v>4.6930943635320599E-8</v>
      </c>
      <c r="G34674">
        <v>994786</v>
      </c>
      <c r="H34674">
        <v>13769160</v>
      </c>
      <c r="I34674">
        <v>6807804</v>
      </c>
      <c r="J34674">
        <v>4</v>
      </c>
    </row>
    <row r="34675" spans="1:10" x14ac:dyDescent="0.25">
      <c r="A34675" t="s">
        <v>381</v>
      </c>
      <c r="B34675" s="1" t="str">
        <f>HYPERLINK("http://malones.ie","malones.ie")</f>
        <v>malones.ie</v>
      </c>
      <c r="C34675" t="s">
        <v>455</v>
      </c>
      <c r="D34675" t="s">
        <v>832</v>
      </c>
      <c r="F34675">
        <v>6.6725290908284199E-9</v>
      </c>
      <c r="G34675">
        <v>13402818</v>
      </c>
      <c r="H34675">
        <v>10826549</v>
      </c>
      <c r="I34675">
        <v>37471889</v>
      </c>
      <c r="J34675">
        <v>3</v>
      </c>
    </row>
    <row r="34676" spans="1:10" x14ac:dyDescent="0.25">
      <c r="A34676" t="s">
        <v>381</v>
      </c>
      <c r="B34676" s="1" t="str">
        <f>HYPERLINK("http://marronsgarage.ie","marronsgarage.ie")</f>
        <v>marronsgarage.ie</v>
      </c>
      <c r="C34676" t="s">
        <v>455</v>
      </c>
      <c r="D34676" t="s">
        <v>832</v>
      </c>
      <c r="F34676">
        <v>6.4435992182054497E-9</v>
      </c>
      <c r="G34676">
        <v>14322441</v>
      </c>
      <c r="H34676">
        <v>11186848</v>
      </c>
      <c r="I34676">
        <v>31380072</v>
      </c>
      <c r="J34676">
        <v>3</v>
      </c>
    </row>
    <row r="34677" spans="1:10" x14ac:dyDescent="0.25">
      <c r="A34677" t="s">
        <v>381</v>
      </c>
      <c r="B34677" s="1" t="str">
        <f>HYPERLINK("http://mcnallymotors.ie","mcnallymotors.ie")</f>
        <v>mcnallymotors.ie</v>
      </c>
      <c r="C34677" t="s">
        <v>455</v>
      </c>
      <c r="D34677" t="s">
        <v>832</v>
      </c>
      <c r="F34677">
        <v>5.3285475749332997E-9</v>
      </c>
      <c r="G34677">
        <v>23086205</v>
      </c>
      <c r="H34677">
        <v>10896770</v>
      </c>
      <c r="I34677">
        <v>35912574</v>
      </c>
      <c r="J34677">
        <v>3</v>
      </c>
    </row>
    <row r="34678" spans="1:10" x14ac:dyDescent="0.25">
      <c r="A34678" t="s">
        <v>381</v>
      </c>
      <c r="B34678" s="1" t="str">
        <f>HYPERLINK("http://tgl.ie","tgl.ie")</f>
        <v>tgl.ie</v>
      </c>
      <c r="C34678" t="s">
        <v>455</v>
      </c>
      <c r="D34678" t="s">
        <v>832</v>
      </c>
      <c r="F34678">
        <v>6.8947772475846004E-9</v>
      </c>
      <c r="G34678">
        <v>12650922</v>
      </c>
      <c r="H34678">
        <v>13464517</v>
      </c>
      <c r="I34678">
        <v>10100012</v>
      </c>
      <c r="J34678">
        <v>3</v>
      </c>
    </row>
    <row r="34679" spans="1:10" x14ac:dyDescent="0.25">
      <c r="A34679" t="s">
        <v>381</v>
      </c>
      <c r="B34679" s="1" t="str">
        <f>HYPERLINK("http://tonyburkemotors.ie","tonyburkemotors.ie")</f>
        <v>tonyburkemotors.ie</v>
      </c>
      <c r="C34679" t="s">
        <v>455</v>
      </c>
      <c r="D34679" t="s">
        <v>832</v>
      </c>
      <c r="F34679">
        <v>1.01253885537751E-8</v>
      </c>
      <c r="G34679">
        <v>6621470</v>
      </c>
      <c r="H34679">
        <v>12352792</v>
      </c>
      <c r="I34679">
        <v>19721474</v>
      </c>
      <c r="J34679">
        <v>3</v>
      </c>
    </row>
    <row r="34680" spans="1:10" x14ac:dyDescent="0.25">
      <c r="A34680" t="s">
        <v>381</v>
      </c>
      <c r="B34680" s="1" t="str">
        <f>HYPERLINK("http://toyota.ie","toyota.ie")</f>
        <v>toyota.ie</v>
      </c>
      <c r="C34680" t="s">
        <v>455</v>
      </c>
      <c r="D34680" t="s">
        <v>832</v>
      </c>
      <c r="E34680">
        <v>553993</v>
      </c>
      <c r="F34680">
        <v>1.15935363260663E-7</v>
      </c>
      <c r="G34680">
        <v>343056</v>
      </c>
      <c r="H34680">
        <v>14689580</v>
      </c>
      <c r="I34680">
        <v>602826</v>
      </c>
      <c r="J34680">
        <v>4</v>
      </c>
    </row>
    <row r="34681" spans="1:10" x14ac:dyDescent="0.25">
      <c r="A34681" t="s">
        <v>381</v>
      </c>
      <c r="B34681" s="1" t="str">
        <f>HYPERLINK("http://toyota-forklifts.ie","toyota-forklifts.ie")</f>
        <v>toyota-forklifts.ie</v>
      </c>
      <c r="C34681" t="s">
        <v>455</v>
      </c>
      <c r="D34681" t="s">
        <v>832</v>
      </c>
      <c r="F34681">
        <v>1.46451586647381E-8</v>
      </c>
      <c r="G34681">
        <v>3960153</v>
      </c>
      <c r="H34681">
        <v>12679683</v>
      </c>
      <c r="I34681">
        <v>15504791</v>
      </c>
      <c r="J34681">
        <v>4</v>
      </c>
    </row>
    <row r="34682" spans="1:10" x14ac:dyDescent="0.25">
      <c r="A34682" t="s">
        <v>381</v>
      </c>
      <c r="B34682" s="1" t="str">
        <f>HYPERLINK("http://toyotakilbarrack.ie","toyotakilbarrack.ie")</f>
        <v>toyotakilbarrack.ie</v>
      </c>
      <c r="C34682" t="s">
        <v>455</v>
      </c>
      <c r="D34682" t="s">
        <v>832</v>
      </c>
      <c r="F34682">
        <v>5.3972402251566799E-9</v>
      </c>
      <c r="G34682">
        <v>22149496</v>
      </c>
      <c r="H34682">
        <v>10831122</v>
      </c>
      <c r="I34682">
        <v>37368219</v>
      </c>
      <c r="J34682">
        <v>3</v>
      </c>
    </row>
    <row r="34683" spans="1:10" x14ac:dyDescent="0.25">
      <c r="A34683" t="s">
        <v>381</v>
      </c>
      <c r="B34683" s="1" t="str">
        <f>HYPERLINK("http://toyotaliffeyvalley.ie","toyotaliffeyvalley.ie")</f>
        <v>toyotaliffeyvalley.ie</v>
      </c>
      <c r="C34683" t="s">
        <v>455</v>
      </c>
      <c r="D34683" t="s">
        <v>832</v>
      </c>
      <c r="F34683">
        <v>5.5776385715295701E-9</v>
      </c>
      <c r="G34683">
        <v>20078669</v>
      </c>
      <c r="H34683">
        <v>10837180</v>
      </c>
      <c r="I34683">
        <v>37234061</v>
      </c>
      <c r="J34683">
        <v>3</v>
      </c>
    </row>
    <row r="34684" spans="1:10" x14ac:dyDescent="0.25">
      <c r="A34684" t="s">
        <v>381</v>
      </c>
      <c r="B34684" s="1" t="str">
        <f>HYPERLINK("http://toyotalongmile.ie","toyotalongmile.ie")</f>
        <v>toyotalongmile.ie</v>
      </c>
      <c r="C34684" t="s">
        <v>455</v>
      </c>
      <c r="D34684" t="s">
        <v>832</v>
      </c>
      <c r="F34684">
        <v>6.93036886121476E-9</v>
      </c>
      <c r="G34684">
        <v>12524514</v>
      </c>
      <c r="H34684">
        <v>12455737</v>
      </c>
      <c r="I34684">
        <v>17925708</v>
      </c>
      <c r="J34684">
        <v>3</v>
      </c>
    </row>
    <row r="34685" spans="1:10" x14ac:dyDescent="0.25">
      <c r="A34685" t="s">
        <v>381</v>
      </c>
      <c r="B34685" s="1" t="str">
        <f>HYPERLINK("http://toyotasandyford.ie","toyotasandyford.ie")</f>
        <v>toyotasandyford.ie</v>
      </c>
      <c r="C34685" t="s">
        <v>455</v>
      </c>
      <c r="D34685" t="s">
        <v>832</v>
      </c>
      <c r="F34685">
        <v>5.3011069830540603E-9</v>
      </c>
      <c r="G34685">
        <v>23480243</v>
      </c>
      <c r="H34685">
        <v>10990446</v>
      </c>
      <c r="I34685">
        <v>33739057</v>
      </c>
      <c r="J34685">
        <v>3</v>
      </c>
    </row>
    <row r="34686" spans="1:10" x14ac:dyDescent="0.25">
      <c r="A34686" t="s">
        <v>381</v>
      </c>
      <c r="B34686" s="1" t="str">
        <f>HYPERLINK("http://yuko.ie","yuko.ie")</f>
        <v>yuko.ie</v>
      </c>
      <c r="C34686" t="s">
        <v>455</v>
      </c>
      <c r="D34686" t="s">
        <v>832</v>
      </c>
      <c r="F34686">
        <v>1.9855949211413199E-8</v>
      </c>
      <c r="G34686">
        <v>2682954</v>
      </c>
      <c r="H34686">
        <v>14388409</v>
      </c>
      <c r="I34686">
        <v>1173099</v>
      </c>
      <c r="J34686">
        <v>6</v>
      </c>
    </row>
    <row r="34687" spans="1:10" x14ac:dyDescent="0.25">
      <c r="A34687" t="s">
        <v>381</v>
      </c>
      <c r="B34687" s="1" t="str">
        <f>HYPERLINK("http://lexus.co.il","lexus.co.il")</f>
        <v>lexus.co.il</v>
      </c>
      <c r="C34687" t="s">
        <v>456</v>
      </c>
      <c r="D34687" t="s">
        <v>833</v>
      </c>
      <c r="F34687">
        <v>1.5059037737068001E-8</v>
      </c>
      <c r="G34687">
        <v>3820576</v>
      </c>
      <c r="H34687">
        <v>14072410</v>
      </c>
      <c r="I34687">
        <v>3097188</v>
      </c>
      <c r="J34687">
        <v>4</v>
      </c>
    </row>
    <row r="34688" spans="1:10" x14ac:dyDescent="0.25">
      <c r="A34688" t="s">
        <v>381</v>
      </c>
      <c r="B34688" s="1" t="str">
        <f>HYPERLINK("http://toyota.co.il","toyota.co.il")</f>
        <v>toyota.co.il</v>
      </c>
      <c r="C34688" t="s">
        <v>456</v>
      </c>
      <c r="D34688" t="s">
        <v>833</v>
      </c>
      <c r="F34688">
        <v>7.7361880300902899E-8</v>
      </c>
      <c r="G34688">
        <v>541225</v>
      </c>
      <c r="H34688">
        <v>14576503</v>
      </c>
      <c r="I34688">
        <v>721019</v>
      </c>
      <c r="J34688">
        <v>4</v>
      </c>
    </row>
    <row r="34689" spans="1:10" x14ac:dyDescent="0.25">
      <c r="A34689" t="s">
        <v>381</v>
      </c>
      <c r="B34689" s="1" t="str">
        <f>HYPERLINK("http://toyota-adm.co.il","toyota-adm.co.il")</f>
        <v>toyota-adm.co.il</v>
      </c>
      <c r="C34689" t="s">
        <v>456</v>
      </c>
      <c r="D34689" t="s">
        <v>833</v>
      </c>
      <c r="J34689">
        <v>3</v>
      </c>
    </row>
    <row r="34690" spans="1:10" x14ac:dyDescent="0.25">
      <c r="A34690" t="s">
        <v>381</v>
      </c>
      <c r="B34690" s="1" t="str">
        <f>HYPERLINK("http://jacksons.im","jacksons.im")</f>
        <v>jacksons.im</v>
      </c>
      <c r="C34690" t="s">
        <v>570</v>
      </c>
      <c r="D34690" t="s">
        <v>917</v>
      </c>
      <c r="F34690">
        <v>5.7893897717594103E-9</v>
      </c>
      <c r="G34690">
        <v>18169415</v>
      </c>
      <c r="H34690">
        <v>10886263</v>
      </c>
      <c r="I34690">
        <v>36203311</v>
      </c>
      <c r="J34690">
        <v>3</v>
      </c>
    </row>
    <row r="34691" spans="1:10" x14ac:dyDescent="0.25">
      <c r="A34691" t="s">
        <v>381</v>
      </c>
      <c r="B34691" s="1" t="str">
        <f>HYPERLINK("http://toyotafinance.co.in","toyotafinance.co.in")</f>
        <v>toyotafinance.co.in</v>
      </c>
      <c r="C34691" t="s">
        <v>457</v>
      </c>
      <c r="D34691" t="s">
        <v>834</v>
      </c>
      <c r="F34691">
        <v>1.3043954758863501E-8</v>
      </c>
      <c r="G34691">
        <v>4610253</v>
      </c>
      <c r="H34691">
        <v>12489240</v>
      </c>
      <c r="I34691">
        <v>17498840</v>
      </c>
      <c r="J34691">
        <v>6</v>
      </c>
    </row>
    <row r="34692" spans="1:10" x14ac:dyDescent="0.25">
      <c r="A34692" t="s">
        <v>381</v>
      </c>
      <c r="B34692" s="1" t="str">
        <f>HYPERLINK("http://ttipl.co.in","ttipl.co.in")</f>
        <v>ttipl.co.in</v>
      </c>
      <c r="C34692" t="s">
        <v>457</v>
      </c>
      <c r="D34692" t="s">
        <v>834</v>
      </c>
      <c r="F34692">
        <v>4.93523072793412E-9</v>
      </c>
      <c r="G34692">
        <v>31229693</v>
      </c>
      <c r="H34692">
        <v>10192554</v>
      </c>
      <c r="I34692">
        <v>59089330</v>
      </c>
      <c r="J34692">
        <v>8</v>
      </c>
    </row>
    <row r="34693" spans="1:10" x14ac:dyDescent="0.25">
      <c r="A34693" t="s">
        <v>381</v>
      </c>
      <c r="B34693" s="1" t="str">
        <f>HYPERLINK("http://kintojoin.io","kintojoin.io")</f>
        <v>kintojoin.io</v>
      </c>
      <c r="C34693" t="s">
        <v>518</v>
      </c>
      <c r="F34693">
        <v>4.5404053006836E-9</v>
      </c>
      <c r="G34693">
        <v>53294106</v>
      </c>
      <c r="H34693">
        <v>8288318.5</v>
      </c>
      <c r="I34693">
        <v>74687868</v>
      </c>
      <c r="J34693">
        <v>6</v>
      </c>
    </row>
    <row r="34694" spans="1:10" x14ac:dyDescent="0.25">
      <c r="A34694" t="s">
        <v>381</v>
      </c>
      <c r="B34694" s="1" t="str">
        <f>HYPERLINK("http://toyotatmh.io","toyotatmh.io")</f>
        <v>toyotatmh.io</v>
      </c>
      <c r="C34694" t="s">
        <v>518</v>
      </c>
      <c r="J34694">
        <v>16</v>
      </c>
    </row>
    <row r="34695" spans="1:10" x14ac:dyDescent="0.25">
      <c r="A34695" t="s">
        <v>381</v>
      </c>
      <c r="B34695" s="1" t="str">
        <f>HYPERLINK("http://bilageirinn.is","bilageirinn.is")</f>
        <v>bilageirinn.is</v>
      </c>
      <c r="C34695" t="s">
        <v>594</v>
      </c>
      <c r="D34695" t="s">
        <v>929</v>
      </c>
      <c r="F34695">
        <v>5.44785316648259E-9</v>
      </c>
      <c r="G34695">
        <v>21523624</v>
      </c>
      <c r="H34695">
        <v>10610460</v>
      </c>
      <c r="I34695">
        <v>44562033</v>
      </c>
      <c r="J34695">
        <v>3</v>
      </c>
    </row>
    <row r="34696" spans="1:10" x14ac:dyDescent="0.25">
      <c r="A34696" t="s">
        <v>381</v>
      </c>
      <c r="B34696" s="1" t="str">
        <f>HYPERLINK("http://bilaleigahusavikur.is","bilaleigahusavikur.is")</f>
        <v>bilaleigahusavikur.is</v>
      </c>
      <c r="C34696" t="s">
        <v>594</v>
      </c>
      <c r="D34696" t="s">
        <v>929</v>
      </c>
      <c r="F34696">
        <v>6.1268484649523903E-9</v>
      </c>
      <c r="G34696">
        <v>15942337</v>
      </c>
      <c r="H34696">
        <v>11092225</v>
      </c>
      <c r="I34696">
        <v>32360122</v>
      </c>
      <c r="J34696">
        <v>3</v>
      </c>
    </row>
    <row r="34697" spans="1:10" x14ac:dyDescent="0.25">
      <c r="A34697" t="s">
        <v>381</v>
      </c>
      <c r="B34697" s="1" t="str">
        <f>HYPERLINK("http://bva.is","bva.is")</f>
        <v>bva.is</v>
      </c>
      <c r="C34697" t="s">
        <v>594</v>
      </c>
      <c r="D34697" t="s">
        <v>929</v>
      </c>
      <c r="F34697">
        <v>5.8501271101391203E-9</v>
      </c>
      <c r="G34697">
        <v>17709024</v>
      </c>
      <c r="H34697">
        <v>11074789</v>
      </c>
      <c r="I34697">
        <v>32528901</v>
      </c>
      <c r="J34697">
        <v>3</v>
      </c>
    </row>
    <row r="34698" spans="1:10" x14ac:dyDescent="0.25">
      <c r="A34698" t="s">
        <v>381</v>
      </c>
      <c r="B34698" s="1" t="str">
        <f>HYPERLINK("http://ks.is","ks.is")</f>
        <v>ks.is</v>
      </c>
      <c r="C34698" t="s">
        <v>594</v>
      </c>
      <c r="D34698" t="s">
        <v>929</v>
      </c>
      <c r="F34698">
        <v>2.1067187039375802E-8</v>
      </c>
      <c r="G34698">
        <v>2507041</v>
      </c>
      <c r="H34698">
        <v>14073295</v>
      </c>
      <c r="I34698">
        <v>3003932</v>
      </c>
      <c r="J34698">
        <v>3</v>
      </c>
    </row>
    <row r="34699" spans="1:10" x14ac:dyDescent="0.25">
      <c r="A34699" t="s">
        <v>381</v>
      </c>
      <c r="B34699" s="1" t="str">
        <f>HYPERLINK("http://lexus.is","lexus.is")</f>
        <v>lexus.is</v>
      </c>
      <c r="C34699" t="s">
        <v>594</v>
      </c>
      <c r="D34699" t="s">
        <v>929</v>
      </c>
      <c r="F34699">
        <v>3.5950964303684503E-8</v>
      </c>
      <c r="G34699">
        <v>1449232</v>
      </c>
      <c r="H34699">
        <v>12168526</v>
      </c>
      <c r="I34699">
        <v>24109008</v>
      </c>
      <c r="J34699">
        <v>4</v>
      </c>
    </row>
    <row r="34700" spans="1:10" x14ac:dyDescent="0.25">
      <c r="A34700" t="s">
        <v>381</v>
      </c>
      <c r="B34700" s="1" t="str">
        <f>HYPERLINK("http://toyota.is","toyota.is")</f>
        <v>toyota.is</v>
      </c>
      <c r="C34700" t="s">
        <v>594</v>
      </c>
      <c r="D34700" t="s">
        <v>929</v>
      </c>
      <c r="F34700">
        <v>7.2083257427980195E-8</v>
      </c>
      <c r="G34700">
        <v>585755</v>
      </c>
      <c r="H34700">
        <v>13769208</v>
      </c>
      <c r="I34700">
        <v>6804808</v>
      </c>
      <c r="J34700">
        <v>4</v>
      </c>
    </row>
    <row r="34701" spans="1:10" x14ac:dyDescent="0.25">
      <c r="A34701" t="s">
        <v>381</v>
      </c>
      <c r="B34701" s="1" t="str">
        <f>HYPERLINK("http://toyota-forklifts.is","toyota-forklifts.is")</f>
        <v>toyota-forklifts.is</v>
      </c>
      <c r="C34701" t="s">
        <v>594</v>
      </c>
      <c r="D34701" t="s">
        <v>929</v>
      </c>
      <c r="F34701">
        <v>1.3935526106730799E-8</v>
      </c>
      <c r="G34701">
        <v>4227425</v>
      </c>
      <c r="H34701">
        <v>12681103</v>
      </c>
      <c r="I34701">
        <v>15491231</v>
      </c>
      <c r="J34701">
        <v>4</v>
      </c>
    </row>
    <row r="34702" spans="1:10" x14ac:dyDescent="0.25">
      <c r="A34702" t="s">
        <v>381</v>
      </c>
      <c r="B34702" s="1" t="str">
        <f>HYPERLINK("http://activa-toyota.it","activa-toyota.it")</f>
        <v>activa-toyota.it</v>
      </c>
      <c r="C34702" t="s">
        <v>459</v>
      </c>
      <c r="D34702" t="s">
        <v>835</v>
      </c>
      <c r="F34702">
        <v>5.1122362151849298E-9</v>
      </c>
      <c r="G34702">
        <v>26808764</v>
      </c>
      <c r="H34702">
        <v>11084875</v>
      </c>
      <c r="I34702">
        <v>32438784</v>
      </c>
      <c r="J34702">
        <v>3</v>
      </c>
    </row>
    <row r="34703" spans="1:10" x14ac:dyDescent="0.25">
      <c r="A34703" t="s">
        <v>381</v>
      </c>
      <c r="B34703" s="1" t="str">
        <f>HYPERLINK("http://autoindustriale-toyota.it","autoindustriale-toyota.it")</f>
        <v>autoindustriale-toyota.it</v>
      </c>
      <c r="C34703" t="s">
        <v>459</v>
      </c>
      <c r="D34703" t="s">
        <v>835</v>
      </c>
      <c r="F34703">
        <v>5.3252767648306703E-9</v>
      </c>
      <c r="G34703">
        <v>23132181</v>
      </c>
      <c r="H34703">
        <v>11084877</v>
      </c>
      <c r="I34703">
        <v>32438767</v>
      </c>
      <c r="J34703">
        <v>3</v>
      </c>
    </row>
    <row r="34704" spans="1:10" x14ac:dyDescent="0.25">
      <c r="A34704" t="s">
        <v>381</v>
      </c>
      <c r="B34704" s="1" t="str">
        <f>HYPERLINK("http://benettimotorssrl.it","benettimotorssrl.it")</f>
        <v>benettimotorssrl.it</v>
      </c>
      <c r="C34704" t="s">
        <v>459</v>
      </c>
      <c r="D34704" t="s">
        <v>835</v>
      </c>
      <c r="J34704">
        <v>3</v>
      </c>
    </row>
    <row r="34705" spans="1:10" x14ac:dyDescent="0.25">
      <c r="A34705" t="s">
        <v>381</v>
      </c>
      <c r="B34705" s="1" t="str">
        <f>HYPERLINK("http://bianchessiauto-toyota.it","bianchessiauto-toyota.it")</f>
        <v>bianchessiauto-toyota.it</v>
      </c>
      <c r="C34705" t="s">
        <v>459</v>
      </c>
      <c r="D34705" t="s">
        <v>835</v>
      </c>
      <c r="F34705">
        <v>6.1096316911945803E-9</v>
      </c>
      <c r="G34705">
        <v>16039198</v>
      </c>
      <c r="H34705">
        <v>11084878</v>
      </c>
      <c r="I34705">
        <v>32438762</v>
      </c>
      <c r="J34705">
        <v>3</v>
      </c>
    </row>
    <row r="34706" spans="1:10" x14ac:dyDescent="0.25">
      <c r="A34706" t="s">
        <v>381</v>
      </c>
      <c r="B34706" s="1" t="str">
        <f>HYPERLINK("http://clementiauto.it","clementiauto.it")</f>
        <v>clementiauto.it</v>
      </c>
      <c r="C34706" t="s">
        <v>459</v>
      </c>
      <c r="D34706" t="s">
        <v>835</v>
      </c>
      <c r="J34706">
        <v>3</v>
      </c>
    </row>
    <row r="34707" spans="1:10" x14ac:dyDescent="0.25">
      <c r="A34707" t="s">
        <v>381</v>
      </c>
      <c r="B34707" s="1" t="str">
        <f>HYPERLINK("http://ferriauto-toyota.it","ferriauto-toyota.it")</f>
        <v>ferriauto-toyota.it</v>
      </c>
      <c r="C34707" t="s">
        <v>459</v>
      </c>
      <c r="D34707" t="s">
        <v>835</v>
      </c>
      <c r="F34707">
        <v>5.7970010180104302E-9</v>
      </c>
      <c r="G34707">
        <v>18109209</v>
      </c>
      <c r="H34707">
        <v>12191870</v>
      </c>
      <c r="I34707">
        <v>23538850</v>
      </c>
      <c r="J34707">
        <v>3</v>
      </c>
    </row>
    <row r="34708" spans="1:10" x14ac:dyDescent="0.25">
      <c r="A34708" t="s">
        <v>381</v>
      </c>
      <c r="B34708" s="1" t="str">
        <f>HYPERLINK("http://fujiauto.it","fujiauto.it")</f>
        <v>fujiauto.it</v>
      </c>
      <c r="C34708" t="s">
        <v>459</v>
      </c>
      <c r="D34708" t="s">
        <v>835</v>
      </c>
      <c r="F34708">
        <v>4.6867064442321299E-9</v>
      </c>
      <c r="G34708">
        <v>41961269</v>
      </c>
      <c r="H34708">
        <v>10430733</v>
      </c>
      <c r="I34708">
        <v>53349846</v>
      </c>
      <c r="J34708">
        <v>3</v>
      </c>
    </row>
    <row r="34709" spans="1:10" x14ac:dyDescent="0.25">
      <c r="A34709" t="s">
        <v>381</v>
      </c>
      <c r="B34709" s="1" t="str">
        <f>HYPERLINK("http://kinto-mobility.it","kinto-mobility.it")</f>
        <v>kinto-mobility.it</v>
      </c>
      <c r="C34709" t="s">
        <v>459</v>
      </c>
      <c r="D34709" t="s">
        <v>835</v>
      </c>
      <c r="F34709">
        <v>5.3352052660243697E-8</v>
      </c>
      <c r="G34709">
        <v>853119</v>
      </c>
      <c r="H34709">
        <v>16751218</v>
      </c>
      <c r="I34709">
        <v>268248</v>
      </c>
      <c r="J34709">
        <v>4</v>
      </c>
    </row>
    <row r="34710" spans="1:10" x14ac:dyDescent="0.25">
      <c r="A34710" t="s">
        <v>381</v>
      </c>
      <c r="B34710" s="1" t="str">
        <f>HYPERLINK("http://lexus.it","lexus.it")</f>
        <v>lexus.it</v>
      </c>
      <c r="C34710" t="s">
        <v>459</v>
      </c>
      <c r="D34710" t="s">
        <v>835</v>
      </c>
      <c r="E34710">
        <v>812005</v>
      </c>
      <c r="F34710">
        <v>6.6028735092818698E-8</v>
      </c>
      <c r="G34710">
        <v>649986</v>
      </c>
      <c r="H34710">
        <v>14186065</v>
      </c>
      <c r="I34710">
        <v>1768997</v>
      </c>
      <c r="J34710">
        <v>4</v>
      </c>
    </row>
    <row r="34711" spans="1:10" x14ac:dyDescent="0.25">
      <c r="A34711" t="s">
        <v>381</v>
      </c>
      <c r="B34711" s="1" t="str">
        <f>HYPERLINK("http://lexus-brescia.it","lexus-brescia.it")</f>
        <v>lexus-brescia.it</v>
      </c>
      <c r="C34711" t="s">
        <v>459</v>
      </c>
      <c r="D34711" t="s">
        <v>835</v>
      </c>
      <c r="J34711">
        <v>7</v>
      </c>
    </row>
    <row r="34712" spans="1:10" x14ac:dyDescent="0.25">
      <c r="A34712" t="s">
        <v>381</v>
      </c>
      <c r="B34712" s="1" t="str">
        <f>HYPERLINK("http://mgmotors-toyota.it","mgmotors-toyota.it")</f>
        <v>mgmotors-toyota.it</v>
      </c>
      <c r="C34712" t="s">
        <v>459</v>
      </c>
      <c r="D34712" t="s">
        <v>835</v>
      </c>
      <c r="F34712">
        <v>5.1477299095691603E-9</v>
      </c>
      <c r="G34712">
        <v>26125812</v>
      </c>
      <c r="H34712">
        <v>11089534</v>
      </c>
      <c r="I34712">
        <v>32387885</v>
      </c>
      <c r="J34712">
        <v>3</v>
      </c>
    </row>
    <row r="34713" spans="1:10" x14ac:dyDescent="0.25">
      <c r="A34713" t="s">
        <v>381</v>
      </c>
      <c r="B34713" s="1" t="str">
        <f>HYPERLINK("http://nordauto-toyota.it","nordauto-toyota.it")</f>
        <v>nordauto-toyota.it</v>
      </c>
      <c r="C34713" t="s">
        <v>459</v>
      </c>
      <c r="D34713" t="s">
        <v>835</v>
      </c>
      <c r="F34713">
        <v>5.1132006421938001E-9</v>
      </c>
      <c r="G34713">
        <v>26789760</v>
      </c>
      <c r="H34713">
        <v>11086827</v>
      </c>
      <c r="I34713">
        <v>32419220</v>
      </c>
      <c r="J34713">
        <v>3</v>
      </c>
    </row>
    <row r="34714" spans="1:10" x14ac:dyDescent="0.25">
      <c r="A34714" t="s">
        <v>381</v>
      </c>
      <c r="B34714" s="1" t="str">
        <f>HYPERLINK("http://nordautogroup.it","nordautogroup.it")</f>
        <v>nordautogroup.it</v>
      </c>
      <c r="C34714" t="s">
        <v>459</v>
      </c>
      <c r="D34714" t="s">
        <v>835</v>
      </c>
      <c r="F34714">
        <v>4.8192074474997101E-9</v>
      </c>
      <c r="G34714">
        <v>35299809</v>
      </c>
      <c r="H34714">
        <v>12053712</v>
      </c>
      <c r="I34714">
        <v>27144018</v>
      </c>
      <c r="J34714">
        <v>5</v>
      </c>
    </row>
    <row r="34715" spans="1:10" x14ac:dyDescent="0.25">
      <c r="A34715" t="s">
        <v>381</v>
      </c>
      <c r="B34715" s="1" t="str">
        <f>HYPERLINK("http://novauto-toyota.it","novauto-toyota.it")</f>
        <v>novauto-toyota.it</v>
      </c>
      <c r="C34715" t="s">
        <v>459</v>
      </c>
      <c r="D34715" t="s">
        <v>835</v>
      </c>
      <c r="F34715">
        <v>5.2764637525915396E-9</v>
      </c>
      <c r="G34715">
        <v>23841794</v>
      </c>
      <c r="H34715">
        <v>11084876</v>
      </c>
      <c r="I34715">
        <v>32438774</v>
      </c>
      <c r="J34715">
        <v>3</v>
      </c>
    </row>
    <row r="34716" spans="1:10" x14ac:dyDescent="0.25">
      <c r="A34716" t="s">
        <v>381</v>
      </c>
      <c r="B34716" s="1" t="str">
        <f>HYPERLINK("http://scotti-toyota.it","scotti-toyota.it")</f>
        <v>scotti-toyota.it</v>
      </c>
      <c r="C34716" t="s">
        <v>459</v>
      </c>
      <c r="D34716" t="s">
        <v>835</v>
      </c>
      <c r="F34716">
        <v>6.3228386986370699E-9</v>
      </c>
      <c r="G34716">
        <v>14924149</v>
      </c>
      <c r="H34716">
        <v>13106901</v>
      </c>
      <c r="I34716">
        <v>12055006</v>
      </c>
      <c r="J34716">
        <v>3</v>
      </c>
    </row>
    <row r="34717" spans="1:10" x14ac:dyDescent="0.25">
      <c r="A34717" t="s">
        <v>381</v>
      </c>
      <c r="B34717" s="1" t="str">
        <f>HYPERLINK("http://sefcar.it","sefcar.it")</f>
        <v>sefcar.it</v>
      </c>
      <c r="C34717" t="s">
        <v>459</v>
      </c>
      <c r="D34717" t="s">
        <v>835</v>
      </c>
      <c r="F34717">
        <v>4.4888791592742498E-9</v>
      </c>
      <c r="G34717">
        <v>60697159</v>
      </c>
      <c r="H34717">
        <v>10531401</v>
      </c>
      <c r="I34717">
        <v>48139470</v>
      </c>
      <c r="J34717">
        <v>3</v>
      </c>
    </row>
    <row r="34718" spans="1:10" x14ac:dyDescent="0.25">
      <c r="A34718" t="s">
        <v>381</v>
      </c>
      <c r="B34718" s="1" t="str">
        <f>HYPERLINK("http://sefcar-toyota.it","sefcar-toyota.it")</f>
        <v>sefcar-toyota.it</v>
      </c>
      <c r="C34718" t="s">
        <v>459</v>
      </c>
      <c r="D34718" t="s">
        <v>835</v>
      </c>
      <c r="F34718">
        <v>8.9967524981198002E-9</v>
      </c>
      <c r="G34718">
        <v>7996443</v>
      </c>
      <c r="H34718">
        <v>11086247</v>
      </c>
      <c r="I34718">
        <v>32425015</v>
      </c>
      <c r="J34718">
        <v>3</v>
      </c>
    </row>
    <row r="34719" spans="1:10" x14ac:dyDescent="0.25">
      <c r="A34719" t="s">
        <v>381</v>
      </c>
      <c r="B34719" s="1" t="str">
        <f>HYPERLINK("http://sirio-toyota.it","sirio-toyota.it")</f>
        <v>sirio-toyota.it</v>
      </c>
      <c r="C34719" t="s">
        <v>459</v>
      </c>
      <c r="D34719" t="s">
        <v>835</v>
      </c>
      <c r="F34719">
        <v>5.1122362151849298E-9</v>
      </c>
      <c r="G34719">
        <v>26808775</v>
      </c>
      <c r="H34719">
        <v>11084875</v>
      </c>
      <c r="I34719">
        <v>32438797</v>
      </c>
      <c r="J34719">
        <v>3</v>
      </c>
    </row>
    <row r="34720" spans="1:10" x14ac:dyDescent="0.25">
      <c r="A34720" t="s">
        <v>381</v>
      </c>
      <c r="B34720" s="1" t="str">
        <f>HYPERLINK("http://spotornocar-toyota.it","spotornocar-toyota.it")</f>
        <v>spotornocar-toyota.it</v>
      </c>
      <c r="C34720" t="s">
        <v>459</v>
      </c>
      <c r="D34720" t="s">
        <v>835</v>
      </c>
      <c r="F34720">
        <v>5.1122362151849298E-9</v>
      </c>
      <c r="G34720">
        <v>26808776</v>
      </c>
      <c r="H34720">
        <v>11084875</v>
      </c>
      <c r="I34720">
        <v>32438798</v>
      </c>
      <c r="J34720">
        <v>3</v>
      </c>
    </row>
    <row r="34721" spans="1:10" x14ac:dyDescent="0.25">
      <c r="A34721" t="s">
        <v>381</v>
      </c>
      <c r="B34721" s="1" t="str">
        <f>HYPERLINK("http://toyota.it","toyota.it")</f>
        <v>toyota.it</v>
      </c>
      <c r="C34721" t="s">
        <v>459</v>
      </c>
      <c r="D34721" t="s">
        <v>835</v>
      </c>
      <c r="E34721">
        <v>230531</v>
      </c>
      <c r="F34721">
        <v>2.028888185817E-7</v>
      </c>
      <c r="G34721">
        <v>187450</v>
      </c>
      <c r="H34721">
        <v>15201328</v>
      </c>
      <c r="I34721">
        <v>395547</v>
      </c>
      <c r="J34721">
        <v>3</v>
      </c>
    </row>
    <row r="34722" spans="1:10" x14ac:dyDescent="0.25">
      <c r="A34722" t="s">
        <v>381</v>
      </c>
      <c r="B34722" s="1" t="str">
        <f>HYPERLINK("http://toyota-forklifts.it","toyota-forklifts.it")</f>
        <v>toyota-forklifts.it</v>
      </c>
      <c r="C34722" t="s">
        <v>459</v>
      </c>
      <c r="D34722" t="s">
        <v>835</v>
      </c>
      <c r="F34722">
        <v>3.4023666502811602E-8</v>
      </c>
      <c r="G34722">
        <v>1522089</v>
      </c>
      <c r="H34722">
        <v>12853688</v>
      </c>
      <c r="I34722">
        <v>14241979</v>
      </c>
      <c r="J34722">
        <v>4</v>
      </c>
    </row>
    <row r="34723" spans="1:10" x14ac:dyDescent="0.25">
      <c r="A34723" t="s">
        <v>381</v>
      </c>
      <c r="B34723" s="1" t="str">
        <f>HYPERLINK("http://toyota-italia.it","toyota-italia.it")</f>
        <v>toyota-italia.it</v>
      </c>
      <c r="C34723" t="s">
        <v>459</v>
      </c>
      <c r="D34723" t="s">
        <v>835</v>
      </c>
      <c r="J34723">
        <v>5</v>
      </c>
    </row>
    <row r="34724" spans="1:10" x14ac:dyDescent="0.25">
      <c r="A34724" t="s">
        <v>381</v>
      </c>
      <c r="B34724" s="1" t="str">
        <f>HYPERLINK("http://asahikawatoyota.jp","asahikawatoyota.jp")</f>
        <v>asahikawatoyota.jp</v>
      </c>
      <c r="C34724" t="s">
        <v>461</v>
      </c>
      <c r="D34724" t="s">
        <v>837</v>
      </c>
      <c r="F34724">
        <v>1.16337266341727E-8</v>
      </c>
      <c r="G34724">
        <v>5410445</v>
      </c>
      <c r="H34724">
        <v>13361934</v>
      </c>
      <c r="I34724">
        <v>10506929</v>
      </c>
      <c r="J34724">
        <v>3</v>
      </c>
    </row>
    <row r="34725" spans="1:10" x14ac:dyDescent="0.25">
      <c r="A34725" t="s">
        <v>381</v>
      </c>
      <c r="B34725" s="1" t="str">
        <f>HYPERLINK("http://cataler.jp","cataler.jp")</f>
        <v>cataler.jp</v>
      </c>
      <c r="C34725" t="s">
        <v>461</v>
      </c>
      <c r="D34725" t="s">
        <v>837</v>
      </c>
      <c r="F34725">
        <v>4.4778010653656598E-9</v>
      </c>
      <c r="G34725">
        <v>62811186</v>
      </c>
      <c r="H34725">
        <v>9990611</v>
      </c>
      <c r="I34725">
        <v>60893621</v>
      </c>
      <c r="J34725">
        <v>4</v>
      </c>
    </row>
    <row r="34726" spans="1:10" x14ac:dyDescent="0.25">
      <c r="A34726" t="s">
        <v>381</v>
      </c>
      <c r="B34726" s="1" t="str">
        <f>HYPERLINK("http://aisan-ind.co.jp","aisan-ind.co.jp")</f>
        <v>aisan-ind.co.jp</v>
      </c>
      <c r="C34726" t="s">
        <v>461</v>
      </c>
      <c r="D34726" t="s">
        <v>837</v>
      </c>
      <c r="F34726">
        <v>3.0467704764071401E-8</v>
      </c>
      <c r="G34726">
        <v>1689905</v>
      </c>
      <c r="H34726">
        <v>13491473</v>
      </c>
      <c r="I34726">
        <v>9985760</v>
      </c>
      <c r="J34726">
        <v>3</v>
      </c>
    </row>
    <row r="34727" spans="1:10" x14ac:dyDescent="0.25">
      <c r="A34727" t="s">
        <v>381</v>
      </c>
      <c r="B34727" s="1" t="str">
        <f>HYPERLINK("http://aomori-daihatsu.co.jp","aomori-daihatsu.co.jp")</f>
        <v>aomori-daihatsu.co.jp</v>
      </c>
      <c r="C34727" t="s">
        <v>461</v>
      </c>
      <c r="D34727" t="s">
        <v>837</v>
      </c>
      <c r="F34727">
        <v>6.5635734311283596E-9</v>
      </c>
      <c r="G34727">
        <v>13819765</v>
      </c>
      <c r="H34727">
        <v>13217982</v>
      </c>
      <c r="I34727">
        <v>11349791</v>
      </c>
      <c r="J34727">
        <v>4</v>
      </c>
    </row>
    <row r="34728" spans="1:10" x14ac:dyDescent="0.25">
      <c r="A34728" t="s">
        <v>381</v>
      </c>
      <c r="B34728" s="1" t="str">
        <f>HYPERLINK("http://cataler.co.jp","cataler.co.jp")</f>
        <v>cataler.co.jp</v>
      </c>
      <c r="C34728" t="s">
        <v>461</v>
      </c>
      <c r="D34728" t="s">
        <v>837</v>
      </c>
      <c r="F34728">
        <v>3.2376450656946997E-8</v>
      </c>
      <c r="G34728">
        <v>1595861</v>
      </c>
      <c r="H34728">
        <v>13869508</v>
      </c>
      <c r="I34728">
        <v>6000839</v>
      </c>
      <c r="J34728">
        <v>3</v>
      </c>
    </row>
    <row r="34729" spans="1:10" x14ac:dyDescent="0.25">
      <c r="A34729" t="s">
        <v>381</v>
      </c>
      <c r="B34729" s="1" t="str">
        <f>HYPERLINK("http://corolla-m.co.jp","corolla-m.co.jp")</f>
        <v>corolla-m.co.jp</v>
      </c>
      <c r="C34729" t="s">
        <v>461</v>
      </c>
      <c r="D34729" t="s">
        <v>837</v>
      </c>
      <c r="F34729">
        <v>1.1030070641911501E-8</v>
      </c>
      <c r="G34729">
        <v>5837090</v>
      </c>
      <c r="H34729">
        <v>12760202</v>
      </c>
      <c r="I34729">
        <v>14950781</v>
      </c>
      <c r="J34729">
        <v>3</v>
      </c>
    </row>
    <row r="34730" spans="1:10" x14ac:dyDescent="0.25">
      <c r="A34730" t="s">
        <v>381</v>
      </c>
      <c r="B34730" s="1" t="str">
        <f>HYPERLINK("http://daihatsu.co.jp","daihatsu.co.jp")</f>
        <v>daihatsu.co.jp</v>
      </c>
      <c r="C34730" t="s">
        <v>461</v>
      </c>
      <c r="D34730" t="s">
        <v>837</v>
      </c>
      <c r="E34730">
        <v>88015</v>
      </c>
      <c r="F34730">
        <v>5.2268315844247401E-7</v>
      </c>
      <c r="G34730">
        <v>73519</v>
      </c>
      <c r="H34730">
        <v>15408103</v>
      </c>
      <c r="I34730">
        <v>379838</v>
      </c>
      <c r="J34730">
        <v>3</v>
      </c>
    </row>
    <row r="34731" spans="1:10" x14ac:dyDescent="0.25">
      <c r="A34731" t="s">
        <v>381</v>
      </c>
      <c r="B34731" s="1" t="str">
        <f>HYPERLINK("http://daihatsu-hokkaido.co.jp","daihatsu-hokkaido.co.jp")</f>
        <v>daihatsu-hokkaido.co.jp</v>
      </c>
      <c r="C34731" t="s">
        <v>461</v>
      </c>
      <c r="D34731" t="s">
        <v>837</v>
      </c>
      <c r="F34731">
        <v>8.1985903065960007E-9</v>
      </c>
      <c r="G34731">
        <v>9573549</v>
      </c>
      <c r="H34731">
        <v>12778840</v>
      </c>
      <c r="I34731">
        <v>14775582</v>
      </c>
      <c r="J34731">
        <v>4</v>
      </c>
    </row>
    <row r="34732" spans="1:10" x14ac:dyDescent="0.25">
      <c r="A34732" t="s">
        <v>381</v>
      </c>
      <c r="B34732" s="1" t="str">
        <f>HYPERLINK("http://daihatsu-tokyo.co.jp","daihatsu-tokyo.co.jp")</f>
        <v>daihatsu-tokyo.co.jp</v>
      </c>
      <c r="C34732" t="s">
        <v>461</v>
      </c>
      <c r="D34732" t="s">
        <v>837</v>
      </c>
      <c r="F34732">
        <v>1.20887502851375E-8</v>
      </c>
      <c r="G34732">
        <v>5120139</v>
      </c>
      <c r="H34732">
        <v>12722887</v>
      </c>
      <c r="I34732">
        <v>15239240</v>
      </c>
      <c r="J34732">
        <v>4</v>
      </c>
    </row>
    <row r="34733" spans="1:10" x14ac:dyDescent="0.25">
      <c r="A34733" t="s">
        <v>381</v>
      </c>
      <c r="B34733" s="1" t="str">
        <f>HYPERLINK("http://ekuruma.co.jp","ekuruma.co.jp")</f>
        <v>ekuruma.co.jp</v>
      </c>
      <c r="C34733" t="s">
        <v>461</v>
      </c>
      <c r="D34733" t="s">
        <v>837</v>
      </c>
      <c r="F34733">
        <v>1.7246155665278799E-8</v>
      </c>
      <c r="G34733">
        <v>3212533</v>
      </c>
      <c r="H34733">
        <v>12435430</v>
      </c>
      <c r="I34733">
        <v>18209001</v>
      </c>
      <c r="J34733">
        <v>3</v>
      </c>
    </row>
    <row r="34734" spans="1:10" x14ac:dyDescent="0.25">
      <c r="A34734" t="s">
        <v>381</v>
      </c>
      <c r="B34734" s="1" t="str">
        <f>HYPERLINK("http://hakodatetoyota.co.jp","hakodatetoyota.co.jp")</f>
        <v>hakodatetoyota.co.jp</v>
      </c>
      <c r="C34734" t="s">
        <v>461</v>
      </c>
      <c r="D34734" t="s">
        <v>837</v>
      </c>
      <c r="F34734">
        <v>1.11279999236949E-8</v>
      </c>
      <c r="G34734">
        <v>5765054</v>
      </c>
      <c r="H34734">
        <v>12274357</v>
      </c>
      <c r="I34734">
        <v>21430653</v>
      </c>
      <c r="J34734">
        <v>3</v>
      </c>
    </row>
    <row r="34735" spans="1:10" x14ac:dyDescent="0.25">
      <c r="A34735" t="s">
        <v>381</v>
      </c>
      <c r="B34735" s="1" t="str">
        <f>HYPERLINK("http://hidaka-toyota.co.jp","hidaka-toyota.co.jp")</f>
        <v>hidaka-toyota.co.jp</v>
      </c>
      <c r="C34735" t="s">
        <v>461</v>
      </c>
      <c r="D34735" t="s">
        <v>837</v>
      </c>
      <c r="F34735">
        <v>4.92167436273773E-9</v>
      </c>
      <c r="G34735">
        <v>31634765</v>
      </c>
      <c r="H34735">
        <v>14071790</v>
      </c>
      <c r="I34735">
        <v>3521313</v>
      </c>
      <c r="J34735">
        <v>3</v>
      </c>
    </row>
    <row r="34736" spans="1:10" x14ac:dyDescent="0.25">
      <c r="A34736" t="s">
        <v>381</v>
      </c>
      <c r="B34736" s="1" t="str">
        <f>HYPERLINK("http://hino.co.jp","hino.co.jp")</f>
        <v>hino.co.jp</v>
      </c>
      <c r="C34736" t="s">
        <v>461</v>
      </c>
      <c r="D34736" t="s">
        <v>837</v>
      </c>
      <c r="E34736">
        <v>165457</v>
      </c>
      <c r="F34736">
        <v>2.04686649025592E-7</v>
      </c>
      <c r="G34736">
        <v>185595</v>
      </c>
      <c r="H34736">
        <v>14408836</v>
      </c>
      <c r="I34736">
        <v>1146400</v>
      </c>
      <c r="J34736">
        <v>3</v>
      </c>
    </row>
    <row r="34737" spans="1:10" x14ac:dyDescent="0.25">
      <c r="A34737" t="s">
        <v>381</v>
      </c>
      <c r="B34737" s="1" t="str">
        <f>HYPERLINK("http://ibaraki-daihatsu.co.jp","ibaraki-daihatsu.co.jp")</f>
        <v>ibaraki-daihatsu.co.jp</v>
      </c>
      <c r="C34737" t="s">
        <v>461</v>
      </c>
      <c r="D34737" t="s">
        <v>837</v>
      </c>
      <c r="F34737">
        <v>6.7731099000949702E-9</v>
      </c>
      <c r="G34737">
        <v>13050641</v>
      </c>
      <c r="H34737">
        <v>12087653</v>
      </c>
      <c r="I34737">
        <v>26343781</v>
      </c>
      <c r="J34737">
        <v>4</v>
      </c>
    </row>
    <row r="34738" spans="1:10" x14ac:dyDescent="0.25">
      <c r="A34738" t="s">
        <v>381</v>
      </c>
      <c r="B34738" s="1" t="str">
        <f>HYPERLINK("http://miyagi-daihatsu.co.jp","miyagi-daihatsu.co.jp")</f>
        <v>miyagi-daihatsu.co.jp</v>
      </c>
      <c r="C34738" t="s">
        <v>461</v>
      </c>
      <c r="D34738" t="s">
        <v>837</v>
      </c>
      <c r="F34738">
        <v>7.6097171249258693E-9</v>
      </c>
      <c r="G34738">
        <v>10774378</v>
      </c>
      <c r="H34738">
        <v>12392241</v>
      </c>
      <c r="I34738">
        <v>18993742</v>
      </c>
      <c r="J34738">
        <v>4</v>
      </c>
    </row>
    <row r="34739" spans="1:10" x14ac:dyDescent="0.25">
      <c r="A34739" t="s">
        <v>381</v>
      </c>
      <c r="B34739" s="1" t="str">
        <f>HYPERLINK("http://miyagi-toyota.co.jp","miyagi-toyota.co.jp")</f>
        <v>miyagi-toyota.co.jp</v>
      </c>
      <c r="C34739" t="s">
        <v>461</v>
      </c>
      <c r="D34739" t="s">
        <v>837</v>
      </c>
      <c r="F34739">
        <v>1.5709738867527798E-8</v>
      </c>
      <c r="G34739">
        <v>3624686</v>
      </c>
      <c r="H34739">
        <v>12806004</v>
      </c>
      <c r="I34739">
        <v>14611531</v>
      </c>
      <c r="J34739">
        <v>3</v>
      </c>
    </row>
    <row r="34740" spans="1:10" x14ac:dyDescent="0.25">
      <c r="A34740" t="s">
        <v>381</v>
      </c>
      <c r="B34740" s="1" t="str">
        <f>HYPERLINK("http://netz-toyota-tokyo.co.jp","netz-toyota-tokyo.co.jp")</f>
        <v>netz-toyota-tokyo.co.jp</v>
      </c>
      <c r="C34740" t="s">
        <v>461</v>
      </c>
      <c r="D34740" t="s">
        <v>837</v>
      </c>
      <c r="F34740">
        <v>8.7998555132161406E-9</v>
      </c>
      <c r="G34740">
        <v>8310359</v>
      </c>
      <c r="H34740">
        <v>14072994</v>
      </c>
      <c r="I34740">
        <v>3025984</v>
      </c>
      <c r="J34740">
        <v>3</v>
      </c>
    </row>
    <row r="34741" spans="1:10" x14ac:dyDescent="0.25">
      <c r="A34741" t="s">
        <v>381</v>
      </c>
      <c r="B34741" s="1" t="str">
        <f>HYPERLINK("http://okinawa-toyota.co.jp","okinawa-toyota.co.jp")</f>
        <v>okinawa-toyota.co.jp</v>
      </c>
      <c r="C34741" t="s">
        <v>461</v>
      </c>
      <c r="D34741" t="s">
        <v>837</v>
      </c>
      <c r="F34741">
        <v>1.4063516847255301E-8</v>
      </c>
      <c r="G34741">
        <v>4179067</v>
      </c>
      <c r="H34741">
        <v>14072922</v>
      </c>
      <c r="I34741">
        <v>3032853</v>
      </c>
      <c r="J34741">
        <v>3</v>
      </c>
    </row>
    <row r="34742" spans="1:10" x14ac:dyDescent="0.25">
      <c r="A34742" t="s">
        <v>381</v>
      </c>
      <c r="B34742" s="1" t="str">
        <f>HYPERLINK("http://p-sendai.co.jp","p-sendai.co.jp")</f>
        <v>p-sendai.co.jp</v>
      </c>
      <c r="C34742" t="s">
        <v>461</v>
      </c>
      <c r="D34742" t="s">
        <v>837</v>
      </c>
      <c r="F34742">
        <v>1.02203641121983E-8</v>
      </c>
      <c r="G34742">
        <v>6527087</v>
      </c>
      <c r="H34742">
        <v>12687265</v>
      </c>
      <c r="I34742">
        <v>15440927</v>
      </c>
      <c r="J34742">
        <v>3</v>
      </c>
    </row>
    <row r="34743" spans="1:10" x14ac:dyDescent="0.25">
      <c r="A34743" t="s">
        <v>381</v>
      </c>
      <c r="B34743" s="1" t="str">
        <f>HYPERLINK("http://rl-toyota.co.jp","rl-toyota.co.jp")</f>
        <v>rl-toyota.co.jp</v>
      </c>
      <c r="C34743" t="s">
        <v>461</v>
      </c>
      <c r="D34743" t="s">
        <v>837</v>
      </c>
      <c r="F34743">
        <v>1.3569623743103499E-8</v>
      </c>
      <c r="G34743">
        <v>4374666</v>
      </c>
      <c r="H34743">
        <v>14084915</v>
      </c>
      <c r="I34743">
        <v>2783574</v>
      </c>
      <c r="J34743">
        <v>5</v>
      </c>
    </row>
    <row r="34744" spans="1:10" x14ac:dyDescent="0.25">
      <c r="A34744" t="s">
        <v>381</v>
      </c>
      <c r="B34744" s="1" t="str">
        <f>HYPERLINK("http://sapporotoyota.co.jp","sapporotoyota.co.jp")</f>
        <v>sapporotoyota.co.jp</v>
      </c>
      <c r="C34744" t="s">
        <v>461</v>
      </c>
      <c r="D34744" t="s">
        <v>837</v>
      </c>
      <c r="F34744">
        <v>2.6539397341420599E-8</v>
      </c>
      <c r="G34744">
        <v>1939960</v>
      </c>
      <c r="H34744">
        <v>13211544</v>
      </c>
      <c r="I34744">
        <v>11401627</v>
      </c>
      <c r="J34744">
        <v>3</v>
      </c>
    </row>
    <row r="34745" spans="1:10" x14ac:dyDescent="0.25">
      <c r="A34745" t="s">
        <v>381</v>
      </c>
      <c r="B34745" s="1" t="str">
        <f>HYPERLINK("http://tokai-rika.co.jp","tokai-rika.co.jp")</f>
        <v>tokai-rika.co.jp</v>
      </c>
      <c r="C34745" t="s">
        <v>461</v>
      </c>
      <c r="D34745" t="s">
        <v>837</v>
      </c>
      <c r="E34745">
        <v>848195</v>
      </c>
      <c r="F34745">
        <v>6.5922226560563902E-8</v>
      </c>
      <c r="G34745">
        <v>651252</v>
      </c>
      <c r="H34745">
        <v>14135825</v>
      </c>
      <c r="I34745">
        <v>1966738</v>
      </c>
      <c r="J34745">
        <v>3</v>
      </c>
    </row>
    <row r="34746" spans="1:10" x14ac:dyDescent="0.25">
      <c r="A34746" t="s">
        <v>381</v>
      </c>
      <c r="B34746" s="1" t="str">
        <f>HYPERLINK("http://tokyo-toyopet.co.jp","tokyo-toyopet.co.jp")</f>
        <v>tokyo-toyopet.co.jp</v>
      </c>
      <c r="C34746" t="s">
        <v>461</v>
      </c>
      <c r="D34746" t="s">
        <v>837</v>
      </c>
      <c r="F34746">
        <v>9.6821234318307602E-9</v>
      </c>
      <c r="G34746">
        <v>7102095</v>
      </c>
      <c r="H34746">
        <v>12988493</v>
      </c>
      <c r="I34746">
        <v>12877574</v>
      </c>
      <c r="J34746">
        <v>3</v>
      </c>
    </row>
    <row r="34747" spans="1:10" x14ac:dyDescent="0.25">
      <c r="A34747" t="s">
        <v>381</v>
      </c>
      <c r="B34747" s="1" t="str">
        <f>HYPERLINK("http://toyoda-gosei.co.jp","toyoda-gosei.co.jp")</f>
        <v>toyoda-gosei.co.jp</v>
      </c>
      <c r="C34747" t="s">
        <v>461</v>
      </c>
      <c r="D34747" t="s">
        <v>837</v>
      </c>
      <c r="E34747">
        <v>242282</v>
      </c>
      <c r="F34747">
        <v>8.5344380588595004E-8</v>
      </c>
      <c r="G34747">
        <v>483097</v>
      </c>
      <c r="H34747">
        <v>14437959</v>
      </c>
      <c r="I34747">
        <v>1066654</v>
      </c>
      <c r="J34747">
        <v>3</v>
      </c>
    </row>
    <row r="34748" spans="1:10" x14ac:dyDescent="0.25">
      <c r="A34748" t="s">
        <v>381</v>
      </c>
      <c r="B34748" s="1" t="str">
        <f>HYPERLINK("http://toyota.co.jp","toyota.co.jp")</f>
        <v>toyota.co.jp</v>
      </c>
      <c r="C34748" t="s">
        <v>461</v>
      </c>
      <c r="D34748" t="s">
        <v>837</v>
      </c>
      <c r="E34748">
        <v>15231</v>
      </c>
      <c r="F34748">
        <v>1.4036585054150399E-6</v>
      </c>
      <c r="G34748">
        <v>27855</v>
      </c>
      <c r="H34748">
        <v>17433072</v>
      </c>
      <c r="I34748">
        <v>17076</v>
      </c>
      <c r="J34748">
        <v>2</v>
      </c>
    </row>
    <row r="34749" spans="1:10" x14ac:dyDescent="0.25">
      <c r="A34749" t="s">
        <v>381</v>
      </c>
      <c r="B34749" s="1" t="str">
        <f>HYPERLINK("http://toyota-body.co.jp","toyota-body.co.jp")</f>
        <v>toyota-body.co.jp</v>
      </c>
      <c r="C34749" t="s">
        <v>461</v>
      </c>
      <c r="D34749" t="s">
        <v>837</v>
      </c>
      <c r="E34749">
        <v>334276</v>
      </c>
      <c r="F34749">
        <v>8.7501292700291806E-8</v>
      </c>
      <c r="G34749">
        <v>468867</v>
      </c>
      <c r="H34749">
        <v>14632494</v>
      </c>
      <c r="I34749">
        <v>643569</v>
      </c>
      <c r="J34749">
        <v>3</v>
      </c>
    </row>
    <row r="34750" spans="1:10" x14ac:dyDescent="0.25">
      <c r="A34750" t="s">
        <v>381</v>
      </c>
      <c r="B34750" s="1" t="str">
        <f>HYPERLINK("http://toyota-ej.co.jp","toyota-ej.co.jp")</f>
        <v>toyota-ej.co.jp</v>
      </c>
      <c r="C34750" t="s">
        <v>461</v>
      </c>
      <c r="D34750" t="s">
        <v>837</v>
      </c>
      <c r="F34750">
        <v>3.9500765196598298E-8</v>
      </c>
      <c r="G34750">
        <v>1306886</v>
      </c>
      <c r="H34750">
        <v>14100707</v>
      </c>
      <c r="I34750">
        <v>2704693</v>
      </c>
      <c r="J34750">
        <v>3</v>
      </c>
    </row>
    <row r="34751" spans="1:10" x14ac:dyDescent="0.25">
      <c r="A34751" t="s">
        <v>381</v>
      </c>
      <c r="B34751" s="1" t="str">
        <f>HYPERLINK("http://toyota-finance.co.jp","toyota-finance.co.jp")</f>
        <v>toyota-finance.co.jp</v>
      </c>
      <c r="C34751" t="s">
        <v>461</v>
      </c>
      <c r="D34751" t="s">
        <v>837</v>
      </c>
      <c r="E34751">
        <v>888483</v>
      </c>
      <c r="F34751">
        <v>1.14495742249418E-7</v>
      </c>
      <c r="G34751">
        <v>347761</v>
      </c>
      <c r="H34751">
        <v>14299071</v>
      </c>
      <c r="I34751">
        <v>1357374</v>
      </c>
      <c r="J34751">
        <v>4</v>
      </c>
    </row>
    <row r="34752" spans="1:10" x14ac:dyDescent="0.25">
      <c r="A34752" t="s">
        <v>381</v>
      </c>
      <c r="B34752" s="1" t="str">
        <f>HYPERLINK("http://toyota-mobi-tokyo.co.jp","toyota-mobi-tokyo.co.jp")</f>
        <v>toyota-mobi-tokyo.co.jp</v>
      </c>
      <c r="C34752" t="s">
        <v>461</v>
      </c>
      <c r="D34752" t="s">
        <v>837</v>
      </c>
      <c r="F34752">
        <v>4.8567042739879098E-8</v>
      </c>
      <c r="G34752">
        <v>954927</v>
      </c>
      <c r="H34752">
        <v>13429168</v>
      </c>
      <c r="I34752">
        <v>10283370</v>
      </c>
      <c r="J34752">
        <v>3</v>
      </c>
    </row>
    <row r="34753" spans="1:10" x14ac:dyDescent="0.25">
      <c r="A34753" t="s">
        <v>381</v>
      </c>
      <c r="B34753" s="1" t="str">
        <f>HYPERLINK("http://toyota-rl-tyo.co.jp","toyota-rl-tyo.co.jp")</f>
        <v>toyota-rl-tyo.co.jp</v>
      </c>
      <c r="C34753" t="s">
        <v>461</v>
      </c>
      <c r="D34753" t="s">
        <v>837</v>
      </c>
      <c r="F34753">
        <v>4.9095815130939899E-9</v>
      </c>
      <c r="G34753">
        <v>32190523</v>
      </c>
      <c r="H34753">
        <v>12651961</v>
      </c>
      <c r="I34753">
        <v>15786157</v>
      </c>
      <c r="J34753">
        <v>5</v>
      </c>
    </row>
    <row r="34754" spans="1:10" x14ac:dyDescent="0.25">
      <c r="A34754" t="s">
        <v>381</v>
      </c>
      <c r="B34754" s="1" t="str">
        <f>HYPERLINK("http://toyota-shokki.co.jp","toyota-shokki.co.jp")</f>
        <v>toyota-shokki.co.jp</v>
      </c>
      <c r="C34754" t="s">
        <v>461</v>
      </c>
      <c r="D34754" t="s">
        <v>837</v>
      </c>
      <c r="E34754">
        <v>554175</v>
      </c>
      <c r="F34754">
        <v>1.25186251694572E-7</v>
      </c>
      <c r="G34754">
        <v>315145</v>
      </c>
      <c r="H34754">
        <v>14686568</v>
      </c>
      <c r="I34754">
        <v>604583</v>
      </c>
      <c r="J34754">
        <v>11</v>
      </c>
    </row>
    <row r="34755" spans="1:10" x14ac:dyDescent="0.25">
      <c r="A34755" t="s">
        <v>381</v>
      </c>
      <c r="B34755" s="1" t="str">
        <f>HYPERLINK("http://toyota-tsh.co.jp","toyota-tsh.co.jp")</f>
        <v>toyota-tsh.co.jp</v>
      </c>
      <c r="C34755" t="s">
        <v>461</v>
      </c>
      <c r="D34755" t="s">
        <v>837</v>
      </c>
      <c r="F34755">
        <v>5.0521615805317399E-9</v>
      </c>
      <c r="G34755">
        <v>28171382</v>
      </c>
      <c r="H34755">
        <v>12766170</v>
      </c>
      <c r="I34755">
        <v>14880107</v>
      </c>
      <c r="J34755">
        <v>3</v>
      </c>
    </row>
    <row r="34756" spans="1:10" x14ac:dyDescent="0.25">
      <c r="A34756" t="s">
        <v>381</v>
      </c>
      <c r="B34756" s="1" t="str">
        <f>HYPERLINK("http://toyotahome.co.jp","toyotahome.co.jp")</f>
        <v>toyotahome.co.jp</v>
      </c>
      <c r="C34756" t="s">
        <v>461</v>
      </c>
      <c r="D34756" t="s">
        <v>837</v>
      </c>
      <c r="E34756">
        <v>392989</v>
      </c>
      <c r="F34756">
        <v>1.5152253014307399E-7</v>
      </c>
      <c r="G34756">
        <v>256332</v>
      </c>
      <c r="H34756">
        <v>14146843</v>
      </c>
      <c r="I34756">
        <v>1893029</v>
      </c>
      <c r="J34756">
        <v>3</v>
      </c>
    </row>
    <row r="34757" spans="1:10" x14ac:dyDescent="0.25">
      <c r="A34757" t="s">
        <v>381</v>
      </c>
      <c r="B34757" s="1" t="str">
        <f>HYPERLINK("http://toyotsu.co.jp","toyotsu.co.jp")</f>
        <v>toyotsu.co.jp</v>
      </c>
      <c r="C34757" t="s">
        <v>461</v>
      </c>
      <c r="D34757" t="s">
        <v>837</v>
      </c>
      <c r="E34757">
        <v>161443</v>
      </c>
      <c r="F34757">
        <v>5.3621985316880997E-9</v>
      </c>
      <c r="G34757">
        <v>22641880</v>
      </c>
      <c r="H34757">
        <v>11001608</v>
      </c>
      <c r="I34757">
        <v>33559235</v>
      </c>
      <c r="J34757">
        <v>6</v>
      </c>
    </row>
    <row r="34758" spans="1:10" x14ac:dyDescent="0.25">
      <c r="A34758" t="s">
        <v>381</v>
      </c>
      <c r="B34758" s="1" t="str">
        <f>HYPERLINK("http://trl-miyagi.co.jp","trl-miyagi.co.jp")</f>
        <v>trl-miyagi.co.jp</v>
      </c>
      <c r="C34758" t="s">
        <v>461</v>
      </c>
      <c r="D34758" t="s">
        <v>837</v>
      </c>
      <c r="F34758">
        <v>1.3599901409009201E-8</v>
      </c>
      <c r="G34758">
        <v>4361806</v>
      </c>
      <c r="H34758">
        <v>14096911</v>
      </c>
      <c r="I34758">
        <v>2723108</v>
      </c>
      <c r="J34758">
        <v>5</v>
      </c>
    </row>
    <row r="34759" spans="1:10" x14ac:dyDescent="0.25">
      <c r="A34759" t="s">
        <v>381</v>
      </c>
      <c r="B34759" s="1" t="str">
        <f>HYPERLINK("http://wellsupport.co.jp","wellsupport.co.jp")</f>
        <v>wellsupport.co.jp</v>
      </c>
      <c r="C34759" t="s">
        <v>461</v>
      </c>
      <c r="D34759" t="s">
        <v>837</v>
      </c>
      <c r="J34759">
        <v>12</v>
      </c>
    </row>
    <row r="34760" spans="1:10" x14ac:dyDescent="0.25">
      <c r="A34760" t="s">
        <v>381</v>
      </c>
      <c r="B34760" s="1" t="str">
        <f>HYPERLINK("http://eco-inst.jp","eco-inst.jp")</f>
        <v>eco-inst.jp</v>
      </c>
      <c r="C34760" t="s">
        <v>461</v>
      </c>
      <c r="D34760" t="s">
        <v>837</v>
      </c>
      <c r="F34760">
        <v>3.9499296444309303E-8</v>
      </c>
      <c r="G34760">
        <v>1306936</v>
      </c>
      <c r="H34760">
        <v>13823280</v>
      </c>
      <c r="I34760">
        <v>6134074</v>
      </c>
      <c r="J34760">
        <v>3</v>
      </c>
    </row>
    <row r="34761" spans="1:10" x14ac:dyDescent="0.25">
      <c r="A34761" t="s">
        <v>381</v>
      </c>
      <c r="B34761" s="1" t="str">
        <f>HYPERLINK("http://lexus.jp","lexus.jp")</f>
        <v>lexus.jp</v>
      </c>
      <c r="C34761" t="s">
        <v>461</v>
      </c>
      <c r="D34761" t="s">
        <v>837</v>
      </c>
      <c r="E34761">
        <v>151590</v>
      </c>
      <c r="F34761">
        <v>5.1722754900522999E-7</v>
      </c>
      <c r="G34761">
        <v>74243</v>
      </c>
      <c r="H34761">
        <v>14887462</v>
      </c>
      <c r="I34761">
        <v>468752</v>
      </c>
      <c r="J34761">
        <v>7</v>
      </c>
    </row>
    <row r="34762" spans="1:10" x14ac:dyDescent="0.25">
      <c r="A34762" t="s">
        <v>381</v>
      </c>
      <c r="B34762" s="1" t="str">
        <f>HYPERLINK("http://lexus-fs.jp","lexus-fs.jp")</f>
        <v>lexus-fs.jp</v>
      </c>
      <c r="C34762" t="s">
        <v>461</v>
      </c>
      <c r="D34762" t="s">
        <v>837</v>
      </c>
      <c r="F34762">
        <v>3.0172236822075998E-8</v>
      </c>
      <c r="G34762">
        <v>1705540</v>
      </c>
      <c r="H34762">
        <v>14086507</v>
      </c>
      <c r="I34762">
        <v>2769673</v>
      </c>
      <c r="J34762">
        <v>6</v>
      </c>
    </row>
    <row r="34763" spans="1:10" x14ac:dyDescent="0.25">
      <c r="A34763" t="s">
        <v>381</v>
      </c>
      <c r="B34763" s="1" t="str">
        <f>HYPERLINK("http://lexus-tokyo-carwash.jp","lexus-tokyo-carwash.jp")</f>
        <v>lexus-tokyo-carwash.jp</v>
      </c>
      <c r="C34763" t="s">
        <v>461</v>
      </c>
      <c r="D34763" t="s">
        <v>837</v>
      </c>
      <c r="J34763">
        <v>2</v>
      </c>
    </row>
    <row r="34764" spans="1:10" x14ac:dyDescent="0.25">
      <c r="A34764" t="s">
        <v>381</v>
      </c>
      <c r="B34764" s="1" t="str">
        <f>HYPERLINK("http://daihatsu.mie.jp","daihatsu.mie.jp")</f>
        <v>daihatsu.mie.jp</v>
      </c>
      <c r="C34764" t="s">
        <v>461</v>
      </c>
      <c r="D34764" t="s">
        <v>837</v>
      </c>
      <c r="F34764">
        <v>4.44380395335525E-9</v>
      </c>
      <c r="G34764">
        <v>85264530</v>
      </c>
      <c r="H34764">
        <v>0</v>
      </c>
      <c r="I34764">
        <v>86476919</v>
      </c>
      <c r="J34764">
        <v>4</v>
      </c>
    </row>
    <row r="34765" spans="1:10" x14ac:dyDescent="0.25">
      <c r="A34765" t="s">
        <v>381</v>
      </c>
      <c r="B34765" s="1" t="str">
        <f>HYPERLINK("http://netz.jp","netz.jp")</f>
        <v>netz.jp</v>
      </c>
      <c r="C34765" t="s">
        <v>461</v>
      </c>
      <c r="D34765" t="s">
        <v>837</v>
      </c>
      <c r="F34765">
        <v>1.12442105506863E-8</v>
      </c>
      <c r="G34765">
        <v>5682272</v>
      </c>
      <c r="H34765">
        <v>14301467</v>
      </c>
      <c r="I34765">
        <v>1355360</v>
      </c>
      <c r="J34765">
        <v>6</v>
      </c>
    </row>
    <row r="34766" spans="1:10" x14ac:dyDescent="0.25">
      <c r="A34766" t="s">
        <v>381</v>
      </c>
      <c r="B34766" s="1" t="str">
        <f>HYPERLINK("http://netz-sendai.jp","netz-sendai.jp")</f>
        <v>netz-sendai.jp</v>
      </c>
      <c r="C34766" t="s">
        <v>461</v>
      </c>
      <c r="D34766" t="s">
        <v>837</v>
      </c>
      <c r="F34766">
        <v>1.33380539617405E-8</v>
      </c>
      <c r="G34766">
        <v>4476868</v>
      </c>
      <c r="H34766">
        <v>12743802</v>
      </c>
      <c r="I34766">
        <v>15097165</v>
      </c>
      <c r="J34766">
        <v>7</v>
      </c>
    </row>
    <row r="34767" spans="1:10" x14ac:dyDescent="0.25">
      <c r="A34767" t="s">
        <v>381</v>
      </c>
      <c r="B34767" s="1" t="str">
        <f>HYPERLINK("http://netzdoto.jp","netzdoto.jp")</f>
        <v>netzdoto.jp</v>
      </c>
      <c r="C34767" t="s">
        <v>461</v>
      </c>
      <c r="D34767" t="s">
        <v>837</v>
      </c>
      <c r="F34767">
        <v>1.28373354385558E-8</v>
      </c>
      <c r="G34767">
        <v>4710351</v>
      </c>
      <c r="H34767">
        <v>12273653</v>
      </c>
      <c r="I34767">
        <v>21446379</v>
      </c>
      <c r="J34767">
        <v>3</v>
      </c>
    </row>
    <row r="34768" spans="1:10" x14ac:dyDescent="0.25">
      <c r="A34768" t="s">
        <v>381</v>
      </c>
      <c r="B34768" s="1" t="str">
        <f>HYPERLINK("http://noufu.jp","noufu.jp")</f>
        <v>noufu.jp</v>
      </c>
      <c r="C34768" t="s">
        <v>461</v>
      </c>
      <c r="D34768" t="s">
        <v>837</v>
      </c>
      <c r="E34768">
        <v>944241</v>
      </c>
      <c r="F34768">
        <v>1.05545377436458E-7</v>
      </c>
      <c r="G34768">
        <v>379541</v>
      </c>
      <c r="H34768">
        <v>13919312</v>
      </c>
      <c r="I34768">
        <v>5935590</v>
      </c>
      <c r="J34768">
        <v>6</v>
      </c>
    </row>
    <row r="34769" spans="1:10" x14ac:dyDescent="0.25">
      <c r="A34769" t="s">
        <v>381</v>
      </c>
      <c r="B34769" s="1" t="str">
        <f>HYPERLINK("http://oki-toyota-rent.jp","oki-toyota-rent.jp")</f>
        <v>oki-toyota-rent.jp</v>
      </c>
      <c r="C34769" t="s">
        <v>461</v>
      </c>
      <c r="D34769" t="s">
        <v>837</v>
      </c>
      <c r="F34769">
        <v>1.3710464135508701E-8</v>
      </c>
      <c r="G34769">
        <v>4316998</v>
      </c>
      <c r="H34769">
        <v>14075672</v>
      </c>
      <c r="I34769">
        <v>2903384</v>
      </c>
      <c r="J34769">
        <v>5</v>
      </c>
    </row>
    <row r="34770" spans="1:10" x14ac:dyDescent="0.25">
      <c r="A34770" t="s">
        <v>381</v>
      </c>
      <c r="B34770" s="1" t="str">
        <f>HYPERLINK("http://sapporo-toyopet.jp","sapporo-toyopet.jp")</f>
        <v>sapporo-toyopet.jp</v>
      </c>
      <c r="C34770" t="s">
        <v>461</v>
      </c>
      <c r="D34770" t="s">
        <v>837</v>
      </c>
      <c r="F34770">
        <v>1.5843422349006199E-8</v>
      </c>
      <c r="G34770">
        <v>3587647</v>
      </c>
      <c r="H34770">
        <v>14093984</v>
      </c>
      <c r="I34770">
        <v>2733764</v>
      </c>
      <c r="J34770">
        <v>3</v>
      </c>
    </row>
    <row r="34771" spans="1:10" x14ac:dyDescent="0.25">
      <c r="A34771" t="s">
        <v>381</v>
      </c>
      <c r="B34771" s="1" t="str">
        <f>HYPERLINK("http://tfsc.jp","tfsc.jp")</f>
        <v>tfsc.jp</v>
      </c>
      <c r="C34771" t="s">
        <v>461</v>
      </c>
      <c r="D34771" t="s">
        <v>837</v>
      </c>
      <c r="F34771">
        <v>3.94846249630262E-8</v>
      </c>
      <c r="G34771">
        <v>1307383</v>
      </c>
      <c r="H34771">
        <v>13978397</v>
      </c>
      <c r="I34771">
        <v>4055635</v>
      </c>
      <c r="J34771">
        <v>3</v>
      </c>
    </row>
    <row r="34772" spans="1:10" x14ac:dyDescent="0.25">
      <c r="A34772" t="s">
        <v>381</v>
      </c>
      <c r="B34772" s="1" t="str">
        <f>HYPERLINK("http://toyopet-dealer.jp","toyopet-dealer.jp")</f>
        <v>toyopet-dealer.jp</v>
      </c>
      <c r="C34772" t="s">
        <v>461</v>
      </c>
      <c r="D34772" t="s">
        <v>837</v>
      </c>
      <c r="F34772">
        <v>5.4323720234704903E-8</v>
      </c>
      <c r="G34772">
        <v>831518</v>
      </c>
      <c r="H34772">
        <v>14208571</v>
      </c>
      <c r="I34772">
        <v>1706644</v>
      </c>
      <c r="J34772">
        <v>3</v>
      </c>
    </row>
    <row r="34773" spans="1:10" x14ac:dyDescent="0.25">
      <c r="A34773" t="s">
        <v>381</v>
      </c>
      <c r="B34773" s="1" t="str">
        <f>HYPERLINK("http://toyota.jp","toyota.jp")</f>
        <v>toyota.jp</v>
      </c>
      <c r="C34773" t="s">
        <v>461</v>
      </c>
      <c r="D34773" t="s">
        <v>837</v>
      </c>
      <c r="E34773">
        <v>34728</v>
      </c>
      <c r="F34773">
        <v>1.3145547650829201E-6</v>
      </c>
      <c r="G34773">
        <v>29530</v>
      </c>
      <c r="H34773">
        <v>17424706</v>
      </c>
      <c r="I34773">
        <v>17602</v>
      </c>
      <c r="J34773">
        <v>1</v>
      </c>
    </row>
    <row r="34774" spans="1:10" x14ac:dyDescent="0.25">
      <c r="A34774" t="s">
        <v>381</v>
      </c>
      <c r="B34774" s="1" t="str">
        <f>HYPERLINK("http://toyota-dealers.jp","toyota-dealers.jp")</f>
        <v>toyota-dealers.jp</v>
      </c>
      <c r="C34774" t="s">
        <v>461</v>
      </c>
      <c r="D34774" t="s">
        <v>837</v>
      </c>
      <c r="F34774">
        <v>2.30333281320327E-8</v>
      </c>
      <c r="G34774">
        <v>2266999</v>
      </c>
      <c r="H34774">
        <v>13866408</v>
      </c>
      <c r="I34774">
        <v>6006504</v>
      </c>
      <c r="J34774">
        <v>3</v>
      </c>
    </row>
    <row r="34775" spans="1:10" x14ac:dyDescent="0.25">
      <c r="A34775" t="s">
        <v>381</v>
      </c>
      <c r="B34775" s="1" t="str">
        <f>HYPERLINK("http://toyota-mobility-kanagawa.jp","toyota-mobility-kanagawa.jp")</f>
        <v>toyota-mobility-kanagawa.jp</v>
      </c>
      <c r="C34775" t="s">
        <v>461</v>
      </c>
      <c r="D34775" t="s">
        <v>837</v>
      </c>
      <c r="F34775">
        <v>3.4511250871529799E-8</v>
      </c>
      <c r="G34775">
        <v>1503119</v>
      </c>
      <c r="H34775">
        <v>12997933</v>
      </c>
      <c r="I34775">
        <v>12807936</v>
      </c>
      <c r="J34775">
        <v>3</v>
      </c>
    </row>
    <row r="34776" spans="1:10" x14ac:dyDescent="0.25">
      <c r="A34776" t="s">
        <v>381</v>
      </c>
      <c r="B34776" s="1" t="str">
        <f>HYPERLINK("http://ts3card-memberstore.jp","ts3card-memberstore.jp")</f>
        <v>ts3card-memberstore.jp</v>
      </c>
      <c r="C34776" t="s">
        <v>461</v>
      </c>
      <c r="D34776" t="s">
        <v>837</v>
      </c>
      <c r="F34776">
        <v>4.7572505583018299E-9</v>
      </c>
      <c r="G34776">
        <v>38000772</v>
      </c>
      <c r="H34776">
        <v>10773583</v>
      </c>
      <c r="I34776">
        <v>39117672</v>
      </c>
      <c r="J34776">
        <v>6</v>
      </c>
    </row>
    <row r="34777" spans="1:10" x14ac:dyDescent="0.25">
      <c r="A34777" t="s">
        <v>381</v>
      </c>
      <c r="B34777" s="1" t="str">
        <f>HYPERLINK("http://tsuruoka-daihatsu.jp","tsuruoka-daihatsu.jp")</f>
        <v>tsuruoka-daihatsu.jp</v>
      </c>
      <c r="C34777" t="s">
        <v>461</v>
      </c>
      <c r="D34777" t="s">
        <v>837</v>
      </c>
      <c r="F34777">
        <v>4.5410221235267201E-9</v>
      </c>
      <c r="G34777">
        <v>53217547</v>
      </c>
      <c r="H34777">
        <v>10510168</v>
      </c>
      <c r="I34777">
        <v>49643523</v>
      </c>
      <c r="J34777">
        <v>4</v>
      </c>
    </row>
    <row r="34778" spans="1:10" x14ac:dyDescent="0.25">
      <c r="A34778" t="s">
        <v>381</v>
      </c>
      <c r="B34778" s="1" t="str">
        <f>HYPERLINK("http://toyotakenya.ke","toyotakenya.ke")</f>
        <v>toyotakenya.ke</v>
      </c>
      <c r="C34778" t="s">
        <v>462</v>
      </c>
      <c r="D34778" t="s">
        <v>838</v>
      </c>
      <c r="F34778">
        <v>5.7735084965187399E-9</v>
      </c>
      <c r="G34778">
        <v>18298524</v>
      </c>
      <c r="H34778">
        <v>12154740</v>
      </c>
      <c r="I34778">
        <v>24500497</v>
      </c>
      <c r="J34778">
        <v>4</v>
      </c>
    </row>
    <row r="34779" spans="1:10" x14ac:dyDescent="0.25">
      <c r="A34779" t="s">
        <v>381</v>
      </c>
      <c r="B34779" s="1" t="str">
        <f>HYPERLINK("http://toyota.com.kh","toyota.com.kh")</f>
        <v>toyota.com.kh</v>
      </c>
      <c r="C34779" t="s">
        <v>512</v>
      </c>
      <c r="D34779" t="s">
        <v>886</v>
      </c>
      <c r="F34779">
        <v>8.8217136900968904E-9</v>
      </c>
      <c r="G34779">
        <v>8269536</v>
      </c>
      <c r="H34779">
        <v>10932590</v>
      </c>
      <c r="I34779">
        <v>35012881</v>
      </c>
      <c r="J34779">
        <v>4</v>
      </c>
    </row>
    <row r="34780" spans="1:10" x14ac:dyDescent="0.25">
      <c r="A34780" t="s">
        <v>381</v>
      </c>
      <c r="B34780" s="1" t="str">
        <f>HYPERLINK("http://tfskr.co.kr","tfskr.co.kr")</f>
        <v>tfskr.co.kr</v>
      </c>
      <c r="C34780" t="s">
        <v>463</v>
      </c>
      <c r="D34780" t="s">
        <v>839</v>
      </c>
      <c r="F34780">
        <v>5.2597482525214901E-9</v>
      </c>
      <c r="G34780">
        <v>24107623</v>
      </c>
      <c r="H34780">
        <v>12190526</v>
      </c>
      <c r="I34780">
        <v>23574118</v>
      </c>
      <c r="J34780">
        <v>4</v>
      </c>
    </row>
    <row r="34781" spans="1:10" x14ac:dyDescent="0.25">
      <c r="A34781" t="s">
        <v>381</v>
      </c>
      <c r="B34781" s="1" t="str">
        <f>HYPERLINK("http://lexusdongil.kr","lexusdongil.kr")</f>
        <v>lexusdongil.kr</v>
      </c>
      <c r="C34781" t="s">
        <v>463</v>
      </c>
      <c r="D34781" t="s">
        <v>839</v>
      </c>
      <c r="F34781">
        <v>4.44380395335525E-9</v>
      </c>
      <c r="G34781">
        <v>85314399</v>
      </c>
      <c r="H34781">
        <v>0</v>
      </c>
      <c r="I34781">
        <v>86539756</v>
      </c>
      <c r="J34781">
        <v>7</v>
      </c>
    </row>
    <row r="34782" spans="1:10" x14ac:dyDescent="0.25">
      <c r="A34782" t="s">
        <v>381</v>
      </c>
      <c r="B34782" s="1" t="str">
        <f>HYPERLINK("http://toyota.com.la","toyota.com.la")</f>
        <v>toyota.com.la</v>
      </c>
      <c r="C34782" t="s">
        <v>595</v>
      </c>
      <c r="D34782" t="s">
        <v>930</v>
      </c>
      <c r="F34782">
        <v>7.7015507481004806E-9</v>
      </c>
      <c r="G34782">
        <v>10567855</v>
      </c>
      <c r="H34782">
        <v>12394972</v>
      </c>
      <c r="I34782">
        <v>18938706</v>
      </c>
      <c r="J34782">
        <v>4</v>
      </c>
    </row>
    <row r="34783" spans="1:10" x14ac:dyDescent="0.25">
      <c r="A34783" t="s">
        <v>381</v>
      </c>
      <c r="B34783" s="1" t="str">
        <f>HYPERLINK("http://toyota.lk","toyota.lk")</f>
        <v>toyota.lk</v>
      </c>
      <c r="C34783" t="s">
        <v>466</v>
      </c>
      <c r="D34783" t="s">
        <v>842</v>
      </c>
      <c r="F34783">
        <v>9.97326915165206E-9</v>
      </c>
      <c r="G34783">
        <v>6782441</v>
      </c>
      <c r="H34783">
        <v>14073674</v>
      </c>
      <c r="I34783">
        <v>2978871</v>
      </c>
      <c r="J34783">
        <v>3</v>
      </c>
    </row>
    <row r="34784" spans="1:10" x14ac:dyDescent="0.25">
      <c r="A34784" t="s">
        <v>381</v>
      </c>
      <c r="B34784" s="1" t="str">
        <f>HYPERLINK("http://lexus.lt","lexus.lt")</f>
        <v>lexus.lt</v>
      </c>
      <c r="C34784" t="s">
        <v>467</v>
      </c>
      <c r="D34784" t="s">
        <v>843</v>
      </c>
      <c r="F34784">
        <v>3.6827333622707699E-8</v>
      </c>
      <c r="G34784">
        <v>1419693</v>
      </c>
      <c r="H34784">
        <v>12173409</v>
      </c>
      <c r="I34784">
        <v>23982605</v>
      </c>
      <c r="J34784">
        <v>4</v>
      </c>
    </row>
    <row r="34785" spans="1:10" x14ac:dyDescent="0.25">
      <c r="A34785" t="s">
        <v>381</v>
      </c>
      <c r="B34785" s="1" t="str">
        <f>HYPERLINK("http://sovli.lt","sovli.lt")</f>
        <v>sovli.lt</v>
      </c>
      <c r="C34785" t="s">
        <v>467</v>
      </c>
      <c r="D34785" t="s">
        <v>843</v>
      </c>
      <c r="F34785">
        <v>9.8815756878792307E-9</v>
      </c>
      <c r="G34785">
        <v>6879189</v>
      </c>
      <c r="H34785">
        <v>11282312</v>
      </c>
      <c r="I34785">
        <v>30697234</v>
      </c>
      <c r="J34785">
        <v>3</v>
      </c>
    </row>
    <row r="34786" spans="1:10" x14ac:dyDescent="0.25">
      <c r="A34786" t="s">
        <v>381</v>
      </c>
      <c r="B34786" s="1" t="str">
        <f>HYPERLINK("http://tokvila.lt","tokvila.lt")</f>
        <v>tokvila.lt</v>
      </c>
      <c r="C34786" t="s">
        <v>467</v>
      </c>
      <c r="D34786" t="s">
        <v>843</v>
      </c>
      <c r="F34786">
        <v>2.2415868128386499E-8</v>
      </c>
      <c r="G34786">
        <v>2337991</v>
      </c>
      <c r="H34786">
        <v>12914733</v>
      </c>
      <c r="I34786">
        <v>13521865</v>
      </c>
      <c r="J34786">
        <v>3</v>
      </c>
    </row>
    <row r="34787" spans="1:10" x14ac:dyDescent="0.25">
      <c r="A34787" t="s">
        <v>381</v>
      </c>
      <c r="B34787" s="1" t="str">
        <f>HYPERLINK("http://toyota.lt","toyota.lt")</f>
        <v>toyota.lt</v>
      </c>
      <c r="C34787" t="s">
        <v>467</v>
      </c>
      <c r="D34787" t="s">
        <v>843</v>
      </c>
      <c r="F34787">
        <v>6.9914871981836702E-8</v>
      </c>
      <c r="G34787">
        <v>606222</v>
      </c>
      <c r="H34787">
        <v>12918945</v>
      </c>
      <c r="I34787">
        <v>13449120</v>
      </c>
      <c r="J34787">
        <v>4</v>
      </c>
    </row>
    <row r="34788" spans="1:10" x14ac:dyDescent="0.25">
      <c r="A34788" t="s">
        <v>381</v>
      </c>
      <c r="B34788" s="1" t="str">
        <f>HYPERLINK("http://lexus.lu","lexus.lu")</f>
        <v>lexus.lu</v>
      </c>
      <c r="C34788" t="s">
        <v>547</v>
      </c>
      <c r="D34788" t="s">
        <v>904</v>
      </c>
      <c r="F34788">
        <v>3.5728804710600502E-8</v>
      </c>
      <c r="G34788">
        <v>1458208</v>
      </c>
      <c r="H34788">
        <v>12990855</v>
      </c>
      <c r="I34788">
        <v>12851764</v>
      </c>
      <c r="J34788">
        <v>4</v>
      </c>
    </row>
    <row r="34789" spans="1:10" x14ac:dyDescent="0.25">
      <c r="A34789" t="s">
        <v>381</v>
      </c>
      <c r="B34789" s="1" t="str">
        <f>HYPERLINK("http://toyota.lu","toyota.lu")</f>
        <v>toyota.lu</v>
      </c>
      <c r="C34789" t="s">
        <v>547</v>
      </c>
      <c r="D34789" t="s">
        <v>904</v>
      </c>
      <c r="F34789">
        <v>5.9562164359223E-8</v>
      </c>
      <c r="G34789">
        <v>742035</v>
      </c>
      <c r="H34789">
        <v>12386665</v>
      </c>
      <c r="I34789">
        <v>19100149</v>
      </c>
      <c r="J34789">
        <v>4</v>
      </c>
    </row>
    <row r="34790" spans="1:10" x14ac:dyDescent="0.25">
      <c r="A34790" t="s">
        <v>381</v>
      </c>
      <c r="B34790" s="1" t="str">
        <f>HYPERLINK("http://autolaluna.lv","autolaluna.lv")</f>
        <v>autolaluna.lv</v>
      </c>
      <c r="C34790" t="s">
        <v>468</v>
      </c>
      <c r="D34790" t="s">
        <v>844</v>
      </c>
      <c r="F34790">
        <v>5.7127476423864297E-9</v>
      </c>
      <c r="G34790">
        <v>18814004</v>
      </c>
      <c r="H34790">
        <v>10875643</v>
      </c>
      <c r="I34790">
        <v>36401597</v>
      </c>
      <c r="J34790">
        <v>3</v>
      </c>
    </row>
    <row r="34791" spans="1:10" x14ac:dyDescent="0.25">
      <c r="A34791" t="s">
        <v>381</v>
      </c>
      <c r="B34791" s="1" t="str">
        <f>HYPERLINK("http://lexus.lv","lexus.lv")</f>
        <v>lexus.lv</v>
      </c>
      <c r="C34791" t="s">
        <v>468</v>
      </c>
      <c r="D34791" t="s">
        <v>844</v>
      </c>
      <c r="F34791">
        <v>3.5252279326292599E-8</v>
      </c>
      <c r="G34791">
        <v>1475106</v>
      </c>
      <c r="H34791">
        <v>12115070</v>
      </c>
      <c r="I34791">
        <v>25605833</v>
      </c>
      <c r="J34791">
        <v>4</v>
      </c>
    </row>
    <row r="34792" spans="1:10" x14ac:dyDescent="0.25">
      <c r="A34792" t="s">
        <v>381</v>
      </c>
      <c r="B34792" s="1" t="str">
        <f>HYPERLINK("http://lexusrigaairport.lv","lexusrigaairport.lv")</f>
        <v>lexusrigaairport.lv</v>
      </c>
      <c r="C34792" t="s">
        <v>468</v>
      </c>
      <c r="D34792" t="s">
        <v>844</v>
      </c>
      <c r="F34792">
        <v>5.9261523982070598E-9</v>
      </c>
      <c r="G34792">
        <v>17177858</v>
      </c>
      <c r="H34792">
        <v>10625983</v>
      </c>
      <c r="I34792">
        <v>44104399</v>
      </c>
      <c r="J34792">
        <v>7</v>
      </c>
    </row>
    <row r="34793" spans="1:10" x14ac:dyDescent="0.25">
      <c r="A34793" t="s">
        <v>381</v>
      </c>
      <c r="B34793" s="1" t="str">
        <f>HYPERLINK("http://lexusrigakrasta.lv","lexusrigakrasta.lv")</f>
        <v>lexusrigakrasta.lv</v>
      </c>
      <c r="C34793" t="s">
        <v>468</v>
      </c>
      <c r="D34793" t="s">
        <v>844</v>
      </c>
      <c r="F34793">
        <v>8.3503800304875007E-9</v>
      </c>
      <c r="G34793">
        <v>9145553</v>
      </c>
      <c r="H34793">
        <v>12048549</v>
      </c>
      <c r="I34793">
        <v>27288837</v>
      </c>
      <c r="J34793">
        <v>7</v>
      </c>
    </row>
    <row r="34794" spans="1:10" x14ac:dyDescent="0.25">
      <c r="A34794" t="s">
        <v>381</v>
      </c>
      <c r="B34794" s="1" t="str">
        <f>HYPERLINK("http://liga-z.lv","liga-z.lv")</f>
        <v>liga-z.lv</v>
      </c>
      <c r="C34794" t="s">
        <v>468</v>
      </c>
      <c r="D34794" t="s">
        <v>844</v>
      </c>
      <c r="F34794">
        <v>5.1756995058714898E-9</v>
      </c>
      <c r="G34794">
        <v>25625376</v>
      </c>
      <c r="H34794">
        <v>10748831</v>
      </c>
      <c r="I34794">
        <v>40122710</v>
      </c>
      <c r="J34794">
        <v>3</v>
      </c>
    </row>
    <row r="34795" spans="1:10" x14ac:dyDescent="0.25">
      <c r="A34795" t="s">
        <v>381</v>
      </c>
      <c r="B34795" s="1" t="str">
        <f>HYPERLINK("http://toyota.lv","toyota.lv")</f>
        <v>toyota.lv</v>
      </c>
      <c r="C34795" t="s">
        <v>468</v>
      </c>
      <c r="D34795" t="s">
        <v>844</v>
      </c>
      <c r="F34795">
        <v>7.1881181719672506E-8</v>
      </c>
      <c r="G34795">
        <v>587595</v>
      </c>
      <c r="H34795">
        <v>12406143</v>
      </c>
      <c r="I34795">
        <v>18669808</v>
      </c>
      <c r="J34795">
        <v>4</v>
      </c>
    </row>
    <row r="34796" spans="1:10" x14ac:dyDescent="0.25">
      <c r="A34796" t="s">
        <v>381</v>
      </c>
      <c r="B34796" s="1" t="str">
        <f>HYPERLINK("http://toyota.md","toyota.md")</f>
        <v>toyota.md</v>
      </c>
      <c r="C34796" t="s">
        <v>571</v>
      </c>
      <c r="D34796" t="s">
        <v>918</v>
      </c>
      <c r="F34796">
        <v>1.20995772816375E-8</v>
      </c>
      <c r="G34796">
        <v>5113523</v>
      </c>
      <c r="H34796">
        <v>12732415</v>
      </c>
      <c r="I34796">
        <v>15186367</v>
      </c>
      <c r="J34796">
        <v>4</v>
      </c>
    </row>
    <row r="34797" spans="1:10" x14ac:dyDescent="0.25">
      <c r="A34797" t="s">
        <v>381</v>
      </c>
      <c r="B34797" s="1" t="str">
        <f>HYPERLINK("http://toyota-forklifts.com.mk","toyota-forklifts.com.mk")</f>
        <v>toyota-forklifts.com.mk</v>
      </c>
      <c r="C34797" t="s">
        <v>531</v>
      </c>
      <c r="D34797" t="s">
        <v>895</v>
      </c>
      <c r="F34797">
        <v>1.3643559017275E-8</v>
      </c>
      <c r="G34797">
        <v>4343861</v>
      </c>
      <c r="H34797">
        <v>12679643</v>
      </c>
      <c r="I34797">
        <v>15505042</v>
      </c>
      <c r="J34797">
        <v>4</v>
      </c>
    </row>
    <row r="34798" spans="1:10" x14ac:dyDescent="0.25">
      <c r="A34798" t="s">
        <v>381</v>
      </c>
      <c r="B34798" s="1" t="str">
        <f>HYPERLINK("http://toyota-forklifts.com.mt","toyota-forklifts.com.mt")</f>
        <v>toyota-forklifts.com.mt</v>
      </c>
      <c r="C34798" t="s">
        <v>597</v>
      </c>
      <c r="D34798" t="s">
        <v>932</v>
      </c>
      <c r="F34798">
        <v>1.40221177230655E-8</v>
      </c>
      <c r="G34798">
        <v>4194378</v>
      </c>
      <c r="H34798">
        <v>12679644</v>
      </c>
      <c r="I34798">
        <v>15505035</v>
      </c>
      <c r="J34798">
        <v>4</v>
      </c>
    </row>
    <row r="34799" spans="1:10" x14ac:dyDescent="0.25">
      <c r="A34799" t="s">
        <v>381</v>
      </c>
      <c r="B34799" s="1" t="str">
        <f>HYPERLINK("http://gtu.com.mx","gtu.com.mx")</f>
        <v>gtu.com.mx</v>
      </c>
      <c r="C34799" t="s">
        <v>471</v>
      </c>
      <c r="D34799" t="s">
        <v>847</v>
      </c>
      <c r="F34799">
        <v>4.4447683803641104E-9</v>
      </c>
      <c r="G34799">
        <v>76157935</v>
      </c>
      <c r="H34799">
        <v>9692489</v>
      </c>
      <c r="I34799">
        <v>63471630</v>
      </c>
      <c r="J34799">
        <v>7</v>
      </c>
    </row>
    <row r="34800" spans="1:10" x14ac:dyDescent="0.25">
      <c r="A34800" t="s">
        <v>381</v>
      </c>
      <c r="B34800" s="1" t="str">
        <f>HYPERLINK("http://hinomanufactruring.com.mx","hinomanufactruring.com.mx")</f>
        <v>hinomanufactruring.com.mx</v>
      </c>
      <c r="C34800" t="s">
        <v>471</v>
      </c>
      <c r="D34800" t="s">
        <v>847</v>
      </c>
      <c r="J34800">
        <v>6</v>
      </c>
    </row>
    <row r="34801" spans="1:10" x14ac:dyDescent="0.25">
      <c r="A34801" t="s">
        <v>381</v>
      </c>
      <c r="B34801" s="1" t="str">
        <f>HYPERLINK("http://hmm.com.mx","hmm.com.mx")</f>
        <v>hmm.com.mx</v>
      </c>
      <c r="C34801" t="s">
        <v>471</v>
      </c>
      <c r="D34801" t="s">
        <v>847</v>
      </c>
      <c r="J34801">
        <v>6</v>
      </c>
    </row>
    <row r="34802" spans="1:10" x14ac:dyDescent="0.25">
      <c r="A34802" t="s">
        <v>381</v>
      </c>
      <c r="B34802" s="1" t="str">
        <f>HYPERLINK("http://toyota.com.mx","toyota.com.mx")</f>
        <v>toyota.com.mx</v>
      </c>
      <c r="C34802" t="s">
        <v>471</v>
      </c>
      <c r="D34802" t="s">
        <v>847</v>
      </c>
      <c r="F34802">
        <v>1.4395093479303599E-8</v>
      </c>
      <c r="G34802">
        <v>4058788</v>
      </c>
      <c r="H34802">
        <v>14239850</v>
      </c>
      <c r="I34802">
        <v>1507278</v>
      </c>
      <c r="J34802">
        <v>5</v>
      </c>
    </row>
    <row r="34803" spans="1:10" x14ac:dyDescent="0.25">
      <c r="A34803" t="s">
        <v>381</v>
      </c>
      <c r="B34803" s="1" t="str">
        <f>HYPERLINK("http://toyotacoapa.com.mx","toyotacoapa.com.mx")</f>
        <v>toyotacoapa.com.mx</v>
      </c>
      <c r="C34803" t="s">
        <v>471</v>
      </c>
      <c r="D34803" t="s">
        <v>847</v>
      </c>
      <c r="F34803">
        <v>1.3906928611689599E-8</v>
      </c>
      <c r="G34803">
        <v>4238302</v>
      </c>
      <c r="H34803">
        <v>8935973</v>
      </c>
      <c r="I34803">
        <v>68959887</v>
      </c>
      <c r="J34803">
        <v>7</v>
      </c>
    </row>
    <row r="34804" spans="1:10" x14ac:dyDescent="0.25">
      <c r="A34804" t="s">
        <v>381</v>
      </c>
      <c r="B34804" s="1" t="str">
        <f>HYPERLINK("http://toyotacredito.com.mx","toyotacredito.com.mx")</f>
        <v>toyotacredito.com.mx</v>
      </c>
      <c r="C34804" t="s">
        <v>471</v>
      </c>
      <c r="D34804" t="s">
        <v>847</v>
      </c>
      <c r="F34804">
        <v>7.6843017943396392E-9</v>
      </c>
      <c r="G34804">
        <v>10614883</v>
      </c>
      <c r="H34804">
        <v>13764146</v>
      </c>
      <c r="I34804">
        <v>7362197</v>
      </c>
      <c r="J34804">
        <v>5</v>
      </c>
    </row>
    <row r="34805" spans="1:10" x14ac:dyDescent="0.25">
      <c r="A34805" t="s">
        <v>381</v>
      </c>
      <c r="B34805" s="1" t="str">
        <f>HYPERLINK("http://toyotafl.com.mx","toyotafl.com.mx")</f>
        <v>toyotafl.com.mx</v>
      </c>
      <c r="C34805" t="s">
        <v>471</v>
      </c>
      <c r="D34805" t="s">
        <v>847</v>
      </c>
      <c r="F34805">
        <v>1.12779564311532E-8</v>
      </c>
      <c r="G34805">
        <v>5657898</v>
      </c>
      <c r="H34805">
        <v>12730410</v>
      </c>
      <c r="I34805">
        <v>15195967</v>
      </c>
      <c r="J34805">
        <v>7</v>
      </c>
    </row>
    <row r="34806" spans="1:10" x14ac:dyDescent="0.25">
      <c r="A34806" t="s">
        <v>381</v>
      </c>
      <c r="B34806" s="1" t="str">
        <f>HYPERLINK("http://toyotaguerrero.com.mx","toyotaguerrero.com.mx")</f>
        <v>toyotaguerrero.com.mx</v>
      </c>
      <c r="C34806" t="s">
        <v>471</v>
      </c>
      <c r="D34806" t="s">
        <v>847</v>
      </c>
      <c r="J34806">
        <v>7</v>
      </c>
    </row>
    <row r="34807" spans="1:10" x14ac:dyDescent="0.25">
      <c r="A34807" t="s">
        <v>381</v>
      </c>
      <c r="B34807" s="1" t="str">
        <f>HYPERLINK("http://toyotauni.com.mx","toyotauni.com.mx")</f>
        <v>toyotauni.com.mx</v>
      </c>
      <c r="C34807" t="s">
        <v>471</v>
      </c>
      <c r="D34807" t="s">
        <v>847</v>
      </c>
      <c r="J34807">
        <v>7</v>
      </c>
    </row>
    <row r="34808" spans="1:10" x14ac:dyDescent="0.25">
      <c r="A34808" t="s">
        <v>381</v>
      </c>
      <c r="B34808" s="1" t="str">
        <f>HYPERLINK("http://toyotfl.com.mx","toyotfl.com.mx")</f>
        <v>toyotfl.com.mx</v>
      </c>
      <c r="C34808" t="s">
        <v>471</v>
      </c>
      <c r="D34808" t="s">
        <v>847</v>
      </c>
      <c r="J34808">
        <v>7</v>
      </c>
    </row>
    <row r="34809" spans="1:10" x14ac:dyDescent="0.25">
      <c r="A34809" t="s">
        <v>381</v>
      </c>
      <c r="B34809" s="1" t="str">
        <f>HYPERLINK("http://toyota.mx","toyota.mx")</f>
        <v>toyota.mx</v>
      </c>
      <c r="C34809" t="s">
        <v>471</v>
      </c>
      <c r="D34809" t="s">
        <v>847</v>
      </c>
      <c r="E34809">
        <v>265617</v>
      </c>
      <c r="F34809">
        <v>4.3526422930016703E-8</v>
      </c>
      <c r="G34809">
        <v>1098441</v>
      </c>
      <c r="H34809">
        <v>14472201</v>
      </c>
      <c r="I34809">
        <v>1041240</v>
      </c>
      <c r="J34809">
        <v>4</v>
      </c>
    </row>
    <row r="34810" spans="1:10" x14ac:dyDescent="0.25">
      <c r="A34810" t="s">
        <v>381</v>
      </c>
      <c r="B34810" s="1" t="str">
        <f>HYPERLINK("http://toyota.com.my","toyota.com.my")</f>
        <v>toyota.com.my</v>
      </c>
      <c r="C34810" t="s">
        <v>472</v>
      </c>
      <c r="D34810" t="s">
        <v>848</v>
      </c>
      <c r="E34810">
        <v>233152</v>
      </c>
      <c r="F34810">
        <v>6.7030852547097898E-8</v>
      </c>
      <c r="G34810">
        <v>638222</v>
      </c>
      <c r="H34810">
        <v>14586364</v>
      </c>
      <c r="I34810">
        <v>700445</v>
      </c>
      <c r="J34810">
        <v>3</v>
      </c>
    </row>
    <row r="34811" spans="1:10" x14ac:dyDescent="0.25">
      <c r="A34811" t="s">
        <v>381</v>
      </c>
      <c r="B34811" s="1" t="str">
        <f>HYPERLINK("http://autohallen.net","autohallen.net")</f>
        <v>autohallen.net</v>
      </c>
      <c r="C34811" t="s">
        <v>474</v>
      </c>
      <c r="F34811">
        <v>1.0816112340848099E-8</v>
      </c>
      <c r="G34811">
        <v>6008025</v>
      </c>
      <c r="H34811">
        <v>10913844</v>
      </c>
      <c r="I34811">
        <v>35538711</v>
      </c>
      <c r="J34811">
        <v>3</v>
      </c>
    </row>
    <row r="34812" spans="1:10" x14ac:dyDescent="0.25">
      <c r="A34812" t="s">
        <v>381</v>
      </c>
      <c r="B34812" s="1" t="str">
        <f>HYPERLINK("http://hallmarktoyota.net","hallmarktoyota.net")</f>
        <v>hallmarktoyota.net</v>
      </c>
      <c r="C34812" t="s">
        <v>474</v>
      </c>
      <c r="J34812">
        <v>3</v>
      </c>
    </row>
    <row r="34813" spans="1:10" x14ac:dyDescent="0.25">
      <c r="A34813" t="s">
        <v>381</v>
      </c>
      <c r="B34813" s="1" t="str">
        <f>HYPERLINK("http://hersamotor.net","hersamotor.net")</f>
        <v>hersamotor.net</v>
      </c>
      <c r="C34813" t="s">
        <v>474</v>
      </c>
      <c r="J34813">
        <v>3</v>
      </c>
    </row>
    <row r="34814" spans="1:10" x14ac:dyDescent="0.25">
      <c r="A34814" t="s">
        <v>381</v>
      </c>
      <c r="B34814" s="1" t="str">
        <f>HYPERLINK("http://toyotabelgium.net","toyotabelgium.net")</f>
        <v>toyotabelgium.net</v>
      </c>
      <c r="C34814" t="s">
        <v>474</v>
      </c>
      <c r="F34814">
        <v>4.44381528729582E-9</v>
      </c>
      <c r="G34814">
        <v>79423835</v>
      </c>
      <c r="H34814">
        <v>10358497</v>
      </c>
      <c r="I34814">
        <v>55410829</v>
      </c>
      <c r="J34814">
        <v>3</v>
      </c>
    </row>
    <row r="34815" spans="1:10" x14ac:dyDescent="0.25">
      <c r="A34815" t="s">
        <v>381</v>
      </c>
      <c r="B34815" s="1" t="str">
        <f>HYPERLINK("http://toyotarentacar.net","toyotarentacar.net")</f>
        <v>toyotarentacar.net</v>
      </c>
      <c r="C34815" t="s">
        <v>474</v>
      </c>
      <c r="F34815">
        <v>3.1654336744964797E-8</v>
      </c>
      <c r="G34815">
        <v>1630610</v>
      </c>
      <c r="H34815">
        <v>14318366</v>
      </c>
      <c r="I34815">
        <v>1333435</v>
      </c>
      <c r="J34815">
        <v>5</v>
      </c>
    </row>
    <row r="34816" spans="1:10" x14ac:dyDescent="0.25">
      <c r="A34816" t="s">
        <v>381</v>
      </c>
      <c r="B34816" s="1" t="str">
        <f>HYPERLINK("http://toyteq.net","toyteq.net")</f>
        <v>toyteq.net</v>
      </c>
      <c r="C34816" t="s">
        <v>474</v>
      </c>
      <c r="J34816">
        <v>3</v>
      </c>
    </row>
    <row r="34817" spans="1:10" x14ac:dyDescent="0.25">
      <c r="A34817" t="s">
        <v>381</v>
      </c>
      <c r="B34817" s="1" t="str">
        <f>HYPERLINK("http://ttesa.net","ttesa.net")</f>
        <v>ttesa.net</v>
      </c>
      <c r="C34817" t="s">
        <v>474</v>
      </c>
      <c r="F34817">
        <v>4.8309049779945703E-9</v>
      </c>
      <c r="G34817">
        <v>34808576</v>
      </c>
      <c r="H34817">
        <v>12187128</v>
      </c>
      <c r="I34817">
        <v>23649105</v>
      </c>
      <c r="J34817">
        <v>7</v>
      </c>
    </row>
    <row r="34818" spans="1:10" x14ac:dyDescent="0.25">
      <c r="A34818" t="s">
        <v>381</v>
      </c>
      <c r="B34818" s="1" t="str">
        <f>HYPERLINK("http://ttuk.net","ttuk.net")</f>
        <v>ttuk.net</v>
      </c>
      <c r="C34818" t="s">
        <v>474</v>
      </c>
      <c r="J34818">
        <v>8</v>
      </c>
    </row>
    <row r="34819" spans="1:10" x14ac:dyDescent="0.25">
      <c r="A34819" t="s">
        <v>381</v>
      </c>
      <c r="B34819" s="1" t="str">
        <f>HYPERLINK("http://adggroep.nl","adggroep.nl")</f>
        <v>adggroep.nl</v>
      </c>
      <c r="C34819" t="s">
        <v>477</v>
      </c>
      <c r="D34819" t="s">
        <v>852</v>
      </c>
      <c r="F34819">
        <v>1.4909042531286601E-8</v>
      </c>
      <c r="G34819">
        <v>3869627</v>
      </c>
      <c r="H34819">
        <v>8725908</v>
      </c>
      <c r="I34819">
        <v>69769087</v>
      </c>
      <c r="J34819">
        <v>3</v>
      </c>
    </row>
    <row r="34820" spans="1:10" x14ac:dyDescent="0.25">
      <c r="A34820" t="s">
        <v>381</v>
      </c>
      <c r="B34820" s="1" t="str">
        <f>HYPERLINK("http://ats-autogroep.nl","ats-autogroep.nl")</f>
        <v>ats-autogroep.nl</v>
      </c>
      <c r="C34820" t="s">
        <v>477</v>
      </c>
      <c r="D34820" t="s">
        <v>852</v>
      </c>
      <c r="F34820">
        <v>4.9416314395056999E-9</v>
      </c>
      <c r="G34820">
        <v>31040443</v>
      </c>
      <c r="H34820">
        <v>10783060</v>
      </c>
      <c r="I34820">
        <v>38795451</v>
      </c>
      <c r="J34820">
        <v>3</v>
      </c>
    </row>
    <row r="34821" spans="1:10" x14ac:dyDescent="0.25">
      <c r="A34821" t="s">
        <v>381</v>
      </c>
      <c r="B34821" s="1" t="str">
        <f>HYPERLINK("http://autobedrijfgielen.nl","autobedrijfgielen.nl")</f>
        <v>autobedrijfgielen.nl</v>
      </c>
      <c r="C34821" t="s">
        <v>477</v>
      </c>
      <c r="D34821" t="s">
        <v>852</v>
      </c>
      <c r="F34821">
        <v>6.1811137750669002E-9</v>
      </c>
      <c r="G34821">
        <v>15633837</v>
      </c>
      <c r="H34821">
        <v>12167358</v>
      </c>
      <c r="I34821">
        <v>24137918</v>
      </c>
      <c r="J34821">
        <v>3</v>
      </c>
    </row>
    <row r="34822" spans="1:10" x14ac:dyDescent="0.25">
      <c r="A34822" t="s">
        <v>381</v>
      </c>
      <c r="B34822" s="1" t="str">
        <f>HYPERLINK("http://lexus.nl","lexus.nl")</f>
        <v>lexus.nl</v>
      </c>
      <c r="C34822" t="s">
        <v>477</v>
      </c>
      <c r="D34822" t="s">
        <v>852</v>
      </c>
      <c r="E34822">
        <v>923126</v>
      </c>
      <c r="F34822">
        <v>7.8254966276944904E-8</v>
      </c>
      <c r="G34822">
        <v>534375</v>
      </c>
      <c r="H34822">
        <v>14132253</v>
      </c>
      <c r="I34822">
        <v>2001437</v>
      </c>
      <c r="J34822">
        <v>4</v>
      </c>
    </row>
    <row r="34823" spans="1:10" x14ac:dyDescent="0.25">
      <c r="A34823" t="s">
        <v>381</v>
      </c>
      <c r="B34823" s="1" t="str">
        <f>HYPERLINK("http://lexus-amsterdam.nl","lexus-amsterdam.nl")</f>
        <v>lexus-amsterdam.nl</v>
      </c>
      <c r="C34823" t="s">
        <v>477</v>
      </c>
      <c r="D34823" t="s">
        <v>852</v>
      </c>
      <c r="F34823">
        <v>5.4405490777233899E-9</v>
      </c>
      <c r="G34823">
        <v>21611417</v>
      </c>
      <c r="H34823">
        <v>11254553</v>
      </c>
      <c r="I34823">
        <v>30867415</v>
      </c>
      <c r="J34823">
        <v>7</v>
      </c>
    </row>
    <row r="34824" spans="1:10" x14ac:dyDescent="0.25">
      <c r="A34824" t="s">
        <v>381</v>
      </c>
      <c r="B34824" s="1" t="str">
        <f>HYPERLINK("http://louwman-arnhem.nl","louwman-arnhem.nl")</f>
        <v>louwman-arnhem.nl</v>
      </c>
      <c r="C34824" t="s">
        <v>477</v>
      </c>
      <c r="D34824" t="s">
        <v>852</v>
      </c>
      <c r="F34824">
        <v>4.4709059322110299E-9</v>
      </c>
      <c r="G34824">
        <v>64350137</v>
      </c>
      <c r="H34824">
        <v>10756005</v>
      </c>
      <c r="I34824">
        <v>39784906</v>
      </c>
      <c r="J34824">
        <v>3</v>
      </c>
    </row>
    <row r="34825" spans="1:10" x14ac:dyDescent="0.25">
      <c r="A34825" t="s">
        <v>381</v>
      </c>
      <c r="B34825" s="1" t="str">
        <f>HYPERLINK("http://morrenhof.nl","morrenhof.nl")</f>
        <v>morrenhof.nl</v>
      </c>
      <c r="C34825" t="s">
        <v>477</v>
      </c>
      <c r="D34825" t="s">
        <v>852</v>
      </c>
      <c r="F34825">
        <v>5.0429126893835599E-9</v>
      </c>
      <c r="G34825">
        <v>28377845</v>
      </c>
      <c r="H34825">
        <v>10841847</v>
      </c>
      <c r="I34825">
        <v>37066791</v>
      </c>
      <c r="J34825">
        <v>3</v>
      </c>
    </row>
    <row r="34826" spans="1:10" x14ac:dyDescent="0.25">
      <c r="A34826" t="s">
        <v>381</v>
      </c>
      <c r="B34826" s="1" t="str">
        <f>HYPERLINK("http://oostendorp-auto.nl","oostendorp-auto.nl")</f>
        <v>oostendorp-auto.nl</v>
      </c>
      <c r="C34826" t="s">
        <v>477</v>
      </c>
      <c r="D34826" t="s">
        <v>852</v>
      </c>
      <c r="F34826">
        <v>3.40512684920105E-8</v>
      </c>
      <c r="G34826">
        <v>1521036</v>
      </c>
      <c r="H34826">
        <v>12568020</v>
      </c>
      <c r="I34826">
        <v>16643133</v>
      </c>
      <c r="J34826">
        <v>3</v>
      </c>
    </row>
    <row r="34827" spans="1:10" x14ac:dyDescent="0.25">
      <c r="A34827" t="s">
        <v>381</v>
      </c>
      <c r="B34827" s="1" t="str">
        <f>HYPERLINK("http://pijpker.nl","pijpker.nl")</f>
        <v>pijpker.nl</v>
      </c>
      <c r="C34827" t="s">
        <v>477</v>
      </c>
      <c r="D34827" t="s">
        <v>852</v>
      </c>
      <c r="F34827">
        <v>5.86111389390984E-9</v>
      </c>
      <c r="G34827">
        <v>17630287</v>
      </c>
      <c r="H34827">
        <v>11243237</v>
      </c>
      <c r="I34827">
        <v>30944238</v>
      </c>
      <c r="J34827">
        <v>3</v>
      </c>
    </row>
    <row r="34828" spans="1:10" x14ac:dyDescent="0.25">
      <c r="A34828" t="s">
        <v>381</v>
      </c>
      <c r="B34828" s="1" t="str">
        <f>HYPERLINK("http://ramselaar.nl","ramselaar.nl")</f>
        <v>ramselaar.nl</v>
      </c>
      <c r="C34828" t="s">
        <v>477</v>
      </c>
      <c r="D34828" t="s">
        <v>852</v>
      </c>
      <c r="F34828">
        <v>4.5880850536476003E-9</v>
      </c>
      <c r="G34828">
        <v>48581146</v>
      </c>
      <c r="H34828">
        <v>11041728</v>
      </c>
      <c r="I34828">
        <v>32903993</v>
      </c>
      <c r="J34828">
        <v>3</v>
      </c>
    </row>
    <row r="34829" spans="1:10" x14ac:dyDescent="0.25">
      <c r="A34829" t="s">
        <v>381</v>
      </c>
      <c r="B34829" s="1" t="str">
        <f>HYPERLINK("http://rihoclimatesystems.nl","rihoclimatesystems.nl")</f>
        <v>rihoclimatesystems.nl</v>
      </c>
      <c r="C34829" t="s">
        <v>477</v>
      </c>
      <c r="D34829" t="s">
        <v>852</v>
      </c>
      <c r="F34829">
        <v>1.14598100647062E-8</v>
      </c>
      <c r="G34829">
        <v>5532354</v>
      </c>
      <c r="H34829">
        <v>12299718</v>
      </c>
      <c r="I34829">
        <v>20840229</v>
      </c>
      <c r="J34829">
        <v>16</v>
      </c>
    </row>
    <row r="34830" spans="1:10" x14ac:dyDescent="0.25">
      <c r="A34830" t="s">
        <v>381</v>
      </c>
      <c r="B34830" s="1" t="str">
        <f>HYPERLINK("http://toyota.nl","toyota.nl")</f>
        <v>toyota.nl</v>
      </c>
      <c r="C34830" t="s">
        <v>477</v>
      </c>
      <c r="D34830" t="s">
        <v>852</v>
      </c>
      <c r="E34830">
        <v>268071</v>
      </c>
      <c r="F34830">
        <v>1.7517026632197701E-7</v>
      </c>
      <c r="G34830">
        <v>221379</v>
      </c>
      <c r="H34830">
        <v>14393075</v>
      </c>
      <c r="I34830">
        <v>1163986</v>
      </c>
      <c r="J34830">
        <v>4</v>
      </c>
    </row>
    <row r="34831" spans="1:10" x14ac:dyDescent="0.25">
      <c r="A34831" t="s">
        <v>381</v>
      </c>
      <c r="B34831" s="1" t="str">
        <f>HYPERLINK("http://toyota-amsterdam-west.nl","toyota-amsterdam-west.nl")</f>
        <v>toyota-amsterdam-west.nl</v>
      </c>
      <c r="C34831" t="s">
        <v>477</v>
      </c>
      <c r="D34831" t="s">
        <v>852</v>
      </c>
      <c r="F34831">
        <v>4.4745754685001796E-9</v>
      </c>
      <c r="G34831">
        <v>63502982</v>
      </c>
      <c r="H34831">
        <v>10595156</v>
      </c>
      <c r="I34831">
        <v>45221971</v>
      </c>
      <c r="J34831">
        <v>3</v>
      </c>
    </row>
    <row r="34832" spans="1:10" x14ac:dyDescent="0.25">
      <c r="A34832" t="s">
        <v>381</v>
      </c>
      <c r="B34832" s="1" t="str">
        <f>HYPERLINK("http://toyota-apeldoorn.nl","toyota-apeldoorn.nl")</f>
        <v>toyota-apeldoorn.nl</v>
      </c>
      <c r="C34832" t="s">
        <v>477</v>
      </c>
      <c r="D34832" t="s">
        <v>852</v>
      </c>
      <c r="F34832">
        <v>4.9225755855312504E-9</v>
      </c>
      <c r="G34832">
        <v>31606469</v>
      </c>
      <c r="H34832">
        <v>10604100</v>
      </c>
      <c r="I34832">
        <v>44746782</v>
      </c>
      <c r="J34832">
        <v>3</v>
      </c>
    </row>
    <row r="34833" spans="1:10" x14ac:dyDescent="0.25">
      <c r="A34833" t="s">
        <v>381</v>
      </c>
      <c r="B34833" s="1" t="str">
        <f>HYPERLINK("http://toyota-becker.nl","toyota-becker.nl")</f>
        <v>toyota-becker.nl</v>
      </c>
      <c r="C34833" t="s">
        <v>477</v>
      </c>
      <c r="D34833" t="s">
        <v>852</v>
      </c>
      <c r="F34833">
        <v>5.11450091900245E-9</v>
      </c>
      <c r="G34833">
        <v>26764411</v>
      </c>
      <c r="H34833">
        <v>10674196</v>
      </c>
      <c r="I34833">
        <v>42875426</v>
      </c>
      <c r="J34833">
        <v>3</v>
      </c>
    </row>
    <row r="34834" spans="1:10" x14ac:dyDescent="0.25">
      <c r="A34834" t="s">
        <v>381</v>
      </c>
      <c r="B34834" s="1" t="str">
        <f>HYPERLINK("http://toyota-bloemberg.nl","toyota-bloemberg.nl")</f>
        <v>toyota-bloemberg.nl</v>
      </c>
      <c r="C34834" t="s">
        <v>477</v>
      </c>
      <c r="D34834" t="s">
        <v>852</v>
      </c>
      <c r="F34834">
        <v>1.06654952671386E-8</v>
      </c>
      <c r="G34834">
        <v>6128748</v>
      </c>
      <c r="H34834">
        <v>11031594</v>
      </c>
      <c r="I34834">
        <v>33079960</v>
      </c>
      <c r="J34834">
        <v>3</v>
      </c>
    </row>
    <row r="34835" spans="1:10" x14ac:dyDescent="0.25">
      <c r="A34835" t="s">
        <v>381</v>
      </c>
      <c r="B34835" s="1" t="str">
        <f>HYPERLINK("http://toyota-dealers.nl","toyota-dealers.nl")</f>
        <v>toyota-dealers.nl</v>
      </c>
      <c r="C34835" t="s">
        <v>477</v>
      </c>
      <c r="D34835" t="s">
        <v>852</v>
      </c>
      <c r="F34835">
        <v>9.3322862245606805E-9</v>
      </c>
      <c r="G34835">
        <v>7531405</v>
      </c>
      <c r="H34835">
        <v>13764941</v>
      </c>
      <c r="I34835">
        <v>7168203</v>
      </c>
      <c r="J34835">
        <v>3</v>
      </c>
    </row>
    <row r="34836" spans="1:10" x14ac:dyDescent="0.25">
      <c r="A34836" t="s">
        <v>381</v>
      </c>
      <c r="B34836" s="1" t="str">
        <f>HYPERLINK("http://toyota-forklifts.nl","toyota-forklifts.nl")</f>
        <v>toyota-forklifts.nl</v>
      </c>
      <c r="C34836" t="s">
        <v>477</v>
      </c>
      <c r="D34836" t="s">
        <v>852</v>
      </c>
      <c r="F34836">
        <v>2.7065932524305298E-8</v>
      </c>
      <c r="G34836">
        <v>1900184</v>
      </c>
      <c r="H34836">
        <v>12772503</v>
      </c>
      <c r="I34836">
        <v>14823409</v>
      </c>
      <c r="J34836">
        <v>4</v>
      </c>
    </row>
    <row r="34837" spans="1:10" x14ac:dyDescent="0.25">
      <c r="A34837" t="s">
        <v>381</v>
      </c>
      <c r="B34837" s="1" t="str">
        <f>HYPERLINK("http://toyota-goes.nl","toyota-goes.nl")</f>
        <v>toyota-goes.nl</v>
      </c>
      <c r="C34837" t="s">
        <v>477</v>
      </c>
      <c r="D34837" t="s">
        <v>852</v>
      </c>
      <c r="F34837">
        <v>4.5404884265047898E-9</v>
      </c>
      <c r="G34837">
        <v>53285471</v>
      </c>
      <c r="H34837">
        <v>10658918</v>
      </c>
      <c r="I34837">
        <v>43451498</v>
      </c>
      <c r="J34837">
        <v>3</v>
      </c>
    </row>
    <row r="34838" spans="1:10" x14ac:dyDescent="0.25">
      <c r="A34838" t="s">
        <v>381</v>
      </c>
      <c r="B34838" s="1" t="str">
        <f>HYPERLINK("http://toyota-hengelo.nl","toyota-hengelo.nl")</f>
        <v>toyota-hengelo.nl</v>
      </c>
      <c r="C34838" t="s">
        <v>477</v>
      </c>
      <c r="D34838" t="s">
        <v>852</v>
      </c>
      <c r="F34838">
        <v>4.7488394188009999E-9</v>
      </c>
      <c r="G34838">
        <v>38377818</v>
      </c>
      <c r="H34838">
        <v>10786197</v>
      </c>
      <c r="I34838">
        <v>38651048</v>
      </c>
      <c r="J34838">
        <v>3</v>
      </c>
    </row>
    <row r="34839" spans="1:10" x14ac:dyDescent="0.25">
      <c r="A34839" t="s">
        <v>381</v>
      </c>
      <c r="B34839" s="1" t="str">
        <f>HYPERLINK("http://toyota-lantinga.nl","toyota-lantinga.nl")</f>
        <v>toyota-lantinga.nl</v>
      </c>
      <c r="C34839" t="s">
        <v>477</v>
      </c>
      <c r="D34839" t="s">
        <v>852</v>
      </c>
      <c r="F34839">
        <v>5.2934903919301002E-9</v>
      </c>
      <c r="G34839">
        <v>23589148</v>
      </c>
      <c r="H34839">
        <v>10674199</v>
      </c>
      <c r="I34839">
        <v>42875315</v>
      </c>
      <c r="J34839">
        <v>3</v>
      </c>
    </row>
    <row r="34840" spans="1:10" x14ac:dyDescent="0.25">
      <c r="A34840" t="s">
        <v>381</v>
      </c>
      <c r="B34840" s="1" t="str">
        <f>HYPERLINK("http://toyota-louwman.nl","toyota-louwman.nl")</f>
        <v>toyota-louwman.nl</v>
      </c>
      <c r="C34840" t="s">
        <v>477</v>
      </c>
      <c r="D34840" t="s">
        <v>852</v>
      </c>
      <c r="F34840">
        <v>6.4169382725890606E-8</v>
      </c>
      <c r="G34840">
        <v>675009</v>
      </c>
      <c r="H34840">
        <v>11086782</v>
      </c>
      <c r="I34840">
        <v>32419532</v>
      </c>
      <c r="J34840">
        <v>3</v>
      </c>
    </row>
    <row r="34841" spans="1:10" x14ac:dyDescent="0.25">
      <c r="A34841" t="s">
        <v>381</v>
      </c>
      <c r="B34841" s="1" t="str">
        <f>HYPERLINK("http://toyota-schouten.nl","toyota-schouten.nl")</f>
        <v>toyota-schouten.nl</v>
      </c>
      <c r="C34841" t="s">
        <v>477</v>
      </c>
      <c r="D34841" t="s">
        <v>852</v>
      </c>
      <c r="F34841">
        <v>6.7990657842443903E-9</v>
      </c>
      <c r="G34841">
        <v>12963993</v>
      </c>
      <c r="H34841">
        <v>11056203</v>
      </c>
      <c r="I34841">
        <v>32725137</v>
      </c>
      <c r="J34841">
        <v>3</v>
      </c>
    </row>
    <row r="34842" spans="1:10" x14ac:dyDescent="0.25">
      <c r="A34842" t="s">
        <v>381</v>
      </c>
      <c r="B34842" s="1" t="str">
        <f>HYPERLINK("http://toyota-vangent.nl","toyota-vangent.nl")</f>
        <v>toyota-vangent.nl</v>
      </c>
      <c r="C34842" t="s">
        <v>477</v>
      </c>
      <c r="D34842" t="s">
        <v>852</v>
      </c>
      <c r="F34842">
        <v>5.1846764854721401E-9</v>
      </c>
      <c r="G34842">
        <v>25436479</v>
      </c>
      <c r="H34842">
        <v>10683247</v>
      </c>
      <c r="I34842">
        <v>42690663</v>
      </c>
      <c r="J34842">
        <v>3</v>
      </c>
    </row>
    <row r="34843" spans="1:10" x14ac:dyDescent="0.25">
      <c r="A34843" t="s">
        <v>381</v>
      </c>
      <c r="B34843" s="1" t="str">
        <f>HYPERLINK("http://toyota-woerden.nl","toyota-woerden.nl")</f>
        <v>toyota-woerden.nl</v>
      </c>
      <c r="C34843" t="s">
        <v>477</v>
      </c>
      <c r="D34843" t="s">
        <v>852</v>
      </c>
      <c r="F34843">
        <v>5.3026402381496003E-9</v>
      </c>
      <c r="G34843">
        <v>23453631</v>
      </c>
      <c r="H34843">
        <v>10775083</v>
      </c>
      <c r="I34843">
        <v>39073712</v>
      </c>
      <c r="J34843">
        <v>3</v>
      </c>
    </row>
    <row r="34844" spans="1:10" x14ac:dyDescent="0.25">
      <c r="A34844" t="s">
        <v>381</v>
      </c>
      <c r="B34844" s="1" t="str">
        <f>HYPERLINK("http://toyota-zevenaar.nl","toyota-zevenaar.nl")</f>
        <v>toyota-zevenaar.nl</v>
      </c>
      <c r="C34844" t="s">
        <v>477</v>
      </c>
      <c r="D34844" t="s">
        <v>852</v>
      </c>
      <c r="F34844">
        <v>5.14499250162887E-9</v>
      </c>
      <c r="G34844">
        <v>26173891</v>
      </c>
      <c r="H34844">
        <v>9706300</v>
      </c>
      <c r="I34844">
        <v>63303216</v>
      </c>
      <c r="J34844">
        <v>3</v>
      </c>
    </row>
    <row r="34845" spans="1:10" x14ac:dyDescent="0.25">
      <c r="A34845" t="s">
        <v>381</v>
      </c>
      <c r="B34845" s="1" t="str">
        <f>HYPERLINK("http://toyotalantinga.nl","toyotalantinga.nl")</f>
        <v>toyotalantinga.nl</v>
      </c>
      <c r="C34845" t="s">
        <v>477</v>
      </c>
      <c r="D34845" t="s">
        <v>852</v>
      </c>
      <c r="F34845">
        <v>4.5423947583611701E-9</v>
      </c>
      <c r="G34845">
        <v>53013339</v>
      </c>
      <c r="H34845">
        <v>9322615</v>
      </c>
      <c r="I34845">
        <v>68286011</v>
      </c>
      <c r="J34845">
        <v>3</v>
      </c>
    </row>
    <row r="34846" spans="1:10" x14ac:dyDescent="0.25">
      <c r="A34846" t="s">
        <v>381</v>
      </c>
      <c r="B34846" s="1" t="str">
        <f>HYPERLINK("http://ttm.nl","ttm.nl")</f>
        <v>ttm.nl</v>
      </c>
      <c r="C34846" t="s">
        <v>477</v>
      </c>
      <c r="D34846" t="s">
        <v>852</v>
      </c>
      <c r="E34846">
        <v>545830</v>
      </c>
      <c r="F34846">
        <v>6.8213111959574095E-8</v>
      </c>
      <c r="G34846">
        <v>625521</v>
      </c>
      <c r="H34846">
        <v>14380050</v>
      </c>
      <c r="I34846">
        <v>1196481</v>
      </c>
      <c r="J34846">
        <v>16</v>
      </c>
    </row>
    <row r="34847" spans="1:10" x14ac:dyDescent="0.25">
      <c r="A34847" t="s">
        <v>381</v>
      </c>
      <c r="B34847" s="1" t="str">
        <f>HYPERLINK("http://vandorst.nl","vandorst.nl")</f>
        <v>vandorst.nl</v>
      </c>
      <c r="C34847" t="s">
        <v>477</v>
      </c>
      <c r="D34847" t="s">
        <v>852</v>
      </c>
      <c r="F34847">
        <v>6.8517729277245302E-9</v>
      </c>
      <c r="G34847">
        <v>12789767</v>
      </c>
      <c r="H34847">
        <v>11219899</v>
      </c>
      <c r="I34847">
        <v>31094259</v>
      </c>
      <c r="J34847">
        <v>3</v>
      </c>
    </row>
    <row r="34848" spans="1:10" x14ac:dyDescent="0.25">
      <c r="A34848" t="s">
        <v>381</v>
      </c>
      <c r="B34848" s="1" t="str">
        <f>HYPERLINK("http://wagenmaker.nl","wagenmaker.nl")</f>
        <v>wagenmaker.nl</v>
      </c>
      <c r="C34848" t="s">
        <v>477</v>
      </c>
      <c r="D34848" t="s">
        <v>852</v>
      </c>
      <c r="F34848">
        <v>7.4027534692872497E-9</v>
      </c>
      <c r="G34848">
        <v>11237584</v>
      </c>
      <c r="H34848">
        <v>12389163</v>
      </c>
      <c r="I34848">
        <v>19064769</v>
      </c>
      <c r="J34848">
        <v>3</v>
      </c>
    </row>
    <row r="34849" spans="1:10" x14ac:dyDescent="0.25">
      <c r="A34849" t="s">
        <v>381</v>
      </c>
      <c r="B34849" s="1" t="str">
        <f>HYPERLINK("http://bilia.no","bilia.no")</f>
        <v>bilia.no</v>
      </c>
      <c r="C34849" t="s">
        <v>478</v>
      </c>
      <c r="D34849" t="s">
        <v>853</v>
      </c>
      <c r="F34849">
        <v>4.34954352137525E-8</v>
      </c>
      <c r="G34849">
        <v>1099688</v>
      </c>
      <c r="H34849">
        <v>13771153</v>
      </c>
      <c r="I34849">
        <v>6703323</v>
      </c>
      <c r="J34849">
        <v>3</v>
      </c>
    </row>
    <row r="34850" spans="1:10" x14ac:dyDescent="0.25">
      <c r="A34850" t="s">
        <v>381</v>
      </c>
      <c r="B34850" s="1" t="str">
        <f>HYPERLINK("http://dimmelsvikbil.no","dimmelsvikbil.no")</f>
        <v>dimmelsvikbil.no</v>
      </c>
      <c r="C34850" t="s">
        <v>478</v>
      </c>
      <c r="D34850" t="s">
        <v>853</v>
      </c>
      <c r="F34850">
        <v>5.6188868662157096E-9</v>
      </c>
      <c r="G34850">
        <v>19679124</v>
      </c>
      <c r="H34850">
        <v>12087186</v>
      </c>
      <c r="I34850">
        <v>26355616</v>
      </c>
      <c r="J34850">
        <v>3</v>
      </c>
    </row>
    <row r="34851" spans="1:10" x14ac:dyDescent="0.25">
      <c r="A34851" t="s">
        <v>381</v>
      </c>
      <c r="B34851" s="1" t="str">
        <f>HYPERLINK("http://ekneskarosseri.no","ekneskarosseri.no")</f>
        <v>ekneskarosseri.no</v>
      </c>
      <c r="C34851" t="s">
        <v>478</v>
      </c>
      <c r="D34851" t="s">
        <v>853</v>
      </c>
      <c r="F34851">
        <v>5.4340212887431102E-9</v>
      </c>
      <c r="G34851">
        <v>21691361</v>
      </c>
      <c r="H34851">
        <v>12079910</v>
      </c>
      <c r="I34851">
        <v>26566473</v>
      </c>
      <c r="J34851">
        <v>5</v>
      </c>
    </row>
    <row r="34852" spans="1:10" x14ac:dyDescent="0.25">
      <c r="A34852" t="s">
        <v>381</v>
      </c>
      <c r="B34852" s="1" t="str">
        <f>HYPERLINK("http://funnemark.no","funnemark.no")</f>
        <v>funnemark.no</v>
      </c>
      <c r="C34852" t="s">
        <v>478</v>
      </c>
      <c r="D34852" t="s">
        <v>853</v>
      </c>
      <c r="F34852">
        <v>8.2601205127371202E-9</v>
      </c>
      <c r="G34852">
        <v>9352501</v>
      </c>
      <c r="H34852">
        <v>13933845</v>
      </c>
      <c r="I34852">
        <v>4663081</v>
      </c>
      <c r="J34852">
        <v>5</v>
      </c>
    </row>
    <row r="34853" spans="1:10" x14ac:dyDescent="0.25">
      <c r="A34853" t="s">
        <v>381</v>
      </c>
      <c r="B34853" s="1" t="str">
        <f>HYPERLINK("http://harila.no","harila.no")</f>
        <v>harila.no</v>
      </c>
      <c r="C34853" t="s">
        <v>478</v>
      </c>
      <c r="D34853" t="s">
        <v>853</v>
      </c>
      <c r="F34853">
        <v>1.384984027648E-8</v>
      </c>
      <c r="G34853">
        <v>4260594</v>
      </c>
      <c r="H34853">
        <v>12084289</v>
      </c>
      <c r="I34853">
        <v>26456320</v>
      </c>
      <c r="J34853">
        <v>3</v>
      </c>
    </row>
    <row r="34854" spans="1:10" x14ac:dyDescent="0.25">
      <c r="A34854" t="s">
        <v>381</v>
      </c>
      <c r="B34854" s="1" t="str">
        <f>HYPERLINK("http://jaegerbil.no","jaegerbil.no")</f>
        <v>jaegerbil.no</v>
      </c>
      <c r="C34854" t="s">
        <v>478</v>
      </c>
      <c r="D34854" t="s">
        <v>853</v>
      </c>
      <c r="F34854">
        <v>9.6167025921272098E-9</v>
      </c>
      <c r="G34854">
        <v>7179643</v>
      </c>
      <c r="H34854">
        <v>12123641</v>
      </c>
      <c r="I34854">
        <v>25312459</v>
      </c>
      <c r="J34854">
        <v>3</v>
      </c>
    </row>
    <row r="34855" spans="1:10" x14ac:dyDescent="0.25">
      <c r="A34855" t="s">
        <v>381</v>
      </c>
      <c r="B34855" s="1" t="str">
        <f>HYPERLINK("http://kinto-mobility.no","kinto-mobility.no")</f>
        <v>kinto-mobility.no</v>
      </c>
      <c r="C34855" t="s">
        <v>478</v>
      </c>
      <c r="D34855" t="s">
        <v>853</v>
      </c>
      <c r="F34855">
        <v>5.8107177493455298E-9</v>
      </c>
      <c r="G34855">
        <v>18006942</v>
      </c>
      <c r="H34855">
        <v>10724779</v>
      </c>
      <c r="I34855">
        <v>41368844</v>
      </c>
      <c r="J34855">
        <v>4</v>
      </c>
    </row>
    <row r="34856" spans="1:10" x14ac:dyDescent="0.25">
      <c r="A34856" t="s">
        <v>381</v>
      </c>
      <c r="B34856" s="1" t="str">
        <f>HYPERLINK("http://kolbotnauto.no","kolbotnauto.no")</f>
        <v>kolbotnauto.no</v>
      </c>
      <c r="C34856" t="s">
        <v>478</v>
      </c>
      <c r="D34856" t="s">
        <v>853</v>
      </c>
      <c r="F34856">
        <v>4.44442071710455E-9</v>
      </c>
      <c r="G34856">
        <v>76796862</v>
      </c>
      <c r="H34856">
        <v>10343793</v>
      </c>
      <c r="I34856">
        <v>57697576</v>
      </c>
      <c r="J34856">
        <v>5</v>
      </c>
    </row>
    <row r="34857" spans="1:10" x14ac:dyDescent="0.25">
      <c r="A34857" t="s">
        <v>381</v>
      </c>
      <c r="B34857" s="1" t="str">
        <f>HYPERLINK("http://lexus.no","lexus.no")</f>
        <v>lexus.no</v>
      </c>
      <c r="C34857" t="s">
        <v>478</v>
      </c>
      <c r="D34857" t="s">
        <v>853</v>
      </c>
      <c r="F34857">
        <v>4.9180993572552903E-8</v>
      </c>
      <c r="G34857">
        <v>941376</v>
      </c>
      <c r="H34857">
        <v>14073785</v>
      </c>
      <c r="I34857">
        <v>2972010</v>
      </c>
      <c r="J34857">
        <v>4</v>
      </c>
    </row>
    <row r="34858" spans="1:10" x14ac:dyDescent="0.25">
      <c r="A34858" t="s">
        <v>381</v>
      </c>
      <c r="B34858" s="1" t="str">
        <f>HYPERLINK("http://nordvik.no","nordvik.no")</f>
        <v>nordvik.no</v>
      </c>
      <c r="C34858" t="s">
        <v>478</v>
      </c>
      <c r="D34858" t="s">
        <v>853</v>
      </c>
      <c r="F34858">
        <v>1.6757713138304802E-8</v>
      </c>
      <c r="G34858">
        <v>3343958</v>
      </c>
      <c r="H34858">
        <v>13366867</v>
      </c>
      <c r="I34858">
        <v>10479787</v>
      </c>
      <c r="J34858">
        <v>3</v>
      </c>
    </row>
    <row r="34859" spans="1:10" x14ac:dyDescent="0.25">
      <c r="A34859" t="s">
        <v>381</v>
      </c>
      <c r="B34859" s="1" t="str">
        <f>HYPERLINK("http://ramstadbil.no","ramstadbil.no")</f>
        <v>ramstadbil.no</v>
      </c>
      <c r="C34859" t="s">
        <v>478</v>
      </c>
      <c r="D34859" t="s">
        <v>853</v>
      </c>
      <c r="F34859">
        <v>4.8002344102736802E-9</v>
      </c>
      <c r="G34859">
        <v>36078636</v>
      </c>
      <c r="H34859">
        <v>10508617</v>
      </c>
      <c r="I34859">
        <v>50243190</v>
      </c>
      <c r="J34859">
        <v>3</v>
      </c>
    </row>
    <row r="34860" spans="1:10" x14ac:dyDescent="0.25">
      <c r="A34860" t="s">
        <v>381</v>
      </c>
      <c r="B34860" s="1" t="str">
        <f>HYPERLINK("http://rlandbil.no","rlandbil.no")</f>
        <v>rlandbil.no</v>
      </c>
      <c r="C34860" t="s">
        <v>478</v>
      </c>
      <c r="D34860" t="s">
        <v>853</v>
      </c>
      <c r="J34860">
        <v>5</v>
      </c>
    </row>
    <row r="34861" spans="1:10" x14ac:dyDescent="0.25">
      <c r="A34861" t="s">
        <v>381</v>
      </c>
      <c r="B34861" s="1" t="str">
        <f>HYPERLINK("http://slettumbil.no","slettumbil.no")</f>
        <v>slettumbil.no</v>
      </c>
      <c r="C34861" t="s">
        <v>478</v>
      </c>
      <c r="D34861" t="s">
        <v>853</v>
      </c>
      <c r="F34861">
        <v>6.3759585941930303E-9</v>
      </c>
      <c r="G34861">
        <v>14636642</v>
      </c>
      <c r="H34861">
        <v>12121848</v>
      </c>
      <c r="I34861">
        <v>25359313</v>
      </c>
      <c r="J34861">
        <v>5</v>
      </c>
    </row>
    <row r="34862" spans="1:10" x14ac:dyDescent="0.25">
      <c r="A34862" t="s">
        <v>381</v>
      </c>
      <c r="B34862" s="1" t="str">
        <f>HYPERLINK("http://snsk.no","snsk.no")</f>
        <v>snsk.no</v>
      </c>
      <c r="C34862" t="s">
        <v>478</v>
      </c>
      <c r="D34862" t="s">
        <v>853</v>
      </c>
      <c r="F34862">
        <v>3.1255178599381697E-8</v>
      </c>
      <c r="G34862">
        <v>1649738</v>
      </c>
      <c r="H34862">
        <v>14498336</v>
      </c>
      <c r="I34862">
        <v>861929</v>
      </c>
      <c r="J34862">
        <v>3</v>
      </c>
    </row>
    <row r="34863" spans="1:10" x14ac:dyDescent="0.25">
      <c r="A34863" t="s">
        <v>381</v>
      </c>
      <c r="B34863" s="1" t="str">
        <f>HYPERLINK("http://svalbardauto.no","svalbardauto.no")</f>
        <v>svalbardauto.no</v>
      </c>
      <c r="C34863" t="s">
        <v>478</v>
      </c>
      <c r="D34863" t="s">
        <v>853</v>
      </c>
      <c r="F34863">
        <v>8.5466848939734292E-9</v>
      </c>
      <c r="G34863">
        <v>8756059</v>
      </c>
      <c r="H34863">
        <v>12311652</v>
      </c>
      <c r="I34863">
        <v>20585777</v>
      </c>
      <c r="J34863">
        <v>3</v>
      </c>
    </row>
    <row r="34864" spans="1:10" x14ac:dyDescent="0.25">
      <c r="A34864" t="s">
        <v>381</v>
      </c>
      <c r="B34864" s="1" t="str">
        <f>HYPERLINK("http://toyota.no","toyota.no")</f>
        <v>toyota.no</v>
      </c>
      <c r="C34864" t="s">
        <v>478</v>
      </c>
      <c r="D34864" t="s">
        <v>853</v>
      </c>
      <c r="E34864">
        <v>676902</v>
      </c>
      <c r="F34864">
        <v>1.17490491067035E-7</v>
      </c>
      <c r="G34864">
        <v>338172</v>
      </c>
      <c r="H34864">
        <v>14494194</v>
      </c>
      <c r="I34864">
        <v>883108</v>
      </c>
      <c r="J34864">
        <v>3</v>
      </c>
    </row>
    <row r="34865" spans="1:10" x14ac:dyDescent="0.25">
      <c r="A34865" t="s">
        <v>381</v>
      </c>
      <c r="B34865" s="1" t="str">
        <f>HYPERLINK("http://toyota-ab.no","toyota-ab.no")</f>
        <v>toyota-ab.no</v>
      </c>
      <c r="C34865" t="s">
        <v>478</v>
      </c>
      <c r="D34865" t="s">
        <v>853</v>
      </c>
      <c r="F34865">
        <v>8.1383935316570502E-9</v>
      </c>
      <c r="G34865">
        <v>9675912</v>
      </c>
      <c r="H34865">
        <v>12163195</v>
      </c>
      <c r="I34865">
        <v>24280193</v>
      </c>
      <c r="J34865">
        <v>5</v>
      </c>
    </row>
    <row r="34866" spans="1:10" x14ac:dyDescent="0.25">
      <c r="A34866" t="s">
        <v>381</v>
      </c>
      <c r="B34866" s="1" t="str">
        <f>HYPERLINK("http://toyota-forklifts.no","toyota-forklifts.no")</f>
        <v>toyota-forklifts.no</v>
      </c>
      <c r="C34866" t="s">
        <v>478</v>
      </c>
      <c r="D34866" t="s">
        <v>853</v>
      </c>
      <c r="F34866">
        <v>2.36883575058491E-8</v>
      </c>
      <c r="G34866">
        <v>2194693</v>
      </c>
      <c r="H34866">
        <v>12738222</v>
      </c>
      <c r="I34866">
        <v>15152598</v>
      </c>
      <c r="J34866">
        <v>4</v>
      </c>
    </row>
    <row r="34867" spans="1:10" x14ac:dyDescent="0.25">
      <c r="A34867" t="s">
        <v>381</v>
      </c>
      <c r="B34867" s="1" t="str">
        <f>HYPERLINK("http://toyota-haugesund.no","toyota-haugesund.no")</f>
        <v>toyota-haugesund.no</v>
      </c>
      <c r="C34867" t="s">
        <v>478</v>
      </c>
      <c r="D34867" t="s">
        <v>853</v>
      </c>
      <c r="F34867">
        <v>5.4771898773993099E-9</v>
      </c>
      <c r="G34867">
        <v>21163017</v>
      </c>
      <c r="H34867">
        <v>12078114</v>
      </c>
      <c r="I34867">
        <v>26605067</v>
      </c>
      <c r="J34867">
        <v>5</v>
      </c>
    </row>
    <row r="34868" spans="1:10" x14ac:dyDescent="0.25">
      <c r="A34868" t="s">
        <v>381</v>
      </c>
      <c r="B34868" s="1" t="str">
        <f>HYPERLINK("http://toyota-nf.no","toyota-nf.no")</f>
        <v>toyota-nf.no</v>
      </c>
      <c r="C34868" t="s">
        <v>478</v>
      </c>
      <c r="D34868" t="s">
        <v>853</v>
      </c>
      <c r="F34868">
        <v>7.4799549733664605E-9</v>
      </c>
      <c r="G34868">
        <v>11057938</v>
      </c>
      <c r="H34868">
        <v>12115585</v>
      </c>
      <c r="I34868">
        <v>25592359</v>
      </c>
      <c r="J34868">
        <v>5</v>
      </c>
    </row>
    <row r="34869" spans="1:10" x14ac:dyDescent="0.25">
      <c r="A34869" t="s">
        <v>381</v>
      </c>
      <c r="B34869" s="1" t="str">
        <f>HYPERLINK("http://toyota-oslo.no","toyota-oslo.no")</f>
        <v>toyota-oslo.no</v>
      </c>
      <c r="C34869" t="s">
        <v>478</v>
      </c>
      <c r="D34869" t="s">
        <v>853</v>
      </c>
      <c r="F34869">
        <v>1.0319456573331799E-8</v>
      </c>
      <c r="G34869">
        <v>6432767</v>
      </c>
      <c r="H34869">
        <v>12208803</v>
      </c>
      <c r="I34869">
        <v>23056443</v>
      </c>
      <c r="J34869">
        <v>3</v>
      </c>
    </row>
    <row r="34870" spans="1:10" x14ac:dyDescent="0.25">
      <c r="A34870" t="s">
        <v>381</v>
      </c>
      <c r="B34870" s="1" t="str">
        <f>HYPERLINK("http://toyota-ostfold-follo.no","toyota-ostfold-follo.no")</f>
        <v>toyota-ostfold-follo.no</v>
      </c>
      <c r="C34870" t="s">
        <v>478</v>
      </c>
      <c r="D34870" t="s">
        <v>853</v>
      </c>
      <c r="F34870">
        <v>9.1768219695700398E-9</v>
      </c>
      <c r="G34870">
        <v>7741060</v>
      </c>
      <c r="H34870">
        <v>12259370</v>
      </c>
      <c r="I34870">
        <v>21787177</v>
      </c>
      <c r="J34870">
        <v>5</v>
      </c>
    </row>
    <row r="34871" spans="1:10" x14ac:dyDescent="0.25">
      <c r="A34871" t="s">
        <v>381</v>
      </c>
      <c r="B34871" s="1" t="str">
        <f>HYPERLINK("http://toyotabilia.no","toyotabilia.no")</f>
        <v>toyotabilia.no</v>
      </c>
      <c r="C34871" t="s">
        <v>478</v>
      </c>
      <c r="D34871" t="s">
        <v>853</v>
      </c>
      <c r="F34871">
        <v>4.4792401347817904E-9</v>
      </c>
      <c r="G34871">
        <v>62521891</v>
      </c>
      <c r="H34871">
        <v>12076819</v>
      </c>
      <c r="I34871">
        <v>26644596</v>
      </c>
      <c r="J34871">
        <v>3</v>
      </c>
    </row>
    <row r="34872" spans="1:10" x14ac:dyDescent="0.25">
      <c r="A34872" t="s">
        <v>381</v>
      </c>
      <c r="B34872" s="1" t="str">
        <f>HYPERLINK("http://toyotadrammen.no","toyotadrammen.no")</f>
        <v>toyotadrammen.no</v>
      </c>
      <c r="C34872" t="s">
        <v>478</v>
      </c>
      <c r="D34872" t="s">
        <v>853</v>
      </c>
      <c r="F34872">
        <v>6.6583828055585797E-9</v>
      </c>
      <c r="G34872">
        <v>13454681</v>
      </c>
      <c r="H34872">
        <v>12163991</v>
      </c>
      <c r="I34872">
        <v>24256110</v>
      </c>
      <c r="J34872">
        <v>5</v>
      </c>
    </row>
    <row r="34873" spans="1:10" x14ac:dyDescent="0.25">
      <c r="A34873" t="s">
        <v>381</v>
      </c>
      <c r="B34873" s="1" t="str">
        <f>HYPERLINK("http://toyotahadeland.no","toyotahadeland.no")</f>
        <v>toyotahadeland.no</v>
      </c>
      <c r="C34873" t="s">
        <v>478</v>
      </c>
      <c r="D34873" t="s">
        <v>853</v>
      </c>
      <c r="J34873">
        <v>5</v>
      </c>
    </row>
    <row r="34874" spans="1:10" x14ac:dyDescent="0.25">
      <c r="A34874" t="s">
        <v>381</v>
      </c>
      <c r="B34874" s="1" t="str">
        <f>HYPERLINK("http://toyotahonefoss.no","toyotahonefoss.no")</f>
        <v>toyotahonefoss.no</v>
      </c>
      <c r="C34874" t="s">
        <v>478</v>
      </c>
      <c r="D34874" t="s">
        <v>853</v>
      </c>
      <c r="F34874">
        <v>7.4782685967837402E-9</v>
      </c>
      <c r="G34874">
        <v>11062657</v>
      </c>
      <c r="H34874">
        <v>12188520</v>
      </c>
      <c r="I34874">
        <v>23616635</v>
      </c>
      <c r="J34874">
        <v>5</v>
      </c>
    </row>
    <row r="34875" spans="1:10" x14ac:dyDescent="0.25">
      <c r="A34875" t="s">
        <v>381</v>
      </c>
      <c r="B34875" s="1" t="str">
        <f>HYPERLINK("http://toyotanorheimsund.no","toyotanorheimsund.no")</f>
        <v>toyotanorheimsund.no</v>
      </c>
      <c r="C34875" t="s">
        <v>478</v>
      </c>
      <c r="D34875" t="s">
        <v>853</v>
      </c>
      <c r="F34875">
        <v>9.2568191944485395E-9</v>
      </c>
      <c r="G34875">
        <v>7629528</v>
      </c>
      <c r="H34875">
        <v>12083332</v>
      </c>
      <c r="I34875">
        <v>26480836</v>
      </c>
      <c r="J34875">
        <v>3</v>
      </c>
    </row>
    <row r="34876" spans="1:10" x14ac:dyDescent="0.25">
      <c r="A34876" t="s">
        <v>381</v>
      </c>
      <c r="B34876" s="1" t="str">
        <f>HYPERLINK("http://toyotaromerike.no","toyotaromerike.no")</f>
        <v>toyotaromerike.no</v>
      </c>
      <c r="C34876" t="s">
        <v>478</v>
      </c>
      <c r="D34876" t="s">
        <v>853</v>
      </c>
      <c r="F34876">
        <v>8.4486568254421002E-9</v>
      </c>
      <c r="G34876">
        <v>8945536</v>
      </c>
      <c r="H34876">
        <v>12171211</v>
      </c>
      <c r="I34876">
        <v>24040343</v>
      </c>
      <c r="J34876">
        <v>5</v>
      </c>
    </row>
    <row r="34877" spans="1:10" x14ac:dyDescent="0.25">
      <c r="A34877" t="s">
        <v>381</v>
      </c>
      <c r="B34877" s="1" t="str">
        <f>HYPERLINK("http://toyotasogn.no","toyotasogn.no")</f>
        <v>toyotasogn.no</v>
      </c>
      <c r="C34877" t="s">
        <v>478</v>
      </c>
      <c r="D34877" t="s">
        <v>853</v>
      </c>
      <c r="F34877">
        <v>7.3574585829088603E-9</v>
      </c>
      <c r="G34877">
        <v>11343619</v>
      </c>
      <c r="H34877">
        <v>12785547</v>
      </c>
      <c r="I34877">
        <v>14713775</v>
      </c>
      <c r="J34877">
        <v>5</v>
      </c>
    </row>
    <row r="34878" spans="1:10" x14ac:dyDescent="0.25">
      <c r="A34878" t="s">
        <v>381</v>
      </c>
      <c r="B34878" s="1" t="str">
        <f>HYPERLINK("http://toyotasorvest.no","toyotasorvest.no")</f>
        <v>toyotasorvest.no</v>
      </c>
      <c r="C34878" t="s">
        <v>478</v>
      </c>
      <c r="D34878" t="s">
        <v>853</v>
      </c>
      <c r="F34878">
        <v>9.6011796036138202E-9</v>
      </c>
      <c r="G34878">
        <v>7198875</v>
      </c>
      <c r="H34878">
        <v>12870362</v>
      </c>
      <c r="I34878">
        <v>14067013</v>
      </c>
      <c r="J34878">
        <v>5</v>
      </c>
    </row>
    <row r="34879" spans="1:10" x14ac:dyDescent="0.25">
      <c r="A34879" t="s">
        <v>381</v>
      </c>
      <c r="B34879" s="1" t="str">
        <f>HYPERLINK("http://toyotasotra.no","toyotasotra.no")</f>
        <v>toyotasotra.no</v>
      </c>
      <c r="C34879" t="s">
        <v>478</v>
      </c>
      <c r="D34879" t="s">
        <v>853</v>
      </c>
      <c r="F34879">
        <v>5.1235206166774702E-9</v>
      </c>
      <c r="G34879">
        <v>26580055</v>
      </c>
      <c r="H34879">
        <v>12078089</v>
      </c>
      <c r="I34879">
        <v>26605543</v>
      </c>
      <c r="J34879">
        <v>3</v>
      </c>
    </row>
    <row r="34880" spans="1:10" x14ac:dyDescent="0.25">
      <c r="A34880" t="s">
        <v>381</v>
      </c>
      <c r="B34880" s="1" t="str">
        <f>HYPERLINK("http://toyotasr.no","toyotasr.no")</f>
        <v>toyotasr.no</v>
      </c>
      <c r="C34880" t="s">
        <v>478</v>
      </c>
      <c r="D34880" t="s">
        <v>853</v>
      </c>
      <c r="J34880">
        <v>5</v>
      </c>
    </row>
    <row r="34881" spans="1:10" x14ac:dyDescent="0.25">
      <c r="A34881" t="s">
        <v>381</v>
      </c>
      <c r="B34881" s="1" t="str">
        <f>HYPERLINK("http://toyotavoss.no","toyotavoss.no")</f>
        <v>toyotavoss.no</v>
      </c>
      <c r="C34881" t="s">
        <v>478</v>
      </c>
      <c r="D34881" t="s">
        <v>853</v>
      </c>
      <c r="F34881">
        <v>5.0527543423082196E-9</v>
      </c>
      <c r="G34881">
        <v>28159137</v>
      </c>
      <c r="H34881">
        <v>10725482</v>
      </c>
      <c r="I34881">
        <v>41310352</v>
      </c>
      <c r="J34881">
        <v>3</v>
      </c>
    </row>
    <row r="34882" spans="1:10" x14ac:dyDescent="0.25">
      <c r="A34882" t="s">
        <v>381</v>
      </c>
      <c r="B34882" s="1" t="str">
        <f>HYPERLINK("http://xn--rlandbil-44a.no","xn--rlandbil-44a.no")</f>
        <v>xn--rlandbil-44a.no</v>
      </c>
      <c r="C34882" t="s">
        <v>478</v>
      </c>
      <c r="D34882" t="s">
        <v>853</v>
      </c>
      <c r="F34882">
        <v>5.1323877424595998E-9</v>
      </c>
      <c r="G34882">
        <v>26410865</v>
      </c>
      <c r="H34882">
        <v>10724779</v>
      </c>
      <c r="I34882">
        <v>41368845</v>
      </c>
      <c r="J34882">
        <v>3</v>
      </c>
    </row>
    <row r="34883" spans="1:10" x14ac:dyDescent="0.25">
      <c r="A34883" t="s">
        <v>381</v>
      </c>
      <c r="B34883" s="1" t="str">
        <f>HYPERLINK("http://toyota.com.np","toyota.com.np")</f>
        <v>toyota.com.np</v>
      </c>
      <c r="C34883" t="s">
        <v>604</v>
      </c>
      <c r="D34883" t="s">
        <v>935</v>
      </c>
      <c r="F34883">
        <v>1.0311344203321599E-8</v>
      </c>
      <c r="G34883">
        <v>6440341</v>
      </c>
      <c r="H34883">
        <v>12332741</v>
      </c>
      <c r="I34883">
        <v>20154611</v>
      </c>
      <c r="J34883">
        <v>4</v>
      </c>
    </row>
    <row r="34884" spans="1:10" x14ac:dyDescent="0.25">
      <c r="A34884" t="s">
        <v>381</v>
      </c>
      <c r="B34884" s="1" t="str">
        <f>HYPERLINK("http://lexus.co.nz","lexus.co.nz")</f>
        <v>lexus.co.nz</v>
      </c>
      <c r="C34884" t="s">
        <v>479</v>
      </c>
      <c r="D34884" t="s">
        <v>854</v>
      </c>
      <c r="F34884">
        <v>1.4911043021379499E-8</v>
      </c>
      <c r="G34884">
        <v>3868918</v>
      </c>
      <c r="H34884">
        <v>14075370</v>
      </c>
      <c r="I34884">
        <v>2910993</v>
      </c>
      <c r="J34884">
        <v>7</v>
      </c>
    </row>
    <row r="34885" spans="1:10" x14ac:dyDescent="0.25">
      <c r="A34885" t="s">
        <v>381</v>
      </c>
      <c r="B34885" s="1" t="str">
        <f>HYPERLINK("http://toyota.co.nz","toyota.co.nz")</f>
        <v>toyota.co.nz</v>
      </c>
      <c r="C34885" t="s">
        <v>479</v>
      </c>
      <c r="D34885" t="s">
        <v>854</v>
      </c>
      <c r="E34885">
        <v>341888</v>
      </c>
      <c r="F34885">
        <v>5.4795337312855398E-8</v>
      </c>
      <c r="G34885">
        <v>821686</v>
      </c>
      <c r="H34885">
        <v>14927180</v>
      </c>
      <c r="I34885">
        <v>448897</v>
      </c>
      <c r="J34885">
        <v>3</v>
      </c>
    </row>
    <row r="34886" spans="1:10" x14ac:dyDescent="0.25">
      <c r="A34886" t="s">
        <v>381</v>
      </c>
      <c r="B34886" s="1" t="str">
        <f>HYPERLINK("http://toyota.com.ph","toyota.com.ph")</f>
        <v>toyota.com.ph</v>
      </c>
      <c r="C34886" t="s">
        <v>484</v>
      </c>
      <c r="D34886" t="s">
        <v>858</v>
      </c>
      <c r="E34886">
        <v>362515</v>
      </c>
      <c r="F34886">
        <v>8.3931189462693094E-8</v>
      </c>
      <c r="G34886">
        <v>493292</v>
      </c>
      <c r="H34886">
        <v>14777416</v>
      </c>
      <c r="I34886">
        <v>555526</v>
      </c>
      <c r="J34886">
        <v>4</v>
      </c>
    </row>
    <row r="34887" spans="1:10" x14ac:dyDescent="0.25">
      <c r="A34887" t="s">
        <v>381</v>
      </c>
      <c r="B34887" s="1" t="str">
        <f>HYPERLINK("http://toyotabatangas.com.ph","toyotabatangas.com.ph")</f>
        <v>toyotabatangas.com.ph</v>
      </c>
      <c r="C34887" t="s">
        <v>484</v>
      </c>
      <c r="D34887" t="s">
        <v>858</v>
      </c>
      <c r="F34887">
        <v>4.4438121425626699E-9</v>
      </c>
      <c r="G34887">
        <v>79591712</v>
      </c>
      <c r="H34887">
        <v>10344021</v>
      </c>
      <c r="I34887">
        <v>57449263</v>
      </c>
      <c r="J34887">
        <v>3</v>
      </c>
    </row>
    <row r="34888" spans="1:10" x14ac:dyDescent="0.25">
      <c r="A34888" t="s">
        <v>381</v>
      </c>
      <c r="B34888" s="1" t="str">
        <f>HYPERLINK("http://toyotacalamba.com.ph","toyotacalamba.com.ph")</f>
        <v>toyotacalamba.com.ph</v>
      </c>
      <c r="C34888" t="s">
        <v>484</v>
      </c>
      <c r="D34888" t="s">
        <v>858</v>
      </c>
      <c r="F34888">
        <v>4.7118594252459602E-9</v>
      </c>
      <c r="G34888">
        <v>40653679</v>
      </c>
      <c r="H34888">
        <v>11241047</v>
      </c>
      <c r="I34888">
        <v>30959033</v>
      </c>
      <c r="J34888">
        <v>3</v>
      </c>
    </row>
    <row r="34889" spans="1:10" x14ac:dyDescent="0.25">
      <c r="A34889" t="s">
        <v>381</v>
      </c>
      <c r="B34889" s="1" t="str">
        <f>HYPERLINK("http://toyotafinancial.ph","toyotafinancial.ph")</f>
        <v>toyotafinancial.ph</v>
      </c>
      <c r="C34889" t="s">
        <v>484</v>
      </c>
      <c r="D34889" t="s">
        <v>858</v>
      </c>
      <c r="F34889">
        <v>1.21561592615822E-8</v>
      </c>
      <c r="G34889">
        <v>5075985</v>
      </c>
      <c r="H34889">
        <v>12622500</v>
      </c>
      <c r="I34889">
        <v>16073150</v>
      </c>
      <c r="J34889">
        <v>4</v>
      </c>
    </row>
    <row r="34890" spans="1:10" x14ac:dyDescent="0.25">
      <c r="A34890" t="s">
        <v>381</v>
      </c>
      <c r="B34890" s="1" t="str">
        <f>HYPERLINK("http://bonkowscy.pl","bonkowscy.pl")</f>
        <v>bonkowscy.pl</v>
      </c>
      <c r="C34890" t="s">
        <v>486</v>
      </c>
      <c r="D34890" t="s">
        <v>860</v>
      </c>
      <c r="F34890">
        <v>1.28504540424271E-8</v>
      </c>
      <c r="G34890">
        <v>4704000</v>
      </c>
      <c r="H34890">
        <v>12160632</v>
      </c>
      <c r="I34890">
        <v>24345506</v>
      </c>
      <c r="J34890">
        <v>5</v>
      </c>
    </row>
    <row r="34891" spans="1:10" x14ac:dyDescent="0.25">
      <c r="A34891" t="s">
        <v>381</v>
      </c>
      <c r="B34891" s="1" t="str">
        <f>HYPERLINK("http://toyota.bydgoszcz.pl","toyota.bydgoszcz.pl")</f>
        <v>toyota.bydgoszcz.pl</v>
      </c>
      <c r="C34891" t="s">
        <v>486</v>
      </c>
      <c r="D34891" t="s">
        <v>860</v>
      </c>
      <c r="F34891">
        <v>5.9035697749805299E-9</v>
      </c>
      <c r="G34891">
        <v>17334996</v>
      </c>
      <c r="H34891">
        <v>11248046</v>
      </c>
      <c r="I34891">
        <v>30910332</v>
      </c>
      <c r="J34891">
        <v>4</v>
      </c>
    </row>
    <row r="34892" spans="1:10" x14ac:dyDescent="0.25">
      <c r="A34892" t="s">
        <v>381</v>
      </c>
      <c r="B34892" s="1" t="str">
        <f>HYPERLINK("http://carter.pl","carter.pl")</f>
        <v>carter.pl</v>
      </c>
      <c r="C34892" t="s">
        <v>486</v>
      </c>
      <c r="D34892" t="s">
        <v>860</v>
      </c>
      <c r="F34892">
        <v>6.2405682469490402E-9</v>
      </c>
      <c r="G34892">
        <v>15322259</v>
      </c>
      <c r="H34892">
        <v>12258385</v>
      </c>
      <c r="I34892">
        <v>21808632</v>
      </c>
      <c r="J34892">
        <v>5</v>
      </c>
    </row>
    <row r="34893" spans="1:10" x14ac:dyDescent="0.25">
      <c r="A34893" t="s">
        <v>381</v>
      </c>
      <c r="B34893" s="1" t="str">
        <f>HYPERLINK("http://chodzen.pl","chodzen.pl")</f>
        <v>chodzen.pl</v>
      </c>
      <c r="C34893" t="s">
        <v>486</v>
      </c>
      <c r="D34893" t="s">
        <v>860</v>
      </c>
      <c r="F34893">
        <v>1.4304310969233901E-8</v>
      </c>
      <c r="G34893">
        <v>4091751</v>
      </c>
      <c r="H34893">
        <v>12411279</v>
      </c>
      <c r="I34893">
        <v>18592288</v>
      </c>
      <c r="J34893">
        <v>5</v>
      </c>
    </row>
    <row r="34894" spans="1:10" x14ac:dyDescent="0.25">
      <c r="A34894" t="s">
        <v>381</v>
      </c>
      <c r="B34894" s="1" t="str">
        <f>HYPERLINK("http://kielce.com.pl","kielce.com.pl")</f>
        <v>kielce.com.pl</v>
      </c>
      <c r="C34894" t="s">
        <v>486</v>
      </c>
      <c r="D34894" t="s">
        <v>860</v>
      </c>
      <c r="F34894">
        <v>4.5948448726286402E-8</v>
      </c>
      <c r="G34894">
        <v>1021938</v>
      </c>
      <c r="H34894">
        <v>14253679</v>
      </c>
      <c r="I34894">
        <v>1438370</v>
      </c>
      <c r="J34894">
        <v>6</v>
      </c>
    </row>
    <row r="34895" spans="1:10" x14ac:dyDescent="0.25">
      <c r="A34895" t="s">
        <v>381</v>
      </c>
      <c r="B34895" s="1" t="str">
        <f>HYPERLINK("http://kompinscy.com.pl","kompinscy.com.pl")</f>
        <v>kompinscy.com.pl</v>
      </c>
      <c r="C34895" t="s">
        <v>486</v>
      </c>
      <c r="D34895" t="s">
        <v>860</v>
      </c>
      <c r="F34895">
        <v>5.0610926185632303E-9</v>
      </c>
      <c r="G34895">
        <v>27979916</v>
      </c>
      <c r="H34895">
        <v>10887117</v>
      </c>
      <c r="I34895">
        <v>36180819</v>
      </c>
      <c r="J34895">
        <v>3</v>
      </c>
    </row>
    <row r="34896" spans="1:10" x14ac:dyDescent="0.25">
      <c r="A34896" t="s">
        <v>381</v>
      </c>
      <c r="B34896" s="1" t="str">
        <f>HYPERLINK("http://pilsudski.com.pl","pilsudski.com.pl")</f>
        <v>pilsudski.com.pl</v>
      </c>
      <c r="C34896" t="s">
        <v>486</v>
      </c>
      <c r="D34896" t="s">
        <v>860</v>
      </c>
      <c r="F34896">
        <v>5.2571561811962496E-9</v>
      </c>
      <c r="G34896">
        <v>24148405</v>
      </c>
      <c r="H34896">
        <v>13464780</v>
      </c>
      <c r="I34896">
        <v>10073704</v>
      </c>
      <c r="J34896">
        <v>8</v>
      </c>
    </row>
    <row r="34897" spans="1:10" x14ac:dyDescent="0.25">
      <c r="A34897" t="s">
        <v>381</v>
      </c>
      <c r="B34897" s="1" t="str">
        <f>HYPERLINK("http://toyota-bialapodlaska.com.pl","toyota-bialapodlaska.com.pl")</f>
        <v>toyota-bialapodlaska.com.pl</v>
      </c>
      <c r="C34897" t="s">
        <v>486</v>
      </c>
      <c r="D34897" t="s">
        <v>860</v>
      </c>
      <c r="F34897">
        <v>5.3845543117316496E-9</v>
      </c>
      <c r="G34897">
        <v>22361197</v>
      </c>
      <c r="H34897">
        <v>10702215</v>
      </c>
      <c r="I34897">
        <v>42278066</v>
      </c>
      <c r="J34897">
        <v>3</v>
      </c>
    </row>
    <row r="34898" spans="1:10" x14ac:dyDescent="0.25">
      <c r="A34898" t="s">
        <v>381</v>
      </c>
      <c r="B34898" s="1" t="str">
        <f>HYPERLINK("http://toyota-lodz.com.pl","toyota-lodz.com.pl")</f>
        <v>toyota-lodz.com.pl</v>
      </c>
      <c r="C34898" t="s">
        <v>486</v>
      </c>
      <c r="D34898" t="s">
        <v>860</v>
      </c>
      <c r="F34898">
        <v>7.1861179471983097E-9</v>
      </c>
      <c r="G34898">
        <v>11780445</v>
      </c>
      <c r="H34898">
        <v>11173034</v>
      </c>
      <c r="I34898">
        <v>31501476</v>
      </c>
      <c r="J34898">
        <v>3</v>
      </c>
    </row>
    <row r="34899" spans="1:10" x14ac:dyDescent="0.25">
      <c r="A34899" t="s">
        <v>381</v>
      </c>
      <c r="B34899" s="1" t="str">
        <f>HYPERLINK("http://toyota-siedlce.com.pl","toyota-siedlce.com.pl")</f>
        <v>toyota-siedlce.com.pl</v>
      </c>
      <c r="C34899" t="s">
        <v>486</v>
      </c>
      <c r="D34899" t="s">
        <v>860</v>
      </c>
      <c r="F34899">
        <v>8.1620021045320907E-9</v>
      </c>
      <c r="G34899">
        <v>9636023</v>
      </c>
      <c r="H34899">
        <v>12253257</v>
      </c>
      <c r="I34899">
        <v>21935004</v>
      </c>
      <c r="J34899">
        <v>3</v>
      </c>
    </row>
    <row r="34900" spans="1:10" x14ac:dyDescent="0.25">
      <c r="A34900" t="s">
        <v>381</v>
      </c>
      <c r="B34900" s="1" t="str">
        <f>HYPERLINK("http://toyotalodz.com.pl","toyotalodz.com.pl")</f>
        <v>toyotalodz.com.pl</v>
      </c>
      <c r="C34900" t="s">
        <v>486</v>
      </c>
      <c r="D34900" t="s">
        <v>860</v>
      </c>
      <c r="F34900">
        <v>5.8713544586189099E-9</v>
      </c>
      <c r="G34900">
        <v>17558470</v>
      </c>
      <c r="H34900">
        <v>10889185</v>
      </c>
      <c r="I34900">
        <v>36115417</v>
      </c>
      <c r="J34900">
        <v>5</v>
      </c>
    </row>
    <row r="34901" spans="1:10" x14ac:dyDescent="0.25">
      <c r="A34901" t="s">
        <v>381</v>
      </c>
      <c r="B34901" s="1" t="str">
        <f>HYPERLINK("http://toyotalubin.com.pl","toyotalubin.com.pl")</f>
        <v>toyotalubin.com.pl</v>
      </c>
      <c r="C34901" t="s">
        <v>486</v>
      </c>
      <c r="D34901" t="s">
        <v>860</v>
      </c>
      <c r="F34901">
        <v>4.69014317802771E-9</v>
      </c>
      <c r="G34901">
        <v>41781054</v>
      </c>
      <c r="H34901">
        <v>12218633</v>
      </c>
      <c r="I34901">
        <v>22818142</v>
      </c>
      <c r="J34901">
        <v>3</v>
      </c>
    </row>
    <row r="34902" spans="1:10" x14ac:dyDescent="0.25">
      <c r="A34902" t="s">
        <v>381</v>
      </c>
      <c r="B34902" s="1" t="str">
        <f>HYPERLINK("http://zabrze.com.pl","zabrze.com.pl")</f>
        <v>zabrze.com.pl</v>
      </c>
      <c r="C34902" t="s">
        <v>486</v>
      </c>
      <c r="D34902" t="s">
        <v>860</v>
      </c>
      <c r="F34902">
        <v>1.8990042692937699E-8</v>
      </c>
      <c r="G34902">
        <v>2837765</v>
      </c>
      <c r="H34902">
        <v>14377201</v>
      </c>
      <c r="I34902">
        <v>1211641</v>
      </c>
      <c r="J34902">
        <v>4</v>
      </c>
    </row>
    <row r="34903" spans="1:10" x14ac:dyDescent="0.25">
      <c r="A34903" t="s">
        <v>381</v>
      </c>
      <c r="B34903" s="1" t="str">
        <f>HYPERLINK("http://toyota.gdynia.pl","toyota.gdynia.pl")</f>
        <v>toyota.gdynia.pl</v>
      </c>
      <c r="C34903" t="s">
        <v>486</v>
      </c>
      <c r="D34903" t="s">
        <v>860</v>
      </c>
      <c r="J34903">
        <v>5</v>
      </c>
    </row>
    <row r="34904" spans="1:10" x14ac:dyDescent="0.25">
      <c r="A34904" t="s">
        <v>381</v>
      </c>
      <c r="B34904" s="1" t="str">
        <f>HYPERLINK("http://przedszkole25.info.pl","przedszkole25.info.pl")</f>
        <v>przedszkole25.info.pl</v>
      </c>
      <c r="C34904" t="s">
        <v>486</v>
      </c>
      <c r="D34904" t="s">
        <v>860</v>
      </c>
      <c r="F34904">
        <v>4.44380395335525E-9</v>
      </c>
      <c r="G34904">
        <v>86013069</v>
      </c>
      <c r="H34904">
        <v>0</v>
      </c>
      <c r="I34904">
        <v>87394722</v>
      </c>
      <c r="J34904">
        <v>8</v>
      </c>
    </row>
    <row r="34905" spans="1:10" x14ac:dyDescent="0.25">
      <c r="A34905" t="s">
        <v>381</v>
      </c>
      <c r="B34905" s="1" t="str">
        <f>HYPERLINK("http://kielce.pl","kielce.pl")</f>
        <v>kielce.pl</v>
      </c>
      <c r="C34905" t="s">
        <v>486</v>
      </c>
      <c r="D34905" t="s">
        <v>860</v>
      </c>
      <c r="E34905">
        <v>27286</v>
      </c>
      <c r="F34905">
        <v>7.1479150223899596E-7</v>
      </c>
      <c r="G34905">
        <v>54291</v>
      </c>
      <c r="H34905">
        <v>15421358</v>
      </c>
      <c r="I34905">
        <v>379289</v>
      </c>
      <c r="J34905">
        <v>5</v>
      </c>
    </row>
    <row r="34906" spans="1:10" x14ac:dyDescent="0.25">
      <c r="A34906" t="s">
        <v>381</v>
      </c>
      <c r="B34906" s="1" t="str">
        <f>HYPERLINK("http://kinto-mobility.pl","kinto-mobility.pl")</f>
        <v>kinto-mobility.pl</v>
      </c>
      <c r="C34906" t="s">
        <v>486</v>
      </c>
      <c r="D34906" t="s">
        <v>860</v>
      </c>
      <c r="F34906">
        <v>1.6833569003910101E-8</v>
      </c>
      <c r="G34906">
        <v>3325145</v>
      </c>
      <c r="H34906">
        <v>12279182</v>
      </c>
      <c r="I34906">
        <v>21325362</v>
      </c>
      <c r="J34906">
        <v>4</v>
      </c>
    </row>
    <row r="34907" spans="1:10" x14ac:dyDescent="0.25">
      <c r="A34907" t="s">
        <v>381</v>
      </c>
      <c r="B34907" s="1" t="str">
        <f>HYPERLINK("http://lexus-katowice.pl","lexus-katowice.pl")</f>
        <v>lexus-katowice.pl</v>
      </c>
      <c r="C34907" t="s">
        <v>486</v>
      </c>
      <c r="D34907" t="s">
        <v>860</v>
      </c>
      <c r="F34907">
        <v>6.5670292602768799E-9</v>
      </c>
      <c r="G34907">
        <v>13805467</v>
      </c>
      <c r="H34907">
        <v>10736569</v>
      </c>
      <c r="I34907">
        <v>40594987</v>
      </c>
      <c r="J34907">
        <v>7</v>
      </c>
    </row>
    <row r="34908" spans="1:10" x14ac:dyDescent="0.25">
      <c r="A34908" t="s">
        <v>381</v>
      </c>
      <c r="B34908" s="1" t="str">
        <f>HYPERLINK("http://lexus-szczecin.pl","lexus-szczecin.pl")</f>
        <v>lexus-szczecin.pl</v>
      </c>
      <c r="C34908" t="s">
        <v>486</v>
      </c>
      <c r="D34908" t="s">
        <v>860</v>
      </c>
      <c r="F34908">
        <v>6.6716777996020202E-9</v>
      </c>
      <c r="G34908">
        <v>13405825</v>
      </c>
      <c r="H34908">
        <v>10973748</v>
      </c>
      <c r="I34908">
        <v>34062382</v>
      </c>
      <c r="J34908">
        <v>7</v>
      </c>
    </row>
    <row r="34909" spans="1:10" x14ac:dyDescent="0.25">
      <c r="A34909" t="s">
        <v>381</v>
      </c>
      <c r="B34909" s="1" t="str">
        <f>HYPERLINK("http://lexus-trojmiasto.pl","lexus-trojmiasto.pl")</f>
        <v>lexus-trojmiasto.pl</v>
      </c>
      <c r="C34909" t="s">
        <v>486</v>
      </c>
      <c r="D34909" t="s">
        <v>860</v>
      </c>
      <c r="F34909">
        <v>8.7864887312795606E-9</v>
      </c>
      <c r="G34909">
        <v>8332626</v>
      </c>
      <c r="H34909">
        <v>12247450</v>
      </c>
      <c r="I34909">
        <v>22063668</v>
      </c>
      <c r="J34909">
        <v>7</v>
      </c>
    </row>
    <row r="34910" spans="1:10" x14ac:dyDescent="0.25">
      <c r="A34910" t="s">
        <v>381</v>
      </c>
      <c r="B34910" s="1" t="str">
        <f>HYPERLINK("http://mostostal-kedzierzyn.pl","mostostal-kedzierzyn.pl")</f>
        <v>mostostal-kedzierzyn.pl</v>
      </c>
      <c r="C34910" t="s">
        <v>486</v>
      </c>
      <c r="D34910" t="s">
        <v>860</v>
      </c>
      <c r="F34910">
        <v>4.44924002294852E-9</v>
      </c>
      <c r="G34910">
        <v>72352873</v>
      </c>
      <c r="H34910">
        <v>10766993</v>
      </c>
      <c r="I34910">
        <v>39372214</v>
      </c>
      <c r="J34910">
        <v>8</v>
      </c>
    </row>
    <row r="34911" spans="1:10" x14ac:dyDescent="0.25">
      <c r="A34911" t="s">
        <v>381</v>
      </c>
      <c r="B34911" s="1" t="str">
        <f>HYPERLINK("http://mz.pl","mz.pl")</f>
        <v>mz.pl</v>
      </c>
      <c r="C34911" t="s">
        <v>486</v>
      </c>
      <c r="D34911" t="s">
        <v>860</v>
      </c>
      <c r="F34911">
        <v>2.0841151487136598E-8</v>
      </c>
      <c r="G34911">
        <v>2537276</v>
      </c>
      <c r="H34911">
        <v>12472294</v>
      </c>
      <c r="I34911">
        <v>17675515</v>
      </c>
      <c r="J34911">
        <v>7</v>
      </c>
    </row>
    <row r="34912" spans="1:10" x14ac:dyDescent="0.25">
      <c r="A34912" t="s">
        <v>381</v>
      </c>
      <c r="B34912" s="1" t="str">
        <f>HYPERLINK("http://zabrze.net.pl","zabrze.net.pl")</f>
        <v>zabrze.net.pl</v>
      </c>
      <c r="C34912" t="s">
        <v>486</v>
      </c>
      <c r="D34912" t="s">
        <v>860</v>
      </c>
      <c r="F34912">
        <v>7.0635519866246697E-9</v>
      </c>
      <c r="G34912">
        <v>12116925</v>
      </c>
      <c r="H34912">
        <v>14072132</v>
      </c>
      <c r="I34912">
        <v>3157770</v>
      </c>
      <c r="J34912">
        <v>4</v>
      </c>
    </row>
    <row r="34913" spans="1:10" x14ac:dyDescent="0.25">
      <c r="A34913" t="s">
        <v>381</v>
      </c>
      <c r="B34913" s="1" t="str">
        <f>HYPERLINK("http://toyota.opole.pl","toyota.opole.pl")</f>
        <v>toyota.opole.pl</v>
      </c>
      <c r="C34913" t="s">
        <v>486</v>
      </c>
      <c r="D34913" t="s">
        <v>860</v>
      </c>
      <c r="F34913">
        <v>7.98489361136512E-9</v>
      </c>
      <c r="G34913">
        <v>9948453</v>
      </c>
      <c r="H34913">
        <v>12135861</v>
      </c>
      <c r="I34913">
        <v>24979736</v>
      </c>
      <c r="J34913">
        <v>4</v>
      </c>
    </row>
    <row r="34914" spans="1:10" x14ac:dyDescent="0.25">
      <c r="A34914" t="s">
        <v>381</v>
      </c>
      <c r="B34914" s="1" t="str">
        <f>HYPERLINK("http://przedszkolekielce.pl","przedszkolekielce.pl")</f>
        <v>przedszkolekielce.pl</v>
      </c>
      <c r="C34914" t="s">
        <v>486</v>
      </c>
      <c r="D34914" t="s">
        <v>860</v>
      </c>
      <c r="F34914">
        <v>4.4606705374471697E-9</v>
      </c>
      <c r="G34914">
        <v>67545378</v>
      </c>
      <c r="H34914">
        <v>10525023</v>
      </c>
      <c r="I34914">
        <v>48939674</v>
      </c>
      <c r="J34914">
        <v>8</v>
      </c>
    </row>
    <row r="34915" spans="1:10" x14ac:dyDescent="0.25">
      <c r="A34915" t="s">
        <v>381</v>
      </c>
      <c r="B34915" s="1" t="str">
        <f>HYPERLINK("http://toyota.radom.pl","toyota.radom.pl")</f>
        <v>toyota.radom.pl</v>
      </c>
      <c r="C34915" t="s">
        <v>486</v>
      </c>
      <c r="D34915" t="s">
        <v>860</v>
      </c>
      <c r="F34915">
        <v>7.3038924414534699E-9</v>
      </c>
      <c r="G34915">
        <v>11470314</v>
      </c>
      <c r="H34915">
        <v>10782163</v>
      </c>
      <c r="I34915">
        <v>38835863</v>
      </c>
      <c r="J34915">
        <v>4</v>
      </c>
    </row>
    <row r="34916" spans="1:10" x14ac:dyDescent="0.25">
      <c r="A34916" t="s">
        <v>381</v>
      </c>
      <c r="B34916" s="1" t="str">
        <f>HYPERLINK("http://toyota.rybnik.pl","toyota.rybnik.pl")</f>
        <v>toyota.rybnik.pl</v>
      </c>
      <c r="C34916" t="s">
        <v>486</v>
      </c>
      <c r="D34916" t="s">
        <v>860</v>
      </c>
      <c r="F34916">
        <v>1.01583149668819E-8</v>
      </c>
      <c r="G34916">
        <v>6588098</v>
      </c>
      <c r="H34916">
        <v>12076765</v>
      </c>
      <c r="I34916">
        <v>26648083</v>
      </c>
      <c r="J34916">
        <v>4</v>
      </c>
    </row>
    <row r="34917" spans="1:10" x14ac:dyDescent="0.25">
      <c r="A34917" t="s">
        <v>381</v>
      </c>
      <c r="B34917" s="1" t="str">
        <f>HYPERLINK("http://toyota.rzeszow.pl","toyota.rzeszow.pl")</f>
        <v>toyota.rzeszow.pl</v>
      </c>
      <c r="C34917" t="s">
        <v>486</v>
      </c>
      <c r="D34917" t="s">
        <v>860</v>
      </c>
      <c r="F34917">
        <v>7.4975568137980605E-9</v>
      </c>
      <c r="G34917">
        <v>11018859</v>
      </c>
      <c r="H34917">
        <v>12122683</v>
      </c>
      <c r="I34917">
        <v>25338126</v>
      </c>
      <c r="J34917">
        <v>4</v>
      </c>
    </row>
    <row r="34918" spans="1:10" x14ac:dyDescent="0.25">
      <c r="A34918" t="s">
        <v>381</v>
      </c>
      <c r="B34918" s="1" t="str">
        <f>HYPERLINK("http://toyota.slupsk.pl","toyota.slupsk.pl")</f>
        <v>toyota.slupsk.pl</v>
      </c>
      <c r="C34918" t="s">
        <v>486</v>
      </c>
      <c r="D34918" t="s">
        <v>860</v>
      </c>
      <c r="F34918">
        <v>6.4400955927050801E-9</v>
      </c>
      <c r="G34918">
        <v>14337657</v>
      </c>
      <c r="H34918">
        <v>10784300</v>
      </c>
      <c r="I34918">
        <v>38739094</v>
      </c>
      <c r="J34918">
        <v>4</v>
      </c>
    </row>
    <row r="34919" spans="1:10" x14ac:dyDescent="0.25">
      <c r="A34919" t="s">
        <v>381</v>
      </c>
      <c r="B34919" s="1" t="str">
        <f>HYPERLINK("http://toyota.sosnowiec.pl","toyota.sosnowiec.pl")</f>
        <v>toyota.sosnowiec.pl</v>
      </c>
      <c r="C34919" t="s">
        <v>486</v>
      </c>
      <c r="D34919" t="s">
        <v>860</v>
      </c>
      <c r="F34919">
        <v>4.7839620079259597E-9</v>
      </c>
      <c r="G34919">
        <v>36793182</v>
      </c>
      <c r="H34919">
        <v>12081219</v>
      </c>
      <c r="I34919">
        <v>26539909</v>
      </c>
      <c r="J34919">
        <v>4</v>
      </c>
    </row>
    <row r="34920" spans="1:10" x14ac:dyDescent="0.25">
      <c r="A34920" t="s">
        <v>381</v>
      </c>
      <c r="B34920" s="1" t="str">
        <f>HYPERLINK("http://sp39kielce.pl","sp39kielce.pl")</f>
        <v>sp39kielce.pl</v>
      </c>
      <c r="C34920" t="s">
        <v>486</v>
      </c>
      <c r="D34920" t="s">
        <v>860</v>
      </c>
      <c r="F34920">
        <v>5.40005225258806E-9</v>
      </c>
      <c r="G34920">
        <v>22113503</v>
      </c>
      <c r="H34920">
        <v>12118140</v>
      </c>
      <c r="I34920">
        <v>25454113</v>
      </c>
      <c r="J34920">
        <v>8</v>
      </c>
    </row>
    <row r="34921" spans="1:10" x14ac:dyDescent="0.25">
      <c r="A34921" t="s">
        <v>381</v>
      </c>
      <c r="B34921" s="1" t="str">
        <f>HYPERLINK("http://toyota.pl","toyota.pl")</f>
        <v>toyota.pl</v>
      </c>
      <c r="C34921" t="s">
        <v>486</v>
      </c>
      <c r="D34921" t="s">
        <v>860</v>
      </c>
      <c r="E34921">
        <v>277785</v>
      </c>
      <c r="F34921">
        <v>1.4156670941109801E-7</v>
      </c>
      <c r="G34921">
        <v>275032</v>
      </c>
      <c r="H34921">
        <v>14447305</v>
      </c>
      <c r="I34921">
        <v>1055817</v>
      </c>
      <c r="J34921">
        <v>3</v>
      </c>
    </row>
    <row r="34922" spans="1:10" x14ac:dyDescent="0.25">
      <c r="A34922" t="s">
        <v>381</v>
      </c>
      <c r="B34922" s="1" t="str">
        <f>HYPERLINK("http://toyota-autopark.pl","toyota-autopark.pl")</f>
        <v>toyota-autopark.pl</v>
      </c>
      <c r="C34922" t="s">
        <v>486</v>
      </c>
      <c r="D34922" t="s">
        <v>860</v>
      </c>
      <c r="F34922">
        <v>5.4258029307265703E-9</v>
      </c>
      <c r="G34922">
        <v>21792045</v>
      </c>
      <c r="H34922">
        <v>9562954</v>
      </c>
      <c r="I34922">
        <v>64815094</v>
      </c>
      <c r="J34922">
        <v>3</v>
      </c>
    </row>
    <row r="34923" spans="1:10" x14ac:dyDescent="0.25">
      <c r="A34923" t="s">
        <v>381</v>
      </c>
      <c r="B34923" s="1" t="str">
        <f>HYPERLINK("http://toyota-bialystok.pl","toyota-bialystok.pl")</f>
        <v>toyota-bialystok.pl</v>
      </c>
      <c r="C34923" t="s">
        <v>486</v>
      </c>
      <c r="D34923" t="s">
        <v>860</v>
      </c>
      <c r="F34923">
        <v>6.5483869289483703E-9</v>
      </c>
      <c r="G34923">
        <v>13879545</v>
      </c>
      <c r="H34923">
        <v>11053527</v>
      </c>
      <c r="I34923">
        <v>32758510</v>
      </c>
      <c r="J34923">
        <v>5</v>
      </c>
    </row>
    <row r="34924" spans="1:10" x14ac:dyDescent="0.25">
      <c r="A34924" t="s">
        <v>381</v>
      </c>
      <c r="B34924" s="1" t="str">
        <f>HYPERLINK("http://toyota-bielany.pl","toyota-bielany.pl")</f>
        <v>toyota-bielany.pl</v>
      </c>
      <c r="C34924" t="s">
        <v>486</v>
      </c>
      <c r="D34924" t="s">
        <v>860</v>
      </c>
      <c r="F34924">
        <v>9.6366196777434302E-9</v>
      </c>
      <c r="G34924">
        <v>7155436</v>
      </c>
      <c r="H34924">
        <v>11230874</v>
      </c>
      <c r="I34924">
        <v>31021142</v>
      </c>
      <c r="J34924">
        <v>3</v>
      </c>
    </row>
    <row r="34925" spans="1:10" x14ac:dyDescent="0.25">
      <c r="A34925" t="s">
        <v>381</v>
      </c>
      <c r="B34925" s="1" t="str">
        <f>HYPERLINK("http://toyota-bytom.pl","toyota-bytom.pl")</f>
        <v>toyota-bytom.pl</v>
      </c>
      <c r="C34925" t="s">
        <v>486</v>
      </c>
      <c r="D34925" t="s">
        <v>860</v>
      </c>
      <c r="F34925">
        <v>5.8464844861331099E-9</v>
      </c>
      <c r="G34925">
        <v>17734528</v>
      </c>
      <c r="H34925">
        <v>10702916</v>
      </c>
      <c r="I34925">
        <v>42268575</v>
      </c>
      <c r="J34925">
        <v>3</v>
      </c>
    </row>
    <row r="34926" spans="1:10" x14ac:dyDescent="0.25">
      <c r="A34926" t="s">
        <v>381</v>
      </c>
      <c r="B34926" s="1" t="str">
        <f>HYPERLINK("http://toyota-centrum.pl","toyota-centrum.pl")</f>
        <v>toyota-centrum.pl</v>
      </c>
      <c r="C34926" t="s">
        <v>486</v>
      </c>
      <c r="D34926" t="s">
        <v>860</v>
      </c>
      <c r="F34926">
        <v>7.7697946896065899E-9</v>
      </c>
      <c r="G34926">
        <v>10391769</v>
      </c>
      <c r="H34926">
        <v>11192033</v>
      </c>
      <c r="I34926">
        <v>31335672</v>
      </c>
      <c r="J34926">
        <v>5</v>
      </c>
    </row>
    <row r="34927" spans="1:10" x14ac:dyDescent="0.25">
      <c r="A34927" t="s">
        <v>381</v>
      </c>
      <c r="B34927" s="1" t="str">
        <f>HYPERLINK("http://toyota-chorzow.pl","toyota-chorzow.pl")</f>
        <v>toyota-chorzow.pl</v>
      </c>
      <c r="C34927" t="s">
        <v>486</v>
      </c>
      <c r="D34927" t="s">
        <v>860</v>
      </c>
      <c r="F34927">
        <v>5.3471311856882297E-9</v>
      </c>
      <c r="G34927">
        <v>22839912</v>
      </c>
      <c r="H34927">
        <v>10900235</v>
      </c>
      <c r="I34927">
        <v>35828781</v>
      </c>
      <c r="J34927">
        <v>3</v>
      </c>
    </row>
    <row r="34928" spans="1:10" x14ac:dyDescent="0.25">
      <c r="A34928" t="s">
        <v>381</v>
      </c>
      <c r="B34928" s="1" t="str">
        <f>HYPERLINK("http://toyota-forklifts.pl","toyota-forklifts.pl")</f>
        <v>toyota-forklifts.pl</v>
      </c>
      <c r="C34928" t="s">
        <v>486</v>
      </c>
      <c r="D34928" t="s">
        <v>860</v>
      </c>
      <c r="F34928">
        <v>2.3870668409494699E-8</v>
      </c>
      <c r="G34928">
        <v>2175769</v>
      </c>
      <c r="H34928">
        <v>12740674</v>
      </c>
      <c r="I34928">
        <v>15127725</v>
      </c>
      <c r="J34928">
        <v>4</v>
      </c>
    </row>
    <row r="34929" spans="1:10" x14ac:dyDescent="0.25">
      <c r="A34929" t="s">
        <v>381</v>
      </c>
      <c r="B34929" s="1" t="str">
        <f>HYPERLINK("http://toyota-kobos.pl","toyota-kobos.pl")</f>
        <v>toyota-kobos.pl</v>
      </c>
      <c r="C34929" t="s">
        <v>486</v>
      </c>
      <c r="D34929" t="s">
        <v>860</v>
      </c>
      <c r="F34929">
        <v>1.29529892395849E-8</v>
      </c>
      <c r="G34929">
        <v>4654337</v>
      </c>
      <c r="H34929">
        <v>11116353</v>
      </c>
      <c r="I34929">
        <v>32089202</v>
      </c>
      <c r="J34929">
        <v>3</v>
      </c>
    </row>
    <row r="34930" spans="1:10" x14ac:dyDescent="0.25">
      <c r="A34930" t="s">
        <v>381</v>
      </c>
      <c r="B34930" s="1" t="str">
        <f>HYPERLINK("http://toyota-konin.pl","toyota-konin.pl")</f>
        <v>toyota-konin.pl</v>
      </c>
      <c r="C34930" t="s">
        <v>486</v>
      </c>
      <c r="D34930" t="s">
        <v>860</v>
      </c>
      <c r="F34930">
        <v>5.5255671557938E-9</v>
      </c>
      <c r="G34930">
        <v>20629309</v>
      </c>
      <c r="H34930">
        <v>10702214</v>
      </c>
      <c r="I34930">
        <v>42278082</v>
      </c>
      <c r="J34930">
        <v>5</v>
      </c>
    </row>
    <row r="34931" spans="1:10" x14ac:dyDescent="0.25">
      <c r="A34931" t="s">
        <v>381</v>
      </c>
      <c r="B34931" s="1" t="str">
        <f>HYPERLINK("http://toyota-lublin.pl","toyota-lublin.pl")</f>
        <v>toyota-lublin.pl</v>
      </c>
      <c r="C34931" t="s">
        <v>486</v>
      </c>
      <c r="D34931" t="s">
        <v>860</v>
      </c>
      <c r="F34931">
        <v>8.2294345631015193E-9</v>
      </c>
      <c r="G34931">
        <v>9435353</v>
      </c>
      <c r="H34931">
        <v>12402634</v>
      </c>
      <c r="I34931">
        <v>18738575</v>
      </c>
      <c r="J34931">
        <v>5</v>
      </c>
    </row>
    <row r="34932" spans="1:10" x14ac:dyDescent="0.25">
      <c r="A34932" t="s">
        <v>381</v>
      </c>
      <c r="B34932" s="1" t="str">
        <f>HYPERLINK("http://toyota-okecie.pl","toyota-okecie.pl")</f>
        <v>toyota-okecie.pl</v>
      </c>
      <c r="C34932" t="s">
        <v>486</v>
      </c>
      <c r="D34932" t="s">
        <v>860</v>
      </c>
      <c r="F34932">
        <v>7.6478459067320795E-9</v>
      </c>
      <c r="G34932">
        <v>10690369</v>
      </c>
      <c r="H34932">
        <v>11235223</v>
      </c>
      <c r="I34932">
        <v>30994180</v>
      </c>
      <c r="J34932">
        <v>5</v>
      </c>
    </row>
    <row r="34933" spans="1:10" x14ac:dyDescent="0.25">
      <c r="A34933" t="s">
        <v>381</v>
      </c>
      <c r="B34933" s="1" t="str">
        <f>HYPERLINK("http://toyota-olsztyn.pl","toyota-olsztyn.pl")</f>
        <v>toyota-olsztyn.pl</v>
      </c>
      <c r="C34933" t="s">
        <v>486</v>
      </c>
      <c r="D34933" t="s">
        <v>860</v>
      </c>
      <c r="F34933">
        <v>8.0182228749954908E-9</v>
      </c>
      <c r="G34933">
        <v>9887592</v>
      </c>
      <c r="H34933">
        <v>12314571</v>
      </c>
      <c r="I34933">
        <v>20521702</v>
      </c>
      <c r="J34933">
        <v>5</v>
      </c>
    </row>
    <row r="34934" spans="1:10" x14ac:dyDescent="0.25">
      <c r="A34934" t="s">
        <v>381</v>
      </c>
      <c r="B34934" s="1" t="str">
        <f>HYPERLINK("http://toyota-polska.pl","toyota-polska.pl")</f>
        <v>toyota-polska.pl</v>
      </c>
      <c r="C34934" t="s">
        <v>486</v>
      </c>
      <c r="D34934" t="s">
        <v>860</v>
      </c>
      <c r="F34934">
        <v>4.4904773368148097E-9</v>
      </c>
      <c r="G34934">
        <v>60445536</v>
      </c>
      <c r="H34934">
        <v>10894939</v>
      </c>
      <c r="I34934">
        <v>35954336</v>
      </c>
      <c r="J34934">
        <v>3</v>
      </c>
    </row>
    <row r="34935" spans="1:10" x14ac:dyDescent="0.25">
      <c r="A34935" t="s">
        <v>381</v>
      </c>
      <c r="B34935" s="1" t="str">
        <f>HYPERLINK("http://toyota-poznan.pl","toyota-poznan.pl")</f>
        <v>toyota-poznan.pl</v>
      </c>
      <c r="C34935" t="s">
        <v>486</v>
      </c>
      <c r="D34935" t="s">
        <v>860</v>
      </c>
      <c r="F34935">
        <v>5.4064445582541698E-9</v>
      </c>
      <c r="G34935">
        <v>22030748</v>
      </c>
      <c r="H34935">
        <v>10702351</v>
      </c>
      <c r="I34935">
        <v>42276087</v>
      </c>
      <c r="J34935">
        <v>5</v>
      </c>
    </row>
    <row r="34936" spans="1:10" x14ac:dyDescent="0.25">
      <c r="A34936" t="s">
        <v>381</v>
      </c>
      <c r="B34936" s="1" t="str">
        <f>HYPERLINK("http://toyota-radosc.pl","toyota-radosc.pl")</f>
        <v>toyota-radosc.pl</v>
      </c>
      <c r="C34936" t="s">
        <v>486</v>
      </c>
      <c r="D34936" t="s">
        <v>860</v>
      </c>
      <c r="F34936">
        <v>8.0958831462159896E-9</v>
      </c>
      <c r="G34936">
        <v>9748714</v>
      </c>
      <c r="H34936">
        <v>11404733</v>
      </c>
      <c r="I34936">
        <v>30211183</v>
      </c>
      <c r="J34936">
        <v>5</v>
      </c>
    </row>
    <row r="34937" spans="1:10" x14ac:dyDescent="0.25">
      <c r="A34937" t="s">
        <v>381</v>
      </c>
      <c r="B34937" s="1" t="str">
        <f>HYPERLINK("http://toyota-stalowawola.pl","toyota-stalowawola.pl")</f>
        <v>toyota-stalowawola.pl</v>
      </c>
      <c r="C34937" t="s">
        <v>486</v>
      </c>
      <c r="D34937" t="s">
        <v>860</v>
      </c>
      <c r="F34937">
        <v>5.8294723352702001E-9</v>
      </c>
      <c r="G34937">
        <v>17867071</v>
      </c>
      <c r="H34937">
        <v>10772885</v>
      </c>
      <c r="I34937">
        <v>39139387</v>
      </c>
      <c r="J34937">
        <v>5</v>
      </c>
    </row>
    <row r="34938" spans="1:10" x14ac:dyDescent="0.25">
      <c r="A34938" t="s">
        <v>381</v>
      </c>
      <c r="B34938" s="1" t="str">
        <f>HYPERLINK("http://toyota-ukleja.pl","toyota-ukleja.pl")</f>
        <v>toyota-ukleja.pl</v>
      </c>
      <c r="C34938" t="s">
        <v>486</v>
      </c>
      <c r="D34938" t="s">
        <v>860</v>
      </c>
      <c r="F34938">
        <v>6.3660095286587099E-9</v>
      </c>
      <c r="G34938">
        <v>14684585</v>
      </c>
      <c r="H34938">
        <v>12217653</v>
      </c>
      <c r="I34938">
        <v>22841599</v>
      </c>
      <c r="J34938">
        <v>5</v>
      </c>
    </row>
    <row r="34939" spans="1:10" x14ac:dyDescent="0.25">
      <c r="A34939" t="s">
        <v>381</v>
      </c>
      <c r="B34939" s="1" t="str">
        <f>HYPERLINK("http://toyota-wisniewski.pl","toyota-wisniewski.pl")</f>
        <v>toyota-wisniewski.pl</v>
      </c>
      <c r="C34939" t="s">
        <v>486</v>
      </c>
      <c r="D34939" t="s">
        <v>860</v>
      </c>
      <c r="F34939">
        <v>6.6939473726105296E-9</v>
      </c>
      <c r="G34939">
        <v>13324389</v>
      </c>
      <c r="H34939">
        <v>10886288</v>
      </c>
      <c r="I34939">
        <v>36202719</v>
      </c>
      <c r="J34939">
        <v>5</v>
      </c>
    </row>
    <row r="34940" spans="1:10" x14ac:dyDescent="0.25">
      <c r="A34940" t="s">
        <v>381</v>
      </c>
      <c r="B34940" s="1" t="str">
        <f>HYPERLINK("http://toyota-zg.pl","toyota-zg.pl")</f>
        <v>toyota-zg.pl</v>
      </c>
      <c r="C34940" t="s">
        <v>486</v>
      </c>
      <c r="D34940" t="s">
        <v>860</v>
      </c>
      <c r="F34940">
        <v>8.2930286196570004E-9</v>
      </c>
      <c r="G34940">
        <v>9276128</v>
      </c>
      <c r="H34940">
        <v>10996095</v>
      </c>
      <c r="I34940">
        <v>33646678</v>
      </c>
      <c r="J34940">
        <v>5</v>
      </c>
    </row>
    <row r="34941" spans="1:10" x14ac:dyDescent="0.25">
      <c r="A34941" t="s">
        <v>381</v>
      </c>
      <c r="B34941" s="1" t="str">
        <f>HYPERLINK("http://toyotabank.pl","toyotabank.pl")</f>
        <v>toyotabank.pl</v>
      </c>
      <c r="C34941" t="s">
        <v>486</v>
      </c>
      <c r="D34941" t="s">
        <v>860</v>
      </c>
      <c r="E34941">
        <v>384273</v>
      </c>
      <c r="F34941">
        <v>5.95310953436027E-8</v>
      </c>
      <c r="G34941">
        <v>742447</v>
      </c>
      <c r="H34941">
        <v>13790531</v>
      </c>
      <c r="I34941">
        <v>6346864</v>
      </c>
      <c r="J34941">
        <v>4</v>
      </c>
    </row>
    <row r="34942" spans="1:10" x14ac:dyDescent="0.25">
      <c r="A34942" t="s">
        <v>381</v>
      </c>
      <c r="B34942" s="1" t="str">
        <f>HYPERLINK("http://toyotabielsko.pl","toyotabielsko.pl")</f>
        <v>toyotabielsko.pl</v>
      </c>
      <c r="C34942" t="s">
        <v>486</v>
      </c>
      <c r="D34942" t="s">
        <v>860</v>
      </c>
      <c r="F34942">
        <v>1.3733384758857399E-8</v>
      </c>
      <c r="G34942">
        <v>4307791</v>
      </c>
      <c r="H34942">
        <v>12227360</v>
      </c>
      <c r="I34942">
        <v>22582373</v>
      </c>
      <c r="J34942">
        <v>5</v>
      </c>
    </row>
    <row r="34943" spans="1:10" x14ac:dyDescent="0.25">
      <c r="A34943" t="s">
        <v>381</v>
      </c>
      <c r="B34943" s="1" t="str">
        <f>HYPERLINK("http://toyotabronowice.pl","toyotabronowice.pl")</f>
        <v>toyotabronowice.pl</v>
      </c>
      <c r="C34943" t="s">
        <v>486</v>
      </c>
      <c r="D34943" t="s">
        <v>860</v>
      </c>
      <c r="F34943">
        <v>6.6533064388890802E-9</v>
      </c>
      <c r="G34943">
        <v>13473064</v>
      </c>
      <c r="H34943">
        <v>10776874</v>
      </c>
      <c r="I34943">
        <v>39021860</v>
      </c>
      <c r="J34943">
        <v>5</v>
      </c>
    </row>
    <row r="34944" spans="1:10" x14ac:dyDescent="0.25">
      <c r="A34944" t="s">
        <v>381</v>
      </c>
      <c r="B34944" s="1" t="str">
        <f>HYPERLINK("http://toyotaczestochowa.pl","toyotaczestochowa.pl")</f>
        <v>toyotaczestochowa.pl</v>
      </c>
      <c r="C34944" t="s">
        <v>486</v>
      </c>
      <c r="D34944" t="s">
        <v>860</v>
      </c>
      <c r="F34944">
        <v>5.87464837608748E-9</v>
      </c>
      <c r="G34944">
        <v>17534607</v>
      </c>
      <c r="H34944">
        <v>11172192</v>
      </c>
      <c r="I34944">
        <v>31509702</v>
      </c>
      <c r="J34944">
        <v>5</v>
      </c>
    </row>
    <row r="34945" spans="1:10" x14ac:dyDescent="0.25">
      <c r="A34945" t="s">
        <v>381</v>
      </c>
      <c r="B34945" s="1" t="str">
        <f>HYPERLINK("http://toyotadostawcze-bemowo.pl","toyotadostawcze-bemowo.pl")</f>
        <v>toyotadostawcze-bemowo.pl</v>
      </c>
      <c r="C34945" t="s">
        <v>486</v>
      </c>
      <c r="D34945" t="s">
        <v>860</v>
      </c>
      <c r="F34945">
        <v>5.3852498346005201E-9</v>
      </c>
      <c r="G34945">
        <v>22352919</v>
      </c>
      <c r="H34945">
        <v>10702221</v>
      </c>
      <c r="I34945">
        <v>42277978</v>
      </c>
      <c r="J34945">
        <v>5</v>
      </c>
    </row>
    <row r="34946" spans="1:10" x14ac:dyDescent="0.25">
      <c r="A34946" t="s">
        <v>381</v>
      </c>
      <c r="B34946" s="1" t="str">
        <f>HYPERLINK("http://toyotaelk.pl","toyotaelk.pl")</f>
        <v>toyotaelk.pl</v>
      </c>
      <c r="C34946" t="s">
        <v>486</v>
      </c>
      <c r="D34946" t="s">
        <v>860</v>
      </c>
      <c r="F34946">
        <v>6.3687961217511602E-9</v>
      </c>
      <c r="G34946">
        <v>14671613</v>
      </c>
      <c r="H34946">
        <v>10889997</v>
      </c>
      <c r="I34946">
        <v>36089908</v>
      </c>
      <c r="J34946">
        <v>5</v>
      </c>
    </row>
    <row r="34947" spans="1:10" x14ac:dyDescent="0.25">
      <c r="A34947" t="s">
        <v>381</v>
      </c>
      <c r="B34947" s="1" t="str">
        <f>HYPERLINK("http://toyotagrudziadz.pl","toyotagrudziadz.pl")</f>
        <v>toyotagrudziadz.pl</v>
      </c>
      <c r="C34947" t="s">
        <v>486</v>
      </c>
      <c r="D34947" t="s">
        <v>860</v>
      </c>
      <c r="F34947">
        <v>4.9451860491862201E-9</v>
      </c>
      <c r="G34947">
        <v>30919666</v>
      </c>
      <c r="H34947">
        <v>10702212</v>
      </c>
      <c r="I34947">
        <v>42278181</v>
      </c>
      <c r="J34947">
        <v>5</v>
      </c>
    </row>
    <row r="34948" spans="1:10" x14ac:dyDescent="0.25">
      <c r="A34948" t="s">
        <v>381</v>
      </c>
      <c r="B34948" s="1" t="str">
        <f>HYPERLINK("http://toyotajeleniagora.pl","toyotajeleniagora.pl")</f>
        <v>toyotajeleniagora.pl</v>
      </c>
      <c r="C34948" t="s">
        <v>486</v>
      </c>
      <c r="D34948" t="s">
        <v>860</v>
      </c>
      <c r="F34948">
        <v>5.9853219881796498E-9</v>
      </c>
      <c r="G34948">
        <v>16785378</v>
      </c>
      <c r="H34948">
        <v>10881517</v>
      </c>
      <c r="I34948">
        <v>36309731</v>
      </c>
      <c r="J34948">
        <v>5</v>
      </c>
    </row>
    <row r="34949" spans="1:10" x14ac:dyDescent="0.25">
      <c r="A34949" t="s">
        <v>381</v>
      </c>
      <c r="B34949" s="1" t="str">
        <f>HYPERLINK("http://toyotalubin.pl","toyotalubin.pl")</f>
        <v>toyotalubin.pl</v>
      </c>
      <c r="C34949" t="s">
        <v>486</v>
      </c>
      <c r="D34949" t="s">
        <v>860</v>
      </c>
      <c r="F34949">
        <v>5.9178231612733703E-9</v>
      </c>
      <c r="G34949">
        <v>17234951</v>
      </c>
      <c r="H34949">
        <v>10776169</v>
      </c>
      <c r="I34949">
        <v>39041386</v>
      </c>
      <c r="J34949">
        <v>5</v>
      </c>
    </row>
    <row r="34950" spans="1:10" x14ac:dyDescent="0.25">
      <c r="A34950" t="s">
        <v>381</v>
      </c>
      <c r="B34950" s="1" t="str">
        <f>HYPERLINK("http://toyotamikolajczak.pl","toyotamikolajczak.pl")</f>
        <v>toyotamikolajczak.pl</v>
      </c>
      <c r="C34950" t="s">
        <v>486</v>
      </c>
      <c r="D34950" t="s">
        <v>860</v>
      </c>
      <c r="F34950">
        <v>1.39104076814795E-8</v>
      </c>
      <c r="G34950">
        <v>4236972</v>
      </c>
      <c r="H34950">
        <v>10886821</v>
      </c>
      <c r="I34950">
        <v>36188437</v>
      </c>
      <c r="J34950">
        <v>5</v>
      </c>
    </row>
    <row r="34951" spans="1:10" x14ac:dyDescent="0.25">
      <c r="A34951" t="s">
        <v>381</v>
      </c>
      <c r="B34951" s="1" t="str">
        <f>HYPERLINK("http://toyotanowakowski.pl","toyotanowakowski.pl")</f>
        <v>toyotanowakowski.pl</v>
      </c>
      <c r="C34951" t="s">
        <v>486</v>
      </c>
      <c r="D34951" t="s">
        <v>860</v>
      </c>
      <c r="F34951">
        <v>9.3590953608378406E-9</v>
      </c>
      <c r="G34951">
        <v>7496491</v>
      </c>
      <c r="H34951">
        <v>12298478</v>
      </c>
      <c r="I34951">
        <v>20874787</v>
      </c>
      <c r="J34951">
        <v>5</v>
      </c>
    </row>
    <row r="34952" spans="1:10" x14ac:dyDescent="0.25">
      <c r="A34952" t="s">
        <v>381</v>
      </c>
      <c r="B34952" s="1" t="str">
        <f>HYPERLINK("http://toyotanowogard.pl","toyotanowogard.pl")</f>
        <v>toyotanowogard.pl</v>
      </c>
      <c r="C34952" t="s">
        <v>486</v>
      </c>
      <c r="D34952" t="s">
        <v>860</v>
      </c>
      <c r="F34952">
        <v>5.8610995035461396E-9</v>
      </c>
      <c r="G34952">
        <v>17630370</v>
      </c>
      <c r="H34952">
        <v>10702215</v>
      </c>
      <c r="I34952">
        <v>42278068</v>
      </c>
      <c r="J34952">
        <v>5</v>
      </c>
    </row>
    <row r="34953" spans="1:10" x14ac:dyDescent="0.25">
      <c r="A34953" t="s">
        <v>381</v>
      </c>
      <c r="B34953" s="1" t="str">
        <f>HYPERLINK("http://toyotaostroleka.pl","toyotaostroleka.pl")</f>
        <v>toyotaostroleka.pl</v>
      </c>
      <c r="C34953" t="s">
        <v>486</v>
      </c>
      <c r="D34953" t="s">
        <v>860</v>
      </c>
      <c r="F34953">
        <v>6.69577309497812E-9</v>
      </c>
      <c r="G34953">
        <v>13317995</v>
      </c>
      <c r="H34953">
        <v>10773571</v>
      </c>
      <c r="I34953">
        <v>39118517</v>
      </c>
      <c r="J34953">
        <v>5</v>
      </c>
    </row>
    <row r="34954" spans="1:10" x14ac:dyDescent="0.25">
      <c r="A34954" t="s">
        <v>381</v>
      </c>
      <c r="B34954" s="1" t="str">
        <f>HYPERLINK("http://toyotapoznan.pl","toyotapoznan.pl")</f>
        <v>toyotapoznan.pl</v>
      </c>
      <c r="C34954" t="s">
        <v>486</v>
      </c>
      <c r="D34954" t="s">
        <v>860</v>
      </c>
      <c r="F34954">
        <v>5.6667351935917304E-9</v>
      </c>
      <c r="G34954">
        <v>19244822</v>
      </c>
      <c r="H34954">
        <v>10704214</v>
      </c>
      <c r="I34954">
        <v>42249990</v>
      </c>
      <c r="J34954">
        <v>5</v>
      </c>
    </row>
    <row r="34955" spans="1:10" x14ac:dyDescent="0.25">
      <c r="A34955" t="s">
        <v>381</v>
      </c>
      <c r="B34955" s="1" t="str">
        <f>HYPERLINK("http://toyotaprofessionalwesola.pl","toyotaprofessionalwesola.pl")</f>
        <v>toyotaprofessionalwesola.pl</v>
      </c>
      <c r="C34955" t="s">
        <v>486</v>
      </c>
      <c r="D34955" t="s">
        <v>860</v>
      </c>
      <c r="F34955">
        <v>1.4760465959744399E-8</v>
      </c>
      <c r="G34955">
        <v>3920474</v>
      </c>
      <c r="H34955">
        <v>10702217</v>
      </c>
      <c r="I34955">
        <v>42278045</v>
      </c>
      <c r="J34955">
        <v>5</v>
      </c>
    </row>
    <row r="34956" spans="1:10" x14ac:dyDescent="0.25">
      <c r="A34956" t="s">
        <v>381</v>
      </c>
      <c r="B34956" s="1" t="str">
        <f>HYPERLINK("http://toyotasosnowiec.pl","toyotasosnowiec.pl")</f>
        <v>toyotasosnowiec.pl</v>
      </c>
      <c r="C34956" t="s">
        <v>486</v>
      </c>
      <c r="D34956" t="s">
        <v>860</v>
      </c>
      <c r="F34956">
        <v>5.4758025705667098E-9</v>
      </c>
      <c r="G34956">
        <v>21179086</v>
      </c>
      <c r="H34956">
        <v>10702214</v>
      </c>
      <c r="I34956">
        <v>42278083</v>
      </c>
      <c r="J34956">
        <v>5</v>
      </c>
    </row>
    <row r="34957" spans="1:10" x14ac:dyDescent="0.25">
      <c r="A34957" t="s">
        <v>381</v>
      </c>
      <c r="B34957" s="1" t="str">
        <f>HYPERLINK("http://toyotasuwalki.pl","toyotasuwalki.pl")</f>
        <v>toyotasuwalki.pl</v>
      </c>
      <c r="C34957" t="s">
        <v>486</v>
      </c>
      <c r="D34957" t="s">
        <v>860</v>
      </c>
      <c r="F34957">
        <v>5.2823135304413802E-9</v>
      </c>
      <c r="G34957">
        <v>23756830</v>
      </c>
      <c r="H34957">
        <v>10772883</v>
      </c>
      <c r="I34957">
        <v>39139433</v>
      </c>
      <c r="J34957">
        <v>5</v>
      </c>
    </row>
    <row r="34958" spans="1:10" x14ac:dyDescent="0.25">
      <c r="A34958" t="s">
        <v>381</v>
      </c>
      <c r="B34958" s="1" t="str">
        <f>HYPERLINK("http://toyotaszczecin.pl","toyotaszczecin.pl")</f>
        <v>toyotaszczecin.pl</v>
      </c>
      <c r="C34958" t="s">
        <v>486</v>
      </c>
      <c r="D34958" t="s">
        <v>860</v>
      </c>
      <c r="F34958">
        <v>6.2746878541798004E-9</v>
      </c>
      <c r="G34958">
        <v>15152803</v>
      </c>
      <c r="H34958">
        <v>11386053</v>
      </c>
      <c r="I34958">
        <v>30264544</v>
      </c>
      <c r="J34958">
        <v>5</v>
      </c>
    </row>
    <row r="34959" spans="1:10" x14ac:dyDescent="0.25">
      <c r="A34959" t="s">
        <v>381</v>
      </c>
      <c r="B34959" s="1" t="str">
        <f>HYPERLINK("http://toyotatychy.pl","toyotatychy.pl")</f>
        <v>toyotatychy.pl</v>
      </c>
      <c r="C34959" t="s">
        <v>486</v>
      </c>
      <c r="D34959" t="s">
        <v>860</v>
      </c>
      <c r="F34959">
        <v>5.4758025705667098E-9</v>
      </c>
      <c r="G34959">
        <v>21179087</v>
      </c>
      <c r="H34959">
        <v>10702214</v>
      </c>
      <c r="I34959">
        <v>42278084</v>
      </c>
      <c r="J34959">
        <v>5</v>
      </c>
    </row>
    <row r="34960" spans="1:10" x14ac:dyDescent="0.25">
      <c r="A34960" t="s">
        <v>381</v>
      </c>
      <c r="B34960" s="1" t="str">
        <f>HYPERLINK("http://toyotawalbrzych.pl","toyotawalbrzych.pl")</f>
        <v>toyotawalbrzych.pl</v>
      </c>
      <c r="C34960" t="s">
        <v>486</v>
      </c>
      <c r="D34960" t="s">
        <v>860</v>
      </c>
      <c r="F34960">
        <v>8.5897552271463596E-9</v>
      </c>
      <c r="G34960">
        <v>8675027</v>
      </c>
      <c r="H34960">
        <v>10890773</v>
      </c>
      <c r="I34960">
        <v>36068981</v>
      </c>
      <c r="J34960">
        <v>5</v>
      </c>
    </row>
    <row r="34961" spans="1:10" x14ac:dyDescent="0.25">
      <c r="A34961" t="s">
        <v>381</v>
      </c>
      <c r="B34961" s="1" t="str">
        <f>HYPERLINK("http://toyotawlochy.pl","toyotawlochy.pl")</f>
        <v>toyotawlochy.pl</v>
      </c>
      <c r="C34961" t="s">
        <v>486</v>
      </c>
      <c r="D34961" t="s">
        <v>860</v>
      </c>
      <c r="F34961">
        <v>6.5260258821760197E-9</v>
      </c>
      <c r="G34961">
        <v>13970722</v>
      </c>
      <c r="H34961">
        <v>11223338</v>
      </c>
      <c r="I34961">
        <v>31068591</v>
      </c>
      <c r="J34961">
        <v>3</v>
      </c>
    </row>
    <row r="34962" spans="1:10" x14ac:dyDescent="0.25">
      <c r="A34962" t="s">
        <v>381</v>
      </c>
      <c r="B34962" s="1" t="str">
        <f>HYPERLINK("http://toyotawola.pl","toyotawola.pl")</f>
        <v>toyotawola.pl</v>
      </c>
      <c r="C34962" t="s">
        <v>486</v>
      </c>
      <c r="D34962" t="s">
        <v>860</v>
      </c>
      <c r="F34962">
        <v>9.0378541869129599E-9</v>
      </c>
      <c r="G34962">
        <v>7935425</v>
      </c>
      <c r="H34962">
        <v>12188773</v>
      </c>
      <c r="I34962">
        <v>23610672</v>
      </c>
      <c r="J34962">
        <v>5</v>
      </c>
    </row>
    <row r="34963" spans="1:10" x14ac:dyDescent="0.25">
      <c r="A34963" t="s">
        <v>381</v>
      </c>
      <c r="B34963" s="1" t="str">
        <f>HYPERLINK("http://toyotawroclaw.pl","toyotawroclaw.pl")</f>
        <v>toyotawroclaw.pl</v>
      </c>
      <c r="C34963" t="s">
        <v>486</v>
      </c>
      <c r="D34963" t="s">
        <v>860</v>
      </c>
      <c r="F34963">
        <v>7.2712334450407199E-9</v>
      </c>
      <c r="G34963">
        <v>11550979</v>
      </c>
      <c r="H34963">
        <v>10778413</v>
      </c>
      <c r="I34963">
        <v>38979332</v>
      </c>
      <c r="J34963">
        <v>5</v>
      </c>
    </row>
    <row r="34964" spans="1:10" x14ac:dyDescent="0.25">
      <c r="A34964" t="s">
        <v>381</v>
      </c>
      <c r="B34964" s="1" t="str">
        <f>HYPERLINK("http://toyotazdunskawola.pl","toyotazdunskawola.pl")</f>
        <v>toyotazdunskawola.pl</v>
      </c>
      <c r="C34964" t="s">
        <v>486</v>
      </c>
      <c r="D34964" t="s">
        <v>860</v>
      </c>
      <c r="F34964">
        <v>5.5774513178891299E-9</v>
      </c>
      <c r="G34964">
        <v>20080493</v>
      </c>
      <c r="H34964">
        <v>11223313</v>
      </c>
      <c r="I34964">
        <v>31068706</v>
      </c>
      <c r="J34964">
        <v>5</v>
      </c>
    </row>
    <row r="34965" spans="1:10" x14ac:dyDescent="0.25">
      <c r="A34965" t="s">
        <v>381</v>
      </c>
      <c r="B34965" s="1" t="str">
        <f>HYPERLINK("http://uzywane-ukleja.pl","uzywane-ukleja.pl")</f>
        <v>uzywane-ukleja.pl</v>
      </c>
      <c r="C34965" t="s">
        <v>486</v>
      </c>
      <c r="D34965" t="s">
        <v>860</v>
      </c>
      <c r="F34965">
        <v>5.0473235749286497E-9</v>
      </c>
      <c r="G34965">
        <v>28282801</v>
      </c>
      <c r="H34965">
        <v>10784589</v>
      </c>
      <c r="I34965">
        <v>38720781</v>
      </c>
      <c r="J34965">
        <v>3</v>
      </c>
    </row>
    <row r="34966" spans="1:10" x14ac:dyDescent="0.25">
      <c r="A34966" t="s">
        <v>381</v>
      </c>
      <c r="B34966" s="1" t="str">
        <f>HYPERLINK("http://toyota.wloclawek.pl","toyota.wloclawek.pl")</f>
        <v>toyota.wloclawek.pl</v>
      </c>
      <c r="C34966" t="s">
        <v>486</v>
      </c>
      <c r="D34966" t="s">
        <v>860</v>
      </c>
      <c r="F34966">
        <v>5.7182011665403398E-9</v>
      </c>
      <c r="G34966">
        <v>18765474</v>
      </c>
      <c r="H34966">
        <v>10791978</v>
      </c>
      <c r="I34966">
        <v>38424387</v>
      </c>
      <c r="J34966">
        <v>4</v>
      </c>
    </row>
    <row r="34967" spans="1:10" x14ac:dyDescent="0.25">
      <c r="A34967" t="s">
        <v>381</v>
      </c>
      <c r="B34967" s="1" t="str">
        <f>HYPERLINK("http://zabrze.pl","zabrze.pl")</f>
        <v>zabrze.pl</v>
      </c>
      <c r="C34967" t="s">
        <v>486</v>
      </c>
      <c r="D34967" t="s">
        <v>860</v>
      </c>
      <c r="E34967">
        <v>136743</v>
      </c>
      <c r="F34967">
        <v>1.67213055059191E-7</v>
      </c>
      <c r="G34967">
        <v>232065</v>
      </c>
      <c r="H34967">
        <v>17117534</v>
      </c>
      <c r="I34967">
        <v>60728</v>
      </c>
      <c r="J34967">
        <v>3</v>
      </c>
    </row>
    <row r="34968" spans="1:10" x14ac:dyDescent="0.25">
      <c r="A34968" t="s">
        <v>381</v>
      </c>
      <c r="B34968" s="1" t="str">
        <f>HYPERLINK("http://caetanoauto.pt","caetanoauto.pt")</f>
        <v>caetanoauto.pt</v>
      </c>
      <c r="C34968" t="s">
        <v>488</v>
      </c>
      <c r="D34968" t="s">
        <v>862</v>
      </c>
      <c r="F34968">
        <v>9.3664067473375892E-9</v>
      </c>
      <c r="G34968">
        <v>7487272</v>
      </c>
      <c r="H34968">
        <v>12680393</v>
      </c>
      <c r="I34968">
        <v>15495598</v>
      </c>
      <c r="J34968">
        <v>3</v>
      </c>
    </row>
    <row r="34969" spans="1:10" x14ac:dyDescent="0.25">
      <c r="A34969" t="s">
        <v>381</v>
      </c>
      <c r="B34969" s="1" t="str">
        <f>HYPERLINK("http://kinto-mobility.pt","kinto-mobility.pt")</f>
        <v>kinto-mobility.pt</v>
      </c>
      <c r="C34969" t="s">
        <v>488</v>
      </c>
      <c r="D34969" t="s">
        <v>862</v>
      </c>
      <c r="F34969">
        <v>1.3569972603664899E-8</v>
      </c>
      <c r="G34969">
        <v>4374522</v>
      </c>
      <c r="H34969">
        <v>12399635</v>
      </c>
      <c r="I34969">
        <v>18854829</v>
      </c>
      <c r="J34969">
        <v>4</v>
      </c>
    </row>
    <row r="34970" spans="1:10" x14ac:dyDescent="0.25">
      <c r="A34970" t="s">
        <v>381</v>
      </c>
      <c r="B34970" s="1" t="str">
        <f>HYPERLINK("http://lexus.pt","lexus.pt")</f>
        <v>lexus.pt</v>
      </c>
      <c r="C34970" t="s">
        <v>488</v>
      </c>
      <c r="D34970" t="s">
        <v>862</v>
      </c>
      <c r="F34970">
        <v>4.2483753091313503E-8</v>
      </c>
      <c r="G34970">
        <v>1140887</v>
      </c>
      <c r="H34970">
        <v>14073267</v>
      </c>
      <c r="I34970">
        <v>3005633</v>
      </c>
      <c r="J34970">
        <v>4</v>
      </c>
    </row>
    <row r="34971" spans="1:10" x14ac:dyDescent="0.25">
      <c r="A34971" t="s">
        <v>381</v>
      </c>
      <c r="B34971" s="1" t="str">
        <f>HYPERLINK("http://mgl.pt","mgl.pt")</f>
        <v>mgl.pt</v>
      </c>
      <c r="C34971" t="s">
        <v>488</v>
      </c>
      <c r="D34971" t="s">
        <v>862</v>
      </c>
      <c r="F34971">
        <v>4.9594161988443198E-9</v>
      </c>
      <c r="G34971">
        <v>30528807</v>
      </c>
      <c r="H34971">
        <v>11246734</v>
      </c>
      <c r="I34971">
        <v>30921665</v>
      </c>
      <c r="J34971">
        <v>3</v>
      </c>
    </row>
    <row r="34972" spans="1:10" x14ac:dyDescent="0.25">
      <c r="A34972" t="s">
        <v>381</v>
      </c>
      <c r="B34972" s="1" t="str">
        <f>HYPERLINK("http://terauto.pt","terauto.pt")</f>
        <v>terauto.pt</v>
      </c>
      <c r="C34972" t="s">
        <v>488</v>
      </c>
      <c r="D34972" t="s">
        <v>862</v>
      </c>
      <c r="F34972">
        <v>6.5718999450315004E-9</v>
      </c>
      <c r="G34972">
        <v>13786422</v>
      </c>
      <c r="H34972">
        <v>12328821</v>
      </c>
      <c r="I34972">
        <v>20227899</v>
      </c>
      <c r="J34972">
        <v>3</v>
      </c>
    </row>
    <row r="34973" spans="1:10" x14ac:dyDescent="0.25">
      <c r="A34973" t="s">
        <v>381</v>
      </c>
      <c r="B34973" s="1" t="str">
        <f>HYPERLINK("http://toyota.pt","toyota.pt")</f>
        <v>toyota.pt</v>
      </c>
      <c r="C34973" t="s">
        <v>488</v>
      </c>
      <c r="D34973" t="s">
        <v>862</v>
      </c>
      <c r="E34973">
        <v>788957</v>
      </c>
      <c r="F34973">
        <v>1.00508283951006E-7</v>
      </c>
      <c r="G34973">
        <v>400125</v>
      </c>
      <c r="H34973">
        <v>14340753</v>
      </c>
      <c r="I34973">
        <v>1315995</v>
      </c>
      <c r="J34973">
        <v>3</v>
      </c>
    </row>
    <row r="34974" spans="1:10" x14ac:dyDescent="0.25">
      <c r="A34974" t="s">
        <v>381</v>
      </c>
      <c r="B34974" s="1" t="str">
        <f>HYPERLINK("http://toyota.re","toyota.re")</f>
        <v>toyota.re</v>
      </c>
      <c r="C34974" t="s">
        <v>575</v>
      </c>
      <c r="D34974" t="s">
        <v>920</v>
      </c>
      <c r="F34974">
        <v>5.8947491249189097E-9</v>
      </c>
      <c r="G34974">
        <v>17395363</v>
      </c>
      <c r="H34974">
        <v>10205966</v>
      </c>
      <c r="I34974">
        <v>58998391</v>
      </c>
      <c r="J34974">
        <v>3</v>
      </c>
    </row>
    <row r="34975" spans="1:10" x14ac:dyDescent="0.25">
      <c r="A34975" t="s">
        <v>381</v>
      </c>
      <c r="B34975" s="1" t="str">
        <f>HYPERLINK("http://lexus.ro","lexus.ro")</f>
        <v>lexus.ro</v>
      </c>
      <c r="C34975" t="s">
        <v>491</v>
      </c>
      <c r="D34975" t="s">
        <v>865</v>
      </c>
      <c r="F34975">
        <v>4.3741164459470197E-8</v>
      </c>
      <c r="G34975">
        <v>1090532</v>
      </c>
      <c r="H34975">
        <v>13671445</v>
      </c>
      <c r="I34975">
        <v>9546273</v>
      </c>
      <c r="J34975">
        <v>4</v>
      </c>
    </row>
    <row r="34976" spans="1:10" x14ac:dyDescent="0.25">
      <c r="A34976" t="s">
        <v>381</v>
      </c>
      <c r="B34976" s="1" t="str">
        <f>HYPERLINK("http://toyota.ro","toyota.ro")</f>
        <v>toyota.ro</v>
      </c>
      <c r="C34976" t="s">
        <v>491</v>
      </c>
      <c r="D34976" t="s">
        <v>865</v>
      </c>
      <c r="E34976">
        <v>574371</v>
      </c>
      <c r="F34976">
        <v>8.8231791919713498E-8</v>
      </c>
      <c r="G34976">
        <v>464383</v>
      </c>
      <c r="H34976">
        <v>14487341</v>
      </c>
      <c r="I34976">
        <v>949016</v>
      </c>
      <c r="J34976">
        <v>3</v>
      </c>
    </row>
    <row r="34977" spans="1:10" x14ac:dyDescent="0.25">
      <c r="A34977" t="s">
        <v>381</v>
      </c>
      <c r="B34977" s="1" t="str">
        <f>HYPERLINK("http://toyota-cluj.ro","toyota-cluj.ro")</f>
        <v>toyota-cluj.ro</v>
      </c>
      <c r="C34977" t="s">
        <v>491</v>
      </c>
      <c r="D34977" t="s">
        <v>865</v>
      </c>
      <c r="F34977">
        <v>5.03649835227548E-9</v>
      </c>
      <c r="G34977">
        <v>28521197</v>
      </c>
      <c r="H34977">
        <v>8634245</v>
      </c>
      <c r="I34977">
        <v>70503079</v>
      </c>
      <c r="J34977">
        <v>3</v>
      </c>
    </row>
    <row r="34978" spans="1:10" x14ac:dyDescent="0.25">
      <c r="A34978" t="s">
        <v>381</v>
      </c>
      <c r="B34978" s="1" t="str">
        <f>HYPERLINK("http://toyota-forklifts.ro","toyota-forklifts.ro")</f>
        <v>toyota-forklifts.ro</v>
      </c>
      <c r="C34978" t="s">
        <v>491</v>
      </c>
      <c r="D34978" t="s">
        <v>865</v>
      </c>
      <c r="F34978">
        <v>1.8989535878186701E-8</v>
      </c>
      <c r="G34978">
        <v>2837851</v>
      </c>
      <c r="H34978">
        <v>12706283</v>
      </c>
      <c r="I34978">
        <v>15321971</v>
      </c>
      <c r="J34978">
        <v>4</v>
      </c>
    </row>
    <row r="34979" spans="1:10" x14ac:dyDescent="0.25">
      <c r="A34979" t="s">
        <v>381</v>
      </c>
      <c r="B34979" s="1" t="str">
        <f>HYPERLINK("http://toyotaiasi.ro","toyotaiasi.ro")</f>
        <v>toyotaiasi.ro</v>
      </c>
      <c r="C34979" t="s">
        <v>491</v>
      </c>
      <c r="D34979" t="s">
        <v>865</v>
      </c>
      <c r="F34979">
        <v>5.0878675097557001E-9</v>
      </c>
      <c r="G34979">
        <v>27335164</v>
      </c>
      <c r="H34979">
        <v>11146879</v>
      </c>
      <c r="I34979">
        <v>31768635</v>
      </c>
      <c r="J34979">
        <v>3</v>
      </c>
    </row>
    <row r="34980" spans="1:10" x14ac:dyDescent="0.25">
      <c r="A34980" t="s">
        <v>381</v>
      </c>
      <c r="B34980" s="1" t="str">
        <f>HYPERLINK("http://toyotabroker.co.rs","toyotabroker.co.rs")</f>
        <v>toyotabroker.co.rs</v>
      </c>
      <c r="C34980" t="s">
        <v>492</v>
      </c>
      <c r="D34980" t="s">
        <v>866</v>
      </c>
      <c r="F34980">
        <v>5.2266305091252703E-9</v>
      </c>
      <c r="G34980">
        <v>24633067</v>
      </c>
      <c r="H34980">
        <v>10355013</v>
      </c>
      <c r="I34980">
        <v>55786455</v>
      </c>
      <c r="J34980">
        <v>3</v>
      </c>
    </row>
    <row r="34981" spans="1:10" x14ac:dyDescent="0.25">
      <c r="A34981" t="s">
        <v>381</v>
      </c>
      <c r="B34981" s="1" t="str">
        <f>HYPERLINK("http://toyota.rs","toyota.rs")</f>
        <v>toyota.rs</v>
      </c>
      <c r="C34981" t="s">
        <v>492</v>
      </c>
      <c r="D34981" t="s">
        <v>866</v>
      </c>
      <c r="F34981">
        <v>6.8151948612640796E-8</v>
      </c>
      <c r="G34981">
        <v>626149</v>
      </c>
      <c r="H34981">
        <v>13784062</v>
      </c>
      <c r="I34981">
        <v>6417426</v>
      </c>
      <c r="J34981">
        <v>4</v>
      </c>
    </row>
    <row r="34982" spans="1:10" x14ac:dyDescent="0.25">
      <c r="A34982" t="s">
        <v>381</v>
      </c>
      <c r="B34982" s="1" t="str">
        <f>HYPERLINK("http://toyota-forklifts.rs","toyota-forklifts.rs")</f>
        <v>toyota-forklifts.rs</v>
      </c>
      <c r="C34982" t="s">
        <v>492</v>
      </c>
      <c r="D34982" t="s">
        <v>866</v>
      </c>
      <c r="F34982">
        <v>1.36575377753504E-8</v>
      </c>
      <c r="G34982">
        <v>4338294</v>
      </c>
      <c r="H34982">
        <v>12679643</v>
      </c>
      <c r="I34982">
        <v>15505043</v>
      </c>
      <c r="J34982">
        <v>4</v>
      </c>
    </row>
    <row r="34983" spans="1:10" x14ac:dyDescent="0.25">
      <c r="A34983" t="s">
        <v>381</v>
      </c>
      <c r="B34983" s="1" t="str">
        <f>HYPERLINK("http://lexus.ru","lexus.ru")</f>
        <v>lexus.ru</v>
      </c>
      <c r="C34983" t="s">
        <v>493</v>
      </c>
      <c r="D34983" t="s">
        <v>867</v>
      </c>
      <c r="E34983">
        <v>83553</v>
      </c>
      <c r="F34983">
        <v>1.52312237412275E-7</v>
      </c>
      <c r="G34983">
        <v>254970</v>
      </c>
      <c r="H34983">
        <v>14138930</v>
      </c>
      <c r="I34983">
        <v>1943795</v>
      </c>
      <c r="J34983">
        <v>4</v>
      </c>
    </row>
    <row r="34984" spans="1:10" x14ac:dyDescent="0.25">
      <c r="A34984" t="s">
        <v>381</v>
      </c>
      <c r="B34984" s="1" t="str">
        <f>HYPERLINK("http://lexus-khv.ru","lexus-khv.ru")</f>
        <v>lexus-khv.ru</v>
      </c>
      <c r="C34984" t="s">
        <v>493</v>
      </c>
      <c r="D34984" t="s">
        <v>867</v>
      </c>
      <c r="F34984">
        <v>6.1527588482974098E-9</v>
      </c>
      <c r="G34984">
        <v>15786971</v>
      </c>
      <c r="H34984">
        <v>10615626</v>
      </c>
      <c r="I34984">
        <v>44415386</v>
      </c>
      <c r="J34984">
        <v>7</v>
      </c>
    </row>
    <row r="34985" spans="1:10" x14ac:dyDescent="0.25">
      <c r="A34985" t="s">
        <v>381</v>
      </c>
      <c r="B34985" s="1" t="str">
        <f>HYPERLINK("http://tomsklexus.ru","tomsklexus.ru")</f>
        <v>tomsklexus.ru</v>
      </c>
      <c r="C34985" t="s">
        <v>493</v>
      </c>
      <c r="D34985" t="s">
        <v>867</v>
      </c>
      <c r="F34985">
        <v>4.6885544149297499E-9</v>
      </c>
      <c r="G34985">
        <v>41864904</v>
      </c>
      <c r="H34985">
        <v>12396449</v>
      </c>
      <c r="I34985">
        <v>18904260</v>
      </c>
      <c r="J34985">
        <v>7</v>
      </c>
    </row>
    <row r="34986" spans="1:10" x14ac:dyDescent="0.25">
      <c r="A34986" t="s">
        <v>381</v>
      </c>
      <c r="B34986" s="1" t="str">
        <f>HYPERLINK("http://toyota.ru","toyota.ru")</f>
        <v>toyota.ru</v>
      </c>
      <c r="C34986" t="s">
        <v>493</v>
      </c>
      <c r="D34986" t="s">
        <v>867</v>
      </c>
      <c r="E34986">
        <v>76194</v>
      </c>
      <c r="F34986">
        <v>2.1800372924930199E-7</v>
      </c>
      <c r="G34986">
        <v>172923</v>
      </c>
      <c r="H34986">
        <v>14136089</v>
      </c>
      <c r="I34986">
        <v>1964638</v>
      </c>
      <c r="J34986">
        <v>4</v>
      </c>
    </row>
    <row r="34987" spans="1:10" x14ac:dyDescent="0.25">
      <c r="A34987" t="s">
        <v>381</v>
      </c>
      <c r="B34987" s="1" t="str">
        <f>HYPERLINK("http://toyota-bank.ru","toyota-bank.ru")</f>
        <v>toyota-bank.ru</v>
      </c>
      <c r="C34987" t="s">
        <v>493</v>
      </c>
      <c r="D34987" t="s">
        <v>867</v>
      </c>
      <c r="F34987">
        <v>3.2561194983242203E-8</v>
      </c>
      <c r="G34987">
        <v>1586846</v>
      </c>
      <c r="H34987">
        <v>14082922</v>
      </c>
      <c r="I34987">
        <v>2796926</v>
      </c>
      <c r="J34987">
        <v>4</v>
      </c>
    </row>
    <row r="34988" spans="1:10" x14ac:dyDescent="0.25">
      <c r="A34988" t="s">
        <v>381</v>
      </c>
      <c r="B34988" s="1" t="str">
        <f>HYPERLINK("http://toyota-khv.ru","toyota-khv.ru")</f>
        <v>toyota-khv.ru</v>
      </c>
      <c r="C34988" t="s">
        <v>493</v>
      </c>
      <c r="D34988" t="s">
        <v>867</v>
      </c>
      <c r="F34988">
        <v>5.2444186948788098E-9</v>
      </c>
      <c r="G34988">
        <v>24342984</v>
      </c>
      <c r="H34988">
        <v>12450849</v>
      </c>
      <c r="I34988">
        <v>17986751</v>
      </c>
      <c r="J34988">
        <v>3</v>
      </c>
    </row>
    <row r="34989" spans="1:10" x14ac:dyDescent="0.25">
      <c r="A34989" t="s">
        <v>381</v>
      </c>
      <c r="B34989" s="1" t="str">
        <f>HYPERLINK("http://toyota-mgn.ru","toyota-mgn.ru")</f>
        <v>toyota-mgn.ru</v>
      </c>
      <c r="C34989" t="s">
        <v>493</v>
      </c>
      <c r="D34989" t="s">
        <v>867</v>
      </c>
      <c r="F34989">
        <v>5.0551031524996797E-9</v>
      </c>
      <c r="G34989">
        <v>28109286</v>
      </c>
      <c r="H34989">
        <v>10710217</v>
      </c>
      <c r="I34989">
        <v>42154365</v>
      </c>
      <c r="J34989">
        <v>3</v>
      </c>
    </row>
    <row r="34990" spans="1:10" x14ac:dyDescent="0.25">
      <c r="A34990" t="s">
        <v>381</v>
      </c>
      <c r="B34990" s="1" t="str">
        <f>HYPERLINK("http://toyota-tagil.ru","toyota-tagil.ru")</f>
        <v>toyota-tagil.ru</v>
      </c>
      <c r="C34990" t="s">
        <v>493</v>
      </c>
      <c r="D34990" t="s">
        <v>867</v>
      </c>
      <c r="F34990">
        <v>4.7490977294435896E-9</v>
      </c>
      <c r="G34990">
        <v>38366589</v>
      </c>
      <c r="H34990">
        <v>10828282</v>
      </c>
      <c r="I34990">
        <v>37437845</v>
      </c>
      <c r="J34990">
        <v>3</v>
      </c>
    </row>
    <row r="34991" spans="1:10" x14ac:dyDescent="0.25">
      <c r="A34991" t="s">
        <v>381</v>
      </c>
      <c r="B34991" s="1" t="str">
        <f>HYPERLINK("http://toyota-vip.ru","toyota-vip.ru")</f>
        <v>toyota-vip.ru</v>
      </c>
      <c r="C34991" t="s">
        <v>493</v>
      </c>
      <c r="D34991" t="s">
        <v>867</v>
      </c>
      <c r="F34991">
        <v>7.6436292576369704E-9</v>
      </c>
      <c r="G34991">
        <v>10698799</v>
      </c>
      <c r="H34991">
        <v>12335953</v>
      </c>
      <c r="I34991">
        <v>20086530</v>
      </c>
      <c r="J34991">
        <v>3</v>
      </c>
    </row>
    <row r="34992" spans="1:10" x14ac:dyDescent="0.25">
      <c r="A34992" t="s">
        <v>381</v>
      </c>
      <c r="B34992" s="1" t="str">
        <f>HYPERLINK("http://toyota-vnukovo.ru","toyota-vnukovo.ru")</f>
        <v>toyota-vnukovo.ru</v>
      </c>
      <c r="C34992" t="s">
        <v>493</v>
      </c>
      <c r="D34992" t="s">
        <v>867</v>
      </c>
      <c r="F34992">
        <v>9.80859614611664E-9</v>
      </c>
      <c r="G34992">
        <v>6959695</v>
      </c>
      <c r="H34992">
        <v>11596371</v>
      </c>
      <c r="I34992">
        <v>29931459</v>
      </c>
      <c r="J34992">
        <v>3</v>
      </c>
    </row>
    <row r="34993" spans="1:10" x14ac:dyDescent="0.25">
      <c r="A34993" t="s">
        <v>381</v>
      </c>
      <c r="B34993" s="1" t="str">
        <f>HYPERLINK("http://toyotacenter.ru","toyotacenter.ru")</f>
        <v>toyotacenter.ru</v>
      </c>
      <c r="C34993" t="s">
        <v>493</v>
      </c>
      <c r="D34993" t="s">
        <v>867</v>
      </c>
      <c r="F34993">
        <v>2.2839295631206098E-8</v>
      </c>
      <c r="G34993">
        <v>2289373</v>
      </c>
      <c r="H34993">
        <v>14033249</v>
      </c>
      <c r="I34993">
        <v>3920750</v>
      </c>
      <c r="J34993">
        <v>3</v>
      </c>
    </row>
    <row r="34994" spans="1:10" x14ac:dyDescent="0.25">
      <c r="A34994" t="s">
        <v>381</v>
      </c>
      <c r="B34994" s="1" t="str">
        <f>HYPERLINK("http://toyotann.ru","toyotann.ru")</f>
        <v>toyotann.ru</v>
      </c>
      <c r="C34994" t="s">
        <v>493</v>
      </c>
      <c r="D34994" t="s">
        <v>867</v>
      </c>
      <c r="F34994">
        <v>7.1390513682913598E-9</v>
      </c>
      <c r="G34994">
        <v>11906375</v>
      </c>
      <c r="H34994">
        <v>12906788</v>
      </c>
      <c r="I34994">
        <v>13815918</v>
      </c>
      <c r="J34994">
        <v>3</v>
      </c>
    </row>
    <row r="34995" spans="1:10" x14ac:dyDescent="0.25">
      <c r="A34995" t="s">
        <v>381</v>
      </c>
      <c r="B34995" s="1" t="str">
        <f>HYPERLINK("http://toyota.com.sa","toyota.com.sa")</f>
        <v>toyota.com.sa</v>
      </c>
      <c r="C34995" t="s">
        <v>494</v>
      </c>
      <c r="D34995" t="s">
        <v>868</v>
      </c>
      <c r="E34995">
        <v>184146</v>
      </c>
      <c r="F34995">
        <v>9.3505610634999303E-7</v>
      </c>
      <c r="G34995">
        <v>41089</v>
      </c>
      <c r="H34995">
        <v>15543476</v>
      </c>
      <c r="I34995">
        <v>373920</v>
      </c>
      <c r="J34995">
        <v>3</v>
      </c>
    </row>
    <row r="34996" spans="1:10" x14ac:dyDescent="0.25">
      <c r="A34996" t="s">
        <v>381</v>
      </c>
      <c r="B34996" s="1" t="str">
        <f>HYPERLINK("http://asklingbil.se","asklingbil.se")</f>
        <v>asklingbil.se</v>
      </c>
      <c r="C34996" t="s">
        <v>495</v>
      </c>
      <c r="D34996" t="s">
        <v>869</v>
      </c>
      <c r="F34996">
        <v>7.3693290693830498E-9</v>
      </c>
      <c r="G34996">
        <v>11315378</v>
      </c>
      <c r="H34996">
        <v>12467369</v>
      </c>
      <c r="I34996">
        <v>17789108</v>
      </c>
      <c r="J34996">
        <v>3</v>
      </c>
    </row>
    <row r="34997" spans="1:10" x14ac:dyDescent="0.25">
      <c r="A34997" t="s">
        <v>381</v>
      </c>
      <c r="B34997" s="1" t="str">
        <f>HYPERLINK("http://bilcentervarnamo.se","bilcentervarnamo.se")</f>
        <v>bilcentervarnamo.se</v>
      </c>
      <c r="C34997" t="s">
        <v>495</v>
      </c>
      <c r="D34997" t="s">
        <v>869</v>
      </c>
      <c r="F34997">
        <v>5.4352416691732596E-9</v>
      </c>
      <c r="G34997">
        <v>21675535</v>
      </c>
      <c r="H34997">
        <v>12199510</v>
      </c>
      <c r="I34997">
        <v>23330163</v>
      </c>
      <c r="J34997">
        <v>3</v>
      </c>
    </row>
    <row r="34998" spans="1:10" x14ac:dyDescent="0.25">
      <c r="A34998" t="s">
        <v>381</v>
      </c>
      <c r="B34998" s="1" t="str">
        <f>HYPERLINK("http://bilia.se","bilia.se")</f>
        <v>bilia.se</v>
      </c>
      <c r="C34998" t="s">
        <v>495</v>
      </c>
      <c r="D34998" t="s">
        <v>869</v>
      </c>
      <c r="E34998">
        <v>517553</v>
      </c>
      <c r="F34998">
        <v>8.6481616907630402E-8</v>
      </c>
      <c r="G34998">
        <v>475397</v>
      </c>
      <c r="H34998">
        <v>14820700</v>
      </c>
      <c r="I34998">
        <v>516936</v>
      </c>
      <c r="J34998">
        <v>3</v>
      </c>
    </row>
    <row r="34999" spans="1:10" x14ac:dyDescent="0.25">
      <c r="A34999" t="s">
        <v>381</v>
      </c>
      <c r="B34999" s="1" t="str">
        <f>HYPERLINK("http://bilprisma.se","bilprisma.se")</f>
        <v>bilprisma.se</v>
      </c>
      <c r="C34999" t="s">
        <v>495</v>
      </c>
      <c r="D34999" t="s">
        <v>869</v>
      </c>
      <c r="F34999">
        <v>6.2022421508934197E-9</v>
      </c>
      <c r="G34999">
        <v>15523654</v>
      </c>
      <c r="H34999">
        <v>12134178</v>
      </c>
      <c r="I34999">
        <v>25022379</v>
      </c>
      <c r="J34999">
        <v>3</v>
      </c>
    </row>
    <row r="35000" spans="1:10" x14ac:dyDescent="0.25">
      <c r="A35000" t="s">
        <v>381</v>
      </c>
      <c r="B35000" s="1" t="str">
        <f>HYPERLINK("http://bilskadecenter.se","bilskadecenter.se")</f>
        <v>bilskadecenter.se</v>
      </c>
      <c r="C35000" t="s">
        <v>495</v>
      </c>
      <c r="D35000" t="s">
        <v>869</v>
      </c>
      <c r="F35000">
        <v>6.5898956602820201E-9</v>
      </c>
      <c r="G35000">
        <v>13715430</v>
      </c>
      <c r="H35000">
        <v>10594519</v>
      </c>
      <c r="I35000">
        <v>45289530</v>
      </c>
      <c r="J35000">
        <v>3</v>
      </c>
    </row>
    <row r="35001" spans="1:10" x14ac:dyDescent="0.25">
      <c r="A35001" t="s">
        <v>381</v>
      </c>
      <c r="B35001" s="1" t="str">
        <f>HYPERLINK("http://bjbilab.se","bjbilab.se")</f>
        <v>bjbilab.se</v>
      </c>
      <c r="C35001" t="s">
        <v>495</v>
      </c>
      <c r="D35001" t="s">
        <v>869</v>
      </c>
      <c r="F35001">
        <v>6.5080378921345901E-9</v>
      </c>
      <c r="G35001">
        <v>14044927</v>
      </c>
      <c r="H35001">
        <v>12205329</v>
      </c>
      <c r="I35001">
        <v>23183539</v>
      </c>
      <c r="J35001">
        <v>3</v>
      </c>
    </row>
    <row r="35002" spans="1:10" x14ac:dyDescent="0.25">
      <c r="A35002" t="s">
        <v>381</v>
      </c>
      <c r="B35002" s="1" t="str">
        <f>HYPERLINK("http://gertsbilfirma.se","gertsbilfirma.se")</f>
        <v>gertsbilfirma.se</v>
      </c>
      <c r="C35002" t="s">
        <v>495</v>
      </c>
      <c r="D35002" t="s">
        <v>869</v>
      </c>
      <c r="F35002">
        <v>5.1296078657632097E-9</v>
      </c>
      <c r="G35002">
        <v>26463624</v>
      </c>
      <c r="H35002">
        <v>12404872</v>
      </c>
      <c r="I35002">
        <v>18690870</v>
      </c>
      <c r="J35002">
        <v>3</v>
      </c>
    </row>
    <row r="35003" spans="1:10" x14ac:dyDescent="0.25">
      <c r="A35003" t="s">
        <v>381</v>
      </c>
      <c r="B35003" s="1" t="str">
        <f>HYPERLINK("http://kentsbilcentrum.se","kentsbilcentrum.se")</f>
        <v>kentsbilcentrum.se</v>
      </c>
      <c r="C35003" t="s">
        <v>495</v>
      </c>
      <c r="D35003" t="s">
        <v>869</v>
      </c>
      <c r="F35003">
        <v>6.3371483411483999E-9</v>
      </c>
      <c r="G35003">
        <v>14826469</v>
      </c>
      <c r="H35003">
        <v>12397601</v>
      </c>
      <c r="I35003">
        <v>18888218</v>
      </c>
      <c r="J35003">
        <v>3</v>
      </c>
    </row>
    <row r="35004" spans="1:10" x14ac:dyDescent="0.25">
      <c r="A35004" t="s">
        <v>381</v>
      </c>
      <c r="B35004" s="1" t="str">
        <f>HYPERLINK("http://lexus.se","lexus.se")</f>
        <v>lexus.se</v>
      </c>
      <c r="C35004" t="s">
        <v>495</v>
      </c>
      <c r="D35004" t="s">
        <v>869</v>
      </c>
      <c r="F35004">
        <v>6.4994478104414194E-8</v>
      </c>
      <c r="G35004">
        <v>663042</v>
      </c>
      <c r="H35004">
        <v>14105260</v>
      </c>
      <c r="I35004">
        <v>2691419</v>
      </c>
      <c r="J35004">
        <v>4</v>
      </c>
    </row>
    <row r="35005" spans="1:10" x14ac:dyDescent="0.25">
      <c r="A35005" t="s">
        <v>381</v>
      </c>
      <c r="B35005" s="1" t="str">
        <f>HYPERLINK("http://lidstromenqvist.se","lidstromenqvist.se")</f>
        <v>lidstromenqvist.se</v>
      </c>
      <c r="C35005" t="s">
        <v>495</v>
      </c>
      <c r="D35005" t="s">
        <v>869</v>
      </c>
      <c r="F35005">
        <v>5.1911031615896902E-9</v>
      </c>
      <c r="G35005">
        <v>25318814</v>
      </c>
      <c r="H35005">
        <v>12404870</v>
      </c>
      <c r="I35005">
        <v>18690927</v>
      </c>
      <c r="J35005">
        <v>3</v>
      </c>
    </row>
    <row r="35006" spans="1:10" x14ac:dyDescent="0.25">
      <c r="A35006" t="s">
        <v>381</v>
      </c>
      <c r="B35006" s="1" t="str">
        <f>HYPERLINK("http://lindstromsbil.se","lindstromsbil.se")</f>
        <v>lindstromsbil.se</v>
      </c>
      <c r="C35006" t="s">
        <v>495</v>
      </c>
      <c r="D35006" t="s">
        <v>869</v>
      </c>
      <c r="F35006">
        <v>1.9595417786593499E-8</v>
      </c>
      <c r="G35006">
        <v>2728810</v>
      </c>
      <c r="H35006">
        <v>13768514</v>
      </c>
      <c r="I35006">
        <v>6869998</v>
      </c>
      <c r="J35006">
        <v>3</v>
      </c>
    </row>
    <row r="35007" spans="1:10" x14ac:dyDescent="0.25">
      <c r="A35007" t="s">
        <v>381</v>
      </c>
      <c r="B35007" s="1" t="str">
        <f>HYPERLINK("http://lingmansbil.se","lingmansbil.se")</f>
        <v>lingmansbil.se</v>
      </c>
      <c r="C35007" t="s">
        <v>495</v>
      </c>
      <c r="D35007" t="s">
        <v>869</v>
      </c>
      <c r="F35007">
        <v>4.4472437084655599E-9</v>
      </c>
      <c r="G35007">
        <v>73666492</v>
      </c>
      <c r="H35007">
        <v>6979489</v>
      </c>
      <c r="I35007">
        <v>76964771</v>
      </c>
      <c r="J35007">
        <v>3</v>
      </c>
    </row>
    <row r="35008" spans="1:10" x14ac:dyDescent="0.25">
      <c r="A35008" t="s">
        <v>381</v>
      </c>
      <c r="B35008" s="1" t="str">
        <f>HYPERLINK("http://ottosbil.se","ottosbil.se")</f>
        <v>ottosbil.se</v>
      </c>
      <c r="C35008" t="s">
        <v>495</v>
      </c>
      <c r="D35008" t="s">
        <v>869</v>
      </c>
      <c r="F35008">
        <v>5.3181641540721997E-9</v>
      </c>
      <c r="G35008">
        <v>23233635</v>
      </c>
      <c r="H35008">
        <v>10509676</v>
      </c>
      <c r="I35008">
        <v>49737518</v>
      </c>
      <c r="J35008">
        <v>3</v>
      </c>
    </row>
    <row r="35009" spans="1:10" x14ac:dyDescent="0.25">
      <c r="A35009" t="s">
        <v>381</v>
      </c>
      <c r="B35009" s="1" t="str">
        <f>HYPERLINK("http://pmbil.se","pmbil.se")</f>
        <v>pmbil.se</v>
      </c>
      <c r="C35009" t="s">
        <v>495</v>
      </c>
      <c r="D35009" t="s">
        <v>869</v>
      </c>
      <c r="F35009">
        <v>4.4472437084655599E-9</v>
      </c>
      <c r="G35009">
        <v>73666504</v>
      </c>
      <c r="H35009">
        <v>6979489.5</v>
      </c>
      <c r="I35009">
        <v>76964371</v>
      </c>
      <c r="J35009">
        <v>3</v>
      </c>
    </row>
    <row r="35010" spans="1:10" x14ac:dyDescent="0.25">
      <c r="A35010" t="s">
        <v>381</v>
      </c>
      <c r="B35010" s="1" t="str">
        <f>HYPERLINK("http://sandstrom-ljungqvist.se","sandstrom-ljungqvist.se")</f>
        <v>sandstrom-ljungqvist.se</v>
      </c>
      <c r="C35010" t="s">
        <v>495</v>
      </c>
      <c r="D35010" t="s">
        <v>869</v>
      </c>
      <c r="F35010">
        <v>7.0646548476358697E-9</v>
      </c>
      <c r="G35010">
        <v>12113746</v>
      </c>
      <c r="H35010">
        <v>13763637</v>
      </c>
      <c r="I35010">
        <v>8050725</v>
      </c>
      <c r="J35010">
        <v>3</v>
      </c>
    </row>
    <row r="35011" spans="1:10" x14ac:dyDescent="0.25">
      <c r="A35011" t="s">
        <v>381</v>
      </c>
      <c r="B35011" s="1" t="str">
        <f>HYPERLINK("http://simlingbil.se","simlingbil.se")</f>
        <v>simlingbil.se</v>
      </c>
      <c r="C35011" t="s">
        <v>495</v>
      </c>
      <c r="D35011" t="s">
        <v>869</v>
      </c>
      <c r="F35011">
        <v>6.4117559687981498E-9</v>
      </c>
      <c r="G35011">
        <v>14463106</v>
      </c>
      <c r="H35011">
        <v>12168518</v>
      </c>
      <c r="I35011">
        <v>24109287</v>
      </c>
      <c r="J35011">
        <v>3</v>
      </c>
    </row>
    <row r="35012" spans="1:10" x14ac:dyDescent="0.25">
      <c r="A35012" t="s">
        <v>381</v>
      </c>
      <c r="B35012" s="1" t="str">
        <f>HYPERLINK("http://toyota.se","toyota.se")</f>
        <v>toyota.se</v>
      </c>
      <c r="C35012" t="s">
        <v>495</v>
      </c>
      <c r="D35012" t="s">
        <v>869</v>
      </c>
      <c r="E35012">
        <v>693128</v>
      </c>
      <c r="F35012">
        <v>1.12652085223549E-7</v>
      </c>
      <c r="G35012">
        <v>354428</v>
      </c>
      <c r="H35012">
        <v>14490198</v>
      </c>
      <c r="I35012">
        <v>914204</v>
      </c>
      <c r="J35012">
        <v>3</v>
      </c>
    </row>
    <row r="35013" spans="1:10" x14ac:dyDescent="0.25">
      <c r="A35013" t="s">
        <v>381</v>
      </c>
      <c r="B35013" s="1" t="str">
        <f>HYPERLINK("http://toyota-forklifts.se","toyota-forklifts.se")</f>
        <v>toyota-forklifts.se</v>
      </c>
      <c r="C35013" t="s">
        <v>495</v>
      </c>
      <c r="D35013" t="s">
        <v>869</v>
      </c>
      <c r="F35013">
        <v>3.4871182268841998E-8</v>
      </c>
      <c r="G35013">
        <v>1489236</v>
      </c>
      <c r="H35013">
        <v>14079868</v>
      </c>
      <c r="I35013">
        <v>2826704</v>
      </c>
      <c r="J35013">
        <v>4</v>
      </c>
    </row>
    <row r="35014" spans="1:10" x14ac:dyDescent="0.25">
      <c r="A35014" t="s">
        <v>381</v>
      </c>
      <c r="B35014" s="1" t="str">
        <f>HYPERLINK("http://toyota-industries.se","toyota-industries.se")</f>
        <v>toyota-industries.se</v>
      </c>
      <c r="C35014" t="s">
        <v>495</v>
      </c>
      <c r="D35014" t="s">
        <v>869</v>
      </c>
      <c r="J35014">
        <v>9</v>
      </c>
    </row>
    <row r="35015" spans="1:10" x14ac:dyDescent="0.25">
      <c r="A35015" t="s">
        <v>381</v>
      </c>
      <c r="B35015" s="1" t="str">
        <f>HYPERLINK("http://toyotacars.se","toyotacars.se")</f>
        <v>toyotacars.se</v>
      </c>
      <c r="C35015" t="s">
        <v>495</v>
      </c>
      <c r="D35015" t="s">
        <v>869</v>
      </c>
      <c r="F35015">
        <v>2.1293978905241599E-8</v>
      </c>
      <c r="G35015">
        <v>2475014</v>
      </c>
      <c r="H35015">
        <v>11030425</v>
      </c>
      <c r="I35015">
        <v>33098932</v>
      </c>
      <c r="J35015">
        <v>3</v>
      </c>
    </row>
    <row r="35016" spans="1:10" x14ac:dyDescent="0.25">
      <c r="A35016" t="s">
        <v>381</v>
      </c>
      <c r="B35016" s="1" t="str">
        <f>HYPERLINK("http://toyotagoteborg.se","toyotagoteborg.se")</f>
        <v>toyotagoteborg.se</v>
      </c>
      <c r="C35016" t="s">
        <v>495</v>
      </c>
      <c r="D35016" t="s">
        <v>869</v>
      </c>
      <c r="F35016">
        <v>1.51324652273892E-8</v>
      </c>
      <c r="G35016">
        <v>3797436</v>
      </c>
      <c r="H35016">
        <v>13673648</v>
      </c>
      <c r="I35016">
        <v>9542499</v>
      </c>
      <c r="J35016">
        <v>3</v>
      </c>
    </row>
    <row r="35017" spans="1:10" x14ac:dyDescent="0.25">
      <c r="A35017" t="s">
        <v>381</v>
      </c>
      <c r="B35017" s="1" t="str">
        <f>HYPERLINK("http://toyotahelsingborg.se","toyotahelsingborg.se")</f>
        <v>toyotahelsingborg.se</v>
      </c>
      <c r="C35017" t="s">
        <v>495</v>
      </c>
      <c r="D35017" t="s">
        <v>869</v>
      </c>
      <c r="F35017">
        <v>9.3492227920527098E-9</v>
      </c>
      <c r="G35017">
        <v>7508909</v>
      </c>
      <c r="H35017">
        <v>12121651</v>
      </c>
      <c r="I35017">
        <v>25365281</v>
      </c>
      <c r="J35017">
        <v>3</v>
      </c>
    </row>
    <row r="35018" spans="1:10" x14ac:dyDescent="0.25">
      <c r="A35018" t="s">
        <v>381</v>
      </c>
      <c r="B35018" s="1" t="str">
        <f>HYPERLINK("http://toyotauppsala.se","toyotauppsala.se")</f>
        <v>toyotauppsala.se</v>
      </c>
      <c r="C35018" t="s">
        <v>495</v>
      </c>
      <c r="D35018" t="s">
        <v>869</v>
      </c>
      <c r="F35018">
        <v>1.80527957895701E-8</v>
      </c>
      <c r="G35018">
        <v>3019697</v>
      </c>
      <c r="H35018">
        <v>13933430</v>
      </c>
      <c r="I35018">
        <v>4745791</v>
      </c>
      <c r="J35018">
        <v>7</v>
      </c>
    </row>
    <row r="35019" spans="1:10" x14ac:dyDescent="0.25">
      <c r="A35019" t="s">
        <v>381</v>
      </c>
      <c r="B35019" s="1" t="str">
        <f>HYPERLINK("http://toyotavastervik.se","toyotavastervik.se")</f>
        <v>toyotavastervik.se</v>
      </c>
      <c r="C35019" t="s">
        <v>495</v>
      </c>
      <c r="D35019" t="s">
        <v>869</v>
      </c>
      <c r="F35019">
        <v>4.4805841163773799E-9</v>
      </c>
      <c r="G35019">
        <v>62219531</v>
      </c>
      <c r="H35019">
        <v>8560610</v>
      </c>
      <c r="I35019">
        <v>71220086</v>
      </c>
      <c r="J35019">
        <v>3</v>
      </c>
    </row>
    <row r="35020" spans="1:10" x14ac:dyDescent="0.25">
      <c r="A35020" t="s">
        <v>381</v>
      </c>
      <c r="B35020" s="1" t="str">
        <f>HYPERLINK("http://toyotavisby.se","toyotavisby.se")</f>
        <v>toyotavisby.se</v>
      </c>
      <c r="C35020" t="s">
        <v>495</v>
      </c>
      <c r="D35020" t="s">
        <v>869</v>
      </c>
      <c r="F35020">
        <v>5.1607196073226203E-9</v>
      </c>
      <c r="G35020">
        <v>25889093</v>
      </c>
      <c r="H35020">
        <v>13765017</v>
      </c>
      <c r="I35020">
        <v>7157531</v>
      </c>
      <c r="J35020">
        <v>3</v>
      </c>
    </row>
    <row r="35021" spans="1:10" x14ac:dyDescent="0.25">
      <c r="A35021" t="s">
        <v>381</v>
      </c>
      <c r="B35021" s="1" t="str">
        <f>HYPERLINK("http://lexus.si","lexus.si")</f>
        <v>lexus.si</v>
      </c>
      <c r="C35021" t="s">
        <v>497</v>
      </c>
      <c r="D35021" t="s">
        <v>871</v>
      </c>
      <c r="F35021">
        <v>3.60008233840964E-8</v>
      </c>
      <c r="G35021">
        <v>1447476</v>
      </c>
      <c r="H35021">
        <v>14236763</v>
      </c>
      <c r="I35021">
        <v>1570804</v>
      </c>
      <c r="J35021">
        <v>4</v>
      </c>
    </row>
    <row r="35022" spans="1:10" x14ac:dyDescent="0.25">
      <c r="A35022" t="s">
        <v>381</v>
      </c>
      <c r="B35022" s="1" t="str">
        <f>HYPERLINK("http://toyota.si","toyota.si")</f>
        <v>toyota.si</v>
      </c>
      <c r="C35022" t="s">
        <v>497</v>
      </c>
      <c r="D35022" t="s">
        <v>871</v>
      </c>
      <c r="F35022">
        <v>7.7658312254118897E-8</v>
      </c>
      <c r="G35022">
        <v>538887</v>
      </c>
      <c r="H35022">
        <v>14244485</v>
      </c>
      <c r="I35022">
        <v>1471542</v>
      </c>
      <c r="J35022">
        <v>4</v>
      </c>
    </row>
    <row r="35023" spans="1:10" x14ac:dyDescent="0.25">
      <c r="A35023" t="s">
        <v>381</v>
      </c>
      <c r="B35023" s="1" t="str">
        <f>HYPERLINK("http://toyota-center.si","toyota-center.si")</f>
        <v>toyota-center.si</v>
      </c>
      <c r="C35023" t="s">
        <v>497</v>
      </c>
      <c r="D35023" t="s">
        <v>871</v>
      </c>
      <c r="F35023">
        <v>8.5175819287175499E-9</v>
      </c>
      <c r="G35023">
        <v>8810687</v>
      </c>
      <c r="H35023">
        <v>13106780</v>
      </c>
      <c r="I35023">
        <v>12055728</v>
      </c>
      <c r="J35023">
        <v>3</v>
      </c>
    </row>
    <row r="35024" spans="1:10" x14ac:dyDescent="0.25">
      <c r="A35024" t="s">
        <v>381</v>
      </c>
      <c r="B35024" s="1" t="str">
        <f>HYPERLINK("http://autogrand.sk","autogrand.sk")</f>
        <v>autogrand.sk</v>
      </c>
      <c r="C35024" t="s">
        <v>498</v>
      </c>
      <c r="D35024" t="s">
        <v>872</v>
      </c>
      <c r="F35024">
        <v>7.9634916283404695E-9</v>
      </c>
      <c r="G35024">
        <v>9988433</v>
      </c>
      <c r="H35024">
        <v>12179800</v>
      </c>
      <c r="I35024">
        <v>23820478</v>
      </c>
      <c r="J35024">
        <v>3</v>
      </c>
    </row>
    <row r="35025" spans="1:10" x14ac:dyDescent="0.25">
      <c r="A35025" t="s">
        <v>381</v>
      </c>
      <c r="B35025" s="1" t="str">
        <f>HYPERLINK("http://autovalas.sk","autovalas.sk")</f>
        <v>autovalas.sk</v>
      </c>
      <c r="C35025" t="s">
        <v>498</v>
      </c>
      <c r="D35025" t="s">
        <v>872</v>
      </c>
      <c r="F35025">
        <v>9.7984020411954906E-9</v>
      </c>
      <c r="G35025">
        <v>6970556</v>
      </c>
      <c r="H35025">
        <v>12183866</v>
      </c>
      <c r="I35025">
        <v>23720035</v>
      </c>
      <c r="J35025">
        <v>3</v>
      </c>
    </row>
    <row r="35026" spans="1:10" x14ac:dyDescent="0.25">
      <c r="A35026" t="s">
        <v>381</v>
      </c>
      <c r="B35026" s="1" t="str">
        <f>HYPERLINK("http://lexus.sk","lexus.sk")</f>
        <v>lexus.sk</v>
      </c>
      <c r="C35026" t="s">
        <v>498</v>
      </c>
      <c r="D35026" t="s">
        <v>872</v>
      </c>
      <c r="F35026">
        <v>4.64013844806456E-8</v>
      </c>
      <c r="G35026">
        <v>1008420</v>
      </c>
      <c r="H35026">
        <v>12268011</v>
      </c>
      <c r="I35026">
        <v>21568963</v>
      </c>
      <c r="J35026">
        <v>4</v>
      </c>
    </row>
    <row r="35027" spans="1:10" x14ac:dyDescent="0.25">
      <c r="A35027" t="s">
        <v>381</v>
      </c>
      <c r="B35027" s="1" t="str">
        <f>HYPERLINK("http://maximservis.sk","maximservis.sk")</f>
        <v>maximservis.sk</v>
      </c>
      <c r="C35027" t="s">
        <v>498</v>
      </c>
      <c r="D35027" t="s">
        <v>872</v>
      </c>
      <c r="F35027">
        <v>4.6852874183803503E-9</v>
      </c>
      <c r="G35027">
        <v>42037882</v>
      </c>
      <c r="H35027">
        <v>12225452</v>
      </c>
      <c r="I35027">
        <v>22643075</v>
      </c>
      <c r="J35027">
        <v>3</v>
      </c>
    </row>
    <row r="35028" spans="1:10" x14ac:dyDescent="0.25">
      <c r="A35028" t="s">
        <v>381</v>
      </c>
      <c r="B35028" s="1" t="str">
        <f>HYPERLINK("http://pkauto.sk","pkauto.sk")</f>
        <v>pkauto.sk</v>
      </c>
      <c r="C35028" t="s">
        <v>498</v>
      </c>
      <c r="D35028" t="s">
        <v>872</v>
      </c>
      <c r="F35028">
        <v>8.6905139346111398E-9</v>
      </c>
      <c r="G35028">
        <v>8494069</v>
      </c>
      <c r="H35028">
        <v>12877357</v>
      </c>
      <c r="I35028">
        <v>14017261</v>
      </c>
      <c r="J35028">
        <v>3</v>
      </c>
    </row>
    <row r="35029" spans="1:10" x14ac:dyDescent="0.25">
      <c r="A35029" t="s">
        <v>381</v>
      </c>
      <c r="B35029" s="1" t="str">
        <f>HYPERLINK("http://toyota.sk","toyota.sk")</f>
        <v>toyota.sk</v>
      </c>
      <c r="C35029" t="s">
        <v>498</v>
      </c>
      <c r="D35029" t="s">
        <v>872</v>
      </c>
      <c r="E35029">
        <v>941840</v>
      </c>
      <c r="F35029">
        <v>6.9958200151975903E-8</v>
      </c>
      <c r="G35029">
        <v>605730</v>
      </c>
      <c r="H35029">
        <v>12582124</v>
      </c>
      <c r="I35029">
        <v>16487554</v>
      </c>
      <c r="J35029">
        <v>4</v>
      </c>
    </row>
    <row r="35030" spans="1:10" x14ac:dyDescent="0.25">
      <c r="A35030" t="s">
        <v>381</v>
      </c>
      <c r="B35030" s="1" t="str">
        <f>HYPERLINK("http://toyota-forklifts.sk","toyota-forklifts.sk")</f>
        <v>toyota-forklifts.sk</v>
      </c>
      <c r="C35030" t="s">
        <v>498</v>
      </c>
      <c r="D35030" t="s">
        <v>872</v>
      </c>
      <c r="F35030">
        <v>1.6979709207688201E-8</v>
      </c>
      <c r="G35030">
        <v>3287977</v>
      </c>
      <c r="H35030">
        <v>12743982</v>
      </c>
      <c r="I35030">
        <v>15095672</v>
      </c>
      <c r="J35030">
        <v>4</v>
      </c>
    </row>
    <row r="35031" spans="1:10" x14ac:dyDescent="0.25">
      <c r="A35031" t="s">
        <v>381</v>
      </c>
      <c r="B35031" s="1" t="str">
        <f>HYPERLINK("http://toyota-kosice.sk","toyota-kosice.sk")</f>
        <v>toyota-kosice.sk</v>
      </c>
      <c r="C35031" t="s">
        <v>498</v>
      </c>
      <c r="D35031" t="s">
        <v>872</v>
      </c>
      <c r="F35031">
        <v>5.6633484760710101E-9</v>
      </c>
      <c r="G35031">
        <v>19276225</v>
      </c>
      <c r="H35031">
        <v>13763889</v>
      </c>
      <c r="I35031">
        <v>7517870</v>
      </c>
      <c r="J35031">
        <v>3</v>
      </c>
    </row>
    <row r="35032" spans="1:10" x14ac:dyDescent="0.25">
      <c r="A35032" t="s">
        <v>381</v>
      </c>
      <c r="B35032" s="1" t="str">
        <f>HYPERLINK("http://toytota-forklifts.sk","toytota-forklifts.sk")</f>
        <v>toytota-forklifts.sk</v>
      </c>
      <c r="C35032" t="s">
        <v>498</v>
      </c>
      <c r="D35032" t="s">
        <v>872</v>
      </c>
      <c r="J35032">
        <v>7</v>
      </c>
    </row>
    <row r="35033" spans="1:10" x14ac:dyDescent="0.25">
      <c r="A35033" t="s">
        <v>381</v>
      </c>
      <c r="B35033" s="1" t="str">
        <f>HYPERLINK("http://ciem.st","ciem.st")</f>
        <v>ciem.st</v>
      </c>
      <c r="C35033" t="s">
        <v>669</v>
      </c>
      <c r="D35033" t="s">
        <v>988</v>
      </c>
      <c r="J35033">
        <v>3</v>
      </c>
    </row>
    <row r="35034" spans="1:10" x14ac:dyDescent="0.25">
      <c r="A35034" t="s">
        <v>381</v>
      </c>
      <c r="B35034" s="1" t="str">
        <f>HYPERLINK("http://gady.st","gady.st")</f>
        <v>gady.st</v>
      </c>
      <c r="C35034" t="s">
        <v>669</v>
      </c>
      <c r="D35034" t="s">
        <v>988</v>
      </c>
      <c r="F35034">
        <v>6.9171256477244199E-9</v>
      </c>
      <c r="G35034">
        <v>12567550</v>
      </c>
      <c r="H35034">
        <v>11158155</v>
      </c>
      <c r="I35034">
        <v>31645832</v>
      </c>
      <c r="J35034">
        <v>3</v>
      </c>
    </row>
    <row r="35035" spans="1:10" x14ac:dyDescent="0.25">
      <c r="A35035" t="s">
        <v>381</v>
      </c>
      <c r="B35035" s="1" t="str">
        <f>HYPERLINK("http://toyota.co.th","toyota.co.th")</f>
        <v>toyota.co.th</v>
      </c>
      <c r="C35035" t="s">
        <v>500</v>
      </c>
      <c r="D35035" t="s">
        <v>874</v>
      </c>
      <c r="E35035">
        <v>192514</v>
      </c>
      <c r="F35035">
        <v>1.31176462394807E-7</v>
      </c>
      <c r="G35035">
        <v>298150</v>
      </c>
      <c r="H35035">
        <v>14711705</v>
      </c>
      <c r="I35035">
        <v>582854</v>
      </c>
      <c r="J35035">
        <v>3</v>
      </c>
    </row>
    <row r="35036" spans="1:10" x14ac:dyDescent="0.25">
      <c r="A35036" t="s">
        <v>381</v>
      </c>
      <c r="B35036" s="1" t="str">
        <f>HYPERLINK("http://global.toyota","global.toyota")</f>
        <v>global.toyota</v>
      </c>
      <c r="C35036" t="s">
        <v>791</v>
      </c>
      <c r="E35036">
        <v>23504</v>
      </c>
      <c r="F35036">
        <v>1.8179731913312901E-6</v>
      </c>
      <c r="G35036">
        <v>20919</v>
      </c>
      <c r="H35036">
        <v>17589174</v>
      </c>
      <c r="I35036">
        <v>10018</v>
      </c>
      <c r="J35036">
        <v>2</v>
      </c>
    </row>
    <row r="35037" spans="1:10" x14ac:dyDescent="0.25">
      <c r="A35037" t="s">
        <v>381</v>
      </c>
      <c r="B35037" s="1" t="str">
        <f>HYPERLINK("http://lexus.com.tr","lexus.com.tr")</f>
        <v>lexus.com.tr</v>
      </c>
      <c r="C35037" t="s">
        <v>502</v>
      </c>
      <c r="D35037" t="s">
        <v>876</v>
      </c>
      <c r="F35037">
        <v>3.8518062950779602E-8</v>
      </c>
      <c r="G35037">
        <v>1338983</v>
      </c>
      <c r="H35037">
        <v>14074930</v>
      </c>
      <c r="I35037">
        <v>2924725</v>
      </c>
      <c r="J35037">
        <v>4</v>
      </c>
    </row>
    <row r="35038" spans="1:10" x14ac:dyDescent="0.25">
      <c r="A35038" t="s">
        <v>381</v>
      </c>
      <c r="B35038" s="1" t="str">
        <f>HYPERLINK("http://toyota.com.tr","toyota.com.tr")</f>
        <v>toyota.com.tr</v>
      </c>
      <c r="C35038" t="s">
        <v>502</v>
      </c>
      <c r="D35038" t="s">
        <v>876</v>
      </c>
      <c r="E35038">
        <v>183851</v>
      </c>
      <c r="F35038">
        <v>8.4418982235537096E-8</v>
      </c>
      <c r="G35038">
        <v>489501</v>
      </c>
      <c r="H35038">
        <v>14241137</v>
      </c>
      <c r="I35038">
        <v>1494473</v>
      </c>
      <c r="J35038">
        <v>3</v>
      </c>
    </row>
    <row r="35039" spans="1:10" x14ac:dyDescent="0.25">
      <c r="A35039" t="s">
        <v>381</v>
      </c>
      <c r="B35039" s="1" t="str">
        <f>HYPERLINK("http://toyota-forklifts.com.tr","toyota-forklifts.com.tr")</f>
        <v>toyota-forklifts.com.tr</v>
      </c>
      <c r="C35039" t="s">
        <v>502</v>
      </c>
      <c r="D35039" t="s">
        <v>876</v>
      </c>
      <c r="F35039">
        <v>1.44446289435503E-8</v>
      </c>
      <c r="G35039">
        <v>4041696</v>
      </c>
      <c r="H35039">
        <v>13081883</v>
      </c>
      <c r="I35039">
        <v>12179997</v>
      </c>
      <c r="J35039">
        <v>4</v>
      </c>
    </row>
    <row r="35040" spans="1:10" x14ac:dyDescent="0.25">
      <c r="A35040" t="s">
        <v>381</v>
      </c>
      <c r="B35040" s="1" t="str">
        <f>HYPERLINK("http://toyotaaltanbalikesir.com.tr","toyotaaltanbalikesir.com.tr")</f>
        <v>toyotaaltanbalikesir.com.tr</v>
      </c>
      <c r="C35040" t="s">
        <v>502</v>
      </c>
      <c r="D35040" t="s">
        <v>876</v>
      </c>
      <c r="F35040">
        <v>4.5960649085326197E-9</v>
      </c>
      <c r="G35040">
        <v>47913602</v>
      </c>
      <c r="H35040">
        <v>8398556</v>
      </c>
      <c r="I35040">
        <v>73320058</v>
      </c>
      <c r="J35040">
        <v>3</v>
      </c>
    </row>
    <row r="35041" spans="1:10" x14ac:dyDescent="0.25">
      <c r="A35041" t="s">
        <v>381</v>
      </c>
      <c r="B35041" s="1" t="str">
        <f>HYPERLINK("http://toyotagurses.com.tr","toyotagurses.com.tr")</f>
        <v>toyotagurses.com.tr</v>
      </c>
      <c r="C35041" t="s">
        <v>502</v>
      </c>
      <c r="D35041" t="s">
        <v>876</v>
      </c>
      <c r="F35041">
        <v>5.2789538192696801E-9</v>
      </c>
      <c r="G35041">
        <v>23805746</v>
      </c>
      <c r="H35041">
        <v>12061482</v>
      </c>
      <c r="I35041">
        <v>26975290</v>
      </c>
      <c r="J35041">
        <v>3</v>
      </c>
    </row>
    <row r="35042" spans="1:10" x14ac:dyDescent="0.25">
      <c r="A35042" t="s">
        <v>381</v>
      </c>
      <c r="B35042" s="1" t="str">
        <f>HYPERLINK("http://toyotakar.com.tr","toyotakar.com.tr")</f>
        <v>toyotakar.com.tr</v>
      </c>
      <c r="C35042" t="s">
        <v>502</v>
      </c>
      <c r="D35042" t="s">
        <v>876</v>
      </c>
      <c r="F35042">
        <v>4.8979554474267901E-9</v>
      </c>
      <c r="G35042">
        <v>32525020</v>
      </c>
      <c r="H35042">
        <v>8302185</v>
      </c>
      <c r="I35042">
        <v>74322511</v>
      </c>
      <c r="J35042">
        <v>3</v>
      </c>
    </row>
    <row r="35043" spans="1:10" x14ac:dyDescent="0.25">
      <c r="A35043" t="s">
        <v>381</v>
      </c>
      <c r="B35043" s="1" t="str">
        <f>HYPERLINK("http://toyotanatas.com.tr","toyotanatas.com.tr")</f>
        <v>toyotanatas.com.tr</v>
      </c>
      <c r="C35043" t="s">
        <v>502</v>
      </c>
      <c r="D35043" t="s">
        <v>876</v>
      </c>
      <c r="F35043">
        <v>4.7868225824866002E-9</v>
      </c>
      <c r="G35043">
        <v>36678846</v>
      </c>
      <c r="H35043">
        <v>10935566</v>
      </c>
      <c r="I35043">
        <v>34947489</v>
      </c>
      <c r="J35043">
        <v>3</v>
      </c>
    </row>
    <row r="35044" spans="1:10" x14ac:dyDescent="0.25">
      <c r="A35044" t="s">
        <v>381</v>
      </c>
      <c r="B35044" s="1" t="str">
        <f>HYPERLINK("http://toyotaortakoy.com.tr","toyotaortakoy.com.tr")</f>
        <v>toyotaortakoy.com.tr</v>
      </c>
      <c r="C35044" t="s">
        <v>502</v>
      </c>
      <c r="D35044" t="s">
        <v>876</v>
      </c>
      <c r="F35044">
        <v>8.4319168611754398E-9</v>
      </c>
      <c r="G35044">
        <v>8978102</v>
      </c>
      <c r="H35044">
        <v>9405955</v>
      </c>
      <c r="I35044">
        <v>67186146</v>
      </c>
      <c r="J35044">
        <v>3</v>
      </c>
    </row>
    <row r="35045" spans="1:10" x14ac:dyDescent="0.25">
      <c r="A35045" t="s">
        <v>381</v>
      </c>
      <c r="B35045" s="1" t="str">
        <f>HYPERLINK("http://kielce.travel","kielce.travel")</f>
        <v>kielce.travel</v>
      </c>
      <c r="C35045" t="s">
        <v>553</v>
      </c>
      <c r="F35045">
        <v>6.8736763425255003E-9</v>
      </c>
      <c r="G35045">
        <v>12717233</v>
      </c>
      <c r="H35045">
        <v>14071893</v>
      </c>
      <c r="I35045">
        <v>3235241</v>
      </c>
      <c r="J35045">
        <v>7</v>
      </c>
    </row>
    <row r="35046" spans="1:10" x14ac:dyDescent="0.25">
      <c r="A35046" t="s">
        <v>381</v>
      </c>
      <c r="B35046" s="1" t="str">
        <f>HYPERLINK("http://easyrent.com.tw","easyrent.com.tw")</f>
        <v>easyrent.com.tw</v>
      </c>
      <c r="C35046" t="s">
        <v>504</v>
      </c>
      <c r="D35046" t="s">
        <v>878</v>
      </c>
      <c r="E35046">
        <v>345528</v>
      </c>
      <c r="F35046">
        <v>7.4037353879190897E-8</v>
      </c>
      <c r="G35046">
        <v>568669</v>
      </c>
      <c r="H35046">
        <v>16966196</v>
      </c>
      <c r="I35046">
        <v>103879</v>
      </c>
      <c r="J35046">
        <v>8</v>
      </c>
    </row>
    <row r="35047" spans="1:10" x14ac:dyDescent="0.25">
      <c r="A35047" t="s">
        <v>381</v>
      </c>
      <c r="B35047" s="1" t="str">
        <f>HYPERLINK("http://hotaimotor.com.tw","hotaimotor.com.tw")</f>
        <v>hotaimotor.com.tw</v>
      </c>
      <c r="C35047" t="s">
        <v>504</v>
      </c>
      <c r="D35047" t="s">
        <v>878</v>
      </c>
      <c r="F35047">
        <v>5.2474766025149801E-8</v>
      </c>
      <c r="G35047">
        <v>869111</v>
      </c>
      <c r="H35047">
        <v>13765265</v>
      </c>
      <c r="I35047">
        <v>7122315</v>
      </c>
      <c r="J35047">
        <v>5</v>
      </c>
    </row>
    <row r="35048" spans="1:10" x14ac:dyDescent="0.25">
      <c r="A35048" t="s">
        <v>381</v>
      </c>
      <c r="B35048" s="1" t="str">
        <f>HYPERLINK("http://hotcar.com.tw","hotcar.com.tw")</f>
        <v>hotcar.com.tw</v>
      </c>
      <c r="C35048" t="s">
        <v>504</v>
      </c>
      <c r="D35048" t="s">
        <v>878</v>
      </c>
      <c r="F35048">
        <v>8.8854388038619598E-9</v>
      </c>
      <c r="G35048">
        <v>8168172</v>
      </c>
      <c r="H35048">
        <v>13590256</v>
      </c>
      <c r="I35048">
        <v>9668071</v>
      </c>
      <c r="J35048">
        <v>11</v>
      </c>
    </row>
    <row r="35049" spans="1:10" x14ac:dyDescent="0.25">
      <c r="A35049" t="s">
        <v>381</v>
      </c>
      <c r="B35049" s="1" t="str">
        <f>HYPERLINK("http://irentcar.com.tw","irentcar.com.tw")</f>
        <v>irentcar.com.tw</v>
      </c>
      <c r="C35049" t="s">
        <v>504</v>
      </c>
      <c r="D35049" t="s">
        <v>878</v>
      </c>
      <c r="E35049">
        <v>601452</v>
      </c>
      <c r="F35049">
        <v>5.9321177958095397E-8</v>
      </c>
      <c r="G35049">
        <v>746625</v>
      </c>
      <c r="H35049">
        <v>16751225</v>
      </c>
      <c r="I35049">
        <v>267275</v>
      </c>
      <c r="J35049">
        <v>11</v>
      </c>
    </row>
    <row r="35050" spans="1:10" x14ac:dyDescent="0.25">
      <c r="A35050" t="s">
        <v>381</v>
      </c>
      <c r="B35050" s="1" t="str">
        <f>HYPERLINK("http://kuotu-motor.com.tw","kuotu-motor.com.tw")</f>
        <v>kuotu-motor.com.tw</v>
      </c>
      <c r="C35050" t="s">
        <v>504</v>
      </c>
      <c r="D35050" t="s">
        <v>878</v>
      </c>
      <c r="F35050">
        <v>4.4825660004087299E-9</v>
      </c>
      <c r="G35050">
        <v>61846260</v>
      </c>
      <c r="H35050">
        <v>11013553</v>
      </c>
      <c r="I35050">
        <v>33353706</v>
      </c>
      <c r="J35050">
        <v>3</v>
      </c>
    </row>
    <row r="35051" spans="1:10" x14ac:dyDescent="0.25">
      <c r="A35051" t="s">
        <v>381</v>
      </c>
      <c r="B35051" s="1" t="str">
        <f>HYPERLINK("http://kuozui.com.tw","kuozui.com.tw")</f>
        <v>kuozui.com.tw</v>
      </c>
      <c r="C35051" t="s">
        <v>504</v>
      </c>
      <c r="D35051" t="s">
        <v>878</v>
      </c>
      <c r="F35051">
        <v>7.01609706093861E-9</v>
      </c>
      <c r="G35051">
        <v>12264848</v>
      </c>
      <c r="H35051">
        <v>14080475</v>
      </c>
      <c r="I35051">
        <v>2819632</v>
      </c>
      <c r="J35051">
        <v>3</v>
      </c>
    </row>
    <row r="35052" spans="1:10" x14ac:dyDescent="0.25">
      <c r="A35052" t="s">
        <v>381</v>
      </c>
      <c r="B35052" s="1" t="str">
        <f>HYPERLINK("http://lexus.com.tw","lexus.com.tw")</f>
        <v>lexus.com.tw</v>
      </c>
      <c r="C35052" t="s">
        <v>504</v>
      </c>
      <c r="D35052" t="s">
        <v>878</v>
      </c>
      <c r="E35052">
        <v>693853</v>
      </c>
      <c r="F35052">
        <v>3.9005786312468902E-8</v>
      </c>
      <c r="G35052">
        <v>1322117</v>
      </c>
      <c r="H35052">
        <v>13919871</v>
      </c>
      <c r="I35052">
        <v>5935195</v>
      </c>
      <c r="J35052">
        <v>5</v>
      </c>
    </row>
    <row r="35053" spans="1:10" x14ac:dyDescent="0.25">
      <c r="A35053" t="s">
        <v>381</v>
      </c>
      <c r="B35053" s="1" t="str">
        <f>HYPERLINK("http://toyota.com.tw","toyota.com.tw")</f>
        <v>toyota.com.tw</v>
      </c>
      <c r="C35053" t="s">
        <v>504</v>
      </c>
      <c r="D35053" t="s">
        <v>878</v>
      </c>
      <c r="E35053">
        <v>276991</v>
      </c>
      <c r="F35053">
        <v>5.3181683229265502E-8</v>
      </c>
      <c r="G35053">
        <v>856089</v>
      </c>
      <c r="H35053">
        <v>14411777</v>
      </c>
      <c r="I35053">
        <v>1143360</v>
      </c>
      <c r="J35053">
        <v>3</v>
      </c>
    </row>
    <row r="35054" spans="1:10" x14ac:dyDescent="0.25">
      <c r="A35054" t="s">
        <v>381</v>
      </c>
      <c r="B35054" s="1" t="str">
        <f>HYPERLINK("http://toyotacpo.com.tw","toyotacpo.com.tw")</f>
        <v>toyotacpo.com.tw</v>
      </c>
      <c r="C35054" t="s">
        <v>504</v>
      </c>
      <c r="D35054" t="s">
        <v>878</v>
      </c>
      <c r="F35054">
        <v>4.5869318498644497E-9</v>
      </c>
      <c r="G35054">
        <v>48673765</v>
      </c>
      <c r="H35054">
        <v>10710991</v>
      </c>
      <c r="I35054">
        <v>42142801</v>
      </c>
      <c r="J35054">
        <v>5</v>
      </c>
    </row>
    <row r="35055" spans="1:10" x14ac:dyDescent="0.25">
      <c r="A35055" t="s">
        <v>381</v>
      </c>
      <c r="B35055" s="1" t="str">
        <f>HYPERLINK("http://cityplaza.ua","cityplaza.ua")</f>
        <v>cityplaza.ua</v>
      </c>
      <c r="C35055" t="s">
        <v>505</v>
      </c>
      <c r="D35055" t="s">
        <v>879</v>
      </c>
      <c r="F35055">
        <v>5.0797251171290203E-9</v>
      </c>
      <c r="G35055">
        <v>27515008</v>
      </c>
      <c r="H35055">
        <v>10514061</v>
      </c>
      <c r="I35055">
        <v>49291542</v>
      </c>
      <c r="J35055">
        <v>5</v>
      </c>
    </row>
    <row r="35056" spans="1:10" x14ac:dyDescent="0.25">
      <c r="A35056" t="s">
        <v>381</v>
      </c>
      <c r="B35056" s="1" t="str">
        <f>HYPERLINK("http://toyota.com.ua","toyota.com.ua")</f>
        <v>toyota.com.ua</v>
      </c>
      <c r="C35056" t="s">
        <v>505</v>
      </c>
      <c r="D35056" t="s">
        <v>879</v>
      </c>
      <c r="F35056">
        <v>2.5885373238986101E-8</v>
      </c>
      <c r="G35056">
        <v>1990882</v>
      </c>
      <c r="H35056">
        <v>12970145</v>
      </c>
      <c r="I35056">
        <v>13046610</v>
      </c>
      <c r="J35056">
        <v>4</v>
      </c>
    </row>
    <row r="35057" spans="1:10" x14ac:dyDescent="0.25">
      <c r="A35057" t="s">
        <v>381</v>
      </c>
      <c r="B35057" s="1" t="str">
        <f>HYPERLINK("http://toyota-forklifts.com.ua","toyota-forklifts.com.ua")</f>
        <v>toyota-forklifts.com.ua</v>
      </c>
      <c r="C35057" t="s">
        <v>505</v>
      </c>
      <c r="D35057" t="s">
        <v>879</v>
      </c>
      <c r="F35057">
        <v>1.38851632665817E-8</v>
      </c>
      <c r="G35057">
        <v>4246947</v>
      </c>
      <c r="H35057">
        <v>12679644</v>
      </c>
      <c r="I35057">
        <v>15505038</v>
      </c>
      <c r="J35057">
        <v>4</v>
      </c>
    </row>
    <row r="35058" spans="1:10" x14ac:dyDescent="0.25">
      <c r="A35058" t="s">
        <v>381</v>
      </c>
      <c r="B35058" s="1" t="str">
        <f>HYPERLINK("http://toyota.dn.ua","toyota.dn.ua")</f>
        <v>toyota.dn.ua</v>
      </c>
      <c r="C35058" t="s">
        <v>505</v>
      </c>
      <c r="D35058" t="s">
        <v>879</v>
      </c>
      <c r="F35058">
        <v>5.34770278715498E-9</v>
      </c>
      <c r="G35058">
        <v>22832626</v>
      </c>
      <c r="H35058">
        <v>10668862</v>
      </c>
      <c r="I35058">
        <v>43009349</v>
      </c>
      <c r="J35058">
        <v>4</v>
      </c>
    </row>
    <row r="35059" spans="1:10" x14ac:dyDescent="0.25">
      <c r="A35059" t="s">
        <v>381</v>
      </c>
      <c r="B35059" s="1" t="str">
        <f>HYPERLINK("http://toyota.dp.ua","toyota.dp.ua")</f>
        <v>toyota.dp.ua</v>
      </c>
      <c r="C35059" t="s">
        <v>505</v>
      </c>
      <c r="D35059" t="s">
        <v>879</v>
      </c>
      <c r="F35059">
        <v>5.47105164381387E-9</v>
      </c>
      <c r="G35059">
        <v>21233371</v>
      </c>
      <c r="H35059">
        <v>12271752</v>
      </c>
      <c r="I35059">
        <v>21488324</v>
      </c>
      <c r="J35059">
        <v>4</v>
      </c>
    </row>
    <row r="35060" spans="1:10" x14ac:dyDescent="0.25">
      <c r="A35060" t="s">
        <v>381</v>
      </c>
      <c r="B35060" s="1" t="str">
        <f>HYPERLINK("http://toyota.if.ua","toyota.if.ua")</f>
        <v>toyota.if.ua</v>
      </c>
      <c r="C35060" t="s">
        <v>505</v>
      </c>
      <c r="D35060" t="s">
        <v>879</v>
      </c>
      <c r="F35060">
        <v>6.2004210994786896E-9</v>
      </c>
      <c r="G35060">
        <v>15534684</v>
      </c>
      <c r="H35060">
        <v>13786782</v>
      </c>
      <c r="I35060">
        <v>6381407</v>
      </c>
      <c r="J35060">
        <v>4</v>
      </c>
    </row>
    <row r="35061" spans="1:10" x14ac:dyDescent="0.25">
      <c r="A35061" t="s">
        <v>381</v>
      </c>
      <c r="B35061" s="1" t="str">
        <f>HYPERLINK("http://toyota.kh.ua","toyota.kh.ua")</f>
        <v>toyota.kh.ua</v>
      </c>
      <c r="C35061" t="s">
        <v>505</v>
      </c>
      <c r="D35061" t="s">
        <v>879</v>
      </c>
      <c r="F35061">
        <v>5.6147160235300101E-9</v>
      </c>
      <c r="G35061">
        <v>19717238</v>
      </c>
      <c r="H35061">
        <v>12166420</v>
      </c>
      <c r="I35061">
        <v>24163967</v>
      </c>
      <c r="J35061">
        <v>3</v>
      </c>
    </row>
    <row r="35062" spans="1:10" x14ac:dyDescent="0.25">
      <c r="A35062" t="s">
        <v>381</v>
      </c>
      <c r="B35062" s="1" t="str">
        <f>HYPERLINK("http://toyota.kharkov.ua","toyota.kharkov.ua")</f>
        <v>toyota.kharkov.ua</v>
      </c>
      <c r="C35062" t="s">
        <v>505</v>
      </c>
      <c r="D35062" t="s">
        <v>879</v>
      </c>
      <c r="F35062">
        <v>1.0477663860524101E-8</v>
      </c>
      <c r="G35062">
        <v>6288995</v>
      </c>
      <c r="H35062">
        <v>12793434</v>
      </c>
      <c r="I35062">
        <v>14671330</v>
      </c>
      <c r="J35062">
        <v>3</v>
      </c>
    </row>
    <row r="35063" spans="1:10" x14ac:dyDescent="0.25">
      <c r="A35063" t="s">
        <v>381</v>
      </c>
      <c r="B35063" s="1" t="str">
        <f>HYPERLINK("http://toyota.ks.ua","toyota.ks.ua")</f>
        <v>toyota.ks.ua</v>
      </c>
      <c r="C35063" t="s">
        <v>505</v>
      </c>
      <c r="D35063" t="s">
        <v>879</v>
      </c>
      <c r="F35063">
        <v>1.28716979586916E-8</v>
      </c>
      <c r="G35063">
        <v>4693064</v>
      </c>
      <c r="H35063">
        <v>10597566</v>
      </c>
      <c r="I35063">
        <v>45044404</v>
      </c>
      <c r="J35063">
        <v>4</v>
      </c>
    </row>
    <row r="35064" spans="1:10" x14ac:dyDescent="0.25">
      <c r="A35064" t="s">
        <v>381</v>
      </c>
      <c r="B35064" s="1" t="str">
        <f>HYPERLINK("http://lexus.ua","lexus.ua")</f>
        <v>lexus.ua</v>
      </c>
      <c r="C35064" t="s">
        <v>505</v>
      </c>
      <c r="D35064" t="s">
        <v>879</v>
      </c>
      <c r="E35064">
        <v>847380</v>
      </c>
      <c r="F35064">
        <v>5.6079126710959099E-8</v>
      </c>
      <c r="G35064">
        <v>798529</v>
      </c>
      <c r="H35064">
        <v>13581374</v>
      </c>
      <c r="I35064">
        <v>9686396</v>
      </c>
      <c r="J35064">
        <v>4</v>
      </c>
    </row>
    <row r="35065" spans="1:10" x14ac:dyDescent="0.25">
      <c r="A35065" t="s">
        <v>381</v>
      </c>
      <c r="B35065" s="1" t="str">
        <f>HYPERLINK("http://toyota.lviv.ua","toyota.lviv.ua")</f>
        <v>toyota.lviv.ua</v>
      </c>
      <c r="C35065" t="s">
        <v>505</v>
      </c>
      <c r="D35065" t="s">
        <v>879</v>
      </c>
      <c r="F35065">
        <v>5.8548278964810999E-9</v>
      </c>
      <c r="G35065">
        <v>17675562</v>
      </c>
      <c r="H35065">
        <v>12246111</v>
      </c>
      <c r="I35065">
        <v>22094322</v>
      </c>
      <c r="J35065">
        <v>4</v>
      </c>
    </row>
    <row r="35066" spans="1:10" x14ac:dyDescent="0.25">
      <c r="A35066" t="s">
        <v>381</v>
      </c>
      <c r="B35066" s="1" t="str">
        <f>HYPERLINK("http://toyota.nikolaev.ua","toyota.nikolaev.ua")</f>
        <v>toyota.nikolaev.ua</v>
      </c>
      <c r="C35066" t="s">
        <v>505</v>
      </c>
      <c r="D35066" t="s">
        <v>879</v>
      </c>
      <c r="F35066">
        <v>5.5621510128970996E-9</v>
      </c>
      <c r="G35066">
        <v>20253453</v>
      </c>
      <c r="H35066">
        <v>10514064</v>
      </c>
      <c r="I35066">
        <v>49291437</v>
      </c>
      <c r="J35066">
        <v>4</v>
      </c>
    </row>
    <row r="35067" spans="1:10" x14ac:dyDescent="0.25">
      <c r="A35067" t="s">
        <v>381</v>
      </c>
      <c r="B35067" s="1" t="str">
        <f>HYPERLINK("http://toyota.od.ua","toyota.od.ua")</f>
        <v>toyota.od.ua</v>
      </c>
      <c r="C35067" t="s">
        <v>505</v>
      </c>
      <c r="D35067" t="s">
        <v>879</v>
      </c>
      <c r="F35067">
        <v>5.6907422211610196E-9</v>
      </c>
      <c r="G35067">
        <v>19039354</v>
      </c>
      <c r="H35067">
        <v>10635610</v>
      </c>
      <c r="I35067">
        <v>43858565</v>
      </c>
      <c r="J35067">
        <v>4</v>
      </c>
    </row>
    <row r="35068" spans="1:10" x14ac:dyDescent="0.25">
      <c r="A35068" t="s">
        <v>381</v>
      </c>
      <c r="B35068" s="1" t="str">
        <f>HYPERLINK("http://toyota.pl.ua","toyota.pl.ua")</f>
        <v>toyota.pl.ua</v>
      </c>
      <c r="C35068" t="s">
        <v>505</v>
      </c>
      <c r="D35068" t="s">
        <v>879</v>
      </c>
      <c r="F35068">
        <v>5.3845435489535297E-9</v>
      </c>
      <c r="G35068">
        <v>22361326</v>
      </c>
      <c r="H35068">
        <v>11053019</v>
      </c>
      <c r="I35068">
        <v>32763580</v>
      </c>
      <c r="J35068">
        <v>4</v>
      </c>
    </row>
    <row r="35069" spans="1:10" x14ac:dyDescent="0.25">
      <c r="A35069" t="s">
        <v>381</v>
      </c>
      <c r="B35069" s="1" t="str">
        <f>HYPERLINK("http://toyota.rovno.ua","toyota.rovno.ua")</f>
        <v>toyota.rovno.ua</v>
      </c>
      <c r="C35069" t="s">
        <v>505</v>
      </c>
      <c r="D35069" t="s">
        <v>879</v>
      </c>
      <c r="F35069">
        <v>5.7095542267067996E-9</v>
      </c>
      <c r="G35069">
        <v>18842346</v>
      </c>
      <c r="H35069">
        <v>11018018</v>
      </c>
      <c r="I35069">
        <v>33286352</v>
      </c>
      <c r="J35069">
        <v>4</v>
      </c>
    </row>
    <row r="35070" spans="1:10" x14ac:dyDescent="0.25">
      <c r="A35070" t="s">
        <v>381</v>
      </c>
      <c r="B35070" s="1" t="str">
        <f>HYPERLINK("http://toyota.sumy.ua","toyota.sumy.ua")</f>
        <v>toyota.sumy.ua</v>
      </c>
      <c r="C35070" t="s">
        <v>505</v>
      </c>
      <c r="D35070" t="s">
        <v>879</v>
      </c>
      <c r="F35070">
        <v>5.7584285957246999E-9</v>
      </c>
      <c r="G35070">
        <v>18429287</v>
      </c>
      <c r="H35070">
        <v>13767058</v>
      </c>
      <c r="I35070">
        <v>6958214</v>
      </c>
      <c r="J35070">
        <v>4</v>
      </c>
    </row>
    <row r="35071" spans="1:10" x14ac:dyDescent="0.25">
      <c r="A35071" t="s">
        <v>381</v>
      </c>
      <c r="B35071" s="1" t="str">
        <f>HYPERLINK("http://toyota.ua","toyota.ua")</f>
        <v>toyota.ua</v>
      </c>
      <c r="C35071" t="s">
        <v>505</v>
      </c>
      <c r="D35071" t="s">
        <v>879</v>
      </c>
      <c r="E35071">
        <v>622659</v>
      </c>
      <c r="F35071">
        <v>9.72585159601205E-8</v>
      </c>
      <c r="G35071">
        <v>415358</v>
      </c>
      <c r="H35071">
        <v>14082492</v>
      </c>
      <c r="I35071">
        <v>2800106</v>
      </c>
      <c r="J35071">
        <v>3</v>
      </c>
    </row>
    <row r="35072" spans="1:10" x14ac:dyDescent="0.25">
      <c r="A35072" t="s">
        <v>381</v>
      </c>
      <c r="B35072" s="1" t="str">
        <f>HYPERLINK("http://toyota.uz.ua","toyota.uz.ua")</f>
        <v>toyota.uz.ua</v>
      </c>
      <c r="C35072" t="s">
        <v>505</v>
      </c>
      <c r="D35072" t="s">
        <v>879</v>
      </c>
      <c r="F35072">
        <v>1.33274188682539E-8</v>
      </c>
      <c r="G35072">
        <v>4481477</v>
      </c>
      <c r="H35072">
        <v>13670900</v>
      </c>
      <c r="I35072">
        <v>9548528</v>
      </c>
      <c r="J35072">
        <v>3</v>
      </c>
    </row>
    <row r="35073" spans="1:10" x14ac:dyDescent="0.25">
      <c r="A35073" t="s">
        <v>381</v>
      </c>
      <c r="B35073" s="1" t="str">
        <f>HYPERLINK("http://toyota.vn.ua","toyota.vn.ua")</f>
        <v>toyota.vn.ua</v>
      </c>
      <c r="C35073" t="s">
        <v>505</v>
      </c>
      <c r="D35073" t="s">
        <v>879</v>
      </c>
      <c r="F35073">
        <v>1.14259405564468E-8</v>
      </c>
      <c r="G35073">
        <v>5556878</v>
      </c>
      <c r="H35073">
        <v>14072210</v>
      </c>
      <c r="I35073">
        <v>3135624</v>
      </c>
      <c r="J35073">
        <v>4</v>
      </c>
    </row>
    <row r="35074" spans="1:10" x14ac:dyDescent="0.25">
      <c r="A35074" t="s">
        <v>381</v>
      </c>
      <c r="B35074" s="1" t="str">
        <f>HYPERLINK("http://toyota.zp.ua","toyota.zp.ua")</f>
        <v>toyota.zp.ua</v>
      </c>
      <c r="C35074" t="s">
        <v>505</v>
      </c>
      <c r="D35074" t="s">
        <v>879</v>
      </c>
      <c r="F35074">
        <v>5.7395116104938402E-9</v>
      </c>
      <c r="G35074">
        <v>18584288</v>
      </c>
      <c r="H35074">
        <v>11043171</v>
      </c>
      <c r="I35074">
        <v>32884273</v>
      </c>
      <c r="J35074">
        <v>4</v>
      </c>
    </row>
    <row r="35075" spans="1:10" x14ac:dyDescent="0.25">
      <c r="A35075" t="s">
        <v>381</v>
      </c>
      <c r="B35075" s="1" t="str">
        <f>HYPERLINK("http://hillsmotorgroup.co.uk","hillsmotorgroup.co.uk")</f>
        <v>hillsmotorgroup.co.uk</v>
      </c>
      <c r="C35075" t="s">
        <v>506</v>
      </c>
      <c r="D35075" t="s">
        <v>880</v>
      </c>
      <c r="F35075">
        <v>7.7804527113774007E-9</v>
      </c>
      <c r="G35075">
        <v>10367212</v>
      </c>
      <c r="H35075">
        <v>14061659</v>
      </c>
      <c r="I35075">
        <v>3766500</v>
      </c>
      <c r="J35075">
        <v>6</v>
      </c>
    </row>
    <row r="35076" spans="1:10" x14ac:dyDescent="0.25">
      <c r="A35076" t="s">
        <v>381</v>
      </c>
      <c r="B35076" s="1" t="str">
        <f>HYPERLINK("http://kinto-mobility.co.uk","kinto-mobility.co.uk")</f>
        <v>kinto-mobility.co.uk</v>
      </c>
      <c r="C35076" t="s">
        <v>506</v>
      </c>
      <c r="D35076" t="s">
        <v>880</v>
      </c>
      <c r="F35076">
        <v>7.5046498679432201E-9</v>
      </c>
      <c r="G35076">
        <v>11003333</v>
      </c>
      <c r="H35076">
        <v>10492503</v>
      </c>
      <c r="I35076">
        <v>50582369</v>
      </c>
      <c r="J35076">
        <v>4</v>
      </c>
    </row>
    <row r="35077" spans="1:10" x14ac:dyDescent="0.25">
      <c r="A35077" t="s">
        <v>381</v>
      </c>
      <c r="B35077" s="1" t="str">
        <f>HYPERLINK("http://lesliesmotorgroup.co.uk","lesliesmotorgroup.co.uk")</f>
        <v>lesliesmotorgroup.co.uk</v>
      </c>
      <c r="C35077" t="s">
        <v>506</v>
      </c>
      <c r="D35077" t="s">
        <v>880</v>
      </c>
      <c r="F35077">
        <v>4.4454438533961202E-9</v>
      </c>
      <c r="G35077">
        <v>75275383</v>
      </c>
      <c r="H35077">
        <v>10638229</v>
      </c>
      <c r="I35077">
        <v>43810489</v>
      </c>
      <c r="J35077">
        <v>6</v>
      </c>
    </row>
    <row r="35078" spans="1:10" x14ac:dyDescent="0.25">
      <c r="A35078" t="s">
        <v>381</v>
      </c>
      <c r="B35078" s="1" t="str">
        <f>HYPERLINK("http://lesliesmotors.co.uk","lesliesmotors.co.uk")</f>
        <v>lesliesmotors.co.uk</v>
      </c>
      <c r="C35078" t="s">
        <v>506</v>
      </c>
      <c r="D35078" t="s">
        <v>880</v>
      </c>
      <c r="F35078">
        <v>4.98971342162277E-9</v>
      </c>
      <c r="G35078">
        <v>29677890</v>
      </c>
      <c r="H35078">
        <v>10970948</v>
      </c>
      <c r="I35078">
        <v>34126411</v>
      </c>
      <c r="J35078">
        <v>3</v>
      </c>
    </row>
    <row r="35079" spans="1:10" x14ac:dyDescent="0.25">
      <c r="A35079" t="s">
        <v>381</v>
      </c>
      <c r="B35079" s="1" t="str">
        <f>HYPERLINK("http://lexus.co.uk","lexus.co.uk")</f>
        <v>lexus.co.uk</v>
      </c>
      <c r="C35079" t="s">
        <v>506</v>
      </c>
      <c r="D35079" t="s">
        <v>880</v>
      </c>
      <c r="E35079">
        <v>146474</v>
      </c>
      <c r="F35079">
        <v>1.9560415840412699E-7</v>
      </c>
      <c r="G35079">
        <v>197163</v>
      </c>
      <c r="H35079">
        <v>15318462</v>
      </c>
      <c r="I35079">
        <v>384749</v>
      </c>
      <c r="J35079">
        <v>4</v>
      </c>
    </row>
    <row r="35080" spans="1:10" x14ac:dyDescent="0.25">
      <c r="A35080" t="s">
        <v>381</v>
      </c>
      <c r="B35080" s="1" t="str">
        <f>HYPERLINK("http://toyodagoseiuk.co.uk","toyodagoseiuk.co.uk")</f>
        <v>toyodagoseiuk.co.uk</v>
      </c>
      <c r="C35080" t="s">
        <v>506</v>
      </c>
      <c r="D35080" t="s">
        <v>880</v>
      </c>
      <c r="J35080">
        <v>7</v>
      </c>
    </row>
    <row r="35081" spans="1:10" x14ac:dyDescent="0.25">
      <c r="A35081" t="s">
        <v>381</v>
      </c>
      <c r="B35081" s="1" t="str">
        <f>HYPERLINK("http://toyota.co.uk","toyota.co.uk")</f>
        <v>toyota.co.uk</v>
      </c>
      <c r="C35081" t="s">
        <v>506</v>
      </c>
      <c r="D35081" t="s">
        <v>880</v>
      </c>
      <c r="E35081">
        <v>45459</v>
      </c>
      <c r="F35081">
        <v>8.4424238837020298E-7</v>
      </c>
      <c r="G35081">
        <v>47096</v>
      </c>
      <c r="H35081">
        <v>17390022</v>
      </c>
      <c r="I35081">
        <v>19919</v>
      </c>
      <c r="J35081">
        <v>3</v>
      </c>
    </row>
    <row r="35082" spans="1:10" x14ac:dyDescent="0.25">
      <c r="A35082" t="s">
        <v>381</v>
      </c>
      <c r="B35082" s="1" t="str">
        <f>HYPERLINK("http://toyota-forklifts.co.uk","toyota-forklifts.co.uk")</f>
        <v>toyota-forklifts.co.uk</v>
      </c>
      <c r="C35082" t="s">
        <v>506</v>
      </c>
      <c r="D35082" t="s">
        <v>880</v>
      </c>
      <c r="F35082">
        <v>2.6871104940404601E-8</v>
      </c>
      <c r="G35082">
        <v>1914270</v>
      </c>
      <c r="H35082">
        <v>13805955</v>
      </c>
      <c r="I35082">
        <v>6234119</v>
      </c>
      <c r="J35082">
        <v>4</v>
      </c>
    </row>
    <row r="35083" spans="1:10" x14ac:dyDescent="0.25">
      <c r="A35083" t="s">
        <v>381</v>
      </c>
      <c r="B35083" s="1" t="str">
        <f>HYPERLINK("http://toyota.us","toyota.us")</f>
        <v>toyota.us</v>
      </c>
      <c r="C35083" t="s">
        <v>522</v>
      </c>
      <c r="D35083" t="s">
        <v>891</v>
      </c>
      <c r="F35083">
        <v>6.3299848899147796E-8</v>
      </c>
      <c r="G35083">
        <v>687211</v>
      </c>
      <c r="H35083">
        <v>13902987</v>
      </c>
      <c r="I35083">
        <v>5948309</v>
      </c>
      <c r="J35083">
        <v>4</v>
      </c>
    </row>
    <row r="35084" spans="1:10" x14ac:dyDescent="0.25">
      <c r="A35084" t="s">
        <v>381</v>
      </c>
      <c r="B35084" s="1" t="str">
        <f>HYPERLINK("http://automotoresguatire.com.ve","automotoresguatire.com.ve")</f>
        <v>automotoresguatire.com.ve</v>
      </c>
      <c r="C35084" t="s">
        <v>508</v>
      </c>
      <c r="D35084" t="s">
        <v>882</v>
      </c>
      <c r="J35084">
        <v>3</v>
      </c>
    </row>
    <row r="35085" spans="1:10" x14ac:dyDescent="0.25">
      <c r="A35085" t="s">
        <v>381</v>
      </c>
      <c r="B35085" s="1" t="str">
        <f>HYPERLINK("http://cars.com.ve","cars.com.ve")</f>
        <v>cars.com.ve</v>
      </c>
      <c r="C35085" t="s">
        <v>508</v>
      </c>
      <c r="D35085" t="s">
        <v>882</v>
      </c>
      <c r="F35085">
        <v>4.5013360506438597E-9</v>
      </c>
      <c r="G35085">
        <v>58747257</v>
      </c>
      <c r="H35085">
        <v>10528573</v>
      </c>
      <c r="I35085">
        <v>48781085</v>
      </c>
      <c r="J35085">
        <v>3</v>
      </c>
    </row>
    <row r="35086" spans="1:10" x14ac:dyDescent="0.25">
      <c r="A35086" t="s">
        <v>381</v>
      </c>
      <c r="B35086" s="1" t="str">
        <f>HYPERLINK("http://tanimotors.com.ve","tanimotors.com.ve")</f>
        <v>tanimotors.com.ve</v>
      </c>
      <c r="C35086" t="s">
        <v>508</v>
      </c>
      <c r="D35086" t="s">
        <v>882</v>
      </c>
      <c r="J35086">
        <v>3</v>
      </c>
    </row>
    <row r="35087" spans="1:10" x14ac:dyDescent="0.25">
      <c r="A35087" t="s">
        <v>381</v>
      </c>
      <c r="B35087" s="1" t="str">
        <f>HYPERLINK("http://toyoavila.com.ve","toyoavila.com.ve")</f>
        <v>toyoavila.com.ve</v>
      </c>
      <c r="C35087" t="s">
        <v>508</v>
      </c>
      <c r="D35087" t="s">
        <v>882</v>
      </c>
      <c r="J35087">
        <v>3</v>
      </c>
    </row>
    <row r="35088" spans="1:10" x14ac:dyDescent="0.25">
      <c r="A35088" t="s">
        <v>381</v>
      </c>
      <c r="B35088" s="1" t="str">
        <f>HYPERLINK("http://toyota.com.ve","toyota.com.ve")</f>
        <v>toyota.com.ve</v>
      </c>
      <c r="C35088" t="s">
        <v>508</v>
      </c>
      <c r="D35088" t="s">
        <v>882</v>
      </c>
      <c r="F35088">
        <v>2.14322892254604E-8</v>
      </c>
      <c r="G35088">
        <v>2457474</v>
      </c>
      <c r="H35088">
        <v>14375707</v>
      </c>
      <c r="I35088">
        <v>1223245</v>
      </c>
      <c r="J35088">
        <v>3</v>
      </c>
    </row>
    <row r="35089" spans="1:10" x14ac:dyDescent="0.25">
      <c r="A35089" t="s">
        <v>381</v>
      </c>
      <c r="B35089" s="1" t="str">
        <f>HYPERLINK("http://toyota.ventures","toyota.ventures")</f>
        <v>toyota.ventures</v>
      </c>
      <c r="C35089" t="s">
        <v>763</v>
      </c>
      <c r="F35089">
        <v>6.9649666384046602E-8</v>
      </c>
      <c r="G35089">
        <v>609329</v>
      </c>
      <c r="H35089">
        <v>13754286</v>
      </c>
      <c r="I35089">
        <v>9417711</v>
      </c>
      <c r="J35089">
        <v>4</v>
      </c>
    </row>
    <row r="35090" spans="1:10" x14ac:dyDescent="0.25">
      <c r="A35090" t="s">
        <v>381</v>
      </c>
      <c r="B35090" s="1" t="str">
        <f>HYPERLINK("http://automark.co.za","automark.co.za")</f>
        <v>automark.co.za</v>
      </c>
      <c r="C35090" t="s">
        <v>510</v>
      </c>
      <c r="D35090" t="s">
        <v>884</v>
      </c>
      <c r="F35090">
        <v>6.5608050692567298E-9</v>
      </c>
      <c r="G35090">
        <v>13830558</v>
      </c>
      <c r="H35090">
        <v>13207113</v>
      </c>
      <c r="I35090">
        <v>11524585</v>
      </c>
      <c r="J35090">
        <v>3</v>
      </c>
    </row>
    <row r="35091" spans="1:10" x14ac:dyDescent="0.25">
      <c r="A35091" t="s">
        <v>381</v>
      </c>
      <c r="B35091" s="1" t="str">
        <f>HYPERLINK("http://cartoyota.co.za","cartoyota.co.za")</f>
        <v>cartoyota.co.za</v>
      </c>
      <c r="C35091" t="s">
        <v>510</v>
      </c>
      <c r="D35091" t="s">
        <v>884</v>
      </c>
      <c r="J35091">
        <v>6</v>
      </c>
    </row>
    <row r="35092" spans="1:10" x14ac:dyDescent="0.25">
      <c r="A35092" t="s">
        <v>381</v>
      </c>
      <c r="B35092" s="1" t="str">
        <f>HYPERLINK("http://imperialtoyota.co.za","imperialtoyota.co.za")</f>
        <v>imperialtoyota.co.za</v>
      </c>
      <c r="C35092" t="s">
        <v>510</v>
      </c>
      <c r="D35092" t="s">
        <v>884</v>
      </c>
      <c r="F35092">
        <v>1.19418362689697E-8</v>
      </c>
      <c r="G35092">
        <v>5212026</v>
      </c>
      <c r="H35092">
        <v>13219720</v>
      </c>
      <c r="I35092">
        <v>11338068</v>
      </c>
      <c r="J35092">
        <v>3</v>
      </c>
    </row>
    <row r="35093" spans="1:10" x14ac:dyDescent="0.25">
      <c r="A35093" t="s">
        <v>381</v>
      </c>
      <c r="B35093" s="1" t="str">
        <f>HYPERLINK("http://southerntoyota.co.za","southerntoyota.co.za")</f>
        <v>southerntoyota.co.za</v>
      </c>
      <c r="C35093" t="s">
        <v>510</v>
      </c>
      <c r="D35093" t="s">
        <v>884</v>
      </c>
      <c r="J35093">
        <v>3</v>
      </c>
    </row>
    <row r="35094" spans="1:10" x14ac:dyDescent="0.25">
      <c r="A35094" t="s">
        <v>381</v>
      </c>
      <c r="B35094" s="1" t="str">
        <f>HYPERLINK("http://toyota.co.za","toyota.co.za")</f>
        <v>toyota.co.za</v>
      </c>
      <c r="C35094" t="s">
        <v>510</v>
      </c>
      <c r="D35094" t="s">
        <v>884</v>
      </c>
      <c r="E35094">
        <v>185938</v>
      </c>
      <c r="F35094">
        <v>8.3575844171827803E-8</v>
      </c>
      <c r="G35094">
        <v>496390</v>
      </c>
      <c r="H35094">
        <v>15094324</v>
      </c>
      <c r="I35094">
        <v>407337</v>
      </c>
      <c r="J35094">
        <v>4</v>
      </c>
    </row>
    <row r="35095" spans="1:10" x14ac:dyDescent="0.25">
      <c r="A35095" t="s">
        <v>381</v>
      </c>
      <c r="B35095" s="1" t="str">
        <f>HYPERLINK("http://waterbergtoyota.co.za","waterbergtoyota.co.za")</f>
        <v>waterbergtoyota.co.za</v>
      </c>
      <c r="C35095" t="s">
        <v>510</v>
      </c>
      <c r="D35095" t="s">
        <v>884</v>
      </c>
      <c r="F35095">
        <v>4.4438331965111198E-9</v>
      </c>
      <c r="G35095">
        <v>79009275</v>
      </c>
      <c r="H35095">
        <v>10466171</v>
      </c>
      <c r="I35095">
        <v>51473277</v>
      </c>
      <c r="J35095">
        <v>3</v>
      </c>
    </row>
    <row r="35096" spans="1:10" x14ac:dyDescent="0.25">
      <c r="A35096" t="s">
        <v>382</v>
      </c>
      <c r="B35096" s="1" t="str">
        <f>HYPERLINK("http://trane.com.ar","trane.com.ar")</f>
        <v>trane.com.ar</v>
      </c>
      <c r="C35096" t="s">
        <v>418</v>
      </c>
      <c r="D35096" t="s">
        <v>800</v>
      </c>
      <c r="F35096">
        <v>4.4674633913202102E-9</v>
      </c>
      <c r="G35096">
        <v>65300829</v>
      </c>
      <c r="H35096">
        <v>10452891</v>
      </c>
      <c r="I35096">
        <v>52060617</v>
      </c>
      <c r="J35096">
        <v>3</v>
      </c>
    </row>
    <row r="35097" spans="1:10" x14ac:dyDescent="0.25">
      <c r="A35097" t="s">
        <v>382</v>
      </c>
      <c r="B35097" s="1" t="str">
        <f>HYPERLINK("http://thermoking.com.au","thermoking.com.au")</f>
        <v>thermoking.com.au</v>
      </c>
      <c r="C35097" t="s">
        <v>420</v>
      </c>
      <c r="D35097" t="s">
        <v>802</v>
      </c>
      <c r="F35097">
        <v>5.5789813957945101E-9</v>
      </c>
      <c r="G35097">
        <v>20065430</v>
      </c>
      <c r="H35097">
        <v>10929877</v>
      </c>
      <c r="I35097">
        <v>35069961</v>
      </c>
      <c r="J35097">
        <v>7</v>
      </c>
    </row>
    <row r="35098" spans="1:10" x14ac:dyDescent="0.25">
      <c r="A35098" t="s">
        <v>382</v>
      </c>
      <c r="B35098" s="1" t="str">
        <f>HYPERLINK("http://thermoking.com.br","thermoking.com.br")</f>
        <v>thermoking.com.br</v>
      </c>
      <c r="C35098" t="s">
        <v>425</v>
      </c>
      <c r="D35098" t="s">
        <v>806</v>
      </c>
      <c r="F35098">
        <v>6.8222924806243699E-9</v>
      </c>
      <c r="G35098">
        <v>12886763</v>
      </c>
      <c r="H35098">
        <v>12098360</v>
      </c>
      <c r="I35098">
        <v>26010864</v>
      </c>
      <c r="J35098">
        <v>7</v>
      </c>
    </row>
    <row r="35099" spans="1:10" x14ac:dyDescent="0.25">
      <c r="A35099" t="s">
        <v>382</v>
      </c>
      <c r="B35099" s="1" t="str">
        <f>HYPERLINK("http://trane.com.br","trane.com.br")</f>
        <v>trane.com.br</v>
      </c>
      <c r="C35099" t="s">
        <v>425</v>
      </c>
      <c r="D35099" t="s">
        <v>806</v>
      </c>
      <c r="F35099">
        <v>6.5717774570357603E-9</v>
      </c>
      <c r="G35099">
        <v>13786903</v>
      </c>
      <c r="H35099">
        <v>12563575</v>
      </c>
      <c r="I35099">
        <v>16680953</v>
      </c>
      <c r="J35099">
        <v>4</v>
      </c>
    </row>
    <row r="35100" spans="1:10" x14ac:dyDescent="0.25">
      <c r="A35100" t="s">
        <v>382</v>
      </c>
      <c r="B35100" s="1" t="str">
        <f>HYPERLINK("http://thermoking.ca","thermoking.ca")</f>
        <v>thermoking.ca</v>
      </c>
      <c r="C35100" t="s">
        <v>428</v>
      </c>
      <c r="D35100" t="s">
        <v>809</v>
      </c>
      <c r="F35100">
        <v>2.1044561579853199E-8</v>
      </c>
      <c r="G35100">
        <v>2510039</v>
      </c>
      <c r="H35100">
        <v>13026299</v>
      </c>
      <c r="I35100">
        <v>12686894</v>
      </c>
      <c r="J35100">
        <v>7</v>
      </c>
    </row>
    <row r="35101" spans="1:10" x14ac:dyDescent="0.25">
      <c r="A35101" t="s">
        <v>382</v>
      </c>
      <c r="B35101" s="1" t="str">
        <f>HYPERLINK("http://trane.cl","trane.cl")</f>
        <v>trane.cl</v>
      </c>
      <c r="C35101" t="s">
        <v>430</v>
      </c>
      <c r="D35101" t="s">
        <v>811</v>
      </c>
      <c r="J35101">
        <v>3</v>
      </c>
    </row>
    <row r="35102" spans="1:10" x14ac:dyDescent="0.25">
      <c r="A35102" t="s">
        <v>382</v>
      </c>
      <c r="B35102" s="1" t="str">
        <f>HYPERLINK("http://thermoking.com.cn","thermoking.com.cn")</f>
        <v>thermoking.com.cn</v>
      </c>
      <c r="C35102" t="s">
        <v>431</v>
      </c>
      <c r="D35102" t="s">
        <v>812</v>
      </c>
      <c r="F35102">
        <v>5.4958672058890701E-9</v>
      </c>
      <c r="G35102">
        <v>20947806</v>
      </c>
      <c r="H35102">
        <v>10961379</v>
      </c>
      <c r="I35102">
        <v>34323318</v>
      </c>
      <c r="J35102">
        <v>7</v>
      </c>
    </row>
    <row r="35103" spans="1:10" x14ac:dyDescent="0.25">
      <c r="A35103" t="s">
        <v>382</v>
      </c>
      <c r="B35103" s="1" t="str">
        <f>HYPERLINK("http://tranetechnologies.cn","tranetechnologies.cn")</f>
        <v>tranetechnologies.cn</v>
      </c>
      <c r="C35103" t="s">
        <v>431</v>
      </c>
      <c r="D35103" t="s">
        <v>812</v>
      </c>
      <c r="F35103">
        <v>1.8692227379072101E-8</v>
      </c>
      <c r="G35103">
        <v>2890711</v>
      </c>
      <c r="H35103">
        <v>12212028</v>
      </c>
      <c r="I35103">
        <v>22979108</v>
      </c>
      <c r="J35103">
        <v>2</v>
      </c>
    </row>
    <row r="35104" spans="1:10" x14ac:dyDescent="0.25">
      <c r="A35104" t="s">
        <v>382</v>
      </c>
      <c r="B35104" s="1" t="str">
        <f>HYPERLINK("http://americanstandard-us.com","americanstandard-us.com")</f>
        <v>americanstandard-us.com</v>
      </c>
      <c r="C35104" t="s">
        <v>433</v>
      </c>
      <c r="E35104">
        <v>71419</v>
      </c>
      <c r="F35104">
        <v>4.4860076596078699E-7</v>
      </c>
      <c r="G35104">
        <v>84189</v>
      </c>
      <c r="H35104">
        <v>15279178</v>
      </c>
      <c r="I35104">
        <v>387753</v>
      </c>
      <c r="J35104">
        <v>3</v>
      </c>
    </row>
    <row r="35105" spans="1:10" x14ac:dyDescent="0.25">
      <c r="A35105" t="s">
        <v>382</v>
      </c>
      <c r="B35105" s="1" t="str">
        <f>HYPERLINK("http://calmac.com","calmac.com")</f>
        <v>calmac.com</v>
      </c>
      <c r="C35105" t="s">
        <v>433</v>
      </c>
      <c r="F35105">
        <v>4.0124210171578901E-8</v>
      </c>
      <c r="G35105">
        <v>1288892</v>
      </c>
      <c r="H35105">
        <v>14273913</v>
      </c>
      <c r="I35105">
        <v>1393157</v>
      </c>
      <c r="J35105">
        <v>3</v>
      </c>
    </row>
    <row r="35106" spans="1:10" x14ac:dyDescent="0.25">
      <c r="A35106" t="s">
        <v>382</v>
      </c>
      <c r="B35106" s="1" t="str">
        <f>HYPERLINK("http://clubcar.com","clubcar.com")</f>
        <v>clubcar.com</v>
      </c>
      <c r="C35106" t="s">
        <v>433</v>
      </c>
      <c r="E35106">
        <v>113551</v>
      </c>
      <c r="F35106">
        <v>4.7308505261919099E-7</v>
      </c>
      <c r="G35106">
        <v>80228</v>
      </c>
      <c r="H35106">
        <v>13965438</v>
      </c>
      <c r="I35106">
        <v>4090575</v>
      </c>
      <c r="J35106">
        <v>4</v>
      </c>
    </row>
    <row r="35107" spans="1:10" x14ac:dyDescent="0.25">
      <c r="A35107" t="s">
        <v>382</v>
      </c>
      <c r="B35107" s="1" t="str">
        <f>HYPERLINK("http://frigoblock.com","frigoblock.com")</f>
        <v>frigoblock.com</v>
      </c>
      <c r="C35107" t="s">
        <v>433</v>
      </c>
      <c r="F35107">
        <v>2.6776689397643199E-8</v>
      </c>
      <c r="G35107">
        <v>1921235</v>
      </c>
      <c r="H35107">
        <v>12588461</v>
      </c>
      <c r="I35107">
        <v>16426619</v>
      </c>
      <c r="J35107">
        <v>3</v>
      </c>
    </row>
    <row r="35108" spans="1:10" x14ac:dyDescent="0.25">
      <c r="A35108" t="s">
        <v>382</v>
      </c>
      <c r="B35108" s="1" t="str">
        <f>HYPERLINK("http://icscoolenergy.com","icscoolenergy.com")</f>
        <v>icscoolenergy.com</v>
      </c>
      <c r="C35108" t="s">
        <v>433</v>
      </c>
      <c r="F35108">
        <v>5.0343196536347899E-8</v>
      </c>
      <c r="G35108">
        <v>913258</v>
      </c>
      <c r="H35108">
        <v>14072467</v>
      </c>
      <c r="I35108">
        <v>3088079</v>
      </c>
      <c r="J35108">
        <v>3</v>
      </c>
    </row>
    <row r="35109" spans="1:10" x14ac:dyDescent="0.25">
      <c r="A35109" t="s">
        <v>382</v>
      </c>
      <c r="B35109" s="1" t="str">
        <f>HYPERLINK("http://meetlixil.com","meetlixil.com")</f>
        <v>meetlixil.com</v>
      </c>
      <c r="C35109" t="s">
        <v>433</v>
      </c>
      <c r="F35109">
        <v>7.4738537251636094E-9</v>
      </c>
      <c r="G35109">
        <v>11072177</v>
      </c>
      <c r="H35109">
        <v>11165676</v>
      </c>
      <c r="I35109">
        <v>31577647</v>
      </c>
      <c r="J35109">
        <v>6</v>
      </c>
    </row>
    <row r="35110" spans="1:10" x14ac:dyDescent="0.25">
      <c r="A35110" t="s">
        <v>382</v>
      </c>
      <c r="B35110" s="1" t="str">
        <f>HYPERLINK("http://thermoking.com","thermoking.com")</f>
        <v>thermoking.com</v>
      </c>
      <c r="C35110" t="s">
        <v>433</v>
      </c>
      <c r="E35110">
        <v>113547</v>
      </c>
      <c r="F35110">
        <v>2.67585734664843E-7</v>
      </c>
      <c r="G35110">
        <v>139242</v>
      </c>
      <c r="H35110">
        <v>14891355</v>
      </c>
      <c r="I35110">
        <v>466772</v>
      </c>
      <c r="J35110">
        <v>6</v>
      </c>
    </row>
    <row r="35111" spans="1:10" x14ac:dyDescent="0.25">
      <c r="A35111" t="s">
        <v>382</v>
      </c>
      <c r="B35111" s="1" t="str">
        <f>HYPERLINK("http://tmairconditioning.com","tmairconditioning.com")</f>
        <v>tmairconditioning.com</v>
      </c>
      <c r="C35111" t="s">
        <v>433</v>
      </c>
      <c r="J35111">
        <v>3</v>
      </c>
    </row>
    <row r="35112" spans="1:10" x14ac:dyDescent="0.25">
      <c r="A35112" t="s">
        <v>382</v>
      </c>
      <c r="B35112" s="1" t="str">
        <f>HYPERLINK("http://trane.com","trane.com")</f>
        <v>trane.com</v>
      </c>
      <c r="C35112" t="s">
        <v>433</v>
      </c>
      <c r="E35112">
        <v>19475</v>
      </c>
      <c r="F35112">
        <v>1.3064410724661599E-6</v>
      </c>
      <c r="G35112">
        <v>29712</v>
      </c>
      <c r="H35112">
        <v>17355540</v>
      </c>
      <c r="I35112">
        <v>22600</v>
      </c>
      <c r="J35112">
        <v>3</v>
      </c>
    </row>
    <row r="35113" spans="1:10" x14ac:dyDescent="0.25">
      <c r="A35113" t="s">
        <v>382</v>
      </c>
      <c r="B35113" s="1" t="str">
        <f>HYPERLINK("http://tranetechnologies.com","tranetechnologies.com")</f>
        <v>tranetechnologies.com</v>
      </c>
      <c r="C35113" t="s">
        <v>433</v>
      </c>
      <c r="E35113">
        <v>95434</v>
      </c>
      <c r="F35113">
        <v>4.7502757812273199E-7</v>
      </c>
      <c r="G35113">
        <v>79959</v>
      </c>
      <c r="H35113">
        <v>16971540</v>
      </c>
      <c r="I35113">
        <v>102181</v>
      </c>
      <c r="J35113">
        <v>1</v>
      </c>
    </row>
    <row r="35114" spans="1:10" x14ac:dyDescent="0.25">
      <c r="A35114" t="s">
        <v>382</v>
      </c>
      <c r="B35114" s="1" t="str">
        <f>HYPERLINK("http://tranethailand.com","tranethailand.com")</f>
        <v>tranethailand.com</v>
      </c>
      <c r="C35114" t="s">
        <v>433</v>
      </c>
      <c r="F35114">
        <v>7.2776332595741801E-9</v>
      </c>
      <c r="G35114">
        <v>11534887</v>
      </c>
      <c r="H35114">
        <v>12091759</v>
      </c>
      <c r="I35114">
        <v>26197017</v>
      </c>
      <c r="J35114">
        <v>3</v>
      </c>
    </row>
    <row r="35115" spans="1:10" x14ac:dyDescent="0.25">
      <c r="A35115" t="s">
        <v>382</v>
      </c>
      <c r="B35115" s="1" t="str">
        <f>HYPERLINK("http://visavvi.com","visavvi.com")</f>
        <v>visavvi.com</v>
      </c>
      <c r="C35115" t="s">
        <v>433</v>
      </c>
      <c r="F35115">
        <v>1.2755503158899901E-8</v>
      </c>
      <c r="G35115">
        <v>4751869</v>
      </c>
      <c r="H35115">
        <v>12746817</v>
      </c>
      <c r="I35115">
        <v>15080862</v>
      </c>
      <c r="J35115">
        <v>7</v>
      </c>
    </row>
    <row r="35116" spans="1:10" x14ac:dyDescent="0.25">
      <c r="A35116" t="s">
        <v>382</v>
      </c>
      <c r="B35116" s="1" t="str">
        <f>HYPERLINK("http://coolenergy.de","coolenergy.de")</f>
        <v>coolenergy.de</v>
      </c>
      <c r="C35116" t="s">
        <v>436</v>
      </c>
      <c r="D35116" t="s">
        <v>815</v>
      </c>
      <c r="F35116">
        <v>5.9497562251328799E-9</v>
      </c>
      <c r="G35116">
        <v>17024221</v>
      </c>
      <c r="H35116">
        <v>10955952</v>
      </c>
      <c r="I35116">
        <v>34449876</v>
      </c>
      <c r="J35116">
        <v>3</v>
      </c>
    </row>
    <row r="35117" spans="1:10" x14ac:dyDescent="0.25">
      <c r="A35117" t="s">
        <v>382</v>
      </c>
      <c r="B35117" s="1" t="str">
        <f>HYPERLINK("http://frigoblock.de","frigoblock.de")</f>
        <v>frigoblock.de</v>
      </c>
      <c r="C35117" t="s">
        <v>436</v>
      </c>
      <c r="D35117" t="s">
        <v>815</v>
      </c>
      <c r="F35117">
        <v>5.3849683927650397E-9</v>
      </c>
      <c r="G35117">
        <v>22356310</v>
      </c>
      <c r="H35117">
        <v>10841697</v>
      </c>
      <c r="I35117">
        <v>37071533</v>
      </c>
      <c r="J35117">
        <v>6</v>
      </c>
    </row>
    <row r="35118" spans="1:10" x14ac:dyDescent="0.25">
      <c r="A35118" t="s">
        <v>382</v>
      </c>
      <c r="B35118" s="1" t="str">
        <f>HYPERLINK("http://ingersollrand.de","ingersollrand.de")</f>
        <v>ingersollrand.de</v>
      </c>
      <c r="C35118" t="s">
        <v>436</v>
      </c>
      <c r="D35118" t="s">
        <v>815</v>
      </c>
      <c r="F35118">
        <v>4.6291770058884397E-9</v>
      </c>
      <c r="G35118">
        <v>45493075</v>
      </c>
      <c r="H35118">
        <v>10589138</v>
      </c>
      <c r="I35118">
        <v>45650714</v>
      </c>
      <c r="J35118">
        <v>3</v>
      </c>
    </row>
    <row r="35119" spans="1:10" x14ac:dyDescent="0.25">
      <c r="A35119" t="s">
        <v>382</v>
      </c>
      <c r="B35119" s="1" t="str">
        <f>HYPERLINK("http://trane.de","trane.de")</f>
        <v>trane.de</v>
      </c>
      <c r="C35119" t="s">
        <v>436</v>
      </c>
      <c r="D35119" t="s">
        <v>815</v>
      </c>
      <c r="F35119">
        <v>6.8636068149164502E-9</v>
      </c>
      <c r="G35119">
        <v>12749502</v>
      </c>
      <c r="H35119">
        <v>12175368</v>
      </c>
      <c r="I35119">
        <v>23921750</v>
      </c>
      <c r="J35119">
        <v>4</v>
      </c>
    </row>
    <row r="35120" spans="1:10" x14ac:dyDescent="0.25">
      <c r="A35120" t="s">
        <v>382</v>
      </c>
      <c r="B35120" s="1" t="str">
        <f>HYPERLINK("http://trane.eu","trane.eu")</f>
        <v>trane.eu</v>
      </c>
      <c r="C35120" t="s">
        <v>444</v>
      </c>
      <c r="F35120">
        <v>3.86608234974805E-8</v>
      </c>
      <c r="G35120">
        <v>1333672</v>
      </c>
      <c r="H35120">
        <v>13226676</v>
      </c>
      <c r="I35120">
        <v>11299247</v>
      </c>
      <c r="J35120">
        <v>4</v>
      </c>
    </row>
    <row r="35121" spans="1:10" x14ac:dyDescent="0.25">
      <c r="A35121" t="s">
        <v>382</v>
      </c>
      <c r="B35121" s="1" t="str">
        <f>HYPERLINK("http://clubcar.fi","clubcar.fi")</f>
        <v>clubcar.fi</v>
      </c>
      <c r="C35121" t="s">
        <v>445</v>
      </c>
      <c r="D35121" t="s">
        <v>823</v>
      </c>
      <c r="J35121">
        <v>4</v>
      </c>
    </row>
    <row r="35122" spans="1:10" x14ac:dyDescent="0.25">
      <c r="A35122" t="s">
        <v>382</v>
      </c>
      <c r="B35122" s="1" t="str">
        <f>HYPERLINK("http://trane.fi","trane.fi")</f>
        <v>trane.fi</v>
      </c>
      <c r="C35122" t="s">
        <v>445</v>
      </c>
      <c r="D35122" t="s">
        <v>823</v>
      </c>
      <c r="J35122">
        <v>3</v>
      </c>
    </row>
    <row r="35123" spans="1:10" x14ac:dyDescent="0.25">
      <c r="A35123" t="s">
        <v>382</v>
      </c>
      <c r="B35123" s="1" t="str">
        <f>HYPERLINK("http://trane.gr","trane.gr")</f>
        <v>trane.gr</v>
      </c>
      <c r="C35123" t="s">
        <v>447</v>
      </c>
      <c r="D35123" t="s">
        <v>825</v>
      </c>
      <c r="F35123">
        <v>4.6079474017154398E-9</v>
      </c>
      <c r="G35123">
        <v>47016301</v>
      </c>
      <c r="H35123">
        <v>11120196</v>
      </c>
      <c r="I35123">
        <v>32047041</v>
      </c>
      <c r="J35123">
        <v>3</v>
      </c>
    </row>
    <row r="35124" spans="1:10" x14ac:dyDescent="0.25">
      <c r="A35124" t="s">
        <v>382</v>
      </c>
      <c r="B35124" s="1" t="str">
        <f>HYPERLINK("http://thermoking.co.nz","thermoking.co.nz")</f>
        <v>thermoking.co.nz</v>
      </c>
      <c r="C35124" t="s">
        <v>479</v>
      </c>
      <c r="D35124" t="s">
        <v>854</v>
      </c>
      <c r="F35124">
        <v>4.5143320910070097E-9</v>
      </c>
      <c r="G35124">
        <v>56934521</v>
      </c>
      <c r="H35124">
        <v>10242235</v>
      </c>
      <c r="I35124">
        <v>58762726</v>
      </c>
      <c r="J35124">
        <v>7</v>
      </c>
    </row>
    <row r="35125" spans="1:10" x14ac:dyDescent="0.25">
      <c r="A35125" t="s">
        <v>382</v>
      </c>
      <c r="B35125" s="1" t="str">
        <f>HYPERLINK("http://trane.tm","trane.tm")</f>
        <v>trane.tm</v>
      </c>
      <c r="C35125" t="s">
        <v>675</v>
      </c>
      <c r="D35125" t="s">
        <v>993</v>
      </c>
      <c r="F35125">
        <v>5.79059572646352E-9</v>
      </c>
      <c r="G35125">
        <v>18159957</v>
      </c>
      <c r="H35125">
        <v>12175360</v>
      </c>
      <c r="I35125">
        <v>23926288</v>
      </c>
      <c r="J35125">
        <v>4</v>
      </c>
    </row>
    <row r="35126" spans="1:10" x14ac:dyDescent="0.25">
      <c r="A35126" t="s">
        <v>382</v>
      </c>
      <c r="B35126" s="1" t="str">
        <f>HYPERLINK("http://trane.co.uk","trane.co.uk")</f>
        <v>trane.co.uk</v>
      </c>
      <c r="C35126" t="s">
        <v>506</v>
      </c>
      <c r="D35126" t="s">
        <v>880</v>
      </c>
      <c r="F35126">
        <v>5.9334371061213802E-9</v>
      </c>
      <c r="G35126">
        <v>17129207</v>
      </c>
      <c r="H35126">
        <v>12201186</v>
      </c>
      <c r="I35126">
        <v>23291138</v>
      </c>
      <c r="J35126">
        <v>4</v>
      </c>
    </row>
    <row r="35127" spans="1:10" x14ac:dyDescent="0.25">
      <c r="A35127" t="s">
        <v>1658</v>
      </c>
      <c r="B35127" s="1" t="str">
        <f>HYPERLINK("http://cmcelectronics.ca","cmcelectronics.ca")</f>
        <v>cmcelectronics.ca</v>
      </c>
      <c r="C35127" t="s">
        <v>428</v>
      </c>
      <c r="D35127" t="s">
        <v>809</v>
      </c>
      <c r="F35127">
        <v>3.65149800345407E-8</v>
      </c>
      <c r="G35127">
        <v>1430049</v>
      </c>
      <c r="H35127">
        <v>14585646</v>
      </c>
      <c r="I35127">
        <v>701415</v>
      </c>
      <c r="J35127">
        <v>3</v>
      </c>
    </row>
    <row r="35128" spans="1:10" x14ac:dyDescent="0.25">
      <c r="A35128" t="s">
        <v>1658</v>
      </c>
      <c r="B35128" s="1" t="str">
        <f>HYPERLINK("http://acmeelec.com","acmeelec.com")</f>
        <v>acmeelec.com</v>
      </c>
      <c r="C35128" t="s">
        <v>433</v>
      </c>
      <c r="F35128">
        <v>4.74650424184582E-9</v>
      </c>
      <c r="G35128">
        <v>38488770</v>
      </c>
      <c r="H35128">
        <v>12909781</v>
      </c>
      <c r="I35128">
        <v>13582399</v>
      </c>
      <c r="J35128">
        <v>3</v>
      </c>
    </row>
    <row r="35129" spans="1:10" x14ac:dyDescent="0.25">
      <c r="A35129" t="s">
        <v>1658</v>
      </c>
      <c r="B35129" s="1" t="str">
        <f>HYPERLINK("http://aerocontrolex.com","aerocontrolex.com")</f>
        <v>aerocontrolex.com</v>
      </c>
      <c r="C35129" t="s">
        <v>433</v>
      </c>
      <c r="F35129">
        <v>1.1604993990424E-8</v>
      </c>
      <c r="G35129">
        <v>5429762</v>
      </c>
      <c r="H35129">
        <v>12590361</v>
      </c>
      <c r="I35129">
        <v>16411780</v>
      </c>
      <c r="J35129">
        <v>3</v>
      </c>
    </row>
    <row r="35130" spans="1:10" x14ac:dyDescent="0.25">
      <c r="A35130" t="s">
        <v>1658</v>
      </c>
      <c r="B35130" s="1" t="str">
        <f>HYPERLINK("http://aerosonic.com","aerosonic.com")</f>
        <v>aerosonic.com</v>
      </c>
      <c r="C35130" t="s">
        <v>433</v>
      </c>
      <c r="F35130">
        <v>7.5052991338781194E-9</v>
      </c>
      <c r="G35130">
        <v>11001840</v>
      </c>
      <c r="H35130">
        <v>13772669</v>
      </c>
      <c r="I35130">
        <v>6652309</v>
      </c>
      <c r="J35130">
        <v>3</v>
      </c>
    </row>
    <row r="35131" spans="1:10" x14ac:dyDescent="0.25">
      <c r="A35131" t="s">
        <v>1658</v>
      </c>
      <c r="B35131" s="1" t="str">
        <f>HYPERLINK("http://airborne.com","airborne.com")</f>
        <v>airborne.com</v>
      </c>
      <c r="C35131" t="s">
        <v>433</v>
      </c>
      <c r="E35131">
        <v>904146</v>
      </c>
      <c r="F35131">
        <v>6.7226134757691094E-8</v>
      </c>
      <c r="G35131">
        <v>636024</v>
      </c>
      <c r="H35131">
        <v>14223427</v>
      </c>
      <c r="I35131">
        <v>1682368</v>
      </c>
      <c r="J35131">
        <v>3</v>
      </c>
    </row>
    <row r="35132" spans="1:10" x14ac:dyDescent="0.25">
      <c r="A35132" t="s">
        <v>1658</v>
      </c>
      <c r="B35132" s="1" t="str">
        <f>HYPERLINK("http://airborne-international.com","airborne-international.com")</f>
        <v>airborne-international.com</v>
      </c>
      <c r="C35132" t="s">
        <v>433</v>
      </c>
      <c r="F35132">
        <v>5.7231575955616102E-9</v>
      </c>
      <c r="G35132">
        <v>18722099</v>
      </c>
      <c r="H35132">
        <v>12424491</v>
      </c>
      <c r="I35132">
        <v>18381127</v>
      </c>
      <c r="J35132">
        <v>5</v>
      </c>
    </row>
    <row r="35133" spans="1:10" x14ac:dyDescent="0.25">
      <c r="A35133" t="s">
        <v>1658</v>
      </c>
      <c r="B35133" s="1" t="str">
        <f>HYPERLINK("http://amsafebridport.com","amsafebridport.com")</f>
        <v>amsafebridport.com</v>
      </c>
      <c r="C35133" t="s">
        <v>433</v>
      </c>
      <c r="F35133">
        <v>1.5514475426969901E-8</v>
      </c>
      <c r="G35133">
        <v>3680481</v>
      </c>
      <c r="H35133">
        <v>13770080</v>
      </c>
      <c r="I35133">
        <v>6745870</v>
      </c>
      <c r="J35133">
        <v>4</v>
      </c>
    </row>
    <row r="35134" spans="1:10" x14ac:dyDescent="0.25">
      <c r="A35134" t="s">
        <v>1658</v>
      </c>
      <c r="B35134" s="1" t="str">
        <f>HYPERLINK("http://apicalindustries.com","apicalindustries.com")</f>
        <v>apicalindustries.com</v>
      </c>
      <c r="C35134" t="s">
        <v>433</v>
      </c>
      <c r="F35134">
        <v>4.6661553955057103E-9</v>
      </c>
      <c r="G35134">
        <v>43141669</v>
      </c>
      <c r="H35134">
        <v>12812646</v>
      </c>
      <c r="I35134">
        <v>14559634</v>
      </c>
      <c r="J35134">
        <v>3</v>
      </c>
    </row>
    <row r="35135" spans="1:10" x14ac:dyDescent="0.25">
      <c r="A35135" t="s">
        <v>1658</v>
      </c>
      <c r="B35135" s="1" t="str">
        <f>HYPERLINK("http://ar-aero.com","ar-aero.com")</f>
        <v>ar-aero.com</v>
      </c>
      <c r="C35135" t="s">
        <v>433</v>
      </c>
      <c r="F35135">
        <v>6.6454852372766901E-9</v>
      </c>
      <c r="G35135">
        <v>13501929</v>
      </c>
      <c r="H35135">
        <v>12324374</v>
      </c>
      <c r="I35135">
        <v>20334253</v>
      </c>
      <c r="J35135">
        <v>3</v>
      </c>
    </row>
    <row r="35136" spans="1:10" x14ac:dyDescent="0.25">
      <c r="A35136" t="s">
        <v>1658</v>
      </c>
      <c r="B35136" s="1" t="str">
        <f>HYPERLINK("http://araero.com","araero.com")</f>
        <v>araero.com</v>
      </c>
      <c r="C35136" t="s">
        <v>433</v>
      </c>
      <c r="F35136">
        <v>6.6237960241980403E-9</v>
      </c>
      <c r="G35136">
        <v>13583275</v>
      </c>
      <c r="H35136">
        <v>12320198</v>
      </c>
      <c r="I35136">
        <v>20416643</v>
      </c>
      <c r="J35136">
        <v>6</v>
      </c>
    </row>
    <row r="35137" spans="1:10" x14ac:dyDescent="0.25">
      <c r="A35137" t="s">
        <v>1658</v>
      </c>
      <c r="B35137" s="1" t="str">
        <f>HYPERLINK("http://arkwin.com","arkwin.com")</f>
        <v>arkwin.com</v>
      </c>
      <c r="C35137" t="s">
        <v>433</v>
      </c>
      <c r="F35137">
        <v>7.9069753547599799E-9</v>
      </c>
      <c r="G35137">
        <v>10097931</v>
      </c>
      <c r="H35137">
        <v>13062438</v>
      </c>
      <c r="I35137">
        <v>12314742</v>
      </c>
      <c r="J35137">
        <v>3</v>
      </c>
    </row>
    <row r="35138" spans="1:10" x14ac:dyDescent="0.25">
      <c r="A35138" t="s">
        <v>1658</v>
      </c>
      <c r="B35138" s="1" t="str">
        <f>HYPERLINK("http://asitest.com","asitest.com")</f>
        <v>asitest.com</v>
      </c>
      <c r="C35138" t="s">
        <v>433</v>
      </c>
      <c r="F35138">
        <v>4.6277147143713799E-9</v>
      </c>
      <c r="G35138">
        <v>45590121</v>
      </c>
      <c r="H35138">
        <v>12278062</v>
      </c>
      <c r="I35138">
        <v>21346484</v>
      </c>
      <c r="J35138">
        <v>6</v>
      </c>
    </row>
    <row r="35139" spans="1:10" x14ac:dyDescent="0.25">
      <c r="A35139" t="s">
        <v>1658</v>
      </c>
      <c r="B35139" s="1" t="str">
        <f>HYPERLINK("http://auxitrol.com","auxitrol.com")</f>
        <v>auxitrol.com</v>
      </c>
      <c r="C35139" t="s">
        <v>433</v>
      </c>
      <c r="F35139">
        <v>4.5456620024163704E-9</v>
      </c>
      <c r="G35139">
        <v>52659909</v>
      </c>
      <c r="H35139">
        <v>12016166</v>
      </c>
      <c r="I35139">
        <v>27942505</v>
      </c>
      <c r="J35139">
        <v>3</v>
      </c>
    </row>
    <row r="35140" spans="1:10" x14ac:dyDescent="0.25">
      <c r="A35140" t="s">
        <v>1658</v>
      </c>
      <c r="B35140" s="1" t="str">
        <f>HYPERLINK("http://avionicinstruments.com","avionicinstruments.com")</f>
        <v>avionicinstruments.com</v>
      </c>
      <c r="C35140" t="s">
        <v>433</v>
      </c>
      <c r="F35140">
        <v>2.2271980731387701E-8</v>
      </c>
      <c r="G35140">
        <v>2354239</v>
      </c>
      <c r="H35140">
        <v>13153594</v>
      </c>
      <c r="I35140">
        <v>11811752</v>
      </c>
      <c r="J35140">
        <v>3</v>
      </c>
    </row>
    <row r="35141" spans="1:10" x14ac:dyDescent="0.25">
      <c r="A35141" t="s">
        <v>1658</v>
      </c>
      <c r="B35141" s="1" t="str">
        <f>HYPERLINK("http://avionics-specialist.com","avionics-specialist.com")</f>
        <v>avionics-specialist.com</v>
      </c>
      <c r="C35141" t="s">
        <v>433</v>
      </c>
      <c r="F35141">
        <v>5.7281476897071402E-9</v>
      </c>
      <c r="G35141">
        <v>18680402</v>
      </c>
      <c r="H35141">
        <v>12330193</v>
      </c>
      <c r="I35141">
        <v>20208752</v>
      </c>
      <c r="J35141">
        <v>3</v>
      </c>
    </row>
    <row r="35142" spans="1:10" x14ac:dyDescent="0.25">
      <c r="A35142" t="s">
        <v>1658</v>
      </c>
      <c r="B35142" s="1" t="str">
        <f>HYPERLINK("http://avtechtyee.com","avtechtyee.com")</f>
        <v>avtechtyee.com</v>
      </c>
      <c r="C35142" t="s">
        <v>433</v>
      </c>
      <c r="F35142">
        <v>1.56149630072091E-8</v>
      </c>
      <c r="G35142">
        <v>3651001</v>
      </c>
      <c r="H35142">
        <v>12788711</v>
      </c>
      <c r="I35142">
        <v>14694892</v>
      </c>
      <c r="J35142">
        <v>3</v>
      </c>
    </row>
    <row r="35143" spans="1:10" x14ac:dyDescent="0.25">
      <c r="A35143" t="s">
        <v>1658</v>
      </c>
      <c r="B35143" s="1" t="str">
        <f>HYPERLINK("http://breeze-eastern.com","breeze-eastern.com")</f>
        <v>breeze-eastern.com</v>
      </c>
      <c r="C35143" t="s">
        <v>433</v>
      </c>
      <c r="F35143">
        <v>3.7658532218944203E-8</v>
      </c>
      <c r="G35143">
        <v>1374154</v>
      </c>
      <c r="H35143">
        <v>13786458</v>
      </c>
      <c r="I35143">
        <v>6385683</v>
      </c>
      <c r="J35143">
        <v>3</v>
      </c>
    </row>
    <row r="35144" spans="1:10" x14ac:dyDescent="0.25">
      <c r="A35144" t="s">
        <v>1658</v>
      </c>
      <c r="B35144" s="1" t="str">
        <f>HYPERLINK("http://btte-beta.com","btte-beta.com")</f>
        <v>btte-beta.com</v>
      </c>
      <c r="C35144" t="s">
        <v>433</v>
      </c>
      <c r="J35144">
        <v>4</v>
      </c>
    </row>
    <row r="35145" spans="1:10" x14ac:dyDescent="0.25">
      <c r="A35145" t="s">
        <v>1658</v>
      </c>
      <c r="B35145" s="1" t="str">
        <f>HYPERLINK("http://cda-intercorp.com","cda-intercorp.com")</f>
        <v>cda-intercorp.com</v>
      </c>
      <c r="C35145" t="s">
        <v>433</v>
      </c>
      <c r="F35145">
        <v>1.21811541767772E-8</v>
      </c>
      <c r="G35145">
        <v>5061442</v>
      </c>
      <c r="H35145">
        <v>12287074</v>
      </c>
      <c r="I35145">
        <v>21173261</v>
      </c>
      <c r="J35145">
        <v>3</v>
      </c>
    </row>
    <row r="35146" spans="1:10" x14ac:dyDescent="0.25">
      <c r="A35146" t="s">
        <v>1658</v>
      </c>
      <c r="B35146" s="1" t="str">
        <f>HYPERLINK("http://chelton.com","chelton.com")</f>
        <v>chelton.com</v>
      </c>
      <c r="C35146" t="s">
        <v>433</v>
      </c>
      <c r="F35146">
        <v>1.6989460145349701E-8</v>
      </c>
      <c r="G35146">
        <v>3285686</v>
      </c>
      <c r="H35146">
        <v>12899504</v>
      </c>
      <c r="I35146">
        <v>13882926</v>
      </c>
      <c r="J35146">
        <v>4</v>
      </c>
    </row>
    <row r="35147" spans="1:10" x14ac:dyDescent="0.25">
      <c r="A35147" t="s">
        <v>1658</v>
      </c>
      <c r="B35147" s="1" t="str">
        <f>HYPERLINK("http://darchem.com","darchem.com")</f>
        <v>darchem.com</v>
      </c>
      <c r="C35147" t="s">
        <v>433</v>
      </c>
      <c r="F35147">
        <v>7.7612550928047904E-9</v>
      </c>
      <c r="G35147">
        <v>10411652</v>
      </c>
      <c r="H35147">
        <v>11281751</v>
      </c>
      <c r="I35147">
        <v>30699824</v>
      </c>
      <c r="J35147">
        <v>4</v>
      </c>
    </row>
    <row r="35148" spans="1:10" x14ac:dyDescent="0.25">
      <c r="A35148" t="s">
        <v>1658</v>
      </c>
      <c r="B35148" s="1" t="str">
        <f>HYPERLINK("http://ddc-web.com","ddc-web.com")</f>
        <v>ddc-web.com</v>
      </c>
      <c r="C35148" t="s">
        <v>433</v>
      </c>
      <c r="E35148">
        <v>890032</v>
      </c>
      <c r="F35148">
        <v>4.1385713618717998E-8</v>
      </c>
      <c r="G35148">
        <v>1209579</v>
      </c>
      <c r="H35148">
        <v>14082027</v>
      </c>
      <c r="I35148">
        <v>2803998</v>
      </c>
      <c r="J35148">
        <v>3</v>
      </c>
    </row>
    <row r="35149" spans="1:10" x14ac:dyDescent="0.25">
      <c r="A35149" t="s">
        <v>1658</v>
      </c>
      <c r="B35149" s="1" t="str">
        <f>HYPERLINK("http://electro-metrics.com","electro-metrics.com")</f>
        <v>electro-metrics.com</v>
      </c>
      <c r="C35149" t="s">
        <v>433</v>
      </c>
      <c r="F35149">
        <v>7.2100417439728301E-9</v>
      </c>
      <c r="G35149">
        <v>11713877</v>
      </c>
      <c r="H35149">
        <v>12541075</v>
      </c>
      <c r="I35149">
        <v>16935521</v>
      </c>
      <c r="J35149">
        <v>8</v>
      </c>
    </row>
    <row r="35150" spans="1:10" x14ac:dyDescent="0.25">
      <c r="A35150" t="s">
        <v>1658</v>
      </c>
      <c r="B35150" s="1" t="str">
        <f>HYPERLINK("http://harcolabs.com","harcolabs.com")</f>
        <v>harcolabs.com</v>
      </c>
      <c r="C35150" t="s">
        <v>433</v>
      </c>
      <c r="F35150">
        <v>5.8774037088807698E-9</v>
      </c>
      <c r="G35150">
        <v>17515437</v>
      </c>
      <c r="H35150">
        <v>12645507</v>
      </c>
      <c r="I35150">
        <v>15830354</v>
      </c>
      <c r="J35150">
        <v>3</v>
      </c>
    </row>
    <row r="35151" spans="1:10" x14ac:dyDescent="0.25">
      <c r="A35151" t="s">
        <v>1658</v>
      </c>
      <c r="B35151" s="1" t="str">
        <f>HYPERLINK("http://irvingq.com","irvingq.com")</f>
        <v>irvingq.com</v>
      </c>
      <c r="C35151" t="s">
        <v>433</v>
      </c>
      <c r="F35151">
        <v>1.76615079891665E-8</v>
      </c>
      <c r="G35151">
        <v>3105183</v>
      </c>
      <c r="H35151">
        <v>13945672</v>
      </c>
      <c r="I35151">
        <v>4234973</v>
      </c>
      <c r="J35151">
        <v>4</v>
      </c>
    </row>
    <row r="35152" spans="1:10" x14ac:dyDescent="0.25">
      <c r="A35152" t="s">
        <v>1658</v>
      </c>
      <c r="B35152" s="1" t="str">
        <f>HYPERLINK("http://jancoltd.com","jancoltd.com")</f>
        <v>jancoltd.com</v>
      </c>
      <c r="C35152" t="s">
        <v>433</v>
      </c>
      <c r="F35152">
        <v>5.0512758110343498E-9</v>
      </c>
      <c r="G35152">
        <v>28192094</v>
      </c>
      <c r="H35152">
        <v>13270905</v>
      </c>
      <c r="I35152">
        <v>10955616</v>
      </c>
      <c r="J35152">
        <v>3</v>
      </c>
    </row>
    <row r="35153" spans="1:10" x14ac:dyDescent="0.25">
      <c r="A35153" t="s">
        <v>1658</v>
      </c>
      <c r="B35153" s="1" t="str">
        <f>HYPERLINK("http://leachint.com","leachint.com")</f>
        <v>leachint.com</v>
      </c>
      <c r="C35153" t="s">
        <v>433</v>
      </c>
      <c r="F35153">
        <v>8.2023917022240607E-9</v>
      </c>
      <c r="G35153">
        <v>9567168</v>
      </c>
      <c r="H35153">
        <v>12320088</v>
      </c>
      <c r="I35153">
        <v>20418249</v>
      </c>
      <c r="J35153">
        <v>4</v>
      </c>
    </row>
    <row r="35154" spans="1:10" x14ac:dyDescent="0.25">
      <c r="A35154" t="s">
        <v>1658</v>
      </c>
      <c r="B35154" s="1" t="str">
        <f>HYPERLINK("http://mastsystem.com","mastsystem.com")</f>
        <v>mastsystem.com</v>
      </c>
      <c r="C35154" t="s">
        <v>433</v>
      </c>
      <c r="F35154">
        <v>5.6844324714972697E-9</v>
      </c>
      <c r="G35154">
        <v>19092155</v>
      </c>
      <c r="H35154">
        <v>12324921</v>
      </c>
      <c r="I35154">
        <v>20325607</v>
      </c>
      <c r="J35154">
        <v>3</v>
      </c>
    </row>
    <row r="35155" spans="1:10" x14ac:dyDescent="0.25">
      <c r="A35155" t="s">
        <v>1658</v>
      </c>
      <c r="B35155" s="1" t="str">
        <f>HYPERLINK("http://nhsignal.com","nhsignal.com")</f>
        <v>nhsignal.com</v>
      </c>
      <c r="C35155" t="s">
        <v>433</v>
      </c>
      <c r="F35155">
        <v>4.9053668047565303E-9</v>
      </c>
      <c r="G35155">
        <v>32312902</v>
      </c>
      <c r="H35155">
        <v>11147060</v>
      </c>
      <c r="I35155">
        <v>31766709</v>
      </c>
      <c r="J35155">
        <v>3</v>
      </c>
    </row>
    <row r="35156" spans="1:10" x14ac:dyDescent="0.25">
      <c r="A35156" t="s">
        <v>1658</v>
      </c>
      <c r="B35156" s="1" t="str">
        <f>HYPERLINK("http://nmcgroup.com","nmcgroup.com")</f>
        <v>nmcgroup.com</v>
      </c>
      <c r="C35156" t="s">
        <v>433</v>
      </c>
      <c r="F35156">
        <v>5.1254348896943396E-9</v>
      </c>
      <c r="G35156">
        <v>26541302</v>
      </c>
      <c r="H35156">
        <v>11872207</v>
      </c>
      <c r="I35156">
        <v>29649116</v>
      </c>
      <c r="J35156">
        <v>3</v>
      </c>
    </row>
    <row r="35157" spans="1:10" x14ac:dyDescent="0.25">
      <c r="A35157" t="s">
        <v>1658</v>
      </c>
      <c r="B35157" s="1" t="str">
        <f>HYPERLINK("http://nordisk-aviation.com","nordisk-aviation.com")</f>
        <v>nordisk-aviation.com</v>
      </c>
      <c r="C35157" t="s">
        <v>433</v>
      </c>
      <c r="F35157">
        <v>9.6694105329162303E-9</v>
      </c>
      <c r="G35157">
        <v>7116715</v>
      </c>
      <c r="H35157">
        <v>12325798</v>
      </c>
      <c r="I35157">
        <v>20311871</v>
      </c>
      <c r="J35157">
        <v>3</v>
      </c>
    </row>
    <row r="35158" spans="1:10" x14ac:dyDescent="0.25">
      <c r="A35158" t="s">
        <v>1658</v>
      </c>
      <c r="B35158" s="1" t="str">
        <f>HYPERLINK("http://norwichaero.com","norwichaero.com")</f>
        <v>norwichaero.com</v>
      </c>
      <c r="C35158" t="s">
        <v>433</v>
      </c>
      <c r="F35158">
        <v>4.4995272884981798E-9</v>
      </c>
      <c r="G35158">
        <v>59013151</v>
      </c>
      <c r="H35158">
        <v>10576756</v>
      </c>
      <c r="I35158">
        <v>45898978</v>
      </c>
      <c r="J35158">
        <v>3</v>
      </c>
    </row>
    <row r="35159" spans="1:10" x14ac:dyDescent="0.25">
      <c r="A35159" t="s">
        <v>1658</v>
      </c>
      <c r="B35159" s="1" t="str">
        <f>HYPERLINK("http://pneudraulics.com","pneudraulics.com")</f>
        <v>pneudraulics.com</v>
      </c>
      <c r="C35159" t="s">
        <v>433</v>
      </c>
      <c r="F35159">
        <v>6.6627106403375604E-9</v>
      </c>
      <c r="G35159">
        <v>13438971</v>
      </c>
      <c r="H35159">
        <v>12147286</v>
      </c>
      <c r="I35159">
        <v>24693815</v>
      </c>
      <c r="J35159">
        <v>3</v>
      </c>
    </row>
    <row r="35160" spans="1:10" x14ac:dyDescent="0.25">
      <c r="A35160" t="s">
        <v>1658</v>
      </c>
      <c r="B35160" s="1" t="str">
        <f>HYPERLINK("http://semcoinstruments.com","semcoinstruments.com")</f>
        <v>semcoinstruments.com</v>
      </c>
      <c r="C35160" t="s">
        <v>433</v>
      </c>
      <c r="J35160">
        <v>3</v>
      </c>
    </row>
    <row r="35161" spans="1:10" x14ac:dyDescent="0.25">
      <c r="A35161" t="s">
        <v>1658</v>
      </c>
      <c r="B35161" s="1" t="str">
        <f>HYPERLINK("http://symetrics.com","symetrics.com")</f>
        <v>symetrics.com</v>
      </c>
      <c r="C35161" t="s">
        <v>433</v>
      </c>
      <c r="F35161">
        <v>5.7665178487317499E-9</v>
      </c>
      <c r="G35161">
        <v>18354969</v>
      </c>
      <c r="H35161">
        <v>12283004</v>
      </c>
      <c r="I35161">
        <v>21249748</v>
      </c>
      <c r="J35161">
        <v>3</v>
      </c>
    </row>
    <row r="35162" spans="1:10" x14ac:dyDescent="0.25">
      <c r="A35162" t="s">
        <v>1658</v>
      </c>
      <c r="B35162" s="1" t="str">
        <f>HYPERLINK("http://tactair.com","tactair.com")</f>
        <v>tactair.com</v>
      </c>
      <c r="C35162" t="s">
        <v>433</v>
      </c>
      <c r="F35162">
        <v>9.8158280266480699E-9</v>
      </c>
      <c r="G35162">
        <v>6952179</v>
      </c>
      <c r="H35162">
        <v>12325750</v>
      </c>
      <c r="I35162">
        <v>20312502</v>
      </c>
      <c r="J35162">
        <v>3</v>
      </c>
    </row>
    <row r="35163" spans="1:10" x14ac:dyDescent="0.25">
      <c r="A35163" t="s">
        <v>1658</v>
      </c>
      <c r="B35163" s="1" t="str">
        <f>HYPERLINK("http://teac-aerospace.com","teac-aerospace.com")</f>
        <v>teac-aerospace.com</v>
      </c>
      <c r="C35163" t="s">
        <v>433</v>
      </c>
      <c r="F35163">
        <v>4.7518351758530798E-9</v>
      </c>
      <c r="G35163">
        <v>38242337</v>
      </c>
      <c r="H35163">
        <v>12226961</v>
      </c>
      <c r="I35163">
        <v>22593120</v>
      </c>
      <c r="J35163">
        <v>3</v>
      </c>
    </row>
    <row r="35164" spans="1:10" x14ac:dyDescent="0.25">
      <c r="A35164" t="s">
        <v>1658</v>
      </c>
      <c r="B35164" s="1" t="str">
        <f>HYPERLINK("http://telair.com","telair.com")</f>
        <v>telair.com</v>
      </c>
      <c r="C35164" t="s">
        <v>433</v>
      </c>
      <c r="F35164">
        <v>1.5653689217626199E-8</v>
      </c>
      <c r="G35164">
        <v>3640289</v>
      </c>
      <c r="H35164">
        <v>13182626</v>
      </c>
      <c r="I35164">
        <v>11677147</v>
      </c>
      <c r="J35164">
        <v>6</v>
      </c>
    </row>
    <row r="35165" spans="1:10" x14ac:dyDescent="0.25">
      <c r="A35165" t="s">
        <v>1658</v>
      </c>
      <c r="B35165" s="1" t="str">
        <f>HYPERLINK("http://transdigm.com","transdigm.com")</f>
        <v>transdigm.com</v>
      </c>
      <c r="C35165" t="s">
        <v>433</v>
      </c>
      <c r="E35165">
        <v>328193</v>
      </c>
      <c r="F35165">
        <v>1.33214636489276E-7</v>
      </c>
      <c r="G35165">
        <v>293262</v>
      </c>
      <c r="H35165">
        <v>14092497</v>
      </c>
      <c r="I35165">
        <v>2739338</v>
      </c>
      <c r="J35165">
        <v>1</v>
      </c>
    </row>
    <row r="35166" spans="1:10" x14ac:dyDescent="0.25">
      <c r="A35166" t="s">
        <v>1658</v>
      </c>
      <c r="B35166" s="1" t="str">
        <f>HYPERLINK("http://eme-in.de","eme-in.de")</f>
        <v>eme-in.de</v>
      </c>
      <c r="C35166" t="s">
        <v>436</v>
      </c>
      <c r="D35166" t="s">
        <v>815</v>
      </c>
      <c r="F35166">
        <v>7.6307918479787606E-9</v>
      </c>
      <c r="G35166">
        <v>10727966</v>
      </c>
      <c r="H35166">
        <v>12285763</v>
      </c>
      <c r="I35166">
        <v>21195148</v>
      </c>
      <c r="J35166">
        <v>3</v>
      </c>
    </row>
    <row r="35167" spans="1:10" x14ac:dyDescent="0.25">
      <c r="A35167" t="s">
        <v>1658</v>
      </c>
      <c r="B35167" s="1" t="str">
        <f>HYPERLINK("http://leachint.fr","leachint.fr")</f>
        <v>leachint.fr</v>
      </c>
      <c r="C35167" t="s">
        <v>446</v>
      </c>
      <c r="D35167" t="s">
        <v>824</v>
      </c>
      <c r="F35167">
        <v>8.7676218717670102E-9</v>
      </c>
      <c r="G35167">
        <v>8363384</v>
      </c>
      <c r="H35167">
        <v>10734665</v>
      </c>
      <c r="I35167">
        <v>40676494</v>
      </c>
      <c r="J35167">
        <v>3</v>
      </c>
    </row>
    <row r="35168" spans="1:10" x14ac:dyDescent="0.25">
      <c r="A35168" t="s">
        <v>1658</v>
      </c>
      <c r="B35168" s="1" t="str">
        <f>HYPERLINK("http://chelton.ru","chelton.ru")</f>
        <v>chelton.ru</v>
      </c>
      <c r="C35168" t="s">
        <v>493</v>
      </c>
      <c r="D35168" t="s">
        <v>867</v>
      </c>
      <c r="F35168">
        <v>5.1936704975113602E-9</v>
      </c>
      <c r="G35168">
        <v>25274437</v>
      </c>
      <c r="H35168">
        <v>10783721</v>
      </c>
      <c r="I35168">
        <v>38764058</v>
      </c>
      <c r="J35168">
        <v>7</v>
      </c>
    </row>
    <row r="35169" spans="1:10" x14ac:dyDescent="0.25">
      <c r="A35169" t="s">
        <v>1658</v>
      </c>
      <c r="B35169" s="1" t="str">
        <f>HYPERLINK("http://darchem.co.uk","darchem.co.uk")</f>
        <v>darchem.co.uk</v>
      </c>
      <c r="C35169" t="s">
        <v>506</v>
      </c>
      <c r="D35169" t="s">
        <v>880</v>
      </c>
      <c r="F35169">
        <v>5.1732347799553398E-9</v>
      </c>
      <c r="G35169">
        <v>25667882</v>
      </c>
      <c r="H35169">
        <v>12383152</v>
      </c>
      <c r="I35169">
        <v>19153176</v>
      </c>
      <c r="J35169">
        <v>7</v>
      </c>
    </row>
    <row r="35170" spans="1:10" x14ac:dyDescent="0.25">
      <c r="A35170" t="s">
        <v>1658</v>
      </c>
      <c r="B35170" s="1" t="str">
        <f>HYPERLINK("http://european-antennas.co.uk","european-antennas.co.uk")</f>
        <v>european-antennas.co.uk</v>
      </c>
      <c r="C35170" t="s">
        <v>506</v>
      </c>
      <c r="D35170" t="s">
        <v>880</v>
      </c>
      <c r="F35170">
        <v>1.1807876728301E-8</v>
      </c>
      <c r="G35170">
        <v>5297344</v>
      </c>
      <c r="H35170">
        <v>13946083</v>
      </c>
      <c r="I35170">
        <v>4225796</v>
      </c>
      <c r="J35170">
        <v>3</v>
      </c>
    </row>
    <row r="35171" spans="1:10" x14ac:dyDescent="0.25">
      <c r="A35171" t="s">
        <v>1658</v>
      </c>
      <c r="B35171" s="1" t="str">
        <f>HYPERLINK("http://cmcea.us","cmcea.us")</f>
        <v>cmcea.us</v>
      </c>
      <c r="C35171" t="s">
        <v>522</v>
      </c>
      <c r="D35171" t="s">
        <v>891</v>
      </c>
      <c r="J35171">
        <v>4</v>
      </c>
    </row>
    <row r="35172" spans="1:10" x14ac:dyDescent="0.25">
      <c r="A35172" t="s">
        <v>1658</v>
      </c>
      <c r="B35172" s="1" t="str">
        <f>HYPERLINK("http://cmcelectronics.us","cmcelectronics.us")</f>
        <v>cmcelectronics.us</v>
      </c>
      <c r="C35172" t="s">
        <v>522</v>
      </c>
      <c r="D35172" t="s">
        <v>891</v>
      </c>
      <c r="F35172">
        <v>4.4975996378158303E-9</v>
      </c>
      <c r="G35172">
        <v>59302713</v>
      </c>
      <c r="H35172">
        <v>12211150</v>
      </c>
      <c r="I35172">
        <v>22998111</v>
      </c>
      <c r="J35172">
        <v>4</v>
      </c>
    </row>
    <row r="35173" spans="1:10" x14ac:dyDescent="0.25">
      <c r="A35173" t="s">
        <v>1659</v>
      </c>
      <c r="B35173" s="1" t="str">
        <f>HYPERLINK("http://travelerscanada.ca","travelerscanada.ca")</f>
        <v>travelerscanada.ca</v>
      </c>
      <c r="C35173" t="s">
        <v>428</v>
      </c>
      <c r="D35173" t="s">
        <v>809</v>
      </c>
      <c r="E35173">
        <v>686324</v>
      </c>
      <c r="F35173">
        <v>1.8296756438847801E-7</v>
      </c>
      <c r="G35173">
        <v>210782</v>
      </c>
      <c r="H35173">
        <v>13406596</v>
      </c>
      <c r="I35173">
        <v>10354185</v>
      </c>
      <c r="J35173">
        <v>3</v>
      </c>
    </row>
    <row r="35174" spans="1:10" x14ac:dyDescent="0.25">
      <c r="A35174" t="s">
        <v>1659</v>
      </c>
      <c r="B35174" s="1" t="str">
        <f>HYPERLINK("http://travelershomewarranty.ca","travelershomewarranty.ca")</f>
        <v>travelershomewarranty.ca</v>
      </c>
      <c r="C35174" t="s">
        <v>428</v>
      </c>
      <c r="D35174" t="s">
        <v>809</v>
      </c>
      <c r="J35174">
        <v>2</v>
      </c>
    </row>
    <row r="35175" spans="1:10" x14ac:dyDescent="0.25">
      <c r="A35175" t="s">
        <v>1659</v>
      </c>
      <c r="B35175" s="1" t="str">
        <f>HYPERLINK("http://homeequipmentprotection.com","homeequipmentprotection.com")</f>
        <v>homeequipmentprotection.com</v>
      </c>
      <c r="C35175" t="s">
        <v>433</v>
      </c>
      <c r="J35175">
        <v>2</v>
      </c>
    </row>
    <row r="35176" spans="1:10" x14ac:dyDescent="0.25">
      <c r="A35176" t="s">
        <v>1659</v>
      </c>
      <c r="B35176" s="1" t="str">
        <f>HYPERLINK("http://insuramatch.com","insuramatch.com")</f>
        <v>insuramatch.com</v>
      </c>
      <c r="C35176" t="s">
        <v>433</v>
      </c>
      <c r="F35176">
        <v>3.3887155323702598E-8</v>
      </c>
      <c r="G35176">
        <v>1527422</v>
      </c>
      <c r="H35176">
        <v>14446011</v>
      </c>
      <c r="I35176">
        <v>1057035</v>
      </c>
      <c r="J35176">
        <v>3</v>
      </c>
    </row>
    <row r="35177" spans="1:10" x14ac:dyDescent="0.25">
      <c r="A35177" t="s">
        <v>1659</v>
      </c>
      <c r="B35177" s="1" t="str">
        <f>HYPERLINK("http://northlandins.com","northlandins.com")</f>
        <v>northlandins.com</v>
      </c>
      <c r="C35177" t="s">
        <v>433</v>
      </c>
      <c r="F35177">
        <v>2.7672336333937001E-8</v>
      </c>
      <c r="G35177">
        <v>1858058</v>
      </c>
      <c r="H35177">
        <v>14187872</v>
      </c>
      <c r="I35177">
        <v>1765363</v>
      </c>
      <c r="J35177">
        <v>3</v>
      </c>
    </row>
    <row r="35178" spans="1:10" x14ac:dyDescent="0.25">
      <c r="A35178" t="s">
        <v>1659</v>
      </c>
      <c r="B35178" s="1" t="str">
        <f>HYPERLINK("http://performanceroundtables.com","performanceroundtables.com")</f>
        <v>performanceroundtables.com</v>
      </c>
      <c r="C35178" t="s">
        <v>433</v>
      </c>
      <c r="F35178">
        <v>4.44380927664388E-9</v>
      </c>
      <c r="G35178">
        <v>79808145</v>
      </c>
      <c r="H35178">
        <v>10352960</v>
      </c>
      <c r="I35178">
        <v>55950728</v>
      </c>
      <c r="J35178">
        <v>2</v>
      </c>
    </row>
    <row r="35179" spans="1:10" x14ac:dyDescent="0.25">
      <c r="A35179" t="s">
        <v>1659</v>
      </c>
      <c r="B35179" s="1" t="str">
        <f>HYPERLINK("http://simplybusiness.com","simplybusiness.com")</f>
        <v>simplybusiness.com</v>
      </c>
      <c r="C35179" t="s">
        <v>433</v>
      </c>
      <c r="E35179">
        <v>192365</v>
      </c>
      <c r="F35179">
        <v>9.7017492047055604E-8</v>
      </c>
      <c r="G35179">
        <v>416467</v>
      </c>
      <c r="H35179">
        <v>14050905</v>
      </c>
      <c r="I35179">
        <v>3894426</v>
      </c>
      <c r="J35179">
        <v>4</v>
      </c>
    </row>
    <row r="35180" spans="1:10" x14ac:dyDescent="0.25">
      <c r="A35180" t="s">
        <v>1659</v>
      </c>
      <c r="B35180" s="1" t="str">
        <f>HYPERLINK("http://travelers.com","travelers.com")</f>
        <v>travelers.com</v>
      </c>
      <c r="C35180" t="s">
        <v>433</v>
      </c>
      <c r="E35180">
        <v>11336</v>
      </c>
      <c r="F35180">
        <v>2.8723826373890802E-6</v>
      </c>
      <c r="G35180">
        <v>13430</v>
      </c>
      <c r="H35180">
        <v>17525796</v>
      </c>
      <c r="I35180">
        <v>12256</v>
      </c>
      <c r="J35180">
        <v>1</v>
      </c>
    </row>
    <row r="35181" spans="1:10" x14ac:dyDescent="0.25">
      <c r="A35181" t="s">
        <v>1659</v>
      </c>
      <c r="B35181" s="1" t="str">
        <f>HYPERLINK("http://travelersdv.com","travelersdv.com")</f>
        <v>travelersdv.com</v>
      </c>
      <c r="C35181" t="s">
        <v>433</v>
      </c>
      <c r="J35181">
        <v>2</v>
      </c>
    </row>
    <row r="35182" spans="1:10" x14ac:dyDescent="0.25">
      <c r="A35182" t="s">
        <v>1659</v>
      </c>
      <c r="B35182" s="1" t="str">
        <f>HYPERLINK("http://trvfalcondev.com","trvfalcondev.com")</f>
        <v>trvfalcondev.com</v>
      </c>
      <c r="C35182" t="s">
        <v>433</v>
      </c>
      <c r="F35182">
        <v>4.44381528729582E-9</v>
      </c>
      <c r="G35182">
        <v>79398917</v>
      </c>
      <c r="H35182">
        <v>10358497</v>
      </c>
      <c r="I35182">
        <v>55382220</v>
      </c>
      <c r="J35182">
        <v>2</v>
      </c>
    </row>
    <row r="35183" spans="1:10" x14ac:dyDescent="0.25">
      <c r="A35183" t="s">
        <v>1659</v>
      </c>
      <c r="B35183" s="1" t="str">
        <f>HYPERLINK("http://travelers.ie","travelers.ie")</f>
        <v>travelers.ie</v>
      </c>
      <c r="C35183" t="s">
        <v>455</v>
      </c>
      <c r="D35183" t="s">
        <v>832</v>
      </c>
      <c r="F35183">
        <v>6.67597233426172E-9</v>
      </c>
      <c r="G35183">
        <v>13390043</v>
      </c>
      <c r="H35183">
        <v>11134972</v>
      </c>
      <c r="I35183">
        <v>31892459</v>
      </c>
      <c r="J35183">
        <v>2</v>
      </c>
    </row>
    <row r="35184" spans="1:10" x14ac:dyDescent="0.25">
      <c r="A35184" t="s">
        <v>1659</v>
      </c>
      <c r="B35184" s="1" t="str">
        <f>HYPERLINK("http://simplybusiness.co.uk","simplybusiness.co.uk")</f>
        <v>simplybusiness.co.uk</v>
      </c>
      <c r="C35184" t="s">
        <v>506</v>
      </c>
      <c r="D35184" t="s">
        <v>880</v>
      </c>
      <c r="E35184">
        <v>47170</v>
      </c>
      <c r="F35184">
        <v>4.6326439480152399E-6</v>
      </c>
      <c r="G35184">
        <v>7601</v>
      </c>
      <c r="H35184">
        <v>17635802</v>
      </c>
      <c r="I35184">
        <v>8717</v>
      </c>
      <c r="J35184">
        <v>3</v>
      </c>
    </row>
    <row r="35185" spans="1:10" x14ac:dyDescent="0.25">
      <c r="A35185" t="s">
        <v>1659</v>
      </c>
      <c r="B35185" s="1" t="str">
        <f>HYPERLINK("http://travelers.co.uk","travelers.co.uk")</f>
        <v>travelers.co.uk</v>
      </c>
      <c r="C35185" t="s">
        <v>506</v>
      </c>
      <c r="D35185" t="s">
        <v>880</v>
      </c>
      <c r="E35185">
        <v>359944</v>
      </c>
      <c r="F35185">
        <v>1.8930397191952299E-8</v>
      </c>
      <c r="G35185">
        <v>2848187</v>
      </c>
      <c r="H35185">
        <v>13839570</v>
      </c>
      <c r="I35185">
        <v>6075445</v>
      </c>
      <c r="J35185">
        <v>2</v>
      </c>
    </row>
    <row r="35186" spans="1:10" x14ac:dyDescent="0.25">
      <c r="A35186" t="s">
        <v>383</v>
      </c>
      <c r="B35186" s="1" t="str">
        <f>HYPERLINK("http://bbeditora.com.br","bbeditora.com.br")</f>
        <v>bbeditora.com.br</v>
      </c>
      <c r="C35186" t="s">
        <v>425</v>
      </c>
      <c r="D35186" t="s">
        <v>806</v>
      </c>
      <c r="F35186">
        <v>4.4510617910473402E-9</v>
      </c>
      <c r="G35186">
        <v>71389422</v>
      </c>
      <c r="H35186">
        <v>10885252</v>
      </c>
      <c r="I35186">
        <v>36234975</v>
      </c>
      <c r="J35186">
        <v>7</v>
      </c>
    </row>
    <row r="35187" spans="1:10" x14ac:dyDescent="0.25">
      <c r="A35187" t="s">
        <v>383</v>
      </c>
      <c r="B35187" s="1" t="str">
        <f>HYPERLINK("http://bankatlantic.com","bankatlantic.com")</f>
        <v>bankatlantic.com</v>
      </c>
      <c r="C35187" t="s">
        <v>433</v>
      </c>
      <c r="F35187">
        <v>8.6746163715057704E-9</v>
      </c>
      <c r="G35187">
        <v>8522008</v>
      </c>
      <c r="H35187">
        <v>13775631</v>
      </c>
      <c r="I35187">
        <v>6574420</v>
      </c>
      <c r="J35187">
        <v>6</v>
      </c>
    </row>
    <row r="35188" spans="1:10" x14ac:dyDescent="0.25">
      <c r="A35188" t="s">
        <v>383</v>
      </c>
      <c r="B35188" s="1" t="str">
        <f>HYPERLINK("http://bbt.com","bbt.com")</f>
        <v>bbt.com</v>
      </c>
      <c r="C35188" t="s">
        <v>433</v>
      </c>
      <c r="E35188">
        <v>41063</v>
      </c>
      <c r="F35188">
        <v>9.2674393957096299E-7</v>
      </c>
      <c r="G35188">
        <v>41567</v>
      </c>
      <c r="H35188">
        <v>17148092</v>
      </c>
      <c r="I35188">
        <v>52613</v>
      </c>
      <c r="J35188">
        <v>2</v>
      </c>
    </row>
    <row r="35189" spans="1:10" x14ac:dyDescent="0.25">
      <c r="A35189" t="s">
        <v>383</v>
      </c>
      <c r="B35189" s="1" t="str">
        <f>HYPERLINK("http://bbtezbusiness.com","bbtezbusiness.com")</f>
        <v>bbtezbusiness.com</v>
      </c>
      <c r="C35189" t="s">
        <v>433</v>
      </c>
      <c r="F35189">
        <v>4.6227110003195398E-9</v>
      </c>
      <c r="G35189">
        <v>45948871</v>
      </c>
      <c r="H35189">
        <v>11139812</v>
      </c>
      <c r="I35189">
        <v>31839532</v>
      </c>
      <c r="J35189">
        <v>2</v>
      </c>
    </row>
    <row r="35190" spans="1:10" x14ac:dyDescent="0.25">
      <c r="A35190" t="s">
        <v>383</v>
      </c>
      <c r="B35190" s="1" t="str">
        <f>HYPERLINK("http://bbtnet.com","bbtnet.com")</f>
        <v>bbtnet.com</v>
      </c>
      <c r="C35190" t="s">
        <v>433</v>
      </c>
      <c r="E35190">
        <v>22669</v>
      </c>
      <c r="F35190">
        <v>8.29028506110228E-9</v>
      </c>
      <c r="G35190">
        <v>9282088</v>
      </c>
      <c r="H35190">
        <v>10362938</v>
      </c>
      <c r="I35190">
        <v>55084989</v>
      </c>
      <c r="J35190">
        <v>2</v>
      </c>
    </row>
    <row r="35191" spans="1:10" x14ac:dyDescent="0.25">
      <c r="A35191" t="s">
        <v>383</v>
      </c>
      <c r="B35191" s="1" t="str">
        <f>HYPERLINK("http://bbtsecurities.com","bbtsecurities.com")</f>
        <v>bbtsecurities.com</v>
      </c>
      <c r="C35191" t="s">
        <v>433</v>
      </c>
      <c r="F35191">
        <v>7.3784957564993301E-9</v>
      </c>
      <c r="G35191">
        <v>11293042</v>
      </c>
      <c r="H35191">
        <v>12383443</v>
      </c>
      <c r="I35191">
        <v>19147598</v>
      </c>
      <c r="J35191">
        <v>4</v>
      </c>
    </row>
    <row r="35192" spans="1:10" x14ac:dyDescent="0.25">
      <c r="A35192" t="s">
        <v>383</v>
      </c>
      <c r="B35192" s="1" t="str">
        <f>HYPERLINK("http://cafo.com","cafo.com")</f>
        <v>cafo.com</v>
      </c>
      <c r="C35192" t="s">
        <v>433</v>
      </c>
      <c r="F35192">
        <v>8.8175907769710802E-9</v>
      </c>
      <c r="G35192">
        <v>8276103</v>
      </c>
      <c r="H35192">
        <v>10771367</v>
      </c>
      <c r="I35192">
        <v>39193592</v>
      </c>
      <c r="J35192">
        <v>4</v>
      </c>
    </row>
    <row r="35193" spans="1:10" x14ac:dyDescent="0.25">
      <c r="A35193" t="s">
        <v>383</v>
      </c>
      <c r="B35193" s="1" t="str">
        <f>HYPERLINK("http://colonialbank.com","colonialbank.com")</f>
        <v>colonialbank.com</v>
      </c>
      <c r="C35193" t="s">
        <v>433</v>
      </c>
      <c r="F35193">
        <v>1.1861833376406E-8</v>
      </c>
      <c r="G35193">
        <v>5263196</v>
      </c>
      <c r="H35193">
        <v>13779713</v>
      </c>
      <c r="I35193">
        <v>6483341</v>
      </c>
      <c r="J35193">
        <v>6</v>
      </c>
    </row>
    <row r="35194" spans="1:10" x14ac:dyDescent="0.25">
      <c r="A35194" t="s">
        <v>383</v>
      </c>
      <c r="B35194" s="1" t="str">
        <f>HYPERLINK("http://crcgroup.com","crcgroup.com")</f>
        <v>crcgroup.com</v>
      </c>
      <c r="C35194" t="s">
        <v>433</v>
      </c>
      <c r="E35194">
        <v>423029</v>
      </c>
      <c r="F35194">
        <v>1.2132318388540101E-7</v>
      </c>
      <c r="G35194">
        <v>325526</v>
      </c>
      <c r="H35194">
        <v>13484233</v>
      </c>
      <c r="I35194">
        <v>9998524</v>
      </c>
      <c r="J35194">
        <v>3</v>
      </c>
    </row>
    <row r="35195" spans="1:10" x14ac:dyDescent="0.25">
      <c r="A35195" t="s">
        <v>383</v>
      </c>
      <c r="B35195" s="1" t="str">
        <f>HYPERLINK("http://crcgroupins.com","crcgroupins.com")</f>
        <v>crcgroupins.com</v>
      </c>
      <c r="C35195" t="s">
        <v>433</v>
      </c>
      <c r="F35195">
        <v>7.4239615771720801E-9</v>
      </c>
      <c r="G35195">
        <v>11186206</v>
      </c>
      <c r="H35195">
        <v>11204829</v>
      </c>
      <c r="I35195">
        <v>31204781</v>
      </c>
      <c r="J35195">
        <v>6</v>
      </c>
    </row>
    <row r="35196" spans="1:10" x14ac:dyDescent="0.25">
      <c r="A35196" t="s">
        <v>383</v>
      </c>
      <c r="B35196" s="1" t="str">
        <f>HYPERLINK("http://crcins.com","crcins.com")</f>
        <v>crcins.com</v>
      </c>
      <c r="C35196" t="s">
        <v>433</v>
      </c>
      <c r="E35196">
        <v>138096</v>
      </c>
      <c r="F35196">
        <v>1.75948926355008E-8</v>
      </c>
      <c r="G35196">
        <v>3120111</v>
      </c>
      <c r="H35196">
        <v>14209004</v>
      </c>
      <c r="I35196">
        <v>1705854</v>
      </c>
      <c r="J35196">
        <v>5</v>
      </c>
    </row>
    <row r="35197" spans="1:10" x14ac:dyDescent="0.25">
      <c r="A35197" t="s">
        <v>383</v>
      </c>
      <c r="B35197" s="1" t="str">
        <f>HYPERLINK("http://gbrecap.com","gbrecap.com")</f>
        <v>gbrecap.com</v>
      </c>
      <c r="C35197" t="s">
        <v>433</v>
      </c>
      <c r="F35197">
        <v>1.14170910870071E-8</v>
      </c>
      <c r="G35197">
        <v>5562740</v>
      </c>
      <c r="H35197">
        <v>11550351</v>
      </c>
      <c r="I35197">
        <v>29969399</v>
      </c>
      <c r="J35197">
        <v>6</v>
      </c>
    </row>
    <row r="35198" spans="1:10" x14ac:dyDescent="0.25">
      <c r="A35198" t="s">
        <v>383</v>
      </c>
      <c r="B35198" s="1" t="str">
        <f>HYPERLINK("http://genspring.com","genspring.com")</f>
        <v>genspring.com</v>
      </c>
      <c r="C35198" t="s">
        <v>433</v>
      </c>
      <c r="F35198">
        <v>1.3237709132463801E-8</v>
      </c>
      <c r="G35198">
        <v>4521633</v>
      </c>
      <c r="H35198">
        <v>13556465</v>
      </c>
      <c r="I35198">
        <v>9883791</v>
      </c>
      <c r="J35198">
        <v>4</v>
      </c>
    </row>
    <row r="35199" spans="1:10" x14ac:dyDescent="0.25">
      <c r="A35199" t="s">
        <v>383</v>
      </c>
      <c r="B35199" s="1" t="str">
        <f>HYPERLINK("http://gotapco.com","gotapco.com")</f>
        <v>gotapco.com</v>
      </c>
      <c r="C35199" t="s">
        <v>433</v>
      </c>
      <c r="E35199">
        <v>784408</v>
      </c>
      <c r="F35199">
        <v>6.4136758359617906E-8</v>
      </c>
      <c r="G35199">
        <v>675408</v>
      </c>
      <c r="H35199">
        <v>13136881</v>
      </c>
      <c r="I35199">
        <v>11900328</v>
      </c>
      <c r="J35199">
        <v>4</v>
      </c>
    </row>
    <row r="35200" spans="1:10" x14ac:dyDescent="0.25">
      <c r="A35200" t="s">
        <v>383</v>
      </c>
      <c r="B35200" s="1" t="str">
        <f>HYPERLINK("http://mcgriff.com","mcgriff.com")</f>
        <v>mcgriff.com</v>
      </c>
      <c r="C35200" t="s">
        <v>433</v>
      </c>
      <c r="E35200">
        <v>200541</v>
      </c>
      <c r="F35200">
        <v>1.2825665529146301E-7</v>
      </c>
      <c r="G35200">
        <v>305809</v>
      </c>
      <c r="H35200">
        <v>13954213</v>
      </c>
      <c r="I35200">
        <v>4146261</v>
      </c>
      <c r="J35200">
        <v>5</v>
      </c>
    </row>
    <row r="35201" spans="1:10" x14ac:dyDescent="0.25">
      <c r="A35201" t="s">
        <v>383</v>
      </c>
      <c r="B35201" s="1" t="str">
        <f>HYPERLINK("http://mcgriffinsurance.com","mcgriffinsurance.com")</f>
        <v>mcgriffinsurance.com</v>
      </c>
      <c r="C35201" t="s">
        <v>433</v>
      </c>
      <c r="F35201">
        <v>1.0337294787553E-7</v>
      </c>
      <c r="G35201">
        <v>388154</v>
      </c>
      <c r="H35201">
        <v>14208595</v>
      </c>
      <c r="I35201">
        <v>1706604</v>
      </c>
      <c r="J35201">
        <v>2</v>
      </c>
    </row>
    <row r="35202" spans="1:10" x14ac:dyDescent="0.25">
      <c r="A35202" t="s">
        <v>383</v>
      </c>
      <c r="B35202" s="1" t="str">
        <f>HYPERLINK("http://momentumonup.com","momentumonup.com")</f>
        <v>momentumonup.com</v>
      </c>
      <c r="C35202" t="s">
        <v>433</v>
      </c>
      <c r="F35202">
        <v>6.0883187432404198E-8</v>
      </c>
      <c r="G35202">
        <v>723806</v>
      </c>
      <c r="H35202">
        <v>12702029</v>
      </c>
      <c r="I35202">
        <v>15343854</v>
      </c>
      <c r="J35202">
        <v>2</v>
      </c>
    </row>
    <row r="35203" spans="1:10" x14ac:dyDescent="0.25">
      <c r="A35203" t="s">
        <v>383</v>
      </c>
      <c r="B35203" s="1" t="str">
        <f>HYPERLINK("http://shdr.com","shdr.com")</f>
        <v>shdr.com</v>
      </c>
      <c r="C35203" t="s">
        <v>433</v>
      </c>
      <c r="F35203">
        <v>1.82412466903173E-8</v>
      </c>
      <c r="G35203">
        <v>2978899</v>
      </c>
      <c r="H35203">
        <v>14391767</v>
      </c>
      <c r="I35203">
        <v>1165995</v>
      </c>
      <c r="J35203">
        <v>2</v>
      </c>
    </row>
    <row r="35204" spans="1:10" x14ac:dyDescent="0.25">
      <c r="A35204" t="s">
        <v>383</v>
      </c>
      <c r="B35204" s="1" t="str">
        <f>HYPERLINK("http://sterling-capital.com","sterling-capital.com")</f>
        <v>sterling-capital.com</v>
      </c>
      <c r="C35204" t="s">
        <v>433</v>
      </c>
      <c r="F35204">
        <v>9.4002796887438599E-9</v>
      </c>
      <c r="G35204">
        <v>7444121</v>
      </c>
      <c r="H35204">
        <v>13225367</v>
      </c>
      <c r="I35204">
        <v>11307751</v>
      </c>
      <c r="J35204">
        <v>2</v>
      </c>
    </row>
    <row r="35205" spans="1:10" x14ac:dyDescent="0.25">
      <c r="A35205" t="s">
        <v>383</v>
      </c>
      <c r="B35205" s="1" t="str">
        <f>HYPERLINK("http://sterlingcapital.com","sterlingcapital.com")</f>
        <v>sterlingcapital.com</v>
      </c>
      <c r="C35205" t="s">
        <v>433</v>
      </c>
      <c r="F35205">
        <v>3.0999734768701002E-8</v>
      </c>
      <c r="G35205">
        <v>1662307</v>
      </c>
      <c r="H35205">
        <v>13567339</v>
      </c>
      <c r="I35205">
        <v>9744962</v>
      </c>
      <c r="J35205">
        <v>3</v>
      </c>
    </row>
    <row r="35206" spans="1:10" x14ac:dyDescent="0.25">
      <c r="A35206" t="s">
        <v>383</v>
      </c>
      <c r="B35206" s="1" t="str">
        <f>HYPERLINK("http://suntrust.com","suntrust.com")</f>
        <v>suntrust.com</v>
      </c>
      <c r="C35206" t="s">
        <v>433</v>
      </c>
      <c r="E35206">
        <v>22179</v>
      </c>
      <c r="F35206">
        <v>1.0458710410949301E-6</v>
      </c>
      <c r="G35206">
        <v>36657</v>
      </c>
      <c r="H35206">
        <v>17292940</v>
      </c>
      <c r="I35206">
        <v>28662</v>
      </c>
      <c r="J35206">
        <v>2</v>
      </c>
    </row>
    <row r="35207" spans="1:10" x14ac:dyDescent="0.25">
      <c r="A35207" t="s">
        <v>383</v>
      </c>
      <c r="B35207" s="1" t="str">
        <f>HYPERLINK("http://truist.com","truist.com")</f>
        <v>truist.com</v>
      </c>
      <c r="C35207" t="s">
        <v>433</v>
      </c>
      <c r="E35207">
        <v>5429</v>
      </c>
      <c r="F35207">
        <v>2.0857506516723398E-6</v>
      </c>
      <c r="G35207">
        <v>17544</v>
      </c>
      <c r="H35207">
        <v>17355646</v>
      </c>
      <c r="I35207">
        <v>22592</v>
      </c>
      <c r="J35207">
        <v>1</v>
      </c>
    </row>
    <row r="35208" spans="1:10" x14ac:dyDescent="0.25">
      <c r="A35208" t="s">
        <v>383</v>
      </c>
      <c r="B35208" s="1" t="str">
        <f>HYPERLINK("http://truist-prd.com","truist-prd.com")</f>
        <v>truist-prd.com</v>
      </c>
      <c r="C35208" t="s">
        <v>433</v>
      </c>
      <c r="E35208">
        <v>436111</v>
      </c>
      <c r="F35208">
        <v>4.4438539297478597E-9</v>
      </c>
      <c r="G35208">
        <v>78372014</v>
      </c>
      <c r="H35208">
        <v>10546614</v>
      </c>
      <c r="I35208">
        <v>46868230</v>
      </c>
      <c r="J35208">
        <v>2</v>
      </c>
    </row>
    <row r="35209" spans="1:10" x14ac:dyDescent="0.25">
      <c r="A35209" t="s">
        <v>383</v>
      </c>
      <c r="B35209" s="1" t="str">
        <f>HYPERLINK("http://truist-tst.com","truist-tst.com")</f>
        <v>truist-tst.com</v>
      </c>
      <c r="C35209" t="s">
        <v>433</v>
      </c>
      <c r="J35209">
        <v>2</v>
      </c>
    </row>
    <row r="35210" spans="1:10" x14ac:dyDescent="0.25">
      <c r="A35210" t="s">
        <v>383</v>
      </c>
      <c r="B35210" s="1" t="str">
        <f>HYPERLINK("http://truistinsurance.com","truistinsurance.com")</f>
        <v>truistinsurance.com</v>
      </c>
      <c r="C35210" t="s">
        <v>433</v>
      </c>
      <c r="F35210">
        <v>2.4018447189247199E-8</v>
      </c>
      <c r="G35210">
        <v>2161184</v>
      </c>
      <c r="H35210">
        <v>12337691</v>
      </c>
      <c r="I35210">
        <v>20056778</v>
      </c>
      <c r="J35210">
        <v>3</v>
      </c>
    </row>
    <row r="35211" spans="1:10" x14ac:dyDescent="0.25">
      <c r="A35211" t="s">
        <v>383</v>
      </c>
      <c r="B35211" s="1" t="str">
        <f>HYPERLINK("http://truistsecurities.com","truistsecurities.com")</f>
        <v>truistsecurities.com</v>
      </c>
      <c r="C35211" t="s">
        <v>433</v>
      </c>
      <c r="F35211">
        <v>3.2001950739509303E-8</v>
      </c>
      <c r="G35211">
        <v>1614997</v>
      </c>
      <c r="H35211">
        <v>13460915</v>
      </c>
      <c r="I35211">
        <v>10164942</v>
      </c>
      <c r="J35211">
        <v>3</v>
      </c>
    </row>
    <row r="35212" spans="1:10" x14ac:dyDescent="0.25">
      <c r="A35212" t="s">
        <v>383</v>
      </c>
      <c r="B35212" s="1" t="str">
        <f>HYPERLINK("http://business-tech.co.il","business-tech.co.il")</f>
        <v>business-tech.co.il</v>
      </c>
      <c r="C35212" t="s">
        <v>456</v>
      </c>
      <c r="D35212" t="s">
        <v>833</v>
      </c>
      <c r="F35212">
        <v>4.7791140763074E-9</v>
      </c>
      <c r="G35212">
        <v>36994241</v>
      </c>
      <c r="H35212">
        <v>11151807</v>
      </c>
      <c r="I35212">
        <v>31720228</v>
      </c>
      <c r="J35212">
        <v>5</v>
      </c>
    </row>
    <row r="35213" spans="1:10" x14ac:dyDescent="0.25">
      <c r="A35213" t="s">
        <v>383</v>
      </c>
      <c r="B35213" s="1" t="str">
        <f>HYPERLINK("http://bbt.mobi","bbt.mobi")</f>
        <v>bbt.mobi</v>
      </c>
      <c r="C35213" t="s">
        <v>532</v>
      </c>
      <c r="F35213">
        <v>5.37363201025542E-9</v>
      </c>
      <c r="G35213">
        <v>22496357</v>
      </c>
      <c r="H35213">
        <v>12790035</v>
      </c>
      <c r="I35213">
        <v>14688320</v>
      </c>
      <c r="J35213">
        <v>2</v>
      </c>
    </row>
    <row r="35214" spans="1:10" x14ac:dyDescent="0.25">
      <c r="A35214" t="s">
        <v>383</v>
      </c>
      <c r="B35214" s="1" t="str">
        <f>HYPERLINK("http://bankfirst.net","bankfirst.net")</f>
        <v>bankfirst.net</v>
      </c>
      <c r="C35214" t="s">
        <v>474</v>
      </c>
      <c r="J35214">
        <v>6</v>
      </c>
    </row>
    <row r="35215" spans="1:10" x14ac:dyDescent="0.25">
      <c r="A35215" t="s">
        <v>383</v>
      </c>
      <c r="B35215" s="1" t="str">
        <f>HYPERLINK("http://susquehanna.net","susquehanna.net")</f>
        <v>susquehanna.net</v>
      </c>
      <c r="C35215" t="s">
        <v>474</v>
      </c>
      <c r="E35215">
        <v>772576</v>
      </c>
      <c r="F35215">
        <v>2.28980026340534E-8</v>
      </c>
      <c r="G35215">
        <v>2283141</v>
      </c>
      <c r="H35215">
        <v>13912671</v>
      </c>
      <c r="I35215">
        <v>5940467</v>
      </c>
      <c r="J35215">
        <v>4</v>
      </c>
    </row>
    <row r="35216" spans="1:10" x14ac:dyDescent="0.25">
      <c r="A35216" t="s">
        <v>384</v>
      </c>
      <c r="B35216" s="1" t="str">
        <f>HYPERLINK("http://crestone.com.au","crestone.com.au")</f>
        <v>crestone.com.au</v>
      </c>
      <c r="C35216" t="s">
        <v>420</v>
      </c>
      <c r="D35216" t="s">
        <v>802</v>
      </c>
      <c r="F35216">
        <v>7.7589005489451602E-9</v>
      </c>
      <c r="G35216">
        <v>10417276</v>
      </c>
      <c r="H35216">
        <v>13059435</v>
      </c>
      <c r="I35216">
        <v>12404428</v>
      </c>
      <c r="J35216">
        <v>7</v>
      </c>
    </row>
    <row r="35217" spans="1:10" x14ac:dyDescent="0.25">
      <c r="A35217" t="s">
        <v>384</v>
      </c>
      <c r="B35217" s="1" t="str">
        <f>HYPERLINK("http://ubs.com.au","ubs.com.au")</f>
        <v>ubs.com.au</v>
      </c>
      <c r="C35217" t="s">
        <v>420</v>
      </c>
      <c r="D35217" t="s">
        <v>802</v>
      </c>
      <c r="F35217">
        <v>1.05101172664764E-8</v>
      </c>
      <c r="G35217">
        <v>6260697</v>
      </c>
      <c r="H35217">
        <v>12357771</v>
      </c>
      <c r="I35217">
        <v>19629123</v>
      </c>
      <c r="J35217">
        <v>2</v>
      </c>
    </row>
    <row r="35218" spans="1:10" x14ac:dyDescent="0.25">
      <c r="A35218" t="s">
        <v>384</v>
      </c>
      <c r="B35218" s="1" t="str">
        <f>HYPERLINK("http://metzgerei-stappung.ch","metzgerei-stappung.ch")</f>
        <v>metzgerei-stappung.ch</v>
      </c>
      <c r="C35218" t="s">
        <v>429</v>
      </c>
      <c r="D35218" t="s">
        <v>810</v>
      </c>
      <c r="F35218">
        <v>4.7247034282809998E-9</v>
      </c>
      <c r="G35218">
        <v>39607056</v>
      </c>
      <c r="H35218">
        <v>10510532</v>
      </c>
      <c r="I35218">
        <v>49593567</v>
      </c>
      <c r="J35218">
        <v>3</v>
      </c>
    </row>
    <row r="35219" spans="1:10" x14ac:dyDescent="0.25">
      <c r="A35219" t="s">
        <v>384</v>
      </c>
      <c r="B35219" s="1" t="str">
        <f>HYPERLINK("http://ubs.ch","ubs.ch")</f>
        <v>ubs.ch</v>
      </c>
      <c r="C35219" t="s">
        <v>429</v>
      </c>
      <c r="D35219" t="s">
        <v>810</v>
      </c>
      <c r="F35219">
        <v>4.5424369118146398E-8</v>
      </c>
      <c r="G35219">
        <v>1036753</v>
      </c>
      <c r="H35219">
        <v>13957753</v>
      </c>
      <c r="I35219">
        <v>4125520</v>
      </c>
      <c r="J35219">
        <v>4</v>
      </c>
    </row>
    <row r="35220" spans="1:10" x14ac:dyDescent="0.25">
      <c r="A35220" t="s">
        <v>384</v>
      </c>
      <c r="B35220" s="1" t="str">
        <f>HYPERLINK("http://neo-sym-nfr.com","neo-sym-nfr.com")</f>
        <v>neo-sym-nfr.com</v>
      </c>
      <c r="C35220" t="s">
        <v>433</v>
      </c>
      <c r="J35220">
        <v>2</v>
      </c>
    </row>
    <row r="35221" spans="1:10" x14ac:dyDescent="0.25">
      <c r="A35221" t="s">
        <v>384</v>
      </c>
      <c r="B35221" s="1" t="str">
        <f>HYPERLINK("http://ooo-ubs-bank.com","ooo-ubs-bank.com")</f>
        <v>ooo-ubs-bank.com</v>
      </c>
      <c r="C35221" t="s">
        <v>433</v>
      </c>
      <c r="F35221">
        <v>1.54392028046278E-8</v>
      </c>
      <c r="G35221">
        <v>3702020</v>
      </c>
      <c r="H35221">
        <v>14081980</v>
      </c>
      <c r="I35221">
        <v>2804414</v>
      </c>
      <c r="J35221">
        <v>4</v>
      </c>
    </row>
    <row r="35222" spans="1:10" x14ac:dyDescent="0.25">
      <c r="A35222" t="s">
        <v>384</v>
      </c>
      <c r="B35222" s="1" t="str">
        <f>HYPERLINK("http://pwj.com","pwj.com")</f>
        <v>pwj.com</v>
      </c>
      <c r="C35222" t="s">
        <v>433</v>
      </c>
      <c r="F35222">
        <v>1.0526829952560801E-8</v>
      </c>
      <c r="G35222">
        <v>6246509</v>
      </c>
      <c r="H35222">
        <v>12362783</v>
      </c>
      <c r="I35222">
        <v>19533836</v>
      </c>
      <c r="J35222">
        <v>2</v>
      </c>
    </row>
    <row r="35223" spans="1:10" x14ac:dyDescent="0.25">
      <c r="A35223" t="s">
        <v>384</v>
      </c>
      <c r="B35223" s="1" t="str">
        <f>HYPERLINK("http://swissbank.com","swissbank.com")</f>
        <v>swissbank.com</v>
      </c>
      <c r="C35223" t="s">
        <v>433</v>
      </c>
      <c r="F35223">
        <v>5.2541505327873602E-9</v>
      </c>
      <c r="G35223">
        <v>24194887</v>
      </c>
      <c r="H35223">
        <v>12327885</v>
      </c>
      <c r="I35223">
        <v>20249722</v>
      </c>
      <c r="J35223">
        <v>2</v>
      </c>
    </row>
    <row r="35224" spans="1:10" x14ac:dyDescent="0.25">
      <c r="A35224" t="s">
        <v>384</v>
      </c>
      <c r="B35224" s="1" t="str">
        <f>HYPERLINK("http://ubs.com","ubs.com")</f>
        <v>ubs.com</v>
      </c>
      <c r="C35224" t="s">
        <v>433</v>
      </c>
      <c r="E35224">
        <v>4998</v>
      </c>
      <c r="F35224">
        <v>4.9172811976768697E-6</v>
      </c>
      <c r="G35224">
        <v>7103</v>
      </c>
      <c r="H35224">
        <v>17708604</v>
      </c>
      <c r="I35224">
        <v>7125</v>
      </c>
      <c r="J35224">
        <v>1</v>
      </c>
    </row>
    <row r="35225" spans="1:10" x14ac:dyDescent="0.25">
      <c r="A35225" t="s">
        <v>384</v>
      </c>
      <c r="B35225" s="1" t="str">
        <f>HYPERLINK("http://ubstest.com","ubstest.com")</f>
        <v>ubstest.com</v>
      </c>
      <c r="C35225" t="s">
        <v>433</v>
      </c>
      <c r="F35225">
        <v>1.05122991457943E-8</v>
      </c>
      <c r="G35225">
        <v>6258878</v>
      </c>
      <c r="H35225">
        <v>12362679</v>
      </c>
      <c r="I35225">
        <v>19535126</v>
      </c>
      <c r="J35225">
        <v>2</v>
      </c>
    </row>
    <row r="35226" spans="1:10" x14ac:dyDescent="0.25">
      <c r="A35226" t="s">
        <v>384</v>
      </c>
      <c r="B35226" s="1" t="str">
        <f>HYPERLINK("http://wealthfront.com","wealthfront.com")</f>
        <v>wealthfront.com</v>
      </c>
      <c r="C35226" t="s">
        <v>433</v>
      </c>
      <c r="E35226">
        <v>32891</v>
      </c>
      <c r="F35226">
        <v>1.1829134387351699E-6</v>
      </c>
      <c r="G35226">
        <v>32912</v>
      </c>
      <c r="H35226">
        <v>17358094</v>
      </c>
      <c r="I35226">
        <v>22381</v>
      </c>
      <c r="J35226">
        <v>4</v>
      </c>
    </row>
    <row r="35227" spans="1:10" x14ac:dyDescent="0.25">
      <c r="A35227" t="s">
        <v>384</v>
      </c>
      <c r="B35227" s="1" t="str">
        <f>HYPERLINK("http://lfg.lu","lfg.lu")</f>
        <v>lfg.lu</v>
      </c>
      <c r="C35227" t="s">
        <v>547</v>
      </c>
      <c r="D35227" t="s">
        <v>904</v>
      </c>
      <c r="J35227">
        <v>7</v>
      </c>
    </row>
    <row r="35228" spans="1:10" x14ac:dyDescent="0.25">
      <c r="A35228" t="s">
        <v>384</v>
      </c>
      <c r="B35228" s="1" t="str">
        <f>HYPERLINK("http://wealthfront.org","wealthfront.org")</f>
        <v>wealthfront.org</v>
      </c>
      <c r="C35228" t="s">
        <v>481</v>
      </c>
      <c r="F35228">
        <v>6.5464145675752001E-9</v>
      </c>
      <c r="G35228">
        <v>13887282</v>
      </c>
      <c r="H35228">
        <v>12182185</v>
      </c>
      <c r="I35228">
        <v>23756020</v>
      </c>
      <c r="J35228">
        <v>5</v>
      </c>
    </row>
    <row r="35229" spans="1:10" x14ac:dyDescent="0.25">
      <c r="A35229" t="s">
        <v>385</v>
      </c>
      <c r="B35229" s="1" t="str">
        <f>HYPERLINK("http://elavon.ca","elavon.ca")</f>
        <v>elavon.ca</v>
      </c>
      <c r="C35229" t="s">
        <v>428</v>
      </c>
      <c r="D35229" t="s">
        <v>809</v>
      </c>
      <c r="F35229">
        <v>3.4342815475463703E-8</v>
      </c>
      <c r="G35229">
        <v>1509797</v>
      </c>
      <c r="H35229">
        <v>12700826</v>
      </c>
      <c r="I35229">
        <v>15350095</v>
      </c>
      <c r="J35229">
        <v>4</v>
      </c>
    </row>
    <row r="35230" spans="1:10" x14ac:dyDescent="0.25">
      <c r="A35230" t="s">
        <v>385</v>
      </c>
      <c r="B35230" s="1" t="str">
        <f>HYPERLINK("http://access-online.com","access-online.com")</f>
        <v>access-online.com</v>
      </c>
      <c r="C35230" t="s">
        <v>433</v>
      </c>
      <c r="E35230">
        <v>423303</v>
      </c>
      <c r="F35230">
        <v>1.41013129779687E-8</v>
      </c>
      <c r="G35230">
        <v>4165221</v>
      </c>
      <c r="H35230">
        <v>12952259</v>
      </c>
      <c r="I35230">
        <v>13200879</v>
      </c>
      <c r="J35230">
        <v>3</v>
      </c>
    </row>
    <row r="35231" spans="1:10" x14ac:dyDescent="0.25">
      <c r="A35231" t="s">
        <v>385</v>
      </c>
      <c r="B35231" s="1" t="str">
        <f>HYPERLINK("http://bank-dns.com","bank-dns.com")</f>
        <v>bank-dns.com</v>
      </c>
      <c r="C35231" t="s">
        <v>433</v>
      </c>
      <c r="E35231">
        <v>17418</v>
      </c>
      <c r="F35231">
        <v>1.3316262901193599E-8</v>
      </c>
      <c r="G35231">
        <v>4486280</v>
      </c>
      <c r="H35231">
        <v>12263800</v>
      </c>
      <c r="I35231">
        <v>21660121</v>
      </c>
      <c r="J35231">
        <v>3</v>
      </c>
    </row>
    <row r="35232" spans="1:10" x14ac:dyDescent="0.25">
      <c r="A35232" t="s">
        <v>385</v>
      </c>
      <c r="B35232" s="1" t="str">
        <f>HYPERLINK("http://bentoforbusiness.com","bentoforbusiness.com")</f>
        <v>bentoforbusiness.com</v>
      </c>
      <c r="C35232" t="s">
        <v>433</v>
      </c>
      <c r="E35232">
        <v>280234</v>
      </c>
      <c r="F35232">
        <v>1.8854186970516901E-7</v>
      </c>
      <c r="G35232">
        <v>204370</v>
      </c>
      <c r="H35232">
        <v>16946504</v>
      </c>
      <c r="I35232">
        <v>109512</v>
      </c>
      <c r="J35232">
        <v>4</v>
      </c>
    </row>
    <row r="35233" spans="1:10" x14ac:dyDescent="0.25">
      <c r="A35233" t="s">
        <v>385</v>
      </c>
      <c r="B35233" s="1" t="str">
        <f>HYPERLINK("http://cardmembersvc.com","cardmembersvc.com")</f>
        <v>cardmembersvc.com</v>
      </c>
      <c r="C35233" t="s">
        <v>433</v>
      </c>
      <c r="J35233">
        <v>3</v>
      </c>
    </row>
    <row r="35234" spans="1:10" x14ac:dyDescent="0.25">
      <c r="A35234" t="s">
        <v>385</v>
      </c>
      <c r="B35234" s="1" t="str">
        <f>HYPERLINK("http://clientaccesssite.com","clientaccesssite.com")</f>
        <v>clientaccesssite.com</v>
      </c>
      <c r="C35234" t="s">
        <v>433</v>
      </c>
      <c r="E35234">
        <v>704768</v>
      </c>
      <c r="F35234">
        <v>5.5596557765326901E-9</v>
      </c>
      <c r="G35234">
        <v>20277961</v>
      </c>
      <c r="H35234">
        <v>12278822</v>
      </c>
      <c r="I35234">
        <v>21331779</v>
      </c>
      <c r="J35234">
        <v>3</v>
      </c>
    </row>
    <row r="35235" spans="1:10" x14ac:dyDescent="0.25">
      <c r="A35235" t="s">
        <v>385</v>
      </c>
      <c r="B35235" s="1" t="str">
        <f>HYPERLINK("http://elalflycardpreferred.com","elalflycardpreferred.com")</f>
        <v>elalflycardpreferred.com</v>
      </c>
      <c r="C35235" t="s">
        <v>433</v>
      </c>
      <c r="F35235">
        <v>4.4694754901814104E-9</v>
      </c>
      <c r="G35235">
        <v>64696366</v>
      </c>
      <c r="H35235">
        <v>10710414</v>
      </c>
      <c r="I35235">
        <v>42151820</v>
      </c>
      <c r="J35235">
        <v>3</v>
      </c>
    </row>
    <row r="35236" spans="1:10" x14ac:dyDescent="0.25">
      <c r="A35236" t="s">
        <v>385</v>
      </c>
      <c r="B35236" s="1" t="str">
        <f>HYPERLINK("http://elancreditcard.com","elancreditcard.com")</f>
        <v>elancreditcard.com</v>
      </c>
      <c r="C35236" t="s">
        <v>433</v>
      </c>
      <c r="E35236">
        <v>740686</v>
      </c>
      <c r="F35236">
        <v>2.2385021010579301E-8</v>
      </c>
      <c r="G35236">
        <v>2341430</v>
      </c>
      <c r="H35236">
        <v>12205001</v>
      </c>
      <c r="I35236">
        <v>23191643</v>
      </c>
      <c r="J35236">
        <v>3</v>
      </c>
    </row>
    <row r="35237" spans="1:10" x14ac:dyDescent="0.25">
      <c r="A35237" t="s">
        <v>385</v>
      </c>
      <c r="B35237" s="1" t="str">
        <f>HYPERLINK("http://elanfinancialservices.com","elanfinancialservices.com")</f>
        <v>elanfinancialservices.com</v>
      </c>
      <c r="C35237" t="s">
        <v>433</v>
      </c>
      <c r="E35237">
        <v>78399</v>
      </c>
      <c r="F35237">
        <v>3.1687295753509898E-8</v>
      </c>
      <c r="G35237">
        <v>1629115</v>
      </c>
      <c r="H35237">
        <v>13268230</v>
      </c>
      <c r="I35237">
        <v>10999367</v>
      </c>
      <c r="J35237">
        <v>3</v>
      </c>
    </row>
    <row r="35238" spans="1:10" x14ac:dyDescent="0.25">
      <c r="A35238" t="s">
        <v>385</v>
      </c>
      <c r="B35238" s="1" t="str">
        <f>HYPERLINK("http://elanfs.com","elanfs.com")</f>
        <v>elanfs.com</v>
      </c>
      <c r="C35238" t="s">
        <v>433</v>
      </c>
      <c r="F35238">
        <v>4.9882179677004299E-9</v>
      </c>
      <c r="G35238">
        <v>29719320</v>
      </c>
      <c r="H35238">
        <v>9764516</v>
      </c>
      <c r="I35238">
        <v>62880135</v>
      </c>
      <c r="J35238">
        <v>3</v>
      </c>
    </row>
    <row r="35239" spans="1:10" x14ac:dyDescent="0.25">
      <c r="A35239" t="s">
        <v>385</v>
      </c>
      <c r="B35239" s="1" t="str">
        <f>HYPERLINK("http://elavon.com","elavon.com")</f>
        <v>elavon.com</v>
      </c>
      <c r="C35239" t="s">
        <v>433</v>
      </c>
      <c r="E35239">
        <v>9920</v>
      </c>
      <c r="F35239">
        <v>9.2605875995219698E-7</v>
      </c>
      <c r="G35239">
        <v>41613</v>
      </c>
      <c r="H35239">
        <v>17179392</v>
      </c>
      <c r="I35239">
        <v>45675</v>
      </c>
      <c r="J35239">
        <v>3</v>
      </c>
    </row>
    <row r="35240" spans="1:10" x14ac:dyDescent="0.25">
      <c r="A35240" t="s">
        <v>385</v>
      </c>
      <c r="B35240" s="1" t="str">
        <f>HYPERLINK("http://employeeflexperks.com","employeeflexperks.com")</f>
        <v>employeeflexperks.com</v>
      </c>
      <c r="C35240" t="s">
        <v>433</v>
      </c>
      <c r="J35240">
        <v>3</v>
      </c>
    </row>
    <row r="35241" spans="1:10" x14ac:dyDescent="0.25">
      <c r="A35241" t="s">
        <v>385</v>
      </c>
      <c r="B35241" s="1" t="str">
        <f>HYPERLINK("http://epymtservice.com","epymtservice.com")</f>
        <v>epymtservice.com</v>
      </c>
      <c r="C35241" t="s">
        <v>433</v>
      </c>
      <c r="E35241">
        <v>137465</v>
      </c>
      <c r="F35241">
        <v>1.65829725800444E-7</v>
      </c>
      <c r="G35241">
        <v>234043</v>
      </c>
      <c r="H35241">
        <v>13732151</v>
      </c>
      <c r="I35241">
        <v>9456594</v>
      </c>
      <c r="J35241">
        <v>3</v>
      </c>
    </row>
    <row r="35242" spans="1:10" x14ac:dyDescent="0.25">
      <c r="A35242" t="s">
        <v>385</v>
      </c>
      <c r="B35242" s="1" t="str">
        <f>HYPERLINK("http://firstamericanfunds.com","firstamericanfunds.com")</f>
        <v>firstamericanfunds.com</v>
      </c>
      <c r="C35242" t="s">
        <v>433</v>
      </c>
      <c r="F35242">
        <v>2.2156077654125599E-8</v>
      </c>
      <c r="G35242">
        <v>2367867</v>
      </c>
      <c r="H35242">
        <v>13924714</v>
      </c>
      <c r="I35242">
        <v>5932179</v>
      </c>
      <c r="J35242">
        <v>3</v>
      </c>
    </row>
    <row r="35243" spans="1:10" x14ac:dyDescent="0.25">
      <c r="A35243" t="s">
        <v>385</v>
      </c>
      <c r="B35243" s="1" t="str">
        <f>HYPERLINK("http://flexperksrewards.com","flexperksrewards.com")</f>
        <v>flexperksrewards.com</v>
      </c>
      <c r="C35243" t="s">
        <v>433</v>
      </c>
      <c r="F35243">
        <v>4.4492575935893702E-9</v>
      </c>
      <c r="G35243">
        <v>72335999</v>
      </c>
      <c r="H35243">
        <v>9927131</v>
      </c>
      <c r="I35243">
        <v>61421422</v>
      </c>
      <c r="J35243">
        <v>3</v>
      </c>
    </row>
    <row r="35244" spans="1:10" x14ac:dyDescent="0.25">
      <c r="A35244" t="s">
        <v>385</v>
      </c>
      <c r="B35244" s="1" t="str">
        <f>HYPERLINK("http://fmcreditcardoffers.com","fmcreditcardoffers.com")</f>
        <v>fmcreditcardoffers.com</v>
      </c>
      <c r="C35244" t="s">
        <v>433</v>
      </c>
      <c r="J35244">
        <v>3</v>
      </c>
    </row>
    <row r="35245" spans="1:10" x14ac:dyDescent="0.25">
      <c r="A35245" t="s">
        <v>385</v>
      </c>
      <c r="B35245" s="1" t="str">
        <f>HYPERLINK("http://fsvpaymentsystems.com","fsvpaymentsystems.com")</f>
        <v>fsvpaymentsystems.com</v>
      </c>
      <c r="C35245" t="s">
        <v>433</v>
      </c>
      <c r="F35245">
        <v>8.1005587941783997E-9</v>
      </c>
      <c r="G35245">
        <v>9740568</v>
      </c>
      <c r="H35245">
        <v>12722488</v>
      </c>
      <c r="I35245">
        <v>15241830</v>
      </c>
      <c r="J35245">
        <v>4</v>
      </c>
    </row>
    <row r="35246" spans="1:10" x14ac:dyDescent="0.25">
      <c r="A35246" t="s">
        <v>385</v>
      </c>
      <c r="B35246" s="1" t="str">
        <f>HYPERLINK("http://fsvps.com","fsvps.com")</f>
        <v>fsvps.com</v>
      </c>
      <c r="C35246" t="s">
        <v>433</v>
      </c>
      <c r="F35246">
        <v>8.6820551762944006E-9</v>
      </c>
      <c r="G35246">
        <v>8508740</v>
      </c>
      <c r="H35246">
        <v>13229515</v>
      </c>
      <c r="I35246">
        <v>11287778</v>
      </c>
      <c r="J35246">
        <v>3</v>
      </c>
    </row>
    <row r="35247" spans="1:10" x14ac:dyDescent="0.25">
      <c r="A35247" t="s">
        <v>385</v>
      </c>
      <c r="B35247" s="1" t="str">
        <f>HYPERLINK("http://h-dvisaoffers.com","h-dvisaoffers.com")</f>
        <v>h-dvisaoffers.com</v>
      </c>
      <c r="C35247" t="s">
        <v>433</v>
      </c>
      <c r="J35247">
        <v>3</v>
      </c>
    </row>
    <row r="35248" spans="1:10" x14ac:dyDescent="0.25">
      <c r="A35248" t="s">
        <v>385</v>
      </c>
      <c r="B35248" s="1" t="str">
        <f>HYPERLINK("http://integral-uk.com","integral-uk.com")</f>
        <v>integral-uk.com</v>
      </c>
      <c r="C35248" t="s">
        <v>433</v>
      </c>
      <c r="J35248">
        <v>5</v>
      </c>
    </row>
    <row r="35249" spans="1:10" x14ac:dyDescent="0.25">
      <c r="A35249" t="s">
        <v>385</v>
      </c>
      <c r="B35249" s="1" t="str">
        <f>HYPERLINK("http://msipos.com","msipos.com")</f>
        <v>msipos.com</v>
      </c>
      <c r="C35249" t="s">
        <v>433</v>
      </c>
      <c r="J35249">
        <v>3</v>
      </c>
    </row>
    <row r="35250" spans="1:10" x14ac:dyDescent="0.25">
      <c r="A35250" t="s">
        <v>385</v>
      </c>
      <c r="B35250" s="1" t="str">
        <f>HYPERLINK("http://multiserviceaviation.com","multiserviceaviation.com")</f>
        <v>multiserviceaviation.com</v>
      </c>
      <c r="C35250" t="s">
        <v>433</v>
      </c>
      <c r="F35250">
        <v>1.01750807162817E-8</v>
      </c>
      <c r="G35250">
        <v>6571329</v>
      </c>
      <c r="H35250">
        <v>12517128</v>
      </c>
      <c r="I35250">
        <v>17176920</v>
      </c>
      <c r="J35250">
        <v>3</v>
      </c>
    </row>
    <row r="35251" spans="1:10" x14ac:dyDescent="0.25">
      <c r="A35251" t="s">
        <v>385</v>
      </c>
      <c r="B35251" s="1" t="str">
        <f>HYPERLINK("http://myaccountaccess.com","myaccountaccess.com")</f>
        <v>myaccountaccess.com</v>
      </c>
      <c r="C35251" t="s">
        <v>433</v>
      </c>
      <c r="E35251">
        <v>36456</v>
      </c>
      <c r="F35251">
        <v>8.5642520963534198E-7</v>
      </c>
      <c r="G35251">
        <v>46560</v>
      </c>
      <c r="H35251">
        <v>16911204</v>
      </c>
      <c r="I35251">
        <v>130831</v>
      </c>
      <c r="J35251">
        <v>3</v>
      </c>
    </row>
    <row r="35252" spans="1:10" x14ac:dyDescent="0.25">
      <c r="A35252" t="s">
        <v>385</v>
      </c>
      <c r="B35252" s="1" t="str">
        <f>HYPERLINK("http://myaccountoffers.com","myaccountoffers.com")</f>
        <v>myaccountoffers.com</v>
      </c>
      <c r="C35252" t="s">
        <v>433</v>
      </c>
      <c r="F35252">
        <v>4.44785465873078E-9</v>
      </c>
      <c r="G35252">
        <v>73233749</v>
      </c>
      <c r="H35252">
        <v>9596663</v>
      </c>
      <c r="I35252">
        <v>64435300</v>
      </c>
      <c r="J35252">
        <v>3</v>
      </c>
    </row>
    <row r="35253" spans="1:10" x14ac:dyDescent="0.25">
      <c r="A35253" t="s">
        <v>385</v>
      </c>
      <c r="B35253" s="1" t="str">
        <f>HYPERLINK("http://mybmwcreditcard.com","mybmwcreditcard.com")</f>
        <v>mybmwcreditcard.com</v>
      </c>
      <c r="C35253" t="s">
        <v>433</v>
      </c>
      <c r="F35253">
        <v>3.5574005104719401E-8</v>
      </c>
      <c r="G35253">
        <v>1463671</v>
      </c>
      <c r="H35253">
        <v>12366578</v>
      </c>
      <c r="I35253">
        <v>19471737</v>
      </c>
      <c r="J35253">
        <v>3</v>
      </c>
    </row>
    <row r="35254" spans="1:10" x14ac:dyDescent="0.25">
      <c r="A35254" t="s">
        <v>385</v>
      </c>
      <c r="B35254" s="1" t="str">
        <f>HYPERLINK("http://mybmwmotorradcard.com","mybmwmotorradcard.com")</f>
        <v>mybmwmotorradcard.com</v>
      </c>
      <c r="C35254" t="s">
        <v>433</v>
      </c>
      <c r="F35254">
        <v>9.97792401198801E-9</v>
      </c>
      <c r="G35254">
        <v>6777693</v>
      </c>
      <c r="H35254">
        <v>12134230</v>
      </c>
      <c r="I35254">
        <v>25020497</v>
      </c>
      <c r="J35254">
        <v>3</v>
      </c>
    </row>
    <row r="35255" spans="1:10" x14ac:dyDescent="0.25">
      <c r="A35255" t="s">
        <v>385</v>
      </c>
      <c r="B35255" s="1" t="str">
        <f>HYPERLINK("http://mycardmemberoffer.com","mycardmemberoffer.com")</f>
        <v>mycardmemberoffer.com</v>
      </c>
      <c r="C35255" t="s">
        <v>433</v>
      </c>
      <c r="J35255">
        <v>3</v>
      </c>
    </row>
    <row r="35256" spans="1:10" x14ac:dyDescent="0.25">
      <c r="A35256" t="s">
        <v>385</v>
      </c>
      <c r="B35256" s="1" t="str">
        <f>HYPERLINK("http://mycardupgrade.com","mycardupgrade.com")</f>
        <v>mycardupgrade.com</v>
      </c>
      <c r="C35256" t="s">
        <v>433</v>
      </c>
      <c r="F35256">
        <v>4.44380927664388E-9</v>
      </c>
      <c r="G35256">
        <v>79805235</v>
      </c>
      <c r="H35256">
        <v>10352960</v>
      </c>
      <c r="I35256">
        <v>55947376</v>
      </c>
      <c r="J35256">
        <v>3</v>
      </c>
    </row>
    <row r="35257" spans="1:10" x14ac:dyDescent="0.25">
      <c r="A35257" t="s">
        <v>385</v>
      </c>
      <c r="B35257" s="1" t="str">
        <f>HYPERLINK("http://myminicreditcard.com","myminicreditcard.com")</f>
        <v>myminicreditcard.com</v>
      </c>
      <c r="C35257" t="s">
        <v>433</v>
      </c>
      <c r="F35257">
        <v>1.4527844880324099E-8</v>
      </c>
      <c r="G35257">
        <v>4003210</v>
      </c>
      <c r="H35257">
        <v>12210467</v>
      </c>
      <c r="I35257">
        <v>23017287</v>
      </c>
      <c r="J35257">
        <v>3</v>
      </c>
    </row>
    <row r="35258" spans="1:10" x14ac:dyDescent="0.25">
      <c r="A35258" t="s">
        <v>385</v>
      </c>
      <c r="B35258" s="1" t="str">
        <f>HYPERLINK("http://pfm.com","pfm.com")</f>
        <v>pfm.com</v>
      </c>
      <c r="C35258" t="s">
        <v>433</v>
      </c>
      <c r="E35258">
        <v>669986</v>
      </c>
      <c r="F35258">
        <v>7.3627924105422797E-8</v>
      </c>
      <c r="G35258">
        <v>572231</v>
      </c>
      <c r="H35258">
        <v>14877986</v>
      </c>
      <c r="I35258">
        <v>473919</v>
      </c>
      <c r="J35258">
        <v>5</v>
      </c>
    </row>
    <row r="35259" spans="1:10" x14ac:dyDescent="0.25">
      <c r="A35259" t="s">
        <v>385</v>
      </c>
      <c r="B35259" s="1" t="str">
        <f>HYPERLINK("http://purepoint.com","purepoint.com")</f>
        <v>purepoint.com</v>
      </c>
      <c r="C35259" t="s">
        <v>433</v>
      </c>
      <c r="E35259">
        <v>923335</v>
      </c>
      <c r="F35259">
        <v>2.23121671153398E-8</v>
      </c>
      <c r="G35259">
        <v>2349595</v>
      </c>
      <c r="H35259">
        <v>14020754</v>
      </c>
      <c r="I35259">
        <v>3983767</v>
      </c>
      <c r="J35259">
        <v>4</v>
      </c>
    </row>
    <row r="35260" spans="1:10" x14ac:dyDescent="0.25">
      <c r="A35260" t="s">
        <v>385</v>
      </c>
      <c r="B35260" s="1" t="str">
        <f>HYPERLINK("http://ralphsrewardsoffers.com","ralphsrewardsoffers.com")</f>
        <v>ralphsrewardsoffers.com</v>
      </c>
      <c r="C35260" t="s">
        <v>433</v>
      </c>
      <c r="J35260">
        <v>3</v>
      </c>
    </row>
    <row r="35261" spans="1:10" x14ac:dyDescent="0.25">
      <c r="A35261" t="s">
        <v>385</v>
      </c>
      <c r="B35261" s="1" t="str">
        <f>HYPERLINK("http://reimastercardoffers.com","reimastercardoffers.com")</f>
        <v>reimastercardoffers.com</v>
      </c>
      <c r="C35261" t="s">
        <v>433</v>
      </c>
      <c r="F35261">
        <v>4.4613561491837502E-9</v>
      </c>
      <c r="G35261">
        <v>67333227</v>
      </c>
      <c r="H35261">
        <v>10487492</v>
      </c>
      <c r="I35261">
        <v>50735570</v>
      </c>
      <c r="J35261">
        <v>3</v>
      </c>
    </row>
    <row r="35262" spans="1:10" x14ac:dyDescent="0.25">
      <c r="A35262" t="s">
        <v>385</v>
      </c>
      <c r="B35262" s="1" t="str">
        <f>HYPERLINK("http://servicepartnerconsumer.com","servicepartnerconsumer.com")</f>
        <v>servicepartnerconsumer.com</v>
      </c>
      <c r="C35262" t="s">
        <v>433</v>
      </c>
      <c r="J35262">
        <v>3</v>
      </c>
    </row>
    <row r="35263" spans="1:10" x14ac:dyDescent="0.25">
      <c r="A35263" t="s">
        <v>385</v>
      </c>
      <c r="B35263" s="1" t="str">
        <f>HYPERLINK("http://skypassvisarewards.com","skypassvisarewards.com")</f>
        <v>skypassvisarewards.com</v>
      </c>
      <c r="C35263" t="s">
        <v>433</v>
      </c>
      <c r="F35263">
        <v>4.54504168647872E-9</v>
      </c>
      <c r="G35263">
        <v>52725220</v>
      </c>
      <c r="H35263">
        <v>10605487</v>
      </c>
      <c r="I35263">
        <v>44696249</v>
      </c>
      <c r="J35263">
        <v>3</v>
      </c>
    </row>
    <row r="35264" spans="1:10" x14ac:dyDescent="0.25">
      <c r="A35264" t="s">
        <v>385</v>
      </c>
      <c r="B35264" s="1" t="str">
        <f>HYPERLINK("http://talech.com","talech.com")</f>
        <v>talech.com</v>
      </c>
      <c r="C35264" t="s">
        <v>433</v>
      </c>
      <c r="E35264">
        <v>34444</v>
      </c>
      <c r="F35264">
        <v>5.9702308281066902E-7</v>
      </c>
      <c r="G35264">
        <v>64052</v>
      </c>
      <c r="H35264">
        <v>16973350</v>
      </c>
      <c r="I35264">
        <v>101534</v>
      </c>
      <c r="J35264">
        <v>3</v>
      </c>
    </row>
    <row r="35265" spans="1:10" x14ac:dyDescent="0.25">
      <c r="A35265" t="s">
        <v>385</v>
      </c>
      <c r="B35265" s="1" t="str">
        <f>HYPERLINK("http://unionbank.com","unionbank.com")</f>
        <v>unionbank.com</v>
      </c>
      <c r="C35265" t="s">
        <v>433</v>
      </c>
      <c r="E35265">
        <v>12869</v>
      </c>
      <c r="F35265">
        <v>5.4655997448175904E-7</v>
      </c>
      <c r="G35265">
        <v>70729</v>
      </c>
      <c r="H35265">
        <v>17229346</v>
      </c>
      <c r="I35265">
        <v>37002</v>
      </c>
      <c r="J35265">
        <v>3</v>
      </c>
    </row>
    <row r="35266" spans="1:10" x14ac:dyDescent="0.25">
      <c r="A35266" t="s">
        <v>385</v>
      </c>
      <c r="B35266" s="1" t="str">
        <f>HYPERLINK("http://usbaminsights.com","usbaminsights.com")</f>
        <v>usbaminsights.com</v>
      </c>
      <c r="C35266" t="s">
        <v>433</v>
      </c>
      <c r="F35266">
        <v>4.4605391466009698E-9</v>
      </c>
      <c r="G35266">
        <v>67587056</v>
      </c>
      <c r="H35266">
        <v>10483894</v>
      </c>
      <c r="I35266">
        <v>50846508</v>
      </c>
      <c r="J35266">
        <v>3</v>
      </c>
    </row>
    <row r="35267" spans="1:10" x14ac:dyDescent="0.25">
      <c r="A35267" t="s">
        <v>385</v>
      </c>
      <c r="B35267" s="1" t="str">
        <f>HYPERLINK("http://usbancorpassetmanagement.com","usbancorpassetmanagement.com")</f>
        <v>usbancorpassetmanagement.com</v>
      </c>
      <c r="C35267" t="s">
        <v>433</v>
      </c>
      <c r="F35267">
        <v>2.16827324512012E-8</v>
      </c>
      <c r="G35267">
        <v>2425922</v>
      </c>
      <c r="H35267">
        <v>13593377</v>
      </c>
      <c r="I35267">
        <v>9661509</v>
      </c>
      <c r="J35267">
        <v>3</v>
      </c>
    </row>
    <row r="35268" spans="1:10" x14ac:dyDescent="0.25">
      <c r="A35268" t="s">
        <v>385</v>
      </c>
      <c r="B35268" s="1" t="str">
        <f>HYPERLINK("http://usbank.com","usbank.com")</f>
        <v>usbank.com</v>
      </c>
      <c r="C35268" t="s">
        <v>433</v>
      </c>
      <c r="E35268">
        <v>3028</v>
      </c>
      <c r="F35268">
        <v>4.8242299403536397E-6</v>
      </c>
      <c r="G35268">
        <v>7263</v>
      </c>
      <c r="H35268">
        <v>17809170</v>
      </c>
      <c r="I35268">
        <v>5475</v>
      </c>
      <c r="J35268">
        <v>1</v>
      </c>
    </row>
    <row r="35269" spans="1:10" x14ac:dyDescent="0.25">
      <c r="A35269" t="s">
        <v>385</v>
      </c>
      <c r="B35269" s="1" t="str">
        <f>HYPERLINK("http://usbankaltituderewards.com","usbankaltituderewards.com")</f>
        <v>usbankaltituderewards.com</v>
      </c>
      <c r="C35269" t="s">
        <v>433</v>
      </c>
      <c r="J35269">
        <v>3</v>
      </c>
    </row>
    <row r="35270" spans="1:10" x14ac:dyDescent="0.25">
      <c r="A35270" t="s">
        <v>385</v>
      </c>
      <c r="B35270" s="1" t="str">
        <f>HYPERLINK("http://usbankbizcard.com","usbankbizcard.com")</f>
        <v>usbankbizcard.com</v>
      </c>
      <c r="C35270" t="s">
        <v>433</v>
      </c>
      <c r="J35270">
        <v>3</v>
      </c>
    </row>
    <row r="35271" spans="1:10" x14ac:dyDescent="0.25">
      <c r="A35271" t="s">
        <v>385</v>
      </c>
      <c r="B35271" s="1" t="str">
        <f>HYPERLINK("http://usbankbizcards.com","usbankbizcards.com")</f>
        <v>usbankbizcards.com</v>
      </c>
      <c r="C35271" t="s">
        <v>433</v>
      </c>
      <c r="J35271">
        <v>3</v>
      </c>
    </row>
    <row r="35272" spans="1:10" x14ac:dyDescent="0.25">
      <c r="A35272" t="s">
        <v>385</v>
      </c>
      <c r="B35272" s="1" t="str">
        <f>HYPERLINK("http://usbankedge.com","usbankedge.com")</f>
        <v>usbankedge.com</v>
      </c>
      <c r="C35272" t="s">
        <v>433</v>
      </c>
      <c r="F35272">
        <v>1.3287233170424E-8</v>
      </c>
      <c r="G35272">
        <v>4499037</v>
      </c>
      <c r="H35272">
        <v>12471194</v>
      </c>
      <c r="I35272">
        <v>17736078</v>
      </c>
      <c r="J35272">
        <v>3</v>
      </c>
    </row>
    <row r="35273" spans="1:10" x14ac:dyDescent="0.25">
      <c r="A35273" t="s">
        <v>385</v>
      </c>
      <c r="B35273" s="1" t="str">
        <f>HYPERLINK("http://usbankege.com","usbankege.com")</f>
        <v>usbankege.com</v>
      </c>
      <c r="C35273" t="s">
        <v>433</v>
      </c>
      <c r="J35273">
        <v>3</v>
      </c>
    </row>
    <row r="35274" spans="1:10" x14ac:dyDescent="0.25">
      <c r="A35274" t="s">
        <v>385</v>
      </c>
      <c r="B35274" s="1" t="str">
        <f>HYPERLINK("http://usbbizedge.com","usbbizedge.com")</f>
        <v>usbbizedge.com</v>
      </c>
      <c r="C35274" t="s">
        <v>433</v>
      </c>
      <c r="J35274">
        <v>3</v>
      </c>
    </row>
    <row r="35275" spans="1:10" x14ac:dyDescent="0.25">
      <c r="A35275" t="s">
        <v>385</v>
      </c>
      <c r="B35275" s="1" t="str">
        <f>HYPERLINK("http://usbbusinessedge.com","usbbusinessedge.com")</f>
        <v>usbbusinessedge.com</v>
      </c>
      <c r="C35275" t="s">
        <v>433</v>
      </c>
      <c r="J35275">
        <v>3</v>
      </c>
    </row>
    <row r="35276" spans="1:10" x14ac:dyDescent="0.25">
      <c r="A35276" t="s">
        <v>385</v>
      </c>
      <c r="B35276" s="1" t="str">
        <f>HYPERLINK("http://usbexpensemanagement.com","usbexpensemanagement.com")</f>
        <v>usbexpensemanagement.com</v>
      </c>
      <c r="C35276" t="s">
        <v>433</v>
      </c>
      <c r="F35276">
        <v>1.01278190028309E-8</v>
      </c>
      <c r="G35276">
        <v>6618999</v>
      </c>
      <c r="H35276">
        <v>12407168</v>
      </c>
      <c r="I35276">
        <v>18654381</v>
      </c>
      <c r="J35276">
        <v>3</v>
      </c>
    </row>
    <row r="35277" spans="1:10" x14ac:dyDescent="0.25">
      <c r="A35277" t="s">
        <v>385</v>
      </c>
      <c r="B35277" s="1" t="str">
        <f>HYPERLINK("http://usbfs.com","usbfs.com")</f>
        <v>usbfs.com</v>
      </c>
      <c r="C35277" t="s">
        <v>433</v>
      </c>
      <c r="F35277">
        <v>4.69096885390162E-8</v>
      </c>
      <c r="G35277">
        <v>995278</v>
      </c>
      <c r="H35277">
        <v>13262014</v>
      </c>
      <c r="I35277">
        <v>11034054</v>
      </c>
      <c r="J35277">
        <v>5</v>
      </c>
    </row>
    <row r="35278" spans="1:10" x14ac:dyDescent="0.25">
      <c r="A35278" t="s">
        <v>385</v>
      </c>
      <c r="B35278" s="1" t="str">
        <f>HYPERLINK("http://usbnwlab.com","usbnwlab.com")</f>
        <v>usbnwlab.com</v>
      </c>
      <c r="C35278" t="s">
        <v>433</v>
      </c>
      <c r="J35278">
        <v>3</v>
      </c>
    </row>
    <row r="35279" spans="1:10" x14ac:dyDescent="0.25">
      <c r="A35279" t="s">
        <v>385</v>
      </c>
      <c r="B35279" s="1" t="str">
        <f>HYPERLINK("http://usbpayment.com","usbpayment.com")</f>
        <v>usbpayment.com</v>
      </c>
      <c r="C35279" t="s">
        <v>433</v>
      </c>
      <c r="F35279">
        <v>4.9791698984674798E-8</v>
      </c>
      <c r="G35279">
        <v>926392</v>
      </c>
      <c r="H35279">
        <v>14045056</v>
      </c>
      <c r="I35279">
        <v>3901754</v>
      </c>
      <c r="J35279">
        <v>4</v>
      </c>
    </row>
    <row r="35280" spans="1:10" x14ac:dyDescent="0.25">
      <c r="A35280" t="s">
        <v>385</v>
      </c>
      <c r="B35280" s="1" t="str">
        <f>HYPERLINK("http://elavon.de","elavon.de")</f>
        <v>elavon.de</v>
      </c>
      <c r="C35280" t="s">
        <v>436</v>
      </c>
      <c r="D35280" t="s">
        <v>815</v>
      </c>
      <c r="F35280">
        <v>4.2557206637068E-8</v>
      </c>
      <c r="G35280">
        <v>1137547</v>
      </c>
      <c r="H35280">
        <v>12779582</v>
      </c>
      <c r="I35280">
        <v>14771216</v>
      </c>
      <c r="J35280">
        <v>4</v>
      </c>
    </row>
    <row r="35281" spans="1:10" x14ac:dyDescent="0.25">
      <c r="A35281" t="s">
        <v>385</v>
      </c>
      <c r="B35281" s="1" t="str">
        <f>HYPERLINK("http://elavon.dk","elavon.dk")</f>
        <v>elavon.dk</v>
      </c>
      <c r="C35281" t="s">
        <v>437</v>
      </c>
      <c r="D35281" t="s">
        <v>816</v>
      </c>
      <c r="F35281">
        <v>2.0828450543790402E-8</v>
      </c>
      <c r="G35281">
        <v>2538981</v>
      </c>
      <c r="H35281">
        <v>12840432</v>
      </c>
      <c r="I35281">
        <v>14345335</v>
      </c>
      <c r="J35281">
        <v>4</v>
      </c>
    </row>
    <row r="35282" spans="1:10" x14ac:dyDescent="0.25">
      <c r="A35282" t="s">
        <v>385</v>
      </c>
      <c r="B35282" s="1" t="str">
        <f>HYPERLINK("http://elavon.es","elavon.es")</f>
        <v>elavon.es</v>
      </c>
      <c r="C35282" t="s">
        <v>443</v>
      </c>
      <c r="D35282" t="s">
        <v>822</v>
      </c>
      <c r="F35282">
        <v>9.2389724650567993E-9</v>
      </c>
      <c r="G35282">
        <v>7658162</v>
      </c>
      <c r="H35282">
        <v>12091089</v>
      </c>
      <c r="I35282">
        <v>26216598</v>
      </c>
      <c r="J35282">
        <v>4</v>
      </c>
    </row>
    <row r="35283" spans="1:10" x14ac:dyDescent="0.25">
      <c r="A35283" t="s">
        <v>385</v>
      </c>
      <c r="B35283" s="1" t="str">
        <f>HYPERLINK("http://elavon.eu","elavon.eu")</f>
        <v>elavon.eu</v>
      </c>
      <c r="C35283" t="s">
        <v>444</v>
      </c>
      <c r="F35283">
        <v>7.9907357759874303E-9</v>
      </c>
      <c r="G35283">
        <v>9937712</v>
      </c>
      <c r="H35283">
        <v>12282035</v>
      </c>
      <c r="I35283">
        <v>21265899</v>
      </c>
      <c r="J35283">
        <v>5</v>
      </c>
    </row>
    <row r="35284" spans="1:10" x14ac:dyDescent="0.25">
      <c r="A35284" t="s">
        <v>385</v>
      </c>
      <c r="B35284" s="1" t="str">
        <f>HYPERLINK("http://usbank.eu","usbank.eu")</f>
        <v>usbank.eu</v>
      </c>
      <c r="C35284" t="s">
        <v>444</v>
      </c>
      <c r="F35284">
        <v>1.00997976765285E-8</v>
      </c>
      <c r="G35284">
        <v>6648384</v>
      </c>
      <c r="H35284">
        <v>12407158</v>
      </c>
      <c r="I35284">
        <v>18654492</v>
      </c>
      <c r="J35284">
        <v>2</v>
      </c>
    </row>
    <row r="35285" spans="1:10" x14ac:dyDescent="0.25">
      <c r="A35285" t="s">
        <v>385</v>
      </c>
      <c r="B35285" s="1" t="str">
        <f>HYPERLINK("http://elavon.fi","elavon.fi")</f>
        <v>elavon.fi</v>
      </c>
      <c r="C35285" t="s">
        <v>445</v>
      </c>
      <c r="D35285" t="s">
        <v>823</v>
      </c>
      <c r="J35285">
        <v>5</v>
      </c>
    </row>
    <row r="35286" spans="1:10" x14ac:dyDescent="0.25">
      <c r="A35286" t="s">
        <v>385</v>
      </c>
      <c r="B35286" s="1" t="str">
        <f>HYPERLINK("http://elavon.ie","elavon.ie")</f>
        <v>elavon.ie</v>
      </c>
      <c r="C35286" t="s">
        <v>455</v>
      </c>
      <c r="D35286" t="s">
        <v>832</v>
      </c>
      <c r="F35286">
        <v>3.5641702802552203E-8</v>
      </c>
      <c r="G35286">
        <v>1461294</v>
      </c>
      <c r="H35286">
        <v>12626207</v>
      </c>
      <c r="I35286">
        <v>16025463</v>
      </c>
      <c r="J35286">
        <v>4</v>
      </c>
    </row>
    <row r="35287" spans="1:10" x14ac:dyDescent="0.25">
      <c r="A35287" t="s">
        <v>385</v>
      </c>
      <c r="B35287" s="1" t="str">
        <f>HYPERLINK("http://elavon.mx","elavon.mx")</f>
        <v>elavon.mx</v>
      </c>
      <c r="C35287" t="s">
        <v>471</v>
      </c>
      <c r="D35287" t="s">
        <v>847</v>
      </c>
      <c r="F35287">
        <v>4.5650956641421801E-9</v>
      </c>
      <c r="G35287">
        <v>50670662</v>
      </c>
      <c r="H35287">
        <v>10852104</v>
      </c>
      <c r="I35287">
        <v>36812913</v>
      </c>
      <c r="J35287">
        <v>5</v>
      </c>
    </row>
    <row r="35288" spans="1:10" x14ac:dyDescent="0.25">
      <c r="A35288" t="s">
        <v>385</v>
      </c>
      <c r="B35288" s="1" t="str">
        <f>HYPERLINK("http://elavon.no","elavon.no")</f>
        <v>elavon.no</v>
      </c>
      <c r="C35288" t="s">
        <v>478</v>
      </c>
      <c r="D35288" t="s">
        <v>853</v>
      </c>
      <c r="F35288">
        <v>1.7388101505094699E-8</v>
      </c>
      <c r="G35288">
        <v>3177909</v>
      </c>
      <c r="H35288">
        <v>14075575</v>
      </c>
      <c r="I35288">
        <v>2905744</v>
      </c>
      <c r="J35288">
        <v>4</v>
      </c>
    </row>
    <row r="35289" spans="1:10" x14ac:dyDescent="0.25">
      <c r="A35289" t="s">
        <v>385</v>
      </c>
      <c r="B35289" s="1" t="str">
        <f>HYPERLINK("http://thepfmfoundation.org","thepfmfoundation.org")</f>
        <v>thepfmfoundation.org</v>
      </c>
      <c r="C35289" t="s">
        <v>481</v>
      </c>
      <c r="F35289">
        <v>4.44380395335525E-9</v>
      </c>
      <c r="G35289">
        <v>85947500</v>
      </c>
      <c r="H35289">
        <v>0</v>
      </c>
      <c r="I35289">
        <v>87317358</v>
      </c>
      <c r="J35289">
        <v>8</v>
      </c>
    </row>
    <row r="35290" spans="1:10" x14ac:dyDescent="0.25">
      <c r="A35290" t="s">
        <v>385</v>
      </c>
      <c r="B35290" s="1" t="str">
        <f>HYPERLINK("http://elavon.pl","elavon.pl")</f>
        <v>elavon.pl</v>
      </c>
      <c r="C35290" t="s">
        <v>486</v>
      </c>
      <c r="D35290" t="s">
        <v>860</v>
      </c>
      <c r="F35290">
        <v>4.0203131986145203E-8</v>
      </c>
      <c r="G35290">
        <v>1286710</v>
      </c>
      <c r="H35290">
        <v>12804366</v>
      </c>
      <c r="I35290">
        <v>14619798</v>
      </c>
      <c r="J35290">
        <v>4</v>
      </c>
    </row>
    <row r="35291" spans="1:10" x14ac:dyDescent="0.25">
      <c r="A35291" t="s">
        <v>385</v>
      </c>
      <c r="B35291" s="1" t="str">
        <f>HYPERLINK("http://elavon.se","elavon.se")</f>
        <v>elavon.se</v>
      </c>
      <c r="C35291" t="s">
        <v>495</v>
      </c>
      <c r="D35291" t="s">
        <v>869</v>
      </c>
      <c r="F35291">
        <v>1.5218858452670802E-8</v>
      </c>
      <c r="G35291">
        <v>3770142</v>
      </c>
      <c r="H35291">
        <v>12189332</v>
      </c>
      <c r="I35291">
        <v>23598373</v>
      </c>
      <c r="J35291">
        <v>4</v>
      </c>
    </row>
    <row r="35292" spans="1:10" x14ac:dyDescent="0.25">
      <c r="A35292" t="s">
        <v>385</v>
      </c>
      <c r="B35292" s="1" t="str">
        <f>HYPERLINK("http://dtcmerchants.co.uk","dtcmerchants.co.uk")</f>
        <v>dtcmerchants.co.uk</v>
      </c>
      <c r="C35292" t="s">
        <v>506</v>
      </c>
      <c r="D35292" t="s">
        <v>880</v>
      </c>
      <c r="J35292">
        <v>6</v>
      </c>
    </row>
    <row r="35293" spans="1:10" x14ac:dyDescent="0.25">
      <c r="A35293" t="s">
        <v>385</v>
      </c>
      <c r="B35293" s="1" t="str">
        <f>HYPERLINK("http://elavon.co.uk","elavon.co.uk")</f>
        <v>elavon.co.uk</v>
      </c>
      <c r="C35293" t="s">
        <v>506</v>
      </c>
      <c r="D35293" t="s">
        <v>880</v>
      </c>
      <c r="F35293">
        <v>1.4589385030208099E-7</v>
      </c>
      <c r="G35293">
        <v>266856</v>
      </c>
      <c r="H35293">
        <v>14092328</v>
      </c>
      <c r="I35293">
        <v>2739969</v>
      </c>
      <c r="J35293">
        <v>4</v>
      </c>
    </row>
    <row r="35294" spans="1:10" x14ac:dyDescent="0.25">
      <c r="A35294" t="s">
        <v>385</v>
      </c>
      <c r="B35294" s="1" t="str">
        <f>HYPERLINK("http://sagepay.co.uk","sagepay.co.uk")</f>
        <v>sagepay.co.uk</v>
      </c>
      <c r="C35294" t="s">
        <v>506</v>
      </c>
      <c r="D35294" t="s">
        <v>880</v>
      </c>
      <c r="E35294">
        <v>225320</v>
      </c>
      <c r="F35294">
        <v>1.69623004553195E-6</v>
      </c>
      <c r="G35294">
        <v>23449</v>
      </c>
      <c r="H35294">
        <v>16192034</v>
      </c>
      <c r="I35294">
        <v>365590</v>
      </c>
      <c r="J35294">
        <v>5</v>
      </c>
    </row>
    <row r="35295" spans="1:10" x14ac:dyDescent="0.25">
      <c r="A35295" t="s">
        <v>386</v>
      </c>
      <c r="B35295" s="1" t="str">
        <f>HYPERLINK("http://uber.ai","uber.ai")</f>
        <v>uber.ai</v>
      </c>
      <c r="C35295" t="s">
        <v>524</v>
      </c>
      <c r="D35295" t="s">
        <v>892</v>
      </c>
      <c r="F35295">
        <v>3.8130798667533101E-8</v>
      </c>
      <c r="G35295">
        <v>1357466</v>
      </c>
      <c r="H35295">
        <v>13836260</v>
      </c>
      <c r="I35295">
        <v>6086268</v>
      </c>
      <c r="J35295">
        <v>2</v>
      </c>
    </row>
    <row r="35296" spans="1:10" x14ac:dyDescent="0.25">
      <c r="A35296" t="s">
        <v>386</v>
      </c>
      <c r="B35296" s="1" t="str">
        <f>HYPERLINK("http://autocab.com","autocab.com")</f>
        <v>autocab.com</v>
      </c>
      <c r="C35296" t="s">
        <v>433</v>
      </c>
      <c r="E35296">
        <v>284275</v>
      </c>
      <c r="F35296">
        <v>7.8358119471761195E-8</v>
      </c>
      <c r="G35296">
        <v>533619</v>
      </c>
      <c r="H35296">
        <v>16775255</v>
      </c>
      <c r="I35296">
        <v>219281</v>
      </c>
      <c r="J35296">
        <v>5</v>
      </c>
    </row>
    <row r="35297" spans="1:10" x14ac:dyDescent="0.25">
      <c r="A35297" t="s">
        <v>386</v>
      </c>
      <c r="B35297" s="1" t="str">
        <f>HYPERLINK("http://ridesharebusinessguide.com","ridesharebusinessguide.com")</f>
        <v>ridesharebusinessguide.com</v>
      </c>
      <c r="C35297" t="s">
        <v>433</v>
      </c>
      <c r="F35297">
        <v>4.44380395335525E-9</v>
      </c>
      <c r="G35297">
        <v>83205258</v>
      </c>
      <c r="H35297">
        <v>0</v>
      </c>
      <c r="I35297">
        <v>83979171</v>
      </c>
      <c r="J35297">
        <v>3</v>
      </c>
    </row>
    <row r="35298" spans="1:10" x14ac:dyDescent="0.25">
      <c r="A35298" t="s">
        <v>386</v>
      </c>
      <c r="B35298" s="1" t="str">
        <f>HYPERLINK("http://transplace.com","transplace.com")</f>
        <v>transplace.com</v>
      </c>
      <c r="C35298" t="s">
        <v>433</v>
      </c>
      <c r="E35298">
        <v>97583</v>
      </c>
      <c r="F35298">
        <v>1.13325781801506E-7</v>
      </c>
      <c r="G35298">
        <v>352229</v>
      </c>
      <c r="H35298">
        <v>14094009</v>
      </c>
      <c r="I35298">
        <v>2733682</v>
      </c>
      <c r="J35298">
        <v>2</v>
      </c>
    </row>
    <row r="35299" spans="1:10" x14ac:dyDescent="0.25">
      <c r="A35299" t="s">
        <v>386</v>
      </c>
      <c r="B35299" s="1" t="str">
        <f>HYPERLINK("http://uber.com","uber.com")</f>
        <v>uber.com</v>
      </c>
      <c r="C35299" t="s">
        <v>433</v>
      </c>
      <c r="E35299">
        <v>804</v>
      </c>
      <c r="F35299">
        <v>2.05324840620874E-5</v>
      </c>
      <c r="G35299">
        <v>1439</v>
      </c>
      <c r="H35299">
        <v>18523300</v>
      </c>
      <c r="I35299">
        <v>1509</v>
      </c>
      <c r="J35299">
        <v>1</v>
      </c>
    </row>
    <row r="35300" spans="1:10" x14ac:dyDescent="0.25">
      <c r="A35300" t="s">
        <v>386</v>
      </c>
      <c r="B35300" s="1" t="str">
        <f>HYPERLINK("http://uber.design","uber.design")</f>
        <v>uber.design</v>
      </c>
      <c r="C35300" t="s">
        <v>582</v>
      </c>
      <c r="E35300">
        <v>277011</v>
      </c>
      <c r="F35300">
        <v>2.46433926642957E-7</v>
      </c>
      <c r="G35300">
        <v>151801</v>
      </c>
      <c r="H35300">
        <v>13914070</v>
      </c>
      <c r="I35300">
        <v>5939380</v>
      </c>
      <c r="J35300">
        <v>2</v>
      </c>
    </row>
    <row r="35301" spans="1:10" x14ac:dyDescent="0.25">
      <c r="A35301" t="s">
        <v>386</v>
      </c>
      <c r="B35301" s="1" t="str">
        <f>HYPERLINK("http://kyydinjako.fi","kyydinjako.fi")</f>
        <v>kyydinjako.fi</v>
      </c>
      <c r="C35301" t="s">
        <v>445</v>
      </c>
      <c r="D35301" t="s">
        <v>823</v>
      </c>
      <c r="E35301">
        <v>329590</v>
      </c>
      <c r="J35301">
        <v>2</v>
      </c>
    </row>
    <row r="35302" spans="1:10" x14ac:dyDescent="0.25">
      <c r="A35302" t="s">
        <v>386</v>
      </c>
      <c r="B35302" s="1" t="str">
        <f>HYPERLINK("http://uberair.fi","uberair.fi")</f>
        <v>uberair.fi</v>
      </c>
      <c r="C35302" t="s">
        <v>445</v>
      </c>
      <c r="D35302" t="s">
        <v>823</v>
      </c>
      <c r="J35302">
        <v>2</v>
      </c>
    </row>
    <row r="35303" spans="1:10" x14ac:dyDescent="0.25">
      <c r="A35303" t="s">
        <v>386</v>
      </c>
      <c r="B35303" s="1" t="str">
        <f>HYPERLINK("http://ubereats.fi","ubereats.fi")</f>
        <v>ubereats.fi</v>
      </c>
      <c r="C35303" t="s">
        <v>445</v>
      </c>
      <c r="D35303" t="s">
        <v>823</v>
      </c>
      <c r="J35303">
        <v>2</v>
      </c>
    </row>
    <row r="35304" spans="1:10" x14ac:dyDescent="0.25">
      <c r="A35304" t="s">
        <v>386</v>
      </c>
      <c r="B35304" s="1" t="str">
        <f>HYPERLINK("http://uberelevate.fi","uberelevate.fi")</f>
        <v>uberelevate.fi</v>
      </c>
      <c r="C35304" t="s">
        <v>445</v>
      </c>
      <c r="D35304" t="s">
        <v>823</v>
      </c>
      <c r="J35304">
        <v>2</v>
      </c>
    </row>
    <row r="35305" spans="1:10" x14ac:dyDescent="0.25">
      <c r="A35305" t="s">
        <v>386</v>
      </c>
      <c r="B35305" s="1" t="str">
        <f>HYPERLINK("http://uberfreight.fi","uberfreight.fi")</f>
        <v>uberfreight.fi</v>
      </c>
      <c r="C35305" t="s">
        <v>445</v>
      </c>
      <c r="D35305" t="s">
        <v>823</v>
      </c>
      <c r="J35305">
        <v>2</v>
      </c>
    </row>
    <row r="35306" spans="1:10" x14ac:dyDescent="0.25">
      <c r="A35306" t="s">
        <v>386</v>
      </c>
      <c r="B35306" s="1" t="str">
        <f>HYPERLINK("http://uberpop.fi","uberpop.fi")</f>
        <v>uberpop.fi</v>
      </c>
      <c r="C35306" t="s">
        <v>445</v>
      </c>
      <c r="D35306" t="s">
        <v>823</v>
      </c>
      <c r="J35306">
        <v>2</v>
      </c>
    </row>
    <row r="35307" spans="1:10" x14ac:dyDescent="0.25">
      <c r="A35307" t="s">
        <v>386</v>
      </c>
      <c r="B35307" s="1" t="str">
        <f>HYPERLINK("http://ubervtol.fi","ubervtol.fi")</f>
        <v>ubervtol.fi</v>
      </c>
      <c r="C35307" t="s">
        <v>445</v>
      </c>
      <c r="D35307" t="s">
        <v>823</v>
      </c>
      <c r="J35307">
        <v>2</v>
      </c>
    </row>
    <row r="35308" spans="1:10" x14ac:dyDescent="0.25">
      <c r="A35308" t="s">
        <v>386</v>
      </c>
      <c r="B35308" s="1" t="str">
        <f>HYPERLINK("http://vtol.fi","vtol.fi")</f>
        <v>vtol.fi</v>
      </c>
      <c r="C35308" t="s">
        <v>445</v>
      </c>
      <c r="D35308" t="s">
        <v>823</v>
      </c>
      <c r="J35308">
        <v>2</v>
      </c>
    </row>
    <row r="35309" spans="1:10" x14ac:dyDescent="0.25">
      <c r="A35309" t="s">
        <v>386</v>
      </c>
      <c r="B35309" s="1" t="str">
        <f>HYPERLINK("http://autocab.net","autocab.net")</f>
        <v>autocab.net</v>
      </c>
      <c r="C35309" t="s">
        <v>474</v>
      </c>
      <c r="E35309">
        <v>107883</v>
      </c>
      <c r="F35309">
        <v>1.82362190505722E-7</v>
      </c>
      <c r="G35309">
        <v>211493</v>
      </c>
      <c r="H35309">
        <v>16817188</v>
      </c>
      <c r="I35309">
        <v>187252</v>
      </c>
      <c r="J35309">
        <v>6</v>
      </c>
    </row>
    <row r="35310" spans="1:10" x14ac:dyDescent="0.25">
      <c r="A35310" t="s">
        <v>386</v>
      </c>
      <c r="B35310" s="1" t="str">
        <f>HYPERLINK("http://uber.org","uber.org")</f>
        <v>uber.org</v>
      </c>
      <c r="C35310" t="s">
        <v>481</v>
      </c>
      <c r="E35310">
        <v>329662</v>
      </c>
      <c r="F35310">
        <v>1.2376763350910099E-7</v>
      </c>
      <c r="G35310">
        <v>318827</v>
      </c>
      <c r="H35310">
        <v>17033254</v>
      </c>
      <c r="I35310">
        <v>82304</v>
      </c>
      <c r="J35310">
        <v>2</v>
      </c>
    </row>
    <row r="35311" spans="1:10" x14ac:dyDescent="0.25">
      <c r="A35311" t="s">
        <v>387</v>
      </c>
      <c r="B35311" s="1" t="str">
        <f>HYPERLINK("http://dermalogica.ae","dermalogica.ae")</f>
        <v>dermalogica.ae</v>
      </c>
      <c r="C35311" t="s">
        <v>417</v>
      </c>
      <c r="D35311" t="s">
        <v>799</v>
      </c>
      <c r="F35311">
        <v>8.2756924014388496E-9</v>
      </c>
      <c r="G35311">
        <v>9315168</v>
      </c>
      <c r="H35311">
        <v>10984586</v>
      </c>
      <c r="I35311">
        <v>33847908</v>
      </c>
      <c r="J35311">
        <v>4</v>
      </c>
    </row>
    <row r="35312" spans="1:10" x14ac:dyDescent="0.25">
      <c r="A35312" t="s">
        <v>387</v>
      </c>
      <c r="B35312" s="1" t="str">
        <f>HYPERLINK("http://unileverfoodsolutions.com.ar","unileverfoodsolutions.com.ar")</f>
        <v>unileverfoodsolutions.com.ar</v>
      </c>
      <c r="C35312" t="s">
        <v>418</v>
      </c>
      <c r="D35312" t="s">
        <v>800</v>
      </c>
      <c r="F35312">
        <v>2.6110529974030099E-8</v>
      </c>
      <c r="G35312">
        <v>1972976</v>
      </c>
      <c r="H35312">
        <v>12588523</v>
      </c>
      <c r="I35312">
        <v>16426162</v>
      </c>
      <c r="J35312">
        <v>3</v>
      </c>
    </row>
    <row r="35313" spans="1:10" x14ac:dyDescent="0.25">
      <c r="A35313" t="s">
        <v>387</v>
      </c>
      <c r="B35313" s="1" t="str">
        <f>HYPERLINK("http://axe.at","axe.at")</f>
        <v>axe.at</v>
      </c>
      <c r="C35313" t="s">
        <v>419</v>
      </c>
      <c r="D35313" t="s">
        <v>801</v>
      </c>
      <c r="F35313">
        <v>1.14101920509716E-8</v>
      </c>
      <c r="G35313">
        <v>5567480</v>
      </c>
      <c r="H35313">
        <v>13764247</v>
      </c>
      <c r="I35313">
        <v>7320981</v>
      </c>
      <c r="J35313">
        <v>5</v>
      </c>
    </row>
    <row r="35314" spans="1:10" x14ac:dyDescent="0.25">
      <c r="A35314" t="s">
        <v>387</v>
      </c>
      <c r="B35314" s="1" t="str">
        <f>HYPERLINK("http://benjerry.at","benjerry.at")</f>
        <v>benjerry.at</v>
      </c>
      <c r="C35314" t="s">
        <v>419</v>
      </c>
      <c r="D35314" t="s">
        <v>801</v>
      </c>
      <c r="F35314">
        <v>1.37908856134958E-8</v>
      </c>
      <c r="G35314">
        <v>4285260</v>
      </c>
      <c r="H35314">
        <v>14079668</v>
      </c>
      <c r="I35314">
        <v>2829817</v>
      </c>
      <c r="J35314">
        <v>3</v>
      </c>
    </row>
    <row r="35315" spans="1:10" x14ac:dyDescent="0.25">
      <c r="A35315" t="s">
        <v>387</v>
      </c>
      <c r="B35315" s="1" t="str">
        <f>HYPERLINK("http://delico-eskimo.at","delico-eskimo.at")</f>
        <v>delico-eskimo.at</v>
      </c>
      <c r="C35315" t="s">
        <v>419</v>
      </c>
      <c r="D35315" t="s">
        <v>801</v>
      </c>
      <c r="F35315">
        <v>5.3572772927632999E-9</v>
      </c>
      <c r="G35315">
        <v>22704546</v>
      </c>
      <c r="H35315">
        <v>12196223</v>
      </c>
      <c r="I35315">
        <v>23418179</v>
      </c>
      <c r="J35315">
        <v>3</v>
      </c>
    </row>
    <row r="35316" spans="1:10" x14ac:dyDescent="0.25">
      <c r="A35316" t="s">
        <v>387</v>
      </c>
      <c r="B35316" s="1" t="str">
        <f>HYPERLINK("http://mentadent.at","mentadent.at")</f>
        <v>mentadent.at</v>
      </c>
      <c r="C35316" t="s">
        <v>419</v>
      </c>
      <c r="D35316" t="s">
        <v>801</v>
      </c>
      <c r="F35316">
        <v>1.7996169135042501E-8</v>
      </c>
      <c r="G35316">
        <v>3031254</v>
      </c>
      <c r="H35316">
        <v>10988782</v>
      </c>
      <c r="I35316">
        <v>33771251</v>
      </c>
      <c r="J35316">
        <v>5</v>
      </c>
    </row>
    <row r="35317" spans="1:10" x14ac:dyDescent="0.25">
      <c r="A35317" t="s">
        <v>387</v>
      </c>
      <c r="B35317" s="1" t="str">
        <f>HYPERLINK("http://omo.at","omo.at")</f>
        <v>omo.at</v>
      </c>
      <c r="C35317" t="s">
        <v>419</v>
      </c>
      <c r="D35317" t="s">
        <v>801</v>
      </c>
      <c r="F35317">
        <v>7.6658701778003804E-9</v>
      </c>
      <c r="G35317">
        <v>10652244</v>
      </c>
      <c r="H35317">
        <v>11326798</v>
      </c>
      <c r="I35317">
        <v>30475755</v>
      </c>
      <c r="J35317">
        <v>4</v>
      </c>
    </row>
    <row r="35318" spans="1:10" x14ac:dyDescent="0.25">
      <c r="A35318" t="s">
        <v>387</v>
      </c>
      <c r="B35318" s="1" t="str">
        <f>HYPERLINK("http://unilever.at","unilever.at")</f>
        <v>unilever.at</v>
      </c>
      <c r="C35318" t="s">
        <v>419</v>
      </c>
      <c r="D35318" t="s">
        <v>801</v>
      </c>
      <c r="F35318">
        <v>6.2847475370147306E-8</v>
      </c>
      <c r="G35318">
        <v>697723</v>
      </c>
      <c r="H35318">
        <v>14238533</v>
      </c>
      <c r="I35318">
        <v>1525071</v>
      </c>
      <c r="J35318">
        <v>2</v>
      </c>
    </row>
    <row r="35319" spans="1:10" x14ac:dyDescent="0.25">
      <c r="A35319" t="s">
        <v>387</v>
      </c>
      <c r="B35319" s="1" t="str">
        <f>HYPERLINK("http://unileverfoodsolutions.at","unileverfoodsolutions.at")</f>
        <v>unileverfoodsolutions.at</v>
      </c>
      <c r="C35319" t="s">
        <v>419</v>
      </c>
      <c r="D35319" t="s">
        <v>801</v>
      </c>
      <c r="F35319">
        <v>3.5562043298996703E-8</v>
      </c>
      <c r="G35319">
        <v>1464088</v>
      </c>
      <c r="H35319">
        <v>14074446</v>
      </c>
      <c r="I35319">
        <v>2942868</v>
      </c>
      <c r="J35319">
        <v>3</v>
      </c>
    </row>
    <row r="35320" spans="1:10" x14ac:dyDescent="0.25">
      <c r="A35320" t="s">
        <v>387</v>
      </c>
      <c r="B35320" s="1" t="str">
        <f>HYPERLINK("http://zendium.at","zendium.at")</f>
        <v>zendium.at</v>
      </c>
      <c r="C35320" t="s">
        <v>419</v>
      </c>
      <c r="D35320" t="s">
        <v>801</v>
      </c>
      <c r="F35320">
        <v>5.1536570914797403E-9</v>
      </c>
      <c r="G35320">
        <v>26011738</v>
      </c>
      <c r="H35320">
        <v>10976441</v>
      </c>
      <c r="I35320">
        <v>34007292</v>
      </c>
      <c r="J35320">
        <v>4</v>
      </c>
    </row>
    <row r="35321" spans="1:10" x14ac:dyDescent="0.25">
      <c r="A35321" t="s">
        <v>387</v>
      </c>
      <c r="B35321" s="1" t="str">
        <f>HYPERLINK("http://benandjerry.com.au","benandjerry.com.au")</f>
        <v>benandjerry.com.au</v>
      </c>
      <c r="C35321" t="s">
        <v>420</v>
      </c>
      <c r="D35321" t="s">
        <v>802</v>
      </c>
      <c r="E35321">
        <v>951059</v>
      </c>
      <c r="F35321">
        <v>3.6311579983697203E-8</v>
      </c>
      <c r="G35321">
        <v>1436792</v>
      </c>
      <c r="H35321">
        <v>14217655</v>
      </c>
      <c r="I35321">
        <v>1690142</v>
      </c>
      <c r="J35321">
        <v>5</v>
      </c>
    </row>
    <row r="35322" spans="1:10" x14ac:dyDescent="0.25">
      <c r="A35322" t="s">
        <v>387</v>
      </c>
      <c r="B35322" s="1" t="str">
        <f>HYPERLINK("http://dermalogica.com.au","dermalogica.com.au")</f>
        <v>dermalogica.com.au</v>
      </c>
      <c r="C35322" t="s">
        <v>420</v>
      </c>
      <c r="D35322" t="s">
        <v>802</v>
      </c>
      <c r="E35322">
        <v>666768</v>
      </c>
      <c r="F35322">
        <v>5.1057762485357803E-8</v>
      </c>
      <c r="G35322">
        <v>897695</v>
      </c>
      <c r="H35322">
        <v>14181628</v>
      </c>
      <c r="I35322">
        <v>1778422</v>
      </c>
      <c r="J35322">
        <v>4</v>
      </c>
    </row>
    <row r="35323" spans="1:10" x14ac:dyDescent="0.25">
      <c r="A35323" t="s">
        <v>387</v>
      </c>
      <c r="B35323" s="1" t="str">
        <f>HYPERLINK("http://paulaschoice.com.au","paulaschoice.com.au")</f>
        <v>paulaschoice.com.au</v>
      </c>
      <c r="C35323" t="s">
        <v>420</v>
      </c>
      <c r="D35323" t="s">
        <v>802</v>
      </c>
      <c r="E35323">
        <v>559965</v>
      </c>
      <c r="F35323">
        <v>6.9153203729958203E-8</v>
      </c>
      <c r="G35323">
        <v>614382</v>
      </c>
      <c r="H35323">
        <v>13817781</v>
      </c>
      <c r="I35323">
        <v>6156136</v>
      </c>
      <c r="J35323">
        <v>4</v>
      </c>
    </row>
    <row r="35324" spans="1:10" x14ac:dyDescent="0.25">
      <c r="A35324" t="s">
        <v>387</v>
      </c>
      <c r="B35324" s="1" t="str">
        <f>HYPERLINK("http://pukkaherbs.com.au","pukkaherbs.com.au")</f>
        <v>pukkaherbs.com.au</v>
      </c>
      <c r="C35324" t="s">
        <v>420</v>
      </c>
      <c r="D35324" t="s">
        <v>802</v>
      </c>
      <c r="F35324">
        <v>6.6540843274781103E-9</v>
      </c>
      <c r="G35324">
        <v>13470134</v>
      </c>
      <c r="H35324">
        <v>13763739</v>
      </c>
      <c r="I35324">
        <v>7709447</v>
      </c>
      <c r="J35324">
        <v>4</v>
      </c>
    </row>
    <row r="35325" spans="1:10" x14ac:dyDescent="0.25">
      <c r="A35325" t="s">
        <v>387</v>
      </c>
      <c r="B35325" s="1" t="str">
        <f>HYPERLINK("http://unilever.com.au","unilever.com.au")</f>
        <v>unilever.com.au</v>
      </c>
      <c r="C35325" t="s">
        <v>420</v>
      </c>
      <c r="D35325" t="s">
        <v>802</v>
      </c>
      <c r="F35325">
        <v>1.59540371989824E-7</v>
      </c>
      <c r="G35325">
        <v>243286</v>
      </c>
      <c r="H35325">
        <v>17145962</v>
      </c>
      <c r="I35325">
        <v>53057</v>
      </c>
      <c r="J35325">
        <v>2</v>
      </c>
    </row>
    <row r="35326" spans="1:10" x14ac:dyDescent="0.25">
      <c r="A35326" t="s">
        <v>387</v>
      </c>
      <c r="B35326" s="1" t="str">
        <f>HYPERLINK("http://unileverfoodsolutions.com.au","unileverfoodsolutions.com.au")</f>
        <v>unileverfoodsolutions.com.au</v>
      </c>
      <c r="C35326" t="s">
        <v>420</v>
      </c>
      <c r="D35326" t="s">
        <v>802</v>
      </c>
      <c r="F35326">
        <v>3.8061106340287201E-8</v>
      </c>
      <c r="G35326">
        <v>1359825</v>
      </c>
      <c r="H35326">
        <v>14416966</v>
      </c>
      <c r="I35326">
        <v>1100098</v>
      </c>
      <c r="J35326">
        <v>3</v>
      </c>
    </row>
    <row r="35327" spans="1:10" x14ac:dyDescent="0.25">
      <c r="A35327" t="s">
        <v>387</v>
      </c>
      <c r="B35327" s="1" t="str">
        <f>HYPERLINK("http://gsk.com.bd","gsk.com.bd")</f>
        <v>gsk.com.bd</v>
      </c>
      <c r="C35327" t="s">
        <v>603</v>
      </c>
      <c r="D35327" t="s">
        <v>934</v>
      </c>
      <c r="F35327">
        <v>4.86697646567091E-9</v>
      </c>
      <c r="G35327">
        <v>33524616</v>
      </c>
      <c r="H35327">
        <v>12161694</v>
      </c>
      <c r="I35327">
        <v>24319174</v>
      </c>
      <c r="J35327">
        <v>3</v>
      </c>
    </row>
    <row r="35328" spans="1:10" x14ac:dyDescent="0.25">
      <c r="A35328" t="s">
        <v>387</v>
      </c>
      <c r="B35328" s="1" t="str">
        <f>HYPERLINK("http://unilever.com.bd","unilever.com.bd")</f>
        <v>unilever.com.bd</v>
      </c>
      <c r="C35328" t="s">
        <v>603</v>
      </c>
      <c r="D35328" t="s">
        <v>934</v>
      </c>
      <c r="F35328">
        <v>3.4061542334718897E-8</v>
      </c>
      <c r="G35328">
        <v>1520634</v>
      </c>
      <c r="H35328">
        <v>14712140</v>
      </c>
      <c r="I35328">
        <v>582571</v>
      </c>
      <c r="J35328">
        <v>2</v>
      </c>
    </row>
    <row r="35329" spans="1:10" x14ac:dyDescent="0.25">
      <c r="A35329" t="s">
        <v>387</v>
      </c>
      <c r="B35329" s="1" t="str">
        <f>HYPERLINK("http://axe.be","axe.be")</f>
        <v>axe.be</v>
      </c>
      <c r="C35329" t="s">
        <v>421</v>
      </c>
      <c r="D35329" t="s">
        <v>803</v>
      </c>
      <c r="F35329">
        <v>4.6008076339927102E-8</v>
      </c>
      <c r="G35329">
        <v>1020355</v>
      </c>
      <c r="H35329">
        <v>14123787</v>
      </c>
      <c r="I35329">
        <v>2164009</v>
      </c>
      <c r="J35329">
        <v>5</v>
      </c>
    </row>
    <row r="35330" spans="1:10" x14ac:dyDescent="0.25">
      <c r="A35330" t="s">
        <v>387</v>
      </c>
      <c r="B35330" s="1" t="str">
        <f>HYPERLINK("http://benjerry.be","benjerry.be")</f>
        <v>benjerry.be</v>
      </c>
      <c r="C35330" t="s">
        <v>421</v>
      </c>
      <c r="D35330" t="s">
        <v>803</v>
      </c>
      <c r="F35330">
        <v>1.4926234427038399E-8</v>
      </c>
      <c r="G35330">
        <v>3863948</v>
      </c>
      <c r="H35330">
        <v>13769252</v>
      </c>
      <c r="I35330">
        <v>6801662</v>
      </c>
      <c r="J35330">
        <v>3</v>
      </c>
    </row>
    <row r="35331" spans="1:10" x14ac:dyDescent="0.25">
      <c r="A35331" t="s">
        <v>387</v>
      </c>
      <c r="B35331" s="1" t="str">
        <f>HYPERLINK("http://paulaschoice.be","paulaschoice.be")</f>
        <v>paulaschoice.be</v>
      </c>
      <c r="C35331" t="s">
        <v>421</v>
      </c>
      <c r="D35331" t="s">
        <v>803</v>
      </c>
      <c r="F35331">
        <v>1.23586085860415E-8</v>
      </c>
      <c r="G35331">
        <v>4961753</v>
      </c>
      <c r="H35331">
        <v>12418454</v>
      </c>
      <c r="I35331">
        <v>18486861</v>
      </c>
      <c r="J35331">
        <v>5</v>
      </c>
    </row>
    <row r="35332" spans="1:10" x14ac:dyDescent="0.25">
      <c r="A35332" t="s">
        <v>387</v>
      </c>
      <c r="B35332" s="1" t="str">
        <f>HYPERLINK("http://unilever.be","unilever.be")</f>
        <v>unilever.be</v>
      </c>
      <c r="C35332" t="s">
        <v>421</v>
      </c>
      <c r="D35332" t="s">
        <v>803</v>
      </c>
      <c r="F35332">
        <v>1.0416834223689099E-7</v>
      </c>
      <c r="G35332">
        <v>384912</v>
      </c>
      <c r="H35332">
        <v>14486006</v>
      </c>
      <c r="I35332">
        <v>975726</v>
      </c>
      <c r="J35332">
        <v>2</v>
      </c>
    </row>
    <row r="35333" spans="1:10" x14ac:dyDescent="0.25">
      <c r="A35333" t="s">
        <v>387</v>
      </c>
      <c r="B35333" s="1" t="str">
        <f>HYPERLINK("http://unileverfoodsolutions.be","unileverfoodsolutions.be")</f>
        <v>unileverfoodsolutions.be</v>
      </c>
      <c r="C35333" t="s">
        <v>421</v>
      </c>
      <c r="D35333" t="s">
        <v>803</v>
      </c>
      <c r="F35333">
        <v>3.91030903054185E-8</v>
      </c>
      <c r="G35333">
        <v>1319101</v>
      </c>
      <c r="H35333">
        <v>13766084</v>
      </c>
      <c r="I35333">
        <v>7039305</v>
      </c>
      <c r="J35333">
        <v>3</v>
      </c>
    </row>
    <row r="35334" spans="1:10" x14ac:dyDescent="0.25">
      <c r="A35334" t="s">
        <v>387</v>
      </c>
      <c r="B35334" s="1" t="str">
        <f>HYPERLINK("http://zendium.be","zendium.be")</f>
        <v>zendium.be</v>
      </c>
      <c r="C35334" t="s">
        <v>421</v>
      </c>
      <c r="D35334" t="s">
        <v>803</v>
      </c>
      <c r="F35334">
        <v>7.9833523108398008E-9</v>
      </c>
      <c r="G35334">
        <v>9951333</v>
      </c>
      <c r="H35334">
        <v>12249377</v>
      </c>
      <c r="I35334">
        <v>22026641</v>
      </c>
      <c r="J35334">
        <v>4</v>
      </c>
    </row>
    <row r="35335" spans="1:10" x14ac:dyDescent="0.25">
      <c r="A35335" t="s">
        <v>387</v>
      </c>
      <c r="B35335" s="1" t="str">
        <f>HYPERLINK("http://unilever.bg","unilever.bg")</f>
        <v>unilever.bg</v>
      </c>
      <c r="C35335" t="s">
        <v>422</v>
      </c>
      <c r="D35335" t="s">
        <v>804</v>
      </c>
      <c r="F35335">
        <v>2.9209745470457299E-8</v>
      </c>
      <c r="G35335">
        <v>1763424</v>
      </c>
      <c r="H35335">
        <v>12581423</v>
      </c>
      <c r="I35335">
        <v>16493232</v>
      </c>
      <c r="J35335">
        <v>2</v>
      </c>
    </row>
    <row r="35336" spans="1:10" x14ac:dyDescent="0.25">
      <c r="A35336" t="s">
        <v>387</v>
      </c>
      <c r="B35336" s="1" t="str">
        <f>HYPERLINK("http://unileverfoodsolutions.bg","unileverfoodsolutions.bg")</f>
        <v>unileverfoodsolutions.bg</v>
      </c>
      <c r="C35336" t="s">
        <v>422</v>
      </c>
      <c r="D35336" t="s">
        <v>804</v>
      </c>
      <c r="F35336">
        <v>1.71488937697336E-8</v>
      </c>
      <c r="G35336">
        <v>3250067</v>
      </c>
      <c r="H35336">
        <v>13763829</v>
      </c>
      <c r="I35336">
        <v>7577922</v>
      </c>
      <c r="J35336">
        <v>3</v>
      </c>
    </row>
    <row r="35337" spans="1:10" x14ac:dyDescent="0.25">
      <c r="A35337" t="s">
        <v>387</v>
      </c>
      <c r="B35337" s="1" t="str">
        <f>HYPERLINK("http://benandjerry.com.br","benandjerry.com.br")</f>
        <v>benandjerry.com.br</v>
      </c>
      <c r="C35337" t="s">
        <v>425</v>
      </c>
      <c r="D35337" t="s">
        <v>806</v>
      </c>
      <c r="F35337">
        <v>1.22065937445038E-8</v>
      </c>
      <c r="G35337">
        <v>5046783</v>
      </c>
      <c r="H35337">
        <v>13766035</v>
      </c>
      <c r="I35337">
        <v>7043062</v>
      </c>
      <c r="J35337">
        <v>6</v>
      </c>
    </row>
    <row r="35338" spans="1:10" x14ac:dyDescent="0.25">
      <c r="A35338" t="s">
        <v>387</v>
      </c>
      <c r="B35338" s="1" t="str">
        <f>HYPERLINK("http://knorr.com.br","knorr.com.br")</f>
        <v>knorr.com.br</v>
      </c>
      <c r="C35338" t="s">
        <v>425</v>
      </c>
      <c r="D35338" t="s">
        <v>806</v>
      </c>
      <c r="F35338">
        <v>1.052064514217E-8</v>
      </c>
      <c r="G35338">
        <v>6251818</v>
      </c>
      <c r="H35338">
        <v>14486887</v>
      </c>
      <c r="I35338">
        <v>956893</v>
      </c>
      <c r="J35338">
        <v>5</v>
      </c>
    </row>
    <row r="35339" spans="1:10" x14ac:dyDescent="0.25">
      <c r="A35339" t="s">
        <v>387</v>
      </c>
      <c r="B35339" s="1" t="str">
        <f>HYPERLINK("http://omo.com.br","omo.com.br")</f>
        <v>omo.com.br</v>
      </c>
      <c r="C35339" t="s">
        <v>425</v>
      </c>
      <c r="D35339" t="s">
        <v>806</v>
      </c>
      <c r="F35339">
        <v>1.01413740026399E-8</v>
      </c>
      <c r="G35339">
        <v>6605148</v>
      </c>
      <c r="H35339">
        <v>14486089</v>
      </c>
      <c r="I35339">
        <v>974092</v>
      </c>
      <c r="J35339">
        <v>4</v>
      </c>
    </row>
    <row r="35340" spans="1:10" x14ac:dyDescent="0.25">
      <c r="A35340" t="s">
        <v>387</v>
      </c>
      <c r="B35340" s="1" t="str">
        <f>HYPERLINK("http://unilever.com.br","unilever.com.br")</f>
        <v>unilever.com.br</v>
      </c>
      <c r="C35340" t="s">
        <v>425</v>
      </c>
      <c r="D35340" t="s">
        <v>806</v>
      </c>
      <c r="E35340">
        <v>557640</v>
      </c>
      <c r="F35340">
        <v>9.0692209962907894E-8</v>
      </c>
      <c r="G35340">
        <v>449696</v>
      </c>
      <c r="H35340">
        <v>14494829</v>
      </c>
      <c r="I35340">
        <v>879445</v>
      </c>
      <c r="J35340">
        <v>2</v>
      </c>
    </row>
    <row r="35341" spans="1:10" x14ac:dyDescent="0.25">
      <c r="A35341" t="s">
        <v>387</v>
      </c>
      <c r="B35341" s="1" t="str">
        <f>HYPERLINK("http://unileverfoodsolutions.com.br","unileverfoodsolutions.com.br")</f>
        <v>unileverfoodsolutions.com.br</v>
      </c>
      <c r="C35341" t="s">
        <v>425</v>
      </c>
      <c r="D35341" t="s">
        <v>806</v>
      </c>
      <c r="F35341">
        <v>1.3899762954360301E-8</v>
      </c>
      <c r="G35341">
        <v>4241131</v>
      </c>
      <c r="H35341">
        <v>14072613</v>
      </c>
      <c r="I35341">
        <v>3066620</v>
      </c>
      <c r="J35341">
        <v>3</v>
      </c>
    </row>
    <row r="35342" spans="1:10" x14ac:dyDescent="0.25">
      <c r="A35342" t="s">
        <v>387</v>
      </c>
      <c r="B35342" s="1" t="str">
        <f>HYPERLINK("http://benandjerrys.ca","benandjerrys.ca")</f>
        <v>benandjerrys.ca</v>
      </c>
      <c r="C35342" t="s">
        <v>428</v>
      </c>
      <c r="D35342" t="s">
        <v>809</v>
      </c>
      <c r="F35342">
        <v>4.42652348138101E-8</v>
      </c>
      <c r="G35342">
        <v>1072703</v>
      </c>
      <c r="H35342">
        <v>14431658</v>
      </c>
      <c r="I35342">
        <v>1072850</v>
      </c>
      <c r="J35342">
        <v>5</v>
      </c>
    </row>
    <row r="35343" spans="1:10" x14ac:dyDescent="0.25">
      <c r="A35343" t="s">
        <v>387</v>
      </c>
      <c r="B35343" s="1" t="str">
        <f>HYPERLINK("http://dermalogica.ca","dermalogica.ca")</f>
        <v>dermalogica.ca</v>
      </c>
      <c r="C35343" t="s">
        <v>428</v>
      </c>
      <c r="D35343" t="s">
        <v>809</v>
      </c>
      <c r="E35343">
        <v>642654</v>
      </c>
      <c r="F35343">
        <v>6.2196645307228505E-8</v>
      </c>
      <c r="G35343">
        <v>706677</v>
      </c>
      <c r="H35343">
        <v>14247663</v>
      </c>
      <c r="I35343">
        <v>1456545</v>
      </c>
      <c r="J35343">
        <v>3</v>
      </c>
    </row>
    <row r="35344" spans="1:10" x14ac:dyDescent="0.25">
      <c r="A35344" t="s">
        <v>387</v>
      </c>
      <c r="B35344" s="1" t="str">
        <f>HYPERLINK("http://seventhgeneration.ca","seventhgeneration.ca")</f>
        <v>seventhgeneration.ca</v>
      </c>
      <c r="C35344" t="s">
        <v>428</v>
      </c>
      <c r="D35344" t="s">
        <v>809</v>
      </c>
      <c r="F35344">
        <v>8.9143138117367602E-9</v>
      </c>
      <c r="G35344">
        <v>8122096</v>
      </c>
      <c r="H35344">
        <v>11599412</v>
      </c>
      <c r="I35344">
        <v>29929585</v>
      </c>
      <c r="J35344">
        <v>4</v>
      </c>
    </row>
    <row r="35345" spans="1:10" x14ac:dyDescent="0.25">
      <c r="A35345" t="s">
        <v>387</v>
      </c>
      <c r="B35345" s="1" t="str">
        <f>HYPERLINK("http://unilever.ca","unilever.ca")</f>
        <v>unilever.ca</v>
      </c>
      <c r="C35345" t="s">
        <v>428</v>
      </c>
      <c r="D35345" t="s">
        <v>809</v>
      </c>
      <c r="E35345">
        <v>902010</v>
      </c>
      <c r="F35345">
        <v>1.5827688299599701E-7</v>
      </c>
      <c r="G35345">
        <v>245282</v>
      </c>
      <c r="H35345">
        <v>14724463</v>
      </c>
      <c r="I35345">
        <v>576079</v>
      </c>
      <c r="J35345">
        <v>2</v>
      </c>
    </row>
    <row r="35346" spans="1:10" x14ac:dyDescent="0.25">
      <c r="A35346" t="s">
        <v>387</v>
      </c>
      <c r="B35346" s="1" t="str">
        <f>HYPERLINK("http://unileverfoodsolutions.ca","unileverfoodsolutions.ca")</f>
        <v>unileverfoodsolutions.ca</v>
      </c>
      <c r="C35346" t="s">
        <v>428</v>
      </c>
      <c r="D35346" t="s">
        <v>809</v>
      </c>
      <c r="F35346">
        <v>2.99020866180434E-8</v>
      </c>
      <c r="G35346">
        <v>1720978</v>
      </c>
      <c r="H35346">
        <v>13845574</v>
      </c>
      <c r="I35346">
        <v>6061726</v>
      </c>
      <c r="J35346">
        <v>3</v>
      </c>
    </row>
    <row r="35347" spans="1:10" x14ac:dyDescent="0.25">
      <c r="A35347" t="s">
        <v>387</v>
      </c>
      <c r="B35347" s="1" t="str">
        <f>HYPERLINK("http://benjerry.ch","benjerry.ch")</f>
        <v>benjerry.ch</v>
      </c>
      <c r="C35347" t="s">
        <v>429</v>
      </c>
      <c r="D35347" t="s">
        <v>810</v>
      </c>
      <c r="F35347">
        <v>1.56531190728668E-8</v>
      </c>
      <c r="G35347">
        <v>3640436</v>
      </c>
      <c r="H35347">
        <v>14241123</v>
      </c>
      <c r="I35347">
        <v>1494576</v>
      </c>
      <c r="J35347">
        <v>3</v>
      </c>
    </row>
    <row r="35348" spans="1:10" x14ac:dyDescent="0.25">
      <c r="A35348" t="s">
        <v>387</v>
      </c>
      <c r="B35348" s="1" t="str">
        <f>HYPERLINK("http://dermalogica.ch","dermalogica.ch")</f>
        <v>dermalogica.ch</v>
      </c>
      <c r="C35348" t="s">
        <v>429</v>
      </c>
      <c r="D35348" t="s">
        <v>810</v>
      </c>
      <c r="F35348">
        <v>2.6928130524256699E-8</v>
      </c>
      <c r="G35348">
        <v>1910117</v>
      </c>
      <c r="H35348">
        <v>13766063</v>
      </c>
      <c r="I35348">
        <v>7040927</v>
      </c>
      <c r="J35348">
        <v>4</v>
      </c>
    </row>
    <row r="35349" spans="1:10" x14ac:dyDescent="0.25">
      <c r="A35349" t="s">
        <v>387</v>
      </c>
      <c r="B35349" s="1" t="str">
        <f>HYPERLINK("http://omo.ch","omo.ch")</f>
        <v>omo.ch</v>
      </c>
      <c r="C35349" t="s">
        <v>429</v>
      </c>
      <c r="D35349" t="s">
        <v>810</v>
      </c>
      <c r="F35349">
        <v>7.7984717788014897E-9</v>
      </c>
      <c r="G35349">
        <v>10323397</v>
      </c>
      <c r="H35349">
        <v>12238633</v>
      </c>
      <c r="I35349">
        <v>22295251</v>
      </c>
      <c r="J35349">
        <v>4</v>
      </c>
    </row>
    <row r="35350" spans="1:10" x14ac:dyDescent="0.25">
      <c r="A35350" t="s">
        <v>387</v>
      </c>
      <c r="B35350" s="1" t="str">
        <f>HYPERLINK("http://oswald.ch","oswald.ch")</f>
        <v>oswald.ch</v>
      </c>
      <c r="C35350" t="s">
        <v>429</v>
      </c>
      <c r="D35350" t="s">
        <v>810</v>
      </c>
      <c r="F35350">
        <v>2.61570588641979E-8</v>
      </c>
      <c r="G35350">
        <v>1969360</v>
      </c>
      <c r="H35350">
        <v>14052651</v>
      </c>
      <c r="I35350">
        <v>3892818</v>
      </c>
      <c r="J35350">
        <v>3</v>
      </c>
    </row>
    <row r="35351" spans="1:10" x14ac:dyDescent="0.25">
      <c r="A35351" t="s">
        <v>387</v>
      </c>
      <c r="B35351" s="1" t="str">
        <f>HYPERLINK("http://unilever.ch","unilever.ch")</f>
        <v>unilever.ch</v>
      </c>
      <c r="C35351" t="s">
        <v>429</v>
      </c>
      <c r="D35351" t="s">
        <v>810</v>
      </c>
      <c r="F35351">
        <v>6.8095463563746101E-8</v>
      </c>
      <c r="G35351">
        <v>626697</v>
      </c>
      <c r="H35351">
        <v>14384137</v>
      </c>
      <c r="I35351">
        <v>1183404</v>
      </c>
      <c r="J35351">
        <v>2</v>
      </c>
    </row>
    <row r="35352" spans="1:10" x14ac:dyDescent="0.25">
      <c r="A35352" t="s">
        <v>387</v>
      </c>
      <c r="B35352" s="1" t="str">
        <f>HYPERLINK("http://unileverfoodsolutions.ch","unileverfoodsolutions.ch")</f>
        <v>unileverfoodsolutions.ch</v>
      </c>
      <c r="C35352" t="s">
        <v>429</v>
      </c>
      <c r="D35352" t="s">
        <v>810</v>
      </c>
      <c r="F35352">
        <v>4.1257260516378099E-8</v>
      </c>
      <c r="G35352">
        <v>1224073</v>
      </c>
      <c r="H35352">
        <v>14124816</v>
      </c>
      <c r="I35352">
        <v>2135390</v>
      </c>
      <c r="J35352">
        <v>3</v>
      </c>
    </row>
    <row r="35353" spans="1:10" x14ac:dyDescent="0.25">
      <c r="A35353" t="s">
        <v>387</v>
      </c>
      <c r="B35353" s="1" t="str">
        <f>HYPERLINK("http://zendium.ch","zendium.ch")</f>
        <v>zendium.ch</v>
      </c>
      <c r="C35353" t="s">
        <v>429</v>
      </c>
      <c r="D35353" t="s">
        <v>810</v>
      </c>
      <c r="F35353">
        <v>5.1304030898447199E-9</v>
      </c>
      <c r="G35353">
        <v>26448409</v>
      </c>
      <c r="H35353">
        <v>9537754</v>
      </c>
      <c r="I35353">
        <v>65177228</v>
      </c>
      <c r="J35353">
        <v>4</v>
      </c>
    </row>
    <row r="35354" spans="1:10" x14ac:dyDescent="0.25">
      <c r="A35354" t="s">
        <v>387</v>
      </c>
      <c r="B35354" s="1" t="str">
        <f>HYPERLINK("http://omo.cl","omo.cl")</f>
        <v>omo.cl</v>
      </c>
      <c r="C35354" t="s">
        <v>430</v>
      </c>
      <c r="D35354" t="s">
        <v>811</v>
      </c>
      <c r="F35354">
        <v>5.4301151741159197E-9</v>
      </c>
      <c r="G35354">
        <v>21738322</v>
      </c>
      <c r="H35354">
        <v>13933063</v>
      </c>
      <c r="I35354">
        <v>5055077</v>
      </c>
      <c r="J35354">
        <v>4</v>
      </c>
    </row>
    <row r="35355" spans="1:10" x14ac:dyDescent="0.25">
      <c r="A35355" t="s">
        <v>387</v>
      </c>
      <c r="B35355" s="1" t="str">
        <f>HYPERLINK("http://pepsodent.cl","pepsodent.cl")</f>
        <v>pepsodent.cl</v>
      </c>
      <c r="C35355" t="s">
        <v>430</v>
      </c>
      <c r="D35355" t="s">
        <v>811</v>
      </c>
      <c r="F35355">
        <v>1.41634245544229E-8</v>
      </c>
      <c r="G35355">
        <v>4142137</v>
      </c>
      <c r="H35355">
        <v>12150868</v>
      </c>
      <c r="I35355">
        <v>24598915</v>
      </c>
      <c r="J35355">
        <v>3</v>
      </c>
    </row>
    <row r="35356" spans="1:10" x14ac:dyDescent="0.25">
      <c r="A35356" t="s">
        <v>387</v>
      </c>
      <c r="B35356" s="1" t="str">
        <f>HYPERLINK("http://unileverfoodsolutions.cl","unileverfoodsolutions.cl")</f>
        <v>unileverfoodsolutions.cl</v>
      </c>
      <c r="C35356" t="s">
        <v>430</v>
      </c>
      <c r="D35356" t="s">
        <v>811</v>
      </c>
      <c r="F35356">
        <v>1.5079265752351499E-8</v>
      </c>
      <c r="G35356">
        <v>3814394</v>
      </c>
      <c r="H35356">
        <v>12219346</v>
      </c>
      <c r="I35356">
        <v>22803220</v>
      </c>
      <c r="J35356">
        <v>3</v>
      </c>
    </row>
    <row r="35357" spans="1:10" x14ac:dyDescent="0.25">
      <c r="A35357" t="s">
        <v>387</v>
      </c>
      <c r="B35357" s="1" t="str">
        <f>HYPERLINK("http://zendium.cl","zendium.cl")</f>
        <v>zendium.cl</v>
      </c>
      <c r="C35357" t="s">
        <v>430</v>
      </c>
      <c r="D35357" t="s">
        <v>811</v>
      </c>
      <c r="F35357">
        <v>6.9712496488169202E-9</v>
      </c>
      <c r="G35357">
        <v>12397911</v>
      </c>
      <c r="H35357">
        <v>10798533</v>
      </c>
      <c r="I35357">
        <v>38205702</v>
      </c>
      <c r="J35357">
        <v>4</v>
      </c>
    </row>
    <row r="35358" spans="1:10" x14ac:dyDescent="0.25">
      <c r="A35358" t="s">
        <v>387</v>
      </c>
      <c r="B35358" s="1" t="str">
        <f>HYPERLINK("http://unilever.com.cn","unilever.com.cn")</f>
        <v>unilever.com.cn</v>
      </c>
      <c r="C35358" t="s">
        <v>431</v>
      </c>
      <c r="D35358" t="s">
        <v>812</v>
      </c>
      <c r="E35358">
        <v>470443</v>
      </c>
      <c r="F35358">
        <v>8.2391342611013804E-8</v>
      </c>
      <c r="G35358">
        <v>506374</v>
      </c>
      <c r="H35358">
        <v>13065535</v>
      </c>
      <c r="I35358">
        <v>12289994</v>
      </c>
      <c r="J35358">
        <v>2</v>
      </c>
    </row>
    <row r="35359" spans="1:10" x14ac:dyDescent="0.25">
      <c r="A35359" t="s">
        <v>387</v>
      </c>
      <c r="B35359" s="1" t="str">
        <f>HYPERLINK("http://qinyuan.cn","qinyuan.cn")</f>
        <v>qinyuan.cn</v>
      </c>
      <c r="C35359" t="s">
        <v>431</v>
      </c>
      <c r="D35359" t="s">
        <v>812</v>
      </c>
      <c r="F35359">
        <v>6.6839076776484901E-8</v>
      </c>
      <c r="G35359">
        <v>640349</v>
      </c>
      <c r="H35359">
        <v>12759009</v>
      </c>
      <c r="I35359">
        <v>14960532</v>
      </c>
      <c r="J35359">
        <v>3</v>
      </c>
    </row>
    <row r="35360" spans="1:10" x14ac:dyDescent="0.25">
      <c r="A35360" t="s">
        <v>387</v>
      </c>
      <c r="B35360" s="1" t="str">
        <f>HYPERLINK("http://unileverfoodsolutions.com.co","unileverfoodsolutions.com.co")</f>
        <v>unileverfoodsolutions.com.co</v>
      </c>
      <c r="C35360" t="s">
        <v>432</v>
      </c>
      <c r="F35360">
        <v>1.48100429834637E-8</v>
      </c>
      <c r="G35360">
        <v>3903822</v>
      </c>
      <c r="H35360">
        <v>12205853</v>
      </c>
      <c r="I35360">
        <v>23134293</v>
      </c>
      <c r="J35360">
        <v>3</v>
      </c>
    </row>
    <row r="35361" spans="1:10" x14ac:dyDescent="0.25">
      <c r="A35361" t="s">
        <v>387</v>
      </c>
      <c r="B35361" s="1" t="str">
        <f>HYPERLINK("http://alberto.com","alberto.com")</f>
        <v>alberto.com</v>
      </c>
      <c r="C35361" t="s">
        <v>433</v>
      </c>
      <c r="F35361">
        <v>1.3886039901356501E-8</v>
      </c>
      <c r="G35361">
        <v>4246563</v>
      </c>
      <c r="H35361">
        <v>14180083</v>
      </c>
      <c r="I35361">
        <v>1781353</v>
      </c>
      <c r="J35361">
        <v>6</v>
      </c>
    </row>
    <row r="35362" spans="1:10" x14ac:dyDescent="0.25">
      <c r="A35362" t="s">
        <v>387</v>
      </c>
      <c r="B35362" s="1" t="str">
        <f>HYPERLINK("http://amora.com","amora.com")</f>
        <v>amora.com</v>
      </c>
      <c r="C35362" t="s">
        <v>433</v>
      </c>
      <c r="F35362">
        <v>4.58092020049542E-9</v>
      </c>
      <c r="G35362">
        <v>49214385</v>
      </c>
      <c r="H35362">
        <v>13763722</v>
      </c>
      <c r="I35362">
        <v>7741949</v>
      </c>
      <c r="J35362">
        <v>3</v>
      </c>
    </row>
    <row r="35363" spans="1:10" x14ac:dyDescent="0.25">
      <c r="A35363" t="s">
        <v>387</v>
      </c>
      <c r="B35363" s="1" t="str">
        <f>HYPERLINK("http://axe.com","axe.com")</f>
        <v>axe.com</v>
      </c>
      <c r="C35363" t="s">
        <v>433</v>
      </c>
      <c r="E35363">
        <v>111473</v>
      </c>
      <c r="F35363">
        <v>2.51680875481763E-7</v>
      </c>
      <c r="G35363">
        <v>148628</v>
      </c>
      <c r="H35363">
        <v>14228393</v>
      </c>
      <c r="I35363">
        <v>1676484</v>
      </c>
      <c r="J35363">
        <v>4</v>
      </c>
    </row>
    <row r="35364" spans="1:10" x14ac:dyDescent="0.25">
      <c r="A35364" t="s">
        <v>387</v>
      </c>
      <c r="B35364" s="1" t="str">
        <f>HYPERLINK("http://benandjerryspr.com","benandjerryspr.com")</f>
        <v>benandjerryspr.com</v>
      </c>
      <c r="C35364" t="s">
        <v>433</v>
      </c>
      <c r="F35364">
        <v>4.7580350457427503E-9</v>
      </c>
      <c r="G35364">
        <v>37963796</v>
      </c>
      <c r="H35364">
        <v>10758499</v>
      </c>
      <c r="I35364">
        <v>39683074</v>
      </c>
      <c r="J35364">
        <v>5</v>
      </c>
    </row>
    <row r="35365" spans="1:10" x14ac:dyDescent="0.25">
      <c r="A35365" t="s">
        <v>387</v>
      </c>
      <c r="B35365" s="1" t="str">
        <f>HYPERLINK("http://benjerry.com","benjerry.com")</f>
        <v>benjerry.com</v>
      </c>
      <c r="C35365" t="s">
        <v>433</v>
      </c>
      <c r="E35365">
        <v>17015</v>
      </c>
      <c r="F35365">
        <v>3.3852724903736402E-6</v>
      </c>
      <c r="G35365">
        <v>11924</v>
      </c>
      <c r="H35365">
        <v>18004430</v>
      </c>
      <c r="I35365">
        <v>3658</v>
      </c>
      <c r="J35365">
        <v>3</v>
      </c>
    </row>
    <row r="35366" spans="1:10" x14ac:dyDescent="0.25">
      <c r="A35366" t="s">
        <v>387</v>
      </c>
      <c r="B35366" s="1" t="str">
        <f>HYPERLINK("http://benjerrybostoncatering.com","benjerrybostoncatering.com")</f>
        <v>benjerrybostoncatering.com</v>
      </c>
      <c r="C35366" t="s">
        <v>433</v>
      </c>
      <c r="J35366">
        <v>5</v>
      </c>
    </row>
    <row r="35367" spans="1:10" x14ac:dyDescent="0.25">
      <c r="A35367" t="s">
        <v>387</v>
      </c>
      <c r="B35367" s="1" t="str">
        <f>HYPERLINK("http://blueair.com","blueair.com")</f>
        <v>blueair.com</v>
      </c>
      <c r="C35367" t="s">
        <v>433</v>
      </c>
      <c r="E35367">
        <v>182990</v>
      </c>
      <c r="F35367">
        <v>4.0252514493386802E-7</v>
      </c>
      <c r="G35367">
        <v>93293</v>
      </c>
      <c r="H35367">
        <v>17087758</v>
      </c>
      <c r="I35367">
        <v>66473</v>
      </c>
      <c r="J35367">
        <v>3</v>
      </c>
    </row>
    <row r="35368" spans="1:10" x14ac:dyDescent="0.25">
      <c r="A35368" t="s">
        <v>387</v>
      </c>
      <c r="B35368" s="1" t="str">
        <f>HYPERLINK("http://dcbenjerry.com","dcbenjerry.com")</f>
        <v>dcbenjerry.com</v>
      </c>
      <c r="C35368" t="s">
        <v>433</v>
      </c>
      <c r="F35368">
        <v>5.5277982450419796E-9</v>
      </c>
      <c r="G35368">
        <v>20607000</v>
      </c>
      <c r="H35368">
        <v>12330415</v>
      </c>
      <c r="I35368">
        <v>20205079</v>
      </c>
      <c r="J35368">
        <v>5</v>
      </c>
    </row>
    <row r="35369" spans="1:10" x14ac:dyDescent="0.25">
      <c r="A35369" t="s">
        <v>387</v>
      </c>
      <c r="B35369" s="1" t="str">
        <f>HYPERLINK("http://dermalogica.com","dermalogica.com")</f>
        <v>dermalogica.com</v>
      </c>
      <c r="C35369" t="s">
        <v>433</v>
      </c>
      <c r="E35369">
        <v>79178</v>
      </c>
      <c r="F35369">
        <v>4.5890827548146799E-7</v>
      </c>
      <c r="G35369">
        <v>82427</v>
      </c>
      <c r="H35369">
        <v>14891861</v>
      </c>
      <c r="I35369">
        <v>466496</v>
      </c>
      <c r="J35369">
        <v>3</v>
      </c>
    </row>
    <row r="35370" spans="1:10" x14ac:dyDescent="0.25">
      <c r="A35370" t="s">
        <v>387</v>
      </c>
      <c r="B35370" s="1" t="str">
        <f>HYPERLINK("http://dollarshaveclub.com","dollarshaveclub.com")</f>
        <v>dollarshaveclub.com</v>
      </c>
      <c r="C35370" t="s">
        <v>433</v>
      </c>
      <c r="E35370">
        <v>29777</v>
      </c>
      <c r="F35370">
        <v>3.19004628713838E-6</v>
      </c>
      <c r="G35370">
        <v>12464</v>
      </c>
      <c r="H35370">
        <v>16420985</v>
      </c>
      <c r="I35370">
        <v>365027</v>
      </c>
      <c r="J35370">
        <v>4</v>
      </c>
    </row>
    <row r="35371" spans="1:10" x14ac:dyDescent="0.25">
      <c r="A35371" t="s">
        <v>387</v>
      </c>
      <c r="B35371" s="1" t="str">
        <f>HYPERLINK("http://equilibra.com","equilibra.com")</f>
        <v>equilibra.com</v>
      </c>
      <c r="C35371" t="s">
        <v>433</v>
      </c>
      <c r="F35371">
        <v>6.3146718835516701E-9</v>
      </c>
      <c r="G35371">
        <v>14961839</v>
      </c>
      <c r="H35371">
        <v>12102440</v>
      </c>
      <c r="I35371">
        <v>25908288</v>
      </c>
      <c r="J35371">
        <v>4</v>
      </c>
    </row>
    <row r="35372" spans="1:10" x14ac:dyDescent="0.25">
      <c r="A35372" t="s">
        <v>387</v>
      </c>
      <c r="B35372" s="1" t="str">
        <f>HYPERLINK("http://getwelly.com","getwelly.com")</f>
        <v>getwelly.com</v>
      </c>
      <c r="C35372" t="s">
        <v>433</v>
      </c>
      <c r="E35372">
        <v>795356</v>
      </c>
      <c r="F35372">
        <v>2.4108484314991899E-7</v>
      </c>
      <c r="G35372">
        <v>155163</v>
      </c>
      <c r="H35372">
        <v>17019432</v>
      </c>
      <c r="I35372">
        <v>89591</v>
      </c>
      <c r="J35372">
        <v>3</v>
      </c>
    </row>
    <row r="35373" spans="1:10" x14ac:dyDescent="0.25">
      <c r="A35373" t="s">
        <v>387</v>
      </c>
      <c r="B35373" s="1" t="str">
        <f>HYPERLINK("http://graze.com","graze.com")</f>
        <v>graze.com</v>
      </c>
      <c r="C35373" t="s">
        <v>433</v>
      </c>
      <c r="E35373">
        <v>163383</v>
      </c>
      <c r="F35373">
        <v>4.0830150238267299E-7</v>
      </c>
      <c r="G35373">
        <v>92032</v>
      </c>
      <c r="H35373">
        <v>15130258</v>
      </c>
      <c r="I35373">
        <v>402379</v>
      </c>
      <c r="J35373">
        <v>3</v>
      </c>
    </row>
    <row r="35374" spans="1:10" x14ac:dyDescent="0.25">
      <c r="A35374" t="s">
        <v>387</v>
      </c>
      <c r="B35374" s="1" t="str">
        <f>HYPERLINK("http://gromgelato.com","gromgelato.com")</f>
        <v>gromgelato.com</v>
      </c>
      <c r="C35374" t="s">
        <v>433</v>
      </c>
      <c r="F35374">
        <v>8.08083536132122E-9</v>
      </c>
      <c r="G35374">
        <v>9775921</v>
      </c>
      <c r="H35374">
        <v>12382876</v>
      </c>
      <c r="I35374">
        <v>19157312</v>
      </c>
      <c r="J35374">
        <v>5</v>
      </c>
    </row>
    <row r="35375" spans="1:10" x14ac:dyDescent="0.25">
      <c r="A35375" t="s">
        <v>387</v>
      </c>
      <c r="B35375" s="1" t="str">
        <f>HYPERLINK("http://hourglasscosmetics.com","hourglasscosmetics.com")</f>
        <v>hourglasscosmetics.com</v>
      </c>
      <c r="C35375" t="s">
        <v>433</v>
      </c>
      <c r="E35375">
        <v>184425</v>
      </c>
      <c r="F35375">
        <v>1.28144020680101E-7</v>
      </c>
      <c r="G35375">
        <v>306129</v>
      </c>
      <c r="H35375">
        <v>14929831</v>
      </c>
      <c r="I35375">
        <v>447857</v>
      </c>
      <c r="J35375">
        <v>3</v>
      </c>
    </row>
    <row r="35376" spans="1:10" x14ac:dyDescent="0.25">
      <c r="A35376" t="s">
        <v>387</v>
      </c>
      <c r="B35376" s="1" t="str">
        <f>HYPERLINK("http://katesomerville.com","katesomerville.com")</f>
        <v>katesomerville.com</v>
      </c>
      <c r="C35376" t="s">
        <v>433</v>
      </c>
      <c r="E35376">
        <v>271025</v>
      </c>
      <c r="F35376">
        <v>3.32742406711999E-7</v>
      </c>
      <c r="G35376">
        <v>112031</v>
      </c>
      <c r="H35376">
        <v>14947343</v>
      </c>
      <c r="I35376">
        <v>441347</v>
      </c>
      <c r="J35376">
        <v>3</v>
      </c>
    </row>
    <row r="35377" spans="1:10" x14ac:dyDescent="0.25">
      <c r="A35377" t="s">
        <v>387</v>
      </c>
      <c r="B35377" s="1" t="str">
        <f>HYPERLINK("http://knorr.com","knorr.com")</f>
        <v>knorr.com</v>
      </c>
      <c r="C35377" t="s">
        <v>433</v>
      </c>
      <c r="E35377">
        <v>62203</v>
      </c>
      <c r="F35377">
        <v>5.6263646236478304E-7</v>
      </c>
      <c r="G35377">
        <v>68201</v>
      </c>
      <c r="H35377">
        <v>17113462</v>
      </c>
      <c r="I35377">
        <v>61440</v>
      </c>
      <c r="J35377">
        <v>4</v>
      </c>
    </row>
    <row r="35378" spans="1:10" x14ac:dyDescent="0.25">
      <c r="A35378" t="s">
        <v>387</v>
      </c>
      <c r="B35378" s="1" t="str">
        <f>HYPERLINK("http://livingproof.com","livingproof.com")</f>
        <v>livingproof.com</v>
      </c>
      <c r="C35378" t="s">
        <v>433</v>
      </c>
      <c r="E35378">
        <v>183574</v>
      </c>
      <c r="F35378">
        <v>2.8257816760384799E-7</v>
      </c>
      <c r="G35378">
        <v>131569</v>
      </c>
      <c r="H35378">
        <v>17357460</v>
      </c>
      <c r="I35378">
        <v>22438</v>
      </c>
      <c r="J35378">
        <v>3</v>
      </c>
    </row>
    <row r="35379" spans="1:10" x14ac:dyDescent="0.25">
      <c r="A35379" t="s">
        <v>387</v>
      </c>
      <c r="B35379" s="1" t="str">
        <f>HYPERLINK("http://noxzema.com","noxzema.com")</f>
        <v>noxzema.com</v>
      </c>
      <c r="C35379" t="s">
        <v>433</v>
      </c>
      <c r="F35379">
        <v>1.8967985486948299E-8</v>
      </c>
      <c r="G35379">
        <v>2841495</v>
      </c>
      <c r="H35379">
        <v>14532814</v>
      </c>
      <c r="I35379">
        <v>783914</v>
      </c>
      <c r="J35379">
        <v>4</v>
      </c>
    </row>
    <row r="35380" spans="1:10" x14ac:dyDescent="0.25">
      <c r="A35380" t="s">
        <v>387</v>
      </c>
      <c r="B35380" s="1" t="str">
        <f>HYPERLINK("http://nutrafol.com","nutrafol.com")</f>
        <v>nutrafol.com</v>
      </c>
      <c r="C35380" t="s">
        <v>433</v>
      </c>
      <c r="E35380">
        <v>104152</v>
      </c>
      <c r="F35380">
        <v>2.8767094370504202E-7</v>
      </c>
      <c r="G35380">
        <v>129242</v>
      </c>
      <c r="H35380">
        <v>14818454</v>
      </c>
      <c r="I35380">
        <v>520097</v>
      </c>
      <c r="J35380">
        <v>3</v>
      </c>
    </row>
    <row r="35381" spans="1:10" x14ac:dyDescent="0.25">
      <c r="A35381" t="s">
        <v>387</v>
      </c>
      <c r="B35381" s="1" t="str">
        <f>HYPERLINK("http://olly.com","olly.com")</f>
        <v>olly.com</v>
      </c>
      <c r="C35381" t="s">
        <v>433</v>
      </c>
      <c r="E35381">
        <v>216819</v>
      </c>
      <c r="F35381">
        <v>2.1231205195371299E-7</v>
      </c>
      <c r="G35381">
        <v>177892</v>
      </c>
      <c r="H35381">
        <v>17084152</v>
      </c>
      <c r="I35381">
        <v>67330</v>
      </c>
      <c r="J35381">
        <v>3</v>
      </c>
    </row>
    <row r="35382" spans="1:10" x14ac:dyDescent="0.25">
      <c r="A35382" t="s">
        <v>387</v>
      </c>
      <c r="B35382" s="1" t="str">
        <f>HYPERLINK("http://omo.com","omo.com")</f>
        <v>omo.com</v>
      </c>
      <c r="C35382" t="s">
        <v>433</v>
      </c>
      <c r="E35382">
        <v>195285</v>
      </c>
      <c r="F35382">
        <v>4.7607432386250097E-8</v>
      </c>
      <c r="G35382">
        <v>978018</v>
      </c>
      <c r="H35382">
        <v>14200428</v>
      </c>
      <c r="I35382">
        <v>1723385</v>
      </c>
      <c r="J35382">
        <v>3</v>
      </c>
    </row>
    <row r="35383" spans="1:10" x14ac:dyDescent="0.25">
      <c r="A35383" t="s">
        <v>387</v>
      </c>
      <c r="B35383" s="1" t="str">
        <f>HYPERLINK("http://onnit.com","onnit.com")</f>
        <v>onnit.com</v>
      </c>
      <c r="C35383" t="s">
        <v>433</v>
      </c>
      <c r="E35383">
        <v>52755</v>
      </c>
      <c r="F35383">
        <v>4.28604774602626E-7</v>
      </c>
      <c r="G35383">
        <v>87900</v>
      </c>
      <c r="H35383">
        <v>17337230</v>
      </c>
      <c r="I35383">
        <v>24257</v>
      </c>
      <c r="J35383">
        <v>3</v>
      </c>
    </row>
    <row r="35384" spans="1:10" x14ac:dyDescent="0.25">
      <c r="A35384" t="s">
        <v>387</v>
      </c>
      <c r="B35384" s="1" t="str">
        <f>HYPERLINK("http://paulaschoice.com","paulaschoice.com")</f>
        <v>paulaschoice.com</v>
      </c>
      <c r="C35384" t="s">
        <v>433</v>
      </c>
      <c r="E35384">
        <v>35975</v>
      </c>
      <c r="F35384">
        <v>6.2698909687255504E-7</v>
      </c>
      <c r="G35384">
        <v>61131</v>
      </c>
      <c r="H35384">
        <v>15175845</v>
      </c>
      <c r="I35384">
        <v>397682</v>
      </c>
      <c r="J35384">
        <v>3</v>
      </c>
    </row>
    <row r="35385" spans="1:10" x14ac:dyDescent="0.25">
      <c r="A35385" t="s">
        <v>387</v>
      </c>
      <c r="B35385" s="1" t="str">
        <f>HYPERLINK("http://paulaschoice-eu.com","paulaschoice-eu.com")</f>
        <v>paulaschoice-eu.com</v>
      </c>
      <c r="C35385" t="s">
        <v>433</v>
      </c>
      <c r="E35385">
        <v>269059</v>
      </c>
      <c r="F35385">
        <v>7.99573233141797E-8</v>
      </c>
      <c r="G35385">
        <v>522433</v>
      </c>
      <c r="H35385">
        <v>14538496</v>
      </c>
      <c r="I35385">
        <v>777409</v>
      </c>
      <c r="J35385">
        <v>6</v>
      </c>
    </row>
    <row r="35386" spans="1:10" x14ac:dyDescent="0.25">
      <c r="A35386" t="s">
        <v>387</v>
      </c>
      <c r="B35386" s="1" t="str">
        <f>HYPERLINK("http://pepsodent.com","pepsodent.com")</f>
        <v>pepsodent.com</v>
      </c>
      <c r="C35386" t="s">
        <v>433</v>
      </c>
      <c r="F35386">
        <v>2.28521628531376E-8</v>
      </c>
      <c r="G35386">
        <v>2287982</v>
      </c>
      <c r="H35386">
        <v>12604569</v>
      </c>
      <c r="I35386">
        <v>16280954</v>
      </c>
      <c r="J35386">
        <v>3</v>
      </c>
    </row>
    <row r="35387" spans="1:10" x14ac:dyDescent="0.25">
      <c r="A35387" t="s">
        <v>387</v>
      </c>
      <c r="B35387" s="1" t="str">
        <f>HYPERLINK("http://pukkaherbs.com","pukkaherbs.com")</f>
        <v>pukkaherbs.com</v>
      </c>
      <c r="C35387" t="s">
        <v>433</v>
      </c>
      <c r="E35387">
        <v>107712</v>
      </c>
      <c r="F35387">
        <v>3.3828216393466898E-7</v>
      </c>
      <c r="G35387">
        <v>110293</v>
      </c>
      <c r="H35387">
        <v>14988790</v>
      </c>
      <c r="I35387">
        <v>428616</v>
      </c>
      <c r="J35387">
        <v>3</v>
      </c>
    </row>
    <row r="35388" spans="1:10" x14ac:dyDescent="0.25">
      <c r="A35388" t="s">
        <v>387</v>
      </c>
      <c r="B35388" s="1" t="str">
        <f>HYPERLINK("http://qinyuanwater.com","qinyuanwater.com")</f>
        <v>qinyuanwater.com</v>
      </c>
      <c r="C35388" t="s">
        <v>433</v>
      </c>
      <c r="F35388">
        <v>4.7477501454430598E-9</v>
      </c>
      <c r="G35388">
        <v>38429266</v>
      </c>
      <c r="H35388">
        <v>8999794</v>
      </c>
      <c r="I35388">
        <v>68870525</v>
      </c>
      <c r="J35388">
        <v>3</v>
      </c>
    </row>
    <row r="35389" spans="1:10" x14ac:dyDescent="0.25">
      <c r="A35389" t="s">
        <v>387</v>
      </c>
      <c r="B35389" s="1" t="str">
        <f>HYPERLINK("http://seventhgeneration.com","seventhgeneration.com")</f>
        <v>seventhgeneration.com</v>
      </c>
      <c r="C35389" t="s">
        <v>433</v>
      </c>
      <c r="E35389">
        <v>79348</v>
      </c>
      <c r="F35389">
        <v>6.9682340798610097E-7</v>
      </c>
      <c r="G35389">
        <v>55439</v>
      </c>
      <c r="H35389">
        <v>15182556</v>
      </c>
      <c r="I35389">
        <v>397079</v>
      </c>
      <c r="J35389">
        <v>3</v>
      </c>
    </row>
    <row r="35390" spans="1:10" x14ac:dyDescent="0.25">
      <c r="A35390" t="s">
        <v>387</v>
      </c>
      <c r="B35390" s="1" t="str">
        <f>HYPERLINK("http://sheamoisture.com","sheamoisture.com")</f>
        <v>sheamoisture.com</v>
      </c>
      <c r="C35390" t="s">
        <v>433</v>
      </c>
      <c r="E35390">
        <v>142636</v>
      </c>
      <c r="F35390">
        <v>3.3171970948190898E-7</v>
      </c>
      <c r="G35390">
        <v>112345</v>
      </c>
      <c r="H35390">
        <v>14987090</v>
      </c>
      <c r="I35390">
        <v>429057</v>
      </c>
      <c r="J35390">
        <v>3</v>
      </c>
    </row>
    <row r="35391" spans="1:10" x14ac:dyDescent="0.25">
      <c r="A35391" t="s">
        <v>387</v>
      </c>
      <c r="B35391" s="1" t="str">
        <f>HYPERLINK("http://skinhealthexperts.com","skinhealthexperts.com")</f>
        <v>skinhealthexperts.com</v>
      </c>
      <c r="C35391" t="s">
        <v>433</v>
      </c>
      <c r="F35391">
        <v>1.01496942813099E-8</v>
      </c>
      <c r="G35391">
        <v>6596979</v>
      </c>
      <c r="H35391">
        <v>14200421</v>
      </c>
      <c r="I35391">
        <v>1723406</v>
      </c>
      <c r="J35391">
        <v>3</v>
      </c>
    </row>
    <row r="35392" spans="1:10" x14ac:dyDescent="0.25">
      <c r="A35392" t="s">
        <v>387</v>
      </c>
      <c r="B35392" s="1" t="str">
        <f>HYPERLINK("http://smartypantsvitamins.com","smartypantsvitamins.com")</f>
        <v>smartypantsvitamins.com</v>
      </c>
      <c r="C35392" t="s">
        <v>433</v>
      </c>
      <c r="E35392">
        <v>426192</v>
      </c>
      <c r="F35392">
        <v>1.2677218563731799E-7</v>
      </c>
      <c r="G35392">
        <v>311089</v>
      </c>
      <c r="H35392">
        <v>14369162</v>
      </c>
      <c r="I35392">
        <v>1300580</v>
      </c>
      <c r="J35392">
        <v>3</v>
      </c>
    </row>
    <row r="35393" spans="1:10" x14ac:dyDescent="0.25">
      <c r="A35393" t="s">
        <v>387</v>
      </c>
      <c r="B35393" s="1" t="str">
        <f>HYPERLINK("http://soundsleepcocoon.com","soundsleepcocoon.com")</f>
        <v>soundsleepcocoon.com</v>
      </c>
      <c r="C35393" t="s">
        <v>433</v>
      </c>
      <c r="F35393">
        <v>1.2877778759861499E-8</v>
      </c>
      <c r="G35393">
        <v>4690056</v>
      </c>
      <c r="H35393">
        <v>13767496</v>
      </c>
      <c r="I35393">
        <v>6929614</v>
      </c>
      <c r="J35393">
        <v>4</v>
      </c>
    </row>
    <row r="35394" spans="1:10" x14ac:dyDescent="0.25">
      <c r="A35394" t="s">
        <v>387</v>
      </c>
      <c r="B35394" s="1" t="str">
        <f>HYPERLINK("http://taikecom.com","taikecom.com")</f>
        <v>taikecom.com</v>
      </c>
      <c r="C35394" t="s">
        <v>433</v>
      </c>
      <c r="F35394">
        <v>4.44380395335525E-9</v>
      </c>
      <c r="G35394">
        <v>83607916</v>
      </c>
      <c r="H35394">
        <v>0</v>
      </c>
      <c r="I35394">
        <v>84470417</v>
      </c>
      <c r="J35394">
        <v>5</v>
      </c>
    </row>
    <row r="35395" spans="1:10" x14ac:dyDescent="0.25">
      <c r="A35395" t="s">
        <v>387</v>
      </c>
      <c r="B35395" s="1" t="str">
        <f>HYPERLINK("http://tatcha.com","tatcha.com")</f>
        <v>tatcha.com</v>
      </c>
      <c r="C35395" t="s">
        <v>433</v>
      </c>
      <c r="E35395">
        <v>72577</v>
      </c>
      <c r="F35395">
        <v>2.9067725692953698E-7</v>
      </c>
      <c r="G35395">
        <v>128034</v>
      </c>
      <c r="H35395">
        <v>15081423</v>
      </c>
      <c r="I35395">
        <v>409358</v>
      </c>
      <c r="J35395">
        <v>3</v>
      </c>
    </row>
    <row r="35396" spans="1:10" x14ac:dyDescent="0.25">
      <c r="A35396" t="s">
        <v>387</v>
      </c>
      <c r="B35396" s="1" t="str">
        <f>HYPERLINK("http://tazo.com","tazo.com")</f>
        <v>tazo.com</v>
      </c>
      <c r="C35396" t="s">
        <v>433</v>
      </c>
      <c r="E35396">
        <v>391052</v>
      </c>
      <c r="F35396">
        <v>2.1128566840095E-7</v>
      </c>
      <c r="G35396">
        <v>178846</v>
      </c>
      <c r="H35396">
        <v>14626290</v>
      </c>
      <c r="I35396">
        <v>650021</v>
      </c>
      <c r="J35396">
        <v>4</v>
      </c>
    </row>
    <row r="35397" spans="1:10" x14ac:dyDescent="0.25">
      <c r="A35397" t="s">
        <v>387</v>
      </c>
      <c r="B35397" s="1" t="str">
        <f>HYPERLINK("http://theaxeeffect.com","theaxeeffect.com")</f>
        <v>theaxeeffect.com</v>
      </c>
      <c r="C35397" t="s">
        <v>433</v>
      </c>
      <c r="E35397">
        <v>981843</v>
      </c>
      <c r="F35397">
        <v>4.3170583604496497E-8</v>
      </c>
      <c r="G35397">
        <v>1111935</v>
      </c>
      <c r="H35397">
        <v>14292996</v>
      </c>
      <c r="I35397">
        <v>1363475</v>
      </c>
      <c r="J35397">
        <v>6</v>
      </c>
    </row>
    <row r="35398" spans="1:10" x14ac:dyDescent="0.25">
      <c r="A35398" t="s">
        <v>387</v>
      </c>
      <c r="B35398" s="1" t="str">
        <f>HYPERLINK("http://tigihaircare.com","tigihaircare.com")</f>
        <v>tigihaircare.com</v>
      </c>
      <c r="C35398" t="s">
        <v>433</v>
      </c>
      <c r="F35398">
        <v>4.1727936186219797E-8</v>
      </c>
      <c r="G35398">
        <v>1182891</v>
      </c>
      <c r="H35398">
        <v>14521384</v>
      </c>
      <c r="I35398">
        <v>802741</v>
      </c>
      <c r="J35398">
        <v>3</v>
      </c>
    </row>
    <row r="35399" spans="1:10" x14ac:dyDescent="0.25">
      <c r="A35399" t="s">
        <v>387</v>
      </c>
      <c r="B35399" s="1" t="str">
        <f>HYPERLINK("http://tigiprofessional.com","tigiprofessional.com")</f>
        <v>tigiprofessional.com</v>
      </c>
      <c r="C35399" t="s">
        <v>433</v>
      </c>
      <c r="F35399">
        <v>4.0459384164679697E-8</v>
      </c>
      <c r="G35399">
        <v>1279719</v>
      </c>
      <c r="H35399">
        <v>13799139</v>
      </c>
      <c r="I35399">
        <v>6287309</v>
      </c>
      <c r="J35399">
        <v>3</v>
      </c>
    </row>
    <row r="35400" spans="1:10" x14ac:dyDescent="0.25">
      <c r="A35400" t="s">
        <v>387</v>
      </c>
      <c r="B35400" s="1" t="str">
        <f>HYPERLINK("http://uflexreward.com","uflexreward.com")</f>
        <v>uflexreward.com</v>
      </c>
      <c r="C35400" t="s">
        <v>433</v>
      </c>
      <c r="F35400">
        <v>3.0223069741133802E-8</v>
      </c>
      <c r="G35400">
        <v>1702834</v>
      </c>
      <c r="H35400">
        <v>13532448</v>
      </c>
      <c r="I35400">
        <v>9916203</v>
      </c>
      <c r="J35400">
        <v>2</v>
      </c>
    </row>
    <row r="35401" spans="1:10" x14ac:dyDescent="0.25">
      <c r="A35401" t="s">
        <v>387</v>
      </c>
      <c r="B35401" s="1" t="str">
        <f>HYPERLINK("http://unilever.com","unilever.com")</f>
        <v>unilever.com</v>
      </c>
      <c r="C35401" t="s">
        <v>433</v>
      </c>
      <c r="E35401">
        <v>3680</v>
      </c>
      <c r="F35401">
        <v>7.0632892432124797E-6</v>
      </c>
      <c r="G35401">
        <v>4762</v>
      </c>
      <c r="H35401">
        <v>18119814</v>
      </c>
      <c r="I35401">
        <v>3045</v>
      </c>
      <c r="J35401">
        <v>1</v>
      </c>
    </row>
    <row r="35402" spans="1:10" x14ac:dyDescent="0.25">
      <c r="A35402" t="s">
        <v>387</v>
      </c>
      <c r="B35402" s="1" t="str">
        <f>HYPERLINK("http://unilever-ewa.com","unilever-ewa.com")</f>
        <v>unilever-ewa.com</v>
      </c>
      <c r="C35402" t="s">
        <v>433</v>
      </c>
      <c r="F35402">
        <v>1.5458754995815399E-7</v>
      </c>
      <c r="G35402">
        <v>251255</v>
      </c>
      <c r="H35402">
        <v>13963700</v>
      </c>
      <c r="I35402">
        <v>4096887</v>
      </c>
      <c r="J35402">
        <v>6</v>
      </c>
    </row>
    <row r="35403" spans="1:10" x14ac:dyDescent="0.25">
      <c r="A35403" t="s">
        <v>387</v>
      </c>
      <c r="B35403" s="1" t="str">
        <f>HYPERLINK("http://unilever-southlatam.com","unilever-southlatam.com")</f>
        <v>unilever-southlatam.com</v>
      </c>
      <c r="C35403" t="s">
        <v>433</v>
      </c>
      <c r="F35403">
        <v>3.2942339313278101E-7</v>
      </c>
      <c r="G35403">
        <v>113093</v>
      </c>
      <c r="H35403">
        <v>13225725</v>
      </c>
      <c r="I35403">
        <v>11305645</v>
      </c>
      <c r="J35403">
        <v>3</v>
      </c>
    </row>
    <row r="35404" spans="1:10" x14ac:dyDescent="0.25">
      <c r="A35404" t="s">
        <v>387</v>
      </c>
      <c r="B35404" s="1" t="str">
        <f>HYPERLINK("http://unileverghana.com","unileverghana.com")</f>
        <v>unileverghana.com</v>
      </c>
      <c r="C35404" t="s">
        <v>433</v>
      </c>
      <c r="F35404">
        <v>3.9501608151983201E-8</v>
      </c>
      <c r="G35404">
        <v>1306860</v>
      </c>
      <c r="H35404">
        <v>14080798</v>
      </c>
      <c r="I35404">
        <v>2816507</v>
      </c>
      <c r="J35404">
        <v>4</v>
      </c>
    </row>
    <row r="35405" spans="1:10" x14ac:dyDescent="0.25">
      <c r="A35405" t="s">
        <v>387</v>
      </c>
      <c r="B35405" s="1" t="str">
        <f>HYPERLINK("http://unileverme.com","unileverme.com")</f>
        <v>unileverme.com</v>
      </c>
      <c r="C35405" t="s">
        <v>433</v>
      </c>
      <c r="F35405">
        <v>8.2794530199854006E-8</v>
      </c>
      <c r="G35405">
        <v>503839</v>
      </c>
      <c r="H35405">
        <v>14110102</v>
      </c>
      <c r="I35405">
        <v>2675952</v>
      </c>
      <c r="J35405">
        <v>3</v>
      </c>
    </row>
    <row r="35406" spans="1:10" x14ac:dyDescent="0.25">
      <c r="A35406" t="s">
        <v>387</v>
      </c>
      <c r="B35406" s="1" t="str">
        <f>HYPERLINK("http://unileverservices.com","unileverservices.com")</f>
        <v>unileverservices.com</v>
      </c>
      <c r="C35406" t="s">
        <v>433</v>
      </c>
      <c r="E35406">
        <v>128523</v>
      </c>
      <c r="F35406">
        <v>1.0763701191879E-7</v>
      </c>
      <c r="G35406">
        <v>371904</v>
      </c>
      <c r="H35406">
        <v>14154849</v>
      </c>
      <c r="I35406">
        <v>1861484</v>
      </c>
      <c r="J35406">
        <v>2</v>
      </c>
    </row>
    <row r="35407" spans="1:10" x14ac:dyDescent="0.25">
      <c r="A35407" t="s">
        <v>387</v>
      </c>
      <c r="B35407" s="1" t="str">
        <f>HYPERLINK("http://unileverusa.com","unileverusa.com")</f>
        <v>unileverusa.com</v>
      </c>
      <c r="C35407" t="s">
        <v>433</v>
      </c>
      <c r="E35407">
        <v>179936</v>
      </c>
      <c r="F35407">
        <v>5.7429587330805997E-7</v>
      </c>
      <c r="G35407">
        <v>66513</v>
      </c>
      <c r="H35407">
        <v>15221054</v>
      </c>
      <c r="I35407">
        <v>393260</v>
      </c>
      <c r="J35407">
        <v>3</v>
      </c>
    </row>
    <row r="35408" spans="1:10" x14ac:dyDescent="0.25">
      <c r="A35408" t="s">
        <v>387</v>
      </c>
      <c r="B35408" s="1" t="str">
        <f>HYPERLINK("http://unileverventures.com","unileverventures.com")</f>
        <v>unileverventures.com</v>
      </c>
      <c r="C35408" t="s">
        <v>433</v>
      </c>
      <c r="F35408">
        <v>4.2250194714013801E-8</v>
      </c>
      <c r="G35408">
        <v>1152399</v>
      </c>
      <c r="H35408">
        <v>13673031</v>
      </c>
      <c r="I35408">
        <v>9543443</v>
      </c>
      <c r="J35408">
        <v>3</v>
      </c>
    </row>
    <row r="35409" spans="1:10" x14ac:dyDescent="0.25">
      <c r="A35409" t="s">
        <v>387</v>
      </c>
      <c r="B35409" s="1" t="str">
        <f>HYPERLINK("http://unilevr.com","unilevr.com")</f>
        <v>unilevr.com</v>
      </c>
      <c r="C35409" t="s">
        <v>433</v>
      </c>
      <c r="J35409">
        <v>3</v>
      </c>
    </row>
    <row r="35410" spans="1:10" x14ac:dyDescent="0.25">
      <c r="A35410" t="s">
        <v>387</v>
      </c>
      <c r="B35410" s="1" t="str">
        <f>HYPERLINK("http://univestcompany.com","univestcompany.com")</f>
        <v>univestcompany.com</v>
      </c>
      <c r="C35410" t="s">
        <v>433</v>
      </c>
      <c r="F35410">
        <v>5.3994537704361703E-9</v>
      </c>
      <c r="G35410">
        <v>22121042</v>
      </c>
      <c r="H35410">
        <v>11008319</v>
      </c>
      <c r="I35410">
        <v>33432431</v>
      </c>
      <c r="J35410">
        <v>3</v>
      </c>
    </row>
    <row r="35411" spans="1:10" x14ac:dyDescent="0.25">
      <c r="A35411" t="s">
        <v>387</v>
      </c>
      <c r="B35411" s="1" t="str">
        <f>HYPERLINK("http://unilever.cy","unilever.cy")</f>
        <v>unilever.cy</v>
      </c>
      <c r="C35411" t="s">
        <v>610</v>
      </c>
      <c r="D35411" t="s">
        <v>937</v>
      </c>
      <c r="F35411">
        <v>2.9774022878753001E-8</v>
      </c>
      <c r="G35411">
        <v>1728518</v>
      </c>
      <c r="H35411">
        <v>12581423</v>
      </c>
      <c r="I35411">
        <v>16493235</v>
      </c>
      <c r="J35411">
        <v>2</v>
      </c>
    </row>
    <row r="35412" spans="1:10" x14ac:dyDescent="0.25">
      <c r="A35412" t="s">
        <v>387</v>
      </c>
      <c r="B35412" s="1" t="str">
        <f>HYPERLINK("http://benandjerry.cz","benandjerry.cz")</f>
        <v>benandjerry.cz</v>
      </c>
      <c r="C35412" t="s">
        <v>435</v>
      </c>
      <c r="D35412" t="s">
        <v>814</v>
      </c>
      <c r="F35412">
        <v>1.1409967720472899E-8</v>
      </c>
      <c r="G35412">
        <v>5567611</v>
      </c>
      <c r="H35412">
        <v>12564612</v>
      </c>
      <c r="I35412">
        <v>16671022</v>
      </c>
      <c r="J35412">
        <v>6</v>
      </c>
    </row>
    <row r="35413" spans="1:10" x14ac:dyDescent="0.25">
      <c r="A35413" t="s">
        <v>387</v>
      </c>
      <c r="B35413" s="1" t="str">
        <f>HYPERLINK("http://dermalogica.cz","dermalogica.cz")</f>
        <v>dermalogica.cz</v>
      </c>
      <c r="C35413" t="s">
        <v>435</v>
      </c>
      <c r="D35413" t="s">
        <v>814</v>
      </c>
      <c r="F35413">
        <v>2.0584821813155899E-8</v>
      </c>
      <c r="G35413">
        <v>2572573</v>
      </c>
      <c r="H35413">
        <v>13771431</v>
      </c>
      <c r="I35413">
        <v>6694184</v>
      </c>
      <c r="J35413">
        <v>4</v>
      </c>
    </row>
    <row r="35414" spans="1:10" x14ac:dyDescent="0.25">
      <c r="A35414" t="s">
        <v>387</v>
      </c>
      <c r="B35414" s="1" t="str">
        <f>HYPERLINK("http://hellmanns.cz","hellmanns.cz")</f>
        <v>hellmanns.cz</v>
      </c>
      <c r="C35414" t="s">
        <v>435</v>
      </c>
      <c r="D35414" t="s">
        <v>814</v>
      </c>
      <c r="F35414">
        <v>1.6992513853718902E-8</v>
      </c>
      <c r="G35414">
        <v>3285007</v>
      </c>
      <c r="H35414">
        <v>12306153</v>
      </c>
      <c r="I35414">
        <v>20711905</v>
      </c>
      <c r="J35414">
        <v>3</v>
      </c>
    </row>
    <row r="35415" spans="1:10" x14ac:dyDescent="0.25">
      <c r="A35415" t="s">
        <v>387</v>
      </c>
      <c r="B35415" s="1" t="str">
        <f>HYPERLINK("http://unilever.cz","unilever.cz")</f>
        <v>unilever.cz</v>
      </c>
      <c r="C35415" t="s">
        <v>435</v>
      </c>
      <c r="D35415" t="s">
        <v>814</v>
      </c>
      <c r="F35415">
        <v>1.31240694107165E-7</v>
      </c>
      <c r="G35415">
        <v>297991</v>
      </c>
      <c r="H35415">
        <v>14092308</v>
      </c>
      <c r="I35415">
        <v>2740039</v>
      </c>
      <c r="J35415">
        <v>2</v>
      </c>
    </row>
    <row r="35416" spans="1:10" x14ac:dyDescent="0.25">
      <c r="A35416" t="s">
        <v>387</v>
      </c>
      <c r="B35416" s="1" t="str">
        <f>HYPERLINK("http://unileverfoodsolutions.cz","unileverfoodsolutions.cz")</f>
        <v>unileverfoodsolutions.cz</v>
      </c>
      <c r="C35416" t="s">
        <v>435</v>
      </c>
      <c r="D35416" t="s">
        <v>814</v>
      </c>
      <c r="F35416">
        <v>1.8974336825965401E-8</v>
      </c>
      <c r="G35416">
        <v>2840432</v>
      </c>
      <c r="H35416">
        <v>13046786</v>
      </c>
      <c r="I35416">
        <v>12601668</v>
      </c>
      <c r="J35416">
        <v>3</v>
      </c>
    </row>
    <row r="35417" spans="1:10" x14ac:dyDescent="0.25">
      <c r="A35417" t="s">
        <v>387</v>
      </c>
      <c r="B35417" s="1" t="str">
        <f>HYPERLINK("http://axe.de","axe.de")</f>
        <v>axe.de</v>
      </c>
      <c r="C35417" t="s">
        <v>436</v>
      </c>
      <c r="D35417" t="s">
        <v>815</v>
      </c>
      <c r="F35417">
        <v>1.5061898592642E-8</v>
      </c>
      <c r="G35417">
        <v>3819682</v>
      </c>
      <c r="H35417">
        <v>14120053</v>
      </c>
      <c r="I35417">
        <v>2393195</v>
      </c>
      <c r="J35417">
        <v>5</v>
      </c>
    </row>
    <row r="35418" spans="1:10" x14ac:dyDescent="0.25">
      <c r="A35418" t="s">
        <v>387</v>
      </c>
      <c r="B35418" s="1" t="str">
        <f>HYPERLINK("http://benjerry.de","benjerry.de")</f>
        <v>benjerry.de</v>
      </c>
      <c r="C35418" t="s">
        <v>436</v>
      </c>
      <c r="D35418" t="s">
        <v>815</v>
      </c>
      <c r="F35418">
        <v>4.8504374059868E-8</v>
      </c>
      <c r="G35418">
        <v>956417</v>
      </c>
      <c r="H35418">
        <v>14506582</v>
      </c>
      <c r="I35418">
        <v>833005</v>
      </c>
      <c r="J35418">
        <v>3</v>
      </c>
    </row>
    <row r="35419" spans="1:10" x14ac:dyDescent="0.25">
      <c r="A35419" t="s">
        <v>387</v>
      </c>
      <c r="B35419" s="1" t="str">
        <f>HYPERLINK("http://chartdesign.de","chartdesign.de")</f>
        <v>chartdesign.de</v>
      </c>
      <c r="C35419" t="s">
        <v>436</v>
      </c>
      <c r="D35419" t="s">
        <v>815</v>
      </c>
      <c r="J35419">
        <v>3</v>
      </c>
    </row>
    <row r="35420" spans="1:10" x14ac:dyDescent="0.25">
      <c r="A35420" t="s">
        <v>387</v>
      </c>
      <c r="B35420" s="1" t="str">
        <f>HYPERLINK("http://dermalogica.de","dermalogica.de")</f>
        <v>dermalogica.de</v>
      </c>
      <c r="C35420" t="s">
        <v>436</v>
      </c>
      <c r="D35420" t="s">
        <v>815</v>
      </c>
      <c r="E35420">
        <v>897964</v>
      </c>
      <c r="F35420">
        <v>6.8978549979443801E-8</v>
      </c>
      <c r="G35420">
        <v>616225</v>
      </c>
      <c r="H35420">
        <v>14081885</v>
      </c>
      <c r="I35420">
        <v>2805522</v>
      </c>
      <c r="J35420">
        <v>3</v>
      </c>
    </row>
    <row r="35421" spans="1:10" x14ac:dyDescent="0.25">
      <c r="A35421" t="s">
        <v>387</v>
      </c>
      <c r="B35421" s="1" t="str">
        <f>HYPERLINK("http://knorr.de","knorr.de")</f>
        <v>knorr.de</v>
      </c>
      <c r="C35421" t="s">
        <v>436</v>
      </c>
      <c r="D35421" t="s">
        <v>815</v>
      </c>
      <c r="F35421">
        <v>2.6764562277252199E-8</v>
      </c>
      <c r="G35421">
        <v>1922168</v>
      </c>
      <c r="H35421">
        <v>14497159</v>
      </c>
      <c r="I35421">
        <v>867458</v>
      </c>
      <c r="J35421">
        <v>5</v>
      </c>
    </row>
    <row r="35422" spans="1:10" x14ac:dyDescent="0.25">
      <c r="A35422" t="s">
        <v>387</v>
      </c>
      <c r="B35422" s="1" t="str">
        <f>HYPERLINK("http://paulaschoice.de","paulaschoice.de")</f>
        <v>paulaschoice.de</v>
      </c>
      <c r="C35422" t="s">
        <v>436</v>
      </c>
      <c r="D35422" t="s">
        <v>815</v>
      </c>
      <c r="E35422">
        <v>176991</v>
      </c>
      <c r="F35422">
        <v>1.2630026812953501E-7</v>
      </c>
      <c r="G35422">
        <v>312277</v>
      </c>
      <c r="H35422">
        <v>14289850</v>
      </c>
      <c r="I35422">
        <v>1366831</v>
      </c>
      <c r="J35422">
        <v>4</v>
      </c>
    </row>
    <row r="35423" spans="1:10" x14ac:dyDescent="0.25">
      <c r="A35423" t="s">
        <v>387</v>
      </c>
      <c r="B35423" s="1" t="str">
        <f>HYPERLINK("http://pfanni.de","pfanni.de")</f>
        <v>pfanni.de</v>
      </c>
      <c r="C35423" t="s">
        <v>436</v>
      </c>
      <c r="D35423" t="s">
        <v>815</v>
      </c>
      <c r="F35423">
        <v>1.0174637318201499E-8</v>
      </c>
      <c r="G35423">
        <v>6571796</v>
      </c>
      <c r="H35423">
        <v>14138584</v>
      </c>
      <c r="I35423">
        <v>1946266</v>
      </c>
      <c r="J35423">
        <v>4</v>
      </c>
    </row>
    <row r="35424" spans="1:10" x14ac:dyDescent="0.25">
      <c r="A35424" t="s">
        <v>387</v>
      </c>
      <c r="B35424" s="1" t="str">
        <f>HYPERLINK("http://pukkaherbs.de","pukkaherbs.de")</f>
        <v>pukkaherbs.de</v>
      </c>
      <c r="C35424" t="s">
        <v>436</v>
      </c>
      <c r="D35424" t="s">
        <v>815</v>
      </c>
      <c r="F35424">
        <v>2.13351619243244E-8</v>
      </c>
      <c r="G35424">
        <v>2469818</v>
      </c>
      <c r="H35424">
        <v>14123729</v>
      </c>
      <c r="I35424">
        <v>2165593</v>
      </c>
      <c r="J35424">
        <v>4</v>
      </c>
    </row>
    <row r="35425" spans="1:10" x14ac:dyDescent="0.25">
      <c r="A35425" t="s">
        <v>387</v>
      </c>
      <c r="B35425" s="1" t="str">
        <f>HYPERLINK("http://seventhgeneration.de","seventhgeneration.de")</f>
        <v>seventhgeneration.de</v>
      </c>
      <c r="C35425" t="s">
        <v>436</v>
      </c>
      <c r="D35425" t="s">
        <v>815</v>
      </c>
      <c r="F35425">
        <v>9.4132730879681193E-9</v>
      </c>
      <c r="G35425">
        <v>7427936</v>
      </c>
      <c r="H35425">
        <v>12507897</v>
      </c>
      <c r="I35425">
        <v>17265357</v>
      </c>
      <c r="J35425">
        <v>4</v>
      </c>
    </row>
    <row r="35426" spans="1:10" x14ac:dyDescent="0.25">
      <c r="A35426" t="s">
        <v>387</v>
      </c>
      <c r="B35426" s="1" t="str">
        <f>HYPERLINK("http://unilever.de","unilever.de")</f>
        <v>unilever.de</v>
      </c>
      <c r="C35426" t="s">
        <v>436</v>
      </c>
      <c r="D35426" t="s">
        <v>815</v>
      </c>
      <c r="E35426">
        <v>485327</v>
      </c>
      <c r="F35426">
        <v>2.7398020906556701E-7</v>
      </c>
      <c r="G35426">
        <v>135751</v>
      </c>
      <c r="H35426">
        <v>14985902</v>
      </c>
      <c r="I35426">
        <v>429355</v>
      </c>
      <c r="J35426">
        <v>2</v>
      </c>
    </row>
    <row r="35427" spans="1:10" x14ac:dyDescent="0.25">
      <c r="A35427" t="s">
        <v>387</v>
      </c>
      <c r="B35427" s="1" t="str">
        <f>HYPERLINK("http://unileverfoodsolutions.de","unileverfoodsolutions.de")</f>
        <v>unileverfoodsolutions.de</v>
      </c>
      <c r="C35427" t="s">
        <v>436</v>
      </c>
      <c r="D35427" t="s">
        <v>815</v>
      </c>
      <c r="F35427">
        <v>5.8999210866412603E-8</v>
      </c>
      <c r="G35427">
        <v>751653</v>
      </c>
      <c r="H35427">
        <v>14122528</v>
      </c>
      <c r="I35427">
        <v>2208866</v>
      </c>
      <c r="J35427">
        <v>3</v>
      </c>
    </row>
    <row r="35428" spans="1:10" x14ac:dyDescent="0.25">
      <c r="A35428" t="s">
        <v>387</v>
      </c>
      <c r="B35428" s="1" t="str">
        <f>HYPERLINK("http://zendium.de","zendium.de")</f>
        <v>zendium.de</v>
      </c>
      <c r="C35428" t="s">
        <v>436</v>
      </c>
      <c r="D35428" t="s">
        <v>815</v>
      </c>
      <c r="F35428">
        <v>1.06948553247508E-8</v>
      </c>
      <c r="G35428">
        <v>6104903</v>
      </c>
      <c r="H35428">
        <v>13763794</v>
      </c>
      <c r="I35428">
        <v>7620565</v>
      </c>
      <c r="J35428">
        <v>3</v>
      </c>
    </row>
    <row r="35429" spans="1:10" x14ac:dyDescent="0.25">
      <c r="A35429" t="s">
        <v>387</v>
      </c>
      <c r="B35429" s="1" t="str">
        <f>HYPERLINK("http://benjerry.dk","benjerry.dk")</f>
        <v>benjerry.dk</v>
      </c>
      <c r="C35429" t="s">
        <v>437</v>
      </c>
      <c r="D35429" t="s">
        <v>816</v>
      </c>
      <c r="F35429">
        <v>1.0394166638100399E-8</v>
      </c>
      <c r="G35429">
        <v>6364231</v>
      </c>
      <c r="H35429">
        <v>13766540</v>
      </c>
      <c r="I35429">
        <v>6997523</v>
      </c>
      <c r="J35429">
        <v>3</v>
      </c>
    </row>
    <row r="35430" spans="1:10" x14ac:dyDescent="0.25">
      <c r="A35430" t="s">
        <v>387</v>
      </c>
      <c r="B35430" s="1" t="str">
        <f>HYPERLINK("http://dermalogica.dk","dermalogica.dk")</f>
        <v>dermalogica.dk</v>
      </c>
      <c r="C35430" t="s">
        <v>437</v>
      </c>
      <c r="D35430" t="s">
        <v>816</v>
      </c>
      <c r="F35430">
        <v>7.3617961258539994E-8</v>
      </c>
      <c r="G35430">
        <v>572323</v>
      </c>
      <c r="H35430">
        <v>12783528</v>
      </c>
      <c r="I35430">
        <v>14725541</v>
      </c>
      <c r="J35430">
        <v>4</v>
      </c>
    </row>
    <row r="35431" spans="1:10" x14ac:dyDescent="0.25">
      <c r="A35431" t="s">
        <v>387</v>
      </c>
      <c r="B35431" s="1" t="str">
        <f>HYPERLINK("http://frisko.dk","frisko.dk")</f>
        <v>frisko.dk</v>
      </c>
      <c r="C35431" t="s">
        <v>437</v>
      </c>
      <c r="D35431" t="s">
        <v>816</v>
      </c>
      <c r="F35431">
        <v>5.8238143616705397E-8</v>
      </c>
      <c r="G35431">
        <v>763554</v>
      </c>
      <c r="H35431">
        <v>14077211</v>
      </c>
      <c r="I35431">
        <v>2870777</v>
      </c>
      <c r="J35431">
        <v>4</v>
      </c>
    </row>
    <row r="35432" spans="1:10" x14ac:dyDescent="0.25">
      <c r="A35432" t="s">
        <v>387</v>
      </c>
      <c r="B35432" s="1" t="str">
        <f>HYPERLINK("http://paulaschoice.dk","paulaschoice.dk")</f>
        <v>paulaschoice.dk</v>
      </c>
      <c r="C35432" t="s">
        <v>437</v>
      </c>
      <c r="D35432" t="s">
        <v>816</v>
      </c>
      <c r="F35432">
        <v>2.5830056601773298E-8</v>
      </c>
      <c r="G35432">
        <v>1995430</v>
      </c>
      <c r="H35432">
        <v>11192869</v>
      </c>
      <c r="I35432">
        <v>31329360</v>
      </c>
      <c r="J35432">
        <v>4</v>
      </c>
    </row>
    <row r="35433" spans="1:10" x14ac:dyDescent="0.25">
      <c r="A35433" t="s">
        <v>387</v>
      </c>
      <c r="B35433" s="1" t="str">
        <f>HYPERLINK("http://unilever.dk","unilever.dk")</f>
        <v>unilever.dk</v>
      </c>
      <c r="C35433" t="s">
        <v>437</v>
      </c>
      <c r="D35433" t="s">
        <v>816</v>
      </c>
      <c r="F35433">
        <v>6.4505293776232201E-8</v>
      </c>
      <c r="G35433">
        <v>670725</v>
      </c>
      <c r="H35433">
        <v>14237432</v>
      </c>
      <c r="I35433">
        <v>1550062</v>
      </c>
      <c r="J35433">
        <v>2</v>
      </c>
    </row>
    <row r="35434" spans="1:10" x14ac:dyDescent="0.25">
      <c r="A35434" t="s">
        <v>387</v>
      </c>
      <c r="B35434" s="1" t="str">
        <f>HYPERLINK("http://unileverfoodsolutions.dk","unileverfoodsolutions.dk")</f>
        <v>unileverfoodsolutions.dk</v>
      </c>
      <c r="C35434" t="s">
        <v>437</v>
      </c>
      <c r="D35434" t="s">
        <v>816</v>
      </c>
      <c r="F35434">
        <v>2.2268794086926299E-8</v>
      </c>
      <c r="G35434">
        <v>2354603</v>
      </c>
      <c r="H35434">
        <v>12281045</v>
      </c>
      <c r="I35434">
        <v>21285992</v>
      </c>
      <c r="J35434">
        <v>3</v>
      </c>
    </row>
    <row r="35435" spans="1:10" x14ac:dyDescent="0.25">
      <c r="A35435" t="s">
        <v>387</v>
      </c>
      <c r="B35435" s="1" t="str">
        <f>HYPERLINK("http://zendium.dk","zendium.dk")</f>
        <v>zendium.dk</v>
      </c>
      <c r="C35435" t="s">
        <v>437</v>
      </c>
      <c r="D35435" t="s">
        <v>816</v>
      </c>
      <c r="F35435">
        <v>1.1378453033780101E-8</v>
      </c>
      <c r="G35435">
        <v>5588769</v>
      </c>
      <c r="H35435">
        <v>12350202</v>
      </c>
      <c r="I35435">
        <v>19763581</v>
      </c>
      <c r="J35435">
        <v>3</v>
      </c>
    </row>
    <row r="35436" spans="1:10" x14ac:dyDescent="0.25">
      <c r="A35436" t="s">
        <v>387</v>
      </c>
      <c r="B35436" s="1" t="str">
        <f>HYPERLINK("http://unilever.ee","unilever.ee")</f>
        <v>unilever.ee</v>
      </c>
      <c r="C35436" t="s">
        <v>441</v>
      </c>
      <c r="D35436" t="s">
        <v>820</v>
      </c>
      <c r="F35436">
        <v>2.9913138493257701E-8</v>
      </c>
      <c r="G35436">
        <v>1720321</v>
      </c>
      <c r="H35436">
        <v>12581433</v>
      </c>
      <c r="I35436">
        <v>16493182</v>
      </c>
      <c r="J35436">
        <v>2</v>
      </c>
    </row>
    <row r="35437" spans="1:10" x14ac:dyDescent="0.25">
      <c r="A35437" t="s">
        <v>387</v>
      </c>
      <c r="B35437" s="1" t="str">
        <f>HYPERLINK("http://unileverfoodsolutions.ee","unileverfoodsolutions.ee")</f>
        <v>unileverfoodsolutions.ee</v>
      </c>
      <c r="C35437" t="s">
        <v>441</v>
      </c>
      <c r="D35437" t="s">
        <v>820</v>
      </c>
      <c r="F35437">
        <v>4.44380395335525E-9</v>
      </c>
      <c r="G35437">
        <v>87692076</v>
      </c>
      <c r="H35437">
        <v>0</v>
      </c>
      <c r="I35437">
        <v>85768697</v>
      </c>
      <c r="J35437">
        <v>3</v>
      </c>
    </row>
    <row r="35438" spans="1:10" x14ac:dyDescent="0.25">
      <c r="A35438" t="s">
        <v>387</v>
      </c>
      <c r="B35438" s="1" t="str">
        <f>HYPERLINK("http://unileverfoodsolutions.eg","unileverfoodsolutions.eg")</f>
        <v>unileverfoodsolutions.eg</v>
      </c>
      <c r="C35438" t="s">
        <v>442</v>
      </c>
      <c r="D35438" t="s">
        <v>821</v>
      </c>
      <c r="F35438">
        <v>1.8074319475454498E-8</v>
      </c>
      <c r="G35438">
        <v>3015460</v>
      </c>
      <c r="H35438">
        <v>14072114</v>
      </c>
      <c r="I35438">
        <v>3160323</v>
      </c>
      <c r="J35438">
        <v>3</v>
      </c>
    </row>
    <row r="35439" spans="1:10" x14ac:dyDescent="0.25">
      <c r="A35439" t="s">
        <v>387</v>
      </c>
      <c r="B35439" s="1" t="str">
        <f>HYPERLINK("http://axe.es","axe.es")</f>
        <v>axe.es</v>
      </c>
      <c r="C35439" t="s">
        <v>443</v>
      </c>
      <c r="D35439" t="s">
        <v>822</v>
      </c>
      <c r="F35439">
        <v>1.14714975024442E-8</v>
      </c>
      <c r="G35439">
        <v>5524529</v>
      </c>
      <c r="H35439">
        <v>13795903</v>
      </c>
      <c r="I35439">
        <v>6306862</v>
      </c>
      <c r="J35439">
        <v>5</v>
      </c>
    </row>
    <row r="35440" spans="1:10" x14ac:dyDescent="0.25">
      <c r="A35440" t="s">
        <v>387</v>
      </c>
      <c r="B35440" s="1" t="str">
        <f>HYPERLINK("http://calve.es","calve.es")</f>
        <v>calve.es</v>
      </c>
      <c r="C35440" t="s">
        <v>443</v>
      </c>
      <c r="D35440" t="s">
        <v>822</v>
      </c>
      <c r="E35440">
        <v>375064</v>
      </c>
      <c r="F35440">
        <v>6.9630469432451903E-9</v>
      </c>
      <c r="G35440">
        <v>12422832</v>
      </c>
      <c r="H35440">
        <v>13763650</v>
      </c>
      <c r="I35440">
        <v>7890748</v>
      </c>
      <c r="J35440">
        <v>5</v>
      </c>
    </row>
    <row r="35441" spans="1:10" x14ac:dyDescent="0.25">
      <c r="A35441" t="s">
        <v>387</v>
      </c>
      <c r="B35441" s="1" t="str">
        <f>HYPERLINK("http://paulaschoice.es","paulaschoice.es")</f>
        <v>paulaschoice.es</v>
      </c>
      <c r="C35441" t="s">
        <v>443</v>
      </c>
      <c r="D35441" t="s">
        <v>822</v>
      </c>
      <c r="F35441">
        <v>2.2061516707802099E-8</v>
      </c>
      <c r="G35441">
        <v>2378984</v>
      </c>
      <c r="H35441">
        <v>13886842</v>
      </c>
      <c r="I35441">
        <v>5968439</v>
      </c>
      <c r="J35441">
        <v>4</v>
      </c>
    </row>
    <row r="35442" spans="1:10" x14ac:dyDescent="0.25">
      <c r="A35442" t="s">
        <v>387</v>
      </c>
      <c r="B35442" s="1" t="str">
        <f>HYPERLINK("http://unilever.es","unilever.es")</f>
        <v>unilever.es</v>
      </c>
      <c r="C35442" t="s">
        <v>443</v>
      </c>
      <c r="D35442" t="s">
        <v>822</v>
      </c>
      <c r="E35442">
        <v>698201</v>
      </c>
      <c r="F35442">
        <v>1.68426933252294E-7</v>
      </c>
      <c r="G35442">
        <v>230349</v>
      </c>
      <c r="H35442">
        <v>17044650</v>
      </c>
      <c r="I35442">
        <v>77985</v>
      </c>
      <c r="J35442">
        <v>2</v>
      </c>
    </row>
    <row r="35443" spans="1:10" x14ac:dyDescent="0.25">
      <c r="A35443" t="s">
        <v>387</v>
      </c>
      <c r="B35443" s="1" t="str">
        <f>HYPERLINK("http://unileverfoodsolutions.es","unileverfoodsolutions.es")</f>
        <v>unileverfoodsolutions.es</v>
      </c>
      <c r="C35443" t="s">
        <v>443</v>
      </c>
      <c r="D35443" t="s">
        <v>822</v>
      </c>
      <c r="F35443">
        <v>3.0189454492989301E-8</v>
      </c>
      <c r="G35443">
        <v>1704643</v>
      </c>
      <c r="H35443">
        <v>14150457</v>
      </c>
      <c r="I35443">
        <v>1877049</v>
      </c>
      <c r="J35443">
        <v>3</v>
      </c>
    </row>
    <row r="35444" spans="1:10" x14ac:dyDescent="0.25">
      <c r="A35444" t="s">
        <v>387</v>
      </c>
      <c r="B35444" s="1" t="str">
        <f>HYPERLINK("http://aidonkauneudenpuolesta.fi","aidonkauneudenpuolesta.fi")</f>
        <v>aidonkauneudenpuolesta.fi</v>
      </c>
      <c r="C35444" t="s">
        <v>445</v>
      </c>
      <c r="D35444" t="s">
        <v>823</v>
      </c>
      <c r="J35444">
        <v>2</v>
      </c>
    </row>
    <row r="35445" spans="1:10" x14ac:dyDescent="0.25">
      <c r="A35445" t="s">
        <v>387</v>
      </c>
      <c r="B35445" s="1" t="str">
        <f>HYPERLINK("http://axe.fi","axe.fi")</f>
        <v>axe.fi</v>
      </c>
      <c r="C35445" t="s">
        <v>445</v>
      </c>
      <c r="D35445" t="s">
        <v>823</v>
      </c>
      <c r="F35445">
        <v>4.6772340210411699E-9</v>
      </c>
      <c r="G35445">
        <v>42526586</v>
      </c>
      <c r="H35445">
        <v>13763634</v>
      </c>
      <c r="I35445">
        <v>8460433</v>
      </c>
      <c r="J35445">
        <v>2</v>
      </c>
    </row>
    <row r="35446" spans="1:10" x14ac:dyDescent="0.25">
      <c r="A35446" t="s">
        <v>387</v>
      </c>
      <c r="B35446" s="1" t="str">
        <f>HYPERLINK("http://benjerry.fi","benjerry.fi")</f>
        <v>benjerry.fi</v>
      </c>
      <c r="C35446" t="s">
        <v>445</v>
      </c>
      <c r="D35446" t="s">
        <v>823</v>
      </c>
      <c r="F35446">
        <v>1.3597887541431699E-8</v>
      </c>
      <c r="G35446">
        <v>4362686</v>
      </c>
      <c r="H35446">
        <v>14120156</v>
      </c>
      <c r="I35446">
        <v>2380591</v>
      </c>
      <c r="J35446">
        <v>2</v>
      </c>
    </row>
    <row r="35447" spans="1:10" x14ac:dyDescent="0.25">
      <c r="A35447" t="s">
        <v>387</v>
      </c>
      <c r="B35447" s="1" t="str">
        <f>HYPERLINK("http://bioluvil.fi","bioluvil.fi")</f>
        <v>bioluvil.fi</v>
      </c>
      <c r="C35447" t="s">
        <v>445</v>
      </c>
      <c r="D35447" t="s">
        <v>823</v>
      </c>
      <c r="F35447">
        <v>1.20060318512074E-8</v>
      </c>
      <c r="G35447">
        <v>5171359</v>
      </c>
      <c r="H35447">
        <v>13763842</v>
      </c>
      <c r="I35447">
        <v>7564594</v>
      </c>
      <c r="J35447">
        <v>2</v>
      </c>
    </row>
    <row r="35448" spans="1:10" x14ac:dyDescent="0.25">
      <c r="A35448" t="s">
        <v>387</v>
      </c>
      <c r="B35448" s="1" t="str">
        <f>HYPERLINK("http://breyersdelights.fi","breyersdelights.fi")</f>
        <v>breyersdelights.fi</v>
      </c>
      <c r="C35448" t="s">
        <v>445</v>
      </c>
      <c r="D35448" t="s">
        <v>823</v>
      </c>
      <c r="F35448">
        <v>4.4440876141971E-9</v>
      </c>
      <c r="G35448">
        <v>77542688</v>
      </c>
      <c r="H35448">
        <v>10461247</v>
      </c>
      <c r="I35448">
        <v>51782414</v>
      </c>
      <c r="J35448">
        <v>2</v>
      </c>
    </row>
    <row r="35449" spans="1:10" x14ac:dyDescent="0.25">
      <c r="A35449" t="s">
        <v>387</v>
      </c>
      <c r="B35449" s="1" t="str">
        <f>HYPERLINK("http://cartedor.fi","cartedor.fi")</f>
        <v>cartedor.fi</v>
      </c>
      <c r="C35449" t="s">
        <v>445</v>
      </c>
      <c r="D35449" t="s">
        <v>823</v>
      </c>
      <c r="F35449">
        <v>4.53518709125468E-9</v>
      </c>
      <c r="G35449">
        <v>54325530</v>
      </c>
      <c r="H35449">
        <v>13763633</v>
      </c>
      <c r="I35449">
        <v>9126226</v>
      </c>
      <c r="J35449">
        <v>4</v>
      </c>
    </row>
    <row r="35450" spans="1:10" x14ac:dyDescent="0.25">
      <c r="A35450" t="s">
        <v>387</v>
      </c>
      <c r="B35450" s="1" t="str">
        <f>HYPERLINK("http://cifclean.fi","cifclean.fi")</f>
        <v>cifclean.fi</v>
      </c>
      <c r="C35450" t="s">
        <v>445</v>
      </c>
      <c r="D35450" t="s">
        <v>823</v>
      </c>
      <c r="F35450">
        <v>4.44380395335525E-9</v>
      </c>
      <c r="G35450">
        <v>84770266</v>
      </c>
      <c r="H35450">
        <v>0</v>
      </c>
      <c r="I35450">
        <v>85883210</v>
      </c>
      <c r="J35450">
        <v>2</v>
      </c>
    </row>
    <row r="35451" spans="1:10" x14ac:dyDescent="0.25">
      <c r="A35451" t="s">
        <v>387</v>
      </c>
      <c r="B35451" s="1" t="str">
        <f>HYPERLINK("http://cleanipedia.fi","cleanipedia.fi")</f>
        <v>cleanipedia.fi</v>
      </c>
      <c r="C35451" t="s">
        <v>445</v>
      </c>
      <c r="D35451" t="s">
        <v>823</v>
      </c>
      <c r="J35451">
        <v>2</v>
      </c>
    </row>
    <row r="35452" spans="1:10" x14ac:dyDescent="0.25">
      <c r="A35452" t="s">
        <v>387</v>
      </c>
      <c r="B35452" s="1" t="str">
        <f>HYPERLINK("http://comfort.fi","comfort.fi")</f>
        <v>comfort.fi</v>
      </c>
      <c r="C35452" t="s">
        <v>445</v>
      </c>
      <c r="D35452" t="s">
        <v>823</v>
      </c>
      <c r="J35452">
        <v>2</v>
      </c>
    </row>
    <row r="35453" spans="1:10" x14ac:dyDescent="0.25">
      <c r="A35453" t="s">
        <v>387</v>
      </c>
      <c r="B35453" s="1" t="str">
        <f>HYPERLINK("http://compresseddeodorants.fi","compresseddeodorants.fi")</f>
        <v>compresseddeodorants.fi</v>
      </c>
      <c r="C35453" t="s">
        <v>445</v>
      </c>
      <c r="D35453" t="s">
        <v>823</v>
      </c>
      <c r="J35453">
        <v>2</v>
      </c>
    </row>
    <row r="35454" spans="1:10" x14ac:dyDescent="0.25">
      <c r="A35454" t="s">
        <v>387</v>
      </c>
      <c r="B35454" s="1" t="str">
        <f>HYPERLINK("http://creamy.fi","creamy.fi")</f>
        <v>creamy.fi</v>
      </c>
      <c r="C35454" t="s">
        <v>445</v>
      </c>
      <c r="D35454" t="s">
        <v>823</v>
      </c>
      <c r="J35454">
        <v>2</v>
      </c>
    </row>
    <row r="35455" spans="1:10" x14ac:dyDescent="0.25">
      <c r="A35455" t="s">
        <v>387</v>
      </c>
      <c r="B35455" s="1" t="str">
        <f>HYPERLINK("http://domestos.fi","domestos.fi")</f>
        <v>domestos.fi</v>
      </c>
      <c r="C35455" t="s">
        <v>445</v>
      </c>
      <c r="D35455" t="s">
        <v>823</v>
      </c>
      <c r="F35455">
        <v>5.8446827194052098E-9</v>
      </c>
      <c r="G35455">
        <v>17747550</v>
      </c>
      <c r="H35455">
        <v>11084309</v>
      </c>
      <c r="I35455">
        <v>32443296</v>
      </c>
      <c r="J35455">
        <v>2</v>
      </c>
    </row>
    <row r="35456" spans="1:10" x14ac:dyDescent="0.25">
      <c r="A35456" t="s">
        <v>387</v>
      </c>
      <c r="B35456" s="1" t="str">
        <f>HYPERLINK("http://dovemencare.fi","dovemencare.fi")</f>
        <v>dovemencare.fi</v>
      </c>
      <c r="C35456" t="s">
        <v>445</v>
      </c>
      <c r="D35456" t="s">
        <v>823</v>
      </c>
      <c r="J35456">
        <v>2</v>
      </c>
    </row>
    <row r="35457" spans="1:10" x14ac:dyDescent="0.25">
      <c r="A35457" t="s">
        <v>387</v>
      </c>
      <c r="B35457" s="1" t="str">
        <f>HYPERLINK("http://foodcentral.fi","foodcentral.fi")</f>
        <v>foodcentral.fi</v>
      </c>
      <c r="C35457" t="s">
        <v>445</v>
      </c>
      <c r="D35457" t="s">
        <v>823</v>
      </c>
      <c r="J35457">
        <v>2</v>
      </c>
    </row>
    <row r="35458" spans="1:10" x14ac:dyDescent="0.25">
      <c r="A35458" t="s">
        <v>387</v>
      </c>
      <c r="B35458" s="1" t="str">
        <f>HYPERLINK("http://foodsolutions.fi","foodsolutions.fi")</f>
        <v>foodsolutions.fi</v>
      </c>
      <c r="C35458" t="s">
        <v>445</v>
      </c>
      <c r="D35458" t="s">
        <v>823</v>
      </c>
      <c r="J35458">
        <v>2</v>
      </c>
    </row>
    <row r="35459" spans="1:10" x14ac:dyDescent="0.25">
      <c r="A35459" t="s">
        <v>387</v>
      </c>
      <c r="B35459" s="1" t="str">
        <f>HYPERLINK("http://freezinggood.fi","freezinggood.fi")</f>
        <v>freezinggood.fi</v>
      </c>
      <c r="C35459" t="s">
        <v>445</v>
      </c>
      <c r="D35459" t="s">
        <v>823</v>
      </c>
      <c r="J35459">
        <v>2</v>
      </c>
    </row>
    <row r="35460" spans="1:10" x14ac:dyDescent="0.25">
      <c r="A35460" t="s">
        <v>387</v>
      </c>
      <c r="B35460" s="1" t="str">
        <f>HYPERLINK("http://freezingood.fi","freezingood.fi")</f>
        <v>freezingood.fi</v>
      </c>
      <c r="C35460" t="s">
        <v>445</v>
      </c>
      <c r="D35460" t="s">
        <v>823</v>
      </c>
      <c r="J35460">
        <v>2</v>
      </c>
    </row>
    <row r="35461" spans="1:10" x14ac:dyDescent="0.25">
      <c r="A35461" t="s">
        <v>387</v>
      </c>
      <c r="B35461" s="1" t="str">
        <f>HYPERLINK("http://fruitymax.fi","fruitymax.fi")</f>
        <v>fruitymax.fi</v>
      </c>
      <c r="C35461" t="s">
        <v>445</v>
      </c>
      <c r="D35461" t="s">
        <v>823</v>
      </c>
      <c r="J35461">
        <v>2</v>
      </c>
    </row>
    <row r="35462" spans="1:10" x14ac:dyDescent="0.25">
      <c r="A35462" t="s">
        <v>387</v>
      </c>
      <c r="B35462" s="1" t="str">
        <f>HYPERLINK("http://gbglace.fi","gbglace.fi")</f>
        <v>gbglace.fi</v>
      </c>
      <c r="C35462" t="s">
        <v>445</v>
      </c>
      <c r="D35462" t="s">
        <v>823</v>
      </c>
      <c r="F35462">
        <v>5.02739356095673E-9</v>
      </c>
      <c r="G35462">
        <v>28730063</v>
      </c>
      <c r="H35462">
        <v>14236065</v>
      </c>
      <c r="I35462">
        <v>1660415</v>
      </c>
      <c r="J35462">
        <v>2</v>
      </c>
    </row>
    <row r="35463" spans="1:10" x14ac:dyDescent="0.25">
      <c r="A35463" t="s">
        <v>387</v>
      </c>
      <c r="B35463" s="1" t="str">
        <f>HYPERLINK("http://hellmanns.fi","hellmanns.fi")</f>
        <v>hellmanns.fi</v>
      </c>
      <c r="C35463" t="s">
        <v>445</v>
      </c>
      <c r="D35463" t="s">
        <v>823</v>
      </c>
      <c r="F35463">
        <v>9.3869825840321197E-9</v>
      </c>
      <c r="G35463">
        <v>7462266</v>
      </c>
      <c r="H35463">
        <v>14119742</v>
      </c>
      <c r="I35463">
        <v>2468508</v>
      </c>
      <c r="J35463">
        <v>2</v>
      </c>
    </row>
    <row r="35464" spans="1:10" x14ac:dyDescent="0.25">
      <c r="A35464" t="s">
        <v>387</v>
      </c>
      <c r="B35464" s="1" t="str">
        <f>HYPERLINK("http://himona.fi","himona.fi")</f>
        <v>himona.fi</v>
      </c>
      <c r="C35464" t="s">
        <v>445</v>
      </c>
      <c r="D35464" t="s">
        <v>823</v>
      </c>
      <c r="J35464">
        <v>2</v>
      </c>
    </row>
    <row r="35465" spans="1:10" x14ac:dyDescent="0.25">
      <c r="A35465" t="s">
        <v>387</v>
      </c>
      <c r="B35465" s="1" t="str">
        <f>HYPERLINK("http://huutiakolesterolille.fi","huutiakolesterolille.fi")</f>
        <v>huutiakolesterolille.fi</v>
      </c>
      <c r="C35465" t="s">
        <v>445</v>
      </c>
      <c r="D35465" t="s">
        <v>823</v>
      </c>
      <c r="J35465">
        <v>2</v>
      </c>
    </row>
    <row r="35466" spans="1:10" x14ac:dyDescent="0.25">
      <c r="A35466" t="s">
        <v>387</v>
      </c>
      <c r="B35466" s="1" t="str">
        <f>HYPERLINK("http://ideakeitti.fi","ideakeitti.fi")</f>
        <v>ideakeitti.fi</v>
      </c>
      <c r="C35466" t="s">
        <v>445</v>
      </c>
      <c r="D35466" t="s">
        <v>823</v>
      </c>
      <c r="J35466">
        <v>2</v>
      </c>
    </row>
    <row r="35467" spans="1:10" x14ac:dyDescent="0.25">
      <c r="A35467" t="s">
        <v>387</v>
      </c>
      <c r="B35467" s="1" t="str">
        <f>HYPERLINK("http://ideakeittio.fi","ideakeittio.fi")</f>
        <v>ideakeittio.fi</v>
      </c>
      <c r="C35467" t="s">
        <v>445</v>
      </c>
      <c r="D35467" t="s">
        <v>823</v>
      </c>
      <c r="F35467">
        <v>9.0411567929476798E-9</v>
      </c>
      <c r="G35467">
        <v>7930696</v>
      </c>
      <c r="H35467">
        <v>13763730</v>
      </c>
      <c r="I35467">
        <v>7721804</v>
      </c>
      <c r="J35467">
        <v>2</v>
      </c>
    </row>
    <row r="35468" spans="1:10" x14ac:dyDescent="0.25">
      <c r="A35468" t="s">
        <v>387</v>
      </c>
      <c r="B35468" s="1" t="str">
        <f>HYPERLINK("http://ingman.fi","ingman.fi")</f>
        <v>ingman.fi</v>
      </c>
      <c r="C35468" t="s">
        <v>445</v>
      </c>
      <c r="D35468" t="s">
        <v>823</v>
      </c>
      <c r="E35468">
        <v>292961</v>
      </c>
      <c r="F35468">
        <v>7.1977908315164199E-8</v>
      </c>
      <c r="G35468">
        <v>586745</v>
      </c>
      <c r="H35468">
        <v>14240838</v>
      </c>
      <c r="I35468">
        <v>1497543</v>
      </c>
      <c r="J35468">
        <v>2</v>
      </c>
    </row>
    <row r="35469" spans="1:10" x14ac:dyDescent="0.25">
      <c r="A35469" t="s">
        <v>387</v>
      </c>
      <c r="B35469" s="1" t="str">
        <f>HYPERLINK("http://ingmanammattilaisille.fi","ingmanammattilaisille.fi")</f>
        <v>ingmanammattilaisille.fi</v>
      </c>
      <c r="C35469" t="s">
        <v>445</v>
      </c>
      <c r="D35469" t="s">
        <v>823</v>
      </c>
      <c r="F35469">
        <v>4.5949756016412004E-9</v>
      </c>
      <c r="G35469">
        <v>48000771</v>
      </c>
      <c r="H35469">
        <v>10593951</v>
      </c>
      <c r="I35469">
        <v>45391929</v>
      </c>
      <c r="J35469">
        <v>2</v>
      </c>
    </row>
    <row r="35470" spans="1:10" x14ac:dyDescent="0.25">
      <c r="A35470" t="s">
        <v>387</v>
      </c>
      <c r="B35470" s="1" t="str">
        <f>HYPERLINK("http://jttis.fi","jttis.fi")</f>
        <v>jttis.fi</v>
      </c>
      <c r="C35470" t="s">
        <v>445</v>
      </c>
      <c r="D35470" t="s">
        <v>823</v>
      </c>
      <c r="J35470">
        <v>2</v>
      </c>
    </row>
    <row r="35471" spans="1:10" x14ac:dyDescent="0.25">
      <c r="A35471" t="s">
        <v>387</v>
      </c>
      <c r="B35471" s="1" t="str">
        <f>HYPERLINK("http://kasvissyojateurastaja.fi","kasvissyojateurastaja.fi")</f>
        <v>kasvissyojateurastaja.fi</v>
      </c>
      <c r="C35471" t="s">
        <v>445</v>
      </c>
      <c r="D35471" t="s">
        <v>823</v>
      </c>
      <c r="J35471">
        <v>2</v>
      </c>
    </row>
    <row r="35472" spans="1:10" x14ac:dyDescent="0.25">
      <c r="A35472" t="s">
        <v>387</v>
      </c>
      <c r="B35472" s="1" t="str">
        <f>HYPERLINK("http://kingis.fi","kingis.fi")</f>
        <v>kingis.fi</v>
      </c>
      <c r="C35472" t="s">
        <v>445</v>
      </c>
      <c r="D35472" t="s">
        <v>823</v>
      </c>
      <c r="F35472">
        <v>4.4830321307028299E-9</v>
      </c>
      <c r="G35472">
        <v>61759051</v>
      </c>
      <c r="H35472">
        <v>10656550</v>
      </c>
      <c r="I35472">
        <v>43512827</v>
      </c>
      <c r="J35472">
        <v>2</v>
      </c>
    </row>
    <row r="35473" spans="1:10" x14ac:dyDescent="0.25">
      <c r="A35473" t="s">
        <v>387</v>
      </c>
      <c r="B35473" s="1" t="str">
        <f>HYPERLINK("http://knorr.fi","knorr.fi")</f>
        <v>knorr.fi</v>
      </c>
      <c r="C35473" t="s">
        <v>445</v>
      </c>
      <c r="D35473" t="s">
        <v>823</v>
      </c>
      <c r="F35473">
        <v>1.01385158589466E-8</v>
      </c>
      <c r="G35473">
        <v>6608082</v>
      </c>
      <c r="H35473">
        <v>14236367</v>
      </c>
      <c r="I35473">
        <v>1590734</v>
      </c>
      <c r="J35473">
        <v>2</v>
      </c>
    </row>
    <row r="35474" spans="1:10" x14ac:dyDescent="0.25">
      <c r="A35474" t="s">
        <v>387</v>
      </c>
      <c r="B35474" s="1" t="str">
        <f>HYPERLINK("http://kokeiledovetuotetta.fi","kokeiledovetuotetta.fi")</f>
        <v>kokeiledovetuotetta.fi</v>
      </c>
      <c r="C35474" t="s">
        <v>445</v>
      </c>
      <c r="D35474" t="s">
        <v>823</v>
      </c>
      <c r="J35474">
        <v>2</v>
      </c>
    </row>
    <row r="35475" spans="1:10" x14ac:dyDescent="0.25">
      <c r="A35475" t="s">
        <v>387</v>
      </c>
      <c r="B35475" s="1" t="str">
        <f>HYPERLINK("http://leverfaberge.fi","leverfaberge.fi")</f>
        <v>leverfaberge.fi</v>
      </c>
      <c r="C35475" t="s">
        <v>445</v>
      </c>
      <c r="D35475" t="s">
        <v>823</v>
      </c>
      <c r="J35475">
        <v>2</v>
      </c>
    </row>
    <row r="35476" spans="1:10" x14ac:dyDescent="0.25">
      <c r="A35476" t="s">
        <v>387</v>
      </c>
      <c r="B35476" s="1" t="str">
        <f>HYPERLINK("http://lipsi.fi","lipsi.fi")</f>
        <v>lipsi.fi</v>
      </c>
      <c r="C35476" t="s">
        <v>445</v>
      </c>
      <c r="D35476" t="s">
        <v>823</v>
      </c>
      <c r="J35476">
        <v>2</v>
      </c>
    </row>
    <row r="35477" spans="1:10" x14ac:dyDescent="0.25">
      <c r="A35477" t="s">
        <v>387</v>
      </c>
      <c r="B35477" s="1" t="str">
        <f>HYPERLINK("http://lipton.fi","lipton.fi")</f>
        <v>lipton.fi</v>
      </c>
      <c r="C35477" t="s">
        <v>445</v>
      </c>
      <c r="D35477" t="s">
        <v>823</v>
      </c>
      <c r="F35477">
        <v>4.44380395335525E-9</v>
      </c>
      <c r="G35477">
        <v>84777138</v>
      </c>
      <c r="H35477">
        <v>0</v>
      </c>
      <c r="I35477">
        <v>85891393</v>
      </c>
      <c r="J35477">
        <v>2</v>
      </c>
    </row>
    <row r="35478" spans="1:10" x14ac:dyDescent="0.25">
      <c r="A35478" t="s">
        <v>387</v>
      </c>
      <c r="B35478" s="1" t="str">
        <f>HYPERLINK("http://magnumfinland.fi","magnumfinland.fi")</f>
        <v>magnumfinland.fi</v>
      </c>
      <c r="C35478" t="s">
        <v>445</v>
      </c>
      <c r="D35478" t="s">
        <v>823</v>
      </c>
      <c r="F35478">
        <v>4.7110331438769897E-9</v>
      </c>
      <c r="G35478">
        <v>40693136</v>
      </c>
      <c r="H35478">
        <v>13763637</v>
      </c>
      <c r="I35478">
        <v>8036609</v>
      </c>
      <c r="J35478">
        <v>2</v>
      </c>
    </row>
    <row r="35479" spans="1:10" x14ac:dyDescent="0.25">
      <c r="A35479" t="s">
        <v>387</v>
      </c>
      <c r="B35479" s="1" t="str">
        <f>HYPERLINK("http://maizena.fi","maizena.fi")</f>
        <v>maizena.fi</v>
      </c>
      <c r="C35479" t="s">
        <v>445</v>
      </c>
      <c r="D35479" t="s">
        <v>823</v>
      </c>
      <c r="F35479">
        <v>4.5351870912546899E-9</v>
      </c>
      <c r="G35479">
        <v>54086735</v>
      </c>
      <c r="H35479">
        <v>13763633</v>
      </c>
      <c r="I35479">
        <v>9129443</v>
      </c>
      <c r="J35479">
        <v>2</v>
      </c>
    </row>
    <row r="35480" spans="1:10" x14ac:dyDescent="0.25">
      <c r="A35480" t="s">
        <v>387</v>
      </c>
      <c r="B35480" s="1" t="str">
        <f>HYPERLINK("http://makemymagnum.fi","makemymagnum.fi")</f>
        <v>makemymagnum.fi</v>
      </c>
      <c r="C35480" t="s">
        <v>445</v>
      </c>
      <c r="D35480" t="s">
        <v>823</v>
      </c>
      <c r="J35480">
        <v>2</v>
      </c>
    </row>
    <row r="35481" spans="1:10" x14ac:dyDescent="0.25">
      <c r="A35481" t="s">
        <v>387</v>
      </c>
      <c r="B35481" s="1" t="str">
        <f>HYPERLINK("http://merkki.fi","merkki.fi")</f>
        <v>merkki.fi</v>
      </c>
      <c r="C35481" t="s">
        <v>445</v>
      </c>
      <c r="D35481" t="s">
        <v>823</v>
      </c>
      <c r="J35481">
        <v>2</v>
      </c>
    </row>
    <row r="35482" spans="1:10" x14ac:dyDescent="0.25">
      <c r="A35482" t="s">
        <v>387</v>
      </c>
      <c r="B35482" s="1" t="str">
        <f>HYPERLINK("http://mymagnum.fi","mymagnum.fi")</f>
        <v>mymagnum.fi</v>
      </c>
      <c r="C35482" t="s">
        <v>445</v>
      </c>
      <c r="D35482" t="s">
        <v>823</v>
      </c>
      <c r="J35482">
        <v>2</v>
      </c>
    </row>
    <row r="35483" spans="1:10" x14ac:dyDescent="0.25">
      <c r="A35483" t="s">
        <v>387</v>
      </c>
      <c r="B35483" s="1" t="str">
        <f>HYPERLINK("http://neutralzone.fi","neutralzone.fi")</f>
        <v>neutralzone.fi</v>
      </c>
      <c r="C35483" t="s">
        <v>445</v>
      </c>
      <c r="D35483" t="s">
        <v>823</v>
      </c>
      <c r="F35483">
        <v>4.8636705284059503E-9</v>
      </c>
      <c r="G35483">
        <v>33645480</v>
      </c>
      <c r="H35483">
        <v>14119728</v>
      </c>
      <c r="I35483">
        <v>2611010</v>
      </c>
      <c r="J35483">
        <v>2</v>
      </c>
    </row>
    <row r="35484" spans="1:10" x14ac:dyDescent="0.25">
      <c r="A35484" t="s">
        <v>387</v>
      </c>
      <c r="B35484" s="1" t="str">
        <f>HYPERLINK("http://nexxus.fi","nexxus.fi")</f>
        <v>nexxus.fi</v>
      </c>
      <c r="C35484" t="s">
        <v>445</v>
      </c>
      <c r="D35484" t="s">
        <v>823</v>
      </c>
      <c r="J35484">
        <v>2</v>
      </c>
    </row>
    <row r="35485" spans="1:10" x14ac:dyDescent="0.25">
      <c r="A35485" t="s">
        <v>387</v>
      </c>
      <c r="B35485" s="1" t="str">
        <f>HYPERLINK("http://omo.fi","omo.fi")</f>
        <v>omo.fi</v>
      </c>
      <c r="C35485" t="s">
        <v>445</v>
      </c>
      <c r="D35485" t="s">
        <v>823</v>
      </c>
      <c r="F35485">
        <v>8.2581870175748007E-9</v>
      </c>
      <c r="G35485">
        <v>9357161</v>
      </c>
      <c r="H35485">
        <v>11331285</v>
      </c>
      <c r="I35485">
        <v>30458289</v>
      </c>
      <c r="J35485">
        <v>2</v>
      </c>
    </row>
    <row r="35486" spans="1:10" x14ac:dyDescent="0.25">
      <c r="A35486" t="s">
        <v>387</v>
      </c>
      <c r="B35486" s="1" t="str">
        <f>HYPERLINK("http://organics.fi","organics.fi")</f>
        <v>organics.fi</v>
      </c>
      <c r="C35486" t="s">
        <v>445</v>
      </c>
      <c r="D35486" t="s">
        <v>823</v>
      </c>
      <c r="J35486">
        <v>2</v>
      </c>
    </row>
    <row r="35487" spans="1:10" x14ac:dyDescent="0.25">
      <c r="A35487" t="s">
        <v>387</v>
      </c>
      <c r="B35487" s="1" t="str">
        <f>HYPERLINK("http://paulaschoiceskincare.fi","paulaschoiceskincare.fi")</f>
        <v>paulaschoiceskincare.fi</v>
      </c>
      <c r="C35487" t="s">
        <v>445</v>
      </c>
      <c r="D35487" t="s">
        <v>823</v>
      </c>
      <c r="J35487">
        <v>4</v>
      </c>
    </row>
    <row r="35488" spans="1:10" x14ac:dyDescent="0.25">
      <c r="A35488" t="s">
        <v>387</v>
      </c>
      <c r="B35488" s="1" t="str">
        <f>HYPERLINK("http://pehmeaarasvaapaivittain.fi","pehmeaarasvaapaivittain.fi")</f>
        <v>pehmeaarasvaapaivittain.fi</v>
      </c>
      <c r="C35488" t="s">
        <v>445</v>
      </c>
      <c r="D35488" t="s">
        <v>823</v>
      </c>
      <c r="J35488">
        <v>2</v>
      </c>
    </row>
    <row r="35489" spans="1:10" x14ac:dyDescent="0.25">
      <c r="A35489" t="s">
        <v>387</v>
      </c>
      <c r="B35489" s="1" t="str">
        <f>HYPERLINK("http://pepsodent.fi","pepsodent.fi")</f>
        <v>pepsodent.fi</v>
      </c>
      <c r="C35489" t="s">
        <v>445</v>
      </c>
      <c r="D35489" t="s">
        <v>823</v>
      </c>
      <c r="F35489">
        <v>2.0170498085411601E-8</v>
      </c>
      <c r="G35489">
        <v>2633234</v>
      </c>
      <c r="H35489">
        <v>14236086</v>
      </c>
      <c r="I35489">
        <v>1610903</v>
      </c>
      <c r="J35489">
        <v>2</v>
      </c>
    </row>
    <row r="35490" spans="1:10" x14ac:dyDescent="0.25">
      <c r="A35490" t="s">
        <v>387</v>
      </c>
      <c r="B35490" s="1" t="str">
        <f>HYPERLINK("http://ponds.fi","ponds.fi")</f>
        <v>ponds.fi</v>
      </c>
      <c r="C35490" t="s">
        <v>445</v>
      </c>
      <c r="D35490" t="s">
        <v>823</v>
      </c>
      <c r="J35490">
        <v>2</v>
      </c>
    </row>
    <row r="35491" spans="1:10" x14ac:dyDescent="0.25">
      <c r="A35491" t="s">
        <v>387</v>
      </c>
      <c r="B35491" s="1" t="str">
        <f>HYPERLINK("http://proactiv.fi","proactiv.fi")</f>
        <v>proactiv.fi</v>
      </c>
      <c r="C35491" t="s">
        <v>445</v>
      </c>
      <c r="D35491" t="s">
        <v>823</v>
      </c>
      <c r="J35491">
        <v>2</v>
      </c>
    </row>
    <row r="35492" spans="1:10" x14ac:dyDescent="0.25">
      <c r="A35492" t="s">
        <v>387</v>
      </c>
      <c r="B35492" s="1" t="str">
        <f>HYPERLINK("http://pukka.fi","pukka.fi")</f>
        <v>pukka.fi</v>
      </c>
      <c r="C35492" t="s">
        <v>445</v>
      </c>
      <c r="D35492" t="s">
        <v>823</v>
      </c>
      <c r="J35492">
        <v>2</v>
      </c>
    </row>
    <row r="35493" spans="1:10" x14ac:dyDescent="0.25">
      <c r="A35493" t="s">
        <v>387</v>
      </c>
      <c r="B35493" s="1" t="str">
        <f>HYPERLINK("http://pukkaherbs.fi","pukkaherbs.fi")</f>
        <v>pukkaherbs.fi</v>
      </c>
      <c r="C35493" t="s">
        <v>445</v>
      </c>
      <c r="D35493" t="s">
        <v>823</v>
      </c>
      <c r="J35493">
        <v>2</v>
      </c>
    </row>
    <row r="35494" spans="1:10" x14ac:dyDescent="0.25">
      <c r="A35494" t="s">
        <v>387</v>
      </c>
      <c r="B35494" s="1" t="str">
        <f>HYPERLINK("http://pyykki.fi","pyykki.fi")</f>
        <v>pyykki.fi</v>
      </c>
      <c r="C35494" t="s">
        <v>445</v>
      </c>
      <c r="D35494" t="s">
        <v>823</v>
      </c>
      <c r="J35494">
        <v>2</v>
      </c>
    </row>
    <row r="35495" spans="1:10" x14ac:dyDescent="0.25">
      <c r="A35495" t="s">
        <v>387</v>
      </c>
      <c r="B35495" s="1" t="str">
        <f>HYPERLINK("http://rakastasydantasi.fi","rakastasydantasi.fi")</f>
        <v>rakastasydantasi.fi</v>
      </c>
      <c r="C35495" t="s">
        <v>445</v>
      </c>
      <c r="D35495" t="s">
        <v>823</v>
      </c>
      <c r="J35495">
        <v>2</v>
      </c>
    </row>
    <row r="35496" spans="1:10" x14ac:dyDescent="0.25">
      <c r="A35496" t="s">
        <v>387</v>
      </c>
      <c r="B35496" s="1" t="str">
        <f>HYPERLINK("http://recepedia.fi","recepedia.fi")</f>
        <v>recepedia.fi</v>
      </c>
      <c r="C35496" t="s">
        <v>445</v>
      </c>
      <c r="D35496" t="s">
        <v>823</v>
      </c>
      <c r="J35496">
        <v>2</v>
      </c>
    </row>
    <row r="35497" spans="1:10" x14ac:dyDescent="0.25">
      <c r="A35497" t="s">
        <v>387</v>
      </c>
      <c r="B35497" s="1" t="str">
        <f>HYPERLINK("http://recipedia.fi","recipedia.fi")</f>
        <v>recipedia.fi</v>
      </c>
      <c r="C35497" t="s">
        <v>445</v>
      </c>
      <c r="D35497" t="s">
        <v>823</v>
      </c>
      <c r="J35497">
        <v>2</v>
      </c>
    </row>
    <row r="35498" spans="1:10" x14ac:dyDescent="0.25">
      <c r="A35498" t="s">
        <v>387</v>
      </c>
      <c r="B35498" s="1" t="str">
        <f>HYPERLINK("http://regenerate.fi","regenerate.fi")</f>
        <v>regenerate.fi</v>
      </c>
      <c r="C35498" t="s">
        <v>445</v>
      </c>
      <c r="D35498" t="s">
        <v>823</v>
      </c>
      <c r="J35498">
        <v>2</v>
      </c>
    </row>
    <row r="35499" spans="1:10" x14ac:dyDescent="0.25">
      <c r="A35499" t="s">
        <v>387</v>
      </c>
      <c r="B35499" s="1" t="str">
        <f>HYPERLINK("http://regeneratenr5.fi","regeneratenr5.fi")</f>
        <v>regeneratenr5.fi</v>
      </c>
      <c r="C35499" t="s">
        <v>445</v>
      </c>
      <c r="D35499" t="s">
        <v>823</v>
      </c>
      <c r="J35499">
        <v>2</v>
      </c>
    </row>
    <row r="35500" spans="1:10" x14ac:dyDescent="0.25">
      <c r="A35500" t="s">
        <v>387</v>
      </c>
      <c r="B35500" s="1" t="str">
        <f>HYPERLINK("http://renskincare.fi","renskincare.fi")</f>
        <v>renskincare.fi</v>
      </c>
      <c r="C35500" t="s">
        <v>445</v>
      </c>
      <c r="D35500" t="s">
        <v>823</v>
      </c>
      <c r="J35500">
        <v>2</v>
      </c>
    </row>
    <row r="35501" spans="1:10" x14ac:dyDescent="0.25">
      <c r="A35501" t="s">
        <v>387</v>
      </c>
      <c r="B35501" s="1" t="str">
        <f>HYPERLINK("http://rexona.fi","rexona.fi")</f>
        <v>rexona.fi</v>
      </c>
      <c r="C35501" t="s">
        <v>445</v>
      </c>
      <c r="D35501" t="s">
        <v>823</v>
      </c>
      <c r="F35501">
        <v>4.5352221459751098E-9</v>
      </c>
      <c r="G35501">
        <v>53914946</v>
      </c>
      <c r="H35501">
        <v>13763635</v>
      </c>
      <c r="I35501">
        <v>8222506</v>
      </c>
      <c r="J35501">
        <v>2</v>
      </c>
    </row>
    <row r="35502" spans="1:10" x14ac:dyDescent="0.25">
      <c r="A35502" t="s">
        <v>387</v>
      </c>
      <c r="B35502" s="1" t="str">
        <f>HYPERLINK("http://rexonagirl.fi","rexonagirl.fi")</f>
        <v>rexonagirl.fi</v>
      </c>
      <c r="C35502" t="s">
        <v>445</v>
      </c>
      <c r="D35502" t="s">
        <v>823</v>
      </c>
      <c r="J35502">
        <v>2</v>
      </c>
    </row>
    <row r="35503" spans="1:10" x14ac:dyDescent="0.25">
      <c r="A35503" t="s">
        <v>387</v>
      </c>
      <c r="B35503" s="1" t="str">
        <f>HYPERLINK("http://seventhgeneration.fi","seventhgeneration.fi")</f>
        <v>seventhgeneration.fi</v>
      </c>
      <c r="C35503" t="s">
        <v>445</v>
      </c>
      <c r="D35503" t="s">
        <v>823</v>
      </c>
      <c r="F35503">
        <v>4.86197351012644E-9</v>
      </c>
      <c r="G35503">
        <v>33750775</v>
      </c>
      <c r="H35503">
        <v>12119496</v>
      </c>
      <c r="I35503">
        <v>25417458</v>
      </c>
      <c r="J35503">
        <v>2</v>
      </c>
    </row>
    <row r="35504" spans="1:10" x14ac:dyDescent="0.25">
      <c r="A35504" t="s">
        <v>387</v>
      </c>
      <c r="B35504" s="1" t="str">
        <f>HYPERLINK("http://sharehappy.fi","sharehappy.fi")</f>
        <v>sharehappy.fi</v>
      </c>
      <c r="C35504" t="s">
        <v>445</v>
      </c>
      <c r="D35504" t="s">
        <v>823</v>
      </c>
      <c r="J35504">
        <v>2</v>
      </c>
    </row>
    <row r="35505" spans="1:10" x14ac:dyDescent="0.25">
      <c r="A35505" t="s">
        <v>387</v>
      </c>
      <c r="B35505" s="1" t="str">
        <f>HYPERLINK("http://simpleskincare.fi","simpleskincare.fi")</f>
        <v>simpleskincare.fi</v>
      </c>
      <c r="C35505" t="s">
        <v>445</v>
      </c>
      <c r="D35505" t="s">
        <v>823</v>
      </c>
      <c r="J35505">
        <v>2</v>
      </c>
    </row>
    <row r="35506" spans="1:10" x14ac:dyDescent="0.25">
      <c r="A35506" t="s">
        <v>387</v>
      </c>
      <c r="B35506" s="1" t="str">
        <f>HYPERLINK("http://softis.fi","softis.fi")</f>
        <v>softis.fi</v>
      </c>
      <c r="C35506" t="s">
        <v>445</v>
      </c>
      <c r="D35506" t="s">
        <v>823</v>
      </c>
      <c r="J35506">
        <v>2</v>
      </c>
    </row>
    <row r="35507" spans="1:10" x14ac:dyDescent="0.25">
      <c r="A35507" t="s">
        <v>387</v>
      </c>
      <c r="B35507" s="1" t="str">
        <f>HYPERLINK("http://spiceice.fi","spiceice.fi")</f>
        <v>spiceice.fi</v>
      </c>
      <c r="C35507" t="s">
        <v>445</v>
      </c>
      <c r="D35507" t="s">
        <v>823</v>
      </c>
      <c r="F35507">
        <v>5.7785840123544898E-9</v>
      </c>
      <c r="G35507">
        <v>18258131</v>
      </c>
      <c r="H35507">
        <v>13934005</v>
      </c>
      <c r="I35507">
        <v>4643602</v>
      </c>
      <c r="J35507">
        <v>2</v>
      </c>
    </row>
    <row r="35508" spans="1:10" x14ac:dyDescent="0.25">
      <c r="A35508" t="s">
        <v>387</v>
      </c>
      <c r="B35508" s="1" t="str">
        <f>HYPERLINK("http://sunkonetiski.fi","sunkonetiski.fi")</f>
        <v>sunkonetiski.fi</v>
      </c>
      <c r="C35508" t="s">
        <v>445</v>
      </c>
      <c r="D35508" t="s">
        <v>823</v>
      </c>
      <c r="F35508">
        <v>4.44380395335525E-9</v>
      </c>
      <c r="G35508">
        <v>84784056</v>
      </c>
      <c r="H35508">
        <v>0</v>
      </c>
      <c r="I35508">
        <v>85899564</v>
      </c>
      <c r="J35508">
        <v>2</v>
      </c>
    </row>
    <row r="35509" spans="1:10" x14ac:dyDescent="0.25">
      <c r="A35509" t="s">
        <v>387</v>
      </c>
      <c r="B35509" s="1" t="str">
        <f>HYPERLINK("http://sunsilk.fi","sunsilk.fi")</f>
        <v>sunsilk.fi</v>
      </c>
      <c r="C35509" t="s">
        <v>445</v>
      </c>
      <c r="D35509" t="s">
        <v>823</v>
      </c>
      <c r="F35509">
        <v>4.6608594602142498E-9</v>
      </c>
      <c r="G35509">
        <v>43463162</v>
      </c>
      <c r="H35509">
        <v>13763635</v>
      </c>
      <c r="I35509">
        <v>8222687</v>
      </c>
      <c r="J35509">
        <v>2</v>
      </c>
    </row>
    <row r="35510" spans="1:10" x14ac:dyDescent="0.25">
      <c r="A35510" t="s">
        <v>387</v>
      </c>
      <c r="B35510" s="1" t="str">
        <f>HYPERLINK("http://surfpesuaine.fi","surfpesuaine.fi")</f>
        <v>surfpesuaine.fi</v>
      </c>
      <c r="C35510" t="s">
        <v>445</v>
      </c>
      <c r="D35510" t="s">
        <v>823</v>
      </c>
      <c r="J35510">
        <v>2</v>
      </c>
    </row>
    <row r="35511" spans="1:10" x14ac:dyDescent="0.25">
      <c r="A35511" t="s">
        <v>387</v>
      </c>
      <c r="B35511" s="1" t="str">
        <f>HYPERLINK("http://surfpyykinpesuaine.fi","surfpyykinpesuaine.fi")</f>
        <v>surfpyykinpesuaine.fi</v>
      </c>
      <c r="C35511" t="s">
        <v>445</v>
      </c>
      <c r="D35511" t="s">
        <v>823</v>
      </c>
      <c r="J35511">
        <v>2</v>
      </c>
    </row>
    <row r="35512" spans="1:10" x14ac:dyDescent="0.25">
      <c r="A35512" t="s">
        <v>387</v>
      </c>
      <c r="B35512" s="1" t="str">
        <f>HYPERLINK("http://tofuline.fi","tofuline.fi")</f>
        <v>tofuline.fi</v>
      </c>
      <c r="C35512" t="s">
        <v>445</v>
      </c>
      <c r="D35512" t="s">
        <v>823</v>
      </c>
      <c r="J35512">
        <v>2</v>
      </c>
    </row>
    <row r="35513" spans="1:10" x14ac:dyDescent="0.25">
      <c r="A35513" t="s">
        <v>387</v>
      </c>
      <c r="B35513" s="1" t="str">
        <f>HYPERLINK("http://tresemme.fi","tresemme.fi")</f>
        <v>tresemme.fi</v>
      </c>
      <c r="C35513" t="s">
        <v>445</v>
      </c>
      <c r="D35513" t="s">
        <v>823</v>
      </c>
      <c r="F35513">
        <v>4.5526259547062501E-9</v>
      </c>
      <c r="G35513">
        <v>51900782</v>
      </c>
      <c r="H35513">
        <v>13763634</v>
      </c>
      <c r="I35513">
        <v>8463103</v>
      </c>
      <c r="J35513">
        <v>2</v>
      </c>
    </row>
    <row r="35514" spans="1:10" x14ac:dyDescent="0.25">
      <c r="A35514" t="s">
        <v>387</v>
      </c>
      <c r="B35514" s="1" t="str">
        <f>HYPERLINK("http://turunsinappi.fi","turunsinappi.fi")</f>
        <v>turunsinappi.fi</v>
      </c>
      <c r="C35514" t="s">
        <v>445</v>
      </c>
      <c r="D35514" t="s">
        <v>823</v>
      </c>
      <c r="J35514">
        <v>2</v>
      </c>
    </row>
    <row r="35515" spans="1:10" x14ac:dyDescent="0.25">
      <c r="A35515" t="s">
        <v>387</v>
      </c>
      <c r="B35515" s="1" t="str">
        <f>HYPERLINK("http://turunsinappia.fi","turunsinappia.fi")</f>
        <v>turunsinappia.fi</v>
      </c>
      <c r="C35515" t="s">
        <v>445</v>
      </c>
      <c r="D35515" t="s">
        <v>823</v>
      </c>
      <c r="F35515">
        <v>5.1909638054503096E-9</v>
      </c>
      <c r="G35515">
        <v>25321119</v>
      </c>
      <c r="H35515">
        <v>13764443</v>
      </c>
      <c r="I35515">
        <v>7266332</v>
      </c>
      <c r="J35515">
        <v>2</v>
      </c>
    </row>
    <row r="35516" spans="1:10" x14ac:dyDescent="0.25">
      <c r="A35516" t="s">
        <v>387</v>
      </c>
      <c r="B35516" s="1" t="str">
        <f>HYPERLINK("http://ufs-walls.fi","ufs-walls.fi")</f>
        <v>ufs-walls.fi</v>
      </c>
      <c r="C35516" t="s">
        <v>445</v>
      </c>
      <c r="D35516" t="s">
        <v>823</v>
      </c>
      <c r="J35516">
        <v>2</v>
      </c>
    </row>
    <row r="35517" spans="1:10" x14ac:dyDescent="0.25">
      <c r="A35517" t="s">
        <v>387</v>
      </c>
      <c r="B35517" s="1" t="str">
        <f>HYPERLINK("http://unilever.fi","unilever.fi")</f>
        <v>unilever.fi</v>
      </c>
      <c r="C35517" t="s">
        <v>445</v>
      </c>
      <c r="D35517" t="s">
        <v>823</v>
      </c>
      <c r="F35517">
        <v>1.00744188321738E-7</v>
      </c>
      <c r="G35517">
        <v>399171</v>
      </c>
      <c r="H35517">
        <v>14490779</v>
      </c>
      <c r="I35517">
        <v>908675</v>
      </c>
      <c r="J35517">
        <v>2</v>
      </c>
    </row>
    <row r="35518" spans="1:10" x14ac:dyDescent="0.25">
      <c r="A35518" t="s">
        <v>387</v>
      </c>
      <c r="B35518" s="1" t="str">
        <f>HYPERLINK("http://unilever-careers.fi","unilever-careers.fi")</f>
        <v>unilever-careers.fi</v>
      </c>
      <c r="C35518" t="s">
        <v>445</v>
      </c>
      <c r="D35518" t="s">
        <v>823</v>
      </c>
      <c r="J35518">
        <v>2</v>
      </c>
    </row>
    <row r="35519" spans="1:10" x14ac:dyDescent="0.25">
      <c r="A35519" t="s">
        <v>387</v>
      </c>
      <c r="B35519" s="1" t="str">
        <f>HYPERLINK("http://unilever-foodsolutions.fi","unilever-foodsolutions.fi")</f>
        <v>unilever-foodsolutions.fi</v>
      </c>
      <c r="C35519" t="s">
        <v>445</v>
      </c>
      <c r="D35519" t="s">
        <v>823</v>
      </c>
      <c r="J35519">
        <v>2</v>
      </c>
    </row>
    <row r="35520" spans="1:10" x14ac:dyDescent="0.25">
      <c r="A35520" t="s">
        <v>387</v>
      </c>
      <c r="B35520" s="1" t="str">
        <f>HYPERLINK("http://unileverfoodsolutions.fi","unileverfoodsolutions.fi")</f>
        <v>unileverfoodsolutions.fi</v>
      </c>
      <c r="C35520" t="s">
        <v>445</v>
      </c>
      <c r="D35520" t="s">
        <v>823</v>
      </c>
      <c r="F35520">
        <v>1.9207691782215101E-8</v>
      </c>
      <c r="G35520">
        <v>2797439</v>
      </c>
      <c r="H35520">
        <v>14237254</v>
      </c>
      <c r="I35520">
        <v>1555813</v>
      </c>
      <c r="J35520">
        <v>2</v>
      </c>
    </row>
    <row r="35521" spans="1:10" x14ac:dyDescent="0.25">
      <c r="A35521" t="s">
        <v>387</v>
      </c>
      <c r="B35521" s="1" t="str">
        <f>HYPERLINK("http://unilover.fi","unilover.fi")</f>
        <v>unilover.fi</v>
      </c>
      <c r="C35521" t="s">
        <v>445</v>
      </c>
      <c r="D35521" t="s">
        <v>823</v>
      </c>
      <c r="J35521">
        <v>2</v>
      </c>
    </row>
    <row r="35522" spans="1:10" x14ac:dyDescent="0.25">
      <c r="A35522" t="s">
        <v>387</v>
      </c>
      <c r="B35522" s="1" t="str">
        <f>HYPERLINK("http://vaseline.fi","vaseline.fi")</f>
        <v>vaseline.fi</v>
      </c>
      <c r="C35522" t="s">
        <v>445</v>
      </c>
      <c r="D35522" t="s">
        <v>823</v>
      </c>
      <c r="F35522">
        <v>4.54339464138631E-9</v>
      </c>
      <c r="G35522">
        <v>52898763</v>
      </c>
      <c r="H35522">
        <v>13763633</v>
      </c>
      <c r="I35522">
        <v>9132955</v>
      </c>
      <c r="J35522">
        <v>2</v>
      </c>
    </row>
    <row r="35523" spans="1:10" x14ac:dyDescent="0.25">
      <c r="A35523" t="s">
        <v>387</v>
      </c>
      <c r="B35523" s="1" t="str">
        <f>HYPERLINK("http://vilvoitusjuoma.fi","vilvoitusjuoma.fi")</f>
        <v>vilvoitusjuoma.fi</v>
      </c>
      <c r="C35523" t="s">
        <v>445</v>
      </c>
      <c r="D35523" t="s">
        <v>823</v>
      </c>
      <c r="J35523">
        <v>2</v>
      </c>
    </row>
    <row r="35524" spans="1:10" x14ac:dyDescent="0.25">
      <c r="A35524" t="s">
        <v>387</v>
      </c>
      <c r="B35524" s="1" t="str">
        <f>HYPERLINK("http://worldbakingday.fi","worldbakingday.fi")</f>
        <v>worldbakingday.fi</v>
      </c>
      <c r="C35524" t="s">
        <v>445</v>
      </c>
      <c r="D35524" t="s">
        <v>823</v>
      </c>
      <c r="J35524">
        <v>2</v>
      </c>
    </row>
    <row r="35525" spans="1:10" x14ac:dyDescent="0.25">
      <c r="A35525" t="s">
        <v>387</v>
      </c>
      <c r="B35525" s="1" t="str">
        <f>HYPERLINK("http://zendium.fi","zendium.fi")</f>
        <v>zendium.fi</v>
      </c>
      <c r="C35525" t="s">
        <v>445</v>
      </c>
      <c r="D35525" t="s">
        <v>823</v>
      </c>
      <c r="F35525">
        <v>6.8327142987596598E-9</v>
      </c>
      <c r="G35525">
        <v>12853608</v>
      </c>
      <c r="H35525">
        <v>10867914</v>
      </c>
      <c r="I35525">
        <v>36537040</v>
      </c>
      <c r="J35525">
        <v>2</v>
      </c>
    </row>
    <row r="35526" spans="1:10" x14ac:dyDescent="0.25">
      <c r="A35526" t="s">
        <v>387</v>
      </c>
      <c r="B35526" s="1" t="str">
        <f>HYPERLINK("http://amora.fr","amora.fr")</f>
        <v>amora.fr</v>
      </c>
      <c r="C35526" t="s">
        <v>446</v>
      </c>
      <c r="D35526" t="s">
        <v>824</v>
      </c>
      <c r="F35526">
        <v>9.3938717167795292E-9</v>
      </c>
      <c r="G35526">
        <v>7452110</v>
      </c>
      <c r="H35526">
        <v>14124064</v>
      </c>
      <c r="I35526">
        <v>2155304</v>
      </c>
      <c r="J35526">
        <v>4</v>
      </c>
    </row>
    <row r="35527" spans="1:10" x14ac:dyDescent="0.25">
      <c r="A35527" t="s">
        <v>387</v>
      </c>
      <c r="B35527" s="1" t="str">
        <f>HYPERLINK("http://benjerry.fr","benjerry.fr")</f>
        <v>benjerry.fr</v>
      </c>
      <c r="C35527" t="s">
        <v>446</v>
      </c>
      <c r="D35527" t="s">
        <v>824</v>
      </c>
      <c r="F35527">
        <v>3.5256325291385001E-8</v>
      </c>
      <c r="G35527">
        <v>1474956</v>
      </c>
      <c r="H35527">
        <v>14169747</v>
      </c>
      <c r="I35527">
        <v>1806385</v>
      </c>
      <c r="J35527">
        <v>3</v>
      </c>
    </row>
    <row r="35528" spans="1:10" x14ac:dyDescent="0.25">
      <c r="A35528" t="s">
        <v>387</v>
      </c>
      <c r="B35528" s="1" t="str">
        <f>HYPERLINK("http://miko.fr","miko.fr")</f>
        <v>miko.fr</v>
      </c>
      <c r="C35528" t="s">
        <v>446</v>
      </c>
      <c r="D35528" t="s">
        <v>824</v>
      </c>
      <c r="F35528">
        <v>6.68345877993932E-9</v>
      </c>
      <c r="G35528">
        <v>13361753</v>
      </c>
      <c r="H35528">
        <v>14078267</v>
      </c>
      <c r="I35528">
        <v>2849634</v>
      </c>
      <c r="J35528">
        <v>3</v>
      </c>
    </row>
    <row r="35529" spans="1:10" x14ac:dyDescent="0.25">
      <c r="A35529" t="s">
        <v>387</v>
      </c>
      <c r="B35529" s="1" t="str">
        <f>HYPERLINK("http://paulaschoice.fr","paulaschoice.fr")</f>
        <v>paulaschoice.fr</v>
      </c>
      <c r="C35529" t="s">
        <v>446</v>
      </c>
      <c r="D35529" t="s">
        <v>824</v>
      </c>
      <c r="F35529">
        <v>4.2572457411293499E-8</v>
      </c>
      <c r="G35529">
        <v>1136852</v>
      </c>
      <c r="H35529">
        <v>13891218</v>
      </c>
      <c r="I35529">
        <v>5961377</v>
      </c>
      <c r="J35529">
        <v>4</v>
      </c>
    </row>
    <row r="35530" spans="1:10" x14ac:dyDescent="0.25">
      <c r="A35530" t="s">
        <v>387</v>
      </c>
      <c r="B35530" s="1" t="str">
        <f>HYPERLINK("http://unilever.fr","unilever.fr")</f>
        <v>unilever.fr</v>
      </c>
      <c r="C35530" t="s">
        <v>446</v>
      </c>
      <c r="D35530" t="s">
        <v>824</v>
      </c>
      <c r="F35530">
        <v>2.0093821950298801E-7</v>
      </c>
      <c r="G35530">
        <v>189485</v>
      </c>
      <c r="H35530">
        <v>14663607</v>
      </c>
      <c r="I35530">
        <v>618423</v>
      </c>
      <c r="J35530">
        <v>2</v>
      </c>
    </row>
    <row r="35531" spans="1:10" x14ac:dyDescent="0.25">
      <c r="A35531" t="s">
        <v>387</v>
      </c>
      <c r="B35531" s="1" t="str">
        <f>HYPERLINK("http://unileverfoodsolutions.fr","unileverfoodsolutions.fr")</f>
        <v>unileverfoodsolutions.fr</v>
      </c>
      <c r="C35531" t="s">
        <v>446</v>
      </c>
      <c r="D35531" t="s">
        <v>824</v>
      </c>
      <c r="F35531">
        <v>2.37843940034278E-8</v>
      </c>
      <c r="G35531">
        <v>2184738</v>
      </c>
      <c r="H35531">
        <v>14072590</v>
      </c>
      <c r="I35531">
        <v>3069274</v>
      </c>
      <c r="J35531">
        <v>3</v>
      </c>
    </row>
    <row r="35532" spans="1:10" x14ac:dyDescent="0.25">
      <c r="A35532" t="s">
        <v>387</v>
      </c>
      <c r="B35532" s="1" t="str">
        <f>HYPERLINK("http://zendium.fr","zendium.fr")</f>
        <v>zendium.fr</v>
      </c>
      <c r="C35532" t="s">
        <v>446</v>
      </c>
      <c r="D35532" t="s">
        <v>824</v>
      </c>
      <c r="F35532">
        <v>1.3991297224869499E-8</v>
      </c>
      <c r="G35532">
        <v>4205985</v>
      </c>
      <c r="H35532">
        <v>12201738</v>
      </c>
      <c r="I35532">
        <v>23273306</v>
      </c>
      <c r="J35532">
        <v>3</v>
      </c>
    </row>
    <row r="35533" spans="1:10" x14ac:dyDescent="0.25">
      <c r="A35533" t="s">
        <v>387</v>
      </c>
      <c r="B35533" s="1" t="str">
        <f>HYPERLINK("http://sharehappy.gr","sharehappy.gr")</f>
        <v>sharehappy.gr</v>
      </c>
      <c r="C35533" t="s">
        <v>447</v>
      </c>
      <c r="D35533" t="s">
        <v>825</v>
      </c>
      <c r="E35533">
        <v>895895</v>
      </c>
      <c r="F35533">
        <v>4.7705296321209602E-8</v>
      </c>
      <c r="G35533">
        <v>975749</v>
      </c>
      <c r="H35533">
        <v>12185387</v>
      </c>
      <c r="I35533">
        <v>23686359</v>
      </c>
      <c r="J35533">
        <v>5</v>
      </c>
    </row>
    <row r="35534" spans="1:10" x14ac:dyDescent="0.25">
      <c r="A35534" t="s">
        <v>387</v>
      </c>
      <c r="B35534" s="1" t="str">
        <f>HYPERLINK("http://unilever.gr","unilever.gr")</f>
        <v>unilever.gr</v>
      </c>
      <c r="C35534" t="s">
        <v>447</v>
      </c>
      <c r="D35534" t="s">
        <v>825</v>
      </c>
      <c r="F35534">
        <v>1.0056384743177501E-7</v>
      </c>
      <c r="G35534">
        <v>399893</v>
      </c>
      <c r="H35534">
        <v>14381397</v>
      </c>
      <c r="I35534">
        <v>1191681</v>
      </c>
      <c r="J35534">
        <v>2</v>
      </c>
    </row>
    <row r="35535" spans="1:10" x14ac:dyDescent="0.25">
      <c r="A35535" t="s">
        <v>387</v>
      </c>
      <c r="B35535" s="1" t="str">
        <f>HYPERLINK("http://unileverfoodsolutions.gr","unileverfoodsolutions.gr")</f>
        <v>unileverfoodsolutions.gr</v>
      </c>
      <c r="C35535" t="s">
        <v>447</v>
      </c>
      <c r="D35535" t="s">
        <v>825</v>
      </c>
      <c r="F35535">
        <v>2.1332167967463101E-8</v>
      </c>
      <c r="G35535">
        <v>2470167</v>
      </c>
      <c r="H35535">
        <v>12340167</v>
      </c>
      <c r="I35535">
        <v>19998875</v>
      </c>
      <c r="J35535">
        <v>3</v>
      </c>
    </row>
    <row r="35536" spans="1:10" x14ac:dyDescent="0.25">
      <c r="A35536" t="s">
        <v>387</v>
      </c>
      <c r="B35536" s="1" t="str">
        <f>HYPERLINK("http://zendium.gr","zendium.gr")</f>
        <v>zendium.gr</v>
      </c>
      <c r="C35536" t="s">
        <v>447</v>
      </c>
      <c r="D35536" t="s">
        <v>825</v>
      </c>
      <c r="F35536">
        <v>7.5129821611553306E-9</v>
      </c>
      <c r="G35536">
        <v>10984174</v>
      </c>
      <c r="H35536">
        <v>10965247</v>
      </c>
      <c r="I35536">
        <v>34238047</v>
      </c>
      <c r="J35536">
        <v>4</v>
      </c>
    </row>
    <row r="35537" spans="1:10" x14ac:dyDescent="0.25">
      <c r="A35537" t="s">
        <v>387</v>
      </c>
      <c r="B35537" s="1" t="str">
        <f>HYPERLINK("http://dermalogica.com.hk","dermalogica.com.hk")</f>
        <v>dermalogica.com.hk</v>
      </c>
      <c r="C35537" t="s">
        <v>450</v>
      </c>
      <c r="D35537" t="s">
        <v>827</v>
      </c>
      <c r="F35537">
        <v>8.4746703397572092E-9</v>
      </c>
      <c r="G35537">
        <v>8893959</v>
      </c>
      <c r="H35537">
        <v>14119944</v>
      </c>
      <c r="I35537">
        <v>2413483</v>
      </c>
      <c r="J35537">
        <v>4</v>
      </c>
    </row>
    <row r="35538" spans="1:10" x14ac:dyDescent="0.25">
      <c r="A35538" t="s">
        <v>387</v>
      </c>
      <c r="B35538" s="1" t="str">
        <f>HYPERLINK("http://unilever.com.hk","unilever.com.hk")</f>
        <v>unilever.com.hk</v>
      </c>
      <c r="C35538" t="s">
        <v>450</v>
      </c>
      <c r="D35538" t="s">
        <v>827</v>
      </c>
      <c r="F35538">
        <v>4.1402634317705097E-8</v>
      </c>
      <c r="G35538">
        <v>1208150</v>
      </c>
      <c r="H35538">
        <v>12607360</v>
      </c>
      <c r="I35538">
        <v>16255965</v>
      </c>
      <c r="J35538">
        <v>2</v>
      </c>
    </row>
    <row r="35539" spans="1:10" x14ac:dyDescent="0.25">
      <c r="A35539" t="s">
        <v>387</v>
      </c>
      <c r="B35539" s="1" t="str">
        <f>HYPERLINK("http://paulaschoice.hk","paulaschoice.hk")</f>
        <v>paulaschoice.hk</v>
      </c>
      <c r="C35539" t="s">
        <v>450</v>
      </c>
      <c r="D35539" t="s">
        <v>827</v>
      </c>
      <c r="F35539">
        <v>3.3411067464406902E-8</v>
      </c>
      <c r="G35539">
        <v>1547109</v>
      </c>
      <c r="H35539">
        <v>13503041</v>
      </c>
      <c r="I35539">
        <v>9966426</v>
      </c>
      <c r="J35539">
        <v>4</v>
      </c>
    </row>
    <row r="35540" spans="1:10" x14ac:dyDescent="0.25">
      <c r="A35540" t="s">
        <v>387</v>
      </c>
      <c r="B35540" s="1" t="str">
        <f>HYPERLINK("http://unileverfoodsolutions.hk","unileverfoodsolutions.hk")</f>
        <v>unileverfoodsolutions.hk</v>
      </c>
      <c r="C35540" t="s">
        <v>450</v>
      </c>
      <c r="D35540" t="s">
        <v>827</v>
      </c>
      <c r="F35540">
        <v>1.5154592950124399E-8</v>
      </c>
      <c r="G35540">
        <v>3790188</v>
      </c>
      <c r="H35540">
        <v>14236953</v>
      </c>
      <c r="I35540">
        <v>1564383</v>
      </c>
      <c r="J35540">
        <v>3</v>
      </c>
    </row>
    <row r="35541" spans="1:10" x14ac:dyDescent="0.25">
      <c r="A35541" t="s">
        <v>387</v>
      </c>
      <c r="B35541" s="1" t="str">
        <f>HYPERLINK("http://dermalogica.hr","dermalogica.hr")</f>
        <v>dermalogica.hr</v>
      </c>
      <c r="C35541" t="s">
        <v>452</v>
      </c>
      <c r="D35541" t="s">
        <v>829</v>
      </c>
      <c r="F35541">
        <v>1.19792448838683E-8</v>
      </c>
      <c r="G35541">
        <v>5189334</v>
      </c>
      <c r="H35541">
        <v>13765446</v>
      </c>
      <c r="I35541">
        <v>7102903</v>
      </c>
      <c r="J35541">
        <v>4</v>
      </c>
    </row>
    <row r="35542" spans="1:10" x14ac:dyDescent="0.25">
      <c r="A35542" t="s">
        <v>387</v>
      </c>
      <c r="B35542" s="1" t="str">
        <f>HYPERLINK("http://unilever.hr","unilever.hr")</f>
        <v>unilever.hr</v>
      </c>
      <c r="C35542" t="s">
        <v>452</v>
      </c>
      <c r="D35542" t="s">
        <v>829</v>
      </c>
      <c r="F35542">
        <v>2.9222049490082299E-8</v>
      </c>
      <c r="G35542">
        <v>1762638</v>
      </c>
      <c r="H35542">
        <v>12581423</v>
      </c>
      <c r="I35542">
        <v>16493237</v>
      </c>
      <c r="J35542">
        <v>2</v>
      </c>
    </row>
    <row r="35543" spans="1:10" x14ac:dyDescent="0.25">
      <c r="A35543" t="s">
        <v>387</v>
      </c>
      <c r="B35543" s="1" t="str">
        <f>HYPERLINK("http://unileverfoodsolutions.hr","unileverfoodsolutions.hr")</f>
        <v>unileverfoodsolutions.hr</v>
      </c>
      <c r="C35543" t="s">
        <v>452</v>
      </c>
      <c r="D35543" t="s">
        <v>829</v>
      </c>
      <c r="F35543">
        <v>1.31730840660522E-8</v>
      </c>
      <c r="G35543">
        <v>4550383</v>
      </c>
      <c r="H35543">
        <v>12190431</v>
      </c>
      <c r="I35543">
        <v>23576124</v>
      </c>
      <c r="J35543">
        <v>3</v>
      </c>
    </row>
    <row r="35544" spans="1:10" x14ac:dyDescent="0.25">
      <c r="A35544" t="s">
        <v>387</v>
      </c>
      <c r="B35544" s="1" t="str">
        <f>HYPERLINK("http://unilever.hu","unilever.hu")</f>
        <v>unilever.hu</v>
      </c>
      <c r="C35544" t="s">
        <v>453</v>
      </c>
      <c r="D35544" t="s">
        <v>830</v>
      </c>
      <c r="F35544">
        <v>7.9700710739457302E-8</v>
      </c>
      <c r="G35544">
        <v>524152</v>
      </c>
      <c r="H35544">
        <v>14074640</v>
      </c>
      <c r="I35544">
        <v>2934895</v>
      </c>
      <c r="J35544">
        <v>2</v>
      </c>
    </row>
    <row r="35545" spans="1:10" x14ac:dyDescent="0.25">
      <c r="A35545" t="s">
        <v>387</v>
      </c>
      <c r="B35545" s="1" t="str">
        <f>HYPERLINK("http://unileverfoodsolutions.hu","unileverfoodsolutions.hu")</f>
        <v>unileverfoodsolutions.hu</v>
      </c>
      <c r="C35545" t="s">
        <v>453</v>
      </c>
      <c r="D35545" t="s">
        <v>830</v>
      </c>
      <c r="F35545">
        <v>1.5122064386232802E-8</v>
      </c>
      <c r="G35545">
        <v>3800682</v>
      </c>
      <c r="H35545">
        <v>12261193</v>
      </c>
      <c r="I35545">
        <v>21739000</v>
      </c>
      <c r="J35545">
        <v>3</v>
      </c>
    </row>
    <row r="35546" spans="1:10" x14ac:dyDescent="0.25">
      <c r="A35546" t="s">
        <v>387</v>
      </c>
      <c r="B35546" s="1" t="str">
        <f>HYPERLINK("http://axe.co.id","axe.co.id")</f>
        <v>axe.co.id</v>
      </c>
      <c r="C35546" t="s">
        <v>454</v>
      </c>
      <c r="D35546" t="s">
        <v>831</v>
      </c>
      <c r="F35546">
        <v>4.69165377589078E-9</v>
      </c>
      <c r="G35546">
        <v>41705223</v>
      </c>
      <c r="H35546">
        <v>13763635</v>
      </c>
      <c r="I35546">
        <v>8226235</v>
      </c>
      <c r="J35546">
        <v>5</v>
      </c>
    </row>
    <row r="35547" spans="1:10" x14ac:dyDescent="0.25">
      <c r="A35547" t="s">
        <v>387</v>
      </c>
      <c r="B35547" s="1" t="str">
        <f>HYPERLINK("http://dermalogica.co.id","dermalogica.co.id")</f>
        <v>dermalogica.co.id</v>
      </c>
      <c r="C35547" t="s">
        <v>454</v>
      </c>
      <c r="D35547" t="s">
        <v>831</v>
      </c>
      <c r="F35547">
        <v>7.8994708874449001E-9</v>
      </c>
      <c r="G35547">
        <v>10112912</v>
      </c>
      <c r="H35547">
        <v>11094616</v>
      </c>
      <c r="I35547">
        <v>32337068</v>
      </c>
      <c r="J35547">
        <v>4</v>
      </c>
    </row>
    <row r="35548" spans="1:10" x14ac:dyDescent="0.25">
      <c r="A35548" t="s">
        <v>387</v>
      </c>
      <c r="B35548" s="1" t="str">
        <f>HYPERLINK("http://unilever.co.id","unilever.co.id")</f>
        <v>unilever.co.id</v>
      </c>
      <c r="C35548" t="s">
        <v>454</v>
      </c>
      <c r="D35548" t="s">
        <v>831</v>
      </c>
      <c r="E35548">
        <v>705614</v>
      </c>
      <c r="F35548">
        <v>1.21774813128584E-7</v>
      </c>
      <c r="G35548">
        <v>324282</v>
      </c>
      <c r="H35548">
        <v>14512455</v>
      </c>
      <c r="I35548">
        <v>819200</v>
      </c>
      <c r="J35548">
        <v>2</v>
      </c>
    </row>
    <row r="35549" spans="1:10" x14ac:dyDescent="0.25">
      <c r="A35549" t="s">
        <v>387</v>
      </c>
      <c r="B35549" s="1" t="str">
        <f>HYPERLINK("http://unileverfoodsolutions.co.id","unileverfoodsolutions.co.id")</f>
        <v>unileverfoodsolutions.co.id</v>
      </c>
      <c r="C35549" t="s">
        <v>454</v>
      </c>
      <c r="D35549" t="s">
        <v>831</v>
      </c>
      <c r="F35549">
        <v>6.5134504660855405E-8</v>
      </c>
      <c r="G35549">
        <v>661186</v>
      </c>
      <c r="H35549">
        <v>14149235</v>
      </c>
      <c r="I35549">
        <v>1882163</v>
      </c>
      <c r="J35549">
        <v>3</v>
      </c>
    </row>
    <row r="35550" spans="1:10" x14ac:dyDescent="0.25">
      <c r="A35550" t="s">
        <v>387</v>
      </c>
      <c r="B35550" s="1" t="str">
        <f>HYPERLINK("http://benjerry.ie","benjerry.ie")</f>
        <v>benjerry.ie</v>
      </c>
      <c r="C35550" t="s">
        <v>455</v>
      </c>
      <c r="D35550" t="s">
        <v>832</v>
      </c>
      <c r="F35550">
        <v>1.52293075937398E-8</v>
      </c>
      <c r="G35550">
        <v>3767040</v>
      </c>
      <c r="H35550">
        <v>13880682</v>
      </c>
      <c r="I35550">
        <v>5982821</v>
      </c>
      <c r="J35550">
        <v>3</v>
      </c>
    </row>
    <row r="35551" spans="1:10" x14ac:dyDescent="0.25">
      <c r="A35551" t="s">
        <v>387</v>
      </c>
      <c r="B35551" s="1" t="str">
        <f>HYPERLINK("http://dermalogica.ie","dermalogica.ie")</f>
        <v>dermalogica.ie</v>
      </c>
      <c r="C35551" t="s">
        <v>455</v>
      </c>
      <c r="D35551" t="s">
        <v>832</v>
      </c>
      <c r="F35551">
        <v>2.79775935024355E-8</v>
      </c>
      <c r="G35551">
        <v>1838679</v>
      </c>
      <c r="H35551">
        <v>12806903</v>
      </c>
      <c r="I35551">
        <v>14604049</v>
      </c>
      <c r="J35551">
        <v>4</v>
      </c>
    </row>
    <row r="35552" spans="1:10" x14ac:dyDescent="0.25">
      <c r="A35552" t="s">
        <v>387</v>
      </c>
      <c r="B35552" s="1" t="str">
        <f>HYPERLINK("http://lyonstea.ie","lyonstea.ie")</f>
        <v>lyonstea.ie</v>
      </c>
      <c r="C35552" t="s">
        <v>455</v>
      </c>
      <c r="D35552" t="s">
        <v>832</v>
      </c>
      <c r="E35552">
        <v>479190</v>
      </c>
      <c r="F35552">
        <v>2.15525067914167E-8</v>
      </c>
      <c r="G35552">
        <v>2442532</v>
      </c>
      <c r="H35552">
        <v>13780631</v>
      </c>
      <c r="I35552">
        <v>6469094</v>
      </c>
      <c r="J35552">
        <v>4</v>
      </c>
    </row>
    <row r="35553" spans="1:10" x14ac:dyDescent="0.25">
      <c r="A35553" t="s">
        <v>387</v>
      </c>
      <c r="B35553" s="1" t="str">
        <f>HYPERLINK("http://unilever.ie","unilever.ie")</f>
        <v>unilever.ie</v>
      </c>
      <c r="C35553" t="s">
        <v>455</v>
      </c>
      <c r="D35553" t="s">
        <v>832</v>
      </c>
      <c r="F35553">
        <v>4.6741986177747797E-8</v>
      </c>
      <c r="G35553">
        <v>999546</v>
      </c>
      <c r="H35553">
        <v>14072644</v>
      </c>
      <c r="I35553">
        <v>3062910</v>
      </c>
      <c r="J35553">
        <v>2</v>
      </c>
    </row>
    <row r="35554" spans="1:10" x14ac:dyDescent="0.25">
      <c r="A35554" t="s">
        <v>387</v>
      </c>
      <c r="B35554" s="1" t="str">
        <f>HYPERLINK("http://unileverfoodsolutions.ie","unileverfoodsolutions.ie")</f>
        <v>unileverfoodsolutions.ie</v>
      </c>
      <c r="C35554" t="s">
        <v>455</v>
      </c>
      <c r="D35554" t="s">
        <v>832</v>
      </c>
      <c r="F35554">
        <v>2.4338759184328901E-8</v>
      </c>
      <c r="G35554">
        <v>2130145</v>
      </c>
      <c r="H35554">
        <v>12660425</v>
      </c>
      <c r="I35554">
        <v>15718907</v>
      </c>
      <c r="J35554">
        <v>3</v>
      </c>
    </row>
    <row r="35555" spans="1:10" x14ac:dyDescent="0.25">
      <c r="A35555" t="s">
        <v>387</v>
      </c>
      <c r="B35555" s="1" t="str">
        <f>HYPERLINK("http://benjerry.co.il","benjerry.co.il")</f>
        <v>benjerry.co.il</v>
      </c>
      <c r="C35555" t="s">
        <v>456</v>
      </c>
      <c r="D35555" t="s">
        <v>833</v>
      </c>
      <c r="F35555">
        <v>1.13886016344731E-8</v>
      </c>
      <c r="G35555">
        <v>5581924</v>
      </c>
      <c r="H35555">
        <v>14487521</v>
      </c>
      <c r="I35555">
        <v>946244</v>
      </c>
      <c r="J35555">
        <v>3</v>
      </c>
    </row>
    <row r="35556" spans="1:10" x14ac:dyDescent="0.25">
      <c r="A35556" t="s">
        <v>387</v>
      </c>
      <c r="B35556" s="1" t="str">
        <f>HYPERLINK("http://unilever.co.il","unilever.co.il")</f>
        <v>unilever.co.il</v>
      </c>
      <c r="C35556" t="s">
        <v>456</v>
      </c>
      <c r="D35556" t="s">
        <v>833</v>
      </c>
      <c r="F35556">
        <v>4.67795337406593E-8</v>
      </c>
      <c r="G35556">
        <v>998575</v>
      </c>
      <c r="H35556">
        <v>14237890</v>
      </c>
      <c r="I35556">
        <v>1538275</v>
      </c>
      <c r="J35556">
        <v>2</v>
      </c>
    </row>
    <row r="35557" spans="1:10" x14ac:dyDescent="0.25">
      <c r="A35557" t="s">
        <v>387</v>
      </c>
      <c r="B35557" s="1" t="str">
        <f>HYPERLINK("http://unileverfoodsolutions.co.il","unileverfoodsolutions.co.il")</f>
        <v>unileverfoodsolutions.co.il</v>
      </c>
      <c r="C35557" t="s">
        <v>456</v>
      </c>
      <c r="D35557" t="s">
        <v>833</v>
      </c>
      <c r="F35557">
        <v>1.32259764899877E-8</v>
      </c>
      <c r="G35557">
        <v>4526737</v>
      </c>
      <c r="H35557">
        <v>12192425</v>
      </c>
      <c r="I35557">
        <v>23524852</v>
      </c>
      <c r="J35557">
        <v>3</v>
      </c>
    </row>
    <row r="35558" spans="1:10" x14ac:dyDescent="0.25">
      <c r="A35558" t="s">
        <v>387</v>
      </c>
      <c r="B35558" s="1" t="str">
        <f>HYPERLINK("http://hul.co.in","hul.co.in")</f>
        <v>hul.co.in</v>
      </c>
      <c r="C35558" t="s">
        <v>457</v>
      </c>
      <c r="D35558" t="s">
        <v>834</v>
      </c>
      <c r="E35558">
        <v>228277</v>
      </c>
      <c r="F35558">
        <v>2.94607976013104E-7</v>
      </c>
      <c r="G35558">
        <v>126312</v>
      </c>
      <c r="H35558">
        <v>15033956</v>
      </c>
      <c r="I35558">
        <v>417793</v>
      </c>
      <c r="J35558">
        <v>3</v>
      </c>
    </row>
    <row r="35559" spans="1:10" x14ac:dyDescent="0.25">
      <c r="A35559" t="s">
        <v>387</v>
      </c>
      <c r="B35559" s="1" t="str">
        <f>HYPERLINK("http://unileverfoodsolutions.co.in","unileverfoodsolutions.co.in")</f>
        <v>unileverfoodsolutions.co.in</v>
      </c>
      <c r="C35559" t="s">
        <v>457</v>
      </c>
      <c r="D35559" t="s">
        <v>834</v>
      </c>
      <c r="F35559">
        <v>1.48971244811006E-8</v>
      </c>
      <c r="G35559">
        <v>3873489</v>
      </c>
      <c r="H35559">
        <v>13566139</v>
      </c>
      <c r="I35559">
        <v>9760155</v>
      </c>
      <c r="J35559">
        <v>4</v>
      </c>
    </row>
    <row r="35560" spans="1:10" x14ac:dyDescent="0.25">
      <c r="A35560" t="s">
        <v>387</v>
      </c>
      <c r="B35560" s="1" t="str">
        <f>HYPERLINK("http://fitcircle.in","fitcircle.in")</f>
        <v>fitcircle.in</v>
      </c>
      <c r="C35560" t="s">
        <v>457</v>
      </c>
      <c r="D35560" t="s">
        <v>834</v>
      </c>
      <c r="F35560">
        <v>6.4886938011244001E-9</v>
      </c>
      <c r="G35560">
        <v>14125428</v>
      </c>
      <c r="H35560">
        <v>12291136</v>
      </c>
      <c r="I35560">
        <v>21087458</v>
      </c>
      <c r="J35560">
        <v>6</v>
      </c>
    </row>
    <row r="35561" spans="1:10" x14ac:dyDescent="0.25">
      <c r="A35561" t="s">
        <v>387</v>
      </c>
      <c r="B35561" s="1" t="str">
        <f>HYPERLINK("http://knorr.in","knorr.in")</f>
        <v>knorr.in</v>
      </c>
      <c r="C35561" t="s">
        <v>457</v>
      </c>
      <c r="D35561" t="s">
        <v>834</v>
      </c>
      <c r="F35561">
        <v>9.9359527342534005E-9</v>
      </c>
      <c r="G35561">
        <v>6821006</v>
      </c>
      <c r="H35561">
        <v>14071801</v>
      </c>
      <c r="I35561">
        <v>3318332</v>
      </c>
      <c r="J35561">
        <v>5</v>
      </c>
    </row>
    <row r="35562" spans="1:10" x14ac:dyDescent="0.25">
      <c r="A35562" t="s">
        <v>387</v>
      </c>
      <c r="B35562" s="1" t="str">
        <f>HYPERLINK("http://kwalitywalls.in","kwalitywalls.in")</f>
        <v>kwalitywalls.in</v>
      </c>
      <c r="C35562" t="s">
        <v>457</v>
      </c>
      <c r="D35562" t="s">
        <v>834</v>
      </c>
      <c r="E35562">
        <v>421420</v>
      </c>
      <c r="F35562">
        <v>4.3332720832318898E-8</v>
      </c>
      <c r="G35562">
        <v>1105649</v>
      </c>
      <c r="H35562">
        <v>13230777</v>
      </c>
      <c r="I35562">
        <v>11274676</v>
      </c>
      <c r="J35562">
        <v>4</v>
      </c>
    </row>
    <row r="35563" spans="1:10" x14ac:dyDescent="0.25">
      <c r="A35563" t="s">
        <v>387</v>
      </c>
      <c r="B35563" s="1" t="str">
        <f>HYPERLINK("http://oziva.in","oziva.in")</f>
        <v>oziva.in</v>
      </c>
      <c r="C35563" t="s">
        <v>457</v>
      </c>
      <c r="D35563" t="s">
        <v>834</v>
      </c>
      <c r="E35563">
        <v>379254</v>
      </c>
      <c r="F35563">
        <v>3.5185706631340203E-8</v>
      </c>
      <c r="G35563">
        <v>1477531</v>
      </c>
      <c r="H35563">
        <v>13574904</v>
      </c>
      <c r="I35563">
        <v>9704806</v>
      </c>
      <c r="J35563">
        <v>3</v>
      </c>
    </row>
    <row r="35564" spans="1:10" x14ac:dyDescent="0.25">
      <c r="A35564" t="s">
        <v>387</v>
      </c>
      <c r="B35564" s="1" t="str">
        <f>HYPERLINK("http://paulaschoice.in","paulaschoice.in")</f>
        <v>paulaschoice.in</v>
      </c>
      <c r="C35564" t="s">
        <v>457</v>
      </c>
      <c r="D35564" t="s">
        <v>834</v>
      </c>
      <c r="F35564">
        <v>1.7943210786694299E-8</v>
      </c>
      <c r="G35564">
        <v>3044386</v>
      </c>
      <c r="H35564">
        <v>11078386</v>
      </c>
      <c r="I35564">
        <v>32498773</v>
      </c>
      <c r="J35564">
        <v>4</v>
      </c>
    </row>
    <row r="35565" spans="1:10" x14ac:dyDescent="0.25">
      <c r="A35565" t="s">
        <v>387</v>
      </c>
      <c r="B35565" s="1" t="str">
        <f>HYPERLINK("http://pepsodent.in","pepsodent.in")</f>
        <v>pepsodent.in</v>
      </c>
      <c r="C35565" t="s">
        <v>457</v>
      </c>
      <c r="D35565" t="s">
        <v>834</v>
      </c>
      <c r="F35565">
        <v>3.9527418807939202E-8</v>
      </c>
      <c r="G35565">
        <v>1306067</v>
      </c>
      <c r="H35565">
        <v>12390804</v>
      </c>
      <c r="I35565">
        <v>19018990</v>
      </c>
      <c r="J35565">
        <v>3</v>
      </c>
    </row>
    <row r="35566" spans="1:10" x14ac:dyDescent="0.25">
      <c r="A35566" t="s">
        <v>387</v>
      </c>
      <c r="B35566" s="1" t="str">
        <f>HYPERLINK("http://oziva.info","oziva.info")</f>
        <v>oziva.info</v>
      </c>
      <c r="C35566" t="s">
        <v>458</v>
      </c>
      <c r="F35566">
        <v>1.7860373359167102E-8</v>
      </c>
      <c r="G35566">
        <v>3061833</v>
      </c>
      <c r="H35566">
        <v>13565936</v>
      </c>
      <c r="I35566">
        <v>9765994</v>
      </c>
      <c r="J35566">
        <v>4</v>
      </c>
    </row>
    <row r="35567" spans="1:10" x14ac:dyDescent="0.25">
      <c r="A35567" t="s">
        <v>387</v>
      </c>
      <c r="B35567" s="1" t="str">
        <f>HYPERLINK("http://unilever.ir","unilever.ir")</f>
        <v>unilever.ir</v>
      </c>
      <c r="C35567" t="s">
        <v>751</v>
      </c>
      <c r="D35567" t="s">
        <v>1010</v>
      </c>
      <c r="F35567">
        <v>3.8661976947190998E-8</v>
      </c>
      <c r="G35567">
        <v>1333534</v>
      </c>
      <c r="H35567">
        <v>12600159</v>
      </c>
      <c r="I35567">
        <v>16324880</v>
      </c>
      <c r="J35567">
        <v>2</v>
      </c>
    </row>
    <row r="35568" spans="1:10" x14ac:dyDescent="0.25">
      <c r="A35568" t="s">
        <v>387</v>
      </c>
      <c r="B35568" s="1" t="str">
        <f>HYPERLINK("http://unileveriran.ir","unileveriran.ir")</f>
        <v>unileveriran.ir</v>
      </c>
      <c r="C35568" t="s">
        <v>751</v>
      </c>
      <c r="D35568" t="s">
        <v>1010</v>
      </c>
      <c r="F35568">
        <v>7.3756590581363998E-9</v>
      </c>
      <c r="G35568">
        <v>11300880</v>
      </c>
      <c r="H35568">
        <v>12224402</v>
      </c>
      <c r="I35568">
        <v>22672019</v>
      </c>
      <c r="J35568">
        <v>3</v>
      </c>
    </row>
    <row r="35569" spans="1:10" x14ac:dyDescent="0.25">
      <c r="A35569" t="s">
        <v>387</v>
      </c>
      <c r="B35569" s="1" t="str">
        <f>HYPERLINK("http://benjerry.it","benjerry.it")</f>
        <v>benjerry.it</v>
      </c>
      <c r="C35569" t="s">
        <v>459</v>
      </c>
      <c r="D35569" t="s">
        <v>835</v>
      </c>
      <c r="F35569">
        <v>1.1640724319689701E-8</v>
      </c>
      <c r="G35569">
        <v>5405536</v>
      </c>
      <c r="H35569">
        <v>13767235</v>
      </c>
      <c r="I35569">
        <v>6946179</v>
      </c>
      <c r="J35569">
        <v>3</v>
      </c>
    </row>
    <row r="35570" spans="1:10" x14ac:dyDescent="0.25">
      <c r="A35570" t="s">
        <v>387</v>
      </c>
      <c r="B35570" s="1" t="str">
        <f>HYPERLINK("http://calve.it","calve.it")</f>
        <v>calve.it</v>
      </c>
      <c r="C35570" t="s">
        <v>459</v>
      </c>
      <c r="D35570" t="s">
        <v>835</v>
      </c>
      <c r="F35570">
        <v>7.6623537012515901E-9</v>
      </c>
      <c r="G35570">
        <v>10659443</v>
      </c>
      <c r="H35570">
        <v>13768548</v>
      </c>
      <c r="I35570">
        <v>6868292</v>
      </c>
      <c r="J35570">
        <v>5</v>
      </c>
    </row>
    <row r="35571" spans="1:10" x14ac:dyDescent="0.25">
      <c r="A35571" t="s">
        <v>387</v>
      </c>
      <c r="B35571" s="1" t="str">
        <f>HYPERLINK("http://dermalogica.it","dermalogica.it")</f>
        <v>dermalogica.it</v>
      </c>
      <c r="C35571" t="s">
        <v>459</v>
      </c>
      <c r="D35571" t="s">
        <v>835</v>
      </c>
      <c r="F35571">
        <v>2.3145343325986701E-8</v>
      </c>
      <c r="G35571">
        <v>2255051</v>
      </c>
      <c r="H35571">
        <v>13136923</v>
      </c>
      <c r="I35571">
        <v>11900174</v>
      </c>
      <c r="J35571">
        <v>4</v>
      </c>
    </row>
    <row r="35572" spans="1:10" x14ac:dyDescent="0.25">
      <c r="A35572" t="s">
        <v>387</v>
      </c>
      <c r="B35572" s="1" t="str">
        <f>HYPERLINK("http://equilibra.it","equilibra.it")</f>
        <v>equilibra.it</v>
      </c>
      <c r="C35572" t="s">
        <v>459</v>
      </c>
      <c r="D35572" t="s">
        <v>835</v>
      </c>
      <c r="F35572">
        <v>2.7452725888557999E-8</v>
      </c>
      <c r="G35572">
        <v>1872609</v>
      </c>
      <c r="H35572">
        <v>14493772</v>
      </c>
      <c r="I35572">
        <v>885789</v>
      </c>
      <c r="J35572">
        <v>3</v>
      </c>
    </row>
    <row r="35573" spans="1:10" x14ac:dyDescent="0.25">
      <c r="A35573" t="s">
        <v>387</v>
      </c>
      <c r="B35573" s="1" t="str">
        <f>HYPERLINK("http://grom.it","grom.it")</f>
        <v>grom.it</v>
      </c>
      <c r="C35573" t="s">
        <v>459</v>
      </c>
      <c r="D35573" t="s">
        <v>835</v>
      </c>
      <c r="E35573">
        <v>370735</v>
      </c>
      <c r="F35573">
        <v>9.1096077455190899E-8</v>
      </c>
      <c r="G35573">
        <v>447539</v>
      </c>
      <c r="H35573">
        <v>15024318</v>
      </c>
      <c r="I35573">
        <v>419943</v>
      </c>
      <c r="J35573">
        <v>3</v>
      </c>
    </row>
    <row r="35574" spans="1:10" x14ac:dyDescent="0.25">
      <c r="A35574" t="s">
        <v>387</v>
      </c>
      <c r="B35574" s="1" t="str">
        <f>HYPERLINK("http://mentadent.it","mentadent.it")</f>
        <v>mentadent.it</v>
      </c>
      <c r="C35574" t="s">
        <v>459</v>
      </c>
      <c r="D35574" t="s">
        <v>835</v>
      </c>
      <c r="F35574">
        <v>3.0475838001540802E-8</v>
      </c>
      <c r="G35574">
        <v>1689497</v>
      </c>
      <c r="H35574">
        <v>13771642</v>
      </c>
      <c r="I35574">
        <v>6686546</v>
      </c>
      <c r="J35574">
        <v>4</v>
      </c>
    </row>
    <row r="35575" spans="1:10" x14ac:dyDescent="0.25">
      <c r="A35575" t="s">
        <v>387</v>
      </c>
      <c r="B35575" s="1" t="str">
        <f>HYPERLINK("http://paulaschoice.it","paulaschoice.it")</f>
        <v>paulaschoice.it</v>
      </c>
      <c r="C35575" t="s">
        <v>459</v>
      </c>
      <c r="D35575" t="s">
        <v>835</v>
      </c>
      <c r="F35575">
        <v>2.1538727384504202E-8</v>
      </c>
      <c r="G35575">
        <v>2444223</v>
      </c>
      <c r="H35575">
        <v>12777108</v>
      </c>
      <c r="I35575">
        <v>14787685</v>
      </c>
      <c r="J35575">
        <v>4</v>
      </c>
    </row>
    <row r="35576" spans="1:10" x14ac:dyDescent="0.25">
      <c r="A35576" t="s">
        <v>387</v>
      </c>
      <c r="B35576" s="1" t="str">
        <f>HYPERLINK("http://sharehappy.it","sharehappy.it")</f>
        <v>sharehappy.it</v>
      </c>
      <c r="C35576" t="s">
        <v>459</v>
      </c>
      <c r="D35576" t="s">
        <v>835</v>
      </c>
      <c r="F35576">
        <v>9.4981858810529795E-8</v>
      </c>
      <c r="G35576">
        <v>426827</v>
      </c>
      <c r="H35576">
        <v>14237872</v>
      </c>
      <c r="I35576">
        <v>1538583</v>
      </c>
      <c r="J35576">
        <v>4</v>
      </c>
    </row>
    <row r="35577" spans="1:10" x14ac:dyDescent="0.25">
      <c r="A35577" t="s">
        <v>387</v>
      </c>
      <c r="B35577" s="1" t="str">
        <f>HYPERLINK("http://unilever.it","unilever.it")</f>
        <v>unilever.it</v>
      </c>
      <c r="C35577" t="s">
        <v>459</v>
      </c>
      <c r="D35577" t="s">
        <v>835</v>
      </c>
      <c r="F35577">
        <v>9.2595586798387406E-8</v>
      </c>
      <c r="G35577">
        <v>439411</v>
      </c>
      <c r="H35577">
        <v>14521730</v>
      </c>
      <c r="I35577">
        <v>802076</v>
      </c>
      <c r="J35577">
        <v>2</v>
      </c>
    </row>
    <row r="35578" spans="1:10" x14ac:dyDescent="0.25">
      <c r="A35578" t="s">
        <v>387</v>
      </c>
      <c r="B35578" s="1" t="str">
        <f>HYPERLINK("http://unileverfoodsolutions.it","unileverfoodsolutions.it")</f>
        <v>unileverfoodsolutions.it</v>
      </c>
      <c r="C35578" t="s">
        <v>459</v>
      </c>
      <c r="D35578" t="s">
        <v>835</v>
      </c>
      <c r="F35578">
        <v>1.7414319469462401E-8</v>
      </c>
      <c r="G35578">
        <v>3169681</v>
      </c>
      <c r="H35578">
        <v>14119984</v>
      </c>
      <c r="I35578">
        <v>2407364</v>
      </c>
      <c r="J35578">
        <v>3</v>
      </c>
    </row>
    <row r="35579" spans="1:10" x14ac:dyDescent="0.25">
      <c r="A35579" t="s">
        <v>387</v>
      </c>
      <c r="B35579" s="1" t="str">
        <f>HYPERLINK("http://zendium.it","zendium.it")</f>
        <v>zendium.it</v>
      </c>
      <c r="C35579" t="s">
        <v>459</v>
      </c>
      <c r="D35579" t="s">
        <v>835</v>
      </c>
      <c r="F35579">
        <v>8.6265102178409006E-9</v>
      </c>
      <c r="G35579">
        <v>8608566</v>
      </c>
      <c r="H35579">
        <v>12258043</v>
      </c>
      <c r="I35579">
        <v>21824831</v>
      </c>
      <c r="J35579">
        <v>3</v>
      </c>
    </row>
    <row r="35580" spans="1:10" x14ac:dyDescent="0.25">
      <c r="A35580" t="s">
        <v>387</v>
      </c>
      <c r="B35580" s="1" t="str">
        <f>HYPERLINK("http://dermalogica.co.jp","dermalogica.co.jp")</f>
        <v>dermalogica.co.jp</v>
      </c>
      <c r="C35580" t="s">
        <v>461</v>
      </c>
      <c r="D35580" t="s">
        <v>837</v>
      </c>
      <c r="F35580">
        <v>1.7509441300464401E-8</v>
      </c>
      <c r="G35580">
        <v>3143965</v>
      </c>
      <c r="H35580">
        <v>12611606</v>
      </c>
      <c r="I35580">
        <v>16227830</v>
      </c>
      <c r="J35580">
        <v>5</v>
      </c>
    </row>
    <row r="35581" spans="1:10" x14ac:dyDescent="0.25">
      <c r="A35581" t="s">
        <v>387</v>
      </c>
      <c r="B35581" s="1" t="str">
        <f>HYPERLINK("http://unilever.co.jp","unilever.co.jp")</f>
        <v>unilever.co.jp</v>
      </c>
      <c r="C35581" t="s">
        <v>461</v>
      </c>
      <c r="D35581" t="s">
        <v>837</v>
      </c>
      <c r="E35581">
        <v>658343</v>
      </c>
      <c r="F35581">
        <v>2.1724022201114199E-7</v>
      </c>
      <c r="G35581">
        <v>173575</v>
      </c>
      <c r="H35581">
        <v>14444051</v>
      </c>
      <c r="I35581">
        <v>1058957</v>
      </c>
      <c r="J35581">
        <v>2</v>
      </c>
    </row>
    <row r="35582" spans="1:10" x14ac:dyDescent="0.25">
      <c r="A35582" t="s">
        <v>387</v>
      </c>
      <c r="B35582" s="1" t="str">
        <f>HYPERLINK("http://dermalogica.jp","dermalogica.jp")</f>
        <v>dermalogica.jp</v>
      </c>
      <c r="C35582" t="s">
        <v>461</v>
      </c>
      <c r="D35582" t="s">
        <v>837</v>
      </c>
      <c r="F35582">
        <v>1.9191342128525301E-8</v>
      </c>
      <c r="G35582">
        <v>2800074</v>
      </c>
      <c r="H35582">
        <v>13338001</v>
      </c>
      <c r="I35582">
        <v>10677526</v>
      </c>
      <c r="J35582">
        <v>4</v>
      </c>
    </row>
    <row r="35583" spans="1:10" x14ac:dyDescent="0.25">
      <c r="A35583" t="s">
        <v>387</v>
      </c>
      <c r="B35583" s="1" t="str">
        <f>HYPERLINK("http://paulaschoice.jp","paulaschoice.jp")</f>
        <v>paulaschoice.jp</v>
      </c>
      <c r="C35583" t="s">
        <v>461</v>
      </c>
      <c r="D35583" t="s">
        <v>837</v>
      </c>
      <c r="F35583">
        <v>2.4475188440779402E-8</v>
      </c>
      <c r="G35583">
        <v>2116919</v>
      </c>
      <c r="H35583">
        <v>11272219</v>
      </c>
      <c r="I35583">
        <v>30749959</v>
      </c>
      <c r="J35583">
        <v>4</v>
      </c>
    </row>
    <row r="35584" spans="1:10" x14ac:dyDescent="0.25">
      <c r="A35584" t="s">
        <v>387</v>
      </c>
      <c r="B35584" s="1" t="str">
        <f>HYPERLINK("http://unilever.co.ke","unilever.co.ke")</f>
        <v>unilever.co.ke</v>
      </c>
      <c r="C35584" t="s">
        <v>462</v>
      </c>
      <c r="D35584" t="s">
        <v>838</v>
      </c>
      <c r="F35584">
        <v>3.9160824279128001E-8</v>
      </c>
      <c r="G35584">
        <v>1317288</v>
      </c>
      <c r="H35584">
        <v>12642327</v>
      </c>
      <c r="I35584">
        <v>15851912</v>
      </c>
      <c r="J35584">
        <v>2</v>
      </c>
    </row>
    <row r="35585" spans="1:10" x14ac:dyDescent="0.25">
      <c r="A35585" t="s">
        <v>387</v>
      </c>
      <c r="B35585" s="1" t="str">
        <f>HYPERLINK("http://benjerry.co.kr","benjerry.co.kr")</f>
        <v>benjerry.co.kr</v>
      </c>
      <c r="C35585" t="s">
        <v>463</v>
      </c>
      <c r="D35585" t="s">
        <v>839</v>
      </c>
      <c r="F35585">
        <v>6.8392534726331506E-8</v>
      </c>
      <c r="G35585">
        <v>623682</v>
      </c>
      <c r="H35585">
        <v>13698006</v>
      </c>
      <c r="I35585">
        <v>9516574</v>
      </c>
      <c r="J35585">
        <v>3</v>
      </c>
    </row>
    <row r="35586" spans="1:10" x14ac:dyDescent="0.25">
      <c r="A35586" t="s">
        <v>387</v>
      </c>
      <c r="B35586" s="1" t="str">
        <f>HYPERLINK("http://dermalogica.co.kr","dermalogica.co.kr")</f>
        <v>dermalogica.co.kr</v>
      </c>
      <c r="C35586" t="s">
        <v>463</v>
      </c>
      <c r="D35586" t="s">
        <v>839</v>
      </c>
      <c r="F35586">
        <v>2.9140022735443201E-8</v>
      </c>
      <c r="G35586">
        <v>1767345</v>
      </c>
      <c r="H35586">
        <v>12635554</v>
      </c>
      <c r="I35586">
        <v>15910081</v>
      </c>
      <c r="J35586">
        <v>4</v>
      </c>
    </row>
    <row r="35587" spans="1:10" x14ac:dyDescent="0.25">
      <c r="A35587" t="s">
        <v>387</v>
      </c>
      <c r="B35587" s="1" t="str">
        <f>HYPERLINK("http://paulaschoice.co.kr","paulaschoice.co.kr")</f>
        <v>paulaschoice.co.kr</v>
      </c>
      <c r="C35587" t="s">
        <v>463</v>
      </c>
      <c r="D35587" t="s">
        <v>839</v>
      </c>
      <c r="F35587">
        <v>4.4973026647102298E-8</v>
      </c>
      <c r="G35587">
        <v>1050409</v>
      </c>
      <c r="H35587">
        <v>12955652</v>
      </c>
      <c r="I35587">
        <v>13186311</v>
      </c>
      <c r="J35587">
        <v>4</v>
      </c>
    </row>
    <row r="35588" spans="1:10" x14ac:dyDescent="0.25">
      <c r="A35588" t="s">
        <v>387</v>
      </c>
      <c r="B35588" s="1" t="str">
        <f>HYPERLINK("http://unilever.co.kr","unilever.co.kr")</f>
        <v>unilever.co.kr</v>
      </c>
      <c r="C35588" t="s">
        <v>463</v>
      </c>
      <c r="D35588" t="s">
        <v>839</v>
      </c>
      <c r="F35588">
        <v>3.7001281020237101E-8</v>
      </c>
      <c r="G35588">
        <v>1402216</v>
      </c>
      <c r="H35588">
        <v>14072636</v>
      </c>
      <c r="I35588">
        <v>3063690</v>
      </c>
      <c r="J35588">
        <v>2</v>
      </c>
    </row>
    <row r="35589" spans="1:10" x14ac:dyDescent="0.25">
      <c r="A35589" t="s">
        <v>387</v>
      </c>
      <c r="B35589" s="1" t="str">
        <f>HYPERLINK("http://unileverfoodsolutions.co.kr","unileverfoodsolutions.co.kr")</f>
        <v>unileverfoodsolutions.co.kr</v>
      </c>
      <c r="C35589" t="s">
        <v>463</v>
      </c>
      <c r="D35589" t="s">
        <v>839</v>
      </c>
      <c r="F35589">
        <v>1.30556640467928E-8</v>
      </c>
      <c r="G35589">
        <v>4604628</v>
      </c>
      <c r="H35589">
        <v>12190428</v>
      </c>
      <c r="I35589">
        <v>23576185</v>
      </c>
      <c r="J35589">
        <v>3</v>
      </c>
    </row>
    <row r="35590" spans="1:10" x14ac:dyDescent="0.25">
      <c r="A35590" t="s">
        <v>387</v>
      </c>
      <c r="B35590" s="1" t="str">
        <f>HYPERLINK("http://dermalogica.kz","dermalogica.kz")</f>
        <v>dermalogica.kz</v>
      </c>
      <c r="C35590" t="s">
        <v>465</v>
      </c>
      <c r="D35590" t="s">
        <v>841</v>
      </c>
      <c r="F35590">
        <v>9.10771003554472E-9</v>
      </c>
      <c r="G35590">
        <v>7836369</v>
      </c>
      <c r="H35590">
        <v>13143465</v>
      </c>
      <c r="I35590">
        <v>11862874</v>
      </c>
      <c r="J35590">
        <v>4</v>
      </c>
    </row>
    <row r="35591" spans="1:10" x14ac:dyDescent="0.25">
      <c r="A35591" t="s">
        <v>387</v>
      </c>
      <c r="B35591" s="1" t="str">
        <f>HYPERLINK("http://unilever.com.lk","unilever.com.lk")</f>
        <v>unilever.com.lk</v>
      </c>
      <c r="C35591" t="s">
        <v>466</v>
      </c>
      <c r="D35591" t="s">
        <v>842</v>
      </c>
      <c r="F35591">
        <v>6.2532618349181298E-8</v>
      </c>
      <c r="G35591">
        <v>701747</v>
      </c>
      <c r="H35591">
        <v>14088486</v>
      </c>
      <c r="I35591">
        <v>2758351</v>
      </c>
      <c r="J35591">
        <v>2</v>
      </c>
    </row>
    <row r="35592" spans="1:10" x14ac:dyDescent="0.25">
      <c r="A35592" t="s">
        <v>387</v>
      </c>
      <c r="B35592" s="1" t="str">
        <f>HYPERLINK("http://unileverfoodsolutions.lk","unileverfoodsolutions.lk")</f>
        <v>unileverfoodsolutions.lk</v>
      </c>
      <c r="C35592" t="s">
        <v>466</v>
      </c>
      <c r="D35592" t="s">
        <v>842</v>
      </c>
      <c r="F35592">
        <v>2.0336877210883E-8</v>
      </c>
      <c r="G35592">
        <v>2608640</v>
      </c>
      <c r="H35592">
        <v>14414949</v>
      </c>
      <c r="I35592">
        <v>1120135</v>
      </c>
      <c r="J35592">
        <v>3</v>
      </c>
    </row>
    <row r="35593" spans="1:10" x14ac:dyDescent="0.25">
      <c r="A35593" t="s">
        <v>387</v>
      </c>
      <c r="B35593" s="1" t="str">
        <f>HYPERLINK("http://unilever.lt","unilever.lt")</f>
        <v>unilever.lt</v>
      </c>
      <c r="C35593" t="s">
        <v>467</v>
      </c>
      <c r="D35593" t="s">
        <v>843</v>
      </c>
      <c r="F35593">
        <v>2.9190158335032301E-8</v>
      </c>
      <c r="G35593">
        <v>1764525</v>
      </c>
      <c r="H35593">
        <v>12582257</v>
      </c>
      <c r="I35593">
        <v>16486110</v>
      </c>
      <c r="J35593">
        <v>2</v>
      </c>
    </row>
    <row r="35594" spans="1:10" x14ac:dyDescent="0.25">
      <c r="A35594" t="s">
        <v>387</v>
      </c>
      <c r="B35594" s="1" t="str">
        <f>HYPERLINK("http://unilever.lu","unilever.lu")</f>
        <v>unilever.lu</v>
      </c>
      <c r="C35594" t="s">
        <v>547</v>
      </c>
      <c r="D35594" t="s">
        <v>904</v>
      </c>
      <c r="F35594">
        <v>2.97740210300883E-8</v>
      </c>
      <c r="G35594">
        <v>1728519</v>
      </c>
      <c r="H35594">
        <v>12581423</v>
      </c>
      <c r="I35594">
        <v>16493238</v>
      </c>
      <c r="J35594">
        <v>3</v>
      </c>
    </row>
    <row r="35595" spans="1:10" x14ac:dyDescent="0.25">
      <c r="A35595" t="s">
        <v>387</v>
      </c>
      <c r="B35595" s="1" t="str">
        <f>HYPERLINK("http://unilever.lv","unilever.lv")</f>
        <v>unilever.lv</v>
      </c>
      <c r="C35595" t="s">
        <v>468</v>
      </c>
      <c r="D35595" t="s">
        <v>844</v>
      </c>
      <c r="F35595">
        <v>2.9577761558921799E-8</v>
      </c>
      <c r="G35595">
        <v>1742845</v>
      </c>
      <c r="H35595">
        <v>12661224</v>
      </c>
      <c r="I35595">
        <v>15714599</v>
      </c>
      <c r="J35595">
        <v>2</v>
      </c>
    </row>
    <row r="35596" spans="1:10" x14ac:dyDescent="0.25">
      <c r="A35596" t="s">
        <v>387</v>
      </c>
      <c r="B35596" s="1" t="str">
        <f>HYPERLINK("http://unilever.mt","unilever.mt")</f>
        <v>unilever.mt</v>
      </c>
      <c r="C35596" t="s">
        <v>597</v>
      </c>
      <c r="D35596" t="s">
        <v>932</v>
      </c>
      <c r="F35596">
        <v>2.9209741821422799E-8</v>
      </c>
      <c r="G35596">
        <v>1763425</v>
      </c>
      <c r="H35596">
        <v>12581423</v>
      </c>
      <c r="I35596">
        <v>16493239</v>
      </c>
      <c r="J35596">
        <v>2</v>
      </c>
    </row>
    <row r="35597" spans="1:10" x14ac:dyDescent="0.25">
      <c r="A35597" t="s">
        <v>387</v>
      </c>
      <c r="B35597" s="1" t="str">
        <f>HYPERLINK("http://benandjerrys.com.mx","benandjerrys.com.mx")</f>
        <v>benandjerrys.com.mx</v>
      </c>
      <c r="C35597" t="s">
        <v>471</v>
      </c>
      <c r="D35597" t="s">
        <v>847</v>
      </c>
      <c r="F35597">
        <v>8.6303662932686204E-9</v>
      </c>
      <c r="G35597">
        <v>8601711</v>
      </c>
      <c r="H35597">
        <v>12514310</v>
      </c>
      <c r="I35597">
        <v>17204562</v>
      </c>
      <c r="J35597">
        <v>6</v>
      </c>
    </row>
    <row r="35598" spans="1:10" x14ac:dyDescent="0.25">
      <c r="A35598" t="s">
        <v>387</v>
      </c>
      <c r="B35598" s="1" t="str">
        <f>HYPERLINK("http://unileverfoodsolutions.com.mx","unileverfoodsolutions.com.mx")</f>
        <v>unileverfoodsolutions.com.mx</v>
      </c>
      <c r="C35598" t="s">
        <v>471</v>
      </c>
      <c r="D35598" t="s">
        <v>847</v>
      </c>
      <c r="F35598">
        <v>2.1288896564481599E-8</v>
      </c>
      <c r="G35598">
        <v>2475617</v>
      </c>
      <c r="H35598">
        <v>13853329</v>
      </c>
      <c r="I35598">
        <v>6048445</v>
      </c>
      <c r="J35598">
        <v>3</v>
      </c>
    </row>
    <row r="35599" spans="1:10" x14ac:dyDescent="0.25">
      <c r="A35599" t="s">
        <v>387</v>
      </c>
      <c r="B35599" s="1" t="str">
        <f>HYPERLINK("http://dermalogica.mx","dermalogica.mx")</f>
        <v>dermalogica.mx</v>
      </c>
      <c r="C35599" t="s">
        <v>471</v>
      </c>
      <c r="D35599" t="s">
        <v>847</v>
      </c>
      <c r="F35599">
        <v>7.8594709976121205E-9</v>
      </c>
      <c r="G35599">
        <v>10193875</v>
      </c>
      <c r="H35599">
        <v>11247159</v>
      </c>
      <c r="I35599">
        <v>30919239</v>
      </c>
      <c r="J35599">
        <v>4</v>
      </c>
    </row>
    <row r="35600" spans="1:10" x14ac:dyDescent="0.25">
      <c r="A35600" t="s">
        <v>387</v>
      </c>
      <c r="B35600" s="1" t="str">
        <f>HYPERLINK("http://kokoro.mx","kokoro.mx")</f>
        <v>kokoro.mx</v>
      </c>
      <c r="C35600" t="s">
        <v>471</v>
      </c>
      <c r="D35600" t="s">
        <v>847</v>
      </c>
      <c r="F35600">
        <v>6.4796521635843098E-9</v>
      </c>
      <c r="G35600">
        <v>14164139</v>
      </c>
      <c r="H35600">
        <v>11235463</v>
      </c>
      <c r="I35600">
        <v>30993114</v>
      </c>
      <c r="J35600">
        <v>6</v>
      </c>
    </row>
    <row r="35601" spans="1:10" x14ac:dyDescent="0.25">
      <c r="A35601" t="s">
        <v>387</v>
      </c>
      <c r="B35601" s="1" t="str">
        <f>HYPERLINK("http://benjerry.com.my","benjerry.com.my")</f>
        <v>benjerry.com.my</v>
      </c>
      <c r="C35601" t="s">
        <v>472</v>
      </c>
      <c r="D35601" t="s">
        <v>848</v>
      </c>
      <c r="F35601">
        <v>5.1924257790220399E-9</v>
      </c>
      <c r="G35601">
        <v>25295626</v>
      </c>
      <c r="H35601">
        <v>12362790</v>
      </c>
      <c r="I35601">
        <v>19533757</v>
      </c>
      <c r="J35601">
        <v>4</v>
      </c>
    </row>
    <row r="35602" spans="1:10" x14ac:dyDescent="0.25">
      <c r="A35602" t="s">
        <v>387</v>
      </c>
      <c r="B35602" s="1" t="str">
        <f>HYPERLINK("http://dermalogica.com.my","dermalogica.com.my")</f>
        <v>dermalogica.com.my</v>
      </c>
      <c r="C35602" t="s">
        <v>472</v>
      </c>
      <c r="D35602" t="s">
        <v>848</v>
      </c>
      <c r="F35602">
        <v>2.0540334375451699E-8</v>
      </c>
      <c r="G35602">
        <v>2579018</v>
      </c>
      <c r="H35602">
        <v>13771141</v>
      </c>
      <c r="I35602">
        <v>6703661</v>
      </c>
      <c r="J35602">
        <v>4</v>
      </c>
    </row>
    <row r="35603" spans="1:10" x14ac:dyDescent="0.25">
      <c r="A35603" t="s">
        <v>387</v>
      </c>
      <c r="B35603" s="1" t="str">
        <f>HYPERLINK("http://unilever.com.my","unilever.com.my")</f>
        <v>unilever.com.my</v>
      </c>
      <c r="C35603" t="s">
        <v>472</v>
      </c>
      <c r="D35603" t="s">
        <v>848</v>
      </c>
      <c r="F35603">
        <v>1.04651020446044E-7</v>
      </c>
      <c r="G35603">
        <v>382989</v>
      </c>
      <c r="H35603">
        <v>17027738</v>
      </c>
      <c r="I35603">
        <v>85157</v>
      </c>
      <c r="J35603">
        <v>2</v>
      </c>
    </row>
    <row r="35604" spans="1:10" x14ac:dyDescent="0.25">
      <c r="A35604" t="s">
        <v>387</v>
      </c>
      <c r="B35604" s="1" t="str">
        <f>HYPERLINK("http://unileverfoodsolutions.com.my","unileverfoodsolutions.com.my")</f>
        <v>unileverfoodsolutions.com.my</v>
      </c>
      <c r="C35604" t="s">
        <v>472</v>
      </c>
      <c r="D35604" t="s">
        <v>848</v>
      </c>
      <c r="F35604">
        <v>2.0870966701839802E-8</v>
      </c>
      <c r="G35604">
        <v>2533218</v>
      </c>
      <c r="H35604">
        <v>14236667</v>
      </c>
      <c r="I35604">
        <v>1575136</v>
      </c>
      <c r="J35604">
        <v>3</v>
      </c>
    </row>
    <row r="35605" spans="1:10" x14ac:dyDescent="0.25">
      <c r="A35605" t="s">
        <v>387</v>
      </c>
      <c r="B35605" s="1" t="str">
        <f>HYPERLINK("http://paulaschoice.my","paulaschoice.my")</f>
        <v>paulaschoice.my</v>
      </c>
      <c r="C35605" t="s">
        <v>472</v>
      </c>
      <c r="D35605" t="s">
        <v>848</v>
      </c>
      <c r="F35605">
        <v>2.7171311105411098E-8</v>
      </c>
      <c r="G35605">
        <v>1892430</v>
      </c>
      <c r="H35605">
        <v>13126718</v>
      </c>
      <c r="I35605">
        <v>11955870</v>
      </c>
      <c r="J35605">
        <v>4</v>
      </c>
    </row>
    <row r="35606" spans="1:10" x14ac:dyDescent="0.25">
      <c r="A35606" t="s">
        <v>387</v>
      </c>
      <c r="B35606" s="1" t="str">
        <f>HYPERLINK("http://knorr.ng","knorr.ng")</f>
        <v>knorr.ng</v>
      </c>
      <c r="C35606" t="s">
        <v>475</v>
      </c>
      <c r="D35606" t="s">
        <v>850</v>
      </c>
      <c r="F35606">
        <v>7.5427217894514693E-9</v>
      </c>
      <c r="G35606">
        <v>10920672</v>
      </c>
      <c r="H35606">
        <v>13763924</v>
      </c>
      <c r="I35606">
        <v>7492149</v>
      </c>
      <c r="J35606">
        <v>5</v>
      </c>
    </row>
    <row r="35607" spans="1:10" x14ac:dyDescent="0.25">
      <c r="A35607" t="s">
        <v>387</v>
      </c>
      <c r="B35607" s="1" t="str">
        <f>HYPERLINK("http://axe.nl","axe.nl")</f>
        <v>axe.nl</v>
      </c>
      <c r="C35607" t="s">
        <v>477</v>
      </c>
      <c r="D35607" t="s">
        <v>852</v>
      </c>
      <c r="F35607">
        <v>1.08448863123828E-8</v>
      </c>
      <c r="G35607">
        <v>5984720</v>
      </c>
      <c r="H35607">
        <v>14122961</v>
      </c>
      <c r="I35607">
        <v>2192100</v>
      </c>
      <c r="J35607">
        <v>5</v>
      </c>
    </row>
    <row r="35608" spans="1:10" x14ac:dyDescent="0.25">
      <c r="A35608" t="s">
        <v>387</v>
      </c>
      <c r="B35608" s="1" t="str">
        <f>HYPERLINK("http://benjerry.nl","benjerry.nl")</f>
        <v>benjerry.nl</v>
      </c>
      <c r="C35608" t="s">
        <v>477</v>
      </c>
      <c r="D35608" t="s">
        <v>852</v>
      </c>
      <c r="F35608">
        <v>4.1961114184425897E-8</v>
      </c>
      <c r="G35608">
        <v>1168591</v>
      </c>
      <c r="H35608">
        <v>13791988</v>
      </c>
      <c r="I35608">
        <v>6332849</v>
      </c>
      <c r="J35608">
        <v>3</v>
      </c>
    </row>
    <row r="35609" spans="1:10" x14ac:dyDescent="0.25">
      <c r="A35609" t="s">
        <v>387</v>
      </c>
      <c r="B35609" s="1" t="str">
        <f>HYPERLINK("http://calve.nl","calve.nl")</f>
        <v>calve.nl</v>
      </c>
      <c r="C35609" t="s">
        <v>477</v>
      </c>
      <c r="D35609" t="s">
        <v>852</v>
      </c>
      <c r="F35609">
        <v>4.0222314200733397E-8</v>
      </c>
      <c r="G35609">
        <v>1286175</v>
      </c>
      <c r="H35609">
        <v>14379237</v>
      </c>
      <c r="I35609">
        <v>1200021</v>
      </c>
      <c r="J35609">
        <v>4</v>
      </c>
    </row>
    <row r="35610" spans="1:10" x14ac:dyDescent="0.25">
      <c r="A35610" t="s">
        <v>387</v>
      </c>
      <c r="B35610" s="1" t="str">
        <f>HYPERLINK("http://knorr.nl","knorr.nl")</f>
        <v>knorr.nl</v>
      </c>
      <c r="C35610" t="s">
        <v>477</v>
      </c>
      <c r="D35610" t="s">
        <v>852</v>
      </c>
      <c r="F35610">
        <v>1.2866422103523299E-8</v>
      </c>
      <c r="G35610">
        <v>4696059</v>
      </c>
      <c r="H35610">
        <v>14371908</v>
      </c>
      <c r="I35610">
        <v>1285613</v>
      </c>
      <c r="J35610">
        <v>5</v>
      </c>
    </row>
    <row r="35611" spans="1:10" x14ac:dyDescent="0.25">
      <c r="A35611" t="s">
        <v>387</v>
      </c>
      <c r="B35611" s="1" t="str">
        <f>HYPERLINK("http://paulaschoice.nl","paulaschoice.nl")</f>
        <v>paulaschoice.nl</v>
      </c>
      <c r="C35611" t="s">
        <v>477</v>
      </c>
      <c r="D35611" t="s">
        <v>852</v>
      </c>
      <c r="E35611">
        <v>600444</v>
      </c>
      <c r="F35611">
        <v>7.4790644345581902E-8</v>
      </c>
      <c r="G35611">
        <v>562520</v>
      </c>
      <c r="H35611">
        <v>14163502</v>
      </c>
      <c r="I35611">
        <v>1829511</v>
      </c>
      <c r="J35611">
        <v>4</v>
      </c>
    </row>
    <row r="35612" spans="1:10" x14ac:dyDescent="0.25">
      <c r="A35612" t="s">
        <v>387</v>
      </c>
      <c r="B35612" s="1" t="str">
        <f>HYPERLINK("http://unilever.nl","unilever.nl")</f>
        <v>unilever.nl</v>
      </c>
      <c r="C35612" t="s">
        <v>477</v>
      </c>
      <c r="D35612" t="s">
        <v>852</v>
      </c>
      <c r="E35612">
        <v>474201</v>
      </c>
      <c r="F35612">
        <v>2.10859616834963E-7</v>
      </c>
      <c r="G35612">
        <v>179223</v>
      </c>
      <c r="H35612">
        <v>14586117</v>
      </c>
      <c r="I35612">
        <v>700801</v>
      </c>
      <c r="J35612">
        <v>2</v>
      </c>
    </row>
    <row r="35613" spans="1:10" x14ac:dyDescent="0.25">
      <c r="A35613" t="s">
        <v>387</v>
      </c>
      <c r="B35613" s="1" t="str">
        <f>HYPERLINK("http://unileverfoodsolutions.nl","unileverfoodsolutions.nl")</f>
        <v>unileverfoodsolutions.nl</v>
      </c>
      <c r="C35613" t="s">
        <v>477</v>
      </c>
      <c r="D35613" t="s">
        <v>852</v>
      </c>
      <c r="F35613">
        <v>4.1871188696267302E-8</v>
      </c>
      <c r="G35613">
        <v>1173878</v>
      </c>
      <c r="H35613">
        <v>14229165</v>
      </c>
      <c r="I35613">
        <v>1675694</v>
      </c>
      <c r="J35613">
        <v>3</v>
      </c>
    </row>
    <row r="35614" spans="1:10" x14ac:dyDescent="0.25">
      <c r="A35614" t="s">
        <v>387</v>
      </c>
      <c r="B35614" s="1" t="str">
        <f>HYPERLINK("http://zendium.nl","zendium.nl")</f>
        <v>zendium.nl</v>
      </c>
      <c r="C35614" t="s">
        <v>477</v>
      </c>
      <c r="D35614" t="s">
        <v>852</v>
      </c>
      <c r="E35614">
        <v>246289</v>
      </c>
      <c r="F35614">
        <v>1.0316815494177001E-8</v>
      </c>
      <c r="G35614">
        <v>6435281</v>
      </c>
      <c r="H35614">
        <v>12282846</v>
      </c>
      <c r="I35614">
        <v>21252446</v>
      </c>
      <c r="J35614">
        <v>3</v>
      </c>
    </row>
    <row r="35615" spans="1:10" x14ac:dyDescent="0.25">
      <c r="A35615" t="s">
        <v>387</v>
      </c>
      <c r="B35615" s="1" t="str">
        <f>HYPERLINK("http://benjerry.no","benjerry.no")</f>
        <v>benjerry.no</v>
      </c>
      <c r="C35615" t="s">
        <v>478</v>
      </c>
      <c r="D35615" t="s">
        <v>853</v>
      </c>
      <c r="F35615">
        <v>1.0728674944470701E-8</v>
      </c>
      <c r="G35615">
        <v>6076854</v>
      </c>
      <c r="H35615">
        <v>13765484</v>
      </c>
      <c r="I35615">
        <v>7099154</v>
      </c>
      <c r="J35615">
        <v>3</v>
      </c>
    </row>
    <row r="35616" spans="1:10" x14ac:dyDescent="0.25">
      <c r="A35616" t="s">
        <v>387</v>
      </c>
      <c r="B35616" s="1" t="str">
        <f>HYPERLINK("http://hellmanns.no","hellmanns.no")</f>
        <v>hellmanns.no</v>
      </c>
      <c r="C35616" t="s">
        <v>478</v>
      </c>
      <c r="D35616" t="s">
        <v>853</v>
      </c>
      <c r="F35616">
        <v>7.2856709920777298E-9</v>
      </c>
      <c r="G35616">
        <v>11515442</v>
      </c>
      <c r="H35616">
        <v>12312619</v>
      </c>
      <c r="I35616">
        <v>20562578</v>
      </c>
      <c r="J35616">
        <v>3</v>
      </c>
    </row>
    <row r="35617" spans="1:10" x14ac:dyDescent="0.25">
      <c r="A35617" t="s">
        <v>387</v>
      </c>
      <c r="B35617" s="1" t="str">
        <f>HYPERLINK("http://unileverfoodsolutions.no","unileverfoodsolutions.no")</f>
        <v>unileverfoodsolutions.no</v>
      </c>
      <c r="C35617" t="s">
        <v>478</v>
      </c>
      <c r="D35617" t="s">
        <v>853</v>
      </c>
      <c r="F35617">
        <v>1.8339848515081101E-8</v>
      </c>
      <c r="G35617">
        <v>2959746</v>
      </c>
      <c r="H35617">
        <v>12315302</v>
      </c>
      <c r="I35617">
        <v>20510377</v>
      </c>
      <c r="J35617">
        <v>3</v>
      </c>
    </row>
    <row r="35618" spans="1:10" x14ac:dyDescent="0.25">
      <c r="A35618" t="s">
        <v>387</v>
      </c>
      <c r="B35618" s="1" t="str">
        <f>HYPERLINK("http://zendium.no","zendium.no")</f>
        <v>zendium.no</v>
      </c>
      <c r="C35618" t="s">
        <v>478</v>
      </c>
      <c r="D35618" t="s">
        <v>853</v>
      </c>
      <c r="F35618">
        <v>8.9032019161032099E-9</v>
      </c>
      <c r="G35618">
        <v>8139082</v>
      </c>
      <c r="H35618">
        <v>12208653</v>
      </c>
      <c r="I35618">
        <v>23059947</v>
      </c>
      <c r="J35618">
        <v>3</v>
      </c>
    </row>
    <row r="35619" spans="1:10" x14ac:dyDescent="0.25">
      <c r="A35619" t="s">
        <v>387</v>
      </c>
      <c r="B35619" s="1" t="str">
        <f>HYPERLINK("http://benjerry.co.nz","benjerry.co.nz")</f>
        <v>benjerry.co.nz</v>
      </c>
      <c r="C35619" t="s">
        <v>479</v>
      </c>
      <c r="D35619" t="s">
        <v>854</v>
      </c>
      <c r="F35619">
        <v>1.40030827763678E-8</v>
      </c>
      <c r="G35619">
        <v>4201424</v>
      </c>
      <c r="H35619">
        <v>13230941</v>
      </c>
      <c r="I35619">
        <v>11274136</v>
      </c>
      <c r="J35619">
        <v>3</v>
      </c>
    </row>
    <row r="35620" spans="1:10" x14ac:dyDescent="0.25">
      <c r="A35620" t="s">
        <v>387</v>
      </c>
      <c r="B35620" s="1" t="str">
        <f>HYPERLINK("http://dermalogica.co.nz","dermalogica.co.nz")</f>
        <v>dermalogica.co.nz</v>
      </c>
      <c r="C35620" t="s">
        <v>479</v>
      </c>
      <c r="D35620" t="s">
        <v>854</v>
      </c>
      <c r="F35620">
        <v>9.6337916333019194E-9</v>
      </c>
      <c r="G35620">
        <v>7158792</v>
      </c>
      <c r="H35620">
        <v>13938857</v>
      </c>
      <c r="I35620">
        <v>4411243</v>
      </c>
      <c r="J35620">
        <v>4</v>
      </c>
    </row>
    <row r="35621" spans="1:10" x14ac:dyDescent="0.25">
      <c r="A35621" t="s">
        <v>387</v>
      </c>
      <c r="B35621" s="1" t="str">
        <f>HYPERLINK("http://unilever.co.nz","unilever.co.nz")</f>
        <v>unilever.co.nz</v>
      </c>
      <c r="C35621" t="s">
        <v>479</v>
      </c>
      <c r="D35621" t="s">
        <v>854</v>
      </c>
      <c r="F35621">
        <v>5.3565910827030803E-8</v>
      </c>
      <c r="G35621">
        <v>849100</v>
      </c>
      <c r="H35621">
        <v>13485422</v>
      </c>
      <c r="I35621">
        <v>9996200</v>
      </c>
      <c r="J35621">
        <v>2</v>
      </c>
    </row>
    <row r="35622" spans="1:10" x14ac:dyDescent="0.25">
      <c r="A35622" t="s">
        <v>387</v>
      </c>
      <c r="B35622" s="1" t="str">
        <f>HYPERLINK("http://unileverfoodsolutions.co.nz","unileverfoodsolutions.co.nz")</f>
        <v>unileverfoodsolutions.co.nz</v>
      </c>
      <c r="C35622" t="s">
        <v>479</v>
      </c>
      <c r="D35622" t="s">
        <v>854</v>
      </c>
      <c r="F35622">
        <v>1.50604045403838E-8</v>
      </c>
      <c r="G35622">
        <v>3820139</v>
      </c>
      <c r="H35622">
        <v>12309158</v>
      </c>
      <c r="I35622">
        <v>20637454</v>
      </c>
      <c r="J35622">
        <v>3</v>
      </c>
    </row>
    <row r="35623" spans="1:10" x14ac:dyDescent="0.25">
      <c r="A35623" t="s">
        <v>387</v>
      </c>
      <c r="B35623" s="1" t="str">
        <f>HYPERLINK("http://kalina.org","kalina.org")</f>
        <v>kalina.org</v>
      </c>
      <c r="C35623" t="s">
        <v>481</v>
      </c>
      <c r="F35623">
        <v>9.4773469525445002E-9</v>
      </c>
      <c r="G35623">
        <v>7349943</v>
      </c>
      <c r="H35623">
        <v>13784762</v>
      </c>
      <c r="I35623">
        <v>6408968</v>
      </c>
      <c r="J35623">
        <v>4</v>
      </c>
    </row>
    <row r="35624" spans="1:10" x14ac:dyDescent="0.25">
      <c r="A35624" t="s">
        <v>387</v>
      </c>
      <c r="B35624" s="1" t="str">
        <f>HYPERLINK("http://unilever.com.ph","unilever.com.ph")</f>
        <v>unilever.com.ph</v>
      </c>
      <c r="C35624" t="s">
        <v>484</v>
      </c>
      <c r="D35624" t="s">
        <v>858</v>
      </c>
      <c r="F35624">
        <v>8.7303097579229206E-8</v>
      </c>
      <c r="G35624">
        <v>470092</v>
      </c>
      <c r="H35624">
        <v>14826737</v>
      </c>
      <c r="I35624">
        <v>509606</v>
      </c>
      <c r="J35624">
        <v>2</v>
      </c>
    </row>
    <row r="35625" spans="1:10" x14ac:dyDescent="0.25">
      <c r="A35625" t="s">
        <v>387</v>
      </c>
      <c r="B35625" s="1" t="str">
        <f>HYPERLINK("http://unileverfoodsolutions.com.ph","unileverfoodsolutions.com.ph")</f>
        <v>unileverfoodsolutions.com.ph</v>
      </c>
      <c r="C35625" t="s">
        <v>484</v>
      </c>
      <c r="D35625" t="s">
        <v>858</v>
      </c>
      <c r="F35625">
        <v>2.04136465639634E-8</v>
      </c>
      <c r="G35625">
        <v>2597078</v>
      </c>
      <c r="H35625">
        <v>13767023</v>
      </c>
      <c r="I35625">
        <v>6960233</v>
      </c>
      <c r="J35625">
        <v>3</v>
      </c>
    </row>
    <row r="35626" spans="1:10" x14ac:dyDescent="0.25">
      <c r="A35626" t="s">
        <v>387</v>
      </c>
      <c r="B35626" s="1" t="str">
        <f>HYPERLINK("http://unilever.pk","unilever.pk")</f>
        <v>unilever.pk</v>
      </c>
      <c r="C35626" t="s">
        <v>485</v>
      </c>
      <c r="D35626" t="s">
        <v>859</v>
      </c>
      <c r="F35626">
        <v>6.4866163996826094E-8</v>
      </c>
      <c r="G35626">
        <v>664863</v>
      </c>
      <c r="H35626">
        <v>14172970</v>
      </c>
      <c r="I35626">
        <v>1797496</v>
      </c>
      <c r="J35626">
        <v>2</v>
      </c>
    </row>
    <row r="35627" spans="1:10" x14ac:dyDescent="0.25">
      <c r="A35627" t="s">
        <v>387</v>
      </c>
      <c r="B35627" s="1" t="str">
        <f>HYPERLINK("http://unileverfoodsolutions.pk","unileverfoodsolutions.pk")</f>
        <v>unileverfoodsolutions.pk</v>
      </c>
      <c r="C35627" t="s">
        <v>485</v>
      </c>
      <c r="D35627" t="s">
        <v>859</v>
      </c>
      <c r="F35627">
        <v>1.44091874877052E-8</v>
      </c>
      <c r="G35627">
        <v>4054010</v>
      </c>
      <c r="H35627">
        <v>12208945</v>
      </c>
      <c r="I35627">
        <v>23053056</v>
      </c>
      <c r="J35627">
        <v>3</v>
      </c>
    </row>
    <row r="35628" spans="1:10" x14ac:dyDescent="0.25">
      <c r="A35628" t="s">
        <v>387</v>
      </c>
      <c r="B35628" s="1" t="str">
        <f>HYPERLINK("http://benjerry.pl","benjerry.pl")</f>
        <v>benjerry.pl</v>
      </c>
      <c r="C35628" t="s">
        <v>486</v>
      </c>
      <c r="D35628" t="s">
        <v>860</v>
      </c>
      <c r="F35628">
        <v>2.3431273525717399E-8</v>
      </c>
      <c r="G35628">
        <v>2222155</v>
      </c>
      <c r="H35628">
        <v>13431914</v>
      </c>
      <c r="I35628">
        <v>10278566</v>
      </c>
      <c r="J35628">
        <v>3</v>
      </c>
    </row>
    <row r="35629" spans="1:10" x14ac:dyDescent="0.25">
      <c r="A35629" t="s">
        <v>387</v>
      </c>
      <c r="B35629" s="1" t="str">
        <f>HYPERLINK("http://knorr.pl","knorr.pl")</f>
        <v>knorr.pl</v>
      </c>
      <c r="C35629" t="s">
        <v>486</v>
      </c>
      <c r="D35629" t="s">
        <v>860</v>
      </c>
      <c r="F35629">
        <v>1.6424229140318299E-8</v>
      </c>
      <c r="G35629">
        <v>3433040</v>
      </c>
      <c r="H35629">
        <v>14487337</v>
      </c>
      <c r="I35629">
        <v>949086</v>
      </c>
      <c r="J35629">
        <v>5</v>
      </c>
    </row>
    <row r="35630" spans="1:10" x14ac:dyDescent="0.25">
      <c r="A35630" t="s">
        <v>387</v>
      </c>
      <c r="B35630" s="1" t="str">
        <f>HYPERLINK("http://unilever.pl","unilever.pl")</f>
        <v>unilever.pl</v>
      </c>
      <c r="C35630" t="s">
        <v>486</v>
      </c>
      <c r="D35630" t="s">
        <v>860</v>
      </c>
      <c r="F35630">
        <v>1.10774862446908E-7</v>
      </c>
      <c r="G35630">
        <v>360917</v>
      </c>
      <c r="H35630">
        <v>14797252</v>
      </c>
      <c r="I35630">
        <v>549037</v>
      </c>
      <c r="J35630">
        <v>2</v>
      </c>
    </row>
    <row r="35631" spans="1:10" x14ac:dyDescent="0.25">
      <c r="A35631" t="s">
        <v>387</v>
      </c>
      <c r="B35631" s="1" t="str">
        <f>HYPERLINK("http://unileverfoodsolutions.pl","unileverfoodsolutions.pl")</f>
        <v>unileverfoodsolutions.pl</v>
      </c>
      <c r="C35631" t="s">
        <v>486</v>
      </c>
      <c r="D35631" t="s">
        <v>860</v>
      </c>
      <c r="F35631">
        <v>2.1560732896495401E-8</v>
      </c>
      <c r="G35631">
        <v>2441453</v>
      </c>
      <c r="H35631">
        <v>14238764</v>
      </c>
      <c r="I35631">
        <v>1521393</v>
      </c>
      <c r="J35631">
        <v>3</v>
      </c>
    </row>
    <row r="35632" spans="1:10" x14ac:dyDescent="0.25">
      <c r="A35632" t="s">
        <v>387</v>
      </c>
      <c r="B35632" s="1" t="str">
        <f>HYPERLINK("http://benjerry.com.pr","benjerry.com.pr")</f>
        <v>benjerry.com.pr</v>
      </c>
      <c r="C35632" t="s">
        <v>487</v>
      </c>
      <c r="D35632" t="s">
        <v>861</v>
      </c>
      <c r="F35632">
        <v>8.2572093614384707E-9</v>
      </c>
      <c r="G35632">
        <v>9359579</v>
      </c>
      <c r="H35632">
        <v>12507235</v>
      </c>
      <c r="I35632">
        <v>17272716</v>
      </c>
      <c r="J35632">
        <v>3</v>
      </c>
    </row>
    <row r="35633" spans="1:10" x14ac:dyDescent="0.25">
      <c r="A35633" t="s">
        <v>387</v>
      </c>
      <c r="B35633" s="1" t="str">
        <f>HYPERLINK("http://benandjerrys.pt","benandjerrys.pt")</f>
        <v>benandjerrys.pt</v>
      </c>
      <c r="C35633" t="s">
        <v>488</v>
      </c>
      <c r="D35633" t="s">
        <v>862</v>
      </c>
      <c r="F35633">
        <v>1.01690725333363E-8</v>
      </c>
      <c r="G35633">
        <v>6577312</v>
      </c>
      <c r="H35633">
        <v>14486889</v>
      </c>
      <c r="I35633">
        <v>956852</v>
      </c>
      <c r="J35633">
        <v>6</v>
      </c>
    </row>
    <row r="35634" spans="1:10" x14ac:dyDescent="0.25">
      <c r="A35634" t="s">
        <v>387</v>
      </c>
      <c r="B35634" s="1" t="str">
        <f>HYPERLINK("http://calve.pt","calve.pt")</f>
        <v>calve.pt</v>
      </c>
      <c r="C35634" t="s">
        <v>488</v>
      </c>
      <c r="D35634" t="s">
        <v>862</v>
      </c>
      <c r="F35634">
        <v>7.6500150095741297E-9</v>
      </c>
      <c r="G35634">
        <v>10686042</v>
      </c>
      <c r="H35634">
        <v>13766161</v>
      </c>
      <c r="I35634">
        <v>7029167</v>
      </c>
      <c r="J35634">
        <v>5</v>
      </c>
    </row>
    <row r="35635" spans="1:10" x14ac:dyDescent="0.25">
      <c r="A35635" t="s">
        <v>387</v>
      </c>
      <c r="B35635" s="1" t="str">
        <f>HYPERLINK("http://unileverfoodsolutions.pt","unileverfoodsolutions.pt")</f>
        <v>unileverfoodsolutions.pt</v>
      </c>
      <c r="C35635" t="s">
        <v>488</v>
      </c>
      <c r="D35635" t="s">
        <v>862</v>
      </c>
      <c r="F35635">
        <v>1.81059223461793E-8</v>
      </c>
      <c r="G35635">
        <v>3008583</v>
      </c>
      <c r="H35635">
        <v>12730579</v>
      </c>
      <c r="I35635">
        <v>15195359</v>
      </c>
      <c r="J35635">
        <v>3</v>
      </c>
    </row>
    <row r="35636" spans="1:10" x14ac:dyDescent="0.25">
      <c r="A35636" t="s">
        <v>387</v>
      </c>
      <c r="B35636" s="1" t="str">
        <f>HYPERLINK("http://betty.ro","betty.ro")</f>
        <v>betty.ro</v>
      </c>
      <c r="C35636" t="s">
        <v>491</v>
      </c>
      <c r="D35636" t="s">
        <v>865</v>
      </c>
      <c r="E35636">
        <v>941905</v>
      </c>
      <c r="F35636">
        <v>5.79917720928673E-9</v>
      </c>
      <c r="G35636">
        <v>18092714</v>
      </c>
      <c r="H35636">
        <v>11451149</v>
      </c>
      <c r="I35636">
        <v>30116213</v>
      </c>
      <c r="J35636">
        <v>3</v>
      </c>
    </row>
    <row r="35637" spans="1:10" x14ac:dyDescent="0.25">
      <c r="A35637" t="s">
        <v>387</v>
      </c>
      <c r="B35637" s="1" t="str">
        <f>HYPERLINK("http://frufru.ro","frufru.ro")</f>
        <v>frufru.ro</v>
      </c>
      <c r="C35637" t="s">
        <v>491</v>
      </c>
      <c r="D35637" t="s">
        <v>865</v>
      </c>
      <c r="F35637">
        <v>1.00495605176575E-8</v>
      </c>
      <c r="G35637">
        <v>6705950</v>
      </c>
      <c r="H35637">
        <v>13764046</v>
      </c>
      <c r="I35637">
        <v>7411509</v>
      </c>
      <c r="J35637">
        <v>5</v>
      </c>
    </row>
    <row r="35638" spans="1:10" x14ac:dyDescent="0.25">
      <c r="A35638" t="s">
        <v>387</v>
      </c>
      <c r="B35638" s="1" t="str">
        <f>HYPERLINK("http://hellmanns.ro","hellmanns.ro")</f>
        <v>hellmanns.ro</v>
      </c>
      <c r="C35638" t="s">
        <v>491</v>
      </c>
      <c r="D35638" t="s">
        <v>865</v>
      </c>
      <c r="F35638">
        <v>5.9867298488837099E-9</v>
      </c>
      <c r="G35638">
        <v>16776984</v>
      </c>
      <c r="H35638">
        <v>10691986</v>
      </c>
      <c r="I35638">
        <v>42462921</v>
      </c>
      <c r="J35638">
        <v>3</v>
      </c>
    </row>
    <row r="35639" spans="1:10" x14ac:dyDescent="0.25">
      <c r="A35639" t="s">
        <v>387</v>
      </c>
      <c r="B35639" s="1" t="str">
        <f>HYPERLINK("http://paulaschoice.ro","paulaschoice.ro")</f>
        <v>paulaschoice.ro</v>
      </c>
      <c r="C35639" t="s">
        <v>491</v>
      </c>
      <c r="D35639" t="s">
        <v>865</v>
      </c>
      <c r="F35639">
        <v>2.37872394377884E-8</v>
      </c>
      <c r="G35639">
        <v>2184443</v>
      </c>
      <c r="H35639">
        <v>14122138</v>
      </c>
      <c r="I35639">
        <v>2223873</v>
      </c>
      <c r="J35639">
        <v>4</v>
      </c>
    </row>
    <row r="35640" spans="1:10" x14ac:dyDescent="0.25">
      <c r="A35640" t="s">
        <v>387</v>
      </c>
      <c r="B35640" s="1" t="str">
        <f>HYPERLINK("http://unilever.ro","unilever.ro")</f>
        <v>unilever.ro</v>
      </c>
      <c r="C35640" t="s">
        <v>491</v>
      </c>
      <c r="D35640" t="s">
        <v>865</v>
      </c>
      <c r="F35640">
        <v>6.6782462969631097E-8</v>
      </c>
      <c r="G35640">
        <v>641027</v>
      </c>
      <c r="H35640">
        <v>13773958</v>
      </c>
      <c r="I35640">
        <v>6617942</v>
      </c>
      <c r="J35640">
        <v>2</v>
      </c>
    </row>
    <row r="35641" spans="1:10" x14ac:dyDescent="0.25">
      <c r="A35641" t="s">
        <v>387</v>
      </c>
      <c r="B35641" s="1" t="str">
        <f>HYPERLINK("http://unileverfoodsolutions.ro","unileverfoodsolutions.ro")</f>
        <v>unileverfoodsolutions.ro</v>
      </c>
      <c r="C35641" t="s">
        <v>491</v>
      </c>
      <c r="D35641" t="s">
        <v>865</v>
      </c>
      <c r="F35641">
        <v>1.72414801340152E-8</v>
      </c>
      <c r="G35641">
        <v>3214329</v>
      </c>
      <c r="H35641">
        <v>14061598</v>
      </c>
      <c r="I35641">
        <v>3767379</v>
      </c>
      <c r="J35641">
        <v>3</v>
      </c>
    </row>
    <row r="35642" spans="1:10" x14ac:dyDescent="0.25">
      <c r="A35642" t="s">
        <v>387</v>
      </c>
      <c r="B35642" s="1" t="str">
        <f>HYPERLINK("http://unilever.rs","unilever.rs")</f>
        <v>unilever.rs</v>
      </c>
      <c r="C35642" t="s">
        <v>492</v>
      </c>
      <c r="D35642" t="s">
        <v>866</v>
      </c>
      <c r="F35642">
        <v>2.9183403968579101E-8</v>
      </c>
      <c r="G35642">
        <v>1764904</v>
      </c>
      <c r="H35642">
        <v>12581423</v>
      </c>
      <c r="I35642">
        <v>16493242</v>
      </c>
      <c r="J35642">
        <v>2</v>
      </c>
    </row>
    <row r="35643" spans="1:10" x14ac:dyDescent="0.25">
      <c r="A35643" t="s">
        <v>387</v>
      </c>
      <c r="B35643" s="1" t="str">
        <f>HYPERLINK("http://knorr.ru","knorr.ru")</f>
        <v>knorr.ru</v>
      </c>
      <c r="C35643" t="s">
        <v>493</v>
      </c>
      <c r="D35643" t="s">
        <v>867</v>
      </c>
      <c r="F35643">
        <v>2.01748956156597E-8</v>
      </c>
      <c r="G35643">
        <v>2632628</v>
      </c>
      <c r="H35643">
        <v>12251740</v>
      </c>
      <c r="I35643">
        <v>21968844</v>
      </c>
      <c r="J35643">
        <v>5</v>
      </c>
    </row>
    <row r="35644" spans="1:10" x14ac:dyDescent="0.25">
      <c r="A35644" t="s">
        <v>387</v>
      </c>
      <c r="B35644" s="1" t="str">
        <f>HYPERLINK("http://unilever.ru","unilever.ru")</f>
        <v>unilever.ru</v>
      </c>
      <c r="C35644" t="s">
        <v>493</v>
      </c>
      <c r="D35644" t="s">
        <v>867</v>
      </c>
      <c r="E35644">
        <v>574054</v>
      </c>
      <c r="F35644">
        <v>1.4259759539106699E-7</v>
      </c>
      <c r="G35644">
        <v>272998</v>
      </c>
      <c r="H35644">
        <v>14091732</v>
      </c>
      <c r="I35644">
        <v>2742619</v>
      </c>
      <c r="J35644">
        <v>2</v>
      </c>
    </row>
    <row r="35645" spans="1:10" x14ac:dyDescent="0.25">
      <c r="A35645" t="s">
        <v>387</v>
      </c>
      <c r="B35645" s="1" t="str">
        <f>HYPERLINK("http://unileverfoodsolutions.ru","unileverfoodsolutions.ru")</f>
        <v>unileverfoodsolutions.ru</v>
      </c>
      <c r="C35645" t="s">
        <v>493</v>
      </c>
      <c r="D35645" t="s">
        <v>867</v>
      </c>
      <c r="F35645">
        <v>1.46791112130212E-8</v>
      </c>
      <c r="G35645">
        <v>3948212</v>
      </c>
      <c r="H35645">
        <v>12306573</v>
      </c>
      <c r="I35645">
        <v>20703997</v>
      </c>
      <c r="J35645">
        <v>3</v>
      </c>
    </row>
    <row r="35646" spans="1:10" x14ac:dyDescent="0.25">
      <c r="A35646" t="s">
        <v>387</v>
      </c>
      <c r="B35646" s="1" t="str">
        <f>HYPERLINK("http://benjerry.se","benjerry.se")</f>
        <v>benjerry.se</v>
      </c>
      <c r="C35646" t="s">
        <v>495</v>
      </c>
      <c r="D35646" t="s">
        <v>869</v>
      </c>
      <c r="F35646">
        <v>2.3000377531958299E-8</v>
      </c>
      <c r="G35646">
        <v>2271764</v>
      </c>
      <c r="H35646">
        <v>14123169</v>
      </c>
      <c r="I35646">
        <v>2185609</v>
      </c>
      <c r="J35646">
        <v>3</v>
      </c>
    </row>
    <row r="35647" spans="1:10" x14ac:dyDescent="0.25">
      <c r="A35647" t="s">
        <v>387</v>
      </c>
      <c r="B35647" s="1" t="str">
        <f>HYPERLINK("http://blueair.se","blueair.se")</f>
        <v>blueair.se</v>
      </c>
      <c r="C35647" t="s">
        <v>495</v>
      </c>
      <c r="D35647" t="s">
        <v>869</v>
      </c>
      <c r="F35647">
        <v>5.2612812984645802E-9</v>
      </c>
      <c r="G35647">
        <v>24084890</v>
      </c>
      <c r="H35647">
        <v>12420726</v>
      </c>
      <c r="I35647">
        <v>18442623</v>
      </c>
      <c r="J35647">
        <v>4</v>
      </c>
    </row>
    <row r="35648" spans="1:10" x14ac:dyDescent="0.25">
      <c r="A35648" t="s">
        <v>387</v>
      </c>
      <c r="B35648" s="1" t="str">
        <f>HYPERLINK("http://pepsodent.se","pepsodent.se")</f>
        <v>pepsodent.se</v>
      </c>
      <c r="C35648" t="s">
        <v>495</v>
      </c>
      <c r="D35648" t="s">
        <v>869</v>
      </c>
      <c r="F35648">
        <v>1.3931834412905199E-8</v>
      </c>
      <c r="G35648">
        <v>4228769</v>
      </c>
      <c r="H35648">
        <v>13763656</v>
      </c>
      <c r="I35648">
        <v>7880410</v>
      </c>
      <c r="J35648">
        <v>3</v>
      </c>
    </row>
    <row r="35649" spans="1:10" x14ac:dyDescent="0.25">
      <c r="A35649" t="s">
        <v>387</v>
      </c>
      <c r="B35649" s="1" t="str">
        <f>HYPERLINK("http://unilever.se","unilever.se")</f>
        <v>unilever.se</v>
      </c>
      <c r="C35649" t="s">
        <v>495</v>
      </c>
      <c r="D35649" t="s">
        <v>869</v>
      </c>
      <c r="F35649">
        <v>7.3967325267487397E-8</v>
      </c>
      <c r="G35649">
        <v>569235</v>
      </c>
      <c r="H35649">
        <v>14487813</v>
      </c>
      <c r="I35649">
        <v>941860</v>
      </c>
      <c r="J35649">
        <v>2</v>
      </c>
    </row>
    <row r="35650" spans="1:10" x14ac:dyDescent="0.25">
      <c r="A35650" t="s">
        <v>387</v>
      </c>
      <c r="B35650" s="1" t="str">
        <f>HYPERLINK("http://unileverfoodsolutions.se","unileverfoodsolutions.se")</f>
        <v>unileverfoodsolutions.se</v>
      </c>
      <c r="C35650" t="s">
        <v>495</v>
      </c>
      <c r="D35650" t="s">
        <v>869</v>
      </c>
      <c r="F35650">
        <v>1.9601909987408399E-8</v>
      </c>
      <c r="G35650">
        <v>2727794</v>
      </c>
      <c r="H35650">
        <v>14121098</v>
      </c>
      <c r="I35650">
        <v>2278732</v>
      </c>
      <c r="J35650">
        <v>3</v>
      </c>
    </row>
    <row r="35651" spans="1:10" x14ac:dyDescent="0.25">
      <c r="A35651" t="s">
        <v>387</v>
      </c>
      <c r="B35651" s="1" t="str">
        <f>HYPERLINK("http://zendium.se","zendium.se")</f>
        <v>zendium.se</v>
      </c>
      <c r="C35651" t="s">
        <v>495</v>
      </c>
      <c r="D35651" t="s">
        <v>869</v>
      </c>
      <c r="F35651">
        <v>8.0424861942669994E-9</v>
      </c>
      <c r="G35651">
        <v>9843587</v>
      </c>
      <c r="H35651">
        <v>10877382</v>
      </c>
      <c r="I35651">
        <v>36371722</v>
      </c>
      <c r="J35651">
        <v>3</v>
      </c>
    </row>
    <row r="35652" spans="1:10" x14ac:dyDescent="0.25">
      <c r="A35652" t="s">
        <v>387</v>
      </c>
      <c r="B35652" s="1" t="str">
        <f>HYPERLINK("http://benjerry.com.sg","benjerry.com.sg")</f>
        <v>benjerry.com.sg</v>
      </c>
      <c r="C35652" t="s">
        <v>496</v>
      </c>
      <c r="D35652" t="s">
        <v>870</v>
      </c>
      <c r="F35652">
        <v>1.7424858812647899E-8</v>
      </c>
      <c r="G35652">
        <v>3167243</v>
      </c>
      <c r="H35652">
        <v>13784597</v>
      </c>
      <c r="I35652">
        <v>6411120</v>
      </c>
      <c r="J35652">
        <v>3</v>
      </c>
    </row>
    <row r="35653" spans="1:10" x14ac:dyDescent="0.25">
      <c r="A35653" t="s">
        <v>387</v>
      </c>
      <c r="B35653" s="1" t="str">
        <f>HYPERLINK("http://dermalogica.com.sg","dermalogica.com.sg")</f>
        <v>dermalogica.com.sg</v>
      </c>
      <c r="C35653" t="s">
        <v>496</v>
      </c>
      <c r="D35653" t="s">
        <v>870</v>
      </c>
      <c r="F35653">
        <v>1.4979916873969901E-8</v>
      </c>
      <c r="G35653">
        <v>3846559</v>
      </c>
      <c r="H35653">
        <v>13566043</v>
      </c>
      <c r="I35653">
        <v>9762753</v>
      </c>
      <c r="J35653">
        <v>4</v>
      </c>
    </row>
    <row r="35654" spans="1:10" x14ac:dyDescent="0.25">
      <c r="A35654" t="s">
        <v>387</v>
      </c>
      <c r="B35654" s="1" t="str">
        <f>HYPERLINK("http://unilever.com.sg","unilever.com.sg")</f>
        <v>unilever.com.sg</v>
      </c>
      <c r="C35654" t="s">
        <v>496</v>
      </c>
      <c r="D35654" t="s">
        <v>870</v>
      </c>
      <c r="F35654">
        <v>6.3922230095301803E-8</v>
      </c>
      <c r="G35654">
        <v>678282</v>
      </c>
      <c r="H35654">
        <v>13803764</v>
      </c>
      <c r="I35654">
        <v>6260911</v>
      </c>
      <c r="J35654">
        <v>2</v>
      </c>
    </row>
    <row r="35655" spans="1:10" x14ac:dyDescent="0.25">
      <c r="A35655" t="s">
        <v>387</v>
      </c>
      <c r="B35655" s="1" t="str">
        <f>HYPERLINK("http://unileverfoodsolutions.com.sg","unileverfoodsolutions.com.sg")</f>
        <v>unileverfoodsolutions.com.sg</v>
      </c>
      <c r="C35655" t="s">
        <v>496</v>
      </c>
      <c r="D35655" t="s">
        <v>870</v>
      </c>
      <c r="F35655">
        <v>2.85764537829035E-8</v>
      </c>
      <c r="G35655">
        <v>1800740</v>
      </c>
      <c r="H35655">
        <v>12821386</v>
      </c>
      <c r="I35655">
        <v>14495312</v>
      </c>
      <c r="J35655">
        <v>3</v>
      </c>
    </row>
    <row r="35656" spans="1:10" x14ac:dyDescent="0.25">
      <c r="A35656" t="s">
        <v>387</v>
      </c>
      <c r="B35656" s="1" t="str">
        <f>HYPERLINK("http://paulaschoice.sg","paulaschoice.sg")</f>
        <v>paulaschoice.sg</v>
      </c>
      <c r="C35656" t="s">
        <v>496</v>
      </c>
      <c r="D35656" t="s">
        <v>870</v>
      </c>
      <c r="E35656">
        <v>634764</v>
      </c>
      <c r="F35656">
        <v>4.1718257858315899E-8</v>
      </c>
      <c r="G35656">
        <v>1183502</v>
      </c>
      <c r="H35656">
        <v>13587331</v>
      </c>
      <c r="I35656">
        <v>9674048</v>
      </c>
      <c r="J35656">
        <v>4</v>
      </c>
    </row>
    <row r="35657" spans="1:10" x14ac:dyDescent="0.25">
      <c r="A35657" t="s">
        <v>387</v>
      </c>
      <c r="B35657" s="1" t="str">
        <f>HYPERLINK("http://zendium.shop","zendium.shop")</f>
        <v>zendium.shop</v>
      </c>
      <c r="C35657" t="s">
        <v>708</v>
      </c>
      <c r="F35657">
        <v>4.9056510998962499E-9</v>
      </c>
      <c r="G35657">
        <v>32305270</v>
      </c>
      <c r="H35657">
        <v>12238939</v>
      </c>
      <c r="I35657">
        <v>22289411</v>
      </c>
      <c r="J35657">
        <v>4</v>
      </c>
    </row>
    <row r="35658" spans="1:10" x14ac:dyDescent="0.25">
      <c r="A35658" t="s">
        <v>387</v>
      </c>
      <c r="B35658" s="1" t="str">
        <f>HYPERLINK("http://dermalogica.si","dermalogica.si")</f>
        <v>dermalogica.si</v>
      </c>
      <c r="C35658" t="s">
        <v>497</v>
      </c>
      <c r="D35658" t="s">
        <v>871</v>
      </c>
      <c r="F35658">
        <v>8.8948535645133405E-9</v>
      </c>
      <c r="G35658">
        <v>8152088</v>
      </c>
      <c r="H35658">
        <v>10938129</v>
      </c>
      <c r="I35658">
        <v>34877542</v>
      </c>
      <c r="J35658">
        <v>5</v>
      </c>
    </row>
    <row r="35659" spans="1:10" x14ac:dyDescent="0.25">
      <c r="A35659" t="s">
        <v>387</v>
      </c>
      <c r="B35659" s="1" t="str">
        <f>HYPERLINK("http://unilever.si","unilever.si")</f>
        <v>unilever.si</v>
      </c>
      <c r="C35659" t="s">
        <v>497</v>
      </c>
      <c r="D35659" t="s">
        <v>871</v>
      </c>
      <c r="F35659">
        <v>2.9183403680980999E-8</v>
      </c>
      <c r="G35659">
        <v>1764905</v>
      </c>
      <c r="H35659">
        <v>12581423</v>
      </c>
      <c r="I35659">
        <v>16493244</v>
      </c>
      <c r="J35659">
        <v>2</v>
      </c>
    </row>
    <row r="35660" spans="1:10" x14ac:dyDescent="0.25">
      <c r="A35660" t="s">
        <v>387</v>
      </c>
      <c r="B35660" s="1" t="str">
        <f>HYPERLINK("http://unileverfoodsolutions.si","unileverfoodsolutions.si")</f>
        <v>unileverfoodsolutions.si</v>
      </c>
      <c r="C35660" t="s">
        <v>497</v>
      </c>
      <c r="D35660" t="s">
        <v>871</v>
      </c>
      <c r="F35660">
        <v>1.33533850884352E-8</v>
      </c>
      <c r="G35660">
        <v>4470077</v>
      </c>
      <c r="H35660">
        <v>12190432</v>
      </c>
      <c r="I35660">
        <v>23576111</v>
      </c>
      <c r="J35660">
        <v>3</v>
      </c>
    </row>
    <row r="35661" spans="1:10" x14ac:dyDescent="0.25">
      <c r="A35661" t="s">
        <v>387</v>
      </c>
      <c r="B35661" s="1" t="str">
        <f>HYPERLINK("http://hellmanns.sk","hellmanns.sk")</f>
        <v>hellmanns.sk</v>
      </c>
      <c r="C35661" t="s">
        <v>498</v>
      </c>
      <c r="D35661" t="s">
        <v>872</v>
      </c>
      <c r="F35661">
        <v>8.2221077807294003E-9</v>
      </c>
      <c r="G35661">
        <v>9463776</v>
      </c>
      <c r="H35661">
        <v>13765202</v>
      </c>
      <c r="I35661">
        <v>7129821</v>
      </c>
      <c r="J35661">
        <v>3</v>
      </c>
    </row>
    <row r="35662" spans="1:10" x14ac:dyDescent="0.25">
      <c r="A35662" t="s">
        <v>387</v>
      </c>
      <c r="B35662" s="1" t="str">
        <f>HYPERLINK("http://unilever.sk","unilever.sk")</f>
        <v>unilever.sk</v>
      </c>
      <c r="C35662" t="s">
        <v>498</v>
      </c>
      <c r="D35662" t="s">
        <v>872</v>
      </c>
      <c r="F35662">
        <v>6.8588758069595405E-8</v>
      </c>
      <c r="G35662">
        <v>620461</v>
      </c>
      <c r="H35662">
        <v>13773920</v>
      </c>
      <c r="I35662">
        <v>6618890</v>
      </c>
      <c r="J35662">
        <v>2</v>
      </c>
    </row>
    <row r="35663" spans="1:10" x14ac:dyDescent="0.25">
      <c r="A35663" t="s">
        <v>387</v>
      </c>
      <c r="B35663" s="1" t="str">
        <f>HYPERLINK("http://unileverfoodsolutions.sk","unileverfoodsolutions.sk")</f>
        <v>unileverfoodsolutions.sk</v>
      </c>
      <c r="C35663" t="s">
        <v>498</v>
      </c>
      <c r="D35663" t="s">
        <v>872</v>
      </c>
      <c r="F35663">
        <v>1.4062488382004101E-8</v>
      </c>
      <c r="G35663">
        <v>4179445</v>
      </c>
      <c r="H35663">
        <v>12196985</v>
      </c>
      <c r="I35663">
        <v>23398827</v>
      </c>
      <c r="J35663">
        <v>3</v>
      </c>
    </row>
    <row r="35664" spans="1:10" x14ac:dyDescent="0.25">
      <c r="A35664" t="s">
        <v>387</v>
      </c>
      <c r="B35664" s="1" t="str">
        <f>HYPERLINK("http://benjerry.co.th","benjerry.co.th")</f>
        <v>benjerry.co.th</v>
      </c>
      <c r="C35664" t="s">
        <v>500</v>
      </c>
      <c r="D35664" t="s">
        <v>874</v>
      </c>
      <c r="F35664">
        <v>8.8653411659105005E-9</v>
      </c>
      <c r="G35664">
        <v>8199183</v>
      </c>
      <c r="H35664">
        <v>12628233</v>
      </c>
      <c r="I35664">
        <v>16004510</v>
      </c>
      <c r="J35664">
        <v>3</v>
      </c>
    </row>
    <row r="35665" spans="1:10" x14ac:dyDescent="0.25">
      <c r="A35665" t="s">
        <v>387</v>
      </c>
      <c r="B35665" s="1" t="str">
        <f>HYPERLINK("http://dermalogica.co.th","dermalogica.co.th")</f>
        <v>dermalogica.co.th</v>
      </c>
      <c r="C35665" t="s">
        <v>500</v>
      </c>
      <c r="D35665" t="s">
        <v>874</v>
      </c>
      <c r="F35665">
        <v>8.8973987208449695E-9</v>
      </c>
      <c r="G35665">
        <v>8148051</v>
      </c>
      <c r="H35665">
        <v>12203336</v>
      </c>
      <c r="I35665">
        <v>23235224</v>
      </c>
      <c r="J35665">
        <v>4</v>
      </c>
    </row>
    <row r="35666" spans="1:10" x14ac:dyDescent="0.25">
      <c r="A35666" t="s">
        <v>387</v>
      </c>
      <c r="B35666" s="1" t="str">
        <f>HYPERLINK("http://paulaschoice.co.th","paulaschoice.co.th")</f>
        <v>paulaschoice.co.th</v>
      </c>
      <c r="C35666" t="s">
        <v>500</v>
      </c>
      <c r="D35666" t="s">
        <v>874</v>
      </c>
      <c r="F35666">
        <v>2.7259893716357101E-8</v>
      </c>
      <c r="G35666">
        <v>1886089</v>
      </c>
      <c r="H35666">
        <v>12682538</v>
      </c>
      <c r="I35666">
        <v>15475557</v>
      </c>
      <c r="J35666">
        <v>5</v>
      </c>
    </row>
    <row r="35667" spans="1:10" x14ac:dyDescent="0.25">
      <c r="A35667" t="s">
        <v>387</v>
      </c>
      <c r="B35667" s="1" t="str">
        <f>HYPERLINK("http://unilever.co.th","unilever.co.th")</f>
        <v>unilever.co.th</v>
      </c>
      <c r="C35667" t="s">
        <v>500</v>
      </c>
      <c r="D35667" t="s">
        <v>874</v>
      </c>
      <c r="F35667">
        <v>6.1322264601007506E-8</v>
      </c>
      <c r="G35667">
        <v>717981</v>
      </c>
      <c r="H35667">
        <v>12871274</v>
      </c>
      <c r="I35667">
        <v>14059767</v>
      </c>
      <c r="J35667">
        <v>2</v>
      </c>
    </row>
    <row r="35668" spans="1:10" x14ac:dyDescent="0.25">
      <c r="A35668" t="s">
        <v>387</v>
      </c>
      <c r="B35668" s="1" t="str">
        <f>HYPERLINK("http://unileverfoodsolutions.co.th","unileverfoodsolutions.co.th")</f>
        <v>unileverfoodsolutions.co.th</v>
      </c>
      <c r="C35668" t="s">
        <v>500</v>
      </c>
      <c r="D35668" t="s">
        <v>874</v>
      </c>
      <c r="F35668">
        <v>2.29252677530832E-8</v>
      </c>
      <c r="G35668">
        <v>2280029</v>
      </c>
      <c r="H35668">
        <v>12486241</v>
      </c>
      <c r="I35668">
        <v>17530865</v>
      </c>
      <c r="J35668">
        <v>3</v>
      </c>
    </row>
    <row r="35669" spans="1:10" x14ac:dyDescent="0.25">
      <c r="A35669" t="s">
        <v>387</v>
      </c>
      <c r="B35669" s="1" t="str">
        <f>HYPERLINK("http://calve.com.tr","calve.com.tr")</f>
        <v>calve.com.tr</v>
      </c>
      <c r="C35669" t="s">
        <v>502</v>
      </c>
      <c r="D35669" t="s">
        <v>876</v>
      </c>
      <c r="E35669">
        <v>559489</v>
      </c>
      <c r="F35669">
        <v>7.1113902503557103E-9</v>
      </c>
      <c r="G35669">
        <v>11982484</v>
      </c>
      <c r="H35669">
        <v>14236075</v>
      </c>
      <c r="I35669">
        <v>1616061</v>
      </c>
      <c r="J35669">
        <v>5</v>
      </c>
    </row>
    <row r="35670" spans="1:10" x14ac:dyDescent="0.25">
      <c r="A35670" t="s">
        <v>387</v>
      </c>
      <c r="B35670" s="1" t="str">
        <f>HYPERLINK("http://dermalogica.com.tr","dermalogica.com.tr")</f>
        <v>dermalogica.com.tr</v>
      </c>
      <c r="C35670" t="s">
        <v>502</v>
      </c>
      <c r="D35670" t="s">
        <v>876</v>
      </c>
      <c r="F35670">
        <v>9.3084011726038495E-9</v>
      </c>
      <c r="G35670">
        <v>7561582</v>
      </c>
      <c r="H35670">
        <v>12451582</v>
      </c>
      <c r="I35670">
        <v>17977406</v>
      </c>
      <c r="J35670">
        <v>4</v>
      </c>
    </row>
    <row r="35671" spans="1:10" x14ac:dyDescent="0.25">
      <c r="A35671" t="s">
        <v>387</v>
      </c>
      <c r="B35671" s="1" t="str">
        <f>HYPERLINK("http://omo.com.tr","omo.com.tr")</f>
        <v>omo.com.tr</v>
      </c>
      <c r="C35671" t="s">
        <v>502</v>
      </c>
      <c r="D35671" t="s">
        <v>876</v>
      </c>
      <c r="F35671">
        <v>6.9882085599493596E-9</v>
      </c>
      <c r="G35671">
        <v>12346855</v>
      </c>
      <c r="H35671">
        <v>14236081</v>
      </c>
      <c r="I35671">
        <v>1612082</v>
      </c>
      <c r="J35671">
        <v>4</v>
      </c>
    </row>
    <row r="35672" spans="1:10" x14ac:dyDescent="0.25">
      <c r="A35672" t="s">
        <v>387</v>
      </c>
      <c r="B35672" s="1" t="str">
        <f>HYPERLINK("http://seventhgeneration.com.tr","seventhgeneration.com.tr")</f>
        <v>seventhgeneration.com.tr</v>
      </c>
      <c r="C35672" t="s">
        <v>502</v>
      </c>
      <c r="D35672" t="s">
        <v>876</v>
      </c>
      <c r="F35672">
        <v>4.6486051879622704E-9</v>
      </c>
      <c r="G35672">
        <v>44228426</v>
      </c>
      <c r="H35672">
        <v>10455107</v>
      </c>
      <c r="I35672">
        <v>51983455</v>
      </c>
      <c r="J35672">
        <v>4</v>
      </c>
    </row>
    <row r="35673" spans="1:10" x14ac:dyDescent="0.25">
      <c r="A35673" t="s">
        <v>387</v>
      </c>
      <c r="B35673" s="1" t="str">
        <f>HYPERLINK("http://unilever.com.tr","unilever.com.tr")</f>
        <v>unilever.com.tr</v>
      </c>
      <c r="C35673" t="s">
        <v>502</v>
      </c>
      <c r="D35673" t="s">
        <v>876</v>
      </c>
      <c r="F35673">
        <v>8.24640320460785E-8</v>
      </c>
      <c r="G35673">
        <v>505925</v>
      </c>
      <c r="H35673">
        <v>14239549</v>
      </c>
      <c r="I35673">
        <v>1510972</v>
      </c>
      <c r="J35673">
        <v>2</v>
      </c>
    </row>
    <row r="35674" spans="1:10" x14ac:dyDescent="0.25">
      <c r="A35674" t="s">
        <v>387</v>
      </c>
      <c r="B35674" s="1" t="str">
        <f>HYPERLINK("http://unileverfoodsolutions.com.tr","unileverfoodsolutions.com.tr")</f>
        <v>unileverfoodsolutions.com.tr</v>
      </c>
      <c r="C35674" t="s">
        <v>502</v>
      </c>
      <c r="D35674" t="s">
        <v>876</v>
      </c>
      <c r="F35674">
        <v>1.79007064926487E-8</v>
      </c>
      <c r="G35674">
        <v>3053325</v>
      </c>
      <c r="H35674">
        <v>14071911</v>
      </c>
      <c r="I35674">
        <v>3228903</v>
      </c>
      <c r="J35674">
        <v>3</v>
      </c>
    </row>
    <row r="35675" spans="1:10" x14ac:dyDescent="0.25">
      <c r="A35675" t="s">
        <v>387</v>
      </c>
      <c r="B35675" s="1" t="str">
        <f>HYPERLINK("http://zendium.com.tr","zendium.com.tr")</f>
        <v>zendium.com.tr</v>
      </c>
      <c r="C35675" t="s">
        <v>502</v>
      </c>
      <c r="D35675" t="s">
        <v>876</v>
      </c>
      <c r="E35675">
        <v>277281</v>
      </c>
      <c r="F35675">
        <v>6.5163057590102502E-9</v>
      </c>
      <c r="G35675">
        <v>14010433</v>
      </c>
      <c r="H35675">
        <v>10733817</v>
      </c>
      <c r="I35675">
        <v>40718875</v>
      </c>
      <c r="J35675">
        <v>3</v>
      </c>
    </row>
    <row r="35676" spans="1:10" x14ac:dyDescent="0.25">
      <c r="A35676" t="s">
        <v>387</v>
      </c>
      <c r="B35676" s="1" t="str">
        <f>HYPERLINK("http://unilever.tt","unilever.tt")</f>
        <v>unilever.tt</v>
      </c>
      <c r="C35676" t="s">
        <v>503</v>
      </c>
      <c r="D35676" t="s">
        <v>877</v>
      </c>
      <c r="F35676">
        <v>1.08070852140477E-8</v>
      </c>
      <c r="G35676">
        <v>6015083</v>
      </c>
      <c r="H35676">
        <v>12972850</v>
      </c>
      <c r="I35676">
        <v>13030722</v>
      </c>
      <c r="J35676">
        <v>3</v>
      </c>
    </row>
    <row r="35677" spans="1:10" x14ac:dyDescent="0.25">
      <c r="A35677" t="s">
        <v>387</v>
      </c>
      <c r="B35677" s="1" t="str">
        <f>HYPERLINK("http://dermalogica.com.tw","dermalogica.com.tw")</f>
        <v>dermalogica.com.tw</v>
      </c>
      <c r="C35677" t="s">
        <v>504</v>
      </c>
      <c r="D35677" t="s">
        <v>878</v>
      </c>
      <c r="F35677">
        <v>8.0208388612614505E-9</v>
      </c>
      <c r="G35677">
        <v>9882809</v>
      </c>
      <c r="H35677">
        <v>10964556</v>
      </c>
      <c r="I35677">
        <v>34254865</v>
      </c>
      <c r="J35677">
        <v>4</v>
      </c>
    </row>
    <row r="35678" spans="1:10" x14ac:dyDescent="0.25">
      <c r="A35678" t="s">
        <v>387</v>
      </c>
      <c r="B35678" s="1" t="str">
        <f>HYPERLINK("http://paulaschoice.com.tw","paulaschoice.com.tw")</f>
        <v>paulaschoice.com.tw</v>
      </c>
      <c r="C35678" t="s">
        <v>504</v>
      </c>
      <c r="D35678" t="s">
        <v>878</v>
      </c>
      <c r="E35678">
        <v>917519</v>
      </c>
      <c r="F35678">
        <v>3.8579753357684599E-8</v>
      </c>
      <c r="G35678">
        <v>1336647</v>
      </c>
      <c r="H35678">
        <v>14069126</v>
      </c>
      <c r="I35678">
        <v>3721433</v>
      </c>
      <c r="J35678">
        <v>4</v>
      </c>
    </row>
    <row r="35679" spans="1:10" x14ac:dyDescent="0.25">
      <c r="A35679" t="s">
        <v>387</v>
      </c>
      <c r="B35679" s="1" t="str">
        <f>HYPERLINK("http://unilever.com.tw","unilever.com.tw")</f>
        <v>unilever.com.tw</v>
      </c>
      <c r="C35679" t="s">
        <v>504</v>
      </c>
      <c r="D35679" t="s">
        <v>878</v>
      </c>
      <c r="F35679">
        <v>5.2247867721508302E-8</v>
      </c>
      <c r="G35679">
        <v>873398</v>
      </c>
      <c r="H35679">
        <v>12720227</v>
      </c>
      <c r="I35679">
        <v>15251803</v>
      </c>
      <c r="J35679">
        <v>2</v>
      </c>
    </row>
    <row r="35680" spans="1:10" x14ac:dyDescent="0.25">
      <c r="A35680" t="s">
        <v>387</v>
      </c>
      <c r="B35680" s="1" t="str">
        <f>HYPERLINK("http://unileverfoodsolutions.tw","unileverfoodsolutions.tw")</f>
        <v>unileverfoodsolutions.tw</v>
      </c>
      <c r="C35680" t="s">
        <v>504</v>
      </c>
      <c r="D35680" t="s">
        <v>878</v>
      </c>
      <c r="F35680">
        <v>6.2031231165265603E-8</v>
      </c>
      <c r="G35680">
        <v>708793</v>
      </c>
      <c r="H35680">
        <v>16775116</v>
      </c>
      <c r="I35680">
        <v>219393</v>
      </c>
      <c r="J35680">
        <v>3</v>
      </c>
    </row>
    <row r="35681" spans="1:10" x14ac:dyDescent="0.25">
      <c r="A35681" t="s">
        <v>387</v>
      </c>
      <c r="B35681" s="1" t="str">
        <f>HYPERLINK("http://unileverfoodsolutions.com.ua","unileverfoodsolutions.com.ua")</f>
        <v>unileverfoodsolutions.com.ua</v>
      </c>
      <c r="C35681" t="s">
        <v>505</v>
      </c>
      <c r="D35681" t="s">
        <v>879</v>
      </c>
      <c r="F35681">
        <v>1.33474455169081E-8</v>
      </c>
      <c r="G35681">
        <v>4472685</v>
      </c>
      <c r="H35681">
        <v>12190430</v>
      </c>
      <c r="I35681">
        <v>23576150</v>
      </c>
      <c r="J35681">
        <v>3</v>
      </c>
    </row>
    <row r="35682" spans="1:10" x14ac:dyDescent="0.25">
      <c r="A35682" t="s">
        <v>387</v>
      </c>
      <c r="B35682" s="1" t="str">
        <f>HYPERLINK("http://unilever.ua","unilever.ua")</f>
        <v>unilever.ua</v>
      </c>
      <c r="C35682" t="s">
        <v>505</v>
      </c>
      <c r="D35682" t="s">
        <v>879</v>
      </c>
      <c r="F35682">
        <v>3.8991423123526998E-8</v>
      </c>
      <c r="G35682">
        <v>1322516</v>
      </c>
      <c r="H35682">
        <v>13036163</v>
      </c>
      <c r="I35682">
        <v>12645542</v>
      </c>
      <c r="J35682">
        <v>2</v>
      </c>
    </row>
    <row r="35683" spans="1:10" x14ac:dyDescent="0.25">
      <c r="A35683" t="s">
        <v>387</v>
      </c>
      <c r="B35683" s="1" t="str">
        <f>HYPERLINK("http://benjerry.co.uk","benjerry.co.uk")</f>
        <v>benjerry.co.uk</v>
      </c>
      <c r="C35683" t="s">
        <v>506</v>
      </c>
      <c r="D35683" t="s">
        <v>880</v>
      </c>
      <c r="E35683">
        <v>392335</v>
      </c>
      <c r="F35683">
        <v>2.4551914069981502E-7</v>
      </c>
      <c r="G35683">
        <v>152378</v>
      </c>
      <c r="H35683">
        <v>15095206</v>
      </c>
      <c r="I35683">
        <v>407193</v>
      </c>
      <c r="J35683">
        <v>3</v>
      </c>
    </row>
    <row r="35684" spans="1:10" x14ac:dyDescent="0.25">
      <c r="A35684" t="s">
        <v>387</v>
      </c>
      <c r="B35684" s="1" t="str">
        <f>HYPERLINK("http://colmans.co.uk","colmans.co.uk")</f>
        <v>colmans.co.uk</v>
      </c>
      <c r="C35684" t="s">
        <v>506</v>
      </c>
      <c r="D35684" t="s">
        <v>880</v>
      </c>
      <c r="E35684">
        <v>253623</v>
      </c>
      <c r="F35684">
        <v>1.6533469385853899E-8</v>
      </c>
      <c r="G35684">
        <v>3405476</v>
      </c>
      <c r="H35684">
        <v>14122049</v>
      </c>
      <c r="I35684">
        <v>2227279</v>
      </c>
      <c r="J35684">
        <v>4</v>
      </c>
    </row>
    <row r="35685" spans="1:10" x14ac:dyDescent="0.25">
      <c r="A35685" t="s">
        <v>387</v>
      </c>
      <c r="B35685" s="1" t="str">
        <f>HYPERLINK("http://dermalogica.co.uk","dermalogica.co.uk")</f>
        <v>dermalogica.co.uk</v>
      </c>
      <c r="C35685" t="s">
        <v>506</v>
      </c>
      <c r="D35685" t="s">
        <v>880</v>
      </c>
      <c r="E35685">
        <v>289901</v>
      </c>
      <c r="F35685">
        <v>1.00334152702243E-7</v>
      </c>
      <c r="G35685">
        <v>400913</v>
      </c>
      <c r="H35685">
        <v>14474404</v>
      </c>
      <c r="I35685">
        <v>1035104</v>
      </c>
      <c r="J35685">
        <v>4</v>
      </c>
    </row>
    <row r="35686" spans="1:10" x14ac:dyDescent="0.25">
      <c r="A35686" t="s">
        <v>387</v>
      </c>
      <c r="B35686" s="1" t="str">
        <f>HYPERLINK("http://fendersteel.co.uk","fendersteel.co.uk")</f>
        <v>fendersteel.co.uk</v>
      </c>
      <c r="C35686" t="s">
        <v>506</v>
      </c>
      <c r="D35686" t="s">
        <v>880</v>
      </c>
      <c r="F35686">
        <v>4.4786436243685701E-9</v>
      </c>
      <c r="G35686">
        <v>62639758</v>
      </c>
      <c r="H35686">
        <v>10510403</v>
      </c>
      <c r="I35686">
        <v>49608600</v>
      </c>
      <c r="J35686">
        <v>3</v>
      </c>
    </row>
    <row r="35687" spans="1:10" x14ac:dyDescent="0.25">
      <c r="A35687" t="s">
        <v>387</v>
      </c>
      <c r="B35687" s="1" t="str">
        <f>HYPERLINK("http://finecheeseshops.co.uk","finecheeseshops.co.uk")</f>
        <v>finecheeseshops.co.uk</v>
      </c>
      <c r="C35687" t="s">
        <v>506</v>
      </c>
      <c r="D35687" t="s">
        <v>880</v>
      </c>
      <c r="F35687">
        <v>5.6975228720865604E-9</v>
      </c>
      <c r="G35687">
        <v>18982670</v>
      </c>
      <c r="H35687">
        <v>12300768</v>
      </c>
      <c r="I35687">
        <v>20816526</v>
      </c>
      <c r="J35687">
        <v>3</v>
      </c>
    </row>
    <row r="35688" spans="1:10" x14ac:dyDescent="0.25">
      <c r="A35688" t="s">
        <v>387</v>
      </c>
      <c r="B35688" s="1" t="str">
        <f>HYPERLINK("http://hourglasscosmetics.co.uk","hourglasscosmetics.co.uk")</f>
        <v>hourglasscosmetics.co.uk</v>
      </c>
      <c r="C35688" t="s">
        <v>506</v>
      </c>
      <c r="D35688" t="s">
        <v>880</v>
      </c>
      <c r="F35688">
        <v>3.6369816543422698E-8</v>
      </c>
      <c r="G35688">
        <v>1434849</v>
      </c>
      <c r="H35688">
        <v>14313674</v>
      </c>
      <c r="I35688">
        <v>1337839</v>
      </c>
      <c r="J35688">
        <v>4</v>
      </c>
    </row>
    <row r="35689" spans="1:10" x14ac:dyDescent="0.25">
      <c r="A35689" t="s">
        <v>387</v>
      </c>
      <c r="B35689" s="1" t="str">
        <f>HYPERLINK("http://katesomerville.co.uk","katesomerville.co.uk")</f>
        <v>katesomerville.co.uk</v>
      </c>
      <c r="C35689" t="s">
        <v>506</v>
      </c>
      <c r="D35689" t="s">
        <v>880</v>
      </c>
      <c r="F35689">
        <v>1.72954854138335E-8</v>
      </c>
      <c r="G35689">
        <v>3200278</v>
      </c>
      <c r="H35689">
        <v>13665637</v>
      </c>
      <c r="I35689">
        <v>9562126</v>
      </c>
      <c r="J35689">
        <v>4</v>
      </c>
    </row>
    <row r="35690" spans="1:10" x14ac:dyDescent="0.25">
      <c r="A35690" t="s">
        <v>387</v>
      </c>
      <c r="B35690" s="1" t="str">
        <f>HYPERLINK("http://knorr.co.uk","knorr.co.uk")</f>
        <v>knorr.co.uk</v>
      </c>
      <c r="C35690" t="s">
        <v>506</v>
      </c>
      <c r="D35690" t="s">
        <v>880</v>
      </c>
      <c r="F35690">
        <v>1.81618657652415E-6</v>
      </c>
      <c r="G35690">
        <v>20956</v>
      </c>
      <c r="H35690">
        <v>16122973</v>
      </c>
      <c r="I35690">
        <v>365823</v>
      </c>
      <c r="J35690">
        <v>5</v>
      </c>
    </row>
    <row r="35691" spans="1:10" x14ac:dyDescent="0.25">
      <c r="A35691" t="s">
        <v>387</v>
      </c>
      <c r="B35691" s="1" t="str">
        <f>HYPERLINK("http://livingproof.co.uk","livingproof.co.uk")</f>
        <v>livingproof.co.uk</v>
      </c>
      <c r="C35691" t="s">
        <v>506</v>
      </c>
      <c r="D35691" t="s">
        <v>880</v>
      </c>
      <c r="F35691">
        <v>7.4029809517171296E-8</v>
      </c>
      <c r="G35691">
        <v>568728</v>
      </c>
      <c r="H35691">
        <v>14317584</v>
      </c>
      <c r="I35691">
        <v>1334074</v>
      </c>
      <c r="J35691">
        <v>4</v>
      </c>
    </row>
    <row r="35692" spans="1:10" x14ac:dyDescent="0.25">
      <c r="A35692" t="s">
        <v>387</v>
      </c>
      <c r="B35692" s="1" t="str">
        <f>HYPERLINK("http://paulaschoice.co.uk","paulaschoice.co.uk")</f>
        <v>paulaschoice.co.uk</v>
      </c>
      <c r="C35692" t="s">
        <v>506</v>
      </c>
      <c r="D35692" t="s">
        <v>880</v>
      </c>
      <c r="E35692">
        <v>388798</v>
      </c>
      <c r="F35692">
        <v>7.7023013691130996E-8</v>
      </c>
      <c r="G35692">
        <v>543897</v>
      </c>
      <c r="H35692">
        <v>14262847</v>
      </c>
      <c r="I35692">
        <v>1413913</v>
      </c>
      <c r="J35692">
        <v>4</v>
      </c>
    </row>
    <row r="35693" spans="1:10" x14ac:dyDescent="0.25">
      <c r="A35693" t="s">
        <v>387</v>
      </c>
      <c r="B35693" s="1" t="str">
        <f>HYPERLINK("http://stivesbeauty.co.uk","stivesbeauty.co.uk")</f>
        <v>stivesbeauty.co.uk</v>
      </c>
      <c r="C35693" t="s">
        <v>506</v>
      </c>
      <c r="D35693" t="s">
        <v>880</v>
      </c>
      <c r="F35693">
        <v>5.78916681572214E-9</v>
      </c>
      <c r="G35693">
        <v>18171196</v>
      </c>
      <c r="H35693">
        <v>13763642</v>
      </c>
      <c r="I35693">
        <v>7925802</v>
      </c>
      <c r="J35693">
        <v>3</v>
      </c>
    </row>
    <row r="35694" spans="1:10" x14ac:dyDescent="0.25">
      <c r="A35694" t="s">
        <v>387</v>
      </c>
      <c r="B35694" s="1" t="str">
        <f>HYPERLINK("http://unilever.co.uk","unilever.co.uk")</f>
        <v>unilever.co.uk</v>
      </c>
      <c r="C35694" t="s">
        <v>506</v>
      </c>
      <c r="D35694" t="s">
        <v>880</v>
      </c>
      <c r="E35694">
        <v>134436</v>
      </c>
      <c r="F35694">
        <v>4.47299275089221E-7</v>
      </c>
      <c r="G35694">
        <v>84403</v>
      </c>
      <c r="H35694">
        <v>15466319</v>
      </c>
      <c r="I35694">
        <v>377695</v>
      </c>
      <c r="J35694">
        <v>2</v>
      </c>
    </row>
    <row r="35695" spans="1:10" x14ac:dyDescent="0.25">
      <c r="A35695" t="s">
        <v>387</v>
      </c>
      <c r="B35695" s="1" t="str">
        <f>HYPERLINK("http://unileverfoodsolutions.co.uk","unileverfoodsolutions.co.uk")</f>
        <v>unileverfoodsolutions.co.uk</v>
      </c>
      <c r="C35695" t="s">
        <v>506</v>
      </c>
      <c r="D35695" t="s">
        <v>880</v>
      </c>
      <c r="F35695">
        <v>4.1936901915736602E-8</v>
      </c>
      <c r="G35695">
        <v>1169971</v>
      </c>
      <c r="H35695">
        <v>13958193</v>
      </c>
      <c r="I35695">
        <v>4123501</v>
      </c>
      <c r="J35695">
        <v>3</v>
      </c>
    </row>
    <row r="35696" spans="1:10" x14ac:dyDescent="0.25">
      <c r="A35696" t="s">
        <v>387</v>
      </c>
      <c r="B35696" s="1" t="str">
        <f>HYPERLINK("http://uukpf.co.uk","uukpf.co.uk")</f>
        <v>uukpf.co.uk</v>
      </c>
      <c r="C35696" t="s">
        <v>506</v>
      </c>
      <c r="D35696" t="s">
        <v>880</v>
      </c>
      <c r="F35696">
        <v>4.6766206929427698E-9</v>
      </c>
      <c r="G35696">
        <v>42562267</v>
      </c>
      <c r="H35696">
        <v>12292217</v>
      </c>
      <c r="I35696">
        <v>21053527</v>
      </c>
      <c r="J35696">
        <v>3</v>
      </c>
    </row>
    <row r="35697" spans="1:10" x14ac:dyDescent="0.25">
      <c r="A35697" t="s">
        <v>387</v>
      </c>
      <c r="B35697" s="1" t="str">
        <f>HYPERLINK("http://zendium.co.uk","zendium.co.uk")</f>
        <v>zendium.co.uk</v>
      </c>
      <c r="C35697" t="s">
        <v>506</v>
      </c>
      <c r="D35697" t="s">
        <v>880</v>
      </c>
      <c r="F35697">
        <v>8.9737758450827001E-8</v>
      </c>
      <c r="G35697">
        <v>454963</v>
      </c>
      <c r="H35697">
        <v>13724058</v>
      </c>
      <c r="I35697">
        <v>9466552</v>
      </c>
      <c r="J35697">
        <v>3</v>
      </c>
    </row>
    <row r="35698" spans="1:10" x14ac:dyDescent="0.25">
      <c r="A35698" t="s">
        <v>387</v>
      </c>
      <c r="B35698" s="1" t="str">
        <f>HYPERLINK("http://pukkaherbs.us","pukkaherbs.us")</f>
        <v>pukkaherbs.us</v>
      </c>
      <c r="C35698" t="s">
        <v>522</v>
      </c>
      <c r="D35698" t="s">
        <v>891</v>
      </c>
      <c r="F35698">
        <v>1.44578565130933E-8</v>
      </c>
      <c r="G35698">
        <v>4037295</v>
      </c>
      <c r="H35698">
        <v>13945658</v>
      </c>
      <c r="I35698">
        <v>4235425</v>
      </c>
      <c r="J35698">
        <v>4</v>
      </c>
    </row>
    <row r="35699" spans="1:10" x14ac:dyDescent="0.25">
      <c r="A35699" t="s">
        <v>387</v>
      </c>
      <c r="B35699" s="1" t="str">
        <f>HYPERLINK("http://unileverfoodsolutions.us","unileverfoodsolutions.us")</f>
        <v>unileverfoodsolutions.us</v>
      </c>
      <c r="C35699" t="s">
        <v>522</v>
      </c>
      <c r="D35699" t="s">
        <v>891</v>
      </c>
      <c r="E35699">
        <v>705700</v>
      </c>
      <c r="F35699">
        <v>7.8801580076325495E-8</v>
      </c>
      <c r="G35699">
        <v>530400</v>
      </c>
      <c r="H35699">
        <v>14174191</v>
      </c>
      <c r="I35699">
        <v>1793972</v>
      </c>
      <c r="J35699">
        <v>3</v>
      </c>
    </row>
    <row r="35700" spans="1:10" x14ac:dyDescent="0.25">
      <c r="A35700" t="s">
        <v>387</v>
      </c>
      <c r="B35700" s="1" t="str">
        <f>HYPERLINK("http://dermalogica.com.vn","dermalogica.com.vn")</f>
        <v>dermalogica.com.vn</v>
      </c>
      <c r="C35700" t="s">
        <v>509</v>
      </c>
      <c r="D35700" t="s">
        <v>883</v>
      </c>
      <c r="F35700">
        <v>9.1273518123560907E-9</v>
      </c>
      <c r="G35700">
        <v>7809332</v>
      </c>
      <c r="H35700">
        <v>12392759</v>
      </c>
      <c r="I35700">
        <v>18987470</v>
      </c>
      <c r="J35700">
        <v>4</v>
      </c>
    </row>
    <row r="35701" spans="1:10" x14ac:dyDescent="0.25">
      <c r="A35701" t="s">
        <v>387</v>
      </c>
      <c r="B35701" s="1" t="str">
        <f>HYPERLINK("http://unilever.com.vn","unilever.com.vn")</f>
        <v>unilever.com.vn</v>
      </c>
      <c r="C35701" t="s">
        <v>509</v>
      </c>
      <c r="D35701" t="s">
        <v>883</v>
      </c>
      <c r="F35701">
        <v>1.05654762767177E-7</v>
      </c>
      <c r="G35701">
        <v>379132</v>
      </c>
      <c r="H35701">
        <v>14082188</v>
      </c>
      <c r="I35701">
        <v>2802662</v>
      </c>
      <c r="J35701">
        <v>2</v>
      </c>
    </row>
    <row r="35702" spans="1:10" x14ac:dyDescent="0.25">
      <c r="A35702" t="s">
        <v>387</v>
      </c>
      <c r="B35702" s="1" t="str">
        <f>HYPERLINK("http://unileverfoodsolutions.com.vn","unileverfoodsolutions.com.vn")</f>
        <v>unileverfoodsolutions.com.vn</v>
      </c>
      <c r="C35702" t="s">
        <v>509</v>
      </c>
      <c r="D35702" t="s">
        <v>883</v>
      </c>
      <c r="F35702">
        <v>1.37893661573312E-8</v>
      </c>
      <c r="G35702">
        <v>4285828</v>
      </c>
      <c r="H35702">
        <v>12465671</v>
      </c>
      <c r="I35702">
        <v>17810028</v>
      </c>
      <c r="J35702">
        <v>3</v>
      </c>
    </row>
    <row r="35703" spans="1:10" x14ac:dyDescent="0.25">
      <c r="A35703" t="s">
        <v>387</v>
      </c>
      <c r="B35703" s="1" t="str">
        <f>HYPERLINK("http://gro247.vn","gro247.vn")</f>
        <v>gro247.vn</v>
      </c>
      <c r="C35703" t="s">
        <v>509</v>
      </c>
      <c r="D35703" t="s">
        <v>883</v>
      </c>
      <c r="F35703">
        <v>4.7202506760512402E-9</v>
      </c>
      <c r="G35703">
        <v>40207752</v>
      </c>
      <c r="H35703">
        <v>1.5006717000000001</v>
      </c>
      <c r="I35703">
        <v>78190103</v>
      </c>
      <c r="J35703">
        <v>3</v>
      </c>
    </row>
    <row r="35704" spans="1:10" x14ac:dyDescent="0.25">
      <c r="A35704" t="s">
        <v>387</v>
      </c>
      <c r="B35704" s="1" t="str">
        <f>HYPERLINK("http://paulaschoice.vn","paulaschoice.vn")</f>
        <v>paulaschoice.vn</v>
      </c>
      <c r="C35704" t="s">
        <v>509</v>
      </c>
      <c r="D35704" t="s">
        <v>883</v>
      </c>
      <c r="F35704">
        <v>5.8909974771265401E-8</v>
      </c>
      <c r="G35704">
        <v>752987</v>
      </c>
      <c r="H35704">
        <v>13947704</v>
      </c>
      <c r="I35704">
        <v>4204491</v>
      </c>
      <c r="J35704">
        <v>4</v>
      </c>
    </row>
    <row r="35705" spans="1:10" x14ac:dyDescent="0.25">
      <c r="A35705" t="s">
        <v>387</v>
      </c>
      <c r="B35705" s="1" t="str">
        <f>HYPERLINK("http://dermalogica.co.za","dermalogica.co.za")</f>
        <v>dermalogica.co.za</v>
      </c>
      <c r="C35705" t="s">
        <v>510</v>
      </c>
      <c r="D35705" t="s">
        <v>884</v>
      </c>
      <c r="F35705">
        <v>1.20246361364228E-8</v>
      </c>
      <c r="G35705">
        <v>5159948</v>
      </c>
      <c r="H35705">
        <v>13766691</v>
      </c>
      <c r="I35705">
        <v>6982163</v>
      </c>
      <c r="J35705">
        <v>4</v>
      </c>
    </row>
    <row r="35706" spans="1:10" x14ac:dyDescent="0.25">
      <c r="A35706" t="s">
        <v>387</v>
      </c>
      <c r="B35706" s="1" t="str">
        <f>HYPERLINK("http://knorr.co.za","knorr.co.za")</f>
        <v>knorr.co.za</v>
      </c>
      <c r="C35706" t="s">
        <v>510</v>
      </c>
      <c r="D35706" t="s">
        <v>884</v>
      </c>
      <c r="F35706">
        <v>1.23919486890373E-8</v>
      </c>
      <c r="G35706">
        <v>4943725</v>
      </c>
      <c r="H35706">
        <v>12582376</v>
      </c>
      <c r="I35706">
        <v>16485309</v>
      </c>
      <c r="J35706">
        <v>5</v>
      </c>
    </row>
    <row r="35707" spans="1:10" x14ac:dyDescent="0.25">
      <c r="A35707" t="s">
        <v>387</v>
      </c>
      <c r="B35707" s="1" t="str">
        <f>HYPERLINK("http://omo.co.za","omo.co.za")</f>
        <v>omo.co.za</v>
      </c>
      <c r="C35707" t="s">
        <v>510</v>
      </c>
      <c r="D35707" t="s">
        <v>884</v>
      </c>
      <c r="F35707">
        <v>6.5322049957728202E-9</v>
      </c>
      <c r="G35707">
        <v>13945760</v>
      </c>
      <c r="H35707">
        <v>12276044</v>
      </c>
      <c r="I35707">
        <v>21391166</v>
      </c>
      <c r="J35707">
        <v>4</v>
      </c>
    </row>
    <row r="35708" spans="1:10" x14ac:dyDescent="0.25">
      <c r="A35708" t="s">
        <v>387</v>
      </c>
      <c r="B35708" s="1" t="str">
        <f>HYPERLINK("http://unilever.co.za","unilever.co.za")</f>
        <v>unilever.co.za</v>
      </c>
      <c r="C35708" t="s">
        <v>510</v>
      </c>
      <c r="D35708" t="s">
        <v>884</v>
      </c>
      <c r="E35708">
        <v>967744</v>
      </c>
      <c r="F35708">
        <v>8.0528134648730306E-8</v>
      </c>
      <c r="G35708">
        <v>518603</v>
      </c>
      <c r="H35708">
        <v>14572135</v>
      </c>
      <c r="I35708">
        <v>733726</v>
      </c>
      <c r="J35708">
        <v>2</v>
      </c>
    </row>
    <row r="35709" spans="1:10" x14ac:dyDescent="0.25">
      <c r="A35709" t="s">
        <v>387</v>
      </c>
      <c r="B35709" s="1" t="str">
        <f>HYPERLINK("http://unileverfoodsolutions.co.za","unileverfoodsolutions.co.za")</f>
        <v>unileverfoodsolutions.co.za</v>
      </c>
      <c r="C35709" t="s">
        <v>510</v>
      </c>
      <c r="D35709" t="s">
        <v>884</v>
      </c>
      <c r="F35709">
        <v>6.67796194023582E-8</v>
      </c>
      <c r="G35709">
        <v>641055</v>
      </c>
      <c r="H35709">
        <v>13439941</v>
      </c>
      <c r="I35709">
        <v>10261063</v>
      </c>
      <c r="J35709">
        <v>3</v>
      </c>
    </row>
    <row r="35710" spans="1:10" x14ac:dyDescent="0.25">
      <c r="A35710" t="s">
        <v>388</v>
      </c>
      <c r="B35710" s="1" t="str">
        <f>HYPERLINK("http://pstechnology.com","pstechnology.com")</f>
        <v>pstechnology.com</v>
      </c>
      <c r="C35710" t="s">
        <v>433</v>
      </c>
      <c r="F35710">
        <v>2.7897058680258599E-8</v>
      </c>
      <c r="G35710">
        <v>1843714</v>
      </c>
      <c r="H35710">
        <v>14137630</v>
      </c>
      <c r="I35710">
        <v>1952989</v>
      </c>
      <c r="J35710">
        <v>4</v>
      </c>
    </row>
    <row r="35711" spans="1:10" x14ac:dyDescent="0.25">
      <c r="A35711" t="s">
        <v>388</v>
      </c>
      <c r="B35711" s="1" t="str">
        <f>HYPERLINK("http://unionpacific.com","unionpacific.com")</f>
        <v>unionpacific.com</v>
      </c>
      <c r="C35711" t="s">
        <v>433</v>
      </c>
      <c r="F35711">
        <v>9.7344242612745397E-9</v>
      </c>
      <c r="G35711">
        <v>7041448</v>
      </c>
      <c r="H35711">
        <v>13190051</v>
      </c>
      <c r="I35711">
        <v>11602564</v>
      </c>
      <c r="J35711">
        <v>2</v>
      </c>
    </row>
    <row r="35712" spans="1:10" x14ac:dyDescent="0.25">
      <c r="A35712" t="s">
        <v>388</v>
      </c>
      <c r="B35712" s="1" t="str">
        <f>HYPERLINK("http://up.com","up.com")</f>
        <v>up.com</v>
      </c>
      <c r="C35712" t="s">
        <v>433</v>
      </c>
      <c r="E35712">
        <v>38093</v>
      </c>
      <c r="F35712">
        <v>1.0994979579218199E-6</v>
      </c>
      <c r="G35712">
        <v>34985</v>
      </c>
      <c r="H35712">
        <v>17470608</v>
      </c>
      <c r="I35712">
        <v>15036</v>
      </c>
      <c r="J35712">
        <v>1</v>
      </c>
    </row>
    <row r="35713" spans="1:10" x14ac:dyDescent="0.25">
      <c r="A35713" t="s">
        <v>388</v>
      </c>
      <c r="B35713" s="1" t="str">
        <f>HYPERLINK("http://uprr.com","uprr.com")</f>
        <v>uprr.com</v>
      </c>
      <c r="C35713" t="s">
        <v>433</v>
      </c>
      <c r="E35713">
        <v>16533</v>
      </c>
      <c r="F35713">
        <v>2.0215975632869399E-7</v>
      </c>
      <c r="G35713">
        <v>188177</v>
      </c>
      <c r="H35713">
        <v>15111745</v>
      </c>
      <c r="I35713">
        <v>404882</v>
      </c>
      <c r="J35713">
        <v>2</v>
      </c>
    </row>
    <row r="35714" spans="1:10" x14ac:dyDescent="0.25">
      <c r="A35714" t="s">
        <v>388</v>
      </c>
      <c r="B35714" s="1" t="str">
        <f>HYPERLINK("http://up.jobs","up.jobs")</f>
        <v>up.jobs</v>
      </c>
      <c r="C35714" t="s">
        <v>521</v>
      </c>
      <c r="E35714">
        <v>308714</v>
      </c>
      <c r="F35714">
        <v>1.03492081992561E-7</v>
      </c>
      <c r="G35714">
        <v>387663</v>
      </c>
      <c r="H35714">
        <v>14174852</v>
      </c>
      <c r="I35714">
        <v>1792370</v>
      </c>
      <c r="J35714">
        <v>2</v>
      </c>
    </row>
    <row r="35715" spans="1:10" x14ac:dyDescent="0.25">
      <c r="A35715" t="s">
        <v>1660</v>
      </c>
      <c r="B35715" s="1" t="str">
        <f>HYPERLINK("http://uobchina.com.cn","uobchina.com.cn")</f>
        <v>uobchina.com.cn</v>
      </c>
      <c r="C35715" t="s">
        <v>431</v>
      </c>
      <c r="D35715" t="s">
        <v>812</v>
      </c>
      <c r="F35715">
        <v>2.6493208786912899E-8</v>
      </c>
      <c r="G35715">
        <v>1943379</v>
      </c>
      <c r="H35715">
        <v>12626253</v>
      </c>
      <c r="I35715">
        <v>16025160</v>
      </c>
      <c r="J35715">
        <v>2</v>
      </c>
    </row>
    <row r="35716" spans="1:10" x14ac:dyDescent="0.25">
      <c r="A35716" t="s">
        <v>1660</v>
      </c>
      <c r="B35716" s="1" t="str">
        <f>HYPERLINK("http://uob.com","uob.com")</f>
        <v>uob.com</v>
      </c>
      <c r="C35716" t="s">
        <v>433</v>
      </c>
      <c r="F35716">
        <v>2.25384492744685E-8</v>
      </c>
      <c r="G35716">
        <v>2324264</v>
      </c>
      <c r="H35716">
        <v>12659634</v>
      </c>
      <c r="I35716">
        <v>15723733</v>
      </c>
      <c r="J35716">
        <v>4</v>
      </c>
    </row>
    <row r="35717" spans="1:10" x14ac:dyDescent="0.25">
      <c r="A35717" t="s">
        <v>1660</v>
      </c>
      <c r="B35717" s="1" t="str">
        <f>HYPERLINK("http://uobglobal.com","uobglobal.com")</f>
        <v>uobglobal.com</v>
      </c>
      <c r="C35717" t="s">
        <v>433</v>
      </c>
      <c r="F35717">
        <v>2.3564002189549102E-8</v>
      </c>
      <c r="G35717">
        <v>2207814</v>
      </c>
      <c r="H35717">
        <v>12185368</v>
      </c>
      <c r="I35717">
        <v>23687077</v>
      </c>
      <c r="J35717">
        <v>3</v>
      </c>
    </row>
    <row r="35718" spans="1:10" x14ac:dyDescent="0.25">
      <c r="A35718" t="s">
        <v>1660</v>
      </c>
      <c r="B35718" s="1" t="str">
        <f>HYPERLINK("http://uobgroup.com","uobgroup.com")</f>
        <v>uobgroup.com</v>
      </c>
      <c r="C35718" t="s">
        <v>433</v>
      </c>
      <c r="E35718">
        <v>28568</v>
      </c>
      <c r="F35718">
        <v>3.9918421464790301E-7</v>
      </c>
      <c r="G35718">
        <v>94011</v>
      </c>
      <c r="H35718">
        <v>17162930</v>
      </c>
      <c r="I35718">
        <v>49295</v>
      </c>
      <c r="J35718">
        <v>1</v>
      </c>
    </row>
    <row r="35719" spans="1:10" x14ac:dyDescent="0.25">
      <c r="A35719" t="s">
        <v>1660</v>
      </c>
      <c r="B35719" s="1" t="str">
        <f>HYPERLINK("http://uobthailand.com","uobthailand.com")</f>
        <v>uobthailand.com</v>
      </c>
      <c r="C35719" t="s">
        <v>433</v>
      </c>
      <c r="E35719">
        <v>543317</v>
      </c>
      <c r="F35719">
        <v>2.0303192478261399E-8</v>
      </c>
      <c r="G35719">
        <v>2613664</v>
      </c>
      <c r="H35719">
        <v>12386661</v>
      </c>
      <c r="I35719">
        <v>19100195</v>
      </c>
      <c r="J35719">
        <v>2</v>
      </c>
    </row>
    <row r="35720" spans="1:10" x14ac:dyDescent="0.25">
      <c r="A35720" t="s">
        <v>1660</v>
      </c>
      <c r="B35720" s="1" t="str">
        <f>HYPERLINK("http://uob.co.id","uob.co.id")</f>
        <v>uob.co.id</v>
      </c>
      <c r="C35720" t="s">
        <v>454</v>
      </c>
      <c r="D35720" t="s">
        <v>831</v>
      </c>
      <c r="E35720">
        <v>504409</v>
      </c>
      <c r="F35720">
        <v>5.8428617011271097E-8</v>
      </c>
      <c r="G35720">
        <v>760356</v>
      </c>
      <c r="H35720">
        <v>14688458</v>
      </c>
      <c r="I35720">
        <v>603477</v>
      </c>
      <c r="J35720">
        <v>3</v>
      </c>
    </row>
    <row r="35721" spans="1:10" x14ac:dyDescent="0.25">
      <c r="A35721" t="s">
        <v>1660</v>
      </c>
      <c r="B35721" s="1" t="str">
        <f>HYPERLINK("http://uobam.co.id","uobam.co.id")</f>
        <v>uobam.co.id</v>
      </c>
      <c r="C35721" t="s">
        <v>454</v>
      </c>
      <c r="D35721" t="s">
        <v>831</v>
      </c>
      <c r="F35721">
        <v>1.2674312893919E-8</v>
      </c>
      <c r="G35721">
        <v>4792505</v>
      </c>
      <c r="H35721">
        <v>12038070</v>
      </c>
      <c r="I35721">
        <v>27502023</v>
      </c>
      <c r="J35721">
        <v>4</v>
      </c>
    </row>
    <row r="35722" spans="1:10" x14ac:dyDescent="0.25">
      <c r="A35722" t="s">
        <v>1660</v>
      </c>
      <c r="B35722" s="1" t="str">
        <f>HYPERLINK("http://uob.co.jp","uob.co.jp")</f>
        <v>uob.co.jp</v>
      </c>
      <c r="C35722" t="s">
        <v>461</v>
      </c>
      <c r="D35722" t="s">
        <v>837</v>
      </c>
      <c r="F35722">
        <v>1.9617687589321602E-8</v>
      </c>
      <c r="G35722">
        <v>2725267</v>
      </c>
      <c r="H35722">
        <v>12297850</v>
      </c>
      <c r="I35722">
        <v>20890213</v>
      </c>
      <c r="J35722">
        <v>4</v>
      </c>
    </row>
    <row r="35723" spans="1:10" x14ac:dyDescent="0.25">
      <c r="A35723" t="s">
        <v>1660</v>
      </c>
      <c r="B35723" s="1" t="str">
        <f>HYPERLINK("http://uob.com.my","uob.com.my")</f>
        <v>uob.com.my</v>
      </c>
      <c r="C35723" t="s">
        <v>472</v>
      </c>
      <c r="D35723" t="s">
        <v>848</v>
      </c>
      <c r="E35723">
        <v>83752</v>
      </c>
      <c r="F35723">
        <v>1.13030741791301E-7</v>
      </c>
      <c r="G35723">
        <v>353172</v>
      </c>
      <c r="H35723">
        <v>14602018</v>
      </c>
      <c r="I35723">
        <v>684569</v>
      </c>
      <c r="J35723">
        <v>3</v>
      </c>
    </row>
    <row r="35724" spans="1:10" x14ac:dyDescent="0.25">
      <c r="A35724" t="s">
        <v>1660</v>
      </c>
      <c r="B35724" s="1" t="str">
        <f>HYPERLINK("http://uobam.com.my","uobam.com.my")</f>
        <v>uobam.com.my</v>
      </c>
      <c r="C35724" t="s">
        <v>472</v>
      </c>
      <c r="D35724" t="s">
        <v>848</v>
      </c>
      <c r="F35724">
        <v>2.1930325706325002E-8</v>
      </c>
      <c r="G35724">
        <v>2394489</v>
      </c>
      <c r="H35724">
        <v>12186276</v>
      </c>
      <c r="I35724">
        <v>23668578</v>
      </c>
      <c r="J35724">
        <v>3</v>
      </c>
    </row>
    <row r="35725" spans="1:10" x14ac:dyDescent="0.25">
      <c r="A35725" t="s">
        <v>1660</v>
      </c>
      <c r="B35725" s="1" t="str">
        <f>HYPERLINK("http://uob.my","uob.my")</f>
        <v>uob.my</v>
      </c>
      <c r="C35725" t="s">
        <v>472</v>
      </c>
      <c r="D35725" t="s">
        <v>848</v>
      </c>
      <c r="F35725">
        <v>7.1029911222195002E-9</v>
      </c>
      <c r="G35725">
        <v>12007106</v>
      </c>
      <c r="H35725">
        <v>12175376</v>
      </c>
      <c r="I35725">
        <v>23921152</v>
      </c>
      <c r="J35725">
        <v>4</v>
      </c>
    </row>
    <row r="35726" spans="1:10" x14ac:dyDescent="0.25">
      <c r="A35726" t="s">
        <v>1660</v>
      </c>
      <c r="B35726" s="1" t="str">
        <f>HYPERLINK("http://uob.com.sg","uob.com.sg")</f>
        <v>uob.com.sg</v>
      </c>
      <c r="C35726" t="s">
        <v>496</v>
      </c>
      <c r="D35726" t="s">
        <v>870</v>
      </c>
      <c r="E35726">
        <v>56973</v>
      </c>
      <c r="F35726">
        <v>3.9837330635169799E-7</v>
      </c>
      <c r="G35726">
        <v>94209</v>
      </c>
      <c r="H35726">
        <v>15053366</v>
      </c>
      <c r="I35726">
        <v>413953</v>
      </c>
      <c r="J35726">
        <v>3</v>
      </c>
    </row>
    <row r="35727" spans="1:10" x14ac:dyDescent="0.25">
      <c r="A35727" t="s">
        <v>1660</v>
      </c>
      <c r="B35727" s="1" t="str">
        <f>HYPERLINK("http://uobam.com.sg","uobam.com.sg")</f>
        <v>uobam.com.sg</v>
      </c>
      <c r="C35727" t="s">
        <v>496</v>
      </c>
      <c r="D35727" t="s">
        <v>870</v>
      </c>
      <c r="F35727">
        <v>2.2609564012854199E-7</v>
      </c>
      <c r="G35727">
        <v>166607</v>
      </c>
      <c r="H35727">
        <v>16822724</v>
      </c>
      <c r="I35727">
        <v>184820</v>
      </c>
      <c r="J35727">
        <v>3</v>
      </c>
    </row>
    <row r="35728" spans="1:10" x14ac:dyDescent="0.25">
      <c r="A35728" t="s">
        <v>1660</v>
      </c>
      <c r="B35728" s="1" t="str">
        <f>HYPERLINK("http://uobvm.com.sg","uobvm.com.sg")</f>
        <v>uobvm.com.sg</v>
      </c>
      <c r="C35728" t="s">
        <v>496</v>
      </c>
      <c r="D35728" t="s">
        <v>870</v>
      </c>
      <c r="F35728">
        <v>3.7500001849211597E-8</v>
      </c>
      <c r="G35728">
        <v>1380133</v>
      </c>
      <c r="H35728">
        <v>13341453</v>
      </c>
      <c r="I35728">
        <v>10667462</v>
      </c>
      <c r="J35728">
        <v>3</v>
      </c>
    </row>
    <row r="35729" spans="1:10" x14ac:dyDescent="0.25">
      <c r="A35729" t="s">
        <v>1660</v>
      </c>
      <c r="B35729" s="1" t="str">
        <f>HYPERLINK("http://uoi.com.sg","uoi.com.sg")</f>
        <v>uoi.com.sg</v>
      </c>
      <c r="C35729" t="s">
        <v>496</v>
      </c>
      <c r="D35729" t="s">
        <v>870</v>
      </c>
      <c r="F35729">
        <v>2.6567045041220501E-8</v>
      </c>
      <c r="G35729">
        <v>1937760</v>
      </c>
      <c r="H35729">
        <v>13573227</v>
      </c>
      <c r="I35729">
        <v>9711069</v>
      </c>
      <c r="J35729">
        <v>3</v>
      </c>
    </row>
    <row r="35730" spans="1:10" x14ac:dyDescent="0.25">
      <c r="A35730" t="s">
        <v>1660</v>
      </c>
      <c r="B35730" s="1" t="str">
        <f>HYPERLINK("http://uob.co.th","uob.co.th")</f>
        <v>uob.co.th</v>
      </c>
      <c r="C35730" t="s">
        <v>500</v>
      </c>
      <c r="D35730" t="s">
        <v>874</v>
      </c>
      <c r="E35730">
        <v>277108</v>
      </c>
      <c r="F35730">
        <v>1.24870943997618E-7</v>
      </c>
      <c r="G35730">
        <v>316011</v>
      </c>
      <c r="H35730">
        <v>14576052</v>
      </c>
      <c r="I35730">
        <v>723850</v>
      </c>
      <c r="J35730">
        <v>4</v>
      </c>
    </row>
    <row r="35731" spans="1:10" x14ac:dyDescent="0.25">
      <c r="A35731" t="s">
        <v>1660</v>
      </c>
      <c r="B35731" s="1" t="str">
        <f>HYPERLINK("http://uobam.co.th","uobam.co.th")</f>
        <v>uobam.co.th</v>
      </c>
      <c r="C35731" t="s">
        <v>500</v>
      </c>
      <c r="D35731" t="s">
        <v>874</v>
      </c>
      <c r="F35731">
        <v>3.9611127637667599E-8</v>
      </c>
      <c r="G35731">
        <v>1303568</v>
      </c>
      <c r="H35731">
        <v>14031007</v>
      </c>
      <c r="I35731">
        <v>3929076</v>
      </c>
      <c r="J35731">
        <v>3</v>
      </c>
    </row>
    <row r="35732" spans="1:10" x14ac:dyDescent="0.25">
      <c r="A35732" t="s">
        <v>1660</v>
      </c>
      <c r="B35732" s="1" t="str">
        <f>HYPERLINK("http://uob.com.tw","uob.com.tw")</f>
        <v>uob.com.tw</v>
      </c>
      <c r="C35732" t="s">
        <v>504</v>
      </c>
      <c r="D35732" t="s">
        <v>878</v>
      </c>
      <c r="F35732">
        <v>1.9145872039867601E-8</v>
      </c>
      <c r="G35732">
        <v>2807875</v>
      </c>
      <c r="H35732">
        <v>12131872</v>
      </c>
      <c r="I35732">
        <v>25088736</v>
      </c>
      <c r="J35732">
        <v>4</v>
      </c>
    </row>
    <row r="35733" spans="1:10" x14ac:dyDescent="0.25">
      <c r="A35733" t="s">
        <v>1660</v>
      </c>
      <c r="B35733" s="1" t="str">
        <f>HYPERLINK("http://uobam.com.tw","uobam.com.tw")</f>
        <v>uobam.com.tw</v>
      </c>
      <c r="C35733" t="s">
        <v>504</v>
      </c>
      <c r="D35733" t="s">
        <v>878</v>
      </c>
      <c r="F35733">
        <v>2.2648971584569999E-8</v>
      </c>
      <c r="G35733">
        <v>2312217</v>
      </c>
      <c r="H35733">
        <v>12309853</v>
      </c>
      <c r="I35733">
        <v>20622278</v>
      </c>
      <c r="J35733">
        <v>4</v>
      </c>
    </row>
    <row r="35734" spans="1:10" x14ac:dyDescent="0.25">
      <c r="A35734" t="s">
        <v>1660</v>
      </c>
      <c r="B35734" s="1" t="str">
        <f>HYPERLINK("http://uob.com.vn","uob.com.vn")</f>
        <v>uob.com.vn</v>
      </c>
      <c r="C35734" t="s">
        <v>509</v>
      </c>
      <c r="D35734" t="s">
        <v>883</v>
      </c>
      <c r="F35734">
        <v>6.7391130187496599E-8</v>
      </c>
      <c r="G35734">
        <v>634142</v>
      </c>
      <c r="H35734">
        <v>14079256</v>
      </c>
      <c r="I35734">
        <v>2835028</v>
      </c>
      <c r="J35734">
        <v>3</v>
      </c>
    </row>
    <row r="35735" spans="1:10" x14ac:dyDescent="0.25">
      <c r="A35735" t="s">
        <v>1660</v>
      </c>
      <c r="B35735" s="1" t="str">
        <f>HYPERLINK("http://uobam.com.vn","uobam.com.vn")</f>
        <v>uobam.com.vn</v>
      </c>
      <c r="C35735" t="s">
        <v>509</v>
      </c>
      <c r="D35735" t="s">
        <v>883</v>
      </c>
      <c r="F35735">
        <v>2.1053909266905599E-8</v>
      </c>
      <c r="G35735">
        <v>2508809</v>
      </c>
      <c r="H35735">
        <v>11984219</v>
      </c>
      <c r="I35735">
        <v>28447989</v>
      </c>
      <c r="J35735">
        <v>4</v>
      </c>
    </row>
    <row r="35736" spans="1:10" x14ac:dyDescent="0.25">
      <c r="A35736" t="s">
        <v>389</v>
      </c>
      <c r="B35736" s="1" t="str">
        <f>HYPERLINK("http://mbe.co.at","mbe.co.at")</f>
        <v>mbe.co.at</v>
      </c>
      <c r="C35736" t="s">
        <v>419</v>
      </c>
      <c r="D35736" t="s">
        <v>801</v>
      </c>
      <c r="F35736">
        <v>8.2062520205209895E-9</v>
      </c>
      <c r="G35736">
        <v>9560695</v>
      </c>
      <c r="H35736">
        <v>10729510</v>
      </c>
      <c r="I35736">
        <v>40977435</v>
      </c>
      <c r="J35736">
        <v>5</v>
      </c>
    </row>
    <row r="35737" spans="1:10" x14ac:dyDescent="0.25">
      <c r="A35737" t="s">
        <v>389</v>
      </c>
      <c r="B35737" s="1" t="str">
        <f>HYPERLINK("http://mbe.at","mbe.at")</f>
        <v>mbe.at</v>
      </c>
      <c r="C35737" t="s">
        <v>419</v>
      </c>
      <c r="D35737" t="s">
        <v>801</v>
      </c>
      <c r="F35737">
        <v>4.3571823573140398E-8</v>
      </c>
      <c r="G35737">
        <v>1096742</v>
      </c>
      <c r="H35737">
        <v>13784007</v>
      </c>
      <c r="I35737">
        <v>6418466</v>
      </c>
      <c r="J35737">
        <v>4</v>
      </c>
    </row>
    <row r="35738" spans="1:10" x14ac:dyDescent="0.25">
      <c r="A35738" t="s">
        <v>389</v>
      </c>
      <c r="B35738" s="1" t="str">
        <f>HYPERLINK("http://mbe-co.at","mbe-co.at")</f>
        <v>mbe-co.at</v>
      </c>
      <c r="C35738" t="s">
        <v>419</v>
      </c>
      <c r="D35738" t="s">
        <v>801</v>
      </c>
      <c r="F35738">
        <v>7.1709197351041797E-9</v>
      </c>
      <c r="G35738">
        <v>11820508</v>
      </c>
      <c r="H35738">
        <v>11052167</v>
      </c>
      <c r="I35738">
        <v>32772474</v>
      </c>
      <c r="J35738">
        <v>4</v>
      </c>
    </row>
    <row r="35739" spans="1:10" x14ac:dyDescent="0.25">
      <c r="A35739" t="s">
        <v>389</v>
      </c>
      <c r="B35739" s="1" t="str">
        <f>HYPERLINK("http://mbe.com.au","mbe.com.au")</f>
        <v>mbe.com.au</v>
      </c>
      <c r="C35739" t="s">
        <v>420</v>
      </c>
      <c r="D35739" t="s">
        <v>802</v>
      </c>
      <c r="F35739">
        <v>1.5327577580230901E-8</v>
      </c>
      <c r="G35739">
        <v>3737446</v>
      </c>
      <c r="H35739">
        <v>13444647</v>
      </c>
      <c r="I35739">
        <v>10221834</v>
      </c>
      <c r="J35739">
        <v>4</v>
      </c>
    </row>
    <row r="35740" spans="1:10" x14ac:dyDescent="0.25">
      <c r="A35740" t="s">
        <v>389</v>
      </c>
      <c r="B35740" s="1" t="str">
        <f>HYPERLINK("http://mbe-camberwell.com.au","mbe-camberwell.com.au")</f>
        <v>mbe-camberwell.com.au</v>
      </c>
      <c r="C35740" t="s">
        <v>420</v>
      </c>
      <c r="D35740" t="s">
        <v>802</v>
      </c>
      <c r="J35740">
        <v>6</v>
      </c>
    </row>
    <row r="35741" spans="1:10" x14ac:dyDescent="0.25">
      <c r="A35741" t="s">
        <v>389</v>
      </c>
      <c r="B35741" s="1" t="str">
        <f>HYPERLINK("http://mbe-malvern.com.au","mbe-malvern.com.au")</f>
        <v>mbe-malvern.com.au</v>
      </c>
      <c r="C35741" t="s">
        <v>420</v>
      </c>
      <c r="D35741" t="s">
        <v>802</v>
      </c>
      <c r="F35741">
        <v>4.4819887009792501E-9</v>
      </c>
      <c r="G35741">
        <v>61958855</v>
      </c>
      <c r="H35741">
        <v>10724675</v>
      </c>
      <c r="I35741">
        <v>41377173</v>
      </c>
      <c r="J35741">
        <v>6</v>
      </c>
    </row>
    <row r="35742" spans="1:10" x14ac:dyDescent="0.25">
      <c r="A35742" t="s">
        <v>389</v>
      </c>
      <c r="B35742" s="1" t="str">
        <f>HYPERLINK("http://mbe-richmond.com.au","mbe-richmond.com.au")</f>
        <v>mbe-richmond.com.au</v>
      </c>
      <c r="C35742" t="s">
        <v>420</v>
      </c>
      <c r="D35742" t="s">
        <v>802</v>
      </c>
      <c r="J35742">
        <v>6</v>
      </c>
    </row>
    <row r="35743" spans="1:10" x14ac:dyDescent="0.25">
      <c r="A35743" t="s">
        <v>389</v>
      </c>
      <c r="B35743" s="1" t="str">
        <f>HYPERLINK("http://mbeadelaidecbd.com.au","mbeadelaidecbd.com.au")</f>
        <v>mbeadelaidecbd.com.au</v>
      </c>
      <c r="C35743" t="s">
        <v>420</v>
      </c>
      <c r="D35743" t="s">
        <v>802</v>
      </c>
      <c r="F35743">
        <v>4.4453666942846201E-9</v>
      </c>
      <c r="G35743">
        <v>75348918</v>
      </c>
      <c r="H35743">
        <v>10353985</v>
      </c>
      <c r="I35743">
        <v>55838017</v>
      </c>
      <c r="J35743">
        <v>6</v>
      </c>
    </row>
    <row r="35744" spans="1:10" x14ac:dyDescent="0.25">
      <c r="A35744" t="s">
        <v>389</v>
      </c>
      <c r="B35744" s="1" t="str">
        <f>HYPERLINK("http://mbeannstreet.com.au","mbeannstreet.com.au")</f>
        <v>mbeannstreet.com.au</v>
      </c>
      <c r="C35744" t="s">
        <v>420</v>
      </c>
      <c r="D35744" t="s">
        <v>802</v>
      </c>
      <c r="J35744">
        <v>6</v>
      </c>
    </row>
    <row r="35745" spans="1:10" x14ac:dyDescent="0.25">
      <c r="A35745" t="s">
        <v>389</v>
      </c>
      <c r="B35745" s="1" t="str">
        <f>HYPERLINK("http://mbeblacktown.com.au","mbeblacktown.com.au")</f>
        <v>mbeblacktown.com.au</v>
      </c>
      <c r="C35745" t="s">
        <v>420</v>
      </c>
      <c r="D35745" t="s">
        <v>802</v>
      </c>
      <c r="J35745">
        <v>6</v>
      </c>
    </row>
    <row r="35746" spans="1:10" x14ac:dyDescent="0.25">
      <c r="A35746" t="s">
        <v>389</v>
      </c>
      <c r="B35746" s="1" t="str">
        <f>HYPERLINK("http://mbebondijunction.com.au","mbebondijunction.com.au")</f>
        <v>mbebondijunction.com.au</v>
      </c>
      <c r="C35746" t="s">
        <v>420</v>
      </c>
      <c r="D35746" t="s">
        <v>802</v>
      </c>
      <c r="J35746">
        <v>6</v>
      </c>
    </row>
    <row r="35747" spans="1:10" x14ac:dyDescent="0.25">
      <c r="A35747" t="s">
        <v>389</v>
      </c>
      <c r="B35747" s="1" t="str">
        <f>HYPERLINK("http://mbebrisbanecbd.com.au","mbebrisbanecbd.com.au")</f>
        <v>mbebrisbanecbd.com.au</v>
      </c>
      <c r="C35747" t="s">
        <v>420</v>
      </c>
      <c r="D35747" t="s">
        <v>802</v>
      </c>
      <c r="F35747">
        <v>4.4879697861761201E-9</v>
      </c>
      <c r="G35747">
        <v>60850084</v>
      </c>
      <c r="H35747">
        <v>10958196</v>
      </c>
      <c r="I35747">
        <v>34401096</v>
      </c>
      <c r="J35747">
        <v>6</v>
      </c>
    </row>
    <row r="35748" spans="1:10" x14ac:dyDescent="0.25">
      <c r="A35748" t="s">
        <v>389</v>
      </c>
      <c r="B35748" s="1" t="str">
        <f>HYPERLINK("http://mbebroadbeach.com.au","mbebroadbeach.com.au")</f>
        <v>mbebroadbeach.com.au</v>
      </c>
      <c r="C35748" t="s">
        <v>420</v>
      </c>
      <c r="D35748" t="s">
        <v>802</v>
      </c>
      <c r="F35748">
        <v>4.4453666942846201E-9</v>
      </c>
      <c r="G35748">
        <v>75348919</v>
      </c>
      <c r="H35748">
        <v>10353985</v>
      </c>
      <c r="I35748">
        <v>55838018</v>
      </c>
      <c r="J35748">
        <v>6</v>
      </c>
    </row>
    <row r="35749" spans="1:10" x14ac:dyDescent="0.25">
      <c r="A35749" t="s">
        <v>389</v>
      </c>
      <c r="B35749" s="1" t="str">
        <f>HYPERLINK("http://mbecarlton.com.au","mbecarlton.com.au")</f>
        <v>mbecarlton.com.au</v>
      </c>
      <c r="C35749" t="s">
        <v>420</v>
      </c>
      <c r="D35749" t="s">
        <v>802</v>
      </c>
      <c r="J35749">
        <v>6</v>
      </c>
    </row>
    <row r="35750" spans="1:10" x14ac:dyDescent="0.25">
      <c r="A35750" t="s">
        <v>389</v>
      </c>
      <c r="B35750" s="1" t="str">
        <f>HYPERLINK("http://mbecurrumbin.com.au","mbecurrumbin.com.au")</f>
        <v>mbecurrumbin.com.au</v>
      </c>
      <c r="C35750" t="s">
        <v>420</v>
      </c>
      <c r="D35750" t="s">
        <v>802</v>
      </c>
      <c r="F35750">
        <v>4.8219246012199401E-9</v>
      </c>
      <c r="G35750">
        <v>35150608</v>
      </c>
      <c r="H35750">
        <v>9395079</v>
      </c>
      <c r="I35750">
        <v>67341643</v>
      </c>
      <c r="J35750">
        <v>6</v>
      </c>
    </row>
    <row r="35751" spans="1:10" x14ac:dyDescent="0.25">
      <c r="A35751" t="s">
        <v>389</v>
      </c>
      <c r="B35751" s="1" t="str">
        <f>HYPERLINK("http://mbedandenong.com.au","mbedandenong.com.au")</f>
        <v>mbedandenong.com.au</v>
      </c>
      <c r="C35751" t="s">
        <v>420</v>
      </c>
      <c r="D35751" t="s">
        <v>802</v>
      </c>
      <c r="J35751">
        <v>6</v>
      </c>
    </row>
    <row r="35752" spans="1:10" x14ac:dyDescent="0.25">
      <c r="A35752" t="s">
        <v>389</v>
      </c>
      <c r="B35752" s="1" t="str">
        <f>HYPERLINK("http://mbeeightmileplains.com.au","mbeeightmileplains.com.au")</f>
        <v>mbeeightmileplains.com.au</v>
      </c>
      <c r="C35752" t="s">
        <v>420</v>
      </c>
      <c r="D35752" t="s">
        <v>802</v>
      </c>
      <c r="J35752">
        <v>6</v>
      </c>
    </row>
    <row r="35753" spans="1:10" x14ac:dyDescent="0.25">
      <c r="A35753" t="s">
        <v>389</v>
      </c>
      <c r="B35753" s="1" t="str">
        <f>HYPERLINK("http://mbeelsternwick.com.au","mbeelsternwick.com.au")</f>
        <v>mbeelsternwick.com.au</v>
      </c>
      <c r="C35753" t="s">
        <v>420</v>
      </c>
      <c r="D35753" t="s">
        <v>802</v>
      </c>
      <c r="F35753">
        <v>4.4622837941506403E-9</v>
      </c>
      <c r="G35753">
        <v>67016542</v>
      </c>
      <c r="H35753">
        <v>9526783</v>
      </c>
      <c r="I35753">
        <v>65334937</v>
      </c>
      <c r="J35753">
        <v>6</v>
      </c>
    </row>
    <row r="35754" spans="1:10" x14ac:dyDescent="0.25">
      <c r="A35754" t="s">
        <v>389</v>
      </c>
      <c r="B35754" s="1" t="str">
        <f>HYPERLINK("http://mbeglenwaverley.com.au","mbeglenwaverley.com.au")</f>
        <v>mbeglenwaverley.com.au</v>
      </c>
      <c r="C35754" t="s">
        <v>420</v>
      </c>
      <c r="D35754" t="s">
        <v>802</v>
      </c>
      <c r="J35754">
        <v>6</v>
      </c>
    </row>
    <row r="35755" spans="1:10" x14ac:dyDescent="0.25">
      <c r="A35755" t="s">
        <v>389</v>
      </c>
      <c r="B35755" s="1" t="str">
        <f>HYPERLINK("http://mbehurstville.com.au","mbehurstville.com.au")</f>
        <v>mbehurstville.com.au</v>
      </c>
      <c r="C35755" t="s">
        <v>420</v>
      </c>
      <c r="D35755" t="s">
        <v>802</v>
      </c>
      <c r="F35755">
        <v>4.4438472513465302E-9</v>
      </c>
      <c r="G35755">
        <v>78599984</v>
      </c>
      <c r="H35755">
        <v>10464334</v>
      </c>
      <c r="I35755">
        <v>51527779</v>
      </c>
      <c r="J35755">
        <v>6</v>
      </c>
    </row>
    <row r="35756" spans="1:10" x14ac:dyDescent="0.25">
      <c r="A35756" t="s">
        <v>389</v>
      </c>
      <c r="B35756" s="1" t="str">
        <f>HYPERLINK("http://mbekew.com.au","mbekew.com.au")</f>
        <v>mbekew.com.au</v>
      </c>
      <c r="C35756" t="s">
        <v>420</v>
      </c>
      <c r="D35756" t="s">
        <v>802</v>
      </c>
      <c r="J35756">
        <v>6</v>
      </c>
    </row>
    <row r="35757" spans="1:10" x14ac:dyDescent="0.25">
      <c r="A35757" t="s">
        <v>389</v>
      </c>
      <c r="B35757" s="1" t="str">
        <f>HYPERLINK("http://mbelanecove.com.au","mbelanecove.com.au")</f>
        <v>mbelanecove.com.au</v>
      </c>
      <c r="C35757" t="s">
        <v>420</v>
      </c>
      <c r="D35757" t="s">
        <v>802</v>
      </c>
      <c r="J35757">
        <v>6</v>
      </c>
    </row>
    <row r="35758" spans="1:10" x14ac:dyDescent="0.25">
      <c r="A35758" t="s">
        <v>389</v>
      </c>
      <c r="B35758" s="1" t="str">
        <f>HYPERLINK("http://mbeloganholme.com.au","mbeloganholme.com.au")</f>
        <v>mbeloganholme.com.au</v>
      </c>
      <c r="C35758" t="s">
        <v>420</v>
      </c>
      <c r="D35758" t="s">
        <v>802</v>
      </c>
      <c r="J35758">
        <v>6</v>
      </c>
    </row>
    <row r="35759" spans="1:10" x14ac:dyDescent="0.25">
      <c r="A35759" t="s">
        <v>389</v>
      </c>
      <c r="B35759" s="1" t="str">
        <f>HYPERLINK("http://mbemelbournecbd.com.au","mbemelbournecbd.com.au")</f>
        <v>mbemelbournecbd.com.au</v>
      </c>
      <c r="C35759" t="s">
        <v>420</v>
      </c>
      <c r="D35759" t="s">
        <v>802</v>
      </c>
      <c r="F35759">
        <v>4.4438472513465302E-9</v>
      </c>
      <c r="G35759">
        <v>78599987</v>
      </c>
      <c r="H35759">
        <v>10464334</v>
      </c>
      <c r="I35759">
        <v>51527782</v>
      </c>
      <c r="J35759">
        <v>6</v>
      </c>
    </row>
    <row r="35760" spans="1:10" x14ac:dyDescent="0.25">
      <c r="A35760" t="s">
        <v>389</v>
      </c>
      <c r="B35760" s="1" t="str">
        <f>HYPERLINK("http://mbemilton.com.au","mbemilton.com.au")</f>
        <v>mbemilton.com.au</v>
      </c>
      <c r="C35760" t="s">
        <v>420</v>
      </c>
      <c r="D35760" t="s">
        <v>802</v>
      </c>
      <c r="F35760">
        <v>4.4476252785870402E-9</v>
      </c>
      <c r="G35760">
        <v>73395499</v>
      </c>
      <c r="H35760">
        <v>10647716</v>
      </c>
      <c r="I35760">
        <v>43638499</v>
      </c>
      <c r="J35760">
        <v>4</v>
      </c>
    </row>
    <row r="35761" spans="1:10" x14ac:dyDescent="0.25">
      <c r="A35761" t="s">
        <v>389</v>
      </c>
      <c r="B35761" s="1" t="str">
        <f>HYPERLINK("http://mbenorthbridge.com.au","mbenorthbridge.com.au")</f>
        <v>mbenorthbridge.com.au</v>
      </c>
      <c r="C35761" t="s">
        <v>420</v>
      </c>
      <c r="D35761" t="s">
        <v>802</v>
      </c>
      <c r="J35761">
        <v>6</v>
      </c>
    </row>
    <row r="35762" spans="1:10" x14ac:dyDescent="0.25">
      <c r="A35762" t="s">
        <v>389</v>
      </c>
      <c r="B35762" s="1" t="str">
        <f>HYPERLINK("http://mbepacificfair.com.au","mbepacificfair.com.au")</f>
        <v>mbepacificfair.com.au</v>
      </c>
      <c r="C35762" t="s">
        <v>420</v>
      </c>
      <c r="D35762" t="s">
        <v>802</v>
      </c>
      <c r="F35762">
        <v>4.4476685765783203E-9</v>
      </c>
      <c r="G35762">
        <v>73357263</v>
      </c>
      <c r="H35762">
        <v>10720575</v>
      </c>
      <c r="I35762">
        <v>41884838</v>
      </c>
      <c r="J35762">
        <v>6</v>
      </c>
    </row>
    <row r="35763" spans="1:10" x14ac:dyDescent="0.25">
      <c r="A35763" t="s">
        <v>389</v>
      </c>
      <c r="B35763" s="1" t="str">
        <f>HYPERLINK("http://mbeparramatta.com.au","mbeparramatta.com.au")</f>
        <v>mbeparramatta.com.au</v>
      </c>
      <c r="C35763" t="s">
        <v>420</v>
      </c>
      <c r="D35763" t="s">
        <v>802</v>
      </c>
      <c r="F35763">
        <v>4.5318744939172299E-9</v>
      </c>
      <c r="G35763">
        <v>54852457</v>
      </c>
      <c r="H35763">
        <v>12094313</v>
      </c>
      <c r="I35763">
        <v>26111588</v>
      </c>
      <c r="J35763">
        <v>6</v>
      </c>
    </row>
    <row r="35764" spans="1:10" x14ac:dyDescent="0.25">
      <c r="A35764" t="s">
        <v>389</v>
      </c>
      <c r="B35764" s="1" t="str">
        <f>HYPERLINK("http://mbeperthcbd.com.au","mbeperthcbd.com.au")</f>
        <v>mbeperthcbd.com.au</v>
      </c>
      <c r="C35764" t="s">
        <v>420</v>
      </c>
      <c r="D35764" t="s">
        <v>802</v>
      </c>
      <c r="J35764">
        <v>6</v>
      </c>
    </row>
    <row r="35765" spans="1:10" x14ac:dyDescent="0.25">
      <c r="A35765" t="s">
        <v>389</v>
      </c>
      <c r="B35765" s="1" t="str">
        <f>HYPERLINK("http://mbepointcook.com.au","mbepointcook.com.au")</f>
        <v>mbepointcook.com.au</v>
      </c>
      <c r="C35765" t="s">
        <v>420</v>
      </c>
      <c r="D35765" t="s">
        <v>802</v>
      </c>
      <c r="J35765">
        <v>6</v>
      </c>
    </row>
    <row r="35766" spans="1:10" x14ac:dyDescent="0.25">
      <c r="A35766" t="s">
        <v>389</v>
      </c>
      <c r="B35766" s="1" t="str">
        <f>HYPERLINK("http://mberobina.com.au","mberobina.com.au")</f>
        <v>mberobina.com.au</v>
      </c>
      <c r="C35766" t="s">
        <v>420</v>
      </c>
      <c r="D35766" t="s">
        <v>802</v>
      </c>
      <c r="F35766">
        <v>4.4453666942846201E-9</v>
      </c>
      <c r="G35766">
        <v>75348920</v>
      </c>
      <c r="H35766">
        <v>10353985</v>
      </c>
      <c r="I35766">
        <v>55838019</v>
      </c>
      <c r="J35766">
        <v>6</v>
      </c>
    </row>
    <row r="35767" spans="1:10" x14ac:dyDescent="0.25">
      <c r="A35767" t="s">
        <v>389</v>
      </c>
      <c r="B35767" s="1" t="str">
        <f>HYPERLINK("http://mbestonescorner.com.au","mbestonescorner.com.au")</f>
        <v>mbestonescorner.com.au</v>
      </c>
      <c r="C35767" t="s">
        <v>420</v>
      </c>
      <c r="D35767" t="s">
        <v>802</v>
      </c>
      <c r="F35767">
        <v>4.4438472513465302E-9</v>
      </c>
      <c r="G35767">
        <v>78599988</v>
      </c>
      <c r="H35767">
        <v>10464334</v>
      </c>
      <c r="I35767">
        <v>51527783</v>
      </c>
      <c r="J35767">
        <v>6</v>
      </c>
    </row>
    <row r="35768" spans="1:10" x14ac:dyDescent="0.25">
      <c r="A35768" t="s">
        <v>389</v>
      </c>
      <c r="B35768" s="1" t="str">
        <f>HYPERLINK("http://mbetoowong.com.au","mbetoowong.com.au")</f>
        <v>mbetoowong.com.au</v>
      </c>
      <c r="C35768" t="s">
        <v>420</v>
      </c>
      <c r="D35768" t="s">
        <v>802</v>
      </c>
      <c r="F35768">
        <v>4.4453666942846201E-9</v>
      </c>
      <c r="G35768">
        <v>75348921</v>
      </c>
      <c r="H35768">
        <v>10353985</v>
      </c>
      <c r="I35768">
        <v>55838020</v>
      </c>
      <c r="J35768">
        <v>6</v>
      </c>
    </row>
    <row r="35769" spans="1:10" x14ac:dyDescent="0.25">
      <c r="A35769" t="s">
        <v>389</v>
      </c>
      <c r="B35769" s="1" t="str">
        <f>HYPERLINK("http://mbewestperth.com.au","mbewestperth.com.au")</f>
        <v>mbewestperth.com.au</v>
      </c>
      <c r="C35769" t="s">
        <v>420</v>
      </c>
      <c r="D35769" t="s">
        <v>802</v>
      </c>
      <c r="F35769">
        <v>4.4453666942846201E-9</v>
      </c>
      <c r="G35769">
        <v>75348922</v>
      </c>
      <c r="H35769">
        <v>10353985</v>
      </c>
      <c r="I35769">
        <v>55838021</v>
      </c>
      <c r="J35769">
        <v>6</v>
      </c>
    </row>
    <row r="35770" spans="1:10" x14ac:dyDescent="0.25">
      <c r="A35770" t="s">
        <v>389</v>
      </c>
      <c r="B35770" s="1" t="str">
        <f>HYPERLINK("http://mbe.ca","mbe.ca")</f>
        <v>mbe.ca</v>
      </c>
      <c r="C35770" t="s">
        <v>428</v>
      </c>
      <c r="D35770" t="s">
        <v>809</v>
      </c>
      <c r="F35770">
        <v>4.9288763187636799E-9</v>
      </c>
      <c r="G35770">
        <v>31412158</v>
      </c>
      <c r="H35770">
        <v>11027775</v>
      </c>
      <c r="I35770">
        <v>33136239</v>
      </c>
      <c r="J35770">
        <v>4</v>
      </c>
    </row>
    <row r="35771" spans="1:10" x14ac:dyDescent="0.25">
      <c r="A35771" t="s">
        <v>389</v>
      </c>
      <c r="B35771" s="1" t="str">
        <f>HYPERLINK("http://theupsstore.ca","theupsstore.ca")</f>
        <v>theupsstore.ca</v>
      </c>
      <c r="C35771" t="s">
        <v>428</v>
      </c>
      <c r="D35771" t="s">
        <v>809</v>
      </c>
      <c r="E35771">
        <v>290444</v>
      </c>
      <c r="F35771">
        <v>1.2700775802706899E-7</v>
      </c>
      <c r="G35771">
        <v>310502</v>
      </c>
      <c r="H35771">
        <v>14390084</v>
      </c>
      <c r="I35771">
        <v>1169191</v>
      </c>
      <c r="J35771">
        <v>3</v>
      </c>
    </row>
    <row r="35772" spans="1:10" x14ac:dyDescent="0.25">
      <c r="A35772" t="s">
        <v>389</v>
      </c>
      <c r="B35772" s="1" t="str">
        <f>HYPERLINK("http://upscapital.cn","upscapital.cn")</f>
        <v>upscapital.cn</v>
      </c>
      <c r="C35772" t="s">
        <v>431</v>
      </c>
      <c r="D35772" t="s">
        <v>812</v>
      </c>
      <c r="F35772">
        <v>3.4647013302601998E-8</v>
      </c>
      <c r="G35772">
        <v>1497752</v>
      </c>
      <c r="H35772">
        <v>12690073</v>
      </c>
      <c r="I35772">
        <v>15419654</v>
      </c>
      <c r="J35772">
        <v>4</v>
      </c>
    </row>
    <row r="35773" spans="1:10" x14ac:dyDescent="0.25">
      <c r="A35773" t="s">
        <v>389</v>
      </c>
      <c r="B35773" s="1" t="str">
        <f>HYPERLINK("http://accessamericatransport.com","accessamericatransport.com")</f>
        <v>accessamericatransport.com</v>
      </c>
      <c r="C35773" t="s">
        <v>433</v>
      </c>
      <c r="F35773">
        <v>6.1024357743361596E-9</v>
      </c>
      <c r="G35773">
        <v>16079703</v>
      </c>
      <c r="H35773">
        <v>13945245</v>
      </c>
      <c r="I35773">
        <v>4284012</v>
      </c>
      <c r="J35773">
        <v>8</v>
      </c>
    </row>
    <row r="35774" spans="1:10" x14ac:dyDescent="0.25">
      <c r="A35774" t="s">
        <v>389</v>
      </c>
      <c r="B35774" s="1" t="str">
        <f>HYPERLINK("http://centam-mbe.com","centam-mbe.com")</f>
        <v>centam-mbe.com</v>
      </c>
      <c r="C35774" t="s">
        <v>433</v>
      </c>
      <c r="F35774">
        <v>5.9166192646303803E-9</v>
      </c>
      <c r="G35774">
        <v>17243947</v>
      </c>
      <c r="H35774">
        <v>10600163</v>
      </c>
      <c r="I35774">
        <v>44895391</v>
      </c>
      <c r="J35774">
        <v>4</v>
      </c>
    </row>
    <row r="35775" spans="1:10" x14ac:dyDescent="0.25">
      <c r="A35775" t="s">
        <v>389</v>
      </c>
      <c r="B35775" s="1" t="str">
        <f>HYPERLINK("http://coyote.com","coyote.com")</f>
        <v>coyote.com</v>
      </c>
      <c r="C35775" t="s">
        <v>433</v>
      </c>
      <c r="E35775">
        <v>94541</v>
      </c>
      <c r="F35775">
        <v>1.87648036714412E-7</v>
      </c>
      <c r="G35775">
        <v>205381</v>
      </c>
      <c r="H35775">
        <v>13803225</v>
      </c>
      <c r="I35775">
        <v>6263757</v>
      </c>
      <c r="J35775">
        <v>4</v>
      </c>
    </row>
    <row r="35776" spans="1:10" x14ac:dyDescent="0.25">
      <c r="A35776" t="s">
        <v>389</v>
      </c>
      <c r="B35776" s="1" t="str">
        <f>HYPERLINK("http://coyotelogistics.com","coyotelogistics.com")</f>
        <v>coyotelogistics.com</v>
      </c>
      <c r="C35776" t="s">
        <v>433</v>
      </c>
      <c r="F35776">
        <v>9.8419703837639403E-9</v>
      </c>
      <c r="G35776">
        <v>6924409</v>
      </c>
      <c r="H35776">
        <v>12379550</v>
      </c>
      <c r="I35776">
        <v>19218414</v>
      </c>
      <c r="J35776">
        <v>3</v>
      </c>
    </row>
    <row r="35777" spans="1:10" x14ac:dyDescent="0.25">
      <c r="A35777" t="s">
        <v>389</v>
      </c>
      <c r="B35777" s="1" t="str">
        <f>HYPERLINK("http://hastymarketcorp.com","hastymarketcorp.com")</f>
        <v>hastymarketcorp.com</v>
      </c>
      <c r="C35777" t="s">
        <v>433</v>
      </c>
      <c r="F35777">
        <v>1.0148823389478801E-8</v>
      </c>
      <c r="G35777">
        <v>6597835</v>
      </c>
      <c r="H35777">
        <v>13128680</v>
      </c>
      <c r="I35777">
        <v>11946524</v>
      </c>
      <c r="J35777">
        <v>4</v>
      </c>
    </row>
    <row r="35778" spans="1:10" x14ac:dyDescent="0.25">
      <c r="A35778" t="s">
        <v>389</v>
      </c>
      <c r="B35778" s="1" t="str">
        <f>HYPERLINK("http://i-parcel.com","i-parcel.com")</f>
        <v>i-parcel.com</v>
      </c>
      <c r="C35778" t="s">
        <v>433</v>
      </c>
      <c r="E35778">
        <v>196303</v>
      </c>
      <c r="F35778">
        <v>1.0861427489928301E-7</v>
      </c>
      <c r="G35778">
        <v>368389</v>
      </c>
      <c r="H35778">
        <v>13420286</v>
      </c>
      <c r="I35778">
        <v>10304779</v>
      </c>
      <c r="J35778">
        <v>4</v>
      </c>
    </row>
    <row r="35779" spans="1:10" x14ac:dyDescent="0.25">
      <c r="A35779" t="s">
        <v>389</v>
      </c>
      <c r="B35779" s="1" t="str">
        <f>HYPERLINK("http://irion-edm.com","irion-edm.com")</f>
        <v>irion-edm.com</v>
      </c>
      <c r="C35779" t="s">
        <v>433</v>
      </c>
      <c r="F35779">
        <v>1.9603561639766801E-8</v>
      </c>
      <c r="G35779">
        <v>2727498</v>
      </c>
      <c r="H35779">
        <v>13572184</v>
      </c>
      <c r="I35779">
        <v>9715630</v>
      </c>
      <c r="J35779">
        <v>8</v>
      </c>
    </row>
    <row r="35780" spans="1:10" x14ac:dyDescent="0.25">
      <c r="A35780" t="s">
        <v>389</v>
      </c>
      <c r="B35780" s="1" t="str">
        <f>HYPERLINK("http://iriondq.com","iriondq.com")</f>
        <v>iriondq.com</v>
      </c>
      <c r="C35780" t="s">
        <v>433</v>
      </c>
      <c r="F35780">
        <v>4.46853792437682E-9</v>
      </c>
      <c r="G35780">
        <v>64954668</v>
      </c>
      <c r="H35780">
        <v>12117657</v>
      </c>
      <c r="I35780">
        <v>25468467</v>
      </c>
      <c r="J35780">
        <v>7</v>
      </c>
    </row>
    <row r="35781" spans="1:10" x14ac:dyDescent="0.25">
      <c r="A35781" t="s">
        <v>389</v>
      </c>
      <c r="B35781" s="1" t="str">
        <f>HYPERLINK("http://mailboxesetc.com","mailboxesetc.com")</f>
        <v>mailboxesetc.com</v>
      </c>
      <c r="C35781" t="s">
        <v>433</v>
      </c>
      <c r="F35781">
        <v>4.6738270730273398E-9</v>
      </c>
      <c r="G35781">
        <v>42716651</v>
      </c>
      <c r="H35781">
        <v>13763634</v>
      </c>
      <c r="I35781">
        <v>8374292</v>
      </c>
      <c r="J35781">
        <v>6</v>
      </c>
    </row>
    <row r="35782" spans="1:10" x14ac:dyDescent="0.25">
      <c r="A35782" t="s">
        <v>389</v>
      </c>
      <c r="B35782" s="1" t="str">
        <f>HYPERLINK("http://marken.com","marken.com")</f>
        <v>marken.com</v>
      </c>
      <c r="C35782" t="s">
        <v>433</v>
      </c>
      <c r="E35782">
        <v>144983</v>
      </c>
      <c r="F35782">
        <v>8.2071067601975105E-8</v>
      </c>
      <c r="G35782">
        <v>508449</v>
      </c>
      <c r="H35782">
        <v>14464361</v>
      </c>
      <c r="I35782">
        <v>1045199</v>
      </c>
      <c r="J35782">
        <v>3</v>
      </c>
    </row>
    <row r="35783" spans="1:10" x14ac:dyDescent="0.25">
      <c r="A35783" t="s">
        <v>389</v>
      </c>
      <c r="B35783" s="1" t="str">
        <f>HYPERLINK("http://mbe-ca.com","mbe-ca.com")</f>
        <v>mbe-ca.com</v>
      </c>
      <c r="C35783" t="s">
        <v>433</v>
      </c>
      <c r="F35783">
        <v>5.9111458328905996E-9</v>
      </c>
      <c r="G35783">
        <v>17283055</v>
      </c>
      <c r="H35783">
        <v>12892454</v>
      </c>
      <c r="I35783">
        <v>13921117</v>
      </c>
      <c r="J35783">
        <v>4</v>
      </c>
    </row>
    <row r="35784" spans="1:10" x14ac:dyDescent="0.25">
      <c r="A35784" t="s">
        <v>389</v>
      </c>
      <c r="B35784" s="1" t="str">
        <f>HYPERLINK("http://mbecorporate.com","mbecorporate.com")</f>
        <v>mbecorporate.com</v>
      </c>
      <c r="C35784" t="s">
        <v>433</v>
      </c>
      <c r="F35784">
        <v>5.4615447941482597E-8</v>
      </c>
      <c r="G35784">
        <v>825572</v>
      </c>
      <c r="H35784">
        <v>13499846</v>
      </c>
      <c r="I35784">
        <v>9971398</v>
      </c>
      <c r="J35784">
        <v>5</v>
      </c>
    </row>
    <row r="35785" spans="1:10" x14ac:dyDescent="0.25">
      <c r="A35785" t="s">
        <v>389</v>
      </c>
      <c r="B35785" s="1" t="str">
        <f>HYPERLINK("http://mbeglobal.com","mbeglobal.com")</f>
        <v>mbeglobal.com</v>
      </c>
      <c r="C35785" t="s">
        <v>433</v>
      </c>
      <c r="F35785">
        <v>7.3830178563399601E-8</v>
      </c>
      <c r="G35785">
        <v>570473</v>
      </c>
      <c r="H35785">
        <v>14406978</v>
      </c>
      <c r="I35785">
        <v>1147942</v>
      </c>
      <c r="J35785">
        <v>3</v>
      </c>
    </row>
    <row r="35786" spans="1:10" x14ac:dyDescent="0.25">
      <c r="A35786" t="s">
        <v>389</v>
      </c>
      <c r="B35786" s="1" t="str">
        <f>HYPERLINK("http://mbelatam.com","mbelatam.com")</f>
        <v>mbelatam.com</v>
      </c>
      <c r="C35786" t="s">
        <v>433</v>
      </c>
      <c r="F35786">
        <v>5.7433380009371898E-9</v>
      </c>
      <c r="G35786">
        <v>18552364</v>
      </c>
      <c r="H35786">
        <v>12928863</v>
      </c>
      <c r="I35786">
        <v>13373991</v>
      </c>
      <c r="J35786">
        <v>4</v>
      </c>
    </row>
    <row r="35787" spans="1:10" x14ac:dyDescent="0.25">
      <c r="A35787" t="s">
        <v>389</v>
      </c>
      <c r="B35787" s="1" t="str">
        <f>HYPERLINK("http://mbm-creative.com","mbm-creative.com")</f>
        <v>mbm-creative.com</v>
      </c>
      <c r="C35787" t="s">
        <v>433</v>
      </c>
      <c r="F35787">
        <v>4.7754781599552998E-9</v>
      </c>
      <c r="G35787">
        <v>37140714</v>
      </c>
      <c r="H35787">
        <v>9478423</v>
      </c>
      <c r="I35787">
        <v>66048714</v>
      </c>
      <c r="J35787">
        <v>6</v>
      </c>
    </row>
    <row r="35788" spans="1:10" x14ac:dyDescent="0.25">
      <c r="A35788" t="s">
        <v>389</v>
      </c>
      <c r="B35788" s="1" t="str">
        <f>HYPERLINK("http://polarspeed.com","polarspeed.com")</f>
        <v>polarspeed.com</v>
      </c>
      <c r="C35788" t="s">
        <v>433</v>
      </c>
      <c r="F35788">
        <v>3.5462694155850303E-8</v>
      </c>
      <c r="G35788">
        <v>1467573</v>
      </c>
      <c r="H35788">
        <v>12814219</v>
      </c>
      <c r="I35788">
        <v>14541770</v>
      </c>
      <c r="J35788">
        <v>4</v>
      </c>
    </row>
    <row r="35789" spans="1:10" x14ac:dyDescent="0.25">
      <c r="A35789" t="s">
        <v>389</v>
      </c>
      <c r="B35789" s="1" t="str">
        <f>HYPERLINK("http://strivediservices.com","strivediservices.com")</f>
        <v>strivediservices.com</v>
      </c>
      <c r="C35789" t="s">
        <v>433</v>
      </c>
      <c r="F35789">
        <v>4.5517141978673297E-9</v>
      </c>
      <c r="G35789">
        <v>52009460</v>
      </c>
      <c r="H35789">
        <v>12806063</v>
      </c>
      <c r="I35789">
        <v>14610768</v>
      </c>
      <c r="J35789">
        <v>3</v>
      </c>
    </row>
    <row r="35790" spans="1:10" x14ac:dyDescent="0.25">
      <c r="A35790" t="s">
        <v>389</v>
      </c>
      <c r="B35790" s="1" t="str">
        <f>HYPERLINK("http://theupsstore.com","theupsstore.com")</f>
        <v>theupsstore.com</v>
      </c>
      <c r="C35790" t="s">
        <v>433</v>
      </c>
      <c r="E35790">
        <v>19108</v>
      </c>
      <c r="F35790">
        <v>1.50261027319631E-6</v>
      </c>
      <c r="G35790">
        <v>26094</v>
      </c>
      <c r="H35790">
        <v>15279665</v>
      </c>
      <c r="I35790">
        <v>387709</v>
      </c>
      <c r="J35790">
        <v>3</v>
      </c>
    </row>
    <row r="35791" spans="1:10" x14ac:dyDescent="0.25">
      <c r="A35791" t="s">
        <v>389</v>
      </c>
      <c r="B35791" s="1" t="str">
        <f>HYPERLINK("http://theupsstorelocal.com","theupsstorelocal.com")</f>
        <v>theupsstorelocal.com</v>
      </c>
      <c r="C35791" t="s">
        <v>433</v>
      </c>
      <c r="E35791">
        <v>287743</v>
      </c>
      <c r="F35791">
        <v>2.4183017540994901E-7</v>
      </c>
      <c r="G35791">
        <v>154722</v>
      </c>
      <c r="H35791">
        <v>17008812</v>
      </c>
      <c r="I35791">
        <v>91880</v>
      </c>
      <c r="J35791">
        <v>4</v>
      </c>
    </row>
    <row r="35792" spans="1:10" x14ac:dyDescent="0.25">
      <c r="A35792" t="s">
        <v>389</v>
      </c>
      <c r="B35792" s="1" t="str">
        <f>HYPERLINK("http://uos.com","uos.com")</f>
        <v>uos.com</v>
      </c>
      <c r="C35792" t="s">
        <v>433</v>
      </c>
      <c r="F35792">
        <v>4.4572992670321096E-9</v>
      </c>
      <c r="G35792">
        <v>68638873</v>
      </c>
      <c r="H35792">
        <v>10249574</v>
      </c>
      <c r="I35792">
        <v>58674020</v>
      </c>
      <c r="J35792">
        <v>3</v>
      </c>
    </row>
    <row r="35793" spans="1:10" x14ac:dyDescent="0.25">
      <c r="A35793" t="s">
        <v>389</v>
      </c>
      <c r="B35793" s="1" t="str">
        <f>HYPERLINK("http://ups.com","ups.com")</f>
        <v>ups.com</v>
      </c>
      <c r="C35793" t="s">
        <v>433</v>
      </c>
      <c r="E35793">
        <v>497</v>
      </c>
      <c r="F35793">
        <v>2.3540629036453099E-5</v>
      </c>
      <c r="G35793">
        <v>1239</v>
      </c>
      <c r="H35793">
        <v>18360992</v>
      </c>
      <c r="I35793">
        <v>2117</v>
      </c>
      <c r="J35793">
        <v>1</v>
      </c>
    </row>
    <row r="35794" spans="1:10" x14ac:dyDescent="0.25">
      <c r="A35794" t="s">
        <v>389</v>
      </c>
      <c r="B35794" s="1" t="str">
        <f>HYPERLINK("http://ups-psi.com","ups-psi.com")</f>
        <v>ups-psi.com</v>
      </c>
      <c r="C35794" t="s">
        <v>433</v>
      </c>
      <c r="F35794">
        <v>5.8107151225955601E-9</v>
      </c>
      <c r="G35794">
        <v>18006965</v>
      </c>
      <c r="H35794">
        <v>13331671</v>
      </c>
      <c r="I35794">
        <v>10716205</v>
      </c>
      <c r="J35794">
        <v>5</v>
      </c>
    </row>
    <row r="35795" spans="1:10" x14ac:dyDescent="0.25">
      <c r="A35795" t="s">
        <v>389</v>
      </c>
      <c r="B35795" s="1" t="str">
        <f>HYPERLINK("http://ups-scs.com","ups-scs.com")</f>
        <v>ups-scs.com</v>
      </c>
      <c r="C35795" t="s">
        <v>433</v>
      </c>
      <c r="E35795">
        <v>123948</v>
      </c>
      <c r="F35795">
        <v>1.99460713955573E-7</v>
      </c>
      <c r="G35795">
        <v>191348</v>
      </c>
      <c r="H35795">
        <v>14185659</v>
      </c>
      <c r="I35795">
        <v>1769795</v>
      </c>
      <c r="J35795">
        <v>3</v>
      </c>
    </row>
    <row r="35796" spans="1:10" x14ac:dyDescent="0.25">
      <c r="A35796" t="s">
        <v>389</v>
      </c>
      <c r="B35796" s="1" t="str">
        <f>HYPERLINK("http://upscapital.com","upscapital.com")</f>
        <v>upscapital.com</v>
      </c>
      <c r="C35796" t="s">
        <v>433</v>
      </c>
      <c r="E35796">
        <v>259929</v>
      </c>
      <c r="F35796">
        <v>1.35440237275505E-7</v>
      </c>
      <c r="G35796">
        <v>288130</v>
      </c>
      <c r="H35796">
        <v>13853821</v>
      </c>
      <c r="I35796">
        <v>6047735</v>
      </c>
      <c r="J35796">
        <v>3</v>
      </c>
    </row>
    <row r="35797" spans="1:10" x14ac:dyDescent="0.25">
      <c r="A35797" t="s">
        <v>389</v>
      </c>
      <c r="B35797" s="1" t="str">
        <f>HYPERLINK("http://upsfreight.com","upsfreight.com")</f>
        <v>upsfreight.com</v>
      </c>
      <c r="C35797" t="s">
        <v>433</v>
      </c>
      <c r="E35797">
        <v>149498</v>
      </c>
      <c r="F35797">
        <v>1.35342367377815E-7</v>
      </c>
      <c r="G35797">
        <v>288337</v>
      </c>
      <c r="H35797">
        <v>14549256</v>
      </c>
      <c r="I35797">
        <v>761653</v>
      </c>
      <c r="J35797">
        <v>3</v>
      </c>
    </row>
    <row r="35798" spans="1:10" x14ac:dyDescent="0.25">
      <c r="A35798" t="s">
        <v>389</v>
      </c>
      <c r="B35798" s="1" t="str">
        <f>HYPERLINK("http://upsjobsky.com","upsjobsky.com")</f>
        <v>upsjobsky.com</v>
      </c>
      <c r="C35798" t="s">
        <v>433</v>
      </c>
      <c r="F35798">
        <v>5.1224357094004703E-8</v>
      </c>
      <c r="G35798">
        <v>894167</v>
      </c>
      <c r="H35798">
        <v>12846840</v>
      </c>
      <c r="I35798">
        <v>14311246</v>
      </c>
      <c r="J35798">
        <v>4</v>
      </c>
    </row>
    <row r="35799" spans="1:10" x14ac:dyDescent="0.25">
      <c r="A35799" t="s">
        <v>389</v>
      </c>
      <c r="B35799" s="1" t="str">
        <f>HYPERLINK("http://upsstore.com","upsstore.com")</f>
        <v>upsstore.com</v>
      </c>
      <c r="C35799" t="s">
        <v>433</v>
      </c>
      <c r="F35799">
        <v>7.6751408014049293E-9</v>
      </c>
      <c r="G35799">
        <v>10633398</v>
      </c>
      <c r="H35799">
        <v>13798939</v>
      </c>
      <c r="I35799">
        <v>6288387</v>
      </c>
      <c r="J35799">
        <v>5</v>
      </c>
    </row>
    <row r="35800" spans="1:10" x14ac:dyDescent="0.25">
      <c r="A35800" t="s">
        <v>389</v>
      </c>
      <c r="B35800" s="1" t="str">
        <f>HYPERLINK("http://upsstoreprint.com","upsstoreprint.com")</f>
        <v>upsstoreprint.com</v>
      </c>
      <c r="C35800" t="s">
        <v>433</v>
      </c>
      <c r="F35800">
        <v>3.96522625958893E-8</v>
      </c>
      <c r="G35800">
        <v>1302424</v>
      </c>
      <c r="H35800">
        <v>13482669</v>
      </c>
      <c r="I35800">
        <v>10001673</v>
      </c>
      <c r="J35800">
        <v>4</v>
      </c>
    </row>
    <row r="35801" spans="1:10" x14ac:dyDescent="0.25">
      <c r="A35801" t="s">
        <v>389</v>
      </c>
      <c r="B35801" s="1" t="str">
        <f>HYPERLINK("http://upsstoreprintshop.com","upsstoreprintshop.com")</f>
        <v>upsstoreprintshop.com</v>
      </c>
      <c r="C35801" t="s">
        <v>433</v>
      </c>
      <c r="E35801">
        <v>364739</v>
      </c>
      <c r="F35801">
        <v>3.4185193150751499E-8</v>
      </c>
      <c r="G35801">
        <v>1515823</v>
      </c>
      <c r="H35801">
        <v>13568794</v>
      </c>
      <c r="I35801">
        <v>9733927</v>
      </c>
      <c r="J35801">
        <v>4</v>
      </c>
    </row>
    <row r="35802" spans="1:10" x14ac:dyDescent="0.25">
      <c r="A35802" t="s">
        <v>389</v>
      </c>
      <c r="B35802" s="1" t="str">
        <f>HYPERLINK("http://blumen-jochenwolf.de","blumen-jochenwolf.de")</f>
        <v>blumen-jochenwolf.de</v>
      </c>
      <c r="C35802" t="s">
        <v>436</v>
      </c>
      <c r="D35802" t="s">
        <v>815</v>
      </c>
      <c r="J35802">
        <v>3</v>
      </c>
    </row>
    <row r="35803" spans="1:10" x14ac:dyDescent="0.25">
      <c r="A35803" t="s">
        <v>389</v>
      </c>
      <c r="B35803" s="1" t="str">
        <f>HYPERLINK("http://mbe.de","mbe.de")</f>
        <v>mbe.de</v>
      </c>
      <c r="C35803" t="s">
        <v>436</v>
      </c>
      <c r="D35803" t="s">
        <v>815</v>
      </c>
      <c r="E35803">
        <v>833347</v>
      </c>
      <c r="F35803">
        <v>1.75011619287586E-7</v>
      </c>
      <c r="G35803">
        <v>221582</v>
      </c>
      <c r="H35803">
        <v>14716245</v>
      </c>
      <c r="I35803">
        <v>580254</v>
      </c>
      <c r="J35803">
        <v>4</v>
      </c>
    </row>
    <row r="35804" spans="1:10" x14ac:dyDescent="0.25">
      <c r="A35804" t="s">
        <v>389</v>
      </c>
      <c r="B35804" s="1" t="str">
        <f>HYPERLINK("http://mbe-dachau.de","mbe-dachau.de")</f>
        <v>mbe-dachau.de</v>
      </c>
      <c r="C35804" t="s">
        <v>436</v>
      </c>
      <c r="D35804" t="s">
        <v>815</v>
      </c>
      <c r="J35804">
        <v>4</v>
      </c>
    </row>
    <row r="35805" spans="1:10" x14ac:dyDescent="0.25">
      <c r="A35805" t="s">
        <v>389</v>
      </c>
      <c r="B35805" s="1" t="str">
        <f>HYPERLINK("http://mbe-de.de","mbe-de.de")</f>
        <v>mbe-de.de</v>
      </c>
      <c r="C35805" t="s">
        <v>436</v>
      </c>
      <c r="D35805" t="s">
        <v>815</v>
      </c>
      <c r="F35805">
        <v>1.8763391704002199E-8</v>
      </c>
      <c r="G35805">
        <v>2878165</v>
      </c>
      <c r="H35805">
        <v>13015114</v>
      </c>
      <c r="I35805">
        <v>12731663</v>
      </c>
      <c r="J35805">
        <v>4</v>
      </c>
    </row>
    <row r="35806" spans="1:10" x14ac:dyDescent="0.25">
      <c r="A35806" t="s">
        <v>389</v>
      </c>
      <c r="B35806" s="1" t="str">
        <f>HYPERLINK("http://mbe-franchise.de","mbe-franchise.de")</f>
        <v>mbe-franchise.de</v>
      </c>
      <c r="C35806" t="s">
        <v>436</v>
      </c>
      <c r="D35806" t="s">
        <v>815</v>
      </c>
      <c r="F35806">
        <v>8.0837960044803801E-9</v>
      </c>
      <c r="G35806">
        <v>9770657</v>
      </c>
      <c r="H35806">
        <v>11175074</v>
      </c>
      <c r="I35806">
        <v>31480866</v>
      </c>
      <c r="J35806">
        <v>6</v>
      </c>
    </row>
    <row r="35807" spans="1:10" x14ac:dyDescent="0.25">
      <c r="A35807" t="s">
        <v>389</v>
      </c>
      <c r="B35807" s="1" t="str">
        <f>HYPERLINK("http://mbe-witten.de","mbe-witten.de")</f>
        <v>mbe-witten.de</v>
      </c>
      <c r="C35807" t="s">
        <v>436</v>
      </c>
      <c r="D35807" t="s">
        <v>815</v>
      </c>
      <c r="J35807">
        <v>3</v>
      </c>
    </row>
    <row r="35808" spans="1:10" x14ac:dyDescent="0.25">
      <c r="A35808" t="s">
        <v>389</v>
      </c>
      <c r="B35808" s="1" t="str">
        <f>HYPERLINK("http://mbe194.de","mbe194.de")</f>
        <v>mbe194.de</v>
      </c>
      <c r="C35808" t="s">
        <v>436</v>
      </c>
      <c r="D35808" t="s">
        <v>815</v>
      </c>
      <c r="F35808">
        <v>4.55020534120444E-9</v>
      </c>
      <c r="G35808">
        <v>52168258</v>
      </c>
      <c r="H35808">
        <v>9377536</v>
      </c>
      <c r="I35808">
        <v>67595216</v>
      </c>
      <c r="J35808">
        <v>4</v>
      </c>
    </row>
    <row r="35809" spans="1:10" x14ac:dyDescent="0.25">
      <c r="A35809" t="s">
        <v>389</v>
      </c>
      <c r="B35809" s="1" t="str">
        <f>HYPERLINK("http://paket1a.de","paket1a.de")</f>
        <v>paket1a.de</v>
      </c>
      <c r="C35809" t="s">
        <v>436</v>
      </c>
      <c r="D35809" t="s">
        <v>815</v>
      </c>
      <c r="F35809">
        <v>4.9886322181987397E-9</v>
      </c>
      <c r="G35809">
        <v>29708890</v>
      </c>
      <c r="H35809">
        <v>10352999</v>
      </c>
      <c r="I35809">
        <v>55897544</v>
      </c>
      <c r="J35809">
        <v>3</v>
      </c>
    </row>
    <row r="35810" spans="1:10" x14ac:dyDescent="0.25">
      <c r="A35810" t="s">
        <v>389</v>
      </c>
      <c r="B35810" s="1" t="str">
        <f>HYPERLINK("http://barcelona-logistica.es","barcelona-logistica.es")</f>
        <v>barcelona-logistica.es</v>
      </c>
      <c r="C35810" t="s">
        <v>443</v>
      </c>
      <c r="D35810" t="s">
        <v>822</v>
      </c>
      <c r="F35810">
        <v>4.8209614724902698E-9</v>
      </c>
      <c r="G35810">
        <v>35236689</v>
      </c>
      <c r="H35810">
        <v>12888882</v>
      </c>
      <c r="I35810">
        <v>13944184</v>
      </c>
      <c r="J35810">
        <v>6</v>
      </c>
    </row>
    <row r="35811" spans="1:10" x14ac:dyDescent="0.25">
      <c r="A35811" t="s">
        <v>389</v>
      </c>
      <c r="B35811" s="1" t="str">
        <f>HYPERLINK("http://mbe.es","mbe.es")</f>
        <v>mbe.es</v>
      </c>
      <c r="C35811" t="s">
        <v>443</v>
      </c>
      <c r="D35811" t="s">
        <v>822</v>
      </c>
      <c r="F35811">
        <v>7.9721316711763597E-8</v>
      </c>
      <c r="G35811">
        <v>524020</v>
      </c>
      <c r="H35811">
        <v>14472724</v>
      </c>
      <c r="I35811">
        <v>1041006</v>
      </c>
      <c r="J35811">
        <v>4</v>
      </c>
    </row>
    <row r="35812" spans="1:10" x14ac:dyDescent="0.25">
      <c r="A35812" t="s">
        <v>389</v>
      </c>
      <c r="B35812" s="1" t="str">
        <f>HYPERLINK("http://mailboxesetc.fi","mailboxesetc.fi")</f>
        <v>mailboxesetc.fi</v>
      </c>
      <c r="C35812" t="s">
        <v>445</v>
      </c>
      <c r="D35812" t="s">
        <v>823</v>
      </c>
      <c r="J35812">
        <v>6</v>
      </c>
    </row>
    <row r="35813" spans="1:10" x14ac:dyDescent="0.25">
      <c r="A35813" t="s">
        <v>389</v>
      </c>
      <c r="B35813" s="1" t="str">
        <f>HYPERLINK("http://mbefinland.fi","mbefinland.fi")</f>
        <v>mbefinland.fi</v>
      </c>
      <c r="C35813" t="s">
        <v>445</v>
      </c>
      <c r="D35813" t="s">
        <v>823</v>
      </c>
      <c r="F35813">
        <v>5.03581240586054E-9</v>
      </c>
      <c r="G35813">
        <v>28536565</v>
      </c>
      <c r="H35813">
        <v>11140108</v>
      </c>
      <c r="I35813">
        <v>31834263</v>
      </c>
      <c r="J35813">
        <v>6</v>
      </c>
    </row>
    <row r="35814" spans="1:10" x14ac:dyDescent="0.25">
      <c r="A35814" t="s">
        <v>389</v>
      </c>
      <c r="B35814" s="1" t="str">
        <f>HYPERLINK("http://mbefrance.fr","mbefrance.fr")</f>
        <v>mbefrance.fr</v>
      </c>
      <c r="C35814" t="s">
        <v>446</v>
      </c>
      <c r="D35814" t="s">
        <v>824</v>
      </c>
      <c r="F35814">
        <v>6.5845305270085799E-8</v>
      </c>
      <c r="G35814">
        <v>652177</v>
      </c>
      <c r="H35814">
        <v>13415405</v>
      </c>
      <c r="I35814">
        <v>10315461</v>
      </c>
      <c r="J35814">
        <v>4</v>
      </c>
    </row>
    <row r="35815" spans="1:10" x14ac:dyDescent="0.25">
      <c r="A35815" t="s">
        <v>389</v>
      </c>
      <c r="B35815" s="1" t="str">
        <f>HYPERLINK("http://mbe.hr","mbe.hr")</f>
        <v>mbe.hr</v>
      </c>
      <c r="C35815" t="s">
        <v>452</v>
      </c>
      <c r="D35815" t="s">
        <v>829</v>
      </c>
      <c r="F35815">
        <v>1.4618369565439201E-8</v>
      </c>
      <c r="G35815">
        <v>3969730</v>
      </c>
      <c r="H35815">
        <v>12327311</v>
      </c>
      <c r="I35815">
        <v>20260403</v>
      </c>
      <c r="J35815">
        <v>4</v>
      </c>
    </row>
    <row r="35816" spans="1:10" x14ac:dyDescent="0.25">
      <c r="A35816" t="s">
        <v>389</v>
      </c>
      <c r="B35816" s="1" t="str">
        <f>HYPERLINK("http://mbeireland.ie","mbeireland.ie")</f>
        <v>mbeireland.ie</v>
      </c>
      <c r="C35816" t="s">
        <v>455</v>
      </c>
      <c r="D35816" t="s">
        <v>832</v>
      </c>
      <c r="F35816">
        <v>5.4055915326393503E-9</v>
      </c>
      <c r="G35816">
        <v>22041744</v>
      </c>
      <c r="H35816">
        <v>10768911</v>
      </c>
      <c r="I35816">
        <v>39290652</v>
      </c>
      <c r="J35816">
        <v>4</v>
      </c>
    </row>
    <row r="35817" spans="1:10" x14ac:dyDescent="0.25">
      <c r="A35817" t="s">
        <v>389</v>
      </c>
      <c r="B35817" s="1" t="str">
        <f>HYPERLINK("http://mbe.it","mbe.it")</f>
        <v>mbe.it</v>
      </c>
      <c r="C35817" t="s">
        <v>459</v>
      </c>
      <c r="D35817" t="s">
        <v>835</v>
      </c>
      <c r="E35817">
        <v>401666</v>
      </c>
      <c r="F35817">
        <v>1.60090453956081E-7</v>
      </c>
      <c r="G35817">
        <v>242454</v>
      </c>
      <c r="H35817">
        <v>15148045</v>
      </c>
      <c r="I35817">
        <v>400355</v>
      </c>
      <c r="J35817">
        <v>4</v>
      </c>
    </row>
    <row r="35818" spans="1:10" x14ac:dyDescent="0.25">
      <c r="A35818" t="s">
        <v>389</v>
      </c>
      <c r="B35818" s="1" t="str">
        <f>HYPERLINK("http://ups.com.mx","ups.com.mx")</f>
        <v>ups.com.mx</v>
      </c>
      <c r="C35818" t="s">
        <v>471</v>
      </c>
      <c r="D35818" t="s">
        <v>847</v>
      </c>
      <c r="F35818">
        <v>4.6217593612419902E-9</v>
      </c>
      <c r="G35818">
        <v>46013443</v>
      </c>
      <c r="H35818">
        <v>10251216</v>
      </c>
      <c r="I35818">
        <v>58662337</v>
      </c>
      <c r="J35818">
        <v>3</v>
      </c>
    </row>
    <row r="35819" spans="1:10" x14ac:dyDescent="0.25">
      <c r="A35819" t="s">
        <v>389</v>
      </c>
      <c r="B35819" s="1" t="str">
        <f>HYPERLINK("http://mbe.com.my","mbe.com.my")</f>
        <v>mbe.com.my</v>
      </c>
      <c r="C35819" t="s">
        <v>472</v>
      </c>
      <c r="D35819" t="s">
        <v>848</v>
      </c>
      <c r="F35819">
        <v>1.16582189625045E-8</v>
      </c>
      <c r="G35819">
        <v>5393417</v>
      </c>
      <c r="H35819">
        <v>12665949</v>
      </c>
      <c r="I35819">
        <v>15655866</v>
      </c>
      <c r="J35819">
        <v>4</v>
      </c>
    </row>
    <row r="35820" spans="1:10" x14ac:dyDescent="0.25">
      <c r="A35820" t="s">
        <v>389</v>
      </c>
      <c r="B35820" s="1" t="str">
        <f>HYPERLINK("http://mbe.com.pl","mbe.com.pl")</f>
        <v>mbe.com.pl</v>
      </c>
      <c r="C35820" t="s">
        <v>486</v>
      </c>
      <c r="D35820" t="s">
        <v>860</v>
      </c>
      <c r="F35820">
        <v>7.5762891044373598E-9</v>
      </c>
      <c r="G35820">
        <v>10845171</v>
      </c>
      <c r="H35820">
        <v>11635692</v>
      </c>
      <c r="I35820">
        <v>29895379</v>
      </c>
      <c r="J35820">
        <v>5</v>
      </c>
    </row>
    <row r="35821" spans="1:10" x14ac:dyDescent="0.25">
      <c r="A35821" t="s">
        <v>389</v>
      </c>
      <c r="B35821" s="1" t="str">
        <f>HYPERLINK("http://mbe.pl","mbe.pl")</f>
        <v>mbe.pl</v>
      </c>
      <c r="C35821" t="s">
        <v>486</v>
      </c>
      <c r="D35821" t="s">
        <v>860</v>
      </c>
      <c r="F35821">
        <v>2.28354015148821E-8</v>
      </c>
      <c r="G35821">
        <v>2289768</v>
      </c>
      <c r="H35821">
        <v>13766047</v>
      </c>
      <c r="I35821">
        <v>7042274</v>
      </c>
      <c r="J35821">
        <v>4</v>
      </c>
    </row>
    <row r="35822" spans="1:10" x14ac:dyDescent="0.25">
      <c r="A35822" t="s">
        <v>389</v>
      </c>
      <c r="B35822" s="1" t="str">
        <f>HYPERLINK("http://mailboxesetc.ru","mailboxesetc.ru")</f>
        <v>mailboxesetc.ru</v>
      </c>
      <c r="C35822" t="s">
        <v>493</v>
      </c>
      <c r="D35822" t="s">
        <v>867</v>
      </c>
      <c r="F35822">
        <v>8.1537911819568592E-9</v>
      </c>
      <c r="G35822">
        <v>9649627</v>
      </c>
      <c r="H35822">
        <v>12876363</v>
      </c>
      <c r="I35822">
        <v>14023351</v>
      </c>
      <c r="J35822">
        <v>4</v>
      </c>
    </row>
    <row r="35823" spans="1:10" x14ac:dyDescent="0.25">
      <c r="A35823" t="s">
        <v>389</v>
      </c>
      <c r="B35823" s="1" t="str">
        <f>HYPERLINK("http://mailboxes.se","mailboxes.se")</f>
        <v>mailboxes.se</v>
      </c>
      <c r="C35823" t="s">
        <v>495</v>
      </c>
      <c r="D35823" t="s">
        <v>869</v>
      </c>
      <c r="F35823">
        <v>5.1121684359306103E-9</v>
      </c>
      <c r="G35823">
        <v>26810436</v>
      </c>
      <c r="H35823">
        <v>12555932</v>
      </c>
      <c r="I35823">
        <v>16764154</v>
      </c>
      <c r="J35823">
        <v>4</v>
      </c>
    </row>
    <row r="35824" spans="1:10" x14ac:dyDescent="0.25">
      <c r="A35824" t="s">
        <v>389</v>
      </c>
      <c r="B35824" s="1" t="str">
        <f>HYPERLINK("http://sps-sro.sk","sps-sro.sk")</f>
        <v>sps-sro.sk</v>
      </c>
      <c r="C35824" t="s">
        <v>498</v>
      </c>
      <c r="D35824" t="s">
        <v>872</v>
      </c>
      <c r="E35824">
        <v>416478</v>
      </c>
      <c r="F35824">
        <v>2.2718464747501599E-7</v>
      </c>
      <c r="G35824">
        <v>165751</v>
      </c>
      <c r="H35824">
        <v>12926996</v>
      </c>
      <c r="I35824">
        <v>13383323</v>
      </c>
      <c r="J35824">
        <v>4</v>
      </c>
    </row>
    <row r="35825" spans="1:10" x14ac:dyDescent="0.25">
      <c r="A35825" t="s">
        <v>389</v>
      </c>
      <c r="B35825" s="1" t="str">
        <f>HYPERLINK("http://mbe.co.uk","mbe.co.uk")</f>
        <v>mbe.co.uk</v>
      </c>
      <c r="C35825" t="s">
        <v>506</v>
      </c>
      <c r="D35825" t="s">
        <v>880</v>
      </c>
      <c r="E35825">
        <v>697746</v>
      </c>
      <c r="F35825">
        <v>5.6983947875165203E-8</v>
      </c>
      <c r="G35825">
        <v>783625</v>
      </c>
      <c r="H35825">
        <v>13842427</v>
      </c>
      <c r="I35825">
        <v>6067993</v>
      </c>
      <c r="J35825">
        <v>4</v>
      </c>
    </row>
    <row r="35826" spans="1:10" x14ac:dyDescent="0.25">
      <c r="A35826" t="s">
        <v>389</v>
      </c>
      <c r="B35826" s="1" t="str">
        <f>HYPERLINK("http://mbebelfast.co.uk","mbebelfast.co.uk")</f>
        <v>mbebelfast.co.uk</v>
      </c>
      <c r="C35826" t="s">
        <v>506</v>
      </c>
      <c r="D35826" t="s">
        <v>880</v>
      </c>
      <c r="J35826">
        <v>4</v>
      </c>
    </row>
    <row r="35827" spans="1:10" x14ac:dyDescent="0.25">
      <c r="A35827" t="s">
        <v>389</v>
      </c>
      <c r="B35827" s="1" t="str">
        <f>HYPERLINK("http://mbegreenwich.co.uk","mbegreenwich.co.uk")</f>
        <v>mbegreenwich.co.uk</v>
      </c>
      <c r="C35827" t="s">
        <v>506</v>
      </c>
      <c r="D35827" t="s">
        <v>880</v>
      </c>
      <c r="J35827">
        <v>4</v>
      </c>
    </row>
    <row r="35828" spans="1:10" x14ac:dyDescent="0.25">
      <c r="A35828" t="s">
        <v>389</v>
      </c>
      <c r="B35828" s="1" t="str">
        <f>HYPERLINK("http://mbemaidavale.co.uk","mbemaidavale.co.uk")</f>
        <v>mbemaidavale.co.uk</v>
      </c>
      <c r="C35828" t="s">
        <v>506</v>
      </c>
      <c r="D35828" t="s">
        <v>880</v>
      </c>
      <c r="J35828">
        <v>4</v>
      </c>
    </row>
    <row r="35829" spans="1:10" x14ac:dyDescent="0.25">
      <c r="A35829" t="s">
        <v>389</v>
      </c>
      <c r="B35829" s="1" t="str">
        <f>HYPERLINK("http://mbemail.co.uk","mbemail.co.uk")</f>
        <v>mbemail.co.uk</v>
      </c>
      <c r="C35829" t="s">
        <v>506</v>
      </c>
      <c r="D35829" t="s">
        <v>880</v>
      </c>
      <c r="J35829">
        <v>4</v>
      </c>
    </row>
    <row r="35830" spans="1:10" x14ac:dyDescent="0.25">
      <c r="A35830" t="s">
        <v>389</v>
      </c>
      <c r="B35830" s="1" t="str">
        <f>HYPERLINK("http://mbestalbans.co.uk","mbestalbans.co.uk")</f>
        <v>mbestalbans.co.uk</v>
      </c>
      <c r="C35830" t="s">
        <v>506</v>
      </c>
      <c r="D35830" t="s">
        <v>880</v>
      </c>
      <c r="J35830">
        <v>4</v>
      </c>
    </row>
    <row r="35831" spans="1:10" x14ac:dyDescent="0.25">
      <c r="A35831" t="s">
        <v>389</v>
      </c>
      <c r="B35831" s="1" t="str">
        <f>HYPERLINK("http://mbesurbiton.co.uk","mbesurbiton.co.uk")</f>
        <v>mbesurbiton.co.uk</v>
      </c>
      <c r="C35831" t="s">
        <v>506</v>
      </c>
      <c r="D35831" t="s">
        <v>880</v>
      </c>
      <c r="J35831">
        <v>4</v>
      </c>
    </row>
    <row r="35832" spans="1:10" x14ac:dyDescent="0.25">
      <c r="A35832" t="s">
        <v>389</v>
      </c>
      <c r="B35832" s="1" t="str">
        <f>HYPERLINK("http://mbewoking.co.uk","mbewoking.co.uk")</f>
        <v>mbewoking.co.uk</v>
      </c>
      <c r="C35832" t="s">
        <v>506</v>
      </c>
      <c r="D35832" t="s">
        <v>880</v>
      </c>
      <c r="J35832">
        <v>4</v>
      </c>
    </row>
    <row r="35833" spans="1:10" x14ac:dyDescent="0.25">
      <c r="A35833" t="s">
        <v>389</v>
      </c>
      <c r="B35833" s="1" t="str">
        <f>HYPERLINK("http://mbe.uk","mbe.uk")</f>
        <v>mbe.uk</v>
      </c>
      <c r="C35833" t="s">
        <v>506</v>
      </c>
      <c r="D35833" t="s">
        <v>880</v>
      </c>
      <c r="J35833">
        <v>5</v>
      </c>
    </row>
    <row r="35834" spans="1:10" x14ac:dyDescent="0.25">
      <c r="A35834" t="s">
        <v>390</v>
      </c>
      <c r="B35834" s="1" t="str">
        <f>HYPERLINK("http://changehealthcare.com.au","changehealthcare.com.au")</f>
        <v>changehealthcare.com.au</v>
      </c>
      <c r="C35834" t="s">
        <v>420</v>
      </c>
      <c r="D35834" t="s">
        <v>802</v>
      </c>
      <c r="F35834">
        <v>6.81535611508314E-9</v>
      </c>
      <c r="G35834">
        <v>12909208</v>
      </c>
      <c r="H35834">
        <v>12108380</v>
      </c>
      <c r="I35834">
        <v>25776598</v>
      </c>
      <c r="J35834">
        <v>4</v>
      </c>
    </row>
    <row r="35835" spans="1:10" x14ac:dyDescent="0.25">
      <c r="A35835" t="s">
        <v>390</v>
      </c>
      <c r="B35835" s="1" t="str">
        <f>HYPERLINK("http://amil.com.br","amil.com.br")</f>
        <v>amil.com.br</v>
      </c>
      <c r="C35835" t="s">
        <v>425</v>
      </c>
      <c r="D35835" t="s">
        <v>806</v>
      </c>
      <c r="E35835">
        <v>147155</v>
      </c>
      <c r="F35835">
        <v>8.0644638693916604E-8</v>
      </c>
      <c r="G35835">
        <v>517819</v>
      </c>
      <c r="H35835">
        <v>17100534</v>
      </c>
      <c r="I35835">
        <v>63796</v>
      </c>
      <c r="J35835">
        <v>4</v>
      </c>
    </row>
    <row r="35836" spans="1:10" x14ac:dyDescent="0.25">
      <c r="A35836" t="s">
        <v>390</v>
      </c>
      <c r="B35836" s="1" t="str">
        <f>HYPERLINK("http://amilcuidadocerto.com.br","amilcuidadocerto.com.br")</f>
        <v>amilcuidadocerto.com.br</v>
      </c>
      <c r="C35836" t="s">
        <v>425</v>
      </c>
      <c r="D35836" t="s">
        <v>806</v>
      </c>
      <c r="F35836">
        <v>5.7779981804988597E-9</v>
      </c>
      <c r="G35836">
        <v>18262478</v>
      </c>
      <c r="H35836">
        <v>13768508</v>
      </c>
      <c r="I35836">
        <v>6870276</v>
      </c>
      <c r="J35836">
        <v>6</v>
      </c>
    </row>
    <row r="35837" spans="1:10" x14ac:dyDescent="0.25">
      <c r="A35837" t="s">
        <v>390</v>
      </c>
      <c r="B35837" s="1" t="str">
        <f>HYPERLINK("http://amildentalvenda.com.br","amildentalvenda.com.br")</f>
        <v>amildentalvenda.com.br</v>
      </c>
      <c r="C35837" t="s">
        <v>425</v>
      </c>
      <c r="D35837" t="s">
        <v>806</v>
      </c>
      <c r="F35837">
        <v>5.3592361157577197E-9</v>
      </c>
      <c r="G35837">
        <v>22679860</v>
      </c>
      <c r="H35837">
        <v>10456043</v>
      </c>
      <c r="I35837">
        <v>51958711</v>
      </c>
      <c r="J35837">
        <v>5</v>
      </c>
    </row>
    <row r="35838" spans="1:10" x14ac:dyDescent="0.25">
      <c r="A35838" t="s">
        <v>390</v>
      </c>
      <c r="B35838" s="1" t="str">
        <f>HYPERLINK("http://hospitalalvorada.com.br","hospitalalvorada.com.br")</f>
        <v>hospitalalvorada.com.br</v>
      </c>
      <c r="C35838" t="s">
        <v>425</v>
      </c>
      <c r="D35838" t="s">
        <v>806</v>
      </c>
      <c r="F35838">
        <v>5.0163387736100199E-9</v>
      </c>
      <c r="G35838">
        <v>28987055</v>
      </c>
      <c r="H35838">
        <v>10639537</v>
      </c>
      <c r="I35838">
        <v>43775300</v>
      </c>
      <c r="J35838">
        <v>3</v>
      </c>
    </row>
    <row r="35839" spans="1:10" x14ac:dyDescent="0.25">
      <c r="A35839" t="s">
        <v>390</v>
      </c>
      <c r="B35839" s="1" t="str">
        <f>HYPERLINK("http://hospitalprocardiaco.com.br","hospitalprocardiaco.com.br")</f>
        <v>hospitalprocardiaco.com.br</v>
      </c>
      <c r="C35839" t="s">
        <v>425</v>
      </c>
      <c r="D35839" t="s">
        <v>806</v>
      </c>
      <c r="F35839">
        <v>7.40064969733587E-9</v>
      </c>
      <c r="G35839">
        <v>11242245</v>
      </c>
      <c r="H35839">
        <v>12910514</v>
      </c>
      <c r="I35839">
        <v>13553167</v>
      </c>
      <c r="J35839">
        <v>3</v>
      </c>
    </row>
    <row r="35840" spans="1:10" x14ac:dyDescent="0.25">
      <c r="A35840" t="s">
        <v>390</v>
      </c>
      <c r="B35840" s="1" t="str">
        <f>HYPERLINK("http://lotteneyes.com.br","lotteneyes.com.br")</f>
        <v>lotteneyes.com.br</v>
      </c>
      <c r="C35840" t="s">
        <v>425</v>
      </c>
      <c r="D35840" t="s">
        <v>806</v>
      </c>
      <c r="F35840">
        <v>4.6911825073179998E-9</v>
      </c>
      <c r="G35840">
        <v>41727883</v>
      </c>
      <c r="H35840">
        <v>13763637</v>
      </c>
      <c r="I35840">
        <v>8007575</v>
      </c>
      <c r="J35840">
        <v>3</v>
      </c>
    </row>
    <row r="35841" spans="1:10" x14ac:dyDescent="0.25">
      <c r="A35841" t="s">
        <v>390</v>
      </c>
      <c r="B35841" s="1" t="str">
        <f>HYPERLINK("http://optum.com.br","optum.com.br")</f>
        <v>optum.com.br</v>
      </c>
      <c r="C35841" t="s">
        <v>425</v>
      </c>
      <c r="D35841" t="s">
        <v>806</v>
      </c>
      <c r="F35841">
        <v>1.0205926695526E-8</v>
      </c>
      <c r="G35841">
        <v>6541158</v>
      </c>
      <c r="H35841">
        <v>13251807</v>
      </c>
      <c r="I35841">
        <v>11074871</v>
      </c>
      <c r="J35841">
        <v>4</v>
      </c>
    </row>
    <row r="35842" spans="1:10" x14ac:dyDescent="0.25">
      <c r="A35842" t="s">
        <v>390</v>
      </c>
      <c r="B35842" s="1" t="str">
        <f>HYPERLINK("http://planosamildental.com.br","planosamildental.com.br")</f>
        <v>planosamildental.com.br</v>
      </c>
      <c r="C35842" t="s">
        <v>425</v>
      </c>
      <c r="D35842" t="s">
        <v>806</v>
      </c>
      <c r="F35842">
        <v>7.6201626633702607E-9</v>
      </c>
      <c r="G35842">
        <v>10749996</v>
      </c>
      <c r="H35842">
        <v>10433106</v>
      </c>
      <c r="I35842">
        <v>52997372</v>
      </c>
      <c r="J35842">
        <v>7</v>
      </c>
    </row>
    <row r="35843" spans="1:10" x14ac:dyDescent="0.25">
      <c r="A35843" t="s">
        <v>390</v>
      </c>
      <c r="B35843" s="1" t="str">
        <f>HYPERLINK("http://santahelenasaude.com.br","santahelenasaude.com.br")</f>
        <v>santahelenasaude.com.br</v>
      </c>
      <c r="C35843" t="s">
        <v>425</v>
      </c>
      <c r="D35843" t="s">
        <v>806</v>
      </c>
      <c r="F35843">
        <v>5.1057381339303602E-9</v>
      </c>
      <c r="G35843">
        <v>26936001</v>
      </c>
      <c r="H35843">
        <v>12083296</v>
      </c>
      <c r="I35843">
        <v>26481359</v>
      </c>
      <c r="J35843">
        <v>3</v>
      </c>
    </row>
    <row r="35844" spans="1:10" x14ac:dyDescent="0.25">
      <c r="A35844" t="s">
        <v>390</v>
      </c>
      <c r="B35844" s="1" t="str">
        <f>HYPERLINK("http://santajoanape.com.br","santajoanape.com.br")</f>
        <v>santajoanape.com.br</v>
      </c>
      <c r="C35844" t="s">
        <v>425</v>
      </c>
      <c r="D35844" t="s">
        <v>806</v>
      </c>
      <c r="F35844">
        <v>4.4989215083110998E-9</v>
      </c>
      <c r="G35844">
        <v>59098479</v>
      </c>
      <c r="H35844">
        <v>10941141</v>
      </c>
      <c r="I35844">
        <v>34799089</v>
      </c>
      <c r="J35844">
        <v>3</v>
      </c>
    </row>
    <row r="35845" spans="1:10" x14ac:dyDescent="0.25">
      <c r="A35845" t="s">
        <v>390</v>
      </c>
      <c r="B35845" s="1" t="str">
        <f>HYPERLINK("http://santajoanarecife.com.br","santajoanarecife.com.br")</f>
        <v>santajoanarecife.com.br</v>
      </c>
      <c r="C35845" t="s">
        <v>425</v>
      </c>
      <c r="D35845" t="s">
        <v>806</v>
      </c>
      <c r="F35845">
        <v>4.6652017454191901E-9</v>
      </c>
      <c r="G35845">
        <v>43221524</v>
      </c>
      <c r="H35845">
        <v>13763656</v>
      </c>
      <c r="I35845">
        <v>7878747</v>
      </c>
      <c r="J35845">
        <v>3</v>
      </c>
    </row>
    <row r="35846" spans="1:10" x14ac:dyDescent="0.25">
      <c r="A35846" t="s">
        <v>390</v>
      </c>
      <c r="B35846" s="1" t="str">
        <f>HYPERLINK("http://saudeaps.com.br","saudeaps.com.br")</f>
        <v>saudeaps.com.br</v>
      </c>
      <c r="C35846" t="s">
        <v>425</v>
      </c>
      <c r="D35846" t="s">
        <v>806</v>
      </c>
      <c r="F35846">
        <v>4.46869769807186E-9</v>
      </c>
      <c r="G35846">
        <v>64895097</v>
      </c>
      <c r="H35846">
        <v>10926604</v>
      </c>
      <c r="I35846">
        <v>35137219</v>
      </c>
      <c r="J35846">
        <v>3</v>
      </c>
    </row>
    <row r="35847" spans="1:10" x14ac:dyDescent="0.25">
      <c r="A35847" t="s">
        <v>390</v>
      </c>
      <c r="B35847" s="1" t="str">
        <f>HYPERLINK("http://sham.com.br","sham.com.br")</f>
        <v>sham.com.br</v>
      </c>
      <c r="C35847" t="s">
        <v>425</v>
      </c>
      <c r="D35847" t="s">
        <v>806</v>
      </c>
      <c r="F35847">
        <v>4.4438152872977804E-9</v>
      </c>
      <c r="G35847">
        <v>79347381</v>
      </c>
      <c r="H35847">
        <v>10358497</v>
      </c>
      <c r="I35847">
        <v>55334330</v>
      </c>
      <c r="J35847">
        <v>5</v>
      </c>
    </row>
    <row r="35848" spans="1:10" x14ac:dyDescent="0.25">
      <c r="A35848" t="s">
        <v>390</v>
      </c>
      <c r="B35848" s="1" t="str">
        <f>HYPERLINK("http://sobam.com.br","sobam.com.br")</f>
        <v>sobam.com.br</v>
      </c>
      <c r="C35848" t="s">
        <v>425</v>
      </c>
      <c r="D35848" t="s">
        <v>806</v>
      </c>
      <c r="F35848">
        <v>4.5497007924355598E-9</v>
      </c>
      <c r="G35848">
        <v>52222389</v>
      </c>
      <c r="H35848">
        <v>13763638</v>
      </c>
      <c r="I35848">
        <v>7976333</v>
      </c>
      <c r="J35848">
        <v>3</v>
      </c>
    </row>
    <row r="35849" spans="1:10" x14ac:dyDescent="0.25">
      <c r="A35849" t="s">
        <v>390</v>
      </c>
      <c r="B35849" s="1" t="str">
        <f>HYPERLINK("http://uhgbrasil.com.br","uhgbrasil.com.br")</f>
        <v>uhgbrasil.com.br</v>
      </c>
      <c r="C35849" t="s">
        <v>425</v>
      </c>
      <c r="D35849" t="s">
        <v>806</v>
      </c>
      <c r="F35849">
        <v>4.46260414920629E-9</v>
      </c>
      <c r="G35849">
        <v>66924260</v>
      </c>
      <c r="H35849">
        <v>10359491</v>
      </c>
      <c r="I35849">
        <v>55252389</v>
      </c>
      <c r="J35849">
        <v>3</v>
      </c>
    </row>
    <row r="35850" spans="1:10" x14ac:dyDescent="0.25">
      <c r="A35850" t="s">
        <v>390</v>
      </c>
      <c r="B35850" s="1" t="str">
        <f>HYPERLINK("http://uhc.care","uhc.care")</f>
        <v>uhc.care</v>
      </c>
      <c r="C35850" t="s">
        <v>538</v>
      </c>
      <c r="F35850">
        <v>8.8218849707879604E-9</v>
      </c>
      <c r="G35850">
        <v>8269317</v>
      </c>
      <c r="H35850">
        <v>12328867</v>
      </c>
      <c r="I35850">
        <v>20227267</v>
      </c>
      <c r="J35850">
        <v>4</v>
      </c>
    </row>
    <row r="35851" spans="1:10" x14ac:dyDescent="0.25">
      <c r="A35851" t="s">
        <v>390</v>
      </c>
      <c r="B35851" s="1" t="str">
        <f>HYPERLINK("http://optum.co","optum.co")</f>
        <v>optum.co</v>
      </c>
      <c r="C35851" t="s">
        <v>432</v>
      </c>
      <c r="F35851">
        <v>1.39684361078247E-8</v>
      </c>
      <c r="G35851">
        <v>4214621</v>
      </c>
      <c r="H35851">
        <v>12648628</v>
      </c>
      <c r="I35851">
        <v>15810717</v>
      </c>
      <c r="J35851">
        <v>4</v>
      </c>
    </row>
    <row r="35852" spans="1:10" x14ac:dyDescent="0.25">
      <c r="A35852" t="s">
        <v>390</v>
      </c>
      <c r="B35852" s="1" t="str">
        <f>HYPERLINK("http://abilto.com","abilto.com")</f>
        <v>abilto.com</v>
      </c>
      <c r="C35852" t="s">
        <v>433</v>
      </c>
      <c r="F35852">
        <v>1.10760621259585E-8</v>
      </c>
      <c r="G35852">
        <v>5803059</v>
      </c>
      <c r="H35852">
        <v>13859888</v>
      </c>
      <c r="I35852">
        <v>6023114</v>
      </c>
      <c r="J35852">
        <v>6</v>
      </c>
    </row>
    <row r="35853" spans="1:10" x14ac:dyDescent="0.25">
      <c r="A35853" t="s">
        <v>390</v>
      </c>
      <c r="B35853" s="1" t="str">
        <f>HYPERLINK("http://ableto.com","ableto.com")</f>
        <v>ableto.com</v>
      </c>
      <c r="C35853" t="s">
        <v>433</v>
      </c>
      <c r="E35853">
        <v>165445</v>
      </c>
      <c r="F35853">
        <v>2.8816430435702E-7</v>
      </c>
      <c r="G35853">
        <v>129030</v>
      </c>
      <c r="H35853">
        <v>14728071</v>
      </c>
      <c r="I35853">
        <v>573937</v>
      </c>
      <c r="J35853">
        <v>3</v>
      </c>
    </row>
    <row r="35854" spans="1:10" x14ac:dyDescent="0.25">
      <c r="A35854" t="s">
        <v>390</v>
      </c>
      <c r="B35854" s="1" t="str">
        <f>HYPERLINK("http://absolutesurg.com","absolutesurg.com")</f>
        <v>absolutesurg.com</v>
      </c>
      <c r="C35854" t="s">
        <v>433</v>
      </c>
      <c r="F35854">
        <v>5.06849153355476E-9</v>
      </c>
      <c r="G35854">
        <v>27822030</v>
      </c>
      <c r="H35854">
        <v>13764289</v>
      </c>
      <c r="I35854">
        <v>7306137</v>
      </c>
      <c r="J35854">
        <v>3</v>
      </c>
    </row>
    <row r="35855" spans="1:10" x14ac:dyDescent="0.25">
      <c r="A35855" t="s">
        <v>390</v>
      </c>
      <c r="B35855" s="1" t="str">
        <f>HYPERLINK("http://advisory.com","advisory.com")</f>
        <v>advisory.com</v>
      </c>
      <c r="C35855" t="s">
        <v>433</v>
      </c>
      <c r="E35855">
        <v>27021</v>
      </c>
      <c r="F35855">
        <v>1.7939837304731299E-6</v>
      </c>
      <c r="G35855">
        <v>21918</v>
      </c>
      <c r="H35855">
        <v>17560142</v>
      </c>
      <c r="I35855">
        <v>10930</v>
      </c>
      <c r="J35855">
        <v>3</v>
      </c>
    </row>
    <row r="35856" spans="1:10" x14ac:dyDescent="0.25">
      <c r="A35856" t="s">
        <v>390</v>
      </c>
      <c r="B35856" s="1" t="str">
        <f>HYPERLINK("http://ahni.com","ahni.com")</f>
        <v>ahni.com</v>
      </c>
      <c r="C35856" t="s">
        <v>433</v>
      </c>
      <c r="E35856">
        <v>839470</v>
      </c>
      <c r="F35856">
        <v>4.6488317448895001E-8</v>
      </c>
      <c r="G35856">
        <v>1006121</v>
      </c>
      <c r="H35856">
        <v>13521043</v>
      </c>
      <c r="I35856">
        <v>9937357</v>
      </c>
      <c r="J35856">
        <v>3</v>
      </c>
    </row>
    <row r="35857" spans="1:10" x14ac:dyDescent="0.25">
      <c r="A35857" t="s">
        <v>390</v>
      </c>
      <c r="B35857" s="1" t="str">
        <f>HYPERLINK("http://alifemedical.com","alifemedical.com")</f>
        <v>alifemedical.com</v>
      </c>
      <c r="C35857" t="s">
        <v>433</v>
      </c>
      <c r="E35857">
        <v>478789</v>
      </c>
      <c r="F35857">
        <v>5.5660957432564902E-9</v>
      </c>
      <c r="G35857">
        <v>20215601</v>
      </c>
      <c r="H35857">
        <v>13765937</v>
      </c>
      <c r="I35857">
        <v>7051387</v>
      </c>
      <c r="J35857">
        <v>6</v>
      </c>
    </row>
    <row r="35858" spans="1:10" x14ac:dyDescent="0.25">
      <c r="A35858" t="s">
        <v>390</v>
      </c>
      <c r="B35858" s="1" t="str">
        <f>HYPERLINK("http://ambienthealth.com","ambienthealth.com")</f>
        <v>ambienthealth.com</v>
      </c>
      <c r="C35858" t="s">
        <v>433</v>
      </c>
      <c r="F35858">
        <v>4.4784960558170597E-9</v>
      </c>
      <c r="G35858">
        <v>62672572</v>
      </c>
      <c r="H35858">
        <v>8371292</v>
      </c>
      <c r="I35858">
        <v>73590743</v>
      </c>
      <c r="J35858">
        <v>3</v>
      </c>
    </row>
    <row r="35859" spans="1:10" x14ac:dyDescent="0.25">
      <c r="A35859" t="s">
        <v>390</v>
      </c>
      <c r="B35859" s="1" t="str">
        <f>HYPERLINK("http://ambienthealthonline.com","ambienthealthonline.com")</f>
        <v>ambienthealthonline.com</v>
      </c>
      <c r="C35859" t="s">
        <v>433</v>
      </c>
      <c r="F35859">
        <v>5.0596209574560003E-9</v>
      </c>
      <c r="G35859">
        <v>28010218</v>
      </c>
      <c r="H35859">
        <v>10105853</v>
      </c>
      <c r="I35859">
        <v>59839394</v>
      </c>
      <c r="J35859">
        <v>6</v>
      </c>
    </row>
    <row r="35860" spans="1:10" x14ac:dyDescent="0.25">
      <c r="A35860" t="s">
        <v>390</v>
      </c>
      <c r="B35860" s="1" t="str">
        <f>HYPERLINK("http://americanlifeinsurancecompanyofnewyork.com","americanlifeinsurancecompanyofnewyork.com")</f>
        <v>americanlifeinsurancecompanyofnewyork.com</v>
      </c>
      <c r="C35860" t="s">
        <v>433</v>
      </c>
      <c r="J35860">
        <v>3</v>
      </c>
    </row>
    <row r="35861" spans="1:10" x14ac:dyDescent="0.25">
      <c r="A35861" t="s">
        <v>390</v>
      </c>
      <c r="B35861" s="1" t="str">
        <f>HYPERLINK("http://americhoice.com","americhoice.com")</f>
        <v>americhoice.com</v>
      </c>
      <c r="C35861" t="s">
        <v>433</v>
      </c>
      <c r="F35861">
        <v>2.2156668704137299E-8</v>
      </c>
      <c r="G35861">
        <v>2367805</v>
      </c>
      <c r="H35861">
        <v>13375998</v>
      </c>
      <c r="I35861">
        <v>10442880</v>
      </c>
      <c r="J35861">
        <v>3</v>
      </c>
    </row>
    <row r="35862" spans="1:10" x14ac:dyDescent="0.25">
      <c r="A35862" t="s">
        <v>390</v>
      </c>
      <c r="B35862" s="1" t="str">
        <f>HYPERLINK("http://audaxhealth.com","audaxhealth.com")</f>
        <v>audaxhealth.com</v>
      </c>
      <c r="C35862" t="s">
        <v>433</v>
      </c>
      <c r="F35862">
        <v>1.69276149510831E-8</v>
      </c>
      <c r="G35862">
        <v>3300502</v>
      </c>
      <c r="H35862">
        <v>14205774</v>
      </c>
      <c r="I35862">
        <v>1711768</v>
      </c>
      <c r="J35862">
        <v>3</v>
      </c>
    </row>
    <row r="35863" spans="1:10" x14ac:dyDescent="0.25">
      <c r="A35863" t="s">
        <v>390</v>
      </c>
      <c r="B35863" s="1" t="str">
        <f>HYPERLINK("http://avella.com","avella.com")</f>
        <v>avella.com</v>
      </c>
      <c r="C35863" t="s">
        <v>433</v>
      </c>
      <c r="E35863">
        <v>538483</v>
      </c>
      <c r="F35863">
        <v>5.4444768337670903E-8</v>
      </c>
      <c r="G35863">
        <v>828984</v>
      </c>
      <c r="H35863">
        <v>13516343</v>
      </c>
      <c r="I35863">
        <v>9942860</v>
      </c>
      <c r="J35863">
        <v>3</v>
      </c>
    </row>
    <row r="35864" spans="1:10" x14ac:dyDescent="0.25">
      <c r="A35864" t="s">
        <v>390</v>
      </c>
      <c r="B35864" s="1" t="str">
        <f>HYPERLINK("http://aveta.com","aveta.com")</f>
        <v>aveta.com</v>
      </c>
      <c r="C35864" t="s">
        <v>433</v>
      </c>
      <c r="F35864">
        <v>6.0545611104322102E-9</v>
      </c>
      <c r="G35864">
        <v>16356095</v>
      </c>
      <c r="H35864">
        <v>13768301</v>
      </c>
      <c r="I35864">
        <v>6883132</v>
      </c>
      <c r="J35864">
        <v>3</v>
      </c>
    </row>
    <row r="35865" spans="1:10" x14ac:dyDescent="0.25">
      <c r="A35865" t="s">
        <v>390</v>
      </c>
      <c r="B35865" s="1" t="str">
        <f>HYPERLINK("http://axelacare.com","axelacare.com")</f>
        <v>axelacare.com</v>
      </c>
      <c r="C35865" t="s">
        <v>433</v>
      </c>
      <c r="F35865">
        <v>1.01027705590111E-8</v>
      </c>
      <c r="G35865">
        <v>6645415</v>
      </c>
      <c r="H35865">
        <v>13802661</v>
      </c>
      <c r="I35865">
        <v>6267953</v>
      </c>
      <c r="J35865">
        <v>6</v>
      </c>
    </row>
    <row r="35866" spans="1:10" x14ac:dyDescent="0.25">
      <c r="A35866" t="s">
        <v>390</v>
      </c>
      <c r="B35866" s="1" t="str">
        <f>HYPERLINK("http://bebasmerdeka.com","bebasmerdeka.com")</f>
        <v>bebasmerdeka.com</v>
      </c>
      <c r="C35866" t="s">
        <v>433</v>
      </c>
      <c r="F35866">
        <v>4.7239451747061202E-9</v>
      </c>
      <c r="G35866">
        <v>39671303</v>
      </c>
      <c r="H35866">
        <v>13933060</v>
      </c>
      <c r="I35866">
        <v>5616213</v>
      </c>
      <c r="J35866">
        <v>5</v>
      </c>
    </row>
    <row r="35867" spans="1:10" x14ac:dyDescent="0.25">
      <c r="A35867" t="s">
        <v>390</v>
      </c>
      <c r="B35867" s="1" t="str">
        <f>HYPERLINK("http://benefitter.com","benefitter.com")</f>
        <v>benefitter.com</v>
      </c>
      <c r="C35867" t="s">
        <v>433</v>
      </c>
      <c r="F35867">
        <v>9.2111140849543793E-9</v>
      </c>
      <c r="G35867">
        <v>7695110</v>
      </c>
      <c r="H35867">
        <v>13798493</v>
      </c>
      <c r="I35867">
        <v>6290866</v>
      </c>
      <c r="J35867">
        <v>3</v>
      </c>
    </row>
    <row r="35868" spans="1:10" x14ac:dyDescent="0.25">
      <c r="A35868" t="s">
        <v>390</v>
      </c>
      <c r="B35868" s="1" t="str">
        <f>HYPERLINK("http://briovarxinfusion.com","briovarxinfusion.com")</f>
        <v>briovarxinfusion.com</v>
      </c>
      <c r="C35868" t="s">
        <v>433</v>
      </c>
      <c r="F35868">
        <v>5.82505345343953E-9</v>
      </c>
      <c r="G35868">
        <v>17900513</v>
      </c>
      <c r="H35868">
        <v>10871835</v>
      </c>
      <c r="I35868">
        <v>36468668</v>
      </c>
      <c r="J35868">
        <v>3</v>
      </c>
    </row>
    <row r="35869" spans="1:10" x14ac:dyDescent="0.25">
      <c r="A35869" t="s">
        <v>390</v>
      </c>
      <c r="B35869" s="1" t="str">
        <f>HYPERLINK("http://carelogistics.com","carelogistics.com")</f>
        <v>carelogistics.com</v>
      </c>
      <c r="C35869" t="s">
        <v>433</v>
      </c>
      <c r="F35869">
        <v>2.0859637153087699E-8</v>
      </c>
      <c r="G35869">
        <v>2534697</v>
      </c>
      <c r="H35869">
        <v>13190759</v>
      </c>
      <c r="I35869">
        <v>11600483</v>
      </c>
      <c r="J35869">
        <v>3</v>
      </c>
    </row>
    <row r="35870" spans="1:10" x14ac:dyDescent="0.25">
      <c r="A35870" t="s">
        <v>390</v>
      </c>
      <c r="B35870" s="1" t="str">
        <f>HYPERLINK("http://careteamconnect.com","careteamconnect.com")</f>
        <v>careteamconnect.com</v>
      </c>
      <c r="C35870" t="s">
        <v>433</v>
      </c>
      <c r="F35870">
        <v>5.3394000424313297E-9</v>
      </c>
      <c r="G35870">
        <v>22942225</v>
      </c>
      <c r="H35870">
        <v>13775808</v>
      </c>
      <c r="I35870">
        <v>6569702</v>
      </c>
      <c r="J35870">
        <v>6</v>
      </c>
    </row>
    <row r="35871" spans="1:10" x14ac:dyDescent="0.25">
      <c r="A35871" t="s">
        <v>390</v>
      </c>
      <c r="B35871" s="1" t="str">
        <f>HYPERLINK("http://catamaranrx.com","catamaranrx.com")</f>
        <v>catamaranrx.com</v>
      </c>
      <c r="C35871" t="s">
        <v>433</v>
      </c>
      <c r="E35871">
        <v>627185</v>
      </c>
      <c r="F35871">
        <v>1.71839888907623E-8</v>
      </c>
      <c r="G35871">
        <v>3230001</v>
      </c>
      <c r="H35871">
        <v>13832577</v>
      </c>
      <c r="I35871">
        <v>6101727</v>
      </c>
      <c r="J35871">
        <v>3</v>
      </c>
    </row>
    <row r="35872" spans="1:10" x14ac:dyDescent="0.25">
      <c r="A35872" t="s">
        <v>390</v>
      </c>
      <c r="B35872" s="1" t="str">
        <f>HYPERLINK("http://changehealthcare.com","changehealthcare.com")</f>
        <v>changehealthcare.com</v>
      </c>
      <c r="C35872" t="s">
        <v>433</v>
      </c>
      <c r="E35872">
        <v>25845</v>
      </c>
      <c r="F35872">
        <v>1.0987570266371999E-6</v>
      </c>
      <c r="G35872">
        <v>35012</v>
      </c>
      <c r="H35872">
        <v>17215368</v>
      </c>
      <c r="I35872">
        <v>39150</v>
      </c>
      <c r="J35872">
        <v>3</v>
      </c>
    </row>
    <row r="35873" spans="1:10" x14ac:dyDescent="0.25">
      <c r="A35873" t="s">
        <v>390</v>
      </c>
      <c r="B35873" s="1" t="str">
        <f>HYPERLINK("http://chesapeakeins.com","chesapeakeins.com")</f>
        <v>chesapeakeins.com</v>
      </c>
      <c r="C35873" t="s">
        <v>433</v>
      </c>
      <c r="F35873">
        <v>4.45048002761462E-9</v>
      </c>
      <c r="G35873">
        <v>71666297</v>
      </c>
      <c r="H35873">
        <v>10123105</v>
      </c>
      <c r="I35873">
        <v>59642948</v>
      </c>
      <c r="J35873">
        <v>3</v>
      </c>
    </row>
    <row r="35874" spans="1:10" x14ac:dyDescent="0.25">
      <c r="A35874" t="s">
        <v>390</v>
      </c>
      <c r="B35874" s="1" t="str">
        <f>HYPERLINK("http://concuity.com","concuity.com")</f>
        <v>concuity.com</v>
      </c>
      <c r="C35874" t="s">
        <v>433</v>
      </c>
      <c r="F35874">
        <v>4.5486277125165897E-9</v>
      </c>
      <c r="G35874">
        <v>52337959</v>
      </c>
      <c r="H35874">
        <v>12669451</v>
      </c>
      <c r="I35874">
        <v>15629339</v>
      </c>
      <c r="J35874">
        <v>6</v>
      </c>
    </row>
    <row r="35875" spans="1:10" x14ac:dyDescent="0.25">
      <c r="A35875" t="s">
        <v>390</v>
      </c>
      <c r="B35875" s="1" t="str">
        <f>HYPERLINK("http://connectyourcare.com","connectyourcare.com")</f>
        <v>connectyourcare.com</v>
      </c>
      <c r="C35875" t="s">
        <v>433</v>
      </c>
      <c r="E35875">
        <v>142559</v>
      </c>
      <c r="F35875">
        <v>1.07436661061231E-7</v>
      </c>
      <c r="G35875">
        <v>372602</v>
      </c>
      <c r="H35875">
        <v>14283101</v>
      </c>
      <c r="I35875">
        <v>1375529</v>
      </c>
      <c r="J35875">
        <v>3</v>
      </c>
    </row>
    <row r="35876" spans="1:10" x14ac:dyDescent="0.25">
      <c r="A35876" t="s">
        <v>390</v>
      </c>
      <c r="B35876" s="1" t="str">
        <f>HYPERLINK("http://crimsonservices.com","crimsonservices.com")</f>
        <v>crimsonservices.com</v>
      </c>
      <c r="C35876" t="s">
        <v>433</v>
      </c>
      <c r="F35876">
        <v>8.7391978659025794E-9</v>
      </c>
      <c r="G35876">
        <v>8411058</v>
      </c>
      <c r="H35876">
        <v>13203146</v>
      </c>
      <c r="I35876">
        <v>11539971</v>
      </c>
      <c r="J35876">
        <v>7</v>
      </c>
    </row>
    <row r="35877" spans="1:10" x14ac:dyDescent="0.25">
      <c r="A35877" t="s">
        <v>390</v>
      </c>
      <c r="B35877" s="1" t="str">
        <f>HYPERLINK("http://cypresscare.com","cypresscare.com")</f>
        <v>cypresscare.com</v>
      </c>
      <c r="C35877" t="s">
        <v>433</v>
      </c>
      <c r="F35877">
        <v>5.8364965689601497E-9</v>
      </c>
      <c r="G35877">
        <v>17810490</v>
      </c>
      <c r="H35877">
        <v>12461690</v>
      </c>
      <c r="I35877">
        <v>17857198</v>
      </c>
      <c r="J35877">
        <v>3</v>
      </c>
    </row>
    <row r="35878" spans="1:10" x14ac:dyDescent="0.25">
      <c r="A35878" t="s">
        <v>390</v>
      </c>
      <c r="B35878" s="1" t="str">
        <f>HYPERLINK("http://dbp.com","dbp.com")</f>
        <v>dbp.com</v>
      </c>
      <c r="C35878" t="s">
        <v>433</v>
      </c>
      <c r="E35878">
        <v>449098</v>
      </c>
      <c r="F35878">
        <v>1.18311070140858E-8</v>
      </c>
      <c r="G35878">
        <v>5282252</v>
      </c>
      <c r="H35878">
        <v>12572446</v>
      </c>
      <c r="I35878">
        <v>16603626</v>
      </c>
      <c r="J35878">
        <v>3</v>
      </c>
    </row>
    <row r="35879" spans="1:10" x14ac:dyDescent="0.25">
      <c r="A35879" t="s">
        <v>390</v>
      </c>
      <c r="B35879" s="1" t="str">
        <f>HYPERLINK("http://digestiveaz.com","digestiveaz.com")</f>
        <v>digestiveaz.com</v>
      </c>
      <c r="C35879" t="s">
        <v>433</v>
      </c>
      <c r="F35879">
        <v>5.0689506989778502E-9</v>
      </c>
      <c r="G35879">
        <v>27812336</v>
      </c>
      <c r="H35879">
        <v>12444846</v>
      </c>
      <c r="I35879">
        <v>18086799</v>
      </c>
      <c r="J35879">
        <v>3</v>
      </c>
    </row>
    <row r="35880" spans="1:10" x14ac:dyDescent="0.25">
      <c r="A35880" t="s">
        <v>390</v>
      </c>
      <c r="B35880" s="1" t="str">
        <f>HYPERLINK("http://docasap.com","docasap.com")</f>
        <v>docasap.com</v>
      </c>
      <c r="C35880" t="s">
        <v>433</v>
      </c>
      <c r="E35880">
        <v>165914</v>
      </c>
      <c r="F35880">
        <v>9.1031470657476106E-8</v>
      </c>
      <c r="G35880">
        <v>447895</v>
      </c>
      <c r="H35880">
        <v>14013703</v>
      </c>
      <c r="I35880">
        <v>3998523</v>
      </c>
      <c r="J35880">
        <v>3</v>
      </c>
    </row>
    <row r="35881" spans="1:10" x14ac:dyDescent="0.25">
      <c r="A35881" t="s">
        <v>390</v>
      </c>
      <c r="B35881" s="1" t="str">
        <f>HYPERLINK("http://ehrdocs.com","ehrdocs.com")</f>
        <v>ehrdocs.com</v>
      </c>
      <c r="C35881" t="s">
        <v>433</v>
      </c>
      <c r="F35881">
        <v>8.8416962056919801E-9</v>
      </c>
      <c r="G35881">
        <v>8237725</v>
      </c>
      <c r="H35881">
        <v>13779668</v>
      </c>
      <c r="I35881">
        <v>6484125</v>
      </c>
      <c r="J35881">
        <v>3</v>
      </c>
    </row>
    <row r="35882" spans="1:10" x14ac:dyDescent="0.25">
      <c r="A35882" t="s">
        <v>390</v>
      </c>
      <c r="B35882" s="1" t="str">
        <f>HYPERLINK("http://enshealth.com","enshealth.com")</f>
        <v>enshealth.com</v>
      </c>
      <c r="C35882" t="s">
        <v>433</v>
      </c>
      <c r="F35882">
        <v>1.28822652742421E-8</v>
      </c>
      <c r="G35882">
        <v>4687916</v>
      </c>
      <c r="H35882">
        <v>13940105</v>
      </c>
      <c r="I35882">
        <v>4377355</v>
      </c>
      <c r="J35882">
        <v>3</v>
      </c>
    </row>
    <row r="35883" spans="1:10" x14ac:dyDescent="0.25">
      <c r="A35883" t="s">
        <v>390</v>
      </c>
      <c r="B35883" s="1" t="str">
        <f>HYPERLINK("http://equian.com","equian.com")</f>
        <v>equian.com</v>
      </c>
      <c r="C35883" t="s">
        <v>433</v>
      </c>
      <c r="E35883">
        <v>548883</v>
      </c>
      <c r="F35883">
        <v>2.8763658752878699E-8</v>
      </c>
      <c r="G35883">
        <v>1789323</v>
      </c>
      <c r="H35883">
        <v>13264842</v>
      </c>
      <c r="I35883">
        <v>11012356</v>
      </c>
      <c r="J35883">
        <v>3</v>
      </c>
    </row>
    <row r="35884" spans="1:10" x14ac:dyDescent="0.25">
      <c r="A35884" t="s">
        <v>390</v>
      </c>
      <c r="B35884" s="1" t="str">
        <f>HYPERLINK("http://everettclinic.com","everettclinic.com")</f>
        <v>everettclinic.com</v>
      </c>
      <c r="C35884" t="s">
        <v>433</v>
      </c>
      <c r="E35884">
        <v>310511</v>
      </c>
      <c r="F35884">
        <v>9.4266606905947404E-8</v>
      </c>
      <c r="G35884">
        <v>430542</v>
      </c>
      <c r="H35884">
        <v>14859843</v>
      </c>
      <c r="I35884">
        <v>484923</v>
      </c>
      <c r="J35884">
        <v>7</v>
      </c>
    </row>
    <row r="35885" spans="1:10" x14ac:dyDescent="0.25">
      <c r="A35885" t="s">
        <v>390</v>
      </c>
      <c r="B35885" s="1" t="str">
        <f>HYPERLINK("http://exlogs.com","exlogs.com")</f>
        <v>exlogs.com</v>
      </c>
      <c r="C35885" t="s">
        <v>433</v>
      </c>
      <c r="F35885">
        <v>4.7370438231563898E-9</v>
      </c>
      <c r="G35885">
        <v>38949237</v>
      </c>
      <c r="H35885">
        <v>9907712</v>
      </c>
      <c r="I35885">
        <v>61566967</v>
      </c>
      <c r="J35885">
        <v>3</v>
      </c>
    </row>
    <row r="35886" spans="1:10" x14ac:dyDescent="0.25">
      <c r="A35886" t="s">
        <v>390</v>
      </c>
      <c r="B35886" s="1" t="str">
        <f>HYPERLINK("http://findmystride.com","findmystride.com")</f>
        <v>findmystride.com</v>
      </c>
      <c r="C35886" t="s">
        <v>433</v>
      </c>
      <c r="F35886">
        <v>4.44380395335525E-9</v>
      </c>
      <c r="G35886">
        <v>81641620</v>
      </c>
      <c r="H35886">
        <v>0</v>
      </c>
      <c r="I35886">
        <v>82068158</v>
      </c>
      <c r="J35886">
        <v>3</v>
      </c>
    </row>
    <row r="35887" spans="1:10" x14ac:dyDescent="0.25">
      <c r="A35887" t="s">
        <v>390</v>
      </c>
      <c r="B35887" s="1" t="str">
        <f>HYPERLINK("http://fortifiedprovider.com","fortifiedprovider.com")</f>
        <v>fortifiedprovider.com</v>
      </c>
      <c r="C35887" t="s">
        <v>433</v>
      </c>
      <c r="F35887">
        <v>6.9173978137554199E-9</v>
      </c>
      <c r="G35887">
        <v>12566737</v>
      </c>
      <c r="H35887">
        <v>12618027</v>
      </c>
      <c r="I35887">
        <v>16106379</v>
      </c>
      <c r="J35887">
        <v>3</v>
      </c>
    </row>
    <row r="35888" spans="1:10" x14ac:dyDescent="0.25">
      <c r="A35888" t="s">
        <v>390</v>
      </c>
      <c r="B35888" s="1" t="str">
        <f>HYPERLINK("http://freedomdata.com","freedomdata.com")</f>
        <v>freedomdata.com</v>
      </c>
      <c r="C35888" t="s">
        <v>433</v>
      </c>
      <c r="F35888">
        <v>1.05552730726744E-8</v>
      </c>
      <c r="G35888">
        <v>6221977</v>
      </c>
      <c r="H35888">
        <v>12806249</v>
      </c>
      <c r="I35888">
        <v>14607332</v>
      </c>
      <c r="J35888">
        <v>3</v>
      </c>
    </row>
    <row r="35889" spans="1:10" x14ac:dyDescent="0.25">
      <c r="A35889" t="s">
        <v>390</v>
      </c>
      <c r="B35889" s="1" t="str">
        <f>HYPERLINK("http://glhp.com","glhp.com")</f>
        <v>glhp.com</v>
      </c>
      <c r="C35889" t="s">
        <v>433</v>
      </c>
      <c r="J35889">
        <v>3</v>
      </c>
    </row>
    <row r="35890" spans="1:10" x14ac:dyDescent="0.25">
      <c r="A35890" t="s">
        <v>390</v>
      </c>
      <c r="B35890" s="1" t="str">
        <f>HYPERLINK("http://goldenrule.com","goldenrule.com")</f>
        <v>goldenrule.com</v>
      </c>
      <c r="C35890" t="s">
        <v>433</v>
      </c>
      <c r="E35890">
        <v>312563</v>
      </c>
      <c r="F35890">
        <v>6.5492559730323101E-8</v>
      </c>
      <c r="G35890">
        <v>656527</v>
      </c>
      <c r="H35890">
        <v>14209434</v>
      </c>
      <c r="I35890">
        <v>1705118</v>
      </c>
      <c r="J35890">
        <v>3</v>
      </c>
    </row>
    <row r="35891" spans="1:10" x14ac:dyDescent="0.25">
      <c r="A35891" t="s">
        <v>390</v>
      </c>
      <c r="B35891" s="1" t="str">
        <f>HYPERLINK("http://hcentive.com","hcentive.com")</f>
        <v>hcentive.com</v>
      </c>
      <c r="C35891" t="s">
        <v>433</v>
      </c>
      <c r="E35891">
        <v>258762</v>
      </c>
      <c r="F35891">
        <v>2.04377660858255E-8</v>
      </c>
      <c r="G35891">
        <v>2593444</v>
      </c>
      <c r="H35891">
        <v>13804303</v>
      </c>
      <c r="I35891">
        <v>6248965</v>
      </c>
      <c r="J35891">
        <v>7</v>
      </c>
    </row>
    <row r="35892" spans="1:10" x14ac:dyDescent="0.25">
      <c r="A35892" t="s">
        <v>390</v>
      </c>
      <c r="B35892" s="1" t="str">
        <f>HYPERLINK("http://healthcareassociates.com","healthcareassociates.com")</f>
        <v>healthcareassociates.com</v>
      </c>
      <c r="C35892" t="s">
        <v>433</v>
      </c>
      <c r="E35892">
        <v>526791</v>
      </c>
      <c r="F35892">
        <v>3.4364044259932498E-8</v>
      </c>
      <c r="G35892">
        <v>1508959</v>
      </c>
      <c r="H35892">
        <v>13625892</v>
      </c>
      <c r="I35892">
        <v>9621293</v>
      </c>
      <c r="J35892">
        <v>3</v>
      </c>
    </row>
    <row r="35893" spans="1:10" x14ac:dyDescent="0.25">
      <c r="A35893" t="s">
        <v>390</v>
      </c>
      <c r="B35893" s="1" t="str">
        <f>HYPERLINK("http://healthcareassociatesofcoppell.com","healthcareassociatesofcoppell.com")</f>
        <v>healthcareassociatesofcoppell.com</v>
      </c>
      <c r="C35893" t="s">
        <v>433</v>
      </c>
      <c r="J35893">
        <v>5</v>
      </c>
    </row>
    <row r="35894" spans="1:10" x14ac:dyDescent="0.25">
      <c r="A35894" t="s">
        <v>390</v>
      </c>
      <c r="B35894" s="1" t="str">
        <f>HYPERLINK("http://healthmarkets.com","healthmarkets.com")</f>
        <v>healthmarkets.com</v>
      </c>
      <c r="C35894" t="s">
        <v>433</v>
      </c>
      <c r="E35894">
        <v>71813</v>
      </c>
      <c r="F35894">
        <v>6.03814634781934E-7</v>
      </c>
      <c r="G35894">
        <v>63330</v>
      </c>
      <c r="H35894">
        <v>17229126</v>
      </c>
      <c r="I35894">
        <v>37041</v>
      </c>
      <c r="J35894">
        <v>6</v>
      </c>
    </row>
    <row r="35895" spans="1:10" x14ac:dyDescent="0.25">
      <c r="A35895" t="s">
        <v>390</v>
      </c>
      <c r="B35895" s="1" t="str">
        <f>HYPERLINK("http://healthmarketsinc.com","healthmarketsinc.com")</f>
        <v>healthmarketsinc.com</v>
      </c>
      <c r="C35895" t="s">
        <v>433</v>
      </c>
      <c r="F35895">
        <v>7.3940242529580899E-9</v>
      </c>
      <c r="G35895">
        <v>11257505</v>
      </c>
      <c r="H35895">
        <v>12538938</v>
      </c>
      <c r="I35895">
        <v>16951845</v>
      </c>
      <c r="J35895">
        <v>3</v>
      </c>
    </row>
    <row r="35896" spans="1:10" x14ac:dyDescent="0.25">
      <c r="A35896" t="s">
        <v>390</v>
      </c>
      <c r="B35896" s="1" t="str">
        <f>HYPERLINK("http://healthqx.com","healthqx.com")</f>
        <v>healthqx.com</v>
      </c>
      <c r="C35896" t="s">
        <v>433</v>
      </c>
      <c r="F35896">
        <v>6.5413241070608703E-9</v>
      </c>
      <c r="G35896">
        <v>13907762</v>
      </c>
      <c r="H35896">
        <v>12633332</v>
      </c>
      <c r="I35896">
        <v>15956354</v>
      </c>
      <c r="J35896">
        <v>3</v>
      </c>
    </row>
    <row r="35897" spans="1:10" x14ac:dyDescent="0.25">
      <c r="A35897" t="s">
        <v>390</v>
      </c>
      <c r="B35897" s="1" t="str">
        <f>HYPERLINK("http://healthscopebenefits.com","healthscopebenefits.com")</f>
        <v>healthscopebenefits.com</v>
      </c>
      <c r="C35897" t="s">
        <v>433</v>
      </c>
      <c r="E35897">
        <v>864551</v>
      </c>
      <c r="F35897">
        <v>8.1416291090736806E-8</v>
      </c>
      <c r="G35897">
        <v>512685</v>
      </c>
      <c r="H35897">
        <v>13690914</v>
      </c>
      <c r="I35897">
        <v>9528798</v>
      </c>
      <c r="J35897">
        <v>3</v>
      </c>
    </row>
    <row r="35898" spans="1:10" x14ac:dyDescent="0.25">
      <c r="A35898" t="s">
        <v>390</v>
      </c>
      <c r="B35898" s="1" t="str">
        <f>HYPERLINK("http://helioscomp.com","helioscomp.com")</f>
        <v>helioscomp.com</v>
      </c>
      <c r="C35898" t="s">
        <v>433</v>
      </c>
      <c r="F35898">
        <v>1.1440403966674801E-8</v>
      </c>
      <c r="G35898">
        <v>5545987</v>
      </c>
      <c r="H35898">
        <v>13765512</v>
      </c>
      <c r="I35898">
        <v>7096438</v>
      </c>
      <c r="J35898">
        <v>6</v>
      </c>
    </row>
    <row r="35899" spans="1:10" x14ac:dyDescent="0.25">
      <c r="A35899" t="s">
        <v>390</v>
      </c>
      <c r="B35899" s="1" t="str">
        <f>HYPERLINK("http://impelmanagement.com","impelmanagement.com")</f>
        <v>impelmanagement.com</v>
      </c>
      <c r="C35899" t="s">
        <v>433</v>
      </c>
      <c r="J35899">
        <v>3</v>
      </c>
    </row>
    <row r="35900" spans="1:10" x14ac:dyDescent="0.25">
      <c r="A35900" t="s">
        <v>390</v>
      </c>
      <c r="B35900" s="1" t="str">
        <f>HYPERLINK("http://joyable.com","joyable.com")</f>
        <v>joyable.com</v>
      </c>
      <c r="C35900" t="s">
        <v>433</v>
      </c>
      <c r="F35900">
        <v>9.2524554617411196E-8</v>
      </c>
      <c r="G35900">
        <v>439827</v>
      </c>
      <c r="H35900">
        <v>16788234</v>
      </c>
      <c r="I35900">
        <v>212279</v>
      </c>
      <c r="J35900">
        <v>3</v>
      </c>
    </row>
    <row r="35901" spans="1:10" x14ac:dyDescent="0.25">
      <c r="A35901" t="s">
        <v>390</v>
      </c>
      <c r="B35901" s="1" t="str">
        <f>HYPERLINK("http://lewin.com","lewin.com")</f>
        <v>lewin.com</v>
      </c>
      <c r="C35901" t="s">
        <v>433</v>
      </c>
      <c r="E35901">
        <v>469539</v>
      </c>
      <c r="F35901">
        <v>1.27077071788746E-7</v>
      </c>
      <c r="G35901">
        <v>310319</v>
      </c>
      <c r="H35901">
        <v>14945007</v>
      </c>
      <c r="I35901">
        <v>442177</v>
      </c>
      <c r="J35901">
        <v>3</v>
      </c>
    </row>
    <row r="35902" spans="1:10" x14ac:dyDescent="0.25">
      <c r="A35902" t="s">
        <v>390</v>
      </c>
      <c r="B35902" s="1" t="str">
        <f>HYPERLINK("http://logisticshealth.com","logisticshealth.com")</f>
        <v>logisticshealth.com</v>
      </c>
      <c r="C35902" t="s">
        <v>433</v>
      </c>
      <c r="E35902">
        <v>153836</v>
      </c>
      <c r="F35902">
        <v>4.7588218893246601E-8</v>
      </c>
      <c r="G35902">
        <v>978451</v>
      </c>
      <c r="H35902">
        <v>14304357</v>
      </c>
      <c r="I35902">
        <v>1352311</v>
      </c>
      <c r="J35902">
        <v>4</v>
      </c>
    </row>
    <row r="35903" spans="1:10" x14ac:dyDescent="0.25">
      <c r="A35903" t="s">
        <v>390</v>
      </c>
      <c r="B35903" s="1" t="str">
        <f>HYPERLINK("http://marchvisioncare.com","marchvisioncare.com")</f>
        <v>marchvisioncare.com</v>
      </c>
      <c r="C35903" t="s">
        <v>433</v>
      </c>
      <c r="F35903">
        <v>2.8569261770880801E-8</v>
      </c>
      <c r="G35903">
        <v>1801156</v>
      </c>
      <c r="H35903">
        <v>12738706</v>
      </c>
      <c r="I35903">
        <v>15150661</v>
      </c>
      <c r="J35903">
        <v>3</v>
      </c>
    </row>
    <row r="35904" spans="1:10" x14ac:dyDescent="0.25">
      <c r="A35904" t="s">
        <v>390</v>
      </c>
      <c r="B35904" s="1" t="str">
        <f>HYPERLINK("http://mcnt.com","mcnt.com")</f>
        <v>mcnt.com</v>
      </c>
      <c r="C35904" t="s">
        <v>433</v>
      </c>
      <c r="F35904">
        <v>9.4523801882968796E-9</v>
      </c>
      <c r="G35904">
        <v>7379835</v>
      </c>
      <c r="H35904">
        <v>13834932</v>
      </c>
      <c r="I35904">
        <v>6095116</v>
      </c>
      <c r="J35904">
        <v>7</v>
      </c>
    </row>
    <row r="35905" spans="1:10" x14ac:dyDescent="0.25">
      <c r="A35905" t="s">
        <v>390</v>
      </c>
      <c r="B35905" s="1" t="str">
        <f>HYPERLINK("http://medexpress.com","medexpress.com")</f>
        <v>medexpress.com</v>
      </c>
      <c r="C35905" t="s">
        <v>433</v>
      </c>
      <c r="E35905">
        <v>133898</v>
      </c>
      <c r="F35905">
        <v>1.5906255599792199E-7</v>
      </c>
      <c r="G35905">
        <v>244062</v>
      </c>
      <c r="H35905">
        <v>14840628</v>
      </c>
      <c r="I35905">
        <v>497277</v>
      </c>
      <c r="J35905">
        <v>3</v>
      </c>
    </row>
    <row r="35906" spans="1:10" x14ac:dyDescent="0.25">
      <c r="A35906" t="s">
        <v>390</v>
      </c>
      <c r="B35906" s="1" t="str">
        <f>HYPERLINK("http://myoptumhealth.com","myoptumhealth.com")</f>
        <v>myoptumhealth.com</v>
      </c>
      <c r="C35906" t="s">
        <v>433</v>
      </c>
      <c r="F35906">
        <v>3.1884891063244098E-8</v>
      </c>
      <c r="G35906">
        <v>1620198</v>
      </c>
      <c r="H35906">
        <v>14500972</v>
      </c>
      <c r="I35906">
        <v>851350</v>
      </c>
      <c r="J35906">
        <v>6</v>
      </c>
    </row>
    <row r="35907" spans="1:10" x14ac:dyDescent="0.25">
      <c r="A35907" t="s">
        <v>390</v>
      </c>
      <c r="B35907" s="1" t="str">
        <f>HYPERLINK("http://nammcal.com","nammcal.com")</f>
        <v>nammcal.com</v>
      </c>
      <c r="C35907" t="s">
        <v>433</v>
      </c>
      <c r="F35907">
        <v>1.1795986029654001E-8</v>
      </c>
      <c r="G35907">
        <v>5304622</v>
      </c>
      <c r="H35907">
        <v>12679335</v>
      </c>
      <c r="I35907">
        <v>15507338</v>
      </c>
      <c r="J35907">
        <v>3</v>
      </c>
    </row>
    <row r="35908" spans="1:10" x14ac:dyDescent="0.25">
      <c r="A35908" t="s">
        <v>390</v>
      </c>
      <c r="B35908" s="1" t="str">
        <f>HYPERLINK("http://nationaldecisionsupport.com","nationaldecisionsupport.com")</f>
        <v>nationaldecisionsupport.com</v>
      </c>
      <c r="C35908" t="s">
        <v>433</v>
      </c>
      <c r="F35908">
        <v>6.3714818592650001E-8</v>
      </c>
      <c r="G35908">
        <v>681116</v>
      </c>
      <c r="H35908">
        <v>14052060</v>
      </c>
      <c r="I35908">
        <v>3893386</v>
      </c>
      <c r="J35908">
        <v>3</v>
      </c>
    </row>
    <row r="35909" spans="1:10" x14ac:dyDescent="0.25">
      <c r="A35909" t="s">
        <v>390</v>
      </c>
      <c r="B35909" s="1" t="str">
        <f>HYPERLINK("http://navihealth.com","navihealth.com")</f>
        <v>navihealth.com</v>
      </c>
      <c r="C35909" t="s">
        <v>433</v>
      </c>
      <c r="E35909">
        <v>168749</v>
      </c>
      <c r="F35909">
        <v>5.8786042173758699E-8</v>
      </c>
      <c r="G35909">
        <v>754835</v>
      </c>
      <c r="H35909">
        <v>13555481</v>
      </c>
      <c r="I35909">
        <v>9884657</v>
      </c>
      <c r="J35909">
        <v>3</v>
      </c>
    </row>
    <row r="35910" spans="1:10" x14ac:dyDescent="0.25">
      <c r="A35910" t="s">
        <v>390</v>
      </c>
      <c r="B35910" s="1" t="str">
        <f>HYPERLINK("http://neighborhood-health.com","neighborhood-health.com")</f>
        <v>neighborhood-health.com</v>
      </c>
      <c r="C35910" t="s">
        <v>433</v>
      </c>
      <c r="F35910">
        <v>6.0122510239248403E-9</v>
      </c>
      <c r="G35910">
        <v>16608787</v>
      </c>
      <c r="H35910">
        <v>12038445</v>
      </c>
      <c r="I35910">
        <v>27495288</v>
      </c>
      <c r="J35910">
        <v>3</v>
      </c>
    </row>
    <row r="35911" spans="1:10" x14ac:dyDescent="0.25">
      <c r="A35911" t="s">
        <v>390</v>
      </c>
      <c r="B35911" s="1" t="str">
        <f>HYPERLINK("http://netwerkes.com","netwerkes.com")</f>
        <v>netwerkes.com</v>
      </c>
      <c r="C35911" t="s">
        <v>433</v>
      </c>
      <c r="F35911">
        <v>8.2633335505631402E-9</v>
      </c>
      <c r="G35911">
        <v>9344463</v>
      </c>
      <c r="H35911">
        <v>11976192</v>
      </c>
      <c r="I35911">
        <v>28550410</v>
      </c>
      <c r="J35911">
        <v>3</v>
      </c>
    </row>
    <row r="35912" spans="1:10" x14ac:dyDescent="0.25">
      <c r="A35912" t="s">
        <v>390</v>
      </c>
      <c r="B35912" s="1" t="str">
        <f>HYPERLINK("http://nwphysicians.com","nwphysicians.com")</f>
        <v>nwphysicians.com</v>
      </c>
      <c r="C35912" t="s">
        <v>433</v>
      </c>
      <c r="E35912">
        <v>806373</v>
      </c>
      <c r="F35912">
        <v>1.4926897733408701E-7</v>
      </c>
      <c r="G35912">
        <v>260329</v>
      </c>
      <c r="H35912">
        <v>13991794</v>
      </c>
      <c r="I35912">
        <v>4030468</v>
      </c>
      <c r="J35912">
        <v>3</v>
      </c>
    </row>
    <row r="35913" spans="1:10" x14ac:dyDescent="0.25">
      <c r="A35913" t="s">
        <v>390</v>
      </c>
      <c r="B35913" s="1" t="str">
        <f>HYPERLINK("http://optum.com","optum.com")</f>
        <v>optum.com</v>
      </c>
      <c r="C35913" t="s">
        <v>433</v>
      </c>
      <c r="E35913">
        <v>6378</v>
      </c>
      <c r="F35913">
        <v>2.4437620483733198E-6</v>
      </c>
      <c r="G35913">
        <v>15233</v>
      </c>
      <c r="H35913">
        <v>15611699</v>
      </c>
      <c r="I35913">
        <v>371724</v>
      </c>
      <c r="J35913">
        <v>3</v>
      </c>
    </row>
    <row r="35914" spans="1:10" x14ac:dyDescent="0.25">
      <c r="A35914" t="s">
        <v>390</v>
      </c>
      <c r="B35914" s="1" t="str">
        <f>HYPERLINK("http://optum360.com","optum360.com")</f>
        <v>optum360.com</v>
      </c>
      <c r="C35914" t="s">
        <v>433</v>
      </c>
      <c r="F35914">
        <v>3.0039055747518E-8</v>
      </c>
      <c r="G35914">
        <v>1712846</v>
      </c>
      <c r="H35914">
        <v>13413826</v>
      </c>
      <c r="I35914">
        <v>10319334</v>
      </c>
      <c r="J35914">
        <v>3</v>
      </c>
    </row>
    <row r="35915" spans="1:10" x14ac:dyDescent="0.25">
      <c r="A35915" t="s">
        <v>390</v>
      </c>
      <c r="B35915" s="1" t="str">
        <f>HYPERLINK("http://optumbank.com","optumbank.com")</f>
        <v>optumbank.com</v>
      </c>
      <c r="C35915" t="s">
        <v>433</v>
      </c>
      <c r="E35915">
        <v>62137</v>
      </c>
      <c r="F35915">
        <v>2.34194808335489E-7</v>
      </c>
      <c r="G35915">
        <v>160104</v>
      </c>
      <c r="H35915">
        <v>16951948</v>
      </c>
      <c r="I35915">
        <v>107746</v>
      </c>
      <c r="J35915">
        <v>3</v>
      </c>
    </row>
    <row r="35916" spans="1:10" x14ac:dyDescent="0.25">
      <c r="A35916" t="s">
        <v>390</v>
      </c>
      <c r="B35916" s="1" t="str">
        <f>HYPERLINK("http://optumhealth.com","optumhealth.com")</f>
        <v>optumhealth.com</v>
      </c>
      <c r="C35916" t="s">
        <v>433</v>
      </c>
      <c r="F35916">
        <v>3.0329857449703601E-8</v>
      </c>
      <c r="G35916">
        <v>1697231</v>
      </c>
      <c r="H35916">
        <v>13917216</v>
      </c>
      <c r="I35916">
        <v>5937113</v>
      </c>
      <c r="J35916">
        <v>4</v>
      </c>
    </row>
    <row r="35917" spans="1:10" x14ac:dyDescent="0.25">
      <c r="A35917" t="s">
        <v>390</v>
      </c>
      <c r="B35917" s="1" t="str">
        <f>HYPERLINK("http://optuminsight.com","optuminsight.com")</f>
        <v>optuminsight.com</v>
      </c>
      <c r="C35917" t="s">
        <v>433</v>
      </c>
      <c r="E35917">
        <v>495852</v>
      </c>
      <c r="F35917">
        <v>1.6286592786482299E-8</v>
      </c>
      <c r="G35917">
        <v>3473994</v>
      </c>
      <c r="H35917">
        <v>13807209</v>
      </c>
      <c r="I35917">
        <v>6227544</v>
      </c>
      <c r="J35917">
        <v>3</v>
      </c>
    </row>
    <row r="35918" spans="1:10" x14ac:dyDescent="0.25">
      <c r="A35918" t="s">
        <v>390</v>
      </c>
      <c r="B35918" s="1" t="str">
        <f>HYPERLINK("http://optumrx.com","optumrx.com")</f>
        <v>optumrx.com</v>
      </c>
      <c r="C35918" t="s">
        <v>433</v>
      </c>
      <c r="E35918">
        <v>37962</v>
      </c>
      <c r="F35918">
        <v>4.7968772887887503E-7</v>
      </c>
      <c r="G35918">
        <v>79261</v>
      </c>
      <c r="H35918">
        <v>17138350</v>
      </c>
      <c r="I35918">
        <v>54760</v>
      </c>
      <c r="J35918">
        <v>3</v>
      </c>
    </row>
    <row r="35919" spans="1:10" x14ac:dyDescent="0.25">
      <c r="A35919" t="s">
        <v>390</v>
      </c>
      <c r="B35919" s="1" t="str">
        <f>HYPERLINK("http://oxfordhealth.com","oxfordhealth.com")</f>
        <v>oxfordhealth.com</v>
      </c>
      <c r="C35919" t="s">
        <v>433</v>
      </c>
      <c r="F35919">
        <v>7.1068424028166101E-9</v>
      </c>
      <c r="G35919">
        <v>11996438</v>
      </c>
      <c r="H35919">
        <v>13202175</v>
      </c>
      <c r="I35919">
        <v>11543261</v>
      </c>
      <c r="J35919">
        <v>3</v>
      </c>
    </row>
    <row r="35920" spans="1:10" x14ac:dyDescent="0.25">
      <c r="A35920" t="s">
        <v>390</v>
      </c>
      <c r="B35920" s="1" t="str">
        <f>HYPERLINK("http://oxhp.com","oxhp.com")</f>
        <v>oxhp.com</v>
      </c>
      <c r="C35920" t="s">
        <v>433</v>
      </c>
      <c r="E35920">
        <v>60324</v>
      </c>
      <c r="F35920">
        <v>1.1062625975334799E-7</v>
      </c>
      <c r="G35920">
        <v>361496</v>
      </c>
      <c r="H35920">
        <v>14671373</v>
      </c>
      <c r="I35920">
        <v>613797</v>
      </c>
      <c r="J35920">
        <v>3</v>
      </c>
    </row>
    <row r="35921" spans="1:10" x14ac:dyDescent="0.25">
      <c r="A35921" t="s">
        <v>390</v>
      </c>
      <c r="B35921" s="1" t="str">
        <f>HYPERLINK("http://pcatexas.com","pcatexas.com")</f>
        <v>pcatexas.com</v>
      </c>
      <c r="C35921" t="s">
        <v>433</v>
      </c>
      <c r="F35921">
        <v>5.8865999884746699E-9</v>
      </c>
      <c r="G35921">
        <v>17451259</v>
      </c>
      <c r="H35921">
        <v>12383682</v>
      </c>
      <c r="I35921">
        <v>19144303</v>
      </c>
      <c r="J35921">
        <v>6</v>
      </c>
    </row>
    <row r="35922" spans="1:10" x14ac:dyDescent="0.25">
      <c r="A35922" t="s">
        <v>390</v>
      </c>
      <c r="B35922" s="1" t="str">
        <f>HYPERLINK("http://peopleshealth.com","peopleshealth.com")</f>
        <v>peopleshealth.com</v>
      </c>
      <c r="C35922" t="s">
        <v>433</v>
      </c>
      <c r="E35922">
        <v>507871</v>
      </c>
      <c r="F35922">
        <v>3.5943937207747798E-8</v>
      </c>
      <c r="G35922">
        <v>1449501</v>
      </c>
      <c r="H35922">
        <v>13493270</v>
      </c>
      <c r="I35922">
        <v>9982845</v>
      </c>
      <c r="J35922">
        <v>5</v>
      </c>
    </row>
    <row r="35923" spans="1:10" x14ac:dyDescent="0.25">
      <c r="A35923" t="s">
        <v>390</v>
      </c>
      <c r="B35923" s="1" t="str">
        <f>HYPERLINK("http://per-se.com","per-se.com")</f>
        <v>per-se.com</v>
      </c>
      <c r="C35923" t="s">
        <v>433</v>
      </c>
      <c r="E35923">
        <v>538526</v>
      </c>
      <c r="F35923">
        <v>8.9825004635572492E-9</v>
      </c>
      <c r="G35923">
        <v>8018282</v>
      </c>
      <c r="H35923">
        <v>13786228</v>
      </c>
      <c r="I35923">
        <v>6389261</v>
      </c>
      <c r="J35923">
        <v>3</v>
      </c>
    </row>
    <row r="35924" spans="1:10" x14ac:dyDescent="0.25">
      <c r="A35924" t="s">
        <v>390</v>
      </c>
      <c r="B35924" s="1" t="str">
        <f>HYPERLINK("http://perimetersurgerycenter.com","perimetersurgerycenter.com")</f>
        <v>perimetersurgerycenter.com</v>
      </c>
      <c r="C35924" t="s">
        <v>433</v>
      </c>
      <c r="F35924">
        <v>6.4184916790338604E-9</v>
      </c>
      <c r="G35924">
        <v>14432513</v>
      </c>
      <c r="H35924">
        <v>12905913</v>
      </c>
      <c r="I35924">
        <v>13821717</v>
      </c>
      <c r="J35924">
        <v>9</v>
      </c>
    </row>
    <row r="35925" spans="1:10" x14ac:dyDescent="0.25">
      <c r="A35925" t="s">
        <v>390</v>
      </c>
      <c r="B35925" s="1" t="str">
        <f>HYPERLINK("http://plusone.com","plusone.com")</f>
        <v>plusone.com</v>
      </c>
      <c r="C35925" t="s">
        <v>433</v>
      </c>
      <c r="E35925">
        <v>524798</v>
      </c>
      <c r="F35925">
        <v>2.33175470318105E-8</v>
      </c>
      <c r="G35925">
        <v>2237138</v>
      </c>
      <c r="H35925">
        <v>13270862</v>
      </c>
      <c r="I35925">
        <v>10955801</v>
      </c>
      <c r="J35925">
        <v>3</v>
      </c>
    </row>
    <row r="35926" spans="1:10" x14ac:dyDescent="0.25">
      <c r="A35926" t="s">
        <v>390</v>
      </c>
      <c r="B35926" s="1" t="str">
        <f>HYPERLINK("http://preferredone.com","preferredone.com")</f>
        <v>preferredone.com</v>
      </c>
      <c r="C35926" t="s">
        <v>433</v>
      </c>
      <c r="E35926">
        <v>516492</v>
      </c>
      <c r="F35926">
        <v>9.1486982090400298E-8</v>
      </c>
      <c r="G35926">
        <v>445458</v>
      </c>
      <c r="H35926">
        <v>13370042</v>
      </c>
      <c r="I35926">
        <v>10468617</v>
      </c>
      <c r="J35926">
        <v>3</v>
      </c>
    </row>
    <row r="35927" spans="1:10" x14ac:dyDescent="0.25">
      <c r="A35927" t="s">
        <v>390</v>
      </c>
      <c r="B35927" s="1" t="str">
        <f>HYPERLINK("http://prohealthmd.com","prohealthmd.com")</f>
        <v>prohealthmd.com</v>
      </c>
      <c r="C35927" t="s">
        <v>433</v>
      </c>
      <c r="E35927">
        <v>328682</v>
      </c>
      <c r="F35927">
        <v>5.0829406959795302E-8</v>
      </c>
      <c r="G35927">
        <v>902531</v>
      </c>
      <c r="H35927">
        <v>14003695</v>
      </c>
      <c r="I35927">
        <v>4008681</v>
      </c>
      <c r="J35927">
        <v>3</v>
      </c>
    </row>
    <row r="35928" spans="1:10" x14ac:dyDescent="0.25">
      <c r="A35928" t="s">
        <v>390</v>
      </c>
      <c r="B35928" s="1" t="str">
        <f>HYPERLINK("http://prospero-health.com","prospero-health.com")</f>
        <v>prospero-health.com</v>
      </c>
      <c r="C35928" t="s">
        <v>433</v>
      </c>
      <c r="F35928">
        <v>1.06694865934439E-8</v>
      </c>
      <c r="G35928">
        <v>6125444</v>
      </c>
      <c r="H35928">
        <v>12483260</v>
      </c>
      <c r="I35928">
        <v>17568199</v>
      </c>
      <c r="J35928">
        <v>4</v>
      </c>
    </row>
    <row r="35929" spans="1:10" x14ac:dyDescent="0.25">
      <c r="A35929" t="s">
        <v>390</v>
      </c>
      <c r="B35929" s="1" t="str">
        <f>HYPERLINK("http://psohealth.com","psohealth.com")</f>
        <v>psohealth.com</v>
      </c>
      <c r="C35929" t="s">
        <v>433</v>
      </c>
      <c r="F35929">
        <v>5.1456073092525296E-9</v>
      </c>
      <c r="G35929">
        <v>26163289</v>
      </c>
      <c r="H35929">
        <v>12623701</v>
      </c>
      <c r="I35929">
        <v>16050597</v>
      </c>
      <c r="J35929">
        <v>3</v>
      </c>
    </row>
    <row r="35930" spans="1:10" x14ac:dyDescent="0.25">
      <c r="A35930" t="s">
        <v>390</v>
      </c>
      <c r="B35930" s="1" t="str">
        <f>HYPERLINK("http://qssinc.com","qssinc.com")</f>
        <v>qssinc.com</v>
      </c>
      <c r="C35930" t="s">
        <v>433</v>
      </c>
      <c r="F35930">
        <v>4.8145496255199299E-8</v>
      </c>
      <c r="G35930">
        <v>965184</v>
      </c>
      <c r="H35930">
        <v>14300260</v>
      </c>
      <c r="I35930">
        <v>1356323</v>
      </c>
      <c r="J35930">
        <v>4</v>
      </c>
    </row>
    <row r="35931" spans="1:10" x14ac:dyDescent="0.25">
      <c r="A35931" t="s">
        <v>390</v>
      </c>
      <c r="B35931" s="1" t="str">
        <f>HYPERLINK("http://rallyhealth.com","rallyhealth.com")</f>
        <v>rallyhealth.com</v>
      </c>
      <c r="C35931" t="s">
        <v>433</v>
      </c>
      <c r="E35931">
        <v>184669</v>
      </c>
      <c r="F35931">
        <v>2.3795049857853E-7</v>
      </c>
      <c r="G35931">
        <v>157344</v>
      </c>
      <c r="H35931">
        <v>17018586</v>
      </c>
      <c r="I35931">
        <v>89742</v>
      </c>
      <c r="J35931">
        <v>3</v>
      </c>
    </row>
    <row r="35932" spans="1:10" x14ac:dyDescent="0.25">
      <c r="A35932" t="s">
        <v>390</v>
      </c>
      <c r="B35932" s="1" t="str">
        <f>HYPERLINK("http://refreshmh.com","refreshmh.com")</f>
        <v>refreshmh.com</v>
      </c>
      <c r="C35932" t="s">
        <v>433</v>
      </c>
      <c r="F35932">
        <v>2.6205806313353801E-8</v>
      </c>
      <c r="G35932">
        <v>1965564</v>
      </c>
      <c r="H35932">
        <v>14186898</v>
      </c>
      <c r="I35932">
        <v>1767454</v>
      </c>
      <c r="J35932">
        <v>3</v>
      </c>
    </row>
    <row r="35933" spans="1:10" x14ac:dyDescent="0.25">
      <c r="A35933" t="s">
        <v>390</v>
      </c>
      <c r="B35933" s="1" t="str">
        <f>HYPERLINK("http://restat.com","restat.com")</f>
        <v>restat.com</v>
      </c>
      <c r="C35933" t="s">
        <v>433</v>
      </c>
      <c r="F35933">
        <v>5.0127294033193696E-9</v>
      </c>
      <c r="G35933">
        <v>29072720</v>
      </c>
      <c r="H35933">
        <v>12154872</v>
      </c>
      <c r="I35933">
        <v>24497955</v>
      </c>
      <c r="J35933">
        <v>3</v>
      </c>
    </row>
    <row r="35934" spans="1:10" x14ac:dyDescent="0.25">
      <c r="A35934" t="s">
        <v>390</v>
      </c>
      <c r="B35934" s="1" t="str">
        <f>HYPERLINK("http://riversidecorporatewellness.com","riversidecorporatewellness.com")</f>
        <v>riversidecorporatewellness.com</v>
      </c>
      <c r="C35934" t="s">
        <v>433</v>
      </c>
      <c r="F35934">
        <v>7.8509483266283703E-9</v>
      </c>
      <c r="G35934">
        <v>10212590</v>
      </c>
      <c r="H35934">
        <v>12749476</v>
      </c>
      <c r="I35934">
        <v>15052962</v>
      </c>
      <c r="J35934">
        <v>3</v>
      </c>
    </row>
    <row r="35935" spans="1:10" x14ac:dyDescent="0.25">
      <c r="A35935" t="s">
        <v>390</v>
      </c>
      <c r="B35935" s="1" t="str">
        <f>HYPERLINK("http://sanvello.com","sanvello.com")</f>
        <v>sanvello.com</v>
      </c>
      <c r="C35935" t="s">
        <v>433</v>
      </c>
      <c r="E35935">
        <v>165583</v>
      </c>
      <c r="F35935">
        <v>5.5192574987037302E-7</v>
      </c>
      <c r="G35935">
        <v>70137</v>
      </c>
      <c r="H35935">
        <v>17038048</v>
      </c>
      <c r="I35935">
        <v>80250</v>
      </c>
      <c r="J35935">
        <v>3</v>
      </c>
    </row>
    <row r="35936" spans="1:10" x14ac:dyDescent="0.25">
      <c r="A35936" t="s">
        <v>390</v>
      </c>
      <c r="B35936" s="1" t="str">
        <f>HYPERLINK("http://savedirectrx.com","savedirectrx.com")</f>
        <v>savedirectrx.com</v>
      </c>
      <c r="C35936" t="s">
        <v>433</v>
      </c>
      <c r="J35936">
        <v>3</v>
      </c>
    </row>
    <row r="35937" spans="1:10" x14ac:dyDescent="0.25">
      <c r="A35937" t="s">
        <v>390</v>
      </c>
      <c r="B35937" s="1" t="str">
        <f>HYPERLINK("http://scasurgery.com","scasurgery.com")</f>
        <v>scasurgery.com</v>
      </c>
      <c r="C35937" t="s">
        <v>433</v>
      </c>
      <c r="E35937">
        <v>298669</v>
      </c>
      <c r="F35937">
        <v>6.1878131087704205E-8</v>
      </c>
      <c r="G35937">
        <v>710744</v>
      </c>
      <c r="H35937">
        <v>13854897</v>
      </c>
      <c r="I35937">
        <v>6046193</v>
      </c>
      <c r="J35937">
        <v>3</v>
      </c>
    </row>
    <row r="35938" spans="1:10" x14ac:dyDescent="0.25">
      <c r="A35938" t="s">
        <v>390</v>
      </c>
      <c r="B35938" s="1" t="str">
        <f>HYPERLINK("http://sierrahealth.com","sierrahealth.com")</f>
        <v>sierrahealth.com</v>
      </c>
      <c r="C35938" t="s">
        <v>433</v>
      </c>
      <c r="E35938">
        <v>55639</v>
      </c>
      <c r="F35938">
        <v>8.7319681744230608E-9</v>
      </c>
      <c r="G35938">
        <v>8423180</v>
      </c>
      <c r="H35938">
        <v>13113184</v>
      </c>
      <c r="I35938">
        <v>12024254</v>
      </c>
      <c r="J35938">
        <v>3</v>
      </c>
    </row>
    <row r="35939" spans="1:10" x14ac:dyDescent="0.25">
      <c r="A35939" t="s">
        <v>390</v>
      </c>
      <c r="B35939" s="1" t="str">
        <f>HYPERLINK("http://sierrahealthandlife.com","sierrahealthandlife.com")</f>
        <v>sierrahealthandlife.com</v>
      </c>
      <c r="C35939" t="s">
        <v>433</v>
      </c>
      <c r="F35939">
        <v>2.9436991898379199E-8</v>
      </c>
      <c r="G35939">
        <v>1750743</v>
      </c>
      <c r="H35939">
        <v>12455719</v>
      </c>
      <c r="I35939">
        <v>17925898</v>
      </c>
      <c r="J35939">
        <v>3</v>
      </c>
    </row>
    <row r="35940" spans="1:10" x14ac:dyDescent="0.25">
      <c r="A35940" t="s">
        <v>390</v>
      </c>
      <c r="B35940" s="1" t="str">
        <f>HYPERLINK("http://solsticebenefits.com","solsticebenefits.com")</f>
        <v>solsticebenefits.com</v>
      </c>
      <c r="C35940" t="s">
        <v>433</v>
      </c>
      <c r="E35940">
        <v>693018</v>
      </c>
      <c r="F35940">
        <v>4.8740010225603197E-8</v>
      </c>
      <c r="G35940">
        <v>951126</v>
      </c>
      <c r="H35940">
        <v>13600057</v>
      </c>
      <c r="I35940">
        <v>9650431</v>
      </c>
      <c r="J35940">
        <v>3</v>
      </c>
    </row>
    <row r="35941" spans="1:10" x14ac:dyDescent="0.25">
      <c r="A35941" t="s">
        <v>390</v>
      </c>
      <c r="B35941" s="1" t="str">
        <f>HYPERLINK("http://starshiphsa.com","starshiphsa.com")</f>
        <v>starshiphsa.com</v>
      </c>
      <c r="C35941" t="s">
        <v>433</v>
      </c>
      <c r="F35941">
        <v>8.8617571032710095E-8</v>
      </c>
      <c r="G35941">
        <v>461740</v>
      </c>
      <c r="H35941">
        <v>16821810</v>
      </c>
      <c r="I35941">
        <v>185092</v>
      </c>
      <c r="J35941">
        <v>3</v>
      </c>
    </row>
    <row r="35942" spans="1:10" x14ac:dyDescent="0.25">
      <c r="A35942" t="s">
        <v>390</v>
      </c>
      <c r="B35942" s="1" t="str">
        <f>HYPERLINK("http://stcsurgicalcenter.com","stcsurgicalcenter.com")</f>
        <v>stcsurgicalcenter.com</v>
      </c>
      <c r="C35942" t="s">
        <v>433</v>
      </c>
      <c r="F35942">
        <v>8.7041651379326097E-9</v>
      </c>
      <c r="G35942">
        <v>8470475</v>
      </c>
      <c r="H35942">
        <v>12936478</v>
      </c>
      <c r="I35942">
        <v>13328242</v>
      </c>
      <c r="J35942">
        <v>6</v>
      </c>
    </row>
    <row r="35943" spans="1:10" x14ac:dyDescent="0.25">
      <c r="A35943" t="s">
        <v>390</v>
      </c>
      <c r="B35943" s="1" t="str">
        <f>HYPERLINK("http://surgicalhospitalok.com","surgicalhospitalok.com")</f>
        <v>surgicalhospitalok.com</v>
      </c>
      <c r="C35943" t="s">
        <v>433</v>
      </c>
      <c r="F35943">
        <v>5.3849756234217601E-9</v>
      </c>
      <c r="G35943">
        <v>22356230</v>
      </c>
      <c r="H35943">
        <v>11077355</v>
      </c>
      <c r="I35943">
        <v>32507481</v>
      </c>
      <c r="J35943">
        <v>4</v>
      </c>
    </row>
    <row r="35944" spans="1:10" x14ac:dyDescent="0.25">
      <c r="A35944" t="s">
        <v>390</v>
      </c>
      <c r="B35944" s="1" t="str">
        <f>HYPERLINK("http://theapsi.com","theapsi.com")</f>
        <v>theapsi.com</v>
      </c>
      <c r="C35944" t="s">
        <v>433</v>
      </c>
      <c r="J35944">
        <v>3</v>
      </c>
    </row>
    <row r="35945" spans="1:10" x14ac:dyDescent="0.25">
      <c r="A35945" t="s">
        <v>390</v>
      </c>
      <c r="B35945" s="1" t="str">
        <f>HYPERLINK("http://thinkpacifica.com","thinkpacifica.com")</f>
        <v>thinkpacifica.com</v>
      </c>
      <c r="C35945" t="s">
        <v>433</v>
      </c>
      <c r="E35945">
        <v>899989</v>
      </c>
      <c r="F35945">
        <v>1.5305209725908299E-7</v>
      </c>
      <c r="G35945">
        <v>253776</v>
      </c>
      <c r="H35945">
        <v>15110063</v>
      </c>
      <c r="I35945">
        <v>405107</v>
      </c>
      <c r="J35945">
        <v>6</v>
      </c>
    </row>
    <row r="35946" spans="1:10" x14ac:dyDescent="0.25">
      <c r="A35946" t="s">
        <v>390</v>
      </c>
      <c r="B35946" s="1" t="str">
        <f>HYPERLINK("http://uhc.com","uhc.com")</f>
        <v>uhc.com</v>
      </c>
      <c r="C35946" t="s">
        <v>433</v>
      </c>
      <c r="E35946">
        <v>1787</v>
      </c>
      <c r="F35946">
        <v>8.2891693437340308E-6</v>
      </c>
      <c r="G35946">
        <v>4066</v>
      </c>
      <c r="H35946">
        <v>17611574</v>
      </c>
      <c r="I35946">
        <v>9338</v>
      </c>
      <c r="J35946">
        <v>3</v>
      </c>
    </row>
    <row r="35947" spans="1:10" x14ac:dyDescent="0.25">
      <c r="A35947" t="s">
        <v>390</v>
      </c>
      <c r="B35947" s="1" t="str">
        <f>HYPERLINK("http://uhccommunityandstate.com","uhccommunityandstate.com")</f>
        <v>uhccommunityandstate.com</v>
      </c>
      <c r="C35947" t="s">
        <v>433</v>
      </c>
      <c r="F35947">
        <v>1.5611201551887599E-7</v>
      </c>
      <c r="G35947">
        <v>248766</v>
      </c>
      <c r="H35947">
        <v>14037577</v>
      </c>
      <c r="I35947">
        <v>3912091</v>
      </c>
      <c r="J35947">
        <v>7</v>
      </c>
    </row>
    <row r="35948" spans="1:10" x14ac:dyDescent="0.25">
      <c r="A35948" t="s">
        <v>390</v>
      </c>
      <c r="B35948" s="1" t="str">
        <f>HYPERLINK("http://uhchearing.com","uhchearing.com")</f>
        <v>uhchearing.com</v>
      </c>
      <c r="C35948" t="s">
        <v>433</v>
      </c>
      <c r="F35948">
        <v>5.29219965377838E-8</v>
      </c>
      <c r="G35948">
        <v>860743</v>
      </c>
      <c r="H35948">
        <v>12957493</v>
      </c>
      <c r="I35948">
        <v>13179431</v>
      </c>
      <c r="J35948">
        <v>5</v>
      </c>
    </row>
    <row r="35949" spans="1:10" x14ac:dyDescent="0.25">
      <c r="A35949" t="s">
        <v>390</v>
      </c>
      <c r="B35949" s="1" t="str">
        <f>HYPERLINK("http://uhcprovider.com","uhcprovider.com")</f>
        <v>uhcprovider.com</v>
      </c>
      <c r="C35949" t="s">
        <v>433</v>
      </c>
      <c r="E35949">
        <v>30207</v>
      </c>
      <c r="F35949">
        <v>7.6365816659178504E-7</v>
      </c>
      <c r="G35949">
        <v>51148</v>
      </c>
      <c r="H35949">
        <v>14892048</v>
      </c>
      <c r="I35949">
        <v>466414</v>
      </c>
      <c r="J35949">
        <v>6</v>
      </c>
    </row>
    <row r="35950" spans="1:10" x14ac:dyDescent="0.25">
      <c r="A35950" t="s">
        <v>390</v>
      </c>
      <c r="B35950" s="1" t="str">
        <f>HYPERLINK("http://uhcrivervalley.com","uhcrivervalley.com")</f>
        <v>uhcrivervalley.com</v>
      </c>
      <c r="C35950" t="s">
        <v>433</v>
      </c>
      <c r="F35950">
        <v>7.2042327146065199E-9</v>
      </c>
      <c r="G35950">
        <v>11729073</v>
      </c>
      <c r="H35950">
        <v>13763643</v>
      </c>
      <c r="I35950">
        <v>7915319</v>
      </c>
      <c r="J35950">
        <v>3</v>
      </c>
    </row>
    <row r="35951" spans="1:10" x14ac:dyDescent="0.25">
      <c r="A35951" t="s">
        <v>390</v>
      </c>
      <c r="B35951" s="1" t="str">
        <f>HYPERLINK("http://uhcstepup.com","uhcstepup.com")</f>
        <v>uhcstepup.com</v>
      </c>
      <c r="C35951" t="s">
        <v>433</v>
      </c>
      <c r="F35951">
        <v>1.34642497953391E-8</v>
      </c>
      <c r="G35951">
        <v>4419126</v>
      </c>
      <c r="H35951">
        <v>12557070</v>
      </c>
      <c r="I35951">
        <v>16746366</v>
      </c>
      <c r="J35951">
        <v>5</v>
      </c>
    </row>
    <row r="35952" spans="1:10" x14ac:dyDescent="0.25">
      <c r="A35952" t="s">
        <v>390</v>
      </c>
      <c r="B35952" s="1" t="str">
        <f>HYPERLINK("http://uhg.com","uhg.com")</f>
        <v>uhg.com</v>
      </c>
      <c r="C35952" t="s">
        <v>433</v>
      </c>
      <c r="E35952">
        <v>31752</v>
      </c>
      <c r="F35952">
        <v>1.0652116203677301E-7</v>
      </c>
      <c r="G35952">
        <v>375895</v>
      </c>
      <c r="H35952">
        <v>14065034</v>
      </c>
      <c r="I35952">
        <v>3740229</v>
      </c>
      <c r="J35952">
        <v>4</v>
      </c>
    </row>
    <row r="35953" spans="1:10" x14ac:dyDescent="0.25">
      <c r="A35953" t="s">
        <v>390</v>
      </c>
      <c r="B35953" s="1" t="str">
        <f>HYPERLINK("http://uhone.com","uhone.com")</f>
        <v>uhone.com</v>
      </c>
      <c r="C35953" t="s">
        <v>433</v>
      </c>
      <c r="E35953">
        <v>89355</v>
      </c>
      <c r="F35953">
        <v>4.31344044358341E-7</v>
      </c>
      <c r="G35953">
        <v>87340</v>
      </c>
      <c r="H35953">
        <v>14544486</v>
      </c>
      <c r="I35953">
        <v>770517</v>
      </c>
      <c r="J35953">
        <v>3</v>
      </c>
    </row>
    <row r="35954" spans="1:10" x14ac:dyDescent="0.25">
      <c r="A35954" t="s">
        <v>390</v>
      </c>
      <c r="B35954" s="1" t="str">
        <f>HYPERLINK("http://uniquefallwedding.com","uniquefallwedding.com")</f>
        <v>uniquefallwedding.com</v>
      </c>
      <c r="C35954" t="s">
        <v>433</v>
      </c>
      <c r="F35954">
        <v>4.4755344765694196E-9</v>
      </c>
      <c r="G35954">
        <v>63298262</v>
      </c>
      <c r="H35954">
        <v>10537056</v>
      </c>
      <c r="I35954">
        <v>47461475</v>
      </c>
      <c r="J35954">
        <v>5</v>
      </c>
    </row>
    <row r="35955" spans="1:10" x14ac:dyDescent="0.25">
      <c r="A35955" t="s">
        <v>390</v>
      </c>
      <c r="B35955" s="1" t="str">
        <f>HYPERLINK("http://unitedbehavioralhealth.com","unitedbehavioralhealth.com")</f>
        <v>unitedbehavioralhealth.com</v>
      </c>
      <c r="C35955" t="s">
        <v>433</v>
      </c>
      <c r="F35955">
        <v>9.3367837996308294E-9</v>
      </c>
      <c r="G35955">
        <v>7525704</v>
      </c>
      <c r="H35955">
        <v>12631907</v>
      </c>
      <c r="I35955">
        <v>15968716</v>
      </c>
      <c r="J35955">
        <v>3</v>
      </c>
    </row>
    <row r="35956" spans="1:10" x14ac:dyDescent="0.25">
      <c r="A35956" t="s">
        <v>390</v>
      </c>
      <c r="B35956" s="1" t="str">
        <f>HYPERLINK("http://unitedhealthcareofflorida.com","unitedhealthcareofflorida.com")</f>
        <v>unitedhealthcareofflorida.com</v>
      </c>
      <c r="C35956" t="s">
        <v>433</v>
      </c>
      <c r="F35956">
        <v>4.4448341076223704E-9</v>
      </c>
      <c r="G35956">
        <v>76013200</v>
      </c>
      <c r="H35956">
        <v>10728827</v>
      </c>
      <c r="I35956">
        <v>41019368</v>
      </c>
      <c r="J35956">
        <v>3</v>
      </c>
    </row>
    <row r="35957" spans="1:10" x14ac:dyDescent="0.25">
      <c r="A35957" t="s">
        <v>390</v>
      </c>
      <c r="B35957" s="1" t="str">
        <f>HYPERLINK("http://unitedhealthgroup.com","unitedhealthgroup.com")</f>
        <v>unitedhealthgroup.com</v>
      </c>
      <c r="C35957" t="s">
        <v>433</v>
      </c>
      <c r="E35957">
        <v>24198</v>
      </c>
      <c r="F35957">
        <v>2.9074102095859702E-6</v>
      </c>
      <c r="G35957">
        <v>13296</v>
      </c>
      <c r="H35957">
        <v>16253505</v>
      </c>
      <c r="I35957">
        <v>365399</v>
      </c>
      <c r="J35957">
        <v>1</v>
      </c>
    </row>
    <row r="35958" spans="1:10" x14ac:dyDescent="0.25">
      <c r="A35958" t="s">
        <v>390</v>
      </c>
      <c r="B35958" s="1" t="str">
        <f>HYPERLINK("http://us-hsi.com","us-hsi.com")</f>
        <v>us-hsi.com</v>
      </c>
      <c r="C35958" t="s">
        <v>433</v>
      </c>
      <c r="F35958">
        <v>1.4077392398319599E-8</v>
      </c>
      <c r="G35958">
        <v>4173956</v>
      </c>
      <c r="H35958">
        <v>12943796</v>
      </c>
      <c r="I35958">
        <v>13264818</v>
      </c>
      <c r="J35958">
        <v>7</v>
      </c>
    </row>
    <row r="35959" spans="1:10" x14ac:dyDescent="0.25">
      <c r="A35959" t="s">
        <v>390</v>
      </c>
      <c r="B35959" s="1" t="str">
        <f>HYPERLINK("http://ushagent.com","ushagent.com")</f>
        <v>ushagent.com</v>
      </c>
      <c r="C35959" t="s">
        <v>433</v>
      </c>
      <c r="E35959">
        <v>854024</v>
      </c>
      <c r="F35959">
        <v>5.06831875926807E-8</v>
      </c>
      <c r="G35959">
        <v>905619</v>
      </c>
      <c r="H35959">
        <v>13847592</v>
      </c>
      <c r="I35959">
        <v>6058278</v>
      </c>
      <c r="J35959">
        <v>5</v>
      </c>
    </row>
    <row r="35960" spans="1:10" x14ac:dyDescent="0.25">
      <c r="A35960" t="s">
        <v>390</v>
      </c>
      <c r="B35960" s="1" t="str">
        <f>HYPERLINK("http://ushealthgroup.com","ushealthgroup.com")</f>
        <v>ushealthgroup.com</v>
      </c>
      <c r="C35960" t="s">
        <v>433</v>
      </c>
      <c r="E35960">
        <v>85793</v>
      </c>
      <c r="F35960">
        <v>9.5740442859426096E-8</v>
      </c>
      <c r="G35960">
        <v>422899</v>
      </c>
      <c r="H35960">
        <v>13708299</v>
      </c>
      <c r="I35960">
        <v>9508998</v>
      </c>
      <c r="J35960">
        <v>3</v>
      </c>
    </row>
    <row r="35961" spans="1:10" x14ac:dyDescent="0.25">
      <c r="A35961" t="s">
        <v>390</v>
      </c>
      <c r="B35961" s="1" t="str">
        <f>HYPERLINK("http://ushginsurance.com","ushginsurance.com")</f>
        <v>ushginsurance.com</v>
      </c>
      <c r="C35961" t="s">
        <v>433</v>
      </c>
      <c r="J35961">
        <v>5</v>
      </c>
    </row>
    <row r="35962" spans="1:10" x14ac:dyDescent="0.25">
      <c r="A35962" t="s">
        <v>390</v>
      </c>
      <c r="B35962" s="1" t="str">
        <f>HYPERLINK("http://usmd.com","usmd.com")</f>
        <v>usmd.com</v>
      </c>
      <c r="C35962" t="s">
        <v>433</v>
      </c>
      <c r="F35962">
        <v>3.4947036888774003E-8</v>
      </c>
      <c r="G35962">
        <v>1486360</v>
      </c>
      <c r="H35962">
        <v>13023111</v>
      </c>
      <c r="I35962">
        <v>12701499</v>
      </c>
      <c r="J35962">
        <v>4</v>
      </c>
    </row>
    <row r="35963" spans="1:10" x14ac:dyDescent="0.25">
      <c r="A35963" t="s">
        <v>390</v>
      </c>
      <c r="B35963" s="1" t="str">
        <f>HYPERLINK("http://usmdarlington.com","usmdarlington.com")</f>
        <v>usmdarlington.com</v>
      </c>
      <c r="C35963" t="s">
        <v>433</v>
      </c>
      <c r="F35963">
        <v>1.7996746213555701E-8</v>
      </c>
      <c r="G35963">
        <v>3031129</v>
      </c>
      <c r="H35963">
        <v>12810213</v>
      </c>
      <c r="I35963">
        <v>14587765</v>
      </c>
      <c r="J35963">
        <v>6</v>
      </c>
    </row>
    <row r="35964" spans="1:10" x14ac:dyDescent="0.25">
      <c r="A35964" t="s">
        <v>390</v>
      </c>
      <c r="B35964" s="1" t="str">
        <f>HYPERLINK("http://usmdinc.com","usmdinc.com")</f>
        <v>usmdinc.com</v>
      </c>
      <c r="C35964" t="s">
        <v>433</v>
      </c>
      <c r="F35964">
        <v>4.9591227546668399E-9</v>
      </c>
      <c r="G35964">
        <v>30536355</v>
      </c>
      <c r="H35964">
        <v>11291666</v>
      </c>
      <c r="I35964">
        <v>30648651</v>
      </c>
      <c r="J35964">
        <v>3</v>
      </c>
    </row>
    <row r="35965" spans="1:10" x14ac:dyDescent="0.25">
      <c r="A35965" t="s">
        <v>390</v>
      </c>
      <c r="B35965" s="1" t="str">
        <f>HYPERLINK("http://vivifyhealth.com","vivifyhealth.com")</f>
        <v>vivifyhealth.com</v>
      </c>
      <c r="C35965" t="s">
        <v>433</v>
      </c>
      <c r="E35965">
        <v>578049</v>
      </c>
      <c r="F35965">
        <v>8.5680061170634794E-8</v>
      </c>
      <c r="G35965">
        <v>480728</v>
      </c>
      <c r="H35965">
        <v>13747777</v>
      </c>
      <c r="I35965">
        <v>9422129</v>
      </c>
      <c r="J35965">
        <v>3</v>
      </c>
    </row>
    <row r="35966" spans="1:10" x14ac:dyDescent="0.25">
      <c r="A35966" t="s">
        <v>390</v>
      </c>
      <c r="B35966" s="1" t="str">
        <f>HYPERLINK("http://webmitras.com","webmitras.com")</f>
        <v>webmitras.com</v>
      </c>
      <c r="C35966" t="s">
        <v>433</v>
      </c>
      <c r="F35966">
        <v>5.0618064076316002E-9</v>
      </c>
      <c r="G35966">
        <v>27964003</v>
      </c>
      <c r="H35966">
        <v>13244917</v>
      </c>
      <c r="I35966">
        <v>11149959</v>
      </c>
      <c r="J35966">
        <v>7</v>
      </c>
    </row>
    <row r="35967" spans="1:10" x14ac:dyDescent="0.25">
      <c r="A35967" t="s">
        <v>390</v>
      </c>
      <c r="B35967" s="1" t="str">
        <f>HYPERLINK("http://wellmedmedicalgroup.com","wellmedmedicalgroup.com")</f>
        <v>wellmedmedicalgroup.com</v>
      </c>
      <c r="C35967" t="s">
        <v>433</v>
      </c>
      <c r="F35967">
        <v>8.9478934063767296E-9</v>
      </c>
      <c r="G35967">
        <v>8070365</v>
      </c>
      <c r="H35967">
        <v>13969284</v>
      </c>
      <c r="I35967">
        <v>4078782</v>
      </c>
      <c r="J35967">
        <v>3</v>
      </c>
    </row>
    <row r="35968" spans="1:10" x14ac:dyDescent="0.25">
      <c r="A35968" t="s">
        <v>390</v>
      </c>
      <c r="B35968" s="1" t="str">
        <f>HYPERLINK("http://wellness-inc.com","wellness-inc.com")</f>
        <v>wellness-inc.com</v>
      </c>
      <c r="C35968" t="s">
        <v>433</v>
      </c>
      <c r="F35968">
        <v>5.8012024730127298E-9</v>
      </c>
      <c r="G35968">
        <v>18077579</v>
      </c>
      <c r="H35968">
        <v>13779152</v>
      </c>
      <c r="I35968">
        <v>6491836</v>
      </c>
      <c r="J35968">
        <v>3</v>
      </c>
    </row>
    <row r="35969" spans="1:10" x14ac:dyDescent="0.25">
      <c r="A35969" t="s">
        <v>390</v>
      </c>
      <c r="B35969" s="1" t="str">
        <f>HYPERLINK("http://westmedpartners.com","westmedpartners.com")</f>
        <v>westmedpartners.com</v>
      </c>
      <c r="C35969" t="s">
        <v>433</v>
      </c>
      <c r="F35969">
        <v>8.1563764940586508E-9</v>
      </c>
      <c r="G35969">
        <v>9645327</v>
      </c>
      <c r="H35969">
        <v>12745405</v>
      </c>
      <c r="I35969">
        <v>15089069</v>
      </c>
      <c r="J35969">
        <v>3</v>
      </c>
    </row>
    <row r="35970" spans="1:10" x14ac:dyDescent="0.25">
      <c r="A35970" t="s">
        <v>390</v>
      </c>
      <c r="B35970" s="1" t="str">
        <f>HYPERLINK("http://xlhealth.com","xlhealth.com")</f>
        <v>xlhealth.com</v>
      </c>
      <c r="C35970" t="s">
        <v>433</v>
      </c>
      <c r="F35970">
        <v>6.1725724853742799E-9</v>
      </c>
      <c r="G35970">
        <v>15679286</v>
      </c>
      <c r="H35970">
        <v>14236153</v>
      </c>
      <c r="I35970">
        <v>1605868</v>
      </c>
      <c r="J35970">
        <v>3</v>
      </c>
    </row>
    <row r="35971" spans="1:10" x14ac:dyDescent="0.25">
      <c r="A35971" t="s">
        <v>390</v>
      </c>
      <c r="B35971" s="1" t="str">
        <f>HYPERLINK("http://yourbind.com","yourbind.com")</f>
        <v>yourbind.com</v>
      </c>
      <c r="C35971" t="s">
        <v>433</v>
      </c>
      <c r="F35971">
        <v>4.97254801495317E-8</v>
      </c>
      <c r="G35971">
        <v>928053</v>
      </c>
      <c r="H35971">
        <v>13571536</v>
      </c>
      <c r="I35971">
        <v>9718746</v>
      </c>
      <c r="J35971">
        <v>3</v>
      </c>
    </row>
    <row r="35972" spans="1:10" x14ac:dyDescent="0.25">
      <c r="A35972" t="s">
        <v>390</v>
      </c>
      <c r="B35972" s="1" t="str">
        <f>HYPERLINK("http://emdeon.fi","emdeon.fi")</f>
        <v>emdeon.fi</v>
      </c>
      <c r="C35972" t="s">
        <v>445</v>
      </c>
      <c r="D35972" t="s">
        <v>823</v>
      </c>
      <c r="J35972">
        <v>4</v>
      </c>
    </row>
    <row r="35973" spans="1:10" x14ac:dyDescent="0.25">
      <c r="A35973" t="s">
        <v>390</v>
      </c>
      <c r="B35973" s="1" t="str">
        <f>HYPERLINK("http://uhcglobal.fi","uhcglobal.fi")</f>
        <v>uhcglobal.fi</v>
      </c>
      <c r="C35973" t="s">
        <v>445</v>
      </c>
      <c r="D35973" t="s">
        <v>823</v>
      </c>
      <c r="J35973">
        <v>2</v>
      </c>
    </row>
    <row r="35974" spans="1:10" x14ac:dyDescent="0.25">
      <c r="A35974" t="s">
        <v>390</v>
      </c>
      <c r="B35974" s="1" t="str">
        <f>HYPERLINK("http://changehealthcare.ie","changehealthcare.ie")</f>
        <v>changehealthcare.ie</v>
      </c>
      <c r="C35974" t="s">
        <v>455</v>
      </c>
      <c r="D35974" t="s">
        <v>832</v>
      </c>
      <c r="F35974">
        <v>6.8687452561756097E-9</v>
      </c>
      <c r="G35974">
        <v>12732938</v>
      </c>
      <c r="H35974">
        <v>12363047</v>
      </c>
      <c r="I35974">
        <v>19530094</v>
      </c>
      <c r="J35974">
        <v>4</v>
      </c>
    </row>
    <row r="35975" spans="1:10" x14ac:dyDescent="0.25">
      <c r="A35975" t="s">
        <v>390</v>
      </c>
      <c r="B35975" s="1" t="str">
        <f>HYPERLINK("http://optum.ie","optum.ie")</f>
        <v>optum.ie</v>
      </c>
      <c r="C35975" t="s">
        <v>455</v>
      </c>
      <c r="D35975" t="s">
        <v>832</v>
      </c>
      <c r="F35975">
        <v>1.10968528077832E-8</v>
      </c>
      <c r="G35975">
        <v>5787739</v>
      </c>
      <c r="H35975">
        <v>12468294</v>
      </c>
      <c r="I35975">
        <v>17777897</v>
      </c>
      <c r="J35975">
        <v>4</v>
      </c>
    </row>
    <row r="35976" spans="1:10" x14ac:dyDescent="0.25">
      <c r="A35976" t="s">
        <v>390</v>
      </c>
      <c r="B35976" s="1" t="str">
        <f>HYPERLINK("http://optum.in","optum.in")</f>
        <v>optum.in</v>
      </c>
      <c r="C35976" t="s">
        <v>457</v>
      </c>
      <c r="D35976" t="s">
        <v>834</v>
      </c>
      <c r="F35976">
        <v>1.2768826816907799E-8</v>
      </c>
      <c r="G35976">
        <v>4745092</v>
      </c>
      <c r="H35976">
        <v>13468700</v>
      </c>
      <c r="I35976">
        <v>10043584</v>
      </c>
      <c r="J35976">
        <v>4</v>
      </c>
    </row>
    <row r="35977" spans="1:10" x14ac:dyDescent="0.25">
      <c r="A35977" t="s">
        <v>390</v>
      </c>
      <c r="B35977" s="1" t="str">
        <f>HYPERLINK("http://peopleshealth.info","peopleshealth.info")</f>
        <v>peopleshealth.info</v>
      </c>
      <c r="C35977" t="s">
        <v>458</v>
      </c>
      <c r="F35977">
        <v>9.2168572050789997E-9</v>
      </c>
      <c r="G35977">
        <v>7687318</v>
      </c>
      <c r="H35977">
        <v>12305071</v>
      </c>
      <c r="I35977">
        <v>20733950</v>
      </c>
      <c r="J35977">
        <v>6</v>
      </c>
    </row>
    <row r="35978" spans="1:10" x14ac:dyDescent="0.25">
      <c r="A35978" t="s">
        <v>390</v>
      </c>
      <c r="B35978" s="1" t="str">
        <f>HYPERLINK("http://diplomat.is","diplomat.is")</f>
        <v>diplomat.is</v>
      </c>
      <c r="C35978" t="s">
        <v>594</v>
      </c>
      <c r="D35978" t="s">
        <v>929</v>
      </c>
      <c r="F35978">
        <v>2.98617753130179E-8</v>
      </c>
      <c r="G35978">
        <v>1723327</v>
      </c>
      <c r="H35978">
        <v>13434913</v>
      </c>
      <c r="I35978">
        <v>10271506</v>
      </c>
      <c r="J35978">
        <v>3</v>
      </c>
    </row>
    <row r="35979" spans="1:10" x14ac:dyDescent="0.25">
      <c r="A35979" t="s">
        <v>390</v>
      </c>
      <c r="B35979" s="1" t="str">
        <f>HYPERLINK("http://envoyhealth.is","envoyhealth.is")</f>
        <v>envoyhealth.is</v>
      </c>
      <c r="C35979" t="s">
        <v>594</v>
      </c>
      <c r="D35979" t="s">
        <v>929</v>
      </c>
      <c r="E35979">
        <v>552676</v>
      </c>
      <c r="F35979">
        <v>4.44380395335525E-9</v>
      </c>
      <c r="G35979">
        <v>85128244</v>
      </c>
      <c r="H35979">
        <v>0</v>
      </c>
      <c r="I35979">
        <v>86318440</v>
      </c>
      <c r="J35979">
        <v>6</v>
      </c>
    </row>
    <row r="35980" spans="1:10" x14ac:dyDescent="0.25">
      <c r="A35980" t="s">
        <v>390</v>
      </c>
      <c r="B35980" s="1" t="str">
        <f>HYPERLINK("http://accuraterx.net","accuraterx.net")</f>
        <v>accuraterx.net</v>
      </c>
      <c r="C35980" t="s">
        <v>474</v>
      </c>
      <c r="F35980">
        <v>4.5717524327935497E-9</v>
      </c>
      <c r="G35980">
        <v>50023685</v>
      </c>
      <c r="H35980">
        <v>10700357</v>
      </c>
      <c r="I35980">
        <v>42308327</v>
      </c>
      <c r="J35980">
        <v>3</v>
      </c>
    </row>
    <row r="35981" spans="1:10" x14ac:dyDescent="0.25">
      <c r="A35981" t="s">
        <v>390</v>
      </c>
      <c r="B35981" s="1" t="str">
        <f>HYPERLINK("http://mcna.net","mcna.net")</f>
        <v>mcna.net</v>
      </c>
      <c r="C35981" t="s">
        <v>474</v>
      </c>
      <c r="E35981">
        <v>187922</v>
      </c>
      <c r="F35981">
        <v>4.0914619487145199E-8</v>
      </c>
      <c r="G35981">
        <v>1267688</v>
      </c>
      <c r="H35981">
        <v>13253091</v>
      </c>
      <c r="I35981">
        <v>11068642</v>
      </c>
      <c r="J35981">
        <v>3</v>
      </c>
    </row>
    <row r="35982" spans="1:10" x14ac:dyDescent="0.25">
      <c r="A35982" t="s">
        <v>390</v>
      </c>
      <c r="B35982" s="1" t="str">
        <f>HYPERLINK("http://unitedhealthcare.net","unitedhealthcare.net")</f>
        <v>unitedhealthcare.net</v>
      </c>
      <c r="C35982" t="s">
        <v>474</v>
      </c>
      <c r="J35982">
        <v>3</v>
      </c>
    </row>
    <row r="35983" spans="1:10" x14ac:dyDescent="0.25">
      <c r="A35983" t="s">
        <v>390</v>
      </c>
      <c r="B35983" s="1" t="str">
        <f>HYPERLINK("http://yuecang.net","yuecang.net")</f>
        <v>yuecang.net</v>
      </c>
      <c r="C35983" t="s">
        <v>474</v>
      </c>
      <c r="F35983">
        <v>4.44380395335525E-9</v>
      </c>
      <c r="G35983">
        <v>85620525</v>
      </c>
      <c r="H35983">
        <v>0</v>
      </c>
      <c r="I35983">
        <v>86924718</v>
      </c>
      <c r="J35983">
        <v>5</v>
      </c>
    </row>
    <row r="35984" spans="1:10" x14ac:dyDescent="0.25">
      <c r="A35984" t="s">
        <v>390</v>
      </c>
      <c r="B35984" s="1" t="str">
        <f>HYPERLINK("http://changehealthcare.co.nz","changehealthcare.co.nz")</f>
        <v>changehealthcare.co.nz</v>
      </c>
      <c r="C35984" t="s">
        <v>479</v>
      </c>
      <c r="D35984" t="s">
        <v>854</v>
      </c>
      <c r="F35984">
        <v>6.6110068477301702E-9</v>
      </c>
      <c r="G35984">
        <v>13635343</v>
      </c>
      <c r="H35984">
        <v>12108386</v>
      </c>
      <c r="I35984">
        <v>25776514</v>
      </c>
      <c r="J35984">
        <v>4</v>
      </c>
    </row>
    <row r="35985" spans="1:10" x14ac:dyDescent="0.25">
      <c r="A35985" t="s">
        <v>390</v>
      </c>
      <c r="B35985" s="1" t="str">
        <f>HYPERLINK("http://healthmarkets.org","healthmarkets.org")</f>
        <v>healthmarkets.org</v>
      </c>
      <c r="C35985" t="s">
        <v>481</v>
      </c>
      <c r="F35985">
        <v>5.8248442570976398E-9</v>
      </c>
      <c r="G35985">
        <v>17902046</v>
      </c>
      <c r="H35985">
        <v>12110893</v>
      </c>
      <c r="I35985">
        <v>25703042</v>
      </c>
      <c r="J35985">
        <v>7</v>
      </c>
    </row>
    <row r="35986" spans="1:10" x14ac:dyDescent="0.25">
      <c r="A35986" t="s">
        <v>390</v>
      </c>
      <c r="B35986" s="1" t="str">
        <f>HYPERLINK("http://landmarkhealth.org","landmarkhealth.org")</f>
        <v>landmarkhealth.org</v>
      </c>
      <c r="C35986" t="s">
        <v>481</v>
      </c>
      <c r="E35986">
        <v>462055</v>
      </c>
      <c r="F35986">
        <v>8.1192667387422905E-8</v>
      </c>
      <c r="G35986">
        <v>514117</v>
      </c>
      <c r="H35986">
        <v>13845917</v>
      </c>
      <c r="I35986">
        <v>6061186</v>
      </c>
      <c r="J35986">
        <v>3</v>
      </c>
    </row>
    <row r="35987" spans="1:10" x14ac:dyDescent="0.25">
      <c r="A35987" t="s">
        <v>390</v>
      </c>
      <c r="B35987" s="1" t="str">
        <f>HYPERLINK("http://landmarkhealthtechnologies.org","landmarkhealthtechnologies.org")</f>
        <v>landmarkhealthtechnologies.org</v>
      </c>
      <c r="C35987" t="s">
        <v>481</v>
      </c>
      <c r="F35987">
        <v>8.70262351046057E-9</v>
      </c>
      <c r="G35987">
        <v>8473152</v>
      </c>
      <c r="H35987">
        <v>10575926</v>
      </c>
      <c r="I35987">
        <v>45922710</v>
      </c>
      <c r="J35987">
        <v>5</v>
      </c>
    </row>
    <row r="35988" spans="1:10" x14ac:dyDescent="0.25">
      <c r="A35988" t="s">
        <v>390</v>
      </c>
      <c r="B35988" s="1" t="str">
        <f>HYPERLINK("http://nwphysicians.org","nwphysicians.org")</f>
        <v>nwphysicians.org</v>
      </c>
      <c r="C35988" t="s">
        <v>481</v>
      </c>
      <c r="F35988">
        <v>5.0419620623178501E-9</v>
      </c>
      <c r="G35988">
        <v>28398891</v>
      </c>
      <c r="H35988">
        <v>12372587</v>
      </c>
      <c r="I35988">
        <v>19362389</v>
      </c>
      <c r="J35988">
        <v>4</v>
      </c>
    </row>
    <row r="35989" spans="1:10" x14ac:dyDescent="0.25">
      <c r="A35989" t="s">
        <v>390</v>
      </c>
      <c r="B35989" s="1" t="str">
        <f>HYPERLINK("http://reliantmedicalgroup.org","reliantmedicalgroup.org")</f>
        <v>reliantmedicalgroup.org</v>
      </c>
      <c r="C35989" t="s">
        <v>481</v>
      </c>
      <c r="E35989">
        <v>217301</v>
      </c>
      <c r="F35989">
        <v>9.8079306473594199E-8</v>
      </c>
      <c r="G35989">
        <v>411388</v>
      </c>
      <c r="H35989">
        <v>14402572</v>
      </c>
      <c r="I35989">
        <v>1151965</v>
      </c>
      <c r="J35989">
        <v>7</v>
      </c>
    </row>
    <row r="35990" spans="1:10" x14ac:dyDescent="0.25">
      <c r="A35990" t="s">
        <v>390</v>
      </c>
      <c r="B35990" s="1" t="str">
        <f>HYPERLINK("http://rmhp.org","rmhp.org")</f>
        <v>rmhp.org</v>
      </c>
      <c r="C35990" t="s">
        <v>481</v>
      </c>
      <c r="E35990">
        <v>305245</v>
      </c>
      <c r="F35990">
        <v>9.5022483938666699E-8</v>
      </c>
      <c r="G35990">
        <v>426627</v>
      </c>
      <c r="H35990">
        <v>13908047</v>
      </c>
      <c r="I35990">
        <v>5944014</v>
      </c>
      <c r="J35990">
        <v>3</v>
      </c>
    </row>
    <row r="35991" spans="1:10" x14ac:dyDescent="0.25">
      <c r="A35991" t="s">
        <v>390</v>
      </c>
      <c r="B35991" s="1" t="str">
        <f>HYPERLINK("http://specialtysurgerycenter.org","specialtysurgerycenter.org")</f>
        <v>specialtysurgerycenter.org</v>
      </c>
      <c r="C35991" t="s">
        <v>481</v>
      </c>
      <c r="F35991">
        <v>9.0549532372354896E-9</v>
      </c>
      <c r="G35991">
        <v>7910789</v>
      </c>
      <c r="H35991">
        <v>13616729</v>
      </c>
      <c r="I35991">
        <v>9629299</v>
      </c>
      <c r="J35991">
        <v>9</v>
      </c>
    </row>
    <row r="35992" spans="1:10" x14ac:dyDescent="0.25">
      <c r="A35992" t="s">
        <v>390</v>
      </c>
      <c r="B35992" s="1" t="str">
        <f>HYPERLINK("http://takeahealthystand.org","takeahealthystand.org")</f>
        <v>takeahealthystand.org</v>
      </c>
      <c r="C35992" t="s">
        <v>481</v>
      </c>
      <c r="F35992">
        <v>2.00879298496105E-8</v>
      </c>
      <c r="G35992">
        <v>2646019</v>
      </c>
      <c r="H35992">
        <v>12518544</v>
      </c>
      <c r="I35992">
        <v>17164578</v>
      </c>
      <c r="J35992">
        <v>5</v>
      </c>
    </row>
    <row r="35993" spans="1:10" x14ac:dyDescent="0.25">
      <c r="A35993" t="s">
        <v>390</v>
      </c>
      <c r="B35993" s="1" t="str">
        <f>HYPERLINK("http://unitedhealthfoundation.org","unitedhealthfoundation.org")</f>
        <v>unitedhealthfoundation.org</v>
      </c>
      <c r="C35993" t="s">
        <v>481</v>
      </c>
      <c r="F35993">
        <v>9.1286505479884207E-8</v>
      </c>
      <c r="G35993">
        <v>446537</v>
      </c>
      <c r="H35993">
        <v>14904219</v>
      </c>
      <c r="I35993">
        <v>461210</v>
      </c>
      <c r="J35993">
        <v>3</v>
      </c>
    </row>
    <row r="35994" spans="1:10" x14ac:dyDescent="0.25">
      <c r="A35994" t="s">
        <v>390</v>
      </c>
      <c r="B35994" s="1" t="str">
        <f>HYPERLINK("http://wcosc.org","wcosc.org")</f>
        <v>wcosc.org</v>
      </c>
      <c r="C35994" t="s">
        <v>481</v>
      </c>
      <c r="F35994">
        <v>4.7924579697301001E-9</v>
      </c>
      <c r="G35994">
        <v>36388350</v>
      </c>
      <c r="H35994">
        <v>10963981</v>
      </c>
      <c r="I35994">
        <v>34267487</v>
      </c>
      <c r="J35994">
        <v>3</v>
      </c>
    </row>
    <row r="35995" spans="1:10" x14ac:dyDescent="0.25">
      <c r="A35995" t="s">
        <v>390</v>
      </c>
      <c r="B35995" s="1" t="str">
        <f>HYPERLINK("http://changehealthcare.co.uk","changehealthcare.co.uk")</f>
        <v>changehealthcare.co.uk</v>
      </c>
      <c r="C35995" t="s">
        <v>506</v>
      </c>
      <c r="D35995" t="s">
        <v>880</v>
      </c>
      <c r="F35995">
        <v>7.2391958348093896E-9</v>
      </c>
      <c r="G35995">
        <v>11633568</v>
      </c>
      <c r="H35995">
        <v>12258494</v>
      </c>
      <c r="I35995">
        <v>21806569</v>
      </c>
      <c r="J35995">
        <v>3</v>
      </c>
    </row>
    <row r="35996" spans="1:10" x14ac:dyDescent="0.25">
      <c r="A35996" t="s">
        <v>390</v>
      </c>
      <c r="B35996" s="1" t="str">
        <f>HYPERLINK("http://dargogroup.co.uk","dargogroup.co.uk")</f>
        <v>dargogroup.co.uk</v>
      </c>
      <c r="C35996" t="s">
        <v>506</v>
      </c>
      <c r="D35996" t="s">
        <v>880</v>
      </c>
      <c r="J35996">
        <v>7</v>
      </c>
    </row>
    <row r="35997" spans="1:10" x14ac:dyDescent="0.25">
      <c r="A35997" t="s">
        <v>390</v>
      </c>
      <c r="B35997" s="1" t="str">
        <f>HYPERLINK("http://optum.co.uk","optum.co.uk")</f>
        <v>optum.co.uk</v>
      </c>
      <c r="C35997" t="s">
        <v>506</v>
      </c>
      <c r="D35997" t="s">
        <v>880</v>
      </c>
      <c r="F35997">
        <v>3.5675043949399199E-8</v>
      </c>
      <c r="G35997">
        <v>1460092</v>
      </c>
      <c r="H35997">
        <v>13938338</v>
      </c>
      <c r="I35997">
        <v>4435011</v>
      </c>
      <c r="J35997">
        <v>3</v>
      </c>
    </row>
    <row r="35998" spans="1:10" x14ac:dyDescent="0.25">
      <c r="A35998" t="s">
        <v>390</v>
      </c>
      <c r="B35998" s="1" t="str">
        <f>HYPERLINK("http://navihealth.us","navihealth.us")</f>
        <v>navihealth.us</v>
      </c>
      <c r="C35998" t="s">
        <v>522</v>
      </c>
      <c r="D35998" t="s">
        <v>891</v>
      </c>
      <c r="E35998">
        <v>331439</v>
      </c>
      <c r="F35998">
        <v>8.5640337076277805E-9</v>
      </c>
      <c r="G35998">
        <v>8722160</v>
      </c>
      <c r="H35998">
        <v>12770046</v>
      </c>
      <c r="I35998">
        <v>14840772</v>
      </c>
      <c r="J35998">
        <v>4</v>
      </c>
    </row>
    <row r="35999" spans="1:10" x14ac:dyDescent="0.25">
      <c r="A35999" t="s">
        <v>391</v>
      </c>
      <c r="B35999" s="1" t="str">
        <f>HYPERLINK("http://universalmusic.at","universalmusic.at")</f>
        <v>universalmusic.at</v>
      </c>
      <c r="C35999" t="s">
        <v>419</v>
      </c>
      <c r="D35999" t="s">
        <v>801</v>
      </c>
      <c r="F35999">
        <v>5.6620492499729902E-8</v>
      </c>
      <c r="G35999">
        <v>789561</v>
      </c>
      <c r="H35999">
        <v>14861205</v>
      </c>
      <c r="I35999">
        <v>484118</v>
      </c>
      <c r="J35999">
        <v>3</v>
      </c>
    </row>
    <row r="36000" spans="1:10" x14ac:dyDescent="0.25">
      <c r="A36000" t="s">
        <v>391</v>
      </c>
      <c r="B36000" s="1" t="str">
        <f>HYPERLINK("http://abbeyroadinstitute.com.au","abbeyroadinstitute.com.au")</f>
        <v>abbeyroadinstitute.com.au</v>
      </c>
      <c r="C36000" t="s">
        <v>420</v>
      </c>
      <c r="D36000" t="s">
        <v>802</v>
      </c>
      <c r="F36000">
        <v>1.3970614990087501E-8</v>
      </c>
      <c r="G36000">
        <v>4213796</v>
      </c>
      <c r="H36000">
        <v>13763964</v>
      </c>
      <c r="I36000">
        <v>7463790</v>
      </c>
      <c r="J36000">
        <v>10</v>
      </c>
    </row>
    <row r="36001" spans="1:10" x14ac:dyDescent="0.25">
      <c r="A36001" t="s">
        <v>391</v>
      </c>
      <c r="B36001" s="1" t="str">
        <f>HYPERLINK("http://emimusic.com.au","emimusic.com.au")</f>
        <v>emimusic.com.au</v>
      </c>
      <c r="C36001" t="s">
        <v>420</v>
      </c>
      <c r="D36001" t="s">
        <v>802</v>
      </c>
      <c r="F36001">
        <v>2.10286620830293E-8</v>
      </c>
      <c r="G36001">
        <v>2512044</v>
      </c>
      <c r="H36001">
        <v>14087244</v>
      </c>
      <c r="I36001">
        <v>2764821</v>
      </c>
      <c r="J36001">
        <v>6</v>
      </c>
    </row>
    <row r="36002" spans="1:10" x14ac:dyDescent="0.25">
      <c r="A36002" t="s">
        <v>391</v>
      </c>
      <c r="B36002" s="1" t="str">
        <f>HYPERLINK("http://universalmusic.be","universalmusic.be")</f>
        <v>universalmusic.be</v>
      </c>
      <c r="C36002" t="s">
        <v>421</v>
      </c>
      <c r="D36002" t="s">
        <v>803</v>
      </c>
      <c r="F36002">
        <v>2.24637908596873E-8</v>
      </c>
      <c r="G36002">
        <v>2332579</v>
      </c>
      <c r="H36002">
        <v>12936138</v>
      </c>
      <c r="I36002">
        <v>13337872</v>
      </c>
      <c r="J36002">
        <v>3</v>
      </c>
    </row>
    <row r="36003" spans="1:10" x14ac:dyDescent="0.25">
      <c r="A36003" t="s">
        <v>391</v>
      </c>
      <c r="B36003" s="1" t="str">
        <f>HYPERLINK("http://universalmusic.com.br","universalmusic.com.br")</f>
        <v>universalmusic.com.br</v>
      </c>
      <c r="C36003" t="s">
        <v>425</v>
      </c>
      <c r="D36003" t="s">
        <v>806</v>
      </c>
      <c r="F36003">
        <v>2.3909768772438901E-8</v>
      </c>
      <c r="G36003">
        <v>2171884</v>
      </c>
      <c r="H36003">
        <v>14550231</v>
      </c>
      <c r="I36003">
        <v>760084</v>
      </c>
      <c r="J36003">
        <v>3</v>
      </c>
    </row>
    <row r="36004" spans="1:10" x14ac:dyDescent="0.25">
      <c r="A36004" t="s">
        <v>391</v>
      </c>
      <c r="B36004" s="1" t="str">
        <f>HYPERLINK("http://universalmusic.ca","universalmusic.ca")</f>
        <v>universalmusic.ca</v>
      </c>
      <c r="C36004" t="s">
        <v>428</v>
      </c>
      <c r="D36004" t="s">
        <v>809</v>
      </c>
      <c r="F36004">
        <v>6.0697900775786306E-8</v>
      </c>
      <c r="G36004">
        <v>726238</v>
      </c>
      <c r="H36004">
        <v>14587114</v>
      </c>
      <c r="I36004">
        <v>699520</v>
      </c>
      <c r="J36004">
        <v>3</v>
      </c>
    </row>
    <row r="36005" spans="1:10" x14ac:dyDescent="0.25">
      <c r="A36005" t="s">
        <v>391</v>
      </c>
      <c r="B36005" s="1" t="str">
        <f>HYPERLINK("http://universalmusic.ch","universalmusic.ch")</f>
        <v>universalmusic.ch</v>
      </c>
      <c r="C36005" t="s">
        <v>429</v>
      </c>
      <c r="D36005" t="s">
        <v>810</v>
      </c>
      <c r="F36005">
        <v>3.3872596005007399E-8</v>
      </c>
      <c r="G36005">
        <v>1528006</v>
      </c>
      <c r="H36005">
        <v>14386595</v>
      </c>
      <c r="I36005">
        <v>1176949</v>
      </c>
      <c r="J36005">
        <v>3</v>
      </c>
    </row>
    <row r="36006" spans="1:10" x14ac:dyDescent="0.25">
      <c r="A36006" t="s">
        <v>391</v>
      </c>
      <c r="B36006" s="1" t="str">
        <f>HYPERLINK("http://10kprojects.com","10kprojects.com")</f>
        <v>10kprojects.com</v>
      </c>
      <c r="C36006" t="s">
        <v>433</v>
      </c>
      <c r="F36006">
        <v>2.2920189947921E-8</v>
      </c>
      <c r="G36006">
        <v>2280586</v>
      </c>
      <c r="H36006">
        <v>13552072</v>
      </c>
      <c r="I36006">
        <v>9888165</v>
      </c>
      <c r="J36006">
        <v>5</v>
      </c>
    </row>
    <row r="36007" spans="1:10" x14ac:dyDescent="0.25">
      <c r="A36007" t="s">
        <v>391</v>
      </c>
      <c r="B36007" s="1" t="str">
        <f>HYPERLINK("http://abbeyroadinstitute.com","abbeyroadinstitute.com")</f>
        <v>abbeyroadinstitute.com</v>
      </c>
      <c r="C36007" t="s">
        <v>433</v>
      </c>
      <c r="F36007">
        <v>2.4951390588026301E-8</v>
      </c>
      <c r="G36007">
        <v>2071567</v>
      </c>
      <c r="H36007">
        <v>14086591</v>
      </c>
      <c r="I36007">
        <v>2769072</v>
      </c>
      <c r="J36007">
        <v>9</v>
      </c>
    </row>
    <row r="36008" spans="1:10" x14ac:dyDescent="0.25">
      <c r="A36008" t="s">
        <v>391</v>
      </c>
      <c r="B36008" s="1" t="str">
        <f>HYPERLINK("http://aftermath-entertainment.com","aftermath-entertainment.com")</f>
        <v>aftermath-entertainment.com</v>
      </c>
      <c r="C36008" t="s">
        <v>433</v>
      </c>
      <c r="F36008">
        <v>7.03298973977843E-9</v>
      </c>
      <c r="G36008">
        <v>12215265</v>
      </c>
      <c r="H36008">
        <v>14080249</v>
      </c>
      <c r="I36008">
        <v>2822057</v>
      </c>
      <c r="J36008">
        <v>5</v>
      </c>
    </row>
    <row r="36009" spans="1:10" x14ac:dyDescent="0.25">
      <c r="A36009" t="s">
        <v>391</v>
      </c>
      <c r="B36009" s="1" t="str">
        <f>HYPERLINK("http://alessiacara.com","alessiacara.com")</f>
        <v>alessiacara.com</v>
      </c>
      <c r="C36009" t="s">
        <v>433</v>
      </c>
      <c r="F36009">
        <v>5.2224260488908299E-8</v>
      </c>
      <c r="G36009">
        <v>873864</v>
      </c>
      <c r="H36009">
        <v>14590851</v>
      </c>
      <c r="I36009">
        <v>695348</v>
      </c>
      <c r="J36009">
        <v>4</v>
      </c>
    </row>
    <row r="36010" spans="1:10" x14ac:dyDescent="0.25">
      <c r="A36010" t="s">
        <v>391</v>
      </c>
      <c r="B36010" s="1" t="str">
        <f>HYPERLINK("http://astralwerks.com","astralwerks.com")</f>
        <v>astralwerks.com</v>
      </c>
      <c r="C36010" t="s">
        <v>433</v>
      </c>
      <c r="E36010">
        <v>286278</v>
      </c>
      <c r="F36010">
        <v>1.3980132418331901E-7</v>
      </c>
      <c r="G36010">
        <v>278657</v>
      </c>
      <c r="H36010">
        <v>14609409</v>
      </c>
      <c r="I36010">
        <v>678492</v>
      </c>
      <c r="J36010">
        <v>6</v>
      </c>
    </row>
    <row r="36011" spans="1:10" x14ac:dyDescent="0.25">
      <c r="A36011" t="s">
        <v>391</v>
      </c>
      <c r="B36011" s="1" t="str">
        <f>HYPERLINK("http://awge.com","awge.com")</f>
        <v>awge.com</v>
      </c>
      <c r="C36011" t="s">
        <v>433</v>
      </c>
      <c r="F36011">
        <v>2.2786005555736799E-8</v>
      </c>
      <c r="G36011">
        <v>2297391</v>
      </c>
      <c r="H36011">
        <v>14081149</v>
      </c>
      <c r="I36011">
        <v>2813046</v>
      </c>
      <c r="J36011">
        <v>6</v>
      </c>
    </row>
    <row r="36012" spans="1:10" x14ac:dyDescent="0.25">
      <c r="A36012" t="s">
        <v>391</v>
      </c>
      <c r="B36012" s="1" t="str">
        <f>HYPERLINK("http://bibisociety.com","bibisociety.com")</f>
        <v>bibisociety.com</v>
      </c>
      <c r="C36012" t="s">
        <v>433</v>
      </c>
      <c r="F36012">
        <v>8.7181214183272797E-9</v>
      </c>
      <c r="G36012">
        <v>8446281</v>
      </c>
      <c r="H36012">
        <v>14082047</v>
      </c>
      <c r="I36012">
        <v>2803804</v>
      </c>
      <c r="J36012">
        <v>4</v>
      </c>
    </row>
    <row r="36013" spans="1:10" x14ac:dyDescent="0.25">
      <c r="A36013" t="s">
        <v>391</v>
      </c>
      <c r="B36013" s="1" t="str">
        <f>HYPERLINK("http://bino-rideaux.com","bino-rideaux.com")</f>
        <v>bino-rideaux.com</v>
      </c>
      <c r="C36013" t="s">
        <v>433</v>
      </c>
      <c r="F36013">
        <v>8.2152163262230107E-9</v>
      </c>
      <c r="G36013">
        <v>9545589</v>
      </c>
      <c r="H36013">
        <v>13617250</v>
      </c>
      <c r="I36013">
        <v>9628753</v>
      </c>
      <c r="J36013">
        <v>4</v>
      </c>
    </row>
    <row r="36014" spans="1:10" x14ac:dyDescent="0.25">
      <c r="A36014" t="s">
        <v>391</v>
      </c>
      <c r="B36014" s="1" t="str">
        <f>HYPERLINK("http://bluenote.com","bluenote.com")</f>
        <v>bluenote.com</v>
      </c>
      <c r="C36014" t="s">
        <v>433</v>
      </c>
      <c r="E36014">
        <v>107738</v>
      </c>
      <c r="F36014">
        <v>3.4898300232627903E-7</v>
      </c>
      <c r="G36014">
        <v>107125</v>
      </c>
      <c r="H36014">
        <v>15200652</v>
      </c>
      <c r="I36014">
        <v>395597</v>
      </c>
      <c r="J36014">
        <v>6</v>
      </c>
    </row>
    <row r="36015" spans="1:10" x14ac:dyDescent="0.25">
      <c r="A36015" t="s">
        <v>391</v>
      </c>
      <c r="B36015" s="1" t="str">
        <f>HYPERLINK("http://capitolchristianmusicgroup.com","capitolchristianmusicgroup.com")</f>
        <v>capitolchristianmusicgroup.com</v>
      </c>
      <c r="C36015" t="s">
        <v>433</v>
      </c>
      <c r="F36015">
        <v>4.8461831321520998E-8</v>
      </c>
      <c r="G36015">
        <v>957487</v>
      </c>
      <c r="H36015">
        <v>14497917</v>
      </c>
      <c r="I36015">
        <v>863864</v>
      </c>
      <c r="J36015">
        <v>5</v>
      </c>
    </row>
    <row r="36016" spans="1:10" x14ac:dyDescent="0.25">
      <c r="A36016" t="s">
        <v>391</v>
      </c>
      <c r="B36016" s="1" t="str">
        <f>HYPERLINK("http://capitolmusicgroup.com","capitolmusicgroup.com")</f>
        <v>capitolmusicgroup.com</v>
      </c>
      <c r="C36016" t="s">
        <v>433</v>
      </c>
      <c r="F36016">
        <v>6.8821402877832902E-9</v>
      </c>
      <c r="G36016">
        <v>12690109</v>
      </c>
      <c r="H36016">
        <v>14374910</v>
      </c>
      <c r="I36016">
        <v>1232257</v>
      </c>
      <c r="J36016">
        <v>5</v>
      </c>
    </row>
    <row r="36017" spans="1:10" x14ac:dyDescent="0.25">
      <c r="A36017" t="s">
        <v>391</v>
      </c>
      <c r="B36017" s="1" t="str">
        <f>HYPERLINK("http://capitolrecords.com","capitolrecords.com")</f>
        <v>capitolrecords.com</v>
      </c>
      <c r="C36017" t="s">
        <v>433</v>
      </c>
      <c r="E36017">
        <v>167875</v>
      </c>
      <c r="F36017">
        <v>3.1655044196217201E-7</v>
      </c>
      <c r="G36017">
        <v>117475</v>
      </c>
      <c r="H36017">
        <v>15002093</v>
      </c>
      <c r="I36017">
        <v>425294</v>
      </c>
      <c r="J36017">
        <v>5</v>
      </c>
    </row>
    <row r="36018" spans="1:10" x14ac:dyDescent="0.25">
      <c r="A36018" t="s">
        <v>391</v>
      </c>
      <c r="B36018" s="1" t="str">
        <f>HYPERLINK("http://carlygibert.com","carlygibert.com")</f>
        <v>carlygibert.com</v>
      </c>
      <c r="C36018" t="s">
        <v>433</v>
      </c>
      <c r="F36018">
        <v>4.8248528297856204E-9</v>
      </c>
      <c r="G36018">
        <v>35033608</v>
      </c>
      <c r="H36018">
        <v>10816787</v>
      </c>
      <c r="I36018">
        <v>37697484</v>
      </c>
      <c r="J36018">
        <v>4</v>
      </c>
    </row>
    <row r="36019" spans="1:10" x14ac:dyDescent="0.25">
      <c r="A36019" t="s">
        <v>391</v>
      </c>
      <c r="B36019" s="1" t="str">
        <f>HYPERLINK("http://caroline.com","caroline.com")</f>
        <v>caroline.com</v>
      </c>
      <c r="C36019" t="s">
        <v>433</v>
      </c>
      <c r="F36019">
        <v>3.5209881152308899E-8</v>
      </c>
      <c r="G36019">
        <v>1476640</v>
      </c>
      <c r="H36019">
        <v>14502551</v>
      </c>
      <c r="I36019">
        <v>845799</v>
      </c>
      <c r="J36019">
        <v>5</v>
      </c>
    </row>
    <row r="36020" spans="1:10" x14ac:dyDescent="0.25">
      <c r="A36020" t="s">
        <v>391</v>
      </c>
      <c r="B36020" s="1" t="str">
        <f>HYPERLINK("http://carolineinternational.com","carolineinternational.com")</f>
        <v>carolineinternational.com</v>
      </c>
      <c r="C36020" t="s">
        <v>433</v>
      </c>
      <c r="F36020">
        <v>2.0463537465015601E-8</v>
      </c>
      <c r="G36020">
        <v>2589779</v>
      </c>
      <c r="H36020">
        <v>14246603</v>
      </c>
      <c r="I36020">
        <v>1460837</v>
      </c>
      <c r="J36020">
        <v>5</v>
      </c>
    </row>
    <row r="36021" spans="1:10" x14ac:dyDescent="0.25">
      <c r="A36021" t="s">
        <v>391</v>
      </c>
      <c r="B36021" s="1" t="str">
        <f>HYPERLINK("http://carsonlueders.com","carsonlueders.com")</f>
        <v>carsonlueders.com</v>
      </c>
      <c r="C36021" t="s">
        <v>433</v>
      </c>
      <c r="F36021">
        <v>7.0795416116196896E-9</v>
      </c>
      <c r="G36021">
        <v>12072573</v>
      </c>
      <c r="H36021">
        <v>12931362</v>
      </c>
      <c r="I36021">
        <v>13361160</v>
      </c>
      <c r="J36021">
        <v>4</v>
      </c>
    </row>
    <row r="36022" spans="1:10" x14ac:dyDescent="0.25">
      <c r="A36022" t="s">
        <v>391</v>
      </c>
      <c r="B36022" s="1" t="str">
        <f>HYPERLINK("http://cashmoney-records.com","cashmoney-records.com")</f>
        <v>cashmoney-records.com</v>
      </c>
      <c r="C36022" t="s">
        <v>433</v>
      </c>
      <c r="E36022">
        <v>879241</v>
      </c>
      <c r="F36022">
        <v>3.99078157416147E-8</v>
      </c>
      <c r="G36022">
        <v>1294950</v>
      </c>
      <c r="H36022">
        <v>14562037</v>
      </c>
      <c r="I36022">
        <v>744264</v>
      </c>
      <c r="J36022">
        <v>5</v>
      </c>
    </row>
    <row r="36023" spans="1:10" x14ac:dyDescent="0.25">
      <c r="A36023" t="s">
        <v>391</v>
      </c>
      <c r="B36023" s="1" t="str">
        <f>HYPERLINK("http://chantdumonde.com","chantdumonde.com")</f>
        <v>chantdumonde.com</v>
      </c>
      <c r="C36023" t="s">
        <v>433</v>
      </c>
      <c r="F36023">
        <v>2.8912564130084E-8</v>
      </c>
      <c r="G36023">
        <v>1780489</v>
      </c>
      <c r="H36023">
        <v>14530401</v>
      </c>
      <c r="I36023">
        <v>787042</v>
      </c>
      <c r="J36023">
        <v>9</v>
      </c>
    </row>
    <row r="36024" spans="1:10" x14ac:dyDescent="0.25">
      <c r="A36024" t="s">
        <v>391</v>
      </c>
      <c r="B36024" s="1" t="str">
        <f>HYPERLINK("http://decca.com","decca.com")</f>
        <v>decca.com</v>
      </c>
      <c r="C36024" t="s">
        <v>433</v>
      </c>
      <c r="E36024">
        <v>472605</v>
      </c>
      <c r="F36024">
        <v>1.6083429725792499E-7</v>
      </c>
      <c r="G36024">
        <v>241360</v>
      </c>
      <c r="H36024">
        <v>14979637</v>
      </c>
      <c r="I36024">
        <v>431086</v>
      </c>
      <c r="J36024">
        <v>5</v>
      </c>
    </row>
    <row r="36025" spans="1:10" x14ac:dyDescent="0.25">
      <c r="A36025" t="s">
        <v>391</v>
      </c>
      <c r="B36025" s="1" t="str">
        <f>HYPERLINK("http://deccabroadway.com","deccabroadway.com")</f>
        <v>deccabroadway.com</v>
      </c>
      <c r="C36025" t="s">
        <v>433</v>
      </c>
      <c r="F36025">
        <v>1.9368469276978499E-8</v>
      </c>
      <c r="G36025">
        <v>2768077</v>
      </c>
      <c r="H36025">
        <v>14646456</v>
      </c>
      <c r="I36025">
        <v>632172</v>
      </c>
      <c r="J36025">
        <v>7</v>
      </c>
    </row>
    <row r="36026" spans="1:10" x14ac:dyDescent="0.25">
      <c r="A36026" t="s">
        <v>391</v>
      </c>
      <c r="B36026" s="1" t="str">
        <f>HYPERLINK("http://deccaclassics.com","deccaclassics.com")</f>
        <v>deccaclassics.com</v>
      </c>
      <c r="C36026" t="s">
        <v>433</v>
      </c>
      <c r="E36026">
        <v>279232</v>
      </c>
      <c r="F36026">
        <v>1.9602313645575701E-7</v>
      </c>
      <c r="G36026">
        <v>196748</v>
      </c>
      <c r="H36026">
        <v>15067080</v>
      </c>
      <c r="I36026">
        <v>411616</v>
      </c>
      <c r="J36026">
        <v>6</v>
      </c>
    </row>
    <row r="36027" spans="1:10" x14ac:dyDescent="0.25">
      <c r="A36027" t="s">
        <v>391</v>
      </c>
      <c r="B36027" s="1" t="str">
        <f>HYPERLINK("http://defjam.com","defjam.com")</f>
        <v>defjam.com</v>
      </c>
      <c r="C36027" t="s">
        <v>433</v>
      </c>
      <c r="E36027">
        <v>168016</v>
      </c>
      <c r="F36027">
        <v>4.9365671613206296E-7</v>
      </c>
      <c r="G36027">
        <v>77307</v>
      </c>
      <c r="H36027">
        <v>17363998</v>
      </c>
      <c r="I36027">
        <v>21898</v>
      </c>
      <c r="J36027">
        <v>4</v>
      </c>
    </row>
    <row r="36028" spans="1:10" x14ac:dyDescent="0.25">
      <c r="A36028" t="s">
        <v>391</v>
      </c>
      <c r="B36028" s="1" t="str">
        <f>HYPERLINK("http://deutschegrammophon.com","deutschegrammophon.com")</f>
        <v>deutschegrammophon.com</v>
      </c>
      <c r="C36028" t="s">
        <v>433</v>
      </c>
      <c r="E36028">
        <v>88339</v>
      </c>
      <c r="F36028">
        <v>7.95170715291757E-7</v>
      </c>
      <c r="G36028">
        <v>49469</v>
      </c>
      <c r="H36028">
        <v>17388848</v>
      </c>
      <c r="I36028">
        <v>20004</v>
      </c>
      <c r="J36028">
        <v>5</v>
      </c>
    </row>
    <row r="36029" spans="1:10" x14ac:dyDescent="0.25">
      <c r="A36029" t="s">
        <v>391</v>
      </c>
      <c r="B36029" s="1" t="str">
        <f>HYPERLINK("http://dev-umg-uk-wp.com","dev-umg-uk-wp.com")</f>
        <v>dev-umg-uk-wp.com</v>
      </c>
      <c r="C36029" t="s">
        <v>433</v>
      </c>
      <c r="J36029">
        <v>7</v>
      </c>
    </row>
    <row r="36030" spans="1:10" x14ac:dyDescent="0.25">
      <c r="A36030" t="s">
        <v>391</v>
      </c>
      <c r="B36030" s="1" t="str">
        <f>HYPERLINK("http://dreamerinc.com","dreamerinc.com")</f>
        <v>dreamerinc.com</v>
      </c>
      <c r="C36030" t="s">
        <v>433</v>
      </c>
      <c r="F36030">
        <v>5.1606562463700199E-9</v>
      </c>
      <c r="G36030">
        <v>25890287</v>
      </c>
      <c r="H36030">
        <v>9121023</v>
      </c>
      <c r="I36030">
        <v>68795125</v>
      </c>
      <c r="J36030">
        <v>7</v>
      </c>
    </row>
    <row r="36031" spans="1:10" x14ac:dyDescent="0.25">
      <c r="A36031" t="s">
        <v>391</v>
      </c>
      <c r="B36031" s="1" t="str">
        <f>HYPERLINK("http://dreamville.com","dreamville.com")</f>
        <v>dreamville.com</v>
      </c>
      <c r="C36031" t="s">
        <v>433</v>
      </c>
      <c r="E36031">
        <v>479288</v>
      </c>
      <c r="F36031">
        <v>1.51566069084312E-7</v>
      </c>
      <c r="G36031">
        <v>256258</v>
      </c>
      <c r="H36031">
        <v>14771887</v>
      </c>
      <c r="I36031">
        <v>557190</v>
      </c>
      <c r="J36031">
        <v>6</v>
      </c>
    </row>
    <row r="36032" spans="1:10" x14ac:dyDescent="0.25">
      <c r="A36032" t="s">
        <v>391</v>
      </c>
      <c r="B36032" s="1" t="str">
        <f>HYPERLINK("http://dtprecords.com","dtprecords.com")</f>
        <v>dtprecords.com</v>
      </c>
      <c r="C36032" t="s">
        <v>433</v>
      </c>
      <c r="F36032">
        <v>8.8327106652743797E-9</v>
      </c>
      <c r="G36032">
        <v>8251889</v>
      </c>
      <c r="H36032">
        <v>14388760</v>
      </c>
      <c r="I36032">
        <v>1172246</v>
      </c>
      <c r="J36032">
        <v>6</v>
      </c>
    </row>
    <row r="36033" spans="1:10" x14ac:dyDescent="0.25">
      <c r="A36033" t="s">
        <v>391</v>
      </c>
      <c r="B36033" s="1" t="str">
        <f>HYPERLINK("http://eagle-rock.com","eagle-rock.com")</f>
        <v>eagle-rock.com</v>
      </c>
      <c r="C36033" t="s">
        <v>433</v>
      </c>
      <c r="E36033">
        <v>689131</v>
      </c>
      <c r="F36033">
        <v>1.1961196582217301E-7</v>
      </c>
      <c r="G36033">
        <v>330555</v>
      </c>
      <c r="H36033">
        <v>14869399</v>
      </c>
      <c r="I36033">
        <v>479374</v>
      </c>
      <c r="J36033">
        <v>5</v>
      </c>
    </row>
    <row r="36034" spans="1:10" x14ac:dyDescent="0.25">
      <c r="A36034" t="s">
        <v>391</v>
      </c>
      <c r="B36034" s="1" t="str">
        <f>HYPERLINK("http://eaglerockent.com","eaglerockent.com")</f>
        <v>eaglerockent.com</v>
      </c>
      <c r="C36034" t="s">
        <v>433</v>
      </c>
      <c r="F36034">
        <v>2.1124575602030499E-8</v>
      </c>
      <c r="G36034">
        <v>2499442</v>
      </c>
      <c r="H36034">
        <v>14847932</v>
      </c>
      <c r="I36034">
        <v>492400</v>
      </c>
      <c r="J36034">
        <v>5</v>
      </c>
    </row>
    <row r="36035" spans="1:10" x14ac:dyDescent="0.25">
      <c r="A36035" t="s">
        <v>391</v>
      </c>
      <c r="B36035" s="1" t="str">
        <f>HYPERLINK("http://emarcy.com","emarcy.com")</f>
        <v>emarcy.com</v>
      </c>
      <c r="C36035" t="s">
        <v>433</v>
      </c>
      <c r="F36035">
        <v>8.2430550351922394E-9</v>
      </c>
      <c r="G36035">
        <v>9395937</v>
      </c>
      <c r="H36035">
        <v>14493074</v>
      </c>
      <c r="I36035">
        <v>890320</v>
      </c>
      <c r="J36035">
        <v>5</v>
      </c>
    </row>
    <row r="36036" spans="1:10" x14ac:dyDescent="0.25">
      <c r="A36036" t="s">
        <v>391</v>
      </c>
      <c r="B36036" s="1" t="str">
        <f>HYPERLINK("http://farmclub.com","farmclub.com")</f>
        <v>farmclub.com</v>
      </c>
      <c r="C36036" t="s">
        <v>433</v>
      </c>
      <c r="F36036">
        <v>8.3689503997906003E-9</v>
      </c>
      <c r="G36036">
        <v>9106917</v>
      </c>
      <c r="H36036">
        <v>13810817</v>
      </c>
      <c r="I36036">
        <v>6210161</v>
      </c>
      <c r="J36036">
        <v>5</v>
      </c>
    </row>
    <row r="36037" spans="1:10" x14ac:dyDescent="0.25">
      <c r="A36037" t="s">
        <v>391</v>
      </c>
      <c r="B36037" s="1" t="str">
        <f>HYPERLINK("http://fascinationmanagement.com","fascinationmanagement.com")</f>
        <v>fascinationmanagement.com</v>
      </c>
      <c r="C36037" t="s">
        <v>433</v>
      </c>
      <c r="F36037">
        <v>6.4727005785430102E-9</v>
      </c>
      <c r="G36037">
        <v>14193364</v>
      </c>
      <c r="H36037">
        <v>14077959</v>
      </c>
      <c r="I36037">
        <v>2855187</v>
      </c>
      <c r="J36037">
        <v>6</v>
      </c>
    </row>
    <row r="36038" spans="1:10" x14ac:dyDescent="0.25">
      <c r="A36038" t="s">
        <v>391</v>
      </c>
      <c r="B36038" s="1" t="str">
        <f>HYPERLINK("http://fascinationrecords.com","fascinationrecords.com")</f>
        <v>fascinationrecords.com</v>
      </c>
      <c r="C36038" t="s">
        <v>433</v>
      </c>
      <c r="F36038">
        <v>5.8907310113107402E-9</v>
      </c>
      <c r="G36038">
        <v>17423320</v>
      </c>
      <c r="H36038">
        <v>14075059</v>
      </c>
      <c r="I36038">
        <v>2919723</v>
      </c>
      <c r="J36038">
        <v>6</v>
      </c>
    </row>
    <row r="36039" spans="1:10" x14ac:dyDescent="0.25">
      <c r="A36039" t="s">
        <v>391</v>
      </c>
      <c r="B36039" s="1" t="str">
        <f>HYPERLINK("http://feelthefusion.com","feelthefusion.com")</f>
        <v>feelthefusion.com</v>
      </c>
      <c r="C36039" t="s">
        <v>433</v>
      </c>
      <c r="F36039">
        <v>6.3160380244397996E-9</v>
      </c>
      <c r="G36039">
        <v>14955572</v>
      </c>
      <c r="H36039">
        <v>14125471</v>
      </c>
      <c r="I36039">
        <v>2118990</v>
      </c>
      <c r="J36039">
        <v>5</v>
      </c>
    </row>
    <row r="36040" spans="1:10" x14ac:dyDescent="0.25">
      <c r="A36040" t="s">
        <v>391</v>
      </c>
      <c r="B36040" s="1" t="str">
        <f>HYPERLINK("http://flawless-records.com","flawless-records.com")</f>
        <v>flawless-records.com</v>
      </c>
      <c r="C36040" t="s">
        <v>433</v>
      </c>
      <c r="F36040">
        <v>4.9569045614292202E-9</v>
      </c>
      <c r="G36040">
        <v>30595543</v>
      </c>
      <c r="H36040">
        <v>14071791</v>
      </c>
      <c r="I36040">
        <v>3424541</v>
      </c>
      <c r="J36040">
        <v>6</v>
      </c>
    </row>
    <row r="36041" spans="1:10" x14ac:dyDescent="0.25">
      <c r="A36041" t="s">
        <v>391</v>
      </c>
      <c r="B36041" s="1" t="str">
        <f>HYPERLINK("http://fonovisa.com","fonovisa.com")</f>
        <v>fonovisa.com</v>
      </c>
      <c r="C36041" t="s">
        <v>433</v>
      </c>
      <c r="F36041">
        <v>5.6379620855842099E-9</v>
      </c>
      <c r="G36041">
        <v>19503108</v>
      </c>
      <c r="H36041">
        <v>14375075</v>
      </c>
      <c r="I36041">
        <v>1230008</v>
      </c>
      <c r="J36041">
        <v>6</v>
      </c>
    </row>
    <row r="36042" spans="1:10" x14ac:dyDescent="0.25">
      <c r="A36042" t="s">
        <v>391</v>
      </c>
      <c r="B36042" s="1" t="str">
        <f>HYPERLINK("http://fontanadistribution.com","fontanadistribution.com")</f>
        <v>fontanadistribution.com</v>
      </c>
      <c r="C36042" t="s">
        <v>433</v>
      </c>
      <c r="F36042">
        <v>8.1719091021959605E-9</v>
      </c>
      <c r="G36042">
        <v>9618783</v>
      </c>
      <c r="H36042">
        <v>14093574</v>
      </c>
      <c r="I36042">
        <v>2735102</v>
      </c>
      <c r="J36042">
        <v>6</v>
      </c>
    </row>
    <row r="36043" spans="1:10" x14ac:dyDescent="0.25">
      <c r="A36043" t="s">
        <v>391</v>
      </c>
      <c r="B36043" s="1" t="str">
        <f>HYPERLINK("http://g-unit.com","g-unit.com")</f>
        <v>g-unit.com</v>
      </c>
      <c r="C36043" t="s">
        <v>433</v>
      </c>
      <c r="F36043">
        <v>5.3119104039303299E-9</v>
      </c>
      <c r="G36043">
        <v>23320847</v>
      </c>
      <c r="H36043">
        <v>14374497</v>
      </c>
      <c r="I36043">
        <v>1238985</v>
      </c>
      <c r="J36043">
        <v>5</v>
      </c>
    </row>
    <row r="36044" spans="1:10" x14ac:dyDescent="0.25">
      <c r="A36044" t="s">
        <v>391</v>
      </c>
      <c r="B36044" s="1" t="str">
        <f>HYPERLINK("http://geffen.com","geffen.com")</f>
        <v>geffen.com</v>
      </c>
      <c r="C36044" t="s">
        <v>433</v>
      </c>
      <c r="E36044">
        <v>580084</v>
      </c>
      <c r="F36044">
        <v>3.6855065274524297E-8</v>
      </c>
      <c r="G36044">
        <v>1418797</v>
      </c>
      <c r="H36044">
        <v>14607135</v>
      </c>
      <c r="I36044">
        <v>680812</v>
      </c>
      <c r="J36044">
        <v>5</v>
      </c>
    </row>
    <row r="36045" spans="1:10" x14ac:dyDescent="0.25">
      <c r="A36045" t="s">
        <v>391</v>
      </c>
      <c r="B36045" s="1" t="str">
        <f>HYPERLINK("http://goldstarmusic.com","goldstarmusic.com")</f>
        <v>goldstarmusic.com</v>
      </c>
      <c r="C36045" t="s">
        <v>433</v>
      </c>
      <c r="J36045">
        <v>5</v>
      </c>
    </row>
    <row r="36046" spans="1:10" x14ac:dyDescent="0.25">
      <c r="A36046" t="s">
        <v>391</v>
      </c>
      <c r="B36046" s="1" t="str">
        <f>HYPERLINK("http://good-music.com","good-music.com")</f>
        <v>good-music.com</v>
      </c>
      <c r="C36046" t="s">
        <v>433</v>
      </c>
      <c r="F36046">
        <v>2.1413918639268801E-8</v>
      </c>
      <c r="G36046">
        <v>2459907</v>
      </c>
      <c r="H36046">
        <v>14492657</v>
      </c>
      <c r="I36046">
        <v>893303</v>
      </c>
      <c r="J36046">
        <v>6</v>
      </c>
    </row>
    <row r="36047" spans="1:10" x14ac:dyDescent="0.25">
      <c r="A36047" t="s">
        <v>391</v>
      </c>
      <c r="B36047" s="1" t="str">
        <f>HYPERLINK("http://harmoniamundi.com","harmoniamundi.com")</f>
        <v>harmoniamundi.com</v>
      </c>
      <c r="C36047" t="s">
        <v>433</v>
      </c>
      <c r="E36047">
        <v>307057</v>
      </c>
      <c r="F36047">
        <v>2.7678955245182802E-7</v>
      </c>
      <c r="G36047">
        <v>134388</v>
      </c>
      <c r="H36047">
        <v>17176634</v>
      </c>
      <c r="I36047">
        <v>46230</v>
      </c>
      <c r="J36047">
        <v>8</v>
      </c>
    </row>
    <row r="36048" spans="1:10" x14ac:dyDescent="0.25">
      <c r="A36048" t="s">
        <v>391</v>
      </c>
      <c r="B36048" s="1" t="str">
        <f>HYPERLINK("http://harvestrecords.com","harvestrecords.com")</f>
        <v>harvestrecords.com</v>
      </c>
      <c r="C36048" t="s">
        <v>433</v>
      </c>
      <c r="F36048">
        <v>2.3270962468789701E-8</v>
      </c>
      <c r="G36048">
        <v>2242122</v>
      </c>
      <c r="H36048">
        <v>14493915</v>
      </c>
      <c r="I36048">
        <v>884936</v>
      </c>
      <c r="J36048">
        <v>5</v>
      </c>
    </row>
    <row r="36049" spans="1:10" x14ac:dyDescent="0.25">
      <c r="A36049" t="s">
        <v>391</v>
      </c>
      <c r="B36049" s="1" t="str">
        <f>HYPERLINK("http://hiporecords.com","hiporecords.com")</f>
        <v>hiporecords.com</v>
      </c>
      <c r="C36049" t="s">
        <v>433</v>
      </c>
      <c r="F36049">
        <v>4.4529581395434801E-9</v>
      </c>
      <c r="G36049">
        <v>70365864</v>
      </c>
      <c r="H36049">
        <v>10686196</v>
      </c>
      <c r="I36049">
        <v>42585307</v>
      </c>
      <c r="J36049">
        <v>5</v>
      </c>
    </row>
    <row r="36050" spans="1:10" x14ac:dyDescent="0.25">
      <c r="A36050" t="s">
        <v>391</v>
      </c>
      <c r="B36050" s="1" t="str">
        <f>HYPERLINK("http://ilhamofficial.com","ilhamofficial.com")</f>
        <v>ilhamofficial.com</v>
      </c>
      <c r="C36050" t="s">
        <v>433</v>
      </c>
      <c r="J36050">
        <v>4</v>
      </c>
    </row>
    <row r="36051" spans="1:10" x14ac:dyDescent="0.25">
      <c r="A36051" t="s">
        <v>391</v>
      </c>
      <c r="B36051" s="1" t="str">
        <f>HYPERLINK("http://ilovethatsong.com","ilovethatsong.com")</f>
        <v>ilovethatsong.com</v>
      </c>
      <c r="C36051" t="s">
        <v>433</v>
      </c>
      <c r="F36051">
        <v>7.9979558519246804E-9</v>
      </c>
      <c r="G36051">
        <v>9924288</v>
      </c>
      <c r="H36051">
        <v>14491568</v>
      </c>
      <c r="I36051">
        <v>901937</v>
      </c>
      <c r="J36051">
        <v>5</v>
      </c>
    </row>
    <row r="36052" spans="1:10" x14ac:dyDescent="0.25">
      <c r="A36052" t="s">
        <v>391</v>
      </c>
      <c r="B36052" s="1" t="str">
        <f>HYPERLINK("http://imperialrecords.com","imperialrecords.com")</f>
        <v>imperialrecords.com</v>
      </c>
      <c r="C36052" t="s">
        <v>433</v>
      </c>
      <c r="F36052">
        <v>5.1658084046963203E-9</v>
      </c>
      <c r="G36052">
        <v>25797290</v>
      </c>
      <c r="H36052">
        <v>14071793</v>
      </c>
      <c r="I36052">
        <v>3361032</v>
      </c>
      <c r="J36052">
        <v>5</v>
      </c>
    </row>
    <row r="36053" spans="1:10" x14ac:dyDescent="0.25">
      <c r="A36053" t="s">
        <v>391</v>
      </c>
      <c r="B36053" s="1" t="str">
        <f>HYPERLINK("http://ingrooves.com","ingrooves.com")</f>
        <v>ingrooves.com</v>
      </c>
      <c r="C36053" t="s">
        <v>433</v>
      </c>
      <c r="E36053">
        <v>442889</v>
      </c>
      <c r="F36053">
        <v>3.1488441705236702E-7</v>
      </c>
      <c r="G36053">
        <v>118058</v>
      </c>
      <c r="H36053">
        <v>14877163</v>
      </c>
      <c r="I36053">
        <v>474410</v>
      </c>
      <c r="J36053">
        <v>5</v>
      </c>
    </row>
    <row r="36054" spans="1:10" x14ac:dyDescent="0.25">
      <c r="A36054" t="s">
        <v>391</v>
      </c>
      <c r="B36054" s="1" t="str">
        <f>HYPERLINK("http://interscope.com","interscope.com")</f>
        <v>interscope.com</v>
      </c>
      <c r="C36054" t="s">
        <v>433</v>
      </c>
      <c r="E36054">
        <v>136494</v>
      </c>
      <c r="F36054">
        <v>5.6400486934638597E-7</v>
      </c>
      <c r="G36054">
        <v>67947</v>
      </c>
      <c r="H36054">
        <v>15058967</v>
      </c>
      <c r="I36054">
        <v>412990</v>
      </c>
      <c r="J36054">
        <v>5</v>
      </c>
    </row>
    <row r="36055" spans="1:10" x14ac:dyDescent="0.25">
      <c r="A36055" t="s">
        <v>391</v>
      </c>
      <c r="B36055" s="1" t="str">
        <f>HYPERLINK("http://islandrecords.com","islandrecords.com")</f>
        <v>islandrecords.com</v>
      </c>
      <c r="C36055" t="s">
        <v>433</v>
      </c>
      <c r="E36055">
        <v>250790</v>
      </c>
      <c r="F36055">
        <v>3.2736706603749502E-7</v>
      </c>
      <c r="G36055">
        <v>113766</v>
      </c>
      <c r="H36055">
        <v>15208042</v>
      </c>
      <c r="I36055">
        <v>394836</v>
      </c>
      <c r="J36055">
        <v>5</v>
      </c>
    </row>
    <row r="36056" spans="1:10" x14ac:dyDescent="0.25">
      <c r="A36056" t="s">
        <v>391</v>
      </c>
      <c r="B36056" s="1" t="str">
        <f>HYPERLINK("http://isolationnetwork.com","isolationnetwork.com")</f>
        <v>isolationnetwork.com</v>
      </c>
      <c r="C36056" t="s">
        <v>433</v>
      </c>
      <c r="F36056">
        <v>1.00065920479528E-8</v>
      </c>
      <c r="G36056">
        <v>6749171</v>
      </c>
      <c r="H36056">
        <v>11046454</v>
      </c>
      <c r="I36056">
        <v>32841606</v>
      </c>
      <c r="J36056">
        <v>7</v>
      </c>
    </row>
    <row r="36057" spans="1:10" x14ac:dyDescent="0.25">
      <c r="A36057" t="s">
        <v>391</v>
      </c>
      <c r="B36057" s="1" t="str">
        <f>HYPERLINK("http://jheneaiko.com","jheneaiko.com")</f>
        <v>jheneaiko.com</v>
      </c>
      <c r="C36057" t="s">
        <v>433</v>
      </c>
      <c r="F36057">
        <v>3.5366129431849199E-8</v>
      </c>
      <c r="G36057">
        <v>1471071</v>
      </c>
      <c r="H36057">
        <v>14592112</v>
      </c>
      <c r="I36057">
        <v>693884</v>
      </c>
      <c r="J36057">
        <v>4</v>
      </c>
    </row>
    <row r="36058" spans="1:10" x14ac:dyDescent="0.25">
      <c r="A36058" t="s">
        <v>391</v>
      </c>
      <c r="B36058" s="1" t="str">
        <f>HYPERLINK("http://johnlindahlofficial.com","johnlindahlofficial.com")</f>
        <v>johnlindahlofficial.com</v>
      </c>
      <c r="C36058" t="s">
        <v>433</v>
      </c>
      <c r="F36058">
        <v>5.0367363121437503E-9</v>
      </c>
      <c r="G36058">
        <v>28516275</v>
      </c>
      <c r="H36058">
        <v>12567105</v>
      </c>
      <c r="I36058">
        <v>16650515</v>
      </c>
      <c r="J36058">
        <v>4</v>
      </c>
    </row>
    <row r="36059" spans="1:10" x14ac:dyDescent="0.25">
      <c r="A36059" t="s">
        <v>391</v>
      </c>
      <c r="B36059" s="1" t="str">
        <f>HYPERLINK("http://justinbiebermusic.com","justinbiebermusic.com")</f>
        <v>justinbiebermusic.com</v>
      </c>
      <c r="C36059" t="s">
        <v>433</v>
      </c>
      <c r="E36059">
        <v>77189</v>
      </c>
      <c r="F36059">
        <v>1.65441428543535E-6</v>
      </c>
      <c r="G36059">
        <v>23920</v>
      </c>
      <c r="H36059">
        <v>17768692</v>
      </c>
      <c r="I36059">
        <v>6042</v>
      </c>
      <c r="J36059">
        <v>4</v>
      </c>
    </row>
    <row r="36060" spans="1:10" x14ac:dyDescent="0.25">
      <c r="A36060" t="s">
        <v>391</v>
      </c>
      <c r="B36060" s="1" t="str">
        <f>HYPERLINK("http://kidinakorner.com","kidinakorner.com")</f>
        <v>kidinakorner.com</v>
      </c>
      <c r="C36060" t="s">
        <v>433</v>
      </c>
      <c r="F36060">
        <v>1.3507128416212801E-8</v>
      </c>
      <c r="G36060">
        <v>4400823</v>
      </c>
      <c r="H36060">
        <v>13968768</v>
      </c>
      <c r="I36060">
        <v>4080084</v>
      </c>
      <c r="J36060">
        <v>5</v>
      </c>
    </row>
    <row r="36061" spans="1:10" x14ac:dyDescent="0.25">
      <c r="A36061" t="s">
        <v>391</v>
      </c>
      <c r="B36061" s="1" t="str">
        <f>HYPERLINK("http://lavarecords.com","lavarecords.com")</f>
        <v>lavarecords.com</v>
      </c>
      <c r="C36061" t="s">
        <v>433</v>
      </c>
      <c r="F36061">
        <v>2.2455553868715901E-8</v>
      </c>
      <c r="G36061">
        <v>2333555</v>
      </c>
      <c r="H36061">
        <v>14161572</v>
      </c>
      <c r="I36061">
        <v>1835052</v>
      </c>
      <c r="J36061">
        <v>5</v>
      </c>
    </row>
    <row r="36062" spans="1:10" x14ac:dyDescent="0.25">
      <c r="A36062" t="s">
        <v>391</v>
      </c>
      <c r="B36062" s="1" t="str">
        <f>HYPERLINK("http://lildurk2x.com","lildurk2x.com")</f>
        <v>lildurk2x.com</v>
      </c>
      <c r="C36062" t="s">
        <v>433</v>
      </c>
      <c r="F36062">
        <v>4.4665810312404503E-9</v>
      </c>
      <c r="G36062">
        <v>65747352</v>
      </c>
      <c r="H36062">
        <v>10947229</v>
      </c>
      <c r="I36062">
        <v>34649428</v>
      </c>
      <c r="J36062">
        <v>4</v>
      </c>
    </row>
    <row r="36063" spans="1:10" x14ac:dyDescent="0.25">
      <c r="A36063" t="s">
        <v>391</v>
      </c>
      <c r="B36063" s="1" t="str">
        <f>HYPERLINK("http://listentobanners.com","listentobanners.com")</f>
        <v>listentobanners.com</v>
      </c>
      <c r="C36063" t="s">
        <v>433</v>
      </c>
      <c r="F36063">
        <v>1.11258908453491E-8</v>
      </c>
      <c r="G36063">
        <v>5766564</v>
      </c>
      <c r="H36063">
        <v>13952126</v>
      </c>
      <c r="I36063">
        <v>4159048</v>
      </c>
      <c r="J36063">
        <v>4</v>
      </c>
    </row>
    <row r="36064" spans="1:10" x14ac:dyDescent="0.25">
      <c r="A36064" t="s">
        <v>391</v>
      </c>
      <c r="B36064" s="1" t="str">
        <f>HYPERLINK("http://majofficial.com","majofficial.com")</f>
        <v>majofficial.com</v>
      </c>
      <c r="C36064" t="s">
        <v>433</v>
      </c>
      <c r="J36064">
        <v>4</v>
      </c>
    </row>
    <row r="36065" spans="1:10" x14ac:dyDescent="0.25">
      <c r="A36065" t="s">
        <v>391</v>
      </c>
      <c r="B36065" s="1" t="str">
        <f>HYPERLINK("http://massappealrecords.com","massappealrecords.com")</f>
        <v>massappealrecords.com</v>
      </c>
      <c r="C36065" t="s">
        <v>433</v>
      </c>
      <c r="F36065">
        <v>2.1376204604331301E-8</v>
      </c>
      <c r="G36065">
        <v>2464614</v>
      </c>
      <c r="H36065">
        <v>14388482</v>
      </c>
      <c r="I36065">
        <v>1172915</v>
      </c>
      <c r="J36065">
        <v>5</v>
      </c>
    </row>
    <row r="36066" spans="1:10" x14ac:dyDescent="0.25">
      <c r="A36066" t="s">
        <v>391</v>
      </c>
      <c r="B36066" s="1" t="str">
        <f>HYPERLINK("http://mercuryrecords.com","mercuryrecords.com")</f>
        <v>mercuryrecords.com</v>
      </c>
      <c r="C36066" t="s">
        <v>433</v>
      </c>
      <c r="F36066">
        <v>2.3252225996012001E-8</v>
      </c>
      <c r="G36066">
        <v>2244036</v>
      </c>
      <c r="H36066">
        <v>14824111</v>
      </c>
      <c r="I36066">
        <v>512698</v>
      </c>
      <c r="J36066">
        <v>5</v>
      </c>
    </row>
    <row r="36067" spans="1:10" x14ac:dyDescent="0.25">
      <c r="A36067" t="s">
        <v>391</v>
      </c>
      <c r="B36067" s="1" t="str">
        <f>HYPERLINK("http://metamorphosismusic.com","metamorphosismusic.com")</f>
        <v>metamorphosismusic.com</v>
      </c>
      <c r="C36067" t="s">
        <v>433</v>
      </c>
      <c r="J36067">
        <v>6</v>
      </c>
    </row>
    <row r="36068" spans="1:10" x14ac:dyDescent="0.25">
      <c r="A36068" t="s">
        <v>391</v>
      </c>
      <c r="B36068" s="1" t="str">
        <f>HYPERLINK("http://motownrecords.com","motownrecords.com")</f>
        <v>motownrecords.com</v>
      </c>
      <c r="C36068" t="s">
        <v>433</v>
      </c>
      <c r="E36068">
        <v>554121</v>
      </c>
      <c r="F36068">
        <v>1.50969408697174E-7</v>
      </c>
      <c r="G36068">
        <v>257325</v>
      </c>
      <c r="H36068">
        <v>14876399</v>
      </c>
      <c r="I36068">
        <v>474909</v>
      </c>
      <c r="J36068">
        <v>5</v>
      </c>
    </row>
    <row r="36069" spans="1:10" x14ac:dyDescent="0.25">
      <c r="A36069" t="s">
        <v>391</v>
      </c>
      <c r="B36069" s="1" t="str">
        <f>HYPERLINK("http://ohnotienda.com","ohnotienda.com")</f>
        <v>ohnotienda.com</v>
      </c>
      <c r="C36069" t="s">
        <v>433</v>
      </c>
      <c r="J36069">
        <v>4</v>
      </c>
    </row>
    <row r="36070" spans="1:10" x14ac:dyDescent="0.25">
      <c r="A36070" t="s">
        <v>391</v>
      </c>
      <c r="B36070" s="1" t="str">
        <f>HYPERLINK("http://orfanatomusicgroup.com","orfanatomusicgroup.com")</f>
        <v>orfanatomusicgroup.com</v>
      </c>
      <c r="C36070" t="s">
        <v>433</v>
      </c>
      <c r="F36070">
        <v>4.6505878380278402E-9</v>
      </c>
      <c r="G36070">
        <v>44111350</v>
      </c>
      <c r="H36070">
        <v>12282534</v>
      </c>
      <c r="I36070">
        <v>21257603</v>
      </c>
      <c r="J36070">
        <v>5</v>
      </c>
    </row>
    <row r="36071" spans="1:10" x14ac:dyDescent="0.25">
      <c r="A36071" t="s">
        <v>391</v>
      </c>
      <c r="B36071" s="1" t="str">
        <f>HYPERLINK("http://pias.com","pias.com")</f>
        <v>pias.com</v>
      </c>
      <c r="C36071" t="s">
        <v>433</v>
      </c>
      <c r="E36071">
        <v>284409</v>
      </c>
      <c r="F36071">
        <v>2.8489639416776098E-7</v>
      </c>
      <c r="G36071">
        <v>130495</v>
      </c>
      <c r="H36071">
        <v>17206022</v>
      </c>
      <c r="I36071">
        <v>40704</v>
      </c>
      <c r="J36071">
        <v>6</v>
      </c>
    </row>
    <row r="36072" spans="1:10" x14ac:dyDescent="0.25">
      <c r="A36072" t="s">
        <v>391</v>
      </c>
      <c r="B36072" s="1" t="str">
        <f>HYPERLINK("http://priorityrecords.com","priorityrecords.com")</f>
        <v>priorityrecords.com</v>
      </c>
      <c r="C36072" t="s">
        <v>433</v>
      </c>
      <c r="F36072">
        <v>1.2185661437263699E-8</v>
      </c>
      <c r="G36072">
        <v>5058876</v>
      </c>
      <c r="H36072">
        <v>14497748</v>
      </c>
      <c r="I36072">
        <v>864680</v>
      </c>
      <c r="J36072">
        <v>5</v>
      </c>
    </row>
    <row r="36073" spans="1:10" x14ac:dyDescent="0.25">
      <c r="A36073" t="s">
        <v>391</v>
      </c>
      <c r="B36073" s="1" t="str">
        <f>HYPERLINK("http://puregroovemusic.com","puregroovemusic.com")</f>
        <v>puregroovemusic.com</v>
      </c>
      <c r="C36073" t="s">
        <v>433</v>
      </c>
      <c r="F36073">
        <v>4.6080315058655699E-9</v>
      </c>
      <c r="G36073">
        <v>46997147</v>
      </c>
      <c r="H36073">
        <v>1.0003663</v>
      </c>
      <c r="I36073">
        <v>78982384</v>
      </c>
      <c r="J36073">
        <v>9</v>
      </c>
    </row>
    <row r="36074" spans="1:10" x14ac:dyDescent="0.25">
      <c r="A36074" t="s">
        <v>391</v>
      </c>
      <c r="B36074" s="1" t="str">
        <f>HYPERLINK("http://qualitycontrolmusic.com","qualitycontrolmusic.com")</f>
        <v>qualitycontrolmusic.com</v>
      </c>
      <c r="C36074" t="s">
        <v>433</v>
      </c>
      <c r="F36074">
        <v>2.29760321534085E-8</v>
      </c>
      <c r="G36074">
        <v>2274465</v>
      </c>
      <c r="H36074">
        <v>14439385</v>
      </c>
      <c r="I36074">
        <v>1065222</v>
      </c>
      <c r="J36074">
        <v>5</v>
      </c>
    </row>
    <row r="36075" spans="1:10" x14ac:dyDescent="0.25">
      <c r="A36075" t="s">
        <v>391</v>
      </c>
      <c r="B36075" s="1" t="str">
        <f>HYPERLINK("http://republicrecords.com","republicrecords.com")</f>
        <v>republicrecords.com</v>
      </c>
      <c r="C36075" t="s">
        <v>433</v>
      </c>
      <c r="E36075">
        <v>399914</v>
      </c>
      <c r="F36075">
        <v>1.6169847585516499E-7</v>
      </c>
      <c r="G36075">
        <v>240073</v>
      </c>
      <c r="H36075">
        <v>14900839</v>
      </c>
      <c r="I36075">
        <v>462567</v>
      </c>
      <c r="J36075">
        <v>5</v>
      </c>
    </row>
    <row r="36076" spans="1:10" x14ac:dyDescent="0.25">
      <c r="A36076" t="s">
        <v>391</v>
      </c>
      <c r="B36076" s="1" t="str">
        <f>HYPERLINK("http://rostermusic.com","rostermusic.com")</f>
        <v>rostermusic.com</v>
      </c>
      <c r="C36076" t="s">
        <v>433</v>
      </c>
      <c r="F36076">
        <v>8.2349401573906707E-9</v>
      </c>
      <c r="G36076">
        <v>9418873</v>
      </c>
      <c r="H36076">
        <v>14072063</v>
      </c>
      <c r="I36076">
        <v>3175516</v>
      </c>
      <c r="J36076">
        <v>5</v>
      </c>
    </row>
    <row r="36077" spans="1:10" x14ac:dyDescent="0.25">
      <c r="A36077" t="s">
        <v>391</v>
      </c>
      <c r="B36077" s="1" t="str">
        <f>HYPERLINK("http://shadyrecords.com","shadyrecords.com")</f>
        <v>shadyrecords.com</v>
      </c>
      <c r="C36077" t="s">
        <v>433</v>
      </c>
      <c r="E36077">
        <v>669651</v>
      </c>
      <c r="F36077">
        <v>8.50717827388981E-8</v>
      </c>
      <c r="G36077">
        <v>484897</v>
      </c>
      <c r="H36077">
        <v>14945712</v>
      </c>
      <c r="I36077">
        <v>441921</v>
      </c>
      <c r="J36077">
        <v>5</v>
      </c>
    </row>
    <row r="36078" spans="1:10" x14ac:dyDescent="0.25">
      <c r="A36078" t="s">
        <v>391</v>
      </c>
      <c r="B36078" s="1" t="str">
        <f>HYPERLINK("http://snoop-dogg.com","snoop-dogg.com")</f>
        <v>snoop-dogg.com</v>
      </c>
      <c r="C36078" t="s">
        <v>433</v>
      </c>
      <c r="F36078">
        <v>9.9181246392886901E-9</v>
      </c>
      <c r="G36078">
        <v>6839936</v>
      </c>
      <c r="H36078">
        <v>14251280</v>
      </c>
      <c r="I36078">
        <v>1444571</v>
      </c>
      <c r="J36078">
        <v>5</v>
      </c>
    </row>
    <row r="36079" spans="1:10" x14ac:dyDescent="0.25">
      <c r="A36079" t="s">
        <v>391</v>
      </c>
      <c r="B36079" s="1" t="str">
        <f>HYPERLINK("http://snoopdoggalgorithm.com","snoopdoggalgorithm.com")</f>
        <v>snoopdoggalgorithm.com</v>
      </c>
      <c r="C36079" t="s">
        <v>433</v>
      </c>
      <c r="F36079">
        <v>8.3131220387408805E-9</v>
      </c>
      <c r="G36079">
        <v>9227277</v>
      </c>
      <c r="H36079">
        <v>12758394</v>
      </c>
      <c r="I36079">
        <v>14964866</v>
      </c>
      <c r="J36079">
        <v>4</v>
      </c>
    </row>
    <row r="36080" spans="1:10" x14ac:dyDescent="0.25">
      <c r="A36080" t="s">
        <v>391</v>
      </c>
      <c r="B36080" s="1" t="str">
        <f>HYPERLINK("http://sparrowrecords.com","sparrowrecords.com")</f>
        <v>sparrowrecords.com</v>
      </c>
      <c r="C36080" t="s">
        <v>433</v>
      </c>
      <c r="F36080">
        <v>9.58426576825215E-9</v>
      </c>
      <c r="G36080">
        <v>7223035</v>
      </c>
      <c r="H36080">
        <v>14202434</v>
      </c>
      <c r="I36080">
        <v>1718334</v>
      </c>
      <c r="J36080">
        <v>5</v>
      </c>
    </row>
    <row r="36081" spans="1:10" x14ac:dyDescent="0.25">
      <c r="A36081" t="s">
        <v>391</v>
      </c>
      <c r="B36081" s="1" t="str">
        <f>HYPERLINK("http://spinefarmrecords.com","spinefarmrecords.com")</f>
        <v>spinefarmrecords.com</v>
      </c>
      <c r="C36081" t="s">
        <v>433</v>
      </c>
      <c r="F36081">
        <v>3.2388520564650002E-8</v>
      </c>
      <c r="G36081">
        <v>1595216</v>
      </c>
      <c r="H36081">
        <v>14506038</v>
      </c>
      <c r="I36081">
        <v>834595</v>
      </c>
      <c r="J36081">
        <v>5</v>
      </c>
    </row>
    <row r="36082" spans="1:10" x14ac:dyDescent="0.25">
      <c r="A36082" t="s">
        <v>391</v>
      </c>
      <c r="B36082" s="1" t="str">
        <f>HYPERLINK("http://spinnup.com","spinnup.com")</f>
        <v>spinnup.com</v>
      </c>
      <c r="C36082" t="s">
        <v>433</v>
      </c>
      <c r="E36082">
        <v>390423</v>
      </c>
      <c r="F36082">
        <v>2.8381090322503499E-7</v>
      </c>
      <c r="G36082">
        <v>130956</v>
      </c>
      <c r="H36082">
        <v>14681761</v>
      </c>
      <c r="I36082">
        <v>607848</v>
      </c>
      <c r="J36082">
        <v>5</v>
      </c>
    </row>
    <row r="36083" spans="1:10" x14ac:dyDescent="0.25">
      <c r="A36083" t="s">
        <v>391</v>
      </c>
      <c r="B36083" s="1" t="str">
        <f>HYPERLINK("http://stage-umg-uk-wp.com","stage-umg-uk-wp.com")</f>
        <v>stage-umg-uk-wp.com</v>
      </c>
      <c r="C36083" t="s">
        <v>433</v>
      </c>
      <c r="F36083">
        <v>2.09246468225011E-8</v>
      </c>
      <c r="G36083">
        <v>2526071</v>
      </c>
      <c r="H36083">
        <v>13565123</v>
      </c>
      <c r="I36083">
        <v>9821538</v>
      </c>
      <c r="J36083">
        <v>7</v>
      </c>
    </row>
    <row r="36084" spans="1:10" x14ac:dyDescent="0.25">
      <c r="A36084" t="s">
        <v>391</v>
      </c>
      <c r="B36084" s="1" t="str">
        <f>HYPERLINK("http://startrakmusic.com","startrakmusic.com")</f>
        <v>startrakmusic.com</v>
      </c>
      <c r="C36084" t="s">
        <v>433</v>
      </c>
      <c r="F36084">
        <v>1.2418586360137199E-8</v>
      </c>
      <c r="G36084">
        <v>4929369</v>
      </c>
      <c r="H36084">
        <v>14500246</v>
      </c>
      <c r="I36084">
        <v>854063</v>
      </c>
      <c r="J36084">
        <v>6</v>
      </c>
    </row>
    <row r="36085" spans="1:10" x14ac:dyDescent="0.25">
      <c r="A36085" t="s">
        <v>391</v>
      </c>
      <c r="B36085" s="1" t="str">
        <f>HYPERLINK("http://tennmanrecords.com","tennmanrecords.com")</f>
        <v>tennmanrecords.com</v>
      </c>
      <c r="C36085" t="s">
        <v>433</v>
      </c>
      <c r="F36085">
        <v>6.2410876093902404E-9</v>
      </c>
      <c r="G36085">
        <v>15319720</v>
      </c>
      <c r="H36085">
        <v>14239629</v>
      </c>
      <c r="I36085">
        <v>1509933</v>
      </c>
      <c r="J36085">
        <v>5</v>
      </c>
    </row>
    <row r="36086" spans="1:10" x14ac:dyDescent="0.25">
      <c r="A36086" t="s">
        <v>391</v>
      </c>
      <c r="B36086" s="1" t="str">
        <f>HYPERLINK("http://the-raft.com","the-raft.com")</f>
        <v>the-raft.com</v>
      </c>
      <c r="C36086" t="s">
        <v>433</v>
      </c>
      <c r="F36086">
        <v>1.7741831249146301E-8</v>
      </c>
      <c r="G36086">
        <v>3087233</v>
      </c>
      <c r="H36086">
        <v>14818563</v>
      </c>
      <c r="I36086">
        <v>519834</v>
      </c>
      <c r="J36086">
        <v>7</v>
      </c>
    </row>
    <row r="36087" spans="1:10" x14ac:dyDescent="0.25">
      <c r="A36087" t="s">
        <v>391</v>
      </c>
      <c r="B36087" s="1" t="str">
        <f>HYPERLINK("http://thefalloffera.com","thefalloffera.com")</f>
        <v>thefalloffera.com</v>
      </c>
      <c r="C36087" t="s">
        <v>433</v>
      </c>
      <c r="F36087">
        <v>4.4783426186423097E-9</v>
      </c>
      <c r="G36087">
        <v>62705259</v>
      </c>
      <c r="H36087">
        <v>11128361</v>
      </c>
      <c r="I36087">
        <v>31964418</v>
      </c>
      <c r="J36087">
        <v>7</v>
      </c>
    </row>
    <row r="36088" spans="1:10" x14ac:dyDescent="0.25">
      <c r="A36088" t="s">
        <v>391</v>
      </c>
      <c r="B36088" s="1" t="str">
        <f>HYPERLINK("http://umeportal.com","umeportal.com")</f>
        <v>umeportal.com</v>
      </c>
      <c r="C36088" t="s">
        <v>433</v>
      </c>
      <c r="F36088">
        <v>7.4970099391646105E-9</v>
      </c>
      <c r="G36088">
        <v>11020023</v>
      </c>
      <c r="H36088">
        <v>14256641</v>
      </c>
      <c r="I36088">
        <v>1429933</v>
      </c>
      <c r="J36088">
        <v>5</v>
      </c>
    </row>
    <row r="36089" spans="1:10" x14ac:dyDescent="0.25">
      <c r="A36089" t="s">
        <v>391</v>
      </c>
      <c r="B36089" s="1" t="str">
        <f>HYPERLINK("http://umg-uk-wp.com","umg-uk-wp.com")</f>
        <v>umg-uk-wp.com</v>
      </c>
      <c r="C36089" t="s">
        <v>433</v>
      </c>
      <c r="F36089">
        <v>1.3331029496864501E-8</v>
      </c>
      <c r="G36089">
        <v>4479923</v>
      </c>
      <c r="H36089">
        <v>13763647</v>
      </c>
      <c r="I36089">
        <v>7901048</v>
      </c>
      <c r="J36089">
        <v>7</v>
      </c>
    </row>
    <row r="36090" spans="1:10" x14ac:dyDescent="0.25">
      <c r="A36090" t="s">
        <v>391</v>
      </c>
      <c r="B36090" s="1" t="str">
        <f>HYPERLINK("http://umgnashville.com","umgnashville.com")</f>
        <v>umgnashville.com</v>
      </c>
      <c r="C36090" t="s">
        <v>433</v>
      </c>
      <c r="E36090">
        <v>584769</v>
      </c>
      <c r="F36090">
        <v>1.15071029848316E-7</v>
      </c>
      <c r="G36090">
        <v>345910</v>
      </c>
      <c r="H36090">
        <v>15052807</v>
      </c>
      <c r="I36090">
        <v>414064</v>
      </c>
      <c r="J36090">
        <v>5</v>
      </c>
    </row>
    <row r="36091" spans="1:10" x14ac:dyDescent="0.25">
      <c r="A36091" t="s">
        <v>391</v>
      </c>
      <c r="B36091" s="1" t="str">
        <f>HYPERLINK("http://umrg.com","umrg.com")</f>
        <v>umrg.com</v>
      </c>
      <c r="C36091" t="s">
        <v>433</v>
      </c>
      <c r="F36091">
        <v>2.8654608001614202E-8</v>
      </c>
      <c r="G36091">
        <v>1795853</v>
      </c>
      <c r="H36091">
        <v>14268969</v>
      </c>
      <c r="I36091">
        <v>1402695</v>
      </c>
      <c r="J36091">
        <v>5</v>
      </c>
    </row>
    <row r="36092" spans="1:10" x14ac:dyDescent="0.25">
      <c r="A36092" t="s">
        <v>391</v>
      </c>
      <c r="B36092" s="1" t="str">
        <f>HYPERLINK("http://umusic.com","umusic.com")</f>
        <v>umusic.com</v>
      </c>
      <c r="C36092" t="s">
        <v>433</v>
      </c>
      <c r="E36092">
        <v>27834</v>
      </c>
      <c r="F36092">
        <v>2.0892822779955602E-6</v>
      </c>
      <c r="G36092">
        <v>17510</v>
      </c>
      <c r="H36092">
        <v>15396768</v>
      </c>
      <c r="I36092">
        <v>380401</v>
      </c>
      <c r="J36092">
        <v>4</v>
      </c>
    </row>
    <row r="36093" spans="1:10" x14ac:dyDescent="0.25">
      <c r="A36093" t="s">
        <v>391</v>
      </c>
      <c r="B36093" s="1" t="str">
        <f>HYPERLINK("http://unitednaxalrecords.com","unitednaxalrecords.com")</f>
        <v>unitednaxalrecords.com</v>
      </c>
      <c r="C36093" t="s">
        <v>433</v>
      </c>
      <c r="F36093">
        <v>4.4877870771434299E-9</v>
      </c>
      <c r="G36093">
        <v>60880678</v>
      </c>
      <c r="H36093">
        <v>10613182</v>
      </c>
      <c r="I36093">
        <v>44487076</v>
      </c>
      <c r="J36093">
        <v>5</v>
      </c>
    </row>
    <row r="36094" spans="1:10" x14ac:dyDescent="0.25">
      <c r="A36094" t="s">
        <v>391</v>
      </c>
      <c r="B36094" s="1" t="str">
        <f>HYPERLINK("http://universalmusic.com","universalmusic.com")</f>
        <v>universalmusic.com</v>
      </c>
      <c r="C36094" t="s">
        <v>433</v>
      </c>
      <c r="E36094">
        <v>35888</v>
      </c>
      <c r="F36094">
        <v>3.0501533204320699E-6</v>
      </c>
      <c r="G36094">
        <v>12848</v>
      </c>
      <c r="H36094">
        <v>15869869</v>
      </c>
      <c r="I36094">
        <v>367396</v>
      </c>
      <c r="J36094">
        <v>2</v>
      </c>
    </row>
    <row r="36095" spans="1:10" x14ac:dyDescent="0.25">
      <c r="A36095" t="s">
        <v>391</v>
      </c>
      <c r="B36095" s="1" t="str">
        <f>HYPERLINK("http://universalmusica.com","universalmusica.com")</f>
        <v>universalmusica.com</v>
      </c>
      <c r="C36095" t="s">
        <v>433</v>
      </c>
      <c r="E36095">
        <v>804110</v>
      </c>
      <c r="F36095">
        <v>6.7351196722172603E-8</v>
      </c>
      <c r="G36095">
        <v>634633</v>
      </c>
      <c r="H36095">
        <v>14893568</v>
      </c>
      <c r="I36095">
        <v>465689</v>
      </c>
      <c r="J36095">
        <v>5</v>
      </c>
    </row>
    <row r="36096" spans="1:10" x14ac:dyDescent="0.25">
      <c r="A36096" t="s">
        <v>391</v>
      </c>
      <c r="B36096" s="1" t="str">
        <f>HYPERLINK("http://universalmusicenterprises.com","universalmusicenterprises.com")</f>
        <v>universalmusicenterprises.com</v>
      </c>
      <c r="C36096" t="s">
        <v>433</v>
      </c>
      <c r="F36096">
        <v>4.22212432490294E-8</v>
      </c>
      <c r="G36096">
        <v>1154510</v>
      </c>
      <c r="H36096">
        <v>14566330</v>
      </c>
      <c r="I36096">
        <v>739740</v>
      </c>
      <c r="J36096">
        <v>5</v>
      </c>
    </row>
    <row r="36097" spans="1:10" x14ac:dyDescent="0.25">
      <c r="A36097" t="s">
        <v>391</v>
      </c>
      <c r="B36097" s="1" t="str">
        <f>HYPERLINK("http://universalproductionmusic.com","universalproductionmusic.com")</f>
        <v>universalproductionmusic.com</v>
      </c>
      <c r="C36097" t="s">
        <v>433</v>
      </c>
      <c r="E36097">
        <v>118181</v>
      </c>
      <c r="F36097">
        <v>3.9994814401476899E-7</v>
      </c>
      <c r="G36097">
        <v>93841</v>
      </c>
      <c r="H36097">
        <v>14904599</v>
      </c>
      <c r="I36097">
        <v>461045</v>
      </c>
      <c r="J36097">
        <v>12</v>
      </c>
    </row>
    <row r="36098" spans="1:10" x14ac:dyDescent="0.25">
      <c r="A36098" t="s">
        <v>391</v>
      </c>
      <c r="B36098" s="1" t="str">
        <f>HYPERLINK("http://universalrecords.com","universalrecords.com")</f>
        <v>universalrecords.com</v>
      </c>
      <c r="C36098" t="s">
        <v>433</v>
      </c>
      <c r="F36098">
        <v>1.17568531697646E-8</v>
      </c>
      <c r="G36098">
        <v>5330147</v>
      </c>
      <c r="H36098">
        <v>14260478</v>
      </c>
      <c r="I36098">
        <v>1419323</v>
      </c>
      <c r="J36098">
        <v>5</v>
      </c>
    </row>
    <row r="36099" spans="1:10" x14ac:dyDescent="0.25">
      <c r="A36099" t="s">
        <v>391</v>
      </c>
      <c r="B36099" s="1" t="str">
        <f>HYPERLINK("http://v2benelux.com","v2benelux.com")</f>
        <v>v2benelux.com</v>
      </c>
      <c r="C36099" t="s">
        <v>433</v>
      </c>
      <c r="F36099">
        <v>3.7362519043290898E-8</v>
      </c>
      <c r="G36099">
        <v>1385686</v>
      </c>
      <c r="H36099">
        <v>14810061</v>
      </c>
      <c r="I36099">
        <v>535485</v>
      </c>
      <c r="J36099">
        <v>6</v>
      </c>
    </row>
    <row r="36100" spans="1:10" x14ac:dyDescent="0.25">
      <c r="A36100" t="s">
        <v>391</v>
      </c>
      <c r="B36100" s="1" t="str">
        <f>HYPERLINK("http://v2music.com","v2music.com")</f>
        <v>v2music.com</v>
      </c>
      <c r="C36100" t="s">
        <v>433</v>
      </c>
      <c r="F36100">
        <v>3.4438835186826403E-8</v>
      </c>
      <c r="G36100">
        <v>1506018</v>
      </c>
      <c r="H36100">
        <v>14500632</v>
      </c>
      <c r="I36100">
        <v>852617</v>
      </c>
      <c r="J36100">
        <v>6</v>
      </c>
    </row>
    <row r="36101" spans="1:10" x14ac:dyDescent="0.25">
      <c r="A36101" t="s">
        <v>391</v>
      </c>
      <c r="B36101" s="1" t="str">
        <f>HYPERLINK("http://vervelabelgroup.com","vervelabelgroup.com")</f>
        <v>vervelabelgroup.com</v>
      </c>
      <c r="C36101" t="s">
        <v>433</v>
      </c>
      <c r="F36101">
        <v>7.4174256111641406E-8</v>
      </c>
      <c r="G36101">
        <v>567522</v>
      </c>
      <c r="H36101">
        <v>14496811</v>
      </c>
      <c r="I36101">
        <v>869134</v>
      </c>
      <c r="J36101">
        <v>7</v>
      </c>
    </row>
    <row r="36102" spans="1:10" x14ac:dyDescent="0.25">
      <c r="A36102" t="s">
        <v>391</v>
      </c>
      <c r="B36102" s="1" t="str">
        <f>HYPERLINK("http://vervemusicgroup.com","vervemusicgroup.com")</f>
        <v>vervemusicgroup.com</v>
      </c>
      <c r="C36102" t="s">
        <v>433</v>
      </c>
      <c r="E36102">
        <v>281320</v>
      </c>
      <c r="F36102">
        <v>7.8885717926212596E-8</v>
      </c>
      <c r="G36102">
        <v>529853</v>
      </c>
      <c r="H36102">
        <v>14904554</v>
      </c>
      <c r="I36102">
        <v>461066</v>
      </c>
      <c r="J36102">
        <v>5</v>
      </c>
    </row>
    <row r="36103" spans="1:10" x14ac:dyDescent="0.25">
      <c r="A36103" t="s">
        <v>391</v>
      </c>
      <c r="B36103" s="1" t="str">
        <f>HYPERLINK("http://virginemirecords.com","virginemirecords.com")</f>
        <v>virginemirecords.com</v>
      </c>
      <c r="C36103" t="s">
        <v>433</v>
      </c>
      <c r="F36103">
        <v>3.1697288900994797E-8</v>
      </c>
      <c r="G36103">
        <v>1628696</v>
      </c>
      <c r="H36103">
        <v>14301734</v>
      </c>
      <c r="I36103">
        <v>1355143</v>
      </c>
      <c r="J36103">
        <v>5</v>
      </c>
    </row>
    <row r="36104" spans="1:10" x14ac:dyDescent="0.25">
      <c r="A36104" t="s">
        <v>391</v>
      </c>
      <c r="B36104" s="1" t="str">
        <f>HYPERLINK("http://virginrecords.com","virginrecords.com")</f>
        <v>virginrecords.com</v>
      </c>
      <c r="C36104" t="s">
        <v>433</v>
      </c>
      <c r="E36104">
        <v>337765</v>
      </c>
      <c r="F36104">
        <v>1.16702434679033E-7</v>
      </c>
      <c r="G36104">
        <v>340691</v>
      </c>
      <c r="H36104">
        <v>17100450</v>
      </c>
      <c r="I36104">
        <v>63813</v>
      </c>
      <c r="J36104">
        <v>5</v>
      </c>
    </row>
    <row r="36105" spans="1:10" x14ac:dyDescent="0.25">
      <c r="A36105" t="s">
        <v>391</v>
      </c>
      <c r="B36105" s="1" t="str">
        <f>HYPERLINK("http://vivenditicketing.com","vivenditicketing.com")</f>
        <v>vivenditicketing.com</v>
      </c>
      <c r="C36105" t="s">
        <v>433</v>
      </c>
      <c r="F36105">
        <v>5.3083118502347096E-9</v>
      </c>
      <c r="G36105">
        <v>23371987</v>
      </c>
      <c r="H36105">
        <v>12079317</v>
      </c>
      <c r="I36105">
        <v>26579243</v>
      </c>
      <c r="J36105">
        <v>7</v>
      </c>
    </row>
    <row r="36106" spans="1:10" x14ac:dyDescent="0.25">
      <c r="A36106" t="s">
        <v>391</v>
      </c>
      <c r="B36106" s="1" t="str">
        <f>HYPERLINK("http://vivendiuniversal.com","vivendiuniversal.com")</f>
        <v>vivendiuniversal.com</v>
      </c>
      <c r="C36106" t="s">
        <v>433</v>
      </c>
      <c r="F36106">
        <v>1.8368788162856E-8</v>
      </c>
      <c r="G36106">
        <v>2954125</v>
      </c>
      <c r="H36106">
        <v>14521026</v>
      </c>
      <c r="I36106">
        <v>803575</v>
      </c>
      <c r="J36106">
        <v>6</v>
      </c>
    </row>
    <row r="36107" spans="1:10" x14ac:dyDescent="0.25">
      <c r="A36107" t="s">
        <v>391</v>
      </c>
      <c r="B36107" s="1" t="str">
        <f>HYPERLINK("http://worldvillagemusic.com","worldvillagemusic.com")</f>
        <v>worldvillagemusic.com</v>
      </c>
      <c r="C36107" t="s">
        <v>433</v>
      </c>
      <c r="F36107">
        <v>1.46261486352608E-8</v>
      </c>
      <c r="G36107">
        <v>3966994</v>
      </c>
      <c r="H36107">
        <v>14502814</v>
      </c>
      <c r="I36107">
        <v>844910</v>
      </c>
      <c r="J36107">
        <v>7</v>
      </c>
    </row>
    <row r="36108" spans="1:10" x14ac:dyDescent="0.25">
      <c r="A36108" t="s">
        <v>391</v>
      </c>
      <c r="B36108" s="1" t="str">
        <f>HYPERLINK("http://ykosirismusic.com","ykosirismusic.com")</f>
        <v>ykosirismusic.com</v>
      </c>
      <c r="C36108" t="s">
        <v>433</v>
      </c>
      <c r="F36108">
        <v>6.2637595759956597E-9</v>
      </c>
      <c r="G36108">
        <v>15206935</v>
      </c>
      <c r="H36108">
        <v>12509178</v>
      </c>
      <c r="I36108">
        <v>17253289</v>
      </c>
      <c r="J36108">
        <v>4</v>
      </c>
    </row>
    <row r="36109" spans="1:10" x14ac:dyDescent="0.25">
      <c r="A36109" t="s">
        <v>391</v>
      </c>
      <c r="B36109" s="1" t="str">
        <f>HYPERLINK("http://youngmoney.com","youngmoney.com")</f>
        <v>youngmoney.com</v>
      </c>
      <c r="C36109" t="s">
        <v>433</v>
      </c>
      <c r="E36109">
        <v>415904</v>
      </c>
      <c r="F36109">
        <v>1.81113121896967E-7</v>
      </c>
      <c r="G36109">
        <v>213294</v>
      </c>
      <c r="H36109">
        <v>14965243</v>
      </c>
      <c r="I36109">
        <v>435613</v>
      </c>
      <c r="J36109">
        <v>5</v>
      </c>
    </row>
    <row r="36110" spans="1:10" x14ac:dyDescent="0.25">
      <c r="A36110" t="s">
        <v>391</v>
      </c>
      <c r="B36110" s="1" t="str">
        <f>HYPERLINK("http://zone4inc.com","zone4inc.com")</f>
        <v>zone4inc.com</v>
      </c>
      <c r="C36110" t="s">
        <v>433</v>
      </c>
      <c r="F36110">
        <v>5.8129181806131E-9</v>
      </c>
      <c r="G36110">
        <v>17990701</v>
      </c>
      <c r="H36110">
        <v>14074364</v>
      </c>
      <c r="I36110">
        <v>2945726</v>
      </c>
      <c r="J36110">
        <v>5</v>
      </c>
    </row>
    <row r="36111" spans="1:10" x14ac:dyDescent="0.25">
      <c r="A36111" t="s">
        <v>391</v>
      </c>
      <c r="B36111" s="1" t="str">
        <f>HYPERLINK("http://abbeyroadinstitute.de","abbeyroadinstitute.de")</f>
        <v>abbeyroadinstitute.de</v>
      </c>
      <c r="C36111" t="s">
        <v>436</v>
      </c>
      <c r="D36111" t="s">
        <v>815</v>
      </c>
      <c r="F36111">
        <v>1.0892421061157901E-8</v>
      </c>
      <c r="G36111">
        <v>5948187</v>
      </c>
      <c r="H36111">
        <v>13936045</v>
      </c>
      <c r="I36111">
        <v>4507085</v>
      </c>
      <c r="J36111">
        <v>10</v>
      </c>
    </row>
    <row r="36112" spans="1:10" x14ac:dyDescent="0.25">
      <c r="A36112" t="s">
        <v>391</v>
      </c>
      <c r="B36112" s="1" t="str">
        <f>HYPERLINK("http://spinnup.de","spinnup.de")</f>
        <v>spinnup.de</v>
      </c>
      <c r="C36112" t="s">
        <v>436</v>
      </c>
      <c r="D36112" t="s">
        <v>815</v>
      </c>
      <c r="F36112">
        <v>5.2386057553154699E-9</v>
      </c>
      <c r="G36112">
        <v>24435649</v>
      </c>
      <c r="H36112">
        <v>12089154</v>
      </c>
      <c r="I36112">
        <v>26274272</v>
      </c>
      <c r="J36112">
        <v>6</v>
      </c>
    </row>
    <row r="36113" spans="1:10" x14ac:dyDescent="0.25">
      <c r="A36113" t="s">
        <v>391</v>
      </c>
      <c r="B36113" s="1" t="str">
        <f>HYPERLINK("http://copenhagenrecords.dk","copenhagenrecords.dk")</f>
        <v>copenhagenrecords.dk</v>
      </c>
      <c r="C36113" t="s">
        <v>437</v>
      </c>
      <c r="D36113" t="s">
        <v>816</v>
      </c>
      <c r="F36113">
        <v>1.33373733125154E-8</v>
      </c>
      <c r="G36113">
        <v>4477145</v>
      </c>
      <c r="H36113">
        <v>12366436</v>
      </c>
      <c r="I36113">
        <v>19474158</v>
      </c>
      <c r="J36113">
        <v>5</v>
      </c>
    </row>
    <row r="36114" spans="1:10" x14ac:dyDescent="0.25">
      <c r="A36114" t="s">
        <v>391</v>
      </c>
      <c r="B36114" s="1" t="str">
        <f>HYPERLINK("http://spinnup.dk","spinnup.dk")</f>
        <v>spinnup.dk</v>
      </c>
      <c r="C36114" t="s">
        <v>437</v>
      </c>
      <c r="D36114" t="s">
        <v>816</v>
      </c>
      <c r="F36114">
        <v>4.4537843281104398E-9</v>
      </c>
      <c r="G36114">
        <v>70019097</v>
      </c>
      <c r="H36114">
        <v>10431578</v>
      </c>
      <c r="I36114">
        <v>53150525</v>
      </c>
      <c r="J36114">
        <v>6</v>
      </c>
    </row>
    <row r="36115" spans="1:10" x14ac:dyDescent="0.25">
      <c r="A36115" t="s">
        <v>391</v>
      </c>
      <c r="B36115" s="1" t="str">
        <f>HYPERLINK("http://universal.dk","universal.dk")</f>
        <v>universal.dk</v>
      </c>
      <c r="C36115" t="s">
        <v>437</v>
      </c>
      <c r="D36115" t="s">
        <v>816</v>
      </c>
      <c r="F36115">
        <v>1.90677676446549E-8</v>
      </c>
      <c r="G36115">
        <v>2823476</v>
      </c>
      <c r="H36115">
        <v>14242837</v>
      </c>
      <c r="I36115">
        <v>1481326</v>
      </c>
      <c r="J36115">
        <v>5</v>
      </c>
    </row>
    <row r="36116" spans="1:10" x14ac:dyDescent="0.25">
      <c r="A36116" t="s">
        <v>391</v>
      </c>
      <c r="B36116" s="1" t="str">
        <f>HYPERLINK("http://universalmusic.es","universalmusic.es")</f>
        <v>universalmusic.es</v>
      </c>
      <c r="C36116" t="s">
        <v>443</v>
      </c>
      <c r="D36116" t="s">
        <v>822</v>
      </c>
      <c r="F36116">
        <v>5.2467302486377601E-8</v>
      </c>
      <c r="G36116">
        <v>869252</v>
      </c>
      <c r="H36116">
        <v>14827922</v>
      </c>
      <c r="I36116">
        <v>508386</v>
      </c>
      <c r="J36116">
        <v>3</v>
      </c>
    </row>
    <row r="36117" spans="1:10" x14ac:dyDescent="0.25">
      <c r="A36117" t="s">
        <v>391</v>
      </c>
      <c r="B36117" s="1" t="str">
        <f>HYPERLINK("http://defjam.fi","defjam.fi")</f>
        <v>defjam.fi</v>
      </c>
      <c r="C36117" t="s">
        <v>445</v>
      </c>
      <c r="D36117" t="s">
        <v>823</v>
      </c>
      <c r="J36117">
        <v>6</v>
      </c>
    </row>
    <row r="36118" spans="1:10" x14ac:dyDescent="0.25">
      <c r="A36118" t="s">
        <v>391</v>
      </c>
      <c r="B36118" s="1" t="str">
        <f>HYPERLINK("http://digster.fi","digster.fi")</f>
        <v>digster.fi</v>
      </c>
      <c r="C36118" t="s">
        <v>445</v>
      </c>
      <c r="D36118" t="s">
        <v>823</v>
      </c>
      <c r="F36118">
        <v>4.46939774571966E-9</v>
      </c>
      <c r="G36118">
        <v>64714142</v>
      </c>
      <c r="H36118">
        <v>10606781</v>
      </c>
      <c r="I36118">
        <v>44661141</v>
      </c>
      <c r="J36118">
        <v>6</v>
      </c>
    </row>
    <row r="36119" spans="1:10" x14ac:dyDescent="0.25">
      <c r="A36119" t="s">
        <v>391</v>
      </c>
      <c r="B36119" s="1" t="str">
        <f>HYPERLINK("http://evelina.fi","evelina.fi")</f>
        <v>evelina.fi</v>
      </c>
      <c r="C36119" t="s">
        <v>445</v>
      </c>
      <c r="D36119" t="s">
        <v>823</v>
      </c>
      <c r="F36119">
        <v>5.50297203637905E-9</v>
      </c>
      <c r="G36119">
        <v>20867280</v>
      </c>
      <c r="H36119">
        <v>14071791</v>
      </c>
      <c r="I36119">
        <v>3443304</v>
      </c>
      <c r="J36119">
        <v>6</v>
      </c>
    </row>
    <row r="36120" spans="1:10" x14ac:dyDescent="0.25">
      <c r="A36120" t="s">
        <v>391</v>
      </c>
      <c r="B36120" s="1" t="str">
        <f>HYPERLINK("http://johannakustannus.fi","johannakustannus.fi")</f>
        <v>johannakustannus.fi</v>
      </c>
      <c r="C36120" t="s">
        <v>445</v>
      </c>
      <c r="D36120" t="s">
        <v>823</v>
      </c>
      <c r="F36120">
        <v>1.76923796368203E-8</v>
      </c>
      <c r="G36120">
        <v>3098361</v>
      </c>
      <c r="H36120">
        <v>14240129</v>
      </c>
      <c r="I36120">
        <v>1504193</v>
      </c>
      <c r="J36120">
        <v>6</v>
      </c>
    </row>
    <row r="36121" spans="1:10" x14ac:dyDescent="0.25">
      <c r="A36121" t="s">
        <v>391</v>
      </c>
      <c r="B36121" s="1" t="str">
        <f>HYPERLINK("http://jonnatervomaa.fi","jonnatervomaa.fi")</f>
        <v>jonnatervomaa.fi</v>
      </c>
      <c r="C36121" t="s">
        <v>445</v>
      </c>
      <c r="D36121" t="s">
        <v>823</v>
      </c>
      <c r="F36121">
        <v>5.7372627075232901E-9</v>
      </c>
      <c r="G36121">
        <v>18602877</v>
      </c>
      <c r="H36121">
        <v>14071817</v>
      </c>
      <c r="I36121">
        <v>3308171</v>
      </c>
      <c r="J36121">
        <v>6</v>
      </c>
    </row>
    <row r="36122" spans="1:10" x14ac:dyDescent="0.25">
      <c r="A36122" t="s">
        <v>391</v>
      </c>
      <c r="B36122" s="1" t="str">
        <f>HYPERLINK("http://joululaulut.fi","joululaulut.fi")</f>
        <v>joululaulut.fi</v>
      </c>
      <c r="C36122" t="s">
        <v>445</v>
      </c>
      <c r="D36122" t="s">
        <v>823</v>
      </c>
      <c r="J36122">
        <v>6</v>
      </c>
    </row>
    <row r="36123" spans="1:10" x14ac:dyDescent="0.25">
      <c r="A36123" t="s">
        <v>391</v>
      </c>
      <c r="B36123" s="1" t="str">
        <f>HYPERLINK("http://kuumaakuumaa.fi","kuumaakuumaa.fi")</f>
        <v>kuumaakuumaa.fi</v>
      </c>
      <c r="C36123" t="s">
        <v>445</v>
      </c>
      <c r="D36123" t="s">
        <v>823</v>
      </c>
      <c r="F36123">
        <v>5.8115655416669898E-9</v>
      </c>
      <c r="G36123">
        <v>18000676</v>
      </c>
      <c r="H36123">
        <v>11310593</v>
      </c>
      <c r="I36123">
        <v>30560716</v>
      </c>
      <c r="J36123">
        <v>6</v>
      </c>
    </row>
    <row r="36124" spans="1:10" x14ac:dyDescent="0.25">
      <c r="A36124" t="s">
        <v>391</v>
      </c>
      <c r="B36124" s="1" t="str">
        <f>HYPERLINK("http://lovemusic.fi","lovemusic.fi")</f>
        <v>lovemusic.fi</v>
      </c>
      <c r="C36124" t="s">
        <v>445</v>
      </c>
      <c r="D36124" t="s">
        <v>823</v>
      </c>
      <c r="F36124">
        <v>6.0587441273716796E-9</v>
      </c>
      <c r="G36124">
        <v>16332611</v>
      </c>
      <c r="H36124">
        <v>14238036</v>
      </c>
      <c r="I36124">
        <v>1534686</v>
      </c>
      <c r="J36124">
        <v>6</v>
      </c>
    </row>
    <row r="36125" spans="1:10" x14ac:dyDescent="0.25">
      <c r="A36125" t="s">
        <v>391</v>
      </c>
      <c r="B36125" s="1" t="str">
        <f>HYPERLINK("http://loverecords.fi","loverecords.fi")</f>
        <v>loverecords.fi</v>
      </c>
      <c r="C36125" t="s">
        <v>445</v>
      </c>
      <c r="D36125" t="s">
        <v>823</v>
      </c>
      <c r="F36125">
        <v>4.7883151634762404E-9</v>
      </c>
      <c r="G36125">
        <v>36561884</v>
      </c>
      <c r="H36125">
        <v>10734855</v>
      </c>
      <c r="I36125">
        <v>40667577</v>
      </c>
      <c r="J36125">
        <v>6</v>
      </c>
    </row>
    <row r="36126" spans="1:10" x14ac:dyDescent="0.25">
      <c r="A36126" t="s">
        <v>391</v>
      </c>
      <c r="B36126" s="1" t="str">
        <f>HYPERLINK("http://music.fi","music.fi")</f>
        <v>music.fi</v>
      </c>
      <c r="C36126" t="s">
        <v>445</v>
      </c>
      <c r="D36126" t="s">
        <v>823</v>
      </c>
      <c r="F36126">
        <v>4.6231913695282603E-9</v>
      </c>
      <c r="G36126">
        <v>45919038</v>
      </c>
      <c r="H36126">
        <v>12132788</v>
      </c>
      <c r="I36126">
        <v>25060481</v>
      </c>
      <c r="J36126">
        <v>6</v>
      </c>
    </row>
    <row r="36127" spans="1:10" x14ac:dyDescent="0.25">
      <c r="A36127" t="s">
        <v>391</v>
      </c>
      <c r="B36127" s="1" t="str">
        <f>HYPERLINK("http://oonjuulia.fi","oonjuulia.fi")</f>
        <v>oonjuulia.fi</v>
      </c>
      <c r="C36127" t="s">
        <v>445</v>
      </c>
      <c r="D36127" t="s">
        <v>823</v>
      </c>
      <c r="F36127">
        <v>4.7356549565254899E-9</v>
      </c>
      <c r="G36127">
        <v>39019660</v>
      </c>
      <c r="H36127">
        <v>10724961</v>
      </c>
      <c r="I36127">
        <v>41354621</v>
      </c>
      <c r="J36127">
        <v>6</v>
      </c>
    </row>
    <row r="36128" spans="1:10" x14ac:dyDescent="0.25">
      <c r="A36128" t="s">
        <v>391</v>
      </c>
      <c r="B36128" s="1" t="str">
        <f>HYPERLINK("http://siniyasemin.fi","siniyasemin.fi")</f>
        <v>siniyasemin.fi</v>
      </c>
      <c r="C36128" t="s">
        <v>445</v>
      </c>
      <c r="D36128" t="s">
        <v>823</v>
      </c>
      <c r="F36128">
        <v>5.8929591116383001E-9</v>
      </c>
      <c r="G36128">
        <v>17408728</v>
      </c>
      <c r="H36128">
        <v>10918344</v>
      </c>
      <c r="I36128">
        <v>35445275</v>
      </c>
      <c r="J36128">
        <v>6</v>
      </c>
    </row>
    <row r="36129" spans="1:10" x14ac:dyDescent="0.25">
      <c r="A36129" t="s">
        <v>391</v>
      </c>
      <c r="B36129" s="1" t="str">
        <f>HYPERLINK("http://siruandthefeelgoods.fi","siruandthefeelgoods.fi")</f>
        <v>siruandthefeelgoods.fi</v>
      </c>
      <c r="C36129" t="s">
        <v>445</v>
      </c>
      <c r="D36129" t="s">
        <v>823</v>
      </c>
      <c r="J36129">
        <v>8</v>
      </c>
    </row>
    <row r="36130" spans="1:10" x14ac:dyDescent="0.25">
      <c r="A36130" t="s">
        <v>391</v>
      </c>
      <c r="B36130" s="1" t="str">
        <f>HYPERLINK("http://sirumusic.fi","sirumusic.fi")</f>
        <v>sirumusic.fi</v>
      </c>
      <c r="C36130" t="s">
        <v>445</v>
      </c>
      <c r="D36130" t="s">
        <v>823</v>
      </c>
      <c r="F36130">
        <v>4.5152051298201798E-9</v>
      </c>
      <c r="G36130">
        <v>56820829</v>
      </c>
      <c r="H36130">
        <v>11157044</v>
      </c>
      <c r="I36130">
        <v>31655974</v>
      </c>
      <c r="J36130">
        <v>5</v>
      </c>
    </row>
    <row r="36131" spans="1:10" x14ac:dyDescent="0.25">
      <c r="A36131" t="s">
        <v>391</v>
      </c>
      <c r="B36131" s="1" t="str">
        <f>HYPERLINK("http://suomihiphop.fi","suomihiphop.fi")</f>
        <v>suomihiphop.fi</v>
      </c>
      <c r="C36131" t="s">
        <v>445</v>
      </c>
      <c r="D36131" t="s">
        <v>823</v>
      </c>
      <c r="J36131">
        <v>6</v>
      </c>
    </row>
    <row r="36132" spans="1:10" x14ac:dyDescent="0.25">
      <c r="A36132" t="s">
        <v>391</v>
      </c>
      <c r="B36132" s="1" t="str">
        <f>HYPERLINK("http://umgb.fi","umgb.fi")</f>
        <v>umgb.fi</v>
      </c>
      <c r="C36132" t="s">
        <v>445</v>
      </c>
      <c r="D36132" t="s">
        <v>823</v>
      </c>
      <c r="J36132">
        <v>6</v>
      </c>
    </row>
    <row r="36133" spans="1:10" x14ac:dyDescent="0.25">
      <c r="A36133" t="s">
        <v>391</v>
      </c>
      <c r="B36133" s="1" t="str">
        <f>HYPERLINK("http://unippm.fi","unippm.fi")</f>
        <v>unippm.fi</v>
      </c>
      <c r="C36133" t="s">
        <v>445</v>
      </c>
      <c r="D36133" t="s">
        <v>823</v>
      </c>
      <c r="F36133">
        <v>4.4438249722710203E-9</v>
      </c>
      <c r="G36133">
        <v>79127889</v>
      </c>
      <c r="H36133">
        <v>10461242</v>
      </c>
      <c r="I36133">
        <v>51786879</v>
      </c>
      <c r="J36133">
        <v>6</v>
      </c>
    </row>
    <row r="36134" spans="1:10" x14ac:dyDescent="0.25">
      <c r="A36134" t="s">
        <v>391</v>
      </c>
      <c r="B36134" s="1" t="str">
        <f>HYPERLINK("http://universalmusic.fi","universalmusic.fi")</f>
        <v>universalmusic.fi</v>
      </c>
      <c r="C36134" t="s">
        <v>445</v>
      </c>
      <c r="D36134" t="s">
        <v>823</v>
      </c>
      <c r="F36134">
        <v>6.8327470153974296E-8</v>
      </c>
      <c r="G36134">
        <v>624330</v>
      </c>
      <c r="H36134">
        <v>14494317</v>
      </c>
      <c r="I36134">
        <v>882370</v>
      </c>
      <c r="J36134">
        <v>3</v>
      </c>
    </row>
    <row r="36135" spans="1:10" x14ac:dyDescent="0.25">
      <c r="A36135" t="s">
        <v>391</v>
      </c>
      <c r="B36135" s="1" t="str">
        <f>HYPERLINK("http://universalppm.fi","universalppm.fi")</f>
        <v>universalppm.fi</v>
      </c>
      <c r="C36135" t="s">
        <v>445</v>
      </c>
      <c r="D36135" t="s">
        <v>823</v>
      </c>
      <c r="J36135">
        <v>6</v>
      </c>
    </row>
    <row r="36136" spans="1:10" x14ac:dyDescent="0.25">
      <c r="A36136" t="s">
        <v>391</v>
      </c>
      <c r="B36136" s="1" t="str">
        <f>HYPERLINK("http://universalproductionmusic.fi","universalproductionmusic.fi")</f>
        <v>universalproductionmusic.fi</v>
      </c>
      <c r="C36136" t="s">
        <v>445</v>
      </c>
      <c r="D36136" t="s">
        <v>823</v>
      </c>
      <c r="J36136">
        <v>6</v>
      </c>
    </row>
    <row r="36137" spans="1:10" x14ac:dyDescent="0.25">
      <c r="A36137" t="s">
        <v>391</v>
      </c>
      <c r="B36137" s="1" t="str">
        <f>HYPERLINK("http://vilmaalina.fi","vilmaalina.fi")</f>
        <v>vilmaalina.fi</v>
      </c>
      <c r="C36137" t="s">
        <v>445</v>
      </c>
      <c r="D36137" t="s">
        <v>823</v>
      </c>
      <c r="F36137">
        <v>5.5732621916876096E-9</v>
      </c>
      <c r="G36137">
        <v>20147508</v>
      </c>
      <c r="H36137">
        <v>14071867</v>
      </c>
      <c r="I36137">
        <v>3270133</v>
      </c>
      <c r="J36137">
        <v>5</v>
      </c>
    </row>
    <row r="36138" spans="1:10" x14ac:dyDescent="0.25">
      <c r="A36138" t="s">
        <v>391</v>
      </c>
      <c r="B36138" s="1" t="str">
        <f>HYPERLINK("http://abbeyroadinstitute.fr","abbeyroadinstitute.fr")</f>
        <v>abbeyroadinstitute.fr</v>
      </c>
      <c r="C36138" t="s">
        <v>446</v>
      </c>
      <c r="D36138" t="s">
        <v>824</v>
      </c>
      <c r="F36138">
        <v>1.02502750466865E-8</v>
      </c>
      <c r="G36138">
        <v>6498392</v>
      </c>
      <c r="H36138">
        <v>13933472</v>
      </c>
      <c r="I36138">
        <v>4734952</v>
      </c>
      <c r="J36138">
        <v>10</v>
      </c>
    </row>
    <row r="36139" spans="1:10" x14ac:dyDescent="0.25">
      <c r="A36139" t="s">
        <v>391</v>
      </c>
      <c r="B36139" s="1" t="str">
        <f>HYPERLINK("http://universalmusic.fr","universalmusic.fr")</f>
        <v>universalmusic.fr</v>
      </c>
      <c r="C36139" t="s">
        <v>446</v>
      </c>
      <c r="D36139" t="s">
        <v>824</v>
      </c>
      <c r="E36139">
        <v>123253</v>
      </c>
      <c r="F36139">
        <v>3.3645538086481E-7</v>
      </c>
      <c r="G36139">
        <v>110848</v>
      </c>
      <c r="H36139">
        <v>17291210</v>
      </c>
      <c r="I36139">
        <v>28858</v>
      </c>
      <c r="J36139">
        <v>3</v>
      </c>
    </row>
    <row r="36140" spans="1:10" x14ac:dyDescent="0.25">
      <c r="A36140" t="s">
        <v>391</v>
      </c>
      <c r="B36140" s="1" t="str">
        <f>HYPERLINK("http://umg.com.hk","umg.com.hk")</f>
        <v>umg.com.hk</v>
      </c>
      <c r="C36140" t="s">
        <v>450</v>
      </c>
      <c r="D36140" t="s">
        <v>827</v>
      </c>
      <c r="F36140">
        <v>1.9279177287317401E-8</v>
      </c>
      <c r="G36140">
        <v>2785513</v>
      </c>
      <c r="H36140">
        <v>14309655</v>
      </c>
      <c r="I36140">
        <v>1343638</v>
      </c>
      <c r="J36140">
        <v>5</v>
      </c>
    </row>
    <row r="36141" spans="1:10" x14ac:dyDescent="0.25">
      <c r="A36141" t="s">
        <v>391</v>
      </c>
      <c r="B36141" s="1" t="str">
        <f>HYPERLINK("http://universalmusic.hr","universalmusic.hr")</f>
        <v>universalmusic.hr</v>
      </c>
      <c r="C36141" t="s">
        <v>452</v>
      </c>
      <c r="D36141" t="s">
        <v>829</v>
      </c>
      <c r="F36141">
        <v>7.04478679840141E-9</v>
      </c>
      <c r="G36141">
        <v>12180117</v>
      </c>
      <c r="H36141">
        <v>12251205</v>
      </c>
      <c r="I36141">
        <v>21991360</v>
      </c>
      <c r="J36141">
        <v>3</v>
      </c>
    </row>
    <row r="36142" spans="1:10" x14ac:dyDescent="0.25">
      <c r="A36142" t="s">
        <v>391</v>
      </c>
      <c r="B36142" s="1" t="str">
        <f>HYPERLINK("http://universalmusic.it","universalmusic.it")</f>
        <v>universalmusic.it</v>
      </c>
      <c r="C36142" t="s">
        <v>459</v>
      </c>
      <c r="D36142" t="s">
        <v>835</v>
      </c>
      <c r="E36142">
        <v>461888</v>
      </c>
      <c r="F36142">
        <v>1.08617502865115E-7</v>
      </c>
      <c r="G36142">
        <v>368380</v>
      </c>
      <c r="H36142">
        <v>14893219</v>
      </c>
      <c r="I36142">
        <v>465867</v>
      </c>
      <c r="J36142">
        <v>3</v>
      </c>
    </row>
    <row r="36143" spans="1:10" x14ac:dyDescent="0.25">
      <c r="A36143" t="s">
        <v>391</v>
      </c>
      <c r="B36143" s="1" t="str">
        <f>HYPERLINK("http://universal-music.co.jp","universal-music.co.jp")</f>
        <v>universal-music.co.jp</v>
      </c>
      <c r="C36143" t="s">
        <v>461</v>
      </c>
      <c r="D36143" t="s">
        <v>837</v>
      </c>
      <c r="E36143">
        <v>36560</v>
      </c>
      <c r="F36143">
        <v>5.1776369487321998E-6</v>
      </c>
      <c r="G36143">
        <v>6690</v>
      </c>
      <c r="H36143">
        <v>17125414</v>
      </c>
      <c r="I36143">
        <v>58059</v>
      </c>
      <c r="J36143">
        <v>3</v>
      </c>
    </row>
    <row r="36144" spans="1:10" x14ac:dyDescent="0.25">
      <c r="A36144" t="s">
        <v>391</v>
      </c>
      <c r="B36144" s="1" t="str">
        <f>HYPERLINK("http://spinnup.jp","spinnup.jp")</f>
        <v>spinnup.jp</v>
      </c>
      <c r="C36144" t="s">
        <v>461</v>
      </c>
      <c r="D36144" t="s">
        <v>837</v>
      </c>
      <c r="F36144">
        <v>1.35302449133643E-8</v>
      </c>
      <c r="G36144">
        <v>4391270</v>
      </c>
      <c r="H36144">
        <v>11481654</v>
      </c>
      <c r="I36144">
        <v>30062835</v>
      </c>
      <c r="J36144">
        <v>6</v>
      </c>
    </row>
    <row r="36145" spans="1:10" x14ac:dyDescent="0.25">
      <c r="A36145" t="s">
        <v>391</v>
      </c>
      <c r="B36145" s="1" t="str">
        <f>HYPERLINK("http://victorvictor.jp","victorvictor.jp")</f>
        <v>victorvictor.jp</v>
      </c>
      <c r="C36145" t="s">
        <v>461</v>
      </c>
      <c r="D36145" t="s">
        <v>837</v>
      </c>
      <c r="F36145">
        <v>1.06763272268144E-8</v>
      </c>
      <c r="G36145">
        <v>6119874</v>
      </c>
      <c r="H36145">
        <v>14071989</v>
      </c>
      <c r="I36145">
        <v>3195748</v>
      </c>
      <c r="J36145">
        <v>5</v>
      </c>
    </row>
    <row r="36146" spans="1:10" x14ac:dyDescent="0.25">
      <c r="A36146" t="s">
        <v>391</v>
      </c>
      <c r="B36146" s="1" t="str">
        <f>HYPERLINK("http://virginmusic.jp","virginmusic.jp")</f>
        <v>virginmusic.jp</v>
      </c>
      <c r="C36146" t="s">
        <v>461</v>
      </c>
      <c r="D36146" t="s">
        <v>837</v>
      </c>
      <c r="F36146">
        <v>1.3882537218380999E-8</v>
      </c>
      <c r="G36146">
        <v>4248004</v>
      </c>
      <c r="H36146">
        <v>12922675</v>
      </c>
      <c r="I36146">
        <v>13411738</v>
      </c>
      <c r="J36146">
        <v>6</v>
      </c>
    </row>
    <row r="36147" spans="1:10" x14ac:dyDescent="0.25">
      <c r="A36147" t="s">
        <v>391</v>
      </c>
      <c r="B36147" s="1" t="str">
        <f>HYPERLINK("http://universalmusic.co.kr","universalmusic.co.kr")</f>
        <v>universalmusic.co.kr</v>
      </c>
      <c r="C36147" t="s">
        <v>463</v>
      </c>
      <c r="D36147" t="s">
        <v>839</v>
      </c>
      <c r="F36147">
        <v>2.8709561717921299E-8</v>
      </c>
      <c r="G36147">
        <v>1792578</v>
      </c>
      <c r="H36147">
        <v>14166013</v>
      </c>
      <c r="I36147">
        <v>1819813</v>
      </c>
      <c r="J36147">
        <v>3</v>
      </c>
    </row>
    <row r="36148" spans="1:10" x14ac:dyDescent="0.25">
      <c r="A36148" t="s">
        <v>391</v>
      </c>
      <c r="B36148" s="1" t="str">
        <f>HYPERLINK("http://universalmusic.com.my","universalmusic.com.my")</f>
        <v>universalmusic.com.my</v>
      </c>
      <c r="C36148" t="s">
        <v>472</v>
      </c>
      <c r="D36148" t="s">
        <v>848</v>
      </c>
      <c r="F36148">
        <v>2.0331832979298799E-8</v>
      </c>
      <c r="G36148">
        <v>2609345</v>
      </c>
      <c r="H36148">
        <v>14306098</v>
      </c>
      <c r="I36148">
        <v>1350385</v>
      </c>
      <c r="J36148">
        <v>3</v>
      </c>
    </row>
    <row r="36149" spans="1:10" x14ac:dyDescent="0.25">
      <c r="A36149" t="s">
        <v>391</v>
      </c>
      <c r="B36149" s="1" t="str">
        <f>HYPERLINK("http://eccentric-music.net","eccentric-music.net")</f>
        <v>eccentric-music.net</v>
      </c>
      <c r="C36149" t="s">
        <v>474</v>
      </c>
      <c r="F36149">
        <v>6.3833138724965002E-9</v>
      </c>
      <c r="G36149">
        <v>14601079</v>
      </c>
      <c r="H36149">
        <v>12416091</v>
      </c>
      <c r="I36149">
        <v>18526321</v>
      </c>
      <c r="J36149">
        <v>5</v>
      </c>
    </row>
    <row r="36150" spans="1:10" x14ac:dyDescent="0.25">
      <c r="A36150" t="s">
        <v>391</v>
      </c>
      <c r="B36150" s="1" t="str">
        <f>HYPERLINK("http://pinarecords.net","pinarecords.net")</f>
        <v>pinarecords.net</v>
      </c>
      <c r="C36150" t="s">
        <v>474</v>
      </c>
      <c r="F36150">
        <v>7.4121315322600499E-9</v>
      </c>
      <c r="G36150">
        <v>11215870</v>
      </c>
      <c r="H36150">
        <v>13565242</v>
      </c>
      <c r="I36150">
        <v>9818288</v>
      </c>
      <c r="J36150">
        <v>6</v>
      </c>
    </row>
    <row r="36151" spans="1:10" x14ac:dyDescent="0.25">
      <c r="A36151" t="s">
        <v>391</v>
      </c>
      <c r="B36151" s="1" t="str">
        <f>HYPERLINK("http://universalmusic.ng","universalmusic.ng")</f>
        <v>universalmusic.ng</v>
      </c>
      <c r="C36151" t="s">
        <v>475</v>
      </c>
      <c r="D36151" t="s">
        <v>850</v>
      </c>
      <c r="F36151">
        <v>1.16677587325371E-8</v>
      </c>
      <c r="G36151">
        <v>5387029</v>
      </c>
      <c r="H36151">
        <v>11425821</v>
      </c>
      <c r="I36151">
        <v>30162037</v>
      </c>
      <c r="J36151">
        <v>3</v>
      </c>
    </row>
    <row r="36152" spans="1:10" x14ac:dyDescent="0.25">
      <c r="A36152" t="s">
        <v>391</v>
      </c>
      <c r="B36152" s="1" t="str">
        <f>HYPERLINK("http://abbeyroadinstitute.nl","abbeyroadinstitute.nl")</f>
        <v>abbeyroadinstitute.nl</v>
      </c>
      <c r="C36152" t="s">
        <v>477</v>
      </c>
      <c r="D36152" t="s">
        <v>852</v>
      </c>
      <c r="F36152">
        <v>2.1824227120386599E-8</v>
      </c>
      <c r="G36152">
        <v>2407068</v>
      </c>
      <c r="H36152">
        <v>14378737</v>
      </c>
      <c r="I36152">
        <v>1202578</v>
      </c>
      <c r="J36152">
        <v>10</v>
      </c>
    </row>
    <row r="36153" spans="1:10" x14ac:dyDescent="0.25">
      <c r="A36153" t="s">
        <v>391</v>
      </c>
      <c r="B36153" s="1" t="str">
        <f>HYPERLINK("http://universalmusic.nl","universalmusic.nl")</f>
        <v>universalmusic.nl</v>
      </c>
      <c r="C36153" t="s">
        <v>477</v>
      </c>
      <c r="D36153" t="s">
        <v>852</v>
      </c>
      <c r="F36153">
        <v>6.6903529184871797E-8</v>
      </c>
      <c r="G36153">
        <v>639631</v>
      </c>
      <c r="H36153">
        <v>14297195</v>
      </c>
      <c r="I36153">
        <v>1359217</v>
      </c>
      <c r="J36153">
        <v>1</v>
      </c>
    </row>
    <row r="36154" spans="1:10" x14ac:dyDescent="0.25">
      <c r="A36154" t="s">
        <v>391</v>
      </c>
      <c r="B36154" s="1" t="str">
        <f>HYPERLINK("http://sdkt.no","sdkt.no")</f>
        <v>sdkt.no</v>
      </c>
      <c r="C36154" t="s">
        <v>478</v>
      </c>
      <c r="D36154" t="s">
        <v>853</v>
      </c>
      <c r="F36154">
        <v>4.5006037251178301E-9</v>
      </c>
      <c r="G36154">
        <v>58857169</v>
      </c>
      <c r="H36154">
        <v>8546674</v>
      </c>
      <c r="I36154">
        <v>71442104</v>
      </c>
      <c r="J36154">
        <v>5</v>
      </c>
    </row>
    <row r="36155" spans="1:10" x14ac:dyDescent="0.25">
      <c r="A36155" t="s">
        <v>391</v>
      </c>
      <c r="B36155" s="1" t="str">
        <f>HYPERLINK("http://universalmusic.no","universalmusic.no")</f>
        <v>universalmusic.no</v>
      </c>
      <c r="C36155" t="s">
        <v>478</v>
      </c>
      <c r="D36155" t="s">
        <v>853</v>
      </c>
      <c r="F36155">
        <v>3.0534374211980901E-8</v>
      </c>
      <c r="G36155">
        <v>1686500</v>
      </c>
      <c r="H36155">
        <v>14594946</v>
      </c>
      <c r="I36155">
        <v>690936</v>
      </c>
      <c r="J36155">
        <v>3</v>
      </c>
    </row>
    <row r="36156" spans="1:10" x14ac:dyDescent="0.25">
      <c r="A36156" t="s">
        <v>391</v>
      </c>
      <c r="B36156" s="1" t="str">
        <f>HYPERLINK("http://universalmusic.co.nz","universalmusic.co.nz")</f>
        <v>universalmusic.co.nz</v>
      </c>
      <c r="C36156" t="s">
        <v>479</v>
      </c>
      <c r="D36156" t="s">
        <v>854</v>
      </c>
      <c r="F36156">
        <v>1.7520624678396802E-8</v>
      </c>
      <c r="G36156">
        <v>3141280</v>
      </c>
      <c r="H36156">
        <v>12977917</v>
      </c>
      <c r="I36156">
        <v>13001884</v>
      </c>
      <c r="J36156">
        <v>3</v>
      </c>
    </row>
    <row r="36157" spans="1:10" x14ac:dyDescent="0.25">
      <c r="A36157" t="s">
        <v>391</v>
      </c>
      <c r="B36157" s="1" t="str">
        <f>HYPERLINK("http://tasf.org","tasf.org")</f>
        <v>tasf.org</v>
      </c>
      <c r="C36157" t="s">
        <v>481</v>
      </c>
      <c r="F36157">
        <v>1.47548495508142E-8</v>
      </c>
      <c r="G36157">
        <v>3922344</v>
      </c>
      <c r="H36157">
        <v>14506117</v>
      </c>
      <c r="I36157">
        <v>834346</v>
      </c>
      <c r="J36157">
        <v>5</v>
      </c>
    </row>
    <row r="36158" spans="1:10" x14ac:dyDescent="0.25">
      <c r="A36158" t="s">
        <v>391</v>
      </c>
      <c r="B36158" s="1" t="str">
        <f>HYPERLINK("http://universalmusic.pl","universalmusic.pl")</f>
        <v>universalmusic.pl</v>
      </c>
      <c r="C36158" t="s">
        <v>486</v>
      </c>
      <c r="D36158" t="s">
        <v>860</v>
      </c>
      <c r="F36158">
        <v>3.03798891357114E-8</v>
      </c>
      <c r="G36158">
        <v>1694657</v>
      </c>
      <c r="H36158">
        <v>14817306</v>
      </c>
      <c r="I36158">
        <v>521720</v>
      </c>
      <c r="J36158">
        <v>5</v>
      </c>
    </row>
    <row r="36159" spans="1:10" x14ac:dyDescent="0.25">
      <c r="A36159" t="s">
        <v>391</v>
      </c>
      <c r="B36159" s="1" t="str">
        <f>HYPERLINK("http://universalmusic.pt","universalmusic.pt")</f>
        <v>universalmusic.pt</v>
      </c>
      <c r="C36159" t="s">
        <v>488</v>
      </c>
      <c r="D36159" t="s">
        <v>862</v>
      </c>
      <c r="F36159">
        <v>3.2913965851431197E-8</v>
      </c>
      <c r="G36159">
        <v>1569799</v>
      </c>
      <c r="H36159">
        <v>14589351</v>
      </c>
      <c r="I36159">
        <v>697014</v>
      </c>
      <c r="J36159">
        <v>5</v>
      </c>
    </row>
    <row r="36160" spans="1:10" x14ac:dyDescent="0.25">
      <c r="A36160" t="s">
        <v>391</v>
      </c>
      <c r="B36160" s="1" t="str">
        <f>HYPERLINK("http://umusic.ro","umusic.ro")</f>
        <v>umusic.ro</v>
      </c>
      <c r="C36160" t="s">
        <v>491</v>
      </c>
      <c r="D36160" t="s">
        <v>865</v>
      </c>
      <c r="F36160">
        <v>1.65798037335502E-8</v>
      </c>
      <c r="G36160">
        <v>3394242</v>
      </c>
      <c r="H36160">
        <v>14075372</v>
      </c>
      <c r="I36160">
        <v>2910941</v>
      </c>
      <c r="J36160">
        <v>5</v>
      </c>
    </row>
    <row r="36161" spans="1:10" x14ac:dyDescent="0.25">
      <c r="A36161" t="s">
        <v>391</v>
      </c>
      <c r="B36161" s="1" t="str">
        <f>HYPERLINK("http://universalmusic.ru","universalmusic.ru")</f>
        <v>universalmusic.ru</v>
      </c>
      <c r="C36161" t="s">
        <v>493</v>
      </c>
      <c r="D36161" t="s">
        <v>867</v>
      </c>
      <c r="F36161">
        <v>2.2289801729425899E-8</v>
      </c>
      <c r="G36161">
        <v>2352157</v>
      </c>
      <c r="H36161">
        <v>14708476</v>
      </c>
      <c r="I36161">
        <v>585135</v>
      </c>
      <c r="J36161">
        <v>3</v>
      </c>
    </row>
    <row r="36162" spans="1:10" x14ac:dyDescent="0.25">
      <c r="A36162" t="s">
        <v>391</v>
      </c>
      <c r="B36162" s="1" t="str">
        <f>HYPERLINK("http://stockholmrecords.se","stockholmrecords.se")</f>
        <v>stockholmrecords.se</v>
      </c>
      <c r="C36162" t="s">
        <v>495</v>
      </c>
      <c r="D36162" t="s">
        <v>869</v>
      </c>
      <c r="F36162">
        <v>5.0003523746279097E-9</v>
      </c>
      <c r="G36162">
        <v>29403563</v>
      </c>
      <c r="H36162">
        <v>14071790</v>
      </c>
      <c r="I36162">
        <v>3541831</v>
      </c>
      <c r="J36162">
        <v>5</v>
      </c>
    </row>
    <row r="36163" spans="1:10" x14ac:dyDescent="0.25">
      <c r="A36163" t="s">
        <v>391</v>
      </c>
      <c r="B36163" s="1" t="str">
        <f>HYPERLINK("http://universalmusic.se","universalmusic.se")</f>
        <v>universalmusic.se</v>
      </c>
      <c r="C36163" t="s">
        <v>495</v>
      </c>
      <c r="D36163" t="s">
        <v>869</v>
      </c>
      <c r="F36163">
        <v>5.4434820862103297E-8</v>
      </c>
      <c r="G36163">
        <v>829166</v>
      </c>
      <c r="H36163">
        <v>14386806</v>
      </c>
      <c r="I36163">
        <v>1176530</v>
      </c>
      <c r="J36163">
        <v>3</v>
      </c>
    </row>
    <row r="36164" spans="1:10" x14ac:dyDescent="0.25">
      <c r="A36164" t="s">
        <v>391</v>
      </c>
      <c r="B36164" s="1" t="str">
        <f>HYPERLINK("http://umusic.com.tw","umusic.com.tw")</f>
        <v>umusic.com.tw</v>
      </c>
      <c r="C36164" t="s">
        <v>504</v>
      </c>
      <c r="D36164" t="s">
        <v>878</v>
      </c>
      <c r="F36164">
        <v>5.2010461930899299E-8</v>
      </c>
      <c r="G36164">
        <v>877999</v>
      </c>
      <c r="H36164">
        <v>14278800</v>
      </c>
      <c r="I36164">
        <v>1384886</v>
      </c>
      <c r="J36164">
        <v>5</v>
      </c>
    </row>
    <row r="36165" spans="1:10" x14ac:dyDescent="0.25">
      <c r="A36165" t="s">
        <v>391</v>
      </c>
      <c r="B36165" s="1" t="str">
        <f>HYPERLINK("http://abbeyroadinstitute.co.uk","abbeyroadinstitute.co.uk")</f>
        <v>abbeyroadinstitute.co.uk</v>
      </c>
      <c r="C36165" t="s">
        <v>506</v>
      </c>
      <c r="D36165" t="s">
        <v>880</v>
      </c>
      <c r="F36165">
        <v>1.60481226559091E-7</v>
      </c>
      <c r="G36165">
        <v>241875</v>
      </c>
      <c r="H36165">
        <v>13622138</v>
      </c>
      <c r="I36165">
        <v>9624308</v>
      </c>
      <c r="J36165">
        <v>10</v>
      </c>
    </row>
    <row r="36166" spans="1:10" x14ac:dyDescent="0.25">
      <c r="A36166" t="s">
        <v>391</v>
      </c>
      <c r="B36166" s="1" t="str">
        <f>HYPERLINK("http://candlelightrecords.co.uk","candlelightrecords.co.uk")</f>
        <v>candlelightrecords.co.uk</v>
      </c>
      <c r="C36166" t="s">
        <v>506</v>
      </c>
      <c r="D36166" t="s">
        <v>880</v>
      </c>
      <c r="F36166">
        <v>3.1946308949325502E-8</v>
      </c>
      <c r="G36166">
        <v>1617411</v>
      </c>
      <c r="H36166">
        <v>14604448</v>
      </c>
      <c r="I36166">
        <v>682699</v>
      </c>
      <c r="J36166">
        <v>6</v>
      </c>
    </row>
    <row r="36167" spans="1:10" x14ac:dyDescent="0.25">
      <c r="A36167" t="s">
        <v>391</v>
      </c>
      <c r="B36167" s="1" t="str">
        <f>HYPERLINK("http://fictionrecords.co.uk","fictionrecords.co.uk")</f>
        <v>fictionrecords.co.uk</v>
      </c>
      <c r="C36167" t="s">
        <v>506</v>
      </c>
      <c r="D36167" t="s">
        <v>880</v>
      </c>
      <c r="F36167">
        <v>2.5643004707004099E-8</v>
      </c>
      <c r="G36167">
        <v>2010813</v>
      </c>
      <c r="H36167">
        <v>14514673</v>
      </c>
      <c r="I36167">
        <v>814768</v>
      </c>
      <c r="J36167">
        <v>5</v>
      </c>
    </row>
    <row r="36168" spans="1:10" x14ac:dyDescent="0.25">
      <c r="A36168" t="s">
        <v>391</v>
      </c>
      <c r="B36168" s="1" t="str">
        <f>HYPERLINK("http://londonrecordings.co.uk","londonrecordings.co.uk")</f>
        <v>londonrecordings.co.uk</v>
      </c>
      <c r="C36168" t="s">
        <v>506</v>
      </c>
      <c r="D36168" t="s">
        <v>880</v>
      </c>
      <c r="F36168">
        <v>5.8954583133443702E-9</v>
      </c>
      <c r="G36168">
        <v>17390688</v>
      </c>
      <c r="H36168">
        <v>14075063</v>
      </c>
      <c r="I36168">
        <v>2919557</v>
      </c>
      <c r="J36168">
        <v>5</v>
      </c>
    </row>
    <row r="36169" spans="1:10" x14ac:dyDescent="0.25">
      <c r="A36169" t="s">
        <v>391</v>
      </c>
      <c r="B36169" s="1" t="str">
        <f>HYPERLINK("http://polydor.co.uk","polydor.co.uk")</f>
        <v>polydor.co.uk</v>
      </c>
      <c r="C36169" t="s">
        <v>506</v>
      </c>
      <c r="D36169" t="s">
        <v>880</v>
      </c>
      <c r="E36169">
        <v>493418</v>
      </c>
      <c r="F36169">
        <v>4.6227112474910098E-7</v>
      </c>
      <c r="G36169">
        <v>81861</v>
      </c>
      <c r="H36169">
        <v>14899169</v>
      </c>
      <c r="I36169">
        <v>463267</v>
      </c>
      <c r="J36169">
        <v>5</v>
      </c>
    </row>
    <row r="36170" spans="1:10" x14ac:dyDescent="0.25">
      <c r="A36170" t="s">
        <v>391</v>
      </c>
      <c r="B36170" s="1" t="str">
        <f>HYPERLINK("http://umusic.co.uk","umusic.co.uk")</f>
        <v>umusic.co.uk</v>
      </c>
      <c r="C36170" t="s">
        <v>506</v>
      </c>
      <c r="D36170" t="s">
        <v>880</v>
      </c>
      <c r="E36170">
        <v>235954</v>
      </c>
      <c r="F36170">
        <v>8.9446017431396105E-7</v>
      </c>
      <c r="G36170">
        <v>45065</v>
      </c>
      <c r="H36170">
        <v>14568333</v>
      </c>
      <c r="I36170">
        <v>737466</v>
      </c>
      <c r="J36170">
        <v>4</v>
      </c>
    </row>
    <row r="36171" spans="1:10" x14ac:dyDescent="0.25">
      <c r="A36171" t="s">
        <v>391</v>
      </c>
      <c r="B36171" s="1" t="str">
        <f>HYPERLINK("http://umusicpub.co.uk","umusicpub.co.uk")</f>
        <v>umusicpub.co.uk</v>
      </c>
      <c r="C36171" t="s">
        <v>506</v>
      </c>
      <c r="D36171" t="s">
        <v>880</v>
      </c>
      <c r="F36171">
        <v>3.1797402879316098E-8</v>
      </c>
      <c r="G36171">
        <v>1624122</v>
      </c>
      <c r="H36171">
        <v>14703762</v>
      </c>
      <c r="I36171">
        <v>589045</v>
      </c>
      <c r="J36171">
        <v>8</v>
      </c>
    </row>
    <row r="36172" spans="1:10" x14ac:dyDescent="0.25">
      <c r="A36172" t="s">
        <v>391</v>
      </c>
      <c r="B36172" s="1" t="str">
        <f>HYPERLINK("http://unippm.co.uk","unippm.co.uk")</f>
        <v>unippm.co.uk</v>
      </c>
      <c r="C36172" t="s">
        <v>506</v>
      </c>
      <c r="D36172" t="s">
        <v>880</v>
      </c>
      <c r="F36172">
        <v>1.78001128571269E-8</v>
      </c>
      <c r="G36172">
        <v>3074826</v>
      </c>
      <c r="H36172">
        <v>14509723</v>
      </c>
      <c r="I36172">
        <v>825488</v>
      </c>
      <c r="J36172">
        <v>9</v>
      </c>
    </row>
    <row r="36173" spans="1:10" x14ac:dyDescent="0.25">
      <c r="A36173" t="s">
        <v>391</v>
      </c>
      <c r="B36173" s="1" t="str">
        <f>HYPERLINK("http://vertigorecords.co.uk","vertigorecords.co.uk")</f>
        <v>vertigorecords.co.uk</v>
      </c>
      <c r="C36173" t="s">
        <v>506</v>
      </c>
      <c r="D36173" t="s">
        <v>880</v>
      </c>
      <c r="F36173">
        <v>5.9953874897343597E-9</v>
      </c>
      <c r="G36173">
        <v>16712977</v>
      </c>
      <c r="H36173">
        <v>14076788</v>
      </c>
      <c r="I36173">
        <v>2879878</v>
      </c>
      <c r="J36173">
        <v>5</v>
      </c>
    </row>
    <row r="36174" spans="1:10" x14ac:dyDescent="0.25">
      <c r="A36174" t="s">
        <v>391</v>
      </c>
      <c r="B36174" s="1" t="str">
        <f>HYPERLINK("http://chinoynacho.com.ve","chinoynacho.com.ve")</f>
        <v>chinoynacho.com.ve</v>
      </c>
      <c r="C36174" t="s">
        <v>508</v>
      </c>
      <c r="D36174" t="s">
        <v>882</v>
      </c>
      <c r="F36174">
        <v>5.8557059086161302E-9</v>
      </c>
      <c r="G36174">
        <v>17669062</v>
      </c>
      <c r="H36174">
        <v>13163025</v>
      </c>
      <c r="I36174">
        <v>11760427</v>
      </c>
      <c r="J36174">
        <v>5</v>
      </c>
    </row>
    <row r="36175" spans="1:10" x14ac:dyDescent="0.25">
      <c r="A36175" t="s">
        <v>391</v>
      </c>
      <c r="B36175" s="1" t="str">
        <f>HYPERLINK("http://abbeyroadinstitute.co.za","abbeyroadinstitute.co.za")</f>
        <v>abbeyroadinstitute.co.za</v>
      </c>
      <c r="C36175" t="s">
        <v>510</v>
      </c>
      <c r="D36175" t="s">
        <v>884</v>
      </c>
      <c r="F36175">
        <v>5.0178184986356904E-9</v>
      </c>
      <c r="G36175">
        <v>28953298</v>
      </c>
      <c r="H36175">
        <v>10872476</v>
      </c>
      <c r="I36175">
        <v>36459216</v>
      </c>
      <c r="J36175">
        <v>10</v>
      </c>
    </row>
    <row r="36176" spans="1:10" x14ac:dyDescent="0.25">
      <c r="A36176" t="s">
        <v>392</v>
      </c>
      <c r="B36176" s="1" t="str">
        <f>HYPERLINK("http://spring.academy","spring.academy")</f>
        <v>spring.academy</v>
      </c>
      <c r="C36176" t="s">
        <v>514</v>
      </c>
      <c r="F36176">
        <v>1.3383123339681299E-8</v>
      </c>
      <c r="G36176">
        <v>4455212</v>
      </c>
      <c r="H36176">
        <v>12863523</v>
      </c>
      <c r="I36176">
        <v>14173088</v>
      </c>
      <c r="J36176">
        <v>7</v>
      </c>
    </row>
    <row r="36177" spans="1:10" x14ac:dyDescent="0.25">
      <c r="A36177" t="s">
        <v>392</v>
      </c>
      <c r="B36177" s="1" t="str">
        <f>HYPERLINK("http://vmware.be","vmware.be")</f>
        <v>vmware.be</v>
      </c>
      <c r="C36177" t="s">
        <v>421</v>
      </c>
      <c r="D36177" t="s">
        <v>803</v>
      </c>
      <c r="F36177">
        <v>6.61022547712547E-9</v>
      </c>
      <c r="G36177">
        <v>13638144</v>
      </c>
      <c r="H36177">
        <v>12783125</v>
      </c>
      <c r="I36177">
        <v>14729289</v>
      </c>
      <c r="J36177">
        <v>2</v>
      </c>
    </row>
    <row r="36178" spans="1:10" x14ac:dyDescent="0.25">
      <c r="A36178" t="s">
        <v>392</v>
      </c>
      <c r="B36178" s="1" t="str">
        <f>HYPERLINK("http://vmware.ca","vmware.ca")</f>
        <v>vmware.ca</v>
      </c>
      <c r="C36178" t="s">
        <v>428</v>
      </c>
      <c r="D36178" t="s">
        <v>809</v>
      </c>
      <c r="F36178">
        <v>5.9499968862069802E-9</v>
      </c>
      <c r="G36178">
        <v>17022702</v>
      </c>
      <c r="H36178">
        <v>12783128</v>
      </c>
      <c r="I36178">
        <v>14729138</v>
      </c>
      <c r="J36178">
        <v>2</v>
      </c>
    </row>
    <row r="36179" spans="1:10" x14ac:dyDescent="0.25">
      <c r="A36179" t="s">
        <v>392</v>
      </c>
      <c r="B36179" s="1" t="str">
        <f>HYPERLINK("http://vcpp.cloud","vcpp.cloud")</f>
        <v>vcpp.cloud</v>
      </c>
      <c r="C36179" t="s">
        <v>516</v>
      </c>
      <c r="F36179">
        <v>7.7367341147220593E-9</v>
      </c>
      <c r="G36179">
        <v>10493652</v>
      </c>
      <c r="H36179">
        <v>12783135</v>
      </c>
      <c r="I36179">
        <v>14728914</v>
      </c>
      <c r="J36179">
        <v>2</v>
      </c>
    </row>
    <row r="36180" spans="1:10" x14ac:dyDescent="0.25">
      <c r="A36180" t="s">
        <v>392</v>
      </c>
      <c r="B36180" s="1" t="str">
        <f>HYPERLINK("http://vmware.com.cn","vmware.com.cn")</f>
        <v>vmware.com.cn</v>
      </c>
      <c r="C36180" t="s">
        <v>431</v>
      </c>
      <c r="D36180" t="s">
        <v>812</v>
      </c>
      <c r="F36180">
        <v>6.4780810213224501E-9</v>
      </c>
      <c r="G36180">
        <v>14170935</v>
      </c>
      <c r="H36180">
        <v>12847539</v>
      </c>
      <c r="I36180">
        <v>14304880</v>
      </c>
      <c r="J36180">
        <v>2</v>
      </c>
    </row>
    <row r="36181" spans="1:10" x14ac:dyDescent="0.25">
      <c r="A36181" t="s">
        <v>392</v>
      </c>
      <c r="B36181" s="1" t="str">
        <f>HYPERLINK("http://activeconversion.com","activeconversion.com")</f>
        <v>activeconversion.com</v>
      </c>
      <c r="C36181" t="s">
        <v>433</v>
      </c>
      <c r="F36181">
        <v>1.8063737520029001E-7</v>
      </c>
      <c r="G36181">
        <v>213855</v>
      </c>
      <c r="H36181">
        <v>17085052</v>
      </c>
      <c r="I36181">
        <v>67103</v>
      </c>
      <c r="J36181">
        <v>4</v>
      </c>
    </row>
    <row r="36182" spans="1:10" x14ac:dyDescent="0.25">
      <c r="A36182" t="s">
        <v>392</v>
      </c>
      <c r="B36182" s="1" t="str">
        <f>HYPERLINK("http://air-watch.com","air-watch.com")</f>
        <v>air-watch.com</v>
      </c>
      <c r="C36182" t="s">
        <v>433</v>
      </c>
      <c r="E36182">
        <v>121680</v>
      </c>
      <c r="F36182">
        <v>5.7629518079102997E-7</v>
      </c>
      <c r="G36182">
        <v>66287</v>
      </c>
      <c r="H36182">
        <v>17161304</v>
      </c>
      <c r="I36182">
        <v>49687</v>
      </c>
      <c r="J36182">
        <v>2</v>
      </c>
    </row>
    <row r="36183" spans="1:10" x14ac:dyDescent="0.25">
      <c r="A36183" t="s">
        <v>392</v>
      </c>
      <c r="B36183" s="1" t="str">
        <f>HYPERLINK("http://andreanolanusse.com","andreanolanusse.com")</f>
        <v>andreanolanusse.com</v>
      </c>
      <c r="C36183" t="s">
        <v>433</v>
      </c>
      <c r="F36183">
        <v>2.62770239219534E-8</v>
      </c>
      <c r="G36183">
        <v>1959730</v>
      </c>
      <c r="H36183">
        <v>14136142</v>
      </c>
      <c r="I36183">
        <v>1964240</v>
      </c>
      <c r="J36183">
        <v>3</v>
      </c>
    </row>
    <row r="36184" spans="1:10" x14ac:dyDescent="0.25">
      <c r="A36184" t="s">
        <v>392</v>
      </c>
      <c r="B36184" s="1" t="str">
        <f>HYPERLINK("http://avinetworks.com","avinetworks.com")</f>
        <v>avinetworks.com</v>
      </c>
      <c r="C36184" t="s">
        <v>433</v>
      </c>
      <c r="E36184">
        <v>182055</v>
      </c>
      <c r="F36184">
        <v>7.7532451620961197E-7</v>
      </c>
      <c r="G36184">
        <v>50508</v>
      </c>
      <c r="H36184">
        <v>15119107</v>
      </c>
      <c r="I36184">
        <v>403849</v>
      </c>
      <c r="J36184">
        <v>3</v>
      </c>
    </row>
    <row r="36185" spans="1:10" x14ac:dyDescent="0.25">
      <c r="A36185" t="s">
        <v>392</v>
      </c>
      <c r="B36185" s="1" t="str">
        <f>HYPERLINK("http://carbonblack.com","carbonblack.com")</f>
        <v>carbonblack.com</v>
      </c>
      <c r="C36185" t="s">
        <v>433</v>
      </c>
      <c r="E36185">
        <v>67985</v>
      </c>
      <c r="F36185">
        <v>2.1854495902255602E-6</v>
      </c>
      <c r="G36185">
        <v>16786</v>
      </c>
      <c r="H36185">
        <v>17625242</v>
      </c>
      <c r="I36185">
        <v>8988</v>
      </c>
      <c r="J36185">
        <v>2</v>
      </c>
    </row>
    <row r="36186" spans="1:10" x14ac:dyDescent="0.25">
      <c r="A36186" t="s">
        <v>392</v>
      </c>
      <c r="B36186" s="1" t="str">
        <f>HYPERLINK("http://cloudcredibility.com","cloudcredibility.com")</f>
        <v>cloudcredibility.com</v>
      </c>
      <c r="C36186" t="s">
        <v>433</v>
      </c>
      <c r="F36186">
        <v>1.06483871237994E-8</v>
      </c>
      <c r="G36186">
        <v>6142859</v>
      </c>
      <c r="H36186">
        <v>14123768</v>
      </c>
      <c r="I36186">
        <v>2164481</v>
      </c>
      <c r="J36186">
        <v>2</v>
      </c>
    </row>
    <row r="36187" spans="1:10" x14ac:dyDescent="0.25">
      <c r="A36187" t="s">
        <v>392</v>
      </c>
      <c r="B36187" s="1" t="str">
        <f>HYPERLINK("http://cloudhealthtech.com","cloudhealthtech.com")</f>
        <v>cloudhealthtech.com</v>
      </c>
      <c r="C36187" t="s">
        <v>433</v>
      </c>
      <c r="E36187">
        <v>130023</v>
      </c>
      <c r="F36187">
        <v>3.3142934865323299E-7</v>
      </c>
      <c r="G36187">
        <v>112437</v>
      </c>
      <c r="H36187">
        <v>15177197</v>
      </c>
      <c r="I36187">
        <v>397568</v>
      </c>
      <c r="J36187">
        <v>3</v>
      </c>
    </row>
    <row r="36188" spans="1:10" x14ac:dyDescent="0.25">
      <c r="A36188" t="s">
        <v>392</v>
      </c>
      <c r="B36188" s="1" t="str">
        <f>HYPERLINK("http://csp-vidm.com","csp-vidm.com")</f>
        <v>csp-vidm.com</v>
      </c>
      <c r="C36188" t="s">
        <v>433</v>
      </c>
      <c r="J36188">
        <v>2</v>
      </c>
    </row>
    <row r="36189" spans="1:10" x14ac:dyDescent="0.25">
      <c r="A36189" t="s">
        <v>392</v>
      </c>
      <c r="B36189" s="1" t="str">
        <f>HYPERLINK("http://csp-vidm-prod.com","csp-vidm-prod.com")</f>
        <v>csp-vidm-prod.com</v>
      </c>
      <c r="C36189" t="s">
        <v>433</v>
      </c>
      <c r="F36189">
        <v>5.7369689180353303E-9</v>
      </c>
      <c r="G36189">
        <v>18605363</v>
      </c>
      <c r="H36189">
        <v>12783206</v>
      </c>
      <c r="I36189">
        <v>14727997</v>
      </c>
      <c r="J36189">
        <v>2</v>
      </c>
    </row>
    <row r="36190" spans="1:10" x14ac:dyDescent="0.25">
      <c r="A36190" t="s">
        <v>392</v>
      </c>
      <c r="B36190" s="1" t="str">
        <f>HYPERLINK("http://data-business-services.com","data-business-services.com")</f>
        <v>data-business-services.com</v>
      </c>
      <c r="C36190" t="s">
        <v>433</v>
      </c>
      <c r="F36190">
        <v>5.0628404457958099E-9</v>
      </c>
      <c r="G36190">
        <v>27942892</v>
      </c>
      <c r="H36190">
        <v>10050864</v>
      </c>
      <c r="I36190">
        <v>60407531</v>
      </c>
      <c r="J36190">
        <v>4</v>
      </c>
    </row>
    <row r="36191" spans="1:10" x14ac:dyDescent="0.25">
      <c r="A36191" t="s">
        <v>392</v>
      </c>
      <c r="B36191" s="1" t="str">
        <f>HYPERLINK("http://datrium.com","datrium.com")</f>
        <v>datrium.com</v>
      </c>
      <c r="C36191" t="s">
        <v>433</v>
      </c>
      <c r="E36191">
        <v>700562</v>
      </c>
      <c r="F36191">
        <v>1.12332569420542E-7</v>
      </c>
      <c r="G36191">
        <v>355557</v>
      </c>
      <c r="H36191">
        <v>14094512</v>
      </c>
      <c r="I36191">
        <v>2732013</v>
      </c>
      <c r="J36191">
        <v>3</v>
      </c>
    </row>
    <row r="36192" spans="1:10" x14ac:dyDescent="0.25">
      <c r="A36192" t="s">
        <v>392</v>
      </c>
      <c r="B36192" s="1" t="str">
        <f>HYPERLINK("http://getws1.com","getws1.com")</f>
        <v>getws1.com</v>
      </c>
      <c r="C36192" t="s">
        <v>433</v>
      </c>
      <c r="E36192">
        <v>991771</v>
      </c>
      <c r="F36192">
        <v>6.199500906218E-9</v>
      </c>
      <c r="G36192">
        <v>15539273</v>
      </c>
      <c r="H36192">
        <v>12810488</v>
      </c>
      <c r="I36192">
        <v>14586532</v>
      </c>
      <c r="J36192">
        <v>2</v>
      </c>
    </row>
    <row r="36193" spans="1:10" x14ac:dyDescent="0.25">
      <c r="A36193" t="s">
        <v>392</v>
      </c>
      <c r="B36193" s="1" t="str">
        <f>HYPERLINK("http://getwsone.com","getwsone.com")</f>
        <v>getwsone.com</v>
      </c>
      <c r="C36193" t="s">
        <v>433</v>
      </c>
      <c r="E36193">
        <v>502865</v>
      </c>
      <c r="F36193">
        <v>3.3989494533470197E-8</v>
      </c>
      <c r="G36193">
        <v>1523388</v>
      </c>
      <c r="H36193">
        <v>13953406</v>
      </c>
      <c r="I36193">
        <v>4150689</v>
      </c>
      <c r="J36193">
        <v>2</v>
      </c>
    </row>
    <row r="36194" spans="1:10" x14ac:dyDescent="0.25">
      <c r="A36194" t="s">
        <v>392</v>
      </c>
      <c r="B36194" s="1" t="str">
        <f>HYPERLINK("http://immidio.com","immidio.com")</f>
        <v>immidio.com</v>
      </c>
      <c r="C36194" t="s">
        <v>433</v>
      </c>
      <c r="F36194">
        <v>2.2256013855850301E-8</v>
      </c>
      <c r="G36194">
        <v>2356080</v>
      </c>
      <c r="H36194">
        <v>13809887</v>
      </c>
      <c r="I36194">
        <v>6213878</v>
      </c>
      <c r="J36194">
        <v>4</v>
      </c>
    </row>
    <row r="36195" spans="1:10" x14ac:dyDescent="0.25">
      <c r="A36195" t="s">
        <v>392</v>
      </c>
      <c r="B36195" s="1" t="str">
        <f>HYPERLINK("http://metistec.com","metistec.com")</f>
        <v>metistec.com</v>
      </c>
      <c r="C36195" t="s">
        <v>433</v>
      </c>
      <c r="F36195">
        <v>4.4463670272730904E-9</v>
      </c>
      <c r="G36195">
        <v>74373125</v>
      </c>
      <c r="H36195">
        <v>10786538</v>
      </c>
      <c r="I36195">
        <v>38636804</v>
      </c>
      <c r="J36195">
        <v>4</v>
      </c>
    </row>
    <row r="36196" spans="1:10" x14ac:dyDescent="0.25">
      <c r="A36196" t="s">
        <v>392</v>
      </c>
      <c r="B36196" s="1" t="str">
        <f>HYPERLINK("http://myfuturereadyworkspace.com","myfuturereadyworkspace.com")</f>
        <v>myfuturereadyworkspace.com</v>
      </c>
      <c r="C36196" t="s">
        <v>433</v>
      </c>
      <c r="J36196">
        <v>2</v>
      </c>
    </row>
    <row r="36197" spans="1:10" x14ac:dyDescent="0.25">
      <c r="A36197" t="s">
        <v>392</v>
      </c>
      <c r="B36197" s="1" t="str">
        <f>HYPERLINK("http://myvmware.com","myvmware.com")</f>
        <v>myvmware.com</v>
      </c>
      <c r="C36197" t="s">
        <v>433</v>
      </c>
      <c r="F36197">
        <v>9.98262400174953E-9</v>
      </c>
      <c r="G36197">
        <v>6773061</v>
      </c>
      <c r="H36197">
        <v>12822534</v>
      </c>
      <c r="I36197">
        <v>14489414</v>
      </c>
      <c r="J36197">
        <v>2</v>
      </c>
    </row>
    <row r="36198" spans="1:10" x14ac:dyDescent="0.25">
      <c r="A36198" t="s">
        <v>392</v>
      </c>
      <c r="B36198" s="1" t="str">
        <f>HYPERLINK("http://nicira.com","nicira.com")</f>
        <v>nicira.com</v>
      </c>
      <c r="C36198" t="s">
        <v>433</v>
      </c>
      <c r="F36198">
        <v>4.7753327753006003E-8</v>
      </c>
      <c r="G36198">
        <v>974598</v>
      </c>
      <c r="H36198">
        <v>14180234</v>
      </c>
      <c r="I36198">
        <v>1781057</v>
      </c>
      <c r="J36198">
        <v>3</v>
      </c>
    </row>
    <row r="36199" spans="1:10" x14ac:dyDescent="0.25">
      <c r="A36199" t="s">
        <v>392</v>
      </c>
      <c r="B36199" s="1" t="str">
        <f>HYPERLINK("http://saltstack.com","saltstack.com")</f>
        <v>saltstack.com</v>
      </c>
      <c r="C36199" t="s">
        <v>433</v>
      </c>
      <c r="E36199">
        <v>51340</v>
      </c>
      <c r="F36199">
        <v>4.8296029778432996E-6</v>
      </c>
      <c r="G36199">
        <v>7251</v>
      </c>
      <c r="H36199">
        <v>17866304</v>
      </c>
      <c r="I36199">
        <v>4792</v>
      </c>
      <c r="J36199">
        <v>4</v>
      </c>
    </row>
    <row r="36200" spans="1:10" x14ac:dyDescent="0.25">
      <c r="A36200" t="s">
        <v>392</v>
      </c>
      <c r="B36200" s="1" t="str">
        <f>HYPERLINK("http://springsource.com","springsource.com")</f>
        <v>springsource.com</v>
      </c>
      <c r="C36200" t="s">
        <v>433</v>
      </c>
      <c r="E36200">
        <v>156739</v>
      </c>
      <c r="F36200">
        <v>5.4647077214587405E-7</v>
      </c>
      <c r="G36200">
        <v>70742</v>
      </c>
      <c r="H36200">
        <v>17233664</v>
      </c>
      <c r="I36200">
        <v>36350</v>
      </c>
      <c r="J36200">
        <v>9</v>
      </c>
    </row>
    <row r="36201" spans="1:10" x14ac:dyDescent="0.25">
      <c r="A36201" t="s">
        <v>392</v>
      </c>
      <c r="B36201" s="1" t="str">
        <f>HYPERLINK("http://velocloud.com","velocloud.com")</f>
        <v>velocloud.com</v>
      </c>
      <c r="C36201" t="s">
        <v>433</v>
      </c>
      <c r="E36201">
        <v>820893</v>
      </c>
      <c r="F36201">
        <v>2.02416703560368E-7</v>
      </c>
      <c r="G36201">
        <v>187907</v>
      </c>
      <c r="H36201">
        <v>14764271</v>
      </c>
      <c r="I36201">
        <v>559464</v>
      </c>
      <c r="J36201">
        <v>2</v>
      </c>
    </row>
    <row r="36202" spans="1:10" x14ac:dyDescent="0.25">
      <c r="A36202" t="s">
        <v>392</v>
      </c>
      <c r="B36202" s="1" t="str">
        <f>HYPERLINK("http://vidmtest.com","vidmtest.com")</f>
        <v>vidmtest.com</v>
      </c>
      <c r="C36202" t="s">
        <v>433</v>
      </c>
      <c r="J36202">
        <v>2</v>
      </c>
    </row>
    <row r="36203" spans="1:10" x14ac:dyDescent="0.25">
      <c r="A36203" t="s">
        <v>392</v>
      </c>
      <c r="B36203" s="1" t="str">
        <f>HYPERLINK("http://vmeduc.com","vmeduc.com")</f>
        <v>vmeduc.com</v>
      </c>
      <c r="C36203" t="s">
        <v>433</v>
      </c>
      <c r="J36203">
        <v>2</v>
      </c>
    </row>
    <row r="36204" spans="1:10" x14ac:dyDescent="0.25">
      <c r="A36204" t="s">
        <v>392</v>
      </c>
      <c r="B36204" s="1" t="str">
        <f>HYPERLINK("http://vmw.com","vmw.com")</f>
        <v>vmw.com</v>
      </c>
      <c r="C36204" t="s">
        <v>433</v>
      </c>
      <c r="F36204">
        <v>1.0769008166420899E-7</v>
      </c>
      <c r="G36204">
        <v>371733</v>
      </c>
      <c r="H36204">
        <v>16888384</v>
      </c>
      <c r="I36204">
        <v>135895</v>
      </c>
      <c r="J36204">
        <v>2</v>
      </c>
    </row>
    <row r="36205" spans="1:10" x14ac:dyDescent="0.25">
      <c r="A36205" t="s">
        <v>392</v>
      </c>
      <c r="B36205" s="1" t="str">
        <f>HYPERLINK("http://vmware.com","vmware.com")</f>
        <v>vmware.com</v>
      </c>
      <c r="C36205" t="s">
        <v>433</v>
      </c>
      <c r="E36205">
        <v>916</v>
      </c>
      <c r="F36205">
        <v>2.3142976468036399E-5</v>
      </c>
      <c r="G36205">
        <v>1255</v>
      </c>
      <c r="H36205">
        <v>18551614</v>
      </c>
      <c r="I36205">
        <v>1412</v>
      </c>
      <c r="J36205">
        <v>1</v>
      </c>
    </row>
    <row r="36206" spans="1:10" x14ac:dyDescent="0.25">
      <c r="A36206" t="s">
        <v>392</v>
      </c>
      <c r="B36206" s="1" t="str">
        <f>HYPERLINK("http://vmwaredrx.com","vmwaredrx.com")</f>
        <v>vmwaredrx.com</v>
      </c>
      <c r="C36206" t="s">
        <v>433</v>
      </c>
      <c r="F36206">
        <v>4.4869889140492703E-9</v>
      </c>
      <c r="G36206">
        <v>61019409</v>
      </c>
      <c r="H36206">
        <v>10533471</v>
      </c>
      <c r="I36206">
        <v>47868266</v>
      </c>
      <c r="J36206">
        <v>2</v>
      </c>
    </row>
    <row r="36207" spans="1:10" x14ac:dyDescent="0.25">
      <c r="A36207" t="s">
        <v>392</v>
      </c>
      <c r="B36207" s="1" t="str">
        <f>HYPERLINK("http://vmwarefedstg.com","vmwarefedstg.com")</f>
        <v>vmwarefedstg.com</v>
      </c>
      <c r="C36207" t="s">
        <v>433</v>
      </c>
      <c r="J36207">
        <v>2</v>
      </c>
    </row>
    <row r="36208" spans="1:10" x14ac:dyDescent="0.25">
      <c r="A36208" t="s">
        <v>392</v>
      </c>
      <c r="B36208" s="1" t="str">
        <f>HYPERLINK("http://vmwarelearningplatform.com","vmwarelearningplatform.com")</f>
        <v>vmwarelearningplatform.com</v>
      </c>
      <c r="C36208" t="s">
        <v>433</v>
      </c>
      <c r="F36208">
        <v>8.3663662099037801E-9</v>
      </c>
      <c r="G36208">
        <v>9112430</v>
      </c>
      <c r="H36208">
        <v>13411215</v>
      </c>
      <c r="I36208">
        <v>10332860</v>
      </c>
      <c r="J36208">
        <v>2</v>
      </c>
    </row>
    <row r="36209" spans="1:10" x14ac:dyDescent="0.25">
      <c r="A36209" t="s">
        <v>392</v>
      </c>
      <c r="B36209" s="1" t="str">
        <f>HYPERLINK("http://vmwareremotehelp.com","vmwareremotehelp.com")</f>
        <v>vmwareremotehelp.com</v>
      </c>
      <c r="C36209" t="s">
        <v>433</v>
      </c>
      <c r="J36209">
        <v>2</v>
      </c>
    </row>
    <row r="36210" spans="1:10" x14ac:dyDescent="0.25">
      <c r="A36210" t="s">
        <v>392</v>
      </c>
      <c r="B36210" s="1" t="str">
        <f>HYPERLINK("http://vmwarestories.com","vmwarestories.com")</f>
        <v>vmwarestories.com</v>
      </c>
      <c r="C36210" t="s">
        <v>433</v>
      </c>
      <c r="J36210">
        <v>2</v>
      </c>
    </row>
    <row r="36211" spans="1:10" x14ac:dyDescent="0.25">
      <c r="A36211" t="s">
        <v>392</v>
      </c>
      <c r="B36211" s="1" t="str">
        <f>HYPERLINK("http://vmwarevmc.com","vmwarevmc.com")</f>
        <v>vmwarevmc.com</v>
      </c>
      <c r="C36211" t="s">
        <v>433</v>
      </c>
      <c r="E36211">
        <v>74910</v>
      </c>
      <c r="F36211">
        <v>8.3519442787306997E-9</v>
      </c>
      <c r="G36211">
        <v>9142301</v>
      </c>
      <c r="H36211">
        <v>12178680</v>
      </c>
      <c r="I36211">
        <v>23846363</v>
      </c>
      <c r="J36211">
        <v>2</v>
      </c>
    </row>
    <row r="36212" spans="1:10" x14ac:dyDescent="0.25">
      <c r="A36212" t="s">
        <v>392</v>
      </c>
      <c r="B36212" s="1" t="str">
        <f>HYPERLINK("http://vmwlearningplatform.com","vmwlearningplatform.com")</f>
        <v>vmwlearningplatform.com</v>
      </c>
      <c r="C36212" t="s">
        <v>433</v>
      </c>
      <c r="J36212">
        <v>2</v>
      </c>
    </row>
    <row r="36213" spans="1:10" x14ac:dyDescent="0.25">
      <c r="A36213" t="s">
        <v>392</v>
      </c>
      <c r="B36213" s="1" t="str">
        <f>HYPERLINK("http://vmwlp.com","vmwlp.com")</f>
        <v>vmwlp.com</v>
      </c>
      <c r="C36213" t="s">
        <v>433</v>
      </c>
      <c r="F36213">
        <v>4.5032674861327802E-9</v>
      </c>
      <c r="G36213">
        <v>58461675</v>
      </c>
      <c r="H36213">
        <v>10436496</v>
      </c>
      <c r="I36213">
        <v>52667932</v>
      </c>
      <c r="J36213">
        <v>2</v>
      </c>
    </row>
    <row r="36214" spans="1:10" x14ac:dyDescent="0.25">
      <c r="A36214" t="s">
        <v>392</v>
      </c>
      <c r="B36214" s="1" t="str">
        <f>HYPERLINK("http://vmworld.com","vmworld.com")</f>
        <v>vmworld.com</v>
      </c>
      <c r="C36214" t="s">
        <v>433</v>
      </c>
      <c r="E36214">
        <v>205496</v>
      </c>
      <c r="F36214">
        <v>1.0854141982146399E-6</v>
      </c>
      <c r="G36214">
        <v>35485</v>
      </c>
      <c r="H36214">
        <v>15156169</v>
      </c>
      <c r="I36214">
        <v>399515</v>
      </c>
      <c r="J36214">
        <v>2</v>
      </c>
    </row>
    <row r="36215" spans="1:10" x14ac:dyDescent="0.25">
      <c r="A36215" t="s">
        <v>392</v>
      </c>
      <c r="B36215" s="1" t="str">
        <f>HYPERLINK("http://wavefront.com","wavefront.com")</f>
        <v>wavefront.com</v>
      </c>
      <c r="C36215" t="s">
        <v>433</v>
      </c>
      <c r="E36215">
        <v>176472</v>
      </c>
      <c r="F36215">
        <v>6.9565710843026904E-7</v>
      </c>
      <c r="G36215">
        <v>55521</v>
      </c>
      <c r="H36215">
        <v>14812276</v>
      </c>
      <c r="I36215">
        <v>530506</v>
      </c>
      <c r="J36215">
        <v>2</v>
      </c>
    </row>
    <row r="36216" spans="1:10" x14ac:dyDescent="0.25">
      <c r="A36216" t="s">
        <v>392</v>
      </c>
      <c r="B36216" s="1" t="str">
        <f>HYPERLINK("http://whatisworkspaceone.com","whatisworkspaceone.com")</f>
        <v>whatisworkspaceone.com</v>
      </c>
      <c r="C36216" t="s">
        <v>433</v>
      </c>
      <c r="E36216">
        <v>645436</v>
      </c>
      <c r="F36216">
        <v>3.8851924304274297E-8</v>
      </c>
      <c r="G36216">
        <v>1327177</v>
      </c>
      <c r="H36216">
        <v>13565372</v>
      </c>
      <c r="I36216">
        <v>9816254</v>
      </c>
      <c r="J36216">
        <v>2</v>
      </c>
    </row>
    <row r="36217" spans="1:10" x14ac:dyDescent="0.25">
      <c r="A36217" t="s">
        <v>392</v>
      </c>
      <c r="B36217" s="1" t="str">
        <f>HYPERLINK("http://workspaceone.com","workspaceone.com")</f>
        <v>workspaceone.com</v>
      </c>
      <c r="C36217" t="s">
        <v>433</v>
      </c>
      <c r="E36217">
        <v>692868</v>
      </c>
      <c r="F36217">
        <v>3.1841343055974802E-7</v>
      </c>
      <c r="G36217">
        <v>116822</v>
      </c>
      <c r="H36217">
        <v>14133197</v>
      </c>
      <c r="I36217">
        <v>1991235</v>
      </c>
      <c r="J36217">
        <v>2</v>
      </c>
    </row>
    <row r="36218" spans="1:10" x14ac:dyDescent="0.25">
      <c r="A36218" t="s">
        <v>392</v>
      </c>
      <c r="B36218" s="1" t="str">
        <f>HYPERLINK("http://cbcloud.de","cbcloud.de")</f>
        <v>cbcloud.de</v>
      </c>
      <c r="C36218" t="s">
        <v>436</v>
      </c>
      <c r="D36218" t="s">
        <v>815</v>
      </c>
      <c r="E36218">
        <v>60425</v>
      </c>
      <c r="F36218">
        <v>4.44380996400719E-9</v>
      </c>
      <c r="G36218">
        <v>79633077</v>
      </c>
      <c r="H36218">
        <v>10351910</v>
      </c>
      <c r="I36218">
        <v>56138329</v>
      </c>
      <c r="J36218">
        <v>2</v>
      </c>
    </row>
    <row r="36219" spans="1:10" x14ac:dyDescent="0.25">
      <c r="A36219" t="s">
        <v>392</v>
      </c>
      <c r="B36219" s="1" t="str">
        <f>HYPERLINK("http://vmware.de","vmware.de")</f>
        <v>vmware.de</v>
      </c>
      <c r="C36219" t="s">
        <v>436</v>
      </c>
      <c r="D36219" t="s">
        <v>815</v>
      </c>
      <c r="F36219">
        <v>3.3026008833083701E-8</v>
      </c>
      <c r="G36219">
        <v>1564281</v>
      </c>
      <c r="H36219">
        <v>13321030</v>
      </c>
      <c r="I36219">
        <v>10745108</v>
      </c>
      <c r="J36219">
        <v>2</v>
      </c>
    </row>
    <row r="36220" spans="1:10" x14ac:dyDescent="0.25">
      <c r="A36220" t="s">
        <v>392</v>
      </c>
      <c r="B36220" s="1" t="str">
        <f>HYPERLINK("http://vmware.design","vmware.design")</f>
        <v>vmware.design</v>
      </c>
      <c r="C36220" t="s">
        <v>582</v>
      </c>
      <c r="F36220">
        <v>2.78827120960907E-8</v>
      </c>
      <c r="G36220">
        <v>1844672</v>
      </c>
      <c r="H36220">
        <v>13588211</v>
      </c>
      <c r="I36220">
        <v>9672019</v>
      </c>
      <c r="J36220">
        <v>2</v>
      </c>
    </row>
    <row r="36221" spans="1:10" x14ac:dyDescent="0.25">
      <c r="A36221" t="s">
        <v>392</v>
      </c>
      <c r="B36221" s="1" t="str">
        <f>HYPERLINK("http://vmware.dk","vmware.dk")</f>
        <v>vmware.dk</v>
      </c>
      <c r="C36221" t="s">
        <v>437</v>
      </c>
      <c r="D36221" t="s">
        <v>816</v>
      </c>
      <c r="F36221">
        <v>4.4577420011089197E-9</v>
      </c>
      <c r="G36221">
        <v>68487842</v>
      </c>
      <c r="H36221">
        <v>10772059</v>
      </c>
      <c r="I36221">
        <v>39169960</v>
      </c>
      <c r="J36221">
        <v>4</v>
      </c>
    </row>
    <row r="36222" spans="1:10" x14ac:dyDescent="0.25">
      <c r="A36222" t="s">
        <v>392</v>
      </c>
      <c r="B36222" s="1" t="str">
        <f>HYPERLINK("http://air-watch.fi","air-watch.fi")</f>
        <v>air-watch.fi</v>
      </c>
      <c r="C36222" t="s">
        <v>445</v>
      </c>
      <c r="D36222" t="s">
        <v>823</v>
      </c>
      <c r="J36222">
        <v>2</v>
      </c>
    </row>
    <row r="36223" spans="1:10" x14ac:dyDescent="0.25">
      <c r="A36223" t="s">
        <v>392</v>
      </c>
      <c r="B36223" s="1" t="str">
        <f>HYPERLINK("http://airwatch.fi","airwatch.fi")</f>
        <v>airwatch.fi</v>
      </c>
      <c r="C36223" t="s">
        <v>445</v>
      </c>
      <c r="D36223" t="s">
        <v>823</v>
      </c>
      <c r="J36223">
        <v>2</v>
      </c>
    </row>
    <row r="36224" spans="1:10" x14ac:dyDescent="0.25">
      <c r="A36224" t="s">
        <v>392</v>
      </c>
      <c r="B36224" s="1" t="str">
        <f>HYPERLINK("http://vmware.fr","vmware.fr")</f>
        <v>vmware.fr</v>
      </c>
      <c r="C36224" t="s">
        <v>446</v>
      </c>
      <c r="D36224" t="s">
        <v>824</v>
      </c>
      <c r="F36224">
        <v>1.53474536864302E-8</v>
      </c>
      <c r="G36224">
        <v>3731470</v>
      </c>
      <c r="H36224">
        <v>12827356</v>
      </c>
      <c r="I36224">
        <v>14450155</v>
      </c>
      <c r="J36224">
        <v>2</v>
      </c>
    </row>
    <row r="36225" spans="1:10" x14ac:dyDescent="0.25">
      <c r="A36225" t="s">
        <v>392</v>
      </c>
      <c r="B36225" s="1" t="str">
        <f>HYPERLINK("http://vmware.ie","vmware.ie")</f>
        <v>vmware.ie</v>
      </c>
      <c r="C36225" t="s">
        <v>455</v>
      </c>
      <c r="D36225" t="s">
        <v>832</v>
      </c>
      <c r="F36225">
        <v>4.5135191294054201E-9</v>
      </c>
      <c r="G36225">
        <v>57045596</v>
      </c>
      <c r="H36225">
        <v>10569717</v>
      </c>
      <c r="I36225">
        <v>46101794</v>
      </c>
      <c r="J36225">
        <v>2</v>
      </c>
    </row>
    <row r="36226" spans="1:10" x14ac:dyDescent="0.25">
      <c r="A36226" t="s">
        <v>392</v>
      </c>
      <c r="B36226" s="1" t="str">
        <f>HYPERLINK("http://bitfusion.io","bitfusion.io")</f>
        <v>bitfusion.io</v>
      </c>
      <c r="C36226" t="s">
        <v>518</v>
      </c>
      <c r="F36226">
        <v>5.3887260606642702E-8</v>
      </c>
      <c r="G36226">
        <v>843286</v>
      </c>
      <c r="H36226">
        <v>14076365</v>
      </c>
      <c r="I36226">
        <v>2889126</v>
      </c>
      <c r="J36226">
        <v>4</v>
      </c>
    </row>
    <row r="36227" spans="1:10" x14ac:dyDescent="0.25">
      <c r="A36227" t="s">
        <v>392</v>
      </c>
      <c r="B36227" s="1" t="str">
        <f>HYPERLINK("http://devopsloop.io","devopsloop.io")</f>
        <v>devopsloop.io</v>
      </c>
      <c r="C36227" t="s">
        <v>518</v>
      </c>
      <c r="F36227">
        <v>3.3184471574859499E-8</v>
      </c>
      <c r="G36227">
        <v>1557028</v>
      </c>
      <c r="H36227">
        <v>13667647</v>
      </c>
      <c r="I36227">
        <v>9559606</v>
      </c>
      <c r="J36227">
        <v>2</v>
      </c>
    </row>
    <row r="36228" spans="1:10" x14ac:dyDescent="0.25">
      <c r="A36228" t="s">
        <v>392</v>
      </c>
      <c r="B36228" s="1" t="str">
        <f>HYPERLINK("http://pivotal.io","pivotal.io")</f>
        <v>pivotal.io</v>
      </c>
      <c r="C36228" t="s">
        <v>518</v>
      </c>
      <c r="E36228">
        <v>51793</v>
      </c>
      <c r="F36228">
        <v>3.4880420044672998E-6</v>
      </c>
      <c r="G36228">
        <v>11690</v>
      </c>
      <c r="H36228">
        <v>17673802</v>
      </c>
      <c r="I36228">
        <v>7863</v>
      </c>
      <c r="J36228">
        <v>2</v>
      </c>
    </row>
    <row r="36229" spans="1:10" x14ac:dyDescent="0.25">
      <c r="A36229" t="s">
        <v>392</v>
      </c>
      <c r="B36229" s="1" t="str">
        <f>HYPERLINK("http://saltproject.io","saltproject.io")</f>
        <v>saltproject.io</v>
      </c>
      <c r="C36229" t="s">
        <v>518</v>
      </c>
      <c r="E36229">
        <v>50388</v>
      </c>
      <c r="F36229">
        <v>1.80651529813673E-6</v>
      </c>
      <c r="G36229">
        <v>21252</v>
      </c>
      <c r="H36229">
        <v>17391040</v>
      </c>
      <c r="I36229">
        <v>19847</v>
      </c>
      <c r="J36229">
        <v>2</v>
      </c>
    </row>
    <row r="36230" spans="1:10" x14ac:dyDescent="0.25">
      <c r="A36230" t="s">
        <v>392</v>
      </c>
      <c r="B36230" s="1" t="str">
        <f>HYPERLINK("http://spring.io","spring.io")</f>
        <v>spring.io</v>
      </c>
      <c r="C36230" t="s">
        <v>518</v>
      </c>
      <c r="E36230">
        <v>5065</v>
      </c>
      <c r="F36230">
        <v>9.5532008894962305E-6</v>
      </c>
      <c r="G36230">
        <v>3531</v>
      </c>
      <c r="H36230">
        <v>18139386</v>
      </c>
      <c r="I36230">
        <v>2962</v>
      </c>
      <c r="J36230">
        <v>6</v>
      </c>
    </row>
    <row r="36231" spans="1:10" x14ac:dyDescent="0.25">
      <c r="A36231" t="s">
        <v>392</v>
      </c>
      <c r="B36231" s="1" t="str">
        <f>HYPERLINK("http://springlive.io","springlive.io")</f>
        <v>springlive.io</v>
      </c>
      <c r="C36231" t="s">
        <v>518</v>
      </c>
      <c r="J36231">
        <v>2</v>
      </c>
    </row>
    <row r="36232" spans="1:10" x14ac:dyDescent="0.25">
      <c r="A36232" t="s">
        <v>392</v>
      </c>
      <c r="B36232" s="1" t="str">
        <f>HYPERLINK("http://vmware.it","vmware.it")</f>
        <v>vmware.it</v>
      </c>
      <c r="C36232" t="s">
        <v>459</v>
      </c>
      <c r="D36232" t="s">
        <v>835</v>
      </c>
      <c r="F36232">
        <v>6.3160929822013703E-9</v>
      </c>
      <c r="G36232">
        <v>14955319</v>
      </c>
      <c r="H36232">
        <v>12783160</v>
      </c>
      <c r="I36232">
        <v>14728503</v>
      </c>
      <c r="J36232">
        <v>2</v>
      </c>
    </row>
    <row r="36233" spans="1:10" x14ac:dyDescent="0.25">
      <c r="A36233" t="s">
        <v>392</v>
      </c>
      <c r="B36233" s="1" t="str">
        <f>HYPERLINK("http://vmware.jobs","vmware.jobs")</f>
        <v>vmware.jobs</v>
      </c>
      <c r="C36233" t="s">
        <v>521</v>
      </c>
      <c r="F36233">
        <v>6.8723086481428598E-9</v>
      </c>
      <c r="G36233">
        <v>12721527</v>
      </c>
      <c r="H36233">
        <v>12989775</v>
      </c>
      <c r="I36233">
        <v>12861448</v>
      </c>
      <c r="J36233">
        <v>2</v>
      </c>
    </row>
    <row r="36234" spans="1:10" x14ac:dyDescent="0.25">
      <c r="A36234" t="s">
        <v>392</v>
      </c>
      <c r="B36234" s="1" t="str">
        <f>HYPERLINK("http://velocloud.net","velocloud.net")</f>
        <v>velocloud.net</v>
      </c>
      <c r="C36234" t="s">
        <v>474</v>
      </c>
      <c r="E36234">
        <v>148721</v>
      </c>
      <c r="F36234">
        <v>3.3160916694853898E-8</v>
      </c>
      <c r="G36234">
        <v>1558074</v>
      </c>
      <c r="H36234">
        <v>13160795</v>
      </c>
      <c r="I36234">
        <v>11785489</v>
      </c>
      <c r="J36234">
        <v>2</v>
      </c>
    </row>
    <row r="36235" spans="1:10" x14ac:dyDescent="0.25">
      <c r="A36235" t="s">
        <v>392</v>
      </c>
      <c r="B36235" s="1" t="str">
        <f>HYPERLINK("http://appconfig.org","appconfig.org")</f>
        <v>appconfig.org</v>
      </c>
      <c r="C36235" t="s">
        <v>481</v>
      </c>
      <c r="F36235">
        <v>4.10056052033486E-7</v>
      </c>
      <c r="G36235">
        <v>91684</v>
      </c>
      <c r="H36235">
        <v>14703318</v>
      </c>
      <c r="I36235">
        <v>589442</v>
      </c>
      <c r="J36235">
        <v>2</v>
      </c>
    </row>
    <row r="36236" spans="1:10" x14ac:dyDescent="0.25">
      <c r="A36236" t="s">
        <v>392</v>
      </c>
      <c r="B36236" s="1" t="str">
        <f>HYPERLINK("http://vmware.pro","vmware.pro")</f>
        <v>vmware.pro</v>
      </c>
      <c r="C36236" t="s">
        <v>574</v>
      </c>
      <c r="F36236">
        <v>7.4947546017255399E-9</v>
      </c>
      <c r="G36236">
        <v>11024886</v>
      </c>
      <c r="H36236">
        <v>12783145</v>
      </c>
      <c r="I36236">
        <v>14728715</v>
      </c>
      <c r="J36236">
        <v>2</v>
      </c>
    </row>
    <row r="36237" spans="1:10" x14ac:dyDescent="0.25">
      <c r="A36237" t="s">
        <v>392</v>
      </c>
      <c r="B36237" s="1" t="str">
        <f>HYPERLINK("http://arcl.us","arcl.us")</f>
        <v>arcl.us</v>
      </c>
      <c r="C36237" t="s">
        <v>522</v>
      </c>
      <c r="D36237" t="s">
        <v>891</v>
      </c>
      <c r="F36237">
        <v>4.44381528729582E-9</v>
      </c>
      <c r="G36237">
        <v>79445740</v>
      </c>
      <c r="H36237">
        <v>10358497</v>
      </c>
      <c r="I36237">
        <v>55435690</v>
      </c>
      <c r="J36237">
        <v>2</v>
      </c>
    </row>
    <row r="36238" spans="1:10" x14ac:dyDescent="0.25">
      <c r="A36238" t="s">
        <v>392</v>
      </c>
      <c r="B36238" s="1" t="str">
        <f>HYPERLINK("http://vmwareidentity.us","vmwareidentity.us")</f>
        <v>vmwareidentity.us</v>
      </c>
      <c r="C36238" t="s">
        <v>522</v>
      </c>
      <c r="D36238" t="s">
        <v>891</v>
      </c>
      <c r="J36238">
        <v>2</v>
      </c>
    </row>
    <row r="36239" spans="1:10" x14ac:dyDescent="0.25">
      <c r="A36239" t="s">
        <v>393</v>
      </c>
      <c r="B36239" s="1" t="str">
        <f>HYPERLINK("http://aliancaenergia.com.br","aliancaenergia.com.br")</f>
        <v>aliancaenergia.com.br</v>
      </c>
      <c r="C36239" t="s">
        <v>425</v>
      </c>
      <c r="D36239" t="s">
        <v>806</v>
      </c>
      <c r="F36239">
        <v>7.3394233000206701E-9</v>
      </c>
      <c r="G36239">
        <v>11385370</v>
      </c>
      <c r="H36239">
        <v>14239875</v>
      </c>
      <c r="I36239">
        <v>1507000</v>
      </c>
      <c r="J36239">
        <v>4</v>
      </c>
    </row>
    <row r="36240" spans="1:10" x14ac:dyDescent="0.25">
      <c r="A36240" t="s">
        <v>393</v>
      </c>
      <c r="B36240" s="1" t="str">
        <f>HYPERLINK("http://circlua.com.br","circlua.com.br")</f>
        <v>circlua.com.br</v>
      </c>
      <c r="C36240" t="s">
        <v>425</v>
      </c>
      <c r="D36240" t="s">
        <v>806</v>
      </c>
      <c r="J36240">
        <v>3</v>
      </c>
    </row>
    <row r="36241" spans="1:10" x14ac:dyDescent="0.25">
      <c r="A36241" t="s">
        <v>393</v>
      </c>
      <c r="B36241" s="1" t="str">
        <f>HYPERLINK("http://samarco.com.br","samarco.com.br")</f>
        <v>samarco.com.br</v>
      </c>
      <c r="C36241" t="s">
        <v>425</v>
      </c>
      <c r="D36241" t="s">
        <v>806</v>
      </c>
      <c r="E36241">
        <v>633369</v>
      </c>
      <c r="F36241">
        <v>8.2263844952380094E-9</v>
      </c>
      <c r="G36241">
        <v>9445713</v>
      </c>
      <c r="H36241">
        <v>14081101</v>
      </c>
      <c r="I36241">
        <v>2813527</v>
      </c>
      <c r="J36241">
        <v>4</v>
      </c>
    </row>
    <row r="36242" spans="1:10" x14ac:dyDescent="0.25">
      <c r="A36242" t="s">
        <v>393</v>
      </c>
      <c r="B36242" s="1" t="str">
        <f>HYPERLINK("http://vale.com.br","vale.com.br")</f>
        <v>vale.com.br</v>
      </c>
      <c r="C36242" t="s">
        <v>425</v>
      </c>
      <c r="D36242" t="s">
        <v>806</v>
      </c>
      <c r="F36242">
        <v>2.0323525944980302E-8</v>
      </c>
      <c r="G36242">
        <v>2610573</v>
      </c>
      <c r="H36242">
        <v>14503070</v>
      </c>
      <c r="I36242">
        <v>844000</v>
      </c>
      <c r="J36242">
        <v>2</v>
      </c>
    </row>
    <row r="36243" spans="1:10" x14ac:dyDescent="0.25">
      <c r="A36243" t="s">
        <v>393</v>
      </c>
      <c r="B36243" s="1" t="str">
        <f>HYPERLINK("http://valesul.com.br","valesul.com.br")</f>
        <v>valesul.com.br</v>
      </c>
      <c r="C36243" t="s">
        <v>425</v>
      </c>
      <c r="D36243" t="s">
        <v>806</v>
      </c>
      <c r="F36243">
        <v>4.9163486943717898E-9</v>
      </c>
      <c r="G36243">
        <v>31868676</v>
      </c>
      <c r="H36243">
        <v>14071789</v>
      </c>
      <c r="I36243">
        <v>3555388</v>
      </c>
      <c r="J36243">
        <v>4</v>
      </c>
    </row>
    <row r="36244" spans="1:10" x14ac:dyDescent="0.25">
      <c r="A36244" t="s">
        <v>393</v>
      </c>
      <c r="B36244" s="1" t="str">
        <f>HYPERLINK("http://samarco.com","samarco.com")</f>
        <v>samarco.com</v>
      </c>
      <c r="C36244" t="s">
        <v>433</v>
      </c>
      <c r="F36244">
        <v>4.3923390548904198E-8</v>
      </c>
      <c r="G36244">
        <v>1084199</v>
      </c>
      <c r="H36244">
        <v>14529833</v>
      </c>
      <c r="I36244">
        <v>787902</v>
      </c>
      <c r="J36244">
        <v>8</v>
      </c>
    </row>
    <row r="36245" spans="1:10" x14ac:dyDescent="0.25">
      <c r="A36245" t="s">
        <v>393</v>
      </c>
      <c r="B36245" s="1" t="str">
        <f>HYPERLINK("http://vale.com","vale.com")</f>
        <v>vale.com</v>
      </c>
      <c r="C36245" t="s">
        <v>433</v>
      </c>
      <c r="E36245">
        <v>54993</v>
      </c>
      <c r="F36245">
        <v>7.8567081589345603E-7</v>
      </c>
      <c r="G36245">
        <v>49957</v>
      </c>
      <c r="H36245">
        <v>15410137</v>
      </c>
      <c r="I36245">
        <v>379743</v>
      </c>
      <c r="J36245">
        <v>1</v>
      </c>
    </row>
    <row r="36246" spans="1:10" x14ac:dyDescent="0.25">
      <c r="A36246" t="s">
        <v>393</v>
      </c>
      <c r="B36246" s="1" t="str">
        <f>HYPERLINK("http://valefertilizantes.com","valefertilizantes.com")</f>
        <v>valefertilizantes.com</v>
      </c>
      <c r="C36246" t="s">
        <v>433</v>
      </c>
      <c r="F36246">
        <v>6.3156934851389501E-9</v>
      </c>
      <c r="G36246">
        <v>14957231</v>
      </c>
      <c r="H36246">
        <v>12852483</v>
      </c>
      <c r="I36246">
        <v>14250966</v>
      </c>
      <c r="J36246">
        <v>4</v>
      </c>
    </row>
    <row r="36247" spans="1:10" x14ac:dyDescent="0.25">
      <c r="A36247" t="s">
        <v>393</v>
      </c>
      <c r="B36247" s="1" t="str">
        <f>HYPERLINK("http://valejapan.com","valejapan.com")</f>
        <v>valejapan.com</v>
      </c>
      <c r="C36247" t="s">
        <v>433</v>
      </c>
      <c r="F36247">
        <v>8.4355554834965796E-9</v>
      </c>
      <c r="G36247">
        <v>8970832</v>
      </c>
      <c r="H36247">
        <v>11338057</v>
      </c>
      <c r="I36247">
        <v>30430577</v>
      </c>
      <c r="J36247">
        <v>3</v>
      </c>
    </row>
    <row r="36248" spans="1:10" x14ac:dyDescent="0.25">
      <c r="A36248" t="s">
        <v>393</v>
      </c>
      <c r="B36248" s="1" t="str">
        <f>HYPERLINK("http://vale.nc","vale.nc")</f>
        <v>vale.nc</v>
      </c>
      <c r="C36248" t="s">
        <v>724</v>
      </c>
      <c r="D36248" t="s">
        <v>1008</v>
      </c>
      <c r="F36248">
        <v>2.44703127937669E-8</v>
      </c>
      <c r="G36248">
        <v>2117355</v>
      </c>
      <c r="H36248">
        <v>12645807</v>
      </c>
      <c r="I36248">
        <v>15828426</v>
      </c>
      <c r="J36248">
        <v>2</v>
      </c>
    </row>
    <row r="36249" spans="1:10" x14ac:dyDescent="0.25">
      <c r="A36249" t="s">
        <v>393</v>
      </c>
      <c r="B36249" s="1" t="str">
        <f>HYPERLINK("http://valeglobal.net","valeglobal.net")</f>
        <v>valeglobal.net</v>
      </c>
      <c r="C36249" t="s">
        <v>474</v>
      </c>
      <c r="E36249">
        <v>430170</v>
      </c>
      <c r="F36249">
        <v>1.3702471225872299E-8</v>
      </c>
      <c r="G36249">
        <v>4320130</v>
      </c>
      <c r="H36249">
        <v>12459708</v>
      </c>
      <c r="I36249">
        <v>17885140</v>
      </c>
      <c r="J36249">
        <v>2</v>
      </c>
    </row>
    <row r="36250" spans="1:10" x14ac:dyDescent="0.25">
      <c r="A36250" t="s">
        <v>393</v>
      </c>
      <c r="B36250" s="1" t="str">
        <f>HYPERLINK("http://fundovale.org","fundovale.org")</f>
        <v>fundovale.org</v>
      </c>
      <c r="C36250" t="s">
        <v>481</v>
      </c>
      <c r="F36250">
        <v>3.5788049696326498E-8</v>
      </c>
      <c r="G36250">
        <v>1455187</v>
      </c>
      <c r="H36250">
        <v>14267603</v>
      </c>
      <c r="I36250">
        <v>1404998</v>
      </c>
      <c r="J36250">
        <v>4</v>
      </c>
    </row>
    <row r="36251" spans="1:10" x14ac:dyDescent="0.25">
      <c r="A36251" t="s">
        <v>1661</v>
      </c>
      <c r="B36251" s="1" t="str">
        <f>HYPERLINK("http://energievalero.ca","energievalero.ca")</f>
        <v>energievalero.ca</v>
      </c>
      <c r="C36251" t="s">
        <v>428</v>
      </c>
      <c r="D36251" t="s">
        <v>809</v>
      </c>
      <c r="F36251">
        <v>2.0729267583560499E-8</v>
      </c>
      <c r="G36251">
        <v>2552751</v>
      </c>
      <c r="H36251">
        <v>13944264</v>
      </c>
      <c r="I36251">
        <v>4303934</v>
      </c>
      <c r="J36251">
        <v>3</v>
      </c>
    </row>
    <row r="36252" spans="1:10" x14ac:dyDescent="0.25">
      <c r="A36252" t="s">
        <v>1661</v>
      </c>
      <c r="B36252" s="1" t="str">
        <f>HYPERLINK("http://cornerstore4u.com","cornerstore4u.com")</f>
        <v>cornerstore4u.com</v>
      </c>
      <c r="C36252" t="s">
        <v>433</v>
      </c>
      <c r="F36252">
        <v>8.8637399239723698E-9</v>
      </c>
      <c r="G36252">
        <v>8201660</v>
      </c>
      <c r="H36252">
        <v>12901312</v>
      </c>
      <c r="I36252">
        <v>13854874</v>
      </c>
      <c r="J36252">
        <v>3</v>
      </c>
    </row>
    <row r="36253" spans="1:10" x14ac:dyDescent="0.25">
      <c r="A36253" t="s">
        <v>1661</v>
      </c>
      <c r="B36253" s="1" t="str">
        <f>HYPERLINK("http://holidayautocare.com","holidayautocare.com")</f>
        <v>holidayautocare.com</v>
      </c>
      <c r="C36253" t="s">
        <v>433</v>
      </c>
      <c r="F36253">
        <v>4.44462511503221E-9</v>
      </c>
      <c r="G36253">
        <v>76402441</v>
      </c>
      <c r="H36253">
        <v>10630663</v>
      </c>
      <c r="I36253">
        <v>43967310</v>
      </c>
      <c r="J36253">
        <v>4</v>
      </c>
    </row>
    <row r="36254" spans="1:10" x14ac:dyDescent="0.25">
      <c r="A36254" t="s">
        <v>1661</v>
      </c>
      <c r="B36254" s="1" t="str">
        <f>HYPERLINK("http://premcor.com","premcor.com")</f>
        <v>premcor.com</v>
      </c>
      <c r="C36254" t="s">
        <v>433</v>
      </c>
      <c r="F36254">
        <v>5.7985873083199004E-9</v>
      </c>
      <c r="G36254">
        <v>18097012</v>
      </c>
      <c r="H36254">
        <v>13410963</v>
      </c>
      <c r="I36254">
        <v>10334823</v>
      </c>
      <c r="J36254">
        <v>3</v>
      </c>
    </row>
    <row r="36255" spans="1:10" x14ac:dyDescent="0.25">
      <c r="A36255" t="s">
        <v>1661</v>
      </c>
      <c r="B36255" s="1" t="str">
        <f>HYPERLINK("http://valero.com","valero.com")</f>
        <v>valero.com</v>
      </c>
      <c r="C36255" t="s">
        <v>433</v>
      </c>
      <c r="E36255">
        <v>35201</v>
      </c>
      <c r="F36255">
        <v>4.4316213358029E-7</v>
      </c>
      <c r="G36255">
        <v>85121</v>
      </c>
      <c r="H36255">
        <v>15056957</v>
      </c>
      <c r="I36255">
        <v>413370</v>
      </c>
      <c r="J36255">
        <v>1</v>
      </c>
    </row>
    <row r="36256" spans="1:10" x14ac:dyDescent="0.25">
      <c r="A36256" t="s">
        <v>1661</v>
      </c>
      <c r="B36256" s="1" t="str">
        <f>HYPERLINK("http://valerotexasopen.com","valerotexasopen.com")</f>
        <v>valerotexasopen.com</v>
      </c>
      <c r="C36256" t="s">
        <v>433</v>
      </c>
      <c r="F36256">
        <v>6.59788002794268E-8</v>
      </c>
      <c r="G36256">
        <v>650585</v>
      </c>
      <c r="H36256">
        <v>14438607</v>
      </c>
      <c r="I36256">
        <v>1066033</v>
      </c>
      <c r="J36256">
        <v>3</v>
      </c>
    </row>
    <row r="36257" spans="1:10" x14ac:dyDescent="0.25">
      <c r="A36257" t="s">
        <v>1661</v>
      </c>
      <c r="B36257" s="1" t="str">
        <f>HYPERLINK("http://valero.com.mx","valero.com.mx")</f>
        <v>valero.com.mx</v>
      </c>
      <c r="C36257" t="s">
        <v>471</v>
      </c>
      <c r="D36257" t="s">
        <v>847</v>
      </c>
      <c r="F36257">
        <v>6.5323245129322999E-9</v>
      </c>
      <c r="G36257">
        <v>13945297</v>
      </c>
      <c r="H36257">
        <v>11027815</v>
      </c>
      <c r="I36257">
        <v>33135763</v>
      </c>
      <c r="J36257">
        <v>2</v>
      </c>
    </row>
    <row r="36258" spans="1:10" x14ac:dyDescent="0.25">
      <c r="A36258" t="s">
        <v>1661</v>
      </c>
      <c r="B36258" s="1" t="str">
        <f>HYPERLINK("http://pbf.com.pe","pbf.com.pe")</f>
        <v>pbf.com.pe</v>
      </c>
      <c r="C36258" t="s">
        <v>483</v>
      </c>
      <c r="D36258" t="s">
        <v>857</v>
      </c>
      <c r="F36258">
        <v>5.15132753182905E-9</v>
      </c>
      <c r="G36258">
        <v>26055866</v>
      </c>
      <c r="H36258">
        <v>9647177</v>
      </c>
      <c r="I36258">
        <v>63921090</v>
      </c>
      <c r="J36258">
        <v>3</v>
      </c>
    </row>
    <row r="36259" spans="1:10" x14ac:dyDescent="0.25">
      <c r="A36259" t="s">
        <v>394</v>
      </c>
      <c r="B36259" s="1" t="str">
        <f>HYPERLINK("http://21sip.com","21sip.com")</f>
        <v>21sip.com</v>
      </c>
      <c r="C36259" t="s">
        <v>433</v>
      </c>
      <c r="J36259">
        <v>3</v>
      </c>
    </row>
    <row r="36260" spans="1:10" x14ac:dyDescent="0.25">
      <c r="A36260" t="s">
        <v>394</v>
      </c>
      <c r="B36260" s="1" t="str">
        <f>HYPERLINK("http://awireless.com","awireless.com")</f>
        <v>awireless.com</v>
      </c>
      <c r="C36260" t="s">
        <v>433</v>
      </c>
      <c r="F36260">
        <v>9.9049321636311994E-9</v>
      </c>
      <c r="G36260">
        <v>6854444</v>
      </c>
      <c r="H36260">
        <v>12648481</v>
      </c>
      <c r="I36260">
        <v>15811478</v>
      </c>
      <c r="J36260">
        <v>4</v>
      </c>
    </row>
    <row r="36261" spans="1:10" x14ac:dyDescent="0.25">
      <c r="A36261" t="s">
        <v>394</v>
      </c>
      <c r="B36261" s="1" t="str">
        <f>HYPERLINK("http://bluejeans.com","bluejeans.com")</f>
        <v>bluejeans.com</v>
      </c>
      <c r="C36261" t="s">
        <v>433</v>
      </c>
      <c r="E36261">
        <v>8202</v>
      </c>
      <c r="F36261">
        <v>9.1173255929634106E-6</v>
      </c>
      <c r="G36261">
        <v>3709</v>
      </c>
      <c r="H36261">
        <v>18270798</v>
      </c>
      <c r="I36261">
        <v>2463</v>
      </c>
      <c r="J36261">
        <v>5</v>
      </c>
    </row>
    <row r="36262" spans="1:10" x14ac:dyDescent="0.25">
      <c r="A36262" t="s">
        <v>394</v>
      </c>
      <c r="B36262" s="1" t="str">
        <f>HYPERLINK("http://bushschicken.com","bushschicken.com")</f>
        <v>bushschicken.com</v>
      </c>
      <c r="C36262" t="s">
        <v>433</v>
      </c>
      <c r="F36262">
        <v>1.6131339183054199E-8</v>
      </c>
      <c r="G36262">
        <v>3512724</v>
      </c>
      <c r="H36262">
        <v>13782070</v>
      </c>
      <c r="I36262">
        <v>6449198</v>
      </c>
      <c r="J36262">
        <v>4</v>
      </c>
    </row>
    <row r="36263" spans="1:10" x14ac:dyDescent="0.25">
      <c r="A36263" t="s">
        <v>394</v>
      </c>
      <c r="B36263" s="1" t="str">
        <f>HYPERLINK("http://cellularplus.com","cellularplus.com")</f>
        <v>cellularplus.com</v>
      </c>
      <c r="C36263" t="s">
        <v>433</v>
      </c>
      <c r="F36263">
        <v>8.5640620778195602E-9</v>
      </c>
      <c r="G36263">
        <v>8722114</v>
      </c>
      <c r="H36263">
        <v>12524070</v>
      </c>
      <c r="I36263">
        <v>17109788</v>
      </c>
      <c r="J36263">
        <v>4</v>
      </c>
    </row>
    <row r="36264" spans="1:10" x14ac:dyDescent="0.25">
      <c r="A36264" t="s">
        <v>394</v>
      </c>
      <c r="B36264" s="1" t="str">
        <f>HYPERLINK("http://cloudswitch.com","cloudswitch.com")</f>
        <v>cloudswitch.com</v>
      </c>
      <c r="C36264" t="s">
        <v>433</v>
      </c>
      <c r="F36264">
        <v>4.1132939440003003E-8</v>
      </c>
      <c r="G36264">
        <v>1262078</v>
      </c>
      <c r="H36264">
        <v>13826528</v>
      </c>
      <c r="I36264">
        <v>6121365</v>
      </c>
      <c r="J36264">
        <v>7</v>
      </c>
    </row>
    <row r="36265" spans="1:10" x14ac:dyDescent="0.25">
      <c r="A36265" t="s">
        <v>394</v>
      </c>
      <c r="B36265" s="1" t="str">
        <f>HYPERLINK("http://diamond-wireless.com","diamond-wireless.com")</f>
        <v>diamond-wireless.com</v>
      </c>
      <c r="C36265" t="s">
        <v>433</v>
      </c>
      <c r="F36265">
        <v>5.4634346371233401E-9</v>
      </c>
      <c r="G36265">
        <v>21319559</v>
      </c>
      <c r="H36265">
        <v>11489632</v>
      </c>
      <c r="I36265">
        <v>30048460</v>
      </c>
      <c r="J36265">
        <v>4</v>
      </c>
    </row>
    <row r="36266" spans="1:10" x14ac:dyDescent="0.25">
      <c r="A36266" t="s">
        <v>394</v>
      </c>
      <c r="B36266" s="1" t="str">
        <f>HYPERLINK("http://dsmain.com","dsmain.com")</f>
        <v>dsmain.com</v>
      </c>
      <c r="C36266" t="s">
        <v>433</v>
      </c>
      <c r="E36266">
        <v>925402</v>
      </c>
      <c r="F36266">
        <v>4.44380927664477E-9</v>
      </c>
      <c r="G36266">
        <v>79784637</v>
      </c>
      <c r="H36266">
        <v>10352960</v>
      </c>
      <c r="I36266">
        <v>55932734</v>
      </c>
      <c r="J36266">
        <v>3</v>
      </c>
    </row>
    <row r="36267" spans="1:10" x14ac:dyDescent="0.25">
      <c r="A36267" t="s">
        <v>394</v>
      </c>
      <c r="B36267" s="1" t="str">
        <f>HYPERLINK("http://ensignal.com","ensignal.com")</f>
        <v>ensignal.com</v>
      </c>
      <c r="C36267" t="s">
        <v>433</v>
      </c>
      <c r="F36267">
        <v>4.6325772283943502E-9</v>
      </c>
      <c r="G36267">
        <v>45279255</v>
      </c>
      <c r="H36267">
        <v>10857866</v>
      </c>
      <c r="I36267">
        <v>36705442</v>
      </c>
      <c r="J36267">
        <v>4</v>
      </c>
    </row>
    <row r="36268" spans="1:10" x14ac:dyDescent="0.25">
      <c r="A36268" t="s">
        <v>394</v>
      </c>
      <c r="B36268" s="1" t="str">
        <f>HYPERLINK("http://exponentplatforms.com","exponentplatforms.com")</f>
        <v>exponentplatforms.com</v>
      </c>
      <c r="C36268" t="s">
        <v>433</v>
      </c>
      <c r="F36268">
        <v>1.0418022037388899E-8</v>
      </c>
      <c r="G36268">
        <v>6342521</v>
      </c>
      <c r="H36268">
        <v>13047952</v>
      </c>
      <c r="I36268">
        <v>12597511</v>
      </c>
      <c r="J36268">
        <v>7</v>
      </c>
    </row>
    <row r="36269" spans="1:10" x14ac:dyDescent="0.25">
      <c r="A36269" t="s">
        <v>394</v>
      </c>
      <c r="B36269" s="1" t="str">
        <f>HYPERLINK("http://fleetmatics.com","fleetmatics.com")</f>
        <v>fleetmatics.com</v>
      </c>
      <c r="C36269" t="s">
        <v>433</v>
      </c>
      <c r="E36269">
        <v>24097</v>
      </c>
      <c r="F36269">
        <v>1.3702195790689099E-7</v>
      </c>
      <c r="G36269">
        <v>284458</v>
      </c>
      <c r="H36269">
        <v>15068551</v>
      </c>
      <c r="I36269">
        <v>411374</v>
      </c>
      <c r="J36269">
        <v>3</v>
      </c>
    </row>
    <row r="36270" spans="1:10" x14ac:dyDescent="0.25">
      <c r="A36270" t="s">
        <v>394</v>
      </c>
      <c r="B36270" s="1" t="str">
        <f>HYPERLINK("http://gosmartmobile.com","gosmartmobile.com")</f>
        <v>gosmartmobile.com</v>
      </c>
      <c r="C36270" t="s">
        <v>433</v>
      </c>
      <c r="E36270">
        <v>519945</v>
      </c>
      <c r="F36270">
        <v>3.1496546247463901E-7</v>
      </c>
      <c r="G36270">
        <v>118032</v>
      </c>
      <c r="H36270">
        <v>14196064</v>
      </c>
      <c r="I36270">
        <v>1735461</v>
      </c>
      <c r="J36270">
        <v>8</v>
      </c>
    </row>
    <row r="36271" spans="1:10" x14ac:dyDescent="0.25">
      <c r="A36271" t="s">
        <v>394</v>
      </c>
      <c r="B36271" s="1" t="str">
        <f>HYPERLINK("http://gte.com","gte.com")</f>
        <v>gte.com</v>
      </c>
      <c r="C36271" t="s">
        <v>433</v>
      </c>
      <c r="E36271">
        <v>83401</v>
      </c>
      <c r="F36271">
        <v>8.1155879762866804E-8</v>
      </c>
      <c r="G36271">
        <v>514362</v>
      </c>
      <c r="H36271">
        <v>14205005</v>
      </c>
      <c r="I36271">
        <v>1713128</v>
      </c>
      <c r="J36271">
        <v>3</v>
      </c>
    </row>
    <row r="36272" spans="1:10" x14ac:dyDescent="0.25">
      <c r="A36272" t="s">
        <v>394</v>
      </c>
      <c r="B36272" s="1" t="str">
        <f>HYPERLINK("http://hughestelematics.com","hughestelematics.com")</f>
        <v>hughestelematics.com</v>
      </c>
      <c r="C36272" t="s">
        <v>433</v>
      </c>
      <c r="E36272">
        <v>131963</v>
      </c>
      <c r="F36272">
        <v>1.2217069949772E-8</v>
      </c>
      <c r="G36272">
        <v>5040761</v>
      </c>
      <c r="H36272">
        <v>13519466</v>
      </c>
      <c r="I36272">
        <v>9939122</v>
      </c>
      <c r="J36272">
        <v>5</v>
      </c>
    </row>
    <row r="36273" spans="1:10" x14ac:dyDescent="0.25">
      <c r="A36273" t="s">
        <v>394</v>
      </c>
      <c r="B36273" s="1" t="str">
        <f>HYPERLINK("http://mbawireless.com","mbawireless.com")</f>
        <v>mbawireless.com</v>
      </c>
      <c r="C36273" t="s">
        <v>433</v>
      </c>
      <c r="J36273">
        <v>4</v>
      </c>
    </row>
    <row r="36274" spans="1:10" x14ac:dyDescent="0.25">
      <c r="A36274" t="s">
        <v>394</v>
      </c>
      <c r="B36274" s="1" t="str">
        <f>HYPERLINK("http://mci.com","mci.com")</f>
        <v>mci.com</v>
      </c>
      <c r="C36274" t="s">
        <v>433</v>
      </c>
      <c r="E36274">
        <v>128125</v>
      </c>
      <c r="F36274">
        <v>1.69760086956171E-7</v>
      </c>
      <c r="G36274">
        <v>228500</v>
      </c>
      <c r="H36274">
        <v>14838292</v>
      </c>
      <c r="I36274">
        <v>499075</v>
      </c>
      <c r="J36274">
        <v>3</v>
      </c>
    </row>
    <row r="36275" spans="1:10" x14ac:dyDescent="0.25">
      <c r="A36275" t="s">
        <v>394</v>
      </c>
      <c r="B36275" s="1" t="str">
        <f>HYPERLINK("http://mcilink.com","mcilink.com")</f>
        <v>mcilink.com</v>
      </c>
      <c r="C36275" t="s">
        <v>433</v>
      </c>
      <c r="E36275">
        <v>162143</v>
      </c>
      <c r="F36275">
        <v>4.4646504703972002E-9</v>
      </c>
      <c r="G36275">
        <v>66355590</v>
      </c>
      <c r="H36275">
        <v>12163560</v>
      </c>
      <c r="I36275">
        <v>24271071</v>
      </c>
      <c r="J36275">
        <v>3</v>
      </c>
    </row>
    <row r="36276" spans="1:10" x14ac:dyDescent="0.25">
      <c r="A36276" t="s">
        <v>394</v>
      </c>
      <c r="B36276" s="1" t="str">
        <f>HYPERLINK("http://mobvitel.com","mobvitel.com")</f>
        <v>mobvitel.com</v>
      </c>
      <c r="C36276" t="s">
        <v>433</v>
      </c>
      <c r="F36276">
        <v>4.5443990594600302E-9</v>
      </c>
      <c r="G36276">
        <v>52793020</v>
      </c>
      <c r="H36276">
        <v>12191834</v>
      </c>
      <c r="I36276">
        <v>23539420</v>
      </c>
      <c r="J36276">
        <v>4</v>
      </c>
    </row>
    <row r="36277" spans="1:10" x14ac:dyDescent="0.25">
      <c r="A36277" t="s">
        <v>394</v>
      </c>
      <c r="B36277" s="1" t="str">
        <f>HYPERLINK("http://myawireless.com","myawireless.com")</f>
        <v>myawireless.com</v>
      </c>
      <c r="C36277" t="s">
        <v>433</v>
      </c>
      <c r="F36277">
        <v>4.9603362458218502E-9</v>
      </c>
      <c r="G36277">
        <v>30500795</v>
      </c>
      <c r="H36277">
        <v>10876495</v>
      </c>
      <c r="I36277">
        <v>36383393</v>
      </c>
      <c r="J36277">
        <v>4</v>
      </c>
    </row>
    <row r="36278" spans="1:10" x14ac:dyDescent="0.25">
      <c r="A36278" t="s">
        <v>394</v>
      </c>
      <c r="B36278" s="1" t="str">
        <f>HYPERLINK("http://myfamilymobile.com","myfamilymobile.com")</f>
        <v>myfamilymobile.com</v>
      </c>
      <c r="C36278" t="s">
        <v>433</v>
      </c>
      <c r="E36278">
        <v>128577</v>
      </c>
      <c r="F36278">
        <v>8.10850173314541E-8</v>
      </c>
      <c r="G36278">
        <v>514812</v>
      </c>
      <c r="H36278">
        <v>14272750</v>
      </c>
      <c r="I36278">
        <v>1394782</v>
      </c>
      <c r="J36278">
        <v>8</v>
      </c>
    </row>
    <row r="36279" spans="1:10" x14ac:dyDescent="0.25">
      <c r="A36279" t="s">
        <v>394</v>
      </c>
      <c r="B36279" s="1" t="str">
        <f>HYPERLINK("http://myvzw.com","myvzw.com")</f>
        <v>myvzw.com</v>
      </c>
      <c r="C36279" t="s">
        <v>433</v>
      </c>
      <c r="E36279">
        <v>6820</v>
      </c>
      <c r="F36279">
        <v>4.5026697344679897E-8</v>
      </c>
      <c r="G36279">
        <v>1048706</v>
      </c>
      <c r="H36279">
        <v>13810150</v>
      </c>
      <c r="I36279">
        <v>6212920</v>
      </c>
      <c r="J36279">
        <v>3</v>
      </c>
    </row>
    <row r="36280" spans="1:10" x14ac:dyDescent="0.25">
      <c r="A36280" t="s">
        <v>394</v>
      </c>
      <c r="B36280" s="1" t="str">
        <f>HYPERLINK("http://net10wireless.com","net10wireless.com")</f>
        <v>net10wireless.com</v>
      </c>
      <c r="C36280" t="s">
        <v>433</v>
      </c>
      <c r="E36280">
        <v>240699</v>
      </c>
      <c r="F36280">
        <v>3.5803512121957702E-7</v>
      </c>
      <c r="G36280">
        <v>104420</v>
      </c>
      <c r="H36280">
        <v>13810219</v>
      </c>
      <c r="I36280">
        <v>6212670</v>
      </c>
      <c r="J36280">
        <v>8</v>
      </c>
    </row>
    <row r="36281" spans="1:10" x14ac:dyDescent="0.25">
      <c r="A36281" t="s">
        <v>394</v>
      </c>
      <c r="B36281" s="1" t="str">
        <f>HYPERLINK("http://omniroot.com","omniroot.com")</f>
        <v>omniroot.com</v>
      </c>
      <c r="C36281" t="s">
        <v>433</v>
      </c>
      <c r="E36281">
        <v>10832</v>
      </c>
      <c r="F36281">
        <v>8.5106843522423103E-8</v>
      </c>
      <c r="G36281">
        <v>484664</v>
      </c>
      <c r="H36281">
        <v>17030242</v>
      </c>
      <c r="I36281">
        <v>83699</v>
      </c>
      <c r="J36281">
        <v>3</v>
      </c>
    </row>
    <row r="36282" spans="1:10" x14ac:dyDescent="0.25">
      <c r="A36282" t="s">
        <v>394</v>
      </c>
      <c r="B36282" s="1" t="str">
        <f>HYPERLINK("http://pagepluscellular.com","pagepluscellular.com")</f>
        <v>pagepluscellular.com</v>
      </c>
      <c r="C36282" t="s">
        <v>433</v>
      </c>
      <c r="E36282">
        <v>281535</v>
      </c>
      <c r="F36282">
        <v>3.2681031823663299E-7</v>
      </c>
      <c r="G36282">
        <v>113958</v>
      </c>
      <c r="H36282">
        <v>14723776</v>
      </c>
      <c r="I36282">
        <v>576383</v>
      </c>
      <c r="J36282">
        <v>8</v>
      </c>
    </row>
    <row r="36283" spans="1:10" x14ac:dyDescent="0.25">
      <c r="A36283" t="s">
        <v>394</v>
      </c>
      <c r="B36283" s="1" t="str">
        <f>HYPERLINK("http://prepaidandphonerepair.com","prepaidandphonerepair.com")</f>
        <v>prepaidandphonerepair.com</v>
      </c>
      <c r="C36283" t="s">
        <v>433</v>
      </c>
      <c r="F36283">
        <v>4.4579940865230803E-9</v>
      </c>
      <c r="G36283">
        <v>68394640</v>
      </c>
      <c r="H36283">
        <v>12104968</v>
      </c>
      <c r="I36283">
        <v>25849722</v>
      </c>
      <c r="J36283">
        <v>4</v>
      </c>
    </row>
    <row r="36284" spans="1:10" x14ac:dyDescent="0.25">
      <c r="A36284" t="s">
        <v>394</v>
      </c>
      <c r="B36284" s="1" t="str">
        <f>HYPERLINK("http://russelcellular.com","russelcellular.com")</f>
        <v>russelcellular.com</v>
      </c>
      <c r="C36284" t="s">
        <v>433</v>
      </c>
      <c r="F36284">
        <v>4.5127881181952503E-9</v>
      </c>
      <c r="G36284">
        <v>57133391</v>
      </c>
      <c r="H36284">
        <v>10675290</v>
      </c>
      <c r="I36284">
        <v>42849198</v>
      </c>
      <c r="J36284">
        <v>4</v>
      </c>
    </row>
    <row r="36285" spans="1:10" x14ac:dyDescent="0.25">
      <c r="A36285" t="s">
        <v>394</v>
      </c>
      <c r="B36285" s="1" t="str">
        <f>HYPERLINK("http://safelinkwireless.com","safelinkwireless.com")</f>
        <v>safelinkwireless.com</v>
      </c>
      <c r="C36285" t="s">
        <v>433</v>
      </c>
      <c r="E36285">
        <v>92144</v>
      </c>
      <c r="F36285">
        <v>2.7862150417372502E-7</v>
      </c>
      <c r="G36285">
        <v>133512</v>
      </c>
      <c r="H36285">
        <v>17186288</v>
      </c>
      <c r="I36285">
        <v>44335</v>
      </c>
      <c r="J36285">
        <v>8</v>
      </c>
    </row>
    <row r="36286" spans="1:10" x14ac:dyDescent="0.25">
      <c r="A36286" t="s">
        <v>394</v>
      </c>
      <c r="B36286" s="1" t="str">
        <f>HYPERLINK("http://simplemobile.com","simplemobile.com")</f>
        <v>simplemobile.com</v>
      </c>
      <c r="C36286" t="s">
        <v>433</v>
      </c>
      <c r="E36286">
        <v>103280</v>
      </c>
      <c r="F36286">
        <v>1.79306824177705E-7</v>
      </c>
      <c r="G36286">
        <v>215483</v>
      </c>
      <c r="H36286">
        <v>14522702</v>
      </c>
      <c r="I36286">
        <v>800278</v>
      </c>
      <c r="J36286">
        <v>8</v>
      </c>
    </row>
    <row r="36287" spans="1:10" x14ac:dyDescent="0.25">
      <c r="A36287" t="s">
        <v>394</v>
      </c>
      <c r="B36287" s="1" t="str">
        <f>HYPERLINK("http://straighttalk.com","straighttalk.com")</f>
        <v>straighttalk.com</v>
      </c>
      <c r="C36287" t="s">
        <v>433</v>
      </c>
      <c r="E36287">
        <v>39388</v>
      </c>
      <c r="F36287">
        <v>6.1544752130279297E-7</v>
      </c>
      <c r="G36287">
        <v>62190</v>
      </c>
      <c r="H36287">
        <v>14794226</v>
      </c>
      <c r="I36287">
        <v>549899</v>
      </c>
      <c r="J36287">
        <v>8</v>
      </c>
    </row>
    <row r="36288" spans="1:10" x14ac:dyDescent="0.25">
      <c r="A36288" t="s">
        <v>394</v>
      </c>
      <c r="B36288" s="1" t="str">
        <f>HYPERLINK("http://terremark.com","terremark.com")</f>
        <v>terremark.com</v>
      </c>
      <c r="C36288" t="s">
        <v>433</v>
      </c>
      <c r="E36288">
        <v>893750</v>
      </c>
      <c r="F36288">
        <v>6.53375647318666E-7</v>
      </c>
      <c r="G36288">
        <v>58933</v>
      </c>
      <c r="H36288">
        <v>15126190</v>
      </c>
      <c r="I36288">
        <v>402881</v>
      </c>
      <c r="J36288">
        <v>9</v>
      </c>
    </row>
    <row r="36289" spans="1:10" x14ac:dyDescent="0.25">
      <c r="A36289" t="s">
        <v>394</v>
      </c>
      <c r="B36289" s="1" t="str">
        <f>HYPERLINK("http://themobilegeneration.com","themobilegeneration.com")</f>
        <v>themobilegeneration.com</v>
      </c>
      <c r="C36289" t="s">
        <v>433</v>
      </c>
      <c r="F36289">
        <v>4.6322336460232198E-9</v>
      </c>
      <c r="G36289">
        <v>45299573</v>
      </c>
      <c r="H36289">
        <v>12163608</v>
      </c>
      <c r="I36289">
        <v>24263873</v>
      </c>
      <c r="J36289">
        <v>4</v>
      </c>
    </row>
    <row r="36290" spans="1:10" x14ac:dyDescent="0.25">
      <c r="A36290" t="s">
        <v>394</v>
      </c>
      <c r="B36290" s="1" t="str">
        <f>HYPERLINK("http://totalwireless.com","totalwireless.com")</f>
        <v>totalwireless.com</v>
      </c>
      <c r="C36290" t="s">
        <v>433</v>
      </c>
      <c r="E36290">
        <v>331072</v>
      </c>
      <c r="F36290">
        <v>1.0078911088761799E-7</v>
      </c>
      <c r="G36290">
        <v>398988</v>
      </c>
      <c r="H36290">
        <v>13877046</v>
      </c>
      <c r="I36290">
        <v>5988288</v>
      </c>
      <c r="J36290">
        <v>8</v>
      </c>
    </row>
    <row r="36291" spans="1:10" x14ac:dyDescent="0.25">
      <c r="A36291" t="s">
        <v>394</v>
      </c>
      <c r="B36291" s="1" t="str">
        <f>HYPERLINK("http://towerwireless.com","towerwireless.com")</f>
        <v>towerwireless.com</v>
      </c>
      <c r="C36291" t="s">
        <v>433</v>
      </c>
      <c r="F36291">
        <v>4.49028621960809E-9</v>
      </c>
      <c r="G36291">
        <v>60477222</v>
      </c>
      <c r="H36291">
        <v>12130363</v>
      </c>
      <c r="I36291">
        <v>25128705</v>
      </c>
      <c r="J36291">
        <v>4</v>
      </c>
    </row>
    <row r="36292" spans="1:10" x14ac:dyDescent="0.25">
      <c r="A36292" t="s">
        <v>394</v>
      </c>
      <c r="B36292" s="1" t="str">
        <f>HYPERLINK("http://tracfone.com","tracfone.com")</f>
        <v>tracfone.com</v>
      </c>
      <c r="C36292" t="s">
        <v>433</v>
      </c>
      <c r="E36292">
        <v>19913</v>
      </c>
      <c r="F36292">
        <v>4.7291718079853498E-7</v>
      </c>
      <c r="G36292">
        <v>80252</v>
      </c>
      <c r="H36292">
        <v>17286326</v>
      </c>
      <c r="I36292">
        <v>29453</v>
      </c>
      <c r="J36292">
        <v>5</v>
      </c>
    </row>
    <row r="36293" spans="1:10" x14ac:dyDescent="0.25">
      <c r="A36293" t="s">
        <v>394</v>
      </c>
      <c r="B36293" s="1" t="str">
        <f>HYPERLINK("http://tracfonewirelessinc.com","tracfonewirelessinc.com")</f>
        <v>tracfonewirelessinc.com</v>
      </c>
      <c r="C36293" t="s">
        <v>433</v>
      </c>
      <c r="E36293">
        <v>84470</v>
      </c>
      <c r="F36293">
        <v>1.6226824785808901E-7</v>
      </c>
      <c r="G36293">
        <v>239207</v>
      </c>
      <c r="H36293">
        <v>16987314</v>
      </c>
      <c r="I36293">
        <v>96720</v>
      </c>
      <c r="J36293">
        <v>8</v>
      </c>
    </row>
    <row r="36294" spans="1:10" x14ac:dyDescent="0.25">
      <c r="A36294" t="s">
        <v>394</v>
      </c>
      <c r="B36294" s="1" t="str">
        <f>HYPERLINK("http://verizon.com","verizon.com")</f>
        <v>verizon.com</v>
      </c>
      <c r="C36294" t="s">
        <v>433</v>
      </c>
      <c r="E36294">
        <v>856</v>
      </c>
      <c r="F36294">
        <v>2.55322926306121E-5</v>
      </c>
      <c r="G36294">
        <v>1151</v>
      </c>
      <c r="H36294">
        <v>19013594</v>
      </c>
      <c r="I36294">
        <v>527</v>
      </c>
      <c r="J36294">
        <v>1</v>
      </c>
    </row>
    <row r="36295" spans="1:10" x14ac:dyDescent="0.25">
      <c r="A36295" t="s">
        <v>394</v>
      </c>
      <c r="B36295" s="1" t="str">
        <f>HYPERLINK("http://verizon5glabs.com","verizon5glabs.com")</f>
        <v>verizon5glabs.com</v>
      </c>
      <c r="C36295" t="s">
        <v>433</v>
      </c>
      <c r="E36295">
        <v>126689</v>
      </c>
      <c r="F36295">
        <v>8.3672847002619898E-8</v>
      </c>
      <c r="G36295">
        <v>495464</v>
      </c>
      <c r="H36295">
        <v>14119068</v>
      </c>
      <c r="I36295">
        <v>2657704</v>
      </c>
      <c r="J36295">
        <v>4</v>
      </c>
    </row>
    <row r="36296" spans="1:10" x14ac:dyDescent="0.25">
      <c r="A36296" t="s">
        <v>394</v>
      </c>
      <c r="B36296" s="1" t="str">
        <f>HYPERLINK("http://verizonbusiness.com","verizonbusiness.com")</f>
        <v>verizonbusiness.com</v>
      </c>
      <c r="C36296" t="s">
        <v>433</v>
      </c>
      <c r="E36296">
        <v>34067</v>
      </c>
      <c r="F36296">
        <v>9.2940481738473999E-7</v>
      </c>
      <c r="G36296">
        <v>41411</v>
      </c>
      <c r="H36296">
        <v>17338506</v>
      </c>
      <c r="I36296">
        <v>24136</v>
      </c>
      <c r="J36296">
        <v>3</v>
      </c>
    </row>
    <row r="36297" spans="1:10" x14ac:dyDescent="0.25">
      <c r="A36297" t="s">
        <v>394</v>
      </c>
      <c r="B36297" s="1" t="str">
        <f>HYPERLINK("http://verizonconnect.com","verizonconnect.com")</f>
        <v>verizonconnect.com</v>
      </c>
      <c r="C36297" t="s">
        <v>433</v>
      </c>
      <c r="E36297">
        <v>55550</v>
      </c>
      <c r="F36297">
        <v>9.2021439567950604E-7</v>
      </c>
      <c r="G36297">
        <v>41986</v>
      </c>
      <c r="H36297">
        <v>15002264</v>
      </c>
      <c r="I36297">
        <v>425249</v>
      </c>
      <c r="J36297">
        <v>3</v>
      </c>
    </row>
    <row r="36298" spans="1:10" x14ac:dyDescent="0.25">
      <c r="A36298" t="s">
        <v>394</v>
      </c>
      <c r="B36298" s="1" t="str">
        <f>HYPERLINK("http://verizonenterprise.com","verizonenterprise.com")</f>
        <v>verizonenterprise.com</v>
      </c>
      <c r="C36298" t="s">
        <v>433</v>
      </c>
      <c r="E36298">
        <v>37554</v>
      </c>
      <c r="F36298">
        <v>3.7867281678268099E-6</v>
      </c>
      <c r="G36298">
        <v>11011</v>
      </c>
      <c r="H36298">
        <v>17710426</v>
      </c>
      <c r="I36298">
        <v>7097</v>
      </c>
      <c r="J36298">
        <v>3</v>
      </c>
    </row>
    <row r="36299" spans="1:10" x14ac:dyDescent="0.25">
      <c r="A36299" t="s">
        <v>394</v>
      </c>
      <c r="B36299" s="1" t="str">
        <f>HYPERLINK("http://verizonopeninnovation.com","verizonopeninnovation.com")</f>
        <v>verizonopeninnovation.com</v>
      </c>
      <c r="C36299" t="s">
        <v>433</v>
      </c>
      <c r="F36299">
        <v>1.39953685936527E-8</v>
      </c>
      <c r="G36299">
        <v>4204480</v>
      </c>
      <c r="H36299">
        <v>13416936</v>
      </c>
      <c r="I36299">
        <v>10311880</v>
      </c>
      <c r="J36299">
        <v>4</v>
      </c>
    </row>
    <row r="36300" spans="1:10" x14ac:dyDescent="0.25">
      <c r="A36300" t="s">
        <v>394</v>
      </c>
      <c r="B36300" s="1" t="str">
        <f>HYPERLINK("http://verizonsmallbusinessessentials.com","verizonsmallbusinessessentials.com")</f>
        <v>verizonsmallbusinessessentials.com</v>
      </c>
      <c r="C36300" t="s">
        <v>433</v>
      </c>
      <c r="E36300">
        <v>193056</v>
      </c>
      <c r="F36300">
        <v>6.0465961844255095E-7</v>
      </c>
      <c r="G36300">
        <v>63239</v>
      </c>
      <c r="H36300">
        <v>13913724</v>
      </c>
      <c r="I36300">
        <v>5939659</v>
      </c>
      <c r="J36300">
        <v>3</v>
      </c>
    </row>
    <row r="36301" spans="1:10" x14ac:dyDescent="0.25">
      <c r="A36301" t="s">
        <v>394</v>
      </c>
      <c r="B36301" s="1" t="str">
        <f>HYPERLINK("http://verizontelematics.com","verizontelematics.com")</f>
        <v>verizontelematics.com</v>
      </c>
      <c r="C36301" t="s">
        <v>433</v>
      </c>
      <c r="F36301">
        <v>4.0082292072631601E-8</v>
      </c>
      <c r="G36301">
        <v>1290041</v>
      </c>
      <c r="H36301">
        <v>14021952</v>
      </c>
      <c r="I36301">
        <v>3980780</v>
      </c>
      <c r="J36301">
        <v>5</v>
      </c>
    </row>
    <row r="36302" spans="1:10" x14ac:dyDescent="0.25">
      <c r="A36302" t="s">
        <v>394</v>
      </c>
      <c r="B36302" s="1" t="str">
        <f>HYPERLINK("http://verizonventures.com","verizonventures.com")</f>
        <v>verizonventures.com</v>
      </c>
      <c r="C36302" t="s">
        <v>433</v>
      </c>
      <c r="F36302">
        <v>6.3662320446411603E-8</v>
      </c>
      <c r="G36302">
        <v>681879</v>
      </c>
      <c r="H36302">
        <v>14293913</v>
      </c>
      <c r="I36302">
        <v>1362496</v>
      </c>
      <c r="J36302">
        <v>3</v>
      </c>
    </row>
    <row r="36303" spans="1:10" x14ac:dyDescent="0.25">
      <c r="A36303" t="s">
        <v>394</v>
      </c>
      <c r="B36303" s="1" t="str">
        <f>HYPERLINK("http://verizonwireless.com","verizonwireless.com")</f>
        <v>verizonwireless.com</v>
      </c>
      <c r="C36303" t="s">
        <v>433</v>
      </c>
      <c r="E36303">
        <v>3635</v>
      </c>
      <c r="F36303">
        <v>4.9803143810808001E-6</v>
      </c>
      <c r="G36303">
        <v>6993</v>
      </c>
      <c r="H36303">
        <v>17693590</v>
      </c>
      <c r="I36303">
        <v>7446</v>
      </c>
      <c r="J36303">
        <v>3</v>
      </c>
    </row>
    <row r="36304" spans="1:10" x14ac:dyDescent="0.25">
      <c r="A36304" t="s">
        <v>394</v>
      </c>
      <c r="B36304" s="1" t="str">
        <f>HYPERLINK("http://victra.com","victra.com")</f>
        <v>victra.com</v>
      </c>
      <c r="C36304" t="s">
        <v>433</v>
      </c>
      <c r="E36304">
        <v>304616</v>
      </c>
      <c r="F36304">
        <v>5.3834711394178497E-8</v>
      </c>
      <c r="G36304">
        <v>844283</v>
      </c>
      <c r="H36304">
        <v>13371529</v>
      </c>
      <c r="I36304">
        <v>10463905</v>
      </c>
      <c r="J36304">
        <v>4</v>
      </c>
    </row>
    <row r="36305" spans="1:10" x14ac:dyDescent="0.25">
      <c r="A36305" t="s">
        <v>394</v>
      </c>
      <c r="B36305" s="1" t="str">
        <f>HYPERLINK("http://vidder.com","vidder.com")</f>
        <v>vidder.com</v>
      </c>
      <c r="C36305" t="s">
        <v>433</v>
      </c>
      <c r="F36305">
        <v>1.59537154609724E-8</v>
      </c>
      <c r="G36305">
        <v>3558404</v>
      </c>
      <c r="H36305">
        <v>13943894</v>
      </c>
      <c r="I36305">
        <v>4308234</v>
      </c>
      <c r="J36305">
        <v>4</v>
      </c>
    </row>
    <row r="36306" spans="1:10" x14ac:dyDescent="0.25">
      <c r="A36306" t="s">
        <v>394</v>
      </c>
      <c r="B36306" s="1" t="str">
        <f>HYPERLINK("http://visible.com","visible.com")</f>
        <v>visible.com</v>
      </c>
      <c r="C36306" t="s">
        <v>433</v>
      </c>
      <c r="E36306">
        <v>55240</v>
      </c>
      <c r="F36306">
        <v>7.3471866480427099E-7</v>
      </c>
      <c r="G36306">
        <v>52991</v>
      </c>
      <c r="H36306">
        <v>17056112</v>
      </c>
      <c r="I36306">
        <v>75013</v>
      </c>
      <c r="J36306">
        <v>4</v>
      </c>
    </row>
    <row r="36307" spans="1:10" x14ac:dyDescent="0.25">
      <c r="A36307" t="s">
        <v>394</v>
      </c>
      <c r="B36307" s="1" t="str">
        <f>HYPERLINK("http://vtitel.com","vtitel.com")</f>
        <v>vtitel.com</v>
      </c>
      <c r="C36307" t="s">
        <v>433</v>
      </c>
      <c r="E36307">
        <v>263034</v>
      </c>
      <c r="F36307">
        <v>6.2337006649856303E-9</v>
      </c>
      <c r="G36307">
        <v>15356644</v>
      </c>
      <c r="H36307">
        <v>10990377</v>
      </c>
      <c r="I36307">
        <v>33740028</v>
      </c>
      <c r="J36307">
        <v>5</v>
      </c>
    </row>
    <row r="36308" spans="1:10" x14ac:dyDescent="0.25">
      <c r="A36308" t="s">
        <v>394</v>
      </c>
      <c r="B36308" s="1" t="str">
        <f>HYPERLINK("http://vzbi.com","vzbi.com")</f>
        <v>vzbi.com</v>
      </c>
      <c r="C36308" t="s">
        <v>433</v>
      </c>
      <c r="E36308">
        <v>8715</v>
      </c>
      <c r="F36308">
        <v>1.32442362188203E-8</v>
      </c>
      <c r="G36308">
        <v>4518346</v>
      </c>
      <c r="H36308">
        <v>13027122</v>
      </c>
      <c r="I36308">
        <v>12683529</v>
      </c>
      <c r="J36308">
        <v>3</v>
      </c>
    </row>
    <row r="36309" spans="1:10" x14ac:dyDescent="0.25">
      <c r="A36309" t="s">
        <v>394</v>
      </c>
      <c r="B36309" s="1" t="str">
        <f>HYPERLINK("http://vzims.com","vzims.com")</f>
        <v>vzims.com</v>
      </c>
      <c r="C36309" t="s">
        <v>433</v>
      </c>
      <c r="E36309">
        <v>145864</v>
      </c>
      <c r="J36309">
        <v>3</v>
      </c>
    </row>
    <row r="36310" spans="1:10" x14ac:dyDescent="0.25">
      <c r="A36310" t="s">
        <v>394</v>
      </c>
      <c r="B36310" s="1" t="str">
        <f>HYPERLINK("http://vzimstest.com","vzimstest.com")</f>
        <v>vzimstest.com</v>
      </c>
      <c r="C36310" t="s">
        <v>433</v>
      </c>
      <c r="J36310">
        <v>3</v>
      </c>
    </row>
    <row r="36311" spans="1:10" x14ac:dyDescent="0.25">
      <c r="A36311" t="s">
        <v>394</v>
      </c>
      <c r="B36311" s="1" t="str">
        <f>HYPERLINK("http://vzmessages.com","vzmessages.com")</f>
        <v>vzmessages.com</v>
      </c>
      <c r="C36311" t="s">
        <v>433</v>
      </c>
      <c r="E36311">
        <v>5619</v>
      </c>
      <c r="F36311">
        <v>1.41596378727872E-8</v>
      </c>
      <c r="G36311">
        <v>4143829</v>
      </c>
      <c r="H36311">
        <v>13300597</v>
      </c>
      <c r="I36311">
        <v>10821871</v>
      </c>
      <c r="J36311">
        <v>3</v>
      </c>
    </row>
    <row r="36312" spans="1:10" x14ac:dyDescent="0.25">
      <c r="A36312" t="s">
        <v>394</v>
      </c>
      <c r="B36312" s="1" t="str">
        <f>HYPERLINK("http://vzmlab.com","vzmlab.com")</f>
        <v>vzmlab.com</v>
      </c>
      <c r="C36312" t="s">
        <v>433</v>
      </c>
      <c r="F36312">
        <v>9.3405658522767804E-9</v>
      </c>
      <c r="G36312">
        <v>7520788</v>
      </c>
      <c r="H36312">
        <v>13011821</v>
      </c>
      <c r="I36312">
        <v>12745019</v>
      </c>
      <c r="J36312">
        <v>3</v>
      </c>
    </row>
    <row r="36313" spans="1:10" x14ac:dyDescent="0.25">
      <c r="A36313" t="s">
        <v>394</v>
      </c>
      <c r="B36313" s="1" t="str">
        <f>HYPERLINK("http://vzw.com","vzw.com")</f>
        <v>vzw.com</v>
      </c>
      <c r="C36313" t="s">
        <v>433</v>
      </c>
      <c r="E36313">
        <v>5810</v>
      </c>
      <c r="F36313">
        <v>1.1201949819268101E-6</v>
      </c>
      <c r="G36313">
        <v>34413</v>
      </c>
      <c r="H36313">
        <v>17348118</v>
      </c>
      <c r="I36313">
        <v>23299</v>
      </c>
      <c r="J36313">
        <v>3</v>
      </c>
    </row>
    <row r="36314" spans="1:10" x14ac:dyDescent="0.25">
      <c r="A36314" t="s">
        <v>394</v>
      </c>
      <c r="B36314" s="1" t="str">
        <f>HYPERLINK("http://vzwcorp.com","vzwcorp.com")</f>
        <v>vzwcorp.com</v>
      </c>
      <c r="C36314" t="s">
        <v>433</v>
      </c>
      <c r="E36314">
        <v>18909</v>
      </c>
      <c r="F36314">
        <v>1.4324870401543299E-7</v>
      </c>
      <c r="G36314">
        <v>271788</v>
      </c>
      <c r="H36314">
        <v>13691755</v>
      </c>
      <c r="I36314">
        <v>9528375</v>
      </c>
      <c r="J36314">
        <v>3</v>
      </c>
    </row>
    <row r="36315" spans="1:10" x14ac:dyDescent="0.25">
      <c r="A36315" t="s">
        <v>394</v>
      </c>
      <c r="B36315" s="1" t="str">
        <f>HYPERLINK("http://vzwdm.com","vzwdm.com")</f>
        <v>vzwdm.com</v>
      </c>
      <c r="C36315" t="s">
        <v>433</v>
      </c>
      <c r="E36315">
        <v>83212</v>
      </c>
      <c r="F36315">
        <v>4.44380996400719E-9</v>
      </c>
      <c r="G36315">
        <v>79631250</v>
      </c>
      <c r="H36315">
        <v>10351910</v>
      </c>
      <c r="I36315">
        <v>56136275</v>
      </c>
      <c r="J36315">
        <v>3</v>
      </c>
    </row>
    <row r="36316" spans="1:10" x14ac:dyDescent="0.25">
      <c r="A36316" t="s">
        <v>394</v>
      </c>
      <c r="B36316" s="1" t="str">
        <f>HYPERLINK("http://vzwnet.com","vzwnet.com")</f>
        <v>vzwnet.com</v>
      </c>
      <c r="C36316" t="s">
        <v>433</v>
      </c>
      <c r="E36316">
        <v>21926</v>
      </c>
      <c r="F36316">
        <v>1.22100206416412E-8</v>
      </c>
      <c r="G36316">
        <v>5044768</v>
      </c>
      <c r="H36316">
        <v>13148470</v>
      </c>
      <c r="I36316">
        <v>11834449</v>
      </c>
      <c r="J36316">
        <v>3</v>
      </c>
    </row>
    <row r="36317" spans="1:10" x14ac:dyDescent="0.25">
      <c r="A36317" t="s">
        <v>394</v>
      </c>
      <c r="B36317" s="1" t="str">
        <f>HYPERLINK("http://vzwops.com","vzwops.com")</f>
        <v>vzwops.com</v>
      </c>
      <c r="C36317" t="s">
        <v>433</v>
      </c>
      <c r="F36317">
        <v>1.1184446791840799E-8</v>
      </c>
      <c r="G36317">
        <v>5723931</v>
      </c>
      <c r="H36317">
        <v>12437328</v>
      </c>
      <c r="I36317">
        <v>18178376</v>
      </c>
      <c r="J36317">
        <v>3</v>
      </c>
    </row>
    <row r="36318" spans="1:10" x14ac:dyDescent="0.25">
      <c r="A36318" t="s">
        <v>394</v>
      </c>
      <c r="B36318" s="1" t="str">
        <f>HYPERLINK("http://xo.com","xo.com")</f>
        <v>xo.com</v>
      </c>
      <c r="C36318" t="s">
        <v>433</v>
      </c>
      <c r="E36318">
        <v>71372</v>
      </c>
      <c r="F36318">
        <v>8.6798226627864105E-7</v>
      </c>
      <c r="G36318">
        <v>46105</v>
      </c>
      <c r="H36318">
        <v>14879146</v>
      </c>
      <c r="I36318">
        <v>473265</v>
      </c>
      <c r="J36318">
        <v>5</v>
      </c>
    </row>
    <row r="36319" spans="1:10" x14ac:dyDescent="0.25">
      <c r="A36319" t="s">
        <v>394</v>
      </c>
      <c r="B36319" s="1" t="str">
        <f>HYPERLINK("http://zwireless.com","zwireless.com")</f>
        <v>zwireless.com</v>
      </c>
      <c r="C36319" t="s">
        <v>433</v>
      </c>
      <c r="F36319">
        <v>5.8454331358635399E-9</v>
      </c>
      <c r="G36319">
        <v>17742018</v>
      </c>
      <c r="H36319">
        <v>13240570</v>
      </c>
      <c r="I36319">
        <v>11219490</v>
      </c>
      <c r="J36319">
        <v>4</v>
      </c>
    </row>
    <row r="36320" spans="1:10" x14ac:dyDescent="0.25">
      <c r="A36320" t="s">
        <v>394</v>
      </c>
      <c r="B36320" s="1" t="str">
        <f>HYPERLINK("http://yahoofinance.fi","yahoofinance.fi")</f>
        <v>yahoofinance.fi</v>
      </c>
      <c r="C36320" t="s">
        <v>445</v>
      </c>
      <c r="D36320" t="s">
        <v>823</v>
      </c>
      <c r="J36320">
        <v>5</v>
      </c>
    </row>
    <row r="36321" spans="1:10" x14ac:dyDescent="0.25">
      <c r="A36321" t="s">
        <v>394</v>
      </c>
      <c r="B36321" s="1" t="str">
        <f>HYPERLINK("http://yahooplay.fi","yahooplay.fi")</f>
        <v>yahooplay.fi</v>
      </c>
      <c r="C36321" t="s">
        <v>445</v>
      </c>
      <c r="D36321" t="s">
        <v>823</v>
      </c>
      <c r="J36321">
        <v>5</v>
      </c>
    </row>
    <row r="36322" spans="1:10" x14ac:dyDescent="0.25">
      <c r="A36322" t="s">
        <v>394</v>
      </c>
      <c r="B36322" s="1" t="str">
        <f>HYPERLINK("http://sensorintelligence.io","sensorintelligence.io")</f>
        <v>sensorintelligence.io</v>
      </c>
      <c r="C36322" t="s">
        <v>518</v>
      </c>
      <c r="J36322">
        <v>3</v>
      </c>
    </row>
    <row r="36323" spans="1:10" x14ac:dyDescent="0.25">
      <c r="A36323" t="s">
        <v>394</v>
      </c>
      <c r="B36323" s="1" t="str">
        <f>HYPERLINK("http://uu.net","uu.net")</f>
        <v>uu.net</v>
      </c>
      <c r="C36323" t="s">
        <v>474</v>
      </c>
      <c r="E36323">
        <v>6092</v>
      </c>
      <c r="F36323">
        <v>5.6359757532301504E-7</v>
      </c>
      <c r="G36323">
        <v>68018</v>
      </c>
      <c r="H36323">
        <v>17140842</v>
      </c>
      <c r="I36323">
        <v>54129</v>
      </c>
      <c r="J36323">
        <v>3</v>
      </c>
    </row>
    <row r="36324" spans="1:10" x14ac:dyDescent="0.25">
      <c r="A36324" t="s">
        <v>394</v>
      </c>
      <c r="B36324" s="1" t="str">
        <f>HYPERLINK("http://vtitel.net","vtitel.net")</f>
        <v>vtitel.net</v>
      </c>
      <c r="C36324" t="s">
        <v>474</v>
      </c>
      <c r="F36324">
        <v>4.4438486064529804E-9</v>
      </c>
      <c r="G36324">
        <v>78539414</v>
      </c>
      <c r="H36324">
        <v>10541462</v>
      </c>
      <c r="I36324">
        <v>47188588</v>
      </c>
      <c r="J36324">
        <v>5</v>
      </c>
    </row>
    <row r="36325" spans="1:10" x14ac:dyDescent="0.25">
      <c r="A36325" t="s">
        <v>394</v>
      </c>
      <c r="B36325" s="1" t="str">
        <f>HYPERLINK("http://vz-connect.net","vz-connect.net")</f>
        <v>vz-connect.net</v>
      </c>
      <c r="C36325" t="s">
        <v>474</v>
      </c>
      <c r="F36325">
        <v>7.5916110123427303E-9</v>
      </c>
      <c r="G36325">
        <v>10812512</v>
      </c>
      <c r="H36325">
        <v>11023088</v>
      </c>
      <c r="I36325">
        <v>33206006</v>
      </c>
      <c r="J36325">
        <v>5</v>
      </c>
    </row>
    <row r="36326" spans="1:10" x14ac:dyDescent="0.25">
      <c r="A36326" t="s">
        <v>394</v>
      </c>
      <c r="B36326" s="1" t="str">
        <f>HYPERLINK("http://wirelessmadesimple.net","wirelessmadesimple.net")</f>
        <v>wirelessmadesimple.net</v>
      </c>
      <c r="C36326" t="s">
        <v>474</v>
      </c>
      <c r="F36326">
        <v>4.7604395773740597E-9</v>
      </c>
      <c r="G36326">
        <v>37801881</v>
      </c>
      <c r="H36326">
        <v>10910755</v>
      </c>
      <c r="I36326">
        <v>35613498</v>
      </c>
      <c r="J36326">
        <v>4</v>
      </c>
    </row>
    <row r="36327" spans="1:10" x14ac:dyDescent="0.25">
      <c r="A36327" t="s">
        <v>394</v>
      </c>
      <c r="B36327" s="1" t="str">
        <f>HYPERLINK("http://verizonfoundation.org","verizonfoundation.org")</f>
        <v>verizonfoundation.org</v>
      </c>
      <c r="C36327" t="s">
        <v>481</v>
      </c>
      <c r="F36327">
        <v>4.1726466310613297E-8</v>
      </c>
      <c r="G36327">
        <v>1182975</v>
      </c>
      <c r="H36327">
        <v>14186536</v>
      </c>
      <c r="I36327">
        <v>1768084</v>
      </c>
      <c r="J36327">
        <v>7</v>
      </c>
    </row>
    <row r="36328" spans="1:10" x14ac:dyDescent="0.25">
      <c r="A36328" t="s">
        <v>394</v>
      </c>
      <c r="B36328" s="1" t="str">
        <f>HYPERLINK("http://bjn.vc","bjn.vc")</f>
        <v>bjn.vc</v>
      </c>
      <c r="C36328" t="s">
        <v>520</v>
      </c>
      <c r="D36328" t="s">
        <v>890</v>
      </c>
      <c r="E36328">
        <v>99392</v>
      </c>
      <c r="F36328">
        <v>1.5206934558524301E-8</v>
      </c>
      <c r="G36328">
        <v>3773902</v>
      </c>
      <c r="H36328">
        <v>13349336</v>
      </c>
      <c r="I36328">
        <v>10617415</v>
      </c>
      <c r="J36328">
        <v>7</v>
      </c>
    </row>
    <row r="36329" spans="1:10" x14ac:dyDescent="0.25">
      <c r="A36329" t="s">
        <v>395</v>
      </c>
      <c r="B36329" s="1" t="str">
        <f>HYPERLINK("http://cfannual.ca","cfannual.ca")</f>
        <v>cfannual.ca</v>
      </c>
      <c r="C36329" t="s">
        <v>428</v>
      </c>
      <c r="D36329" t="s">
        <v>809</v>
      </c>
      <c r="J36329">
        <v>2</v>
      </c>
    </row>
    <row r="36330" spans="1:10" x14ac:dyDescent="0.25">
      <c r="A36330" t="s">
        <v>395</v>
      </c>
      <c r="B36330" s="1" t="str">
        <f>HYPERLINK("http://vrtx.ca","vrtx.ca")</f>
        <v>vrtx.ca</v>
      </c>
      <c r="C36330" t="s">
        <v>428</v>
      </c>
      <c r="D36330" t="s">
        <v>809</v>
      </c>
      <c r="F36330">
        <v>1.24196653458908E-8</v>
      </c>
      <c r="G36330">
        <v>4928785</v>
      </c>
      <c r="H36330">
        <v>13190661</v>
      </c>
      <c r="I36330">
        <v>11600767</v>
      </c>
      <c r="J36330">
        <v>2</v>
      </c>
    </row>
    <row r="36331" spans="1:10" x14ac:dyDescent="0.25">
      <c r="A36331" t="s">
        <v>395</v>
      </c>
      <c r="B36331" s="1" t="str">
        <f>HYPERLINK("http://vertex-info.ch","vertex-info.ch")</f>
        <v>vertex-info.ch</v>
      </c>
      <c r="C36331" t="s">
        <v>429</v>
      </c>
      <c r="D36331" t="s">
        <v>810</v>
      </c>
      <c r="F36331">
        <v>4.6314198684466902E-9</v>
      </c>
      <c r="G36331">
        <v>45352807</v>
      </c>
      <c r="H36331">
        <v>8308492</v>
      </c>
      <c r="I36331">
        <v>74199388</v>
      </c>
      <c r="J36331">
        <v>2</v>
      </c>
    </row>
    <row r="36332" spans="1:10" x14ac:dyDescent="0.25">
      <c r="A36332" t="s">
        <v>395</v>
      </c>
      <c r="B36332" s="1" t="str">
        <f>HYPERLINK("http://symdeko.com","symdeko.com")</f>
        <v>symdeko.com</v>
      </c>
      <c r="C36332" t="s">
        <v>433</v>
      </c>
      <c r="F36332">
        <v>1.6370599021558E-8</v>
      </c>
      <c r="G36332">
        <v>3453623</v>
      </c>
      <c r="H36332">
        <v>12463604</v>
      </c>
      <c r="I36332">
        <v>17831201</v>
      </c>
      <c r="J36332">
        <v>2</v>
      </c>
    </row>
    <row r="36333" spans="1:10" x14ac:dyDescent="0.25">
      <c r="A36333" t="s">
        <v>395</v>
      </c>
      <c r="B36333" s="1" t="str">
        <f>HYPERLINK("http://symdekohcp.com","symdekohcp.com")</f>
        <v>symdekohcp.com</v>
      </c>
      <c r="C36333" t="s">
        <v>433</v>
      </c>
      <c r="F36333">
        <v>6.4940123657796703E-9</v>
      </c>
      <c r="G36333">
        <v>14103085</v>
      </c>
      <c r="H36333">
        <v>12366628</v>
      </c>
      <c r="I36333">
        <v>19471126</v>
      </c>
      <c r="J36333">
        <v>2</v>
      </c>
    </row>
    <row r="36334" spans="1:10" x14ac:dyDescent="0.25">
      <c r="A36334" t="s">
        <v>395</v>
      </c>
      <c r="B36334" s="1" t="str">
        <f>HYPERLINK("http://viacyte.com","viacyte.com")</f>
        <v>viacyte.com</v>
      </c>
      <c r="C36334" t="s">
        <v>433</v>
      </c>
      <c r="F36334">
        <v>8.1930978589610893E-8</v>
      </c>
      <c r="G36334">
        <v>509301</v>
      </c>
      <c r="H36334">
        <v>14602422</v>
      </c>
      <c r="I36334">
        <v>684242</v>
      </c>
      <c r="J36334">
        <v>3</v>
      </c>
    </row>
    <row r="36335" spans="1:10" x14ac:dyDescent="0.25">
      <c r="A36335" t="s">
        <v>395</v>
      </c>
      <c r="B36335" s="1" t="str">
        <f>HYPERLINK("http://vrtx.com","vrtx.com")</f>
        <v>vrtx.com</v>
      </c>
      <c r="C36335" t="s">
        <v>433</v>
      </c>
      <c r="E36335">
        <v>68983</v>
      </c>
      <c r="F36335">
        <v>6.8788112491630896E-7</v>
      </c>
      <c r="G36335">
        <v>56161</v>
      </c>
      <c r="H36335">
        <v>17267346</v>
      </c>
      <c r="I36335">
        <v>31694</v>
      </c>
      <c r="J36335">
        <v>1</v>
      </c>
    </row>
    <row r="36336" spans="1:10" x14ac:dyDescent="0.25">
      <c r="A36336" t="s">
        <v>395</v>
      </c>
      <c r="B36336" s="1" t="str">
        <f>HYPERLINK("http://vrtx.de","vrtx.de")</f>
        <v>vrtx.de</v>
      </c>
      <c r="C36336" t="s">
        <v>436</v>
      </c>
      <c r="D36336" t="s">
        <v>815</v>
      </c>
      <c r="F36336">
        <v>1.8437020609841499E-8</v>
      </c>
      <c r="G36336">
        <v>2938422</v>
      </c>
      <c r="H36336">
        <v>12728160</v>
      </c>
      <c r="I36336">
        <v>15206122</v>
      </c>
      <c r="J36336">
        <v>2</v>
      </c>
    </row>
    <row r="36337" spans="1:10" x14ac:dyDescent="0.25">
      <c r="A36337" t="s">
        <v>395</v>
      </c>
      <c r="B36337" s="1" t="str">
        <f>HYPERLINK("http://alyfteo.fi","alyfteo.fi")</f>
        <v>alyfteo.fi</v>
      </c>
      <c r="C36337" t="s">
        <v>445</v>
      </c>
      <c r="D36337" t="s">
        <v>823</v>
      </c>
      <c r="J36337">
        <v>2</v>
      </c>
    </row>
    <row r="36338" spans="1:10" x14ac:dyDescent="0.25">
      <c r="A36338" t="s">
        <v>395</v>
      </c>
      <c r="B36338" s="1" t="str">
        <f>HYPERLINK("http://alyftreo.fi","alyftreo.fi")</f>
        <v>alyftreo.fi</v>
      </c>
      <c r="C36338" t="s">
        <v>445</v>
      </c>
      <c r="D36338" t="s">
        <v>823</v>
      </c>
      <c r="J36338">
        <v>2</v>
      </c>
    </row>
    <row r="36339" spans="1:10" x14ac:dyDescent="0.25">
      <c r="A36339" t="s">
        <v>395</v>
      </c>
      <c r="B36339" s="1" t="str">
        <f>HYPERLINK("http://amacaftor.fi","amacaftor.fi")</f>
        <v>amacaftor.fi</v>
      </c>
      <c r="C36339" t="s">
        <v>445</v>
      </c>
      <c r="D36339" t="s">
        <v>823</v>
      </c>
      <c r="J36339">
        <v>2</v>
      </c>
    </row>
    <row r="36340" spans="1:10" x14ac:dyDescent="0.25">
      <c r="A36340" t="s">
        <v>395</v>
      </c>
      <c r="B36340" s="1" t="str">
        <f>HYPERLINK("http://aymvoke.fi","aymvoke.fi")</f>
        <v>aymvoke.fi</v>
      </c>
      <c r="C36340" t="s">
        <v>445</v>
      </c>
      <c r="D36340" t="s">
        <v>823</v>
      </c>
      <c r="J36340">
        <v>2</v>
      </c>
    </row>
    <row r="36341" spans="1:10" x14ac:dyDescent="0.25">
      <c r="A36341" t="s">
        <v>395</v>
      </c>
      <c r="B36341" s="1" t="str">
        <f>HYPERLINK("http://casgevy.fi","casgevy.fi")</f>
        <v>casgevy.fi</v>
      </c>
      <c r="C36341" t="s">
        <v>445</v>
      </c>
      <c r="D36341" t="s">
        <v>823</v>
      </c>
      <c r="J36341">
        <v>2</v>
      </c>
    </row>
    <row r="36342" spans="1:10" x14ac:dyDescent="0.25">
      <c r="A36342" t="s">
        <v>395</v>
      </c>
      <c r="B36342" s="1" t="str">
        <f>HYPERLINK("http://casreyo.fi","casreyo.fi")</f>
        <v>casreyo.fi</v>
      </c>
      <c r="C36342" t="s">
        <v>445</v>
      </c>
      <c r="D36342" t="s">
        <v>823</v>
      </c>
      <c r="J36342">
        <v>2</v>
      </c>
    </row>
    <row r="36343" spans="1:10" x14ac:dyDescent="0.25">
      <c r="A36343" t="s">
        <v>395</v>
      </c>
      <c r="B36343" s="1" t="str">
        <f>HYPERLINK("http://cfaccess.fi","cfaccess.fi")</f>
        <v>cfaccess.fi</v>
      </c>
      <c r="C36343" t="s">
        <v>445</v>
      </c>
      <c r="D36343" t="s">
        <v>823</v>
      </c>
      <c r="J36343">
        <v>2</v>
      </c>
    </row>
    <row r="36344" spans="1:10" x14ac:dyDescent="0.25">
      <c r="A36344" t="s">
        <v>395</v>
      </c>
      <c r="B36344" s="1" t="str">
        <f>HYPERLINK("http://cfsource.fi","cfsource.fi")</f>
        <v>cfsource.fi</v>
      </c>
      <c r="C36344" t="s">
        <v>445</v>
      </c>
      <c r="D36344" t="s">
        <v>823</v>
      </c>
      <c r="F36344">
        <v>4.7411846946050902E-9</v>
      </c>
      <c r="G36344">
        <v>38742170</v>
      </c>
      <c r="H36344">
        <v>10593311</v>
      </c>
      <c r="I36344">
        <v>45542508</v>
      </c>
      <c r="J36344">
        <v>2</v>
      </c>
    </row>
    <row r="36345" spans="1:10" x14ac:dyDescent="0.25">
      <c r="A36345" t="s">
        <v>395</v>
      </c>
      <c r="B36345" s="1" t="str">
        <f>HYPERLINK("http://elexacaftor.fi","elexacaftor.fi")</f>
        <v>elexacaftor.fi</v>
      </c>
      <c r="C36345" t="s">
        <v>445</v>
      </c>
      <c r="D36345" t="s">
        <v>823</v>
      </c>
      <c r="J36345">
        <v>2</v>
      </c>
    </row>
    <row r="36346" spans="1:10" x14ac:dyDescent="0.25">
      <c r="A36346" t="s">
        <v>395</v>
      </c>
      <c r="B36346" s="1" t="str">
        <f>HYPERLINK("http://genepossibilitieshcp.fi","genepossibilitieshcp.fi")</f>
        <v>genepossibilitieshcp.fi</v>
      </c>
      <c r="C36346" t="s">
        <v>445</v>
      </c>
      <c r="D36346" t="s">
        <v>823</v>
      </c>
      <c r="J36346">
        <v>2</v>
      </c>
    </row>
    <row r="36347" spans="1:10" x14ac:dyDescent="0.25">
      <c r="A36347" t="s">
        <v>395</v>
      </c>
      <c r="B36347" s="1" t="str">
        <f>HYPERLINK("http://inaxaplin.fi","inaxaplin.fi")</f>
        <v>inaxaplin.fi</v>
      </c>
      <c r="C36347" t="s">
        <v>445</v>
      </c>
      <c r="D36347" t="s">
        <v>823</v>
      </c>
      <c r="J36347">
        <v>2</v>
      </c>
    </row>
    <row r="36348" spans="1:10" x14ac:dyDescent="0.25">
      <c r="A36348" t="s">
        <v>395</v>
      </c>
      <c r="B36348" s="1" t="str">
        <f>HYPERLINK("http://myvoiza.fi","myvoiza.fi")</f>
        <v>myvoiza.fi</v>
      </c>
      <c r="C36348" t="s">
        <v>445</v>
      </c>
      <c r="D36348" t="s">
        <v>823</v>
      </c>
      <c r="J36348">
        <v>2</v>
      </c>
    </row>
    <row r="36349" spans="1:10" x14ac:dyDescent="0.25">
      <c r="A36349" t="s">
        <v>395</v>
      </c>
      <c r="B36349" s="1" t="str">
        <f>HYPERLINK("http://rexfocas.fi","rexfocas.fi")</f>
        <v>rexfocas.fi</v>
      </c>
      <c r="C36349" t="s">
        <v>445</v>
      </c>
      <c r="D36349" t="s">
        <v>823</v>
      </c>
      <c r="J36349">
        <v>2</v>
      </c>
    </row>
    <row r="36350" spans="1:10" x14ac:dyDescent="0.25">
      <c r="A36350" t="s">
        <v>395</v>
      </c>
      <c r="B36350" s="1" t="str">
        <f>HYPERLINK("http://symkevi.fi","symkevi.fi")</f>
        <v>symkevi.fi</v>
      </c>
      <c r="C36350" t="s">
        <v>445</v>
      </c>
      <c r="D36350" t="s">
        <v>823</v>
      </c>
      <c r="J36350">
        <v>2</v>
      </c>
    </row>
    <row r="36351" spans="1:10" x14ac:dyDescent="0.25">
      <c r="A36351" t="s">
        <v>395</v>
      </c>
      <c r="B36351" s="1" t="str">
        <f>HYPERLINK("http://vanzacaftor.fi","vanzacaftor.fi")</f>
        <v>vanzacaftor.fi</v>
      </c>
      <c r="C36351" t="s">
        <v>445</v>
      </c>
      <c r="D36351" t="s">
        <v>823</v>
      </c>
      <c r="J36351">
        <v>2</v>
      </c>
    </row>
    <row r="36352" spans="1:10" x14ac:dyDescent="0.25">
      <c r="A36352" t="s">
        <v>395</v>
      </c>
      <c r="B36352" s="1" t="str">
        <f>HYPERLINK("http://vertexgenetictherapies.fi","vertexgenetictherapies.fi")</f>
        <v>vertexgenetictherapies.fi</v>
      </c>
      <c r="C36352" t="s">
        <v>445</v>
      </c>
      <c r="D36352" t="s">
        <v>823</v>
      </c>
      <c r="J36352">
        <v>2</v>
      </c>
    </row>
    <row r="36353" spans="1:10" x14ac:dyDescent="0.25">
      <c r="A36353" t="s">
        <v>395</v>
      </c>
      <c r="B36353" s="1" t="str">
        <f>HYPERLINK("http://voxvoka.fi","voxvoka.fi")</f>
        <v>voxvoka.fi</v>
      </c>
      <c r="C36353" t="s">
        <v>445</v>
      </c>
      <c r="D36353" t="s">
        <v>823</v>
      </c>
      <c r="J36353">
        <v>2</v>
      </c>
    </row>
    <row r="36354" spans="1:10" x14ac:dyDescent="0.25">
      <c r="A36354" t="s">
        <v>395</v>
      </c>
      <c r="B36354" s="1" t="str">
        <f>HYPERLINK("http://vozme.fi","vozme.fi")</f>
        <v>vozme.fi</v>
      </c>
      <c r="C36354" t="s">
        <v>445</v>
      </c>
      <c r="D36354" t="s">
        <v>823</v>
      </c>
      <c r="J36354">
        <v>2</v>
      </c>
    </row>
    <row r="36355" spans="1:10" x14ac:dyDescent="0.25">
      <c r="A36355" t="s">
        <v>395</v>
      </c>
      <c r="B36355" s="1" t="str">
        <f>HYPERLINK("http://vrtx.fi","vrtx.fi")</f>
        <v>vrtx.fi</v>
      </c>
      <c r="C36355" t="s">
        <v>445</v>
      </c>
      <c r="D36355" t="s">
        <v>823</v>
      </c>
      <c r="J36355">
        <v>2</v>
      </c>
    </row>
    <row r="36356" spans="1:10" x14ac:dyDescent="0.25">
      <c r="A36356" t="s">
        <v>395</v>
      </c>
      <c r="B36356" s="1" t="str">
        <f>HYPERLINK("http://vrtxmedical.fi","vrtxmedical.fi")</f>
        <v>vrtxmedical.fi</v>
      </c>
      <c r="C36356" t="s">
        <v>445</v>
      </c>
      <c r="D36356" t="s">
        <v>823</v>
      </c>
      <c r="J36356">
        <v>2</v>
      </c>
    </row>
    <row r="36357" spans="1:10" x14ac:dyDescent="0.25">
      <c r="A36357" t="s">
        <v>395</v>
      </c>
      <c r="B36357" s="1" t="str">
        <f>HYPERLINK("http://vrtx.fr","vrtx.fr")</f>
        <v>vrtx.fr</v>
      </c>
      <c r="C36357" t="s">
        <v>446</v>
      </c>
      <c r="D36357" t="s">
        <v>824</v>
      </c>
      <c r="F36357">
        <v>1.06112347269114E-8</v>
      </c>
      <c r="G36357">
        <v>6173968</v>
      </c>
      <c r="H36357">
        <v>14071817</v>
      </c>
      <c r="I36357">
        <v>3308190</v>
      </c>
      <c r="J36357">
        <v>2</v>
      </c>
    </row>
    <row r="36358" spans="1:10" x14ac:dyDescent="0.25">
      <c r="A36358" t="s">
        <v>395</v>
      </c>
      <c r="B36358" s="1" t="str">
        <f>HYPERLINK("http://cfdynamiek.nl","cfdynamiek.nl")</f>
        <v>cfdynamiek.nl</v>
      </c>
      <c r="C36358" t="s">
        <v>477</v>
      </c>
      <c r="D36358" t="s">
        <v>852</v>
      </c>
      <c r="F36358">
        <v>4.79046815992835E-9</v>
      </c>
      <c r="G36358">
        <v>36471435</v>
      </c>
      <c r="H36358">
        <v>8310366.5</v>
      </c>
      <c r="I36358">
        <v>74180382</v>
      </c>
      <c r="J36358">
        <v>2</v>
      </c>
    </row>
    <row r="36359" spans="1:10" x14ac:dyDescent="0.25">
      <c r="A36359" t="s">
        <v>395</v>
      </c>
      <c r="B36359" s="1" t="str">
        <f>HYPERLINK("http://vertexfoundation.org","vertexfoundation.org")</f>
        <v>vertexfoundation.org</v>
      </c>
      <c r="C36359" t="s">
        <v>481</v>
      </c>
      <c r="F36359">
        <v>8.10552695817097E-9</v>
      </c>
      <c r="G36359">
        <v>9732118</v>
      </c>
      <c r="H36359">
        <v>12171424</v>
      </c>
      <c r="I36359">
        <v>24035578</v>
      </c>
      <c r="J36359">
        <v>3</v>
      </c>
    </row>
    <row r="36360" spans="1:10" x14ac:dyDescent="0.25">
      <c r="A36360" t="s">
        <v>395</v>
      </c>
      <c r="B36360" s="1" t="str">
        <f>HYPERLINK("http://vrtxpharma.co.uk","vrtxpharma.co.uk")</f>
        <v>vrtxpharma.co.uk</v>
      </c>
      <c r="C36360" t="s">
        <v>506</v>
      </c>
      <c r="D36360" t="s">
        <v>880</v>
      </c>
      <c r="F36360">
        <v>1.3005794177718901E-8</v>
      </c>
      <c r="G36360">
        <v>4628954</v>
      </c>
      <c r="H36360">
        <v>13342327</v>
      </c>
      <c r="I36360">
        <v>10664936</v>
      </c>
      <c r="J36360">
        <v>2</v>
      </c>
    </row>
    <row r="36361" spans="1:10" x14ac:dyDescent="0.25">
      <c r="A36361" t="s">
        <v>396</v>
      </c>
      <c r="B36361" s="1" t="str">
        <f>HYPERLINK("http://oma.aero","oma.aero")</f>
        <v>oma.aero</v>
      </c>
      <c r="C36361" t="s">
        <v>601</v>
      </c>
      <c r="E36361">
        <v>446079</v>
      </c>
      <c r="F36361">
        <v>9.0286840926614494E-8</v>
      </c>
      <c r="G36361">
        <v>451845</v>
      </c>
      <c r="H36361">
        <v>14417842</v>
      </c>
      <c r="I36361">
        <v>1096495</v>
      </c>
      <c r="J36361">
        <v>3</v>
      </c>
    </row>
    <row r="36362" spans="1:10" x14ac:dyDescent="0.25">
      <c r="A36362" t="s">
        <v>396</v>
      </c>
      <c r="B36362" s="1" t="str">
        <f>HYPERLINK("http://snt.al","snt.al")</f>
        <v>snt.al</v>
      </c>
      <c r="C36362" t="s">
        <v>588</v>
      </c>
      <c r="D36362" t="s">
        <v>924</v>
      </c>
      <c r="F36362">
        <v>8.3493260620892394E-9</v>
      </c>
      <c r="G36362">
        <v>9147787</v>
      </c>
      <c r="H36362">
        <v>12248332</v>
      </c>
      <c r="I36362">
        <v>22046550</v>
      </c>
      <c r="J36362">
        <v>5</v>
      </c>
    </row>
    <row r="36363" spans="1:10" x14ac:dyDescent="0.25">
      <c r="A36363" t="s">
        <v>396</v>
      </c>
      <c r="B36363" s="1" t="str">
        <f>HYPERLINK("http://actemium.at","actemium.at")</f>
        <v>actemium.at</v>
      </c>
      <c r="C36363" t="s">
        <v>419</v>
      </c>
      <c r="D36363" t="s">
        <v>801</v>
      </c>
      <c r="F36363">
        <v>8.7992741362883403E-9</v>
      </c>
      <c r="G36363">
        <v>8311314</v>
      </c>
      <c r="H36363">
        <v>11398071</v>
      </c>
      <c r="I36363">
        <v>30230937</v>
      </c>
      <c r="J36363">
        <v>5</v>
      </c>
    </row>
    <row r="36364" spans="1:10" x14ac:dyDescent="0.25">
      <c r="A36364" t="s">
        <v>396</v>
      </c>
      <c r="B36364" s="1" t="str">
        <f>HYPERLINK("http://axians.at","axians.at")</f>
        <v>axians.at</v>
      </c>
      <c r="C36364" t="s">
        <v>419</v>
      </c>
      <c r="D36364" t="s">
        <v>801</v>
      </c>
      <c r="F36364">
        <v>4.9097925112580003E-8</v>
      </c>
      <c r="G36364">
        <v>943219</v>
      </c>
      <c r="H36364">
        <v>13347202</v>
      </c>
      <c r="I36364">
        <v>10645657</v>
      </c>
      <c r="J36364">
        <v>4</v>
      </c>
    </row>
    <row r="36365" spans="1:10" x14ac:dyDescent="0.25">
      <c r="A36365" t="s">
        <v>396</v>
      </c>
      <c r="B36365" s="1" t="str">
        <f>HYPERLINK("http://omexom.at","omexom.at")</f>
        <v>omexom.at</v>
      </c>
      <c r="C36365" t="s">
        <v>419</v>
      </c>
      <c r="D36365" t="s">
        <v>801</v>
      </c>
      <c r="F36365">
        <v>7.2131025129414096E-9</v>
      </c>
      <c r="G36365">
        <v>11706264</v>
      </c>
      <c r="H36365">
        <v>10810664</v>
      </c>
      <c r="I36365">
        <v>37853519</v>
      </c>
      <c r="J36365">
        <v>4</v>
      </c>
    </row>
    <row r="36366" spans="1:10" x14ac:dyDescent="0.25">
      <c r="A36366" t="s">
        <v>396</v>
      </c>
      <c r="B36366" s="1" t="str">
        <f>HYPERLINK("http://snt.at","snt.at")</f>
        <v>snt.at</v>
      </c>
      <c r="C36366" t="s">
        <v>419</v>
      </c>
      <c r="D36366" t="s">
        <v>801</v>
      </c>
      <c r="F36366">
        <v>7.7075745416734105E-8</v>
      </c>
      <c r="G36366">
        <v>543467</v>
      </c>
      <c r="H36366">
        <v>13798715</v>
      </c>
      <c r="I36366">
        <v>6289699</v>
      </c>
      <c r="J36366">
        <v>4</v>
      </c>
    </row>
    <row r="36367" spans="1:10" x14ac:dyDescent="0.25">
      <c r="A36367" t="s">
        <v>396</v>
      </c>
      <c r="B36367" s="1" t="str">
        <f>HYPERLINK("http://strabag.at","strabag.at")</f>
        <v>strabag.at</v>
      </c>
      <c r="C36367" t="s">
        <v>419</v>
      </c>
      <c r="D36367" t="s">
        <v>801</v>
      </c>
      <c r="E36367">
        <v>427983</v>
      </c>
      <c r="F36367">
        <v>2.7330472952082499E-7</v>
      </c>
      <c r="G36367">
        <v>136112</v>
      </c>
      <c r="H36367">
        <v>14531362</v>
      </c>
      <c r="I36367">
        <v>785757</v>
      </c>
      <c r="J36367">
        <v>6</v>
      </c>
    </row>
    <row r="36368" spans="1:10" x14ac:dyDescent="0.25">
      <c r="A36368" t="s">
        <v>396</v>
      </c>
      <c r="B36368" s="1" t="str">
        <f>HYPERLINK("http://strabag-pfs.at","strabag-pfs.at")</f>
        <v>strabag-pfs.at</v>
      </c>
      <c r="C36368" t="s">
        <v>419</v>
      </c>
      <c r="D36368" t="s">
        <v>801</v>
      </c>
      <c r="F36368">
        <v>1.44318145835626E-8</v>
      </c>
      <c r="G36368">
        <v>4046138</v>
      </c>
      <c r="H36368">
        <v>12400499</v>
      </c>
      <c r="I36368">
        <v>18775684</v>
      </c>
      <c r="J36368">
        <v>8</v>
      </c>
    </row>
    <row r="36369" spans="1:10" x14ac:dyDescent="0.25">
      <c r="A36369" t="s">
        <v>396</v>
      </c>
      <c r="B36369" s="1" t="str">
        <f>HYPERLINK("http://vinci-energies.at","vinci-energies.at")</f>
        <v>vinci-energies.at</v>
      </c>
      <c r="C36369" t="s">
        <v>419</v>
      </c>
      <c r="D36369" t="s">
        <v>801</v>
      </c>
      <c r="F36369">
        <v>1.0866325498051899E-8</v>
      </c>
      <c r="G36369">
        <v>5968320</v>
      </c>
      <c r="H36369">
        <v>12179547</v>
      </c>
      <c r="I36369">
        <v>23825348</v>
      </c>
      <c r="J36369">
        <v>3</v>
      </c>
    </row>
    <row r="36370" spans="1:10" x14ac:dyDescent="0.25">
      <c r="A36370" t="s">
        <v>396</v>
      </c>
      <c r="B36370" s="1" t="str">
        <f>HYPERLINK("http://electrix.com.au","electrix.com.au")</f>
        <v>electrix.com.au</v>
      </c>
      <c r="C36370" t="s">
        <v>420</v>
      </c>
      <c r="D36370" t="s">
        <v>802</v>
      </c>
      <c r="F36370">
        <v>6.1193610816575398E-9</v>
      </c>
      <c r="G36370">
        <v>15983278</v>
      </c>
      <c r="H36370">
        <v>11129736</v>
      </c>
      <c r="I36370">
        <v>31949222</v>
      </c>
      <c r="J36370">
        <v>5</v>
      </c>
    </row>
    <row r="36371" spans="1:10" x14ac:dyDescent="0.25">
      <c r="A36371" t="s">
        <v>396</v>
      </c>
      <c r="B36371" s="1" t="str">
        <f>HYPERLINK("http://jpr.com.au","jpr.com.au")</f>
        <v>jpr.com.au</v>
      </c>
      <c r="C36371" t="s">
        <v>420</v>
      </c>
      <c r="D36371" t="s">
        <v>802</v>
      </c>
      <c r="F36371">
        <v>5.2354379616258598E-9</v>
      </c>
      <c r="G36371">
        <v>24486357</v>
      </c>
      <c r="H36371">
        <v>11274683</v>
      </c>
      <c r="I36371">
        <v>30737448</v>
      </c>
      <c r="J36371">
        <v>3</v>
      </c>
    </row>
    <row r="36372" spans="1:10" x14ac:dyDescent="0.25">
      <c r="A36372" t="s">
        <v>396</v>
      </c>
      <c r="B36372" s="1" t="str">
        <f>HYPERLINK("http://menardbachy.com.au","menardbachy.com.au")</f>
        <v>menardbachy.com.au</v>
      </c>
      <c r="C36372" t="s">
        <v>420</v>
      </c>
      <c r="D36372" t="s">
        <v>802</v>
      </c>
      <c r="F36372">
        <v>4.6942241752585796E-9</v>
      </c>
      <c r="G36372">
        <v>41578666</v>
      </c>
      <c r="H36372">
        <v>11139185</v>
      </c>
      <c r="I36372">
        <v>31845283</v>
      </c>
      <c r="J36372">
        <v>3</v>
      </c>
    </row>
    <row r="36373" spans="1:10" x14ac:dyDescent="0.25">
      <c r="A36373" t="s">
        <v>396</v>
      </c>
      <c r="B36373" s="1" t="str">
        <f>HYPERLINK("http://omexom.com.au","omexom.com.au")</f>
        <v>omexom.com.au</v>
      </c>
      <c r="C36373" t="s">
        <v>420</v>
      </c>
      <c r="D36373" t="s">
        <v>802</v>
      </c>
      <c r="F36373">
        <v>5.1769936553714597E-9</v>
      </c>
      <c r="G36373">
        <v>25603959</v>
      </c>
      <c r="H36373">
        <v>11142195</v>
      </c>
      <c r="I36373">
        <v>31814746</v>
      </c>
      <c r="J36373">
        <v>5</v>
      </c>
    </row>
    <row r="36374" spans="1:10" x14ac:dyDescent="0.25">
      <c r="A36374" t="s">
        <v>396</v>
      </c>
      <c r="B36374" s="1" t="str">
        <f>HYPERLINK("http://robcarr.com.au","robcarr.com.au")</f>
        <v>robcarr.com.au</v>
      </c>
      <c r="C36374" t="s">
        <v>420</v>
      </c>
      <c r="D36374" t="s">
        <v>802</v>
      </c>
      <c r="F36374">
        <v>7.0872914604446196E-9</v>
      </c>
      <c r="G36374">
        <v>12051340</v>
      </c>
      <c r="H36374">
        <v>11144268</v>
      </c>
      <c r="I36374">
        <v>31794397</v>
      </c>
      <c r="J36374">
        <v>3</v>
      </c>
    </row>
    <row r="36375" spans="1:10" x14ac:dyDescent="0.25">
      <c r="A36375" t="s">
        <v>396</v>
      </c>
      <c r="B36375" s="1" t="str">
        <f>HYPERLINK("http://seymourwhyte.com.au","seymourwhyte.com.au")</f>
        <v>seymourwhyte.com.au</v>
      </c>
      <c r="C36375" t="s">
        <v>420</v>
      </c>
      <c r="D36375" t="s">
        <v>802</v>
      </c>
      <c r="E36375">
        <v>939701</v>
      </c>
      <c r="F36375">
        <v>1.9878449663991399E-8</v>
      </c>
      <c r="G36375">
        <v>2678109</v>
      </c>
      <c r="H36375">
        <v>14284637</v>
      </c>
      <c r="I36375">
        <v>1373234</v>
      </c>
      <c r="J36375">
        <v>3</v>
      </c>
    </row>
    <row r="36376" spans="1:10" x14ac:dyDescent="0.25">
      <c r="A36376" t="s">
        <v>396</v>
      </c>
      <c r="B36376" s="1" t="str">
        <f>HYPERLINK("http://soletanche-bachy.com.au","soletanche-bachy.com.au")</f>
        <v>soletanche-bachy.com.au</v>
      </c>
      <c r="C36376" t="s">
        <v>420</v>
      </c>
      <c r="D36376" t="s">
        <v>802</v>
      </c>
      <c r="F36376">
        <v>4.9297883449256296E-9</v>
      </c>
      <c r="G36376">
        <v>31385260</v>
      </c>
      <c r="H36376">
        <v>11142085</v>
      </c>
      <c r="I36376">
        <v>31815841</v>
      </c>
      <c r="J36376">
        <v>3</v>
      </c>
    </row>
    <row r="36377" spans="1:10" x14ac:dyDescent="0.25">
      <c r="A36377" t="s">
        <v>396</v>
      </c>
      <c r="B36377" s="1" t="str">
        <f>HYPERLINK("http://strabag.com.au","strabag.com.au")</f>
        <v>strabag.com.au</v>
      </c>
      <c r="C36377" t="s">
        <v>420</v>
      </c>
      <c r="D36377" t="s">
        <v>802</v>
      </c>
      <c r="F36377">
        <v>1.32656713114207E-8</v>
      </c>
      <c r="G36377">
        <v>4508545</v>
      </c>
      <c r="H36377">
        <v>12011723</v>
      </c>
      <c r="I36377">
        <v>28037969</v>
      </c>
      <c r="J36377">
        <v>7</v>
      </c>
    </row>
    <row r="36378" spans="1:10" x14ac:dyDescent="0.25">
      <c r="A36378" t="s">
        <v>396</v>
      </c>
      <c r="B36378" s="1" t="str">
        <f>HYPERLINK("http://a-vt.be","a-vt.be")</f>
        <v>a-vt.be</v>
      </c>
      <c r="C36378" t="s">
        <v>421</v>
      </c>
      <c r="D36378" t="s">
        <v>803</v>
      </c>
      <c r="F36378">
        <v>1.3836537850466E-8</v>
      </c>
      <c r="G36378">
        <v>4265882</v>
      </c>
      <c r="H36378">
        <v>12417283</v>
      </c>
      <c r="I36378">
        <v>18504272</v>
      </c>
      <c r="J36378">
        <v>3</v>
      </c>
    </row>
    <row r="36379" spans="1:10" x14ac:dyDescent="0.25">
      <c r="A36379" t="s">
        <v>396</v>
      </c>
      <c r="B36379" s="1" t="str">
        <f>HYPERLINK("http://actemium.be","actemium.be")</f>
        <v>actemium.be</v>
      </c>
      <c r="C36379" t="s">
        <v>421</v>
      </c>
      <c r="D36379" t="s">
        <v>803</v>
      </c>
      <c r="F36379">
        <v>3.7567120175126603E-8</v>
      </c>
      <c r="G36379">
        <v>1377525</v>
      </c>
      <c r="H36379">
        <v>12937381</v>
      </c>
      <c r="I36379">
        <v>13322641</v>
      </c>
      <c r="J36379">
        <v>5</v>
      </c>
    </row>
    <row r="36380" spans="1:10" x14ac:dyDescent="0.25">
      <c r="A36380" t="s">
        <v>396</v>
      </c>
      <c r="B36380" s="1" t="str">
        <f>HYPERLINK("http://axians.be","axians.be")</f>
        <v>axians.be</v>
      </c>
      <c r="C36380" t="s">
        <v>421</v>
      </c>
      <c r="D36380" t="s">
        <v>803</v>
      </c>
      <c r="F36380">
        <v>3.9223867972608799E-8</v>
      </c>
      <c r="G36380">
        <v>1315244</v>
      </c>
      <c r="H36380">
        <v>13339822</v>
      </c>
      <c r="I36380">
        <v>10672584</v>
      </c>
      <c r="J36380">
        <v>4</v>
      </c>
    </row>
    <row r="36381" spans="1:10" x14ac:dyDescent="0.25">
      <c r="A36381" t="s">
        <v>396</v>
      </c>
      <c r="B36381" s="1" t="str">
        <f>HYPERLINK("http://bachy.be","bachy.be")</f>
        <v>bachy.be</v>
      </c>
      <c r="C36381" t="s">
        <v>421</v>
      </c>
      <c r="D36381" t="s">
        <v>803</v>
      </c>
      <c r="J36381">
        <v>5</v>
      </c>
    </row>
    <row r="36382" spans="1:10" x14ac:dyDescent="0.25">
      <c r="A36382" t="s">
        <v>396</v>
      </c>
      <c r="B36382" s="1" t="str">
        <f>HYPERLINK("http://demeyere.be","demeyere.be")</f>
        <v>demeyere.be</v>
      </c>
      <c r="C36382" t="s">
        <v>421</v>
      </c>
      <c r="D36382" t="s">
        <v>803</v>
      </c>
      <c r="F36382">
        <v>1.36582846713671E-8</v>
      </c>
      <c r="G36382">
        <v>4337993</v>
      </c>
      <c r="H36382">
        <v>13783617</v>
      </c>
      <c r="I36382">
        <v>6423152</v>
      </c>
      <c r="J36382">
        <v>13</v>
      </c>
    </row>
    <row r="36383" spans="1:10" x14ac:dyDescent="0.25">
      <c r="A36383" t="s">
        <v>396</v>
      </c>
      <c r="B36383" s="1" t="str">
        <f>HYPERLINK("http://fitit.be","fitit.be")</f>
        <v>fitit.be</v>
      </c>
      <c r="C36383" t="s">
        <v>421</v>
      </c>
      <c r="D36383" t="s">
        <v>803</v>
      </c>
      <c r="F36383">
        <v>4.5661580184870401E-9</v>
      </c>
      <c r="G36383">
        <v>50557900</v>
      </c>
      <c r="H36383">
        <v>10900728</v>
      </c>
      <c r="I36383">
        <v>35818609</v>
      </c>
      <c r="J36383">
        <v>3</v>
      </c>
    </row>
    <row r="36384" spans="1:10" x14ac:dyDescent="0.25">
      <c r="A36384" t="s">
        <v>396</v>
      </c>
      <c r="B36384" s="1" t="str">
        <f>HYPERLINK("http://freyssinet.be","freyssinet.be")</f>
        <v>freyssinet.be</v>
      </c>
      <c r="C36384" t="s">
        <v>421</v>
      </c>
      <c r="D36384" t="s">
        <v>803</v>
      </c>
      <c r="F36384">
        <v>6.58207021096446E-9</v>
      </c>
      <c r="G36384">
        <v>13745826</v>
      </c>
      <c r="H36384">
        <v>12499732</v>
      </c>
      <c r="I36384">
        <v>17363040</v>
      </c>
      <c r="J36384">
        <v>5</v>
      </c>
    </row>
    <row r="36385" spans="1:10" x14ac:dyDescent="0.25">
      <c r="A36385" t="s">
        <v>396</v>
      </c>
      <c r="B36385" s="1" t="str">
        <f>HYPERLINK("http://koningenhartman.be","koningenhartman.be")</f>
        <v>koningenhartman.be</v>
      </c>
      <c r="C36385" t="s">
        <v>421</v>
      </c>
      <c r="D36385" t="s">
        <v>803</v>
      </c>
      <c r="F36385">
        <v>8.1877275893158005E-9</v>
      </c>
      <c r="G36385">
        <v>9592436</v>
      </c>
      <c r="H36385">
        <v>11360143</v>
      </c>
      <c r="I36385">
        <v>30359792</v>
      </c>
      <c r="J36385">
        <v>4</v>
      </c>
    </row>
    <row r="36386" spans="1:10" x14ac:dyDescent="0.25">
      <c r="A36386" t="s">
        <v>396</v>
      </c>
      <c r="B36386" s="1" t="str">
        <f>HYPERLINK("http://omexom.be","omexom.be")</f>
        <v>omexom.be</v>
      </c>
      <c r="C36386" t="s">
        <v>421</v>
      </c>
      <c r="D36386" t="s">
        <v>803</v>
      </c>
      <c r="F36386">
        <v>1.07416540596877E-8</v>
      </c>
      <c r="G36386">
        <v>6066608</v>
      </c>
      <c r="H36386">
        <v>12126988</v>
      </c>
      <c r="I36386">
        <v>25227714</v>
      </c>
      <c r="J36386">
        <v>4</v>
      </c>
    </row>
    <row r="36387" spans="1:10" x14ac:dyDescent="0.25">
      <c r="A36387" t="s">
        <v>396</v>
      </c>
      <c r="B36387" s="1" t="str">
        <f>HYPERLINK("http://promatic.be","promatic.be")</f>
        <v>promatic.be</v>
      </c>
      <c r="C36387" t="s">
        <v>421</v>
      </c>
      <c r="D36387" t="s">
        <v>803</v>
      </c>
      <c r="J36387">
        <v>3</v>
      </c>
    </row>
    <row r="36388" spans="1:10" x14ac:dyDescent="0.25">
      <c r="A36388" t="s">
        <v>396</v>
      </c>
      <c r="B36388" s="1" t="str">
        <f>HYPERLINK("http://rbtechnics.be","rbtechnics.be")</f>
        <v>rbtechnics.be</v>
      </c>
      <c r="C36388" t="s">
        <v>421</v>
      </c>
      <c r="D36388" t="s">
        <v>803</v>
      </c>
      <c r="F36388">
        <v>4.4450939964596203E-9</v>
      </c>
      <c r="G36388">
        <v>75661109</v>
      </c>
      <c r="H36388">
        <v>10483025</v>
      </c>
      <c r="I36388">
        <v>50904607</v>
      </c>
      <c r="J36388">
        <v>3</v>
      </c>
    </row>
    <row r="36389" spans="1:10" x14ac:dyDescent="0.25">
      <c r="A36389" t="s">
        <v>396</v>
      </c>
      <c r="B36389" s="1" t="str">
        <f>HYPERLINK("http://strabag.be","strabag.be")</f>
        <v>strabag.be</v>
      </c>
      <c r="C36389" t="s">
        <v>421</v>
      </c>
      <c r="D36389" t="s">
        <v>803</v>
      </c>
      <c r="F36389">
        <v>1.9453002396383401E-8</v>
      </c>
      <c r="G36389">
        <v>2753390</v>
      </c>
      <c r="H36389">
        <v>13933297</v>
      </c>
      <c r="I36389">
        <v>4793791</v>
      </c>
      <c r="J36389">
        <v>8</v>
      </c>
    </row>
    <row r="36390" spans="1:10" x14ac:dyDescent="0.25">
      <c r="A36390" t="s">
        <v>396</v>
      </c>
      <c r="B36390" s="1" t="str">
        <f>HYPERLINK("http://vinci-energies.be","vinci-energies.be")</f>
        <v>vinci-energies.be</v>
      </c>
      <c r="C36390" t="s">
        <v>421</v>
      </c>
      <c r="D36390" t="s">
        <v>803</v>
      </c>
      <c r="F36390">
        <v>2.6555347122388899E-8</v>
      </c>
      <c r="G36390">
        <v>1938606</v>
      </c>
      <c r="H36390">
        <v>12477546</v>
      </c>
      <c r="I36390">
        <v>17621346</v>
      </c>
      <c r="J36390">
        <v>4</v>
      </c>
    </row>
    <row r="36391" spans="1:10" x14ac:dyDescent="0.25">
      <c r="A36391" t="s">
        <v>396</v>
      </c>
      <c r="B36391" s="1" t="str">
        <f>HYPERLINK("http://snt.bg","snt.bg")</f>
        <v>snt.bg</v>
      </c>
      <c r="C36391" t="s">
        <v>422</v>
      </c>
      <c r="D36391" t="s">
        <v>804</v>
      </c>
      <c r="F36391">
        <v>9.0282094778619093E-9</v>
      </c>
      <c r="G36391">
        <v>7950181</v>
      </c>
      <c r="H36391">
        <v>13059578</v>
      </c>
      <c r="I36391">
        <v>12396244</v>
      </c>
      <c r="J36391">
        <v>5</v>
      </c>
    </row>
    <row r="36392" spans="1:10" x14ac:dyDescent="0.25">
      <c r="A36392" t="s">
        <v>396</v>
      </c>
      <c r="B36392" s="1" t="str">
        <f>HYPERLINK("http://actemium.com.br","actemium.com.br")</f>
        <v>actemium.com.br</v>
      </c>
      <c r="C36392" t="s">
        <v>425</v>
      </c>
      <c r="D36392" t="s">
        <v>806</v>
      </c>
      <c r="F36392">
        <v>6.1221081999672601E-9</v>
      </c>
      <c r="G36392">
        <v>15968398</v>
      </c>
      <c r="H36392">
        <v>11139787</v>
      </c>
      <c r="I36392">
        <v>31839739</v>
      </c>
      <c r="J36392">
        <v>5</v>
      </c>
    </row>
    <row r="36393" spans="1:10" x14ac:dyDescent="0.25">
      <c r="A36393" t="s">
        <v>396</v>
      </c>
      <c r="B36393" s="1" t="str">
        <f>HYPERLINK("http://axians.com.br","axians.com.br")</f>
        <v>axians.com.br</v>
      </c>
      <c r="C36393" t="s">
        <v>425</v>
      </c>
      <c r="D36393" t="s">
        <v>806</v>
      </c>
      <c r="F36393">
        <v>6.2759338154061304E-9</v>
      </c>
      <c r="G36393">
        <v>15146865</v>
      </c>
      <c r="H36393">
        <v>10819744</v>
      </c>
      <c r="I36393">
        <v>37629806</v>
      </c>
      <c r="J36393">
        <v>4</v>
      </c>
    </row>
    <row r="36394" spans="1:10" x14ac:dyDescent="0.25">
      <c r="A36394" t="s">
        <v>396</v>
      </c>
      <c r="B36394" s="1" t="str">
        <f>HYPERLINK("http://grupocobra.com.br","grupocobra.com.br")</f>
        <v>grupocobra.com.br</v>
      </c>
      <c r="C36394" t="s">
        <v>425</v>
      </c>
      <c r="D36394" t="s">
        <v>806</v>
      </c>
      <c r="J36394">
        <v>3</v>
      </c>
    </row>
    <row r="36395" spans="1:10" x14ac:dyDescent="0.25">
      <c r="A36395" t="s">
        <v>396</v>
      </c>
      <c r="B36395" s="1" t="str">
        <f>HYPERLINK("http://mantiqueiratransmissora.com.br","mantiqueiratransmissora.com.br")</f>
        <v>mantiqueiratransmissora.com.br</v>
      </c>
      <c r="C36395" t="s">
        <v>425</v>
      </c>
      <c r="D36395" t="s">
        <v>806</v>
      </c>
      <c r="J36395">
        <v>3</v>
      </c>
    </row>
    <row r="36396" spans="1:10" x14ac:dyDescent="0.25">
      <c r="A36396" t="s">
        <v>396</v>
      </c>
      <c r="B36396" s="1" t="str">
        <f>HYPERLINK("http://omexom.com.br","omexom.com.br")</f>
        <v>omexom.com.br</v>
      </c>
      <c r="C36396" t="s">
        <v>425</v>
      </c>
      <c r="D36396" t="s">
        <v>806</v>
      </c>
      <c r="F36396">
        <v>5.4187897604042302E-9</v>
      </c>
      <c r="G36396">
        <v>21876326</v>
      </c>
      <c r="H36396">
        <v>11141140</v>
      </c>
      <c r="I36396">
        <v>31824406</v>
      </c>
      <c r="J36396">
        <v>4</v>
      </c>
    </row>
    <row r="36397" spans="1:10" x14ac:dyDescent="0.25">
      <c r="A36397" t="s">
        <v>396</v>
      </c>
      <c r="B36397" s="1" t="str">
        <f>HYPERLINK("http://planus.com.br","planus.com.br")</f>
        <v>planus.com.br</v>
      </c>
      <c r="C36397" t="s">
        <v>425</v>
      </c>
      <c r="D36397" t="s">
        <v>806</v>
      </c>
      <c r="F36397">
        <v>6.09674955759979E-9</v>
      </c>
      <c r="G36397">
        <v>16111055</v>
      </c>
      <c r="H36397">
        <v>12570911</v>
      </c>
      <c r="I36397">
        <v>16616931</v>
      </c>
      <c r="J36397">
        <v>3</v>
      </c>
    </row>
    <row r="36398" spans="1:10" x14ac:dyDescent="0.25">
      <c r="A36398" t="s">
        <v>396</v>
      </c>
      <c r="B36398" s="1" t="str">
        <f>HYPERLINK("http://vinci-energies.com.br","vinci-energies.com.br")</f>
        <v>vinci-energies.com.br</v>
      </c>
      <c r="C36398" t="s">
        <v>425</v>
      </c>
      <c r="D36398" t="s">
        <v>806</v>
      </c>
      <c r="F36398">
        <v>1.39366075597834E-8</v>
      </c>
      <c r="G36398">
        <v>4227000</v>
      </c>
      <c r="H36398">
        <v>12216341</v>
      </c>
      <c r="I36398">
        <v>22874604</v>
      </c>
      <c r="J36398">
        <v>4</v>
      </c>
    </row>
    <row r="36399" spans="1:10" x14ac:dyDescent="0.25">
      <c r="A36399" t="s">
        <v>396</v>
      </c>
      <c r="B36399" s="1" t="str">
        <f>HYPERLINK("http://actemium.ca","actemium.ca")</f>
        <v>actemium.ca</v>
      </c>
      <c r="C36399" t="s">
        <v>428</v>
      </c>
      <c r="D36399" t="s">
        <v>809</v>
      </c>
      <c r="F36399">
        <v>7.8435270923156993E-9</v>
      </c>
      <c r="G36399">
        <v>10228131</v>
      </c>
      <c r="H36399">
        <v>11108151</v>
      </c>
      <c r="I36399">
        <v>32181161</v>
      </c>
      <c r="J36399">
        <v>5</v>
      </c>
    </row>
    <row r="36400" spans="1:10" x14ac:dyDescent="0.25">
      <c r="A36400" t="s">
        <v>396</v>
      </c>
      <c r="B36400" s="1" t="str">
        <f>HYPERLINK("http://zwilling.ca","zwilling.ca")</f>
        <v>zwilling.ca</v>
      </c>
      <c r="C36400" t="s">
        <v>428</v>
      </c>
      <c r="D36400" t="s">
        <v>809</v>
      </c>
      <c r="F36400">
        <v>1.9716954453580799E-8</v>
      </c>
      <c r="G36400">
        <v>2706403</v>
      </c>
      <c r="H36400">
        <v>12847837</v>
      </c>
      <c r="I36400">
        <v>14303401</v>
      </c>
      <c r="J36400">
        <v>10</v>
      </c>
    </row>
    <row r="36401" spans="1:10" x14ac:dyDescent="0.25">
      <c r="A36401" t="s">
        <v>396</v>
      </c>
      <c r="B36401" s="1" t="str">
        <f>HYPERLINK("http://actemium.ch","actemium.ch")</f>
        <v>actemium.ch</v>
      </c>
      <c r="C36401" t="s">
        <v>429</v>
      </c>
      <c r="D36401" t="s">
        <v>810</v>
      </c>
      <c r="F36401">
        <v>2.59705713074667E-8</v>
      </c>
      <c r="G36401">
        <v>1984022</v>
      </c>
      <c r="H36401">
        <v>13769608</v>
      </c>
      <c r="I36401">
        <v>6778241</v>
      </c>
      <c r="J36401">
        <v>5</v>
      </c>
    </row>
    <row r="36402" spans="1:10" x14ac:dyDescent="0.25">
      <c r="A36402" t="s">
        <v>396</v>
      </c>
      <c r="B36402" s="1" t="str">
        <f>HYPERLINK("http://amanox.ch","amanox.ch")</f>
        <v>amanox.ch</v>
      </c>
      <c r="C36402" t="s">
        <v>429</v>
      </c>
      <c r="D36402" t="s">
        <v>810</v>
      </c>
      <c r="F36402">
        <v>3.8392745063227098E-8</v>
      </c>
      <c r="G36402">
        <v>1344794</v>
      </c>
      <c r="H36402">
        <v>13771902</v>
      </c>
      <c r="I36402">
        <v>6677283</v>
      </c>
      <c r="J36402">
        <v>3</v>
      </c>
    </row>
    <row r="36403" spans="1:10" x14ac:dyDescent="0.25">
      <c r="A36403" t="s">
        <v>396</v>
      </c>
      <c r="B36403" s="1" t="str">
        <f>HYPERLINK("http://axians.ch","axians.ch")</f>
        <v>axians.ch</v>
      </c>
      <c r="C36403" t="s">
        <v>429</v>
      </c>
      <c r="D36403" t="s">
        <v>810</v>
      </c>
      <c r="E36403">
        <v>999793</v>
      </c>
      <c r="F36403">
        <v>3.6333299371671901E-8</v>
      </c>
      <c r="G36403">
        <v>1436080</v>
      </c>
      <c r="H36403">
        <v>14076604</v>
      </c>
      <c r="I36403">
        <v>2883529</v>
      </c>
      <c r="J36403">
        <v>4</v>
      </c>
    </row>
    <row r="36404" spans="1:10" x14ac:dyDescent="0.25">
      <c r="A36404" t="s">
        <v>396</v>
      </c>
      <c r="B36404" s="1" t="str">
        <f>HYPERLINK("http://etavis.ch","etavis.ch")</f>
        <v>etavis.ch</v>
      </c>
      <c r="C36404" t="s">
        <v>429</v>
      </c>
      <c r="D36404" t="s">
        <v>810</v>
      </c>
      <c r="F36404">
        <v>6.0670120772579398E-8</v>
      </c>
      <c r="G36404">
        <v>726630</v>
      </c>
      <c r="H36404">
        <v>14129967</v>
      </c>
      <c r="I36404">
        <v>2037996</v>
      </c>
      <c r="J36404">
        <v>3</v>
      </c>
    </row>
    <row r="36405" spans="1:10" x14ac:dyDescent="0.25">
      <c r="A36405" t="s">
        <v>396</v>
      </c>
      <c r="B36405" s="1" t="str">
        <f>HYPERLINK("http://jomos.ch","jomos.ch")</f>
        <v>jomos.ch</v>
      </c>
      <c r="C36405" t="s">
        <v>429</v>
      </c>
      <c r="D36405" t="s">
        <v>810</v>
      </c>
      <c r="F36405">
        <v>2.04679586943141E-8</v>
      </c>
      <c r="G36405">
        <v>2589153</v>
      </c>
      <c r="H36405">
        <v>13940318</v>
      </c>
      <c r="I36405">
        <v>4372180</v>
      </c>
      <c r="J36405">
        <v>3</v>
      </c>
    </row>
    <row r="36406" spans="1:10" x14ac:dyDescent="0.25">
      <c r="A36406" t="s">
        <v>396</v>
      </c>
      <c r="B36406" s="1" t="str">
        <f>HYPERLINK("http://propla.ch","propla.ch")</f>
        <v>propla.ch</v>
      </c>
      <c r="C36406" t="s">
        <v>429</v>
      </c>
      <c r="D36406" t="s">
        <v>810</v>
      </c>
      <c r="J36406">
        <v>2</v>
      </c>
    </row>
    <row r="36407" spans="1:10" x14ac:dyDescent="0.25">
      <c r="A36407" t="s">
        <v>396</v>
      </c>
      <c r="B36407" s="1" t="str">
        <f>HYPERLINK("http://sif-sa.ch","sif-sa.ch")</f>
        <v>sif-sa.ch</v>
      </c>
      <c r="C36407" t="s">
        <v>429</v>
      </c>
      <c r="D36407" t="s">
        <v>810</v>
      </c>
      <c r="F36407">
        <v>1.1623028167630599E-8</v>
      </c>
      <c r="G36407">
        <v>5417575</v>
      </c>
      <c r="H36407">
        <v>12244675</v>
      </c>
      <c r="I36407">
        <v>22134123</v>
      </c>
      <c r="J36407">
        <v>7</v>
      </c>
    </row>
    <row r="36408" spans="1:10" x14ac:dyDescent="0.25">
      <c r="A36408" t="s">
        <v>396</v>
      </c>
      <c r="B36408" s="1" t="str">
        <f>HYPERLINK("http://strabag.ch","strabag.ch")</f>
        <v>strabag.ch</v>
      </c>
      <c r="C36408" t="s">
        <v>429</v>
      </c>
      <c r="D36408" t="s">
        <v>810</v>
      </c>
      <c r="F36408">
        <v>2.9684335147145399E-8</v>
      </c>
      <c r="G36408">
        <v>1734314</v>
      </c>
      <c r="H36408">
        <v>13770258</v>
      </c>
      <c r="I36408">
        <v>6737337</v>
      </c>
      <c r="J36408">
        <v>7</v>
      </c>
    </row>
    <row r="36409" spans="1:10" x14ac:dyDescent="0.25">
      <c r="A36409" t="s">
        <v>396</v>
      </c>
      <c r="B36409" s="1" t="str">
        <f>HYPERLINK("http://vinci-energies.ch","vinci-energies.ch")</f>
        <v>vinci-energies.ch</v>
      </c>
      <c r="C36409" t="s">
        <v>429</v>
      </c>
      <c r="D36409" t="s">
        <v>810</v>
      </c>
      <c r="F36409">
        <v>1.5483917782567501E-8</v>
      </c>
      <c r="G36409">
        <v>3689284</v>
      </c>
      <c r="H36409">
        <v>12213139</v>
      </c>
      <c r="I36409">
        <v>22950720</v>
      </c>
      <c r="J36409">
        <v>3</v>
      </c>
    </row>
    <row r="36410" spans="1:10" x14ac:dyDescent="0.25">
      <c r="A36410" t="s">
        <v>396</v>
      </c>
      <c r="B36410" s="1" t="str">
        <f>HYPERLINK("http://zueblin.ch","zueblin.ch")</f>
        <v>zueblin.ch</v>
      </c>
      <c r="C36410" t="s">
        <v>429</v>
      </c>
      <c r="D36410" t="s">
        <v>810</v>
      </c>
      <c r="F36410">
        <v>7.81888642693968E-9</v>
      </c>
      <c r="G36410">
        <v>10279396</v>
      </c>
      <c r="H36410">
        <v>13559754</v>
      </c>
      <c r="I36410">
        <v>9854363</v>
      </c>
      <c r="J36410">
        <v>8</v>
      </c>
    </row>
    <row r="36411" spans="1:10" x14ac:dyDescent="0.25">
      <c r="A36411" t="s">
        <v>396</v>
      </c>
      <c r="B36411" s="1" t="str">
        <f>HYPERLINK("http://freyssinet.cl","freyssinet.cl")</f>
        <v>freyssinet.cl</v>
      </c>
      <c r="C36411" t="s">
        <v>430</v>
      </c>
      <c r="D36411" t="s">
        <v>811</v>
      </c>
      <c r="F36411">
        <v>5.7660396425105301E-9</v>
      </c>
      <c r="G36411">
        <v>18358847</v>
      </c>
      <c r="H36411">
        <v>11142133</v>
      </c>
      <c r="I36411">
        <v>31815526</v>
      </c>
      <c r="J36411">
        <v>5</v>
      </c>
    </row>
    <row r="36412" spans="1:10" x14ac:dyDescent="0.25">
      <c r="A36412" t="s">
        <v>396</v>
      </c>
      <c r="B36412" s="1" t="str">
        <f>HYPERLINK("http://actemium.com.cn","actemium.com.cn")</f>
        <v>actemium.com.cn</v>
      </c>
      <c r="C36412" t="s">
        <v>431</v>
      </c>
      <c r="D36412" t="s">
        <v>812</v>
      </c>
      <c r="F36412">
        <v>6.2236958744343799E-9</v>
      </c>
      <c r="G36412">
        <v>15406712</v>
      </c>
      <c r="H36412">
        <v>10355471</v>
      </c>
      <c r="I36412">
        <v>55758512</v>
      </c>
      <c r="J36412">
        <v>5</v>
      </c>
    </row>
    <row r="36413" spans="1:10" x14ac:dyDescent="0.25">
      <c r="A36413" t="s">
        <v>396</v>
      </c>
      <c r="B36413" s="1" t="str">
        <f>HYPERLINK("http://freyssinet.co","freyssinet.co")</f>
        <v>freyssinet.co</v>
      </c>
      <c r="C36413" t="s">
        <v>432</v>
      </c>
      <c r="F36413">
        <v>6.1023748870949297E-9</v>
      </c>
      <c r="G36413">
        <v>16080015</v>
      </c>
      <c r="H36413">
        <v>11371754</v>
      </c>
      <c r="I36413">
        <v>30321932</v>
      </c>
      <c r="J36413">
        <v>6</v>
      </c>
    </row>
    <row r="36414" spans="1:10" x14ac:dyDescent="0.25">
      <c r="A36414" t="s">
        <v>396</v>
      </c>
      <c r="B36414" s="1" t="str">
        <f>HYPERLINK("http://actemium.com","actemium.com")</f>
        <v>actemium.com</v>
      </c>
      <c r="C36414" t="s">
        <v>433</v>
      </c>
      <c r="F36414">
        <v>5.5435486601208001E-8</v>
      </c>
      <c r="G36414">
        <v>809750</v>
      </c>
      <c r="H36414">
        <v>13262347</v>
      </c>
      <c r="I36414">
        <v>11032880</v>
      </c>
      <c r="J36414">
        <v>4</v>
      </c>
    </row>
    <row r="36415" spans="1:10" x14ac:dyDescent="0.25">
      <c r="A36415" t="s">
        <v>396</v>
      </c>
      <c r="B36415" s="1" t="str">
        <f>HYPERLINK("http://admse.com","admse.com")</f>
        <v>admse.com</v>
      </c>
      <c r="C36415" t="s">
        <v>433</v>
      </c>
      <c r="F36415">
        <v>5.1799515403362699E-9</v>
      </c>
      <c r="G36415">
        <v>25553449</v>
      </c>
      <c r="H36415">
        <v>11044413</v>
      </c>
      <c r="I36415">
        <v>32867493</v>
      </c>
      <c r="J36415">
        <v>3</v>
      </c>
    </row>
    <row r="36416" spans="1:10" x14ac:dyDescent="0.25">
      <c r="A36416" t="s">
        <v>396</v>
      </c>
      <c r="B36416" s="1" t="str">
        <f>HYPERLINK("http://alexandrecourjas.com","alexandrecourjas.com")</f>
        <v>alexandrecourjas.com</v>
      </c>
      <c r="C36416" t="s">
        <v>433</v>
      </c>
      <c r="F36416">
        <v>5.75776762199357E-9</v>
      </c>
      <c r="G36416">
        <v>18434394</v>
      </c>
      <c r="H36416">
        <v>12981611</v>
      </c>
      <c r="I36416">
        <v>12950590</v>
      </c>
      <c r="J36416">
        <v>3</v>
      </c>
    </row>
    <row r="36417" spans="1:10" x14ac:dyDescent="0.25">
      <c r="A36417" t="s">
        <v>396</v>
      </c>
      <c r="B36417" s="1" t="str">
        <f>HYPERLINK("http://athos.com","athos.com")</f>
        <v>athos.com</v>
      </c>
      <c r="C36417" t="s">
        <v>433</v>
      </c>
      <c r="F36417">
        <v>7.0783161912477703E-9</v>
      </c>
      <c r="G36417">
        <v>12076097</v>
      </c>
      <c r="H36417">
        <v>12183758</v>
      </c>
      <c r="I36417">
        <v>23722555</v>
      </c>
      <c r="J36417">
        <v>3</v>
      </c>
    </row>
    <row r="36418" spans="1:10" x14ac:dyDescent="0.25">
      <c r="A36418" t="s">
        <v>396</v>
      </c>
      <c r="B36418" s="1" t="str">
        <f>HYPERLINK("http://axians.com","axians.com")</f>
        <v>axians.com</v>
      </c>
      <c r="C36418" t="s">
        <v>433</v>
      </c>
      <c r="E36418">
        <v>679588</v>
      </c>
      <c r="F36418">
        <v>1.4112932429475201E-7</v>
      </c>
      <c r="G36418">
        <v>275971</v>
      </c>
      <c r="H36418">
        <v>14430413</v>
      </c>
      <c r="I36418">
        <v>1074464</v>
      </c>
      <c r="J36418">
        <v>3</v>
      </c>
    </row>
    <row r="36419" spans="1:10" x14ac:dyDescent="0.25">
      <c r="A36419" t="s">
        <v>396</v>
      </c>
      <c r="B36419" s="1" t="str">
        <f>HYPERLINK("http://axians-ewaste.com","axians-ewaste.com")</f>
        <v>axians-ewaste.com</v>
      </c>
      <c r="C36419" t="s">
        <v>433</v>
      </c>
      <c r="F36419">
        <v>4.0983780075059098E-8</v>
      </c>
      <c r="G36419">
        <v>1265852</v>
      </c>
      <c r="H36419">
        <v>14030432</v>
      </c>
      <c r="I36419">
        <v>3934756</v>
      </c>
      <c r="J36419">
        <v>3</v>
      </c>
    </row>
    <row r="36420" spans="1:10" x14ac:dyDescent="0.25">
      <c r="A36420" t="s">
        <v>396</v>
      </c>
      <c r="B36420" s="1" t="str">
        <f>HYPERLINK("http://axians-ias.com","axians-ias.com")</f>
        <v>axians-ias.com</v>
      </c>
      <c r="C36420" t="s">
        <v>433</v>
      </c>
      <c r="F36420">
        <v>9.7526979150844104E-9</v>
      </c>
      <c r="G36420">
        <v>7020821</v>
      </c>
      <c r="H36420">
        <v>12238216</v>
      </c>
      <c r="I36420">
        <v>22303699</v>
      </c>
      <c r="J36420">
        <v>3</v>
      </c>
    </row>
    <row r="36421" spans="1:10" x14ac:dyDescent="0.25">
      <c r="A36421" t="s">
        <v>396</v>
      </c>
      <c r="B36421" s="1" t="str">
        <f>HYPERLINK("http://bearscot.com","bearscot.com")</f>
        <v>bearscot.com</v>
      </c>
      <c r="C36421" t="s">
        <v>433</v>
      </c>
      <c r="F36421">
        <v>2.1010539583652999E-8</v>
      </c>
      <c r="G36421">
        <v>2514482</v>
      </c>
      <c r="H36421">
        <v>13552860</v>
      </c>
      <c r="I36421">
        <v>9887362</v>
      </c>
      <c r="J36421">
        <v>4</v>
      </c>
    </row>
    <row r="36422" spans="1:10" x14ac:dyDescent="0.25">
      <c r="A36422" t="s">
        <v>396</v>
      </c>
      <c r="B36422" s="1" t="str">
        <f>HYPERLINK("http://bodin-tp.com","bodin-tp.com")</f>
        <v>bodin-tp.com</v>
      </c>
      <c r="C36422" t="s">
        <v>433</v>
      </c>
      <c r="F36422">
        <v>5.1129009557562803E-9</v>
      </c>
      <c r="G36422">
        <v>26795942</v>
      </c>
      <c r="H36422">
        <v>12231772</v>
      </c>
      <c r="I36422">
        <v>22453385</v>
      </c>
      <c r="J36422">
        <v>3</v>
      </c>
    </row>
    <row r="36423" spans="1:10" x14ac:dyDescent="0.25">
      <c r="A36423" t="s">
        <v>396</v>
      </c>
      <c r="B36423" s="1" t="str">
        <f>HYPERLINK("http://boiron.com","boiron.com")</f>
        <v>boiron.com</v>
      </c>
      <c r="C36423" t="s">
        <v>433</v>
      </c>
      <c r="F36423">
        <v>4.2708692852780499E-8</v>
      </c>
      <c r="G36423">
        <v>1130866</v>
      </c>
      <c r="H36423">
        <v>14495388</v>
      </c>
      <c r="I36423">
        <v>876233</v>
      </c>
      <c r="J36423">
        <v>6</v>
      </c>
    </row>
    <row r="36424" spans="1:10" x14ac:dyDescent="0.25">
      <c r="A36424" t="s">
        <v>396</v>
      </c>
      <c r="B36424" s="1" t="str">
        <f>HYPERLINK("http://booth-assoc.com","booth-assoc.com")</f>
        <v>booth-assoc.com</v>
      </c>
      <c r="C36424" t="s">
        <v>433</v>
      </c>
      <c r="F36424">
        <v>7.11144596143433E-9</v>
      </c>
      <c r="G36424">
        <v>11982332</v>
      </c>
      <c r="H36424">
        <v>12187660</v>
      </c>
      <c r="I36424">
        <v>23639311</v>
      </c>
      <c r="J36424">
        <v>3</v>
      </c>
    </row>
    <row r="36425" spans="1:10" x14ac:dyDescent="0.25">
      <c r="A36425" t="s">
        <v>396</v>
      </c>
      <c r="B36425" s="1" t="str">
        <f>HYPERLINK("http://bowlingroup.com","bowlingroup.com")</f>
        <v>bowlingroup.com</v>
      </c>
      <c r="C36425" t="s">
        <v>433</v>
      </c>
      <c r="F36425">
        <v>5.8033074454319698E-9</v>
      </c>
      <c r="G36425">
        <v>18061941</v>
      </c>
      <c r="H36425">
        <v>12313936</v>
      </c>
      <c r="I36425">
        <v>20533875</v>
      </c>
      <c r="J36425">
        <v>3</v>
      </c>
    </row>
    <row r="36426" spans="1:10" x14ac:dyDescent="0.25">
      <c r="A36426" t="s">
        <v>396</v>
      </c>
      <c r="B36426" s="1" t="str">
        <f>HYPERLINK("http://cbr-automation.com","cbr-automation.com")</f>
        <v>cbr-automation.com</v>
      </c>
      <c r="C36426" t="s">
        <v>433</v>
      </c>
      <c r="J36426">
        <v>3</v>
      </c>
    </row>
    <row r="36427" spans="1:10" x14ac:dyDescent="0.25">
      <c r="A36427" t="s">
        <v>396</v>
      </c>
      <c r="B36427" s="1" t="str">
        <f>HYPERLINK("http://cecegelecdauphine.com","cecegelecdauphine.com")</f>
        <v>cecegelecdauphine.com</v>
      </c>
      <c r="C36427" t="s">
        <v>433</v>
      </c>
      <c r="J36427">
        <v>5</v>
      </c>
    </row>
    <row r="36428" spans="1:10" x14ac:dyDescent="0.25">
      <c r="A36428" t="s">
        <v>396</v>
      </c>
      <c r="B36428" s="1" t="str">
        <f>HYPERLINK("http://cegelec.com","cegelec.com")</f>
        <v>cegelec.com</v>
      </c>
      <c r="C36428" t="s">
        <v>433</v>
      </c>
      <c r="F36428">
        <v>1.10254754062637E-8</v>
      </c>
      <c r="G36428">
        <v>5840552</v>
      </c>
      <c r="H36428">
        <v>13247191</v>
      </c>
      <c r="I36428">
        <v>11113881</v>
      </c>
      <c r="J36428">
        <v>3</v>
      </c>
    </row>
    <row r="36429" spans="1:10" x14ac:dyDescent="0.25">
      <c r="A36429" t="s">
        <v>396</v>
      </c>
      <c r="B36429" s="1" t="str">
        <f>HYPERLINK("http://ciesignature.com","ciesignature.com")</f>
        <v>ciesignature.com</v>
      </c>
      <c r="C36429" t="s">
        <v>433</v>
      </c>
      <c r="F36429">
        <v>4.66728980955904E-9</v>
      </c>
      <c r="G36429">
        <v>43074609</v>
      </c>
      <c r="H36429">
        <v>10722901</v>
      </c>
      <c r="I36429">
        <v>41559700</v>
      </c>
      <c r="J36429">
        <v>3</v>
      </c>
    </row>
    <row r="36430" spans="1:10" x14ac:dyDescent="0.25">
      <c r="A36430" t="s">
        <v>396</v>
      </c>
      <c r="B36430" s="1" t="str">
        <f>HYPERLINK("http://cimesa.com","cimesa.com")</f>
        <v>cimesa.com</v>
      </c>
      <c r="C36430" t="s">
        <v>433</v>
      </c>
      <c r="J36430">
        <v>4</v>
      </c>
    </row>
    <row r="36431" spans="1:10" x14ac:dyDescent="0.25">
      <c r="A36431" t="s">
        <v>396</v>
      </c>
      <c r="B36431" s="1" t="str">
        <f>HYPERLINK("http://conetec.com","conetec.com")</f>
        <v>conetec.com</v>
      </c>
      <c r="C36431" t="s">
        <v>433</v>
      </c>
      <c r="F36431">
        <v>2.6164404447393298E-8</v>
      </c>
      <c r="G36431">
        <v>1968786</v>
      </c>
      <c r="H36431">
        <v>13324966</v>
      </c>
      <c r="I36431">
        <v>10733508</v>
      </c>
      <c r="J36431">
        <v>3</v>
      </c>
    </row>
    <row r="36432" spans="1:10" x14ac:dyDescent="0.25">
      <c r="A36432" t="s">
        <v>396</v>
      </c>
      <c r="B36432" s="1" t="str">
        <f>HYPERLINK("http://conren.com","conren.com")</f>
        <v>conren.com</v>
      </c>
      <c r="C36432" t="s">
        <v>433</v>
      </c>
      <c r="F36432">
        <v>5.4347652228332802E-9</v>
      </c>
      <c r="G36432">
        <v>21681726</v>
      </c>
      <c r="H36432">
        <v>12499499</v>
      </c>
      <c r="I36432">
        <v>17365017</v>
      </c>
      <c r="J36432">
        <v>3</v>
      </c>
    </row>
    <row r="36433" spans="1:10" x14ac:dyDescent="0.25">
      <c r="A36433" t="s">
        <v>396</v>
      </c>
      <c r="B36433" s="1" t="str">
        <f>HYPERLINK("http://cougarautomation.com","cougarautomation.com")</f>
        <v>cougarautomation.com</v>
      </c>
      <c r="C36433" t="s">
        <v>433</v>
      </c>
      <c r="F36433">
        <v>4.5074705394725697E-9</v>
      </c>
      <c r="G36433">
        <v>57863157</v>
      </c>
      <c r="H36433">
        <v>11118136</v>
      </c>
      <c r="I36433">
        <v>32068536</v>
      </c>
      <c r="J36433">
        <v>2</v>
      </c>
    </row>
    <row r="36434" spans="1:10" x14ac:dyDescent="0.25">
      <c r="A36434" t="s">
        <v>396</v>
      </c>
      <c r="B36434" s="1" t="str">
        <f>HYPERLINK("http://courbon-software.com","courbon-software.com")</f>
        <v>courbon-software.com</v>
      </c>
      <c r="C36434" t="s">
        <v>433</v>
      </c>
      <c r="F36434">
        <v>1.9157899591665401E-8</v>
      </c>
      <c r="G36434">
        <v>2805756</v>
      </c>
      <c r="H36434">
        <v>12460244</v>
      </c>
      <c r="I36434">
        <v>17873224</v>
      </c>
      <c r="J36434">
        <v>6</v>
      </c>
    </row>
    <row r="36435" spans="1:10" x14ac:dyDescent="0.25">
      <c r="A36435" t="s">
        <v>396</v>
      </c>
      <c r="B36435" s="1" t="str">
        <f>HYPERLINK("http://cymi-industrial.com","cymi-industrial.com")</f>
        <v>cymi-industrial.com</v>
      </c>
      <c r="C36435" t="s">
        <v>433</v>
      </c>
      <c r="F36435">
        <v>4.74335649570104E-9</v>
      </c>
      <c r="G36435">
        <v>38639688</v>
      </c>
      <c r="H36435">
        <v>11209334</v>
      </c>
      <c r="I36435">
        <v>31169285</v>
      </c>
      <c r="J36435">
        <v>3</v>
      </c>
    </row>
    <row r="36436" spans="1:10" x14ac:dyDescent="0.25">
      <c r="A36436" t="s">
        <v>396</v>
      </c>
      <c r="B36436" s="1" t="str">
        <f>HYPERLINK("http://cymimasa.com","cymimasa.com")</f>
        <v>cymimasa.com</v>
      </c>
      <c r="C36436" t="s">
        <v>433</v>
      </c>
      <c r="F36436">
        <v>5.9404530328360001E-9</v>
      </c>
      <c r="G36436">
        <v>17083545</v>
      </c>
      <c r="H36436">
        <v>12486250</v>
      </c>
      <c r="I36436">
        <v>17530756</v>
      </c>
      <c r="J36436">
        <v>4</v>
      </c>
    </row>
    <row r="36437" spans="1:10" x14ac:dyDescent="0.25">
      <c r="A36437" t="s">
        <v>396</v>
      </c>
      <c r="B36437" s="1" t="str">
        <f>HYPERLINK("http://demarais.com","demarais.com")</f>
        <v>demarais.com</v>
      </c>
      <c r="C36437" t="s">
        <v>433</v>
      </c>
      <c r="J36437">
        <v>3</v>
      </c>
    </row>
    <row r="36438" spans="1:10" x14ac:dyDescent="0.25">
      <c r="A36438" t="s">
        <v>396</v>
      </c>
      <c r="B36438" s="1" t="str">
        <f>HYPERLINK("http://dieppe-meca-energies.com","dieppe-meca-energies.com")</f>
        <v>dieppe-meca-energies.com</v>
      </c>
      <c r="C36438" t="s">
        <v>433</v>
      </c>
      <c r="F36438">
        <v>1.9708174222137301E-8</v>
      </c>
      <c r="G36438">
        <v>2707873</v>
      </c>
      <c r="H36438">
        <v>13745818</v>
      </c>
      <c r="I36438">
        <v>9423735</v>
      </c>
      <c r="J36438">
        <v>3</v>
      </c>
    </row>
    <row r="36439" spans="1:10" x14ac:dyDescent="0.25">
      <c r="A36439" t="s">
        <v>396</v>
      </c>
      <c r="B36439" s="1" t="str">
        <f>HYPERLINK("http://dragadosoffshore.com","dragadosoffshore.com")</f>
        <v>dragadosoffshore.com</v>
      </c>
      <c r="C36439" t="s">
        <v>433</v>
      </c>
      <c r="F36439">
        <v>1.2604850364706699E-8</v>
      </c>
      <c r="G36439">
        <v>4828496</v>
      </c>
      <c r="H36439">
        <v>14133812</v>
      </c>
      <c r="I36439">
        <v>1985165</v>
      </c>
      <c r="J36439">
        <v>4</v>
      </c>
    </row>
    <row r="36440" spans="1:10" x14ac:dyDescent="0.25">
      <c r="A36440" t="s">
        <v>396</v>
      </c>
      <c r="B36440" s="1" t="str">
        <f>HYPERLINK("http://efkon.com","efkon.com")</f>
        <v>efkon.com</v>
      </c>
      <c r="C36440" t="s">
        <v>433</v>
      </c>
      <c r="F36440">
        <v>1.8760000195360801E-8</v>
      </c>
      <c r="G36440">
        <v>2878765</v>
      </c>
      <c r="H36440">
        <v>12720982</v>
      </c>
      <c r="I36440">
        <v>15248130</v>
      </c>
      <c r="J36440">
        <v>7</v>
      </c>
    </row>
    <row r="36441" spans="1:10" x14ac:dyDescent="0.25">
      <c r="A36441" t="s">
        <v>396</v>
      </c>
      <c r="B36441" s="1" t="str">
        <f>HYPERLINK("http://efkonindia.com","efkonindia.com")</f>
        <v>efkonindia.com</v>
      </c>
      <c r="C36441" t="s">
        <v>433</v>
      </c>
      <c r="F36441">
        <v>8.7796656567486503E-8</v>
      </c>
      <c r="G36441">
        <v>467012</v>
      </c>
      <c r="H36441">
        <v>12739862</v>
      </c>
      <c r="I36441">
        <v>15136652</v>
      </c>
      <c r="J36441">
        <v>9</v>
      </c>
    </row>
    <row r="36442" spans="1:10" x14ac:dyDescent="0.25">
      <c r="A36442" t="s">
        <v>396</v>
      </c>
      <c r="B36442" s="1" t="str">
        <f>HYPERLINK("http://eleiaenergia.com","eleiaenergia.com")</f>
        <v>eleiaenergia.com</v>
      </c>
      <c r="C36442" t="s">
        <v>433</v>
      </c>
      <c r="F36442">
        <v>5.6438260161430102E-9</v>
      </c>
      <c r="G36442">
        <v>19448223</v>
      </c>
      <c r="H36442">
        <v>12234413</v>
      </c>
      <c r="I36442">
        <v>22391816</v>
      </c>
      <c r="J36442">
        <v>3</v>
      </c>
    </row>
    <row r="36443" spans="1:10" x14ac:dyDescent="0.25">
      <c r="A36443" t="s">
        <v>396</v>
      </c>
      <c r="B36443" s="1" t="str">
        <f>HYPERLINK("http://entrepose.com","entrepose.com")</f>
        <v>entrepose.com</v>
      </c>
      <c r="C36443" t="s">
        <v>433</v>
      </c>
      <c r="F36443">
        <v>4.3814778205445798E-8</v>
      </c>
      <c r="G36443">
        <v>1087956</v>
      </c>
      <c r="H36443">
        <v>13853611</v>
      </c>
      <c r="I36443">
        <v>6048037</v>
      </c>
      <c r="J36443">
        <v>3</v>
      </c>
    </row>
    <row r="36444" spans="1:10" x14ac:dyDescent="0.25">
      <c r="A36444" t="s">
        <v>396</v>
      </c>
      <c r="B36444" s="1" t="str">
        <f>HYPERLINK("http://powerteam.eu.com","powerteam.eu.com")</f>
        <v>powerteam.eu.com</v>
      </c>
      <c r="C36444" t="s">
        <v>433</v>
      </c>
      <c r="J36444">
        <v>4</v>
      </c>
    </row>
    <row r="36445" spans="1:10" x14ac:dyDescent="0.25">
      <c r="A36445" t="s">
        <v>396</v>
      </c>
      <c r="B36445" s="1" t="str">
        <f>HYPERLINK("http://eurovia.com","eurovia.com")</f>
        <v>eurovia.com</v>
      </c>
      <c r="C36445" t="s">
        <v>433</v>
      </c>
      <c r="E36445">
        <v>511177</v>
      </c>
      <c r="F36445">
        <v>5.7347426319962799E-8</v>
      </c>
      <c r="G36445">
        <v>777734</v>
      </c>
      <c r="H36445">
        <v>14401462</v>
      </c>
      <c r="I36445">
        <v>1153130</v>
      </c>
      <c r="J36445">
        <v>3</v>
      </c>
    </row>
    <row r="36446" spans="1:10" x14ac:dyDescent="0.25">
      <c r="A36446" t="s">
        <v>396</v>
      </c>
      <c r="B36446" s="1" t="str">
        <f>HYPERLINK("http://eurovia-travaux-ferroviaires.com","eurovia-travaux-ferroviaires.com")</f>
        <v>eurovia-travaux-ferroviaires.com</v>
      </c>
      <c r="C36446" t="s">
        <v>433</v>
      </c>
      <c r="F36446">
        <v>4.8552806344901001E-9</v>
      </c>
      <c r="G36446">
        <v>33965203</v>
      </c>
      <c r="H36446">
        <v>9591358</v>
      </c>
      <c r="I36446">
        <v>64493115</v>
      </c>
      <c r="J36446">
        <v>5</v>
      </c>
    </row>
    <row r="36447" spans="1:10" x14ac:dyDescent="0.25">
      <c r="A36447" t="s">
        <v>396</v>
      </c>
      <c r="B36447" s="1" t="str">
        <f>HYPERLINK("http://fire-protection-solutions.com","fire-protection-solutions.com")</f>
        <v>fire-protection-solutions.com</v>
      </c>
      <c r="C36447" t="s">
        <v>433</v>
      </c>
      <c r="F36447">
        <v>4.4435657782923103E-8</v>
      </c>
      <c r="G36447">
        <v>1067114</v>
      </c>
      <c r="H36447">
        <v>13344904</v>
      </c>
      <c r="I36447">
        <v>10652864</v>
      </c>
      <c r="J36447">
        <v>6</v>
      </c>
    </row>
    <row r="36448" spans="1:10" x14ac:dyDescent="0.25">
      <c r="A36448" t="s">
        <v>396</v>
      </c>
      <c r="B36448" s="1" t="str">
        <f>HYPERLINK("http://fmg-gmbh.com","fmg-gmbh.com")</f>
        <v>fmg-gmbh.com</v>
      </c>
      <c r="C36448" t="s">
        <v>433</v>
      </c>
      <c r="F36448">
        <v>1.1089442191951899E-8</v>
      </c>
      <c r="G36448">
        <v>5793275</v>
      </c>
      <c r="H36448">
        <v>11142422</v>
      </c>
      <c r="I36448">
        <v>31812922</v>
      </c>
      <c r="J36448">
        <v>3</v>
      </c>
    </row>
    <row r="36449" spans="1:10" x14ac:dyDescent="0.25">
      <c r="A36449" t="s">
        <v>396</v>
      </c>
      <c r="B36449" s="1" t="str">
        <f>HYPERLINK("http://forshore-ports.com","forshore-ports.com")</f>
        <v>forshore-ports.com</v>
      </c>
      <c r="C36449" t="s">
        <v>433</v>
      </c>
      <c r="F36449">
        <v>1.1100619171954601E-8</v>
      </c>
      <c r="G36449">
        <v>5784980</v>
      </c>
      <c r="H36449">
        <v>11437491</v>
      </c>
      <c r="I36449">
        <v>30139300</v>
      </c>
      <c r="J36449">
        <v>5</v>
      </c>
    </row>
    <row r="36450" spans="1:10" x14ac:dyDescent="0.25">
      <c r="A36450" t="s">
        <v>396</v>
      </c>
      <c r="B36450" s="1" t="str">
        <f>HYPERLINK("http://foundation-alliance.com","foundation-alliance.com")</f>
        <v>foundation-alliance.com</v>
      </c>
      <c r="C36450" t="s">
        <v>433</v>
      </c>
      <c r="F36450">
        <v>5.8387042091077302E-9</v>
      </c>
      <c r="G36450">
        <v>17792884</v>
      </c>
      <c r="H36450">
        <v>10019658</v>
      </c>
      <c r="I36450">
        <v>60684746</v>
      </c>
      <c r="J36450">
        <v>3</v>
      </c>
    </row>
    <row r="36451" spans="1:10" x14ac:dyDescent="0.25">
      <c r="A36451" t="s">
        <v>396</v>
      </c>
      <c r="B36451" s="1" t="str">
        <f>HYPERLINK("http://freyssinet.com","freyssinet.com")</f>
        <v>freyssinet.com</v>
      </c>
      <c r="C36451" t="s">
        <v>433</v>
      </c>
      <c r="F36451">
        <v>4.0918408080822098E-8</v>
      </c>
      <c r="G36451">
        <v>1267576</v>
      </c>
      <c r="H36451">
        <v>14074857</v>
      </c>
      <c r="I36451">
        <v>2927006</v>
      </c>
      <c r="J36451">
        <v>4</v>
      </c>
    </row>
    <row r="36452" spans="1:10" x14ac:dyDescent="0.25">
      <c r="A36452" t="s">
        <v>396</v>
      </c>
      <c r="B36452" s="1" t="str">
        <f>HYPERLINK("http://freyssinetusa.com","freyssinetusa.com")</f>
        <v>freyssinetusa.com</v>
      </c>
      <c r="C36452" t="s">
        <v>433</v>
      </c>
      <c r="F36452">
        <v>9.9502090299144792E-9</v>
      </c>
      <c r="G36452">
        <v>6806153</v>
      </c>
      <c r="H36452">
        <v>12489674</v>
      </c>
      <c r="I36452">
        <v>17493572</v>
      </c>
      <c r="J36452">
        <v>7</v>
      </c>
    </row>
    <row r="36453" spans="1:10" x14ac:dyDescent="0.25">
      <c r="A36453" t="s">
        <v>396</v>
      </c>
      <c r="B36453" s="1" t="str">
        <f>HYPERLINK("http://froid14.com","froid14.com")</f>
        <v>froid14.com</v>
      </c>
      <c r="C36453" t="s">
        <v>433</v>
      </c>
      <c r="F36453">
        <v>1.22501715064242E-8</v>
      </c>
      <c r="G36453">
        <v>5022253</v>
      </c>
      <c r="H36453">
        <v>12233164</v>
      </c>
      <c r="I36453">
        <v>22420974</v>
      </c>
      <c r="J36453">
        <v>3</v>
      </c>
    </row>
    <row r="36454" spans="1:10" x14ac:dyDescent="0.25">
      <c r="A36454" t="s">
        <v>396</v>
      </c>
      <c r="B36454" s="1" t="str">
        <f>HYPERLINK("http://gatwickairport.com","gatwickairport.com")</f>
        <v>gatwickairport.com</v>
      </c>
      <c r="C36454" t="s">
        <v>433</v>
      </c>
      <c r="E36454">
        <v>40795</v>
      </c>
      <c r="F36454">
        <v>6.4087287151285E-7</v>
      </c>
      <c r="G36454">
        <v>59948</v>
      </c>
      <c r="H36454">
        <v>15372611</v>
      </c>
      <c r="I36454">
        <v>381577</v>
      </c>
      <c r="J36454">
        <v>4</v>
      </c>
    </row>
    <row r="36455" spans="1:10" x14ac:dyDescent="0.25">
      <c r="A36455" t="s">
        <v>396</v>
      </c>
      <c r="B36455" s="1" t="str">
        <f>HYPERLINK("http://gite-chateau-thierry.com","gite-chateau-thierry.com")</f>
        <v>gite-chateau-thierry.com</v>
      </c>
      <c r="C36455" t="s">
        <v>433</v>
      </c>
      <c r="F36455">
        <v>4.6200748375368003E-9</v>
      </c>
      <c r="G36455">
        <v>46125671</v>
      </c>
      <c r="H36455">
        <v>10630176</v>
      </c>
      <c r="I36455">
        <v>43983929</v>
      </c>
      <c r="J36455">
        <v>3</v>
      </c>
    </row>
    <row r="36456" spans="1:10" x14ac:dyDescent="0.25">
      <c r="A36456" t="s">
        <v>396</v>
      </c>
      <c r="B36456" s="1" t="str">
        <f>HYPERLINK("http://gk-feuerschutz.com","gk-feuerschutz.com")</f>
        <v>gk-feuerschutz.com</v>
      </c>
      <c r="C36456" t="s">
        <v>433</v>
      </c>
      <c r="F36456">
        <v>5.1264598911320399E-9</v>
      </c>
      <c r="G36456">
        <v>26521521</v>
      </c>
      <c r="H36456">
        <v>10691983</v>
      </c>
      <c r="I36456">
        <v>42462943</v>
      </c>
      <c r="J36456">
        <v>3</v>
      </c>
    </row>
    <row r="36457" spans="1:10" x14ac:dyDescent="0.25">
      <c r="A36457" t="s">
        <v>396</v>
      </c>
      <c r="B36457" s="1" t="str">
        <f>HYPERLINK("http://grupocobra.com","grupocobra.com")</f>
        <v>grupocobra.com</v>
      </c>
      <c r="C36457" t="s">
        <v>433</v>
      </c>
      <c r="E36457">
        <v>504395</v>
      </c>
      <c r="F36457">
        <v>8.9109686802528004E-8</v>
      </c>
      <c r="G36457">
        <v>458716</v>
      </c>
      <c r="H36457">
        <v>15014686</v>
      </c>
      <c r="I36457">
        <v>422198</v>
      </c>
      <c r="J36457">
        <v>3</v>
      </c>
    </row>
    <row r="36458" spans="1:10" x14ac:dyDescent="0.25">
      <c r="A36458" t="s">
        <v>396</v>
      </c>
      <c r="B36458" s="1" t="str">
        <f>HYPERLINK("http://guh-group.com","guh-group.com")</f>
        <v>guh-group.com</v>
      </c>
      <c r="C36458" t="s">
        <v>433</v>
      </c>
      <c r="F36458">
        <v>3.4970843526683203E-8</v>
      </c>
      <c r="G36458">
        <v>1485318</v>
      </c>
      <c r="H36458">
        <v>13161204</v>
      </c>
      <c r="I36458">
        <v>11780447</v>
      </c>
      <c r="J36458">
        <v>3</v>
      </c>
    </row>
    <row r="36459" spans="1:10" x14ac:dyDescent="0.25">
      <c r="A36459" t="s">
        <v>396</v>
      </c>
      <c r="B36459" s="1" t="str">
        <f>HYPERLINK("http://hacker-pschorr.com","hacker-pschorr.com")</f>
        <v>hacker-pschorr.com</v>
      </c>
      <c r="C36459" t="s">
        <v>433</v>
      </c>
      <c r="F36459">
        <v>2.5097316162943799E-8</v>
      </c>
      <c r="G36459">
        <v>2058253</v>
      </c>
      <c r="H36459">
        <v>14247447</v>
      </c>
      <c r="I36459">
        <v>1457343</v>
      </c>
      <c r="J36459">
        <v>11</v>
      </c>
    </row>
    <row r="36460" spans="1:10" x14ac:dyDescent="0.25">
      <c r="A36460" t="s">
        <v>396</v>
      </c>
      <c r="B36460" s="1" t="str">
        <f>HYPERLINK("http://hf-industry.com","hf-industry.com")</f>
        <v>hf-industry.com</v>
      </c>
      <c r="C36460" t="s">
        <v>433</v>
      </c>
      <c r="J36460">
        <v>3</v>
      </c>
    </row>
    <row r="36461" spans="1:10" x14ac:dyDescent="0.25">
      <c r="A36461" t="s">
        <v>396</v>
      </c>
      <c r="B36461" s="1" t="str">
        <f>HYPERLINK("http://hubbard.com","hubbard.com")</f>
        <v>hubbard.com</v>
      </c>
      <c r="C36461" t="s">
        <v>433</v>
      </c>
      <c r="F36461">
        <v>1.2168697937042199E-8</v>
      </c>
      <c r="G36461">
        <v>5068798</v>
      </c>
      <c r="H36461">
        <v>12870247</v>
      </c>
      <c r="I36461">
        <v>14068067</v>
      </c>
      <c r="J36461">
        <v>3</v>
      </c>
    </row>
    <row r="36462" spans="1:10" x14ac:dyDescent="0.25">
      <c r="A36462" t="s">
        <v>396</v>
      </c>
      <c r="B36462" s="1" t="str">
        <f>HYPERLINK("http://hubbardgroup.com","hubbardgroup.com")</f>
        <v>hubbardgroup.com</v>
      </c>
      <c r="C36462" t="s">
        <v>433</v>
      </c>
      <c r="F36462">
        <v>6.1690534948815397E-9</v>
      </c>
      <c r="G36462">
        <v>15697963</v>
      </c>
      <c r="H36462">
        <v>13360943</v>
      </c>
      <c r="I36462">
        <v>10530309</v>
      </c>
      <c r="J36462">
        <v>3</v>
      </c>
    </row>
    <row r="36463" spans="1:10" x14ac:dyDescent="0.25">
      <c r="A36463" t="s">
        <v>396</v>
      </c>
      <c r="B36463" s="1" t="str">
        <f>HYPERLINK("http://hydroplusengineering.com","hydroplusengineering.com")</f>
        <v>hydroplusengineering.com</v>
      </c>
      <c r="C36463" t="s">
        <v>433</v>
      </c>
      <c r="F36463">
        <v>4.57321276238775E-9</v>
      </c>
      <c r="G36463">
        <v>49894931</v>
      </c>
      <c r="H36463">
        <v>12868175</v>
      </c>
      <c r="I36463">
        <v>14122296</v>
      </c>
      <c r="J36463">
        <v>3</v>
      </c>
    </row>
    <row r="36464" spans="1:10" x14ac:dyDescent="0.25">
      <c r="A36464" t="s">
        <v>396</v>
      </c>
      <c r="B36464" s="1" t="str">
        <f>HYPERLINK("http://infratekgroup.com","infratekgroup.com")</f>
        <v>infratekgroup.com</v>
      </c>
      <c r="C36464" t="s">
        <v>433</v>
      </c>
      <c r="F36464">
        <v>8.1900380702489601E-9</v>
      </c>
      <c r="G36464">
        <v>9588666</v>
      </c>
      <c r="H36464">
        <v>12201429</v>
      </c>
      <c r="I36464">
        <v>23283258</v>
      </c>
      <c r="J36464">
        <v>4</v>
      </c>
    </row>
    <row r="36465" spans="1:10" x14ac:dyDescent="0.25">
      <c r="A36465" t="s">
        <v>396</v>
      </c>
      <c r="B36465" s="1" t="str">
        <f>HYPERLINK("http://initec-energia.com","initec-energia.com")</f>
        <v>initec-energia.com</v>
      </c>
      <c r="C36465" t="s">
        <v>433</v>
      </c>
      <c r="F36465">
        <v>4.6159989668604599E-9</v>
      </c>
      <c r="G36465">
        <v>46414409</v>
      </c>
      <c r="H36465">
        <v>11007142</v>
      </c>
      <c r="I36465">
        <v>33450481</v>
      </c>
      <c r="J36465">
        <v>6</v>
      </c>
    </row>
    <row r="36466" spans="1:10" x14ac:dyDescent="0.25">
      <c r="A36466" t="s">
        <v>396</v>
      </c>
      <c r="B36466" s="1" t="str">
        <f>HYPERLINK("http://intecsaindustrial.com","intecsaindustrial.com")</f>
        <v>intecsaindustrial.com</v>
      </c>
      <c r="C36466" t="s">
        <v>433</v>
      </c>
      <c r="E36466">
        <v>986727</v>
      </c>
      <c r="F36466">
        <v>1.9498030306472399E-8</v>
      </c>
      <c r="G36466">
        <v>2744710</v>
      </c>
      <c r="H36466">
        <v>14090948</v>
      </c>
      <c r="I36466">
        <v>2746416</v>
      </c>
      <c r="J36466">
        <v>5</v>
      </c>
    </row>
    <row r="36467" spans="1:10" x14ac:dyDescent="0.25">
      <c r="A36467" t="s">
        <v>396</v>
      </c>
      <c r="B36467" s="1" t="str">
        <f>HYPERLINK("http://iskratel.com","iskratel.com")</f>
        <v>iskratel.com</v>
      </c>
      <c r="C36467" t="s">
        <v>433</v>
      </c>
      <c r="F36467">
        <v>8.2375150722601699E-8</v>
      </c>
      <c r="G36467">
        <v>506478</v>
      </c>
      <c r="H36467">
        <v>14281240</v>
      </c>
      <c r="I36467">
        <v>1378616</v>
      </c>
      <c r="J36467">
        <v>7</v>
      </c>
    </row>
    <row r="36468" spans="1:10" x14ac:dyDescent="0.25">
      <c r="A36468" t="s">
        <v>396</v>
      </c>
      <c r="B36468" s="1" t="str">
        <f>HYPERLINK("http://kapschbusiness.com","kapschbusiness.com")</f>
        <v>kapschbusiness.com</v>
      </c>
      <c r="C36468" t="s">
        <v>433</v>
      </c>
      <c r="F36468">
        <v>1.37950264422561E-8</v>
      </c>
      <c r="G36468">
        <v>4283584</v>
      </c>
      <c r="H36468">
        <v>12535187</v>
      </c>
      <c r="I36468">
        <v>16985057</v>
      </c>
      <c r="J36468">
        <v>5</v>
      </c>
    </row>
    <row r="36469" spans="1:10" x14ac:dyDescent="0.25">
      <c r="A36469" t="s">
        <v>396</v>
      </c>
      <c r="B36469" s="1" t="str">
        <f>HYPERLINK("http://kapschcarrier.com","kapschcarrier.com")</f>
        <v>kapschcarrier.com</v>
      </c>
      <c r="C36469" t="s">
        <v>433</v>
      </c>
      <c r="F36469">
        <v>8.6982815152964802E-9</v>
      </c>
      <c r="G36469">
        <v>8480650</v>
      </c>
      <c r="H36469">
        <v>12736425</v>
      </c>
      <c r="I36469">
        <v>15160821</v>
      </c>
      <c r="J36469">
        <v>6</v>
      </c>
    </row>
    <row r="36470" spans="1:10" x14ac:dyDescent="0.25">
      <c r="A36470" t="s">
        <v>396</v>
      </c>
      <c r="B36470" s="1" t="str">
        <f>HYPERLINK("http://kapschtraffic.com","kapschtraffic.com")</f>
        <v>kapschtraffic.com</v>
      </c>
      <c r="C36470" t="s">
        <v>433</v>
      </c>
      <c r="E36470">
        <v>863144</v>
      </c>
      <c r="F36470">
        <v>8.8060013017942606E-9</v>
      </c>
      <c r="G36470">
        <v>8294868</v>
      </c>
      <c r="H36470">
        <v>12523356</v>
      </c>
      <c r="I36470">
        <v>17117444</v>
      </c>
      <c r="J36470">
        <v>5</v>
      </c>
    </row>
    <row r="36471" spans="1:10" x14ac:dyDescent="0.25">
      <c r="A36471" t="s">
        <v>396</v>
      </c>
      <c r="B36471" s="1" t="str">
        <f>HYPERLINK("http://koningenhartman.com","koningenhartman.com")</f>
        <v>koningenhartman.com</v>
      </c>
      <c r="C36471" t="s">
        <v>433</v>
      </c>
      <c r="F36471">
        <v>8.7550292449014306E-9</v>
      </c>
      <c r="G36471">
        <v>8384228</v>
      </c>
      <c r="H36471">
        <v>12335495</v>
      </c>
      <c r="I36471">
        <v>20094391</v>
      </c>
      <c r="J36471">
        <v>6</v>
      </c>
    </row>
    <row r="36472" spans="1:10" x14ac:dyDescent="0.25">
      <c r="A36472" t="s">
        <v>396</v>
      </c>
      <c r="B36472" s="1" t="str">
        <f>HYPERLINK("http://lyon-aero-emploi.com","lyon-aero-emploi.com")</f>
        <v>lyon-aero-emploi.com</v>
      </c>
      <c r="C36472" t="s">
        <v>433</v>
      </c>
      <c r="F36472">
        <v>7.1959838617794004E-9</v>
      </c>
      <c r="G36472">
        <v>11755192</v>
      </c>
      <c r="H36472">
        <v>12136361</v>
      </c>
      <c r="I36472">
        <v>24969464</v>
      </c>
      <c r="J36472">
        <v>4</v>
      </c>
    </row>
    <row r="36473" spans="1:10" x14ac:dyDescent="0.25">
      <c r="A36473" t="s">
        <v>396</v>
      </c>
      <c r="B36473" s="1" t="str">
        <f>HYPERLINK("http://lyonaeroports.com","lyonaeroports.com")</f>
        <v>lyonaeroports.com</v>
      </c>
      <c r="C36473" t="s">
        <v>433</v>
      </c>
      <c r="E36473">
        <v>204549</v>
      </c>
      <c r="F36473">
        <v>5.3303179006068995E-7</v>
      </c>
      <c r="G36473">
        <v>72297</v>
      </c>
      <c r="H36473">
        <v>17151594</v>
      </c>
      <c r="I36473">
        <v>51914</v>
      </c>
      <c r="J36473">
        <v>3</v>
      </c>
    </row>
    <row r="36474" spans="1:10" x14ac:dyDescent="0.25">
      <c r="A36474" t="s">
        <v>396</v>
      </c>
      <c r="B36474" s="1" t="str">
        <f>HYPERLINK("http://masagrupo.com","masagrupo.com")</f>
        <v>masagrupo.com</v>
      </c>
      <c r="C36474" t="s">
        <v>433</v>
      </c>
      <c r="F36474">
        <v>6.39095824333864E-9</v>
      </c>
      <c r="G36474">
        <v>14564737</v>
      </c>
      <c r="H36474">
        <v>12397448</v>
      </c>
      <c r="I36474">
        <v>18890024</v>
      </c>
      <c r="J36474">
        <v>6</v>
      </c>
    </row>
    <row r="36475" spans="1:10" x14ac:dyDescent="0.25">
      <c r="A36475" t="s">
        <v>396</v>
      </c>
      <c r="B36475" s="1" t="str">
        <f>HYPERLINK("http://menard-web.com","menard-web.com")</f>
        <v>menard-web.com</v>
      </c>
      <c r="C36475" t="s">
        <v>433</v>
      </c>
      <c r="F36475">
        <v>1.1712320121849999E-8</v>
      </c>
      <c r="G36475">
        <v>5358573</v>
      </c>
      <c r="H36475">
        <v>12322217</v>
      </c>
      <c r="I36475">
        <v>20371544</v>
      </c>
      <c r="J36475">
        <v>3</v>
      </c>
    </row>
    <row r="36476" spans="1:10" x14ac:dyDescent="0.25">
      <c r="A36476" t="s">
        <v>396</v>
      </c>
      <c r="B36476" s="1" t="str">
        <f>HYPERLINK("http://mentorimcgroup.com","mentorimcgroup.com")</f>
        <v>mentorimcgroup.com</v>
      </c>
      <c r="C36476" t="s">
        <v>433</v>
      </c>
      <c r="F36476">
        <v>5.0436071151868003E-9</v>
      </c>
      <c r="G36476">
        <v>28362833</v>
      </c>
      <c r="H36476">
        <v>12566857</v>
      </c>
      <c r="I36476">
        <v>16652844</v>
      </c>
      <c r="J36476">
        <v>3</v>
      </c>
    </row>
    <row r="36477" spans="1:10" x14ac:dyDescent="0.25">
      <c r="A36477" t="s">
        <v>396</v>
      </c>
      <c r="B36477" s="1" t="str">
        <f>HYPERLINK("http://methec.com","methec.com")</f>
        <v>methec.com</v>
      </c>
      <c r="C36477" t="s">
        <v>433</v>
      </c>
      <c r="F36477">
        <v>4.5493360904772804E-9</v>
      </c>
      <c r="G36477">
        <v>52259527</v>
      </c>
      <c r="H36477">
        <v>12104876</v>
      </c>
      <c r="I36477">
        <v>25853072</v>
      </c>
      <c r="J36477">
        <v>3</v>
      </c>
    </row>
    <row r="36478" spans="1:10" x14ac:dyDescent="0.25">
      <c r="A36478" t="s">
        <v>396</v>
      </c>
      <c r="B36478" s="1" t="str">
        <f>HYPERLINK("http://mexsemi.com","mexsemi.com")</f>
        <v>mexsemi.com</v>
      </c>
      <c r="C36478" t="s">
        <v>433</v>
      </c>
      <c r="J36478">
        <v>4</v>
      </c>
    </row>
    <row r="36479" spans="1:10" x14ac:dyDescent="0.25">
      <c r="A36479" t="s">
        <v>396</v>
      </c>
      <c r="B36479" s="1" t="str">
        <f>HYPERLINK("http://moebiusbau.com","moebiusbau.com")</f>
        <v>moebiusbau.com</v>
      </c>
      <c r="C36479" t="s">
        <v>433</v>
      </c>
      <c r="F36479">
        <v>5.8346582684848803E-9</v>
      </c>
      <c r="G36479">
        <v>17823980</v>
      </c>
      <c r="H36479">
        <v>10893952</v>
      </c>
      <c r="I36479">
        <v>35981163</v>
      </c>
      <c r="J36479">
        <v>7</v>
      </c>
    </row>
    <row r="36480" spans="1:10" x14ac:dyDescent="0.25">
      <c r="A36480" t="s">
        <v>396</v>
      </c>
      <c r="B36480" s="1" t="str">
        <f>HYPERLINK("http://nancyportesud.com","nancyportesud.com")</f>
        <v>nancyportesud.com</v>
      </c>
      <c r="C36480" t="s">
        <v>433</v>
      </c>
      <c r="F36480">
        <v>4.9863623086875798E-9</v>
      </c>
      <c r="G36480">
        <v>29772441</v>
      </c>
      <c r="H36480">
        <v>10664669</v>
      </c>
      <c r="I36480">
        <v>43166748</v>
      </c>
      <c r="J36480">
        <v>3</v>
      </c>
    </row>
    <row r="36481" spans="1:10" x14ac:dyDescent="0.25">
      <c r="A36481" t="s">
        <v>396</v>
      </c>
      <c r="B36481" s="1" t="str">
        <f>HYPERLINK("http://neo-suite.com","neo-suite.com")</f>
        <v>neo-suite.com</v>
      </c>
      <c r="C36481" t="s">
        <v>433</v>
      </c>
      <c r="F36481">
        <v>4.7649635469605901E-9</v>
      </c>
      <c r="G36481">
        <v>37595961</v>
      </c>
      <c r="H36481">
        <v>9007039</v>
      </c>
      <c r="I36481">
        <v>68863831</v>
      </c>
      <c r="J36481">
        <v>7</v>
      </c>
    </row>
    <row r="36482" spans="1:10" x14ac:dyDescent="0.25">
      <c r="A36482" t="s">
        <v>396</v>
      </c>
      <c r="B36482" s="1" t="str">
        <f>HYPERLINK("http://nicholson-rodio.com","nicholson-rodio.com")</f>
        <v>nicholson-rodio.com</v>
      </c>
      <c r="C36482" t="s">
        <v>433</v>
      </c>
      <c r="F36482">
        <v>4.6728399434776496E-9</v>
      </c>
      <c r="G36482">
        <v>42769450</v>
      </c>
      <c r="H36482">
        <v>10532899</v>
      </c>
      <c r="I36482">
        <v>47935044</v>
      </c>
      <c r="J36482">
        <v>3</v>
      </c>
    </row>
    <row r="36483" spans="1:10" x14ac:dyDescent="0.25">
      <c r="A36483" t="s">
        <v>396</v>
      </c>
      <c r="B36483" s="1" t="str">
        <f>HYPERLINK("http://nicholsonconstruction.com","nicholsonconstruction.com")</f>
        <v>nicholsonconstruction.com</v>
      </c>
      <c r="C36483" t="s">
        <v>433</v>
      </c>
      <c r="F36483">
        <v>2.8165392333108601E-8</v>
      </c>
      <c r="G36483">
        <v>1826987</v>
      </c>
      <c r="H36483">
        <v>13823255</v>
      </c>
      <c r="I36483">
        <v>6134170</v>
      </c>
      <c r="J36483">
        <v>4</v>
      </c>
    </row>
    <row r="36484" spans="1:10" x14ac:dyDescent="0.25">
      <c r="A36484" t="s">
        <v>396</v>
      </c>
      <c r="B36484" s="1" t="str">
        <f>HYPERLINK("http://northerngroupco.com","northerngroupco.com")</f>
        <v>northerngroupco.com</v>
      </c>
      <c r="C36484" t="s">
        <v>433</v>
      </c>
      <c r="F36484">
        <v>8.3916503512560806E-9</v>
      </c>
      <c r="G36484">
        <v>9059967</v>
      </c>
      <c r="H36484">
        <v>13120713</v>
      </c>
      <c r="I36484">
        <v>11990915</v>
      </c>
      <c r="J36484">
        <v>3</v>
      </c>
    </row>
    <row r="36485" spans="1:10" x14ac:dyDescent="0.25">
      <c r="A36485" t="s">
        <v>396</v>
      </c>
      <c r="B36485" s="1" t="str">
        <f>HYPERLINK("http://nuvia.com","nuvia.com")</f>
        <v>nuvia.com</v>
      </c>
      <c r="C36485" t="s">
        <v>433</v>
      </c>
      <c r="F36485">
        <v>7.4727108864630202E-8</v>
      </c>
      <c r="G36485">
        <v>562987</v>
      </c>
      <c r="H36485">
        <v>13364856</v>
      </c>
      <c r="I36485">
        <v>10489565</v>
      </c>
      <c r="J36485">
        <v>4</v>
      </c>
    </row>
    <row r="36486" spans="1:10" x14ac:dyDescent="0.25">
      <c r="A36486" t="s">
        <v>396</v>
      </c>
      <c r="B36486" s="1" t="str">
        <f>HYPERLINK("http://nuvia-group.com","nuvia-group.com")</f>
        <v>nuvia-group.com</v>
      </c>
      <c r="C36486" t="s">
        <v>433</v>
      </c>
      <c r="F36486">
        <v>3.3058503738203602E-8</v>
      </c>
      <c r="G36486">
        <v>1562846</v>
      </c>
      <c r="H36486">
        <v>13719820</v>
      </c>
      <c r="I36486">
        <v>9476588</v>
      </c>
      <c r="J36486">
        <v>7</v>
      </c>
    </row>
    <row r="36487" spans="1:10" x14ac:dyDescent="0.25">
      <c r="A36487" t="s">
        <v>396</v>
      </c>
      <c r="B36487" s="1" t="str">
        <f>HYPERLINK("http://nuvia-nordic.com","nuvia-nordic.com")</f>
        <v>nuvia-nordic.com</v>
      </c>
      <c r="C36487" t="s">
        <v>433</v>
      </c>
      <c r="F36487">
        <v>4.9361208286793998E-9</v>
      </c>
      <c r="G36487">
        <v>31203563</v>
      </c>
      <c r="H36487">
        <v>12454878</v>
      </c>
      <c r="I36487">
        <v>17934945</v>
      </c>
      <c r="J36487">
        <v>3</v>
      </c>
    </row>
    <row r="36488" spans="1:10" x14ac:dyDescent="0.25">
      <c r="A36488" t="s">
        <v>396</v>
      </c>
      <c r="B36488" s="1" t="str">
        <f>HYPERLINK("http://nuviatech-healthcare.com","nuviatech-healthcare.com")</f>
        <v>nuviatech-healthcare.com</v>
      </c>
      <c r="C36488" t="s">
        <v>433</v>
      </c>
      <c r="F36488">
        <v>1.14522279145807E-8</v>
      </c>
      <c r="G36488">
        <v>5537560</v>
      </c>
      <c r="H36488">
        <v>10125178</v>
      </c>
      <c r="I36488">
        <v>59623444</v>
      </c>
      <c r="J36488">
        <v>7</v>
      </c>
    </row>
    <row r="36489" spans="1:10" x14ac:dyDescent="0.25">
      <c r="A36489" t="s">
        <v>396</v>
      </c>
      <c r="B36489" s="1" t="str">
        <f>HYPERLINK("http://nympheawater.com","nympheawater.com")</f>
        <v>nympheawater.com</v>
      </c>
      <c r="C36489" t="s">
        <v>433</v>
      </c>
      <c r="F36489">
        <v>1.14945057970371E-8</v>
      </c>
      <c r="G36489">
        <v>5509330</v>
      </c>
      <c r="H36489">
        <v>10597851</v>
      </c>
      <c r="I36489">
        <v>45026689</v>
      </c>
      <c r="J36489">
        <v>5</v>
      </c>
    </row>
    <row r="36490" spans="1:10" x14ac:dyDescent="0.25">
      <c r="A36490" t="s">
        <v>396</v>
      </c>
      <c r="B36490" s="1" t="str">
        <f>HYPERLINK("http://omexom.com","omexom.com")</f>
        <v>omexom.com</v>
      </c>
      <c r="C36490" t="s">
        <v>433</v>
      </c>
      <c r="F36490">
        <v>4.7249212129353098E-8</v>
      </c>
      <c r="G36490">
        <v>986739</v>
      </c>
      <c r="H36490">
        <v>13742782</v>
      </c>
      <c r="I36490">
        <v>9426766</v>
      </c>
      <c r="J36490">
        <v>3</v>
      </c>
    </row>
    <row r="36491" spans="1:10" x14ac:dyDescent="0.25">
      <c r="A36491" t="s">
        <v>396</v>
      </c>
      <c r="B36491" s="1" t="str">
        <f>HYPERLINK("http://pateu-et-robert.com","pateu-et-robert.com")</f>
        <v>pateu-et-robert.com</v>
      </c>
      <c r="C36491" t="s">
        <v>433</v>
      </c>
      <c r="F36491">
        <v>4.9275368543607497E-9</v>
      </c>
      <c r="G36491">
        <v>31453024</v>
      </c>
      <c r="H36491">
        <v>10599261</v>
      </c>
      <c r="I36491">
        <v>44944390</v>
      </c>
      <c r="J36491">
        <v>3</v>
      </c>
    </row>
    <row r="36492" spans="1:10" x14ac:dyDescent="0.25">
      <c r="A36492" t="s">
        <v>396</v>
      </c>
      <c r="B36492" s="1" t="str">
        <f>HYPERLINK("http://paulaner.com","paulaner.com")</f>
        <v>paulaner.com</v>
      </c>
      <c r="C36492" t="s">
        <v>433</v>
      </c>
      <c r="E36492">
        <v>426061</v>
      </c>
      <c r="F36492">
        <v>9.6079934643775701E-8</v>
      </c>
      <c r="G36492">
        <v>421156</v>
      </c>
      <c r="H36492">
        <v>14622967</v>
      </c>
      <c r="I36492">
        <v>654438</v>
      </c>
      <c r="J36492">
        <v>10</v>
      </c>
    </row>
    <row r="36493" spans="1:10" x14ac:dyDescent="0.25">
      <c r="A36493" t="s">
        <v>396</v>
      </c>
      <c r="B36493" s="1" t="str">
        <f>HYPERLINK("http://paulaner-brauhaus-consult.com","paulaner-brauhaus-consult.com")</f>
        <v>paulaner-brauhaus-consult.com</v>
      </c>
      <c r="C36493" t="s">
        <v>433</v>
      </c>
      <c r="F36493">
        <v>4.4781974797244496E-9</v>
      </c>
      <c r="G36493">
        <v>62730949</v>
      </c>
      <c r="H36493">
        <v>11166291</v>
      </c>
      <c r="I36493">
        <v>31571746</v>
      </c>
      <c r="J36493">
        <v>12</v>
      </c>
    </row>
    <row r="36494" spans="1:10" x14ac:dyDescent="0.25">
      <c r="A36494" t="s">
        <v>396</v>
      </c>
      <c r="B36494" s="1" t="str">
        <f>HYPERLINK("http://peren-nucleaire.com","peren-nucleaire.com")</f>
        <v>peren-nucleaire.com</v>
      </c>
      <c r="C36494" t="s">
        <v>433</v>
      </c>
      <c r="F36494">
        <v>7.2199889883983503E-9</v>
      </c>
      <c r="G36494">
        <v>11687871</v>
      </c>
      <c r="H36494">
        <v>13300567</v>
      </c>
      <c r="I36494">
        <v>10821944</v>
      </c>
      <c r="J36494">
        <v>3</v>
      </c>
    </row>
    <row r="36495" spans="1:10" x14ac:dyDescent="0.25">
      <c r="A36495" t="s">
        <v>396</v>
      </c>
      <c r="B36495" s="1" t="str">
        <f>HYPERLINK("http://picoenvirotec.com","picoenvirotec.com")</f>
        <v>picoenvirotec.com</v>
      </c>
      <c r="C36495" t="s">
        <v>433</v>
      </c>
      <c r="F36495">
        <v>6.6960015324291499E-9</v>
      </c>
      <c r="G36495">
        <v>13317184</v>
      </c>
      <c r="H36495">
        <v>12188060</v>
      </c>
      <c r="I36495">
        <v>23631130</v>
      </c>
      <c r="J36495">
        <v>3</v>
      </c>
    </row>
    <row r="36496" spans="1:10" x14ac:dyDescent="0.25">
      <c r="A36496" t="s">
        <v>396</v>
      </c>
      <c r="B36496" s="1" t="str">
        <f>HYPERLINK("http://precisionpipelinesolutions.com","precisionpipelinesolutions.com")</f>
        <v>precisionpipelinesolutions.com</v>
      </c>
      <c r="C36496" t="s">
        <v>433</v>
      </c>
      <c r="F36496">
        <v>1.06509809680237E-8</v>
      </c>
      <c r="G36496">
        <v>6140717</v>
      </c>
      <c r="H36496">
        <v>12567608</v>
      </c>
      <c r="I36496">
        <v>16646657</v>
      </c>
      <c r="J36496">
        <v>3</v>
      </c>
    </row>
    <row r="36497" spans="1:10" x14ac:dyDescent="0.25">
      <c r="A36497" t="s">
        <v>396</v>
      </c>
      <c r="B36497" s="1" t="str">
        <f>HYPERLINK("http://printemps.com","printemps.com")</f>
        <v>printemps.com</v>
      </c>
      <c r="C36497" t="s">
        <v>433</v>
      </c>
      <c r="E36497">
        <v>91885</v>
      </c>
      <c r="F36497">
        <v>3.6010515905984598E-7</v>
      </c>
      <c r="G36497">
        <v>103829</v>
      </c>
      <c r="H36497">
        <v>15075808</v>
      </c>
      <c r="I36497">
        <v>410238</v>
      </c>
      <c r="J36497">
        <v>5</v>
      </c>
    </row>
    <row r="36498" spans="1:10" x14ac:dyDescent="0.25">
      <c r="A36498" t="s">
        <v>396</v>
      </c>
      <c r="B36498" s="1" t="str">
        <f>HYPERLINK("http://printempsfrance.com","printempsfrance.com")</f>
        <v>printempsfrance.com</v>
      </c>
      <c r="C36498" t="s">
        <v>433</v>
      </c>
      <c r="F36498">
        <v>4.9393410034192797E-8</v>
      </c>
      <c r="G36498">
        <v>936914</v>
      </c>
      <c r="H36498">
        <v>14249660</v>
      </c>
      <c r="I36498">
        <v>1449033</v>
      </c>
      <c r="J36498">
        <v>8</v>
      </c>
    </row>
    <row r="36499" spans="1:10" x14ac:dyDescent="0.25">
      <c r="A36499" t="s">
        <v>396</v>
      </c>
      <c r="B36499" s="1" t="str">
        <f>HYPERLINK("http://probisa.com","probisa.com")</f>
        <v>probisa.com</v>
      </c>
      <c r="C36499" t="s">
        <v>433</v>
      </c>
      <c r="F36499">
        <v>8.2401460943397502E-9</v>
      </c>
      <c r="G36499">
        <v>9404134</v>
      </c>
      <c r="H36499">
        <v>12407479</v>
      </c>
      <c r="I36499">
        <v>18648487</v>
      </c>
      <c r="J36499">
        <v>3</v>
      </c>
    </row>
    <row r="36500" spans="1:10" x14ac:dyDescent="0.25">
      <c r="A36500" t="s">
        <v>396</v>
      </c>
      <c r="B36500" s="1" t="str">
        <f>HYPERLINK("http://radaraut.com","radaraut.com")</f>
        <v>radaraut.com</v>
      </c>
      <c r="C36500" t="s">
        <v>433</v>
      </c>
      <c r="F36500">
        <v>4.8682372151149899E-9</v>
      </c>
      <c r="G36500">
        <v>33476837</v>
      </c>
      <c r="H36500">
        <v>12024641</v>
      </c>
      <c r="I36500">
        <v>27787384</v>
      </c>
      <c r="J36500">
        <v>3</v>
      </c>
    </row>
    <row r="36501" spans="1:10" x14ac:dyDescent="0.25">
      <c r="A36501" t="s">
        <v>396</v>
      </c>
      <c r="B36501" s="1" t="str">
        <f>HYPERLINK("http://railcantech.com","railcantech.com")</f>
        <v>railcantech.com</v>
      </c>
      <c r="C36501" t="s">
        <v>433</v>
      </c>
      <c r="F36501">
        <v>6.0914263676561098E-9</v>
      </c>
      <c r="G36501">
        <v>16141020</v>
      </c>
      <c r="H36501">
        <v>11172995</v>
      </c>
      <c r="I36501">
        <v>31501746</v>
      </c>
      <c r="J36501">
        <v>3</v>
      </c>
    </row>
    <row r="36502" spans="1:10" x14ac:dyDescent="0.25">
      <c r="A36502" t="s">
        <v>396</v>
      </c>
      <c r="B36502" s="1" t="str">
        <f>HYPERLINK("http://ringwayjacobs.com","ringwayjacobs.com")</f>
        <v>ringwayjacobs.com</v>
      </c>
      <c r="C36502" t="s">
        <v>433</v>
      </c>
      <c r="F36502">
        <v>4.4682036046632301E-9</v>
      </c>
      <c r="G36502">
        <v>65055494</v>
      </c>
      <c r="H36502">
        <v>12341513</v>
      </c>
      <c r="I36502">
        <v>19936465</v>
      </c>
      <c r="J36502">
        <v>6</v>
      </c>
    </row>
    <row r="36503" spans="1:10" x14ac:dyDescent="0.25">
      <c r="A36503" t="s">
        <v>396</v>
      </c>
      <c r="B36503" s="1" t="str">
        <f>HYPERLINK("http://rodio-swissboring.com","rodio-swissboring.com")</f>
        <v>rodio-swissboring.com</v>
      </c>
      <c r="C36503" t="s">
        <v>433</v>
      </c>
      <c r="F36503">
        <v>6.0348352755653696E-9</v>
      </c>
      <c r="G36503">
        <v>16471803</v>
      </c>
      <c r="H36503">
        <v>12249002</v>
      </c>
      <c r="I36503">
        <v>22033352</v>
      </c>
      <c r="J36503">
        <v>3</v>
      </c>
    </row>
    <row r="36504" spans="1:10" x14ac:dyDescent="0.25">
      <c r="A36504" t="s">
        <v>396</v>
      </c>
      <c r="B36504" s="1" t="str">
        <f>HYPERLINK("http://rodiosbo.com","rodiosbo.com")</f>
        <v>rodiosbo.com</v>
      </c>
      <c r="C36504" t="s">
        <v>433</v>
      </c>
      <c r="F36504">
        <v>4.4887145314216298E-9</v>
      </c>
      <c r="G36504">
        <v>60731504</v>
      </c>
      <c r="H36504">
        <v>8743778</v>
      </c>
      <c r="I36504">
        <v>69672052</v>
      </c>
      <c r="J36504">
        <v>5</v>
      </c>
    </row>
    <row r="36505" spans="1:10" x14ac:dyDescent="0.25">
      <c r="A36505" t="s">
        <v>396</v>
      </c>
      <c r="B36505" s="1" t="str">
        <f>HYPERLINK("http://roiret-energies.com","roiret-energies.com")</f>
        <v>roiret-energies.com</v>
      </c>
      <c r="C36505" t="s">
        <v>433</v>
      </c>
      <c r="F36505">
        <v>1.00162649589163E-8</v>
      </c>
      <c r="G36505">
        <v>6739578</v>
      </c>
      <c r="H36505">
        <v>12079816</v>
      </c>
      <c r="I36505">
        <v>26568552</v>
      </c>
      <c r="J36505">
        <v>3</v>
      </c>
    </row>
    <row r="36506" spans="1:10" x14ac:dyDescent="0.25">
      <c r="A36506" t="s">
        <v>396</v>
      </c>
      <c r="B36506" s="1" t="str">
        <f>HYPERLINK("http://scietht.com","scietht.com")</f>
        <v>scietht.com</v>
      </c>
      <c r="C36506" t="s">
        <v>433</v>
      </c>
      <c r="J36506">
        <v>3</v>
      </c>
    </row>
    <row r="36507" spans="1:10" x14ac:dyDescent="0.25">
      <c r="A36507" t="s">
        <v>396</v>
      </c>
      <c r="B36507" s="1" t="str">
        <f>HYPERLINK("http://sectp.com","sectp.com")</f>
        <v>sectp.com</v>
      </c>
      <c r="C36507" t="s">
        <v>433</v>
      </c>
      <c r="F36507">
        <v>5.1092388476502699E-9</v>
      </c>
      <c r="G36507">
        <v>26867746</v>
      </c>
      <c r="H36507">
        <v>10833305</v>
      </c>
      <c r="I36507">
        <v>37319865</v>
      </c>
      <c r="J36507">
        <v>3</v>
      </c>
    </row>
    <row r="36508" spans="1:10" x14ac:dyDescent="0.25">
      <c r="A36508" t="s">
        <v>396</v>
      </c>
      <c r="B36508" s="1" t="str">
        <f>HYPERLINK("http://sice.com","sice.com")</f>
        <v>sice.com</v>
      </c>
      <c r="C36508" t="s">
        <v>433</v>
      </c>
      <c r="E36508">
        <v>984592</v>
      </c>
      <c r="F36508">
        <v>3.9052493070260899E-8</v>
      </c>
      <c r="G36508">
        <v>1320696</v>
      </c>
      <c r="H36508">
        <v>14290558</v>
      </c>
      <c r="I36508">
        <v>1366080</v>
      </c>
      <c r="J36508">
        <v>3</v>
      </c>
    </row>
    <row r="36509" spans="1:10" x14ac:dyDescent="0.25">
      <c r="A36509" t="s">
        <v>396</v>
      </c>
      <c r="B36509" s="1" t="str">
        <f>HYPERLINK("http://slatonbros.com","slatonbros.com")</f>
        <v>slatonbros.com</v>
      </c>
      <c r="C36509" t="s">
        <v>433</v>
      </c>
      <c r="F36509">
        <v>6.42019154966821E-9</v>
      </c>
      <c r="G36509">
        <v>14425102</v>
      </c>
      <c r="H36509">
        <v>12261870</v>
      </c>
      <c r="I36509">
        <v>21721811</v>
      </c>
      <c r="J36509">
        <v>3</v>
      </c>
    </row>
    <row r="36510" spans="1:10" x14ac:dyDescent="0.25">
      <c r="A36510" t="s">
        <v>396</v>
      </c>
      <c r="B36510" s="1" t="str">
        <f>HYPERLINK("http://snt-world.com","snt-world.com")</f>
        <v>snt-world.com</v>
      </c>
      <c r="C36510" t="s">
        <v>433</v>
      </c>
      <c r="F36510">
        <v>1.2924107028462199E-8</v>
      </c>
      <c r="G36510">
        <v>4667970</v>
      </c>
      <c r="H36510">
        <v>14073900</v>
      </c>
      <c r="I36510">
        <v>2965490</v>
      </c>
      <c r="J36510">
        <v>6</v>
      </c>
    </row>
    <row r="36511" spans="1:10" x14ac:dyDescent="0.25">
      <c r="A36511" t="s">
        <v>396</v>
      </c>
      <c r="B36511" s="1" t="str">
        <f>HYPERLINK("http://sogea-satom.com","sogea-satom.com")</f>
        <v>sogea-satom.com</v>
      </c>
      <c r="C36511" t="s">
        <v>433</v>
      </c>
      <c r="F36511">
        <v>2.2455986044236602E-8</v>
      </c>
      <c r="G36511">
        <v>2333500</v>
      </c>
      <c r="H36511">
        <v>13180861</v>
      </c>
      <c r="I36511">
        <v>11682269</v>
      </c>
      <c r="J36511">
        <v>3</v>
      </c>
    </row>
    <row r="36512" spans="1:10" x14ac:dyDescent="0.25">
      <c r="A36512" t="s">
        <v>396</v>
      </c>
      <c r="B36512" s="1" t="str">
        <f>HYPERLINK("http://soletanche-bachy.com","soletanche-bachy.com")</f>
        <v>soletanche-bachy.com</v>
      </c>
      <c r="C36512" t="s">
        <v>433</v>
      </c>
      <c r="E36512">
        <v>700480</v>
      </c>
      <c r="F36512">
        <v>7.2772618244552206E-8</v>
      </c>
      <c r="G36512">
        <v>579674</v>
      </c>
      <c r="H36512">
        <v>14115167</v>
      </c>
      <c r="I36512">
        <v>2664009</v>
      </c>
      <c r="J36512">
        <v>3</v>
      </c>
    </row>
    <row r="36513" spans="1:10" x14ac:dyDescent="0.25">
      <c r="A36513" t="s">
        <v>396</v>
      </c>
      <c r="B36513" s="1" t="str">
        <f>HYPERLINK("http://soletanchefreyssinet.com","soletanchefreyssinet.com")</f>
        <v>soletanchefreyssinet.com</v>
      </c>
      <c r="C36513" t="s">
        <v>433</v>
      </c>
      <c r="F36513">
        <v>2.92699730396707E-8</v>
      </c>
      <c r="G36513">
        <v>1760060</v>
      </c>
      <c r="H36513">
        <v>14075447</v>
      </c>
      <c r="I36513">
        <v>2908834</v>
      </c>
      <c r="J36513">
        <v>3</v>
      </c>
    </row>
    <row r="36514" spans="1:10" x14ac:dyDescent="0.25">
      <c r="A36514" t="s">
        <v>396</v>
      </c>
      <c r="B36514" s="1" t="str">
        <f>HYPERLINK("http://stadefrance.com","stadefrance.com")</f>
        <v>stadefrance.com</v>
      </c>
      <c r="C36514" t="s">
        <v>433</v>
      </c>
      <c r="E36514">
        <v>178940</v>
      </c>
      <c r="F36514">
        <v>1.6710597894746899E-7</v>
      </c>
      <c r="G36514">
        <v>232219</v>
      </c>
      <c r="H36514">
        <v>14904559</v>
      </c>
      <c r="I36514">
        <v>461063</v>
      </c>
      <c r="J36514">
        <v>3</v>
      </c>
    </row>
    <row r="36515" spans="1:10" x14ac:dyDescent="0.25">
      <c r="A36515" t="s">
        <v>396</v>
      </c>
      <c r="B36515" s="1" t="str">
        <f>HYPERLINK("http://strabag.com","strabag.com")</f>
        <v>strabag.com</v>
      </c>
      <c r="C36515" t="s">
        <v>433</v>
      </c>
      <c r="E36515">
        <v>92546</v>
      </c>
      <c r="F36515">
        <v>6.1075120248525401E-7</v>
      </c>
      <c r="G36515">
        <v>62635</v>
      </c>
      <c r="H36515">
        <v>17251384</v>
      </c>
      <c r="I36515">
        <v>33803</v>
      </c>
      <c r="J36515">
        <v>6</v>
      </c>
    </row>
    <row r="36516" spans="1:10" x14ac:dyDescent="0.25">
      <c r="A36516" t="s">
        <v>396</v>
      </c>
      <c r="B36516" s="1" t="str">
        <f>HYPERLINK("http://strabag-international.com","strabag-international.com")</f>
        <v>strabag-international.com</v>
      </c>
      <c r="C36516" t="s">
        <v>433</v>
      </c>
      <c r="F36516">
        <v>6.0690160648173203E-8</v>
      </c>
      <c r="G36516">
        <v>726354</v>
      </c>
      <c r="H36516">
        <v>16873264</v>
      </c>
      <c r="I36516">
        <v>144208</v>
      </c>
      <c r="J36516">
        <v>9</v>
      </c>
    </row>
    <row r="36517" spans="1:10" x14ac:dyDescent="0.25">
      <c r="A36517" t="s">
        <v>396</v>
      </c>
      <c r="B36517" s="1" t="str">
        <f>HYPERLINK("http://strabag-pfs.com","strabag-pfs.com")</f>
        <v>strabag-pfs.com</v>
      </c>
      <c r="C36517" t="s">
        <v>433</v>
      </c>
      <c r="F36517">
        <v>2.4312778273987901E-8</v>
      </c>
      <c r="G36517">
        <v>2132654</v>
      </c>
      <c r="H36517">
        <v>12532074</v>
      </c>
      <c r="I36517">
        <v>17015913</v>
      </c>
      <c r="J36517">
        <v>8</v>
      </c>
    </row>
    <row r="36518" spans="1:10" x14ac:dyDescent="0.25">
      <c r="A36518" t="s">
        <v>396</v>
      </c>
      <c r="B36518" s="1" t="str">
        <f>HYPERLINK("http://strabag-wasserbau.com","strabag-wasserbau.com")</f>
        <v>strabag-wasserbau.com</v>
      </c>
      <c r="C36518" t="s">
        <v>433</v>
      </c>
      <c r="F36518">
        <v>5.4177585849483503E-9</v>
      </c>
      <c r="G36518">
        <v>21888636</v>
      </c>
      <c r="H36518">
        <v>10929565</v>
      </c>
      <c r="I36518">
        <v>35076371</v>
      </c>
      <c r="J36518">
        <v>9</v>
      </c>
    </row>
    <row r="36519" spans="1:10" x14ac:dyDescent="0.25">
      <c r="A36519" t="s">
        <v>396</v>
      </c>
      <c r="B36519" s="1" t="str">
        <f>HYPERLINK("http://sug-munich.com","sug-munich.com")</f>
        <v>sug-munich.com</v>
      </c>
      <c r="C36519" t="s">
        <v>433</v>
      </c>
      <c r="F36519">
        <v>2.09003982115202E-8</v>
      </c>
      <c r="G36519">
        <v>2529322</v>
      </c>
      <c r="H36519">
        <v>14493529</v>
      </c>
      <c r="I36519">
        <v>887330</v>
      </c>
      <c r="J36519">
        <v>8</v>
      </c>
    </row>
    <row r="36520" spans="1:10" x14ac:dyDescent="0.25">
      <c r="A36520" t="s">
        <v>396</v>
      </c>
      <c r="B36520" s="1" t="str">
        <f>HYPERLINK("http://televic-audiovisual.com","televic-audiovisual.com")</f>
        <v>televic-audiovisual.com</v>
      </c>
      <c r="C36520" t="s">
        <v>433</v>
      </c>
      <c r="F36520">
        <v>4.6935944657961101E-9</v>
      </c>
      <c r="G36520">
        <v>41608789</v>
      </c>
      <c r="H36520">
        <v>10769674</v>
      </c>
      <c r="I36520">
        <v>39255332</v>
      </c>
      <c r="J36520">
        <v>5</v>
      </c>
    </row>
    <row r="36521" spans="1:10" x14ac:dyDescent="0.25">
      <c r="A36521" t="s">
        <v>396</v>
      </c>
      <c r="B36521" s="1" t="str">
        <f>HYPERLINK("http://theagilityeffect.com","theagilityeffect.com")</f>
        <v>theagilityeffect.com</v>
      </c>
      <c r="C36521" t="s">
        <v>433</v>
      </c>
      <c r="F36521">
        <v>7.5047905715272205E-8</v>
      </c>
      <c r="G36521">
        <v>560428</v>
      </c>
      <c r="H36521">
        <v>14333122</v>
      </c>
      <c r="I36521">
        <v>1321287</v>
      </c>
      <c r="J36521">
        <v>6</v>
      </c>
    </row>
    <row r="36522" spans="1:10" x14ac:dyDescent="0.25">
      <c r="A36522" t="s">
        <v>396</v>
      </c>
      <c r="B36522" s="1" t="str">
        <f>HYPERLINK("http://tollplus.com","tollplus.com")</f>
        <v>tollplus.com</v>
      </c>
      <c r="C36522" t="s">
        <v>433</v>
      </c>
      <c r="E36522">
        <v>447439</v>
      </c>
      <c r="F36522">
        <v>1.15012489905588E-8</v>
      </c>
      <c r="G36522">
        <v>5505010</v>
      </c>
      <c r="H36522">
        <v>13235733</v>
      </c>
      <c r="I36522">
        <v>11243467</v>
      </c>
      <c r="J36522">
        <v>3</v>
      </c>
    </row>
    <row r="36523" spans="1:10" x14ac:dyDescent="0.25">
      <c r="A36523" t="s">
        <v>396</v>
      </c>
      <c r="B36523" s="1" t="str">
        <f>HYPERLINK("http://tpi-si.com","tpi-si.com")</f>
        <v>tpi-si.com</v>
      </c>
      <c r="C36523" t="s">
        <v>433</v>
      </c>
      <c r="J36523">
        <v>3</v>
      </c>
    </row>
    <row r="36524" spans="1:10" x14ac:dyDescent="0.25">
      <c r="A36524" t="s">
        <v>396</v>
      </c>
      <c r="B36524" s="1" t="str">
        <f>HYPERLINK("http://transdyn.com","transdyn.com")</f>
        <v>transdyn.com</v>
      </c>
      <c r="C36524" t="s">
        <v>433</v>
      </c>
      <c r="F36524">
        <v>5.9614616765179599E-9</v>
      </c>
      <c r="G36524">
        <v>16936026</v>
      </c>
      <c r="H36524">
        <v>12475558</v>
      </c>
      <c r="I36524">
        <v>17641482</v>
      </c>
      <c r="J36524">
        <v>6</v>
      </c>
    </row>
    <row r="36525" spans="1:10" x14ac:dyDescent="0.25">
      <c r="A36525" t="s">
        <v>396</v>
      </c>
      <c r="B36525" s="1" t="str">
        <f>HYPERLINK("http://transelec.com","transelec.com")</f>
        <v>transelec.com</v>
      </c>
      <c r="C36525" t="s">
        <v>433</v>
      </c>
      <c r="F36525">
        <v>8.1220465004657703E-9</v>
      </c>
      <c r="G36525">
        <v>9703406</v>
      </c>
      <c r="H36525">
        <v>12236273</v>
      </c>
      <c r="I36525">
        <v>22345696</v>
      </c>
      <c r="J36525">
        <v>3</v>
      </c>
    </row>
    <row r="36526" spans="1:10" x14ac:dyDescent="0.25">
      <c r="A36526" t="s">
        <v>396</v>
      </c>
      <c r="B36526" s="1" t="str">
        <f>HYPERLINK("http://urbat.com","urbat.com")</f>
        <v>urbat.com</v>
      </c>
      <c r="C36526" t="s">
        <v>433</v>
      </c>
      <c r="F36526">
        <v>1.5660847261872701E-8</v>
      </c>
      <c r="G36526">
        <v>3638264</v>
      </c>
      <c r="H36526">
        <v>12674669</v>
      </c>
      <c r="I36526">
        <v>15561373</v>
      </c>
      <c r="J36526">
        <v>3</v>
      </c>
    </row>
    <row r="36527" spans="1:10" x14ac:dyDescent="0.25">
      <c r="A36527" t="s">
        <v>396</v>
      </c>
      <c r="B36527" s="1" t="str">
        <f>HYPERLINK("http://vibroflotation.com","vibroflotation.com")</f>
        <v>vibroflotation.com</v>
      </c>
      <c r="C36527" t="s">
        <v>433</v>
      </c>
      <c r="F36527">
        <v>7.2548308720200402E-9</v>
      </c>
      <c r="G36527">
        <v>11593422</v>
      </c>
      <c r="H36527">
        <v>14078112</v>
      </c>
      <c r="I36527">
        <v>2852455</v>
      </c>
      <c r="J36527">
        <v>3</v>
      </c>
    </row>
    <row r="36528" spans="1:10" x14ac:dyDescent="0.25">
      <c r="A36528" t="s">
        <v>396</v>
      </c>
      <c r="B36528" s="1" t="str">
        <f>HYPERLINK("http://vinci.com","vinci.com")</f>
        <v>vinci.com</v>
      </c>
      <c r="C36528" t="s">
        <v>433</v>
      </c>
      <c r="E36528">
        <v>98874</v>
      </c>
      <c r="F36528">
        <v>5.6919032652649201E-7</v>
      </c>
      <c r="G36528">
        <v>67136</v>
      </c>
      <c r="H36528">
        <v>15305811</v>
      </c>
      <c r="I36528">
        <v>385631</v>
      </c>
      <c r="J36528">
        <v>1</v>
      </c>
    </row>
    <row r="36529" spans="1:10" x14ac:dyDescent="0.25">
      <c r="A36529" t="s">
        <v>396</v>
      </c>
      <c r="B36529" s="1" t="str">
        <f>HYPERLINK("http://vinci-airports.com","vinci-airports.com")</f>
        <v>vinci-airports.com</v>
      </c>
      <c r="C36529" t="s">
        <v>433</v>
      </c>
      <c r="E36529">
        <v>667329</v>
      </c>
      <c r="F36529">
        <v>1.05466538733334E-7</v>
      </c>
      <c r="G36529">
        <v>379817</v>
      </c>
      <c r="H36529">
        <v>14512193</v>
      </c>
      <c r="I36529">
        <v>819741</v>
      </c>
      <c r="J36529">
        <v>3</v>
      </c>
    </row>
    <row r="36530" spans="1:10" x14ac:dyDescent="0.25">
      <c r="A36530" t="s">
        <v>396</v>
      </c>
      <c r="B36530" s="1" t="str">
        <f>HYPERLINK("http://vinci-autoroutes.com","vinci-autoroutes.com")</f>
        <v>vinci-autoroutes.com</v>
      </c>
      <c r="C36530" t="s">
        <v>433</v>
      </c>
      <c r="E36530">
        <v>109321</v>
      </c>
      <c r="F36530">
        <v>5.4739600326691697E-7</v>
      </c>
      <c r="G36530">
        <v>70642</v>
      </c>
      <c r="H36530">
        <v>15124099</v>
      </c>
      <c r="I36530">
        <v>403167</v>
      </c>
      <c r="J36530">
        <v>3</v>
      </c>
    </row>
    <row r="36531" spans="1:10" x14ac:dyDescent="0.25">
      <c r="A36531" t="s">
        <v>396</v>
      </c>
      <c r="B36531" s="1" t="str">
        <f>HYPERLINK("http://vinci-concessions.com","vinci-concessions.com")</f>
        <v>vinci-concessions.com</v>
      </c>
      <c r="C36531" t="s">
        <v>433</v>
      </c>
      <c r="F36531">
        <v>5.2798286898721498E-8</v>
      </c>
      <c r="G36531">
        <v>862997</v>
      </c>
      <c r="H36531">
        <v>14429517</v>
      </c>
      <c r="I36531">
        <v>1075547</v>
      </c>
      <c r="J36531">
        <v>4</v>
      </c>
    </row>
    <row r="36532" spans="1:10" x14ac:dyDescent="0.25">
      <c r="A36532" t="s">
        <v>396</v>
      </c>
      <c r="B36532" s="1" t="str">
        <f>HYPERLINK("http://vinci-construction.com","vinci-construction.com")</f>
        <v>vinci-construction.com</v>
      </c>
      <c r="C36532" t="s">
        <v>433</v>
      </c>
      <c r="E36532">
        <v>456628</v>
      </c>
      <c r="F36532">
        <v>1.3562013195036E-7</v>
      </c>
      <c r="G36532">
        <v>287689</v>
      </c>
      <c r="H36532">
        <v>14588491</v>
      </c>
      <c r="I36532">
        <v>697905</v>
      </c>
      <c r="J36532">
        <v>4</v>
      </c>
    </row>
    <row r="36533" spans="1:10" x14ac:dyDescent="0.25">
      <c r="A36533" t="s">
        <v>396</v>
      </c>
      <c r="B36533" s="1" t="str">
        <f>HYPERLINK("http://vinci-construction-projets.com","vinci-construction-projets.com")</f>
        <v>vinci-construction-projets.com</v>
      </c>
      <c r="C36533" t="s">
        <v>433</v>
      </c>
      <c r="F36533">
        <v>3.7724576220087098E-8</v>
      </c>
      <c r="G36533">
        <v>1371738</v>
      </c>
      <c r="H36533">
        <v>14492611</v>
      </c>
      <c r="I36533">
        <v>893633</v>
      </c>
      <c r="J36533">
        <v>4</v>
      </c>
    </row>
    <row r="36534" spans="1:10" x14ac:dyDescent="0.25">
      <c r="A36534" t="s">
        <v>396</v>
      </c>
      <c r="B36534" s="1" t="str">
        <f>HYPERLINK("http://vinci-construction-terrassement.com","vinci-construction-terrassement.com")</f>
        <v>vinci-construction-terrassement.com</v>
      </c>
      <c r="C36534" t="s">
        <v>433</v>
      </c>
      <c r="F36534">
        <v>2.1395589125130301E-8</v>
      </c>
      <c r="G36534">
        <v>2462215</v>
      </c>
      <c r="H36534">
        <v>13723190</v>
      </c>
      <c r="I36534">
        <v>9467960</v>
      </c>
      <c r="J36534">
        <v>3</v>
      </c>
    </row>
    <row r="36535" spans="1:10" x14ac:dyDescent="0.25">
      <c r="A36535" t="s">
        <v>396</v>
      </c>
      <c r="B36535" s="1" t="str">
        <f>HYPERLINK("http://vinci-deutschland.com","vinci-deutschland.com")</f>
        <v>vinci-deutschland.com</v>
      </c>
      <c r="C36535" t="s">
        <v>433</v>
      </c>
      <c r="F36535">
        <v>5.3765319236707001E-9</v>
      </c>
      <c r="G36535">
        <v>22461565</v>
      </c>
      <c r="H36535">
        <v>11580514</v>
      </c>
      <c r="I36535">
        <v>29945449</v>
      </c>
      <c r="J36535">
        <v>3</v>
      </c>
    </row>
    <row r="36536" spans="1:10" x14ac:dyDescent="0.25">
      <c r="A36536" t="s">
        <v>396</v>
      </c>
      <c r="B36536" s="1" t="str">
        <f>HYPERLINK("http://vinci-energies.com","vinci-energies.com")</f>
        <v>vinci-energies.com</v>
      </c>
      <c r="C36536" t="s">
        <v>433</v>
      </c>
      <c r="E36536">
        <v>293865</v>
      </c>
      <c r="F36536">
        <v>3.1582810258651398E-7</v>
      </c>
      <c r="G36536">
        <v>117712</v>
      </c>
      <c r="H36536">
        <v>17077560</v>
      </c>
      <c r="I36536">
        <v>68948</v>
      </c>
      <c r="J36536">
        <v>3</v>
      </c>
    </row>
    <row r="36537" spans="1:10" x14ac:dyDescent="0.25">
      <c r="A36537" t="s">
        <v>396</v>
      </c>
      <c r="B36537" s="1" t="str">
        <f>HYPERLINK("http://vinci-immobilier.com","vinci-immobilier.com")</f>
        <v>vinci-immobilier.com</v>
      </c>
      <c r="C36537" t="s">
        <v>433</v>
      </c>
      <c r="E36537">
        <v>614768</v>
      </c>
      <c r="F36537">
        <v>1.62292793661601E-7</v>
      </c>
      <c r="G36537">
        <v>239172</v>
      </c>
      <c r="H36537">
        <v>14173538</v>
      </c>
      <c r="I36537">
        <v>1795714</v>
      </c>
      <c r="J36537">
        <v>3</v>
      </c>
    </row>
    <row r="36538" spans="1:10" x14ac:dyDescent="0.25">
      <c r="A36538" t="s">
        <v>396</v>
      </c>
      <c r="B36538" s="1" t="str">
        <f>HYPERLINK("http://vinci-uk.com","vinci-uk.com")</f>
        <v>vinci-uk.com</v>
      </c>
      <c r="C36538" t="s">
        <v>433</v>
      </c>
      <c r="F36538">
        <v>4.8682178138677997E-9</v>
      </c>
      <c r="G36538">
        <v>33477498</v>
      </c>
      <c r="H36538">
        <v>12981545</v>
      </c>
      <c r="I36538">
        <v>12958841</v>
      </c>
      <c r="J36538">
        <v>4</v>
      </c>
    </row>
    <row r="36539" spans="1:10" x14ac:dyDescent="0.25">
      <c r="A36539" t="s">
        <v>396</v>
      </c>
      <c r="B36539" s="1" t="str">
        <f>HYPERLINK("http://vincinordicfoundation.com","vincinordicfoundation.com")</f>
        <v>vincinordicfoundation.com</v>
      </c>
      <c r="C36539" t="s">
        <v>433</v>
      </c>
      <c r="F36539">
        <v>6.29133303445804E-9</v>
      </c>
      <c r="G36539">
        <v>15073336</v>
      </c>
      <c r="H36539">
        <v>11139192</v>
      </c>
      <c r="I36539">
        <v>31845149</v>
      </c>
      <c r="J36539">
        <v>6</v>
      </c>
    </row>
    <row r="36540" spans="1:10" x14ac:dyDescent="0.25">
      <c r="A36540" t="s">
        <v>396</v>
      </c>
      <c r="B36540" s="1" t="str">
        <f>HYPERLINK("http://wahloon.com","wahloon.com")</f>
        <v>wahloon.com</v>
      </c>
      <c r="C36540" t="s">
        <v>433</v>
      </c>
      <c r="F36540">
        <v>5.0896768140367802E-9</v>
      </c>
      <c r="G36540">
        <v>27294537</v>
      </c>
      <c r="H36540">
        <v>12465668</v>
      </c>
      <c r="I36540">
        <v>17810053</v>
      </c>
      <c r="J36540">
        <v>3</v>
      </c>
    </row>
    <row r="36541" spans="1:10" x14ac:dyDescent="0.25">
      <c r="A36541" t="s">
        <v>396</v>
      </c>
      <c r="B36541" s="1" t="str">
        <f>HYPERLINK("http://wega-systems.com","wega-systems.com")</f>
        <v>wega-systems.com</v>
      </c>
      <c r="C36541" t="s">
        <v>433</v>
      </c>
      <c r="J36541">
        <v>3</v>
      </c>
    </row>
    <row r="36542" spans="1:10" x14ac:dyDescent="0.25">
      <c r="A36542" t="s">
        <v>396</v>
      </c>
      <c r="B36542" s="1" t="str">
        <f>HYPERLINK("http://wightbuildingmaterials.com","wightbuildingmaterials.com")</f>
        <v>wightbuildingmaterials.com</v>
      </c>
      <c r="C36542" t="s">
        <v>433</v>
      </c>
      <c r="F36542">
        <v>5.6231557401263298E-9</v>
      </c>
      <c r="G36542">
        <v>19639695</v>
      </c>
      <c r="H36542">
        <v>10902894</v>
      </c>
      <c r="I36542">
        <v>35770081</v>
      </c>
      <c r="J36542">
        <v>3</v>
      </c>
    </row>
    <row r="36543" spans="1:10" x14ac:dyDescent="0.25">
      <c r="A36543" t="s">
        <v>396</v>
      </c>
      <c r="B36543" s="1" t="str">
        <f>HYPERLINK("http://zenith-toulousemetropole.com","zenith-toulousemetropole.com")</f>
        <v>zenith-toulousemetropole.com</v>
      </c>
      <c r="C36543" t="s">
        <v>433</v>
      </c>
      <c r="F36543">
        <v>1.37655680425635E-8</v>
      </c>
      <c r="G36543">
        <v>4295011</v>
      </c>
      <c r="H36543">
        <v>12549532</v>
      </c>
      <c r="I36543">
        <v>16828834</v>
      </c>
      <c r="J36543">
        <v>3</v>
      </c>
    </row>
    <row r="36544" spans="1:10" x14ac:dyDescent="0.25">
      <c r="A36544" t="s">
        <v>396</v>
      </c>
      <c r="B36544" s="1" t="str">
        <f>HYPERLINK("http://zonair3d.com","zonair3d.com")</f>
        <v>zonair3d.com</v>
      </c>
      <c r="C36544" t="s">
        <v>433</v>
      </c>
      <c r="F36544">
        <v>9.6786382501920894E-9</v>
      </c>
      <c r="G36544">
        <v>7106047</v>
      </c>
      <c r="H36544">
        <v>13955416</v>
      </c>
      <c r="I36544">
        <v>4138492</v>
      </c>
      <c r="J36544">
        <v>3</v>
      </c>
    </row>
    <row r="36545" spans="1:10" x14ac:dyDescent="0.25">
      <c r="A36545" t="s">
        <v>396</v>
      </c>
      <c r="B36545" s="1" t="str">
        <f>HYPERLINK("http://zwilling.com","zwilling.com")</f>
        <v>zwilling.com</v>
      </c>
      <c r="C36545" t="s">
        <v>433</v>
      </c>
      <c r="E36545">
        <v>39239</v>
      </c>
      <c r="F36545">
        <v>5.8509517735999598E-7</v>
      </c>
      <c r="G36545">
        <v>65322</v>
      </c>
      <c r="H36545">
        <v>15568672</v>
      </c>
      <c r="I36545">
        <v>373238</v>
      </c>
      <c r="J36545">
        <v>9</v>
      </c>
    </row>
    <row r="36546" spans="1:10" x14ac:dyDescent="0.25">
      <c r="A36546" t="s">
        <v>396</v>
      </c>
      <c r="B36546" s="1" t="str">
        <f>HYPERLINK("http://axians.cz","axians.cz")</f>
        <v>axians.cz</v>
      </c>
      <c r="C36546" t="s">
        <v>435</v>
      </c>
      <c r="D36546" t="s">
        <v>814</v>
      </c>
      <c r="F36546">
        <v>1.7958709769858401E-8</v>
      </c>
      <c r="G36546">
        <v>3041175</v>
      </c>
      <c r="H36546">
        <v>13717967</v>
      </c>
      <c r="I36546">
        <v>9487581</v>
      </c>
      <c r="J36546">
        <v>4</v>
      </c>
    </row>
    <row r="36547" spans="1:10" x14ac:dyDescent="0.25">
      <c r="A36547" t="s">
        <v>396</v>
      </c>
      <c r="B36547" s="1" t="str">
        <f>HYPERLINK("http://boiron.cz","boiron.cz")</f>
        <v>boiron.cz</v>
      </c>
      <c r="C36547" t="s">
        <v>435</v>
      </c>
      <c r="D36547" t="s">
        <v>814</v>
      </c>
      <c r="F36547">
        <v>4.3760985550109798E-8</v>
      </c>
      <c r="G36547">
        <v>1089828</v>
      </c>
      <c r="H36547">
        <v>13945766</v>
      </c>
      <c r="I36547">
        <v>4232368</v>
      </c>
      <c r="J36547">
        <v>7</v>
      </c>
    </row>
    <row r="36548" spans="1:10" x14ac:dyDescent="0.25">
      <c r="A36548" t="s">
        <v>396</v>
      </c>
      <c r="B36548" s="1" t="str">
        <f>HYPERLINK("http://dsp.cz","dsp.cz")</f>
        <v>dsp.cz</v>
      </c>
      <c r="C36548" t="s">
        <v>435</v>
      </c>
      <c r="D36548" t="s">
        <v>814</v>
      </c>
      <c r="F36548">
        <v>5.2287860782939102E-9</v>
      </c>
      <c r="G36548">
        <v>24595679</v>
      </c>
      <c r="H36548">
        <v>9421195</v>
      </c>
      <c r="I36548">
        <v>66953124</v>
      </c>
      <c r="J36548">
        <v>7</v>
      </c>
    </row>
    <row r="36549" spans="1:10" x14ac:dyDescent="0.25">
      <c r="A36549" t="s">
        <v>396</v>
      </c>
      <c r="B36549" s="1" t="str">
        <f>HYPERLINK("http://eurovia.cz","eurovia.cz")</f>
        <v>eurovia.cz</v>
      </c>
      <c r="C36549" t="s">
        <v>435</v>
      </c>
      <c r="D36549" t="s">
        <v>814</v>
      </c>
      <c r="F36549">
        <v>7.0029026657587596E-8</v>
      </c>
      <c r="G36549">
        <v>605035</v>
      </c>
      <c r="H36549">
        <v>13475617</v>
      </c>
      <c r="I36549">
        <v>10021172</v>
      </c>
      <c r="J36549">
        <v>3</v>
      </c>
    </row>
    <row r="36550" spans="1:10" x14ac:dyDescent="0.25">
      <c r="A36550" t="s">
        <v>396</v>
      </c>
      <c r="B36550" s="1" t="str">
        <f>HYPERLINK("http://euroviakamenolomy.cz","euroviakamenolomy.cz")</f>
        <v>euroviakamenolomy.cz</v>
      </c>
      <c r="C36550" t="s">
        <v>435</v>
      </c>
      <c r="D36550" t="s">
        <v>814</v>
      </c>
      <c r="F36550">
        <v>9.0878713945463804E-9</v>
      </c>
      <c r="G36550">
        <v>7863612</v>
      </c>
      <c r="H36550">
        <v>14073555</v>
      </c>
      <c r="I36550">
        <v>2986547</v>
      </c>
      <c r="J36550">
        <v>4</v>
      </c>
    </row>
    <row r="36551" spans="1:10" x14ac:dyDescent="0.25">
      <c r="A36551" t="s">
        <v>396</v>
      </c>
      <c r="B36551" s="1" t="str">
        <f>HYPERLINK("http://euroviasilba.cz","euroviasilba.cz")</f>
        <v>euroviasilba.cz</v>
      </c>
      <c r="C36551" t="s">
        <v>435</v>
      </c>
      <c r="D36551" t="s">
        <v>814</v>
      </c>
      <c r="F36551">
        <v>6.7564669993364401E-9</v>
      </c>
      <c r="G36551">
        <v>13107343</v>
      </c>
      <c r="H36551">
        <v>12292489</v>
      </c>
      <c r="I36551">
        <v>21048695</v>
      </c>
      <c r="J36551">
        <v>3</v>
      </c>
    </row>
    <row r="36552" spans="1:10" x14ac:dyDescent="0.25">
      <c r="A36552" t="s">
        <v>396</v>
      </c>
      <c r="B36552" s="1" t="str">
        <f>HYPERLINK("http://freyssinet.cz","freyssinet.cz")</f>
        <v>freyssinet.cz</v>
      </c>
      <c r="C36552" t="s">
        <v>435</v>
      </c>
      <c r="D36552" t="s">
        <v>814</v>
      </c>
      <c r="F36552">
        <v>1.0253343395502E-8</v>
      </c>
      <c r="G36552">
        <v>6495547</v>
      </c>
      <c r="H36552">
        <v>12308325</v>
      </c>
      <c r="I36552">
        <v>20671670</v>
      </c>
      <c r="J36552">
        <v>5</v>
      </c>
    </row>
    <row r="36553" spans="1:10" x14ac:dyDescent="0.25">
      <c r="A36553" t="s">
        <v>396</v>
      </c>
      <c r="B36553" s="1" t="str">
        <f>HYPERLINK("http://nuvia.cz","nuvia.cz")</f>
        <v>nuvia.cz</v>
      </c>
      <c r="C36553" t="s">
        <v>435</v>
      </c>
      <c r="D36553" t="s">
        <v>814</v>
      </c>
      <c r="F36553">
        <v>1.7933637560728701E-8</v>
      </c>
      <c r="G36553">
        <v>3046511</v>
      </c>
      <c r="H36553">
        <v>12482863</v>
      </c>
      <c r="I36553">
        <v>17573333</v>
      </c>
      <c r="J36553">
        <v>4</v>
      </c>
    </row>
    <row r="36554" spans="1:10" x14ac:dyDescent="0.25">
      <c r="A36554" t="s">
        <v>396</v>
      </c>
      <c r="B36554" s="1" t="str">
        <f>HYPERLINK("http://oktrebestovice.cz","oktrebestovice.cz")</f>
        <v>oktrebestovice.cz</v>
      </c>
      <c r="C36554" t="s">
        <v>435</v>
      </c>
      <c r="D36554" t="s">
        <v>814</v>
      </c>
      <c r="F36554">
        <v>8.98973105230243E-9</v>
      </c>
      <c r="G36554">
        <v>8006652</v>
      </c>
      <c r="H36554">
        <v>11139956</v>
      </c>
      <c r="I36554">
        <v>31835519</v>
      </c>
      <c r="J36554">
        <v>3</v>
      </c>
    </row>
    <row r="36555" spans="1:10" x14ac:dyDescent="0.25">
      <c r="A36555" t="s">
        <v>396</v>
      </c>
      <c r="B36555" s="1" t="str">
        <f>HYPERLINK("http://prumstav.cz","prumstav.cz")</f>
        <v>prumstav.cz</v>
      </c>
      <c r="C36555" t="s">
        <v>435</v>
      </c>
      <c r="D36555" t="s">
        <v>814</v>
      </c>
      <c r="F36555">
        <v>1.2837555138049201E-8</v>
      </c>
      <c r="G36555">
        <v>4710247</v>
      </c>
      <c r="H36555">
        <v>12400429</v>
      </c>
      <c r="I36555">
        <v>18776571</v>
      </c>
      <c r="J36555">
        <v>4</v>
      </c>
    </row>
    <row r="36556" spans="1:10" x14ac:dyDescent="0.25">
      <c r="A36556" t="s">
        <v>396</v>
      </c>
      <c r="B36556" s="1" t="str">
        <f>HYPERLINK("http://satsro.cz","satsro.cz")</f>
        <v>satsro.cz</v>
      </c>
      <c r="C36556" t="s">
        <v>435</v>
      </c>
      <c r="D36556" t="s">
        <v>814</v>
      </c>
      <c r="F36556">
        <v>9.6707111468644006E-9</v>
      </c>
      <c r="G36556">
        <v>7115180</v>
      </c>
      <c r="H36556">
        <v>9503578</v>
      </c>
      <c r="I36556">
        <v>65680758</v>
      </c>
      <c r="J36556">
        <v>8</v>
      </c>
    </row>
    <row r="36557" spans="1:10" x14ac:dyDescent="0.25">
      <c r="A36557" t="s">
        <v>396</v>
      </c>
      <c r="B36557" s="1" t="str">
        <f>HYPERLINK("http://smp.cz","smp.cz")</f>
        <v>smp.cz</v>
      </c>
      <c r="C36557" t="s">
        <v>435</v>
      </c>
      <c r="D36557" t="s">
        <v>814</v>
      </c>
      <c r="F36557">
        <v>2.2134295893356299E-8</v>
      </c>
      <c r="G36557">
        <v>2370488</v>
      </c>
      <c r="H36557">
        <v>14374697</v>
      </c>
      <c r="I36557">
        <v>1235670</v>
      </c>
      <c r="J36557">
        <v>4</v>
      </c>
    </row>
    <row r="36558" spans="1:10" x14ac:dyDescent="0.25">
      <c r="A36558" t="s">
        <v>396</v>
      </c>
      <c r="B36558" s="1" t="str">
        <f>HYPERLINK("http://sntcz.cz","sntcz.cz")</f>
        <v>sntcz.cz</v>
      </c>
      <c r="C36558" t="s">
        <v>435</v>
      </c>
      <c r="D36558" t="s">
        <v>814</v>
      </c>
      <c r="F36558">
        <v>2.43856557657753E-8</v>
      </c>
      <c r="G36558">
        <v>2125513</v>
      </c>
      <c r="H36558">
        <v>13143305</v>
      </c>
      <c r="I36558">
        <v>11864406</v>
      </c>
      <c r="J36558">
        <v>3</v>
      </c>
    </row>
    <row r="36559" spans="1:10" x14ac:dyDescent="0.25">
      <c r="A36559" t="s">
        <v>396</v>
      </c>
      <c r="B36559" s="1" t="str">
        <f>HYPERLINK("http://soletanche.cz","soletanche.cz")</f>
        <v>soletanche.cz</v>
      </c>
      <c r="C36559" t="s">
        <v>435</v>
      </c>
      <c r="D36559" t="s">
        <v>814</v>
      </c>
      <c r="F36559">
        <v>5.8578321365978498E-9</v>
      </c>
      <c r="G36559">
        <v>17653701</v>
      </c>
      <c r="H36559">
        <v>12188676</v>
      </c>
      <c r="I36559">
        <v>23613071</v>
      </c>
      <c r="J36559">
        <v>3</v>
      </c>
    </row>
    <row r="36560" spans="1:10" x14ac:dyDescent="0.25">
      <c r="A36560" t="s">
        <v>396</v>
      </c>
      <c r="B36560" s="1" t="str">
        <f>HYPERLINK("http://strabag.cz","strabag.cz")</f>
        <v>strabag.cz</v>
      </c>
      <c r="C36560" t="s">
        <v>435</v>
      </c>
      <c r="D36560" t="s">
        <v>814</v>
      </c>
      <c r="F36560">
        <v>7.7746025426117101E-8</v>
      </c>
      <c r="G36560">
        <v>538226</v>
      </c>
      <c r="H36560">
        <v>14239425</v>
      </c>
      <c r="I36560">
        <v>1512607</v>
      </c>
      <c r="J36560">
        <v>7</v>
      </c>
    </row>
    <row r="36561" spans="1:10" x14ac:dyDescent="0.25">
      <c r="A36561" t="s">
        <v>396</v>
      </c>
      <c r="B36561" s="1" t="str">
        <f>HYPERLINK("http://strabag-pfs.cz","strabag-pfs.cz")</f>
        <v>strabag-pfs.cz</v>
      </c>
      <c r="C36561" t="s">
        <v>435</v>
      </c>
      <c r="D36561" t="s">
        <v>814</v>
      </c>
      <c r="F36561">
        <v>1.0637280272741599E-8</v>
      </c>
      <c r="G36561">
        <v>6152040</v>
      </c>
      <c r="H36561">
        <v>12143152</v>
      </c>
      <c r="I36561">
        <v>24800670</v>
      </c>
      <c r="J36561">
        <v>8</v>
      </c>
    </row>
    <row r="36562" spans="1:10" x14ac:dyDescent="0.25">
      <c r="A36562" t="s">
        <v>396</v>
      </c>
      <c r="B36562" s="1" t="str">
        <f>HYPERLINK("http://strabagrail.cz","strabagrail.cz")</f>
        <v>strabagrail.cz</v>
      </c>
      <c r="C36562" t="s">
        <v>435</v>
      </c>
      <c r="D36562" t="s">
        <v>814</v>
      </c>
      <c r="F36562">
        <v>1.62928479803052E-8</v>
      </c>
      <c r="G36562">
        <v>3472537</v>
      </c>
      <c r="H36562">
        <v>12361955</v>
      </c>
      <c r="I36562">
        <v>19549807</v>
      </c>
      <c r="J36562">
        <v>7</v>
      </c>
    </row>
    <row r="36563" spans="1:10" x14ac:dyDescent="0.25">
      <c r="A36563" t="s">
        <v>396</v>
      </c>
      <c r="B36563" s="1" t="str">
        <f>HYPERLINK("http://vars.cz","vars.cz")</f>
        <v>vars.cz</v>
      </c>
      <c r="C36563" t="s">
        <v>435</v>
      </c>
      <c r="D36563" t="s">
        <v>814</v>
      </c>
      <c r="F36563">
        <v>2.95439073644228E-8</v>
      </c>
      <c r="G36563">
        <v>1744750</v>
      </c>
      <c r="H36563">
        <v>14075960</v>
      </c>
      <c r="I36563">
        <v>2896889</v>
      </c>
      <c r="J36563">
        <v>3</v>
      </c>
    </row>
    <row r="36564" spans="1:10" x14ac:dyDescent="0.25">
      <c r="A36564" t="s">
        <v>396</v>
      </c>
      <c r="B36564" s="1" t="str">
        <f>HYPERLINK("http://vinci-construction.cz","vinci-construction.cz")</f>
        <v>vinci-construction.cz</v>
      </c>
      <c r="C36564" t="s">
        <v>435</v>
      </c>
      <c r="D36564" t="s">
        <v>814</v>
      </c>
      <c r="F36564">
        <v>2.79653248420165E-8</v>
      </c>
      <c r="G36564">
        <v>1839448</v>
      </c>
      <c r="H36564">
        <v>12480797</v>
      </c>
      <c r="I36564">
        <v>17591176</v>
      </c>
      <c r="J36564">
        <v>6</v>
      </c>
    </row>
    <row r="36565" spans="1:10" x14ac:dyDescent="0.25">
      <c r="A36565" t="s">
        <v>396</v>
      </c>
      <c r="B36565" s="1" t="str">
        <f>HYPERLINK("http://vinci-energies.cz","vinci-energies.cz")</f>
        <v>vinci-energies.cz</v>
      </c>
      <c r="C36565" t="s">
        <v>435</v>
      </c>
      <c r="D36565" t="s">
        <v>814</v>
      </c>
      <c r="F36565">
        <v>1.25682670923831E-8</v>
      </c>
      <c r="G36565">
        <v>4848840</v>
      </c>
      <c r="H36565">
        <v>12176124</v>
      </c>
      <c r="I36565">
        <v>23903392</v>
      </c>
      <c r="J36565">
        <v>4</v>
      </c>
    </row>
    <row r="36566" spans="1:10" x14ac:dyDescent="0.25">
      <c r="A36566" t="s">
        <v>396</v>
      </c>
      <c r="B36566" s="1" t="str">
        <f>HYPERLINK("http://abcbank.de","abcbank.de")</f>
        <v>abcbank.de</v>
      </c>
      <c r="C36566" t="s">
        <v>436</v>
      </c>
      <c r="D36566" t="s">
        <v>815</v>
      </c>
      <c r="F36566">
        <v>1.03015464784257E-8</v>
      </c>
      <c r="G36566">
        <v>6449521</v>
      </c>
      <c r="H36566">
        <v>12386166</v>
      </c>
      <c r="I36566">
        <v>19106770</v>
      </c>
      <c r="J36566">
        <v>15</v>
      </c>
    </row>
    <row r="36567" spans="1:10" x14ac:dyDescent="0.25">
      <c r="A36567" t="s">
        <v>396</v>
      </c>
      <c r="B36567" s="1" t="str">
        <f>HYPERLINK("http://abcfinance.de","abcfinance.de")</f>
        <v>abcfinance.de</v>
      </c>
      <c r="C36567" t="s">
        <v>436</v>
      </c>
      <c r="D36567" t="s">
        <v>815</v>
      </c>
      <c r="E36567">
        <v>825523</v>
      </c>
      <c r="F36567">
        <v>8.62373567720605E-8</v>
      </c>
      <c r="G36567">
        <v>476974</v>
      </c>
      <c r="H36567">
        <v>13184091</v>
      </c>
      <c r="I36567">
        <v>11673246</v>
      </c>
      <c r="J36567">
        <v>9</v>
      </c>
    </row>
    <row r="36568" spans="1:10" x14ac:dyDescent="0.25">
      <c r="A36568" t="s">
        <v>396</v>
      </c>
      <c r="B36568" s="1" t="str">
        <f>HYPERLINK("http://actemium.de","actemium.de")</f>
        <v>actemium.de</v>
      </c>
      <c r="C36568" t="s">
        <v>436</v>
      </c>
      <c r="D36568" t="s">
        <v>815</v>
      </c>
      <c r="F36568">
        <v>7.6947057629139997E-8</v>
      </c>
      <c r="G36568">
        <v>544456</v>
      </c>
      <c r="H36568">
        <v>14131983</v>
      </c>
      <c r="I36568">
        <v>2004881</v>
      </c>
      <c r="J36568">
        <v>3</v>
      </c>
    </row>
    <row r="36569" spans="1:10" x14ac:dyDescent="0.25">
      <c r="A36569" t="s">
        <v>396</v>
      </c>
      <c r="B36569" s="1" t="str">
        <f>HYPERLINK("http://agt-mainz.de","agt-mainz.de")</f>
        <v>agt-mainz.de</v>
      </c>
      <c r="C36569" t="s">
        <v>436</v>
      </c>
      <c r="D36569" t="s">
        <v>815</v>
      </c>
      <c r="F36569">
        <v>5.6608554610086097E-9</v>
      </c>
      <c r="G36569">
        <v>19298010</v>
      </c>
      <c r="H36569">
        <v>13933325</v>
      </c>
      <c r="I36569">
        <v>4784521</v>
      </c>
      <c r="J36569">
        <v>3</v>
      </c>
    </row>
    <row r="36570" spans="1:10" x14ac:dyDescent="0.25">
      <c r="A36570" t="s">
        <v>396</v>
      </c>
      <c r="B36570" s="1" t="str">
        <f>HYPERLINK("http://amw-westfalen.de","amw-westfalen.de")</f>
        <v>amw-westfalen.de</v>
      </c>
      <c r="C36570" t="s">
        <v>436</v>
      </c>
      <c r="D36570" t="s">
        <v>815</v>
      </c>
      <c r="J36570">
        <v>3</v>
      </c>
    </row>
    <row r="36571" spans="1:10" x14ac:dyDescent="0.25">
      <c r="A36571" t="s">
        <v>396</v>
      </c>
      <c r="B36571" s="1" t="str">
        <f>HYPERLINK("http://auerbraeu.de","auerbraeu.de")</f>
        <v>auerbraeu.de</v>
      </c>
      <c r="C36571" t="s">
        <v>436</v>
      </c>
      <c r="D36571" t="s">
        <v>815</v>
      </c>
      <c r="F36571">
        <v>3.89047823835668E-8</v>
      </c>
      <c r="G36571">
        <v>1325380</v>
      </c>
      <c r="H36571">
        <v>13935732</v>
      </c>
      <c r="I36571">
        <v>4518544</v>
      </c>
      <c r="J36571">
        <v>10</v>
      </c>
    </row>
    <row r="36572" spans="1:10" x14ac:dyDescent="0.25">
      <c r="A36572" t="s">
        <v>396</v>
      </c>
      <c r="B36572" s="1" t="str">
        <f>HYPERLINK("http://axians.de","axians.de")</f>
        <v>axians.de</v>
      </c>
      <c r="C36572" t="s">
        <v>436</v>
      </c>
      <c r="D36572" t="s">
        <v>815</v>
      </c>
      <c r="E36572">
        <v>752232</v>
      </c>
      <c r="F36572">
        <v>1.64236566706378E-7</v>
      </c>
      <c r="G36572">
        <v>236354</v>
      </c>
      <c r="H36572">
        <v>14259202</v>
      </c>
      <c r="I36572">
        <v>1422674</v>
      </c>
      <c r="J36572">
        <v>3</v>
      </c>
    </row>
    <row r="36573" spans="1:10" x14ac:dyDescent="0.25">
      <c r="A36573" t="s">
        <v>396</v>
      </c>
      <c r="B36573" s="1" t="str">
        <f>HYPERLINK("http://axians-horizon.de","axians-horizon.de")</f>
        <v>axians-horizon.de</v>
      </c>
      <c r="C36573" t="s">
        <v>436</v>
      </c>
      <c r="D36573" t="s">
        <v>815</v>
      </c>
      <c r="F36573">
        <v>4.5285942885212098E-9</v>
      </c>
      <c r="G36573">
        <v>55209709</v>
      </c>
      <c r="H36573">
        <v>10511587</v>
      </c>
      <c r="I36573">
        <v>49484120</v>
      </c>
      <c r="J36573">
        <v>6</v>
      </c>
    </row>
    <row r="36574" spans="1:10" x14ac:dyDescent="0.25">
      <c r="A36574" t="s">
        <v>396</v>
      </c>
      <c r="B36574" s="1" t="str">
        <f>HYPERLINK("http://b11bafa.de","b11bafa.de")</f>
        <v>b11bafa.de</v>
      </c>
      <c r="C36574" t="s">
        <v>436</v>
      </c>
      <c r="D36574" t="s">
        <v>815</v>
      </c>
      <c r="J36574">
        <v>12</v>
      </c>
    </row>
    <row r="36575" spans="1:10" x14ac:dyDescent="0.25">
      <c r="A36575" t="s">
        <v>396</v>
      </c>
      <c r="B36575" s="1" t="str">
        <f>HYPERLINK("http://b11leasing.de","b11leasing.de")</f>
        <v>b11leasing.de</v>
      </c>
      <c r="C36575" t="s">
        <v>436</v>
      </c>
      <c r="D36575" t="s">
        <v>815</v>
      </c>
      <c r="J36575">
        <v>12</v>
      </c>
    </row>
    <row r="36576" spans="1:10" x14ac:dyDescent="0.25">
      <c r="A36576" t="s">
        <v>396</v>
      </c>
      <c r="B36576" s="1" t="str">
        <f>HYPERLINK("http://bank11.de","bank11.de")</f>
        <v>bank11.de</v>
      </c>
      <c r="C36576" t="s">
        <v>436</v>
      </c>
      <c r="D36576" t="s">
        <v>815</v>
      </c>
      <c r="F36576">
        <v>8.6601577732989302E-8</v>
      </c>
      <c r="G36576">
        <v>474546</v>
      </c>
      <c r="H36576">
        <v>13101727</v>
      </c>
      <c r="I36576">
        <v>12092630</v>
      </c>
      <c r="J36576">
        <v>9</v>
      </c>
    </row>
    <row r="36577" spans="1:10" x14ac:dyDescent="0.25">
      <c r="A36577" t="s">
        <v>396</v>
      </c>
      <c r="B36577" s="1" t="str">
        <f>HYPERLINK("http://basaltag.de","basaltag.de")</f>
        <v>basaltag.de</v>
      </c>
      <c r="C36577" t="s">
        <v>436</v>
      </c>
      <c r="D36577" t="s">
        <v>815</v>
      </c>
      <c r="F36577">
        <v>5.8795691543794998E-9</v>
      </c>
      <c r="G36577">
        <v>17500274</v>
      </c>
      <c r="H36577">
        <v>10507328</v>
      </c>
      <c r="I36577">
        <v>50389264</v>
      </c>
      <c r="J36577">
        <v>7</v>
      </c>
    </row>
    <row r="36578" spans="1:10" x14ac:dyDescent="0.25">
      <c r="A36578" t="s">
        <v>396</v>
      </c>
      <c r="B36578" s="1" t="str">
        <f>HYPERLINK("http://bea-tdl.de","bea-tdl.de")</f>
        <v>bea-tdl.de</v>
      </c>
      <c r="C36578" t="s">
        <v>436</v>
      </c>
      <c r="D36578" t="s">
        <v>815</v>
      </c>
      <c r="F36578">
        <v>5.0027444200078196E-9</v>
      </c>
      <c r="G36578">
        <v>29344302</v>
      </c>
      <c r="H36578">
        <v>9955079</v>
      </c>
      <c r="I36578">
        <v>61172175</v>
      </c>
      <c r="J36578">
        <v>3</v>
      </c>
    </row>
    <row r="36579" spans="1:10" x14ac:dyDescent="0.25">
      <c r="A36579" t="s">
        <v>396</v>
      </c>
      <c r="B36579" s="1" t="str">
        <f>HYPERLINK("http://bohsung.de","bohsung.de")</f>
        <v>bohsung.de</v>
      </c>
      <c r="C36579" t="s">
        <v>436</v>
      </c>
      <c r="D36579" t="s">
        <v>815</v>
      </c>
      <c r="F36579">
        <v>1.49433947693357E-8</v>
      </c>
      <c r="G36579">
        <v>3858210</v>
      </c>
      <c r="H36579">
        <v>12188122</v>
      </c>
      <c r="I36579">
        <v>23630029</v>
      </c>
      <c r="J36579">
        <v>3</v>
      </c>
    </row>
    <row r="36580" spans="1:10" x14ac:dyDescent="0.25">
      <c r="A36580" t="s">
        <v>396</v>
      </c>
      <c r="B36580" s="1" t="str">
        <f>HYPERLINK("http://calanbau.de","calanbau.de")</f>
        <v>calanbau.de</v>
      </c>
      <c r="C36580" t="s">
        <v>436</v>
      </c>
      <c r="D36580" t="s">
        <v>815</v>
      </c>
      <c r="F36580">
        <v>5.1348153760125299E-9</v>
      </c>
      <c r="G36580">
        <v>26365264</v>
      </c>
      <c r="H36580">
        <v>11328488</v>
      </c>
      <c r="I36580">
        <v>30470059</v>
      </c>
      <c r="J36580">
        <v>3</v>
      </c>
    </row>
    <row r="36581" spans="1:10" x14ac:dyDescent="0.25">
      <c r="A36581" t="s">
        <v>396</v>
      </c>
      <c r="B36581" s="1" t="str">
        <f>HYPERLINK("http://cegelec.de","cegelec.de")</f>
        <v>cegelec.de</v>
      </c>
      <c r="C36581" t="s">
        <v>436</v>
      </c>
      <c r="D36581" t="s">
        <v>815</v>
      </c>
      <c r="F36581">
        <v>1.4557755552059199E-8</v>
      </c>
      <c r="G36581">
        <v>3992210</v>
      </c>
      <c r="H36581">
        <v>14086799</v>
      </c>
      <c r="I36581">
        <v>2767505</v>
      </c>
      <c r="J36581">
        <v>3</v>
      </c>
    </row>
    <row r="36582" spans="1:10" x14ac:dyDescent="0.25">
      <c r="A36582" t="s">
        <v>396</v>
      </c>
      <c r="B36582" s="1" t="str">
        <f>HYPERLINK("http://citycomp.de","citycomp.de")</f>
        <v>citycomp.de</v>
      </c>
      <c r="C36582" t="s">
        <v>436</v>
      </c>
      <c r="D36582" t="s">
        <v>815</v>
      </c>
      <c r="F36582">
        <v>1.2546564623671199E-8</v>
      </c>
      <c r="G36582">
        <v>4861114</v>
      </c>
      <c r="H36582">
        <v>13424999</v>
      </c>
      <c r="I36582">
        <v>10295294</v>
      </c>
      <c r="J36582">
        <v>3</v>
      </c>
    </row>
    <row r="36583" spans="1:10" x14ac:dyDescent="0.25">
      <c r="A36583" t="s">
        <v>396</v>
      </c>
      <c r="B36583" s="1" t="str">
        <f>HYPERLINK("http://controlmatic.de","controlmatic.de")</f>
        <v>controlmatic.de</v>
      </c>
      <c r="C36583" t="s">
        <v>436</v>
      </c>
      <c r="D36583" t="s">
        <v>815</v>
      </c>
      <c r="F36583">
        <v>4.5610008048292398E-9</v>
      </c>
      <c r="G36583">
        <v>51071651</v>
      </c>
      <c r="H36583">
        <v>10454969</v>
      </c>
      <c r="I36583">
        <v>52022635</v>
      </c>
      <c r="J36583">
        <v>4</v>
      </c>
    </row>
    <row r="36584" spans="1:10" x14ac:dyDescent="0.25">
      <c r="A36584" t="s">
        <v>396</v>
      </c>
      <c r="B36584" s="1" t="str">
        <f>HYPERLINK("http://dormann-winkels.de","dormann-winkels.de")</f>
        <v>dormann-winkels.de</v>
      </c>
      <c r="C36584" t="s">
        <v>436</v>
      </c>
      <c r="D36584" t="s">
        <v>815</v>
      </c>
      <c r="F36584">
        <v>5.1913683379065003E-9</v>
      </c>
      <c r="G36584">
        <v>25314498</v>
      </c>
      <c r="H36584">
        <v>10539715</v>
      </c>
      <c r="I36584">
        <v>47296751</v>
      </c>
      <c r="J36584">
        <v>3</v>
      </c>
    </row>
    <row r="36585" spans="1:10" x14ac:dyDescent="0.25">
      <c r="A36585" t="s">
        <v>396</v>
      </c>
      <c r="B36585" s="1" t="str">
        <f>HYPERLINK("http://e-concept.de","e-concept.de")</f>
        <v>e-concept.de</v>
      </c>
      <c r="C36585" t="s">
        <v>436</v>
      </c>
      <c r="D36585" t="s">
        <v>815</v>
      </c>
      <c r="F36585">
        <v>7.4514445161507605E-9</v>
      </c>
      <c r="G36585">
        <v>11123471</v>
      </c>
      <c r="H36585">
        <v>11182611</v>
      </c>
      <c r="I36585">
        <v>31412762</v>
      </c>
      <c r="J36585">
        <v>3</v>
      </c>
    </row>
    <row r="36586" spans="1:10" x14ac:dyDescent="0.25">
      <c r="A36586" t="s">
        <v>396</v>
      </c>
      <c r="B36586" s="1" t="str">
        <f>HYPERLINK("http://einfach-breitband.de","einfach-breitband.de")</f>
        <v>einfach-breitband.de</v>
      </c>
      <c r="C36586" t="s">
        <v>436</v>
      </c>
      <c r="D36586" t="s">
        <v>815</v>
      </c>
      <c r="F36586">
        <v>7.01607010207631E-9</v>
      </c>
      <c r="G36586">
        <v>12264927</v>
      </c>
      <c r="H36586">
        <v>10984563</v>
      </c>
      <c r="I36586">
        <v>33848215</v>
      </c>
      <c r="J36586">
        <v>6</v>
      </c>
    </row>
    <row r="36587" spans="1:10" x14ac:dyDescent="0.25">
      <c r="A36587" t="s">
        <v>396</v>
      </c>
      <c r="B36587" s="1" t="str">
        <f>HYPERLINK("http://enertech-eut.de","enertech-eut.de")</f>
        <v>enertech-eut.de</v>
      </c>
      <c r="C36587" t="s">
        <v>436</v>
      </c>
      <c r="D36587" t="s">
        <v>815</v>
      </c>
      <c r="F36587">
        <v>9.9911471320388E-9</v>
      </c>
      <c r="G36587">
        <v>6764726</v>
      </c>
      <c r="H36587">
        <v>12096577</v>
      </c>
      <c r="I36587">
        <v>26061523</v>
      </c>
      <c r="J36587">
        <v>3</v>
      </c>
    </row>
    <row r="36588" spans="1:10" x14ac:dyDescent="0.25">
      <c r="A36588" t="s">
        <v>396</v>
      </c>
      <c r="B36588" s="1" t="str">
        <f>HYPERLINK("http://essener-teerschotter.de","essener-teerschotter.de")</f>
        <v>essener-teerschotter.de</v>
      </c>
      <c r="C36588" t="s">
        <v>436</v>
      </c>
      <c r="D36588" t="s">
        <v>815</v>
      </c>
      <c r="J36588">
        <v>3</v>
      </c>
    </row>
    <row r="36589" spans="1:10" x14ac:dyDescent="0.25">
      <c r="A36589" t="s">
        <v>396</v>
      </c>
      <c r="B36589" s="1" t="str">
        <f>HYPERLINK("http://eurovia.de","eurovia.de")</f>
        <v>eurovia.de</v>
      </c>
      <c r="C36589" t="s">
        <v>436</v>
      </c>
      <c r="D36589" t="s">
        <v>815</v>
      </c>
      <c r="F36589">
        <v>5.9082729701215898E-8</v>
      </c>
      <c r="G36589">
        <v>750348</v>
      </c>
      <c r="H36589">
        <v>13331427</v>
      </c>
      <c r="I36589">
        <v>10717021</v>
      </c>
      <c r="J36589">
        <v>3</v>
      </c>
    </row>
    <row r="36590" spans="1:10" x14ac:dyDescent="0.25">
      <c r="A36590" t="s">
        <v>396</v>
      </c>
      <c r="B36590" s="1" t="str">
        <f>HYPERLINK("http://eurovia-beton.de","eurovia-beton.de")</f>
        <v>eurovia-beton.de</v>
      </c>
      <c r="C36590" t="s">
        <v>436</v>
      </c>
      <c r="D36590" t="s">
        <v>815</v>
      </c>
      <c r="F36590">
        <v>4.9005051320452496E-9</v>
      </c>
      <c r="G36590">
        <v>32451866</v>
      </c>
      <c r="H36590">
        <v>9550953</v>
      </c>
      <c r="I36590">
        <v>64976628</v>
      </c>
      <c r="J36590">
        <v>3</v>
      </c>
    </row>
    <row r="36591" spans="1:10" x14ac:dyDescent="0.25">
      <c r="A36591" t="s">
        <v>396</v>
      </c>
      <c r="B36591" s="1" t="str">
        <f>HYPERLINK("http://ewe-oss.de","ewe-oss.de")</f>
        <v>ewe-oss.de</v>
      </c>
      <c r="C36591" t="s">
        <v>436</v>
      </c>
      <c r="D36591" t="s">
        <v>815</v>
      </c>
      <c r="F36591">
        <v>1.17127623521871E-8</v>
      </c>
      <c r="G36591">
        <v>5358297</v>
      </c>
      <c r="H36591">
        <v>12371510</v>
      </c>
      <c r="I36591">
        <v>19382004</v>
      </c>
      <c r="J36591">
        <v>3</v>
      </c>
    </row>
    <row r="36592" spans="1:10" x14ac:dyDescent="0.25">
      <c r="A36592" t="s">
        <v>396</v>
      </c>
      <c r="B36592" s="1" t="str">
        <f>HYPERLINK("http://frankenluk.de","frankenluk.de")</f>
        <v>frankenluk.de</v>
      </c>
      <c r="C36592" t="s">
        <v>436</v>
      </c>
      <c r="D36592" t="s">
        <v>815</v>
      </c>
      <c r="F36592">
        <v>4.6807635923956697E-9</v>
      </c>
      <c r="G36592">
        <v>42289997</v>
      </c>
      <c r="H36592">
        <v>10853777</v>
      </c>
      <c r="I36592">
        <v>36780509</v>
      </c>
      <c r="J36592">
        <v>3</v>
      </c>
    </row>
    <row r="36593" spans="1:10" x14ac:dyDescent="0.25">
      <c r="A36593" t="s">
        <v>396</v>
      </c>
      <c r="B36593" s="1" t="str">
        <f>HYPERLINK("http://fuerstenberg.de","fuerstenberg.de")</f>
        <v>fuerstenberg.de</v>
      </c>
      <c r="C36593" t="s">
        <v>436</v>
      </c>
      <c r="D36593" t="s">
        <v>815</v>
      </c>
      <c r="F36593">
        <v>8.4077526592401497E-8</v>
      </c>
      <c r="G36593">
        <v>492092</v>
      </c>
      <c r="H36593">
        <v>14561082</v>
      </c>
      <c r="I36593">
        <v>745313</v>
      </c>
      <c r="J36593">
        <v>10</v>
      </c>
    </row>
    <row r="36594" spans="1:10" x14ac:dyDescent="0.25">
      <c r="A36594" t="s">
        <v>396</v>
      </c>
      <c r="B36594" s="1" t="str">
        <f>HYPERLINK("http://fum.de","fum.de")</f>
        <v>fum.de</v>
      </c>
      <c r="C36594" t="s">
        <v>436</v>
      </c>
      <c r="D36594" t="s">
        <v>815</v>
      </c>
      <c r="F36594">
        <v>2.4190936738129101E-8</v>
      </c>
      <c r="G36594">
        <v>2144427</v>
      </c>
      <c r="H36594">
        <v>12902758</v>
      </c>
      <c r="I36594">
        <v>13844296</v>
      </c>
      <c r="J36594">
        <v>6</v>
      </c>
    </row>
    <row r="36595" spans="1:10" x14ac:dyDescent="0.25">
      <c r="A36595" t="s">
        <v>396</v>
      </c>
      <c r="B36595" s="1" t="str">
        <f>HYPERLINK("http://ga-eas.de","ga-eas.de")</f>
        <v>ga-eas.de</v>
      </c>
      <c r="C36595" t="s">
        <v>436</v>
      </c>
      <c r="D36595" t="s">
        <v>815</v>
      </c>
      <c r="F36595">
        <v>4.9068557412729997E-9</v>
      </c>
      <c r="G36595">
        <v>32272056</v>
      </c>
      <c r="H36595">
        <v>9720657</v>
      </c>
      <c r="I36595">
        <v>63176843</v>
      </c>
      <c r="J36595">
        <v>3</v>
      </c>
    </row>
    <row r="36596" spans="1:10" x14ac:dyDescent="0.25">
      <c r="A36596" t="s">
        <v>396</v>
      </c>
      <c r="B36596" s="1" t="str">
        <f>HYPERLINK("http://gruppe-guh.de","gruppe-guh.de")</f>
        <v>gruppe-guh.de</v>
      </c>
      <c r="C36596" t="s">
        <v>436</v>
      </c>
      <c r="D36596" t="s">
        <v>815</v>
      </c>
      <c r="F36596">
        <v>7.4040938460441301E-9</v>
      </c>
      <c r="G36596">
        <v>11234610</v>
      </c>
      <c r="H36596">
        <v>10843708</v>
      </c>
      <c r="I36596">
        <v>37019876</v>
      </c>
      <c r="J36596">
        <v>6</v>
      </c>
    </row>
    <row r="36597" spans="1:10" x14ac:dyDescent="0.25">
      <c r="A36597" t="s">
        <v>396</v>
      </c>
      <c r="B36597" s="1" t="str">
        <f>HYPERLINK("http://guh-bautec.de","guh-bautec.de")</f>
        <v>guh-bautec.de</v>
      </c>
      <c r="C36597" t="s">
        <v>436</v>
      </c>
      <c r="D36597" t="s">
        <v>815</v>
      </c>
      <c r="F36597">
        <v>4.4959171059906499E-9</v>
      </c>
      <c r="G36597">
        <v>59557982</v>
      </c>
      <c r="H36597">
        <v>9988771</v>
      </c>
      <c r="I36597">
        <v>60910788</v>
      </c>
      <c r="J36597">
        <v>3</v>
      </c>
    </row>
    <row r="36598" spans="1:10" x14ac:dyDescent="0.25">
      <c r="A36598" t="s">
        <v>396</v>
      </c>
      <c r="B36598" s="1" t="str">
        <f>HYPERLINK("http://guh-group.de","guh-group.de")</f>
        <v>guh-group.de</v>
      </c>
      <c r="C36598" t="s">
        <v>436</v>
      </c>
      <c r="D36598" t="s">
        <v>815</v>
      </c>
      <c r="J36598">
        <v>4</v>
      </c>
    </row>
    <row r="36599" spans="1:10" x14ac:dyDescent="0.25">
      <c r="A36599" t="s">
        <v>396</v>
      </c>
      <c r="B36599" s="1" t="str">
        <f>HYPERLINK("http://guh-innenausbau.de","guh-innenausbau.de")</f>
        <v>guh-innenausbau.de</v>
      </c>
      <c r="C36599" t="s">
        <v>436</v>
      </c>
      <c r="D36599" t="s">
        <v>815</v>
      </c>
      <c r="F36599">
        <v>9.15134376654726E-9</v>
      </c>
      <c r="G36599">
        <v>7776643</v>
      </c>
      <c r="H36599">
        <v>12833299</v>
      </c>
      <c r="I36599">
        <v>14396357</v>
      </c>
      <c r="J36599">
        <v>5</v>
      </c>
    </row>
    <row r="36600" spans="1:10" x14ac:dyDescent="0.25">
      <c r="A36600" t="s">
        <v>396</v>
      </c>
      <c r="B36600" s="1" t="str">
        <f>HYPERLINK("http://guh-isolierung.de","guh-isolierung.de")</f>
        <v>guh-isolierung.de</v>
      </c>
      <c r="C36600" t="s">
        <v>436</v>
      </c>
      <c r="D36600" t="s">
        <v>815</v>
      </c>
      <c r="F36600">
        <v>6.0080235732723799E-9</v>
      </c>
      <c r="G36600">
        <v>16634519</v>
      </c>
      <c r="H36600">
        <v>12167123</v>
      </c>
      <c r="I36600">
        <v>24142465</v>
      </c>
      <c r="J36600">
        <v>3</v>
      </c>
    </row>
    <row r="36601" spans="1:10" x14ac:dyDescent="0.25">
      <c r="A36601" t="s">
        <v>396</v>
      </c>
      <c r="B36601" s="1" t="str">
        <f>HYPERLINK("http://guh-isolierungen.de","guh-isolierungen.de")</f>
        <v>guh-isolierungen.de</v>
      </c>
      <c r="C36601" t="s">
        <v>436</v>
      </c>
      <c r="D36601" t="s">
        <v>815</v>
      </c>
      <c r="J36601">
        <v>3</v>
      </c>
    </row>
    <row r="36602" spans="1:10" x14ac:dyDescent="0.25">
      <c r="A36602" t="s">
        <v>396</v>
      </c>
      <c r="B36602" s="1" t="str">
        <f>HYPERLINK("http://guh-schallschutz.de","guh-schallschutz.de")</f>
        <v>guh-schallschutz.de</v>
      </c>
      <c r="C36602" t="s">
        <v>436</v>
      </c>
      <c r="D36602" t="s">
        <v>815</v>
      </c>
      <c r="F36602">
        <v>4.4544736667289199E-9</v>
      </c>
      <c r="G36602">
        <v>69723108</v>
      </c>
      <c r="H36602">
        <v>11962709</v>
      </c>
      <c r="I36602">
        <v>28848988</v>
      </c>
      <c r="J36602">
        <v>3</v>
      </c>
    </row>
    <row r="36603" spans="1:10" x14ac:dyDescent="0.25">
      <c r="A36603" t="s">
        <v>396</v>
      </c>
      <c r="B36603" s="1" t="str">
        <f>HYPERLINK("http://hacker-pschorr.de","hacker-pschorr.de")</f>
        <v>hacker-pschorr.de</v>
      </c>
      <c r="C36603" t="s">
        <v>436</v>
      </c>
      <c r="D36603" t="s">
        <v>815</v>
      </c>
      <c r="F36603">
        <v>6.2343466178131903E-8</v>
      </c>
      <c r="G36603">
        <v>704223</v>
      </c>
      <c r="H36603">
        <v>14575012</v>
      </c>
      <c r="I36603">
        <v>731007</v>
      </c>
      <c r="J36603">
        <v>10</v>
      </c>
    </row>
    <row r="36604" spans="1:10" x14ac:dyDescent="0.25">
      <c r="A36604" t="s">
        <v>396</v>
      </c>
      <c r="B36604" s="1" t="str">
        <f>HYPERLINK("http://hoepfner.de","hoepfner.de")</f>
        <v>hoepfner.de</v>
      </c>
      <c r="C36604" t="s">
        <v>436</v>
      </c>
      <c r="D36604" t="s">
        <v>815</v>
      </c>
      <c r="F36604">
        <v>6.5163114737553597E-8</v>
      </c>
      <c r="G36604">
        <v>660807</v>
      </c>
      <c r="H36604">
        <v>14174738</v>
      </c>
      <c r="I36604">
        <v>1792641</v>
      </c>
      <c r="J36604">
        <v>10</v>
      </c>
    </row>
    <row r="36605" spans="1:10" x14ac:dyDescent="0.25">
      <c r="A36605" t="s">
        <v>396</v>
      </c>
      <c r="B36605" s="1" t="str">
        <f>HYPERLINK("http://honold-gmbh.de","honold-gmbh.de")</f>
        <v>honold-gmbh.de</v>
      </c>
      <c r="C36605" t="s">
        <v>436</v>
      </c>
      <c r="D36605" t="s">
        <v>815</v>
      </c>
      <c r="F36605">
        <v>1.04746409561895E-8</v>
      </c>
      <c r="G36605">
        <v>6291608</v>
      </c>
      <c r="H36605">
        <v>12176761</v>
      </c>
      <c r="I36605">
        <v>23890057</v>
      </c>
      <c r="J36605">
        <v>3</v>
      </c>
    </row>
    <row r="36606" spans="1:10" x14ac:dyDescent="0.25">
      <c r="A36606" t="s">
        <v>396</v>
      </c>
      <c r="B36606" s="1" t="str">
        <f>HYPERLINK("http://hopfweisse.de","hopfweisse.de")</f>
        <v>hopfweisse.de</v>
      </c>
      <c r="C36606" t="s">
        <v>436</v>
      </c>
      <c r="D36606" t="s">
        <v>815</v>
      </c>
      <c r="F36606">
        <v>2.0478377069555001E-8</v>
      </c>
      <c r="G36606">
        <v>2587716</v>
      </c>
      <c r="H36606">
        <v>14072762</v>
      </c>
      <c r="I36606">
        <v>3047592</v>
      </c>
      <c r="J36606">
        <v>10</v>
      </c>
    </row>
    <row r="36607" spans="1:10" x14ac:dyDescent="0.25">
      <c r="A36607" t="s">
        <v>396</v>
      </c>
      <c r="B36607" s="1" t="str">
        <f>HYPERLINK("http://horlemann.de","horlemann.de")</f>
        <v>horlemann.de</v>
      </c>
      <c r="C36607" t="s">
        <v>436</v>
      </c>
      <c r="D36607" t="s">
        <v>815</v>
      </c>
      <c r="E36607">
        <v>663558</v>
      </c>
      <c r="F36607">
        <v>9.1578831984630595E-9</v>
      </c>
      <c r="G36607">
        <v>7767656</v>
      </c>
      <c r="H36607">
        <v>12284655</v>
      </c>
      <c r="I36607">
        <v>21216975</v>
      </c>
      <c r="J36607">
        <v>3</v>
      </c>
    </row>
    <row r="36608" spans="1:10" x14ac:dyDescent="0.25">
      <c r="A36608" t="s">
        <v>396</v>
      </c>
      <c r="B36608" s="1" t="str">
        <f>HYPERLINK("http://ibs-sprinkler.de","ibs-sprinkler.de")</f>
        <v>ibs-sprinkler.de</v>
      </c>
      <c r="C36608" t="s">
        <v>436</v>
      </c>
      <c r="D36608" t="s">
        <v>815</v>
      </c>
      <c r="F36608">
        <v>4.4583144886431802E-9</v>
      </c>
      <c r="G36608">
        <v>68294916</v>
      </c>
      <c r="H36608">
        <v>10514287</v>
      </c>
      <c r="I36608">
        <v>49278286</v>
      </c>
      <c r="J36608">
        <v>3</v>
      </c>
    </row>
    <row r="36609" spans="1:10" x14ac:dyDescent="0.25">
      <c r="A36609" t="s">
        <v>396</v>
      </c>
      <c r="B36609" s="1" t="str">
        <f>HYPERLINK("http://ikvs.de","ikvs.de")</f>
        <v>ikvs.de</v>
      </c>
      <c r="C36609" t="s">
        <v>436</v>
      </c>
      <c r="D36609" t="s">
        <v>815</v>
      </c>
      <c r="F36609">
        <v>5.7084453957822698E-8</v>
      </c>
      <c r="G36609">
        <v>781974</v>
      </c>
      <c r="H36609">
        <v>12565923</v>
      </c>
      <c r="I36609">
        <v>16659462</v>
      </c>
      <c r="J36609">
        <v>3</v>
      </c>
    </row>
    <row r="36610" spans="1:10" x14ac:dyDescent="0.25">
      <c r="A36610" t="s">
        <v>396</v>
      </c>
      <c r="B36610" s="1" t="str">
        <f>HYPERLINK("http://inspa-pumpenservice.de","inspa-pumpenservice.de")</f>
        <v>inspa-pumpenservice.de</v>
      </c>
      <c r="C36610" t="s">
        <v>436</v>
      </c>
      <c r="D36610" t="s">
        <v>815</v>
      </c>
      <c r="F36610">
        <v>1.1314079004898899E-8</v>
      </c>
      <c r="G36610">
        <v>5632900</v>
      </c>
      <c r="H36610">
        <v>12185255</v>
      </c>
      <c r="I36610">
        <v>23691732</v>
      </c>
      <c r="J36610">
        <v>3</v>
      </c>
    </row>
    <row r="36611" spans="1:10" x14ac:dyDescent="0.25">
      <c r="A36611" t="s">
        <v>396</v>
      </c>
      <c r="B36611" s="1" t="str">
        <f>HYPERLINK("http://jkurz.de","jkurz.de")</f>
        <v>jkurz.de</v>
      </c>
      <c r="C36611" t="s">
        <v>436</v>
      </c>
      <c r="D36611" t="s">
        <v>815</v>
      </c>
      <c r="F36611">
        <v>9.7005929781331294E-9</v>
      </c>
      <c r="G36611">
        <v>7079789</v>
      </c>
      <c r="H36611">
        <v>13465598</v>
      </c>
      <c r="I36611">
        <v>10061174</v>
      </c>
      <c r="J36611">
        <v>3</v>
      </c>
    </row>
    <row r="36612" spans="1:10" x14ac:dyDescent="0.25">
      <c r="A36612" t="s">
        <v>396</v>
      </c>
      <c r="B36612" s="1" t="str">
        <f>HYPERLINK("http://kappelhoff.de","kappelhoff.de")</f>
        <v>kappelhoff.de</v>
      </c>
      <c r="C36612" t="s">
        <v>436</v>
      </c>
      <c r="D36612" t="s">
        <v>815</v>
      </c>
      <c r="F36612">
        <v>4.4499131004299302E-9</v>
      </c>
      <c r="G36612">
        <v>71974775</v>
      </c>
      <c r="H36612">
        <v>8681572</v>
      </c>
      <c r="I36612">
        <v>70093109</v>
      </c>
      <c r="J36612">
        <v>3</v>
      </c>
    </row>
    <row r="36613" spans="1:10" x14ac:dyDescent="0.25">
      <c r="A36613" t="s">
        <v>396</v>
      </c>
      <c r="B36613" s="1" t="str">
        <f>HYPERLINK("http://kirchhoff-strassenbau.de","kirchhoff-strassenbau.de")</f>
        <v>kirchhoff-strassenbau.de</v>
      </c>
      <c r="C36613" t="s">
        <v>436</v>
      </c>
      <c r="D36613" t="s">
        <v>815</v>
      </c>
      <c r="F36613">
        <v>5.1563307999067498E-9</v>
      </c>
      <c r="G36613">
        <v>25965032</v>
      </c>
      <c r="H36613">
        <v>12015758</v>
      </c>
      <c r="I36613">
        <v>27950150</v>
      </c>
      <c r="J36613">
        <v>7</v>
      </c>
    </row>
    <row r="36614" spans="1:10" x14ac:dyDescent="0.25">
      <c r="A36614" t="s">
        <v>396</v>
      </c>
      <c r="B36614" s="1" t="str">
        <f>HYPERLINK("http://kraftundlicht.de","kraftundlicht.de")</f>
        <v>kraftundlicht.de</v>
      </c>
      <c r="C36614" t="s">
        <v>436</v>
      </c>
      <c r="D36614" t="s">
        <v>815</v>
      </c>
      <c r="F36614">
        <v>4.4945670377693E-9</v>
      </c>
      <c r="G36614">
        <v>59769705</v>
      </c>
      <c r="H36614">
        <v>8551851</v>
      </c>
      <c r="I36614">
        <v>71372100</v>
      </c>
      <c r="J36614">
        <v>3</v>
      </c>
    </row>
    <row r="36615" spans="1:10" x14ac:dyDescent="0.25">
      <c r="A36615" t="s">
        <v>396</v>
      </c>
      <c r="B36615" s="1" t="str">
        <f>HYPERLINK("http://kulmbacher.de","kulmbacher.de")</f>
        <v>kulmbacher.de</v>
      </c>
      <c r="C36615" t="s">
        <v>436</v>
      </c>
      <c r="D36615" t="s">
        <v>815</v>
      </c>
      <c r="E36615">
        <v>907819</v>
      </c>
      <c r="F36615">
        <v>7.3953211530652706E-8</v>
      </c>
      <c r="G36615">
        <v>569358</v>
      </c>
      <c r="H36615">
        <v>14807352</v>
      </c>
      <c r="I36615">
        <v>544435</v>
      </c>
      <c r="J36615">
        <v>10</v>
      </c>
    </row>
    <row r="36616" spans="1:10" x14ac:dyDescent="0.25">
      <c r="A36616" t="s">
        <v>396</v>
      </c>
      <c r="B36616" s="1" t="str">
        <f>HYPERLINK("http://lagrange-egt.de","lagrange-egt.de")</f>
        <v>lagrange-egt.de</v>
      </c>
      <c r="C36616" t="s">
        <v>436</v>
      </c>
      <c r="D36616" t="s">
        <v>815</v>
      </c>
      <c r="F36616">
        <v>4.4712954850942102E-9</v>
      </c>
      <c r="G36616">
        <v>64255519</v>
      </c>
      <c r="H36616">
        <v>10667371</v>
      </c>
      <c r="I36616">
        <v>43053744</v>
      </c>
      <c r="J36616">
        <v>3</v>
      </c>
    </row>
    <row r="36617" spans="1:10" x14ac:dyDescent="0.25">
      <c r="A36617" t="s">
        <v>396</v>
      </c>
      <c r="B36617" s="1" t="str">
        <f>HYPERLINK("http://langer-antriebstechnik.de","langer-antriebstechnik.de")</f>
        <v>langer-antriebstechnik.de</v>
      </c>
      <c r="C36617" t="s">
        <v>436</v>
      </c>
      <c r="D36617" t="s">
        <v>815</v>
      </c>
      <c r="J36617">
        <v>3</v>
      </c>
    </row>
    <row r="36618" spans="1:10" x14ac:dyDescent="0.25">
      <c r="A36618" t="s">
        <v>396</v>
      </c>
      <c r="B36618" s="1" t="str">
        <f>HYPERLINK("http://lausitzer-grauwacke.de","lausitzer-grauwacke.de")</f>
        <v>lausitzer-grauwacke.de</v>
      </c>
      <c r="C36618" t="s">
        <v>436</v>
      </c>
      <c r="D36618" t="s">
        <v>815</v>
      </c>
      <c r="F36618">
        <v>6.43399012987278E-9</v>
      </c>
      <c r="G36618">
        <v>14363995</v>
      </c>
      <c r="H36618">
        <v>12682723</v>
      </c>
      <c r="I36618">
        <v>15474061</v>
      </c>
      <c r="J36618">
        <v>5</v>
      </c>
    </row>
    <row r="36619" spans="1:10" x14ac:dyDescent="0.25">
      <c r="A36619" t="s">
        <v>396</v>
      </c>
      <c r="B36619" s="1" t="str">
        <f>HYPERLINK("http://lynx.de","lynx.de")</f>
        <v>lynx.de</v>
      </c>
      <c r="C36619" t="s">
        <v>436</v>
      </c>
      <c r="D36619" t="s">
        <v>815</v>
      </c>
      <c r="F36619">
        <v>1.37164072509099E-8</v>
      </c>
      <c r="G36619">
        <v>4314578</v>
      </c>
      <c r="H36619">
        <v>13154068</v>
      </c>
      <c r="I36619">
        <v>11810221</v>
      </c>
      <c r="J36619">
        <v>3</v>
      </c>
    </row>
    <row r="36620" spans="1:10" x14ac:dyDescent="0.25">
      <c r="A36620" t="s">
        <v>396</v>
      </c>
      <c r="B36620" s="1" t="str">
        <f>HYPERLINK("http://makadamwerk-schwaben.de","makadamwerk-schwaben.de")</f>
        <v>makadamwerk-schwaben.de</v>
      </c>
      <c r="C36620" t="s">
        <v>436</v>
      </c>
      <c r="D36620" t="s">
        <v>815</v>
      </c>
      <c r="F36620">
        <v>5.84797472897446E-9</v>
      </c>
      <c r="G36620">
        <v>17724013</v>
      </c>
      <c r="H36620">
        <v>10581814</v>
      </c>
      <c r="I36620">
        <v>45777515</v>
      </c>
      <c r="J36620">
        <v>3</v>
      </c>
    </row>
    <row r="36621" spans="1:10" x14ac:dyDescent="0.25">
      <c r="A36621" t="s">
        <v>396</v>
      </c>
      <c r="B36621" s="1" t="str">
        <f>HYPERLINK("http://me-marl.de","me-marl.de")</f>
        <v>me-marl.de</v>
      </c>
      <c r="C36621" t="s">
        <v>436</v>
      </c>
      <c r="D36621" t="s">
        <v>815</v>
      </c>
      <c r="F36621">
        <v>1.05460584382808E-8</v>
      </c>
      <c r="G36621">
        <v>6230274</v>
      </c>
      <c r="H36621">
        <v>11183444</v>
      </c>
      <c r="I36621">
        <v>31406216</v>
      </c>
      <c r="J36621">
        <v>3</v>
      </c>
    </row>
    <row r="36622" spans="1:10" x14ac:dyDescent="0.25">
      <c r="A36622" t="s">
        <v>396</v>
      </c>
      <c r="B36622" s="1" t="str">
        <f>HYPERLINK("http://menterschwaige.de","menterschwaige.de")</f>
        <v>menterschwaige.de</v>
      </c>
      <c r="C36622" t="s">
        <v>436</v>
      </c>
      <c r="D36622" t="s">
        <v>815</v>
      </c>
      <c r="F36622">
        <v>1.32291783464412E-8</v>
      </c>
      <c r="G36622">
        <v>4525402</v>
      </c>
      <c r="H36622">
        <v>13853597</v>
      </c>
      <c r="I36622">
        <v>6048046</v>
      </c>
      <c r="J36622">
        <v>8</v>
      </c>
    </row>
    <row r="36623" spans="1:10" x14ac:dyDescent="0.25">
      <c r="A36623" t="s">
        <v>396</v>
      </c>
      <c r="B36623" s="1" t="str">
        <f>HYPERLINK("http://neo-suite.de","neo-suite.de")</f>
        <v>neo-suite.de</v>
      </c>
      <c r="C36623" t="s">
        <v>436</v>
      </c>
      <c r="D36623" t="s">
        <v>815</v>
      </c>
      <c r="F36623">
        <v>6.8010258417118504E-9</v>
      </c>
      <c r="G36623">
        <v>12955861</v>
      </c>
      <c r="H36623">
        <v>11509980</v>
      </c>
      <c r="I36623">
        <v>30016599</v>
      </c>
      <c r="J36623">
        <v>6</v>
      </c>
    </row>
    <row r="36624" spans="1:10" x14ac:dyDescent="0.25">
      <c r="A36624" t="s">
        <v>396</v>
      </c>
      <c r="B36624" s="1" t="str">
        <f>HYPERLINK("http://nickel-kraftwerke.de","nickel-kraftwerke.de")</f>
        <v>nickel-kraftwerke.de</v>
      </c>
      <c r="C36624" t="s">
        <v>436</v>
      </c>
      <c r="D36624" t="s">
        <v>815</v>
      </c>
      <c r="F36624">
        <v>5.28329756021909E-9</v>
      </c>
      <c r="G36624">
        <v>23742200</v>
      </c>
      <c r="H36624">
        <v>10843533</v>
      </c>
      <c r="I36624">
        <v>37024126</v>
      </c>
      <c r="J36624">
        <v>5</v>
      </c>
    </row>
    <row r="36625" spans="1:10" x14ac:dyDescent="0.25">
      <c r="A36625" t="s">
        <v>396</v>
      </c>
      <c r="B36625" s="1" t="str">
        <f>HYPERLINK("http://ofm.de","ofm.de")</f>
        <v>ofm.de</v>
      </c>
      <c r="C36625" t="s">
        <v>436</v>
      </c>
      <c r="D36625" t="s">
        <v>815</v>
      </c>
      <c r="F36625">
        <v>1.02723666967557E-8</v>
      </c>
      <c r="G36625">
        <v>6477063</v>
      </c>
      <c r="H36625">
        <v>11206886</v>
      </c>
      <c r="I36625">
        <v>31186743</v>
      </c>
      <c r="J36625">
        <v>3</v>
      </c>
    </row>
    <row r="36626" spans="1:10" x14ac:dyDescent="0.25">
      <c r="A36626" t="s">
        <v>396</v>
      </c>
      <c r="B36626" s="1" t="str">
        <f>HYPERLINK("http://omexom.de","omexom.de")</f>
        <v>omexom.de</v>
      </c>
      <c r="C36626" t="s">
        <v>436</v>
      </c>
      <c r="D36626" t="s">
        <v>815</v>
      </c>
      <c r="F36626">
        <v>5.7627557114628598E-8</v>
      </c>
      <c r="G36626">
        <v>773336</v>
      </c>
      <c r="H36626">
        <v>14128265</v>
      </c>
      <c r="I36626">
        <v>2065613</v>
      </c>
      <c r="J36626">
        <v>3</v>
      </c>
    </row>
    <row r="36627" spans="1:10" x14ac:dyDescent="0.25">
      <c r="A36627" t="s">
        <v>396</v>
      </c>
      <c r="B36627" s="1" t="str">
        <f>HYPERLINK("http://pansuevia.de","pansuevia.de")</f>
        <v>pansuevia.de</v>
      </c>
      <c r="C36627" t="s">
        <v>436</v>
      </c>
      <c r="D36627" t="s">
        <v>815</v>
      </c>
      <c r="F36627">
        <v>1.31387906761867E-8</v>
      </c>
      <c r="G36627">
        <v>4566174</v>
      </c>
      <c r="H36627">
        <v>14072088</v>
      </c>
      <c r="I36627">
        <v>3166764</v>
      </c>
      <c r="J36627">
        <v>9</v>
      </c>
    </row>
    <row r="36628" spans="1:10" x14ac:dyDescent="0.25">
      <c r="A36628" t="s">
        <v>396</v>
      </c>
      <c r="B36628" s="1" t="str">
        <f>HYPERLINK("http://paulaner.de","paulaner.de")</f>
        <v>paulaner.de</v>
      </c>
      <c r="C36628" t="s">
        <v>436</v>
      </c>
      <c r="D36628" t="s">
        <v>815</v>
      </c>
      <c r="E36628">
        <v>442013</v>
      </c>
      <c r="F36628">
        <v>1.49538488503026E-7</v>
      </c>
      <c r="G36628">
        <v>259828</v>
      </c>
      <c r="H36628">
        <v>14634573</v>
      </c>
      <c r="I36628">
        <v>641754</v>
      </c>
      <c r="J36628">
        <v>9</v>
      </c>
    </row>
    <row r="36629" spans="1:10" x14ac:dyDescent="0.25">
      <c r="A36629" t="s">
        <v>396</v>
      </c>
      <c r="B36629" s="1" t="str">
        <f>HYPERLINK("http://paulaner-gruppe.de","paulaner-gruppe.de")</f>
        <v>paulaner-gruppe.de</v>
      </c>
      <c r="C36629" t="s">
        <v>436</v>
      </c>
      <c r="D36629" t="s">
        <v>815</v>
      </c>
      <c r="F36629">
        <v>2.82574199581405E-8</v>
      </c>
      <c r="G36629">
        <v>1821430</v>
      </c>
      <c r="H36629">
        <v>14239207</v>
      </c>
      <c r="I36629">
        <v>1515463</v>
      </c>
      <c r="J36629">
        <v>9</v>
      </c>
    </row>
    <row r="36630" spans="1:10" x14ac:dyDescent="0.25">
      <c r="A36630" t="s">
        <v>396</v>
      </c>
      <c r="B36630" s="1" t="str">
        <f>HYPERLINK("http://petersen-beratung.de","petersen-beratung.de")</f>
        <v>petersen-beratung.de</v>
      </c>
      <c r="C36630" t="s">
        <v>436</v>
      </c>
      <c r="D36630" t="s">
        <v>815</v>
      </c>
      <c r="F36630">
        <v>4.56338000950249E-9</v>
      </c>
      <c r="G36630">
        <v>50828950</v>
      </c>
      <c r="H36630">
        <v>12125064</v>
      </c>
      <c r="I36630">
        <v>25278175</v>
      </c>
      <c r="J36630">
        <v>3</v>
      </c>
    </row>
    <row r="36631" spans="1:10" x14ac:dyDescent="0.25">
      <c r="A36631" t="s">
        <v>396</v>
      </c>
      <c r="B36631" s="1" t="str">
        <f>HYPERLINK("http://pms-maintenance.de","pms-maintenance.de")</f>
        <v>pms-maintenance.de</v>
      </c>
      <c r="C36631" t="s">
        <v>436</v>
      </c>
      <c r="D36631" t="s">
        <v>815</v>
      </c>
      <c r="F36631">
        <v>4.81992184780987E-9</v>
      </c>
      <c r="G36631">
        <v>35273419</v>
      </c>
      <c r="H36631">
        <v>10512817</v>
      </c>
      <c r="I36631">
        <v>49381563</v>
      </c>
      <c r="J36631">
        <v>3</v>
      </c>
    </row>
    <row r="36632" spans="1:10" x14ac:dyDescent="0.25">
      <c r="A36632" t="s">
        <v>396</v>
      </c>
      <c r="B36632" s="1" t="str">
        <f>HYPERLINK("http://prok.de","prok.de")</f>
        <v>prok.de</v>
      </c>
      <c r="C36632" t="s">
        <v>436</v>
      </c>
      <c r="D36632" t="s">
        <v>815</v>
      </c>
      <c r="J36632">
        <v>3</v>
      </c>
    </row>
    <row r="36633" spans="1:10" x14ac:dyDescent="0.25">
      <c r="A36633" t="s">
        <v>396</v>
      </c>
      <c r="B36633" s="1" t="str">
        <f>HYPERLINK("http://schmucker-bier.de","schmucker-bier.de")</f>
        <v>schmucker-bier.de</v>
      </c>
      <c r="C36633" t="s">
        <v>436</v>
      </c>
      <c r="D36633" t="s">
        <v>815</v>
      </c>
      <c r="F36633">
        <v>3.4027114059080602E-8</v>
      </c>
      <c r="G36633">
        <v>1521967</v>
      </c>
      <c r="H36633">
        <v>14123460</v>
      </c>
      <c r="I36633">
        <v>2173869</v>
      </c>
      <c r="J36633">
        <v>10</v>
      </c>
    </row>
    <row r="36634" spans="1:10" x14ac:dyDescent="0.25">
      <c r="A36634" t="s">
        <v>396</v>
      </c>
      <c r="B36634" s="1" t="str">
        <f>HYPERLINK("http://schuh-bodentechnik.de","schuh-bodentechnik.de")</f>
        <v>schuh-bodentechnik.de</v>
      </c>
      <c r="C36634" t="s">
        <v>436</v>
      </c>
      <c r="D36634" t="s">
        <v>815</v>
      </c>
      <c r="F36634">
        <v>1.09569856422499E-8</v>
      </c>
      <c r="G36634">
        <v>5898239</v>
      </c>
      <c r="H36634">
        <v>12189808</v>
      </c>
      <c r="I36634">
        <v>23587796</v>
      </c>
      <c r="J36634">
        <v>5</v>
      </c>
    </row>
    <row r="36635" spans="1:10" x14ac:dyDescent="0.25">
      <c r="A36635" t="s">
        <v>396</v>
      </c>
      <c r="B36635" s="1" t="str">
        <f>HYPERLINK("http://sea-duelmen.de","sea-duelmen.de")</f>
        <v>sea-duelmen.de</v>
      </c>
      <c r="C36635" t="s">
        <v>436</v>
      </c>
      <c r="D36635" t="s">
        <v>815</v>
      </c>
      <c r="F36635">
        <v>8.3814280143646E-9</v>
      </c>
      <c r="G36635">
        <v>9081426</v>
      </c>
      <c r="H36635">
        <v>12408077</v>
      </c>
      <c r="I36635">
        <v>18636069</v>
      </c>
      <c r="J36635">
        <v>3</v>
      </c>
    </row>
    <row r="36636" spans="1:10" x14ac:dyDescent="0.25">
      <c r="A36636" t="s">
        <v>396</v>
      </c>
      <c r="B36636" s="1" t="str">
        <f>HYPERLINK("http://ske-group.de","ske-group.de")</f>
        <v>ske-group.de</v>
      </c>
      <c r="C36636" t="s">
        <v>436</v>
      </c>
      <c r="D36636" t="s">
        <v>815</v>
      </c>
      <c r="F36636">
        <v>4.5121935253114403E-9</v>
      </c>
      <c r="G36636">
        <v>57219288</v>
      </c>
      <c r="H36636">
        <v>12222068</v>
      </c>
      <c r="I36636">
        <v>22743692</v>
      </c>
      <c r="J36636">
        <v>4</v>
      </c>
    </row>
    <row r="36637" spans="1:10" x14ac:dyDescent="0.25">
      <c r="A36637" t="s">
        <v>396</v>
      </c>
      <c r="B36637" s="1" t="str">
        <f>HYPERLINK("http://sntde.de","sntde.de")</f>
        <v>sntde.de</v>
      </c>
      <c r="C36637" t="s">
        <v>436</v>
      </c>
      <c r="D36637" t="s">
        <v>815</v>
      </c>
      <c r="F36637">
        <v>2.7736260674914901E-8</v>
      </c>
      <c r="G36637">
        <v>1853937</v>
      </c>
      <c r="H36637">
        <v>13142501</v>
      </c>
      <c r="I36637">
        <v>11868084</v>
      </c>
      <c r="J36637">
        <v>3</v>
      </c>
    </row>
    <row r="36638" spans="1:10" x14ac:dyDescent="0.25">
      <c r="A36638" t="s">
        <v>396</v>
      </c>
      <c r="B36638" s="1" t="str">
        <f>HYPERLINK("http://stingl-online.de","stingl-online.de")</f>
        <v>stingl-online.de</v>
      </c>
      <c r="C36638" t="s">
        <v>436</v>
      </c>
      <c r="D36638" t="s">
        <v>815</v>
      </c>
      <c r="F36638">
        <v>1.3177229315955999E-8</v>
      </c>
      <c r="G36638">
        <v>4548491</v>
      </c>
      <c r="H36638">
        <v>12989949</v>
      </c>
      <c r="I36638">
        <v>12860124</v>
      </c>
      <c r="J36638">
        <v>3</v>
      </c>
    </row>
    <row r="36639" spans="1:10" x14ac:dyDescent="0.25">
      <c r="A36639" t="s">
        <v>396</v>
      </c>
      <c r="B36639" s="1" t="str">
        <f>HYPERLINK("http://strabag.de","strabag.de")</f>
        <v>strabag.de</v>
      </c>
      <c r="C36639" t="s">
        <v>436</v>
      </c>
      <c r="D36639" t="s">
        <v>815</v>
      </c>
      <c r="E36639">
        <v>770929</v>
      </c>
      <c r="F36639">
        <v>1.4929563062235899E-7</v>
      </c>
      <c r="G36639">
        <v>260275</v>
      </c>
      <c r="H36639">
        <v>14770282</v>
      </c>
      <c r="I36639">
        <v>557684</v>
      </c>
      <c r="J36639">
        <v>6</v>
      </c>
    </row>
    <row r="36640" spans="1:10" x14ac:dyDescent="0.25">
      <c r="A36640" t="s">
        <v>396</v>
      </c>
      <c r="B36640" s="1" t="str">
        <f>HYPERLINK("http://strabag-pfs.de","strabag-pfs.de")</f>
        <v>strabag-pfs.de</v>
      </c>
      <c r="C36640" t="s">
        <v>436</v>
      </c>
      <c r="D36640" t="s">
        <v>815</v>
      </c>
      <c r="F36640">
        <v>4.62629864259128E-8</v>
      </c>
      <c r="G36640">
        <v>1012240</v>
      </c>
      <c r="H36640">
        <v>13800692</v>
      </c>
      <c r="I36640">
        <v>6278048</v>
      </c>
      <c r="J36640">
        <v>7</v>
      </c>
    </row>
    <row r="36641" spans="1:10" x14ac:dyDescent="0.25">
      <c r="A36641" t="s">
        <v>396</v>
      </c>
      <c r="B36641" s="1" t="str">
        <f>HYPERLINK("http://vinci-deutschland.de","vinci-deutschland.de")</f>
        <v>vinci-deutschland.de</v>
      </c>
      <c r="C36641" t="s">
        <v>436</v>
      </c>
      <c r="D36641" t="s">
        <v>815</v>
      </c>
      <c r="J36641">
        <v>4</v>
      </c>
    </row>
    <row r="36642" spans="1:10" x14ac:dyDescent="0.25">
      <c r="A36642" t="s">
        <v>396</v>
      </c>
      <c r="B36642" s="1" t="str">
        <f>HYPERLINK("http://vinci-energies.de","vinci-energies.de")</f>
        <v>vinci-energies.de</v>
      </c>
      <c r="C36642" t="s">
        <v>436</v>
      </c>
      <c r="D36642" t="s">
        <v>815</v>
      </c>
      <c r="F36642">
        <v>7.7741867138164801E-8</v>
      </c>
      <c r="G36642">
        <v>538262</v>
      </c>
      <c r="H36642">
        <v>12716867</v>
      </c>
      <c r="I36642">
        <v>15268121</v>
      </c>
      <c r="J36642">
        <v>2</v>
      </c>
    </row>
    <row r="36643" spans="1:10" x14ac:dyDescent="0.25">
      <c r="A36643" t="s">
        <v>396</v>
      </c>
      <c r="B36643" s="1" t="str">
        <f>HYPERLINK("http://vinci-facilities.de","vinci-facilities.de")</f>
        <v>vinci-facilities.de</v>
      </c>
      <c r="C36643" t="s">
        <v>436</v>
      </c>
      <c r="D36643" t="s">
        <v>815</v>
      </c>
      <c r="F36643">
        <v>2.24670929446404E-8</v>
      </c>
      <c r="G36643">
        <v>2332221</v>
      </c>
      <c r="H36643">
        <v>11530225</v>
      </c>
      <c r="I36643">
        <v>29992838</v>
      </c>
      <c r="J36643">
        <v>3</v>
      </c>
    </row>
    <row r="36644" spans="1:10" x14ac:dyDescent="0.25">
      <c r="A36644" t="s">
        <v>396</v>
      </c>
      <c r="B36644" s="1" t="str">
        <f>HYPERLINK("http://warmboldteam.de","warmboldteam.de")</f>
        <v>warmboldteam.de</v>
      </c>
      <c r="C36644" t="s">
        <v>436</v>
      </c>
      <c r="D36644" t="s">
        <v>815</v>
      </c>
      <c r="F36644">
        <v>6.9220961761538098E-9</v>
      </c>
      <c r="G36644">
        <v>12551434</v>
      </c>
      <c r="H36644">
        <v>11196066</v>
      </c>
      <c r="I36644">
        <v>31305364</v>
      </c>
      <c r="J36644">
        <v>3</v>
      </c>
    </row>
    <row r="36645" spans="1:10" x14ac:dyDescent="0.25">
      <c r="A36645" t="s">
        <v>396</v>
      </c>
      <c r="B36645" s="1" t="str">
        <f>HYPERLINK("http://werhahn.de","werhahn.de")</f>
        <v>werhahn.de</v>
      </c>
      <c r="C36645" t="s">
        <v>436</v>
      </c>
      <c r="D36645" t="s">
        <v>815</v>
      </c>
      <c r="F36645">
        <v>2.34108900773981E-8</v>
      </c>
      <c r="G36645">
        <v>2224489</v>
      </c>
      <c r="H36645">
        <v>14122569</v>
      </c>
      <c r="I36645">
        <v>2206126</v>
      </c>
      <c r="J36645">
        <v>8</v>
      </c>
    </row>
    <row r="36646" spans="1:10" x14ac:dyDescent="0.25">
      <c r="A36646" t="s">
        <v>396</v>
      </c>
      <c r="B36646" s="1" t="str">
        <f>HYPERLINK("http://werhahnbank.de","werhahnbank.de")</f>
        <v>werhahnbank.de</v>
      </c>
      <c r="C36646" t="s">
        <v>436</v>
      </c>
      <c r="D36646" t="s">
        <v>815</v>
      </c>
      <c r="F36646">
        <v>4.7921822773067104E-9</v>
      </c>
      <c r="G36646">
        <v>36398765</v>
      </c>
      <c r="H36646">
        <v>11977287</v>
      </c>
      <c r="I36646">
        <v>28536392</v>
      </c>
      <c r="J36646">
        <v>13</v>
      </c>
    </row>
    <row r="36647" spans="1:10" x14ac:dyDescent="0.25">
      <c r="A36647" t="s">
        <v>396</v>
      </c>
      <c r="B36647" s="1" t="str">
        <f>HYPERLINK("http://wrede-niedecken.de","wrede-niedecken.de")</f>
        <v>wrede-niedecken.de</v>
      </c>
      <c r="C36647" t="s">
        <v>436</v>
      </c>
      <c r="D36647" t="s">
        <v>815</v>
      </c>
      <c r="F36647">
        <v>5.1670719671616698E-9</v>
      </c>
      <c r="G36647">
        <v>25775958</v>
      </c>
      <c r="H36647">
        <v>9668897</v>
      </c>
      <c r="I36647">
        <v>63738601</v>
      </c>
      <c r="J36647">
        <v>3</v>
      </c>
    </row>
    <row r="36648" spans="1:10" x14ac:dyDescent="0.25">
      <c r="A36648" t="s">
        <v>396</v>
      </c>
      <c r="B36648" s="1" t="str">
        <f>HYPERLINK("http://wuerzburger-hofbraeu.de","wuerzburger-hofbraeu.de")</f>
        <v>wuerzburger-hofbraeu.de</v>
      </c>
      <c r="C36648" t="s">
        <v>436</v>
      </c>
      <c r="D36648" t="s">
        <v>815</v>
      </c>
      <c r="F36648">
        <v>4.4853103588826502E-8</v>
      </c>
      <c r="G36648">
        <v>1053982</v>
      </c>
      <c r="H36648">
        <v>14198007</v>
      </c>
      <c r="I36648">
        <v>1729667</v>
      </c>
      <c r="J36648">
        <v>11</v>
      </c>
    </row>
    <row r="36649" spans="1:10" x14ac:dyDescent="0.25">
      <c r="A36649" t="s">
        <v>396</v>
      </c>
      <c r="B36649" s="1" t="str">
        <f>HYPERLINK("http://zueblin.de","zueblin.de")</f>
        <v>zueblin.de</v>
      </c>
      <c r="C36649" t="s">
        <v>436</v>
      </c>
      <c r="D36649" t="s">
        <v>815</v>
      </c>
      <c r="E36649">
        <v>523986</v>
      </c>
      <c r="F36649">
        <v>1.66546477966196E-7</v>
      </c>
      <c r="G36649">
        <v>233029</v>
      </c>
      <c r="H36649">
        <v>14394407</v>
      </c>
      <c r="I36649">
        <v>1161892</v>
      </c>
      <c r="J36649">
        <v>7</v>
      </c>
    </row>
    <row r="36650" spans="1:10" x14ac:dyDescent="0.25">
      <c r="A36650" t="s">
        <v>396</v>
      </c>
      <c r="B36650" s="1" t="str">
        <f>HYPERLINK("http://dansksprinklerteknik.dk","dansksprinklerteknik.dk")</f>
        <v>dansksprinklerteknik.dk</v>
      </c>
      <c r="C36650" t="s">
        <v>437</v>
      </c>
      <c r="D36650" t="s">
        <v>816</v>
      </c>
      <c r="F36650">
        <v>7.0855624042876403E-9</v>
      </c>
      <c r="G36650">
        <v>12056150</v>
      </c>
      <c r="H36650">
        <v>12200109</v>
      </c>
      <c r="I36650">
        <v>23315525</v>
      </c>
      <c r="J36650">
        <v>3</v>
      </c>
    </row>
    <row r="36651" spans="1:10" x14ac:dyDescent="0.25">
      <c r="A36651" t="s">
        <v>396</v>
      </c>
      <c r="B36651" s="1" t="str">
        <f>HYPERLINK("http://vinci-energies.dk","vinci-energies.dk")</f>
        <v>vinci-energies.dk</v>
      </c>
      <c r="C36651" t="s">
        <v>437</v>
      </c>
      <c r="D36651" t="s">
        <v>816</v>
      </c>
      <c r="F36651">
        <v>1.0730376800619199E-8</v>
      </c>
      <c r="G36651">
        <v>6075465</v>
      </c>
      <c r="H36651">
        <v>12079818</v>
      </c>
      <c r="I36651">
        <v>26568501</v>
      </c>
      <c r="J36651">
        <v>4</v>
      </c>
    </row>
    <row r="36652" spans="1:10" x14ac:dyDescent="0.25">
      <c r="A36652" t="s">
        <v>396</v>
      </c>
      <c r="B36652" s="1" t="str">
        <f>HYPERLINK("http://vincinordicfoundation.dk","vincinordicfoundation.dk")</f>
        <v>vincinordicfoundation.dk</v>
      </c>
      <c r="C36652" t="s">
        <v>437</v>
      </c>
      <c r="D36652" t="s">
        <v>816</v>
      </c>
      <c r="F36652">
        <v>6.3684149784251397E-9</v>
      </c>
      <c r="G36652">
        <v>14673386</v>
      </c>
      <c r="H36652">
        <v>9402878</v>
      </c>
      <c r="I36652">
        <v>67228378</v>
      </c>
      <c r="J36652">
        <v>6</v>
      </c>
    </row>
    <row r="36653" spans="1:10" x14ac:dyDescent="0.25">
      <c r="A36653" t="s">
        <v>396</v>
      </c>
      <c r="B36653" s="1" t="str">
        <f>HYPERLINK("http://trev2.ee","trev2.ee")</f>
        <v>trev2.ee</v>
      </c>
      <c r="C36653" t="s">
        <v>441</v>
      </c>
      <c r="D36653" t="s">
        <v>820</v>
      </c>
      <c r="F36653">
        <v>1.8303583876295701E-8</v>
      </c>
      <c r="G36653">
        <v>2966737</v>
      </c>
      <c r="H36653">
        <v>14072111</v>
      </c>
      <c r="I36653">
        <v>3161082</v>
      </c>
      <c r="J36653">
        <v>3</v>
      </c>
    </row>
    <row r="36654" spans="1:10" x14ac:dyDescent="0.25">
      <c r="A36654" t="s">
        <v>396</v>
      </c>
      <c r="B36654" s="1" t="str">
        <f>HYPERLINK("http://actemium.es","actemium.es")</f>
        <v>actemium.es</v>
      </c>
      <c r="C36654" t="s">
        <v>443</v>
      </c>
      <c r="D36654" t="s">
        <v>822</v>
      </c>
      <c r="F36654">
        <v>8.1568620038232806E-9</v>
      </c>
      <c r="G36654">
        <v>9644542</v>
      </c>
      <c r="H36654">
        <v>12424670</v>
      </c>
      <c r="I36654">
        <v>18379074</v>
      </c>
      <c r="J36654">
        <v>5</v>
      </c>
    </row>
    <row r="36655" spans="1:10" x14ac:dyDescent="0.25">
      <c r="A36655" t="s">
        <v>396</v>
      </c>
      <c r="B36655" s="1" t="str">
        <f>HYPERLINK("http://axians.es","axians.es")</f>
        <v>axians.es</v>
      </c>
      <c r="C36655" t="s">
        <v>443</v>
      </c>
      <c r="D36655" t="s">
        <v>822</v>
      </c>
      <c r="F36655">
        <v>1.59693448952849E-8</v>
      </c>
      <c r="G36655">
        <v>3554242</v>
      </c>
      <c r="H36655">
        <v>12466617</v>
      </c>
      <c r="I36655">
        <v>17796615</v>
      </c>
      <c r="J36655">
        <v>4</v>
      </c>
    </row>
    <row r="36656" spans="1:10" x14ac:dyDescent="0.25">
      <c r="A36656" t="s">
        <v>396</v>
      </c>
      <c r="B36656" s="1" t="str">
        <f>HYPERLINK("http://etra.es","etra.es")</f>
        <v>etra.es</v>
      </c>
      <c r="C36656" t="s">
        <v>443</v>
      </c>
      <c r="D36656" t="s">
        <v>822</v>
      </c>
      <c r="F36656">
        <v>2.4754817652714401E-8</v>
      </c>
      <c r="G36656">
        <v>2089463</v>
      </c>
      <c r="H36656">
        <v>12686406</v>
      </c>
      <c r="I36656">
        <v>15446515</v>
      </c>
      <c r="J36656">
        <v>3</v>
      </c>
    </row>
    <row r="36657" spans="1:10" x14ac:dyDescent="0.25">
      <c r="A36657" t="s">
        <v>396</v>
      </c>
      <c r="B36657" s="1" t="str">
        <f>HYPERLINK("http://freyssinet.es","freyssinet.es")</f>
        <v>freyssinet.es</v>
      </c>
      <c r="C36657" t="s">
        <v>443</v>
      </c>
      <c r="D36657" t="s">
        <v>822</v>
      </c>
      <c r="F36657">
        <v>1.2630797611171201E-8</v>
      </c>
      <c r="G36657">
        <v>4815296</v>
      </c>
      <c r="H36657">
        <v>14072042</v>
      </c>
      <c r="I36657">
        <v>3179853</v>
      </c>
      <c r="J36657">
        <v>5</v>
      </c>
    </row>
    <row r="36658" spans="1:10" x14ac:dyDescent="0.25">
      <c r="A36658" t="s">
        <v>396</v>
      </c>
      <c r="B36658" s="1" t="str">
        <f>HYPERLINK("http://hidrogestion.es","hidrogestion.es")</f>
        <v>hidrogestion.es</v>
      </c>
      <c r="C36658" t="s">
        <v>443</v>
      </c>
      <c r="D36658" t="s">
        <v>822</v>
      </c>
      <c r="F36658">
        <v>5.1198120204645602E-9</v>
      </c>
      <c r="G36658">
        <v>26661472</v>
      </c>
      <c r="H36658">
        <v>10741587</v>
      </c>
      <c r="I36658">
        <v>40364436</v>
      </c>
      <c r="J36658">
        <v>5</v>
      </c>
    </row>
    <row r="36659" spans="1:10" x14ac:dyDescent="0.25">
      <c r="A36659" t="s">
        <v>396</v>
      </c>
      <c r="B36659" s="1" t="str">
        <f>HYPERLINK("http://initec-energia.es","initec-energia.es")</f>
        <v>initec-energia.es</v>
      </c>
      <c r="C36659" t="s">
        <v>443</v>
      </c>
      <c r="D36659" t="s">
        <v>822</v>
      </c>
      <c r="F36659">
        <v>5.5914120944308701E-9</v>
      </c>
      <c r="G36659">
        <v>19939798</v>
      </c>
      <c r="H36659">
        <v>12271940</v>
      </c>
      <c r="I36659">
        <v>21480295</v>
      </c>
      <c r="J36659">
        <v>5</v>
      </c>
    </row>
    <row r="36660" spans="1:10" x14ac:dyDescent="0.25">
      <c r="A36660" t="s">
        <v>396</v>
      </c>
      <c r="B36660" s="1" t="str">
        <f>HYPERLINK("http://makiber.es","makiber.es")</f>
        <v>makiber.es</v>
      </c>
      <c r="C36660" t="s">
        <v>443</v>
      </c>
      <c r="D36660" t="s">
        <v>822</v>
      </c>
      <c r="F36660">
        <v>4.9104332100753102E-9</v>
      </c>
      <c r="G36660">
        <v>32164916</v>
      </c>
      <c r="H36660">
        <v>11140591</v>
      </c>
      <c r="I36660">
        <v>31829703</v>
      </c>
      <c r="J36660">
        <v>5</v>
      </c>
    </row>
    <row r="36661" spans="1:10" x14ac:dyDescent="0.25">
      <c r="A36661" t="s">
        <v>396</v>
      </c>
      <c r="B36661" s="1" t="str">
        <f>HYPERLINK("http://omexom.es","omexom.es")</f>
        <v>omexom.es</v>
      </c>
      <c r="C36661" t="s">
        <v>443</v>
      </c>
      <c r="D36661" t="s">
        <v>822</v>
      </c>
      <c r="F36661">
        <v>2.7793302607936599E-8</v>
      </c>
      <c r="G36661">
        <v>1850223</v>
      </c>
      <c r="H36661">
        <v>11185263</v>
      </c>
      <c r="I36661">
        <v>31391588</v>
      </c>
      <c r="J36661">
        <v>4</v>
      </c>
    </row>
    <row r="36662" spans="1:10" x14ac:dyDescent="0.25">
      <c r="A36662" t="s">
        <v>396</v>
      </c>
      <c r="B36662" s="1" t="str">
        <f>HYPERLINK("http://vinci-energies.es","vinci-energies.es")</f>
        <v>vinci-energies.es</v>
      </c>
      <c r="C36662" t="s">
        <v>443</v>
      </c>
      <c r="D36662" t="s">
        <v>822</v>
      </c>
      <c r="F36662">
        <v>1.7974285223200501E-8</v>
      </c>
      <c r="G36662">
        <v>3038010</v>
      </c>
      <c r="H36662">
        <v>12469283</v>
      </c>
      <c r="I36662">
        <v>17766847</v>
      </c>
      <c r="J36662">
        <v>3</v>
      </c>
    </row>
    <row r="36663" spans="1:10" x14ac:dyDescent="0.25">
      <c r="A36663" t="s">
        <v>396</v>
      </c>
      <c r="B36663" s="1" t="str">
        <f>HYPERLINK("http://eurosprinkler.eu","eurosprinkler.eu")</f>
        <v>eurosprinkler.eu</v>
      </c>
      <c r="C36663" t="s">
        <v>444</v>
      </c>
      <c r="F36663">
        <v>8.7977872676579995E-9</v>
      </c>
      <c r="G36663">
        <v>8314395</v>
      </c>
      <c r="H36663">
        <v>11282281</v>
      </c>
      <c r="I36663">
        <v>30697343</v>
      </c>
      <c r="J36663">
        <v>3</v>
      </c>
    </row>
    <row r="36664" spans="1:10" x14ac:dyDescent="0.25">
      <c r="A36664" t="s">
        <v>396</v>
      </c>
      <c r="B36664" s="1" t="str">
        <f>HYPERLINK("http://izen.eu","izen.eu")</f>
        <v>izen.eu</v>
      </c>
      <c r="C36664" t="s">
        <v>444</v>
      </c>
      <c r="F36664">
        <v>1.5767081796595501E-8</v>
      </c>
      <c r="G36664">
        <v>3608943</v>
      </c>
      <c r="H36664">
        <v>12517115</v>
      </c>
      <c r="I36664">
        <v>17177015</v>
      </c>
      <c r="J36664">
        <v>3</v>
      </c>
    </row>
    <row r="36665" spans="1:10" x14ac:dyDescent="0.25">
      <c r="A36665" t="s">
        <v>396</v>
      </c>
      <c r="B36665" s="1" t="str">
        <f>HYPERLINK("http://ske.eu","ske.eu")</f>
        <v>ske.eu</v>
      </c>
      <c r="C36665" t="s">
        <v>444</v>
      </c>
      <c r="F36665">
        <v>4.7638846449718099E-9</v>
      </c>
      <c r="G36665">
        <v>37644403</v>
      </c>
      <c r="H36665">
        <v>9371274</v>
      </c>
      <c r="I36665">
        <v>67692524</v>
      </c>
      <c r="J36665">
        <v>3</v>
      </c>
    </row>
    <row r="36666" spans="1:10" x14ac:dyDescent="0.25">
      <c r="A36666" t="s">
        <v>396</v>
      </c>
      <c r="B36666" s="1" t="str">
        <f>HYPERLINK("http://ske-fmg.eu","ske-fmg.eu")</f>
        <v>ske-fmg.eu</v>
      </c>
      <c r="C36666" t="s">
        <v>444</v>
      </c>
      <c r="F36666">
        <v>4.44380395335525E-9</v>
      </c>
      <c r="G36666">
        <v>84758322</v>
      </c>
      <c r="H36666">
        <v>0</v>
      </c>
      <c r="I36666">
        <v>85868973</v>
      </c>
      <c r="J36666">
        <v>3</v>
      </c>
    </row>
    <row r="36667" spans="1:10" x14ac:dyDescent="0.25">
      <c r="A36667" t="s">
        <v>396</v>
      </c>
      <c r="B36667" s="1" t="str">
        <f>HYPERLINK("http://axians.fi","axians.fi")</f>
        <v>axians.fi</v>
      </c>
      <c r="C36667" t="s">
        <v>445</v>
      </c>
      <c r="D36667" t="s">
        <v>823</v>
      </c>
      <c r="F36667">
        <v>6.0076587651082102E-9</v>
      </c>
      <c r="G36667">
        <v>16636661</v>
      </c>
      <c r="H36667">
        <v>10693138</v>
      </c>
      <c r="I36667">
        <v>42444061</v>
      </c>
      <c r="J36667">
        <v>4</v>
      </c>
    </row>
    <row r="36668" spans="1:10" x14ac:dyDescent="0.25">
      <c r="A36668" t="s">
        <v>396</v>
      </c>
      <c r="B36668" s="1" t="str">
        <f>HYPERLINK("http://infratek.fi","infratek.fi")</f>
        <v>infratek.fi</v>
      </c>
      <c r="C36668" t="s">
        <v>445</v>
      </c>
      <c r="D36668" t="s">
        <v>823</v>
      </c>
      <c r="F36668">
        <v>5.5146576540220203E-9</v>
      </c>
      <c r="G36668">
        <v>20743352</v>
      </c>
      <c r="H36668">
        <v>9967706</v>
      </c>
      <c r="I36668">
        <v>61081928</v>
      </c>
      <c r="J36668">
        <v>5</v>
      </c>
    </row>
    <row r="36669" spans="1:10" x14ac:dyDescent="0.25">
      <c r="A36669" t="s">
        <v>396</v>
      </c>
      <c r="B36669" s="1" t="str">
        <f>HYPERLINK("http://luokkahitsarit.fi","luokkahitsarit.fi")</f>
        <v>luokkahitsarit.fi</v>
      </c>
      <c r="C36669" t="s">
        <v>445</v>
      </c>
      <c r="D36669" t="s">
        <v>823</v>
      </c>
      <c r="J36669">
        <v>5</v>
      </c>
    </row>
    <row r="36670" spans="1:10" x14ac:dyDescent="0.25">
      <c r="A36670" t="s">
        <v>396</v>
      </c>
      <c r="B36670" s="1" t="str">
        <f>HYPERLINK("http://omexom.fi","omexom.fi")</f>
        <v>omexom.fi</v>
      </c>
      <c r="C36670" t="s">
        <v>445</v>
      </c>
      <c r="D36670" t="s">
        <v>823</v>
      </c>
      <c r="F36670">
        <v>1.34781276422759E-8</v>
      </c>
      <c r="G36670">
        <v>4413145</v>
      </c>
      <c r="H36670">
        <v>12431840</v>
      </c>
      <c r="I36670">
        <v>18274551</v>
      </c>
      <c r="J36670">
        <v>3</v>
      </c>
    </row>
    <row r="36671" spans="1:10" x14ac:dyDescent="0.25">
      <c r="A36671" t="s">
        <v>396</v>
      </c>
      <c r="B36671" s="1" t="str">
        <f>HYPERLINK("http://omexom-institute.fi","omexom-institute.fi")</f>
        <v>omexom-institute.fi</v>
      </c>
      <c r="C36671" t="s">
        <v>445</v>
      </c>
      <c r="D36671" t="s">
        <v>823</v>
      </c>
      <c r="J36671">
        <v>5</v>
      </c>
    </row>
    <row r="36672" spans="1:10" x14ac:dyDescent="0.25">
      <c r="A36672" t="s">
        <v>396</v>
      </c>
      <c r="B36672" s="1" t="str">
        <f>HYPERLINK("http://omexominstitute.fi","omexominstitute.fi")</f>
        <v>omexominstitute.fi</v>
      </c>
      <c r="C36672" t="s">
        <v>445</v>
      </c>
      <c r="D36672" t="s">
        <v>823</v>
      </c>
      <c r="J36672">
        <v>5</v>
      </c>
    </row>
    <row r="36673" spans="1:10" x14ac:dyDescent="0.25">
      <c r="A36673" t="s">
        <v>396</v>
      </c>
      <c r="B36673" s="1" t="str">
        <f>HYPERLINK("http://pwr.fi","pwr.fi")</f>
        <v>pwr.fi</v>
      </c>
      <c r="C36673" t="s">
        <v>445</v>
      </c>
      <c r="D36673" t="s">
        <v>823</v>
      </c>
      <c r="F36673">
        <v>4.6627744265662803E-9</v>
      </c>
      <c r="G36673">
        <v>43355160</v>
      </c>
      <c r="H36673">
        <v>11884854</v>
      </c>
      <c r="I36673">
        <v>29574751</v>
      </c>
      <c r="J36673">
        <v>5</v>
      </c>
    </row>
    <row r="36674" spans="1:10" x14ac:dyDescent="0.25">
      <c r="A36674" t="s">
        <v>396</v>
      </c>
      <c r="B36674" s="1" t="str">
        <f>HYPERLINK("http://tlt-c.fi","tlt-c.fi")</f>
        <v>tlt-c.fi</v>
      </c>
      <c r="C36674" t="s">
        <v>445</v>
      </c>
      <c r="D36674" t="s">
        <v>823</v>
      </c>
      <c r="F36674">
        <v>4.5380630068768802E-9</v>
      </c>
      <c r="G36674">
        <v>53560937</v>
      </c>
      <c r="H36674">
        <v>9403089</v>
      </c>
      <c r="I36674">
        <v>67224716</v>
      </c>
      <c r="J36674">
        <v>4</v>
      </c>
    </row>
    <row r="36675" spans="1:10" x14ac:dyDescent="0.25">
      <c r="A36675" t="s">
        <v>396</v>
      </c>
      <c r="B36675" s="1" t="str">
        <f>HYPERLINK("http://tlt-group.fi","tlt-group.fi")</f>
        <v>tlt-group.fi</v>
      </c>
      <c r="C36675" t="s">
        <v>445</v>
      </c>
      <c r="D36675" t="s">
        <v>823</v>
      </c>
      <c r="J36675">
        <v>5</v>
      </c>
    </row>
    <row r="36676" spans="1:10" x14ac:dyDescent="0.25">
      <c r="A36676" t="s">
        <v>396</v>
      </c>
      <c r="B36676" s="1" t="str">
        <f>HYPERLINK("http://tltgroup.fi","tltgroup.fi")</f>
        <v>tltgroup.fi</v>
      </c>
      <c r="C36676" t="s">
        <v>445</v>
      </c>
      <c r="D36676" t="s">
        <v>823</v>
      </c>
      <c r="F36676">
        <v>6.88561993552526E-9</v>
      </c>
      <c r="G36676">
        <v>12679048</v>
      </c>
      <c r="H36676">
        <v>12365198</v>
      </c>
      <c r="I36676">
        <v>19495772</v>
      </c>
      <c r="J36676">
        <v>3</v>
      </c>
    </row>
    <row r="36677" spans="1:10" x14ac:dyDescent="0.25">
      <c r="A36677" t="s">
        <v>396</v>
      </c>
      <c r="B36677" s="1" t="str">
        <f>HYPERLINK("http://truyubeauty.fi","truyubeauty.fi")</f>
        <v>truyubeauty.fi</v>
      </c>
      <c r="C36677" t="s">
        <v>445</v>
      </c>
      <c r="D36677" t="s">
        <v>823</v>
      </c>
      <c r="J36677">
        <v>14</v>
      </c>
    </row>
    <row r="36678" spans="1:10" x14ac:dyDescent="0.25">
      <c r="A36678" t="s">
        <v>396</v>
      </c>
      <c r="B36678" s="1" t="str">
        <f>HYPERLINK("http://turunlinjatekniikka.fi","turunlinjatekniikka.fi")</f>
        <v>turunlinjatekniikka.fi</v>
      </c>
      <c r="C36678" t="s">
        <v>445</v>
      </c>
      <c r="D36678" t="s">
        <v>823</v>
      </c>
      <c r="J36678">
        <v>5</v>
      </c>
    </row>
    <row r="36679" spans="1:10" x14ac:dyDescent="0.25">
      <c r="A36679" t="s">
        <v>396</v>
      </c>
      <c r="B36679" s="1" t="str">
        <f>HYPERLINK("http://tweezerman.fi","tweezerman.fi")</f>
        <v>tweezerman.fi</v>
      </c>
      <c r="C36679" t="s">
        <v>445</v>
      </c>
      <c r="D36679" t="s">
        <v>823</v>
      </c>
      <c r="J36679">
        <v>11</v>
      </c>
    </row>
    <row r="36680" spans="1:10" x14ac:dyDescent="0.25">
      <c r="A36680" t="s">
        <v>396</v>
      </c>
      <c r="B36680" s="1" t="str">
        <f>HYPERLINK("http://vincinordicfoundation.fi","vincinordicfoundation.fi")</f>
        <v>vincinordicfoundation.fi</v>
      </c>
      <c r="C36680" t="s">
        <v>445</v>
      </c>
      <c r="D36680" t="s">
        <v>823</v>
      </c>
      <c r="F36680">
        <v>6.1740727268495403E-9</v>
      </c>
      <c r="G36680">
        <v>15671151</v>
      </c>
      <c r="H36680">
        <v>8783218</v>
      </c>
      <c r="I36680">
        <v>69477893</v>
      </c>
      <c r="J36680">
        <v>5</v>
      </c>
    </row>
    <row r="36681" spans="1:10" x14ac:dyDescent="0.25">
      <c r="A36681" t="s">
        <v>396</v>
      </c>
      <c r="B36681" s="1" t="str">
        <f>HYPERLINK("http://zwilling.fi","zwilling.fi")</f>
        <v>zwilling.fi</v>
      </c>
      <c r="C36681" t="s">
        <v>445</v>
      </c>
      <c r="D36681" t="s">
        <v>823</v>
      </c>
      <c r="J36681">
        <v>11</v>
      </c>
    </row>
    <row r="36682" spans="1:10" x14ac:dyDescent="0.25">
      <c r="A36682" t="s">
        <v>396</v>
      </c>
      <c r="B36682" s="1" t="str">
        <f>HYPERLINK("http://actemium.fr","actemium.fr")</f>
        <v>actemium.fr</v>
      </c>
      <c r="C36682" t="s">
        <v>446</v>
      </c>
      <c r="D36682" t="s">
        <v>824</v>
      </c>
      <c r="E36682">
        <v>803457</v>
      </c>
      <c r="F36682">
        <v>6.1495104658409605E-8</v>
      </c>
      <c r="G36682">
        <v>715624</v>
      </c>
      <c r="H36682">
        <v>13788722</v>
      </c>
      <c r="I36682">
        <v>6361535</v>
      </c>
      <c r="J36682">
        <v>5</v>
      </c>
    </row>
    <row r="36683" spans="1:10" x14ac:dyDescent="0.25">
      <c r="A36683" t="s">
        <v>396</v>
      </c>
      <c r="B36683" s="1" t="str">
        <f>HYPERLINK("http://adim.fr","adim.fr")</f>
        <v>adim.fr</v>
      </c>
      <c r="C36683" t="s">
        <v>446</v>
      </c>
      <c r="D36683" t="s">
        <v>824</v>
      </c>
      <c r="F36683">
        <v>2.3889773426399901E-8</v>
      </c>
      <c r="G36683">
        <v>2173869</v>
      </c>
      <c r="H36683">
        <v>12523549</v>
      </c>
      <c r="I36683">
        <v>17115819</v>
      </c>
      <c r="J36683">
        <v>3</v>
      </c>
    </row>
    <row r="36684" spans="1:10" x14ac:dyDescent="0.25">
      <c r="A36684" t="s">
        <v>396</v>
      </c>
      <c r="B36684" s="1" t="str">
        <f>HYPERLINK("http://ascenseurs.fr","ascenseurs.fr")</f>
        <v>ascenseurs.fr</v>
      </c>
      <c r="C36684" t="s">
        <v>446</v>
      </c>
      <c r="D36684" t="s">
        <v>824</v>
      </c>
      <c r="F36684">
        <v>6.4596948034623996E-8</v>
      </c>
      <c r="G36684">
        <v>669575</v>
      </c>
      <c r="H36684">
        <v>14084626</v>
      </c>
      <c r="I36684">
        <v>2786196</v>
      </c>
      <c r="J36684">
        <v>3</v>
      </c>
    </row>
    <row r="36685" spans="1:10" x14ac:dyDescent="0.25">
      <c r="A36685" t="s">
        <v>396</v>
      </c>
      <c r="B36685" s="1" t="str">
        <f>HYPERLINK("http://axians.fr","axians.fr")</f>
        <v>axians.fr</v>
      </c>
      <c r="C36685" t="s">
        <v>446</v>
      </c>
      <c r="D36685" t="s">
        <v>824</v>
      </c>
      <c r="F36685">
        <v>9.5650458017338506E-8</v>
      </c>
      <c r="G36685">
        <v>423348</v>
      </c>
      <c r="H36685">
        <v>14269741</v>
      </c>
      <c r="I36685">
        <v>1401368</v>
      </c>
      <c r="J36685">
        <v>4</v>
      </c>
    </row>
    <row r="36686" spans="1:10" x14ac:dyDescent="0.25">
      <c r="A36686" t="s">
        <v>396</v>
      </c>
      <c r="B36686" s="1" t="str">
        <f>HYPERLINK("http://bateg.fr","bateg.fr")</f>
        <v>bateg.fr</v>
      </c>
      <c r="C36686" t="s">
        <v>446</v>
      </c>
      <c r="D36686" t="s">
        <v>824</v>
      </c>
      <c r="F36686">
        <v>1.10340529854796E-8</v>
      </c>
      <c r="G36686">
        <v>5834230</v>
      </c>
      <c r="H36686">
        <v>14072529</v>
      </c>
      <c r="I36686">
        <v>3077670</v>
      </c>
      <c r="J36686">
        <v>4</v>
      </c>
    </row>
    <row r="36687" spans="1:10" x14ac:dyDescent="0.25">
      <c r="A36687" t="s">
        <v>396</v>
      </c>
      <c r="B36687" s="1" t="str">
        <f>HYPERLINK("http://benedetti.fr","benedetti.fr")</f>
        <v>benedetti.fr</v>
      </c>
      <c r="C36687" t="s">
        <v>446</v>
      </c>
      <c r="D36687" t="s">
        <v>824</v>
      </c>
      <c r="F36687">
        <v>5.7427583725170296E-9</v>
      </c>
      <c r="G36687">
        <v>18557287</v>
      </c>
      <c r="H36687">
        <v>12335932</v>
      </c>
      <c r="I36687">
        <v>20086803</v>
      </c>
      <c r="J36687">
        <v>3</v>
      </c>
    </row>
    <row r="36688" spans="1:10" x14ac:dyDescent="0.25">
      <c r="A36688" t="s">
        <v>396</v>
      </c>
      <c r="B36688" s="1" t="str">
        <f>HYPERLINK("http://boiron.fr","boiron.fr")</f>
        <v>boiron.fr</v>
      </c>
      <c r="C36688" t="s">
        <v>446</v>
      </c>
      <c r="D36688" t="s">
        <v>824</v>
      </c>
      <c r="E36688">
        <v>530676</v>
      </c>
      <c r="F36688">
        <v>1.8912668884119401E-7</v>
      </c>
      <c r="G36688">
        <v>203739</v>
      </c>
      <c r="H36688">
        <v>14605591</v>
      </c>
      <c r="I36688">
        <v>681894</v>
      </c>
      <c r="J36688">
        <v>3</v>
      </c>
    </row>
    <row r="36689" spans="1:10" x14ac:dyDescent="0.25">
      <c r="A36689" t="s">
        <v>396</v>
      </c>
      <c r="B36689" s="1" t="str">
        <f>HYPERLINK("http://ce-iteis.fr","ce-iteis.fr")</f>
        <v>ce-iteis.fr</v>
      </c>
      <c r="C36689" t="s">
        <v>446</v>
      </c>
      <c r="D36689" t="s">
        <v>824</v>
      </c>
      <c r="J36689">
        <v>3</v>
      </c>
    </row>
    <row r="36690" spans="1:10" x14ac:dyDescent="0.25">
      <c r="A36690" t="s">
        <v>396</v>
      </c>
      <c r="B36690" s="1" t="str">
        <f>HYPERLINK("http://ceccet.fr","ceccet.fr")</f>
        <v>ceccet.fr</v>
      </c>
      <c r="C36690" t="s">
        <v>446</v>
      </c>
      <c r="D36690" t="s">
        <v>824</v>
      </c>
      <c r="J36690">
        <v>5</v>
      </c>
    </row>
    <row r="36691" spans="1:10" x14ac:dyDescent="0.25">
      <c r="A36691" t="s">
        <v>396</v>
      </c>
      <c r="B36691" s="1" t="str">
        <f>HYPERLINK("http://cee-allier.fr","cee-allier.fr")</f>
        <v>cee-allier.fr</v>
      </c>
      <c r="C36691" t="s">
        <v>446</v>
      </c>
      <c r="D36691" t="s">
        <v>824</v>
      </c>
      <c r="F36691">
        <v>5.3381642582902802E-9</v>
      </c>
      <c r="G36691">
        <v>22959086</v>
      </c>
      <c r="H36691">
        <v>11142504</v>
      </c>
      <c r="I36691">
        <v>31812241</v>
      </c>
      <c r="J36691">
        <v>3</v>
      </c>
    </row>
    <row r="36692" spans="1:10" x14ac:dyDescent="0.25">
      <c r="A36692" t="s">
        <v>396</v>
      </c>
      <c r="B36692" s="1" t="str">
        <f>HYPERLINK("http://cegelec.fr","cegelec.fr")</f>
        <v>cegelec.fr</v>
      </c>
      <c r="C36692" t="s">
        <v>446</v>
      </c>
      <c r="D36692" t="s">
        <v>824</v>
      </c>
      <c r="F36692">
        <v>3.0331043981858503E-8</v>
      </c>
      <c r="G36692">
        <v>1697166</v>
      </c>
      <c r="H36692">
        <v>14078340</v>
      </c>
      <c r="I36692">
        <v>2848551</v>
      </c>
      <c r="J36692">
        <v>4</v>
      </c>
    </row>
    <row r="36693" spans="1:10" x14ac:dyDescent="0.25">
      <c r="A36693" t="s">
        <v>396</v>
      </c>
      <c r="B36693" s="1" t="str">
        <f>HYPERLINK("http://citinea.fr","citinea.fr")</f>
        <v>citinea.fr</v>
      </c>
      <c r="C36693" t="s">
        <v>446</v>
      </c>
      <c r="D36693" t="s">
        <v>824</v>
      </c>
      <c r="F36693">
        <v>1.46183766704301E-8</v>
      </c>
      <c r="G36693">
        <v>3969728</v>
      </c>
      <c r="H36693">
        <v>13719185</v>
      </c>
      <c r="I36693">
        <v>9478787</v>
      </c>
      <c r="J36693">
        <v>3</v>
      </c>
    </row>
    <row r="36694" spans="1:10" x14ac:dyDescent="0.25">
      <c r="A36694" t="s">
        <v>396</v>
      </c>
      <c r="B36694" s="1" t="str">
        <f>HYPERLINK("http://clede.fr","clede.fr")</f>
        <v>clede.fr</v>
      </c>
      <c r="C36694" t="s">
        <v>446</v>
      </c>
      <c r="D36694" t="s">
        <v>824</v>
      </c>
      <c r="F36694">
        <v>1.0333747864199401E-8</v>
      </c>
      <c r="G36694">
        <v>6419408</v>
      </c>
      <c r="H36694">
        <v>12176314</v>
      </c>
      <c r="I36694">
        <v>23899679</v>
      </c>
      <c r="J36694">
        <v>3</v>
      </c>
    </row>
    <row r="36695" spans="1:10" x14ac:dyDescent="0.25">
      <c r="A36695" t="s">
        <v>396</v>
      </c>
      <c r="B36695" s="1" t="str">
        <f>HYPERLINK("http://cofex-littoral.fr","cofex-littoral.fr")</f>
        <v>cofex-littoral.fr</v>
      </c>
      <c r="C36695" t="s">
        <v>446</v>
      </c>
      <c r="D36695" t="s">
        <v>824</v>
      </c>
      <c r="F36695">
        <v>5.1386016047789898E-9</v>
      </c>
      <c r="G36695">
        <v>26291045</v>
      </c>
      <c r="H36695">
        <v>14071866</v>
      </c>
      <c r="I36695">
        <v>3276205</v>
      </c>
      <c r="J36695">
        <v>3</v>
      </c>
    </row>
    <row r="36696" spans="1:10" x14ac:dyDescent="0.25">
      <c r="A36696" t="s">
        <v>396</v>
      </c>
      <c r="B36696" s="1" t="str">
        <f>HYPERLINK("http://cofiroute.fr","cofiroute.fr")</f>
        <v>cofiroute.fr</v>
      </c>
      <c r="C36696" t="s">
        <v>446</v>
      </c>
      <c r="D36696" t="s">
        <v>824</v>
      </c>
      <c r="F36696">
        <v>1.4320466379389601E-8</v>
      </c>
      <c r="G36696">
        <v>4086232</v>
      </c>
      <c r="H36696">
        <v>14490064</v>
      </c>
      <c r="I36696">
        <v>915540</v>
      </c>
      <c r="J36696">
        <v>5</v>
      </c>
    </row>
    <row r="36697" spans="1:10" x14ac:dyDescent="0.25">
      <c r="A36697" t="s">
        <v>396</v>
      </c>
      <c r="B36697" s="1" t="str">
        <f>HYPERLINK("http://coteb-entreprises.fr","coteb-entreprises.fr")</f>
        <v>coteb-entreprises.fr</v>
      </c>
      <c r="C36697" t="s">
        <v>446</v>
      </c>
      <c r="D36697" t="s">
        <v>824</v>
      </c>
      <c r="F36697">
        <v>4.64820874025042E-9</v>
      </c>
      <c r="G36697">
        <v>44254897</v>
      </c>
      <c r="H36697">
        <v>10889926</v>
      </c>
      <c r="I36697">
        <v>36092757</v>
      </c>
      <c r="J36697">
        <v>3</v>
      </c>
    </row>
    <row r="36698" spans="1:10" x14ac:dyDescent="0.25">
      <c r="A36698" t="s">
        <v>396</v>
      </c>
      <c r="B36698" s="1" t="str">
        <f>HYPERLINK("http://courbon.fr","courbon.fr")</f>
        <v>courbon.fr</v>
      </c>
      <c r="C36698" t="s">
        <v>446</v>
      </c>
      <c r="D36698" t="s">
        <v>824</v>
      </c>
      <c r="F36698">
        <v>4.9876127414361697E-9</v>
      </c>
      <c r="G36698">
        <v>29738303</v>
      </c>
      <c r="H36698">
        <v>12209023</v>
      </c>
      <c r="I36698">
        <v>23050203</v>
      </c>
      <c r="J36698">
        <v>3</v>
      </c>
    </row>
    <row r="36699" spans="1:10" x14ac:dyDescent="0.25">
      <c r="A36699" t="s">
        <v>396</v>
      </c>
      <c r="B36699" s="1" t="str">
        <f>HYPERLINK("http://ejl-idf.fr","ejl-idf.fr")</f>
        <v>ejl-idf.fr</v>
      </c>
      <c r="C36699" t="s">
        <v>446</v>
      </c>
      <c r="D36699" t="s">
        <v>824</v>
      </c>
      <c r="F36699">
        <v>1.7224248102216001E-8</v>
      </c>
      <c r="G36699">
        <v>3218605</v>
      </c>
      <c r="H36699">
        <v>14211616</v>
      </c>
      <c r="I36699">
        <v>1700905</v>
      </c>
      <c r="J36699">
        <v>3</v>
      </c>
    </row>
    <row r="36700" spans="1:10" x14ac:dyDescent="0.25">
      <c r="A36700" t="s">
        <v>396</v>
      </c>
      <c r="B36700" s="1" t="str">
        <f>HYPERLINK("http://elairgie.fr","elairgie.fr")</f>
        <v>elairgie.fr</v>
      </c>
      <c r="C36700" t="s">
        <v>446</v>
      </c>
      <c r="D36700" t="s">
        <v>824</v>
      </c>
      <c r="F36700">
        <v>6.3058734597910099E-9</v>
      </c>
      <c r="G36700">
        <v>15003516</v>
      </c>
      <c r="H36700">
        <v>11193297</v>
      </c>
      <c r="I36700">
        <v>31326328</v>
      </c>
      <c r="J36700">
        <v>3</v>
      </c>
    </row>
    <row r="36701" spans="1:10" x14ac:dyDescent="0.25">
      <c r="A36701" t="s">
        <v>396</v>
      </c>
      <c r="B36701" s="1" t="str">
        <f>HYPERLINK("http://emi-tertiaire.fr","emi-tertiaire.fr")</f>
        <v>emi-tertiaire.fr</v>
      </c>
      <c r="C36701" t="s">
        <v>446</v>
      </c>
      <c r="D36701" t="s">
        <v>824</v>
      </c>
      <c r="J36701">
        <v>3</v>
      </c>
    </row>
    <row r="36702" spans="1:10" x14ac:dyDescent="0.25">
      <c r="A36702" t="s">
        <v>396</v>
      </c>
      <c r="B36702" s="1" t="str">
        <f>HYPERLINK("http://enfrasys.fr","enfrasys.fr")</f>
        <v>enfrasys.fr</v>
      </c>
      <c r="C36702" t="s">
        <v>446</v>
      </c>
      <c r="D36702" t="s">
        <v>824</v>
      </c>
      <c r="F36702">
        <v>1.05916425110291E-8</v>
      </c>
      <c r="G36702">
        <v>6191152</v>
      </c>
      <c r="H36702">
        <v>12178017</v>
      </c>
      <c r="I36702">
        <v>23859575</v>
      </c>
      <c r="J36702">
        <v>3</v>
      </c>
    </row>
    <row r="36703" spans="1:10" x14ac:dyDescent="0.25">
      <c r="A36703" t="s">
        <v>396</v>
      </c>
      <c r="B36703" s="1" t="str">
        <f>HYPERLINK("http://entrepose.fr","entrepose.fr")</f>
        <v>entrepose.fr</v>
      </c>
      <c r="C36703" t="s">
        <v>446</v>
      </c>
      <c r="D36703" t="s">
        <v>824</v>
      </c>
      <c r="F36703">
        <v>1.12779475941325E-8</v>
      </c>
      <c r="G36703">
        <v>5657906</v>
      </c>
      <c r="H36703">
        <v>12354269</v>
      </c>
      <c r="I36703">
        <v>19691812</v>
      </c>
      <c r="J36703">
        <v>4</v>
      </c>
    </row>
    <row r="36704" spans="1:10" x14ac:dyDescent="0.25">
      <c r="A36704" t="s">
        <v>396</v>
      </c>
      <c r="B36704" s="1" t="str">
        <f>HYPERLINK("http://eresis.fr","eresis.fr")</f>
        <v>eresis.fr</v>
      </c>
      <c r="C36704" t="s">
        <v>446</v>
      </c>
      <c r="D36704" t="s">
        <v>824</v>
      </c>
      <c r="F36704">
        <v>4.7826284921115999E-9</v>
      </c>
      <c r="G36704">
        <v>36849655</v>
      </c>
      <c r="H36704">
        <v>9717075</v>
      </c>
      <c r="I36704">
        <v>63205437</v>
      </c>
      <c r="J36704">
        <v>3</v>
      </c>
    </row>
    <row r="36705" spans="1:10" x14ac:dyDescent="0.25">
      <c r="A36705" t="s">
        <v>396</v>
      </c>
      <c r="B36705" s="1" t="str">
        <f>HYPERLINK("http://essor-info.fr","essor-info.fr")</f>
        <v>essor-info.fr</v>
      </c>
      <c r="C36705" t="s">
        <v>446</v>
      </c>
      <c r="D36705" t="s">
        <v>824</v>
      </c>
      <c r="J36705">
        <v>3</v>
      </c>
    </row>
    <row r="36706" spans="1:10" x14ac:dyDescent="0.25">
      <c r="A36706" t="s">
        <v>396</v>
      </c>
      <c r="B36706" s="1" t="str">
        <f>HYPERLINK("http://eurovia.fr","eurovia.fr")</f>
        <v>eurovia.fr</v>
      </c>
      <c r="C36706" t="s">
        <v>446</v>
      </c>
      <c r="D36706" t="s">
        <v>824</v>
      </c>
      <c r="E36706">
        <v>734252</v>
      </c>
      <c r="F36706">
        <v>1.3340483627177101E-7</v>
      </c>
      <c r="G36706">
        <v>292759</v>
      </c>
      <c r="H36706">
        <v>13885909</v>
      </c>
      <c r="I36706">
        <v>5969861</v>
      </c>
      <c r="J36706">
        <v>3</v>
      </c>
    </row>
    <row r="36707" spans="1:10" x14ac:dyDescent="0.25">
      <c r="A36707" t="s">
        <v>396</v>
      </c>
      <c r="B36707" s="1" t="str">
        <f>HYPERLINK("http://freyssinet.fr","freyssinet.fr")</f>
        <v>freyssinet.fr</v>
      </c>
      <c r="C36707" t="s">
        <v>446</v>
      </c>
      <c r="D36707" t="s">
        <v>824</v>
      </c>
      <c r="F36707">
        <v>2.3869897556122401E-8</v>
      </c>
      <c r="G36707">
        <v>2175863</v>
      </c>
      <c r="H36707">
        <v>13721443</v>
      </c>
      <c r="I36707">
        <v>9471663</v>
      </c>
      <c r="J36707">
        <v>5</v>
      </c>
    </row>
    <row r="36708" spans="1:10" x14ac:dyDescent="0.25">
      <c r="A36708" t="s">
        <v>396</v>
      </c>
      <c r="B36708" s="1" t="str">
        <f>HYPERLINK("http://gasquet.fr","gasquet.fr")</f>
        <v>gasquet.fr</v>
      </c>
      <c r="C36708" t="s">
        <v>446</v>
      </c>
      <c r="D36708" t="s">
        <v>824</v>
      </c>
      <c r="F36708">
        <v>4.4829593544704602E-9</v>
      </c>
      <c r="G36708">
        <v>61770850</v>
      </c>
      <c r="H36708">
        <v>9682606</v>
      </c>
      <c r="I36708">
        <v>63614301</v>
      </c>
      <c r="J36708">
        <v>3</v>
      </c>
    </row>
    <row r="36709" spans="1:10" x14ac:dyDescent="0.25">
      <c r="A36709" t="s">
        <v>396</v>
      </c>
      <c r="B36709" s="1" t="str">
        <f>HYPERLINK("http://geocean.fr","geocean.fr")</f>
        <v>geocean.fr</v>
      </c>
      <c r="C36709" t="s">
        <v>446</v>
      </c>
      <c r="D36709" t="s">
        <v>824</v>
      </c>
      <c r="F36709">
        <v>5.3025013361998698E-9</v>
      </c>
      <c r="G36709">
        <v>23455519</v>
      </c>
      <c r="H36709">
        <v>10344273</v>
      </c>
      <c r="I36709">
        <v>57254635</v>
      </c>
      <c r="J36709">
        <v>4</v>
      </c>
    </row>
    <row r="36710" spans="1:10" x14ac:dyDescent="0.25">
      <c r="A36710" t="s">
        <v>396</v>
      </c>
      <c r="B36710" s="1" t="str">
        <f>HYPERLINK("http://gtm-batiment.fr","gtm-batiment.fr")</f>
        <v>gtm-batiment.fr</v>
      </c>
      <c r="C36710" t="s">
        <v>446</v>
      </c>
      <c r="D36710" t="s">
        <v>824</v>
      </c>
      <c r="F36710">
        <v>1.5852528934374E-8</v>
      </c>
      <c r="G36710">
        <v>3585167</v>
      </c>
      <c r="H36710">
        <v>14073450</v>
      </c>
      <c r="I36710">
        <v>2993988</v>
      </c>
      <c r="J36710">
        <v>4</v>
      </c>
    </row>
    <row r="36711" spans="1:10" x14ac:dyDescent="0.25">
      <c r="A36711" t="s">
        <v>396</v>
      </c>
      <c r="B36711" s="1" t="str">
        <f>HYPERLINK("http://hdi.fr","hdi.fr")</f>
        <v>hdi.fr</v>
      </c>
      <c r="C36711" t="s">
        <v>446</v>
      </c>
      <c r="D36711" t="s">
        <v>824</v>
      </c>
      <c r="F36711">
        <v>4.87602120879732E-9</v>
      </c>
      <c r="G36711">
        <v>33208484</v>
      </c>
      <c r="H36711">
        <v>11140402</v>
      </c>
      <c r="I36711">
        <v>31831528</v>
      </c>
      <c r="J36711">
        <v>3</v>
      </c>
    </row>
    <row r="36712" spans="1:10" x14ac:dyDescent="0.25">
      <c r="A36712" t="s">
        <v>396</v>
      </c>
      <c r="B36712" s="1" t="str">
        <f>HYPERLINK("http://idf-thermic.fr","idf-thermic.fr")</f>
        <v>idf-thermic.fr</v>
      </c>
      <c r="C36712" t="s">
        <v>446</v>
      </c>
      <c r="D36712" t="s">
        <v>824</v>
      </c>
      <c r="F36712">
        <v>4.6808177900924596E-9</v>
      </c>
      <c r="G36712">
        <v>42286838</v>
      </c>
      <c r="H36712">
        <v>10658245</v>
      </c>
      <c r="I36712">
        <v>43466074</v>
      </c>
      <c r="J36712">
        <v>3</v>
      </c>
    </row>
    <row r="36713" spans="1:10" x14ac:dyDescent="0.25">
      <c r="A36713" t="s">
        <v>396</v>
      </c>
      <c r="B36713" s="1" t="str">
        <f>HYPERLINK("http://klein-beton.fr","klein-beton.fr")</f>
        <v>klein-beton.fr</v>
      </c>
      <c r="C36713" t="s">
        <v>446</v>
      </c>
      <c r="D36713" t="s">
        <v>824</v>
      </c>
      <c r="J36713">
        <v>3</v>
      </c>
    </row>
    <row r="36714" spans="1:10" x14ac:dyDescent="0.25">
      <c r="A36714" t="s">
        <v>396</v>
      </c>
      <c r="B36714" s="1" t="str">
        <f>HYPERLINK("http://lisea.fr","lisea.fr")</f>
        <v>lisea.fr</v>
      </c>
      <c r="C36714" t="s">
        <v>446</v>
      </c>
      <c r="D36714" t="s">
        <v>824</v>
      </c>
      <c r="F36714">
        <v>4.1525424113317602E-8</v>
      </c>
      <c r="G36714">
        <v>1198388</v>
      </c>
      <c r="H36714">
        <v>14093692</v>
      </c>
      <c r="I36714">
        <v>2734670</v>
      </c>
      <c r="J36714">
        <v>3</v>
      </c>
    </row>
    <row r="36715" spans="1:10" x14ac:dyDescent="0.25">
      <c r="A36715" t="s">
        <v>396</v>
      </c>
      <c r="B36715" s="1" t="str">
        <f>HYPERLINK("http://mangin-egly.fr","mangin-egly.fr")</f>
        <v>mangin-egly.fr</v>
      </c>
      <c r="C36715" t="s">
        <v>446</v>
      </c>
      <c r="D36715" t="s">
        <v>824</v>
      </c>
      <c r="F36715">
        <v>4.73299796563176E-9</v>
      </c>
      <c r="G36715">
        <v>39196117</v>
      </c>
      <c r="H36715">
        <v>12235755</v>
      </c>
      <c r="I36715">
        <v>22356835</v>
      </c>
      <c r="J36715">
        <v>3</v>
      </c>
    </row>
    <row r="36716" spans="1:10" x14ac:dyDescent="0.25">
      <c r="A36716" t="s">
        <v>396</v>
      </c>
      <c r="B36716" s="1" t="str">
        <f>HYPERLINK("http://mesea.fr","mesea.fr")</f>
        <v>mesea.fr</v>
      </c>
      <c r="C36716" t="s">
        <v>446</v>
      </c>
      <c r="D36716" t="s">
        <v>824</v>
      </c>
      <c r="F36716">
        <v>1.09982508532342E-8</v>
      </c>
      <c r="G36716">
        <v>5861529</v>
      </c>
      <c r="H36716">
        <v>12606590</v>
      </c>
      <c r="I36716">
        <v>16260523</v>
      </c>
      <c r="J36716">
        <v>6</v>
      </c>
    </row>
    <row r="36717" spans="1:10" x14ac:dyDescent="0.25">
      <c r="A36717" t="s">
        <v>396</v>
      </c>
      <c r="B36717" s="1" t="str">
        <f>HYPERLINK("http://novelige-construction.fr","novelige-construction.fr")</f>
        <v>novelige-construction.fr</v>
      </c>
      <c r="C36717" t="s">
        <v>446</v>
      </c>
      <c r="D36717" t="s">
        <v>824</v>
      </c>
      <c r="F36717">
        <v>5.36969161232183E-9</v>
      </c>
      <c r="G36717">
        <v>22546249</v>
      </c>
      <c r="H36717">
        <v>10899734</v>
      </c>
      <c r="I36717">
        <v>35841576</v>
      </c>
      <c r="J36717">
        <v>3</v>
      </c>
    </row>
    <row r="36718" spans="1:10" x14ac:dyDescent="0.25">
      <c r="A36718" t="s">
        <v>396</v>
      </c>
      <c r="B36718" s="1" t="str">
        <f>HYPERLINK("http://omexom.fr","omexom.fr")</f>
        <v>omexom.fr</v>
      </c>
      <c r="C36718" t="s">
        <v>446</v>
      </c>
      <c r="D36718" t="s">
        <v>824</v>
      </c>
      <c r="F36718">
        <v>1.7674195952849401E-8</v>
      </c>
      <c r="G36718">
        <v>3102296</v>
      </c>
      <c r="H36718">
        <v>12931144</v>
      </c>
      <c r="I36718">
        <v>13362547</v>
      </c>
      <c r="J36718">
        <v>4</v>
      </c>
    </row>
    <row r="36719" spans="1:10" x14ac:dyDescent="0.25">
      <c r="A36719" t="s">
        <v>396</v>
      </c>
      <c r="B36719" s="1" t="str">
        <f>HYPERLINK("http://phibor.fr","phibor.fr")</f>
        <v>phibor.fr</v>
      </c>
      <c r="C36719" t="s">
        <v>446</v>
      </c>
      <c r="D36719" t="s">
        <v>824</v>
      </c>
      <c r="J36719">
        <v>4</v>
      </c>
    </row>
    <row r="36720" spans="1:10" x14ac:dyDescent="0.25">
      <c r="A36720" t="s">
        <v>396</v>
      </c>
      <c r="B36720" s="1" t="str">
        <f>HYPERLINK("http://phiborentreprises.fr","phiborentreprises.fr")</f>
        <v>phiborentreprises.fr</v>
      </c>
      <c r="C36720" t="s">
        <v>446</v>
      </c>
      <c r="D36720" t="s">
        <v>824</v>
      </c>
      <c r="F36720">
        <v>7.63797721689297E-9</v>
      </c>
      <c r="G36720">
        <v>10713327</v>
      </c>
      <c r="H36720">
        <v>12423227</v>
      </c>
      <c r="I36720">
        <v>18398435</v>
      </c>
      <c r="J36720">
        <v>3</v>
      </c>
    </row>
    <row r="36721" spans="1:10" x14ac:dyDescent="0.25">
      <c r="A36721" t="s">
        <v>396</v>
      </c>
      <c r="B36721" s="1" t="str">
        <f>HYPERLINK("http://provelec-sud.fr","provelec-sud.fr")</f>
        <v>provelec-sud.fr</v>
      </c>
      <c r="C36721" t="s">
        <v>446</v>
      </c>
      <c r="D36721" t="s">
        <v>824</v>
      </c>
      <c r="F36721">
        <v>9.9118642130562397E-9</v>
      </c>
      <c r="G36721">
        <v>6847106</v>
      </c>
      <c r="H36721">
        <v>12079809</v>
      </c>
      <c r="I36721">
        <v>26568722</v>
      </c>
      <c r="J36721">
        <v>3</v>
      </c>
    </row>
    <row r="36722" spans="1:10" x14ac:dyDescent="0.25">
      <c r="A36722" t="s">
        <v>396</v>
      </c>
      <c r="B36722" s="1" t="str">
        <f>HYPERLINK("http://roiret-transport.fr","roiret-transport.fr")</f>
        <v>roiret-transport.fr</v>
      </c>
      <c r="C36722" t="s">
        <v>446</v>
      </c>
      <c r="D36722" t="s">
        <v>824</v>
      </c>
      <c r="F36722">
        <v>1.0041174277505999E-8</v>
      </c>
      <c r="G36722">
        <v>6714303</v>
      </c>
      <c r="H36722">
        <v>12088564</v>
      </c>
      <c r="I36722">
        <v>26291100</v>
      </c>
      <c r="J36722">
        <v>3</v>
      </c>
    </row>
    <row r="36723" spans="1:10" x14ac:dyDescent="0.25">
      <c r="A36723" t="s">
        <v>396</v>
      </c>
      <c r="B36723" s="1" t="str">
        <f>HYPERLINK("http://routiere-du-midi.fr","routiere-du-midi.fr")</f>
        <v>routiere-du-midi.fr</v>
      </c>
      <c r="C36723" t="s">
        <v>446</v>
      </c>
      <c r="D36723" t="s">
        <v>824</v>
      </c>
      <c r="F36723">
        <v>5.4070208088073998E-9</v>
      </c>
      <c r="G36723">
        <v>22023453</v>
      </c>
      <c r="H36723">
        <v>12237766</v>
      </c>
      <c r="I36723">
        <v>22316908</v>
      </c>
      <c r="J36723">
        <v>5</v>
      </c>
    </row>
    <row r="36724" spans="1:10" x14ac:dyDescent="0.25">
      <c r="A36724" t="s">
        <v>396</v>
      </c>
      <c r="B36724" s="1" t="str">
        <f>HYPERLINK("http://sas-delaire.fr","sas-delaire.fr")</f>
        <v>sas-delaire.fr</v>
      </c>
      <c r="C36724" t="s">
        <v>446</v>
      </c>
      <c r="D36724" t="s">
        <v>824</v>
      </c>
      <c r="F36724">
        <v>1.0802973997554499E-8</v>
      </c>
      <c r="G36724">
        <v>6018498</v>
      </c>
      <c r="H36724">
        <v>12082696</v>
      </c>
      <c r="I36724">
        <v>26496775</v>
      </c>
      <c r="J36724">
        <v>3</v>
      </c>
    </row>
    <row r="36725" spans="1:10" x14ac:dyDescent="0.25">
      <c r="A36725" t="s">
        <v>396</v>
      </c>
      <c r="B36725" s="1" t="str">
        <f>HYPERLINK("http://sdel-grand-ouest.fr","sdel-grand-ouest.fr")</f>
        <v>sdel-grand-ouest.fr</v>
      </c>
      <c r="C36725" t="s">
        <v>446</v>
      </c>
      <c r="D36725" t="s">
        <v>824</v>
      </c>
      <c r="F36725">
        <v>1.2529325291544701E-8</v>
      </c>
      <c r="G36725">
        <v>4870008</v>
      </c>
      <c r="H36725">
        <v>12320883</v>
      </c>
      <c r="I36725">
        <v>20398547</v>
      </c>
      <c r="J36725">
        <v>3</v>
      </c>
    </row>
    <row r="36726" spans="1:10" x14ac:dyDescent="0.25">
      <c r="A36726" t="s">
        <v>396</v>
      </c>
      <c r="B36726" s="1" t="str">
        <f>HYPERLINK("http://sdel-transport.fr","sdel-transport.fr")</f>
        <v>sdel-transport.fr</v>
      </c>
      <c r="C36726" t="s">
        <v>446</v>
      </c>
      <c r="D36726" t="s">
        <v>824</v>
      </c>
      <c r="F36726">
        <v>1.02201453772186E-8</v>
      </c>
      <c r="G36726">
        <v>6527308</v>
      </c>
      <c r="H36726">
        <v>12080876</v>
      </c>
      <c r="I36726">
        <v>26546461</v>
      </c>
      <c r="J36726">
        <v>3</v>
      </c>
    </row>
    <row r="36727" spans="1:10" x14ac:dyDescent="0.25">
      <c r="A36727" t="s">
        <v>396</v>
      </c>
      <c r="B36727" s="1" t="str">
        <f>HYPERLINK("http://serce.fr","serce.fr")</f>
        <v>serce.fr</v>
      </c>
      <c r="C36727" t="s">
        <v>446</v>
      </c>
      <c r="D36727" t="s">
        <v>824</v>
      </c>
      <c r="F36727">
        <v>4.0465589228954797E-8</v>
      </c>
      <c r="G36727">
        <v>1279544</v>
      </c>
      <c r="H36727">
        <v>12639951</v>
      </c>
      <c r="I36727">
        <v>15876284</v>
      </c>
      <c r="J36727">
        <v>3</v>
      </c>
    </row>
    <row r="36728" spans="1:10" x14ac:dyDescent="0.25">
      <c r="A36728" t="s">
        <v>396</v>
      </c>
      <c r="B36728" s="1" t="str">
        <f>HYPERLINK("http://sixense.fr","sixense.fr")</f>
        <v>sixense.fr</v>
      </c>
      <c r="C36728" t="s">
        <v>446</v>
      </c>
      <c r="D36728" t="s">
        <v>824</v>
      </c>
      <c r="F36728">
        <v>5.3583333185391403E-9</v>
      </c>
      <c r="G36728">
        <v>22691490</v>
      </c>
      <c r="H36728">
        <v>11180571</v>
      </c>
      <c r="I36728">
        <v>31428783</v>
      </c>
      <c r="J36728">
        <v>3</v>
      </c>
    </row>
    <row r="36729" spans="1:10" x14ac:dyDescent="0.25">
      <c r="A36729" t="s">
        <v>396</v>
      </c>
      <c r="B36729" s="1" t="str">
        <f>HYPERLINK("http://sne.fr","sne.fr")</f>
        <v>sne.fr</v>
      </c>
      <c r="C36729" t="s">
        <v>446</v>
      </c>
      <c r="D36729" t="s">
        <v>824</v>
      </c>
      <c r="E36729">
        <v>498334</v>
      </c>
      <c r="F36729">
        <v>2.5706916107392002E-7</v>
      </c>
      <c r="G36729">
        <v>145519</v>
      </c>
      <c r="H36729">
        <v>14690341</v>
      </c>
      <c r="I36729">
        <v>602392</v>
      </c>
      <c r="J36729">
        <v>5</v>
      </c>
    </row>
    <row r="36730" spans="1:10" x14ac:dyDescent="0.25">
      <c r="A36730" t="s">
        <v>396</v>
      </c>
      <c r="B36730" s="1" t="str">
        <f>HYPERLINK("http://spiecapag.fr","spiecapag.fr")</f>
        <v>spiecapag.fr</v>
      </c>
      <c r="C36730" t="s">
        <v>446</v>
      </c>
      <c r="D36730" t="s">
        <v>824</v>
      </c>
      <c r="F36730">
        <v>5.1355164048956E-9</v>
      </c>
      <c r="G36730">
        <v>26349719</v>
      </c>
      <c r="H36730">
        <v>14071790</v>
      </c>
      <c r="I36730">
        <v>3512819</v>
      </c>
      <c r="J36730">
        <v>4</v>
      </c>
    </row>
    <row r="36731" spans="1:10" x14ac:dyDescent="0.25">
      <c r="A36731" t="s">
        <v>396</v>
      </c>
      <c r="B36731" s="1" t="str">
        <f>HYPERLINK("http://staub.fr","staub.fr")</f>
        <v>staub.fr</v>
      </c>
      <c r="C36731" t="s">
        <v>446</v>
      </c>
      <c r="D36731" t="s">
        <v>824</v>
      </c>
      <c r="F36731">
        <v>2.3831807131775701E-8</v>
      </c>
      <c r="G36731">
        <v>2179944</v>
      </c>
      <c r="H36731">
        <v>14159401</v>
      </c>
      <c r="I36731">
        <v>1841591</v>
      </c>
      <c r="J36731">
        <v>10</v>
      </c>
    </row>
    <row r="36732" spans="1:10" x14ac:dyDescent="0.25">
      <c r="A36732" t="s">
        <v>396</v>
      </c>
      <c r="B36732" s="1" t="str">
        <f>HYPERLINK("http://sysoco.fr","sysoco.fr")</f>
        <v>sysoco.fr</v>
      </c>
      <c r="C36732" t="s">
        <v>446</v>
      </c>
      <c r="D36732" t="s">
        <v>824</v>
      </c>
      <c r="F36732">
        <v>2.2859866191429401E-8</v>
      </c>
      <c r="G36732">
        <v>2287143</v>
      </c>
      <c r="H36732">
        <v>13779818</v>
      </c>
      <c r="I36732">
        <v>6481941</v>
      </c>
      <c r="J36732">
        <v>4</v>
      </c>
    </row>
    <row r="36733" spans="1:10" x14ac:dyDescent="0.25">
      <c r="A36733" t="s">
        <v>396</v>
      </c>
      <c r="B36733" s="1" t="str">
        <f>HYPERLINK("http://triverio.fr","triverio.fr")</f>
        <v>triverio.fr</v>
      </c>
      <c r="C36733" t="s">
        <v>446</v>
      </c>
      <c r="D36733" t="s">
        <v>824</v>
      </c>
      <c r="F36733">
        <v>5.1258504066462103E-9</v>
      </c>
      <c r="G36733">
        <v>26533336</v>
      </c>
      <c r="H36733">
        <v>11214528</v>
      </c>
      <c r="I36733">
        <v>31132855</v>
      </c>
      <c r="J36733">
        <v>3</v>
      </c>
    </row>
    <row r="36734" spans="1:10" x14ac:dyDescent="0.25">
      <c r="A36734" t="s">
        <v>396</v>
      </c>
      <c r="B36734" s="1" t="str">
        <f>HYPERLINK("http://vermot.fr","vermot.fr")</f>
        <v>vermot.fr</v>
      </c>
      <c r="C36734" t="s">
        <v>446</v>
      </c>
      <c r="D36734" t="s">
        <v>824</v>
      </c>
      <c r="F36734">
        <v>5.89658103088683E-9</v>
      </c>
      <c r="G36734">
        <v>17383172</v>
      </c>
      <c r="H36734">
        <v>12232352</v>
      </c>
      <c r="I36734">
        <v>22439053</v>
      </c>
      <c r="J36734">
        <v>5</v>
      </c>
    </row>
    <row r="36735" spans="1:10" x14ac:dyDescent="0.25">
      <c r="A36735" t="s">
        <v>396</v>
      </c>
      <c r="B36735" s="1" t="str">
        <f>HYPERLINK("http://vinci-construction.fr","vinci-construction.fr")</f>
        <v>vinci-construction.fr</v>
      </c>
      <c r="C36735" t="s">
        <v>446</v>
      </c>
      <c r="D36735" t="s">
        <v>824</v>
      </c>
      <c r="E36735">
        <v>937680</v>
      </c>
      <c r="F36735">
        <v>1.2088510542842201E-7</v>
      </c>
      <c r="G36735">
        <v>326788</v>
      </c>
      <c r="H36735">
        <v>14578686</v>
      </c>
      <c r="I36735">
        <v>714354</v>
      </c>
      <c r="J36735">
        <v>3</v>
      </c>
    </row>
    <row r="36736" spans="1:10" x14ac:dyDescent="0.25">
      <c r="A36736" t="s">
        <v>396</v>
      </c>
      <c r="B36736" s="1" t="str">
        <f>HYPERLINK("http://watelet-tp.fr","watelet-tp.fr")</f>
        <v>watelet-tp.fr</v>
      </c>
      <c r="C36736" t="s">
        <v>446</v>
      </c>
      <c r="D36736" t="s">
        <v>824</v>
      </c>
      <c r="J36736">
        <v>3</v>
      </c>
    </row>
    <row r="36737" spans="1:10" x14ac:dyDescent="0.25">
      <c r="A36737" t="s">
        <v>396</v>
      </c>
      <c r="B36737" s="1" t="str">
        <f>HYPERLINK("http://gefyra.gr","gefyra.gr")</f>
        <v>gefyra.gr</v>
      </c>
      <c r="C36737" t="s">
        <v>447</v>
      </c>
      <c r="D36737" t="s">
        <v>825</v>
      </c>
      <c r="F36737">
        <v>5.3574059930792101E-8</v>
      </c>
      <c r="G36737">
        <v>848956</v>
      </c>
      <c r="H36737">
        <v>14569280</v>
      </c>
      <c r="I36737">
        <v>736503</v>
      </c>
      <c r="J36737">
        <v>4</v>
      </c>
    </row>
    <row r="36738" spans="1:10" x14ac:dyDescent="0.25">
      <c r="A36738" t="s">
        <v>396</v>
      </c>
      <c r="B36738" s="1" t="str">
        <f>HYPERLINK("http://schoerghuber.group","schoerghuber.group")</f>
        <v>schoerghuber.group</v>
      </c>
      <c r="C36738" t="s">
        <v>602</v>
      </c>
      <c r="F36738">
        <v>5.1827508849444302E-9</v>
      </c>
      <c r="G36738">
        <v>25471012</v>
      </c>
      <c r="H36738">
        <v>10725362</v>
      </c>
      <c r="I36738">
        <v>41320817</v>
      </c>
      <c r="J36738">
        <v>10</v>
      </c>
    </row>
    <row r="36739" spans="1:10" x14ac:dyDescent="0.25">
      <c r="A36739" t="s">
        <v>396</v>
      </c>
      <c r="B36739" s="1" t="str">
        <f>HYPERLINK("http://hbm.hu","hbm.hu")</f>
        <v>hbm.hu</v>
      </c>
      <c r="C36739" t="s">
        <v>453</v>
      </c>
      <c r="D36739" t="s">
        <v>830</v>
      </c>
      <c r="F36739">
        <v>7.6813633891673993E-9</v>
      </c>
      <c r="G36739">
        <v>10620815</v>
      </c>
      <c r="H36739">
        <v>13764280</v>
      </c>
      <c r="I36739">
        <v>7310118</v>
      </c>
      <c r="J36739">
        <v>3</v>
      </c>
    </row>
    <row r="36740" spans="1:10" x14ac:dyDescent="0.25">
      <c r="A36740" t="s">
        <v>396</v>
      </c>
      <c r="B36740" s="1" t="str">
        <f>HYPERLINK("http://omexom.hu","omexom.hu")</f>
        <v>omexom.hu</v>
      </c>
      <c r="C36740" t="s">
        <v>453</v>
      </c>
      <c r="D36740" t="s">
        <v>830</v>
      </c>
      <c r="F36740">
        <v>1.20283685735117E-8</v>
      </c>
      <c r="G36740">
        <v>5157639</v>
      </c>
      <c r="H36740">
        <v>10807377</v>
      </c>
      <c r="I36740">
        <v>37943655</v>
      </c>
      <c r="J36740">
        <v>4</v>
      </c>
    </row>
    <row r="36741" spans="1:10" x14ac:dyDescent="0.25">
      <c r="A36741" t="s">
        <v>396</v>
      </c>
      <c r="B36741" s="1" t="str">
        <f>HYPERLINK("http://strabag.hu","strabag.hu")</f>
        <v>strabag.hu</v>
      </c>
      <c r="C36741" t="s">
        <v>453</v>
      </c>
      <c r="D36741" t="s">
        <v>830</v>
      </c>
      <c r="F36741">
        <v>4.3195935129178799E-8</v>
      </c>
      <c r="G36741">
        <v>1110976</v>
      </c>
      <c r="H36741">
        <v>13723052</v>
      </c>
      <c r="I36741">
        <v>9468182</v>
      </c>
      <c r="J36741">
        <v>7</v>
      </c>
    </row>
    <row r="36742" spans="1:10" x14ac:dyDescent="0.25">
      <c r="A36742" t="s">
        <v>396</v>
      </c>
      <c r="B36742" s="1" t="str">
        <f>HYPERLINK("http://vinci-energies.co.id","vinci-energies.co.id")</f>
        <v>vinci-energies.co.id</v>
      </c>
      <c r="C36742" t="s">
        <v>454</v>
      </c>
      <c r="D36742" t="s">
        <v>831</v>
      </c>
      <c r="F36742">
        <v>1.2811379679543501E-8</v>
      </c>
      <c r="G36742">
        <v>4723009</v>
      </c>
      <c r="H36742">
        <v>12417794</v>
      </c>
      <c r="I36742">
        <v>18495412</v>
      </c>
      <c r="J36742">
        <v>3</v>
      </c>
    </row>
    <row r="36743" spans="1:10" x14ac:dyDescent="0.25">
      <c r="A36743" t="s">
        <v>396</v>
      </c>
      <c r="B36743" s="1" t="str">
        <f>HYPERLINK("http://zwilling.io","zwilling.io")</f>
        <v>zwilling.io</v>
      </c>
      <c r="C36743" t="s">
        <v>518</v>
      </c>
      <c r="F36743">
        <v>4.44380395335525E-9</v>
      </c>
      <c r="G36743">
        <v>85102528</v>
      </c>
      <c r="H36743">
        <v>0</v>
      </c>
      <c r="I36743">
        <v>86287036</v>
      </c>
      <c r="J36743">
        <v>10</v>
      </c>
    </row>
    <row r="36744" spans="1:10" x14ac:dyDescent="0.25">
      <c r="A36744" t="s">
        <v>396</v>
      </c>
      <c r="B36744" s="1" t="str">
        <f>HYPERLINK("http://actemium.it","actemium.it")</f>
        <v>actemium.it</v>
      </c>
      <c r="C36744" t="s">
        <v>459</v>
      </c>
      <c r="D36744" t="s">
        <v>835</v>
      </c>
      <c r="F36744">
        <v>7.8062173849025596E-9</v>
      </c>
      <c r="G36744">
        <v>10306728</v>
      </c>
      <c r="H36744">
        <v>12154690</v>
      </c>
      <c r="I36744">
        <v>24501895</v>
      </c>
      <c r="J36744">
        <v>5</v>
      </c>
    </row>
    <row r="36745" spans="1:10" x14ac:dyDescent="0.25">
      <c r="A36745" t="s">
        <v>396</v>
      </c>
      <c r="B36745" s="1" t="str">
        <f>HYPERLINK("http://axians.it","axians.it")</f>
        <v>axians.it</v>
      </c>
      <c r="C36745" t="s">
        <v>459</v>
      </c>
      <c r="D36745" t="s">
        <v>835</v>
      </c>
      <c r="F36745">
        <v>3.4202386354569601E-8</v>
      </c>
      <c r="G36745">
        <v>1515166</v>
      </c>
      <c r="H36745">
        <v>12960006</v>
      </c>
      <c r="I36745">
        <v>13169379</v>
      </c>
      <c r="J36745">
        <v>4</v>
      </c>
    </row>
    <row r="36746" spans="1:10" x14ac:dyDescent="0.25">
      <c r="A36746" t="s">
        <v>396</v>
      </c>
      <c r="B36746" s="1" t="str">
        <f>HYPERLINK("http://ballarini.it","ballarini.it")</f>
        <v>ballarini.it</v>
      </c>
      <c r="C36746" t="s">
        <v>459</v>
      </c>
      <c r="D36746" t="s">
        <v>835</v>
      </c>
      <c r="F36746">
        <v>2.3717154089911101E-8</v>
      </c>
      <c r="G36746">
        <v>2191773</v>
      </c>
      <c r="H36746">
        <v>14496863</v>
      </c>
      <c r="I36746">
        <v>868928</v>
      </c>
      <c r="J36746">
        <v>13</v>
      </c>
    </row>
    <row r="36747" spans="1:10" x14ac:dyDescent="0.25">
      <c r="A36747" t="s">
        <v>396</v>
      </c>
      <c r="B36747" s="1" t="str">
        <f>HYPERLINK("http://omexom.it","omexom.it")</f>
        <v>omexom.it</v>
      </c>
      <c r="C36747" t="s">
        <v>459</v>
      </c>
      <c r="D36747" t="s">
        <v>835</v>
      </c>
      <c r="F36747">
        <v>7.2023283542066901E-9</v>
      </c>
      <c r="G36747">
        <v>11734058</v>
      </c>
      <c r="H36747">
        <v>11157239</v>
      </c>
      <c r="I36747">
        <v>31654385</v>
      </c>
      <c r="J36747">
        <v>4</v>
      </c>
    </row>
    <row r="36748" spans="1:10" x14ac:dyDescent="0.25">
      <c r="A36748" t="s">
        <v>396</v>
      </c>
      <c r="B36748" s="1" t="str">
        <f>HYPERLINK("http://saiv.it","saiv.it")</f>
        <v>saiv.it</v>
      </c>
      <c r="C36748" t="s">
        <v>459</v>
      </c>
      <c r="D36748" t="s">
        <v>835</v>
      </c>
      <c r="F36748">
        <v>2.6172989337413201E-8</v>
      </c>
      <c r="G36748">
        <v>1968124</v>
      </c>
      <c r="H36748">
        <v>13812672</v>
      </c>
      <c r="I36748">
        <v>6185799</v>
      </c>
      <c r="J36748">
        <v>4</v>
      </c>
    </row>
    <row r="36749" spans="1:10" x14ac:dyDescent="0.25">
      <c r="A36749" t="s">
        <v>396</v>
      </c>
      <c r="B36749" s="1" t="str">
        <f>HYPERLINK("http://vinci-energies.it","vinci-energies.it")</f>
        <v>vinci-energies.it</v>
      </c>
      <c r="C36749" t="s">
        <v>459</v>
      </c>
      <c r="D36749" t="s">
        <v>835</v>
      </c>
      <c r="F36749">
        <v>1.30456970726274E-8</v>
      </c>
      <c r="G36749">
        <v>4609436</v>
      </c>
      <c r="H36749">
        <v>12289501</v>
      </c>
      <c r="I36749">
        <v>21126382</v>
      </c>
      <c r="J36749">
        <v>4</v>
      </c>
    </row>
    <row r="36750" spans="1:10" x14ac:dyDescent="0.25">
      <c r="A36750" t="s">
        <v>396</v>
      </c>
      <c r="B36750" s="1" t="str">
        <f>HYPERLINK("http://zwilling.jp","zwilling.jp")</f>
        <v>zwilling.jp</v>
      </c>
      <c r="C36750" t="s">
        <v>461</v>
      </c>
      <c r="D36750" t="s">
        <v>837</v>
      </c>
      <c r="F36750">
        <v>2.7081385047715301E-8</v>
      </c>
      <c r="G36750">
        <v>1899051</v>
      </c>
      <c r="H36750">
        <v>13486855</v>
      </c>
      <c r="I36750">
        <v>9993475</v>
      </c>
      <c r="J36750">
        <v>10</v>
      </c>
    </row>
    <row r="36751" spans="1:10" x14ac:dyDescent="0.25">
      <c r="A36751" t="s">
        <v>396</v>
      </c>
      <c r="B36751" s="1" t="str">
        <f>HYPERLINK("http://freyssinet.co.kr","freyssinet.co.kr")</f>
        <v>freyssinet.co.kr</v>
      </c>
      <c r="C36751" t="s">
        <v>463</v>
      </c>
      <c r="D36751" t="s">
        <v>839</v>
      </c>
      <c r="F36751">
        <v>6.9487136090590997E-9</v>
      </c>
      <c r="G36751">
        <v>12467588</v>
      </c>
      <c r="H36751">
        <v>12685543</v>
      </c>
      <c r="I36751">
        <v>15453669</v>
      </c>
      <c r="J36751">
        <v>3</v>
      </c>
    </row>
    <row r="36752" spans="1:10" x14ac:dyDescent="0.25">
      <c r="A36752" t="s">
        <v>396</v>
      </c>
      <c r="B36752" s="1" t="str">
        <f>HYPERLINK("http://zwilling.kr","zwilling.kr")</f>
        <v>zwilling.kr</v>
      </c>
      <c r="C36752" t="s">
        <v>463</v>
      </c>
      <c r="D36752" t="s">
        <v>839</v>
      </c>
      <c r="F36752">
        <v>9.3072973293540598E-9</v>
      </c>
      <c r="G36752">
        <v>7562932</v>
      </c>
      <c r="H36752">
        <v>11275277</v>
      </c>
      <c r="I36752">
        <v>30735224</v>
      </c>
      <c r="J36752">
        <v>10</v>
      </c>
    </row>
    <row r="36753" spans="1:10" x14ac:dyDescent="0.25">
      <c r="A36753" t="s">
        <v>396</v>
      </c>
      <c r="B36753" s="1" t="str">
        <f>HYPERLINK("http://etavis.li","etavis.li")</f>
        <v>etavis.li</v>
      </c>
      <c r="C36753" t="s">
        <v>545</v>
      </c>
      <c r="D36753" t="s">
        <v>903</v>
      </c>
      <c r="F36753">
        <v>6.9502228557845701E-9</v>
      </c>
      <c r="G36753">
        <v>12463034</v>
      </c>
      <c r="H36753">
        <v>10697548</v>
      </c>
      <c r="I36753">
        <v>42359966</v>
      </c>
      <c r="J36753">
        <v>4</v>
      </c>
    </row>
    <row r="36754" spans="1:10" x14ac:dyDescent="0.25">
      <c r="A36754" t="s">
        <v>396</v>
      </c>
      <c r="B36754" s="1" t="str">
        <f>HYPERLINK("http://eurovia.lt","eurovia.lt")</f>
        <v>eurovia.lt</v>
      </c>
      <c r="C36754" t="s">
        <v>467</v>
      </c>
      <c r="D36754" t="s">
        <v>843</v>
      </c>
      <c r="F36754">
        <v>7.9361801301438101E-9</v>
      </c>
      <c r="G36754">
        <v>10041095</v>
      </c>
      <c r="H36754">
        <v>11189540</v>
      </c>
      <c r="I36754">
        <v>31355865</v>
      </c>
      <c r="J36754">
        <v>3</v>
      </c>
    </row>
    <row r="36755" spans="1:10" x14ac:dyDescent="0.25">
      <c r="A36755" t="s">
        <v>396</v>
      </c>
      <c r="B36755" s="1" t="str">
        <f>HYPERLINK("http://sc.lv","sc.lv")</f>
        <v>sc.lv</v>
      </c>
      <c r="C36755" t="s">
        <v>468</v>
      </c>
      <c r="D36755" t="s">
        <v>844</v>
      </c>
      <c r="F36755">
        <v>1.26164096075984E-8</v>
      </c>
      <c r="G36755">
        <v>4822581</v>
      </c>
      <c r="H36755">
        <v>13763700</v>
      </c>
      <c r="I36755">
        <v>7767327</v>
      </c>
      <c r="J36755">
        <v>3</v>
      </c>
    </row>
    <row r="36756" spans="1:10" x14ac:dyDescent="0.25">
      <c r="A36756" t="s">
        <v>396</v>
      </c>
      <c r="B36756" s="1" t="str">
        <f>HYPERLINK("http://vinci-energies.ma","vinci-energies.ma")</f>
        <v>vinci-energies.ma</v>
      </c>
      <c r="C36756" t="s">
        <v>469</v>
      </c>
      <c r="D36756" t="s">
        <v>845</v>
      </c>
      <c r="F36756">
        <v>1.29256051014247E-8</v>
      </c>
      <c r="G36756">
        <v>4667281</v>
      </c>
      <c r="H36756">
        <v>12161319</v>
      </c>
      <c r="I36756">
        <v>24330860</v>
      </c>
      <c r="J36756">
        <v>3</v>
      </c>
    </row>
    <row r="36757" spans="1:10" x14ac:dyDescent="0.25">
      <c r="A36757" t="s">
        <v>396</v>
      </c>
      <c r="B36757" s="1" t="str">
        <f>HYPERLINK("http://snt.me","snt.me")</f>
        <v>snt.me</v>
      </c>
      <c r="C36757" t="s">
        <v>470</v>
      </c>
      <c r="D36757" t="s">
        <v>846</v>
      </c>
      <c r="F36757">
        <v>2.1241743444267699E-8</v>
      </c>
      <c r="G36757">
        <v>2481733</v>
      </c>
      <c r="H36757">
        <v>13806907</v>
      </c>
      <c r="I36757">
        <v>6229003</v>
      </c>
      <c r="J36757">
        <v>5</v>
      </c>
    </row>
    <row r="36758" spans="1:10" x14ac:dyDescent="0.25">
      <c r="A36758" t="s">
        <v>396</v>
      </c>
      <c r="B36758" s="1" t="str">
        <f>HYPERLINK("http://freyssinet.com.mk","freyssinet.com.mk")</f>
        <v>freyssinet.com.mk</v>
      </c>
      <c r="C36758" t="s">
        <v>531</v>
      </c>
      <c r="D36758" t="s">
        <v>895</v>
      </c>
      <c r="F36758">
        <v>6.2052254324105302E-9</v>
      </c>
      <c r="G36758">
        <v>15508585</v>
      </c>
      <c r="H36758">
        <v>11142139</v>
      </c>
      <c r="I36758">
        <v>31815484</v>
      </c>
      <c r="J36758">
        <v>5</v>
      </c>
    </row>
    <row r="36759" spans="1:10" x14ac:dyDescent="0.25">
      <c r="A36759" t="s">
        <v>396</v>
      </c>
      <c r="B36759" s="1" t="str">
        <f>HYPERLINK("http://snt.com.mk","snt.com.mk")</f>
        <v>snt.com.mk</v>
      </c>
      <c r="C36759" t="s">
        <v>531</v>
      </c>
      <c r="D36759" t="s">
        <v>895</v>
      </c>
      <c r="F36759">
        <v>8.5757149101438998E-9</v>
      </c>
      <c r="G36759">
        <v>8700694</v>
      </c>
      <c r="H36759">
        <v>12668593</v>
      </c>
      <c r="I36759">
        <v>15635172</v>
      </c>
      <c r="J36759">
        <v>5</v>
      </c>
    </row>
    <row r="36760" spans="1:10" x14ac:dyDescent="0.25">
      <c r="A36760" t="s">
        <v>396</v>
      </c>
      <c r="B36760" s="1" t="str">
        <f>HYPERLINK("http://iskratel.mk","iskratel.mk")</f>
        <v>iskratel.mk</v>
      </c>
      <c r="C36760" t="s">
        <v>531</v>
      </c>
      <c r="D36760" t="s">
        <v>895</v>
      </c>
      <c r="F36760">
        <v>5.3626162316697098E-9</v>
      </c>
      <c r="G36760">
        <v>22636799</v>
      </c>
      <c r="H36760">
        <v>10702878</v>
      </c>
      <c r="I36760">
        <v>42268961</v>
      </c>
      <c r="J36760">
        <v>8</v>
      </c>
    </row>
    <row r="36761" spans="1:10" x14ac:dyDescent="0.25">
      <c r="A36761" t="s">
        <v>396</v>
      </c>
      <c r="B36761" s="1" t="str">
        <f>HYPERLINK("http://acs.com.mx","acs.com.mx")</f>
        <v>acs.com.mx</v>
      </c>
      <c r="C36761" t="s">
        <v>471</v>
      </c>
      <c r="D36761" t="s">
        <v>847</v>
      </c>
      <c r="J36761">
        <v>4</v>
      </c>
    </row>
    <row r="36762" spans="1:10" x14ac:dyDescent="0.25">
      <c r="A36762" t="s">
        <v>396</v>
      </c>
      <c r="B36762" s="1" t="str">
        <f>HYPERLINK("http://fraissinet.com.mx","fraissinet.com.mx")</f>
        <v>fraissinet.com.mx</v>
      </c>
      <c r="C36762" t="s">
        <v>471</v>
      </c>
      <c r="D36762" t="s">
        <v>847</v>
      </c>
      <c r="J36762">
        <v>4</v>
      </c>
    </row>
    <row r="36763" spans="1:10" x14ac:dyDescent="0.25">
      <c r="A36763" t="s">
        <v>396</v>
      </c>
      <c r="B36763" s="1" t="str">
        <f>HYPERLINK("http://freissnet.com.mx","freissnet.com.mx")</f>
        <v>freissnet.com.mx</v>
      </c>
      <c r="C36763" t="s">
        <v>471</v>
      </c>
      <c r="D36763" t="s">
        <v>847</v>
      </c>
      <c r="J36763">
        <v>4</v>
      </c>
    </row>
    <row r="36764" spans="1:10" x14ac:dyDescent="0.25">
      <c r="A36764" t="s">
        <v>396</v>
      </c>
      <c r="B36764" s="1" t="str">
        <f>HYPERLINK("http://freyssinet.com.mx","freyssinet.com.mx")</f>
        <v>freyssinet.com.mx</v>
      </c>
      <c r="C36764" t="s">
        <v>471</v>
      </c>
      <c r="D36764" t="s">
        <v>847</v>
      </c>
      <c r="F36764">
        <v>7.4322116072010899E-9</v>
      </c>
      <c r="G36764">
        <v>11167471</v>
      </c>
      <c r="H36764">
        <v>11143252</v>
      </c>
      <c r="I36764">
        <v>31805385</v>
      </c>
      <c r="J36764">
        <v>6</v>
      </c>
    </row>
    <row r="36765" spans="1:10" x14ac:dyDescent="0.25">
      <c r="A36765" t="s">
        <v>396</v>
      </c>
      <c r="B36765" s="1" t="str">
        <f>HYPERLINK("http://masa.com.mx","masa.com.mx")</f>
        <v>masa.com.mx</v>
      </c>
      <c r="C36765" t="s">
        <v>471</v>
      </c>
      <c r="D36765" t="s">
        <v>847</v>
      </c>
      <c r="J36765">
        <v>3</v>
      </c>
    </row>
    <row r="36766" spans="1:10" x14ac:dyDescent="0.25">
      <c r="A36766" t="s">
        <v>396</v>
      </c>
      <c r="B36766" s="1" t="str">
        <f>HYPERLINK("http://grupoavanzia.mx","grupoavanzia.mx")</f>
        <v>grupoavanzia.mx</v>
      </c>
      <c r="C36766" t="s">
        <v>471</v>
      </c>
      <c r="D36766" t="s">
        <v>847</v>
      </c>
      <c r="F36766">
        <v>5.4265019648126297E-9</v>
      </c>
      <c r="G36766">
        <v>21783937</v>
      </c>
      <c r="H36766">
        <v>12378260</v>
      </c>
      <c r="I36766">
        <v>19247387</v>
      </c>
      <c r="J36766">
        <v>4</v>
      </c>
    </row>
    <row r="36767" spans="1:10" x14ac:dyDescent="0.25">
      <c r="A36767" t="s">
        <v>396</v>
      </c>
      <c r="B36767" s="1" t="str">
        <f>HYPERLINK("http://ihsa.mx","ihsa.mx")</f>
        <v>ihsa.mx</v>
      </c>
      <c r="C36767" t="s">
        <v>471</v>
      </c>
      <c r="D36767" t="s">
        <v>847</v>
      </c>
      <c r="F36767">
        <v>7.1277970574380999E-9</v>
      </c>
      <c r="G36767">
        <v>11938119</v>
      </c>
      <c r="H36767">
        <v>12226115</v>
      </c>
      <c r="I36767">
        <v>22622109</v>
      </c>
      <c r="J36767">
        <v>3</v>
      </c>
    </row>
    <row r="36768" spans="1:10" x14ac:dyDescent="0.25">
      <c r="A36768" t="s">
        <v>396</v>
      </c>
      <c r="B36768" s="1" t="str">
        <f>HYPERLINK("http://mpg.mx","mpg.mx")</f>
        <v>mpg.mx</v>
      </c>
      <c r="C36768" t="s">
        <v>471</v>
      </c>
      <c r="D36768" t="s">
        <v>847</v>
      </c>
      <c r="J36768">
        <v>3</v>
      </c>
    </row>
    <row r="36769" spans="1:10" x14ac:dyDescent="0.25">
      <c r="A36769" t="s">
        <v>396</v>
      </c>
      <c r="B36769" s="1" t="str">
        <f>HYPERLINK("http://cimesa.net","cimesa.net")</f>
        <v>cimesa.net</v>
      </c>
      <c r="C36769" t="s">
        <v>474</v>
      </c>
      <c r="F36769">
        <v>5.2904933432623102E-9</v>
      </c>
      <c r="G36769">
        <v>23635474</v>
      </c>
      <c r="H36769">
        <v>11141311</v>
      </c>
      <c r="I36769">
        <v>31822811</v>
      </c>
      <c r="J36769">
        <v>4</v>
      </c>
    </row>
    <row r="36770" spans="1:10" x14ac:dyDescent="0.25">
      <c r="A36770" t="s">
        <v>396</v>
      </c>
      <c r="B36770" s="1" t="str">
        <f>HYPERLINK("http://kapsch.net","kapsch.net")</f>
        <v>kapsch.net</v>
      </c>
      <c r="C36770" t="s">
        <v>474</v>
      </c>
      <c r="E36770">
        <v>118366</v>
      </c>
      <c r="F36770">
        <v>3.5519367361909599E-7</v>
      </c>
      <c r="G36770">
        <v>105226</v>
      </c>
      <c r="H36770">
        <v>14887357</v>
      </c>
      <c r="I36770">
        <v>468793</v>
      </c>
      <c r="J36770">
        <v>3</v>
      </c>
    </row>
    <row r="36771" spans="1:10" x14ac:dyDescent="0.25">
      <c r="A36771" t="s">
        <v>396</v>
      </c>
      <c r="B36771" s="1" t="str">
        <f>HYPERLINK("http://kbc-group.net","kbc-group.net")</f>
        <v>kbc-group.net</v>
      </c>
      <c r="C36771" t="s">
        <v>474</v>
      </c>
      <c r="F36771">
        <v>1.73409942481616E-8</v>
      </c>
      <c r="G36771">
        <v>3189204</v>
      </c>
      <c r="H36771">
        <v>12498021</v>
      </c>
      <c r="I36771">
        <v>17380810</v>
      </c>
      <c r="J36771">
        <v>5</v>
      </c>
    </row>
    <row r="36772" spans="1:10" x14ac:dyDescent="0.25">
      <c r="A36772" t="s">
        <v>396</v>
      </c>
      <c r="B36772" s="1" t="str">
        <f>HYPERLINK("http://mayenne-communaute.net","mayenne-communaute.net")</f>
        <v>mayenne-communaute.net</v>
      </c>
      <c r="C36772" t="s">
        <v>474</v>
      </c>
      <c r="F36772">
        <v>3.4541952204212401E-8</v>
      </c>
      <c r="G36772">
        <v>1501930</v>
      </c>
      <c r="H36772">
        <v>14571912</v>
      </c>
      <c r="I36772">
        <v>733930</v>
      </c>
      <c r="J36772">
        <v>3</v>
      </c>
    </row>
    <row r="36773" spans="1:10" x14ac:dyDescent="0.25">
      <c r="A36773" t="s">
        <v>396</v>
      </c>
      <c r="B36773" s="1" t="str">
        <f>HYPERLINK("http://poweng.net","poweng.net")</f>
        <v>poweng.net</v>
      </c>
      <c r="C36773" t="s">
        <v>474</v>
      </c>
      <c r="F36773">
        <v>4.4438136526760601E-9</v>
      </c>
      <c r="G36773">
        <v>79493915</v>
      </c>
      <c r="H36773">
        <v>10434388</v>
      </c>
      <c r="I36773">
        <v>52858585</v>
      </c>
      <c r="J36773">
        <v>3</v>
      </c>
    </row>
    <row r="36774" spans="1:10" x14ac:dyDescent="0.25">
      <c r="A36774" t="s">
        <v>396</v>
      </c>
      <c r="B36774" s="1" t="str">
        <f>HYPERLINK("http://soletanchefreyssinet.net","soletanchefreyssinet.net")</f>
        <v>soletanchefreyssinet.net</v>
      </c>
      <c r="C36774" t="s">
        <v>474</v>
      </c>
      <c r="F36774">
        <v>1.1834929260351799E-8</v>
      </c>
      <c r="G36774">
        <v>5279902</v>
      </c>
      <c r="H36774">
        <v>10612962</v>
      </c>
      <c r="I36774">
        <v>44494269</v>
      </c>
      <c r="J36774">
        <v>4</v>
      </c>
    </row>
    <row r="36775" spans="1:10" x14ac:dyDescent="0.25">
      <c r="A36775" t="s">
        <v>396</v>
      </c>
      <c r="B36775" s="1" t="str">
        <f>HYPERLINK("http://travaux-publics.net","travaux-publics.net")</f>
        <v>travaux-publics.net</v>
      </c>
      <c r="C36775" t="s">
        <v>474</v>
      </c>
      <c r="F36775">
        <v>5.7917595516341897E-9</v>
      </c>
      <c r="G36775">
        <v>18150483</v>
      </c>
      <c r="H36775">
        <v>12394198</v>
      </c>
      <c r="I36775">
        <v>18949690</v>
      </c>
      <c r="J36775">
        <v>5</v>
      </c>
    </row>
    <row r="36776" spans="1:10" x14ac:dyDescent="0.25">
      <c r="A36776" t="s">
        <v>396</v>
      </c>
      <c r="B36776" s="1" t="str">
        <f>HYPERLINK("http://vinci-energies.net","vinci-energies.net")</f>
        <v>vinci-energies.net</v>
      </c>
      <c r="C36776" t="s">
        <v>474</v>
      </c>
      <c r="E36776">
        <v>513148</v>
      </c>
      <c r="F36776">
        <v>1.46739518179229E-8</v>
      </c>
      <c r="G36776">
        <v>3950059</v>
      </c>
      <c r="H36776">
        <v>12232459</v>
      </c>
      <c r="I36776">
        <v>22437245</v>
      </c>
      <c r="J36776">
        <v>4</v>
      </c>
    </row>
    <row r="36777" spans="1:10" x14ac:dyDescent="0.25">
      <c r="A36777" t="s">
        <v>396</v>
      </c>
      <c r="B36777" s="1" t="str">
        <f>HYPERLINK("http://abcfinance.nl","abcfinance.nl")</f>
        <v>abcfinance.nl</v>
      </c>
      <c r="C36777" t="s">
        <v>477</v>
      </c>
      <c r="D36777" t="s">
        <v>852</v>
      </c>
      <c r="F36777">
        <v>1.0665278168969601E-8</v>
      </c>
      <c r="G36777">
        <v>6128906</v>
      </c>
      <c r="H36777">
        <v>12340161</v>
      </c>
      <c r="I36777">
        <v>19998983</v>
      </c>
      <c r="J36777">
        <v>10</v>
      </c>
    </row>
    <row r="36778" spans="1:10" x14ac:dyDescent="0.25">
      <c r="A36778" t="s">
        <v>396</v>
      </c>
      <c r="B36778" s="1" t="str">
        <f>HYPERLINK("http://actemium.nl","actemium.nl")</f>
        <v>actemium.nl</v>
      </c>
      <c r="C36778" t="s">
        <v>477</v>
      </c>
      <c r="D36778" t="s">
        <v>852</v>
      </c>
      <c r="E36778">
        <v>759656</v>
      </c>
      <c r="F36778">
        <v>5.0093574759951503E-8</v>
      </c>
      <c r="G36778">
        <v>919133</v>
      </c>
      <c r="H36778">
        <v>12886484</v>
      </c>
      <c r="I36778">
        <v>13958683</v>
      </c>
      <c r="J36778">
        <v>3</v>
      </c>
    </row>
    <row r="36779" spans="1:10" x14ac:dyDescent="0.25">
      <c r="A36779" t="s">
        <v>396</v>
      </c>
      <c r="B36779" s="1" t="str">
        <f>HYPERLINK("http://axians.nl","axians.nl")</f>
        <v>axians.nl</v>
      </c>
      <c r="C36779" t="s">
        <v>477</v>
      </c>
      <c r="D36779" t="s">
        <v>852</v>
      </c>
      <c r="E36779">
        <v>845127</v>
      </c>
      <c r="F36779">
        <v>1.2580757421361901E-7</v>
      </c>
      <c r="G36779">
        <v>313557</v>
      </c>
      <c r="H36779">
        <v>14143535</v>
      </c>
      <c r="I36779">
        <v>1912438</v>
      </c>
      <c r="J36779">
        <v>3</v>
      </c>
    </row>
    <row r="36780" spans="1:10" x14ac:dyDescent="0.25">
      <c r="A36780" t="s">
        <v>396</v>
      </c>
      <c r="B36780" s="1" t="str">
        <f>HYPERLINK("http://bosmanbedrijven.nl","bosmanbedrijven.nl")</f>
        <v>bosmanbedrijven.nl</v>
      </c>
      <c r="C36780" t="s">
        <v>477</v>
      </c>
      <c r="D36780" t="s">
        <v>852</v>
      </c>
      <c r="F36780">
        <v>1.6807113388365701E-8</v>
      </c>
      <c r="G36780">
        <v>3331613</v>
      </c>
      <c r="H36780">
        <v>12403938</v>
      </c>
      <c r="I36780">
        <v>18707700</v>
      </c>
      <c r="J36780">
        <v>3</v>
      </c>
    </row>
    <row r="36781" spans="1:10" x14ac:dyDescent="0.25">
      <c r="A36781" t="s">
        <v>396</v>
      </c>
      <c r="B36781" s="1" t="str">
        <f>HYPERLINK("http://conceptingenieurs.nl","conceptingenieurs.nl")</f>
        <v>conceptingenieurs.nl</v>
      </c>
      <c r="C36781" t="s">
        <v>477</v>
      </c>
      <c r="D36781" t="s">
        <v>852</v>
      </c>
      <c r="F36781">
        <v>5.2867162103290698E-9</v>
      </c>
      <c r="G36781">
        <v>23692090</v>
      </c>
      <c r="H36781">
        <v>11139249</v>
      </c>
      <c r="I36781">
        <v>31844520</v>
      </c>
      <c r="J36781">
        <v>3</v>
      </c>
    </row>
    <row r="36782" spans="1:10" x14ac:dyDescent="0.25">
      <c r="A36782" t="s">
        <v>396</v>
      </c>
      <c r="B36782" s="1" t="str">
        <f>HYPERLINK("http://freyssinet.nl","freyssinet.nl")</f>
        <v>freyssinet.nl</v>
      </c>
      <c r="C36782" t="s">
        <v>477</v>
      </c>
      <c r="D36782" t="s">
        <v>852</v>
      </c>
      <c r="F36782">
        <v>8.0528136375862395E-9</v>
      </c>
      <c r="G36782">
        <v>9825335</v>
      </c>
      <c r="H36782">
        <v>14072114</v>
      </c>
      <c r="I36782">
        <v>3160378</v>
      </c>
      <c r="J36782">
        <v>5</v>
      </c>
    </row>
    <row r="36783" spans="1:10" x14ac:dyDescent="0.25">
      <c r="A36783" t="s">
        <v>396</v>
      </c>
      <c r="B36783" s="1" t="str">
        <f>HYPERLINK("http://imtechict.nl","imtechict.nl")</f>
        <v>imtechict.nl</v>
      </c>
      <c r="C36783" t="s">
        <v>477</v>
      </c>
      <c r="D36783" t="s">
        <v>852</v>
      </c>
      <c r="F36783">
        <v>6.04291310142154E-9</v>
      </c>
      <c r="G36783">
        <v>16423856</v>
      </c>
      <c r="H36783">
        <v>12333917</v>
      </c>
      <c r="I36783">
        <v>20127912</v>
      </c>
      <c r="J36783">
        <v>3</v>
      </c>
    </row>
    <row r="36784" spans="1:10" x14ac:dyDescent="0.25">
      <c r="A36784" t="s">
        <v>396</v>
      </c>
      <c r="B36784" s="1" t="str">
        <f>HYPERLINK("http://kadenza.nl","kadenza.nl")</f>
        <v>kadenza.nl</v>
      </c>
      <c r="C36784" t="s">
        <v>477</v>
      </c>
      <c r="D36784" t="s">
        <v>852</v>
      </c>
      <c r="F36784">
        <v>1.2132461023648599E-8</v>
      </c>
      <c r="G36784">
        <v>5090068</v>
      </c>
      <c r="H36784">
        <v>12483206</v>
      </c>
      <c r="I36784">
        <v>17568656</v>
      </c>
      <c r="J36784">
        <v>3</v>
      </c>
    </row>
    <row r="36785" spans="1:10" x14ac:dyDescent="0.25">
      <c r="A36785" t="s">
        <v>396</v>
      </c>
      <c r="B36785" s="1" t="str">
        <f>HYPERLINK("http://koningenhartman.nl","koningenhartman.nl")</f>
        <v>koningenhartman.nl</v>
      </c>
      <c r="C36785" t="s">
        <v>477</v>
      </c>
      <c r="D36785" t="s">
        <v>852</v>
      </c>
      <c r="F36785">
        <v>3.2664495358408799E-8</v>
      </c>
      <c r="G36785">
        <v>1581920</v>
      </c>
      <c r="H36785">
        <v>12768920</v>
      </c>
      <c r="I36785">
        <v>14848496</v>
      </c>
      <c r="J36785">
        <v>3</v>
      </c>
    </row>
    <row r="36786" spans="1:10" x14ac:dyDescent="0.25">
      <c r="A36786" t="s">
        <v>396</v>
      </c>
      <c r="B36786" s="1" t="str">
        <f>HYPERLINK("http://omexom.nl","omexom.nl")</f>
        <v>omexom.nl</v>
      </c>
      <c r="C36786" t="s">
        <v>477</v>
      </c>
      <c r="D36786" t="s">
        <v>852</v>
      </c>
      <c r="F36786">
        <v>1.3665988913046501E-8</v>
      </c>
      <c r="G36786">
        <v>4334818</v>
      </c>
      <c r="H36786">
        <v>12614170</v>
      </c>
      <c r="I36786">
        <v>16153608</v>
      </c>
      <c r="J36786">
        <v>4</v>
      </c>
    </row>
    <row r="36787" spans="1:10" x14ac:dyDescent="0.25">
      <c r="A36787" t="s">
        <v>396</v>
      </c>
      <c r="B36787" s="1" t="str">
        <f>HYPERLINK("http://vanderlindengroep.nl","vanderlindengroep.nl")</f>
        <v>vanderlindengroep.nl</v>
      </c>
      <c r="C36787" t="s">
        <v>477</v>
      </c>
      <c r="D36787" t="s">
        <v>852</v>
      </c>
      <c r="F36787">
        <v>4.6806198408289396E-9</v>
      </c>
      <c r="G36787">
        <v>42297793</v>
      </c>
      <c r="H36787">
        <v>9390545</v>
      </c>
      <c r="I36787">
        <v>67408111</v>
      </c>
      <c r="J36787">
        <v>3</v>
      </c>
    </row>
    <row r="36788" spans="1:10" x14ac:dyDescent="0.25">
      <c r="A36788" t="s">
        <v>396</v>
      </c>
      <c r="B36788" s="1" t="str">
        <f>HYPERLINK("http://vcd.nl","vcd.nl")</f>
        <v>vcd.nl</v>
      </c>
      <c r="C36788" t="s">
        <v>477</v>
      </c>
      <c r="D36788" t="s">
        <v>852</v>
      </c>
      <c r="F36788">
        <v>1.7434026374465902E-8</v>
      </c>
      <c r="G36788">
        <v>3163892</v>
      </c>
      <c r="H36788">
        <v>13732154</v>
      </c>
      <c r="I36788">
        <v>9456591</v>
      </c>
      <c r="J36788">
        <v>3</v>
      </c>
    </row>
    <row r="36789" spans="1:10" x14ac:dyDescent="0.25">
      <c r="A36789" t="s">
        <v>396</v>
      </c>
      <c r="B36789" s="1" t="str">
        <f>HYPERLINK("http://vcditgroep.nl","vcditgroep.nl")</f>
        <v>vcditgroep.nl</v>
      </c>
      <c r="C36789" t="s">
        <v>477</v>
      </c>
      <c r="D36789" t="s">
        <v>852</v>
      </c>
      <c r="F36789">
        <v>4.44380395335525E-9</v>
      </c>
      <c r="G36789">
        <v>85744938</v>
      </c>
      <c r="H36789">
        <v>0</v>
      </c>
      <c r="I36789">
        <v>87072103</v>
      </c>
      <c r="J36789">
        <v>3</v>
      </c>
    </row>
    <row r="36790" spans="1:10" x14ac:dyDescent="0.25">
      <c r="A36790" t="s">
        <v>396</v>
      </c>
      <c r="B36790" s="1" t="str">
        <f>HYPERLINK("http://vened.nl","vened.nl")</f>
        <v>vened.nl</v>
      </c>
      <c r="C36790" t="s">
        <v>477</v>
      </c>
      <c r="D36790" t="s">
        <v>852</v>
      </c>
      <c r="F36790">
        <v>4.4438179888789196E-9</v>
      </c>
      <c r="G36790">
        <v>79260305</v>
      </c>
      <c r="H36790">
        <v>10347554</v>
      </c>
      <c r="I36790">
        <v>56650647</v>
      </c>
      <c r="J36790">
        <v>2</v>
      </c>
    </row>
    <row r="36791" spans="1:10" x14ac:dyDescent="0.25">
      <c r="A36791" t="s">
        <v>396</v>
      </c>
      <c r="B36791" s="1" t="str">
        <f>HYPERLINK("http://vinci-energies.nl","vinci-energies.nl")</f>
        <v>vinci-energies.nl</v>
      </c>
      <c r="C36791" t="s">
        <v>477</v>
      </c>
      <c r="D36791" t="s">
        <v>852</v>
      </c>
      <c r="F36791">
        <v>2.4047404419279201E-8</v>
      </c>
      <c r="G36791">
        <v>2158350</v>
      </c>
      <c r="H36791">
        <v>12360878</v>
      </c>
      <c r="I36791">
        <v>19570443</v>
      </c>
      <c r="J36791">
        <v>3</v>
      </c>
    </row>
    <row r="36792" spans="1:10" x14ac:dyDescent="0.25">
      <c r="A36792" t="s">
        <v>396</v>
      </c>
      <c r="B36792" s="1" t="str">
        <f>HYPERLINK("http://vinci-facilities.nl","vinci-facilities.nl")</f>
        <v>vinci-facilities.nl</v>
      </c>
      <c r="C36792" t="s">
        <v>477</v>
      </c>
      <c r="D36792" t="s">
        <v>852</v>
      </c>
      <c r="F36792">
        <v>9.6257652121136606E-9</v>
      </c>
      <c r="G36792">
        <v>7168483</v>
      </c>
      <c r="H36792">
        <v>11411914</v>
      </c>
      <c r="I36792">
        <v>30192155</v>
      </c>
      <c r="J36792">
        <v>3</v>
      </c>
    </row>
    <row r="36793" spans="1:10" x14ac:dyDescent="0.25">
      <c r="A36793" t="s">
        <v>396</v>
      </c>
      <c r="B36793" s="1" t="str">
        <f>HYPERLINK("http://infratek.no","infratek.no")</f>
        <v>infratek.no</v>
      </c>
      <c r="C36793" t="s">
        <v>478</v>
      </c>
      <c r="D36793" t="s">
        <v>853</v>
      </c>
      <c r="F36793">
        <v>7.7189224789334299E-9</v>
      </c>
      <c r="G36793">
        <v>10531991</v>
      </c>
      <c r="H36793">
        <v>13198866</v>
      </c>
      <c r="I36793">
        <v>11557204</v>
      </c>
      <c r="J36793">
        <v>3</v>
      </c>
    </row>
    <row r="36794" spans="1:10" x14ac:dyDescent="0.25">
      <c r="A36794" t="s">
        <v>396</v>
      </c>
      <c r="B36794" s="1" t="str">
        <f>HYPERLINK("http://infratekelsikkerhet.no","infratekelsikkerhet.no")</f>
        <v>infratekelsikkerhet.no</v>
      </c>
      <c r="C36794" t="s">
        <v>478</v>
      </c>
      <c r="D36794" t="s">
        <v>853</v>
      </c>
      <c r="F36794">
        <v>5.53075015022068E-9</v>
      </c>
      <c r="G36794">
        <v>20576556</v>
      </c>
      <c r="H36794">
        <v>10668385</v>
      </c>
      <c r="I36794">
        <v>43021326</v>
      </c>
      <c r="J36794">
        <v>4</v>
      </c>
    </row>
    <row r="36795" spans="1:10" x14ac:dyDescent="0.25">
      <c r="A36795" t="s">
        <v>396</v>
      </c>
      <c r="B36795" s="1" t="str">
        <f>HYPERLINK("http://omexom.no","omexom.no")</f>
        <v>omexom.no</v>
      </c>
      <c r="C36795" t="s">
        <v>478</v>
      </c>
      <c r="D36795" t="s">
        <v>853</v>
      </c>
      <c r="F36795">
        <v>1.34430347391585E-8</v>
      </c>
      <c r="G36795">
        <v>4429493</v>
      </c>
      <c r="H36795">
        <v>12475082</v>
      </c>
      <c r="I36795">
        <v>17645532</v>
      </c>
      <c r="J36795">
        <v>3</v>
      </c>
    </row>
    <row r="36796" spans="1:10" x14ac:dyDescent="0.25">
      <c r="A36796" t="s">
        <v>396</v>
      </c>
      <c r="B36796" s="1" t="str">
        <f>HYPERLINK("http://vinci-energies.no","vinci-energies.no")</f>
        <v>vinci-energies.no</v>
      </c>
      <c r="C36796" t="s">
        <v>478</v>
      </c>
      <c r="D36796" t="s">
        <v>853</v>
      </c>
      <c r="F36796">
        <v>1.1993584439223601E-8</v>
      </c>
      <c r="G36796">
        <v>5180688</v>
      </c>
      <c r="H36796">
        <v>12381921</v>
      </c>
      <c r="I36796">
        <v>19172954</v>
      </c>
      <c r="J36796">
        <v>4</v>
      </c>
    </row>
    <row r="36797" spans="1:10" x14ac:dyDescent="0.25">
      <c r="A36797" t="s">
        <v>396</v>
      </c>
      <c r="B36797" s="1" t="str">
        <f>HYPERLINK("http://vincinordicfoundation.no","vincinordicfoundation.no")</f>
        <v>vincinordicfoundation.no</v>
      </c>
      <c r="C36797" t="s">
        <v>478</v>
      </c>
      <c r="D36797" t="s">
        <v>853</v>
      </c>
      <c r="F36797">
        <v>6.1157295881007403E-9</v>
      </c>
      <c r="G36797">
        <v>16005439</v>
      </c>
      <c r="H36797">
        <v>8783218</v>
      </c>
      <c r="I36797">
        <v>69477895</v>
      </c>
      <c r="J36797">
        <v>6</v>
      </c>
    </row>
    <row r="36798" spans="1:10" x14ac:dyDescent="0.25">
      <c r="A36798" t="s">
        <v>396</v>
      </c>
      <c r="B36798" s="1" t="str">
        <f>HYPERLINK("http://marchconstruction.co.nz","marchconstruction.co.nz")</f>
        <v>marchconstruction.co.nz</v>
      </c>
      <c r="C36798" t="s">
        <v>479</v>
      </c>
      <c r="D36798" t="s">
        <v>854</v>
      </c>
      <c r="F36798">
        <v>4.6047108436092499E-9</v>
      </c>
      <c r="G36798">
        <v>47251258</v>
      </c>
      <c r="H36798">
        <v>12058053</v>
      </c>
      <c r="I36798">
        <v>27052277</v>
      </c>
      <c r="J36798">
        <v>3</v>
      </c>
    </row>
    <row r="36799" spans="1:10" x14ac:dyDescent="0.25">
      <c r="A36799" t="s">
        <v>396</v>
      </c>
      <c r="B36799" s="1" t="str">
        <f>HYPERLINK("http://freyssinet.com.pa","freyssinet.com.pa")</f>
        <v>freyssinet.com.pa</v>
      </c>
      <c r="C36799" t="s">
        <v>482</v>
      </c>
      <c r="D36799" t="s">
        <v>856</v>
      </c>
      <c r="F36799">
        <v>5.0077177804149797E-9</v>
      </c>
      <c r="G36799">
        <v>29223264</v>
      </c>
      <c r="H36799">
        <v>11139191</v>
      </c>
      <c r="I36799">
        <v>31845164</v>
      </c>
      <c r="J36799">
        <v>5</v>
      </c>
    </row>
    <row r="36800" spans="1:10" x14ac:dyDescent="0.25">
      <c r="A36800" t="s">
        <v>396</v>
      </c>
      <c r="B36800" s="1" t="str">
        <f>HYPERLINK("http://limaexpresa.pe","limaexpresa.pe")</f>
        <v>limaexpresa.pe</v>
      </c>
      <c r="C36800" t="s">
        <v>483</v>
      </c>
      <c r="D36800" t="s">
        <v>857</v>
      </c>
      <c r="F36800">
        <v>9.8466258800685193E-9</v>
      </c>
      <c r="G36800">
        <v>6919633</v>
      </c>
      <c r="H36800">
        <v>12506961</v>
      </c>
      <c r="I36800">
        <v>17276847</v>
      </c>
      <c r="J36800">
        <v>3</v>
      </c>
    </row>
    <row r="36801" spans="1:10" x14ac:dyDescent="0.25">
      <c r="A36801" t="s">
        <v>396</v>
      </c>
      <c r="B36801" s="1" t="str">
        <f>HYPERLINK("http://axians.pl","axians.pl")</f>
        <v>axians.pl</v>
      </c>
      <c r="C36801" t="s">
        <v>486</v>
      </c>
      <c r="D36801" t="s">
        <v>860</v>
      </c>
      <c r="F36801">
        <v>1.40387721599218E-8</v>
      </c>
      <c r="G36801">
        <v>4188149</v>
      </c>
      <c r="H36801">
        <v>12310466</v>
      </c>
      <c r="I36801">
        <v>20605442</v>
      </c>
      <c r="J36801">
        <v>4</v>
      </c>
    </row>
    <row r="36802" spans="1:10" x14ac:dyDescent="0.25">
      <c r="A36802" t="s">
        <v>396</v>
      </c>
      <c r="B36802" s="1" t="str">
        <f>HYPERLINK("http://graniouatem.com.pl","graniouatem.com.pl")</f>
        <v>graniouatem.com.pl</v>
      </c>
      <c r="C36802" t="s">
        <v>486</v>
      </c>
      <c r="D36802" t="s">
        <v>860</v>
      </c>
      <c r="F36802">
        <v>4.6877195595189797E-9</v>
      </c>
      <c r="G36802">
        <v>41909693</v>
      </c>
      <c r="H36802">
        <v>12292288</v>
      </c>
      <c r="I36802">
        <v>21052136</v>
      </c>
      <c r="J36802">
        <v>3</v>
      </c>
    </row>
    <row r="36803" spans="1:10" x14ac:dyDescent="0.25">
      <c r="A36803" t="s">
        <v>396</v>
      </c>
      <c r="B36803" s="1" t="str">
        <f>HYPERLINK("http://eurovia.pl","eurovia.pl")</f>
        <v>eurovia.pl</v>
      </c>
      <c r="C36803" t="s">
        <v>486</v>
      </c>
      <c r="D36803" t="s">
        <v>860</v>
      </c>
      <c r="F36803">
        <v>2.38179637952596E-8</v>
      </c>
      <c r="G36803">
        <v>2181432</v>
      </c>
      <c r="H36803">
        <v>14076542</v>
      </c>
      <c r="I36803">
        <v>2884809</v>
      </c>
      <c r="J36803">
        <v>3</v>
      </c>
    </row>
    <row r="36804" spans="1:10" x14ac:dyDescent="0.25">
      <c r="A36804" t="s">
        <v>396</v>
      </c>
      <c r="B36804" s="1" t="str">
        <f>HYPERLINK("http://eurovia-kruszywa.pl","eurovia-kruszywa.pl")</f>
        <v>eurovia-kruszywa.pl</v>
      </c>
      <c r="C36804" t="s">
        <v>486</v>
      </c>
      <c r="D36804" t="s">
        <v>860</v>
      </c>
      <c r="J36804">
        <v>3</v>
      </c>
    </row>
    <row r="36805" spans="1:10" x14ac:dyDescent="0.25">
      <c r="A36805" t="s">
        <v>396</v>
      </c>
      <c r="B36805" s="1" t="str">
        <f>HYPERLINK("http://silesiaasfalty.pl","silesiaasfalty.pl")</f>
        <v>silesiaasfalty.pl</v>
      </c>
      <c r="C36805" t="s">
        <v>486</v>
      </c>
      <c r="D36805" t="s">
        <v>860</v>
      </c>
      <c r="F36805">
        <v>4.56392187821111E-9</v>
      </c>
      <c r="G36805">
        <v>50778122</v>
      </c>
      <c r="H36805">
        <v>10738416</v>
      </c>
      <c r="I36805">
        <v>40522279</v>
      </c>
      <c r="J36805">
        <v>3</v>
      </c>
    </row>
    <row r="36806" spans="1:10" x14ac:dyDescent="0.25">
      <c r="A36806" t="s">
        <v>396</v>
      </c>
      <c r="B36806" s="1" t="str">
        <f>HYPERLINK("http://snt.pl","snt.pl")</f>
        <v>snt.pl</v>
      </c>
      <c r="C36806" t="s">
        <v>486</v>
      </c>
      <c r="D36806" t="s">
        <v>860</v>
      </c>
      <c r="F36806">
        <v>2.3109910492266201E-8</v>
      </c>
      <c r="G36806">
        <v>2259053</v>
      </c>
      <c r="H36806">
        <v>13205938</v>
      </c>
      <c r="I36806">
        <v>11528281</v>
      </c>
      <c r="J36806">
        <v>3</v>
      </c>
    </row>
    <row r="36807" spans="1:10" x14ac:dyDescent="0.25">
      <c r="A36807" t="s">
        <v>396</v>
      </c>
      <c r="B36807" s="1" t="str">
        <f>HYPERLINK("http://soletanche.pl","soletanche.pl")</f>
        <v>soletanche.pl</v>
      </c>
      <c r="C36807" t="s">
        <v>486</v>
      </c>
      <c r="D36807" t="s">
        <v>860</v>
      </c>
      <c r="F36807">
        <v>1.14119783863748E-8</v>
      </c>
      <c r="G36807">
        <v>5566151</v>
      </c>
      <c r="H36807">
        <v>12250704</v>
      </c>
      <c r="I36807">
        <v>22002002</v>
      </c>
      <c r="J36807">
        <v>3</v>
      </c>
    </row>
    <row r="36808" spans="1:10" x14ac:dyDescent="0.25">
      <c r="A36808" t="s">
        <v>396</v>
      </c>
      <c r="B36808" s="1" t="str">
        <f>HYPERLINK("http://strabag.pl","strabag.pl")</f>
        <v>strabag.pl</v>
      </c>
      <c r="C36808" t="s">
        <v>486</v>
      </c>
      <c r="D36808" t="s">
        <v>860</v>
      </c>
      <c r="F36808">
        <v>6.8223876324942594E-8</v>
      </c>
      <c r="G36808">
        <v>625396</v>
      </c>
      <c r="H36808">
        <v>13785640</v>
      </c>
      <c r="I36808">
        <v>6399377</v>
      </c>
      <c r="J36808">
        <v>7</v>
      </c>
    </row>
    <row r="36809" spans="1:10" x14ac:dyDescent="0.25">
      <c r="A36809" t="s">
        <v>396</v>
      </c>
      <c r="B36809" s="1" t="str">
        <f>HYPERLINK("http://strabag-pfs.pl","strabag-pfs.pl")</f>
        <v>strabag-pfs.pl</v>
      </c>
      <c r="C36809" t="s">
        <v>486</v>
      </c>
      <c r="D36809" t="s">
        <v>860</v>
      </c>
      <c r="F36809">
        <v>7.2570047594559201E-9</v>
      </c>
      <c r="G36809">
        <v>11586599</v>
      </c>
      <c r="H36809">
        <v>10501139</v>
      </c>
      <c r="I36809">
        <v>50454581</v>
      </c>
      <c r="J36809">
        <v>9</v>
      </c>
    </row>
    <row r="36810" spans="1:10" x14ac:dyDescent="0.25">
      <c r="A36810" t="s">
        <v>396</v>
      </c>
      <c r="B36810" s="1" t="str">
        <f>HYPERLINK("http://vinci-energies.pl","vinci-energies.pl")</f>
        <v>vinci-energies.pl</v>
      </c>
      <c r="C36810" t="s">
        <v>486</v>
      </c>
      <c r="D36810" t="s">
        <v>860</v>
      </c>
      <c r="F36810">
        <v>1.2005512778668E-8</v>
      </c>
      <c r="G36810">
        <v>5171647</v>
      </c>
      <c r="H36810">
        <v>14072049</v>
      </c>
      <c r="I36810">
        <v>3178719</v>
      </c>
      <c r="J36810">
        <v>4</v>
      </c>
    </row>
    <row r="36811" spans="1:10" x14ac:dyDescent="0.25">
      <c r="A36811" t="s">
        <v>396</v>
      </c>
      <c r="B36811" s="1" t="str">
        <f>HYPERLINK("http://warbud.pl","warbud.pl")</f>
        <v>warbud.pl</v>
      </c>
      <c r="C36811" t="s">
        <v>486</v>
      </c>
      <c r="D36811" t="s">
        <v>860</v>
      </c>
      <c r="F36811">
        <v>2.52896662394227E-8</v>
      </c>
      <c r="G36811">
        <v>2040476</v>
      </c>
      <c r="H36811">
        <v>13936436</v>
      </c>
      <c r="I36811">
        <v>4495292</v>
      </c>
      <c r="J36811">
        <v>4</v>
      </c>
    </row>
    <row r="36812" spans="1:10" x14ac:dyDescent="0.25">
      <c r="A36812" t="s">
        <v>396</v>
      </c>
      <c r="B36812" s="1" t="str">
        <f>HYPERLINK("http://warbud-beton.pl","warbud-beton.pl")</f>
        <v>warbud-beton.pl</v>
      </c>
      <c r="C36812" t="s">
        <v>486</v>
      </c>
      <c r="D36812" t="s">
        <v>860</v>
      </c>
      <c r="F36812">
        <v>8.9251964617004494E-9</v>
      </c>
      <c r="G36812">
        <v>8105619</v>
      </c>
      <c r="H36812">
        <v>10886997</v>
      </c>
      <c r="I36812">
        <v>36183823</v>
      </c>
      <c r="J36812">
        <v>3</v>
      </c>
    </row>
    <row r="36813" spans="1:10" x14ac:dyDescent="0.25">
      <c r="A36813" t="s">
        <v>396</v>
      </c>
      <c r="B36813" s="1" t="str">
        <f>HYPERLINK("http://zwilling.pl","zwilling.pl")</f>
        <v>zwilling.pl</v>
      </c>
      <c r="C36813" t="s">
        <v>486</v>
      </c>
      <c r="D36813" t="s">
        <v>860</v>
      </c>
      <c r="F36813">
        <v>2.7307688079234299E-8</v>
      </c>
      <c r="G36813">
        <v>1882604</v>
      </c>
      <c r="H36813">
        <v>13764463</v>
      </c>
      <c r="I36813">
        <v>7261730</v>
      </c>
      <c r="J36813">
        <v>10</v>
      </c>
    </row>
    <row r="36814" spans="1:10" x14ac:dyDescent="0.25">
      <c r="A36814" t="s">
        <v>396</v>
      </c>
      <c r="B36814" s="1" t="str">
        <f>HYPERLINK("http://aeroportohorta.pt","aeroportohorta.pt")</f>
        <v>aeroportohorta.pt</v>
      </c>
      <c r="C36814" t="s">
        <v>488</v>
      </c>
      <c r="D36814" t="s">
        <v>862</v>
      </c>
      <c r="F36814">
        <v>1.2334271260893601E-8</v>
      </c>
      <c r="G36814">
        <v>4975370</v>
      </c>
      <c r="H36814">
        <v>12532670</v>
      </c>
      <c r="I36814">
        <v>17011698</v>
      </c>
      <c r="J36814">
        <v>6</v>
      </c>
    </row>
    <row r="36815" spans="1:10" x14ac:dyDescent="0.25">
      <c r="A36815" t="s">
        <v>396</v>
      </c>
      <c r="B36815" s="1" t="str">
        <f>HYPERLINK("http://ana.pt","ana.pt")</f>
        <v>ana.pt</v>
      </c>
      <c r="C36815" t="s">
        <v>488</v>
      </c>
      <c r="D36815" t="s">
        <v>862</v>
      </c>
      <c r="E36815">
        <v>90768</v>
      </c>
      <c r="F36815">
        <v>3.91958051998878E-7</v>
      </c>
      <c r="G36815">
        <v>95653</v>
      </c>
      <c r="H36815">
        <v>17313696</v>
      </c>
      <c r="I36815">
        <v>26445</v>
      </c>
      <c r="J36815">
        <v>4</v>
      </c>
    </row>
    <row r="36816" spans="1:10" x14ac:dyDescent="0.25">
      <c r="A36816" t="s">
        <v>396</v>
      </c>
      <c r="B36816" s="1" t="str">
        <f>HYPERLINK("http://cme.pt","cme.pt")</f>
        <v>cme.pt</v>
      </c>
      <c r="C36816" t="s">
        <v>488</v>
      </c>
      <c r="D36816" t="s">
        <v>862</v>
      </c>
      <c r="F36816">
        <v>1.17633748799789E-8</v>
      </c>
      <c r="G36816">
        <v>5325327</v>
      </c>
      <c r="H36816">
        <v>14120741</v>
      </c>
      <c r="I36816">
        <v>2330601</v>
      </c>
      <c r="J36816">
        <v>3</v>
      </c>
    </row>
    <row r="36817" spans="1:10" x14ac:dyDescent="0.25">
      <c r="A36817" t="s">
        <v>396</v>
      </c>
      <c r="B36817" s="1" t="str">
        <f>HYPERLINK("http://lusoponte.pt","lusoponte.pt")</f>
        <v>lusoponte.pt</v>
      </c>
      <c r="C36817" t="s">
        <v>488</v>
      </c>
      <c r="D36817" t="s">
        <v>862</v>
      </c>
      <c r="F36817">
        <v>3.1627696137639101E-8</v>
      </c>
      <c r="G36817">
        <v>1631931</v>
      </c>
      <c r="H36817">
        <v>14265777</v>
      </c>
      <c r="I36817">
        <v>1408206</v>
      </c>
      <c r="J36817">
        <v>3</v>
      </c>
    </row>
    <row r="36818" spans="1:10" x14ac:dyDescent="0.25">
      <c r="A36818" t="s">
        <v>396</v>
      </c>
      <c r="B36818" s="1" t="str">
        <f>HYPERLINK("http://procme.pt","procme.pt")</f>
        <v>procme.pt</v>
      </c>
      <c r="C36818" t="s">
        <v>488</v>
      </c>
      <c r="D36818" t="s">
        <v>862</v>
      </c>
      <c r="F36818">
        <v>1.5099040542093699E-8</v>
      </c>
      <c r="G36818">
        <v>3808032</v>
      </c>
      <c r="H36818">
        <v>13180694</v>
      </c>
      <c r="I36818">
        <v>11682738</v>
      </c>
      <c r="J36818">
        <v>3</v>
      </c>
    </row>
    <row r="36819" spans="1:10" x14ac:dyDescent="0.25">
      <c r="A36819" t="s">
        <v>396</v>
      </c>
      <c r="B36819" s="1" t="str">
        <f>HYPERLINK("http://rodio.pt","rodio.pt")</f>
        <v>rodio.pt</v>
      </c>
      <c r="C36819" t="s">
        <v>488</v>
      </c>
      <c r="D36819" t="s">
        <v>862</v>
      </c>
      <c r="F36819">
        <v>6.2151565752030402E-9</v>
      </c>
      <c r="G36819">
        <v>15455019</v>
      </c>
      <c r="H36819">
        <v>13361454</v>
      </c>
      <c r="I36819">
        <v>10511408</v>
      </c>
      <c r="J36819">
        <v>3</v>
      </c>
    </row>
    <row r="36820" spans="1:10" x14ac:dyDescent="0.25">
      <c r="A36820" t="s">
        <v>396</v>
      </c>
      <c r="B36820" s="1" t="str">
        <f>HYPERLINK("http://sotecnica.pt","sotecnica.pt")</f>
        <v>sotecnica.pt</v>
      </c>
      <c r="C36820" t="s">
        <v>488</v>
      </c>
      <c r="D36820" t="s">
        <v>862</v>
      </c>
      <c r="F36820">
        <v>1.4927685877909699E-8</v>
      </c>
      <c r="G36820">
        <v>3863483</v>
      </c>
      <c r="H36820">
        <v>12245668</v>
      </c>
      <c r="I36820">
        <v>22103239</v>
      </c>
      <c r="J36820">
        <v>4</v>
      </c>
    </row>
    <row r="36821" spans="1:10" x14ac:dyDescent="0.25">
      <c r="A36821" t="s">
        <v>396</v>
      </c>
      <c r="B36821" s="1" t="str">
        <f>HYPERLINK("http://vinci-energies.pt","vinci-energies.pt")</f>
        <v>vinci-energies.pt</v>
      </c>
      <c r="C36821" t="s">
        <v>488</v>
      </c>
      <c r="D36821" t="s">
        <v>862</v>
      </c>
      <c r="F36821">
        <v>1.6790255808948399E-8</v>
      </c>
      <c r="G36821">
        <v>3335676</v>
      </c>
      <c r="H36821">
        <v>14072055</v>
      </c>
      <c r="I36821">
        <v>3177730</v>
      </c>
      <c r="J36821">
        <v>3</v>
      </c>
    </row>
    <row r="36822" spans="1:10" x14ac:dyDescent="0.25">
      <c r="A36822" t="s">
        <v>396</v>
      </c>
      <c r="B36822" s="1" t="str">
        <f>HYPERLINK("http://qia.qa","qia.qa")</f>
        <v>qia.qa</v>
      </c>
      <c r="C36822" t="s">
        <v>490</v>
      </c>
      <c r="D36822" t="s">
        <v>864</v>
      </c>
      <c r="E36822">
        <v>377406</v>
      </c>
      <c r="F36822">
        <v>8.0900895339082106E-8</v>
      </c>
      <c r="G36822">
        <v>516048</v>
      </c>
      <c r="H36822">
        <v>14543216</v>
      </c>
      <c r="I36822">
        <v>772148</v>
      </c>
      <c r="J36822">
        <v>4</v>
      </c>
    </row>
    <row r="36823" spans="1:10" x14ac:dyDescent="0.25">
      <c r="A36823" t="s">
        <v>396</v>
      </c>
      <c r="B36823" s="1" t="str">
        <f>HYPERLINK("http://actemium.ro","actemium.ro")</f>
        <v>actemium.ro</v>
      </c>
      <c r="C36823" t="s">
        <v>491</v>
      </c>
      <c r="D36823" t="s">
        <v>865</v>
      </c>
      <c r="F36823">
        <v>8.0323712403236301E-9</v>
      </c>
      <c r="G36823">
        <v>9862107</v>
      </c>
      <c r="H36823">
        <v>11187556</v>
      </c>
      <c r="I36823">
        <v>31373323</v>
      </c>
      <c r="J36823">
        <v>5</v>
      </c>
    </row>
    <row r="36824" spans="1:10" x14ac:dyDescent="0.25">
      <c r="A36824" t="s">
        <v>396</v>
      </c>
      <c r="B36824" s="1" t="str">
        <f>HYPERLINK("http://strabag.ro","strabag.ro")</f>
        <v>strabag.ro</v>
      </c>
      <c r="C36824" t="s">
        <v>491</v>
      </c>
      <c r="D36824" t="s">
        <v>865</v>
      </c>
      <c r="F36824">
        <v>1.3437472610465899E-8</v>
      </c>
      <c r="G36824">
        <v>4431788</v>
      </c>
      <c r="H36824">
        <v>12274728</v>
      </c>
      <c r="I36824">
        <v>21420584</v>
      </c>
      <c r="J36824">
        <v>7</v>
      </c>
    </row>
    <row r="36825" spans="1:10" x14ac:dyDescent="0.25">
      <c r="A36825" t="s">
        <v>396</v>
      </c>
      <c r="B36825" s="1" t="str">
        <f>HYPERLINK("http://vinci-energies.ro","vinci-energies.ro")</f>
        <v>vinci-energies.ro</v>
      </c>
      <c r="C36825" t="s">
        <v>491</v>
      </c>
      <c r="D36825" t="s">
        <v>865</v>
      </c>
      <c r="F36825">
        <v>1.47232991411137E-8</v>
      </c>
      <c r="G36825">
        <v>3932917</v>
      </c>
      <c r="H36825">
        <v>12400256</v>
      </c>
      <c r="I36825">
        <v>18779082</v>
      </c>
      <c r="J36825">
        <v>4</v>
      </c>
    </row>
    <row r="36826" spans="1:10" x14ac:dyDescent="0.25">
      <c r="A36826" t="s">
        <v>396</v>
      </c>
      <c r="B36826" s="1" t="str">
        <f>HYPERLINK("http://snt.rs","snt.rs")</f>
        <v>snt.rs</v>
      </c>
      <c r="C36826" t="s">
        <v>492</v>
      </c>
      <c r="D36826" t="s">
        <v>866</v>
      </c>
      <c r="F36826">
        <v>1.4172049794686401E-8</v>
      </c>
      <c r="G36826">
        <v>4139086</v>
      </c>
      <c r="H36826">
        <v>12371492</v>
      </c>
      <c r="I36826">
        <v>19382194</v>
      </c>
      <c r="J36826">
        <v>5</v>
      </c>
    </row>
    <row r="36827" spans="1:10" x14ac:dyDescent="0.25">
      <c r="A36827" t="s">
        <v>396</v>
      </c>
      <c r="B36827" s="1" t="str">
        <f>HYPERLINK("http://freyssinet.ru","freyssinet.ru")</f>
        <v>freyssinet.ru</v>
      </c>
      <c r="C36827" t="s">
        <v>493</v>
      </c>
      <c r="D36827" t="s">
        <v>867</v>
      </c>
      <c r="E36827">
        <v>658816</v>
      </c>
      <c r="F36827">
        <v>5.2713075765491899E-9</v>
      </c>
      <c r="G36827">
        <v>23933969</v>
      </c>
      <c r="H36827">
        <v>11139192</v>
      </c>
      <c r="I36827">
        <v>31845154</v>
      </c>
      <c r="J36827">
        <v>5</v>
      </c>
    </row>
    <row r="36828" spans="1:10" x14ac:dyDescent="0.25">
      <c r="A36828" t="s">
        <v>396</v>
      </c>
      <c r="B36828" s="1" t="str">
        <f>HYPERLINK("http://zwilling.ru","zwilling.ru")</f>
        <v>zwilling.ru</v>
      </c>
      <c r="C36828" t="s">
        <v>493</v>
      </c>
      <c r="D36828" t="s">
        <v>867</v>
      </c>
      <c r="E36828">
        <v>997972</v>
      </c>
      <c r="F36828">
        <v>3.9945503676274701E-8</v>
      </c>
      <c r="G36828">
        <v>1293905</v>
      </c>
      <c r="H36828">
        <v>12468491</v>
      </c>
      <c r="I36828">
        <v>17775873</v>
      </c>
      <c r="J36828">
        <v>10</v>
      </c>
    </row>
    <row r="36829" spans="1:10" x14ac:dyDescent="0.25">
      <c r="A36829" t="s">
        <v>396</v>
      </c>
      <c r="B36829" s="1" t="str">
        <f>HYPERLINK("http://actemium.se","actemium.se")</f>
        <v>actemium.se</v>
      </c>
      <c r="C36829" t="s">
        <v>495</v>
      </c>
      <c r="D36829" t="s">
        <v>869</v>
      </c>
      <c r="F36829">
        <v>1.6517144597550399E-8</v>
      </c>
      <c r="G36829">
        <v>3409483</v>
      </c>
      <c r="H36829">
        <v>12599949</v>
      </c>
      <c r="I36829">
        <v>16326290</v>
      </c>
      <c r="J36829">
        <v>5</v>
      </c>
    </row>
    <row r="36830" spans="1:10" x14ac:dyDescent="0.25">
      <c r="A36830" t="s">
        <v>396</v>
      </c>
      <c r="B36830" s="1" t="str">
        <f>HYPERLINK("http://axians.se","axians.se")</f>
        <v>axians.se</v>
      </c>
      <c r="C36830" t="s">
        <v>495</v>
      </c>
      <c r="D36830" t="s">
        <v>869</v>
      </c>
      <c r="E36830">
        <v>598825</v>
      </c>
      <c r="F36830">
        <v>3.5147148947978302E-8</v>
      </c>
      <c r="G36830">
        <v>1478969</v>
      </c>
      <c r="H36830">
        <v>13839681</v>
      </c>
      <c r="I36830">
        <v>6075126</v>
      </c>
      <c r="J36830">
        <v>4</v>
      </c>
    </row>
    <row r="36831" spans="1:10" x14ac:dyDescent="0.25">
      <c r="A36831" t="s">
        <v>396</v>
      </c>
      <c r="B36831" s="1" t="str">
        <f>HYPERLINK("http://eitech.se","eitech.se")</f>
        <v>eitech.se</v>
      </c>
      <c r="C36831" t="s">
        <v>495</v>
      </c>
      <c r="D36831" t="s">
        <v>869</v>
      </c>
      <c r="F36831">
        <v>3.05111802908397E-8</v>
      </c>
      <c r="G36831">
        <v>1687729</v>
      </c>
      <c r="H36831">
        <v>12858046</v>
      </c>
      <c r="I36831">
        <v>14211286</v>
      </c>
      <c r="J36831">
        <v>3</v>
      </c>
    </row>
    <row r="36832" spans="1:10" x14ac:dyDescent="0.25">
      <c r="A36832" t="s">
        <v>396</v>
      </c>
      <c r="B36832" s="1" t="str">
        <f>HYPERLINK("http://emillundgren.se","emillundgren.se")</f>
        <v>emillundgren.se</v>
      </c>
      <c r="C36832" t="s">
        <v>495</v>
      </c>
      <c r="D36832" t="s">
        <v>869</v>
      </c>
      <c r="F36832">
        <v>2.13611805333703E-8</v>
      </c>
      <c r="G36832">
        <v>2466532</v>
      </c>
      <c r="H36832">
        <v>14124748</v>
      </c>
      <c r="I36832">
        <v>2137189</v>
      </c>
      <c r="J36832">
        <v>3</v>
      </c>
    </row>
    <row r="36833" spans="1:10" x14ac:dyDescent="0.25">
      <c r="A36833" t="s">
        <v>396</v>
      </c>
      <c r="B36833" s="1" t="str">
        <f>HYPERLINK("http://omexom.se","omexom.se")</f>
        <v>omexom.se</v>
      </c>
      <c r="C36833" t="s">
        <v>495</v>
      </c>
      <c r="D36833" t="s">
        <v>869</v>
      </c>
      <c r="F36833">
        <v>1.8002993529215601E-8</v>
      </c>
      <c r="G36833">
        <v>3029859</v>
      </c>
      <c r="H36833">
        <v>14077023</v>
      </c>
      <c r="I36833">
        <v>2874372</v>
      </c>
      <c r="J36833">
        <v>4</v>
      </c>
    </row>
    <row r="36834" spans="1:10" x14ac:dyDescent="0.25">
      <c r="A36834" t="s">
        <v>396</v>
      </c>
      <c r="B36834" s="1" t="str">
        <f>HYPERLINK("http://pkelektriska.se","pkelektriska.se")</f>
        <v>pkelektriska.se</v>
      </c>
      <c r="C36834" t="s">
        <v>495</v>
      </c>
      <c r="D36834" t="s">
        <v>869</v>
      </c>
      <c r="F36834">
        <v>5.2863529888554396E-9</v>
      </c>
      <c r="G36834">
        <v>23697235</v>
      </c>
      <c r="H36834">
        <v>13933286</v>
      </c>
      <c r="I36834">
        <v>4803191</v>
      </c>
      <c r="J36834">
        <v>3</v>
      </c>
    </row>
    <row r="36835" spans="1:10" x14ac:dyDescent="0.25">
      <c r="A36835" t="s">
        <v>396</v>
      </c>
      <c r="B36835" s="1" t="str">
        <f>HYPERLINK("http://vinci-energies.se","vinci-energies.se")</f>
        <v>vinci-energies.se</v>
      </c>
      <c r="C36835" t="s">
        <v>495</v>
      </c>
      <c r="D36835" t="s">
        <v>869</v>
      </c>
      <c r="F36835">
        <v>2.0972117106174999E-8</v>
      </c>
      <c r="G36835">
        <v>2519530</v>
      </c>
      <c r="H36835">
        <v>12515276</v>
      </c>
      <c r="I36835">
        <v>17191803</v>
      </c>
      <c r="J36835">
        <v>3</v>
      </c>
    </row>
    <row r="36836" spans="1:10" x14ac:dyDescent="0.25">
      <c r="A36836" t="s">
        <v>396</v>
      </c>
      <c r="B36836" s="1" t="str">
        <f>HYPERLINK("http://vincinordicfoundation.se","vincinordicfoundation.se")</f>
        <v>vincinordicfoundation.se</v>
      </c>
      <c r="C36836" t="s">
        <v>495</v>
      </c>
      <c r="D36836" t="s">
        <v>869</v>
      </c>
      <c r="F36836">
        <v>8.4210256385025903E-9</v>
      </c>
      <c r="G36836">
        <v>9000249</v>
      </c>
      <c r="H36836">
        <v>10351965</v>
      </c>
      <c r="I36836">
        <v>56095808</v>
      </c>
      <c r="J36836">
        <v>6</v>
      </c>
    </row>
    <row r="36837" spans="1:10" x14ac:dyDescent="0.25">
      <c r="A36837" t="s">
        <v>396</v>
      </c>
      <c r="B36837" s="1" t="str">
        <f>HYPERLINK("http://freyssinet.com.sg","freyssinet.com.sg")</f>
        <v>freyssinet.com.sg</v>
      </c>
      <c r="C36837" t="s">
        <v>496</v>
      </c>
      <c r="D36837" t="s">
        <v>870</v>
      </c>
      <c r="F36837">
        <v>5.0953144571658901E-9</v>
      </c>
      <c r="G36837">
        <v>27176192</v>
      </c>
      <c r="H36837">
        <v>11193682</v>
      </c>
      <c r="I36837">
        <v>31323586</v>
      </c>
      <c r="J36837">
        <v>5</v>
      </c>
    </row>
    <row r="36838" spans="1:10" x14ac:dyDescent="0.25">
      <c r="A36838" t="s">
        <v>396</v>
      </c>
      <c r="B36838" s="1" t="str">
        <f>HYPERLINK("http://iskratel.si","iskratel.si")</f>
        <v>iskratel.si</v>
      </c>
      <c r="C36838" t="s">
        <v>497</v>
      </c>
      <c r="D36838" t="s">
        <v>871</v>
      </c>
      <c r="E36838">
        <v>220385</v>
      </c>
      <c r="F36838">
        <v>1.32934400817323E-8</v>
      </c>
      <c r="G36838">
        <v>4496311</v>
      </c>
      <c r="H36838">
        <v>13764708</v>
      </c>
      <c r="I36838">
        <v>7206834</v>
      </c>
      <c r="J36838">
        <v>8</v>
      </c>
    </row>
    <row r="36839" spans="1:10" x14ac:dyDescent="0.25">
      <c r="A36839" t="s">
        <v>396</v>
      </c>
      <c r="B36839" s="1" t="str">
        <f>HYPERLINK("http://eurovia.sk","eurovia.sk")</f>
        <v>eurovia.sk</v>
      </c>
      <c r="C36839" t="s">
        <v>498</v>
      </c>
      <c r="D36839" t="s">
        <v>872</v>
      </c>
      <c r="F36839">
        <v>1.6796004233800901E-8</v>
      </c>
      <c r="G36839">
        <v>3334303</v>
      </c>
      <c r="H36839">
        <v>12260793</v>
      </c>
      <c r="I36839">
        <v>21747706</v>
      </c>
      <c r="J36839">
        <v>3</v>
      </c>
    </row>
    <row r="36840" spans="1:10" x14ac:dyDescent="0.25">
      <c r="A36840" t="s">
        <v>396</v>
      </c>
      <c r="B36840" s="1" t="str">
        <f>HYPERLINK("http://pr1bina.sk","pr1bina.sk")</f>
        <v>pr1bina.sk</v>
      </c>
      <c r="C36840" t="s">
        <v>498</v>
      </c>
      <c r="D36840" t="s">
        <v>872</v>
      </c>
      <c r="F36840">
        <v>2.4062784302432299E-8</v>
      </c>
      <c r="G36840">
        <v>2156893</v>
      </c>
      <c r="H36840">
        <v>14443517</v>
      </c>
      <c r="I36840">
        <v>1059574</v>
      </c>
      <c r="J36840">
        <v>4</v>
      </c>
    </row>
    <row r="36841" spans="1:10" x14ac:dyDescent="0.25">
      <c r="A36841" t="s">
        <v>396</v>
      </c>
      <c r="B36841" s="1" t="str">
        <f>HYPERLINK("http://snt.sk","snt.sk")</f>
        <v>snt.sk</v>
      </c>
      <c r="C36841" t="s">
        <v>498</v>
      </c>
      <c r="D36841" t="s">
        <v>872</v>
      </c>
      <c r="F36841">
        <v>1.0659546893036E-8</v>
      </c>
      <c r="G36841">
        <v>6133550</v>
      </c>
      <c r="H36841">
        <v>12456981</v>
      </c>
      <c r="I36841">
        <v>17912683</v>
      </c>
      <c r="J36841">
        <v>5</v>
      </c>
    </row>
    <row r="36842" spans="1:10" x14ac:dyDescent="0.25">
      <c r="A36842" t="s">
        <v>396</v>
      </c>
      <c r="B36842" s="1" t="str">
        <f>HYPERLINK("http://strabag.sk","strabag.sk")</f>
        <v>strabag.sk</v>
      </c>
      <c r="C36842" t="s">
        <v>498</v>
      </c>
      <c r="D36842" t="s">
        <v>872</v>
      </c>
      <c r="F36842">
        <v>3.7817627181587901E-8</v>
      </c>
      <c r="G36842">
        <v>1368346</v>
      </c>
      <c r="H36842">
        <v>12467613</v>
      </c>
      <c r="I36842">
        <v>17786450</v>
      </c>
      <c r="J36842">
        <v>7</v>
      </c>
    </row>
    <row r="36843" spans="1:10" x14ac:dyDescent="0.25">
      <c r="A36843" t="s">
        <v>396</v>
      </c>
      <c r="B36843" s="1" t="str">
        <f>HYPERLINK("http://strabag-pfs.sk","strabag-pfs.sk")</f>
        <v>strabag-pfs.sk</v>
      </c>
      <c r="C36843" t="s">
        <v>498</v>
      </c>
      <c r="D36843" t="s">
        <v>872</v>
      </c>
      <c r="F36843">
        <v>5.0884646674598197E-9</v>
      </c>
      <c r="G36843">
        <v>27320901</v>
      </c>
      <c r="H36843">
        <v>11951191</v>
      </c>
      <c r="I36843">
        <v>29136168</v>
      </c>
      <c r="J36843">
        <v>9</v>
      </c>
    </row>
    <row r="36844" spans="1:10" x14ac:dyDescent="0.25">
      <c r="A36844" t="s">
        <v>396</v>
      </c>
      <c r="B36844" s="1" t="str">
        <f>HYPERLINK("http://vinci-energies.sk","vinci-energies.sk")</f>
        <v>vinci-energies.sk</v>
      </c>
      <c r="C36844" t="s">
        <v>498</v>
      </c>
      <c r="D36844" t="s">
        <v>872</v>
      </c>
      <c r="F36844">
        <v>1.098079649803E-8</v>
      </c>
      <c r="G36844">
        <v>5875647</v>
      </c>
      <c r="H36844">
        <v>12176116</v>
      </c>
      <c r="I36844">
        <v>23903656</v>
      </c>
      <c r="J36844">
        <v>3</v>
      </c>
    </row>
    <row r="36845" spans="1:10" x14ac:dyDescent="0.25">
      <c r="A36845" t="s">
        <v>396</v>
      </c>
      <c r="B36845" s="1" t="str">
        <f>HYPERLINK("http://freyssinet.co.th","freyssinet.co.th")</f>
        <v>freyssinet.co.th</v>
      </c>
      <c r="C36845" t="s">
        <v>500</v>
      </c>
      <c r="D36845" t="s">
        <v>874</v>
      </c>
      <c r="F36845">
        <v>7.1978967600500198E-9</v>
      </c>
      <c r="G36845">
        <v>11746475</v>
      </c>
      <c r="H36845">
        <v>14072137</v>
      </c>
      <c r="I36845">
        <v>3154612</v>
      </c>
      <c r="J36845">
        <v>3</v>
      </c>
    </row>
    <row r="36846" spans="1:10" x14ac:dyDescent="0.25">
      <c r="A36846" t="s">
        <v>396</v>
      </c>
      <c r="B36846" s="1" t="str">
        <f>HYPERLINK("http://freysas.com.tr","freysas.com.tr")</f>
        <v>freysas.com.tr</v>
      </c>
      <c r="C36846" t="s">
        <v>502</v>
      </c>
      <c r="D36846" t="s">
        <v>876</v>
      </c>
      <c r="F36846">
        <v>6.5642126857465498E-9</v>
      </c>
      <c r="G36846">
        <v>13816480</v>
      </c>
      <c r="H36846">
        <v>14071793</v>
      </c>
      <c r="I36846">
        <v>3376650</v>
      </c>
      <c r="J36846">
        <v>3</v>
      </c>
    </row>
    <row r="36847" spans="1:10" x14ac:dyDescent="0.25">
      <c r="A36847" t="s">
        <v>396</v>
      </c>
      <c r="B36847" s="1" t="str">
        <f>HYPERLINK("http://zwilling.com.tr","zwilling.com.tr")</f>
        <v>zwilling.com.tr</v>
      </c>
      <c r="C36847" t="s">
        <v>502</v>
      </c>
      <c r="D36847" t="s">
        <v>876</v>
      </c>
      <c r="F36847">
        <v>4.6080415342968998E-9</v>
      </c>
      <c r="G36847">
        <v>46993930</v>
      </c>
      <c r="H36847">
        <v>10746298</v>
      </c>
      <c r="I36847">
        <v>40200929</v>
      </c>
      <c r="J36847">
        <v>10</v>
      </c>
    </row>
    <row r="36848" spans="1:10" x14ac:dyDescent="0.25">
      <c r="A36848" t="s">
        <v>396</v>
      </c>
      <c r="B36848" s="1" t="str">
        <f>HYPERLINK("http://actemium.co.uk","actemium.co.uk")</f>
        <v>actemium.co.uk</v>
      </c>
      <c r="C36848" t="s">
        <v>506</v>
      </c>
      <c r="D36848" t="s">
        <v>880</v>
      </c>
      <c r="F36848">
        <v>1.0091613113704299E-8</v>
      </c>
      <c r="G36848">
        <v>6657911</v>
      </c>
      <c r="H36848">
        <v>12476196</v>
      </c>
      <c r="I36848">
        <v>17635100</v>
      </c>
      <c r="J36848">
        <v>3</v>
      </c>
    </row>
    <row r="36849" spans="1:10" x14ac:dyDescent="0.25">
      <c r="A36849" t="s">
        <v>396</v>
      </c>
      <c r="B36849" s="1" t="str">
        <f>HYPERLINK("http://aquaforcejetting.co.uk","aquaforcejetting.co.uk")</f>
        <v>aquaforcejetting.co.uk</v>
      </c>
      <c r="C36849" t="s">
        <v>506</v>
      </c>
      <c r="D36849" t="s">
        <v>880</v>
      </c>
      <c r="J36849">
        <v>6</v>
      </c>
    </row>
    <row r="36850" spans="1:10" x14ac:dyDescent="0.25">
      <c r="A36850" t="s">
        <v>396</v>
      </c>
      <c r="B36850" s="1" t="str">
        <f>HYPERLINK("http://axians.co.uk","axians.co.uk")</f>
        <v>axians.co.uk</v>
      </c>
      <c r="C36850" t="s">
        <v>506</v>
      </c>
      <c r="D36850" t="s">
        <v>880</v>
      </c>
      <c r="F36850">
        <v>2.3350757890754201E-8</v>
      </c>
      <c r="G36850">
        <v>2233632</v>
      </c>
      <c r="H36850">
        <v>12815569</v>
      </c>
      <c r="I36850">
        <v>14534930</v>
      </c>
      <c r="J36850">
        <v>4</v>
      </c>
    </row>
    <row r="36851" spans="1:10" x14ac:dyDescent="0.25">
      <c r="A36851" t="s">
        <v>396</v>
      </c>
      <c r="B36851" s="1" t="str">
        <f>HYPERLINK("http://bacsol.co.uk","bacsol.co.uk")</f>
        <v>bacsol.co.uk</v>
      </c>
      <c r="C36851" t="s">
        <v>506</v>
      </c>
      <c r="D36851" t="s">
        <v>880</v>
      </c>
      <c r="F36851">
        <v>1.31616355234556E-8</v>
      </c>
      <c r="G36851">
        <v>4555552</v>
      </c>
      <c r="H36851">
        <v>14077532</v>
      </c>
      <c r="I36851">
        <v>2863536</v>
      </c>
      <c r="J36851">
        <v>4</v>
      </c>
    </row>
    <row r="36852" spans="1:10" x14ac:dyDescent="0.25">
      <c r="A36852" t="s">
        <v>396</v>
      </c>
      <c r="B36852" s="1" t="str">
        <f>HYPERLINK("http://eurovia.co.uk","eurovia.co.uk")</f>
        <v>eurovia.co.uk</v>
      </c>
      <c r="C36852" t="s">
        <v>506</v>
      </c>
      <c r="D36852" t="s">
        <v>880</v>
      </c>
      <c r="F36852">
        <v>1.5701156374162901E-8</v>
      </c>
      <c r="G36852">
        <v>3627113</v>
      </c>
      <c r="H36852">
        <v>13424814</v>
      </c>
      <c r="I36852">
        <v>10295659</v>
      </c>
      <c r="J36852">
        <v>3</v>
      </c>
    </row>
    <row r="36853" spans="1:10" x14ac:dyDescent="0.25">
      <c r="A36853" t="s">
        <v>396</v>
      </c>
      <c r="B36853" s="1" t="str">
        <f>HYPERLINK("http://freyssinet.co.uk","freyssinet.co.uk")</f>
        <v>freyssinet.co.uk</v>
      </c>
      <c r="C36853" t="s">
        <v>506</v>
      </c>
      <c r="D36853" t="s">
        <v>880</v>
      </c>
      <c r="F36853">
        <v>1.1091509507241999E-8</v>
      </c>
      <c r="G36853">
        <v>5791737</v>
      </c>
      <c r="H36853">
        <v>14242622</v>
      </c>
      <c r="I36853">
        <v>1482792</v>
      </c>
      <c r="J36853">
        <v>4</v>
      </c>
    </row>
    <row r="36854" spans="1:10" x14ac:dyDescent="0.25">
      <c r="A36854" t="s">
        <v>396</v>
      </c>
      <c r="B36854" s="1" t="str">
        <f>HYPERLINK("http://northwestprojects.co.uk","northwestprojects.co.uk")</f>
        <v>northwestprojects.co.uk</v>
      </c>
      <c r="C36854" t="s">
        <v>506</v>
      </c>
      <c r="D36854" t="s">
        <v>880</v>
      </c>
      <c r="F36854">
        <v>1.01076114626038E-8</v>
      </c>
      <c r="G36854">
        <v>6640461</v>
      </c>
      <c r="H36854">
        <v>12176107</v>
      </c>
      <c r="I36854">
        <v>23903780</v>
      </c>
      <c r="J36854">
        <v>3</v>
      </c>
    </row>
    <row r="36855" spans="1:10" x14ac:dyDescent="0.25">
      <c r="A36855" t="s">
        <v>396</v>
      </c>
      <c r="B36855" s="1" t="str">
        <f>HYPERLINK("http://nuvia.co.uk","nuvia.co.uk")</f>
        <v>nuvia.co.uk</v>
      </c>
      <c r="C36855" t="s">
        <v>506</v>
      </c>
      <c r="D36855" t="s">
        <v>880</v>
      </c>
      <c r="F36855">
        <v>1.33525692802937E-8</v>
      </c>
      <c r="G36855">
        <v>4470447</v>
      </c>
      <c r="H36855">
        <v>13942767</v>
      </c>
      <c r="I36855">
        <v>4325664</v>
      </c>
      <c r="J36855">
        <v>4</v>
      </c>
    </row>
    <row r="36856" spans="1:10" x14ac:dyDescent="0.25">
      <c r="A36856" t="s">
        <v>396</v>
      </c>
      <c r="B36856" s="1" t="str">
        <f>HYPERLINK("http://omexom.co.uk","omexom.co.uk")</f>
        <v>omexom.co.uk</v>
      </c>
      <c r="C36856" t="s">
        <v>506</v>
      </c>
      <c r="D36856" t="s">
        <v>880</v>
      </c>
      <c r="F36856">
        <v>1.51716536225127E-8</v>
      </c>
      <c r="G36856">
        <v>3784623</v>
      </c>
      <c r="H36856">
        <v>12388639</v>
      </c>
      <c r="I36856">
        <v>19074206</v>
      </c>
      <c r="J36856">
        <v>4</v>
      </c>
    </row>
    <row r="36857" spans="1:10" x14ac:dyDescent="0.25">
      <c r="A36857" t="s">
        <v>396</v>
      </c>
      <c r="B36857" s="1" t="str">
        <f>HYPERLINK("http://qsigroup.co.uk","qsigroup.co.uk")</f>
        <v>qsigroup.co.uk</v>
      </c>
      <c r="C36857" t="s">
        <v>506</v>
      </c>
      <c r="D36857" t="s">
        <v>880</v>
      </c>
      <c r="F36857">
        <v>5.2058137816225298E-9</v>
      </c>
      <c r="G36857">
        <v>24999621</v>
      </c>
      <c r="H36857">
        <v>11171745</v>
      </c>
      <c r="I36857">
        <v>31513106</v>
      </c>
      <c r="J36857">
        <v>3</v>
      </c>
    </row>
    <row r="36858" spans="1:10" x14ac:dyDescent="0.25">
      <c r="A36858" t="s">
        <v>396</v>
      </c>
      <c r="B36858" s="1" t="str">
        <f>HYPERLINK("http://ringway.co.uk","ringway.co.uk")</f>
        <v>ringway.co.uk</v>
      </c>
      <c r="C36858" t="s">
        <v>506</v>
      </c>
      <c r="D36858" t="s">
        <v>880</v>
      </c>
      <c r="E36858">
        <v>983378</v>
      </c>
      <c r="F36858">
        <v>1.14239124080484E-8</v>
      </c>
      <c r="G36858">
        <v>5558258</v>
      </c>
      <c r="H36858">
        <v>12527464</v>
      </c>
      <c r="I36858">
        <v>17069732</v>
      </c>
      <c r="J36858">
        <v>5</v>
      </c>
    </row>
    <row r="36859" spans="1:10" x14ac:dyDescent="0.25">
      <c r="A36859" t="s">
        <v>396</v>
      </c>
      <c r="B36859" s="1" t="str">
        <f>HYPERLINK("http://ringway-jacobs.co.uk","ringway-jacobs.co.uk")</f>
        <v>ringway-jacobs.co.uk</v>
      </c>
      <c r="C36859" t="s">
        <v>506</v>
      </c>
      <c r="D36859" t="s">
        <v>880</v>
      </c>
      <c r="F36859">
        <v>1.6583785383824899E-8</v>
      </c>
      <c r="G36859">
        <v>3393283</v>
      </c>
      <c r="H36859">
        <v>14044827</v>
      </c>
      <c r="I36859">
        <v>3902212</v>
      </c>
      <c r="J36859">
        <v>3</v>
      </c>
    </row>
    <row r="36860" spans="1:10" x14ac:dyDescent="0.25">
      <c r="A36860" t="s">
        <v>396</v>
      </c>
      <c r="B36860" s="1" t="str">
        <f>HYPERLINK("http://roger-bullivant.co.uk","roger-bullivant.co.uk")</f>
        <v>roger-bullivant.co.uk</v>
      </c>
      <c r="C36860" t="s">
        <v>506</v>
      </c>
      <c r="D36860" t="s">
        <v>880</v>
      </c>
      <c r="F36860">
        <v>8.3978729623700694E-9</v>
      </c>
      <c r="G36860">
        <v>9047253</v>
      </c>
      <c r="H36860">
        <v>12385481</v>
      </c>
      <c r="I36860">
        <v>19116404</v>
      </c>
      <c r="J36860">
        <v>3</v>
      </c>
    </row>
    <row r="36861" spans="1:10" x14ac:dyDescent="0.25">
      <c r="A36861" t="s">
        <v>396</v>
      </c>
      <c r="B36861" s="1" t="str">
        <f>HYPERLINK("http://soldata-ltd.co.uk","soldata-ltd.co.uk")</f>
        <v>soldata-ltd.co.uk</v>
      </c>
      <c r="C36861" t="s">
        <v>506</v>
      </c>
      <c r="D36861" t="s">
        <v>880</v>
      </c>
      <c r="F36861">
        <v>5.0756172240649296E-9</v>
      </c>
      <c r="G36861">
        <v>27609315</v>
      </c>
      <c r="H36861">
        <v>12234222</v>
      </c>
      <c r="I36861">
        <v>22398538</v>
      </c>
      <c r="J36861">
        <v>3</v>
      </c>
    </row>
    <row r="36862" spans="1:10" x14ac:dyDescent="0.25">
      <c r="A36862" t="s">
        <v>396</v>
      </c>
      <c r="B36862" s="1" t="str">
        <f>HYPERLINK("http://vibromenard.co.uk","vibromenard.co.uk")</f>
        <v>vibromenard.co.uk</v>
      </c>
      <c r="C36862" t="s">
        <v>506</v>
      </c>
      <c r="D36862" t="s">
        <v>880</v>
      </c>
      <c r="F36862">
        <v>6.1330638404784703E-9</v>
      </c>
      <c r="G36862">
        <v>15902203</v>
      </c>
      <c r="H36862">
        <v>11142741</v>
      </c>
      <c r="I36862">
        <v>31810044</v>
      </c>
      <c r="J36862">
        <v>3</v>
      </c>
    </row>
    <row r="36863" spans="1:10" x14ac:dyDescent="0.25">
      <c r="A36863" t="s">
        <v>396</v>
      </c>
      <c r="B36863" s="1" t="str">
        <f>HYPERLINK("http://vinci-energies.co.uk","vinci-energies.co.uk")</f>
        <v>vinci-energies.co.uk</v>
      </c>
      <c r="C36863" t="s">
        <v>506</v>
      </c>
      <c r="D36863" t="s">
        <v>880</v>
      </c>
      <c r="F36863">
        <v>1.2234159727490699E-8</v>
      </c>
      <c r="G36863">
        <v>5031172</v>
      </c>
      <c r="H36863">
        <v>12595917</v>
      </c>
      <c r="I36863">
        <v>16363130</v>
      </c>
      <c r="J36863">
        <v>3</v>
      </c>
    </row>
    <row r="36864" spans="1:10" x14ac:dyDescent="0.25">
      <c r="A36864" t="s">
        <v>396</v>
      </c>
      <c r="B36864" s="1" t="str">
        <f>HYPERLINK("http://vinciconstruction.co.uk","vinciconstruction.co.uk")</f>
        <v>vinciconstruction.co.uk</v>
      </c>
      <c r="C36864" t="s">
        <v>506</v>
      </c>
      <c r="D36864" t="s">
        <v>880</v>
      </c>
      <c r="E36864">
        <v>520174</v>
      </c>
      <c r="F36864">
        <v>3.6841610748140297E-8</v>
      </c>
      <c r="G36864">
        <v>1419202</v>
      </c>
      <c r="H36864">
        <v>14398877</v>
      </c>
      <c r="I36864">
        <v>1156079</v>
      </c>
      <c r="J36864">
        <v>3</v>
      </c>
    </row>
    <row r="36865" spans="1:10" x14ac:dyDescent="0.25">
      <c r="A36865" t="s">
        <v>396</v>
      </c>
      <c r="B36865" s="1" t="str">
        <f>HYPERLINK("http://vinci.plc.uk","vinci.plc.uk")</f>
        <v>vinci.plc.uk</v>
      </c>
      <c r="C36865" t="s">
        <v>506</v>
      </c>
      <c r="D36865" t="s">
        <v>880</v>
      </c>
      <c r="F36865">
        <v>1.0003992965098E-8</v>
      </c>
      <c r="G36865">
        <v>6751784</v>
      </c>
      <c r="H36865">
        <v>12277760</v>
      </c>
      <c r="I36865">
        <v>21353619</v>
      </c>
      <c r="J36865">
        <v>2</v>
      </c>
    </row>
    <row r="36866" spans="1:10" x14ac:dyDescent="0.25">
      <c r="A36866" t="s">
        <v>396</v>
      </c>
      <c r="B36866" s="1" t="str">
        <f>HYPERLINK("http://axians.us","axians.us")</f>
        <v>axians.us</v>
      </c>
      <c r="C36866" t="s">
        <v>522</v>
      </c>
      <c r="D36866" t="s">
        <v>891</v>
      </c>
      <c r="F36866">
        <v>6.4025460499763496E-9</v>
      </c>
      <c r="G36866">
        <v>14504914</v>
      </c>
      <c r="H36866">
        <v>12074812</v>
      </c>
      <c r="I36866">
        <v>26690095</v>
      </c>
      <c r="J36866">
        <v>4</v>
      </c>
    </row>
    <row r="36867" spans="1:10" x14ac:dyDescent="0.25">
      <c r="A36867" t="s">
        <v>396</v>
      </c>
      <c r="B36867" s="1" t="str">
        <f>HYPERLINK("http://bachy-soletanche.vn","bachy-soletanche.vn")</f>
        <v>bachy-soletanche.vn</v>
      </c>
      <c r="C36867" t="s">
        <v>509</v>
      </c>
      <c r="D36867" t="s">
        <v>883</v>
      </c>
      <c r="F36867">
        <v>8.4149278758399202E-9</v>
      </c>
      <c r="G36867">
        <v>9012509</v>
      </c>
      <c r="H36867">
        <v>11492464</v>
      </c>
      <c r="I36867">
        <v>30043402</v>
      </c>
      <c r="J36867">
        <v>7</v>
      </c>
    </row>
    <row r="36868" spans="1:10" x14ac:dyDescent="0.25">
      <c r="A36868" t="s">
        <v>397</v>
      </c>
      <c r="B36868" s="1" t="str">
        <f>HYPERLINK("http://visa.com.ag","visa.com.ag")</f>
        <v>visa.com.ag</v>
      </c>
      <c r="C36868" t="s">
        <v>564</v>
      </c>
      <c r="D36868" t="s">
        <v>912</v>
      </c>
      <c r="F36868">
        <v>5.7111070329103902E-8</v>
      </c>
      <c r="G36868">
        <v>781537</v>
      </c>
      <c r="H36868">
        <v>12976863</v>
      </c>
      <c r="I36868">
        <v>13009655</v>
      </c>
      <c r="J36868">
        <v>2</v>
      </c>
    </row>
    <row r="36869" spans="1:10" x14ac:dyDescent="0.25">
      <c r="A36869" t="s">
        <v>397</v>
      </c>
      <c r="B36869" s="1" t="str">
        <f>HYPERLINK("http://visa.com.ai","visa.com.ai")</f>
        <v>visa.com.ai</v>
      </c>
      <c r="C36869" t="s">
        <v>524</v>
      </c>
      <c r="D36869" t="s">
        <v>892</v>
      </c>
      <c r="F36869">
        <v>6.4515091558338395E-8</v>
      </c>
      <c r="G36869">
        <v>670599</v>
      </c>
      <c r="H36869">
        <v>13048178</v>
      </c>
      <c r="I36869">
        <v>12596904</v>
      </c>
      <c r="J36869">
        <v>2</v>
      </c>
    </row>
    <row r="36870" spans="1:10" x14ac:dyDescent="0.25">
      <c r="A36870" t="s">
        <v>397</v>
      </c>
      <c r="B36870" s="1" t="str">
        <f>HYPERLINK("http://visa.co.ao","visa.co.ao")</f>
        <v>visa.co.ao</v>
      </c>
      <c r="C36870" t="s">
        <v>566</v>
      </c>
      <c r="D36870" t="s">
        <v>914</v>
      </c>
      <c r="F36870">
        <v>4.6084028907917502E-9</v>
      </c>
      <c r="G36870">
        <v>46964998</v>
      </c>
      <c r="H36870">
        <v>11164958</v>
      </c>
      <c r="I36870">
        <v>31582350</v>
      </c>
      <c r="J36870">
        <v>2</v>
      </c>
    </row>
    <row r="36871" spans="1:10" x14ac:dyDescent="0.25">
      <c r="A36871" t="s">
        <v>397</v>
      </c>
      <c r="B36871" s="1" t="str">
        <f>HYPERLINK("http://visa.com.ar","visa.com.ar")</f>
        <v>visa.com.ar</v>
      </c>
      <c r="C36871" t="s">
        <v>418</v>
      </c>
      <c r="D36871" t="s">
        <v>800</v>
      </c>
      <c r="E36871">
        <v>108657</v>
      </c>
      <c r="F36871">
        <v>6.1676377888866405E-7</v>
      </c>
      <c r="G36871">
        <v>62062</v>
      </c>
      <c r="H36871">
        <v>14086623</v>
      </c>
      <c r="I36871">
        <v>2768838</v>
      </c>
      <c r="J36871">
        <v>2</v>
      </c>
    </row>
    <row r="36872" spans="1:10" x14ac:dyDescent="0.25">
      <c r="A36872" t="s">
        <v>397</v>
      </c>
      <c r="B36872" s="1" t="str">
        <f>HYPERLINK("http://visa.com.au","visa.com.au")</f>
        <v>visa.com.au</v>
      </c>
      <c r="C36872" t="s">
        <v>420</v>
      </c>
      <c r="D36872" t="s">
        <v>802</v>
      </c>
      <c r="E36872">
        <v>342850</v>
      </c>
      <c r="F36872">
        <v>2.0902420137730399E-7</v>
      </c>
      <c r="G36872">
        <v>181086</v>
      </c>
      <c r="H36872">
        <v>14464553</v>
      </c>
      <c r="I36872">
        <v>1045090</v>
      </c>
      <c r="J36872">
        <v>2</v>
      </c>
    </row>
    <row r="36873" spans="1:10" x14ac:dyDescent="0.25">
      <c r="A36873" t="s">
        <v>397</v>
      </c>
      <c r="B36873" s="1" t="str">
        <f>HYPERLINK("http://visa.com.az","visa.com.az")</f>
        <v>visa.com.az</v>
      </c>
      <c r="C36873" t="s">
        <v>561</v>
      </c>
      <c r="D36873" t="s">
        <v>911</v>
      </c>
      <c r="F36873">
        <v>8.8884189088187195E-8</v>
      </c>
      <c r="G36873">
        <v>460068</v>
      </c>
      <c r="H36873">
        <v>13255210</v>
      </c>
      <c r="I36873">
        <v>11059601</v>
      </c>
      <c r="J36873">
        <v>2</v>
      </c>
    </row>
    <row r="36874" spans="1:10" x14ac:dyDescent="0.25">
      <c r="A36874" t="s">
        <v>397</v>
      </c>
      <c r="B36874" s="1" t="str">
        <f>HYPERLINK("http://visa.com.bd","visa.com.bd")</f>
        <v>visa.com.bd</v>
      </c>
      <c r="C36874" t="s">
        <v>603</v>
      </c>
      <c r="D36874" t="s">
        <v>934</v>
      </c>
      <c r="F36874">
        <v>7.5365641146285104E-9</v>
      </c>
      <c r="G36874">
        <v>10933726</v>
      </c>
      <c r="H36874">
        <v>12708813</v>
      </c>
      <c r="I36874">
        <v>15309394</v>
      </c>
      <c r="J36874">
        <v>2</v>
      </c>
    </row>
    <row r="36875" spans="1:10" x14ac:dyDescent="0.25">
      <c r="A36875" t="s">
        <v>397</v>
      </c>
      <c r="B36875" s="1" t="str">
        <f>HYPERLINK("http://visa.be","visa.be")</f>
        <v>visa.be</v>
      </c>
      <c r="C36875" t="s">
        <v>421</v>
      </c>
      <c r="D36875" t="s">
        <v>803</v>
      </c>
      <c r="E36875">
        <v>761507</v>
      </c>
      <c r="F36875">
        <v>1.1727559974265701E-7</v>
      </c>
      <c r="G36875">
        <v>338835</v>
      </c>
      <c r="H36875">
        <v>13770095</v>
      </c>
      <c r="I36875">
        <v>6745107</v>
      </c>
      <c r="J36875">
        <v>2</v>
      </c>
    </row>
    <row r="36876" spans="1:10" x14ac:dyDescent="0.25">
      <c r="A36876" t="s">
        <v>397</v>
      </c>
      <c r="B36876" s="1" t="str">
        <f>HYPERLINK("http://visa.com.bo","visa.com.bo")</f>
        <v>visa.com.bo</v>
      </c>
      <c r="C36876" t="s">
        <v>424</v>
      </c>
      <c r="D36876" t="s">
        <v>805</v>
      </c>
      <c r="F36876">
        <v>6.5259678276467398E-8</v>
      </c>
      <c r="G36876">
        <v>659549</v>
      </c>
      <c r="H36876">
        <v>14082144</v>
      </c>
      <c r="I36876">
        <v>2802989</v>
      </c>
      <c r="J36876">
        <v>2</v>
      </c>
    </row>
    <row r="36877" spans="1:10" x14ac:dyDescent="0.25">
      <c r="A36877" t="s">
        <v>397</v>
      </c>
      <c r="B36877" s="1" t="str">
        <f>HYPERLINK("http://visa.com.br","visa.com.br")</f>
        <v>visa.com.br</v>
      </c>
      <c r="C36877" t="s">
        <v>425</v>
      </c>
      <c r="D36877" t="s">
        <v>806</v>
      </c>
      <c r="E36877">
        <v>177100</v>
      </c>
      <c r="F36877">
        <v>3.8820613176730798E-7</v>
      </c>
      <c r="G36877">
        <v>96501</v>
      </c>
      <c r="H36877">
        <v>15042658</v>
      </c>
      <c r="I36877">
        <v>416048</v>
      </c>
      <c r="J36877">
        <v>2</v>
      </c>
    </row>
    <row r="36878" spans="1:10" x14ac:dyDescent="0.25">
      <c r="A36878" t="s">
        <v>397</v>
      </c>
      <c r="B36878" s="1" t="str">
        <f>HYPERLINK("http://visa.com.bs","visa.com.bs")</f>
        <v>visa.com.bs</v>
      </c>
      <c r="C36878" t="s">
        <v>623</v>
      </c>
      <c r="D36878" t="s">
        <v>947</v>
      </c>
      <c r="F36878">
        <v>1.00930129925772E-7</v>
      </c>
      <c r="G36878">
        <v>398408</v>
      </c>
      <c r="H36878">
        <v>13630407</v>
      </c>
      <c r="I36878">
        <v>9617964</v>
      </c>
      <c r="J36878">
        <v>2</v>
      </c>
    </row>
    <row r="36879" spans="1:10" x14ac:dyDescent="0.25">
      <c r="A36879" t="s">
        <v>397</v>
      </c>
      <c r="B36879" s="1" t="str">
        <f>HYPERLINK("http://visa.com.by","visa.com.by")</f>
        <v>visa.com.by</v>
      </c>
      <c r="C36879" t="s">
        <v>427</v>
      </c>
      <c r="D36879" t="s">
        <v>808</v>
      </c>
      <c r="F36879">
        <v>1.9001020793432801E-8</v>
      </c>
      <c r="G36879">
        <v>2835843</v>
      </c>
      <c r="H36879">
        <v>12756794</v>
      </c>
      <c r="I36879">
        <v>14979323</v>
      </c>
      <c r="J36879">
        <v>2</v>
      </c>
    </row>
    <row r="36880" spans="1:10" x14ac:dyDescent="0.25">
      <c r="A36880" t="s">
        <v>397</v>
      </c>
      <c r="B36880" s="1" t="str">
        <f>HYPERLINK("http://visa.com.bz","visa.com.bz")</f>
        <v>visa.com.bz</v>
      </c>
      <c r="C36880" t="s">
        <v>590</v>
      </c>
      <c r="D36880" t="s">
        <v>926</v>
      </c>
      <c r="F36880">
        <v>5.7062976092004697E-8</v>
      </c>
      <c r="G36880">
        <v>782366</v>
      </c>
      <c r="H36880">
        <v>12976863</v>
      </c>
      <c r="I36880">
        <v>13009656</v>
      </c>
      <c r="J36880">
        <v>2</v>
      </c>
    </row>
    <row r="36881" spans="1:10" x14ac:dyDescent="0.25">
      <c r="A36881" t="s">
        <v>397</v>
      </c>
      <c r="B36881" s="1" t="str">
        <f>HYPERLINK("http://visa.ca","visa.ca")</f>
        <v>visa.ca</v>
      </c>
      <c r="C36881" t="s">
        <v>428</v>
      </c>
      <c r="D36881" t="s">
        <v>809</v>
      </c>
      <c r="E36881">
        <v>153413</v>
      </c>
      <c r="F36881">
        <v>1.0117862494543499E-6</v>
      </c>
      <c r="G36881">
        <v>37829</v>
      </c>
      <c r="H36881">
        <v>15284376</v>
      </c>
      <c r="I36881">
        <v>387342</v>
      </c>
      <c r="J36881">
        <v>2</v>
      </c>
    </row>
    <row r="36882" spans="1:10" x14ac:dyDescent="0.25">
      <c r="A36882" t="s">
        <v>397</v>
      </c>
      <c r="B36882" s="1" t="str">
        <f>HYPERLINK("http://visa.cl","visa.cl")</f>
        <v>visa.cl</v>
      </c>
      <c r="C36882" t="s">
        <v>430</v>
      </c>
      <c r="D36882" t="s">
        <v>811</v>
      </c>
      <c r="F36882">
        <v>1.2444676609429099E-7</v>
      </c>
      <c r="G36882">
        <v>317066</v>
      </c>
      <c r="H36882">
        <v>13327659</v>
      </c>
      <c r="I36882">
        <v>10726895</v>
      </c>
      <c r="J36882">
        <v>2</v>
      </c>
    </row>
    <row r="36883" spans="1:10" x14ac:dyDescent="0.25">
      <c r="A36883" t="s">
        <v>397</v>
      </c>
      <c r="B36883" s="1" t="str">
        <f>HYPERLINK("http://visa.com.cn","visa.com.cn")</f>
        <v>visa.com.cn</v>
      </c>
      <c r="C36883" t="s">
        <v>431</v>
      </c>
      <c r="D36883" t="s">
        <v>812</v>
      </c>
      <c r="E36883">
        <v>608091</v>
      </c>
      <c r="F36883">
        <v>1.80758067389379E-7</v>
      </c>
      <c r="G36883">
        <v>213721</v>
      </c>
      <c r="H36883">
        <v>13157741</v>
      </c>
      <c r="I36883">
        <v>11795558</v>
      </c>
      <c r="J36883">
        <v>3</v>
      </c>
    </row>
    <row r="36884" spans="1:10" x14ac:dyDescent="0.25">
      <c r="A36884" t="s">
        <v>397</v>
      </c>
      <c r="B36884" s="1" t="str">
        <f>HYPERLINK("http://visa.cn","visa.cn")</f>
        <v>visa.cn</v>
      </c>
      <c r="C36884" t="s">
        <v>431</v>
      </c>
      <c r="D36884" t="s">
        <v>812</v>
      </c>
      <c r="E36884">
        <v>330336</v>
      </c>
      <c r="F36884">
        <v>2.6671972811179502E-7</v>
      </c>
      <c r="G36884">
        <v>139742</v>
      </c>
      <c r="H36884">
        <v>13158996</v>
      </c>
      <c r="I36884">
        <v>11791137</v>
      </c>
      <c r="J36884">
        <v>2</v>
      </c>
    </row>
    <row r="36885" spans="1:10" x14ac:dyDescent="0.25">
      <c r="A36885" t="s">
        <v>397</v>
      </c>
      <c r="B36885" s="1" t="str">
        <f>HYPERLINK("http://visa.com.co","visa.com.co")</f>
        <v>visa.com.co</v>
      </c>
      <c r="C36885" t="s">
        <v>432</v>
      </c>
      <c r="F36885">
        <v>1.7236103986084599E-7</v>
      </c>
      <c r="G36885">
        <v>225039</v>
      </c>
      <c r="H36885">
        <v>13968205</v>
      </c>
      <c r="I36885">
        <v>4081591</v>
      </c>
      <c r="J36885">
        <v>2</v>
      </c>
    </row>
    <row r="36886" spans="1:10" x14ac:dyDescent="0.25">
      <c r="A36886" t="s">
        <v>397</v>
      </c>
      <c r="B36886" s="1" t="str">
        <f>HYPERLINK("http://baydonhill.com","baydonhill.com")</f>
        <v>baydonhill.com</v>
      </c>
      <c r="C36886" t="s">
        <v>433</v>
      </c>
      <c r="F36886">
        <v>6.85363199652557E-9</v>
      </c>
      <c r="G36886">
        <v>12783883</v>
      </c>
      <c r="H36886">
        <v>12459569</v>
      </c>
      <c r="I36886">
        <v>17886603</v>
      </c>
      <c r="J36886">
        <v>4</v>
      </c>
    </row>
    <row r="36887" spans="1:10" x14ac:dyDescent="0.25">
      <c r="A36887" t="s">
        <v>397</v>
      </c>
      <c r="B36887" s="1" t="str">
        <f>HYPERLINK("http://currencycloud.com","currencycloud.com")</f>
        <v>currencycloud.com</v>
      </c>
      <c r="C36887" t="s">
        <v>433</v>
      </c>
      <c r="E36887">
        <v>87899</v>
      </c>
      <c r="F36887">
        <v>3.5752208254270398E-7</v>
      </c>
      <c r="G36887">
        <v>104568</v>
      </c>
      <c r="H36887">
        <v>14328825</v>
      </c>
      <c r="I36887">
        <v>1324821</v>
      </c>
      <c r="J36887">
        <v>4</v>
      </c>
    </row>
    <row r="36888" spans="1:10" x14ac:dyDescent="0.25">
      <c r="A36888" t="s">
        <v>397</v>
      </c>
      <c r="B36888" s="1" t="str">
        <f>HYPERLINK("http://cybersource.com","cybersource.com")</f>
        <v>cybersource.com</v>
      </c>
      <c r="C36888" t="s">
        <v>433</v>
      </c>
      <c r="E36888">
        <v>7168</v>
      </c>
      <c r="F36888">
        <v>2.1894249417140601E-6</v>
      </c>
      <c r="G36888">
        <v>16758</v>
      </c>
      <c r="H36888">
        <v>17701298</v>
      </c>
      <c r="I36888">
        <v>7284</v>
      </c>
      <c r="J36888">
        <v>4</v>
      </c>
    </row>
    <row r="36889" spans="1:10" x14ac:dyDescent="0.25">
      <c r="A36889" t="s">
        <v>397</v>
      </c>
      <c r="B36889" s="1" t="str">
        <f>HYPERLINK("http://fraedom.com","fraedom.com")</f>
        <v>fraedom.com</v>
      </c>
      <c r="C36889" t="s">
        <v>433</v>
      </c>
      <c r="E36889">
        <v>37444</v>
      </c>
      <c r="F36889">
        <v>3.3177989922363797E-8</v>
      </c>
      <c r="G36889">
        <v>1557308</v>
      </c>
      <c r="H36889">
        <v>13969445</v>
      </c>
      <c r="I36889">
        <v>4078233</v>
      </c>
      <c r="J36889">
        <v>5</v>
      </c>
    </row>
    <row r="36890" spans="1:10" x14ac:dyDescent="0.25">
      <c r="A36890" t="s">
        <v>397</v>
      </c>
      <c r="B36890" s="1" t="str">
        <f>HYPERLINK("http://paylinx.com","paylinx.com")</f>
        <v>paylinx.com</v>
      </c>
      <c r="C36890" t="s">
        <v>433</v>
      </c>
      <c r="F36890">
        <v>1.72997130090498E-8</v>
      </c>
      <c r="G36890">
        <v>3199321</v>
      </c>
      <c r="H36890">
        <v>13806391</v>
      </c>
      <c r="I36890">
        <v>6231647</v>
      </c>
      <c r="J36890">
        <v>8</v>
      </c>
    </row>
    <row r="36891" spans="1:10" x14ac:dyDescent="0.25">
      <c r="A36891" t="s">
        <v>397</v>
      </c>
      <c r="B36891" s="1" t="str">
        <f>HYPERLINK("http://payworks.com","payworks.com")</f>
        <v>payworks.com</v>
      </c>
      <c r="C36891" t="s">
        <v>433</v>
      </c>
      <c r="E36891">
        <v>253830</v>
      </c>
      <c r="F36891">
        <v>2.5752694550925499E-8</v>
      </c>
      <c r="G36891">
        <v>2001706</v>
      </c>
      <c r="H36891">
        <v>12787758</v>
      </c>
      <c r="I36891">
        <v>14700267</v>
      </c>
      <c r="J36891">
        <v>7</v>
      </c>
    </row>
    <row r="36892" spans="1:10" x14ac:dyDescent="0.25">
      <c r="A36892" t="s">
        <v>397</v>
      </c>
      <c r="B36892" s="1" t="str">
        <f>HYPERLINK("http://thecurrencycloud.com","thecurrencycloud.com")</f>
        <v>thecurrencycloud.com</v>
      </c>
      <c r="C36892" t="s">
        <v>433</v>
      </c>
      <c r="F36892">
        <v>1.8294030707005799E-8</v>
      </c>
      <c r="G36892">
        <v>2968564</v>
      </c>
      <c r="H36892">
        <v>13984990</v>
      </c>
      <c r="I36892">
        <v>4041510</v>
      </c>
      <c r="J36892">
        <v>4</v>
      </c>
    </row>
    <row r="36893" spans="1:10" x14ac:dyDescent="0.25">
      <c r="A36893" t="s">
        <v>397</v>
      </c>
      <c r="B36893" s="1" t="str">
        <f>HYPERLINK("http://visa.com","visa.com")</f>
        <v>visa.com</v>
      </c>
      <c r="C36893" t="s">
        <v>433</v>
      </c>
      <c r="E36893">
        <v>2716</v>
      </c>
      <c r="F36893">
        <v>1.9076868794645998E-5</v>
      </c>
      <c r="G36893">
        <v>1610</v>
      </c>
      <c r="H36893">
        <v>18410014</v>
      </c>
      <c r="I36893">
        <v>1943</v>
      </c>
      <c r="J36893">
        <v>1</v>
      </c>
    </row>
    <row r="36894" spans="1:10" x14ac:dyDescent="0.25">
      <c r="A36894" t="s">
        <v>397</v>
      </c>
      <c r="B36894" s="1" t="str">
        <f>HYPERLINK("http://visaonline.com","visaonline.com")</f>
        <v>visaonline.com</v>
      </c>
      <c r="C36894" t="s">
        <v>433</v>
      </c>
      <c r="E36894">
        <v>31466</v>
      </c>
      <c r="F36894">
        <v>8.6991861907795598E-8</v>
      </c>
      <c r="G36894">
        <v>472027</v>
      </c>
      <c r="H36894">
        <v>13338709</v>
      </c>
      <c r="I36894">
        <v>10675554</v>
      </c>
      <c r="J36894">
        <v>2</v>
      </c>
    </row>
    <row r="36895" spans="1:10" x14ac:dyDescent="0.25">
      <c r="A36895" t="s">
        <v>397</v>
      </c>
      <c r="B36895" s="1" t="str">
        <f>HYPERLINK("http://visa.co.cr","visa.co.cr")</f>
        <v>visa.co.cr</v>
      </c>
      <c r="C36895" t="s">
        <v>434</v>
      </c>
      <c r="D36895" t="s">
        <v>813</v>
      </c>
      <c r="F36895">
        <v>6.6091653204253703E-8</v>
      </c>
      <c r="G36895">
        <v>649237</v>
      </c>
      <c r="H36895">
        <v>12995547</v>
      </c>
      <c r="I36895">
        <v>12820731</v>
      </c>
      <c r="J36895">
        <v>2</v>
      </c>
    </row>
    <row r="36896" spans="1:10" x14ac:dyDescent="0.25">
      <c r="A36896" t="s">
        <v>397</v>
      </c>
      <c r="B36896" s="1" t="str">
        <f>HYPERLINK("http://visa.com.cy","visa.com.cy")</f>
        <v>visa.com.cy</v>
      </c>
      <c r="C36896" t="s">
        <v>610</v>
      </c>
      <c r="D36896" t="s">
        <v>937</v>
      </c>
      <c r="F36896">
        <v>5.7366000457850801E-8</v>
      </c>
      <c r="G36896">
        <v>777412</v>
      </c>
      <c r="H36896">
        <v>12980572</v>
      </c>
      <c r="I36896">
        <v>12980866</v>
      </c>
      <c r="J36896">
        <v>2</v>
      </c>
    </row>
    <row r="36897" spans="1:10" x14ac:dyDescent="0.25">
      <c r="A36897" t="s">
        <v>397</v>
      </c>
      <c r="B36897" s="1" t="str">
        <f>HYPERLINK("http://visa.cz","visa.cz")</f>
        <v>visa.cz</v>
      </c>
      <c r="C36897" t="s">
        <v>435</v>
      </c>
      <c r="D36897" t="s">
        <v>814</v>
      </c>
      <c r="F36897">
        <v>1.44625111099627E-7</v>
      </c>
      <c r="G36897">
        <v>269185</v>
      </c>
      <c r="H36897">
        <v>13320613</v>
      </c>
      <c r="I36897">
        <v>10747042</v>
      </c>
      <c r="J36897">
        <v>2</v>
      </c>
    </row>
    <row r="36898" spans="1:10" x14ac:dyDescent="0.25">
      <c r="A36898" t="s">
        <v>397</v>
      </c>
      <c r="B36898" s="1" t="str">
        <f>HYPERLINK("http://visa.de","visa.de")</f>
        <v>visa.de</v>
      </c>
      <c r="C36898" t="s">
        <v>436</v>
      </c>
      <c r="D36898" t="s">
        <v>815</v>
      </c>
      <c r="E36898">
        <v>71914</v>
      </c>
      <c r="F36898">
        <v>2.9809782011645801E-6</v>
      </c>
      <c r="G36898">
        <v>13044</v>
      </c>
      <c r="H36898">
        <v>14944908</v>
      </c>
      <c r="I36898">
        <v>442223</v>
      </c>
      <c r="J36898">
        <v>2</v>
      </c>
    </row>
    <row r="36899" spans="1:10" x14ac:dyDescent="0.25">
      <c r="A36899" t="s">
        <v>397</v>
      </c>
      <c r="B36899" s="1" t="str">
        <f>HYPERLINK("http://visa.dk","visa.dk")</f>
        <v>visa.dk</v>
      </c>
      <c r="C36899" t="s">
        <v>437</v>
      </c>
      <c r="D36899" t="s">
        <v>816</v>
      </c>
      <c r="F36899">
        <v>1.2230079521346001E-7</v>
      </c>
      <c r="G36899">
        <v>322782</v>
      </c>
      <c r="H36899">
        <v>14089227</v>
      </c>
      <c r="I36899">
        <v>2754889</v>
      </c>
      <c r="J36899">
        <v>2</v>
      </c>
    </row>
    <row r="36900" spans="1:10" x14ac:dyDescent="0.25">
      <c r="A36900" t="s">
        <v>397</v>
      </c>
      <c r="B36900" s="1" t="str">
        <f>HYPERLINK("http://visa.dm","visa.dm")</f>
        <v>visa.dm</v>
      </c>
      <c r="C36900" t="s">
        <v>633</v>
      </c>
      <c r="D36900" t="s">
        <v>955</v>
      </c>
      <c r="F36900">
        <v>5.2121885212008801E-8</v>
      </c>
      <c r="G36900">
        <v>875809</v>
      </c>
      <c r="H36900">
        <v>12785624</v>
      </c>
      <c r="I36900">
        <v>14713100</v>
      </c>
      <c r="J36900">
        <v>2</v>
      </c>
    </row>
    <row r="36901" spans="1:10" x14ac:dyDescent="0.25">
      <c r="A36901" t="s">
        <v>397</v>
      </c>
      <c r="B36901" s="1" t="str">
        <f>HYPERLINK("http://visa.com.do","visa.com.do")</f>
        <v>visa.com.do</v>
      </c>
      <c r="C36901" t="s">
        <v>438</v>
      </c>
      <c r="D36901" t="s">
        <v>817</v>
      </c>
      <c r="F36901">
        <v>6.9417569938022105E-8</v>
      </c>
      <c r="G36901">
        <v>611712</v>
      </c>
      <c r="H36901">
        <v>13423249</v>
      </c>
      <c r="I36901">
        <v>10298564</v>
      </c>
      <c r="J36901">
        <v>2</v>
      </c>
    </row>
    <row r="36902" spans="1:10" x14ac:dyDescent="0.25">
      <c r="A36902" t="s">
        <v>397</v>
      </c>
      <c r="B36902" s="1" t="str">
        <f>HYPERLINK("http://visa.com.ec","visa.com.ec")</f>
        <v>visa.com.ec</v>
      </c>
      <c r="C36902" t="s">
        <v>440</v>
      </c>
      <c r="D36902" t="s">
        <v>819</v>
      </c>
      <c r="F36902">
        <v>6.7289208687802097E-8</v>
      </c>
      <c r="G36902">
        <v>635343</v>
      </c>
      <c r="H36902">
        <v>13173793</v>
      </c>
      <c r="I36902">
        <v>11712399</v>
      </c>
      <c r="J36902">
        <v>2</v>
      </c>
    </row>
    <row r="36903" spans="1:10" x14ac:dyDescent="0.25">
      <c r="A36903" t="s">
        <v>397</v>
      </c>
      <c r="B36903" s="1" t="str">
        <f>HYPERLINK("http://visa.ee","visa.ee")</f>
        <v>visa.ee</v>
      </c>
      <c r="C36903" t="s">
        <v>441</v>
      </c>
      <c r="D36903" t="s">
        <v>820</v>
      </c>
      <c r="F36903">
        <v>1.5502484897820901E-8</v>
      </c>
      <c r="G36903">
        <v>3683975</v>
      </c>
      <c r="H36903">
        <v>12761798</v>
      </c>
      <c r="I36903">
        <v>14940900</v>
      </c>
      <c r="J36903">
        <v>2</v>
      </c>
    </row>
    <row r="36904" spans="1:10" x14ac:dyDescent="0.25">
      <c r="A36904" t="s">
        <v>397</v>
      </c>
      <c r="B36904" s="1" t="str">
        <f>HYPERLINK("http://visa.es","visa.es")</f>
        <v>visa.es</v>
      </c>
      <c r="C36904" t="s">
        <v>443</v>
      </c>
      <c r="D36904" t="s">
        <v>822</v>
      </c>
      <c r="E36904">
        <v>641229</v>
      </c>
      <c r="F36904">
        <v>4.3042509683838699E-7</v>
      </c>
      <c r="G36904">
        <v>87526</v>
      </c>
      <c r="H36904">
        <v>13338406</v>
      </c>
      <c r="I36904">
        <v>10676388</v>
      </c>
      <c r="J36904">
        <v>2</v>
      </c>
    </row>
    <row r="36905" spans="1:10" x14ac:dyDescent="0.25">
      <c r="A36905" t="s">
        <v>397</v>
      </c>
      <c r="B36905" s="1" t="str">
        <f>HYPERLINK("http://cybersource.fi","cybersource.fi")</f>
        <v>cybersource.fi</v>
      </c>
      <c r="C36905" t="s">
        <v>445</v>
      </c>
      <c r="D36905" t="s">
        <v>823</v>
      </c>
      <c r="J36905">
        <v>2</v>
      </c>
    </row>
    <row r="36906" spans="1:10" x14ac:dyDescent="0.25">
      <c r="A36906" t="s">
        <v>397</v>
      </c>
      <c r="B36906" s="1" t="str">
        <f>HYPERLINK("http://paywave.fi","paywave.fi")</f>
        <v>paywave.fi</v>
      </c>
      <c r="C36906" t="s">
        <v>445</v>
      </c>
      <c r="D36906" t="s">
        <v>823</v>
      </c>
      <c r="J36906">
        <v>2</v>
      </c>
    </row>
    <row r="36907" spans="1:10" x14ac:dyDescent="0.25">
      <c r="A36907" t="s">
        <v>397</v>
      </c>
      <c r="B36907" s="1" t="str">
        <f>HYPERLINK("http://visa.fi","visa.fi")</f>
        <v>visa.fi</v>
      </c>
      <c r="C36907" t="s">
        <v>445</v>
      </c>
      <c r="D36907" t="s">
        <v>823</v>
      </c>
      <c r="F36907">
        <v>1.4065673121951501E-7</v>
      </c>
      <c r="G36907">
        <v>276875</v>
      </c>
      <c r="H36907">
        <v>14253904</v>
      </c>
      <c r="I36907">
        <v>1437799</v>
      </c>
      <c r="J36907">
        <v>2</v>
      </c>
    </row>
    <row r="36908" spans="1:10" x14ac:dyDescent="0.25">
      <c r="A36908" t="s">
        <v>397</v>
      </c>
      <c r="B36908" s="1" t="str">
        <f>HYPERLINK("http://visafinland.fi","visafinland.fi")</f>
        <v>visafinland.fi</v>
      </c>
      <c r="C36908" t="s">
        <v>445</v>
      </c>
      <c r="D36908" t="s">
        <v>823</v>
      </c>
      <c r="J36908">
        <v>2</v>
      </c>
    </row>
    <row r="36909" spans="1:10" x14ac:dyDescent="0.25">
      <c r="A36909" t="s">
        <v>397</v>
      </c>
      <c r="B36909" s="1" t="str">
        <f>HYPERLINK("http://visainc.fi","visainc.fi")</f>
        <v>visainc.fi</v>
      </c>
      <c r="C36909" t="s">
        <v>445</v>
      </c>
      <c r="D36909" t="s">
        <v>823</v>
      </c>
      <c r="J36909">
        <v>2</v>
      </c>
    </row>
    <row r="36910" spans="1:10" x14ac:dyDescent="0.25">
      <c r="A36910" t="s">
        <v>397</v>
      </c>
      <c r="B36910" s="1" t="str">
        <f>HYPERLINK("http://visapaywave.fi","visapaywave.fi")</f>
        <v>visapaywave.fi</v>
      </c>
      <c r="C36910" t="s">
        <v>445</v>
      </c>
      <c r="D36910" t="s">
        <v>823</v>
      </c>
      <c r="J36910">
        <v>2</v>
      </c>
    </row>
    <row r="36911" spans="1:10" x14ac:dyDescent="0.25">
      <c r="A36911" t="s">
        <v>397</v>
      </c>
      <c r="B36911" s="1" t="str">
        <f>HYPERLINK("http://vpay.fi","vpay.fi")</f>
        <v>vpay.fi</v>
      </c>
      <c r="C36911" t="s">
        <v>445</v>
      </c>
      <c r="D36911" t="s">
        <v>823</v>
      </c>
      <c r="J36911">
        <v>2</v>
      </c>
    </row>
    <row r="36912" spans="1:10" x14ac:dyDescent="0.25">
      <c r="A36912" t="s">
        <v>397</v>
      </c>
      <c r="B36912" s="1" t="str">
        <f>HYPERLINK("http://visa.fr","visa.fr")</f>
        <v>visa.fr</v>
      </c>
      <c r="C36912" t="s">
        <v>446</v>
      </c>
      <c r="D36912" t="s">
        <v>824</v>
      </c>
      <c r="E36912">
        <v>320740</v>
      </c>
      <c r="F36912">
        <v>3.7125470559675098E-7</v>
      </c>
      <c r="G36912">
        <v>100857</v>
      </c>
      <c r="H36912">
        <v>14523764</v>
      </c>
      <c r="I36912">
        <v>798462</v>
      </c>
      <c r="J36912">
        <v>2</v>
      </c>
    </row>
    <row r="36913" spans="1:10" x14ac:dyDescent="0.25">
      <c r="A36913" t="s">
        <v>397</v>
      </c>
      <c r="B36913" s="1" t="str">
        <f>HYPERLINK("http://visa.gd","visa.gd")</f>
        <v>visa.gd</v>
      </c>
      <c r="C36913" t="s">
        <v>685</v>
      </c>
      <c r="D36913" t="s">
        <v>1001</v>
      </c>
      <c r="F36913">
        <v>5.6865193798230401E-8</v>
      </c>
      <c r="G36913">
        <v>785535</v>
      </c>
      <c r="H36913">
        <v>12976863</v>
      </c>
      <c r="I36913">
        <v>13009660</v>
      </c>
      <c r="J36913">
        <v>2</v>
      </c>
    </row>
    <row r="36914" spans="1:10" x14ac:dyDescent="0.25">
      <c r="A36914" t="s">
        <v>397</v>
      </c>
      <c r="B36914" s="1" t="str">
        <f>HYPERLINK("http://visa.com.ge","visa.com.ge")</f>
        <v>visa.com.ge</v>
      </c>
      <c r="C36914" t="s">
        <v>637</v>
      </c>
      <c r="D36914" t="s">
        <v>958</v>
      </c>
      <c r="E36914">
        <v>265694</v>
      </c>
      <c r="F36914">
        <v>8.3466258319808999E-8</v>
      </c>
      <c r="G36914">
        <v>497477</v>
      </c>
      <c r="H36914">
        <v>13289486</v>
      </c>
      <c r="I36914">
        <v>10878253</v>
      </c>
      <c r="J36914">
        <v>2</v>
      </c>
    </row>
    <row r="36915" spans="1:10" x14ac:dyDescent="0.25">
      <c r="A36915" t="s">
        <v>397</v>
      </c>
      <c r="B36915" s="1" t="str">
        <f>HYPERLINK("http://visa.gp","visa.gp")</f>
        <v>visa.gp</v>
      </c>
      <c r="C36915" t="s">
        <v>645</v>
      </c>
      <c r="F36915">
        <v>5.7104788544228098E-8</v>
      </c>
      <c r="G36915">
        <v>781642</v>
      </c>
      <c r="H36915">
        <v>12976890</v>
      </c>
      <c r="I36915">
        <v>13009540</v>
      </c>
      <c r="J36915">
        <v>2</v>
      </c>
    </row>
    <row r="36916" spans="1:10" x14ac:dyDescent="0.25">
      <c r="A36916" t="s">
        <v>397</v>
      </c>
      <c r="B36916" s="1" t="str">
        <f>HYPERLINK("http://visa.gr","visa.gr")</f>
        <v>visa.gr</v>
      </c>
      <c r="C36916" t="s">
        <v>447</v>
      </c>
      <c r="D36916" t="s">
        <v>825</v>
      </c>
      <c r="F36916">
        <v>1.2369971409921601E-7</v>
      </c>
      <c r="G36916">
        <v>319037</v>
      </c>
      <c r="H36916">
        <v>14200219</v>
      </c>
      <c r="I36916">
        <v>1723900</v>
      </c>
      <c r="J36916">
        <v>2</v>
      </c>
    </row>
    <row r="36917" spans="1:10" x14ac:dyDescent="0.25">
      <c r="A36917" t="s">
        <v>397</v>
      </c>
      <c r="B36917" s="1" t="str">
        <f>HYPERLINK("http://visa.com.gt","visa.com.gt")</f>
        <v>visa.com.gt</v>
      </c>
      <c r="C36917" t="s">
        <v>448</v>
      </c>
      <c r="D36917" t="s">
        <v>826</v>
      </c>
      <c r="F36917">
        <v>6.6321228267316394E-8</v>
      </c>
      <c r="G36917">
        <v>646379</v>
      </c>
      <c r="H36917">
        <v>13955028</v>
      </c>
      <c r="I36917">
        <v>4140688</v>
      </c>
      <c r="J36917">
        <v>2</v>
      </c>
    </row>
    <row r="36918" spans="1:10" x14ac:dyDescent="0.25">
      <c r="A36918" t="s">
        <v>397</v>
      </c>
      <c r="B36918" s="1" t="str">
        <f>HYPERLINK("http://visa.com.gy","visa.com.gy")</f>
        <v>visa.com.gy</v>
      </c>
      <c r="C36918" t="s">
        <v>593</v>
      </c>
      <c r="D36918" t="s">
        <v>928</v>
      </c>
      <c r="F36918">
        <v>5.7059353281028901E-8</v>
      </c>
      <c r="G36918">
        <v>782421</v>
      </c>
      <c r="H36918">
        <v>12976863</v>
      </c>
      <c r="I36918">
        <v>13009661</v>
      </c>
      <c r="J36918">
        <v>2</v>
      </c>
    </row>
    <row r="36919" spans="1:10" x14ac:dyDescent="0.25">
      <c r="A36919" t="s">
        <v>397</v>
      </c>
      <c r="B36919" s="1" t="str">
        <f>HYPERLINK("http://visa.com.hk","visa.com.hk")</f>
        <v>visa.com.hk</v>
      </c>
      <c r="C36919" t="s">
        <v>450</v>
      </c>
      <c r="D36919" t="s">
        <v>827</v>
      </c>
      <c r="F36919">
        <v>2.0480402990593399E-7</v>
      </c>
      <c r="G36919">
        <v>185500</v>
      </c>
      <c r="H36919">
        <v>14285294</v>
      </c>
      <c r="I36919">
        <v>1372297</v>
      </c>
      <c r="J36919">
        <v>2</v>
      </c>
    </row>
    <row r="36920" spans="1:10" x14ac:dyDescent="0.25">
      <c r="A36920" t="s">
        <v>397</v>
      </c>
      <c r="B36920" s="1" t="str">
        <f>HYPERLINK("http://visa.com.hn","visa.com.hn")</f>
        <v>visa.com.hn</v>
      </c>
      <c r="C36920" t="s">
        <v>451</v>
      </c>
      <c r="D36920" t="s">
        <v>828</v>
      </c>
      <c r="F36920">
        <v>5.9608315188035601E-8</v>
      </c>
      <c r="G36920">
        <v>741381</v>
      </c>
      <c r="H36920">
        <v>12976913</v>
      </c>
      <c r="I36920">
        <v>13009450</v>
      </c>
      <c r="J36920">
        <v>2</v>
      </c>
    </row>
    <row r="36921" spans="1:10" x14ac:dyDescent="0.25">
      <c r="A36921" t="s">
        <v>397</v>
      </c>
      <c r="B36921" s="1" t="str">
        <f>HYPERLINK("http://visa.com.hr","visa.com.hr")</f>
        <v>visa.com.hr</v>
      </c>
      <c r="C36921" t="s">
        <v>452</v>
      </c>
      <c r="D36921" t="s">
        <v>829</v>
      </c>
      <c r="E36921">
        <v>676495</v>
      </c>
      <c r="F36921">
        <v>6.0613078714922803E-7</v>
      </c>
      <c r="G36921">
        <v>63093</v>
      </c>
      <c r="H36921">
        <v>13521315</v>
      </c>
      <c r="I36921">
        <v>9937092</v>
      </c>
      <c r="J36921">
        <v>2</v>
      </c>
    </row>
    <row r="36922" spans="1:10" x14ac:dyDescent="0.25">
      <c r="A36922" t="s">
        <v>397</v>
      </c>
      <c r="B36922" s="1" t="str">
        <f>HYPERLINK("http://visa.hu","visa.hu")</f>
        <v>visa.hu</v>
      </c>
      <c r="C36922" t="s">
        <v>453</v>
      </c>
      <c r="D36922" t="s">
        <v>830</v>
      </c>
      <c r="F36922">
        <v>8.6282712481028601E-8</v>
      </c>
      <c r="G36922">
        <v>476700</v>
      </c>
      <c r="H36922">
        <v>13027833</v>
      </c>
      <c r="I36922">
        <v>12679961</v>
      </c>
      <c r="J36922">
        <v>2</v>
      </c>
    </row>
    <row r="36923" spans="1:10" x14ac:dyDescent="0.25">
      <c r="A36923" t="s">
        <v>397</v>
      </c>
      <c r="B36923" s="1" t="str">
        <f>HYPERLINK("http://visa.co.id","visa.co.id")</f>
        <v>visa.co.id</v>
      </c>
      <c r="C36923" t="s">
        <v>454</v>
      </c>
      <c r="D36923" t="s">
        <v>831</v>
      </c>
      <c r="E36923">
        <v>899376</v>
      </c>
      <c r="F36923">
        <v>8.6112938330508099E-8</v>
      </c>
      <c r="G36923">
        <v>477781</v>
      </c>
      <c r="H36923">
        <v>13131401</v>
      </c>
      <c r="I36923">
        <v>11930755</v>
      </c>
      <c r="J36923">
        <v>2</v>
      </c>
    </row>
    <row r="36924" spans="1:10" x14ac:dyDescent="0.25">
      <c r="A36924" t="s">
        <v>397</v>
      </c>
      <c r="B36924" s="1" t="str">
        <f>HYPERLINK("http://visa.ie","visa.ie")</f>
        <v>visa.ie</v>
      </c>
      <c r="C36924" t="s">
        <v>455</v>
      </c>
      <c r="D36924" t="s">
        <v>832</v>
      </c>
      <c r="F36924">
        <v>2.9750655257113198E-7</v>
      </c>
      <c r="G36924">
        <v>125009</v>
      </c>
      <c r="H36924">
        <v>13580037</v>
      </c>
      <c r="I36924">
        <v>9689889</v>
      </c>
      <c r="J36924">
        <v>2</v>
      </c>
    </row>
    <row r="36925" spans="1:10" x14ac:dyDescent="0.25">
      <c r="A36925" t="s">
        <v>397</v>
      </c>
      <c r="B36925" s="1" t="str">
        <f>HYPERLINK("http://visa.co.il","visa.co.il")</f>
        <v>visa.co.il</v>
      </c>
      <c r="C36925" t="s">
        <v>456</v>
      </c>
      <c r="D36925" t="s">
        <v>833</v>
      </c>
      <c r="F36925">
        <v>5.8705612019173198E-8</v>
      </c>
      <c r="G36925">
        <v>756066</v>
      </c>
      <c r="H36925">
        <v>13099420</v>
      </c>
      <c r="I36925">
        <v>12107531</v>
      </c>
      <c r="J36925">
        <v>2</v>
      </c>
    </row>
    <row r="36926" spans="1:10" x14ac:dyDescent="0.25">
      <c r="A36926" t="s">
        <v>397</v>
      </c>
      <c r="B36926" s="1" t="str">
        <f>HYPERLINK("http://visa.co.in","visa.co.in")</f>
        <v>visa.co.in</v>
      </c>
      <c r="C36926" t="s">
        <v>457</v>
      </c>
      <c r="D36926" t="s">
        <v>834</v>
      </c>
      <c r="E36926">
        <v>320164</v>
      </c>
      <c r="F36926">
        <v>6.0438291933654204E-7</v>
      </c>
      <c r="G36926">
        <v>63271</v>
      </c>
      <c r="H36926">
        <v>14235560</v>
      </c>
      <c r="I36926">
        <v>1668080</v>
      </c>
      <c r="J36926">
        <v>2</v>
      </c>
    </row>
    <row r="36927" spans="1:10" x14ac:dyDescent="0.25">
      <c r="A36927" t="s">
        <v>397</v>
      </c>
      <c r="B36927" s="1" t="str">
        <f>HYPERLINK("http://visa.is","visa.is")</f>
        <v>visa.is</v>
      </c>
      <c r="C36927" t="s">
        <v>594</v>
      </c>
      <c r="D36927" t="s">
        <v>929</v>
      </c>
      <c r="F36927">
        <v>6.4095047112937806E-8</v>
      </c>
      <c r="G36927">
        <v>675989</v>
      </c>
      <c r="H36927">
        <v>13328499</v>
      </c>
      <c r="I36927">
        <v>10724972</v>
      </c>
      <c r="J36927">
        <v>2</v>
      </c>
    </row>
    <row r="36928" spans="1:10" x14ac:dyDescent="0.25">
      <c r="A36928" t="s">
        <v>397</v>
      </c>
      <c r="B36928" s="1" t="str">
        <f>HYPERLINK("http://visa.com.jm","visa.com.jm")</f>
        <v>visa.com.jm</v>
      </c>
      <c r="C36928" t="s">
        <v>460</v>
      </c>
      <c r="D36928" t="s">
        <v>836</v>
      </c>
      <c r="F36928">
        <v>5.8985354214287903E-8</v>
      </c>
      <c r="G36928">
        <v>751849</v>
      </c>
      <c r="H36928">
        <v>12980116</v>
      </c>
      <c r="I36928">
        <v>12991664</v>
      </c>
      <c r="J36928">
        <v>2</v>
      </c>
    </row>
    <row r="36929" spans="1:10" x14ac:dyDescent="0.25">
      <c r="A36929" t="s">
        <v>397</v>
      </c>
      <c r="B36929" s="1" t="str">
        <f>HYPERLINK("http://cybersource.co.jp","cybersource.co.jp")</f>
        <v>cybersource.co.jp</v>
      </c>
      <c r="C36929" t="s">
        <v>461</v>
      </c>
      <c r="D36929" t="s">
        <v>837</v>
      </c>
      <c r="F36929">
        <v>4.5497496278563996E-9</v>
      </c>
      <c r="G36929">
        <v>52217112</v>
      </c>
      <c r="H36929">
        <v>11200790</v>
      </c>
      <c r="I36929">
        <v>31244485</v>
      </c>
      <c r="J36929">
        <v>7</v>
      </c>
    </row>
    <row r="36930" spans="1:10" x14ac:dyDescent="0.25">
      <c r="A36930" t="s">
        <v>397</v>
      </c>
      <c r="B36930" s="1" t="str">
        <f>HYPERLINK("http://visa.co.jp","visa.co.jp")</f>
        <v>visa.co.jp</v>
      </c>
      <c r="C36930" t="s">
        <v>461</v>
      </c>
      <c r="D36930" t="s">
        <v>837</v>
      </c>
      <c r="E36930">
        <v>196443</v>
      </c>
      <c r="F36930">
        <v>7.1846956536480196E-7</v>
      </c>
      <c r="G36930">
        <v>54038</v>
      </c>
      <c r="H36930">
        <v>16957860</v>
      </c>
      <c r="I36930">
        <v>106179</v>
      </c>
      <c r="J36930">
        <v>2</v>
      </c>
    </row>
    <row r="36931" spans="1:10" x14ac:dyDescent="0.25">
      <c r="A36931" t="s">
        <v>397</v>
      </c>
      <c r="B36931" s="1" t="str">
        <f>HYPERLINK("http://visa.co.ke","visa.co.ke")</f>
        <v>visa.co.ke</v>
      </c>
      <c r="C36931" t="s">
        <v>462</v>
      </c>
      <c r="D36931" t="s">
        <v>838</v>
      </c>
      <c r="F36931">
        <v>7.3559005137706694E-8</v>
      </c>
      <c r="G36931">
        <v>572841</v>
      </c>
      <c r="H36931">
        <v>13549179</v>
      </c>
      <c r="I36931">
        <v>9898117</v>
      </c>
      <c r="J36931">
        <v>2</v>
      </c>
    </row>
    <row r="36932" spans="1:10" x14ac:dyDescent="0.25">
      <c r="A36932" t="s">
        <v>397</v>
      </c>
      <c r="B36932" s="1" t="str">
        <f>HYPERLINK("http://visa.com.kh","visa.com.kh")</f>
        <v>visa.com.kh</v>
      </c>
      <c r="C36932" t="s">
        <v>512</v>
      </c>
      <c r="D36932" t="s">
        <v>886</v>
      </c>
      <c r="F36932">
        <v>6.4391625556293297E-8</v>
      </c>
      <c r="G36932">
        <v>672153</v>
      </c>
      <c r="H36932">
        <v>12984864</v>
      </c>
      <c r="I36932">
        <v>12907542</v>
      </c>
      <c r="J36932">
        <v>2</v>
      </c>
    </row>
    <row r="36933" spans="1:10" x14ac:dyDescent="0.25">
      <c r="A36933" t="s">
        <v>397</v>
      </c>
      <c r="B36933" s="1" t="str">
        <f>HYPERLINK("http://visa.ky","visa.ky")</f>
        <v>visa.ky</v>
      </c>
      <c r="C36933" t="s">
        <v>752</v>
      </c>
      <c r="D36933" t="s">
        <v>1011</v>
      </c>
      <c r="F36933">
        <v>5.6890607097708401E-8</v>
      </c>
      <c r="G36933">
        <v>785121</v>
      </c>
      <c r="H36933">
        <v>12976863</v>
      </c>
      <c r="I36933">
        <v>13009662</v>
      </c>
      <c r="J36933">
        <v>2</v>
      </c>
    </row>
    <row r="36934" spans="1:10" x14ac:dyDescent="0.25">
      <c r="A36934" t="s">
        <v>397</v>
      </c>
      <c r="B36934" s="1" t="str">
        <f>HYPERLINK("http://visa.com.kz","visa.com.kz")</f>
        <v>visa.com.kz</v>
      </c>
      <c r="C36934" t="s">
        <v>465</v>
      </c>
      <c r="D36934" t="s">
        <v>841</v>
      </c>
      <c r="E36934">
        <v>596599</v>
      </c>
      <c r="F36934">
        <v>8.4071212034115404E-8</v>
      </c>
      <c r="G36934">
        <v>492140</v>
      </c>
      <c r="H36934">
        <v>13289466</v>
      </c>
      <c r="I36934">
        <v>10878327</v>
      </c>
      <c r="J36934">
        <v>2</v>
      </c>
    </row>
    <row r="36935" spans="1:10" x14ac:dyDescent="0.25">
      <c r="A36935" t="s">
        <v>397</v>
      </c>
      <c r="B36935" s="1" t="str">
        <f>HYPERLINK("http://visa.com.lc","visa.com.lc")</f>
        <v>visa.com.lc</v>
      </c>
      <c r="C36935" t="s">
        <v>687</v>
      </c>
      <c r="D36935" t="s">
        <v>1004</v>
      </c>
      <c r="F36935">
        <v>5.6871147185151202E-8</v>
      </c>
      <c r="G36935">
        <v>785443</v>
      </c>
      <c r="H36935">
        <v>12976863</v>
      </c>
      <c r="I36935">
        <v>13009663</v>
      </c>
      <c r="J36935">
        <v>2</v>
      </c>
    </row>
    <row r="36936" spans="1:10" x14ac:dyDescent="0.25">
      <c r="A36936" t="s">
        <v>397</v>
      </c>
      <c r="B36936" s="1" t="str">
        <f>HYPERLINK("http://visa.com.lk","visa.com.lk")</f>
        <v>visa.com.lk</v>
      </c>
      <c r="C36936" t="s">
        <v>466</v>
      </c>
      <c r="D36936" t="s">
        <v>842</v>
      </c>
      <c r="F36936">
        <v>6.2312767379266796E-8</v>
      </c>
      <c r="G36936">
        <v>704636</v>
      </c>
      <c r="H36936">
        <v>12991867</v>
      </c>
      <c r="I36936">
        <v>12840629</v>
      </c>
      <c r="J36936">
        <v>2</v>
      </c>
    </row>
    <row r="36937" spans="1:10" x14ac:dyDescent="0.25">
      <c r="A36937" t="s">
        <v>397</v>
      </c>
      <c r="B36937" s="1" t="str">
        <f>HYPERLINK("http://visa.lt","visa.lt")</f>
        <v>visa.lt</v>
      </c>
      <c r="C36937" t="s">
        <v>467</v>
      </c>
      <c r="D36937" t="s">
        <v>843</v>
      </c>
      <c r="F36937">
        <v>6.4602619503528603E-8</v>
      </c>
      <c r="G36937">
        <v>669507</v>
      </c>
      <c r="H36937">
        <v>12980776</v>
      </c>
      <c r="I36937">
        <v>12979530</v>
      </c>
      <c r="J36937">
        <v>2</v>
      </c>
    </row>
    <row r="36938" spans="1:10" x14ac:dyDescent="0.25">
      <c r="A36938" t="s">
        <v>397</v>
      </c>
      <c r="B36938" s="1" t="str">
        <f>HYPERLINK("http://visa.lv","visa.lv")</f>
        <v>visa.lv</v>
      </c>
      <c r="C36938" t="s">
        <v>468</v>
      </c>
      <c r="D36938" t="s">
        <v>844</v>
      </c>
      <c r="F36938">
        <v>6.5212365576784097E-8</v>
      </c>
      <c r="G36938">
        <v>660130</v>
      </c>
      <c r="H36938">
        <v>12977727</v>
      </c>
      <c r="I36938">
        <v>13002665</v>
      </c>
      <c r="J36938">
        <v>2</v>
      </c>
    </row>
    <row r="36939" spans="1:10" x14ac:dyDescent="0.25">
      <c r="A36939" t="s">
        <v>397</v>
      </c>
      <c r="B36939" s="1" t="str">
        <f>HYPERLINK("http://visa.mn","visa.mn")</f>
        <v>visa.mn</v>
      </c>
      <c r="C36939" t="s">
        <v>652</v>
      </c>
      <c r="D36939" t="s">
        <v>971</v>
      </c>
      <c r="F36939">
        <v>5.87864621266147E-8</v>
      </c>
      <c r="G36939">
        <v>754829</v>
      </c>
      <c r="H36939">
        <v>12976750</v>
      </c>
      <c r="I36939">
        <v>13010097</v>
      </c>
      <c r="J36939">
        <v>2</v>
      </c>
    </row>
    <row r="36940" spans="1:10" x14ac:dyDescent="0.25">
      <c r="A36940" t="s">
        <v>397</v>
      </c>
      <c r="B36940" s="1" t="str">
        <f>HYPERLINK("http://visa.mq","visa.mq")</f>
        <v>visa.mq</v>
      </c>
      <c r="C36940" t="s">
        <v>732</v>
      </c>
      <c r="D36940" t="s">
        <v>1009</v>
      </c>
      <c r="E36940">
        <v>638645</v>
      </c>
      <c r="F36940">
        <v>5.7611021855123299E-8</v>
      </c>
      <c r="G36940">
        <v>773617</v>
      </c>
      <c r="H36940">
        <v>13091362</v>
      </c>
      <c r="I36940">
        <v>12141382</v>
      </c>
      <c r="J36940">
        <v>2</v>
      </c>
    </row>
    <row r="36941" spans="1:10" x14ac:dyDescent="0.25">
      <c r="A36941" t="s">
        <v>397</v>
      </c>
      <c r="B36941" s="1" t="str">
        <f>HYPERLINK("http://visa.com.ms","visa.com.ms")</f>
        <v>visa.com.ms</v>
      </c>
      <c r="C36941" t="s">
        <v>653</v>
      </c>
      <c r="D36941" t="s">
        <v>972</v>
      </c>
      <c r="E36941">
        <v>940954</v>
      </c>
      <c r="F36941">
        <v>5.7291293159431603E-8</v>
      </c>
      <c r="G36941">
        <v>778655</v>
      </c>
      <c r="H36941">
        <v>12976915</v>
      </c>
      <c r="I36941">
        <v>13009441</v>
      </c>
      <c r="J36941">
        <v>2</v>
      </c>
    </row>
    <row r="36942" spans="1:10" x14ac:dyDescent="0.25">
      <c r="A36942" t="s">
        <v>397</v>
      </c>
      <c r="B36942" s="1" t="str">
        <f>HYPERLINK("http://visa.com.mx","visa.com.mx")</f>
        <v>visa.com.mx</v>
      </c>
      <c r="C36942" t="s">
        <v>471</v>
      </c>
      <c r="D36942" t="s">
        <v>847</v>
      </c>
      <c r="E36942">
        <v>752567</v>
      </c>
      <c r="F36942">
        <v>1.4529758582435601E-7</v>
      </c>
      <c r="G36942">
        <v>267912</v>
      </c>
      <c r="H36942">
        <v>14397800</v>
      </c>
      <c r="I36942">
        <v>1157437</v>
      </c>
      <c r="J36942">
        <v>2</v>
      </c>
    </row>
    <row r="36943" spans="1:10" x14ac:dyDescent="0.25">
      <c r="A36943" t="s">
        <v>397</v>
      </c>
      <c r="B36943" s="1" t="str">
        <f>HYPERLINK("http://visa.com.my","visa.com.my")</f>
        <v>visa.com.my</v>
      </c>
      <c r="C36943" t="s">
        <v>472</v>
      </c>
      <c r="D36943" t="s">
        <v>848</v>
      </c>
      <c r="F36943">
        <v>1.27852184732529E-7</v>
      </c>
      <c r="G36943">
        <v>306976</v>
      </c>
      <c r="H36943">
        <v>13837785</v>
      </c>
      <c r="I36943">
        <v>6080882</v>
      </c>
      <c r="J36943">
        <v>2</v>
      </c>
    </row>
    <row r="36944" spans="1:10" x14ac:dyDescent="0.25">
      <c r="A36944" t="s">
        <v>397</v>
      </c>
      <c r="B36944" s="1" t="str">
        <f>HYPERLINK("http://visa.com.ng","visa.com.ng")</f>
        <v>visa.com.ng</v>
      </c>
      <c r="C36944" t="s">
        <v>475</v>
      </c>
      <c r="D36944" t="s">
        <v>850</v>
      </c>
      <c r="F36944">
        <v>1.2255255767171799E-7</v>
      </c>
      <c r="G36944">
        <v>322134</v>
      </c>
      <c r="H36944">
        <v>13849435</v>
      </c>
      <c r="I36944">
        <v>6055177</v>
      </c>
      <c r="J36944">
        <v>2</v>
      </c>
    </row>
    <row r="36945" spans="1:10" x14ac:dyDescent="0.25">
      <c r="A36945" t="s">
        <v>397</v>
      </c>
      <c r="B36945" s="1" t="str">
        <f>HYPERLINK("http://visa.co.ni","visa.co.ni")</f>
        <v>visa.co.ni</v>
      </c>
      <c r="C36945" t="s">
        <v>476</v>
      </c>
      <c r="D36945" t="s">
        <v>851</v>
      </c>
      <c r="F36945">
        <v>6.0317181473918195E-8</v>
      </c>
      <c r="G36945">
        <v>731273</v>
      </c>
      <c r="H36945">
        <v>12979665</v>
      </c>
      <c r="I36945">
        <v>12994272</v>
      </c>
      <c r="J36945">
        <v>2</v>
      </c>
    </row>
    <row r="36946" spans="1:10" x14ac:dyDescent="0.25">
      <c r="A36946" t="s">
        <v>397</v>
      </c>
      <c r="B36946" s="1" t="str">
        <f>HYPERLINK("http://visa.nl","visa.nl")</f>
        <v>visa.nl</v>
      </c>
      <c r="C36946" t="s">
        <v>477</v>
      </c>
      <c r="D36946" t="s">
        <v>852</v>
      </c>
      <c r="F36946">
        <v>3.1072898666873199E-7</v>
      </c>
      <c r="G36946">
        <v>119671</v>
      </c>
      <c r="H36946">
        <v>14057156</v>
      </c>
      <c r="I36946">
        <v>3889207</v>
      </c>
      <c r="J36946">
        <v>2</v>
      </c>
    </row>
    <row r="36947" spans="1:10" x14ac:dyDescent="0.25">
      <c r="A36947" t="s">
        <v>397</v>
      </c>
      <c r="B36947" s="1" t="str">
        <f>HYPERLINK("http://visa.no","visa.no")</f>
        <v>visa.no</v>
      </c>
      <c r="C36947" t="s">
        <v>478</v>
      </c>
      <c r="D36947" t="s">
        <v>853</v>
      </c>
      <c r="E36947">
        <v>742508</v>
      </c>
      <c r="F36947">
        <v>3.2599551106524002E-7</v>
      </c>
      <c r="G36947">
        <v>114245</v>
      </c>
      <c r="H36947">
        <v>13978810</v>
      </c>
      <c r="I36947">
        <v>4054750</v>
      </c>
      <c r="J36947">
        <v>2</v>
      </c>
    </row>
    <row r="36948" spans="1:10" x14ac:dyDescent="0.25">
      <c r="A36948" t="s">
        <v>397</v>
      </c>
      <c r="B36948" s="1" t="str">
        <f>HYPERLINK("http://visa.co.nz","visa.co.nz")</f>
        <v>visa.co.nz</v>
      </c>
      <c r="C36948" t="s">
        <v>479</v>
      </c>
      <c r="D36948" t="s">
        <v>854</v>
      </c>
      <c r="F36948">
        <v>8.9278710456936696E-8</v>
      </c>
      <c r="G36948">
        <v>457667</v>
      </c>
      <c r="H36948">
        <v>13358837</v>
      </c>
      <c r="I36948">
        <v>10591269</v>
      </c>
      <c r="J36948">
        <v>2</v>
      </c>
    </row>
    <row r="36949" spans="1:10" x14ac:dyDescent="0.25">
      <c r="A36949" t="s">
        <v>397</v>
      </c>
      <c r="B36949" s="1" t="str">
        <f>HYPERLINK("http://visa.com.pa","visa.com.pa")</f>
        <v>visa.com.pa</v>
      </c>
      <c r="C36949" t="s">
        <v>482</v>
      </c>
      <c r="D36949" t="s">
        <v>856</v>
      </c>
      <c r="F36949">
        <v>7.1390686844902705E-8</v>
      </c>
      <c r="G36949">
        <v>592023</v>
      </c>
      <c r="H36949">
        <v>13434792</v>
      </c>
      <c r="I36949">
        <v>10272668</v>
      </c>
      <c r="J36949">
        <v>2</v>
      </c>
    </row>
    <row r="36950" spans="1:10" x14ac:dyDescent="0.25">
      <c r="A36950" t="s">
        <v>397</v>
      </c>
      <c r="B36950" s="1" t="str">
        <f>HYPERLINK("http://visa.com.pe","visa.com.pe")</f>
        <v>visa.com.pe</v>
      </c>
      <c r="C36950" t="s">
        <v>483</v>
      </c>
      <c r="D36950" t="s">
        <v>857</v>
      </c>
      <c r="F36950">
        <v>1.5066024137288701E-7</v>
      </c>
      <c r="G36950">
        <v>257835</v>
      </c>
      <c r="H36950">
        <v>13554427</v>
      </c>
      <c r="I36950">
        <v>9885747</v>
      </c>
      <c r="J36950">
        <v>2</v>
      </c>
    </row>
    <row r="36951" spans="1:10" x14ac:dyDescent="0.25">
      <c r="A36951" t="s">
        <v>397</v>
      </c>
      <c r="B36951" s="1" t="str">
        <f>HYPERLINK("http://visa.com.ph","visa.com.ph")</f>
        <v>visa.com.ph</v>
      </c>
      <c r="C36951" t="s">
        <v>484</v>
      </c>
      <c r="D36951" t="s">
        <v>858</v>
      </c>
      <c r="F36951">
        <v>2.6732586315467502E-7</v>
      </c>
      <c r="G36951">
        <v>139394</v>
      </c>
      <c r="H36951">
        <v>14738532</v>
      </c>
      <c r="I36951">
        <v>568392</v>
      </c>
      <c r="J36951">
        <v>2</v>
      </c>
    </row>
    <row r="36952" spans="1:10" x14ac:dyDescent="0.25">
      <c r="A36952" t="s">
        <v>397</v>
      </c>
      <c r="B36952" s="1" t="str">
        <f>HYPERLINK("http://visa.pl","visa.pl")</f>
        <v>visa.pl</v>
      </c>
      <c r="C36952" t="s">
        <v>486</v>
      </c>
      <c r="D36952" t="s">
        <v>860</v>
      </c>
      <c r="E36952">
        <v>495916</v>
      </c>
      <c r="F36952">
        <v>2.6231805331244098E-7</v>
      </c>
      <c r="G36952">
        <v>142574</v>
      </c>
      <c r="H36952">
        <v>14608171</v>
      </c>
      <c r="I36952">
        <v>680079</v>
      </c>
      <c r="J36952">
        <v>2</v>
      </c>
    </row>
    <row r="36953" spans="1:10" x14ac:dyDescent="0.25">
      <c r="A36953" t="s">
        <v>397</v>
      </c>
      <c r="B36953" s="1" t="str">
        <f>HYPERLINK("http://visa.com.pr","visa.com.pr")</f>
        <v>visa.com.pr</v>
      </c>
      <c r="C36953" t="s">
        <v>487</v>
      </c>
      <c r="D36953" t="s">
        <v>861</v>
      </c>
      <c r="F36953">
        <v>6.1326963157966803E-8</v>
      </c>
      <c r="G36953">
        <v>717922</v>
      </c>
      <c r="H36953">
        <v>12981605</v>
      </c>
      <c r="I36953">
        <v>12950863</v>
      </c>
      <c r="J36953">
        <v>2</v>
      </c>
    </row>
    <row r="36954" spans="1:10" x14ac:dyDescent="0.25">
      <c r="A36954" t="s">
        <v>397</v>
      </c>
      <c r="B36954" s="1" t="str">
        <f>HYPERLINK("http://visa.pt","visa.pt")</f>
        <v>visa.pt</v>
      </c>
      <c r="C36954" t="s">
        <v>488</v>
      </c>
      <c r="D36954" t="s">
        <v>862</v>
      </c>
      <c r="F36954">
        <v>1.24998715442019E-7</v>
      </c>
      <c r="G36954">
        <v>315643</v>
      </c>
      <c r="H36954">
        <v>14088974</v>
      </c>
      <c r="I36954">
        <v>2755985</v>
      </c>
      <c r="J36954">
        <v>2</v>
      </c>
    </row>
    <row r="36955" spans="1:10" x14ac:dyDescent="0.25">
      <c r="A36955" t="s">
        <v>397</v>
      </c>
      <c r="B36955" s="1" t="str">
        <f>HYPERLINK("http://visa.com.py","visa.com.py")</f>
        <v>visa.com.py</v>
      </c>
      <c r="C36955" t="s">
        <v>489</v>
      </c>
      <c r="D36955" t="s">
        <v>863</v>
      </c>
      <c r="F36955">
        <v>6.1115204877077603E-8</v>
      </c>
      <c r="G36955">
        <v>720776</v>
      </c>
      <c r="H36955">
        <v>12976866</v>
      </c>
      <c r="I36955">
        <v>13009643</v>
      </c>
      <c r="J36955">
        <v>2</v>
      </c>
    </row>
    <row r="36956" spans="1:10" x14ac:dyDescent="0.25">
      <c r="A36956" t="s">
        <v>397</v>
      </c>
      <c r="B36956" s="1" t="str">
        <f>HYPERLINK("http://visa.ro","visa.ro")</f>
        <v>visa.ro</v>
      </c>
      <c r="C36956" t="s">
        <v>491</v>
      </c>
      <c r="D36956" t="s">
        <v>865</v>
      </c>
      <c r="E36956">
        <v>897798</v>
      </c>
      <c r="F36956">
        <v>1.72675294861525E-7</v>
      </c>
      <c r="G36956">
        <v>224645</v>
      </c>
      <c r="H36956">
        <v>14774529</v>
      </c>
      <c r="I36956">
        <v>556393</v>
      </c>
      <c r="J36956">
        <v>2</v>
      </c>
    </row>
    <row r="36957" spans="1:10" x14ac:dyDescent="0.25">
      <c r="A36957" t="s">
        <v>397</v>
      </c>
      <c r="B36957" s="1" t="str">
        <f>HYPERLINK("http://visa.se","visa.se")</f>
        <v>visa.se</v>
      </c>
      <c r="C36957" t="s">
        <v>495</v>
      </c>
      <c r="D36957" t="s">
        <v>869</v>
      </c>
      <c r="F36957">
        <v>1.74561188789215E-7</v>
      </c>
      <c r="G36957">
        <v>222148</v>
      </c>
      <c r="H36957">
        <v>13030052</v>
      </c>
      <c r="I36957">
        <v>12671240</v>
      </c>
      <c r="J36957">
        <v>2</v>
      </c>
    </row>
    <row r="36958" spans="1:10" x14ac:dyDescent="0.25">
      <c r="A36958" t="s">
        <v>397</v>
      </c>
      <c r="B36958" s="1" t="str">
        <f>HYPERLINK("http://visa.com.sg","visa.com.sg")</f>
        <v>visa.com.sg</v>
      </c>
      <c r="C36958" t="s">
        <v>496</v>
      </c>
      <c r="D36958" t="s">
        <v>870</v>
      </c>
      <c r="E36958">
        <v>628445</v>
      </c>
      <c r="F36958">
        <v>2.7352371150357198E-7</v>
      </c>
      <c r="G36958">
        <v>135979</v>
      </c>
      <c r="H36958">
        <v>17188258</v>
      </c>
      <c r="I36958">
        <v>43954</v>
      </c>
      <c r="J36958">
        <v>2</v>
      </c>
    </row>
    <row r="36959" spans="1:10" x14ac:dyDescent="0.25">
      <c r="A36959" t="s">
        <v>397</v>
      </c>
      <c r="B36959" s="1" t="str">
        <f>HYPERLINK("http://visa.sk","visa.sk")</f>
        <v>visa.sk</v>
      </c>
      <c r="C36959" t="s">
        <v>498</v>
      </c>
      <c r="D36959" t="s">
        <v>872</v>
      </c>
      <c r="F36959">
        <v>8.3357350732898906E-8</v>
      </c>
      <c r="G36959">
        <v>498556</v>
      </c>
      <c r="H36959">
        <v>13315154</v>
      </c>
      <c r="I36959">
        <v>10761642</v>
      </c>
      <c r="J36959">
        <v>2</v>
      </c>
    </row>
    <row r="36960" spans="1:10" x14ac:dyDescent="0.25">
      <c r="A36960" t="s">
        <v>397</v>
      </c>
      <c r="B36960" s="1" t="str">
        <f>HYPERLINK("http://visa.com.sv","visa.com.sv")</f>
        <v>visa.com.sv</v>
      </c>
      <c r="C36960" t="s">
        <v>499</v>
      </c>
      <c r="D36960" t="s">
        <v>873</v>
      </c>
      <c r="F36960">
        <v>6.2155293240947502E-8</v>
      </c>
      <c r="G36960">
        <v>707214</v>
      </c>
      <c r="H36960">
        <v>13308766</v>
      </c>
      <c r="I36960">
        <v>10782224</v>
      </c>
      <c r="J36960">
        <v>2</v>
      </c>
    </row>
    <row r="36961" spans="1:10" x14ac:dyDescent="0.25">
      <c r="A36961" t="s">
        <v>397</v>
      </c>
      <c r="B36961" s="1" t="str">
        <f>HYPERLINK("http://visa.sx","visa.sx")</f>
        <v>visa.sx</v>
      </c>
      <c r="C36961" t="s">
        <v>774</v>
      </c>
      <c r="D36961" t="s">
        <v>1018</v>
      </c>
      <c r="F36961">
        <v>5.6926072501104598E-8</v>
      </c>
      <c r="G36961">
        <v>784536</v>
      </c>
      <c r="H36961">
        <v>12976865</v>
      </c>
      <c r="I36961">
        <v>13009651</v>
      </c>
      <c r="J36961">
        <v>2</v>
      </c>
    </row>
    <row r="36962" spans="1:10" x14ac:dyDescent="0.25">
      <c r="A36962" t="s">
        <v>397</v>
      </c>
      <c r="B36962" s="1" t="str">
        <f>HYPERLINK("http://visa.tc","visa.tc")</f>
        <v>visa.tc</v>
      </c>
      <c r="C36962" t="s">
        <v>552</v>
      </c>
      <c r="D36962" t="s">
        <v>908</v>
      </c>
      <c r="F36962">
        <v>5.6908157726843197E-8</v>
      </c>
      <c r="G36962">
        <v>784836</v>
      </c>
      <c r="H36962">
        <v>12976863</v>
      </c>
      <c r="I36962">
        <v>13009664</v>
      </c>
      <c r="J36962">
        <v>2</v>
      </c>
    </row>
    <row r="36963" spans="1:10" x14ac:dyDescent="0.25">
      <c r="A36963" t="s">
        <v>397</v>
      </c>
      <c r="B36963" s="1" t="str">
        <f>HYPERLINK("http://visa.co.th","visa.co.th")</f>
        <v>visa.co.th</v>
      </c>
      <c r="C36963" t="s">
        <v>500</v>
      </c>
      <c r="D36963" t="s">
        <v>874</v>
      </c>
      <c r="F36963">
        <v>8.50583528226605E-8</v>
      </c>
      <c r="G36963">
        <v>484991</v>
      </c>
      <c r="H36963">
        <v>14137596</v>
      </c>
      <c r="I36963">
        <v>1953239</v>
      </c>
      <c r="J36963">
        <v>2</v>
      </c>
    </row>
    <row r="36964" spans="1:10" x14ac:dyDescent="0.25">
      <c r="A36964" t="s">
        <v>397</v>
      </c>
      <c r="B36964" s="1" t="str">
        <f>HYPERLINK("http://visa.com.tr","visa.com.tr")</f>
        <v>visa.com.tr</v>
      </c>
      <c r="C36964" t="s">
        <v>502</v>
      </c>
      <c r="D36964" t="s">
        <v>876</v>
      </c>
      <c r="E36964">
        <v>688459</v>
      </c>
      <c r="F36964">
        <v>1.3044623972486099E-7</v>
      </c>
      <c r="G36964">
        <v>300012</v>
      </c>
      <c r="H36964">
        <v>14089571</v>
      </c>
      <c r="I36964">
        <v>2753457</v>
      </c>
      <c r="J36964">
        <v>2</v>
      </c>
    </row>
    <row r="36965" spans="1:10" x14ac:dyDescent="0.25">
      <c r="A36965" t="s">
        <v>397</v>
      </c>
      <c r="B36965" s="1" t="str">
        <f>HYPERLINK("http://visa.com.tt","visa.com.tt")</f>
        <v>visa.com.tt</v>
      </c>
      <c r="C36965" t="s">
        <v>503</v>
      </c>
      <c r="D36965" t="s">
        <v>877</v>
      </c>
      <c r="F36965">
        <v>5.9585615534423998E-8</v>
      </c>
      <c r="G36965">
        <v>741711</v>
      </c>
      <c r="H36965">
        <v>12977499</v>
      </c>
      <c r="I36965">
        <v>13003761</v>
      </c>
      <c r="J36965">
        <v>2</v>
      </c>
    </row>
    <row r="36966" spans="1:10" x14ac:dyDescent="0.25">
      <c r="A36966" t="s">
        <v>397</v>
      </c>
      <c r="B36966" s="1" t="str">
        <f>HYPERLINK("http://visa.com.tw","visa.com.tw")</f>
        <v>visa.com.tw</v>
      </c>
      <c r="C36966" t="s">
        <v>504</v>
      </c>
      <c r="D36966" t="s">
        <v>878</v>
      </c>
      <c r="E36966">
        <v>962555</v>
      </c>
      <c r="F36966">
        <v>8.6393472818082198E-8</v>
      </c>
      <c r="G36966">
        <v>475983</v>
      </c>
      <c r="H36966">
        <v>14092381</v>
      </c>
      <c r="I36966">
        <v>2739752</v>
      </c>
      <c r="J36966">
        <v>2</v>
      </c>
    </row>
    <row r="36967" spans="1:10" x14ac:dyDescent="0.25">
      <c r="A36967" t="s">
        <v>397</v>
      </c>
      <c r="B36967" s="1" t="str">
        <f>HYPERLINK("http://visa.com.ua","visa.com.ua")</f>
        <v>visa.com.ua</v>
      </c>
      <c r="C36967" t="s">
        <v>505</v>
      </c>
      <c r="D36967" t="s">
        <v>879</v>
      </c>
      <c r="F36967">
        <v>2.59149802461765E-7</v>
      </c>
      <c r="G36967">
        <v>144341</v>
      </c>
      <c r="H36967">
        <v>16880254</v>
      </c>
      <c r="I36967">
        <v>139561</v>
      </c>
      <c r="J36967">
        <v>2</v>
      </c>
    </row>
    <row r="36968" spans="1:10" x14ac:dyDescent="0.25">
      <c r="A36968" t="s">
        <v>397</v>
      </c>
      <c r="B36968" s="1" t="str">
        <f>HYPERLINK("http://visa.co.uk","visa.co.uk")</f>
        <v>visa.co.uk</v>
      </c>
      <c r="C36968" t="s">
        <v>506</v>
      </c>
      <c r="D36968" t="s">
        <v>880</v>
      </c>
      <c r="E36968">
        <v>57761</v>
      </c>
      <c r="F36968">
        <v>3.45813515517131E-6</v>
      </c>
      <c r="G36968">
        <v>11759</v>
      </c>
      <c r="H36968">
        <v>14948522</v>
      </c>
      <c r="I36968">
        <v>440976</v>
      </c>
      <c r="J36968">
        <v>2</v>
      </c>
    </row>
    <row r="36969" spans="1:10" x14ac:dyDescent="0.25">
      <c r="A36969" t="s">
        <v>397</v>
      </c>
      <c r="B36969" s="1" t="str">
        <f>HYPERLINK("http://visa.com.uy","visa.com.uy")</f>
        <v>visa.com.uy</v>
      </c>
      <c r="C36969" t="s">
        <v>507</v>
      </c>
      <c r="D36969" t="s">
        <v>881</v>
      </c>
      <c r="F36969">
        <v>7.0619494236802801E-8</v>
      </c>
      <c r="G36969">
        <v>599366</v>
      </c>
      <c r="H36969">
        <v>13004982</v>
      </c>
      <c r="I36969">
        <v>12772534</v>
      </c>
      <c r="J36969">
        <v>2</v>
      </c>
    </row>
    <row r="36970" spans="1:10" x14ac:dyDescent="0.25">
      <c r="A36970" t="s">
        <v>397</v>
      </c>
      <c r="B36970" s="1" t="str">
        <f>HYPERLINK("http://visa.com.vc","visa.com.vc")</f>
        <v>visa.com.vc</v>
      </c>
      <c r="C36970" t="s">
        <v>520</v>
      </c>
      <c r="D36970" t="s">
        <v>890</v>
      </c>
      <c r="F36970">
        <v>5.6882515833970099E-8</v>
      </c>
      <c r="G36970">
        <v>785250</v>
      </c>
      <c r="H36970">
        <v>12976863</v>
      </c>
      <c r="I36970">
        <v>13009665</v>
      </c>
      <c r="J36970">
        <v>2</v>
      </c>
    </row>
    <row r="36971" spans="1:10" x14ac:dyDescent="0.25">
      <c r="A36971" t="s">
        <v>397</v>
      </c>
      <c r="B36971" s="1" t="str">
        <f>HYPERLINK("http://visa.co.ve","visa.co.ve")</f>
        <v>visa.co.ve</v>
      </c>
      <c r="C36971" t="s">
        <v>508</v>
      </c>
      <c r="D36971" t="s">
        <v>882</v>
      </c>
      <c r="F36971">
        <v>6.4977464485310799E-8</v>
      </c>
      <c r="G36971">
        <v>663272</v>
      </c>
      <c r="H36971">
        <v>13102709</v>
      </c>
      <c r="I36971">
        <v>12085895</v>
      </c>
      <c r="J36971">
        <v>2</v>
      </c>
    </row>
    <row r="36972" spans="1:10" x14ac:dyDescent="0.25">
      <c r="A36972" t="s">
        <v>397</v>
      </c>
      <c r="B36972" s="1" t="str">
        <f>HYPERLINK("http://visa.vg","visa.vg")</f>
        <v>visa.vg</v>
      </c>
      <c r="C36972" t="s">
        <v>678</v>
      </c>
      <c r="D36972" t="s">
        <v>996</v>
      </c>
      <c r="F36972">
        <v>5.7063410159210799E-8</v>
      </c>
      <c r="G36972">
        <v>782358</v>
      </c>
      <c r="H36972">
        <v>12977598</v>
      </c>
      <c r="I36972">
        <v>13003240</v>
      </c>
      <c r="J36972">
        <v>2</v>
      </c>
    </row>
    <row r="36973" spans="1:10" x14ac:dyDescent="0.25">
      <c r="A36973" t="s">
        <v>397</v>
      </c>
      <c r="B36973" s="1" t="str">
        <f>HYPERLINK("http://visa.com.vi","visa.com.vi")</f>
        <v>visa.com.vi</v>
      </c>
      <c r="C36973" t="s">
        <v>679</v>
      </c>
      <c r="D36973" t="s">
        <v>997</v>
      </c>
      <c r="F36973">
        <v>6.7699837322359996E-8</v>
      </c>
      <c r="G36973">
        <v>630824</v>
      </c>
      <c r="H36973">
        <v>13026503</v>
      </c>
      <c r="I36973">
        <v>12686143</v>
      </c>
      <c r="J36973">
        <v>2</v>
      </c>
    </row>
    <row r="36974" spans="1:10" x14ac:dyDescent="0.25">
      <c r="A36974" t="s">
        <v>397</v>
      </c>
      <c r="B36974" s="1" t="str">
        <f>HYPERLINK("http://visa.com.vn","visa.com.vn")</f>
        <v>visa.com.vn</v>
      </c>
      <c r="C36974" t="s">
        <v>509</v>
      </c>
      <c r="D36974" t="s">
        <v>883</v>
      </c>
      <c r="F36974">
        <v>1.80314089862903E-7</v>
      </c>
      <c r="G36974">
        <v>214270</v>
      </c>
      <c r="H36974">
        <v>14199565</v>
      </c>
      <c r="I36974">
        <v>1725584</v>
      </c>
      <c r="J36974">
        <v>2</v>
      </c>
    </row>
    <row r="36975" spans="1:10" x14ac:dyDescent="0.25">
      <c r="A36975" t="s">
        <v>397</v>
      </c>
      <c r="B36975" s="1" t="str">
        <f>HYPERLINK("http://visa.co.za","visa.co.za")</f>
        <v>visa.co.za</v>
      </c>
      <c r="C36975" t="s">
        <v>510</v>
      </c>
      <c r="D36975" t="s">
        <v>884</v>
      </c>
      <c r="F36975">
        <v>8.2817298739008601E-8</v>
      </c>
      <c r="G36975">
        <v>503696</v>
      </c>
      <c r="H36975">
        <v>13576930</v>
      </c>
      <c r="I36975">
        <v>9698675</v>
      </c>
      <c r="J36975">
        <v>2</v>
      </c>
    </row>
    <row r="36976" spans="1:10" x14ac:dyDescent="0.25">
      <c r="A36976" t="s">
        <v>398</v>
      </c>
      <c r="B36976" s="1" t="str">
        <f>HYPERLINK("http://cupraofficial.ad","cupraofficial.ad")</f>
        <v>cupraofficial.ad</v>
      </c>
      <c r="C36976" t="s">
        <v>619</v>
      </c>
      <c r="D36976" t="s">
        <v>943</v>
      </c>
      <c r="F36976">
        <v>1.56349748692265E-8</v>
      </c>
      <c r="G36976">
        <v>3645508</v>
      </c>
      <c r="H36976">
        <v>12065145</v>
      </c>
      <c r="I36976">
        <v>26898058</v>
      </c>
      <c r="J36976">
        <v>4</v>
      </c>
    </row>
    <row r="36977" spans="1:10" x14ac:dyDescent="0.25">
      <c r="A36977" t="s">
        <v>398</v>
      </c>
      <c r="B36977" s="1" t="str">
        <f>HYPERLINK("http://seat.ad","seat.ad")</f>
        <v>seat.ad</v>
      </c>
      <c r="C36977" t="s">
        <v>619</v>
      </c>
      <c r="D36977" t="s">
        <v>943</v>
      </c>
      <c r="F36977">
        <v>2.5161824967783E-8</v>
      </c>
      <c r="G36977">
        <v>2052264</v>
      </c>
      <c r="H36977">
        <v>12183761</v>
      </c>
      <c r="I36977">
        <v>23722506</v>
      </c>
      <c r="J36977">
        <v>4</v>
      </c>
    </row>
    <row r="36978" spans="1:10" x14ac:dyDescent="0.25">
      <c r="A36978" t="s">
        <v>398</v>
      </c>
      <c r="B36978" s="1" t="str">
        <f>HYPERLINK("http://audi.af","audi.af")</f>
        <v>audi.af</v>
      </c>
      <c r="C36978" t="s">
        <v>620</v>
      </c>
      <c r="D36978" t="s">
        <v>944</v>
      </c>
      <c r="F36978">
        <v>8.7705976909688607E-9</v>
      </c>
      <c r="G36978">
        <v>8358592</v>
      </c>
      <c r="H36978">
        <v>12415966</v>
      </c>
      <c r="I36978">
        <v>18527909</v>
      </c>
      <c r="J36978">
        <v>4</v>
      </c>
    </row>
    <row r="36979" spans="1:10" x14ac:dyDescent="0.25">
      <c r="A36979" t="s">
        <v>398</v>
      </c>
      <c r="B36979" s="1" t="str">
        <f>HYPERLINK("http://audi.com.af","audi.com.af")</f>
        <v>audi.com.af</v>
      </c>
      <c r="C36979" t="s">
        <v>620</v>
      </c>
      <c r="D36979" t="s">
        <v>944</v>
      </c>
      <c r="F36979">
        <v>4.92331578787084E-9</v>
      </c>
      <c r="G36979">
        <v>31581067</v>
      </c>
      <c r="H36979">
        <v>9554757</v>
      </c>
      <c r="I36979">
        <v>64926404</v>
      </c>
      <c r="J36979">
        <v>4</v>
      </c>
    </row>
    <row r="36980" spans="1:10" x14ac:dyDescent="0.25">
      <c r="A36980" t="s">
        <v>398</v>
      </c>
      <c r="B36980" s="1" t="str">
        <f>HYPERLINK("http://audi.ag","audi.ag")</f>
        <v>audi.ag</v>
      </c>
      <c r="C36980" t="s">
        <v>564</v>
      </c>
      <c r="D36980" t="s">
        <v>912</v>
      </c>
      <c r="F36980">
        <v>9.5881262060235392E-9</v>
      </c>
      <c r="G36980">
        <v>7218565</v>
      </c>
      <c r="H36980">
        <v>12415969</v>
      </c>
      <c r="I36980">
        <v>18527875</v>
      </c>
      <c r="J36980">
        <v>4</v>
      </c>
    </row>
    <row r="36981" spans="1:10" x14ac:dyDescent="0.25">
      <c r="A36981" t="s">
        <v>398</v>
      </c>
      <c r="B36981" s="1" t="str">
        <f>HYPERLINK("http://audi.com.ag","audi.com.ag")</f>
        <v>audi.com.ag</v>
      </c>
      <c r="C36981" t="s">
        <v>564</v>
      </c>
      <c r="D36981" t="s">
        <v>912</v>
      </c>
      <c r="F36981">
        <v>7.1818401878498498E-9</v>
      </c>
      <c r="G36981">
        <v>11791598</v>
      </c>
      <c r="H36981">
        <v>12415956</v>
      </c>
      <c r="I36981">
        <v>18528072</v>
      </c>
      <c r="J36981">
        <v>4</v>
      </c>
    </row>
    <row r="36982" spans="1:10" x14ac:dyDescent="0.25">
      <c r="A36982" t="s">
        <v>398</v>
      </c>
      <c r="B36982" s="1" t="str">
        <f>HYPERLINK("http://audi.ai","audi.ai")</f>
        <v>audi.ai</v>
      </c>
      <c r="C36982" t="s">
        <v>524</v>
      </c>
      <c r="D36982" t="s">
        <v>892</v>
      </c>
      <c r="F36982">
        <v>8.6602444488622102E-9</v>
      </c>
      <c r="G36982">
        <v>8549144</v>
      </c>
      <c r="H36982">
        <v>12415968</v>
      </c>
      <c r="I36982">
        <v>18527886</v>
      </c>
      <c r="J36982">
        <v>4</v>
      </c>
    </row>
    <row r="36983" spans="1:10" x14ac:dyDescent="0.25">
      <c r="A36983" t="s">
        <v>398</v>
      </c>
      <c r="B36983" s="1" t="str">
        <f>HYPERLINK("http://audi.com.ai","audi.com.ai")</f>
        <v>audi.com.ai</v>
      </c>
      <c r="C36983" t="s">
        <v>524</v>
      </c>
      <c r="D36983" t="s">
        <v>892</v>
      </c>
      <c r="F36983">
        <v>7.87316364216862E-9</v>
      </c>
      <c r="G36983">
        <v>10165434</v>
      </c>
      <c r="H36983">
        <v>12415962</v>
      </c>
      <c r="I36983">
        <v>18527971</v>
      </c>
      <c r="J36983">
        <v>4</v>
      </c>
    </row>
    <row r="36984" spans="1:10" x14ac:dyDescent="0.25">
      <c r="A36984" t="s">
        <v>398</v>
      </c>
      <c r="B36984" s="1" t="str">
        <f>HYPERLINK("http://voya.ai","voya.ai")</f>
        <v>voya.ai</v>
      </c>
      <c r="C36984" t="s">
        <v>524</v>
      </c>
      <c r="D36984" t="s">
        <v>892</v>
      </c>
      <c r="F36984">
        <v>3.4385980418132297E-8</v>
      </c>
      <c r="G36984">
        <v>1508050</v>
      </c>
      <c r="H36984">
        <v>13671144</v>
      </c>
      <c r="I36984">
        <v>9547173</v>
      </c>
      <c r="J36984">
        <v>3</v>
      </c>
    </row>
    <row r="36985" spans="1:10" x14ac:dyDescent="0.25">
      <c r="A36985" t="s">
        <v>398</v>
      </c>
      <c r="B36985" s="1" t="str">
        <f>HYPERLINK("http://porsche.al","porsche.al")</f>
        <v>porsche.al</v>
      </c>
      <c r="C36985" t="s">
        <v>588</v>
      </c>
      <c r="D36985" t="s">
        <v>924</v>
      </c>
      <c r="F36985">
        <v>2.2219327364337399E-8</v>
      </c>
      <c r="G36985">
        <v>2360265</v>
      </c>
      <c r="H36985">
        <v>14030025</v>
      </c>
      <c r="I36985">
        <v>3943456</v>
      </c>
      <c r="J36985">
        <v>3</v>
      </c>
    </row>
    <row r="36986" spans="1:10" x14ac:dyDescent="0.25">
      <c r="A36986" t="s">
        <v>398</v>
      </c>
      <c r="B36986" s="1" t="str">
        <f>HYPERLINK("http://arussoniellovw.com.ar","arussoniellovw.com.ar")</f>
        <v>arussoniellovw.com.ar</v>
      </c>
      <c r="C36986" t="s">
        <v>418</v>
      </c>
      <c r="D36986" t="s">
        <v>800</v>
      </c>
      <c r="F36986">
        <v>5.0198195757852E-9</v>
      </c>
      <c r="G36986">
        <v>28905582</v>
      </c>
      <c r="H36986">
        <v>8893783</v>
      </c>
      <c r="I36986">
        <v>69050864</v>
      </c>
      <c r="J36986">
        <v>3</v>
      </c>
    </row>
    <row r="36987" spans="1:10" x14ac:dyDescent="0.25">
      <c r="A36987" t="s">
        <v>398</v>
      </c>
      <c r="B36987" s="1" t="str">
        <f>HYPERLINK("http://automilenio.com.ar","automilenio.com.ar")</f>
        <v>automilenio.com.ar</v>
      </c>
      <c r="C36987" t="s">
        <v>418</v>
      </c>
      <c r="D36987" t="s">
        <v>800</v>
      </c>
      <c r="F36987">
        <v>4.96271307479176E-9</v>
      </c>
      <c r="G36987">
        <v>30435687</v>
      </c>
      <c r="H36987">
        <v>10357545</v>
      </c>
      <c r="I36987">
        <v>55579828</v>
      </c>
      <c r="J36987">
        <v>4</v>
      </c>
    </row>
    <row r="36988" spans="1:10" x14ac:dyDescent="0.25">
      <c r="A36988" t="s">
        <v>398</v>
      </c>
      <c r="B36988" s="1" t="str">
        <f>HYPERLINK("http://devol.com.ar","devol.com.ar")</f>
        <v>devol.com.ar</v>
      </c>
      <c r="C36988" t="s">
        <v>418</v>
      </c>
      <c r="D36988" t="s">
        <v>800</v>
      </c>
      <c r="F36988">
        <v>4.44380395335525E-9</v>
      </c>
      <c r="G36988">
        <v>79933003</v>
      </c>
      <c r="H36988">
        <v>0</v>
      </c>
      <c r="I36988">
        <v>79936152</v>
      </c>
      <c r="J36988">
        <v>3</v>
      </c>
    </row>
    <row r="36989" spans="1:10" x14ac:dyDescent="0.25">
      <c r="A36989" t="s">
        <v>398</v>
      </c>
      <c r="B36989" s="1" t="str">
        <f>HYPERLINK("http://escobarvw.com.ar","escobarvw.com.ar")</f>
        <v>escobarvw.com.ar</v>
      </c>
      <c r="C36989" t="s">
        <v>418</v>
      </c>
      <c r="D36989" t="s">
        <v>800</v>
      </c>
      <c r="F36989">
        <v>5.3963597995734698E-9</v>
      </c>
      <c r="G36989">
        <v>22160736</v>
      </c>
      <c r="H36989">
        <v>9601143</v>
      </c>
      <c r="I36989">
        <v>64387174</v>
      </c>
      <c r="J36989">
        <v>3</v>
      </c>
    </row>
    <row r="36990" spans="1:10" x14ac:dyDescent="0.25">
      <c r="A36990" t="s">
        <v>398</v>
      </c>
      <c r="B36990" s="1" t="str">
        <f>HYPERLINK("http://iruna.com.ar","iruna.com.ar")</f>
        <v>iruna.com.ar</v>
      </c>
      <c r="C36990" t="s">
        <v>418</v>
      </c>
      <c r="D36990" t="s">
        <v>800</v>
      </c>
      <c r="F36990">
        <v>4.7872238906032203E-9</v>
      </c>
      <c r="G36990">
        <v>36615718</v>
      </c>
      <c r="H36990">
        <v>10483621</v>
      </c>
      <c r="I36990">
        <v>50876868</v>
      </c>
      <c r="J36990">
        <v>3</v>
      </c>
    </row>
    <row r="36991" spans="1:10" x14ac:dyDescent="0.25">
      <c r="A36991" t="s">
        <v>398</v>
      </c>
      <c r="B36991" s="1" t="str">
        <f>HYPERLINK("http://reutemann.com.ar","reutemann.com.ar")</f>
        <v>reutemann.com.ar</v>
      </c>
      <c r="C36991" t="s">
        <v>418</v>
      </c>
      <c r="D36991" t="s">
        <v>800</v>
      </c>
      <c r="F36991">
        <v>5.3321704288353002E-9</v>
      </c>
      <c r="G36991">
        <v>23037727</v>
      </c>
      <c r="H36991">
        <v>10843699</v>
      </c>
      <c r="I36991">
        <v>37020031</v>
      </c>
      <c r="J36991">
        <v>3</v>
      </c>
    </row>
    <row r="36992" spans="1:10" x14ac:dyDescent="0.25">
      <c r="A36992" t="s">
        <v>398</v>
      </c>
      <c r="B36992" s="1" t="str">
        <f>HYPERLINK("http://saumavw.com.ar","saumavw.com.ar")</f>
        <v>saumavw.com.ar</v>
      </c>
      <c r="C36992" t="s">
        <v>418</v>
      </c>
      <c r="D36992" t="s">
        <v>800</v>
      </c>
      <c r="J36992">
        <v>3</v>
      </c>
    </row>
    <row r="36993" spans="1:10" x14ac:dyDescent="0.25">
      <c r="A36993" t="s">
        <v>398</v>
      </c>
      <c r="B36993" s="1" t="str">
        <f>HYPERLINK("http://scania.com.ar","scania.com.ar")</f>
        <v>scania.com.ar</v>
      </c>
      <c r="C36993" t="s">
        <v>418</v>
      </c>
      <c r="D36993" t="s">
        <v>800</v>
      </c>
      <c r="F36993">
        <v>1.1912863042246301E-8</v>
      </c>
      <c r="G36993">
        <v>5229544</v>
      </c>
      <c r="H36993">
        <v>13764362</v>
      </c>
      <c r="I36993">
        <v>7285928</v>
      </c>
      <c r="J36993">
        <v>4</v>
      </c>
    </row>
    <row r="36994" spans="1:10" x14ac:dyDescent="0.25">
      <c r="A36994" t="s">
        <v>398</v>
      </c>
      <c r="B36994" s="1" t="str">
        <f>HYPERLINK("http://volkswagen.com.ar","volkswagen.com.ar")</f>
        <v>volkswagen.com.ar</v>
      </c>
      <c r="C36994" t="s">
        <v>418</v>
      </c>
      <c r="D36994" t="s">
        <v>800</v>
      </c>
      <c r="E36994">
        <v>788894</v>
      </c>
      <c r="F36994">
        <v>2.4472000298084E-7</v>
      </c>
      <c r="G36994">
        <v>152891</v>
      </c>
      <c r="H36994">
        <v>14482887</v>
      </c>
      <c r="I36994">
        <v>1022958</v>
      </c>
      <c r="J36994">
        <v>3</v>
      </c>
    </row>
    <row r="36995" spans="1:10" x14ac:dyDescent="0.25">
      <c r="A36995" t="s">
        <v>398</v>
      </c>
      <c r="B36995" s="1" t="str">
        <f>HYPERLINK("http://porsche.art","porsche.art")</f>
        <v>porsche.art</v>
      </c>
      <c r="C36995" t="s">
        <v>692</v>
      </c>
      <c r="F36995">
        <v>1.1174911936401401E-8</v>
      </c>
      <c r="G36995">
        <v>5730597</v>
      </c>
      <c r="H36995">
        <v>12791080</v>
      </c>
      <c r="I36995">
        <v>14683359</v>
      </c>
      <c r="J36995">
        <v>4</v>
      </c>
    </row>
    <row r="36996" spans="1:10" x14ac:dyDescent="0.25">
      <c r="A36996" t="s">
        <v>398</v>
      </c>
      <c r="B36996" s="1" t="str">
        <f>HYPERLINK("http://audi.as","audi.as")</f>
        <v>audi.as</v>
      </c>
      <c r="C36996" t="s">
        <v>555</v>
      </c>
      <c r="D36996" t="s">
        <v>909</v>
      </c>
      <c r="F36996">
        <v>5.2044614017854004E-9</v>
      </c>
      <c r="G36996">
        <v>25024860</v>
      </c>
      <c r="H36996">
        <v>9554760</v>
      </c>
      <c r="I36996">
        <v>64926377</v>
      </c>
      <c r="J36996">
        <v>4</v>
      </c>
    </row>
    <row r="36997" spans="1:10" x14ac:dyDescent="0.25">
      <c r="A36997" t="s">
        <v>398</v>
      </c>
      <c r="B36997" s="1" t="str">
        <f>HYPERLINK("http://andi-loidl.at","andi-loidl.at")</f>
        <v>andi-loidl.at</v>
      </c>
      <c r="C36997" t="s">
        <v>419</v>
      </c>
      <c r="D36997" t="s">
        <v>801</v>
      </c>
      <c r="F36997">
        <v>5.5843460428272299E-9</v>
      </c>
      <c r="G36997">
        <v>20012268</v>
      </c>
      <c r="H36997">
        <v>10897842</v>
      </c>
      <c r="I36997">
        <v>35888185</v>
      </c>
      <c r="J36997">
        <v>4</v>
      </c>
    </row>
    <row r="36998" spans="1:10" x14ac:dyDescent="0.25">
      <c r="A36998" t="s">
        <v>398</v>
      </c>
      <c r="B36998" s="1" t="str">
        <f>HYPERLINK("http://audi.at","audi.at")</f>
        <v>audi.at</v>
      </c>
      <c r="C36998" t="s">
        <v>419</v>
      </c>
      <c r="D36998" t="s">
        <v>801</v>
      </c>
      <c r="E36998">
        <v>637443</v>
      </c>
      <c r="F36998">
        <v>1.89577606485361E-7</v>
      </c>
      <c r="G36998">
        <v>203235</v>
      </c>
      <c r="H36998">
        <v>14351364</v>
      </c>
      <c r="I36998">
        <v>1308918</v>
      </c>
      <c r="J36998">
        <v>4</v>
      </c>
    </row>
    <row r="36999" spans="1:10" x14ac:dyDescent="0.25">
      <c r="A36999" t="s">
        <v>398</v>
      </c>
      <c r="B36999" s="1" t="str">
        <f>HYPERLINK("http://audi-gebrauchtwagen.at","audi-gebrauchtwagen.at")</f>
        <v>audi-gebrauchtwagen.at</v>
      </c>
      <c r="C36999" t="s">
        <v>419</v>
      </c>
      <c r="D36999" t="s">
        <v>801</v>
      </c>
      <c r="F36999">
        <v>4.44380395335525E-9</v>
      </c>
      <c r="G36999">
        <v>79956878</v>
      </c>
      <c r="H36999">
        <v>0</v>
      </c>
      <c r="I36999">
        <v>79963408</v>
      </c>
      <c r="J36999">
        <v>4</v>
      </c>
    </row>
    <row r="37000" spans="1:10" x14ac:dyDescent="0.25">
      <c r="A37000" t="s">
        <v>398</v>
      </c>
      <c r="B37000" s="1" t="str">
        <f>HYPERLINK("http://auto-haberhauer.at","auto-haberhauer.at")</f>
        <v>auto-haberhauer.at</v>
      </c>
      <c r="C37000" t="s">
        <v>419</v>
      </c>
      <c r="D37000" t="s">
        <v>801</v>
      </c>
      <c r="F37000">
        <v>6.9221212772902101E-9</v>
      </c>
      <c r="G37000">
        <v>12551322</v>
      </c>
      <c r="H37000">
        <v>12201849</v>
      </c>
      <c r="I37000">
        <v>23269841</v>
      </c>
      <c r="J37000">
        <v>3</v>
      </c>
    </row>
    <row r="37001" spans="1:10" x14ac:dyDescent="0.25">
      <c r="A37001" t="s">
        <v>398</v>
      </c>
      <c r="B37001" s="1" t="str">
        <f>HYPERLINK("http://auto-kuss.at","auto-kuss.at")</f>
        <v>auto-kuss.at</v>
      </c>
      <c r="C37001" t="s">
        <v>419</v>
      </c>
      <c r="D37001" t="s">
        <v>801</v>
      </c>
      <c r="F37001">
        <v>9.9285797173781506E-9</v>
      </c>
      <c r="G37001">
        <v>6828743</v>
      </c>
      <c r="H37001">
        <v>10813426</v>
      </c>
      <c r="I37001">
        <v>37779419</v>
      </c>
      <c r="J37001">
        <v>3</v>
      </c>
    </row>
    <row r="37002" spans="1:10" x14ac:dyDescent="0.25">
      <c r="A37002" t="s">
        <v>398</v>
      </c>
      <c r="B37002" s="1" t="str">
        <f>HYPERLINK("http://auto-laimer.at","auto-laimer.at")</f>
        <v>auto-laimer.at</v>
      </c>
      <c r="C37002" t="s">
        <v>419</v>
      </c>
      <c r="D37002" t="s">
        <v>801</v>
      </c>
      <c r="F37002">
        <v>1.22041925411216E-8</v>
      </c>
      <c r="G37002">
        <v>5048154</v>
      </c>
      <c r="H37002">
        <v>12409764</v>
      </c>
      <c r="I37002">
        <v>18611618</v>
      </c>
      <c r="J37002">
        <v>5</v>
      </c>
    </row>
    <row r="37003" spans="1:10" x14ac:dyDescent="0.25">
      <c r="A37003" t="s">
        <v>398</v>
      </c>
      <c r="B37003" s="1" t="str">
        <f>HYPERLINK("http://auto-lind.at","auto-lind.at")</f>
        <v>auto-lind.at</v>
      </c>
      <c r="C37003" t="s">
        <v>419</v>
      </c>
      <c r="D37003" t="s">
        <v>801</v>
      </c>
      <c r="F37003">
        <v>1.09954500009117E-8</v>
      </c>
      <c r="G37003">
        <v>5864366</v>
      </c>
      <c r="H37003">
        <v>11180585</v>
      </c>
      <c r="I37003">
        <v>31428647</v>
      </c>
      <c r="J37003">
        <v>3</v>
      </c>
    </row>
    <row r="37004" spans="1:10" x14ac:dyDescent="0.25">
      <c r="A37004" t="s">
        <v>398</v>
      </c>
      <c r="B37004" s="1" t="str">
        <f>HYPERLINK("http://auto-skoda.at","auto-skoda.at")</f>
        <v>auto-skoda.at</v>
      </c>
      <c r="C37004" t="s">
        <v>419</v>
      </c>
      <c r="D37004" t="s">
        <v>801</v>
      </c>
      <c r="F37004">
        <v>6.54725617527751E-9</v>
      </c>
      <c r="G37004">
        <v>13884012</v>
      </c>
      <c r="H37004">
        <v>10750249</v>
      </c>
      <c r="I37004">
        <v>40085931</v>
      </c>
      <c r="J37004">
        <v>4</v>
      </c>
    </row>
    <row r="37005" spans="1:10" x14ac:dyDescent="0.25">
      <c r="A37005" t="s">
        <v>398</v>
      </c>
      <c r="B37005" s="1" t="str">
        <f>HYPERLINK("http://auto-steineck.at","auto-steineck.at")</f>
        <v>auto-steineck.at</v>
      </c>
      <c r="C37005" t="s">
        <v>419</v>
      </c>
      <c r="D37005" t="s">
        <v>801</v>
      </c>
      <c r="F37005">
        <v>5.4439464250688798E-9</v>
      </c>
      <c r="G37005">
        <v>21570807</v>
      </c>
      <c r="H37005">
        <v>10812169</v>
      </c>
      <c r="I37005">
        <v>37813335</v>
      </c>
      <c r="J37005">
        <v>4</v>
      </c>
    </row>
    <row r="37006" spans="1:10" x14ac:dyDescent="0.25">
      <c r="A37006" t="s">
        <v>398</v>
      </c>
      <c r="B37006" s="1" t="str">
        <f>HYPERLINK("http://autofink.at","autofink.at")</f>
        <v>autofink.at</v>
      </c>
      <c r="C37006" t="s">
        <v>419</v>
      </c>
      <c r="D37006" t="s">
        <v>801</v>
      </c>
      <c r="F37006">
        <v>8.4506938638218107E-9</v>
      </c>
      <c r="G37006">
        <v>8941459</v>
      </c>
      <c r="H37006">
        <v>12057217</v>
      </c>
      <c r="I37006">
        <v>27069979</v>
      </c>
      <c r="J37006">
        <v>5</v>
      </c>
    </row>
    <row r="37007" spans="1:10" x14ac:dyDescent="0.25">
      <c r="A37007" t="s">
        <v>398</v>
      </c>
      <c r="B37007" s="1" t="str">
        <f>HYPERLINK("http://autohaus.at","autohaus.at")</f>
        <v>autohaus.at</v>
      </c>
      <c r="C37007" t="s">
        <v>419</v>
      </c>
      <c r="D37007" t="s">
        <v>801</v>
      </c>
      <c r="F37007">
        <v>2.9010382050678E-8</v>
      </c>
      <c r="G37007">
        <v>1774764</v>
      </c>
      <c r="H37007">
        <v>13948484</v>
      </c>
      <c r="I37007">
        <v>4194615</v>
      </c>
      <c r="J37007">
        <v>3</v>
      </c>
    </row>
    <row r="37008" spans="1:10" x14ac:dyDescent="0.25">
      <c r="A37008" t="s">
        <v>398</v>
      </c>
      <c r="B37008" s="1" t="str">
        <f>HYPERLINK("http://autohaus-buder.at","autohaus-buder.at")</f>
        <v>autohaus-buder.at</v>
      </c>
      <c r="C37008" t="s">
        <v>419</v>
      </c>
      <c r="D37008" t="s">
        <v>801</v>
      </c>
      <c r="F37008">
        <v>6.1706240873630596E-9</v>
      </c>
      <c r="G37008">
        <v>15689537</v>
      </c>
      <c r="H37008">
        <v>10948085</v>
      </c>
      <c r="I37008">
        <v>34631215</v>
      </c>
      <c r="J37008">
        <v>3</v>
      </c>
    </row>
    <row r="37009" spans="1:10" x14ac:dyDescent="0.25">
      <c r="A37009" t="s">
        <v>398</v>
      </c>
      <c r="B37009" s="1" t="str">
        <f>HYPERLINK("http://autohaus-kamper.at","autohaus-kamper.at")</f>
        <v>autohaus-kamper.at</v>
      </c>
      <c r="C37009" t="s">
        <v>419</v>
      </c>
      <c r="D37009" t="s">
        <v>801</v>
      </c>
      <c r="F37009">
        <v>1.1668546460970099E-8</v>
      </c>
      <c r="G37009">
        <v>5386525</v>
      </c>
      <c r="H37009">
        <v>12456166</v>
      </c>
      <c r="I37009">
        <v>17921583</v>
      </c>
      <c r="J37009">
        <v>3</v>
      </c>
    </row>
    <row r="37010" spans="1:10" x14ac:dyDescent="0.25">
      <c r="A37010" t="s">
        <v>398</v>
      </c>
      <c r="B37010" s="1" t="str">
        <f>HYPERLINK("http://autohaus-kirchberg.at","autohaus-kirchberg.at")</f>
        <v>autohaus-kirchberg.at</v>
      </c>
      <c r="C37010" t="s">
        <v>419</v>
      </c>
      <c r="D37010" t="s">
        <v>801</v>
      </c>
      <c r="F37010">
        <v>5.9907881854131703E-9</v>
      </c>
      <c r="G37010">
        <v>16742862</v>
      </c>
      <c r="H37010">
        <v>11001514</v>
      </c>
      <c r="I37010">
        <v>33561766</v>
      </c>
      <c r="J37010">
        <v>4</v>
      </c>
    </row>
    <row r="37011" spans="1:10" x14ac:dyDescent="0.25">
      <c r="A37011" t="s">
        <v>398</v>
      </c>
      <c r="B37011" s="1" t="str">
        <f>HYPERLINK("http://autohaus-neubauer.at","autohaus-neubauer.at")</f>
        <v>autohaus-neubauer.at</v>
      </c>
      <c r="C37011" t="s">
        <v>419</v>
      </c>
      <c r="D37011" t="s">
        <v>801</v>
      </c>
      <c r="F37011">
        <v>1.04710181712362E-8</v>
      </c>
      <c r="G37011">
        <v>6294731</v>
      </c>
      <c r="H37011">
        <v>12246212</v>
      </c>
      <c r="I37011">
        <v>22091952</v>
      </c>
      <c r="J37011">
        <v>5</v>
      </c>
    </row>
    <row r="37012" spans="1:10" x14ac:dyDescent="0.25">
      <c r="A37012" t="s">
        <v>398</v>
      </c>
      <c r="B37012" s="1" t="str">
        <f>HYPERLINK("http://autohaus-pontiller.at","autohaus-pontiller.at")</f>
        <v>autohaus-pontiller.at</v>
      </c>
      <c r="C37012" t="s">
        <v>419</v>
      </c>
      <c r="D37012" t="s">
        <v>801</v>
      </c>
      <c r="F37012">
        <v>1.14962399187682E-8</v>
      </c>
      <c r="G37012">
        <v>5508184</v>
      </c>
      <c r="H37012">
        <v>11342054</v>
      </c>
      <c r="I37012">
        <v>30417111</v>
      </c>
      <c r="J37012">
        <v>3</v>
      </c>
    </row>
    <row r="37013" spans="1:10" x14ac:dyDescent="0.25">
      <c r="A37013" t="s">
        <v>398</v>
      </c>
      <c r="B37013" s="1" t="str">
        <f>HYPERLINK("http://autohaus-strasser.at","autohaus-strasser.at")</f>
        <v>autohaus-strasser.at</v>
      </c>
      <c r="C37013" t="s">
        <v>419</v>
      </c>
      <c r="D37013" t="s">
        <v>801</v>
      </c>
      <c r="F37013">
        <v>8.2840301325743903E-9</v>
      </c>
      <c r="G37013">
        <v>9295926</v>
      </c>
      <c r="H37013">
        <v>12370714</v>
      </c>
      <c r="I37013">
        <v>19403527</v>
      </c>
      <c r="J37013">
        <v>3</v>
      </c>
    </row>
    <row r="37014" spans="1:10" x14ac:dyDescent="0.25">
      <c r="A37014" t="s">
        <v>398</v>
      </c>
      <c r="B37014" s="1" t="str">
        <f>HYPERLINK("http://autohaus-windischgarsten.at","autohaus-windischgarsten.at")</f>
        <v>autohaus-windischgarsten.at</v>
      </c>
      <c r="C37014" t="s">
        <v>419</v>
      </c>
      <c r="D37014" t="s">
        <v>801</v>
      </c>
      <c r="F37014">
        <v>7.5820928548977202E-9</v>
      </c>
      <c r="G37014">
        <v>10832703</v>
      </c>
      <c r="H37014">
        <v>12372006</v>
      </c>
      <c r="I37014">
        <v>19373930</v>
      </c>
      <c r="J37014">
        <v>3</v>
      </c>
    </row>
    <row r="37015" spans="1:10" x14ac:dyDescent="0.25">
      <c r="A37015" t="s">
        <v>398</v>
      </c>
      <c r="B37015" s="1" t="str">
        <f>HYPERLINK("http://autohaus-wolf.at","autohaus-wolf.at")</f>
        <v>autohaus-wolf.at</v>
      </c>
      <c r="C37015" t="s">
        <v>419</v>
      </c>
      <c r="D37015" t="s">
        <v>801</v>
      </c>
      <c r="F37015">
        <v>7.5369083339803203E-9</v>
      </c>
      <c r="G37015">
        <v>10932933</v>
      </c>
      <c r="H37015">
        <v>12095731</v>
      </c>
      <c r="I37015">
        <v>26082253</v>
      </c>
      <c r="J37015">
        <v>4</v>
      </c>
    </row>
    <row r="37016" spans="1:10" x14ac:dyDescent="0.25">
      <c r="A37016" t="s">
        <v>398</v>
      </c>
      <c r="B37016" s="1" t="str">
        <f>HYPERLINK("http://autolamberg.at","autolamberg.at")</f>
        <v>autolamberg.at</v>
      </c>
      <c r="C37016" t="s">
        <v>419</v>
      </c>
      <c r="D37016" t="s">
        <v>801</v>
      </c>
      <c r="F37016">
        <v>1.0346084795063099E-8</v>
      </c>
      <c r="G37016">
        <v>6408315</v>
      </c>
      <c r="H37016">
        <v>12438442</v>
      </c>
      <c r="I37016">
        <v>18164292</v>
      </c>
      <c r="J37016">
        <v>5</v>
      </c>
    </row>
    <row r="37017" spans="1:10" x14ac:dyDescent="0.25">
      <c r="A37017" t="s">
        <v>398</v>
      </c>
      <c r="B37017" s="1" t="str">
        <f>HYPERLINK("http://autolandfink.at","autolandfink.at")</f>
        <v>autolandfink.at</v>
      </c>
      <c r="C37017" t="s">
        <v>419</v>
      </c>
      <c r="D37017" t="s">
        <v>801</v>
      </c>
      <c r="F37017">
        <v>1.0465027024988499E-8</v>
      </c>
      <c r="G37017">
        <v>6300113</v>
      </c>
      <c r="H37017">
        <v>11011677</v>
      </c>
      <c r="I37017">
        <v>33380940</v>
      </c>
      <c r="J37017">
        <v>3</v>
      </c>
    </row>
    <row r="37018" spans="1:10" x14ac:dyDescent="0.25">
      <c r="A37018" t="s">
        <v>398</v>
      </c>
      <c r="B37018" s="1" t="str">
        <f>HYPERLINK("http://automakler.at","automakler.at")</f>
        <v>automakler.at</v>
      </c>
      <c r="C37018" t="s">
        <v>419</v>
      </c>
      <c r="D37018" t="s">
        <v>801</v>
      </c>
      <c r="F37018">
        <v>4.64591796930783E-9</v>
      </c>
      <c r="G37018">
        <v>44397367</v>
      </c>
      <c r="H37018">
        <v>8360601</v>
      </c>
      <c r="I37018">
        <v>73712631</v>
      </c>
      <c r="J37018">
        <v>4</v>
      </c>
    </row>
    <row r="37019" spans="1:10" x14ac:dyDescent="0.25">
      <c r="A37019" t="s">
        <v>398</v>
      </c>
      <c r="B37019" s="1" t="str">
        <f>HYPERLINK("http://automarkt-lindner.at","automarkt-lindner.at")</f>
        <v>automarkt-lindner.at</v>
      </c>
      <c r="C37019" t="s">
        <v>419</v>
      </c>
      <c r="D37019" t="s">
        <v>801</v>
      </c>
      <c r="F37019">
        <v>5.2129562129498303E-9</v>
      </c>
      <c r="G37019">
        <v>24871360</v>
      </c>
      <c r="H37019">
        <v>12368627</v>
      </c>
      <c r="I37019">
        <v>19437182</v>
      </c>
      <c r="J37019">
        <v>4</v>
      </c>
    </row>
    <row r="37020" spans="1:10" x14ac:dyDescent="0.25">
      <c r="A37020" t="s">
        <v>398</v>
      </c>
      <c r="B37020" s="1" t="str">
        <f>HYPERLINK("http://porsche.co.at","porsche.co.at")</f>
        <v>porsche.co.at</v>
      </c>
      <c r="C37020" t="s">
        <v>419</v>
      </c>
      <c r="D37020" t="s">
        <v>801</v>
      </c>
      <c r="E37020">
        <v>206922</v>
      </c>
      <c r="F37020">
        <v>2.39916898050215E-8</v>
      </c>
      <c r="G37020">
        <v>2163780</v>
      </c>
      <c r="H37020">
        <v>13137422</v>
      </c>
      <c r="I37020">
        <v>11897064</v>
      </c>
      <c r="J37020">
        <v>4</v>
      </c>
    </row>
    <row r="37021" spans="1:10" x14ac:dyDescent="0.25">
      <c r="A37021" t="s">
        <v>398</v>
      </c>
      <c r="B37021" s="1" t="str">
        <f>HYPERLINK("http://cupraofficial.at","cupraofficial.at")</f>
        <v>cupraofficial.at</v>
      </c>
      <c r="C37021" t="s">
        <v>419</v>
      </c>
      <c r="D37021" t="s">
        <v>801</v>
      </c>
      <c r="F37021">
        <v>9.8432384200428001E-8</v>
      </c>
      <c r="G37021">
        <v>409696</v>
      </c>
      <c r="H37021">
        <v>13776429</v>
      </c>
      <c r="I37021">
        <v>6555387</v>
      </c>
      <c r="J37021">
        <v>4</v>
      </c>
    </row>
    <row r="37022" spans="1:10" x14ac:dyDescent="0.25">
      <c r="A37022" t="s">
        <v>398</v>
      </c>
      <c r="B37022" s="1" t="str">
        <f>HYPERLINK("http://diepold-mariazell.at","diepold-mariazell.at")</f>
        <v>diepold-mariazell.at</v>
      </c>
      <c r="C37022" t="s">
        <v>419</v>
      </c>
      <c r="D37022" t="s">
        <v>801</v>
      </c>
      <c r="F37022">
        <v>7.8898523420097595E-9</v>
      </c>
      <c r="G37022">
        <v>10131760</v>
      </c>
      <c r="H37022">
        <v>10803617</v>
      </c>
      <c r="I37022">
        <v>38053376</v>
      </c>
      <c r="J37022">
        <v>5</v>
      </c>
    </row>
    <row r="37023" spans="1:10" x14ac:dyDescent="0.25">
      <c r="A37023" t="s">
        <v>398</v>
      </c>
      <c r="B37023" s="1" t="str">
        <f>HYPERLINK("http://ducati.at","ducati.at")</f>
        <v>ducati.at</v>
      </c>
      <c r="C37023" t="s">
        <v>419</v>
      </c>
      <c r="D37023" t="s">
        <v>801</v>
      </c>
      <c r="F37023">
        <v>2.44388249322485E-8</v>
      </c>
      <c r="G37023">
        <v>2120268</v>
      </c>
      <c r="H37023">
        <v>13933906</v>
      </c>
      <c r="I37023">
        <v>4655030</v>
      </c>
      <c r="J37023">
        <v>3</v>
      </c>
    </row>
    <row r="37024" spans="1:10" x14ac:dyDescent="0.25">
      <c r="A37024" t="s">
        <v>398</v>
      </c>
      <c r="B37024" s="1" t="str">
        <f>HYPERLINK("http://ducati-tirol.at","ducati-tirol.at")</f>
        <v>ducati-tirol.at</v>
      </c>
      <c r="C37024" t="s">
        <v>419</v>
      </c>
      <c r="D37024" t="s">
        <v>801</v>
      </c>
      <c r="F37024">
        <v>5.3660064855951198E-9</v>
      </c>
      <c r="G37024">
        <v>22591559</v>
      </c>
      <c r="H37024">
        <v>11201698</v>
      </c>
      <c r="I37024">
        <v>31236480</v>
      </c>
      <c r="J37024">
        <v>4</v>
      </c>
    </row>
    <row r="37025" spans="1:10" x14ac:dyDescent="0.25">
      <c r="A37025" t="s">
        <v>398</v>
      </c>
      <c r="B37025" s="1" t="str">
        <f>HYPERLINK("http://kamper-eisenstadt.at","kamper-eisenstadt.at")</f>
        <v>kamper-eisenstadt.at</v>
      </c>
      <c r="C37025" t="s">
        <v>419</v>
      </c>
      <c r="D37025" t="s">
        <v>801</v>
      </c>
      <c r="F37025">
        <v>7.7926219785034496E-9</v>
      </c>
      <c r="G37025">
        <v>10338847</v>
      </c>
      <c r="H37025">
        <v>10798400</v>
      </c>
      <c r="I37025">
        <v>38208962</v>
      </c>
      <c r="J37025">
        <v>3</v>
      </c>
    </row>
    <row r="37026" spans="1:10" x14ac:dyDescent="0.25">
      <c r="A37026" t="s">
        <v>398</v>
      </c>
      <c r="B37026" s="1" t="str">
        <f>HYPERLINK("http://keglovits.at","keglovits.at")</f>
        <v>keglovits.at</v>
      </c>
      <c r="C37026" t="s">
        <v>419</v>
      </c>
      <c r="D37026" t="s">
        <v>801</v>
      </c>
      <c r="F37026">
        <v>1.38507218506594E-8</v>
      </c>
      <c r="G37026">
        <v>4260242</v>
      </c>
      <c r="H37026">
        <v>14080208</v>
      </c>
      <c r="I37026">
        <v>2822497</v>
      </c>
      <c r="J37026">
        <v>4</v>
      </c>
    </row>
    <row r="37027" spans="1:10" x14ac:dyDescent="0.25">
      <c r="A37027" t="s">
        <v>398</v>
      </c>
      <c r="B37027" s="1" t="str">
        <f>HYPERLINK("http://liewers.at","liewers.at")</f>
        <v>liewers.at</v>
      </c>
      <c r="C37027" t="s">
        <v>419</v>
      </c>
      <c r="D37027" t="s">
        <v>801</v>
      </c>
      <c r="F37027">
        <v>1.4501509403363899E-8</v>
      </c>
      <c r="G37027">
        <v>4022165</v>
      </c>
      <c r="H37027">
        <v>12234136</v>
      </c>
      <c r="I37027">
        <v>22400470</v>
      </c>
      <c r="J37027">
        <v>3</v>
      </c>
    </row>
    <row r="37028" spans="1:10" x14ac:dyDescent="0.25">
      <c r="A37028" t="s">
        <v>398</v>
      </c>
      <c r="B37028" s="1" t="str">
        <f>HYPERLINK("http://m-berger.at","m-berger.at")</f>
        <v>m-berger.at</v>
      </c>
      <c r="C37028" t="s">
        <v>419</v>
      </c>
      <c r="D37028" t="s">
        <v>801</v>
      </c>
      <c r="F37028">
        <v>1.46511389591101E-8</v>
      </c>
      <c r="G37028">
        <v>3957940</v>
      </c>
      <c r="H37028">
        <v>13933151</v>
      </c>
      <c r="I37028">
        <v>4893740</v>
      </c>
      <c r="J37028">
        <v>5</v>
      </c>
    </row>
    <row r="37029" spans="1:10" x14ac:dyDescent="0.25">
      <c r="A37029" t="s">
        <v>398</v>
      </c>
      <c r="B37029" s="1" t="str">
        <f>HYPERLINK("http://madner.at","madner.at")</f>
        <v>madner.at</v>
      </c>
      <c r="C37029" t="s">
        <v>419</v>
      </c>
      <c r="D37029" t="s">
        <v>801</v>
      </c>
      <c r="F37029">
        <v>1.33339563474303E-8</v>
      </c>
      <c r="G37029">
        <v>4478693</v>
      </c>
      <c r="H37029">
        <v>12111808</v>
      </c>
      <c r="I37029">
        <v>25677748</v>
      </c>
      <c r="J37029">
        <v>3</v>
      </c>
    </row>
    <row r="37030" spans="1:10" x14ac:dyDescent="0.25">
      <c r="A37030" t="s">
        <v>398</v>
      </c>
      <c r="B37030" s="1" t="str">
        <f>HYPERLINK("http://man.at","man.at")</f>
        <v>man.at</v>
      </c>
      <c r="C37030" t="s">
        <v>419</v>
      </c>
      <c r="D37030" t="s">
        <v>801</v>
      </c>
      <c r="F37030">
        <v>1.5445264190760901E-8</v>
      </c>
      <c r="G37030">
        <v>3700239</v>
      </c>
      <c r="H37030">
        <v>12495357</v>
      </c>
      <c r="I37030">
        <v>17424537</v>
      </c>
      <c r="J37030">
        <v>4</v>
      </c>
    </row>
    <row r="37031" spans="1:10" x14ac:dyDescent="0.25">
      <c r="A37031" t="s">
        <v>398</v>
      </c>
      <c r="B37031" s="1" t="str">
        <f>HYPERLINK("http://mantruckandbus.at","mantruckandbus.at")</f>
        <v>mantruckandbus.at</v>
      </c>
      <c r="C37031" t="s">
        <v>419</v>
      </c>
      <c r="D37031" t="s">
        <v>801</v>
      </c>
      <c r="F37031">
        <v>1.3149284877558601E-8</v>
      </c>
      <c r="G37031">
        <v>4561371</v>
      </c>
      <c r="H37031">
        <v>12331086</v>
      </c>
      <c r="I37031">
        <v>20190715</v>
      </c>
      <c r="J37031">
        <v>8</v>
      </c>
    </row>
    <row r="37032" spans="1:10" x14ac:dyDescent="0.25">
      <c r="A37032" t="s">
        <v>398</v>
      </c>
      <c r="B37032" s="1" t="str">
        <f>HYPERLINK("http://marichhofer.at","marichhofer.at")</f>
        <v>marichhofer.at</v>
      </c>
      <c r="C37032" t="s">
        <v>419</v>
      </c>
      <c r="D37032" t="s">
        <v>801</v>
      </c>
      <c r="F37032">
        <v>7.3833987992615498E-9</v>
      </c>
      <c r="G37032">
        <v>11281746</v>
      </c>
      <c r="H37032">
        <v>10824862</v>
      </c>
      <c r="I37032">
        <v>37507898</v>
      </c>
      <c r="J37032">
        <v>4</v>
      </c>
    </row>
    <row r="37033" spans="1:10" x14ac:dyDescent="0.25">
      <c r="A37033" t="s">
        <v>398</v>
      </c>
      <c r="B37033" s="1" t="str">
        <f>HYPERLINK("http://montfortgarage.at","montfortgarage.at")</f>
        <v>montfortgarage.at</v>
      </c>
      <c r="C37033" t="s">
        <v>419</v>
      </c>
      <c r="D37033" t="s">
        <v>801</v>
      </c>
      <c r="F37033">
        <v>8.5984913458033808E-9</v>
      </c>
      <c r="G37033">
        <v>8659226</v>
      </c>
      <c r="H37033">
        <v>12245696</v>
      </c>
      <c r="I37033">
        <v>22102524</v>
      </c>
      <c r="J37033">
        <v>4</v>
      </c>
    </row>
    <row r="37034" spans="1:10" x14ac:dyDescent="0.25">
      <c r="A37034" t="s">
        <v>398</v>
      </c>
      <c r="B37034" s="1" t="str">
        <f>HYPERLINK("http://oeaf.at","oeaf.at")</f>
        <v>oeaf.at</v>
      </c>
      <c r="C37034" t="s">
        <v>419</v>
      </c>
      <c r="D37034" t="s">
        <v>801</v>
      </c>
      <c r="F37034">
        <v>4.48159795852729E-9</v>
      </c>
      <c r="G37034">
        <v>62029548</v>
      </c>
      <c r="H37034">
        <v>11216914</v>
      </c>
      <c r="I37034">
        <v>31115883</v>
      </c>
      <c r="J37034">
        <v>3</v>
      </c>
    </row>
    <row r="37035" spans="1:10" x14ac:dyDescent="0.25">
      <c r="A37035" t="s">
        <v>398</v>
      </c>
      <c r="B37035" s="1" t="str">
        <f>HYPERLINK("http://paybyphone.at","paybyphone.at")</f>
        <v>paybyphone.at</v>
      </c>
      <c r="C37035" t="s">
        <v>419</v>
      </c>
      <c r="D37035" t="s">
        <v>801</v>
      </c>
      <c r="J37035">
        <v>5</v>
      </c>
    </row>
    <row r="37036" spans="1:10" x14ac:dyDescent="0.25">
      <c r="A37036" t="s">
        <v>398</v>
      </c>
      <c r="B37036" s="1" t="str">
        <f>HYPERLINK("http://piamarket.at","piamarket.at")</f>
        <v>piamarket.at</v>
      </c>
      <c r="C37036" t="s">
        <v>419</v>
      </c>
      <c r="D37036" t="s">
        <v>801</v>
      </c>
      <c r="F37036">
        <v>9.7330777656105502E-9</v>
      </c>
      <c r="G37036">
        <v>7043069</v>
      </c>
      <c r="H37036">
        <v>10145639</v>
      </c>
      <c r="I37036">
        <v>59476330</v>
      </c>
      <c r="J37036">
        <v>7</v>
      </c>
    </row>
    <row r="37037" spans="1:10" x14ac:dyDescent="0.25">
      <c r="A37037" t="s">
        <v>398</v>
      </c>
      <c r="B37037" s="1" t="str">
        <f>HYPERLINK("http://porsche.at","porsche.at")</f>
        <v>porsche.at</v>
      </c>
      <c r="C37037" t="s">
        <v>419</v>
      </c>
      <c r="D37037" t="s">
        <v>801</v>
      </c>
      <c r="F37037">
        <v>9.5053225107903295E-8</v>
      </c>
      <c r="G37037">
        <v>426462</v>
      </c>
      <c r="H37037">
        <v>14436412</v>
      </c>
      <c r="I37037">
        <v>1068185</v>
      </c>
      <c r="J37037">
        <v>4</v>
      </c>
    </row>
    <row r="37038" spans="1:10" x14ac:dyDescent="0.25">
      <c r="A37038" t="s">
        <v>398</v>
      </c>
      <c r="B37038" s="1" t="str">
        <f>HYPERLINK("http://porsche-holding.at","porsche-holding.at")</f>
        <v>porsche-holding.at</v>
      </c>
      <c r="C37038" t="s">
        <v>419</v>
      </c>
      <c r="D37038" t="s">
        <v>801</v>
      </c>
      <c r="F37038">
        <v>5.3462169023771996E-9</v>
      </c>
      <c r="G37038">
        <v>22851932</v>
      </c>
      <c r="H37038">
        <v>14071841</v>
      </c>
      <c r="I37038">
        <v>3298077</v>
      </c>
      <c r="J37038">
        <v>3</v>
      </c>
    </row>
    <row r="37039" spans="1:10" x14ac:dyDescent="0.25">
      <c r="A37039" t="s">
        <v>398</v>
      </c>
      <c r="B37039" s="1" t="str">
        <f>HYPERLINK("http://porschebank.at","porschebank.at")</f>
        <v>porschebank.at</v>
      </c>
      <c r="C37039" t="s">
        <v>419</v>
      </c>
      <c r="D37039" t="s">
        <v>801</v>
      </c>
      <c r="F37039">
        <v>1.60540592658618E-7</v>
      </c>
      <c r="G37039">
        <v>241780</v>
      </c>
      <c r="H37039">
        <v>16752546</v>
      </c>
      <c r="I37039">
        <v>252646</v>
      </c>
      <c r="J37039">
        <v>3</v>
      </c>
    </row>
    <row r="37040" spans="1:10" x14ac:dyDescent="0.25">
      <c r="A37040" t="s">
        <v>398</v>
      </c>
      <c r="B37040" s="1" t="str">
        <f>HYPERLINK("http://porschegrazliebenau.at","porschegrazliebenau.at")</f>
        <v>porschegrazliebenau.at</v>
      </c>
      <c r="C37040" t="s">
        <v>419</v>
      </c>
      <c r="D37040" t="s">
        <v>801</v>
      </c>
      <c r="F37040">
        <v>1.5753962965669101E-8</v>
      </c>
      <c r="G37040">
        <v>3612413</v>
      </c>
      <c r="H37040">
        <v>13938212</v>
      </c>
      <c r="I37040">
        <v>4443724</v>
      </c>
      <c r="J37040">
        <v>6</v>
      </c>
    </row>
    <row r="37041" spans="1:10" x14ac:dyDescent="0.25">
      <c r="A37041" t="s">
        <v>398</v>
      </c>
      <c r="B37041" s="1" t="str">
        <f>HYPERLINK("http://porscheinformatik.at","porscheinformatik.at")</f>
        <v>porscheinformatik.at</v>
      </c>
      <c r="C37041" t="s">
        <v>419</v>
      </c>
      <c r="D37041" t="s">
        <v>801</v>
      </c>
      <c r="F37041">
        <v>3.2394021209934001E-8</v>
      </c>
      <c r="G37041">
        <v>1594951</v>
      </c>
      <c r="H37041">
        <v>14424607</v>
      </c>
      <c r="I37041">
        <v>1081326</v>
      </c>
      <c r="J37041">
        <v>3</v>
      </c>
    </row>
    <row r="37042" spans="1:10" x14ac:dyDescent="0.25">
      <c r="A37042" t="s">
        <v>398</v>
      </c>
      <c r="B37042" s="1" t="str">
        <f>HYPERLINK("http://porscheinnsbruck.at","porscheinnsbruck.at")</f>
        <v>porscheinnsbruck.at</v>
      </c>
      <c r="C37042" t="s">
        <v>419</v>
      </c>
      <c r="D37042" t="s">
        <v>801</v>
      </c>
      <c r="F37042">
        <v>2.1594521681913399E-8</v>
      </c>
      <c r="G37042">
        <v>2437265</v>
      </c>
      <c r="H37042">
        <v>11078442</v>
      </c>
      <c r="I37042">
        <v>32498352</v>
      </c>
      <c r="J37042">
        <v>4</v>
      </c>
    </row>
    <row r="37043" spans="1:10" x14ac:dyDescent="0.25">
      <c r="A37043" t="s">
        <v>398</v>
      </c>
      <c r="B37043" s="1" t="str">
        <f>HYPERLINK("http://porscheinterauto.at","porscheinterauto.at")</f>
        <v>porscheinterauto.at</v>
      </c>
      <c r="C37043" t="s">
        <v>419</v>
      </c>
      <c r="D37043" t="s">
        <v>801</v>
      </c>
      <c r="F37043">
        <v>2.3381495798385699E-8</v>
      </c>
      <c r="G37043">
        <v>2230355</v>
      </c>
      <c r="H37043">
        <v>13372819</v>
      </c>
      <c r="I37043">
        <v>10458261</v>
      </c>
      <c r="J37043">
        <v>3</v>
      </c>
    </row>
    <row r="37044" spans="1:10" x14ac:dyDescent="0.25">
      <c r="A37044" t="s">
        <v>398</v>
      </c>
      <c r="B37044" s="1" t="str">
        <f>HYPERLINK("http://porschejudenburg.at","porschejudenburg.at")</f>
        <v>porschejudenburg.at</v>
      </c>
      <c r="C37044" t="s">
        <v>419</v>
      </c>
      <c r="D37044" t="s">
        <v>801</v>
      </c>
      <c r="F37044">
        <v>4.4438331965160903E-9</v>
      </c>
      <c r="G37044">
        <v>78971857</v>
      </c>
      <c r="H37044">
        <v>10466171</v>
      </c>
      <c r="I37044">
        <v>51436069</v>
      </c>
      <c r="J37044">
        <v>4</v>
      </c>
    </row>
    <row r="37045" spans="1:10" x14ac:dyDescent="0.25">
      <c r="A37045" t="s">
        <v>398</v>
      </c>
      <c r="B37045" s="1" t="str">
        <f>HYPERLINK("http://porschekaerntnerstr.at","porschekaerntnerstr.at")</f>
        <v>porschekaerntnerstr.at</v>
      </c>
      <c r="C37045" t="s">
        <v>419</v>
      </c>
      <c r="D37045" t="s">
        <v>801</v>
      </c>
      <c r="F37045">
        <v>1.30922340971146E-8</v>
      </c>
      <c r="G37045">
        <v>4587636</v>
      </c>
      <c r="H37045">
        <v>11439796</v>
      </c>
      <c r="I37045">
        <v>30135115</v>
      </c>
      <c r="J37045">
        <v>3</v>
      </c>
    </row>
    <row r="37046" spans="1:10" x14ac:dyDescent="0.25">
      <c r="A37046" t="s">
        <v>398</v>
      </c>
      <c r="B37046" s="1" t="str">
        <f>HYPERLINK("http://porscheliesing.at","porscheliesing.at")</f>
        <v>porscheliesing.at</v>
      </c>
      <c r="C37046" t="s">
        <v>419</v>
      </c>
      <c r="D37046" t="s">
        <v>801</v>
      </c>
      <c r="F37046">
        <v>1.2258876607614799E-8</v>
      </c>
      <c r="G37046">
        <v>5017304</v>
      </c>
      <c r="H37046">
        <v>12487793</v>
      </c>
      <c r="I37046">
        <v>17513776</v>
      </c>
      <c r="J37046">
        <v>4</v>
      </c>
    </row>
    <row r="37047" spans="1:10" x14ac:dyDescent="0.25">
      <c r="A37047" t="s">
        <v>398</v>
      </c>
      <c r="B37047" s="1" t="str">
        <f>HYPERLINK("http://porschemariaenzersdorf.at","porschemariaenzersdorf.at")</f>
        <v>porschemariaenzersdorf.at</v>
      </c>
      <c r="C37047" t="s">
        <v>419</v>
      </c>
      <c r="D37047" t="s">
        <v>801</v>
      </c>
      <c r="F37047">
        <v>4.5640245014366902E-9</v>
      </c>
      <c r="G37047">
        <v>50769907</v>
      </c>
      <c r="H37047">
        <v>10930904</v>
      </c>
      <c r="I37047">
        <v>35046656</v>
      </c>
      <c r="J37047">
        <v>6</v>
      </c>
    </row>
    <row r="37048" spans="1:10" x14ac:dyDescent="0.25">
      <c r="A37048" t="s">
        <v>398</v>
      </c>
      <c r="B37048" s="1" t="str">
        <f>HYPERLINK("http://porschestpoeltensued.at","porschestpoeltensued.at")</f>
        <v>porschestpoeltensued.at</v>
      </c>
      <c r="C37048" t="s">
        <v>419</v>
      </c>
      <c r="D37048" t="s">
        <v>801</v>
      </c>
      <c r="F37048">
        <v>1.04790552961611E-8</v>
      </c>
      <c r="G37048">
        <v>6287781</v>
      </c>
      <c r="H37048">
        <v>10469565</v>
      </c>
      <c r="I37048">
        <v>51319912</v>
      </c>
      <c r="J37048">
        <v>4</v>
      </c>
    </row>
    <row r="37049" spans="1:10" x14ac:dyDescent="0.25">
      <c r="A37049" t="s">
        <v>398</v>
      </c>
      <c r="B37049" s="1" t="str">
        <f>HYPERLINK("http://porschevillach.at","porschevillach.at")</f>
        <v>porschevillach.at</v>
      </c>
      <c r="C37049" t="s">
        <v>419</v>
      </c>
      <c r="D37049" t="s">
        <v>801</v>
      </c>
      <c r="F37049">
        <v>5.6556456988101899E-9</v>
      </c>
      <c r="G37049">
        <v>19342279</v>
      </c>
      <c r="H37049">
        <v>12226425</v>
      </c>
      <c r="I37049">
        <v>22613323</v>
      </c>
      <c r="J37049">
        <v>6</v>
      </c>
    </row>
    <row r="37050" spans="1:10" x14ac:dyDescent="0.25">
      <c r="A37050" t="s">
        <v>398</v>
      </c>
      <c r="B37050" s="1" t="str">
        <f>HYPERLINK("http://porschevoelkermarkter.at","porschevoelkermarkter.at")</f>
        <v>porschevoelkermarkter.at</v>
      </c>
      <c r="C37050" t="s">
        <v>419</v>
      </c>
      <c r="D37050" t="s">
        <v>801</v>
      </c>
      <c r="F37050">
        <v>5.5258664762524401E-9</v>
      </c>
      <c r="G37050">
        <v>20626232</v>
      </c>
      <c r="H37050">
        <v>10783605</v>
      </c>
      <c r="I37050">
        <v>38773394</v>
      </c>
      <c r="J37050">
        <v>4</v>
      </c>
    </row>
    <row r="37051" spans="1:10" x14ac:dyDescent="0.25">
      <c r="A37051" t="s">
        <v>398</v>
      </c>
      <c r="B37051" s="1" t="str">
        <f>HYPERLINK("http://porschezellamsee.at","porschezellamsee.at")</f>
        <v>porschezellamsee.at</v>
      </c>
      <c r="C37051" t="s">
        <v>419</v>
      </c>
      <c r="D37051" t="s">
        <v>801</v>
      </c>
      <c r="F37051">
        <v>1.1046523216393901E-8</v>
      </c>
      <c r="G37051">
        <v>5824944</v>
      </c>
      <c r="H37051">
        <v>10877983</v>
      </c>
      <c r="I37051">
        <v>36361321</v>
      </c>
      <c r="J37051">
        <v>4</v>
      </c>
    </row>
    <row r="37052" spans="1:10" x14ac:dyDescent="0.25">
      <c r="A37052" t="s">
        <v>398</v>
      </c>
      <c r="B37052" s="1" t="str">
        <f>HYPERLINK("http://scania.at","scania.at")</f>
        <v>scania.at</v>
      </c>
      <c r="C37052" t="s">
        <v>419</v>
      </c>
      <c r="D37052" t="s">
        <v>801</v>
      </c>
      <c r="F37052">
        <v>1.6410040751488599E-8</v>
      </c>
      <c r="G37052">
        <v>3443793</v>
      </c>
      <c r="H37052">
        <v>12389089</v>
      </c>
      <c r="I37052">
        <v>19066204</v>
      </c>
      <c r="J37052">
        <v>4</v>
      </c>
    </row>
    <row r="37053" spans="1:10" x14ac:dyDescent="0.25">
      <c r="A37053" t="s">
        <v>398</v>
      </c>
      <c r="B37053" s="1" t="str">
        <f>HYPERLINK("http://seat.at","seat.at")</f>
        <v>seat.at</v>
      </c>
      <c r="C37053" t="s">
        <v>419</v>
      </c>
      <c r="D37053" t="s">
        <v>801</v>
      </c>
      <c r="F37053">
        <v>1.2607557059805701E-7</v>
      </c>
      <c r="G37053">
        <v>312846</v>
      </c>
      <c r="H37053">
        <v>14113099</v>
      </c>
      <c r="I37053">
        <v>2668180</v>
      </c>
      <c r="J37053">
        <v>4</v>
      </c>
    </row>
    <row r="37054" spans="1:10" x14ac:dyDescent="0.25">
      <c r="A37054" t="s">
        <v>398</v>
      </c>
      <c r="B37054" s="1" t="str">
        <f>HYPERLINK("http://skoda-lindner.at","skoda-lindner.at")</f>
        <v>skoda-lindner.at</v>
      </c>
      <c r="C37054" t="s">
        <v>419</v>
      </c>
      <c r="D37054" t="s">
        <v>801</v>
      </c>
      <c r="F37054">
        <v>7.8469879401662694E-9</v>
      </c>
      <c r="G37054">
        <v>10220960</v>
      </c>
      <c r="H37054">
        <v>10977948</v>
      </c>
      <c r="I37054">
        <v>33974997</v>
      </c>
      <c r="J37054">
        <v>4</v>
      </c>
    </row>
    <row r="37055" spans="1:10" x14ac:dyDescent="0.25">
      <c r="A37055" t="s">
        <v>398</v>
      </c>
      <c r="B37055" s="1" t="str">
        <f>HYPERLINK("http://skoda-temmel.at","skoda-temmel.at")</f>
        <v>skoda-temmel.at</v>
      </c>
      <c r="C37055" t="s">
        <v>419</v>
      </c>
      <c r="D37055" t="s">
        <v>801</v>
      </c>
      <c r="F37055">
        <v>7.1221371487309899E-9</v>
      </c>
      <c r="G37055">
        <v>11953530</v>
      </c>
      <c r="H37055">
        <v>12269356</v>
      </c>
      <c r="I37055">
        <v>21536785</v>
      </c>
      <c r="J37055">
        <v>4</v>
      </c>
    </row>
    <row r="37056" spans="1:10" x14ac:dyDescent="0.25">
      <c r="A37056" t="s">
        <v>398</v>
      </c>
      <c r="B37056" s="1" t="str">
        <f>HYPERLINK("http://vierthaler.at","vierthaler.at")</f>
        <v>vierthaler.at</v>
      </c>
      <c r="C37056" t="s">
        <v>419</v>
      </c>
      <c r="D37056" t="s">
        <v>801</v>
      </c>
      <c r="F37056">
        <v>1.0709706538262599E-8</v>
      </c>
      <c r="G37056">
        <v>6091878</v>
      </c>
      <c r="H37056">
        <v>12452842</v>
      </c>
      <c r="I37056">
        <v>17962815</v>
      </c>
      <c r="J37056">
        <v>4</v>
      </c>
    </row>
    <row r="37057" spans="1:10" x14ac:dyDescent="0.25">
      <c r="A37057" t="s">
        <v>398</v>
      </c>
      <c r="B37057" s="1" t="str">
        <f>HYPERLINK("http://volkswagen.at","volkswagen.at")</f>
        <v>volkswagen.at</v>
      </c>
      <c r="C37057" t="s">
        <v>419</v>
      </c>
      <c r="D37057" t="s">
        <v>801</v>
      </c>
      <c r="E37057">
        <v>435411</v>
      </c>
      <c r="F37057">
        <v>2.4551894212277803E-7</v>
      </c>
      <c r="G37057">
        <v>152379</v>
      </c>
      <c r="H37057">
        <v>14548129</v>
      </c>
      <c r="I37057">
        <v>763609</v>
      </c>
      <c r="J37057">
        <v>4</v>
      </c>
    </row>
    <row r="37058" spans="1:10" x14ac:dyDescent="0.25">
      <c r="A37058" t="s">
        <v>398</v>
      </c>
      <c r="B37058" s="1" t="str">
        <f>HYPERLINK("http://vowainnsbruck.at","vowainnsbruck.at")</f>
        <v>vowainnsbruck.at</v>
      </c>
      <c r="C37058" t="s">
        <v>419</v>
      </c>
      <c r="D37058" t="s">
        <v>801</v>
      </c>
      <c r="F37058">
        <v>5.3424890151404901E-9</v>
      </c>
      <c r="G37058">
        <v>22900728</v>
      </c>
      <c r="H37058">
        <v>12295948</v>
      </c>
      <c r="I37058">
        <v>20946813</v>
      </c>
      <c r="J37058">
        <v>4</v>
      </c>
    </row>
    <row r="37059" spans="1:10" x14ac:dyDescent="0.25">
      <c r="A37059" t="s">
        <v>398</v>
      </c>
      <c r="B37059" s="1" t="str">
        <f>HYPERLINK("http://vvd.at","vvd.at")</f>
        <v>vvd.at</v>
      </c>
      <c r="C37059" t="s">
        <v>419</v>
      </c>
      <c r="D37059" t="s">
        <v>801</v>
      </c>
      <c r="F37059">
        <v>3.8495751358887098E-8</v>
      </c>
      <c r="G37059">
        <v>1339828</v>
      </c>
      <c r="H37059">
        <v>12180636</v>
      </c>
      <c r="I37059">
        <v>23802878</v>
      </c>
      <c r="J37059">
        <v>4</v>
      </c>
    </row>
    <row r="37060" spans="1:10" x14ac:dyDescent="0.25">
      <c r="A37060" t="s">
        <v>398</v>
      </c>
      <c r="B37060" s="1" t="str">
        <f>HYPERLINK("http://weinacht.at","weinacht.at")</f>
        <v>weinacht.at</v>
      </c>
      <c r="C37060" t="s">
        <v>419</v>
      </c>
      <c r="D37060" t="s">
        <v>801</v>
      </c>
      <c r="F37060">
        <v>4.9626158989347704E-9</v>
      </c>
      <c r="G37060">
        <v>30438668</v>
      </c>
      <c r="H37060">
        <v>10534086</v>
      </c>
      <c r="I37060">
        <v>47790386</v>
      </c>
      <c r="J37060">
        <v>5</v>
      </c>
    </row>
    <row r="37061" spans="1:10" x14ac:dyDescent="0.25">
      <c r="A37061" t="s">
        <v>398</v>
      </c>
      <c r="B37061" s="1" t="str">
        <f>HYPERLINK("http://wiegele.at","wiegele.at")</f>
        <v>wiegele.at</v>
      </c>
      <c r="C37061" t="s">
        <v>419</v>
      </c>
      <c r="D37061" t="s">
        <v>801</v>
      </c>
      <c r="F37061">
        <v>1.315522412661E-8</v>
      </c>
      <c r="G37061">
        <v>4558580</v>
      </c>
      <c r="H37061">
        <v>12421990</v>
      </c>
      <c r="I37061">
        <v>18415459</v>
      </c>
      <c r="J37061">
        <v>5</v>
      </c>
    </row>
    <row r="37062" spans="1:10" x14ac:dyDescent="0.25">
      <c r="A37062" t="s">
        <v>398</v>
      </c>
      <c r="B37062" s="1" t="str">
        <f>HYPERLINK("http://willander.at","willander.at")</f>
        <v>willander.at</v>
      </c>
      <c r="C37062" t="s">
        <v>419</v>
      </c>
      <c r="D37062" t="s">
        <v>801</v>
      </c>
      <c r="F37062">
        <v>9.0624208867710002E-9</v>
      </c>
      <c r="G37062">
        <v>7900379</v>
      </c>
      <c r="H37062">
        <v>11017897</v>
      </c>
      <c r="I37062">
        <v>33288585</v>
      </c>
      <c r="J37062">
        <v>5</v>
      </c>
    </row>
    <row r="37063" spans="1:10" x14ac:dyDescent="0.25">
      <c r="A37063" t="s">
        <v>398</v>
      </c>
      <c r="B37063" s="1" t="str">
        <f>HYPERLINK("http://zweiradtechnik.at","zweiradtechnik.at")</f>
        <v>zweiradtechnik.at</v>
      </c>
      <c r="C37063" t="s">
        <v>419</v>
      </c>
      <c r="D37063" t="s">
        <v>801</v>
      </c>
      <c r="F37063">
        <v>4.9164119140100604E-9</v>
      </c>
      <c r="G37063">
        <v>31819912</v>
      </c>
      <c r="H37063">
        <v>10931407</v>
      </c>
      <c r="I37063">
        <v>35037027</v>
      </c>
      <c r="J37063">
        <v>4</v>
      </c>
    </row>
    <row r="37064" spans="1:10" x14ac:dyDescent="0.25">
      <c r="A37064" t="s">
        <v>398</v>
      </c>
      <c r="B37064" s="1" t="str">
        <f>HYPERLINK("http://audi.com.au","audi.com.au")</f>
        <v>audi.com.au</v>
      </c>
      <c r="C37064" t="s">
        <v>420</v>
      </c>
      <c r="D37064" t="s">
        <v>802</v>
      </c>
      <c r="E37064">
        <v>411781</v>
      </c>
      <c r="F37064">
        <v>2.6290615601089301E-8</v>
      </c>
      <c r="G37064">
        <v>1958689</v>
      </c>
      <c r="H37064">
        <v>14097747</v>
      </c>
      <c r="I37064">
        <v>2720006</v>
      </c>
      <c r="J37064">
        <v>4</v>
      </c>
    </row>
    <row r="37065" spans="1:10" x14ac:dyDescent="0.25">
      <c r="A37065" t="s">
        <v>398</v>
      </c>
      <c r="B37065" s="1" t="str">
        <f>HYPERLINK("http://audicentrebrighton.com.au","audicentrebrighton.com.au")</f>
        <v>audicentrebrighton.com.au</v>
      </c>
      <c r="C37065" t="s">
        <v>420</v>
      </c>
      <c r="D37065" t="s">
        <v>802</v>
      </c>
      <c r="J37065">
        <v>4</v>
      </c>
    </row>
    <row r="37066" spans="1:10" x14ac:dyDescent="0.25">
      <c r="A37066" t="s">
        <v>398</v>
      </c>
      <c r="B37066" s="1" t="str">
        <f>HYPERLINK("http://audicentregeelong.com.au","audicentregeelong.com.au")</f>
        <v>audicentregeelong.com.au</v>
      </c>
      <c r="C37066" t="s">
        <v>420</v>
      </c>
      <c r="D37066" t="s">
        <v>802</v>
      </c>
      <c r="F37066">
        <v>4.4438440063294097E-9</v>
      </c>
      <c r="G37066">
        <v>78653422</v>
      </c>
      <c r="H37066">
        <v>10464284</v>
      </c>
      <c r="I37066">
        <v>51550943</v>
      </c>
      <c r="J37066">
        <v>4</v>
      </c>
    </row>
    <row r="37067" spans="1:10" x14ac:dyDescent="0.25">
      <c r="A37067" t="s">
        <v>398</v>
      </c>
      <c r="B37067" s="1" t="str">
        <f>HYPERLINK("http://audicentregoldcoast.com.au","audicentregoldcoast.com.au")</f>
        <v>audicentregoldcoast.com.au</v>
      </c>
      <c r="C37067" t="s">
        <v>420</v>
      </c>
      <c r="D37067" t="s">
        <v>802</v>
      </c>
      <c r="F37067">
        <v>4.5277807336706702E-9</v>
      </c>
      <c r="G37067">
        <v>55295710</v>
      </c>
      <c r="H37067">
        <v>10056489</v>
      </c>
      <c r="I37067">
        <v>60305521</v>
      </c>
      <c r="J37067">
        <v>4</v>
      </c>
    </row>
    <row r="37068" spans="1:10" x14ac:dyDescent="0.25">
      <c r="A37068" t="s">
        <v>398</v>
      </c>
      <c r="B37068" s="1" t="str">
        <f>HYPERLINK("http://audicentresydney.com.au","audicentresydney.com.au")</f>
        <v>audicentresydney.com.au</v>
      </c>
      <c r="C37068" t="s">
        <v>420</v>
      </c>
      <c r="D37068" t="s">
        <v>802</v>
      </c>
      <c r="F37068">
        <v>8.5142293460442193E-9</v>
      </c>
      <c r="G37068">
        <v>8818709</v>
      </c>
      <c r="H37068">
        <v>12141418</v>
      </c>
      <c r="I37068">
        <v>24848597</v>
      </c>
      <c r="J37068">
        <v>4</v>
      </c>
    </row>
    <row r="37069" spans="1:10" x14ac:dyDescent="0.25">
      <c r="A37069" t="s">
        <v>398</v>
      </c>
      <c r="B37069" s="1" t="str">
        <f>HYPERLINK("http://audiparramatta.com.au","audiparramatta.com.au")</f>
        <v>audiparramatta.com.au</v>
      </c>
      <c r="C37069" t="s">
        <v>420</v>
      </c>
      <c r="D37069" t="s">
        <v>802</v>
      </c>
      <c r="F37069">
        <v>4.66954890986082E-9</v>
      </c>
      <c r="G37069">
        <v>42948958</v>
      </c>
      <c r="H37069">
        <v>10815342</v>
      </c>
      <c r="I37069">
        <v>37731718</v>
      </c>
      <c r="J37069">
        <v>4</v>
      </c>
    </row>
    <row r="37070" spans="1:10" x14ac:dyDescent="0.25">
      <c r="A37070" t="s">
        <v>398</v>
      </c>
      <c r="B37070" s="1" t="str">
        <f>HYPERLINK("http://cattrucks.com.au","cattrucks.com.au")</f>
        <v>cattrucks.com.au</v>
      </c>
      <c r="C37070" t="s">
        <v>420</v>
      </c>
      <c r="D37070" t="s">
        <v>802</v>
      </c>
      <c r="F37070">
        <v>5.74848769757685E-9</v>
      </c>
      <c r="G37070">
        <v>18509563</v>
      </c>
      <c r="H37070">
        <v>12183458</v>
      </c>
      <c r="I37070">
        <v>23727921</v>
      </c>
      <c r="J37070">
        <v>3</v>
      </c>
    </row>
    <row r="37071" spans="1:10" x14ac:dyDescent="0.25">
      <c r="A37071" t="s">
        <v>398</v>
      </c>
      <c r="B37071" s="1" t="str">
        <f>HYPERLINK("http://cupraofficial.com.au","cupraofficial.com.au")</f>
        <v>cupraofficial.com.au</v>
      </c>
      <c r="C37071" t="s">
        <v>420</v>
      </c>
      <c r="D37071" t="s">
        <v>802</v>
      </c>
      <c r="F37071">
        <v>2.47331890247025E-8</v>
      </c>
      <c r="G37071">
        <v>2091403</v>
      </c>
      <c r="H37071">
        <v>13811989</v>
      </c>
      <c r="I37071">
        <v>6190624</v>
      </c>
      <c r="J37071">
        <v>4</v>
      </c>
    </row>
    <row r="37072" spans="1:10" x14ac:dyDescent="0.25">
      <c r="A37072" t="s">
        <v>398</v>
      </c>
      <c r="B37072" s="1" t="str">
        <f>HYPERLINK("http://ducati.com.au","ducati.com.au")</f>
        <v>ducati.com.au</v>
      </c>
      <c r="C37072" t="s">
        <v>420</v>
      </c>
      <c r="D37072" t="s">
        <v>802</v>
      </c>
      <c r="F37072">
        <v>6.3617386021191097E-9</v>
      </c>
      <c r="G37072">
        <v>14705006</v>
      </c>
      <c r="H37072">
        <v>12454538</v>
      </c>
      <c r="I37072">
        <v>17939831</v>
      </c>
      <c r="J37072">
        <v>3</v>
      </c>
    </row>
    <row r="37073" spans="1:10" x14ac:dyDescent="0.25">
      <c r="A37073" t="s">
        <v>398</v>
      </c>
      <c r="B37073" s="1" t="str">
        <f>HYPERLINK("http://ftgvw.com.au","ftgvw.com.au")</f>
        <v>ftgvw.com.au</v>
      </c>
      <c r="C37073" t="s">
        <v>420</v>
      </c>
      <c r="D37073" t="s">
        <v>802</v>
      </c>
      <c r="F37073">
        <v>4.4697139636676503E-9</v>
      </c>
      <c r="G37073">
        <v>64638012</v>
      </c>
      <c r="H37073">
        <v>10462210</v>
      </c>
      <c r="I37073">
        <v>51677936</v>
      </c>
      <c r="J37073">
        <v>3</v>
      </c>
    </row>
    <row r="37074" spans="1:10" x14ac:dyDescent="0.25">
      <c r="A37074" t="s">
        <v>398</v>
      </c>
      <c r="B37074" s="1" t="str">
        <f>HYPERLINK("http://iboettcher.com.au","iboettcher.com.au")</f>
        <v>iboettcher.com.au</v>
      </c>
      <c r="C37074" t="s">
        <v>420</v>
      </c>
      <c r="D37074" t="s">
        <v>802</v>
      </c>
      <c r="F37074">
        <v>4.9574224992373196E-9</v>
      </c>
      <c r="G37074">
        <v>30582069</v>
      </c>
      <c r="H37074">
        <v>12374407</v>
      </c>
      <c r="I37074">
        <v>19329043</v>
      </c>
      <c r="J37074">
        <v>3</v>
      </c>
    </row>
    <row r="37075" spans="1:10" x14ac:dyDescent="0.25">
      <c r="A37075" t="s">
        <v>398</v>
      </c>
      <c r="B37075" s="1" t="str">
        <f>HYPERLINK("http://mandiesel.com.au","mandiesel.com.au")</f>
        <v>mandiesel.com.au</v>
      </c>
      <c r="C37075" t="s">
        <v>420</v>
      </c>
      <c r="D37075" t="s">
        <v>802</v>
      </c>
      <c r="F37075">
        <v>4.4442827398947298E-9</v>
      </c>
      <c r="G37075">
        <v>77027789</v>
      </c>
      <c r="H37075">
        <v>8352931.5</v>
      </c>
      <c r="I37075">
        <v>73787741</v>
      </c>
      <c r="J37075">
        <v>5</v>
      </c>
    </row>
    <row r="37076" spans="1:10" x14ac:dyDescent="0.25">
      <c r="A37076" t="s">
        <v>398</v>
      </c>
      <c r="B37076" s="1" t="str">
        <f>HYPERLINK("http://peninsulavw.com.au","peninsulavw.com.au")</f>
        <v>peninsulavw.com.au</v>
      </c>
      <c r="C37076" t="s">
        <v>420</v>
      </c>
      <c r="D37076" t="s">
        <v>802</v>
      </c>
      <c r="F37076">
        <v>4.9163813756019099E-9</v>
      </c>
      <c r="G37076">
        <v>31827658</v>
      </c>
      <c r="H37076">
        <v>14071863</v>
      </c>
      <c r="I37076">
        <v>3290496</v>
      </c>
      <c r="J37076">
        <v>3</v>
      </c>
    </row>
    <row r="37077" spans="1:10" x14ac:dyDescent="0.25">
      <c r="A37077" t="s">
        <v>398</v>
      </c>
      <c r="B37077" s="1" t="str">
        <f>HYPERLINK("http://penrithvolkswagen.com.au","penrithvolkswagen.com.au")</f>
        <v>penrithvolkswagen.com.au</v>
      </c>
      <c r="C37077" t="s">
        <v>420</v>
      </c>
      <c r="D37077" t="s">
        <v>802</v>
      </c>
      <c r="J37077">
        <v>3</v>
      </c>
    </row>
    <row r="37078" spans="1:10" x14ac:dyDescent="0.25">
      <c r="A37078" t="s">
        <v>398</v>
      </c>
      <c r="B37078" s="1" t="str">
        <f>HYPERLINK("http://porsche.com.au","porsche.com.au")</f>
        <v>porsche.com.au</v>
      </c>
      <c r="C37078" t="s">
        <v>420</v>
      </c>
      <c r="D37078" t="s">
        <v>802</v>
      </c>
      <c r="F37078">
        <v>8.0172288103478194E-9</v>
      </c>
      <c r="G37078">
        <v>9889395</v>
      </c>
      <c r="H37078">
        <v>12495098</v>
      </c>
      <c r="I37078">
        <v>17427336</v>
      </c>
      <c r="J37078">
        <v>4</v>
      </c>
    </row>
    <row r="37079" spans="1:10" x14ac:dyDescent="0.25">
      <c r="A37079" t="s">
        <v>398</v>
      </c>
      <c r="B37079" s="1" t="str">
        <f>HYPERLINK("http://porschecentrebrisbane.com.au","porschecentrebrisbane.com.au")</f>
        <v>porschecentrebrisbane.com.au</v>
      </c>
      <c r="C37079" t="s">
        <v>420</v>
      </c>
      <c r="D37079" t="s">
        <v>802</v>
      </c>
      <c r="F37079">
        <v>6.5966751431344796E-9</v>
      </c>
      <c r="G37079">
        <v>13689812</v>
      </c>
      <c r="H37079">
        <v>12449725</v>
      </c>
      <c r="I37079">
        <v>17999989</v>
      </c>
      <c r="J37079">
        <v>4</v>
      </c>
    </row>
    <row r="37080" spans="1:10" x14ac:dyDescent="0.25">
      <c r="A37080" t="s">
        <v>398</v>
      </c>
      <c r="B37080" s="1" t="str">
        <f>HYPERLINK("http://porschecentreperth.com.au","porschecentreperth.com.au")</f>
        <v>porschecentreperth.com.au</v>
      </c>
      <c r="C37080" t="s">
        <v>420</v>
      </c>
      <c r="D37080" t="s">
        <v>802</v>
      </c>
      <c r="F37080">
        <v>4.6898666962016096E-9</v>
      </c>
      <c r="G37080">
        <v>41794837</v>
      </c>
      <c r="H37080">
        <v>10418959</v>
      </c>
      <c r="I37080">
        <v>53955396</v>
      </c>
      <c r="J37080">
        <v>4</v>
      </c>
    </row>
    <row r="37081" spans="1:10" x14ac:dyDescent="0.25">
      <c r="A37081" t="s">
        <v>398</v>
      </c>
      <c r="B37081" s="1" t="str">
        <f>HYPERLINK("http://porschegoldcoast.com.au","porschegoldcoast.com.au")</f>
        <v>porschegoldcoast.com.au</v>
      </c>
      <c r="C37081" t="s">
        <v>420</v>
      </c>
      <c r="D37081" t="s">
        <v>802</v>
      </c>
      <c r="F37081">
        <v>6.5389875292212801E-9</v>
      </c>
      <c r="G37081">
        <v>13917548</v>
      </c>
      <c r="H37081">
        <v>12306809</v>
      </c>
      <c r="I37081">
        <v>20699714</v>
      </c>
      <c r="J37081">
        <v>4</v>
      </c>
    </row>
    <row r="37082" spans="1:10" x14ac:dyDescent="0.25">
      <c r="A37082" t="s">
        <v>398</v>
      </c>
      <c r="B37082" s="1" t="str">
        <f>HYPERLINK("http://rexgorellvolkswagen.com.au","rexgorellvolkswagen.com.au")</f>
        <v>rexgorellvolkswagen.com.au</v>
      </c>
      <c r="C37082" t="s">
        <v>420</v>
      </c>
      <c r="D37082" t="s">
        <v>802</v>
      </c>
      <c r="F37082">
        <v>4.6246707365211897E-9</v>
      </c>
      <c r="G37082">
        <v>45797215</v>
      </c>
      <c r="H37082">
        <v>11129427</v>
      </c>
      <c r="I37082">
        <v>31953231</v>
      </c>
      <c r="J37082">
        <v>3</v>
      </c>
    </row>
    <row r="37083" spans="1:10" x14ac:dyDescent="0.25">
      <c r="A37083" t="s">
        <v>398</v>
      </c>
      <c r="B37083" s="1" t="str">
        <f>HYPERLINK("http://scania.com.au","scania.com.au")</f>
        <v>scania.com.au</v>
      </c>
      <c r="C37083" t="s">
        <v>420</v>
      </c>
      <c r="D37083" t="s">
        <v>802</v>
      </c>
      <c r="F37083">
        <v>6.4457170944914299E-9</v>
      </c>
      <c r="G37083">
        <v>14313280</v>
      </c>
      <c r="H37083">
        <v>12408490</v>
      </c>
      <c r="I37083">
        <v>18629093</v>
      </c>
      <c r="J37083">
        <v>3</v>
      </c>
    </row>
    <row r="37084" spans="1:10" x14ac:dyDescent="0.25">
      <c r="A37084" t="s">
        <v>398</v>
      </c>
      <c r="B37084" s="1" t="str">
        <f>HYPERLINK("http://solitaireaudi.com.au","solitaireaudi.com.au")</f>
        <v>solitaireaudi.com.au</v>
      </c>
      <c r="C37084" t="s">
        <v>420</v>
      </c>
      <c r="D37084" t="s">
        <v>802</v>
      </c>
      <c r="F37084">
        <v>4.4447759151654598E-9</v>
      </c>
      <c r="G37084">
        <v>76106577</v>
      </c>
      <c r="H37084">
        <v>10046144</v>
      </c>
      <c r="I37084">
        <v>60457169</v>
      </c>
      <c r="J37084">
        <v>4</v>
      </c>
    </row>
    <row r="37085" spans="1:10" x14ac:dyDescent="0.25">
      <c r="A37085" t="s">
        <v>398</v>
      </c>
      <c r="B37085" s="1" t="str">
        <f>HYPERLINK("http://volkswagen.com.au","volkswagen.com.au")</f>
        <v>volkswagen.com.au</v>
      </c>
      <c r="C37085" t="s">
        <v>420</v>
      </c>
      <c r="D37085" t="s">
        <v>802</v>
      </c>
      <c r="E37085">
        <v>345719</v>
      </c>
      <c r="F37085">
        <v>6.1784776703063196E-8</v>
      </c>
      <c r="G37085">
        <v>711914</v>
      </c>
      <c r="H37085">
        <v>14320524</v>
      </c>
      <c r="I37085">
        <v>1331599</v>
      </c>
      <c r="J37085">
        <v>3</v>
      </c>
    </row>
    <row r="37086" spans="1:10" x14ac:dyDescent="0.25">
      <c r="A37086" t="s">
        <v>398</v>
      </c>
      <c r="B37086" s="1" t="str">
        <f>HYPERLINK("http://vwfs.com.au","vwfs.com.au")</f>
        <v>vwfs.com.au</v>
      </c>
      <c r="C37086" t="s">
        <v>420</v>
      </c>
      <c r="D37086" t="s">
        <v>802</v>
      </c>
      <c r="F37086">
        <v>6.6984018017379202E-9</v>
      </c>
      <c r="G37086">
        <v>13308733</v>
      </c>
      <c r="H37086">
        <v>10807635</v>
      </c>
      <c r="I37086">
        <v>37937184</v>
      </c>
      <c r="J37086">
        <v>3</v>
      </c>
    </row>
    <row r="37087" spans="1:10" x14ac:dyDescent="0.25">
      <c r="A37087" t="s">
        <v>398</v>
      </c>
      <c r="B37087" s="1" t="str">
        <f>HYPERLINK("http://audi-frankfurt-mitte.audi","audi-frankfurt-mitte.audi")</f>
        <v>audi-frankfurt-mitte.audi</v>
      </c>
      <c r="C37087" t="s">
        <v>794</v>
      </c>
      <c r="F37087">
        <v>1.7047004266826501E-8</v>
      </c>
      <c r="G37087">
        <v>3272484</v>
      </c>
      <c r="H37087">
        <v>12440978</v>
      </c>
      <c r="I37087">
        <v>18133264</v>
      </c>
      <c r="J37087">
        <v>4</v>
      </c>
    </row>
    <row r="37088" spans="1:10" x14ac:dyDescent="0.25">
      <c r="A37088" t="s">
        <v>398</v>
      </c>
      <c r="B37088" s="1" t="str">
        <f>HYPERLINK("http://audi-zentrum-darmstadt.audi","audi-zentrum-darmstadt.audi")</f>
        <v>audi-zentrum-darmstadt.audi</v>
      </c>
      <c r="C37088" t="s">
        <v>794</v>
      </c>
      <c r="F37088">
        <v>9.5534246727777004E-9</v>
      </c>
      <c r="G37088">
        <v>7258785</v>
      </c>
      <c r="H37088">
        <v>12441027</v>
      </c>
      <c r="I37088">
        <v>18131949</v>
      </c>
      <c r="J37088">
        <v>4</v>
      </c>
    </row>
    <row r="37089" spans="1:10" x14ac:dyDescent="0.25">
      <c r="A37089" t="s">
        <v>398</v>
      </c>
      <c r="B37089" s="1" t="str">
        <f>HYPERLINK("http://audi-zentrum-erfurt.audi","audi-zentrum-erfurt.audi")</f>
        <v>audi-zentrum-erfurt.audi</v>
      </c>
      <c r="C37089" t="s">
        <v>794</v>
      </c>
      <c r="F37089">
        <v>1.00642074256149E-8</v>
      </c>
      <c r="G37089">
        <v>6691420</v>
      </c>
      <c r="H37089">
        <v>12442298</v>
      </c>
      <c r="I37089">
        <v>18118452</v>
      </c>
      <c r="J37089">
        <v>4</v>
      </c>
    </row>
    <row r="37090" spans="1:10" x14ac:dyDescent="0.25">
      <c r="A37090" t="s">
        <v>398</v>
      </c>
      <c r="B37090" s="1" t="str">
        <f>HYPERLINK("http://audi-zentrum-halle.audi","audi-zentrum-halle.audi")</f>
        <v>audi-zentrum-halle.audi</v>
      </c>
      <c r="C37090" t="s">
        <v>794</v>
      </c>
      <c r="F37090">
        <v>5.1955926863315301E-9</v>
      </c>
      <c r="G37090">
        <v>25241917</v>
      </c>
      <c r="H37090">
        <v>10479232</v>
      </c>
      <c r="I37090">
        <v>51048439</v>
      </c>
      <c r="J37090">
        <v>4</v>
      </c>
    </row>
    <row r="37091" spans="1:10" x14ac:dyDescent="0.25">
      <c r="A37091" t="s">
        <v>398</v>
      </c>
      <c r="B37091" s="1" t="str">
        <f>HYPERLINK("http://audi-zentrum-hanau.audi","audi-zentrum-hanau.audi")</f>
        <v>audi-zentrum-hanau.audi</v>
      </c>
      <c r="C37091" t="s">
        <v>794</v>
      </c>
      <c r="F37091">
        <v>1.0158641281188799E-8</v>
      </c>
      <c r="G37091">
        <v>6587738</v>
      </c>
      <c r="H37091">
        <v>12470731</v>
      </c>
      <c r="I37091">
        <v>17740425</v>
      </c>
      <c r="J37091">
        <v>4</v>
      </c>
    </row>
    <row r="37092" spans="1:10" x14ac:dyDescent="0.25">
      <c r="A37092" t="s">
        <v>398</v>
      </c>
      <c r="B37092" s="1" t="str">
        <f>HYPERLINK("http://audi-zentrum-ingolstadt.audi","audi-zentrum-ingolstadt.audi")</f>
        <v>audi-zentrum-ingolstadt.audi</v>
      </c>
      <c r="C37092" t="s">
        <v>794</v>
      </c>
      <c r="F37092">
        <v>1.60795479106369E-8</v>
      </c>
      <c r="G37092">
        <v>3525827</v>
      </c>
      <c r="H37092">
        <v>12442978</v>
      </c>
      <c r="I37092">
        <v>18111821</v>
      </c>
      <c r="J37092">
        <v>5</v>
      </c>
    </row>
    <row r="37093" spans="1:10" x14ac:dyDescent="0.25">
      <c r="A37093" t="s">
        <v>398</v>
      </c>
      <c r="B37093" s="1" t="str">
        <f>HYPERLINK("http://audi-zentrum-karlsruhe-gerwigstrasse.audi","audi-zentrum-karlsruhe-gerwigstrasse.audi")</f>
        <v>audi-zentrum-karlsruhe-gerwigstrasse.audi</v>
      </c>
      <c r="C37093" t="s">
        <v>794</v>
      </c>
      <c r="F37093">
        <v>1.1154763906535601E-8</v>
      </c>
      <c r="G37093">
        <v>5745821</v>
      </c>
      <c r="H37093">
        <v>12493175</v>
      </c>
      <c r="I37093">
        <v>17446318</v>
      </c>
      <c r="J37093">
        <v>4</v>
      </c>
    </row>
    <row r="37094" spans="1:10" x14ac:dyDescent="0.25">
      <c r="A37094" t="s">
        <v>398</v>
      </c>
      <c r="B37094" s="1" t="str">
        <f>HYPERLINK("http://audi-zentrum-oldenburg.audi","audi-zentrum-oldenburg.audi")</f>
        <v>audi-zentrum-oldenburg.audi</v>
      </c>
      <c r="C37094" t="s">
        <v>794</v>
      </c>
      <c r="F37094">
        <v>1.79371698008262E-8</v>
      </c>
      <c r="G37094">
        <v>3045807</v>
      </c>
      <c r="H37094">
        <v>12511304</v>
      </c>
      <c r="I37094">
        <v>17233789</v>
      </c>
      <c r="J37094">
        <v>4</v>
      </c>
    </row>
    <row r="37095" spans="1:10" x14ac:dyDescent="0.25">
      <c r="A37095" t="s">
        <v>398</v>
      </c>
      <c r="B37095" s="1" t="str">
        <f>HYPERLINK("http://audi-zentrum-rostock.audi","audi-zentrum-rostock.audi")</f>
        <v>audi-zentrum-rostock.audi</v>
      </c>
      <c r="C37095" t="s">
        <v>794</v>
      </c>
      <c r="F37095">
        <v>1.1382378528785701E-8</v>
      </c>
      <c r="G37095">
        <v>5586157</v>
      </c>
      <c r="H37095">
        <v>12468656</v>
      </c>
      <c r="I37095">
        <v>17773181</v>
      </c>
      <c r="J37095">
        <v>4</v>
      </c>
    </row>
    <row r="37096" spans="1:10" x14ac:dyDescent="0.25">
      <c r="A37096" t="s">
        <v>398</v>
      </c>
      <c r="B37096" s="1" t="str">
        <f>HYPERLINK("http://audi-zentrum-saarbruecken.audi","audi-zentrum-saarbruecken.audi")</f>
        <v>audi-zentrum-saarbruecken.audi</v>
      </c>
      <c r="C37096" t="s">
        <v>794</v>
      </c>
      <c r="F37096">
        <v>1.39187426141486E-8</v>
      </c>
      <c r="G37096">
        <v>4233836</v>
      </c>
      <c r="H37096">
        <v>12442543</v>
      </c>
      <c r="I37096">
        <v>18116221</v>
      </c>
      <c r="J37096">
        <v>4</v>
      </c>
    </row>
    <row r="37097" spans="1:10" x14ac:dyDescent="0.25">
      <c r="A37097" t="s">
        <v>398</v>
      </c>
      <c r="B37097" s="1" t="str">
        <f>HYPERLINK("http://audi-zentrum-trier.audi","audi-zentrum-trier.audi")</f>
        <v>audi-zentrum-trier.audi</v>
      </c>
      <c r="C37097" t="s">
        <v>794</v>
      </c>
      <c r="F37097">
        <v>1.7304543683197901E-8</v>
      </c>
      <c r="G37097">
        <v>3198140</v>
      </c>
      <c r="H37097">
        <v>12511400</v>
      </c>
      <c r="I37097">
        <v>17233152</v>
      </c>
      <c r="J37097">
        <v>6</v>
      </c>
    </row>
    <row r="37098" spans="1:10" x14ac:dyDescent="0.25">
      <c r="A37098" t="s">
        <v>398</v>
      </c>
      <c r="B37098" s="1" t="str">
        <f>HYPERLINK("http://autoforum-neubrandenburg.audi","autoforum-neubrandenburg.audi")</f>
        <v>autoforum-neubrandenburg.audi</v>
      </c>
      <c r="C37098" t="s">
        <v>794</v>
      </c>
      <c r="F37098">
        <v>1.3213209187541801E-8</v>
      </c>
      <c r="G37098">
        <v>4532236</v>
      </c>
      <c r="H37098">
        <v>12457051</v>
      </c>
      <c r="I37098">
        <v>17911948</v>
      </c>
      <c r="J37098">
        <v>4</v>
      </c>
    </row>
    <row r="37099" spans="1:10" x14ac:dyDescent="0.25">
      <c r="A37099" t="s">
        <v>398</v>
      </c>
      <c r="B37099" s="1" t="str">
        <f>HYPERLINK("http://autohaus-nord-guestrow.audi","autohaus-nord-guestrow.audi")</f>
        <v>autohaus-nord-guestrow.audi</v>
      </c>
      <c r="C37099" t="s">
        <v>794</v>
      </c>
      <c r="F37099">
        <v>1.3204089780254999E-8</v>
      </c>
      <c r="G37099">
        <v>4536193</v>
      </c>
      <c r="H37099">
        <v>12440985</v>
      </c>
      <c r="I37099">
        <v>18132664</v>
      </c>
      <c r="J37099">
        <v>4</v>
      </c>
    </row>
    <row r="37100" spans="1:10" x14ac:dyDescent="0.25">
      <c r="A37100" t="s">
        <v>398</v>
      </c>
      <c r="B37100" s="1" t="str">
        <f>HYPERLINK("http://bauschatz-friedrichshafen.audi","bauschatz-friedrichshafen.audi")</f>
        <v>bauschatz-friedrichshafen.audi</v>
      </c>
      <c r="C37100" t="s">
        <v>794</v>
      </c>
      <c r="F37100">
        <v>8.6116723750458397E-9</v>
      </c>
      <c r="G37100">
        <v>8635553</v>
      </c>
      <c r="H37100">
        <v>12441012</v>
      </c>
      <c r="I37100">
        <v>18132100</v>
      </c>
      <c r="J37100">
        <v>4</v>
      </c>
    </row>
    <row r="37101" spans="1:10" x14ac:dyDescent="0.25">
      <c r="A37101" t="s">
        <v>398</v>
      </c>
      <c r="B37101" s="1" t="str">
        <f>HYPERLINK("http://borgmann-krefeld.audi","borgmann-krefeld.audi")</f>
        <v>borgmann-krefeld.audi</v>
      </c>
      <c r="C37101" t="s">
        <v>794</v>
      </c>
      <c r="F37101">
        <v>9.4883455281421995E-9</v>
      </c>
      <c r="G37101">
        <v>7336479</v>
      </c>
      <c r="H37101">
        <v>12441727</v>
      </c>
      <c r="I37101">
        <v>18125116</v>
      </c>
      <c r="J37101">
        <v>4</v>
      </c>
    </row>
    <row r="37102" spans="1:10" x14ac:dyDescent="0.25">
      <c r="A37102" t="s">
        <v>398</v>
      </c>
      <c r="B37102" s="1" t="str">
        <f>HYPERLINK("http://daehne-brandenburg.audi","daehne-brandenburg.audi")</f>
        <v>daehne-brandenburg.audi</v>
      </c>
      <c r="C37102" t="s">
        <v>794</v>
      </c>
      <c r="F37102">
        <v>9.2607372210185601E-9</v>
      </c>
      <c r="G37102">
        <v>7624318</v>
      </c>
      <c r="H37102">
        <v>12440980</v>
      </c>
      <c r="I37102">
        <v>18133132</v>
      </c>
      <c r="J37102">
        <v>6</v>
      </c>
    </row>
    <row r="37103" spans="1:10" x14ac:dyDescent="0.25">
      <c r="A37103" t="s">
        <v>398</v>
      </c>
      <c r="B37103" s="1" t="str">
        <f>HYPERLINK("http://dein-autozentrum-altentreptow.audi","dein-autozentrum-altentreptow.audi")</f>
        <v>dein-autozentrum-altentreptow.audi</v>
      </c>
      <c r="C37103" t="s">
        <v>794</v>
      </c>
      <c r="J37103">
        <v>5</v>
      </c>
    </row>
    <row r="37104" spans="1:10" x14ac:dyDescent="0.25">
      <c r="A37104" t="s">
        <v>398</v>
      </c>
      <c r="B37104" s="1" t="str">
        <f>HYPERLINK("http://fritz-bietigheim-bissingen.audi","fritz-bietigheim-bissingen.audi")</f>
        <v>fritz-bietigheim-bissingen.audi</v>
      </c>
      <c r="C37104" t="s">
        <v>794</v>
      </c>
      <c r="F37104">
        <v>9.3981350658307696E-9</v>
      </c>
      <c r="G37104">
        <v>7446746</v>
      </c>
      <c r="H37104">
        <v>12443867</v>
      </c>
      <c r="I37104">
        <v>18097179</v>
      </c>
      <c r="J37104">
        <v>4</v>
      </c>
    </row>
    <row r="37105" spans="1:10" x14ac:dyDescent="0.25">
      <c r="A37105" t="s">
        <v>398</v>
      </c>
      <c r="B37105" s="1" t="str">
        <f>HYPERLINK("http://hannover.audi","hannover.audi")</f>
        <v>hannover.audi</v>
      </c>
      <c r="C37105" t="s">
        <v>794</v>
      </c>
      <c r="F37105">
        <v>1.4648321819860701E-8</v>
      </c>
      <c r="G37105">
        <v>3959018</v>
      </c>
      <c r="H37105">
        <v>12514810</v>
      </c>
      <c r="I37105">
        <v>17195268</v>
      </c>
      <c r="J37105">
        <v>4</v>
      </c>
    </row>
    <row r="37106" spans="1:10" x14ac:dyDescent="0.25">
      <c r="A37106" t="s">
        <v>398</v>
      </c>
      <c r="B37106" s="1" t="str">
        <f>HYPERLINK("http://jacobs-geilenkirchen.audi","jacobs-geilenkirchen.audi")</f>
        <v>jacobs-geilenkirchen.audi</v>
      </c>
      <c r="C37106" t="s">
        <v>794</v>
      </c>
      <c r="F37106">
        <v>8.9633785472841407E-9</v>
      </c>
      <c r="G37106">
        <v>8046629</v>
      </c>
      <c r="H37106">
        <v>12470235</v>
      </c>
      <c r="I37106">
        <v>17745843</v>
      </c>
      <c r="J37106">
        <v>4</v>
      </c>
    </row>
    <row r="37107" spans="1:10" x14ac:dyDescent="0.25">
      <c r="A37107" t="s">
        <v>398</v>
      </c>
      <c r="B37107" s="1" t="str">
        <f>HYPERLINK("http://pellmann-reken.audi","pellmann-reken.audi")</f>
        <v>pellmann-reken.audi</v>
      </c>
      <c r="C37107" t="s">
        <v>794</v>
      </c>
      <c r="J37107">
        <v>5</v>
      </c>
    </row>
    <row r="37108" spans="1:10" x14ac:dyDescent="0.25">
      <c r="A37108" t="s">
        <v>398</v>
      </c>
      <c r="B37108" s="1" t="str">
        <f>HYPERLINK("http://stiglmayr-pfaffenhofen.audi","stiglmayr-pfaffenhofen.audi")</f>
        <v>stiglmayr-pfaffenhofen.audi</v>
      </c>
      <c r="C37108" t="s">
        <v>794</v>
      </c>
      <c r="F37108">
        <v>1.37787457545961E-8</v>
      </c>
      <c r="G37108">
        <v>4289909</v>
      </c>
      <c r="H37108">
        <v>12443187</v>
      </c>
      <c r="I37108">
        <v>18105565</v>
      </c>
      <c r="J37108">
        <v>4</v>
      </c>
    </row>
    <row r="37109" spans="1:10" x14ac:dyDescent="0.25">
      <c r="A37109" t="s">
        <v>398</v>
      </c>
      <c r="B37109" s="1" t="str">
        <f>HYPERLINK("http://volkswagen.az","volkswagen.az")</f>
        <v>volkswagen.az</v>
      </c>
      <c r="C37109" t="s">
        <v>561</v>
      </c>
      <c r="D37109" t="s">
        <v>911</v>
      </c>
      <c r="F37109">
        <v>8.0981585908990992E-9</v>
      </c>
      <c r="G37109">
        <v>9744765</v>
      </c>
      <c r="H37109">
        <v>10953863</v>
      </c>
      <c r="I37109">
        <v>34495209</v>
      </c>
      <c r="J37109">
        <v>3</v>
      </c>
    </row>
    <row r="37110" spans="1:10" x14ac:dyDescent="0.25">
      <c r="A37110" t="s">
        <v>398</v>
      </c>
      <c r="B37110" s="1" t="str">
        <f>HYPERLINK("http://seat.ba","seat.ba")</f>
        <v>seat.ba</v>
      </c>
      <c r="C37110" t="s">
        <v>526</v>
      </c>
      <c r="D37110" t="s">
        <v>893</v>
      </c>
      <c r="F37110">
        <v>1.4669914930234601E-8</v>
      </c>
      <c r="G37110">
        <v>3951391</v>
      </c>
      <c r="H37110">
        <v>12207856</v>
      </c>
      <c r="I37110">
        <v>23079517</v>
      </c>
      <c r="J37110">
        <v>4</v>
      </c>
    </row>
    <row r="37111" spans="1:10" x14ac:dyDescent="0.25">
      <c r="A37111" t="s">
        <v>398</v>
      </c>
      <c r="B37111" s="1" t="str">
        <f>HYPERLINK("http://volkswagen.ba","volkswagen.ba")</f>
        <v>volkswagen.ba</v>
      </c>
      <c r="C37111" t="s">
        <v>526</v>
      </c>
      <c r="D37111" t="s">
        <v>893</v>
      </c>
      <c r="F37111">
        <v>3.8941848190443503E-8</v>
      </c>
      <c r="G37111">
        <v>1324147</v>
      </c>
      <c r="H37111">
        <v>14073680</v>
      </c>
      <c r="I37111">
        <v>2978524</v>
      </c>
      <c r="J37111">
        <v>3</v>
      </c>
    </row>
    <row r="37112" spans="1:10" x14ac:dyDescent="0.25">
      <c r="A37112" t="s">
        <v>398</v>
      </c>
      <c r="B37112" s="1" t="str">
        <f>HYPERLINK("http://agf-motor.be","agf-motor.be")</f>
        <v>agf-motor.be</v>
      </c>
      <c r="C37112" t="s">
        <v>421</v>
      </c>
      <c r="D37112" t="s">
        <v>803</v>
      </c>
      <c r="F37112">
        <v>4.4438194642433904E-9</v>
      </c>
      <c r="G37112">
        <v>79202517</v>
      </c>
      <c r="H37112">
        <v>10457916</v>
      </c>
      <c r="I37112">
        <v>51916581</v>
      </c>
      <c r="J37112">
        <v>4</v>
      </c>
    </row>
    <row r="37113" spans="1:10" x14ac:dyDescent="0.25">
      <c r="A37113" t="s">
        <v>398</v>
      </c>
      <c r="B37113" s="1" t="str">
        <f>HYPERLINK("http://audi.be","audi.be")</f>
        <v>audi.be</v>
      </c>
      <c r="C37113" t="s">
        <v>421</v>
      </c>
      <c r="D37113" t="s">
        <v>803</v>
      </c>
      <c r="E37113">
        <v>310856</v>
      </c>
      <c r="F37113">
        <v>7.7837936793880496E-8</v>
      </c>
      <c r="G37113">
        <v>537518</v>
      </c>
      <c r="H37113">
        <v>14315954</v>
      </c>
      <c r="I37113">
        <v>1335582</v>
      </c>
      <c r="J37113">
        <v>4</v>
      </c>
    </row>
    <row r="37114" spans="1:10" x14ac:dyDescent="0.25">
      <c r="A37114" t="s">
        <v>398</v>
      </c>
      <c r="B37114" s="1" t="str">
        <f>HYPERLINK("http://audibrussels.be","audibrussels.be")</f>
        <v>audibrussels.be</v>
      </c>
      <c r="C37114" t="s">
        <v>421</v>
      </c>
      <c r="D37114" t="s">
        <v>803</v>
      </c>
      <c r="F37114">
        <v>3.8901429330416098E-8</v>
      </c>
      <c r="G37114">
        <v>1325495</v>
      </c>
      <c r="H37114">
        <v>14084876</v>
      </c>
      <c r="I37114">
        <v>2783884</v>
      </c>
      <c r="J37114">
        <v>4</v>
      </c>
    </row>
    <row r="37115" spans="1:10" x14ac:dyDescent="0.25">
      <c r="A37115" t="s">
        <v>398</v>
      </c>
      <c r="B37115" s="1" t="str">
        <f>HYPERLINK("http://audivanthienen.be","audivanthienen.be")</f>
        <v>audivanthienen.be</v>
      </c>
      <c r="C37115" t="s">
        <v>421</v>
      </c>
      <c r="D37115" t="s">
        <v>803</v>
      </c>
      <c r="F37115">
        <v>4.8682992656191904E-9</v>
      </c>
      <c r="G37115">
        <v>33474673</v>
      </c>
      <c r="H37115">
        <v>11229160</v>
      </c>
      <c r="I37115">
        <v>31032326</v>
      </c>
      <c r="J37115">
        <v>4</v>
      </c>
    </row>
    <row r="37116" spans="1:10" x14ac:dyDescent="0.25">
      <c r="A37116" t="s">
        <v>398</v>
      </c>
      <c r="B37116" s="1" t="str">
        <f>HYPERLINK("http://autobedrijflagrou.be","autobedrijflagrou.be")</f>
        <v>autobedrijflagrou.be</v>
      </c>
      <c r="C37116" t="s">
        <v>421</v>
      </c>
      <c r="D37116" t="s">
        <v>803</v>
      </c>
      <c r="F37116">
        <v>5.94663393710407E-9</v>
      </c>
      <c r="G37116">
        <v>17043922</v>
      </c>
      <c r="H37116">
        <v>10678101</v>
      </c>
      <c r="I37116">
        <v>42793071</v>
      </c>
      <c r="J37116">
        <v>7</v>
      </c>
    </row>
    <row r="37117" spans="1:10" x14ac:dyDescent="0.25">
      <c r="A37117" t="s">
        <v>398</v>
      </c>
      <c r="B37117" s="1" t="str">
        <f>HYPERLINK("http://autocenterstevens.be","autocenterstevens.be")</f>
        <v>autocenterstevens.be</v>
      </c>
      <c r="C37117" t="s">
        <v>421</v>
      </c>
      <c r="D37117" t="s">
        <v>803</v>
      </c>
      <c r="F37117">
        <v>4.4962500408618501E-9</v>
      </c>
      <c r="G37117">
        <v>59508682</v>
      </c>
      <c r="H37117">
        <v>9459357</v>
      </c>
      <c r="I37117">
        <v>66365594</v>
      </c>
      <c r="J37117">
        <v>7</v>
      </c>
    </row>
    <row r="37118" spans="1:10" x14ac:dyDescent="0.25">
      <c r="A37118" t="s">
        <v>398</v>
      </c>
      <c r="B37118" s="1" t="str">
        <f>HYPERLINK("http://autonatiegroup.be","autonatiegroup.be")</f>
        <v>autonatiegroup.be</v>
      </c>
      <c r="C37118" t="s">
        <v>421</v>
      </c>
      <c r="D37118" t="s">
        <v>803</v>
      </c>
      <c r="F37118">
        <v>3.7985602375562E-8</v>
      </c>
      <c r="G37118">
        <v>1362407</v>
      </c>
      <c r="H37118">
        <v>13336645</v>
      </c>
      <c r="I37118">
        <v>10681816</v>
      </c>
      <c r="J37118">
        <v>4</v>
      </c>
    </row>
    <row r="37119" spans="1:10" x14ac:dyDescent="0.25">
      <c r="A37119" t="s">
        <v>398</v>
      </c>
      <c r="B37119" s="1" t="str">
        <f>HYPERLINK("http://dex.be","dex.be")</f>
        <v>dex.be</v>
      </c>
      <c r="C37119" t="s">
        <v>421</v>
      </c>
      <c r="D37119" t="s">
        <v>803</v>
      </c>
      <c r="F37119">
        <v>1.7973468243594898E-8</v>
      </c>
      <c r="G37119">
        <v>3038214</v>
      </c>
      <c r="H37119">
        <v>12152703</v>
      </c>
      <c r="I37119">
        <v>24558929</v>
      </c>
      <c r="J37119">
        <v>4</v>
      </c>
    </row>
    <row r="37120" spans="1:10" x14ac:dyDescent="0.25">
      <c r="A37120" t="s">
        <v>398</v>
      </c>
      <c r="B37120" s="1" t="str">
        <f>HYPERLINK("http://ducatiaarschot.be","ducatiaarschot.be")</f>
        <v>ducatiaarschot.be</v>
      </c>
      <c r="C37120" t="s">
        <v>421</v>
      </c>
      <c r="D37120" t="s">
        <v>803</v>
      </c>
      <c r="F37120">
        <v>5.4677967635957203E-9</v>
      </c>
      <c r="G37120">
        <v>21269805</v>
      </c>
      <c r="H37120">
        <v>10808533</v>
      </c>
      <c r="I37120">
        <v>37913478</v>
      </c>
      <c r="J37120">
        <v>4</v>
      </c>
    </row>
    <row r="37121" spans="1:10" x14ac:dyDescent="0.25">
      <c r="A37121" t="s">
        <v>398</v>
      </c>
      <c r="B37121" s="1" t="str">
        <f>HYPERLINK("http://garagedetournay.be","garagedetournay.be")</f>
        <v>garagedetournay.be</v>
      </c>
      <c r="C37121" t="s">
        <v>421</v>
      </c>
      <c r="D37121" t="s">
        <v>803</v>
      </c>
      <c r="F37121">
        <v>4.5109673758985197E-9</v>
      </c>
      <c r="G37121">
        <v>57378464</v>
      </c>
      <c r="H37121">
        <v>8530195</v>
      </c>
      <c r="I37121">
        <v>71702025</v>
      </c>
      <c r="J37121">
        <v>7</v>
      </c>
    </row>
    <row r="37122" spans="1:10" x14ac:dyDescent="0.25">
      <c r="A37122" t="s">
        <v>398</v>
      </c>
      <c r="B37122" s="1" t="str">
        <f>HYPERLINK("http://garagepattyn.be","garagepattyn.be")</f>
        <v>garagepattyn.be</v>
      </c>
      <c r="C37122" t="s">
        <v>421</v>
      </c>
      <c r="D37122" t="s">
        <v>803</v>
      </c>
      <c r="J37122">
        <v>7</v>
      </c>
    </row>
    <row r="37123" spans="1:10" x14ac:dyDescent="0.25">
      <c r="A37123" t="s">
        <v>398</v>
      </c>
      <c r="B37123" s="1" t="str">
        <f>HYPERLINK("http://groepdelorge.be","groepdelorge.be")</f>
        <v>groepdelorge.be</v>
      </c>
      <c r="C37123" t="s">
        <v>421</v>
      </c>
      <c r="D37123" t="s">
        <v>803</v>
      </c>
      <c r="F37123">
        <v>2.63463868109167E-8</v>
      </c>
      <c r="G37123">
        <v>1954395</v>
      </c>
      <c r="H37123">
        <v>10786632</v>
      </c>
      <c r="I37123">
        <v>38632730</v>
      </c>
      <c r="J37123">
        <v>3</v>
      </c>
    </row>
    <row r="37124" spans="1:10" x14ac:dyDescent="0.25">
      <c r="A37124" t="s">
        <v>398</v>
      </c>
      <c r="B37124" s="1" t="str">
        <f>HYPERLINK("http://hermansherentals.be","hermansherentals.be")</f>
        <v>hermansherentals.be</v>
      </c>
      <c r="C37124" t="s">
        <v>421</v>
      </c>
      <c r="D37124" t="s">
        <v>803</v>
      </c>
      <c r="F37124">
        <v>5.7204160184067203E-9</v>
      </c>
      <c r="G37124">
        <v>18745757</v>
      </c>
      <c r="H37124">
        <v>10702154</v>
      </c>
      <c r="I37124">
        <v>42278868</v>
      </c>
      <c r="J37124">
        <v>3</v>
      </c>
    </row>
    <row r="37125" spans="1:10" x14ac:dyDescent="0.25">
      <c r="A37125" t="s">
        <v>398</v>
      </c>
      <c r="B37125" s="1" t="str">
        <f>HYPERLINK("http://jennes.be","jennes.be")</f>
        <v>jennes.be</v>
      </c>
      <c r="C37125" t="s">
        <v>421</v>
      </c>
      <c r="D37125" t="s">
        <v>803</v>
      </c>
      <c r="F37125">
        <v>1.27509343802889E-8</v>
      </c>
      <c r="G37125">
        <v>4754040</v>
      </c>
      <c r="H37125">
        <v>12165971</v>
      </c>
      <c r="I37125">
        <v>24174065</v>
      </c>
      <c r="J37125">
        <v>3</v>
      </c>
    </row>
    <row r="37126" spans="1:10" x14ac:dyDescent="0.25">
      <c r="A37126" t="s">
        <v>398</v>
      </c>
      <c r="B37126" s="1" t="str">
        <f>HYPERLINK("http://man-mn.be","man-mn.be")</f>
        <v>man-mn.be</v>
      </c>
      <c r="C37126" t="s">
        <v>421</v>
      </c>
      <c r="D37126" t="s">
        <v>803</v>
      </c>
      <c r="F37126">
        <v>4.4928811151595896E-9</v>
      </c>
      <c r="G37126">
        <v>60033026</v>
      </c>
      <c r="H37126">
        <v>10783866</v>
      </c>
      <c r="I37126">
        <v>38756353</v>
      </c>
      <c r="J37126">
        <v>3</v>
      </c>
    </row>
    <row r="37127" spans="1:10" x14ac:dyDescent="0.25">
      <c r="A37127" t="s">
        <v>398</v>
      </c>
      <c r="B37127" s="1" t="str">
        <f>HYPERLINK("http://migmotors.be","migmotors.be")</f>
        <v>migmotors.be</v>
      </c>
      <c r="C37127" t="s">
        <v>421</v>
      </c>
      <c r="D37127" t="s">
        <v>803</v>
      </c>
      <c r="F37127">
        <v>1.5754017080269701E-8</v>
      </c>
      <c r="G37127">
        <v>3612402</v>
      </c>
      <c r="H37127">
        <v>12252765</v>
      </c>
      <c r="I37127">
        <v>21946522</v>
      </c>
      <c r="J37127">
        <v>4</v>
      </c>
    </row>
    <row r="37128" spans="1:10" x14ac:dyDescent="0.25">
      <c r="A37128" t="s">
        <v>398</v>
      </c>
      <c r="B37128" s="1" t="str">
        <f>HYPERLINK("http://paybyphone.be","paybyphone.be")</f>
        <v>paybyphone.be</v>
      </c>
      <c r="C37128" t="s">
        <v>421</v>
      </c>
      <c r="D37128" t="s">
        <v>803</v>
      </c>
      <c r="F37128">
        <v>1.30781466269557E-8</v>
      </c>
      <c r="G37128">
        <v>4593995</v>
      </c>
      <c r="H37128">
        <v>12119940</v>
      </c>
      <c r="I37128">
        <v>25407599</v>
      </c>
      <c r="J37128">
        <v>4</v>
      </c>
    </row>
    <row r="37129" spans="1:10" x14ac:dyDescent="0.25">
      <c r="A37129" t="s">
        <v>398</v>
      </c>
      <c r="B37129" s="1" t="str">
        <f>HYPERLINK("http://percymotors.be","percymotors.be")</f>
        <v>percymotors.be</v>
      </c>
      <c r="C37129" t="s">
        <v>421</v>
      </c>
      <c r="D37129" t="s">
        <v>803</v>
      </c>
      <c r="F37129">
        <v>2.09708335346439E-8</v>
      </c>
      <c r="G37129">
        <v>2519681</v>
      </c>
      <c r="H37129">
        <v>12628911</v>
      </c>
      <c r="I37129">
        <v>15999619</v>
      </c>
      <c r="J37129">
        <v>4</v>
      </c>
    </row>
    <row r="37130" spans="1:10" x14ac:dyDescent="0.25">
      <c r="A37130" t="s">
        <v>398</v>
      </c>
      <c r="B37130" s="1" t="str">
        <f>HYPERLINK("http://porsche.be","porsche.be")</f>
        <v>porsche.be</v>
      </c>
      <c r="C37130" t="s">
        <v>421</v>
      </c>
      <c r="D37130" t="s">
        <v>803</v>
      </c>
      <c r="F37130">
        <v>9.6426888225367103E-9</v>
      </c>
      <c r="G37130">
        <v>7148214</v>
      </c>
      <c r="H37130">
        <v>13769603</v>
      </c>
      <c r="I37130">
        <v>6778511</v>
      </c>
      <c r="J37130">
        <v>4</v>
      </c>
    </row>
    <row r="37131" spans="1:10" x14ac:dyDescent="0.25">
      <c r="A37131" t="s">
        <v>398</v>
      </c>
      <c r="B37131" s="1" t="str">
        <f>HYPERLINK("http://porschemechelen.be","porschemechelen.be")</f>
        <v>porschemechelen.be</v>
      </c>
      <c r="C37131" t="s">
        <v>421</v>
      </c>
      <c r="D37131" t="s">
        <v>803</v>
      </c>
      <c r="J37131">
        <v>6</v>
      </c>
    </row>
    <row r="37132" spans="1:10" x14ac:dyDescent="0.25">
      <c r="A37132" t="s">
        <v>398</v>
      </c>
      <c r="B37132" s="1" t="str">
        <f>HYPERLINK("http://premiumcentre.be","premiumcentre.be")</f>
        <v>premiumcentre.be</v>
      </c>
      <c r="C37132" t="s">
        <v>421</v>
      </c>
      <c r="D37132" t="s">
        <v>803</v>
      </c>
      <c r="J37132">
        <v>6</v>
      </c>
    </row>
    <row r="37133" spans="1:10" x14ac:dyDescent="0.25">
      <c r="A37133" t="s">
        <v>398</v>
      </c>
      <c r="B37133" s="1" t="str">
        <f>HYPERLINK("http://ptv.be","ptv.be")</f>
        <v>ptv.be</v>
      </c>
      <c r="C37133" t="s">
        <v>421</v>
      </c>
      <c r="D37133" t="s">
        <v>803</v>
      </c>
      <c r="F37133">
        <v>4.44527202259839E-9</v>
      </c>
      <c r="G37133">
        <v>75449658</v>
      </c>
      <c r="H37133">
        <v>10455748</v>
      </c>
      <c r="I37133">
        <v>51967682</v>
      </c>
      <c r="J37133">
        <v>7</v>
      </c>
    </row>
    <row r="37134" spans="1:10" x14ac:dyDescent="0.25">
      <c r="A37134" t="s">
        <v>398</v>
      </c>
      <c r="B37134" s="1" t="str">
        <f>HYPERLINK("http://rietje.be","rietje.be")</f>
        <v>rietje.be</v>
      </c>
      <c r="C37134" t="s">
        <v>421</v>
      </c>
      <c r="D37134" t="s">
        <v>803</v>
      </c>
      <c r="F37134">
        <v>5.0779552816396103E-9</v>
      </c>
      <c r="G37134">
        <v>27555604</v>
      </c>
      <c r="H37134">
        <v>13763695</v>
      </c>
      <c r="I37134">
        <v>7779562</v>
      </c>
      <c r="J37134">
        <v>4</v>
      </c>
    </row>
    <row r="37135" spans="1:10" x14ac:dyDescent="0.25">
      <c r="A37135" t="s">
        <v>398</v>
      </c>
      <c r="B37135" s="1" t="str">
        <f>HYPERLINK("http://rsmotors.be","rsmotors.be")</f>
        <v>rsmotors.be</v>
      </c>
      <c r="C37135" t="s">
        <v>421</v>
      </c>
      <c r="D37135" t="s">
        <v>803</v>
      </c>
      <c r="F37135">
        <v>5.2166014538780601E-9</v>
      </c>
      <c r="G37135">
        <v>24804122</v>
      </c>
      <c r="H37135">
        <v>10739538</v>
      </c>
      <c r="I37135">
        <v>40451560</v>
      </c>
      <c r="J37135">
        <v>4</v>
      </c>
    </row>
    <row r="37136" spans="1:10" x14ac:dyDescent="0.25">
      <c r="A37136" t="s">
        <v>398</v>
      </c>
      <c r="B37136" s="1" t="str">
        <f>HYPERLINK("http://scania.be","scania.be")</f>
        <v>scania.be</v>
      </c>
      <c r="C37136" t="s">
        <v>421</v>
      </c>
      <c r="D37136" t="s">
        <v>803</v>
      </c>
      <c r="F37136">
        <v>1.32867519246064E-8</v>
      </c>
      <c r="G37136">
        <v>4499253</v>
      </c>
      <c r="H37136">
        <v>13822975</v>
      </c>
      <c r="I37136">
        <v>6135216</v>
      </c>
      <c r="J37136">
        <v>4</v>
      </c>
    </row>
    <row r="37137" spans="1:10" x14ac:dyDescent="0.25">
      <c r="A37137" t="s">
        <v>398</v>
      </c>
      <c r="B37137" s="1" t="str">
        <f>HYPERLINK("http://seat.be","seat.be")</f>
        <v>seat.be</v>
      </c>
      <c r="C37137" t="s">
        <v>421</v>
      </c>
      <c r="D37137" t="s">
        <v>803</v>
      </c>
      <c r="F37137">
        <v>6.4406286674310707E-8</v>
      </c>
      <c r="G37137">
        <v>671993</v>
      </c>
      <c r="H37137">
        <v>14378463</v>
      </c>
      <c r="I37137">
        <v>1204105</v>
      </c>
      <c r="J37137">
        <v>4</v>
      </c>
    </row>
    <row r="37138" spans="1:10" x14ac:dyDescent="0.25">
      <c r="A37138" t="s">
        <v>398</v>
      </c>
      <c r="B37138" s="1" t="str">
        <f>HYPERLINK("http://seatdamiens.be","seatdamiens.be")</f>
        <v>seatdamiens.be</v>
      </c>
      <c r="C37138" t="s">
        <v>421</v>
      </c>
      <c r="D37138" t="s">
        <v>803</v>
      </c>
      <c r="J37138">
        <v>6</v>
      </c>
    </row>
    <row r="37139" spans="1:10" x14ac:dyDescent="0.25">
      <c r="A37139" t="s">
        <v>398</v>
      </c>
      <c r="B37139" s="1" t="str">
        <f>HYPERLINK("http://tavernierzedelgem.be","tavernierzedelgem.be")</f>
        <v>tavernierzedelgem.be</v>
      </c>
      <c r="C37139" t="s">
        <v>421</v>
      </c>
      <c r="D37139" t="s">
        <v>803</v>
      </c>
      <c r="F37139">
        <v>5.1707825415826802E-9</v>
      </c>
      <c r="G37139">
        <v>25710833</v>
      </c>
      <c r="H37139">
        <v>10458892</v>
      </c>
      <c r="I37139">
        <v>51832492</v>
      </c>
      <c r="J37139">
        <v>3</v>
      </c>
    </row>
    <row r="37140" spans="1:10" x14ac:dyDescent="0.25">
      <c r="A37140" t="s">
        <v>398</v>
      </c>
      <c r="B37140" s="1" t="str">
        <f>HYPERLINK("http://vanmossel.be","vanmossel.be")</f>
        <v>vanmossel.be</v>
      </c>
      <c r="C37140" t="s">
        <v>421</v>
      </c>
      <c r="D37140" t="s">
        <v>803</v>
      </c>
      <c r="F37140">
        <v>4.4398141464075799E-8</v>
      </c>
      <c r="G37140">
        <v>1068323</v>
      </c>
      <c r="H37140">
        <v>12231359</v>
      </c>
      <c r="I37140">
        <v>22469774</v>
      </c>
      <c r="J37140">
        <v>7</v>
      </c>
    </row>
    <row r="37141" spans="1:10" x14ac:dyDescent="0.25">
      <c r="A37141" t="s">
        <v>398</v>
      </c>
      <c r="B37141" s="1" t="str">
        <f>HYPERLINK("http://verellengeel.be","verellengeel.be")</f>
        <v>verellengeel.be</v>
      </c>
      <c r="C37141" t="s">
        <v>421</v>
      </c>
      <c r="D37141" t="s">
        <v>803</v>
      </c>
      <c r="F37141">
        <v>5.6721929615939303E-9</v>
      </c>
      <c r="G37141">
        <v>19197758</v>
      </c>
      <c r="H37141">
        <v>10984674</v>
      </c>
      <c r="I37141">
        <v>33845925</v>
      </c>
      <c r="J37141">
        <v>4</v>
      </c>
    </row>
    <row r="37142" spans="1:10" x14ac:dyDescent="0.25">
      <c r="A37142" t="s">
        <v>398</v>
      </c>
      <c r="B37142" s="1" t="str">
        <f>HYPERLINK("http://vergotte.be","vergotte.be")</f>
        <v>vergotte.be</v>
      </c>
      <c r="C37142" t="s">
        <v>421</v>
      </c>
      <c r="D37142" t="s">
        <v>803</v>
      </c>
      <c r="F37142">
        <v>4.8334147978669502E-9</v>
      </c>
      <c r="G37142">
        <v>34716049</v>
      </c>
      <c r="H37142">
        <v>10883220</v>
      </c>
      <c r="I37142">
        <v>36284640</v>
      </c>
      <c r="J37142">
        <v>3</v>
      </c>
    </row>
    <row r="37143" spans="1:10" x14ac:dyDescent="0.25">
      <c r="A37143" t="s">
        <v>398</v>
      </c>
      <c r="B37143" s="1" t="str">
        <f>HYPERLINK("http://volkswagen.be","volkswagen.be")</f>
        <v>volkswagen.be</v>
      </c>
      <c r="C37143" t="s">
        <v>421</v>
      </c>
      <c r="D37143" t="s">
        <v>803</v>
      </c>
      <c r="E37143">
        <v>446579</v>
      </c>
      <c r="F37143">
        <v>1.13976633981077E-7</v>
      </c>
      <c r="G37143">
        <v>349510</v>
      </c>
      <c r="H37143">
        <v>13833970</v>
      </c>
      <c r="I37143">
        <v>6097516</v>
      </c>
      <c r="J37143">
        <v>4</v>
      </c>
    </row>
    <row r="37144" spans="1:10" x14ac:dyDescent="0.25">
      <c r="A37144" t="s">
        <v>398</v>
      </c>
      <c r="B37144" s="1" t="str">
        <f>HYPERLINK("http://vw.be","vw.be")</f>
        <v>vw.be</v>
      </c>
      <c r="C37144" t="s">
        <v>421</v>
      </c>
      <c r="D37144" t="s">
        <v>803</v>
      </c>
      <c r="F37144">
        <v>2.6697729795214901E-8</v>
      </c>
      <c r="G37144">
        <v>1927766</v>
      </c>
      <c r="H37144">
        <v>13768305</v>
      </c>
      <c r="I37144">
        <v>6882871</v>
      </c>
      <c r="J37144">
        <v>5</v>
      </c>
    </row>
    <row r="37145" spans="1:10" x14ac:dyDescent="0.25">
      <c r="A37145" t="s">
        <v>398</v>
      </c>
      <c r="B37145" s="1" t="str">
        <f>HYPERLINK("http://vwvanthienen.be","vwvanthienen.be")</f>
        <v>vwvanthienen.be</v>
      </c>
      <c r="C37145" t="s">
        <v>421</v>
      </c>
      <c r="D37145" t="s">
        <v>803</v>
      </c>
      <c r="J37145">
        <v>3</v>
      </c>
    </row>
    <row r="37146" spans="1:10" x14ac:dyDescent="0.25">
      <c r="A37146" t="s">
        <v>398</v>
      </c>
      <c r="B37146" s="1" t="str">
        <f>HYPERLINK("http://xclusivecars.be","xclusivecars.be")</f>
        <v>xclusivecars.be</v>
      </c>
      <c r="C37146" t="s">
        <v>421</v>
      </c>
      <c r="D37146" t="s">
        <v>803</v>
      </c>
      <c r="F37146">
        <v>4.5098548308576299E-9</v>
      </c>
      <c r="G37146">
        <v>57522531</v>
      </c>
      <c r="H37146">
        <v>10430698</v>
      </c>
      <c r="I37146">
        <v>53377211</v>
      </c>
      <c r="J37146">
        <v>4</v>
      </c>
    </row>
    <row r="37147" spans="1:10" x14ac:dyDescent="0.25">
      <c r="A37147" t="s">
        <v>398</v>
      </c>
      <c r="B37147" s="1" t="str">
        <f>HYPERLINK("http://corporate.bentley","corporate.bentley")</f>
        <v>corporate.bentley</v>
      </c>
      <c r="C37147" t="s">
        <v>795</v>
      </c>
      <c r="F37147">
        <v>3.0135838003129801E-8</v>
      </c>
      <c r="G37147">
        <v>1707533</v>
      </c>
      <c r="H37147">
        <v>12497107</v>
      </c>
      <c r="I37147">
        <v>17393982</v>
      </c>
      <c r="J37147">
        <v>4</v>
      </c>
    </row>
    <row r="37148" spans="1:10" x14ac:dyDescent="0.25">
      <c r="A37148" t="s">
        <v>398</v>
      </c>
      <c r="B37148" s="1" t="str">
        <f>HYPERLINK("http://audi.bg","audi.bg")</f>
        <v>audi.bg</v>
      </c>
      <c r="C37148" t="s">
        <v>422</v>
      </c>
      <c r="D37148" t="s">
        <v>804</v>
      </c>
      <c r="F37148">
        <v>1.83153524916095E-8</v>
      </c>
      <c r="G37148">
        <v>2964453</v>
      </c>
      <c r="H37148">
        <v>14075801</v>
      </c>
      <c r="I37148">
        <v>2900585</v>
      </c>
      <c r="J37148">
        <v>4</v>
      </c>
    </row>
    <row r="37149" spans="1:10" x14ac:dyDescent="0.25">
      <c r="A37149" t="s">
        <v>398</v>
      </c>
      <c r="B37149" s="1" t="str">
        <f>HYPERLINK("http://porschebulgaria.bg","porschebulgaria.bg")</f>
        <v>porschebulgaria.bg</v>
      </c>
      <c r="C37149" t="s">
        <v>422</v>
      </c>
      <c r="D37149" t="s">
        <v>804</v>
      </c>
      <c r="F37149">
        <v>1.14153556985004E-8</v>
      </c>
      <c r="G37149">
        <v>5563897</v>
      </c>
      <c r="H37149">
        <v>12335001</v>
      </c>
      <c r="I37149">
        <v>20103678</v>
      </c>
      <c r="J37149">
        <v>3</v>
      </c>
    </row>
    <row r="37150" spans="1:10" x14ac:dyDescent="0.25">
      <c r="A37150" t="s">
        <v>398</v>
      </c>
      <c r="B37150" s="1" t="str">
        <f>HYPERLINK("http://scania.bg","scania.bg")</f>
        <v>scania.bg</v>
      </c>
      <c r="C37150" t="s">
        <v>422</v>
      </c>
      <c r="D37150" t="s">
        <v>804</v>
      </c>
      <c r="F37150">
        <v>2.4202110775123201E-8</v>
      </c>
      <c r="G37150">
        <v>2143355</v>
      </c>
      <c r="H37150">
        <v>12432370</v>
      </c>
      <c r="I37150">
        <v>18266918</v>
      </c>
      <c r="J37150">
        <v>4</v>
      </c>
    </row>
    <row r="37151" spans="1:10" x14ac:dyDescent="0.25">
      <c r="A37151" t="s">
        <v>398</v>
      </c>
      <c r="B37151" s="1" t="str">
        <f>HYPERLINK("http://seat.bg","seat.bg")</f>
        <v>seat.bg</v>
      </c>
      <c r="C37151" t="s">
        <v>422</v>
      </c>
      <c r="D37151" t="s">
        <v>804</v>
      </c>
      <c r="F37151">
        <v>7.4885036272804007E-9</v>
      </c>
      <c r="G37151">
        <v>11039061</v>
      </c>
      <c r="H37151">
        <v>10940608</v>
      </c>
      <c r="I37151">
        <v>34813043</v>
      </c>
      <c r="J37151">
        <v>4</v>
      </c>
    </row>
    <row r="37152" spans="1:10" x14ac:dyDescent="0.25">
      <c r="A37152" t="s">
        <v>398</v>
      </c>
      <c r="B37152" s="1" t="str">
        <f>HYPERLINK("http://skoda-auto.bg","skoda-auto.bg")</f>
        <v>skoda-auto.bg</v>
      </c>
      <c r="C37152" t="s">
        <v>422</v>
      </c>
      <c r="D37152" t="s">
        <v>804</v>
      </c>
      <c r="F37152">
        <v>2.0335519772980301E-8</v>
      </c>
      <c r="G37152">
        <v>2608832</v>
      </c>
      <c r="H37152">
        <v>14375651</v>
      </c>
      <c r="I37152">
        <v>1223735</v>
      </c>
      <c r="J37152">
        <v>4</v>
      </c>
    </row>
    <row r="37153" spans="1:10" x14ac:dyDescent="0.25">
      <c r="A37153" t="s">
        <v>398</v>
      </c>
      <c r="B37153" s="1" t="str">
        <f>HYPERLINK("http://volkswagen.bg","volkswagen.bg")</f>
        <v>volkswagen.bg</v>
      </c>
      <c r="C37153" t="s">
        <v>422</v>
      </c>
      <c r="D37153" t="s">
        <v>804</v>
      </c>
      <c r="F37153">
        <v>4.5109918655728801E-8</v>
      </c>
      <c r="G37153">
        <v>1046208</v>
      </c>
      <c r="H37153">
        <v>14236776</v>
      </c>
      <c r="I37153">
        <v>1570409</v>
      </c>
      <c r="J37153">
        <v>4</v>
      </c>
    </row>
    <row r="37154" spans="1:10" x14ac:dyDescent="0.25">
      <c r="A37154" t="s">
        <v>398</v>
      </c>
      <c r="B37154" s="1" t="str">
        <f>HYPERLINK("http://audi.bi","audi.bi")</f>
        <v>audi.bi</v>
      </c>
      <c r="C37154" t="s">
        <v>622</v>
      </c>
      <c r="D37154" t="s">
        <v>946</v>
      </c>
      <c r="F37154">
        <v>1.0400107613034199E-8</v>
      </c>
      <c r="G37154">
        <v>6358847</v>
      </c>
      <c r="H37154">
        <v>12415971</v>
      </c>
      <c r="I37154">
        <v>18527856</v>
      </c>
      <c r="J37154">
        <v>4</v>
      </c>
    </row>
    <row r="37155" spans="1:10" x14ac:dyDescent="0.25">
      <c r="A37155" t="s">
        <v>398</v>
      </c>
      <c r="B37155" s="1" t="str">
        <f>HYPERLINK("http://bertrandt.biz","bertrandt.biz")</f>
        <v>bertrandt.biz</v>
      </c>
      <c r="C37155" t="s">
        <v>423</v>
      </c>
      <c r="E37155">
        <v>391790</v>
      </c>
      <c r="F37155">
        <v>6.6231449423813397E-9</v>
      </c>
      <c r="G37155">
        <v>13585716</v>
      </c>
      <c r="H37155">
        <v>10872737</v>
      </c>
      <c r="I37155">
        <v>36454897</v>
      </c>
      <c r="J37155">
        <v>7</v>
      </c>
    </row>
    <row r="37156" spans="1:10" x14ac:dyDescent="0.25">
      <c r="A37156" t="s">
        <v>398</v>
      </c>
      <c r="B37156" s="1" t="str">
        <f>HYPERLINK("http://mtbbkk.biz","mtbbkk.biz")</f>
        <v>mtbbkk.biz</v>
      </c>
      <c r="C37156" t="s">
        <v>423</v>
      </c>
      <c r="J37156">
        <v>4</v>
      </c>
    </row>
    <row r="37157" spans="1:10" x14ac:dyDescent="0.25">
      <c r="A37157" t="s">
        <v>398</v>
      </c>
      <c r="B37157" s="1" t="str">
        <f>HYPERLINK("http://audi.bo","audi.bo")</f>
        <v>audi.bo</v>
      </c>
      <c r="C37157" t="s">
        <v>424</v>
      </c>
      <c r="D37157" t="s">
        <v>805</v>
      </c>
      <c r="F37157">
        <v>6.3206414946676801E-9</v>
      </c>
      <c r="G37157">
        <v>14934053</v>
      </c>
      <c r="H37157">
        <v>11932208</v>
      </c>
      <c r="I37157">
        <v>29280474</v>
      </c>
      <c r="J37157">
        <v>4</v>
      </c>
    </row>
    <row r="37158" spans="1:10" x14ac:dyDescent="0.25">
      <c r="A37158" t="s">
        <v>398</v>
      </c>
      <c r="B37158" s="1" t="str">
        <f>HYPERLINK("http://hansa.com.bo","hansa.com.bo")</f>
        <v>hansa.com.bo</v>
      </c>
      <c r="C37158" t="s">
        <v>424</v>
      </c>
      <c r="D37158" t="s">
        <v>805</v>
      </c>
      <c r="F37158">
        <v>8.2120944679219901E-9</v>
      </c>
      <c r="G37158">
        <v>9550721</v>
      </c>
      <c r="H37158">
        <v>12028262</v>
      </c>
      <c r="I37158">
        <v>27693967</v>
      </c>
      <c r="J37158">
        <v>3</v>
      </c>
    </row>
    <row r="37159" spans="1:10" x14ac:dyDescent="0.25">
      <c r="A37159" t="s">
        <v>398</v>
      </c>
      <c r="B37159" s="1" t="str">
        <f>HYPERLINK("http://volkswagen.bo","volkswagen.bo")</f>
        <v>volkswagen.bo</v>
      </c>
      <c r="C37159" t="s">
        <v>424</v>
      </c>
      <c r="D37159" t="s">
        <v>805</v>
      </c>
      <c r="F37159">
        <v>5.5114553254942401E-9</v>
      </c>
      <c r="G37159">
        <v>20777397</v>
      </c>
      <c r="H37159">
        <v>11976996</v>
      </c>
      <c r="I37159">
        <v>28540852</v>
      </c>
      <c r="J37159">
        <v>3</v>
      </c>
    </row>
    <row r="37160" spans="1:10" x14ac:dyDescent="0.25">
      <c r="A37160" t="s">
        <v>398</v>
      </c>
      <c r="B37160" s="1" t="str">
        <f>HYPERLINK("http://anpvw.com.br","anpvw.com.br")</f>
        <v>anpvw.com.br</v>
      </c>
      <c r="C37160" t="s">
        <v>425</v>
      </c>
      <c r="D37160" t="s">
        <v>806</v>
      </c>
      <c r="J37160">
        <v>3</v>
      </c>
    </row>
    <row r="37161" spans="1:10" x14ac:dyDescent="0.25">
      <c r="A37161" t="s">
        <v>398</v>
      </c>
      <c r="B37161" s="1" t="str">
        <f>HYPERLINK("http://audi.com.br","audi.com.br")</f>
        <v>audi.com.br</v>
      </c>
      <c r="C37161" t="s">
        <v>425</v>
      </c>
      <c r="D37161" t="s">
        <v>806</v>
      </c>
      <c r="E37161">
        <v>745944</v>
      </c>
      <c r="F37161">
        <v>1.80448668424921E-8</v>
      </c>
      <c r="G37161">
        <v>3021381</v>
      </c>
      <c r="H37161">
        <v>14241262</v>
      </c>
      <c r="I37161">
        <v>1493440</v>
      </c>
      <c r="J37161">
        <v>3</v>
      </c>
    </row>
    <row r="37162" spans="1:10" x14ac:dyDescent="0.25">
      <c r="A37162" t="s">
        <v>398</v>
      </c>
      <c r="B37162" s="1" t="str">
        <f>HYPERLINK("http://audialphaville.com.br","audialphaville.com.br")</f>
        <v>audialphaville.com.br</v>
      </c>
      <c r="C37162" t="s">
        <v>425</v>
      </c>
      <c r="D37162" t="s">
        <v>806</v>
      </c>
      <c r="F37162">
        <v>5.0848407289465902E-9</v>
      </c>
      <c r="G37162">
        <v>27404048</v>
      </c>
      <c r="H37162">
        <v>10975357</v>
      </c>
      <c r="I37162">
        <v>34026378</v>
      </c>
      <c r="J37162">
        <v>4</v>
      </c>
    </row>
    <row r="37163" spans="1:10" x14ac:dyDescent="0.25">
      <c r="A37163" t="s">
        <v>398</v>
      </c>
      <c r="B37163" s="1" t="str">
        <f>HYPERLINK("http://audicentercuritiba.com.br","audicentercuritiba.com.br")</f>
        <v>audicentercuritiba.com.br</v>
      </c>
      <c r="C37163" t="s">
        <v>425</v>
      </c>
      <c r="D37163" t="s">
        <v>806</v>
      </c>
      <c r="F37163">
        <v>4.4936344451920496E-9</v>
      </c>
      <c r="G37163">
        <v>59915898</v>
      </c>
      <c r="H37163">
        <v>10343722</v>
      </c>
      <c r="I37163">
        <v>57826582</v>
      </c>
      <c r="J37163">
        <v>4</v>
      </c>
    </row>
    <row r="37164" spans="1:10" x14ac:dyDescent="0.25">
      <c r="A37164" t="s">
        <v>398</v>
      </c>
      <c r="B37164" s="1" t="str">
        <f>HYPERLINK("http://autonortevw.com.br","autonortevw.com.br")</f>
        <v>autonortevw.com.br</v>
      </c>
      <c r="C37164" t="s">
        <v>425</v>
      </c>
      <c r="D37164" t="s">
        <v>806</v>
      </c>
      <c r="J37164">
        <v>3</v>
      </c>
    </row>
    <row r="37165" spans="1:10" x14ac:dyDescent="0.25">
      <c r="A37165" t="s">
        <v>398</v>
      </c>
      <c r="B37165" s="1" t="str">
        <f>HYPERLINK("http://blusa.com.br","blusa.com.br")</f>
        <v>blusa.com.br</v>
      </c>
      <c r="C37165" t="s">
        <v>425</v>
      </c>
      <c r="D37165" t="s">
        <v>806</v>
      </c>
      <c r="F37165">
        <v>4.4438368829059397E-9</v>
      </c>
      <c r="G37165">
        <v>78844967</v>
      </c>
      <c r="H37165">
        <v>10461305</v>
      </c>
      <c r="I37165">
        <v>51775445</v>
      </c>
      <c r="J37165">
        <v>3</v>
      </c>
    </row>
    <row r="37166" spans="1:10" x14ac:dyDescent="0.25">
      <c r="A37166" t="s">
        <v>398</v>
      </c>
      <c r="B37166" s="1" t="str">
        <f>HYPERLINK("http://cavese.com.br","cavese.com.br")</f>
        <v>cavese.com.br</v>
      </c>
      <c r="C37166" t="s">
        <v>425</v>
      </c>
      <c r="D37166" t="s">
        <v>806</v>
      </c>
      <c r="F37166">
        <v>4.4438386830398798E-9</v>
      </c>
      <c r="G37166">
        <v>78820449</v>
      </c>
      <c r="H37166">
        <v>10461392</v>
      </c>
      <c r="I37166">
        <v>51751022</v>
      </c>
      <c r="J37166">
        <v>5</v>
      </c>
    </row>
    <row r="37167" spans="1:10" x14ac:dyDescent="0.25">
      <c r="A37167" t="s">
        <v>398</v>
      </c>
      <c r="B37167" s="1" t="str">
        <f>HYPERLINK("http://codema.com.br","codema.com.br")</f>
        <v>codema.com.br</v>
      </c>
      <c r="C37167" t="s">
        <v>425</v>
      </c>
      <c r="D37167" t="s">
        <v>806</v>
      </c>
      <c r="F37167">
        <v>4.4591747927862901E-9</v>
      </c>
      <c r="G37167">
        <v>68011350</v>
      </c>
      <c r="H37167">
        <v>10430588</v>
      </c>
      <c r="I37167">
        <v>53615288</v>
      </c>
      <c r="J37167">
        <v>3</v>
      </c>
    </row>
    <row r="37168" spans="1:10" x14ac:dyDescent="0.25">
      <c r="A37168" t="s">
        <v>398</v>
      </c>
      <c r="B37168" s="1" t="str">
        <f>HYPERLINK("http://laranjalvw.com.br","laranjalvw.com.br")</f>
        <v>laranjalvw.com.br</v>
      </c>
      <c r="C37168" t="s">
        <v>425</v>
      </c>
      <c r="D37168" t="s">
        <v>806</v>
      </c>
      <c r="J37168">
        <v>3</v>
      </c>
    </row>
    <row r="37169" spans="1:10" x14ac:dyDescent="0.25">
      <c r="A37169" t="s">
        <v>398</v>
      </c>
      <c r="B37169" s="1" t="str">
        <f>HYPERLINK("http://metrovel.com.br","metrovel.com.br")</f>
        <v>metrovel.com.br</v>
      </c>
      <c r="C37169" t="s">
        <v>425</v>
      </c>
      <c r="D37169" t="s">
        <v>806</v>
      </c>
      <c r="J37169">
        <v>3</v>
      </c>
    </row>
    <row r="37170" spans="1:10" x14ac:dyDescent="0.25">
      <c r="A37170" t="s">
        <v>398</v>
      </c>
      <c r="B37170" s="1" t="str">
        <f>HYPERLINK("http://mwm.com.br","mwm.com.br")</f>
        <v>mwm.com.br</v>
      </c>
      <c r="C37170" t="s">
        <v>425</v>
      </c>
      <c r="D37170" t="s">
        <v>806</v>
      </c>
      <c r="F37170">
        <v>1.29552088081769E-8</v>
      </c>
      <c r="G37170">
        <v>4653295</v>
      </c>
      <c r="H37170">
        <v>14131995</v>
      </c>
      <c r="I37170">
        <v>2004704</v>
      </c>
      <c r="J37170">
        <v>4</v>
      </c>
    </row>
    <row r="37171" spans="1:10" x14ac:dyDescent="0.25">
      <c r="A37171" t="s">
        <v>398</v>
      </c>
      <c r="B37171" s="1" t="str">
        <f>HYPERLINK("http://originalvw.com.br","originalvw.com.br")</f>
        <v>originalvw.com.br</v>
      </c>
      <c r="C37171" t="s">
        <v>425</v>
      </c>
      <c r="D37171" t="s">
        <v>806</v>
      </c>
      <c r="F37171">
        <v>5.7180014504021801E-9</v>
      </c>
      <c r="G37171">
        <v>18767398</v>
      </c>
      <c r="H37171">
        <v>11545732</v>
      </c>
      <c r="I37171">
        <v>29973557</v>
      </c>
      <c r="J37171">
        <v>3</v>
      </c>
    </row>
    <row r="37172" spans="1:10" x14ac:dyDescent="0.25">
      <c r="A37172" t="s">
        <v>398</v>
      </c>
      <c r="B37172" s="1" t="str">
        <f>HYPERLINK("http://orvel.com.br","orvel.com.br")</f>
        <v>orvel.com.br</v>
      </c>
      <c r="C37172" t="s">
        <v>425</v>
      </c>
      <c r="D37172" t="s">
        <v>806</v>
      </c>
      <c r="F37172">
        <v>4.5500402586115001E-9</v>
      </c>
      <c r="G37172">
        <v>52183586</v>
      </c>
      <c r="H37172">
        <v>11060290</v>
      </c>
      <c r="I37172">
        <v>32679447</v>
      </c>
      <c r="J37172">
        <v>3</v>
      </c>
    </row>
    <row r="37173" spans="1:10" x14ac:dyDescent="0.25">
      <c r="A37173" t="s">
        <v>398</v>
      </c>
      <c r="B37173" s="1" t="str">
        <f>HYPERLINK("http://orvelcaminhoes.com.br","orvelcaminhoes.com.br")</f>
        <v>orvelcaminhoes.com.br</v>
      </c>
      <c r="C37173" t="s">
        <v>425</v>
      </c>
      <c r="D37173" t="s">
        <v>806</v>
      </c>
      <c r="J37173">
        <v>3</v>
      </c>
    </row>
    <row r="37174" spans="1:10" x14ac:dyDescent="0.25">
      <c r="A37174" t="s">
        <v>398</v>
      </c>
      <c r="B37174" s="1" t="str">
        <f>HYPERLINK("http://promenac.com.br","promenac.com.br")</f>
        <v>promenac.com.br</v>
      </c>
      <c r="C37174" t="s">
        <v>425</v>
      </c>
      <c r="D37174" t="s">
        <v>806</v>
      </c>
      <c r="F37174">
        <v>4.5572988975172803E-9</v>
      </c>
      <c r="G37174">
        <v>51432360</v>
      </c>
      <c r="H37174">
        <v>10343677</v>
      </c>
      <c r="I37174">
        <v>58012664</v>
      </c>
      <c r="J37174">
        <v>3</v>
      </c>
    </row>
    <row r="37175" spans="1:10" x14ac:dyDescent="0.25">
      <c r="A37175" t="s">
        <v>398</v>
      </c>
      <c r="B37175" s="1" t="str">
        <f>HYPERLINK("http://scania.com.br","scania.com.br")</f>
        <v>scania.com.br</v>
      </c>
      <c r="C37175" t="s">
        <v>425</v>
      </c>
      <c r="D37175" t="s">
        <v>806</v>
      </c>
      <c r="F37175">
        <v>9.5779951071187593E-9</v>
      </c>
      <c r="G37175">
        <v>7230181</v>
      </c>
      <c r="H37175">
        <v>14485796</v>
      </c>
      <c r="I37175">
        <v>982674</v>
      </c>
      <c r="J37175">
        <v>3</v>
      </c>
    </row>
    <row r="37176" spans="1:10" x14ac:dyDescent="0.25">
      <c r="A37176" t="s">
        <v>398</v>
      </c>
      <c r="B37176" s="1" t="str">
        <f>HYPERLINK("http://scaniabanco.com.br","scaniabanco.com.br")</f>
        <v>scaniabanco.com.br</v>
      </c>
      <c r="C37176" t="s">
        <v>425</v>
      </c>
      <c r="D37176" t="s">
        <v>806</v>
      </c>
      <c r="J37176">
        <v>3</v>
      </c>
    </row>
    <row r="37177" spans="1:10" x14ac:dyDescent="0.25">
      <c r="A37177" t="s">
        <v>398</v>
      </c>
      <c r="B37177" s="1" t="str">
        <f>HYPERLINK("http://stuttgartporsche.com.br","stuttgartporsche.com.br")</f>
        <v>stuttgartporsche.com.br</v>
      </c>
      <c r="C37177" t="s">
        <v>425</v>
      </c>
      <c r="D37177" t="s">
        <v>806</v>
      </c>
      <c r="F37177">
        <v>5.0855267212761496E-9</v>
      </c>
      <c r="G37177">
        <v>27390384</v>
      </c>
      <c r="H37177">
        <v>13765102</v>
      </c>
      <c r="I37177">
        <v>7142655</v>
      </c>
      <c r="J37177">
        <v>4</v>
      </c>
    </row>
    <row r="37178" spans="1:10" x14ac:dyDescent="0.25">
      <c r="A37178" t="s">
        <v>398</v>
      </c>
      <c r="B37178" s="1" t="str">
        <f>HYPERLINK("http://transriosul.com.br","transriosul.com.br")</f>
        <v>transriosul.com.br</v>
      </c>
      <c r="C37178" t="s">
        <v>425</v>
      </c>
      <c r="D37178" t="s">
        <v>806</v>
      </c>
      <c r="J37178">
        <v>3</v>
      </c>
    </row>
    <row r="37179" spans="1:10" x14ac:dyDescent="0.25">
      <c r="A37179" t="s">
        <v>398</v>
      </c>
      <c r="B37179" s="1" t="str">
        <f>HYPERLINK("http://vigomotors.com.br","vigomotors.com.br")</f>
        <v>vigomotors.com.br</v>
      </c>
      <c r="C37179" t="s">
        <v>425</v>
      </c>
      <c r="D37179" t="s">
        <v>806</v>
      </c>
      <c r="F37179">
        <v>4.6082007396395902E-9</v>
      </c>
      <c r="G37179">
        <v>46980260</v>
      </c>
      <c r="H37179">
        <v>10780119</v>
      </c>
      <c r="I37179">
        <v>38931552</v>
      </c>
      <c r="J37179">
        <v>3</v>
      </c>
    </row>
    <row r="37180" spans="1:10" x14ac:dyDescent="0.25">
      <c r="A37180" t="s">
        <v>398</v>
      </c>
      <c r="B37180" s="1" t="str">
        <f>HYPERLINK("http://volkswagen.com.br","volkswagen.com.br")</f>
        <v>volkswagen.com.br</v>
      </c>
      <c r="C37180" t="s">
        <v>425</v>
      </c>
      <c r="D37180" t="s">
        <v>806</v>
      </c>
      <c r="E37180">
        <v>374148</v>
      </c>
      <c r="F37180">
        <v>7.9257677714665501E-9</v>
      </c>
      <c r="G37180">
        <v>10061568</v>
      </c>
      <c r="H37180">
        <v>14241370</v>
      </c>
      <c r="I37180">
        <v>1492570</v>
      </c>
      <c r="J37180">
        <v>3</v>
      </c>
    </row>
    <row r="37181" spans="1:10" x14ac:dyDescent="0.25">
      <c r="A37181" t="s">
        <v>398</v>
      </c>
      <c r="B37181" s="1" t="str">
        <f>HYPERLINK("http://vw.com.br","vw.com.br")</f>
        <v>vw.com.br</v>
      </c>
      <c r="C37181" t="s">
        <v>425</v>
      </c>
      <c r="D37181" t="s">
        <v>806</v>
      </c>
      <c r="E37181">
        <v>142619</v>
      </c>
      <c r="F37181">
        <v>1.6133279595465701E-7</v>
      </c>
      <c r="G37181">
        <v>240625</v>
      </c>
      <c r="H37181">
        <v>17175286</v>
      </c>
      <c r="I37181">
        <v>46553</v>
      </c>
      <c r="J37181">
        <v>3</v>
      </c>
    </row>
    <row r="37182" spans="1:10" x14ac:dyDescent="0.25">
      <c r="A37182" t="s">
        <v>398</v>
      </c>
      <c r="B37182" s="1" t="str">
        <f>HYPERLINK("http://vwco.com.br","vwco.com.br")</f>
        <v>vwco.com.br</v>
      </c>
      <c r="C37182" t="s">
        <v>425</v>
      </c>
      <c r="D37182" t="s">
        <v>806</v>
      </c>
      <c r="F37182">
        <v>5.3340381066483099E-8</v>
      </c>
      <c r="G37182">
        <v>853320</v>
      </c>
      <c r="H37182">
        <v>14078639</v>
      </c>
      <c r="I37182">
        <v>2843825</v>
      </c>
      <c r="J37182">
        <v>3</v>
      </c>
    </row>
    <row r="37183" spans="1:10" x14ac:dyDescent="0.25">
      <c r="A37183" t="s">
        <v>398</v>
      </c>
      <c r="B37183" s="1" t="str">
        <f>HYPERLINK("http://audi.bs","audi.bs")</f>
        <v>audi.bs</v>
      </c>
      <c r="C37183" t="s">
        <v>623</v>
      </c>
      <c r="D37183" t="s">
        <v>947</v>
      </c>
      <c r="F37183">
        <v>7.7461113942510198E-9</v>
      </c>
      <c r="G37183">
        <v>10474850</v>
      </c>
      <c r="H37183">
        <v>12415961</v>
      </c>
      <c r="I37183">
        <v>18527995</v>
      </c>
      <c r="J37183">
        <v>4</v>
      </c>
    </row>
    <row r="37184" spans="1:10" x14ac:dyDescent="0.25">
      <c r="A37184" t="s">
        <v>398</v>
      </c>
      <c r="B37184" s="1" t="str">
        <f>HYPERLINK("http://audi.by","audi.by")</f>
        <v>audi.by</v>
      </c>
      <c r="C37184" t="s">
        <v>427</v>
      </c>
      <c r="D37184" t="s">
        <v>808</v>
      </c>
      <c r="F37184">
        <v>1.1347655043296399E-8</v>
      </c>
      <c r="G37184">
        <v>5609826</v>
      </c>
      <c r="H37184">
        <v>12983023</v>
      </c>
      <c r="I37184">
        <v>12934962</v>
      </c>
      <c r="J37184">
        <v>4</v>
      </c>
    </row>
    <row r="37185" spans="1:10" x14ac:dyDescent="0.25">
      <c r="A37185" t="s">
        <v>398</v>
      </c>
      <c r="B37185" s="1" t="str">
        <f>HYPERLINK("http://skoda-auto.by","skoda-auto.by")</f>
        <v>skoda-auto.by</v>
      </c>
      <c r="C37185" t="s">
        <v>427</v>
      </c>
      <c r="D37185" t="s">
        <v>808</v>
      </c>
      <c r="F37185">
        <v>3.5853847877217799E-8</v>
      </c>
      <c r="G37185">
        <v>1452777</v>
      </c>
      <c r="H37185">
        <v>14232575</v>
      </c>
      <c r="I37185">
        <v>1671733</v>
      </c>
      <c r="J37185">
        <v>4</v>
      </c>
    </row>
    <row r="37186" spans="1:10" x14ac:dyDescent="0.25">
      <c r="A37186" t="s">
        <v>398</v>
      </c>
      <c r="B37186" s="1" t="str">
        <f>HYPERLINK("http://uruchie.by","uruchie.by")</f>
        <v>uruchie.by</v>
      </c>
      <c r="C37186" t="s">
        <v>427</v>
      </c>
      <c r="D37186" t="s">
        <v>808</v>
      </c>
      <c r="F37186">
        <v>1.29746278885762E-8</v>
      </c>
      <c r="G37186">
        <v>4643616</v>
      </c>
      <c r="H37186">
        <v>12269443</v>
      </c>
      <c r="I37186">
        <v>21534011</v>
      </c>
      <c r="J37186">
        <v>3</v>
      </c>
    </row>
    <row r="37187" spans="1:10" x14ac:dyDescent="0.25">
      <c r="A37187" t="s">
        <v>398</v>
      </c>
      <c r="B37187" s="1" t="str">
        <f>HYPERLINK("http://volkswagen.by","volkswagen.by")</f>
        <v>volkswagen.by</v>
      </c>
      <c r="C37187" t="s">
        <v>427</v>
      </c>
      <c r="D37187" t="s">
        <v>808</v>
      </c>
      <c r="F37187">
        <v>3.8953026890450301E-8</v>
      </c>
      <c r="G37187">
        <v>1323782</v>
      </c>
      <c r="H37187">
        <v>14563316</v>
      </c>
      <c r="I37187">
        <v>742806</v>
      </c>
      <c r="J37187">
        <v>3</v>
      </c>
    </row>
    <row r="37188" spans="1:10" x14ac:dyDescent="0.25">
      <c r="A37188" t="s">
        <v>398</v>
      </c>
      <c r="B37188" s="1" t="str">
        <f>HYPERLINK("http://audi.bz","audi.bz")</f>
        <v>audi.bz</v>
      </c>
      <c r="C37188" t="s">
        <v>590</v>
      </c>
      <c r="D37188" t="s">
        <v>926</v>
      </c>
      <c r="F37188">
        <v>4.9788150489367297E-9</v>
      </c>
      <c r="G37188">
        <v>30026036</v>
      </c>
      <c r="H37188">
        <v>9566732</v>
      </c>
      <c r="I37188">
        <v>64767108</v>
      </c>
      <c r="J37188">
        <v>4</v>
      </c>
    </row>
    <row r="37189" spans="1:10" x14ac:dyDescent="0.25">
      <c r="A37189" t="s">
        <v>398</v>
      </c>
      <c r="B37189" s="1" t="str">
        <f>HYPERLINK("http://porsche.ab.ca","porsche.ab.ca")</f>
        <v>porsche.ab.ca</v>
      </c>
      <c r="C37189" t="s">
        <v>428</v>
      </c>
      <c r="D37189" t="s">
        <v>809</v>
      </c>
      <c r="F37189">
        <v>1.0522339346134399E-8</v>
      </c>
      <c r="G37189">
        <v>6250376</v>
      </c>
      <c r="H37189">
        <v>12738581</v>
      </c>
      <c r="I37189">
        <v>15151219</v>
      </c>
      <c r="J37189">
        <v>4</v>
      </c>
    </row>
    <row r="37190" spans="1:10" x14ac:dyDescent="0.25">
      <c r="A37190" t="s">
        <v>398</v>
      </c>
      <c r="B37190" s="1" t="str">
        <f>HYPERLINK("http://audi.ca","audi.ca")</f>
        <v>audi.ca</v>
      </c>
      <c r="C37190" t="s">
        <v>428</v>
      </c>
      <c r="D37190" t="s">
        <v>809</v>
      </c>
      <c r="E37190">
        <v>238525</v>
      </c>
      <c r="F37190">
        <v>1.3811682140413999E-7</v>
      </c>
      <c r="G37190">
        <v>282080</v>
      </c>
      <c r="H37190">
        <v>14504532</v>
      </c>
      <c r="I37190">
        <v>839105</v>
      </c>
      <c r="J37190">
        <v>4</v>
      </c>
    </row>
    <row r="37191" spans="1:10" x14ac:dyDescent="0.25">
      <c r="A37191" t="s">
        <v>398</v>
      </c>
      <c r="B37191" s="1" t="str">
        <f>HYPERLINK("http://audibarrie.ca","audibarrie.ca")</f>
        <v>audibarrie.ca</v>
      </c>
      <c r="C37191" t="s">
        <v>428</v>
      </c>
      <c r="D37191" t="s">
        <v>809</v>
      </c>
      <c r="F37191">
        <v>6.3782245865585001E-9</v>
      </c>
      <c r="G37191">
        <v>14625723</v>
      </c>
      <c r="H37191">
        <v>10808644</v>
      </c>
      <c r="I37191">
        <v>37909094</v>
      </c>
      <c r="J37191">
        <v>4</v>
      </c>
    </row>
    <row r="37192" spans="1:10" x14ac:dyDescent="0.25">
      <c r="A37192" t="s">
        <v>398</v>
      </c>
      <c r="B37192" s="1" t="str">
        <f>HYPERLINK("http://audidowntownvancouver.ca","audidowntownvancouver.ca")</f>
        <v>audidowntownvancouver.ca</v>
      </c>
      <c r="C37192" t="s">
        <v>428</v>
      </c>
      <c r="D37192" t="s">
        <v>809</v>
      </c>
      <c r="F37192">
        <v>8.1422751618008699E-9</v>
      </c>
      <c r="G37192">
        <v>9669218</v>
      </c>
      <c r="H37192">
        <v>12247536</v>
      </c>
      <c r="I37192">
        <v>22061968</v>
      </c>
      <c r="J37192">
        <v>4</v>
      </c>
    </row>
    <row r="37193" spans="1:10" x14ac:dyDescent="0.25">
      <c r="A37193" t="s">
        <v>398</v>
      </c>
      <c r="B37193" s="1" t="str">
        <f>HYPERLINK("http://audiottawa.ca","audiottawa.ca")</f>
        <v>audiottawa.ca</v>
      </c>
      <c r="C37193" t="s">
        <v>428</v>
      </c>
      <c r="D37193" t="s">
        <v>809</v>
      </c>
      <c r="F37193">
        <v>7.2595681144813399E-9</v>
      </c>
      <c r="G37193">
        <v>11580236</v>
      </c>
      <c r="H37193">
        <v>10765363</v>
      </c>
      <c r="I37193">
        <v>39428326</v>
      </c>
      <c r="J37193">
        <v>4</v>
      </c>
    </row>
    <row r="37194" spans="1:10" x14ac:dyDescent="0.25">
      <c r="A37194" t="s">
        <v>398</v>
      </c>
      <c r="B37194" s="1" t="str">
        <f>HYPERLINK("http://bramgatevw.ca","bramgatevw.ca")</f>
        <v>bramgatevw.ca</v>
      </c>
      <c r="C37194" t="s">
        <v>428</v>
      </c>
      <c r="D37194" t="s">
        <v>809</v>
      </c>
      <c r="F37194">
        <v>7.3031673939821201E-9</v>
      </c>
      <c r="G37194">
        <v>11472014</v>
      </c>
      <c r="H37194">
        <v>10568374</v>
      </c>
      <c r="I37194">
        <v>46142879</v>
      </c>
      <c r="J37194">
        <v>3</v>
      </c>
    </row>
    <row r="37195" spans="1:10" x14ac:dyDescent="0.25">
      <c r="A37195" t="s">
        <v>398</v>
      </c>
      <c r="B37195" s="1" t="str">
        <f>HYPERLINK("http://electrify-canada.ca","electrify-canada.ca")</f>
        <v>electrify-canada.ca</v>
      </c>
      <c r="C37195" t="s">
        <v>428</v>
      </c>
      <c r="D37195" t="s">
        <v>809</v>
      </c>
      <c r="F37195">
        <v>1.0847472996515701E-7</v>
      </c>
      <c r="G37195">
        <v>368891</v>
      </c>
      <c r="H37195">
        <v>16871894</v>
      </c>
      <c r="I37195">
        <v>147867</v>
      </c>
      <c r="J37195">
        <v>5</v>
      </c>
    </row>
    <row r="37196" spans="1:10" x14ac:dyDescent="0.25">
      <c r="A37196" t="s">
        <v>398</v>
      </c>
      <c r="B37196" s="1" t="str">
        <f>HYPERLINK("http://mauricie-vw.ca","mauricie-vw.ca")</f>
        <v>mauricie-vw.ca</v>
      </c>
      <c r="C37196" t="s">
        <v>428</v>
      </c>
      <c r="D37196" t="s">
        <v>809</v>
      </c>
      <c r="F37196">
        <v>5.5834220781679003E-9</v>
      </c>
      <c r="G37196">
        <v>20021663</v>
      </c>
      <c r="H37196">
        <v>10362609</v>
      </c>
      <c r="I37196">
        <v>55098128</v>
      </c>
      <c r="J37196">
        <v>3</v>
      </c>
    </row>
    <row r="37197" spans="1:10" x14ac:dyDescent="0.25">
      <c r="A37197" t="s">
        <v>398</v>
      </c>
      <c r="B37197" s="1" t="str">
        <f>HYPERLINK("http://myersvw.ca","myersvw.ca")</f>
        <v>myersvw.ca</v>
      </c>
      <c r="C37197" t="s">
        <v>428</v>
      </c>
      <c r="D37197" t="s">
        <v>809</v>
      </c>
      <c r="F37197">
        <v>6.61694552931829E-9</v>
      </c>
      <c r="G37197">
        <v>13612211</v>
      </c>
      <c r="H37197">
        <v>12066508</v>
      </c>
      <c r="I37197">
        <v>26861736</v>
      </c>
      <c r="J37197">
        <v>3</v>
      </c>
    </row>
    <row r="37198" spans="1:10" x14ac:dyDescent="0.25">
      <c r="A37198" t="s">
        <v>398</v>
      </c>
      <c r="B37198" s="1" t="str">
        <f>HYPERLINK("http://porsche.ca","porsche.ca")</f>
        <v>porsche.ca</v>
      </c>
      <c r="C37198" t="s">
        <v>428</v>
      </c>
      <c r="D37198" t="s">
        <v>809</v>
      </c>
      <c r="F37198">
        <v>1.13492453985756E-8</v>
      </c>
      <c r="G37198">
        <v>5608738</v>
      </c>
      <c r="H37198">
        <v>13239640</v>
      </c>
      <c r="I37198">
        <v>11223323</v>
      </c>
      <c r="J37198">
        <v>4</v>
      </c>
    </row>
    <row r="37199" spans="1:10" x14ac:dyDescent="0.25">
      <c r="A37199" t="s">
        <v>398</v>
      </c>
      <c r="B37199" s="1" t="str">
        <f>HYPERLINK("http://porschecentrenorthtoronto.ca","porschecentrenorthtoronto.ca")</f>
        <v>porschecentrenorthtoronto.ca</v>
      </c>
      <c r="C37199" t="s">
        <v>428</v>
      </c>
      <c r="D37199" t="s">
        <v>809</v>
      </c>
      <c r="F37199">
        <v>5.4223165100251698E-9</v>
      </c>
      <c r="G37199">
        <v>21833919</v>
      </c>
      <c r="H37199">
        <v>10960818</v>
      </c>
      <c r="I37199">
        <v>34335601</v>
      </c>
      <c r="J37199">
        <v>4</v>
      </c>
    </row>
    <row r="37200" spans="1:10" x14ac:dyDescent="0.25">
      <c r="A37200" t="s">
        <v>398</v>
      </c>
      <c r="B37200" s="1" t="str">
        <f>HYPERLINK("http://rinfretvw.ca","rinfretvw.ca")</f>
        <v>rinfretvw.ca</v>
      </c>
      <c r="C37200" t="s">
        <v>428</v>
      </c>
      <c r="D37200" t="s">
        <v>809</v>
      </c>
      <c r="F37200">
        <v>7.2812339354385202E-9</v>
      </c>
      <c r="G37200">
        <v>11526086</v>
      </c>
      <c r="H37200">
        <v>13933144</v>
      </c>
      <c r="I37200">
        <v>4895663</v>
      </c>
      <c r="J37200">
        <v>3</v>
      </c>
    </row>
    <row r="37201" spans="1:10" x14ac:dyDescent="0.25">
      <c r="A37201" t="s">
        <v>398</v>
      </c>
      <c r="B37201" s="1" t="str">
        <f>HYPERLINK("http://sourcesvw.ca","sourcesvw.ca")</f>
        <v>sourcesvw.ca</v>
      </c>
      <c r="C37201" t="s">
        <v>428</v>
      </c>
      <c r="D37201" t="s">
        <v>809</v>
      </c>
      <c r="J37201">
        <v>3</v>
      </c>
    </row>
    <row r="37202" spans="1:10" x14ac:dyDescent="0.25">
      <c r="A37202" t="s">
        <v>398</v>
      </c>
      <c r="B37202" s="1" t="str">
        <f>HYPERLINK("http://valleyvw.ca","valleyvw.ca")</f>
        <v>valleyvw.ca</v>
      </c>
      <c r="C37202" t="s">
        <v>428</v>
      </c>
      <c r="D37202" t="s">
        <v>809</v>
      </c>
      <c r="J37202">
        <v>3</v>
      </c>
    </row>
    <row r="37203" spans="1:10" x14ac:dyDescent="0.25">
      <c r="A37203" t="s">
        <v>398</v>
      </c>
      <c r="B37203" s="1" t="str">
        <f>HYPERLINK("http://volkswagendowntowntoronto.ca","volkswagendowntowntoronto.ca")</f>
        <v>volkswagendowntowntoronto.ca</v>
      </c>
      <c r="C37203" t="s">
        <v>428</v>
      </c>
      <c r="D37203" t="s">
        <v>809</v>
      </c>
      <c r="F37203">
        <v>1.88260120398032E-8</v>
      </c>
      <c r="G37203">
        <v>2866755</v>
      </c>
      <c r="H37203">
        <v>12027602</v>
      </c>
      <c r="I37203">
        <v>27713175</v>
      </c>
      <c r="J37203">
        <v>3</v>
      </c>
    </row>
    <row r="37204" spans="1:10" x14ac:dyDescent="0.25">
      <c r="A37204" t="s">
        <v>398</v>
      </c>
      <c r="B37204" s="1" t="str">
        <f>HYPERLINK("http://vw.ca","vw.ca")</f>
        <v>vw.ca</v>
      </c>
      <c r="C37204" t="s">
        <v>428</v>
      </c>
      <c r="D37204" t="s">
        <v>809</v>
      </c>
      <c r="E37204">
        <v>295299</v>
      </c>
      <c r="F37204">
        <v>1.4674097528527399E-7</v>
      </c>
      <c r="G37204">
        <v>265349</v>
      </c>
      <c r="H37204">
        <v>14712291</v>
      </c>
      <c r="I37204">
        <v>582473</v>
      </c>
      <c r="J37204">
        <v>3</v>
      </c>
    </row>
    <row r="37205" spans="1:10" x14ac:dyDescent="0.25">
      <c r="A37205" t="s">
        <v>398</v>
      </c>
      <c r="B37205" s="1" t="str">
        <f>HYPERLINK("http://wolfsburgautoworks.ca","wolfsburgautoworks.ca")</f>
        <v>wolfsburgautoworks.ca</v>
      </c>
      <c r="C37205" t="s">
        <v>428</v>
      </c>
      <c r="D37205" t="s">
        <v>809</v>
      </c>
      <c r="F37205">
        <v>4.6958326792537402E-9</v>
      </c>
      <c r="G37205">
        <v>41464092</v>
      </c>
      <c r="H37205">
        <v>12031903</v>
      </c>
      <c r="I37205">
        <v>27621310</v>
      </c>
      <c r="J37205">
        <v>3</v>
      </c>
    </row>
    <row r="37206" spans="1:10" x14ac:dyDescent="0.25">
      <c r="A37206" t="s">
        <v>398</v>
      </c>
      <c r="B37206" s="1" t="str">
        <f>HYPERLINK("http://igm.camp","igm.camp")</f>
        <v>igm.camp</v>
      </c>
      <c r="C37206" t="s">
        <v>1682</v>
      </c>
      <c r="F37206">
        <v>6.4157838468653601E-9</v>
      </c>
      <c r="G37206">
        <v>14444744</v>
      </c>
      <c r="H37206">
        <v>11202049</v>
      </c>
      <c r="I37206">
        <v>31233386</v>
      </c>
      <c r="J37206">
        <v>4</v>
      </c>
    </row>
    <row r="37207" spans="1:10" x14ac:dyDescent="0.25">
      <c r="A37207" t="s">
        <v>398</v>
      </c>
      <c r="B37207" s="1" t="str">
        <f>HYPERLINK("http://audi.cd","audi.cd")</f>
        <v>audi.cd</v>
      </c>
      <c r="C37207" t="s">
        <v>625</v>
      </c>
      <c r="D37207" t="s">
        <v>949</v>
      </c>
      <c r="F37207">
        <v>8.9849090189773098E-9</v>
      </c>
      <c r="G37207">
        <v>8014767</v>
      </c>
      <c r="H37207">
        <v>12415966</v>
      </c>
      <c r="I37207">
        <v>18527911</v>
      </c>
      <c r="J37207">
        <v>4</v>
      </c>
    </row>
    <row r="37208" spans="1:10" x14ac:dyDescent="0.25">
      <c r="A37208" t="s">
        <v>398</v>
      </c>
      <c r="B37208" s="1" t="str">
        <f>HYPERLINK("http://audi.cf","audi.cf")</f>
        <v>audi.cf</v>
      </c>
      <c r="C37208" t="s">
        <v>626</v>
      </c>
      <c r="D37208" t="s">
        <v>950</v>
      </c>
      <c r="F37208">
        <v>9.0014381144633503E-9</v>
      </c>
      <c r="G37208">
        <v>7989699</v>
      </c>
      <c r="H37208">
        <v>12415968</v>
      </c>
      <c r="I37208">
        <v>18527888</v>
      </c>
      <c r="J37208">
        <v>4</v>
      </c>
    </row>
    <row r="37209" spans="1:10" x14ac:dyDescent="0.25">
      <c r="A37209" t="s">
        <v>398</v>
      </c>
      <c r="B37209" s="1" t="str">
        <f>HYPERLINK("http://audi.cg","audi.cg")</f>
        <v>audi.cg</v>
      </c>
      <c r="C37209" t="s">
        <v>627</v>
      </c>
      <c r="D37209" t="s">
        <v>951</v>
      </c>
      <c r="F37209">
        <v>8.9913511061018106E-9</v>
      </c>
      <c r="G37209">
        <v>8004377</v>
      </c>
      <c r="H37209">
        <v>12415966</v>
      </c>
      <c r="I37209">
        <v>18527912</v>
      </c>
      <c r="J37209">
        <v>4</v>
      </c>
    </row>
    <row r="37210" spans="1:10" x14ac:dyDescent="0.25">
      <c r="A37210" t="s">
        <v>398</v>
      </c>
      <c r="B37210" s="1" t="str">
        <f>HYPERLINK("http://alu-car.ch","alu-car.ch")</f>
        <v>alu-car.ch</v>
      </c>
      <c r="C37210" t="s">
        <v>429</v>
      </c>
      <c r="D37210" t="s">
        <v>810</v>
      </c>
      <c r="F37210">
        <v>1.21189534911931E-8</v>
      </c>
      <c r="G37210">
        <v>5098152</v>
      </c>
      <c r="H37210">
        <v>12990960</v>
      </c>
      <c r="I37210">
        <v>12851148</v>
      </c>
      <c r="J37210">
        <v>3</v>
      </c>
    </row>
    <row r="37211" spans="1:10" x14ac:dyDescent="0.25">
      <c r="A37211" t="s">
        <v>398</v>
      </c>
      <c r="B37211" s="1" t="str">
        <f>HYPERLINK("http://audi.ch","audi.ch")</f>
        <v>audi.ch</v>
      </c>
      <c r="C37211" t="s">
        <v>429</v>
      </c>
      <c r="D37211" t="s">
        <v>810</v>
      </c>
      <c r="E37211">
        <v>715326</v>
      </c>
      <c r="F37211">
        <v>1.34050181744416E-7</v>
      </c>
      <c r="G37211">
        <v>291269</v>
      </c>
      <c r="H37211">
        <v>14438861</v>
      </c>
      <c r="I37211">
        <v>1065785</v>
      </c>
      <c r="J37211">
        <v>4</v>
      </c>
    </row>
    <row r="37212" spans="1:10" x14ac:dyDescent="0.25">
      <c r="A37212" t="s">
        <v>398</v>
      </c>
      <c r="B37212" s="1" t="str">
        <f>HYPERLINK("http://autowattwil.ch","autowattwil.ch")</f>
        <v>autowattwil.ch</v>
      </c>
      <c r="C37212" t="s">
        <v>429</v>
      </c>
      <c r="D37212" t="s">
        <v>810</v>
      </c>
      <c r="F37212">
        <v>5.5336672506987004E-9</v>
      </c>
      <c r="G37212">
        <v>20544957</v>
      </c>
      <c r="H37212">
        <v>12195376</v>
      </c>
      <c r="I37212">
        <v>23441786</v>
      </c>
      <c r="J37212">
        <v>3</v>
      </c>
    </row>
    <row r="37213" spans="1:10" x14ac:dyDescent="0.25">
      <c r="A37213" t="s">
        <v>398</v>
      </c>
      <c r="B37213" s="1" t="str">
        <f>HYPERLINK("http://cupraofficial.ch","cupraofficial.ch")</f>
        <v>cupraofficial.ch</v>
      </c>
      <c r="C37213" t="s">
        <v>429</v>
      </c>
      <c r="D37213" t="s">
        <v>810</v>
      </c>
      <c r="F37213">
        <v>5.8454200805155902E-8</v>
      </c>
      <c r="G37213">
        <v>759956</v>
      </c>
      <c r="H37213">
        <v>13817847</v>
      </c>
      <c r="I37213">
        <v>6155859</v>
      </c>
      <c r="J37213">
        <v>4</v>
      </c>
    </row>
    <row r="37214" spans="1:10" x14ac:dyDescent="0.25">
      <c r="A37214" t="s">
        <v>398</v>
      </c>
      <c r="B37214" s="1" t="str">
        <f>HYPERLINK("http://ducati.ch","ducati.ch")</f>
        <v>ducati.ch</v>
      </c>
      <c r="C37214" t="s">
        <v>429</v>
      </c>
      <c r="D37214" t="s">
        <v>810</v>
      </c>
      <c r="F37214">
        <v>1.2132899939804601E-8</v>
      </c>
      <c r="G37214">
        <v>5089673</v>
      </c>
      <c r="H37214">
        <v>12331095</v>
      </c>
      <c r="I37214">
        <v>20190473</v>
      </c>
      <c r="J37214">
        <v>3</v>
      </c>
    </row>
    <row r="37215" spans="1:10" x14ac:dyDescent="0.25">
      <c r="A37215" t="s">
        <v>398</v>
      </c>
      <c r="B37215" s="1" t="str">
        <f>HYPERLINK("http://eterna.ch","eterna.ch")</f>
        <v>eterna.ch</v>
      </c>
      <c r="C37215" t="s">
        <v>429</v>
      </c>
      <c r="D37215" t="s">
        <v>810</v>
      </c>
      <c r="F37215">
        <v>1.65537332561998E-8</v>
      </c>
      <c r="G37215">
        <v>3400638</v>
      </c>
      <c r="H37215">
        <v>14487945</v>
      </c>
      <c r="I37215">
        <v>940040</v>
      </c>
      <c r="J37215">
        <v>4</v>
      </c>
    </row>
    <row r="37216" spans="1:10" x14ac:dyDescent="0.25">
      <c r="A37216" t="s">
        <v>398</v>
      </c>
      <c r="B37216" s="1" t="str">
        <f>HYPERLINK("http://franz.ch","franz.ch")</f>
        <v>franz.ch</v>
      </c>
      <c r="C37216" t="s">
        <v>429</v>
      </c>
      <c r="D37216" t="s">
        <v>810</v>
      </c>
      <c r="F37216">
        <v>1.5134681280754199E-8</v>
      </c>
      <c r="G37216">
        <v>3796563</v>
      </c>
      <c r="H37216">
        <v>12467980</v>
      </c>
      <c r="I37216">
        <v>17780719</v>
      </c>
      <c r="J37216">
        <v>4</v>
      </c>
    </row>
    <row r="37217" spans="1:10" x14ac:dyDescent="0.25">
      <c r="A37217" t="s">
        <v>398</v>
      </c>
      <c r="B37217" s="1" t="str">
        <f>HYPERLINK("http://garage-baumgartner.ch","garage-baumgartner.ch")</f>
        <v>garage-baumgartner.ch</v>
      </c>
      <c r="C37217" t="s">
        <v>429</v>
      </c>
      <c r="D37217" t="s">
        <v>810</v>
      </c>
      <c r="F37217">
        <v>5.66555980805601E-9</v>
      </c>
      <c r="G37217">
        <v>19256012</v>
      </c>
      <c r="H37217">
        <v>9705404</v>
      </c>
      <c r="I37217">
        <v>63316345</v>
      </c>
      <c r="J37217">
        <v>3</v>
      </c>
    </row>
    <row r="37218" spans="1:10" x14ac:dyDescent="0.25">
      <c r="A37218" t="s">
        <v>398</v>
      </c>
      <c r="B37218" s="1" t="str">
        <f>HYPERLINK("http://garage-egli.ch","garage-egli.ch")</f>
        <v>garage-egli.ch</v>
      </c>
      <c r="C37218" t="s">
        <v>429</v>
      </c>
      <c r="D37218" t="s">
        <v>810</v>
      </c>
      <c r="F37218">
        <v>4.44387271249464E-9</v>
      </c>
      <c r="G37218">
        <v>78154084</v>
      </c>
      <c r="H37218">
        <v>11962690</v>
      </c>
      <c r="I37218">
        <v>28888314</v>
      </c>
      <c r="J37218">
        <v>4</v>
      </c>
    </row>
    <row r="37219" spans="1:10" x14ac:dyDescent="0.25">
      <c r="A37219" t="s">
        <v>398</v>
      </c>
      <c r="B37219" s="1" t="str">
        <f>HYPERLINK("http://garage-johann-frei.ch","garage-johann-frei.ch")</f>
        <v>garage-johann-frei.ch</v>
      </c>
      <c r="C37219" t="s">
        <v>429</v>
      </c>
      <c r="D37219" t="s">
        <v>810</v>
      </c>
      <c r="F37219">
        <v>6.80696504369736E-9</v>
      </c>
      <c r="G37219">
        <v>12936515</v>
      </c>
      <c r="H37219">
        <v>12219348</v>
      </c>
      <c r="I37219">
        <v>22803185</v>
      </c>
      <c r="J37219">
        <v>3</v>
      </c>
    </row>
    <row r="37220" spans="1:10" x14ac:dyDescent="0.25">
      <c r="A37220" t="s">
        <v>398</v>
      </c>
      <c r="B37220" s="1" t="str">
        <f>HYPERLINK("http://muzzarelli-leuch.ch","muzzarelli-leuch.ch")</f>
        <v>muzzarelli-leuch.ch</v>
      </c>
      <c r="C37220" t="s">
        <v>429</v>
      </c>
      <c r="D37220" t="s">
        <v>810</v>
      </c>
      <c r="F37220">
        <v>4.7392223783838201E-9</v>
      </c>
      <c r="G37220">
        <v>38839482</v>
      </c>
      <c r="H37220">
        <v>11869857</v>
      </c>
      <c r="I37220">
        <v>29709293</v>
      </c>
      <c r="J37220">
        <v>3</v>
      </c>
    </row>
    <row r="37221" spans="1:10" x14ac:dyDescent="0.25">
      <c r="A37221" t="s">
        <v>398</v>
      </c>
      <c r="B37221" s="1" t="str">
        <f>HYPERLINK("http://paybyphone.ch","paybyphone.ch")</f>
        <v>paybyphone.ch</v>
      </c>
      <c r="C37221" t="s">
        <v>429</v>
      </c>
      <c r="D37221" t="s">
        <v>810</v>
      </c>
      <c r="F37221">
        <v>3.3071743274993899E-8</v>
      </c>
      <c r="G37221">
        <v>1562238</v>
      </c>
      <c r="H37221">
        <v>13363994</v>
      </c>
      <c r="I37221">
        <v>10494582</v>
      </c>
      <c r="J37221">
        <v>4</v>
      </c>
    </row>
    <row r="37222" spans="1:10" x14ac:dyDescent="0.25">
      <c r="A37222" t="s">
        <v>398</v>
      </c>
      <c r="B37222" s="1" t="str">
        <f>HYPERLINK("http://porsche.ch","porsche.ch")</f>
        <v>porsche.ch</v>
      </c>
      <c r="C37222" t="s">
        <v>429</v>
      </c>
      <c r="D37222" t="s">
        <v>810</v>
      </c>
      <c r="E37222">
        <v>378363</v>
      </c>
      <c r="F37222">
        <v>2.1431772775475501E-8</v>
      </c>
      <c r="G37222">
        <v>2457521</v>
      </c>
      <c r="H37222">
        <v>12526131</v>
      </c>
      <c r="I37222">
        <v>17086362</v>
      </c>
      <c r="J37222">
        <v>4</v>
      </c>
    </row>
    <row r="37223" spans="1:10" x14ac:dyDescent="0.25">
      <c r="A37223" t="s">
        <v>398</v>
      </c>
      <c r="B37223" s="1" t="str">
        <f>HYPERLINK("http://porsche-zuerich.ch","porsche-zuerich.ch")</f>
        <v>porsche-zuerich.ch</v>
      </c>
      <c r="C37223" t="s">
        <v>429</v>
      </c>
      <c r="D37223" t="s">
        <v>810</v>
      </c>
      <c r="F37223">
        <v>1.3926915073346699E-8</v>
      </c>
      <c r="G37223">
        <v>4230696</v>
      </c>
      <c r="H37223">
        <v>12478669</v>
      </c>
      <c r="I37223">
        <v>17611111</v>
      </c>
      <c r="J37223">
        <v>4</v>
      </c>
    </row>
    <row r="37224" spans="1:10" x14ac:dyDescent="0.25">
      <c r="A37224" t="s">
        <v>398</v>
      </c>
      <c r="B37224" s="1" t="str">
        <f>HYPERLINK("http://scania.ch","scania.ch")</f>
        <v>scania.ch</v>
      </c>
      <c r="C37224" t="s">
        <v>429</v>
      </c>
      <c r="D37224" t="s">
        <v>810</v>
      </c>
      <c r="F37224">
        <v>1.95922540030625E-8</v>
      </c>
      <c r="G37224">
        <v>2729270</v>
      </c>
      <c r="H37224">
        <v>12243760</v>
      </c>
      <c r="I37224">
        <v>22156252</v>
      </c>
      <c r="J37224">
        <v>3</v>
      </c>
    </row>
    <row r="37225" spans="1:10" x14ac:dyDescent="0.25">
      <c r="A37225" t="s">
        <v>398</v>
      </c>
      <c r="B37225" s="1" t="str">
        <f>HYPERLINK("http://seat.ch","seat.ch")</f>
        <v>seat.ch</v>
      </c>
      <c r="C37225" t="s">
        <v>429</v>
      </c>
      <c r="D37225" t="s">
        <v>810</v>
      </c>
      <c r="F37225">
        <v>8.7289386289605097E-8</v>
      </c>
      <c r="G37225">
        <v>470176</v>
      </c>
      <c r="H37225">
        <v>14075225</v>
      </c>
      <c r="I37225">
        <v>2914871</v>
      </c>
      <c r="J37225">
        <v>4</v>
      </c>
    </row>
    <row r="37226" spans="1:10" x14ac:dyDescent="0.25">
      <c r="A37226" t="s">
        <v>398</v>
      </c>
      <c r="B37226" s="1" t="str">
        <f>HYPERLINK("http://seega.ch","seega.ch")</f>
        <v>seega.ch</v>
      </c>
      <c r="C37226" t="s">
        <v>429</v>
      </c>
      <c r="D37226" t="s">
        <v>810</v>
      </c>
      <c r="F37226">
        <v>6.6120402081114997E-9</v>
      </c>
      <c r="G37226">
        <v>13631313</v>
      </c>
      <c r="H37226">
        <v>10660390</v>
      </c>
      <c r="I37226">
        <v>43414783</v>
      </c>
      <c r="J37226">
        <v>4</v>
      </c>
    </row>
    <row r="37227" spans="1:10" x14ac:dyDescent="0.25">
      <c r="A37227" t="s">
        <v>398</v>
      </c>
      <c r="B37227" s="1" t="str">
        <f>HYPERLINK("http://volkswagen.ch","volkswagen.ch")</f>
        <v>volkswagen.ch</v>
      </c>
      <c r="C37227" t="s">
        <v>429</v>
      </c>
      <c r="D37227" t="s">
        <v>810</v>
      </c>
      <c r="E37227">
        <v>730086</v>
      </c>
      <c r="F37227">
        <v>1.79102700106473E-7</v>
      </c>
      <c r="G37227">
        <v>215751</v>
      </c>
      <c r="H37227">
        <v>14192730</v>
      </c>
      <c r="I37227">
        <v>1744776</v>
      </c>
      <c r="J37227">
        <v>4</v>
      </c>
    </row>
    <row r="37228" spans="1:10" x14ac:dyDescent="0.25">
      <c r="A37228" t="s">
        <v>398</v>
      </c>
      <c r="B37228" s="1" t="str">
        <f>HYPERLINK("http://vvd-suisse.ch","vvd-suisse.ch")</f>
        <v>vvd-suisse.ch</v>
      </c>
      <c r="C37228" t="s">
        <v>429</v>
      </c>
      <c r="D37228" t="s">
        <v>810</v>
      </c>
      <c r="F37228">
        <v>1.04393582553932E-8</v>
      </c>
      <c r="G37228">
        <v>6323331</v>
      </c>
      <c r="H37228">
        <v>10862976</v>
      </c>
      <c r="I37228">
        <v>36624917</v>
      </c>
      <c r="J37228">
        <v>3</v>
      </c>
    </row>
    <row r="37229" spans="1:10" x14ac:dyDescent="0.25">
      <c r="A37229" t="s">
        <v>398</v>
      </c>
      <c r="B37229" s="1" t="str">
        <f>HYPERLINK("http://audi.ci","audi.ci")</f>
        <v>audi.ci</v>
      </c>
      <c r="C37229" t="s">
        <v>539</v>
      </c>
      <c r="D37229" t="s">
        <v>899</v>
      </c>
      <c r="F37229">
        <v>8.1994937641582704E-9</v>
      </c>
      <c r="G37229">
        <v>9571985</v>
      </c>
      <c r="H37229">
        <v>12415962</v>
      </c>
      <c r="I37229">
        <v>18527972</v>
      </c>
      <c r="J37229">
        <v>4</v>
      </c>
    </row>
    <row r="37230" spans="1:10" x14ac:dyDescent="0.25">
      <c r="A37230" t="s">
        <v>398</v>
      </c>
      <c r="B37230" s="1" t="str">
        <f>HYPERLINK("http://seat.com.ci","seat.com.ci")</f>
        <v>seat.com.ci</v>
      </c>
      <c r="C37230" t="s">
        <v>539</v>
      </c>
      <c r="D37230" t="s">
        <v>899</v>
      </c>
      <c r="F37230">
        <v>5.2798561202231197E-9</v>
      </c>
      <c r="G37230">
        <v>23792195</v>
      </c>
      <c r="H37230">
        <v>10514546</v>
      </c>
      <c r="I37230">
        <v>49267716</v>
      </c>
      <c r="J37230">
        <v>4</v>
      </c>
    </row>
    <row r="37231" spans="1:10" x14ac:dyDescent="0.25">
      <c r="A37231" t="s">
        <v>398</v>
      </c>
      <c r="B37231" s="1" t="str">
        <f>HYPERLINK("http://audi.co.ck","audi.co.ck")</f>
        <v>audi.co.ck</v>
      </c>
      <c r="C37231" t="s">
        <v>628</v>
      </c>
      <c r="D37231" t="s">
        <v>952</v>
      </c>
      <c r="F37231">
        <v>7.6959825467055002E-9</v>
      </c>
      <c r="G37231">
        <v>10591839</v>
      </c>
      <c r="H37231">
        <v>12415959</v>
      </c>
      <c r="I37231">
        <v>18528028</v>
      </c>
      <c r="J37231">
        <v>4</v>
      </c>
    </row>
    <row r="37232" spans="1:10" x14ac:dyDescent="0.25">
      <c r="A37232" t="s">
        <v>398</v>
      </c>
      <c r="B37232" s="1" t="str">
        <f>HYPERLINK("http://cupraofficial.cl","cupraofficial.cl")</f>
        <v>cupraofficial.cl</v>
      </c>
      <c r="C37232" t="s">
        <v>430</v>
      </c>
      <c r="D37232" t="s">
        <v>811</v>
      </c>
      <c r="F37232">
        <v>1.32208524565204E-8</v>
      </c>
      <c r="G37232">
        <v>4528979</v>
      </c>
      <c r="H37232">
        <v>10898323</v>
      </c>
      <c r="I37232">
        <v>35874332</v>
      </c>
      <c r="J37232">
        <v>4</v>
      </c>
    </row>
    <row r="37233" spans="1:10" x14ac:dyDescent="0.25">
      <c r="A37233" t="s">
        <v>398</v>
      </c>
      <c r="B37233" s="1" t="str">
        <f>HYPERLINK("http://manchile.cl","manchile.cl")</f>
        <v>manchile.cl</v>
      </c>
      <c r="C37233" t="s">
        <v>430</v>
      </c>
      <c r="D37233" t="s">
        <v>811</v>
      </c>
      <c r="F37233">
        <v>6.3486212888157004E-9</v>
      </c>
      <c r="G37233">
        <v>14768716</v>
      </c>
      <c r="H37233">
        <v>12146860</v>
      </c>
      <c r="I37233">
        <v>24705557</v>
      </c>
      <c r="J37233">
        <v>3</v>
      </c>
    </row>
    <row r="37234" spans="1:10" x14ac:dyDescent="0.25">
      <c r="A37234" t="s">
        <v>398</v>
      </c>
      <c r="B37234" s="1" t="str">
        <f>HYPERLINK("http://pvwsf.cl","pvwsf.cl")</f>
        <v>pvwsf.cl</v>
      </c>
      <c r="C37234" t="s">
        <v>430</v>
      </c>
      <c r="D37234" t="s">
        <v>811</v>
      </c>
      <c r="F37234">
        <v>7.8291288193813396E-9</v>
      </c>
      <c r="G37234">
        <v>10257464</v>
      </c>
      <c r="H37234">
        <v>11938278</v>
      </c>
      <c r="I37234">
        <v>29221378</v>
      </c>
      <c r="J37234">
        <v>3</v>
      </c>
    </row>
    <row r="37235" spans="1:10" x14ac:dyDescent="0.25">
      <c r="A37235" t="s">
        <v>398</v>
      </c>
      <c r="B37235" s="1" t="str">
        <f>HYPERLINK("http://scania.cl","scania.cl")</f>
        <v>scania.cl</v>
      </c>
      <c r="C37235" t="s">
        <v>430</v>
      </c>
      <c r="D37235" t="s">
        <v>811</v>
      </c>
      <c r="F37235">
        <v>4.6163789615487001E-9</v>
      </c>
      <c r="G37235">
        <v>46387315</v>
      </c>
      <c r="H37235">
        <v>11069942</v>
      </c>
      <c r="I37235">
        <v>32578921</v>
      </c>
      <c r="J37235">
        <v>3</v>
      </c>
    </row>
    <row r="37236" spans="1:10" x14ac:dyDescent="0.25">
      <c r="A37236" t="s">
        <v>398</v>
      </c>
      <c r="B37236" s="1" t="str">
        <f>HYPERLINK("http://seat.cl","seat.cl")</f>
        <v>seat.cl</v>
      </c>
      <c r="C37236" t="s">
        <v>430</v>
      </c>
      <c r="D37236" t="s">
        <v>811</v>
      </c>
      <c r="F37236">
        <v>9.3771091863781802E-9</v>
      </c>
      <c r="G37236">
        <v>7474350</v>
      </c>
      <c r="H37236">
        <v>11132806</v>
      </c>
      <c r="I37236">
        <v>31917866</v>
      </c>
      <c r="J37236">
        <v>4</v>
      </c>
    </row>
    <row r="37237" spans="1:10" x14ac:dyDescent="0.25">
      <c r="A37237" t="s">
        <v>398</v>
      </c>
      <c r="B37237" s="1" t="str">
        <f>HYPERLINK("http://porsche.click","porsche.click")</f>
        <v>porsche.click</v>
      </c>
      <c r="C37237" t="s">
        <v>779</v>
      </c>
      <c r="F37237">
        <v>3.1738893525734702E-8</v>
      </c>
      <c r="G37237">
        <v>1626778</v>
      </c>
      <c r="H37237">
        <v>13572118</v>
      </c>
      <c r="I37237">
        <v>9715898</v>
      </c>
      <c r="J37237">
        <v>4</v>
      </c>
    </row>
    <row r="37238" spans="1:10" x14ac:dyDescent="0.25">
      <c r="A37238" t="s">
        <v>398</v>
      </c>
      <c r="B37238" s="1" t="str">
        <f>HYPERLINK("http://porscheinformatik.cloud","porscheinformatik.cloud")</f>
        <v>porscheinformatik.cloud</v>
      </c>
      <c r="C37238" t="s">
        <v>516</v>
      </c>
      <c r="F37238">
        <v>3.70351614901576E-8</v>
      </c>
      <c r="G37238">
        <v>1400206</v>
      </c>
      <c r="H37238">
        <v>11156673</v>
      </c>
      <c r="I37238">
        <v>31658636</v>
      </c>
      <c r="J37238">
        <v>7</v>
      </c>
    </row>
    <row r="37239" spans="1:10" x14ac:dyDescent="0.25">
      <c r="A37239" t="s">
        <v>398</v>
      </c>
      <c r="B37239" s="1" t="str">
        <f>HYPERLINK("http://audi.cm","audi.cm")</f>
        <v>audi.cm</v>
      </c>
      <c r="C37239" t="s">
        <v>541</v>
      </c>
      <c r="D37239" t="s">
        <v>900</v>
      </c>
      <c r="F37239">
        <v>5.2910655997619799E-9</v>
      </c>
      <c r="G37239">
        <v>23626725</v>
      </c>
      <c r="H37239">
        <v>10594763</v>
      </c>
      <c r="I37239">
        <v>45259698</v>
      </c>
      <c r="J37239">
        <v>4</v>
      </c>
    </row>
    <row r="37240" spans="1:10" x14ac:dyDescent="0.25">
      <c r="A37240" t="s">
        <v>398</v>
      </c>
      <c r="B37240" s="1" t="str">
        <f>HYPERLINK("http://audi.co.cm","audi.co.cm")</f>
        <v>audi.co.cm</v>
      </c>
      <c r="C37240" t="s">
        <v>541</v>
      </c>
      <c r="D37240" t="s">
        <v>900</v>
      </c>
      <c r="F37240">
        <v>7.18725414797722E-9</v>
      </c>
      <c r="G37240">
        <v>11777522</v>
      </c>
      <c r="H37240">
        <v>12415956</v>
      </c>
      <c r="I37240">
        <v>18528074</v>
      </c>
      <c r="J37240">
        <v>4</v>
      </c>
    </row>
    <row r="37241" spans="1:10" x14ac:dyDescent="0.25">
      <c r="A37241" t="s">
        <v>398</v>
      </c>
      <c r="B37241" s="1" t="str">
        <f>HYPERLINK("http://audi.com.cm","audi.com.cm")</f>
        <v>audi.com.cm</v>
      </c>
      <c r="C37241" t="s">
        <v>541</v>
      </c>
      <c r="D37241" t="s">
        <v>900</v>
      </c>
      <c r="F37241">
        <v>7.8538544192310893E-9</v>
      </c>
      <c r="G37241">
        <v>10205172</v>
      </c>
      <c r="H37241">
        <v>12415961</v>
      </c>
      <c r="I37241">
        <v>18527996</v>
      </c>
      <c r="J37241">
        <v>4</v>
      </c>
    </row>
    <row r="37242" spans="1:10" x14ac:dyDescent="0.25">
      <c r="A37242" t="s">
        <v>398</v>
      </c>
      <c r="B37242" s="1" t="str">
        <f>HYPERLINK("http://audi.cn","audi.cn")</f>
        <v>audi.cn</v>
      </c>
      <c r="C37242" t="s">
        <v>431</v>
      </c>
      <c r="D37242" t="s">
        <v>812</v>
      </c>
      <c r="E37242">
        <v>73610</v>
      </c>
      <c r="F37242">
        <v>3.76700370721661E-7</v>
      </c>
      <c r="G37242">
        <v>99381</v>
      </c>
      <c r="H37242">
        <v>14529346</v>
      </c>
      <c r="I37242">
        <v>788662</v>
      </c>
      <c r="J37242">
        <v>4</v>
      </c>
    </row>
    <row r="37243" spans="1:10" x14ac:dyDescent="0.25">
      <c r="A37243" t="s">
        <v>398</v>
      </c>
      <c r="B37243" s="1" t="str">
        <f>HYPERLINK("http://nanling.com.cn","nanling.com.cn")</f>
        <v>nanling.com.cn</v>
      </c>
      <c r="C37243" t="s">
        <v>431</v>
      </c>
      <c r="D37243" t="s">
        <v>812</v>
      </c>
      <c r="F37243">
        <v>4.7067754745324804E-9</v>
      </c>
      <c r="G37243">
        <v>40896924</v>
      </c>
      <c r="H37243">
        <v>10737170</v>
      </c>
      <c r="I37243">
        <v>40573299</v>
      </c>
      <c r="J37243">
        <v>4</v>
      </c>
    </row>
    <row r="37244" spans="1:10" x14ac:dyDescent="0.25">
      <c r="A37244" t="s">
        <v>398</v>
      </c>
      <c r="B37244" s="1" t="str">
        <f>HYPERLINK("http://paig.com.cn","paig.com.cn")</f>
        <v>paig.com.cn</v>
      </c>
      <c r="C37244" t="s">
        <v>431</v>
      </c>
      <c r="D37244" t="s">
        <v>812</v>
      </c>
      <c r="F37244">
        <v>5.6110834291703496E-9</v>
      </c>
      <c r="G37244">
        <v>19752136</v>
      </c>
      <c r="H37244">
        <v>10789431</v>
      </c>
      <c r="I37244">
        <v>38520317</v>
      </c>
      <c r="J37244">
        <v>3</v>
      </c>
    </row>
    <row r="37245" spans="1:10" x14ac:dyDescent="0.25">
      <c r="A37245" t="s">
        <v>398</v>
      </c>
      <c r="B37245" s="1" t="str">
        <f>HYPERLINK("http://scania.com.cn","scania.com.cn")</f>
        <v>scania.com.cn</v>
      </c>
      <c r="C37245" t="s">
        <v>431</v>
      </c>
      <c r="D37245" t="s">
        <v>812</v>
      </c>
      <c r="F37245">
        <v>1.16234253899221E-8</v>
      </c>
      <c r="G37245">
        <v>5417324</v>
      </c>
      <c r="H37245">
        <v>14075108</v>
      </c>
      <c r="I37245">
        <v>2918210</v>
      </c>
      <c r="J37245">
        <v>4</v>
      </c>
    </row>
    <row r="37246" spans="1:10" x14ac:dyDescent="0.25">
      <c r="A37246" t="s">
        <v>398</v>
      </c>
      <c r="B37246" s="1" t="str">
        <f>HYPERLINK("http://vw.com.cn","vw.com.cn")</f>
        <v>vw.com.cn</v>
      </c>
      <c r="C37246" t="s">
        <v>431</v>
      </c>
      <c r="D37246" t="s">
        <v>812</v>
      </c>
      <c r="E37246">
        <v>130256</v>
      </c>
      <c r="F37246">
        <v>8.9480690331071396E-8</v>
      </c>
      <c r="G37246">
        <v>456417</v>
      </c>
      <c r="H37246">
        <v>14318726</v>
      </c>
      <c r="I37246">
        <v>1333139</v>
      </c>
      <c r="J37246">
        <v>3</v>
      </c>
    </row>
    <row r="37247" spans="1:10" x14ac:dyDescent="0.25">
      <c r="A37247" t="s">
        <v>398</v>
      </c>
      <c r="B37247" s="1" t="str">
        <f>HYPERLINK("http://ducatichina.cn","ducatichina.cn")</f>
        <v>ducatichina.cn</v>
      </c>
      <c r="C37247" t="s">
        <v>431</v>
      </c>
      <c r="D37247" t="s">
        <v>812</v>
      </c>
      <c r="F37247">
        <v>4.5838678894603999E-8</v>
      </c>
      <c r="G37247">
        <v>1024928</v>
      </c>
      <c r="H37247">
        <v>13604353</v>
      </c>
      <c r="I37247">
        <v>9644907</v>
      </c>
      <c r="J37247">
        <v>3</v>
      </c>
    </row>
    <row r="37248" spans="1:10" x14ac:dyDescent="0.25">
      <c r="A37248" t="s">
        <v>398</v>
      </c>
      <c r="B37248" s="1" t="str">
        <f>HYPERLINK("http://italdesign.cn","italdesign.cn")</f>
        <v>italdesign.cn</v>
      </c>
      <c r="C37248" t="s">
        <v>431</v>
      </c>
      <c r="D37248" t="s">
        <v>812</v>
      </c>
      <c r="F37248">
        <v>9.0101676324322792E-9</v>
      </c>
      <c r="G37248">
        <v>7976599</v>
      </c>
      <c r="H37248">
        <v>10999651</v>
      </c>
      <c r="I37248">
        <v>33591613</v>
      </c>
      <c r="J37248">
        <v>4</v>
      </c>
    </row>
    <row r="37249" spans="1:10" x14ac:dyDescent="0.25">
      <c r="A37249" t="s">
        <v>398</v>
      </c>
      <c r="B37249" s="1" t="str">
        <f>HYPERLINK("http://porsche.cn","porsche.cn")</f>
        <v>porsche.cn</v>
      </c>
      <c r="C37249" t="s">
        <v>431</v>
      </c>
      <c r="D37249" t="s">
        <v>812</v>
      </c>
      <c r="E37249">
        <v>162358</v>
      </c>
      <c r="F37249">
        <v>4.1347189194541899E-8</v>
      </c>
      <c r="G37249">
        <v>1213943</v>
      </c>
      <c r="H37249">
        <v>14442672</v>
      </c>
      <c r="I37249">
        <v>1060479</v>
      </c>
      <c r="J37249">
        <v>4</v>
      </c>
    </row>
    <row r="37250" spans="1:10" x14ac:dyDescent="0.25">
      <c r="A37250" t="s">
        <v>398</v>
      </c>
      <c r="B37250" s="1" t="str">
        <f>HYPERLINK("http://vwg-connect.cn","vwg-connect.cn")</f>
        <v>vwg-connect.cn</v>
      </c>
      <c r="C37250" t="s">
        <v>431</v>
      </c>
      <c r="D37250" t="s">
        <v>812</v>
      </c>
      <c r="E37250">
        <v>144305</v>
      </c>
      <c r="F37250">
        <v>4.4448292702268701E-9</v>
      </c>
      <c r="G37250">
        <v>76018148</v>
      </c>
      <c r="H37250">
        <v>10366669</v>
      </c>
      <c r="I37250">
        <v>54971863</v>
      </c>
      <c r="J37250">
        <v>4</v>
      </c>
    </row>
    <row r="37251" spans="1:10" x14ac:dyDescent="0.25">
      <c r="A37251" t="s">
        <v>398</v>
      </c>
      <c r="B37251" s="1" t="str">
        <f>HYPERLINK("http://vwimport.cn","vwimport.cn")</f>
        <v>vwimport.cn</v>
      </c>
      <c r="C37251" t="s">
        <v>431</v>
      </c>
      <c r="D37251" t="s">
        <v>812</v>
      </c>
      <c r="F37251">
        <v>6.2178179966796593E-8</v>
      </c>
      <c r="G37251">
        <v>706924</v>
      </c>
      <c r="H37251">
        <v>14117283</v>
      </c>
      <c r="I37251">
        <v>2660336</v>
      </c>
      <c r="J37251">
        <v>3</v>
      </c>
    </row>
    <row r="37252" spans="1:10" x14ac:dyDescent="0.25">
      <c r="A37252" t="s">
        <v>398</v>
      </c>
      <c r="B37252" s="1" t="str">
        <f>HYPERLINK("http://cupraofficial.co","cupraofficial.co")</f>
        <v>cupraofficial.co</v>
      </c>
      <c r="C37252" t="s">
        <v>432</v>
      </c>
      <c r="F37252">
        <v>9.5200085469877908E-9</v>
      </c>
      <c r="G37252">
        <v>7298714</v>
      </c>
      <c r="H37252">
        <v>10915135</v>
      </c>
      <c r="I37252">
        <v>35512643</v>
      </c>
      <c r="J37252">
        <v>4</v>
      </c>
    </row>
    <row r="37253" spans="1:10" x14ac:dyDescent="0.25">
      <c r="A37253" t="s">
        <v>398</v>
      </c>
      <c r="B37253" s="1" t="str">
        <f>HYPERLINK("http://seat.co","seat.co")</f>
        <v>seat.co</v>
      </c>
      <c r="C37253" t="s">
        <v>432</v>
      </c>
      <c r="F37253">
        <v>1.1473055513505E-8</v>
      </c>
      <c r="G37253">
        <v>5523490</v>
      </c>
      <c r="H37253">
        <v>12156994</v>
      </c>
      <c r="I37253">
        <v>24444535</v>
      </c>
      <c r="J37253">
        <v>4</v>
      </c>
    </row>
    <row r="37254" spans="1:10" x14ac:dyDescent="0.25">
      <c r="A37254" t="s">
        <v>398</v>
      </c>
      <c r="B37254" s="1" t="str">
        <f>HYPERLINK("http://volkswagen.co","volkswagen.co")</f>
        <v>volkswagen.co</v>
      </c>
      <c r="C37254" t="s">
        <v>432</v>
      </c>
      <c r="F37254">
        <v>2.8421005352493699E-8</v>
      </c>
      <c r="G37254">
        <v>1810737</v>
      </c>
      <c r="H37254">
        <v>13766427</v>
      </c>
      <c r="I37254">
        <v>7005843</v>
      </c>
      <c r="J37254">
        <v>3</v>
      </c>
    </row>
    <row r="37255" spans="1:10" x14ac:dyDescent="0.25">
      <c r="A37255" t="s">
        <v>398</v>
      </c>
      <c r="B37255" s="1" t="str">
        <f>HYPERLINK("http://401dixievw.com","401dixievw.com")</f>
        <v>401dixievw.com</v>
      </c>
      <c r="C37255" t="s">
        <v>433</v>
      </c>
      <c r="J37255">
        <v>3</v>
      </c>
    </row>
    <row r="37256" spans="1:10" x14ac:dyDescent="0.25">
      <c r="A37256" t="s">
        <v>398</v>
      </c>
      <c r="B37256" s="1" t="str">
        <f>HYPERLINK("http://adaptis-solutions.com","adaptis-solutions.com")</f>
        <v>adaptis-solutions.com</v>
      </c>
      <c r="C37256" t="s">
        <v>433</v>
      </c>
      <c r="F37256">
        <v>4.6765551706113398E-9</v>
      </c>
      <c r="G37256">
        <v>42565669</v>
      </c>
      <c r="H37256">
        <v>11366147</v>
      </c>
      <c r="I37256">
        <v>30340157</v>
      </c>
      <c r="J37256">
        <v>3</v>
      </c>
    </row>
    <row r="37257" spans="1:10" x14ac:dyDescent="0.25">
      <c r="A37257" t="s">
        <v>398</v>
      </c>
      <c r="B37257" s="1" t="str">
        <f>HYPERLINK("http://adventuresducati.com","adventuresducati.com")</f>
        <v>adventuresducati.com</v>
      </c>
      <c r="C37257" t="s">
        <v>433</v>
      </c>
      <c r="J37257">
        <v>5</v>
      </c>
    </row>
    <row r="37258" spans="1:10" x14ac:dyDescent="0.25">
      <c r="A37258" t="s">
        <v>398</v>
      </c>
      <c r="B37258" s="1" t="str">
        <f>HYPERLINK("http://ah-ehrhardt.com","ah-ehrhardt.com")</f>
        <v>ah-ehrhardt.com</v>
      </c>
      <c r="C37258" t="s">
        <v>433</v>
      </c>
      <c r="F37258">
        <v>5.3132701993065003E-9</v>
      </c>
      <c r="G37258">
        <v>23302700</v>
      </c>
      <c r="H37258">
        <v>12089600</v>
      </c>
      <c r="I37258">
        <v>26262479</v>
      </c>
      <c r="J37258">
        <v>4</v>
      </c>
    </row>
    <row r="37259" spans="1:10" x14ac:dyDescent="0.25">
      <c r="A37259" t="s">
        <v>398</v>
      </c>
      <c r="B37259" s="1" t="str">
        <f>HYPERLINK("http://alexandriavw.com","alexandriavw.com")</f>
        <v>alexandriavw.com</v>
      </c>
      <c r="C37259" t="s">
        <v>433</v>
      </c>
      <c r="F37259">
        <v>1.3719859779587799E-8</v>
      </c>
      <c r="G37259">
        <v>4313246</v>
      </c>
      <c r="H37259">
        <v>12992817</v>
      </c>
      <c r="I37259">
        <v>12835681</v>
      </c>
      <c r="J37259">
        <v>3</v>
      </c>
    </row>
    <row r="37260" spans="1:10" x14ac:dyDescent="0.25">
      <c r="A37260" t="s">
        <v>398</v>
      </c>
      <c r="B37260" s="1" t="str">
        <f>HYPERLINK("http://alravw.com","alravw.com")</f>
        <v>alravw.com</v>
      </c>
      <c r="C37260" t="s">
        <v>433</v>
      </c>
      <c r="F37260">
        <v>4.7334838457810501E-9</v>
      </c>
      <c r="G37260">
        <v>39172634</v>
      </c>
      <c r="H37260">
        <v>9698193</v>
      </c>
      <c r="I37260">
        <v>63389764</v>
      </c>
      <c r="J37260">
        <v>3</v>
      </c>
    </row>
    <row r="37261" spans="1:10" x14ac:dyDescent="0.25">
      <c r="A37261" t="s">
        <v>398</v>
      </c>
      <c r="B37261" s="1" t="str">
        <f>HYPERLINK("http://arbourvw.com","arbourvw.com")</f>
        <v>arbourvw.com</v>
      </c>
      <c r="C37261" t="s">
        <v>433</v>
      </c>
      <c r="F37261">
        <v>7.6284763301876506E-9</v>
      </c>
      <c r="G37261">
        <v>10732866</v>
      </c>
      <c r="H37261">
        <v>12179143</v>
      </c>
      <c r="I37261">
        <v>23833433</v>
      </c>
      <c r="J37261">
        <v>3</v>
      </c>
    </row>
    <row r="37262" spans="1:10" x14ac:dyDescent="0.25">
      <c r="A37262" t="s">
        <v>398</v>
      </c>
      <c r="B37262" s="1" t="str">
        <f>HYPERLINK("http://archervw.com","archervw.com")</f>
        <v>archervw.com</v>
      </c>
      <c r="C37262" t="s">
        <v>433</v>
      </c>
      <c r="F37262">
        <v>5.7381340240962497E-9</v>
      </c>
      <c r="G37262">
        <v>18595751</v>
      </c>
      <c r="H37262">
        <v>12367722</v>
      </c>
      <c r="I37262">
        <v>19453665</v>
      </c>
      <c r="J37262">
        <v>3</v>
      </c>
    </row>
    <row r="37263" spans="1:10" x14ac:dyDescent="0.25">
      <c r="A37263" t="s">
        <v>398</v>
      </c>
      <c r="B37263" s="1" t="str">
        <f>HYPERLINK("http://armstrongvw.com","armstrongvw.com")</f>
        <v>armstrongvw.com</v>
      </c>
      <c r="C37263" t="s">
        <v>433</v>
      </c>
      <c r="F37263">
        <v>5.6803488380105197E-9</v>
      </c>
      <c r="G37263">
        <v>19126780</v>
      </c>
      <c r="H37263">
        <v>12569134</v>
      </c>
      <c r="I37263">
        <v>16632314</v>
      </c>
      <c r="J37263">
        <v>3</v>
      </c>
    </row>
    <row r="37264" spans="1:10" x14ac:dyDescent="0.25">
      <c r="A37264" t="s">
        <v>398</v>
      </c>
      <c r="B37264" s="1" t="str">
        <f>HYPERLINK("http://arrojoaudi.com","arrojoaudi.com")</f>
        <v>arrojoaudi.com</v>
      </c>
      <c r="C37264" t="s">
        <v>433</v>
      </c>
      <c r="F37264">
        <v>8.5504307295047007E-9</v>
      </c>
      <c r="G37264">
        <v>8748918</v>
      </c>
      <c r="H37264">
        <v>12472070</v>
      </c>
      <c r="I37264">
        <v>17678290</v>
      </c>
      <c r="J37264">
        <v>4</v>
      </c>
    </row>
    <row r="37265" spans="1:10" x14ac:dyDescent="0.25">
      <c r="A37265" t="s">
        <v>398</v>
      </c>
      <c r="B37265" s="1" t="str">
        <f>HYPERLINK("http://audi.com","audi.com")</f>
        <v>audi.com</v>
      </c>
      <c r="C37265" t="s">
        <v>433</v>
      </c>
      <c r="E37265">
        <v>11585</v>
      </c>
      <c r="F37265">
        <v>3.26232618016932E-6</v>
      </c>
      <c r="G37265">
        <v>12268</v>
      </c>
      <c r="H37265">
        <v>17825342</v>
      </c>
      <c r="I37265">
        <v>5271</v>
      </c>
      <c r="J37265">
        <v>3</v>
      </c>
    </row>
    <row r="37266" spans="1:10" x14ac:dyDescent="0.25">
      <c r="A37266" t="s">
        <v>398</v>
      </c>
      <c r="B37266" s="1" t="str">
        <f>HYPERLINK("http://audi-mediacenter.com","audi-mediacenter.com")</f>
        <v>audi-mediacenter.com</v>
      </c>
      <c r="C37266" t="s">
        <v>433</v>
      </c>
      <c r="E37266">
        <v>58613</v>
      </c>
      <c r="F37266">
        <v>8.6814385894662005E-7</v>
      </c>
      <c r="G37266">
        <v>46096</v>
      </c>
      <c r="H37266">
        <v>15399390</v>
      </c>
      <c r="I37266">
        <v>380263</v>
      </c>
      <c r="J37266">
        <v>3</v>
      </c>
    </row>
    <row r="37267" spans="1:10" x14ac:dyDescent="0.25">
      <c r="A37267" t="s">
        <v>398</v>
      </c>
      <c r="B37267" s="1" t="str">
        <f>HYPERLINK("http://audi-mediaservices.com","audi-mediaservices.com")</f>
        <v>audi-mediaservices.com</v>
      </c>
      <c r="C37267" t="s">
        <v>433</v>
      </c>
      <c r="E37267">
        <v>673811</v>
      </c>
      <c r="F37267">
        <v>7.3595271974488597E-8</v>
      </c>
      <c r="G37267">
        <v>572526</v>
      </c>
      <c r="H37267">
        <v>14874222</v>
      </c>
      <c r="I37267">
        <v>476229</v>
      </c>
      <c r="J37267">
        <v>3</v>
      </c>
    </row>
    <row r="37268" spans="1:10" x14ac:dyDescent="0.25">
      <c r="A37268" t="s">
        <v>398</v>
      </c>
      <c r="B37268" s="1" t="str">
        <f>HYPERLINK("http://audi-montigny.com","audi-montigny.com")</f>
        <v>audi-montigny.com</v>
      </c>
      <c r="C37268" t="s">
        <v>433</v>
      </c>
      <c r="J37268">
        <v>4</v>
      </c>
    </row>
    <row r="37269" spans="1:10" x14ac:dyDescent="0.25">
      <c r="A37269" t="s">
        <v>398</v>
      </c>
      <c r="B37269" s="1" t="str">
        <f>HYPERLINK("http://audi-shawneemission.com","audi-shawneemission.com")</f>
        <v>audi-shawneemission.com</v>
      </c>
      <c r="C37269" t="s">
        <v>433</v>
      </c>
      <c r="F37269">
        <v>9.3296296090487496E-9</v>
      </c>
      <c r="G37269">
        <v>7534779</v>
      </c>
      <c r="H37269">
        <v>12397984</v>
      </c>
      <c r="I37269">
        <v>18883789</v>
      </c>
      <c r="J37269">
        <v>4</v>
      </c>
    </row>
    <row r="37270" spans="1:10" x14ac:dyDescent="0.25">
      <c r="A37270" t="s">
        <v>398</v>
      </c>
      <c r="B37270" s="1" t="str">
        <f>HYPERLINK("http://audi3rivieres.com","audi3rivieres.com")</f>
        <v>audi3rivieres.com</v>
      </c>
      <c r="C37270" t="s">
        <v>433</v>
      </c>
      <c r="F37270">
        <v>4.44380395335525E-9</v>
      </c>
      <c r="G37270">
        <v>80745692</v>
      </c>
      <c r="H37270">
        <v>0</v>
      </c>
      <c r="I37270">
        <v>80972152</v>
      </c>
      <c r="J37270">
        <v>4</v>
      </c>
    </row>
    <row r="37271" spans="1:10" x14ac:dyDescent="0.25">
      <c r="A37271" t="s">
        <v>398</v>
      </c>
      <c r="B37271" s="1" t="str">
        <f>HYPERLINK("http://audianjou.com","audianjou.com")</f>
        <v>audianjou.com</v>
      </c>
      <c r="C37271" t="s">
        <v>433</v>
      </c>
      <c r="F37271">
        <v>6.2869709758766797E-9</v>
      </c>
      <c r="G37271">
        <v>15094626</v>
      </c>
      <c r="H37271">
        <v>10979599</v>
      </c>
      <c r="I37271">
        <v>33942816</v>
      </c>
      <c r="J37271">
        <v>4</v>
      </c>
    </row>
    <row r="37272" spans="1:10" x14ac:dyDescent="0.25">
      <c r="A37272" t="s">
        <v>398</v>
      </c>
      <c r="B37272" s="1" t="str">
        <f>HYPERLINK("http://audiannapolis.com","audiannapolis.com")</f>
        <v>audiannapolis.com</v>
      </c>
      <c r="C37272" t="s">
        <v>433</v>
      </c>
      <c r="F37272">
        <v>1.31426552691293E-8</v>
      </c>
      <c r="G37272">
        <v>4564419</v>
      </c>
      <c r="H37272">
        <v>12340062</v>
      </c>
      <c r="I37272">
        <v>20000784</v>
      </c>
      <c r="J37272">
        <v>4</v>
      </c>
    </row>
    <row r="37273" spans="1:10" x14ac:dyDescent="0.25">
      <c r="A37273" t="s">
        <v>398</v>
      </c>
      <c r="B37273" s="1" t="str">
        <f>HYPERLINK("http://audibend.com","audibend.com")</f>
        <v>audibend.com</v>
      </c>
      <c r="C37273" t="s">
        <v>433</v>
      </c>
      <c r="F37273">
        <v>1.1938296328688501E-8</v>
      </c>
      <c r="G37273">
        <v>5214095</v>
      </c>
      <c r="H37273">
        <v>12604295</v>
      </c>
      <c r="I37273">
        <v>16283418</v>
      </c>
      <c r="J37273">
        <v>4</v>
      </c>
    </row>
    <row r="37274" spans="1:10" x14ac:dyDescent="0.25">
      <c r="A37274" t="s">
        <v>398</v>
      </c>
      <c r="B37274" s="1" t="str">
        <f>HYPERLINK("http://audibirminghammi.com","audibirminghammi.com")</f>
        <v>audibirminghammi.com</v>
      </c>
      <c r="C37274" t="s">
        <v>433</v>
      </c>
      <c r="F37274">
        <v>1.18770607905977E-8</v>
      </c>
      <c r="G37274">
        <v>5253138</v>
      </c>
      <c r="H37274">
        <v>12611579</v>
      </c>
      <c r="I37274">
        <v>16227970</v>
      </c>
      <c r="J37274">
        <v>7</v>
      </c>
    </row>
    <row r="37275" spans="1:10" x14ac:dyDescent="0.25">
      <c r="A37275" t="s">
        <v>398</v>
      </c>
      <c r="B37275" s="1" t="str">
        <f>HYPERLINK("http://audiblainville.com","audiblainville.com")</f>
        <v>audiblainville.com</v>
      </c>
      <c r="C37275" t="s">
        <v>433</v>
      </c>
      <c r="F37275">
        <v>6.7980857844042904E-9</v>
      </c>
      <c r="G37275">
        <v>12967427</v>
      </c>
      <c r="H37275">
        <v>10730452</v>
      </c>
      <c r="I37275">
        <v>40914719</v>
      </c>
      <c r="J37275">
        <v>4</v>
      </c>
    </row>
    <row r="37276" spans="1:10" x14ac:dyDescent="0.25">
      <c r="A37276" t="s">
        <v>398</v>
      </c>
      <c r="B37276" s="1" t="str">
        <f>HYPERLINK("http://audiboulder.com","audiboulder.com")</f>
        <v>audiboulder.com</v>
      </c>
      <c r="C37276" t="s">
        <v>433</v>
      </c>
      <c r="F37276">
        <v>6.1597912728255302E-9</v>
      </c>
      <c r="G37276">
        <v>15749236</v>
      </c>
      <c r="H37276">
        <v>12184805</v>
      </c>
      <c r="I37276">
        <v>23701087</v>
      </c>
      <c r="J37276">
        <v>4</v>
      </c>
    </row>
    <row r="37277" spans="1:10" x14ac:dyDescent="0.25">
      <c r="A37277" t="s">
        <v>398</v>
      </c>
      <c r="B37277" s="1" t="str">
        <f>HYPERLINK("http://audiboulderservice.com","audiboulderservice.com")</f>
        <v>audiboulderservice.com</v>
      </c>
      <c r="C37277" t="s">
        <v>433</v>
      </c>
      <c r="F37277">
        <v>1.0707738648424601E-8</v>
      </c>
      <c r="G37277">
        <v>6093488</v>
      </c>
      <c r="H37277">
        <v>12645804</v>
      </c>
      <c r="I37277">
        <v>15828441</v>
      </c>
      <c r="J37277">
        <v>7</v>
      </c>
    </row>
    <row r="37278" spans="1:10" x14ac:dyDescent="0.25">
      <c r="A37278" t="s">
        <v>398</v>
      </c>
      <c r="B37278" s="1" t="str">
        <f>HYPERLINK("http://audibrooklyn.com","audibrooklyn.com")</f>
        <v>audibrooklyn.com</v>
      </c>
      <c r="C37278" t="s">
        <v>433</v>
      </c>
      <c r="F37278">
        <v>1.20000486355368E-8</v>
      </c>
      <c r="G37278">
        <v>5175357</v>
      </c>
      <c r="H37278">
        <v>13040733</v>
      </c>
      <c r="I37278">
        <v>12622712</v>
      </c>
      <c r="J37278">
        <v>4</v>
      </c>
    </row>
    <row r="37279" spans="1:10" x14ac:dyDescent="0.25">
      <c r="A37279" t="s">
        <v>398</v>
      </c>
      <c r="B37279" s="1" t="str">
        <f>HYPERLINK("http://audibrussels.com","audibrussels.com")</f>
        <v>audibrussels.com</v>
      </c>
      <c r="C37279" t="s">
        <v>433</v>
      </c>
      <c r="F37279">
        <v>1.3411203400989001E-8</v>
      </c>
      <c r="G37279">
        <v>4442990</v>
      </c>
      <c r="H37279">
        <v>14073239</v>
      </c>
      <c r="I37279">
        <v>3007438</v>
      </c>
      <c r="J37279">
        <v>3</v>
      </c>
    </row>
    <row r="37280" spans="1:10" x14ac:dyDescent="0.25">
      <c r="A37280" t="s">
        <v>398</v>
      </c>
      <c r="B37280" s="1" t="str">
        <f>HYPERLINK("http://audibuffalo.com","audibuffalo.com")</f>
        <v>audibuffalo.com</v>
      </c>
      <c r="C37280" t="s">
        <v>433</v>
      </c>
      <c r="F37280">
        <v>8.9668753001566102E-9</v>
      </c>
      <c r="G37280">
        <v>8041244</v>
      </c>
      <c r="H37280">
        <v>12332591</v>
      </c>
      <c r="I37280">
        <v>20157959</v>
      </c>
      <c r="J37280">
        <v>4</v>
      </c>
    </row>
    <row r="37281" spans="1:10" x14ac:dyDescent="0.25">
      <c r="A37281" t="s">
        <v>398</v>
      </c>
      <c r="B37281" s="1" t="str">
        <f>HYPERLINK("http://audicentar.com","audicentar.com")</f>
        <v>audicentar.com</v>
      </c>
      <c r="C37281" t="s">
        <v>433</v>
      </c>
      <c r="F37281">
        <v>6.2185587554435003E-9</v>
      </c>
      <c r="G37281">
        <v>15437901</v>
      </c>
      <c r="H37281">
        <v>11194313</v>
      </c>
      <c r="I37281">
        <v>31318636</v>
      </c>
      <c r="J37281">
        <v>4</v>
      </c>
    </row>
    <row r="37282" spans="1:10" x14ac:dyDescent="0.25">
      <c r="A37282" t="s">
        <v>398</v>
      </c>
      <c r="B37282" s="1" t="str">
        <f>HYPERLINK("http://audicentreoakville.com","audicentreoakville.com")</f>
        <v>audicentreoakville.com</v>
      </c>
      <c r="C37282" t="s">
        <v>433</v>
      </c>
      <c r="J37282">
        <v>4</v>
      </c>
    </row>
    <row r="37283" spans="1:10" x14ac:dyDescent="0.25">
      <c r="A37283" t="s">
        <v>398</v>
      </c>
      <c r="B37283" s="1" t="str">
        <f>HYPERLINK("http://audidenver.com","audidenver.com")</f>
        <v>audidenver.com</v>
      </c>
      <c r="C37283" t="s">
        <v>433</v>
      </c>
      <c r="F37283">
        <v>1.48851447735214E-8</v>
      </c>
      <c r="G37283">
        <v>3877623</v>
      </c>
      <c r="H37283">
        <v>13582583</v>
      </c>
      <c r="I37283">
        <v>9683530</v>
      </c>
      <c r="J37283">
        <v>4</v>
      </c>
    </row>
    <row r="37284" spans="1:10" x14ac:dyDescent="0.25">
      <c r="A37284" t="s">
        <v>398</v>
      </c>
      <c r="B37284" s="1" t="str">
        <f>HYPERLINK("http://audidtla.com","audidtla.com")</f>
        <v>audidtla.com</v>
      </c>
      <c r="C37284" t="s">
        <v>433</v>
      </c>
      <c r="F37284">
        <v>9.0504747619225098E-9</v>
      </c>
      <c r="G37284">
        <v>7917169</v>
      </c>
      <c r="H37284">
        <v>12795399</v>
      </c>
      <c r="I37284">
        <v>14659252</v>
      </c>
      <c r="J37284">
        <v>4</v>
      </c>
    </row>
    <row r="37285" spans="1:10" x14ac:dyDescent="0.25">
      <c r="A37285" t="s">
        <v>398</v>
      </c>
      <c r="B37285" s="1" t="str">
        <f>HYPERLINK("http://audiescondido.com","audiescondido.com")</f>
        <v>audiescondido.com</v>
      </c>
      <c r="C37285" t="s">
        <v>433</v>
      </c>
      <c r="F37285">
        <v>5.79646798459813E-9</v>
      </c>
      <c r="G37285">
        <v>18113211</v>
      </c>
      <c r="H37285">
        <v>12415151</v>
      </c>
      <c r="I37285">
        <v>18537904</v>
      </c>
      <c r="J37285">
        <v>4</v>
      </c>
    </row>
    <row r="37286" spans="1:10" x14ac:dyDescent="0.25">
      <c r="A37286" t="s">
        <v>398</v>
      </c>
      <c r="B37286" s="1" t="str">
        <f>HYPERLINK("http://audiexchangestcharles.com","audiexchangestcharles.com")</f>
        <v>audiexchangestcharles.com</v>
      </c>
      <c r="C37286" t="s">
        <v>433</v>
      </c>
      <c r="F37286">
        <v>1.22242468580276E-8</v>
      </c>
      <c r="G37286">
        <v>5036748</v>
      </c>
      <c r="H37286">
        <v>12416587</v>
      </c>
      <c r="I37286">
        <v>18513858</v>
      </c>
      <c r="J37286">
        <v>4</v>
      </c>
    </row>
    <row r="37287" spans="1:10" x14ac:dyDescent="0.25">
      <c r="A37287" t="s">
        <v>398</v>
      </c>
      <c r="B37287" s="1" t="str">
        <f>HYPERLINK("http://audifortworth.com","audifortworth.com")</f>
        <v>audifortworth.com</v>
      </c>
      <c r="C37287" t="s">
        <v>433</v>
      </c>
      <c r="F37287">
        <v>1.31122771421161E-8</v>
      </c>
      <c r="G37287">
        <v>4578394</v>
      </c>
      <c r="H37287">
        <v>12898120</v>
      </c>
      <c r="I37287">
        <v>13888837</v>
      </c>
      <c r="J37287">
        <v>5</v>
      </c>
    </row>
    <row r="37288" spans="1:10" x14ac:dyDescent="0.25">
      <c r="A37288" t="s">
        <v>398</v>
      </c>
      <c r="B37288" s="1" t="str">
        <f>HYPERLINK("http://audihenderson.com","audihenderson.com")</f>
        <v>audihenderson.com</v>
      </c>
      <c r="C37288" t="s">
        <v>433</v>
      </c>
      <c r="F37288">
        <v>9.1708986159621694E-9</v>
      </c>
      <c r="G37288">
        <v>7749144</v>
      </c>
      <c r="H37288">
        <v>12525887</v>
      </c>
      <c r="I37288">
        <v>17088159</v>
      </c>
      <c r="J37288">
        <v>4</v>
      </c>
    </row>
    <row r="37289" spans="1:10" x14ac:dyDescent="0.25">
      <c r="A37289" t="s">
        <v>398</v>
      </c>
      <c r="B37289" s="1" t="str">
        <f>HYPERLINK("http://audihuntsville.com","audihuntsville.com")</f>
        <v>audihuntsville.com</v>
      </c>
      <c r="C37289" t="s">
        <v>433</v>
      </c>
      <c r="F37289">
        <v>9.6765929189429394E-9</v>
      </c>
      <c r="G37289">
        <v>7108404</v>
      </c>
      <c r="H37289">
        <v>12523559</v>
      </c>
      <c r="I37289">
        <v>17115744</v>
      </c>
      <c r="J37289">
        <v>4</v>
      </c>
    </row>
    <row r="37290" spans="1:10" x14ac:dyDescent="0.25">
      <c r="A37290" t="s">
        <v>398</v>
      </c>
      <c r="B37290" s="1" t="str">
        <f>HYPERLINK("http://audihuntvalley.com","audihuntvalley.com")</f>
        <v>audihuntvalley.com</v>
      </c>
      <c r="C37290" t="s">
        <v>433</v>
      </c>
      <c r="F37290">
        <v>1.0728265905253899E-8</v>
      </c>
      <c r="G37290">
        <v>6077157</v>
      </c>
      <c r="H37290">
        <v>12619465</v>
      </c>
      <c r="I37290">
        <v>16096363</v>
      </c>
      <c r="J37290">
        <v>4</v>
      </c>
    </row>
    <row r="37291" spans="1:10" x14ac:dyDescent="0.25">
      <c r="A37291" t="s">
        <v>398</v>
      </c>
      <c r="B37291" s="1" t="str">
        <f>HYPERLINK("http://audilafayettein.com","audilafayettein.com")</f>
        <v>audilafayettein.com</v>
      </c>
      <c r="C37291" t="s">
        <v>433</v>
      </c>
      <c r="F37291">
        <v>7.5260092228115902E-9</v>
      </c>
      <c r="G37291">
        <v>10956314</v>
      </c>
      <c r="H37291">
        <v>11450485</v>
      </c>
      <c r="I37291">
        <v>30117246</v>
      </c>
      <c r="J37291">
        <v>4</v>
      </c>
    </row>
    <row r="37292" spans="1:10" x14ac:dyDescent="0.25">
      <c r="A37292" t="s">
        <v>398</v>
      </c>
      <c r="B37292" s="1" t="str">
        <f>HYPERLINK("http://audilangley.com","audilangley.com")</f>
        <v>audilangley.com</v>
      </c>
      <c r="C37292" t="s">
        <v>433</v>
      </c>
      <c r="F37292">
        <v>6.2484049705744898E-9</v>
      </c>
      <c r="G37292">
        <v>15283068</v>
      </c>
      <c r="H37292">
        <v>10730680</v>
      </c>
      <c r="I37292">
        <v>40901728</v>
      </c>
      <c r="J37292">
        <v>4</v>
      </c>
    </row>
    <row r="37293" spans="1:10" x14ac:dyDescent="0.25">
      <c r="A37293" t="s">
        <v>398</v>
      </c>
      <c r="B37293" s="1" t="str">
        <f>HYPERLINK("http://audilasvegas.com","audilasvegas.com")</f>
        <v>audilasvegas.com</v>
      </c>
      <c r="C37293" t="s">
        <v>433</v>
      </c>
      <c r="F37293">
        <v>1.24396988201973E-8</v>
      </c>
      <c r="G37293">
        <v>4917807</v>
      </c>
      <c r="H37293">
        <v>12638051</v>
      </c>
      <c r="I37293">
        <v>15890534</v>
      </c>
      <c r="J37293">
        <v>4</v>
      </c>
    </row>
    <row r="37294" spans="1:10" x14ac:dyDescent="0.25">
      <c r="A37294" t="s">
        <v>398</v>
      </c>
      <c r="B37294" s="1" t="str">
        <f>HYPERLINK("http://audilauzon.com","audilauzon.com")</f>
        <v>audilauzon.com</v>
      </c>
      <c r="C37294" t="s">
        <v>433</v>
      </c>
      <c r="F37294">
        <v>4.4475436123024302E-9</v>
      </c>
      <c r="G37294">
        <v>73445085</v>
      </c>
      <c r="H37294">
        <v>10530657</v>
      </c>
      <c r="I37294">
        <v>48231914</v>
      </c>
      <c r="J37294">
        <v>4</v>
      </c>
    </row>
    <row r="37295" spans="1:10" x14ac:dyDescent="0.25">
      <c r="A37295" t="s">
        <v>398</v>
      </c>
      <c r="B37295" s="1" t="str">
        <f>HYPERLINK("http://audilouisville.com","audilouisville.com")</f>
        <v>audilouisville.com</v>
      </c>
      <c r="C37295" t="s">
        <v>433</v>
      </c>
      <c r="F37295">
        <v>9.3596424052976097E-9</v>
      </c>
      <c r="G37295">
        <v>7495802</v>
      </c>
      <c r="H37295">
        <v>13562219</v>
      </c>
      <c r="I37295">
        <v>9845177</v>
      </c>
      <c r="J37295">
        <v>4</v>
      </c>
    </row>
    <row r="37296" spans="1:10" x14ac:dyDescent="0.25">
      <c r="A37296" t="s">
        <v>398</v>
      </c>
      <c r="B37296" s="1" t="str">
        <f>HYPERLINK("http://audimississauga.com","audimississauga.com")</f>
        <v>audimississauga.com</v>
      </c>
      <c r="C37296" t="s">
        <v>433</v>
      </c>
      <c r="F37296">
        <v>9.1689258677965092E-9</v>
      </c>
      <c r="G37296">
        <v>7751823</v>
      </c>
      <c r="H37296">
        <v>12211064</v>
      </c>
      <c r="I37296">
        <v>22999669</v>
      </c>
      <c r="J37296">
        <v>4</v>
      </c>
    </row>
    <row r="37297" spans="1:10" x14ac:dyDescent="0.25">
      <c r="A37297" t="s">
        <v>398</v>
      </c>
      <c r="B37297" s="1" t="str">
        <f>HYPERLINK("http://audimoncton.com","audimoncton.com")</f>
        <v>audimoncton.com</v>
      </c>
      <c r="C37297" t="s">
        <v>433</v>
      </c>
      <c r="F37297">
        <v>6.9344652061884703E-9</v>
      </c>
      <c r="G37297">
        <v>12512196</v>
      </c>
      <c r="H37297">
        <v>10739287</v>
      </c>
      <c r="I37297">
        <v>40462758</v>
      </c>
      <c r="J37297">
        <v>4</v>
      </c>
    </row>
    <row r="37298" spans="1:10" x14ac:dyDescent="0.25">
      <c r="A37298" t="s">
        <v>398</v>
      </c>
      <c r="B37298" s="1" t="str">
        <f>HYPERLINK("http://audinorthatlanta.com","audinorthatlanta.com")</f>
        <v>audinorthatlanta.com</v>
      </c>
      <c r="C37298" t="s">
        <v>433</v>
      </c>
      <c r="F37298">
        <v>1.53291241973844E-8</v>
      </c>
      <c r="G37298">
        <v>3736991</v>
      </c>
      <c r="H37298">
        <v>12798874</v>
      </c>
      <c r="I37298">
        <v>14643332</v>
      </c>
      <c r="J37298">
        <v>4</v>
      </c>
    </row>
    <row r="37299" spans="1:10" x14ac:dyDescent="0.25">
      <c r="A37299" t="s">
        <v>398</v>
      </c>
      <c r="B37299" s="1" t="str">
        <f>HYPERLINK("http://audinorthshore.com","audinorthshore.com")</f>
        <v>audinorthshore.com</v>
      </c>
      <c r="C37299" t="s">
        <v>433</v>
      </c>
      <c r="F37299">
        <v>9.0681457123063901E-9</v>
      </c>
      <c r="G37299">
        <v>7892246</v>
      </c>
      <c r="H37299">
        <v>12273609</v>
      </c>
      <c r="I37299">
        <v>21447065</v>
      </c>
      <c r="J37299">
        <v>4</v>
      </c>
    </row>
    <row r="37300" spans="1:10" x14ac:dyDescent="0.25">
      <c r="A37300" t="s">
        <v>398</v>
      </c>
      <c r="B37300" s="1" t="str">
        <f>HYPERLINK("http://audiofbirmingham.com","audiofbirmingham.com")</f>
        <v>audiofbirmingham.com</v>
      </c>
      <c r="C37300" t="s">
        <v>433</v>
      </c>
      <c r="F37300">
        <v>9.4649098945234292E-9</v>
      </c>
      <c r="G37300">
        <v>7364965</v>
      </c>
      <c r="H37300">
        <v>12552212</v>
      </c>
      <c r="I37300">
        <v>16807301</v>
      </c>
      <c r="J37300">
        <v>4</v>
      </c>
    </row>
    <row r="37301" spans="1:10" x14ac:dyDescent="0.25">
      <c r="A37301" t="s">
        <v>398</v>
      </c>
      <c r="B37301" s="1" t="str">
        <f>HYPERLINK("http://audiofdesmoines.com","audiofdesmoines.com")</f>
        <v>audiofdesmoines.com</v>
      </c>
      <c r="C37301" t="s">
        <v>433</v>
      </c>
      <c r="F37301">
        <v>1.0018065143194799E-8</v>
      </c>
      <c r="G37301">
        <v>6737894</v>
      </c>
      <c r="H37301">
        <v>12711477</v>
      </c>
      <c r="I37301">
        <v>15293818</v>
      </c>
      <c r="J37301">
        <v>4</v>
      </c>
    </row>
    <row r="37302" spans="1:10" x14ac:dyDescent="0.25">
      <c r="A37302" t="s">
        <v>398</v>
      </c>
      <c r="B37302" s="1" t="str">
        <f>HYPERLINK("http://audipasadena.com","audipasadena.com")</f>
        <v>audipasadena.com</v>
      </c>
      <c r="C37302" t="s">
        <v>433</v>
      </c>
      <c r="F37302">
        <v>7.8519689201657102E-9</v>
      </c>
      <c r="G37302">
        <v>10210394</v>
      </c>
      <c r="H37302">
        <v>12352851</v>
      </c>
      <c r="I37302">
        <v>19720541</v>
      </c>
      <c r="J37302">
        <v>4</v>
      </c>
    </row>
    <row r="37303" spans="1:10" x14ac:dyDescent="0.25">
      <c r="A37303" t="s">
        <v>398</v>
      </c>
      <c r="B37303" s="1" t="str">
        <f>HYPERLINK("http://audiperigueux.com","audiperigueux.com")</f>
        <v>audiperigueux.com</v>
      </c>
      <c r="C37303" t="s">
        <v>433</v>
      </c>
      <c r="F37303">
        <v>5.56162189218669E-9</v>
      </c>
      <c r="G37303">
        <v>20258538</v>
      </c>
      <c r="H37303">
        <v>10806062</v>
      </c>
      <c r="I37303">
        <v>37984418</v>
      </c>
      <c r="J37303">
        <v>4</v>
      </c>
    </row>
    <row r="37304" spans="1:10" x14ac:dyDescent="0.25">
      <c r="A37304" t="s">
        <v>398</v>
      </c>
      <c r="B37304" s="1" t="str">
        <f>HYPERLINK("http://audisaltlakecity.com","audisaltlakecity.com")</f>
        <v>audisaltlakecity.com</v>
      </c>
      <c r="C37304" t="s">
        <v>433</v>
      </c>
      <c r="F37304">
        <v>1.0333673746881701E-8</v>
      </c>
      <c r="G37304">
        <v>6419481</v>
      </c>
      <c r="H37304">
        <v>12986242</v>
      </c>
      <c r="I37304">
        <v>12899172</v>
      </c>
      <c r="J37304">
        <v>4</v>
      </c>
    </row>
    <row r="37305" spans="1:10" x14ac:dyDescent="0.25">
      <c r="A37305" t="s">
        <v>398</v>
      </c>
      <c r="B37305" s="1" t="str">
        <f>HYPERLINK("http://audisanfrancisco.com","audisanfrancisco.com")</f>
        <v>audisanfrancisco.com</v>
      </c>
      <c r="C37305" t="s">
        <v>433</v>
      </c>
      <c r="F37305">
        <v>1.05395129108968E-8</v>
      </c>
      <c r="G37305">
        <v>6235813</v>
      </c>
      <c r="H37305">
        <v>12612371</v>
      </c>
      <c r="I37305">
        <v>16223147</v>
      </c>
      <c r="J37305">
        <v>4</v>
      </c>
    </row>
    <row r="37306" spans="1:10" x14ac:dyDescent="0.25">
      <c r="A37306" t="s">
        <v>398</v>
      </c>
      <c r="B37306" s="1" t="str">
        <f>HYPERLINK("http://audiseattle.com","audiseattle.com")</f>
        <v>audiseattle.com</v>
      </c>
      <c r="C37306" t="s">
        <v>433</v>
      </c>
      <c r="F37306">
        <v>1.44549321530052E-8</v>
      </c>
      <c r="G37306">
        <v>4038230</v>
      </c>
      <c r="H37306">
        <v>12339424</v>
      </c>
      <c r="I37306">
        <v>20020114</v>
      </c>
      <c r="J37306">
        <v>4</v>
      </c>
    </row>
    <row r="37307" spans="1:10" x14ac:dyDescent="0.25">
      <c r="A37307" t="s">
        <v>398</v>
      </c>
      <c r="B37307" s="1" t="str">
        <f>HYPERLINK("http://auditysonscorner.com","auditysonscorner.com")</f>
        <v>auditysonscorner.com</v>
      </c>
      <c r="C37307" t="s">
        <v>433</v>
      </c>
      <c r="F37307">
        <v>1.05268806146999E-8</v>
      </c>
      <c r="G37307">
        <v>6246472</v>
      </c>
      <c r="H37307">
        <v>12696513</v>
      </c>
      <c r="I37307">
        <v>15378608</v>
      </c>
      <c r="J37307">
        <v>4</v>
      </c>
    </row>
    <row r="37308" spans="1:10" x14ac:dyDescent="0.25">
      <c r="A37308" t="s">
        <v>398</v>
      </c>
      <c r="B37308" s="1" t="str">
        <f>HYPERLINK("http://audiusa.com","audiusa.com")</f>
        <v>audiusa.com</v>
      </c>
      <c r="C37308" t="s">
        <v>433</v>
      </c>
      <c r="E37308">
        <v>23476</v>
      </c>
      <c r="F37308">
        <v>1.24696327792682E-6</v>
      </c>
      <c r="G37308">
        <v>31247</v>
      </c>
      <c r="H37308">
        <v>15908178</v>
      </c>
      <c r="I37308">
        <v>367121</v>
      </c>
      <c r="J37308">
        <v>5</v>
      </c>
    </row>
    <row r="37309" spans="1:10" x14ac:dyDescent="0.25">
      <c r="A37309" t="s">
        <v>398</v>
      </c>
      <c r="B37309" s="1" t="str">
        <f>HYPERLINK("http://audiwarrington.com","audiwarrington.com")</f>
        <v>audiwarrington.com</v>
      </c>
      <c r="C37309" t="s">
        <v>433</v>
      </c>
      <c r="F37309">
        <v>9.3414746833470608E-9</v>
      </c>
      <c r="G37309">
        <v>7519585</v>
      </c>
      <c r="H37309">
        <v>12482763</v>
      </c>
      <c r="I37309">
        <v>17574027</v>
      </c>
      <c r="J37309">
        <v>4</v>
      </c>
    </row>
    <row r="37310" spans="1:10" x14ac:dyDescent="0.25">
      <c r="A37310" t="s">
        <v>398</v>
      </c>
      <c r="B37310" s="1" t="str">
        <f>HYPERLINK("http://audiwest.com","audiwest.com")</f>
        <v>audiwest.com</v>
      </c>
      <c r="C37310" t="s">
        <v>433</v>
      </c>
      <c r="F37310">
        <v>9.2645073470138497E-9</v>
      </c>
      <c r="G37310">
        <v>7618918</v>
      </c>
      <c r="H37310">
        <v>12415370</v>
      </c>
      <c r="I37310">
        <v>18535473</v>
      </c>
      <c r="J37310">
        <v>4</v>
      </c>
    </row>
    <row r="37311" spans="1:10" x14ac:dyDescent="0.25">
      <c r="A37311" t="s">
        <v>398</v>
      </c>
      <c r="B37311" s="1" t="str">
        <f>HYPERLINK("http://audiwestisland.com","audiwestisland.com")</f>
        <v>audiwestisland.com</v>
      </c>
      <c r="C37311" t="s">
        <v>433</v>
      </c>
      <c r="F37311">
        <v>6.2491439772485402E-9</v>
      </c>
      <c r="G37311">
        <v>15279533</v>
      </c>
      <c r="H37311">
        <v>12227881</v>
      </c>
      <c r="I37311">
        <v>22558582</v>
      </c>
      <c r="J37311">
        <v>4</v>
      </c>
    </row>
    <row r="37312" spans="1:10" x14ac:dyDescent="0.25">
      <c r="A37312" t="s">
        <v>398</v>
      </c>
      <c r="B37312" s="1" t="str">
        <f>HYPERLINK("http://audiwilmingtonde.com","audiwilmingtonde.com")</f>
        <v>audiwilmingtonde.com</v>
      </c>
      <c r="C37312" t="s">
        <v>433</v>
      </c>
      <c r="F37312">
        <v>1.2440207249588301E-8</v>
      </c>
      <c r="G37312">
        <v>4917491</v>
      </c>
      <c r="H37312">
        <v>13028576</v>
      </c>
      <c r="I37312">
        <v>12676632</v>
      </c>
      <c r="J37312">
        <v>4</v>
      </c>
    </row>
    <row r="37313" spans="1:10" x14ac:dyDescent="0.25">
      <c r="A37313" t="s">
        <v>398</v>
      </c>
      <c r="B37313" s="1" t="str">
        <f>HYPERLINK("http://autobehren.com","autobehren.com")</f>
        <v>autobehren.com</v>
      </c>
      <c r="C37313" t="s">
        <v>433</v>
      </c>
      <c r="F37313">
        <v>4.8535244976545201E-9</v>
      </c>
      <c r="G37313">
        <v>34026980</v>
      </c>
      <c r="H37313">
        <v>9315833</v>
      </c>
      <c r="I37313">
        <v>68354014</v>
      </c>
      <c r="J37313">
        <v>4</v>
      </c>
    </row>
    <row r="37314" spans="1:10" x14ac:dyDescent="0.25">
      <c r="A37314" t="s">
        <v>398</v>
      </c>
      <c r="B37314" s="1" t="str">
        <f>HYPERLINK("http://autofairvolkswagenofnashua.com","autofairvolkswagenofnashua.com")</f>
        <v>autofairvolkswagenofnashua.com</v>
      </c>
      <c r="C37314" t="s">
        <v>433</v>
      </c>
      <c r="F37314">
        <v>5.0232046573569101E-9</v>
      </c>
      <c r="G37314">
        <v>28825898</v>
      </c>
      <c r="H37314">
        <v>12393398</v>
      </c>
      <c r="I37314">
        <v>18963594</v>
      </c>
      <c r="J37314">
        <v>3</v>
      </c>
    </row>
    <row r="37315" spans="1:10" x14ac:dyDescent="0.25">
      <c r="A37315" t="s">
        <v>398</v>
      </c>
      <c r="B37315" s="1" t="str">
        <f>HYPERLINK("http://autohaus-greiz.com","autohaus-greiz.com")</f>
        <v>autohaus-greiz.com</v>
      </c>
      <c r="C37315" t="s">
        <v>433</v>
      </c>
      <c r="F37315">
        <v>5.2465547605257402E-9</v>
      </c>
      <c r="G37315">
        <v>24309490</v>
      </c>
      <c r="H37315">
        <v>10607263</v>
      </c>
      <c r="I37315">
        <v>44645795</v>
      </c>
      <c r="J37315">
        <v>3</v>
      </c>
    </row>
    <row r="37316" spans="1:10" x14ac:dyDescent="0.25">
      <c r="A37316" t="s">
        <v>398</v>
      </c>
      <c r="B37316" s="1" t="str">
        <f>HYPERLINK("http://autohaus-illgen.com","autohaus-illgen.com")</f>
        <v>autohaus-illgen.com</v>
      </c>
      <c r="C37316" t="s">
        <v>433</v>
      </c>
      <c r="F37316">
        <v>4.6302867332153402E-9</v>
      </c>
      <c r="G37316">
        <v>45422989</v>
      </c>
      <c r="H37316">
        <v>9455380</v>
      </c>
      <c r="I37316">
        <v>66436381</v>
      </c>
      <c r="J37316">
        <v>4</v>
      </c>
    </row>
    <row r="37317" spans="1:10" x14ac:dyDescent="0.25">
      <c r="A37317" t="s">
        <v>398</v>
      </c>
      <c r="B37317" s="1" t="str">
        <f>HYPERLINK("http://autohaus-neu.com","autohaus-neu.com")</f>
        <v>autohaus-neu.com</v>
      </c>
      <c r="C37317" t="s">
        <v>433</v>
      </c>
      <c r="F37317">
        <v>4.8936208785513703E-9</v>
      </c>
      <c r="G37317">
        <v>32655223</v>
      </c>
      <c r="H37317">
        <v>10853536</v>
      </c>
      <c r="I37317">
        <v>36785999</v>
      </c>
      <c r="J37317">
        <v>3</v>
      </c>
    </row>
    <row r="37318" spans="1:10" x14ac:dyDescent="0.25">
      <c r="A37318" t="s">
        <v>398</v>
      </c>
      <c r="B37318" s="1" t="str">
        <f>HYPERLINK("http://autohaus-schulze.com","autohaus-schulze.com")</f>
        <v>autohaus-schulze.com</v>
      </c>
      <c r="C37318" t="s">
        <v>433</v>
      </c>
      <c r="F37318">
        <v>9.1215585837658894E-9</v>
      </c>
      <c r="G37318">
        <v>7817255</v>
      </c>
      <c r="H37318">
        <v>12761922</v>
      </c>
      <c r="I37318">
        <v>14940211</v>
      </c>
      <c r="J37318">
        <v>3</v>
      </c>
    </row>
    <row r="37319" spans="1:10" x14ac:dyDescent="0.25">
      <c r="A37319" t="s">
        <v>398</v>
      </c>
      <c r="B37319" s="1" t="str">
        <f>HYPERLINK("http://autohaus-socke.com","autohaus-socke.com")</f>
        <v>autohaus-socke.com</v>
      </c>
      <c r="C37319" t="s">
        <v>433</v>
      </c>
      <c r="F37319">
        <v>5.1881407532717302E-9</v>
      </c>
      <c r="G37319">
        <v>25368619</v>
      </c>
      <c r="H37319">
        <v>10541732</v>
      </c>
      <c r="I37319">
        <v>47153515</v>
      </c>
      <c r="J37319">
        <v>4</v>
      </c>
    </row>
    <row r="37320" spans="1:10" x14ac:dyDescent="0.25">
      <c r="A37320" t="s">
        <v>398</v>
      </c>
      <c r="B37320" s="1" t="str">
        <f>HYPERLINK("http://autohausberger.com","autohausberger.com")</f>
        <v>autohausberger.com</v>
      </c>
      <c r="C37320" t="s">
        <v>433</v>
      </c>
      <c r="F37320">
        <v>1.28624886073264E-8</v>
      </c>
      <c r="G37320">
        <v>4698072</v>
      </c>
      <c r="H37320">
        <v>10973216</v>
      </c>
      <c r="I37320">
        <v>34078590</v>
      </c>
      <c r="J37320">
        <v>5</v>
      </c>
    </row>
    <row r="37321" spans="1:10" x14ac:dyDescent="0.25">
      <c r="A37321" t="s">
        <v>398</v>
      </c>
      <c r="B37321" s="1" t="str">
        <f>HYPERLINK("http://autokomercvs.com","autokomercvs.com")</f>
        <v>autokomercvs.com</v>
      </c>
      <c r="C37321" t="s">
        <v>433</v>
      </c>
      <c r="F37321">
        <v>4.96023050559927E-9</v>
      </c>
      <c r="G37321">
        <v>30503403</v>
      </c>
      <c r="H37321">
        <v>10782613</v>
      </c>
      <c r="I37321">
        <v>38815523</v>
      </c>
      <c r="J37321">
        <v>4</v>
      </c>
    </row>
    <row r="37322" spans="1:10" x14ac:dyDescent="0.25">
      <c r="A37322" t="s">
        <v>398</v>
      </c>
      <c r="B37322" s="1" t="str">
        <f>HYPERLINK("http://autonationvolkswagenlasvegas.com","autonationvolkswagenlasvegas.com")</f>
        <v>autonationvolkswagenlasvegas.com</v>
      </c>
      <c r="C37322" t="s">
        <v>433</v>
      </c>
      <c r="F37322">
        <v>2.68614365195139E-7</v>
      </c>
      <c r="G37322">
        <v>138680</v>
      </c>
      <c r="H37322">
        <v>13611875</v>
      </c>
      <c r="I37322">
        <v>9634339</v>
      </c>
      <c r="J37322">
        <v>3</v>
      </c>
    </row>
    <row r="37323" spans="1:10" x14ac:dyDescent="0.25">
      <c r="A37323" t="s">
        <v>398</v>
      </c>
      <c r="B37323" s="1" t="str">
        <f>HYPERLINK("http://autoschmitt.com","autoschmitt.com")</f>
        <v>autoschmitt.com</v>
      </c>
      <c r="C37323" t="s">
        <v>433</v>
      </c>
      <c r="F37323">
        <v>6.2399849083426303E-9</v>
      </c>
      <c r="G37323">
        <v>15325027</v>
      </c>
      <c r="H37323">
        <v>12797764</v>
      </c>
      <c r="I37323">
        <v>14647867</v>
      </c>
      <c r="J37323">
        <v>3</v>
      </c>
    </row>
    <row r="37324" spans="1:10" x14ac:dyDescent="0.25">
      <c r="A37324" t="s">
        <v>398</v>
      </c>
      <c r="B37324" s="1" t="str">
        <f>HYPERLINK("http://autozamaca.com","autozamaca.com")</f>
        <v>autozamaca.com</v>
      </c>
      <c r="C37324" t="s">
        <v>433</v>
      </c>
      <c r="J37324">
        <v>3</v>
      </c>
    </row>
    <row r="37325" spans="1:10" x14ac:dyDescent="0.25">
      <c r="A37325" t="s">
        <v>398</v>
      </c>
      <c r="B37325" s="1" t="str">
        <f>HYPERLINK("http://axisrse.com","axisrse.com")</f>
        <v>axisrse.com</v>
      </c>
      <c r="C37325" t="s">
        <v>433</v>
      </c>
      <c r="F37325">
        <v>4.9964925202623098E-9</v>
      </c>
      <c r="G37325">
        <v>29497916</v>
      </c>
      <c r="H37325">
        <v>10736765</v>
      </c>
      <c r="I37325">
        <v>40587160</v>
      </c>
      <c r="J37325">
        <v>7</v>
      </c>
    </row>
    <row r="37326" spans="1:10" x14ac:dyDescent="0.25">
      <c r="A37326" t="s">
        <v>398</v>
      </c>
      <c r="B37326" s="1" t="str">
        <f>HYPERLINK("http://ballyvesey.com","ballyvesey.com")</f>
        <v>ballyvesey.com</v>
      </c>
      <c r="C37326" t="s">
        <v>433</v>
      </c>
      <c r="F37326">
        <v>1.0073344166091599E-8</v>
      </c>
      <c r="G37326">
        <v>6678336</v>
      </c>
      <c r="H37326">
        <v>12029791</v>
      </c>
      <c r="I37326">
        <v>27667849</v>
      </c>
      <c r="J37326">
        <v>8</v>
      </c>
    </row>
    <row r="37327" spans="1:10" x14ac:dyDescent="0.25">
      <c r="A37327" t="s">
        <v>398</v>
      </c>
      <c r="B37327" s="1" t="str">
        <f>HYPERLINK("http://bentleyboys.com","bentleyboys.com")</f>
        <v>bentleyboys.com</v>
      </c>
      <c r="C37327" t="s">
        <v>433</v>
      </c>
      <c r="F37327">
        <v>1.553992903668E-8</v>
      </c>
      <c r="G37327">
        <v>3673055</v>
      </c>
      <c r="H37327">
        <v>14072014</v>
      </c>
      <c r="I37327">
        <v>3186174</v>
      </c>
      <c r="J37327">
        <v>4</v>
      </c>
    </row>
    <row r="37328" spans="1:10" x14ac:dyDescent="0.25">
      <c r="A37328" t="s">
        <v>398</v>
      </c>
      <c r="B37328" s="1" t="str">
        <f>HYPERLINK("http://bentleymotors.com","bentleymotors.com")</f>
        <v>bentleymotors.com</v>
      </c>
      <c r="C37328" t="s">
        <v>433</v>
      </c>
      <c r="E37328">
        <v>22511</v>
      </c>
      <c r="F37328">
        <v>1.14058854099338E-6</v>
      </c>
      <c r="G37328">
        <v>33896</v>
      </c>
      <c r="H37328">
        <v>15487750</v>
      </c>
      <c r="I37328">
        <v>377071</v>
      </c>
      <c r="J37328">
        <v>3</v>
      </c>
    </row>
    <row r="37329" spans="1:10" x14ac:dyDescent="0.25">
      <c r="A37329" t="s">
        <v>398</v>
      </c>
      <c r="B37329" s="1" t="str">
        <f>HYPERLINK("http://bertrandt.com","bertrandt.com")</f>
        <v>bertrandt.com</v>
      </c>
      <c r="C37329" t="s">
        <v>433</v>
      </c>
      <c r="E37329">
        <v>421858</v>
      </c>
      <c r="F37329">
        <v>1.33139350201153E-7</v>
      </c>
      <c r="G37329">
        <v>293442</v>
      </c>
      <c r="H37329">
        <v>14745995</v>
      </c>
      <c r="I37329">
        <v>565233</v>
      </c>
      <c r="J37329">
        <v>4</v>
      </c>
    </row>
    <row r="37330" spans="1:10" x14ac:dyDescent="0.25">
      <c r="A37330" t="s">
        <v>398</v>
      </c>
      <c r="B37330" s="1" t="str">
        <f>HYPERLINK("http://beverlyhillsporsche.com","beverlyhillsporsche.com")</f>
        <v>beverlyhillsporsche.com</v>
      </c>
      <c r="C37330" t="s">
        <v>433</v>
      </c>
      <c r="F37330">
        <v>1.5211535788344402E-8</v>
      </c>
      <c r="G37330">
        <v>3772343</v>
      </c>
      <c r="H37330">
        <v>14130506</v>
      </c>
      <c r="I37330">
        <v>2028243</v>
      </c>
      <c r="J37330">
        <v>4</v>
      </c>
    </row>
    <row r="37331" spans="1:10" x14ac:dyDescent="0.25">
      <c r="A37331" t="s">
        <v>398</v>
      </c>
      <c r="B37331" s="1" t="str">
        <f>HYPERLINK("http://bieneraudi.com","bieneraudi.com")</f>
        <v>bieneraudi.com</v>
      </c>
      <c r="C37331" t="s">
        <v>433</v>
      </c>
      <c r="F37331">
        <v>1.39702482397393E-8</v>
      </c>
      <c r="G37331">
        <v>4213936</v>
      </c>
      <c r="H37331">
        <v>12357141</v>
      </c>
      <c r="I37331">
        <v>19641177</v>
      </c>
      <c r="J37331">
        <v>4</v>
      </c>
    </row>
    <row r="37332" spans="1:10" x14ac:dyDescent="0.25">
      <c r="A37332" t="s">
        <v>398</v>
      </c>
      <c r="B37332" s="1" t="str">
        <f>HYPERLINK("http://biggelaar-performance.com","biggelaar-performance.com")</f>
        <v>biggelaar-performance.com</v>
      </c>
      <c r="C37332" t="s">
        <v>433</v>
      </c>
      <c r="F37332">
        <v>5.2520691865459001E-9</v>
      </c>
      <c r="G37332">
        <v>24226327</v>
      </c>
      <c r="H37332">
        <v>10967128</v>
      </c>
      <c r="I37332">
        <v>34201679</v>
      </c>
      <c r="J37332">
        <v>4</v>
      </c>
    </row>
    <row r="37333" spans="1:10" x14ac:dyDescent="0.25">
      <c r="A37333" t="s">
        <v>398</v>
      </c>
      <c r="B37333" s="1" t="str">
        <f>HYPERLINK("http://billjacobsvw.com","billjacobsvw.com")</f>
        <v>billjacobsvw.com</v>
      </c>
      <c r="C37333" t="s">
        <v>433</v>
      </c>
      <c r="F37333">
        <v>1.7298234857977201E-8</v>
      </c>
      <c r="G37333">
        <v>3199674</v>
      </c>
      <c r="H37333">
        <v>14126619</v>
      </c>
      <c r="I37333">
        <v>2096914</v>
      </c>
      <c r="J37333">
        <v>3</v>
      </c>
    </row>
    <row r="37334" spans="1:10" x14ac:dyDescent="0.25">
      <c r="A37334" t="s">
        <v>398</v>
      </c>
      <c r="B37334" s="1" t="str">
        <f>HYPERLINK("http://boardwalkvolkswagen.com","boardwalkvolkswagen.com")</f>
        <v>boardwalkvolkswagen.com</v>
      </c>
      <c r="C37334" t="s">
        <v>433</v>
      </c>
      <c r="F37334">
        <v>5.9017652427946904E-9</v>
      </c>
      <c r="G37334">
        <v>17347100</v>
      </c>
      <c r="H37334">
        <v>12123001</v>
      </c>
      <c r="I37334">
        <v>25330424</v>
      </c>
      <c r="J37334">
        <v>3</v>
      </c>
    </row>
    <row r="37335" spans="1:10" x14ac:dyDescent="0.25">
      <c r="A37335" t="s">
        <v>398</v>
      </c>
      <c r="B37335" s="1" t="str">
        <f>HYPERLINK("http://buslab.com","buslab.com")</f>
        <v>buslab.com</v>
      </c>
      <c r="C37335" t="s">
        <v>433</v>
      </c>
      <c r="F37335">
        <v>4.99597200858665E-9</v>
      </c>
      <c r="G37335">
        <v>29510989</v>
      </c>
      <c r="H37335">
        <v>11373132</v>
      </c>
      <c r="I37335">
        <v>30310672</v>
      </c>
      <c r="J37335">
        <v>3</v>
      </c>
    </row>
    <row r="37336" spans="1:10" x14ac:dyDescent="0.25">
      <c r="A37336" t="s">
        <v>398</v>
      </c>
      <c r="B37336" s="1" t="str">
        <f>HYPERLINK("http://bwbconsulting.com","bwbconsulting.com")</f>
        <v>bwbconsulting.com</v>
      </c>
      <c r="C37336" t="s">
        <v>433</v>
      </c>
      <c r="F37336">
        <v>8.8450763267709001E-9</v>
      </c>
      <c r="G37336">
        <v>8232210</v>
      </c>
      <c r="H37336">
        <v>13766945</v>
      </c>
      <c r="I37336">
        <v>6965006</v>
      </c>
      <c r="J37336">
        <v>12</v>
      </c>
    </row>
    <row r="37337" spans="1:10" x14ac:dyDescent="0.25">
      <c r="A37337" t="s">
        <v>398</v>
      </c>
      <c r="B37337" s="1" t="str">
        <f>HYPERLINK("http://capitaleurocarsvw.com","capitaleurocarsvw.com")</f>
        <v>capitaleurocarsvw.com</v>
      </c>
      <c r="C37337" t="s">
        <v>433</v>
      </c>
      <c r="F37337">
        <v>4.69748214315688E-9</v>
      </c>
      <c r="G37337">
        <v>41374427</v>
      </c>
      <c r="H37337">
        <v>12118307</v>
      </c>
      <c r="I37337">
        <v>25450067</v>
      </c>
      <c r="J37337">
        <v>3</v>
      </c>
    </row>
    <row r="37338" spans="1:10" x14ac:dyDescent="0.25">
      <c r="A37338" t="s">
        <v>398</v>
      </c>
      <c r="B37338" s="1" t="str">
        <f>HYPERLINK("http://capitolvolkswagen.com","capitolvolkswagen.com")</f>
        <v>capitolvolkswagen.com</v>
      </c>
      <c r="C37338" t="s">
        <v>433</v>
      </c>
      <c r="F37338">
        <v>6.2108191154821704E-9</v>
      </c>
      <c r="G37338">
        <v>15478836</v>
      </c>
      <c r="H37338">
        <v>12388827</v>
      </c>
      <c r="I37338">
        <v>19069271</v>
      </c>
      <c r="J37338">
        <v>6</v>
      </c>
    </row>
    <row r="37339" spans="1:10" x14ac:dyDescent="0.25">
      <c r="A37339" t="s">
        <v>398</v>
      </c>
      <c r="B37339" s="1" t="str">
        <f>HYPERLINK("http://capitolvw.com","capitolvw.com")</f>
        <v>capitolvw.com</v>
      </c>
      <c r="C37339" t="s">
        <v>433</v>
      </c>
      <c r="F37339">
        <v>1.2027176121081E-8</v>
      </c>
      <c r="G37339">
        <v>5158404</v>
      </c>
      <c r="H37339">
        <v>12376351</v>
      </c>
      <c r="I37339">
        <v>19285144</v>
      </c>
      <c r="J37339">
        <v>3</v>
      </c>
    </row>
    <row r="37340" spans="1:10" x14ac:dyDescent="0.25">
      <c r="A37340" t="s">
        <v>398</v>
      </c>
      <c r="B37340" s="1" t="str">
        <f>HYPERLINK("http://car-mobility.com","car-mobility.com")</f>
        <v>car-mobility.com</v>
      </c>
      <c r="C37340" t="s">
        <v>433</v>
      </c>
      <c r="F37340">
        <v>5.93425396930482E-9</v>
      </c>
      <c r="G37340">
        <v>17124011</v>
      </c>
      <c r="H37340">
        <v>11063691</v>
      </c>
      <c r="I37340">
        <v>32645888</v>
      </c>
      <c r="J37340">
        <v>3</v>
      </c>
    </row>
    <row r="37341" spans="1:10" x14ac:dyDescent="0.25">
      <c r="A37341" t="s">
        <v>398</v>
      </c>
      <c r="B37341" s="1" t="str">
        <f>HYPERLINK("http://carepolis.com","carepolis.com")</f>
        <v>carepolis.com</v>
      </c>
      <c r="C37341" t="s">
        <v>433</v>
      </c>
      <c r="F37341">
        <v>6.2482444715913199E-9</v>
      </c>
      <c r="G37341">
        <v>15283822</v>
      </c>
      <c r="H37341">
        <v>10057136</v>
      </c>
      <c r="I37341">
        <v>60297417</v>
      </c>
      <c r="J37341">
        <v>4</v>
      </c>
    </row>
    <row r="37342" spans="1:10" x14ac:dyDescent="0.25">
      <c r="A37342" t="s">
        <v>398</v>
      </c>
      <c r="B37342" s="1" t="str">
        <f>HYPERLINK("http://cetitec.com","cetitec.com")</f>
        <v>cetitec.com</v>
      </c>
      <c r="C37342" t="s">
        <v>433</v>
      </c>
      <c r="F37342">
        <v>1.2955893975256299E-8</v>
      </c>
      <c r="G37342">
        <v>4653017</v>
      </c>
      <c r="H37342">
        <v>12687042</v>
      </c>
      <c r="I37342">
        <v>15442191</v>
      </c>
      <c r="J37342">
        <v>3</v>
      </c>
    </row>
    <row r="37343" spans="1:10" x14ac:dyDescent="0.25">
      <c r="A37343" t="s">
        <v>398</v>
      </c>
      <c r="B37343" s="1" t="str">
        <f>HYPERLINK("http://circleaudi.com","circleaudi.com")</f>
        <v>circleaudi.com</v>
      </c>
      <c r="C37343" t="s">
        <v>433</v>
      </c>
      <c r="F37343">
        <v>6.6309578455353503E-9</v>
      </c>
      <c r="G37343">
        <v>13556028</v>
      </c>
      <c r="H37343">
        <v>12393996</v>
      </c>
      <c r="I37343">
        <v>18954035</v>
      </c>
      <c r="J37343">
        <v>4</v>
      </c>
    </row>
    <row r="37344" spans="1:10" x14ac:dyDescent="0.25">
      <c r="A37344" t="s">
        <v>398</v>
      </c>
      <c r="B37344" s="1" t="str">
        <f>HYPERLINK("http://circleporsche.com","circleporsche.com")</f>
        <v>circleporsche.com</v>
      </c>
      <c r="C37344" t="s">
        <v>433</v>
      </c>
      <c r="F37344">
        <v>1.0482569357317701E-8</v>
      </c>
      <c r="G37344">
        <v>6284686</v>
      </c>
      <c r="H37344">
        <v>12534141</v>
      </c>
      <c r="I37344">
        <v>16994562</v>
      </c>
      <c r="J37344">
        <v>4</v>
      </c>
    </row>
    <row r="37345" spans="1:10" x14ac:dyDescent="0.25">
      <c r="A37345" t="s">
        <v>398</v>
      </c>
      <c r="B37345" s="1" t="str">
        <f>HYPERLINK("http://com;repuestos3@alravw.com","com;repuestos3@alravw.com")</f>
        <v>com;repuestos3@alravw.com</v>
      </c>
      <c r="C37345" t="s">
        <v>433</v>
      </c>
      <c r="J37345">
        <v>3</v>
      </c>
    </row>
    <row r="37346" spans="1:10" x14ac:dyDescent="0.25">
      <c r="A37346" t="s">
        <v>398</v>
      </c>
      <c r="B37346" s="1" t="str">
        <f>HYPERLINK("http://comahuetrucks.com","comahuetrucks.com")</f>
        <v>comahuetrucks.com</v>
      </c>
      <c r="C37346" t="s">
        <v>433</v>
      </c>
      <c r="F37346">
        <v>4.44380395335525E-9</v>
      </c>
      <c r="G37346">
        <v>81187155</v>
      </c>
      <c r="H37346">
        <v>0</v>
      </c>
      <c r="I37346">
        <v>81513721</v>
      </c>
      <c r="J37346">
        <v>3</v>
      </c>
    </row>
    <row r="37347" spans="1:10" x14ac:dyDescent="0.25">
      <c r="A37347" t="s">
        <v>398</v>
      </c>
      <c r="B37347" s="1" t="str">
        <f>HYPERLINK("http://complexevw440.com","complexevw440.com")</f>
        <v>complexevw440.com</v>
      </c>
      <c r="C37347" t="s">
        <v>433</v>
      </c>
      <c r="F37347">
        <v>5.4596747572885203E-9</v>
      </c>
      <c r="G37347">
        <v>21364078</v>
      </c>
      <c r="H37347">
        <v>10668967</v>
      </c>
      <c r="I37347">
        <v>43006784</v>
      </c>
      <c r="J37347">
        <v>5</v>
      </c>
    </row>
    <row r="37348" spans="1:10" x14ac:dyDescent="0.25">
      <c r="A37348" t="s">
        <v>398</v>
      </c>
      <c r="B37348" s="1" t="str">
        <f>HYPERLINK("http://crainvw.com","crainvw.com")</f>
        <v>crainvw.com</v>
      </c>
      <c r="C37348" t="s">
        <v>433</v>
      </c>
      <c r="F37348">
        <v>4.9862933520981899E-9</v>
      </c>
      <c r="G37348">
        <v>29774190</v>
      </c>
      <c r="H37348">
        <v>12275879</v>
      </c>
      <c r="I37348">
        <v>21393999</v>
      </c>
      <c r="J37348">
        <v>3</v>
      </c>
    </row>
    <row r="37349" spans="1:10" x14ac:dyDescent="0.25">
      <c r="A37349" t="s">
        <v>398</v>
      </c>
      <c r="B37349" s="1" t="str">
        <f>HYPERLINK("http://csvw.com","csvw.com")</f>
        <v>csvw.com</v>
      </c>
      <c r="C37349" t="s">
        <v>433</v>
      </c>
      <c r="E37349">
        <v>188201</v>
      </c>
      <c r="F37349">
        <v>1.81668272890112E-7</v>
      </c>
      <c r="G37349">
        <v>212442</v>
      </c>
      <c r="H37349">
        <v>14677688</v>
      </c>
      <c r="I37349">
        <v>610156</v>
      </c>
      <c r="J37349">
        <v>3</v>
      </c>
    </row>
    <row r="37350" spans="1:10" x14ac:dyDescent="0.25">
      <c r="A37350" t="s">
        <v>398</v>
      </c>
      <c r="B37350" s="1" t="str">
        <f>HYPERLINK("http://cupraofficial.com","cupraofficial.com")</f>
        <v>cupraofficial.com</v>
      </c>
      <c r="C37350" t="s">
        <v>433</v>
      </c>
      <c r="E37350">
        <v>548747</v>
      </c>
      <c r="F37350">
        <v>1.6147300950377799E-7</v>
      </c>
      <c r="G37350">
        <v>240415</v>
      </c>
      <c r="H37350">
        <v>14303198</v>
      </c>
      <c r="I37350">
        <v>1353711</v>
      </c>
      <c r="J37350">
        <v>3</v>
      </c>
    </row>
    <row r="37351" spans="1:10" x14ac:dyDescent="0.25">
      <c r="A37351" t="s">
        <v>398</v>
      </c>
      <c r="B37351" s="1" t="str">
        <f>HYPERLINK("http://cyclewisevt.com","cyclewisevt.com")</f>
        <v>cyclewisevt.com</v>
      </c>
      <c r="C37351" t="s">
        <v>433</v>
      </c>
      <c r="F37351">
        <v>7.5702796584144699E-9</v>
      </c>
      <c r="G37351">
        <v>10863272</v>
      </c>
      <c r="H37351">
        <v>12238210</v>
      </c>
      <c r="I37351">
        <v>22303796</v>
      </c>
      <c r="J37351">
        <v>4</v>
      </c>
    </row>
    <row r="37352" spans="1:10" x14ac:dyDescent="0.25">
      <c r="A37352" t="s">
        <v>398</v>
      </c>
      <c r="B37352" s="1" t="str">
        <f>HYPERLINK("http://dchaudioxnard.com","dchaudioxnard.com")</f>
        <v>dchaudioxnard.com</v>
      </c>
      <c r="C37352" t="s">
        <v>433</v>
      </c>
      <c r="F37352">
        <v>9.2460520569310305E-9</v>
      </c>
      <c r="G37352">
        <v>7643802</v>
      </c>
      <c r="H37352">
        <v>12615859</v>
      </c>
      <c r="I37352">
        <v>16130186</v>
      </c>
      <c r="J37352">
        <v>4</v>
      </c>
    </row>
    <row r="37353" spans="1:10" x14ac:dyDescent="0.25">
      <c r="A37353" t="s">
        <v>398</v>
      </c>
      <c r="B37353" s="1" t="str">
        <f>HYPERLINK("http://dein-autozentrum.com","dein-autozentrum.com")</f>
        <v>dein-autozentrum.com</v>
      </c>
      <c r="C37353" t="s">
        <v>433</v>
      </c>
      <c r="F37353">
        <v>5.6273609827295597E-9</v>
      </c>
      <c r="G37353">
        <v>19602112</v>
      </c>
      <c r="H37353">
        <v>12095222</v>
      </c>
      <c r="I37353">
        <v>26093094</v>
      </c>
      <c r="J37353">
        <v>3</v>
      </c>
    </row>
    <row r="37354" spans="1:10" x14ac:dyDescent="0.25">
      <c r="A37354" t="s">
        <v>398</v>
      </c>
      <c r="B37354" s="1" t="str">
        <f>HYPERLINK("http://diconium.com","diconium.com")</f>
        <v>diconium.com</v>
      </c>
      <c r="C37354" t="s">
        <v>433</v>
      </c>
      <c r="E37354">
        <v>394856</v>
      </c>
      <c r="F37354">
        <v>2.4475246570515399E-7</v>
      </c>
      <c r="G37354">
        <v>152875</v>
      </c>
      <c r="H37354">
        <v>16822004</v>
      </c>
      <c r="I37354">
        <v>185029</v>
      </c>
      <c r="J37354">
        <v>3</v>
      </c>
    </row>
    <row r="37355" spans="1:10" x14ac:dyDescent="0.25">
      <c r="A37355" t="s">
        <v>398</v>
      </c>
      <c r="B37355" s="1" t="str">
        <f>HYPERLINK("http://dorigoni.com","dorigoni.com")</f>
        <v>dorigoni.com</v>
      </c>
      <c r="C37355" t="s">
        <v>433</v>
      </c>
      <c r="F37355">
        <v>7.6027297196350908E-9</v>
      </c>
      <c r="G37355">
        <v>10788756</v>
      </c>
      <c r="H37355">
        <v>12315896</v>
      </c>
      <c r="I37355">
        <v>20499373</v>
      </c>
      <c r="J37355">
        <v>3</v>
      </c>
    </row>
    <row r="37356" spans="1:10" x14ac:dyDescent="0.25">
      <c r="A37356" t="s">
        <v>398</v>
      </c>
      <c r="B37356" s="1" t="str">
        <f>HYPERLINK("http://drive-volkswagen-group.com","drive-volkswagen-group.com")</f>
        <v>drive-volkswagen-group.com</v>
      </c>
      <c r="C37356" t="s">
        <v>433</v>
      </c>
      <c r="F37356">
        <v>8.6057387709305604E-8</v>
      </c>
      <c r="G37356">
        <v>478181</v>
      </c>
      <c r="H37356">
        <v>13291044</v>
      </c>
      <c r="I37356">
        <v>10873663</v>
      </c>
      <c r="J37356">
        <v>3</v>
      </c>
    </row>
    <row r="37357" spans="1:10" x14ac:dyDescent="0.25">
      <c r="A37357" t="s">
        <v>398</v>
      </c>
      <c r="B37357" s="1" t="str">
        <f>HYPERLINK("http://drivebenfield.com","drivebenfield.com")</f>
        <v>drivebenfield.com</v>
      </c>
      <c r="C37357" t="s">
        <v>433</v>
      </c>
      <c r="F37357">
        <v>7.4058557521210497E-9</v>
      </c>
      <c r="G37357">
        <v>11230689</v>
      </c>
      <c r="H37357">
        <v>13538833</v>
      </c>
      <c r="I37357">
        <v>9908119</v>
      </c>
      <c r="J37357">
        <v>3</v>
      </c>
    </row>
    <row r="37358" spans="1:10" x14ac:dyDescent="0.25">
      <c r="A37358" t="s">
        <v>398</v>
      </c>
      <c r="B37358" s="1" t="str">
        <f>HYPERLINK("http://driveingram.com","driveingram.com")</f>
        <v>driveingram.com</v>
      </c>
      <c r="C37358" t="s">
        <v>433</v>
      </c>
      <c r="F37358">
        <v>4.8100525907967603E-9</v>
      </c>
      <c r="G37358">
        <v>35697476</v>
      </c>
      <c r="H37358">
        <v>11104413</v>
      </c>
      <c r="I37358">
        <v>32217193</v>
      </c>
      <c r="J37358">
        <v>6</v>
      </c>
    </row>
    <row r="37359" spans="1:10" x14ac:dyDescent="0.25">
      <c r="A37359" t="s">
        <v>398</v>
      </c>
      <c r="B37359" s="1" t="str">
        <f>HYPERLINK("http://ducati.com","ducati.com")</f>
        <v>ducati.com</v>
      </c>
      <c r="C37359" t="s">
        <v>433</v>
      </c>
      <c r="E37359">
        <v>21340</v>
      </c>
      <c r="F37359">
        <v>1.06800579837083E-6</v>
      </c>
      <c r="G37359">
        <v>35998</v>
      </c>
      <c r="H37359">
        <v>15954369</v>
      </c>
      <c r="I37359">
        <v>366758</v>
      </c>
      <c r="J37359">
        <v>2</v>
      </c>
    </row>
    <row r="37360" spans="1:10" x14ac:dyDescent="0.25">
      <c r="A37360" t="s">
        <v>398</v>
      </c>
      <c r="B37360" s="1" t="str">
        <f>HYPERLINK("http://ducati-korea.com","ducati-korea.com")</f>
        <v>ducati-korea.com</v>
      </c>
      <c r="C37360" t="s">
        <v>433</v>
      </c>
      <c r="F37360">
        <v>2.7966317985274199E-8</v>
      </c>
      <c r="G37360">
        <v>1839380</v>
      </c>
      <c r="H37360">
        <v>13990930</v>
      </c>
      <c r="I37360">
        <v>4031721</v>
      </c>
      <c r="J37360">
        <v>3</v>
      </c>
    </row>
    <row r="37361" spans="1:10" x14ac:dyDescent="0.25">
      <c r="A37361" t="s">
        <v>398</v>
      </c>
      <c r="B37361" s="1" t="str">
        <f>HYPERLINK("http://ducatiasiapacific.com","ducatiasiapacific.com")</f>
        <v>ducatiasiapacific.com</v>
      </c>
      <c r="C37361" t="s">
        <v>433</v>
      </c>
      <c r="F37361">
        <v>2.7384887253025802E-8</v>
      </c>
      <c r="G37361">
        <v>1877242</v>
      </c>
      <c r="H37361">
        <v>12276422</v>
      </c>
      <c r="I37361">
        <v>21382735</v>
      </c>
      <c r="J37361">
        <v>3</v>
      </c>
    </row>
    <row r="37362" spans="1:10" x14ac:dyDescent="0.25">
      <c r="A37362" t="s">
        <v>398</v>
      </c>
      <c r="B37362" s="1" t="str">
        <f>HYPERLINK("http://ducatinepal.com","ducatinepal.com")</f>
        <v>ducatinepal.com</v>
      </c>
      <c r="C37362" t="s">
        <v>433</v>
      </c>
      <c r="F37362">
        <v>1.06755749442E-8</v>
      </c>
      <c r="G37362">
        <v>6120526</v>
      </c>
      <c r="H37362">
        <v>11467155</v>
      </c>
      <c r="I37362">
        <v>30088227</v>
      </c>
      <c r="J37362">
        <v>3</v>
      </c>
    </row>
    <row r="37363" spans="1:10" x14ac:dyDescent="0.25">
      <c r="A37363" t="s">
        <v>398</v>
      </c>
      <c r="B37363" s="1" t="str">
        <f>HYPERLINK("http://ducatinewcaledonia.com","ducatinewcaledonia.com")</f>
        <v>ducatinewcaledonia.com</v>
      </c>
      <c r="C37363" t="s">
        <v>433</v>
      </c>
      <c r="F37363">
        <v>1.1033071175197001E-8</v>
      </c>
      <c r="G37363">
        <v>5834897</v>
      </c>
      <c r="H37363">
        <v>11467155</v>
      </c>
      <c r="I37363">
        <v>30088228</v>
      </c>
      <c r="J37363">
        <v>3</v>
      </c>
    </row>
    <row r="37364" spans="1:10" x14ac:dyDescent="0.25">
      <c r="A37364" t="s">
        <v>398</v>
      </c>
      <c r="B37364" s="1" t="str">
        <f>HYPERLINK("http://ducatinorthamerica.com","ducatinorthamerica.com")</f>
        <v>ducatinorthamerica.com</v>
      </c>
      <c r="C37364" t="s">
        <v>433</v>
      </c>
      <c r="J37364">
        <v>3</v>
      </c>
    </row>
    <row r="37365" spans="1:10" x14ac:dyDescent="0.25">
      <c r="A37365" t="s">
        <v>398</v>
      </c>
      <c r="B37365" s="1" t="str">
        <f>HYPERLINK("http://ducatipeterborough.com","ducatipeterborough.com")</f>
        <v>ducatipeterborough.com</v>
      </c>
      <c r="C37365" t="s">
        <v>433</v>
      </c>
      <c r="F37365">
        <v>4.4655695165239702E-9</v>
      </c>
      <c r="G37365">
        <v>66084002</v>
      </c>
      <c r="H37365">
        <v>9432995</v>
      </c>
      <c r="I37365">
        <v>66776401</v>
      </c>
      <c r="J37365">
        <v>4</v>
      </c>
    </row>
    <row r="37366" spans="1:10" x14ac:dyDescent="0.25">
      <c r="A37366" t="s">
        <v>398</v>
      </c>
      <c r="B37366" s="1" t="str">
        <f>HYPERLINK("http://ducatiphilippines.com","ducatiphilippines.com")</f>
        <v>ducatiphilippines.com</v>
      </c>
      <c r="C37366" t="s">
        <v>433</v>
      </c>
      <c r="F37366">
        <v>1.0537812575940201E-8</v>
      </c>
      <c r="G37366">
        <v>6237268</v>
      </c>
      <c r="H37366">
        <v>11467154</v>
      </c>
      <c r="I37366">
        <v>30088232</v>
      </c>
      <c r="J37366">
        <v>3</v>
      </c>
    </row>
    <row r="37367" spans="1:10" x14ac:dyDescent="0.25">
      <c r="A37367" t="s">
        <v>398</v>
      </c>
      <c r="B37367" s="1" t="str">
        <f>HYPERLINK("http://ducatiredmond.com","ducatiredmond.com")</f>
        <v>ducatiredmond.com</v>
      </c>
      <c r="C37367" t="s">
        <v>433</v>
      </c>
      <c r="F37367">
        <v>5.3283287726285402E-9</v>
      </c>
      <c r="G37367">
        <v>23089129</v>
      </c>
      <c r="H37367">
        <v>11255005</v>
      </c>
      <c r="I37367">
        <v>30863783</v>
      </c>
      <c r="J37367">
        <v>4</v>
      </c>
    </row>
    <row r="37368" spans="1:10" x14ac:dyDescent="0.25">
      <c r="A37368" t="s">
        <v>398</v>
      </c>
      <c r="B37368" s="1" t="str">
        <f>HYPERLINK("http://ducatisanford.com","ducatisanford.com")</f>
        <v>ducatisanford.com</v>
      </c>
      <c r="C37368" t="s">
        <v>433</v>
      </c>
      <c r="F37368">
        <v>5.9579012726248004E-9</v>
      </c>
      <c r="G37368">
        <v>16968646</v>
      </c>
      <c r="H37368">
        <v>10980732</v>
      </c>
      <c r="I37368">
        <v>33922452</v>
      </c>
      <c r="J37368">
        <v>4</v>
      </c>
    </row>
    <row r="37369" spans="1:10" x14ac:dyDescent="0.25">
      <c r="A37369" t="s">
        <v>398</v>
      </c>
      <c r="B37369" s="1" t="str">
        <f>HYPERLINK("http://ducatisanisidro.com","ducatisanisidro.com")</f>
        <v>ducatisanisidro.com</v>
      </c>
      <c r="C37369" t="s">
        <v>433</v>
      </c>
      <c r="J37369">
        <v>4</v>
      </c>
    </row>
    <row r="37370" spans="1:10" x14ac:dyDescent="0.25">
      <c r="A37370" t="s">
        <v>398</v>
      </c>
      <c r="B37370" s="1" t="str">
        <f>HYPERLINK("http://ducativietnam.com","ducativietnam.com")</f>
        <v>ducativietnam.com</v>
      </c>
      <c r="C37370" t="s">
        <v>433</v>
      </c>
      <c r="F37370">
        <v>1.21841370880947E-8</v>
      </c>
      <c r="G37370">
        <v>5059751</v>
      </c>
      <c r="H37370">
        <v>11470287</v>
      </c>
      <c r="I37370">
        <v>30082881</v>
      </c>
      <c r="J37370">
        <v>3</v>
      </c>
    </row>
    <row r="37371" spans="1:10" x14ac:dyDescent="0.25">
      <c r="A37371" t="s">
        <v>398</v>
      </c>
      <c r="B37371" s="1" t="str">
        <f>HYPERLINK("http://duffmorgan.com","duffmorgan.com")</f>
        <v>duffmorgan.com</v>
      </c>
      <c r="C37371" t="s">
        <v>433</v>
      </c>
      <c r="F37371">
        <v>4.9355709717100699E-9</v>
      </c>
      <c r="G37371">
        <v>31218965</v>
      </c>
      <c r="H37371">
        <v>8302459</v>
      </c>
      <c r="I37371">
        <v>74313689</v>
      </c>
      <c r="J37371">
        <v>6</v>
      </c>
    </row>
    <row r="37372" spans="1:10" x14ac:dyDescent="0.25">
      <c r="A37372" t="s">
        <v>398</v>
      </c>
      <c r="B37372" s="1" t="str">
        <f>HYPERLINK("http://durhamvw.com","durhamvw.com")</f>
        <v>durhamvw.com</v>
      </c>
      <c r="C37372" t="s">
        <v>433</v>
      </c>
      <c r="F37372">
        <v>4.45250762763629E-9</v>
      </c>
      <c r="G37372">
        <v>70622486</v>
      </c>
      <c r="H37372">
        <v>12198306</v>
      </c>
      <c r="I37372">
        <v>23363532</v>
      </c>
      <c r="J37372">
        <v>3</v>
      </c>
    </row>
    <row r="37373" spans="1:10" x14ac:dyDescent="0.25">
      <c r="A37373" t="s">
        <v>398</v>
      </c>
      <c r="B37373" s="1" t="str">
        <f>HYPERLINK("http://durhamvwnc.com","durhamvwnc.com")</f>
        <v>durhamvwnc.com</v>
      </c>
      <c r="C37373" t="s">
        <v>433</v>
      </c>
      <c r="J37373">
        <v>3</v>
      </c>
    </row>
    <row r="37374" spans="1:10" x14ac:dyDescent="0.25">
      <c r="A37374" t="s">
        <v>398</v>
      </c>
      <c r="B37374" s="1" t="str">
        <f>HYPERLINK("http://electrifyamerica.com","electrifyamerica.com")</f>
        <v>electrifyamerica.com</v>
      </c>
      <c r="C37374" t="s">
        <v>433</v>
      </c>
      <c r="E37374">
        <v>142037</v>
      </c>
      <c r="F37374">
        <v>7.3071252660949798E-7</v>
      </c>
      <c r="G37374">
        <v>53227</v>
      </c>
      <c r="H37374">
        <v>17250056</v>
      </c>
      <c r="I37374">
        <v>33959</v>
      </c>
      <c r="J37374">
        <v>3</v>
      </c>
    </row>
    <row r="37375" spans="1:10" x14ac:dyDescent="0.25">
      <c r="A37375" t="s">
        <v>398</v>
      </c>
      <c r="B37375" s="1" t="str">
        <f>HYPERLINK("http://emichvwofboulder.com","emichvwofboulder.com")</f>
        <v>emichvwofboulder.com</v>
      </c>
      <c r="C37375" t="s">
        <v>433</v>
      </c>
      <c r="F37375">
        <v>7.3687622158049598E-9</v>
      </c>
      <c r="G37375">
        <v>11316723</v>
      </c>
      <c r="H37375">
        <v>13045109</v>
      </c>
      <c r="I37375">
        <v>12607463</v>
      </c>
      <c r="J37375">
        <v>3</v>
      </c>
    </row>
    <row r="37376" spans="1:10" x14ac:dyDescent="0.25">
      <c r="A37376" t="s">
        <v>398</v>
      </c>
      <c r="B37376" s="1" t="str">
        <f>HYPERLINK("http://employerforlife.com","employerforlife.com")</f>
        <v>employerforlife.com</v>
      </c>
      <c r="C37376" t="s">
        <v>433</v>
      </c>
      <c r="F37376">
        <v>8.4574669982086105E-9</v>
      </c>
      <c r="G37376">
        <v>8927986</v>
      </c>
      <c r="H37376">
        <v>12217154</v>
      </c>
      <c r="I37376">
        <v>22853148</v>
      </c>
      <c r="J37376">
        <v>4</v>
      </c>
    </row>
    <row r="37377" spans="1:10" x14ac:dyDescent="0.25">
      <c r="A37377" t="s">
        <v>398</v>
      </c>
      <c r="B37377" s="1" t="str">
        <f>HYPERLINK("http://enniscorthymotorcompany.com","enniscorthymotorcompany.com")</f>
        <v>enniscorthymotorcompany.com</v>
      </c>
      <c r="C37377" t="s">
        <v>433</v>
      </c>
      <c r="F37377">
        <v>4.5720838348570202E-9</v>
      </c>
      <c r="G37377">
        <v>49995150</v>
      </c>
      <c r="H37377">
        <v>10594203</v>
      </c>
      <c r="I37377">
        <v>45349754</v>
      </c>
      <c r="J37377">
        <v>4</v>
      </c>
    </row>
    <row r="37378" spans="1:10" x14ac:dyDescent="0.25">
      <c r="A37378" t="s">
        <v>398</v>
      </c>
      <c r="B37378" s="1" t="str">
        <f>HYPERLINK("http://escania.com","escania.com")</f>
        <v>escania.com</v>
      </c>
      <c r="C37378" t="s">
        <v>433</v>
      </c>
      <c r="J37378">
        <v>4</v>
      </c>
    </row>
    <row r="37379" spans="1:10" x14ac:dyDescent="0.25">
      <c r="A37379" t="s">
        <v>398</v>
      </c>
      <c r="B37379" s="1" t="str">
        <f>HYPERLINK("http://espritmoto64.com","espritmoto64.com")</f>
        <v>espritmoto64.com</v>
      </c>
      <c r="C37379" t="s">
        <v>433</v>
      </c>
      <c r="F37379">
        <v>4.5951819387950603E-9</v>
      </c>
      <c r="G37379">
        <v>47984451</v>
      </c>
      <c r="H37379">
        <v>9590367</v>
      </c>
      <c r="I37379">
        <v>64505028</v>
      </c>
      <c r="J37379">
        <v>4</v>
      </c>
    </row>
    <row r="37380" spans="1:10" x14ac:dyDescent="0.25">
      <c r="A37380" t="s">
        <v>398</v>
      </c>
      <c r="B37380" s="1" t="str">
        <f>HYPERLINK("http://fairplayauto.com","fairplayauto.com")</f>
        <v>fairplayauto.com</v>
      </c>
      <c r="C37380" t="s">
        <v>433</v>
      </c>
      <c r="F37380">
        <v>5.5409584029679097E-9</v>
      </c>
      <c r="G37380">
        <v>20469387</v>
      </c>
      <c r="H37380">
        <v>12220529</v>
      </c>
      <c r="I37380">
        <v>22777635</v>
      </c>
      <c r="J37380">
        <v>3</v>
      </c>
    </row>
    <row r="37381" spans="1:10" x14ac:dyDescent="0.25">
      <c r="A37381" t="s">
        <v>398</v>
      </c>
      <c r="B37381" s="1" t="str">
        <f>HYPERLINK("http://faw-vw.com","faw-vw.com")</f>
        <v>faw-vw.com</v>
      </c>
      <c r="C37381" t="s">
        <v>433</v>
      </c>
      <c r="E37381">
        <v>82283</v>
      </c>
      <c r="F37381">
        <v>3.80500599959487E-7</v>
      </c>
      <c r="G37381">
        <v>98326</v>
      </c>
      <c r="H37381">
        <v>14785657</v>
      </c>
      <c r="I37381">
        <v>552592</v>
      </c>
      <c r="J37381">
        <v>3</v>
      </c>
    </row>
    <row r="37382" spans="1:10" x14ac:dyDescent="0.25">
      <c r="A37382" t="s">
        <v>398</v>
      </c>
      <c r="B37382" s="1" t="str">
        <f>HYPERLINK("http://fiegenschuh.com","fiegenschuh.com")</f>
        <v>fiegenschuh.com</v>
      </c>
      <c r="C37382" t="s">
        <v>433</v>
      </c>
      <c r="F37382">
        <v>8.0828358026283094E-9</v>
      </c>
      <c r="G37382">
        <v>9772421</v>
      </c>
      <c r="H37382">
        <v>10753144</v>
      </c>
      <c r="I37382">
        <v>39897419</v>
      </c>
      <c r="J37382">
        <v>4</v>
      </c>
    </row>
    <row r="37383" spans="1:10" x14ac:dyDescent="0.25">
      <c r="A37383" t="s">
        <v>398</v>
      </c>
      <c r="B37383" s="1" t="str">
        <f>HYPERLINK("http://findlayvw.com","findlayvw.com")</f>
        <v>findlayvw.com</v>
      </c>
      <c r="C37383" t="s">
        <v>433</v>
      </c>
      <c r="F37383">
        <v>8.1896099936514093E-9</v>
      </c>
      <c r="G37383">
        <v>9589325</v>
      </c>
      <c r="H37383">
        <v>12660642</v>
      </c>
      <c r="I37383">
        <v>15717843</v>
      </c>
      <c r="J37383">
        <v>3</v>
      </c>
    </row>
    <row r="37384" spans="1:10" x14ac:dyDescent="0.25">
      <c r="A37384" t="s">
        <v>398</v>
      </c>
      <c r="B37384" s="1" t="str">
        <f>HYPERLINK("http://flammer-racing.com","flammer-racing.com")</f>
        <v>flammer-racing.com</v>
      </c>
      <c r="C37384" t="s">
        <v>433</v>
      </c>
      <c r="J37384">
        <v>4</v>
      </c>
    </row>
    <row r="37385" spans="1:10" x14ac:dyDescent="0.25">
      <c r="A37385" t="s">
        <v>398</v>
      </c>
      <c r="B37385" s="1" t="str">
        <f>HYPERLINK("http://fleischhauer.com","fleischhauer.com")</f>
        <v>fleischhauer.com</v>
      </c>
      <c r="C37385" t="s">
        <v>433</v>
      </c>
      <c r="F37385">
        <v>3.33813370324646E-8</v>
      </c>
      <c r="G37385">
        <v>1548368</v>
      </c>
      <c r="H37385">
        <v>12725252</v>
      </c>
      <c r="I37385">
        <v>15227833</v>
      </c>
      <c r="J37385">
        <v>4</v>
      </c>
    </row>
    <row r="37386" spans="1:10" x14ac:dyDescent="0.25">
      <c r="A37386" t="s">
        <v>398</v>
      </c>
      <c r="B37386" s="1" t="str">
        <f>HYPERLINK("http://foch83.com","foch83.com")</f>
        <v>foch83.com</v>
      </c>
      <c r="C37386" t="s">
        <v>433</v>
      </c>
      <c r="F37386">
        <v>4.7045464735126999E-9</v>
      </c>
      <c r="G37386">
        <v>41008005</v>
      </c>
      <c r="H37386">
        <v>9438831</v>
      </c>
      <c r="I37386">
        <v>66690538</v>
      </c>
      <c r="J37386">
        <v>3</v>
      </c>
    </row>
    <row r="37387" spans="1:10" x14ac:dyDescent="0.25">
      <c r="A37387" t="s">
        <v>398</v>
      </c>
      <c r="B37387" s="1" t="str">
        <f>HYPERLINK("http://frawi.com","frawi.com")</f>
        <v>frawi.com</v>
      </c>
      <c r="C37387" t="s">
        <v>433</v>
      </c>
      <c r="J37387">
        <v>4</v>
      </c>
    </row>
    <row r="37388" spans="1:10" x14ac:dyDescent="0.25">
      <c r="A37388" t="s">
        <v>398</v>
      </c>
      <c r="B37388" s="1" t="str">
        <f>HYPERLINK("http://fsuburbanos.com","fsuburbanos.com")</f>
        <v>fsuburbanos.com</v>
      </c>
      <c r="C37388" t="s">
        <v>433</v>
      </c>
      <c r="F37388">
        <v>2.1188999580868899E-8</v>
      </c>
      <c r="G37388">
        <v>2489103</v>
      </c>
      <c r="H37388">
        <v>14439003</v>
      </c>
      <c r="I37388">
        <v>1065587</v>
      </c>
      <c r="J37388">
        <v>12</v>
      </c>
    </row>
    <row r="37389" spans="1:10" x14ac:dyDescent="0.25">
      <c r="A37389" t="s">
        <v>398</v>
      </c>
      <c r="B37389" s="1" t="str">
        <f>HYPERLINK("http://ftome.com","ftome.com")</f>
        <v>ftome.com</v>
      </c>
      <c r="C37389" t="s">
        <v>433</v>
      </c>
      <c r="F37389">
        <v>1.74916702013686E-8</v>
      </c>
      <c r="G37389">
        <v>3148085</v>
      </c>
      <c r="H37389">
        <v>13149685</v>
      </c>
      <c r="I37389">
        <v>11828823</v>
      </c>
      <c r="J37389">
        <v>3</v>
      </c>
    </row>
    <row r="37390" spans="1:10" x14ac:dyDescent="0.25">
      <c r="A37390" t="s">
        <v>398</v>
      </c>
      <c r="B37390" s="1" t="str">
        <f>HYPERLINK("http://galpinvolkswagen.com","galpinvolkswagen.com")</f>
        <v>galpinvolkswagen.com</v>
      </c>
      <c r="C37390" t="s">
        <v>433</v>
      </c>
      <c r="F37390">
        <v>1.14098627920503E-8</v>
      </c>
      <c r="G37390">
        <v>5567674</v>
      </c>
      <c r="H37390">
        <v>12504728</v>
      </c>
      <c r="I37390">
        <v>17298575</v>
      </c>
      <c r="J37390">
        <v>3</v>
      </c>
    </row>
    <row r="37391" spans="1:10" x14ac:dyDescent="0.25">
      <c r="A37391" t="s">
        <v>398</v>
      </c>
      <c r="B37391" s="1" t="str">
        <f>HYPERLINK("http://garage-beyou-lannion.com","garage-beyou-lannion.com")</f>
        <v>garage-beyou-lannion.com</v>
      </c>
      <c r="C37391" t="s">
        <v>433</v>
      </c>
      <c r="F37391">
        <v>6.4592715019691901E-9</v>
      </c>
      <c r="G37391">
        <v>14251730</v>
      </c>
      <c r="H37391">
        <v>10543343</v>
      </c>
      <c r="I37391">
        <v>47030234</v>
      </c>
      <c r="J37391">
        <v>3</v>
      </c>
    </row>
    <row r="37392" spans="1:10" x14ac:dyDescent="0.25">
      <c r="A37392" t="s">
        <v>398</v>
      </c>
      <c r="B37392" s="1" t="str">
        <f>HYPERLINK("http://gdcphlwygc.com","gdcphlwygc.com")</f>
        <v>gdcphlwygc.com</v>
      </c>
      <c r="C37392" t="s">
        <v>433</v>
      </c>
      <c r="F37392">
        <v>4.44380395335525E-9</v>
      </c>
      <c r="G37392">
        <v>81746375</v>
      </c>
      <c r="H37392">
        <v>0</v>
      </c>
      <c r="I37392">
        <v>82195734</v>
      </c>
      <c r="J37392">
        <v>7</v>
      </c>
    </row>
    <row r="37393" spans="1:10" x14ac:dyDescent="0.25">
      <c r="A37393" t="s">
        <v>398</v>
      </c>
      <c r="B37393" s="1" t="str">
        <f>HYPERLINK("http://gerstenmaier.com","gerstenmaier.com")</f>
        <v>gerstenmaier.com</v>
      </c>
      <c r="C37393" t="s">
        <v>433</v>
      </c>
      <c r="F37393">
        <v>6.1996046837385198E-9</v>
      </c>
      <c r="G37393">
        <v>15538743</v>
      </c>
      <c r="H37393">
        <v>12751681</v>
      </c>
      <c r="I37393">
        <v>15017705</v>
      </c>
      <c r="J37393">
        <v>4</v>
      </c>
    </row>
    <row r="37394" spans="1:10" x14ac:dyDescent="0.25">
      <c r="A37394" t="s">
        <v>398</v>
      </c>
      <c r="B37394" s="1" t="str">
        <f>HYPERLINK("http://grandschamps-automobiles.com","grandschamps-automobiles.com")</f>
        <v>grandschamps-automobiles.com</v>
      </c>
      <c r="C37394" t="s">
        <v>433</v>
      </c>
      <c r="J37394">
        <v>3</v>
      </c>
    </row>
    <row r="37395" spans="1:10" x14ac:dyDescent="0.25">
      <c r="A37395" t="s">
        <v>398</v>
      </c>
      <c r="B37395" s="1" t="str">
        <f>HYPERLINK("http://greenaudi.com","greenaudi.com")</f>
        <v>greenaudi.com</v>
      </c>
      <c r="C37395" t="s">
        <v>433</v>
      </c>
      <c r="F37395">
        <v>4.9799707752009503E-9</v>
      </c>
      <c r="G37395">
        <v>29997662</v>
      </c>
      <c r="H37395">
        <v>12094756</v>
      </c>
      <c r="I37395">
        <v>26103328</v>
      </c>
      <c r="J37395">
        <v>4</v>
      </c>
    </row>
    <row r="37396" spans="1:10" x14ac:dyDescent="0.25">
      <c r="A37396" t="s">
        <v>398</v>
      </c>
      <c r="B37396" s="1" t="str">
        <f>HYPERLINK("http://greyp.com","greyp.com")</f>
        <v>greyp.com</v>
      </c>
      <c r="C37396" t="s">
        <v>433</v>
      </c>
      <c r="E37396">
        <v>774759</v>
      </c>
      <c r="F37396">
        <v>8.5013567603352302E-8</v>
      </c>
      <c r="G37396">
        <v>485286</v>
      </c>
      <c r="H37396">
        <v>14459228</v>
      </c>
      <c r="I37396">
        <v>1047765</v>
      </c>
      <c r="J37396">
        <v>5</v>
      </c>
    </row>
    <row r="37397" spans="1:10" x14ac:dyDescent="0.25">
      <c r="A37397" t="s">
        <v>398</v>
      </c>
      <c r="B37397" s="1" t="str">
        <f>HYPERLINK("http://greyp-bikes.com","greyp-bikes.com")</f>
        <v>greyp-bikes.com</v>
      </c>
      <c r="C37397" t="s">
        <v>433</v>
      </c>
      <c r="F37397">
        <v>1.7176316655105501E-8</v>
      </c>
      <c r="G37397">
        <v>3232302</v>
      </c>
      <c r="H37397">
        <v>13393900</v>
      </c>
      <c r="I37397">
        <v>10382277</v>
      </c>
      <c r="J37397">
        <v>8</v>
      </c>
    </row>
    <row r="37398" spans="1:10" x14ac:dyDescent="0.25">
      <c r="A37398" t="s">
        <v>398</v>
      </c>
      <c r="B37398" s="1" t="str">
        <f>HYPERLINK("http://groupe-deluc.com","groupe-deluc.com")</f>
        <v>groupe-deluc.com</v>
      </c>
      <c r="C37398" t="s">
        <v>433</v>
      </c>
      <c r="F37398">
        <v>1.6245455070982701E-8</v>
      </c>
      <c r="G37398">
        <v>3484104</v>
      </c>
      <c r="H37398">
        <v>12228611</v>
      </c>
      <c r="I37398">
        <v>22543391</v>
      </c>
      <c r="J37398">
        <v>3</v>
      </c>
    </row>
    <row r="37399" spans="1:10" x14ac:dyDescent="0.25">
      <c r="A37399" t="s">
        <v>398</v>
      </c>
      <c r="B37399" s="1" t="str">
        <f>HYPERLINK("http://groupelombardot.com","groupelombardot.com")</f>
        <v>groupelombardot.com</v>
      </c>
      <c r="C37399" t="s">
        <v>433</v>
      </c>
      <c r="F37399">
        <v>6.7982823175774297E-9</v>
      </c>
      <c r="G37399">
        <v>12966767</v>
      </c>
      <c r="H37399">
        <v>12078239</v>
      </c>
      <c r="I37399">
        <v>26602732</v>
      </c>
      <c r="J37399">
        <v>4</v>
      </c>
    </row>
    <row r="37400" spans="1:10" x14ac:dyDescent="0.25">
      <c r="A37400" t="s">
        <v>398</v>
      </c>
      <c r="B37400" s="1" t="str">
        <f>HYPERLINK("http://groupeschumacher.com","groupeschumacher.com")</f>
        <v>groupeschumacher.com</v>
      </c>
      <c r="C37400" t="s">
        <v>433</v>
      </c>
      <c r="F37400">
        <v>6.7982975862852599E-9</v>
      </c>
      <c r="G37400">
        <v>12966721</v>
      </c>
      <c r="H37400">
        <v>12730851</v>
      </c>
      <c r="I37400">
        <v>15193974</v>
      </c>
      <c r="J37400">
        <v>8</v>
      </c>
    </row>
    <row r="37401" spans="1:10" x14ac:dyDescent="0.25">
      <c r="A37401" t="s">
        <v>398</v>
      </c>
      <c r="B37401" s="1" t="str">
        <f>HYPERLINK("http://gruppofrentauto.com","gruppofrentauto.com")</f>
        <v>gruppofrentauto.com</v>
      </c>
      <c r="C37401" t="s">
        <v>433</v>
      </c>
      <c r="F37401">
        <v>4.9430948280542503E-9</v>
      </c>
      <c r="G37401">
        <v>30998242</v>
      </c>
      <c r="H37401">
        <v>12936411</v>
      </c>
      <c r="I37401">
        <v>13329843</v>
      </c>
      <c r="J37401">
        <v>4</v>
      </c>
    </row>
    <row r="37402" spans="1:10" x14ac:dyDescent="0.25">
      <c r="A37402" t="s">
        <v>398</v>
      </c>
      <c r="B37402" s="1" t="str">
        <f>HYPERLINK("http://h-tec.com","h-tec.com")</f>
        <v>h-tec.com</v>
      </c>
      <c r="C37402" t="s">
        <v>433</v>
      </c>
      <c r="F37402">
        <v>5.5404876855452599E-8</v>
      </c>
      <c r="G37402">
        <v>810288</v>
      </c>
      <c r="H37402">
        <v>13483302</v>
      </c>
      <c r="I37402">
        <v>10000338</v>
      </c>
      <c r="J37402">
        <v>6</v>
      </c>
    </row>
    <row r="37403" spans="1:10" x14ac:dyDescent="0.25">
      <c r="A37403" t="s">
        <v>398</v>
      </c>
      <c r="B37403" s="1" t="str">
        <f>HYPERLINK("http://hallmazdamilwaukee.com","hallmazdamilwaukee.com")</f>
        <v>hallmazdamilwaukee.com</v>
      </c>
      <c r="C37403" t="s">
        <v>433</v>
      </c>
      <c r="F37403">
        <v>5.9981137292181898E-9</v>
      </c>
      <c r="G37403">
        <v>16695368</v>
      </c>
      <c r="H37403">
        <v>13234026</v>
      </c>
      <c r="I37403">
        <v>11252526</v>
      </c>
      <c r="J37403">
        <v>3</v>
      </c>
    </row>
    <row r="37404" spans="1:10" x14ac:dyDescent="0.25">
      <c r="A37404" t="s">
        <v>398</v>
      </c>
      <c r="B37404" s="1" t="str">
        <f>HYPERLINK("http://harrisporsche.com","harrisporsche.com")</f>
        <v>harrisporsche.com</v>
      </c>
      <c r="C37404" t="s">
        <v>433</v>
      </c>
      <c r="J37404">
        <v>4</v>
      </c>
    </row>
    <row r="37405" spans="1:10" x14ac:dyDescent="0.25">
      <c r="A37405" t="s">
        <v>398</v>
      </c>
      <c r="B37405" s="1" t="str">
        <f>HYPERLINK("http://hatfieldvw.com","hatfieldvw.com")</f>
        <v>hatfieldvw.com</v>
      </c>
      <c r="C37405" t="s">
        <v>433</v>
      </c>
      <c r="F37405">
        <v>4.52916759879508E-9</v>
      </c>
      <c r="G37405">
        <v>55151459</v>
      </c>
      <c r="H37405">
        <v>10509304</v>
      </c>
      <c r="I37405">
        <v>49825717</v>
      </c>
      <c r="J37405">
        <v>3</v>
      </c>
    </row>
    <row r="37406" spans="1:10" x14ac:dyDescent="0.25">
      <c r="A37406" t="s">
        <v>398</v>
      </c>
      <c r="B37406" s="1" t="str">
        <f>HYPERLINK("http://herzog-meiervw.com","herzog-meiervw.com")</f>
        <v>herzog-meiervw.com</v>
      </c>
      <c r="C37406" t="s">
        <v>433</v>
      </c>
      <c r="F37406">
        <v>8.4898147452421596E-9</v>
      </c>
      <c r="G37406">
        <v>8864775</v>
      </c>
      <c r="H37406">
        <v>12528241</v>
      </c>
      <c r="I37406">
        <v>17057166</v>
      </c>
      <c r="J37406">
        <v>3</v>
      </c>
    </row>
    <row r="37407" spans="1:10" x14ac:dyDescent="0.25">
      <c r="A37407" t="s">
        <v>398</v>
      </c>
      <c r="B37407" s="1" t="str">
        <f>HYPERLINK("http://hewlettvw.com","hewlettvw.com")</f>
        <v>hewlettvw.com</v>
      </c>
      <c r="C37407" t="s">
        <v>433</v>
      </c>
      <c r="F37407">
        <v>5.17655438791775E-9</v>
      </c>
      <c r="G37407">
        <v>25611219</v>
      </c>
      <c r="H37407">
        <v>12299195</v>
      </c>
      <c r="I37407">
        <v>20856379</v>
      </c>
      <c r="J37407">
        <v>3</v>
      </c>
    </row>
    <row r="37408" spans="1:10" x14ac:dyDescent="0.25">
      <c r="A37408" t="s">
        <v>398</v>
      </c>
      <c r="B37408" s="1" t="str">
        <f>HYPERLINK("http://hillcrestvw.com","hillcrestvw.com")</f>
        <v>hillcrestvw.com</v>
      </c>
      <c r="C37408" t="s">
        <v>433</v>
      </c>
      <c r="F37408">
        <v>5.2119265135933199E-9</v>
      </c>
      <c r="G37408">
        <v>24891396</v>
      </c>
      <c r="H37408">
        <v>11030028</v>
      </c>
      <c r="I37408">
        <v>33103882</v>
      </c>
      <c r="J37408">
        <v>3</v>
      </c>
    </row>
    <row r="37409" spans="1:10" x14ac:dyDescent="0.25">
      <c r="A37409" t="s">
        <v>398</v>
      </c>
      <c r="B37409" s="1" t="str">
        <f>HYPERLINK("http://hoppygo.com","hoppygo.com")</f>
        <v>hoppygo.com</v>
      </c>
      <c r="C37409" t="s">
        <v>433</v>
      </c>
      <c r="F37409">
        <v>1.08025785419947E-7</v>
      </c>
      <c r="G37409">
        <v>370538</v>
      </c>
      <c r="H37409">
        <v>16942394</v>
      </c>
      <c r="I37409">
        <v>111520</v>
      </c>
      <c r="J37409">
        <v>3</v>
      </c>
    </row>
    <row r="37410" spans="1:10" x14ac:dyDescent="0.25">
      <c r="A37410" t="s">
        <v>398</v>
      </c>
      <c r="B37410" s="1" t="str">
        <f>HYPERLINK("http://htc-heathrow.com","htc-heathrow.com")</f>
        <v>htc-heathrow.com</v>
      </c>
      <c r="C37410" t="s">
        <v>433</v>
      </c>
      <c r="F37410">
        <v>7.2537031996962904E-9</v>
      </c>
      <c r="G37410">
        <v>11596257</v>
      </c>
      <c r="H37410">
        <v>10608311</v>
      </c>
      <c r="I37410">
        <v>44617081</v>
      </c>
      <c r="J37410">
        <v>9</v>
      </c>
    </row>
    <row r="37411" spans="1:10" x14ac:dyDescent="0.25">
      <c r="A37411" t="s">
        <v>398</v>
      </c>
      <c r="B37411" s="1" t="str">
        <f>HYPERLINK("http://humberviewvw.com","humberviewvw.com")</f>
        <v>humberviewvw.com</v>
      </c>
      <c r="C37411" t="s">
        <v>433</v>
      </c>
      <c r="F37411">
        <v>8.4909811264855096E-9</v>
      </c>
      <c r="G37411">
        <v>8862579</v>
      </c>
      <c r="H37411">
        <v>11899207</v>
      </c>
      <c r="I37411">
        <v>29527687</v>
      </c>
      <c r="J37411">
        <v>3</v>
      </c>
    </row>
    <row r="37412" spans="1:10" x14ac:dyDescent="0.25">
      <c r="A37412" t="s">
        <v>398</v>
      </c>
      <c r="B37412" s="1" t="str">
        <f>HYPERLINK("http://iav.com","iav.com")</f>
        <v>iav.com</v>
      </c>
      <c r="C37412" t="s">
        <v>433</v>
      </c>
      <c r="E37412">
        <v>347326</v>
      </c>
      <c r="F37412">
        <v>2.5549855082855102E-7</v>
      </c>
      <c r="G37412">
        <v>146412</v>
      </c>
      <c r="H37412">
        <v>15221094</v>
      </c>
      <c r="I37412">
        <v>393255</v>
      </c>
      <c r="J37412">
        <v>3</v>
      </c>
    </row>
    <row r="37413" spans="1:10" x14ac:dyDescent="0.25">
      <c r="A37413" t="s">
        <v>398</v>
      </c>
      <c r="B37413" s="1" t="str">
        <f>HYPERLINK("http://iav-usa.com","iav-usa.com")</f>
        <v>iav-usa.com</v>
      </c>
      <c r="C37413" t="s">
        <v>433</v>
      </c>
      <c r="F37413">
        <v>4.51296587988223E-9</v>
      </c>
      <c r="G37413">
        <v>57110224</v>
      </c>
      <c r="H37413">
        <v>10392301</v>
      </c>
      <c r="I37413">
        <v>54372606</v>
      </c>
      <c r="J37413">
        <v>6</v>
      </c>
    </row>
    <row r="37414" spans="1:10" x14ac:dyDescent="0.25">
      <c r="A37414" t="s">
        <v>398</v>
      </c>
      <c r="B37414" s="1" t="str">
        <f>HYPERLINK("http://icbus.com","icbus.com")</f>
        <v>icbus.com</v>
      </c>
      <c r="C37414" t="s">
        <v>433</v>
      </c>
      <c r="F37414">
        <v>4.40288888640928E-8</v>
      </c>
      <c r="G37414">
        <v>1080628</v>
      </c>
      <c r="H37414">
        <v>14097481</v>
      </c>
      <c r="I37414">
        <v>2720807</v>
      </c>
      <c r="J37414">
        <v>5</v>
      </c>
    </row>
    <row r="37415" spans="1:10" x14ac:dyDescent="0.25">
      <c r="A37415" t="s">
        <v>398</v>
      </c>
      <c r="B37415" s="1" t="str">
        <f>HYPERLINK("http://imagoprinter.com","imagoprinter.com")</f>
        <v>imagoprinter.com</v>
      </c>
      <c r="C37415" t="s">
        <v>433</v>
      </c>
      <c r="F37415">
        <v>5.7813708765383303E-9</v>
      </c>
      <c r="G37415">
        <v>18233801</v>
      </c>
      <c r="H37415">
        <v>10997353</v>
      </c>
      <c r="I37415">
        <v>33626011</v>
      </c>
      <c r="J37415">
        <v>6</v>
      </c>
    </row>
    <row r="37416" spans="1:10" x14ac:dyDescent="0.25">
      <c r="A37416" t="s">
        <v>398</v>
      </c>
      <c r="B37416" s="1" t="str">
        <f>HYPERLINK("http://inrix.com","inrix.com")</f>
        <v>inrix.com</v>
      </c>
      <c r="C37416" t="s">
        <v>433</v>
      </c>
      <c r="E37416">
        <v>49564</v>
      </c>
      <c r="F37416">
        <v>1.21611757354022E-6</v>
      </c>
      <c r="G37416">
        <v>31966</v>
      </c>
      <c r="H37416">
        <v>15813032</v>
      </c>
      <c r="I37416">
        <v>367991</v>
      </c>
      <c r="J37416">
        <v>4</v>
      </c>
    </row>
    <row r="37417" spans="1:10" x14ac:dyDescent="0.25">
      <c r="A37417" t="s">
        <v>398</v>
      </c>
      <c r="B37417" s="1" t="str">
        <f>HYPERLINK("http://intenatinalrefacciones.com","intenatinalrefacciones.com")</f>
        <v>intenatinalrefacciones.com</v>
      </c>
      <c r="C37417" t="s">
        <v>433</v>
      </c>
      <c r="J37417">
        <v>4</v>
      </c>
    </row>
    <row r="37418" spans="1:10" x14ac:dyDescent="0.25">
      <c r="A37418" t="s">
        <v>398</v>
      </c>
      <c r="B37418" s="1" t="str">
        <f>HYPERLINK("http://internationalcamiones.com","internationalcamiones.com")</f>
        <v>internationalcamiones.com</v>
      </c>
      <c r="C37418" t="s">
        <v>433</v>
      </c>
      <c r="F37418">
        <v>1.10768379100834E-8</v>
      </c>
      <c r="G37418">
        <v>5802523</v>
      </c>
      <c r="H37418">
        <v>14082317</v>
      </c>
      <c r="I37418">
        <v>2801473</v>
      </c>
      <c r="J37418">
        <v>4</v>
      </c>
    </row>
    <row r="37419" spans="1:10" x14ac:dyDescent="0.25">
      <c r="A37419" t="s">
        <v>398</v>
      </c>
      <c r="B37419" s="1" t="str">
        <f>HYPERLINK("http://internationaltrucks.com","internationaltrucks.com")</f>
        <v>internationaltrucks.com</v>
      </c>
      <c r="C37419" t="s">
        <v>433</v>
      </c>
      <c r="E37419">
        <v>229712</v>
      </c>
      <c r="F37419">
        <v>1.4799629479549701E-7</v>
      </c>
      <c r="G37419">
        <v>263030</v>
      </c>
      <c r="H37419">
        <v>14616648</v>
      </c>
      <c r="I37419">
        <v>664630</v>
      </c>
      <c r="J37419">
        <v>3</v>
      </c>
    </row>
    <row r="37420" spans="1:10" x14ac:dyDescent="0.25">
      <c r="A37420" t="s">
        <v>398</v>
      </c>
      <c r="B37420" s="1" t="str">
        <f>HYPERLINK("http://ionitychargers.com","ionitychargers.com")</f>
        <v>ionitychargers.com</v>
      </c>
      <c r="C37420" t="s">
        <v>433</v>
      </c>
      <c r="F37420">
        <v>6.01876456836215E-9</v>
      </c>
      <c r="G37420">
        <v>16569390</v>
      </c>
      <c r="H37420">
        <v>12261790</v>
      </c>
      <c r="I37420">
        <v>21723302</v>
      </c>
      <c r="J37420">
        <v>5</v>
      </c>
    </row>
    <row r="37421" spans="1:10" x14ac:dyDescent="0.25">
      <c r="A37421" t="s">
        <v>398</v>
      </c>
      <c r="B37421" s="1" t="str">
        <f>HYPERLINK("http://itisholdings.com","itisholdings.com")</f>
        <v>itisholdings.com</v>
      </c>
      <c r="C37421" t="s">
        <v>433</v>
      </c>
      <c r="F37421">
        <v>1.1646011341027501E-8</v>
      </c>
      <c r="G37421">
        <v>5401782</v>
      </c>
      <c r="H37421">
        <v>14575599</v>
      </c>
      <c r="I37421">
        <v>726355</v>
      </c>
      <c r="J37421">
        <v>6</v>
      </c>
    </row>
    <row r="37422" spans="1:10" x14ac:dyDescent="0.25">
      <c r="A37422" t="s">
        <v>398</v>
      </c>
      <c r="B37422" s="1" t="str">
        <f>HYPERLINK("http://jpvolkswagensurrey.com","jpvolkswagensurrey.com")</f>
        <v>jpvolkswagensurrey.com</v>
      </c>
      <c r="C37422" t="s">
        <v>433</v>
      </c>
      <c r="F37422">
        <v>5.6231834415343001E-9</v>
      </c>
      <c r="G37422">
        <v>19639468</v>
      </c>
      <c r="H37422">
        <v>12023428</v>
      </c>
      <c r="I37422">
        <v>27806052</v>
      </c>
      <c r="J37422">
        <v>3</v>
      </c>
    </row>
    <row r="37423" spans="1:10" x14ac:dyDescent="0.25">
      <c r="A37423" t="s">
        <v>398</v>
      </c>
      <c r="B37423" s="1" t="str">
        <f>HYPERLINK("http://kendallvwofbend.com","kendallvwofbend.com")</f>
        <v>kendallvwofbend.com</v>
      </c>
      <c r="C37423" t="s">
        <v>433</v>
      </c>
      <c r="F37423">
        <v>6.8938357220334E-9</v>
      </c>
      <c r="G37423">
        <v>12653780</v>
      </c>
      <c r="H37423">
        <v>12520047</v>
      </c>
      <c r="I37423">
        <v>17152130</v>
      </c>
      <c r="J37423">
        <v>3</v>
      </c>
    </row>
    <row r="37424" spans="1:10" x14ac:dyDescent="0.25">
      <c r="A37424" t="s">
        <v>398</v>
      </c>
      <c r="B37424" s="1" t="str">
        <f>HYPERLINK("http://lamborghini.com","lamborghini.com")</f>
        <v>lamborghini.com</v>
      </c>
      <c r="C37424" t="s">
        <v>433</v>
      </c>
      <c r="E37424">
        <v>15641</v>
      </c>
      <c r="F37424">
        <v>1.58752637752339E-6</v>
      </c>
      <c r="G37424">
        <v>24778</v>
      </c>
      <c r="H37424">
        <v>17527696</v>
      </c>
      <c r="I37424">
        <v>12173</v>
      </c>
      <c r="J37424">
        <v>3</v>
      </c>
    </row>
    <row r="37425" spans="1:10" x14ac:dyDescent="0.25">
      <c r="A37425" t="s">
        <v>398</v>
      </c>
      <c r="B37425" s="1" t="str">
        <f>HYPERLINK("http://lamborghini-antwerp.com","lamborghini-antwerp.com")</f>
        <v>lamborghini-antwerp.com</v>
      </c>
      <c r="C37425" t="s">
        <v>433</v>
      </c>
      <c r="F37425">
        <v>4.5423568579174798E-9</v>
      </c>
      <c r="G37425">
        <v>53072405</v>
      </c>
      <c r="H37425">
        <v>10431629</v>
      </c>
      <c r="I37425">
        <v>53141244</v>
      </c>
      <c r="J37425">
        <v>4</v>
      </c>
    </row>
    <row r="37426" spans="1:10" x14ac:dyDescent="0.25">
      <c r="A37426" t="s">
        <v>398</v>
      </c>
      <c r="B37426" s="1" t="str">
        <f>HYPERLINK("http://lamborghini-brussels.com","lamborghini-brussels.com")</f>
        <v>lamborghini-brussels.com</v>
      </c>
      <c r="C37426" t="s">
        <v>433</v>
      </c>
      <c r="F37426">
        <v>4.6482229895845996E-9</v>
      </c>
      <c r="G37426">
        <v>44254129</v>
      </c>
      <c r="H37426">
        <v>10509876</v>
      </c>
      <c r="I37426">
        <v>49697613</v>
      </c>
      <c r="J37426">
        <v>4</v>
      </c>
    </row>
    <row r="37427" spans="1:10" x14ac:dyDescent="0.25">
      <c r="A37427" t="s">
        <v>398</v>
      </c>
      <c r="B37427" s="1" t="str">
        <f>HYPERLINK("http://lamborghini-lyon.com","lamborghini-lyon.com")</f>
        <v>lamborghini-lyon.com</v>
      </c>
      <c r="C37427" t="s">
        <v>433</v>
      </c>
      <c r="F37427">
        <v>4.44380395335525E-9</v>
      </c>
      <c r="G37427">
        <v>82359030</v>
      </c>
      <c r="H37427">
        <v>0</v>
      </c>
      <c r="I37427">
        <v>82951762</v>
      </c>
      <c r="J37427">
        <v>4</v>
      </c>
    </row>
    <row r="37428" spans="1:10" x14ac:dyDescent="0.25">
      <c r="A37428" t="s">
        <v>398</v>
      </c>
      <c r="B37428" s="1" t="str">
        <f>HYPERLINK("http://lamborghini-mulhouse.com","lamborghini-mulhouse.com")</f>
        <v>lamborghini-mulhouse.com</v>
      </c>
      <c r="C37428" t="s">
        <v>433</v>
      </c>
      <c r="F37428">
        <v>4.44380395335525E-9</v>
      </c>
      <c r="G37428">
        <v>82359031</v>
      </c>
      <c r="H37428">
        <v>0</v>
      </c>
      <c r="I37428">
        <v>82951763</v>
      </c>
      <c r="J37428">
        <v>4</v>
      </c>
    </row>
    <row r="37429" spans="1:10" x14ac:dyDescent="0.25">
      <c r="A37429" t="s">
        <v>398</v>
      </c>
      <c r="B37429" s="1" t="str">
        <f>HYPERLINK("http://lamborghini-paris.com","lamborghini-paris.com")</f>
        <v>lamborghini-paris.com</v>
      </c>
      <c r="C37429" t="s">
        <v>433</v>
      </c>
      <c r="F37429">
        <v>8.8689083916575399E-9</v>
      </c>
      <c r="G37429">
        <v>8193762</v>
      </c>
      <c r="H37429">
        <v>9708676</v>
      </c>
      <c r="I37429">
        <v>63278647</v>
      </c>
      <c r="J37429">
        <v>4</v>
      </c>
    </row>
    <row r="37430" spans="1:10" x14ac:dyDescent="0.25">
      <c r="A37430" t="s">
        <v>398</v>
      </c>
      <c r="B37430" s="1" t="str">
        <f>HYPERLINK("http://lamborghini-stuttgart.com","lamborghini-stuttgart.com")</f>
        <v>lamborghini-stuttgart.com</v>
      </c>
      <c r="C37430" t="s">
        <v>433</v>
      </c>
      <c r="F37430">
        <v>6.8042292451875703E-9</v>
      </c>
      <c r="G37430">
        <v>12945616</v>
      </c>
      <c r="H37430">
        <v>10787284</v>
      </c>
      <c r="I37430">
        <v>38605963</v>
      </c>
      <c r="J37430">
        <v>4</v>
      </c>
    </row>
    <row r="37431" spans="1:10" x14ac:dyDescent="0.25">
      <c r="A37431" t="s">
        <v>398</v>
      </c>
      <c r="B37431" s="1" t="str">
        <f>HYPERLINK("http://lamborghini-warsaw.com","lamborghini-warsaw.com")</f>
        <v>lamborghini-warsaw.com</v>
      </c>
      <c r="C37431" t="s">
        <v>433</v>
      </c>
      <c r="F37431">
        <v>4.7783178599105496E-9</v>
      </c>
      <c r="G37431">
        <v>37026728</v>
      </c>
      <c r="H37431">
        <v>8451412</v>
      </c>
      <c r="I37431">
        <v>72533418</v>
      </c>
      <c r="J37431">
        <v>4</v>
      </c>
    </row>
    <row r="37432" spans="1:10" x14ac:dyDescent="0.25">
      <c r="A37432" t="s">
        <v>398</v>
      </c>
      <c r="B37432" s="1" t="str">
        <f>HYPERLINK("http://lamborghini-warszawa.com","lamborghini-warszawa.com")</f>
        <v>lamborghini-warszawa.com</v>
      </c>
      <c r="C37432" t="s">
        <v>433</v>
      </c>
      <c r="F37432">
        <v>5.1160945497668398E-9</v>
      </c>
      <c r="G37432">
        <v>26732996</v>
      </c>
      <c r="H37432">
        <v>10596059</v>
      </c>
      <c r="I37432">
        <v>45140728</v>
      </c>
      <c r="J37432">
        <v>4</v>
      </c>
    </row>
    <row r="37433" spans="1:10" x14ac:dyDescent="0.25">
      <c r="A37433" t="s">
        <v>398</v>
      </c>
      <c r="B37433" s="1" t="str">
        <f>HYPERLINK("http://larrymillervolkswagen.com","larrymillervolkswagen.com")</f>
        <v>larrymillervolkswagen.com</v>
      </c>
      <c r="C37433" t="s">
        <v>433</v>
      </c>
      <c r="F37433">
        <v>1.2297994346384199E-8</v>
      </c>
      <c r="G37433">
        <v>4995272</v>
      </c>
      <c r="H37433">
        <v>12504209</v>
      </c>
      <c r="I37433">
        <v>17303776</v>
      </c>
      <c r="J37433">
        <v>3</v>
      </c>
    </row>
    <row r="37434" spans="1:10" x14ac:dyDescent="0.25">
      <c r="A37434" t="s">
        <v>398</v>
      </c>
      <c r="B37434" s="1" t="str">
        <f>HYPERLINK("http://larsonvolkswagen.com","larsonvolkswagen.com")</f>
        <v>larsonvolkswagen.com</v>
      </c>
      <c r="C37434" t="s">
        <v>433</v>
      </c>
      <c r="F37434">
        <v>8.8998846050654306E-9</v>
      </c>
      <c r="G37434">
        <v>8144147</v>
      </c>
      <c r="H37434">
        <v>12361299</v>
      </c>
      <c r="I37434">
        <v>19561817</v>
      </c>
      <c r="J37434">
        <v>3</v>
      </c>
    </row>
    <row r="37435" spans="1:10" x14ac:dyDescent="0.25">
      <c r="A37435" t="s">
        <v>398</v>
      </c>
      <c r="B37435" s="1" t="str">
        <f>HYPERLINK("http://lauzonaudi.com","lauzonaudi.com")</f>
        <v>lauzonaudi.com</v>
      </c>
      <c r="C37435" t="s">
        <v>433</v>
      </c>
      <c r="F37435">
        <v>6.7474097204599302E-9</v>
      </c>
      <c r="G37435">
        <v>13137910</v>
      </c>
      <c r="H37435">
        <v>10732201</v>
      </c>
      <c r="I37435">
        <v>40822834</v>
      </c>
      <c r="J37435">
        <v>4</v>
      </c>
    </row>
    <row r="37436" spans="1:10" x14ac:dyDescent="0.25">
      <c r="A37436" t="s">
        <v>398</v>
      </c>
      <c r="B37436" s="1" t="str">
        <f>HYPERLINK("http://lhmvw.com","lhmvw.com")</f>
        <v>lhmvw.com</v>
      </c>
      <c r="C37436" t="s">
        <v>433</v>
      </c>
      <c r="F37436">
        <v>9.2441413454033899E-9</v>
      </c>
      <c r="G37436">
        <v>7646322</v>
      </c>
      <c r="H37436">
        <v>12780997</v>
      </c>
      <c r="I37436">
        <v>14744818</v>
      </c>
      <c r="J37436">
        <v>3</v>
      </c>
    </row>
    <row r="37437" spans="1:10" x14ac:dyDescent="0.25">
      <c r="A37437" t="s">
        <v>398</v>
      </c>
      <c r="B37437" s="1" t="str">
        <f>HYPERLINK("http://licvw.com","licvw.com")</f>
        <v>licvw.com</v>
      </c>
      <c r="C37437" t="s">
        <v>433</v>
      </c>
      <c r="F37437">
        <v>4.7379903701959697E-9</v>
      </c>
      <c r="G37437">
        <v>38901092</v>
      </c>
      <c r="H37437">
        <v>9623008</v>
      </c>
      <c r="I37437">
        <v>64159727</v>
      </c>
      <c r="J37437">
        <v>3</v>
      </c>
    </row>
    <row r="37438" spans="1:10" x14ac:dyDescent="0.25">
      <c r="A37438" t="s">
        <v>398</v>
      </c>
      <c r="B37438" s="1" t="str">
        <f>HYPERLINK("http://lithiavwmedford.com","lithiavwmedford.com")</f>
        <v>lithiavwmedford.com</v>
      </c>
      <c r="C37438" t="s">
        <v>433</v>
      </c>
      <c r="F37438">
        <v>5.0359719387916602E-9</v>
      </c>
      <c r="G37438">
        <v>28533136</v>
      </c>
      <c r="H37438">
        <v>9757783</v>
      </c>
      <c r="I37438">
        <v>62926880</v>
      </c>
      <c r="J37438">
        <v>3</v>
      </c>
    </row>
    <row r="37439" spans="1:10" x14ac:dyDescent="0.25">
      <c r="A37439" t="s">
        <v>398</v>
      </c>
      <c r="B37439" s="1" t="str">
        <f>HYPERLINK("http://lotsgroup.com","lotsgroup.com")</f>
        <v>lotsgroup.com</v>
      </c>
      <c r="C37439" t="s">
        <v>433</v>
      </c>
      <c r="F37439">
        <v>6.5385036038851098E-9</v>
      </c>
      <c r="G37439">
        <v>13919411</v>
      </c>
      <c r="H37439">
        <v>12354030</v>
      </c>
      <c r="I37439">
        <v>19696931</v>
      </c>
      <c r="J37439">
        <v>3</v>
      </c>
    </row>
    <row r="37440" spans="1:10" x14ac:dyDescent="0.25">
      <c r="A37440" t="s">
        <v>398</v>
      </c>
      <c r="B37440" s="1" t="str">
        <f>HYPERLINK("http://lowcountryvw.com","lowcountryvw.com")</f>
        <v>lowcountryvw.com</v>
      </c>
      <c r="C37440" t="s">
        <v>433</v>
      </c>
      <c r="F37440">
        <v>7.4239792147553197E-9</v>
      </c>
      <c r="G37440">
        <v>11186151</v>
      </c>
      <c r="H37440">
        <v>12212405</v>
      </c>
      <c r="I37440">
        <v>22967920</v>
      </c>
      <c r="J37440">
        <v>3</v>
      </c>
    </row>
    <row r="37441" spans="1:10" x14ac:dyDescent="0.25">
      <c r="A37441" t="s">
        <v>398</v>
      </c>
      <c r="B37441" s="1" t="str">
        <f>HYPERLINK("http://man-es.com","man-es.com")</f>
        <v>man-es.com</v>
      </c>
      <c r="C37441" t="s">
        <v>433</v>
      </c>
      <c r="E37441">
        <v>96877</v>
      </c>
      <c r="F37441">
        <v>3.2812486788169399E-7</v>
      </c>
      <c r="G37441">
        <v>113511</v>
      </c>
      <c r="H37441">
        <v>14963650</v>
      </c>
      <c r="I37441">
        <v>436103</v>
      </c>
      <c r="J37441">
        <v>3</v>
      </c>
    </row>
    <row r="37442" spans="1:10" x14ac:dyDescent="0.25">
      <c r="A37442" t="s">
        <v>398</v>
      </c>
      <c r="B37442" s="1" t="str">
        <f>HYPERLINK("http://man-mec.com","man-mec.com")</f>
        <v>man-mec.com</v>
      </c>
      <c r="C37442" t="s">
        <v>433</v>
      </c>
      <c r="F37442">
        <v>1.0934380777594899E-8</v>
      </c>
      <c r="G37442">
        <v>5915549</v>
      </c>
      <c r="H37442">
        <v>12355842</v>
      </c>
      <c r="I37442">
        <v>19666443</v>
      </c>
      <c r="J37442">
        <v>3</v>
      </c>
    </row>
    <row r="37443" spans="1:10" x14ac:dyDescent="0.25">
      <c r="A37443" t="s">
        <v>398</v>
      </c>
      <c r="B37443" s="1" t="str">
        <f>HYPERLINK("http://man-mn.com","man-mn.com")</f>
        <v>man-mn.com</v>
      </c>
      <c r="C37443" t="s">
        <v>433</v>
      </c>
      <c r="E37443">
        <v>565982</v>
      </c>
      <c r="F37443">
        <v>6.0963840548344597E-8</v>
      </c>
      <c r="G37443">
        <v>722713</v>
      </c>
      <c r="H37443">
        <v>14240008</v>
      </c>
      <c r="I37443">
        <v>1505445</v>
      </c>
      <c r="J37443">
        <v>5</v>
      </c>
    </row>
    <row r="37444" spans="1:10" x14ac:dyDescent="0.25">
      <c r="A37444" t="s">
        <v>398</v>
      </c>
      <c r="B37444" s="1" t="str">
        <f>HYPERLINK("http://mandieselturbo.com","mandieselturbo.com")</f>
        <v>mandieselturbo.com</v>
      </c>
      <c r="C37444" t="s">
        <v>433</v>
      </c>
      <c r="E37444">
        <v>690269</v>
      </c>
      <c r="F37444">
        <v>6.5920789562735802E-8</v>
      </c>
      <c r="G37444">
        <v>651270</v>
      </c>
      <c r="H37444">
        <v>15247759</v>
      </c>
      <c r="I37444">
        <v>390519</v>
      </c>
      <c r="J37444">
        <v>4</v>
      </c>
    </row>
    <row r="37445" spans="1:10" x14ac:dyDescent="0.25">
      <c r="A37445" t="s">
        <v>398</v>
      </c>
      <c r="B37445" s="1" t="str">
        <f>HYPERLINK("http://mantruckandbus.com","mantruckandbus.com")</f>
        <v>mantruckandbus.com</v>
      </c>
      <c r="C37445" t="s">
        <v>433</v>
      </c>
      <c r="E37445">
        <v>113164</v>
      </c>
      <c r="F37445">
        <v>6.3654798140300298E-7</v>
      </c>
      <c r="G37445">
        <v>60315</v>
      </c>
      <c r="H37445">
        <v>15153532</v>
      </c>
      <c r="I37445">
        <v>399774</v>
      </c>
      <c r="J37445">
        <v>3</v>
      </c>
    </row>
    <row r="37446" spans="1:10" x14ac:dyDescent="0.25">
      <c r="A37446" t="s">
        <v>398</v>
      </c>
      <c r="B37446" s="1" t="str">
        <f>HYPERLINK("http://mantrucksindia.com","mantrucksindia.com")</f>
        <v>mantrucksindia.com</v>
      </c>
      <c r="C37446" t="s">
        <v>433</v>
      </c>
      <c r="F37446">
        <v>1.1379222139762299E-8</v>
      </c>
      <c r="G37446">
        <v>5588266</v>
      </c>
      <c r="H37446">
        <v>14071797</v>
      </c>
      <c r="I37446">
        <v>3326296</v>
      </c>
      <c r="J37446">
        <v>5</v>
      </c>
    </row>
    <row r="37447" spans="1:10" x14ac:dyDescent="0.25">
      <c r="A37447" t="s">
        <v>398</v>
      </c>
      <c r="B37447" s="1" t="str">
        <f>HYPERLINK("http://matthewsvw.com","matthewsvw.com")</f>
        <v>matthewsvw.com</v>
      </c>
      <c r="C37447" t="s">
        <v>433</v>
      </c>
      <c r="F37447">
        <v>5.0086155304389597E-9</v>
      </c>
      <c r="G37447">
        <v>29197541</v>
      </c>
      <c r="H37447">
        <v>12332082</v>
      </c>
      <c r="I37447">
        <v>20168435</v>
      </c>
      <c r="J37447">
        <v>3</v>
      </c>
    </row>
    <row r="37448" spans="1:10" x14ac:dyDescent="0.25">
      <c r="A37448" t="s">
        <v>398</v>
      </c>
      <c r="B37448" s="1" t="str">
        <f>HYPERLINK("http://maundvw.com","maundvw.com")</f>
        <v>maundvw.com</v>
      </c>
      <c r="C37448" t="s">
        <v>433</v>
      </c>
      <c r="F37448">
        <v>6.4837322364067501E-9</v>
      </c>
      <c r="G37448">
        <v>14146003</v>
      </c>
      <c r="H37448">
        <v>12482970</v>
      </c>
      <c r="I37448">
        <v>17570489</v>
      </c>
      <c r="J37448">
        <v>3</v>
      </c>
    </row>
    <row r="37449" spans="1:10" x14ac:dyDescent="0.25">
      <c r="A37449" t="s">
        <v>398</v>
      </c>
      <c r="B37449" s="1" t="str">
        <f>HYPERLINK("http://mcdanielsvw.com","mcdanielsvw.com")</f>
        <v>mcdanielsvw.com</v>
      </c>
      <c r="C37449" t="s">
        <v>433</v>
      </c>
      <c r="F37449">
        <v>4.77586717685321E-9</v>
      </c>
      <c r="G37449">
        <v>37125058</v>
      </c>
      <c r="H37449">
        <v>11966411</v>
      </c>
      <c r="I37449">
        <v>28773110</v>
      </c>
      <c r="J37449">
        <v>3</v>
      </c>
    </row>
    <row r="37450" spans="1:10" x14ac:dyDescent="0.25">
      <c r="A37450" t="s">
        <v>398</v>
      </c>
      <c r="B37450" s="1" t="str">
        <f>HYPERLINK("http://mcdonaldvw.com","mcdonaldvw.com")</f>
        <v>mcdonaldvw.com</v>
      </c>
      <c r="C37450" t="s">
        <v>433</v>
      </c>
      <c r="F37450">
        <v>6.4671864295147902E-9</v>
      </c>
      <c r="G37450">
        <v>14217593</v>
      </c>
      <c r="H37450">
        <v>12625750</v>
      </c>
      <c r="I37450">
        <v>16031162</v>
      </c>
      <c r="J37450">
        <v>3</v>
      </c>
    </row>
    <row r="37451" spans="1:10" x14ac:dyDescent="0.25">
      <c r="A37451" t="s">
        <v>398</v>
      </c>
      <c r="B37451" s="1" t="str">
        <f>HYPERLINK("http://mecos.com","mecos.com")</f>
        <v>mecos.com</v>
      </c>
      <c r="C37451" t="s">
        <v>433</v>
      </c>
      <c r="F37451">
        <v>5.4023863189066498E-9</v>
      </c>
      <c r="G37451">
        <v>22084167</v>
      </c>
      <c r="H37451">
        <v>12394332</v>
      </c>
      <c r="I37451">
        <v>18947900</v>
      </c>
      <c r="J37451">
        <v>3</v>
      </c>
    </row>
    <row r="37452" spans="1:10" x14ac:dyDescent="0.25">
      <c r="A37452" t="s">
        <v>398</v>
      </c>
      <c r="B37452" s="1" t="str">
        <f>HYPERLINK("http://mhp.com","mhp.com")</f>
        <v>mhp.com</v>
      </c>
      <c r="C37452" t="s">
        <v>433</v>
      </c>
      <c r="E37452">
        <v>458417</v>
      </c>
      <c r="F37452">
        <v>2.3919970243103199E-7</v>
      </c>
      <c r="G37452">
        <v>156467</v>
      </c>
      <c r="H37452">
        <v>17089800</v>
      </c>
      <c r="I37452">
        <v>66006</v>
      </c>
      <c r="J37452">
        <v>3</v>
      </c>
    </row>
    <row r="37453" spans="1:10" x14ac:dyDescent="0.25">
      <c r="A37453" t="s">
        <v>398</v>
      </c>
      <c r="B37453" s="1" t="str">
        <f>HYPERLINK("http://midlandstruckvan.com","midlandstruckvan.com")</f>
        <v>midlandstruckvan.com</v>
      </c>
      <c r="C37453" t="s">
        <v>433</v>
      </c>
      <c r="F37453">
        <v>1.4392333176179501E-8</v>
      </c>
      <c r="G37453">
        <v>4059739</v>
      </c>
      <c r="H37453">
        <v>12845135</v>
      </c>
      <c r="I37453">
        <v>14319306</v>
      </c>
      <c r="J37453">
        <v>9</v>
      </c>
    </row>
    <row r="37454" spans="1:10" x14ac:dyDescent="0.25">
      <c r="A37454" t="s">
        <v>398</v>
      </c>
      <c r="B37454" s="1" t="str">
        <f>HYPERLINK("http://momentumvolkswagen.com","momentumvolkswagen.com")</f>
        <v>momentumvolkswagen.com</v>
      </c>
      <c r="C37454" t="s">
        <v>433</v>
      </c>
      <c r="F37454">
        <v>5.8465997505830903E-9</v>
      </c>
      <c r="G37454">
        <v>17733691</v>
      </c>
      <c r="H37454">
        <v>12305375</v>
      </c>
      <c r="I37454">
        <v>20728081</v>
      </c>
      <c r="J37454">
        <v>3</v>
      </c>
    </row>
    <row r="37455" spans="1:10" x14ac:dyDescent="0.25">
      <c r="A37455" t="s">
        <v>398</v>
      </c>
      <c r="B37455" s="1" t="str">
        <f>HYPERLINK("http://mossyvw.com","mossyvw.com")</f>
        <v>mossyvw.com</v>
      </c>
      <c r="C37455" t="s">
        <v>433</v>
      </c>
      <c r="F37455">
        <v>4.9276956577241796E-9</v>
      </c>
      <c r="G37455">
        <v>31447939</v>
      </c>
      <c r="H37455">
        <v>12579107</v>
      </c>
      <c r="I37455">
        <v>16522439</v>
      </c>
      <c r="J37455">
        <v>3</v>
      </c>
    </row>
    <row r="37456" spans="1:10" x14ac:dyDescent="0.25">
      <c r="A37456" t="s">
        <v>398</v>
      </c>
      <c r="B37456" s="1" t="str">
        <f>HYPERLINK("http://motocorsa.com","motocorsa.com")</f>
        <v>motocorsa.com</v>
      </c>
      <c r="C37456" t="s">
        <v>433</v>
      </c>
      <c r="F37456">
        <v>2.03976568874728E-8</v>
      </c>
      <c r="G37456">
        <v>2600037</v>
      </c>
      <c r="H37456">
        <v>13818890</v>
      </c>
      <c r="I37456">
        <v>6150763</v>
      </c>
      <c r="J37456">
        <v>4</v>
      </c>
    </row>
    <row r="37457" spans="1:10" x14ac:dyDescent="0.25">
      <c r="A37457" t="s">
        <v>398</v>
      </c>
      <c r="B37457" s="1" t="str">
        <f>HYPERLINK("http://motorgomez.com","motorgomez.com")</f>
        <v>motorgomez.com</v>
      </c>
      <c r="C37457" t="s">
        <v>433</v>
      </c>
      <c r="F37457">
        <v>5.0093330802650098E-9</v>
      </c>
      <c r="G37457">
        <v>29179949</v>
      </c>
      <c r="H37457">
        <v>10728639</v>
      </c>
      <c r="I37457">
        <v>41031627</v>
      </c>
      <c r="J37457">
        <v>4</v>
      </c>
    </row>
    <row r="37458" spans="1:10" x14ac:dyDescent="0.25">
      <c r="A37458" t="s">
        <v>398</v>
      </c>
      <c r="B37458" s="1" t="str">
        <f>HYPERLINK("http://motosport62.com","motosport62.com")</f>
        <v>motosport62.com</v>
      </c>
      <c r="C37458" t="s">
        <v>433</v>
      </c>
      <c r="F37458">
        <v>5.2046028905315002E-9</v>
      </c>
      <c r="G37458">
        <v>25022229</v>
      </c>
      <c r="H37458">
        <v>13064100</v>
      </c>
      <c r="I37458">
        <v>12301762</v>
      </c>
      <c r="J37458">
        <v>4</v>
      </c>
    </row>
    <row r="37459" spans="1:10" x14ac:dyDescent="0.25">
      <c r="A37459" t="s">
        <v>398</v>
      </c>
      <c r="B37459" s="1" t="str">
        <f>HYPERLINK("http://motusuk.com","motusuk.com")</f>
        <v>motusuk.com</v>
      </c>
      <c r="C37459" t="s">
        <v>433</v>
      </c>
      <c r="F37459">
        <v>6.3980607878818404E-9</v>
      </c>
      <c r="G37459">
        <v>14525745</v>
      </c>
      <c r="H37459">
        <v>9831721</v>
      </c>
      <c r="I37459">
        <v>62315195</v>
      </c>
      <c r="J37459">
        <v>8</v>
      </c>
    </row>
    <row r="37460" spans="1:10" x14ac:dyDescent="0.25">
      <c r="A37460" t="s">
        <v>398</v>
      </c>
      <c r="B37460" s="1" t="str">
        <f>HYPERLINK("http://navistar.com","navistar.com")</f>
        <v>navistar.com</v>
      </c>
      <c r="C37460" t="s">
        <v>433</v>
      </c>
      <c r="E37460">
        <v>57678</v>
      </c>
      <c r="F37460">
        <v>2.72755987643464E-7</v>
      </c>
      <c r="G37460">
        <v>136392</v>
      </c>
      <c r="H37460">
        <v>14643889</v>
      </c>
      <c r="I37460">
        <v>634253</v>
      </c>
      <c r="J37460">
        <v>2</v>
      </c>
    </row>
    <row r="37461" spans="1:10" x14ac:dyDescent="0.25">
      <c r="A37461" t="s">
        <v>398</v>
      </c>
      <c r="B37461" s="1" t="str">
        <f>HYPERLINK("http://navistar-financial.com","navistar-financial.com")</f>
        <v>navistar-financial.com</v>
      </c>
      <c r="C37461" t="s">
        <v>433</v>
      </c>
      <c r="F37461">
        <v>6.1462822936721997E-9</v>
      </c>
      <c r="G37461">
        <v>15825437</v>
      </c>
      <c r="H37461">
        <v>10793300</v>
      </c>
      <c r="I37461">
        <v>38377159</v>
      </c>
      <c r="J37461">
        <v>3</v>
      </c>
    </row>
    <row r="37462" spans="1:10" x14ac:dyDescent="0.25">
      <c r="A37462" t="s">
        <v>398</v>
      </c>
      <c r="B37462" s="1" t="str">
        <f>HYPERLINK("http://navistardefense.com","navistardefense.com")</f>
        <v>navistardefense.com</v>
      </c>
      <c r="C37462" t="s">
        <v>433</v>
      </c>
      <c r="E37462">
        <v>532278</v>
      </c>
      <c r="F37462">
        <v>3.3777590355897398E-8</v>
      </c>
      <c r="G37462">
        <v>1531787</v>
      </c>
      <c r="H37462">
        <v>14271018</v>
      </c>
      <c r="I37462">
        <v>1397358</v>
      </c>
      <c r="J37462">
        <v>6</v>
      </c>
    </row>
    <row r="37463" spans="1:10" x14ac:dyDescent="0.25">
      <c r="A37463" t="s">
        <v>398</v>
      </c>
      <c r="B37463" s="1" t="str">
        <f>HYPERLINK("http://niquet.com","niquet.com")</f>
        <v>niquet.com</v>
      </c>
      <c r="C37463" t="s">
        <v>433</v>
      </c>
      <c r="F37463">
        <v>5.5996282650677801E-9</v>
      </c>
      <c r="G37463">
        <v>19861296</v>
      </c>
      <c r="H37463">
        <v>12383779</v>
      </c>
      <c r="I37463">
        <v>19142462</v>
      </c>
      <c r="J37463">
        <v>3</v>
      </c>
    </row>
    <row r="37464" spans="1:10" x14ac:dyDescent="0.25">
      <c r="A37464" t="s">
        <v>398</v>
      </c>
      <c r="B37464" s="1" t="str">
        <f>HYPERLINK("http://noeldeasy.com","noeldeasy.com")</f>
        <v>noeldeasy.com</v>
      </c>
      <c r="C37464" t="s">
        <v>433</v>
      </c>
      <c r="F37464">
        <v>6.9880527519322903E-9</v>
      </c>
      <c r="G37464">
        <v>12347318</v>
      </c>
      <c r="H37464">
        <v>12143241</v>
      </c>
      <c r="I37464">
        <v>24799140</v>
      </c>
      <c r="J37464">
        <v>4</v>
      </c>
    </row>
    <row r="37465" spans="1:10" x14ac:dyDescent="0.25">
      <c r="A37465" t="s">
        <v>398</v>
      </c>
      <c r="B37465" s="1" t="str">
        <f>HYPERLINK("http://onioncreekvw.com","onioncreekvw.com")</f>
        <v>onioncreekvw.com</v>
      </c>
      <c r="C37465" t="s">
        <v>433</v>
      </c>
      <c r="F37465">
        <v>5.5976804906379299E-9</v>
      </c>
      <c r="G37465">
        <v>19879789</v>
      </c>
      <c r="H37465">
        <v>12368409</v>
      </c>
      <c r="I37465">
        <v>19442837</v>
      </c>
      <c r="J37465">
        <v>3</v>
      </c>
    </row>
    <row r="37466" spans="1:10" x14ac:dyDescent="0.25">
      <c r="A37466" t="s">
        <v>398</v>
      </c>
      <c r="B37466" s="1" t="str">
        <f>HYPERLINK("http://opencar.com","opencar.com")</f>
        <v>opencar.com</v>
      </c>
      <c r="C37466" t="s">
        <v>433</v>
      </c>
      <c r="F37466">
        <v>1.13972003783862E-8</v>
      </c>
      <c r="G37466">
        <v>5576185</v>
      </c>
      <c r="H37466">
        <v>13770991</v>
      </c>
      <c r="I37466">
        <v>6708892</v>
      </c>
      <c r="J37466">
        <v>8</v>
      </c>
    </row>
    <row r="37467" spans="1:10" x14ac:dyDescent="0.25">
      <c r="A37467" t="s">
        <v>398</v>
      </c>
      <c r="B37467" s="1" t="str">
        <f>HYPERLINK("http://orbitalcs.com","orbitalcs.com")</f>
        <v>orbitalcs.com</v>
      </c>
      <c r="C37467" t="s">
        <v>433</v>
      </c>
      <c r="F37467">
        <v>1.43978052990468E-8</v>
      </c>
      <c r="G37467">
        <v>4057855</v>
      </c>
      <c r="H37467">
        <v>14378547</v>
      </c>
      <c r="I37467">
        <v>1203556</v>
      </c>
      <c r="J37467">
        <v>11</v>
      </c>
    </row>
    <row r="37468" spans="1:10" x14ac:dyDescent="0.25">
      <c r="A37468" t="s">
        <v>398</v>
      </c>
      <c r="B37468" s="1" t="str">
        <f>HYPERLINK("http://pacificvolkswagen.com","pacificvolkswagen.com")</f>
        <v>pacificvolkswagen.com</v>
      </c>
      <c r="C37468" t="s">
        <v>433</v>
      </c>
      <c r="F37468">
        <v>6.3511603606753398E-9</v>
      </c>
      <c r="G37468">
        <v>14756611</v>
      </c>
      <c r="H37468">
        <v>12653020</v>
      </c>
      <c r="I37468">
        <v>15780266</v>
      </c>
      <c r="J37468">
        <v>3</v>
      </c>
    </row>
    <row r="37469" spans="1:10" x14ac:dyDescent="0.25">
      <c r="A37469" t="s">
        <v>398</v>
      </c>
      <c r="B37469" s="1" t="str">
        <f>HYPERLINK("http://pavoneauto.com","pavoneauto.com")</f>
        <v>pavoneauto.com</v>
      </c>
      <c r="C37469" t="s">
        <v>433</v>
      </c>
      <c r="J37469">
        <v>3</v>
      </c>
    </row>
    <row r="37470" spans="1:10" x14ac:dyDescent="0.25">
      <c r="A37470" t="s">
        <v>398</v>
      </c>
      <c r="B37470" s="1" t="str">
        <f>HYPERLINK("http://paybyphone.com","paybyphone.com")</f>
        <v>paybyphone.com</v>
      </c>
      <c r="C37470" t="s">
        <v>433</v>
      </c>
      <c r="E37470">
        <v>60415</v>
      </c>
      <c r="F37470">
        <v>4.00418439402368E-7</v>
      </c>
      <c r="G37470">
        <v>93736</v>
      </c>
      <c r="H37470">
        <v>17167396</v>
      </c>
      <c r="I37470">
        <v>48286</v>
      </c>
      <c r="J37470">
        <v>3</v>
      </c>
    </row>
    <row r="37471" spans="1:10" x14ac:dyDescent="0.25">
      <c r="A37471" t="s">
        <v>398</v>
      </c>
      <c r="B37471" s="1" t="str">
        <f>HYPERLINK("http://pielstick.com","pielstick.com")</f>
        <v>pielstick.com</v>
      </c>
      <c r="C37471" t="s">
        <v>433</v>
      </c>
      <c r="F37471">
        <v>4.5840349529693198E-9</v>
      </c>
      <c r="G37471">
        <v>48947551</v>
      </c>
      <c r="H37471">
        <v>12452640</v>
      </c>
      <c r="I37471">
        <v>17964659</v>
      </c>
      <c r="J37471">
        <v>4</v>
      </c>
    </row>
    <row r="37472" spans="1:10" x14ac:dyDescent="0.25">
      <c r="A37472" t="s">
        <v>398</v>
      </c>
      <c r="B37472" s="1" t="str">
        <f>HYPERLINK("http://pirola.com","pirola.com")</f>
        <v>pirola.com</v>
      </c>
      <c r="C37472" t="s">
        <v>433</v>
      </c>
      <c r="F37472">
        <v>6.0179322714896697E-9</v>
      </c>
      <c r="G37472">
        <v>16574341</v>
      </c>
      <c r="H37472">
        <v>12039345</v>
      </c>
      <c r="I37472">
        <v>27478426</v>
      </c>
      <c r="J37472">
        <v>3</v>
      </c>
    </row>
    <row r="37473" spans="1:10" x14ac:dyDescent="0.25">
      <c r="A37473" t="s">
        <v>398</v>
      </c>
      <c r="B37473" s="1" t="str">
        <f>HYPERLINK("http://pohankavw.com","pohankavw.com")</f>
        <v>pohankavw.com</v>
      </c>
      <c r="C37473" t="s">
        <v>433</v>
      </c>
      <c r="F37473">
        <v>4.44380395335525E-9</v>
      </c>
      <c r="G37473">
        <v>87331335</v>
      </c>
      <c r="H37473">
        <v>0</v>
      </c>
      <c r="I37473">
        <v>83768939</v>
      </c>
      <c r="J37473">
        <v>3</v>
      </c>
    </row>
    <row r="37474" spans="1:10" x14ac:dyDescent="0.25">
      <c r="A37474" t="s">
        <v>398</v>
      </c>
      <c r="B37474" s="1" t="str">
        <f>HYPERLINK("http://popularvw.com","popularvw.com")</f>
        <v>popularvw.com</v>
      </c>
      <c r="C37474" t="s">
        <v>433</v>
      </c>
      <c r="F37474">
        <v>5.7244392554887502E-9</v>
      </c>
      <c r="G37474">
        <v>18711410</v>
      </c>
      <c r="H37474">
        <v>12021922</v>
      </c>
      <c r="I37474">
        <v>27836697</v>
      </c>
      <c r="J37474">
        <v>3</v>
      </c>
    </row>
    <row r="37475" spans="1:10" x14ac:dyDescent="0.25">
      <c r="A37475" t="s">
        <v>398</v>
      </c>
      <c r="B37475" s="1" t="str">
        <f>HYPERLINK("http://porsche.com","porsche.com")</f>
        <v>porsche.com</v>
      </c>
      <c r="C37475" t="s">
        <v>433</v>
      </c>
      <c r="E37475">
        <v>4295</v>
      </c>
      <c r="F37475">
        <v>5.2094613798739597E-6</v>
      </c>
      <c r="G37475">
        <v>6639</v>
      </c>
      <c r="H37475">
        <v>17885724</v>
      </c>
      <c r="I37475">
        <v>4610</v>
      </c>
      <c r="J37475">
        <v>3</v>
      </c>
    </row>
    <row r="37476" spans="1:10" x14ac:dyDescent="0.25">
      <c r="A37476" t="s">
        <v>398</v>
      </c>
      <c r="B37476" s="1" t="str">
        <f>HYPERLINK("http://porsche-consulting.com","porsche-consulting.com")</f>
        <v>porsche-consulting.com</v>
      </c>
      <c r="C37476" t="s">
        <v>433</v>
      </c>
      <c r="E37476">
        <v>832489</v>
      </c>
      <c r="F37476">
        <v>1.4215950079817501E-7</v>
      </c>
      <c r="G37476">
        <v>273825</v>
      </c>
      <c r="H37476">
        <v>14231738</v>
      </c>
      <c r="I37476">
        <v>1672702</v>
      </c>
      <c r="J37476">
        <v>3</v>
      </c>
    </row>
    <row r="37477" spans="1:10" x14ac:dyDescent="0.25">
      <c r="A37477" t="s">
        <v>398</v>
      </c>
      <c r="B37477" s="1" t="str">
        <f>HYPERLINK("http://porsche-design.com","porsche-design.com")</f>
        <v>porsche-design.com</v>
      </c>
      <c r="C37477" t="s">
        <v>433</v>
      </c>
      <c r="E37477">
        <v>67707</v>
      </c>
      <c r="F37477">
        <v>4.1485133314229699E-7</v>
      </c>
      <c r="G37477">
        <v>90732</v>
      </c>
      <c r="H37477">
        <v>15215585</v>
      </c>
      <c r="I37477">
        <v>393899</v>
      </c>
      <c r="J37477">
        <v>4</v>
      </c>
    </row>
    <row r="37478" spans="1:10" x14ac:dyDescent="0.25">
      <c r="A37478" t="s">
        <v>398</v>
      </c>
      <c r="B37478" s="1" t="str">
        <f>HYPERLINK("http://porsche-digital.com","porsche-digital.com")</f>
        <v>porsche-digital.com</v>
      </c>
      <c r="C37478" t="s">
        <v>433</v>
      </c>
      <c r="J37478">
        <v>3</v>
      </c>
    </row>
    <row r="37479" spans="1:10" x14ac:dyDescent="0.25">
      <c r="A37479" t="s">
        <v>398</v>
      </c>
      <c r="B37479" s="1" t="str">
        <f>HYPERLINK("http://porsche-holding.com","porsche-holding.com")</f>
        <v>porsche-holding.com</v>
      </c>
      <c r="C37479" t="s">
        <v>433</v>
      </c>
      <c r="F37479">
        <v>2.1285680760048201E-7</v>
      </c>
      <c r="G37479">
        <v>177387</v>
      </c>
      <c r="H37479">
        <v>14617069</v>
      </c>
      <c r="I37479">
        <v>663905</v>
      </c>
      <c r="J37479">
        <v>3</v>
      </c>
    </row>
    <row r="37480" spans="1:10" x14ac:dyDescent="0.25">
      <c r="A37480" t="s">
        <v>398</v>
      </c>
      <c r="B37480" s="1" t="str">
        <f>HYPERLINK("http://porsche-hongkong.com","porsche-hongkong.com")</f>
        <v>porsche-hongkong.com</v>
      </c>
      <c r="C37480" t="s">
        <v>433</v>
      </c>
      <c r="F37480">
        <v>4.59611237198796E-9</v>
      </c>
      <c r="G37480">
        <v>47910132</v>
      </c>
      <c r="H37480">
        <v>10960858</v>
      </c>
      <c r="I37480">
        <v>34334676</v>
      </c>
      <c r="J37480">
        <v>4</v>
      </c>
    </row>
    <row r="37481" spans="1:10" x14ac:dyDescent="0.25">
      <c r="A37481" t="s">
        <v>398</v>
      </c>
      <c r="B37481" s="1" t="str">
        <f>HYPERLINK("http://porsche-jinhua.com","porsche-jinhua.com")</f>
        <v>porsche-jinhua.com</v>
      </c>
      <c r="C37481" t="s">
        <v>433</v>
      </c>
      <c r="F37481">
        <v>4.6425298248050303E-9</v>
      </c>
      <c r="G37481">
        <v>44630362</v>
      </c>
      <c r="H37481">
        <v>8569714</v>
      </c>
      <c r="I37481">
        <v>71097114</v>
      </c>
      <c r="J37481">
        <v>3</v>
      </c>
    </row>
    <row r="37482" spans="1:10" x14ac:dyDescent="0.25">
      <c r="A37482" t="s">
        <v>398</v>
      </c>
      <c r="B37482" s="1" t="str">
        <f>HYPERLINK("http://porsche-se.com","porsche-se.com")</f>
        <v>porsche-se.com</v>
      </c>
      <c r="C37482" t="s">
        <v>433</v>
      </c>
      <c r="E37482">
        <v>695611</v>
      </c>
      <c r="F37482">
        <v>1.1622689575240001E-7</v>
      </c>
      <c r="G37482">
        <v>342154</v>
      </c>
      <c r="H37482">
        <v>14974879</v>
      </c>
      <c r="I37482">
        <v>432540</v>
      </c>
      <c r="J37482">
        <v>3</v>
      </c>
    </row>
    <row r="37483" spans="1:10" x14ac:dyDescent="0.25">
      <c r="A37483" t="s">
        <v>398</v>
      </c>
      <c r="B37483" s="1" t="str">
        <f>HYPERLINK("http://porsche-werkzeugbau.com","porsche-werkzeugbau.com")</f>
        <v>porsche-werkzeugbau.com</v>
      </c>
      <c r="C37483" t="s">
        <v>433</v>
      </c>
      <c r="F37483">
        <v>7.8520106989149308E-9</v>
      </c>
      <c r="G37483">
        <v>10210314</v>
      </c>
      <c r="H37483">
        <v>12357798</v>
      </c>
      <c r="I37483">
        <v>19628238</v>
      </c>
      <c r="J37483">
        <v>3</v>
      </c>
    </row>
    <row r="37484" spans="1:10" x14ac:dyDescent="0.25">
      <c r="A37484" t="s">
        <v>398</v>
      </c>
      <c r="B37484" s="1" t="str">
        <f>HYPERLINK("http://porschebank.com","porschebank.com")</f>
        <v>porschebank.com</v>
      </c>
      <c r="C37484" t="s">
        <v>433</v>
      </c>
      <c r="F37484">
        <v>1.41983152020193E-8</v>
      </c>
      <c r="G37484">
        <v>4129512</v>
      </c>
      <c r="H37484">
        <v>12251506</v>
      </c>
      <c r="I37484">
        <v>21974098</v>
      </c>
      <c r="J37484">
        <v>3</v>
      </c>
    </row>
    <row r="37485" spans="1:10" x14ac:dyDescent="0.25">
      <c r="A37485" t="s">
        <v>398</v>
      </c>
      <c r="B37485" s="1" t="str">
        <f>HYPERLINK("http://porschebeaverton.com","porschebeaverton.com")</f>
        <v>porschebeaverton.com</v>
      </c>
      <c r="C37485" t="s">
        <v>433</v>
      </c>
      <c r="F37485">
        <v>1.28799343271562E-8</v>
      </c>
      <c r="G37485">
        <v>4689053</v>
      </c>
      <c r="H37485">
        <v>12948983</v>
      </c>
      <c r="I37485">
        <v>13217369</v>
      </c>
      <c r="J37485">
        <v>4</v>
      </c>
    </row>
    <row r="37486" spans="1:10" x14ac:dyDescent="0.25">
      <c r="A37486" t="s">
        <v>398</v>
      </c>
      <c r="B37486" s="1" t="str">
        <f>HYPERLINK("http://porschecenterpuertorico.com","porschecenterpuertorico.com")</f>
        <v>porschecenterpuertorico.com</v>
      </c>
      <c r="C37486" t="s">
        <v>433</v>
      </c>
      <c r="F37486">
        <v>7.1945553587999599E-9</v>
      </c>
      <c r="G37486">
        <v>11758895</v>
      </c>
      <c r="H37486">
        <v>12457872</v>
      </c>
      <c r="I37486">
        <v>17903106</v>
      </c>
      <c r="J37486">
        <v>4</v>
      </c>
    </row>
    <row r="37487" spans="1:10" x14ac:dyDescent="0.25">
      <c r="A37487" t="s">
        <v>398</v>
      </c>
      <c r="B37487" s="1" t="str">
        <f>HYPERLINK("http://porschecentreoakville.com","porschecentreoakville.com")</f>
        <v>porschecentreoakville.com</v>
      </c>
      <c r="C37487" t="s">
        <v>433</v>
      </c>
      <c r="F37487">
        <v>7.6336553085984697E-9</v>
      </c>
      <c r="G37487">
        <v>10722091</v>
      </c>
      <c r="H37487">
        <v>13050536</v>
      </c>
      <c r="I37487">
        <v>12581876</v>
      </c>
      <c r="J37487">
        <v>6</v>
      </c>
    </row>
    <row r="37488" spans="1:10" x14ac:dyDescent="0.25">
      <c r="A37488" t="s">
        <v>398</v>
      </c>
      <c r="B37488" s="1" t="str">
        <f>HYPERLINK("http://porschedealer.com","porschedealer.com")</f>
        <v>porschedealer.com</v>
      </c>
      <c r="C37488" t="s">
        <v>433</v>
      </c>
      <c r="E37488">
        <v>560398</v>
      </c>
      <c r="F37488">
        <v>7.7750245658476405E-8</v>
      </c>
      <c r="G37488">
        <v>538188</v>
      </c>
      <c r="H37488">
        <v>14752734</v>
      </c>
      <c r="I37488">
        <v>562816</v>
      </c>
      <c r="J37488">
        <v>4</v>
      </c>
    </row>
    <row r="37489" spans="1:10" x14ac:dyDescent="0.25">
      <c r="A37489" t="s">
        <v>398</v>
      </c>
      <c r="B37489" s="1" t="str">
        <f>HYPERLINK("http://porscheengineering.com","porscheengineering.com")</f>
        <v>porscheengineering.com</v>
      </c>
      <c r="C37489" t="s">
        <v>433</v>
      </c>
      <c r="F37489">
        <v>6.6081536712655399E-8</v>
      </c>
      <c r="G37489">
        <v>649356</v>
      </c>
      <c r="H37489">
        <v>14734278</v>
      </c>
      <c r="I37489">
        <v>570268</v>
      </c>
      <c r="J37489">
        <v>3</v>
      </c>
    </row>
    <row r="37490" spans="1:10" x14ac:dyDescent="0.25">
      <c r="A37490" t="s">
        <v>398</v>
      </c>
      <c r="B37490" s="1" t="str">
        <f>HYPERLINK("http://porschehost.com","porschehost.com")</f>
        <v>porschehost.com</v>
      </c>
      <c r="C37490" t="s">
        <v>433</v>
      </c>
      <c r="F37490">
        <v>7.0028217762422704E-9</v>
      </c>
      <c r="G37490">
        <v>12303239</v>
      </c>
      <c r="H37490">
        <v>13768326</v>
      </c>
      <c r="I37490">
        <v>6881735</v>
      </c>
      <c r="J37490">
        <v>4</v>
      </c>
    </row>
    <row r="37491" spans="1:10" x14ac:dyDescent="0.25">
      <c r="A37491" t="s">
        <v>398</v>
      </c>
      <c r="B37491" s="1" t="str">
        <f>HYPERLINK("http://porscheinformatik.com","porscheinformatik.com")</f>
        <v>porscheinformatik.com</v>
      </c>
      <c r="C37491" t="s">
        <v>433</v>
      </c>
      <c r="E37491">
        <v>329254</v>
      </c>
      <c r="F37491">
        <v>3.3530210926655599E-7</v>
      </c>
      <c r="G37491">
        <v>111196</v>
      </c>
      <c r="H37491">
        <v>14211382</v>
      </c>
      <c r="I37491">
        <v>1701334</v>
      </c>
      <c r="J37491">
        <v>6</v>
      </c>
    </row>
    <row r="37492" spans="1:10" x14ac:dyDescent="0.25">
      <c r="A37492" t="s">
        <v>398</v>
      </c>
      <c r="B37492" s="1" t="str">
        <f>HYPERLINK("http://porscheofmonterey.com","porscheofmonterey.com")</f>
        <v>porscheofmonterey.com</v>
      </c>
      <c r="C37492" t="s">
        <v>433</v>
      </c>
      <c r="F37492">
        <v>4.6766896875896197E-9</v>
      </c>
      <c r="G37492">
        <v>42559043</v>
      </c>
      <c r="H37492">
        <v>10178710</v>
      </c>
      <c r="I37492">
        <v>59248060</v>
      </c>
      <c r="J37492">
        <v>4</v>
      </c>
    </row>
    <row r="37493" spans="1:10" x14ac:dyDescent="0.25">
      <c r="A37493" t="s">
        <v>398</v>
      </c>
      <c r="B37493" s="1" t="str">
        <f>HYPERLINK("http://porscheofstratham.com","porscheofstratham.com")</f>
        <v>porscheofstratham.com</v>
      </c>
      <c r="C37493" t="s">
        <v>433</v>
      </c>
      <c r="F37493">
        <v>5.1520260998826897E-9</v>
      </c>
      <c r="G37493">
        <v>26043647</v>
      </c>
      <c r="H37493">
        <v>10681265</v>
      </c>
      <c r="I37493">
        <v>42725747</v>
      </c>
      <c r="J37493">
        <v>4</v>
      </c>
    </row>
    <row r="37494" spans="1:10" x14ac:dyDescent="0.25">
      <c r="A37494" t="s">
        <v>398</v>
      </c>
      <c r="B37494" s="1" t="str">
        <f>HYPERLINK("http://porscheorlando.com","porscheorlando.com")</f>
        <v>porscheorlando.com</v>
      </c>
      <c r="C37494" t="s">
        <v>433</v>
      </c>
      <c r="F37494">
        <v>1.23006122350127E-8</v>
      </c>
      <c r="G37494">
        <v>4993913</v>
      </c>
      <c r="H37494">
        <v>12535732</v>
      </c>
      <c r="I37494">
        <v>16980558</v>
      </c>
      <c r="J37494">
        <v>4</v>
      </c>
    </row>
    <row r="37495" spans="1:10" x14ac:dyDescent="0.25">
      <c r="A37495" t="s">
        <v>398</v>
      </c>
      <c r="B37495" s="1" t="str">
        <f>HYPERLINK("http://porschepasadena.com","porschepasadena.com")</f>
        <v>porschepasadena.com</v>
      </c>
      <c r="C37495" t="s">
        <v>433</v>
      </c>
      <c r="J37495">
        <v>4</v>
      </c>
    </row>
    <row r="37496" spans="1:10" x14ac:dyDescent="0.25">
      <c r="A37496" t="s">
        <v>398</v>
      </c>
      <c r="B37496" s="1" t="str">
        <f>HYPERLINK("http://porschetowson.com","porschetowson.com")</f>
        <v>porschetowson.com</v>
      </c>
      <c r="C37496" t="s">
        <v>433</v>
      </c>
      <c r="F37496">
        <v>7.0391748855967504E-9</v>
      </c>
      <c r="G37496">
        <v>12195942</v>
      </c>
      <c r="H37496">
        <v>12709621</v>
      </c>
      <c r="I37496">
        <v>15303720</v>
      </c>
      <c r="J37496">
        <v>4</v>
      </c>
    </row>
    <row r="37497" spans="1:10" x14ac:dyDescent="0.25">
      <c r="A37497" t="s">
        <v>398</v>
      </c>
      <c r="B37497" s="1" t="str">
        <f>HYPERLINK("http://porschewarrington.com","porschewarrington.com")</f>
        <v>porschewarrington.com</v>
      </c>
      <c r="C37497" t="s">
        <v>433</v>
      </c>
      <c r="F37497">
        <v>6.8451202456735696E-9</v>
      </c>
      <c r="G37497">
        <v>12810951</v>
      </c>
      <c r="H37497">
        <v>12456922</v>
      </c>
      <c r="I37497">
        <v>17913297</v>
      </c>
      <c r="J37497">
        <v>4</v>
      </c>
    </row>
    <row r="37498" spans="1:10" x14ac:dyDescent="0.25">
      <c r="A37498" t="s">
        <v>398</v>
      </c>
      <c r="B37498" s="1" t="str">
        <f>HYPERLINK("http://porschewest.com","porschewest.com")</f>
        <v>porschewest.com</v>
      </c>
      <c r="C37498" t="s">
        <v>433</v>
      </c>
      <c r="F37498">
        <v>6.3045544039968998E-9</v>
      </c>
      <c r="G37498">
        <v>15009807</v>
      </c>
      <c r="H37498">
        <v>12593257</v>
      </c>
      <c r="I37498">
        <v>16386764</v>
      </c>
      <c r="J37498">
        <v>4</v>
      </c>
    </row>
    <row r="37499" spans="1:10" x14ac:dyDescent="0.25">
      <c r="A37499" t="s">
        <v>398</v>
      </c>
      <c r="B37499" s="1" t="str">
        <f>HYPERLINK("http://poudresportscar.com","poudresportscar.com")</f>
        <v>poudresportscar.com</v>
      </c>
      <c r="C37499" t="s">
        <v>433</v>
      </c>
      <c r="F37499">
        <v>5.24638014472293E-9</v>
      </c>
      <c r="G37499">
        <v>24312089</v>
      </c>
      <c r="H37499">
        <v>12284937</v>
      </c>
      <c r="I37499">
        <v>21212365</v>
      </c>
      <c r="J37499">
        <v>4</v>
      </c>
    </row>
    <row r="37500" spans="1:10" x14ac:dyDescent="0.25">
      <c r="A37500" t="s">
        <v>398</v>
      </c>
      <c r="B37500" s="1" t="str">
        <f>HYPERLINK("http://ptvgrouo.com","ptvgrouo.com")</f>
        <v>ptvgrouo.com</v>
      </c>
      <c r="C37500" t="s">
        <v>433</v>
      </c>
      <c r="J37500">
        <v>6</v>
      </c>
    </row>
    <row r="37501" spans="1:10" x14ac:dyDescent="0.25">
      <c r="A37501" t="s">
        <v>398</v>
      </c>
      <c r="B37501" s="1" t="str">
        <f>HYPERLINK("http://ptvgroup.com","ptvgroup.com")</f>
        <v>ptvgroup.com</v>
      </c>
      <c r="C37501" t="s">
        <v>433</v>
      </c>
      <c r="E37501">
        <v>102739</v>
      </c>
      <c r="F37501">
        <v>4.7342369125871802E-7</v>
      </c>
      <c r="G37501">
        <v>80180</v>
      </c>
      <c r="H37501">
        <v>17235094</v>
      </c>
      <c r="I37501">
        <v>36140</v>
      </c>
      <c r="J37501">
        <v>4</v>
      </c>
    </row>
    <row r="37502" spans="1:10" x14ac:dyDescent="0.25">
      <c r="A37502" t="s">
        <v>398</v>
      </c>
      <c r="B37502" s="1" t="str">
        <f>HYPERLINK("http://quirkvwnh.com","quirkvwnh.com")</f>
        <v>quirkvwnh.com</v>
      </c>
      <c r="C37502" t="s">
        <v>433</v>
      </c>
      <c r="F37502">
        <v>5.1521324232913898E-9</v>
      </c>
      <c r="G37502">
        <v>26040270</v>
      </c>
      <c r="H37502">
        <v>12730617</v>
      </c>
      <c r="I37502">
        <v>15195187</v>
      </c>
      <c r="J37502">
        <v>3</v>
      </c>
    </row>
    <row r="37503" spans="1:10" x14ac:dyDescent="0.25">
      <c r="A37503" t="s">
        <v>398</v>
      </c>
      <c r="B37503" s="1" t="str">
        <f>HYPERLINK("http://raisorvw.com","raisorvw.com")</f>
        <v>raisorvw.com</v>
      </c>
      <c r="C37503" t="s">
        <v>433</v>
      </c>
      <c r="F37503">
        <v>5.4067735549875101E-9</v>
      </c>
      <c r="G37503">
        <v>22026696</v>
      </c>
      <c r="H37503">
        <v>11375044</v>
      </c>
      <c r="I37503">
        <v>30304688</v>
      </c>
      <c r="J37503">
        <v>3</v>
      </c>
    </row>
    <row r="37504" spans="1:10" x14ac:dyDescent="0.25">
      <c r="A37504" t="s">
        <v>398</v>
      </c>
      <c r="B37504" s="1" t="str">
        <f>HYPERLINK("http://sanjuanaudi.com","sanjuanaudi.com")</f>
        <v>sanjuanaudi.com</v>
      </c>
      <c r="C37504" t="s">
        <v>433</v>
      </c>
      <c r="F37504">
        <v>4.6613033888799201E-9</v>
      </c>
      <c r="G37504">
        <v>43437837</v>
      </c>
      <c r="H37504">
        <v>6833502</v>
      </c>
      <c r="I37504">
        <v>77185585</v>
      </c>
      <c r="J37504">
        <v>4</v>
      </c>
    </row>
    <row r="37505" spans="1:10" x14ac:dyDescent="0.25">
      <c r="A37505" t="s">
        <v>398</v>
      </c>
      <c r="B37505" s="1" t="str">
        <f>HYPERLINK("http://sapphirevs.com","sapphirevs.com")</f>
        <v>sapphirevs.com</v>
      </c>
      <c r="C37505" t="s">
        <v>433</v>
      </c>
      <c r="F37505">
        <v>4.5844187852811401E-9</v>
      </c>
      <c r="G37505">
        <v>48886933</v>
      </c>
      <c r="H37505">
        <v>10899395</v>
      </c>
      <c r="I37505">
        <v>35849352</v>
      </c>
      <c r="J37505">
        <v>10</v>
      </c>
    </row>
    <row r="37506" spans="1:10" x14ac:dyDescent="0.25">
      <c r="A37506" t="s">
        <v>398</v>
      </c>
      <c r="B37506" s="1" t="str">
        <f>HYPERLINK("http://scania.com","scania.com")</f>
        <v>scania.com</v>
      </c>
      <c r="C37506" t="s">
        <v>433</v>
      </c>
      <c r="E37506">
        <v>9260</v>
      </c>
      <c r="F37506">
        <v>1.6356473118561699E-6</v>
      </c>
      <c r="G37506">
        <v>24136</v>
      </c>
      <c r="H37506">
        <v>17430440</v>
      </c>
      <c r="I37506">
        <v>17215</v>
      </c>
      <c r="J37506">
        <v>3</v>
      </c>
    </row>
    <row r="37507" spans="1:10" x14ac:dyDescent="0.25">
      <c r="A37507" t="s">
        <v>398</v>
      </c>
      <c r="B37507" s="1" t="str">
        <f>HYPERLINK("http://seat.com","seat.com")</f>
        <v>seat.com</v>
      </c>
      <c r="C37507" t="s">
        <v>433</v>
      </c>
      <c r="E37507">
        <v>115085</v>
      </c>
      <c r="F37507">
        <v>6.8277657344985696E-7</v>
      </c>
      <c r="G37507">
        <v>56582</v>
      </c>
      <c r="H37507">
        <v>17272362</v>
      </c>
      <c r="I37507">
        <v>31060</v>
      </c>
      <c r="J37507">
        <v>3</v>
      </c>
    </row>
    <row r="37508" spans="1:10" x14ac:dyDescent="0.25">
      <c r="A37508" t="s">
        <v>398</v>
      </c>
      <c r="B37508" s="1" t="str">
        <f>HYPERLINK("http://seat-mediacenter.com","seat-mediacenter.com")</f>
        <v>seat-mediacenter.com</v>
      </c>
      <c r="C37508" t="s">
        <v>433</v>
      </c>
      <c r="E37508">
        <v>665818</v>
      </c>
      <c r="F37508">
        <v>1.22228479142071E-7</v>
      </c>
      <c r="G37508">
        <v>322973</v>
      </c>
      <c r="H37508">
        <v>14180011</v>
      </c>
      <c r="I37508">
        <v>1781490</v>
      </c>
      <c r="J37508">
        <v>4</v>
      </c>
    </row>
    <row r="37509" spans="1:10" x14ac:dyDescent="0.25">
      <c r="A37509" t="s">
        <v>398</v>
      </c>
      <c r="B37509" s="1" t="str">
        <f>HYPERLINK("http://seatgaldakauto.com","seatgaldakauto.com")</f>
        <v>seatgaldakauto.com</v>
      </c>
      <c r="C37509" t="s">
        <v>433</v>
      </c>
      <c r="F37509">
        <v>4.7852505279543098E-9</v>
      </c>
      <c r="G37509">
        <v>36739668</v>
      </c>
      <c r="H37509">
        <v>9559314</v>
      </c>
      <c r="I37509">
        <v>64862339</v>
      </c>
      <c r="J37509">
        <v>4</v>
      </c>
    </row>
    <row r="37510" spans="1:10" x14ac:dyDescent="0.25">
      <c r="A37510" t="s">
        <v>398</v>
      </c>
      <c r="B37510" s="1" t="str">
        <f>HYPERLINK("http://servicoporsche-matosinhos.com","servicoporsche-matosinhos.com")</f>
        <v>servicoporsche-matosinhos.com</v>
      </c>
      <c r="C37510" t="s">
        <v>433</v>
      </c>
      <c r="J37510">
        <v>4</v>
      </c>
    </row>
    <row r="37511" spans="1:10" x14ac:dyDescent="0.25">
      <c r="A37511" t="s">
        <v>398</v>
      </c>
      <c r="B37511" s="1" t="str">
        <f>HYPERLINK("http://shaping-mobility.com","shaping-mobility.com")</f>
        <v>shaping-mobility.com</v>
      </c>
      <c r="C37511" t="s">
        <v>433</v>
      </c>
      <c r="F37511">
        <v>1.1485340768641801E-8</v>
      </c>
      <c r="G37511">
        <v>5515395</v>
      </c>
      <c r="H37511">
        <v>13369454</v>
      </c>
      <c r="I37511">
        <v>10470407</v>
      </c>
      <c r="J37511">
        <v>6</v>
      </c>
    </row>
    <row r="37512" spans="1:10" x14ac:dyDescent="0.25">
      <c r="A37512" t="s">
        <v>398</v>
      </c>
      <c r="B37512" s="1" t="str">
        <f>HYPERLINK("http://sheehyspringfieldvw.com","sheehyspringfieldvw.com")</f>
        <v>sheehyspringfieldvw.com</v>
      </c>
      <c r="C37512" t="s">
        <v>433</v>
      </c>
      <c r="F37512">
        <v>1.4953783309587601E-8</v>
      </c>
      <c r="G37512">
        <v>3854852</v>
      </c>
      <c r="H37512">
        <v>13032059</v>
      </c>
      <c r="I37512">
        <v>12662894</v>
      </c>
      <c r="J37512">
        <v>3</v>
      </c>
    </row>
    <row r="37513" spans="1:10" x14ac:dyDescent="0.25">
      <c r="A37513" t="s">
        <v>398</v>
      </c>
      <c r="B37513" s="1" t="str">
        <f>HYPERLINK("http://skoda-aix-en-provence.com","skoda-aix-en-provence.com")</f>
        <v>skoda-aix-en-provence.com</v>
      </c>
      <c r="C37513" t="s">
        <v>433</v>
      </c>
      <c r="F37513">
        <v>4.6576012123226102E-9</v>
      </c>
      <c r="G37513">
        <v>43652413</v>
      </c>
      <c r="H37513">
        <v>9928037</v>
      </c>
      <c r="I37513">
        <v>61415729</v>
      </c>
      <c r="J37513">
        <v>4</v>
      </c>
    </row>
    <row r="37514" spans="1:10" x14ac:dyDescent="0.25">
      <c r="A37514" t="s">
        <v>398</v>
      </c>
      <c r="B37514" s="1" t="str">
        <f>HYPERLINK("http://skoda-auto.com","skoda-auto.com")</f>
        <v>skoda-auto.com</v>
      </c>
      <c r="C37514" t="s">
        <v>433</v>
      </c>
      <c r="E37514">
        <v>29233</v>
      </c>
      <c r="F37514">
        <v>9.9846640947897603E-7</v>
      </c>
      <c r="G37514">
        <v>38307</v>
      </c>
      <c r="H37514">
        <v>17249362</v>
      </c>
      <c r="I37514">
        <v>34061</v>
      </c>
      <c r="J37514">
        <v>3</v>
      </c>
    </row>
    <row r="37515" spans="1:10" x14ac:dyDescent="0.25">
      <c r="A37515" t="s">
        <v>398</v>
      </c>
      <c r="B37515" s="1" t="str">
        <f>HYPERLINK("http://skoda-avignon.com","skoda-avignon.com")</f>
        <v>skoda-avignon.com</v>
      </c>
      <c r="C37515" t="s">
        <v>433</v>
      </c>
      <c r="F37515">
        <v>6.7341647443651097E-9</v>
      </c>
      <c r="G37515">
        <v>13182878</v>
      </c>
      <c r="H37515">
        <v>12056270</v>
      </c>
      <c r="I37515">
        <v>27090889</v>
      </c>
      <c r="J37515">
        <v>4</v>
      </c>
    </row>
    <row r="37516" spans="1:10" x14ac:dyDescent="0.25">
      <c r="A37516" t="s">
        <v>398</v>
      </c>
      <c r="B37516" s="1" t="str">
        <f>HYPERLINK("http://skoda-orange.com","skoda-orange.com")</f>
        <v>skoda-orange.com</v>
      </c>
      <c r="C37516" t="s">
        <v>433</v>
      </c>
      <c r="J37516">
        <v>4</v>
      </c>
    </row>
    <row r="37517" spans="1:10" x14ac:dyDescent="0.25">
      <c r="A37517" t="s">
        <v>398</v>
      </c>
      <c r="B37517" s="1" t="str">
        <f>HYPERLINK("http://skodaautoffam.com","skodaautoffam.com")</f>
        <v>skodaautoffam.com</v>
      </c>
      <c r="C37517" t="s">
        <v>433</v>
      </c>
      <c r="F37517">
        <v>4.7795190278511598E-9</v>
      </c>
      <c r="G37517">
        <v>36978482</v>
      </c>
      <c r="H37517">
        <v>10913742</v>
      </c>
      <c r="I37517">
        <v>35542043</v>
      </c>
      <c r="J37517">
        <v>4</v>
      </c>
    </row>
    <row r="37518" spans="1:10" x14ac:dyDescent="0.25">
      <c r="A37518" t="s">
        <v>398</v>
      </c>
      <c r="B37518" s="1" t="str">
        <f>HYPERLINK("http://smithvw.com","smithvw.com")</f>
        <v>smithvw.com</v>
      </c>
      <c r="C37518" t="s">
        <v>433</v>
      </c>
      <c r="F37518">
        <v>6.5129529447853798E-9</v>
      </c>
      <c r="G37518">
        <v>14024723</v>
      </c>
      <c r="H37518">
        <v>12458807</v>
      </c>
      <c r="I37518">
        <v>17893745</v>
      </c>
      <c r="J37518">
        <v>3</v>
      </c>
    </row>
    <row r="37519" spans="1:10" x14ac:dyDescent="0.25">
      <c r="A37519" t="s">
        <v>398</v>
      </c>
      <c r="B37519" s="1" t="str">
        <f>HYPERLINK("http://solarisbus.com","solarisbus.com")</f>
        <v>solarisbus.com</v>
      </c>
      <c r="C37519" t="s">
        <v>433</v>
      </c>
      <c r="E37519">
        <v>434525</v>
      </c>
      <c r="F37519">
        <v>1.65913573881032E-7</v>
      </c>
      <c r="G37519">
        <v>233914</v>
      </c>
      <c r="H37519">
        <v>14875083</v>
      </c>
      <c r="I37519">
        <v>475722</v>
      </c>
      <c r="J37519">
        <v>5</v>
      </c>
    </row>
    <row r="37520" spans="1:10" x14ac:dyDescent="0.25">
      <c r="A37520" t="s">
        <v>398</v>
      </c>
      <c r="B37520" s="1" t="str">
        <f>HYPERLINK("http://sonnenporsche.com","sonnenporsche.com")</f>
        <v>sonnenporsche.com</v>
      </c>
      <c r="C37520" t="s">
        <v>433</v>
      </c>
      <c r="F37520">
        <v>4.8458658312921204E-9</v>
      </c>
      <c r="G37520">
        <v>34280152</v>
      </c>
      <c r="H37520">
        <v>13933064</v>
      </c>
      <c r="I37520">
        <v>5032839</v>
      </c>
      <c r="J37520">
        <v>4</v>
      </c>
    </row>
    <row r="37521" spans="1:10" x14ac:dyDescent="0.25">
      <c r="A37521" t="s">
        <v>398</v>
      </c>
      <c r="B37521" s="1" t="str">
        <f>HYPERLINK("http://southhillsaudi.com","southhillsaudi.com")</f>
        <v>southhillsaudi.com</v>
      </c>
      <c r="C37521" t="s">
        <v>433</v>
      </c>
      <c r="F37521">
        <v>4.6093430919409798E-9</v>
      </c>
      <c r="G37521">
        <v>46890774</v>
      </c>
      <c r="H37521">
        <v>9617089</v>
      </c>
      <c r="I37521">
        <v>64221617</v>
      </c>
      <c r="J37521">
        <v>4</v>
      </c>
    </row>
    <row r="37522" spans="1:10" x14ac:dyDescent="0.25">
      <c r="A37522" t="s">
        <v>398</v>
      </c>
      <c r="B37522" s="1" t="str">
        <f>HYPERLINK("http://stohlman-vw.com","stohlman-vw.com")</f>
        <v>stohlman-vw.com</v>
      </c>
      <c r="C37522" t="s">
        <v>433</v>
      </c>
      <c r="F37522">
        <v>2.1572905338819899E-8</v>
      </c>
      <c r="G37522">
        <v>2439950</v>
      </c>
      <c r="H37522">
        <v>13094695</v>
      </c>
      <c r="I37522">
        <v>12126388</v>
      </c>
      <c r="J37522">
        <v>3</v>
      </c>
    </row>
    <row r="37523" spans="1:10" x14ac:dyDescent="0.25">
      <c r="A37523" t="s">
        <v>398</v>
      </c>
      <c r="B37523" s="1" t="str">
        <f>HYPERLINK("http://strongvw.com","strongvw.com")</f>
        <v>strongvw.com</v>
      </c>
      <c r="C37523" t="s">
        <v>433</v>
      </c>
      <c r="F37523">
        <v>9.7341101234448993E-9</v>
      </c>
      <c r="G37523">
        <v>7041804</v>
      </c>
      <c r="H37523">
        <v>12551964</v>
      </c>
      <c r="I37523">
        <v>16810351</v>
      </c>
      <c r="J37523">
        <v>3</v>
      </c>
    </row>
    <row r="37524" spans="1:10" x14ac:dyDescent="0.25">
      <c r="A37524" t="s">
        <v>398</v>
      </c>
      <c r="B37524" s="1" t="str">
        <f>HYPERLINK("http://suma-auto.com","suma-auto.com")</f>
        <v>suma-auto.com</v>
      </c>
      <c r="C37524" t="s">
        <v>433</v>
      </c>
      <c r="F37524">
        <v>7.5360330817104901E-9</v>
      </c>
      <c r="G37524">
        <v>10934901</v>
      </c>
      <c r="H37524">
        <v>12333849</v>
      </c>
      <c r="I37524">
        <v>20128924</v>
      </c>
      <c r="J37524">
        <v>3</v>
      </c>
    </row>
    <row r="37525" spans="1:10" x14ac:dyDescent="0.25">
      <c r="A37525" t="s">
        <v>398</v>
      </c>
      <c r="B37525" s="1" t="str">
        <f>HYPERLINK("http://sunhill-technologies.com","sunhill-technologies.com")</f>
        <v>sunhill-technologies.com</v>
      </c>
      <c r="C37525" t="s">
        <v>433</v>
      </c>
      <c r="F37525">
        <v>1.45642907182725E-8</v>
      </c>
      <c r="G37525">
        <v>3989849</v>
      </c>
      <c r="H37525">
        <v>12691179</v>
      </c>
      <c r="I37525">
        <v>15412574</v>
      </c>
      <c r="J37525">
        <v>3</v>
      </c>
    </row>
    <row r="37526" spans="1:10" x14ac:dyDescent="0.25">
      <c r="A37526" t="s">
        <v>398</v>
      </c>
      <c r="B37526" s="1" t="str">
        <f>HYPERLINK("http://sutliffvolkswagen.com","sutliffvolkswagen.com")</f>
        <v>sutliffvolkswagen.com</v>
      </c>
      <c r="C37526" t="s">
        <v>433</v>
      </c>
      <c r="F37526">
        <v>6.1234814645607802E-9</v>
      </c>
      <c r="G37526">
        <v>15960575</v>
      </c>
      <c r="H37526">
        <v>12467239</v>
      </c>
      <c r="I37526">
        <v>17790627</v>
      </c>
      <c r="J37526">
        <v>3</v>
      </c>
    </row>
    <row r="37527" spans="1:10" x14ac:dyDescent="0.25">
      <c r="A37527" t="s">
        <v>398</v>
      </c>
      <c r="B37527" s="1" t="str">
        <f>HYPERLINK("http://telenauto.com","telenauto.com")</f>
        <v>telenauto.com</v>
      </c>
      <c r="C37527" t="s">
        <v>433</v>
      </c>
      <c r="F37527">
        <v>7.4961218705085897E-9</v>
      </c>
      <c r="G37527">
        <v>11021905</v>
      </c>
      <c r="H37527">
        <v>13776851</v>
      </c>
      <c r="I37527">
        <v>6547241</v>
      </c>
      <c r="J37527">
        <v>3</v>
      </c>
    </row>
    <row r="37528" spans="1:10" x14ac:dyDescent="0.25">
      <c r="A37528" t="s">
        <v>398</v>
      </c>
      <c r="B37528" s="1" t="str">
        <f>HYPERLINK("http://theaudiconnection.com","theaudiconnection.com")</f>
        <v>theaudiconnection.com</v>
      </c>
      <c r="C37528" t="s">
        <v>433</v>
      </c>
      <c r="F37528">
        <v>8.7496827682370904E-9</v>
      </c>
      <c r="G37528">
        <v>8393070</v>
      </c>
      <c r="H37528">
        <v>12496079</v>
      </c>
      <c r="I37528">
        <v>17410682</v>
      </c>
      <c r="J37528">
        <v>4</v>
      </c>
    </row>
    <row r="37529" spans="1:10" x14ac:dyDescent="0.25">
      <c r="A37529" t="s">
        <v>398</v>
      </c>
      <c r="B37529" s="1" t="str">
        <f>HYPERLINK("http://traton.com","traton.com")</f>
        <v>traton.com</v>
      </c>
      <c r="C37529" t="s">
        <v>433</v>
      </c>
      <c r="E37529">
        <v>827992</v>
      </c>
      <c r="F37529">
        <v>3.1916372750433599E-7</v>
      </c>
      <c r="G37529">
        <v>116561</v>
      </c>
      <c r="H37529">
        <v>17060986</v>
      </c>
      <c r="I37529">
        <v>73788</v>
      </c>
      <c r="J37529">
        <v>3</v>
      </c>
    </row>
    <row r="37530" spans="1:10" x14ac:dyDescent="0.25">
      <c r="A37530" t="s">
        <v>398</v>
      </c>
      <c r="B37530" s="1" t="str">
        <f>HYPERLINK("http://trustgroupuk.com","trustgroupuk.com")</f>
        <v>trustgroupuk.com</v>
      </c>
      <c r="C37530" t="s">
        <v>433</v>
      </c>
      <c r="F37530">
        <v>5.2320257686063898E-9</v>
      </c>
      <c r="G37530">
        <v>24541800</v>
      </c>
      <c r="H37530">
        <v>11196610</v>
      </c>
      <c r="I37530">
        <v>31301981</v>
      </c>
      <c r="J37530">
        <v>9</v>
      </c>
    </row>
    <row r="37531" spans="1:10" x14ac:dyDescent="0.25">
      <c r="A37531" t="s">
        <v>398</v>
      </c>
      <c r="B37531" s="1" t="str">
        <f>HYPERLINK("http://twinfallsvw.com","twinfallsvw.com")</f>
        <v>twinfallsvw.com</v>
      </c>
      <c r="C37531" t="s">
        <v>433</v>
      </c>
      <c r="F37531">
        <v>5.3546652493788004E-9</v>
      </c>
      <c r="G37531">
        <v>22738809</v>
      </c>
      <c r="H37531">
        <v>12347175</v>
      </c>
      <c r="I37531">
        <v>19811479</v>
      </c>
      <c r="J37531">
        <v>3</v>
      </c>
    </row>
    <row r="37532" spans="1:10" x14ac:dyDescent="0.25">
      <c r="A37532" t="s">
        <v>398</v>
      </c>
      <c r="B37532" s="1" t="str">
        <f>HYPERLINK("http://harwoods.uk.com","harwoods.uk.com")</f>
        <v>harwoods.uk.com</v>
      </c>
      <c r="C37532" t="s">
        <v>433</v>
      </c>
      <c r="J37532">
        <v>4</v>
      </c>
    </row>
    <row r="37533" spans="1:10" x14ac:dyDescent="0.25">
      <c r="A37533" t="s">
        <v>398</v>
      </c>
      <c r="B37533" s="1" t="str">
        <f>HYPERLINK("http://universityvw.com","universityvw.com")</f>
        <v>universityvw.com</v>
      </c>
      <c r="C37533" t="s">
        <v>433</v>
      </c>
      <c r="F37533">
        <v>7.8887875044279694E-9</v>
      </c>
      <c r="G37533">
        <v>10133788</v>
      </c>
      <c r="H37533">
        <v>12122312</v>
      </c>
      <c r="I37533">
        <v>25348325</v>
      </c>
      <c r="J37533">
        <v>3</v>
      </c>
    </row>
    <row r="37534" spans="1:10" x14ac:dyDescent="0.25">
      <c r="A37534" t="s">
        <v>398</v>
      </c>
      <c r="B37534" s="1" t="str">
        <f>HYPERLINK("http://valeriewade.com","valeriewade.com")</f>
        <v>valeriewade.com</v>
      </c>
      <c r="C37534" t="s">
        <v>433</v>
      </c>
      <c r="F37534">
        <v>5.1318309940703003E-9</v>
      </c>
      <c r="G37534">
        <v>26421323</v>
      </c>
      <c r="H37534">
        <v>13768366</v>
      </c>
      <c r="I37534">
        <v>6879358</v>
      </c>
      <c r="J37534">
        <v>3</v>
      </c>
    </row>
    <row r="37535" spans="1:10" x14ac:dyDescent="0.25">
      <c r="A37535" t="s">
        <v>398</v>
      </c>
      <c r="B37535" s="1" t="str">
        <f>HYPERLINK("http://vanmossel.com","vanmossel.com")</f>
        <v>vanmossel.com</v>
      </c>
      <c r="C37535" t="s">
        <v>433</v>
      </c>
      <c r="F37535">
        <v>7.4090854883854498E-9</v>
      </c>
      <c r="G37535">
        <v>11222850</v>
      </c>
      <c r="H37535">
        <v>12046052</v>
      </c>
      <c r="I37535">
        <v>27343817</v>
      </c>
      <c r="J37535">
        <v>7</v>
      </c>
    </row>
    <row r="37536" spans="1:10" x14ac:dyDescent="0.25">
      <c r="A37536" t="s">
        <v>398</v>
      </c>
      <c r="B37536" s="1" t="str">
        <f>HYPERLINK("http://vccionline.com","vccionline.com")</f>
        <v>vccionline.com</v>
      </c>
      <c r="C37536" t="s">
        <v>433</v>
      </c>
      <c r="J37536">
        <v>3</v>
      </c>
    </row>
    <row r="37537" spans="1:10" x14ac:dyDescent="0.25">
      <c r="A37537" t="s">
        <v>398</v>
      </c>
      <c r="B37537" s="1" t="str">
        <f>HYPERLINK("http://verrus.com","verrus.com")</f>
        <v>verrus.com</v>
      </c>
      <c r="C37537" t="s">
        <v>433</v>
      </c>
      <c r="F37537">
        <v>1.6359287505048401E-8</v>
      </c>
      <c r="G37537">
        <v>3456425</v>
      </c>
      <c r="H37537">
        <v>13334532</v>
      </c>
      <c r="I37537">
        <v>10696803</v>
      </c>
      <c r="J37537">
        <v>7</v>
      </c>
    </row>
    <row r="37538" spans="1:10" x14ac:dyDescent="0.25">
      <c r="A37538" t="s">
        <v>398</v>
      </c>
      <c r="B37538" s="1" t="str">
        <f>HYPERLINK("http://volkswagen.com","volkswagen.com")</f>
        <v>volkswagen.com</v>
      </c>
      <c r="C37538" t="s">
        <v>433</v>
      </c>
      <c r="E37538">
        <v>41759</v>
      </c>
      <c r="F37538">
        <v>1.8549680664697101E-6</v>
      </c>
      <c r="G37538">
        <v>20213</v>
      </c>
      <c r="H37538">
        <v>17310702</v>
      </c>
      <c r="I37538">
        <v>26743</v>
      </c>
      <c r="J37538">
        <v>3</v>
      </c>
    </row>
    <row r="37539" spans="1:10" x14ac:dyDescent="0.25">
      <c r="A37539" t="s">
        <v>398</v>
      </c>
      <c r="B37539" s="1" t="str">
        <f>HYPERLINK("http://volkswagen-classic-parts.com","volkswagen-classic-parts.com")</f>
        <v>volkswagen-classic-parts.com</v>
      </c>
      <c r="C37539" t="s">
        <v>433</v>
      </c>
      <c r="F37539">
        <v>1.82985366800966E-7</v>
      </c>
      <c r="G37539">
        <v>210761</v>
      </c>
      <c r="H37539">
        <v>13990037</v>
      </c>
      <c r="I37539">
        <v>4033032</v>
      </c>
      <c r="J37539">
        <v>4</v>
      </c>
    </row>
    <row r="37540" spans="1:10" x14ac:dyDescent="0.25">
      <c r="A37540" t="s">
        <v>398</v>
      </c>
      <c r="B37540" s="1" t="str">
        <f>HYPERLINK("http://volkswagen-commercial-vehicles.com","volkswagen-commercial-vehicles.com")</f>
        <v>volkswagen-commercial-vehicles.com</v>
      </c>
      <c r="C37540" t="s">
        <v>433</v>
      </c>
      <c r="F37540">
        <v>3.8050584514830702E-8</v>
      </c>
      <c r="G37540">
        <v>1360180</v>
      </c>
      <c r="H37540">
        <v>14308923</v>
      </c>
      <c r="I37540">
        <v>1345425</v>
      </c>
      <c r="J37540">
        <v>3</v>
      </c>
    </row>
    <row r="37541" spans="1:10" x14ac:dyDescent="0.25">
      <c r="A37541" t="s">
        <v>398</v>
      </c>
      <c r="B37541" s="1" t="str">
        <f>HYPERLINK("http://volkswagen-versicherung.com","volkswagen-versicherung.com")</f>
        <v>volkswagen-versicherung.com</v>
      </c>
      <c r="C37541" t="s">
        <v>433</v>
      </c>
      <c r="F37541">
        <v>4.6517206291459797E-9</v>
      </c>
      <c r="G37541">
        <v>44044957</v>
      </c>
      <c r="H37541">
        <v>9423121</v>
      </c>
      <c r="I37541">
        <v>66923288</v>
      </c>
      <c r="J37541">
        <v>3</v>
      </c>
    </row>
    <row r="37542" spans="1:10" x14ac:dyDescent="0.25">
      <c r="A37542" t="s">
        <v>398</v>
      </c>
      <c r="B37542" s="1" t="str">
        <f>HYPERLINK("http://volkswagenag.com","volkswagenag.com")</f>
        <v>volkswagenag.com</v>
      </c>
      <c r="C37542" t="s">
        <v>433</v>
      </c>
      <c r="E37542">
        <v>21561</v>
      </c>
      <c r="F37542">
        <v>2.5642556597466201E-6</v>
      </c>
      <c r="G37542">
        <v>14723</v>
      </c>
      <c r="H37542">
        <v>17533798</v>
      </c>
      <c r="I37542">
        <v>11898</v>
      </c>
      <c r="J37542">
        <v>1</v>
      </c>
    </row>
    <row r="37543" spans="1:10" x14ac:dyDescent="0.25">
      <c r="A37543" t="s">
        <v>398</v>
      </c>
      <c r="B37543" s="1" t="str">
        <f>HYPERLINK("http://volkswagenbahamas.com","volkswagenbahamas.com")</f>
        <v>volkswagenbahamas.com</v>
      </c>
      <c r="C37543" t="s">
        <v>433</v>
      </c>
      <c r="F37543">
        <v>4.4497942565081097E-9</v>
      </c>
      <c r="G37543">
        <v>72052673</v>
      </c>
      <c r="H37543">
        <v>9397930</v>
      </c>
      <c r="I37543">
        <v>67300788</v>
      </c>
      <c r="J37543">
        <v>3</v>
      </c>
    </row>
    <row r="37544" spans="1:10" x14ac:dyDescent="0.25">
      <c r="A37544" t="s">
        <v>398</v>
      </c>
      <c r="B37544" s="1" t="str">
        <f>HYPERLINK("http://volkswagengroupamerica.com","volkswagengroupamerica.com")</f>
        <v>volkswagengroupamerica.com</v>
      </c>
      <c r="C37544" t="s">
        <v>433</v>
      </c>
      <c r="F37544">
        <v>7.5749402688166797E-8</v>
      </c>
      <c r="G37544">
        <v>554884</v>
      </c>
      <c r="H37544">
        <v>14875809</v>
      </c>
      <c r="I37544">
        <v>475293</v>
      </c>
      <c r="J37544">
        <v>3</v>
      </c>
    </row>
    <row r="37545" spans="1:10" x14ac:dyDescent="0.25">
      <c r="A37545" t="s">
        <v>398</v>
      </c>
      <c r="B37545" s="1" t="str">
        <f>HYPERLINK("http://volkswagengroupofamerica.com","volkswagengroupofamerica.com")</f>
        <v>volkswagengroupofamerica.com</v>
      </c>
      <c r="C37545" t="s">
        <v>433</v>
      </c>
      <c r="F37545">
        <v>1.36912953828543E-7</v>
      </c>
      <c r="G37545">
        <v>284672</v>
      </c>
      <c r="H37545">
        <v>14296128</v>
      </c>
      <c r="I37545">
        <v>1360197</v>
      </c>
      <c r="J37545">
        <v>3</v>
      </c>
    </row>
    <row r="37546" spans="1:10" x14ac:dyDescent="0.25">
      <c r="A37546" t="s">
        <v>398</v>
      </c>
      <c r="B37546" s="1" t="str">
        <f>HYPERLINK("http://volkswagenoflebanon.com","volkswagenoflebanon.com")</f>
        <v>volkswagenoflebanon.com</v>
      </c>
      <c r="C37546" t="s">
        <v>433</v>
      </c>
      <c r="F37546">
        <v>5.0959007761039602E-9</v>
      </c>
      <c r="G37546">
        <v>27164552</v>
      </c>
      <c r="H37546">
        <v>10052565</v>
      </c>
      <c r="I37546">
        <v>60359450</v>
      </c>
      <c r="J37546">
        <v>3</v>
      </c>
    </row>
    <row r="37547" spans="1:10" x14ac:dyDescent="0.25">
      <c r="A37547" t="s">
        <v>398</v>
      </c>
      <c r="B37547" s="1" t="str">
        <f>HYPERLINK("http://volkswagenofperrysburg.com","volkswagenofperrysburg.com")</f>
        <v>volkswagenofperrysburg.com</v>
      </c>
      <c r="C37547" t="s">
        <v>433</v>
      </c>
      <c r="F37547">
        <v>5.7443023122428997E-9</v>
      </c>
      <c r="G37547">
        <v>18543709</v>
      </c>
      <c r="H37547">
        <v>12442513</v>
      </c>
      <c r="I37547">
        <v>18116530</v>
      </c>
      <c r="J37547">
        <v>3</v>
      </c>
    </row>
    <row r="37548" spans="1:10" x14ac:dyDescent="0.25">
      <c r="A37548" t="s">
        <v>398</v>
      </c>
      <c r="B37548" s="1" t="str">
        <f>HYPERLINK("http://volkswagenoftucson.com","volkswagenoftucson.com")</f>
        <v>volkswagenoftucson.com</v>
      </c>
      <c r="C37548" t="s">
        <v>433</v>
      </c>
      <c r="F37548">
        <v>6.4816289658360202E-9</v>
      </c>
      <c r="G37548">
        <v>14155153</v>
      </c>
      <c r="H37548">
        <v>12378671</v>
      </c>
      <c r="I37548">
        <v>19238505</v>
      </c>
      <c r="J37548">
        <v>3</v>
      </c>
    </row>
    <row r="37549" spans="1:10" x14ac:dyDescent="0.25">
      <c r="A37549" t="s">
        <v>398</v>
      </c>
      <c r="B37549" s="1" t="str">
        <f>HYPERLINK("http://volkswagenpasadena.com","volkswagenpasadena.com")</f>
        <v>volkswagenpasadena.com</v>
      </c>
      <c r="C37549" t="s">
        <v>433</v>
      </c>
      <c r="F37549">
        <v>6.2149911111885601E-9</v>
      </c>
      <c r="G37549">
        <v>15455890</v>
      </c>
      <c r="H37549">
        <v>12423836</v>
      </c>
      <c r="I37549">
        <v>18390247</v>
      </c>
      <c r="J37549">
        <v>3</v>
      </c>
    </row>
    <row r="37550" spans="1:10" x14ac:dyDescent="0.25">
      <c r="A37550" t="s">
        <v>398</v>
      </c>
      <c r="B37550" s="1" t="str">
        <f>HYPERLINK("http://volkswagenstatecollege.com","volkswagenstatecollege.com")</f>
        <v>volkswagenstatecollege.com</v>
      </c>
      <c r="C37550" t="s">
        <v>433</v>
      </c>
      <c r="F37550">
        <v>5.0389493716710096E-9</v>
      </c>
      <c r="G37550">
        <v>28465222</v>
      </c>
      <c r="H37550">
        <v>10743273</v>
      </c>
      <c r="I37550">
        <v>40298975</v>
      </c>
      <c r="J37550">
        <v>3</v>
      </c>
    </row>
    <row r="37551" spans="1:10" x14ac:dyDescent="0.25">
      <c r="A37551" t="s">
        <v>398</v>
      </c>
      <c r="B37551" s="1" t="str">
        <f>HYPERLINK("http://vtxrm.com","vtxrm.com")</f>
        <v>vtxrm.com</v>
      </c>
      <c r="C37551" t="s">
        <v>433</v>
      </c>
      <c r="F37551">
        <v>5.8539668763941704E-9</v>
      </c>
      <c r="G37551">
        <v>17681812</v>
      </c>
      <c r="H37551">
        <v>10937022</v>
      </c>
      <c r="I37551">
        <v>34906997</v>
      </c>
      <c r="J37551">
        <v>3</v>
      </c>
    </row>
    <row r="37552" spans="1:10" x14ac:dyDescent="0.25">
      <c r="A37552" t="s">
        <v>398</v>
      </c>
      <c r="B37552" s="1" t="str">
        <f>HYPERLINK("http://vw.com","vw.com")</f>
        <v>vw.com</v>
      </c>
      <c r="C37552" t="s">
        <v>433</v>
      </c>
      <c r="E37552">
        <v>10600</v>
      </c>
      <c r="F37552">
        <v>1.6755120986321099E-6</v>
      </c>
      <c r="G37552">
        <v>23704</v>
      </c>
      <c r="H37552">
        <v>15845355</v>
      </c>
      <c r="I37552">
        <v>367611</v>
      </c>
      <c r="J37552">
        <v>2</v>
      </c>
    </row>
    <row r="37553" spans="1:10" x14ac:dyDescent="0.25">
      <c r="A37553" t="s">
        <v>398</v>
      </c>
      <c r="B37553" s="1" t="str">
        <f>HYPERLINK("http://vw-garage.com","vw-garage.com")</f>
        <v>vw-garage.com</v>
      </c>
      <c r="C37553" t="s">
        <v>433</v>
      </c>
      <c r="F37553">
        <v>4.44380395335525E-9</v>
      </c>
      <c r="G37553">
        <v>83937530</v>
      </c>
      <c r="H37553">
        <v>0</v>
      </c>
      <c r="I37553">
        <v>84869416</v>
      </c>
      <c r="J37553">
        <v>3</v>
      </c>
    </row>
    <row r="37554" spans="1:10" x14ac:dyDescent="0.25">
      <c r="A37554" t="s">
        <v>398</v>
      </c>
      <c r="B37554" s="1" t="str">
        <f>HYPERLINK("http://vw-rudolph.com","vw-rudolph.com")</f>
        <v>vw-rudolph.com</v>
      </c>
      <c r="C37554" t="s">
        <v>433</v>
      </c>
      <c r="F37554">
        <v>1.46945031489979E-8</v>
      </c>
      <c r="G37554">
        <v>3942992</v>
      </c>
      <c r="H37554">
        <v>13136334</v>
      </c>
      <c r="I37554">
        <v>11903292</v>
      </c>
      <c r="J37554">
        <v>3</v>
      </c>
    </row>
    <row r="37555" spans="1:10" x14ac:dyDescent="0.25">
      <c r="A37555" t="s">
        <v>398</v>
      </c>
      <c r="B37555" s="1" t="str">
        <f>HYPERLINK("http://vwatd.com","vwatd.com")</f>
        <v>vwatd.com</v>
      </c>
      <c r="C37555" t="s">
        <v>433</v>
      </c>
      <c r="F37555">
        <v>5.1005244584058601E-9</v>
      </c>
      <c r="G37555">
        <v>27067123</v>
      </c>
      <c r="H37555">
        <v>7218125</v>
      </c>
      <c r="I37555">
        <v>76399907</v>
      </c>
      <c r="J37555">
        <v>3</v>
      </c>
    </row>
    <row r="37556" spans="1:10" x14ac:dyDescent="0.25">
      <c r="A37556" t="s">
        <v>398</v>
      </c>
      <c r="B37556" s="1" t="str">
        <f>HYPERLINK("http://vwatj.com","vwatj.com")</f>
        <v>vwatj.com</v>
      </c>
      <c r="C37556" t="s">
        <v>433</v>
      </c>
      <c r="F37556">
        <v>6.0145526645797301E-9</v>
      </c>
      <c r="G37556">
        <v>16595184</v>
      </c>
      <c r="H37556">
        <v>14072135</v>
      </c>
      <c r="I37556">
        <v>3155499</v>
      </c>
      <c r="J37556">
        <v>3</v>
      </c>
    </row>
    <row r="37557" spans="1:10" x14ac:dyDescent="0.25">
      <c r="A37557" t="s">
        <v>398</v>
      </c>
      <c r="B37557" s="1" t="str">
        <f>HYPERLINK("http://vwcredit.com","vwcredit.com")</f>
        <v>vwcredit.com</v>
      </c>
      <c r="C37557" t="s">
        <v>433</v>
      </c>
      <c r="E37557">
        <v>107648</v>
      </c>
      <c r="F37557">
        <v>3.9343010635185097E-8</v>
      </c>
      <c r="G37557">
        <v>1311662</v>
      </c>
      <c r="H37557">
        <v>13269327</v>
      </c>
      <c r="I37557">
        <v>10964671</v>
      </c>
      <c r="J37557">
        <v>3</v>
      </c>
    </row>
    <row r="37558" spans="1:10" x14ac:dyDescent="0.25">
      <c r="A37558" t="s">
        <v>398</v>
      </c>
      <c r="B37558" s="1" t="str">
        <f>HYPERLINK("http://vwerl.com","vwerl.com")</f>
        <v>vwerl.com</v>
      </c>
      <c r="C37558" t="s">
        <v>433</v>
      </c>
      <c r="F37558">
        <v>3.16100061076973E-8</v>
      </c>
      <c r="G37558">
        <v>1632783</v>
      </c>
      <c r="H37558">
        <v>14442638</v>
      </c>
      <c r="I37558">
        <v>1060523</v>
      </c>
      <c r="J37558">
        <v>4</v>
      </c>
    </row>
    <row r="37559" spans="1:10" x14ac:dyDescent="0.25">
      <c r="A37559" t="s">
        <v>398</v>
      </c>
      <c r="B37559" s="1" t="str">
        <f>HYPERLINK("http://vwfs.com","vwfs.com")</f>
        <v>vwfs.com</v>
      </c>
      <c r="C37559" t="s">
        <v>433</v>
      </c>
      <c r="E37559">
        <v>97313</v>
      </c>
      <c r="F37559">
        <v>2.6683368073103398E-7</v>
      </c>
      <c r="G37559">
        <v>139664</v>
      </c>
      <c r="H37559">
        <v>14310200</v>
      </c>
      <c r="I37559">
        <v>1342621</v>
      </c>
      <c r="J37559">
        <v>3</v>
      </c>
    </row>
    <row r="37560" spans="1:10" x14ac:dyDescent="0.25">
      <c r="A37560" t="s">
        <v>398</v>
      </c>
      <c r="B37560" s="1" t="str">
        <f>HYPERLINK("http://vwfsag.com","vwfsag.com")</f>
        <v>vwfsag.com</v>
      </c>
      <c r="C37560" t="s">
        <v>433</v>
      </c>
      <c r="F37560">
        <v>1.8249301791849102E-8</v>
      </c>
      <c r="G37560">
        <v>2977332</v>
      </c>
      <c r="H37560">
        <v>14112072</v>
      </c>
      <c r="I37560">
        <v>2670561</v>
      </c>
      <c r="J37560">
        <v>3</v>
      </c>
    </row>
    <row r="37561" spans="1:10" x14ac:dyDescent="0.25">
      <c r="A37561" t="s">
        <v>398</v>
      </c>
      <c r="B37561" s="1" t="str">
        <f>HYPERLINK("http://vwkennedy.com","vwkennedy.com")</f>
        <v>vwkennedy.com</v>
      </c>
      <c r="C37561" t="s">
        <v>433</v>
      </c>
      <c r="F37561">
        <v>8.4273924365687807E-9</v>
      </c>
      <c r="G37561">
        <v>8987299</v>
      </c>
      <c r="H37561">
        <v>10628503</v>
      </c>
      <c r="I37561">
        <v>44032936</v>
      </c>
      <c r="J37561">
        <v>3</v>
      </c>
    </row>
    <row r="37562" spans="1:10" x14ac:dyDescent="0.25">
      <c r="A37562" t="s">
        <v>398</v>
      </c>
      <c r="B37562" s="1" t="str">
        <f>HYPERLINK("http://vwlauzonblainville.com","vwlauzonblainville.com")</f>
        <v>vwlauzonblainville.com</v>
      </c>
      <c r="C37562" t="s">
        <v>433</v>
      </c>
      <c r="F37562">
        <v>1.00074012348883E-8</v>
      </c>
      <c r="G37562">
        <v>6748380</v>
      </c>
      <c r="H37562">
        <v>10434527</v>
      </c>
      <c r="I37562">
        <v>52811153</v>
      </c>
      <c r="J37562">
        <v>3</v>
      </c>
    </row>
    <row r="37563" spans="1:10" x14ac:dyDescent="0.25">
      <c r="A37563" t="s">
        <v>398</v>
      </c>
      <c r="B37563" s="1" t="str">
        <f>HYPERLINK("http://vwofdtla.com","vwofdtla.com")</f>
        <v>vwofdtla.com</v>
      </c>
      <c r="C37563" t="s">
        <v>433</v>
      </c>
      <c r="F37563">
        <v>1.5823563150757299E-8</v>
      </c>
      <c r="G37563">
        <v>3592988</v>
      </c>
      <c r="H37563">
        <v>13606332</v>
      </c>
      <c r="I37563">
        <v>9641231</v>
      </c>
      <c r="J37563">
        <v>3</v>
      </c>
    </row>
    <row r="37564" spans="1:10" x14ac:dyDescent="0.25">
      <c r="A37564" t="s">
        <v>398</v>
      </c>
      <c r="B37564" s="1" t="str">
        <f>HYPERLINK("http://vwofduluth.com","vwofduluth.com")</f>
        <v>vwofduluth.com</v>
      </c>
      <c r="C37564" t="s">
        <v>433</v>
      </c>
      <c r="F37564">
        <v>6.09361368910083E-9</v>
      </c>
      <c r="G37564">
        <v>16128952</v>
      </c>
      <c r="H37564">
        <v>12173830</v>
      </c>
      <c r="I37564">
        <v>23963895</v>
      </c>
      <c r="J37564">
        <v>3</v>
      </c>
    </row>
    <row r="37565" spans="1:10" x14ac:dyDescent="0.25">
      <c r="A37565" t="s">
        <v>398</v>
      </c>
      <c r="B37565" s="1" t="str">
        <f>HYPERLINK("http://vwoffallston.com","vwoffallston.com")</f>
        <v>vwoffallston.com</v>
      </c>
      <c r="C37565" t="s">
        <v>433</v>
      </c>
      <c r="F37565">
        <v>1.32619409815857E-8</v>
      </c>
      <c r="G37565">
        <v>4510243</v>
      </c>
      <c r="H37565">
        <v>12332884</v>
      </c>
      <c r="I37565">
        <v>20151613</v>
      </c>
      <c r="J37565">
        <v>3</v>
      </c>
    </row>
    <row r="37566" spans="1:10" x14ac:dyDescent="0.25">
      <c r="A37566" t="s">
        <v>398</v>
      </c>
      <c r="B37566" s="1" t="str">
        <f>HYPERLINK("http://vwofmacon.com","vwofmacon.com")</f>
        <v>vwofmacon.com</v>
      </c>
      <c r="C37566" t="s">
        <v>433</v>
      </c>
      <c r="F37566">
        <v>4.9828841775998003E-9</v>
      </c>
      <c r="G37566">
        <v>29924682</v>
      </c>
      <c r="H37566">
        <v>11872244</v>
      </c>
      <c r="I37566">
        <v>29648619</v>
      </c>
      <c r="J37566">
        <v>3</v>
      </c>
    </row>
    <row r="37567" spans="1:10" x14ac:dyDescent="0.25">
      <c r="A37567" t="s">
        <v>398</v>
      </c>
      <c r="B37567" s="1" t="str">
        <f>HYPERLINK("http://vwofmurrieta.com","vwofmurrieta.com")</f>
        <v>vwofmurrieta.com</v>
      </c>
      <c r="C37567" t="s">
        <v>433</v>
      </c>
      <c r="F37567">
        <v>5.4934577275053198E-9</v>
      </c>
      <c r="G37567">
        <v>20974452</v>
      </c>
      <c r="H37567">
        <v>12117436</v>
      </c>
      <c r="I37567">
        <v>25474323</v>
      </c>
      <c r="J37567">
        <v>3</v>
      </c>
    </row>
    <row r="37568" spans="1:10" x14ac:dyDescent="0.25">
      <c r="A37568" t="s">
        <v>398</v>
      </c>
      <c r="B37568" s="1" t="str">
        <f>HYPERLINK("http://vwofsalem.com","vwofsalem.com")</f>
        <v>vwofsalem.com</v>
      </c>
      <c r="C37568" t="s">
        <v>433</v>
      </c>
      <c r="F37568">
        <v>8.4515194314087501E-9</v>
      </c>
      <c r="G37568">
        <v>8939690</v>
      </c>
      <c r="H37568">
        <v>12764618</v>
      </c>
      <c r="I37568">
        <v>14923964</v>
      </c>
      <c r="J37568">
        <v>3</v>
      </c>
    </row>
    <row r="37569" spans="1:10" x14ac:dyDescent="0.25">
      <c r="A37569" t="s">
        <v>398</v>
      </c>
      <c r="B37569" s="1" t="str">
        <f>HYPERLINK("http://vwprestige.com","vwprestige.com")</f>
        <v>vwprestige.com</v>
      </c>
      <c r="C37569" t="s">
        <v>433</v>
      </c>
      <c r="F37569">
        <v>4.5439995620890601E-9</v>
      </c>
      <c r="G37569">
        <v>52834435</v>
      </c>
      <c r="H37569">
        <v>10869332</v>
      </c>
      <c r="I37569">
        <v>36514770</v>
      </c>
      <c r="J37569">
        <v>3</v>
      </c>
    </row>
    <row r="37570" spans="1:10" x14ac:dyDescent="0.25">
      <c r="A37570" t="s">
        <v>398</v>
      </c>
      <c r="B37570" s="1" t="str">
        <f>HYPERLINK("http://vwsb.com","vwsb.com")</f>
        <v>vwsb.com</v>
      </c>
      <c r="C37570" t="s">
        <v>433</v>
      </c>
      <c r="F37570">
        <v>5.4709602535056597E-9</v>
      </c>
      <c r="G37570">
        <v>21234378</v>
      </c>
      <c r="H37570">
        <v>12226951</v>
      </c>
      <c r="I37570">
        <v>22593457</v>
      </c>
      <c r="J37570">
        <v>3</v>
      </c>
    </row>
    <row r="37571" spans="1:10" x14ac:dyDescent="0.25">
      <c r="A37571" t="s">
        <v>398</v>
      </c>
      <c r="B37571" s="1" t="str">
        <f>HYPERLINK("http://westsidevw.com","westsidevw.com")</f>
        <v>westsidevw.com</v>
      </c>
      <c r="C37571" t="s">
        <v>433</v>
      </c>
      <c r="F37571">
        <v>1.3824971774287599E-8</v>
      </c>
      <c r="G37571">
        <v>4270707</v>
      </c>
      <c r="H37571">
        <v>12510209</v>
      </c>
      <c r="I37571">
        <v>17245361</v>
      </c>
      <c r="J37571">
        <v>3</v>
      </c>
    </row>
    <row r="37572" spans="1:10" x14ac:dyDescent="0.25">
      <c r="A37572" t="s">
        <v>398</v>
      </c>
      <c r="B37572" s="1" t="str">
        <f>HYPERLINK("http://wirelesscar.com","wirelesscar.com")</f>
        <v>wirelesscar.com</v>
      </c>
      <c r="C37572" t="s">
        <v>433</v>
      </c>
      <c r="F37572">
        <v>6.4258027165211696E-8</v>
      </c>
      <c r="G37572">
        <v>673875</v>
      </c>
      <c r="H37572">
        <v>14454228</v>
      </c>
      <c r="I37572">
        <v>1050607</v>
      </c>
      <c r="J37572">
        <v>3</v>
      </c>
    </row>
    <row r="37573" spans="1:10" x14ac:dyDescent="0.25">
      <c r="A37573" t="s">
        <v>398</v>
      </c>
      <c r="B37573" s="1" t="str">
        <f>HYPERLINK("http://wolfsburg-ag.com","wolfsburg-ag.com")</f>
        <v>wolfsburg-ag.com</v>
      </c>
      <c r="C37573" t="s">
        <v>433</v>
      </c>
      <c r="F37573">
        <v>6.1874981503432894E-8</v>
      </c>
      <c r="G37573">
        <v>710784</v>
      </c>
      <c r="H37573">
        <v>14578064</v>
      </c>
      <c r="I37573">
        <v>715948</v>
      </c>
      <c r="J37573">
        <v>3</v>
      </c>
    </row>
    <row r="37574" spans="1:10" x14ac:dyDescent="0.25">
      <c r="A37574" t="s">
        <v>398</v>
      </c>
      <c r="B37574" s="1" t="str">
        <f>HYPERLINK("http://audi.co.cr","audi.co.cr")</f>
        <v>audi.co.cr</v>
      </c>
      <c r="C37574" t="s">
        <v>434</v>
      </c>
      <c r="D37574" t="s">
        <v>813</v>
      </c>
      <c r="F37574">
        <v>7.0988551590363796E-9</v>
      </c>
      <c r="G37574">
        <v>12018215</v>
      </c>
      <c r="H37574">
        <v>12942790</v>
      </c>
      <c r="I37574">
        <v>13270047</v>
      </c>
      <c r="J37574">
        <v>5</v>
      </c>
    </row>
    <row r="37575" spans="1:10" x14ac:dyDescent="0.25">
      <c r="A37575" t="s">
        <v>398</v>
      </c>
      <c r="B37575" s="1" t="str">
        <f>HYPERLINK("http://audi.cu","audi.cu")</f>
        <v>audi.cu</v>
      </c>
      <c r="C37575" t="s">
        <v>592</v>
      </c>
      <c r="D37575" t="s">
        <v>927</v>
      </c>
      <c r="F37575">
        <v>5.2079164451893203E-9</v>
      </c>
      <c r="G37575">
        <v>24961216</v>
      </c>
      <c r="H37575">
        <v>10595104</v>
      </c>
      <c r="I37575">
        <v>45227143</v>
      </c>
      <c r="J37575">
        <v>4</v>
      </c>
    </row>
    <row r="37576" spans="1:10" x14ac:dyDescent="0.25">
      <c r="A37576" t="s">
        <v>398</v>
      </c>
      <c r="B37576" s="1" t="str">
        <f>HYPERLINK("http://audi.cx","audi.cx")</f>
        <v>audi.cx</v>
      </c>
      <c r="C37576" t="s">
        <v>542</v>
      </c>
      <c r="D37576" t="s">
        <v>901</v>
      </c>
      <c r="F37576">
        <v>7.7874562665166192E-9</v>
      </c>
      <c r="G37576">
        <v>10351513</v>
      </c>
      <c r="H37576">
        <v>12415962</v>
      </c>
      <c r="I37576">
        <v>18527979</v>
      </c>
      <c r="J37576">
        <v>4</v>
      </c>
    </row>
    <row r="37577" spans="1:10" x14ac:dyDescent="0.25">
      <c r="A37577" t="s">
        <v>398</v>
      </c>
      <c r="B37577" s="1" t="str">
        <f>HYPERLINK("http://cupraofficial.com.cy","cupraofficial.com.cy")</f>
        <v>cupraofficial.com.cy</v>
      </c>
      <c r="C37577" t="s">
        <v>610</v>
      </c>
      <c r="D37577" t="s">
        <v>937</v>
      </c>
      <c r="F37577">
        <v>1.35478507067689E-8</v>
      </c>
      <c r="G37577">
        <v>4383669</v>
      </c>
      <c r="H37577">
        <v>12158924</v>
      </c>
      <c r="I37577">
        <v>24397648</v>
      </c>
      <c r="J37577">
        <v>4</v>
      </c>
    </row>
    <row r="37578" spans="1:10" x14ac:dyDescent="0.25">
      <c r="A37578" t="s">
        <v>398</v>
      </c>
      <c r="B37578" s="1" t="str">
        <f>HYPERLINK("http://seat.com.cy","seat.com.cy")</f>
        <v>seat.com.cy</v>
      </c>
      <c r="C37578" t="s">
        <v>610</v>
      </c>
      <c r="D37578" t="s">
        <v>937</v>
      </c>
      <c r="F37578">
        <v>2.2755317016421698E-8</v>
      </c>
      <c r="G37578">
        <v>2300715</v>
      </c>
      <c r="H37578">
        <v>13764424</v>
      </c>
      <c r="I37578">
        <v>7270992</v>
      </c>
      <c r="J37578">
        <v>4</v>
      </c>
    </row>
    <row r="37579" spans="1:10" x14ac:dyDescent="0.25">
      <c r="A37579" t="s">
        <v>398</v>
      </c>
      <c r="B37579" s="1" t="str">
        <f>HYPERLINK("http://audi.cz","audi.cz")</f>
        <v>audi.cz</v>
      </c>
      <c r="C37579" t="s">
        <v>435</v>
      </c>
      <c r="D37579" t="s">
        <v>814</v>
      </c>
      <c r="F37579">
        <v>9.1834113200993096E-8</v>
      </c>
      <c r="G37579">
        <v>443578</v>
      </c>
      <c r="H37579">
        <v>14138666</v>
      </c>
      <c r="I37579">
        <v>1945639</v>
      </c>
      <c r="J37579">
        <v>4</v>
      </c>
    </row>
    <row r="37580" spans="1:10" x14ac:dyDescent="0.25">
      <c r="A37580" t="s">
        <v>398</v>
      </c>
      <c r="B37580" s="1" t="str">
        <f>HYPERLINK("http://auto-elso.cz","auto-elso.cz")</f>
        <v>auto-elso.cz</v>
      </c>
      <c r="C37580" t="s">
        <v>435</v>
      </c>
      <c r="D37580" t="s">
        <v>814</v>
      </c>
      <c r="F37580">
        <v>5.7846235551691304E-9</v>
      </c>
      <c r="G37580">
        <v>18208599</v>
      </c>
      <c r="H37580">
        <v>12159189</v>
      </c>
      <c r="I37580">
        <v>24386770</v>
      </c>
      <c r="J37580">
        <v>5</v>
      </c>
    </row>
    <row r="37581" spans="1:10" x14ac:dyDescent="0.25">
      <c r="A37581" t="s">
        <v>398</v>
      </c>
      <c r="B37581" s="1" t="str">
        <f>HYPERLINK("http://autojarov-kunratice.cz","autojarov-kunratice.cz")</f>
        <v>autojarov-kunratice.cz</v>
      </c>
      <c r="C37581" t="s">
        <v>435</v>
      </c>
      <c r="D37581" t="s">
        <v>814</v>
      </c>
      <c r="F37581">
        <v>4.8825944666246102E-9</v>
      </c>
      <c r="G37581">
        <v>32997338</v>
      </c>
      <c r="H37581">
        <v>9427060</v>
      </c>
      <c r="I37581">
        <v>66868193</v>
      </c>
      <c r="J37581">
        <v>3</v>
      </c>
    </row>
    <row r="37582" spans="1:10" x14ac:dyDescent="0.25">
      <c r="A37582" t="s">
        <v>398</v>
      </c>
      <c r="B37582" s="1" t="str">
        <f>HYPERLINK("http://porsche.co.cz","porsche.co.cz")</f>
        <v>porsche.co.cz</v>
      </c>
      <c r="C37582" t="s">
        <v>435</v>
      </c>
      <c r="D37582" t="s">
        <v>814</v>
      </c>
      <c r="J37582">
        <v>3</v>
      </c>
    </row>
    <row r="37583" spans="1:10" x14ac:dyDescent="0.25">
      <c r="A37583" t="s">
        <v>398</v>
      </c>
      <c r="B37583" s="1" t="str">
        <f>HYPERLINK("http://cupraofficial.cz","cupraofficial.cz")</f>
        <v>cupraofficial.cz</v>
      </c>
      <c r="C37583" t="s">
        <v>435</v>
      </c>
      <c r="D37583" t="s">
        <v>814</v>
      </c>
      <c r="F37583">
        <v>2.4907661856545701E-8</v>
      </c>
      <c r="G37583">
        <v>2075785</v>
      </c>
      <c r="H37583">
        <v>13110625</v>
      </c>
      <c r="I37583">
        <v>12034466</v>
      </c>
      <c r="J37583">
        <v>4</v>
      </c>
    </row>
    <row r="37584" spans="1:10" x14ac:dyDescent="0.25">
      <c r="A37584" t="s">
        <v>398</v>
      </c>
      <c r="B37584" s="1" t="str">
        <f>HYPERLINK("http://dmoto.cz","dmoto.cz")</f>
        <v>dmoto.cz</v>
      </c>
      <c r="C37584" t="s">
        <v>435</v>
      </c>
      <c r="D37584" t="s">
        <v>814</v>
      </c>
      <c r="F37584">
        <v>7.01596553876668E-9</v>
      </c>
      <c r="G37584">
        <v>12265220</v>
      </c>
      <c r="H37584">
        <v>12176302</v>
      </c>
      <c r="I37584">
        <v>23899887</v>
      </c>
      <c r="J37584">
        <v>4</v>
      </c>
    </row>
    <row r="37585" spans="1:10" x14ac:dyDescent="0.25">
      <c r="A37585" t="s">
        <v>398</v>
      </c>
      <c r="B37585" s="1" t="str">
        <f>HYPERLINK("http://e4t.cz","e4t.cz")</f>
        <v>e4t.cz</v>
      </c>
      <c r="C37585" t="s">
        <v>435</v>
      </c>
      <c r="D37585" t="s">
        <v>814</v>
      </c>
      <c r="F37585">
        <v>5.3082050181651802E-9</v>
      </c>
      <c r="G37585">
        <v>23373441</v>
      </c>
      <c r="H37585">
        <v>12062775</v>
      </c>
      <c r="I37585">
        <v>26944431</v>
      </c>
      <c r="J37585">
        <v>3</v>
      </c>
    </row>
    <row r="37586" spans="1:10" x14ac:dyDescent="0.25">
      <c r="A37586" t="s">
        <v>398</v>
      </c>
      <c r="B37586" s="1" t="str">
        <f>HYPERLINK("http://pbsturbo.cz","pbsturbo.cz")</f>
        <v>pbsturbo.cz</v>
      </c>
      <c r="C37586" t="s">
        <v>435</v>
      </c>
      <c r="D37586" t="s">
        <v>814</v>
      </c>
      <c r="F37586">
        <v>1.33024909306502E-8</v>
      </c>
      <c r="G37586">
        <v>4492323</v>
      </c>
      <c r="H37586">
        <v>13717939</v>
      </c>
      <c r="I37586">
        <v>9487982</v>
      </c>
      <c r="J37586">
        <v>3</v>
      </c>
    </row>
    <row r="37587" spans="1:10" x14ac:dyDescent="0.25">
      <c r="A37587" t="s">
        <v>398</v>
      </c>
      <c r="B37587" s="1" t="str">
        <f>HYPERLINK("http://porsche.cz","porsche.cz")</f>
        <v>porsche.cz</v>
      </c>
      <c r="C37587" t="s">
        <v>435</v>
      </c>
      <c r="D37587" t="s">
        <v>814</v>
      </c>
      <c r="F37587">
        <v>3.1524452136032403E-8</v>
      </c>
      <c r="G37587">
        <v>1636751</v>
      </c>
      <c r="H37587">
        <v>14076227</v>
      </c>
      <c r="I37587">
        <v>2891825</v>
      </c>
      <c r="J37587">
        <v>4</v>
      </c>
    </row>
    <row r="37588" spans="1:10" x14ac:dyDescent="0.25">
      <c r="A37588" t="s">
        <v>398</v>
      </c>
      <c r="B37588" s="1" t="str">
        <f>HYPERLINK("http://porsche-interauto.cz","porsche-interauto.cz")</f>
        <v>porsche-interauto.cz</v>
      </c>
      <c r="C37588" t="s">
        <v>435</v>
      </c>
      <c r="D37588" t="s">
        <v>814</v>
      </c>
      <c r="F37588">
        <v>1.6734551824493099E-8</v>
      </c>
      <c r="G37588">
        <v>3350158</v>
      </c>
      <c r="H37588">
        <v>12259713</v>
      </c>
      <c r="I37588">
        <v>21780080</v>
      </c>
      <c r="J37588">
        <v>3</v>
      </c>
    </row>
    <row r="37589" spans="1:10" x14ac:dyDescent="0.25">
      <c r="A37589" t="s">
        <v>398</v>
      </c>
      <c r="B37589" s="1" t="str">
        <f>HYPERLINK("http://porsche-prosek.cz","porsche-prosek.cz")</f>
        <v>porsche-prosek.cz</v>
      </c>
      <c r="C37589" t="s">
        <v>435</v>
      </c>
      <c r="D37589" t="s">
        <v>814</v>
      </c>
      <c r="F37589">
        <v>9.6694611385996307E-9</v>
      </c>
      <c r="G37589">
        <v>7116648</v>
      </c>
      <c r="H37589">
        <v>12350933</v>
      </c>
      <c r="I37589">
        <v>19751696</v>
      </c>
      <c r="J37589">
        <v>4</v>
      </c>
    </row>
    <row r="37590" spans="1:10" x14ac:dyDescent="0.25">
      <c r="A37590" t="s">
        <v>398</v>
      </c>
      <c r="B37590" s="1" t="str">
        <f>HYPERLINK("http://seat.cz","seat.cz")</f>
        <v>seat.cz</v>
      </c>
      <c r="C37590" t="s">
        <v>435</v>
      </c>
      <c r="D37590" t="s">
        <v>814</v>
      </c>
      <c r="F37590">
        <v>5.7150839111527602E-8</v>
      </c>
      <c r="G37590">
        <v>780907</v>
      </c>
      <c r="H37590">
        <v>14246105</v>
      </c>
      <c r="I37590">
        <v>1463029</v>
      </c>
      <c r="J37590">
        <v>4</v>
      </c>
    </row>
    <row r="37591" spans="1:10" x14ac:dyDescent="0.25">
      <c r="A37591" t="s">
        <v>398</v>
      </c>
      <c r="B37591" s="1" t="str">
        <f>HYPERLINK("http://sko-energo.cz","sko-energo.cz")</f>
        <v>sko-energo.cz</v>
      </c>
      <c r="C37591" t="s">
        <v>435</v>
      </c>
      <c r="D37591" t="s">
        <v>814</v>
      </c>
      <c r="F37591">
        <v>2.6664617040445801E-8</v>
      </c>
      <c r="G37591">
        <v>1930296</v>
      </c>
      <c r="H37591">
        <v>14073099</v>
      </c>
      <c r="I37591">
        <v>3017326</v>
      </c>
      <c r="J37591">
        <v>4</v>
      </c>
    </row>
    <row r="37592" spans="1:10" x14ac:dyDescent="0.25">
      <c r="A37592" t="s">
        <v>398</v>
      </c>
      <c r="B37592" s="1" t="str">
        <f>HYPERLINK("http://skoda-auto.cz","skoda-auto.cz")</f>
        <v>skoda-auto.cz</v>
      </c>
      <c r="C37592" t="s">
        <v>435</v>
      </c>
      <c r="D37592" t="s">
        <v>814</v>
      </c>
      <c r="E37592">
        <v>69519</v>
      </c>
      <c r="F37592">
        <v>6.8535017646899297E-7</v>
      </c>
      <c r="G37592">
        <v>56362</v>
      </c>
      <c r="H37592">
        <v>14821239</v>
      </c>
      <c r="I37592">
        <v>516226</v>
      </c>
      <c r="J37592">
        <v>3</v>
      </c>
    </row>
    <row r="37593" spans="1:10" x14ac:dyDescent="0.25">
      <c r="A37593" t="s">
        <v>398</v>
      </c>
      <c r="B37593" s="1" t="str">
        <f>HYPERLINK("http://volkswagen.cz","volkswagen.cz")</f>
        <v>volkswagen.cz</v>
      </c>
      <c r="C37593" t="s">
        <v>435</v>
      </c>
      <c r="D37593" t="s">
        <v>814</v>
      </c>
      <c r="E37593">
        <v>782121</v>
      </c>
      <c r="F37593">
        <v>1.5046166601384001E-7</v>
      </c>
      <c r="G37593">
        <v>258181</v>
      </c>
      <c r="H37593">
        <v>14250410</v>
      </c>
      <c r="I37593">
        <v>1446870</v>
      </c>
      <c r="J37593">
        <v>4</v>
      </c>
    </row>
    <row r="37594" spans="1:10" x14ac:dyDescent="0.25">
      <c r="A37594" t="s">
        <v>398</v>
      </c>
      <c r="B37594" s="1" t="str">
        <f>HYPERLINK("http://a-t-d.de","a-t-d.de")</f>
        <v>a-t-d.de</v>
      </c>
      <c r="C37594" t="s">
        <v>436</v>
      </c>
      <c r="D37594" t="s">
        <v>815</v>
      </c>
      <c r="J37594">
        <v>4</v>
      </c>
    </row>
    <row r="37595" spans="1:10" x14ac:dyDescent="0.25">
      <c r="A37595" t="s">
        <v>398</v>
      </c>
      <c r="B37595" s="1" t="str">
        <f>HYPERLINK("http://ad-jahnsmueller.de","ad-jahnsmueller.de")</f>
        <v>ad-jahnsmueller.de</v>
      </c>
      <c r="C37595" t="s">
        <v>436</v>
      </c>
      <c r="D37595" t="s">
        <v>815</v>
      </c>
      <c r="J37595">
        <v>4</v>
      </c>
    </row>
    <row r="37596" spans="1:10" x14ac:dyDescent="0.25">
      <c r="A37596" t="s">
        <v>398</v>
      </c>
      <c r="B37596" s="1" t="str">
        <f>HYPERLINK("http://adeck-vw.de","adeck-vw.de")</f>
        <v>adeck-vw.de</v>
      </c>
      <c r="C37596" t="s">
        <v>436</v>
      </c>
      <c r="D37596" t="s">
        <v>815</v>
      </c>
      <c r="J37596">
        <v>3</v>
      </c>
    </row>
    <row r="37597" spans="1:10" x14ac:dyDescent="0.25">
      <c r="A37597" t="s">
        <v>398</v>
      </c>
      <c r="B37597" s="1" t="str">
        <f>HYPERLINK("http://ah-bauer.de","ah-bauer.de")</f>
        <v>ah-bauer.de</v>
      </c>
      <c r="C37597" t="s">
        <v>436</v>
      </c>
      <c r="D37597" t="s">
        <v>815</v>
      </c>
      <c r="F37597">
        <v>5.79745948643886E-9</v>
      </c>
      <c r="G37597">
        <v>18105485</v>
      </c>
      <c r="H37597">
        <v>10525207</v>
      </c>
      <c r="I37597">
        <v>48935381</v>
      </c>
      <c r="J37597">
        <v>3</v>
      </c>
    </row>
    <row r="37598" spans="1:10" x14ac:dyDescent="0.25">
      <c r="A37598" t="s">
        <v>398</v>
      </c>
      <c r="B37598" s="1" t="str">
        <f>HYPERLINK("http://ah-dreier.de","ah-dreier.de")</f>
        <v>ah-dreier.de</v>
      </c>
      <c r="C37598" t="s">
        <v>436</v>
      </c>
      <c r="D37598" t="s">
        <v>815</v>
      </c>
      <c r="F37598">
        <v>4.6574820123444296E-9</v>
      </c>
      <c r="G37598">
        <v>43659055</v>
      </c>
      <c r="H37598">
        <v>11971384</v>
      </c>
      <c r="I37598">
        <v>28701427</v>
      </c>
      <c r="J37598">
        <v>3</v>
      </c>
    </row>
    <row r="37599" spans="1:10" x14ac:dyDescent="0.25">
      <c r="A37599" t="s">
        <v>398</v>
      </c>
      <c r="B37599" s="1" t="str">
        <f>HYPERLINK("http://ah-ehrhardt.de","ah-ehrhardt.de")</f>
        <v>ah-ehrhardt.de</v>
      </c>
      <c r="C37599" t="s">
        <v>436</v>
      </c>
      <c r="D37599" t="s">
        <v>815</v>
      </c>
      <c r="F37599">
        <v>1.9522936582654799E-8</v>
      </c>
      <c r="G37599">
        <v>2740770</v>
      </c>
      <c r="H37599">
        <v>12229656</v>
      </c>
      <c r="I37599">
        <v>22511704</v>
      </c>
      <c r="J37599">
        <v>5</v>
      </c>
    </row>
    <row r="37600" spans="1:10" x14ac:dyDescent="0.25">
      <c r="A37600" t="s">
        <v>398</v>
      </c>
      <c r="B37600" s="1" t="str">
        <f>HYPERLINK("http://ahg-online.de","ahg-online.de")</f>
        <v>ahg-online.de</v>
      </c>
      <c r="C37600" t="s">
        <v>436</v>
      </c>
      <c r="D37600" t="s">
        <v>815</v>
      </c>
      <c r="F37600">
        <v>1.85032559200494E-8</v>
      </c>
      <c r="G37600">
        <v>2924985</v>
      </c>
      <c r="H37600">
        <v>13147571</v>
      </c>
      <c r="I37600">
        <v>11837942</v>
      </c>
      <c r="J37600">
        <v>4</v>
      </c>
    </row>
    <row r="37601" spans="1:10" x14ac:dyDescent="0.25">
      <c r="A37601" t="s">
        <v>398</v>
      </c>
      <c r="B37601" s="1" t="str">
        <f>HYPERLINK("http://amw.de","amw.de")</f>
        <v>amw.de</v>
      </c>
      <c r="C37601" t="s">
        <v>436</v>
      </c>
      <c r="D37601" t="s">
        <v>815</v>
      </c>
      <c r="F37601">
        <v>4.7194802589555197E-9</v>
      </c>
      <c r="G37601">
        <v>40245910</v>
      </c>
      <c r="H37601">
        <v>12739754</v>
      </c>
      <c r="I37601">
        <v>15138567</v>
      </c>
      <c r="J37601">
        <v>5</v>
      </c>
    </row>
    <row r="37602" spans="1:10" x14ac:dyDescent="0.25">
      <c r="A37602" t="s">
        <v>398</v>
      </c>
      <c r="B37602" s="1" t="str">
        <f>HYPERLINK("http://arbeitundleben.de","arbeitundleben.de")</f>
        <v>arbeitundleben.de</v>
      </c>
      <c r="C37602" t="s">
        <v>436</v>
      </c>
      <c r="D37602" t="s">
        <v>815</v>
      </c>
      <c r="F37602">
        <v>1.9154694650885301E-7</v>
      </c>
      <c r="G37602">
        <v>201196</v>
      </c>
      <c r="H37602">
        <v>14419761</v>
      </c>
      <c r="I37602">
        <v>1091019</v>
      </c>
      <c r="J37602">
        <v>8</v>
      </c>
    </row>
    <row r="37603" spans="1:10" x14ac:dyDescent="0.25">
      <c r="A37603" t="s">
        <v>398</v>
      </c>
      <c r="B37603" s="1" t="str">
        <f>HYPERLINK("http://aslohre.de","aslohre.de")</f>
        <v>aslohre.de</v>
      </c>
      <c r="C37603" t="s">
        <v>436</v>
      </c>
      <c r="D37603" t="s">
        <v>815</v>
      </c>
      <c r="F37603">
        <v>4.5433108124567299E-9</v>
      </c>
      <c r="G37603">
        <v>52908565</v>
      </c>
      <c r="H37603">
        <v>11975972</v>
      </c>
      <c r="I37603">
        <v>28553059</v>
      </c>
      <c r="J37603">
        <v>3</v>
      </c>
    </row>
    <row r="37604" spans="1:10" x14ac:dyDescent="0.25">
      <c r="A37604" t="s">
        <v>398</v>
      </c>
      <c r="B37604" s="1" t="str">
        <f>HYPERLINK("http://asw-gruppe.de","asw-gruppe.de")</f>
        <v>asw-gruppe.de</v>
      </c>
      <c r="C37604" t="s">
        <v>436</v>
      </c>
      <c r="D37604" t="s">
        <v>815</v>
      </c>
      <c r="F37604">
        <v>7.7463408484185504E-9</v>
      </c>
      <c r="G37604">
        <v>10474403</v>
      </c>
      <c r="H37604">
        <v>12060512</v>
      </c>
      <c r="I37604">
        <v>27004475</v>
      </c>
      <c r="J37604">
        <v>3</v>
      </c>
    </row>
    <row r="37605" spans="1:10" x14ac:dyDescent="0.25">
      <c r="A37605" t="s">
        <v>398</v>
      </c>
      <c r="B37605" s="1" t="str">
        <f>HYPERLINK("http://audi.de","audi.de")</f>
        <v>audi.de</v>
      </c>
      <c r="C37605" t="s">
        <v>436</v>
      </c>
      <c r="D37605" t="s">
        <v>815</v>
      </c>
      <c r="E37605">
        <v>23625</v>
      </c>
      <c r="F37605">
        <v>1.85492211027124E-6</v>
      </c>
      <c r="G37605">
        <v>20214</v>
      </c>
      <c r="H37605">
        <v>17221816</v>
      </c>
      <c r="I37605">
        <v>38153</v>
      </c>
      <c r="J37605">
        <v>3</v>
      </c>
    </row>
    <row r="37606" spans="1:10" x14ac:dyDescent="0.25">
      <c r="A37606" t="s">
        <v>398</v>
      </c>
      <c r="B37606" s="1" t="str">
        <f>HYPERLINK("http://audi-mediacenter.de","audi-mediacenter.de")</f>
        <v>audi-mediacenter.de</v>
      </c>
      <c r="C37606" t="s">
        <v>436</v>
      </c>
      <c r="D37606" t="s">
        <v>815</v>
      </c>
      <c r="F37606">
        <v>4.5124809235434698E-9</v>
      </c>
      <c r="G37606">
        <v>57178001</v>
      </c>
      <c r="H37606">
        <v>1.0003663</v>
      </c>
      <c r="I37606">
        <v>79247465</v>
      </c>
      <c r="J37606">
        <v>4</v>
      </c>
    </row>
    <row r="37607" spans="1:10" x14ac:dyDescent="0.25">
      <c r="A37607" t="s">
        <v>398</v>
      </c>
      <c r="B37607" s="1" t="str">
        <f>HYPERLINK("http://audi-muehlenberg.de","audi-muehlenberg.de")</f>
        <v>audi-muehlenberg.de</v>
      </c>
      <c r="C37607" t="s">
        <v>436</v>
      </c>
      <c r="D37607" t="s">
        <v>815</v>
      </c>
      <c r="F37607">
        <v>4.44380395335525E-9</v>
      </c>
      <c r="G37607">
        <v>84248843</v>
      </c>
      <c r="H37607">
        <v>0</v>
      </c>
      <c r="I37607">
        <v>85264940</v>
      </c>
      <c r="J37607">
        <v>4</v>
      </c>
    </row>
    <row r="37608" spans="1:10" x14ac:dyDescent="0.25">
      <c r="A37608" t="s">
        <v>398</v>
      </c>
      <c r="B37608" s="1" t="str">
        <f>HYPERLINK("http://audi-osenstaetter.de","audi-osenstaetter.de")</f>
        <v>audi-osenstaetter.de</v>
      </c>
      <c r="C37608" t="s">
        <v>436</v>
      </c>
      <c r="D37608" t="s">
        <v>815</v>
      </c>
      <c r="F37608">
        <v>4.4819583277045096E-9</v>
      </c>
      <c r="G37608">
        <v>61964545</v>
      </c>
      <c r="H37608">
        <v>9279518</v>
      </c>
      <c r="I37608">
        <v>68625963</v>
      </c>
      <c r="J37608">
        <v>4</v>
      </c>
    </row>
    <row r="37609" spans="1:10" x14ac:dyDescent="0.25">
      <c r="A37609" t="s">
        <v>398</v>
      </c>
      <c r="B37609" s="1" t="str">
        <f>HYPERLINK("http://audi-partner.de","audi-partner.de")</f>
        <v>audi-partner.de</v>
      </c>
      <c r="C37609" t="s">
        <v>436</v>
      </c>
      <c r="D37609" t="s">
        <v>815</v>
      </c>
      <c r="F37609">
        <v>7.1661805663946899E-8</v>
      </c>
      <c r="G37609">
        <v>589603</v>
      </c>
      <c r="H37609">
        <v>13775115</v>
      </c>
      <c r="I37609">
        <v>6589002</v>
      </c>
      <c r="J37609">
        <v>4</v>
      </c>
    </row>
    <row r="37610" spans="1:10" x14ac:dyDescent="0.25">
      <c r="A37610" t="s">
        <v>398</v>
      </c>
      <c r="B37610" s="1" t="str">
        <f>HYPERLINK("http://audi-planung.de","audi-planung.de")</f>
        <v>audi-planung.de</v>
      </c>
      <c r="C37610" t="s">
        <v>436</v>
      </c>
      <c r="D37610" t="s">
        <v>815</v>
      </c>
      <c r="F37610">
        <v>6.9210614013238497E-9</v>
      </c>
      <c r="G37610">
        <v>12554748</v>
      </c>
      <c r="H37610">
        <v>12391020</v>
      </c>
      <c r="I37610">
        <v>19014994</v>
      </c>
      <c r="J37610">
        <v>3</v>
      </c>
    </row>
    <row r="37611" spans="1:10" x14ac:dyDescent="0.25">
      <c r="A37611" t="s">
        <v>398</v>
      </c>
      <c r="B37611" s="1" t="str">
        <f>HYPERLINK("http://audi-service-betrieb-regensburg.de","audi-service-betrieb-regensburg.de")</f>
        <v>audi-service-betrieb-regensburg.de</v>
      </c>
      <c r="C37611" t="s">
        <v>436</v>
      </c>
      <c r="D37611" t="s">
        <v>815</v>
      </c>
      <c r="J37611">
        <v>4</v>
      </c>
    </row>
    <row r="37612" spans="1:10" x14ac:dyDescent="0.25">
      <c r="A37612" t="s">
        <v>398</v>
      </c>
      <c r="B37612" s="1" t="str">
        <f>HYPERLINK("http://audi-stiglmayr.de","audi-stiglmayr.de")</f>
        <v>audi-stiglmayr.de</v>
      </c>
      <c r="C37612" t="s">
        <v>436</v>
      </c>
      <c r="D37612" t="s">
        <v>815</v>
      </c>
      <c r="F37612">
        <v>5.2949839207798203E-9</v>
      </c>
      <c r="G37612">
        <v>23567270</v>
      </c>
      <c r="H37612">
        <v>10585075</v>
      </c>
      <c r="I37612">
        <v>45722126</v>
      </c>
      <c r="J37612">
        <v>4</v>
      </c>
    </row>
    <row r="37613" spans="1:10" x14ac:dyDescent="0.25">
      <c r="A37613" t="s">
        <v>398</v>
      </c>
      <c r="B37613" s="1" t="str">
        <f>HYPERLINK("http://audi-stuttgart.de","audi-stuttgart.de")</f>
        <v>audi-stuttgart.de</v>
      </c>
      <c r="C37613" t="s">
        <v>436</v>
      </c>
      <c r="D37613" t="s">
        <v>815</v>
      </c>
      <c r="F37613">
        <v>8.3162872274340906E-9</v>
      </c>
      <c r="G37613">
        <v>9220030</v>
      </c>
      <c r="H37613">
        <v>9618478</v>
      </c>
      <c r="I37613">
        <v>64208884</v>
      </c>
      <c r="J37613">
        <v>4</v>
      </c>
    </row>
    <row r="37614" spans="1:10" x14ac:dyDescent="0.25">
      <c r="A37614" t="s">
        <v>398</v>
      </c>
      <c r="B37614" s="1" t="str">
        <f>HYPERLINK("http://audi-umweltstiftung.de","audi-umweltstiftung.de")</f>
        <v>audi-umweltstiftung.de</v>
      </c>
      <c r="C37614" t="s">
        <v>436</v>
      </c>
      <c r="D37614" t="s">
        <v>815</v>
      </c>
      <c r="F37614">
        <v>3.8161435348718398E-8</v>
      </c>
      <c r="G37614">
        <v>1356437</v>
      </c>
      <c r="H37614">
        <v>14070268</v>
      </c>
      <c r="I37614">
        <v>3718008</v>
      </c>
      <c r="J37614">
        <v>3</v>
      </c>
    </row>
    <row r="37615" spans="1:10" x14ac:dyDescent="0.25">
      <c r="A37615" t="s">
        <v>398</v>
      </c>
      <c r="B37615" s="1" t="str">
        <f>HYPERLINK("http://audi-zentrum-aachen.de","audi-zentrum-aachen.de")</f>
        <v>audi-zentrum-aachen.de</v>
      </c>
      <c r="C37615" t="s">
        <v>436</v>
      </c>
      <c r="D37615" t="s">
        <v>815</v>
      </c>
      <c r="F37615">
        <v>4.7090645932105901E-9</v>
      </c>
      <c r="G37615">
        <v>40788540</v>
      </c>
      <c r="H37615">
        <v>12030032</v>
      </c>
      <c r="I37615">
        <v>27663419</v>
      </c>
      <c r="J37615">
        <v>5</v>
      </c>
    </row>
    <row r="37616" spans="1:10" x14ac:dyDescent="0.25">
      <c r="A37616" t="s">
        <v>398</v>
      </c>
      <c r="B37616" s="1" t="str">
        <f>HYPERLINK("http://audi-zentrum-feser-magdeburg.de","audi-zentrum-feser-magdeburg.de")</f>
        <v>audi-zentrum-feser-magdeburg.de</v>
      </c>
      <c r="C37616" t="s">
        <v>436</v>
      </c>
      <c r="D37616" t="s">
        <v>815</v>
      </c>
      <c r="J37616">
        <v>4</v>
      </c>
    </row>
    <row r="37617" spans="1:10" x14ac:dyDescent="0.25">
      <c r="A37617" t="s">
        <v>398</v>
      </c>
      <c r="B37617" s="1" t="str">
        <f>HYPERLINK("http://audi-zentrum-ingolstadt.de","audi-zentrum-ingolstadt.de")</f>
        <v>audi-zentrum-ingolstadt.de</v>
      </c>
      <c r="C37617" t="s">
        <v>436</v>
      </c>
      <c r="D37617" t="s">
        <v>815</v>
      </c>
      <c r="F37617">
        <v>2.37191484176136E-8</v>
      </c>
      <c r="G37617">
        <v>2191558</v>
      </c>
      <c r="H37617">
        <v>13822063</v>
      </c>
      <c r="I37617">
        <v>6138401</v>
      </c>
      <c r="J37617">
        <v>4</v>
      </c>
    </row>
    <row r="37618" spans="1:10" x14ac:dyDescent="0.25">
      <c r="A37618" t="s">
        <v>398</v>
      </c>
      <c r="B37618" s="1" t="str">
        <f>HYPERLINK("http://audi-zentrum-mainz.de","audi-zentrum-mainz.de")</f>
        <v>audi-zentrum-mainz.de</v>
      </c>
      <c r="C37618" t="s">
        <v>436</v>
      </c>
      <c r="D37618" t="s">
        <v>815</v>
      </c>
      <c r="F37618">
        <v>4.6994525841233997E-9</v>
      </c>
      <c r="G37618">
        <v>41267440</v>
      </c>
      <c r="H37618">
        <v>9858972</v>
      </c>
      <c r="I37618">
        <v>62074457</v>
      </c>
      <c r="J37618">
        <v>4</v>
      </c>
    </row>
    <row r="37619" spans="1:10" x14ac:dyDescent="0.25">
      <c r="A37619" t="s">
        <v>398</v>
      </c>
      <c r="B37619" s="1" t="str">
        <f>HYPERLINK("http://audi-zentrum-passau.de","audi-zentrum-passau.de")</f>
        <v>audi-zentrum-passau.de</v>
      </c>
      <c r="C37619" t="s">
        <v>436</v>
      </c>
      <c r="D37619" t="s">
        <v>815</v>
      </c>
      <c r="F37619">
        <v>6.11574129297995E-9</v>
      </c>
      <c r="G37619">
        <v>16005395</v>
      </c>
      <c r="H37619">
        <v>12090570</v>
      </c>
      <c r="I37619">
        <v>26234396</v>
      </c>
      <c r="J37619">
        <v>4</v>
      </c>
    </row>
    <row r="37620" spans="1:10" x14ac:dyDescent="0.25">
      <c r="A37620" t="s">
        <v>398</v>
      </c>
      <c r="B37620" s="1" t="str">
        <f>HYPERLINK("http://audi-zentrum-regensburg.de","audi-zentrum-regensburg.de")</f>
        <v>audi-zentrum-regensburg.de</v>
      </c>
      <c r="C37620" t="s">
        <v>436</v>
      </c>
      <c r="D37620" t="s">
        <v>815</v>
      </c>
      <c r="F37620">
        <v>4.6005078043449403E-9</v>
      </c>
      <c r="G37620">
        <v>47581580</v>
      </c>
      <c r="H37620">
        <v>12091538</v>
      </c>
      <c r="I37620">
        <v>26202309</v>
      </c>
      <c r="J37620">
        <v>4</v>
      </c>
    </row>
    <row r="37621" spans="1:10" x14ac:dyDescent="0.25">
      <c r="A37621" t="s">
        <v>398</v>
      </c>
      <c r="B37621" s="1" t="str">
        <f>HYPERLINK("http://audi-zentrum-rt.de","audi-zentrum-rt.de")</f>
        <v>audi-zentrum-rt.de</v>
      </c>
      <c r="C37621" t="s">
        <v>436</v>
      </c>
      <c r="D37621" t="s">
        <v>815</v>
      </c>
      <c r="J37621">
        <v>4</v>
      </c>
    </row>
    <row r="37622" spans="1:10" x14ac:dyDescent="0.25">
      <c r="A37622" t="s">
        <v>398</v>
      </c>
      <c r="B37622" s="1" t="str">
        <f>HYPERLINK("http://audizentrum-berlin.de","audizentrum-berlin.de")</f>
        <v>audizentrum-berlin.de</v>
      </c>
      <c r="C37622" t="s">
        <v>436</v>
      </c>
      <c r="D37622" t="s">
        <v>815</v>
      </c>
      <c r="F37622">
        <v>5.4054952998740404E-9</v>
      </c>
      <c r="G37622">
        <v>22042856</v>
      </c>
      <c r="H37622">
        <v>12161956</v>
      </c>
      <c r="I37622">
        <v>24313354</v>
      </c>
      <c r="J37622">
        <v>3</v>
      </c>
    </row>
    <row r="37623" spans="1:10" x14ac:dyDescent="0.25">
      <c r="A37623" t="s">
        <v>398</v>
      </c>
      <c r="B37623" s="1" t="str">
        <f>HYPERLINK("http://audizentrum-frankfurt.de","audizentrum-frankfurt.de")</f>
        <v>audizentrum-frankfurt.de</v>
      </c>
      <c r="C37623" t="s">
        <v>436</v>
      </c>
      <c r="D37623" t="s">
        <v>815</v>
      </c>
      <c r="F37623">
        <v>4.5447639488088197E-9</v>
      </c>
      <c r="G37623">
        <v>52753336</v>
      </c>
      <c r="H37623">
        <v>10838818</v>
      </c>
      <c r="I37623">
        <v>37201866</v>
      </c>
      <c r="J37623">
        <v>3</v>
      </c>
    </row>
    <row r="37624" spans="1:10" x14ac:dyDescent="0.25">
      <c r="A37624" t="s">
        <v>398</v>
      </c>
      <c r="B37624" s="1" t="str">
        <f>HYPERLINK("http://audizentrum-hamburg.de","audizentrum-hamburg.de")</f>
        <v>audizentrum-hamburg.de</v>
      </c>
      <c r="C37624" t="s">
        <v>436</v>
      </c>
      <c r="D37624" t="s">
        <v>815</v>
      </c>
      <c r="F37624">
        <v>6.8337349386972404E-9</v>
      </c>
      <c r="G37624">
        <v>12850338</v>
      </c>
      <c r="H37624">
        <v>12238461</v>
      </c>
      <c r="I37624">
        <v>22298588</v>
      </c>
      <c r="J37624">
        <v>3</v>
      </c>
    </row>
    <row r="37625" spans="1:10" x14ac:dyDescent="0.25">
      <c r="A37625" t="s">
        <v>398</v>
      </c>
      <c r="B37625" s="1" t="str">
        <f>HYPERLINK("http://audizentrum-hannover.de","audizentrum-hannover.de")</f>
        <v>audizentrum-hannover.de</v>
      </c>
      <c r="C37625" t="s">
        <v>436</v>
      </c>
      <c r="D37625" t="s">
        <v>815</v>
      </c>
      <c r="F37625">
        <v>4.9835344282567501E-9</v>
      </c>
      <c r="G37625">
        <v>29854172</v>
      </c>
      <c r="H37625">
        <v>10673478</v>
      </c>
      <c r="I37625">
        <v>42889126</v>
      </c>
      <c r="J37625">
        <v>3</v>
      </c>
    </row>
    <row r="37626" spans="1:10" x14ac:dyDescent="0.25">
      <c r="A37626" t="s">
        <v>398</v>
      </c>
      <c r="B37626" s="1" t="str">
        <f>HYPERLINK("http://audizentrum-stralsund.de","audizentrum-stralsund.de")</f>
        <v>audizentrum-stralsund.de</v>
      </c>
      <c r="C37626" t="s">
        <v>436</v>
      </c>
      <c r="D37626" t="s">
        <v>815</v>
      </c>
      <c r="J37626">
        <v>4</v>
      </c>
    </row>
    <row r="37627" spans="1:10" x14ac:dyDescent="0.25">
      <c r="A37627" t="s">
        <v>398</v>
      </c>
      <c r="B37627" s="1" t="str">
        <f>HYPERLINK("http://audizentrumleipzig.de","audizentrumleipzig.de")</f>
        <v>audizentrumleipzig.de</v>
      </c>
      <c r="C37627" t="s">
        <v>436</v>
      </c>
      <c r="D37627" t="s">
        <v>815</v>
      </c>
      <c r="F37627">
        <v>4.4674610372782204E-9</v>
      </c>
      <c r="G37627">
        <v>65301579</v>
      </c>
      <c r="H37627">
        <v>10053393</v>
      </c>
      <c r="I37627">
        <v>60343125</v>
      </c>
      <c r="J37627">
        <v>3</v>
      </c>
    </row>
    <row r="37628" spans="1:10" x14ac:dyDescent="0.25">
      <c r="A37628" t="s">
        <v>398</v>
      </c>
      <c r="B37628" s="1" t="str">
        <f>HYPERLINK("http://auto-blank.de","auto-blank.de")</f>
        <v>auto-blank.de</v>
      </c>
      <c r="C37628" t="s">
        <v>436</v>
      </c>
      <c r="D37628" t="s">
        <v>815</v>
      </c>
      <c r="F37628">
        <v>5.0114634272581504E-9</v>
      </c>
      <c r="G37628">
        <v>29104169</v>
      </c>
      <c r="H37628">
        <v>9493635</v>
      </c>
      <c r="I37628">
        <v>65817183</v>
      </c>
      <c r="J37628">
        <v>4</v>
      </c>
    </row>
    <row r="37629" spans="1:10" x14ac:dyDescent="0.25">
      <c r="A37629" t="s">
        <v>398</v>
      </c>
      <c r="B37629" s="1" t="str">
        <f>HYPERLINK("http://auto-christen.de","auto-christen.de")</f>
        <v>auto-christen.de</v>
      </c>
      <c r="C37629" t="s">
        <v>436</v>
      </c>
      <c r="D37629" t="s">
        <v>815</v>
      </c>
      <c r="F37629">
        <v>4.4893821243542998E-9</v>
      </c>
      <c r="G37629">
        <v>60618904</v>
      </c>
      <c r="H37629">
        <v>9372874</v>
      </c>
      <c r="I37629">
        <v>67663276</v>
      </c>
      <c r="J37629">
        <v>4</v>
      </c>
    </row>
    <row r="37630" spans="1:10" x14ac:dyDescent="0.25">
      <c r="A37630" t="s">
        <v>398</v>
      </c>
      <c r="B37630" s="1" t="str">
        <f>HYPERLINK("http://auto-elitzsch.de","auto-elitzsch.de")</f>
        <v>auto-elitzsch.de</v>
      </c>
      <c r="C37630" t="s">
        <v>436</v>
      </c>
      <c r="D37630" t="s">
        <v>815</v>
      </c>
      <c r="F37630">
        <v>1.5745040313066599E-8</v>
      </c>
      <c r="G37630">
        <v>3614747</v>
      </c>
      <c r="H37630">
        <v>12454549</v>
      </c>
      <c r="I37630">
        <v>17939723</v>
      </c>
      <c r="J37630">
        <v>4</v>
      </c>
    </row>
    <row r="37631" spans="1:10" x14ac:dyDescent="0.25">
      <c r="A37631" t="s">
        <v>398</v>
      </c>
      <c r="B37631" s="1" t="str">
        <f>HYPERLINK("http://auto-faulstich.de","auto-faulstich.de")</f>
        <v>auto-faulstich.de</v>
      </c>
      <c r="C37631" t="s">
        <v>436</v>
      </c>
      <c r="D37631" t="s">
        <v>815</v>
      </c>
      <c r="F37631">
        <v>4.5945767260479397E-9</v>
      </c>
      <c r="G37631">
        <v>48046727</v>
      </c>
      <c r="H37631">
        <v>8453689</v>
      </c>
      <c r="I37631">
        <v>72491654</v>
      </c>
      <c r="J37631">
        <v>6</v>
      </c>
    </row>
    <row r="37632" spans="1:10" x14ac:dyDescent="0.25">
      <c r="A37632" t="s">
        <v>398</v>
      </c>
      <c r="B37632" s="1" t="str">
        <f>HYPERLINK("http://auto-kaiser-bernburg.de","auto-kaiser-bernburg.de")</f>
        <v>auto-kaiser-bernburg.de</v>
      </c>
      <c r="C37632" t="s">
        <v>436</v>
      </c>
      <c r="D37632" t="s">
        <v>815</v>
      </c>
      <c r="F37632">
        <v>4.7536406996197198E-9</v>
      </c>
      <c r="G37632">
        <v>38161272</v>
      </c>
      <c r="H37632">
        <v>9534739</v>
      </c>
      <c r="I37632">
        <v>65222981</v>
      </c>
      <c r="J37632">
        <v>3</v>
      </c>
    </row>
    <row r="37633" spans="1:10" x14ac:dyDescent="0.25">
      <c r="A37633" t="s">
        <v>398</v>
      </c>
      <c r="B37633" s="1" t="str">
        <f>HYPERLINK("http://auto-krollius.de","auto-krollius.de")</f>
        <v>auto-krollius.de</v>
      </c>
      <c r="C37633" t="s">
        <v>436</v>
      </c>
      <c r="D37633" t="s">
        <v>815</v>
      </c>
      <c r="F37633">
        <v>6.7340677002140497E-9</v>
      </c>
      <c r="G37633">
        <v>13183171</v>
      </c>
      <c r="H37633">
        <v>9986274</v>
      </c>
      <c r="I37633">
        <v>60931857</v>
      </c>
      <c r="J37633">
        <v>3</v>
      </c>
    </row>
    <row r="37634" spans="1:10" x14ac:dyDescent="0.25">
      <c r="A37634" t="s">
        <v>398</v>
      </c>
      <c r="B37634" s="1" t="str">
        <f>HYPERLINK("http://auto-lutzenberger.de","auto-lutzenberger.de")</f>
        <v>auto-lutzenberger.de</v>
      </c>
      <c r="C37634" t="s">
        <v>436</v>
      </c>
      <c r="D37634" t="s">
        <v>815</v>
      </c>
      <c r="F37634">
        <v>5.0401734473555398E-9</v>
      </c>
      <c r="G37634">
        <v>28438764</v>
      </c>
      <c r="H37634">
        <v>12088423</v>
      </c>
      <c r="I37634">
        <v>26301787</v>
      </c>
      <c r="J37634">
        <v>4</v>
      </c>
    </row>
    <row r="37635" spans="1:10" x14ac:dyDescent="0.25">
      <c r="A37635" t="s">
        <v>398</v>
      </c>
      <c r="B37635" s="1" t="str">
        <f>HYPERLINK("http://auto-mueller-online.de","auto-mueller-online.de")</f>
        <v>auto-mueller-online.de</v>
      </c>
      <c r="C37635" t="s">
        <v>436</v>
      </c>
      <c r="D37635" t="s">
        <v>815</v>
      </c>
      <c r="F37635">
        <v>1.0088625979964E-8</v>
      </c>
      <c r="G37635">
        <v>6661051</v>
      </c>
      <c r="H37635">
        <v>12034599</v>
      </c>
      <c r="I37635">
        <v>27570446</v>
      </c>
      <c r="J37635">
        <v>4</v>
      </c>
    </row>
    <row r="37636" spans="1:10" x14ac:dyDescent="0.25">
      <c r="A37636" t="s">
        <v>398</v>
      </c>
      <c r="B37636" s="1" t="str">
        <f>HYPERLINK("http://auto-ortner-murnau.de","auto-ortner-murnau.de")</f>
        <v>auto-ortner-murnau.de</v>
      </c>
      <c r="C37636" t="s">
        <v>436</v>
      </c>
      <c r="D37636" t="s">
        <v>815</v>
      </c>
      <c r="F37636">
        <v>5.1680037731022801E-9</v>
      </c>
      <c r="G37636">
        <v>25759701</v>
      </c>
      <c r="H37636">
        <v>10859634</v>
      </c>
      <c r="I37636">
        <v>36674905</v>
      </c>
      <c r="J37636">
        <v>3</v>
      </c>
    </row>
    <row r="37637" spans="1:10" x14ac:dyDescent="0.25">
      <c r="A37637" t="s">
        <v>398</v>
      </c>
      <c r="B37637" s="1" t="str">
        <f>HYPERLINK("http://auto-rossel.de","auto-rossel.de")</f>
        <v>auto-rossel.de</v>
      </c>
      <c r="C37637" t="s">
        <v>436</v>
      </c>
      <c r="D37637" t="s">
        <v>815</v>
      </c>
      <c r="F37637">
        <v>5.1278501299595196E-9</v>
      </c>
      <c r="G37637">
        <v>26495875</v>
      </c>
      <c r="H37637">
        <v>10508754</v>
      </c>
      <c r="I37637">
        <v>50058970</v>
      </c>
      <c r="J37637">
        <v>3</v>
      </c>
    </row>
    <row r="37638" spans="1:10" x14ac:dyDescent="0.25">
      <c r="A37638" t="s">
        <v>398</v>
      </c>
      <c r="B37638" s="1" t="str">
        <f>HYPERLINK("http://auto-roth.de","auto-roth.de")</f>
        <v>auto-roth.de</v>
      </c>
      <c r="C37638" t="s">
        <v>436</v>
      </c>
      <c r="D37638" t="s">
        <v>815</v>
      </c>
      <c r="F37638">
        <v>8.0416964634527396E-9</v>
      </c>
      <c r="G37638">
        <v>9844958</v>
      </c>
      <c r="H37638">
        <v>12203732</v>
      </c>
      <c r="I37638">
        <v>23226808</v>
      </c>
      <c r="J37638">
        <v>3</v>
      </c>
    </row>
    <row r="37639" spans="1:10" x14ac:dyDescent="0.25">
      <c r="A37639" t="s">
        <v>398</v>
      </c>
      <c r="B37639" s="1" t="str">
        <f>HYPERLINK("http://auto-schenk-gmbh.de","auto-schenk-gmbh.de")</f>
        <v>auto-schenk-gmbh.de</v>
      </c>
      <c r="C37639" t="s">
        <v>436</v>
      </c>
      <c r="D37639" t="s">
        <v>815</v>
      </c>
      <c r="F37639">
        <v>5.6297840703149698E-9</v>
      </c>
      <c r="G37639">
        <v>19577624</v>
      </c>
      <c r="H37639">
        <v>12718326</v>
      </c>
      <c r="I37639">
        <v>15259886</v>
      </c>
      <c r="J37639">
        <v>3</v>
      </c>
    </row>
    <row r="37640" spans="1:10" x14ac:dyDescent="0.25">
      <c r="A37640" t="s">
        <v>398</v>
      </c>
      <c r="B37640" s="1" t="str">
        <f>HYPERLINK("http://auto-schmeink-wesel.de","auto-schmeink-wesel.de")</f>
        <v>auto-schmeink-wesel.de</v>
      </c>
      <c r="C37640" t="s">
        <v>436</v>
      </c>
      <c r="D37640" t="s">
        <v>815</v>
      </c>
      <c r="F37640">
        <v>4.9964132944540501E-9</v>
      </c>
      <c r="G37640">
        <v>29499760</v>
      </c>
      <c r="H37640">
        <v>9451853</v>
      </c>
      <c r="I37640">
        <v>66487740</v>
      </c>
      <c r="J37640">
        <v>3</v>
      </c>
    </row>
    <row r="37641" spans="1:10" x14ac:dyDescent="0.25">
      <c r="A37641" t="s">
        <v>398</v>
      </c>
      <c r="B37641" s="1" t="str">
        <f>HYPERLINK("http://auto-schmidt-boppard.de","auto-schmidt-boppard.de")</f>
        <v>auto-schmidt-boppard.de</v>
      </c>
      <c r="C37641" t="s">
        <v>436</v>
      </c>
      <c r="D37641" t="s">
        <v>815</v>
      </c>
      <c r="F37641">
        <v>4.44380395335525E-9</v>
      </c>
      <c r="G37641">
        <v>84250621</v>
      </c>
      <c r="H37641">
        <v>0</v>
      </c>
      <c r="I37641">
        <v>85267021</v>
      </c>
      <c r="J37641">
        <v>3</v>
      </c>
    </row>
    <row r="37642" spans="1:10" x14ac:dyDescent="0.25">
      <c r="A37642" t="s">
        <v>398</v>
      </c>
      <c r="B37642" s="1" t="str">
        <f>HYPERLINK("http://auto-schreiber.de","auto-schreiber.de")</f>
        <v>auto-schreiber.de</v>
      </c>
      <c r="C37642" t="s">
        <v>436</v>
      </c>
      <c r="D37642" t="s">
        <v>815</v>
      </c>
      <c r="F37642">
        <v>5.0405145733608496E-9</v>
      </c>
      <c r="G37642">
        <v>28431283</v>
      </c>
      <c r="H37642">
        <v>10354191</v>
      </c>
      <c r="I37642">
        <v>55828348</v>
      </c>
      <c r="J37642">
        <v>3</v>
      </c>
    </row>
    <row r="37643" spans="1:10" x14ac:dyDescent="0.25">
      <c r="A37643" t="s">
        <v>398</v>
      </c>
      <c r="B37643" s="1" t="str">
        <f>HYPERLINK("http://auto-technik-daehne.de","auto-technik-daehne.de")</f>
        <v>auto-technik-daehne.de</v>
      </c>
      <c r="C37643" t="s">
        <v>436</v>
      </c>
      <c r="D37643" t="s">
        <v>815</v>
      </c>
      <c r="F37643">
        <v>1.4642171388659699E-8</v>
      </c>
      <c r="G37643">
        <v>3961282</v>
      </c>
      <c r="H37643">
        <v>12457167</v>
      </c>
      <c r="I37643">
        <v>17910101</v>
      </c>
      <c r="J37643">
        <v>4</v>
      </c>
    </row>
    <row r="37644" spans="1:10" x14ac:dyDescent="0.25">
      <c r="A37644" t="s">
        <v>398</v>
      </c>
      <c r="B37644" s="1" t="str">
        <f>HYPERLINK("http://auto-wichert.de","auto-wichert.de")</f>
        <v>auto-wichert.de</v>
      </c>
      <c r="C37644" t="s">
        <v>436</v>
      </c>
      <c r="D37644" t="s">
        <v>815</v>
      </c>
      <c r="F37644">
        <v>1.6705391136685001E-8</v>
      </c>
      <c r="G37644">
        <v>3357418</v>
      </c>
      <c r="H37644">
        <v>13071319</v>
      </c>
      <c r="I37644">
        <v>12239482</v>
      </c>
      <c r="J37644">
        <v>3</v>
      </c>
    </row>
    <row r="37645" spans="1:10" x14ac:dyDescent="0.25">
      <c r="A37645" t="s">
        <v>398</v>
      </c>
      <c r="B37645" s="1" t="str">
        <f>HYPERLINK("http://auto-wolters.de","auto-wolters.de")</f>
        <v>auto-wolters.de</v>
      </c>
      <c r="C37645" t="s">
        <v>436</v>
      </c>
      <c r="D37645" t="s">
        <v>815</v>
      </c>
      <c r="F37645">
        <v>4.5799701466328901E-9</v>
      </c>
      <c r="G37645">
        <v>49290600</v>
      </c>
      <c r="H37645">
        <v>10346118</v>
      </c>
      <c r="I37645">
        <v>56880608</v>
      </c>
      <c r="J37645">
        <v>4</v>
      </c>
    </row>
    <row r="37646" spans="1:10" x14ac:dyDescent="0.25">
      <c r="A37646" t="s">
        <v>398</v>
      </c>
      <c r="B37646" s="1" t="str">
        <f>HYPERLINK("http://autoforum-ruegen.de","autoforum-ruegen.de")</f>
        <v>autoforum-ruegen.de</v>
      </c>
      <c r="C37646" t="s">
        <v>436</v>
      </c>
      <c r="D37646" t="s">
        <v>815</v>
      </c>
      <c r="F37646">
        <v>8.59419964004739E-9</v>
      </c>
      <c r="G37646">
        <v>8666886</v>
      </c>
      <c r="H37646">
        <v>12090451</v>
      </c>
      <c r="I37646">
        <v>26236672</v>
      </c>
      <c r="J37646">
        <v>4</v>
      </c>
    </row>
    <row r="37647" spans="1:10" x14ac:dyDescent="0.25">
      <c r="A37647" t="s">
        <v>398</v>
      </c>
      <c r="B37647" s="1" t="str">
        <f>HYPERLINK("http://autohaus-abraham.de","autohaus-abraham.de")</f>
        <v>autohaus-abraham.de</v>
      </c>
      <c r="C37647" t="s">
        <v>436</v>
      </c>
      <c r="D37647" t="s">
        <v>815</v>
      </c>
      <c r="F37647">
        <v>5.3957740964480897E-9</v>
      </c>
      <c r="G37647">
        <v>22168409</v>
      </c>
      <c r="H37647">
        <v>9546232</v>
      </c>
      <c r="I37647">
        <v>65039829</v>
      </c>
      <c r="J37647">
        <v>3</v>
      </c>
    </row>
    <row r="37648" spans="1:10" x14ac:dyDescent="0.25">
      <c r="A37648" t="s">
        <v>398</v>
      </c>
      <c r="B37648" s="1" t="str">
        <f>HYPERLINK("http://autohaus-ahrensboek.de","autohaus-ahrensboek.de")</f>
        <v>autohaus-ahrensboek.de</v>
      </c>
      <c r="C37648" t="s">
        <v>436</v>
      </c>
      <c r="D37648" t="s">
        <v>815</v>
      </c>
      <c r="F37648">
        <v>4.61111299869328E-9</v>
      </c>
      <c r="G37648">
        <v>46764249</v>
      </c>
      <c r="H37648">
        <v>9472838</v>
      </c>
      <c r="I37648">
        <v>66140701</v>
      </c>
      <c r="J37648">
        <v>3</v>
      </c>
    </row>
    <row r="37649" spans="1:10" x14ac:dyDescent="0.25">
      <c r="A37649" t="s">
        <v>398</v>
      </c>
      <c r="B37649" s="1" t="str">
        <f>HYPERLINK("http://autohaus-baumann.de","autohaus-baumann.de")</f>
        <v>autohaus-baumann.de</v>
      </c>
      <c r="C37649" t="s">
        <v>436</v>
      </c>
      <c r="D37649" t="s">
        <v>815</v>
      </c>
      <c r="F37649">
        <v>1.3410003353168E-8</v>
      </c>
      <c r="G37649">
        <v>4443552</v>
      </c>
      <c r="H37649">
        <v>13373779</v>
      </c>
      <c r="I37649">
        <v>10451686</v>
      </c>
      <c r="J37649">
        <v>3</v>
      </c>
    </row>
    <row r="37650" spans="1:10" x14ac:dyDescent="0.25">
      <c r="A37650" t="s">
        <v>398</v>
      </c>
      <c r="B37650" s="1" t="str">
        <f>HYPERLINK("http://autohaus-bauschatz.de","autohaus-bauschatz.de")</f>
        <v>autohaus-bauschatz.de</v>
      </c>
      <c r="C37650" t="s">
        <v>436</v>
      </c>
      <c r="D37650" t="s">
        <v>815</v>
      </c>
      <c r="F37650">
        <v>4.5654524761739601E-9</v>
      </c>
      <c r="G37650">
        <v>50637929</v>
      </c>
      <c r="H37650">
        <v>9945447</v>
      </c>
      <c r="I37650">
        <v>61256011</v>
      </c>
      <c r="J37650">
        <v>4</v>
      </c>
    </row>
    <row r="37651" spans="1:10" x14ac:dyDescent="0.25">
      <c r="A37651" t="s">
        <v>398</v>
      </c>
      <c r="B37651" s="1" t="str">
        <f>HYPERLINK("http://autohaus-berolina.de","autohaus-berolina.de")</f>
        <v>autohaus-berolina.de</v>
      </c>
      <c r="C37651" t="s">
        <v>436</v>
      </c>
      <c r="D37651" t="s">
        <v>815</v>
      </c>
      <c r="F37651">
        <v>2.8395181916514599E-8</v>
      </c>
      <c r="G37651">
        <v>1812438</v>
      </c>
      <c r="H37651">
        <v>12385294</v>
      </c>
      <c r="I37651">
        <v>19118732</v>
      </c>
      <c r="J37651">
        <v>3</v>
      </c>
    </row>
    <row r="37652" spans="1:10" x14ac:dyDescent="0.25">
      <c r="A37652" t="s">
        <v>398</v>
      </c>
      <c r="B37652" s="1" t="str">
        <f>HYPERLINK("http://autohaus-best.de","autohaus-best.de")</f>
        <v>autohaus-best.de</v>
      </c>
      <c r="C37652" t="s">
        <v>436</v>
      </c>
      <c r="D37652" t="s">
        <v>815</v>
      </c>
      <c r="F37652">
        <v>2.7270111696404901E-8</v>
      </c>
      <c r="G37652">
        <v>1885371</v>
      </c>
      <c r="H37652">
        <v>12944846</v>
      </c>
      <c r="I37652">
        <v>13245741</v>
      </c>
      <c r="J37652">
        <v>4</v>
      </c>
    </row>
    <row r="37653" spans="1:10" x14ac:dyDescent="0.25">
      <c r="A37653" t="s">
        <v>398</v>
      </c>
      <c r="B37653" s="1" t="str">
        <f>HYPERLINK("http://autohaus-bleicher.de","autohaus-bleicher.de")</f>
        <v>autohaus-bleicher.de</v>
      </c>
      <c r="C37653" t="s">
        <v>436</v>
      </c>
      <c r="D37653" t="s">
        <v>815</v>
      </c>
      <c r="F37653">
        <v>4.9151681678749598E-9</v>
      </c>
      <c r="G37653">
        <v>32031900</v>
      </c>
      <c r="H37653">
        <v>12065034</v>
      </c>
      <c r="I37653">
        <v>26900773</v>
      </c>
      <c r="J37653">
        <v>3</v>
      </c>
    </row>
    <row r="37654" spans="1:10" x14ac:dyDescent="0.25">
      <c r="A37654" t="s">
        <v>398</v>
      </c>
      <c r="B37654" s="1" t="str">
        <f>HYPERLINK("http://autohaus-deus.de","autohaus-deus.de")</f>
        <v>autohaus-deus.de</v>
      </c>
      <c r="C37654" t="s">
        <v>436</v>
      </c>
      <c r="D37654" t="s">
        <v>815</v>
      </c>
      <c r="F37654">
        <v>4.7514704495283599E-9</v>
      </c>
      <c r="G37654">
        <v>38260089</v>
      </c>
      <c r="H37654">
        <v>9897688</v>
      </c>
      <c r="I37654">
        <v>61665099</v>
      </c>
      <c r="J37654">
        <v>4</v>
      </c>
    </row>
    <row r="37655" spans="1:10" x14ac:dyDescent="0.25">
      <c r="A37655" t="s">
        <v>398</v>
      </c>
      <c r="B37655" s="1" t="str">
        <f>HYPERLINK("http://autohaus-doebeln.de","autohaus-doebeln.de")</f>
        <v>autohaus-doebeln.de</v>
      </c>
      <c r="C37655" t="s">
        <v>436</v>
      </c>
      <c r="D37655" t="s">
        <v>815</v>
      </c>
      <c r="F37655">
        <v>4.8224516306796402E-9</v>
      </c>
      <c r="G37655">
        <v>35128766</v>
      </c>
      <c r="H37655">
        <v>10441122</v>
      </c>
      <c r="I37655">
        <v>52406922</v>
      </c>
      <c r="J37655">
        <v>3</v>
      </c>
    </row>
    <row r="37656" spans="1:10" x14ac:dyDescent="0.25">
      <c r="A37656" t="s">
        <v>398</v>
      </c>
      <c r="B37656" s="1" t="str">
        <f>HYPERLINK("http://autohaus-drechsler.de","autohaus-drechsler.de")</f>
        <v>autohaus-drechsler.de</v>
      </c>
      <c r="C37656" t="s">
        <v>436</v>
      </c>
      <c r="D37656" t="s">
        <v>815</v>
      </c>
      <c r="F37656">
        <v>5.4860559344309396E-9</v>
      </c>
      <c r="G37656">
        <v>21059699</v>
      </c>
      <c r="H37656">
        <v>10599216</v>
      </c>
      <c r="I37656">
        <v>44946895</v>
      </c>
      <c r="J37656">
        <v>3</v>
      </c>
    </row>
    <row r="37657" spans="1:10" x14ac:dyDescent="0.25">
      <c r="A37657" t="s">
        <v>398</v>
      </c>
      <c r="B37657" s="1" t="str">
        <f>HYPERLINK("http://autohaus-drouven.de","autohaus-drouven.de")</f>
        <v>autohaus-drouven.de</v>
      </c>
      <c r="C37657" t="s">
        <v>436</v>
      </c>
      <c r="D37657" t="s">
        <v>815</v>
      </c>
      <c r="F37657">
        <v>4.5698340602560898E-9</v>
      </c>
      <c r="G37657">
        <v>50199765</v>
      </c>
      <c r="H37657">
        <v>11974573</v>
      </c>
      <c r="I37657">
        <v>28590130</v>
      </c>
      <c r="J37657">
        <v>3</v>
      </c>
    </row>
    <row r="37658" spans="1:10" x14ac:dyDescent="0.25">
      <c r="A37658" t="s">
        <v>398</v>
      </c>
      <c r="B37658" s="1" t="str">
        <f>HYPERLINK("http://autohaus-eilsleben.de","autohaus-eilsleben.de")</f>
        <v>autohaus-eilsleben.de</v>
      </c>
      <c r="C37658" t="s">
        <v>436</v>
      </c>
      <c r="D37658" t="s">
        <v>815</v>
      </c>
      <c r="F37658">
        <v>4.9692721472749598E-9</v>
      </c>
      <c r="G37658">
        <v>30265539</v>
      </c>
      <c r="H37658">
        <v>11109368</v>
      </c>
      <c r="I37658">
        <v>32167173</v>
      </c>
      <c r="J37658">
        <v>3</v>
      </c>
    </row>
    <row r="37659" spans="1:10" x14ac:dyDescent="0.25">
      <c r="A37659" t="s">
        <v>398</v>
      </c>
      <c r="B37659" s="1" t="str">
        <f>HYPERLINK("http://autohaus-essing.de","autohaus-essing.de")</f>
        <v>autohaus-essing.de</v>
      </c>
      <c r="C37659" t="s">
        <v>436</v>
      </c>
      <c r="D37659" t="s">
        <v>815</v>
      </c>
      <c r="F37659">
        <v>4.5063465981748603E-9</v>
      </c>
      <c r="G37659">
        <v>58017269</v>
      </c>
      <c r="H37659">
        <v>11968274</v>
      </c>
      <c r="I37659">
        <v>28745436</v>
      </c>
      <c r="J37659">
        <v>3</v>
      </c>
    </row>
    <row r="37660" spans="1:10" x14ac:dyDescent="0.25">
      <c r="A37660" t="s">
        <v>398</v>
      </c>
      <c r="B37660" s="1" t="str">
        <f>HYPERLINK("http://autohaus-fellner.de","autohaus-fellner.de")</f>
        <v>autohaus-fellner.de</v>
      </c>
      <c r="C37660" t="s">
        <v>436</v>
      </c>
      <c r="D37660" t="s">
        <v>815</v>
      </c>
      <c r="F37660">
        <v>5.0095491584764598E-9</v>
      </c>
      <c r="G37660">
        <v>29174930</v>
      </c>
      <c r="H37660">
        <v>11977228</v>
      </c>
      <c r="I37660">
        <v>28536946</v>
      </c>
      <c r="J37660">
        <v>3</v>
      </c>
    </row>
    <row r="37661" spans="1:10" x14ac:dyDescent="0.25">
      <c r="A37661" t="s">
        <v>398</v>
      </c>
      <c r="B37661" s="1" t="str">
        <f>HYPERLINK("http://autohaus-finger.de","autohaus-finger.de")</f>
        <v>autohaus-finger.de</v>
      </c>
      <c r="C37661" t="s">
        <v>436</v>
      </c>
      <c r="D37661" t="s">
        <v>815</v>
      </c>
      <c r="F37661">
        <v>5.8722118197220596E-9</v>
      </c>
      <c r="G37661">
        <v>17552686</v>
      </c>
      <c r="H37661">
        <v>11112069</v>
      </c>
      <c r="I37661">
        <v>32139478</v>
      </c>
      <c r="J37661">
        <v>3</v>
      </c>
    </row>
    <row r="37662" spans="1:10" x14ac:dyDescent="0.25">
      <c r="A37662" t="s">
        <v>398</v>
      </c>
      <c r="B37662" s="1" t="str">
        <f>HYPERLINK("http://autohaus-fruechtl-sr.de","autohaus-fruechtl-sr.de")</f>
        <v>autohaus-fruechtl-sr.de</v>
      </c>
      <c r="C37662" t="s">
        <v>436</v>
      </c>
      <c r="D37662" t="s">
        <v>815</v>
      </c>
      <c r="F37662">
        <v>4.7210885647870097E-9</v>
      </c>
      <c r="G37662">
        <v>40151453</v>
      </c>
      <c r="H37662">
        <v>9406307</v>
      </c>
      <c r="I37662">
        <v>67177155</v>
      </c>
      <c r="J37662">
        <v>4</v>
      </c>
    </row>
    <row r="37663" spans="1:10" x14ac:dyDescent="0.25">
      <c r="A37663" t="s">
        <v>398</v>
      </c>
      <c r="B37663" s="1" t="str">
        <f>HYPERLINK("http://autohaus-georg-maulhardt.de","autohaus-georg-maulhardt.de")</f>
        <v>autohaus-georg-maulhardt.de</v>
      </c>
      <c r="C37663" t="s">
        <v>436</v>
      </c>
      <c r="D37663" t="s">
        <v>815</v>
      </c>
      <c r="F37663">
        <v>5.4035339543597301E-9</v>
      </c>
      <c r="G37663">
        <v>22069285</v>
      </c>
      <c r="H37663">
        <v>9855391</v>
      </c>
      <c r="I37663">
        <v>62116114</v>
      </c>
      <c r="J37663">
        <v>3</v>
      </c>
    </row>
    <row r="37664" spans="1:10" x14ac:dyDescent="0.25">
      <c r="A37664" t="s">
        <v>398</v>
      </c>
      <c r="B37664" s="1" t="str">
        <f>HYPERLINK("http://autohaus-gotzen.de","autohaus-gotzen.de")</f>
        <v>autohaus-gotzen.de</v>
      </c>
      <c r="C37664" t="s">
        <v>436</v>
      </c>
      <c r="D37664" t="s">
        <v>815</v>
      </c>
      <c r="F37664">
        <v>9.4850363403108408E-9</v>
      </c>
      <c r="G37664">
        <v>7340504</v>
      </c>
      <c r="H37664">
        <v>12816209</v>
      </c>
      <c r="I37664">
        <v>14531703</v>
      </c>
      <c r="J37664">
        <v>3</v>
      </c>
    </row>
    <row r="37665" spans="1:10" x14ac:dyDescent="0.25">
      <c r="A37665" t="s">
        <v>398</v>
      </c>
      <c r="B37665" s="1" t="str">
        <f>HYPERLINK("http://autohaus-haas.de","autohaus-haas.de")</f>
        <v>autohaus-haas.de</v>
      </c>
      <c r="C37665" t="s">
        <v>436</v>
      </c>
      <c r="D37665" t="s">
        <v>815</v>
      </c>
      <c r="F37665">
        <v>5.8929552383010597E-9</v>
      </c>
      <c r="G37665">
        <v>17408753</v>
      </c>
      <c r="H37665">
        <v>10798748</v>
      </c>
      <c r="I37665">
        <v>38198487</v>
      </c>
      <c r="J37665">
        <v>3</v>
      </c>
    </row>
    <row r="37666" spans="1:10" x14ac:dyDescent="0.25">
      <c r="A37666" t="s">
        <v>398</v>
      </c>
      <c r="B37666" s="1" t="str">
        <f>HYPERLINK("http://autohaus-heerdegen.de","autohaus-heerdegen.de")</f>
        <v>autohaus-heerdegen.de</v>
      </c>
      <c r="C37666" t="s">
        <v>436</v>
      </c>
      <c r="D37666" t="s">
        <v>815</v>
      </c>
      <c r="J37666">
        <v>4</v>
      </c>
    </row>
    <row r="37667" spans="1:10" x14ac:dyDescent="0.25">
      <c r="A37667" t="s">
        <v>398</v>
      </c>
      <c r="B37667" s="1" t="str">
        <f>HYPERLINK("http://autohaus-heider.de","autohaus-heider.de")</f>
        <v>autohaus-heider.de</v>
      </c>
      <c r="C37667" t="s">
        <v>436</v>
      </c>
      <c r="D37667" t="s">
        <v>815</v>
      </c>
      <c r="F37667">
        <v>4.48283826572327E-9</v>
      </c>
      <c r="G37667">
        <v>61790666</v>
      </c>
      <c r="H37667">
        <v>10666919</v>
      </c>
      <c r="I37667">
        <v>43076336</v>
      </c>
      <c r="J37667">
        <v>4</v>
      </c>
    </row>
    <row r="37668" spans="1:10" x14ac:dyDescent="0.25">
      <c r="A37668" t="s">
        <v>398</v>
      </c>
      <c r="B37668" s="1" t="str">
        <f>HYPERLINK("http://autohaus-herschel.de","autohaus-herschel.de")</f>
        <v>autohaus-herschel.de</v>
      </c>
      <c r="C37668" t="s">
        <v>436</v>
      </c>
      <c r="D37668" t="s">
        <v>815</v>
      </c>
      <c r="F37668">
        <v>5.2864142996039201E-9</v>
      </c>
      <c r="G37668">
        <v>23696281</v>
      </c>
      <c r="H37668">
        <v>9564681</v>
      </c>
      <c r="I37668">
        <v>64793258</v>
      </c>
      <c r="J37668">
        <v>3</v>
      </c>
    </row>
    <row r="37669" spans="1:10" x14ac:dyDescent="0.25">
      <c r="A37669" t="s">
        <v>398</v>
      </c>
      <c r="B37669" s="1" t="str">
        <f>HYPERLINK("http://autohaus-hess-buedingen.de","autohaus-hess-buedingen.de")</f>
        <v>autohaus-hess-buedingen.de</v>
      </c>
      <c r="C37669" t="s">
        <v>436</v>
      </c>
      <c r="D37669" t="s">
        <v>815</v>
      </c>
      <c r="F37669">
        <v>4.44380395335525E-9</v>
      </c>
      <c r="G37669">
        <v>84251352</v>
      </c>
      <c r="H37669">
        <v>0</v>
      </c>
      <c r="I37669">
        <v>85267852</v>
      </c>
      <c r="J37669">
        <v>3</v>
      </c>
    </row>
    <row r="37670" spans="1:10" x14ac:dyDescent="0.25">
      <c r="A37670" t="s">
        <v>398</v>
      </c>
      <c r="B37670" s="1" t="str">
        <f>HYPERLINK("http://autohaus-huettel.de","autohaus-huettel.de")</f>
        <v>autohaus-huettel.de</v>
      </c>
      <c r="C37670" t="s">
        <v>436</v>
      </c>
      <c r="D37670" t="s">
        <v>815</v>
      </c>
      <c r="J37670">
        <v>5</v>
      </c>
    </row>
    <row r="37671" spans="1:10" x14ac:dyDescent="0.25">
      <c r="A37671" t="s">
        <v>398</v>
      </c>
      <c r="B37671" s="1" t="str">
        <f>HYPERLINK("http://autohaus-ihle.de","autohaus-ihle.de")</f>
        <v>autohaus-ihle.de</v>
      </c>
      <c r="C37671" t="s">
        <v>436</v>
      </c>
      <c r="D37671" t="s">
        <v>815</v>
      </c>
      <c r="F37671">
        <v>1.03282298747342E-8</v>
      </c>
      <c r="G37671">
        <v>6424775</v>
      </c>
      <c r="H37671">
        <v>12112245</v>
      </c>
      <c r="I37671">
        <v>25668272</v>
      </c>
      <c r="J37671">
        <v>3</v>
      </c>
    </row>
    <row r="37672" spans="1:10" x14ac:dyDescent="0.25">
      <c r="A37672" t="s">
        <v>398</v>
      </c>
      <c r="B37672" s="1" t="str">
        <f>HYPERLINK("http://autohaus-illgen.de","autohaus-illgen.de")</f>
        <v>autohaus-illgen.de</v>
      </c>
      <c r="C37672" t="s">
        <v>436</v>
      </c>
      <c r="D37672" t="s">
        <v>815</v>
      </c>
      <c r="F37672">
        <v>1.22859228816488E-8</v>
      </c>
      <c r="G37672">
        <v>5001989</v>
      </c>
      <c r="H37672">
        <v>12253348</v>
      </c>
      <c r="I37672">
        <v>21932643</v>
      </c>
      <c r="J37672">
        <v>3</v>
      </c>
    </row>
    <row r="37673" spans="1:10" x14ac:dyDescent="0.25">
      <c r="A37673" t="s">
        <v>398</v>
      </c>
      <c r="B37673" s="1" t="str">
        <f>HYPERLINK("http://autohaus-joses.de","autohaus-joses.de")</f>
        <v>autohaus-joses.de</v>
      </c>
      <c r="C37673" t="s">
        <v>436</v>
      </c>
      <c r="D37673" t="s">
        <v>815</v>
      </c>
      <c r="F37673">
        <v>7.1956201576417502E-9</v>
      </c>
      <c r="G37673">
        <v>11756253</v>
      </c>
      <c r="H37673">
        <v>12238155</v>
      </c>
      <c r="I37673">
        <v>22305418</v>
      </c>
      <c r="J37673">
        <v>4</v>
      </c>
    </row>
    <row r="37674" spans="1:10" x14ac:dyDescent="0.25">
      <c r="A37674" t="s">
        <v>398</v>
      </c>
      <c r="B37674" s="1" t="str">
        <f>HYPERLINK("http://autohaus-karmann.de","autohaus-karmann.de")</f>
        <v>autohaus-karmann.de</v>
      </c>
      <c r="C37674" t="s">
        <v>436</v>
      </c>
      <c r="D37674" t="s">
        <v>815</v>
      </c>
      <c r="F37674">
        <v>4.7792852506966698E-9</v>
      </c>
      <c r="G37674">
        <v>36987255</v>
      </c>
      <c r="H37674">
        <v>10848735</v>
      </c>
      <c r="I37674">
        <v>36886657</v>
      </c>
      <c r="J37674">
        <v>3</v>
      </c>
    </row>
    <row r="37675" spans="1:10" x14ac:dyDescent="0.25">
      <c r="A37675" t="s">
        <v>398</v>
      </c>
      <c r="B37675" s="1" t="str">
        <f>HYPERLINK("http://autohaus-karsch.de","autohaus-karsch.de")</f>
        <v>autohaus-karsch.de</v>
      </c>
      <c r="C37675" t="s">
        <v>436</v>
      </c>
      <c r="D37675" t="s">
        <v>815</v>
      </c>
      <c r="F37675">
        <v>6.2419962774727603E-9</v>
      </c>
      <c r="G37675">
        <v>15315053</v>
      </c>
      <c r="H37675">
        <v>11025156</v>
      </c>
      <c r="I37675">
        <v>33177289</v>
      </c>
      <c r="J37675">
        <v>3</v>
      </c>
    </row>
    <row r="37676" spans="1:10" x14ac:dyDescent="0.25">
      <c r="A37676" t="s">
        <v>398</v>
      </c>
      <c r="B37676" s="1" t="str">
        <f>HYPERLINK("http://autohaus-kippes.de","autohaus-kippes.de")</f>
        <v>autohaus-kippes.de</v>
      </c>
      <c r="C37676" t="s">
        <v>436</v>
      </c>
      <c r="D37676" t="s">
        <v>815</v>
      </c>
      <c r="F37676">
        <v>9.9586667242287501E-9</v>
      </c>
      <c r="G37676">
        <v>6797527</v>
      </c>
      <c r="H37676">
        <v>12264210</v>
      </c>
      <c r="I37676">
        <v>21652501</v>
      </c>
      <c r="J37676">
        <v>3</v>
      </c>
    </row>
    <row r="37677" spans="1:10" x14ac:dyDescent="0.25">
      <c r="A37677" t="s">
        <v>398</v>
      </c>
      <c r="B37677" s="1" t="str">
        <f>HYPERLINK("http://autohaus-knaack.de","autohaus-knaack.de")</f>
        <v>autohaus-knaack.de</v>
      </c>
      <c r="C37677" t="s">
        <v>436</v>
      </c>
      <c r="D37677" t="s">
        <v>815</v>
      </c>
      <c r="F37677">
        <v>7.4220705274023996E-9</v>
      </c>
      <c r="G37677">
        <v>11190484</v>
      </c>
      <c r="H37677">
        <v>10929737</v>
      </c>
      <c r="I37677">
        <v>35072473</v>
      </c>
      <c r="J37677">
        <v>4</v>
      </c>
    </row>
    <row r="37678" spans="1:10" x14ac:dyDescent="0.25">
      <c r="A37678" t="s">
        <v>398</v>
      </c>
      <c r="B37678" s="1" t="str">
        <f>HYPERLINK("http://autohaus-koller.de","autohaus-koller.de")</f>
        <v>autohaus-koller.de</v>
      </c>
      <c r="C37678" t="s">
        <v>436</v>
      </c>
      <c r="D37678" t="s">
        <v>815</v>
      </c>
      <c r="F37678">
        <v>5.2978916775342402E-9</v>
      </c>
      <c r="G37678">
        <v>23525126</v>
      </c>
      <c r="H37678">
        <v>10965608</v>
      </c>
      <c r="I37678">
        <v>34231001</v>
      </c>
      <c r="J37678">
        <v>3</v>
      </c>
    </row>
    <row r="37679" spans="1:10" x14ac:dyDescent="0.25">
      <c r="A37679" t="s">
        <v>398</v>
      </c>
      <c r="B37679" s="1" t="str">
        <f>HYPERLINK("http://autohaus-korth.de","autohaus-korth.de")</f>
        <v>autohaus-korth.de</v>
      </c>
      <c r="C37679" t="s">
        <v>436</v>
      </c>
      <c r="D37679" t="s">
        <v>815</v>
      </c>
      <c r="F37679">
        <v>4.5912708871774497E-9</v>
      </c>
      <c r="G37679">
        <v>48301205</v>
      </c>
      <c r="H37679">
        <v>9355579</v>
      </c>
      <c r="I37679">
        <v>67907575</v>
      </c>
      <c r="J37679">
        <v>5</v>
      </c>
    </row>
    <row r="37680" spans="1:10" x14ac:dyDescent="0.25">
      <c r="A37680" t="s">
        <v>398</v>
      </c>
      <c r="B37680" s="1" t="str">
        <f>HYPERLINK("http://autohaus-lassotta-meissen.de","autohaus-lassotta-meissen.de")</f>
        <v>autohaus-lassotta-meissen.de</v>
      </c>
      <c r="C37680" t="s">
        <v>436</v>
      </c>
      <c r="D37680" t="s">
        <v>815</v>
      </c>
      <c r="F37680">
        <v>9.2425099842107299E-9</v>
      </c>
      <c r="G37680">
        <v>7648452</v>
      </c>
      <c r="H37680">
        <v>12069115</v>
      </c>
      <c r="I37680">
        <v>26810096</v>
      </c>
      <c r="J37680">
        <v>3</v>
      </c>
    </row>
    <row r="37681" spans="1:10" x14ac:dyDescent="0.25">
      <c r="A37681" t="s">
        <v>398</v>
      </c>
      <c r="B37681" s="1" t="str">
        <f>HYPERLINK("http://autohaus-lewy.de","autohaus-lewy.de")</f>
        <v>autohaus-lewy.de</v>
      </c>
      <c r="C37681" t="s">
        <v>436</v>
      </c>
      <c r="D37681" t="s">
        <v>815</v>
      </c>
      <c r="F37681">
        <v>5.5892973973683597E-9</v>
      </c>
      <c r="G37681">
        <v>19962241</v>
      </c>
      <c r="H37681">
        <v>10512278</v>
      </c>
      <c r="I37681">
        <v>49420154</v>
      </c>
      <c r="J37681">
        <v>4</v>
      </c>
    </row>
    <row r="37682" spans="1:10" x14ac:dyDescent="0.25">
      <c r="A37682" t="s">
        <v>398</v>
      </c>
      <c r="B37682" s="1" t="str">
        <f>HYPERLINK("http://autohaus-maeke.de","autohaus-maeke.de")</f>
        <v>autohaus-maeke.de</v>
      </c>
      <c r="C37682" t="s">
        <v>436</v>
      </c>
      <c r="D37682" t="s">
        <v>815</v>
      </c>
      <c r="F37682">
        <v>5.9895587073412703E-9</v>
      </c>
      <c r="G37682">
        <v>16759596</v>
      </c>
      <c r="H37682">
        <v>10755204</v>
      </c>
      <c r="I37682">
        <v>39817073</v>
      </c>
      <c r="J37682">
        <v>3</v>
      </c>
    </row>
    <row r="37683" spans="1:10" x14ac:dyDescent="0.25">
      <c r="A37683" t="s">
        <v>398</v>
      </c>
      <c r="B37683" s="1" t="str">
        <f>HYPERLINK("http://autohaus-matticzk.de","autohaus-matticzk.de")</f>
        <v>autohaus-matticzk.de</v>
      </c>
      <c r="C37683" t="s">
        <v>436</v>
      </c>
      <c r="D37683" t="s">
        <v>815</v>
      </c>
      <c r="F37683">
        <v>6.0516816368321603E-9</v>
      </c>
      <c r="G37683">
        <v>16372596</v>
      </c>
      <c r="H37683">
        <v>9952505</v>
      </c>
      <c r="I37683">
        <v>61192798</v>
      </c>
      <c r="J37683">
        <v>3</v>
      </c>
    </row>
    <row r="37684" spans="1:10" x14ac:dyDescent="0.25">
      <c r="A37684" t="s">
        <v>398</v>
      </c>
      <c r="B37684" s="1" t="str">
        <f>HYPERLINK("http://autohaus-mothor.de","autohaus-mothor.de")</f>
        <v>autohaus-mothor.de</v>
      </c>
      <c r="C37684" t="s">
        <v>436</v>
      </c>
      <c r="D37684" t="s">
        <v>815</v>
      </c>
      <c r="F37684">
        <v>4.7597050941625603E-9</v>
      </c>
      <c r="G37684">
        <v>37837995</v>
      </c>
      <c r="H37684">
        <v>8828124</v>
      </c>
      <c r="I37684">
        <v>69273834</v>
      </c>
      <c r="J37684">
        <v>3</v>
      </c>
    </row>
    <row r="37685" spans="1:10" x14ac:dyDescent="0.25">
      <c r="A37685" t="s">
        <v>398</v>
      </c>
      <c r="B37685" s="1" t="str">
        <f>HYPERLINK("http://autohaus-nauen.de","autohaus-nauen.de")</f>
        <v>autohaus-nauen.de</v>
      </c>
      <c r="C37685" t="s">
        <v>436</v>
      </c>
      <c r="D37685" t="s">
        <v>815</v>
      </c>
      <c r="F37685">
        <v>1.12258080649954E-8</v>
      </c>
      <c r="G37685">
        <v>5695084</v>
      </c>
      <c r="H37685">
        <v>12441877</v>
      </c>
      <c r="I37685">
        <v>18123033</v>
      </c>
      <c r="J37685">
        <v>3</v>
      </c>
    </row>
    <row r="37686" spans="1:10" x14ac:dyDescent="0.25">
      <c r="A37686" t="s">
        <v>398</v>
      </c>
      <c r="B37686" s="1" t="str">
        <f>HYPERLINK("http://autohaus-naumann.de","autohaus-naumann.de")</f>
        <v>autohaus-naumann.de</v>
      </c>
      <c r="C37686" t="s">
        <v>436</v>
      </c>
      <c r="D37686" t="s">
        <v>815</v>
      </c>
      <c r="F37686">
        <v>4.6270997228003603E-9</v>
      </c>
      <c r="G37686">
        <v>45634479</v>
      </c>
      <c r="H37686">
        <v>9426705</v>
      </c>
      <c r="I37686">
        <v>66873079</v>
      </c>
      <c r="J37686">
        <v>5</v>
      </c>
    </row>
    <row r="37687" spans="1:10" x14ac:dyDescent="0.25">
      <c r="A37687" t="s">
        <v>398</v>
      </c>
      <c r="B37687" s="1" t="str">
        <f>HYPERLINK("http://autohaus-neumayr.de","autohaus-neumayr.de")</f>
        <v>autohaus-neumayr.de</v>
      </c>
      <c r="C37687" t="s">
        <v>436</v>
      </c>
      <c r="D37687" t="s">
        <v>815</v>
      </c>
      <c r="F37687">
        <v>6.3923103365420799E-9</v>
      </c>
      <c r="G37687">
        <v>14558410</v>
      </c>
      <c r="H37687">
        <v>12755766</v>
      </c>
      <c r="I37687">
        <v>14984686</v>
      </c>
      <c r="J37687">
        <v>4</v>
      </c>
    </row>
    <row r="37688" spans="1:10" x14ac:dyDescent="0.25">
      <c r="A37688" t="s">
        <v>398</v>
      </c>
      <c r="B37688" s="1" t="str">
        <f>HYPERLINK("http://autohaus-ostmann.de","autohaus-ostmann.de")</f>
        <v>autohaus-ostmann.de</v>
      </c>
      <c r="C37688" t="s">
        <v>436</v>
      </c>
      <c r="D37688" t="s">
        <v>815</v>
      </c>
      <c r="F37688">
        <v>1.42479010194941E-8</v>
      </c>
      <c r="G37688">
        <v>4111885</v>
      </c>
      <c r="H37688">
        <v>12885449</v>
      </c>
      <c r="I37688">
        <v>13966106</v>
      </c>
      <c r="J37688">
        <v>3</v>
      </c>
    </row>
    <row r="37689" spans="1:10" x14ac:dyDescent="0.25">
      <c r="A37689" t="s">
        <v>398</v>
      </c>
      <c r="B37689" s="1" t="str">
        <f>HYPERLINK("http://autohaus-pinkau.de","autohaus-pinkau.de")</f>
        <v>autohaus-pinkau.de</v>
      </c>
      <c r="C37689" t="s">
        <v>436</v>
      </c>
      <c r="D37689" t="s">
        <v>815</v>
      </c>
      <c r="F37689">
        <v>4.8578630425590899E-9</v>
      </c>
      <c r="G37689">
        <v>33881749</v>
      </c>
      <c r="H37689">
        <v>10841273</v>
      </c>
      <c r="I37689">
        <v>37085303</v>
      </c>
      <c r="J37689">
        <v>3</v>
      </c>
    </row>
    <row r="37690" spans="1:10" x14ac:dyDescent="0.25">
      <c r="A37690" t="s">
        <v>398</v>
      </c>
      <c r="B37690" s="1" t="str">
        <f>HYPERLINK("http://autohaus-pleissental.de","autohaus-pleissental.de")</f>
        <v>autohaus-pleissental.de</v>
      </c>
      <c r="C37690" t="s">
        <v>436</v>
      </c>
      <c r="D37690" t="s">
        <v>815</v>
      </c>
      <c r="F37690">
        <v>9.12622312559766E-9</v>
      </c>
      <c r="G37690">
        <v>7810842</v>
      </c>
      <c r="H37690">
        <v>12076314</v>
      </c>
      <c r="I37690">
        <v>26656856</v>
      </c>
      <c r="J37690">
        <v>5</v>
      </c>
    </row>
    <row r="37691" spans="1:10" x14ac:dyDescent="0.25">
      <c r="A37691" t="s">
        <v>398</v>
      </c>
      <c r="B37691" s="1" t="str">
        <f>HYPERLINK("http://autohaus-raethel.de","autohaus-raethel.de")</f>
        <v>autohaus-raethel.de</v>
      </c>
      <c r="C37691" t="s">
        <v>436</v>
      </c>
      <c r="D37691" t="s">
        <v>815</v>
      </c>
      <c r="F37691">
        <v>5.9404211756647104E-9</v>
      </c>
      <c r="G37691">
        <v>17083770</v>
      </c>
      <c r="H37691">
        <v>12669133</v>
      </c>
      <c r="I37691">
        <v>15631472</v>
      </c>
      <c r="J37691">
        <v>4</v>
      </c>
    </row>
    <row r="37692" spans="1:10" x14ac:dyDescent="0.25">
      <c r="A37692" t="s">
        <v>398</v>
      </c>
      <c r="B37692" s="1" t="str">
        <f>HYPERLINK("http://autohaus-rudolph.de","autohaus-rudolph.de")</f>
        <v>autohaus-rudolph.de</v>
      </c>
      <c r="C37692" t="s">
        <v>436</v>
      </c>
      <c r="D37692" t="s">
        <v>815</v>
      </c>
      <c r="F37692">
        <v>1.2227044319388599E-8</v>
      </c>
      <c r="G37692">
        <v>5035156</v>
      </c>
      <c r="H37692">
        <v>12291460</v>
      </c>
      <c r="I37692">
        <v>21074104</v>
      </c>
      <c r="J37692">
        <v>4</v>
      </c>
    </row>
    <row r="37693" spans="1:10" x14ac:dyDescent="0.25">
      <c r="A37693" t="s">
        <v>398</v>
      </c>
      <c r="B37693" s="1" t="str">
        <f>HYPERLINK("http://autohaus-scheider.de","autohaus-scheider.de")</f>
        <v>autohaus-scheider.de</v>
      </c>
      <c r="C37693" t="s">
        <v>436</v>
      </c>
      <c r="D37693" t="s">
        <v>815</v>
      </c>
      <c r="F37693">
        <v>5.0235191754627697E-9</v>
      </c>
      <c r="G37693">
        <v>28818117</v>
      </c>
      <c r="H37693">
        <v>12017846</v>
      </c>
      <c r="I37693">
        <v>27907450</v>
      </c>
      <c r="J37693">
        <v>3</v>
      </c>
    </row>
    <row r="37694" spans="1:10" x14ac:dyDescent="0.25">
      <c r="A37694" t="s">
        <v>398</v>
      </c>
      <c r="B37694" s="1" t="str">
        <f>HYPERLINK("http://autohaus-schueler.de","autohaus-schueler.de")</f>
        <v>autohaus-schueler.de</v>
      </c>
      <c r="C37694" t="s">
        <v>436</v>
      </c>
      <c r="D37694" t="s">
        <v>815</v>
      </c>
      <c r="F37694">
        <v>1.5935953483200999E-8</v>
      </c>
      <c r="G37694">
        <v>3563170</v>
      </c>
      <c r="H37694">
        <v>12912844</v>
      </c>
      <c r="I37694">
        <v>13532410</v>
      </c>
      <c r="J37694">
        <v>3</v>
      </c>
    </row>
    <row r="37695" spans="1:10" x14ac:dyDescent="0.25">
      <c r="A37695" t="s">
        <v>398</v>
      </c>
      <c r="B37695" s="1" t="str">
        <f>HYPERLINK("http://autohaus-seitz.de","autohaus-seitz.de")</f>
        <v>autohaus-seitz.de</v>
      </c>
      <c r="C37695" t="s">
        <v>436</v>
      </c>
      <c r="D37695" t="s">
        <v>815</v>
      </c>
      <c r="F37695">
        <v>4.4022560989574499E-8</v>
      </c>
      <c r="G37695">
        <v>1080851</v>
      </c>
      <c r="H37695">
        <v>12600164</v>
      </c>
      <c r="I37695">
        <v>16324841</v>
      </c>
      <c r="J37695">
        <v>3</v>
      </c>
    </row>
    <row r="37696" spans="1:10" x14ac:dyDescent="0.25">
      <c r="A37696" t="s">
        <v>398</v>
      </c>
      <c r="B37696" s="1" t="str">
        <f>HYPERLINK("http://autohaus-socke.de","autohaus-socke.de")</f>
        <v>autohaus-socke.de</v>
      </c>
      <c r="C37696" t="s">
        <v>436</v>
      </c>
      <c r="D37696" t="s">
        <v>815</v>
      </c>
      <c r="F37696">
        <v>1.09801637353754E-8</v>
      </c>
      <c r="G37696">
        <v>5876127</v>
      </c>
      <c r="H37696">
        <v>12182261</v>
      </c>
      <c r="I37696">
        <v>23754274</v>
      </c>
      <c r="J37696">
        <v>3</v>
      </c>
    </row>
    <row r="37697" spans="1:10" x14ac:dyDescent="0.25">
      <c r="A37697" t="s">
        <v>398</v>
      </c>
      <c r="B37697" s="1" t="str">
        <f>HYPERLINK("http://autohaus-steegmueller.de","autohaus-steegmueller.de")</f>
        <v>autohaus-steegmueller.de</v>
      </c>
      <c r="C37697" t="s">
        <v>436</v>
      </c>
      <c r="D37697" t="s">
        <v>815</v>
      </c>
      <c r="F37697">
        <v>4.66578559850072E-9</v>
      </c>
      <c r="G37697">
        <v>43189975</v>
      </c>
      <c r="H37697">
        <v>9747611</v>
      </c>
      <c r="I37697">
        <v>63003323</v>
      </c>
      <c r="J37697">
        <v>4</v>
      </c>
    </row>
    <row r="37698" spans="1:10" x14ac:dyDescent="0.25">
      <c r="A37698" t="s">
        <v>398</v>
      </c>
      <c r="B37698" s="1" t="str">
        <f>HYPERLINK("http://autohaus-stefan.de","autohaus-stefan.de")</f>
        <v>autohaus-stefan.de</v>
      </c>
      <c r="C37698" t="s">
        <v>436</v>
      </c>
      <c r="D37698" t="s">
        <v>815</v>
      </c>
      <c r="F37698">
        <v>6.70499995118492E-9</v>
      </c>
      <c r="G37698">
        <v>13285630</v>
      </c>
      <c r="H37698">
        <v>11169735</v>
      </c>
      <c r="I37698">
        <v>31540391</v>
      </c>
      <c r="J37698">
        <v>4</v>
      </c>
    </row>
    <row r="37699" spans="1:10" x14ac:dyDescent="0.25">
      <c r="A37699" t="s">
        <v>398</v>
      </c>
      <c r="B37699" s="1" t="str">
        <f>HYPERLINK("http://autohaus-stricker.de","autohaus-stricker.de")</f>
        <v>autohaus-stricker.de</v>
      </c>
      <c r="C37699" t="s">
        <v>436</v>
      </c>
      <c r="D37699" t="s">
        <v>815</v>
      </c>
      <c r="F37699">
        <v>1.26744898766877E-8</v>
      </c>
      <c r="G37699">
        <v>4792408</v>
      </c>
      <c r="H37699">
        <v>12429153</v>
      </c>
      <c r="I37699">
        <v>18311978</v>
      </c>
      <c r="J37699">
        <v>3</v>
      </c>
    </row>
    <row r="37700" spans="1:10" x14ac:dyDescent="0.25">
      <c r="A37700" t="s">
        <v>398</v>
      </c>
      <c r="B37700" s="1" t="str">
        <f>HYPERLINK("http://autohaus-thomas-celle.de","autohaus-thomas-celle.de")</f>
        <v>autohaus-thomas-celle.de</v>
      </c>
      <c r="C37700" t="s">
        <v>436</v>
      </c>
      <c r="D37700" t="s">
        <v>815</v>
      </c>
      <c r="F37700">
        <v>7.2220357138716103E-9</v>
      </c>
      <c r="G37700">
        <v>11677931</v>
      </c>
      <c r="H37700">
        <v>12213725</v>
      </c>
      <c r="I37700">
        <v>22932794</v>
      </c>
      <c r="J37700">
        <v>4</v>
      </c>
    </row>
    <row r="37701" spans="1:10" x14ac:dyDescent="0.25">
      <c r="A37701" t="s">
        <v>398</v>
      </c>
      <c r="B37701" s="1" t="str">
        <f>HYPERLINK("http://autohaus-troendle.de","autohaus-troendle.de")</f>
        <v>autohaus-troendle.de</v>
      </c>
      <c r="C37701" t="s">
        <v>436</v>
      </c>
      <c r="D37701" t="s">
        <v>815</v>
      </c>
      <c r="F37701">
        <v>4.4774398499104897E-9</v>
      </c>
      <c r="G37701">
        <v>62882000</v>
      </c>
      <c r="H37701">
        <v>9080429</v>
      </c>
      <c r="I37701">
        <v>68812674</v>
      </c>
      <c r="J37701">
        <v>3</v>
      </c>
    </row>
    <row r="37702" spans="1:10" x14ac:dyDescent="0.25">
      <c r="A37702" t="s">
        <v>398</v>
      </c>
      <c r="B37702" s="1" t="str">
        <f>HYPERLINK("http://autohaus-uchte.de","autohaus-uchte.de")</f>
        <v>autohaus-uchte.de</v>
      </c>
      <c r="C37702" t="s">
        <v>436</v>
      </c>
      <c r="D37702" t="s">
        <v>815</v>
      </c>
      <c r="F37702">
        <v>9.3907168879858504E-9</v>
      </c>
      <c r="G37702">
        <v>7456974</v>
      </c>
      <c r="H37702">
        <v>12299942</v>
      </c>
      <c r="I37702">
        <v>20834901</v>
      </c>
      <c r="J37702">
        <v>3</v>
      </c>
    </row>
    <row r="37703" spans="1:10" x14ac:dyDescent="0.25">
      <c r="A37703" t="s">
        <v>398</v>
      </c>
      <c r="B37703" s="1" t="str">
        <f>HYPERLINK("http://autohaus-volpert.de","autohaus-volpert.de")</f>
        <v>autohaus-volpert.de</v>
      </c>
      <c r="C37703" t="s">
        <v>436</v>
      </c>
      <c r="D37703" t="s">
        <v>815</v>
      </c>
      <c r="F37703">
        <v>4.7176225819306003E-9</v>
      </c>
      <c r="G37703">
        <v>40332450</v>
      </c>
      <c r="H37703">
        <v>11968278</v>
      </c>
      <c r="I37703">
        <v>28745297</v>
      </c>
      <c r="J37703">
        <v>3</v>
      </c>
    </row>
    <row r="37704" spans="1:10" x14ac:dyDescent="0.25">
      <c r="A37704" t="s">
        <v>398</v>
      </c>
      <c r="B37704" s="1" t="str">
        <f>HYPERLINK("http://autohaus-wachtel.de","autohaus-wachtel.de")</f>
        <v>autohaus-wachtel.de</v>
      </c>
      <c r="C37704" t="s">
        <v>436</v>
      </c>
      <c r="D37704" t="s">
        <v>815</v>
      </c>
      <c r="F37704">
        <v>6.32236997149023E-9</v>
      </c>
      <c r="G37704">
        <v>14926263</v>
      </c>
      <c r="H37704">
        <v>10960488</v>
      </c>
      <c r="I37704">
        <v>34343555</v>
      </c>
      <c r="J37704">
        <v>3</v>
      </c>
    </row>
    <row r="37705" spans="1:10" x14ac:dyDescent="0.25">
      <c r="A37705" t="s">
        <v>398</v>
      </c>
      <c r="B37705" s="1" t="str">
        <f>HYPERLINK("http://autohaus-wallisch.de","autohaus-wallisch.de")</f>
        <v>autohaus-wallisch.de</v>
      </c>
      <c r="C37705" t="s">
        <v>436</v>
      </c>
      <c r="D37705" t="s">
        <v>815</v>
      </c>
      <c r="F37705">
        <v>4.4446772556747402E-9</v>
      </c>
      <c r="G37705">
        <v>76326140</v>
      </c>
      <c r="H37705">
        <v>9489157</v>
      </c>
      <c r="I37705">
        <v>65881093</v>
      </c>
      <c r="J37705">
        <v>5</v>
      </c>
    </row>
    <row r="37706" spans="1:10" x14ac:dyDescent="0.25">
      <c r="A37706" t="s">
        <v>398</v>
      </c>
      <c r="B37706" s="1" t="str">
        <f>HYPERLINK("http://autohaus-weeber.de","autohaus-weeber.de")</f>
        <v>autohaus-weeber.de</v>
      </c>
      <c r="C37706" t="s">
        <v>436</v>
      </c>
      <c r="D37706" t="s">
        <v>815</v>
      </c>
      <c r="F37706">
        <v>2.3093539683143199E-8</v>
      </c>
      <c r="G37706">
        <v>2260845</v>
      </c>
      <c r="H37706">
        <v>12342038</v>
      </c>
      <c r="I37706">
        <v>19913913</v>
      </c>
      <c r="J37706">
        <v>3</v>
      </c>
    </row>
    <row r="37707" spans="1:10" x14ac:dyDescent="0.25">
      <c r="A37707" t="s">
        <v>398</v>
      </c>
      <c r="B37707" s="1" t="str">
        <f>HYPERLINK("http://autohaus-west.de","autohaus-west.de")</f>
        <v>autohaus-west.de</v>
      </c>
      <c r="C37707" t="s">
        <v>436</v>
      </c>
      <c r="D37707" t="s">
        <v>815</v>
      </c>
      <c r="F37707">
        <v>4.6435999386090901E-9</v>
      </c>
      <c r="G37707">
        <v>44539976</v>
      </c>
      <c r="H37707">
        <v>11976707</v>
      </c>
      <c r="I37707">
        <v>28543110</v>
      </c>
      <c r="J37707">
        <v>3</v>
      </c>
    </row>
    <row r="37708" spans="1:10" x14ac:dyDescent="0.25">
      <c r="A37708" t="s">
        <v>398</v>
      </c>
      <c r="B37708" s="1" t="str">
        <f>HYPERLINK("http://autohaus-wiest-darmstadt.de","autohaus-wiest-darmstadt.de")</f>
        <v>autohaus-wiest-darmstadt.de</v>
      </c>
      <c r="C37708" t="s">
        <v>436</v>
      </c>
      <c r="D37708" t="s">
        <v>815</v>
      </c>
      <c r="F37708">
        <v>4.9828921316133799E-9</v>
      </c>
      <c r="G37708">
        <v>29924487</v>
      </c>
      <c r="H37708">
        <v>12018927</v>
      </c>
      <c r="I37708">
        <v>27886494</v>
      </c>
      <c r="J37708">
        <v>3</v>
      </c>
    </row>
    <row r="37709" spans="1:10" x14ac:dyDescent="0.25">
      <c r="A37709" t="s">
        <v>398</v>
      </c>
      <c r="B37709" s="1" t="str">
        <f>HYPERLINK("http://autohaus-woell.de","autohaus-woell.de")</f>
        <v>autohaus-woell.de</v>
      </c>
      <c r="C37709" t="s">
        <v>436</v>
      </c>
      <c r="D37709" t="s">
        <v>815</v>
      </c>
      <c r="F37709">
        <v>4.98155816386407E-9</v>
      </c>
      <c r="G37709">
        <v>29956181</v>
      </c>
      <c r="H37709">
        <v>11974570</v>
      </c>
      <c r="I37709">
        <v>28593717</v>
      </c>
      <c r="J37709">
        <v>3</v>
      </c>
    </row>
    <row r="37710" spans="1:10" x14ac:dyDescent="0.25">
      <c r="A37710" t="s">
        <v>398</v>
      </c>
      <c r="B37710" s="1" t="str">
        <f>HYPERLINK("http://autohaus-wunderlich.de","autohaus-wunderlich.de")</f>
        <v>autohaus-wunderlich.de</v>
      </c>
      <c r="C37710" t="s">
        <v>436</v>
      </c>
      <c r="D37710" t="s">
        <v>815</v>
      </c>
      <c r="F37710">
        <v>6.7032202056659196E-9</v>
      </c>
      <c r="G37710">
        <v>13291710</v>
      </c>
      <c r="H37710">
        <v>10676847</v>
      </c>
      <c r="I37710">
        <v>42816487</v>
      </c>
      <c r="J37710">
        <v>4</v>
      </c>
    </row>
    <row r="37711" spans="1:10" x14ac:dyDescent="0.25">
      <c r="A37711" t="s">
        <v>398</v>
      </c>
      <c r="B37711" s="1" t="str">
        <f>HYPERLINK("http://autohausbraun.de","autohausbraun.de")</f>
        <v>autohausbraun.de</v>
      </c>
      <c r="C37711" t="s">
        <v>436</v>
      </c>
      <c r="D37711" t="s">
        <v>815</v>
      </c>
      <c r="F37711">
        <v>5.5976228746075698E-9</v>
      </c>
      <c r="G37711">
        <v>19880301</v>
      </c>
      <c r="H37711">
        <v>12083920</v>
      </c>
      <c r="I37711">
        <v>26467127</v>
      </c>
      <c r="J37711">
        <v>3</v>
      </c>
    </row>
    <row r="37712" spans="1:10" x14ac:dyDescent="0.25">
      <c r="A37712" t="s">
        <v>398</v>
      </c>
      <c r="B37712" s="1" t="str">
        <f>HYPERLINK("http://autohausgreif.de","autohausgreif.de")</f>
        <v>autohausgreif.de</v>
      </c>
      <c r="C37712" t="s">
        <v>436</v>
      </c>
      <c r="D37712" t="s">
        <v>815</v>
      </c>
      <c r="F37712">
        <v>4.5386446245502203E-9</v>
      </c>
      <c r="G37712">
        <v>53486371</v>
      </c>
      <c r="H37712">
        <v>11974571</v>
      </c>
      <c r="I37712">
        <v>28592339</v>
      </c>
      <c r="J37712">
        <v>3</v>
      </c>
    </row>
    <row r="37713" spans="1:10" x14ac:dyDescent="0.25">
      <c r="A37713" t="s">
        <v>398</v>
      </c>
      <c r="B37713" s="1" t="str">
        <f>HYPERLINK("http://autohauskoller.de","autohauskoller.de")</f>
        <v>autohauskoller.de</v>
      </c>
      <c r="C37713" t="s">
        <v>436</v>
      </c>
      <c r="D37713" t="s">
        <v>815</v>
      </c>
      <c r="F37713">
        <v>1.16325968131517E-8</v>
      </c>
      <c r="G37713">
        <v>5411249</v>
      </c>
      <c r="H37713">
        <v>12213720</v>
      </c>
      <c r="I37713">
        <v>22933060</v>
      </c>
      <c r="J37713">
        <v>3</v>
      </c>
    </row>
    <row r="37714" spans="1:10" x14ac:dyDescent="0.25">
      <c r="A37714" t="s">
        <v>398</v>
      </c>
      <c r="B37714" s="1" t="str">
        <f>HYPERLINK("http://autohausscholl.de","autohausscholl.de")</f>
        <v>autohausscholl.de</v>
      </c>
      <c r="C37714" t="s">
        <v>436</v>
      </c>
      <c r="D37714" t="s">
        <v>815</v>
      </c>
      <c r="F37714">
        <v>9.2943661391955195E-9</v>
      </c>
      <c r="G37714">
        <v>7579673</v>
      </c>
      <c r="H37714">
        <v>10511967</v>
      </c>
      <c r="I37714">
        <v>49444877</v>
      </c>
      <c r="J37714">
        <v>3</v>
      </c>
    </row>
    <row r="37715" spans="1:10" x14ac:dyDescent="0.25">
      <c r="A37715" t="s">
        <v>398</v>
      </c>
      <c r="B37715" s="1" t="str">
        <f>HYPERLINK("http://autohaussorg.de","autohaussorg.de")</f>
        <v>autohaussorg.de</v>
      </c>
      <c r="C37715" t="s">
        <v>436</v>
      </c>
      <c r="D37715" t="s">
        <v>815</v>
      </c>
      <c r="F37715">
        <v>8.3099035726643297E-9</v>
      </c>
      <c r="G37715">
        <v>9234821</v>
      </c>
      <c r="H37715">
        <v>12160352</v>
      </c>
      <c r="I37715">
        <v>24355307</v>
      </c>
      <c r="J37715">
        <v>4</v>
      </c>
    </row>
    <row r="37716" spans="1:10" x14ac:dyDescent="0.25">
      <c r="A37716" t="s">
        <v>398</v>
      </c>
      <c r="B37716" s="1" t="str">
        <f>HYPERLINK("http://autoklaves.de","autoklaves.de")</f>
        <v>autoklaves.de</v>
      </c>
      <c r="C37716" t="s">
        <v>436</v>
      </c>
      <c r="D37716" t="s">
        <v>815</v>
      </c>
      <c r="F37716">
        <v>6.9458472784252196E-9</v>
      </c>
      <c r="G37716">
        <v>12476587</v>
      </c>
      <c r="H37716">
        <v>12050756</v>
      </c>
      <c r="I37716">
        <v>27215853</v>
      </c>
      <c r="J37716">
        <v>3</v>
      </c>
    </row>
    <row r="37717" spans="1:10" x14ac:dyDescent="0.25">
      <c r="A37717" t="s">
        <v>398</v>
      </c>
      <c r="B37717" s="1" t="str">
        <f>HYPERLINK("http://automueller-dresden.de","automueller-dresden.de")</f>
        <v>automueller-dresden.de</v>
      </c>
      <c r="C37717" t="s">
        <v>436</v>
      </c>
      <c r="D37717" t="s">
        <v>815</v>
      </c>
      <c r="F37717">
        <v>4.8589662805141699E-9</v>
      </c>
      <c r="G37717">
        <v>33846161</v>
      </c>
      <c r="H37717">
        <v>12013371</v>
      </c>
      <c r="I37717">
        <v>27994644</v>
      </c>
      <c r="J37717">
        <v>3</v>
      </c>
    </row>
    <row r="37718" spans="1:10" x14ac:dyDescent="0.25">
      <c r="A37718" t="s">
        <v>398</v>
      </c>
      <c r="B37718" s="1" t="str">
        <f>HYPERLINK("http://autopunkt-falkensee.de","autopunkt-falkensee.de")</f>
        <v>autopunkt-falkensee.de</v>
      </c>
      <c r="C37718" t="s">
        <v>436</v>
      </c>
      <c r="D37718" t="s">
        <v>815</v>
      </c>
      <c r="F37718">
        <v>4.6465362389615101E-9</v>
      </c>
      <c r="G37718">
        <v>44360060</v>
      </c>
      <c r="H37718">
        <v>10670174</v>
      </c>
      <c r="I37718">
        <v>42969256</v>
      </c>
      <c r="J37718">
        <v>4</v>
      </c>
    </row>
    <row r="37719" spans="1:10" x14ac:dyDescent="0.25">
      <c r="A37719" t="s">
        <v>398</v>
      </c>
      <c r="B37719" s="1" t="str">
        <f>HYPERLINK("http://autorehberg.de","autorehberg.de")</f>
        <v>autorehberg.de</v>
      </c>
      <c r="C37719" t="s">
        <v>436</v>
      </c>
      <c r="D37719" t="s">
        <v>815</v>
      </c>
      <c r="F37719">
        <v>5.5668130014424502E-9</v>
      </c>
      <c r="G37719">
        <v>20208760</v>
      </c>
      <c r="H37719">
        <v>10936474</v>
      </c>
      <c r="I37719">
        <v>34924013</v>
      </c>
      <c r="J37719">
        <v>4</v>
      </c>
    </row>
    <row r="37720" spans="1:10" x14ac:dyDescent="0.25">
      <c r="A37720" t="s">
        <v>398</v>
      </c>
      <c r="B37720" s="1" t="str">
        <f>HYPERLINK("http://autoservice-falkenstein.de","autoservice-falkenstein.de")</f>
        <v>autoservice-falkenstein.de</v>
      </c>
      <c r="C37720" t="s">
        <v>436</v>
      </c>
      <c r="D37720" t="s">
        <v>815</v>
      </c>
      <c r="F37720">
        <v>5.0837840028663703E-9</v>
      </c>
      <c r="G37720">
        <v>27426678</v>
      </c>
      <c r="H37720">
        <v>10929390</v>
      </c>
      <c r="I37720">
        <v>35080472</v>
      </c>
      <c r="J37720">
        <v>4</v>
      </c>
    </row>
    <row r="37721" spans="1:10" x14ac:dyDescent="0.25">
      <c r="A37721" t="s">
        <v>398</v>
      </c>
      <c r="B37721" s="1" t="str">
        <f>HYPERLINK("http://autostadt.de","autostadt.de")</f>
        <v>autostadt.de</v>
      </c>
      <c r="C37721" t="s">
        <v>436</v>
      </c>
      <c r="D37721" t="s">
        <v>815</v>
      </c>
      <c r="E37721">
        <v>195301</v>
      </c>
      <c r="F37721">
        <v>5.4182328015210404E-7</v>
      </c>
      <c r="G37721">
        <v>71288</v>
      </c>
      <c r="H37721">
        <v>15211402</v>
      </c>
      <c r="I37721">
        <v>394397</v>
      </c>
      <c r="J37721">
        <v>3</v>
      </c>
    </row>
    <row r="37722" spans="1:10" x14ac:dyDescent="0.25">
      <c r="A37722" t="s">
        <v>398</v>
      </c>
      <c r="B37722" s="1" t="str">
        <f>HYPERLINK("http://autoundservice.de","autoundservice.de")</f>
        <v>autoundservice.de</v>
      </c>
      <c r="C37722" t="s">
        <v>436</v>
      </c>
      <c r="D37722" t="s">
        <v>815</v>
      </c>
      <c r="F37722">
        <v>1.44720197694101E-8</v>
      </c>
      <c r="G37722">
        <v>4032557</v>
      </c>
      <c r="H37722">
        <v>13765883</v>
      </c>
      <c r="I37722">
        <v>7055938</v>
      </c>
      <c r="J37722">
        <v>3</v>
      </c>
    </row>
    <row r="37723" spans="1:10" x14ac:dyDescent="0.25">
      <c r="A37723" t="s">
        <v>398</v>
      </c>
      <c r="B37723" s="1" t="str">
        <f>HYPERLINK("http://autowelt-mplus.de","autowelt-mplus.de")</f>
        <v>autowelt-mplus.de</v>
      </c>
      <c r="C37723" t="s">
        <v>436</v>
      </c>
      <c r="D37723" t="s">
        <v>815</v>
      </c>
      <c r="F37723">
        <v>4.49821687463309E-9</v>
      </c>
      <c r="G37723">
        <v>59205853</v>
      </c>
      <c r="H37723">
        <v>8548606</v>
      </c>
      <c r="I37723">
        <v>71415326</v>
      </c>
      <c r="J37723">
        <v>4</v>
      </c>
    </row>
    <row r="37724" spans="1:10" x14ac:dyDescent="0.25">
      <c r="A37724" t="s">
        <v>398</v>
      </c>
      <c r="B37724" s="1" t="str">
        <f>HYPERLINK("http://autowelt-schuler.de","autowelt-schuler.de")</f>
        <v>autowelt-schuler.de</v>
      </c>
      <c r="C37724" t="s">
        <v>436</v>
      </c>
      <c r="D37724" t="s">
        <v>815</v>
      </c>
      <c r="F37724">
        <v>1.29607265369943E-8</v>
      </c>
      <c r="G37724">
        <v>4650712</v>
      </c>
      <c r="H37724">
        <v>12263429</v>
      </c>
      <c r="I37724">
        <v>21669410</v>
      </c>
      <c r="J37724">
        <v>3</v>
      </c>
    </row>
    <row r="37725" spans="1:10" x14ac:dyDescent="0.25">
      <c r="A37725" t="s">
        <v>398</v>
      </c>
      <c r="B37725" s="1" t="str">
        <f>HYPERLINK("http://autowolf.de","autowolf.de")</f>
        <v>autowolf.de</v>
      </c>
      <c r="C37725" t="s">
        <v>436</v>
      </c>
      <c r="D37725" t="s">
        <v>815</v>
      </c>
      <c r="F37725">
        <v>4.5449519874756401E-9</v>
      </c>
      <c r="G37725">
        <v>52734112</v>
      </c>
      <c r="H37725">
        <v>12101358</v>
      </c>
      <c r="I37725">
        <v>25933608</v>
      </c>
      <c r="J37725">
        <v>3</v>
      </c>
    </row>
    <row r="37726" spans="1:10" x14ac:dyDescent="0.25">
      <c r="A37726" t="s">
        <v>398</v>
      </c>
      <c r="B37726" s="1" t="str">
        <f>HYPERLINK("http://bausetra.de","bausetra.de")</f>
        <v>bausetra.de</v>
      </c>
      <c r="C37726" t="s">
        <v>436</v>
      </c>
      <c r="D37726" t="s">
        <v>815</v>
      </c>
      <c r="F37726">
        <v>6.84118348794346E-9</v>
      </c>
      <c r="G37726">
        <v>12823797</v>
      </c>
      <c r="H37726">
        <v>12647478</v>
      </c>
      <c r="I37726">
        <v>15818012</v>
      </c>
      <c r="J37726">
        <v>4</v>
      </c>
    </row>
    <row r="37727" spans="1:10" x14ac:dyDescent="0.25">
      <c r="A37727" t="s">
        <v>398</v>
      </c>
      <c r="B37727" s="1" t="str">
        <f>HYPERLINK("http://beermann-temme.de","beermann-temme.de")</f>
        <v>beermann-temme.de</v>
      </c>
      <c r="C37727" t="s">
        <v>436</v>
      </c>
      <c r="D37727" t="s">
        <v>815</v>
      </c>
      <c r="F37727">
        <v>4.4438594832835499E-9</v>
      </c>
      <c r="G37727">
        <v>78279393</v>
      </c>
      <c r="H37727">
        <v>11962690</v>
      </c>
      <c r="I37727">
        <v>28888474</v>
      </c>
      <c r="J37727">
        <v>3</v>
      </c>
    </row>
    <row r="37728" spans="1:10" x14ac:dyDescent="0.25">
      <c r="A37728" t="s">
        <v>398</v>
      </c>
      <c r="B37728" s="1" t="str">
        <f>HYPERLINK("http://bhg-mobile.de","bhg-mobile.de")</f>
        <v>bhg-mobile.de</v>
      </c>
      <c r="C37728" t="s">
        <v>436</v>
      </c>
      <c r="D37728" t="s">
        <v>815</v>
      </c>
      <c r="F37728">
        <v>4.0995021792800903E-8</v>
      </c>
      <c r="G37728">
        <v>1265569</v>
      </c>
      <c r="H37728">
        <v>13564943</v>
      </c>
      <c r="I37728">
        <v>9837730</v>
      </c>
      <c r="J37728">
        <v>3</v>
      </c>
    </row>
    <row r="37729" spans="1:10" x14ac:dyDescent="0.25">
      <c r="A37729" t="s">
        <v>398</v>
      </c>
      <c r="B37729" s="1" t="str">
        <f>HYPERLINK("http://biemann.de","biemann.de")</f>
        <v>biemann.de</v>
      </c>
      <c r="C37729" t="s">
        <v>436</v>
      </c>
      <c r="D37729" t="s">
        <v>815</v>
      </c>
      <c r="F37729">
        <v>4.6950734861905599E-9</v>
      </c>
      <c r="G37729">
        <v>41536543</v>
      </c>
      <c r="H37729">
        <v>9750003</v>
      </c>
      <c r="I37729">
        <v>62987696</v>
      </c>
      <c r="J37729">
        <v>4</v>
      </c>
    </row>
    <row r="37730" spans="1:10" x14ac:dyDescent="0.25">
      <c r="A37730" t="s">
        <v>398</v>
      </c>
      <c r="B37730" s="1" t="str">
        <f>HYPERLINK("http://biering-autohaus.de","biering-autohaus.de")</f>
        <v>biering-autohaus.de</v>
      </c>
      <c r="C37730" t="s">
        <v>436</v>
      </c>
      <c r="D37730" t="s">
        <v>815</v>
      </c>
      <c r="F37730">
        <v>1.3253797185709499E-8</v>
      </c>
      <c r="G37730">
        <v>4514086</v>
      </c>
      <c r="H37730">
        <v>12119935</v>
      </c>
      <c r="I37730">
        <v>25407720</v>
      </c>
      <c r="J37730">
        <v>4</v>
      </c>
    </row>
    <row r="37731" spans="1:10" x14ac:dyDescent="0.25">
      <c r="A37731" t="s">
        <v>398</v>
      </c>
      <c r="B37731" s="1" t="str">
        <f>HYPERLINK("http://borgmann-krefeld.de","borgmann-krefeld.de")</f>
        <v>borgmann-krefeld.de</v>
      </c>
      <c r="C37731" t="s">
        <v>436</v>
      </c>
      <c r="D37731" t="s">
        <v>815</v>
      </c>
      <c r="F37731">
        <v>1.69637464484989E-8</v>
      </c>
      <c r="G37731">
        <v>3291922</v>
      </c>
      <c r="H37731">
        <v>12392024</v>
      </c>
      <c r="I37731">
        <v>18996953</v>
      </c>
      <c r="J37731">
        <v>3</v>
      </c>
    </row>
    <row r="37732" spans="1:10" x14ac:dyDescent="0.25">
      <c r="A37732" t="s">
        <v>398</v>
      </c>
      <c r="B37732" s="1" t="str">
        <f>HYPERLINK("http://braun-eschenbacher.de","braun-eschenbacher.de")</f>
        <v>braun-eschenbacher.de</v>
      </c>
      <c r="C37732" t="s">
        <v>436</v>
      </c>
      <c r="D37732" t="s">
        <v>815</v>
      </c>
      <c r="F37732">
        <v>5.7035309570565102E-9</v>
      </c>
      <c r="G37732">
        <v>18899191</v>
      </c>
      <c r="H37732">
        <v>10536938</v>
      </c>
      <c r="I37732">
        <v>47468547</v>
      </c>
      <c r="J37732">
        <v>4</v>
      </c>
    </row>
    <row r="37733" spans="1:10" x14ac:dyDescent="0.25">
      <c r="A37733" t="s">
        <v>398</v>
      </c>
      <c r="B37733" s="1" t="str">
        <f>HYPERLINK("http://carmeq.de","carmeq.de")</f>
        <v>carmeq.de</v>
      </c>
      <c r="C37733" t="s">
        <v>436</v>
      </c>
      <c r="D37733" t="s">
        <v>815</v>
      </c>
      <c r="F37733">
        <v>9.4674317025375006E-9</v>
      </c>
      <c r="G37733">
        <v>7361880</v>
      </c>
      <c r="H37733">
        <v>13234737</v>
      </c>
      <c r="I37733">
        <v>11249513</v>
      </c>
      <c r="J37733">
        <v>3</v>
      </c>
    </row>
    <row r="37734" spans="1:10" x14ac:dyDescent="0.25">
      <c r="A37734" t="s">
        <v>398</v>
      </c>
      <c r="B37734" s="1" t="str">
        <f>HYPERLINK("http://cch-harz.de","cch-harz.de")</f>
        <v>cch-harz.de</v>
      </c>
      <c r="C37734" t="s">
        <v>436</v>
      </c>
      <c r="D37734" t="s">
        <v>815</v>
      </c>
      <c r="F37734">
        <v>5.5166622461773103E-9</v>
      </c>
      <c r="G37734">
        <v>20723037</v>
      </c>
      <c r="H37734">
        <v>10670882</v>
      </c>
      <c r="I37734">
        <v>42950740</v>
      </c>
      <c r="J37734">
        <v>4</v>
      </c>
    </row>
    <row r="37735" spans="1:10" x14ac:dyDescent="0.25">
      <c r="A37735" t="s">
        <v>398</v>
      </c>
      <c r="B37735" s="1" t="str">
        <f>HYPERLINK("http://christl-schowalter.de","christl-schowalter.de")</f>
        <v>christl-schowalter.de</v>
      </c>
      <c r="C37735" t="s">
        <v>436</v>
      </c>
      <c r="D37735" t="s">
        <v>815</v>
      </c>
      <c r="F37735">
        <v>2.35316186752826E-8</v>
      </c>
      <c r="G37735">
        <v>2211228</v>
      </c>
      <c r="H37735">
        <v>12243314</v>
      </c>
      <c r="I37735">
        <v>22165149</v>
      </c>
      <c r="J37735">
        <v>3</v>
      </c>
    </row>
    <row r="37736" spans="1:10" x14ac:dyDescent="0.25">
      <c r="A37736" t="s">
        <v>398</v>
      </c>
      <c r="B37736" s="1" t="str">
        <f>HYPERLINK("http://cupraofficial.de","cupraofficial.de")</f>
        <v>cupraofficial.de</v>
      </c>
      <c r="C37736" t="s">
        <v>436</v>
      </c>
      <c r="D37736" t="s">
        <v>815</v>
      </c>
      <c r="E37736">
        <v>452257</v>
      </c>
      <c r="F37736">
        <v>1.2861259700368701E-7</v>
      </c>
      <c r="G37736">
        <v>304802</v>
      </c>
      <c r="H37736">
        <v>14424927</v>
      </c>
      <c r="I37736">
        <v>1080880</v>
      </c>
      <c r="J37736">
        <v>4</v>
      </c>
    </row>
    <row r="37737" spans="1:10" x14ac:dyDescent="0.25">
      <c r="A37737" t="s">
        <v>398</v>
      </c>
      <c r="B37737" s="1" t="str">
        <f>HYPERLINK("http://deisenroth-soehne.de","deisenroth-soehne.de")</f>
        <v>deisenroth-soehne.de</v>
      </c>
      <c r="C37737" t="s">
        <v>436</v>
      </c>
      <c r="D37737" t="s">
        <v>815</v>
      </c>
      <c r="F37737">
        <v>1.7650423079522601E-8</v>
      </c>
      <c r="G37737">
        <v>3107762</v>
      </c>
      <c r="H37737">
        <v>12555227</v>
      </c>
      <c r="I37737">
        <v>16771205</v>
      </c>
      <c r="J37737">
        <v>3</v>
      </c>
    </row>
    <row r="37738" spans="1:10" x14ac:dyDescent="0.25">
      <c r="A37738" t="s">
        <v>398</v>
      </c>
      <c r="B37738" s="1" t="str">
        <f>HYPERLINK("http://dieschneidergruppe.de","dieschneidergruppe.de")</f>
        <v>dieschneidergruppe.de</v>
      </c>
      <c r="C37738" t="s">
        <v>436</v>
      </c>
      <c r="D37738" t="s">
        <v>815</v>
      </c>
      <c r="F37738">
        <v>3.4211950938823598E-8</v>
      </c>
      <c r="G37738">
        <v>1514812</v>
      </c>
      <c r="H37738">
        <v>13366782</v>
      </c>
      <c r="I37738">
        <v>10480193</v>
      </c>
      <c r="J37738">
        <v>4</v>
      </c>
    </row>
    <row r="37739" spans="1:10" x14ac:dyDescent="0.25">
      <c r="A37739" t="s">
        <v>398</v>
      </c>
      <c r="B37739" s="1" t="str">
        <f>HYPERLINK("http://dreikommazwei.de","dreikommazwei.de")</f>
        <v>dreikommazwei.de</v>
      </c>
      <c r="C37739" t="s">
        <v>436</v>
      </c>
      <c r="D37739" t="s">
        <v>815</v>
      </c>
      <c r="F37739">
        <v>5.9401378483600398E-9</v>
      </c>
      <c r="G37739">
        <v>17085589</v>
      </c>
      <c r="H37739">
        <v>10296128</v>
      </c>
      <c r="I37739">
        <v>58470418</v>
      </c>
      <c r="J37739">
        <v>4</v>
      </c>
    </row>
    <row r="37740" spans="1:10" x14ac:dyDescent="0.25">
      <c r="A37740" t="s">
        <v>398</v>
      </c>
      <c r="B37740" s="1" t="str">
        <f>HYPERLINK("http://ducati.de","ducati.de")</f>
        <v>ducati.de</v>
      </c>
      <c r="C37740" t="s">
        <v>436</v>
      </c>
      <c r="D37740" t="s">
        <v>815</v>
      </c>
      <c r="F37740">
        <v>3.9818301995568803E-8</v>
      </c>
      <c r="G37740">
        <v>1297574</v>
      </c>
      <c r="H37740">
        <v>14492690</v>
      </c>
      <c r="I37740">
        <v>893036</v>
      </c>
      <c r="J37740">
        <v>3</v>
      </c>
    </row>
    <row r="37741" spans="1:10" x14ac:dyDescent="0.25">
      <c r="A37741" t="s">
        <v>398</v>
      </c>
      <c r="B37741" s="1" t="str">
        <f>HYPERLINK("http://ducati-lechfeld.de","ducati-lechfeld.de")</f>
        <v>ducati-lechfeld.de</v>
      </c>
      <c r="C37741" t="s">
        <v>436</v>
      </c>
      <c r="D37741" t="s">
        <v>815</v>
      </c>
      <c r="F37741">
        <v>7.8077140230461594E-9</v>
      </c>
      <c r="G37741">
        <v>10303390</v>
      </c>
      <c r="H37741">
        <v>12274887</v>
      </c>
      <c r="I37741">
        <v>21417333</v>
      </c>
      <c r="J37741">
        <v>4</v>
      </c>
    </row>
    <row r="37742" spans="1:10" x14ac:dyDescent="0.25">
      <c r="A37742" t="s">
        <v>398</v>
      </c>
      <c r="B37742" s="1" t="str">
        <f>HYPERLINK("http://eihusen-wilken.de","eihusen-wilken.de")</f>
        <v>eihusen-wilken.de</v>
      </c>
      <c r="C37742" t="s">
        <v>436</v>
      </c>
      <c r="D37742" t="s">
        <v>815</v>
      </c>
      <c r="F37742">
        <v>9.29150073674612E-9</v>
      </c>
      <c r="G37742">
        <v>7583505</v>
      </c>
      <c r="H37742">
        <v>12345422</v>
      </c>
      <c r="I37742">
        <v>19842890</v>
      </c>
      <c r="J37742">
        <v>3</v>
      </c>
    </row>
    <row r="37743" spans="1:10" x14ac:dyDescent="0.25">
      <c r="A37743" t="s">
        <v>398</v>
      </c>
      <c r="B37743" s="1" t="str">
        <f>HYPERLINK("http://elbtor.de","elbtor.de")</f>
        <v>elbtor.de</v>
      </c>
      <c r="C37743" t="s">
        <v>436</v>
      </c>
      <c r="D37743" t="s">
        <v>815</v>
      </c>
      <c r="F37743">
        <v>5.1549181713941002E-9</v>
      </c>
      <c r="G37743">
        <v>25989145</v>
      </c>
      <c r="H37743">
        <v>10760255</v>
      </c>
      <c r="I37743">
        <v>39597044</v>
      </c>
      <c r="J37743">
        <v>3</v>
      </c>
    </row>
    <row r="37744" spans="1:10" x14ac:dyDescent="0.25">
      <c r="A37744" t="s">
        <v>398</v>
      </c>
      <c r="B37744" s="1" t="str">
        <f>HYPERLINK("http://erlenhoff.de","erlenhoff.de")</f>
        <v>erlenhoff.de</v>
      </c>
      <c r="C37744" t="s">
        <v>436</v>
      </c>
      <c r="D37744" t="s">
        <v>815</v>
      </c>
      <c r="F37744">
        <v>6.2427302599970601E-9</v>
      </c>
      <c r="G37744">
        <v>15311128</v>
      </c>
      <c r="H37744">
        <v>12088657</v>
      </c>
      <c r="I37744">
        <v>26289247</v>
      </c>
      <c r="J37744">
        <v>3</v>
      </c>
    </row>
    <row r="37745" spans="1:10" x14ac:dyDescent="0.25">
      <c r="A37745" t="s">
        <v>398</v>
      </c>
      <c r="B37745" s="1" t="str">
        <f>HYPERLINK("http://ernstgruppe.de","ernstgruppe.de")</f>
        <v>ernstgruppe.de</v>
      </c>
      <c r="C37745" t="s">
        <v>436</v>
      </c>
      <c r="D37745" t="s">
        <v>815</v>
      </c>
      <c r="F37745">
        <v>1.7426272810652899E-8</v>
      </c>
      <c r="G37745">
        <v>3166910</v>
      </c>
      <c r="H37745">
        <v>12301015</v>
      </c>
      <c r="I37745">
        <v>20810776</v>
      </c>
      <c r="J37745">
        <v>3</v>
      </c>
    </row>
    <row r="37746" spans="1:10" x14ac:dyDescent="0.25">
      <c r="A37746" t="s">
        <v>398</v>
      </c>
      <c r="B37746" s="1" t="str">
        <f>HYPERLINK("http://eskildsen-center.de","eskildsen-center.de")</f>
        <v>eskildsen-center.de</v>
      </c>
      <c r="C37746" t="s">
        <v>436</v>
      </c>
      <c r="D37746" t="s">
        <v>815</v>
      </c>
      <c r="F37746">
        <v>5.32469233266637E-9</v>
      </c>
      <c r="G37746">
        <v>23139995</v>
      </c>
      <c r="H37746">
        <v>12072706</v>
      </c>
      <c r="I37746">
        <v>26735864</v>
      </c>
      <c r="J37746">
        <v>3</v>
      </c>
    </row>
    <row r="37747" spans="1:10" x14ac:dyDescent="0.25">
      <c r="A37747" t="s">
        <v>398</v>
      </c>
      <c r="B37747" s="1" t="str">
        <f>HYPERLINK("http://euro-leasing.de","euro-leasing.de")</f>
        <v>euro-leasing.de</v>
      </c>
      <c r="C37747" t="s">
        <v>436</v>
      </c>
      <c r="D37747" t="s">
        <v>815</v>
      </c>
      <c r="F37747">
        <v>4.7295180375559803E-9</v>
      </c>
      <c r="G37747">
        <v>39371059</v>
      </c>
      <c r="H37747">
        <v>12152081</v>
      </c>
      <c r="I37747">
        <v>24572607</v>
      </c>
      <c r="J37747">
        <v>4</v>
      </c>
    </row>
    <row r="37748" spans="1:10" x14ac:dyDescent="0.25">
      <c r="A37748" t="s">
        <v>398</v>
      </c>
      <c r="B37748" s="1" t="str">
        <f>HYPERLINK("http://euromobil.de","euromobil.de")</f>
        <v>euromobil.de</v>
      </c>
      <c r="C37748" t="s">
        <v>436</v>
      </c>
      <c r="D37748" t="s">
        <v>815</v>
      </c>
      <c r="F37748">
        <v>2.37140164966209E-7</v>
      </c>
      <c r="G37748">
        <v>157958</v>
      </c>
      <c r="H37748">
        <v>12956718</v>
      </c>
      <c r="I37748">
        <v>13182430</v>
      </c>
      <c r="J37748">
        <v>6</v>
      </c>
    </row>
    <row r="37749" spans="1:10" x14ac:dyDescent="0.25">
      <c r="A37749" t="s">
        <v>398</v>
      </c>
      <c r="B37749" s="1" t="str">
        <f>HYPERLINK("http://fahrzeughaus-konrad.de","fahrzeughaus-konrad.de")</f>
        <v>fahrzeughaus-konrad.de</v>
      </c>
      <c r="C37749" t="s">
        <v>436</v>
      </c>
      <c r="D37749" t="s">
        <v>815</v>
      </c>
      <c r="F37749">
        <v>4.7297902315160803E-9</v>
      </c>
      <c r="G37749">
        <v>39357744</v>
      </c>
      <c r="H37749">
        <v>9458153</v>
      </c>
      <c r="I37749">
        <v>66383982</v>
      </c>
      <c r="J37749">
        <v>3</v>
      </c>
    </row>
    <row r="37750" spans="1:10" x14ac:dyDescent="0.25">
      <c r="A37750" t="s">
        <v>398</v>
      </c>
      <c r="B37750" s="1" t="str">
        <f>HYPERLINK("http://fama-greussen.de","fama-greussen.de")</f>
        <v>fama-greussen.de</v>
      </c>
      <c r="C37750" t="s">
        <v>436</v>
      </c>
      <c r="D37750" t="s">
        <v>815</v>
      </c>
      <c r="J37750">
        <v>3</v>
      </c>
    </row>
    <row r="37751" spans="1:10" x14ac:dyDescent="0.25">
      <c r="A37751" t="s">
        <v>398</v>
      </c>
      <c r="B37751" s="1" t="str">
        <f>HYPERLINK("http://fcingolstadt.de","fcingolstadt.de")</f>
        <v>fcingolstadt.de</v>
      </c>
      <c r="C37751" t="s">
        <v>436</v>
      </c>
      <c r="D37751" t="s">
        <v>815</v>
      </c>
      <c r="E37751">
        <v>468188</v>
      </c>
      <c r="F37751">
        <v>1.22184744091319E-7</v>
      </c>
      <c r="G37751">
        <v>323104</v>
      </c>
      <c r="H37751">
        <v>15208871</v>
      </c>
      <c r="I37751">
        <v>394739</v>
      </c>
      <c r="J37751">
        <v>3</v>
      </c>
    </row>
    <row r="37752" spans="1:10" x14ac:dyDescent="0.25">
      <c r="A37752" t="s">
        <v>398</v>
      </c>
      <c r="B37752" s="1" t="str">
        <f>HYPERLINK("http://feddersen-automobile.de","feddersen-automobile.de")</f>
        <v>feddersen-automobile.de</v>
      </c>
      <c r="C37752" t="s">
        <v>436</v>
      </c>
      <c r="D37752" t="s">
        <v>815</v>
      </c>
      <c r="F37752">
        <v>6.9255098993534198E-9</v>
      </c>
      <c r="G37752">
        <v>12539459</v>
      </c>
      <c r="H37752">
        <v>12734351</v>
      </c>
      <c r="I37752">
        <v>15175487</v>
      </c>
      <c r="J37752">
        <v>3</v>
      </c>
    </row>
    <row r="37753" spans="1:10" x14ac:dyDescent="0.25">
      <c r="A37753" t="s">
        <v>398</v>
      </c>
      <c r="B37753" s="1" t="str">
        <f>HYPERLINK("http://feser-graf.de","feser-graf.de")</f>
        <v>feser-graf.de</v>
      </c>
      <c r="C37753" t="s">
        <v>436</v>
      </c>
      <c r="D37753" t="s">
        <v>815</v>
      </c>
      <c r="E37753">
        <v>806395</v>
      </c>
      <c r="F37753">
        <v>1.3714556871676399E-7</v>
      </c>
      <c r="G37753">
        <v>284215</v>
      </c>
      <c r="H37753">
        <v>13777661</v>
      </c>
      <c r="I37753">
        <v>6533918</v>
      </c>
      <c r="J37753">
        <v>7</v>
      </c>
    </row>
    <row r="37754" spans="1:10" x14ac:dyDescent="0.25">
      <c r="A37754" t="s">
        <v>398</v>
      </c>
      <c r="B37754" s="1" t="str">
        <f>HYPERLINK("http://feser-graf-gruppe.de","feser-graf-gruppe.de")</f>
        <v>feser-graf-gruppe.de</v>
      </c>
      <c r="C37754" t="s">
        <v>436</v>
      </c>
      <c r="D37754" t="s">
        <v>815</v>
      </c>
      <c r="F37754">
        <v>2.4744686173760901E-8</v>
      </c>
      <c r="G37754">
        <v>2090370</v>
      </c>
      <c r="H37754">
        <v>12990179</v>
      </c>
      <c r="I37754">
        <v>12858758</v>
      </c>
      <c r="J37754">
        <v>4</v>
      </c>
    </row>
    <row r="37755" spans="1:10" x14ac:dyDescent="0.25">
      <c r="A37755" t="s">
        <v>398</v>
      </c>
      <c r="B37755" s="1" t="str">
        <f>HYPERLINK("http://fischer-bourtscheidt.de","fischer-bourtscheidt.de")</f>
        <v>fischer-bourtscheidt.de</v>
      </c>
      <c r="C37755" t="s">
        <v>436</v>
      </c>
      <c r="D37755" t="s">
        <v>815</v>
      </c>
      <c r="F37755">
        <v>5.7225563088370197E-9</v>
      </c>
      <c r="G37755">
        <v>18727083</v>
      </c>
      <c r="H37755">
        <v>9654268</v>
      </c>
      <c r="I37755">
        <v>63862571</v>
      </c>
      <c r="J37755">
        <v>4</v>
      </c>
    </row>
    <row r="37756" spans="1:10" x14ac:dyDescent="0.25">
      <c r="A37756" t="s">
        <v>398</v>
      </c>
      <c r="B37756" s="1" t="str">
        <f>HYPERLINK("http://fischer-damaschkeweg.de","fischer-damaschkeweg.de")</f>
        <v>fischer-damaschkeweg.de</v>
      </c>
      <c r="C37756" t="s">
        <v>436</v>
      </c>
      <c r="D37756" t="s">
        <v>815</v>
      </c>
      <c r="F37756">
        <v>4.66680451770172E-9</v>
      </c>
      <c r="G37756">
        <v>43103538</v>
      </c>
      <c r="H37756">
        <v>10509193</v>
      </c>
      <c r="I37756">
        <v>49859477</v>
      </c>
      <c r="J37756">
        <v>3</v>
      </c>
    </row>
    <row r="37757" spans="1:10" x14ac:dyDescent="0.25">
      <c r="A37757" t="s">
        <v>398</v>
      </c>
      <c r="B37757" s="1" t="str">
        <f>HYPERLINK("http://fischer-oldtimer.de","fischer-oldtimer.de")</f>
        <v>fischer-oldtimer.de</v>
      </c>
      <c r="C37757" t="s">
        <v>436</v>
      </c>
      <c r="D37757" t="s">
        <v>815</v>
      </c>
      <c r="F37757">
        <v>6.6244801366839897E-9</v>
      </c>
      <c r="G37757">
        <v>13580755</v>
      </c>
      <c r="H37757">
        <v>12374043</v>
      </c>
      <c r="I37757">
        <v>19334199</v>
      </c>
      <c r="J37757">
        <v>4</v>
      </c>
    </row>
    <row r="37758" spans="1:10" x14ac:dyDescent="0.25">
      <c r="A37758" t="s">
        <v>398</v>
      </c>
      <c r="B37758" s="1" t="str">
        <f>HYPERLINK("http://fisser-scheers.de","fisser-scheers.de")</f>
        <v>fisser-scheers.de</v>
      </c>
      <c r="C37758" t="s">
        <v>436</v>
      </c>
      <c r="D37758" t="s">
        <v>815</v>
      </c>
      <c r="F37758">
        <v>5.2719550581024199E-9</v>
      </c>
      <c r="G37758">
        <v>23923958</v>
      </c>
      <c r="H37758">
        <v>12096213</v>
      </c>
      <c r="I37758">
        <v>26070672</v>
      </c>
      <c r="J37758">
        <v>3</v>
      </c>
    </row>
    <row r="37759" spans="1:10" x14ac:dyDescent="0.25">
      <c r="A37759" t="s">
        <v>398</v>
      </c>
      <c r="B37759" s="1" t="str">
        <f>HYPERLINK("http://franke-auto.de","franke-auto.de")</f>
        <v>franke-auto.de</v>
      </c>
      <c r="C37759" t="s">
        <v>436</v>
      </c>
      <c r="D37759" t="s">
        <v>815</v>
      </c>
      <c r="F37759">
        <v>6.3451679141191199E-9</v>
      </c>
      <c r="G37759">
        <v>14785549</v>
      </c>
      <c r="H37759">
        <v>12135661</v>
      </c>
      <c r="I37759">
        <v>24983464</v>
      </c>
      <c r="J37759">
        <v>3</v>
      </c>
    </row>
    <row r="37760" spans="1:10" x14ac:dyDescent="0.25">
      <c r="A37760" t="s">
        <v>398</v>
      </c>
      <c r="B37760" s="1" t="str">
        <f>HYPERLINK("http://frankfurt-seat.de","frankfurt-seat.de")</f>
        <v>frankfurt-seat.de</v>
      </c>
      <c r="C37760" t="s">
        <v>436</v>
      </c>
      <c r="D37760" t="s">
        <v>815</v>
      </c>
      <c r="F37760">
        <v>6.2229089533169302E-9</v>
      </c>
      <c r="G37760">
        <v>15410706</v>
      </c>
      <c r="H37760">
        <v>11961366</v>
      </c>
      <c r="I37760">
        <v>28927653</v>
      </c>
      <c r="J37760">
        <v>3</v>
      </c>
    </row>
    <row r="37761" spans="1:10" x14ac:dyDescent="0.25">
      <c r="A37761" t="s">
        <v>398</v>
      </c>
      <c r="B37761" s="1" t="str">
        <f>HYPERLINK("http://fuetz.de","fuetz.de")</f>
        <v>fuetz.de</v>
      </c>
      <c r="C37761" t="s">
        <v>436</v>
      </c>
      <c r="D37761" t="s">
        <v>815</v>
      </c>
      <c r="F37761">
        <v>8.0125309228742204E-9</v>
      </c>
      <c r="G37761">
        <v>9897893</v>
      </c>
      <c r="H37761">
        <v>12808282</v>
      </c>
      <c r="I37761">
        <v>14597594</v>
      </c>
      <c r="J37761">
        <v>4</v>
      </c>
    </row>
    <row r="37762" spans="1:10" x14ac:dyDescent="0.25">
      <c r="A37762" t="s">
        <v>398</v>
      </c>
      <c r="B37762" s="1" t="str">
        <f>HYPERLINK("http://gelderundsorg.de","gelderundsorg.de")</f>
        <v>gelderundsorg.de</v>
      </c>
      <c r="C37762" t="s">
        <v>436</v>
      </c>
      <c r="D37762" t="s">
        <v>815</v>
      </c>
      <c r="F37762">
        <v>1.46597870736302E-8</v>
      </c>
      <c r="G37762">
        <v>3954896</v>
      </c>
      <c r="H37762">
        <v>12471684</v>
      </c>
      <c r="I37762">
        <v>17682781</v>
      </c>
      <c r="J37762">
        <v>4</v>
      </c>
    </row>
    <row r="37763" spans="1:10" x14ac:dyDescent="0.25">
      <c r="A37763" t="s">
        <v>398</v>
      </c>
      <c r="B37763" s="1" t="str">
        <f>HYPERLINK("http://glinicke.de","glinicke.de")</f>
        <v>glinicke.de</v>
      </c>
      <c r="C37763" t="s">
        <v>436</v>
      </c>
      <c r="D37763" t="s">
        <v>815</v>
      </c>
      <c r="E37763">
        <v>964489</v>
      </c>
      <c r="F37763">
        <v>1.1813942696434299E-7</v>
      </c>
      <c r="G37763">
        <v>335415</v>
      </c>
      <c r="H37763">
        <v>13216122</v>
      </c>
      <c r="I37763">
        <v>11360187</v>
      </c>
      <c r="J37763">
        <v>3</v>
      </c>
    </row>
    <row r="37764" spans="1:10" x14ac:dyDescent="0.25">
      <c r="A37764" t="s">
        <v>398</v>
      </c>
      <c r="B37764" s="1" t="str">
        <f>HYPERLINK("http://goethling-kaufmann.de","goethling-kaufmann.de")</f>
        <v>goethling-kaufmann.de</v>
      </c>
      <c r="C37764" t="s">
        <v>436</v>
      </c>
      <c r="D37764" t="s">
        <v>815</v>
      </c>
      <c r="F37764">
        <v>1.3117673459336E-8</v>
      </c>
      <c r="G37764">
        <v>4575707</v>
      </c>
      <c r="H37764">
        <v>12261445</v>
      </c>
      <c r="I37764">
        <v>21731312</v>
      </c>
      <c r="J37764">
        <v>3</v>
      </c>
    </row>
    <row r="37765" spans="1:10" x14ac:dyDescent="0.25">
      <c r="A37765" t="s">
        <v>398</v>
      </c>
      <c r="B37765" s="1" t="str">
        <f>HYPERLINK("http://gottfried-schultz.de","gottfried-schultz.de")</f>
        <v>gottfried-schultz.de</v>
      </c>
      <c r="C37765" t="s">
        <v>436</v>
      </c>
      <c r="D37765" t="s">
        <v>815</v>
      </c>
      <c r="F37765">
        <v>7.7625492227011996E-8</v>
      </c>
      <c r="G37765">
        <v>539128</v>
      </c>
      <c r="H37765">
        <v>13088298</v>
      </c>
      <c r="I37765">
        <v>12151821</v>
      </c>
      <c r="J37765">
        <v>4</v>
      </c>
    </row>
    <row r="37766" spans="1:10" x14ac:dyDescent="0.25">
      <c r="A37766" t="s">
        <v>398</v>
      </c>
      <c r="B37766" s="1" t="str">
        <f>HYPERLINK("http://gotthard-fredenbeck.de","gotthard-fredenbeck.de")</f>
        <v>gotthard-fredenbeck.de</v>
      </c>
      <c r="C37766" t="s">
        <v>436</v>
      </c>
      <c r="D37766" t="s">
        <v>815</v>
      </c>
      <c r="F37766">
        <v>5.0012015169022001E-9</v>
      </c>
      <c r="G37766">
        <v>29383231</v>
      </c>
      <c r="H37766">
        <v>10698776</v>
      </c>
      <c r="I37766">
        <v>42338700</v>
      </c>
      <c r="J37766">
        <v>3</v>
      </c>
    </row>
    <row r="37767" spans="1:10" x14ac:dyDescent="0.25">
      <c r="A37767" t="s">
        <v>398</v>
      </c>
      <c r="B37767" s="1" t="str">
        <f>HYPERLINK("http://grafhardenberg.de","grafhardenberg.de")</f>
        <v>grafhardenberg.de</v>
      </c>
      <c r="C37767" t="s">
        <v>436</v>
      </c>
      <c r="D37767" t="s">
        <v>815</v>
      </c>
      <c r="F37767">
        <v>5.2369520219905897E-8</v>
      </c>
      <c r="G37767">
        <v>871092</v>
      </c>
      <c r="H37767">
        <v>12505339</v>
      </c>
      <c r="I37767">
        <v>17292212</v>
      </c>
      <c r="J37767">
        <v>3</v>
      </c>
    </row>
    <row r="37768" spans="1:10" x14ac:dyDescent="0.25">
      <c r="A37768" t="s">
        <v>398</v>
      </c>
      <c r="B37768" s="1" t="str">
        <f>HYPERLINK("http://gs-kray.de","gs-kray.de")</f>
        <v>gs-kray.de</v>
      </c>
      <c r="C37768" t="s">
        <v>436</v>
      </c>
      <c r="D37768" t="s">
        <v>815</v>
      </c>
      <c r="F37768">
        <v>6.1484166948462201E-9</v>
      </c>
      <c r="G37768">
        <v>15812172</v>
      </c>
      <c r="H37768">
        <v>10216925</v>
      </c>
      <c r="I37768">
        <v>58947439</v>
      </c>
      <c r="J37768">
        <v>3</v>
      </c>
    </row>
    <row r="37769" spans="1:10" x14ac:dyDescent="0.25">
      <c r="A37769" t="s">
        <v>398</v>
      </c>
      <c r="B37769" s="1" t="str">
        <f>HYPERLINK("http://h-emig.de","h-emig.de")</f>
        <v>h-emig.de</v>
      </c>
      <c r="C37769" t="s">
        <v>436</v>
      </c>
      <c r="D37769" t="s">
        <v>815</v>
      </c>
      <c r="F37769">
        <v>4.6279793319424299E-9</v>
      </c>
      <c r="G37769">
        <v>45571839</v>
      </c>
      <c r="H37769">
        <v>12071372</v>
      </c>
      <c r="I37769">
        <v>26763879</v>
      </c>
      <c r="J37769">
        <v>5</v>
      </c>
    </row>
    <row r="37770" spans="1:10" x14ac:dyDescent="0.25">
      <c r="A37770" t="s">
        <v>398</v>
      </c>
      <c r="B37770" s="1" t="str">
        <f>HYPERLINK("http://hagelauer.de","hagelauer.de")</f>
        <v>hagelauer.de</v>
      </c>
      <c r="C37770" t="s">
        <v>436</v>
      </c>
      <c r="D37770" t="s">
        <v>815</v>
      </c>
      <c r="F37770">
        <v>1.19970122606056E-8</v>
      </c>
      <c r="G37770">
        <v>5178660</v>
      </c>
      <c r="H37770">
        <v>12585303</v>
      </c>
      <c r="I37770">
        <v>16454327</v>
      </c>
      <c r="J37770">
        <v>3</v>
      </c>
    </row>
    <row r="37771" spans="1:10" x14ac:dyDescent="0.25">
      <c r="A37771" t="s">
        <v>398</v>
      </c>
      <c r="B37771" s="1" t="str">
        <f>HYPERLINK("http://hahn-automobile.de","hahn-automobile.de")</f>
        <v>hahn-automobile.de</v>
      </c>
      <c r="C37771" t="s">
        <v>436</v>
      </c>
      <c r="D37771" t="s">
        <v>815</v>
      </c>
      <c r="F37771">
        <v>6.8943592441791796E-9</v>
      </c>
      <c r="G37771">
        <v>12652209</v>
      </c>
      <c r="H37771">
        <v>12117612</v>
      </c>
      <c r="I37771">
        <v>25470001</v>
      </c>
      <c r="J37771">
        <v>6</v>
      </c>
    </row>
    <row r="37772" spans="1:10" x14ac:dyDescent="0.25">
      <c r="A37772" t="s">
        <v>398</v>
      </c>
      <c r="B37772" s="1" t="str">
        <f>HYPERLINK("http://hahn-gruppe.de","hahn-gruppe.de")</f>
        <v>hahn-gruppe.de</v>
      </c>
      <c r="C37772" t="s">
        <v>436</v>
      </c>
      <c r="D37772" t="s">
        <v>815</v>
      </c>
      <c r="F37772">
        <v>6.0604991982848499E-8</v>
      </c>
      <c r="G37772">
        <v>727430</v>
      </c>
      <c r="H37772">
        <v>13085168</v>
      </c>
      <c r="I37772">
        <v>12162861</v>
      </c>
      <c r="J37772">
        <v>3</v>
      </c>
    </row>
    <row r="37773" spans="1:10" x14ac:dyDescent="0.25">
      <c r="A37773" t="s">
        <v>398</v>
      </c>
      <c r="B37773" s="1" t="str">
        <f>HYPERLINK("http://hanscarstens.de","hanscarstens.de")</f>
        <v>hanscarstens.de</v>
      </c>
      <c r="C37773" t="s">
        <v>436</v>
      </c>
      <c r="D37773" t="s">
        <v>815</v>
      </c>
      <c r="F37773">
        <v>1.44634930549852E-8</v>
      </c>
      <c r="G37773">
        <v>4035365</v>
      </c>
      <c r="H37773">
        <v>12063092</v>
      </c>
      <c r="I37773">
        <v>26938151</v>
      </c>
      <c r="J37773">
        <v>3</v>
      </c>
    </row>
    <row r="37774" spans="1:10" x14ac:dyDescent="0.25">
      <c r="A37774" t="s">
        <v>398</v>
      </c>
      <c r="B37774" s="1" t="str">
        <f>HYPERLINK("http://hantusch-skoda.de","hantusch-skoda.de")</f>
        <v>hantusch-skoda.de</v>
      </c>
      <c r="C37774" t="s">
        <v>436</v>
      </c>
      <c r="D37774" t="s">
        <v>815</v>
      </c>
      <c r="F37774">
        <v>5.0991770865253296E-9</v>
      </c>
      <c r="G37774">
        <v>27094423</v>
      </c>
      <c r="H37774">
        <v>10668352</v>
      </c>
      <c r="I37774">
        <v>43022455</v>
      </c>
      <c r="J37774">
        <v>4</v>
      </c>
    </row>
    <row r="37775" spans="1:10" x14ac:dyDescent="0.25">
      <c r="A37775" t="s">
        <v>398</v>
      </c>
      <c r="B37775" s="1" t="str">
        <f>HYPERLINK("http://held-stroehle.de","held-stroehle.de")</f>
        <v>held-stroehle.de</v>
      </c>
      <c r="C37775" t="s">
        <v>436</v>
      </c>
      <c r="D37775" t="s">
        <v>815</v>
      </c>
      <c r="F37775">
        <v>1.40533838554802E-8</v>
      </c>
      <c r="G37775">
        <v>4182799</v>
      </c>
      <c r="H37775">
        <v>12193688</v>
      </c>
      <c r="I37775">
        <v>23492461</v>
      </c>
      <c r="J37775">
        <v>3</v>
      </c>
    </row>
    <row r="37776" spans="1:10" x14ac:dyDescent="0.25">
      <c r="A37776" t="s">
        <v>398</v>
      </c>
      <c r="B37776" s="1" t="str">
        <f>HYPERLINK("http://hercher-servicefamilie.de","hercher-servicefamilie.de")</f>
        <v>hercher-servicefamilie.de</v>
      </c>
      <c r="C37776" t="s">
        <v>436</v>
      </c>
      <c r="D37776" t="s">
        <v>815</v>
      </c>
      <c r="F37776">
        <v>1.01669471023746E-8</v>
      </c>
      <c r="G37776">
        <v>6579424</v>
      </c>
      <c r="H37776">
        <v>12098795</v>
      </c>
      <c r="I37776">
        <v>26000428</v>
      </c>
      <c r="J37776">
        <v>3</v>
      </c>
    </row>
    <row r="37777" spans="1:10" x14ac:dyDescent="0.25">
      <c r="A37777" t="s">
        <v>398</v>
      </c>
      <c r="B37777" s="1" t="str">
        <f>HYPERLINK("http://heusel-seat.de","heusel-seat.de")</f>
        <v>heusel-seat.de</v>
      </c>
      <c r="C37777" t="s">
        <v>436</v>
      </c>
      <c r="D37777" t="s">
        <v>815</v>
      </c>
      <c r="J37777">
        <v>4</v>
      </c>
    </row>
    <row r="37778" spans="1:10" x14ac:dyDescent="0.25">
      <c r="A37778" t="s">
        <v>398</v>
      </c>
      <c r="B37778" s="1" t="str">
        <f>HYPERLINK("http://hille-walther.de","hille-walther.de")</f>
        <v>hille-walther.de</v>
      </c>
      <c r="C37778" t="s">
        <v>436</v>
      </c>
      <c r="D37778" t="s">
        <v>815</v>
      </c>
      <c r="F37778">
        <v>4.8221551234913602E-9</v>
      </c>
      <c r="G37778">
        <v>35141072</v>
      </c>
      <c r="H37778">
        <v>8733867</v>
      </c>
      <c r="I37778">
        <v>69727392</v>
      </c>
      <c r="J37778">
        <v>3</v>
      </c>
    </row>
    <row r="37779" spans="1:10" x14ac:dyDescent="0.25">
      <c r="A37779" t="s">
        <v>398</v>
      </c>
      <c r="B37779" s="1" t="str">
        <f>HYPERLINK("http://hoppe-muenchen.de","hoppe-muenchen.de")</f>
        <v>hoppe-muenchen.de</v>
      </c>
      <c r="C37779" t="s">
        <v>436</v>
      </c>
      <c r="D37779" t="s">
        <v>815</v>
      </c>
      <c r="F37779">
        <v>7.9919354806002595E-9</v>
      </c>
      <c r="G37779">
        <v>9935465</v>
      </c>
      <c r="H37779">
        <v>12229152</v>
      </c>
      <c r="I37779">
        <v>22527734</v>
      </c>
      <c r="J37779">
        <v>3</v>
      </c>
    </row>
    <row r="37780" spans="1:10" x14ac:dyDescent="0.25">
      <c r="A37780" t="s">
        <v>398</v>
      </c>
      <c r="B37780" s="1" t="str">
        <f>HYPERLINK("http://hoppe-oppotsch.de","hoppe-oppotsch.de")</f>
        <v>hoppe-oppotsch.de</v>
      </c>
      <c r="C37780" t="s">
        <v>436</v>
      </c>
      <c r="D37780" t="s">
        <v>815</v>
      </c>
      <c r="F37780">
        <v>7.4175589265521997E-9</v>
      </c>
      <c r="G37780">
        <v>11203674</v>
      </c>
      <c r="H37780">
        <v>13106456</v>
      </c>
      <c r="I37780">
        <v>12059340</v>
      </c>
      <c r="J37780">
        <v>3</v>
      </c>
    </row>
    <row r="37781" spans="1:10" x14ac:dyDescent="0.25">
      <c r="A37781" t="s">
        <v>398</v>
      </c>
      <c r="B37781" s="1" t="str">
        <f>HYPERLINK("http://hoppmann-autowelt.de","hoppmann-autowelt.de")</f>
        <v>hoppmann-autowelt.de</v>
      </c>
      <c r="C37781" t="s">
        <v>436</v>
      </c>
      <c r="D37781" t="s">
        <v>815</v>
      </c>
      <c r="F37781">
        <v>1.8904236198528999E-8</v>
      </c>
      <c r="G37781">
        <v>2852720</v>
      </c>
      <c r="H37781">
        <v>12337474</v>
      </c>
      <c r="I37781">
        <v>20060350</v>
      </c>
      <c r="J37781">
        <v>3</v>
      </c>
    </row>
    <row r="37782" spans="1:10" x14ac:dyDescent="0.25">
      <c r="A37782" t="s">
        <v>398</v>
      </c>
      <c r="B37782" s="1" t="str">
        <f>HYPERLINK("http://htec-systems.de","htec-systems.de")</f>
        <v>htec-systems.de</v>
      </c>
      <c r="C37782" t="s">
        <v>436</v>
      </c>
      <c r="D37782" t="s">
        <v>815</v>
      </c>
      <c r="F37782">
        <v>5.7652036861273798E-9</v>
      </c>
      <c r="G37782">
        <v>18365345</v>
      </c>
      <c r="H37782">
        <v>10768323</v>
      </c>
      <c r="I37782">
        <v>39311335</v>
      </c>
      <c r="J37782">
        <v>3</v>
      </c>
    </row>
    <row r="37783" spans="1:10" x14ac:dyDescent="0.25">
      <c r="A37783" t="s">
        <v>398</v>
      </c>
      <c r="B37783" s="1" t="str">
        <f>HYPERLINK("http://huelpert.de","huelpert.de")</f>
        <v>huelpert.de</v>
      </c>
      <c r="C37783" t="s">
        <v>436</v>
      </c>
      <c r="D37783" t="s">
        <v>815</v>
      </c>
      <c r="F37783">
        <v>2.5486564135474001E-8</v>
      </c>
      <c r="G37783">
        <v>2023842</v>
      </c>
      <c r="H37783">
        <v>12510764</v>
      </c>
      <c r="I37783">
        <v>17238030</v>
      </c>
      <c r="J37783">
        <v>4</v>
      </c>
    </row>
    <row r="37784" spans="1:10" x14ac:dyDescent="0.25">
      <c r="A37784" t="s">
        <v>398</v>
      </c>
      <c r="B37784" s="1" t="str">
        <f>HYPERLINK("http://huster.de","huster.de")</f>
        <v>huster.de</v>
      </c>
      <c r="C37784" t="s">
        <v>436</v>
      </c>
      <c r="D37784" t="s">
        <v>815</v>
      </c>
      <c r="F37784">
        <v>7.7333147663700705E-9</v>
      </c>
      <c r="G37784">
        <v>10500763</v>
      </c>
      <c r="H37784">
        <v>12244721</v>
      </c>
      <c r="I37784">
        <v>22133409</v>
      </c>
      <c r="J37784">
        <v>3</v>
      </c>
    </row>
    <row r="37785" spans="1:10" x14ac:dyDescent="0.25">
      <c r="A37785" t="s">
        <v>398</v>
      </c>
      <c r="B37785" s="1" t="str">
        <f>HYPERLINK("http://iav.de","iav.de")</f>
        <v>iav.de</v>
      </c>
      <c r="C37785" t="s">
        <v>436</v>
      </c>
      <c r="D37785" t="s">
        <v>815</v>
      </c>
      <c r="F37785">
        <v>2.19054714567407E-8</v>
      </c>
      <c r="G37785">
        <v>2397427</v>
      </c>
      <c r="H37785">
        <v>13961638</v>
      </c>
      <c r="I37785">
        <v>4105998</v>
      </c>
      <c r="J37785">
        <v>4</v>
      </c>
    </row>
    <row r="37786" spans="1:10" x14ac:dyDescent="0.25">
      <c r="A37786" t="s">
        <v>398</v>
      </c>
      <c r="B37786" s="1" t="str">
        <f>HYPERLINK("http://igm.de","igm.de")</f>
        <v>igm.de</v>
      </c>
      <c r="C37786" t="s">
        <v>436</v>
      </c>
      <c r="D37786" t="s">
        <v>815</v>
      </c>
      <c r="E37786">
        <v>547499</v>
      </c>
      <c r="F37786">
        <v>1.07349470276727E-7</v>
      </c>
      <c r="G37786">
        <v>372930</v>
      </c>
      <c r="H37786">
        <v>14785299</v>
      </c>
      <c r="I37786">
        <v>552720</v>
      </c>
      <c r="J37786">
        <v>3</v>
      </c>
    </row>
    <row r="37787" spans="1:10" x14ac:dyDescent="0.25">
      <c r="A37787" t="s">
        <v>398</v>
      </c>
      <c r="B37787" s="1" t="str">
        <f>HYPERLINK("http://igm-bs.de","igm-bs.de")</f>
        <v>igm-bs.de</v>
      </c>
      <c r="C37787" t="s">
        <v>436</v>
      </c>
      <c r="D37787" t="s">
        <v>815</v>
      </c>
      <c r="F37787">
        <v>1.5667435242784101E-8</v>
      </c>
      <c r="G37787">
        <v>3636453</v>
      </c>
      <c r="H37787">
        <v>12422175</v>
      </c>
      <c r="I37787">
        <v>18412353</v>
      </c>
      <c r="J37787">
        <v>7</v>
      </c>
    </row>
    <row r="37788" spans="1:10" x14ac:dyDescent="0.25">
      <c r="A37788" t="s">
        <v>398</v>
      </c>
      <c r="B37788" s="1" t="str">
        <f>HYPERLINK("http://igm-coburg.de","igm-coburg.de")</f>
        <v>igm-coburg.de</v>
      </c>
      <c r="C37788" t="s">
        <v>436</v>
      </c>
      <c r="D37788" t="s">
        <v>815</v>
      </c>
      <c r="F37788">
        <v>4.5538124046803901E-9</v>
      </c>
      <c r="G37788">
        <v>51789106</v>
      </c>
      <c r="H37788">
        <v>9004105</v>
      </c>
      <c r="I37788">
        <v>68866178</v>
      </c>
      <c r="J37788">
        <v>7</v>
      </c>
    </row>
    <row r="37789" spans="1:10" x14ac:dyDescent="0.25">
      <c r="A37789" t="s">
        <v>398</v>
      </c>
      <c r="B37789" s="1" t="str">
        <f>HYPERLINK("http://igm-oof.de","igm-oof.de")</f>
        <v>igm-oof.de</v>
      </c>
      <c r="C37789" t="s">
        <v>436</v>
      </c>
      <c r="D37789" t="s">
        <v>815</v>
      </c>
      <c r="F37789">
        <v>5.4051289439445102E-9</v>
      </c>
      <c r="G37789">
        <v>22048416</v>
      </c>
      <c r="H37789">
        <v>10724182</v>
      </c>
      <c r="I37789">
        <v>41425406</v>
      </c>
      <c r="J37789">
        <v>7</v>
      </c>
    </row>
    <row r="37790" spans="1:10" x14ac:dyDescent="0.25">
      <c r="A37790" t="s">
        <v>398</v>
      </c>
      <c r="B37790" s="1" t="str">
        <f>HYPERLINK("http://igm-zwickau.de","igm-zwickau.de")</f>
        <v>igm-zwickau.de</v>
      </c>
      <c r="C37790" t="s">
        <v>436</v>
      </c>
      <c r="D37790" t="s">
        <v>815</v>
      </c>
      <c r="F37790">
        <v>1.67627599673256E-8</v>
      </c>
      <c r="G37790">
        <v>3342570</v>
      </c>
      <c r="H37790">
        <v>12274870</v>
      </c>
      <c r="I37790">
        <v>21417703</v>
      </c>
      <c r="J37790">
        <v>7</v>
      </c>
    </row>
    <row r="37791" spans="1:10" x14ac:dyDescent="0.25">
      <c r="A37791" t="s">
        <v>398</v>
      </c>
      <c r="B37791" s="1" t="str">
        <f>HYPERLINK("http://igmetall.de","igmetall.de")</f>
        <v>igmetall.de</v>
      </c>
      <c r="C37791" t="s">
        <v>436</v>
      </c>
      <c r="D37791" t="s">
        <v>815</v>
      </c>
      <c r="E37791">
        <v>103317</v>
      </c>
      <c r="F37791">
        <v>1.0275972042226701E-6</v>
      </c>
      <c r="G37791">
        <v>37270</v>
      </c>
      <c r="H37791">
        <v>15388631</v>
      </c>
      <c r="I37791">
        <v>380744</v>
      </c>
      <c r="J37791">
        <v>5</v>
      </c>
    </row>
    <row r="37792" spans="1:10" x14ac:dyDescent="0.25">
      <c r="A37792" t="s">
        <v>398</v>
      </c>
      <c r="B37792" s="1" t="str">
        <f>HYPERLINK("http://igmetall-alfeld-hameln-hildesheim.de","igmetall-alfeld-hameln-hildesheim.de")</f>
        <v>igmetall-alfeld-hameln-hildesheim.de</v>
      </c>
      <c r="C37792" t="s">
        <v>436</v>
      </c>
      <c r="D37792" t="s">
        <v>815</v>
      </c>
      <c r="F37792">
        <v>7.4776728632226508E-9</v>
      </c>
      <c r="G37792">
        <v>11063956</v>
      </c>
      <c r="H37792">
        <v>12257137</v>
      </c>
      <c r="I37792">
        <v>21844324</v>
      </c>
      <c r="J37792">
        <v>7</v>
      </c>
    </row>
    <row r="37793" spans="1:10" x14ac:dyDescent="0.25">
      <c r="A37793" t="s">
        <v>398</v>
      </c>
      <c r="B37793" s="1" t="str">
        <f>HYPERLINK("http://igmetall-arnsberg.de","igmetall-arnsberg.de")</f>
        <v>igmetall-arnsberg.de</v>
      </c>
      <c r="C37793" t="s">
        <v>436</v>
      </c>
      <c r="D37793" t="s">
        <v>815</v>
      </c>
      <c r="F37793">
        <v>6.48833804852767E-9</v>
      </c>
      <c r="G37793">
        <v>14126888</v>
      </c>
      <c r="H37793">
        <v>12225380</v>
      </c>
      <c r="I37793">
        <v>22644647</v>
      </c>
      <c r="J37793">
        <v>7</v>
      </c>
    </row>
    <row r="37794" spans="1:10" x14ac:dyDescent="0.25">
      <c r="A37794" t="s">
        <v>398</v>
      </c>
      <c r="B37794" s="1" t="str">
        <f>HYPERLINK("http://igmetall-augsburg.de","igmetall-augsburg.de")</f>
        <v>igmetall-augsburg.de</v>
      </c>
      <c r="C37794" t="s">
        <v>436</v>
      </c>
      <c r="D37794" t="s">
        <v>815</v>
      </c>
      <c r="F37794">
        <v>7.7600404565569203E-9</v>
      </c>
      <c r="G37794">
        <v>10414600</v>
      </c>
      <c r="H37794">
        <v>14072169</v>
      </c>
      <c r="I37794">
        <v>3147037</v>
      </c>
      <c r="J37794">
        <v>7</v>
      </c>
    </row>
    <row r="37795" spans="1:10" x14ac:dyDescent="0.25">
      <c r="A37795" t="s">
        <v>398</v>
      </c>
      <c r="B37795" s="1" t="str">
        <f>HYPERLINK("http://igmetall-bad-kreuznach.de","igmetall-bad-kreuznach.de")</f>
        <v>igmetall-bad-kreuznach.de</v>
      </c>
      <c r="C37795" t="s">
        <v>436</v>
      </c>
      <c r="D37795" t="s">
        <v>815</v>
      </c>
      <c r="F37795">
        <v>1.10743605776883E-8</v>
      </c>
      <c r="G37795">
        <v>5804392</v>
      </c>
      <c r="H37795">
        <v>12284075</v>
      </c>
      <c r="I37795">
        <v>21228614</v>
      </c>
      <c r="J37795">
        <v>7</v>
      </c>
    </row>
    <row r="37796" spans="1:10" x14ac:dyDescent="0.25">
      <c r="A37796" t="s">
        <v>398</v>
      </c>
      <c r="B37796" s="1" t="str">
        <f>HYPERLINK("http://igmetall-bbs.de","igmetall-bbs.de")</f>
        <v>igmetall-bbs.de</v>
      </c>
      <c r="C37796" t="s">
        <v>436</v>
      </c>
      <c r="D37796" t="s">
        <v>815</v>
      </c>
      <c r="F37796">
        <v>3.7981104225490402E-8</v>
      </c>
      <c r="G37796">
        <v>1362563</v>
      </c>
      <c r="H37796">
        <v>14102089</v>
      </c>
      <c r="I37796">
        <v>2699760</v>
      </c>
      <c r="J37796">
        <v>7</v>
      </c>
    </row>
    <row r="37797" spans="1:10" x14ac:dyDescent="0.25">
      <c r="A37797" t="s">
        <v>398</v>
      </c>
      <c r="B37797" s="1" t="str">
        <f>HYPERLINK("http://igmetall-berlin.de","igmetall-berlin.de")</f>
        <v>igmetall-berlin.de</v>
      </c>
      <c r="C37797" t="s">
        <v>436</v>
      </c>
      <c r="D37797" t="s">
        <v>815</v>
      </c>
      <c r="F37797">
        <v>4.3589594257967601E-8</v>
      </c>
      <c r="G37797">
        <v>1096091</v>
      </c>
      <c r="H37797">
        <v>14593690</v>
      </c>
      <c r="I37797">
        <v>692181</v>
      </c>
      <c r="J37797">
        <v>7</v>
      </c>
    </row>
    <row r="37798" spans="1:10" x14ac:dyDescent="0.25">
      <c r="A37798" t="s">
        <v>398</v>
      </c>
      <c r="B37798" s="1" t="str">
        <f>HYPERLINK("http://igmetall-betzdorf.de","igmetall-betzdorf.de")</f>
        <v>igmetall-betzdorf.de</v>
      </c>
      <c r="C37798" t="s">
        <v>436</v>
      </c>
      <c r="D37798" t="s">
        <v>815</v>
      </c>
      <c r="F37798">
        <v>1.16210021296214E-8</v>
      </c>
      <c r="G37798">
        <v>5418904</v>
      </c>
      <c r="H37798">
        <v>11455264</v>
      </c>
      <c r="I37798">
        <v>30107645</v>
      </c>
      <c r="J37798">
        <v>7</v>
      </c>
    </row>
    <row r="37799" spans="1:10" x14ac:dyDescent="0.25">
      <c r="A37799" t="s">
        <v>398</v>
      </c>
      <c r="B37799" s="1" t="str">
        <f>HYPERLINK("http://igmetall-bezirk-mitte.de","igmetall-bezirk-mitte.de")</f>
        <v>igmetall-bezirk-mitte.de</v>
      </c>
      <c r="C37799" t="s">
        <v>436</v>
      </c>
      <c r="D37799" t="s">
        <v>815</v>
      </c>
      <c r="F37799">
        <v>5.0490307987346601E-8</v>
      </c>
      <c r="G37799">
        <v>909898</v>
      </c>
      <c r="H37799">
        <v>14283941</v>
      </c>
      <c r="I37799">
        <v>1374193</v>
      </c>
      <c r="J37799">
        <v>7</v>
      </c>
    </row>
    <row r="37800" spans="1:10" x14ac:dyDescent="0.25">
      <c r="A37800" t="s">
        <v>398</v>
      </c>
      <c r="B37800" s="1" t="str">
        <f>HYPERLINK("http://igmetall-bocholt.de","igmetall-bocholt.de")</f>
        <v>igmetall-bocholt.de</v>
      </c>
      <c r="C37800" t="s">
        <v>436</v>
      </c>
      <c r="D37800" t="s">
        <v>815</v>
      </c>
      <c r="F37800">
        <v>5.72963549113161E-9</v>
      </c>
      <c r="G37800">
        <v>18667909</v>
      </c>
      <c r="H37800">
        <v>11178709</v>
      </c>
      <c r="I37800">
        <v>31446832</v>
      </c>
      <c r="J37800">
        <v>7</v>
      </c>
    </row>
    <row r="37801" spans="1:10" x14ac:dyDescent="0.25">
      <c r="A37801" t="s">
        <v>398</v>
      </c>
      <c r="B37801" s="1" t="str">
        <f>HYPERLINK("http://igmetall-bonn-rhein-sieg.de","igmetall-bonn-rhein-sieg.de")</f>
        <v>igmetall-bonn-rhein-sieg.de</v>
      </c>
      <c r="C37801" t="s">
        <v>436</v>
      </c>
      <c r="D37801" t="s">
        <v>815</v>
      </c>
      <c r="F37801">
        <v>6.6753950801708599E-9</v>
      </c>
      <c r="G37801">
        <v>13392115</v>
      </c>
      <c r="H37801">
        <v>12228298</v>
      </c>
      <c r="I37801">
        <v>22549393</v>
      </c>
      <c r="J37801">
        <v>7</v>
      </c>
    </row>
    <row r="37802" spans="1:10" x14ac:dyDescent="0.25">
      <c r="A37802" t="s">
        <v>398</v>
      </c>
      <c r="B37802" s="1" t="str">
        <f>HYPERLINK("http://igmetall-celle-lueneburg.de","igmetall-celle-lueneburg.de")</f>
        <v>igmetall-celle-lueneburg.de</v>
      </c>
      <c r="C37802" t="s">
        <v>436</v>
      </c>
      <c r="D37802" t="s">
        <v>815</v>
      </c>
      <c r="F37802">
        <v>7.2451842515258501E-9</v>
      </c>
      <c r="G37802">
        <v>11617871</v>
      </c>
      <c r="H37802">
        <v>11455256</v>
      </c>
      <c r="I37802">
        <v>30107654</v>
      </c>
      <c r="J37802">
        <v>7</v>
      </c>
    </row>
    <row r="37803" spans="1:10" x14ac:dyDescent="0.25">
      <c r="A37803" t="s">
        <v>398</v>
      </c>
      <c r="B37803" s="1" t="str">
        <f>HYPERLINK("http://igmetall-chemnitz.de","igmetall-chemnitz.de")</f>
        <v>igmetall-chemnitz.de</v>
      </c>
      <c r="C37803" t="s">
        <v>436</v>
      </c>
      <c r="D37803" t="s">
        <v>815</v>
      </c>
      <c r="F37803">
        <v>7.5368943591582296E-9</v>
      </c>
      <c r="G37803">
        <v>10932969</v>
      </c>
      <c r="H37803">
        <v>12318008</v>
      </c>
      <c r="I37803">
        <v>20454328</v>
      </c>
      <c r="J37803">
        <v>7</v>
      </c>
    </row>
    <row r="37804" spans="1:10" x14ac:dyDescent="0.25">
      <c r="A37804" t="s">
        <v>398</v>
      </c>
      <c r="B37804" s="1" t="str">
        <f>HYPERLINK("http://igmetall-darmstadt.de","igmetall-darmstadt.de")</f>
        <v>igmetall-darmstadt.de</v>
      </c>
      <c r="C37804" t="s">
        <v>436</v>
      </c>
      <c r="D37804" t="s">
        <v>815</v>
      </c>
      <c r="F37804">
        <v>1.1122411603996699E-8</v>
      </c>
      <c r="G37804">
        <v>5769075</v>
      </c>
      <c r="H37804">
        <v>12512101</v>
      </c>
      <c r="I37804">
        <v>17225417</v>
      </c>
      <c r="J37804">
        <v>7</v>
      </c>
    </row>
    <row r="37805" spans="1:10" x14ac:dyDescent="0.25">
      <c r="A37805" t="s">
        <v>398</v>
      </c>
      <c r="B37805" s="1" t="str">
        <f>HYPERLINK("http://igmetall-dresden-riesa.de","igmetall-dresden-riesa.de")</f>
        <v>igmetall-dresden-riesa.de</v>
      </c>
      <c r="C37805" t="s">
        <v>436</v>
      </c>
      <c r="D37805" t="s">
        <v>815</v>
      </c>
      <c r="F37805">
        <v>7.5768446501547207E-9</v>
      </c>
      <c r="G37805">
        <v>10843937</v>
      </c>
      <c r="H37805">
        <v>12320775</v>
      </c>
      <c r="I37805">
        <v>20406976</v>
      </c>
      <c r="J37805">
        <v>7</v>
      </c>
    </row>
    <row r="37806" spans="1:10" x14ac:dyDescent="0.25">
      <c r="A37806" t="s">
        <v>398</v>
      </c>
      <c r="B37806" s="1" t="str">
        <f>HYPERLINK("http://igmetall-dueren-stolberg.de","igmetall-dueren-stolberg.de")</f>
        <v>igmetall-dueren-stolberg.de</v>
      </c>
      <c r="C37806" t="s">
        <v>436</v>
      </c>
      <c r="D37806" t="s">
        <v>815</v>
      </c>
      <c r="F37806">
        <v>6.3793015109816396E-9</v>
      </c>
      <c r="G37806">
        <v>14620359</v>
      </c>
      <c r="H37806">
        <v>11178711</v>
      </c>
      <c r="I37806">
        <v>31446818</v>
      </c>
      <c r="J37806">
        <v>7</v>
      </c>
    </row>
    <row r="37807" spans="1:10" x14ac:dyDescent="0.25">
      <c r="A37807" t="s">
        <v>398</v>
      </c>
      <c r="B37807" s="1" t="str">
        <f>HYPERLINK("http://igmetall-duisburg.de","igmetall-duisburg.de")</f>
        <v>igmetall-duisburg.de</v>
      </c>
      <c r="C37807" t="s">
        <v>436</v>
      </c>
      <c r="D37807" t="s">
        <v>815</v>
      </c>
      <c r="F37807">
        <v>7.6160523970609201E-9</v>
      </c>
      <c r="G37807">
        <v>10761429</v>
      </c>
      <c r="H37807">
        <v>11178728</v>
      </c>
      <c r="I37807">
        <v>31446412</v>
      </c>
      <c r="J37807">
        <v>7</v>
      </c>
    </row>
    <row r="37808" spans="1:10" x14ac:dyDescent="0.25">
      <c r="A37808" t="s">
        <v>398</v>
      </c>
      <c r="B37808" s="1" t="str">
        <f>HYPERLINK("http://igmetall-eisenach.de","igmetall-eisenach.de")</f>
        <v>igmetall-eisenach.de</v>
      </c>
      <c r="C37808" t="s">
        <v>436</v>
      </c>
      <c r="D37808" t="s">
        <v>815</v>
      </c>
      <c r="F37808">
        <v>1.12615295181622E-8</v>
      </c>
      <c r="G37808">
        <v>5669466</v>
      </c>
      <c r="H37808">
        <v>12296731</v>
      </c>
      <c r="I37808">
        <v>20930203</v>
      </c>
      <c r="J37808">
        <v>7</v>
      </c>
    </row>
    <row r="37809" spans="1:10" x14ac:dyDescent="0.25">
      <c r="A37809" t="s">
        <v>398</v>
      </c>
      <c r="B37809" s="1" t="str">
        <f>HYPERLINK("http://igmetall-ennepe-ruhr-wupper.de","igmetall-ennepe-ruhr-wupper.de")</f>
        <v>igmetall-ennepe-ruhr-wupper.de</v>
      </c>
      <c r="C37809" t="s">
        <v>436</v>
      </c>
      <c r="D37809" t="s">
        <v>815</v>
      </c>
      <c r="F37809">
        <v>1.7225729081192801E-8</v>
      </c>
      <c r="G37809">
        <v>3218207</v>
      </c>
      <c r="H37809">
        <v>14071874</v>
      </c>
      <c r="I37809">
        <v>3256228</v>
      </c>
      <c r="J37809">
        <v>7</v>
      </c>
    </row>
    <row r="37810" spans="1:10" x14ac:dyDescent="0.25">
      <c r="A37810" t="s">
        <v>398</v>
      </c>
      <c r="B37810" s="1" t="str">
        <f>HYPERLINK("http://igmetall-flensburg.de","igmetall-flensburg.de")</f>
        <v>igmetall-flensburg.de</v>
      </c>
      <c r="C37810" t="s">
        <v>436</v>
      </c>
      <c r="D37810" t="s">
        <v>815</v>
      </c>
      <c r="F37810">
        <v>5.6916005584827701E-9</v>
      </c>
      <c r="G37810">
        <v>19031778</v>
      </c>
      <c r="H37810">
        <v>11178706</v>
      </c>
      <c r="I37810">
        <v>31446870</v>
      </c>
      <c r="J37810">
        <v>7</v>
      </c>
    </row>
    <row r="37811" spans="1:10" x14ac:dyDescent="0.25">
      <c r="A37811" t="s">
        <v>398</v>
      </c>
      <c r="B37811" s="1" t="str">
        <f>HYPERLINK("http://igmetall-frankfurt.de","igmetall-frankfurt.de")</f>
        <v>igmetall-frankfurt.de</v>
      </c>
      <c r="C37811" t="s">
        <v>436</v>
      </c>
      <c r="D37811" t="s">
        <v>815</v>
      </c>
      <c r="F37811">
        <v>1.6165019482762702E-8</v>
      </c>
      <c r="G37811">
        <v>3504203</v>
      </c>
      <c r="H37811">
        <v>12829803</v>
      </c>
      <c r="I37811">
        <v>14430297</v>
      </c>
      <c r="J37811">
        <v>7</v>
      </c>
    </row>
    <row r="37812" spans="1:10" x14ac:dyDescent="0.25">
      <c r="A37812" t="s">
        <v>398</v>
      </c>
      <c r="B37812" s="1" t="str">
        <f>HYPERLINK("http://igmetall-gelsenkirchen.de","igmetall-gelsenkirchen.de")</f>
        <v>igmetall-gelsenkirchen.de</v>
      </c>
      <c r="C37812" t="s">
        <v>436</v>
      </c>
      <c r="D37812" t="s">
        <v>815</v>
      </c>
      <c r="F37812">
        <v>5.9020828516457003E-9</v>
      </c>
      <c r="G37812">
        <v>17345007</v>
      </c>
      <c r="H37812">
        <v>12235680</v>
      </c>
      <c r="I37812">
        <v>22358299</v>
      </c>
      <c r="J37812">
        <v>7</v>
      </c>
    </row>
    <row r="37813" spans="1:10" x14ac:dyDescent="0.25">
      <c r="A37813" t="s">
        <v>398</v>
      </c>
      <c r="B37813" s="1" t="str">
        <f>HYPERLINK("http://igmetall-gummersbach.de","igmetall-gummersbach.de")</f>
        <v>igmetall-gummersbach.de</v>
      </c>
      <c r="C37813" t="s">
        <v>436</v>
      </c>
      <c r="D37813" t="s">
        <v>815</v>
      </c>
      <c r="F37813">
        <v>5.8016090098079102E-9</v>
      </c>
      <c r="G37813">
        <v>18074655</v>
      </c>
      <c r="H37813">
        <v>11178708</v>
      </c>
      <c r="I37813">
        <v>31446840</v>
      </c>
      <c r="J37813">
        <v>7</v>
      </c>
    </row>
    <row r="37814" spans="1:10" x14ac:dyDescent="0.25">
      <c r="A37814" t="s">
        <v>398</v>
      </c>
      <c r="B37814" s="1" t="str">
        <f>HYPERLINK("http://igmetall-hamburg.de","igmetall-hamburg.de")</f>
        <v>igmetall-hamburg.de</v>
      </c>
      <c r="C37814" t="s">
        <v>436</v>
      </c>
      <c r="D37814" t="s">
        <v>815</v>
      </c>
      <c r="F37814">
        <v>8.5707794138333205E-9</v>
      </c>
      <c r="G37814">
        <v>8709535</v>
      </c>
      <c r="H37814">
        <v>11461325</v>
      </c>
      <c r="I37814">
        <v>30097887</v>
      </c>
      <c r="J37814">
        <v>7</v>
      </c>
    </row>
    <row r="37815" spans="1:10" x14ac:dyDescent="0.25">
      <c r="A37815" t="s">
        <v>398</v>
      </c>
      <c r="B37815" s="1" t="str">
        <f>HYPERLINK("http://igmetall-hamm-lippstadt.de","igmetall-hamm-lippstadt.de")</f>
        <v>igmetall-hamm-lippstadt.de</v>
      </c>
      <c r="C37815" t="s">
        <v>436</v>
      </c>
      <c r="D37815" t="s">
        <v>815</v>
      </c>
      <c r="F37815">
        <v>7.7174773849905006E-9</v>
      </c>
      <c r="G37815">
        <v>10534941</v>
      </c>
      <c r="H37815">
        <v>11185292</v>
      </c>
      <c r="I37815">
        <v>31391417</v>
      </c>
      <c r="J37815">
        <v>7</v>
      </c>
    </row>
    <row r="37816" spans="1:10" x14ac:dyDescent="0.25">
      <c r="A37816" t="s">
        <v>398</v>
      </c>
      <c r="B37816" s="1" t="str">
        <f>HYPERLINK("http://igmetall-hanau-fulda.de","igmetall-hanau-fulda.de")</f>
        <v>igmetall-hanau-fulda.de</v>
      </c>
      <c r="C37816" t="s">
        <v>436</v>
      </c>
      <c r="D37816" t="s">
        <v>815</v>
      </c>
      <c r="F37816">
        <v>2.4642682430502201E-8</v>
      </c>
      <c r="G37816">
        <v>2101494</v>
      </c>
      <c r="H37816">
        <v>12370135</v>
      </c>
      <c r="I37816">
        <v>19411429</v>
      </c>
      <c r="J37816">
        <v>7</v>
      </c>
    </row>
    <row r="37817" spans="1:10" x14ac:dyDescent="0.25">
      <c r="A37817" t="s">
        <v>398</v>
      </c>
      <c r="B37817" s="1" t="str">
        <f>HYPERLINK("http://igmetall-hannover.de","igmetall-hannover.de")</f>
        <v>igmetall-hannover.de</v>
      </c>
      <c r="C37817" t="s">
        <v>436</v>
      </c>
      <c r="D37817" t="s">
        <v>815</v>
      </c>
      <c r="F37817">
        <v>1.2573552572276101E-8</v>
      </c>
      <c r="G37817">
        <v>4844619</v>
      </c>
      <c r="H37817">
        <v>14375055</v>
      </c>
      <c r="I37817">
        <v>1230282</v>
      </c>
      <c r="J37817">
        <v>7</v>
      </c>
    </row>
    <row r="37818" spans="1:10" x14ac:dyDescent="0.25">
      <c r="A37818" t="s">
        <v>398</v>
      </c>
      <c r="B37818" s="1" t="str">
        <f>HYPERLINK("http://igmetall-homburg-saarpfalz.de","igmetall-homburg-saarpfalz.de")</f>
        <v>igmetall-homburg-saarpfalz.de</v>
      </c>
      <c r="C37818" t="s">
        <v>436</v>
      </c>
      <c r="D37818" t="s">
        <v>815</v>
      </c>
      <c r="F37818">
        <v>1.27175572021905E-8</v>
      </c>
      <c r="G37818">
        <v>4770626</v>
      </c>
      <c r="H37818">
        <v>11201809</v>
      </c>
      <c r="I37818">
        <v>31235568</v>
      </c>
      <c r="J37818">
        <v>7</v>
      </c>
    </row>
    <row r="37819" spans="1:10" x14ac:dyDescent="0.25">
      <c r="A37819" t="s">
        <v>398</v>
      </c>
      <c r="B37819" s="1" t="str">
        <f>HYPERLINK("http://igmetall-ingolstadt.de","igmetall-ingolstadt.de")</f>
        <v>igmetall-ingolstadt.de</v>
      </c>
      <c r="C37819" t="s">
        <v>436</v>
      </c>
      <c r="D37819" t="s">
        <v>815</v>
      </c>
      <c r="F37819">
        <v>9.6801467180530002E-9</v>
      </c>
      <c r="G37819">
        <v>7104282</v>
      </c>
      <c r="H37819">
        <v>12439916</v>
      </c>
      <c r="I37819">
        <v>18145842</v>
      </c>
      <c r="J37819">
        <v>7</v>
      </c>
    </row>
    <row r="37820" spans="1:10" x14ac:dyDescent="0.25">
      <c r="A37820" t="s">
        <v>398</v>
      </c>
      <c r="B37820" s="1" t="str">
        <f>HYPERLINK("http://igmetall-jena-saalfeld-gera.de","igmetall-jena-saalfeld-gera.de")</f>
        <v>igmetall-jena-saalfeld-gera.de</v>
      </c>
      <c r="C37820" t="s">
        <v>436</v>
      </c>
      <c r="D37820" t="s">
        <v>815</v>
      </c>
      <c r="F37820">
        <v>1.23037086149143E-8</v>
      </c>
      <c r="G37820">
        <v>4992286</v>
      </c>
      <c r="H37820">
        <v>13938485</v>
      </c>
      <c r="I37820">
        <v>4425772</v>
      </c>
      <c r="J37820">
        <v>7</v>
      </c>
    </row>
    <row r="37821" spans="1:10" x14ac:dyDescent="0.25">
      <c r="A37821" t="s">
        <v>398</v>
      </c>
      <c r="B37821" s="1" t="str">
        <f>HYPERLINK("http://igmetall-kaiserslautern.de","igmetall-kaiserslautern.de")</f>
        <v>igmetall-kaiserslautern.de</v>
      </c>
      <c r="C37821" t="s">
        <v>436</v>
      </c>
      <c r="D37821" t="s">
        <v>815</v>
      </c>
      <c r="F37821">
        <v>1.05683195017867E-8</v>
      </c>
      <c r="G37821">
        <v>6210728</v>
      </c>
      <c r="H37821">
        <v>11193989</v>
      </c>
      <c r="I37821">
        <v>31321502</v>
      </c>
      <c r="J37821">
        <v>7</v>
      </c>
    </row>
    <row r="37822" spans="1:10" x14ac:dyDescent="0.25">
      <c r="A37822" t="s">
        <v>398</v>
      </c>
      <c r="B37822" s="1" t="str">
        <f>HYPERLINK("http://igmetall-koblenz.de","igmetall-koblenz.de")</f>
        <v>igmetall-koblenz.de</v>
      </c>
      <c r="C37822" t="s">
        <v>436</v>
      </c>
      <c r="D37822" t="s">
        <v>815</v>
      </c>
      <c r="F37822">
        <v>1.2012936721945401E-8</v>
      </c>
      <c r="G37822">
        <v>5167159</v>
      </c>
      <c r="H37822">
        <v>12339659</v>
      </c>
      <c r="I37822">
        <v>20016969</v>
      </c>
      <c r="J37822">
        <v>7</v>
      </c>
    </row>
    <row r="37823" spans="1:10" x14ac:dyDescent="0.25">
      <c r="A37823" t="s">
        <v>398</v>
      </c>
      <c r="B37823" s="1" t="str">
        <f>HYPERLINK("http://igmetall-krefeld.de","igmetall-krefeld.de")</f>
        <v>igmetall-krefeld.de</v>
      </c>
      <c r="C37823" t="s">
        <v>436</v>
      </c>
      <c r="D37823" t="s">
        <v>815</v>
      </c>
      <c r="F37823">
        <v>7.5608148349069403E-9</v>
      </c>
      <c r="G37823">
        <v>10882706</v>
      </c>
      <c r="H37823">
        <v>12318010</v>
      </c>
      <c r="I37823">
        <v>20454302</v>
      </c>
      <c r="J37823">
        <v>7</v>
      </c>
    </row>
    <row r="37824" spans="1:10" x14ac:dyDescent="0.25">
      <c r="A37824" t="s">
        <v>398</v>
      </c>
      <c r="B37824" s="1" t="str">
        <f>HYPERLINK("http://igmetall-landau.de","igmetall-landau.de")</f>
        <v>igmetall-landau.de</v>
      </c>
      <c r="C37824" t="s">
        <v>436</v>
      </c>
      <c r="D37824" t="s">
        <v>815</v>
      </c>
      <c r="F37824">
        <v>1.9108884933822301E-8</v>
      </c>
      <c r="G37824">
        <v>2816360</v>
      </c>
      <c r="H37824">
        <v>12440379</v>
      </c>
      <c r="I37824">
        <v>18140285</v>
      </c>
      <c r="J37824">
        <v>7</v>
      </c>
    </row>
    <row r="37825" spans="1:10" x14ac:dyDescent="0.25">
      <c r="A37825" t="s">
        <v>398</v>
      </c>
      <c r="B37825" s="1" t="str">
        <f>HYPERLINK("http://igmetall-leer-papenburg.de","igmetall-leer-papenburg.de")</f>
        <v>igmetall-leer-papenburg.de</v>
      </c>
      <c r="C37825" t="s">
        <v>436</v>
      </c>
      <c r="D37825" t="s">
        <v>815</v>
      </c>
      <c r="J37825">
        <v>7</v>
      </c>
    </row>
    <row r="37826" spans="1:10" x14ac:dyDescent="0.25">
      <c r="A37826" t="s">
        <v>398</v>
      </c>
      <c r="B37826" s="1" t="str">
        <f>HYPERLINK("http://igmetall-leipzig.de","igmetall-leipzig.de")</f>
        <v>igmetall-leipzig.de</v>
      </c>
      <c r="C37826" t="s">
        <v>436</v>
      </c>
      <c r="D37826" t="s">
        <v>815</v>
      </c>
      <c r="F37826">
        <v>9.5680834063791707E-9</v>
      </c>
      <c r="G37826">
        <v>7241321</v>
      </c>
      <c r="H37826">
        <v>12381558</v>
      </c>
      <c r="I37826">
        <v>19177994</v>
      </c>
      <c r="J37826">
        <v>7</v>
      </c>
    </row>
    <row r="37827" spans="1:10" x14ac:dyDescent="0.25">
      <c r="A37827" t="s">
        <v>398</v>
      </c>
      <c r="B37827" s="1" t="str">
        <f>HYPERLINK("http://igmetall-ludwigsburg-waiblingen.de","igmetall-ludwigsburg-waiblingen.de")</f>
        <v>igmetall-ludwigsburg-waiblingen.de</v>
      </c>
      <c r="C37827" t="s">
        <v>436</v>
      </c>
      <c r="D37827" t="s">
        <v>815</v>
      </c>
      <c r="F37827">
        <v>7.9422301484106294E-9</v>
      </c>
      <c r="G37827">
        <v>10028681</v>
      </c>
      <c r="H37827">
        <v>12356293</v>
      </c>
      <c r="I37827">
        <v>19658165</v>
      </c>
      <c r="J37827">
        <v>7</v>
      </c>
    </row>
    <row r="37828" spans="1:10" x14ac:dyDescent="0.25">
      <c r="A37828" t="s">
        <v>398</v>
      </c>
      <c r="B37828" s="1" t="str">
        <f>HYPERLINK("http://igmetall-ludwigshafen-frankenthal.de","igmetall-ludwigshafen-frankenthal.de")</f>
        <v>igmetall-ludwigshafen-frankenthal.de</v>
      </c>
      <c r="C37828" t="s">
        <v>436</v>
      </c>
      <c r="D37828" t="s">
        <v>815</v>
      </c>
      <c r="F37828">
        <v>1.0356916447354099E-8</v>
      </c>
      <c r="G37828">
        <v>6398380</v>
      </c>
      <c r="H37828">
        <v>11418509</v>
      </c>
      <c r="I37828">
        <v>30176191</v>
      </c>
      <c r="J37828">
        <v>7</v>
      </c>
    </row>
    <row r="37829" spans="1:10" x14ac:dyDescent="0.25">
      <c r="A37829" t="s">
        <v>398</v>
      </c>
      <c r="B37829" s="1" t="str">
        <f>HYPERLINK("http://igmetall-luebeck-wismar.de","igmetall-luebeck-wismar.de")</f>
        <v>igmetall-luebeck-wismar.de</v>
      </c>
      <c r="C37829" t="s">
        <v>436</v>
      </c>
      <c r="D37829" t="s">
        <v>815</v>
      </c>
      <c r="F37829">
        <v>6.4965466734212597E-9</v>
      </c>
      <c r="G37829">
        <v>14092538</v>
      </c>
      <c r="H37829">
        <v>12404725</v>
      </c>
      <c r="I37829">
        <v>18692769</v>
      </c>
      <c r="J37829">
        <v>7</v>
      </c>
    </row>
    <row r="37830" spans="1:10" x14ac:dyDescent="0.25">
      <c r="A37830" t="s">
        <v>398</v>
      </c>
      <c r="B37830" s="1" t="str">
        <f>HYPERLINK("http://igmetall-mainz-worms.de","igmetall-mainz-worms.de")</f>
        <v>igmetall-mainz-worms.de</v>
      </c>
      <c r="C37830" t="s">
        <v>436</v>
      </c>
      <c r="D37830" t="s">
        <v>815</v>
      </c>
      <c r="F37830">
        <v>7.0311889066147103E-9</v>
      </c>
      <c r="G37830">
        <v>12221097</v>
      </c>
      <c r="H37830">
        <v>13939272</v>
      </c>
      <c r="I37830">
        <v>4398551</v>
      </c>
      <c r="J37830">
        <v>7</v>
      </c>
    </row>
    <row r="37831" spans="1:10" x14ac:dyDescent="0.25">
      <c r="A37831" t="s">
        <v>398</v>
      </c>
      <c r="B37831" s="1" t="str">
        <f>HYPERLINK("http://igmetall-meo.de","igmetall-meo.de")</f>
        <v>igmetall-meo.de</v>
      </c>
      <c r="C37831" t="s">
        <v>436</v>
      </c>
      <c r="D37831" t="s">
        <v>815</v>
      </c>
      <c r="F37831">
        <v>7.1913522738378699E-9</v>
      </c>
      <c r="G37831">
        <v>11767071</v>
      </c>
      <c r="H37831">
        <v>12354075</v>
      </c>
      <c r="I37831">
        <v>19695608</v>
      </c>
      <c r="J37831">
        <v>7</v>
      </c>
    </row>
    <row r="37832" spans="1:10" x14ac:dyDescent="0.25">
      <c r="A37832" t="s">
        <v>398</v>
      </c>
      <c r="B37832" s="1" t="str">
        <f>HYPERLINK("http://igmetall-mittelhessen.de","igmetall-mittelhessen.de")</f>
        <v>igmetall-mittelhessen.de</v>
      </c>
      <c r="C37832" t="s">
        <v>436</v>
      </c>
      <c r="D37832" t="s">
        <v>815</v>
      </c>
      <c r="F37832">
        <v>1.48445682033673E-8</v>
      </c>
      <c r="G37832">
        <v>3891484</v>
      </c>
      <c r="H37832">
        <v>12257529</v>
      </c>
      <c r="I37832">
        <v>21835202</v>
      </c>
      <c r="J37832">
        <v>7</v>
      </c>
    </row>
    <row r="37833" spans="1:10" x14ac:dyDescent="0.25">
      <c r="A37833" t="s">
        <v>398</v>
      </c>
      <c r="B37833" s="1" t="str">
        <f>HYPERLINK("http://igmetall-mk.de","igmetall-mk.de")</f>
        <v>igmetall-mk.de</v>
      </c>
      <c r="C37833" t="s">
        <v>436</v>
      </c>
      <c r="D37833" t="s">
        <v>815</v>
      </c>
      <c r="F37833">
        <v>5.69160055848278E-9</v>
      </c>
      <c r="G37833">
        <v>19031770</v>
      </c>
      <c r="H37833">
        <v>11178706</v>
      </c>
      <c r="I37833">
        <v>31446871</v>
      </c>
      <c r="J37833">
        <v>7</v>
      </c>
    </row>
    <row r="37834" spans="1:10" x14ac:dyDescent="0.25">
      <c r="A37834" t="s">
        <v>398</v>
      </c>
      <c r="B37834" s="1" t="str">
        <f>HYPERLINK("http://igmetall-neunkirchen.de","igmetall-neunkirchen.de")</f>
        <v>igmetall-neunkirchen.de</v>
      </c>
      <c r="C37834" t="s">
        <v>436</v>
      </c>
      <c r="D37834" t="s">
        <v>815</v>
      </c>
      <c r="F37834">
        <v>1.1194529728365999E-8</v>
      </c>
      <c r="G37834">
        <v>5716894</v>
      </c>
      <c r="H37834">
        <v>11213830</v>
      </c>
      <c r="I37834">
        <v>31137286</v>
      </c>
      <c r="J37834">
        <v>7</v>
      </c>
    </row>
    <row r="37835" spans="1:10" x14ac:dyDescent="0.25">
      <c r="A37835" t="s">
        <v>398</v>
      </c>
      <c r="B37835" s="1" t="str">
        <f>HYPERLINK("http://igmetall-neuwied.de","igmetall-neuwied.de")</f>
        <v>igmetall-neuwied.de</v>
      </c>
      <c r="C37835" t="s">
        <v>436</v>
      </c>
      <c r="D37835" t="s">
        <v>815</v>
      </c>
      <c r="F37835">
        <v>1.33752453246343E-8</v>
      </c>
      <c r="G37835">
        <v>4458937</v>
      </c>
      <c r="H37835">
        <v>12327695</v>
      </c>
      <c r="I37835">
        <v>20252795</v>
      </c>
      <c r="J37835">
        <v>7</v>
      </c>
    </row>
    <row r="37836" spans="1:10" x14ac:dyDescent="0.25">
      <c r="A37836" t="s">
        <v>398</v>
      </c>
      <c r="B37836" s="1" t="str">
        <f>HYPERLINK("http://igmetall-nienburg-stadthagen.de","igmetall-nienburg-stadthagen.de")</f>
        <v>igmetall-nienburg-stadthagen.de</v>
      </c>
      <c r="C37836" t="s">
        <v>436</v>
      </c>
      <c r="D37836" t="s">
        <v>815</v>
      </c>
      <c r="F37836">
        <v>7.9457716633674203E-9</v>
      </c>
      <c r="G37836">
        <v>10021807</v>
      </c>
      <c r="H37836">
        <v>12352545</v>
      </c>
      <c r="I37836">
        <v>19726783</v>
      </c>
      <c r="J37836">
        <v>7</v>
      </c>
    </row>
    <row r="37837" spans="1:10" x14ac:dyDescent="0.25">
      <c r="A37837" t="s">
        <v>398</v>
      </c>
      <c r="B37837" s="1" t="str">
        <f>HYPERLINK("http://igmetall-nordhessen.de","igmetall-nordhessen.de")</f>
        <v>igmetall-nordhessen.de</v>
      </c>
      <c r="C37837" t="s">
        <v>436</v>
      </c>
      <c r="D37837" t="s">
        <v>815</v>
      </c>
      <c r="F37837">
        <v>1.2785723550781201E-8</v>
      </c>
      <c r="G37837">
        <v>4735951</v>
      </c>
      <c r="H37837">
        <v>12350297</v>
      </c>
      <c r="I37837">
        <v>19762061</v>
      </c>
      <c r="J37837">
        <v>7</v>
      </c>
    </row>
    <row r="37838" spans="1:10" x14ac:dyDescent="0.25">
      <c r="A37838" t="s">
        <v>398</v>
      </c>
      <c r="B37838" s="1" t="str">
        <f>HYPERLINK("http://igmetall-nrw.de","igmetall-nrw.de")</f>
        <v>igmetall-nrw.de</v>
      </c>
      <c r="C37838" t="s">
        <v>436</v>
      </c>
      <c r="D37838" t="s">
        <v>815</v>
      </c>
      <c r="F37838">
        <v>3.5237413377379703E-8</v>
      </c>
      <c r="G37838">
        <v>1475661</v>
      </c>
      <c r="H37838">
        <v>13962888</v>
      </c>
      <c r="I37838">
        <v>4099897</v>
      </c>
      <c r="J37838">
        <v>7</v>
      </c>
    </row>
    <row r="37839" spans="1:10" x14ac:dyDescent="0.25">
      <c r="A37839" t="s">
        <v>398</v>
      </c>
      <c r="B37839" s="1" t="str">
        <f>HYPERLINK("http://igmetall-offenbach.de","igmetall-offenbach.de")</f>
        <v>igmetall-offenbach.de</v>
      </c>
      <c r="C37839" t="s">
        <v>436</v>
      </c>
      <c r="D37839" t="s">
        <v>815</v>
      </c>
      <c r="F37839">
        <v>1.0345385592251601E-8</v>
      </c>
      <c r="G37839">
        <v>6408959</v>
      </c>
      <c r="H37839">
        <v>12224437</v>
      </c>
      <c r="I37839">
        <v>22671452</v>
      </c>
      <c r="J37839">
        <v>7</v>
      </c>
    </row>
    <row r="37840" spans="1:10" x14ac:dyDescent="0.25">
      <c r="A37840" t="s">
        <v>398</v>
      </c>
      <c r="B37840" s="1" t="str">
        <f>HYPERLINK("http://igmetall-oldenburg-wilhelmshaven.de","igmetall-oldenburg-wilhelmshaven.de")</f>
        <v>igmetall-oldenburg-wilhelmshaven.de</v>
      </c>
      <c r="C37840" t="s">
        <v>436</v>
      </c>
      <c r="D37840" t="s">
        <v>815</v>
      </c>
      <c r="F37840">
        <v>6.6341553715953804E-9</v>
      </c>
      <c r="G37840">
        <v>13543687</v>
      </c>
      <c r="H37840">
        <v>12201911</v>
      </c>
      <c r="I37840">
        <v>23268678</v>
      </c>
      <c r="J37840">
        <v>7</v>
      </c>
    </row>
    <row r="37841" spans="1:10" x14ac:dyDescent="0.25">
      <c r="A37841" t="s">
        <v>398</v>
      </c>
      <c r="B37841" s="1" t="str">
        <f>HYPERLINK("http://igmetall-olsberg.de","igmetall-olsberg.de")</f>
        <v>igmetall-olsberg.de</v>
      </c>
      <c r="C37841" t="s">
        <v>436</v>
      </c>
      <c r="D37841" t="s">
        <v>815</v>
      </c>
      <c r="F37841">
        <v>5.8016090098079102E-9</v>
      </c>
      <c r="G37841">
        <v>18074654</v>
      </c>
      <c r="H37841">
        <v>11178708</v>
      </c>
      <c r="I37841">
        <v>31446843</v>
      </c>
      <c r="J37841">
        <v>7</v>
      </c>
    </row>
    <row r="37842" spans="1:10" x14ac:dyDescent="0.25">
      <c r="A37842" t="s">
        <v>398</v>
      </c>
      <c r="B37842" s="1" t="str">
        <f>HYPERLINK("http://igmetall-oranienburg-potsdam.de","igmetall-oranienburg-potsdam.de")</f>
        <v>igmetall-oranienburg-potsdam.de</v>
      </c>
      <c r="C37842" t="s">
        <v>436</v>
      </c>
      <c r="D37842" t="s">
        <v>815</v>
      </c>
      <c r="F37842">
        <v>1.15400057138042E-8</v>
      </c>
      <c r="G37842">
        <v>5475743</v>
      </c>
      <c r="H37842">
        <v>12318015</v>
      </c>
      <c r="I37842">
        <v>20454248</v>
      </c>
      <c r="J37842">
        <v>7</v>
      </c>
    </row>
    <row r="37843" spans="1:10" x14ac:dyDescent="0.25">
      <c r="A37843" t="s">
        <v>398</v>
      </c>
      <c r="B37843" s="1" t="str">
        <f>HYPERLINK("http://igmetall-osnabrueck.de","igmetall-osnabrueck.de")</f>
        <v>igmetall-osnabrueck.de</v>
      </c>
      <c r="C37843" t="s">
        <v>436</v>
      </c>
      <c r="D37843" t="s">
        <v>815</v>
      </c>
      <c r="F37843">
        <v>8.6839929525660504E-9</v>
      </c>
      <c r="G37843">
        <v>8505095</v>
      </c>
      <c r="H37843">
        <v>12296083</v>
      </c>
      <c r="I37843">
        <v>20941825</v>
      </c>
      <c r="J37843">
        <v>7</v>
      </c>
    </row>
    <row r="37844" spans="1:10" x14ac:dyDescent="0.25">
      <c r="A37844" t="s">
        <v>398</v>
      </c>
      <c r="B37844" s="1" t="str">
        <f>HYPERLINK("http://igmetall-ostbrandenburg.de","igmetall-ostbrandenburg.de")</f>
        <v>igmetall-ostbrandenburg.de</v>
      </c>
      <c r="C37844" t="s">
        <v>436</v>
      </c>
      <c r="D37844" t="s">
        <v>815</v>
      </c>
      <c r="F37844">
        <v>7.2775773182856E-9</v>
      </c>
      <c r="G37844">
        <v>11535007</v>
      </c>
      <c r="H37844">
        <v>12685611</v>
      </c>
      <c r="I37844">
        <v>15453202</v>
      </c>
      <c r="J37844">
        <v>7</v>
      </c>
    </row>
    <row r="37845" spans="1:10" x14ac:dyDescent="0.25">
      <c r="A37845" t="s">
        <v>398</v>
      </c>
      <c r="B37845" s="1" t="str">
        <f>HYPERLINK("http://igmetall-ostsachsen.de","igmetall-ostsachsen.de")</f>
        <v>igmetall-ostsachsen.de</v>
      </c>
      <c r="C37845" t="s">
        <v>436</v>
      </c>
      <c r="D37845" t="s">
        <v>815</v>
      </c>
      <c r="F37845">
        <v>6.1305227139753402E-9</v>
      </c>
      <c r="G37845">
        <v>15922512</v>
      </c>
      <c r="H37845">
        <v>12482470</v>
      </c>
      <c r="I37845">
        <v>17576518</v>
      </c>
      <c r="J37845">
        <v>7</v>
      </c>
    </row>
    <row r="37846" spans="1:10" x14ac:dyDescent="0.25">
      <c r="A37846" t="s">
        <v>398</v>
      </c>
      <c r="B37846" s="1" t="str">
        <f>HYPERLINK("http://igmetall-rendsburg.de","igmetall-rendsburg.de")</f>
        <v>igmetall-rendsburg.de</v>
      </c>
      <c r="C37846" t="s">
        <v>436</v>
      </c>
      <c r="D37846" t="s">
        <v>815</v>
      </c>
      <c r="F37846">
        <v>4.5538124046803901E-9</v>
      </c>
      <c r="G37846">
        <v>51789108</v>
      </c>
      <c r="H37846">
        <v>9004105</v>
      </c>
      <c r="I37846">
        <v>68866180</v>
      </c>
      <c r="J37846">
        <v>7</v>
      </c>
    </row>
    <row r="37847" spans="1:10" x14ac:dyDescent="0.25">
      <c r="A37847" t="s">
        <v>398</v>
      </c>
      <c r="B37847" s="1" t="str">
        <f>HYPERLINK("http://igmetall-rostock-schwerin.de","igmetall-rostock-schwerin.de")</f>
        <v>igmetall-rostock-schwerin.de</v>
      </c>
      <c r="C37847" t="s">
        <v>436</v>
      </c>
      <c r="D37847" t="s">
        <v>815</v>
      </c>
      <c r="F37847">
        <v>7.26964339680572E-9</v>
      </c>
      <c r="G37847">
        <v>11555096</v>
      </c>
      <c r="H37847">
        <v>14072473</v>
      </c>
      <c r="I37847">
        <v>3087085</v>
      </c>
      <c r="J37847">
        <v>7</v>
      </c>
    </row>
    <row r="37848" spans="1:10" x14ac:dyDescent="0.25">
      <c r="A37848" t="s">
        <v>398</v>
      </c>
      <c r="B37848" s="1" t="str">
        <f>HYPERLINK("http://igmetall-saarbruecken.de","igmetall-saarbruecken.de")</f>
        <v>igmetall-saarbruecken.de</v>
      </c>
      <c r="C37848" t="s">
        <v>436</v>
      </c>
      <c r="D37848" t="s">
        <v>815</v>
      </c>
      <c r="F37848">
        <v>1.07504689377414E-8</v>
      </c>
      <c r="G37848">
        <v>6059678</v>
      </c>
      <c r="H37848">
        <v>12224436</v>
      </c>
      <c r="I37848">
        <v>22671467</v>
      </c>
      <c r="J37848">
        <v>7</v>
      </c>
    </row>
    <row r="37849" spans="1:10" x14ac:dyDescent="0.25">
      <c r="A37849" t="s">
        <v>398</v>
      </c>
      <c r="B37849" s="1" t="str">
        <f>HYPERLINK("http://igmetall-salzgitter-peine.de","igmetall-salzgitter-peine.de")</f>
        <v>igmetall-salzgitter-peine.de</v>
      </c>
      <c r="C37849" t="s">
        <v>436</v>
      </c>
      <c r="D37849" t="s">
        <v>815</v>
      </c>
      <c r="F37849">
        <v>1.22594756849459E-8</v>
      </c>
      <c r="G37849">
        <v>5016939</v>
      </c>
      <c r="H37849">
        <v>12360902</v>
      </c>
      <c r="I37849">
        <v>19570133</v>
      </c>
      <c r="J37849">
        <v>7</v>
      </c>
    </row>
    <row r="37850" spans="1:10" x14ac:dyDescent="0.25">
      <c r="A37850" t="s">
        <v>398</v>
      </c>
      <c r="B37850" s="1" t="str">
        <f>HYPERLINK("http://igmetall-schliersee.de","igmetall-schliersee.de")</f>
        <v>igmetall-schliersee.de</v>
      </c>
      <c r="C37850" t="s">
        <v>436</v>
      </c>
      <c r="D37850" t="s">
        <v>815</v>
      </c>
      <c r="F37850">
        <v>1.81405093208327E-8</v>
      </c>
      <c r="G37850">
        <v>3001627</v>
      </c>
      <c r="H37850">
        <v>11504562</v>
      </c>
      <c r="I37850">
        <v>30022685</v>
      </c>
      <c r="J37850">
        <v>7</v>
      </c>
    </row>
    <row r="37851" spans="1:10" x14ac:dyDescent="0.25">
      <c r="A37851" t="s">
        <v>398</v>
      </c>
      <c r="B37851" s="1" t="str">
        <f>HYPERLINK("http://igmetall-siegen.de","igmetall-siegen.de")</f>
        <v>igmetall-siegen.de</v>
      </c>
      <c r="C37851" t="s">
        <v>436</v>
      </c>
      <c r="D37851" t="s">
        <v>815</v>
      </c>
      <c r="F37851">
        <v>9.4820217844557002E-9</v>
      </c>
      <c r="G37851">
        <v>7344115</v>
      </c>
      <c r="H37851">
        <v>12484039</v>
      </c>
      <c r="I37851">
        <v>17560630</v>
      </c>
      <c r="J37851">
        <v>7</v>
      </c>
    </row>
    <row r="37852" spans="1:10" x14ac:dyDescent="0.25">
      <c r="A37852" t="s">
        <v>398</v>
      </c>
      <c r="B37852" s="1" t="str">
        <f>HYPERLINK("http://igmetall-snh.de","igmetall-snh.de")</f>
        <v>igmetall-snh.de</v>
      </c>
      <c r="C37852" t="s">
        <v>436</v>
      </c>
      <c r="D37852" t="s">
        <v>815</v>
      </c>
      <c r="F37852">
        <v>5.8016090098079102E-9</v>
      </c>
      <c r="G37852">
        <v>18074656</v>
      </c>
      <c r="H37852">
        <v>11178708</v>
      </c>
      <c r="I37852">
        <v>31446844</v>
      </c>
      <c r="J37852">
        <v>7</v>
      </c>
    </row>
    <row r="37853" spans="1:10" x14ac:dyDescent="0.25">
      <c r="A37853" t="s">
        <v>398</v>
      </c>
      <c r="B37853" s="1" t="str">
        <f>HYPERLINK("http://igmetall-stralsund-neubrandenburg.de","igmetall-stralsund-neubrandenburg.de")</f>
        <v>igmetall-stralsund-neubrandenburg.de</v>
      </c>
      <c r="C37853" t="s">
        <v>436</v>
      </c>
      <c r="D37853" t="s">
        <v>815</v>
      </c>
      <c r="F37853">
        <v>6.3704654452731397E-9</v>
      </c>
      <c r="G37853">
        <v>14663950</v>
      </c>
      <c r="H37853">
        <v>11179437</v>
      </c>
      <c r="I37853">
        <v>31438638</v>
      </c>
      <c r="J37853">
        <v>7</v>
      </c>
    </row>
    <row r="37854" spans="1:10" x14ac:dyDescent="0.25">
      <c r="A37854" t="s">
        <v>398</v>
      </c>
      <c r="B37854" s="1" t="str">
        <f>HYPERLINK("http://igmetall-sued-niedersachsen-harz.de","igmetall-sued-niedersachsen-harz.de")</f>
        <v>igmetall-sued-niedersachsen-harz.de</v>
      </c>
      <c r="C37854" t="s">
        <v>436</v>
      </c>
      <c r="D37854" t="s">
        <v>815</v>
      </c>
      <c r="F37854">
        <v>5.19484946572589E-9</v>
      </c>
      <c r="G37854">
        <v>25255168</v>
      </c>
      <c r="H37854">
        <v>12085723</v>
      </c>
      <c r="I37854">
        <v>26388878</v>
      </c>
      <c r="J37854">
        <v>7</v>
      </c>
    </row>
    <row r="37855" spans="1:10" x14ac:dyDescent="0.25">
      <c r="A37855" t="s">
        <v>398</v>
      </c>
      <c r="B37855" s="1" t="str">
        <f>HYPERLINK("http://igmetall-suhl-sonneberg.de","igmetall-suhl-sonneberg.de")</f>
        <v>igmetall-suhl-sonneberg.de</v>
      </c>
      <c r="C37855" t="s">
        <v>436</v>
      </c>
      <c r="D37855" t="s">
        <v>815</v>
      </c>
      <c r="F37855">
        <v>1.1425424326245899E-8</v>
      </c>
      <c r="G37855">
        <v>5557215</v>
      </c>
      <c r="H37855">
        <v>12225031</v>
      </c>
      <c r="I37855">
        <v>22654140</v>
      </c>
      <c r="J37855">
        <v>7</v>
      </c>
    </row>
    <row r="37856" spans="1:10" x14ac:dyDescent="0.25">
      <c r="A37856" t="s">
        <v>398</v>
      </c>
      <c r="B37856" s="1" t="str">
        <f>HYPERLINK("http://igmetall-trier.de","igmetall-trier.de")</f>
        <v>igmetall-trier.de</v>
      </c>
      <c r="C37856" t="s">
        <v>436</v>
      </c>
      <c r="D37856" t="s">
        <v>815</v>
      </c>
      <c r="F37856">
        <v>1.2062663141760099E-8</v>
      </c>
      <c r="G37856">
        <v>5136002</v>
      </c>
      <c r="H37856">
        <v>12800052</v>
      </c>
      <c r="I37856">
        <v>14638652</v>
      </c>
      <c r="J37856">
        <v>7</v>
      </c>
    </row>
    <row r="37857" spans="1:10" x14ac:dyDescent="0.25">
      <c r="A37857" t="s">
        <v>398</v>
      </c>
      <c r="B37857" s="1" t="str">
        <f>HYPERLINK("http://igmetall-unterelbe.de","igmetall-unterelbe.de")</f>
        <v>igmetall-unterelbe.de</v>
      </c>
      <c r="C37857" t="s">
        <v>436</v>
      </c>
      <c r="D37857" t="s">
        <v>815</v>
      </c>
      <c r="F37857">
        <v>7.5800097623568902E-9</v>
      </c>
      <c r="G37857">
        <v>10837083</v>
      </c>
      <c r="H37857">
        <v>11590982</v>
      </c>
      <c r="I37857">
        <v>29935188</v>
      </c>
      <c r="J37857">
        <v>7</v>
      </c>
    </row>
    <row r="37858" spans="1:10" x14ac:dyDescent="0.25">
      <c r="A37858" t="s">
        <v>398</v>
      </c>
      <c r="B37858" s="1" t="str">
        <f>HYPERLINK("http://igmetall-velbert.de","igmetall-velbert.de")</f>
        <v>igmetall-velbert.de</v>
      </c>
      <c r="C37858" t="s">
        <v>436</v>
      </c>
      <c r="D37858" t="s">
        <v>815</v>
      </c>
      <c r="F37858">
        <v>5.96739255645128E-9</v>
      </c>
      <c r="G37858">
        <v>16898054</v>
      </c>
      <c r="H37858">
        <v>12259870</v>
      </c>
      <c r="I37858">
        <v>21776816</v>
      </c>
      <c r="J37858">
        <v>7</v>
      </c>
    </row>
    <row r="37859" spans="1:10" x14ac:dyDescent="0.25">
      <c r="A37859" t="s">
        <v>398</v>
      </c>
      <c r="B37859" s="1" t="str">
        <f>HYPERLINK("http://igmetall-voelklingen.de","igmetall-voelklingen.de")</f>
        <v>igmetall-voelklingen.de</v>
      </c>
      <c r="C37859" t="s">
        <v>436</v>
      </c>
      <c r="D37859" t="s">
        <v>815</v>
      </c>
      <c r="F37859">
        <v>1.27818244753126E-8</v>
      </c>
      <c r="G37859">
        <v>4738493</v>
      </c>
      <c r="H37859">
        <v>12307313</v>
      </c>
      <c r="I37859">
        <v>20690917</v>
      </c>
      <c r="J37859">
        <v>7</v>
      </c>
    </row>
    <row r="37860" spans="1:10" x14ac:dyDescent="0.25">
      <c r="A37860" t="s">
        <v>398</v>
      </c>
      <c r="B37860" s="1" t="str">
        <f>HYPERLINK("http://igmetall-weser-elbe.de","igmetall-weser-elbe.de")</f>
        <v>igmetall-weser-elbe.de</v>
      </c>
      <c r="C37860" t="s">
        <v>436</v>
      </c>
      <c r="D37860" t="s">
        <v>815</v>
      </c>
      <c r="F37860">
        <v>7.4374769320812601E-9</v>
      </c>
      <c r="G37860">
        <v>11155796</v>
      </c>
      <c r="H37860">
        <v>12332546</v>
      </c>
      <c r="I37860">
        <v>20158580</v>
      </c>
      <c r="J37860">
        <v>7</v>
      </c>
    </row>
    <row r="37861" spans="1:10" x14ac:dyDescent="0.25">
      <c r="A37861" t="s">
        <v>398</v>
      </c>
      <c r="B37861" s="1" t="str">
        <f>HYPERLINK("http://igmetall-westmittelfranken.de","igmetall-westmittelfranken.de")</f>
        <v>igmetall-westmittelfranken.de</v>
      </c>
      <c r="C37861" t="s">
        <v>436</v>
      </c>
      <c r="D37861" t="s">
        <v>815</v>
      </c>
      <c r="F37861">
        <v>4.5538124046803802E-9</v>
      </c>
      <c r="G37861">
        <v>51789114</v>
      </c>
      <c r="H37861">
        <v>9004106</v>
      </c>
      <c r="I37861">
        <v>68866170</v>
      </c>
      <c r="J37861">
        <v>7</v>
      </c>
    </row>
    <row r="37862" spans="1:10" x14ac:dyDescent="0.25">
      <c r="A37862" t="s">
        <v>398</v>
      </c>
      <c r="B37862" s="1" t="str">
        <f>HYPERLINK("http://igmetall-wiesbaden-limburg.de","igmetall-wiesbaden-limburg.de")</f>
        <v>igmetall-wiesbaden-limburg.de</v>
      </c>
      <c r="C37862" t="s">
        <v>436</v>
      </c>
      <c r="D37862" t="s">
        <v>815</v>
      </c>
      <c r="F37862">
        <v>5.1636974974705796E-9</v>
      </c>
      <c r="G37862">
        <v>25833692</v>
      </c>
      <c r="H37862">
        <v>10952229</v>
      </c>
      <c r="I37862">
        <v>34531662</v>
      </c>
      <c r="J37862">
        <v>7</v>
      </c>
    </row>
    <row r="37863" spans="1:10" x14ac:dyDescent="0.25">
      <c r="A37863" t="s">
        <v>398</v>
      </c>
      <c r="B37863" s="1" t="str">
        <f>HYPERLINK("http://igmetall-wob.de","igmetall-wob.de")</f>
        <v>igmetall-wob.de</v>
      </c>
      <c r="C37863" t="s">
        <v>436</v>
      </c>
      <c r="D37863" t="s">
        <v>815</v>
      </c>
      <c r="F37863">
        <v>4.1313828488702098E-8</v>
      </c>
      <c r="G37863">
        <v>1217637</v>
      </c>
      <c r="H37863">
        <v>14582632</v>
      </c>
      <c r="I37863">
        <v>706061</v>
      </c>
      <c r="J37863">
        <v>7</v>
      </c>
    </row>
    <row r="37864" spans="1:10" x14ac:dyDescent="0.25">
      <c r="A37864" t="s">
        <v>398</v>
      </c>
      <c r="B37864" s="1" t="str">
        <f>HYPERLINK("http://igmrsg.de","igmrsg.de")</f>
        <v>igmrsg.de</v>
      </c>
      <c r="C37864" t="s">
        <v>436</v>
      </c>
      <c r="D37864" t="s">
        <v>815</v>
      </c>
      <c r="F37864">
        <v>7.6966871986318108E-9</v>
      </c>
      <c r="G37864">
        <v>10590480</v>
      </c>
      <c r="H37864">
        <v>11508461</v>
      </c>
      <c r="I37864">
        <v>30018217</v>
      </c>
      <c r="J37864">
        <v>7</v>
      </c>
    </row>
    <row r="37865" spans="1:10" x14ac:dyDescent="0.25">
      <c r="A37865" t="s">
        <v>398</v>
      </c>
      <c r="B37865" s="1" t="str">
        <f>HYPERLINK("http://ihle-nortorf.de","ihle-nortorf.de")</f>
        <v>ihle-nortorf.de</v>
      </c>
      <c r="C37865" t="s">
        <v>436</v>
      </c>
      <c r="D37865" t="s">
        <v>815</v>
      </c>
      <c r="F37865">
        <v>5.1101101284594901E-9</v>
      </c>
      <c r="G37865">
        <v>26850665</v>
      </c>
      <c r="H37865">
        <v>11245489</v>
      </c>
      <c r="I37865">
        <v>30929889</v>
      </c>
      <c r="J37865">
        <v>3</v>
      </c>
    </row>
    <row r="37866" spans="1:10" x14ac:dyDescent="0.25">
      <c r="A37866" t="s">
        <v>398</v>
      </c>
      <c r="B37866" s="1" t="str">
        <f>HYPERLINK("http://jacobs-bergheim.de","jacobs-bergheim.de")</f>
        <v>jacobs-bergheim.de</v>
      </c>
      <c r="C37866" t="s">
        <v>436</v>
      </c>
      <c r="D37866" t="s">
        <v>815</v>
      </c>
      <c r="J37866">
        <v>5</v>
      </c>
    </row>
    <row r="37867" spans="1:10" x14ac:dyDescent="0.25">
      <c r="A37867" t="s">
        <v>398</v>
      </c>
      <c r="B37867" s="1" t="str">
        <f>HYPERLINK("http://jacobs-birkesdorf.de","jacobs-birkesdorf.de")</f>
        <v>jacobs-birkesdorf.de</v>
      </c>
      <c r="C37867" t="s">
        <v>436</v>
      </c>
      <c r="D37867" t="s">
        <v>815</v>
      </c>
      <c r="J37867">
        <v>5</v>
      </c>
    </row>
    <row r="37868" spans="1:10" x14ac:dyDescent="0.25">
      <c r="A37868" t="s">
        <v>398</v>
      </c>
      <c r="B37868" s="1" t="str">
        <f>HYPERLINK("http://jacobs-dueren.de","jacobs-dueren.de")</f>
        <v>jacobs-dueren.de</v>
      </c>
      <c r="C37868" t="s">
        <v>436</v>
      </c>
      <c r="D37868" t="s">
        <v>815</v>
      </c>
      <c r="F37868">
        <v>4.7606575828610696E-9</v>
      </c>
      <c r="G37868">
        <v>37789985</v>
      </c>
      <c r="H37868">
        <v>11969285</v>
      </c>
      <c r="I37868">
        <v>28733912</v>
      </c>
      <c r="J37868">
        <v>5</v>
      </c>
    </row>
    <row r="37869" spans="1:10" x14ac:dyDescent="0.25">
      <c r="A37869" t="s">
        <v>398</v>
      </c>
      <c r="B37869" s="1" t="str">
        <f>HYPERLINK("http://jacobs-erkelenz.de","jacobs-erkelenz.de")</f>
        <v>jacobs-erkelenz.de</v>
      </c>
      <c r="C37869" t="s">
        <v>436</v>
      </c>
      <c r="D37869" t="s">
        <v>815</v>
      </c>
      <c r="J37869">
        <v>5</v>
      </c>
    </row>
    <row r="37870" spans="1:10" x14ac:dyDescent="0.25">
      <c r="A37870" t="s">
        <v>398</v>
      </c>
      <c r="B37870" s="1" t="str">
        <f>HYPERLINK("http://jacobs-geilenkirchen.de","jacobs-geilenkirchen.de")</f>
        <v>jacobs-geilenkirchen.de</v>
      </c>
      <c r="C37870" t="s">
        <v>436</v>
      </c>
      <c r="D37870" t="s">
        <v>815</v>
      </c>
      <c r="J37870">
        <v>3</v>
      </c>
    </row>
    <row r="37871" spans="1:10" x14ac:dyDescent="0.25">
      <c r="A37871" t="s">
        <v>398</v>
      </c>
      <c r="B37871" s="1" t="str">
        <f>HYPERLINK("http://jacobs-gruppe.de","jacobs-gruppe.de")</f>
        <v>jacobs-gruppe.de</v>
      </c>
      <c r="C37871" t="s">
        <v>436</v>
      </c>
      <c r="D37871" t="s">
        <v>815</v>
      </c>
      <c r="F37871">
        <v>3.8256415849277603E-8</v>
      </c>
      <c r="G37871">
        <v>1353080</v>
      </c>
      <c r="H37871">
        <v>12977169</v>
      </c>
      <c r="I37871">
        <v>13008413</v>
      </c>
      <c r="J37871">
        <v>3</v>
      </c>
    </row>
    <row r="37872" spans="1:10" x14ac:dyDescent="0.25">
      <c r="A37872" t="s">
        <v>398</v>
      </c>
      <c r="B37872" s="1" t="str">
        <f>HYPERLINK("http://jacobs-heinsberg.de","jacobs-heinsberg.de")</f>
        <v>jacobs-heinsberg.de</v>
      </c>
      <c r="C37872" t="s">
        <v>436</v>
      </c>
      <c r="D37872" t="s">
        <v>815</v>
      </c>
      <c r="J37872">
        <v>3</v>
      </c>
    </row>
    <row r="37873" spans="1:10" x14ac:dyDescent="0.25">
      <c r="A37873" t="s">
        <v>398</v>
      </c>
      <c r="B37873" s="1" t="str">
        <f>HYPERLINK("http://jacobs-neuenhofstrasse.de","jacobs-neuenhofstrasse.de")</f>
        <v>jacobs-neuenhofstrasse.de</v>
      </c>
      <c r="C37873" t="s">
        <v>436</v>
      </c>
      <c r="D37873" t="s">
        <v>815</v>
      </c>
      <c r="J37873">
        <v>4</v>
      </c>
    </row>
    <row r="37874" spans="1:10" x14ac:dyDescent="0.25">
      <c r="A37874" t="s">
        <v>398</v>
      </c>
      <c r="B37874" s="1" t="str">
        <f>HYPERLINK("http://jacobs-simmerath.de","jacobs-simmerath.de")</f>
        <v>jacobs-simmerath.de</v>
      </c>
      <c r="C37874" t="s">
        <v>436</v>
      </c>
      <c r="D37874" t="s">
        <v>815</v>
      </c>
      <c r="J37874">
        <v>5</v>
      </c>
    </row>
    <row r="37875" spans="1:10" x14ac:dyDescent="0.25">
      <c r="A37875" t="s">
        <v>398</v>
      </c>
      <c r="B37875" s="1" t="str">
        <f>HYPERLINK("http://jacobs-stolberg.de","jacobs-stolberg.de")</f>
        <v>jacobs-stolberg.de</v>
      </c>
      <c r="C37875" t="s">
        <v>436</v>
      </c>
      <c r="D37875" t="s">
        <v>815</v>
      </c>
      <c r="J37875">
        <v>5</v>
      </c>
    </row>
    <row r="37876" spans="1:10" x14ac:dyDescent="0.25">
      <c r="A37876" t="s">
        <v>398</v>
      </c>
      <c r="B37876" s="1" t="str">
        <f>HYPERLINK("http://jacobs-uebach-palenberg.de","jacobs-uebach-palenberg.de")</f>
        <v>jacobs-uebach-palenberg.de</v>
      </c>
      <c r="C37876" t="s">
        <v>436</v>
      </c>
      <c r="D37876" t="s">
        <v>815</v>
      </c>
      <c r="J37876">
        <v>5</v>
      </c>
    </row>
    <row r="37877" spans="1:10" x14ac:dyDescent="0.25">
      <c r="A37877" t="s">
        <v>398</v>
      </c>
      <c r="B37877" s="1" t="str">
        <f>HYPERLINK("http://jelinek-automobile.de","jelinek-automobile.de")</f>
        <v>jelinek-automobile.de</v>
      </c>
      <c r="C37877" t="s">
        <v>436</v>
      </c>
      <c r="D37877" t="s">
        <v>815</v>
      </c>
      <c r="F37877">
        <v>5.3427946523626298E-9</v>
      </c>
      <c r="G37877">
        <v>22896845</v>
      </c>
      <c r="H37877">
        <v>12212627</v>
      </c>
      <c r="I37877">
        <v>22963262</v>
      </c>
      <c r="J37877">
        <v>4</v>
      </c>
    </row>
    <row r="37878" spans="1:10" x14ac:dyDescent="0.25">
      <c r="A37878" t="s">
        <v>398</v>
      </c>
      <c r="B37878" s="1" t="str">
        <f>HYPERLINK("http://jensen-wittstock.de","jensen-wittstock.de")</f>
        <v>jensen-wittstock.de</v>
      </c>
      <c r="C37878" t="s">
        <v>436</v>
      </c>
      <c r="D37878" t="s">
        <v>815</v>
      </c>
      <c r="F37878">
        <v>4.44380395335525E-9</v>
      </c>
      <c r="G37878">
        <v>84403205</v>
      </c>
      <c r="H37878">
        <v>0</v>
      </c>
      <c r="I37878">
        <v>85448834</v>
      </c>
      <c r="J37878">
        <v>3</v>
      </c>
    </row>
    <row r="37879" spans="1:10" x14ac:dyDescent="0.25">
      <c r="A37879" t="s">
        <v>398</v>
      </c>
      <c r="B37879" s="1" t="str">
        <f>HYPERLINK("http://jepsen-autogruppe.de","jepsen-autogruppe.de")</f>
        <v>jepsen-autogruppe.de</v>
      </c>
      <c r="C37879" t="s">
        <v>436</v>
      </c>
      <c r="D37879" t="s">
        <v>815</v>
      </c>
      <c r="F37879">
        <v>1.9943318659956298E-8</v>
      </c>
      <c r="G37879">
        <v>2667931</v>
      </c>
      <c r="H37879">
        <v>12406225</v>
      </c>
      <c r="I37879">
        <v>18668912</v>
      </c>
      <c r="J37879">
        <v>3</v>
      </c>
    </row>
    <row r="37880" spans="1:10" x14ac:dyDescent="0.25">
      <c r="A37880" t="s">
        <v>398</v>
      </c>
      <c r="B37880" s="1" t="str">
        <f>HYPERLINK("http://kaesmann.de","kaesmann.de")</f>
        <v>kaesmann.de</v>
      </c>
      <c r="C37880" t="s">
        <v>436</v>
      </c>
      <c r="D37880" t="s">
        <v>815</v>
      </c>
      <c r="F37880">
        <v>1.4948042999886401E-8</v>
      </c>
      <c r="G37880">
        <v>3856723</v>
      </c>
      <c r="H37880">
        <v>12450141</v>
      </c>
      <c r="I37880">
        <v>17995214</v>
      </c>
      <c r="J37880">
        <v>3</v>
      </c>
    </row>
    <row r="37881" spans="1:10" x14ac:dyDescent="0.25">
      <c r="A37881" t="s">
        <v>398</v>
      </c>
      <c r="B37881" s="1" t="str">
        <f>HYPERLINK("http://kandziorra.de","kandziorra.de")</f>
        <v>kandziorra.de</v>
      </c>
      <c r="C37881" t="s">
        <v>436</v>
      </c>
      <c r="D37881" t="s">
        <v>815</v>
      </c>
      <c r="F37881">
        <v>5.3708366106155304E-9</v>
      </c>
      <c r="G37881">
        <v>22531242</v>
      </c>
      <c r="H37881">
        <v>12062859</v>
      </c>
      <c r="I37881">
        <v>26942893</v>
      </c>
      <c r="J37881">
        <v>3</v>
      </c>
    </row>
    <row r="37882" spans="1:10" x14ac:dyDescent="0.25">
      <c r="A37882" t="s">
        <v>398</v>
      </c>
      <c r="B37882" s="1" t="str">
        <f>HYPERLINK("http://kapinsky.de","kapinsky.de")</f>
        <v>kapinsky.de</v>
      </c>
      <c r="C37882" t="s">
        <v>436</v>
      </c>
      <c r="D37882" t="s">
        <v>815</v>
      </c>
      <c r="F37882">
        <v>6.9799080747415197E-9</v>
      </c>
      <c r="G37882">
        <v>12371605</v>
      </c>
      <c r="H37882">
        <v>12213717</v>
      </c>
      <c r="I37882">
        <v>22933312</v>
      </c>
      <c r="J37882">
        <v>3</v>
      </c>
    </row>
    <row r="37883" spans="1:10" x14ac:dyDescent="0.25">
      <c r="A37883" t="s">
        <v>398</v>
      </c>
      <c r="B37883" s="1" t="str">
        <f>HYPERLINK("http://kleinschloemer.de","kleinschloemer.de")</f>
        <v>kleinschloemer.de</v>
      </c>
      <c r="C37883" t="s">
        <v>436</v>
      </c>
      <c r="D37883" t="s">
        <v>815</v>
      </c>
      <c r="F37883">
        <v>4.7866903055905198E-9</v>
      </c>
      <c r="G37883">
        <v>36683918</v>
      </c>
      <c r="H37883">
        <v>12088433</v>
      </c>
      <c r="I37883">
        <v>26299030</v>
      </c>
      <c r="J37883">
        <v>4</v>
      </c>
    </row>
    <row r="37884" spans="1:10" x14ac:dyDescent="0.25">
      <c r="A37884" t="s">
        <v>398</v>
      </c>
      <c r="B37884" s="1" t="str">
        <f>HYPERLINK("http://knubel.de","knubel.de")</f>
        <v>knubel.de</v>
      </c>
      <c r="C37884" t="s">
        <v>436</v>
      </c>
      <c r="D37884" t="s">
        <v>815</v>
      </c>
      <c r="F37884">
        <v>2.03063157374889E-8</v>
      </c>
      <c r="G37884">
        <v>2613182</v>
      </c>
      <c r="H37884">
        <v>14127029</v>
      </c>
      <c r="I37884">
        <v>2090000</v>
      </c>
      <c r="J37884">
        <v>3</v>
      </c>
    </row>
    <row r="37885" spans="1:10" x14ac:dyDescent="0.25">
      <c r="A37885" t="s">
        <v>398</v>
      </c>
      <c r="B37885" s="1" t="str">
        <f>HYPERLINK("http://koch-autogruppe.de","koch-autogruppe.de")</f>
        <v>koch-autogruppe.de</v>
      </c>
      <c r="C37885" t="s">
        <v>436</v>
      </c>
      <c r="D37885" t="s">
        <v>815</v>
      </c>
      <c r="F37885">
        <v>2.3824641533427199E-8</v>
      </c>
      <c r="G37885">
        <v>2180699</v>
      </c>
      <c r="H37885">
        <v>12481838</v>
      </c>
      <c r="I37885">
        <v>17582121</v>
      </c>
      <c r="J37885">
        <v>3</v>
      </c>
    </row>
    <row r="37886" spans="1:10" x14ac:dyDescent="0.25">
      <c r="A37886" t="s">
        <v>398</v>
      </c>
      <c r="B37886" s="1" t="str">
        <f>HYPERLINK("http://koehler-seat.de","koehler-seat.de")</f>
        <v>koehler-seat.de</v>
      </c>
      <c r="C37886" t="s">
        <v>436</v>
      </c>
      <c r="D37886" t="s">
        <v>815</v>
      </c>
      <c r="J37886">
        <v>4</v>
      </c>
    </row>
    <row r="37887" spans="1:10" x14ac:dyDescent="0.25">
      <c r="A37887" t="s">
        <v>398</v>
      </c>
      <c r="B37887" s="1" t="str">
        <f>HYPERLINK("http://kuestengarage.de","kuestengarage.de")</f>
        <v>kuestengarage.de</v>
      </c>
      <c r="C37887" t="s">
        <v>436</v>
      </c>
      <c r="D37887" t="s">
        <v>815</v>
      </c>
      <c r="F37887">
        <v>4.6914504534512201E-9</v>
      </c>
      <c r="G37887">
        <v>41715120</v>
      </c>
      <c r="H37887">
        <v>9442303</v>
      </c>
      <c r="I37887">
        <v>66638077</v>
      </c>
      <c r="J37887">
        <v>3</v>
      </c>
    </row>
    <row r="37888" spans="1:10" x14ac:dyDescent="0.25">
      <c r="A37888" t="s">
        <v>398</v>
      </c>
      <c r="B37888" s="1" t="str">
        <f>HYPERLINK("http://lampa.de","lampa.de")</f>
        <v>lampa.de</v>
      </c>
      <c r="C37888" t="s">
        <v>436</v>
      </c>
      <c r="D37888" t="s">
        <v>815</v>
      </c>
      <c r="F37888">
        <v>6.9569346773434202E-9</v>
      </c>
      <c r="G37888">
        <v>12442219</v>
      </c>
      <c r="H37888">
        <v>12268628</v>
      </c>
      <c r="I37888">
        <v>21553148</v>
      </c>
      <c r="J37888">
        <v>3</v>
      </c>
    </row>
    <row r="37889" spans="1:10" x14ac:dyDescent="0.25">
      <c r="A37889" t="s">
        <v>398</v>
      </c>
      <c r="B37889" s="1" t="str">
        <f>HYPERLINK("http://leiting-automobile.de","leiting-automobile.de")</f>
        <v>leiting-automobile.de</v>
      </c>
      <c r="C37889" t="s">
        <v>436</v>
      </c>
      <c r="D37889" t="s">
        <v>815</v>
      </c>
      <c r="F37889">
        <v>8.2309062586030193E-9</v>
      </c>
      <c r="G37889">
        <v>9430743</v>
      </c>
      <c r="H37889">
        <v>10819206</v>
      </c>
      <c r="I37889">
        <v>37642377</v>
      </c>
      <c r="J37889">
        <v>4</v>
      </c>
    </row>
    <row r="37890" spans="1:10" x14ac:dyDescent="0.25">
      <c r="A37890" t="s">
        <v>398</v>
      </c>
      <c r="B37890" s="1" t="str">
        <f>HYPERLINK("http://liebeautos.de","liebeautos.de")</f>
        <v>liebeautos.de</v>
      </c>
      <c r="C37890" t="s">
        <v>436</v>
      </c>
      <c r="D37890" t="s">
        <v>815</v>
      </c>
      <c r="F37890">
        <v>3.7266557563710802E-8</v>
      </c>
      <c r="G37890">
        <v>1389618</v>
      </c>
      <c r="H37890">
        <v>12464620</v>
      </c>
      <c r="I37890">
        <v>17821406</v>
      </c>
      <c r="J37890">
        <v>4</v>
      </c>
    </row>
    <row r="37891" spans="1:10" x14ac:dyDescent="0.25">
      <c r="A37891" t="s">
        <v>398</v>
      </c>
      <c r="B37891" s="1" t="str">
        <f>HYPERLINK("http://loehr-automeile.de","loehr-automeile.de")</f>
        <v>loehr-automeile.de</v>
      </c>
      <c r="C37891" t="s">
        <v>436</v>
      </c>
      <c r="D37891" t="s">
        <v>815</v>
      </c>
      <c r="J37891">
        <v>3</v>
      </c>
    </row>
    <row r="37892" spans="1:10" x14ac:dyDescent="0.25">
      <c r="A37892" t="s">
        <v>398</v>
      </c>
      <c r="B37892" s="1" t="str">
        <f>HYPERLINK("http://loehrgruppe.de","loehrgruppe.de")</f>
        <v>loehrgruppe.de</v>
      </c>
      <c r="C37892" t="s">
        <v>436</v>
      </c>
      <c r="D37892" t="s">
        <v>815</v>
      </c>
      <c r="F37892">
        <v>8.4036572127290294E-8</v>
      </c>
      <c r="G37892">
        <v>492428</v>
      </c>
      <c r="H37892">
        <v>13176049</v>
      </c>
      <c r="I37892">
        <v>11698860</v>
      </c>
      <c r="J37892">
        <v>4</v>
      </c>
    </row>
    <row r="37893" spans="1:10" x14ac:dyDescent="0.25">
      <c r="A37893" t="s">
        <v>398</v>
      </c>
      <c r="B37893" s="1" t="str">
        <f>HYPERLINK("http://logpay.de","logpay.de")</f>
        <v>logpay.de</v>
      </c>
      <c r="C37893" t="s">
        <v>436</v>
      </c>
      <c r="D37893" t="s">
        <v>815</v>
      </c>
      <c r="E37893">
        <v>978335</v>
      </c>
      <c r="F37893">
        <v>3.480269288481E-7</v>
      </c>
      <c r="G37893">
        <v>107388</v>
      </c>
      <c r="H37893">
        <v>16835234</v>
      </c>
      <c r="I37893">
        <v>164097</v>
      </c>
      <c r="J37893">
        <v>3</v>
      </c>
    </row>
    <row r="37894" spans="1:10" x14ac:dyDescent="0.25">
      <c r="A37894" t="s">
        <v>398</v>
      </c>
      <c r="B37894" s="1" t="str">
        <f>HYPERLINK("http://logpay-ts.de","logpay-ts.de")</f>
        <v>logpay-ts.de</v>
      </c>
      <c r="C37894" t="s">
        <v>436</v>
      </c>
      <c r="D37894" t="s">
        <v>815</v>
      </c>
      <c r="F37894">
        <v>4.1180228758079799E-8</v>
      </c>
      <c r="G37894">
        <v>1260828</v>
      </c>
      <c r="H37894">
        <v>14030246</v>
      </c>
      <c r="I37894">
        <v>3937543</v>
      </c>
      <c r="J37894">
        <v>3</v>
      </c>
    </row>
    <row r="37895" spans="1:10" x14ac:dyDescent="0.25">
      <c r="A37895" t="s">
        <v>398</v>
      </c>
      <c r="B37895" s="1" t="str">
        <f>HYPERLINK("http://ludwigsfelde-igmetall.de","ludwigsfelde-igmetall.de")</f>
        <v>ludwigsfelde-igmetall.de</v>
      </c>
      <c r="C37895" t="s">
        <v>436</v>
      </c>
      <c r="D37895" t="s">
        <v>815</v>
      </c>
      <c r="F37895">
        <v>5.6916005584827701E-9</v>
      </c>
      <c r="G37895">
        <v>19031779</v>
      </c>
      <c r="H37895">
        <v>11178706</v>
      </c>
      <c r="I37895">
        <v>31446873</v>
      </c>
      <c r="J37895">
        <v>7</v>
      </c>
    </row>
    <row r="37896" spans="1:10" x14ac:dyDescent="0.25">
      <c r="A37896" t="s">
        <v>398</v>
      </c>
      <c r="B37896" s="1" t="str">
        <f>HYPERLINK("http://maeke-autohaus.de","maeke-autohaus.de")</f>
        <v>maeke-autohaus.de</v>
      </c>
      <c r="C37896" t="s">
        <v>436</v>
      </c>
      <c r="D37896" t="s">
        <v>815</v>
      </c>
      <c r="F37896">
        <v>4.6093679319620396E-9</v>
      </c>
      <c r="G37896">
        <v>46889034</v>
      </c>
      <c r="H37896">
        <v>10677889</v>
      </c>
      <c r="I37896">
        <v>42796669</v>
      </c>
      <c r="J37896">
        <v>3</v>
      </c>
    </row>
    <row r="37897" spans="1:10" x14ac:dyDescent="0.25">
      <c r="A37897" t="s">
        <v>398</v>
      </c>
      <c r="B37897" s="1" t="str">
        <f>HYPERLINK("http://mahag.de","mahag.de")</f>
        <v>mahag.de</v>
      </c>
      <c r="C37897" t="s">
        <v>436</v>
      </c>
      <c r="D37897" t="s">
        <v>815</v>
      </c>
      <c r="F37897">
        <v>9.6474780759015005E-8</v>
      </c>
      <c r="G37897">
        <v>419155</v>
      </c>
      <c r="H37897">
        <v>13162467</v>
      </c>
      <c r="I37897">
        <v>11765072</v>
      </c>
      <c r="J37897">
        <v>3</v>
      </c>
    </row>
    <row r="37898" spans="1:10" x14ac:dyDescent="0.25">
      <c r="A37898" t="s">
        <v>398</v>
      </c>
      <c r="B37898" s="1" t="str">
        <f>HYPERLINK("http://man.de","man.de")</f>
        <v>man.de</v>
      </c>
      <c r="C37898" t="s">
        <v>436</v>
      </c>
      <c r="D37898" t="s">
        <v>815</v>
      </c>
      <c r="E37898">
        <v>476082</v>
      </c>
      <c r="F37898">
        <v>1.0057928889718101E-7</v>
      </c>
      <c r="G37898">
        <v>399829</v>
      </c>
      <c r="H37898">
        <v>14847024</v>
      </c>
      <c r="I37898">
        <v>492991</v>
      </c>
      <c r="J37898">
        <v>4</v>
      </c>
    </row>
    <row r="37899" spans="1:10" x14ac:dyDescent="0.25">
      <c r="A37899" t="s">
        <v>398</v>
      </c>
      <c r="B37899" s="1" t="str">
        <f>HYPERLINK("http://man-topused.de","man-topused.de")</f>
        <v>man-topused.de</v>
      </c>
      <c r="C37899" t="s">
        <v>436</v>
      </c>
      <c r="D37899" t="s">
        <v>815</v>
      </c>
      <c r="F37899">
        <v>8.3606874476558396E-9</v>
      </c>
      <c r="G37899">
        <v>9124116</v>
      </c>
      <c r="H37899">
        <v>12146100</v>
      </c>
      <c r="I37899">
        <v>24721847</v>
      </c>
      <c r="J37899">
        <v>5</v>
      </c>
    </row>
    <row r="37900" spans="1:10" x14ac:dyDescent="0.25">
      <c r="A37900" t="s">
        <v>398</v>
      </c>
      <c r="B37900" s="1" t="str">
        <f>HYPERLINK("http://manthey-racing.de","manthey-racing.de")</f>
        <v>manthey-racing.de</v>
      </c>
      <c r="C37900" t="s">
        <v>436</v>
      </c>
      <c r="D37900" t="s">
        <v>815</v>
      </c>
      <c r="F37900">
        <v>5.61839210859663E-8</v>
      </c>
      <c r="G37900">
        <v>796731</v>
      </c>
      <c r="H37900">
        <v>14079277</v>
      </c>
      <c r="I37900">
        <v>2834786</v>
      </c>
      <c r="J37900">
        <v>3</v>
      </c>
    </row>
    <row r="37901" spans="1:10" x14ac:dyDescent="0.25">
      <c r="A37901" t="s">
        <v>398</v>
      </c>
      <c r="B37901" s="1" t="str">
        <f>HYPERLINK("http://mantruckandbus.de","mantruckandbus.de")</f>
        <v>mantruckandbus.de</v>
      </c>
      <c r="C37901" t="s">
        <v>436</v>
      </c>
      <c r="D37901" t="s">
        <v>815</v>
      </c>
      <c r="F37901">
        <v>2.4330218342340099E-8</v>
      </c>
      <c r="G37901">
        <v>2130938</v>
      </c>
      <c r="H37901">
        <v>14075570</v>
      </c>
      <c r="I37901">
        <v>2905862</v>
      </c>
      <c r="J37901">
        <v>5</v>
      </c>
    </row>
    <row r="37902" spans="1:10" x14ac:dyDescent="0.25">
      <c r="A37902" t="s">
        <v>398</v>
      </c>
      <c r="B37902" s="1" t="str">
        <f>HYPERLINK("http://marnet.de","marnet.de")</f>
        <v>marnet.de</v>
      </c>
      <c r="C37902" t="s">
        <v>436</v>
      </c>
      <c r="D37902" t="s">
        <v>815</v>
      </c>
      <c r="F37902">
        <v>2.3831600327990099E-8</v>
      </c>
      <c r="G37902">
        <v>2179957</v>
      </c>
      <c r="H37902">
        <v>13646405</v>
      </c>
      <c r="I37902">
        <v>9607946</v>
      </c>
      <c r="J37902">
        <v>3</v>
      </c>
    </row>
    <row r="37903" spans="1:10" x14ac:dyDescent="0.25">
      <c r="A37903" t="s">
        <v>398</v>
      </c>
      <c r="B37903" s="1" t="str">
        <f>HYPERLINK("http://maschek-automobile.de","maschek-automobile.de")</f>
        <v>maschek-automobile.de</v>
      </c>
      <c r="C37903" t="s">
        <v>436</v>
      </c>
      <c r="D37903" t="s">
        <v>815</v>
      </c>
      <c r="F37903">
        <v>1.4967093162337601E-8</v>
      </c>
      <c r="G37903">
        <v>3850558</v>
      </c>
      <c r="H37903">
        <v>12373907</v>
      </c>
      <c r="I37903">
        <v>19336060</v>
      </c>
      <c r="J37903">
        <v>4</v>
      </c>
    </row>
    <row r="37904" spans="1:10" x14ac:dyDescent="0.25">
      <c r="A37904" t="s">
        <v>398</v>
      </c>
      <c r="B37904" s="1" t="str">
        <f>HYPERLINK("http://maxgruppe.de","maxgruppe.de")</f>
        <v>maxgruppe.de</v>
      </c>
      <c r="C37904" t="s">
        <v>436</v>
      </c>
      <c r="D37904" t="s">
        <v>815</v>
      </c>
      <c r="F37904">
        <v>1.90102343428066E-8</v>
      </c>
      <c r="G37904">
        <v>2834214</v>
      </c>
      <c r="H37904">
        <v>12882836</v>
      </c>
      <c r="I37904">
        <v>13984615</v>
      </c>
      <c r="J37904">
        <v>3</v>
      </c>
    </row>
    <row r="37905" spans="1:10" x14ac:dyDescent="0.25">
      <c r="A37905" t="s">
        <v>398</v>
      </c>
      <c r="B37905" s="1" t="str">
        <f>HYPERLINK("http://maxmoritz.de","maxmoritz.de")</f>
        <v>maxmoritz.de</v>
      </c>
      <c r="C37905" t="s">
        <v>436</v>
      </c>
      <c r="D37905" t="s">
        <v>815</v>
      </c>
      <c r="F37905">
        <v>7.6451461935909701E-9</v>
      </c>
      <c r="G37905">
        <v>10695765</v>
      </c>
      <c r="H37905">
        <v>13768350</v>
      </c>
      <c r="I37905">
        <v>6880475</v>
      </c>
      <c r="J37905">
        <v>3</v>
      </c>
    </row>
    <row r="37906" spans="1:10" x14ac:dyDescent="0.25">
      <c r="A37906" t="s">
        <v>398</v>
      </c>
      <c r="B37906" s="1" t="str">
        <f>HYPERLINK("http://mcl-roetgen.de","mcl-roetgen.de")</f>
        <v>mcl-roetgen.de</v>
      </c>
      <c r="C37906" t="s">
        <v>436</v>
      </c>
      <c r="D37906" t="s">
        <v>815</v>
      </c>
      <c r="F37906">
        <v>4.6380844546375E-9</v>
      </c>
      <c r="G37906">
        <v>44900593</v>
      </c>
      <c r="H37906">
        <v>12137434</v>
      </c>
      <c r="I37906">
        <v>24936319</v>
      </c>
      <c r="J37906">
        <v>4</v>
      </c>
    </row>
    <row r="37907" spans="1:10" x14ac:dyDescent="0.25">
      <c r="A37907" t="s">
        <v>398</v>
      </c>
      <c r="B37907" s="1" t="str">
        <f>HYPERLINK("http://mein-autozentrum.de","mein-autozentrum.de")</f>
        <v>mein-autozentrum.de</v>
      </c>
      <c r="C37907" t="s">
        <v>436</v>
      </c>
      <c r="D37907" t="s">
        <v>815</v>
      </c>
      <c r="F37907">
        <v>2.01972305359637E-8</v>
      </c>
      <c r="G37907">
        <v>2629447</v>
      </c>
      <c r="H37907">
        <v>12535921</v>
      </c>
      <c r="I37907">
        <v>16978950</v>
      </c>
      <c r="J37907">
        <v>4</v>
      </c>
    </row>
    <row r="37908" spans="1:10" x14ac:dyDescent="0.25">
      <c r="A37908" t="s">
        <v>398</v>
      </c>
      <c r="B37908" s="1" t="str">
        <f>HYPERLINK("http://meissen-richter.de","meissen-richter.de")</f>
        <v>meissen-richter.de</v>
      </c>
      <c r="C37908" t="s">
        <v>436</v>
      </c>
      <c r="D37908" t="s">
        <v>815</v>
      </c>
      <c r="J37908">
        <v>4</v>
      </c>
    </row>
    <row r="37909" spans="1:10" x14ac:dyDescent="0.25">
      <c r="A37909" t="s">
        <v>398</v>
      </c>
      <c r="B37909" s="1" t="str">
        <f>HYPERLINK("http://menke-olsberg.de","menke-olsberg.de")</f>
        <v>menke-olsberg.de</v>
      </c>
      <c r="C37909" t="s">
        <v>436</v>
      </c>
      <c r="D37909" t="s">
        <v>815</v>
      </c>
      <c r="F37909">
        <v>4.8336990326056098E-9</v>
      </c>
      <c r="G37909">
        <v>34706396</v>
      </c>
      <c r="H37909">
        <v>10513322</v>
      </c>
      <c r="I37909">
        <v>49351302</v>
      </c>
      <c r="J37909">
        <v>3</v>
      </c>
    </row>
    <row r="37910" spans="1:10" x14ac:dyDescent="0.25">
      <c r="A37910" t="s">
        <v>398</v>
      </c>
      <c r="B37910" s="1" t="str">
        <f>HYPERLINK("http://messink.de","messink.de")</f>
        <v>messink.de</v>
      </c>
      <c r="C37910" t="s">
        <v>436</v>
      </c>
      <c r="D37910" t="s">
        <v>815</v>
      </c>
      <c r="F37910">
        <v>1.6066092690883501E-8</v>
      </c>
      <c r="G37910">
        <v>3529273</v>
      </c>
      <c r="H37910">
        <v>12998961</v>
      </c>
      <c r="I37910">
        <v>12801599</v>
      </c>
      <c r="J37910">
        <v>3</v>
      </c>
    </row>
    <row r="37911" spans="1:10" x14ac:dyDescent="0.25">
      <c r="A37911" t="s">
        <v>398</v>
      </c>
      <c r="B37911" s="1" t="str">
        <f>HYPERLINK("http://mhp.de","mhp.de")</f>
        <v>mhp.de</v>
      </c>
      <c r="C37911" t="s">
        <v>436</v>
      </c>
      <c r="D37911" t="s">
        <v>815</v>
      </c>
      <c r="F37911">
        <v>7.2296979702503299E-9</v>
      </c>
      <c r="G37911">
        <v>11658201</v>
      </c>
      <c r="H37911">
        <v>13204320</v>
      </c>
      <c r="I37911">
        <v>11534639</v>
      </c>
      <c r="J37911">
        <v>4</v>
      </c>
    </row>
    <row r="37912" spans="1:10" x14ac:dyDescent="0.25">
      <c r="A37912" t="s">
        <v>398</v>
      </c>
      <c r="B37912" s="1" t="str">
        <f>HYPERLINK("http://minden-igmetall.de","minden-igmetall.de")</f>
        <v>minden-igmetall.de</v>
      </c>
      <c r="C37912" t="s">
        <v>436</v>
      </c>
      <c r="D37912" t="s">
        <v>815</v>
      </c>
      <c r="F37912">
        <v>6.4682621468282698E-9</v>
      </c>
      <c r="G37912">
        <v>14213170</v>
      </c>
      <c r="H37912">
        <v>12256781</v>
      </c>
      <c r="I37912">
        <v>21851447</v>
      </c>
      <c r="J37912">
        <v>7</v>
      </c>
    </row>
    <row r="37913" spans="1:10" x14ac:dyDescent="0.25">
      <c r="A37913" t="s">
        <v>398</v>
      </c>
      <c r="B37913" s="1" t="str">
        <f>HYPERLINK("http://mirschel-automobile.de","mirschel-automobile.de")</f>
        <v>mirschel-automobile.de</v>
      </c>
      <c r="C37913" t="s">
        <v>436</v>
      </c>
      <c r="D37913" t="s">
        <v>815</v>
      </c>
      <c r="F37913">
        <v>4.4438735190882003E-9</v>
      </c>
      <c r="G37913">
        <v>78132667</v>
      </c>
      <c r="H37913">
        <v>11974565</v>
      </c>
      <c r="I37913">
        <v>28611785</v>
      </c>
      <c r="J37913">
        <v>3</v>
      </c>
    </row>
    <row r="37914" spans="1:10" x14ac:dyDescent="0.25">
      <c r="A37914" t="s">
        <v>398</v>
      </c>
      <c r="B37914" s="1" t="str">
        <f>HYPERLINK("http://mmi-akademie.de","mmi-akademie.de")</f>
        <v>mmi-akademie.de</v>
      </c>
      <c r="C37914" t="s">
        <v>436</v>
      </c>
      <c r="D37914" t="s">
        <v>815</v>
      </c>
      <c r="F37914">
        <v>6.1322249887838003E-9</v>
      </c>
      <c r="G37914">
        <v>15913475</v>
      </c>
      <c r="H37914">
        <v>10724186</v>
      </c>
      <c r="I37914">
        <v>41424825</v>
      </c>
      <c r="J37914">
        <v>3</v>
      </c>
    </row>
    <row r="37915" spans="1:10" x14ac:dyDescent="0.25">
      <c r="A37915" t="s">
        <v>398</v>
      </c>
      <c r="B37915" s="1" t="str">
        <f>HYPERLINK("http://moebus-gruppe.de","moebus-gruppe.de")</f>
        <v>moebus-gruppe.de</v>
      </c>
      <c r="C37915" t="s">
        <v>436</v>
      </c>
      <c r="D37915" t="s">
        <v>815</v>
      </c>
      <c r="F37915">
        <v>9.7735961490911103E-9</v>
      </c>
      <c r="G37915">
        <v>6997445</v>
      </c>
      <c r="H37915">
        <v>12372442</v>
      </c>
      <c r="I37915">
        <v>19367367</v>
      </c>
      <c r="J37915">
        <v>4</v>
      </c>
    </row>
    <row r="37916" spans="1:10" x14ac:dyDescent="0.25">
      <c r="A37916" t="s">
        <v>398</v>
      </c>
      <c r="B37916" s="1" t="str">
        <f>HYPERLINK("http://motor-fashion.de","motor-fashion.de")</f>
        <v>motor-fashion.de</v>
      </c>
      <c r="C37916" t="s">
        <v>436</v>
      </c>
      <c r="D37916" t="s">
        <v>815</v>
      </c>
      <c r="F37916">
        <v>4.7807148830208896E-9</v>
      </c>
      <c r="G37916">
        <v>36926315</v>
      </c>
      <c r="H37916">
        <v>1.0003663</v>
      </c>
      <c r="I37916">
        <v>79293068</v>
      </c>
      <c r="J37916">
        <v>4</v>
      </c>
    </row>
    <row r="37917" spans="1:10" x14ac:dyDescent="0.25">
      <c r="A37917" t="s">
        <v>398</v>
      </c>
      <c r="B37917" s="1" t="str">
        <f>HYPERLINK("http://motorradmeisterei.de","motorradmeisterei.de")</f>
        <v>motorradmeisterei.de</v>
      </c>
      <c r="C37917" t="s">
        <v>436</v>
      </c>
      <c r="D37917" t="s">
        <v>815</v>
      </c>
      <c r="F37917">
        <v>8.5289689047881001E-9</v>
      </c>
      <c r="G37917">
        <v>8789365</v>
      </c>
      <c r="H37917">
        <v>12274928</v>
      </c>
      <c r="I37917">
        <v>21416695</v>
      </c>
      <c r="J37917">
        <v>4</v>
      </c>
    </row>
    <row r="37918" spans="1:10" x14ac:dyDescent="0.25">
      <c r="A37918" t="s">
        <v>398</v>
      </c>
      <c r="B37918" s="1" t="str">
        <f>HYPERLINK("http://mts-mobile.de","mts-mobile.de")</f>
        <v>mts-mobile.de</v>
      </c>
      <c r="C37918" t="s">
        <v>436</v>
      </c>
      <c r="D37918" t="s">
        <v>815</v>
      </c>
      <c r="F37918">
        <v>1.1808863493995701E-8</v>
      </c>
      <c r="G37918">
        <v>5296698</v>
      </c>
      <c r="H37918">
        <v>13768777</v>
      </c>
      <c r="I37918">
        <v>6857563</v>
      </c>
      <c r="J37918">
        <v>4</v>
      </c>
    </row>
    <row r="37919" spans="1:10" x14ac:dyDescent="0.25">
      <c r="A37919" t="s">
        <v>398</v>
      </c>
      <c r="B37919" s="1" t="str">
        <f>HYPERLINK("http://my-motion.de","my-motion.de")</f>
        <v>my-motion.de</v>
      </c>
      <c r="C37919" t="s">
        <v>436</v>
      </c>
      <c r="D37919" t="s">
        <v>815</v>
      </c>
      <c r="F37919">
        <v>1.2075336125856401E-8</v>
      </c>
      <c r="G37919">
        <v>5128249</v>
      </c>
      <c r="H37919">
        <v>12036376</v>
      </c>
      <c r="I37919">
        <v>27529796</v>
      </c>
      <c r="J37919">
        <v>5</v>
      </c>
    </row>
    <row r="37920" spans="1:10" x14ac:dyDescent="0.25">
      <c r="A37920" t="s">
        <v>398</v>
      </c>
      <c r="B37920" s="1" t="str">
        <f>HYPERLINK("http://neoplan.de","neoplan.de")</f>
        <v>neoplan.de</v>
      </c>
      <c r="C37920" t="s">
        <v>436</v>
      </c>
      <c r="D37920" t="s">
        <v>815</v>
      </c>
      <c r="F37920">
        <v>9.9296072914903405E-9</v>
      </c>
      <c r="G37920">
        <v>6827686</v>
      </c>
      <c r="H37920">
        <v>14258667</v>
      </c>
      <c r="I37920">
        <v>1424380</v>
      </c>
      <c r="J37920">
        <v>4</v>
      </c>
    </row>
    <row r="37921" spans="1:10" x14ac:dyDescent="0.25">
      <c r="A37921" t="s">
        <v>398</v>
      </c>
      <c r="B37921" s="1" t="str">
        <f>HYPERLINK("http://nutzfahrzeugzentrum-offenbach.de","nutzfahrzeugzentrum-offenbach.de")</f>
        <v>nutzfahrzeugzentrum-offenbach.de</v>
      </c>
      <c r="C37921" t="s">
        <v>436</v>
      </c>
      <c r="D37921" t="s">
        <v>815</v>
      </c>
      <c r="F37921">
        <v>4.6375880100965898E-9</v>
      </c>
      <c r="G37921">
        <v>44933666</v>
      </c>
      <c r="H37921">
        <v>7961775</v>
      </c>
      <c r="I37921">
        <v>75296621</v>
      </c>
      <c r="J37921">
        <v>3</v>
      </c>
    </row>
    <row r="37922" spans="1:10" x14ac:dyDescent="0.25">
      <c r="A37922" t="s">
        <v>398</v>
      </c>
      <c r="B37922" s="1" t="str">
        <f>HYPERLINK("http://paul-dahn.de","paul-dahn.de")</f>
        <v>paul-dahn.de</v>
      </c>
      <c r="C37922" t="s">
        <v>436</v>
      </c>
      <c r="D37922" t="s">
        <v>815</v>
      </c>
      <c r="F37922">
        <v>4.44475259865021E-9</v>
      </c>
      <c r="G37922">
        <v>76204215</v>
      </c>
      <c r="H37922">
        <v>11974557</v>
      </c>
      <c r="I37922">
        <v>28622556</v>
      </c>
      <c r="J37922">
        <v>3</v>
      </c>
    </row>
    <row r="37923" spans="1:10" x14ac:dyDescent="0.25">
      <c r="A37923" t="s">
        <v>398</v>
      </c>
      <c r="B37923" s="1" t="str">
        <f>HYPERLINK("http://paybyphone.de","paybyphone.de")</f>
        <v>paybyphone.de</v>
      </c>
      <c r="C37923" t="s">
        <v>436</v>
      </c>
      <c r="D37923" t="s">
        <v>815</v>
      </c>
      <c r="F37923">
        <v>1.13150164071023E-7</v>
      </c>
      <c r="G37923">
        <v>352770</v>
      </c>
      <c r="H37923">
        <v>14048853</v>
      </c>
      <c r="I37923">
        <v>3896592</v>
      </c>
      <c r="J37923">
        <v>4</v>
      </c>
    </row>
    <row r="37924" spans="1:10" x14ac:dyDescent="0.25">
      <c r="A37924" t="s">
        <v>398</v>
      </c>
      <c r="B37924" s="1" t="str">
        <f>HYPERLINK("http://peugeot-lichtenberg.de","peugeot-lichtenberg.de")</f>
        <v>peugeot-lichtenberg.de</v>
      </c>
      <c r="C37924" t="s">
        <v>436</v>
      </c>
      <c r="D37924" t="s">
        <v>815</v>
      </c>
      <c r="J37924">
        <v>3</v>
      </c>
    </row>
    <row r="37925" spans="1:10" x14ac:dyDescent="0.25">
      <c r="A37925" t="s">
        <v>398</v>
      </c>
      <c r="B37925" s="1" t="str">
        <f>HYPERLINK("http://piepenstock.de","piepenstock.de")</f>
        <v>piepenstock.de</v>
      </c>
      <c r="C37925" t="s">
        <v>436</v>
      </c>
      <c r="D37925" t="s">
        <v>815</v>
      </c>
      <c r="F37925">
        <v>8.4059912367567894E-9</v>
      </c>
      <c r="G37925">
        <v>9030540</v>
      </c>
      <c r="H37925">
        <v>12537911</v>
      </c>
      <c r="I37925">
        <v>16962275</v>
      </c>
      <c r="J37925">
        <v>3</v>
      </c>
    </row>
    <row r="37926" spans="1:10" x14ac:dyDescent="0.25">
      <c r="A37926" t="s">
        <v>398</v>
      </c>
      <c r="B37926" s="1" t="str">
        <f>HYPERLINK("http://pillenstein.de","pillenstein.de")</f>
        <v>pillenstein.de</v>
      </c>
      <c r="C37926" t="s">
        <v>436</v>
      </c>
      <c r="D37926" t="s">
        <v>815</v>
      </c>
      <c r="F37926">
        <v>2.0176034145298601E-8</v>
      </c>
      <c r="G37926">
        <v>2632467</v>
      </c>
      <c r="H37926">
        <v>12399444</v>
      </c>
      <c r="I37926">
        <v>18857488</v>
      </c>
      <c r="J37926">
        <v>3</v>
      </c>
    </row>
    <row r="37927" spans="1:10" x14ac:dyDescent="0.25">
      <c r="A37927" t="s">
        <v>398</v>
      </c>
      <c r="B37927" s="1" t="str">
        <f>HYPERLINK("http://ploenges.de","ploenges.de")</f>
        <v>ploenges.de</v>
      </c>
      <c r="C37927" t="s">
        <v>436</v>
      </c>
      <c r="D37927" t="s">
        <v>815</v>
      </c>
      <c r="F37927">
        <v>4.7180692969749197E-9</v>
      </c>
      <c r="G37927">
        <v>40312223</v>
      </c>
      <c r="H37927">
        <v>8560105</v>
      </c>
      <c r="I37927">
        <v>71227657</v>
      </c>
      <c r="J37927">
        <v>3</v>
      </c>
    </row>
    <row r="37928" spans="1:10" x14ac:dyDescent="0.25">
      <c r="A37928" t="s">
        <v>398</v>
      </c>
      <c r="B37928" s="1" t="str">
        <f>HYPERLINK("http://porsche.de","porsche.de")</f>
        <v>porsche.de</v>
      </c>
      <c r="C37928" t="s">
        <v>436</v>
      </c>
      <c r="D37928" t="s">
        <v>815</v>
      </c>
      <c r="E37928">
        <v>105113</v>
      </c>
      <c r="F37928">
        <v>3.1716589336436298E-7</v>
      </c>
      <c r="G37928">
        <v>117260</v>
      </c>
      <c r="H37928">
        <v>15250190</v>
      </c>
      <c r="I37928">
        <v>390246</v>
      </c>
      <c r="J37928">
        <v>4</v>
      </c>
    </row>
    <row r="37929" spans="1:10" x14ac:dyDescent="0.25">
      <c r="A37929" t="s">
        <v>398</v>
      </c>
      <c r="B37929" s="1" t="str">
        <f>HYPERLINK("http://porsche-augsburg.de","porsche-augsburg.de")</f>
        <v>porsche-augsburg.de</v>
      </c>
      <c r="C37929" t="s">
        <v>436</v>
      </c>
      <c r="D37929" t="s">
        <v>815</v>
      </c>
      <c r="F37929">
        <v>1.3362870955029101E-8</v>
      </c>
      <c r="G37929">
        <v>4465545</v>
      </c>
      <c r="H37929">
        <v>14076763</v>
      </c>
      <c r="I37929">
        <v>2880363</v>
      </c>
      <c r="J37929">
        <v>4</v>
      </c>
    </row>
    <row r="37930" spans="1:10" x14ac:dyDescent="0.25">
      <c r="A37930" t="s">
        <v>398</v>
      </c>
      <c r="B37930" s="1" t="str">
        <f>HYPERLINK("http://porsche-bensberg.de","porsche-bensberg.de")</f>
        <v>porsche-bensberg.de</v>
      </c>
      <c r="C37930" t="s">
        <v>436</v>
      </c>
      <c r="D37930" t="s">
        <v>815</v>
      </c>
      <c r="F37930">
        <v>1.00662433910965E-8</v>
      </c>
      <c r="G37930">
        <v>6689414</v>
      </c>
      <c r="H37930">
        <v>13560003</v>
      </c>
      <c r="I37930">
        <v>9852912</v>
      </c>
      <c r="J37930">
        <v>4</v>
      </c>
    </row>
    <row r="37931" spans="1:10" x14ac:dyDescent="0.25">
      <c r="A37931" t="s">
        <v>398</v>
      </c>
      <c r="B37931" s="1" t="str">
        <f>HYPERLINK("http://porsche-boeblingen.de","porsche-boeblingen.de")</f>
        <v>porsche-boeblingen.de</v>
      </c>
      <c r="C37931" t="s">
        <v>436</v>
      </c>
      <c r="D37931" t="s">
        <v>815</v>
      </c>
      <c r="F37931">
        <v>1.3925800749102299E-8</v>
      </c>
      <c r="G37931">
        <v>4231143</v>
      </c>
      <c r="H37931">
        <v>12454836</v>
      </c>
      <c r="I37931">
        <v>17936852</v>
      </c>
      <c r="J37931">
        <v>4</v>
      </c>
    </row>
    <row r="37932" spans="1:10" x14ac:dyDescent="0.25">
      <c r="A37932" t="s">
        <v>398</v>
      </c>
      <c r="B37932" s="1" t="str">
        <f>HYPERLINK("http://porsche-bonn.de","porsche-bonn.de")</f>
        <v>porsche-bonn.de</v>
      </c>
      <c r="C37932" t="s">
        <v>436</v>
      </c>
      <c r="D37932" t="s">
        <v>815</v>
      </c>
      <c r="F37932">
        <v>1.36476784137349E-8</v>
      </c>
      <c r="G37932">
        <v>4342279</v>
      </c>
      <c r="H37932">
        <v>12427511</v>
      </c>
      <c r="I37932">
        <v>18339013</v>
      </c>
      <c r="J37932">
        <v>4</v>
      </c>
    </row>
    <row r="37933" spans="1:10" x14ac:dyDescent="0.25">
      <c r="A37933" t="s">
        <v>398</v>
      </c>
      <c r="B37933" s="1" t="str">
        <f>HYPERLINK("http://porsche-braunschweig.de","porsche-braunschweig.de")</f>
        <v>porsche-braunschweig.de</v>
      </c>
      <c r="C37933" t="s">
        <v>436</v>
      </c>
      <c r="D37933" t="s">
        <v>815</v>
      </c>
      <c r="F37933">
        <v>1.0434778013292701E-8</v>
      </c>
      <c r="G37933">
        <v>6327312</v>
      </c>
      <c r="H37933">
        <v>12497488</v>
      </c>
      <c r="I37933">
        <v>17385717</v>
      </c>
      <c r="J37933">
        <v>4</v>
      </c>
    </row>
    <row r="37934" spans="1:10" x14ac:dyDescent="0.25">
      <c r="A37934" t="s">
        <v>398</v>
      </c>
      <c r="B37934" s="1" t="str">
        <f>HYPERLINK("http://porsche-bremen.de","porsche-bremen.de")</f>
        <v>porsche-bremen.de</v>
      </c>
      <c r="C37934" t="s">
        <v>436</v>
      </c>
      <c r="D37934" t="s">
        <v>815</v>
      </c>
      <c r="F37934">
        <v>1.13155529851761E-8</v>
      </c>
      <c r="G37934">
        <v>5631846</v>
      </c>
      <c r="H37934">
        <v>13023115</v>
      </c>
      <c r="I37934">
        <v>12701486</v>
      </c>
      <c r="J37934">
        <v>4</v>
      </c>
    </row>
    <row r="37935" spans="1:10" x14ac:dyDescent="0.25">
      <c r="A37935" t="s">
        <v>398</v>
      </c>
      <c r="B37935" s="1" t="str">
        <f>HYPERLINK("http://porsche-design.de","porsche-design.de")</f>
        <v>porsche-design.de</v>
      </c>
      <c r="C37935" t="s">
        <v>436</v>
      </c>
      <c r="D37935" t="s">
        <v>815</v>
      </c>
      <c r="F37935">
        <v>1.06574621373481E-8</v>
      </c>
      <c r="G37935">
        <v>6135267</v>
      </c>
      <c r="H37935">
        <v>12489822</v>
      </c>
      <c r="I37935">
        <v>17492440</v>
      </c>
      <c r="J37935">
        <v>5</v>
      </c>
    </row>
    <row r="37936" spans="1:10" x14ac:dyDescent="0.25">
      <c r="A37936" t="s">
        <v>398</v>
      </c>
      <c r="B37936" s="1" t="str">
        <f>HYPERLINK("http://porsche-dresden.de","porsche-dresden.de")</f>
        <v>porsche-dresden.de</v>
      </c>
      <c r="C37936" t="s">
        <v>436</v>
      </c>
      <c r="D37936" t="s">
        <v>815</v>
      </c>
      <c r="F37936">
        <v>9.7419589559592306E-9</v>
      </c>
      <c r="G37936">
        <v>7032943</v>
      </c>
      <c r="H37936">
        <v>12045357</v>
      </c>
      <c r="I37936">
        <v>27359008</v>
      </c>
      <c r="J37936">
        <v>4</v>
      </c>
    </row>
    <row r="37937" spans="1:10" x14ac:dyDescent="0.25">
      <c r="A37937" t="s">
        <v>398</v>
      </c>
      <c r="B37937" s="1" t="str">
        <f>HYPERLINK("http://porsche-engineering.de","porsche-engineering.de")</f>
        <v>porsche-engineering.de</v>
      </c>
      <c r="C37937" t="s">
        <v>436</v>
      </c>
      <c r="D37937" t="s">
        <v>815</v>
      </c>
      <c r="F37937">
        <v>4.4737512807959104E-9</v>
      </c>
      <c r="G37937">
        <v>63682747</v>
      </c>
      <c r="H37937">
        <v>9846138</v>
      </c>
      <c r="I37937">
        <v>62194382</v>
      </c>
      <c r="J37937">
        <v>3</v>
      </c>
    </row>
    <row r="37938" spans="1:10" x14ac:dyDescent="0.25">
      <c r="A37938" t="s">
        <v>398</v>
      </c>
      <c r="B37938" s="1" t="str">
        <f>HYPERLINK("http://porsche-flughafen-stuttgart.de","porsche-flughafen-stuttgart.de")</f>
        <v>porsche-flughafen-stuttgart.de</v>
      </c>
      <c r="C37938" t="s">
        <v>436</v>
      </c>
      <c r="D37938" t="s">
        <v>815</v>
      </c>
      <c r="F37938">
        <v>8.1813397352199092E-9</v>
      </c>
      <c r="G37938">
        <v>9602668</v>
      </c>
      <c r="H37938">
        <v>12460714</v>
      </c>
      <c r="I37938">
        <v>17868298</v>
      </c>
      <c r="J37938">
        <v>4</v>
      </c>
    </row>
    <row r="37939" spans="1:10" x14ac:dyDescent="0.25">
      <c r="A37939" t="s">
        <v>398</v>
      </c>
      <c r="B37939" s="1" t="str">
        <f>HYPERLINK("http://porsche-hamburg.de","porsche-hamburg.de")</f>
        <v>porsche-hamburg.de</v>
      </c>
      <c r="C37939" t="s">
        <v>436</v>
      </c>
      <c r="D37939" t="s">
        <v>815</v>
      </c>
      <c r="F37939">
        <v>2.13459135728232E-8</v>
      </c>
      <c r="G37939">
        <v>2468489</v>
      </c>
      <c r="H37939">
        <v>12698137</v>
      </c>
      <c r="I37939">
        <v>15370442</v>
      </c>
      <c r="J37939">
        <v>4</v>
      </c>
    </row>
    <row r="37940" spans="1:10" x14ac:dyDescent="0.25">
      <c r="A37940" t="s">
        <v>398</v>
      </c>
      <c r="B37940" s="1" t="str">
        <f>HYPERLINK("http://porsche-hofheim.de","porsche-hofheim.de")</f>
        <v>porsche-hofheim.de</v>
      </c>
      <c r="C37940" t="s">
        <v>436</v>
      </c>
      <c r="D37940" t="s">
        <v>815</v>
      </c>
      <c r="F37940">
        <v>1.3456020129244199E-8</v>
      </c>
      <c r="G37940">
        <v>4424048</v>
      </c>
      <c r="H37940">
        <v>12514331</v>
      </c>
      <c r="I37940">
        <v>17204341</v>
      </c>
      <c r="J37940">
        <v>4</v>
      </c>
    </row>
    <row r="37941" spans="1:10" x14ac:dyDescent="0.25">
      <c r="A37941" t="s">
        <v>398</v>
      </c>
      <c r="B37941" s="1" t="str">
        <f>HYPERLINK("http://porsche-kassel.de","porsche-kassel.de")</f>
        <v>porsche-kassel.de</v>
      </c>
      <c r="C37941" t="s">
        <v>436</v>
      </c>
      <c r="D37941" t="s">
        <v>815</v>
      </c>
      <c r="F37941">
        <v>8.6965362890499794E-9</v>
      </c>
      <c r="G37941">
        <v>8483652</v>
      </c>
      <c r="H37941">
        <v>12464265</v>
      </c>
      <c r="I37941">
        <v>17824828</v>
      </c>
      <c r="J37941">
        <v>4</v>
      </c>
    </row>
    <row r="37942" spans="1:10" x14ac:dyDescent="0.25">
      <c r="A37942" t="s">
        <v>398</v>
      </c>
      <c r="B37942" s="1" t="str">
        <f>HYPERLINK("http://porsche-koeln.de","porsche-koeln.de")</f>
        <v>porsche-koeln.de</v>
      </c>
      <c r="C37942" t="s">
        <v>436</v>
      </c>
      <c r="D37942" t="s">
        <v>815</v>
      </c>
      <c r="F37942">
        <v>9.9933504361157293E-9</v>
      </c>
      <c r="G37942">
        <v>6762515</v>
      </c>
      <c r="H37942">
        <v>11141999</v>
      </c>
      <c r="I37942">
        <v>31816778</v>
      </c>
      <c r="J37942">
        <v>4</v>
      </c>
    </row>
    <row r="37943" spans="1:10" x14ac:dyDescent="0.25">
      <c r="A37943" t="s">
        <v>398</v>
      </c>
      <c r="B37943" s="1" t="str">
        <f>HYPERLINK("http://porsche-landau.de","porsche-landau.de")</f>
        <v>porsche-landau.de</v>
      </c>
      <c r="C37943" t="s">
        <v>436</v>
      </c>
      <c r="D37943" t="s">
        <v>815</v>
      </c>
      <c r="F37943">
        <v>7.1645280409568596E-9</v>
      </c>
      <c r="G37943">
        <v>11837571</v>
      </c>
      <c r="H37943">
        <v>10925282</v>
      </c>
      <c r="I37943">
        <v>35163730</v>
      </c>
      <c r="J37943">
        <v>4</v>
      </c>
    </row>
    <row r="37944" spans="1:10" x14ac:dyDescent="0.25">
      <c r="A37944" t="s">
        <v>398</v>
      </c>
      <c r="B37944" s="1" t="str">
        <f>HYPERLINK("http://porsche-luebeck.de","porsche-luebeck.de")</f>
        <v>porsche-luebeck.de</v>
      </c>
      <c r="C37944" t="s">
        <v>436</v>
      </c>
      <c r="D37944" t="s">
        <v>815</v>
      </c>
      <c r="F37944">
        <v>7.9223660758209703E-9</v>
      </c>
      <c r="G37944">
        <v>10068055</v>
      </c>
      <c r="H37944">
        <v>11010636</v>
      </c>
      <c r="I37944">
        <v>33396991</v>
      </c>
      <c r="J37944">
        <v>4</v>
      </c>
    </row>
    <row r="37945" spans="1:10" x14ac:dyDescent="0.25">
      <c r="A37945" t="s">
        <v>398</v>
      </c>
      <c r="B37945" s="1" t="str">
        <f>HYPERLINK("http://porsche-magdeburg.de","porsche-magdeburg.de")</f>
        <v>porsche-magdeburg.de</v>
      </c>
      <c r="C37945" t="s">
        <v>436</v>
      </c>
      <c r="D37945" t="s">
        <v>815</v>
      </c>
      <c r="F37945">
        <v>1.1123327793376901E-8</v>
      </c>
      <c r="G37945">
        <v>5768406</v>
      </c>
      <c r="H37945">
        <v>12270408</v>
      </c>
      <c r="I37945">
        <v>21516425</v>
      </c>
      <c r="J37945">
        <v>4</v>
      </c>
    </row>
    <row r="37946" spans="1:10" x14ac:dyDescent="0.25">
      <c r="A37946" t="s">
        <v>398</v>
      </c>
      <c r="B37946" s="1" t="str">
        <f>HYPERLINK("http://porsche-mainz.de","porsche-mainz.de")</f>
        <v>porsche-mainz.de</v>
      </c>
      <c r="C37946" t="s">
        <v>436</v>
      </c>
      <c r="D37946" t="s">
        <v>815</v>
      </c>
      <c r="F37946">
        <v>1.1668816716102099E-8</v>
      </c>
      <c r="G37946">
        <v>5386350</v>
      </c>
      <c r="H37946">
        <v>12506919</v>
      </c>
      <c r="I37946">
        <v>17277157</v>
      </c>
      <c r="J37946">
        <v>4</v>
      </c>
    </row>
    <row r="37947" spans="1:10" x14ac:dyDescent="0.25">
      <c r="A37947" t="s">
        <v>398</v>
      </c>
      <c r="B37947" s="1" t="str">
        <f>HYPERLINK("http://porsche-mannheim.de","porsche-mannheim.de")</f>
        <v>porsche-mannheim.de</v>
      </c>
      <c r="C37947" t="s">
        <v>436</v>
      </c>
      <c r="D37947" t="s">
        <v>815</v>
      </c>
      <c r="F37947">
        <v>1.2389580423441001E-8</v>
      </c>
      <c r="G37947">
        <v>4944954</v>
      </c>
      <c r="H37947">
        <v>12465933</v>
      </c>
      <c r="I37947">
        <v>17807466</v>
      </c>
      <c r="J37947">
        <v>4</v>
      </c>
    </row>
    <row r="37948" spans="1:10" x14ac:dyDescent="0.25">
      <c r="A37948" t="s">
        <v>398</v>
      </c>
      <c r="B37948" s="1" t="str">
        <f>HYPERLINK("http://porsche-muenster.de","porsche-muenster.de")</f>
        <v>porsche-muenster.de</v>
      </c>
      <c r="C37948" t="s">
        <v>436</v>
      </c>
      <c r="D37948" t="s">
        <v>815</v>
      </c>
      <c r="F37948">
        <v>5.4826016920523401E-9</v>
      </c>
      <c r="G37948">
        <v>21098890</v>
      </c>
      <c r="H37948">
        <v>10863140</v>
      </c>
      <c r="I37948">
        <v>36622771</v>
      </c>
      <c r="J37948">
        <v>4</v>
      </c>
    </row>
    <row r="37949" spans="1:10" x14ac:dyDescent="0.25">
      <c r="A37949" t="s">
        <v>398</v>
      </c>
      <c r="B37949" s="1" t="str">
        <f>HYPERLINK("http://porsche-olympiapark.de","porsche-olympiapark.de")</f>
        <v>porsche-olympiapark.de</v>
      </c>
      <c r="C37949" t="s">
        <v>436</v>
      </c>
      <c r="D37949" t="s">
        <v>815</v>
      </c>
      <c r="F37949">
        <v>1.2985845106310801E-8</v>
      </c>
      <c r="G37949">
        <v>4638352</v>
      </c>
      <c r="H37949">
        <v>10868044</v>
      </c>
      <c r="I37949">
        <v>36535412</v>
      </c>
      <c r="J37949">
        <v>4</v>
      </c>
    </row>
    <row r="37950" spans="1:10" x14ac:dyDescent="0.25">
      <c r="A37950" t="s">
        <v>398</v>
      </c>
      <c r="B37950" s="1" t="str">
        <f>HYPERLINK("http://porsche-regensburg.de","porsche-regensburg.de")</f>
        <v>porsche-regensburg.de</v>
      </c>
      <c r="C37950" t="s">
        <v>436</v>
      </c>
      <c r="D37950" t="s">
        <v>815</v>
      </c>
      <c r="F37950">
        <v>1.1685549882329099E-8</v>
      </c>
      <c r="G37950">
        <v>5375570</v>
      </c>
      <c r="H37950">
        <v>12570704</v>
      </c>
      <c r="I37950">
        <v>16621175</v>
      </c>
      <c r="J37950">
        <v>4</v>
      </c>
    </row>
    <row r="37951" spans="1:10" x14ac:dyDescent="0.25">
      <c r="A37951" t="s">
        <v>398</v>
      </c>
      <c r="B37951" s="1" t="str">
        <f>HYPERLINK("http://porsche-reutlingen.de","porsche-reutlingen.de")</f>
        <v>porsche-reutlingen.de</v>
      </c>
      <c r="C37951" t="s">
        <v>436</v>
      </c>
      <c r="D37951" t="s">
        <v>815</v>
      </c>
      <c r="F37951">
        <v>1.4226738783069501E-8</v>
      </c>
      <c r="G37951">
        <v>4119439</v>
      </c>
      <c r="H37951">
        <v>12454820</v>
      </c>
      <c r="I37951">
        <v>17937193</v>
      </c>
      <c r="J37951">
        <v>4</v>
      </c>
    </row>
    <row r="37952" spans="1:10" x14ac:dyDescent="0.25">
      <c r="A37952" t="s">
        <v>398</v>
      </c>
      <c r="B37952" s="1" t="str">
        <f>HYPERLINK("http://porsche-rostock.de","porsche-rostock.de")</f>
        <v>porsche-rostock.de</v>
      </c>
      <c r="C37952" t="s">
        <v>436</v>
      </c>
      <c r="D37952" t="s">
        <v>815</v>
      </c>
      <c r="F37952">
        <v>5.4520802464383602E-9</v>
      </c>
      <c r="G37952">
        <v>21457497</v>
      </c>
      <c r="H37952">
        <v>10988117</v>
      </c>
      <c r="I37952">
        <v>33783327</v>
      </c>
      <c r="J37952">
        <v>4</v>
      </c>
    </row>
    <row r="37953" spans="1:10" x14ac:dyDescent="0.25">
      <c r="A37953" t="s">
        <v>398</v>
      </c>
      <c r="B37953" s="1" t="str">
        <f>HYPERLINK("http://porsche-schwaebisch-gmuend.de","porsche-schwaebisch-gmuend.de")</f>
        <v>porsche-schwaebisch-gmuend.de</v>
      </c>
      <c r="C37953" t="s">
        <v>436</v>
      </c>
      <c r="D37953" t="s">
        <v>815</v>
      </c>
      <c r="F37953">
        <v>1.04458704723713E-8</v>
      </c>
      <c r="G37953">
        <v>6317394</v>
      </c>
      <c r="H37953">
        <v>11025810</v>
      </c>
      <c r="I37953">
        <v>33168098</v>
      </c>
      <c r="J37953">
        <v>4</v>
      </c>
    </row>
    <row r="37954" spans="1:10" x14ac:dyDescent="0.25">
      <c r="A37954" t="s">
        <v>398</v>
      </c>
      <c r="B37954" s="1" t="str">
        <f>HYPERLINK("http://porsche-service-meuspath.de","porsche-service-meuspath.de")</f>
        <v>porsche-service-meuspath.de</v>
      </c>
      <c r="C37954" t="s">
        <v>436</v>
      </c>
      <c r="D37954" t="s">
        <v>815</v>
      </c>
      <c r="F37954">
        <v>6.2314420112249898E-9</v>
      </c>
      <c r="G37954">
        <v>15367946</v>
      </c>
      <c r="H37954">
        <v>10512516</v>
      </c>
      <c r="I37954">
        <v>49401125</v>
      </c>
      <c r="J37954">
        <v>3</v>
      </c>
    </row>
    <row r="37955" spans="1:10" x14ac:dyDescent="0.25">
      <c r="A37955" t="s">
        <v>398</v>
      </c>
      <c r="B37955" s="1" t="str">
        <f>HYPERLINK("http://porsche-ulm.de","porsche-ulm.de")</f>
        <v>porsche-ulm.de</v>
      </c>
      <c r="C37955" t="s">
        <v>436</v>
      </c>
      <c r="D37955" t="s">
        <v>815</v>
      </c>
      <c r="F37955">
        <v>8.9699477315661801E-9</v>
      </c>
      <c r="G37955">
        <v>8036758</v>
      </c>
      <c r="H37955">
        <v>12461314</v>
      </c>
      <c r="I37955">
        <v>17860563</v>
      </c>
      <c r="J37955">
        <v>3</v>
      </c>
    </row>
    <row r="37956" spans="1:10" x14ac:dyDescent="0.25">
      <c r="A37956" t="s">
        <v>398</v>
      </c>
      <c r="B37956" s="1" t="str">
        <f>HYPERLINK("http://porsche-wiesbaden.de","porsche-wiesbaden.de")</f>
        <v>porsche-wiesbaden.de</v>
      </c>
      <c r="C37956" t="s">
        <v>436</v>
      </c>
      <c r="D37956" t="s">
        <v>815</v>
      </c>
      <c r="F37956">
        <v>1.1940891920978E-8</v>
      </c>
      <c r="G37956">
        <v>5212574</v>
      </c>
      <c r="H37956">
        <v>12512080</v>
      </c>
      <c r="I37956">
        <v>17225561</v>
      </c>
      <c r="J37956">
        <v>4</v>
      </c>
    </row>
    <row r="37957" spans="1:10" x14ac:dyDescent="0.25">
      <c r="A37957" t="s">
        <v>398</v>
      </c>
      <c r="B37957" s="1" t="str">
        <f>HYPERLINK("http://porsche-willich.de","porsche-willich.de")</f>
        <v>porsche-willich.de</v>
      </c>
      <c r="C37957" t="s">
        <v>436</v>
      </c>
      <c r="D37957" t="s">
        <v>815</v>
      </c>
      <c r="F37957">
        <v>8.6546204973012093E-9</v>
      </c>
      <c r="G37957">
        <v>8558684</v>
      </c>
      <c r="H37957">
        <v>13933071</v>
      </c>
      <c r="I37957">
        <v>4957925</v>
      </c>
      <c r="J37957">
        <v>4</v>
      </c>
    </row>
    <row r="37958" spans="1:10" x14ac:dyDescent="0.25">
      <c r="A37958" t="s">
        <v>398</v>
      </c>
      <c r="B37958" s="1" t="str">
        <f>HYPERLINK("http://porschezentrum-berlin.de","porschezentrum-berlin.de")</f>
        <v>porschezentrum-berlin.de</v>
      </c>
      <c r="C37958" t="s">
        <v>436</v>
      </c>
      <c r="D37958" t="s">
        <v>815</v>
      </c>
      <c r="F37958">
        <v>8.4572810729942697E-9</v>
      </c>
      <c r="G37958">
        <v>8928356</v>
      </c>
      <c r="H37958">
        <v>12360062</v>
      </c>
      <c r="I37958">
        <v>19584798</v>
      </c>
      <c r="J37958">
        <v>4</v>
      </c>
    </row>
    <row r="37959" spans="1:10" x14ac:dyDescent="0.25">
      <c r="A37959" t="s">
        <v>398</v>
      </c>
      <c r="B37959" s="1" t="str">
        <f>HYPERLINK("http://possoegel.de","possoegel.de")</f>
        <v>possoegel.de</v>
      </c>
      <c r="C37959" t="s">
        <v>436</v>
      </c>
      <c r="D37959" t="s">
        <v>815</v>
      </c>
      <c r="F37959">
        <v>1.18432643475796E-8</v>
      </c>
      <c r="G37959">
        <v>5274693</v>
      </c>
      <c r="H37959">
        <v>12235801</v>
      </c>
      <c r="I37959">
        <v>22355884</v>
      </c>
      <c r="J37959">
        <v>3</v>
      </c>
    </row>
    <row r="37960" spans="1:10" x14ac:dyDescent="0.25">
      <c r="A37960" t="s">
        <v>398</v>
      </c>
      <c r="B37960" s="1" t="str">
        <f>HYPERLINK("http://psmobilis.de","psmobilis.de")</f>
        <v>psmobilis.de</v>
      </c>
      <c r="C37960" t="s">
        <v>436</v>
      </c>
      <c r="D37960" t="s">
        <v>815</v>
      </c>
      <c r="F37960">
        <v>4.6594681546806098E-9</v>
      </c>
      <c r="G37960">
        <v>43542856</v>
      </c>
      <c r="H37960">
        <v>11968274</v>
      </c>
      <c r="I37960">
        <v>28745474</v>
      </c>
      <c r="J37960">
        <v>4</v>
      </c>
    </row>
    <row r="37961" spans="1:10" x14ac:dyDescent="0.25">
      <c r="A37961" t="s">
        <v>398</v>
      </c>
      <c r="B37961" s="1" t="str">
        <f>HYPERLINK("http://psw-engineering.de","psw-engineering.de")</f>
        <v>psw-engineering.de</v>
      </c>
      <c r="C37961" t="s">
        <v>436</v>
      </c>
      <c r="D37961" t="s">
        <v>815</v>
      </c>
      <c r="F37961">
        <v>1.8130454850873401E-8</v>
      </c>
      <c r="G37961">
        <v>3003734</v>
      </c>
      <c r="H37961">
        <v>13639103</v>
      </c>
      <c r="I37961">
        <v>9612227</v>
      </c>
      <c r="J37961">
        <v>3</v>
      </c>
    </row>
    <row r="37962" spans="1:10" x14ac:dyDescent="0.25">
      <c r="A37962" t="s">
        <v>398</v>
      </c>
      <c r="B37962" s="1" t="str">
        <f>HYPERLINK("http://psw-konstruktion.de","psw-konstruktion.de")</f>
        <v>psw-konstruktion.de</v>
      </c>
      <c r="C37962" t="s">
        <v>436</v>
      </c>
      <c r="D37962" t="s">
        <v>815</v>
      </c>
      <c r="F37962">
        <v>4.5805544511252601E-9</v>
      </c>
      <c r="G37962">
        <v>49243674</v>
      </c>
      <c r="H37962">
        <v>12361964</v>
      </c>
      <c r="I37962">
        <v>19549704</v>
      </c>
      <c r="J37962">
        <v>6</v>
      </c>
    </row>
    <row r="37963" spans="1:10" x14ac:dyDescent="0.25">
      <c r="A37963" t="s">
        <v>398</v>
      </c>
      <c r="B37963" s="1" t="str">
        <f>HYPERLINK("http://ratiocar.de","ratiocar.de")</f>
        <v>ratiocar.de</v>
      </c>
      <c r="C37963" t="s">
        <v>436</v>
      </c>
      <c r="D37963" t="s">
        <v>815</v>
      </c>
      <c r="F37963">
        <v>1.3532523347372E-8</v>
      </c>
      <c r="G37963">
        <v>4390282</v>
      </c>
      <c r="H37963">
        <v>12702939</v>
      </c>
      <c r="I37963">
        <v>15339129</v>
      </c>
      <c r="J37963">
        <v>4</v>
      </c>
    </row>
    <row r="37964" spans="1:10" x14ac:dyDescent="0.25">
      <c r="A37964" t="s">
        <v>398</v>
      </c>
      <c r="B37964" s="1" t="str">
        <f>HYPERLINK("http://ratiomobil.de","ratiomobil.de")</f>
        <v>ratiomobil.de</v>
      </c>
      <c r="C37964" t="s">
        <v>436</v>
      </c>
      <c r="D37964" t="s">
        <v>815</v>
      </c>
      <c r="F37964">
        <v>4.4637428704308303E-9</v>
      </c>
      <c r="G37964">
        <v>66618189</v>
      </c>
      <c r="H37964">
        <v>10841247</v>
      </c>
      <c r="I37964">
        <v>37093658</v>
      </c>
      <c r="J37964">
        <v>4</v>
      </c>
    </row>
    <row r="37965" spans="1:10" x14ac:dyDescent="0.25">
      <c r="A37965" t="s">
        <v>398</v>
      </c>
      <c r="B37965" s="1" t="str">
        <f>HYPERLINK("http://reithmeier-nuernberg.de","reithmeier-nuernberg.de")</f>
        <v>reithmeier-nuernberg.de</v>
      </c>
      <c r="C37965" t="s">
        <v>436</v>
      </c>
      <c r="D37965" t="s">
        <v>815</v>
      </c>
      <c r="F37965">
        <v>4.4457197315952799E-9</v>
      </c>
      <c r="G37965">
        <v>74998420</v>
      </c>
      <c r="H37965">
        <v>10841244</v>
      </c>
      <c r="I37965">
        <v>37143161</v>
      </c>
      <c r="J37965">
        <v>5</v>
      </c>
    </row>
    <row r="37966" spans="1:10" x14ac:dyDescent="0.25">
      <c r="A37966" t="s">
        <v>398</v>
      </c>
      <c r="B37966" s="1" t="str">
        <f>HYPERLINK("http://rittersbacher.de","rittersbacher.de")</f>
        <v>rittersbacher.de</v>
      </c>
      <c r="C37966" t="s">
        <v>436</v>
      </c>
      <c r="D37966" t="s">
        <v>815</v>
      </c>
      <c r="F37966">
        <v>2.23103121638567E-8</v>
      </c>
      <c r="G37966">
        <v>2349797</v>
      </c>
      <c r="H37966">
        <v>12277709</v>
      </c>
      <c r="I37966">
        <v>21354971</v>
      </c>
      <c r="J37966">
        <v>4</v>
      </c>
    </row>
    <row r="37967" spans="1:10" x14ac:dyDescent="0.25">
      <c r="A37967" t="s">
        <v>398</v>
      </c>
      <c r="B37967" s="1" t="str">
        <f>HYPERLINK("http://scania.de","scania.de")</f>
        <v>scania.de</v>
      </c>
      <c r="C37967" t="s">
        <v>436</v>
      </c>
      <c r="D37967" t="s">
        <v>815</v>
      </c>
      <c r="F37967">
        <v>4.3460749802418998E-8</v>
      </c>
      <c r="G37967">
        <v>1100946</v>
      </c>
      <c r="H37967">
        <v>14076237</v>
      </c>
      <c r="I37967">
        <v>2891648</v>
      </c>
      <c r="J37967">
        <v>3</v>
      </c>
    </row>
    <row r="37968" spans="1:10" x14ac:dyDescent="0.25">
      <c r="A37968" t="s">
        <v>398</v>
      </c>
      <c r="B37968" s="1" t="str">
        <f>HYPERLINK("http://scania-finance.de","scania-finance.de")</f>
        <v>scania-finance.de</v>
      </c>
      <c r="C37968" t="s">
        <v>436</v>
      </c>
      <c r="D37968" t="s">
        <v>815</v>
      </c>
      <c r="J37968">
        <v>3</v>
      </c>
    </row>
    <row r="37969" spans="1:10" x14ac:dyDescent="0.25">
      <c r="A37969" t="s">
        <v>398</v>
      </c>
      <c r="B37969" s="1" t="str">
        <f>HYPERLINK("http://scherer-gruppe.de","scherer-gruppe.de")</f>
        <v>scherer-gruppe.de</v>
      </c>
      <c r="C37969" t="s">
        <v>436</v>
      </c>
      <c r="D37969" t="s">
        <v>815</v>
      </c>
      <c r="F37969">
        <v>9.0830670489585595E-8</v>
      </c>
      <c r="G37969">
        <v>448916</v>
      </c>
      <c r="H37969">
        <v>16828666</v>
      </c>
      <c r="I37969">
        <v>172598</v>
      </c>
      <c r="J37969">
        <v>3</v>
      </c>
    </row>
    <row r="37970" spans="1:10" x14ac:dyDescent="0.25">
      <c r="A37970" t="s">
        <v>398</v>
      </c>
      <c r="B37970" s="1" t="str">
        <f>HYPERLINK("http://schmidt-egeln.de","schmidt-egeln.de")</f>
        <v>schmidt-egeln.de</v>
      </c>
      <c r="C37970" t="s">
        <v>436</v>
      </c>
      <c r="D37970" t="s">
        <v>815</v>
      </c>
      <c r="F37970">
        <v>5.1078665031444499E-9</v>
      </c>
      <c r="G37970">
        <v>26894921</v>
      </c>
      <c r="H37970">
        <v>9499544</v>
      </c>
      <c r="I37970">
        <v>65736800</v>
      </c>
      <c r="J37970">
        <v>3</v>
      </c>
    </row>
    <row r="37971" spans="1:10" x14ac:dyDescent="0.25">
      <c r="A37971" t="s">
        <v>398</v>
      </c>
      <c r="B37971" s="1" t="str">
        <f>HYPERLINK("http://schnieder.de","schnieder.de")</f>
        <v>schnieder.de</v>
      </c>
      <c r="C37971" t="s">
        <v>436</v>
      </c>
      <c r="D37971" t="s">
        <v>815</v>
      </c>
      <c r="F37971">
        <v>7.0216703988904802E-9</v>
      </c>
      <c r="G37971">
        <v>12248671</v>
      </c>
      <c r="H37971">
        <v>12203947</v>
      </c>
      <c r="I37971">
        <v>23213948</v>
      </c>
      <c r="J37971">
        <v>3</v>
      </c>
    </row>
    <row r="37972" spans="1:10" x14ac:dyDescent="0.25">
      <c r="A37972" t="s">
        <v>398</v>
      </c>
      <c r="B37972" s="1" t="str">
        <f>HYPERLINK("http://seat.de","seat.de")</f>
        <v>seat.de</v>
      </c>
      <c r="C37972" t="s">
        <v>436</v>
      </c>
      <c r="D37972" t="s">
        <v>815</v>
      </c>
      <c r="E37972">
        <v>161079</v>
      </c>
      <c r="F37972">
        <v>5.3957011538886404E-7</v>
      </c>
      <c r="G37972">
        <v>71564</v>
      </c>
      <c r="H37972">
        <v>14577196</v>
      </c>
      <c r="I37972">
        <v>718555</v>
      </c>
      <c r="J37972">
        <v>3</v>
      </c>
    </row>
    <row r="37973" spans="1:10" x14ac:dyDescent="0.25">
      <c r="A37973" t="s">
        <v>398</v>
      </c>
      <c r="B37973" s="1" t="str">
        <f>HYPERLINK("http://seat-f-b.de","seat-f-b.de")</f>
        <v>seat-f-b.de</v>
      </c>
      <c r="C37973" t="s">
        <v>436</v>
      </c>
      <c r="D37973" t="s">
        <v>815</v>
      </c>
      <c r="J37973">
        <v>4</v>
      </c>
    </row>
    <row r="37974" spans="1:10" x14ac:dyDescent="0.25">
      <c r="A37974" t="s">
        <v>398</v>
      </c>
      <c r="B37974" s="1" t="str">
        <f>HYPERLINK("http://seat-goslar.de","seat-goslar.de")</f>
        <v>seat-goslar.de</v>
      </c>
      <c r="C37974" t="s">
        <v>436</v>
      </c>
      <c r="D37974" t="s">
        <v>815</v>
      </c>
      <c r="F37974">
        <v>5.9076345783602E-9</v>
      </c>
      <c r="G37974">
        <v>17306719</v>
      </c>
      <c r="H37974">
        <v>11124344</v>
      </c>
      <c r="I37974">
        <v>32008679</v>
      </c>
      <c r="J37974">
        <v>4</v>
      </c>
    </row>
    <row r="37975" spans="1:10" x14ac:dyDescent="0.25">
      <c r="A37975" t="s">
        <v>398</v>
      </c>
      <c r="B37975" s="1" t="str">
        <f>HYPERLINK("http://seat-kirfel.de","seat-kirfel.de")</f>
        <v>seat-kirfel.de</v>
      </c>
      <c r="C37975" t="s">
        <v>436</v>
      </c>
      <c r="D37975" t="s">
        <v>815</v>
      </c>
      <c r="J37975">
        <v>4</v>
      </c>
    </row>
    <row r="37976" spans="1:10" x14ac:dyDescent="0.25">
      <c r="A37976" t="s">
        <v>398</v>
      </c>
      <c r="B37976" s="1" t="str">
        <f>HYPERLINK("http://seat-mediacenter.de","seat-mediacenter.de")</f>
        <v>seat-mediacenter.de</v>
      </c>
      <c r="C37976" t="s">
        <v>436</v>
      </c>
      <c r="D37976" t="s">
        <v>815</v>
      </c>
      <c r="F37976">
        <v>3.84624490027907E-8</v>
      </c>
      <c r="G37976">
        <v>1341416</v>
      </c>
      <c r="H37976">
        <v>14078117</v>
      </c>
      <c r="I37976">
        <v>2852399</v>
      </c>
      <c r="J37976">
        <v>4</v>
      </c>
    </row>
    <row r="37977" spans="1:10" x14ac:dyDescent="0.25">
      <c r="A37977" t="s">
        <v>398</v>
      </c>
      <c r="B37977" s="1" t="str">
        <f>HYPERLINK("http://seat-mueller.de","seat-mueller.de")</f>
        <v>seat-mueller.de</v>
      </c>
      <c r="C37977" t="s">
        <v>436</v>
      </c>
      <c r="D37977" t="s">
        <v>815</v>
      </c>
      <c r="J37977">
        <v>4</v>
      </c>
    </row>
    <row r="37978" spans="1:10" x14ac:dyDescent="0.25">
      <c r="A37978" t="s">
        <v>398</v>
      </c>
      <c r="B37978" s="1" t="str">
        <f>HYPERLINK("http://seatpartner.de","seatpartner.de")</f>
        <v>seatpartner.de</v>
      </c>
      <c r="C37978" t="s">
        <v>436</v>
      </c>
      <c r="D37978" t="s">
        <v>815</v>
      </c>
      <c r="F37978">
        <v>4.4509578050744497E-9</v>
      </c>
      <c r="G37978">
        <v>71440314</v>
      </c>
      <c r="H37978">
        <v>1.0003663</v>
      </c>
      <c r="I37978">
        <v>79308776</v>
      </c>
      <c r="J37978">
        <v>5</v>
      </c>
    </row>
    <row r="37979" spans="1:10" x14ac:dyDescent="0.25">
      <c r="A37979" t="s">
        <v>398</v>
      </c>
      <c r="B37979" s="1" t="str">
        <f>HYPERLINK("http://seatschneider.de","seatschneider.de")</f>
        <v>seatschneider.de</v>
      </c>
      <c r="C37979" t="s">
        <v>436</v>
      </c>
      <c r="D37979" t="s">
        <v>815</v>
      </c>
      <c r="J37979">
        <v>5</v>
      </c>
    </row>
    <row r="37980" spans="1:10" x14ac:dyDescent="0.25">
      <c r="A37980" t="s">
        <v>398</v>
      </c>
      <c r="B37980" s="1" t="str">
        <f>HYPERLINK("http://seitz-mayer.de","seitz-mayer.de")</f>
        <v>seitz-mayer.de</v>
      </c>
      <c r="C37980" t="s">
        <v>436</v>
      </c>
      <c r="D37980" t="s">
        <v>815</v>
      </c>
      <c r="J37980">
        <v>3</v>
      </c>
    </row>
    <row r="37981" spans="1:10" x14ac:dyDescent="0.25">
      <c r="A37981" t="s">
        <v>398</v>
      </c>
      <c r="B37981" s="1" t="str">
        <f>HYPERLINK("http://sevo-grossbottwar.de","sevo-grossbottwar.de")</f>
        <v>sevo-grossbottwar.de</v>
      </c>
      <c r="C37981" t="s">
        <v>436</v>
      </c>
      <c r="D37981" t="s">
        <v>815</v>
      </c>
      <c r="F37981">
        <v>6.0128337960225696E-9</v>
      </c>
      <c r="G37981">
        <v>16605313</v>
      </c>
      <c r="H37981">
        <v>9522005</v>
      </c>
      <c r="I37981">
        <v>65405001</v>
      </c>
      <c r="J37981">
        <v>3</v>
      </c>
    </row>
    <row r="37982" spans="1:10" x14ac:dyDescent="0.25">
      <c r="A37982" t="s">
        <v>398</v>
      </c>
      <c r="B37982" s="1" t="str">
        <f>HYPERLINK("http://skoda-albrecht.de","skoda-albrecht.de")</f>
        <v>skoda-albrecht.de</v>
      </c>
      <c r="C37982" t="s">
        <v>436</v>
      </c>
      <c r="D37982" t="s">
        <v>815</v>
      </c>
      <c r="F37982">
        <v>4.8478071341818197E-9</v>
      </c>
      <c r="G37982">
        <v>34215915</v>
      </c>
      <c r="H37982">
        <v>9670499</v>
      </c>
      <c r="I37982">
        <v>63727098</v>
      </c>
      <c r="J37982">
        <v>4</v>
      </c>
    </row>
    <row r="37983" spans="1:10" x14ac:dyDescent="0.25">
      <c r="A37983" t="s">
        <v>398</v>
      </c>
      <c r="B37983" s="1" t="str">
        <f>HYPERLINK("http://skoda-auto.de","skoda-auto.de")</f>
        <v>skoda-auto.de</v>
      </c>
      <c r="C37983" t="s">
        <v>436</v>
      </c>
      <c r="D37983" t="s">
        <v>815</v>
      </c>
      <c r="E37983">
        <v>130226</v>
      </c>
      <c r="F37983">
        <v>6.3292382949845904E-7</v>
      </c>
      <c r="G37983">
        <v>60627</v>
      </c>
      <c r="H37983">
        <v>14576817</v>
      </c>
      <c r="I37983">
        <v>719819</v>
      </c>
      <c r="J37983">
        <v>3</v>
      </c>
    </row>
    <row r="37984" spans="1:10" x14ac:dyDescent="0.25">
      <c r="A37984" t="s">
        <v>398</v>
      </c>
      <c r="B37984" s="1" t="str">
        <f>HYPERLINK("http://skoda-gotha.de","skoda-gotha.de")</f>
        <v>skoda-gotha.de</v>
      </c>
      <c r="C37984" t="s">
        <v>436</v>
      </c>
      <c r="D37984" t="s">
        <v>815</v>
      </c>
      <c r="F37984">
        <v>4.6555525016510799E-9</v>
      </c>
      <c r="G37984">
        <v>43773829</v>
      </c>
      <c r="H37984">
        <v>12055535</v>
      </c>
      <c r="I37984">
        <v>27107424</v>
      </c>
      <c r="J37984">
        <v>5</v>
      </c>
    </row>
    <row r="37985" spans="1:10" x14ac:dyDescent="0.25">
      <c r="A37985" t="s">
        <v>398</v>
      </c>
      <c r="B37985" s="1" t="str">
        <f>HYPERLINK("http://skoda-guenther.de","skoda-guenther.de")</f>
        <v>skoda-guenther.de</v>
      </c>
      <c r="C37985" t="s">
        <v>436</v>
      </c>
      <c r="D37985" t="s">
        <v>815</v>
      </c>
      <c r="F37985">
        <v>4.65884916973057E-9</v>
      </c>
      <c r="G37985">
        <v>43579478</v>
      </c>
      <c r="H37985">
        <v>11984397</v>
      </c>
      <c r="I37985">
        <v>28446243</v>
      </c>
      <c r="J37985">
        <v>4</v>
      </c>
    </row>
    <row r="37986" spans="1:10" x14ac:dyDescent="0.25">
      <c r="A37986" t="s">
        <v>398</v>
      </c>
      <c r="B37986" s="1" t="str">
        <f>HYPERLINK("http://skoda-jahnsmueller.de","skoda-jahnsmueller.de")</f>
        <v>skoda-jahnsmueller.de</v>
      </c>
      <c r="C37986" t="s">
        <v>436</v>
      </c>
      <c r="D37986" t="s">
        <v>815</v>
      </c>
      <c r="F37986">
        <v>6.7256569501624599E-9</v>
      </c>
      <c r="G37986">
        <v>13212017</v>
      </c>
      <c r="H37986">
        <v>12139180</v>
      </c>
      <c r="I37986">
        <v>24897169</v>
      </c>
      <c r="J37986">
        <v>4</v>
      </c>
    </row>
    <row r="37987" spans="1:10" x14ac:dyDescent="0.25">
      <c r="A37987" t="s">
        <v>398</v>
      </c>
      <c r="B37987" s="1" t="str">
        <f>HYPERLINK("http://skoda-klische.de","skoda-klische.de")</f>
        <v>skoda-klische.de</v>
      </c>
      <c r="C37987" t="s">
        <v>436</v>
      </c>
      <c r="D37987" t="s">
        <v>815</v>
      </c>
      <c r="F37987">
        <v>1.06058730447182E-8</v>
      </c>
      <c r="G37987">
        <v>6178611</v>
      </c>
      <c r="H37987">
        <v>12214528</v>
      </c>
      <c r="I37987">
        <v>22916579</v>
      </c>
      <c r="J37987">
        <v>4</v>
      </c>
    </row>
    <row r="37988" spans="1:10" x14ac:dyDescent="0.25">
      <c r="A37988" t="s">
        <v>398</v>
      </c>
      <c r="B37988" s="1" t="str">
        <f>HYPERLINK("http://skoda-muelheim.de","skoda-muelheim.de")</f>
        <v>skoda-muelheim.de</v>
      </c>
      <c r="C37988" t="s">
        <v>436</v>
      </c>
      <c r="D37988" t="s">
        <v>815</v>
      </c>
      <c r="F37988">
        <v>4.4457197315952898E-9</v>
      </c>
      <c r="G37988">
        <v>74969794</v>
      </c>
      <c r="H37988">
        <v>10841244</v>
      </c>
      <c r="I37988">
        <v>37146520</v>
      </c>
      <c r="J37988">
        <v>4</v>
      </c>
    </row>
    <row r="37989" spans="1:10" x14ac:dyDescent="0.25">
      <c r="A37989" t="s">
        <v>398</v>
      </c>
      <c r="B37989" s="1" t="str">
        <f>HYPERLINK("http://skoda-nigari.de","skoda-nigari.de")</f>
        <v>skoda-nigari.de</v>
      </c>
      <c r="C37989" t="s">
        <v>436</v>
      </c>
      <c r="D37989" t="s">
        <v>815</v>
      </c>
      <c r="F37989">
        <v>5.53608668268454E-9</v>
      </c>
      <c r="G37989">
        <v>20520739</v>
      </c>
      <c r="H37989">
        <v>12092780</v>
      </c>
      <c r="I37989">
        <v>26163682</v>
      </c>
      <c r="J37989">
        <v>4</v>
      </c>
    </row>
    <row r="37990" spans="1:10" x14ac:dyDescent="0.25">
      <c r="A37990" t="s">
        <v>398</v>
      </c>
      <c r="B37990" s="1" t="str">
        <f>HYPERLINK("http://skodamueller.de","skodamueller.de")</f>
        <v>skodamueller.de</v>
      </c>
      <c r="C37990" t="s">
        <v>436</v>
      </c>
      <c r="D37990" t="s">
        <v>815</v>
      </c>
      <c r="F37990">
        <v>1.21091171200952E-8</v>
      </c>
      <c r="G37990">
        <v>5104683</v>
      </c>
      <c r="H37990">
        <v>12361637</v>
      </c>
      <c r="I37990">
        <v>19556589</v>
      </c>
      <c r="J37990">
        <v>4</v>
      </c>
    </row>
    <row r="37991" spans="1:10" x14ac:dyDescent="0.25">
      <c r="A37991" t="s">
        <v>398</v>
      </c>
      <c r="B37991" s="1" t="str">
        <f>HYPERLINK("http://skodanews.de","skodanews.de")</f>
        <v>skodanews.de</v>
      </c>
      <c r="C37991" t="s">
        <v>436</v>
      </c>
      <c r="D37991" t="s">
        <v>815</v>
      </c>
      <c r="F37991">
        <v>9.2859167496059894E-9</v>
      </c>
      <c r="G37991">
        <v>7590939</v>
      </c>
      <c r="H37991">
        <v>10509581</v>
      </c>
      <c r="I37991">
        <v>49757505</v>
      </c>
      <c r="J37991">
        <v>4</v>
      </c>
    </row>
    <row r="37992" spans="1:10" x14ac:dyDescent="0.25">
      <c r="A37992" t="s">
        <v>398</v>
      </c>
      <c r="B37992" s="1" t="str">
        <f>HYPERLINK("http://spindler-gruppe.de","spindler-gruppe.de")</f>
        <v>spindler-gruppe.de</v>
      </c>
      <c r="C37992" t="s">
        <v>436</v>
      </c>
      <c r="D37992" t="s">
        <v>815</v>
      </c>
      <c r="F37992">
        <v>3.1446464721035001E-8</v>
      </c>
      <c r="G37992">
        <v>1640497</v>
      </c>
      <c r="H37992">
        <v>12923884</v>
      </c>
      <c r="I37992">
        <v>13403913</v>
      </c>
      <c r="J37992">
        <v>3</v>
      </c>
    </row>
    <row r="37993" spans="1:10" x14ac:dyDescent="0.25">
      <c r="A37993" t="s">
        <v>398</v>
      </c>
      <c r="B37993" s="1" t="str">
        <f>HYPERLINK("http://starke-autos.de","starke-autos.de")</f>
        <v>starke-autos.de</v>
      </c>
      <c r="C37993" t="s">
        <v>436</v>
      </c>
      <c r="D37993" t="s">
        <v>815</v>
      </c>
      <c r="F37993">
        <v>3.84793687294247E-8</v>
      </c>
      <c r="G37993">
        <v>1340531</v>
      </c>
      <c r="H37993">
        <v>12489918</v>
      </c>
      <c r="I37993">
        <v>17491652</v>
      </c>
      <c r="J37993">
        <v>3</v>
      </c>
    </row>
    <row r="37994" spans="1:10" x14ac:dyDescent="0.25">
      <c r="A37994" t="s">
        <v>398</v>
      </c>
      <c r="B37994" s="1" t="str">
        <f>HYPERLINK("http://stegelmann.de","stegelmann.de")</f>
        <v>stegelmann.de</v>
      </c>
      <c r="C37994" t="s">
        <v>436</v>
      </c>
      <c r="D37994" t="s">
        <v>815</v>
      </c>
      <c r="F37994">
        <v>1.7861393752769E-8</v>
      </c>
      <c r="G37994">
        <v>3061608</v>
      </c>
      <c r="H37994">
        <v>12805750</v>
      </c>
      <c r="I37994">
        <v>14614174</v>
      </c>
      <c r="J37994">
        <v>3</v>
      </c>
    </row>
    <row r="37995" spans="1:10" x14ac:dyDescent="0.25">
      <c r="A37995" t="s">
        <v>398</v>
      </c>
      <c r="B37995" s="1" t="str">
        <f>HYPERLINK("http://stoppanski.de","stoppanski.de")</f>
        <v>stoppanski.de</v>
      </c>
      <c r="C37995" t="s">
        <v>436</v>
      </c>
      <c r="D37995" t="s">
        <v>815</v>
      </c>
      <c r="F37995">
        <v>1.29815655201374E-8</v>
      </c>
      <c r="G37995">
        <v>4640404</v>
      </c>
      <c r="H37995">
        <v>12470711</v>
      </c>
      <c r="I37995">
        <v>17740600</v>
      </c>
      <c r="J37995">
        <v>3</v>
      </c>
    </row>
    <row r="37996" spans="1:10" x14ac:dyDescent="0.25">
      <c r="A37996" t="s">
        <v>398</v>
      </c>
      <c r="B37996" s="1" t="str">
        <f>HYPERLINK("http://stuttgart-seat.de","stuttgart-seat.de")</f>
        <v>stuttgart-seat.de</v>
      </c>
      <c r="C37996" t="s">
        <v>436</v>
      </c>
      <c r="D37996" t="s">
        <v>815</v>
      </c>
      <c r="F37996">
        <v>4.5291284903769397E-9</v>
      </c>
      <c r="G37996">
        <v>55154982</v>
      </c>
      <c r="H37996">
        <v>9230859</v>
      </c>
      <c r="I37996">
        <v>68741320</v>
      </c>
      <c r="J37996">
        <v>4</v>
      </c>
    </row>
    <row r="37997" spans="1:10" x14ac:dyDescent="0.25">
      <c r="A37997" t="s">
        <v>398</v>
      </c>
      <c r="B37997" s="1" t="str">
        <f>HYPERLINK("http://tarif-jetzt.de","tarif-jetzt.de")</f>
        <v>tarif-jetzt.de</v>
      </c>
      <c r="C37997" t="s">
        <v>436</v>
      </c>
      <c r="D37997" t="s">
        <v>815</v>
      </c>
      <c r="F37997">
        <v>5.7837057469652104E-9</v>
      </c>
      <c r="G37997">
        <v>18215893</v>
      </c>
      <c r="H37997">
        <v>11230714</v>
      </c>
      <c r="I37997">
        <v>31022411</v>
      </c>
      <c r="J37997">
        <v>6</v>
      </c>
    </row>
    <row r="37998" spans="1:10" x14ac:dyDescent="0.25">
      <c r="A37998" t="s">
        <v>398</v>
      </c>
      <c r="B37998" s="1" t="str">
        <f>HYPERLINK("http://tauwald.de","tauwald.de")</f>
        <v>tauwald.de</v>
      </c>
      <c r="C37998" t="s">
        <v>436</v>
      </c>
      <c r="D37998" t="s">
        <v>815</v>
      </c>
      <c r="F37998">
        <v>4.8202493474158501E-9</v>
      </c>
      <c r="G37998">
        <v>35262055</v>
      </c>
      <c r="H37998">
        <v>10806707</v>
      </c>
      <c r="I37998">
        <v>37967251</v>
      </c>
      <c r="J37998">
        <v>3</v>
      </c>
    </row>
    <row r="37999" spans="1:10" x14ac:dyDescent="0.25">
      <c r="A37999" t="s">
        <v>398</v>
      </c>
      <c r="B37999" s="1" t="str">
        <f>HYPERLINK("http://tauwald-automobile.de","tauwald-automobile.de")</f>
        <v>tauwald-automobile.de</v>
      </c>
      <c r="C37999" t="s">
        <v>436</v>
      </c>
      <c r="D37999" t="s">
        <v>815</v>
      </c>
      <c r="F37999">
        <v>1.07231265905177E-8</v>
      </c>
      <c r="G37999">
        <v>6081276</v>
      </c>
      <c r="H37999">
        <v>12918896</v>
      </c>
      <c r="I37999">
        <v>13451908</v>
      </c>
      <c r="J37999">
        <v>3</v>
      </c>
    </row>
    <row r="38000" spans="1:10" x14ac:dyDescent="0.25">
      <c r="A38000" t="s">
        <v>398</v>
      </c>
      <c r="B38000" s="1" t="str">
        <f>HYPERLINK("http://thiel-gruppe.de","thiel-gruppe.de")</f>
        <v>thiel-gruppe.de</v>
      </c>
      <c r="C38000" t="s">
        <v>436</v>
      </c>
      <c r="D38000" t="s">
        <v>815</v>
      </c>
      <c r="F38000">
        <v>1.45642323541483E-8</v>
      </c>
      <c r="G38000">
        <v>3989866</v>
      </c>
      <c r="H38000">
        <v>12334365</v>
      </c>
      <c r="I38000">
        <v>20119541</v>
      </c>
      <c r="J38000">
        <v>3</v>
      </c>
    </row>
    <row r="38001" spans="1:10" x14ac:dyDescent="0.25">
      <c r="A38001" t="s">
        <v>398</v>
      </c>
      <c r="B38001" s="1" t="str">
        <f>HYPERLINK("http://tiemeyer.de","tiemeyer.de")</f>
        <v>tiemeyer.de</v>
      </c>
      <c r="C38001" t="s">
        <v>436</v>
      </c>
      <c r="D38001" t="s">
        <v>815</v>
      </c>
      <c r="F38001">
        <v>5.2958767578941302E-8</v>
      </c>
      <c r="G38001">
        <v>860073</v>
      </c>
      <c r="H38001">
        <v>12426050</v>
      </c>
      <c r="I38001">
        <v>18362616</v>
      </c>
      <c r="J38001">
        <v>3</v>
      </c>
    </row>
    <row r="38002" spans="1:10" x14ac:dyDescent="0.25">
      <c r="A38002" t="s">
        <v>398</v>
      </c>
      <c r="B38002" s="1" t="str">
        <f>HYPERLINK("http://tradeport-ostwestfalen.de","tradeport-ostwestfalen.de")</f>
        <v>tradeport-ostwestfalen.de</v>
      </c>
      <c r="C38002" t="s">
        <v>436</v>
      </c>
      <c r="D38002" t="s">
        <v>815</v>
      </c>
      <c r="F38002">
        <v>7.1014808193838002E-9</v>
      </c>
      <c r="G38002">
        <v>12011089</v>
      </c>
      <c r="H38002">
        <v>12213762</v>
      </c>
      <c r="I38002">
        <v>22932018</v>
      </c>
      <c r="J38002">
        <v>5</v>
      </c>
    </row>
    <row r="38003" spans="1:10" x14ac:dyDescent="0.25">
      <c r="A38003" t="s">
        <v>398</v>
      </c>
      <c r="B38003" s="1" t="str">
        <f>HYPERLINK("http://ueberguenn.de","ueberguenn.de")</f>
        <v>ueberguenn.de</v>
      </c>
      <c r="C38003" t="s">
        <v>436</v>
      </c>
      <c r="D38003" t="s">
        <v>815</v>
      </c>
      <c r="F38003">
        <v>4.49299556271978E-9</v>
      </c>
      <c r="G38003">
        <v>60015009</v>
      </c>
      <c r="H38003">
        <v>12102882</v>
      </c>
      <c r="I38003">
        <v>25898698</v>
      </c>
      <c r="J38003">
        <v>4</v>
      </c>
    </row>
    <row r="38004" spans="1:10" x14ac:dyDescent="0.25">
      <c r="A38004" t="s">
        <v>398</v>
      </c>
      <c r="B38004" s="1" t="str">
        <f>HYPERLINK("http://vapn.de","vapn.de")</f>
        <v>vapn.de</v>
      </c>
      <c r="C38004" t="s">
        <v>436</v>
      </c>
      <c r="D38004" t="s">
        <v>815</v>
      </c>
      <c r="E38004">
        <v>178211</v>
      </c>
      <c r="F38004">
        <v>4.6813420576500597E-9</v>
      </c>
      <c r="G38004">
        <v>42254062</v>
      </c>
      <c r="H38004">
        <v>10536016</v>
      </c>
      <c r="I38004">
        <v>47546521</v>
      </c>
      <c r="J38004">
        <v>3</v>
      </c>
    </row>
    <row r="38005" spans="1:10" x14ac:dyDescent="0.25">
      <c r="A38005" t="s">
        <v>398</v>
      </c>
      <c r="B38005" s="1" t="str">
        <f>HYPERLINK("http://vfl-wolfsburg.de","vfl-wolfsburg.de")</f>
        <v>vfl-wolfsburg.de</v>
      </c>
      <c r="C38005" t="s">
        <v>436</v>
      </c>
      <c r="D38005" t="s">
        <v>815</v>
      </c>
      <c r="E38005">
        <v>96818</v>
      </c>
      <c r="F38005">
        <v>5.1742522436991902E-7</v>
      </c>
      <c r="G38005">
        <v>74212</v>
      </c>
      <c r="H38005">
        <v>17155212</v>
      </c>
      <c r="I38005">
        <v>51107</v>
      </c>
      <c r="J38005">
        <v>3</v>
      </c>
    </row>
    <row r="38006" spans="1:10" x14ac:dyDescent="0.25">
      <c r="A38006" t="s">
        <v>398</v>
      </c>
      <c r="B38006" s="1" t="str">
        <f>HYPERLINK("http://vgsg.de","vgsg.de")</f>
        <v>vgsg.de</v>
      </c>
      <c r="C38006" t="s">
        <v>436</v>
      </c>
      <c r="D38006" t="s">
        <v>815</v>
      </c>
      <c r="F38006">
        <v>1.8831832594759899E-8</v>
      </c>
      <c r="G38006">
        <v>2865769</v>
      </c>
      <c r="H38006">
        <v>13090729</v>
      </c>
      <c r="I38006">
        <v>12143306</v>
      </c>
      <c r="J38006">
        <v>3</v>
      </c>
    </row>
    <row r="38007" spans="1:10" x14ac:dyDescent="0.25">
      <c r="A38007" t="s">
        <v>398</v>
      </c>
      <c r="B38007" s="1" t="str">
        <f>HYPERLINK("http://volkswagen.de","volkswagen.de")</f>
        <v>volkswagen.de</v>
      </c>
      <c r="C38007" t="s">
        <v>436</v>
      </c>
      <c r="D38007" t="s">
        <v>815</v>
      </c>
      <c r="E38007">
        <v>7572</v>
      </c>
      <c r="F38007">
        <v>3.31568549270582E-6</v>
      </c>
      <c r="G38007">
        <v>12123</v>
      </c>
      <c r="H38007">
        <v>17596750</v>
      </c>
      <c r="I38007">
        <v>9763</v>
      </c>
      <c r="J38007">
        <v>3</v>
      </c>
    </row>
    <row r="38008" spans="1:10" x14ac:dyDescent="0.25">
      <c r="A38008" t="s">
        <v>398</v>
      </c>
      <c r="B38008" s="1" t="str">
        <f>HYPERLINK("http://volkswagen-autohaus-garske.de","volkswagen-autohaus-garske.de")</f>
        <v>volkswagen-autohaus-garske.de</v>
      </c>
      <c r="C38008" t="s">
        <v>436</v>
      </c>
      <c r="D38008" t="s">
        <v>815</v>
      </c>
      <c r="J38008">
        <v>3</v>
      </c>
    </row>
    <row r="38009" spans="1:10" x14ac:dyDescent="0.25">
      <c r="A38009" t="s">
        <v>398</v>
      </c>
      <c r="B38009" s="1" t="str">
        <f>HYPERLINK("http://volkswagen-autohaus-jannink.de","volkswagen-autohaus-jannink.de")</f>
        <v>volkswagen-autohaus-jannink.de</v>
      </c>
      <c r="C38009" t="s">
        <v>436</v>
      </c>
      <c r="D38009" t="s">
        <v>815</v>
      </c>
      <c r="F38009">
        <v>5.5499684490485702E-9</v>
      </c>
      <c r="G38009">
        <v>20377940</v>
      </c>
      <c r="H38009">
        <v>9528339</v>
      </c>
      <c r="I38009">
        <v>65314624</v>
      </c>
      <c r="J38009">
        <v>3</v>
      </c>
    </row>
    <row r="38010" spans="1:10" x14ac:dyDescent="0.25">
      <c r="A38010" t="s">
        <v>398</v>
      </c>
      <c r="B38010" s="1" t="str">
        <f>HYPERLINK("http://volkswagen-autohaus-lastrup.de","volkswagen-autohaus-lastrup.de")</f>
        <v>volkswagen-autohaus-lastrup.de</v>
      </c>
      <c r="C38010" t="s">
        <v>436</v>
      </c>
      <c r="D38010" t="s">
        <v>815</v>
      </c>
      <c r="F38010">
        <v>4.7174035682444401E-9</v>
      </c>
      <c r="G38010">
        <v>40343380</v>
      </c>
      <c r="H38010">
        <v>9282812</v>
      </c>
      <c r="I38010">
        <v>68584281</v>
      </c>
      <c r="J38010">
        <v>3</v>
      </c>
    </row>
    <row r="38011" spans="1:10" x14ac:dyDescent="0.25">
      <c r="A38011" t="s">
        <v>398</v>
      </c>
      <c r="B38011" s="1" t="str">
        <f>HYPERLINK("http://volkswagen-automobile.de","volkswagen-automobile.de")</f>
        <v>volkswagen-automobile.de</v>
      </c>
      <c r="C38011" t="s">
        <v>436</v>
      </c>
      <c r="D38011" t="s">
        <v>815</v>
      </c>
      <c r="F38011">
        <v>4.7721851678669697E-9</v>
      </c>
      <c r="G38011">
        <v>37284559</v>
      </c>
      <c r="H38011">
        <v>12088437</v>
      </c>
      <c r="I38011">
        <v>26298329</v>
      </c>
      <c r="J38011">
        <v>3</v>
      </c>
    </row>
    <row r="38012" spans="1:10" x14ac:dyDescent="0.25">
      <c r="A38012" t="s">
        <v>398</v>
      </c>
      <c r="B38012" s="1" t="str">
        <f>HYPERLINK("http://volkswagen-automobile-berlin.de","volkswagen-automobile-berlin.de")</f>
        <v>volkswagen-automobile-berlin.de</v>
      </c>
      <c r="C38012" t="s">
        <v>436</v>
      </c>
      <c r="D38012" t="s">
        <v>815</v>
      </c>
      <c r="F38012">
        <v>3.2850555546352498E-8</v>
      </c>
      <c r="G38012">
        <v>1572725</v>
      </c>
      <c r="H38012">
        <v>12799622</v>
      </c>
      <c r="I38012">
        <v>14640327</v>
      </c>
      <c r="J38012">
        <v>3</v>
      </c>
    </row>
    <row r="38013" spans="1:10" x14ac:dyDescent="0.25">
      <c r="A38013" t="s">
        <v>398</v>
      </c>
      <c r="B38013" s="1" t="str">
        <f>HYPERLINK("http://volkswagen-automobile-chemnitz.de","volkswagen-automobile-chemnitz.de")</f>
        <v>volkswagen-automobile-chemnitz.de</v>
      </c>
      <c r="C38013" t="s">
        <v>436</v>
      </c>
      <c r="D38013" t="s">
        <v>815</v>
      </c>
      <c r="F38013">
        <v>1.6851075075215401E-8</v>
      </c>
      <c r="G38013">
        <v>3321012</v>
      </c>
      <c r="H38013">
        <v>13143483</v>
      </c>
      <c r="I38013">
        <v>11862791</v>
      </c>
      <c r="J38013">
        <v>3</v>
      </c>
    </row>
    <row r="38014" spans="1:10" x14ac:dyDescent="0.25">
      <c r="A38014" t="s">
        <v>398</v>
      </c>
      <c r="B38014" s="1" t="str">
        <f>HYPERLINK("http://volkswagen-automobile-hannover.de","volkswagen-automobile-hannover.de")</f>
        <v>volkswagen-automobile-hannover.de</v>
      </c>
      <c r="C38014" t="s">
        <v>436</v>
      </c>
      <c r="D38014" t="s">
        <v>815</v>
      </c>
      <c r="F38014">
        <v>2.2461196611880201E-8</v>
      </c>
      <c r="G38014">
        <v>2332825</v>
      </c>
      <c r="H38014">
        <v>13369611</v>
      </c>
      <c r="I38014">
        <v>10469894</v>
      </c>
      <c r="J38014">
        <v>3</v>
      </c>
    </row>
    <row r="38015" spans="1:10" x14ac:dyDescent="0.25">
      <c r="A38015" t="s">
        <v>398</v>
      </c>
      <c r="B38015" s="1" t="str">
        <f>HYPERLINK("http://volkswagen-automobile-rhein-neckar.de","volkswagen-automobile-rhein-neckar.de")</f>
        <v>volkswagen-automobile-rhein-neckar.de</v>
      </c>
      <c r="C38015" t="s">
        <v>436</v>
      </c>
      <c r="D38015" t="s">
        <v>815</v>
      </c>
      <c r="F38015">
        <v>1.44595147581288E-8</v>
      </c>
      <c r="G38015">
        <v>4036753</v>
      </c>
      <c r="H38015">
        <v>12162848</v>
      </c>
      <c r="I38015">
        <v>24287242</v>
      </c>
      <c r="J38015">
        <v>3</v>
      </c>
    </row>
    <row r="38016" spans="1:10" x14ac:dyDescent="0.25">
      <c r="A38016" t="s">
        <v>398</v>
      </c>
      <c r="B38016" s="1" t="str">
        <f>HYPERLINK("http://volkswagen-automobile-stuttgart.de","volkswagen-automobile-stuttgart.de")</f>
        <v>volkswagen-automobile-stuttgart.de</v>
      </c>
      <c r="C38016" t="s">
        <v>436</v>
      </c>
      <c r="D38016" t="s">
        <v>815</v>
      </c>
      <c r="F38016">
        <v>2.3127688697445301E-8</v>
      </c>
      <c r="G38016">
        <v>2256959</v>
      </c>
      <c r="H38016">
        <v>12840347</v>
      </c>
      <c r="I38016">
        <v>14352285</v>
      </c>
      <c r="J38016">
        <v>3</v>
      </c>
    </row>
    <row r="38017" spans="1:10" x14ac:dyDescent="0.25">
      <c r="A38017" t="s">
        <v>398</v>
      </c>
      <c r="B38017" s="1" t="str">
        <f>HYPERLINK("http://volkswagen-autoversicherung.de","volkswagen-autoversicherung.de")</f>
        <v>volkswagen-autoversicherung.de</v>
      </c>
      <c r="C38017" t="s">
        <v>436</v>
      </c>
      <c r="D38017" t="s">
        <v>815</v>
      </c>
      <c r="F38017">
        <v>4.8104491132097003E-9</v>
      </c>
      <c r="G38017">
        <v>35683283</v>
      </c>
      <c r="H38017">
        <v>12026670</v>
      </c>
      <c r="I38017">
        <v>27740506</v>
      </c>
      <c r="J38017">
        <v>3</v>
      </c>
    </row>
    <row r="38018" spans="1:10" x14ac:dyDescent="0.25">
      <c r="A38018" t="s">
        <v>398</v>
      </c>
      <c r="B38018" s="1" t="str">
        <f>HYPERLINK("http://volkswagen-classic-parts.de","volkswagen-classic-parts.de")</f>
        <v>volkswagen-classic-parts.de</v>
      </c>
      <c r="C38018" t="s">
        <v>436</v>
      </c>
      <c r="D38018" t="s">
        <v>815</v>
      </c>
      <c r="F38018">
        <v>1.09407499746828E-7</v>
      </c>
      <c r="G38018">
        <v>365685</v>
      </c>
      <c r="H38018">
        <v>14496239</v>
      </c>
      <c r="I38018">
        <v>871850</v>
      </c>
      <c r="J38018">
        <v>3</v>
      </c>
    </row>
    <row r="38019" spans="1:10" x14ac:dyDescent="0.25">
      <c r="A38019" t="s">
        <v>398</v>
      </c>
      <c r="B38019" s="1" t="str">
        <f>HYPERLINK("http://volkswagen-edp.de","volkswagen-edp.de")</f>
        <v>volkswagen-edp.de</v>
      </c>
      <c r="C38019" t="s">
        <v>436</v>
      </c>
      <c r="D38019" t="s">
        <v>815</v>
      </c>
      <c r="J38019">
        <v>3</v>
      </c>
    </row>
    <row r="38020" spans="1:10" x14ac:dyDescent="0.25">
      <c r="A38020" t="s">
        <v>398</v>
      </c>
      <c r="B38020" s="1" t="str">
        <f>HYPERLINK("http://volkswagen-erlenhoff.de","volkswagen-erlenhoff.de")</f>
        <v>volkswagen-erlenhoff.de</v>
      </c>
      <c r="C38020" t="s">
        <v>436</v>
      </c>
      <c r="D38020" t="s">
        <v>815</v>
      </c>
      <c r="F38020">
        <v>9.7917080715002899E-9</v>
      </c>
      <c r="G38020">
        <v>6977825</v>
      </c>
      <c r="H38020">
        <v>12299938</v>
      </c>
      <c r="I38020">
        <v>20834983</v>
      </c>
      <c r="J38020">
        <v>3</v>
      </c>
    </row>
    <row r="38021" spans="1:10" x14ac:dyDescent="0.25">
      <c r="A38021" t="s">
        <v>398</v>
      </c>
      <c r="B38021" s="1" t="str">
        <f>HYPERLINK("http://volkswagen-group-retail-berlin.de","volkswagen-group-retail-berlin.de")</f>
        <v>volkswagen-group-retail-berlin.de</v>
      </c>
      <c r="C38021" t="s">
        <v>436</v>
      </c>
      <c r="D38021" t="s">
        <v>815</v>
      </c>
      <c r="F38021">
        <v>2.1385788719706699E-8</v>
      </c>
      <c r="G38021">
        <v>2463418</v>
      </c>
      <c r="H38021">
        <v>12374873</v>
      </c>
      <c r="I38021">
        <v>19319252</v>
      </c>
      <c r="J38021">
        <v>3</v>
      </c>
    </row>
    <row r="38022" spans="1:10" x14ac:dyDescent="0.25">
      <c r="A38022" t="s">
        <v>398</v>
      </c>
      <c r="B38022" s="1" t="str">
        <f>HYPERLINK("http://volkswagen-group-retail-hamburg.de","volkswagen-group-retail-hamburg.de")</f>
        <v>volkswagen-group-retail-hamburg.de</v>
      </c>
      <c r="C38022" t="s">
        <v>436</v>
      </c>
      <c r="D38022" t="s">
        <v>815</v>
      </c>
      <c r="F38022">
        <v>1.7833864584396901E-8</v>
      </c>
      <c r="G38022">
        <v>3067512</v>
      </c>
      <c r="H38022">
        <v>12358868</v>
      </c>
      <c r="I38022">
        <v>19609039</v>
      </c>
      <c r="J38022">
        <v>4</v>
      </c>
    </row>
    <row r="38023" spans="1:10" x14ac:dyDescent="0.25">
      <c r="A38023" t="s">
        <v>398</v>
      </c>
      <c r="B38023" s="1" t="str">
        <f>HYPERLINK("http://volkswagen-hamburg.de","volkswagen-hamburg.de")</f>
        <v>volkswagen-hamburg.de</v>
      </c>
      <c r="C38023" t="s">
        <v>436</v>
      </c>
      <c r="D38023" t="s">
        <v>815</v>
      </c>
      <c r="F38023">
        <v>6.8834254221542099E-9</v>
      </c>
      <c r="G38023">
        <v>12686207</v>
      </c>
      <c r="H38023">
        <v>12285008</v>
      </c>
      <c r="I38023">
        <v>21211161</v>
      </c>
      <c r="J38023">
        <v>3</v>
      </c>
    </row>
    <row r="38024" spans="1:10" x14ac:dyDescent="0.25">
      <c r="A38024" t="s">
        <v>398</v>
      </c>
      <c r="B38024" s="1" t="str">
        <f>HYPERLINK("http://volkswagen-kahle.de","volkswagen-kahle.de")</f>
        <v>volkswagen-kahle.de</v>
      </c>
      <c r="C38024" t="s">
        <v>436</v>
      </c>
      <c r="D38024" t="s">
        <v>815</v>
      </c>
      <c r="F38024">
        <v>5.10166566069146E-9</v>
      </c>
      <c r="G38024">
        <v>27042372</v>
      </c>
      <c r="H38024">
        <v>9455428</v>
      </c>
      <c r="I38024">
        <v>66435656</v>
      </c>
      <c r="J38024">
        <v>3</v>
      </c>
    </row>
    <row r="38025" spans="1:10" x14ac:dyDescent="0.25">
      <c r="A38025" t="s">
        <v>398</v>
      </c>
      <c r="B38025" s="1" t="str">
        <f>HYPERLINK("http://volkswagen-konzernlogistik.de","volkswagen-konzernlogistik.de")</f>
        <v>volkswagen-konzernlogistik.de</v>
      </c>
      <c r="C38025" t="s">
        <v>436</v>
      </c>
      <c r="D38025" t="s">
        <v>815</v>
      </c>
      <c r="F38025">
        <v>2.2126228827538301E-7</v>
      </c>
      <c r="G38025">
        <v>170354</v>
      </c>
      <c r="H38025">
        <v>12553419</v>
      </c>
      <c r="I38025">
        <v>16797422</v>
      </c>
      <c r="J38025">
        <v>3</v>
      </c>
    </row>
    <row r="38026" spans="1:10" x14ac:dyDescent="0.25">
      <c r="A38026" t="s">
        <v>398</v>
      </c>
      <c r="B38026" s="1" t="str">
        <f>HYPERLINK("http://volkswagen-otlg.de","volkswagen-otlg.de")</f>
        <v>volkswagen-otlg.de</v>
      </c>
      <c r="C38026" t="s">
        <v>436</v>
      </c>
      <c r="D38026" t="s">
        <v>815</v>
      </c>
      <c r="E38026">
        <v>491463</v>
      </c>
      <c r="F38026">
        <v>3.7776985648722503E-8</v>
      </c>
      <c r="G38026">
        <v>1369745</v>
      </c>
      <c r="H38026">
        <v>13283939</v>
      </c>
      <c r="I38026">
        <v>10901095</v>
      </c>
      <c r="J38026">
        <v>3</v>
      </c>
    </row>
    <row r="38027" spans="1:10" x14ac:dyDescent="0.25">
      <c r="A38027" t="s">
        <v>398</v>
      </c>
      <c r="B38027" s="1" t="str">
        <f>HYPERLINK("http://volkswagen-rausch.de","volkswagen-rausch.de")</f>
        <v>volkswagen-rausch.de</v>
      </c>
      <c r="C38027" t="s">
        <v>436</v>
      </c>
      <c r="D38027" t="s">
        <v>815</v>
      </c>
      <c r="F38027">
        <v>4.7115194124506598E-9</v>
      </c>
      <c r="G38027">
        <v>40669700</v>
      </c>
      <c r="H38027">
        <v>9306597</v>
      </c>
      <c r="I38027">
        <v>68438383</v>
      </c>
      <c r="J38027">
        <v>3</v>
      </c>
    </row>
    <row r="38028" spans="1:10" x14ac:dyDescent="0.25">
      <c r="A38028" t="s">
        <v>398</v>
      </c>
      <c r="B38028" s="1" t="str">
        <f>HYPERLINK("http://volkswagen-sachsen.de","volkswagen-sachsen.de")</f>
        <v>volkswagen-sachsen.de</v>
      </c>
      <c r="C38028" t="s">
        <v>436</v>
      </c>
      <c r="D38028" t="s">
        <v>815</v>
      </c>
      <c r="F38028">
        <v>5.10913114114195E-8</v>
      </c>
      <c r="G38028">
        <v>896957</v>
      </c>
      <c r="H38028">
        <v>14077587</v>
      </c>
      <c r="I38028">
        <v>2862555</v>
      </c>
      <c r="J38028">
        <v>3</v>
      </c>
    </row>
    <row r="38029" spans="1:10" x14ac:dyDescent="0.25">
      <c r="A38029" t="s">
        <v>398</v>
      </c>
      <c r="B38029" s="1" t="str">
        <f>HYPERLINK("http://volkswagen-scheider.de","volkswagen-scheider.de")</f>
        <v>volkswagen-scheider.de</v>
      </c>
      <c r="C38029" t="s">
        <v>436</v>
      </c>
      <c r="D38029" t="s">
        <v>815</v>
      </c>
      <c r="J38029">
        <v>3</v>
      </c>
    </row>
    <row r="38030" spans="1:10" x14ac:dyDescent="0.25">
      <c r="A38030" t="s">
        <v>398</v>
      </c>
      <c r="B38030" s="1" t="str">
        <f>HYPERLINK("http://volkswagen-zentrum-aachen.de","volkswagen-zentrum-aachen.de")</f>
        <v>volkswagen-zentrum-aachen.de</v>
      </c>
      <c r="C38030" t="s">
        <v>436</v>
      </c>
      <c r="D38030" t="s">
        <v>815</v>
      </c>
      <c r="F38030">
        <v>4.8737774842091202E-9</v>
      </c>
      <c r="G38030">
        <v>33280390</v>
      </c>
      <c r="H38030">
        <v>12029104</v>
      </c>
      <c r="I38030">
        <v>27679700</v>
      </c>
      <c r="J38030">
        <v>5</v>
      </c>
    </row>
    <row r="38031" spans="1:10" x14ac:dyDescent="0.25">
      <c r="A38031" t="s">
        <v>398</v>
      </c>
      <c r="B38031" s="1" t="str">
        <f>HYPERLINK("http://volkswagen-zentrum-kiel.de","volkswagen-zentrum-kiel.de")</f>
        <v>volkswagen-zentrum-kiel.de</v>
      </c>
      <c r="C38031" t="s">
        <v>436</v>
      </c>
      <c r="D38031" t="s">
        <v>815</v>
      </c>
      <c r="F38031">
        <v>5.4221685839957497E-9</v>
      </c>
      <c r="G38031">
        <v>21835604</v>
      </c>
      <c r="H38031">
        <v>11035748</v>
      </c>
      <c r="I38031">
        <v>32985025</v>
      </c>
      <c r="J38031">
        <v>3</v>
      </c>
    </row>
    <row r="38032" spans="1:10" x14ac:dyDescent="0.25">
      <c r="A38032" t="s">
        <v>398</v>
      </c>
      <c r="B38032" s="1" t="str">
        <f>HYPERLINK("http://volkswagen-zubehoer.de","volkswagen-zubehoer.de")</f>
        <v>volkswagen-zubehoer.de</v>
      </c>
      <c r="C38032" t="s">
        <v>436</v>
      </c>
      <c r="D38032" t="s">
        <v>815</v>
      </c>
      <c r="F38032">
        <v>2.4326307337029501E-7</v>
      </c>
      <c r="G38032">
        <v>153795</v>
      </c>
      <c r="H38032">
        <v>13939955</v>
      </c>
      <c r="I38032">
        <v>4380357</v>
      </c>
      <c r="J38032">
        <v>3</v>
      </c>
    </row>
    <row r="38033" spans="1:10" x14ac:dyDescent="0.25">
      <c r="A38033" t="s">
        <v>398</v>
      </c>
      <c r="B38033" s="1" t="str">
        <f>HYPERLINK("http://volkswagenag.de","volkswagenag.de")</f>
        <v>volkswagenag.de</v>
      </c>
      <c r="C38033" t="s">
        <v>436</v>
      </c>
      <c r="D38033" t="s">
        <v>815</v>
      </c>
      <c r="F38033">
        <v>1.37430576024862E-8</v>
      </c>
      <c r="G38033">
        <v>4303987</v>
      </c>
      <c r="H38033">
        <v>12305408</v>
      </c>
      <c r="I38033">
        <v>20727641</v>
      </c>
      <c r="J38033">
        <v>2</v>
      </c>
    </row>
    <row r="38034" spans="1:10" x14ac:dyDescent="0.25">
      <c r="A38034" t="s">
        <v>398</v>
      </c>
      <c r="B38034" s="1" t="str">
        <f>HYPERLINK("http://volkswagenbank.de","volkswagenbank.de")</f>
        <v>volkswagenbank.de</v>
      </c>
      <c r="C38034" t="s">
        <v>436</v>
      </c>
      <c r="D38034" t="s">
        <v>815</v>
      </c>
      <c r="E38034">
        <v>292737</v>
      </c>
      <c r="F38034">
        <v>5.6005445536234699E-8</v>
      </c>
      <c r="G38034">
        <v>799815</v>
      </c>
      <c r="H38034">
        <v>13162692</v>
      </c>
      <c r="I38034">
        <v>11762280</v>
      </c>
      <c r="J38034">
        <v>4</v>
      </c>
    </row>
    <row r="38035" spans="1:10" x14ac:dyDescent="0.25">
      <c r="A38035" t="s">
        <v>398</v>
      </c>
      <c r="B38035" s="1" t="str">
        <f>HYPERLINK("http://volkswagenleasing.de","volkswagenleasing.de")</f>
        <v>volkswagenleasing.de</v>
      </c>
      <c r="C38035" t="s">
        <v>436</v>
      </c>
      <c r="D38035" t="s">
        <v>815</v>
      </c>
      <c r="F38035">
        <v>2.6730572050866399E-8</v>
      </c>
      <c r="G38035">
        <v>1925283</v>
      </c>
      <c r="H38035">
        <v>12378871</v>
      </c>
      <c r="I38035">
        <v>19235530</v>
      </c>
      <c r="J38035">
        <v>4</v>
      </c>
    </row>
    <row r="38036" spans="1:10" x14ac:dyDescent="0.25">
      <c r="A38036" t="s">
        <v>398</v>
      </c>
      <c r="B38036" s="1" t="str">
        <f>HYPERLINK("http://vornholt.de","vornholt.de")</f>
        <v>vornholt.de</v>
      </c>
      <c r="C38036" t="s">
        <v>436</v>
      </c>
      <c r="D38036" t="s">
        <v>815</v>
      </c>
      <c r="F38036">
        <v>5.6530175365427699E-9</v>
      </c>
      <c r="G38036">
        <v>19365415</v>
      </c>
      <c r="H38036">
        <v>10758610</v>
      </c>
      <c r="I38036">
        <v>39679118</v>
      </c>
      <c r="J38036">
        <v>3</v>
      </c>
    </row>
    <row r="38037" spans="1:10" x14ac:dyDescent="0.25">
      <c r="A38037" t="s">
        <v>398</v>
      </c>
      <c r="B38037" s="1" t="str">
        <f>HYPERLINK("http://vw-as.de","vw-as.de")</f>
        <v>vw-as.de</v>
      </c>
      <c r="C38037" t="s">
        <v>436</v>
      </c>
      <c r="D38037" t="s">
        <v>815</v>
      </c>
      <c r="F38037">
        <v>4.5869291480264502E-9</v>
      </c>
      <c r="G38037">
        <v>48673957</v>
      </c>
      <c r="H38037">
        <v>10513058</v>
      </c>
      <c r="I38037">
        <v>49367967</v>
      </c>
      <c r="J38037">
        <v>3</v>
      </c>
    </row>
    <row r="38038" spans="1:10" x14ac:dyDescent="0.25">
      <c r="A38038" t="s">
        <v>398</v>
      </c>
      <c r="B38038" s="1" t="str">
        <f>HYPERLINK("http://vw-autohaus-maier.de","vw-autohaus-maier.de")</f>
        <v>vw-autohaus-maier.de</v>
      </c>
      <c r="C38038" t="s">
        <v>436</v>
      </c>
      <c r="D38038" t="s">
        <v>815</v>
      </c>
      <c r="F38038">
        <v>4.6941123491955701E-9</v>
      </c>
      <c r="G38038">
        <v>41583791</v>
      </c>
      <c r="H38038">
        <v>12105200</v>
      </c>
      <c r="I38038">
        <v>25844440</v>
      </c>
      <c r="J38038">
        <v>3</v>
      </c>
    </row>
    <row r="38039" spans="1:10" x14ac:dyDescent="0.25">
      <c r="A38039" t="s">
        <v>398</v>
      </c>
      <c r="B38039" s="1" t="str">
        <f>HYPERLINK("http://vw-automobile-leipzig.de","vw-automobile-leipzig.de")</f>
        <v>vw-automobile-leipzig.de</v>
      </c>
      <c r="C38039" t="s">
        <v>436</v>
      </c>
      <c r="D38039" t="s">
        <v>815</v>
      </c>
      <c r="F38039">
        <v>1.85780465575354E-8</v>
      </c>
      <c r="G38039">
        <v>2911294</v>
      </c>
      <c r="H38039">
        <v>12226059</v>
      </c>
      <c r="I38039">
        <v>22626537</v>
      </c>
      <c r="J38039">
        <v>3</v>
      </c>
    </row>
    <row r="38040" spans="1:10" x14ac:dyDescent="0.25">
      <c r="A38040" t="s">
        <v>398</v>
      </c>
      <c r="B38040" s="1" t="str">
        <f>HYPERLINK("http://vw-becker.de","vw-becker.de")</f>
        <v>vw-becker.de</v>
      </c>
      <c r="C38040" t="s">
        <v>436</v>
      </c>
      <c r="D38040" t="s">
        <v>815</v>
      </c>
      <c r="F38040">
        <v>4.5982333115367897E-9</v>
      </c>
      <c r="G38040">
        <v>47744488</v>
      </c>
      <c r="H38040">
        <v>9548252</v>
      </c>
      <c r="I38040">
        <v>65012065</v>
      </c>
      <c r="J38040">
        <v>3</v>
      </c>
    </row>
    <row r="38041" spans="1:10" x14ac:dyDescent="0.25">
      <c r="A38041" t="s">
        <v>398</v>
      </c>
      <c r="B38041" s="1" t="str">
        <f>HYPERLINK("http://vw-bi.de","vw-bi.de")</f>
        <v>vw-bi.de</v>
      </c>
      <c r="C38041" t="s">
        <v>436</v>
      </c>
      <c r="D38041" t="s">
        <v>815</v>
      </c>
      <c r="F38041">
        <v>1.39219822226841E-8</v>
      </c>
      <c r="G38041">
        <v>4232588</v>
      </c>
      <c r="H38041">
        <v>12294803</v>
      </c>
      <c r="I38041">
        <v>20968779</v>
      </c>
      <c r="J38041">
        <v>3</v>
      </c>
    </row>
    <row r="38042" spans="1:10" x14ac:dyDescent="0.25">
      <c r="A38042" t="s">
        <v>398</v>
      </c>
      <c r="B38042" s="1" t="str">
        <f>HYPERLINK("http://vw-eckert.de","vw-eckert.de")</f>
        <v>vw-eckert.de</v>
      </c>
      <c r="C38042" t="s">
        <v>436</v>
      </c>
      <c r="D38042" t="s">
        <v>815</v>
      </c>
      <c r="F38042">
        <v>8.8572686177113703E-9</v>
      </c>
      <c r="G38042">
        <v>8212637</v>
      </c>
      <c r="H38042">
        <v>12215213</v>
      </c>
      <c r="I38042">
        <v>22898532</v>
      </c>
      <c r="J38042">
        <v>3</v>
      </c>
    </row>
    <row r="38043" spans="1:10" x14ac:dyDescent="0.25">
      <c r="A38043" t="s">
        <v>398</v>
      </c>
      <c r="B38043" s="1" t="str">
        <f>HYPERLINK("http://vw-fn.de","vw-fn.de")</f>
        <v>vw-fn.de</v>
      </c>
      <c r="C38043" t="s">
        <v>436</v>
      </c>
      <c r="D38043" t="s">
        <v>815</v>
      </c>
      <c r="F38043">
        <v>8.6217689940078492E-9</v>
      </c>
      <c r="G38043">
        <v>8617232</v>
      </c>
      <c r="H38043">
        <v>11974542</v>
      </c>
      <c r="I38043">
        <v>28636139</v>
      </c>
      <c r="J38043">
        <v>3</v>
      </c>
    </row>
    <row r="38044" spans="1:10" x14ac:dyDescent="0.25">
      <c r="A38044" t="s">
        <v>398</v>
      </c>
      <c r="B38044" s="1" t="str">
        <f>HYPERLINK("http://vw-franken.de","vw-franken.de")</f>
        <v>vw-franken.de</v>
      </c>
      <c r="C38044" t="s">
        <v>436</v>
      </c>
      <c r="D38044" t="s">
        <v>815</v>
      </c>
      <c r="F38044">
        <v>8.7086593129095193E-9</v>
      </c>
      <c r="G38044">
        <v>8462253</v>
      </c>
      <c r="H38044">
        <v>12106764</v>
      </c>
      <c r="I38044">
        <v>25809345</v>
      </c>
      <c r="J38044">
        <v>3</v>
      </c>
    </row>
    <row r="38045" spans="1:10" x14ac:dyDescent="0.25">
      <c r="A38045" t="s">
        <v>398</v>
      </c>
      <c r="B38045" s="1" t="str">
        <f>HYPERLINK("http://vw-kirschner.de","vw-kirschner.de")</f>
        <v>vw-kirschner.de</v>
      </c>
      <c r="C38045" t="s">
        <v>436</v>
      </c>
      <c r="D38045" t="s">
        <v>815</v>
      </c>
      <c r="F38045">
        <v>5.5487695912517998E-9</v>
      </c>
      <c r="G38045">
        <v>20389431</v>
      </c>
      <c r="H38045">
        <v>12750498</v>
      </c>
      <c r="I38045">
        <v>15047788</v>
      </c>
      <c r="J38045">
        <v>3</v>
      </c>
    </row>
    <row r="38046" spans="1:10" x14ac:dyDescent="0.25">
      <c r="A38046" t="s">
        <v>398</v>
      </c>
      <c r="B38046" s="1" t="str">
        <f>HYPERLINK("http://vw-kraftwerk.de","vw-kraftwerk.de")</f>
        <v>vw-kraftwerk.de</v>
      </c>
      <c r="C38046" t="s">
        <v>436</v>
      </c>
      <c r="D38046" t="s">
        <v>815</v>
      </c>
      <c r="F38046">
        <v>8.6704306403853208E-9</v>
      </c>
      <c r="G38046">
        <v>8529113</v>
      </c>
      <c r="H38046">
        <v>14073380</v>
      </c>
      <c r="I38046">
        <v>2998775</v>
      </c>
      <c r="J38046">
        <v>3</v>
      </c>
    </row>
    <row r="38047" spans="1:10" x14ac:dyDescent="0.25">
      <c r="A38047" t="s">
        <v>398</v>
      </c>
      <c r="B38047" s="1" t="str">
        <f>HYPERLINK("http://vw-muehlenberg.de","vw-muehlenberg.de")</f>
        <v>vw-muehlenberg.de</v>
      </c>
      <c r="C38047" t="s">
        <v>436</v>
      </c>
      <c r="D38047" t="s">
        <v>815</v>
      </c>
      <c r="J38047">
        <v>3</v>
      </c>
    </row>
    <row r="38048" spans="1:10" x14ac:dyDescent="0.25">
      <c r="A38048" t="s">
        <v>398</v>
      </c>
      <c r="B38048" s="1" t="str">
        <f>HYPERLINK("http://vw-muensterland.de","vw-muensterland.de")</f>
        <v>vw-muensterland.de</v>
      </c>
      <c r="C38048" t="s">
        <v>436</v>
      </c>
      <c r="D38048" t="s">
        <v>815</v>
      </c>
      <c r="J38048">
        <v>3</v>
      </c>
    </row>
    <row r="38049" spans="1:10" x14ac:dyDescent="0.25">
      <c r="A38049" t="s">
        <v>398</v>
      </c>
      <c r="B38049" s="1" t="str">
        <f>HYPERLINK("http://vw-osenstaetter.de","vw-osenstaetter.de")</f>
        <v>vw-osenstaetter.de</v>
      </c>
      <c r="C38049" t="s">
        <v>436</v>
      </c>
      <c r="D38049" t="s">
        <v>815</v>
      </c>
      <c r="F38049">
        <v>2.6407538602319099E-8</v>
      </c>
      <c r="G38049">
        <v>1949731</v>
      </c>
      <c r="H38049">
        <v>13393534</v>
      </c>
      <c r="I38049">
        <v>10383151</v>
      </c>
      <c r="J38049">
        <v>3</v>
      </c>
    </row>
    <row r="38050" spans="1:10" x14ac:dyDescent="0.25">
      <c r="A38050" t="s">
        <v>398</v>
      </c>
      <c r="B38050" s="1" t="str">
        <f>HYPERLINK("http://vw-rostock.de","vw-rostock.de")</f>
        <v>vw-rostock.de</v>
      </c>
      <c r="C38050" t="s">
        <v>436</v>
      </c>
      <c r="D38050" t="s">
        <v>815</v>
      </c>
      <c r="F38050">
        <v>2.04303451461691E-8</v>
      </c>
      <c r="G38050">
        <v>2594543</v>
      </c>
      <c r="H38050">
        <v>12383580</v>
      </c>
      <c r="I38050">
        <v>19145966</v>
      </c>
      <c r="J38050">
        <v>3</v>
      </c>
    </row>
    <row r="38051" spans="1:10" x14ac:dyDescent="0.25">
      <c r="A38051" t="s">
        <v>398</v>
      </c>
      <c r="B38051" s="1" t="str">
        <f>HYPERLINK("http://vw-tiemeyer-tenwinkel-marl.de","vw-tiemeyer-tenwinkel-marl.de")</f>
        <v>vw-tiemeyer-tenwinkel-marl.de</v>
      </c>
      <c r="C38051" t="s">
        <v>436</v>
      </c>
      <c r="D38051" t="s">
        <v>815</v>
      </c>
      <c r="J38051">
        <v>5</v>
      </c>
    </row>
    <row r="38052" spans="1:10" x14ac:dyDescent="0.25">
      <c r="A38052" t="s">
        <v>398</v>
      </c>
      <c r="B38052" s="1" t="str">
        <f>HYPERLINK("http://vw-ummenhofer.de","vw-ummenhofer.de")</f>
        <v>vw-ummenhofer.de</v>
      </c>
      <c r="C38052" t="s">
        <v>436</v>
      </c>
      <c r="D38052" t="s">
        <v>815</v>
      </c>
      <c r="F38052">
        <v>4.4740028939445699E-9</v>
      </c>
      <c r="G38052">
        <v>63629788</v>
      </c>
      <c r="H38052">
        <v>11974545</v>
      </c>
      <c r="I38052">
        <v>28635421</v>
      </c>
      <c r="J38052">
        <v>3</v>
      </c>
    </row>
    <row r="38053" spans="1:10" x14ac:dyDescent="0.25">
      <c r="A38053" t="s">
        <v>398</v>
      </c>
      <c r="B38053" s="1" t="str">
        <f>HYPERLINK("http://vw-wicke.de","vw-wicke.de")</f>
        <v>vw-wicke.de</v>
      </c>
      <c r="C38053" t="s">
        <v>436</v>
      </c>
      <c r="D38053" t="s">
        <v>815</v>
      </c>
      <c r="F38053">
        <v>2.0050174415328699E-8</v>
      </c>
      <c r="G38053">
        <v>2651594</v>
      </c>
      <c r="H38053">
        <v>12937017</v>
      </c>
      <c r="I38053">
        <v>13324520</v>
      </c>
      <c r="J38053">
        <v>3</v>
      </c>
    </row>
    <row r="38054" spans="1:10" x14ac:dyDescent="0.25">
      <c r="A38054" t="s">
        <v>398</v>
      </c>
      <c r="B38054" s="1" t="str">
        <f>HYPERLINK("http://vw-zentrum-regensburg.de","vw-zentrum-regensburg.de")</f>
        <v>vw-zentrum-regensburg.de</v>
      </c>
      <c r="C38054" t="s">
        <v>436</v>
      </c>
      <c r="D38054" t="s">
        <v>815</v>
      </c>
      <c r="F38054">
        <v>1.12321100152843E-8</v>
      </c>
      <c r="G38054">
        <v>5690697</v>
      </c>
      <c r="H38054">
        <v>12300736</v>
      </c>
      <c r="I38054">
        <v>20817083</v>
      </c>
      <c r="J38054">
        <v>3</v>
      </c>
    </row>
    <row r="38055" spans="1:10" x14ac:dyDescent="0.25">
      <c r="A38055" t="s">
        <v>398</v>
      </c>
      <c r="B38055" s="1" t="str">
        <f>HYPERLINK("http://vwfs.de","vwfs.de")</f>
        <v>vwfs.de</v>
      </c>
      <c r="C38055" t="s">
        <v>436</v>
      </c>
      <c r="D38055" t="s">
        <v>815</v>
      </c>
      <c r="E38055">
        <v>52722</v>
      </c>
      <c r="F38055">
        <v>1.4669592224175099E-6</v>
      </c>
      <c r="G38055">
        <v>26737</v>
      </c>
      <c r="H38055">
        <v>16896948</v>
      </c>
      <c r="I38055">
        <v>133594</v>
      </c>
      <c r="J38055">
        <v>4</v>
      </c>
    </row>
    <row r="38056" spans="1:10" x14ac:dyDescent="0.25">
      <c r="A38056" t="s">
        <v>398</v>
      </c>
      <c r="B38056" s="1" t="str">
        <f>HYPERLINK("http://vwfsag.de","vwfsag.de")</f>
        <v>vwfsag.de</v>
      </c>
      <c r="C38056" t="s">
        <v>436</v>
      </c>
      <c r="D38056" t="s">
        <v>815</v>
      </c>
      <c r="E38056">
        <v>169387</v>
      </c>
      <c r="F38056">
        <v>5.8481177089085902E-8</v>
      </c>
      <c r="G38056">
        <v>759548</v>
      </c>
      <c r="H38056">
        <v>12860831</v>
      </c>
      <c r="I38056">
        <v>14196336</v>
      </c>
      <c r="J38056">
        <v>3</v>
      </c>
    </row>
    <row r="38057" spans="1:10" x14ac:dyDescent="0.25">
      <c r="A38057" t="s">
        <v>398</v>
      </c>
      <c r="B38057" s="1" t="str">
        <f>HYPERLINK("http://vwgis.de","vwgis.de")</f>
        <v>vwgis.de</v>
      </c>
      <c r="C38057" t="s">
        <v>436</v>
      </c>
      <c r="D38057" t="s">
        <v>815</v>
      </c>
      <c r="F38057">
        <v>2.2286842100519801E-8</v>
      </c>
      <c r="G38057">
        <v>2352506</v>
      </c>
      <c r="H38057">
        <v>12320403</v>
      </c>
      <c r="I38057">
        <v>20412857</v>
      </c>
      <c r="J38057">
        <v>3</v>
      </c>
    </row>
    <row r="38058" spans="1:10" x14ac:dyDescent="0.25">
      <c r="A38058" t="s">
        <v>398</v>
      </c>
      <c r="B38058" s="1" t="str">
        <f>HYPERLINK("http://vwimmobilien.de","vwimmobilien.de")</f>
        <v>vwimmobilien.de</v>
      </c>
      <c r="C38058" t="s">
        <v>436</v>
      </c>
      <c r="D38058" t="s">
        <v>815</v>
      </c>
      <c r="F38058">
        <v>4.3266554510394601E-8</v>
      </c>
      <c r="G38058">
        <v>1108260</v>
      </c>
      <c r="H38058">
        <v>14076233</v>
      </c>
      <c r="I38058">
        <v>2891720</v>
      </c>
      <c r="J38058">
        <v>3</v>
      </c>
    </row>
    <row r="38059" spans="1:10" x14ac:dyDescent="0.25">
      <c r="A38059" t="s">
        <v>398</v>
      </c>
      <c r="B38059" s="1" t="str">
        <f>HYPERLINK("http://vwinhalle.de","vwinhalle.de")</f>
        <v>vwinhalle.de</v>
      </c>
      <c r="C38059" t="s">
        <v>436</v>
      </c>
      <c r="D38059" t="s">
        <v>815</v>
      </c>
      <c r="F38059">
        <v>1.1410687597771101E-8</v>
      </c>
      <c r="G38059">
        <v>5567162</v>
      </c>
      <c r="H38059">
        <v>12427203</v>
      </c>
      <c r="I38059">
        <v>18343426</v>
      </c>
      <c r="J38059">
        <v>3</v>
      </c>
    </row>
    <row r="38060" spans="1:10" x14ac:dyDescent="0.25">
      <c r="A38060" t="s">
        <v>398</v>
      </c>
      <c r="B38060" s="1" t="str">
        <f>HYPERLINK("http://vwn-suk-bremen.de","vwn-suk-bremen.de")</f>
        <v>vwn-suk-bremen.de</v>
      </c>
      <c r="C38060" t="s">
        <v>436</v>
      </c>
      <c r="D38060" t="s">
        <v>815</v>
      </c>
      <c r="F38060">
        <v>4.7993255071194104E-9</v>
      </c>
      <c r="G38060">
        <v>36113918</v>
      </c>
      <c r="H38060">
        <v>10350138</v>
      </c>
      <c r="I38060">
        <v>56367145</v>
      </c>
      <c r="J38060">
        <v>3</v>
      </c>
    </row>
    <row r="38061" spans="1:10" x14ac:dyDescent="0.25">
      <c r="A38061" t="s">
        <v>398</v>
      </c>
      <c r="B38061" s="1" t="str">
        <f>HYPERLINK("http://wentorf-schenkhut.de","wentorf-schenkhut.de")</f>
        <v>wentorf-schenkhut.de</v>
      </c>
      <c r="C38061" t="s">
        <v>436</v>
      </c>
      <c r="D38061" t="s">
        <v>815</v>
      </c>
      <c r="F38061">
        <v>1.32299480016783E-8</v>
      </c>
      <c r="G38061">
        <v>4525066</v>
      </c>
      <c r="H38061">
        <v>12314712</v>
      </c>
      <c r="I38061">
        <v>20519630</v>
      </c>
      <c r="J38061">
        <v>3</v>
      </c>
    </row>
    <row r="38062" spans="1:10" x14ac:dyDescent="0.25">
      <c r="A38062" t="s">
        <v>398</v>
      </c>
      <c r="B38062" s="1" t="str">
        <f>HYPERLINK("http://wh-autozentrum.de","wh-autozentrum.de")</f>
        <v>wh-autozentrum.de</v>
      </c>
      <c r="C38062" t="s">
        <v>436</v>
      </c>
      <c r="D38062" t="s">
        <v>815</v>
      </c>
      <c r="F38062">
        <v>1.29871146319078E-8</v>
      </c>
      <c r="G38062">
        <v>4637707</v>
      </c>
      <c r="H38062">
        <v>12368764</v>
      </c>
      <c r="I38062">
        <v>19429504</v>
      </c>
      <c r="J38062">
        <v>3</v>
      </c>
    </row>
    <row r="38063" spans="1:10" x14ac:dyDescent="0.25">
      <c r="A38063" t="s">
        <v>398</v>
      </c>
      <c r="B38063" s="1" t="str">
        <f>HYPERLINK("http://wiegers.de","wiegers.de")</f>
        <v>wiegers.de</v>
      </c>
      <c r="C38063" t="s">
        <v>436</v>
      </c>
      <c r="D38063" t="s">
        <v>815</v>
      </c>
      <c r="F38063">
        <v>4.7824564755794596E-9</v>
      </c>
      <c r="G38063">
        <v>36857132</v>
      </c>
      <c r="H38063">
        <v>12847685</v>
      </c>
      <c r="I38063">
        <v>14304095</v>
      </c>
      <c r="J38063">
        <v>4</v>
      </c>
    </row>
    <row r="38064" spans="1:10" x14ac:dyDescent="0.25">
      <c r="A38064" t="s">
        <v>398</v>
      </c>
      <c r="B38064" s="1" t="str">
        <f>HYPERLINK("http://wiest-autohaeuser.de","wiest-autohaeuser.de")</f>
        <v>wiest-autohaeuser.de</v>
      </c>
      <c r="C38064" t="s">
        <v>436</v>
      </c>
      <c r="D38064" t="s">
        <v>815</v>
      </c>
      <c r="F38064">
        <v>3.4392179572908901E-8</v>
      </c>
      <c r="G38064">
        <v>1507831</v>
      </c>
      <c r="H38064">
        <v>12534353</v>
      </c>
      <c r="I38064">
        <v>16993003</v>
      </c>
      <c r="J38064">
        <v>4</v>
      </c>
    </row>
    <row r="38065" spans="1:10" x14ac:dyDescent="0.25">
      <c r="A38065" t="s">
        <v>398</v>
      </c>
      <c r="B38065" s="1" t="str">
        <f>HYPERLINK("http://wwg-autowelt.de","wwg-autowelt.de")</f>
        <v>wwg-autowelt.de</v>
      </c>
      <c r="C38065" t="s">
        <v>436</v>
      </c>
      <c r="D38065" t="s">
        <v>815</v>
      </c>
      <c r="F38065">
        <v>5.3692318778695498E-9</v>
      </c>
      <c r="G38065">
        <v>22551751</v>
      </c>
      <c r="H38065">
        <v>12023649</v>
      </c>
      <c r="I38065">
        <v>27802287</v>
      </c>
      <c r="J38065">
        <v>4</v>
      </c>
    </row>
    <row r="38066" spans="1:10" x14ac:dyDescent="0.25">
      <c r="A38066" t="s">
        <v>398</v>
      </c>
      <c r="B38066" s="1" t="str">
        <f>HYPERLINK("http://porsche.digital","porsche.digital")</f>
        <v>porsche.digital</v>
      </c>
      <c r="C38066" t="s">
        <v>543</v>
      </c>
      <c r="F38066">
        <v>4.7197861867317E-8</v>
      </c>
      <c r="G38066">
        <v>988076</v>
      </c>
      <c r="H38066">
        <v>14132373</v>
      </c>
      <c r="I38066">
        <v>2000135</v>
      </c>
      <c r="J38066">
        <v>4</v>
      </c>
    </row>
    <row r="38067" spans="1:10" x14ac:dyDescent="0.25">
      <c r="A38067" t="s">
        <v>398</v>
      </c>
      <c r="B38067" s="1" t="str">
        <f>HYPERLINK("http://audi.dj","audi.dj")</f>
        <v>audi.dj</v>
      </c>
      <c r="C38067" t="s">
        <v>632</v>
      </c>
      <c r="D38067" t="s">
        <v>954</v>
      </c>
      <c r="F38067">
        <v>7.8546448739121107E-9</v>
      </c>
      <c r="G38067">
        <v>10203557</v>
      </c>
      <c r="H38067">
        <v>12415962</v>
      </c>
      <c r="I38067">
        <v>18527980</v>
      </c>
      <c r="J38067">
        <v>4</v>
      </c>
    </row>
    <row r="38068" spans="1:10" x14ac:dyDescent="0.25">
      <c r="A38068" t="s">
        <v>398</v>
      </c>
      <c r="B38068" s="1" t="str">
        <f>HYPERLINK("http://audi.dk","audi.dk")</f>
        <v>audi.dk</v>
      </c>
      <c r="C38068" t="s">
        <v>437</v>
      </c>
      <c r="D38068" t="s">
        <v>816</v>
      </c>
      <c r="E38068">
        <v>842685</v>
      </c>
      <c r="F38068">
        <v>1.2312318829768801E-7</v>
      </c>
      <c r="G38068">
        <v>320550</v>
      </c>
      <c r="H38068">
        <v>14245689</v>
      </c>
      <c r="I38068">
        <v>1464919</v>
      </c>
      <c r="J38068">
        <v>4</v>
      </c>
    </row>
    <row r="38069" spans="1:10" x14ac:dyDescent="0.25">
      <c r="A38069" t="s">
        <v>398</v>
      </c>
      <c r="B38069" s="1" t="str">
        <f>HYPERLINK("http://audi-viborg.dk","audi-viborg.dk")</f>
        <v>audi-viborg.dk</v>
      </c>
      <c r="C38069" t="s">
        <v>437</v>
      </c>
      <c r="D38069" t="s">
        <v>816</v>
      </c>
      <c r="F38069">
        <v>5.6908761364830901E-9</v>
      </c>
      <c r="G38069">
        <v>19038275</v>
      </c>
      <c r="H38069">
        <v>9367740</v>
      </c>
      <c r="I38069">
        <v>67746253</v>
      </c>
      <c r="J38069">
        <v>4</v>
      </c>
    </row>
    <row r="38070" spans="1:10" x14ac:dyDescent="0.25">
      <c r="A38070" t="s">
        <v>398</v>
      </c>
      <c r="B38070" s="1" t="str">
        <f>HYPERLINK("http://avvejgaard.dk","avvejgaard.dk")</f>
        <v>avvejgaard.dk</v>
      </c>
      <c r="C38070" t="s">
        <v>437</v>
      </c>
      <c r="D38070" t="s">
        <v>816</v>
      </c>
      <c r="F38070">
        <v>6.3083128015355497E-9</v>
      </c>
      <c r="G38070">
        <v>14991582</v>
      </c>
      <c r="H38070">
        <v>10919899</v>
      </c>
      <c r="I38070">
        <v>35283997</v>
      </c>
      <c r="J38070">
        <v>3</v>
      </c>
    </row>
    <row r="38071" spans="1:10" x14ac:dyDescent="0.25">
      <c r="A38071" t="s">
        <v>398</v>
      </c>
      <c r="B38071" s="1" t="str">
        <f>HYPERLINK("http://cupraofficial.dk","cupraofficial.dk")</f>
        <v>cupraofficial.dk</v>
      </c>
      <c r="C38071" t="s">
        <v>437</v>
      </c>
      <c r="D38071" t="s">
        <v>816</v>
      </c>
      <c r="F38071">
        <v>3.3768391413459E-8</v>
      </c>
      <c r="G38071">
        <v>1532164</v>
      </c>
      <c r="H38071">
        <v>12424710</v>
      </c>
      <c r="I38071">
        <v>18378665</v>
      </c>
      <c r="J38071">
        <v>4</v>
      </c>
    </row>
    <row r="38072" spans="1:10" x14ac:dyDescent="0.25">
      <c r="A38072" t="s">
        <v>398</v>
      </c>
      <c r="B38072" s="1" t="str">
        <f>HYPERLINK("http://mandiesel.dk","mandiesel.dk")</f>
        <v>mandiesel.dk</v>
      </c>
      <c r="C38072" t="s">
        <v>437</v>
      </c>
      <c r="D38072" t="s">
        <v>816</v>
      </c>
      <c r="J38072">
        <v>4</v>
      </c>
    </row>
    <row r="38073" spans="1:10" x14ac:dyDescent="0.25">
      <c r="A38073" t="s">
        <v>398</v>
      </c>
      <c r="B38073" s="1" t="str">
        <f>HYPERLINK("http://porsche.dk","porsche.dk")</f>
        <v>porsche.dk</v>
      </c>
      <c r="C38073" t="s">
        <v>437</v>
      </c>
      <c r="D38073" t="s">
        <v>816</v>
      </c>
      <c r="F38073">
        <v>3.0243028847573299E-8</v>
      </c>
      <c r="G38073">
        <v>1701749</v>
      </c>
      <c r="H38073">
        <v>14077051</v>
      </c>
      <c r="I38073">
        <v>2873788</v>
      </c>
      <c r="J38073">
        <v>4</v>
      </c>
    </row>
    <row r="38074" spans="1:10" x14ac:dyDescent="0.25">
      <c r="A38074" t="s">
        <v>398</v>
      </c>
      <c r="B38074" s="1" t="str">
        <f>HYPERLINK("http://scania.dk","scania.dk")</f>
        <v>scania.dk</v>
      </c>
      <c r="C38074" t="s">
        <v>437</v>
      </c>
      <c r="D38074" t="s">
        <v>816</v>
      </c>
      <c r="F38074">
        <v>1.5642459218700101E-8</v>
      </c>
      <c r="G38074">
        <v>3643426</v>
      </c>
      <c r="H38074">
        <v>14073360</v>
      </c>
      <c r="I38074">
        <v>2999961</v>
      </c>
      <c r="J38074">
        <v>3</v>
      </c>
    </row>
    <row r="38075" spans="1:10" x14ac:dyDescent="0.25">
      <c r="A38075" t="s">
        <v>398</v>
      </c>
      <c r="B38075" s="1" t="str">
        <f>HYPERLINK("http://seat.dk","seat.dk")</f>
        <v>seat.dk</v>
      </c>
      <c r="C38075" t="s">
        <v>437</v>
      </c>
      <c r="D38075" t="s">
        <v>816</v>
      </c>
      <c r="F38075">
        <v>1.18634288067525E-7</v>
      </c>
      <c r="G38075">
        <v>333731</v>
      </c>
      <c r="H38075">
        <v>14076083</v>
      </c>
      <c r="I38075">
        <v>2894577</v>
      </c>
      <c r="J38075">
        <v>4</v>
      </c>
    </row>
    <row r="38076" spans="1:10" x14ac:dyDescent="0.25">
      <c r="A38076" t="s">
        <v>398</v>
      </c>
      <c r="B38076" s="1" t="str">
        <f>HYPERLINK("http://skoda.dk","skoda.dk")</f>
        <v>skoda.dk</v>
      </c>
      <c r="C38076" t="s">
        <v>437</v>
      </c>
      <c r="D38076" t="s">
        <v>816</v>
      </c>
      <c r="F38076">
        <v>5.9751408303150195E-8</v>
      </c>
      <c r="G38076">
        <v>739384</v>
      </c>
      <c r="H38076">
        <v>14076826</v>
      </c>
      <c r="I38076">
        <v>2879183</v>
      </c>
      <c r="J38076">
        <v>4</v>
      </c>
    </row>
    <row r="38077" spans="1:10" x14ac:dyDescent="0.25">
      <c r="A38077" t="s">
        <v>398</v>
      </c>
      <c r="B38077" s="1" t="str">
        <f>HYPERLINK("http://skoda-brondby.dk","skoda-brondby.dk")</f>
        <v>skoda-brondby.dk</v>
      </c>
      <c r="C38077" t="s">
        <v>437</v>
      </c>
      <c r="D38077" t="s">
        <v>816</v>
      </c>
      <c r="F38077">
        <v>1.33029369357471E-8</v>
      </c>
      <c r="G38077">
        <v>4492137</v>
      </c>
      <c r="H38077">
        <v>10827395</v>
      </c>
      <c r="I38077">
        <v>37454455</v>
      </c>
      <c r="J38077">
        <v>4</v>
      </c>
    </row>
    <row r="38078" spans="1:10" x14ac:dyDescent="0.25">
      <c r="A38078" t="s">
        <v>398</v>
      </c>
      <c r="B38078" s="1" t="str">
        <f>HYPERLINK("http://skoda-gladsaxe.dk","skoda-gladsaxe.dk")</f>
        <v>skoda-gladsaxe.dk</v>
      </c>
      <c r="C38078" t="s">
        <v>437</v>
      </c>
      <c r="D38078" t="s">
        <v>816</v>
      </c>
      <c r="F38078">
        <v>4.5733914967695898E-9</v>
      </c>
      <c r="G38078">
        <v>49879533</v>
      </c>
      <c r="H38078">
        <v>10598142</v>
      </c>
      <c r="I38078">
        <v>45005885</v>
      </c>
      <c r="J38078">
        <v>6</v>
      </c>
    </row>
    <row r="38079" spans="1:10" x14ac:dyDescent="0.25">
      <c r="A38079" t="s">
        <v>398</v>
      </c>
      <c r="B38079" s="1" t="str">
        <f>HYPERLINK("http://skoda-odense.dk","skoda-odense.dk")</f>
        <v>skoda-odense.dk</v>
      </c>
      <c r="C38079" t="s">
        <v>437</v>
      </c>
      <c r="D38079" t="s">
        <v>816</v>
      </c>
      <c r="F38079">
        <v>8.9944941925959805E-9</v>
      </c>
      <c r="G38079">
        <v>7999800</v>
      </c>
      <c r="H38079">
        <v>10701828</v>
      </c>
      <c r="I38079">
        <v>42283644</v>
      </c>
      <c r="J38079">
        <v>4</v>
      </c>
    </row>
    <row r="38080" spans="1:10" x14ac:dyDescent="0.25">
      <c r="A38080" t="s">
        <v>398</v>
      </c>
      <c r="B38080" s="1" t="str">
        <f>HYPERLINK("http://skoda-sonderborg.dk","skoda-sonderborg.dk")</f>
        <v>skoda-sonderborg.dk</v>
      </c>
      <c r="C38080" t="s">
        <v>437</v>
      </c>
      <c r="D38080" t="s">
        <v>816</v>
      </c>
      <c r="F38080">
        <v>5.0866988528195198E-9</v>
      </c>
      <c r="G38080">
        <v>27363959</v>
      </c>
      <c r="H38080">
        <v>10511288</v>
      </c>
      <c r="I38080">
        <v>49515887</v>
      </c>
      <c r="J38080">
        <v>4</v>
      </c>
    </row>
    <row r="38081" spans="1:10" x14ac:dyDescent="0.25">
      <c r="A38081" t="s">
        <v>398</v>
      </c>
      <c r="B38081" s="1" t="str">
        <f>HYPERLINK("http://volkswagen.dk","volkswagen.dk")</f>
        <v>volkswagen.dk</v>
      </c>
      <c r="C38081" t="s">
        <v>437</v>
      </c>
      <c r="D38081" t="s">
        <v>816</v>
      </c>
      <c r="E38081">
        <v>475261</v>
      </c>
      <c r="F38081">
        <v>1.1465171495507E-7</v>
      </c>
      <c r="G38081">
        <v>347232</v>
      </c>
      <c r="H38081">
        <v>14518868</v>
      </c>
      <c r="I38081">
        <v>807496</v>
      </c>
      <c r="J38081">
        <v>4</v>
      </c>
    </row>
    <row r="38082" spans="1:10" x14ac:dyDescent="0.25">
      <c r="A38082" t="s">
        <v>398</v>
      </c>
      <c r="B38082" s="1" t="str">
        <f>HYPERLINK("http://vw.dk","vw.dk")</f>
        <v>vw.dk</v>
      </c>
      <c r="C38082" t="s">
        <v>437</v>
      </c>
      <c r="D38082" t="s">
        <v>816</v>
      </c>
      <c r="F38082">
        <v>4.9236783413018799E-9</v>
      </c>
      <c r="G38082">
        <v>31569736</v>
      </c>
      <c r="H38082">
        <v>10743172</v>
      </c>
      <c r="I38082">
        <v>40302538</v>
      </c>
      <c r="J38082">
        <v>3</v>
      </c>
    </row>
    <row r="38083" spans="1:10" x14ac:dyDescent="0.25">
      <c r="A38083" t="s">
        <v>398</v>
      </c>
      <c r="B38083" s="1" t="str">
        <f>HYPERLINK("http://vw-gladsaxe.dk","vw-gladsaxe.dk")</f>
        <v>vw-gladsaxe.dk</v>
      </c>
      <c r="C38083" t="s">
        <v>437</v>
      </c>
      <c r="D38083" t="s">
        <v>816</v>
      </c>
      <c r="F38083">
        <v>5.7747366563509E-9</v>
      </c>
      <c r="G38083">
        <v>18287976</v>
      </c>
      <c r="H38083">
        <v>14071792</v>
      </c>
      <c r="I38083">
        <v>3395128</v>
      </c>
      <c r="J38083">
        <v>3</v>
      </c>
    </row>
    <row r="38084" spans="1:10" x14ac:dyDescent="0.25">
      <c r="A38084" t="s">
        <v>398</v>
      </c>
      <c r="B38084" s="1" t="str">
        <f>HYPERLINK("http://vw-kbh.dk","vw-kbh.dk")</f>
        <v>vw-kbh.dk</v>
      </c>
      <c r="C38084" t="s">
        <v>437</v>
      </c>
      <c r="D38084" t="s">
        <v>816</v>
      </c>
      <c r="F38084">
        <v>4.8702906820826996E-9</v>
      </c>
      <c r="G38084">
        <v>33392948</v>
      </c>
      <c r="H38084">
        <v>10617374</v>
      </c>
      <c r="I38084">
        <v>44358462</v>
      </c>
      <c r="J38084">
        <v>3</v>
      </c>
    </row>
    <row r="38085" spans="1:10" x14ac:dyDescent="0.25">
      <c r="A38085" t="s">
        <v>398</v>
      </c>
      <c r="B38085" s="1" t="str">
        <f>HYPERLINK("http://vw-odense.dk","vw-odense.dk")</f>
        <v>vw-odense.dk</v>
      </c>
      <c r="C38085" t="s">
        <v>437</v>
      </c>
      <c r="D38085" t="s">
        <v>816</v>
      </c>
      <c r="F38085">
        <v>1.04515729126701E-8</v>
      </c>
      <c r="G38085">
        <v>6311921</v>
      </c>
      <c r="H38085">
        <v>10751521</v>
      </c>
      <c r="I38085">
        <v>40033200</v>
      </c>
      <c r="J38085">
        <v>3</v>
      </c>
    </row>
    <row r="38086" spans="1:10" x14ac:dyDescent="0.25">
      <c r="A38086" t="s">
        <v>398</v>
      </c>
      <c r="B38086" s="1" t="str">
        <f>HYPERLINK("http://audi.dm","audi.dm")</f>
        <v>audi.dm</v>
      </c>
      <c r="C38086" t="s">
        <v>633</v>
      </c>
      <c r="D38086" t="s">
        <v>955</v>
      </c>
      <c r="F38086">
        <v>9.3548934637484399E-9</v>
      </c>
      <c r="G38086">
        <v>7501864</v>
      </c>
      <c r="H38086">
        <v>12415969</v>
      </c>
      <c r="I38086">
        <v>18527879</v>
      </c>
      <c r="J38086">
        <v>4</v>
      </c>
    </row>
    <row r="38087" spans="1:10" x14ac:dyDescent="0.25">
      <c r="A38087" t="s">
        <v>398</v>
      </c>
      <c r="B38087" s="1" t="str">
        <f>HYPERLINK("http://audi.com.do","audi.com.do")</f>
        <v>audi.com.do</v>
      </c>
      <c r="C38087" t="s">
        <v>438</v>
      </c>
      <c r="D38087" t="s">
        <v>817</v>
      </c>
      <c r="F38087">
        <v>6.0534644986761898E-9</v>
      </c>
      <c r="G38087">
        <v>16362332</v>
      </c>
      <c r="H38087">
        <v>10761034</v>
      </c>
      <c r="I38087">
        <v>39569300</v>
      </c>
      <c r="J38087">
        <v>5</v>
      </c>
    </row>
    <row r="38088" spans="1:10" x14ac:dyDescent="0.25">
      <c r="A38088" t="s">
        <v>398</v>
      </c>
      <c r="B38088" s="1" t="str">
        <f>HYPERLINK("http://seat.dz","seat.dz")</f>
        <v>seat.dz</v>
      </c>
      <c r="C38088" t="s">
        <v>439</v>
      </c>
      <c r="D38088" t="s">
        <v>818</v>
      </c>
      <c r="F38088">
        <v>2.9047637693271198E-8</v>
      </c>
      <c r="G38088">
        <v>1772567</v>
      </c>
      <c r="H38088">
        <v>12197333</v>
      </c>
      <c r="I38088">
        <v>23390290</v>
      </c>
      <c r="J38088">
        <v>4</v>
      </c>
    </row>
    <row r="38089" spans="1:10" x14ac:dyDescent="0.25">
      <c r="A38089" t="s">
        <v>398</v>
      </c>
      <c r="B38089" s="1" t="str">
        <f>HYPERLINK("http://audi.com.ec","audi.com.ec")</f>
        <v>audi.com.ec</v>
      </c>
      <c r="C38089" t="s">
        <v>440</v>
      </c>
      <c r="D38089" t="s">
        <v>819</v>
      </c>
      <c r="F38089">
        <v>6.1931354694080003E-9</v>
      </c>
      <c r="G38089">
        <v>15572174</v>
      </c>
      <c r="H38089">
        <v>10547930</v>
      </c>
      <c r="I38089">
        <v>46780799</v>
      </c>
      <c r="J38089">
        <v>5</v>
      </c>
    </row>
    <row r="38090" spans="1:10" x14ac:dyDescent="0.25">
      <c r="A38090" t="s">
        <v>398</v>
      </c>
      <c r="B38090" s="1" t="str">
        <f>HYPERLINK("http://elli.eco","elli.eco")</f>
        <v>elli.eco</v>
      </c>
      <c r="C38090" t="s">
        <v>749</v>
      </c>
      <c r="E38090">
        <v>233209</v>
      </c>
      <c r="F38090">
        <v>6.25974303015312E-7</v>
      </c>
      <c r="G38090">
        <v>61220</v>
      </c>
      <c r="H38090">
        <v>17063762</v>
      </c>
      <c r="I38090">
        <v>72973</v>
      </c>
      <c r="J38090">
        <v>3</v>
      </c>
    </row>
    <row r="38091" spans="1:10" x14ac:dyDescent="0.25">
      <c r="A38091" t="s">
        <v>398</v>
      </c>
      <c r="B38091" s="1" t="str">
        <f>HYPERLINK("http://audi.ee","audi.ee")</f>
        <v>audi.ee</v>
      </c>
      <c r="C38091" t="s">
        <v>441</v>
      </c>
      <c r="D38091" t="s">
        <v>820</v>
      </c>
      <c r="F38091">
        <v>2.12425663868038E-8</v>
      </c>
      <c r="G38091">
        <v>2481622</v>
      </c>
      <c r="H38091">
        <v>14377217</v>
      </c>
      <c r="I38091">
        <v>1211535</v>
      </c>
      <c r="J38091">
        <v>4</v>
      </c>
    </row>
    <row r="38092" spans="1:10" x14ac:dyDescent="0.25">
      <c r="A38092" t="s">
        <v>398</v>
      </c>
      <c r="B38092" s="1" t="str">
        <f>HYPERLINK("http://cupraofficial.com.ee","cupraofficial.com.ee")</f>
        <v>cupraofficial.com.ee</v>
      </c>
      <c r="C38092" t="s">
        <v>441</v>
      </c>
      <c r="D38092" t="s">
        <v>820</v>
      </c>
      <c r="F38092">
        <v>1.42667560986786E-8</v>
      </c>
      <c r="G38092">
        <v>4105078</v>
      </c>
      <c r="H38092">
        <v>12103153</v>
      </c>
      <c r="I38092">
        <v>25891716</v>
      </c>
      <c r="J38092">
        <v>4</v>
      </c>
    </row>
    <row r="38093" spans="1:10" x14ac:dyDescent="0.25">
      <c r="A38093" t="s">
        <v>398</v>
      </c>
      <c r="B38093" s="1" t="str">
        <f>HYPERLINK("http://ducati.ee","ducati.ee")</f>
        <v>ducati.ee</v>
      </c>
      <c r="C38093" t="s">
        <v>441</v>
      </c>
      <c r="D38093" t="s">
        <v>820</v>
      </c>
      <c r="F38093">
        <v>4.9197587155954999E-9</v>
      </c>
      <c r="G38093">
        <v>31697994</v>
      </c>
      <c r="H38093">
        <v>10594873</v>
      </c>
      <c r="I38093">
        <v>45249823</v>
      </c>
      <c r="J38093">
        <v>3</v>
      </c>
    </row>
    <row r="38094" spans="1:10" x14ac:dyDescent="0.25">
      <c r="A38094" t="s">
        <v>398</v>
      </c>
      <c r="B38094" s="1" t="str">
        <f>HYPERLINK("http://folkauto.ee","folkauto.ee")</f>
        <v>folkauto.ee</v>
      </c>
      <c r="C38094" t="s">
        <v>441</v>
      </c>
      <c r="D38094" t="s">
        <v>820</v>
      </c>
      <c r="F38094">
        <v>7.9010666016829408E-9</v>
      </c>
      <c r="G38094">
        <v>10109475</v>
      </c>
      <c r="H38094">
        <v>12217146</v>
      </c>
      <c r="I38094">
        <v>22853374</v>
      </c>
      <c r="J38094">
        <v>4</v>
      </c>
    </row>
    <row r="38095" spans="1:10" x14ac:dyDescent="0.25">
      <c r="A38095" t="s">
        <v>398</v>
      </c>
      <c r="B38095" s="1" t="str">
        <f>HYPERLINK("http://mollerauto.ee","mollerauto.ee")</f>
        <v>mollerauto.ee</v>
      </c>
      <c r="C38095" t="s">
        <v>441</v>
      </c>
      <c r="D38095" t="s">
        <v>820</v>
      </c>
      <c r="F38095">
        <v>3.2703930418715303E-8</v>
      </c>
      <c r="G38095">
        <v>1579657</v>
      </c>
      <c r="H38095">
        <v>12455927</v>
      </c>
      <c r="I38095">
        <v>17923688</v>
      </c>
      <c r="J38095">
        <v>3</v>
      </c>
    </row>
    <row r="38096" spans="1:10" x14ac:dyDescent="0.25">
      <c r="A38096" t="s">
        <v>398</v>
      </c>
      <c r="B38096" s="1" t="str">
        <f>HYPERLINK("http://porsche.ee","porsche.ee")</f>
        <v>porsche.ee</v>
      </c>
      <c r="C38096" t="s">
        <v>441</v>
      </c>
      <c r="D38096" t="s">
        <v>820</v>
      </c>
      <c r="F38096">
        <v>1.1584659103409699E-8</v>
      </c>
      <c r="G38096">
        <v>5444217</v>
      </c>
      <c r="H38096">
        <v>12517291</v>
      </c>
      <c r="I38096">
        <v>17175478</v>
      </c>
      <c r="J38096">
        <v>4</v>
      </c>
    </row>
    <row r="38097" spans="1:10" x14ac:dyDescent="0.25">
      <c r="A38097" t="s">
        <v>398</v>
      </c>
      <c r="B38097" s="1" t="str">
        <f>HYPERLINK("http://seat.ee","seat.ee")</f>
        <v>seat.ee</v>
      </c>
      <c r="C38097" t="s">
        <v>441</v>
      </c>
      <c r="D38097" t="s">
        <v>820</v>
      </c>
      <c r="F38097">
        <v>2.5591856055872701E-8</v>
      </c>
      <c r="G38097">
        <v>2014906</v>
      </c>
      <c r="H38097">
        <v>12222962</v>
      </c>
      <c r="I38097">
        <v>22708516</v>
      </c>
      <c r="J38097">
        <v>4</v>
      </c>
    </row>
    <row r="38098" spans="1:10" x14ac:dyDescent="0.25">
      <c r="A38098" t="s">
        <v>398</v>
      </c>
      <c r="B38098" s="1" t="str">
        <f>HYPERLINK("http://vmotors.ee","vmotors.ee")</f>
        <v>vmotors.ee</v>
      </c>
      <c r="C38098" t="s">
        <v>441</v>
      </c>
      <c r="D38098" t="s">
        <v>820</v>
      </c>
      <c r="J38098">
        <v>3</v>
      </c>
    </row>
    <row r="38099" spans="1:10" x14ac:dyDescent="0.25">
      <c r="A38099" t="s">
        <v>398</v>
      </c>
      <c r="B38099" s="1" t="str">
        <f>HYPERLINK("http://volkswagen.ee","volkswagen.ee")</f>
        <v>volkswagen.ee</v>
      </c>
      <c r="C38099" t="s">
        <v>441</v>
      </c>
      <c r="D38099" t="s">
        <v>820</v>
      </c>
      <c r="F38099">
        <v>7.0032500933468903E-8</v>
      </c>
      <c r="G38099">
        <v>604997</v>
      </c>
      <c r="H38099">
        <v>13708577</v>
      </c>
      <c r="I38099">
        <v>9508624</v>
      </c>
      <c r="J38099">
        <v>4</v>
      </c>
    </row>
    <row r="38100" spans="1:10" x14ac:dyDescent="0.25">
      <c r="A38100" t="s">
        <v>398</v>
      </c>
      <c r="B38100" s="1" t="str">
        <f>HYPERLINK("http://cupraofficial.eg","cupraofficial.eg")</f>
        <v>cupraofficial.eg</v>
      </c>
      <c r="C38100" t="s">
        <v>442</v>
      </c>
      <c r="D38100" t="s">
        <v>821</v>
      </c>
      <c r="F38100">
        <v>2.06270536939823E-8</v>
      </c>
      <c r="G38100">
        <v>2566950</v>
      </c>
      <c r="H38100">
        <v>12067121</v>
      </c>
      <c r="I38100">
        <v>26849602</v>
      </c>
      <c r="J38100">
        <v>4</v>
      </c>
    </row>
    <row r="38101" spans="1:10" x14ac:dyDescent="0.25">
      <c r="A38101" t="s">
        <v>398</v>
      </c>
      <c r="B38101" s="1" t="str">
        <f>HYPERLINK("http://seat.eg","seat.eg")</f>
        <v>seat.eg</v>
      </c>
      <c r="C38101" t="s">
        <v>442</v>
      </c>
      <c r="D38101" t="s">
        <v>821</v>
      </c>
      <c r="F38101">
        <v>3.0300574381994301E-8</v>
      </c>
      <c r="G38101">
        <v>1698742</v>
      </c>
      <c r="H38101">
        <v>12185050</v>
      </c>
      <c r="I38101">
        <v>23695905</v>
      </c>
      <c r="J38101">
        <v>4</v>
      </c>
    </row>
    <row r="38102" spans="1:10" x14ac:dyDescent="0.25">
      <c r="A38102" t="s">
        <v>398</v>
      </c>
      <c r="B38102" s="1" t="str">
        <f>HYPERLINK("http://audi.es","audi.es")</f>
        <v>audi.es</v>
      </c>
      <c r="C38102" t="s">
        <v>443</v>
      </c>
      <c r="D38102" t="s">
        <v>822</v>
      </c>
      <c r="E38102">
        <v>202956</v>
      </c>
      <c r="F38102">
        <v>1.9565837053560999E-7</v>
      </c>
      <c r="G38102">
        <v>197106</v>
      </c>
      <c r="H38102">
        <v>14929620</v>
      </c>
      <c r="I38102">
        <v>447946</v>
      </c>
      <c r="J38102">
        <v>4</v>
      </c>
    </row>
    <row r="38103" spans="1:10" x14ac:dyDescent="0.25">
      <c r="A38103" t="s">
        <v>398</v>
      </c>
      <c r="B38103" s="1" t="str">
        <f>HYPERLINK("http://blaumotors.es","blaumotors.es")</f>
        <v>blaumotors.es</v>
      </c>
      <c r="C38103" t="s">
        <v>443</v>
      </c>
      <c r="D38103" t="s">
        <v>822</v>
      </c>
      <c r="F38103">
        <v>5.6073747041912999E-9</v>
      </c>
      <c r="G38103">
        <v>19786884</v>
      </c>
      <c r="H38103">
        <v>12212312</v>
      </c>
      <c r="I38103">
        <v>22970155</v>
      </c>
      <c r="J38103">
        <v>4</v>
      </c>
    </row>
    <row r="38104" spans="1:10" x14ac:dyDescent="0.25">
      <c r="A38104" t="s">
        <v>398</v>
      </c>
      <c r="B38104" s="1" t="str">
        <f>HYPERLINK("http://cupraofficial.es","cupraofficial.es")</f>
        <v>cupraofficial.es</v>
      </c>
      <c r="C38104" t="s">
        <v>443</v>
      </c>
      <c r="D38104" t="s">
        <v>822</v>
      </c>
      <c r="E38104">
        <v>662263</v>
      </c>
      <c r="F38104">
        <v>1.24854581787114E-7</v>
      </c>
      <c r="G38104">
        <v>316058</v>
      </c>
      <c r="H38104">
        <v>17020934</v>
      </c>
      <c r="I38104">
        <v>89319</v>
      </c>
      <c r="J38104">
        <v>4</v>
      </c>
    </row>
    <row r="38105" spans="1:10" x14ac:dyDescent="0.25">
      <c r="A38105" t="s">
        <v>398</v>
      </c>
      <c r="B38105" s="1" t="str">
        <f>HYPERLINK("http://ducati.es","ducati.es")</f>
        <v>ducati.es</v>
      </c>
      <c r="C38105" t="s">
        <v>443</v>
      </c>
      <c r="D38105" t="s">
        <v>822</v>
      </c>
      <c r="F38105">
        <v>2.34808495127523E-8</v>
      </c>
      <c r="G38105">
        <v>2216837</v>
      </c>
      <c r="H38105">
        <v>14283313</v>
      </c>
      <c r="I38105">
        <v>1375176</v>
      </c>
      <c r="J38105">
        <v>3</v>
      </c>
    </row>
    <row r="38106" spans="1:10" x14ac:dyDescent="0.25">
      <c r="A38106" t="s">
        <v>398</v>
      </c>
      <c r="B38106" s="1" t="str">
        <f>HYPERLINK("http://garagerio.es","garagerio.es")</f>
        <v>garagerio.es</v>
      </c>
      <c r="C38106" t="s">
        <v>443</v>
      </c>
      <c r="D38106" t="s">
        <v>822</v>
      </c>
      <c r="F38106">
        <v>4.5494959554982803E-9</v>
      </c>
      <c r="G38106">
        <v>52243632</v>
      </c>
      <c r="H38106">
        <v>12008067</v>
      </c>
      <c r="I38106">
        <v>28126830</v>
      </c>
      <c r="J38106">
        <v>4</v>
      </c>
    </row>
    <row r="38107" spans="1:10" x14ac:dyDescent="0.25">
      <c r="A38107" t="s">
        <v>398</v>
      </c>
      <c r="B38107" s="1" t="str">
        <f>HYPERLINK("http://helmantica.es","helmantica.es")</f>
        <v>helmantica.es</v>
      </c>
      <c r="C38107" t="s">
        <v>443</v>
      </c>
      <c r="D38107" t="s">
        <v>822</v>
      </c>
      <c r="F38107">
        <v>6.0920964617614001E-9</v>
      </c>
      <c r="G38107">
        <v>16137426</v>
      </c>
      <c r="H38107">
        <v>11030753</v>
      </c>
      <c r="I38107">
        <v>33094057</v>
      </c>
      <c r="J38107">
        <v>4</v>
      </c>
    </row>
    <row r="38108" spans="1:10" x14ac:dyDescent="0.25">
      <c r="A38108" t="s">
        <v>398</v>
      </c>
      <c r="B38108" s="1" t="str">
        <f>HYPERLINK("http://maas.es","maas.es")</f>
        <v>maas.es</v>
      </c>
      <c r="C38108" t="s">
        <v>443</v>
      </c>
      <c r="D38108" t="s">
        <v>822</v>
      </c>
      <c r="F38108">
        <v>3.9582864023521801E-8</v>
      </c>
      <c r="G38108">
        <v>1304448</v>
      </c>
      <c r="H38108">
        <v>13767960</v>
      </c>
      <c r="I38108">
        <v>6903636</v>
      </c>
      <c r="J38108">
        <v>4</v>
      </c>
    </row>
    <row r="38109" spans="1:10" x14ac:dyDescent="0.25">
      <c r="A38109" t="s">
        <v>398</v>
      </c>
      <c r="B38109" s="1" t="str">
        <f>HYPERLINK("http://parteautomoviles.es","parteautomoviles.es")</f>
        <v>parteautomoviles.es</v>
      </c>
      <c r="C38109" t="s">
        <v>443</v>
      </c>
      <c r="D38109" t="s">
        <v>822</v>
      </c>
      <c r="F38109">
        <v>4.8572481146998297E-9</v>
      </c>
      <c r="G38109">
        <v>33901441</v>
      </c>
      <c r="H38109">
        <v>9897748</v>
      </c>
      <c r="I38109">
        <v>61664369</v>
      </c>
      <c r="J38109">
        <v>6</v>
      </c>
    </row>
    <row r="38110" spans="1:10" x14ac:dyDescent="0.25">
      <c r="A38110" t="s">
        <v>398</v>
      </c>
      <c r="B38110" s="1" t="str">
        <f>HYPERLINK("http://porsche.es","porsche.es")</f>
        <v>porsche.es</v>
      </c>
      <c r="C38110" t="s">
        <v>443</v>
      </c>
      <c r="D38110" t="s">
        <v>822</v>
      </c>
      <c r="F38110">
        <v>2.3558570321743699E-8</v>
      </c>
      <c r="G38110">
        <v>2208368</v>
      </c>
      <c r="H38110">
        <v>12626464</v>
      </c>
      <c r="I38110">
        <v>16020340</v>
      </c>
      <c r="J38110">
        <v>4</v>
      </c>
    </row>
    <row r="38111" spans="1:10" x14ac:dyDescent="0.25">
      <c r="A38111" t="s">
        <v>398</v>
      </c>
      <c r="B38111" s="1" t="str">
        <f>HYPERLINK("http://scania.es","scania.es")</f>
        <v>scania.es</v>
      </c>
      <c r="C38111" t="s">
        <v>443</v>
      </c>
      <c r="D38111" t="s">
        <v>822</v>
      </c>
      <c r="F38111">
        <v>3.1927778669303401E-8</v>
      </c>
      <c r="G38111">
        <v>1618270</v>
      </c>
      <c r="H38111">
        <v>14579998</v>
      </c>
      <c r="I38111">
        <v>711305</v>
      </c>
      <c r="J38111">
        <v>4</v>
      </c>
    </row>
    <row r="38112" spans="1:10" x14ac:dyDescent="0.25">
      <c r="A38112" t="s">
        <v>398</v>
      </c>
      <c r="B38112" s="1" t="str">
        <f>HYPERLINK("http://seat.es","seat.es")</f>
        <v>seat.es</v>
      </c>
      <c r="C38112" t="s">
        <v>443</v>
      </c>
      <c r="D38112" t="s">
        <v>822</v>
      </c>
      <c r="E38112">
        <v>111398</v>
      </c>
      <c r="F38112">
        <v>3.3216923577837099E-7</v>
      </c>
      <c r="G38112">
        <v>112225</v>
      </c>
      <c r="H38112">
        <v>15050475</v>
      </c>
      <c r="I38112">
        <v>414523</v>
      </c>
      <c r="J38112">
        <v>4</v>
      </c>
    </row>
    <row r="38113" spans="1:10" x14ac:dyDescent="0.25">
      <c r="A38113" t="s">
        <v>398</v>
      </c>
      <c r="B38113" s="1" t="str">
        <f>HYPERLINK("http://seat-mediacenter.es","seat-mediacenter.es")</f>
        <v>seat-mediacenter.es</v>
      </c>
      <c r="C38113" t="s">
        <v>443</v>
      </c>
      <c r="D38113" t="s">
        <v>822</v>
      </c>
      <c r="F38113">
        <v>5.2546114870575701E-8</v>
      </c>
      <c r="G38113">
        <v>867737</v>
      </c>
      <c r="H38113">
        <v>14306634</v>
      </c>
      <c r="I38113">
        <v>1349795</v>
      </c>
      <c r="J38113">
        <v>4</v>
      </c>
    </row>
    <row r="38114" spans="1:10" x14ac:dyDescent="0.25">
      <c r="A38114" t="s">
        <v>398</v>
      </c>
      <c r="B38114" s="1" t="str">
        <f>HYPERLINK("http://valladolidmotor.es","valladolidmotor.es")</f>
        <v>valladolidmotor.es</v>
      </c>
      <c r="C38114" t="s">
        <v>443</v>
      </c>
      <c r="D38114" t="s">
        <v>822</v>
      </c>
      <c r="F38114">
        <v>7.7189233771738401E-9</v>
      </c>
      <c r="G38114">
        <v>10531988</v>
      </c>
      <c r="H38114">
        <v>10744289</v>
      </c>
      <c r="I38114">
        <v>40263630</v>
      </c>
      <c r="J38114">
        <v>4</v>
      </c>
    </row>
    <row r="38115" spans="1:10" x14ac:dyDescent="0.25">
      <c r="A38115" t="s">
        <v>398</v>
      </c>
      <c r="B38115" s="1" t="str">
        <f>HYPERLINK("http://valladolidwagen.es","valladolidwagen.es")</f>
        <v>valladolidwagen.es</v>
      </c>
      <c r="C38115" t="s">
        <v>443</v>
      </c>
      <c r="D38115" t="s">
        <v>822</v>
      </c>
      <c r="F38115">
        <v>8.5222706071415899E-9</v>
      </c>
      <c r="G38115">
        <v>8801694</v>
      </c>
      <c r="H38115">
        <v>10825920</v>
      </c>
      <c r="I38115">
        <v>37485745</v>
      </c>
      <c r="J38115">
        <v>3</v>
      </c>
    </row>
    <row r="38116" spans="1:10" x14ac:dyDescent="0.25">
      <c r="A38116" t="s">
        <v>398</v>
      </c>
      <c r="B38116" s="1" t="str">
        <f>HYPERLINK("http://volkswagen.es","volkswagen.es")</f>
        <v>volkswagen.es</v>
      </c>
      <c r="C38116" t="s">
        <v>443</v>
      </c>
      <c r="D38116" t="s">
        <v>822</v>
      </c>
      <c r="E38116">
        <v>225274</v>
      </c>
      <c r="F38116">
        <v>2.9198026920522901E-7</v>
      </c>
      <c r="G38116">
        <v>127463</v>
      </c>
      <c r="H38116">
        <v>14873641</v>
      </c>
      <c r="I38116">
        <v>476578</v>
      </c>
      <c r="J38116">
        <v>4</v>
      </c>
    </row>
    <row r="38117" spans="1:10" x14ac:dyDescent="0.25">
      <c r="A38117" t="s">
        <v>398</v>
      </c>
      <c r="B38117" s="1" t="str">
        <f>HYPERLINK("http://volkswagenfinance.es","volkswagenfinance.es")</f>
        <v>volkswagenfinance.es</v>
      </c>
      <c r="C38117" t="s">
        <v>443</v>
      </c>
      <c r="D38117" t="s">
        <v>822</v>
      </c>
      <c r="F38117">
        <v>5.5325802996796801E-9</v>
      </c>
      <c r="G38117">
        <v>20557641</v>
      </c>
      <c r="H38117">
        <v>10988305</v>
      </c>
      <c r="I38117">
        <v>33780478</v>
      </c>
      <c r="J38117">
        <v>4</v>
      </c>
    </row>
    <row r="38118" spans="1:10" x14ac:dyDescent="0.25">
      <c r="A38118" t="s">
        <v>398</v>
      </c>
      <c r="B38118" s="1" t="str">
        <f>HYPERLINK("http://vwfs.es","vwfs.es")</f>
        <v>vwfs.es</v>
      </c>
      <c r="C38118" t="s">
        <v>443</v>
      </c>
      <c r="D38118" t="s">
        <v>822</v>
      </c>
      <c r="F38118">
        <v>5.4767837525950499E-8</v>
      </c>
      <c r="G38118">
        <v>822248</v>
      </c>
      <c r="H38118">
        <v>13573007</v>
      </c>
      <c r="I38118">
        <v>9712132</v>
      </c>
      <c r="J38118">
        <v>4</v>
      </c>
    </row>
    <row r="38119" spans="1:10" x14ac:dyDescent="0.25">
      <c r="A38119" t="s">
        <v>398</v>
      </c>
      <c r="B38119" s="1" t="str">
        <f>HYPERLINK("http://yanez.es","yanez.es")</f>
        <v>yanez.es</v>
      </c>
      <c r="C38119" t="s">
        <v>443</v>
      </c>
      <c r="D38119" t="s">
        <v>822</v>
      </c>
      <c r="F38119">
        <v>1.1644841327761599E-8</v>
      </c>
      <c r="G38119">
        <v>5402604</v>
      </c>
      <c r="H38119">
        <v>13451962</v>
      </c>
      <c r="I38119">
        <v>10205678</v>
      </c>
      <c r="J38119">
        <v>3</v>
      </c>
    </row>
    <row r="38120" spans="1:10" x14ac:dyDescent="0.25">
      <c r="A38120" t="s">
        <v>398</v>
      </c>
      <c r="B38120" s="1" t="str">
        <f>HYPERLINK("http://arbeitundleben.eu","arbeitundleben.eu")</f>
        <v>arbeitundleben.eu</v>
      </c>
      <c r="C38120" t="s">
        <v>444</v>
      </c>
      <c r="F38120">
        <v>7.0576256118283094E-8</v>
      </c>
      <c r="G38120">
        <v>599752</v>
      </c>
      <c r="H38120">
        <v>12970000</v>
      </c>
      <c r="I38120">
        <v>13047532</v>
      </c>
      <c r="J38120">
        <v>9</v>
      </c>
    </row>
    <row r="38121" spans="1:10" x14ac:dyDescent="0.25">
      <c r="A38121" t="s">
        <v>398</v>
      </c>
      <c r="B38121" s="1" t="str">
        <f>HYPERLINK("http://autohaus-steegmueller.eu","autohaus-steegmueller.eu")</f>
        <v>autohaus-steegmueller.eu</v>
      </c>
      <c r="C38121" t="s">
        <v>444</v>
      </c>
      <c r="F38121">
        <v>4.9428190591547E-9</v>
      </c>
      <c r="G38121">
        <v>31006891</v>
      </c>
      <c r="H38121">
        <v>12088431</v>
      </c>
      <c r="I38121">
        <v>26299411</v>
      </c>
      <c r="J38121">
        <v>3</v>
      </c>
    </row>
    <row r="38122" spans="1:10" x14ac:dyDescent="0.25">
      <c r="A38122" t="s">
        <v>398</v>
      </c>
      <c r="B38122" s="1" t="str">
        <f>HYPERLINK("http://ionity.eu","ionity.eu")</f>
        <v>ionity.eu</v>
      </c>
      <c r="C38122" t="s">
        <v>444</v>
      </c>
      <c r="E38122">
        <v>226533</v>
      </c>
      <c r="F38122">
        <v>5.1419058563741699E-7</v>
      </c>
      <c r="G38122">
        <v>74593</v>
      </c>
      <c r="H38122">
        <v>14931148</v>
      </c>
      <c r="I38122">
        <v>447306</v>
      </c>
      <c r="J38122">
        <v>4</v>
      </c>
    </row>
    <row r="38123" spans="1:10" x14ac:dyDescent="0.25">
      <c r="A38123" t="s">
        <v>398</v>
      </c>
      <c r="B38123" s="1" t="str">
        <f>HYPERLINK("http://loadfox.eu","loadfox.eu")</f>
        <v>loadfox.eu</v>
      </c>
      <c r="C38123" t="s">
        <v>444</v>
      </c>
      <c r="F38123">
        <v>8.2060490564568502E-9</v>
      </c>
      <c r="G38123">
        <v>9561053</v>
      </c>
      <c r="H38123">
        <v>12710292</v>
      </c>
      <c r="I38123">
        <v>15299489</v>
      </c>
      <c r="J38123">
        <v>3</v>
      </c>
    </row>
    <row r="38124" spans="1:10" x14ac:dyDescent="0.25">
      <c r="A38124" t="s">
        <v>398</v>
      </c>
      <c r="B38124" s="1" t="str">
        <f>HYPERLINK("http://man.eu","man.eu")</f>
        <v>man.eu</v>
      </c>
      <c r="C38124" t="s">
        <v>444</v>
      </c>
      <c r="E38124">
        <v>42950</v>
      </c>
      <c r="F38124">
        <v>1.45485480318441E-6</v>
      </c>
      <c r="G38124">
        <v>26942</v>
      </c>
      <c r="H38124">
        <v>17419690</v>
      </c>
      <c r="I38124">
        <v>17886</v>
      </c>
      <c r="J38124">
        <v>3</v>
      </c>
    </row>
    <row r="38125" spans="1:10" x14ac:dyDescent="0.25">
      <c r="A38125" t="s">
        <v>398</v>
      </c>
      <c r="B38125" s="1" t="str">
        <f>HYPERLINK("http://renk-testsystem.eu","renk-testsystem.eu")</f>
        <v>renk-testsystem.eu</v>
      </c>
      <c r="C38125" t="s">
        <v>444</v>
      </c>
      <c r="F38125">
        <v>5.6314958914007099E-9</v>
      </c>
      <c r="G38125">
        <v>19562037</v>
      </c>
      <c r="H38125">
        <v>11283004</v>
      </c>
      <c r="I38125">
        <v>30693521</v>
      </c>
      <c r="J38125">
        <v>4</v>
      </c>
    </row>
    <row r="38126" spans="1:10" x14ac:dyDescent="0.25">
      <c r="A38126" t="s">
        <v>398</v>
      </c>
      <c r="B38126" s="1" t="str">
        <f>HYPERLINK("http://tb.eu","tb.eu")</f>
        <v>tb.eu</v>
      </c>
      <c r="C38126" t="s">
        <v>444</v>
      </c>
      <c r="F38126">
        <v>6.2245959133062198E-9</v>
      </c>
      <c r="G38126">
        <v>15402079</v>
      </c>
      <c r="H38126">
        <v>11123331</v>
      </c>
      <c r="I38126">
        <v>32017547</v>
      </c>
      <c r="J38126">
        <v>4</v>
      </c>
    </row>
    <row r="38127" spans="1:10" x14ac:dyDescent="0.25">
      <c r="A38127" t="s">
        <v>398</v>
      </c>
      <c r="B38127" s="1" t="str">
        <f>HYPERLINK("http://4motion.fi","4motion.fi")</f>
        <v>4motion.fi</v>
      </c>
      <c r="C38127" t="s">
        <v>445</v>
      </c>
      <c r="D38127" t="s">
        <v>823</v>
      </c>
      <c r="F38127">
        <v>4.7726418205074104E-9</v>
      </c>
      <c r="G38127">
        <v>37264261</v>
      </c>
      <c r="H38127">
        <v>12285608</v>
      </c>
      <c r="I38127">
        <v>21198409</v>
      </c>
      <c r="J38127">
        <v>6</v>
      </c>
    </row>
    <row r="38128" spans="1:10" x14ac:dyDescent="0.25">
      <c r="A38128" t="s">
        <v>398</v>
      </c>
      <c r="B38128" s="1" t="str">
        <f>HYPERLINK("http://amarok.fi","amarok.fi")</f>
        <v>amarok.fi</v>
      </c>
      <c r="C38128" t="s">
        <v>445</v>
      </c>
      <c r="D38128" t="s">
        <v>823</v>
      </c>
      <c r="J38128">
        <v>6</v>
      </c>
    </row>
    <row r="38129" spans="1:10" x14ac:dyDescent="0.25">
      <c r="A38129" t="s">
        <v>398</v>
      </c>
      <c r="B38129" s="1" t="str">
        <f>HYPERLINK("http://amiq.fi","amiq.fi")</f>
        <v>amiq.fi</v>
      </c>
      <c r="C38129" t="s">
        <v>445</v>
      </c>
      <c r="D38129" t="s">
        <v>823</v>
      </c>
      <c r="J38129">
        <v>4</v>
      </c>
    </row>
    <row r="38130" spans="1:10" x14ac:dyDescent="0.25">
      <c r="A38130" t="s">
        <v>398</v>
      </c>
      <c r="B38130" s="1" t="str">
        <f>HYPERLINK("http://appari.fi","appari.fi")</f>
        <v>appari.fi</v>
      </c>
      <c r="C38130" t="s">
        <v>445</v>
      </c>
      <c r="D38130" t="s">
        <v>823</v>
      </c>
      <c r="F38130">
        <v>5.1859259486534497E-9</v>
      </c>
      <c r="G38130">
        <v>25414871</v>
      </c>
      <c r="H38130">
        <v>12057059</v>
      </c>
      <c r="I38130">
        <v>27073061</v>
      </c>
      <c r="J38130">
        <v>6</v>
      </c>
    </row>
    <row r="38131" spans="1:10" x14ac:dyDescent="0.25">
      <c r="A38131" t="s">
        <v>398</v>
      </c>
      <c r="B38131" s="1" t="str">
        <f>HYPERLINK("http://apupoika-antero.fi","apupoika-antero.fi")</f>
        <v>apupoika-antero.fi</v>
      </c>
      <c r="C38131" t="s">
        <v>445</v>
      </c>
      <c r="D38131" t="s">
        <v>823</v>
      </c>
      <c r="J38131">
        <v>6</v>
      </c>
    </row>
    <row r="38132" spans="1:10" x14ac:dyDescent="0.25">
      <c r="A38132" t="s">
        <v>398</v>
      </c>
      <c r="B38132" s="1" t="str">
        <f>HYPERLINK("http://apupoikaantero.fi","apupoikaantero.fi")</f>
        <v>apupoikaantero.fi</v>
      </c>
      <c r="C38132" t="s">
        <v>445</v>
      </c>
      <c r="D38132" t="s">
        <v>823</v>
      </c>
      <c r="J38132">
        <v>6</v>
      </c>
    </row>
    <row r="38133" spans="1:10" x14ac:dyDescent="0.25">
      <c r="A38133" t="s">
        <v>398</v>
      </c>
      <c r="B38133" s="1" t="str">
        <f>HYPERLINK("http://ateca.fi","ateca.fi")</f>
        <v>ateca.fi</v>
      </c>
      <c r="C38133" t="s">
        <v>445</v>
      </c>
      <c r="D38133" t="s">
        <v>823</v>
      </c>
      <c r="J38133">
        <v>6</v>
      </c>
    </row>
    <row r="38134" spans="1:10" x14ac:dyDescent="0.25">
      <c r="A38134" t="s">
        <v>398</v>
      </c>
      <c r="B38134" s="1" t="str">
        <f>HYPERLINK("http://audi.fi","audi.fi")</f>
        <v>audi.fi</v>
      </c>
      <c r="C38134" t="s">
        <v>445</v>
      </c>
      <c r="D38134" t="s">
        <v>823</v>
      </c>
      <c r="F38134">
        <v>4.37785497808578E-8</v>
      </c>
      <c r="G38134">
        <v>1089232</v>
      </c>
      <c r="H38134">
        <v>14250045</v>
      </c>
      <c r="I38134">
        <v>1447952</v>
      </c>
      <c r="J38134">
        <v>4</v>
      </c>
    </row>
    <row r="38135" spans="1:10" x14ac:dyDescent="0.25">
      <c r="A38135" t="s">
        <v>398</v>
      </c>
      <c r="B38135" s="1" t="str">
        <f>HYPERLINK("http://audicenter.fi","audicenter.fi")</f>
        <v>audicenter.fi</v>
      </c>
      <c r="C38135" t="s">
        <v>445</v>
      </c>
      <c r="D38135" t="s">
        <v>823</v>
      </c>
      <c r="F38135">
        <v>1.1572067679003399E-8</v>
      </c>
      <c r="G38135">
        <v>5452611</v>
      </c>
      <c r="H38135">
        <v>13764139</v>
      </c>
      <c r="I38135">
        <v>7364714</v>
      </c>
      <c r="J38135">
        <v>6</v>
      </c>
    </row>
    <row r="38136" spans="1:10" x14ac:dyDescent="0.25">
      <c r="A38136" t="s">
        <v>398</v>
      </c>
      <c r="B38136" s="1" t="str">
        <f>HYPERLINK("http://audimies.fi","audimies.fi")</f>
        <v>audimies.fi</v>
      </c>
      <c r="C38136" t="s">
        <v>445</v>
      </c>
      <c r="D38136" t="s">
        <v>823</v>
      </c>
      <c r="J38136">
        <v>6</v>
      </c>
    </row>
    <row r="38137" spans="1:10" x14ac:dyDescent="0.25">
      <c r="A38137" t="s">
        <v>398</v>
      </c>
      <c r="B38137" s="1" t="str">
        <f>HYPERLINK("http://audinsisapiiri.fi","audinsisapiiri.fi")</f>
        <v>audinsisapiiri.fi</v>
      </c>
      <c r="C38137" t="s">
        <v>445</v>
      </c>
      <c r="D38137" t="s">
        <v>823</v>
      </c>
      <c r="J38137">
        <v>6</v>
      </c>
    </row>
    <row r="38138" spans="1:10" x14ac:dyDescent="0.25">
      <c r="A38138" t="s">
        <v>398</v>
      </c>
      <c r="B38138" s="1" t="str">
        <f>HYPERLINK("http://audiquattro.fi","audiquattro.fi")</f>
        <v>audiquattro.fi</v>
      </c>
      <c r="C38138" t="s">
        <v>445</v>
      </c>
      <c r="D38138" t="s">
        <v>823</v>
      </c>
      <c r="J38138">
        <v>6</v>
      </c>
    </row>
    <row r="38139" spans="1:10" x14ac:dyDescent="0.25">
      <c r="A38139" t="s">
        <v>398</v>
      </c>
      <c r="B38139" s="1" t="str">
        <f>HYPERLINK("http://autocarrera.fi","autocarrera.fi")</f>
        <v>autocarrera.fi</v>
      </c>
      <c r="C38139" t="s">
        <v>445</v>
      </c>
      <c r="D38139" t="s">
        <v>823</v>
      </c>
      <c r="F38139">
        <v>4.8456332191873201E-9</v>
      </c>
      <c r="G38139">
        <v>34287831</v>
      </c>
      <c r="H38139">
        <v>9933911</v>
      </c>
      <c r="I38139">
        <v>61378055</v>
      </c>
      <c r="J38139">
        <v>6</v>
      </c>
    </row>
    <row r="38140" spans="1:10" x14ac:dyDescent="0.25">
      <c r="A38140" t="s">
        <v>398</v>
      </c>
      <c r="B38140" s="1" t="str">
        <f>HYPERLINK("http://bentleyespoo.fi","bentleyespoo.fi")</f>
        <v>bentleyespoo.fi</v>
      </c>
      <c r="C38140" t="s">
        <v>445</v>
      </c>
      <c r="D38140" t="s">
        <v>823</v>
      </c>
      <c r="J38140">
        <v>9</v>
      </c>
    </row>
    <row r="38141" spans="1:10" x14ac:dyDescent="0.25">
      <c r="A38141" t="s">
        <v>398</v>
      </c>
      <c r="B38141" s="1" t="str">
        <f>HYPERLINK("http://bentleysuomi.fi","bentleysuomi.fi")</f>
        <v>bentleysuomi.fi</v>
      </c>
      <c r="C38141" t="s">
        <v>445</v>
      </c>
      <c r="D38141" t="s">
        <v>823</v>
      </c>
      <c r="F38141">
        <v>6.4965566569648297E-9</v>
      </c>
      <c r="G38141">
        <v>14092493</v>
      </c>
      <c r="H38141">
        <v>12622908</v>
      </c>
      <c r="I38141">
        <v>16057208</v>
      </c>
      <c r="J38141">
        <v>9</v>
      </c>
    </row>
    <row r="38142" spans="1:10" x14ac:dyDescent="0.25">
      <c r="A38142" t="s">
        <v>398</v>
      </c>
      <c r="B38142" s="1" t="str">
        <f>HYPERLINK("http://caara.fi","caara.fi")</f>
        <v>caara.fi</v>
      </c>
      <c r="C38142" t="s">
        <v>445</v>
      </c>
      <c r="D38142" t="s">
        <v>823</v>
      </c>
      <c r="F38142">
        <v>1.1868905448907199E-8</v>
      </c>
      <c r="G38142">
        <v>5258901</v>
      </c>
      <c r="H38142">
        <v>12227842</v>
      </c>
      <c r="I38142">
        <v>22561058</v>
      </c>
      <c r="J38142">
        <v>9</v>
      </c>
    </row>
    <row r="38143" spans="1:10" x14ac:dyDescent="0.25">
      <c r="A38143" t="s">
        <v>398</v>
      </c>
      <c r="B38143" s="1" t="str">
        <f>HYPERLINK("http://caara-leasing.fi","caara-leasing.fi")</f>
        <v>caara-leasing.fi</v>
      </c>
      <c r="C38143" t="s">
        <v>445</v>
      </c>
      <c r="D38143" t="s">
        <v>823</v>
      </c>
      <c r="J38143">
        <v>9</v>
      </c>
    </row>
    <row r="38144" spans="1:10" x14ac:dyDescent="0.25">
      <c r="A38144" t="s">
        <v>398</v>
      </c>
      <c r="B38144" s="1" t="str">
        <f>HYPERLINK("http://caaraleasing.fi","caaraleasing.fi")</f>
        <v>caaraleasing.fi</v>
      </c>
      <c r="C38144" t="s">
        <v>445</v>
      </c>
      <c r="D38144" t="s">
        <v>823</v>
      </c>
      <c r="F38144">
        <v>4.6019693876768698E-9</v>
      </c>
      <c r="G38144">
        <v>47452683</v>
      </c>
      <c r="H38144">
        <v>10600527</v>
      </c>
      <c r="I38144">
        <v>44882278</v>
      </c>
      <c r="J38144">
        <v>9</v>
      </c>
    </row>
    <row r="38145" spans="1:10" x14ac:dyDescent="0.25">
      <c r="A38145" t="s">
        <v>398</v>
      </c>
      <c r="B38145" s="1" t="str">
        <f>HYPERLINK("http://careport.fi","careport.fi")</f>
        <v>careport.fi</v>
      </c>
      <c r="C38145" t="s">
        <v>445</v>
      </c>
      <c r="D38145" t="s">
        <v>823</v>
      </c>
      <c r="J38145">
        <v>6</v>
      </c>
    </row>
    <row r="38146" spans="1:10" x14ac:dyDescent="0.25">
      <c r="A38146" t="s">
        <v>398</v>
      </c>
      <c r="B38146" s="1" t="str">
        <f>HYPERLINK("http://citigoe.fi","citigoe.fi")</f>
        <v>citigoe.fi</v>
      </c>
      <c r="C38146" t="s">
        <v>445</v>
      </c>
      <c r="D38146" t="s">
        <v>823</v>
      </c>
      <c r="J38146">
        <v>4</v>
      </c>
    </row>
    <row r="38147" spans="1:10" x14ac:dyDescent="0.25">
      <c r="A38147" t="s">
        <v>398</v>
      </c>
      <c r="B38147" s="1" t="str">
        <f>HYPERLINK("http://crafter.fi","crafter.fi")</f>
        <v>crafter.fi</v>
      </c>
      <c r="C38147" t="s">
        <v>445</v>
      </c>
      <c r="D38147" t="s">
        <v>823</v>
      </c>
      <c r="J38147">
        <v>6</v>
      </c>
    </row>
    <row r="38148" spans="1:10" x14ac:dyDescent="0.25">
      <c r="A38148" t="s">
        <v>398</v>
      </c>
      <c r="B38148" s="1" t="str">
        <f>HYPERLINK("http://cupra.fi","cupra.fi")</f>
        <v>cupra.fi</v>
      </c>
      <c r="C38148" t="s">
        <v>445</v>
      </c>
      <c r="D38148" t="s">
        <v>823</v>
      </c>
      <c r="J38148">
        <v>4</v>
      </c>
    </row>
    <row r="38149" spans="1:10" x14ac:dyDescent="0.25">
      <c r="A38149" t="s">
        <v>398</v>
      </c>
      <c r="B38149" s="1" t="str">
        <f>HYPERLINK("http://cupraofficial.fi","cupraofficial.fi")</f>
        <v>cupraofficial.fi</v>
      </c>
      <c r="C38149" t="s">
        <v>445</v>
      </c>
      <c r="D38149" t="s">
        <v>823</v>
      </c>
      <c r="F38149">
        <v>2.7048945442078399E-8</v>
      </c>
      <c r="G38149">
        <v>1901357</v>
      </c>
      <c r="H38149">
        <v>13847226</v>
      </c>
      <c r="I38149">
        <v>6058852</v>
      </c>
      <c r="J38149">
        <v>4</v>
      </c>
    </row>
    <row r="38150" spans="1:10" x14ac:dyDescent="0.25">
      <c r="A38150" t="s">
        <v>398</v>
      </c>
      <c r="B38150" s="1" t="str">
        <f>HYPERLINK("http://dasweltauto.fi","dasweltauto.fi")</f>
        <v>dasweltauto.fi</v>
      </c>
      <c r="C38150" t="s">
        <v>445</v>
      </c>
      <c r="D38150" t="s">
        <v>823</v>
      </c>
      <c r="J38150">
        <v>2</v>
      </c>
    </row>
    <row r="38151" spans="1:10" x14ac:dyDescent="0.25">
      <c r="A38151" t="s">
        <v>398</v>
      </c>
      <c r="B38151" s="1" t="str">
        <f>HYPERLINK("http://demotour.fi","demotour.fi")</f>
        <v>demotour.fi</v>
      </c>
      <c r="C38151" t="s">
        <v>445</v>
      </c>
      <c r="D38151" t="s">
        <v>823</v>
      </c>
      <c r="F38151">
        <v>4.44380395335525E-9</v>
      </c>
      <c r="G38151">
        <v>84770606</v>
      </c>
      <c r="H38151">
        <v>0</v>
      </c>
      <c r="I38151">
        <v>85883611</v>
      </c>
      <c r="J38151">
        <v>6</v>
      </c>
    </row>
    <row r="38152" spans="1:10" x14ac:dyDescent="0.25">
      <c r="A38152" t="s">
        <v>398</v>
      </c>
      <c r="B38152" s="1" t="str">
        <f>HYPERLINK("http://e-tron.fi","e-tron.fi")</f>
        <v>e-tron.fi</v>
      </c>
      <c r="C38152" t="s">
        <v>445</v>
      </c>
      <c r="D38152" t="s">
        <v>823</v>
      </c>
      <c r="J38152">
        <v>6</v>
      </c>
    </row>
    <row r="38153" spans="1:10" x14ac:dyDescent="0.25">
      <c r="A38153" t="s">
        <v>398</v>
      </c>
      <c r="B38153" s="1" t="str">
        <f>HYPERLINK("http://elroq.fi","elroq.fi")</f>
        <v>elroq.fi</v>
      </c>
      <c r="C38153" t="s">
        <v>445</v>
      </c>
      <c r="D38153" t="s">
        <v>823</v>
      </c>
      <c r="J38153">
        <v>4</v>
      </c>
    </row>
    <row r="38154" spans="1:10" x14ac:dyDescent="0.25">
      <c r="A38154" t="s">
        <v>398</v>
      </c>
      <c r="B38154" s="1" t="str">
        <f>HYPERLINK("http://eniaq.fi","eniaq.fi")</f>
        <v>eniaq.fi</v>
      </c>
      <c r="C38154" t="s">
        <v>445</v>
      </c>
      <c r="D38154" t="s">
        <v>823</v>
      </c>
      <c r="J38154">
        <v>4</v>
      </c>
    </row>
    <row r="38155" spans="1:10" x14ac:dyDescent="0.25">
      <c r="A38155" t="s">
        <v>398</v>
      </c>
      <c r="B38155" s="1" t="str">
        <f>HYPERLINK("http://enyaq.fi","enyaq.fi")</f>
        <v>enyaq.fi</v>
      </c>
      <c r="C38155" t="s">
        <v>445</v>
      </c>
      <c r="D38155" t="s">
        <v>823</v>
      </c>
      <c r="J38155">
        <v>4</v>
      </c>
    </row>
    <row r="38156" spans="1:10" x14ac:dyDescent="0.25">
      <c r="A38156" t="s">
        <v>398</v>
      </c>
      <c r="B38156" s="1" t="str">
        <f>HYPERLINK("http://espoobentleymotors.fi","espoobentleymotors.fi")</f>
        <v>espoobentleymotors.fi</v>
      </c>
      <c r="C38156" t="s">
        <v>445</v>
      </c>
      <c r="D38156" t="s">
        <v>823</v>
      </c>
      <c r="J38156">
        <v>9</v>
      </c>
    </row>
    <row r="38157" spans="1:10" x14ac:dyDescent="0.25">
      <c r="A38157" t="s">
        <v>398</v>
      </c>
      <c r="B38157" s="1" t="str">
        <f>HYPERLINK("http://evive.fi","evive.fi")</f>
        <v>evive.fi</v>
      </c>
      <c r="C38157" t="s">
        <v>445</v>
      </c>
      <c r="D38157" t="s">
        <v>823</v>
      </c>
      <c r="J38157">
        <v>4</v>
      </c>
    </row>
    <row r="38158" spans="1:10" x14ac:dyDescent="0.25">
      <c r="A38158" t="s">
        <v>398</v>
      </c>
      <c r="B38158" s="1" t="str">
        <f>HYPERLINK("http://finlandbentleymotors.fi","finlandbentleymotors.fi")</f>
        <v>finlandbentleymotors.fi</v>
      </c>
      <c r="C38158" t="s">
        <v>445</v>
      </c>
      <c r="D38158" t="s">
        <v>823</v>
      </c>
      <c r="J38158">
        <v>9</v>
      </c>
    </row>
    <row r="38159" spans="1:10" x14ac:dyDescent="0.25">
      <c r="A38159" t="s">
        <v>398</v>
      </c>
      <c r="B38159" s="1" t="str">
        <f>HYPERLINK("http://g-tron.fi","g-tron.fi")</f>
        <v>g-tron.fi</v>
      </c>
      <c r="C38159" t="s">
        <v>445</v>
      </c>
      <c r="D38159" t="s">
        <v>823</v>
      </c>
      <c r="J38159">
        <v>6</v>
      </c>
    </row>
    <row r="38160" spans="1:10" x14ac:dyDescent="0.25">
      <c r="A38160" t="s">
        <v>398</v>
      </c>
      <c r="B38160" s="1" t="str">
        <f>HYPERLINK("http://get-omni.fi","get-omni.fi")</f>
        <v>get-omni.fi</v>
      </c>
      <c r="C38160" t="s">
        <v>445</v>
      </c>
      <c r="D38160" t="s">
        <v>823</v>
      </c>
      <c r="J38160">
        <v>4</v>
      </c>
    </row>
    <row r="38161" spans="1:10" x14ac:dyDescent="0.25">
      <c r="A38161" t="s">
        <v>398</v>
      </c>
      <c r="B38161" s="1" t="str">
        <f>HYPERLINK("http://golfvalitsin.fi","golfvalitsin.fi")</f>
        <v>golfvalitsin.fi</v>
      </c>
      <c r="C38161" t="s">
        <v>445</v>
      </c>
      <c r="D38161" t="s">
        <v>823</v>
      </c>
      <c r="J38161">
        <v>6</v>
      </c>
    </row>
    <row r="38162" spans="1:10" x14ac:dyDescent="0.25">
      <c r="A38162" t="s">
        <v>398</v>
      </c>
      <c r="B38162" s="1" t="str">
        <f>HYPERLINK("http://hyotyautot.fi","hyotyautot.fi")</f>
        <v>hyotyautot.fi</v>
      </c>
      <c r="C38162" t="s">
        <v>445</v>
      </c>
      <c r="D38162" t="s">
        <v>823</v>
      </c>
      <c r="J38162">
        <v>6</v>
      </c>
    </row>
    <row r="38163" spans="1:10" x14ac:dyDescent="0.25">
      <c r="A38163" t="s">
        <v>398</v>
      </c>
      <c r="B38163" s="1" t="str">
        <f>HYPERLINK("http://k-auto.fi","k-auto.fi")</f>
        <v>k-auto.fi</v>
      </c>
      <c r="C38163" t="s">
        <v>445</v>
      </c>
      <c r="D38163" t="s">
        <v>823</v>
      </c>
      <c r="F38163">
        <v>6.4478739279378105E-8</v>
      </c>
      <c r="G38163">
        <v>671084</v>
      </c>
      <c r="H38163">
        <v>14116707</v>
      </c>
      <c r="I38163">
        <v>2661313</v>
      </c>
      <c r="J38163">
        <v>6</v>
      </c>
    </row>
    <row r="38164" spans="1:10" x14ac:dyDescent="0.25">
      <c r="A38164" t="s">
        <v>398</v>
      </c>
      <c r="B38164" s="1" t="str">
        <f>HYPERLINK("http://k-autokauppa.fi","k-autokauppa.fi")</f>
        <v>k-autokauppa.fi</v>
      </c>
      <c r="C38164" t="s">
        <v>445</v>
      </c>
      <c r="D38164" t="s">
        <v>823</v>
      </c>
      <c r="F38164">
        <v>2.4463717817077401E-8</v>
      </c>
      <c r="G38164">
        <v>2117913</v>
      </c>
      <c r="H38164">
        <v>12165205</v>
      </c>
      <c r="I38164">
        <v>24194324</v>
      </c>
      <c r="J38164">
        <v>8</v>
      </c>
    </row>
    <row r="38165" spans="1:10" x14ac:dyDescent="0.25">
      <c r="A38165" t="s">
        <v>398</v>
      </c>
      <c r="B38165" s="1" t="str">
        <f>HYPERLINK("http://k-autoleasing.fi","k-autoleasing.fi")</f>
        <v>k-autoleasing.fi</v>
      </c>
      <c r="C38165" t="s">
        <v>445</v>
      </c>
      <c r="D38165" t="s">
        <v>823</v>
      </c>
      <c r="F38165">
        <v>1.3106782027804299E-8</v>
      </c>
      <c r="G38165">
        <v>4580921</v>
      </c>
      <c r="H38165">
        <v>12043085</v>
      </c>
      <c r="I38165">
        <v>27396637</v>
      </c>
      <c r="J38165">
        <v>9</v>
      </c>
    </row>
    <row r="38166" spans="1:10" x14ac:dyDescent="0.25">
      <c r="A38166" t="s">
        <v>398</v>
      </c>
      <c r="B38166" s="1" t="str">
        <f>HYPERLINK("http://k-caara.fi","k-caara.fi")</f>
        <v>k-caara.fi</v>
      </c>
      <c r="C38166" t="s">
        <v>445</v>
      </c>
      <c r="D38166" t="s">
        <v>823</v>
      </c>
      <c r="F38166">
        <v>1.4808260263410501E-8</v>
      </c>
      <c r="G38166">
        <v>3904387</v>
      </c>
      <c r="H38166">
        <v>12640192</v>
      </c>
      <c r="I38166">
        <v>15874779</v>
      </c>
      <c r="J38166">
        <v>9</v>
      </c>
    </row>
    <row r="38167" spans="1:10" x14ac:dyDescent="0.25">
      <c r="A38167" t="s">
        <v>398</v>
      </c>
      <c r="B38167" s="1" t="str">
        <f>HYPERLINK("http://k-caaraleasing.fi","k-caaraleasing.fi")</f>
        <v>k-caaraleasing.fi</v>
      </c>
      <c r="C38167" t="s">
        <v>445</v>
      </c>
      <c r="D38167" t="s">
        <v>823</v>
      </c>
      <c r="F38167">
        <v>4.44380395335525E-9</v>
      </c>
      <c r="G38167">
        <v>84774610</v>
      </c>
      <c r="H38167">
        <v>0</v>
      </c>
      <c r="I38167">
        <v>85888393</v>
      </c>
      <c r="J38167">
        <v>6</v>
      </c>
    </row>
    <row r="38168" spans="1:10" x14ac:dyDescent="0.25">
      <c r="A38168" t="s">
        <v>398</v>
      </c>
      <c r="B38168" s="1" t="str">
        <f>HYPERLINK("http://k-charge.fi","k-charge.fi")</f>
        <v>k-charge.fi</v>
      </c>
      <c r="C38168" t="s">
        <v>445</v>
      </c>
      <c r="D38168" t="s">
        <v>823</v>
      </c>
      <c r="J38168">
        <v>9</v>
      </c>
    </row>
    <row r="38169" spans="1:10" x14ac:dyDescent="0.25">
      <c r="A38169" t="s">
        <v>398</v>
      </c>
      <c r="B38169" s="1" t="str">
        <f>HYPERLINK("http://k-connect.fi","k-connect.fi")</f>
        <v>k-connect.fi</v>
      </c>
      <c r="C38169" t="s">
        <v>445</v>
      </c>
      <c r="D38169" t="s">
        <v>823</v>
      </c>
      <c r="J38169">
        <v>9</v>
      </c>
    </row>
    <row r="38170" spans="1:10" x14ac:dyDescent="0.25">
      <c r="A38170" t="s">
        <v>398</v>
      </c>
      <c r="B38170" s="1" t="str">
        <f>HYPERLINK("http://k-henkilokuntaleasing.fi","k-henkilokuntaleasing.fi")</f>
        <v>k-henkilokuntaleasing.fi</v>
      </c>
      <c r="C38170" t="s">
        <v>445</v>
      </c>
      <c r="D38170" t="s">
        <v>823</v>
      </c>
      <c r="J38170">
        <v>6</v>
      </c>
    </row>
    <row r="38171" spans="1:10" x14ac:dyDescent="0.25">
      <c r="A38171" t="s">
        <v>398</v>
      </c>
      <c r="B38171" s="1" t="str">
        <f>HYPERLINK("http://k-kampusauto.fi","k-kampusauto.fi")</f>
        <v>k-kampusauto.fi</v>
      </c>
      <c r="C38171" t="s">
        <v>445</v>
      </c>
      <c r="D38171" t="s">
        <v>823</v>
      </c>
      <c r="J38171">
        <v>6</v>
      </c>
    </row>
    <row r="38172" spans="1:10" x14ac:dyDescent="0.25">
      <c r="A38172" t="s">
        <v>398</v>
      </c>
      <c r="B38172" s="1" t="str">
        <f>HYPERLINK("http://k-lataus.fi","k-lataus.fi")</f>
        <v>k-lataus.fi</v>
      </c>
      <c r="C38172" t="s">
        <v>445</v>
      </c>
      <c r="D38172" t="s">
        <v>823</v>
      </c>
      <c r="F38172">
        <v>2.8680042590666501E-8</v>
      </c>
      <c r="G38172">
        <v>1794368</v>
      </c>
      <c r="H38172">
        <v>14111361</v>
      </c>
      <c r="I38172">
        <v>2672637</v>
      </c>
      <c r="J38172">
        <v>9</v>
      </c>
    </row>
    <row r="38173" spans="1:10" x14ac:dyDescent="0.25">
      <c r="A38173" t="s">
        <v>398</v>
      </c>
      <c r="B38173" s="1" t="str">
        <f>HYPERLINK("http://k-liisaus.fi","k-liisaus.fi")</f>
        <v>k-liisaus.fi</v>
      </c>
      <c r="C38173" t="s">
        <v>445</v>
      </c>
      <c r="D38173" t="s">
        <v>823</v>
      </c>
      <c r="J38173">
        <v>6</v>
      </c>
    </row>
    <row r="38174" spans="1:10" x14ac:dyDescent="0.25">
      <c r="A38174" t="s">
        <v>398</v>
      </c>
      <c r="B38174" s="1" t="str">
        <f>HYPERLINK("http://k-rent.fi","k-rent.fi")</f>
        <v>k-rent.fi</v>
      </c>
      <c r="C38174" t="s">
        <v>445</v>
      </c>
      <c r="D38174" t="s">
        <v>823</v>
      </c>
      <c r="J38174">
        <v>8</v>
      </c>
    </row>
    <row r="38175" spans="1:10" x14ac:dyDescent="0.25">
      <c r="A38175" t="s">
        <v>398</v>
      </c>
      <c r="B38175" s="1" t="str">
        <f>HYPERLINK("http://k-varikko.fi","k-varikko.fi")</f>
        <v>k-varikko.fi</v>
      </c>
      <c r="C38175" t="s">
        <v>445</v>
      </c>
      <c r="D38175" t="s">
        <v>823</v>
      </c>
      <c r="J38175">
        <v>8</v>
      </c>
    </row>
    <row r="38176" spans="1:10" x14ac:dyDescent="0.25">
      <c r="A38176" t="s">
        <v>398</v>
      </c>
      <c r="B38176" s="1" t="str">
        <f>HYPERLINK("http://k-yhteisauto.fi","k-yhteisauto.fi")</f>
        <v>k-yhteisauto.fi</v>
      </c>
      <c r="C38176" t="s">
        <v>445</v>
      </c>
      <c r="D38176" t="s">
        <v>823</v>
      </c>
      <c r="J38176">
        <v>6</v>
      </c>
    </row>
    <row r="38177" spans="1:10" x14ac:dyDescent="0.25">
      <c r="A38177" t="s">
        <v>398</v>
      </c>
      <c r="B38177" s="1" t="str">
        <f>HYPERLINK("http://karoq.fi","karoq.fi")</f>
        <v>karoq.fi</v>
      </c>
      <c r="C38177" t="s">
        <v>445</v>
      </c>
      <c r="D38177" t="s">
        <v>823</v>
      </c>
      <c r="J38177">
        <v>4</v>
      </c>
    </row>
    <row r="38178" spans="1:10" x14ac:dyDescent="0.25">
      <c r="A38178" t="s">
        <v>398</v>
      </c>
      <c r="B38178" s="1" t="str">
        <f>HYPERLINK("http://kautokauppa.fi","kautokauppa.fi")</f>
        <v>kautokauppa.fi</v>
      </c>
      <c r="C38178" t="s">
        <v>445</v>
      </c>
      <c r="D38178" t="s">
        <v>823</v>
      </c>
      <c r="J38178">
        <v>8</v>
      </c>
    </row>
    <row r="38179" spans="1:10" x14ac:dyDescent="0.25">
      <c r="A38179" t="s">
        <v>398</v>
      </c>
      <c r="B38179" s="1" t="str">
        <f>HYPERLINK("http://kautoleasing.fi","kautoleasing.fi")</f>
        <v>kautoleasing.fi</v>
      </c>
      <c r="C38179" t="s">
        <v>445</v>
      </c>
      <c r="D38179" t="s">
        <v>823</v>
      </c>
      <c r="J38179">
        <v>9</v>
      </c>
    </row>
    <row r="38180" spans="1:10" x14ac:dyDescent="0.25">
      <c r="A38180" t="s">
        <v>398</v>
      </c>
      <c r="B38180" s="1" t="str">
        <f>HYPERLINK("http://kcaara.fi","kcaara.fi")</f>
        <v>kcaara.fi</v>
      </c>
      <c r="C38180" t="s">
        <v>445</v>
      </c>
      <c r="D38180" t="s">
        <v>823</v>
      </c>
      <c r="J38180">
        <v>9</v>
      </c>
    </row>
    <row r="38181" spans="1:10" x14ac:dyDescent="0.25">
      <c r="A38181" t="s">
        <v>398</v>
      </c>
      <c r="B38181" s="1" t="str">
        <f>HYPERLINK("http://kcaaraleasing.fi","kcaaraleasing.fi")</f>
        <v>kcaaraleasing.fi</v>
      </c>
      <c r="C38181" t="s">
        <v>445</v>
      </c>
      <c r="D38181" t="s">
        <v>823</v>
      </c>
      <c r="J38181">
        <v>6</v>
      </c>
    </row>
    <row r="38182" spans="1:10" x14ac:dyDescent="0.25">
      <c r="A38182" t="s">
        <v>398</v>
      </c>
      <c r="B38182" s="1" t="str">
        <f>HYPERLINK("http://kconnect.fi","kconnect.fi")</f>
        <v>kconnect.fi</v>
      </c>
      <c r="C38182" t="s">
        <v>445</v>
      </c>
      <c r="D38182" t="s">
        <v>823</v>
      </c>
      <c r="J38182">
        <v>9</v>
      </c>
    </row>
    <row r="38183" spans="1:10" x14ac:dyDescent="0.25">
      <c r="A38183" t="s">
        <v>398</v>
      </c>
      <c r="B38183" s="1" t="str">
        <f>HYPERLINK("http://khenkilokuntaleasing.fi","khenkilokuntaleasing.fi")</f>
        <v>khenkilokuntaleasing.fi</v>
      </c>
      <c r="C38183" t="s">
        <v>445</v>
      </c>
      <c r="D38183" t="s">
        <v>823</v>
      </c>
      <c r="J38183">
        <v>6</v>
      </c>
    </row>
    <row r="38184" spans="1:10" x14ac:dyDescent="0.25">
      <c r="A38184" t="s">
        <v>398</v>
      </c>
      <c r="B38184" s="1" t="str">
        <f>HYPERLINK("http://kiihdytyskaista.fi","kiihdytyskaista.fi")</f>
        <v>kiihdytyskaista.fi</v>
      </c>
      <c r="C38184" t="s">
        <v>445</v>
      </c>
      <c r="D38184" t="s">
        <v>823</v>
      </c>
      <c r="J38184">
        <v>6</v>
      </c>
    </row>
    <row r="38185" spans="1:10" x14ac:dyDescent="0.25">
      <c r="A38185" t="s">
        <v>398</v>
      </c>
      <c r="B38185" s="1" t="str">
        <f>HYPERLINK("http://klataus.fi","klataus.fi")</f>
        <v>klataus.fi</v>
      </c>
      <c r="C38185" t="s">
        <v>445</v>
      </c>
      <c r="D38185" t="s">
        <v>823</v>
      </c>
      <c r="J38185">
        <v>9</v>
      </c>
    </row>
    <row r="38186" spans="1:10" x14ac:dyDescent="0.25">
      <c r="A38186" t="s">
        <v>398</v>
      </c>
      <c r="B38186" s="1" t="str">
        <f>HYPERLINK("http://koskaperhe.fi","koskaperhe.fi")</f>
        <v>koskaperhe.fi</v>
      </c>
      <c r="C38186" t="s">
        <v>445</v>
      </c>
      <c r="D38186" t="s">
        <v>823</v>
      </c>
      <c r="F38186">
        <v>4.7239451324844196E-9</v>
      </c>
      <c r="G38186">
        <v>39938502</v>
      </c>
      <c r="H38186">
        <v>13933060</v>
      </c>
      <c r="I38186">
        <v>5830045</v>
      </c>
      <c r="J38186">
        <v>8</v>
      </c>
    </row>
    <row r="38187" spans="1:10" x14ac:dyDescent="0.25">
      <c r="A38187" t="s">
        <v>398</v>
      </c>
      <c r="B38187" s="1" t="str">
        <f>HYPERLINK("http://kosmiq.fi","kosmiq.fi")</f>
        <v>kosmiq.fi</v>
      </c>
      <c r="C38187" t="s">
        <v>445</v>
      </c>
      <c r="D38187" t="s">
        <v>823</v>
      </c>
      <c r="J38187">
        <v>4</v>
      </c>
    </row>
    <row r="38188" spans="1:10" x14ac:dyDescent="0.25">
      <c r="A38188" t="s">
        <v>398</v>
      </c>
      <c r="B38188" s="1" t="str">
        <f>HYPERLINK("http://krent.fi","krent.fi")</f>
        <v>krent.fi</v>
      </c>
      <c r="C38188" t="s">
        <v>445</v>
      </c>
      <c r="D38188" t="s">
        <v>823</v>
      </c>
      <c r="J38188">
        <v>8</v>
      </c>
    </row>
    <row r="38189" spans="1:10" x14ac:dyDescent="0.25">
      <c r="A38189" t="s">
        <v>398</v>
      </c>
      <c r="B38189" s="1" t="str">
        <f>HYPERLINK("http://kyhteisauto.fi","kyhteisauto.fi")</f>
        <v>kyhteisauto.fi</v>
      </c>
      <c r="C38189" t="s">
        <v>445</v>
      </c>
      <c r="D38189" t="s">
        <v>823</v>
      </c>
      <c r="J38189">
        <v>6</v>
      </c>
    </row>
    <row r="38190" spans="1:10" x14ac:dyDescent="0.25">
      <c r="A38190" t="s">
        <v>398</v>
      </c>
      <c r="B38190" s="1" t="str">
        <f>HYPERLINK("http://lamborghini.fi","lamborghini.fi")</f>
        <v>lamborghini.fi</v>
      </c>
      <c r="C38190" t="s">
        <v>445</v>
      </c>
      <c r="D38190" t="s">
        <v>823</v>
      </c>
      <c r="J38190">
        <v>2</v>
      </c>
    </row>
    <row r="38191" spans="1:10" x14ac:dyDescent="0.25">
      <c r="A38191" t="s">
        <v>398</v>
      </c>
      <c r="B38191" s="1" t="str">
        <f>HYPERLINK("http://laurin-klement.fi","laurin-klement.fi")</f>
        <v>laurin-klement.fi</v>
      </c>
      <c r="C38191" t="s">
        <v>445</v>
      </c>
      <c r="D38191" t="s">
        <v>823</v>
      </c>
      <c r="J38191">
        <v>4</v>
      </c>
    </row>
    <row r="38192" spans="1:10" x14ac:dyDescent="0.25">
      <c r="A38192" t="s">
        <v>398</v>
      </c>
      <c r="B38192" s="1" t="str">
        <f>HYPERLINK("http://laurinklement.fi","laurinklement.fi")</f>
        <v>laurinklement.fi</v>
      </c>
      <c r="C38192" t="s">
        <v>445</v>
      </c>
      <c r="D38192" t="s">
        <v>823</v>
      </c>
      <c r="J38192">
        <v>4</v>
      </c>
    </row>
    <row r="38193" spans="1:10" x14ac:dyDescent="0.25">
      <c r="A38193" t="s">
        <v>398</v>
      </c>
      <c r="B38193" s="1" t="str">
        <f>HYPERLINK("http://man-finland.fi","man-finland.fi")</f>
        <v>man-finland.fi</v>
      </c>
      <c r="C38193" t="s">
        <v>445</v>
      </c>
      <c r="D38193" t="s">
        <v>823</v>
      </c>
      <c r="J38193">
        <v>6</v>
      </c>
    </row>
    <row r="38194" spans="1:10" x14ac:dyDescent="0.25">
      <c r="A38194" t="s">
        <v>398</v>
      </c>
      <c r="B38194" s="1" t="str">
        <f>HYPERLINK("http://man-suomi.fi","man-suomi.fi")</f>
        <v>man-suomi.fi</v>
      </c>
      <c r="C38194" t="s">
        <v>445</v>
      </c>
      <c r="D38194" t="s">
        <v>823</v>
      </c>
      <c r="J38194">
        <v>6</v>
      </c>
    </row>
    <row r="38195" spans="1:10" x14ac:dyDescent="0.25">
      <c r="A38195" t="s">
        <v>398</v>
      </c>
      <c r="B38195" s="1" t="str">
        <f>HYPERLINK("http://man-topused.fi","man-topused.fi")</f>
        <v>man-topused.fi</v>
      </c>
      <c r="C38195" t="s">
        <v>445</v>
      </c>
      <c r="D38195" t="s">
        <v>823</v>
      </c>
      <c r="J38195">
        <v>6</v>
      </c>
    </row>
    <row r="38196" spans="1:10" x14ac:dyDescent="0.25">
      <c r="A38196" t="s">
        <v>398</v>
      </c>
      <c r="B38196" s="1" t="str">
        <f>HYPERLINK("http://mancenter.fi","mancenter.fi")</f>
        <v>mancenter.fi</v>
      </c>
      <c r="C38196" t="s">
        <v>445</v>
      </c>
      <c r="D38196" t="s">
        <v>823</v>
      </c>
      <c r="F38196">
        <v>4.7856469744879001E-9</v>
      </c>
      <c r="G38196">
        <v>36724542</v>
      </c>
      <c r="H38196">
        <v>10805473</v>
      </c>
      <c r="I38196">
        <v>37999946</v>
      </c>
      <c r="J38196">
        <v>6</v>
      </c>
    </row>
    <row r="38197" spans="1:10" x14ac:dyDescent="0.25">
      <c r="A38197" t="s">
        <v>398</v>
      </c>
      <c r="B38197" s="1" t="str">
        <f>HYPERLINK("http://manfinland.fi","manfinland.fi")</f>
        <v>manfinland.fi</v>
      </c>
      <c r="C38197" t="s">
        <v>445</v>
      </c>
      <c r="D38197" t="s">
        <v>823</v>
      </c>
      <c r="J38197">
        <v>6</v>
      </c>
    </row>
    <row r="38198" spans="1:10" x14ac:dyDescent="0.25">
      <c r="A38198" t="s">
        <v>398</v>
      </c>
      <c r="B38198" s="1" t="str">
        <f>HYPERLINK("http://mantopused.fi","mantopused.fi")</f>
        <v>mantopused.fi</v>
      </c>
      <c r="C38198" t="s">
        <v>445</v>
      </c>
      <c r="D38198" t="s">
        <v>823</v>
      </c>
      <c r="J38198">
        <v>6</v>
      </c>
    </row>
    <row r="38199" spans="1:10" x14ac:dyDescent="0.25">
      <c r="A38199" t="s">
        <v>398</v>
      </c>
      <c r="B38199" s="1" t="str">
        <f>HYPERLINK("http://mantruckandbus.fi","mantruckandbus.fi")</f>
        <v>mantruckandbus.fi</v>
      </c>
      <c r="C38199" t="s">
        <v>445</v>
      </c>
      <c r="D38199" t="s">
        <v>823</v>
      </c>
      <c r="F38199">
        <v>6.6461413284314003E-9</v>
      </c>
      <c r="G38199">
        <v>13499507</v>
      </c>
      <c r="H38199">
        <v>12625644</v>
      </c>
      <c r="I38199">
        <v>16031847</v>
      </c>
      <c r="J38199">
        <v>6</v>
      </c>
    </row>
    <row r="38200" spans="1:10" x14ac:dyDescent="0.25">
      <c r="A38200" t="s">
        <v>398</v>
      </c>
      <c r="B38200" s="1" t="str">
        <f>HYPERLINK("http://mantrucks.fi","mantrucks.fi")</f>
        <v>mantrucks.fi</v>
      </c>
      <c r="C38200" t="s">
        <v>445</v>
      </c>
      <c r="D38200" t="s">
        <v>823</v>
      </c>
      <c r="F38200">
        <v>4.46020750117086E-9</v>
      </c>
      <c r="G38200">
        <v>67693828</v>
      </c>
      <c r="H38200">
        <v>10597773</v>
      </c>
      <c r="I38200">
        <v>45030957</v>
      </c>
      <c r="J38200">
        <v>6</v>
      </c>
    </row>
    <row r="38201" spans="1:10" x14ac:dyDescent="0.25">
      <c r="A38201" t="s">
        <v>398</v>
      </c>
      <c r="B38201" s="1" t="str">
        <f>HYPERLINK("http://metahype.fi","metahype.fi")</f>
        <v>metahype.fi</v>
      </c>
      <c r="C38201" t="s">
        <v>445</v>
      </c>
      <c r="D38201" t="s">
        <v>823</v>
      </c>
      <c r="J38201">
        <v>4</v>
      </c>
    </row>
    <row r="38202" spans="1:10" x14ac:dyDescent="0.25">
      <c r="A38202" t="s">
        <v>398</v>
      </c>
      <c r="B38202" s="1" t="str">
        <f>HYPERLINK("http://mountiaq.fi","mountiaq.fi")</f>
        <v>mountiaq.fi</v>
      </c>
      <c r="C38202" t="s">
        <v>445</v>
      </c>
      <c r="D38202" t="s">
        <v>823</v>
      </c>
      <c r="J38202">
        <v>4</v>
      </c>
    </row>
    <row r="38203" spans="1:10" x14ac:dyDescent="0.25">
      <c r="A38203" t="s">
        <v>398</v>
      </c>
      <c r="B38203" s="1" t="str">
        <f>HYPERLINK("http://my-skoda.fi","my-skoda.fi")</f>
        <v>my-skoda.fi</v>
      </c>
      <c r="C38203" t="s">
        <v>445</v>
      </c>
      <c r="D38203" t="s">
        <v>823</v>
      </c>
      <c r="J38203">
        <v>4</v>
      </c>
    </row>
    <row r="38204" spans="1:10" x14ac:dyDescent="0.25">
      <c r="A38204" t="s">
        <v>398</v>
      </c>
      <c r="B38204" s="1" t="str">
        <f>HYPERLINK("http://myskoda.fi","myskoda.fi")</f>
        <v>myskoda.fi</v>
      </c>
      <c r="C38204" t="s">
        <v>445</v>
      </c>
      <c r="D38204" t="s">
        <v>823</v>
      </c>
      <c r="J38204">
        <v>4</v>
      </c>
    </row>
    <row r="38205" spans="1:10" x14ac:dyDescent="0.25">
      <c r="A38205" t="s">
        <v>398</v>
      </c>
      <c r="B38205" s="1" t="str">
        <f>HYPERLINK("http://paybyphone.fi","paybyphone.fi")</f>
        <v>paybyphone.fi</v>
      </c>
      <c r="C38205" t="s">
        <v>445</v>
      </c>
      <c r="D38205" t="s">
        <v>823</v>
      </c>
      <c r="J38205">
        <v>4</v>
      </c>
    </row>
    <row r="38206" spans="1:10" x14ac:dyDescent="0.25">
      <c r="A38206" t="s">
        <v>398</v>
      </c>
      <c r="B38206" s="1" t="str">
        <f>HYPERLINK("http://peaq.fi","peaq.fi")</f>
        <v>peaq.fi</v>
      </c>
      <c r="C38206" t="s">
        <v>445</v>
      </c>
      <c r="D38206" t="s">
        <v>823</v>
      </c>
      <c r="J38206">
        <v>4</v>
      </c>
    </row>
    <row r="38207" spans="1:10" x14ac:dyDescent="0.25">
      <c r="A38207" t="s">
        <v>398</v>
      </c>
      <c r="B38207" s="1" t="str">
        <f>HYPERLINK("http://plussaahuollosta.fi","plussaahuollosta.fi")</f>
        <v>plussaahuollosta.fi</v>
      </c>
      <c r="C38207" t="s">
        <v>445</v>
      </c>
      <c r="D38207" t="s">
        <v>823</v>
      </c>
      <c r="J38207">
        <v>6</v>
      </c>
    </row>
    <row r="38208" spans="1:10" x14ac:dyDescent="0.25">
      <c r="A38208" t="s">
        <v>398</v>
      </c>
      <c r="B38208" s="1" t="str">
        <f>HYPERLINK("http://porsche.fi","porsche.fi")</f>
        <v>porsche.fi</v>
      </c>
      <c r="C38208" t="s">
        <v>445</v>
      </c>
      <c r="D38208" t="s">
        <v>823</v>
      </c>
      <c r="F38208">
        <v>3.1627476993867401E-8</v>
      </c>
      <c r="G38208">
        <v>1631943</v>
      </c>
      <c r="H38208">
        <v>13783258</v>
      </c>
      <c r="I38208">
        <v>6428070</v>
      </c>
      <c r="J38208">
        <v>4</v>
      </c>
    </row>
    <row r="38209" spans="1:10" x14ac:dyDescent="0.25">
      <c r="A38209" t="s">
        <v>398</v>
      </c>
      <c r="B38209" s="1" t="str">
        <f>HYPERLINK("http://porsche-design.fi","porsche-design.fi")</f>
        <v>porsche-design.fi</v>
      </c>
      <c r="C38209" t="s">
        <v>445</v>
      </c>
      <c r="D38209" t="s">
        <v>823</v>
      </c>
      <c r="J38209">
        <v>4</v>
      </c>
    </row>
    <row r="38210" spans="1:10" x14ac:dyDescent="0.25">
      <c r="A38210" t="s">
        <v>398</v>
      </c>
      <c r="B38210" s="1" t="str">
        <f>HYPERLINK("http://quattrotour.fi","quattrotour.fi")</f>
        <v>quattrotour.fi</v>
      </c>
      <c r="C38210" t="s">
        <v>445</v>
      </c>
      <c r="D38210" t="s">
        <v>823</v>
      </c>
      <c r="J38210">
        <v>6</v>
      </c>
    </row>
    <row r="38211" spans="1:10" x14ac:dyDescent="0.25">
      <c r="A38211" t="s">
        <v>398</v>
      </c>
      <c r="B38211" s="1" t="str">
        <f>HYPERLINK("http://revuelto.fi","revuelto.fi")</f>
        <v>revuelto.fi</v>
      </c>
      <c r="C38211" t="s">
        <v>445</v>
      </c>
      <c r="D38211" t="s">
        <v>823</v>
      </c>
      <c r="J38211">
        <v>2</v>
      </c>
    </row>
    <row r="38212" spans="1:10" x14ac:dyDescent="0.25">
      <c r="A38212" t="s">
        <v>398</v>
      </c>
      <c r="B38212" s="1" t="str">
        <f>HYPERLINK("http://rio-cloud.fi","rio-cloud.fi")</f>
        <v>rio-cloud.fi</v>
      </c>
      <c r="C38212" t="s">
        <v>445</v>
      </c>
      <c r="D38212" t="s">
        <v>823</v>
      </c>
      <c r="J38212">
        <v>2</v>
      </c>
    </row>
    <row r="38213" spans="1:10" x14ac:dyDescent="0.25">
      <c r="A38213" t="s">
        <v>398</v>
      </c>
      <c r="B38213" s="1" t="str">
        <f>HYPERLINK("http://riocloud.fi","riocloud.fi")</f>
        <v>riocloud.fi</v>
      </c>
      <c r="C38213" t="s">
        <v>445</v>
      </c>
      <c r="D38213" t="s">
        <v>823</v>
      </c>
      <c r="J38213">
        <v>2</v>
      </c>
    </row>
    <row r="38214" spans="1:10" x14ac:dyDescent="0.25">
      <c r="A38214" t="s">
        <v>398</v>
      </c>
      <c r="B38214" s="1" t="str">
        <f>HYPERLINK("http://romutuspalkkio.fi","romutuspalkkio.fi")</f>
        <v>romutuspalkkio.fi</v>
      </c>
      <c r="C38214" t="s">
        <v>445</v>
      </c>
      <c r="D38214" t="s">
        <v>823</v>
      </c>
      <c r="F38214">
        <v>4.4721766018981697E-9</v>
      </c>
      <c r="G38214">
        <v>64045846</v>
      </c>
      <c r="H38214">
        <v>11089687</v>
      </c>
      <c r="I38214">
        <v>32386236</v>
      </c>
      <c r="J38214">
        <v>6</v>
      </c>
    </row>
    <row r="38215" spans="1:10" x14ac:dyDescent="0.25">
      <c r="A38215" t="s">
        <v>398</v>
      </c>
      <c r="B38215" s="1" t="str">
        <f>HYPERLINK("http://scanauto.fi","scanauto.fi")</f>
        <v>scanauto.fi</v>
      </c>
      <c r="C38215" t="s">
        <v>445</v>
      </c>
      <c r="D38215" t="s">
        <v>823</v>
      </c>
      <c r="F38215">
        <v>5.3344530966232598E-9</v>
      </c>
      <c r="G38215">
        <v>23007699</v>
      </c>
      <c r="H38215">
        <v>14071791</v>
      </c>
      <c r="I38215">
        <v>3443544</v>
      </c>
      <c r="J38215">
        <v>2</v>
      </c>
    </row>
    <row r="38216" spans="1:10" x14ac:dyDescent="0.25">
      <c r="A38216" t="s">
        <v>398</v>
      </c>
      <c r="B38216" s="1" t="str">
        <f>HYPERLINK("http://scania.fi","scania.fi")</f>
        <v>scania.fi</v>
      </c>
      <c r="C38216" t="s">
        <v>445</v>
      </c>
      <c r="D38216" t="s">
        <v>823</v>
      </c>
      <c r="F38216">
        <v>2.3647006567528299E-8</v>
      </c>
      <c r="G38216">
        <v>2198984</v>
      </c>
      <c r="H38216">
        <v>14240619</v>
      </c>
      <c r="I38216">
        <v>1499487</v>
      </c>
      <c r="J38216">
        <v>2</v>
      </c>
    </row>
    <row r="38217" spans="1:10" x14ac:dyDescent="0.25">
      <c r="A38217" t="s">
        <v>398</v>
      </c>
      <c r="B38217" s="1" t="str">
        <f>HYPERLINK("http://seat.fi","seat.fi")</f>
        <v>seat.fi</v>
      </c>
      <c r="C38217" t="s">
        <v>445</v>
      </c>
      <c r="D38217" t="s">
        <v>823</v>
      </c>
      <c r="F38217">
        <v>9.1845575785008795E-8</v>
      </c>
      <c r="G38217">
        <v>443510</v>
      </c>
      <c r="H38217">
        <v>14246985</v>
      </c>
      <c r="I38217">
        <v>1459278</v>
      </c>
      <c r="J38217">
        <v>4</v>
      </c>
    </row>
    <row r="38218" spans="1:10" x14ac:dyDescent="0.25">
      <c r="A38218" t="s">
        <v>398</v>
      </c>
      <c r="B38218" s="1" t="str">
        <f>HYPERLINK("http://seat-ibiza.fi","seat-ibiza.fi")</f>
        <v>seat-ibiza.fi</v>
      </c>
      <c r="C38218" t="s">
        <v>445</v>
      </c>
      <c r="D38218" t="s">
        <v>823</v>
      </c>
      <c r="J38218">
        <v>6</v>
      </c>
    </row>
    <row r="38219" spans="1:10" x14ac:dyDescent="0.25">
      <c r="A38219" t="s">
        <v>398</v>
      </c>
      <c r="B38219" s="1" t="str">
        <f>HYPERLINK("http://seat-leon.fi","seat-leon.fi")</f>
        <v>seat-leon.fi</v>
      </c>
      <c r="C38219" t="s">
        <v>445</v>
      </c>
      <c r="D38219" t="s">
        <v>823</v>
      </c>
      <c r="J38219">
        <v>6</v>
      </c>
    </row>
    <row r="38220" spans="1:10" x14ac:dyDescent="0.25">
      <c r="A38220" t="s">
        <v>398</v>
      </c>
      <c r="B38220" s="1" t="str">
        <f>HYPERLINK("http://seatcenter.fi","seatcenter.fi")</f>
        <v>seatcenter.fi</v>
      </c>
      <c r="C38220" t="s">
        <v>445</v>
      </c>
      <c r="D38220" t="s">
        <v>823</v>
      </c>
      <c r="F38220">
        <v>1.11546176678837E-8</v>
      </c>
      <c r="G38220">
        <v>5745926</v>
      </c>
      <c r="H38220">
        <v>12168312</v>
      </c>
      <c r="I38220">
        <v>24112737</v>
      </c>
      <c r="J38220">
        <v>6</v>
      </c>
    </row>
    <row r="38221" spans="1:10" x14ac:dyDescent="0.25">
      <c r="A38221" t="s">
        <v>398</v>
      </c>
      <c r="B38221" s="1" t="str">
        <f>HYPERLINK("http://seatcenterhelsinki.fi","seatcenterhelsinki.fi")</f>
        <v>seatcenterhelsinki.fi</v>
      </c>
      <c r="C38221" t="s">
        <v>445</v>
      </c>
      <c r="D38221" t="s">
        <v>823</v>
      </c>
      <c r="J38221">
        <v>6</v>
      </c>
    </row>
    <row r="38222" spans="1:10" x14ac:dyDescent="0.25">
      <c r="A38222" t="s">
        <v>398</v>
      </c>
      <c r="B38222" s="1" t="str">
        <f>HYPERLINK("http://seathelsinki.fi","seathelsinki.fi")</f>
        <v>seathelsinki.fi</v>
      </c>
      <c r="C38222" t="s">
        <v>445</v>
      </c>
      <c r="D38222" t="s">
        <v>823</v>
      </c>
      <c r="J38222">
        <v>6</v>
      </c>
    </row>
    <row r="38223" spans="1:10" x14ac:dyDescent="0.25">
      <c r="A38223" t="s">
        <v>398</v>
      </c>
      <c r="B38223" s="1" t="str">
        <f>HYPERLINK("http://seatibiza.fi","seatibiza.fi")</f>
        <v>seatibiza.fi</v>
      </c>
      <c r="C38223" t="s">
        <v>445</v>
      </c>
      <c r="D38223" t="s">
        <v>823</v>
      </c>
      <c r="J38223">
        <v>6</v>
      </c>
    </row>
    <row r="38224" spans="1:10" x14ac:dyDescent="0.25">
      <c r="A38224" t="s">
        <v>398</v>
      </c>
      <c r="B38224" s="1" t="str">
        <f>HYPERLINK("http://seatleon.fi","seatleon.fi")</f>
        <v>seatleon.fi</v>
      </c>
      <c r="C38224" t="s">
        <v>445</v>
      </c>
      <c r="D38224" t="s">
        <v>823</v>
      </c>
      <c r="J38224">
        <v>6</v>
      </c>
    </row>
    <row r="38225" spans="1:10" x14ac:dyDescent="0.25">
      <c r="A38225" t="s">
        <v>398</v>
      </c>
      <c r="B38225" s="1" t="str">
        <f>HYPERLINK("http://seatleoncupra.fi","seatleoncupra.fi")</f>
        <v>seatleoncupra.fi</v>
      </c>
      <c r="C38225" t="s">
        <v>445</v>
      </c>
      <c r="D38225" t="s">
        <v>823</v>
      </c>
      <c r="J38225">
        <v>6</v>
      </c>
    </row>
    <row r="38226" spans="1:10" x14ac:dyDescent="0.25">
      <c r="A38226" t="s">
        <v>398</v>
      </c>
      <c r="B38226" s="1" t="str">
        <f>HYPERLINK("http://seatleonst.fi","seatleonst.fi")</f>
        <v>seatleonst.fi</v>
      </c>
      <c r="C38226" t="s">
        <v>445</v>
      </c>
      <c r="D38226" t="s">
        <v>823</v>
      </c>
      <c r="J38226">
        <v>6</v>
      </c>
    </row>
    <row r="38227" spans="1:10" x14ac:dyDescent="0.25">
      <c r="A38227" t="s">
        <v>398</v>
      </c>
      <c r="B38227" s="1" t="str">
        <f>HYPERLINK("http://skoda-transtech.fi","skoda-transtech.fi")</f>
        <v>skoda-transtech.fi</v>
      </c>
      <c r="C38227" t="s">
        <v>445</v>
      </c>
      <c r="D38227" t="s">
        <v>823</v>
      </c>
      <c r="J38227">
        <v>4</v>
      </c>
    </row>
    <row r="38228" spans="1:10" x14ac:dyDescent="0.25">
      <c r="A38228" t="s">
        <v>398</v>
      </c>
      <c r="B38228" s="1" t="str">
        <f>HYPERLINK("http://skodaauto.fi","skodaauto.fi")</f>
        <v>skodaauto.fi</v>
      </c>
      <c r="C38228" t="s">
        <v>445</v>
      </c>
      <c r="D38228" t="s">
        <v>823</v>
      </c>
      <c r="J38228">
        <v>4</v>
      </c>
    </row>
    <row r="38229" spans="1:10" x14ac:dyDescent="0.25">
      <c r="A38229" t="s">
        <v>398</v>
      </c>
      <c r="B38229" s="1" t="str">
        <f>HYPERLINK("http://suurasiakasmyynti.fi","suurasiakasmyynti.fi")</f>
        <v>suurasiakasmyynti.fi</v>
      </c>
      <c r="C38229" t="s">
        <v>445</v>
      </c>
      <c r="D38229" t="s">
        <v>823</v>
      </c>
      <c r="J38229">
        <v>6</v>
      </c>
    </row>
    <row r="38230" spans="1:10" x14ac:dyDescent="0.25">
      <c r="A38230" t="s">
        <v>398</v>
      </c>
      <c r="B38230" s="1" t="str">
        <f>HYPERLINK("http://taycan.fi","taycan.fi")</f>
        <v>taycan.fi</v>
      </c>
      <c r="C38230" t="s">
        <v>445</v>
      </c>
      <c r="D38230" t="s">
        <v>823</v>
      </c>
      <c r="J38230">
        <v>4</v>
      </c>
    </row>
    <row r="38231" spans="1:10" x14ac:dyDescent="0.25">
      <c r="A38231" t="s">
        <v>398</v>
      </c>
      <c r="B38231" s="1" t="str">
        <f>HYPERLINK("http://vaihtoautokeskusturku.fi","vaihtoautokeskusturku.fi")</f>
        <v>vaihtoautokeskusturku.fi</v>
      </c>
      <c r="C38231" t="s">
        <v>445</v>
      </c>
      <c r="D38231" t="s">
        <v>823</v>
      </c>
      <c r="J38231">
        <v>6</v>
      </c>
    </row>
    <row r="38232" spans="1:10" x14ac:dyDescent="0.25">
      <c r="A38232" t="s">
        <v>398</v>
      </c>
      <c r="B38232" s="1" t="str">
        <f>HYPERLINK("http://volkkari.fi","volkkari.fi")</f>
        <v>volkkari.fi</v>
      </c>
      <c r="C38232" t="s">
        <v>445</v>
      </c>
      <c r="D38232" t="s">
        <v>823</v>
      </c>
      <c r="J38232">
        <v>6</v>
      </c>
    </row>
    <row r="38233" spans="1:10" x14ac:dyDescent="0.25">
      <c r="A38233" t="s">
        <v>398</v>
      </c>
      <c r="B38233" s="1" t="str">
        <f>HYPERLINK("http://volkswagen.fi","volkswagen.fi")</f>
        <v>volkswagen.fi</v>
      </c>
      <c r="C38233" t="s">
        <v>445</v>
      </c>
      <c r="D38233" t="s">
        <v>823</v>
      </c>
      <c r="E38233">
        <v>853805</v>
      </c>
      <c r="F38233">
        <v>1.09895263952644E-7</v>
      </c>
      <c r="G38233">
        <v>363948</v>
      </c>
      <c r="H38233">
        <v>14499711</v>
      </c>
      <c r="I38233">
        <v>856153</v>
      </c>
      <c r="J38233">
        <v>4</v>
      </c>
    </row>
    <row r="38234" spans="1:10" x14ac:dyDescent="0.25">
      <c r="A38234" t="s">
        <v>398</v>
      </c>
      <c r="B38234" s="1" t="str">
        <f>HYPERLINK("http://volkswagen-hyotyautot.fi","volkswagen-hyotyautot.fi")</f>
        <v>volkswagen-hyotyautot.fi</v>
      </c>
      <c r="C38234" t="s">
        <v>445</v>
      </c>
      <c r="D38234" t="s">
        <v>823</v>
      </c>
      <c r="F38234">
        <v>2.00994245652124E-8</v>
      </c>
      <c r="G38234">
        <v>2643978</v>
      </c>
      <c r="H38234">
        <v>13677605</v>
      </c>
      <c r="I38234">
        <v>9537982</v>
      </c>
      <c r="J38234">
        <v>6</v>
      </c>
    </row>
    <row r="38235" spans="1:10" x14ac:dyDescent="0.25">
      <c r="A38235" t="s">
        <v>398</v>
      </c>
      <c r="B38235" s="1" t="str">
        <f>HYPERLINK("http://volkswagen-hytyautot.fi","volkswagen-hytyautot.fi")</f>
        <v>volkswagen-hytyautot.fi</v>
      </c>
      <c r="C38235" t="s">
        <v>445</v>
      </c>
      <c r="D38235" t="s">
        <v>823</v>
      </c>
      <c r="J38235">
        <v>6</v>
      </c>
    </row>
    <row r="38236" spans="1:10" x14ac:dyDescent="0.25">
      <c r="A38236" t="s">
        <v>398</v>
      </c>
      <c r="B38236" s="1" t="str">
        <f>HYPERLINK("http://volkswagen-lehti.fi","volkswagen-lehti.fi")</f>
        <v>volkswagen-lehti.fi</v>
      </c>
      <c r="C38236" t="s">
        <v>445</v>
      </c>
      <c r="D38236" t="s">
        <v>823</v>
      </c>
      <c r="J38236">
        <v>6</v>
      </c>
    </row>
    <row r="38237" spans="1:10" x14ac:dyDescent="0.25">
      <c r="A38237" t="s">
        <v>398</v>
      </c>
      <c r="B38237" s="1" t="str">
        <f>HYPERLINK("http://volkswagen-we.fi","volkswagen-we.fi")</f>
        <v>volkswagen-we.fi</v>
      </c>
      <c r="C38237" t="s">
        <v>445</v>
      </c>
      <c r="D38237" t="s">
        <v>823</v>
      </c>
      <c r="J38237">
        <v>2</v>
      </c>
    </row>
    <row r="38238" spans="1:10" x14ac:dyDescent="0.25">
      <c r="A38238" t="s">
        <v>398</v>
      </c>
      <c r="B38238" s="1" t="str">
        <f>HYPERLINK("http://volkswagen4motion.fi","volkswagen4motion.fi")</f>
        <v>volkswagen4motion.fi</v>
      </c>
      <c r="C38238" t="s">
        <v>445</v>
      </c>
      <c r="D38238" t="s">
        <v>823</v>
      </c>
      <c r="J38238">
        <v>6</v>
      </c>
    </row>
    <row r="38239" spans="1:10" x14ac:dyDescent="0.25">
      <c r="A38239" t="s">
        <v>398</v>
      </c>
      <c r="B38239" s="1" t="str">
        <f>HYPERLINK("http://volkswagenairport.fi","volkswagenairport.fi")</f>
        <v>volkswagenairport.fi</v>
      </c>
      <c r="C38239" t="s">
        <v>445</v>
      </c>
      <c r="D38239" t="s">
        <v>823</v>
      </c>
      <c r="J38239">
        <v>6</v>
      </c>
    </row>
    <row r="38240" spans="1:10" x14ac:dyDescent="0.25">
      <c r="A38240" t="s">
        <v>398</v>
      </c>
      <c r="B38240" s="1" t="str">
        <f>HYPERLINK("http://volkswagencenter.fi","volkswagencenter.fi")</f>
        <v>volkswagencenter.fi</v>
      </c>
      <c r="C38240" t="s">
        <v>445</v>
      </c>
      <c r="D38240" t="s">
        <v>823</v>
      </c>
      <c r="F38240">
        <v>9.3204309726818608E-9</v>
      </c>
      <c r="G38240">
        <v>7546340</v>
      </c>
      <c r="H38240">
        <v>13763764</v>
      </c>
      <c r="I38240">
        <v>7649669</v>
      </c>
      <c r="J38240">
        <v>6</v>
      </c>
    </row>
    <row r="38241" spans="1:10" x14ac:dyDescent="0.25">
      <c r="A38241" t="s">
        <v>398</v>
      </c>
      <c r="B38241" s="1" t="str">
        <f>HYPERLINK("http://volkswagencenterespoo.fi","volkswagencenterespoo.fi")</f>
        <v>volkswagencenterespoo.fi</v>
      </c>
      <c r="C38241" t="s">
        <v>445</v>
      </c>
      <c r="D38241" t="s">
        <v>823</v>
      </c>
      <c r="J38241">
        <v>6</v>
      </c>
    </row>
    <row r="38242" spans="1:10" x14ac:dyDescent="0.25">
      <c r="A38242" t="s">
        <v>398</v>
      </c>
      <c r="B38242" s="1" t="str">
        <f>HYPERLINK("http://volkswagencenterhelsinki.fi","volkswagencenterhelsinki.fi")</f>
        <v>volkswagencenterhelsinki.fi</v>
      </c>
      <c r="C38242" t="s">
        <v>445</v>
      </c>
      <c r="D38242" t="s">
        <v>823</v>
      </c>
      <c r="J38242">
        <v>6</v>
      </c>
    </row>
    <row r="38243" spans="1:10" x14ac:dyDescent="0.25">
      <c r="A38243" t="s">
        <v>398</v>
      </c>
      <c r="B38243" s="1" t="str">
        <f>HYPERLINK("http://volkswagencenterturku.fi","volkswagencenterturku.fi")</f>
        <v>volkswagencenterturku.fi</v>
      </c>
      <c r="C38243" t="s">
        <v>445</v>
      </c>
      <c r="D38243" t="s">
        <v>823</v>
      </c>
      <c r="J38243">
        <v>6</v>
      </c>
    </row>
    <row r="38244" spans="1:10" x14ac:dyDescent="0.25">
      <c r="A38244" t="s">
        <v>398</v>
      </c>
      <c r="B38244" s="1" t="str">
        <f>HYPERLINK("http://volkswagencentervantaa.fi","volkswagencentervantaa.fi")</f>
        <v>volkswagencentervantaa.fi</v>
      </c>
      <c r="C38244" t="s">
        <v>445</v>
      </c>
      <c r="D38244" t="s">
        <v>823</v>
      </c>
      <c r="J38244">
        <v>6</v>
      </c>
    </row>
    <row r="38245" spans="1:10" x14ac:dyDescent="0.25">
      <c r="A38245" t="s">
        <v>398</v>
      </c>
      <c r="B38245" s="1" t="str">
        <f>HYPERLINK("http://volkswagenespoo.fi","volkswagenespoo.fi")</f>
        <v>volkswagenespoo.fi</v>
      </c>
      <c r="C38245" t="s">
        <v>445</v>
      </c>
      <c r="D38245" t="s">
        <v>823</v>
      </c>
      <c r="J38245">
        <v>6</v>
      </c>
    </row>
    <row r="38246" spans="1:10" x14ac:dyDescent="0.25">
      <c r="A38246" t="s">
        <v>398</v>
      </c>
      <c r="B38246" s="1" t="str">
        <f>HYPERLINK("http://volkswagenfinland.fi","volkswagenfinland.fi")</f>
        <v>volkswagenfinland.fi</v>
      </c>
      <c r="C38246" t="s">
        <v>445</v>
      </c>
      <c r="D38246" t="s">
        <v>823</v>
      </c>
      <c r="J38246">
        <v>8</v>
      </c>
    </row>
    <row r="38247" spans="1:10" x14ac:dyDescent="0.25">
      <c r="A38247" t="s">
        <v>398</v>
      </c>
      <c r="B38247" s="1" t="str">
        <f>HYPERLINK("http://volkswagenhelsinki.fi","volkswagenhelsinki.fi")</f>
        <v>volkswagenhelsinki.fi</v>
      </c>
      <c r="C38247" t="s">
        <v>445</v>
      </c>
      <c r="D38247" t="s">
        <v>823</v>
      </c>
      <c r="J38247">
        <v>6</v>
      </c>
    </row>
    <row r="38248" spans="1:10" x14ac:dyDescent="0.25">
      <c r="A38248" t="s">
        <v>398</v>
      </c>
      <c r="B38248" s="1" t="str">
        <f>HYPERLINK("http://volkswagenhuolto.fi","volkswagenhuolto.fi")</f>
        <v>volkswagenhuolto.fi</v>
      </c>
      <c r="C38248" t="s">
        <v>445</v>
      </c>
      <c r="D38248" t="s">
        <v>823</v>
      </c>
      <c r="J38248">
        <v>6</v>
      </c>
    </row>
    <row r="38249" spans="1:10" x14ac:dyDescent="0.25">
      <c r="A38249" t="s">
        <v>398</v>
      </c>
      <c r="B38249" s="1" t="str">
        <f>HYPERLINK("http://volkswagenhytyautot.fi","volkswagenhytyautot.fi")</f>
        <v>volkswagenhytyautot.fi</v>
      </c>
      <c r="C38249" t="s">
        <v>445</v>
      </c>
      <c r="D38249" t="s">
        <v>823</v>
      </c>
      <c r="J38249">
        <v>8</v>
      </c>
    </row>
    <row r="38250" spans="1:10" x14ac:dyDescent="0.25">
      <c r="A38250" t="s">
        <v>398</v>
      </c>
      <c r="B38250" s="1" t="str">
        <f>HYPERLINK("http://volkswagenid.fi","volkswagenid.fi")</f>
        <v>volkswagenid.fi</v>
      </c>
      <c r="C38250" t="s">
        <v>445</v>
      </c>
      <c r="D38250" t="s">
        <v>823</v>
      </c>
      <c r="J38250">
        <v>8</v>
      </c>
    </row>
    <row r="38251" spans="1:10" x14ac:dyDescent="0.25">
      <c r="A38251" t="s">
        <v>398</v>
      </c>
      <c r="B38251" s="1" t="str">
        <f>HYPERLINK("http://volkswagenlehti.fi","volkswagenlehti.fi")</f>
        <v>volkswagenlehti.fi</v>
      </c>
      <c r="C38251" t="s">
        <v>445</v>
      </c>
      <c r="D38251" t="s">
        <v>823</v>
      </c>
      <c r="F38251">
        <v>4.46688857418282E-9</v>
      </c>
      <c r="G38251">
        <v>65661510</v>
      </c>
      <c r="H38251">
        <v>10594716</v>
      </c>
      <c r="I38251">
        <v>45267653</v>
      </c>
      <c r="J38251">
        <v>6</v>
      </c>
    </row>
    <row r="38252" spans="1:10" x14ac:dyDescent="0.25">
      <c r="A38252" t="s">
        <v>398</v>
      </c>
      <c r="B38252" s="1" t="str">
        <f>HYPERLINK("http://volkswagensuomi.fi","volkswagensuomi.fi")</f>
        <v>volkswagensuomi.fi</v>
      </c>
      <c r="C38252" t="s">
        <v>445</v>
      </c>
      <c r="D38252" t="s">
        <v>823</v>
      </c>
      <c r="J38252">
        <v>8</v>
      </c>
    </row>
    <row r="38253" spans="1:10" x14ac:dyDescent="0.25">
      <c r="A38253" t="s">
        <v>398</v>
      </c>
      <c r="B38253" s="1" t="str">
        <f>HYPERLINK("http://volkswagentruckandbus.fi","volkswagentruckandbus.fi")</f>
        <v>volkswagentruckandbus.fi</v>
      </c>
      <c r="C38253" t="s">
        <v>445</v>
      </c>
      <c r="D38253" t="s">
        <v>823</v>
      </c>
      <c r="J38253">
        <v>2</v>
      </c>
    </row>
    <row r="38254" spans="1:10" x14ac:dyDescent="0.25">
      <c r="A38254" t="s">
        <v>398</v>
      </c>
      <c r="B38254" s="1" t="str">
        <f>HYPERLINK("http://volkswagenturku.fi","volkswagenturku.fi")</f>
        <v>volkswagenturku.fi</v>
      </c>
      <c r="C38254" t="s">
        <v>445</v>
      </c>
      <c r="D38254" t="s">
        <v>823</v>
      </c>
      <c r="J38254">
        <v>6</v>
      </c>
    </row>
    <row r="38255" spans="1:10" x14ac:dyDescent="0.25">
      <c r="A38255" t="s">
        <v>398</v>
      </c>
      <c r="B38255" s="1" t="str">
        <f>HYPERLINK("http://volkswagenvantaa.fi","volkswagenvantaa.fi")</f>
        <v>volkswagenvantaa.fi</v>
      </c>
      <c r="C38255" t="s">
        <v>445</v>
      </c>
      <c r="D38255" t="s">
        <v>823</v>
      </c>
      <c r="J38255">
        <v>6</v>
      </c>
    </row>
    <row r="38256" spans="1:10" x14ac:dyDescent="0.25">
      <c r="A38256" t="s">
        <v>398</v>
      </c>
      <c r="B38256" s="1" t="str">
        <f>HYPERLINK("http://vv-auto.fi","vv-auto.fi")</f>
        <v>vv-auto.fi</v>
      </c>
      <c r="C38256" t="s">
        <v>445</v>
      </c>
      <c r="D38256" t="s">
        <v>823</v>
      </c>
      <c r="F38256">
        <v>9.2047007577022494E-9</v>
      </c>
      <c r="G38256">
        <v>7703909</v>
      </c>
      <c r="H38256">
        <v>12330343</v>
      </c>
      <c r="I38256">
        <v>20206632</v>
      </c>
      <c r="J38256">
        <v>6</v>
      </c>
    </row>
    <row r="38257" spans="1:10" x14ac:dyDescent="0.25">
      <c r="A38257" t="s">
        <v>398</v>
      </c>
      <c r="B38257" s="1" t="str">
        <f>HYPERLINK("http://vv-vaihtoautokeskus.fi","vv-vaihtoautokeskus.fi")</f>
        <v>vv-vaihtoautokeskus.fi</v>
      </c>
      <c r="C38257" t="s">
        <v>445</v>
      </c>
      <c r="D38257" t="s">
        <v>823</v>
      </c>
      <c r="J38257">
        <v>6</v>
      </c>
    </row>
    <row r="38258" spans="1:10" x14ac:dyDescent="0.25">
      <c r="A38258" t="s">
        <v>398</v>
      </c>
      <c r="B38258" s="1" t="str">
        <f>HYPERLINK("http://vv-vaihtoautokeskushelsinki.fi","vv-vaihtoautokeskushelsinki.fi")</f>
        <v>vv-vaihtoautokeskushelsinki.fi</v>
      </c>
      <c r="C38258" t="s">
        <v>445</v>
      </c>
      <c r="D38258" t="s">
        <v>823</v>
      </c>
      <c r="J38258">
        <v>6</v>
      </c>
    </row>
    <row r="38259" spans="1:10" x14ac:dyDescent="0.25">
      <c r="A38259" t="s">
        <v>398</v>
      </c>
      <c r="B38259" s="1" t="str">
        <f>HYPERLINK("http://vv-vaihtoautokeskusturku.fi","vv-vaihtoautokeskusturku.fi")</f>
        <v>vv-vaihtoautokeskusturku.fi</v>
      </c>
      <c r="C38259" t="s">
        <v>445</v>
      </c>
      <c r="D38259" t="s">
        <v>823</v>
      </c>
      <c r="J38259">
        <v>6</v>
      </c>
    </row>
    <row r="38260" spans="1:10" x14ac:dyDescent="0.25">
      <c r="A38260" t="s">
        <v>398</v>
      </c>
      <c r="B38260" s="1" t="str">
        <f>HYPERLINK("http://vvauto.fi","vvauto.fi")</f>
        <v>vvauto.fi</v>
      </c>
      <c r="C38260" t="s">
        <v>445</v>
      </c>
      <c r="D38260" t="s">
        <v>823</v>
      </c>
      <c r="J38260">
        <v>6</v>
      </c>
    </row>
    <row r="38261" spans="1:10" x14ac:dyDescent="0.25">
      <c r="A38261" t="s">
        <v>398</v>
      </c>
      <c r="B38261" s="1" t="str">
        <f>HYPERLINK("http://vw.fi","vw.fi")</f>
        <v>vw.fi</v>
      </c>
      <c r="C38261" t="s">
        <v>445</v>
      </c>
      <c r="D38261" t="s">
        <v>823</v>
      </c>
      <c r="F38261">
        <v>4.60396444002529E-9</v>
      </c>
      <c r="G38261">
        <v>47305157</v>
      </c>
      <c r="H38261">
        <v>8400403</v>
      </c>
      <c r="I38261">
        <v>73266907</v>
      </c>
      <c r="J38261">
        <v>6</v>
      </c>
    </row>
    <row r="38262" spans="1:10" x14ac:dyDescent="0.25">
      <c r="A38262" t="s">
        <v>398</v>
      </c>
      <c r="B38262" s="1" t="str">
        <f>HYPERLINK("http://vw-transporter.fi","vw-transporter.fi")</f>
        <v>vw-transporter.fi</v>
      </c>
      <c r="C38262" t="s">
        <v>445</v>
      </c>
      <c r="D38262" t="s">
        <v>823</v>
      </c>
      <c r="J38262">
        <v>9</v>
      </c>
    </row>
    <row r="38263" spans="1:10" x14ac:dyDescent="0.25">
      <c r="A38263" t="s">
        <v>398</v>
      </c>
      <c r="B38263" s="1" t="str">
        <f>HYPERLINK("http://vwhytyautot.fi","vwhytyautot.fi")</f>
        <v>vwhytyautot.fi</v>
      </c>
      <c r="C38263" t="s">
        <v>445</v>
      </c>
      <c r="D38263" t="s">
        <v>823</v>
      </c>
      <c r="J38263">
        <v>8</v>
      </c>
    </row>
    <row r="38264" spans="1:10" x14ac:dyDescent="0.25">
      <c r="A38264" t="s">
        <v>398</v>
      </c>
      <c r="B38264" s="1" t="str">
        <f>HYPERLINK("http://vwid.fi","vwid.fi")</f>
        <v>vwid.fi</v>
      </c>
      <c r="C38264" t="s">
        <v>445</v>
      </c>
      <c r="D38264" t="s">
        <v>823</v>
      </c>
      <c r="J38264">
        <v>8</v>
      </c>
    </row>
    <row r="38265" spans="1:10" x14ac:dyDescent="0.25">
      <c r="A38265" t="s">
        <v>398</v>
      </c>
      <c r="B38265" s="1" t="str">
        <f>HYPERLINK("http://vwtb.fi","vwtb.fi")</f>
        <v>vwtb.fi</v>
      </c>
      <c r="C38265" t="s">
        <v>445</v>
      </c>
      <c r="D38265" t="s">
        <v>823</v>
      </c>
      <c r="J38265">
        <v>2</v>
      </c>
    </row>
    <row r="38266" spans="1:10" x14ac:dyDescent="0.25">
      <c r="A38266" t="s">
        <v>398</v>
      </c>
      <c r="B38266" s="1" t="str">
        <f>HYPERLINK("http://we-by-volkswagen.fi","we-by-volkswagen.fi")</f>
        <v>we-by-volkswagen.fi</v>
      </c>
      <c r="C38266" t="s">
        <v>445</v>
      </c>
      <c r="D38266" t="s">
        <v>823</v>
      </c>
      <c r="J38266">
        <v>2</v>
      </c>
    </row>
    <row r="38267" spans="1:10" x14ac:dyDescent="0.25">
      <c r="A38267" t="s">
        <v>398</v>
      </c>
      <c r="B38267" s="1" t="str">
        <f>HYPERLINK("http://webyvolkswagen.fi","webyvolkswagen.fi")</f>
        <v>webyvolkswagen.fi</v>
      </c>
      <c r="C38267" t="s">
        <v>445</v>
      </c>
      <c r="D38267" t="s">
        <v>823</v>
      </c>
      <c r="J38267">
        <v>2</v>
      </c>
    </row>
    <row r="38268" spans="1:10" x14ac:dyDescent="0.25">
      <c r="A38268" t="s">
        <v>398</v>
      </c>
      <c r="B38268" s="1" t="str">
        <f>HYPERLINK("http://welovecycling.fi","welovecycling.fi")</f>
        <v>welovecycling.fi</v>
      </c>
      <c r="C38268" t="s">
        <v>445</v>
      </c>
      <c r="D38268" t="s">
        <v>823</v>
      </c>
      <c r="J38268">
        <v>4</v>
      </c>
    </row>
    <row r="38269" spans="1:10" x14ac:dyDescent="0.25">
      <c r="A38269" t="s">
        <v>398</v>
      </c>
      <c r="B38269" s="1" t="str">
        <f>HYPERLINK("http://yritysautovalitsin.fi","yritysautovalitsin.fi")</f>
        <v>yritysautovalitsin.fi</v>
      </c>
      <c r="C38269" t="s">
        <v>445</v>
      </c>
      <c r="D38269" t="s">
        <v>823</v>
      </c>
      <c r="J38269">
        <v>9</v>
      </c>
    </row>
    <row r="38270" spans="1:10" x14ac:dyDescent="0.25">
      <c r="A38270" t="s">
        <v>398</v>
      </c>
      <c r="B38270" s="1" t="str">
        <f>HYPERLINK("http://audi.com.fj","audi.com.fj")</f>
        <v>audi.com.fj</v>
      </c>
      <c r="C38270" t="s">
        <v>636</v>
      </c>
      <c r="D38270" t="s">
        <v>957</v>
      </c>
      <c r="F38270">
        <v>4.9339029957384997E-9</v>
      </c>
      <c r="G38270">
        <v>31267120</v>
      </c>
      <c r="H38270">
        <v>10594761</v>
      </c>
      <c r="I38270">
        <v>45259933</v>
      </c>
      <c r="J38270">
        <v>4</v>
      </c>
    </row>
    <row r="38271" spans="1:10" x14ac:dyDescent="0.25">
      <c r="A38271" t="s">
        <v>398</v>
      </c>
      <c r="B38271" s="1" t="str">
        <f>HYPERLINK("http://audi.fm","audi.fm")</f>
        <v>audi.fm</v>
      </c>
      <c r="C38271" t="s">
        <v>528</v>
      </c>
      <c r="D38271" t="s">
        <v>894</v>
      </c>
      <c r="F38271">
        <v>5.33380494831857E-9</v>
      </c>
      <c r="G38271">
        <v>23016443</v>
      </c>
      <c r="H38271">
        <v>10594764</v>
      </c>
      <c r="I38271">
        <v>45259652</v>
      </c>
      <c r="J38271">
        <v>4</v>
      </c>
    </row>
    <row r="38272" spans="1:10" x14ac:dyDescent="0.25">
      <c r="A38272" t="s">
        <v>398</v>
      </c>
      <c r="B38272" s="1" t="str">
        <f>HYPERLINK("http://abvv.fr","abvv.fr")</f>
        <v>abvv.fr</v>
      </c>
      <c r="C38272" t="s">
        <v>446</v>
      </c>
      <c r="D38272" t="s">
        <v>824</v>
      </c>
      <c r="F38272">
        <v>8.3122023682815595E-9</v>
      </c>
      <c r="G38272">
        <v>9229493</v>
      </c>
      <c r="H38272">
        <v>12077248</v>
      </c>
      <c r="I38272">
        <v>26625697</v>
      </c>
      <c r="J38272">
        <v>4</v>
      </c>
    </row>
    <row r="38273" spans="1:10" x14ac:dyDescent="0.25">
      <c r="A38273" t="s">
        <v>398</v>
      </c>
      <c r="B38273" s="1" t="str">
        <f>HYPERLINK("http://audi.fr","audi.fr")</f>
        <v>audi.fr</v>
      </c>
      <c r="C38273" t="s">
        <v>446</v>
      </c>
      <c r="D38273" t="s">
        <v>824</v>
      </c>
      <c r="E38273">
        <v>258430</v>
      </c>
      <c r="F38273">
        <v>2.36617856983273E-7</v>
      </c>
      <c r="G38273">
        <v>158314</v>
      </c>
      <c r="H38273">
        <v>14434055</v>
      </c>
      <c r="I38273">
        <v>1070347</v>
      </c>
      <c r="J38273">
        <v>4</v>
      </c>
    </row>
    <row r="38274" spans="1:10" x14ac:dyDescent="0.25">
      <c r="A38274" t="s">
        <v>398</v>
      </c>
      <c r="B38274" s="1" t="str">
        <f>HYPERLINK("http://audi-chalons.fr","audi-chalons.fr")</f>
        <v>audi-chalons.fr</v>
      </c>
      <c r="C38274" t="s">
        <v>446</v>
      </c>
      <c r="D38274" t="s">
        <v>824</v>
      </c>
      <c r="J38274">
        <v>4</v>
      </c>
    </row>
    <row r="38275" spans="1:10" x14ac:dyDescent="0.25">
      <c r="A38275" t="s">
        <v>398</v>
      </c>
      <c r="B38275" s="1" t="str">
        <f>HYPERLINK("http://audi-compiegne.fr","audi-compiegne.fr")</f>
        <v>audi-compiegne.fr</v>
      </c>
      <c r="C38275" t="s">
        <v>446</v>
      </c>
      <c r="D38275" t="s">
        <v>824</v>
      </c>
      <c r="F38275">
        <v>5.82237918058656E-9</v>
      </c>
      <c r="G38275">
        <v>17920370</v>
      </c>
      <c r="H38275">
        <v>10694579</v>
      </c>
      <c r="I38275">
        <v>42414885</v>
      </c>
      <c r="J38275">
        <v>4</v>
      </c>
    </row>
    <row r="38276" spans="1:10" x14ac:dyDescent="0.25">
      <c r="A38276" t="s">
        <v>398</v>
      </c>
      <c r="B38276" s="1" t="str">
        <f>HYPERLINK("http://audi-lille.fr","audi-lille.fr")</f>
        <v>audi-lille.fr</v>
      </c>
      <c r="C38276" t="s">
        <v>446</v>
      </c>
      <c r="D38276" t="s">
        <v>824</v>
      </c>
      <c r="F38276">
        <v>1.45772762946819E-8</v>
      </c>
      <c r="G38276">
        <v>3985014</v>
      </c>
      <c r="H38276">
        <v>10755552</v>
      </c>
      <c r="I38276">
        <v>39802635</v>
      </c>
      <c r="J38276">
        <v>4</v>
      </c>
    </row>
    <row r="38277" spans="1:10" x14ac:dyDescent="0.25">
      <c r="A38277" t="s">
        <v>398</v>
      </c>
      <c r="B38277" s="1" t="str">
        <f>HYPERLINK("http://audi-poitiers.fr","audi-poitiers.fr")</f>
        <v>audi-poitiers.fr</v>
      </c>
      <c r="C38277" t="s">
        <v>446</v>
      </c>
      <c r="D38277" t="s">
        <v>824</v>
      </c>
      <c r="F38277">
        <v>5.7101952228937203E-9</v>
      </c>
      <c r="G38277">
        <v>18836565</v>
      </c>
      <c r="H38277">
        <v>10723331</v>
      </c>
      <c r="I38277">
        <v>41511935</v>
      </c>
      <c r="J38277">
        <v>4</v>
      </c>
    </row>
    <row r="38278" spans="1:10" x14ac:dyDescent="0.25">
      <c r="A38278" t="s">
        <v>398</v>
      </c>
      <c r="B38278" s="1" t="str">
        <f>HYPERLINK("http://audi-pontarlier.fr","audi-pontarlier.fr")</f>
        <v>audi-pontarlier.fr</v>
      </c>
      <c r="C38278" t="s">
        <v>446</v>
      </c>
      <c r="D38278" t="s">
        <v>824</v>
      </c>
      <c r="F38278">
        <v>5.54284864426116E-9</v>
      </c>
      <c r="G38278">
        <v>20449283</v>
      </c>
      <c r="H38278">
        <v>10694503</v>
      </c>
      <c r="I38278">
        <v>42415998</v>
      </c>
      <c r="J38278">
        <v>4</v>
      </c>
    </row>
    <row r="38279" spans="1:10" x14ac:dyDescent="0.25">
      <c r="A38279" t="s">
        <v>398</v>
      </c>
      <c r="B38279" s="1" t="str">
        <f>HYPERLINK("http://audi-reims.fr","audi-reims.fr")</f>
        <v>audi-reims.fr</v>
      </c>
      <c r="C38279" t="s">
        <v>446</v>
      </c>
      <c r="D38279" t="s">
        <v>824</v>
      </c>
      <c r="F38279">
        <v>6.0027874849496598E-9</v>
      </c>
      <c r="G38279">
        <v>16666067</v>
      </c>
      <c r="H38279">
        <v>10962209</v>
      </c>
      <c r="I38279">
        <v>34303637</v>
      </c>
      <c r="J38279">
        <v>4</v>
      </c>
    </row>
    <row r="38280" spans="1:10" x14ac:dyDescent="0.25">
      <c r="A38280" t="s">
        <v>398</v>
      </c>
      <c r="B38280" s="1" t="str">
        <f>HYPERLINK("http://audi-rennes.fr","audi-rennes.fr")</f>
        <v>audi-rennes.fr</v>
      </c>
      <c r="C38280" t="s">
        <v>446</v>
      </c>
      <c r="D38280" t="s">
        <v>824</v>
      </c>
      <c r="F38280">
        <v>1.4063111037644899E-8</v>
      </c>
      <c r="G38280">
        <v>4179230</v>
      </c>
      <c r="H38280">
        <v>11073520</v>
      </c>
      <c r="I38280">
        <v>32541780</v>
      </c>
      <c r="J38280">
        <v>4</v>
      </c>
    </row>
    <row r="38281" spans="1:10" x14ac:dyDescent="0.25">
      <c r="A38281" t="s">
        <v>398</v>
      </c>
      <c r="B38281" s="1" t="str">
        <f>HYPERLINK("http://audi-vert-saint-denis.fr","audi-vert-saint-denis.fr")</f>
        <v>audi-vert-saint-denis.fr</v>
      </c>
      <c r="C38281" t="s">
        <v>446</v>
      </c>
      <c r="D38281" t="s">
        <v>824</v>
      </c>
      <c r="F38281">
        <v>5.8166810395143204E-9</v>
      </c>
      <c r="G38281">
        <v>17962226</v>
      </c>
      <c r="H38281">
        <v>10694642</v>
      </c>
      <c r="I38281">
        <v>42414056</v>
      </c>
      <c r="J38281">
        <v>4</v>
      </c>
    </row>
    <row r="38282" spans="1:10" x14ac:dyDescent="0.25">
      <c r="A38282" t="s">
        <v>398</v>
      </c>
      <c r="B38282" s="1" t="str">
        <f>HYPERLINK("http://automobiles-champenoises.fr","automobiles-champenoises.fr")</f>
        <v>automobiles-champenoises.fr</v>
      </c>
      <c r="C38282" t="s">
        <v>446</v>
      </c>
      <c r="D38282" t="s">
        <v>824</v>
      </c>
      <c r="F38282">
        <v>4.4439479828960299E-9</v>
      </c>
      <c r="G38282">
        <v>77830691</v>
      </c>
      <c r="H38282">
        <v>8422531</v>
      </c>
      <c r="I38282">
        <v>72842075</v>
      </c>
      <c r="J38282">
        <v>4</v>
      </c>
    </row>
    <row r="38283" spans="1:10" x14ac:dyDescent="0.25">
      <c r="A38283" t="s">
        <v>398</v>
      </c>
      <c r="B38283" s="1" t="str">
        <f>HYPERLINK("http://automobiles-duhau.fr","automobiles-duhau.fr")</f>
        <v>automobiles-duhau.fr</v>
      </c>
      <c r="C38283" t="s">
        <v>446</v>
      </c>
      <c r="D38283" t="s">
        <v>824</v>
      </c>
      <c r="F38283">
        <v>1.2958322444733399E-8</v>
      </c>
      <c r="G38283">
        <v>4651821</v>
      </c>
      <c r="H38283">
        <v>10622385</v>
      </c>
      <c r="I38283">
        <v>44197993</v>
      </c>
      <c r="J38283">
        <v>3</v>
      </c>
    </row>
    <row r="38284" spans="1:10" x14ac:dyDescent="0.25">
      <c r="A38284" t="s">
        <v>398</v>
      </c>
      <c r="B38284" s="1" t="str">
        <f>HYPERLINK("http://bauerparis.fr","bauerparis.fr")</f>
        <v>bauerparis.fr</v>
      </c>
      <c r="C38284" t="s">
        <v>446</v>
      </c>
      <c r="D38284" t="s">
        <v>824</v>
      </c>
      <c r="F38284">
        <v>1.7606320928601802E-8</v>
      </c>
      <c r="G38284">
        <v>3117540</v>
      </c>
      <c r="H38284">
        <v>13011710</v>
      </c>
      <c r="I38284">
        <v>12745520</v>
      </c>
      <c r="J38284">
        <v>4</v>
      </c>
    </row>
    <row r="38285" spans="1:10" x14ac:dyDescent="0.25">
      <c r="A38285" t="s">
        <v>398</v>
      </c>
      <c r="B38285" s="1" t="str">
        <f>HYPERLINK("http://car-automobiles.fr","car-automobiles.fr")</f>
        <v>car-automobiles.fr</v>
      </c>
      <c r="C38285" t="s">
        <v>446</v>
      </c>
      <c r="D38285" t="s">
        <v>824</v>
      </c>
      <c r="F38285">
        <v>2.6446368560019799E-8</v>
      </c>
      <c r="G38285">
        <v>1946887</v>
      </c>
      <c r="H38285">
        <v>14388411</v>
      </c>
      <c r="I38285">
        <v>1173089</v>
      </c>
      <c r="J38285">
        <v>4</v>
      </c>
    </row>
    <row r="38286" spans="1:10" x14ac:dyDescent="0.25">
      <c r="A38286" t="s">
        <v>398</v>
      </c>
      <c r="B38286" s="1" t="str">
        <f>HYPERLINK("http://centreporsche.fr","centreporsche.fr")</f>
        <v>centreporsche.fr</v>
      </c>
      <c r="C38286" t="s">
        <v>446</v>
      </c>
      <c r="D38286" t="s">
        <v>824</v>
      </c>
      <c r="F38286">
        <v>4.27396054010335E-8</v>
      </c>
      <c r="G38286">
        <v>1129547</v>
      </c>
      <c r="H38286">
        <v>14376058</v>
      </c>
      <c r="I38286">
        <v>1220398</v>
      </c>
      <c r="J38286">
        <v>3</v>
      </c>
    </row>
    <row r="38287" spans="1:10" x14ac:dyDescent="0.25">
      <c r="A38287" t="s">
        <v>398</v>
      </c>
      <c r="B38287" s="1" t="str">
        <f>HYPERLINK("http://ch-deboussac.fr","ch-deboussac.fr")</f>
        <v>ch-deboussac.fr</v>
      </c>
      <c r="C38287" t="s">
        <v>446</v>
      </c>
      <c r="D38287" t="s">
        <v>824</v>
      </c>
      <c r="F38287">
        <v>1.12924794277458E-8</v>
      </c>
      <c r="G38287">
        <v>5647775</v>
      </c>
      <c r="H38287">
        <v>12121961</v>
      </c>
      <c r="I38287">
        <v>25356571</v>
      </c>
      <c r="J38287">
        <v>4</v>
      </c>
    </row>
    <row r="38288" spans="1:10" x14ac:dyDescent="0.25">
      <c r="A38288" t="s">
        <v>398</v>
      </c>
      <c r="B38288" s="1" t="str">
        <f>HYPERLINK("http://cupraofficial.fr","cupraofficial.fr")</f>
        <v>cupraofficial.fr</v>
      </c>
      <c r="C38288" t="s">
        <v>446</v>
      </c>
      <c r="D38288" t="s">
        <v>824</v>
      </c>
      <c r="F38288">
        <v>4.5997573956572498E-8</v>
      </c>
      <c r="G38288">
        <v>1020641</v>
      </c>
      <c r="H38288">
        <v>13820551</v>
      </c>
      <c r="I38288">
        <v>6144697</v>
      </c>
      <c r="J38288">
        <v>4</v>
      </c>
    </row>
    <row r="38289" spans="1:10" x14ac:dyDescent="0.25">
      <c r="A38289" t="s">
        <v>398</v>
      </c>
      <c r="B38289" s="1" t="str">
        <f>HYPERLINK("http://ducati.fr","ducati.fr")</f>
        <v>ducati.fr</v>
      </c>
      <c r="C38289" t="s">
        <v>446</v>
      </c>
      <c r="D38289" t="s">
        <v>824</v>
      </c>
      <c r="F38289">
        <v>2.8939871660254299E-8</v>
      </c>
      <c r="G38289">
        <v>1778890</v>
      </c>
      <c r="H38289">
        <v>14291454</v>
      </c>
      <c r="I38289">
        <v>1365147</v>
      </c>
      <c r="J38289">
        <v>3</v>
      </c>
    </row>
    <row r="38290" spans="1:10" x14ac:dyDescent="0.25">
      <c r="A38290" t="s">
        <v>398</v>
      </c>
      <c r="B38290" s="1" t="str">
        <f>HYPERLINK("http://ducatilyon.fr","ducatilyon.fr")</f>
        <v>ducatilyon.fr</v>
      </c>
      <c r="C38290" t="s">
        <v>446</v>
      </c>
      <c r="D38290" t="s">
        <v>824</v>
      </c>
      <c r="F38290">
        <v>4.99636787410662E-9</v>
      </c>
      <c r="G38290">
        <v>29500829</v>
      </c>
      <c r="H38290">
        <v>10726883</v>
      </c>
      <c r="I38290">
        <v>41164337</v>
      </c>
      <c r="J38290">
        <v>4</v>
      </c>
    </row>
    <row r="38291" spans="1:10" x14ac:dyDescent="0.25">
      <c r="A38291" t="s">
        <v>398</v>
      </c>
      <c r="B38291" s="1" t="str">
        <f>HYPERLINK("http://espace3000.fr","espace3000.fr")</f>
        <v>espace3000.fr</v>
      </c>
      <c r="C38291" t="s">
        <v>446</v>
      </c>
      <c r="D38291" t="s">
        <v>824</v>
      </c>
      <c r="F38291">
        <v>1.01827916562734E-8</v>
      </c>
      <c r="G38291">
        <v>6563937</v>
      </c>
      <c r="H38291">
        <v>12397151</v>
      </c>
      <c r="I38291">
        <v>18893864</v>
      </c>
      <c r="J38291">
        <v>3</v>
      </c>
    </row>
    <row r="38292" spans="1:10" x14ac:dyDescent="0.25">
      <c r="A38292" t="s">
        <v>398</v>
      </c>
      <c r="B38292" s="1" t="str">
        <f>HYPERLINK("http://felineauto-barleduc.fr","felineauto-barleduc.fr")</f>
        <v>felineauto-barleduc.fr</v>
      </c>
      <c r="C38292" t="s">
        <v>446</v>
      </c>
      <c r="D38292" t="s">
        <v>824</v>
      </c>
      <c r="J38292">
        <v>3</v>
      </c>
    </row>
    <row r="38293" spans="1:10" x14ac:dyDescent="0.25">
      <c r="A38293" t="s">
        <v>398</v>
      </c>
      <c r="B38293" s="1" t="str">
        <f>HYPERLINK("http://garage-blet-volkswagen-rouen.fr","garage-blet-volkswagen-rouen.fr")</f>
        <v>garage-blet-volkswagen-rouen.fr</v>
      </c>
      <c r="C38293" t="s">
        <v>446</v>
      </c>
      <c r="D38293" t="s">
        <v>824</v>
      </c>
      <c r="F38293">
        <v>4.7973598941164699E-9</v>
      </c>
      <c r="G38293">
        <v>36190617</v>
      </c>
      <c r="H38293">
        <v>10961420</v>
      </c>
      <c r="I38293">
        <v>34322313</v>
      </c>
      <c r="J38293">
        <v>3</v>
      </c>
    </row>
    <row r="38294" spans="1:10" x14ac:dyDescent="0.25">
      <c r="A38294" t="s">
        <v>398</v>
      </c>
      <c r="B38294" s="1" t="str">
        <f>HYPERLINK("http://garage-des-sports.fr","garage-des-sports.fr")</f>
        <v>garage-des-sports.fr</v>
      </c>
      <c r="C38294" t="s">
        <v>446</v>
      </c>
      <c r="D38294" t="s">
        <v>824</v>
      </c>
      <c r="F38294">
        <v>6.3579438997712003E-9</v>
      </c>
      <c r="G38294">
        <v>14722839</v>
      </c>
      <c r="H38294">
        <v>12105422</v>
      </c>
      <c r="I38294">
        <v>25838251</v>
      </c>
      <c r="J38294">
        <v>4</v>
      </c>
    </row>
    <row r="38295" spans="1:10" x14ac:dyDescent="0.25">
      <c r="A38295" t="s">
        <v>398</v>
      </c>
      <c r="B38295" s="1" t="str">
        <f>HYPERLINK("http://garage-saint-christophe-brest.fr","garage-saint-christophe-brest.fr")</f>
        <v>garage-saint-christophe-brest.fr</v>
      </c>
      <c r="C38295" t="s">
        <v>446</v>
      </c>
      <c r="D38295" t="s">
        <v>824</v>
      </c>
      <c r="F38295">
        <v>6.7280016270999701E-9</v>
      </c>
      <c r="G38295">
        <v>13203971</v>
      </c>
      <c r="H38295">
        <v>12981803</v>
      </c>
      <c r="I38295">
        <v>12946777</v>
      </c>
      <c r="J38295">
        <v>3</v>
      </c>
    </row>
    <row r="38296" spans="1:10" x14ac:dyDescent="0.25">
      <c r="A38296" t="s">
        <v>398</v>
      </c>
      <c r="B38296" s="1" t="str">
        <f>HYPERLINK("http://garagedelattre-stomer.fr","garagedelattre-stomer.fr")</f>
        <v>garagedelattre-stomer.fr</v>
      </c>
      <c r="C38296" t="s">
        <v>446</v>
      </c>
      <c r="D38296" t="s">
        <v>824</v>
      </c>
      <c r="F38296">
        <v>4.9572934688950098E-9</v>
      </c>
      <c r="G38296">
        <v>30585430</v>
      </c>
      <c r="H38296">
        <v>10508617</v>
      </c>
      <c r="I38296">
        <v>50239749</v>
      </c>
      <c r="J38296">
        <v>3</v>
      </c>
    </row>
    <row r="38297" spans="1:10" x14ac:dyDescent="0.25">
      <c r="A38297" t="s">
        <v>398</v>
      </c>
      <c r="B38297" s="1" t="str">
        <f>HYPERLINK("http://groupe-polmar.fr","groupe-polmar.fr")</f>
        <v>groupe-polmar.fr</v>
      </c>
      <c r="C38297" t="s">
        <v>446</v>
      </c>
      <c r="D38297" t="s">
        <v>824</v>
      </c>
      <c r="F38297">
        <v>9.7335403929414201E-9</v>
      </c>
      <c r="G38297">
        <v>7042460</v>
      </c>
      <c r="H38297">
        <v>10985973</v>
      </c>
      <c r="I38297">
        <v>33822484</v>
      </c>
      <c r="J38297">
        <v>4</v>
      </c>
    </row>
    <row r="38298" spans="1:10" x14ac:dyDescent="0.25">
      <c r="A38298" t="s">
        <v>398</v>
      </c>
      <c r="B38298" s="1" t="str">
        <f>HYPERLINK("http://honore.fr","honore.fr")</f>
        <v>honore.fr</v>
      </c>
      <c r="C38298" t="s">
        <v>446</v>
      </c>
      <c r="D38298" t="s">
        <v>824</v>
      </c>
      <c r="F38298">
        <v>7.7410261935288798E-9</v>
      </c>
      <c r="G38298">
        <v>10484883</v>
      </c>
      <c r="H38298">
        <v>12987679</v>
      </c>
      <c r="I38298">
        <v>12882393</v>
      </c>
      <c r="J38298">
        <v>4</v>
      </c>
    </row>
    <row r="38299" spans="1:10" x14ac:dyDescent="0.25">
      <c r="A38299" t="s">
        <v>398</v>
      </c>
      <c r="B38299" s="1" t="str">
        <f>HYPERLINK("http://jeanlagarde-bergerac.fr","jeanlagarde-bergerac.fr")</f>
        <v>jeanlagarde-bergerac.fr</v>
      </c>
      <c r="C38299" t="s">
        <v>446</v>
      </c>
      <c r="D38299" t="s">
        <v>824</v>
      </c>
      <c r="F38299">
        <v>5.1315632716056704E-9</v>
      </c>
      <c r="G38299">
        <v>26427278</v>
      </c>
      <c r="H38299">
        <v>10508965</v>
      </c>
      <c r="I38299">
        <v>49946131</v>
      </c>
      <c r="J38299">
        <v>3</v>
      </c>
    </row>
    <row r="38300" spans="1:10" x14ac:dyDescent="0.25">
      <c r="A38300" t="s">
        <v>398</v>
      </c>
      <c r="B38300" s="1" t="str">
        <f>HYPERLINK("http://jeanrouyerautomobiles.fr","jeanrouyerautomobiles.fr")</f>
        <v>jeanrouyerautomobiles.fr</v>
      </c>
      <c r="C38300" t="s">
        <v>446</v>
      </c>
      <c r="D38300" t="s">
        <v>824</v>
      </c>
      <c r="F38300">
        <v>1.84735345500565E-8</v>
      </c>
      <c r="G38300">
        <v>2930660</v>
      </c>
      <c r="H38300">
        <v>12507240</v>
      </c>
      <c r="I38300">
        <v>17272671</v>
      </c>
      <c r="J38300">
        <v>3</v>
      </c>
    </row>
    <row r="38301" spans="1:10" x14ac:dyDescent="0.25">
      <c r="A38301" t="s">
        <v>398</v>
      </c>
      <c r="B38301" s="1" t="str">
        <f>HYPERLINK("http://lagardesarlat.fr","lagardesarlat.fr")</f>
        <v>lagardesarlat.fr</v>
      </c>
      <c r="C38301" t="s">
        <v>446</v>
      </c>
      <c r="D38301" t="s">
        <v>824</v>
      </c>
      <c r="F38301">
        <v>5.1876895871360496E-9</v>
      </c>
      <c r="G38301">
        <v>25376540</v>
      </c>
      <c r="H38301">
        <v>12137300</v>
      </c>
      <c r="I38301">
        <v>24940380</v>
      </c>
      <c r="J38301">
        <v>3</v>
      </c>
    </row>
    <row r="38302" spans="1:10" x14ac:dyDescent="0.25">
      <c r="A38302" t="s">
        <v>398</v>
      </c>
      <c r="B38302" s="1" t="str">
        <f>HYPERLINK("http://lelannier-automobiles-landerneau.fr","lelannier-automobiles-landerneau.fr")</f>
        <v>lelannier-automobiles-landerneau.fr</v>
      </c>
      <c r="C38302" t="s">
        <v>446</v>
      </c>
      <c r="D38302" t="s">
        <v>824</v>
      </c>
      <c r="F38302">
        <v>6.4124836889527301E-9</v>
      </c>
      <c r="G38302">
        <v>14459731</v>
      </c>
      <c r="H38302">
        <v>12981891</v>
      </c>
      <c r="I38302">
        <v>12945034</v>
      </c>
      <c r="J38302">
        <v>3</v>
      </c>
    </row>
    <row r="38303" spans="1:10" x14ac:dyDescent="0.25">
      <c r="A38303" t="s">
        <v>398</v>
      </c>
      <c r="B38303" s="1" t="str">
        <f>HYPERLINK("http://man.fr","man.fr")</f>
        <v>man.fr</v>
      </c>
      <c r="C38303" t="s">
        <v>446</v>
      </c>
      <c r="D38303" t="s">
        <v>824</v>
      </c>
      <c r="F38303">
        <v>1.58845345372235E-8</v>
      </c>
      <c r="G38303">
        <v>3576694</v>
      </c>
      <c r="H38303">
        <v>14072078</v>
      </c>
      <c r="I38303">
        <v>3172290</v>
      </c>
      <c r="J38303">
        <v>3</v>
      </c>
    </row>
    <row r="38304" spans="1:10" x14ac:dyDescent="0.25">
      <c r="A38304" t="s">
        <v>398</v>
      </c>
      <c r="B38304" s="1" t="str">
        <f>HYPERLINK("http://odyssee-automobiles-lorient.fr","odyssee-automobiles-lorient.fr")</f>
        <v>odyssee-automobiles-lorient.fr</v>
      </c>
      <c r="C38304" t="s">
        <v>446</v>
      </c>
      <c r="D38304" t="s">
        <v>824</v>
      </c>
      <c r="F38304">
        <v>7.5109664786199697E-9</v>
      </c>
      <c r="G38304">
        <v>10989309</v>
      </c>
      <c r="H38304">
        <v>10751270</v>
      </c>
      <c r="I38304">
        <v>40042939</v>
      </c>
      <c r="J38304">
        <v>3</v>
      </c>
    </row>
    <row r="38305" spans="1:10" x14ac:dyDescent="0.25">
      <c r="A38305" t="s">
        <v>398</v>
      </c>
      <c r="B38305" s="1" t="str">
        <f>HYPERLINK("http://paybyphone.fr","paybyphone.fr")</f>
        <v>paybyphone.fr</v>
      </c>
      <c r="C38305" t="s">
        <v>446</v>
      </c>
      <c r="D38305" t="s">
        <v>824</v>
      </c>
      <c r="F38305">
        <v>1.31297384285237E-7</v>
      </c>
      <c r="G38305">
        <v>297858</v>
      </c>
      <c r="H38305">
        <v>14161400</v>
      </c>
      <c r="I38305">
        <v>1835557</v>
      </c>
      <c r="J38305">
        <v>3</v>
      </c>
    </row>
    <row r="38306" spans="1:10" x14ac:dyDescent="0.25">
      <c r="A38306" t="s">
        <v>398</v>
      </c>
      <c r="B38306" s="1" t="str">
        <f>HYPERLINK("http://porsche.fr","porsche.fr")</f>
        <v>porsche.fr</v>
      </c>
      <c r="C38306" t="s">
        <v>446</v>
      </c>
      <c r="D38306" t="s">
        <v>824</v>
      </c>
      <c r="F38306">
        <v>1.360391365719E-8</v>
      </c>
      <c r="G38306">
        <v>4360212</v>
      </c>
      <c r="H38306">
        <v>12888465</v>
      </c>
      <c r="I38306">
        <v>13947080</v>
      </c>
      <c r="J38306">
        <v>4</v>
      </c>
    </row>
    <row r="38307" spans="1:10" x14ac:dyDescent="0.25">
      <c r="A38307" t="s">
        <v>398</v>
      </c>
      <c r="B38307" s="1" t="str">
        <f>HYPERLINK("http://prestige-auto-stbrieuc.fr","prestige-auto-stbrieuc.fr")</f>
        <v>prestige-auto-stbrieuc.fr</v>
      </c>
      <c r="C38307" t="s">
        <v>446</v>
      </c>
      <c r="D38307" t="s">
        <v>824</v>
      </c>
      <c r="F38307">
        <v>8.2021392700212104E-9</v>
      </c>
      <c r="G38307">
        <v>9567618</v>
      </c>
      <c r="H38307">
        <v>10847266</v>
      </c>
      <c r="I38307">
        <v>36932830</v>
      </c>
      <c r="J38307">
        <v>4</v>
      </c>
    </row>
    <row r="38308" spans="1:10" x14ac:dyDescent="0.25">
      <c r="A38308" t="s">
        <v>398</v>
      </c>
      <c r="B38308" s="1" t="str">
        <f>HYPERLINK("http://renault-nanterre.fr","renault-nanterre.fr")</f>
        <v>renault-nanterre.fr</v>
      </c>
      <c r="C38308" t="s">
        <v>446</v>
      </c>
      <c r="D38308" t="s">
        <v>824</v>
      </c>
      <c r="F38308">
        <v>4.5665746791862603E-9</v>
      </c>
      <c r="G38308">
        <v>50520290</v>
      </c>
      <c r="H38308">
        <v>8499917</v>
      </c>
      <c r="I38308">
        <v>72028384</v>
      </c>
      <c r="J38308">
        <v>8</v>
      </c>
    </row>
    <row r="38309" spans="1:10" x14ac:dyDescent="0.25">
      <c r="A38309" t="s">
        <v>398</v>
      </c>
      <c r="B38309" s="1" t="str">
        <f>HYPERLINK("http://scania.fr","scania.fr")</f>
        <v>scania.fr</v>
      </c>
      <c r="C38309" t="s">
        <v>446</v>
      </c>
      <c r="D38309" t="s">
        <v>824</v>
      </c>
      <c r="F38309">
        <v>1.94894738296939E-8</v>
      </c>
      <c r="G38309">
        <v>2746007</v>
      </c>
      <c r="H38309">
        <v>14074114</v>
      </c>
      <c r="I38309">
        <v>2956130</v>
      </c>
      <c r="J38309">
        <v>3</v>
      </c>
    </row>
    <row r="38310" spans="1:10" x14ac:dyDescent="0.25">
      <c r="A38310" t="s">
        <v>398</v>
      </c>
      <c r="B38310" s="1" t="str">
        <f>HYPERLINK("http://seat.fr","seat.fr")</f>
        <v>seat.fr</v>
      </c>
      <c r="C38310" t="s">
        <v>446</v>
      </c>
      <c r="D38310" t="s">
        <v>824</v>
      </c>
      <c r="E38310">
        <v>706546</v>
      </c>
      <c r="F38310">
        <v>1.5313741130805801E-7</v>
      </c>
      <c r="G38310">
        <v>253643</v>
      </c>
      <c r="H38310">
        <v>14411608</v>
      </c>
      <c r="I38310">
        <v>1143528</v>
      </c>
      <c r="J38310">
        <v>4</v>
      </c>
    </row>
    <row r="38311" spans="1:10" x14ac:dyDescent="0.25">
      <c r="A38311" t="s">
        <v>398</v>
      </c>
      <c r="B38311" s="1" t="str">
        <f>HYPERLINK("http://seat-charleville.fr","seat-charleville.fr")</f>
        <v>seat-charleville.fr</v>
      </c>
      <c r="C38311" t="s">
        <v>446</v>
      </c>
      <c r="D38311" t="s">
        <v>824</v>
      </c>
      <c r="J38311">
        <v>4</v>
      </c>
    </row>
    <row r="38312" spans="1:10" x14ac:dyDescent="0.25">
      <c r="A38312" t="s">
        <v>398</v>
      </c>
      <c r="B38312" s="1" t="str">
        <f>HYPERLINK("http://seat-mediacenter.fr","seat-mediacenter.fr")</f>
        <v>seat-mediacenter.fr</v>
      </c>
      <c r="C38312" t="s">
        <v>446</v>
      </c>
      <c r="D38312" t="s">
        <v>824</v>
      </c>
      <c r="F38312">
        <v>2.3384923321469199E-8</v>
      </c>
      <c r="G38312">
        <v>2227533</v>
      </c>
      <c r="H38312">
        <v>14077394</v>
      </c>
      <c r="I38312">
        <v>2866422</v>
      </c>
      <c r="J38312">
        <v>4</v>
      </c>
    </row>
    <row r="38313" spans="1:10" x14ac:dyDescent="0.25">
      <c r="A38313" t="s">
        <v>398</v>
      </c>
      <c r="B38313" s="1" t="str">
        <f>HYPERLINK("http://skoda.fr","skoda.fr")</f>
        <v>skoda.fr</v>
      </c>
      <c r="C38313" t="s">
        <v>446</v>
      </c>
      <c r="D38313" t="s">
        <v>824</v>
      </c>
      <c r="E38313">
        <v>683991</v>
      </c>
      <c r="F38313">
        <v>9.22398385920673E-8</v>
      </c>
      <c r="G38313">
        <v>441307</v>
      </c>
      <c r="H38313">
        <v>14315569</v>
      </c>
      <c r="I38313">
        <v>1335952</v>
      </c>
      <c r="J38313">
        <v>4</v>
      </c>
    </row>
    <row r="38314" spans="1:10" x14ac:dyDescent="0.25">
      <c r="A38314" t="s">
        <v>398</v>
      </c>
      <c r="B38314" s="1" t="str">
        <f>HYPERLINK("http://skoda-amiens.fr","skoda-amiens.fr")</f>
        <v>skoda-amiens.fr</v>
      </c>
      <c r="C38314" t="s">
        <v>446</v>
      </c>
      <c r="D38314" t="s">
        <v>824</v>
      </c>
      <c r="F38314">
        <v>9.50833349065053E-9</v>
      </c>
      <c r="G38314">
        <v>7312712</v>
      </c>
      <c r="H38314">
        <v>10298419</v>
      </c>
      <c r="I38314">
        <v>58454467</v>
      </c>
      <c r="J38314">
        <v>4</v>
      </c>
    </row>
    <row r="38315" spans="1:10" x14ac:dyDescent="0.25">
      <c r="A38315" t="s">
        <v>398</v>
      </c>
      <c r="B38315" s="1" t="str">
        <f>HYPERLINK("http://skoda-boulogne.fr","skoda-boulogne.fr")</f>
        <v>skoda-boulogne.fr</v>
      </c>
      <c r="C38315" t="s">
        <v>446</v>
      </c>
      <c r="D38315" t="s">
        <v>824</v>
      </c>
      <c r="F38315">
        <v>4.7164178776489999E-9</v>
      </c>
      <c r="G38315">
        <v>40392248</v>
      </c>
      <c r="H38315">
        <v>8531236</v>
      </c>
      <c r="I38315">
        <v>71680593</v>
      </c>
      <c r="J38315">
        <v>4</v>
      </c>
    </row>
    <row r="38316" spans="1:10" x14ac:dyDescent="0.25">
      <c r="A38316" t="s">
        <v>398</v>
      </c>
      <c r="B38316" s="1" t="str">
        <f>HYPERLINK("http://skoda-chambourcy.fr","skoda-chambourcy.fr")</f>
        <v>skoda-chambourcy.fr</v>
      </c>
      <c r="C38316" t="s">
        <v>446</v>
      </c>
      <c r="D38316" t="s">
        <v>824</v>
      </c>
      <c r="F38316">
        <v>4.5665746791862603E-9</v>
      </c>
      <c r="G38316">
        <v>50520293</v>
      </c>
      <c r="H38316">
        <v>8499917</v>
      </c>
      <c r="I38316">
        <v>72028387</v>
      </c>
      <c r="J38316">
        <v>4</v>
      </c>
    </row>
    <row r="38317" spans="1:10" x14ac:dyDescent="0.25">
      <c r="A38317" t="s">
        <v>398</v>
      </c>
      <c r="B38317" s="1" t="str">
        <f>HYPERLINK("http://skoda-charleville.fr","skoda-charleville.fr")</f>
        <v>skoda-charleville.fr</v>
      </c>
      <c r="C38317" t="s">
        <v>446</v>
      </c>
      <c r="D38317" t="s">
        <v>824</v>
      </c>
      <c r="J38317">
        <v>4</v>
      </c>
    </row>
    <row r="38318" spans="1:10" x14ac:dyDescent="0.25">
      <c r="A38318" t="s">
        <v>398</v>
      </c>
      <c r="B38318" s="1" t="str">
        <f>HYPERLINK("http://skoda-douai.fr","skoda-douai.fr")</f>
        <v>skoda-douai.fr</v>
      </c>
      <c r="C38318" t="s">
        <v>446</v>
      </c>
      <c r="D38318" t="s">
        <v>824</v>
      </c>
      <c r="F38318">
        <v>9.7690793093594296E-9</v>
      </c>
      <c r="G38318">
        <v>7002406</v>
      </c>
      <c r="H38318">
        <v>10558971</v>
      </c>
      <c r="I38318">
        <v>46399295</v>
      </c>
      <c r="J38318">
        <v>4</v>
      </c>
    </row>
    <row r="38319" spans="1:10" x14ac:dyDescent="0.25">
      <c r="A38319" t="s">
        <v>398</v>
      </c>
      <c r="B38319" s="1" t="str">
        <f>HYPERLINK("http://skoda-dunkerque.fr","skoda-dunkerque.fr")</f>
        <v>skoda-dunkerque.fr</v>
      </c>
      <c r="C38319" t="s">
        <v>446</v>
      </c>
      <c r="D38319" t="s">
        <v>824</v>
      </c>
      <c r="F38319">
        <v>9.7253474710570705E-9</v>
      </c>
      <c r="G38319">
        <v>7051971</v>
      </c>
      <c r="H38319">
        <v>10298822</v>
      </c>
      <c r="I38319">
        <v>58452959</v>
      </c>
      <c r="J38319">
        <v>4</v>
      </c>
    </row>
    <row r="38320" spans="1:10" x14ac:dyDescent="0.25">
      <c r="A38320" t="s">
        <v>398</v>
      </c>
      <c r="B38320" s="1" t="str">
        <f>HYPERLINK("http://skoda-hazebrouck.fr","skoda-hazebrouck.fr")</f>
        <v>skoda-hazebrouck.fr</v>
      </c>
      <c r="C38320" t="s">
        <v>446</v>
      </c>
      <c r="D38320" t="s">
        <v>824</v>
      </c>
      <c r="F38320">
        <v>9.7253474360748596E-9</v>
      </c>
      <c r="G38320">
        <v>7051972</v>
      </c>
      <c r="H38320">
        <v>10298822</v>
      </c>
      <c r="I38320">
        <v>58452960</v>
      </c>
      <c r="J38320">
        <v>4</v>
      </c>
    </row>
    <row r="38321" spans="1:10" x14ac:dyDescent="0.25">
      <c r="A38321" t="s">
        <v>398</v>
      </c>
      <c r="B38321" s="1" t="str">
        <f>HYPERLINK("http://skoda-laval.fr","skoda-laval.fr")</f>
        <v>skoda-laval.fr</v>
      </c>
      <c r="C38321" t="s">
        <v>446</v>
      </c>
      <c r="D38321" t="s">
        <v>824</v>
      </c>
      <c r="F38321">
        <v>4.4854456372546199E-9</v>
      </c>
      <c r="G38321">
        <v>61311247</v>
      </c>
      <c r="H38321">
        <v>9313275</v>
      </c>
      <c r="I38321">
        <v>68382119</v>
      </c>
      <c r="J38321">
        <v>4</v>
      </c>
    </row>
    <row r="38322" spans="1:10" x14ac:dyDescent="0.25">
      <c r="A38322" t="s">
        <v>398</v>
      </c>
      <c r="B38322" s="1" t="str">
        <f>HYPERLINK("http://skoda-marseille.fr","skoda-marseille.fr")</f>
        <v>skoda-marseille.fr</v>
      </c>
      <c r="C38322" t="s">
        <v>446</v>
      </c>
      <c r="D38322" t="s">
        <v>824</v>
      </c>
      <c r="F38322">
        <v>4.6420043065344696E-9</v>
      </c>
      <c r="G38322">
        <v>44661079</v>
      </c>
      <c r="H38322">
        <v>10554301</v>
      </c>
      <c r="I38322">
        <v>46550562</v>
      </c>
      <c r="J38322">
        <v>4</v>
      </c>
    </row>
    <row r="38323" spans="1:10" x14ac:dyDescent="0.25">
      <c r="A38323" t="s">
        <v>398</v>
      </c>
      <c r="B38323" s="1" t="str">
        <f>HYPERLINK("http://skoda-montargis.fr","skoda-montargis.fr")</f>
        <v>skoda-montargis.fr</v>
      </c>
      <c r="C38323" t="s">
        <v>446</v>
      </c>
      <c r="D38323" t="s">
        <v>824</v>
      </c>
      <c r="F38323">
        <v>4.95871276734297E-9</v>
      </c>
      <c r="G38323">
        <v>30546767</v>
      </c>
      <c r="H38323">
        <v>8516077</v>
      </c>
      <c r="I38323">
        <v>71872928</v>
      </c>
      <c r="J38323">
        <v>4</v>
      </c>
    </row>
    <row r="38324" spans="1:10" x14ac:dyDescent="0.25">
      <c r="A38324" t="s">
        <v>398</v>
      </c>
      <c r="B38324" s="1" t="str">
        <f>HYPERLINK("http://skoda-mougins.fr","skoda-mougins.fr")</f>
        <v>skoda-mougins.fr</v>
      </c>
      <c r="C38324" t="s">
        <v>446</v>
      </c>
      <c r="D38324" t="s">
        <v>824</v>
      </c>
      <c r="F38324">
        <v>1.0094720534340801E-8</v>
      </c>
      <c r="G38324">
        <v>6654572</v>
      </c>
      <c r="H38324">
        <v>10301811</v>
      </c>
      <c r="I38324">
        <v>58442682</v>
      </c>
      <c r="J38324">
        <v>3</v>
      </c>
    </row>
    <row r="38325" spans="1:10" x14ac:dyDescent="0.25">
      <c r="A38325" t="s">
        <v>398</v>
      </c>
      <c r="B38325" s="1" t="str">
        <f>HYPERLINK("http://skoda-nancy.fr","skoda-nancy.fr")</f>
        <v>skoda-nancy.fr</v>
      </c>
      <c r="C38325" t="s">
        <v>446</v>
      </c>
      <c r="D38325" t="s">
        <v>824</v>
      </c>
      <c r="F38325">
        <v>9.6415756807759404E-9</v>
      </c>
      <c r="G38325">
        <v>7149452</v>
      </c>
      <c r="H38325">
        <v>10592610</v>
      </c>
      <c r="I38325">
        <v>45593216</v>
      </c>
      <c r="J38325">
        <v>4</v>
      </c>
    </row>
    <row r="38326" spans="1:10" x14ac:dyDescent="0.25">
      <c r="A38326" t="s">
        <v>398</v>
      </c>
      <c r="B38326" s="1" t="str">
        <f>HYPERLINK("http://skoda-nantes.fr","skoda-nantes.fr")</f>
        <v>skoda-nantes.fr</v>
      </c>
      <c r="C38326" t="s">
        <v>446</v>
      </c>
      <c r="D38326" t="s">
        <v>824</v>
      </c>
      <c r="F38326">
        <v>1.1766669475392101E-8</v>
      </c>
      <c r="G38326">
        <v>5322945</v>
      </c>
      <c r="H38326">
        <v>10968274</v>
      </c>
      <c r="I38326">
        <v>34177370</v>
      </c>
      <c r="J38326">
        <v>4</v>
      </c>
    </row>
    <row r="38327" spans="1:10" x14ac:dyDescent="0.25">
      <c r="A38327" t="s">
        <v>398</v>
      </c>
      <c r="B38327" s="1" t="str">
        <f>HYPERLINK("http://skoda-nice.fr","skoda-nice.fr")</f>
        <v>skoda-nice.fr</v>
      </c>
      <c r="C38327" t="s">
        <v>446</v>
      </c>
      <c r="D38327" t="s">
        <v>824</v>
      </c>
      <c r="F38327">
        <v>1.70353438712876E-8</v>
      </c>
      <c r="G38327">
        <v>3275177</v>
      </c>
      <c r="H38327">
        <v>13670785</v>
      </c>
      <c r="I38327">
        <v>9550323</v>
      </c>
      <c r="J38327">
        <v>4</v>
      </c>
    </row>
    <row r="38328" spans="1:10" x14ac:dyDescent="0.25">
      <c r="A38328" t="s">
        <v>398</v>
      </c>
      <c r="B38328" s="1" t="str">
        <f>HYPERLINK("http://skoda-poitiers.fr","skoda-poitiers.fr")</f>
        <v>skoda-poitiers.fr</v>
      </c>
      <c r="C38328" t="s">
        <v>446</v>
      </c>
      <c r="D38328" t="s">
        <v>824</v>
      </c>
      <c r="F38328">
        <v>4.5588337410555203E-9</v>
      </c>
      <c r="G38328">
        <v>51281384</v>
      </c>
      <c r="H38328">
        <v>10642539</v>
      </c>
      <c r="I38328">
        <v>43715704</v>
      </c>
      <c r="J38328">
        <v>4</v>
      </c>
    </row>
    <row r="38329" spans="1:10" x14ac:dyDescent="0.25">
      <c r="A38329" t="s">
        <v>398</v>
      </c>
      <c r="B38329" s="1" t="str">
        <f>HYPERLINK("http://skoda-reims.fr","skoda-reims.fr")</f>
        <v>skoda-reims.fr</v>
      </c>
      <c r="C38329" t="s">
        <v>446</v>
      </c>
      <c r="D38329" t="s">
        <v>824</v>
      </c>
      <c r="F38329">
        <v>1.2704528045992E-8</v>
      </c>
      <c r="G38329">
        <v>4777350</v>
      </c>
      <c r="H38329">
        <v>9489037</v>
      </c>
      <c r="I38329">
        <v>65883101</v>
      </c>
      <c r="J38329">
        <v>4</v>
      </c>
    </row>
    <row r="38330" spans="1:10" x14ac:dyDescent="0.25">
      <c r="A38330" t="s">
        <v>398</v>
      </c>
      <c r="B38330" s="1" t="str">
        <f>HYPERLINK("http://skoda-sarreguemines.fr","skoda-sarreguemines.fr")</f>
        <v>skoda-sarreguemines.fr</v>
      </c>
      <c r="C38330" t="s">
        <v>446</v>
      </c>
      <c r="D38330" t="s">
        <v>824</v>
      </c>
      <c r="F38330">
        <v>9.4908648092176908E-9</v>
      </c>
      <c r="G38330">
        <v>7333338</v>
      </c>
      <c r="H38330">
        <v>10298419</v>
      </c>
      <c r="I38330">
        <v>58454472</v>
      </c>
      <c r="J38330">
        <v>3</v>
      </c>
    </row>
    <row r="38331" spans="1:10" x14ac:dyDescent="0.25">
      <c r="A38331" t="s">
        <v>398</v>
      </c>
      <c r="B38331" s="1" t="str">
        <f>HYPERLINK("http://skoda-strasbourg.fr","skoda-strasbourg.fr")</f>
        <v>skoda-strasbourg.fr</v>
      </c>
      <c r="C38331" t="s">
        <v>446</v>
      </c>
      <c r="D38331" t="s">
        <v>824</v>
      </c>
      <c r="F38331">
        <v>1.01455691423182E-8</v>
      </c>
      <c r="G38331">
        <v>6601077</v>
      </c>
      <c r="H38331">
        <v>9504152</v>
      </c>
      <c r="I38331">
        <v>65670945</v>
      </c>
      <c r="J38331">
        <v>4</v>
      </c>
    </row>
    <row r="38332" spans="1:10" x14ac:dyDescent="0.25">
      <c r="A38332" t="s">
        <v>398</v>
      </c>
      <c r="B38332" s="1" t="str">
        <f>HYPERLINK("http://skoda-thionville.fr","skoda-thionville.fr")</f>
        <v>skoda-thionville.fr</v>
      </c>
      <c r="C38332" t="s">
        <v>446</v>
      </c>
      <c r="D38332" t="s">
        <v>824</v>
      </c>
      <c r="F38332">
        <v>9.9630248848278707E-9</v>
      </c>
      <c r="G38332">
        <v>6793034</v>
      </c>
      <c r="H38332">
        <v>10298500</v>
      </c>
      <c r="I38332">
        <v>58454148</v>
      </c>
      <c r="J38332">
        <v>4</v>
      </c>
    </row>
    <row r="38333" spans="1:10" x14ac:dyDescent="0.25">
      <c r="A38333" t="s">
        <v>398</v>
      </c>
      <c r="B38333" s="1" t="str">
        <f>HYPERLINK("http://skodaevreux.fr","skodaevreux.fr")</f>
        <v>skodaevreux.fr</v>
      </c>
      <c r="C38333" t="s">
        <v>446</v>
      </c>
      <c r="D38333" t="s">
        <v>824</v>
      </c>
      <c r="F38333">
        <v>5.4143372547286397E-9</v>
      </c>
      <c r="G38333">
        <v>21930567</v>
      </c>
      <c r="H38333">
        <v>10362747</v>
      </c>
      <c r="I38333">
        <v>55091404</v>
      </c>
      <c r="J38333">
        <v>4</v>
      </c>
    </row>
    <row r="38334" spans="1:10" x14ac:dyDescent="0.25">
      <c r="A38334" t="s">
        <v>398</v>
      </c>
      <c r="B38334" s="1" t="str">
        <f>HYPERLINK("http://sudautoemotion.fr","sudautoemotion.fr")</f>
        <v>sudautoemotion.fr</v>
      </c>
      <c r="C38334" t="s">
        <v>446</v>
      </c>
      <c r="D38334" t="s">
        <v>824</v>
      </c>
      <c r="F38334">
        <v>5.8757873172285104E-9</v>
      </c>
      <c r="G38334">
        <v>17526624</v>
      </c>
      <c r="H38334">
        <v>12047671</v>
      </c>
      <c r="I38334">
        <v>27314341</v>
      </c>
      <c r="J38334">
        <v>4</v>
      </c>
    </row>
    <row r="38335" spans="1:10" x14ac:dyDescent="0.25">
      <c r="A38335" t="s">
        <v>398</v>
      </c>
      <c r="B38335" s="1" t="str">
        <f>HYPERLINK("http://valauto.fr","valauto.fr")</f>
        <v>valauto.fr</v>
      </c>
      <c r="C38335" t="s">
        <v>446</v>
      </c>
      <c r="D38335" t="s">
        <v>824</v>
      </c>
      <c r="F38335">
        <v>1.1916641964968E-8</v>
      </c>
      <c r="G38335">
        <v>5227089</v>
      </c>
      <c r="H38335">
        <v>12222880</v>
      </c>
      <c r="I38335">
        <v>22711195</v>
      </c>
      <c r="J38335">
        <v>4</v>
      </c>
    </row>
    <row r="38336" spans="1:10" x14ac:dyDescent="0.25">
      <c r="A38336" t="s">
        <v>398</v>
      </c>
      <c r="B38336" s="1" t="str">
        <f>HYPERLINK("http://verlaineautomobiles.fr","verlaineautomobiles.fr")</f>
        <v>verlaineautomobiles.fr</v>
      </c>
      <c r="C38336" t="s">
        <v>446</v>
      </c>
      <c r="D38336" t="s">
        <v>824</v>
      </c>
      <c r="J38336">
        <v>3</v>
      </c>
    </row>
    <row r="38337" spans="1:10" x14ac:dyDescent="0.25">
      <c r="A38337" t="s">
        <v>398</v>
      </c>
      <c r="B38337" s="1" t="str">
        <f>HYPERLINK("http://volkswagen.fr","volkswagen.fr")</f>
        <v>volkswagen.fr</v>
      </c>
      <c r="C38337" t="s">
        <v>446</v>
      </c>
      <c r="D38337" t="s">
        <v>824</v>
      </c>
      <c r="E38337">
        <v>236992</v>
      </c>
      <c r="F38337">
        <v>2.8731912436462599E-7</v>
      </c>
      <c r="G38337">
        <v>129394</v>
      </c>
      <c r="H38337">
        <v>14567873</v>
      </c>
      <c r="I38337">
        <v>737983</v>
      </c>
      <c r="J38337">
        <v>4</v>
      </c>
    </row>
    <row r="38338" spans="1:10" x14ac:dyDescent="0.25">
      <c r="A38338" t="s">
        <v>398</v>
      </c>
      <c r="B38338" s="1" t="str">
        <f>HYPERLINK("http://volkswagen-champigny.fr","volkswagen-champigny.fr")</f>
        <v>volkswagen-champigny.fr</v>
      </c>
      <c r="C38338" t="s">
        <v>446</v>
      </c>
      <c r="D38338" t="s">
        <v>824</v>
      </c>
      <c r="F38338">
        <v>4.44380395335525E-9</v>
      </c>
      <c r="G38338">
        <v>84889868</v>
      </c>
      <c r="H38338">
        <v>0</v>
      </c>
      <c r="I38338">
        <v>86019072</v>
      </c>
      <c r="J38338">
        <v>3</v>
      </c>
    </row>
    <row r="38339" spans="1:10" x14ac:dyDescent="0.25">
      <c r="A38339" t="s">
        <v>398</v>
      </c>
      <c r="B38339" s="1" t="str">
        <f>HYPERLINK("http://volkswagen-compiegne.fr","volkswagen-compiegne.fr")</f>
        <v>volkswagen-compiegne.fr</v>
      </c>
      <c r="C38339" t="s">
        <v>446</v>
      </c>
      <c r="D38339" t="s">
        <v>824</v>
      </c>
      <c r="F38339">
        <v>4.74489574039981E-9</v>
      </c>
      <c r="G38339">
        <v>38568540</v>
      </c>
      <c r="H38339">
        <v>9418217</v>
      </c>
      <c r="I38339">
        <v>66995243</v>
      </c>
      <c r="J38339">
        <v>3</v>
      </c>
    </row>
    <row r="38340" spans="1:10" x14ac:dyDescent="0.25">
      <c r="A38340" t="s">
        <v>398</v>
      </c>
      <c r="B38340" s="1" t="str">
        <f>HYPERLINK("http://volkswagen-entretien.fr","volkswagen-entretien.fr")</f>
        <v>volkswagen-entretien.fr</v>
      </c>
      <c r="C38340" t="s">
        <v>446</v>
      </c>
      <c r="D38340" t="s">
        <v>824</v>
      </c>
      <c r="F38340">
        <v>7.40519398261521E-8</v>
      </c>
      <c r="G38340">
        <v>568545</v>
      </c>
      <c r="H38340">
        <v>12454563</v>
      </c>
      <c r="I38340">
        <v>17939611</v>
      </c>
      <c r="J38340">
        <v>3</v>
      </c>
    </row>
    <row r="38341" spans="1:10" x14ac:dyDescent="0.25">
      <c r="A38341" t="s">
        <v>398</v>
      </c>
      <c r="B38341" s="1" t="str">
        <f>HYPERLINK("http://volkswagen-pierrelaye.fr","volkswagen-pierrelaye.fr")</f>
        <v>volkswagen-pierrelaye.fr</v>
      </c>
      <c r="C38341" t="s">
        <v>446</v>
      </c>
      <c r="D38341" t="s">
        <v>824</v>
      </c>
      <c r="F38341">
        <v>5.1381501178064202E-9</v>
      </c>
      <c r="G38341">
        <v>26299152</v>
      </c>
      <c r="H38341">
        <v>8686436</v>
      </c>
      <c r="I38341">
        <v>70053893</v>
      </c>
      <c r="J38341">
        <v>3</v>
      </c>
    </row>
    <row r="38342" spans="1:10" x14ac:dyDescent="0.25">
      <c r="A38342" t="s">
        <v>398</v>
      </c>
      <c r="B38342" s="1" t="str">
        <f>HYPERLINK("http://volkswagen-saint-cloud.fr","volkswagen-saint-cloud.fr")</f>
        <v>volkswagen-saint-cloud.fr</v>
      </c>
      <c r="C38342" t="s">
        <v>446</v>
      </c>
      <c r="D38342" t="s">
        <v>824</v>
      </c>
      <c r="F38342">
        <v>4.5665746791862603E-9</v>
      </c>
      <c r="G38342">
        <v>50520298</v>
      </c>
      <c r="H38342">
        <v>8499917</v>
      </c>
      <c r="I38342">
        <v>72028392</v>
      </c>
      <c r="J38342">
        <v>3</v>
      </c>
    </row>
    <row r="38343" spans="1:10" x14ac:dyDescent="0.25">
      <c r="A38343" t="s">
        <v>398</v>
      </c>
      <c r="B38343" s="1" t="str">
        <f>HYPERLINK("http://volkswagen-strasbourg-sud.fr","volkswagen-strasbourg-sud.fr")</f>
        <v>volkswagen-strasbourg-sud.fr</v>
      </c>
      <c r="C38343" t="s">
        <v>446</v>
      </c>
      <c r="D38343" t="s">
        <v>824</v>
      </c>
      <c r="F38343">
        <v>1.01730111398069E-8</v>
      </c>
      <c r="G38343">
        <v>6573372</v>
      </c>
      <c r="H38343">
        <v>12262349</v>
      </c>
      <c r="I38343">
        <v>21700923</v>
      </c>
      <c r="J38343">
        <v>3</v>
      </c>
    </row>
    <row r="38344" spans="1:10" x14ac:dyDescent="0.25">
      <c r="A38344" t="s">
        <v>398</v>
      </c>
      <c r="B38344" s="1" t="str">
        <f>HYPERLINK("http://volkswagengroup.fr","volkswagengroup.fr")</f>
        <v>volkswagengroup.fr</v>
      </c>
      <c r="C38344" t="s">
        <v>446</v>
      </c>
      <c r="D38344" t="s">
        <v>824</v>
      </c>
      <c r="F38344">
        <v>7.7295671305247398E-8</v>
      </c>
      <c r="G38344">
        <v>541733</v>
      </c>
      <c r="H38344">
        <v>14500258</v>
      </c>
      <c r="I38344">
        <v>854025</v>
      </c>
      <c r="J38344">
        <v>3</v>
      </c>
    </row>
    <row r="38345" spans="1:10" x14ac:dyDescent="0.25">
      <c r="A38345" t="s">
        <v>398</v>
      </c>
      <c r="B38345" s="1" t="str">
        <f>HYPERLINK("http://vw-angouleme.fr","vw-angouleme.fr")</f>
        <v>vw-angouleme.fr</v>
      </c>
      <c r="C38345" t="s">
        <v>446</v>
      </c>
      <c r="D38345" t="s">
        <v>824</v>
      </c>
      <c r="J38345">
        <v>3</v>
      </c>
    </row>
    <row r="38346" spans="1:10" x14ac:dyDescent="0.25">
      <c r="A38346" t="s">
        <v>398</v>
      </c>
      <c r="B38346" s="1" t="str">
        <f>HYPERLINK("http://vw-charleville.fr","vw-charleville.fr")</f>
        <v>vw-charleville.fr</v>
      </c>
      <c r="C38346" t="s">
        <v>446</v>
      </c>
      <c r="D38346" t="s">
        <v>824</v>
      </c>
      <c r="J38346">
        <v>3</v>
      </c>
    </row>
    <row r="38347" spans="1:10" x14ac:dyDescent="0.25">
      <c r="A38347" t="s">
        <v>398</v>
      </c>
      <c r="B38347" s="1" t="str">
        <f>HYPERLINK("http://vw-chateau-thierry.fr","vw-chateau-thierry.fr")</f>
        <v>vw-chateau-thierry.fr</v>
      </c>
      <c r="C38347" t="s">
        <v>446</v>
      </c>
      <c r="D38347" t="s">
        <v>824</v>
      </c>
      <c r="J38347">
        <v>3</v>
      </c>
    </row>
    <row r="38348" spans="1:10" x14ac:dyDescent="0.25">
      <c r="A38348" t="s">
        <v>398</v>
      </c>
      <c r="B38348" s="1" t="str">
        <f>HYPERLINK("http://vw-epernay.fr","vw-epernay.fr")</f>
        <v>vw-epernay.fr</v>
      </c>
      <c r="C38348" t="s">
        <v>446</v>
      </c>
      <c r="D38348" t="s">
        <v>824</v>
      </c>
      <c r="F38348">
        <v>4.5075477063223204E-9</v>
      </c>
      <c r="G38348">
        <v>57853221</v>
      </c>
      <c r="H38348">
        <v>8994073</v>
      </c>
      <c r="I38348">
        <v>68876194</v>
      </c>
      <c r="J38348">
        <v>3</v>
      </c>
    </row>
    <row r="38349" spans="1:10" x14ac:dyDescent="0.25">
      <c r="A38349" t="s">
        <v>398</v>
      </c>
      <c r="B38349" s="1" t="str">
        <f>HYPERLINK("http://vw-niort.fr","vw-niort.fr")</f>
        <v>vw-niort.fr</v>
      </c>
      <c r="C38349" t="s">
        <v>446</v>
      </c>
      <c r="D38349" t="s">
        <v>824</v>
      </c>
      <c r="J38349">
        <v>3</v>
      </c>
    </row>
    <row r="38350" spans="1:10" x14ac:dyDescent="0.25">
      <c r="A38350" t="s">
        <v>398</v>
      </c>
      <c r="B38350" s="1" t="str">
        <f>HYPERLINK("http://vw-poitiers.fr","vw-poitiers.fr")</f>
        <v>vw-poitiers.fr</v>
      </c>
      <c r="C38350" t="s">
        <v>446</v>
      </c>
      <c r="D38350" t="s">
        <v>824</v>
      </c>
      <c r="F38350">
        <v>4.9229672760388003E-9</v>
      </c>
      <c r="G38350">
        <v>31592122</v>
      </c>
      <c r="H38350">
        <v>10649448</v>
      </c>
      <c r="I38350">
        <v>43614958</v>
      </c>
      <c r="J38350">
        <v>3</v>
      </c>
    </row>
    <row r="38351" spans="1:10" x14ac:dyDescent="0.25">
      <c r="A38351" t="s">
        <v>398</v>
      </c>
      <c r="B38351" s="1" t="str">
        <f>HYPERLINK("http://vw-reims.fr","vw-reims.fr")</f>
        <v>vw-reims.fr</v>
      </c>
      <c r="C38351" t="s">
        <v>446</v>
      </c>
      <c r="D38351" t="s">
        <v>824</v>
      </c>
      <c r="F38351">
        <v>4.8063313474412796E-9</v>
      </c>
      <c r="G38351">
        <v>35839587</v>
      </c>
      <c r="H38351">
        <v>10622560</v>
      </c>
      <c r="I38351">
        <v>44192967</v>
      </c>
      <c r="J38351">
        <v>3</v>
      </c>
    </row>
    <row r="38352" spans="1:10" x14ac:dyDescent="0.25">
      <c r="A38352" t="s">
        <v>398</v>
      </c>
      <c r="B38352" s="1" t="str">
        <f>HYPERLINK("http://vw-rennes.fr","vw-rennes.fr")</f>
        <v>vw-rennes.fr</v>
      </c>
      <c r="C38352" t="s">
        <v>446</v>
      </c>
      <c r="D38352" t="s">
        <v>824</v>
      </c>
      <c r="F38352">
        <v>1.1885362969934499E-8</v>
      </c>
      <c r="G38352">
        <v>5248156</v>
      </c>
      <c r="H38352">
        <v>10571063</v>
      </c>
      <c r="I38352">
        <v>46054814</v>
      </c>
      <c r="J38352">
        <v>3</v>
      </c>
    </row>
    <row r="38353" spans="1:10" x14ac:dyDescent="0.25">
      <c r="A38353" t="s">
        <v>398</v>
      </c>
      <c r="B38353" s="1" t="str">
        <f>HYPERLINK("http://vw-stgregoire.fr","vw-stgregoire.fr")</f>
        <v>vw-stgregoire.fr</v>
      </c>
      <c r="C38353" t="s">
        <v>446</v>
      </c>
      <c r="D38353" t="s">
        <v>824</v>
      </c>
      <c r="F38353">
        <v>1.1316259078022299E-8</v>
      </c>
      <c r="G38353">
        <v>5631366</v>
      </c>
      <c r="H38353">
        <v>10569292</v>
      </c>
      <c r="I38353">
        <v>46115306</v>
      </c>
      <c r="J38353">
        <v>3</v>
      </c>
    </row>
    <row r="38354" spans="1:10" x14ac:dyDescent="0.25">
      <c r="A38354" t="s">
        <v>398</v>
      </c>
      <c r="B38354" s="1" t="str">
        <f>HYPERLINK("http://vwfs.fr","vwfs.fr")</f>
        <v>vwfs.fr</v>
      </c>
      <c r="C38354" t="s">
        <v>446</v>
      </c>
      <c r="D38354" t="s">
        <v>824</v>
      </c>
      <c r="F38354">
        <v>3.4642493428946499E-8</v>
      </c>
      <c r="G38354">
        <v>1497928</v>
      </c>
      <c r="H38354">
        <v>13037242</v>
      </c>
      <c r="I38354">
        <v>12633817</v>
      </c>
      <c r="J38354">
        <v>4</v>
      </c>
    </row>
    <row r="38355" spans="1:10" x14ac:dyDescent="0.25">
      <c r="A38355" t="s">
        <v>398</v>
      </c>
      <c r="B38355" s="1" t="str">
        <f>HYPERLINK("http://audi.gd","audi.gd")</f>
        <v>audi.gd</v>
      </c>
      <c r="C38355" t="s">
        <v>685</v>
      </c>
      <c r="D38355" t="s">
        <v>1001</v>
      </c>
      <c r="F38355">
        <v>8.7436661963278507E-9</v>
      </c>
      <c r="G38355">
        <v>8403601</v>
      </c>
      <c r="H38355">
        <v>12415966</v>
      </c>
      <c r="I38355">
        <v>18527920</v>
      </c>
      <c r="J38355">
        <v>4</v>
      </c>
    </row>
    <row r="38356" spans="1:10" x14ac:dyDescent="0.25">
      <c r="A38356" t="s">
        <v>398</v>
      </c>
      <c r="B38356" s="1" t="str">
        <f>HYPERLINK("http://man.com.ge","man.com.ge")</f>
        <v>man.com.ge</v>
      </c>
      <c r="C38356" t="s">
        <v>637</v>
      </c>
      <c r="D38356" t="s">
        <v>958</v>
      </c>
      <c r="F38356">
        <v>2.45306801433164E-8</v>
      </c>
      <c r="G38356">
        <v>2111715</v>
      </c>
      <c r="H38356">
        <v>12326802</v>
      </c>
      <c r="I38356">
        <v>20293900</v>
      </c>
      <c r="J38356">
        <v>4</v>
      </c>
    </row>
    <row r="38357" spans="1:10" x14ac:dyDescent="0.25">
      <c r="A38357" t="s">
        <v>398</v>
      </c>
      <c r="B38357" s="1" t="str">
        <f>HYPERLINK("http://audi.gf","audi.gf")</f>
        <v>audi.gf</v>
      </c>
      <c r="C38357" t="s">
        <v>638</v>
      </c>
      <c r="D38357" t="s">
        <v>959</v>
      </c>
      <c r="F38357">
        <v>9.2380473088970603E-9</v>
      </c>
      <c r="G38357">
        <v>7659373</v>
      </c>
      <c r="H38357">
        <v>10509383</v>
      </c>
      <c r="I38357">
        <v>49806549</v>
      </c>
      <c r="J38357">
        <v>5</v>
      </c>
    </row>
    <row r="38358" spans="1:10" x14ac:dyDescent="0.25">
      <c r="A38358" t="s">
        <v>398</v>
      </c>
      <c r="B38358" s="1" t="str">
        <f>HYPERLINK("http://audi.gg","audi.gg")</f>
        <v>audi.gg</v>
      </c>
      <c r="C38358" t="s">
        <v>639</v>
      </c>
      <c r="D38358" t="s">
        <v>960</v>
      </c>
      <c r="F38358">
        <v>7.3659671970586697E-9</v>
      </c>
      <c r="G38358">
        <v>11323291</v>
      </c>
      <c r="H38358">
        <v>12415958</v>
      </c>
      <c r="I38358">
        <v>18528052</v>
      </c>
      <c r="J38358">
        <v>4</v>
      </c>
    </row>
    <row r="38359" spans="1:10" x14ac:dyDescent="0.25">
      <c r="A38359" t="s">
        <v>398</v>
      </c>
      <c r="B38359" s="1" t="str">
        <f>HYPERLINK("http://audi.com.gh","audi.com.gh")</f>
        <v>audi.com.gh</v>
      </c>
      <c r="C38359" t="s">
        <v>640</v>
      </c>
      <c r="D38359" t="s">
        <v>961</v>
      </c>
      <c r="F38359">
        <v>5.0889851268667704E-9</v>
      </c>
      <c r="G38359">
        <v>27310167</v>
      </c>
      <c r="H38359">
        <v>10594777</v>
      </c>
      <c r="I38359">
        <v>45258586</v>
      </c>
      <c r="J38359">
        <v>4</v>
      </c>
    </row>
    <row r="38360" spans="1:10" x14ac:dyDescent="0.25">
      <c r="A38360" t="s">
        <v>398</v>
      </c>
      <c r="B38360" s="1" t="str">
        <f>HYPERLINK("http://skoda-auto.com.gh","skoda-auto.com.gh")</f>
        <v>skoda-auto.com.gh</v>
      </c>
      <c r="C38360" t="s">
        <v>640</v>
      </c>
      <c r="D38360" t="s">
        <v>961</v>
      </c>
      <c r="F38360">
        <v>8.3572836591970807E-9</v>
      </c>
      <c r="G38360">
        <v>9131161</v>
      </c>
      <c r="H38360">
        <v>12632596</v>
      </c>
      <c r="I38360">
        <v>15961969</v>
      </c>
      <c r="J38360">
        <v>4</v>
      </c>
    </row>
    <row r="38361" spans="1:10" x14ac:dyDescent="0.25">
      <c r="A38361" t="s">
        <v>398</v>
      </c>
      <c r="B38361" s="1" t="str">
        <f>HYPERLINK("http://audi.com.gi","audi.com.gi")</f>
        <v>audi.com.gi</v>
      </c>
      <c r="C38361" t="s">
        <v>641</v>
      </c>
      <c r="D38361" t="s">
        <v>962</v>
      </c>
      <c r="F38361">
        <v>8.3260381756953708E-9</v>
      </c>
      <c r="G38361">
        <v>9198504</v>
      </c>
      <c r="H38361">
        <v>12415965</v>
      </c>
      <c r="I38361">
        <v>18527937</v>
      </c>
      <c r="J38361">
        <v>4</v>
      </c>
    </row>
    <row r="38362" spans="1:10" x14ac:dyDescent="0.25">
      <c r="A38362" t="s">
        <v>398</v>
      </c>
      <c r="B38362" s="1" t="str">
        <f>HYPERLINK("http://audi.gm","audi.gm")</f>
        <v>audi.gm</v>
      </c>
      <c r="C38362" t="s">
        <v>643</v>
      </c>
      <c r="D38362" t="s">
        <v>964</v>
      </c>
      <c r="F38362">
        <v>7.9346926871826404E-9</v>
      </c>
      <c r="G38362">
        <v>10044407</v>
      </c>
      <c r="H38362">
        <v>12415963</v>
      </c>
      <c r="I38362">
        <v>18527966</v>
      </c>
      <c r="J38362">
        <v>4</v>
      </c>
    </row>
    <row r="38363" spans="1:10" x14ac:dyDescent="0.25">
      <c r="A38363" t="s">
        <v>398</v>
      </c>
      <c r="B38363" s="1" t="str">
        <f>HYPERLINK("http://audi.gp","audi.gp")</f>
        <v>audi.gp</v>
      </c>
      <c r="C38363" t="s">
        <v>645</v>
      </c>
      <c r="F38363">
        <v>5.7022222846221103E-9</v>
      </c>
      <c r="G38363">
        <v>18941932</v>
      </c>
      <c r="H38363">
        <v>10509382</v>
      </c>
      <c r="I38363">
        <v>49806734</v>
      </c>
      <c r="J38363">
        <v>4</v>
      </c>
    </row>
    <row r="38364" spans="1:10" x14ac:dyDescent="0.25">
      <c r="A38364" t="s">
        <v>398</v>
      </c>
      <c r="B38364" s="1" t="str">
        <f>HYPERLINK("http://audi.gr","audi.gr")</f>
        <v>audi.gr</v>
      </c>
      <c r="C38364" t="s">
        <v>447</v>
      </c>
      <c r="D38364" t="s">
        <v>825</v>
      </c>
      <c r="F38364">
        <v>1.92077348229362E-8</v>
      </c>
      <c r="G38364">
        <v>2797429</v>
      </c>
      <c r="H38364">
        <v>14101536</v>
      </c>
      <c r="I38364">
        <v>2701491</v>
      </c>
      <c r="J38364">
        <v>4</v>
      </c>
    </row>
    <row r="38365" spans="1:10" x14ac:dyDescent="0.25">
      <c r="A38365" t="s">
        <v>398</v>
      </c>
      <c r="B38365" s="1" t="str">
        <f>HYPERLINK("http://cupraofficial.gr","cupraofficial.gr")</f>
        <v>cupraofficial.gr</v>
      </c>
      <c r="C38365" t="s">
        <v>447</v>
      </c>
      <c r="D38365" t="s">
        <v>825</v>
      </c>
      <c r="F38365">
        <v>1.5474072864325399E-8</v>
      </c>
      <c r="G38365">
        <v>3692002</v>
      </c>
      <c r="H38365">
        <v>12193330</v>
      </c>
      <c r="I38365">
        <v>23502764</v>
      </c>
      <c r="J38365">
        <v>4</v>
      </c>
    </row>
    <row r="38366" spans="1:10" x14ac:dyDescent="0.25">
      <c r="A38366" t="s">
        <v>398</v>
      </c>
      <c r="B38366" s="1" t="str">
        <f>HYPERLINK("http://seat.gr","seat.gr")</f>
        <v>seat.gr</v>
      </c>
      <c r="C38366" t="s">
        <v>447</v>
      </c>
      <c r="D38366" t="s">
        <v>825</v>
      </c>
      <c r="F38366">
        <v>5.7334604630842799E-8</v>
      </c>
      <c r="G38366">
        <v>777932</v>
      </c>
      <c r="H38366">
        <v>13764688</v>
      </c>
      <c r="I38366">
        <v>7211430</v>
      </c>
      <c r="J38366">
        <v>4</v>
      </c>
    </row>
    <row r="38367" spans="1:10" x14ac:dyDescent="0.25">
      <c r="A38367" t="s">
        <v>398</v>
      </c>
      <c r="B38367" s="1" t="str">
        <f>HYPERLINK("http://volkswagen.gr","volkswagen.gr")</f>
        <v>volkswagen.gr</v>
      </c>
      <c r="C38367" t="s">
        <v>447</v>
      </c>
      <c r="D38367" t="s">
        <v>825</v>
      </c>
      <c r="F38367">
        <v>3.8580942762153702E-8</v>
      </c>
      <c r="G38367">
        <v>1336610</v>
      </c>
      <c r="H38367">
        <v>14488484</v>
      </c>
      <c r="I38367">
        <v>932893</v>
      </c>
      <c r="J38367">
        <v>4</v>
      </c>
    </row>
    <row r="38368" spans="1:10" x14ac:dyDescent="0.25">
      <c r="A38368" t="s">
        <v>398</v>
      </c>
      <c r="B38368" s="1" t="str">
        <f>HYPERLINK("http://vwfs.gr","vwfs.gr")</f>
        <v>vwfs.gr</v>
      </c>
      <c r="C38368" t="s">
        <v>447</v>
      </c>
      <c r="D38368" t="s">
        <v>825</v>
      </c>
      <c r="F38368">
        <v>2.2277634953991101E-8</v>
      </c>
      <c r="G38368">
        <v>2353571</v>
      </c>
      <c r="H38368">
        <v>12174607</v>
      </c>
      <c r="I38368">
        <v>23942938</v>
      </c>
      <c r="J38368">
        <v>4</v>
      </c>
    </row>
    <row r="38369" spans="1:10" x14ac:dyDescent="0.25">
      <c r="A38369" t="s">
        <v>398</v>
      </c>
      <c r="B38369" s="1" t="str">
        <f>HYPERLINK("http://audi.gs","audi.gs")</f>
        <v>audi.gs</v>
      </c>
      <c r="C38369" t="s">
        <v>762</v>
      </c>
      <c r="D38369" t="s">
        <v>1016</v>
      </c>
      <c r="F38369">
        <v>6.2995838766758996E-9</v>
      </c>
      <c r="G38369">
        <v>15034676</v>
      </c>
      <c r="H38369">
        <v>10595110</v>
      </c>
      <c r="I38369">
        <v>45226616</v>
      </c>
      <c r="J38369">
        <v>4</v>
      </c>
    </row>
    <row r="38370" spans="1:10" x14ac:dyDescent="0.25">
      <c r="A38370" t="s">
        <v>398</v>
      </c>
      <c r="B38370" s="1" t="str">
        <f>HYPERLINK("http://audi.com.gt","audi.com.gt")</f>
        <v>audi.com.gt</v>
      </c>
      <c r="C38370" t="s">
        <v>448</v>
      </c>
      <c r="D38370" t="s">
        <v>826</v>
      </c>
      <c r="F38370">
        <v>5.9270121398135301E-9</v>
      </c>
      <c r="G38370">
        <v>17172419</v>
      </c>
      <c r="H38370">
        <v>10926839</v>
      </c>
      <c r="I38370">
        <v>35132722</v>
      </c>
      <c r="J38370">
        <v>5</v>
      </c>
    </row>
    <row r="38371" spans="1:10" x14ac:dyDescent="0.25">
      <c r="A38371" t="s">
        <v>398</v>
      </c>
      <c r="B38371" s="1" t="str">
        <f>HYPERLINK("http://audi.gy","audi.gy")</f>
        <v>audi.gy</v>
      </c>
      <c r="C38371" t="s">
        <v>593</v>
      </c>
      <c r="D38371" t="s">
        <v>928</v>
      </c>
      <c r="F38371">
        <v>4.9320085016127798E-9</v>
      </c>
      <c r="G38371">
        <v>31322000</v>
      </c>
      <c r="H38371">
        <v>10594761</v>
      </c>
      <c r="I38371">
        <v>45259936</v>
      </c>
      <c r="J38371">
        <v>4</v>
      </c>
    </row>
    <row r="38372" spans="1:10" x14ac:dyDescent="0.25">
      <c r="A38372" t="s">
        <v>398</v>
      </c>
      <c r="B38372" s="1" t="str">
        <f>HYPERLINK("http://scania.com.hk","scania.com.hk")</f>
        <v>scania.com.hk</v>
      </c>
      <c r="C38372" t="s">
        <v>450</v>
      </c>
      <c r="D38372" t="s">
        <v>827</v>
      </c>
      <c r="F38372">
        <v>9.0646362899116195E-9</v>
      </c>
      <c r="G38372">
        <v>7897109</v>
      </c>
      <c r="H38372">
        <v>14072170</v>
      </c>
      <c r="I38372">
        <v>3146765</v>
      </c>
      <c r="J38372">
        <v>4</v>
      </c>
    </row>
    <row r="38373" spans="1:10" x14ac:dyDescent="0.25">
      <c r="A38373" t="s">
        <v>398</v>
      </c>
      <c r="B38373" s="1" t="str">
        <f>HYPERLINK("http://audi.hm","audi.hm")</f>
        <v>audi.hm</v>
      </c>
      <c r="C38373" t="s">
        <v>792</v>
      </c>
      <c r="D38373" t="s">
        <v>1023</v>
      </c>
      <c r="F38373">
        <v>8.1960222991278703E-9</v>
      </c>
      <c r="G38373">
        <v>9577681</v>
      </c>
      <c r="H38373">
        <v>12415964</v>
      </c>
      <c r="I38373">
        <v>18527949</v>
      </c>
      <c r="J38373">
        <v>4</v>
      </c>
    </row>
    <row r="38374" spans="1:10" x14ac:dyDescent="0.25">
      <c r="A38374" t="s">
        <v>398</v>
      </c>
      <c r="B38374" s="1" t="str">
        <f>HYPERLINK("http://audi.hn","audi.hn")</f>
        <v>audi.hn</v>
      </c>
      <c r="C38374" t="s">
        <v>451</v>
      </c>
      <c r="D38374" t="s">
        <v>828</v>
      </c>
      <c r="F38374">
        <v>5.6750654129275299E-9</v>
      </c>
      <c r="G38374">
        <v>19173499</v>
      </c>
      <c r="H38374">
        <v>10509381</v>
      </c>
      <c r="I38374">
        <v>49806967</v>
      </c>
      <c r="J38374">
        <v>5</v>
      </c>
    </row>
    <row r="38375" spans="1:10" x14ac:dyDescent="0.25">
      <c r="A38375" t="s">
        <v>398</v>
      </c>
      <c r="B38375" s="1" t="str">
        <f>HYPERLINK("http://hatfield.holdings","hatfield.holdings")</f>
        <v>hatfield.holdings</v>
      </c>
      <c r="C38375" t="s">
        <v>796</v>
      </c>
      <c r="J38375">
        <v>3</v>
      </c>
    </row>
    <row r="38376" spans="1:10" x14ac:dyDescent="0.25">
      <c r="A38376" t="s">
        <v>398</v>
      </c>
      <c r="B38376" s="1" t="str">
        <f>HYPERLINK("http://ak-dojkic.hr","ak-dojkic.hr")</f>
        <v>ak-dojkic.hr</v>
      </c>
      <c r="C38376" t="s">
        <v>452</v>
      </c>
      <c r="D38376" t="s">
        <v>829</v>
      </c>
      <c r="F38376">
        <v>6.7310032593468004E-9</v>
      </c>
      <c r="G38376">
        <v>13193801</v>
      </c>
      <c r="H38376">
        <v>10978127</v>
      </c>
      <c r="I38376">
        <v>33971984</v>
      </c>
      <c r="J38376">
        <v>3</v>
      </c>
    </row>
    <row r="38377" spans="1:10" x14ac:dyDescent="0.25">
      <c r="A38377" t="s">
        <v>398</v>
      </c>
      <c r="B38377" s="1" t="str">
        <f>HYPERLINK("http://audi.hr","audi.hr")</f>
        <v>audi.hr</v>
      </c>
      <c r="C38377" t="s">
        <v>452</v>
      </c>
      <c r="D38377" t="s">
        <v>829</v>
      </c>
      <c r="F38377">
        <v>2.8702482278812501E-8</v>
      </c>
      <c r="G38377">
        <v>1793044</v>
      </c>
      <c r="H38377">
        <v>13070297</v>
      </c>
      <c r="I38377">
        <v>12246325</v>
      </c>
      <c r="J38377">
        <v>4</v>
      </c>
    </row>
    <row r="38378" spans="1:10" x14ac:dyDescent="0.25">
      <c r="A38378" t="s">
        <v>398</v>
      </c>
      <c r="B38378" s="1" t="str">
        <f>HYPERLINK("http://autozubak.hr","autozubak.hr")</f>
        <v>autozubak.hr</v>
      </c>
      <c r="C38378" t="s">
        <v>452</v>
      </c>
      <c r="D38378" t="s">
        <v>829</v>
      </c>
      <c r="F38378">
        <v>1.8321604159709799E-8</v>
      </c>
      <c r="G38378">
        <v>2963228</v>
      </c>
      <c r="H38378">
        <v>14074170</v>
      </c>
      <c r="I38378">
        <v>2953688</v>
      </c>
      <c r="J38378">
        <v>3</v>
      </c>
    </row>
    <row r="38379" spans="1:10" x14ac:dyDescent="0.25">
      <c r="A38379" t="s">
        <v>398</v>
      </c>
      <c r="B38379" s="1" t="str">
        <f>HYPERLINK("http://berislavic.hr","berislavic.hr")</f>
        <v>berislavic.hr</v>
      </c>
      <c r="C38379" t="s">
        <v>452</v>
      </c>
      <c r="D38379" t="s">
        <v>829</v>
      </c>
      <c r="F38379">
        <v>5.4556692271269504E-9</v>
      </c>
      <c r="G38379">
        <v>21415377</v>
      </c>
      <c r="H38379">
        <v>9432430</v>
      </c>
      <c r="I38379">
        <v>66784563</v>
      </c>
      <c r="J38379">
        <v>3</v>
      </c>
    </row>
    <row r="38380" spans="1:10" x14ac:dyDescent="0.25">
      <c r="A38380" t="s">
        <v>398</v>
      </c>
      <c r="B38380" s="1" t="str">
        <f>HYPERLINK("http://porscheleasing.com.hr","porscheleasing.com.hr")</f>
        <v>porscheleasing.com.hr</v>
      </c>
      <c r="C38380" t="s">
        <v>452</v>
      </c>
      <c r="D38380" t="s">
        <v>829</v>
      </c>
      <c r="F38380">
        <v>1.97341559186235E-8</v>
      </c>
      <c r="G38380">
        <v>2703721</v>
      </c>
      <c r="H38380">
        <v>12131119</v>
      </c>
      <c r="I38380">
        <v>25106638</v>
      </c>
      <c r="J38380">
        <v>3</v>
      </c>
    </row>
    <row r="38381" spans="1:10" x14ac:dyDescent="0.25">
      <c r="A38381" t="s">
        <v>398</v>
      </c>
      <c r="B38381" s="1" t="str">
        <f>HYPERLINK("http://porscheosiguranje.com.hr","porscheosiguranje.com.hr")</f>
        <v>porscheosiguranje.com.hr</v>
      </c>
      <c r="C38381" t="s">
        <v>452</v>
      </c>
      <c r="D38381" t="s">
        <v>829</v>
      </c>
      <c r="F38381">
        <v>4.96419909223427E-9</v>
      </c>
      <c r="G38381">
        <v>30397004</v>
      </c>
      <c r="H38381">
        <v>9382569</v>
      </c>
      <c r="I38381">
        <v>67521574</v>
      </c>
      <c r="J38381">
        <v>5</v>
      </c>
    </row>
    <row r="38382" spans="1:10" x14ac:dyDescent="0.25">
      <c r="A38382" t="s">
        <v>398</v>
      </c>
      <c r="B38382" s="1" t="str">
        <f>HYPERLINK("http://porschezastupanje.com.hr","porschezastupanje.com.hr")</f>
        <v>porschezastupanje.com.hr</v>
      </c>
      <c r="C38382" t="s">
        <v>452</v>
      </c>
      <c r="D38382" t="s">
        <v>829</v>
      </c>
      <c r="F38382">
        <v>5.1597866616519004E-9</v>
      </c>
      <c r="G38382">
        <v>25905609</v>
      </c>
      <c r="H38382">
        <v>9382569</v>
      </c>
      <c r="I38382">
        <v>67521575</v>
      </c>
      <c r="J38382">
        <v>5</v>
      </c>
    </row>
    <row r="38383" spans="1:10" x14ac:dyDescent="0.25">
      <c r="A38383" t="s">
        <v>398</v>
      </c>
      <c r="B38383" s="1" t="str">
        <f>HYPERLINK("http://cupraofficial.hr","cupraofficial.hr")</f>
        <v>cupraofficial.hr</v>
      </c>
      <c r="C38383" t="s">
        <v>452</v>
      </c>
      <c r="D38383" t="s">
        <v>829</v>
      </c>
      <c r="F38383">
        <v>1.62465205013934E-8</v>
      </c>
      <c r="G38383">
        <v>3483835</v>
      </c>
      <c r="H38383">
        <v>12381627</v>
      </c>
      <c r="I38383">
        <v>19176825</v>
      </c>
      <c r="J38383">
        <v>4</v>
      </c>
    </row>
    <row r="38384" spans="1:10" x14ac:dyDescent="0.25">
      <c r="A38384" t="s">
        <v>398</v>
      </c>
      <c r="B38384" s="1" t="str">
        <f>HYPERLINK("http://porsche.hr","porsche.hr")</f>
        <v>porsche.hr</v>
      </c>
      <c r="C38384" t="s">
        <v>452</v>
      </c>
      <c r="D38384" t="s">
        <v>829</v>
      </c>
      <c r="F38384">
        <v>6.0836279618583097E-9</v>
      </c>
      <c r="G38384">
        <v>16185842</v>
      </c>
      <c r="H38384">
        <v>14071985</v>
      </c>
      <c r="I38384">
        <v>3201941</v>
      </c>
      <c r="J38384">
        <v>4</v>
      </c>
    </row>
    <row r="38385" spans="1:10" x14ac:dyDescent="0.25">
      <c r="A38385" t="s">
        <v>398</v>
      </c>
      <c r="B38385" s="1" t="str">
        <f>HYPERLINK("http://porscheinterauto.hr","porscheinterauto.hr")</f>
        <v>porscheinterauto.hr</v>
      </c>
      <c r="C38385" t="s">
        <v>452</v>
      </c>
      <c r="D38385" t="s">
        <v>829</v>
      </c>
      <c r="F38385">
        <v>1.5916880525567299E-8</v>
      </c>
      <c r="G38385">
        <v>3568222</v>
      </c>
      <c r="H38385">
        <v>12393246</v>
      </c>
      <c r="I38385">
        <v>18967152</v>
      </c>
      <c r="J38385">
        <v>3</v>
      </c>
    </row>
    <row r="38386" spans="1:10" x14ac:dyDescent="0.25">
      <c r="A38386" t="s">
        <v>398</v>
      </c>
      <c r="B38386" s="1" t="str">
        <f>HYPERLINK("http://scania.hr","scania.hr")</f>
        <v>scania.hr</v>
      </c>
      <c r="C38386" t="s">
        <v>452</v>
      </c>
      <c r="D38386" t="s">
        <v>829</v>
      </c>
      <c r="F38386">
        <v>5.39129692609739E-9</v>
      </c>
      <c r="G38386">
        <v>22230221</v>
      </c>
      <c r="H38386">
        <v>10847480</v>
      </c>
      <c r="I38386">
        <v>36927596</v>
      </c>
      <c r="J38386">
        <v>3</v>
      </c>
    </row>
    <row r="38387" spans="1:10" x14ac:dyDescent="0.25">
      <c r="A38387" t="s">
        <v>398</v>
      </c>
      <c r="B38387" s="1" t="str">
        <f>HYPERLINK("http://seat.hr","seat.hr")</f>
        <v>seat.hr</v>
      </c>
      <c r="C38387" t="s">
        <v>452</v>
      </c>
      <c r="D38387" t="s">
        <v>829</v>
      </c>
      <c r="F38387">
        <v>2.12443700564811E-8</v>
      </c>
      <c r="G38387">
        <v>2481360</v>
      </c>
      <c r="H38387">
        <v>12428889</v>
      </c>
      <c r="I38387">
        <v>18320858</v>
      </c>
      <c r="J38387">
        <v>4</v>
      </c>
    </row>
    <row r="38388" spans="1:10" x14ac:dyDescent="0.25">
      <c r="A38388" t="s">
        <v>398</v>
      </c>
      <c r="B38388" s="1" t="str">
        <f>HYPERLINK("http://volkswagen.hr","volkswagen.hr")</f>
        <v>volkswagen.hr</v>
      </c>
      <c r="C38388" t="s">
        <v>452</v>
      </c>
      <c r="D38388" t="s">
        <v>829</v>
      </c>
      <c r="F38388">
        <v>7.0652663379067003E-8</v>
      </c>
      <c r="G38388">
        <v>599061</v>
      </c>
      <c r="H38388">
        <v>14076166</v>
      </c>
      <c r="I38388">
        <v>2892966</v>
      </c>
      <c r="J38388">
        <v>4</v>
      </c>
    </row>
    <row r="38389" spans="1:10" x14ac:dyDescent="0.25">
      <c r="A38389" t="s">
        <v>398</v>
      </c>
      <c r="B38389" s="1" t="str">
        <f>HYPERLINK("http://zubakgrupa.hr","zubakgrupa.hr")</f>
        <v>zubakgrupa.hr</v>
      </c>
      <c r="C38389" t="s">
        <v>452</v>
      </c>
      <c r="D38389" t="s">
        <v>829</v>
      </c>
      <c r="F38389">
        <v>2.3738233042515901E-8</v>
      </c>
      <c r="G38389">
        <v>2189456</v>
      </c>
      <c r="H38389">
        <v>12703437</v>
      </c>
      <c r="I38389">
        <v>15336550</v>
      </c>
      <c r="J38389">
        <v>5</v>
      </c>
    </row>
    <row r="38390" spans="1:10" x14ac:dyDescent="0.25">
      <c r="A38390" t="s">
        <v>398</v>
      </c>
      <c r="B38390" s="1" t="str">
        <f>HYPERLINK("http://audi.com.ht","audi.com.ht")</f>
        <v>audi.com.ht</v>
      </c>
      <c r="C38390" t="s">
        <v>646</v>
      </c>
      <c r="D38390" t="s">
        <v>965</v>
      </c>
      <c r="F38390">
        <v>5.5782989920327202E-9</v>
      </c>
      <c r="G38390">
        <v>20071975</v>
      </c>
      <c r="H38390">
        <v>10509380</v>
      </c>
      <c r="I38390">
        <v>49807264</v>
      </c>
      <c r="J38390">
        <v>5</v>
      </c>
    </row>
    <row r="38391" spans="1:10" x14ac:dyDescent="0.25">
      <c r="A38391" t="s">
        <v>398</v>
      </c>
      <c r="B38391" s="1" t="str">
        <f>HYPERLINK("http://audi.hu","audi.hu")</f>
        <v>audi.hu</v>
      </c>
      <c r="C38391" t="s">
        <v>453</v>
      </c>
      <c r="D38391" t="s">
        <v>830</v>
      </c>
      <c r="E38391">
        <v>953453</v>
      </c>
      <c r="F38391">
        <v>1.02046169994699E-7</v>
      </c>
      <c r="G38391">
        <v>393682</v>
      </c>
      <c r="H38391">
        <v>14246240</v>
      </c>
      <c r="I38391">
        <v>1462466</v>
      </c>
      <c r="J38391">
        <v>3</v>
      </c>
    </row>
    <row r="38392" spans="1:10" x14ac:dyDescent="0.25">
      <c r="A38392" t="s">
        <v>398</v>
      </c>
      <c r="B38392" s="1" t="str">
        <f>HYPERLINK("http://porschebank.hu","porschebank.hu")</f>
        <v>porschebank.hu</v>
      </c>
      <c r="C38392" t="s">
        <v>453</v>
      </c>
      <c r="D38392" t="s">
        <v>830</v>
      </c>
      <c r="F38392">
        <v>5.0694909492473901E-8</v>
      </c>
      <c r="G38392">
        <v>905353</v>
      </c>
      <c r="H38392">
        <v>14281839</v>
      </c>
      <c r="I38392">
        <v>1377497</v>
      </c>
      <c r="J38392">
        <v>3</v>
      </c>
    </row>
    <row r="38393" spans="1:10" x14ac:dyDescent="0.25">
      <c r="A38393" t="s">
        <v>398</v>
      </c>
      <c r="B38393" s="1" t="str">
        <f>HYPERLINK("http://porschefinance.hu","porschefinance.hu")</f>
        <v>porschefinance.hu</v>
      </c>
      <c r="C38393" t="s">
        <v>453</v>
      </c>
      <c r="D38393" t="s">
        <v>830</v>
      </c>
      <c r="F38393">
        <v>3.17596237949572E-8</v>
      </c>
      <c r="G38393">
        <v>1625831</v>
      </c>
      <c r="H38393">
        <v>12026352</v>
      </c>
      <c r="I38393">
        <v>27746857</v>
      </c>
      <c r="J38393">
        <v>4</v>
      </c>
    </row>
    <row r="38394" spans="1:10" x14ac:dyDescent="0.25">
      <c r="A38394" t="s">
        <v>398</v>
      </c>
      <c r="B38394" s="1" t="str">
        <f>HYPERLINK("http://porschehungaria.hu","porschehungaria.hu")</f>
        <v>porschehungaria.hu</v>
      </c>
      <c r="C38394" t="s">
        <v>453</v>
      </c>
      <c r="D38394" t="s">
        <v>830</v>
      </c>
      <c r="F38394">
        <v>5.5002345550025701E-8</v>
      </c>
      <c r="G38394">
        <v>817608</v>
      </c>
      <c r="H38394">
        <v>13727306</v>
      </c>
      <c r="I38394">
        <v>9461054</v>
      </c>
      <c r="J38394">
        <v>3</v>
      </c>
    </row>
    <row r="38395" spans="1:10" x14ac:dyDescent="0.25">
      <c r="A38395" t="s">
        <v>398</v>
      </c>
      <c r="B38395" s="1" t="str">
        <f>HYPERLINK("http://porscheinterauto.hu","porscheinterauto.hu")</f>
        <v>porscheinterauto.hu</v>
      </c>
      <c r="C38395" t="s">
        <v>453</v>
      </c>
      <c r="D38395" t="s">
        <v>830</v>
      </c>
      <c r="F38395">
        <v>8.3819835877525008E-9</v>
      </c>
      <c r="G38395">
        <v>9080246</v>
      </c>
      <c r="H38395">
        <v>12106390</v>
      </c>
      <c r="I38395">
        <v>25816476</v>
      </c>
      <c r="J38395">
        <v>3</v>
      </c>
    </row>
    <row r="38396" spans="1:10" x14ac:dyDescent="0.25">
      <c r="A38396" t="s">
        <v>398</v>
      </c>
      <c r="B38396" s="1" t="str">
        <f>HYPERLINK("http://scania.hu","scania.hu")</f>
        <v>scania.hu</v>
      </c>
      <c r="C38396" t="s">
        <v>453</v>
      </c>
      <c r="D38396" t="s">
        <v>830</v>
      </c>
      <c r="F38396">
        <v>7.1553965902916798E-9</v>
      </c>
      <c r="G38396">
        <v>11862668</v>
      </c>
      <c r="H38396">
        <v>12339919</v>
      </c>
      <c r="I38396">
        <v>20002871</v>
      </c>
      <c r="J38396">
        <v>3</v>
      </c>
    </row>
    <row r="38397" spans="1:10" x14ac:dyDescent="0.25">
      <c r="A38397" t="s">
        <v>398</v>
      </c>
      <c r="B38397" s="1" t="str">
        <f>HYPERLINK("http://schiller.hu","schiller.hu")</f>
        <v>schiller.hu</v>
      </c>
      <c r="C38397" t="s">
        <v>453</v>
      </c>
      <c r="D38397" t="s">
        <v>830</v>
      </c>
      <c r="F38397">
        <v>1.69334703754807E-8</v>
      </c>
      <c r="G38397">
        <v>3299165</v>
      </c>
      <c r="H38397">
        <v>12347604</v>
      </c>
      <c r="I38397">
        <v>19803692</v>
      </c>
      <c r="J38397">
        <v>4</v>
      </c>
    </row>
    <row r="38398" spans="1:10" x14ac:dyDescent="0.25">
      <c r="A38398" t="s">
        <v>398</v>
      </c>
      <c r="B38398" s="1" t="str">
        <f>HYPERLINK("http://seat.hu","seat.hu")</f>
        <v>seat.hu</v>
      </c>
      <c r="C38398" t="s">
        <v>453</v>
      </c>
      <c r="D38398" t="s">
        <v>830</v>
      </c>
      <c r="F38398">
        <v>4.51907938590316E-8</v>
      </c>
      <c r="G38398">
        <v>1043836</v>
      </c>
      <c r="H38398">
        <v>14072690</v>
      </c>
      <c r="I38398">
        <v>3056686</v>
      </c>
      <c r="J38398">
        <v>4</v>
      </c>
    </row>
    <row r="38399" spans="1:10" x14ac:dyDescent="0.25">
      <c r="A38399" t="s">
        <v>398</v>
      </c>
      <c r="B38399" s="1" t="str">
        <f>HYPERLINK("http://siocar.hu","siocar.hu")</f>
        <v>siocar.hu</v>
      </c>
      <c r="C38399" t="s">
        <v>453</v>
      </c>
      <c r="D38399" t="s">
        <v>830</v>
      </c>
      <c r="F38399">
        <v>7.2615609601641503E-9</v>
      </c>
      <c r="G38399">
        <v>11574892</v>
      </c>
      <c r="H38399">
        <v>11107590</v>
      </c>
      <c r="I38399">
        <v>32186892</v>
      </c>
      <c r="J38399">
        <v>3</v>
      </c>
    </row>
    <row r="38400" spans="1:10" x14ac:dyDescent="0.25">
      <c r="A38400" t="s">
        <v>398</v>
      </c>
      <c r="B38400" s="1" t="str">
        <f>HYPERLINK("http://volkswagen.hu","volkswagen.hu")</f>
        <v>volkswagen.hu</v>
      </c>
      <c r="C38400" t="s">
        <v>453</v>
      </c>
      <c r="D38400" t="s">
        <v>830</v>
      </c>
      <c r="F38400">
        <v>9.7462793630137198E-8</v>
      </c>
      <c r="G38400">
        <v>414422</v>
      </c>
      <c r="H38400">
        <v>14246493</v>
      </c>
      <c r="I38400">
        <v>1461315</v>
      </c>
      <c r="J38400">
        <v>4</v>
      </c>
    </row>
    <row r="38401" spans="1:10" x14ac:dyDescent="0.25">
      <c r="A38401" t="s">
        <v>398</v>
      </c>
      <c r="B38401" s="1" t="str">
        <f>HYPERLINK("http://walterauto.hu","walterauto.hu")</f>
        <v>walterauto.hu</v>
      </c>
      <c r="C38401" t="s">
        <v>453</v>
      </c>
      <c r="D38401" t="s">
        <v>830</v>
      </c>
      <c r="F38401">
        <v>9.7079114264085201E-9</v>
      </c>
      <c r="G38401">
        <v>7071457</v>
      </c>
      <c r="H38401">
        <v>10996250</v>
      </c>
      <c r="I38401">
        <v>33643713</v>
      </c>
      <c r="J38401">
        <v>3</v>
      </c>
    </row>
    <row r="38402" spans="1:10" x14ac:dyDescent="0.25">
      <c r="A38402" t="s">
        <v>398</v>
      </c>
      <c r="B38402" s="1" t="str">
        <f>HYPERLINK("http://audi.ie","audi.ie")</f>
        <v>audi.ie</v>
      </c>
      <c r="C38402" t="s">
        <v>455</v>
      </c>
      <c r="D38402" t="s">
        <v>832</v>
      </c>
      <c r="F38402">
        <v>3.8057331581462599E-8</v>
      </c>
      <c r="G38402">
        <v>1359941</v>
      </c>
      <c r="H38402">
        <v>13770965</v>
      </c>
      <c r="I38402">
        <v>6709764</v>
      </c>
      <c r="J38402">
        <v>4</v>
      </c>
    </row>
    <row r="38403" spans="1:10" x14ac:dyDescent="0.25">
      <c r="A38403" t="s">
        <v>398</v>
      </c>
      <c r="B38403" s="1" t="str">
        <f>HYPERLINK("http://audiwexford.ie","audiwexford.ie")</f>
        <v>audiwexford.ie</v>
      </c>
      <c r="C38403" t="s">
        <v>455</v>
      </c>
      <c r="D38403" t="s">
        <v>832</v>
      </c>
      <c r="F38403">
        <v>5.2116643400308403E-9</v>
      </c>
      <c r="G38403">
        <v>24895860</v>
      </c>
      <c r="H38403">
        <v>10348362</v>
      </c>
      <c r="I38403">
        <v>56556644</v>
      </c>
      <c r="J38403">
        <v>4</v>
      </c>
    </row>
    <row r="38404" spans="1:10" x14ac:dyDescent="0.25">
      <c r="A38404" t="s">
        <v>398</v>
      </c>
      <c r="B38404" s="1" t="str">
        <f>HYPERLINK("http://cupraofficial.ie","cupraofficial.ie")</f>
        <v>cupraofficial.ie</v>
      </c>
      <c r="C38404" t="s">
        <v>455</v>
      </c>
      <c r="D38404" t="s">
        <v>832</v>
      </c>
      <c r="F38404">
        <v>3.5871748807101999E-8</v>
      </c>
      <c r="G38404">
        <v>1452102</v>
      </c>
      <c r="H38404">
        <v>13818274</v>
      </c>
      <c r="I38404">
        <v>6153332</v>
      </c>
      <c r="J38404">
        <v>4</v>
      </c>
    </row>
    <row r="38405" spans="1:10" x14ac:dyDescent="0.25">
      <c r="A38405" t="s">
        <v>398</v>
      </c>
      <c r="B38405" s="1" t="str">
        <f>HYPERLINK("http://ducati.ie","ducati.ie")</f>
        <v>ducati.ie</v>
      </c>
      <c r="C38405" t="s">
        <v>455</v>
      </c>
      <c r="D38405" t="s">
        <v>832</v>
      </c>
      <c r="F38405">
        <v>4.7815639990259702E-9</v>
      </c>
      <c r="G38405">
        <v>36892732</v>
      </c>
      <c r="H38405">
        <v>10467538</v>
      </c>
      <c r="I38405">
        <v>51377307</v>
      </c>
      <c r="J38405">
        <v>3</v>
      </c>
    </row>
    <row r="38406" spans="1:10" x14ac:dyDescent="0.25">
      <c r="A38406" t="s">
        <v>398</v>
      </c>
      <c r="B38406" s="1" t="str">
        <f>HYPERLINK("http://fkvwdeansgrange.ie","fkvwdeansgrange.ie")</f>
        <v>fkvwdeansgrange.ie</v>
      </c>
      <c r="C38406" t="s">
        <v>455</v>
      </c>
      <c r="D38406" t="s">
        <v>832</v>
      </c>
      <c r="F38406">
        <v>4.9597664133633197E-9</v>
      </c>
      <c r="G38406">
        <v>30516711</v>
      </c>
      <c r="H38406">
        <v>11975768</v>
      </c>
      <c r="I38406">
        <v>28559453</v>
      </c>
      <c r="J38406">
        <v>3</v>
      </c>
    </row>
    <row r="38407" spans="1:10" x14ac:dyDescent="0.25">
      <c r="A38407" t="s">
        <v>398</v>
      </c>
      <c r="B38407" s="1" t="str">
        <f>HYPERLINK("http://olearyslissarda.ie","olearyslissarda.ie")</f>
        <v>olearyslissarda.ie</v>
      </c>
      <c r="C38407" t="s">
        <v>455</v>
      </c>
      <c r="D38407" t="s">
        <v>832</v>
      </c>
      <c r="F38407">
        <v>4.4473607270306801E-9</v>
      </c>
      <c r="G38407">
        <v>73585296</v>
      </c>
      <c r="H38407">
        <v>9809784</v>
      </c>
      <c r="I38407">
        <v>62525402</v>
      </c>
      <c r="J38407">
        <v>3</v>
      </c>
    </row>
    <row r="38408" spans="1:10" x14ac:dyDescent="0.25">
      <c r="A38408" t="s">
        <v>398</v>
      </c>
      <c r="B38408" s="1" t="str">
        <f>HYPERLINK("http://seat.ie","seat.ie")</f>
        <v>seat.ie</v>
      </c>
      <c r="C38408" t="s">
        <v>455</v>
      </c>
      <c r="D38408" t="s">
        <v>832</v>
      </c>
      <c r="F38408">
        <v>1.18534200258949E-7</v>
      </c>
      <c r="G38408">
        <v>334075</v>
      </c>
      <c r="H38408">
        <v>14498047</v>
      </c>
      <c r="I38408">
        <v>863283</v>
      </c>
      <c r="J38408">
        <v>4</v>
      </c>
    </row>
    <row r="38409" spans="1:10" x14ac:dyDescent="0.25">
      <c r="A38409" t="s">
        <v>398</v>
      </c>
      <c r="B38409" s="1" t="str">
        <f>HYPERLINK("http://spiritskoda.ie","spiritskoda.ie")</f>
        <v>spiritskoda.ie</v>
      </c>
      <c r="C38409" t="s">
        <v>455</v>
      </c>
      <c r="D38409" t="s">
        <v>832</v>
      </c>
      <c r="F38409">
        <v>9.0155613669903901E-9</v>
      </c>
      <c r="G38409">
        <v>7968760</v>
      </c>
      <c r="H38409">
        <v>12228494</v>
      </c>
      <c r="I38409">
        <v>22545710</v>
      </c>
      <c r="J38409">
        <v>4</v>
      </c>
    </row>
    <row r="38410" spans="1:10" x14ac:dyDescent="0.25">
      <c r="A38410" t="s">
        <v>398</v>
      </c>
      <c r="B38410" s="1" t="str">
        <f>HYPERLINK("http://volkswagen.ie","volkswagen.ie")</f>
        <v>volkswagen.ie</v>
      </c>
      <c r="C38410" t="s">
        <v>455</v>
      </c>
      <c r="D38410" t="s">
        <v>832</v>
      </c>
      <c r="E38410">
        <v>868964</v>
      </c>
      <c r="F38410">
        <v>9.8831906369165504E-8</v>
      </c>
      <c r="G38410">
        <v>407702</v>
      </c>
      <c r="H38410">
        <v>13779013</v>
      </c>
      <c r="I38410">
        <v>6494198</v>
      </c>
      <c r="J38410">
        <v>3</v>
      </c>
    </row>
    <row r="38411" spans="1:10" x14ac:dyDescent="0.25">
      <c r="A38411" t="s">
        <v>398</v>
      </c>
      <c r="B38411" s="1" t="str">
        <f>HYPERLINK("http://vwfs.ie","vwfs.ie")</f>
        <v>vwfs.ie</v>
      </c>
      <c r="C38411" t="s">
        <v>455</v>
      </c>
      <c r="D38411" t="s">
        <v>832</v>
      </c>
      <c r="F38411">
        <v>3.8038169088153899E-8</v>
      </c>
      <c r="G38411">
        <v>1360591</v>
      </c>
      <c r="H38411">
        <v>12232510</v>
      </c>
      <c r="I38411">
        <v>22436362</v>
      </c>
      <c r="J38411">
        <v>4</v>
      </c>
    </row>
    <row r="38412" spans="1:10" x14ac:dyDescent="0.25">
      <c r="A38412" t="s">
        <v>398</v>
      </c>
      <c r="B38412" s="1" t="str">
        <f>HYPERLINK("http://westernmotors.ie","westernmotors.ie")</f>
        <v>westernmotors.ie</v>
      </c>
      <c r="C38412" t="s">
        <v>455</v>
      </c>
      <c r="D38412" t="s">
        <v>832</v>
      </c>
      <c r="F38412">
        <v>6.8668092812603696E-9</v>
      </c>
      <c r="G38412">
        <v>12739552</v>
      </c>
      <c r="H38412">
        <v>13070613</v>
      </c>
      <c r="I38412">
        <v>12244397</v>
      </c>
      <c r="J38412">
        <v>3</v>
      </c>
    </row>
    <row r="38413" spans="1:10" x14ac:dyDescent="0.25">
      <c r="A38413" t="s">
        <v>398</v>
      </c>
      <c r="B38413" s="1" t="str">
        <f>HYPERLINK("http://wexfordvolkswagen.ie","wexfordvolkswagen.ie")</f>
        <v>wexfordvolkswagen.ie</v>
      </c>
      <c r="C38413" t="s">
        <v>455</v>
      </c>
      <c r="D38413" t="s">
        <v>832</v>
      </c>
      <c r="F38413">
        <v>6.5902275000765402E-9</v>
      </c>
      <c r="G38413">
        <v>13714182</v>
      </c>
      <c r="H38413">
        <v>9341320</v>
      </c>
      <c r="I38413">
        <v>68096905</v>
      </c>
      <c r="J38413">
        <v>3</v>
      </c>
    </row>
    <row r="38414" spans="1:10" x14ac:dyDescent="0.25">
      <c r="A38414" t="s">
        <v>398</v>
      </c>
      <c r="B38414" s="1" t="str">
        <f>HYPERLINK("http://cfir.co.il","cfir.co.il")</f>
        <v>cfir.co.il</v>
      </c>
      <c r="C38414" t="s">
        <v>456</v>
      </c>
      <c r="D38414" t="s">
        <v>833</v>
      </c>
      <c r="F38414">
        <v>7.9289061459313303E-9</v>
      </c>
      <c r="G38414">
        <v>10055648</v>
      </c>
      <c r="H38414">
        <v>14072488</v>
      </c>
      <c r="I38414">
        <v>3082814</v>
      </c>
      <c r="J38414">
        <v>7</v>
      </c>
    </row>
    <row r="38415" spans="1:10" x14ac:dyDescent="0.25">
      <c r="A38415" t="s">
        <v>398</v>
      </c>
      <c r="B38415" s="1" t="str">
        <f>HYPERLINK("http://porsche.co.il","porsche.co.il")</f>
        <v>porsche.co.il</v>
      </c>
      <c r="C38415" t="s">
        <v>456</v>
      </c>
      <c r="D38415" t="s">
        <v>833</v>
      </c>
      <c r="F38415">
        <v>8.9315376047312001E-9</v>
      </c>
      <c r="G38415">
        <v>8096128</v>
      </c>
      <c r="H38415">
        <v>14074171</v>
      </c>
      <c r="I38415">
        <v>2953650</v>
      </c>
      <c r="J38415">
        <v>4</v>
      </c>
    </row>
    <row r="38416" spans="1:10" x14ac:dyDescent="0.25">
      <c r="A38416" t="s">
        <v>398</v>
      </c>
      <c r="B38416" s="1" t="str">
        <f>HYPERLINK("http://shapir.co.il","shapir.co.il")</f>
        <v>shapir.co.il</v>
      </c>
      <c r="C38416" t="s">
        <v>456</v>
      </c>
      <c r="D38416" t="s">
        <v>833</v>
      </c>
      <c r="F38416">
        <v>8.1859206833694503E-9</v>
      </c>
      <c r="G38416">
        <v>9595309</v>
      </c>
      <c r="H38416">
        <v>14073890</v>
      </c>
      <c r="I38416">
        <v>2966031</v>
      </c>
      <c r="J38416">
        <v>8</v>
      </c>
    </row>
    <row r="38417" spans="1:10" x14ac:dyDescent="0.25">
      <c r="A38417" t="s">
        <v>398</v>
      </c>
      <c r="B38417" s="1" t="str">
        <f>HYPERLINK("http://audi.im","audi.im")</f>
        <v>audi.im</v>
      </c>
      <c r="C38417" t="s">
        <v>570</v>
      </c>
      <c r="D38417" t="s">
        <v>917</v>
      </c>
      <c r="F38417">
        <v>7.5812519587148493E-9</v>
      </c>
      <c r="G38417">
        <v>10834471</v>
      </c>
      <c r="H38417">
        <v>12415959</v>
      </c>
      <c r="I38417">
        <v>18528038</v>
      </c>
      <c r="J38417">
        <v>4</v>
      </c>
    </row>
    <row r="38418" spans="1:10" x14ac:dyDescent="0.25">
      <c r="A38418" t="s">
        <v>398</v>
      </c>
      <c r="B38418" s="1" t="str">
        <f>HYPERLINK("http://audi.co.im","audi.co.im")</f>
        <v>audi.co.im</v>
      </c>
      <c r="C38418" t="s">
        <v>570</v>
      </c>
      <c r="D38418" t="s">
        <v>917</v>
      </c>
      <c r="F38418">
        <v>7.5035327150158002E-9</v>
      </c>
      <c r="G38418">
        <v>11005822</v>
      </c>
      <c r="H38418">
        <v>12415958</v>
      </c>
      <c r="I38418">
        <v>18528053</v>
      </c>
      <c r="J38418">
        <v>4</v>
      </c>
    </row>
    <row r="38419" spans="1:10" x14ac:dyDescent="0.25">
      <c r="A38419" t="s">
        <v>398</v>
      </c>
      <c r="B38419" s="1" t="str">
        <f>HYPERLINK("http://audi.in","audi.in")</f>
        <v>audi.in</v>
      </c>
      <c r="C38419" t="s">
        <v>457</v>
      </c>
      <c r="D38419" t="s">
        <v>834</v>
      </c>
      <c r="E38419">
        <v>513312</v>
      </c>
      <c r="F38419">
        <v>8.9740541842949704E-8</v>
      </c>
      <c r="G38419">
        <v>454938</v>
      </c>
      <c r="H38419">
        <v>14884008</v>
      </c>
      <c r="I38419">
        <v>470549</v>
      </c>
      <c r="J38419">
        <v>4</v>
      </c>
    </row>
    <row r="38420" spans="1:10" x14ac:dyDescent="0.25">
      <c r="A38420" t="s">
        <v>398</v>
      </c>
      <c r="B38420" s="1" t="str">
        <f>HYPERLINK("http://audi.co.in","audi.co.in")</f>
        <v>audi.co.in</v>
      </c>
      <c r="C38420" t="s">
        <v>457</v>
      </c>
      <c r="D38420" t="s">
        <v>834</v>
      </c>
      <c r="F38420">
        <v>4.4817533971824301E-9</v>
      </c>
      <c r="G38420">
        <v>62002354</v>
      </c>
      <c r="H38420">
        <v>10975074</v>
      </c>
      <c r="I38420">
        <v>34033181</v>
      </c>
      <c r="J38420">
        <v>7</v>
      </c>
    </row>
    <row r="38421" spans="1:10" x14ac:dyDescent="0.25">
      <c r="A38421" t="s">
        <v>398</v>
      </c>
      <c r="B38421" s="1" t="str">
        <f>HYPERLINK("http://skoda-auto.co.in","skoda-auto.co.in")</f>
        <v>skoda-auto.co.in</v>
      </c>
      <c r="C38421" t="s">
        <v>457</v>
      </c>
      <c r="D38421" t="s">
        <v>834</v>
      </c>
      <c r="E38421">
        <v>284031</v>
      </c>
      <c r="F38421">
        <v>7.2622699044790395E-8</v>
      </c>
      <c r="G38421">
        <v>580994</v>
      </c>
      <c r="H38421">
        <v>15123630</v>
      </c>
      <c r="I38421">
        <v>403232</v>
      </c>
      <c r="J38421">
        <v>4</v>
      </c>
    </row>
    <row r="38422" spans="1:10" x14ac:dyDescent="0.25">
      <c r="A38422" t="s">
        <v>398</v>
      </c>
      <c r="B38422" s="1" t="str">
        <f>HYPERLINK("http://skoda-vw.co.in","skoda-vw.co.in")</f>
        <v>skoda-vw.co.in</v>
      </c>
      <c r="C38422" t="s">
        <v>457</v>
      </c>
      <c r="D38422" t="s">
        <v>834</v>
      </c>
      <c r="F38422">
        <v>3.9406941581407201E-8</v>
      </c>
      <c r="G38422">
        <v>1309763</v>
      </c>
      <c r="H38422">
        <v>12836004</v>
      </c>
      <c r="I38422">
        <v>14376956</v>
      </c>
      <c r="J38422">
        <v>3</v>
      </c>
    </row>
    <row r="38423" spans="1:10" x14ac:dyDescent="0.25">
      <c r="A38423" t="s">
        <v>398</v>
      </c>
      <c r="B38423" s="1" t="str">
        <f>HYPERLINK("http://volkswagen.co.in","volkswagen.co.in")</f>
        <v>volkswagen.co.in</v>
      </c>
      <c r="C38423" t="s">
        <v>457</v>
      </c>
      <c r="D38423" t="s">
        <v>834</v>
      </c>
      <c r="E38423">
        <v>185894</v>
      </c>
      <c r="F38423">
        <v>1.05811194764485E-7</v>
      </c>
      <c r="G38423">
        <v>378510</v>
      </c>
      <c r="H38423">
        <v>15141261</v>
      </c>
      <c r="I38423">
        <v>401123</v>
      </c>
      <c r="J38423">
        <v>4</v>
      </c>
    </row>
    <row r="38424" spans="1:10" x14ac:dyDescent="0.25">
      <c r="A38424" t="s">
        <v>398</v>
      </c>
      <c r="B38424" s="1" t="str">
        <f>HYPERLINK("http://volkswagen-finance-india.co.in","volkswagen-finance-india.co.in")</f>
        <v>volkswagen-finance-india.co.in</v>
      </c>
      <c r="C38424" t="s">
        <v>457</v>
      </c>
      <c r="D38424" t="s">
        <v>834</v>
      </c>
      <c r="F38424">
        <v>1.1109608419298E-8</v>
      </c>
      <c r="G38424">
        <v>5778460</v>
      </c>
      <c r="H38424">
        <v>12225075</v>
      </c>
      <c r="I38424">
        <v>22652006</v>
      </c>
      <c r="J38424">
        <v>7</v>
      </c>
    </row>
    <row r="38425" spans="1:10" x14ac:dyDescent="0.25">
      <c r="A38425" t="s">
        <v>398</v>
      </c>
      <c r="B38425" s="1" t="str">
        <f>HYPERLINK("http://vwfs.co.in","vwfs.co.in")</f>
        <v>vwfs.co.in</v>
      </c>
      <c r="C38425" t="s">
        <v>457</v>
      </c>
      <c r="D38425" t="s">
        <v>834</v>
      </c>
      <c r="F38425">
        <v>5.0861195391751498E-9</v>
      </c>
      <c r="G38425">
        <v>27377852</v>
      </c>
      <c r="H38425">
        <v>12577625</v>
      </c>
      <c r="I38425">
        <v>16538518</v>
      </c>
      <c r="J38425">
        <v>4</v>
      </c>
    </row>
    <row r="38426" spans="1:10" x14ac:dyDescent="0.25">
      <c r="A38426" t="s">
        <v>398</v>
      </c>
      <c r="B38426" s="1" t="str">
        <f>HYPERLINK("http://kuwy.in","kuwy.in")</f>
        <v>kuwy.in</v>
      </c>
      <c r="C38426" t="s">
        <v>457</v>
      </c>
      <c r="D38426" t="s">
        <v>834</v>
      </c>
      <c r="F38426">
        <v>4.2704518328741E-8</v>
      </c>
      <c r="G38426">
        <v>1131045</v>
      </c>
      <c r="H38426">
        <v>16751202</v>
      </c>
      <c r="I38426">
        <v>281959</v>
      </c>
      <c r="J38426">
        <v>3</v>
      </c>
    </row>
    <row r="38427" spans="1:10" x14ac:dyDescent="0.25">
      <c r="A38427" t="s">
        <v>398</v>
      </c>
      <c r="B38427" s="1" t="str">
        <f>HYPERLINK("http://automobile-mueller.info","automobile-mueller.info")</f>
        <v>automobile-mueller.info</v>
      </c>
      <c r="C38427" t="s">
        <v>458</v>
      </c>
      <c r="F38427">
        <v>1.7810228058812802E-8</v>
      </c>
      <c r="G38427">
        <v>3072512</v>
      </c>
      <c r="H38427">
        <v>12135716</v>
      </c>
      <c r="I38427">
        <v>24982569</v>
      </c>
      <c r="J38427">
        <v>4</v>
      </c>
    </row>
    <row r="38428" spans="1:10" x14ac:dyDescent="0.25">
      <c r="A38428" t="s">
        <v>398</v>
      </c>
      <c r="B38428" s="1" t="str">
        <f>HYPERLINK("http://audi.io","audi.io")</f>
        <v>audi.io</v>
      </c>
      <c r="C38428" t="s">
        <v>518</v>
      </c>
      <c r="F38428">
        <v>8.9345077187587793E-9</v>
      </c>
      <c r="G38428">
        <v>8091737</v>
      </c>
      <c r="H38428">
        <v>12416090</v>
      </c>
      <c r="I38428">
        <v>18526328</v>
      </c>
      <c r="J38428">
        <v>4</v>
      </c>
    </row>
    <row r="38429" spans="1:10" x14ac:dyDescent="0.25">
      <c r="A38429" t="s">
        <v>398</v>
      </c>
      <c r="B38429" s="1" t="str">
        <f>HYPERLINK("http://moia.io","moia.io")</f>
        <v>moia.io</v>
      </c>
      <c r="C38429" t="s">
        <v>518</v>
      </c>
      <c r="E38429">
        <v>490642</v>
      </c>
      <c r="F38429">
        <v>4.8155286095247803E-7</v>
      </c>
      <c r="G38429">
        <v>78998</v>
      </c>
      <c r="H38429">
        <v>17232200</v>
      </c>
      <c r="I38429">
        <v>36583</v>
      </c>
      <c r="J38429">
        <v>3</v>
      </c>
    </row>
    <row r="38430" spans="1:10" x14ac:dyDescent="0.25">
      <c r="A38430" t="s">
        <v>398</v>
      </c>
      <c r="B38430" s="1" t="str">
        <f>HYPERLINK("http://we-share.io","we-share.io")</f>
        <v>we-share.io</v>
      </c>
      <c r="C38430" t="s">
        <v>518</v>
      </c>
      <c r="F38430">
        <v>9.3888675329123797E-8</v>
      </c>
      <c r="G38430">
        <v>432523</v>
      </c>
      <c r="H38430">
        <v>14452688</v>
      </c>
      <c r="I38430">
        <v>1051607</v>
      </c>
      <c r="J38430">
        <v>3</v>
      </c>
    </row>
    <row r="38431" spans="1:10" x14ac:dyDescent="0.25">
      <c r="A38431" t="s">
        <v>398</v>
      </c>
      <c r="B38431" s="1" t="str">
        <f>HYPERLINK("http://audi.ir","audi.ir")</f>
        <v>audi.ir</v>
      </c>
      <c r="C38431" t="s">
        <v>751</v>
      </c>
      <c r="D38431" t="s">
        <v>1010</v>
      </c>
      <c r="F38431">
        <v>9.0953086950876594E-9</v>
      </c>
      <c r="G38431">
        <v>7853297</v>
      </c>
      <c r="H38431">
        <v>12415966</v>
      </c>
      <c r="I38431">
        <v>18527922</v>
      </c>
      <c r="J38431">
        <v>4</v>
      </c>
    </row>
    <row r="38432" spans="1:10" x14ac:dyDescent="0.25">
      <c r="A38432" t="s">
        <v>398</v>
      </c>
      <c r="B38432" s="1" t="str">
        <f>HYPERLINK("http://audi.co.ir","audi.co.ir")</f>
        <v>audi.co.ir</v>
      </c>
      <c r="C38432" t="s">
        <v>751</v>
      </c>
      <c r="D38432" t="s">
        <v>1010</v>
      </c>
      <c r="F38432">
        <v>9.0991824573529098E-9</v>
      </c>
      <c r="G38432">
        <v>7848068</v>
      </c>
      <c r="H38432">
        <v>13565767</v>
      </c>
      <c r="I38432">
        <v>9775190</v>
      </c>
      <c r="J38432">
        <v>4</v>
      </c>
    </row>
    <row r="38433" spans="1:10" x14ac:dyDescent="0.25">
      <c r="A38433" t="s">
        <v>398</v>
      </c>
      <c r="B38433" s="1" t="str">
        <f>HYPERLINK("http://volkswagen.is","volkswagen.is")</f>
        <v>volkswagen.is</v>
      </c>
      <c r="C38433" t="s">
        <v>594</v>
      </c>
      <c r="D38433" t="s">
        <v>929</v>
      </c>
      <c r="F38433">
        <v>2.3220738334949001E-8</v>
      </c>
      <c r="G38433">
        <v>2247343</v>
      </c>
      <c r="H38433">
        <v>12207149</v>
      </c>
      <c r="I38433">
        <v>23105922</v>
      </c>
      <c r="J38433">
        <v>4</v>
      </c>
    </row>
    <row r="38434" spans="1:10" x14ac:dyDescent="0.25">
      <c r="A38434" t="s">
        <v>398</v>
      </c>
      <c r="B38434" s="1" t="str">
        <f>HYPERLINK("http://aimeautomobili.it","aimeautomobili.it")</f>
        <v>aimeautomobili.it</v>
      </c>
      <c r="C38434" t="s">
        <v>459</v>
      </c>
      <c r="D38434" t="s">
        <v>835</v>
      </c>
      <c r="F38434">
        <v>4.8837024405459703E-9</v>
      </c>
      <c r="G38434">
        <v>32962856</v>
      </c>
      <c r="H38434">
        <v>10742387</v>
      </c>
      <c r="I38434">
        <v>40333479</v>
      </c>
      <c r="J38434">
        <v>4</v>
      </c>
    </row>
    <row r="38435" spans="1:10" x14ac:dyDescent="0.25">
      <c r="A38435" t="s">
        <v>398</v>
      </c>
      <c r="B38435" s="1" t="str">
        <f>HYPERLINK("http://audi.it","audi.it")</f>
        <v>audi.it</v>
      </c>
      <c r="C38435" t="s">
        <v>459</v>
      </c>
      <c r="D38435" t="s">
        <v>835</v>
      </c>
      <c r="E38435">
        <v>259616</v>
      </c>
      <c r="F38435">
        <v>1.7770348016059499E-7</v>
      </c>
      <c r="G38435">
        <v>217593</v>
      </c>
      <c r="H38435">
        <v>14521255</v>
      </c>
      <c r="I38435">
        <v>803009</v>
      </c>
      <c r="J38435">
        <v>4</v>
      </c>
    </row>
    <row r="38436" spans="1:10" x14ac:dyDescent="0.25">
      <c r="A38436" t="s">
        <v>398</v>
      </c>
      <c r="B38436" s="1" t="str">
        <f>HYPERLINK("http://autoarona.it","autoarona.it")</f>
        <v>autoarona.it</v>
      </c>
      <c r="C38436" t="s">
        <v>459</v>
      </c>
      <c r="D38436" t="s">
        <v>835</v>
      </c>
      <c r="F38436">
        <v>1.1357465022923701E-8</v>
      </c>
      <c r="G38436">
        <v>5603138</v>
      </c>
      <c r="H38436">
        <v>12087775</v>
      </c>
      <c r="I38436">
        <v>26341143</v>
      </c>
      <c r="J38436">
        <v>4</v>
      </c>
    </row>
    <row r="38437" spans="1:10" x14ac:dyDescent="0.25">
      <c r="A38437" t="s">
        <v>398</v>
      </c>
      <c r="B38437" s="1" t="str">
        <f>HYPERLINK("http://autosantasofia.it","autosantasofia.it")</f>
        <v>autosantasofia.it</v>
      </c>
      <c r="C38437" t="s">
        <v>459</v>
      </c>
      <c r="D38437" t="s">
        <v>835</v>
      </c>
      <c r="J38437">
        <v>4</v>
      </c>
    </row>
    <row r="38438" spans="1:10" x14ac:dyDescent="0.25">
      <c r="A38438" t="s">
        <v>398</v>
      </c>
      <c r="B38438" s="1" t="str">
        <f>HYPERLINK("http://autosport-service.it","autosport-service.it")</f>
        <v>autosport-service.it</v>
      </c>
      <c r="C38438" t="s">
        <v>459</v>
      </c>
      <c r="D38438" t="s">
        <v>835</v>
      </c>
      <c r="J38438">
        <v>3</v>
      </c>
    </row>
    <row r="38439" spans="1:10" x14ac:dyDescent="0.25">
      <c r="A38439" t="s">
        <v>398</v>
      </c>
      <c r="B38439" s="1" t="str">
        <f>HYPERLINK("http://bonaldi.it","bonaldi.it")</f>
        <v>bonaldi.it</v>
      </c>
      <c r="C38439" t="s">
        <v>459</v>
      </c>
      <c r="D38439" t="s">
        <v>835</v>
      </c>
      <c r="F38439">
        <v>1.5590724370741102E-8</v>
      </c>
      <c r="G38439">
        <v>3657721</v>
      </c>
      <c r="H38439">
        <v>13933981</v>
      </c>
      <c r="I38439">
        <v>4646763</v>
      </c>
      <c r="J38439">
        <v>3</v>
      </c>
    </row>
    <row r="38440" spans="1:10" x14ac:dyDescent="0.25">
      <c r="A38440" t="s">
        <v>398</v>
      </c>
      <c r="B38440" s="1" t="str">
        <f>HYPERLINK("http://incar.bz.it","incar.bz.it")</f>
        <v>incar.bz.it</v>
      </c>
      <c r="C38440" t="s">
        <v>459</v>
      </c>
      <c r="D38440" t="s">
        <v>835</v>
      </c>
      <c r="F38440">
        <v>5.6157780181484502E-9</v>
      </c>
      <c r="G38440">
        <v>19707766</v>
      </c>
      <c r="H38440">
        <v>10602578</v>
      </c>
      <c r="I38440">
        <v>44807649</v>
      </c>
      <c r="J38440">
        <v>4</v>
      </c>
    </row>
    <row r="38441" spans="1:10" x14ac:dyDescent="0.25">
      <c r="A38441" t="s">
        <v>398</v>
      </c>
      <c r="B38441" s="1" t="str">
        <f>HYPERLINK("http://concessionari-volkswagenveicolicommerciali.it","concessionari-volkswagenveicolicommerciali.it")</f>
        <v>concessionari-volkswagenveicolicommerciali.it</v>
      </c>
      <c r="C38441" t="s">
        <v>459</v>
      </c>
      <c r="D38441" t="s">
        <v>835</v>
      </c>
      <c r="F38441">
        <v>6.3738399704346897E-9</v>
      </c>
      <c r="G38441">
        <v>14646803</v>
      </c>
      <c r="H38441">
        <v>13106447</v>
      </c>
      <c r="I38441">
        <v>12059599</v>
      </c>
      <c r="J38441">
        <v>4</v>
      </c>
    </row>
    <row r="38442" spans="1:10" x14ac:dyDescent="0.25">
      <c r="A38442" t="s">
        <v>398</v>
      </c>
      <c r="B38442" s="1" t="str">
        <f>HYPERLINK("http://concessionarie-volkswagen.it","concessionarie-volkswagen.it")</f>
        <v>concessionarie-volkswagen.it</v>
      </c>
      <c r="C38442" t="s">
        <v>459</v>
      </c>
      <c r="D38442" t="s">
        <v>835</v>
      </c>
      <c r="F38442">
        <v>1.13183782405826E-7</v>
      </c>
      <c r="G38442">
        <v>352683</v>
      </c>
      <c r="H38442">
        <v>13117180</v>
      </c>
      <c r="I38442">
        <v>12004357</v>
      </c>
      <c r="J38442">
        <v>3</v>
      </c>
    </row>
    <row r="38443" spans="1:10" x14ac:dyDescent="0.25">
      <c r="A38443" t="s">
        <v>398</v>
      </c>
      <c r="B38443" s="1" t="str">
        <f>HYPERLINK("http://cupraofficial.it","cupraofficial.it")</f>
        <v>cupraofficial.it</v>
      </c>
      <c r="C38443" t="s">
        <v>459</v>
      </c>
      <c r="D38443" t="s">
        <v>835</v>
      </c>
      <c r="F38443">
        <v>5.49691577084751E-8</v>
      </c>
      <c r="G38443">
        <v>818219</v>
      </c>
      <c r="H38443">
        <v>14421260</v>
      </c>
      <c r="I38443">
        <v>1087840</v>
      </c>
      <c r="J38443">
        <v>4</v>
      </c>
    </row>
    <row r="38444" spans="1:10" x14ac:dyDescent="0.25">
      <c r="A38444" t="s">
        <v>398</v>
      </c>
      <c r="B38444" s="1" t="str">
        <f>HYPERLINK("http://ducati.it","ducati.it")</f>
        <v>ducati.it</v>
      </c>
      <c r="C38444" t="s">
        <v>459</v>
      </c>
      <c r="D38444" t="s">
        <v>835</v>
      </c>
      <c r="E38444">
        <v>725159</v>
      </c>
      <c r="F38444">
        <v>6.5536354326284594E-8</v>
      </c>
      <c r="G38444">
        <v>655969</v>
      </c>
      <c r="H38444">
        <v>14535970</v>
      </c>
      <c r="I38444">
        <v>780206</v>
      </c>
      <c r="J38444">
        <v>3</v>
      </c>
    </row>
    <row r="38445" spans="1:10" x14ac:dyDescent="0.25">
      <c r="A38445" t="s">
        <v>398</v>
      </c>
      <c r="B38445" s="1" t="str">
        <f>HYPERLINK("http://eurocaritalia.it","eurocaritalia.it")</f>
        <v>eurocaritalia.it</v>
      </c>
      <c r="C38445" t="s">
        <v>459</v>
      </c>
      <c r="D38445" t="s">
        <v>835</v>
      </c>
      <c r="F38445">
        <v>1.1001613889779E-8</v>
      </c>
      <c r="G38445">
        <v>5858849</v>
      </c>
      <c r="H38445">
        <v>12203339</v>
      </c>
      <c r="I38445">
        <v>23235160</v>
      </c>
      <c r="J38445">
        <v>3</v>
      </c>
    </row>
    <row r="38446" spans="1:10" x14ac:dyDescent="0.25">
      <c r="A38446" t="s">
        <v>398</v>
      </c>
      <c r="B38446" s="1" t="str">
        <f>HYPERLINK("http://fortini.it","fortini.it")</f>
        <v>fortini.it</v>
      </c>
      <c r="C38446" t="s">
        <v>459</v>
      </c>
      <c r="D38446" t="s">
        <v>835</v>
      </c>
      <c r="F38446">
        <v>4.8455883118557798E-9</v>
      </c>
      <c r="G38446">
        <v>34289181</v>
      </c>
      <c r="H38446">
        <v>12290235</v>
      </c>
      <c r="I38446">
        <v>21105624</v>
      </c>
      <c r="J38446">
        <v>3</v>
      </c>
    </row>
    <row r="38447" spans="1:10" x14ac:dyDescent="0.25">
      <c r="A38447" t="s">
        <v>398</v>
      </c>
      <c r="B38447" s="1" t="str">
        <f>HYPERLINK("http://gesicar.it","gesicar.it")</f>
        <v>gesicar.it</v>
      </c>
      <c r="C38447" t="s">
        <v>459</v>
      </c>
      <c r="D38447" t="s">
        <v>835</v>
      </c>
      <c r="F38447">
        <v>7.32099036670346E-9</v>
      </c>
      <c r="G38447">
        <v>11428772</v>
      </c>
      <c r="H38447">
        <v>12356364</v>
      </c>
      <c r="I38447">
        <v>19654567</v>
      </c>
      <c r="J38447">
        <v>4</v>
      </c>
    </row>
    <row r="38448" spans="1:10" x14ac:dyDescent="0.25">
      <c r="A38448" t="s">
        <v>398</v>
      </c>
      <c r="B38448" s="1" t="str">
        <f>HYPERLINK("http://gruppobossoni.it","gruppobossoni.it")</f>
        <v>gruppobossoni.it</v>
      </c>
      <c r="C38448" t="s">
        <v>459</v>
      </c>
      <c r="D38448" t="s">
        <v>835</v>
      </c>
      <c r="F38448">
        <v>1.32205226445223E-8</v>
      </c>
      <c r="G38448">
        <v>4529142</v>
      </c>
      <c r="H38448">
        <v>12323550</v>
      </c>
      <c r="I38448">
        <v>20348211</v>
      </c>
      <c r="J38448">
        <v>9</v>
      </c>
    </row>
    <row r="38449" spans="1:10" x14ac:dyDescent="0.25">
      <c r="A38449" t="s">
        <v>398</v>
      </c>
      <c r="B38449" s="1" t="str">
        <f>HYPERLINK("http://italdesign.it","italdesign.it")</f>
        <v>italdesign.it</v>
      </c>
      <c r="C38449" t="s">
        <v>459</v>
      </c>
      <c r="D38449" t="s">
        <v>835</v>
      </c>
      <c r="E38449">
        <v>246006</v>
      </c>
      <c r="F38449">
        <v>1.8199478193165499E-7</v>
      </c>
      <c r="G38449">
        <v>212013</v>
      </c>
      <c r="H38449">
        <v>14915287</v>
      </c>
      <c r="I38449">
        <v>454604</v>
      </c>
      <c r="J38449">
        <v>3</v>
      </c>
    </row>
    <row r="38450" spans="1:10" x14ac:dyDescent="0.25">
      <c r="A38450" t="s">
        <v>398</v>
      </c>
      <c r="B38450" s="1" t="str">
        <f>HYPERLINK("http://lauto.it","lauto.it")</f>
        <v>lauto.it</v>
      </c>
      <c r="C38450" t="s">
        <v>459</v>
      </c>
      <c r="D38450" t="s">
        <v>835</v>
      </c>
      <c r="F38450">
        <v>7.3121308322482904E-9</v>
      </c>
      <c r="G38450">
        <v>11450125</v>
      </c>
      <c r="H38450">
        <v>12144285</v>
      </c>
      <c r="I38450">
        <v>24776790</v>
      </c>
      <c r="J38450">
        <v>3</v>
      </c>
    </row>
    <row r="38451" spans="1:10" x14ac:dyDescent="0.25">
      <c r="A38451" t="s">
        <v>398</v>
      </c>
      <c r="B38451" s="1" t="str">
        <f>HYPERLINK("http://lodigiani.it","lodigiani.it")</f>
        <v>lodigiani.it</v>
      </c>
      <c r="C38451" t="s">
        <v>459</v>
      </c>
      <c r="D38451" t="s">
        <v>835</v>
      </c>
      <c r="F38451">
        <v>5.2858290412057096E-9</v>
      </c>
      <c r="G38451">
        <v>23704666</v>
      </c>
      <c r="H38451">
        <v>13275939</v>
      </c>
      <c r="I38451">
        <v>10930083</v>
      </c>
      <c r="J38451">
        <v>4</v>
      </c>
    </row>
    <row r="38452" spans="1:10" x14ac:dyDescent="0.25">
      <c r="A38452" t="s">
        <v>398</v>
      </c>
      <c r="B38452" s="1" t="str">
        <f>HYPERLINK("http://lombardamotori.it","lombardamotori.it")</f>
        <v>lombardamotori.it</v>
      </c>
      <c r="C38452" t="s">
        <v>459</v>
      </c>
      <c r="D38452" t="s">
        <v>835</v>
      </c>
      <c r="F38452">
        <v>1.2098550690877399E-8</v>
      </c>
      <c r="G38452">
        <v>5114174</v>
      </c>
      <c r="H38452">
        <v>12188464</v>
      </c>
      <c r="I38452">
        <v>23623103</v>
      </c>
      <c r="J38452">
        <v>3</v>
      </c>
    </row>
    <row r="38453" spans="1:10" x14ac:dyDescent="0.25">
      <c r="A38453" t="s">
        <v>398</v>
      </c>
      <c r="B38453" s="1" t="str">
        <f>HYPERLINK("http://maioraniugolino.it","maioraniugolino.it")</f>
        <v>maioraniugolino.it</v>
      </c>
      <c r="C38453" t="s">
        <v>459</v>
      </c>
      <c r="D38453" t="s">
        <v>835</v>
      </c>
      <c r="F38453">
        <v>7.0857909392591202E-9</v>
      </c>
      <c r="G38453">
        <v>12055543</v>
      </c>
      <c r="H38453">
        <v>11365132</v>
      </c>
      <c r="I38453">
        <v>30342778</v>
      </c>
      <c r="J38453">
        <v>4</v>
      </c>
    </row>
    <row r="38454" spans="1:10" x14ac:dyDescent="0.25">
      <c r="A38454" t="s">
        <v>398</v>
      </c>
      <c r="B38454" s="1" t="str">
        <f>HYPERLINK("http://man4you.it","man4you.it")</f>
        <v>man4you.it</v>
      </c>
      <c r="C38454" t="s">
        <v>459</v>
      </c>
      <c r="D38454" t="s">
        <v>835</v>
      </c>
      <c r="F38454">
        <v>1.0379422941E-8</v>
      </c>
      <c r="G38454">
        <v>6377622</v>
      </c>
      <c r="H38454">
        <v>12263409</v>
      </c>
      <c r="I38454">
        <v>21669695</v>
      </c>
      <c r="J38454">
        <v>5</v>
      </c>
    </row>
    <row r="38455" spans="1:10" x14ac:dyDescent="0.25">
      <c r="A38455" t="s">
        <v>398</v>
      </c>
      <c r="B38455" s="1" t="str">
        <f>HYPERLINK("http://mandolini.it","mandolini.it")</f>
        <v>mandolini.it</v>
      </c>
      <c r="C38455" t="s">
        <v>459</v>
      </c>
      <c r="D38455" t="s">
        <v>835</v>
      </c>
      <c r="F38455">
        <v>6.5189026474733097E-9</v>
      </c>
      <c r="G38455">
        <v>14000146</v>
      </c>
      <c r="H38455">
        <v>12008510</v>
      </c>
      <c r="I38455">
        <v>28110877</v>
      </c>
      <c r="J38455">
        <v>4</v>
      </c>
    </row>
    <row r="38456" spans="1:10" x14ac:dyDescent="0.25">
      <c r="A38456" t="s">
        <v>398</v>
      </c>
      <c r="B38456" s="1" t="str">
        <f>HYPERLINK("http://martignonisrl.it","martignonisrl.it")</f>
        <v>martignonisrl.it</v>
      </c>
      <c r="C38456" t="s">
        <v>459</v>
      </c>
      <c r="D38456" t="s">
        <v>835</v>
      </c>
      <c r="F38456">
        <v>5.2805885911427798E-9</v>
      </c>
      <c r="G38456">
        <v>23781409</v>
      </c>
      <c r="H38456">
        <v>12078374</v>
      </c>
      <c r="I38456">
        <v>26599959</v>
      </c>
      <c r="J38456">
        <v>3</v>
      </c>
    </row>
    <row r="38457" spans="1:10" x14ac:dyDescent="0.25">
      <c r="A38457" t="s">
        <v>398</v>
      </c>
      <c r="B38457" s="1" t="str">
        <f>HYPERLINK("http://motorclass.it","motorclass.it")</f>
        <v>motorclass.it</v>
      </c>
      <c r="C38457" t="s">
        <v>459</v>
      </c>
      <c r="D38457" t="s">
        <v>835</v>
      </c>
      <c r="F38457">
        <v>5.67760714630008E-9</v>
      </c>
      <c r="G38457">
        <v>19150731</v>
      </c>
      <c r="H38457">
        <v>13106718</v>
      </c>
      <c r="I38457">
        <v>12056040</v>
      </c>
      <c r="J38457">
        <v>4</v>
      </c>
    </row>
    <row r="38458" spans="1:10" x14ac:dyDescent="0.25">
      <c r="A38458" t="s">
        <v>398</v>
      </c>
      <c r="B38458" s="1" t="str">
        <f>HYPERLINK("http://motorunion.it","motorunion.it")</f>
        <v>motorunion.it</v>
      </c>
      <c r="C38458" t="s">
        <v>459</v>
      </c>
      <c r="D38458" t="s">
        <v>835</v>
      </c>
      <c r="F38458">
        <v>4.7029879504924499E-9</v>
      </c>
      <c r="G38458">
        <v>41082737</v>
      </c>
      <c r="H38458">
        <v>10355178</v>
      </c>
      <c r="I38458">
        <v>55777137</v>
      </c>
      <c r="J38458">
        <v>3</v>
      </c>
    </row>
    <row r="38459" spans="1:10" x14ac:dyDescent="0.25">
      <c r="A38459" t="s">
        <v>398</v>
      </c>
      <c r="B38459" s="1" t="str">
        <f>HYPERLINK("http://officine-volkswagenveicolicommerciali.it","officine-volkswagenveicolicommerciali.it")</f>
        <v>officine-volkswagenveicolicommerciali.it</v>
      </c>
      <c r="C38459" t="s">
        <v>459</v>
      </c>
      <c r="D38459" t="s">
        <v>835</v>
      </c>
      <c r="F38459">
        <v>6.0629848457267597E-9</v>
      </c>
      <c r="G38459">
        <v>16308009</v>
      </c>
      <c r="H38459">
        <v>8517199</v>
      </c>
      <c r="I38459">
        <v>71864116</v>
      </c>
      <c r="J38459">
        <v>4</v>
      </c>
    </row>
    <row r="38460" spans="1:10" x14ac:dyDescent="0.25">
      <c r="A38460" t="s">
        <v>398</v>
      </c>
      <c r="B38460" s="1" t="str">
        <f>HYPERLINK("http://pantano-srl.it","pantano-srl.it")</f>
        <v>pantano-srl.it</v>
      </c>
      <c r="C38460" t="s">
        <v>459</v>
      </c>
      <c r="D38460" t="s">
        <v>835</v>
      </c>
      <c r="F38460">
        <v>5.0415464663220998E-9</v>
      </c>
      <c r="G38460">
        <v>28407844</v>
      </c>
      <c r="H38460">
        <v>12289780</v>
      </c>
      <c r="I38460">
        <v>21115672</v>
      </c>
      <c r="J38460">
        <v>4</v>
      </c>
    </row>
    <row r="38461" spans="1:10" x14ac:dyDescent="0.25">
      <c r="A38461" t="s">
        <v>398</v>
      </c>
      <c r="B38461" s="1" t="str">
        <f>HYPERLINK("http://porsche.it","porsche.it")</f>
        <v>porsche.it</v>
      </c>
      <c r="C38461" t="s">
        <v>459</v>
      </c>
      <c r="D38461" t="s">
        <v>835</v>
      </c>
      <c r="F38461">
        <v>2.14199870570209E-8</v>
      </c>
      <c r="G38461">
        <v>2459170</v>
      </c>
      <c r="H38461">
        <v>13405535</v>
      </c>
      <c r="I38461">
        <v>10356172</v>
      </c>
      <c r="J38461">
        <v>4</v>
      </c>
    </row>
    <row r="38462" spans="1:10" x14ac:dyDescent="0.25">
      <c r="A38462" t="s">
        <v>398</v>
      </c>
      <c r="B38462" s="1" t="str">
        <f>HYPERLINK("http://scania.it","scania.it")</f>
        <v>scania.it</v>
      </c>
      <c r="C38462" t="s">
        <v>459</v>
      </c>
      <c r="D38462" t="s">
        <v>835</v>
      </c>
      <c r="F38462">
        <v>1.70252922831326E-8</v>
      </c>
      <c r="G38462">
        <v>3277437</v>
      </c>
      <c r="H38462">
        <v>12968773</v>
      </c>
      <c r="I38462">
        <v>13059862</v>
      </c>
      <c r="J38462">
        <v>3</v>
      </c>
    </row>
    <row r="38463" spans="1:10" x14ac:dyDescent="0.25">
      <c r="A38463" t="s">
        <v>398</v>
      </c>
      <c r="B38463" s="1" t="str">
        <f>HYPERLINK("http://skoda-auto.it","skoda-auto.it")</f>
        <v>skoda-auto.it</v>
      </c>
      <c r="C38463" t="s">
        <v>459</v>
      </c>
      <c r="D38463" t="s">
        <v>835</v>
      </c>
      <c r="E38463">
        <v>650986</v>
      </c>
      <c r="F38463">
        <v>8.2373939683114904E-8</v>
      </c>
      <c r="G38463">
        <v>506487</v>
      </c>
      <c r="H38463">
        <v>14506873</v>
      </c>
      <c r="I38463">
        <v>832180</v>
      </c>
      <c r="J38463">
        <v>4</v>
      </c>
    </row>
    <row r="38464" spans="1:10" x14ac:dyDescent="0.25">
      <c r="A38464" t="s">
        <v>398</v>
      </c>
      <c r="B38464" s="1" t="str">
        <f>HYPERLINK("http://soverini-auto.it","soverini-auto.it")</f>
        <v>soverini-auto.it</v>
      </c>
      <c r="C38464" t="s">
        <v>459</v>
      </c>
      <c r="D38464" t="s">
        <v>835</v>
      </c>
      <c r="F38464">
        <v>6.3943183848228304E-9</v>
      </c>
      <c r="G38464">
        <v>14549301</v>
      </c>
      <c r="H38464">
        <v>12248338</v>
      </c>
      <c r="I38464">
        <v>22046474</v>
      </c>
      <c r="J38464">
        <v>3</v>
      </c>
    </row>
    <row r="38465" spans="1:10" x14ac:dyDescent="0.25">
      <c r="A38465" t="s">
        <v>398</v>
      </c>
      <c r="B38465" s="1" t="str">
        <f>HYPERLINK("http://sva-group.it","sva-group.it")</f>
        <v>sva-group.it</v>
      </c>
      <c r="C38465" t="s">
        <v>459</v>
      </c>
      <c r="D38465" t="s">
        <v>835</v>
      </c>
      <c r="F38465">
        <v>4.7723254454714004E-9</v>
      </c>
      <c r="G38465">
        <v>37277726</v>
      </c>
      <c r="H38465">
        <v>12013308</v>
      </c>
      <c r="I38465">
        <v>27998771</v>
      </c>
      <c r="J38465">
        <v>3</v>
      </c>
    </row>
    <row r="38466" spans="1:10" x14ac:dyDescent="0.25">
      <c r="A38466" t="s">
        <v>398</v>
      </c>
      <c r="B38466" s="1" t="str">
        <f>HYPERLINK("http://svaplus.it","svaplus.it")</f>
        <v>svaplus.it</v>
      </c>
      <c r="C38466" t="s">
        <v>459</v>
      </c>
      <c r="D38466" t="s">
        <v>835</v>
      </c>
      <c r="F38466">
        <v>4.4504314953746703E-9</v>
      </c>
      <c r="G38466">
        <v>71691821</v>
      </c>
      <c r="H38466">
        <v>8200684.5</v>
      </c>
      <c r="I38466">
        <v>74809567</v>
      </c>
      <c r="J38466">
        <v>3</v>
      </c>
    </row>
    <row r="38467" spans="1:10" x14ac:dyDescent="0.25">
      <c r="A38467" t="s">
        <v>398</v>
      </c>
      <c r="B38467" s="1" t="str">
        <f>HYPERLINK("http://torresanlivio.it","torresanlivio.it")</f>
        <v>torresanlivio.it</v>
      </c>
      <c r="C38467" t="s">
        <v>459</v>
      </c>
      <c r="D38467" t="s">
        <v>835</v>
      </c>
      <c r="F38467">
        <v>4.7089354035559703E-9</v>
      </c>
      <c r="G38467">
        <v>40795678</v>
      </c>
      <c r="H38467">
        <v>10595044</v>
      </c>
      <c r="I38467">
        <v>45232128</v>
      </c>
      <c r="J38467">
        <v>3</v>
      </c>
    </row>
    <row r="38468" spans="1:10" x14ac:dyDescent="0.25">
      <c r="A38468" t="s">
        <v>398</v>
      </c>
      <c r="B38468" s="1" t="str">
        <f>HYPERLINK("http://vicentini.it","vicentini.it")</f>
        <v>vicentini.it</v>
      </c>
      <c r="C38468" t="s">
        <v>459</v>
      </c>
      <c r="D38468" t="s">
        <v>835</v>
      </c>
      <c r="F38468">
        <v>1.47111625569593E-8</v>
      </c>
      <c r="G38468">
        <v>3937051</v>
      </c>
      <c r="H38468">
        <v>13933620</v>
      </c>
      <c r="I38468">
        <v>4699942</v>
      </c>
      <c r="J38468">
        <v>4</v>
      </c>
    </row>
    <row r="38469" spans="1:10" x14ac:dyDescent="0.25">
      <c r="A38469" t="s">
        <v>398</v>
      </c>
      <c r="B38469" s="1" t="str">
        <f>HYPERLINK("http://volkswagen.it","volkswagen.it")</f>
        <v>volkswagen.it</v>
      </c>
      <c r="C38469" t="s">
        <v>459</v>
      </c>
      <c r="D38469" t="s">
        <v>835</v>
      </c>
      <c r="E38469">
        <v>238992</v>
      </c>
      <c r="F38469">
        <v>2.5322197967373701E-7</v>
      </c>
      <c r="G38469">
        <v>147696</v>
      </c>
      <c r="H38469">
        <v>14550591</v>
      </c>
      <c r="I38469">
        <v>759526</v>
      </c>
      <c r="J38469">
        <v>4</v>
      </c>
    </row>
    <row r="38470" spans="1:10" x14ac:dyDescent="0.25">
      <c r="A38470" t="s">
        <v>398</v>
      </c>
      <c r="B38470" s="1" t="str">
        <f>HYPERLINK("http://vwfs.it","vwfs.it")</f>
        <v>vwfs.it</v>
      </c>
      <c r="C38470" t="s">
        <v>459</v>
      </c>
      <c r="D38470" t="s">
        <v>835</v>
      </c>
      <c r="F38470">
        <v>5.3927579559023997E-8</v>
      </c>
      <c r="G38470">
        <v>842583</v>
      </c>
      <c r="H38470">
        <v>12400790</v>
      </c>
      <c r="I38470">
        <v>18767836</v>
      </c>
      <c r="J38470">
        <v>4</v>
      </c>
    </row>
    <row r="38471" spans="1:10" x14ac:dyDescent="0.25">
      <c r="A38471" t="s">
        <v>398</v>
      </c>
      <c r="B38471" s="1" t="str">
        <f>HYPERLINK("http://audi.je","audi.je")</f>
        <v>audi.je</v>
      </c>
      <c r="C38471" t="s">
        <v>648</v>
      </c>
      <c r="D38471" t="s">
        <v>967</v>
      </c>
      <c r="F38471">
        <v>8.5131784976312696E-9</v>
      </c>
      <c r="G38471">
        <v>8820873</v>
      </c>
      <c r="H38471">
        <v>12415964</v>
      </c>
      <c r="I38471">
        <v>18527950</v>
      </c>
      <c r="J38471">
        <v>4</v>
      </c>
    </row>
    <row r="38472" spans="1:10" x14ac:dyDescent="0.25">
      <c r="A38472" t="s">
        <v>398</v>
      </c>
      <c r="B38472" s="1" t="str">
        <f>HYPERLINK("http://audi.jo","audi.jo")</f>
        <v>audi.jo</v>
      </c>
      <c r="C38472" t="s">
        <v>519</v>
      </c>
      <c r="D38472" t="s">
        <v>889</v>
      </c>
      <c r="F38472">
        <v>9.3822694479195596E-9</v>
      </c>
      <c r="G38472">
        <v>7468121</v>
      </c>
      <c r="H38472">
        <v>12415966</v>
      </c>
      <c r="I38472">
        <v>18527923</v>
      </c>
      <c r="J38472">
        <v>4</v>
      </c>
    </row>
    <row r="38473" spans="1:10" x14ac:dyDescent="0.25">
      <c r="A38473" t="s">
        <v>398</v>
      </c>
      <c r="B38473" s="1" t="str">
        <f>HYPERLINK("http://audi.jp","audi.jp")</f>
        <v>audi.jp</v>
      </c>
      <c r="C38473" t="s">
        <v>461</v>
      </c>
      <c r="D38473" t="s">
        <v>837</v>
      </c>
      <c r="E38473">
        <v>813896</v>
      </c>
      <c r="F38473">
        <v>6.02694701943046E-8</v>
      </c>
      <c r="G38473">
        <v>731991</v>
      </c>
      <c r="H38473">
        <v>14323083</v>
      </c>
      <c r="I38473">
        <v>1329370</v>
      </c>
      <c r="J38473">
        <v>4</v>
      </c>
    </row>
    <row r="38474" spans="1:10" x14ac:dyDescent="0.25">
      <c r="A38474" t="s">
        <v>398</v>
      </c>
      <c r="B38474" s="1" t="str">
        <f>HYPERLINK("http://audi-miyagino.jp","audi-miyagino.jp")</f>
        <v>audi-miyagino.jp</v>
      </c>
      <c r="C38474" t="s">
        <v>461</v>
      </c>
      <c r="D38474" t="s">
        <v>837</v>
      </c>
      <c r="F38474">
        <v>1.11675061222128E-8</v>
      </c>
      <c r="G38474">
        <v>5736440</v>
      </c>
      <c r="H38474">
        <v>13162427</v>
      </c>
      <c r="I38474">
        <v>11766876</v>
      </c>
      <c r="J38474">
        <v>4</v>
      </c>
    </row>
    <row r="38475" spans="1:10" x14ac:dyDescent="0.25">
      <c r="A38475" t="s">
        <v>398</v>
      </c>
      <c r="B38475" s="1" t="str">
        <f>HYPERLINK("http://audi.co.jp","audi.co.jp")</f>
        <v>audi.co.jp</v>
      </c>
      <c r="C38475" t="s">
        <v>461</v>
      </c>
      <c r="D38475" t="s">
        <v>837</v>
      </c>
      <c r="E38475">
        <v>349668</v>
      </c>
      <c r="F38475">
        <v>2.0458983903454201E-7</v>
      </c>
      <c r="G38475">
        <v>185701</v>
      </c>
      <c r="H38475">
        <v>14408013</v>
      </c>
      <c r="I38475">
        <v>1147013</v>
      </c>
      <c r="J38475">
        <v>4</v>
      </c>
    </row>
    <row r="38476" spans="1:10" x14ac:dyDescent="0.25">
      <c r="A38476" t="s">
        <v>398</v>
      </c>
      <c r="B38476" s="1" t="str">
        <f>HYPERLINK("http://porsche.co.jp","porsche.co.jp")</f>
        <v>porsche.co.jp</v>
      </c>
      <c r="C38476" t="s">
        <v>461</v>
      </c>
      <c r="D38476" t="s">
        <v>837</v>
      </c>
      <c r="E38476">
        <v>757620</v>
      </c>
      <c r="F38476">
        <v>7.9512617649242806E-8</v>
      </c>
      <c r="G38476">
        <v>525533</v>
      </c>
      <c r="H38476">
        <v>14197838</v>
      </c>
      <c r="I38476">
        <v>1730112</v>
      </c>
      <c r="J38476">
        <v>4</v>
      </c>
    </row>
    <row r="38477" spans="1:10" x14ac:dyDescent="0.25">
      <c r="A38477" t="s">
        <v>398</v>
      </c>
      <c r="B38477" s="1" t="str">
        <f>HYPERLINK("http://vfj.co.jp","vfj.co.jp")</f>
        <v>vfj.co.jp</v>
      </c>
      <c r="C38477" t="s">
        <v>461</v>
      </c>
      <c r="D38477" t="s">
        <v>837</v>
      </c>
      <c r="F38477">
        <v>8.2031606127747805E-8</v>
      </c>
      <c r="G38477">
        <v>508670</v>
      </c>
      <c r="H38477">
        <v>12788876</v>
      </c>
      <c r="I38477">
        <v>14693869</v>
      </c>
      <c r="J38477">
        <v>3</v>
      </c>
    </row>
    <row r="38478" spans="1:10" x14ac:dyDescent="0.25">
      <c r="A38478" t="s">
        <v>398</v>
      </c>
      <c r="B38478" s="1" t="str">
        <f>HYPERLINK("http://volkswagen.co.jp","volkswagen.co.jp")</f>
        <v>volkswagen.co.jp</v>
      </c>
      <c r="C38478" t="s">
        <v>461</v>
      </c>
      <c r="D38478" t="s">
        <v>837</v>
      </c>
      <c r="E38478">
        <v>268108</v>
      </c>
      <c r="F38478">
        <v>2.6380342823765602E-7</v>
      </c>
      <c r="G38478">
        <v>141520</v>
      </c>
      <c r="H38478">
        <v>14667489</v>
      </c>
      <c r="I38478">
        <v>616111</v>
      </c>
      <c r="J38478">
        <v>3</v>
      </c>
    </row>
    <row r="38479" spans="1:10" x14ac:dyDescent="0.25">
      <c r="A38479" t="s">
        <v>398</v>
      </c>
      <c r="B38479" s="1" t="str">
        <f>HYPERLINK("http://volkswagen.jp","volkswagen.jp")</f>
        <v>volkswagen.jp</v>
      </c>
      <c r="C38479" t="s">
        <v>461</v>
      </c>
      <c r="D38479" t="s">
        <v>837</v>
      </c>
      <c r="F38479">
        <v>9.4644496550762203E-9</v>
      </c>
      <c r="G38479">
        <v>7365482</v>
      </c>
      <c r="H38479">
        <v>12173756</v>
      </c>
      <c r="I38479">
        <v>23965422</v>
      </c>
      <c r="J38479">
        <v>4</v>
      </c>
    </row>
    <row r="38480" spans="1:10" x14ac:dyDescent="0.25">
      <c r="A38480" t="s">
        <v>398</v>
      </c>
      <c r="B38480" s="1" t="str">
        <f>HYPERLINK("http://vw-dealer.jp","vw-dealer.jp")</f>
        <v>vw-dealer.jp</v>
      </c>
      <c r="C38480" t="s">
        <v>461</v>
      </c>
      <c r="D38480" t="s">
        <v>837</v>
      </c>
      <c r="F38480">
        <v>8.2625071779812697E-8</v>
      </c>
      <c r="G38480">
        <v>504931</v>
      </c>
      <c r="H38480">
        <v>13868036</v>
      </c>
      <c r="I38480">
        <v>6003625</v>
      </c>
      <c r="J38480">
        <v>3</v>
      </c>
    </row>
    <row r="38481" spans="1:10" x14ac:dyDescent="0.25">
      <c r="A38481" t="s">
        <v>398</v>
      </c>
      <c r="B38481" s="1" t="str">
        <f>HYPERLINK("http://audi.kg","audi.kg")</f>
        <v>audi.kg</v>
      </c>
      <c r="C38481" t="s">
        <v>649</v>
      </c>
      <c r="D38481" t="s">
        <v>968</v>
      </c>
      <c r="F38481">
        <v>9.3805028217821802E-9</v>
      </c>
      <c r="G38481">
        <v>7470290</v>
      </c>
      <c r="H38481">
        <v>12415966</v>
      </c>
      <c r="I38481">
        <v>18527924</v>
      </c>
      <c r="J38481">
        <v>4</v>
      </c>
    </row>
    <row r="38482" spans="1:10" x14ac:dyDescent="0.25">
      <c r="A38482" t="s">
        <v>398</v>
      </c>
      <c r="B38482" s="1" t="str">
        <f>HYPERLINK("http://audi.co.kr","audi.co.kr")</f>
        <v>audi.co.kr</v>
      </c>
      <c r="C38482" t="s">
        <v>463</v>
      </c>
      <c r="D38482" t="s">
        <v>839</v>
      </c>
      <c r="F38482">
        <v>3.0298597498903299E-8</v>
      </c>
      <c r="G38482">
        <v>1698852</v>
      </c>
      <c r="H38482">
        <v>14097732</v>
      </c>
      <c r="I38482">
        <v>2720046</v>
      </c>
      <c r="J38482">
        <v>4</v>
      </c>
    </row>
    <row r="38483" spans="1:10" x14ac:dyDescent="0.25">
      <c r="A38483" t="s">
        <v>398</v>
      </c>
      <c r="B38483" s="1" t="str">
        <f>HYPERLINK("http://mantruck.co.kr","mantruck.co.kr")</f>
        <v>mantruck.co.kr</v>
      </c>
      <c r="C38483" t="s">
        <v>463</v>
      </c>
      <c r="D38483" t="s">
        <v>839</v>
      </c>
      <c r="F38483">
        <v>1.3498449592661899E-8</v>
      </c>
      <c r="G38483">
        <v>4404397</v>
      </c>
      <c r="H38483">
        <v>12949740</v>
      </c>
      <c r="I38483">
        <v>13213590</v>
      </c>
      <c r="J38483">
        <v>3</v>
      </c>
    </row>
    <row r="38484" spans="1:10" x14ac:dyDescent="0.25">
      <c r="A38484" t="s">
        <v>398</v>
      </c>
      <c r="B38484" s="1" t="str">
        <f>HYPERLINK("http://porsche.co.kr","porsche.co.kr")</f>
        <v>porsche.co.kr</v>
      </c>
      <c r="C38484" t="s">
        <v>463</v>
      </c>
      <c r="D38484" t="s">
        <v>839</v>
      </c>
      <c r="F38484">
        <v>4.5055485745233202E-9</v>
      </c>
      <c r="G38484">
        <v>58143256</v>
      </c>
      <c r="H38484">
        <v>10354613</v>
      </c>
      <c r="I38484">
        <v>55807013</v>
      </c>
      <c r="J38484">
        <v>3</v>
      </c>
    </row>
    <row r="38485" spans="1:10" x14ac:dyDescent="0.25">
      <c r="A38485" t="s">
        <v>398</v>
      </c>
      <c r="B38485" s="1" t="str">
        <f>HYPERLINK("http://volkswagen.co.kr","volkswagen.co.kr")</f>
        <v>volkswagen.co.kr</v>
      </c>
      <c r="C38485" t="s">
        <v>463</v>
      </c>
      <c r="D38485" t="s">
        <v>839</v>
      </c>
      <c r="E38485">
        <v>930603</v>
      </c>
      <c r="F38485">
        <v>7.3657628082041703E-8</v>
      </c>
      <c r="G38485">
        <v>571967</v>
      </c>
      <c r="H38485">
        <v>16884374</v>
      </c>
      <c r="I38485">
        <v>137493</v>
      </c>
      <c r="J38485">
        <v>4</v>
      </c>
    </row>
    <row r="38486" spans="1:10" x14ac:dyDescent="0.25">
      <c r="A38486" t="s">
        <v>398</v>
      </c>
      <c r="B38486" s="1" t="str">
        <f>HYPERLINK("http://vwfs.co.kr","vwfs.co.kr")</f>
        <v>vwfs.co.kr</v>
      </c>
      <c r="C38486" t="s">
        <v>463</v>
      </c>
      <c r="D38486" t="s">
        <v>839</v>
      </c>
      <c r="F38486">
        <v>1.6630493252694299E-8</v>
      </c>
      <c r="G38486">
        <v>3381579</v>
      </c>
      <c r="H38486">
        <v>12678301</v>
      </c>
      <c r="I38486">
        <v>15516599</v>
      </c>
      <c r="J38486">
        <v>4</v>
      </c>
    </row>
    <row r="38487" spans="1:10" x14ac:dyDescent="0.25">
      <c r="A38487" t="s">
        <v>398</v>
      </c>
      <c r="B38487" s="1" t="str">
        <f>HYPERLINK("http://vwgk.co.kr","vwgk.co.kr")</f>
        <v>vwgk.co.kr</v>
      </c>
      <c r="C38487" t="s">
        <v>463</v>
      </c>
      <c r="D38487" t="s">
        <v>839</v>
      </c>
      <c r="F38487">
        <v>1.39940939737337E-8</v>
      </c>
      <c r="G38487">
        <v>4204943</v>
      </c>
      <c r="H38487">
        <v>11964473</v>
      </c>
      <c r="I38487">
        <v>28810516</v>
      </c>
      <c r="J38487">
        <v>7</v>
      </c>
    </row>
    <row r="38488" spans="1:10" x14ac:dyDescent="0.25">
      <c r="A38488" t="s">
        <v>398</v>
      </c>
      <c r="B38488" s="1" t="str">
        <f>HYPERLINK("http://vwfs.kr","vwfs.kr")</f>
        <v>vwfs.kr</v>
      </c>
      <c r="C38488" t="s">
        <v>463</v>
      </c>
      <c r="D38488" t="s">
        <v>839</v>
      </c>
      <c r="F38488">
        <v>7.3036905073386697E-9</v>
      </c>
      <c r="G38488">
        <v>11470793</v>
      </c>
      <c r="H38488">
        <v>9712377</v>
      </c>
      <c r="I38488">
        <v>63246717</v>
      </c>
      <c r="J38488">
        <v>3</v>
      </c>
    </row>
    <row r="38489" spans="1:10" x14ac:dyDescent="0.25">
      <c r="A38489" t="s">
        <v>398</v>
      </c>
      <c r="B38489" s="1" t="str">
        <f>HYPERLINK("http://skoda-auto.com.kw","skoda-auto.com.kw")</f>
        <v>skoda-auto.com.kw</v>
      </c>
      <c r="C38489" t="s">
        <v>464</v>
      </c>
      <c r="D38489" t="s">
        <v>840</v>
      </c>
      <c r="F38489">
        <v>7.7886616562256508E-9</v>
      </c>
      <c r="G38489">
        <v>10349035</v>
      </c>
      <c r="H38489">
        <v>12124583</v>
      </c>
      <c r="I38489">
        <v>25291834</v>
      </c>
      <c r="J38489">
        <v>4</v>
      </c>
    </row>
    <row r="38490" spans="1:10" x14ac:dyDescent="0.25">
      <c r="A38490" t="s">
        <v>398</v>
      </c>
      <c r="B38490" s="1" t="str">
        <f>HYPERLINK("http://audi.la","audi.la")</f>
        <v>audi.la</v>
      </c>
      <c r="C38490" t="s">
        <v>595</v>
      </c>
      <c r="D38490" t="s">
        <v>930</v>
      </c>
      <c r="F38490">
        <v>8.4286324005350097E-9</v>
      </c>
      <c r="G38490">
        <v>8984778</v>
      </c>
      <c r="H38490">
        <v>12415961</v>
      </c>
      <c r="I38490">
        <v>18528002</v>
      </c>
      <c r="J38490">
        <v>4</v>
      </c>
    </row>
    <row r="38491" spans="1:10" x14ac:dyDescent="0.25">
      <c r="A38491" t="s">
        <v>398</v>
      </c>
      <c r="B38491" s="1" t="str">
        <f>HYPERLINK("http://porsche.link","porsche.link")</f>
        <v>porsche.link</v>
      </c>
      <c r="C38491" t="s">
        <v>546</v>
      </c>
      <c r="F38491">
        <v>1.95083564393787E-8</v>
      </c>
      <c r="G38491">
        <v>2743131</v>
      </c>
      <c r="H38491">
        <v>12457464</v>
      </c>
      <c r="I38491">
        <v>17906880</v>
      </c>
      <c r="J38491">
        <v>4</v>
      </c>
    </row>
    <row r="38492" spans="1:10" x14ac:dyDescent="0.25">
      <c r="A38492" t="s">
        <v>398</v>
      </c>
      <c r="B38492" s="1" t="str">
        <f>HYPERLINK("http://audi.lk","audi.lk")</f>
        <v>audi.lk</v>
      </c>
      <c r="C38492" t="s">
        <v>466</v>
      </c>
      <c r="D38492" t="s">
        <v>842</v>
      </c>
      <c r="F38492">
        <v>4.49891410158476E-9</v>
      </c>
      <c r="G38492">
        <v>59099513</v>
      </c>
      <c r="H38492">
        <v>10939637</v>
      </c>
      <c r="I38492">
        <v>34836867</v>
      </c>
      <c r="J38492">
        <v>4</v>
      </c>
    </row>
    <row r="38493" spans="1:10" x14ac:dyDescent="0.25">
      <c r="A38493" t="s">
        <v>398</v>
      </c>
      <c r="B38493" s="1" t="str">
        <f>HYPERLINK("http://audi.co.ls","audi.co.ls")</f>
        <v>audi.co.ls</v>
      </c>
      <c r="C38493" t="s">
        <v>651</v>
      </c>
      <c r="D38493" t="s">
        <v>970</v>
      </c>
      <c r="F38493">
        <v>5.1249118837212001E-9</v>
      </c>
      <c r="G38493">
        <v>26550936</v>
      </c>
      <c r="H38493">
        <v>9554756</v>
      </c>
      <c r="I38493">
        <v>64926424</v>
      </c>
      <c r="J38493">
        <v>4</v>
      </c>
    </row>
    <row r="38494" spans="1:10" x14ac:dyDescent="0.25">
      <c r="A38494" t="s">
        <v>398</v>
      </c>
      <c r="B38494" s="1" t="str">
        <f>HYPERLINK("http://audi.lt","audi.lt")</f>
        <v>audi.lt</v>
      </c>
      <c r="C38494" t="s">
        <v>467</v>
      </c>
      <c r="D38494" t="s">
        <v>843</v>
      </c>
      <c r="F38494">
        <v>1.8328400694872699E-8</v>
      </c>
      <c r="G38494">
        <v>2961952</v>
      </c>
      <c r="H38494">
        <v>12451962</v>
      </c>
      <c r="I38494">
        <v>17972237</v>
      </c>
      <c r="J38494">
        <v>4</v>
      </c>
    </row>
    <row r="38495" spans="1:10" x14ac:dyDescent="0.25">
      <c r="A38495" t="s">
        <v>398</v>
      </c>
      <c r="B38495" s="1" t="str">
        <f>HYPERLINK("http://bentleyvilnius.lt","bentleyvilnius.lt")</f>
        <v>bentleyvilnius.lt</v>
      </c>
      <c r="C38495" t="s">
        <v>467</v>
      </c>
      <c r="D38495" t="s">
        <v>843</v>
      </c>
      <c r="F38495">
        <v>6.7674432212155599E-9</v>
      </c>
      <c r="G38495">
        <v>13070128</v>
      </c>
      <c r="H38495">
        <v>11163944</v>
      </c>
      <c r="I38495">
        <v>31590768</v>
      </c>
      <c r="J38495">
        <v>4</v>
      </c>
    </row>
    <row r="38496" spans="1:10" x14ac:dyDescent="0.25">
      <c r="A38496" t="s">
        <v>398</v>
      </c>
      <c r="B38496" s="1" t="str">
        <f>HYPERLINK("http://cupraofficial.lt","cupraofficial.lt")</f>
        <v>cupraofficial.lt</v>
      </c>
      <c r="C38496" t="s">
        <v>467</v>
      </c>
      <c r="D38496" t="s">
        <v>843</v>
      </c>
      <c r="F38496">
        <v>1.4519866268763599E-8</v>
      </c>
      <c r="G38496">
        <v>4006070</v>
      </c>
      <c r="H38496">
        <v>12065127</v>
      </c>
      <c r="I38496">
        <v>26898516</v>
      </c>
      <c r="J38496">
        <v>4</v>
      </c>
    </row>
    <row r="38497" spans="1:10" x14ac:dyDescent="0.25">
      <c r="A38497" t="s">
        <v>398</v>
      </c>
      <c r="B38497" s="1" t="str">
        <f>HYPERLINK("http://mollerauto.lt","mollerauto.lt")</f>
        <v>mollerauto.lt</v>
      </c>
      <c r="C38497" t="s">
        <v>467</v>
      </c>
      <c r="D38497" t="s">
        <v>843</v>
      </c>
      <c r="F38497">
        <v>2.4259842229396599E-8</v>
      </c>
      <c r="G38497">
        <v>2137585</v>
      </c>
      <c r="H38497">
        <v>12068175</v>
      </c>
      <c r="I38497">
        <v>26827844</v>
      </c>
      <c r="J38497">
        <v>4</v>
      </c>
    </row>
    <row r="38498" spans="1:10" x14ac:dyDescent="0.25">
      <c r="A38498" t="s">
        <v>398</v>
      </c>
      <c r="B38498" s="1" t="str">
        <f>HYPERLINK("http://porsche.lt","porsche.lt")</f>
        <v>porsche.lt</v>
      </c>
      <c r="C38498" t="s">
        <v>467</v>
      </c>
      <c r="D38498" t="s">
        <v>843</v>
      </c>
      <c r="F38498">
        <v>1.5018849950548799E-8</v>
      </c>
      <c r="G38498">
        <v>3833479</v>
      </c>
      <c r="H38498">
        <v>12483434</v>
      </c>
      <c r="I38498">
        <v>17565044</v>
      </c>
      <c r="J38498">
        <v>4</v>
      </c>
    </row>
    <row r="38499" spans="1:10" x14ac:dyDescent="0.25">
      <c r="A38499" t="s">
        <v>398</v>
      </c>
      <c r="B38499" s="1" t="str">
        <f>HYPERLINK("http://seat.lt","seat.lt")</f>
        <v>seat.lt</v>
      </c>
      <c r="C38499" t="s">
        <v>467</v>
      </c>
      <c r="D38499" t="s">
        <v>843</v>
      </c>
      <c r="F38499">
        <v>2.61548298148428E-8</v>
      </c>
      <c r="G38499">
        <v>1969531</v>
      </c>
      <c r="H38499">
        <v>12202450</v>
      </c>
      <c r="I38499">
        <v>23256239</v>
      </c>
      <c r="J38499">
        <v>4</v>
      </c>
    </row>
    <row r="38500" spans="1:10" x14ac:dyDescent="0.25">
      <c r="A38500" t="s">
        <v>398</v>
      </c>
      <c r="B38500" s="1" t="str">
        <f>HYPERLINK("http://skoda.lt","skoda.lt")</f>
        <v>skoda.lt</v>
      </c>
      <c r="C38500" t="s">
        <v>467</v>
      </c>
      <c r="D38500" t="s">
        <v>843</v>
      </c>
      <c r="F38500">
        <v>3.8816679946862798E-8</v>
      </c>
      <c r="G38500">
        <v>1328325</v>
      </c>
      <c r="H38500">
        <v>14072899</v>
      </c>
      <c r="I38500">
        <v>3034685</v>
      </c>
      <c r="J38500">
        <v>4</v>
      </c>
    </row>
    <row r="38501" spans="1:10" x14ac:dyDescent="0.25">
      <c r="A38501" t="s">
        <v>398</v>
      </c>
      <c r="B38501" s="1" t="str">
        <f>HYPERLINK("http://volkswagen.lt","volkswagen.lt")</f>
        <v>volkswagen.lt</v>
      </c>
      <c r="C38501" t="s">
        <v>467</v>
      </c>
      <c r="D38501" t="s">
        <v>843</v>
      </c>
      <c r="F38501">
        <v>6.0201203610375005E-8</v>
      </c>
      <c r="G38501">
        <v>732940</v>
      </c>
      <c r="H38501">
        <v>14074910</v>
      </c>
      <c r="I38501">
        <v>2925326</v>
      </c>
      <c r="J38501">
        <v>4</v>
      </c>
    </row>
    <row r="38502" spans="1:10" x14ac:dyDescent="0.25">
      <c r="A38502" t="s">
        <v>398</v>
      </c>
      <c r="B38502" s="1" t="str">
        <f>HYPERLINK("http://volkswagen-vilnius.lt","volkswagen-vilnius.lt")</f>
        <v>volkswagen-vilnius.lt</v>
      </c>
      <c r="C38502" t="s">
        <v>467</v>
      </c>
      <c r="D38502" t="s">
        <v>843</v>
      </c>
      <c r="F38502">
        <v>6.1602317035640802E-9</v>
      </c>
      <c r="G38502">
        <v>15746281</v>
      </c>
      <c r="H38502">
        <v>10235791</v>
      </c>
      <c r="I38502">
        <v>58853951</v>
      </c>
      <c r="J38502">
        <v>3</v>
      </c>
    </row>
    <row r="38503" spans="1:10" x14ac:dyDescent="0.25">
      <c r="A38503" t="s">
        <v>398</v>
      </c>
      <c r="B38503" s="1" t="str">
        <f>HYPERLINK("http://audi.lu","audi.lu")</f>
        <v>audi.lu</v>
      </c>
      <c r="C38503" t="s">
        <v>547</v>
      </c>
      <c r="D38503" t="s">
        <v>904</v>
      </c>
      <c r="F38503">
        <v>3.7391608583804398E-8</v>
      </c>
      <c r="G38503">
        <v>1384481</v>
      </c>
      <c r="H38503">
        <v>14082410</v>
      </c>
      <c r="I38503">
        <v>2800768</v>
      </c>
      <c r="J38503">
        <v>4</v>
      </c>
    </row>
    <row r="38504" spans="1:10" x14ac:dyDescent="0.25">
      <c r="A38504" t="s">
        <v>398</v>
      </c>
      <c r="B38504" s="1" t="str">
        <f>HYPERLINK("http://cupraofficial.lu","cupraofficial.lu")</f>
        <v>cupraofficial.lu</v>
      </c>
      <c r="C38504" t="s">
        <v>547</v>
      </c>
      <c r="D38504" t="s">
        <v>904</v>
      </c>
      <c r="F38504">
        <v>1.61363540886736E-8</v>
      </c>
      <c r="G38504">
        <v>3511436</v>
      </c>
      <c r="H38504">
        <v>12230594</v>
      </c>
      <c r="I38504">
        <v>22489178</v>
      </c>
      <c r="J38504">
        <v>4</v>
      </c>
    </row>
    <row r="38505" spans="1:10" x14ac:dyDescent="0.25">
      <c r="A38505" t="s">
        <v>398</v>
      </c>
      <c r="B38505" s="1" t="str">
        <f>HYPERLINK("http://ducati.lu","ducati.lu")</f>
        <v>ducati.lu</v>
      </c>
      <c r="C38505" t="s">
        <v>547</v>
      </c>
      <c r="D38505" t="s">
        <v>904</v>
      </c>
      <c r="F38505">
        <v>6.2255763735499003E-9</v>
      </c>
      <c r="G38505">
        <v>15397240</v>
      </c>
      <c r="H38505">
        <v>10726788</v>
      </c>
      <c r="I38505">
        <v>41209527</v>
      </c>
      <c r="J38505">
        <v>3</v>
      </c>
    </row>
    <row r="38506" spans="1:10" x14ac:dyDescent="0.25">
      <c r="A38506" t="s">
        <v>398</v>
      </c>
      <c r="B38506" s="1" t="str">
        <f>HYPERLINK("http://garage-tewes.lu","garage-tewes.lu")</f>
        <v>garage-tewes.lu</v>
      </c>
      <c r="C38506" t="s">
        <v>547</v>
      </c>
      <c r="D38506" t="s">
        <v>904</v>
      </c>
      <c r="F38506">
        <v>7.1521321864346599E-9</v>
      </c>
      <c r="G38506">
        <v>11871270</v>
      </c>
      <c r="H38506">
        <v>12146268</v>
      </c>
      <c r="I38506">
        <v>24718585</v>
      </c>
      <c r="J38506">
        <v>4</v>
      </c>
    </row>
    <row r="38507" spans="1:10" x14ac:dyDescent="0.25">
      <c r="A38507" t="s">
        <v>398</v>
      </c>
      <c r="B38507" s="1" t="str">
        <f>HYPERLINK("http://porsche.lu","porsche.lu")</f>
        <v>porsche.lu</v>
      </c>
      <c r="C38507" t="s">
        <v>547</v>
      </c>
      <c r="D38507" t="s">
        <v>904</v>
      </c>
      <c r="F38507">
        <v>8.5684705331690199E-9</v>
      </c>
      <c r="G38507">
        <v>8713637</v>
      </c>
      <c r="H38507">
        <v>12512579</v>
      </c>
      <c r="I38507">
        <v>17221296</v>
      </c>
      <c r="J38507">
        <v>4</v>
      </c>
    </row>
    <row r="38508" spans="1:10" x14ac:dyDescent="0.25">
      <c r="A38508" t="s">
        <v>398</v>
      </c>
      <c r="B38508" s="1" t="str">
        <f>HYPERLINK("http://seat.lu","seat.lu")</f>
        <v>seat.lu</v>
      </c>
      <c r="C38508" t="s">
        <v>547</v>
      </c>
      <c r="D38508" t="s">
        <v>904</v>
      </c>
      <c r="F38508">
        <v>3.92591285056246E-8</v>
      </c>
      <c r="G38508">
        <v>1314147</v>
      </c>
      <c r="H38508">
        <v>12442122</v>
      </c>
      <c r="I38508">
        <v>18120139</v>
      </c>
      <c r="J38508">
        <v>4</v>
      </c>
    </row>
    <row r="38509" spans="1:10" x14ac:dyDescent="0.25">
      <c r="A38509" t="s">
        <v>398</v>
      </c>
      <c r="B38509" s="1" t="str">
        <f>HYPERLINK("http://volkswagen.lu","volkswagen.lu")</f>
        <v>volkswagen.lu</v>
      </c>
      <c r="C38509" t="s">
        <v>547</v>
      </c>
      <c r="D38509" t="s">
        <v>904</v>
      </c>
      <c r="F38509">
        <v>6.4465675483534994E-8</v>
      </c>
      <c r="G38509">
        <v>671265</v>
      </c>
      <c r="H38509">
        <v>12458201</v>
      </c>
      <c r="I38509">
        <v>17899357</v>
      </c>
      <c r="J38509">
        <v>4</v>
      </c>
    </row>
    <row r="38510" spans="1:10" x14ac:dyDescent="0.25">
      <c r="A38510" t="s">
        <v>398</v>
      </c>
      <c r="B38510" s="1" t="str">
        <f>HYPERLINK("http://audi.lv","audi.lv")</f>
        <v>audi.lv</v>
      </c>
      <c r="C38510" t="s">
        <v>468</v>
      </c>
      <c r="D38510" t="s">
        <v>844</v>
      </c>
      <c r="F38510">
        <v>2.3867952683315902E-8</v>
      </c>
      <c r="G38510">
        <v>2176045</v>
      </c>
      <c r="H38510">
        <v>14074858</v>
      </c>
      <c r="I38510">
        <v>2926992</v>
      </c>
      <c r="J38510">
        <v>4</v>
      </c>
    </row>
    <row r="38511" spans="1:10" x14ac:dyDescent="0.25">
      <c r="A38511" t="s">
        <v>398</v>
      </c>
      <c r="B38511" s="1" t="str">
        <f>HYPERLINK("http://cupraofficial.lv","cupraofficial.lv")</f>
        <v>cupraofficial.lv</v>
      </c>
      <c r="C38511" t="s">
        <v>468</v>
      </c>
      <c r="D38511" t="s">
        <v>844</v>
      </c>
      <c r="F38511">
        <v>1.37052266029833E-8</v>
      </c>
      <c r="G38511">
        <v>4319040</v>
      </c>
      <c r="H38511">
        <v>12065120</v>
      </c>
      <c r="I38511">
        <v>26898626</v>
      </c>
      <c r="J38511">
        <v>4</v>
      </c>
    </row>
    <row r="38512" spans="1:10" x14ac:dyDescent="0.25">
      <c r="A38512" t="s">
        <v>398</v>
      </c>
      <c r="B38512" s="1" t="str">
        <f>HYPERLINK("http://greenmotors.lv","greenmotors.lv")</f>
        <v>greenmotors.lv</v>
      </c>
      <c r="C38512" t="s">
        <v>468</v>
      </c>
      <c r="D38512" t="s">
        <v>844</v>
      </c>
      <c r="F38512">
        <v>9.7871820212468507E-9</v>
      </c>
      <c r="G38512">
        <v>6982752</v>
      </c>
      <c r="H38512">
        <v>11034760</v>
      </c>
      <c r="I38512">
        <v>33000011</v>
      </c>
      <c r="J38512">
        <v>4</v>
      </c>
    </row>
    <row r="38513" spans="1:10" x14ac:dyDescent="0.25">
      <c r="A38513" t="s">
        <v>398</v>
      </c>
      <c r="B38513" s="1" t="str">
        <f>HYPERLINK("http://mollerauto.lv","mollerauto.lv")</f>
        <v>mollerauto.lv</v>
      </c>
      <c r="C38513" t="s">
        <v>468</v>
      </c>
      <c r="D38513" t="s">
        <v>844</v>
      </c>
      <c r="F38513">
        <v>3.2525802695871897E-8</v>
      </c>
      <c r="G38513">
        <v>1588535</v>
      </c>
      <c r="H38513">
        <v>12539082</v>
      </c>
      <c r="I38513">
        <v>16949735</v>
      </c>
      <c r="J38513">
        <v>4</v>
      </c>
    </row>
    <row r="38514" spans="1:10" x14ac:dyDescent="0.25">
      <c r="A38514" t="s">
        <v>398</v>
      </c>
      <c r="B38514" s="1" t="str">
        <f>HYPERLINK("http://porsche.lv","porsche.lv")</f>
        <v>porsche.lv</v>
      </c>
      <c r="C38514" t="s">
        <v>468</v>
      </c>
      <c r="D38514" t="s">
        <v>844</v>
      </c>
      <c r="F38514">
        <v>2.5971603551023601E-8</v>
      </c>
      <c r="G38514">
        <v>1983944</v>
      </c>
      <c r="H38514">
        <v>14278926</v>
      </c>
      <c r="I38514">
        <v>1384673</v>
      </c>
      <c r="J38514">
        <v>4</v>
      </c>
    </row>
    <row r="38515" spans="1:10" x14ac:dyDescent="0.25">
      <c r="A38515" t="s">
        <v>398</v>
      </c>
      <c r="B38515" s="1" t="str">
        <f>HYPERLINK("http://seat.lv","seat.lv")</f>
        <v>seat.lv</v>
      </c>
      <c r="C38515" t="s">
        <v>468</v>
      </c>
      <c r="D38515" t="s">
        <v>844</v>
      </c>
      <c r="F38515">
        <v>2.2707438076000799E-8</v>
      </c>
      <c r="G38515">
        <v>2305881</v>
      </c>
      <c r="H38515">
        <v>12185021</v>
      </c>
      <c r="I38515">
        <v>23696351</v>
      </c>
      <c r="J38515">
        <v>4</v>
      </c>
    </row>
    <row r="38516" spans="1:10" x14ac:dyDescent="0.25">
      <c r="A38516" t="s">
        <v>398</v>
      </c>
      <c r="B38516" s="1" t="str">
        <f>HYPERLINK("http://skoda.lv","skoda.lv")</f>
        <v>skoda.lv</v>
      </c>
      <c r="C38516" t="s">
        <v>468</v>
      </c>
      <c r="D38516" t="s">
        <v>844</v>
      </c>
      <c r="F38516">
        <v>2.8165796338680301E-8</v>
      </c>
      <c r="G38516">
        <v>1826968</v>
      </c>
      <c r="H38516">
        <v>12433746</v>
      </c>
      <c r="I38516">
        <v>18233909</v>
      </c>
      <c r="J38516">
        <v>4</v>
      </c>
    </row>
    <row r="38517" spans="1:10" x14ac:dyDescent="0.25">
      <c r="A38517" t="s">
        <v>398</v>
      </c>
      <c r="B38517" s="1" t="str">
        <f>HYPERLINK("http://volkswagen.lv","volkswagen.lv")</f>
        <v>volkswagen.lv</v>
      </c>
      <c r="C38517" t="s">
        <v>468</v>
      </c>
      <c r="D38517" t="s">
        <v>844</v>
      </c>
      <c r="F38517">
        <v>6.1680640896014506E-8</v>
      </c>
      <c r="G38517">
        <v>713302</v>
      </c>
      <c r="H38517">
        <v>13768556</v>
      </c>
      <c r="I38517">
        <v>6867847</v>
      </c>
      <c r="J38517">
        <v>4</v>
      </c>
    </row>
    <row r="38518" spans="1:10" x14ac:dyDescent="0.25">
      <c r="A38518" t="s">
        <v>398</v>
      </c>
      <c r="B38518" s="1" t="str">
        <f>HYPERLINK("http://audi.ly","audi.ly")</f>
        <v>audi.ly</v>
      </c>
      <c r="C38518" t="s">
        <v>583</v>
      </c>
      <c r="D38518" t="s">
        <v>923</v>
      </c>
      <c r="F38518">
        <v>5.6335319704150498E-9</v>
      </c>
      <c r="G38518">
        <v>19543358</v>
      </c>
      <c r="H38518">
        <v>10594763</v>
      </c>
      <c r="I38518">
        <v>45259758</v>
      </c>
      <c r="J38518">
        <v>4</v>
      </c>
    </row>
    <row r="38519" spans="1:10" x14ac:dyDescent="0.25">
      <c r="A38519" t="s">
        <v>398</v>
      </c>
      <c r="B38519" s="1" t="str">
        <f>HYPERLINK("http://audi.com.ly","audi.com.ly")</f>
        <v>audi.com.ly</v>
      </c>
      <c r="C38519" t="s">
        <v>583</v>
      </c>
      <c r="D38519" t="s">
        <v>923</v>
      </c>
      <c r="F38519">
        <v>5.8893910422332501E-9</v>
      </c>
      <c r="G38519">
        <v>17432323</v>
      </c>
      <c r="H38519">
        <v>10595107</v>
      </c>
      <c r="I38519">
        <v>45226893</v>
      </c>
      <c r="J38519">
        <v>4</v>
      </c>
    </row>
    <row r="38520" spans="1:10" x14ac:dyDescent="0.25">
      <c r="A38520" t="s">
        <v>398</v>
      </c>
      <c r="B38520" s="1" t="str">
        <f>HYPERLINK("http://audi.co.ma","audi.co.ma")</f>
        <v>audi.co.ma</v>
      </c>
      <c r="C38520" t="s">
        <v>469</v>
      </c>
      <c r="D38520" t="s">
        <v>845</v>
      </c>
      <c r="F38520">
        <v>4.9300682654842002E-9</v>
      </c>
      <c r="G38520">
        <v>31377125</v>
      </c>
      <c r="H38520">
        <v>9554756</v>
      </c>
      <c r="I38520">
        <v>64926425</v>
      </c>
      <c r="J38520">
        <v>4</v>
      </c>
    </row>
    <row r="38521" spans="1:10" x14ac:dyDescent="0.25">
      <c r="A38521" t="s">
        <v>398</v>
      </c>
      <c r="B38521" s="1" t="str">
        <f>HYPERLINK("http://cupraofficial.ma","cupraofficial.ma")</f>
        <v>cupraofficial.ma</v>
      </c>
      <c r="C38521" t="s">
        <v>469</v>
      </c>
      <c r="D38521" t="s">
        <v>845</v>
      </c>
      <c r="F38521">
        <v>6.4151921468779002E-9</v>
      </c>
      <c r="G38521">
        <v>14447395</v>
      </c>
      <c r="H38521">
        <v>10627609</v>
      </c>
      <c r="I38521">
        <v>44054560</v>
      </c>
      <c r="J38521">
        <v>4</v>
      </c>
    </row>
    <row r="38522" spans="1:10" x14ac:dyDescent="0.25">
      <c r="A38522" t="s">
        <v>398</v>
      </c>
      <c r="B38522" s="1" t="str">
        <f>HYPERLINK("http://seat.ma","seat.ma")</f>
        <v>seat.ma</v>
      </c>
      <c r="C38522" t="s">
        <v>469</v>
      </c>
      <c r="D38522" t="s">
        <v>845</v>
      </c>
      <c r="F38522">
        <v>6.9472478345845501E-9</v>
      </c>
      <c r="G38522">
        <v>12472240</v>
      </c>
      <c r="H38522">
        <v>12163716</v>
      </c>
      <c r="I38522">
        <v>24261090</v>
      </c>
      <c r="J38522">
        <v>4</v>
      </c>
    </row>
    <row r="38523" spans="1:10" x14ac:dyDescent="0.25">
      <c r="A38523" t="s">
        <v>398</v>
      </c>
      <c r="B38523" s="1" t="str">
        <f>HYPERLINK("http://greyp.me","greyp.me")</f>
        <v>greyp.me</v>
      </c>
      <c r="C38523" t="s">
        <v>470</v>
      </c>
      <c r="D38523" t="s">
        <v>846</v>
      </c>
      <c r="F38523">
        <v>5.8601909997239803E-9</v>
      </c>
      <c r="G38523">
        <v>17636956</v>
      </c>
      <c r="H38523">
        <v>10908490</v>
      </c>
      <c r="I38523">
        <v>35657546</v>
      </c>
      <c r="J38523">
        <v>6</v>
      </c>
    </row>
    <row r="38524" spans="1:10" x14ac:dyDescent="0.25">
      <c r="A38524" t="s">
        <v>398</v>
      </c>
      <c r="B38524" s="1" t="str">
        <f>HYPERLINK("http://seat.me","seat.me")</f>
        <v>seat.me</v>
      </c>
      <c r="C38524" t="s">
        <v>470</v>
      </c>
      <c r="D38524" t="s">
        <v>846</v>
      </c>
      <c r="F38524">
        <v>4.81910828889544E-9</v>
      </c>
      <c r="G38524">
        <v>35303505</v>
      </c>
      <c r="H38524">
        <v>10640379</v>
      </c>
      <c r="I38524">
        <v>43761690</v>
      </c>
      <c r="J38524">
        <v>4</v>
      </c>
    </row>
    <row r="38525" spans="1:10" x14ac:dyDescent="0.25">
      <c r="A38525" t="s">
        <v>398</v>
      </c>
      <c r="B38525" s="1" t="str">
        <f>HYPERLINK("http://skoda-auto.me","skoda-auto.me")</f>
        <v>skoda-auto.me</v>
      </c>
      <c r="C38525" t="s">
        <v>470</v>
      </c>
      <c r="D38525" t="s">
        <v>846</v>
      </c>
      <c r="F38525">
        <v>9.5393561237141908E-9</v>
      </c>
      <c r="G38525">
        <v>7275376</v>
      </c>
      <c r="H38525">
        <v>12123147</v>
      </c>
      <c r="I38525">
        <v>25325552</v>
      </c>
      <c r="J38525">
        <v>4</v>
      </c>
    </row>
    <row r="38526" spans="1:10" x14ac:dyDescent="0.25">
      <c r="A38526" t="s">
        <v>398</v>
      </c>
      <c r="B38526" s="1" t="str">
        <f>HYPERLINK("http://audi.mg","audi.mg")</f>
        <v>audi.mg</v>
      </c>
      <c r="C38526" t="s">
        <v>615</v>
      </c>
      <c r="D38526" t="s">
        <v>940</v>
      </c>
      <c r="F38526">
        <v>6.3059347607391E-9</v>
      </c>
      <c r="G38526">
        <v>15003248</v>
      </c>
      <c r="H38526">
        <v>10594768</v>
      </c>
      <c r="I38526">
        <v>45259376</v>
      </c>
      <c r="J38526">
        <v>4</v>
      </c>
    </row>
    <row r="38527" spans="1:10" x14ac:dyDescent="0.25">
      <c r="A38527" t="s">
        <v>398</v>
      </c>
      <c r="B38527" s="1" t="str">
        <f>HYPERLINK("http://porsche.com.mk","porsche.com.mk")</f>
        <v>porsche.com.mk</v>
      </c>
      <c r="C38527" t="s">
        <v>531</v>
      </c>
      <c r="D38527" t="s">
        <v>895</v>
      </c>
      <c r="F38527">
        <v>9.6853741756457205E-9</v>
      </c>
      <c r="G38527">
        <v>7097490</v>
      </c>
      <c r="H38527">
        <v>11130955</v>
      </c>
      <c r="I38527">
        <v>31936486</v>
      </c>
      <c r="J38527">
        <v>4</v>
      </c>
    </row>
    <row r="38528" spans="1:10" x14ac:dyDescent="0.25">
      <c r="A38528" t="s">
        <v>398</v>
      </c>
      <c r="B38528" s="1" t="str">
        <f>HYPERLINK("http://seat.mk","seat.mk")</f>
        <v>seat.mk</v>
      </c>
      <c r="C38528" t="s">
        <v>531</v>
      </c>
      <c r="D38528" t="s">
        <v>895</v>
      </c>
      <c r="F38528">
        <v>1.1851760443627099E-8</v>
      </c>
      <c r="G38528">
        <v>5269549</v>
      </c>
      <c r="H38528">
        <v>10736787</v>
      </c>
      <c r="I38528">
        <v>40586568</v>
      </c>
      <c r="J38528">
        <v>4</v>
      </c>
    </row>
    <row r="38529" spans="1:10" x14ac:dyDescent="0.25">
      <c r="A38529" t="s">
        <v>398</v>
      </c>
      <c r="B38529" s="1" t="str">
        <f>HYPERLINK("http://audi.ml","audi.ml")</f>
        <v>audi.ml</v>
      </c>
      <c r="C38529" t="s">
        <v>596</v>
      </c>
      <c r="D38529" t="s">
        <v>931</v>
      </c>
      <c r="F38529">
        <v>5.57725760769424E-9</v>
      </c>
      <c r="G38529">
        <v>20082485</v>
      </c>
      <c r="H38529">
        <v>10594778</v>
      </c>
      <c r="I38529">
        <v>45258526</v>
      </c>
      <c r="J38529">
        <v>4</v>
      </c>
    </row>
    <row r="38530" spans="1:10" x14ac:dyDescent="0.25">
      <c r="A38530" t="s">
        <v>398</v>
      </c>
      <c r="B38530" s="1" t="str">
        <f>HYPERLINK("http://ducati.com.mm","ducati.com.mm")</f>
        <v>ducati.com.mm</v>
      </c>
      <c r="C38530" t="s">
        <v>513</v>
      </c>
      <c r="D38530" t="s">
        <v>887</v>
      </c>
      <c r="F38530">
        <v>1.0935177211391099E-8</v>
      </c>
      <c r="G38530">
        <v>5914941</v>
      </c>
      <c r="H38530">
        <v>11469022</v>
      </c>
      <c r="I38530">
        <v>30085219</v>
      </c>
      <c r="J38530">
        <v>3</v>
      </c>
    </row>
    <row r="38531" spans="1:10" x14ac:dyDescent="0.25">
      <c r="A38531" t="s">
        <v>398</v>
      </c>
      <c r="B38531" s="1" t="str">
        <f>HYPERLINK("http://audi.mn","audi.mn")</f>
        <v>audi.mn</v>
      </c>
      <c r="C38531" t="s">
        <v>652</v>
      </c>
      <c r="D38531" t="s">
        <v>971</v>
      </c>
      <c r="F38531">
        <v>8.6711905537204904E-9</v>
      </c>
      <c r="G38531">
        <v>8527814</v>
      </c>
      <c r="H38531">
        <v>12415966</v>
      </c>
      <c r="I38531">
        <v>18527926</v>
      </c>
      <c r="J38531">
        <v>4</v>
      </c>
    </row>
    <row r="38532" spans="1:10" x14ac:dyDescent="0.25">
      <c r="A38532" t="s">
        <v>398</v>
      </c>
      <c r="B38532" s="1" t="str">
        <f>HYPERLINK("http://audi.mp","audi.mp")</f>
        <v>audi.mp</v>
      </c>
      <c r="C38532" t="s">
        <v>688</v>
      </c>
      <c r="D38532" t="s">
        <v>1005</v>
      </c>
      <c r="F38532">
        <v>5.0167378771817699E-9</v>
      </c>
      <c r="G38532">
        <v>28977997</v>
      </c>
      <c r="H38532">
        <v>9554756</v>
      </c>
      <c r="I38532">
        <v>64926426</v>
      </c>
      <c r="J38532">
        <v>4</v>
      </c>
    </row>
    <row r="38533" spans="1:10" x14ac:dyDescent="0.25">
      <c r="A38533" t="s">
        <v>398</v>
      </c>
      <c r="B38533" s="1" t="str">
        <f>HYPERLINK("http://audi.mq","audi.mq")</f>
        <v>audi.mq</v>
      </c>
      <c r="C38533" t="s">
        <v>732</v>
      </c>
      <c r="D38533" t="s">
        <v>1009</v>
      </c>
      <c r="F38533">
        <v>8.1592309349589403E-9</v>
      </c>
      <c r="G38533">
        <v>9640489</v>
      </c>
      <c r="H38533">
        <v>12415960</v>
      </c>
      <c r="I38533">
        <v>18528014</v>
      </c>
      <c r="J38533">
        <v>4</v>
      </c>
    </row>
    <row r="38534" spans="1:10" x14ac:dyDescent="0.25">
      <c r="A38534" t="s">
        <v>398</v>
      </c>
      <c r="B38534" s="1" t="str">
        <f>HYPERLINK("http://audi.ms","audi.ms")</f>
        <v>audi.ms</v>
      </c>
      <c r="C38534" t="s">
        <v>653</v>
      </c>
      <c r="D38534" t="s">
        <v>972</v>
      </c>
      <c r="F38534">
        <v>8.1145517000662501E-9</v>
      </c>
      <c r="G38534">
        <v>9716523</v>
      </c>
      <c r="H38534">
        <v>12415964</v>
      </c>
      <c r="I38534">
        <v>18527952</v>
      </c>
      <c r="J38534">
        <v>4</v>
      </c>
    </row>
    <row r="38535" spans="1:10" x14ac:dyDescent="0.25">
      <c r="A38535" t="s">
        <v>398</v>
      </c>
      <c r="B38535" s="1" t="str">
        <f>HYPERLINK("http://seat.com.mt","seat.com.mt")</f>
        <v>seat.com.mt</v>
      </c>
      <c r="C38535" t="s">
        <v>597</v>
      </c>
      <c r="D38535" t="s">
        <v>932</v>
      </c>
      <c r="F38535">
        <v>2.5384504344894398E-8</v>
      </c>
      <c r="G38535">
        <v>2032461</v>
      </c>
      <c r="H38535">
        <v>12185044</v>
      </c>
      <c r="I38535">
        <v>23695988</v>
      </c>
      <c r="J38535">
        <v>4</v>
      </c>
    </row>
    <row r="38536" spans="1:10" x14ac:dyDescent="0.25">
      <c r="A38536" t="s">
        <v>398</v>
      </c>
      <c r="B38536" s="1" t="str">
        <f>HYPERLINK("http://skoda-auto.com.mt","skoda-auto.com.mt")</f>
        <v>skoda-auto.com.mt</v>
      </c>
      <c r="C38536" t="s">
        <v>597</v>
      </c>
      <c r="D38536" t="s">
        <v>932</v>
      </c>
      <c r="F38536">
        <v>1.1955582682684999E-8</v>
      </c>
      <c r="G38536">
        <v>5203823</v>
      </c>
      <c r="H38536">
        <v>12139955</v>
      </c>
      <c r="I38536">
        <v>24882064</v>
      </c>
      <c r="J38536">
        <v>4</v>
      </c>
    </row>
    <row r="38537" spans="1:10" x14ac:dyDescent="0.25">
      <c r="A38537" t="s">
        <v>398</v>
      </c>
      <c r="B38537" s="1" t="str">
        <f>HYPERLINK("http://volkswagen.com.mt","volkswagen.com.mt")</f>
        <v>volkswagen.com.mt</v>
      </c>
      <c r="C38537" t="s">
        <v>597</v>
      </c>
      <c r="D38537" t="s">
        <v>932</v>
      </c>
      <c r="F38537">
        <v>3.4802195166765801E-8</v>
      </c>
      <c r="G38537">
        <v>1491849</v>
      </c>
      <c r="H38537">
        <v>12401057</v>
      </c>
      <c r="I38537">
        <v>18763979</v>
      </c>
      <c r="J38537">
        <v>4</v>
      </c>
    </row>
    <row r="38538" spans="1:10" x14ac:dyDescent="0.25">
      <c r="A38538" t="s">
        <v>398</v>
      </c>
      <c r="B38538" s="1" t="str">
        <f>HYPERLINK("http://cupraofficial.mt","cupraofficial.mt")</f>
        <v>cupraofficial.mt</v>
      </c>
      <c r="C38538" t="s">
        <v>597</v>
      </c>
      <c r="D38538" t="s">
        <v>932</v>
      </c>
      <c r="F38538">
        <v>1.1864905540335301E-8</v>
      </c>
      <c r="G38538">
        <v>5261311</v>
      </c>
      <c r="H38538">
        <v>10797397</v>
      </c>
      <c r="I38538">
        <v>38237896</v>
      </c>
      <c r="J38538">
        <v>4</v>
      </c>
    </row>
    <row r="38539" spans="1:10" x14ac:dyDescent="0.25">
      <c r="A38539" t="s">
        <v>398</v>
      </c>
      <c r="B38539" s="1" t="str">
        <f>HYPERLINK("http://audi.mu","audi.mu")</f>
        <v>audi.mu</v>
      </c>
      <c r="C38539" t="s">
        <v>572</v>
      </c>
      <c r="D38539" t="s">
        <v>919</v>
      </c>
      <c r="F38539">
        <v>8.57794917369669E-9</v>
      </c>
      <c r="G38539">
        <v>8696573</v>
      </c>
      <c r="H38539">
        <v>12430015</v>
      </c>
      <c r="I38539">
        <v>18302096</v>
      </c>
      <c r="J38539">
        <v>4</v>
      </c>
    </row>
    <row r="38540" spans="1:10" x14ac:dyDescent="0.25">
      <c r="A38540" t="s">
        <v>398</v>
      </c>
      <c r="B38540" s="1" t="str">
        <f>HYPERLINK("http://audi.mv","audi.mv")</f>
        <v>audi.mv</v>
      </c>
      <c r="C38540" t="s">
        <v>654</v>
      </c>
      <c r="D38540" t="s">
        <v>973</v>
      </c>
      <c r="F38540">
        <v>9.0073242425240202E-9</v>
      </c>
      <c r="G38540">
        <v>7980840</v>
      </c>
      <c r="H38540">
        <v>12415967</v>
      </c>
      <c r="I38540">
        <v>18527905</v>
      </c>
      <c r="J38540">
        <v>4</v>
      </c>
    </row>
    <row r="38541" spans="1:10" x14ac:dyDescent="0.25">
      <c r="A38541" t="s">
        <v>398</v>
      </c>
      <c r="B38541" s="1" t="str">
        <f>HYPERLINK("http://audicentersatelite.mx","audicentersatelite.mx")</f>
        <v>audicentersatelite.mx</v>
      </c>
      <c r="C38541" t="s">
        <v>471</v>
      </c>
      <c r="D38541" t="s">
        <v>847</v>
      </c>
      <c r="F38541">
        <v>4.44380395335525E-9</v>
      </c>
      <c r="G38541">
        <v>85385992</v>
      </c>
      <c r="H38541">
        <v>0</v>
      </c>
      <c r="I38541">
        <v>86627868</v>
      </c>
      <c r="J38541">
        <v>6</v>
      </c>
    </row>
    <row r="38542" spans="1:10" x14ac:dyDescent="0.25">
      <c r="A38542" t="s">
        <v>398</v>
      </c>
      <c r="B38542" s="1" t="str">
        <f>HYPERLINK("http://audicentersatilete.mx","audicentersatilete.mx")</f>
        <v>audicentersatilete.mx</v>
      </c>
      <c r="C38542" t="s">
        <v>471</v>
      </c>
      <c r="D38542" t="s">
        <v>847</v>
      </c>
      <c r="J38542">
        <v>6</v>
      </c>
    </row>
    <row r="38543" spans="1:10" x14ac:dyDescent="0.25">
      <c r="A38543" t="s">
        <v>398</v>
      </c>
      <c r="B38543" s="1" t="str">
        <f>HYPERLINK("http://audicondesa.mx","audicondesa.mx")</f>
        <v>audicondesa.mx</v>
      </c>
      <c r="C38543" t="s">
        <v>471</v>
      </c>
      <c r="D38543" t="s">
        <v>847</v>
      </c>
      <c r="J38543">
        <v>6</v>
      </c>
    </row>
    <row r="38544" spans="1:10" x14ac:dyDescent="0.25">
      <c r="A38544" t="s">
        <v>398</v>
      </c>
      <c r="B38544" s="1" t="str">
        <f>HYPERLINK("http://audisatelite.mx","audisatelite.mx")</f>
        <v>audisatelite.mx</v>
      </c>
      <c r="C38544" t="s">
        <v>471</v>
      </c>
      <c r="D38544" t="s">
        <v>847</v>
      </c>
      <c r="J38544">
        <v>6</v>
      </c>
    </row>
    <row r="38545" spans="1:10" x14ac:dyDescent="0.25">
      <c r="A38545" t="s">
        <v>398</v>
      </c>
      <c r="B38545" s="1" t="str">
        <f>HYPERLINK("http://audi.com.mx","audi.com.mx")</f>
        <v>audi.com.mx</v>
      </c>
      <c r="C38545" t="s">
        <v>471</v>
      </c>
      <c r="D38545" t="s">
        <v>847</v>
      </c>
      <c r="E38545">
        <v>595364</v>
      </c>
      <c r="F38545">
        <v>2.2907977070764602E-8</v>
      </c>
      <c r="G38545">
        <v>2281957</v>
      </c>
      <c r="H38545">
        <v>13954875</v>
      </c>
      <c r="I38545">
        <v>4141600</v>
      </c>
      <c r="J38545">
        <v>4</v>
      </c>
    </row>
    <row r="38546" spans="1:10" x14ac:dyDescent="0.25">
      <c r="A38546" t="s">
        <v>398</v>
      </c>
      <c r="B38546" s="1" t="str">
        <f>HYPERLINK("http://audiags.com.mx","audiags.com.mx")</f>
        <v>audiags.com.mx</v>
      </c>
      <c r="C38546" t="s">
        <v>471</v>
      </c>
      <c r="D38546" t="s">
        <v>847</v>
      </c>
      <c r="J38546">
        <v>6</v>
      </c>
    </row>
    <row r="38547" spans="1:10" x14ac:dyDescent="0.25">
      <c r="A38547" t="s">
        <v>398</v>
      </c>
      <c r="B38547" s="1" t="str">
        <f>HYPERLINK("http://audicentermazarik.com.mx","audicentermazarik.com.mx")</f>
        <v>audicentermazarik.com.mx</v>
      </c>
      <c r="C38547" t="s">
        <v>471</v>
      </c>
      <c r="D38547" t="s">
        <v>847</v>
      </c>
      <c r="J38547">
        <v>6</v>
      </c>
    </row>
    <row r="38548" spans="1:10" x14ac:dyDescent="0.25">
      <c r="A38548" t="s">
        <v>398</v>
      </c>
      <c r="B38548" s="1" t="str">
        <f>HYPERLINK("http://audicentersantafe.com.mx","audicentersantafe.com.mx")</f>
        <v>audicentersantafe.com.mx</v>
      </c>
      <c r="C38548" t="s">
        <v>471</v>
      </c>
      <c r="D38548" t="s">
        <v>847</v>
      </c>
      <c r="J38548">
        <v>4</v>
      </c>
    </row>
    <row r="38549" spans="1:10" x14ac:dyDescent="0.25">
      <c r="A38549" t="s">
        <v>398</v>
      </c>
      <c r="B38549" s="1" t="str">
        <f>HYPERLINK("http://audicentervallejo.com.mx","audicentervallejo.com.mx")</f>
        <v>audicentervallejo.com.mx</v>
      </c>
      <c r="C38549" t="s">
        <v>471</v>
      </c>
      <c r="D38549" t="s">
        <v>847</v>
      </c>
      <c r="J38549">
        <v>6</v>
      </c>
    </row>
    <row r="38550" spans="1:10" x14ac:dyDescent="0.25">
      <c r="A38550" t="s">
        <v>398</v>
      </c>
      <c r="B38550" s="1" t="str">
        <f>HYPERLINK("http://autoforum.com.mx","autoforum.com.mx")</f>
        <v>autoforum.com.mx</v>
      </c>
      <c r="C38550" t="s">
        <v>471</v>
      </c>
      <c r="D38550" t="s">
        <v>847</v>
      </c>
      <c r="J38550">
        <v>4</v>
      </c>
    </row>
    <row r="38551" spans="1:10" x14ac:dyDescent="0.25">
      <c r="A38551" t="s">
        <v>398</v>
      </c>
      <c r="B38551" s="1" t="str">
        <f>HYPERLINK("http://crestacuautla.com.mx","crestacuautla.com.mx")</f>
        <v>crestacuautla.com.mx</v>
      </c>
      <c r="C38551" t="s">
        <v>471</v>
      </c>
      <c r="D38551" t="s">
        <v>847</v>
      </c>
      <c r="J38551">
        <v>5</v>
      </c>
    </row>
    <row r="38552" spans="1:10" x14ac:dyDescent="0.25">
      <c r="A38552" t="s">
        <v>398</v>
      </c>
      <c r="B38552" s="1" t="str">
        <f>HYPERLINK("http://cuernavaca.com.mx","cuernavaca.com.mx")</f>
        <v>cuernavaca.com.mx</v>
      </c>
      <c r="C38552" t="s">
        <v>471</v>
      </c>
      <c r="D38552" t="s">
        <v>847</v>
      </c>
      <c r="J38552">
        <v>5</v>
      </c>
    </row>
    <row r="38553" spans="1:10" x14ac:dyDescent="0.25">
      <c r="A38553" t="s">
        <v>398</v>
      </c>
      <c r="B38553" s="1" t="str">
        <f>HYPERLINK("http://daltoncopilco.com.mx","daltoncopilco.com.mx")</f>
        <v>daltoncopilco.com.mx</v>
      </c>
      <c r="C38553" t="s">
        <v>471</v>
      </c>
      <c r="D38553" t="s">
        <v>847</v>
      </c>
      <c r="J38553">
        <v>3</v>
      </c>
    </row>
    <row r="38554" spans="1:10" x14ac:dyDescent="0.25">
      <c r="A38554" t="s">
        <v>398</v>
      </c>
      <c r="B38554" s="1" t="str">
        <f>HYPERLINK("http://ducati.com.mx","ducati.com.mx")</f>
        <v>ducati.com.mx</v>
      </c>
      <c r="C38554" t="s">
        <v>471</v>
      </c>
      <c r="D38554" t="s">
        <v>847</v>
      </c>
      <c r="F38554">
        <v>9.87786579766602E-9</v>
      </c>
      <c r="G38554">
        <v>6883192</v>
      </c>
      <c r="H38554">
        <v>12454604</v>
      </c>
      <c r="I38554">
        <v>17939239</v>
      </c>
      <c r="J38554">
        <v>3</v>
      </c>
    </row>
    <row r="38555" spans="1:10" x14ac:dyDescent="0.25">
      <c r="A38555" t="s">
        <v>398</v>
      </c>
      <c r="B38555" s="1" t="str">
        <f>HYPERLINK("http://localizador-vw.com.mx","localizador-vw.com.mx")</f>
        <v>localizador-vw.com.mx</v>
      </c>
      <c r="C38555" t="s">
        <v>471</v>
      </c>
      <c r="D38555" t="s">
        <v>847</v>
      </c>
      <c r="J38555">
        <v>4</v>
      </c>
    </row>
    <row r="38556" spans="1:10" x14ac:dyDescent="0.25">
      <c r="A38556" t="s">
        <v>398</v>
      </c>
      <c r="B38556" s="1" t="str">
        <f>HYPERLINK("http://scania.com.mx","scania.com.mx")</f>
        <v>scania.com.mx</v>
      </c>
      <c r="C38556" t="s">
        <v>471</v>
      </c>
      <c r="D38556" t="s">
        <v>847</v>
      </c>
      <c r="F38556">
        <v>4.5499932832847401E-9</v>
      </c>
      <c r="G38556">
        <v>52188258</v>
      </c>
      <c r="H38556">
        <v>10802898</v>
      </c>
      <c r="I38556">
        <v>38073392</v>
      </c>
      <c r="J38556">
        <v>4</v>
      </c>
    </row>
    <row r="38557" spans="1:10" x14ac:dyDescent="0.25">
      <c r="A38557" t="s">
        <v>398</v>
      </c>
      <c r="B38557" s="1" t="str">
        <f>HYPERLINK("http://vw.com.mx","vw.com.mx")</f>
        <v>vw.com.mx</v>
      </c>
      <c r="C38557" t="s">
        <v>471</v>
      </c>
      <c r="D38557" t="s">
        <v>847</v>
      </c>
      <c r="E38557">
        <v>201115</v>
      </c>
      <c r="F38557">
        <v>1.3835611107214699E-7</v>
      </c>
      <c r="G38557">
        <v>281584</v>
      </c>
      <c r="H38557">
        <v>14573667</v>
      </c>
      <c r="I38557">
        <v>732220</v>
      </c>
      <c r="J38557">
        <v>3</v>
      </c>
    </row>
    <row r="38558" spans="1:10" x14ac:dyDescent="0.25">
      <c r="A38558" t="s">
        <v>398</v>
      </c>
      <c r="B38558" s="1" t="str">
        <f>HYPERLINK("http://vw-central.com.mx","vw-central.com.mx")</f>
        <v>vw-central.com.mx</v>
      </c>
      <c r="C38558" t="s">
        <v>471</v>
      </c>
      <c r="D38558" t="s">
        <v>847</v>
      </c>
      <c r="F38558">
        <v>4.4863389596309599E-9</v>
      </c>
      <c r="G38558">
        <v>61150634</v>
      </c>
      <c r="H38558">
        <v>12379726</v>
      </c>
      <c r="I38558">
        <v>19215050</v>
      </c>
      <c r="J38558">
        <v>3</v>
      </c>
    </row>
    <row r="38559" spans="1:10" x14ac:dyDescent="0.25">
      <c r="A38559" t="s">
        <v>398</v>
      </c>
      <c r="B38559" s="1" t="str">
        <f>HYPERLINK("http://vw-centran.com.mx","vw-centran.com.mx")</f>
        <v>vw-centran.com.mx</v>
      </c>
      <c r="C38559" t="s">
        <v>471</v>
      </c>
      <c r="D38559" t="s">
        <v>847</v>
      </c>
      <c r="J38559">
        <v>5</v>
      </c>
    </row>
    <row r="38560" spans="1:10" x14ac:dyDescent="0.25">
      <c r="A38560" t="s">
        <v>398</v>
      </c>
      <c r="B38560" s="1" t="str">
        <f>HYPERLINK("http://vw-coatzacoalcos.com.mx","vw-coatzacoalcos.com.mx")</f>
        <v>vw-coatzacoalcos.com.mx</v>
      </c>
      <c r="C38560" t="s">
        <v>471</v>
      </c>
      <c r="D38560" t="s">
        <v>847</v>
      </c>
      <c r="F38560">
        <v>4.4438136526760601E-9</v>
      </c>
      <c r="G38560">
        <v>79513579</v>
      </c>
      <c r="H38560">
        <v>10434388</v>
      </c>
      <c r="I38560">
        <v>52853016</v>
      </c>
      <c r="J38560">
        <v>3</v>
      </c>
    </row>
    <row r="38561" spans="1:10" x14ac:dyDescent="0.25">
      <c r="A38561" t="s">
        <v>398</v>
      </c>
      <c r="B38561" s="1" t="str">
        <f>HYPERLINK("http://vw-comitan.com.mx","vw-comitan.com.mx")</f>
        <v>vw-comitan.com.mx</v>
      </c>
      <c r="C38561" t="s">
        <v>471</v>
      </c>
      <c r="D38561" t="s">
        <v>847</v>
      </c>
      <c r="F38561">
        <v>4.4438136526760601E-9</v>
      </c>
      <c r="G38561">
        <v>79513580</v>
      </c>
      <c r="H38561">
        <v>10434388</v>
      </c>
      <c r="I38561">
        <v>52853017</v>
      </c>
      <c r="J38561">
        <v>5</v>
      </c>
    </row>
    <row r="38562" spans="1:10" x14ac:dyDescent="0.25">
      <c r="A38562" t="s">
        <v>398</v>
      </c>
      <c r="B38562" s="1" t="str">
        <f>HYPERLINK("http://vw-concesionarios.com.mx","vw-concesionarios.com.mx")</f>
        <v>vw-concesionarios.com.mx</v>
      </c>
      <c r="C38562" t="s">
        <v>471</v>
      </c>
      <c r="D38562" t="s">
        <v>847</v>
      </c>
      <c r="J38562">
        <v>3</v>
      </c>
    </row>
    <row r="38563" spans="1:10" x14ac:dyDescent="0.25">
      <c r="A38563" t="s">
        <v>398</v>
      </c>
      <c r="B38563" s="1" t="str">
        <f>HYPERLINK("http://vw-eca.com.mx","vw-eca.com.mx")</f>
        <v>vw-eca.com.mx</v>
      </c>
      <c r="C38563" t="s">
        <v>471</v>
      </c>
      <c r="D38563" t="s">
        <v>847</v>
      </c>
      <c r="J38563">
        <v>5</v>
      </c>
    </row>
    <row r="38564" spans="1:10" x14ac:dyDescent="0.25">
      <c r="A38564" t="s">
        <v>398</v>
      </c>
      <c r="B38564" s="1" t="str">
        <f>HYPERLINK("http://vw-huasteca.com.mx","vw-huasteca.com.mx")</f>
        <v>vw-huasteca.com.mx</v>
      </c>
      <c r="C38564" t="s">
        <v>471</v>
      </c>
      <c r="D38564" t="s">
        <v>847</v>
      </c>
      <c r="J38564">
        <v>3</v>
      </c>
    </row>
    <row r="38565" spans="1:10" x14ac:dyDescent="0.25">
      <c r="A38565" t="s">
        <v>398</v>
      </c>
      <c r="B38565" s="1" t="str">
        <f>HYPERLINK("http://vw-lomas.com.mx","vw-lomas.com.mx")</f>
        <v>vw-lomas.com.mx</v>
      </c>
      <c r="C38565" t="s">
        <v>471</v>
      </c>
      <c r="D38565" t="s">
        <v>847</v>
      </c>
      <c r="J38565">
        <v>5</v>
      </c>
    </row>
    <row r="38566" spans="1:10" x14ac:dyDescent="0.25">
      <c r="A38566" t="s">
        <v>398</v>
      </c>
      <c r="B38566" s="1" t="str">
        <f>HYPERLINK("http://vw-villauto.com.mx","vw-villauto.com.mx")</f>
        <v>vw-villauto.com.mx</v>
      </c>
      <c r="C38566" t="s">
        <v>471</v>
      </c>
      <c r="D38566" t="s">
        <v>847</v>
      </c>
      <c r="F38566">
        <v>4.4438260494019699E-9</v>
      </c>
      <c r="G38566">
        <v>79121895</v>
      </c>
      <c r="H38566">
        <v>10361657</v>
      </c>
      <c r="I38566">
        <v>55174019</v>
      </c>
      <c r="J38566">
        <v>3</v>
      </c>
    </row>
    <row r="38567" spans="1:10" x14ac:dyDescent="0.25">
      <c r="A38567" t="s">
        <v>398</v>
      </c>
      <c r="B38567" s="1" t="str">
        <f>HYPERLINK("http://vwb.com.mx","vwb.com.mx")</f>
        <v>vwb.com.mx</v>
      </c>
      <c r="C38567" t="s">
        <v>471</v>
      </c>
      <c r="D38567" t="s">
        <v>847</v>
      </c>
      <c r="F38567">
        <v>1.33457779964529E-8</v>
      </c>
      <c r="G38567">
        <v>4473511</v>
      </c>
      <c r="H38567">
        <v>12886594</v>
      </c>
      <c r="I38567">
        <v>13957834</v>
      </c>
      <c r="J38567">
        <v>3</v>
      </c>
    </row>
    <row r="38568" spans="1:10" x14ac:dyDescent="0.25">
      <c r="A38568" t="s">
        <v>398</v>
      </c>
      <c r="B38568" s="1" t="str">
        <f>HYPERLINK("http://vwl.com.mx","vwl.com.mx")</f>
        <v>vwl.com.mx</v>
      </c>
      <c r="C38568" t="s">
        <v>471</v>
      </c>
      <c r="D38568" t="s">
        <v>847</v>
      </c>
      <c r="F38568">
        <v>6.20321170854665E-9</v>
      </c>
      <c r="G38568">
        <v>15518813</v>
      </c>
      <c r="H38568">
        <v>12990575</v>
      </c>
      <c r="I38568">
        <v>12856335</v>
      </c>
      <c r="J38568">
        <v>3</v>
      </c>
    </row>
    <row r="38569" spans="1:10" x14ac:dyDescent="0.25">
      <c r="A38569" t="s">
        <v>398</v>
      </c>
      <c r="B38569" s="1" t="str">
        <f>HYPERLINK("http://ducatigdl.mx","ducatigdl.mx")</f>
        <v>ducatigdl.mx</v>
      </c>
      <c r="C38569" t="s">
        <v>471</v>
      </c>
      <c r="D38569" t="s">
        <v>847</v>
      </c>
      <c r="F38569">
        <v>5.0303101881315504E-9</v>
      </c>
      <c r="G38569">
        <v>28662093</v>
      </c>
      <c r="H38569">
        <v>10855420</v>
      </c>
      <c r="I38569">
        <v>36750264</v>
      </c>
      <c r="J38569">
        <v>4</v>
      </c>
    </row>
    <row r="38570" spans="1:10" x14ac:dyDescent="0.25">
      <c r="A38570" t="s">
        <v>398</v>
      </c>
      <c r="B38570" s="1" t="str">
        <f>HYPERLINK("http://fsuburbanos.mx","fsuburbanos.mx")</f>
        <v>fsuburbanos.mx</v>
      </c>
      <c r="C38570" t="s">
        <v>471</v>
      </c>
      <c r="D38570" t="s">
        <v>847</v>
      </c>
      <c r="F38570">
        <v>5.5143625866043902E-9</v>
      </c>
      <c r="G38570">
        <v>20746346</v>
      </c>
      <c r="H38570">
        <v>10723057</v>
      </c>
      <c r="I38570">
        <v>41545292</v>
      </c>
      <c r="J38570">
        <v>13</v>
      </c>
    </row>
    <row r="38571" spans="1:10" x14ac:dyDescent="0.25">
      <c r="A38571" t="s">
        <v>398</v>
      </c>
      <c r="B38571" s="1" t="str">
        <f>HYPERLINK("http://grupocaf.mx","grupocaf.mx")</f>
        <v>grupocaf.mx</v>
      </c>
      <c r="C38571" t="s">
        <v>471</v>
      </c>
      <c r="D38571" t="s">
        <v>847</v>
      </c>
      <c r="J38571">
        <v>12</v>
      </c>
    </row>
    <row r="38572" spans="1:10" x14ac:dyDescent="0.25">
      <c r="A38572" t="s">
        <v>398</v>
      </c>
      <c r="B38572" s="1" t="str">
        <f>HYPERLINK("http://porsche.mx","porsche.mx")</f>
        <v>porsche.mx</v>
      </c>
      <c r="C38572" t="s">
        <v>471</v>
      </c>
      <c r="D38572" t="s">
        <v>847</v>
      </c>
      <c r="F38572">
        <v>5.0733679638009402E-9</v>
      </c>
      <c r="G38572">
        <v>27671508</v>
      </c>
      <c r="H38572">
        <v>12376142</v>
      </c>
      <c r="I38572">
        <v>19288552</v>
      </c>
      <c r="J38572">
        <v>4</v>
      </c>
    </row>
    <row r="38573" spans="1:10" x14ac:dyDescent="0.25">
      <c r="A38573" t="s">
        <v>398</v>
      </c>
      <c r="B38573" s="1" t="str">
        <f>HYPERLINK("http://seat.mx","seat.mx")</f>
        <v>seat.mx</v>
      </c>
      <c r="C38573" t="s">
        <v>471</v>
      </c>
      <c r="D38573" t="s">
        <v>847</v>
      </c>
      <c r="E38573">
        <v>902864</v>
      </c>
      <c r="F38573">
        <v>3.6208287464412797E-8</v>
      </c>
      <c r="G38573">
        <v>1440235</v>
      </c>
      <c r="H38573">
        <v>14074443</v>
      </c>
      <c r="I38573">
        <v>2942986</v>
      </c>
      <c r="J38573">
        <v>4</v>
      </c>
    </row>
    <row r="38574" spans="1:10" x14ac:dyDescent="0.25">
      <c r="A38574" t="s">
        <v>398</v>
      </c>
      <c r="B38574" s="1" t="str">
        <f>HYPERLINK("http://ducati.com.my","ducati.com.my")</f>
        <v>ducati.com.my</v>
      </c>
      <c r="C38574" t="s">
        <v>472</v>
      </c>
      <c r="D38574" t="s">
        <v>848</v>
      </c>
      <c r="F38574">
        <v>1.19433298929744E-8</v>
      </c>
      <c r="G38574">
        <v>5211166</v>
      </c>
      <c r="H38574">
        <v>12616711</v>
      </c>
      <c r="I38574">
        <v>16119649</v>
      </c>
      <c r="J38574">
        <v>3</v>
      </c>
    </row>
    <row r="38575" spans="1:10" x14ac:dyDescent="0.25">
      <c r="A38575" t="s">
        <v>398</v>
      </c>
      <c r="B38575" s="1" t="str">
        <f>HYPERLINK("http://audi.co.mz","audi.co.mz")</f>
        <v>audi.co.mz</v>
      </c>
      <c r="C38575" t="s">
        <v>616</v>
      </c>
      <c r="D38575" t="s">
        <v>941</v>
      </c>
      <c r="F38575">
        <v>5.1668639540755103E-9</v>
      </c>
      <c r="G38575">
        <v>25779480</v>
      </c>
      <c r="H38575">
        <v>9554760</v>
      </c>
      <c r="I38575">
        <v>64926383</v>
      </c>
      <c r="J38575">
        <v>4</v>
      </c>
    </row>
    <row r="38576" spans="1:10" x14ac:dyDescent="0.25">
      <c r="A38576" t="s">
        <v>398</v>
      </c>
      <c r="B38576" s="1" t="str">
        <f>HYPERLINK("http://audi.com.na","audi.com.na")</f>
        <v>audi.com.na</v>
      </c>
      <c r="C38576" t="s">
        <v>473</v>
      </c>
      <c r="D38576" t="s">
        <v>849</v>
      </c>
      <c r="F38576">
        <v>9.2651038197461997E-9</v>
      </c>
      <c r="G38576">
        <v>7618099</v>
      </c>
      <c r="H38576">
        <v>12415965</v>
      </c>
      <c r="I38576">
        <v>18527938</v>
      </c>
      <c r="J38576">
        <v>4</v>
      </c>
    </row>
    <row r="38577" spans="1:10" x14ac:dyDescent="0.25">
      <c r="A38577" t="s">
        <v>398</v>
      </c>
      <c r="B38577" s="1" t="str">
        <f>HYPERLINK("http://audizentrum.net","audizentrum.net")</f>
        <v>audizentrum.net</v>
      </c>
      <c r="C38577" t="s">
        <v>474</v>
      </c>
      <c r="F38577">
        <v>4.9587979900100199E-9</v>
      </c>
      <c r="G38577">
        <v>30544523</v>
      </c>
      <c r="H38577">
        <v>10686102</v>
      </c>
      <c r="I38577">
        <v>42587205</v>
      </c>
      <c r="J38577">
        <v>4</v>
      </c>
    </row>
    <row r="38578" spans="1:10" x14ac:dyDescent="0.25">
      <c r="A38578" t="s">
        <v>398</v>
      </c>
      <c r="B38578" s="1" t="str">
        <f>HYPERLINK("http://62c27bdb-dda9-40a3-8bd0-c3ce4d0b5f39.azurewebsites.net","62c27bdb-dda9-40a3-8bd0-c3ce4d0b5f39.azurewebsites.net")</f>
        <v>62c27bdb-dda9-40a3-8bd0-c3ce4d0b5f39.azurewebsites.net</v>
      </c>
      <c r="C38578" t="s">
        <v>474</v>
      </c>
      <c r="J38578">
        <v>5</v>
      </c>
    </row>
    <row r="38579" spans="1:10" x14ac:dyDescent="0.25">
      <c r="A38579" t="s">
        <v>398</v>
      </c>
      <c r="B38579" s="1" t="str">
        <f>HYPERLINK("http://caf.net","caf.net")</f>
        <v>caf.net</v>
      </c>
      <c r="C38579" t="s">
        <v>474</v>
      </c>
      <c r="E38579">
        <v>147973</v>
      </c>
      <c r="F38579">
        <v>1.77569123721721E-7</v>
      </c>
      <c r="G38579">
        <v>217766</v>
      </c>
      <c r="H38579">
        <v>15055684</v>
      </c>
      <c r="I38579">
        <v>413580</v>
      </c>
      <c r="J38579">
        <v>6</v>
      </c>
    </row>
    <row r="38580" spans="1:10" x14ac:dyDescent="0.25">
      <c r="A38580" t="s">
        <v>398</v>
      </c>
      <c r="B38580" s="1" t="str">
        <f>HYPERLINK("http://dinbil.net","dinbil.net")</f>
        <v>dinbil.net</v>
      </c>
      <c r="C38580" t="s">
        <v>474</v>
      </c>
      <c r="F38580">
        <v>8.1620912220254604E-9</v>
      </c>
      <c r="G38580">
        <v>9635773</v>
      </c>
      <c r="H38580">
        <v>11911575</v>
      </c>
      <c r="I38580">
        <v>29426392</v>
      </c>
      <c r="J38580">
        <v>4</v>
      </c>
    </row>
    <row r="38581" spans="1:10" x14ac:dyDescent="0.25">
      <c r="A38581" t="s">
        <v>398</v>
      </c>
      <c r="B38581" s="1" t="str">
        <f>HYPERLINK("http://maniberia.net","maniberia.net")</f>
        <v>maniberia.net</v>
      </c>
      <c r="C38581" t="s">
        <v>474</v>
      </c>
      <c r="F38581">
        <v>9.7275858766922406E-9</v>
      </c>
      <c r="G38581">
        <v>7049372</v>
      </c>
      <c r="H38581">
        <v>12625924</v>
      </c>
      <c r="I38581">
        <v>16030119</v>
      </c>
      <c r="J38581">
        <v>5</v>
      </c>
    </row>
    <row r="38582" spans="1:10" x14ac:dyDescent="0.25">
      <c r="A38582" t="s">
        <v>398</v>
      </c>
      <c r="B38582" s="1" t="str">
        <f>HYPERLINK("http://peoplestreme.net","peoplestreme.net")</f>
        <v>peoplestreme.net</v>
      </c>
      <c r="C38582" t="s">
        <v>474</v>
      </c>
      <c r="F38582">
        <v>4.3543681697617603E-8</v>
      </c>
      <c r="G38582">
        <v>1097773</v>
      </c>
      <c r="H38582">
        <v>13793719</v>
      </c>
      <c r="I38582">
        <v>6320554</v>
      </c>
      <c r="J38582">
        <v>6</v>
      </c>
    </row>
    <row r="38583" spans="1:10" x14ac:dyDescent="0.25">
      <c r="A38583" t="s">
        <v>398</v>
      </c>
      <c r="B38583" s="1" t="str">
        <f>HYPERLINK("http://skoda-avignon.net","skoda-avignon.net")</f>
        <v>skoda-avignon.net</v>
      </c>
      <c r="C38583" t="s">
        <v>474</v>
      </c>
      <c r="F38583">
        <v>4.6411846441383601E-9</v>
      </c>
      <c r="G38583">
        <v>44709675</v>
      </c>
      <c r="H38583">
        <v>9336103</v>
      </c>
      <c r="I38583">
        <v>68153855</v>
      </c>
      <c r="J38583">
        <v>5</v>
      </c>
    </row>
    <row r="38584" spans="1:10" x14ac:dyDescent="0.25">
      <c r="A38584" t="s">
        <v>398</v>
      </c>
      <c r="B38584" s="1" t="str">
        <f>HYPERLINK("http://audi.nf","audi.nf")</f>
        <v>audi.nf</v>
      </c>
      <c r="C38584" t="s">
        <v>657</v>
      </c>
      <c r="D38584" t="s">
        <v>976</v>
      </c>
      <c r="F38584">
        <v>8.3623499248383294E-9</v>
      </c>
      <c r="G38584">
        <v>9120712</v>
      </c>
      <c r="H38584">
        <v>12415964</v>
      </c>
      <c r="I38584">
        <v>18527954</v>
      </c>
      <c r="J38584">
        <v>4</v>
      </c>
    </row>
    <row r="38585" spans="1:10" x14ac:dyDescent="0.25">
      <c r="A38585" t="s">
        <v>398</v>
      </c>
      <c r="B38585" s="1" t="str">
        <f>HYPERLINK("http://audi.ng","audi.ng")</f>
        <v>audi.ng</v>
      </c>
      <c r="C38585" t="s">
        <v>475</v>
      </c>
      <c r="D38585" t="s">
        <v>850</v>
      </c>
      <c r="F38585">
        <v>9.0158645758502893E-9</v>
      </c>
      <c r="G38585">
        <v>7968360</v>
      </c>
      <c r="H38585">
        <v>12415968</v>
      </c>
      <c r="I38585">
        <v>18527899</v>
      </c>
      <c r="J38585">
        <v>4</v>
      </c>
    </row>
    <row r="38586" spans="1:10" x14ac:dyDescent="0.25">
      <c r="A38586" t="s">
        <v>398</v>
      </c>
      <c r="B38586" s="1" t="str">
        <f>HYPERLINK("http://audi.com.ng","audi.com.ng")</f>
        <v>audi.com.ng</v>
      </c>
      <c r="C38586" t="s">
        <v>475</v>
      </c>
      <c r="D38586" t="s">
        <v>850</v>
      </c>
      <c r="F38586">
        <v>8.2738374883918796E-9</v>
      </c>
      <c r="G38586">
        <v>9319370</v>
      </c>
      <c r="H38586">
        <v>12940197</v>
      </c>
      <c r="I38586">
        <v>13287942</v>
      </c>
      <c r="J38586">
        <v>4</v>
      </c>
    </row>
    <row r="38587" spans="1:10" x14ac:dyDescent="0.25">
      <c r="A38587" t="s">
        <v>398</v>
      </c>
      <c r="B38587" s="1" t="str">
        <f>HYPERLINK("http://a-point.nl","a-point.nl")</f>
        <v>a-point.nl</v>
      </c>
      <c r="C38587" t="s">
        <v>477</v>
      </c>
      <c r="D38587" t="s">
        <v>852</v>
      </c>
      <c r="F38587">
        <v>2.3592292422663099E-8</v>
      </c>
      <c r="G38587">
        <v>2204738</v>
      </c>
      <c r="H38587">
        <v>13765837</v>
      </c>
      <c r="I38587">
        <v>7059813</v>
      </c>
      <c r="J38587">
        <v>4</v>
      </c>
    </row>
    <row r="38588" spans="1:10" x14ac:dyDescent="0.25">
      <c r="A38588" t="s">
        <v>398</v>
      </c>
      <c r="B38588" s="1" t="str">
        <f>HYPERLINK("http://abmulderbv.nl","abmulderbv.nl")</f>
        <v>abmulderbv.nl</v>
      </c>
      <c r="C38588" t="s">
        <v>477</v>
      </c>
      <c r="D38588" t="s">
        <v>852</v>
      </c>
      <c r="F38588">
        <v>5.3170387748715001E-9</v>
      </c>
      <c r="G38588">
        <v>23250445</v>
      </c>
      <c r="H38588">
        <v>12168318</v>
      </c>
      <c r="I38588">
        <v>24112646</v>
      </c>
      <c r="J38588">
        <v>4</v>
      </c>
    </row>
    <row r="38589" spans="1:10" x14ac:dyDescent="0.25">
      <c r="A38589" t="s">
        <v>398</v>
      </c>
      <c r="B38589" s="1" t="str">
        <f>HYPERLINK("http://ames.nl","ames.nl")</f>
        <v>ames.nl</v>
      </c>
      <c r="C38589" t="s">
        <v>477</v>
      </c>
      <c r="D38589" t="s">
        <v>852</v>
      </c>
      <c r="F38589">
        <v>2.4361068163375401E-8</v>
      </c>
      <c r="G38589">
        <v>2127746</v>
      </c>
      <c r="H38589">
        <v>12881911</v>
      </c>
      <c r="I38589">
        <v>13990723</v>
      </c>
      <c r="J38589">
        <v>4</v>
      </c>
    </row>
    <row r="38590" spans="1:10" x14ac:dyDescent="0.25">
      <c r="A38590" t="s">
        <v>398</v>
      </c>
      <c r="B38590" s="1" t="str">
        <f>HYPERLINK("http://audi.nl","audi.nl")</f>
        <v>audi.nl</v>
      </c>
      <c r="C38590" t="s">
        <v>477</v>
      </c>
      <c r="D38590" t="s">
        <v>852</v>
      </c>
      <c r="E38590">
        <v>294653</v>
      </c>
      <c r="F38590">
        <v>1.2874304914832399E-7</v>
      </c>
      <c r="G38590">
        <v>304436</v>
      </c>
      <c r="H38590">
        <v>14470414</v>
      </c>
      <c r="I38590">
        <v>1042128</v>
      </c>
      <c r="J38590">
        <v>4</v>
      </c>
    </row>
    <row r="38591" spans="1:10" x14ac:dyDescent="0.25">
      <c r="A38591" t="s">
        <v>398</v>
      </c>
      <c r="B38591" s="1" t="str">
        <f>HYPERLINK("http://audicentrumbreda.nl","audicentrumbreda.nl")</f>
        <v>audicentrumbreda.nl</v>
      </c>
      <c r="C38591" t="s">
        <v>477</v>
      </c>
      <c r="D38591" t="s">
        <v>852</v>
      </c>
      <c r="F38591">
        <v>7.77367370989881E-9</v>
      </c>
      <c r="G38591">
        <v>10382891</v>
      </c>
      <c r="H38591">
        <v>10776734</v>
      </c>
      <c r="I38591">
        <v>39025027</v>
      </c>
      <c r="J38591">
        <v>4</v>
      </c>
    </row>
    <row r="38592" spans="1:10" x14ac:dyDescent="0.25">
      <c r="A38592" t="s">
        <v>398</v>
      </c>
      <c r="B38592" s="1" t="str">
        <f>HYPERLINK("http://audiroosendaal.nl","audiroosendaal.nl")</f>
        <v>audiroosendaal.nl</v>
      </c>
      <c r="C38592" t="s">
        <v>477</v>
      </c>
      <c r="D38592" t="s">
        <v>852</v>
      </c>
      <c r="J38592">
        <v>4</v>
      </c>
    </row>
    <row r="38593" spans="1:10" x14ac:dyDescent="0.25">
      <c r="A38593" t="s">
        <v>398</v>
      </c>
      <c r="B38593" s="1" t="str">
        <f>HYPERLINK("http://autohaas.nl","autohaas.nl")</f>
        <v>autohaas.nl</v>
      </c>
      <c r="C38593" t="s">
        <v>477</v>
      </c>
      <c r="D38593" t="s">
        <v>852</v>
      </c>
      <c r="F38593">
        <v>6.8511338586271696E-9</v>
      </c>
      <c r="G38593">
        <v>12791812</v>
      </c>
      <c r="H38593">
        <v>12231619</v>
      </c>
      <c r="I38593">
        <v>22461564</v>
      </c>
      <c r="J38593">
        <v>3</v>
      </c>
    </row>
    <row r="38594" spans="1:10" x14ac:dyDescent="0.25">
      <c r="A38594" t="s">
        <v>398</v>
      </c>
      <c r="B38594" s="1" t="str">
        <f>HYPERLINK("http://autohoogenboom.nl","autohoogenboom.nl")</f>
        <v>autohoogenboom.nl</v>
      </c>
      <c r="C38594" t="s">
        <v>477</v>
      </c>
      <c r="D38594" t="s">
        <v>852</v>
      </c>
      <c r="F38594">
        <v>2.0021120845520199E-8</v>
      </c>
      <c r="G38594">
        <v>2656004</v>
      </c>
      <c r="H38594">
        <v>12954181</v>
      </c>
      <c r="I38594">
        <v>13192030</v>
      </c>
      <c r="J38594">
        <v>3</v>
      </c>
    </row>
    <row r="38595" spans="1:10" x14ac:dyDescent="0.25">
      <c r="A38595" t="s">
        <v>398</v>
      </c>
      <c r="B38595" s="1" t="str">
        <f>HYPERLINK("http://cupraofficial.nl","cupraofficial.nl")</f>
        <v>cupraofficial.nl</v>
      </c>
      <c r="C38595" t="s">
        <v>477</v>
      </c>
      <c r="D38595" t="s">
        <v>852</v>
      </c>
      <c r="F38595">
        <v>3.4516299734519598E-8</v>
      </c>
      <c r="G38595">
        <v>1502924</v>
      </c>
      <c r="H38595">
        <v>12626719</v>
      </c>
      <c r="I38595">
        <v>16018299</v>
      </c>
      <c r="J38595">
        <v>4</v>
      </c>
    </row>
    <row r="38596" spans="1:10" x14ac:dyDescent="0.25">
      <c r="A38596" t="s">
        <v>398</v>
      </c>
      <c r="B38596" s="1" t="str">
        <f>HYPERLINK("http://ducati.nl","ducati.nl")</f>
        <v>ducati.nl</v>
      </c>
      <c r="C38596" t="s">
        <v>477</v>
      </c>
      <c r="D38596" t="s">
        <v>852</v>
      </c>
      <c r="F38596">
        <v>1.3244640040211499E-8</v>
      </c>
      <c r="G38596">
        <v>4518168</v>
      </c>
      <c r="H38596">
        <v>12425725</v>
      </c>
      <c r="I38596">
        <v>18366199</v>
      </c>
      <c r="J38596">
        <v>3</v>
      </c>
    </row>
    <row r="38597" spans="1:10" x14ac:dyDescent="0.25">
      <c r="A38597" t="s">
        <v>398</v>
      </c>
      <c r="B38597" s="1" t="str">
        <f>HYPERLINK("http://heronauto.nl","heronauto.nl")</f>
        <v>heronauto.nl</v>
      </c>
      <c r="C38597" t="s">
        <v>477</v>
      </c>
      <c r="D38597" t="s">
        <v>852</v>
      </c>
      <c r="F38597">
        <v>5.8355821094921003E-9</v>
      </c>
      <c r="G38597">
        <v>17817209</v>
      </c>
      <c r="H38597">
        <v>12616244</v>
      </c>
      <c r="I38597">
        <v>16127244</v>
      </c>
      <c r="J38597">
        <v>3</v>
      </c>
    </row>
    <row r="38598" spans="1:10" x14ac:dyDescent="0.25">
      <c r="A38598" t="s">
        <v>398</v>
      </c>
      <c r="B38598" s="1" t="str">
        <f>HYPERLINK("http://maasautogroep.nl","maasautogroep.nl")</f>
        <v>maasautogroep.nl</v>
      </c>
      <c r="C38598" t="s">
        <v>477</v>
      </c>
      <c r="D38598" t="s">
        <v>852</v>
      </c>
      <c r="F38598">
        <v>1.4622659273356E-8</v>
      </c>
      <c r="G38598">
        <v>3968180</v>
      </c>
      <c r="H38598">
        <v>12242195</v>
      </c>
      <c r="I38598">
        <v>22190293</v>
      </c>
      <c r="J38598">
        <v>3</v>
      </c>
    </row>
    <row r="38599" spans="1:10" x14ac:dyDescent="0.25">
      <c r="A38599" t="s">
        <v>398</v>
      </c>
      <c r="B38599" s="1" t="str">
        <f>HYPERLINK("http://martinschilder.nl","martinschilder.nl")</f>
        <v>martinschilder.nl</v>
      </c>
      <c r="C38599" t="s">
        <v>477</v>
      </c>
      <c r="D38599" t="s">
        <v>852</v>
      </c>
      <c r="F38599">
        <v>7.2154325254127496E-9</v>
      </c>
      <c r="G38599">
        <v>11699812</v>
      </c>
      <c r="H38599">
        <v>12488810</v>
      </c>
      <c r="I38599">
        <v>17502850</v>
      </c>
      <c r="J38599">
        <v>3</v>
      </c>
    </row>
    <row r="38600" spans="1:10" x14ac:dyDescent="0.25">
      <c r="A38600" t="s">
        <v>398</v>
      </c>
      <c r="B38600" s="1" t="str">
        <f>HYPERLINK("http://motron.nl","motron.nl")</f>
        <v>motron.nl</v>
      </c>
      <c r="C38600" t="s">
        <v>477</v>
      </c>
      <c r="D38600" t="s">
        <v>852</v>
      </c>
      <c r="F38600">
        <v>6.2035329994134203E-9</v>
      </c>
      <c r="G38600">
        <v>15517124</v>
      </c>
      <c r="H38600">
        <v>10954467</v>
      </c>
      <c r="I38600">
        <v>34481801</v>
      </c>
      <c r="J38600">
        <v>4</v>
      </c>
    </row>
    <row r="38601" spans="1:10" x14ac:dyDescent="0.25">
      <c r="A38601" t="s">
        <v>398</v>
      </c>
      <c r="B38601" s="1" t="str">
        <f>HYPERLINK("http://muntstad.nl","muntstad.nl")</f>
        <v>muntstad.nl</v>
      </c>
      <c r="C38601" t="s">
        <v>477</v>
      </c>
      <c r="D38601" t="s">
        <v>852</v>
      </c>
      <c r="F38601">
        <v>1.9700486970120401E-8</v>
      </c>
      <c r="G38601">
        <v>2709128</v>
      </c>
      <c r="H38601">
        <v>12429404</v>
      </c>
      <c r="I38601">
        <v>18308426</v>
      </c>
      <c r="J38601">
        <v>4</v>
      </c>
    </row>
    <row r="38602" spans="1:10" x14ac:dyDescent="0.25">
      <c r="A38602" t="s">
        <v>398</v>
      </c>
      <c r="B38602" s="1" t="str">
        <f>HYPERLINK("http://porsche.nl","porsche.nl")</f>
        <v>porsche.nl</v>
      </c>
      <c r="C38602" t="s">
        <v>477</v>
      </c>
      <c r="D38602" t="s">
        <v>852</v>
      </c>
      <c r="F38602">
        <v>2.4571021753913499E-8</v>
      </c>
      <c r="G38602">
        <v>2108033</v>
      </c>
      <c r="H38602">
        <v>14489487</v>
      </c>
      <c r="I38602">
        <v>921541</v>
      </c>
      <c r="J38602">
        <v>4</v>
      </c>
    </row>
    <row r="38603" spans="1:10" x14ac:dyDescent="0.25">
      <c r="A38603" t="s">
        <v>398</v>
      </c>
      <c r="B38603" s="1" t="str">
        <f>HYPERLINK("http://porschecentrumtwente.nl","porschecentrumtwente.nl")</f>
        <v>porschecentrumtwente.nl</v>
      </c>
      <c r="C38603" t="s">
        <v>477</v>
      </c>
      <c r="D38603" t="s">
        <v>852</v>
      </c>
      <c r="F38603">
        <v>1.15935490777979E-8</v>
      </c>
      <c r="G38603">
        <v>5438123</v>
      </c>
      <c r="H38603">
        <v>12461246</v>
      </c>
      <c r="I38603">
        <v>17861276</v>
      </c>
      <c r="J38603">
        <v>4</v>
      </c>
    </row>
    <row r="38604" spans="1:10" x14ac:dyDescent="0.25">
      <c r="A38604" t="s">
        <v>398</v>
      </c>
      <c r="B38604" s="1" t="str">
        <f>HYPERLINK("http://pouw.nl","pouw.nl")</f>
        <v>pouw.nl</v>
      </c>
      <c r="C38604" t="s">
        <v>477</v>
      </c>
      <c r="D38604" t="s">
        <v>852</v>
      </c>
      <c r="F38604">
        <v>1.87156370206498E-8</v>
      </c>
      <c r="G38604">
        <v>2886612</v>
      </c>
      <c r="H38604">
        <v>12879137</v>
      </c>
      <c r="I38604">
        <v>14008034</v>
      </c>
      <c r="J38604">
        <v>3</v>
      </c>
    </row>
    <row r="38605" spans="1:10" x14ac:dyDescent="0.25">
      <c r="A38605" t="s">
        <v>398</v>
      </c>
      <c r="B38605" s="1" t="str">
        <f>HYPERLINK("http://rennsport.nl","rennsport.nl")</f>
        <v>rennsport.nl</v>
      </c>
      <c r="C38605" t="s">
        <v>477</v>
      </c>
      <c r="D38605" t="s">
        <v>852</v>
      </c>
      <c r="F38605">
        <v>4.54521927404349E-9</v>
      </c>
      <c r="G38605">
        <v>52707182</v>
      </c>
      <c r="H38605">
        <v>10594907</v>
      </c>
      <c r="I38605">
        <v>45246873</v>
      </c>
      <c r="J38605">
        <v>4</v>
      </c>
    </row>
    <row r="38606" spans="1:10" x14ac:dyDescent="0.25">
      <c r="A38606" t="s">
        <v>398</v>
      </c>
      <c r="B38606" s="1" t="str">
        <f>HYPERLINK("http://rinsma.nl","rinsma.nl")</f>
        <v>rinsma.nl</v>
      </c>
      <c r="C38606" t="s">
        <v>477</v>
      </c>
      <c r="D38606" t="s">
        <v>852</v>
      </c>
      <c r="F38606">
        <v>1.5882321922030299E-8</v>
      </c>
      <c r="G38606">
        <v>3577252</v>
      </c>
      <c r="H38606">
        <v>13362491</v>
      </c>
      <c r="I38606">
        <v>10502964</v>
      </c>
      <c r="J38606">
        <v>4</v>
      </c>
    </row>
    <row r="38607" spans="1:10" x14ac:dyDescent="0.25">
      <c r="A38607" t="s">
        <v>398</v>
      </c>
      <c r="B38607" s="1" t="str">
        <f>HYPERLINK("http://scania.nl","scania.nl")</f>
        <v>scania.nl</v>
      </c>
      <c r="C38607" t="s">
        <v>477</v>
      </c>
      <c r="D38607" t="s">
        <v>852</v>
      </c>
      <c r="F38607">
        <v>2.2853219447684501E-8</v>
      </c>
      <c r="G38607">
        <v>2287852</v>
      </c>
      <c r="H38607">
        <v>14074266</v>
      </c>
      <c r="I38607">
        <v>2949691</v>
      </c>
      <c r="J38607">
        <v>3</v>
      </c>
    </row>
    <row r="38608" spans="1:10" x14ac:dyDescent="0.25">
      <c r="A38608" t="s">
        <v>398</v>
      </c>
      <c r="B38608" s="1" t="str">
        <f>HYPERLINK("http://scanianederland.nl","scanianederland.nl")</f>
        <v>scanianederland.nl</v>
      </c>
      <c r="C38608" t="s">
        <v>477</v>
      </c>
      <c r="D38608" t="s">
        <v>852</v>
      </c>
      <c r="F38608">
        <v>5.3227973231775898E-9</v>
      </c>
      <c r="G38608">
        <v>23167882</v>
      </c>
      <c r="H38608">
        <v>11083090</v>
      </c>
      <c r="I38608">
        <v>32453963</v>
      </c>
      <c r="J38608">
        <v>3</v>
      </c>
    </row>
    <row r="38609" spans="1:10" x14ac:dyDescent="0.25">
      <c r="A38609" t="s">
        <v>398</v>
      </c>
      <c r="B38609" s="1" t="str">
        <f>HYPERLINK("http://scaniaproductionmeppel.nl","scaniaproductionmeppel.nl")</f>
        <v>scaniaproductionmeppel.nl</v>
      </c>
      <c r="C38609" t="s">
        <v>477</v>
      </c>
      <c r="D38609" t="s">
        <v>852</v>
      </c>
      <c r="F38609">
        <v>4.8514770413273601E-9</v>
      </c>
      <c r="G38609">
        <v>34092063</v>
      </c>
      <c r="H38609">
        <v>9749291</v>
      </c>
      <c r="I38609">
        <v>62992085</v>
      </c>
      <c r="J38609">
        <v>3</v>
      </c>
    </row>
    <row r="38610" spans="1:10" x14ac:dyDescent="0.25">
      <c r="A38610" t="s">
        <v>398</v>
      </c>
      <c r="B38610" s="1" t="str">
        <f>HYPERLINK("http://seat.nl","seat.nl")</f>
        <v>seat.nl</v>
      </c>
      <c r="C38610" t="s">
        <v>477</v>
      </c>
      <c r="D38610" t="s">
        <v>852</v>
      </c>
      <c r="E38610">
        <v>626667</v>
      </c>
      <c r="F38610">
        <v>7.9854549887713095E-8</v>
      </c>
      <c r="G38610">
        <v>523110</v>
      </c>
      <c r="H38610">
        <v>14130797</v>
      </c>
      <c r="I38610">
        <v>2023660</v>
      </c>
      <c r="J38610">
        <v>4</v>
      </c>
    </row>
    <row r="38611" spans="1:10" x14ac:dyDescent="0.25">
      <c r="A38611" t="s">
        <v>398</v>
      </c>
      <c r="B38611" s="1" t="str">
        <f>HYPERLINK("http://skoda.nl","skoda.nl")</f>
        <v>skoda.nl</v>
      </c>
      <c r="C38611" t="s">
        <v>477</v>
      </c>
      <c r="D38611" t="s">
        <v>852</v>
      </c>
      <c r="E38611">
        <v>413441</v>
      </c>
      <c r="F38611">
        <v>7.4871709912172905E-8</v>
      </c>
      <c r="G38611">
        <v>561857</v>
      </c>
      <c r="H38611">
        <v>14246849</v>
      </c>
      <c r="I38611">
        <v>1459817</v>
      </c>
      <c r="J38611">
        <v>4</v>
      </c>
    </row>
    <row r="38612" spans="1:10" x14ac:dyDescent="0.25">
      <c r="A38612" t="s">
        <v>398</v>
      </c>
      <c r="B38612" s="1" t="str">
        <f>HYPERLINK("http://tb.nl","tb.nl")</f>
        <v>tb.nl</v>
      </c>
      <c r="C38612" t="s">
        <v>477</v>
      </c>
      <c r="D38612" t="s">
        <v>852</v>
      </c>
      <c r="F38612">
        <v>3.1370858857770702E-8</v>
      </c>
      <c r="G38612">
        <v>1644012</v>
      </c>
      <c r="H38612">
        <v>14376247</v>
      </c>
      <c r="I38612">
        <v>1218903</v>
      </c>
      <c r="J38612">
        <v>3</v>
      </c>
    </row>
    <row r="38613" spans="1:10" x14ac:dyDescent="0.25">
      <c r="A38613" t="s">
        <v>398</v>
      </c>
      <c r="B38613" s="1" t="str">
        <f>HYPERLINK("http://tbvolkswagen.nl","tbvolkswagen.nl")</f>
        <v>tbvolkswagen.nl</v>
      </c>
      <c r="C38613" t="s">
        <v>477</v>
      </c>
      <c r="D38613" t="s">
        <v>852</v>
      </c>
      <c r="F38613">
        <v>9.4589690242400007E-9</v>
      </c>
      <c r="G38613">
        <v>7371933</v>
      </c>
      <c r="H38613">
        <v>12147684</v>
      </c>
      <c r="I38613">
        <v>24685671</v>
      </c>
      <c r="J38613">
        <v>3</v>
      </c>
    </row>
    <row r="38614" spans="1:10" x14ac:dyDescent="0.25">
      <c r="A38614" t="s">
        <v>398</v>
      </c>
      <c r="B38614" s="1" t="str">
        <f>HYPERLINK("http://van-mossel.nl","van-mossel.nl")</f>
        <v>van-mossel.nl</v>
      </c>
      <c r="C38614" t="s">
        <v>477</v>
      </c>
      <c r="D38614" t="s">
        <v>852</v>
      </c>
      <c r="F38614">
        <v>1.22262383663212E-8</v>
      </c>
      <c r="G38614">
        <v>5035589</v>
      </c>
      <c r="H38614">
        <v>12391262</v>
      </c>
      <c r="I38614">
        <v>19011749</v>
      </c>
      <c r="J38614">
        <v>3</v>
      </c>
    </row>
    <row r="38615" spans="1:10" x14ac:dyDescent="0.25">
      <c r="A38615" t="s">
        <v>398</v>
      </c>
      <c r="B38615" s="1" t="str">
        <f>HYPERLINK("http://van-mossel-audi.nl","van-mossel-audi.nl")</f>
        <v>van-mossel-audi.nl</v>
      </c>
      <c r="C38615" t="s">
        <v>477</v>
      </c>
      <c r="D38615" t="s">
        <v>852</v>
      </c>
      <c r="F38615">
        <v>4.6256593083395101E-9</v>
      </c>
      <c r="G38615">
        <v>45729749</v>
      </c>
      <c r="H38615">
        <v>10975301</v>
      </c>
      <c r="I38615">
        <v>34027512</v>
      </c>
      <c r="J38615">
        <v>4</v>
      </c>
    </row>
    <row r="38616" spans="1:10" x14ac:dyDescent="0.25">
      <c r="A38616" t="s">
        <v>398</v>
      </c>
      <c r="B38616" s="1" t="str">
        <f>HYPERLINK("http://vanmossel.nl","vanmossel.nl")</f>
        <v>vanmossel.nl</v>
      </c>
      <c r="C38616" t="s">
        <v>477</v>
      </c>
      <c r="D38616" t="s">
        <v>852</v>
      </c>
      <c r="E38616">
        <v>298214</v>
      </c>
      <c r="F38616">
        <v>2.26104902582542E-7</v>
      </c>
      <c r="G38616">
        <v>166593</v>
      </c>
      <c r="H38616">
        <v>16877398</v>
      </c>
      <c r="I38616">
        <v>140797</v>
      </c>
      <c r="J38616">
        <v>6</v>
      </c>
    </row>
    <row r="38617" spans="1:10" x14ac:dyDescent="0.25">
      <c r="A38617" t="s">
        <v>398</v>
      </c>
      <c r="B38617" s="1" t="str">
        <f>HYPERLINK("http://verhuur.nl","verhuur.nl")</f>
        <v>verhuur.nl</v>
      </c>
      <c r="C38617" t="s">
        <v>477</v>
      </c>
      <c r="D38617" t="s">
        <v>852</v>
      </c>
      <c r="F38617">
        <v>1.29813944270365E-8</v>
      </c>
      <c r="G38617">
        <v>4640479</v>
      </c>
      <c r="H38617">
        <v>12676005</v>
      </c>
      <c r="I38617">
        <v>15553124</v>
      </c>
      <c r="J38617">
        <v>5</v>
      </c>
    </row>
    <row r="38618" spans="1:10" x14ac:dyDescent="0.25">
      <c r="A38618" t="s">
        <v>398</v>
      </c>
      <c r="B38618" s="1" t="str">
        <f>HYPERLINK("http://vif.nl","vif.nl")</f>
        <v>vif.nl</v>
      </c>
      <c r="C38618" t="s">
        <v>477</v>
      </c>
      <c r="D38618" t="s">
        <v>852</v>
      </c>
      <c r="F38618">
        <v>4.6202562872369001E-9</v>
      </c>
      <c r="G38618">
        <v>46112520</v>
      </c>
      <c r="H38618">
        <v>10805670</v>
      </c>
      <c r="I38618">
        <v>37993489</v>
      </c>
      <c r="J38618">
        <v>3</v>
      </c>
    </row>
    <row r="38619" spans="1:10" x14ac:dyDescent="0.25">
      <c r="A38619" t="s">
        <v>398</v>
      </c>
      <c r="B38619" s="1" t="str">
        <f>HYPERLINK("http://volkswagen.nl","volkswagen.nl")</f>
        <v>volkswagen.nl</v>
      </c>
      <c r="C38619" t="s">
        <v>477</v>
      </c>
      <c r="D38619" t="s">
        <v>852</v>
      </c>
      <c r="E38619">
        <v>242447</v>
      </c>
      <c r="F38619">
        <v>2.2725074742679101E-7</v>
      </c>
      <c r="G38619">
        <v>165697</v>
      </c>
      <c r="H38619">
        <v>17063786</v>
      </c>
      <c r="I38619">
        <v>72967</v>
      </c>
      <c r="J38619">
        <v>3</v>
      </c>
    </row>
    <row r="38620" spans="1:10" x14ac:dyDescent="0.25">
      <c r="A38620" t="s">
        <v>398</v>
      </c>
      <c r="B38620" s="1" t="str">
        <f>HYPERLINK("http://vwpfs.nl","vwpfs.nl")</f>
        <v>vwpfs.nl</v>
      </c>
      <c r="C38620" t="s">
        <v>477</v>
      </c>
      <c r="D38620" t="s">
        <v>852</v>
      </c>
      <c r="F38620">
        <v>9.1513177872969904E-8</v>
      </c>
      <c r="G38620">
        <v>445300</v>
      </c>
      <c r="H38620">
        <v>16813304</v>
      </c>
      <c r="I38620">
        <v>191628</v>
      </c>
      <c r="J38620">
        <v>6</v>
      </c>
    </row>
    <row r="38621" spans="1:10" x14ac:dyDescent="0.25">
      <c r="A38621" t="s">
        <v>398</v>
      </c>
      <c r="B38621" s="1" t="str">
        <f>HYPERLINK("http://wealer.nl","wealer.nl")</f>
        <v>wealer.nl</v>
      </c>
      <c r="C38621" t="s">
        <v>477</v>
      </c>
      <c r="D38621" t="s">
        <v>852</v>
      </c>
      <c r="F38621">
        <v>2.17531668652269E-8</v>
      </c>
      <c r="G38621">
        <v>2416983</v>
      </c>
      <c r="H38621">
        <v>12392119</v>
      </c>
      <c r="I38621">
        <v>18995636</v>
      </c>
      <c r="J38621">
        <v>5</v>
      </c>
    </row>
    <row r="38622" spans="1:10" x14ac:dyDescent="0.25">
      <c r="A38622" t="s">
        <v>398</v>
      </c>
      <c r="B38622" s="1" t="str">
        <f>HYPERLINK("http://audi.no","audi.no")</f>
        <v>audi.no</v>
      </c>
      <c r="C38622" t="s">
        <v>478</v>
      </c>
      <c r="D38622" t="s">
        <v>853</v>
      </c>
      <c r="F38622">
        <v>4.4057424653178001E-8</v>
      </c>
      <c r="G38622">
        <v>1079640</v>
      </c>
      <c r="H38622">
        <v>14497834</v>
      </c>
      <c r="I38622">
        <v>864303</v>
      </c>
      <c r="J38622">
        <v>4</v>
      </c>
    </row>
    <row r="38623" spans="1:10" x14ac:dyDescent="0.25">
      <c r="A38623" t="s">
        <v>398</v>
      </c>
      <c r="B38623" s="1" t="str">
        <f>HYPERLINK("http://cupraofficial.no","cupraofficial.no")</f>
        <v>cupraofficial.no</v>
      </c>
      <c r="C38623" t="s">
        <v>478</v>
      </c>
      <c r="D38623" t="s">
        <v>853</v>
      </c>
      <c r="F38623">
        <v>1.7750813182386699E-8</v>
      </c>
      <c r="G38623">
        <v>3085381</v>
      </c>
      <c r="H38623">
        <v>12237560</v>
      </c>
      <c r="I38623">
        <v>22321052</v>
      </c>
      <c r="J38623">
        <v>4</v>
      </c>
    </row>
    <row r="38624" spans="1:10" x14ac:dyDescent="0.25">
      <c r="A38624" t="s">
        <v>398</v>
      </c>
      <c r="B38624" s="1" t="str">
        <f>HYPERLINK("http://man.no","man.no")</f>
        <v>man.no</v>
      </c>
      <c r="C38624" t="s">
        <v>478</v>
      </c>
      <c r="D38624" t="s">
        <v>853</v>
      </c>
      <c r="F38624">
        <v>7.2312612119713599E-9</v>
      </c>
      <c r="G38624">
        <v>11653870</v>
      </c>
      <c r="H38624">
        <v>13566853</v>
      </c>
      <c r="I38624">
        <v>9749733</v>
      </c>
      <c r="J38624">
        <v>3</v>
      </c>
    </row>
    <row r="38625" spans="1:10" x14ac:dyDescent="0.25">
      <c r="A38625" t="s">
        <v>398</v>
      </c>
      <c r="B38625" s="1" t="str">
        <f>HYPERLINK("http://scania.no","scania.no")</f>
        <v>scania.no</v>
      </c>
      <c r="C38625" t="s">
        <v>478</v>
      </c>
      <c r="D38625" t="s">
        <v>853</v>
      </c>
      <c r="F38625">
        <v>2.3290244312113801E-8</v>
      </c>
      <c r="G38625">
        <v>2240143</v>
      </c>
      <c r="H38625">
        <v>14074317</v>
      </c>
      <c r="I38625">
        <v>2947664</v>
      </c>
      <c r="J38625">
        <v>3</v>
      </c>
    </row>
    <row r="38626" spans="1:10" x14ac:dyDescent="0.25">
      <c r="A38626" t="s">
        <v>398</v>
      </c>
      <c r="B38626" s="1" t="str">
        <f>HYPERLINK("http://skoda-auto.no","skoda-auto.no")</f>
        <v>skoda-auto.no</v>
      </c>
      <c r="C38626" t="s">
        <v>478</v>
      </c>
      <c r="D38626" t="s">
        <v>853</v>
      </c>
      <c r="F38626">
        <v>4.4729744151868701E-8</v>
      </c>
      <c r="G38626">
        <v>1057819</v>
      </c>
      <c r="H38626">
        <v>14238365</v>
      </c>
      <c r="I38626">
        <v>1528195</v>
      </c>
      <c r="J38626">
        <v>4</v>
      </c>
    </row>
    <row r="38627" spans="1:10" x14ac:dyDescent="0.25">
      <c r="A38627" t="s">
        <v>398</v>
      </c>
      <c r="B38627" s="1" t="str">
        <f>HYPERLINK("http://volkswagen.no","volkswagen.no")</f>
        <v>volkswagen.no</v>
      </c>
      <c r="C38627" t="s">
        <v>478</v>
      </c>
      <c r="D38627" t="s">
        <v>853</v>
      </c>
      <c r="E38627">
        <v>499286</v>
      </c>
      <c r="F38627">
        <v>1.1489113397920399E-7</v>
      </c>
      <c r="G38627">
        <v>346496</v>
      </c>
      <c r="H38627">
        <v>14453112</v>
      </c>
      <c r="I38627">
        <v>1051343</v>
      </c>
      <c r="J38627">
        <v>4</v>
      </c>
    </row>
    <row r="38628" spans="1:10" x14ac:dyDescent="0.25">
      <c r="A38628" t="s">
        <v>398</v>
      </c>
      <c r="B38628" s="1" t="str">
        <f>HYPERLINK("http://audi.com.np","audi.com.np")</f>
        <v>audi.com.np</v>
      </c>
      <c r="C38628" t="s">
        <v>604</v>
      </c>
      <c r="D38628" t="s">
        <v>935</v>
      </c>
      <c r="F38628">
        <v>8.1781669547012892E-9</v>
      </c>
      <c r="G38628">
        <v>9608106</v>
      </c>
      <c r="H38628">
        <v>12415964</v>
      </c>
      <c r="I38628">
        <v>18527955</v>
      </c>
      <c r="J38628">
        <v>4</v>
      </c>
    </row>
    <row r="38629" spans="1:10" x14ac:dyDescent="0.25">
      <c r="A38629" t="s">
        <v>398</v>
      </c>
      <c r="B38629" s="1" t="str">
        <f>HYPERLINK("http://audi.nr","audi.nr")</f>
        <v>audi.nr</v>
      </c>
      <c r="C38629" t="s">
        <v>658</v>
      </c>
      <c r="D38629" t="s">
        <v>977</v>
      </c>
      <c r="F38629">
        <v>7.85472846237087E-9</v>
      </c>
      <c r="G38629">
        <v>10203385</v>
      </c>
      <c r="H38629">
        <v>12415961</v>
      </c>
      <c r="I38629">
        <v>18528003</v>
      </c>
      <c r="J38629">
        <v>4</v>
      </c>
    </row>
    <row r="38630" spans="1:10" x14ac:dyDescent="0.25">
      <c r="A38630" t="s">
        <v>398</v>
      </c>
      <c r="B38630" s="1" t="str">
        <f>HYPERLINK("http://arbeitundleben.nrw","arbeitundleben.nrw")</f>
        <v>arbeitundleben.nrw</v>
      </c>
      <c r="C38630" t="s">
        <v>549</v>
      </c>
      <c r="F38630">
        <v>6.83819192220982E-8</v>
      </c>
      <c r="G38630">
        <v>623779</v>
      </c>
      <c r="H38630">
        <v>13842502</v>
      </c>
      <c r="I38630">
        <v>6067829</v>
      </c>
      <c r="J38630">
        <v>9</v>
      </c>
    </row>
    <row r="38631" spans="1:10" x14ac:dyDescent="0.25">
      <c r="A38631" t="s">
        <v>398</v>
      </c>
      <c r="B38631" s="1" t="str">
        <f>HYPERLINK("http://porsche.nu","porsche.nu")</f>
        <v>porsche.nu</v>
      </c>
      <c r="C38631" t="s">
        <v>533</v>
      </c>
      <c r="D38631" t="s">
        <v>896</v>
      </c>
      <c r="F38631">
        <v>1.39143540232257E-8</v>
      </c>
      <c r="G38631">
        <v>4235453</v>
      </c>
      <c r="H38631">
        <v>14487039</v>
      </c>
      <c r="I38631">
        <v>954245</v>
      </c>
      <c r="J38631">
        <v>5</v>
      </c>
    </row>
    <row r="38632" spans="1:10" x14ac:dyDescent="0.25">
      <c r="A38632" t="s">
        <v>398</v>
      </c>
      <c r="B38632" s="1" t="str">
        <f>HYPERLINK("http://cupraofficial.co.nz","cupraofficial.co.nz")</f>
        <v>cupraofficial.co.nz</v>
      </c>
      <c r="C38632" t="s">
        <v>479</v>
      </c>
      <c r="D38632" t="s">
        <v>854</v>
      </c>
      <c r="F38632">
        <v>1.44783266841951E-8</v>
      </c>
      <c r="G38632">
        <v>4029986</v>
      </c>
      <c r="H38632">
        <v>12105697</v>
      </c>
      <c r="I38632">
        <v>25831649</v>
      </c>
      <c r="J38632">
        <v>4</v>
      </c>
    </row>
    <row r="38633" spans="1:10" x14ac:dyDescent="0.25">
      <c r="A38633" t="s">
        <v>398</v>
      </c>
      <c r="B38633" s="1" t="str">
        <f>HYPERLINK("http://ebbettvolkswagen.co.nz","ebbettvolkswagen.co.nz")</f>
        <v>ebbettvolkswagen.co.nz</v>
      </c>
      <c r="C38633" t="s">
        <v>479</v>
      </c>
      <c r="D38633" t="s">
        <v>854</v>
      </c>
      <c r="F38633">
        <v>4.8320317824615203E-9</v>
      </c>
      <c r="G38633">
        <v>34767192</v>
      </c>
      <c r="H38633">
        <v>12681260</v>
      </c>
      <c r="I38633">
        <v>15486010</v>
      </c>
      <c r="J38633">
        <v>3</v>
      </c>
    </row>
    <row r="38634" spans="1:10" x14ac:dyDescent="0.25">
      <c r="A38634" t="s">
        <v>398</v>
      </c>
      <c r="B38634" s="1" t="str">
        <f>HYPERLINK("http://scania.co.nz","scania.co.nz")</f>
        <v>scania.co.nz</v>
      </c>
      <c r="C38634" t="s">
        <v>479</v>
      </c>
      <c r="D38634" t="s">
        <v>854</v>
      </c>
      <c r="F38634">
        <v>4.5946082084264004E-9</v>
      </c>
      <c r="G38634">
        <v>48044571</v>
      </c>
      <c r="H38634">
        <v>10724341</v>
      </c>
      <c r="I38634">
        <v>41410800</v>
      </c>
      <c r="J38634">
        <v>4</v>
      </c>
    </row>
    <row r="38635" spans="1:10" x14ac:dyDescent="0.25">
      <c r="A38635" t="s">
        <v>398</v>
      </c>
      <c r="B38635" s="1" t="str">
        <f>HYPERLINK("http://seat.co.nz","seat.co.nz")</f>
        <v>seat.co.nz</v>
      </c>
      <c r="C38635" t="s">
        <v>479</v>
      </c>
      <c r="D38635" t="s">
        <v>854</v>
      </c>
      <c r="F38635">
        <v>3.1705131790500298E-8</v>
      </c>
      <c r="G38635">
        <v>1628312</v>
      </c>
      <c r="H38635">
        <v>12271430</v>
      </c>
      <c r="I38635">
        <v>21494134</v>
      </c>
      <c r="J38635">
        <v>4</v>
      </c>
    </row>
    <row r="38636" spans="1:10" x14ac:dyDescent="0.25">
      <c r="A38636" t="s">
        <v>398</v>
      </c>
      <c r="B38636" s="1" t="str">
        <f>HYPERLINK("http://porsche.org.nz","porsche.org.nz")</f>
        <v>porsche.org.nz</v>
      </c>
      <c r="C38636" t="s">
        <v>479</v>
      </c>
      <c r="D38636" t="s">
        <v>854</v>
      </c>
      <c r="F38636">
        <v>7.2708781186934301E-9</v>
      </c>
      <c r="G38636">
        <v>11551841</v>
      </c>
      <c r="H38636">
        <v>12452190</v>
      </c>
      <c r="I38636">
        <v>17969594</v>
      </c>
      <c r="J38636">
        <v>4</v>
      </c>
    </row>
    <row r="38637" spans="1:10" x14ac:dyDescent="0.25">
      <c r="A38637" t="s">
        <v>398</v>
      </c>
      <c r="B38637" s="1" t="str">
        <f>HYPERLINK("http://audi.com.pa","audi.com.pa")</f>
        <v>audi.com.pa</v>
      </c>
      <c r="C38637" t="s">
        <v>482</v>
      </c>
      <c r="D38637" t="s">
        <v>856</v>
      </c>
      <c r="F38637">
        <v>6.1426169844123202E-9</v>
      </c>
      <c r="G38637">
        <v>15846157</v>
      </c>
      <c r="H38637">
        <v>10510781</v>
      </c>
      <c r="I38637">
        <v>49568819</v>
      </c>
      <c r="J38637">
        <v>5</v>
      </c>
    </row>
    <row r="38638" spans="1:10" x14ac:dyDescent="0.25">
      <c r="A38638" t="s">
        <v>398</v>
      </c>
      <c r="B38638" s="1" t="str">
        <f>HYPERLINK("http://seat.com.pe","seat.com.pe")</f>
        <v>seat.com.pe</v>
      </c>
      <c r="C38638" t="s">
        <v>483</v>
      </c>
      <c r="D38638" t="s">
        <v>857</v>
      </c>
      <c r="F38638">
        <v>7.44160788049866E-9</v>
      </c>
      <c r="G38638">
        <v>11146031</v>
      </c>
      <c r="H38638">
        <v>10345387</v>
      </c>
      <c r="I38638">
        <v>56978450</v>
      </c>
      <c r="J38638">
        <v>5</v>
      </c>
    </row>
    <row r="38639" spans="1:10" x14ac:dyDescent="0.25">
      <c r="A38639" t="s">
        <v>398</v>
      </c>
      <c r="B38639" s="1" t="str">
        <f>HYPERLINK("http://cupraofficial.pe","cupraofficial.pe")</f>
        <v>cupraofficial.pe</v>
      </c>
      <c r="C38639" t="s">
        <v>483</v>
      </c>
      <c r="D38639" t="s">
        <v>857</v>
      </c>
      <c r="F38639">
        <v>1.58836848199686E-8</v>
      </c>
      <c r="G38639">
        <v>3576911</v>
      </c>
      <c r="H38639">
        <v>12062787</v>
      </c>
      <c r="I38639">
        <v>26944257</v>
      </c>
      <c r="J38639">
        <v>4</v>
      </c>
    </row>
    <row r="38640" spans="1:10" x14ac:dyDescent="0.25">
      <c r="A38640" t="s">
        <v>398</v>
      </c>
      <c r="B38640" s="1" t="str">
        <f>HYPERLINK("http://seat.pe","seat.pe")</f>
        <v>seat.pe</v>
      </c>
      <c r="C38640" t="s">
        <v>483</v>
      </c>
      <c r="D38640" t="s">
        <v>857</v>
      </c>
      <c r="F38640">
        <v>2.2256597975349299E-8</v>
      </c>
      <c r="G38640">
        <v>2356014</v>
      </c>
      <c r="H38640">
        <v>12177620</v>
      </c>
      <c r="I38640">
        <v>23868508</v>
      </c>
      <c r="J38640">
        <v>4</v>
      </c>
    </row>
    <row r="38641" spans="1:10" x14ac:dyDescent="0.25">
      <c r="A38641" t="s">
        <v>398</v>
      </c>
      <c r="B38641" s="1" t="str">
        <f>HYPERLINK("http://ducati.com.ph","ducati.com.ph")</f>
        <v>ducati.com.ph</v>
      </c>
      <c r="C38641" t="s">
        <v>484</v>
      </c>
      <c r="D38641" t="s">
        <v>858</v>
      </c>
      <c r="F38641">
        <v>1.60292265821475E-8</v>
      </c>
      <c r="G38641">
        <v>3538654</v>
      </c>
      <c r="H38641">
        <v>13933137</v>
      </c>
      <c r="I38641">
        <v>4909452</v>
      </c>
      <c r="J38641">
        <v>3</v>
      </c>
    </row>
    <row r="38642" spans="1:10" x14ac:dyDescent="0.25">
      <c r="A38642" t="s">
        <v>398</v>
      </c>
      <c r="B38642" s="1" t="str">
        <f>HYPERLINK("http://audi.pl","audi.pl")</f>
        <v>audi.pl</v>
      </c>
      <c r="C38642" t="s">
        <v>486</v>
      </c>
      <c r="D38642" t="s">
        <v>860</v>
      </c>
      <c r="E38642">
        <v>282135</v>
      </c>
      <c r="F38642">
        <v>8.9707066546547796E-8</v>
      </c>
      <c r="G38642">
        <v>455121</v>
      </c>
      <c r="H38642">
        <v>14244299</v>
      </c>
      <c r="I38642">
        <v>1472499</v>
      </c>
      <c r="J38642">
        <v>4</v>
      </c>
    </row>
    <row r="38643" spans="1:10" x14ac:dyDescent="0.25">
      <c r="A38643" t="s">
        <v>398</v>
      </c>
      <c r="B38643" s="1" t="str">
        <f>HYPERLINK("http://audicityplock.pl","audicityplock.pl")</f>
        <v>audicityplock.pl</v>
      </c>
      <c r="C38643" t="s">
        <v>486</v>
      </c>
      <c r="D38643" t="s">
        <v>860</v>
      </c>
      <c r="F38643">
        <v>4.5794392111783602E-9</v>
      </c>
      <c r="G38643">
        <v>49335175</v>
      </c>
      <c r="H38643">
        <v>9440493</v>
      </c>
      <c r="I38643">
        <v>66666371</v>
      </c>
      <c r="J38643">
        <v>4</v>
      </c>
    </row>
    <row r="38644" spans="1:10" x14ac:dyDescent="0.25">
      <c r="A38644" t="s">
        <v>398</v>
      </c>
      <c r="B38644" s="1" t="str">
        <f>HYPERLINK("http://audicitywarszawa.pl","audicitywarszawa.pl")</f>
        <v>audicitywarszawa.pl</v>
      </c>
      <c r="C38644" t="s">
        <v>486</v>
      </c>
      <c r="D38644" t="s">
        <v>860</v>
      </c>
      <c r="F38644">
        <v>9.3641001639373895E-9</v>
      </c>
      <c r="G38644">
        <v>7490185</v>
      </c>
      <c r="H38644">
        <v>12189620</v>
      </c>
      <c r="I38644">
        <v>23592683</v>
      </c>
      <c r="J38644">
        <v>4</v>
      </c>
    </row>
    <row r="38645" spans="1:10" x14ac:dyDescent="0.25">
      <c r="A38645" t="s">
        <v>398</v>
      </c>
      <c r="B38645" s="1" t="str">
        <f>HYPERLINK("http://bursiak.pl","bursiak.pl")</f>
        <v>bursiak.pl</v>
      </c>
      <c r="C38645" t="s">
        <v>486</v>
      </c>
      <c r="D38645" t="s">
        <v>860</v>
      </c>
      <c r="F38645">
        <v>6.0029444490818896E-9</v>
      </c>
      <c r="G38645">
        <v>16665121</v>
      </c>
      <c r="H38645">
        <v>10910149</v>
      </c>
      <c r="I38645">
        <v>35624751</v>
      </c>
      <c r="J38645">
        <v>3</v>
      </c>
    </row>
    <row r="38646" spans="1:10" x14ac:dyDescent="0.25">
      <c r="A38646" t="s">
        <v>398</v>
      </c>
      <c r="B38646" s="1" t="str">
        <f>HYPERLINK("http://carsed.pl","carsed.pl")</f>
        <v>carsed.pl</v>
      </c>
      <c r="C38646" t="s">
        <v>486</v>
      </c>
      <c r="D38646" t="s">
        <v>860</v>
      </c>
      <c r="F38646">
        <v>9.4838244834097292E-9</v>
      </c>
      <c r="G38646">
        <v>7341966</v>
      </c>
      <c r="H38646">
        <v>11144923</v>
      </c>
      <c r="I38646">
        <v>31788895</v>
      </c>
      <c r="J38646">
        <v>4</v>
      </c>
    </row>
    <row r="38647" spans="1:10" x14ac:dyDescent="0.25">
      <c r="A38647" t="s">
        <v>398</v>
      </c>
      <c r="B38647" s="1" t="str">
        <f>HYPERLINK("http://citymotors.pl","citymotors.pl")</f>
        <v>citymotors.pl</v>
      </c>
      <c r="C38647" t="s">
        <v>486</v>
      </c>
      <c r="D38647" t="s">
        <v>860</v>
      </c>
      <c r="F38647">
        <v>9.3832306422554093E-9</v>
      </c>
      <c r="G38647">
        <v>7466960</v>
      </c>
      <c r="H38647">
        <v>12475161</v>
      </c>
      <c r="I38647">
        <v>17644958</v>
      </c>
      <c r="J38647">
        <v>3</v>
      </c>
    </row>
    <row r="38648" spans="1:10" x14ac:dyDescent="0.25">
      <c r="A38648" t="s">
        <v>398</v>
      </c>
      <c r="B38648" s="1" t="str">
        <f>HYPERLINK("http://ganinex.com.pl","ganinex.com.pl")</f>
        <v>ganinex.com.pl</v>
      </c>
      <c r="C38648" t="s">
        <v>486</v>
      </c>
      <c r="D38648" t="s">
        <v>860</v>
      </c>
      <c r="F38648">
        <v>6.5614414584054902E-9</v>
      </c>
      <c r="G38648">
        <v>13828116</v>
      </c>
      <c r="H38648">
        <v>10911385</v>
      </c>
      <c r="I38648">
        <v>35595508</v>
      </c>
      <c r="J38648">
        <v>4</v>
      </c>
    </row>
    <row r="38649" spans="1:10" x14ac:dyDescent="0.25">
      <c r="A38649" t="s">
        <v>398</v>
      </c>
      <c r="B38649" s="1" t="str">
        <f>HYPERLINK("http://lellek.com.pl","lellek.com.pl")</f>
        <v>lellek.com.pl</v>
      </c>
      <c r="C38649" t="s">
        <v>486</v>
      </c>
      <c r="D38649" t="s">
        <v>860</v>
      </c>
      <c r="F38649">
        <v>1.1429088954710801E-8</v>
      </c>
      <c r="G38649">
        <v>5554786</v>
      </c>
      <c r="H38649">
        <v>12486863</v>
      </c>
      <c r="I38649">
        <v>17524127</v>
      </c>
      <c r="J38649">
        <v>4</v>
      </c>
    </row>
    <row r="38650" spans="1:10" x14ac:dyDescent="0.25">
      <c r="A38650" t="s">
        <v>398</v>
      </c>
      <c r="B38650" s="1" t="str">
        <f>HYPERLINK("http://lemir.com.pl","lemir.com.pl")</f>
        <v>lemir.com.pl</v>
      </c>
      <c r="C38650" t="s">
        <v>486</v>
      </c>
      <c r="D38650" t="s">
        <v>860</v>
      </c>
      <c r="F38650">
        <v>9.4290373655124199E-9</v>
      </c>
      <c r="G38650">
        <v>7408503</v>
      </c>
      <c r="H38650">
        <v>12141806</v>
      </c>
      <c r="I38650">
        <v>24840044</v>
      </c>
      <c r="J38650">
        <v>4</v>
      </c>
    </row>
    <row r="38651" spans="1:10" x14ac:dyDescent="0.25">
      <c r="A38651" t="s">
        <v>398</v>
      </c>
      <c r="B38651" s="1" t="str">
        <f>HYPERLINK("http://noma2.com.pl","noma2.com.pl")</f>
        <v>noma2.com.pl</v>
      </c>
      <c r="C38651" t="s">
        <v>486</v>
      </c>
      <c r="D38651" t="s">
        <v>860</v>
      </c>
      <c r="F38651">
        <v>4.9623819240246099E-9</v>
      </c>
      <c r="G38651">
        <v>30444595</v>
      </c>
      <c r="H38651">
        <v>10710660</v>
      </c>
      <c r="I38651">
        <v>42147806</v>
      </c>
      <c r="J38651">
        <v>3</v>
      </c>
    </row>
    <row r="38652" spans="1:10" x14ac:dyDescent="0.25">
      <c r="A38652" t="s">
        <v>398</v>
      </c>
      <c r="B38652" s="1" t="str">
        <f>HYPERLINK("http://pl;serwis_66@plichta.com.pl","pl;serwis_66@plichta.com.pl")</f>
        <v>pl;serwis_66@plichta.com.pl</v>
      </c>
      <c r="C38652" t="s">
        <v>486</v>
      </c>
      <c r="D38652" t="s">
        <v>860</v>
      </c>
      <c r="J38652">
        <v>5</v>
      </c>
    </row>
    <row r="38653" spans="1:10" x14ac:dyDescent="0.25">
      <c r="A38653" t="s">
        <v>398</v>
      </c>
      <c r="B38653" s="1" t="str">
        <f>HYPERLINK("http://plichta.com.pl","plichta.com.pl")</f>
        <v>plichta.com.pl</v>
      </c>
      <c r="C38653" t="s">
        <v>486</v>
      </c>
      <c r="D38653" t="s">
        <v>860</v>
      </c>
      <c r="F38653">
        <v>9.0543577734542896E-9</v>
      </c>
      <c r="G38653">
        <v>7911653</v>
      </c>
      <c r="H38653">
        <v>12033162</v>
      </c>
      <c r="I38653">
        <v>27597580</v>
      </c>
      <c r="J38653">
        <v>3</v>
      </c>
    </row>
    <row r="38654" spans="1:10" x14ac:dyDescent="0.25">
      <c r="A38654" t="s">
        <v>398</v>
      </c>
      <c r="B38654" s="1" t="str">
        <f>HYPERLINK("http://vwmp.com.pl","vwmp.com.pl")</f>
        <v>vwmp.com.pl</v>
      </c>
      <c r="C38654" t="s">
        <v>486</v>
      </c>
      <c r="D38654" t="s">
        <v>860</v>
      </c>
      <c r="F38654">
        <v>1.7054116217108701E-8</v>
      </c>
      <c r="G38654">
        <v>3270915</v>
      </c>
      <c r="H38654">
        <v>12274978</v>
      </c>
      <c r="I38654">
        <v>21415421</v>
      </c>
      <c r="J38654">
        <v>3</v>
      </c>
    </row>
    <row r="38655" spans="1:10" x14ac:dyDescent="0.25">
      <c r="A38655" t="s">
        <v>398</v>
      </c>
      <c r="B38655" s="1" t="str">
        <f>HYPERLINK("http://zimny.com.pl","zimny.com.pl")</f>
        <v>zimny.com.pl</v>
      </c>
      <c r="C38655" t="s">
        <v>486</v>
      </c>
      <c r="D38655" t="s">
        <v>860</v>
      </c>
      <c r="F38655">
        <v>7.5081305558096E-9</v>
      </c>
      <c r="G38655">
        <v>10995456</v>
      </c>
      <c r="H38655">
        <v>12153078</v>
      </c>
      <c r="I38655">
        <v>24550988</v>
      </c>
      <c r="J38655">
        <v>4</v>
      </c>
    </row>
    <row r="38656" spans="1:10" x14ac:dyDescent="0.25">
      <c r="A38656" t="s">
        <v>398</v>
      </c>
      <c r="B38656" s="1" t="str">
        <f>HYPERLINK("http://cupraofficial.pl","cupraofficial.pl")</f>
        <v>cupraofficial.pl</v>
      </c>
      <c r="C38656" t="s">
        <v>486</v>
      </c>
      <c r="D38656" t="s">
        <v>860</v>
      </c>
      <c r="F38656">
        <v>4.51437689276928E-8</v>
      </c>
      <c r="G38656">
        <v>1045221</v>
      </c>
      <c r="H38656">
        <v>13817371</v>
      </c>
      <c r="I38656">
        <v>6157836</v>
      </c>
      <c r="J38656">
        <v>4</v>
      </c>
    </row>
    <row r="38657" spans="1:10" x14ac:dyDescent="0.25">
      <c r="A38657" t="s">
        <v>398</v>
      </c>
      <c r="B38657" s="1" t="str">
        <f>HYPERLINK("http://ggautolublin.pl","ggautolublin.pl")</f>
        <v>ggautolublin.pl</v>
      </c>
      <c r="C38657" t="s">
        <v>486</v>
      </c>
      <c r="D38657" t="s">
        <v>860</v>
      </c>
      <c r="F38657">
        <v>6.0379010344160198E-9</v>
      </c>
      <c r="G38657">
        <v>16453463</v>
      </c>
      <c r="H38657">
        <v>10509521</v>
      </c>
      <c r="I38657">
        <v>49770542</v>
      </c>
      <c r="J38657">
        <v>3</v>
      </c>
    </row>
    <row r="38658" spans="1:10" x14ac:dyDescent="0.25">
      <c r="A38658" t="s">
        <v>398</v>
      </c>
      <c r="B38658" s="1" t="str">
        <f>HYPERLINK("http://lellek.pl","lellek.pl")</f>
        <v>lellek.pl</v>
      </c>
      <c r="C38658" t="s">
        <v>486</v>
      </c>
      <c r="D38658" t="s">
        <v>860</v>
      </c>
      <c r="F38658">
        <v>1.45686596752404E-8</v>
      </c>
      <c r="G38658">
        <v>3988175</v>
      </c>
      <c r="H38658">
        <v>12727197</v>
      </c>
      <c r="I38658">
        <v>15211793</v>
      </c>
      <c r="J38658">
        <v>5</v>
      </c>
    </row>
    <row r="38659" spans="1:10" x14ac:dyDescent="0.25">
      <c r="A38659" t="s">
        <v>398</v>
      </c>
      <c r="B38659" s="1" t="str">
        <f>HYPERLINK("http://mantruckandbus.pl","mantruckandbus.pl")</f>
        <v>mantruckandbus.pl</v>
      </c>
      <c r="C38659" t="s">
        <v>486</v>
      </c>
      <c r="D38659" t="s">
        <v>860</v>
      </c>
      <c r="F38659">
        <v>4.5788825284095599E-8</v>
      </c>
      <c r="G38659">
        <v>1026313</v>
      </c>
      <c r="H38659">
        <v>16872666</v>
      </c>
      <c r="I38659">
        <v>146236</v>
      </c>
      <c r="J38659">
        <v>3</v>
      </c>
    </row>
    <row r="38660" spans="1:10" x14ac:dyDescent="0.25">
      <c r="A38660" t="s">
        <v>398</v>
      </c>
      <c r="B38660" s="1" t="str">
        <f>HYPERLINK("http://ottoag.pl","ottoag.pl")</f>
        <v>ottoag.pl</v>
      </c>
      <c r="C38660" t="s">
        <v>486</v>
      </c>
      <c r="D38660" t="s">
        <v>860</v>
      </c>
      <c r="J38660">
        <v>3</v>
      </c>
    </row>
    <row r="38661" spans="1:10" x14ac:dyDescent="0.25">
      <c r="A38661" t="s">
        <v>398</v>
      </c>
      <c r="B38661" s="1" t="str">
        <f>HYPERLINK("http://pol-car.pl","pol-car.pl")</f>
        <v>pol-car.pl</v>
      </c>
      <c r="C38661" t="s">
        <v>486</v>
      </c>
      <c r="D38661" t="s">
        <v>860</v>
      </c>
      <c r="F38661">
        <v>1.0523175537046199E-8</v>
      </c>
      <c r="G38661">
        <v>6249609</v>
      </c>
      <c r="H38661">
        <v>14072191</v>
      </c>
      <c r="I38661">
        <v>3139403</v>
      </c>
      <c r="J38661">
        <v>6</v>
      </c>
    </row>
    <row r="38662" spans="1:10" x14ac:dyDescent="0.25">
      <c r="A38662" t="s">
        <v>398</v>
      </c>
      <c r="B38662" s="1" t="str">
        <f>HYPERLINK("http://porsche.pl","porsche.pl")</f>
        <v>porsche.pl</v>
      </c>
      <c r="C38662" t="s">
        <v>486</v>
      </c>
      <c r="D38662" t="s">
        <v>860</v>
      </c>
      <c r="F38662">
        <v>3.2438594101431097E-8</v>
      </c>
      <c r="G38662">
        <v>1592736</v>
      </c>
      <c r="H38662">
        <v>14076219</v>
      </c>
      <c r="I38662">
        <v>2891966</v>
      </c>
      <c r="J38662">
        <v>4</v>
      </c>
    </row>
    <row r="38663" spans="1:10" x14ac:dyDescent="0.25">
      <c r="A38663" t="s">
        <v>398</v>
      </c>
      <c r="B38663" s="1" t="str">
        <f>HYPERLINK("http://porscheinterauto.pl","porscheinterauto.pl")</f>
        <v>porscheinterauto.pl</v>
      </c>
      <c r="C38663" t="s">
        <v>486</v>
      </c>
      <c r="D38663" t="s">
        <v>860</v>
      </c>
      <c r="F38663">
        <v>2.10448804068609E-8</v>
      </c>
      <c r="G38663">
        <v>2510004</v>
      </c>
      <c r="H38663">
        <v>12471085</v>
      </c>
      <c r="I38663">
        <v>17737028</v>
      </c>
      <c r="J38663">
        <v>3</v>
      </c>
    </row>
    <row r="38664" spans="1:10" x14ac:dyDescent="0.25">
      <c r="A38664" t="s">
        <v>398</v>
      </c>
      <c r="B38664" s="1" t="str">
        <f>HYPERLINK("http://porscherybnik.pl","porscherybnik.pl")</f>
        <v>porscherybnik.pl</v>
      </c>
      <c r="C38664" t="s">
        <v>486</v>
      </c>
      <c r="D38664" t="s">
        <v>860</v>
      </c>
      <c r="F38664">
        <v>4.9105199086229096E-9</v>
      </c>
      <c r="G38664">
        <v>32162412</v>
      </c>
      <c r="H38664">
        <v>10596381</v>
      </c>
      <c r="I38664">
        <v>45113993</v>
      </c>
      <c r="J38664">
        <v>5</v>
      </c>
    </row>
    <row r="38665" spans="1:10" x14ac:dyDescent="0.25">
      <c r="A38665" t="s">
        <v>398</v>
      </c>
      <c r="B38665" s="1" t="str">
        <f>HYPERLINK("http://interauto.rzeszow.pl","interauto.rzeszow.pl")</f>
        <v>interauto.rzeszow.pl</v>
      </c>
      <c r="C38665" t="s">
        <v>486</v>
      </c>
      <c r="D38665" t="s">
        <v>860</v>
      </c>
      <c r="J38665">
        <v>4</v>
      </c>
    </row>
    <row r="38666" spans="1:10" x14ac:dyDescent="0.25">
      <c r="A38666" t="s">
        <v>398</v>
      </c>
      <c r="B38666" s="1" t="str">
        <f>HYPERLINK("http://scania.pl","scania.pl")</f>
        <v>scania.pl</v>
      </c>
      <c r="C38666" t="s">
        <v>486</v>
      </c>
      <c r="D38666" t="s">
        <v>860</v>
      </c>
      <c r="F38666">
        <v>1.9056955492919801E-8</v>
      </c>
      <c r="G38666">
        <v>2825339</v>
      </c>
      <c r="H38666">
        <v>14073442</v>
      </c>
      <c r="I38666">
        <v>2994470</v>
      </c>
      <c r="J38666">
        <v>4</v>
      </c>
    </row>
    <row r="38667" spans="1:10" x14ac:dyDescent="0.25">
      <c r="A38667" t="s">
        <v>398</v>
      </c>
      <c r="B38667" s="1" t="str">
        <f>HYPERLINK("http://scaniaproductionslupsk.pl","scaniaproductionslupsk.pl")</f>
        <v>scaniaproductionslupsk.pl</v>
      </c>
      <c r="C38667" t="s">
        <v>486</v>
      </c>
      <c r="D38667" t="s">
        <v>860</v>
      </c>
      <c r="F38667">
        <v>4.4901131929554004E-9</v>
      </c>
      <c r="G38667">
        <v>60503945</v>
      </c>
      <c r="H38667">
        <v>10510269</v>
      </c>
      <c r="I38667">
        <v>49627081</v>
      </c>
      <c r="J38667">
        <v>3</v>
      </c>
    </row>
    <row r="38668" spans="1:10" x14ac:dyDescent="0.25">
      <c r="A38668" t="s">
        <v>398</v>
      </c>
      <c r="B38668" s="1" t="str">
        <f>HYPERLINK("http://seat.pl","seat.pl")</f>
        <v>seat.pl</v>
      </c>
      <c r="C38668" t="s">
        <v>486</v>
      </c>
      <c r="D38668" t="s">
        <v>860</v>
      </c>
      <c r="F38668">
        <v>6.0146625328835401E-8</v>
      </c>
      <c r="G38668">
        <v>733703</v>
      </c>
      <c r="H38668">
        <v>14075949</v>
      </c>
      <c r="I38668">
        <v>2897116</v>
      </c>
      <c r="J38668">
        <v>4</v>
      </c>
    </row>
    <row r="38669" spans="1:10" x14ac:dyDescent="0.25">
      <c r="A38669" t="s">
        <v>398</v>
      </c>
      <c r="B38669" s="1" t="str">
        <f>HYPERLINK("http://seat-auto.pl","seat-auto.pl")</f>
        <v>seat-auto.pl</v>
      </c>
      <c r="C38669" t="s">
        <v>486</v>
      </c>
      <c r="D38669" t="s">
        <v>860</v>
      </c>
      <c r="F38669">
        <v>4.9222182361656599E-8</v>
      </c>
      <c r="G38669">
        <v>940478</v>
      </c>
      <c r="H38669">
        <v>14073628</v>
      </c>
      <c r="I38669">
        <v>2981762</v>
      </c>
      <c r="J38669">
        <v>4</v>
      </c>
    </row>
    <row r="38670" spans="1:10" x14ac:dyDescent="0.25">
      <c r="A38670" t="s">
        <v>398</v>
      </c>
      <c r="B38670" s="1" t="str">
        <f>HYPERLINK("http://skoda-auto.pl","skoda-auto.pl")</f>
        <v>skoda-auto.pl</v>
      </c>
      <c r="C38670" t="s">
        <v>486</v>
      </c>
      <c r="D38670" t="s">
        <v>860</v>
      </c>
      <c r="E38670">
        <v>357764</v>
      </c>
      <c r="F38670">
        <v>1.29349134592955E-7</v>
      </c>
      <c r="G38670">
        <v>302847</v>
      </c>
      <c r="H38670">
        <v>14079712</v>
      </c>
      <c r="I38670">
        <v>2829291</v>
      </c>
      <c r="J38670">
        <v>4</v>
      </c>
    </row>
    <row r="38671" spans="1:10" x14ac:dyDescent="0.25">
      <c r="A38671" t="s">
        <v>398</v>
      </c>
      <c r="B38671" s="1" t="str">
        <f>HYPERLINK("http://skodaplichta.pl","skodaplichta.pl")</f>
        <v>skodaplichta.pl</v>
      </c>
      <c r="C38671" t="s">
        <v>486</v>
      </c>
      <c r="D38671" t="s">
        <v>860</v>
      </c>
      <c r="F38671">
        <v>6.0070611610451104E-9</v>
      </c>
      <c r="G38671">
        <v>16640199</v>
      </c>
      <c r="H38671">
        <v>10824096</v>
      </c>
      <c r="I38671">
        <v>37525980</v>
      </c>
      <c r="J38671">
        <v>4</v>
      </c>
    </row>
    <row r="38672" spans="1:10" x14ac:dyDescent="0.25">
      <c r="A38672" t="s">
        <v>398</v>
      </c>
      <c r="B38672" s="1" t="str">
        <f>HYPERLINK("http://auto-centrum.tychy.pl","auto-centrum.tychy.pl")</f>
        <v>auto-centrum.tychy.pl</v>
      </c>
      <c r="C38672" t="s">
        <v>486</v>
      </c>
      <c r="D38672" t="s">
        <v>860</v>
      </c>
      <c r="F38672">
        <v>4.5640217282299999E-9</v>
      </c>
      <c r="G38672">
        <v>50770115</v>
      </c>
      <c r="H38672">
        <v>10520854</v>
      </c>
      <c r="I38672">
        <v>49045457</v>
      </c>
      <c r="J38672">
        <v>4</v>
      </c>
    </row>
    <row r="38673" spans="1:10" x14ac:dyDescent="0.25">
      <c r="A38673" t="s">
        <v>398</v>
      </c>
      <c r="B38673" s="1" t="str">
        <f>HYPERLINK("http://volkswagen.pl","volkswagen.pl")</f>
        <v>volkswagen.pl</v>
      </c>
      <c r="C38673" t="s">
        <v>486</v>
      </c>
      <c r="D38673" t="s">
        <v>860</v>
      </c>
      <c r="E38673">
        <v>283905</v>
      </c>
      <c r="F38673">
        <v>1.79281812059984E-7</v>
      </c>
      <c r="G38673">
        <v>215514</v>
      </c>
      <c r="H38673">
        <v>14166041</v>
      </c>
      <c r="I38673">
        <v>1819742</v>
      </c>
      <c r="J38673">
        <v>3</v>
      </c>
    </row>
    <row r="38674" spans="1:10" x14ac:dyDescent="0.25">
      <c r="A38674" t="s">
        <v>398</v>
      </c>
      <c r="B38674" s="1" t="str">
        <f>HYPERLINK("http://volkswagen-poznan.pl","volkswagen-poznan.pl")</f>
        <v>volkswagen-poznan.pl</v>
      </c>
      <c r="C38674" t="s">
        <v>486</v>
      </c>
      <c r="D38674" t="s">
        <v>860</v>
      </c>
      <c r="F38674">
        <v>4.97869678852799E-8</v>
      </c>
      <c r="G38674">
        <v>926520</v>
      </c>
      <c r="H38674">
        <v>14703641</v>
      </c>
      <c r="I38674">
        <v>589138</v>
      </c>
      <c r="J38674">
        <v>3</v>
      </c>
    </row>
    <row r="38675" spans="1:10" x14ac:dyDescent="0.25">
      <c r="A38675" t="s">
        <v>398</v>
      </c>
      <c r="B38675" s="1" t="str">
        <f>HYPERLINK("http://vwbank.pl","vwbank.pl")</f>
        <v>vwbank.pl</v>
      </c>
      <c r="C38675" t="s">
        <v>486</v>
      </c>
      <c r="D38675" t="s">
        <v>860</v>
      </c>
      <c r="F38675">
        <v>8.6497154371741002E-8</v>
      </c>
      <c r="G38675">
        <v>475290</v>
      </c>
      <c r="H38675">
        <v>13790743</v>
      </c>
      <c r="I38675">
        <v>6345058</v>
      </c>
      <c r="J38675">
        <v>5</v>
      </c>
    </row>
    <row r="38676" spans="1:10" x14ac:dyDescent="0.25">
      <c r="A38676" t="s">
        <v>398</v>
      </c>
      <c r="B38676" s="1" t="str">
        <f>HYPERLINK("http://zagiel.pl","zagiel.pl")</f>
        <v>zagiel.pl</v>
      </c>
      <c r="C38676" t="s">
        <v>486</v>
      </c>
      <c r="D38676" t="s">
        <v>860</v>
      </c>
      <c r="F38676">
        <v>9.7920168130760096E-9</v>
      </c>
      <c r="G38676">
        <v>6977512</v>
      </c>
      <c r="H38676">
        <v>12437833</v>
      </c>
      <c r="I38676">
        <v>18171548</v>
      </c>
      <c r="J38676">
        <v>4</v>
      </c>
    </row>
    <row r="38677" spans="1:10" x14ac:dyDescent="0.25">
      <c r="A38677" t="s">
        <v>398</v>
      </c>
      <c r="B38677" s="1" t="str">
        <f>HYPERLINK("http://audi.pm","audi.pm")</f>
        <v>audi.pm</v>
      </c>
      <c r="C38677" t="s">
        <v>761</v>
      </c>
      <c r="D38677" t="s">
        <v>1015</v>
      </c>
      <c r="F38677">
        <v>5.5943216982828404E-9</v>
      </c>
      <c r="G38677">
        <v>19912335</v>
      </c>
      <c r="H38677">
        <v>10595105</v>
      </c>
      <c r="I38677">
        <v>45227094</v>
      </c>
      <c r="J38677">
        <v>4</v>
      </c>
    </row>
    <row r="38678" spans="1:10" x14ac:dyDescent="0.25">
      <c r="A38678" t="s">
        <v>398</v>
      </c>
      <c r="B38678" s="1" t="str">
        <f>HYPERLINK("http://audi.pr","audi.pr")</f>
        <v>audi.pr</v>
      </c>
      <c r="C38678" t="s">
        <v>487</v>
      </c>
      <c r="D38678" t="s">
        <v>861</v>
      </c>
      <c r="F38678">
        <v>9.9636438424534796E-9</v>
      </c>
      <c r="G38678">
        <v>6792251</v>
      </c>
      <c r="H38678">
        <v>12415970</v>
      </c>
      <c r="I38678">
        <v>18527872</v>
      </c>
      <c r="J38678">
        <v>4</v>
      </c>
    </row>
    <row r="38679" spans="1:10" x14ac:dyDescent="0.25">
      <c r="A38679" t="s">
        <v>398</v>
      </c>
      <c r="B38679" s="1" t="str">
        <f>HYPERLINK("http://audi.com.pr","audi.com.pr")</f>
        <v>audi.com.pr</v>
      </c>
      <c r="C38679" t="s">
        <v>487</v>
      </c>
      <c r="D38679" t="s">
        <v>861</v>
      </c>
      <c r="F38679">
        <v>9.2380787178073805E-9</v>
      </c>
      <c r="G38679">
        <v>7659330</v>
      </c>
      <c r="H38679">
        <v>12415987</v>
      </c>
      <c r="I38679">
        <v>18527597</v>
      </c>
      <c r="J38679">
        <v>4</v>
      </c>
    </row>
    <row r="38680" spans="1:10" x14ac:dyDescent="0.25">
      <c r="A38680" t="s">
        <v>398</v>
      </c>
      <c r="B38680" s="1" t="str">
        <f>HYPERLINK("http://audi.ps","audi.ps")</f>
        <v>audi.ps</v>
      </c>
      <c r="C38680" t="s">
        <v>661</v>
      </c>
      <c r="D38680" t="s">
        <v>980</v>
      </c>
      <c r="F38680">
        <v>8.6897014978232704E-9</v>
      </c>
      <c r="G38680">
        <v>8495521</v>
      </c>
      <c r="H38680">
        <v>12415966</v>
      </c>
      <c r="I38680">
        <v>18527929</v>
      </c>
      <c r="J38680">
        <v>4</v>
      </c>
    </row>
    <row r="38681" spans="1:10" x14ac:dyDescent="0.25">
      <c r="A38681" t="s">
        <v>398</v>
      </c>
      <c r="B38681" s="1" t="str">
        <f>HYPERLINK("http://seat.ps","seat.ps")</f>
        <v>seat.ps</v>
      </c>
      <c r="C38681" t="s">
        <v>661</v>
      </c>
      <c r="D38681" t="s">
        <v>980</v>
      </c>
      <c r="F38681">
        <v>2.31905531672204E-8</v>
      </c>
      <c r="G38681">
        <v>2250416</v>
      </c>
      <c r="H38681">
        <v>12185029</v>
      </c>
      <c r="I38681">
        <v>23696205</v>
      </c>
      <c r="J38681">
        <v>4</v>
      </c>
    </row>
    <row r="38682" spans="1:10" x14ac:dyDescent="0.25">
      <c r="A38682" t="s">
        <v>398</v>
      </c>
      <c r="B38682" s="1" t="str">
        <f>HYPERLINK("http://skoda-auto.ps","skoda-auto.ps")</f>
        <v>skoda-auto.ps</v>
      </c>
      <c r="C38682" t="s">
        <v>661</v>
      </c>
      <c r="D38682" t="s">
        <v>980</v>
      </c>
      <c r="F38682">
        <v>7.8303419744607104E-9</v>
      </c>
      <c r="G38682">
        <v>10254890</v>
      </c>
      <c r="H38682">
        <v>12123139</v>
      </c>
      <c r="I38682">
        <v>25325680</v>
      </c>
      <c r="J38682">
        <v>4</v>
      </c>
    </row>
    <row r="38683" spans="1:10" x14ac:dyDescent="0.25">
      <c r="A38683" t="s">
        <v>398</v>
      </c>
      <c r="B38683" s="1" t="str">
        <f>HYPERLINK("http://audi.pt","audi.pt")</f>
        <v>audi.pt</v>
      </c>
      <c r="C38683" t="s">
        <v>488</v>
      </c>
      <c r="D38683" t="s">
        <v>862</v>
      </c>
      <c r="F38683">
        <v>2.0693941221355502E-8</v>
      </c>
      <c r="G38683">
        <v>2557662</v>
      </c>
      <c r="H38683">
        <v>14103459</v>
      </c>
      <c r="I38683">
        <v>2695976</v>
      </c>
      <c r="J38683">
        <v>4</v>
      </c>
    </row>
    <row r="38684" spans="1:10" x14ac:dyDescent="0.25">
      <c r="A38684" t="s">
        <v>398</v>
      </c>
      <c r="B38684" s="1" t="str">
        <f>HYPERLINK("http://carlar.pt","carlar.pt")</f>
        <v>carlar.pt</v>
      </c>
      <c r="C38684" t="s">
        <v>488</v>
      </c>
      <c r="D38684" t="s">
        <v>862</v>
      </c>
      <c r="F38684">
        <v>4.64593095530284E-9</v>
      </c>
      <c r="G38684">
        <v>44396453</v>
      </c>
      <c r="H38684">
        <v>12676687</v>
      </c>
      <c r="I38684">
        <v>15536298</v>
      </c>
      <c r="J38684">
        <v>4</v>
      </c>
    </row>
    <row r="38685" spans="1:10" x14ac:dyDescent="0.25">
      <c r="A38685" t="s">
        <v>398</v>
      </c>
      <c r="B38685" s="1" t="str">
        <f>HYPERLINK("http://cupraofficial.pt","cupraofficial.pt")</f>
        <v>cupraofficial.pt</v>
      </c>
      <c r="C38685" t="s">
        <v>488</v>
      </c>
      <c r="D38685" t="s">
        <v>862</v>
      </c>
      <c r="F38685">
        <v>2.0594841362974201E-8</v>
      </c>
      <c r="G38685">
        <v>2571215</v>
      </c>
      <c r="H38685">
        <v>12447149</v>
      </c>
      <c r="I38685">
        <v>18062192</v>
      </c>
      <c r="J38685">
        <v>4</v>
      </c>
    </row>
    <row r="38686" spans="1:10" x14ac:dyDescent="0.25">
      <c r="A38686" t="s">
        <v>398</v>
      </c>
      <c r="B38686" s="1" t="str">
        <f>HYPERLINK("http://ducati.pt","ducati.pt")</f>
        <v>ducati.pt</v>
      </c>
      <c r="C38686" t="s">
        <v>488</v>
      </c>
      <c r="D38686" t="s">
        <v>862</v>
      </c>
      <c r="F38686">
        <v>1.21927467549564E-8</v>
      </c>
      <c r="G38686">
        <v>5054813</v>
      </c>
      <c r="H38686">
        <v>13933384</v>
      </c>
      <c r="I38686">
        <v>4756874</v>
      </c>
      <c r="J38686">
        <v>3</v>
      </c>
    </row>
    <row r="38687" spans="1:10" x14ac:dyDescent="0.25">
      <c r="A38687" t="s">
        <v>398</v>
      </c>
      <c r="B38687" s="1" t="str">
        <f>HYPERLINK("http://ducatinorte.pt","ducatinorte.pt")</f>
        <v>ducatinorte.pt</v>
      </c>
      <c r="C38687" t="s">
        <v>488</v>
      </c>
      <c r="D38687" t="s">
        <v>862</v>
      </c>
      <c r="F38687">
        <v>4.56496702499603E-9</v>
      </c>
      <c r="G38687">
        <v>50681666</v>
      </c>
      <c r="H38687">
        <v>10782340</v>
      </c>
      <c r="I38687">
        <v>38827110</v>
      </c>
      <c r="J38687">
        <v>4</v>
      </c>
    </row>
    <row r="38688" spans="1:10" x14ac:dyDescent="0.25">
      <c r="A38688" t="s">
        <v>398</v>
      </c>
      <c r="B38688" s="1" t="str">
        <f>HYPERLINK("http://japsport.pt","japsport.pt")</f>
        <v>japsport.pt</v>
      </c>
      <c r="C38688" t="s">
        <v>488</v>
      </c>
      <c r="D38688" t="s">
        <v>862</v>
      </c>
      <c r="F38688">
        <v>5.2066147837295703E-9</v>
      </c>
      <c r="G38688">
        <v>24985048</v>
      </c>
      <c r="H38688">
        <v>10345932</v>
      </c>
      <c r="I38688">
        <v>56905705</v>
      </c>
      <c r="J38688">
        <v>4</v>
      </c>
    </row>
    <row r="38689" spans="1:10" x14ac:dyDescent="0.25">
      <c r="A38689" t="s">
        <v>398</v>
      </c>
      <c r="B38689" s="1" t="str">
        <f>HYPERLINK("http://porschestudiocascais.pt","porschestudiocascais.pt")</f>
        <v>porschestudiocascais.pt</v>
      </c>
      <c r="C38689" t="s">
        <v>488</v>
      </c>
      <c r="D38689" t="s">
        <v>862</v>
      </c>
      <c r="F38689">
        <v>4.4767310561932903E-9</v>
      </c>
      <c r="G38689">
        <v>63039767</v>
      </c>
      <c r="H38689">
        <v>11113649</v>
      </c>
      <c r="I38689">
        <v>32118152</v>
      </c>
      <c r="J38689">
        <v>4</v>
      </c>
    </row>
    <row r="38690" spans="1:10" x14ac:dyDescent="0.25">
      <c r="A38690" t="s">
        <v>398</v>
      </c>
      <c r="B38690" s="1" t="str">
        <f>HYPERLINK("http://scania.pt","scania.pt")</f>
        <v>scania.pt</v>
      </c>
      <c r="C38690" t="s">
        <v>488</v>
      </c>
      <c r="D38690" t="s">
        <v>862</v>
      </c>
      <c r="F38690">
        <v>1.1381194086732E-8</v>
      </c>
      <c r="G38690">
        <v>5586946</v>
      </c>
      <c r="H38690">
        <v>14074242</v>
      </c>
      <c r="I38690">
        <v>2950679</v>
      </c>
      <c r="J38690">
        <v>4</v>
      </c>
    </row>
    <row r="38691" spans="1:10" x14ac:dyDescent="0.25">
      <c r="A38691" t="s">
        <v>398</v>
      </c>
      <c r="B38691" s="1" t="str">
        <f>HYPERLINK("http://seat.pt","seat.pt")</f>
        <v>seat.pt</v>
      </c>
      <c r="C38691" t="s">
        <v>488</v>
      </c>
      <c r="D38691" t="s">
        <v>862</v>
      </c>
      <c r="F38691">
        <v>3.9210366848850001E-8</v>
      </c>
      <c r="G38691">
        <v>1315664</v>
      </c>
      <c r="H38691">
        <v>14488063</v>
      </c>
      <c r="I38691">
        <v>938466</v>
      </c>
      <c r="J38691">
        <v>4</v>
      </c>
    </row>
    <row r="38692" spans="1:10" x14ac:dyDescent="0.25">
      <c r="A38692" t="s">
        <v>398</v>
      </c>
      <c r="B38692" s="1" t="str">
        <f>HYPERLINK("http://seatarrabida.pt","seatarrabida.pt")</f>
        <v>seatarrabida.pt</v>
      </c>
      <c r="C38692" t="s">
        <v>488</v>
      </c>
      <c r="D38692" t="s">
        <v>862</v>
      </c>
      <c r="F38692">
        <v>5.6966846243835797E-9</v>
      </c>
      <c r="G38692">
        <v>18989845</v>
      </c>
      <c r="H38692">
        <v>11619521</v>
      </c>
      <c r="I38692">
        <v>29908651</v>
      </c>
      <c r="J38692">
        <v>3</v>
      </c>
    </row>
    <row r="38693" spans="1:10" x14ac:dyDescent="0.25">
      <c r="A38693" t="s">
        <v>398</v>
      </c>
      <c r="B38693" s="1" t="str">
        <f>HYPERLINK("http://sivaonline.pt","sivaonline.pt")</f>
        <v>sivaonline.pt</v>
      </c>
      <c r="C38693" t="s">
        <v>488</v>
      </c>
      <c r="D38693" t="s">
        <v>862</v>
      </c>
      <c r="F38693">
        <v>5.0570008870440999E-8</v>
      </c>
      <c r="G38693">
        <v>908112</v>
      </c>
      <c r="H38693">
        <v>14109582</v>
      </c>
      <c r="I38693">
        <v>2677029</v>
      </c>
      <c r="J38693">
        <v>3</v>
      </c>
    </row>
    <row r="38694" spans="1:10" x14ac:dyDescent="0.25">
      <c r="A38694" t="s">
        <v>398</v>
      </c>
      <c r="B38694" s="1" t="str">
        <f>HYPERLINK("http://skoda-auto.pt","skoda-auto.pt")</f>
        <v>skoda-auto.pt</v>
      </c>
      <c r="C38694" t="s">
        <v>488</v>
      </c>
      <c r="D38694" t="s">
        <v>862</v>
      </c>
      <c r="F38694">
        <v>1.90617998988379E-8</v>
      </c>
      <c r="G38694">
        <v>2824527</v>
      </c>
      <c r="H38694">
        <v>12260080</v>
      </c>
      <c r="I38694">
        <v>21770761</v>
      </c>
      <c r="J38694">
        <v>4</v>
      </c>
    </row>
    <row r="38695" spans="1:10" x14ac:dyDescent="0.25">
      <c r="A38695" t="s">
        <v>398</v>
      </c>
      <c r="B38695" s="1" t="str">
        <f>HYPERLINK("http://volkswagen.pt","volkswagen.pt")</f>
        <v>volkswagen.pt</v>
      </c>
      <c r="C38695" t="s">
        <v>488</v>
      </c>
      <c r="D38695" t="s">
        <v>862</v>
      </c>
      <c r="F38695">
        <v>7.7275009922908506E-8</v>
      </c>
      <c r="G38695">
        <v>541916</v>
      </c>
      <c r="H38695">
        <v>14268848</v>
      </c>
      <c r="I38695">
        <v>1402897</v>
      </c>
      <c r="J38695">
        <v>4</v>
      </c>
    </row>
    <row r="38696" spans="1:10" x14ac:dyDescent="0.25">
      <c r="A38696" t="s">
        <v>398</v>
      </c>
      <c r="B38696" s="1" t="str">
        <f>HYPERLINK("http://volkswagenautoeuropa.pt","volkswagenautoeuropa.pt")</f>
        <v>volkswagenautoeuropa.pt</v>
      </c>
      <c r="C38696" t="s">
        <v>488</v>
      </c>
      <c r="D38696" t="s">
        <v>862</v>
      </c>
      <c r="F38696">
        <v>3.7201908092418999E-8</v>
      </c>
      <c r="G38696">
        <v>1392372</v>
      </c>
      <c r="H38696">
        <v>14683995</v>
      </c>
      <c r="I38696">
        <v>606278</v>
      </c>
      <c r="J38696">
        <v>3</v>
      </c>
    </row>
    <row r="38697" spans="1:10" x14ac:dyDescent="0.25">
      <c r="A38697" t="s">
        <v>398</v>
      </c>
      <c r="B38697" s="1" t="str">
        <f>HYPERLINK("http://vtxrm.pt","vtxrm.pt")</f>
        <v>vtxrm.pt</v>
      </c>
      <c r="C38697" t="s">
        <v>488</v>
      </c>
      <c r="D38697" t="s">
        <v>862</v>
      </c>
      <c r="F38697">
        <v>4.9966786027924701E-9</v>
      </c>
      <c r="G38697">
        <v>29492894</v>
      </c>
      <c r="H38697">
        <v>8659321</v>
      </c>
      <c r="I38697">
        <v>70286941</v>
      </c>
      <c r="J38697">
        <v>4</v>
      </c>
    </row>
    <row r="38698" spans="1:10" x14ac:dyDescent="0.25">
      <c r="A38698" t="s">
        <v>398</v>
      </c>
      <c r="B38698" s="1" t="str">
        <f>HYPERLINK("http://vwfs.pt","vwfs.pt")</f>
        <v>vwfs.pt</v>
      </c>
      <c r="C38698" t="s">
        <v>488</v>
      </c>
      <c r="D38698" t="s">
        <v>862</v>
      </c>
      <c r="F38698">
        <v>4.2098329565473001E-8</v>
      </c>
      <c r="G38698">
        <v>1161060</v>
      </c>
      <c r="H38698">
        <v>12220166</v>
      </c>
      <c r="I38698">
        <v>22784090</v>
      </c>
      <c r="J38698">
        <v>4</v>
      </c>
    </row>
    <row r="38699" spans="1:10" x14ac:dyDescent="0.25">
      <c r="A38699" t="s">
        <v>398</v>
      </c>
      <c r="B38699" s="1" t="str">
        <f>HYPERLINK("http://audi.pw","audi.pw")</f>
        <v>audi.pw</v>
      </c>
      <c r="C38699" t="s">
        <v>705</v>
      </c>
      <c r="D38699" t="s">
        <v>1007</v>
      </c>
      <c r="F38699">
        <v>7.4971767885227393E-9</v>
      </c>
      <c r="G38699">
        <v>11019686</v>
      </c>
      <c r="H38699">
        <v>12415959</v>
      </c>
      <c r="I38699">
        <v>18528042</v>
      </c>
      <c r="J38699">
        <v>4</v>
      </c>
    </row>
    <row r="38700" spans="1:10" x14ac:dyDescent="0.25">
      <c r="A38700" t="s">
        <v>398</v>
      </c>
      <c r="B38700" s="1" t="str">
        <f>HYPERLINK("http://audi.com.py","audi.com.py")</f>
        <v>audi.com.py</v>
      </c>
      <c r="C38700" t="s">
        <v>489</v>
      </c>
      <c r="D38700" t="s">
        <v>863</v>
      </c>
      <c r="F38700">
        <v>8.3944384787371997E-9</v>
      </c>
      <c r="G38700">
        <v>9054211</v>
      </c>
      <c r="H38700">
        <v>12584960</v>
      </c>
      <c r="I38700">
        <v>16456541</v>
      </c>
      <c r="J38700">
        <v>4</v>
      </c>
    </row>
    <row r="38701" spans="1:10" x14ac:dyDescent="0.25">
      <c r="A38701" t="s">
        <v>398</v>
      </c>
      <c r="B38701" s="1" t="str">
        <f>HYPERLINK("http://ducati.com.py","ducati.com.py")</f>
        <v>ducati.com.py</v>
      </c>
      <c r="C38701" t="s">
        <v>489</v>
      </c>
      <c r="D38701" t="s">
        <v>863</v>
      </c>
      <c r="F38701">
        <v>4.6070692108838796E-9</v>
      </c>
      <c r="G38701">
        <v>47077717</v>
      </c>
      <c r="H38701">
        <v>7292797.5</v>
      </c>
      <c r="I38701">
        <v>76325240</v>
      </c>
      <c r="J38701">
        <v>3</v>
      </c>
    </row>
    <row r="38702" spans="1:10" x14ac:dyDescent="0.25">
      <c r="A38702" t="s">
        <v>398</v>
      </c>
      <c r="B38702" s="1" t="str">
        <f>HYPERLINK("http://audi.com.qa","audi.com.qa")</f>
        <v>audi.com.qa</v>
      </c>
      <c r="C38702" t="s">
        <v>490</v>
      </c>
      <c r="D38702" t="s">
        <v>864</v>
      </c>
      <c r="F38702">
        <v>4.9092335416144701E-9</v>
      </c>
      <c r="G38702">
        <v>32200038</v>
      </c>
      <c r="H38702">
        <v>10594761</v>
      </c>
      <c r="I38702">
        <v>45259952</v>
      </c>
      <c r="J38702">
        <v>4</v>
      </c>
    </row>
    <row r="38703" spans="1:10" x14ac:dyDescent="0.25">
      <c r="A38703" t="s">
        <v>398</v>
      </c>
      <c r="B38703" s="1" t="str">
        <f>HYPERLINK("http://cupraofficial.re","cupraofficial.re")</f>
        <v>cupraofficial.re</v>
      </c>
      <c r="C38703" t="s">
        <v>575</v>
      </c>
      <c r="D38703" t="s">
        <v>920</v>
      </c>
      <c r="F38703">
        <v>1.97943289678731E-8</v>
      </c>
      <c r="G38703">
        <v>2694130</v>
      </c>
      <c r="H38703">
        <v>13811652</v>
      </c>
      <c r="I38703">
        <v>6193823</v>
      </c>
      <c r="J38703">
        <v>4</v>
      </c>
    </row>
    <row r="38704" spans="1:10" x14ac:dyDescent="0.25">
      <c r="A38704" t="s">
        <v>398</v>
      </c>
      <c r="B38704" s="1" t="str">
        <f>HYPERLINK("http://seat.re","seat.re")</f>
        <v>seat.re</v>
      </c>
      <c r="C38704" t="s">
        <v>575</v>
      </c>
      <c r="D38704" t="s">
        <v>920</v>
      </c>
      <c r="F38704">
        <v>6.9260835262506797E-9</v>
      </c>
      <c r="G38704">
        <v>12537794</v>
      </c>
      <c r="H38704">
        <v>10538008</v>
      </c>
      <c r="I38704">
        <v>47401725</v>
      </c>
      <c r="J38704">
        <v>4</v>
      </c>
    </row>
    <row r="38705" spans="1:10" x14ac:dyDescent="0.25">
      <c r="A38705" t="s">
        <v>398</v>
      </c>
      <c r="B38705" s="1" t="str">
        <f>HYPERLINK("http://apanautomobile.ro","apanautomobile.ro")</f>
        <v>apanautomobile.ro</v>
      </c>
      <c r="C38705" t="s">
        <v>491</v>
      </c>
      <c r="D38705" t="s">
        <v>865</v>
      </c>
      <c r="F38705">
        <v>6.7620992598323103E-9</v>
      </c>
      <c r="G38705">
        <v>13088203</v>
      </c>
      <c r="H38705">
        <v>10734034</v>
      </c>
      <c r="I38705">
        <v>40707798</v>
      </c>
      <c r="J38705">
        <v>3</v>
      </c>
    </row>
    <row r="38706" spans="1:10" x14ac:dyDescent="0.25">
      <c r="A38706" t="s">
        <v>398</v>
      </c>
      <c r="B38706" s="1" t="str">
        <f>HYPERLINK("http://autoworld.ro","autoworld.ro")</f>
        <v>autoworld.ro</v>
      </c>
      <c r="C38706" t="s">
        <v>491</v>
      </c>
      <c r="D38706" t="s">
        <v>865</v>
      </c>
      <c r="F38706">
        <v>1.50452893001628E-8</v>
      </c>
      <c r="G38706">
        <v>3825197</v>
      </c>
      <c r="H38706">
        <v>12269373</v>
      </c>
      <c r="I38706">
        <v>21536498</v>
      </c>
      <c r="J38706">
        <v>3</v>
      </c>
    </row>
    <row r="38707" spans="1:10" x14ac:dyDescent="0.25">
      <c r="A38707" t="s">
        <v>398</v>
      </c>
      <c r="B38707" s="1" t="str">
        <f>HYPERLINK("http://cupraofficial.ro","cupraofficial.ro")</f>
        <v>cupraofficial.ro</v>
      </c>
      <c r="C38707" t="s">
        <v>491</v>
      </c>
      <c r="D38707" t="s">
        <v>865</v>
      </c>
      <c r="F38707">
        <v>1.4793021461311299E-8</v>
      </c>
      <c r="G38707">
        <v>3909542</v>
      </c>
      <c r="H38707">
        <v>11144290</v>
      </c>
      <c r="I38707">
        <v>31794270</v>
      </c>
      <c r="J38707">
        <v>4</v>
      </c>
    </row>
    <row r="38708" spans="1:10" x14ac:dyDescent="0.25">
      <c r="A38708" t="s">
        <v>398</v>
      </c>
      <c r="B38708" s="1" t="str">
        <f>HYPERLINK("http://ingricop.ro","ingricop.ro")</f>
        <v>ingricop.ro</v>
      </c>
      <c r="C38708" t="s">
        <v>491</v>
      </c>
      <c r="D38708" t="s">
        <v>865</v>
      </c>
      <c r="F38708">
        <v>7.1931363310342399E-9</v>
      </c>
      <c r="G38708">
        <v>11762542</v>
      </c>
      <c r="H38708">
        <v>10969645</v>
      </c>
      <c r="I38708">
        <v>34151008</v>
      </c>
      <c r="J38708">
        <v>4</v>
      </c>
    </row>
    <row r="38709" spans="1:10" x14ac:dyDescent="0.25">
      <c r="A38709" t="s">
        <v>398</v>
      </c>
      <c r="B38709" s="1" t="str">
        <f>HYPERLINK("http://man.ro","man.ro")</f>
        <v>man.ro</v>
      </c>
      <c r="C38709" t="s">
        <v>491</v>
      </c>
      <c r="D38709" t="s">
        <v>865</v>
      </c>
      <c r="F38709">
        <v>1.8722304578736801E-8</v>
      </c>
      <c r="G38709">
        <v>2885333</v>
      </c>
      <c r="H38709">
        <v>12287824</v>
      </c>
      <c r="I38709">
        <v>21158217</v>
      </c>
      <c r="J38709">
        <v>4</v>
      </c>
    </row>
    <row r="38710" spans="1:10" x14ac:dyDescent="0.25">
      <c r="A38710" t="s">
        <v>398</v>
      </c>
      <c r="B38710" s="1" t="str">
        <f>HYPERLINK("http://megaauto.ro","megaauto.ro")</f>
        <v>megaauto.ro</v>
      </c>
      <c r="C38710" t="s">
        <v>491</v>
      </c>
      <c r="D38710" t="s">
        <v>865</v>
      </c>
      <c r="F38710">
        <v>6.0350144161788897E-9</v>
      </c>
      <c r="G38710">
        <v>16470707</v>
      </c>
      <c r="H38710">
        <v>11223288</v>
      </c>
      <c r="I38710">
        <v>31068834</v>
      </c>
      <c r="J38710">
        <v>4</v>
      </c>
    </row>
    <row r="38711" spans="1:10" x14ac:dyDescent="0.25">
      <c r="A38711" t="s">
        <v>398</v>
      </c>
      <c r="B38711" s="1" t="str">
        <f>HYPERLINK("http://porschebank.ro","porschebank.ro")</f>
        <v>porschebank.ro</v>
      </c>
      <c r="C38711" t="s">
        <v>491</v>
      </c>
      <c r="D38711" t="s">
        <v>865</v>
      </c>
      <c r="F38711">
        <v>4.9930121782860798E-8</v>
      </c>
      <c r="G38711">
        <v>922996</v>
      </c>
      <c r="H38711">
        <v>13029075</v>
      </c>
      <c r="I38711">
        <v>12674827</v>
      </c>
      <c r="J38711">
        <v>3</v>
      </c>
    </row>
    <row r="38712" spans="1:10" x14ac:dyDescent="0.25">
      <c r="A38712" t="s">
        <v>398</v>
      </c>
      <c r="B38712" s="1" t="str">
        <f>HYPERLINK("http://porscheromania.ro","porscheromania.ro")</f>
        <v>porscheromania.ro</v>
      </c>
      <c r="C38712" t="s">
        <v>491</v>
      </c>
      <c r="D38712" t="s">
        <v>865</v>
      </c>
      <c r="F38712">
        <v>1.07948577547631E-8</v>
      </c>
      <c r="G38712">
        <v>6024853</v>
      </c>
      <c r="H38712">
        <v>14374289</v>
      </c>
      <c r="I38712">
        <v>1243387</v>
      </c>
      <c r="J38712">
        <v>4</v>
      </c>
    </row>
    <row r="38713" spans="1:10" x14ac:dyDescent="0.25">
      <c r="A38713" t="s">
        <v>398</v>
      </c>
      <c r="B38713" s="1" t="str">
        <f>HYPERLINK("http://scania.ro","scania.ro")</f>
        <v>scania.ro</v>
      </c>
      <c r="C38713" t="s">
        <v>491</v>
      </c>
      <c r="D38713" t="s">
        <v>865</v>
      </c>
      <c r="F38713">
        <v>1.1340230295093001E-8</v>
      </c>
      <c r="G38713">
        <v>5614874</v>
      </c>
      <c r="H38713">
        <v>12281825</v>
      </c>
      <c r="I38713">
        <v>21272268</v>
      </c>
      <c r="J38713">
        <v>4</v>
      </c>
    </row>
    <row r="38714" spans="1:10" x14ac:dyDescent="0.25">
      <c r="A38714" t="s">
        <v>398</v>
      </c>
      <c r="B38714" s="1" t="str">
        <f>HYPERLINK("http://seat.ro","seat.ro")</f>
        <v>seat.ro</v>
      </c>
      <c r="C38714" t="s">
        <v>491</v>
      </c>
      <c r="D38714" t="s">
        <v>865</v>
      </c>
      <c r="F38714">
        <v>2.97992195330305E-8</v>
      </c>
      <c r="G38714">
        <v>1727046</v>
      </c>
      <c r="H38714">
        <v>14374559</v>
      </c>
      <c r="I38714">
        <v>1237860</v>
      </c>
      <c r="J38714">
        <v>4</v>
      </c>
    </row>
    <row r="38715" spans="1:10" x14ac:dyDescent="0.25">
      <c r="A38715" t="s">
        <v>398</v>
      </c>
      <c r="B38715" s="1" t="str">
        <f>HYPERLINK("http://topcar-seat.ro","topcar-seat.ro")</f>
        <v>topcar-seat.ro</v>
      </c>
      <c r="C38715" t="s">
        <v>491</v>
      </c>
      <c r="D38715" t="s">
        <v>865</v>
      </c>
      <c r="F38715">
        <v>6.0041669857851698E-9</v>
      </c>
      <c r="G38715">
        <v>16657716</v>
      </c>
      <c r="H38715">
        <v>10759703</v>
      </c>
      <c r="I38715">
        <v>39619313</v>
      </c>
      <c r="J38715">
        <v>4</v>
      </c>
    </row>
    <row r="38716" spans="1:10" x14ac:dyDescent="0.25">
      <c r="A38716" t="s">
        <v>398</v>
      </c>
      <c r="B38716" s="1" t="str">
        <f>HYPERLINK("http://aks-drive.co.rs","aks-drive.co.rs")</f>
        <v>aks-drive.co.rs</v>
      </c>
      <c r="C38716" t="s">
        <v>492</v>
      </c>
      <c r="D38716" t="s">
        <v>866</v>
      </c>
      <c r="F38716">
        <v>5.1688190675400002E-9</v>
      </c>
      <c r="G38716">
        <v>25744879</v>
      </c>
      <c r="H38716">
        <v>10961375</v>
      </c>
      <c r="I38716">
        <v>34323416</v>
      </c>
      <c r="J38716">
        <v>4</v>
      </c>
    </row>
    <row r="38717" spans="1:10" x14ac:dyDescent="0.25">
      <c r="A38717" t="s">
        <v>398</v>
      </c>
      <c r="B38717" s="1" t="str">
        <f>HYPERLINK("http://autocacak.co.rs","autocacak.co.rs")</f>
        <v>autocacak.co.rs</v>
      </c>
      <c r="C38717" t="s">
        <v>492</v>
      </c>
      <c r="D38717" t="s">
        <v>866</v>
      </c>
      <c r="F38717">
        <v>5.8493778396796402E-9</v>
      </c>
      <c r="G38717">
        <v>17714234</v>
      </c>
      <c r="H38717">
        <v>10785514</v>
      </c>
      <c r="I38717">
        <v>38679184</v>
      </c>
      <c r="J38717">
        <v>4</v>
      </c>
    </row>
    <row r="38718" spans="1:10" x14ac:dyDescent="0.25">
      <c r="A38718" t="s">
        <v>398</v>
      </c>
      <c r="B38718" s="1" t="str">
        <f>HYPERLINK("http://intersrem.co.rs","intersrem.co.rs")</f>
        <v>intersrem.co.rs</v>
      </c>
      <c r="C38718" t="s">
        <v>492</v>
      </c>
      <c r="D38718" t="s">
        <v>866</v>
      </c>
      <c r="F38718">
        <v>5.9338016173472298E-9</v>
      </c>
      <c r="G38718">
        <v>17126930</v>
      </c>
      <c r="H38718">
        <v>10833562</v>
      </c>
      <c r="I38718">
        <v>37314886</v>
      </c>
      <c r="J38718">
        <v>4</v>
      </c>
    </row>
    <row r="38719" spans="1:10" x14ac:dyDescent="0.25">
      <c r="A38719" t="s">
        <v>398</v>
      </c>
      <c r="B38719" s="1" t="str">
        <f>HYPERLINK("http://cupraofficial.rs","cupraofficial.rs")</f>
        <v>cupraofficial.rs</v>
      </c>
      <c r="C38719" t="s">
        <v>492</v>
      </c>
      <c r="D38719" t="s">
        <v>866</v>
      </c>
      <c r="F38719">
        <v>1.29166043045256E-8</v>
      </c>
      <c r="G38719">
        <v>4671546</v>
      </c>
      <c r="H38719">
        <v>11174665</v>
      </c>
      <c r="I38719">
        <v>31484728</v>
      </c>
      <c r="J38719">
        <v>4</v>
      </c>
    </row>
    <row r="38720" spans="1:10" x14ac:dyDescent="0.25">
      <c r="A38720" t="s">
        <v>398</v>
      </c>
      <c r="B38720" s="1" t="str">
        <f>HYPERLINK("http://porsche-sever.rs","porsche-sever.rs")</f>
        <v>porsche-sever.rs</v>
      </c>
      <c r="C38720" t="s">
        <v>492</v>
      </c>
      <c r="D38720" t="s">
        <v>866</v>
      </c>
      <c r="F38720">
        <v>7.8281881111363105E-9</v>
      </c>
      <c r="G38720">
        <v>10259506</v>
      </c>
      <c r="H38720">
        <v>10911082</v>
      </c>
      <c r="I38720">
        <v>35601230</v>
      </c>
      <c r="J38720">
        <v>4</v>
      </c>
    </row>
    <row r="38721" spans="1:10" x14ac:dyDescent="0.25">
      <c r="A38721" t="s">
        <v>398</v>
      </c>
      <c r="B38721" s="1" t="str">
        <f>HYPERLINK("http://porscheleasing.rs","porscheleasing.rs")</f>
        <v>porscheleasing.rs</v>
      </c>
      <c r="C38721" t="s">
        <v>492</v>
      </c>
      <c r="D38721" t="s">
        <v>866</v>
      </c>
      <c r="F38721">
        <v>2.5576014618953201E-8</v>
      </c>
      <c r="G38721">
        <v>2016241</v>
      </c>
      <c r="H38721">
        <v>12191331</v>
      </c>
      <c r="I38721">
        <v>23552490</v>
      </c>
      <c r="J38721">
        <v>3</v>
      </c>
    </row>
    <row r="38722" spans="1:10" x14ac:dyDescent="0.25">
      <c r="A38722" t="s">
        <v>398</v>
      </c>
      <c r="B38722" s="1" t="str">
        <f>HYPERLINK("http://seat.rs","seat.rs")</f>
        <v>seat.rs</v>
      </c>
      <c r="C38722" t="s">
        <v>492</v>
      </c>
      <c r="D38722" t="s">
        <v>866</v>
      </c>
      <c r="F38722">
        <v>1.0537786558568801E-8</v>
      </c>
      <c r="G38722">
        <v>6237295</v>
      </c>
      <c r="H38722">
        <v>12224199</v>
      </c>
      <c r="I38722">
        <v>22675671</v>
      </c>
      <c r="J38722">
        <v>4</v>
      </c>
    </row>
    <row r="38723" spans="1:10" x14ac:dyDescent="0.25">
      <c r="A38723" t="s">
        <v>398</v>
      </c>
      <c r="B38723" s="1" t="str">
        <f>HYPERLINK("http://skoda-auto.rs","skoda-auto.rs")</f>
        <v>skoda-auto.rs</v>
      </c>
      <c r="C38723" t="s">
        <v>492</v>
      </c>
      <c r="D38723" t="s">
        <v>866</v>
      </c>
      <c r="F38723">
        <v>2.5269212297528198E-8</v>
      </c>
      <c r="G38723">
        <v>2042236</v>
      </c>
      <c r="H38723">
        <v>12234348</v>
      </c>
      <c r="I38723">
        <v>22394137</v>
      </c>
      <c r="J38723">
        <v>4</v>
      </c>
    </row>
    <row r="38724" spans="1:10" x14ac:dyDescent="0.25">
      <c r="A38724" t="s">
        <v>398</v>
      </c>
      <c r="B38724" s="1" t="str">
        <f>HYPERLINK("http://volkswagen.rs","volkswagen.rs")</f>
        <v>volkswagen.rs</v>
      </c>
      <c r="C38724" t="s">
        <v>492</v>
      </c>
      <c r="D38724" t="s">
        <v>866</v>
      </c>
      <c r="F38724">
        <v>3.0527515202153202E-8</v>
      </c>
      <c r="G38724">
        <v>1686855</v>
      </c>
      <c r="H38724">
        <v>14072426</v>
      </c>
      <c r="I38724">
        <v>3095380</v>
      </c>
      <c r="J38724">
        <v>3</v>
      </c>
    </row>
    <row r="38725" spans="1:10" x14ac:dyDescent="0.25">
      <c r="A38725" t="s">
        <v>398</v>
      </c>
      <c r="B38725" s="1" t="str">
        <f>HYPERLINK("http://vwlakeauto.rs","vwlakeauto.rs")</f>
        <v>vwlakeauto.rs</v>
      </c>
      <c r="C38725" t="s">
        <v>492</v>
      </c>
      <c r="D38725" t="s">
        <v>866</v>
      </c>
      <c r="F38725">
        <v>6.7531992832938798E-9</v>
      </c>
      <c r="G38725">
        <v>13118298</v>
      </c>
      <c r="H38725">
        <v>10950920</v>
      </c>
      <c r="I38725">
        <v>34563190</v>
      </c>
      <c r="J38725">
        <v>3</v>
      </c>
    </row>
    <row r="38726" spans="1:10" x14ac:dyDescent="0.25">
      <c r="A38726" t="s">
        <v>398</v>
      </c>
      <c r="B38726" s="1" t="str">
        <f>HYPERLINK("http://agat-viktoria.ru","agat-viktoria.ru")</f>
        <v>agat-viktoria.ru</v>
      </c>
      <c r="C38726" t="s">
        <v>493</v>
      </c>
      <c r="D38726" t="s">
        <v>867</v>
      </c>
      <c r="F38726">
        <v>1.2080207355656801E-8</v>
      </c>
      <c r="G38726">
        <v>5125212</v>
      </c>
      <c r="H38726">
        <v>12868294</v>
      </c>
      <c r="I38726">
        <v>14098777</v>
      </c>
      <c r="J38726">
        <v>4</v>
      </c>
    </row>
    <row r="38727" spans="1:10" x14ac:dyDescent="0.25">
      <c r="A38727" t="s">
        <v>398</v>
      </c>
      <c r="B38727" s="1" t="str">
        <f>HYPERLINK("http://audi.ru","audi.ru")</f>
        <v>audi.ru</v>
      </c>
      <c r="C38727" t="s">
        <v>493</v>
      </c>
      <c r="D38727" t="s">
        <v>867</v>
      </c>
      <c r="E38727">
        <v>501358</v>
      </c>
      <c r="F38727">
        <v>1.4381929824950001E-7</v>
      </c>
      <c r="G38727">
        <v>270717</v>
      </c>
      <c r="H38727">
        <v>14437179</v>
      </c>
      <c r="I38727">
        <v>1067397</v>
      </c>
      <c r="J38727">
        <v>4</v>
      </c>
    </row>
    <row r="38728" spans="1:10" x14ac:dyDescent="0.25">
      <c r="A38728" t="s">
        <v>398</v>
      </c>
      <c r="B38728" s="1" t="str">
        <f>HYPERLINK("http://audi-kosmonavtov.ru","audi-kosmonavtov.ru")</f>
        <v>audi-kosmonavtov.ru</v>
      </c>
      <c r="C38728" t="s">
        <v>493</v>
      </c>
      <c r="D38728" t="s">
        <v>867</v>
      </c>
      <c r="F38728">
        <v>6.9019446124208904E-9</v>
      </c>
      <c r="G38728">
        <v>12615477</v>
      </c>
      <c r="H38728">
        <v>10891858</v>
      </c>
      <c r="I38728">
        <v>36039183</v>
      </c>
      <c r="J38728">
        <v>4</v>
      </c>
    </row>
    <row r="38729" spans="1:10" x14ac:dyDescent="0.25">
      <c r="A38729" t="s">
        <v>398</v>
      </c>
      <c r="B38729" s="1" t="str">
        <f>HYPERLINK("http://audi-lahta.ru","audi-lahta.ru")</f>
        <v>audi-lahta.ru</v>
      </c>
      <c r="C38729" t="s">
        <v>493</v>
      </c>
      <c r="D38729" t="s">
        <v>867</v>
      </c>
      <c r="F38729">
        <v>1.5170026006955601E-8</v>
      </c>
      <c r="G38729">
        <v>3785069</v>
      </c>
      <c r="H38729">
        <v>12893199</v>
      </c>
      <c r="I38729">
        <v>13917704</v>
      </c>
      <c r="J38729">
        <v>4</v>
      </c>
    </row>
    <row r="38730" spans="1:10" x14ac:dyDescent="0.25">
      <c r="A38730" t="s">
        <v>398</v>
      </c>
      <c r="B38730" s="1" t="str">
        <f>HYPERLINK("http://audi-novosibirsk.ru","audi-novosibirsk.ru")</f>
        <v>audi-novosibirsk.ru</v>
      </c>
      <c r="C38730" t="s">
        <v>493</v>
      </c>
      <c r="D38730" t="s">
        <v>867</v>
      </c>
      <c r="F38730">
        <v>9.1284604610905294E-9</v>
      </c>
      <c r="G38730">
        <v>7807852</v>
      </c>
      <c r="H38730">
        <v>12870787</v>
      </c>
      <c r="I38730">
        <v>14063506</v>
      </c>
      <c r="J38730">
        <v>4</v>
      </c>
    </row>
    <row r="38731" spans="1:10" x14ac:dyDescent="0.25">
      <c r="A38731" t="s">
        <v>398</v>
      </c>
      <c r="B38731" s="1" t="str">
        <f>HYPERLINK("http://audi-peterburg.ru","audi-peterburg.ru")</f>
        <v>audi-peterburg.ru</v>
      </c>
      <c r="C38731" t="s">
        <v>493</v>
      </c>
      <c r="D38731" t="s">
        <v>867</v>
      </c>
      <c r="F38731">
        <v>6.6503826904883299E-9</v>
      </c>
      <c r="G38731">
        <v>13483715</v>
      </c>
      <c r="H38731">
        <v>13807698</v>
      </c>
      <c r="I38731">
        <v>6225178</v>
      </c>
      <c r="J38731">
        <v>4</v>
      </c>
    </row>
    <row r="38732" spans="1:10" x14ac:dyDescent="0.25">
      <c r="A38732" t="s">
        <v>398</v>
      </c>
      <c r="B38732" s="1" t="str">
        <f>HYPERLINK("http://audi-petrogradsky.ru","audi-petrogradsky.ru")</f>
        <v>audi-petrogradsky.ru</v>
      </c>
      <c r="C38732" t="s">
        <v>493</v>
      </c>
      <c r="D38732" t="s">
        <v>867</v>
      </c>
      <c r="F38732">
        <v>6.2946072802736797E-9</v>
      </c>
      <c r="G38732">
        <v>15057885</v>
      </c>
      <c r="H38732">
        <v>13011331</v>
      </c>
      <c r="I38732">
        <v>12747029</v>
      </c>
      <c r="J38732">
        <v>4</v>
      </c>
    </row>
    <row r="38733" spans="1:10" x14ac:dyDescent="0.25">
      <c r="A38733" t="s">
        <v>398</v>
      </c>
      <c r="B38733" s="1" t="str">
        <f>HYPERLINK("http://audi-sochi.ru","audi-sochi.ru")</f>
        <v>audi-sochi.ru</v>
      </c>
      <c r="C38733" t="s">
        <v>493</v>
      </c>
      <c r="D38733" t="s">
        <v>867</v>
      </c>
      <c r="F38733">
        <v>6.1333659295592002E-9</v>
      </c>
      <c r="G38733">
        <v>15898354</v>
      </c>
      <c r="H38733">
        <v>12105325</v>
      </c>
      <c r="I38733">
        <v>25841185</v>
      </c>
      <c r="J38733">
        <v>4</v>
      </c>
    </row>
    <row r="38734" spans="1:10" x14ac:dyDescent="0.25">
      <c r="A38734" t="s">
        <v>398</v>
      </c>
      <c r="B38734" s="1" t="str">
        <f>HYPERLINK("http://autocity-sk.ru","autocity-sk.ru")</f>
        <v>autocity-sk.ru</v>
      </c>
      <c r="C38734" t="s">
        <v>493</v>
      </c>
      <c r="D38734" t="s">
        <v>867</v>
      </c>
      <c r="F38734">
        <v>1.32967825855137E-8</v>
      </c>
      <c r="G38734">
        <v>4494878</v>
      </c>
      <c r="H38734">
        <v>12703472</v>
      </c>
      <c r="I38734">
        <v>15336410</v>
      </c>
      <c r="J38734">
        <v>4</v>
      </c>
    </row>
    <row r="38735" spans="1:10" x14ac:dyDescent="0.25">
      <c r="A38735" t="s">
        <v>398</v>
      </c>
      <c r="B38735" s="1" t="str">
        <f>HYPERLINK("http://europa-avto.ru","europa-avto.ru")</f>
        <v>europa-avto.ru</v>
      </c>
      <c r="C38735" t="s">
        <v>493</v>
      </c>
      <c r="D38735" t="s">
        <v>867</v>
      </c>
      <c r="F38735">
        <v>5.9340304312556499E-9</v>
      </c>
      <c r="G38735">
        <v>17125449</v>
      </c>
      <c r="H38735">
        <v>12099545</v>
      </c>
      <c r="I38735">
        <v>25979652</v>
      </c>
      <c r="J38735">
        <v>4</v>
      </c>
    </row>
    <row r="38736" spans="1:10" x14ac:dyDescent="0.25">
      <c r="A38736" t="s">
        <v>398</v>
      </c>
      <c r="B38736" s="1" t="str">
        <f>HYPERLINK("http://griffin-auto.ru","griffin-auto.ru")</f>
        <v>griffin-auto.ru</v>
      </c>
      <c r="C38736" t="s">
        <v>493</v>
      </c>
      <c r="D38736" t="s">
        <v>867</v>
      </c>
      <c r="F38736">
        <v>8.4266075531853399E-9</v>
      </c>
      <c r="G38736">
        <v>8988807</v>
      </c>
      <c r="H38736">
        <v>12775950</v>
      </c>
      <c r="I38736">
        <v>14794577</v>
      </c>
      <c r="J38736">
        <v>4</v>
      </c>
    </row>
    <row r="38737" spans="1:10" x14ac:dyDescent="0.25">
      <c r="A38737" t="s">
        <v>398</v>
      </c>
      <c r="B38737" s="1" t="str">
        <f>HYPERLINK("http://porsche-asc.ru","porsche-asc.ru")</f>
        <v>porsche-asc.ru</v>
      </c>
      <c r="C38737" t="s">
        <v>493</v>
      </c>
      <c r="D38737" t="s">
        <v>867</v>
      </c>
      <c r="F38737">
        <v>9.4065105648588304E-9</v>
      </c>
      <c r="G38737">
        <v>7436537</v>
      </c>
      <c r="H38737">
        <v>12446923</v>
      </c>
      <c r="I38737">
        <v>18064784</v>
      </c>
      <c r="J38737">
        <v>4</v>
      </c>
    </row>
    <row r="38738" spans="1:10" x14ac:dyDescent="0.25">
      <c r="A38738" t="s">
        <v>398</v>
      </c>
      <c r="B38738" s="1" t="str">
        <f>HYPERLINK("http://porsche-sochi.ru","porsche-sochi.ru")</f>
        <v>porsche-sochi.ru</v>
      </c>
      <c r="C38738" t="s">
        <v>493</v>
      </c>
      <c r="D38738" t="s">
        <v>867</v>
      </c>
      <c r="F38738">
        <v>5.9783943932756402E-9</v>
      </c>
      <c r="G38738">
        <v>16828304</v>
      </c>
      <c r="H38738">
        <v>12207800</v>
      </c>
      <c r="I38738">
        <v>23080855</v>
      </c>
      <c r="J38738">
        <v>4</v>
      </c>
    </row>
    <row r="38739" spans="1:10" x14ac:dyDescent="0.25">
      <c r="A38739" t="s">
        <v>398</v>
      </c>
      <c r="B38739" s="1" t="str">
        <f>HYPERLINK("http://seat.ru","seat.ru")</f>
        <v>seat.ru</v>
      </c>
      <c r="C38739" t="s">
        <v>493</v>
      </c>
      <c r="D38739" t="s">
        <v>867</v>
      </c>
      <c r="F38739">
        <v>1.6824764858217098E-8</v>
      </c>
      <c r="G38739">
        <v>3327321</v>
      </c>
      <c r="H38739">
        <v>14072924</v>
      </c>
      <c r="I38739">
        <v>3032678</v>
      </c>
      <c r="J38739">
        <v>4</v>
      </c>
    </row>
    <row r="38740" spans="1:10" x14ac:dyDescent="0.25">
      <c r="A38740" t="s">
        <v>398</v>
      </c>
      <c r="B38740" s="1" t="str">
        <f>HYPERLINK("http://sigma-motors.ru","sigma-motors.ru")</f>
        <v>sigma-motors.ru</v>
      </c>
      <c r="C38740" t="s">
        <v>493</v>
      </c>
      <c r="D38740" t="s">
        <v>867</v>
      </c>
      <c r="F38740">
        <v>1.6081494803866999E-8</v>
      </c>
      <c r="G38740">
        <v>3525321</v>
      </c>
      <c r="H38740">
        <v>13279686</v>
      </c>
      <c r="I38740">
        <v>10916406</v>
      </c>
      <c r="J38740">
        <v>3</v>
      </c>
    </row>
    <row r="38741" spans="1:10" x14ac:dyDescent="0.25">
      <c r="A38741" t="s">
        <v>398</v>
      </c>
      <c r="B38741" s="1" t="str">
        <f>HYPERLINK("http://skoda-vozrojdenie.ru","skoda-vozrojdenie.ru")</f>
        <v>skoda-vozrojdenie.ru</v>
      </c>
      <c r="C38741" t="s">
        <v>493</v>
      </c>
      <c r="D38741" t="s">
        <v>867</v>
      </c>
      <c r="F38741">
        <v>6.2481443246269904E-9</v>
      </c>
      <c r="G38741">
        <v>15284318</v>
      </c>
      <c r="H38741">
        <v>12221009</v>
      </c>
      <c r="I38741">
        <v>22767000</v>
      </c>
      <c r="J38741">
        <v>4</v>
      </c>
    </row>
    <row r="38742" spans="1:10" x14ac:dyDescent="0.25">
      <c r="A38742" t="s">
        <v>398</v>
      </c>
      <c r="B38742" s="1" t="str">
        <f>HYPERLINK("http://skoda-wagner.ru","skoda-wagner.ru")</f>
        <v>skoda-wagner.ru</v>
      </c>
      <c r="C38742" t="s">
        <v>493</v>
      </c>
      <c r="D38742" t="s">
        <v>867</v>
      </c>
      <c r="F38742">
        <v>2.1227451258492999E-8</v>
      </c>
      <c r="G38742">
        <v>2484223</v>
      </c>
      <c r="H38742">
        <v>12881315</v>
      </c>
      <c r="I38742">
        <v>13993599</v>
      </c>
      <c r="J38742">
        <v>4</v>
      </c>
    </row>
    <row r="38743" spans="1:10" x14ac:dyDescent="0.25">
      <c r="A38743" t="s">
        <v>398</v>
      </c>
      <c r="B38743" s="1" t="str">
        <f>HYPERLINK("http://sochi-vw.ru","sochi-vw.ru")</f>
        <v>sochi-vw.ru</v>
      </c>
      <c r="C38743" t="s">
        <v>493</v>
      </c>
      <c r="D38743" t="s">
        <v>867</v>
      </c>
      <c r="F38743">
        <v>1.11579510102206E-8</v>
      </c>
      <c r="G38743">
        <v>5743576</v>
      </c>
      <c r="H38743">
        <v>13776584</v>
      </c>
      <c r="I38743">
        <v>6552360</v>
      </c>
      <c r="J38743">
        <v>3</v>
      </c>
    </row>
    <row r="38744" spans="1:10" x14ac:dyDescent="0.25">
      <c r="A38744" t="s">
        <v>398</v>
      </c>
      <c r="B38744" s="1" t="str">
        <f>HYPERLINK("http://volkswagen-arkont.ru","volkswagen-arkont.ru")</f>
        <v>volkswagen-arkont.ru</v>
      </c>
      <c r="C38744" t="s">
        <v>493</v>
      </c>
      <c r="D38744" t="s">
        <v>867</v>
      </c>
      <c r="F38744">
        <v>9.3987281532701598E-9</v>
      </c>
      <c r="G38744">
        <v>7446033</v>
      </c>
      <c r="H38744">
        <v>12935085</v>
      </c>
      <c r="I38744">
        <v>13343537</v>
      </c>
      <c r="J38744">
        <v>3</v>
      </c>
    </row>
    <row r="38745" spans="1:10" x14ac:dyDescent="0.25">
      <c r="A38745" t="s">
        <v>398</v>
      </c>
      <c r="B38745" s="1" t="str">
        <f>HYPERLINK("http://volkswagen-krasnoyarsk.ru","volkswagen-krasnoyarsk.ru")</f>
        <v>volkswagen-krasnoyarsk.ru</v>
      </c>
      <c r="C38745" t="s">
        <v>493</v>
      </c>
      <c r="D38745" t="s">
        <v>867</v>
      </c>
      <c r="F38745">
        <v>4.7948545201415998E-9</v>
      </c>
      <c r="G38745">
        <v>36289616</v>
      </c>
      <c r="H38745">
        <v>12152467</v>
      </c>
      <c r="I38745">
        <v>24565012</v>
      </c>
      <c r="J38745">
        <v>3</v>
      </c>
    </row>
    <row r="38746" spans="1:10" x14ac:dyDescent="0.25">
      <c r="A38746" t="s">
        <v>398</v>
      </c>
      <c r="B38746" s="1" t="str">
        <f>HYPERLINK("http://volkswagen-petersburg.ru","volkswagen-petersburg.ru")</f>
        <v>volkswagen-petersburg.ru</v>
      </c>
      <c r="C38746" t="s">
        <v>493</v>
      </c>
      <c r="D38746" t="s">
        <v>867</v>
      </c>
      <c r="E38746">
        <v>533742</v>
      </c>
      <c r="F38746">
        <v>1.1208414534955001E-7</v>
      </c>
      <c r="G38746">
        <v>356423</v>
      </c>
      <c r="H38746">
        <v>13984620</v>
      </c>
      <c r="I38746">
        <v>4042263</v>
      </c>
      <c r="J38746">
        <v>3</v>
      </c>
    </row>
    <row r="38747" spans="1:10" x14ac:dyDescent="0.25">
      <c r="A38747" t="s">
        <v>398</v>
      </c>
      <c r="B38747" s="1" t="str">
        <f>HYPERLINK("http://volkswagen-sim.ru","volkswagen-sim.ru")</f>
        <v>volkswagen-sim.ru</v>
      </c>
      <c r="C38747" t="s">
        <v>493</v>
      </c>
      <c r="D38747" t="s">
        <v>867</v>
      </c>
      <c r="F38747">
        <v>9.2304747132230807E-9</v>
      </c>
      <c r="G38747">
        <v>7669592</v>
      </c>
      <c r="H38747">
        <v>12939515</v>
      </c>
      <c r="I38747">
        <v>13302870</v>
      </c>
      <c r="J38747">
        <v>3</v>
      </c>
    </row>
    <row r="38748" spans="1:10" x14ac:dyDescent="0.25">
      <c r="A38748" t="s">
        <v>398</v>
      </c>
      <c r="B38748" s="1" t="str">
        <f>HYPERLINK("http://volkswagengrouprus.ru","volkswagengrouprus.ru")</f>
        <v>volkswagengrouprus.ru</v>
      </c>
      <c r="C38748" t="s">
        <v>493</v>
      </c>
      <c r="D38748" t="s">
        <v>867</v>
      </c>
      <c r="F38748">
        <v>1.9912348859146999E-8</v>
      </c>
      <c r="G38748">
        <v>2672758</v>
      </c>
      <c r="H38748">
        <v>14500286</v>
      </c>
      <c r="I38748">
        <v>853918</v>
      </c>
      <c r="J38748">
        <v>3</v>
      </c>
    </row>
    <row r="38749" spans="1:10" x14ac:dyDescent="0.25">
      <c r="A38749" t="s">
        <v>398</v>
      </c>
      <c r="B38749" s="1" t="str">
        <f>HYPERLINK("http://vw-avtomir-srt.ru","vw-avtomir-srt.ru")</f>
        <v>vw-avtomir-srt.ru</v>
      </c>
      <c r="C38749" t="s">
        <v>493</v>
      </c>
      <c r="D38749" t="s">
        <v>867</v>
      </c>
      <c r="F38749">
        <v>7.2419453692161199E-9</v>
      </c>
      <c r="G38749">
        <v>11626127</v>
      </c>
      <c r="H38749">
        <v>12700769</v>
      </c>
      <c r="I38749">
        <v>15350347</v>
      </c>
      <c r="J38749">
        <v>3</v>
      </c>
    </row>
    <row r="38750" spans="1:10" x14ac:dyDescent="0.25">
      <c r="A38750" t="s">
        <v>398</v>
      </c>
      <c r="B38750" s="1" t="str">
        <f>HYPERLINK("http://vw-tts.ru","vw-tts.ru")</f>
        <v>vw-tts.ru</v>
      </c>
      <c r="C38750" t="s">
        <v>493</v>
      </c>
      <c r="D38750" t="s">
        <v>867</v>
      </c>
      <c r="E38750">
        <v>609491</v>
      </c>
      <c r="F38750">
        <v>1.81811382634058E-8</v>
      </c>
      <c r="G38750">
        <v>2993470</v>
      </c>
      <c r="H38750">
        <v>13966551</v>
      </c>
      <c r="I38750">
        <v>4087357</v>
      </c>
      <c r="J38750">
        <v>3</v>
      </c>
    </row>
    <row r="38751" spans="1:10" x14ac:dyDescent="0.25">
      <c r="A38751" t="s">
        <v>398</v>
      </c>
      <c r="B38751" s="1" t="str">
        <f>HYPERLINK("http://vw-vnukovo.ru","vw-vnukovo.ru")</f>
        <v>vw-vnukovo.ru</v>
      </c>
      <c r="C38751" t="s">
        <v>493</v>
      </c>
      <c r="D38751" t="s">
        <v>867</v>
      </c>
      <c r="E38751">
        <v>911257</v>
      </c>
      <c r="F38751">
        <v>7.8204244871179105E-9</v>
      </c>
      <c r="G38751">
        <v>10276101</v>
      </c>
      <c r="H38751">
        <v>10951850</v>
      </c>
      <c r="I38751">
        <v>34541462</v>
      </c>
      <c r="J38751">
        <v>3</v>
      </c>
    </row>
    <row r="38752" spans="1:10" x14ac:dyDescent="0.25">
      <c r="A38752" t="s">
        <v>398</v>
      </c>
      <c r="B38752" s="1" t="str">
        <f>HYPERLINK("http://vwfs.ru","vwfs.ru")</f>
        <v>vwfs.ru</v>
      </c>
      <c r="C38752" t="s">
        <v>493</v>
      </c>
      <c r="D38752" t="s">
        <v>867</v>
      </c>
      <c r="F38752">
        <v>1.2381660066415399E-7</v>
      </c>
      <c r="G38752">
        <v>318704</v>
      </c>
      <c r="H38752">
        <v>12497400</v>
      </c>
      <c r="I38752">
        <v>17387423</v>
      </c>
      <c r="J38752">
        <v>4</v>
      </c>
    </row>
    <row r="38753" spans="1:10" x14ac:dyDescent="0.25">
      <c r="A38753" t="s">
        <v>398</v>
      </c>
      <c r="B38753" s="1" t="str">
        <f>HYPERLINK("http://vwgroup.ru","vwgroup.ru")</f>
        <v>vwgroup.ru</v>
      </c>
      <c r="C38753" t="s">
        <v>493</v>
      </c>
      <c r="D38753" t="s">
        <v>867</v>
      </c>
      <c r="E38753">
        <v>132389</v>
      </c>
      <c r="F38753">
        <v>1.06444774694348E-7</v>
      </c>
      <c r="G38753">
        <v>376150</v>
      </c>
      <c r="H38753">
        <v>14592337</v>
      </c>
      <c r="I38753">
        <v>693641</v>
      </c>
      <c r="J38753">
        <v>6</v>
      </c>
    </row>
    <row r="38754" spans="1:10" x14ac:dyDescent="0.25">
      <c r="A38754" t="s">
        <v>398</v>
      </c>
      <c r="B38754" s="1" t="str">
        <f>HYPERLINK("http://audi.rw","audi.rw")</f>
        <v>audi.rw</v>
      </c>
      <c r="C38754" t="s">
        <v>662</v>
      </c>
      <c r="D38754" t="s">
        <v>981</v>
      </c>
      <c r="F38754">
        <v>7.2580919019857197E-9</v>
      </c>
      <c r="G38754">
        <v>11583882</v>
      </c>
      <c r="H38754">
        <v>12415957</v>
      </c>
      <c r="I38754">
        <v>18528068</v>
      </c>
      <c r="J38754">
        <v>4</v>
      </c>
    </row>
    <row r="38755" spans="1:10" x14ac:dyDescent="0.25">
      <c r="A38755" t="s">
        <v>398</v>
      </c>
      <c r="B38755" s="1" t="str">
        <f>HYPERLINK("http://audi.sa","audi.sa")</f>
        <v>audi.sa</v>
      </c>
      <c r="C38755" t="s">
        <v>494</v>
      </c>
      <c r="D38755" t="s">
        <v>868</v>
      </c>
      <c r="F38755">
        <v>7.3544167343659296E-9</v>
      </c>
      <c r="G38755">
        <v>11350765</v>
      </c>
      <c r="H38755">
        <v>12415960</v>
      </c>
      <c r="I38755">
        <v>18528018</v>
      </c>
      <c r="J38755">
        <v>4</v>
      </c>
    </row>
    <row r="38756" spans="1:10" x14ac:dyDescent="0.25">
      <c r="A38756" t="s">
        <v>398</v>
      </c>
      <c r="B38756" s="1" t="str">
        <f>HYPERLINK("http://samaco.com.sa","samaco.com.sa")</f>
        <v>samaco.com.sa</v>
      </c>
      <c r="C38756" t="s">
        <v>494</v>
      </c>
      <c r="D38756" t="s">
        <v>868</v>
      </c>
      <c r="F38756">
        <v>3.9272434774063602E-8</v>
      </c>
      <c r="G38756">
        <v>1313755</v>
      </c>
      <c r="H38756">
        <v>14443273</v>
      </c>
      <c r="I38756">
        <v>1059828</v>
      </c>
      <c r="J38756">
        <v>4</v>
      </c>
    </row>
    <row r="38757" spans="1:10" x14ac:dyDescent="0.25">
      <c r="A38757" t="s">
        <v>398</v>
      </c>
      <c r="B38757" s="1" t="str">
        <f>HYPERLINK("http://arbeitundleben.saarland","arbeitundleben.saarland")</f>
        <v>arbeitundleben.saarland</v>
      </c>
      <c r="C38757" t="s">
        <v>771</v>
      </c>
      <c r="F38757">
        <v>7.1247241885058604E-9</v>
      </c>
      <c r="G38757">
        <v>11946403</v>
      </c>
      <c r="H38757">
        <v>11232524</v>
      </c>
      <c r="I38757">
        <v>31011250</v>
      </c>
      <c r="J38757">
        <v>7</v>
      </c>
    </row>
    <row r="38758" spans="1:10" x14ac:dyDescent="0.25">
      <c r="A38758" t="s">
        <v>398</v>
      </c>
      <c r="B38758" s="1" t="str">
        <f>HYPERLINK("http://audi.com.sb","audi.com.sb")</f>
        <v>audi.com.sb</v>
      </c>
      <c r="C38758" t="s">
        <v>663</v>
      </c>
      <c r="D38758" t="s">
        <v>982</v>
      </c>
      <c r="F38758">
        <v>8.3923095531326192E-9</v>
      </c>
      <c r="G38758">
        <v>9058686</v>
      </c>
      <c r="H38758">
        <v>12415964</v>
      </c>
      <c r="I38758">
        <v>18527957</v>
      </c>
      <c r="J38758">
        <v>4</v>
      </c>
    </row>
    <row r="38759" spans="1:10" x14ac:dyDescent="0.25">
      <c r="A38759" t="s">
        <v>398</v>
      </c>
      <c r="B38759" s="1" t="str">
        <f>HYPERLINK("http://audi.sc","audi.sc")</f>
        <v>audi.sc</v>
      </c>
      <c r="C38759" t="s">
        <v>664</v>
      </c>
      <c r="D38759" t="s">
        <v>983</v>
      </c>
      <c r="F38759">
        <v>9.6930880967279393E-9</v>
      </c>
      <c r="G38759">
        <v>7088410</v>
      </c>
      <c r="H38759">
        <v>12415969</v>
      </c>
      <c r="I38759">
        <v>18527884</v>
      </c>
      <c r="J38759">
        <v>4</v>
      </c>
    </row>
    <row r="38760" spans="1:10" x14ac:dyDescent="0.25">
      <c r="A38760" t="s">
        <v>398</v>
      </c>
      <c r="B38760" s="1" t="str">
        <f>HYPERLINK("http://audi.sd","audi.sd")</f>
        <v>audi.sd</v>
      </c>
      <c r="C38760" t="s">
        <v>617</v>
      </c>
      <c r="D38760" t="s">
        <v>942</v>
      </c>
      <c r="F38760">
        <v>6.0171616311941601E-9</v>
      </c>
      <c r="G38760">
        <v>16579483</v>
      </c>
      <c r="H38760">
        <v>10594780</v>
      </c>
      <c r="I38760">
        <v>45258321</v>
      </c>
      <c r="J38760">
        <v>4</v>
      </c>
    </row>
    <row r="38761" spans="1:10" x14ac:dyDescent="0.25">
      <c r="A38761" t="s">
        <v>398</v>
      </c>
      <c r="B38761" s="1" t="str">
        <f>HYPERLINK("http://audi.se","audi.se")</f>
        <v>audi.se</v>
      </c>
      <c r="C38761" t="s">
        <v>495</v>
      </c>
      <c r="D38761" t="s">
        <v>869</v>
      </c>
      <c r="E38761">
        <v>726256</v>
      </c>
      <c r="F38761">
        <v>5.1699001734736101E-8</v>
      </c>
      <c r="G38761">
        <v>884179</v>
      </c>
      <c r="H38761">
        <v>14245485</v>
      </c>
      <c r="I38761">
        <v>1465987</v>
      </c>
      <c r="J38761">
        <v>4</v>
      </c>
    </row>
    <row r="38762" spans="1:10" x14ac:dyDescent="0.25">
      <c r="A38762" t="s">
        <v>398</v>
      </c>
      <c r="B38762" s="1" t="str">
        <f>HYPERLINK("http://bilmetro.se","bilmetro.se")</f>
        <v>bilmetro.se</v>
      </c>
      <c r="C38762" t="s">
        <v>495</v>
      </c>
      <c r="D38762" t="s">
        <v>869</v>
      </c>
      <c r="F38762">
        <v>2.3215418938838501E-8</v>
      </c>
      <c r="G38762">
        <v>2247853</v>
      </c>
      <c r="H38762">
        <v>13775570</v>
      </c>
      <c r="I38762">
        <v>6576030</v>
      </c>
      <c r="J38762">
        <v>3</v>
      </c>
    </row>
    <row r="38763" spans="1:10" x14ac:dyDescent="0.25">
      <c r="A38763" t="s">
        <v>398</v>
      </c>
      <c r="B38763" s="1" t="str">
        <f>HYPERLINK("http://cupraofficial.se","cupraofficial.se")</f>
        <v>cupraofficial.se</v>
      </c>
      <c r="C38763" t="s">
        <v>495</v>
      </c>
      <c r="D38763" t="s">
        <v>869</v>
      </c>
      <c r="F38763">
        <v>3.6559906615517198E-8</v>
      </c>
      <c r="G38763">
        <v>1428499</v>
      </c>
      <c r="H38763">
        <v>13812844</v>
      </c>
      <c r="I38763">
        <v>6184853</v>
      </c>
      <c r="J38763">
        <v>4</v>
      </c>
    </row>
    <row r="38764" spans="1:10" x14ac:dyDescent="0.25">
      <c r="A38764" t="s">
        <v>398</v>
      </c>
      <c r="B38764" s="1" t="str">
        <f>HYPERLINK("http://dinbil.se","dinbil.se")</f>
        <v>dinbil.se</v>
      </c>
      <c r="C38764" t="s">
        <v>495</v>
      </c>
      <c r="D38764" t="s">
        <v>869</v>
      </c>
      <c r="F38764">
        <v>3.6742467075590702E-8</v>
      </c>
      <c r="G38764">
        <v>1422473</v>
      </c>
      <c r="H38764">
        <v>12742712</v>
      </c>
      <c r="I38764">
        <v>15114045</v>
      </c>
      <c r="J38764">
        <v>3</v>
      </c>
    </row>
    <row r="38765" spans="1:10" x14ac:dyDescent="0.25">
      <c r="A38765" t="s">
        <v>398</v>
      </c>
      <c r="B38765" s="1" t="str">
        <f>HYPERLINK("http://laxasv.se","laxasv.se")</f>
        <v>laxasv.se</v>
      </c>
      <c r="C38765" t="s">
        <v>495</v>
      </c>
      <c r="D38765" t="s">
        <v>869</v>
      </c>
      <c r="F38765">
        <v>1.9064894326643299E-8</v>
      </c>
      <c r="G38765">
        <v>2823991</v>
      </c>
      <c r="H38765">
        <v>11661037</v>
      </c>
      <c r="I38765">
        <v>29876831</v>
      </c>
      <c r="J38765">
        <v>3</v>
      </c>
    </row>
    <row r="38766" spans="1:10" x14ac:dyDescent="0.25">
      <c r="A38766" t="s">
        <v>398</v>
      </c>
      <c r="B38766" s="1" t="str">
        <f>HYPERLINK("http://porsche.se","porsche.se")</f>
        <v>porsche.se</v>
      </c>
      <c r="C38766" t="s">
        <v>495</v>
      </c>
      <c r="D38766" t="s">
        <v>869</v>
      </c>
      <c r="F38766">
        <v>2.9757940413274699E-8</v>
      </c>
      <c r="G38766">
        <v>1729432</v>
      </c>
      <c r="H38766">
        <v>14243754</v>
      </c>
      <c r="I38766">
        <v>1475520</v>
      </c>
      <c r="J38766">
        <v>4</v>
      </c>
    </row>
    <row r="38767" spans="1:10" x14ac:dyDescent="0.25">
      <c r="A38767" t="s">
        <v>398</v>
      </c>
      <c r="B38767" s="1" t="str">
        <f>HYPERLINK("http://scania.se","scania.se")</f>
        <v>scania.se</v>
      </c>
      <c r="C38767" t="s">
        <v>495</v>
      </c>
      <c r="D38767" t="s">
        <v>869</v>
      </c>
      <c r="F38767">
        <v>4.5755384014990397E-8</v>
      </c>
      <c r="G38767">
        <v>1027251</v>
      </c>
      <c r="H38767">
        <v>14491479</v>
      </c>
      <c r="I38767">
        <v>902841</v>
      </c>
      <c r="J38767">
        <v>3</v>
      </c>
    </row>
    <row r="38768" spans="1:10" x14ac:dyDescent="0.25">
      <c r="A38768" t="s">
        <v>398</v>
      </c>
      <c r="B38768" s="1" t="str">
        <f>HYPERLINK("http://seat.se","seat.se")</f>
        <v>seat.se</v>
      </c>
      <c r="C38768" t="s">
        <v>495</v>
      </c>
      <c r="D38768" t="s">
        <v>869</v>
      </c>
      <c r="F38768">
        <v>6.5461683856608902E-8</v>
      </c>
      <c r="G38768">
        <v>656891</v>
      </c>
      <c r="H38768">
        <v>14239619</v>
      </c>
      <c r="I38768">
        <v>1510046</v>
      </c>
      <c r="J38768">
        <v>4</v>
      </c>
    </row>
    <row r="38769" spans="1:10" x14ac:dyDescent="0.25">
      <c r="A38769" t="s">
        <v>398</v>
      </c>
      <c r="B38769" s="1" t="str">
        <f>HYPERLINK("http://skodastockholm.se","skodastockholm.se")</f>
        <v>skodastockholm.se</v>
      </c>
      <c r="C38769" t="s">
        <v>495</v>
      </c>
      <c r="D38769" t="s">
        <v>869</v>
      </c>
      <c r="F38769">
        <v>1.1114626255569E-8</v>
      </c>
      <c r="G38769">
        <v>5774737</v>
      </c>
      <c r="H38769">
        <v>12417554</v>
      </c>
      <c r="I38769">
        <v>18501024</v>
      </c>
      <c r="J38769">
        <v>4</v>
      </c>
    </row>
    <row r="38770" spans="1:10" x14ac:dyDescent="0.25">
      <c r="A38770" t="s">
        <v>398</v>
      </c>
      <c r="B38770" s="1" t="str">
        <f>HYPERLINK("http://volkswagen.se","volkswagen.se")</f>
        <v>volkswagen.se</v>
      </c>
      <c r="C38770" t="s">
        <v>495</v>
      </c>
      <c r="D38770" t="s">
        <v>869</v>
      </c>
      <c r="E38770">
        <v>522388</v>
      </c>
      <c r="F38770">
        <v>1.7262420409220401E-7</v>
      </c>
      <c r="G38770">
        <v>224716</v>
      </c>
      <c r="H38770">
        <v>14516691</v>
      </c>
      <c r="I38770">
        <v>811108</v>
      </c>
      <c r="J38770">
        <v>3</v>
      </c>
    </row>
    <row r="38771" spans="1:10" x14ac:dyDescent="0.25">
      <c r="A38771" t="s">
        <v>398</v>
      </c>
      <c r="B38771" s="1" t="str">
        <f>HYPERLINK("http://vwfs.se","vwfs.se")</f>
        <v>vwfs.se</v>
      </c>
      <c r="C38771" t="s">
        <v>495</v>
      </c>
      <c r="D38771" t="s">
        <v>869</v>
      </c>
      <c r="F38771">
        <v>2.39458129151789E-8</v>
      </c>
      <c r="G38771">
        <v>2168264</v>
      </c>
      <c r="H38771">
        <v>13204548</v>
      </c>
      <c r="I38771">
        <v>11533886</v>
      </c>
      <c r="J38771">
        <v>3</v>
      </c>
    </row>
    <row r="38772" spans="1:10" x14ac:dyDescent="0.25">
      <c r="A38772" t="s">
        <v>398</v>
      </c>
      <c r="B38772" s="1" t="str">
        <f>HYPERLINK("http://vwgroup.se","vwgroup.se")</f>
        <v>vwgroup.se</v>
      </c>
      <c r="C38772" t="s">
        <v>495</v>
      </c>
      <c r="D38772" t="s">
        <v>869</v>
      </c>
      <c r="F38772">
        <v>6.3963355728996106E-8</v>
      </c>
      <c r="G38772">
        <v>677736</v>
      </c>
      <c r="H38772">
        <v>13199790</v>
      </c>
      <c r="I38772">
        <v>11552991</v>
      </c>
      <c r="J38772">
        <v>3</v>
      </c>
    </row>
    <row r="38773" spans="1:10" x14ac:dyDescent="0.25">
      <c r="A38773" t="s">
        <v>398</v>
      </c>
      <c r="B38773" s="1" t="str">
        <f>HYPERLINK("http://bna-chelles.seat","bna-chelles.seat")</f>
        <v>bna-chelles.seat</v>
      </c>
      <c r="C38773" t="s">
        <v>797</v>
      </c>
      <c r="J38773">
        <v>4</v>
      </c>
    </row>
    <row r="38774" spans="1:10" x14ac:dyDescent="0.25">
      <c r="A38774" t="s">
        <v>398</v>
      </c>
      <c r="B38774" s="1" t="str">
        <f>HYPERLINK("http://casa.seat","casa.seat")</f>
        <v>casa.seat</v>
      </c>
      <c r="C38774" t="s">
        <v>797</v>
      </c>
      <c r="F38774">
        <v>9.4516313071162303E-8</v>
      </c>
      <c r="G38774">
        <v>429242</v>
      </c>
      <c r="H38774">
        <v>14297719</v>
      </c>
      <c r="I38774">
        <v>1358719</v>
      </c>
      <c r="J38774">
        <v>5</v>
      </c>
    </row>
    <row r="38775" spans="1:10" x14ac:dyDescent="0.25">
      <c r="A38775" t="s">
        <v>398</v>
      </c>
      <c r="B38775" s="1" t="str">
        <f>HYPERLINK("http://gilautomocion.seat","gilautomocion.seat")</f>
        <v>gilautomocion.seat</v>
      </c>
      <c r="C38775" t="s">
        <v>797</v>
      </c>
      <c r="F38775">
        <v>4.8051524037981202E-9</v>
      </c>
      <c r="G38775">
        <v>35887831</v>
      </c>
      <c r="H38775">
        <v>10754597</v>
      </c>
      <c r="I38775">
        <v>39841850</v>
      </c>
      <c r="J38775">
        <v>4</v>
      </c>
    </row>
    <row r="38776" spans="1:10" x14ac:dyDescent="0.25">
      <c r="A38776" t="s">
        <v>398</v>
      </c>
      <c r="B38776" s="1" t="str">
        <f>HYPERLINK("http://manacormovil.seat","manacormovil.seat")</f>
        <v>manacormovil.seat</v>
      </c>
      <c r="C38776" t="s">
        <v>797</v>
      </c>
      <c r="F38776">
        <v>4.9885339282995399E-9</v>
      </c>
      <c r="G38776">
        <v>29711364</v>
      </c>
      <c r="H38776">
        <v>12172589</v>
      </c>
      <c r="I38776">
        <v>24003152</v>
      </c>
      <c r="J38776">
        <v>7</v>
      </c>
    </row>
    <row r="38777" spans="1:10" x14ac:dyDescent="0.25">
      <c r="A38777" t="s">
        <v>398</v>
      </c>
      <c r="B38777" s="1" t="str">
        <f>HYPERLINK("http://ducati.com.sg","ducati.com.sg")</f>
        <v>ducati.com.sg</v>
      </c>
      <c r="C38777" t="s">
        <v>496</v>
      </c>
      <c r="D38777" t="s">
        <v>870</v>
      </c>
      <c r="F38777">
        <v>1.1099499697609901E-8</v>
      </c>
      <c r="G38777">
        <v>5785857</v>
      </c>
      <c r="H38777">
        <v>11498503</v>
      </c>
      <c r="I38777">
        <v>30032923</v>
      </c>
      <c r="J38777">
        <v>3</v>
      </c>
    </row>
    <row r="38778" spans="1:10" x14ac:dyDescent="0.25">
      <c r="A38778" t="s">
        <v>398</v>
      </c>
      <c r="B38778" s="1" t="str">
        <f>HYPERLINK("http://scania.com.sg","scania.com.sg")</f>
        <v>scania.com.sg</v>
      </c>
      <c r="C38778" t="s">
        <v>496</v>
      </c>
      <c r="D38778" t="s">
        <v>870</v>
      </c>
      <c r="F38778">
        <v>8.8874844606966697E-9</v>
      </c>
      <c r="G38778">
        <v>8164637</v>
      </c>
      <c r="H38778">
        <v>14071888</v>
      </c>
      <c r="I38778">
        <v>3246589</v>
      </c>
      <c r="J38778">
        <v>4</v>
      </c>
    </row>
    <row r="38779" spans="1:10" x14ac:dyDescent="0.25">
      <c r="A38779" t="s">
        <v>398</v>
      </c>
      <c r="B38779" s="1" t="str">
        <f>HYPERLINK("http://volkswagen.com.sg","volkswagen.com.sg")</f>
        <v>volkswagen.com.sg</v>
      </c>
      <c r="C38779" t="s">
        <v>496</v>
      </c>
      <c r="D38779" t="s">
        <v>870</v>
      </c>
      <c r="F38779">
        <v>6.8855159353969706E-8</v>
      </c>
      <c r="G38779">
        <v>617512</v>
      </c>
      <c r="H38779">
        <v>16869136</v>
      </c>
      <c r="I38779">
        <v>149700</v>
      </c>
      <c r="J38779">
        <v>3</v>
      </c>
    </row>
    <row r="38780" spans="1:10" x14ac:dyDescent="0.25">
      <c r="A38780" t="s">
        <v>398</v>
      </c>
      <c r="B38780" s="1" t="str">
        <f>HYPERLINK("http://cupraofficial.sg","cupraofficial.sg")</f>
        <v>cupraofficial.sg</v>
      </c>
      <c r="C38780" t="s">
        <v>496</v>
      </c>
      <c r="D38780" t="s">
        <v>870</v>
      </c>
      <c r="F38780">
        <v>1.43927074113835E-8</v>
      </c>
      <c r="G38780">
        <v>4059599</v>
      </c>
      <c r="H38780">
        <v>12228356</v>
      </c>
      <c r="I38780">
        <v>22548319</v>
      </c>
      <c r="J38780">
        <v>4</v>
      </c>
    </row>
    <row r="38781" spans="1:10" x14ac:dyDescent="0.25">
      <c r="A38781" t="s">
        <v>398</v>
      </c>
      <c r="B38781" s="1" t="str">
        <f>HYPERLINK("http://seat.sg","seat.sg")</f>
        <v>seat.sg</v>
      </c>
      <c r="C38781" t="s">
        <v>496</v>
      </c>
      <c r="D38781" t="s">
        <v>870</v>
      </c>
      <c r="F38781">
        <v>2.3372233301609401E-8</v>
      </c>
      <c r="G38781">
        <v>2231314</v>
      </c>
      <c r="H38781">
        <v>12342717</v>
      </c>
      <c r="I38781">
        <v>19897264</v>
      </c>
      <c r="J38781">
        <v>4</v>
      </c>
    </row>
    <row r="38782" spans="1:10" x14ac:dyDescent="0.25">
      <c r="A38782" t="s">
        <v>398</v>
      </c>
      <c r="B38782" s="1" t="str">
        <f>HYPERLINK("http://audi.sh","audi.sh")</f>
        <v>audi.sh</v>
      </c>
      <c r="C38782" t="s">
        <v>665</v>
      </c>
      <c r="D38782" t="s">
        <v>984</v>
      </c>
      <c r="F38782">
        <v>8.8601458020765705E-9</v>
      </c>
      <c r="G38782">
        <v>8208181</v>
      </c>
      <c r="H38782">
        <v>12415966</v>
      </c>
      <c r="I38782">
        <v>18527930</v>
      </c>
      <c r="J38782">
        <v>4</v>
      </c>
    </row>
    <row r="38783" spans="1:10" x14ac:dyDescent="0.25">
      <c r="A38783" t="s">
        <v>398</v>
      </c>
      <c r="B38783" s="1" t="str">
        <f>HYPERLINK("http://porschebank.shop","porschebank.shop")</f>
        <v>porschebank.shop</v>
      </c>
      <c r="C38783" t="s">
        <v>708</v>
      </c>
      <c r="F38783">
        <v>8.2375525383922699E-9</v>
      </c>
      <c r="G38783">
        <v>9411683</v>
      </c>
      <c r="H38783">
        <v>12181302</v>
      </c>
      <c r="I38783">
        <v>23789287</v>
      </c>
      <c r="J38783">
        <v>4</v>
      </c>
    </row>
    <row r="38784" spans="1:10" x14ac:dyDescent="0.25">
      <c r="A38784" t="s">
        <v>398</v>
      </c>
      <c r="B38784" s="1" t="str">
        <f>HYPERLINK("http://porschecentrumtwente.shop","porschecentrumtwente.shop")</f>
        <v>porschecentrumtwente.shop</v>
      </c>
      <c r="C38784" t="s">
        <v>708</v>
      </c>
      <c r="F38784">
        <v>5.36673694006162E-9</v>
      </c>
      <c r="G38784">
        <v>22582547</v>
      </c>
      <c r="H38784">
        <v>9646351</v>
      </c>
      <c r="I38784">
        <v>63927681</v>
      </c>
      <c r="J38784">
        <v>5</v>
      </c>
    </row>
    <row r="38785" spans="1:10" x14ac:dyDescent="0.25">
      <c r="A38785" t="s">
        <v>398</v>
      </c>
      <c r="B38785" s="1" t="str">
        <f>HYPERLINK("http://ac-kondor.si","ac-kondor.si")</f>
        <v>ac-kondor.si</v>
      </c>
      <c r="C38785" t="s">
        <v>497</v>
      </c>
      <c r="D38785" t="s">
        <v>871</v>
      </c>
      <c r="F38785">
        <v>7.4293902762208597E-9</v>
      </c>
      <c r="G38785">
        <v>11173808</v>
      </c>
      <c r="H38785">
        <v>12213324</v>
      </c>
      <c r="I38785">
        <v>22943924</v>
      </c>
      <c r="J38785">
        <v>3</v>
      </c>
    </row>
    <row r="38786" spans="1:10" x14ac:dyDescent="0.25">
      <c r="A38786" t="s">
        <v>398</v>
      </c>
      <c r="B38786" s="1" t="str">
        <f>HYPERLINK("http://audi.si","audi.si")</f>
        <v>audi.si</v>
      </c>
      <c r="C38786" t="s">
        <v>497</v>
      </c>
      <c r="D38786" t="s">
        <v>871</v>
      </c>
      <c r="F38786">
        <v>4.3231977264363902E-8</v>
      </c>
      <c r="G38786">
        <v>1109649</v>
      </c>
      <c r="H38786">
        <v>14242934</v>
      </c>
      <c r="I38786">
        <v>1480541</v>
      </c>
      <c r="J38786">
        <v>4</v>
      </c>
    </row>
    <row r="38787" spans="1:10" x14ac:dyDescent="0.25">
      <c r="A38787" t="s">
        <v>398</v>
      </c>
      <c r="B38787" s="1" t="str">
        <f>HYPERLINK("http://avtobatic.si","avtobatic.si")</f>
        <v>avtobatic.si</v>
      </c>
      <c r="C38787" t="s">
        <v>497</v>
      </c>
      <c r="D38787" t="s">
        <v>871</v>
      </c>
      <c r="F38787">
        <v>7.6702223481874297E-9</v>
      </c>
      <c r="G38787">
        <v>10643307</v>
      </c>
      <c r="H38787">
        <v>13933178</v>
      </c>
      <c r="I38787">
        <v>4883019</v>
      </c>
      <c r="J38787">
        <v>3</v>
      </c>
    </row>
    <row r="38788" spans="1:10" x14ac:dyDescent="0.25">
      <c r="A38788" t="s">
        <v>398</v>
      </c>
      <c r="B38788" s="1" t="str">
        <f>HYPERLINK("http://cupraofficial.si","cupraofficial.si")</f>
        <v>cupraofficial.si</v>
      </c>
      <c r="C38788" t="s">
        <v>497</v>
      </c>
      <c r="D38788" t="s">
        <v>871</v>
      </c>
      <c r="F38788">
        <v>2.58986780597255E-8</v>
      </c>
      <c r="G38788">
        <v>1989860</v>
      </c>
      <c r="H38788">
        <v>12985802</v>
      </c>
      <c r="I38788">
        <v>12902163</v>
      </c>
      <c r="J38788">
        <v>4</v>
      </c>
    </row>
    <row r="38789" spans="1:10" x14ac:dyDescent="0.25">
      <c r="A38789" t="s">
        <v>398</v>
      </c>
      <c r="B38789" s="1" t="str">
        <f>HYPERLINK("http://dasof.si","dasof.si")</f>
        <v>dasof.si</v>
      </c>
      <c r="C38789" t="s">
        <v>497</v>
      </c>
      <c r="D38789" t="s">
        <v>871</v>
      </c>
      <c r="F38789">
        <v>6.1075262651427698E-9</v>
      </c>
      <c r="G38789">
        <v>16051321</v>
      </c>
      <c r="H38789">
        <v>10896777</v>
      </c>
      <c r="I38789">
        <v>35912373</v>
      </c>
      <c r="J38789">
        <v>3</v>
      </c>
    </row>
    <row r="38790" spans="1:10" x14ac:dyDescent="0.25">
      <c r="A38790" t="s">
        <v>398</v>
      </c>
      <c r="B38790" s="1" t="str">
        <f>HYPERLINK("http://mantruckandbus.si","mantruckandbus.si")</f>
        <v>mantruckandbus.si</v>
      </c>
      <c r="C38790" t="s">
        <v>497</v>
      </c>
      <c r="D38790" t="s">
        <v>871</v>
      </c>
      <c r="F38790">
        <v>4.49625211240686E-9</v>
      </c>
      <c r="G38790">
        <v>59508284</v>
      </c>
      <c r="H38790">
        <v>10609045</v>
      </c>
      <c r="I38790">
        <v>44598636</v>
      </c>
      <c r="J38790">
        <v>3</v>
      </c>
    </row>
    <row r="38791" spans="1:10" x14ac:dyDescent="0.25">
      <c r="A38791" t="s">
        <v>398</v>
      </c>
      <c r="B38791" s="1" t="str">
        <f>HYPERLINK("http://porsche.si","porsche.si")</f>
        <v>porsche.si</v>
      </c>
      <c r="C38791" t="s">
        <v>497</v>
      </c>
      <c r="D38791" t="s">
        <v>871</v>
      </c>
      <c r="F38791">
        <v>2.4848882380320101E-8</v>
      </c>
      <c r="G38791">
        <v>2080922</v>
      </c>
      <c r="H38791">
        <v>12935162</v>
      </c>
      <c r="I38791">
        <v>13343171</v>
      </c>
      <c r="J38791">
        <v>4</v>
      </c>
    </row>
    <row r="38792" spans="1:10" x14ac:dyDescent="0.25">
      <c r="A38792" t="s">
        <v>398</v>
      </c>
      <c r="B38792" s="1" t="str">
        <f>HYPERLINK("http://porscheleasing.si","porscheleasing.si")</f>
        <v>porscheleasing.si</v>
      </c>
      <c r="C38792" t="s">
        <v>497</v>
      </c>
      <c r="D38792" t="s">
        <v>871</v>
      </c>
      <c r="F38792">
        <v>3.2044797698809499E-8</v>
      </c>
      <c r="G38792">
        <v>1613167</v>
      </c>
      <c r="H38792">
        <v>12262810</v>
      </c>
      <c r="I38792">
        <v>21688114</v>
      </c>
      <c r="J38792">
        <v>3</v>
      </c>
    </row>
    <row r="38793" spans="1:10" x14ac:dyDescent="0.25">
      <c r="A38793" t="s">
        <v>398</v>
      </c>
      <c r="B38793" s="1" t="str">
        <f>HYPERLINK("http://seat.si","seat.si")</f>
        <v>seat.si</v>
      </c>
      <c r="C38793" t="s">
        <v>497</v>
      </c>
      <c r="D38793" t="s">
        <v>871</v>
      </c>
      <c r="F38793">
        <v>2.8687897094660699E-8</v>
      </c>
      <c r="G38793">
        <v>1793923</v>
      </c>
      <c r="H38793">
        <v>13018587</v>
      </c>
      <c r="I38793">
        <v>12718829</v>
      </c>
      <c r="J38793">
        <v>4</v>
      </c>
    </row>
    <row r="38794" spans="1:10" x14ac:dyDescent="0.25">
      <c r="A38794" t="s">
        <v>398</v>
      </c>
      <c r="B38794" s="1" t="str">
        <f>HYPERLINK("http://volkswagen.si","volkswagen.si")</f>
        <v>volkswagen.si</v>
      </c>
      <c r="C38794" t="s">
        <v>497</v>
      </c>
      <c r="D38794" t="s">
        <v>871</v>
      </c>
      <c r="F38794">
        <v>1.2132721303260901E-7</v>
      </c>
      <c r="G38794">
        <v>325517</v>
      </c>
      <c r="H38794">
        <v>14429720</v>
      </c>
      <c r="I38794">
        <v>1075328</v>
      </c>
      <c r="J38794">
        <v>4</v>
      </c>
    </row>
    <row r="38795" spans="1:10" x14ac:dyDescent="0.25">
      <c r="A38795" t="s">
        <v>398</v>
      </c>
      <c r="B38795" s="1" t="str">
        <f>HYPERLINK("http://audi.sk","audi.sk")</f>
        <v>audi.sk</v>
      </c>
      <c r="C38795" t="s">
        <v>498</v>
      </c>
      <c r="D38795" t="s">
        <v>872</v>
      </c>
      <c r="F38795">
        <v>3.6878293052283703E-8</v>
      </c>
      <c r="G38795">
        <v>1418049</v>
      </c>
      <c r="H38795">
        <v>14074632</v>
      </c>
      <c r="I38795">
        <v>2935223</v>
      </c>
      <c r="J38795">
        <v>4</v>
      </c>
    </row>
    <row r="38796" spans="1:10" x14ac:dyDescent="0.25">
      <c r="A38796" t="s">
        <v>398</v>
      </c>
      <c r="B38796" s="1" t="str">
        <f>HYPERLINK("http://audibratislava.sk","audibratislava.sk")</f>
        <v>audibratislava.sk</v>
      </c>
      <c r="C38796" t="s">
        <v>498</v>
      </c>
      <c r="D38796" t="s">
        <v>872</v>
      </c>
      <c r="F38796">
        <v>6.7333917670874701E-9</v>
      </c>
      <c r="G38796">
        <v>13185575</v>
      </c>
      <c r="H38796">
        <v>12013444</v>
      </c>
      <c r="I38796">
        <v>27992919</v>
      </c>
      <c r="J38796">
        <v>4</v>
      </c>
    </row>
    <row r="38797" spans="1:10" x14ac:dyDescent="0.25">
      <c r="A38797" t="s">
        <v>398</v>
      </c>
      <c r="B38797" s="1" t="str">
        <f>HYPERLINK("http://boat.sk","boat.sk")</f>
        <v>boat.sk</v>
      </c>
      <c r="C38797" t="s">
        <v>498</v>
      </c>
      <c r="D38797" t="s">
        <v>872</v>
      </c>
      <c r="F38797">
        <v>8.0342990623219202E-9</v>
      </c>
      <c r="G38797">
        <v>9858564</v>
      </c>
      <c r="H38797">
        <v>12205432</v>
      </c>
      <c r="I38797">
        <v>23180711</v>
      </c>
      <c r="J38797">
        <v>4</v>
      </c>
    </row>
    <row r="38798" spans="1:10" x14ac:dyDescent="0.25">
      <c r="A38798" t="s">
        <v>398</v>
      </c>
      <c r="B38798" s="1" t="str">
        <f>HYPERLINK("http://cupraofficial.sk","cupraofficial.sk")</f>
        <v>cupraofficial.sk</v>
      </c>
      <c r="C38798" t="s">
        <v>498</v>
      </c>
      <c r="D38798" t="s">
        <v>872</v>
      </c>
      <c r="F38798">
        <v>1.7051213301263298E-8</v>
      </c>
      <c r="G38798">
        <v>3271575</v>
      </c>
      <c r="H38798">
        <v>12110293</v>
      </c>
      <c r="I38798">
        <v>25716858</v>
      </c>
      <c r="J38798">
        <v>4</v>
      </c>
    </row>
    <row r="38799" spans="1:10" x14ac:dyDescent="0.25">
      <c r="A38799" t="s">
        <v>398</v>
      </c>
      <c r="B38799" s="1" t="str">
        <f>HYPERLINK("http://ducati.sk","ducati.sk")</f>
        <v>ducati.sk</v>
      </c>
      <c r="C38799" t="s">
        <v>498</v>
      </c>
      <c r="D38799" t="s">
        <v>872</v>
      </c>
      <c r="F38799">
        <v>7.5501331988361296E-9</v>
      </c>
      <c r="G38799">
        <v>10904897</v>
      </c>
      <c r="H38799">
        <v>11029776</v>
      </c>
      <c r="I38799">
        <v>33107083</v>
      </c>
      <c r="J38799">
        <v>3</v>
      </c>
    </row>
    <row r="38800" spans="1:10" x14ac:dyDescent="0.25">
      <c r="A38800" t="s">
        <v>398</v>
      </c>
      <c r="B38800" s="1" t="str">
        <f>HYPERLINK("http://gabriel.sk","gabriel.sk")</f>
        <v>gabriel.sk</v>
      </c>
      <c r="C38800" t="s">
        <v>498</v>
      </c>
      <c r="D38800" t="s">
        <v>872</v>
      </c>
      <c r="F38800">
        <v>1.1638552576384001E-8</v>
      </c>
      <c r="G38800">
        <v>5407152</v>
      </c>
      <c r="H38800">
        <v>12280509</v>
      </c>
      <c r="I38800">
        <v>21294746</v>
      </c>
      <c r="J38800">
        <v>3</v>
      </c>
    </row>
    <row r="38801" spans="1:10" x14ac:dyDescent="0.25">
      <c r="A38801" t="s">
        <v>398</v>
      </c>
      <c r="B38801" s="1" t="str">
        <f>HYPERLINK("http://karireal.sk","karireal.sk")</f>
        <v>karireal.sk</v>
      </c>
      <c r="C38801" t="s">
        <v>498</v>
      </c>
      <c r="D38801" t="s">
        <v>872</v>
      </c>
      <c r="F38801">
        <v>1.46510760746454E-8</v>
      </c>
      <c r="G38801">
        <v>3957955</v>
      </c>
      <c r="H38801">
        <v>12178018</v>
      </c>
      <c r="I38801">
        <v>23859552</v>
      </c>
      <c r="J38801">
        <v>4</v>
      </c>
    </row>
    <row r="38802" spans="1:10" x14ac:dyDescent="0.25">
      <c r="A38802" t="s">
        <v>398</v>
      </c>
      <c r="B38802" s="1" t="str">
        <f>HYPERLINK("http://moris.sk","moris.sk")</f>
        <v>moris.sk</v>
      </c>
      <c r="C38802" t="s">
        <v>498</v>
      </c>
      <c r="D38802" t="s">
        <v>872</v>
      </c>
      <c r="F38802">
        <v>1.30349363783281E-8</v>
      </c>
      <c r="G38802">
        <v>4614482</v>
      </c>
      <c r="H38802">
        <v>10755632</v>
      </c>
      <c r="I38802">
        <v>39799237</v>
      </c>
      <c r="J38802">
        <v>4</v>
      </c>
    </row>
    <row r="38803" spans="1:10" x14ac:dyDescent="0.25">
      <c r="A38803" t="s">
        <v>398</v>
      </c>
      <c r="B38803" s="1" t="str">
        <f>HYPERLINK("http://porsche.sk","porsche.sk")</f>
        <v>porsche.sk</v>
      </c>
      <c r="C38803" t="s">
        <v>498</v>
      </c>
      <c r="D38803" t="s">
        <v>872</v>
      </c>
      <c r="F38803">
        <v>3.0096323041008002E-8</v>
      </c>
      <c r="G38803">
        <v>1709753</v>
      </c>
      <c r="H38803">
        <v>12699866</v>
      </c>
      <c r="I38803">
        <v>15355437</v>
      </c>
      <c r="J38803">
        <v>4</v>
      </c>
    </row>
    <row r="38804" spans="1:10" x14ac:dyDescent="0.25">
      <c r="A38804" t="s">
        <v>398</v>
      </c>
      <c r="B38804" s="1" t="str">
        <f>HYPERLINK("http://porschedolnozemska.sk","porschedolnozemska.sk")</f>
        <v>porschedolnozemska.sk</v>
      </c>
      <c r="C38804" t="s">
        <v>498</v>
      </c>
      <c r="D38804" t="s">
        <v>872</v>
      </c>
      <c r="F38804">
        <v>7.6961071955317301E-9</v>
      </c>
      <c r="G38804">
        <v>10591613</v>
      </c>
      <c r="H38804">
        <v>12091965</v>
      </c>
      <c r="I38804">
        <v>26191627</v>
      </c>
      <c r="J38804">
        <v>4</v>
      </c>
    </row>
    <row r="38805" spans="1:10" x14ac:dyDescent="0.25">
      <c r="A38805" t="s">
        <v>398</v>
      </c>
      <c r="B38805" s="1" t="str">
        <f>HYPERLINK("http://porscheinterauto.sk","porscheinterauto.sk")</f>
        <v>porscheinterauto.sk</v>
      </c>
      <c r="C38805" t="s">
        <v>498</v>
      </c>
      <c r="D38805" t="s">
        <v>872</v>
      </c>
      <c r="F38805">
        <v>2.2948014002412501E-8</v>
      </c>
      <c r="G38805">
        <v>2277663</v>
      </c>
      <c r="H38805">
        <v>12291961</v>
      </c>
      <c r="I38805">
        <v>21060350</v>
      </c>
      <c r="J38805">
        <v>3</v>
      </c>
    </row>
    <row r="38806" spans="1:10" x14ac:dyDescent="0.25">
      <c r="A38806" t="s">
        <v>398</v>
      </c>
      <c r="B38806" s="1" t="str">
        <f>HYPERLINK("http://qalt.sk","qalt.sk")</f>
        <v>qalt.sk</v>
      </c>
      <c r="C38806" t="s">
        <v>498</v>
      </c>
      <c r="D38806" t="s">
        <v>872</v>
      </c>
      <c r="F38806">
        <v>6.8267009883441603E-9</v>
      </c>
      <c r="G38806">
        <v>12872684</v>
      </c>
      <c r="H38806">
        <v>12136442</v>
      </c>
      <c r="I38806">
        <v>24967750</v>
      </c>
      <c r="J38806">
        <v>4</v>
      </c>
    </row>
    <row r="38807" spans="1:10" x14ac:dyDescent="0.25">
      <c r="A38807" t="s">
        <v>398</v>
      </c>
      <c r="B38807" s="1" t="str">
        <f>HYPERLINK("http://seat.sk","seat.sk")</f>
        <v>seat.sk</v>
      </c>
      <c r="C38807" t="s">
        <v>498</v>
      </c>
      <c r="D38807" t="s">
        <v>872</v>
      </c>
      <c r="F38807">
        <v>3.4688737862878703E-8</v>
      </c>
      <c r="G38807">
        <v>1496102</v>
      </c>
      <c r="H38807">
        <v>12580773</v>
      </c>
      <c r="I38807">
        <v>16499367</v>
      </c>
      <c r="J38807">
        <v>4</v>
      </c>
    </row>
    <row r="38808" spans="1:10" x14ac:dyDescent="0.25">
      <c r="A38808" t="s">
        <v>398</v>
      </c>
      <c r="B38808" s="1" t="str">
        <f>HYPERLINK("http://seat-panonska.sk","seat-panonska.sk")</f>
        <v>seat-panonska.sk</v>
      </c>
      <c r="C38808" t="s">
        <v>498</v>
      </c>
      <c r="D38808" t="s">
        <v>872</v>
      </c>
      <c r="F38808">
        <v>4.4538467279066201E-9</v>
      </c>
      <c r="G38808">
        <v>69995864</v>
      </c>
      <c r="H38808">
        <v>6158311.5</v>
      </c>
      <c r="I38808">
        <v>77402550</v>
      </c>
      <c r="J38808">
        <v>4</v>
      </c>
    </row>
    <row r="38809" spans="1:10" x14ac:dyDescent="0.25">
      <c r="A38809" t="s">
        <v>398</v>
      </c>
      <c r="B38809" s="1" t="str">
        <f>HYPERLINK("http://skoda-auto.sk","skoda-auto.sk")</f>
        <v>skoda-auto.sk</v>
      </c>
      <c r="C38809" t="s">
        <v>498</v>
      </c>
      <c r="D38809" t="s">
        <v>872</v>
      </c>
      <c r="E38809">
        <v>755201</v>
      </c>
      <c r="F38809">
        <v>9.0251959038964101E-8</v>
      </c>
      <c r="G38809">
        <v>452066</v>
      </c>
      <c r="H38809">
        <v>14383644</v>
      </c>
      <c r="I38809">
        <v>1185200</v>
      </c>
      <c r="J38809">
        <v>4</v>
      </c>
    </row>
    <row r="38810" spans="1:10" x14ac:dyDescent="0.25">
      <c r="A38810" t="s">
        <v>398</v>
      </c>
      <c r="B38810" s="1" t="str">
        <f>HYPERLINK("http://stkboatplus.sk","stkboatplus.sk")</f>
        <v>stkboatplus.sk</v>
      </c>
      <c r="C38810" t="s">
        <v>498</v>
      </c>
      <c r="D38810" t="s">
        <v>872</v>
      </c>
      <c r="F38810">
        <v>5.0965854093602503E-9</v>
      </c>
      <c r="G38810">
        <v>27149722</v>
      </c>
      <c r="H38810">
        <v>12215789</v>
      </c>
      <c r="I38810">
        <v>22885973</v>
      </c>
      <c r="J38810">
        <v>6</v>
      </c>
    </row>
    <row r="38811" spans="1:10" x14ac:dyDescent="0.25">
      <c r="A38811" t="s">
        <v>398</v>
      </c>
      <c r="B38811" s="1" t="str">
        <f>HYPERLINK("http://todos.sk","todos.sk")</f>
        <v>todos.sk</v>
      </c>
      <c r="C38811" t="s">
        <v>498</v>
      </c>
      <c r="D38811" t="s">
        <v>872</v>
      </c>
      <c r="F38811">
        <v>2.1747155974136401E-8</v>
      </c>
      <c r="G38811">
        <v>2417684</v>
      </c>
      <c r="H38811">
        <v>12578884</v>
      </c>
      <c r="I38811">
        <v>16524627</v>
      </c>
      <c r="J38811">
        <v>4</v>
      </c>
    </row>
    <row r="38812" spans="1:10" x14ac:dyDescent="0.25">
      <c r="A38812" t="s">
        <v>398</v>
      </c>
      <c r="B38812" s="1" t="str">
        <f>HYPERLINK("http://volkswagen.sk","volkswagen.sk")</f>
        <v>volkswagen.sk</v>
      </c>
      <c r="C38812" t="s">
        <v>498</v>
      </c>
      <c r="D38812" t="s">
        <v>872</v>
      </c>
      <c r="F38812">
        <v>6.2808170064866495E-8</v>
      </c>
      <c r="G38812">
        <v>698214</v>
      </c>
      <c r="H38812">
        <v>14445295</v>
      </c>
      <c r="I38812">
        <v>1057675</v>
      </c>
      <c r="J38812">
        <v>3</v>
      </c>
    </row>
    <row r="38813" spans="1:10" x14ac:dyDescent="0.25">
      <c r="A38813" t="s">
        <v>398</v>
      </c>
      <c r="B38813" s="1" t="str">
        <f>HYPERLINK("http://vwfs.sk","vwfs.sk")</f>
        <v>vwfs.sk</v>
      </c>
      <c r="C38813" t="s">
        <v>498</v>
      </c>
      <c r="D38813" t="s">
        <v>872</v>
      </c>
      <c r="F38813">
        <v>6.0042304685602503E-8</v>
      </c>
      <c r="G38813">
        <v>735174</v>
      </c>
      <c r="H38813">
        <v>12519030</v>
      </c>
      <c r="I38813">
        <v>17160640</v>
      </c>
      <c r="J38813">
        <v>4</v>
      </c>
    </row>
    <row r="38814" spans="1:10" x14ac:dyDescent="0.25">
      <c r="A38814" t="s">
        <v>398</v>
      </c>
      <c r="B38814" s="1" t="str">
        <f>HYPERLINK("http://audi.sl","audi.sl")</f>
        <v>audi.sl</v>
      </c>
      <c r="C38814" t="s">
        <v>666</v>
      </c>
      <c r="D38814" t="s">
        <v>985</v>
      </c>
      <c r="F38814">
        <v>8.9894750482784704E-9</v>
      </c>
      <c r="G38814">
        <v>8007045</v>
      </c>
      <c r="H38814">
        <v>12415967</v>
      </c>
      <c r="I38814">
        <v>18527908</v>
      </c>
      <c r="J38814">
        <v>4</v>
      </c>
    </row>
    <row r="38815" spans="1:10" x14ac:dyDescent="0.25">
      <c r="A38815" t="s">
        <v>398</v>
      </c>
      <c r="B38815" s="1" t="str">
        <f>HYPERLINK("http://audi.so","audi.so")</f>
        <v>audi.so</v>
      </c>
      <c r="C38815" t="s">
        <v>605</v>
      </c>
      <c r="D38815" t="s">
        <v>936</v>
      </c>
      <c r="F38815">
        <v>8.3191853709516696E-9</v>
      </c>
      <c r="G38815">
        <v>9213413</v>
      </c>
      <c r="H38815">
        <v>12415965</v>
      </c>
      <c r="I38815">
        <v>18527940</v>
      </c>
      <c r="J38815">
        <v>4</v>
      </c>
    </row>
    <row r="38816" spans="1:10" x14ac:dyDescent="0.25">
      <c r="A38816" t="s">
        <v>398</v>
      </c>
      <c r="B38816" s="1" t="str">
        <f>HYPERLINK("http://audi.sr","audi.sr")</f>
        <v>audi.sr</v>
      </c>
      <c r="C38816" t="s">
        <v>668</v>
      </c>
      <c r="D38816" t="s">
        <v>987</v>
      </c>
      <c r="F38816">
        <v>5.1192493252365702E-9</v>
      </c>
      <c r="G38816">
        <v>26672277</v>
      </c>
      <c r="H38816">
        <v>9870107</v>
      </c>
      <c r="I38816">
        <v>61982733</v>
      </c>
      <c r="J38816">
        <v>4</v>
      </c>
    </row>
    <row r="38817" spans="1:10" x14ac:dyDescent="0.25">
      <c r="A38817" t="s">
        <v>398</v>
      </c>
      <c r="B38817" s="1" t="str">
        <f>HYPERLINK("http://audi.st","audi.st")</f>
        <v>audi.st</v>
      </c>
      <c r="C38817" t="s">
        <v>669</v>
      </c>
      <c r="D38817" t="s">
        <v>988</v>
      </c>
      <c r="F38817">
        <v>7.8942339039005102E-9</v>
      </c>
      <c r="G38817">
        <v>10123278</v>
      </c>
      <c r="H38817">
        <v>12415962</v>
      </c>
      <c r="I38817">
        <v>18527988</v>
      </c>
      <c r="J38817">
        <v>4</v>
      </c>
    </row>
    <row r="38818" spans="1:10" x14ac:dyDescent="0.25">
      <c r="A38818" t="s">
        <v>398</v>
      </c>
      <c r="B38818" s="1" t="str">
        <f>HYPERLINK("http://audi.stream","audi.stream")</f>
        <v>audi.stream</v>
      </c>
      <c r="C38818" t="s">
        <v>711</v>
      </c>
      <c r="F38818">
        <v>3.1767214460079099E-8</v>
      </c>
      <c r="G38818">
        <v>1625496</v>
      </c>
      <c r="H38818">
        <v>13767659</v>
      </c>
      <c r="I38818">
        <v>6920126</v>
      </c>
      <c r="J38818">
        <v>4</v>
      </c>
    </row>
    <row r="38819" spans="1:10" x14ac:dyDescent="0.25">
      <c r="A38819" t="s">
        <v>398</v>
      </c>
      <c r="B38819" s="1" t="str">
        <f>HYPERLINK("http://audi.tc","audi.tc")</f>
        <v>audi.tc</v>
      </c>
      <c r="C38819" t="s">
        <v>552</v>
      </c>
      <c r="D38819" t="s">
        <v>908</v>
      </c>
      <c r="F38819">
        <v>7.7946971479638799E-9</v>
      </c>
      <c r="G38819">
        <v>10334423</v>
      </c>
      <c r="H38819">
        <v>12415962</v>
      </c>
      <c r="I38819">
        <v>18527989</v>
      </c>
      <c r="J38819">
        <v>4</v>
      </c>
    </row>
    <row r="38820" spans="1:10" x14ac:dyDescent="0.25">
      <c r="A38820" t="s">
        <v>398</v>
      </c>
      <c r="B38820" s="1" t="str">
        <f>HYPERLINK("http://audi.tg","audi.tg")</f>
        <v>audi.tg</v>
      </c>
      <c r="C38820" t="s">
        <v>672</v>
      </c>
      <c r="D38820" t="s">
        <v>990</v>
      </c>
      <c r="F38820">
        <v>5.5140118370649303E-9</v>
      </c>
      <c r="G38820">
        <v>20750150</v>
      </c>
      <c r="H38820">
        <v>10594763</v>
      </c>
      <c r="I38820">
        <v>45259781</v>
      </c>
      <c r="J38820">
        <v>4</v>
      </c>
    </row>
    <row r="38821" spans="1:10" x14ac:dyDescent="0.25">
      <c r="A38821" t="s">
        <v>398</v>
      </c>
      <c r="B38821" s="1" t="str">
        <f>HYPERLINK("http://audi.co.th","audi.co.th")</f>
        <v>audi.co.th</v>
      </c>
      <c r="C38821" t="s">
        <v>500</v>
      </c>
      <c r="D38821" t="s">
        <v>874</v>
      </c>
      <c r="F38821">
        <v>1.1668268898297899E-8</v>
      </c>
      <c r="G38821">
        <v>5386693</v>
      </c>
      <c r="H38821">
        <v>14074321</v>
      </c>
      <c r="I38821">
        <v>2947531</v>
      </c>
      <c r="J38821">
        <v>4</v>
      </c>
    </row>
    <row r="38822" spans="1:10" x14ac:dyDescent="0.25">
      <c r="A38822" t="s">
        <v>398</v>
      </c>
      <c r="B38822" s="1" t="str">
        <f>HYPERLINK("http://scania.co.th","scania.co.th")</f>
        <v>scania.co.th</v>
      </c>
      <c r="C38822" t="s">
        <v>500</v>
      </c>
      <c r="D38822" t="s">
        <v>874</v>
      </c>
      <c r="F38822">
        <v>5.8693558184936703E-9</v>
      </c>
      <c r="G38822">
        <v>17572432</v>
      </c>
      <c r="H38822">
        <v>14071796</v>
      </c>
      <c r="I38822">
        <v>3334665</v>
      </c>
      <c r="J38822">
        <v>3</v>
      </c>
    </row>
    <row r="38823" spans="1:10" x14ac:dyDescent="0.25">
      <c r="A38823" t="s">
        <v>398</v>
      </c>
      <c r="B38823" s="1" t="str">
        <f>HYPERLINK("http://audi.tj","audi.tj")</f>
        <v>audi.tj</v>
      </c>
      <c r="C38823" t="s">
        <v>673</v>
      </c>
      <c r="D38823" t="s">
        <v>991</v>
      </c>
      <c r="F38823">
        <v>1.0952061456835999E-8</v>
      </c>
      <c r="G38823">
        <v>5901845</v>
      </c>
      <c r="H38823">
        <v>12435798</v>
      </c>
      <c r="I38823">
        <v>18204645</v>
      </c>
      <c r="J38823">
        <v>4</v>
      </c>
    </row>
    <row r="38824" spans="1:10" x14ac:dyDescent="0.25">
      <c r="A38824" t="s">
        <v>398</v>
      </c>
      <c r="B38824" s="1" t="str">
        <f>HYPERLINK("http://audi.tk","audi.tk")</f>
        <v>audi.tk</v>
      </c>
      <c r="C38824" t="s">
        <v>674</v>
      </c>
      <c r="D38824" t="s">
        <v>992</v>
      </c>
      <c r="F38824">
        <v>5.42789299411904E-9</v>
      </c>
      <c r="G38824">
        <v>21767321</v>
      </c>
      <c r="H38824">
        <v>10594764</v>
      </c>
      <c r="I38824">
        <v>45259694</v>
      </c>
      <c r="J38824">
        <v>4</v>
      </c>
    </row>
    <row r="38825" spans="1:10" x14ac:dyDescent="0.25">
      <c r="A38825" t="s">
        <v>398</v>
      </c>
      <c r="B38825" s="1" t="str">
        <f>HYPERLINK("http://audi.tl","audi.tl")</f>
        <v>audi.tl</v>
      </c>
      <c r="C38825" t="s">
        <v>599</v>
      </c>
      <c r="D38825" t="s">
        <v>933</v>
      </c>
      <c r="F38825">
        <v>8.1321021965347195E-9</v>
      </c>
      <c r="G38825">
        <v>9686501</v>
      </c>
      <c r="H38825">
        <v>12415962</v>
      </c>
      <c r="I38825">
        <v>18527990</v>
      </c>
      <c r="J38825">
        <v>4</v>
      </c>
    </row>
    <row r="38826" spans="1:10" x14ac:dyDescent="0.25">
      <c r="A38826" t="s">
        <v>398</v>
      </c>
      <c r="B38826" s="1" t="str">
        <f>HYPERLINK("http://audi.tm","audi.tm")</f>
        <v>audi.tm</v>
      </c>
      <c r="C38826" t="s">
        <v>675</v>
      </c>
      <c r="D38826" t="s">
        <v>993</v>
      </c>
      <c r="F38826">
        <v>8.1851714659650005E-9</v>
      </c>
      <c r="G38826">
        <v>9596519</v>
      </c>
      <c r="H38826">
        <v>12415964</v>
      </c>
      <c r="I38826">
        <v>18527959</v>
      </c>
      <c r="J38826">
        <v>4</v>
      </c>
    </row>
    <row r="38827" spans="1:10" x14ac:dyDescent="0.25">
      <c r="A38827" t="s">
        <v>398</v>
      </c>
      <c r="B38827" s="1" t="str">
        <f>HYPERLINK("http://audi.tn","audi.tn")</f>
        <v>audi.tn</v>
      </c>
      <c r="C38827" t="s">
        <v>501</v>
      </c>
      <c r="D38827" t="s">
        <v>875</v>
      </c>
      <c r="F38827">
        <v>4.5137416521011797E-9</v>
      </c>
      <c r="G38827">
        <v>57009117</v>
      </c>
      <c r="H38827">
        <v>10864006</v>
      </c>
      <c r="I38827">
        <v>36610587</v>
      </c>
      <c r="J38827">
        <v>4</v>
      </c>
    </row>
    <row r="38828" spans="1:10" x14ac:dyDescent="0.25">
      <c r="A38828" t="s">
        <v>398</v>
      </c>
      <c r="B38828" s="1" t="str">
        <f>HYPERLINK("http://cupraofficial.tn","cupraofficial.tn")</f>
        <v>cupraofficial.tn</v>
      </c>
      <c r="C38828" t="s">
        <v>501</v>
      </c>
      <c r="D38828" t="s">
        <v>875</v>
      </c>
      <c r="F38828">
        <v>7.1963656441130204E-9</v>
      </c>
      <c r="G38828">
        <v>11754246</v>
      </c>
      <c r="H38828">
        <v>10628738</v>
      </c>
      <c r="I38828">
        <v>44028376</v>
      </c>
      <c r="J38828">
        <v>4</v>
      </c>
    </row>
    <row r="38829" spans="1:10" x14ac:dyDescent="0.25">
      <c r="A38829" t="s">
        <v>398</v>
      </c>
      <c r="B38829" s="1" t="str">
        <f>HYPERLINK("http://seat.tn","seat.tn")</f>
        <v>seat.tn</v>
      </c>
      <c r="C38829" t="s">
        <v>501</v>
      </c>
      <c r="D38829" t="s">
        <v>875</v>
      </c>
      <c r="F38829">
        <v>2.3303033687812701E-8</v>
      </c>
      <c r="G38829">
        <v>2238596</v>
      </c>
      <c r="H38829">
        <v>12188894</v>
      </c>
      <c r="I38829">
        <v>23608272</v>
      </c>
      <c r="J38829">
        <v>4</v>
      </c>
    </row>
    <row r="38830" spans="1:10" x14ac:dyDescent="0.25">
      <c r="A38830" t="s">
        <v>398</v>
      </c>
      <c r="B38830" s="1" t="str">
        <f>HYPERLINK("http://audi.to","audi.to")</f>
        <v>audi.to</v>
      </c>
      <c r="C38830" t="s">
        <v>578</v>
      </c>
      <c r="D38830" t="s">
        <v>921</v>
      </c>
      <c r="F38830">
        <v>9.1476013922887499E-9</v>
      </c>
      <c r="G38830">
        <v>7781651</v>
      </c>
      <c r="H38830">
        <v>12415966</v>
      </c>
      <c r="I38830">
        <v>18527931</v>
      </c>
      <c r="J38830">
        <v>4</v>
      </c>
    </row>
    <row r="38831" spans="1:10" x14ac:dyDescent="0.25">
      <c r="A38831" t="s">
        <v>398</v>
      </c>
      <c r="B38831" s="1" t="str">
        <f>HYPERLINK("http://audi.com.tr","audi.com.tr")</f>
        <v>audi.com.tr</v>
      </c>
      <c r="C38831" t="s">
        <v>502</v>
      </c>
      <c r="D38831" t="s">
        <v>876</v>
      </c>
      <c r="E38831">
        <v>331278</v>
      </c>
      <c r="F38831">
        <v>3.1939477793490799E-8</v>
      </c>
      <c r="G38831">
        <v>1617715</v>
      </c>
      <c r="H38831">
        <v>14075571</v>
      </c>
      <c r="I38831">
        <v>2905850</v>
      </c>
      <c r="J38831">
        <v>4</v>
      </c>
    </row>
    <row r="38832" spans="1:10" x14ac:dyDescent="0.25">
      <c r="A38832" t="s">
        <v>398</v>
      </c>
      <c r="B38832" s="1" t="str">
        <f>HYPERLINK("http://man.com.tr","man.com.tr")</f>
        <v>man.com.tr</v>
      </c>
      <c r="C38832" t="s">
        <v>502</v>
      </c>
      <c r="D38832" t="s">
        <v>876</v>
      </c>
      <c r="F38832">
        <v>1.9479116839023998E-8</v>
      </c>
      <c r="G38832">
        <v>2747718</v>
      </c>
      <c r="H38832">
        <v>14414936</v>
      </c>
      <c r="I38832">
        <v>1120547</v>
      </c>
      <c r="J38832">
        <v>4</v>
      </c>
    </row>
    <row r="38833" spans="1:10" x14ac:dyDescent="0.25">
      <c r="A38833" t="s">
        <v>398</v>
      </c>
      <c r="B38833" s="1" t="str">
        <f>HYPERLINK("http://porsche.com.tr","porsche.com.tr")</f>
        <v>porsche.com.tr</v>
      </c>
      <c r="C38833" t="s">
        <v>502</v>
      </c>
      <c r="D38833" t="s">
        <v>876</v>
      </c>
      <c r="F38833">
        <v>9.5843709252138208E-9</v>
      </c>
      <c r="G38833">
        <v>7222897</v>
      </c>
      <c r="H38833">
        <v>14074110</v>
      </c>
      <c r="I38833">
        <v>2956297</v>
      </c>
      <c r="J38833">
        <v>4</v>
      </c>
    </row>
    <row r="38834" spans="1:10" x14ac:dyDescent="0.25">
      <c r="A38834" t="s">
        <v>398</v>
      </c>
      <c r="B38834" s="1" t="str">
        <f>HYPERLINK("http://seat.com.tr","seat.com.tr")</f>
        <v>seat.com.tr</v>
      </c>
      <c r="C38834" t="s">
        <v>502</v>
      </c>
      <c r="D38834" t="s">
        <v>876</v>
      </c>
      <c r="E38834">
        <v>572462</v>
      </c>
      <c r="F38834">
        <v>1.27145316355689E-8</v>
      </c>
      <c r="G38834">
        <v>4772340</v>
      </c>
      <c r="H38834">
        <v>14075557</v>
      </c>
      <c r="I38834">
        <v>2906178</v>
      </c>
      <c r="J38834">
        <v>4</v>
      </c>
    </row>
    <row r="38835" spans="1:10" x14ac:dyDescent="0.25">
      <c r="A38835" t="s">
        <v>398</v>
      </c>
      <c r="B38835" s="1" t="str">
        <f>HYPERLINK("http://skoda.com.tr","skoda.com.tr")</f>
        <v>skoda.com.tr</v>
      </c>
      <c r="C38835" t="s">
        <v>502</v>
      </c>
      <c r="D38835" t="s">
        <v>876</v>
      </c>
      <c r="E38835">
        <v>385755</v>
      </c>
      <c r="F38835">
        <v>2.0273014134725001E-8</v>
      </c>
      <c r="G38835">
        <v>2618114</v>
      </c>
      <c r="H38835">
        <v>14072538</v>
      </c>
      <c r="I38835">
        <v>3076545</v>
      </c>
      <c r="J38835">
        <v>4</v>
      </c>
    </row>
    <row r="38836" spans="1:10" x14ac:dyDescent="0.25">
      <c r="A38836" t="s">
        <v>398</v>
      </c>
      <c r="B38836" s="1" t="str">
        <f>HYPERLINK("http://vw.com.tr","vw.com.tr")</f>
        <v>vw.com.tr</v>
      </c>
      <c r="C38836" t="s">
        <v>502</v>
      </c>
      <c r="D38836" t="s">
        <v>876</v>
      </c>
      <c r="E38836">
        <v>163534</v>
      </c>
      <c r="F38836">
        <v>5.8832167461072198E-8</v>
      </c>
      <c r="G38836">
        <v>754145</v>
      </c>
      <c r="H38836">
        <v>14081356</v>
      </c>
      <c r="I38836">
        <v>2810955</v>
      </c>
      <c r="J38836">
        <v>3</v>
      </c>
    </row>
    <row r="38837" spans="1:10" x14ac:dyDescent="0.25">
      <c r="A38837" t="s">
        <v>398</v>
      </c>
      <c r="B38837" s="1" t="str">
        <f>HYPERLINK("http://audi.tt","audi.tt")</f>
        <v>audi.tt</v>
      </c>
      <c r="C38837" t="s">
        <v>503</v>
      </c>
      <c r="D38837" t="s">
        <v>877</v>
      </c>
      <c r="F38837">
        <v>7.1369678108203903E-9</v>
      </c>
      <c r="G38837">
        <v>11911926</v>
      </c>
      <c r="H38837">
        <v>10968379</v>
      </c>
      <c r="I38837">
        <v>34174960</v>
      </c>
      <c r="J38837">
        <v>5</v>
      </c>
    </row>
    <row r="38838" spans="1:10" x14ac:dyDescent="0.25">
      <c r="A38838" t="s">
        <v>398</v>
      </c>
      <c r="B38838" s="1" t="str">
        <f>HYPERLINK("http://audi.com.tt","audi.com.tt")</f>
        <v>audi.com.tt</v>
      </c>
      <c r="C38838" t="s">
        <v>503</v>
      </c>
      <c r="D38838" t="s">
        <v>877</v>
      </c>
      <c r="F38838">
        <v>4.7011826109585703E-9</v>
      </c>
      <c r="G38838">
        <v>41173144</v>
      </c>
      <c r="H38838">
        <v>10783987</v>
      </c>
      <c r="I38838">
        <v>38751861</v>
      </c>
      <c r="J38838">
        <v>6</v>
      </c>
    </row>
    <row r="38839" spans="1:10" x14ac:dyDescent="0.25">
      <c r="A38839" t="s">
        <v>398</v>
      </c>
      <c r="B38839" s="1" t="str">
        <f>HYPERLINK("http://audi.tv","audi.tv")</f>
        <v>audi.tv</v>
      </c>
      <c r="C38839" t="s">
        <v>535</v>
      </c>
      <c r="D38839" t="s">
        <v>897</v>
      </c>
      <c r="F38839">
        <v>1.1010790965314201E-8</v>
      </c>
      <c r="G38839">
        <v>5851845</v>
      </c>
      <c r="H38839">
        <v>13764547</v>
      </c>
      <c r="I38839">
        <v>7240222</v>
      </c>
      <c r="J38839">
        <v>4</v>
      </c>
    </row>
    <row r="38840" spans="1:10" x14ac:dyDescent="0.25">
      <c r="A38840" t="s">
        <v>398</v>
      </c>
      <c r="B38840" s="1" t="str">
        <f>HYPERLINK("http://audi.com.tw","audi.com.tw")</f>
        <v>audi.com.tw</v>
      </c>
      <c r="C38840" t="s">
        <v>504</v>
      </c>
      <c r="D38840" t="s">
        <v>878</v>
      </c>
      <c r="F38840">
        <v>1.9754659803082599E-8</v>
      </c>
      <c r="G38840">
        <v>2700312</v>
      </c>
      <c r="H38840">
        <v>14109077</v>
      </c>
      <c r="I38840">
        <v>2678248</v>
      </c>
      <c r="J38840">
        <v>4</v>
      </c>
    </row>
    <row r="38841" spans="1:10" x14ac:dyDescent="0.25">
      <c r="A38841" t="s">
        <v>398</v>
      </c>
      <c r="B38841" s="1" t="str">
        <f>HYPERLINK("http://volkswagen.com.tw","volkswagen.com.tw")</f>
        <v>volkswagen.com.tw</v>
      </c>
      <c r="C38841" t="s">
        <v>504</v>
      </c>
      <c r="D38841" t="s">
        <v>878</v>
      </c>
      <c r="F38841">
        <v>8.6112309348152994E-8</v>
      </c>
      <c r="G38841">
        <v>477783</v>
      </c>
      <c r="H38841">
        <v>16911202</v>
      </c>
      <c r="I38841">
        <v>130832</v>
      </c>
      <c r="J38841">
        <v>4</v>
      </c>
    </row>
    <row r="38842" spans="1:10" x14ac:dyDescent="0.25">
      <c r="A38842" t="s">
        <v>398</v>
      </c>
      <c r="B38842" s="1" t="str">
        <f>HYPERLINK("http://porsche.tw","porsche.tw")</f>
        <v>porsche.tw</v>
      </c>
      <c r="C38842" t="s">
        <v>504</v>
      </c>
      <c r="D38842" t="s">
        <v>878</v>
      </c>
      <c r="F38842">
        <v>4.6809248179381501E-9</v>
      </c>
      <c r="G38842">
        <v>42280831</v>
      </c>
      <c r="H38842">
        <v>10827607</v>
      </c>
      <c r="I38842">
        <v>37449855</v>
      </c>
      <c r="J38842">
        <v>4</v>
      </c>
    </row>
    <row r="38843" spans="1:10" x14ac:dyDescent="0.25">
      <c r="A38843" t="s">
        <v>398</v>
      </c>
      <c r="B38843" s="1" t="str">
        <f>HYPERLINK("http://porsche-new-taipei.tw","porsche-new-taipei.tw")</f>
        <v>porsche-new-taipei.tw</v>
      </c>
      <c r="C38843" t="s">
        <v>504</v>
      </c>
      <c r="D38843" t="s">
        <v>878</v>
      </c>
      <c r="J38843">
        <v>4</v>
      </c>
    </row>
    <row r="38844" spans="1:10" x14ac:dyDescent="0.25">
      <c r="A38844" t="s">
        <v>398</v>
      </c>
      <c r="B38844" s="1" t="str">
        <f>HYPERLINK("http://scania.tw","scania.tw")</f>
        <v>scania.tw</v>
      </c>
      <c r="C38844" t="s">
        <v>504</v>
      </c>
      <c r="D38844" t="s">
        <v>878</v>
      </c>
      <c r="F38844">
        <v>8.7997834007408493E-9</v>
      </c>
      <c r="G38844">
        <v>8310473</v>
      </c>
      <c r="H38844">
        <v>14071888</v>
      </c>
      <c r="I38844">
        <v>3246707</v>
      </c>
      <c r="J38844">
        <v>4</v>
      </c>
    </row>
    <row r="38845" spans="1:10" x14ac:dyDescent="0.25">
      <c r="A38845" t="s">
        <v>398</v>
      </c>
      <c r="B38845" s="1" t="str">
        <f>HYPERLINK("http://atlant-m.ua","atlant-m.ua")</f>
        <v>atlant-m.ua</v>
      </c>
      <c r="C38845" t="s">
        <v>505</v>
      </c>
      <c r="D38845" t="s">
        <v>879</v>
      </c>
      <c r="F38845">
        <v>9.3482177631167398E-9</v>
      </c>
      <c r="G38845">
        <v>7510241</v>
      </c>
      <c r="H38845">
        <v>12486340</v>
      </c>
      <c r="I38845">
        <v>17530032</v>
      </c>
      <c r="J38845">
        <v>3</v>
      </c>
    </row>
    <row r="38846" spans="1:10" x14ac:dyDescent="0.25">
      <c r="A38846" t="s">
        <v>398</v>
      </c>
      <c r="B38846" s="1" t="str">
        <f>HYPERLINK("http://audi.ua","audi.ua")</f>
        <v>audi.ua</v>
      </c>
      <c r="C38846" t="s">
        <v>505</v>
      </c>
      <c r="D38846" t="s">
        <v>879</v>
      </c>
      <c r="F38846">
        <v>1.6056684488904801E-8</v>
      </c>
      <c r="G38846">
        <v>3531651</v>
      </c>
      <c r="H38846">
        <v>14073117</v>
      </c>
      <c r="I38846">
        <v>3016098</v>
      </c>
      <c r="J38846">
        <v>5</v>
      </c>
    </row>
    <row r="38847" spans="1:10" x14ac:dyDescent="0.25">
      <c r="A38847" t="s">
        <v>398</v>
      </c>
      <c r="B38847" s="1" t="str">
        <f>HYPERLINK("http://audi-yug.com.ua","audi-yug.com.ua")</f>
        <v>audi-yug.com.ua</v>
      </c>
      <c r="C38847" t="s">
        <v>505</v>
      </c>
      <c r="D38847" t="s">
        <v>879</v>
      </c>
      <c r="F38847">
        <v>5.5097133854717404E-9</v>
      </c>
      <c r="G38847">
        <v>20795397</v>
      </c>
      <c r="H38847">
        <v>14236066</v>
      </c>
      <c r="I38847">
        <v>1655600</v>
      </c>
      <c r="J38847">
        <v>4</v>
      </c>
    </row>
    <row r="38848" spans="1:10" x14ac:dyDescent="0.25">
      <c r="A38848" t="s">
        <v>398</v>
      </c>
      <c r="B38848" s="1" t="str">
        <f>HYPERLINK("http://cupraofficial.com.ua","cupraofficial.com.ua")</f>
        <v>cupraofficial.com.ua</v>
      </c>
      <c r="C38848" t="s">
        <v>505</v>
      </c>
      <c r="D38848" t="s">
        <v>879</v>
      </c>
      <c r="F38848">
        <v>1.06038914958142E-8</v>
      </c>
      <c r="G38848">
        <v>6180296</v>
      </c>
      <c r="H38848">
        <v>12821121</v>
      </c>
      <c r="I38848">
        <v>14497447</v>
      </c>
      <c r="J38848">
        <v>4</v>
      </c>
    </row>
    <row r="38849" spans="1:10" x14ac:dyDescent="0.25">
      <c r="A38849" t="s">
        <v>398</v>
      </c>
      <c r="B38849" s="1" t="str">
        <f>HYPERLINK("http://eurocar.com.ua","eurocar.com.ua")</f>
        <v>eurocar.com.ua</v>
      </c>
      <c r="C38849" t="s">
        <v>505</v>
      </c>
      <c r="D38849" t="s">
        <v>879</v>
      </c>
      <c r="F38849">
        <v>1.09118681007977E-8</v>
      </c>
      <c r="G38849">
        <v>5933217</v>
      </c>
      <c r="H38849">
        <v>14074615</v>
      </c>
      <c r="I38849">
        <v>2936646</v>
      </c>
      <c r="J38849">
        <v>3</v>
      </c>
    </row>
    <row r="38850" spans="1:10" x14ac:dyDescent="0.25">
      <c r="A38850" t="s">
        <v>398</v>
      </c>
      <c r="B38850" s="1" t="str">
        <f>HYPERLINK("http://german-auto.com.ua","german-auto.com.ua")</f>
        <v>german-auto.com.ua</v>
      </c>
      <c r="C38850" t="s">
        <v>505</v>
      </c>
      <c r="D38850" t="s">
        <v>879</v>
      </c>
      <c r="F38850">
        <v>5.3967763086718101E-9</v>
      </c>
      <c r="G38850">
        <v>22155420</v>
      </c>
      <c r="H38850">
        <v>12159980</v>
      </c>
      <c r="I38850">
        <v>24364406</v>
      </c>
      <c r="J38850">
        <v>3</v>
      </c>
    </row>
    <row r="38851" spans="1:10" x14ac:dyDescent="0.25">
      <c r="A38851" t="s">
        <v>398</v>
      </c>
      <c r="B38851" s="1" t="str">
        <f>HYPERLINK("http://skoda-poltava.com.ua","skoda-poltava.com.ua")</f>
        <v>skoda-poltava.com.ua</v>
      </c>
      <c r="C38851" t="s">
        <v>505</v>
      </c>
      <c r="D38851" t="s">
        <v>879</v>
      </c>
      <c r="F38851">
        <v>5.17563822347246E-9</v>
      </c>
      <c r="G38851">
        <v>25626407</v>
      </c>
      <c r="H38851">
        <v>12180846</v>
      </c>
      <c r="I38851">
        <v>23798532</v>
      </c>
      <c r="J38851">
        <v>4</v>
      </c>
    </row>
    <row r="38852" spans="1:10" x14ac:dyDescent="0.25">
      <c r="A38852" t="s">
        <v>398</v>
      </c>
      <c r="B38852" s="1" t="str">
        <f>HYPERLINK("http://ua; service@german-auto.com.ua","ua; service@german-auto.com.ua")</f>
        <v>ua; service@german-auto.com.ua</v>
      </c>
      <c r="C38852" t="s">
        <v>505</v>
      </c>
      <c r="D38852" t="s">
        <v>879</v>
      </c>
      <c r="J38852">
        <v>5</v>
      </c>
    </row>
    <row r="38853" spans="1:10" x14ac:dyDescent="0.25">
      <c r="A38853" t="s">
        <v>398</v>
      </c>
      <c r="B38853" s="1" t="str">
        <f>HYPERLINK("http://porsche.dp.ua","porsche.dp.ua")</f>
        <v>porsche.dp.ua</v>
      </c>
      <c r="C38853" t="s">
        <v>505</v>
      </c>
      <c r="D38853" t="s">
        <v>879</v>
      </c>
      <c r="F38853">
        <v>4.44380395335525E-9</v>
      </c>
      <c r="G38853">
        <v>86455558</v>
      </c>
      <c r="H38853">
        <v>0</v>
      </c>
      <c r="I38853">
        <v>87925381</v>
      </c>
      <c r="J38853">
        <v>4</v>
      </c>
    </row>
    <row r="38854" spans="1:10" x14ac:dyDescent="0.25">
      <c r="A38854" t="s">
        <v>398</v>
      </c>
      <c r="B38854" s="1" t="str">
        <f>HYPERLINK("http://atlant-m.in.ua","atlant-m.in.ua")</f>
        <v>atlant-m.in.ua</v>
      </c>
      <c r="C38854" t="s">
        <v>505</v>
      </c>
      <c r="D38854" t="s">
        <v>879</v>
      </c>
      <c r="F38854">
        <v>5.3443523383488397E-9</v>
      </c>
      <c r="G38854">
        <v>22876457</v>
      </c>
      <c r="H38854">
        <v>12346281</v>
      </c>
      <c r="I38854">
        <v>19828932</v>
      </c>
      <c r="J38854">
        <v>3</v>
      </c>
    </row>
    <row r="38855" spans="1:10" x14ac:dyDescent="0.25">
      <c r="A38855" t="s">
        <v>398</v>
      </c>
      <c r="B38855" s="1" t="str">
        <f>HYPERLINK("http://audi.kh.ua","audi.kh.ua")</f>
        <v>audi.kh.ua</v>
      </c>
      <c r="C38855" t="s">
        <v>505</v>
      </c>
      <c r="D38855" t="s">
        <v>879</v>
      </c>
      <c r="F38855">
        <v>5.2364785606968797E-9</v>
      </c>
      <c r="G38855">
        <v>24470069</v>
      </c>
      <c r="H38855">
        <v>10509736</v>
      </c>
      <c r="I38855">
        <v>49725419</v>
      </c>
      <c r="J38855">
        <v>4</v>
      </c>
    </row>
    <row r="38856" spans="1:10" x14ac:dyDescent="0.25">
      <c r="A38856" t="s">
        <v>398</v>
      </c>
      <c r="B38856" s="1" t="str">
        <f>HYPERLINK("http://atlant-m.kiev.ua","atlant-m.kiev.ua")</f>
        <v>atlant-m.kiev.ua</v>
      </c>
      <c r="C38856" t="s">
        <v>505</v>
      </c>
      <c r="D38856" t="s">
        <v>879</v>
      </c>
      <c r="F38856">
        <v>5.4059021192271698E-9</v>
      </c>
      <c r="G38856">
        <v>22037752</v>
      </c>
      <c r="H38856">
        <v>12447182</v>
      </c>
      <c r="I38856">
        <v>18061652</v>
      </c>
      <c r="J38856">
        <v>4</v>
      </c>
    </row>
    <row r="38857" spans="1:10" x14ac:dyDescent="0.25">
      <c r="A38857" t="s">
        <v>398</v>
      </c>
      <c r="B38857" s="1" t="str">
        <f>HYPERLINK("http://audi.kiev.ua","audi.kiev.ua")</f>
        <v>audi.kiev.ua</v>
      </c>
      <c r="C38857" t="s">
        <v>505</v>
      </c>
      <c r="D38857" t="s">
        <v>879</v>
      </c>
      <c r="F38857">
        <v>2.4624515868241201E-8</v>
      </c>
      <c r="G38857">
        <v>2103263</v>
      </c>
      <c r="H38857">
        <v>14186243</v>
      </c>
      <c r="I38857">
        <v>1768658</v>
      </c>
      <c r="J38857">
        <v>6</v>
      </c>
    </row>
    <row r="38858" spans="1:10" x14ac:dyDescent="0.25">
      <c r="A38858" t="s">
        <v>398</v>
      </c>
      <c r="B38858" s="1" t="str">
        <f>HYPERLINK("http://seat.kiev.ua","seat.kiev.ua")</f>
        <v>seat.kiev.ua</v>
      </c>
      <c r="C38858" t="s">
        <v>505</v>
      </c>
      <c r="D38858" t="s">
        <v>879</v>
      </c>
      <c r="F38858">
        <v>5.4025006911569902E-9</v>
      </c>
      <c r="G38858">
        <v>22082776</v>
      </c>
      <c r="H38858">
        <v>12266813</v>
      </c>
      <c r="I38858">
        <v>21598754</v>
      </c>
      <c r="J38858">
        <v>5</v>
      </c>
    </row>
    <row r="38859" spans="1:10" x14ac:dyDescent="0.25">
      <c r="A38859" t="s">
        <v>398</v>
      </c>
      <c r="B38859" s="1" t="str">
        <f>HYPERLINK("http://audi.lviv.ua","audi.lviv.ua")</f>
        <v>audi.lviv.ua</v>
      </c>
      <c r="C38859" t="s">
        <v>505</v>
      </c>
      <c r="D38859" t="s">
        <v>879</v>
      </c>
      <c r="F38859">
        <v>5.3452570192650696E-9</v>
      </c>
      <c r="G38859">
        <v>22864256</v>
      </c>
      <c r="H38859">
        <v>12048768</v>
      </c>
      <c r="I38859">
        <v>27284994</v>
      </c>
      <c r="J38859">
        <v>4</v>
      </c>
    </row>
    <row r="38860" spans="1:10" x14ac:dyDescent="0.25">
      <c r="A38860" t="s">
        <v>398</v>
      </c>
      <c r="B38860" s="1" t="str">
        <f>HYPERLINK("http://seat.od.ua","seat.od.ua")</f>
        <v>seat.od.ua</v>
      </c>
      <c r="C38860" t="s">
        <v>505</v>
      </c>
      <c r="D38860" t="s">
        <v>879</v>
      </c>
      <c r="J38860">
        <v>5</v>
      </c>
    </row>
    <row r="38861" spans="1:10" x14ac:dyDescent="0.25">
      <c r="A38861" t="s">
        <v>398</v>
      </c>
      <c r="B38861" s="1" t="str">
        <f>HYPERLINK("http://audi.poltava.ua","audi.poltava.ua")</f>
        <v>audi.poltava.ua</v>
      </c>
      <c r="C38861" t="s">
        <v>505</v>
      </c>
      <c r="D38861" t="s">
        <v>879</v>
      </c>
      <c r="F38861">
        <v>4.9052633637919698E-9</v>
      </c>
      <c r="G38861">
        <v>32315685</v>
      </c>
      <c r="H38861">
        <v>12180057</v>
      </c>
      <c r="I38861">
        <v>23814984</v>
      </c>
      <c r="J38861">
        <v>6</v>
      </c>
    </row>
    <row r="38862" spans="1:10" x14ac:dyDescent="0.25">
      <c r="A38862" t="s">
        <v>398</v>
      </c>
      <c r="B38862" s="1" t="str">
        <f>HYPERLINK("http://skodaauto.poltava.ua","skodaauto.poltava.ua")</f>
        <v>skodaauto.poltava.ua</v>
      </c>
      <c r="C38862" t="s">
        <v>505</v>
      </c>
      <c r="D38862" t="s">
        <v>879</v>
      </c>
      <c r="J38862">
        <v>4</v>
      </c>
    </row>
    <row r="38863" spans="1:10" x14ac:dyDescent="0.25">
      <c r="A38863" t="s">
        <v>398</v>
      </c>
      <c r="B38863" s="1" t="str">
        <f>HYPERLINK("http://vw.poltava.ua","vw.poltava.ua")</f>
        <v>vw.poltava.ua</v>
      </c>
      <c r="C38863" t="s">
        <v>505</v>
      </c>
      <c r="D38863" t="s">
        <v>879</v>
      </c>
      <c r="F38863">
        <v>5.6783814775020204E-9</v>
      </c>
      <c r="G38863">
        <v>19144266</v>
      </c>
      <c r="H38863">
        <v>12156770</v>
      </c>
      <c r="I38863">
        <v>24449691</v>
      </c>
      <c r="J38863">
        <v>3</v>
      </c>
    </row>
    <row r="38864" spans="1:10" x14ac:dyDescent="0.25">
      <c r="A38864" t="s">
        <v>398</v>
      </c>
      <c r="B38864" s="1" t="str">
        <f>HYPERLINK("http://porsche.ua","porsche.ua")</f>
        <v>porsche.ua</v>
      </c>
      <c r="C38864" t="s">
        <v>505</v>
      </c>
      <c r="D38864" t="s">
        <v>879</v>
      </c>
      <c r="F38864">
        <v>3.2326314388082202E-8</v>
      </c>
      <c r="G38864">
        <v>1598420</v>
      </c>
      <c r="H38864">
        <v>14612180</v>
      </c>
      <c r="I38864">
        <v>675690</v>
      </c>
      <c r="J38864">
        <v>4</v>
      </c>
    </row>
    <row r="38865" spans="1:10" x14ac:dyDescent="0.25">
      <c r="A38865" t="s">
        <v>398</v>
      </c>
      <c r="B38865" s="1" t="str">
        <f>HYPERLINK("http://seat.ua","seat.ua")</f>
        <v>seat.ua</v>
      </c>
      <c r="C38865" t="s">
        <v>505</v>
      </c>
      <c r="D38865" t="s">
        <v>879</v>
      </c>
      <c r="F38865">
        <v>1.34076149497552E-8</v>
      </c>
      <c r="G38865">
        <v>4444541</v>
      </c>
      <c r="H38865">
        <v>14073185</v>
      </c>
      <c r="I38865">
        <v>3011169</v>
      </c>
      <c r="J38865">
        <v>4</v>
      </c>
    </row>
    <row r="38866" spans="1:10" x14ac:dyDescent="0.25">
      <c r="A38866" t="s">
        <v>398</v>
      </c>
      <c r="B38866" s="1" t="str">
        <f>HYPERLINK("http://skoda-auto.ua","skoda-auto.ua")</f>
        <v>skoda-auto.ua</v>
      </c>
      <c r="C38866" t="s">
        <v>505</v>
      </c>
      <c r="D38866" t="s">
        <v>879</v>
      </c>
      <c r="F38866">
        <v>2.7185236197483899E-8</v>
      </c>
      <c r="G38866">
        <v>1891321</v>
      </c>
      <c r="H38866">
        <v>13299283</v>
      </c>
      <c r="I38866">
        <v>10835265</v>
      </c>
      <c r="J38866">
        <v>4</v>
      </c>
    </row>
    <row r="38867" spans="1:10" x14ac:dyDescent="0.25">
      <c r="A38867" t="s">
        <v>398</v>
      </c>
      <c r="B38867" s="1" t="str">
        <f>HYPERLINK("http://german.vn.ua","german.vn.ua")</f>
        <v>german.vn.ua</v>
      </c>
      <c r="C38867" t="s">
        <v>505</v>
      </c>
      <c r="D38867" t="s">
        <v>879</v>
      </c>
      <c r="F38867">
        <v>5.00278699493315E-9</v>
      </c>
      <c r="G38867">
        <v>29343366</v>
      </c>
      <c r="H38867">
        <v>10021037</v>
      </c>
      <c r="I38867">
        <v>60675774</v>
      </c>
      <c r="J38867">
        <v>3</v>
      </c>
    </row>
    <row r="38868" spans="1:10" x14ac:dyDescent="0.25">
      <c r="A38868" t="s">
        <v>398</v>
      </c>
      <c r="B38868" s="1" t="str">
        <f>HYPERLINK("http://audi.co.ug","audi.co.ug")</f>
        <v>audi.co.ug</v>
      </c>
      <c r="C38868" t="s">
        <v>677</v>
      </c>
      <c r="D38868" t="s">
        <v>995</v>
      </c>
      <c r="F38868">
        <v>4.6355146099041297E-9</v>
      </c>
      <c r="G38868">
        <v>45061846</v>
      </c>
      <c r="H38868">
        <v>9554752</v>
      </c>
      <c r="I38868">
        <v>64926463</v>
      </c>
      <c r="J38868">
        <v>4</v>
      </c>
    </row>
    <row r="38869" spans="1:10" x14ac:dyDescent="0.25">
      <c r="A38869" t="s">
        <v>398</v>
      </c>
      <c r="B38869" s="1" t="str">
        <f>HYPERLINK("http://audi.co.uk","audi.co.uk")</f>
        <v>audi.co.uk</v>
      </c>
      <c r="C38869" t="s">
        <v>506</v>
      </c>
      <c r="D38869" t="s">
        <v>880</v>
      </c>
      <c r="E38869">
        <v>53320</v>
      </c>
      <c r="F38869">
        <v>2.7402236823896697E-7</v>
      </c>
      <c r="G38869">
        <v>135733</v>
      </c>
      <c r="H38869">
        <v>15130786</v>
      </c>
      <c r="I38869">
        <v>402313</v>
      </c>
      <c r="J38869">
        <v>4</v>
      </c>
    </row>
    <row r="38870" spans="1:10" x14ac:dyDescent="0.25">
      <c r="A38870" t="s">
        <v>398</v>
      </c>
      <c r="B38870" s="1" t="str">
        <f>HYPERLINK("http://beadles-skoda.co.uk","beadles-skoda.co.uk")</f>
        <v>beadles-skoda.co.uk</v>
      </c>
      <c r="C38870" t="s">
        <v>506</v>
      </c>
      <c r="D38870" t="s">
        <v>880</v>
      </c>
      <c r="J38870">
        <v>4</v>
      </c>
    </row>
    <row r="38871" spans="1:10" x14ac:dyDescent="0.25">
      <c r="A38871" t="s">
        <v>398</v>
      </c>
      <c r="B38871" s="1" t="str">
        <f>HYPERLINK("http://beadles-volkswagen.co.uk","beadles-volkswagen.co.uk")</f>
        <v>beadles-volkswagen.co.uk</v>
      </c>
      <c r="C38871" t="s">
        <v>506</v>
      </c>
      <c r="D38871" t="s">
        <v>880</v>
      </c>
      <c r="J38871">
        <v>3</v>
      </c>
    </row>
    <row r="38872" spans="1:10" x14ac:dyDescent="0.25">
      <c r="A38872" t="s">
        <v>398</v>
      </c>
      <c r="B38872" s="1" t="str">
        <f>HYPERLINK("http://bentley.co.uk","bentley.co.uk")</f>
        <v>bentley.co.uk</v>
      </c>
      <c r="C38872" t="s">
        <v>506</v>
      </c>
      <c r="D38872" t="s">
        <v>880</v>
      </c>
      <c r="F38872">
        <v>1.37672182722748E-8</v>
      </c>
      <c r="G38872">
        <v>4294370</v>
      </c>
      <c r="H38872">
        <v>13940028</v>
      </c>
      <c r="I38872">
        <v>4378970</v>
      </c>
      <c r="J38872">
        <v>4</v>
      </c>
    </row>
    <row r="38873" spans="1:10" x14ac:dyDescent="0.25">
      <c r="A38873" t="s">
        <v>398</v>
      </c>
      <c r="B38873" s="1" t="str">
        <f>HYPERLINK("http://caffyns.co.uk","caffyns.co.uk")</f>
        <v>caffyns.co.uk</v>
      </c>
      <c r="C38873" t="s">
        <v>506</v>
      </c>
      <c r="D38873" t="s">
        <v>880</v>
      </c>
      <c r="F38873">
        <v>7.8712904742885496E-9</v>
      </c>
      <c r="G38873">
        <v>10169128</v>
      </c>
      <c r="H38873">
        <v>12964650</v>
      </c>
      <c r="I38873">
        <v>13129862</v>
      </c>
      <c r="J38873">
        <v>3</v>
      </c>
    </row>
    <row r="38874" spans="1:10" x14ac:dyDescent="0.25">
      <c r="A38874" t="s">
        <v>398</v>
      </c>
      <c r="B38874" s="1" t="str">
        <f>HYPERLINK("http://caffynsplc.co.uk","caffynsplc.co.uk")</f>
        <v>caffynsplc.co.uk</v>
      </c>
      <c r="C38874" t="s">
        <v>506</v>
      </c>
      <c r="D38874" t="s">
        <v>880</v>
      </c>
      <c r="F38874">
        <v>2.5640072637977801E-8</v>
      </c>
      <c r="G38874">
        <v>2011031</v>
      </c>
      <c r="H38874">
        <v>13306346</v>
      </c>
      <c r="I38874">
        <v>10796867</v>
      </c>
      <c r="J38874">
        <v>6</v>
      </c>
    </row>
    <row r="38875" spans="1:10" x14ac:dyDescent="0.25">
      <c r="A38875" t="s">
        <v>398</v>
      </c>
      <c r="B38875" s="1" t="str">
        <f>HYPERLINK("http://carrsskoda.co.uk","carrsskoda.co.uk")</f>
        <v>carrsskoda.co.uk</v>
      </c>
      <c r="C38875" t="s">
        <v>506</v>
      </c>
      <c r="D38875" t="s">
        <v>880</v>
      </c>
      <c r="J38875">
        <v>4</v>
      </c>
    </row>
    <row r="38876" spans="1:10" x14ac:dyDescent="0.25">
      <c r="A38876" t="s">
        <v>398</v>
      </c>
      <c r="B38876" s="1" t="str">
        <f>HYPERLINK("http://citygate.co.uk","citygate.co.uk")</f>
        <v>citygate.co.uk</v>
      </c>
      <c r="C38876" t="s">
        <v>506</v>
      </c>
      <c r="D38876" t="s">
        <v>880</v>
      </c>
      <c r="F38876">
        <v>6.1048008604724698E-9</v>
      </c>
      <c r="G38876">
        <v>16066631</v>
      </c>
      <c r="H38876">
        <v>12377759</v>
      </c>
      <c r="I38876">
        <v>19264954</v>
      </c>
      <c r="J38876">
        <v>4</v>
      </c>
    </row>
    <row r="38877" spans="1:10" x14ac:dyDescent="0.25">
      <c r="A38877" t="s">
        <v>398</v>
      </c>
      <c r="B38877" s="1" t="str">
        <f>HYPERLINK("http://citygatevolkswagen.co.uk","citygatevolkswagen.co.uk")</f>
        <v>citygatevolkswagen.co.uk</v>
      </c>
      <c r="C38877" t="s">
        <v>506</v>
      </c>
      <c r="D38877" t="s">
        <v>880</v>
      </c>
      <c r="J38877">
        <v>7</v>
      </c>
    </row>
    <row r="38878" spans="1:10" x14ac:dyDescent="0.25">
      <c r="A38878" t="s">
        <v>398</v>
      </c>
      <c r="B38878" s="1" t="str">
        <f>HYPERLINK("http://creweaudi.co.uk","creweaudi.co.uk")</f>
        <v>creweaudi.co.uk</v>
      </c>
      <c r="C38878" t="s">
        <v>506</v>
      </c>
      <c r="D38878" t="s">
        <v>880</v>
      </c>
      <c r="F38878">
        <v>4.4828149063975804E-9</v>
      </c>
      <c r="G38878">
        <v>61794487</v>
      </c>
      <c r="H38878">
        <v>10905186</v>
      </c>
      <c r="I38878">
        <v>35723136</v>
      </c>
      <c r="J38878">
        <v>4</v>
      </c>
    </row>
    <row r="38879" spans="1:10" x14ac:dyDescent="0.25">
      <c r="A38879" t="s">
        <v>398</v>
      </c>
      <c r="B38879" s="1" t="str">
        <f>HYPERLINK("http://cupraofficial.co.uk","cupraofficial.co.uk")</f>
        <v>cupraofficial.co.uk</v>
      </c>
      <c r="C38879" t="s">
        <v>506</v>
      </c>
      <c r="D38879" t="s">
        <v>880</v>
      </c>
      <c r="E38879">
        <v>626346</v>
      </c>
      <c r="F38879">
        <v>4.6919740735852801E-8</v>
      </c>
      <c r="G38879">
        <v>995054</v>
      </c>
      <c r="H38879">
        <v>13932995</v>
      </c>
      <c r="I38879">
        <v>5927788</v>
      </c>
      <c r="J38879">
        <v>4</v>
      </c>
    </row>
    <row r="38880" spans="1:10" x14ac:dyDescent="0.25">
      <c r="A38880" t="s">
        <v>398</v>
      </c>
      <c r="B38880" s="1" t="str">
        <f>HYPERLINK("http://driftbridge.co.uk","driftbridge.co.uk")</f>
        <v>driftbridge.co.uk</v>
      </c>
      <c r="C38880" t="s">
        <v>506</v>
      </c>
      <c r="D38880" t="s">
        <v>880</v>
      </c>
      <c r="F38880">
        <v>5.5086362759130802E-9</v>
      </c>
      <c r="G38880">
        <v>20806887</v>
      </c>
      <c r="H38880">
        <v>12237874</v>
      </c>
      <c r="I38880">
        <v>22314102</v>
      </c>
      <c r="J38880">
        <v>6</v>
      </c>
    </row>
    <row r="38881" spans="1:10" x14ac:dyDescent="0.25">
      <c r="A38881" t="s">
        <v>398</v>
      </c>
      <c r="B38881" s="1" t="str">
        <f>HYPERLINK("http://heathrowdaf.co.uk","heathrowdaf.co.uk")</f>
        <v>heathrowdaf.co.uk</v>
      </c>
      <c r="C38881" t="s">
        <v>506</v>
      </c>
      <c r="D38881" t="s">
        <v>880</v>
      </c>
      <c r="J38881">
        <v>10</v>
      </c>
    </row>
    <row r="38882" spans="1:10" x14ac:dyDescent="0.25">
      <c r="A38882" t="s">
        <v>398</v>
      </c>
      <c r="B38882" s="1" t="str">
        <f>HYPERLINK("http://hrvs.co.uk","hrvs.co.uk")</f>
        <v>hrvs.co.uk</v>
      </c>
      <c r="C38882" t="s">
        <v>506</v>
      </c>
      <c r="D38882" t="s">
        <v>880</v>
      </c>
      <c r="J38882">
        <v>3</v>
      </c>
    </row>
    <row r="38883" spans="1:10" x14ac:dyDescent="0.25">
      <c r="A38883" t="s">
        <v>398</v>
      </c>
      <c r="B38883" s="1" t="str">
        <f>HYPERLINK("http://imperialcommercials.co.uk","imperialcommercials.co.uk")</f>
        <v>imperialcommercials.co.uk</v>
      </c>
      <c r="C38883" t="s">
        <v>506</v>
      </c>
      <c r="D38883" t="s">
        <v>880</v>
      </c>
      <c r="F38883">
        <v>5.6948119802187601E-9</v>
      </c>
      <c r="G38883">
        <v>19005499</v>
      </c>
      <c r="H38883">
        <v>14072474</v>
      </c>
      <c r="I38883">
        <v>3087018</v>
      </c>
      <c r="J38883">
        <v>7</v>
      </c>
    </row>
    <row r="38884" spans="1:10" x14ac:dyDescent="0.25">
      <c r="A38884" t="s">
        <v>398</v>
      </c>
      <c r="B38884" s="1" t="str">
        <f>HYPERLINK("http://inchcape-volkswagen.co.uk","inchcape-volkswagen.co.uk")</f>
        <v>inchcape-volkswagen.co.uk</v>
      </c>
      <c r="C38884" t="s">
        <v>506</v>
      </c>
      <c r="D38884" t="s">
        <v>880</v>
      </c>
      <c r="F38884">
        <v>6.4371307010098704E-9</v>
      </c>
      <c r="G38884">
        <v>14350508</v>
      </c>
      <c r="H38884">
        <v>11066294</v>
      </c>
      <c r="I38884">
        <v>32619480</v>
      </c>
      <c r="J38884">
        <v>3</v>
      </c>
    </row>
    <row r="38885" spans="1:10" x14ac:dyDescent="0.25">
      <c r="A38885" t="s">
        <v>398</v>
      </c>
      <c r="B38885" s="1" t="str">
        <f>HYPERLINK("http://insurewithporsche.co.uk","insurewithporsche.co.uk")</f>
        <v>insurewithporsche.co.uk</v>
      </c>
      <c r="C38885" t="s">
        <v>506</v>
      </c>
      <c r="D38885" t="s">
        <v>880</v>
      </c>
      <c r="F38885">
        <v>6.7344662457365497E-9</v>
      </c>
      <c r="G38885">
        <v>13181843</v>
      </c>
      <c r="H38885">
        <v>12449722</v>
      </c>
      <c r="I38885">
        <v>18000058</v>
      </c>
      <c r="J38885">
        <v>4</v>
      </c>
    </row>
    <row r="38886" spans="1:10" x14ac:dyDescent="0.25">
      <c r="A38886" t="s">
        <v>398</v>
      </c>
      <c r="B38886" s="1" t="str">
        <f>HYPERLINK("http://jardinemotors.co.uk","jardinemotors.co.uk")</f>
        <v>jardinemotors.co.uk</v>
      </c>
      <c r="C38886" t="s">
        <v>506</v>
      </c>
      <c r="D38886" t="s">
        <v>880</v>
      </c>
      <c r="E38886">
        <v>224288</v>
      </c>
      <c r="F38886">
        <v>6.1421294686367803E-8</v>
      </c>
      <c r="G38886">
        <v>716592</v>
      </c>
      <c r="H38886">
        <v>14107614</v>
      </c>
      <c r="I38886">
        <v>2682625</v>
      </c>
      <c r="J38886">
        <v>4</v>
      </c>
    </row>
    <row r="38887" spans="1:10" x14ac:dyDescent="0.25">
      <c r="A38887" t="s">
        <v>398</v>
      </c>
      <c r="B38887" s="1" t="str">
        <f>HYPERLINK("http://john-clark.co.uk","john-clark.co.uk")</f>
        <v>john-clark.co.uk</v>
      </c>
      <c r="C38887" t="s">
        <v>506</v>
      </c>
      <c r="D38887" t="s">
        <v>880</v>
      </c>
      <c r="E38887">
        <v>915666</v>
      </c>
      <c r="F38887">
        <v>3.5723571112425401E-8</v>
      </c>
      <c r="G38887">
        <v>1458408</v>
      </c>
      <c r="H38887">
        <v>13278037</v>
      </c>
      <c r="I38887">
        <v>10921542</v>
      </c>
      <c r="J38887">
        <v>4</v>
      </c>
    </row>
    <row r="38888" spans="1:10" x14ac:dyDescent="0.25">
      <c r="A38888" t="s">
        <v>398</v>
      </c>
      <c r="B38888" s="1" t="str">
        <f>HYPERLINK("http://johnsonscars.co.uk","johnsonscars.co.uk")</f>
        <v>johnsonscars.co.uk</v>
      </c>
      <c r="C38888" t="s">
        <v>506</v>
      </c>
      <c r="D38888" t="s">
        <v>880</v>
      </c>
      <c r="F38888">
        <v>1.09461221962346E-8</v>
      </c>
      <c r="G38888">
        <v>5906352</v>
      </c>
      <c r="H38888">
        <v>14125861</v>
      </c>
      <c r="I38888">
        <v>2111288</v>
      </c>
      <c r="J38888">
        <v>4</v>
      </c>
    </row>
    <row r="38889" spans="1:10" x14ac:dyDescent="0.25">
      <c r="A38889" t="s">
        <v>398</v>
      </c>
      <c r="B38889" s="1" t="str">
        <f>HYPERLINK("http://man.co.uk","man.co.uk")</f>
        <v>man.co.uk</v>
      </c>
      <c r="C38889" t="s">
        <v>506</v>
      </c>
      <c r="D38889" t="s">
        <v>880</v>
      </c>
      <c r="F38889">
        <v>1.52503919882041E-8</v>
      </c>
      <c r="G38889">
        <v>3760685</v>
      </c>
      <c r="H38889">
        <v>12272670</v>
      </c>
      <c r="I38889">
        <v>21464530</v>
      </c>
      <c r="J38889">
        <v>4</v>
      </c>
    </row>
    <row r="38890" spans="1:10" x14ac:dyDescent="0.25">
      <c r="A38890" t="s">
        <v>398</v>
      </c>
      <c r="B38890" s="1" t="str">
        <f>HYPERLINK("http://man-finance.co.uk","man-finance.co.uk")</f>
        <v>man-finance.co.uk</v>
      </c>
      <c r="C38890" t="s">
        <v>506</v>
      </c>
      <c r="D38890" t="s">
        <v>880</v>
      </c>
      <c r="F38890">
        <v>4.4570230462900798E-9</v>
      </c>
      <c r="G38890">
        <v>68737007</v>
      </c>
      <c r="H38890">
        <v>9652101</v>
      </c>
      <c r="I38890">
        <v>63877469</v>
      </c>
      <c r="J38890">
        <v>6</v>
      </c>
    </row>
    <row r="38891" spans="1:10" x14ac:dyDescent="0.25">
      <c r="A38891" t="s">
        <v>398</v>
      </c>
      <c r="B38891" s="1" t="str">
        <f>HYPERLINK("http://man-mn.co.uk","man-mn.co.uk")</f>
        <v>man-mn.co.uk</v>
      </c>
      <c r="C38891" t="s">
        <v>506</v>
      </c>
      <c r="D38891" t="s">
        <v>880</v>
      </c>
      <c r="F38891">
        <v>5.8435881131389198E-9</v>
      </c>
      <c r="G38891">
        <v>17755547</v>
      </c>
      <c r="H38891">
        <v>14485746</v>
      </c>
      <c r="I38891">
        <v>984745</v>
      </c>
      <c r="J38891">
        <v>3</v>
      </c>
    </row>
    <row r="38892" spans="1:10" x14ac:dyDescent="0.25">
      <c r="A38892" t="s">
        <v>398</v>
      </c>
      <c r="B38892" s="1" t="str">
        <f>HYPERLINK("http://mandieselturbo.co.uk","mandieselturbo.co.uk")</f>
        <v>mandieselturbo.co.uk</v>
      </c>
      <c r="C38892" t="s">
        <v>506</v>
      </c>
      <c r="D38892" t="s">
        <v>880</v>
      </c>
      <c r="F38892">
        <v>4.6838708697278698E-9</v>
      </c>
      <c r="G38892">
        <v>42116214</v>
      </c>
      <c r="H38892">
        <v>12197943</v>
      </c>
      <c r="I38892">
        <v>23374696</v>
      </c>
      <c r="J38892">
        <v>3</v>
      </c>
    </row>
    <row r="38893" spans="1:10" x14ac:dyDescent="0.25">
      <c r="A38893" t="s">
        <v>398</v>
      </c>
      <c r="B38893" s="1" t="str">
        <f>HYPERLINK("http://mantruckvanandbus.co.uk","mantruckvanandbus.co.uk")</f>
        <v>mantruckvanandbus.co.uk</v>
      </c>
      <c r="C38893" t="s">
        <v>506</v>
      </c>
      <c r="D38893" t="s">
        <v>880</v>
      </c>
      <c r="F38893">
        <v>1.53147759602139E-8</v>
      </c>
      <c r="G38893">
        <v>3741400</v>
      </c>
      <c r="H38893">
        <v>12253175</v>
      </c>
      <c r="I38893">
        <v>21937304</v>
      </c>
      <c r="J38893">
        <v>4</v>
      </c>
    </row>
    <row r="38894" spans="1:10" x14ac:dyDescent="0.25">
      <c r="A38894" t="s">
        <v>398</v>
      </c>
      <c r="B38894" s="1" t="str">
        <f>HYPERLINK("http://motuscommercials.co.uk","motuscommercials.co.uk")</f>
        <v>motuscommercials.co.uk</v>
      </c>
      <c r="C38894" t="s">
        <v>506</v>
      </c>
      <c r="D38894" t="s">
        <v>880</v>
      </c>
      <c r="F38894">
        <v>8.6772687587883301E-9</v>
      </c>
      <c r="G38894">
        <v>8517456</v>
      </c>
      <c r="H38894">
        <v>13089963</v>
      </c>
      <c r="I38894">
        <v>12145684</v>
      </c>
      <c r="J38894">
        <v>8</v>
      </c>
    </row>
    <row r="38895" spans="1:10" x14ac:dyDescent="0.25">
      <c r="A38895" t="s">
        <v>398</v>
      </c>
      <c r="B38895" s="1" t="str">
        <f>HYPERLINK("http://parkwayvolkswagen.co.uk","parkwayvolkswagen.co.uk")</f>
        <v>parkwayvolkswagen.co.uk</v>
      </c>
      <c r="C38895" t="s">
        <v>506</v>
      </c>
      <c r="D38895" t="s">
        <v>880</v>
      </c>
      <c r="F38895">
        <v>5.7391239291684298E-9</v>
      </c>
      <c r="G38895">
        <v>18587456</v>
      </c>
      <c r="H38895">
        <v>12295237</v>
      </c>
      <c r="I38895">
        <v>20959400</v>
      </c>
      <c r="J38895">
        <v>3</v>
      </c>
    </row>
    <row r="38896" spans="1:10" x14ac:dyDescent="0.25">
      <c r="A38896" t="s">
        <v>398</v>
      </c>
      <c r="B38896" s="1" t="str">
        <f>HYPERLINK("http://paybyphone.co.uk","paybyphone.co.uk")</f>
        <v>paybyphone.co.uk</v>
      </c>
      <c r="C38896" t="s">
        <v>506</v>
      </c>
      <c r="D38896" t="s">
        <v>880</v>
      </c>
      <c r="E38896">
        <v>445378</v>
      </c>
      <c r="F38896">
        <v>1.1604016259802401E-7</v>
      </c>
      <c r="G38896">
        <v>342723</v>
      </c>
      <c r="H38896">
        <v>13540367</v>
      </c>
      <c r="I38896">
        <v>9906257</v>
      </c>
      <c r="J38896">
        <v>4</v>
      </c>
    </row>
    <row r="38897" spans="1:10" x14ac:dyDescent="0.25">
      <c r="A38897" t="s">
        <v>398</v>
      </c>
      <c r="B38897" s="1" t="str">
        <f>HYPERLINK("http://pentagon-group.co.uk","pentagon-group.co.uk")</f>
        <v>pentagon-group.co.uk</v>
      </c>
      <c r="C38897" t="s">
        <v>506</v>
      </c>
      <c r="D38897" t="s">
        <v>880</v>
      </c>
      <c r="E38897">
        <v>566469</v>
      </c>
      <c r="F38897">
        <v>2.3071207331012298E-8</v>
      </c>
      <c r="G38897">
        <v>2263052</v>
      </c>
      <c r="H38897">
        <v>14006580</v>
      </c>
      <c r="I38897">
        <v>4005119</v>
      </c>
      <c r="J38897">
        <v>4</v>
      </c>
    </row>
    <row r="38898" spans="1:10" x14ac:dyDescent="0.25">
      <c r="A38898" t="s">
        <v>398</v>
      </c>
      <c r="B38898" s="1" t="str">
        <f>HYPERLINK("http://porsche.co.uk","porsche.co.uk")</f>
        <v>porsche.co.uk</v>
      </c>
      <c r="C38898" t="s">
        <v>506</v>
      </c>
      <c r="D38898" t="s">
        <v>880</v>
      </c>
      <c r="F38898">
        <v>1.25299763576282E-8</v>
      </c>
      <c r="G38898">
        <v>4869715</v>
      </c>
      <c r="H38898">
        <v>13107059</v>
      </c>
      <c r="I38898">
        <v>12054247</v>
      </c>
      <c r="J38898">
        <v>4</v>
      </c>
    </row>
    <row r="38899" spans="1:10" x14ac:dyDescent="0.25">
      <c r="A38899" t="s">
        <v>398</v>
      </c>
      <c r="B38899" s="1" t="str">
        <f>HYPERLINK("http://porschecambridge.co.uk","porschecambridge.co.uk")</f>
        <v>porschecambridge.co.uk</v>
      </c>
      <c r="C38899" t="s">
        <v>506</v>
      </c>
      <c r="D38899" t="s">
        <v>880</v>
      </c>
      <c r="F38899">
        <v>4.8703833412212899E-9</v>
      </c>
      <c r="G38899">
        <v>33389864</v>
      </c>
      <c r="H38899">
        <v>10437917</v>
      </c>
      <c r="I38899">
        <v>52548600</v>
      </c>
      <c r="J38899">
        <v>4</v>
      </c>
    </row>
    <row r="38900" spans="1:10" x14ac:dyDescent="0.25">
      <c r="A38900" t="s">
        <v>398</v>
      </c>
      <c r="B38900" s="1" t="str">
        <f>HYPERLINK("http://porschecardiff.co.uk","porschecardiff.co.uk")</f>
        <v>porschecardiff.co.uk</v>
      </c>
      <c r="C38900" t="s">
        <v>506</v>
      </c>
      <c r="D38900" t="s">
        <v>880</v>
      </c>
      <c r="F38900">
        <v>4.4438136526760601E-9</v>
      </c>
      <c r="G38900">
        <v>79531373</v>
      </c>
      <c r="H38900">
        <v>10434388</v>
      </c>
      <c r="I38900">
        <v>52878432</v>
      </c>
      <c r="J38900">
        <v>4</v>
      </c>
    </row>
    <row r="38901" spans="1:10" x14ac:dyDescent="0.25">
      <c r="A38901" t="s">
        <v>398</v>
      </c>
      <c r="B38901" s="1" t="str">
        <f>HYPERLINK("http://porschecolchester.co.uk","porschecolchester.co.uk")</f>
        <v>porschecolchester.co.uk</v>
      </c>
      <c r="C38901" t="s">
        <v>506</v>
      </c>
      <c r="D38901" t="s">
        <v>880</v>
      </c>
      <c r="F38901">
        <v>4.7364088243435001E-9</v>
      </c>
      <c r="G38901">
        <v>38981521</v>
      </c>
      <c r="H38901">
        <v>12399910</v>
      </c>
      <c r="I38901">
        <v>18850297</v>
      </c>
      <c r="J38901">
        <v>4</v>
      </c>
    </row>
    <row r="38902" spans="1:10" x14ac:dyDescent="0.25">
      <c r="A38902" t="s">
        <v>398</v>
      </c>
      <c r="B38902" s="1" t="str">
        <f>HYPERLINK("http://porscheeastlondon.co.uk","porscheeastlondon.co.uk")</f>
        <v>porscheeastlondon.co.uk</v>
      </c>
      <c r="C38902" t="s">
        <v>506</v>
      </c>
      <c r="D38902" t="s">
        <v>880</v>
      </c>
      <c r="F38902">
        <v>4.4471372816191203E-9</v>
      </c>
      <c r="G38902">
        <v>73745191</v>
      </c>
      <c r="H38902">
        <v>10842865</v>
      </c>
      <c r="I38902">
        <v>37041222</v>
      </c>
      <c r="J38902">
        <v>4</v>
      </c>
    </row>
    <row r="38903" spans="1:10" x14ac:dyDescent="0.25">
      <c r="A38903" t="s">
        <v>398</v>
      </c>
      <c r="B38903" s="1" t="str">
        <f>HYPERLINK("http://porschemayfair.co.uk","porschemayfair.co.uk")</f>
        <v>porschemayfair.co.uk</v>
      </c>
      <c r="C38903" t="s">
        <v>506</v>
      </c>
      <c r="D38903" t="s">
        <v>880</v>
      </c>
      <c r="F38903">
        <v>4.9945103294826903E-9</v>
      </c>
      <c r="G38903">
        <v>29552601</v>
      </c>
      <c r="H38903">
        <v>12081739</v>
      </c>
      <c r="I38903">
        <v>26530450</v>
      </c>
      <c r="J38903">
        <v>4</v>
      </c>
    </row>
    <row r="38904" spans="1:10" x14ac:dyDescent="0.25">
      <c r="A38904" t="s">
        <v>398</v>
      </c>
      <c r="B38904" s="1" t="str">
        <f>HYPERLINK("http://porscheretailgroup.co.uk","porscheretailgroup.co.uk")</f>
        <v>porscheretailgroup.co.uk</v>
      </c>
      <c r="C38904" t="s">
        <v>506</v>
      </c>
      <c r="D38904" t="s">
        <v>880</v>
      </c>
      <c r="F38904">
        <v>4.7317942132105396E-9</v>
      </c>
      <c r="G38904">
        <v>39255376</v>
      </c>
      <c r="H38904">
        <v>10434437</v>
      </c>
      <c r="I38904">
        <v>52819730</v>
      </c>
      <c r="J38904">
        <v>4</v>
      </c>
    </row>
    <row r="38905" spans="1:10" x14ac:dyDescent="0.25">
      <c r="A38905" t="s">
        <v>398</v>
      </c>
      <c r="B38905" s="1" t="str">
        <f>HYPERLINK("http://porschesouthlakes.co.uk","porschesouthlakes.co.uk")</f>
        <v>porschesouthlakes.co.uk</v>
      </c>
      <c r="C38905" t="s">
        <v>506</v>
      </c>
      <c r="D38905" t="s">
        <v>880</v>
      </c>
      <c r="F38905">
        <v>4.5565361147834704E-9</v>
      </c>
      <c r="G38905">
        <v>51505299</v>
      </c>
      <c r="H38905">
        <v>9426277</v>
      </c>
      <c r="I38905">
        <v>66880673</v>
      </c>
      <c r="J38905">
        <v>4</v>
      </c>
    </row>
    <row r="38906" spans="1:10" x14ac:dyDescent="0.25">
      <c r="A38906" t="s">
        <v>398</v>
      </c>
      <c r="B38906" s="1" t="str">
        <f>HYPERLINK("http://robinsonsaudi.co.uk","robinsonsaudi.co.uk")</f>
        <v>robinsonsaudi.co.uk</v>
      </c>
      <c r="C38906" t="s">
        <v>506</v>
      </c>
      <c r="D38906" t="s">
        <v>880</v>
      </c>
      <c r="J38906">
        <v>6</v>
      </c>
    </row>
    <row r="38907" spans="1:10" x14ac:dyDescent="0.25">
      <c r="A38907" t="s">
        <v>398</v>
      </c>
      <c r="B38907" s="1" t="str">
        <f>HYPERLINK("http://saundersabbott.co.uk","saundersabbott.co.uk")</f>
        <v>saundersabbott.co.uk</v>
      </c>
      <c r="C38907" t="s">
        <v>506</v>
      </c>
      <c r="D38907" t="s">
        <v>880</v>
      </c>
      <c r="F38907">
        <v>5.6363283447888502E-9</v>
      </c>
      <c r="G38907">
        <v>19517399</v>
      </c>
      <c r="H38907">
        <v>12407983</v>
      </c>
      <c r="I38907">
        <v>18638809</v>
      </c>
      <c r="J38907">
        <v>4</v>
      </c>
    </row>
    <row r="38908" spans="1:10" x14ac:dyDescent="0.25">
      <c r="A38908" t="s">
        <v>398</v>
      </c>
      <c r="B38908" s="1" t="str">
        <f>HYPERLINK("http://scania.co.uk","scania.co.uk")</f>
        <v>scania.co.uk</v>
      </c>
      <c r="C38908" t="s">
        <v>506</v>
      </c>
      <c r="D38908" t="s">
        <v>880</v>
      </c>
      <c r="F38908">
        <v>6.3825246247986997E-8</v>
      </c>
      <c r="G38908">
        <v>679618</v>
      </c>
      <c r="H38908">
        <v>17112100</v>
      </c>
      <c r="I38908">
        <v>61670</v>
      </c>
      <c r="J38908">
        <v>3</v>
      </c>
    </row>
    <row r="38909" spans="1:10" x14ac:dyDescent="0.25">
      <c r="A38909" t="s">
        <v>398</v>
      </c>
      <c r="B38909" s="1" t="str">
        <f>HYPERLINK("http://seat.co.uk","seat.co.uk")</f>
        <v>seat.co.uk</v>
      </c>
      <c r="C38909" t="s">
        <v>506</v>
      </c>
      <c r="D38909" t="s">
        <v>880</v>
      </c>
      <c r="E38909">
        <v>204588</v>
      </c>
      <c r="F38909">
        <v>1.9837483110278599E-7</v>
      </c>
      <c r="G38909">
        <v>194393</v>
      </c>
      <c r="H38909">
        <v>14683884</v>
      </c>
      <c r="I38909">
        <v>606355</v>
      </c>
      <c r="J38909">
        <v>4</v>
      </c>
    </row>
    <row r="38910" spans="1:10" x14ac:dyDescent="0.25">
      <c r="A38910" t="s">
        <v>398</v>
      </c>
      <c r="B38910" s="1" t="str">
        <f>HYPERLINK("http://seat-store.co.uk","seat-store.co.uk")</f>
        <v>seat-store.co.uk</v>
      </c>
      <c r="C38910" t="s">
        <v>506</v>
      </c>
      <c r="D38910" t="s">
        <v>880</v>
      </c>
      <c r="F38910">
        <v>8.0681619564153707E-9</v>
      </c>
      <c r="G38910">
        <v>9797743</v>
      </c>
      <c r="H38910">
        <v>12777753</v>
      </c>
      <c r="I38910">
        <v>14783129</v>
      </c>
      <c r="J38910">
        <v>4</v>
      </c>
    </row>
    <row r="38911" spans="1:10" x14ac:dyDescent="0.25">
      <c r="A38911" t="s">
        <v>398</v>
      </c>
      <c r="B38911" s="1" t="str">
        <f>HYPERLINK("http://seatwarrington.co.uk","seatwarrington.co.uk")</f>
        <v>seatwarrington.co.uk</v>
      </c>
      <c r="C38911" t="s">
        <v>506</v>
      </c>
      <c r="D38911" t="s">
        <v>880</v>
      </c>
      <c r="F38911">
        <v>4.49593068750407E-9</v>
      </c>
      <c r="G38911">
        <v>59556063</v>
      </c>
      <c r="H38911">
        <v>12327125</v>
      </c>
      <c r="I38911">
        <v>20289087</v>
      </c>
      <c r="J38911">
        <v>4</v>
      </c>
    </row>
    <row r="38912" spans="1:10" x14ac:dyDescent="0.25">
      <c r="A38912" t="s">
        <v>398</v>
      </c>
      <c r="B38912" s="1" t="str">
        <f>HYPERLINK("http://skoda.co.uk","skoda.co.uk")</f>
        <v>skoda.co.uk</v>
      </c>
      <c r="C38912" t="s">
        <v>506</v>
      </c>
      <c r="D38912" t="s">
        <v>880</v>
      </c>
      <c r="E38912">
        <v>208422</v>
      </c>
      <c r="F38912">
        <v>1.6851684448869001E-7</v>
      </c>
      <c r="G38912">
        <v>230233</v>
      </c>
      <c r="H38912">
        <v>14880768</v>
      </c>
      <c r="I38912">
        <v>472359</v>
      </c>
      <c r="J38912">
        <v>4</v>
      </c>
    </row>
    <row r="38913" spans="1:10" x14ac:dyDescent="0.25">
      <c r="A38913" t="s">
        <v>398</v>
      </c>
      <c r="B38913" s="1" t="str">
        <f>HYPERLINK("http://truckeast.co.uk","truckeast.co.uk")</f>
        <v>truckeast.co.uk</v>
      </c>
      <c r="C38913" t="s">
        <v>506</v>
      </c>
      <c r="D38913" t="s">
        <v>880</v>
      </c>
      <c r="F38913">
        <v>6.1918066743021302E-9</v>
      </c>
      <c r="G38913">
        <v>15578954</v>
      </c>
      <c r="H38913">
        <v>12758167</v>
      </c>
      <c r="I38913">
        <v>14973140</v>
      </c>
      <c r="J38913">
        <v>6</v>
      </c>
    </row>
    <row r="38914" spans="1:10" x14ac:dyDescent="0.25">
      <c r="A38914" t="s">
        <v>398</v>
      </c>
      <c r="B38914" s="1" t="str">
        <f>HYPERLINK("http://volkswagen.co.uk","volkswagen.co.uk")</f>
        <v>volkswagen.co.uk</v>
      </c>
      <c r="C38914" t="s">
        <v>506</v>
      </c>
      <c r="D38914" t="s">
        <v>880</v>
      </c>
      <c r="E38914">
        <v>56557</v>
      </c>
      <c r="F38914">
        <v>5.0649378366604397E-7</v>
      </c>
      <c r="G38914">
        <v>75570</v>
      </c>
      <c r="H38914">
        <v>15266230</v>
      </c>
      <c r="I38914">
        <v>388812</v>
      </c>
      <c r="J38914">
        <v>3</v>
      </c>
    </row>
    <row r="38915" spans="1:10" x14ac:dyDescent="0.25">
      <c r="A38915" t="s">
        <v>398</v>
      </c>
      <c r="B38915" s="1" t="str">
        <f>HYPERLINK("http://volkswagen-vans.co.uk","volkswagen-vans.co.uk")</f>
        <v>volkswagen-vans.co.uk</v>
      </c>
      <c r="C38915" t="s">
        <v>506</v>
      </c>
      <c r="D38915" t="s">
        <v>880</v>
      </c>
      <c r="E38915">
        <v>357787</v>
      </c>
      <c r="F38915">
        <v>6.2904205593950906E-8</v>
      </c>
      <c r="G38915">
        <v>696992</v>
      </c>
      <c r="H38915">
        <v>14298635</v>
      </c>
      <c r="I38915">
        <v>1357816</v>
      </c>
      <c r="J38915">
        <v>3</v>
      </c>
    </row>
    <row r="38916" spans="1:10" x14ac:dyDescent="0.25">
      <c r="A38916" t="s">
        <v>398</v>
      </c>
      <c r="B38916" s="1" t="str">
        <f>HYPERLINK("http://volkswagenexperience.co.uk","volkswagenexperience.co.uk")</f>
        <v>volkswagenexperience.co.uk</v>
      </c>
      <c r="C38916" t="s">
        <v>506</v>
      </c>
      <c r="D38916" t="s">
        <v>880</v>
      </c>
      <c r="J38916">
        <v>4</v>
      </c>
    </row>
    <row r="38917" spans="1:10" x14ac:dyDescent="0.25">
      <c r="A38917" t="s">
        <v>398</v>
      </c>
      <c r="B38917" s="1" t="str">
        <f>HYPERLINK("http://volkswagengroup.co.uk","volkswagengroup.co.uk")</f>
        <v>volkswagengroup.co.uk</v>
      </c>
      <c r="C38917" t="s">
        <v>506</v>
      </c>
      <c r="D38917" t="s">
        <v>880</v>
      </c>
      <c r="F38917">
        <v>5.9135649794002501E-9</v>
      </c>
      <c r="G38917">
        <v>17267342</v>
      </c>
      <c r="H38917">
        <v>14072786</v>
      </c>
      <c r="I38917">
        <v>3045181</v>
      </c>
      <c r="J38917">
        <v>4</v>
      </c>
    </row>
    <row r="38918" spans="1:10" x14ac:dyDescent="0.25">
      <c r="A38918" t="s">
        <v>398</v>
      </c>
      <c r="B38918" s="1" t="str">
        <f>HYPERLINK("http://vwfs.co.uk","vwfs.co.uk")</f>
        <v>vwfs.co.uk</v>
      </c>
      <c r="C38918" t="s">
        <v>506</v>
      </c>
      <c r="D38918" t="s">
        <v>880</v>
      </c>
      <c r="E38918">
        <v>465386</v>
      </c>
      <c r="F38918">
        <v>3.2821474459678797E-8</v>
      </c>
      <c r="G38918">
        <v>1574129</v>
      </c>
      <c r="H38918">
        <v>12992174</v>
      </c>
      <c r="I38918">
        <v>12838948</v>
      </c>
      <c r="J38918">
        <v>3</v>
      </c>
    </row>
    <row r="38919" spans="1:10" x14ac:dyDescent="0.25">
      <c r="A38919" t="s">
        <v>398</v>
      </c>
      <c r="B38919" s="1" t="str">
        <f>HYPERLINK("http://vwfsfleet.co.uk","vwfsfleet.co.uk")</f>
        <v>vwfsfleet.co.uk</v>
      </c>
      <c r="C38919" t="s">
        <v>506</v>
      </c>
      <c r="D38919" t="s">
        <v>880</v>
      </c>
      <c r="F38919">
        <v>3.4233854966958003E-8</v>
      </c>
      <c r="G38919">
        <v>1514004</v>
      </c>
      <c r="H38919">
        <v>13192006</v>
      </c>
      <c r="I38919">
        <v>11596551</v>
      </c>
      <c r="J38919">
        <v>3</v>
      </c>
    </row>
    <row r="38920" spans="1:10" x14ac:dyDescent="0.25">
      <c r="A38920" t="s">
        <v>398</v>
      </c>
      <c r="B38920" s="1" t="str">
        <f>HYPERLINK("http://vwgjobs.co.uk","vwgjobs.co.uk")</f>
        <v>vwgjobs.co.uk</v>
      </c>
      <c r="C38920" t="s">
        <v>506</v>
      </c>
      <c r="D38920" t="s">
        <v>880</v>
      </c>
      <c r="F38920">
        <v>6.3110444770568102E-9</v>
      </c>
      <c r="G38920">
        <v>14978483</v>
      </c>
      <c r="H38920">
        <v>10178907</v>
      </c>
      <c r="I38920">
        <v>59240777</v>
      </c>
      <c r="J38920">
        <v>4</v>
      </c>
    </row>
    <row r="38921" spans="1:10" x14ac:dyDescent="0.25">
      <c r="A38921" t="s">
        <v>398</v>
      </c>
      <c r="B38921" s="1" t="str">
        <f>HYPERLINK("http://waysidegroup.co.uk","waysidegroup.co.uk")</f>
        <v>waysidegroup.co.uk</v>
      </c>
      <c r="C38921" t="s">
        <v>506</v>
      </c>
      <c r="D38921" t="s">
        <v>880</v>
      </c>
      <c r="F38921">
        <v>4.5370058125145302E-9</v>
      </c>
      <c r="G38921">
        <v>53686862</v>
      </c>
      <c r="H38921">
        <v>12324079</v>
      </c>
      <c r="I38921">
        <v>20340278</v>
      </c>
      <c r="J38921">
        <v>7</v>
      </c>
    </row>
    <row r="38922" spans="1:10" x14ac:dyDescent="0.25">
      <c r="A38922" t="s">
        <v>398</v>
      </c>
      <c r="B38922" s="1" t="str">
        <f>HYPERLINK("http://intercounty.org.uk","intercounty.org.uk")</f>
        <v>intercounty.org.uk</v>
      </c>
      <c r="C38922" t="s">
        <v>506</v>
      </c>
      <c r="D38922" t="s">
        <v>880</v>
      </c>
      <c r="F38922">
        <v>5.5916367057682502E-9</v>
      </c>
      <c r="G38922">
        <v>19937537</v>
      </c>
      <c r="H38922">
        <v>12541260</v>
      </c>
      <c r="I38922">
        <v>16934431</v>
      </c>
      <c r="J38922">
        <v>9</v>
      </c>
    </row>
    <row r="38923" spans="1:10" x14ac:dyDescent="0.25">
      <c r="A38923" t="s">
        <v>398</v>
      </c>
      <c r="B38923" s="1" t="str">
        <f>HYPERLINK("http://porsche.us","porsche.us")</f>
        <v>porsche.us</v>
      </c>
      <c r="C38923" t="s">
        <v>522</v>
      </c>
      <c r="D38923" t="s">
        <v>891</v>
      </c>
      <c r="F38923">
        <v>7.0693594901807498E-9</v>
      </c>
      <c r="G38923">
        <v>12100690</v>
      </c>
      <c r="H38923">
        <v>14073752</v>
      </c>
      <c r="I38923">
        <v>2973746</v>
      </c>
      <c r="J38923">
        <v>4</v>
      </c>
    </row>
    <row r="38924" spans="1:10" x14ac:dyDescent="0.25">
      <c r="A38924" t="s">
        <v>398</v>
      </c>
      <c r="B38924" s="1" t="str">
        <f>HYPERLINK("http://audi.com.uy","audi.com.uy")</f>
        <v>audi.com.uy</v>
      </c>
      <c r="C38924" t="s">
        <v>507</v>
      </c>
      <c r="D38924" t="s">
        <v>881</v>
      </c>
      <c r="F38924">
        <v>1.17773114169638E-8</v>
      </c>
      <c r="G38924">
        <v>5316158</v>
      </c>
      <c r="H38924">
        <v>12215182</v>
      </c>
      <c r="I38924">
        <v>22899352</v>
      </c>
      <c r="J38924">
        <v>5</v>
      </c>
    </row>
    <row r="38925" spans="1:10" x14ac:dyDescent="0.25">
      <c r="A38925" t="s">
        <v>398</v>
      </c>
      <c r="B38925" s="1" t="str">
        <f>HYPERLINK("http://seat.uy","seat.uy")</f>
        <v>seat.uy</v>
      </c>
      <c r="C38925" t="s">
        <v>507</v>
      </c>
      <c r="D38925" t="s">
        <v>881</v>
      </c>
      <c r="F38925">
        <v>2.3792644540168401E-8</v>
      </c>
      <c r="G38925">
        <v>2183919</v>
      </c>
      <c r="H38925">
        <v>12187809</v>
      </c>
      <c r="I38925">
        <v>23636601</v>
      </c>
      <c r="J38925">
        <v>4</v>
      </c>
    </row>
    <row r="38926" spans="1:10" x14ac:dyDescent="0.25">
      <c r="A38926" t="s">
        <v>398</v>
      </c>
      <c r="B38926" s="1" t="str">
        <f>HYPERLINK("http://audi.uz","audi.uz")</f>
        <v>audi.uz</v>
      </c>
      <c r="C38926" t="s">
        <v>560</v>
      </c>
      <c r="D38926" t="s">
        <v>910</v>
      </c>
      <c r="F38926">
        <v>4.89767754773142E-9</v>
      </c>
      <c r="G38926">
        <v>32532547</v>
      </c>
      <c r="H38926">
        <v>10594758</v>
      </c>
      <c r="I38926">
        <v>45261767</v>
      </c>
      <c r="J38926">
        <v>4</v>
      </c>
    </row>
    <row r="38927" spans="1:10" x14ac:dyDescent="0.25">
      <c r="A38927" t="s">
        <v>398</v>
      </c>
      <c r="B38927" s="1" t="str">
        <f>HYPERLINK("http://audi.vc","audi.vc")</f>
        <v>audi.vc</v>
      </c>
      <c r="C38927" t="s">
        <v>520</v>
      </c>
      <c r="D38927" t="s">
        <v>890</v>
      </c>
      <c r="F38927">
        <v>7.5295098999609699E-9</v>
      </c>
      <c r="G38927">
        <v>10948746</v>
      </c>
      <c r="H38927">
        <v>12415963</v>
      </c>
      <c r="I38927">
        <v>18527970</v>
      </c>
      <c r="J38927">
        <v>4</v>
      </c>
    </row>
    <row r="38928" spans="1:10" x14ac:dyDescent="0.25">
      <c r="A38928" t="s">
        <v>398</v>
      </c>
      <c r="B38928" s="1" t="str">
        <f>HYPERLINK("http://audi.vg","audi.vg")</f>
        <v>audi.vg</v>
      </c>
      <c r="C38928" t="s">
        <v>678</v>
      </c>
      <c r="D38928" t="s">
        <v>996</v>
      </c>
      <c r="F38928">
        <v>8.1399154773585992E-9</v>
      </c>
      <c r="G38928">
        <v>9673185</v>
      </c>
      <c r="H38928">
        <v>12415964</v>
      </c>
      <c r="I38928">
        <v>18527960</v>
      </c>
      <c r="J38928">
        <v>4</v>
      </c>
    </row>
    <row r="38929" spans="1:10" x14ac:dyDescent="0.25">
      <c r="A38929" t="s">
        <v>398</v>
      </c>
      <c r="B38929" s="1" t="str">
        <f>HYPERLINK("http://audi.co.vi","audi.co.vi")</f>
        <v>audi.co.vi</v>
      </c>
      <c r="C38929" t="s">
        <v>679</v>
      </c>
      <c r="D38929" t="s">
        <v>997</v>
      </c>
      <c r="F38929">
        <v>7.2490810049516101E-9</v>
      </c>
      <c r="G38929">
        <v>11608077</v>
      </c>
      <c r="H38929">
        <v>12415957</v>
      </c>
      <c r="I38929">
        <v>18528071</v>
      </c>
      <c r="J38929">
        <v>4</v>
      </c>
    </row>
    <row r="38930" spans="1:10" x14ac:dyDescent="0.25">
      <c r="A38930" t="s">
        <v>398</v>
      </c>
      <c r="B38930" s="1" t="str">
        <f>HYPERLINK("http://audi.vu","audi.vu")</f>
        <v>audi.vu</v>
      </c>
      <c r="C38930" t="s">
        <v>680</v>
      </c>
      <c r="D38930" t="s">
        <v>998</v>
      </c>
      <c r="F38930">
        <v>7.5286920083934201E-9</v>
      </c>
      <c r="G38930">
        <v>10950465</v>
      </c>
      <c r="H38930">
        <v>12415958</v>
      </c>
      <c r="I38930">
        <v>18528057</v>
      </c>
      <c r="J38930">
        <v>4</v>
      </c>
    </row>
    <row r="38931" spans="1:10" x14ac:dyDescent="0.25">
      <c r="A38931" t="s">
        <v>398</v>
      </c>
      <c r="B38931" s="1" t="str">
        <f>HYPERLINK("http://audi.co.za","audi.co.za")</f>
        <v>audi.co.za</v>
      </c>
      <c r="C38931" t="s">
        <v>510</v>
      </c>
      <c r="D38931" t="s">
        <v>884</v>
      </c>
      <c r="E38931">
        <v>548928</v>
      </c>
      <c r="F38931">
        <v>2.2419247088039301E-8</v>
      </c>
      <c r="G38931">
        <v>2337614</v>
      </c>
      <c r="H38931">
        <v>14240824</v>
      </c>
      <c r="I38931">
        <v>1497671</v>
      </c>
      <c r="J38931">
        <v>4</v>
      </c>
    </row>
    <row r="38932" spans="1:10" x14ac:dyDescent="0.25">
      <c r="A38932" t="s">
        <v>398</v>
      </c>
      <c r="B38932" s="1" t="str">
        <f>HYPERLINK("http://elca.co.za","elca.co.za")</f>
        <v>elca.co.za</v>
      </c>
      <c r="C38932" t="s">
        <v>510</v>
      </c>
      <c r="D38932" t="s">
        <v>884</v>
      </c>
      <c r="J38932">
        <v>3</v>
      </c>
    </row>
    <row r="38933" spans="1:10" x14ac:dyDescent="0.25">
      <c r="A38933" t="s">
        <v>398</v>
      </c>
      <c r="B38933" s="1" t="str">
        <f>HYPERLINK("http://hatfieldvw.co.za","hatfieldvw.co.za")</f>
        <v>hatfieldvw.co.za</v>
      </c>
      <c r="C38933" t="s">
        <v>510</v>
      </c>
      <c r="D38933" t="s">
        <v>884</v>
      </c>
      <c r="F38933">
        <v>5.2784908233306096E-9</v>
      </c>
      <c r="G38933">
        <v>23812191</v>
      </c>
      <c r="H38933">
        <v>11043711</v>
      </c>
      <c r="I38933">
        <v>32876937</v>
      </c>
      <c r="J38933">
        <v>3</v>
      </c>
    </row>
    <row r="38934" spans="1:10" x14ac:dyDescent="0.25">
      <c r="A38934" t="s">
        <v>398</v>
      </c>
      <c r="B38934" s="1" t="str">
        <f>HYPERLINK("http://internationaltrucks.co.za","internationaltrucks.co.za")</f>
        <v>internationaltrucks.co.za</v>
      </c>
      <c r="C38934" t="s">
        <v>510</v>
      </c>
      <c r="D38934" t="s">
        <v>884</v>
      </c>
      <c r="J38934">
        <v>4</v>
      </c>
    </row>
    <row r="38935" spans="1:10" x14ac:dyDescent="0.25">
      <c r="A38935" t="s">
        <v>398</v>
      </c>
      <c r="B38935" s="1" t="str">
        <f>HYPERLINK("http://um.co.za","um.co.za")</f>
        <v>um.co.za</v>
      </c>
      <c r="C38935" t="s">
        <v>510</v>
      </c>
      <c r="D38935" t="s">
        <v>884</v>
      </c>
      <c r="F38935">
        <v>6.4848484920721401E-9</v>
      </c>
      <c r="G38935">
        <v>14141461</v>
      </c>
      <c r="H38935">
        <v>14071807</v>
      </c>
      <c r="I38935">
        <v>3313047</v>
      </c>
      <c r="J38935">
        <v>3</v>
      </c>
    </row>
    <row r="38936" spans="1:10" x14ac:dyDescent="0.25">
      <c r="A38936" t="s">
        <v>398</v>
      </c>
      <c r="B38936" s="1" t="str">
        <f>HYPERLINK("http://unitransvwmokopane.co.za","unitransvwmokopane.co.za")</f>
        <v>unitransvwmokopane.co.za</v>
      </c>
      <c r="C38936" t="s">
        <v>510</v>
      </c>
      <c r="D38936" t="s">
        <v>884</v>
      </c>
      <c r="F38936">
        <v>4.4438331965111198E-9</v>
      </c>
      <c r="G38936">
        <v>79008933</v>
      </c>
      <c r="H38936">
        <v>10466171</v>
      </c>
      <c r="I38936">
        <v>51472936</v>
      </c>
      <c r="J38936">
        <v>3</v>
      </c>
    </row>
    <row r="38937" spans="1:10" x14ac:dyDescent="0.25">
      <c r="A38937" t="s">
        <v>398</v>
      </c>
      <c r="B38937" s="1" t="str">
        <f>HYPERLINK("http://audi.co.zw","audi.co.zw")</f>
        <v>audi.co.zw</v>
      </c>
      <c r="C38937" t="s">
        <v>682</v>
      </c>
      <c r="D38937" t="s">
        <v>1000</v>
      </c>
      <c r="F38937">
        <v>7.2382353289352896E-9</v>
      </c>
      <c r="G38937">
        <v>11636078</v>
      </c>
      <c r="H38937">
        <v>10595127</v>
      </c>
      <c r="I38937">
        <v>45225000</v>
      </c>
      <c r="J38937">
        <v>4</v>
      </c>
    </row>
    <row r="38938" spans="1:10" x14ac:dyDescent="0.25">
      <c r="A38938" t="s">
        <v>399</v>
      </c>
      <c r="B38938" s="1" t="str">
        <f>HYPERLINK("http://volvotrucks.ae","volvotrucks.ae")</f>
        <v>volvotrucks.ae</v>
      </c>
      <c r="C38938" t="s">
        <v>417</v>
      </c>
      <c r="D38938" t="s">
        <v>799</v>
      </c>
      <c r="F38938">
        <v>6.9573228206277902E-9</v>
      </c>
      <c r="G38938">
        <v>12441121</v>
      </c>
      <c r="H38938">
        <v>11174310</v>
      </c>
      <c r="I38938">
        <v>31487753</v>
      </c>
      <c r="J38938">
        <v>4</v>
      </c>
    </row>
    <row r="38939" spans="1:10" x14ac:dyDescent="0.25">
      <c r="A38939" t="s">
        <v>399</v>
      </c>
      <c r="B38939" s="1" t="str">
        <f>HYPERLINK("http://renault-trucks.africa","renault-trucks.africa")</f>
        <v>renault-trucks.africa</v>
      </c>
      <c r="C38939" t="s">
        <v>523</v>
      </c>
      <c r="F38939">
        <v>1.3666173571095501E-8</v>
      </c>
      <c r="G38939">
        <v>4334740</v>
      </c>
      <c r="H38939">
        <v>10941355</v>
      </c>
      <c r="I38939">
        <v>34793436</v>
      </c>
      <c r="J38939">
        <v>3</v>
      </c>
    </row>
    <row r="38940" spans="1:10" x14ac:dyDescent="0.25">
      <c r="A38940" t="s">
        <v>399</v>
      </c>
      <c r="B38940" s="1" t="str">
        <f>HYPERLINK("http://volvotrucks.al","volvotrucks.al")</f>
        <v>volvotrucks.al</v>
      </c>
      <c r="C38940" t="s">
        <v>588</v>
      </c>
      <c r="D38940" t="s">
        <v>924</v>
      </c>
      <c r="F38940">
        <v>6.7377238201014196E-9</v>
      </c>
      <c r="G38940">
        <v>13170858</v>
      </c>
      <c r="H38940">
        <v>11174303</v>
      </c>
      <c r="I38940">
        <v>31487813</v>
      </c>
      <c r="J38940">
        <v>4</v>
      </c>
    </row>
    <row r="38941" spans="1:10" x14ac:dyDescent="0.25">
      <c r="A38941" t="s">
        <v>399</v>
      </c>
      <c r="B38941" s="1" t="str">
        <f>HYPERLINK("http://volvotrucks.am","volvotrucks.am")</f>
        <v>volvotrucks.am</v>
      </c>
      <c r="C38941" t="s">
        <v>565</v>
      </c>
      <c r="D38941" t="s">
        <v>913</v>
      </c>
      <c r="F38941">
        <v>7.1059285271869597E-9</v>
      </c>
      <c r="G38941">
        <v>11998993</v>
      </c>
      <c r="H38941">
        <v>11174305</v>
      </c>
      <c r="I38941">
        <v>31487788</v>
      </c>
      <c r="J38941">
        <v>4</v>
      </c>
    </row>
    <row r="38942" spans="1:10" x14ac:dyDescent="0.25">
      <c r="A38942" t="s">
        <v>399</v>
      </c>
      <c r="B38942" s="1" t="str">
        <f>HYPERLINK("http://volvotrucks.co.ao","volvotrucks.co.ao")</f>
        <v>volvotrucks.co.ao</v>
      </c>
      <c r="C38942" t="s">
        <v>566</v>
      </c>
      <c r="D38942" t="s">
        <v>914</v>
      </c>
      <c r="F38942">
        <v>7.0994401735581197E-9</v>
      </c>
      <c r="G38942">
        <v>12016620</v>
      </c>
      <c r="H38942">
        <v>11179298</v>
      </c>
      <c r="I38942">
        <v>31440134</v>
      </c>
      <c r="J38942">
        <v>4</v>
      </c>
    </row>
    <row r="38943" spans="1:10" x14ac:dyDescent="0.25">
      <c r="A38943" t="s">
        <v>399</v>
      </c>
      <c r="B38943" s="1" t="str">
        <f>HYPERLINK("http://macktrucks.com.ar","macktrucks.com.ar")</f>
        <v>macktrucks.com.ar</v>
      </c>
      <c r="C38943" t="s">
        <v>418</v>
      </c>
      <c r="D38943" t="s">
        <v>800</v>
      </c>
      <c r="F38943">
        <v>7.7607083309039793E-9</v>
      </c>
      <c r="G38943">
        <v>10412982</v>
      </c>
      <c r="H38943">
        <v>12079239</v>
      </c>
      <c r="I38943">
        <v>26580892</v>
      </c>
      <c r="J38943">
        <v>3</v>
      </c>
    </row>
    <row r="38944" spans="1:10" x14ac:dyDescent="0.25">
      <c r="A38944" t="s">
        <v>399</v>
      </c>
      <c r="B38944" s="1" t="str">
        <f>HYPERLINK("http://mamprinyscevola.com.ar","mamprinyscevola.com.ar")</f>
        <v>mamprinyscevola.com.ar</v>
      </c>
      <c r="C38944" t="s">
        <v>418</v>
      </c>
      <c r="D38944" t="s">
        <v>800</v>
      </c>
      <c r="J38944">
        <v>5</v>
      </c>
    </row>
    <row r="38945" spans="1:10" x14ac:dyDescent="0.25">
      <c r="A38945" t="s">
        <v>399</v>
      </c>
      <c r="B38945" s="1" t="str">
        <f>HYPERLINK("http://volvobuses.com.ar","volvobuses.com.ar")</f>
        <v>volvobuses.com.ar</v>
      </c>
      <c r="C38945" t="s">
        <v>418</v>
      </c>
      <c r="D38945" t="s">
        <v>800</v>
      </c>
      <c r="F38945">
        <v>8.6375369329368106E-9</v>
      </c>
      <c r="G38945">
        <v>8588599</v>
      </c>
      <c r="H38945">
        <v>11367459</v>
      </c>
      <c r="I38945">
        <v>30337135</v>
      </c>
      <c r="J38945">
        <v>3</v>
      </c>
    </row>
    <row r="38946" spans="1:10" x14ac:dyDescent="0.25">
      <c r="A38946" t="s">
        <v>399</v>
      </c>
      <c r="B38946" s="1" t="str">
        <f>HYPERLINK("http://volvotrucks.com.ar","volvotrucks.com.ar")</f>
        <v>volvotrucks.com.ar</v>
      </c>
      <c r="C38946" t="s">
        <v>418</v>
      </c>
      <c r="D38946" t="s">
        <v>800</v>
      </c>
      <c r="F38946">
        <v>2.06462245144129E-8</v>
      </c>
      <c r="G38946">
        <v>2564260</v>
      </c>
      <c r="H38946">
        <v>14072152</v>
      </c>
      <c r="I38946">
        <v>3151151</v>
      </c>
      <c r="J38946">
        <v>4</v>
      </c>
    </row>
    <row r="38947" spans="1:10" x14ac:dyDescent="0.25">
      <c r="A38947" t="s">
        <v>399</v>
      </c>
      <c r="B38947" s="1" t="str">
        <f>HYPERLINK("http://renault-trucks.asia","renault-trucks.asia")</f>
        <v>renault-trucks.asia</v>
      </c>
      <c r="C38947" t="s">
        <v>525</v>
      </c>
      <c r="F38947">
        <v>5.75594279714698E-9</v>
      </c>
      <c r="G38947">
        <v>18449561</v>
      </c>
      <c r="H38947">
        <v>10941353</v>
      </c>
      <c r="I38947">
        <v>34793506</v>
      </c>
      <c r="J38947">
        <v>3</v>
      </c>
    </row>
    <row r="38948" spans="1:10" x14ac:dyDescent="0.25">
      <c r="A38948" t="s">
        <v>399</v>
      </c>
      <c r="B38948" s="1" t="str">
        <f>HYPERLINK("http://renault-trucks.at","renault-trucks.at")</f>
        <v>renault-trucks.at</v>
      </c>
      <c r="C38948" t="s">
        <v>419</v>
      </c>
      <c r="D38948" t="s">
        <v>801</v>
      </c>
      <c r="F38948">
        <v>9.9817893184762208E-9</v>
      </c>
      <c r="G38948">
        <v>6773887</v>
      </c>
      <c r="H38948">
        <v>12185499</v>
      </c>
      <c r="I38948">
        <v>23683527</v>
      </c>
      <c r="J38948">
        <v>3</v>
      </c>
    </row>
    <row r="38949" spans="1:10" x14ac:dyDescent="0.25">
      <c r="A38949" t="s">
        <v>399</v>
      </c>
      <c r="B38949" s="1" t="str">
        <f>HYPERLINK("http://vfsco.at","vfsco.at")</f>
        <v>vfsco.at</v>
      </c>
      <c r="C38949" t="s">
        <v>419</v>
      </c>
      <c r="D38949" t="s">
        <v>801</v>
      </c>
      <c r="J38949">
        <v>5</v>
      </c>
    </row>
    <row r="38950" spans="1:10" x14ac:dyDescent="0.25">
      <c r="A38950" t="s">
        <v>399</v>
      </c>
      <c r="B38950" s="1" t="str">
        <f>HYPERLINK("http://volvobuses.at","volvobuses.at")</f>
        <v>volvobuses.at</v>
      </c>
      <c r="C38950" t="s">
        <v>419</v>
      </c>
      <c r="D38950" t="s">
        <v>801</v>
      </c>
      <c r="F38950">
        <v>6.9631157185963202E-9</v>
      </c>
      <c r="G38950">
        <v>12422588</v>
      </c>
      <c r="H38950">
        <v>11056261</v>
      </c>
      <c r="I38950">
        <v>32724540</v>
      </c>
      <c r="J38950">
        <v>3</v>
      </c>
    </row>
    <row r="38951" spans="1:10" x14ac:dyDescent="0.25">
      <c r="A38951" t="s">
        <v>399</v>
      </c>
      <c r="B38951" s="1" t="str">
        <f>HYPERLINK("http://volvotrucks.at","volvotrucks.at")</f>
        <v>volvotrucks.at</v>
      </c>
      <c r="C38951" t="s">
        <v>419</v>
      </c>
      <c r="D38951" t="s">
        <v>801</v>
      </c>
      <c r="F38951">
        <v>1.7510608647936001E-8</v>
      </c>
      <c r="G38951">
        <v>3143699</v>
      </c>
      <c r="H38951">
        <v>12523124</v>
      </c>
      <c r="I38951">
        <v>17118988</v>
      </c>
      <c r="J38951">
        <v>4</v>
      </c>
    </row>
    <row r="38952" spans="1:10" x14ac:dyDescent="0.25">
      <c r="A38952" t="s">
        <v>399</v>
      </c>
      <c r="B38952" s="1" t="str">
        <f>HYPERLINK("http://macktrucks.com.au","macktrucks.com.au")</f>
        <v>macktrucks.com.au</v>
      </c>
      <c r="C38952" t="s">
        <v>420</v>
      </c>
      <c r="D38952" t="s">
        <v>802</v>
      </c>
      <c r="F38952">
        <v>1.56354011753895E-8</v>
      </c>
      <c r="G38952">
        <v>3645383</v>
      </c>
      <c r="H38952">
        <v>14240665</v>
      </c>
      <c r="I38952">
        <v>1499144</v>
      </c>
      <c r="J38952">
        <v>3</v>
      </c>
    </row>
    <row r="38953" spans="1:10" x14ac:dyDescent="0.25">
      <c r="A38953" t="s">
        <v>399</v>
      </c>
      <c r="B38953" s="1" t="str">
        <f>HYPERLINK("http://vfsco.com.au","vfsco.com.au")</f>
        <v>vfsco.com.au</v>
      </c>
      <c r="C38953" t="s">
        <v>420</v>
      </c>
      <c r="D38953" t="s">
        <v>802</v>
      </c>
      <c r="F38953">
        <v>6.9613069354015399E-9</v>
      </c>
      <c r="G38953">
        <v>12428695</v>
      </c>
      <c r="H38953">
        <v>11342033</v>
      </c>
      <c r="I38953">
        <v>30417162</v>
      </c>
      <c r="J38953">
        <v>5</v>
      </c>
    </row>
    <row r="38954" spans="1:10" x14ac:dyDescent="0.25">
      <c r="A38954" t="s">
        <v>399</v>
      </c>
      <c r="B38954" s="1" t="str">
        <f>HYPERLINK("http://volvobuses.com.au","volvobuses.com.au")</f>
        <v>volvobuses.com.au</v>
      </c>
      <c r="C38954" t="s">
        <v>420</v>
      </c>
      <c r="D38954" t="s">
        <v>802</v>
      </c>
      <c r="F38954">
        <v>7.8339405505006206E-9</v>
      </c>
      <c r="G38954">
        <v>10247429</v>
      </c>
      <c r="H38954">
        <v>13763640</v>
      </c>
      <c r="I38954">
        <v>7937263</v>
      </c>
      <c r="J38954">
        <v>3</v>
      </c>
    </row>
    <row r="38955" spans="1:10" x14ac:dyDescent="0.25">
      <c r="A38955" t="s">
        <v>399</v>
      </c>
      <c r="B38955" s="1" t="str">
        <f>HYPERLINK("http://volvotrucks.com.au","volvotrucks.com.au")</f>
        <v>volvotrucks.com.au</v>
      </c>
      <c r="C38955" t="s">
        <v>420</v>
      </c>
      <c r="D38955" t="s">
        <v>802</v>
      </c>
      <c r="F38955">
        <v>1.3539541805673999E-8</v>
      </c>
      <c r="G38955">
        <v>4387342</v>
      </c>
      <c r="H38955">
        <v>13764330</v>
      </c>
      <c r="I38955">
        <v>7294190</v>
      </c>
      <c r="J38955">
        <v>4</v>
      </c>
    </row>
    <row r="38956" spans="1:10" x14ac:dyDescent="0.25">
      <c r="A38956" t="s">
        <v>399</v>
      </c>
      <c r="B38956" s="1" t="str">
        <f>HYPERLINK("http://renault-trucks.ba","renault-trucks.ba")</f>
        <v>renault-trucks.ba</v>
      </c>
      <c r="C38956" t="s">
        <v>526</v>
      </c>
      <c r="D38956" t="s">
        <v>893</v>
      </c>
      <c r="F38956">
        <v>5.7559427971469899E-9</v>
      </c>
      <c r="G38956">
        <v>18449559</v>
      </c>
      <c r="H38956">
        <v>10941352</v>
      </c>
      <c r="I38956">
        <v>34793573</v>
      </c>
      <c r="J38956">
        <v>3</v>
      </c>
    </row>
    <row r="38957" spans="1:10" x14ac:dyDescent="0.25">
      <c r="A38957" t="s">
        <v>399</v>
      </c>
      <c r="B38957" s="1" t="str">
        <f>HYPERLINK("http://volvotrucks.ba","volvotrucks.ba")</f>
        <v>volvotrucks.ba</v>
      </c>
      <c r="C38957" t="s">
        <v>526</v>
      </c>
      <c r="D38957" t="s">
        <v>893</v>
      </c>
      <c r="F38957">
        <v>7.4178342833577596E-9</v>
      </c>
      <c r="G38957">
        <v>11203058</v>
      </c>
      <c r="H38957">
        <v>11174315</v>
      </c>
      <c r="I38957">
        <v>31487713</v>
      </c>
      <c r="J38957">
        <v>4</v>
      </c>
    </row>
    <row r="38958" spans="1:10" x14ac:dyDescent="0.25">
      <c r="A38958" t="s">
        <v>399</v>
      </c>
      <c r="B38958" s="1" t="str">
        <f>HYPERLINK("http://dermatrucks.be","dermatrucks.be")</f>
        <v>dermatrucks.be</v>
      </c>
      <c r="C38958" t="s">
        <v>421</v>
      </c>
      <c r="D38958" t="s">
        <v>803</v>
      </c>
      <c r="F38958">
        <v>4.8986618385358196E-9</v>
      </c>
      <c r="G38958">
        <v>32504226</v>
      </c>
      <c r="H38958">
        <v>10746613</v>
      </c>
      <c r="I38958">
        <v>40188352</v>
      </c>
      <c r="J38958">
        <v>5</v>
      </c>
    </row>
    <row r="38959" spans="1:10" x14ac:dyDescent="0.25">
      <c r="A38959" t="s">
        <v>399</v>
      </c>
      <c r="B38959" s="1" t="str">
        <f>HYPERLINK("http://renault-trucks.be","renault-trucks.be")</f>
        <v>renault-trucks.be</v>
      </c>
      <c r="C38959" t="s">
        <v>421</v>
      </c>
      <c r="D38959" t="s">
        <v>803</v>
      </c>
      <c r="F38959">
        <v>3.2435199178606002E-8</v>
      </c>
      <c r="G38959">
        <v>1592924</v>
      </c>
      <c r="H38959">
        <v>12300155</v>
      </c>
      <c r="I38959">
        <v>20830848</v>
      </c>
      <c r="J38959">
        <v>3</v>
      </c>
    </row>
    <row r="38960" spans="1:10" x14ac:dyDescent="0.25">
      <c r="A38960" t="s">
        <v>399</v>
      </c>
      <c r="B38960" s="1" t="str">
        <f>HYPERLINK("http://vfsco.be","vfsco.be")</f>
        <v>vfsco.be</v>
      </c>
      <c r="C38960" t="s">
        <v>421</v>
      </c>
      <c r="D38960" t="s">
        <v>803</v>
      </c>
      <c r="J38960">
        <v>5</v>
      </c>
    </row>
    <row r="38961" spans="1:10" x14ac:dyDescent="0.25">
      <c r="A38961" t="s">
        <v>399</v>
      </c>
      <c r="B38961" s="1" t="str">
        <f>HYPERLINK("http://volvobuses.be","volvobuses.be")</f>
        <v>volvobuses.be</v>
      </c>
      <c r="C38961" t="s">
        <v>421</v>
      </c>
      <c r="D38961" t="s">
        <v>803</v>
      </c>
      <c r="F38961">
        <v>1.0076607379435999E-8</v>
      </c>
      <c r="G38961">
        <v>6674120</v>
      </c>
      <c r="H38961">
        <v>14071942</v>
      </c>
      <c r="I38961">
        <v>3218379</v>
      </c>
      <c r="J38961">
        <v>3</v>
      </c>
    </row>
    <row r="38962" spans="1:10" x14ac:dyDescent="0.25">
      <c r="A38962" t="s">
        <v>399</v>
      </c>
      <c r="B38962" s="1" t="str">
        <f>HYPERLINK("http://volvogroup.be","volvogroup.be")</f>
        <v>volvogroup.be</v>
      </c>
      <c r="C38962" t="s">
        <v>421</v>
      </c>
      <c r="D38962" t="s">
        <v>803</v>
      </c>
      <c r="F38962">
        <v>8.2677491882478607E-9</v>
      </c>
      <c r="G38962">
        <v>9333898</v>
      </c>
      <c r="H38962">
        <v>11450124</v>
      </c>
      <c r="I38962">
        <v>30117803</v>
      </c>
      <c r="J38962">
        <v>3</v>
      </c>
    </row>
    <row r="38963" spans="1:10" x14ac:dyDescent="0.25">
      <c r="A38963" t="s">
        <v>399</v>
      </c>
      <c r="B38963" s="1" t="str">
        <f>HYPERLINK("http://volvotrucks.be","volvotrucks.be")</f>
        <v>volvotrucks.be</v>
      </c>
      <c r="C38963" t="s">
        <v>421</v>
      </c>
      <c r="D38963" t="s">
        <v>803</v>
      </c>
      <c r="F38963">
        <v>2.4310882923108401E-8</v>
      </c>
      <c r="G38963">
        <v>2132840</v>
      </c>
      <c r="H38963">
        <v>12696742</v>
      </c>
      <c r="I38963">
        <v>15377645</v>
      </c>
      <c r="J38963">
        <v>4</v>
      </c>
    </row>
    <row r="38964" spans="1:10" x14ac:dyDescent="0.25">
      <c r="A38964" t="s">
        <v>399</v>
      </c>
      <c r="B38964" s="1" t="str">
        <f>HYPERLINK("http://renault-trucks.bg","renault-trucks.bg")</f>
        <v>renault-trucks.bg</v>
      </c>
      <c r="C38964" t="s">
        <v>422</v>
      </c>
      <c r="D38964" t="s">
        <v>804</v>
      </c>
      <c r="F38964">
        <v>1.49766130760017E-8</v>
      </c>
      <c r="G38964">
        <v>3847497</v>
      </c>
      <c r="H38964">
        <v>11011747</v>
      </c>
      <c r="I38964">
        <v>33380142</v>
      </c>
      <c r="J38964">
        <v>3</v>
      </c>
    </row>
    <row r="38965" spans="1:10" x14ac:dyDescent="0.25">
      <c r="A38965" t="s">
        <v>399</v>
      </c>
      <c r="B38965" s="1" t="str">
        <f>HYPERLINK("http://vfsco.bg","vfsco.bg")</f>
        <v>vfsco.bg</v>
      </c>
      <c r="C38965" t="s">
        <v>422</v>
      </c>
      <c r="D38965" t="s">
        <v>804</v>
      </c>
      <c r="F38965">
        <v>4.4700675932740899E-9</v>
      </c>
      <c r="G38965">
        <v>64550426</v>
      </c>
      <c r="H38965">
        <v>6997501.5</v>
      </c>
      <c r="I38965">
        <v>76927201</v>
      </c>
      <c r="J38965">
        <v>5</v>
      </c>
    </row>
    <row r="38966" spans="1:10" x14ac:dyDescent="0.25">
      <c r="A38966" t="s">
        <v>399</v>
      </c>
      <c r="B38966" s="1" t="str">
        <f>HYPERLINK("http://volvotrucks.bg","volvotrucks.bg")</f>
        <v>volvotrucks.bg</v>
      </c>
      <c r="C38966" t="s">
        <v>422</v>
      </c>
      <c r="D38966" t="s">
        <v>804</v>
      </c>
      <c r="F38966">
        <v>2.10000571009647E-8</v>
      </c>
      <c r="G38966">
        <v>2515830</v>
      </c>
      <c r="H38966">
        <v>12529345</v>
      </c>
      <c r="I38966">
        <v>17041305</v>
      </c>
      <c r="J38966">
        <v>4</v>
      </c>
    </row>
    <row r="38967" spans="1:10" x14ac:dyDescent="0.25">
      <c r="A38967" t="s">
        <v>399</v>
      </c>
      <c r="B38967" s="1" t="str">
        <f>HYPERLINK("http://volvotrucks.com.bn","volvotrucks.com.bn")</f>
        <v>volvotrucks.com.bn</v>
      </c>
      <c r="C38967" t="s">
        <v>511</v>
      </c>
      <c r="D38967" t="s">
        <v>885</v>
      </c>
      <c r="F38967">
        <v>6.7390033708154296E-9</v>
      </c>
      <c r="G38967">
        <v>13166280</v>
      </c>
      <c r="H38967">
        <v>11174304</v>
      </c>
      <c r="I38967">
        <v>31487800</v>
      </c>
      <c r="J38967">
        <v>4</v>
      </c>
    </row>
    <row r="38968" spans="1:10" x14ac:dyDescent="0.25">
      <c r="A38968" t="s">
        <v>399</v>
      </c>
      <c r="B38968" s="1" t="str">
        <f>HYPERLINK("http://macktrucks.com.bo","macktrucks.com.bo")</f>
        <v>macktrucks.com.bo</v>
      </c>
      <c r="C38968" t="s">
        <v>424</v>
      </c>
      <c r="D38968" t="s">
        <v>805</v>
      </c>
      <c r="F38968">
        <v>7.8848777526438304E-9</v>
      </c>
      <c r="G38968">
        <v>10141599</v>
      </c>
      <c r="H38968">
        <v>12079239</v>
      </c>
      <c r="I38968">
        <v>26580894</v>
      </c>
      <c r="J38968">
        <v>3</v>
      </c>
    </row>
    <row r="38969" spans="1:10" x14ac:dyDescent="0.25">
      <c r="A38969" t="s">
        <v>399</v>
      </c>
      <c r="B38969" s="1" t="str">
        <f>HYPERLINK("http://vfsco.com.br","vfsco.com.br")</f>
        <v>vfsco.com.br</v>
      </c>
      <c r="C38969" t="s">
        <v>425</v>
      </c>
      <c r="D38969" t="s">
        <v>806</v>
      </c>
      <c r="F38969">
        <v>8.2381827998537208E-9</v>
      </c>
      <c r="G38969">
        <v>9409952</v>
      </c>
      <c r="H38969">
        <v>11385921</v>
      </c>
      <c r="I38969">
        <v>30264855</v>
      </c>
      <c r="J38969">
        <v>5</v>
      </c>
    </row>
    <row r="38970" spans="1:10" x14ac:dyDescent="0.25">
      <c r="A38970" t="s">
        <v>399</v>
      </c>
      <c r="B38970" s="1" t="str">
        <f>HYPERLINK("http://volvobuses.com.br","volvobuses.com.br")</f>
        <v>volvobuses.com.br</v>
      </c>
      <c r="C38970" t="s">
        <v>425</v>
      </c>
      <c r="D38970" t="s">
        <v>806</v>
      </c>
      <c r="F38970">
        <v>8.5809604475181792E-9</v>
      </c>
      <c r="G38970">
        <v>8691097</v>
      </c>
      <c r="H38970">
        <v>11391560</v>
      </c>
      <c r="I38970">
        <v>30248121</v>
      </c>
      <c r="J38970">
        <v>3</v>
      </c>
    </row>
    <row r="38971" spans="1:10" x14ac:dyDescent="0.25">
      <c r="A38971" t="s">
        <v>399</v>
      </c>
      <c r="B38971" s="1" t="str">
        <f>HYPERLINK("http://volvogroup.com.br","volvogroup.com.br")</f>
        <v>volvogroup.com.br</v>
      </c>
      <c r="C38971" t="s">
        <v>425</v>
      </c>
      <c r="D38971" t="s">
        <v>806</v>
      </c>
      <c r="F38971">
        <v>9.8727875307641393E-9</v>
      </c>
      <c r="G38971">
        <v>6888682</v>
      </c>
      <c r="H38971">
        <v>14075200</v>
      </c>
      <c r="I38971">
        <v>2915569</v>
      </c>
      <c r="J38971">
        <v>3</v>
      </c>
    </row>
    <row r="38972" spans="1:10" x14ac:dyDescent="0.25">
      <c r="A38972" t="s">
        <v>399</v>
      </c>
      <c r="B38972" s="1" t="str">
        <f>HYPERLINK("http://volvopenta.com.br","volvopenta.com.br")</f>
        <v>volvopenta.com.br</v>
      </c>
      <c r="C38972" t="s">
        <v>425</v>
      </c>
      <c r="D38972" t="s">
        <v>806</v>
      </c>
      <c r="F38972">
        <v>6.8365506096086401E-9</v>
      </c>
      <c r="G38972">
        <v>12841360</v>
      </c>
      <c r="H38972">
        <v>11598252</v>
      </c>
      <c r="I38972">
        <v>29930541</v>
      </c>
      <c r="J38972">
        <v>4</v>
      </c>
    </row>
    <row r="38973" spans="1:10" x14ac:dyDescent="0.25">
      <c r="A38973" t="s">
        <v>399</v>
      </c>
      <c r="B38973" s="1" t="str">
        <f>HYPERLINK("http://volvotrucks.com.br","volvotrucks.com.br")</f>
        <v>volvotrucks.com.br</v>
      </c>
      <c r="C38973" t="s">
        <v>425</v>
      </c>
      <c r="D38973" t="s">
        <v>806</v>
      </c>
      <c r="F38973">
        <v>2.3291356179043201E-8</v>
      </c>
      <c r="G38973">
        <v>2240013</v>
      </c>
      <c r="H38973">
        <v>13677788</v>
      </c>
      <c r="I38973">
        <v>9537798</v>
      </c>
      <c r="J38973">
        <v>4</v>
      </c>
    </row>
    <row r="38974" spans="1:10" x14ac:dyDescent="0.25">
      <c r="A38974" t="s">
        <v>399</v>
      </c>
      <c r="B38974" s="1" t="str">
        <f>HYPERLINK("http://volvotrucks.co.bw","volvotrucks.co.bw")</f>
        <v>volvotrucks.co.bw</v>
      </c>
      <c r="C38974" t="s">
        <v>426</v>
      </c>
      <c r="D38974" t="s">
        <v>807</v>
      </c>
      <c r="F38974">
        <v>7.0784452067062703E-9</v>
      </c>
      <c r="G38974">
        <v>12075725</v>
      </c>
      <c r="H38974">
        <v>12167658</v>
      </c>
      <c r="I38974">
        <v>24127058</v>
      </c>
      <c r="J38974">
        <v>4</v>
      </c>
    </row>
    <row r="38975" spans="1:10" x14ac:dyDescent="0.25">
      <c r="A38975" t="s">
        <v>399</v>
      </c>
      <c r="B38975" s="1" t="str">
        <f>HYPERLINK("http://renault-trucks.by","renault-trucks.by")</f>
        <v>renault-trucks.by</v>
      </c>
      <c r="C38975" t="s">
        <v>427</v>
      </c>
      <c r="D38975" t="s">
        <v>808</v>
      </c>
      <c r="F38975">
        <v>5.8293020997634098E-9</v>
      </c>
      <c r="G38975">
        <v>17868337</v>
      </c>
      <c r="H38975">
        <v>10950875</v>
      </c>
      <c r="I38975">
        <v>34564023</v>
      </c>
      <c r="J38975">
        <v>3</v>
      </c>
    </row>
    <row r="38976" spans="1:10" x14ac:dyDescent="0.25">
      <c r="A38976" t="s">
        <v>399</v>
      </c>
      <c r="B38976" s="1" t="str">
        <f>HYPERLINK("http://volvotrucks.by","volvotrucks.by")</f>
        <v>volvotrucks.by</v>
      </c>
      <c r="C38976" t="s">
        <v>427</v>
      </c>
      <c r="D38976" t="s">
        <v>808</v>
      </c>
      <c r="F38976">
        <v>7.1484530420658997E-9</v>
      </c>
      <c r="G38976">
        <v>11881076</v>
      </c>
      <c r="H38976">
        <v>11188101</v>
      </c>
      <c r="I38976">
        <v>31367627</v>
      </c>
      <c r="J38976">
        <v>4</v>
      </c>
    </row>
    <row r="38977" spans="1:10" x14ac:dyDescent="0.25">
      <c r="A38977" t="s">
        <v>399</v>
      </c>
      <c r="B38977" s="1" t="str">
        <f>HYPERLINK("http://vfsco.ca","vfsco.ca")</f>
        <v>vfsco.ca</v>
      </c>
      <c r="C38977" t="s">
        <v>428</v>
      </c>
      <c r="D38977" t="s">
        <v>809</v>
      </c>
      <c r="F38977">
        <v>4.9374997018334304E-9</v>
      </c>
      <c r="G38977">
        <v>31162270</v>
      </c>
      <c r="H38977">
        <v>9911757</v>
      </c>
      <c r="I38977">
        <v>61534675</v>
      </c>
      <c r="J38977">
        <v>5</v>
      </c>
    </row>
    <row r="38978" spans="1:10" x14ac:dyDescent="0.25">
      <c r="A38978" t="s">
        <v>399</v>
      </c>
      <c r="B38978" s="1" t="str">
        <f>HYPERLINK("http://volvobuses.ca","volvobuses.ca")</f>
        <v>volvobuses.ca</v>
      </c>
      <c r="C38978" t="s">
        <v>428</v>
      </c>
      <c r="D38978" t="s">
        <v>809</v>
      </c>
      <c r="F38978">
        <v>5.3516248723590601E-9</v>
      </c>
      <c r="G38978">
        <v>22782712</v>
      </c>
      <c r="H38978">
        <v>10615518</v>
      </c>
      <c r="I38978">
        <v>44418301</v>
      </c>
      <c r="J38978">
        <v>3</v>
      </c>
    </row>
    <row r="38979" spans="1:10" x14ac:dyDescent="0.25">
      <c r="A38979" t="s">
        <v>399</v>
      </c>
      <c r="B38979" s="1" t="str">
        <f>HYPERLINK("http://volvotrucks.ca","volvotrucks.ca")</f>
        <v>volvotrucks.ca</v>
      </c>
      <c r="C38979" t="s">
        <v>428</v>
      </c>
      <c r="D38979" t="s">
        <v>809</v>
      </c>
      <c r="F38979">
        <v>2.1454040990238701E-8</v>
      </c>
      <c r="G38979">
        <v>2454748</v>
      </c>
      <c r="H38979">
        <v>13830093</v>
      </c>
      <c r="I38979">
        <v>6111270</v>
      </c>
      <c r="J38979">
        <v>4</v>
      </c>
    </row>
    <row r="38980" spans="1:10" x14ac:dyDescent="0.25">
      <c r="A38980" t="s">
        <v>399</v>
      </c>
      <c r="B38980" s="1" t="str">
        <f>HYPERLINK("http://renault-trucks.ch","renault-trucks.ch")</f>
        <v>renault-trucks.ch</v>
      </c>
      <c r="C38980" t="s">
        <v>429</v>
      </c>
      <c r="D38980" t="s">
        <v>810</v>
      </c>
      <c r="F38980">
        <v>3.8687358062460199E-8</v>
      </c>
      <c r="G38980">
        <v>1332632</v>
      </c>
      <c r="H38980">
        <v>14149603</v>
      </c>
      <c r="I38980">
        <v>1880678</v>
      </c>
      <c r="J38980">
        <v>3</v>
      </c>
    </row>
    <row r="38981" spans="1:10" x14ac:dyDescent="0.25">
      <c r="A38981" t="s">
        <v>399</v>
      </c>
      <c r="B38981" s="1" t="str">
        <f>HYPERLINK("http://vfsco.ch","vfsco.ch")</f>
        <v>vfsco.ch</v>
      </c>
      <c r="C38981" t="s">
        <v>429</v>
      </c>
      <c r="D38981" t="s">
        <v>810</v>
      </c>
      <c r="F38981">
        <v>4.78043686070533E-9</v>
      </c>
      <c r="G38981">
        <v>36937392</v>
      </c>
      <c r="H38981">
        <v>10065320</v>
      </c>
      <c r="I38981">
        <v>60178790</v>
      </c>
      <c r="J38981">
        <v>5</v>
      </c>
    </row>
    <row r="38982" spans="1:10" x14ac:dyDescent="0.25">
      <c r="A38982" t="s">
        <v>399</v>
      </c>
      <c r="B38982" s="1" t="str">
        <f>HYPERLINK("http://volvobuses.ch","volvobuses.ch")</f>
        <v>volvobuses.ch</v>
      </c>
      <c r="C38982" t="s">
        <v>429</v>
      </c>
      <c r="D38982" t="s">
        <v>810</v>
      </c>
      <c r="F38982">
        <v>1.02136545561256E-8</v>
      </c>
      <c r="G38982">
        <v>6533747</v>
      </c>
      <c r="H38982">
        <v>12986183</v>
      </c>
      <c r="I38982">
        <v>12899534</v>
      </c>
      <c r="J38982">
        <v>3</v>
      </c>
    </row>
    <row r="38983" spans="1:10" x14ac:dyDescent="0.25">
      <c r="A38983" t="s">
        <v>399</v>
      </c>
      <c r="B38983" s="1" t="str">
        <f>HYPERLINK("http://volvotrucks.ch","volvotrucks.ch")</f>
        <v>volvotrucks.ch</v>
      </c>
      <c r="C38983" t="s">
        <v>429</v>
      </c>
      <c r="D38983" t="s">
        <v>810</v>
      </c>
      <c r="F38983">
        <v>2.3698459492179101E-8</v>
      </c>
      <c r="G38983">
        <v>2193670</v>
      </c>
      <c r="H38983">
        <v>13274631</v>
      </c>
      <c r="I38983">
        <v>10935618</v>
      </c>
      <c r="J38983">
        <v>4</v>
      </c>
    </row>
    <row r="38984" spans="1:10" x14ac:dyDescent="0.25">
      <c r="A38984" t="s">
        <v>399</v>
      </c>
      <c r="B38984" s="1" t="str">
        <f>HYPERLINK("http://macktrucks.cl","macktrucks.cl")</f>
        <v>macktrucks.cl</v>
      </c>
      <c r="C38984" t="s">
        <v>430</v>
      </c>
      <c r="D38984" t="s">
        <v>811</v>
      </c>
      <c r="F38984">
        <v>7.8174852807841798E-9</v>
      </c>
      <c r="G38984">
        <v>10282257</v>
      </c>
      <c r="H38984">
        <v>12079239</v>
      </c>
      <c r="I38984">
        <v>26580896</v>
      </c>
      <c r="J38984">
        <v>3</v>
      </c>
    </row>
    <row r="38985" spans="1:10" x14ac:dyDescent="0.25">
      <c r="A38985" t="s">
        <v>399</v>
      </c>
      <c r="B38985" s="1" t="str">
        <f>HYPERLINK("http://renault-trucks.cl","renault-trucks.cl")</f>
        <v>renault-trucks.cl</v>
      </c>
      <c r="C38985" t="s">
        <v>430</v>
      </c>
      <c r="D38985" t="s">
        <v>811</v>
      </c>
      <c r="F38985">
        <v>5.7559427971469899E-9</v>
      </c>
      <c r="G38985">
        <v>18449560</v>
      </c>
      <c r="H38985">
        <v>10941352</v>
      </c>
      <c r="I38985">
        <v>34793576</v>
      </c>
      <c r="J38985">
        <v>3</v>
      </c>
    </row>
    <row r="38986" spans="1:10" x14ac:dyDescent="0.25">
      <c r="A38986" t="s">
        <v>399</v>
      </c>
      <c r="B38986" s="1" t="str">
        <f>HYPERLINK("http://vfsco.cl","vfsco.cl")</f>
        <v>vfsco.cl</v>
      </c>
      <c r="C38986" t="s">
        <v>430</v>
      </c>
      <c r="D38986" t="s">
        <v>811</v>
      </c>
      <c r="F38986">
        <v>4.8938991114630904E-9</v>
      </c>
      <c r="G38986">
        <v>32644463</v>
      </c>
      <c r="H38986">
        <v>9165021</v>
      </c>
      <c r="I38986">
        <v>68782255</v>
      </c>
      <c r="J38986">
        <v>5</v>
      </c>
    </row>
    <row r="38987" spans="1:10" x14ac:dyDescent="0.25">
      <c r="A38987" t="s">
        <v>399</v>
      </c>
      <c r="B38987" s="1" t="str">
        <f>HYPERLINK("http://volvotrucks.cl","volvotrucks.cl")</f>
        <v>volvotrucks.cl</v>
      </c>
      <c r="C38987" t="s">
        <v>430</v>
      </c>
      <c r="D38987" t="s">
        <v>811</v>
      </c>
      <c r="F38987">
        <v>7.5844788339159196E-9</v>
      </c>
      <c r="G38987">
        <v>10827659</v>
      </c>
      <c r="H38987">
        <v>11204732</v>
      </c>
      <c r="I38987">
        <v>31205408</v>
      </c>
      <c r="J38987">
        <v>4</v>
      </c>
    </row>
    <row r="38988" spans="1:10" x14ac:dyDescent="0.25">
      <c r="A38988" t="s">
        <v>399</v>
      </c>
      <c r="B38988" s="1" t="str">
        <f>HYPERLINK("http://vfsco.com.cn","vfsco.com.cn")</f>
        <v>vfsco.com.cn</v>
      </c>
      <c r="C38988" t="s">
        <v>431</v>
      </c>
      <c r="D38988" t="s">
        <v>812</v>
      </c>
      <c r="F38988">
        <v>6.8426687494417696E-9</v>
      </c>
      <c r="G38988">
        <v>12818985</v>
      </c>
      <c r="H38988">
        <v>11344895</v>
      </c>
      <c r="I38988">
        <v>30406281</v>
      </c>
      <c r="J38988">
        <v>5</v>
      </c>
    </row>
    <row r="38989" spans="1:10" x14ac:dyDescent="0.25">
      <c r="A38989" t="s">
        <v>399</v>
      </c>
      <c r="B38989" s="1" t="str">
        <f>HYPERLINK("http://volvoce.com.cn","volvoce.com.cn")</f>
        <v>volvoce.com.cn</v>
      </c>
      <c r="C38989" t="s">
        <v>431</v>
      </c>
      <c r="D38989" t="s">
        <v>812</v>
      </c>
      <c r="F38989">
        <v>6.3445431708751103E-9</v>
      </c>
      <c r="G38989">
        <v>14788569</v>
      </c>
      <c r="H38989">
        <v>11245627</v>
      </c>
      <c r="I38989">
        <v>30928874</v>
      </c>
      <c r="J38989">
        <v>4</v>
      </c>
    </row>
    <row r="38990" spans="1:10" x14ac:dyDescent="0.25">
      <c r="A38990" t="s">
        <v>399</v>
      </c>
      <c r="B38990" s="1" t="str">
        <f>HYPERLINK("http://volvogroup.com.cn","volvogroup.com.cn")</f>
        <v>volvogroup.com.cn</v>
      </c>
      <c r="C38990" t="s">
        <v>431</v>
      </c>
      <c r="D38990" t="s">
        <v>812</v>
      </c>
      <c r="F38990">
        <v>9.4503069092563798E-9</v>
      </c>
      <c r="G38990">
        <v>7382368</v>
      </c>
      <c r="H38990">
        <v>11529000</v>
      </c>
      <c r="I38990">
        <v>29993851</v>
      </c>
      <c r="J38990">
        <v>3</v>
      </c>
    </row>
    <row r="38991" spans="1:10" x14ac:dyDescent="0.25">
      <c r="A38991" t="s">
        <v>399</v>
      </c>
      <c r="B38991" s="1" t="str">
        <f>HYPERLINK("http://volvotrucks.com.cn","volvotrucks.com.cn")</f>
        <v>volvotrucks.com.cn</v>
      </c>
      <c r="C38991" t="s">
        <v>431</v>
      </c>
      <c r="D38991" t="s">
        <v>812</v>
      </c>
      <c r="F38991">
        <v>1.0580848121498901E-8</v>
      </c>
      <c r="G38991">
        <v>6200176</v>
      </c>
      <c r="H38991">
        <v>11529067</v>
      </c>
      <c r="I38991">
        <v>29993794</v>
      </c>
      <c r="J38991">
        <v>4</v>
      </c>
    </row>
    <row r="38992" spans="1:10" x14ac:dyDescent="0.25">
      <c r="A38992" t="s">
        <v>399</v>
      </c>
      <c r="B38992" s="1" t="str">
        <f>HYPERLINK("http://macktrucks.com.co","macktrucks.com.co")</f>
        <v>macktrucks.com.co</v>
      </c>
      <c r="C38992" t="s">
        <v>432</v>
      </c>
      <c r="F38992">
        <v>7.9519030796613306E-9</v>
      </c>
      <c r="G38992">
        <v>10010195</v>
      </c>
      <c r="H38992">
        <v>12097600</v>
      </c>
      <c r="I38992">
        <v>26035796</v>
      </c>
      <c r="J38992">
        <v>3</v>
      </c>
    </row>
    <row r="38993" spans="1:10" x14ac:dyDescent="0.25">
      <c r="A38993" t="s">
        <v>399</v>
      </c>
      <c r="B38993" s="1" t="str">
        <f>HYPERLINK("http://volvotrucks.com.co","volvotrucks.com.co")</f>
        <v>volvotrucks.com.co</v>
      </c>
      <c r="C38993" t="s">
        <v>432</v>
      </c>
      <c r="F38993">
        <v>6.8188495395294896E-9</v>
      </c>
      <c r="G38993">
        <v>12897971</v>
      </c>
      <c r="H38993">
        <v>11176582</v>
      </c>
      <c r="I38993">
        <v>31468190</v>
      </c>
      <c r="J38993">
        <v>4</v>
      </c>
    </row>
    <row r="38994" spans="1:10" x14ac:dyDescent="0.25">
      <c r="A38994" t="s">
        <v>399</v>
      </c>
      <c r="B38994" s="1" t="str">
        <f>HYPERLINK("http://arquus-defense.com","arquus-defense.com")</f>
        <v>arquus-defense.com</v>
      </c>
      <c r="C38994" t="s">
        <v>433</v>
      </c>
      <c r="F38994">
        <v>7.2595911647316401E-8</v>
      </c>
      <c r="G38994">
        <v>581248</v>
      </c>
      <c r="H38994">
        <v>14841170</v>
      </c>
      <c r="I38994">
        <v>496909</v>
      </c>
      <c r="J38994">
        <v>4</v>
      </c>
    </row>
    <row r="38995" spans="1:10" x14ac:dyDescent="0.25">
      <c r="A38995" t="s">
        <v>399</v>
      </c>
      <c r="B38995" s="1" t="str">
        <f>HYPERLINK("http://bernardtrucks.com","bernardtrucks.com")</f>
        <v>bernardtrucks.com</v>
      </c>
      <c r="C38995" t="s">
        <v>433</v>
      </c>
      <c r="F38995">
        <v>8.26952728432486E-9</v>
      </c>
      <c r="G38995">
        <v>9329700</v>
      </c>
      <c r="H38995">
        <v>11145712</v>
      </c>
      <c r="I38995">
        <v>31781389</v>
      </c>
      <c r="J38995">
        <v>4</v>
      </c>
    </row>
    <row r="38996" spans="1:10" x14ac:dyDescent="0.25">
      <c r="A38996" t="s">
        <v>399</v>
      </c>
      <c r="B38996" s="1" t="str">
        <f>HYPERLINK("http://escudier-sas.com","escudier-sas.com")</f>
        <v>escudier-sas.com</v>
      </c>
      <c r="C38996" t="s">
        <v>433</v>
      </c>
      <c r="J38996">
        <v>5</v>
      </c>
    </row>
    <row r="38997" spans="1:10" x14ac:dyDescent="0.25">
      <c r="A38997" t="s">
        <v>399</v>
      </c>
      <c r="B38997" s="1" t="str">
        <f>HYPERLINK("http://macktrucks.com","macktrucks.com")</f>
        <v>macktrucks.com</v>
      </c>
      <c r="C38997" t="s">
        <v>433</v>
      </c>
      <c r="E38997">
        <v>153091</v>
      </c>
      <c r="F38997">
        <v>3.6985288017303E-7</v>
      </c>
      <c r="G38997">
        <v>101213</v>
      </c>
      <c r="H38997">
        <v>17165198</v>
      </c>
      <c r="I38997">
        <v>48807</v>
      </c>
      <c r="J38997">
        <v>2</v>
      </c>
    </row>
    <row r="38998" spans="1:10" x14ac:dyDescent="0.25">
      <c r="A38998" t="s">
        <v>399</v>
      </c>
      <c r="B38998" s="1" t="str">
        <f>HYPERLINK("http://novabus.com","novabus.com")</f>
        <v>novabus.com</v>
      </c>
      <c r="C38998" t="s">
        <v>433</v>
      </c>
      <c r="F38998">
        <v>6.9653720074665305E-8</v>
      </c>
      <c r="G38998">
        <v>609276</v>
      </c>
      <c r="H38998">
        <v>14642406</v>
      </c>
      <c r="I38998">
        <v>635559</v>
      </c>
      <c r="J38998">
        <v>3</v>
      </c>
    </row>
    <row r="38999" spans="1:10" x14ac:dyDescent="0.25">
      <c r="A38999" t="s">
        <v>399</v>
      </c>
      <c r="B38999" s="1" t="str">
        <f>HYPERLINK("http://prevostcar.com","prevostcar.com")</f>
        <v>prevostcar.com</v>
      </c>
      <c r="C38999" t="s">
        <v>433</v>
      </c>
      <c r="E38999">
        <v>657488</v>
      </c>
      <c r="F38999">
        <v>7.93423659905937E-8</v>
      </c>
      <c r="G38999">
        <v>526659</v>
      </c>
      <c r="H38999">
        <v>14520328</v>
      </c>
      <c r="I38999">
        <v>805220</v>
      </c>
      <c r="J38999">
        <v>3</v>
      </c>
    </row>
    <row r="39000" spans="1:10" x14ac:dyDescent="0.25">
      <c r="A39000" t="s">
        <v>399</v>
      </c>
      <c r="B39000" s="1" t="str">
        <f>HYPERLINK("http://renault-trucks.com","renault-trucks.com")</f>
        <v>renault-trucks.com</v>
      </c>
      <c r="C39000" t="s">
        <v>433</v>
      </c>
      <c r="E39000">
        <v>329525</v>
      </c>
      <c r="F39000">
        <v>1.3430124639563E-7</v>
      </c>
      <c r="G39000">
        <v>290719</v>
      </c>
      <c r="H39000">
        <v>14915993</v>
      </c>
      <c r="I39000">
        <v>454215</v>
      </c>
      <c r="J39000">
        <v>2</v>
      </c>
    </row>
    <row r="39001" spans="1:10" x14ac:dyDescent="0.25">
      <c r="A39001" t="s">
        <v>399</v>
      </c>
      <c r="B39001" s="1" t="str">
        <f>HYPERLINK("http://rokbak.com","rokbak.com")</f>
        <v>rokbak.com</v>
      </c>
      <c r="C39001" t="s">
        <v>433</v>
      </c>
      <c r="F39001">
        <v>3.0976917085910399E-8</v>
      </c>
      <c r="G39001">
        <v>1663460</v>
      </c>
      <c r="H39001">
        <v>12635288</v>
      </c>
      <c r="I39001">
        <v>15913537</v>
      </c>
      <c r="J39001">
        <v>5</v>
      </c>
    </row>
    <row r="39002" spans="1:10" x14ac:dyDescent="0.25">
      <c r="A39002" t="s">
        <v>399</v>
      </c>
      <c r="B39002" s="1" t="str">
        <f>HYPERLINK("http://vanquip.com","vanquip.com")</f>
        <v>vanquip.com</v>
      </c>
      <c r="C39002" t="s">
        <v>433</v>
      </c>
      <c r="F39002">
        <v>4.4567506727936299E-9</v>
      </c>
      <c r="G39002">
        <v>68827615</v>
      </c>
      <c r="H39002">
        <v>9751228</v>
      </c>
      <c r="I39002">
        <v>62979614</v>
      </c>
      <c r="J39002">
        <v>6</v>
      </c>
    </row>
    <row r="39003" spans="1:10" x14ac:dyDescent="0.25">
      <c r="A39003" t="s">
        <v>399</v>
      </c>
      <c r="B39003" s="1" t="str">
        <f>HYPERLINK("http://vfsco.com","vfsco.com")</f>
        <v>vfsco.com</v>
      </c>
      <c r="C39003" t="s">
        <v>433</v>
      </c>
      <c r="F39003">
        <v>1.3007489894471999E-7</v>
      </c>
      <c r="G39003">
        <v>300887</v>
      </c>
      <c r="H39003">
        <v>14255234</v>
      </c>
      <c r="I39003">
        <v>1433649</v>
      </c>
      <c r="J39003">
        <v>4</v>
      </c>
    </row>
    <row r="39004" spans="1:10" x14ac:dyDescent="0.25">
      <c r="A39004" t="s">
        <v>399</v>
      </c>
      <c r="B39004" s="1" t="str">
        <f>HYPERLINK("http://volvo.com","volvo.com")</f>
        <v>volvo.com</v>
      </c>
      <c r="C39004" t="s">
        <v>433</v>
      </c>
      <c r="E39004">
        <v>13820</v>
      </c>
      <c r="F39004">
        <v>7.2496747914214899E-7</v>
      </c>
      <c r="G39004">
        <v>53582</v>
      </c>
      <c r="H39004">
        <v>15582136</v>
      </c>
      <c r="I39004">
        <v>372922</v>
      </c>
      <c r="J39004">
        <v>2</v>
      </c>
    </row>
    <row r="39005" spans="1:10" x14ac:dyDescent="0.25">
      <c r="A39005" t="s">
        <v>399</v>
      </c>
      <c r="B39005" s="1" t="str">
        <f>HYPERLINK("http://volvobuses.com","volvobuses.com")</f>
        <v>volvobuses.com</v>
      </c>
      <c r="C39005" t="s">
        <v>433</v>
      </c>
      <c r="E39005">
        <v>354071</v>
      </c>
      <c r="F39005">
        <v>3.3320357425879899E-7</v>
      </c>
      <c r="G39005">
        <v>111874</v>
      </c>
      <c r="H39005">
        <v>15144154</v>
      </c>
      <c r="I39005">
        <v>400792</v>
      </c>
      <c r="J39005">
        <v>2</v>
      </c>
    </row>
    <row r="39006" spans="1:10" x14ac:dyDescent="0.25">
      <c r="A39006" t="s">
        <v>399</v>
      </c>
      <c r="B39006" s="1" t="str">
        <f>HYPERLINK("http://volvobusesmexico.com","volvobusesmexico.com")</f>
        <v>volvobusesmexico.com</v>
      </c>
      <c r="C39006" t="s">
        <v>433</v>
      </c>
      <c r="J39006">
        <v>4</v>
      </c>
    </row>
    <row r="39007" spans="1:10" x14ac:dyDescent="0.25">
      <c r="A39007" t="s">
        <v>399</v>
      </c>
      <c r="B39007" s="1" t="str">
        <f>HYPERLINK("http://volvoce.com","volvoce.com")</f>
        <v>volvoce.com</v>
      </c>
      <c r="C39007" t="s">
        <v>433</v>
      </c>
      <c r="E39007">
        <v>86940</v>
      </c>
      <c r="F39007">
        <v>5.6334620112245805E-7</v>
      </c>
      <c r="G39007">
        <v>68071</v>
      </c>
      <c r="H39007">
        <v>15509088</v>
      </c>
      <c r="I39007">
        <v>376437</v>
      </c>
      <c r="J39007">
        <v>3</v>
      </c>
    </row>
    <row r="39008" spans="1:10" x14ac:dyDescent="0.25">
      <c r="A39008" t="s">
        <v>399</v>
      </c>
      <c r="B39008" s="1" t="str">
        <f>HYPERLINK("http://volvoconnect.com","volvoconnect.com")</f>
        <v>volvoconnect.com</v>
      </c>
      <c r="C39008" t="s">
        <v>433</v>
      </c>
      <c r="E39008">
        <v>192802</v>
      </c>
      <c r="F39008">
        <v>2.18439104823236E-8</v>
      </c>
      <c r="G39008">
        <v>2404604</v>
      </c>
      <c r="H39008">
        <v>12390138</v>
      </c>
      <c r="I39008">
        <v>19043077</v>
      </c>
      <c r="J39008">
        <v>2</v>
      </c>
    </row>
    <row r="39009" spans="1:10" x14ac:dyDescent="0.25">
      <c r="A39009" t="s">
        <v>399</v>
      </c>
      <c r="B39009" s="1" t="str">
        <f>HYPERLINK("http://volvogroup.com","volvogroup.com")</f>
        <v>volvogroup.com</v>
      </c>
      <c r="C39009" t="s">
        <v>433</v>
      </c>
      <c r="E39009">
        <v>48617</v>
      </c>
      <c r="F39009">
        <v>9.3398003478093004E-7</v>
      </c>
      <c r="G39009">
        <v>41157</v>
      </c>
      <c r="H39009">
        <v>15695721</v>
      </c>
      <c r="I39009">
        <v>369798</v>
      </c>
      <c r="J39009">
        <v>2</v>
      </c>
    </row>
    <row r="39010" spans="1:10" x14ac:dyDescent="0.25">
      <c r="A39010" t="s">
        <v>399</v>
      </c>
      <c r="B39010" s="1" t="str">
        <f>HYPERLINK("http://volvoit.com","volvoit.com")</f>
        <v>volvoit.com</v>
      </c>
      <c r="C39010" t="s">
        <v>433</v>
      </c>
      <c r="F39010">
        <v>1.07530459134168E-8</v>
      </c>
      <c r="G39010">
        <v>6057723</v>
      </c>
      <c r="H39010">
        <v>14098078</v>
      </c>
      <c r="I39010">
        <v>2718896</v>
      </c>
      <c r="J39010">
        <v>3</v>
      </c>
    </row>
    <row r="39011" spans="1:10" x14ac:dyDescent="0.25">
      <c r="A39011" t="s">
        <v>399</v>
      </c>
      <c r="B39011" s="1" t="str">
        <f>HYPERLINK("http://volvologistics.com","volvologistics.com")</f>
        <v>volvologistics.com</v>
      </c>
      <c r="C39011" t="s">
        <v>433</v>
      </c>
      <c r="F39011">
        <v>9.1372442888177799E-9</v>
      </c>
      <c r="G39011">
        <v>7795905</v>
      </c>
      <c r="H39011">
        <v>10771331</v>
      </c>
      <c r="I39011">
        <v>39194568</v>
      </c>
      <c r="J39011">
        <v>3</v>
      </c>
    </row>
    <row r="39012" spans="1:10" x14ac:dyDescent="0.25">
      <c r="A39012" t="s">
        <v>399</v>
      </c>
      <c r="B39012" s="1" t="str">
        <f>HYPERLINK("http://volvopaloalto.com","volvopaloalto.com")</f>
        <v>volvopaloalto.com</v>
      </c>
      <c r="C39012" t="s">
        <v>433</v>
      </c>
      <c r="F39012">
        <v>5.7351216326451697E-9</v>
      </c>
      <c r="G39012">
        <v>18621195</v>
      </c>
      <c r="H39012">
        <v>12277725</v>
      </c>
      <c r="I39012">
        <v>21354764</v>
      </c>
      <c r="J39012">
        <v>3</v>
      </c>
    </row>
    <row r="39013" spans="1:10" x14ac:dyDescent="0.25">
      <c r="A39013" t="s">
        <v>399</v>
      </c>
      <c r="B39013" s="1" t="str">
        <f>HYPERLINK("http://volvopenta.com","volvopenta.com")</f>
        <v>volvopenta.com</v>
      </c>
      <c r="C39013" t="s">
        <v>433</v>
      </c>
      <c r="E39013">
        <v>107220</v>
      </c>
      <c r="F39013">
        <v>6.7690454095011197E-7</v>
      </c>
      <c r="G39013">
        <v>56967</v>
      </c>
      <c r="H39013">
        <v>15056237</v>
      </c>
      <c r="I39013">
        <v>413485</v>
      </c>
      <c r="J39013">
        <v>3</v>
      </c>
    </row>
    <row r="39014" spans="1:10" x14ac:dyDescent="0.25">
      <c r="A39014" t="s">
        <v>399</v>
      </c>
      <c r="B39014" s="1" t="str">
        <f>HYPERLINK("http://volvotrucks.com","volvotrucks.com")</f>
        <v>volvotrucks.com</v>
      </c>
      <c r="C39014" t="s">
        <v>433</v>
      </c>
      <c r="E39014">
        <v>68368</v>
      </c>
      <c r="F39014">
        <v>5.8022668426114395E-7</v>
      </c>
      <c r="G39014">
        <v>65843</v>
      </c>
      <c r="H39014">
        <v>15374083</v>
      </c>
      <c r="I39014">
        <v>381497</v>
      </c>
      <c r="J39014">
        <v>3</v>
      </c>
    </row>
    <row r="39015" spans="1:10" x14ac:dyDescent="0.25">
      <c r="A39015" t="s">
        <v>399</v>
      </c>
      <c r="B39015" s="1" t="str">
        <f>HYPERLINK("http://macktrucks.cr","macktrucks.cr")</f>
        <v>macktrucks.cr</v>
      </c>
      <c r="C39015" t="s">
        <v>434</v>
      </c>
      <c r="D39015" t="s">
        <v>813</v>
      </c>
      <c r="F39015">
        <v>7.9855491406319998E-9</v>
      </c>
      <c r="G39015">
        <v>9947307</v>
      </c>
      <c r="H39015">
        <v>12080039</v>
      </c>
      <c r="I39015">
        <v>26563830</v>
      </c>
      <c r="J39015">
        <v>3</v>
      </c>
    </row>
    <row r="39016" spans="1:10" x14ac:dyDescent="0.25">
      <c r="A39016" t="s">
        <v>399</v>
      </c>
      <c r="B39016" s="1" t="str">
        <f>HYPERLINK("http://renault-trucks.cz","renault-trucks.cz")</f>
        <v>renault-trucks.cz</v>
      </c>
      <c r="C39016" t="s">
        <v>435</v>
      </c>
      <c r="D39016" t="s">
        <v>814</v>
      </c>
      <c r="F39016">
        <v>2.0655192967024498E-8</v>
      </c>
      <c r="G39016">
        <v>2563081</v>
      </c>
      <c r="H39016">
        <v>12225713</v>
      </c>
      <c r="I39016">
        <v>22634348</v>
      </c>
      <c r="J39016">
        <v>3</v>
      </c>
    </row>
    <row r="39017" spans="1:10" x14ac:dyDescent="0.25">
      <c r="A39017" t="s">
        <v>399</v>
      </c>
      <c r="B39017" s="1" t="str">
        <f>HYPERLINK("http://vfsco.cz","vfsco.cz")</f>
        <v>vfsco.cz</v>
      </c>
      <c r="C39017" t="s">
        <v>435</v>
      </c>
      <c r="D39017" t="s">
        <v>814</v>
      </c>
      <c r="F39017">
        <v>6.0869799191311999E-9</v>
      </c>
      <c r="G39017">
        <v>16166252</v>
      </c>
      <c r="H39017">
        <v>10607843</v>
      </c>
      <c r="I39017">
        <v>44629835</v>
      </c>
      <c r="J39017">
        <v>5</v>
      </c>
    </row>
    <row r="39018" spans="1:10" x14ac:dyDescent="0.25">
      <c r="A39018" t="s">
        <v>399</v>
      </c>
      <c r="B39018" s="1" t="str">
        <f>HYPERLINK("http://volvotrucks.cz","volvotrucks.cz")</f>
        <v>volvotrucks.cz</v>
      </c>
      <c r="C39018" t="s">
        <v>435</v>
      </c>
      <c r="D39018" t="s">
        <v>814</v>
      </c>
      <c r="F39018">
        <v>2.34473918245558E-8</v>
      </c>
      <c r="G39018">
        <v>2220440</v>
      </c>
      <c r="H39018">
        <v>12248494</v>
      </c>
      <c r="I39018">
        <v>22043821</v>
      </c>
      <c r="J39018">
        <v>4</v>
      </c>
    </row>
    <row r="39019" spans="1:10" x14ac:dyDescent="0.25">
      <c r="A39019" t="s">
        <v>399</v>
      </c>
      <c r="B39019" s="1" t="str">
        <f>HYPERLINK("http://renault-trucks.de","renault-trucks.de")</f>
        <v>renault-trucks.de</v>
      </c>
      <c r="C39019" t="s">
        <v>436</v>
      </c>
      <c r="D39019" t="s">
        <v>815</v>
      </c>
      <c r="F39019">
        <v>5.2853371084068403E-8</v>
      </c>
      <c r="G39019">
        <v>861986</v>
      </c>
      <c r="H39019">
        <v>14075799</v>
      </c>
      <c r="I39019">
        <v>2900639</v>
      </c>
      <c r="J39019">
        <v>3</v>
      </c>
    </row>
    <row r="39020" spans="1:10" x14ac:dyDescent="0.25">
      <c r="A39020" t="s">
        <v>399</v>
      </c>
      <c r="B39020" s="1" t="str">
        <f>HYPERLINK("http://vfsco.de","vfsco.de")</f>
        <v>vfsco.de</v>
      </c>
      <c r="C39020" t="s">
        <v>436</v>
      </c>
      <c r="D39020" t="s">
        <v>815</v>
      </c>
      <c r="F39020">
        <v>6.0221002347942E-9</v>
      </c>
      <c r="G39020">
        <v>16546367</v>
      </c>
      <c r="H39020">
        <v>11337509</v>
      </c>
      <c r="I39020">
        <v>30432127</v>
      </c>
      <c r="J39020">
        <v>5</v>
      </c>
    </row>
    <row r="39021" spans="1:10" x14ac:dyDescent="0.25">
      <c r="A39021" t="s">
        <v>399</v>
      </c>
      <c r="B39021" s="1" t="str">
        <f>HYPERLINK("http://volvobuses.de","volvobuses.de")</f>
        <v>volvobuses.de</v>
      </c>
      <c r="C39021" t="s">
        <v>436</v>
      </c>
      <c r="D39021" t="s">
        <v>815</v>
      </c>
      <c r="F39021">
        <v>1.4294967722263999E-8</v>
      </c>
      <c r="G39021">
        <v>4095131</v>
      </c>
      <c r="H39021">
        <v>14074750</v>
      </c>
      <c r="I39021">
        <v>2930712</v>
      </c>
      <c r="J39021">
        <v>3</v>
      </c>
    </row>
    <row r="39022" spans="1:10" x14ac:dyDescent="0.25">
      <c r="A39022" t="s">
        <v>399</v>
      </c>
      <c r="B39022" s="1" t="str">
        <f>HYPERLINK("http://volvoce.de","volvoce.de")</f>
        <v>volvoce.de</v>
      </c>
      <c r="C39022" t="s">
        <v>436</v>
      </c>
      <c r="D39022" t="s">
        <v>815</v>
      </c>
      <c r="F39022">
        <v>7.7927154709254495E-9</v>
      </c>
      <c r="G39022">
        <v>10338650</v>
      </c>
      <c r="H39022">
        <v>11377718</v>
      </c>
      <c r="I39022">
        <v>30295702</v>
      </c>
      <c r="J39022">
        <v>4</v>
      </c>
    </row>
    <row r="39023" spans="1:10" x14ac:dyDescent="0.25">
      <c r="A39023" t="s">
        <v>399</v>
      </c>
      <c r="B39023" s="1" t="str">
        <f>HYPERLINK("http://volvogroup.de","volvogroup.de")</f>
        <v>volvogroup.de</v>
      </c>
      <c r="C39023" t="s">
        <v>436</v>
      </c>
      <c r="D39023" t="s">
        <v>815</v>
      </c>
      <c r="F39023">
        <v>9.9254600438958304E-9</v>
      </c>
      <c r="G39023">
        <v>6832072</v>
      </c>
      <c r="H39023">
        <v>14071922</v>
      </c>
      <c r="I39023">
        <v>3225795</v>
      </c>
      <c r="J39023">
        <v>3</v>
      </c>
    </row>
    <row r="39024" spans="1:10" x14ac:dyDescent="0.25">
      <c r="A39024" t="s">
        <v>399</v>
      </c>
      <c r="B39024" s="1" t="str">
        <f>HYPERLINK("http://volvopenta.de","volvopenta.de")</f>
        <v>volvopenta.de</v>
      </c>
      <c r="C39024" t="s">
        <v>436</v>
      </c>
      <c r="D39024" t="s">
        <v>815</v>
      </c>
      <c r="F39024">
        <v>1.9143759003448799E-8</v>
      </c>
      <c r="G39024">
        <v>2808381</v>
      </c>
      <c r="H39024">
        <v>12322772</v>
      </c>
      <c r="I39024">
        <v>20362660</v>
      </c>
      <c r="J39024">
        <v>4</v>
      </c>
    </row>
    <row r="39025" spans="1:10" x14ac:dyDescent="0.25">
      <c r="A39025" t="s">
        <v>399</v>
      </c>
      <c r="B39025" s="1" t="str">
        <f>HYPERLINK("http://volvotrucks.de","volvotrucks.de")</f>
        <v>volvotrucks.de</v>
      </c>
      <c r="C39025" t="s">
        <v>436</v>
      </c>
      <c r="D39025" t="s">
        <v>815</v>
      </c>
      <c r="F39025">
        <v>9.0212138331899099E-8</v>
      </c>
      <c r="G39025">
        <v>452277</v>
      </c>
      <c r="H39025">
        <v>14154052</v>
      </c>
      <c r="I39025">
        <v>1864088</v>
      </c>
      <c r="J39025">
        <v>4</v>
      </c>
    </row>
    <row r="39026" spans="1:10" x14ac:dyDescent="0.25">
      <c r="A39026" t="s">
        <v>399</v>
      </c>
      <c r="B39026" s="1" t="str">
        <f>HYPERLINK("http://renault-trucks.dk","renault-trucks.dk")</f>
        <v>renault-trucks.dk</v>
      </c>
      <c r="C39026" t="s">
        <v>437</v>
      </c>
      <c r="D39026" t="s">
        <v>816</v>
      </c>
      <c r="F39026">
        <v>1.7519041971453299E-8</v>
      </c>
      <c r="G39026">
        <v>3141650</v>
      </c>
      <c r="H39026">
        <v>14071935</v>
      </c>
      <c r="I39026">
        <v>3224314</v>
      </c>
      <c r="J39026">
        <v>3</v>
      </c>
    </row>
    <row r="39027" spans="1:10" x14ac:dyDescent="0.25">
      <c r="A39027" t="s">
        <v>399</v>
      </c>
      <c r="B39027" s="1" t="str">
        <f>HYPERLINK("http://vfsco.dk","vfsco.dk")</f>
        <v>vfsco.dk</v>
      </c>
      <c r="C39027" t="s">
        <v>437</v>
      </c>
      <c r="D39027" t="s">
        <v>816</v>
      </c>
      <c r="F39027">
        <v>4.81222540407472E-9</v>
      </c>
      <c r="G39027">
        <v>35573778</v>
      </c>
      <c r="H39027">
        <v>9440920</v>
      </c>
      <c r="I39027">
        <v>66660488</v>
      </c>
      <c r="J39027">
        <v>5</v>
      </c>
    </row>
    <row r="39028" spans="1:10" x14ac:dyDescent="0.25">
      <c r="A39028" t="s">
        <v>399</v>
      </c>
      <c r="B39028" s="1" t="str">
        <f>HYPERLINK("http://volvobuses.dk","volvobuses.dk")</f>
        <v>volvobuses.dk</v>
      </c>
      <c r="C39028" t="s">
        <v>437</v>
      </c>
      <c r="D39028" t="s">
        <v>816</v>
      </c>
      <c r="F39028">
        <v>6.3396505380511001E-9</v>
      </c>
      <c r="G39028">
        <v>14813276</v>
      </c>
      <c r="H39028">
        <v>11197610</v>
      </c>
      <c r="I39028">
        <v>31291194</v>
      </c>
      <c r="J39028">
        <v>3</v>
      </c>
    </row>
    <row r="39029" spans="1:10" x14ac:dyDescent="0.25">
      <c r="A39029" t="s">
        <v>399</v>
      </c>
      <c r="B39029" s="1" t="str">
        <f>HYPERLINK("http://volvoce.dk","volvoce.dk")</f>
        <v>volvoce.dk</v>
      </c>
      <c r="C39029" t="s">
        <v>437</v>
      </c>
      <c r="D39029" t="s">
        <v>816</v>
      </c>
      <c r="F39029">
        <v>5.5998968558245103E-9</v>
      </c>
      <c r="G39029">
        <v>19858282</v>
      </c>
      <c r="H39029">
        <v>12215331</v>
      </c>
      <c r="I39029">
        <v>22896286</v>
      </c>
      <c r="J39029">
        <v>4</v>
      </c>
    </row>
    <row r="39030" spans="1:10" x14ac:dyDescent="0.25">
      <c r="A39030" t="s">
        <v>399</v>
      </c>
      <c r="B39030" s="1" t="str">
        <f>HYPERLINK("http://volvotrucks.dk","volvotrucks.dk")</f>
        <v>volvotrucks.dk</v>
      </c>
      <c r="C39030" t="s">
        <v>437</v>
      </c>
      <c r="D39030" t="s">
        <v>816</v>
      </c>
      <c r="F39030">
        <v>1.2883518592670201E-8</v>
      </c>
      <c r="G39030">
        <v>4687272</v>
      </c>
      <c r="H39030">
        <v>12212529</v>
      </c>
      <c r="I39030">
        <v>22965263</v>
      </c>
      <c r="J39030">
        <v>4</v>
      </c>
    </row>
    <row r="39031" spans="1:10" x14ac:dyDescent="0.25">
      <c r="A39031" t="s">
        <v>399</v>
      </c>
      <c r="B39031" s="1" t="str">
        <f>HYPERLINK("http://macktrucks.com.do","macktrucks.com.do")</f>
        <v>macktrucks.com.do</v>
      </c>
      <c r="C39031" t="s">
        <v>438</v>
      </c>
      <c r="D39031" t="s">
        <v>817</v>
      </c>
      <c r="F39031">
        <v>7.62837876279027E-9</v>
      </c>
      <c r="G39031">
        <v>10733090</v>
      </c>
      <c r="H39031">
        <v>12079238</v>
      </c>
      <c r="I39031">
        <v>26580920</v>
      </c>
      <c r="J39031">
        <v>3</v>
      </c>
    </row>
    <row r="39032" spans="1:10" x14ac:dyDescent="0.25">
      <c r="A39032" t="s">
        <v>399</v>
      </c>
      <c r="B39032" s="1" t="str">
        <f>HYPERLINK("http://macktrucks.com.ec","macktrucks.com.ec")</f>
        <v>macktrucks.com.ec</v>
      </c>
      <c r="C39032" t="s">
        <v>440</v>
      </c>
      <c r="D39032" t="s">
        <v>819</v>
      </c>
      <c r="F39032">
        <v>7.7607077821448005E-9</v>
      </c>
      <c r="G39032">
        <v>10412984</v>
      </c>
      <c r="H39032">
        <v>12079239</v>
      </c>
      <c r="I39032">
        <v>26580905</v>
      </c>
      <c r="J39032">
        <v>3</v>
      </c>
    </row>
    <row r="39033" spans="1:10" x14ac:dyDescent="0.25">
      <c r="A39033" t="s">
        <v>399</v>
      </c>
      <c r="B39033" s="1" t="str">
        <f>HYPERLINK("http://renault-trucks.ee","renault-trucks.ee")</f>
        <v>renault-trucks.ee</v>
      </c>
      <c r="C39033" t="s">
        <v>441</v>
      </c>
      <c r="D39033" t="s">
        <v>820</v>
      </c>
      <c r="F39033">
        <v>1.4451214608219899E-8</v>
      </c>
      <c r="G39033">
        <v>4039448</v>
      </c>
      <c r="H39033">
        <v>11135350</v>
      </c>
      <c r="I39033">
        <v>31886158</v>
      </c>
      <c r="J39033">
        <v>3</v>
      </c>
    </row>
    <row r="39034" spans="1:10" x14ac:dyDescent="0.25">
      <c r="A39034" t="s">
        <v>399</v>
      </c>
      <c r="B39034" s="1" t="str">
        <f>HYPERLINK("http://vfsco.ee","vfsco.ee")</f>
        <v>vfsco.ee</v>
      </c>
      <c r="C39034" t="s">
        <v>441</v>
      </c>
      <c r="D39034" t="s">
        <v>820</v>
      </c>
      <c r="F39034">
        <v>5.0980268178701103E-9</v>
      </c>
      <c r="G39034">
        <v>27118167</v>
      </c>
      <c r="H39034">
        <v>10603387</v>
      </c>
      <c r="I39034">
        <v>44769327</v>
      </c>
      <c r="J39034">
        <v>5</v>
      </c>
    </row>
    <row r="39035" spans="1:10" x14ac:dyDescent="0.25">
      <c r="A39035" t="s">
        <v>399</v>
      </c>
      <c r="B39035" s="1" t="str">
        <f>HYPERLINK("http://volvotrucks.ee","volvotrucks.ee")</f>
        <v>volvotrucks.ee</v>
      </c>
      <c r="C39035" t="s">
        <v>441</v>
      </c>
      <c r="D39035" t="s">
        <v>820</v>
      </c>
      <c r="F39035">
        <v>1.6229718524427701E-8</v>
      </c>
      <c r="G39035">
        <v>3487883</v>
      </c>
      <c r="H39035">
        <v>12402467</v>
      </c>
      <c r="I39035">
        <v>18742041</v>
      </c>
      <c r="J39035">
        <v>4</v>
      </c>
    </row>
    <row r="39036" spans="1:10" x14ac:dyDescent="0.25">
      <c r="A39036" t="s">
        <v>399</v>
      </c>
      <c r="B39036" s="1" t="str">
        <f>HYPERLINK("http://renault-trucks.es","renault-trucks.es")</f>
        <v>renault-trucks.es</v>
      </c>
      <c r="C39036" t="s">
        <v>443</v>
      </c>
      <c r="D39036" t="s">
        <v>822</v>
      </c>
      <c r="F39036">
        <v>3.30120439586358E-8</v>
      </c>
      <c r="G39036">
        <v>1564927</v>
      </c>
      <c r="H39036">
        <v>14075254</v>
      </c>
      <c r="I39036">
        <v>2914063</v>
      </c>
      <c r="J39036">
        <v>3</v>
      </c>
    </row>
    <row r="39037" spans="1:10" x14ac:dyDescent="0.25">
      <c r="A39037" t="s">
        <v>399</v>
      </c>
      <c r="B39037" s="1" t="str">
        <f>HYPERLINK("http://vfsco.es","vfsco.es")</f>
        <v>vfsco.es</v>
      </c>
      <c r="C39037" t="s">
        <v>443</v>
      </c>
      <c r="D39037" t="s">
        <v>822</v>
      </c>
      <c r="F39037">
        <v>5.7902328019045402E-9</v>
      </c>
      <c r="G39037">
        <v>18162712</v>
      </c>
      <c r="H39037">
        <v>10607386</v>
      </c>
      <c r="I39037">
        <v>44641256</v>
      </c>
      <c r="J39037">
        <v>5</v>
      </c>
    </row>
    <row r="39038" spans="1:10" x14ac:dyDescent="0.25">
      <c r="A39038" t="s">
        <v>399</v>
      </c>
      <c r="B39038" s="1" t="str">
        <f>HYPERLINK("http://volvobuses.es","volvobuses.es")</f>
        <v>volvobuses.es</v>
      </c>
      <c r="C39038" t="s">
        <v>443</v>
      </c>
      <c r="D39038" t="s">
        <v>822</v>
      </c>
      <c r="F39038">
        <v>9.4564429053516792E-9</v>
      </c>
      <c r="G39038">
        <v>7374965</v>
      </c>
      <c r="H39038">
        <v>13763995</v>
      </c>
      <c r="I39038">
        <v>7439467</v>
      </c>
      <c r="J39038">
        <v>3</v>
      </c>
    </row>
    <row r="39039" spans="1:10" x14ac:dyDescent="0.25">
      <c r="A39039" t="s">
        <v>399</v>
      </c>
      <c r="B39039" s="1" t="str">
        <f>HYPERLINK("http://volvopenta.es","volvopenta.es")</f>
        <v>volvopenta.es</v>
      </c>
      <c r="C39039" t="s">
        <v>443</v>
      </c>
      <c r="D39039" t="s">
        <v>822</v>
      </c>
      <c r="F39039">
        <v>2.1050207027316799E-8</v>
      </c>
      <c r="G39039">
        <v>2509280</v>
      </c>
      <c r="H39039">
        <v>14079746</v>
      </c>
      <c r="I39039">
        <v>2828413</v>
      </c>
      <c r="J39039">
        <v>4</v>
      </c>
    </row>
    <row r="39040" spans="1:10" x14ac:dyDescent="0.25">
      <c r="A39040" t="s">
        <v>399</v>
      </c>
      <c r="B39040" s="1" t="str">
        <f>HYPERLINK("http://volvotrucks.es","volvotrucks.es")</f>
        <v>volvotrucks.es</v>
      </c>
      <c r="C39040" t="s">
        <v>443</v>
      </c>
      <c r="D39040" t="s">
        <v>822</v>
      </c>
      <c r="F39040">
        <v>2.4686850277667601E-8</v>
      </c>
      <c r="G39040">
        <v>2095541</v>
      </c>
      <c r="H39040">
        <v>12910750</v>
      </c>
      <c r="I39040">
        <v>13551216</v>
      </c>
      <c r="J39040">
        <v>4</v>
      </c>
    </row>
    <row r="39041" spans="1:10" x14ac:dyDescent="0.25">
      <c r="A39041" t="s">
        <v>399</v>
      </c>
      <c r="B39041" s="1" t="str">
        <f>HYPERLINK("http://arrowtruck.fi","arrowtruck.fi")</f>
        <v>arrowtruck.fi</v>
      </c>
      <c r="C39041" t="s">
        <v>445</v>
      </c>
      <c r="D39041" t="s">
        <v>823</v>
      </c>
      <c r="J39041">
        <v>2</v>
      </c>
    </row>
    <row r="39042" spans="1:10" x14ac:dyDescent="0.25">
      <c r="A39042" t="s">
        <v>399</v>
      </c>
      <c r="B39042" s="1" t="str">
        <f>HYPERLINK("http://forssatruckcenter.fi","forssatruckcenter.fi")</f>
        <v>forssatruckcenter.fi</v>
      </c>
      <c r="C39042" t="s">
        <v>445</v>
      </c>
      <c r="D39042" t="s">
        <v>823</v>
      </c>
      <c r="J39042">
        <v>2</v>
      </c>
    </row>
    <row r="39043" spans="1:10" x14ac:dyDescent="0.25">
      <c r="A39043" t="s">
        <v>399</v>
      </c>
      <c r="B39043" s="1" t="str">
        <f>HYPERLINK("http://kuopiotruckcenter.fi","kuopiotruckcenter.fi")</f>
        <v>kuopiotruckcenter.fi</v>
      </c>
      <c r="C39043" t="s">
        <v>445</v>
      </c>
      <c r="D39043" t="s">
        <v>823</v>
      </c>
      <c r="J39043">
        <v>2</v>
      </c>
    </row>
    <row r="39044" spans="1:10" x14ac:dyDescent="0.25">
      <c r="A39044" t="s">
        <v>399</v>
      </c>
      <c r="B39044" s="1" t="str">
        <f>HYPERLINK("http://lahtitruckcenter.fi","lahtitruckcenter.fi")</f>
        <v>lahtitruckcenter.fi</v>
      </c>
      <c r="C39044" t="s">
        <v>445</v>
      </c>
      <c r="D39044" t="s">
        <v>823</v>
      </c>
      <c r="J39044">
        <v>2</v>
      </c>
    </row>
    <row r="39045" spans="1:10" x14ac:dyDescent="0.25">
      <c r="A39045" t="s">
        <v>399</v>
      </c>
      <c r="B39045" s="1" t="str">
        <f>HYPERLINK("http://maxtrack.fi","maxtrack.fi")</f>
        <v>maxtrack.fi</v>
      </c>
      <c r="C39045" t="s">
        <v>445</v>
      </c>
      <c r="D39045" t="s">
        <v>823</v>
      </c>
      <c r="J39045">
        <v>6</v>
      </c>
    </row>
    <row r="39046" spans="1:10" x14ac:dyDescent="0.25">
      <c r="A39046" t="s">
        <v>399</v>
      </c>
      <c r="B39046" s="1" t="str">
        <f>HYPERLINK("http://operatorsclub.fi","operatorsclub.fi")</f>
        <v>operatorsclub.fi</v>
      </c>
      <c r="C39046" t="s">
        <v>445</v>
      </c>
      <c r="D39046" t="s">
        <v>823</v>
      </c>
      <c r="J39046">
        <v>5</v>
      </c>
    </row>
    <row r="39047" spans="1:10" x14ac:dyDescent="0.25">
      <c r="A39047" t="s">
        <v>399</v>
      </c>
      <c r="B39047" s="1" t="str">
        <f>HYPERLINK("http://penta.fi","penta.fi")</f>
        <v>penta.fi</v>
      </c>
      <c r="C39047" t="s">
        <v>445</v>
      </c>
      <c r="D39047" t="s">
        <v>823</v>
      </c>
      <c r="J39047">
        <v>5</v>
      </c>
    </row>
    <row r="39048" spans="1:10" x14ac:dyDescent="0.25">
      <c r="A39048" t="s">
        <v>399</v>
      </c>
      <c r="B39048" s="1" t="str">
        <f>HYPERLINK("http://poritruckcenter.fi","poritruckcenter.fi")</f>
        <v>poritruckcenter.fi</v>
      </c>
      <c r="C39048" t="s">
        <v>445</v>
      </c>
      <c r="D39048" t="s">
        <v>823</v>
      </c>
      <c r="J39048">
        <v>2</v>
      </c>
    </row>
    <row r="39049" spans="1:10" x14ac:dyDescent="0.25">
      <c r="A39049" t="s">
        <v>399</v>
      </c>
      <c r="B39049" s="1" t="str">
        <f>HYPERLINK("http://porvootruckcenter.fi","porvootruckcenter.fi")</f>
        <v>porvootruckcenter.fi</v>
      </c>
      <c r="C39049" t="s">
        <v>445</v>
      </c>
      <c r="D39049" t="s">
        <v>823</v>
      </c>
      <c r="J39049">
        <v>2</v>
      </c>
    </row>
    <row r="39050" spans="1:10" x14ac:dyDescent="0.25">
      <c r="A39050" t="s">
        <v>399</v>
      </c>
      <c r="B39050" s="1" t="str">
        <f>HYPERLINK("http://raaseporitruckcenter.fi","raaseporitruckcenter.fi")</f>
        <v>raaseporitruckcenter.fi</v>
      </c>
      <c r="C39050" t="s">
        <v>445</v>
      </c>
      <c r="D39050" t="s">
        <v>823</v>
      </c>
      <c r="J39050">
        <v>2</v>
      </c>
    </row>
    <row r="39051" spans="1:10" x14ac:dyDescent="0.25">
      <c r="A39051" t="s">
        <v>399</v>
      </c>
      <c r="B39051" s="1" t="str">
        <f>HYPERLINK("http://renault-trucks.fi","renault-trucks.fi")</f>
        <v>renault-trucks.fi</v>
      </c>
      <c r="C39051" t="s">
        <v>445</v>
      </c>
      <c r="D39051" t="s">
        <v>823</v>
      </c>
      <c r="F39051">
        <v>1.9249405355724399E-8</v>
      </c>
      <c r="G39051">
        <v>2790417</v>
      </c>
      <c r="H39051">
        <v>14101024</v>
      </c>
      <c r="I39051">
        <v>2703401</v>
      </c>
      <c r="J39051">
        <v>3</v>
      </c>
    </row>
    <row r="39052" spans="1:10" x14ac:dyDescent="0.25">
      <c r="A39052" t="s">
        <v>399</v>
      </c>
      <c r="B39052" s="1" t="str">
        <f>HYPERLINK("http://renaulttrucksfinancialservices.fi","renaulttrucksfinancialservices.fi")</f>
        <v>renaulttrucksfinancialservices.fi</v>
      </c>
      <c r="C39052" t="s">
        <v>445</v>
      </c>
      <c r="D39052" t="s">
        <v>823</v>
      </c>
      <c r="J39052">
        <v>9</v>
      </c>
    </row>
    <row r="39053" spans="1:10" x14ac:dyDescent="0.25">
      <c r="A39053" t="s">
        <v>399</v>
      </c>
      <c r="B39053" s="1" t="str">
        <f>HYPERLINK("http://rolac.fi","rolac.fi")</f>
        <v>rolac.fi</v>
      </c>
      <c r="C39053" t="s">
        <v>445</v>
      </c>
      <c r="D39053" t="s">
        <v>823</v>
      </c>
      <c r="F39053">
        <v>4.44665263248656E-9</v>
      </c>
      <c r="G39053">
        <v>74098841</v>
      </c>
      <c r="H39053">
        <v>9485521</v>
      </c>
      <c r="I39053">
        <v>65933325</v>
      </c>
      <c r="J39053">
        <v>2</v>
      </c>
    </row>
    <row r="39054" spans="1:10" x14ac:dyDescent="0.25">
      <c r="A39054" t="s">
        <v>399</v>
      </c>
      <c r="B39054" s="1" t="str">
        <f>HYPERLINK("http://rtfs.fi","rtfs.fi")</f>
        <v>rtfs.fi</v>
      </c>
      <c r="C39054" t="s">
        <v>445</v>
      </c>
      <c r="D39054" t="s">
        <v>823</v>
      </c>
      <c r="J39054">
        <v>9</v>
      </c>
    </row>
    <row r="39055" spans="1:10" x14ac:dyDescent="0.25">
      <c r="A39055" t="s">
        <v>399</v>
      </c>
      <c r="B39055" s="1" t="str">
        <f>HYPERLINK("http://tamperetruckcenter.fi","tamperetruckcenter.fi")</f>
        <v>tamperetruckcenter.fi</v>
      </c>
      <c r="C39055" t="s">
        <v>445</v>
      </c>
      <c r="D39055" t="s">
        <v>823</v>
      </c>
      <c r="J39055">
        <v>2</v>
      </c>
    </row>
    <row r="39056" spans="1:10" x14ac:dyDescent="0.25">
      <c r="A39056" t="s">
        <v>399</v>
      </c>
      <c r="B39056" s="1" t="str">
        <f>HYPERLINK("http://teollisuusmoottori.fi","teollisuusmoottori.fi")</f>
        <v>teollisuusmoottori.fi</v>
      </c>
      <c r="C39056" t="s">
        <v>445</v>
      </c>
      <c r="D39056" t="s">
        <v>823</v>
      </c>
      <c r="J39056">
        <v>5</v>
      </c>
    </row>
    <row r="39057" spans="1:10" x14ac:dyDescent="0.25">
      <c r="A39057" t="s">
        <v>399</v>
      </c>
      <c r="B39057" s="1" t="str">
        <f>HYPERLINK("http://teollisuusmoottorit.fi","teollisuusmoottorit.fi")</f>
        <v>teollisuusmoottorit.fi</v>
      </c>
      <c r="C39057" t="s">
        <v>445</v>
      </c>
      <c r="D39057" t="s">
        <v>823</v>
      </c>
      <c r="F39057">
        <v>5.25816495837921E-9</v>
      </c>
      <c r="G39057">
        <v>24130802</v>
      </c>
      <c r="H39057">
        <v>11245625</v>
      </c>
      <c r="I39057">
        <v>30928900</v>
      </c>
      <c r="J39057">
        <v>5</v>
      </c>
    </row>
    <row r="39058" spans="1:10" x14ac:dyDescent="0.25">
      <c r="A39058" t="s">
        <v>399</v>
      </c>
      <c r="B39058" s="1" t="str">
        <f>HYPERLINK("http://truckcenterforssa.fi","truckcenterforssa.fi")</f>
        <v>truckcenterforssa.fi</v>
      </c>
      <c r="C39058" t="s">
        <v>445</v>
      </c>
      <c r="D39058" t="s">
        <v>823</v>
      </c>
      <c r="J39058">
        <v>2</v>
      </c>
    </row>
    <row r="39059" spans="1:10" x14ac:dyDescent="0.25">
      <c r="A39059" t="s">
        <v>399</v>
      </c>
      <c r="B39059" s="1" t="str">
        <f>HYPERLINK("http://truckcenterjyvaskyla.fi","truckcenterjyvaskyla.fi")</f>
        <v>truckcenterjyvaskyla.fi</v>
      </c>
      <c r="C39059" t="s">
        <v>445</v>
      </c>
      <c r="D39059" t="s">
        <v>823</v>
      </c>
      <c r="J39059">
        <v>2</v>
      </c>
    </row>
    <row r="39060" spans="1:10" x14ac:dyDescent="0.25">
      <c r="A39060" t="s">
        <v>399</v>
      </c>
      <c r="B39060" s="1" t="str">
        <f>HYPERLINK("http://truckcenterkuopio.fi","truckcenterkuopio.fi")</f>
        <v>truckcenterkuopio.fi</v>
      </c>
      <c r="C39060" t="s">
        <v>445</v>
      </c>
      <c r="D39060" t="s">
        <v>823</v>
      </c>
      <c r="J39060">
        <v>2</v>
      </c>
    </row>
    <row r="39061" spans="1:10" x14ac:dyDescent="0.25">
      <c r="A39061" t="s">
        <v>399</v>
      </c>
      <c r="B39061" s="1" t="str">
        <f>HYPERLINK("http://truckcenterlahti.fi","truckcenterlahti.fi")</f>
        <v>truckcenterlahti.fi</v>
      </c>
      <c r="C39061" t="s">
        <v>445</v>
      </c>
      <c r="D39061" t="s">
        <v>823</v>
      </c>
      <c r="J39061">
        <v>2</v>
      </c>
    </row>
    <row r="39062" spans="1:10" x14ac:dyDescent="0.25">
      <c r="A39062" t="s">
        <v>399</v>
      </c>
      <c r="B39062" s="1" t="str">
        <f>HYPERLINK("http://truckcenterpori.fi","truckcenterpori.fi")</f>
        <v>truckcenterpori.fi</v>
      </c>
      <c r="C39062" t="s">
        <v>445</v>
      </c>
      <c r="D39062" t="s">
        <v>823</v>
      </c>
      <c r="J39062">
        <v>2</v>
      </c>
    </row>
    <row r="39063" spans="1:10" x14ac:dyDescent="0.25">
      <c r="A39063" t="s">
        <v>399</v>
      </c>
      <c r="B39063" s="1" t="str">
        <f>HYPERLINK("http://truckcenterporvoo.fi","truckcenterporvoo.fi")</f>
        <v>truckcenterporvoo.fi</v>
      </c>
      <c r="C39063" t="s">
        <v>445</v>
      </c>
      <c r="D39063" t="s">
        <v>823</v>
      </c>
      <c r="J39063">
        <v>2</v>
      </c>
    </row>
    <row r="39064" spans="1:10" x14ac:dyDescent="0.25">
      <c r="A39064" t="s">
        <v>399</v>
      </c>
      <c r="B39064" s="1" t="str">
        <f>HYPERLINK("http://truckcenterraasepori.fi","truckcenterraasepori.fi")</f>
        <v>truckcenterraasepori.fi</v>
      </c>
      <c r="C39064" t="s">
        <v>445</v>
      </c>
      <c r="D39064" t="s">
        <v>823</v>
      </c>
      <c r="J39064">
        <v>2</v>
      </c>
    </row>
    <row r="39065" spans="1:10" x14ac:dyDescent="0.25">
      <c r="A39065" t="s">
        <v>399</v>
      </c>
      <c r="B39065" s="1" t="str">
        <f>HYPERLINK("http://truckcentertampere.fi","truckcentertampere.fi")</f>
        <v>truckcentertampere.fi</v>
      </c>
      <c r="C39065" t="s">
        <v>445</v>
      </c>
      <c r="D39065" t="s">
        <v>823</v>
      </c>
      <c r="J39065">
        <v>2</v>
      </c>
    </row>
    <row r="39066" spans="1:10" x14ac:dyDescent="0.25">
      <c r="A39066" t="s">
        <v>399</v>
      </c>
      <c r="B39066" s="1" t="str">
        <f>HYPERLINK("http://truckcenterturku.fi","truckcenterturku.fi")</f>
        <v>truckcenterturku.fi</v>
      </c>
      <c r="C39066" t="s">
        <v>445</v>
      </c>
      <c r="D39066" t="s">
        <v>823</v>
      </c>
      <c r="J39066">
        <v>2</v>
      </c>
    </row>
    <row r="39067" spans="1:10" x14ac:dyDescent="0.25">
      <c r="A39067" t="s">
        <v>399</v>
      </c>
      <c r="B39067" s="1" t="str">
        <f>HYPERLINK("http://truckcentervantaa.fi","truckcentervantaa.fi")</f>
        <v>truckcentervantaa.fi</v>
      </c>
      <c r="C39067" t="s">
        <v>445</v>
      </c>
      <c r="D39067" t="s">
        <v>823</v>
      </c>
      <c r="J39067">
        <v>2</v>
      </c>
    </row>
    <row r="39068" spans="1:10" x14ac:dyDescent="0.25">
      <c r="A39068" t="s">
        <v>399</v>
      </c>
      <c r="B39068" s="1" t="str">
        <f>HYPERLINK("http://truckfinder.fi","truckfinder.fi")</f>
        <v>truckfinder.fi</v>
      </c>
      <c r="C39068" t="s">
        <v>445</v>
      </c>
      <c r="D39068" t="s">
        <v>823</v>
      </c>
      <c r="J39068">
        <v>5</v>
      </c>
    </row>
    <row r="39069" spans="1:10" x14ac:dyDescent="0.25">
      <c r="A39069" t="s">
        <v>399</v>
      </c>
      <c r="B39069" s="1" t="str">
        <f>HYPERLINK("http://truckrental.fi","truckrental.fi")</f>
        <v>truckrental.fi</v>
      </c>
      <c r="C39069" t="s">
        <v>445</v>
      </c>
      <c r="D39069" t="s">
        <v>823</v>
      </c>
      <c r="F39069">
        <v>4.46020750117086E-9</v>
      </c>
      <c r="G39069">
        <v>67693906</v>
      </c>
      <c r="H39069">
        <v>10597773</v>
      </c>
      <c r="I39069">
        <v>45031064</v>
      </c>
      <c r="J39069">
        <v>7</v>
      </c>
    </row>
    <row r="39070" spans="1:10" x14ac:dyDescent="0.25">
      <c r="A39070" t="s">
        <v>399</v>
      </c>
      <c r="B39070" s="1" t="str">
        <f>HYPERLINK("http://turkutruckcenter.fi","turkutruckcenter.fi")</f>
        <v>turkutruckcenter.fi</v>
      </c>
      <c r="C39070" t="s">
        <v>445</v>
      </c>
      <c r="D39070" t="s">
        <v>823</v>
      </c>
      <c r="J39070">
        <v>2</v>
      </c>
    </row>
    <row r="39071" spans="1:10" x14ac:dyDescent="0.25">
      <c r="A39071" t="s">
        <v>399</v>
      </c>
      <c r="B39071" s="1" t="str">
        <f>HYPERLINK("http://used-renault-trucks.fi","used-renault-trucks.fi")</f>
        <v>used-renault-trucks.fi</v>
      </c>
      <c r="C39071" t="s">
        <v>445</v>
      </c>
      <c r="D39071" t="s">
        <v>823</v>
      </c>
      <c r="F39071">
        <v>5.7816506377239097E-9</v>
      </c>
      <c r="G39071">
        <v>18231773</v>
      </c>
      <c r="H39071">
        <v>9462633</v>
      </c>
      <c r="I39071">
        <v>66314115</v>
      </c>
      <c r="J39071">
        <v>6</v>
      </c>
    </row>
    <row r="39072" spans="1:10" x14ac:dyDescent="0.25">
      <c r="A39072" t="s">
        <v>399</v>
      </c>
      <c r="B39072" s="1" t="str">
        <f>HYPERLINK("http://vantaatruckcenter.fi","vantaatruckcenter.fi")</f>
        <v>vantaatruckcenter.fi</v>
      </c>
      <c r="C39072" t="s">
        <v>445</v>
      </c>
      <c r="D39072" t="s">
        <v>823</v>
      </c>
      <c r="J39072">
        <v>2</v>
      </c>
    </row>
    <row r="39073" spans="1:10" x14ac:dyDescent="0.25">
      <c r="A39073" t="s">
        <v>399</v>
      </c>
      <c r="B39073" s="1" t="str">
        <f>HYPERLINK("http://vfsco.fi","vfsco.fi")</f>
        <v>vfsco.fi</v>
      </c>
      <c r="C39073" t="s">
        <v>445</v>
      </c>
      <c r="D39073" t="s">
        <v>823</v>
      </c>
      <c r="F39073">
        <v>6.9109233825434304E-9</v>
      </c>
      <c r="G39073">
        <v>12587072</v>
      </c>
      <c r="H39073">
        <v>11119904</v>
      </c>
      <c r="I39073">
        <v>32049552</v>
      </c>
      <c r="J39073">
        <v>5</v>
      </c>
    </row>
    <row r="39074" spans="1:10" x14ac:dyDescent="0.25">
      <c r="A39074" t="s">
        <v>399</v>
      </c>
      <c r="B39074" s="1" t="str">
        <f>HYPERLINK("http://volvo.fi","volvo.fi")</f>
        <v>volvo.fi</v>
      </c>
      <c r="C39074" t="s">
        <v>445</v>
      </c>
      <c r="D39074" t="s">
        <v>823</v>
      </c>
      <c r="F39074">
        <v>4.85322416109018E-9</v>
      </c>
      <c r="G39074">
        <v>34037476</v>
      </c>
      <c r="H39074">
        <v>10600325</v>
      </c>
      <c r="I39074">
        <v>44889579</v>
      </c>
      <c r="J39074">
        <v>2</v>
      </c>
    </row>
    <row r="39075" spans="1:10" x14ac:dyDescent="0.25">
      <c r="A39075" t="s">
        <v>399</v>
      </c>
      <c r="B39075" s="1" t="str">
        <f>HYPERLINK("http://volvobuses.fi","volvobuses.fi")</f>
        <v>volvobuses.fi</v>
      </c>
      <c r="C39075" t="s">
        <v>445</v>
      </c>
      <c r="D39075" t="s">
        <v>823</v>
      </c>
      <c r="F39075">
        <v>8.0171694462761406E-9</v>
      </c>
      <c r="G39075">
        <v>9889507</v>
      </c>
      <c r="H39075">
        <v>14071991</v>
      </c>
      <c r="I39075">
        <v>3193224</v>
      </c>
      <c r="J39075">
        <v>3</v>
      </c>
    </row>
    <row r="39076" spans="1:10" x14ac:dyDescent="0.25">
      <c r="A39076" t="s">
        <v>399</v>
      </c>
      <c r="B39076" s="1" t="str">
        <f>HYPERLINK("http://volvoce.fi","volvoce.fi")</f>
        <v>volvoce.fi</v>
      </c>
      <c r="C39076" t="s">
        <v>445</v>
      </c>
      <c r="D39076" t="s">
        <v>823</v>
      </c>
      <c r="F39076">
        <v>5.55806044659351E-9</v>
      </c>
      <c r="G39076">
        <v>20294133</v>
      </c>
      <c r="H39076">
        <v>11203678</v>
      </c>
      <c r="I39076">
        <v>31218487</v>
      </c>
      <c r="J39076">
        <v>2</v>
      </c>
    </row>
    <row r="39077" spans="1:10" x14ac:dyDescent="0.25">
      <c r="A39077" t="s">
        <v>399</v>
      </c>
      <c r="B39077" s="1" t="str">
        <f>HYPERLINK("http://volvofinancialservices.fi","volvofinancialservices.fi")</f>
        <v>volvofinancialservices.fi</v>
      </c>
      <c r="C39077" t="s">
        <v>445</v>
      </c>
      <c r="D39077" t="s">
        <v>823</v>
      </c>
      <c r="J39077">
        <v>9</v>
      </c>
    </row>
    <row r="39078" spans="1:10" x14ac:dyDescent="0.25">
      <c r="A39078" t="s">
        <v>399</v>
      </c>
      <c r="B39078" s="1" t="str">
        <f>HYPERLINK("http://volvofinland.fi","volvofinland.fi")</f>
        <v>volvofinland.fi</v>
      </c>
      <c r="C39078" t="s">
        <v>445</v>
      </c>
      <c r="D39078" t="s">
        <v>823</v>
      </c>
      <c r="J39078">
        <v>2</v>
      </c>
    </row>
    <row r="39079" spans="1:10" x14ac:dyDescent="0.25">
      <c r="A39079" t="s">
        <v>399</v>
      </c>
      <c r="B39079" s="1" t="str">
        <f>HYPERLINK("http://volvopenta.fi","volvopenta.fi")</f>
        <v>volvopenta.fi</v>
      </c>
      <c r="C39079" t="s">
        <v>445</v>
      </c>
      <c r="D39079" t="s">
        <v>823</v>
      </c>
      <c r="J39079">
        <v>5</v>
      </c>
    </row>
    <row r="39080" spans="1:10" x14ac:dyDescent="0.25">
      <c r="A39080" t="s">
        <v>399</v>
      </c>
      <c r="B39080" s="1" t="str">
        <f>HYPERLINK("http://volvopenta-huolto.fi","volvopenta-huolto.fi")</f>
        <v>volvopenta-huolto.fi</v>
      </c>
      <c r="C39080" t="s">
        <v>445</v>
      </c>
      <c r="D39080" t="s">
        <v>823</v>
      </c>
      <c r="J39080">
        <v>5</v>
      </c>
    </row>
    <row r="39081" spans="1:10" x14ac:dyDescent="0.25">
      <c r="A39081" t="s">
        <v>399</v>
      </c>
      <c r="B39081" s="1" t="str">
        <f>HYPERLINK("http://volvopenta-teollisuusmoottorit.fi","volvopenta-teollisuusmoottorit.fi")</f>
        <v>volvopenta-teollisuusmoottorit.fi</v>
      </c>
      <c r="C39081" t="s">
        <v>445</v>
      </c>
      <c r="D39081" t="s">
        <v>823</v>
      </c>
      <c r="J39081">
        <v>5</v>
      </c>
    </row>
    <row r="39082" spans="1:10" x14ac:dyDescent="0.25">
      <c r="A39082" t="s">
        <v>399</v>
      </c>
      <c r="B39082" s="1" t="str">
        <f>HYPERLINK("http://volvopenta-varaosat.fi","volvopenta-varaosat.fi")</f>
        <v>volvopenta-varaosat.fi</v>
      </c>
      <c r="C39082" t="s">
        <v>445</v>
      </c>
      <c r="D39082" t="s">
        <v>823</v>
      </c>
      <c r="J39082">
        <v>5</v>
      </c>
    </row>
    <row r="39083" spans="1:10" x14ac:dyDescent="0.25">
      <c r="A39083" t="s">
        <v>399</v>
      </c>
      <c r="B39083" s="1" t="str">
        <f>HYPERLINK("http://volvopentashop.fi","volvopentashop.fi")</f>
        <v>volvopentashop.fi</v>
      </c>
      <c r="C39083" t="s">
        <v>445</v>
      </c>
      <c r="D39083" t="s">
        <v>823</v>
      </c>
      <c r="J39083">
        <v>5</v>
      </c>
    </row>
    <row r="39084" spans="1:10" x14ac:dyDescent="0.25">
      <c r="A39084" t="s">
        <v>399</v>
      </c>
      <c r="B39084" s="1" t="str">
        <f>HYPERLINK("http://volvopentavaihtokone.fi","volvopentavaihtokone.fi")</f>
        <v>volvopentavaihtokone.fi</v>
      </c>
      <c r="C39084" t="s">
        <v>445</v>
      </c>
      <c r="D39084" t="s">
        <v>823</v>
      </c>
      <c r="F39084">
        <v>4.7993321449840302E-9</v>
      </c>
      <c r="G39084">
        <v>36113655</v>
      </c>
      <c r="H39084">
        <v>10699316</v>
      </c>
      <c r="I39084">
        <v>42326670</v>
      </c>
      <c r="J39084">
        <v>5</v>
      </c>
    </row>
    <row r="39085" spans="1:10" x14ac:dyDescent="0.25">
      <c r="A39085" t="s">
        <v>399</v>
      </c>
      <c r="B39085" s="1" t="str">
        <f>HYPERLINK("http://volvosaatio.fi","volvosaatio.fi")</f>
        <v>volvosaatio.fi</v>
      </c>
      <c r="C39085" t="s">
        <v>445</v>
      </c>
      <c r="D39085" t="s">
        <v>823</v>
      </c>
      <c r="F39085">
        <v>5.4170392684679403E-9</v>
      </c>
      <c r="G39085">
        <v>21897551</v>
      </c>
      <c r="H39085">
        <v>10836582</v>
      </c>
      <c r="I39085">
        <v>37250586</v>
      </c>
      <c r="J39085">
        <v>2</v>
      </c>
    </row>
    <row r="39086" spans="1:10" x14ac:dyDescent="0.25">
      <c r="A39086" t="s">
        <v>399</v>
      </c>
      <c r="B39086" s="1" t="str">
        <f>HYPERLINK("http://volvoselected.fi","volvoselected.fi")</f>
        <v>volvoselected.fi</v>
      </c>
      <c r="C39086" t="s">
        <v>445</v>
      </c>
      <c r="D39086" t="s">
        <v>823</v>
      </c>
      <c r="J39086">
        <v>2</v>
      </c>
    </row>
    <row r="39087" spans="1:10" x14ac:dyDescent="0.25">
      <c r="A39087" t="s">
        <v>399</v>
      </c>
      <c r="B39087" s="1" t="str">
        <f>HYPERLINK("http://volvotruckcenter.fi","volvotruckcenter.fi")</f>
        <v>volvotruckcenter.fi</v>
      </c>
      <c r="C39087" t="s">
        <v>445</v>
      </c>
      <c r="D39087" t="s">
        <v>823</v>
      </c>
      <c r="F39087">
        <v>8.5209010615564607E-9</v>
      </c>
      <c r="G39087">
        <v>8804401</v>
      </c>
      <c r="H39087">
        <v>11207081</v>
      </c>
      <c r="I39087">
        <v>31185484</v>
      </c>
      <c r="J39087">
        <v>7</v>
      </c>
    </row>
    <row r="39088" spans="1:10" x14ac:dyDescent="0.25">
      <c r="A39088" t="s">
        <v>399</v>
      </c>
      <c r="B39088" s="1" t="str">
        <f>HYPERLINK("http://volvotruckrental.fi","volvotruckrental.fi")</f>
        <v>volvotruckrental.fi</v>
      </c>
      <c r="C39088" t="s">
        <v>445</v>
      </c>
      <c r="D39088" t="s">
        <v>823</v>
      </c>
      <c r="J39088">
        <v>7</v>
      </c>
    </row>
    <row r="39089" spans="1:10" x14ac:dyDescent="0.25">
      <c r="A39089" t="s">
        <v>399</v>
      </c>
      <c r="B39089" s="1" t="str">
        <f>HYPERLINK("http://volvotrucks.fi","volvotrucks.fi")</f>
        <v>volvotrucks.fi</v>
      </c>
      <c r="C39089" t="s">
        <v>445</v>
      </c>
      <c r="D39089" t="s">
        <v>823</v>
      </c>
      <c r="F39089">
        <v>3.2040183773857701E-8</v>
      </c>
      <c r="G39089">
        <v>1613359</v>
      </c>
      <c r="H39089">
        <v>14237608</v>
      </c>
      <c r="I39089">
        <v>1545792</v>
      </c>
      <c r="J39089">
        <v>4</v>
      </c>
    </row>
    <row r="39090" spans="1:10" x14ac:dyDescent="0.25">
      <c r="A39090" t="s">
        <v>399</v>
      </c>
      <c r="B39090" s="1" t="str">
        <f>HYPERLINK("http://volvotrucksrental.fi","volvotrucksrental.fi")</f>
        <v>volvotrucksrental.fi</v>
      </c>
      <c r="C39090" t="s">
        <v>445</v>
      </c>
      <c r="D39090" t="s">
        <v>823</v>
      </c>
      <c r="J39090">
        <v>7</v>
      </c>
    </row>
    <row r="39091" spans="1:10" x14ac:dyDescent="0.25">
      <c r="A39091" t="s">
        <v>399</v>
      </c>
      <c r="B39091" s="1" t="str">
        <f>HYPERLINK("http://acmat.fr","acmat.fr")</f>
        <v>acmat.fr</v>
      </c>
      <c r="C39091" t="s">
        <v>446</v>
      </c>
      <c r="D39091" t="s">
        <v>824</v>
      </c>
      <c r="F39091">
        <v>7.0686491076123803E-9</v>
      </c>
      <c r="G39091">
        <v>12102691</v>
      </c>
      <c r="H39091">
        <v>13948843</v>
      </c>
      <c r="I39091">
        <v>4190196</v>
      </c>
      <c r="J39091">
        <v>4</v>
      </c>
    </row>
    <row r="39092" spans="1:10" x14ac:dyDescent="0.25">
      <c r="A39092" t="s">
        <v>399</v>
      </c>
      <c r="B39092" s="1" t="str">
        <f>HYPERLINK("http://renault-trucks.fr","renault-trucks.fr")</f>
        <v>renault-trucks.fr</v>
      </c>
      <c r="C39092" t="s">
        <v>446</v>
      </c>
      <c r="D39092" t="s">
        <v>824</v>
      </c>
      <c r="F39092">
        <v>8.4726714713997698E-8</v>
      </c>
      <c r="G39092">
        <v>487294</v>
      </c>
      <c r="H39092">
        <v>14452455</v>
      </c>
      <c r="I39092">
        <v>1051786</v>
      </c>
      <c r="J39092">
        <v>3</v>
      </c>
    </row>
    <row r="39093" spans="1:10" x14ac:dyDescent="0.25">
      <c r="A39093" t="s">
        <v>399</v>
      </c>
      <c r="B39093" s="1" t="str">
        <f>HYPERLINK("http://vfsco.fr","vfsco.fr")</f>
        <v>vfsco.fr</v>
      </c>
      <c r="C39093" t="s">
        <v>446</v>
      </c>
      <c r="D39093" t="s">
        <v>824</v>
      </c>
      <c r="F39093">
        <v>4.4960767496211197E-9</v>
      </c>
      <c r="G39093">
        <v>59534564</v>
      </c>
      <c r="H39093">
        <v>10509648</v>
      </c>
      <c r="I39093">
        <v>49743603</v>
      </c>
      <c r="J39093">
        <v>5</v>
      </c>
    </row>
    <row r="39094" spans="1:10" x14ac:dyDescent="0.25">
      <c r="A39094" t="s">
        <v>399</v>
      </c>
      <c r="B39094" s="1" t="str">
        <f>HYPERLINK("http://volvo-vienne.fr","volvo-vienne.fr")</f>
        <v>volvo-vienne.fr</v>
      </c>
      <c r="C39094" t="s">
        <v>446</v>
      </c>
      <c r="D39094" t="s">
        <v>824</v>
      </c>
      <c r="J39094">
        <v>3</v>
      </c>
    </row>
    <row r="39095" spans="1:10" x14ac:dyDescent="0.25">
      <c r="A39095" t="s">
        <v>399</v>
      </c>
      <c r="B39095" s="1" t="str">
        <f>HYPERLINK("http://volvobuses.fr","volvobuses.fr")</f>
        <v>volvobuses.fr</v>
      </c>
      <c r="C39095" t="s">
        <v>446</v>
      </c>
      <c r="D39095" t="s">
        <v>824</v>
      </c>
      <c r="F39095">
        <v>9.4557988788117E-9</v>
      </c>
      <c r="G39095">
        <v>7375734</v>
      </c>
      <c r="H39095">
        <v>14071847</v>
      </c>
      <c r="I39095">
        <v>3294607</v>
      </c>
      <c r="J39095">
        <v>3</v>
      </c>
    </row>
    <row r="39096" spans="1:10" x14ac:dyDescent="0.25">
      <c r="A39096" t="s">
        <v>399</v>
      </c>
      <c r="B39096" s="1" t="str">
        <f>HYPERLINK("http://volvogroup.fr","volvogroup.fr")</f>
        <v>volvogroup.fr</v>
      </c>
      <c r="C39096" t="s">
        <v>446</v>
      </c>
      <c r="D39096" t="s">
        <v>824</v>
      </c>
      <c r="F39096">
        <v>1.4781473064630399E-8</v>
      </c>
      <c r="G39096">
        <v>3913562</v>
      </c>
      <c r="H39096">
        <v>12359163</v>
      </c>
      <c r="I39096">
        <v>19604201</v>
      </c>
      <c r="J39096">
        <v>3</v>
      </c>
    </row>
    <row r="39097" spans="1:10" x14ac:dyDescent="0.25">
      <c r="A39097" t="s">
        <v>399</v>
      </c>
      <c r="B39097" s="1" t="str">
        <f>HYPERLINK("http://volvopenta.fr","volvopenta.fr")</f>
        <v>volvopenta.fr</v>
      </c>
      <c r="C39097" t="s">
        <v>446</v>
      </c>
      <c r="D39097" t="s">
        <v>824</v>
      </c>
      <c r="F39097">
        <v>2.3202551587523799E-8</v>
      </c>
      <c r="G39097">
        <v>2249159</v>
      </c>
      <c r="H39097">
        <v>12998729</v>
      </c>
      <c r="I39097">
        <v>12803279</v>
      </c>
      <c r="J39097">
        <v>4</v>
      </c>
    </row>
    <row r="39098" spans="1:10" x14ac:dyDescent="0.25">
      <c r="A39098" t="s">
        <v>399</v>
      </c>
      <c r="B39098" s="1" t="str">
        <f>HYPERLINK("http://volvotrucks.fr","volvotrucks.fr")</f>
        <v>volvotrucks.fr</v>
      </c>
      <c r="C39098" t="s">
        <v>446</v>
      </c>
      <c r="D39098" t="s">
        <v>824</v>
      </c>
      <c r="F39098">
        <v>2.8178318579634401E-8</v>
      </c>
      <c r="G39098">
        <v>1826258</v>
      </c>
      <c r="H39098">
        <v>12654662</v>
      </c>
      <c r="I39098">
        <v>15769906</v>
      </c>
      <c r="J39098">
        <v>4</v>
      </c>
    </row>
    <row r="39099" spans="1:10" x14ac:dyDescent="0.25">
      <c r="A39099" t="s">
        <v>399</v>
      </c>
      <c r="B39099" s="1" t="str">
        <f>HYPERLINK("http://volvotrucks.ge","volvotrucks.ge")</f>
        <v>volvotrucks.ge</v>
      </c>
      <c r="C39099" t="s">
        <v>637</v>
      </c>
      <c r="D39099" t="s">
        <v>958</v>
      </c>
      <c r="F39099">
        <v>6.8371165133034699E-9</v>
      </c>
      <c r="G39099">
        <v>12839574</v>
      </c>
      <c r="H39099">
        <v>11174304</v>
      </c>
      <c r="I39099">
        <v>31487807</v>
      </c>
      <c r="J39099">
        <v>4</v>
      </c>
    </row>
    <row r="39100" spans="1:10" x14ac:dyDescent="0.25">
      <c r="A39100" t="s">
        <v>399</v>
      </c>
      <c r="B39100" s="1" t="str">
        <f>HYPERLINK("http://volvotrucks.gr","volvotrucks.gr")</f>
        <v>volvotrucks.gr</v>
      </c>
      <c r="C39100" t="s">
        <v>447</v>
      </c>
      <c r="D39100" t="s">
        <v>825</v>
      </c>
      <c r="F39100">
        <v>8.62646402845874E-9</v>
      </c>
      <c r="G39100">
        <v>8608652</v>
      </c>
      <c r="H39100">
        <v>11307503</v>
      </c>
      <c r="I39100">
        <v>30573104</v>
      </c>
      <c r="J39100">
        <v>4</v>
      </c>
    </row>
    <row r="39101" spans="1:10" x14ac:dyDescent="0.25">
      <c r="A39101" t="s">
        <v>399</v>
      </c>
      <c r="B39101" s="1" t="str">
        <f>HYPERLINK("http://macktrucks.gt","macktrucks.gt")</f>
        <v>macktrucks.gt</v>
      </c>
      <c r="C39101" t="s">
        <v>448</v>
      </c>
      <c r="D39101" t="s">
        <v>826</v>
      </c>
      <c r="F39101">
        <v>7.7607077821448005E-9</v>
      </c>
      <c r="G39101">
        <v>10412985</v>
      </c>
      <c r="H39101">
        <v>12079239</v>
      </c>
      <c r="I39101">
        <v>26580906</v>
      </c>
      <c r="J39101">
        <v>3</v>
      </c>
    </row>
    <row r="39102" spans="1:10" x14ac:dyDescent="0.25">
      <c r="A39102" t="s">
        <v>399</v>
      </c>
      <c r="B39102" s="1" t="str">
        <f>HYPERLINK("http://volvobuses.hk","volvobuses.hk")</f>
        <v>volvobuses.hk</v>
      </c>
      <c r="C39102" t="s">
        <v>450</v>
      </c>
      <c r="D39102" t="s">
        <v>827</v>
      </c>
      <c r="F39102">
        <v>6.9833400919346296E-9</v>
      </c>
      <c r="G39102">
        <v>12361248</v>
      </c>
      <c r="H39102">
        <v>14071986</v>
      </c>
      <c r="I39102">
        <v>3200745</v>
      </c>
      <c r="J39102">
        <v>3</v>
      </c>
    </row>
    <row r="39103" spans="1:10" x14ac:dyDescent="0.25">
      <c r="A39103" t="s">
        <v>399</v>
      </c>
      <c r="B39103" s="1" t="str">
        <f>HYPERLINK("http://volvotrucks.hk","volvotrucks.hk")</f>
        <v>volvotrucks.hk</v>
      </c>
      <c r="C39103" t="s">
        <v>450</v>
      </c>
      <c r="D39103" t="s">
        <v>827</v>
      </c>
      <c r="F39103">
        <v>7.4883222400810208E-9</v>
      </c>
      <c r="G39103">
        <v>11039445</v>
      </c>
      <c r="H39103">
        <v>11211335</v>
      </c>
      <c r="I39103">
        <v>31153536</v>
      </c>
      <c r="J39103">
        <v>4</v>
      </c>
    </row>
    <row r="39104" spans="1:10" x14ac:dyDescent="0.25">
      <c r="A39104" t="s">
        <v>399</v>
      </c>
      <c r="B39104" s="1" t="str">
        <f>HYPERLINK("http://macktrucks.hn","macktrucks.hn")</f>
        <v>macktrucks.hn</v>
      </c>
      <c r="C39104" t="s">
        <v>451</v>
      </c>
      <c r="D39104" t="s">
        <v>828</v>
      </c>
      <c r="F39104">
        <v>7.7201592590529104E-9</v>
      </c>
      <c r="G39104">
        <v>10528684</v>
      </c>
      <c r="H39104">
        <v>12079240</v>
      </c>
      <c r="I39104">
        <v>26580862</v>
      </c>
      <c r="J39104">
        <v>3</v>
      </c>
    </row>
    <row r="39105" spans="1:10" x14ac:dyDescent="0.25">
      <c r="A39105" t="s">
        <v>399</v>
      </c>
      <c r="B39105" s="1" t="str">
        <f>HYPERLINK("http://renault-trucks.hr","renault-trucks.hr")</f>
        <v>renault-trucks.hr</v>
      </c>
      <c r="C39105" t="s">
        <v>452</v>
      </c>
      <c r="D39105" t="s">
        <v>829</v>
      </c>
      <c r="F39105">
        <v>1.4506885950298299E-8</v>
      </c>
      <c r="G39105">
        <v>4011164</v>
      </c>
      <c r="H39105">
        <v>11014045</v>
      </c>
      <c r="I39105">
        <v>33346434</v>
      </c>
      <c r="J39105">
        <v>3</v>
      </c>
    </row>
    <row r="39106" spans="1:10" x14ac:dyDescent="0.25">
      <c r="A39106" t="s">
        <v>399</v>
      </c>
      <c r="B39106" s="1" t="str">
        <f>HYPERLINK("http://volvotrucks.hr","volvotrucks.hr")</f>
        <v>volvotrucks.hr</v>
      </c>
      <c r="C39106" t="s">
        <v>452</v>
      </c>
      <c r="D39106" t="s">
        <v>829</v>
      </c>
      <c r="F39106">
        <v>9.46946794901966E-9</v>
      </c>
      <c r="G39106">
        <v>7359259</v>
      </c>
      <c r="H39106">
        <v>12198157</v>
      </c>
      <c r="I39106">
        <v>23368482</v>
      </c>
      <c r="J39106">
        <v>4</v>
      </c>
    </row>
    <row r="39107" spans="1:10" x14ac:dyDescent="0.25">
      <c r="A39107" t="s">
        <v>399</v>
      </c>
      <c r="B39107" s="1" t="str">
        <f>HYPERLINK("http://macktrucks.ht","macktrucks.ht")</f>
        <v>macktrucks.ht</v>
      </c>
      <c r="C39107" t="s">
        <v>646</v>
      </c>
      <c r="D39107" t="s">
        <v>965</v>
      </c>
      <c r="F39107">
        <v>7.7607077591153396E-9</v>
      </c>
      <c r="G39107">
        <v>10412986</v>
      </c>
      <c r="H39107">
        <v>12079239</v>
      </c>
      <c r="I39107">
        <v>26580907</v>
      </c>
      <c r="J39107">
        <v>3</v>
      </c>
    </row>
    <row r="39108" spans="1:10" x14ac:dyDescent="0.25">
      <c r="A39108" t="s">
        <v>399</v>
      </c>
      <c r="B39108" s="1" t="str">
        <f>HYPERLINK("http://renault-trucks.hu","renault-trucks.hu")</f>
        <v>renault-trucks.hu</v>
      </c>
      <c r="C39108" t="s">
        <v>453</v>
      </c>
      <c r="D39108" t="s">
        <v>830</v>
      </c>
      <c r="F39108">
        <v>1.6600384481592199E-8</v>
      </c>
      <c r="G39108">
        <v>3389254</v>
      </c>
      <c r="H39108">
        <v>11128746</v>
      </c>
      <c r="I39108">
        <v>31960383</v>
      </c>
      <c r="J39108">
        <v>3</v>
      </c>
    </row>
    <row r="39109" spans="1:10" x14ac:dyDescent="0.25">
      <c r="A39109" t="s">
        <v>399</v>
      </c>
      <c r="B39109" s="1" t="str">
        <f>HYPERLINK("http://vfsco.hu","vfsco.hu")</f>
        <v>vfsco.hu</v>
      </c>
      <c r="C39109" t="s">
        <v>453</v>
      </c>
      <c r="D39109" t="s">
        <v>830</v>
      </c>
      <c r="F39109">
        <v>4.6056136959833798E-9</v>
      </c>
      <c r="G39109">
        <v>47181070</v>
      </c>
      <c r="H39109">
        <v>8888199</v>
      </c>
      <c r="I39109">
        <v>69066072</v>
      </c>
      <c r="J39109">
        <v>5</v>
      </c>
    </row>
    <row r="39110" spans="1:10" x14ac:dyDescent="0.25">
      <c r="A39110" t="s">
        <v>399</v>
      </c>
      <c r="B39110" s="1" t="str">
        <f>HYPERLINK("http://volvobuses.hu","volvobuses.hu")</f>
        <v>volvobuses.hu</v>
      </c>
      <c r="C39110" t="s">
        <v>453</v>
      </c>
      <c r="D39110" t="s">
        <v>830</v>
      </c>
      <c r="F39110">
        <v>6.7981608719572404E-9</v>
      </c>
      <c r="G39110">
        <v>12967191</v>
      </c>
      <c r="H39110">
        <v>14071790</v>
      </c>
      <c r="I39110">
        <v>3515136</v>
      </c>
      <c r="J39110">
        <v>3</v>
      </c>
    </row>
    <row r="39111" spans="1:10" x14ac:dyDescent="0.25">
      <c r="A39111" t="s">
        <v>399</v>
      </c>
      <c r="B39111" s="1" t="str">
        <f>HYPERLINK("http://volvotrucks.hu","volvotrucks.hu")</f>
        <v>volvotrucks.hu</v>
      </c>
      <c r="C39111" t="s">
        <v>453</v>
      </c>
      <c r="D39111" t="s">
        <v>830</v>
      </c>
      <c r="F39111">
        <v>1.5816954737345301E-8</v>
      </c>
      <c r="G39111">
        <v>3594898</v>
      </c>
      <c r="H39111">
        <v>13720118</v>
      </c>
      <c r="I39111">
        <v>9475634</v>
      </c>
      <c r="J39111">
        <v>4</v>
      </c>
    </row>
    <row r="39112" spans="1:10" x14ac:dyDescent="0.25">
      <c r="A39112" t="s">
        <v>399</v>
      </c>
      <c r="B39112" s="1" t="str">
        <f>HYPERLINK("http://renault-trucks.co.id","renault-trucks.co.id")</f>
        <v>renault-trucks.co.id</v>
      </c>
      <c r="C39112" t="s">
        <v>454</v>
      </c>
      <c r="D39112" t="s">
        <v>831</v>
      </c>
      <c r="F39112">
        <v>4.4617301831770403E-9</v>
      </c>
      <c r="G39112">
        <v>67221453</v>
      </c>
      <c r="H39112">
        <v>11005286</v>
      </c>
      <c r="I39112">
        <v>33487740</v>
      </c>
      <c r="J39112">
        <v>3</v>
      </c>
    </row>
    <row r="39113" spans="1:10" x14ac:dyDescent="0.25">
      <c r="A39113" t="s">
        <v>399</v>
      </c>
      <c r="B39113" s="1" t="str">
        <f>HYPERLINK("http://volvotrucks.id","volvotrucks.id")</f>
        <v>volvotrucks.id</v>
      </c>
      <c r="C39113" t="s">
        <v>454</v>
      </c>
      <c r="D39113" t="s">
        <v>831</v>
      </c>
      <c r="F39113">
        <v>6.7625440545127601E-9</v>
      </c>
      <c r="G39113">
        <v>13086813</v>
      </c>
      <c r="H39113">
        <v>11175676</v>
      </c>
      <c r="I39113">
        <v>31475881</v>
      </c>
      <c r="J39113">
        <v>4</v>
      </c>
    </row>
    <row r="39114" spans="1:10" x14ac:dyDescent="0.25">
      <c r="A39114" t="s">
        <v>399</v>
      </c>
      <c r="B39114" s="1" t="str">
        <f>HYPERLINK("http://renault-trucks.ie","renault-trucks.ie")</f>
        <v>renault-trucks.ie</v>
      </c>
      <c r="C39114" t="s">
        <v>455</v>
      </c>
      <c r="D39114" t="s">
        <v>832</v>
      </c>
      <c r="F39114">
        <v>7.3653495315830303E-9</v>
      </c>
      <c r="G39114">
        <v>11324785</v>
      </c>
      <c r="H39114">
        <v>10987207</v>
      </c>
      <c r="I39114">
        <v>33801022</v>
      </c>
      <c r="J39114">
        <v>3</v>
      </c>
    </row>
    <row r="39115" spans="1:10" x14ac:dyDescent="0.25">
      <c r="A39115" t="s">
        <v>399</v>
      </c>
      <c r="B39115" s="1" t="str">
        <f>HYPERLINK("http://vfsco.ie","vfsco.ie")</f>
        <v>vfsco.ie</v>
      </c>
      <c r="C39115" t="s">
        <v>455</v>
      </c>
      <c r="D39115" t="s">
        <v>832</v>
      </c>
      <c r="F39115">
        <v>5.1768736305559402E-9</v>
      </c>
      <c r="G39115">
        <v>25605875</v>
      </c>
      <c r="H39115">
        <v>10603478</v>
      </c>
      <c r="I39115">
        <v>44765585</v>
      </c>
      <c r="J39115">
        <v>5</v>
      </c>
    </row>
    <row r="39116" spans="1:10" x14ac:dyDescent="0.25">
      <c r="A39116" t="s">
        <v>399</v>
      </c>
      <c r="B39116" s="1" t="str">
        <f>HYPERLINK("http://renault-trucks.co.il","renault-trucks.co.il")</f>
        <v>renault-trucks.co.il</v>
      </c>
      <c r="C39116" t="s">
        <v>456</v>
      </c>
      <c r="D39116" t="s">
        <v>833</v>
      </c>
      <c r="F39116">
        <v>1.3896936760681601E-8</v>
      </c>
      <c r="G39116">
        <v>4242247</v>
      </c>
      <c r="H39116">
        <v>11001124</v>
      </c>
      <c r="I39116">
        <v>33566902</v>
      </c>
      <c r="J39116">
        <v>3</v>
      </c>
    </row>
    <row r="39117" spans="1:10" x14ac:dyDescent="0.25">
      <c r="A39117" t="s">
        <v>399</v>
      </c>
      <c r="B39117" s="1" t="str">
        <f>HYPERLINK("http://volvotrucks.co.il","volvotrucks.co.il")</f>
        <v>volvotrucks.co.il</v>
      </c>
      <c r="C39117" t="s">
        <v>456</v>
      </c>
      <c r="D39117" t="s">
        <v>833</v>
      </c>
      <c r="F39117">
        <v>7.37833733289546E-9</v>
      </c>
      <c r="G39117">
        <v>11293382</v>
      </c>
      <c r="H39117">
        <v>14071937</v>
      </c>
      <c r="I39117">
        <v>3223375</v>
      </c>
      <c r="J39117">
        <v>4</v>
      </c>
    </row>
    <row r="39118" spans="1:10" x14ac:dyDescent="0.25">
      <c r="A39118" t="s">
        <v>399</v>
      </c>
      <c r="B39118" s="1" t="str">
        <f>HYPERLINK("http://vfsco.in","vfsco.in")</f>
        <v>vfsco.in</v>
      </c>
      <c r="C39118" t="s">
        <v>457</v>
      </c>
      <c r="D39118" t="s">
        <v>834</v>
      </c>
      <c r="F39118">
        <v>6.0730919758606003E-9</v>
      </c>
      <c r="G39118">
        <v>16247959</v>
      </c>
      <c r="H39118">
        <v>11719762</v>
      </c>
      <c r="I39118">
        <v>29844631</v>
      </c>
      <c r="J39118">
        <v>5</v>
      </c>
    </row>
    <row r="39119" spans="1:10" x14ac:dyDescent="0.25">
      <c r="A39119" t="s">
        <v>399</v>
      </c>
      <c r="B39119" s="1" t="str">
        <f>HYPERLINK("http://volvobuses.in","volvobuses.in")</f>
        <v>volvobuses.in</v>
      </c>
      <c r="C39119" t="s">
        <v>457</v>
      </c>
      <c r="D39119" t="s">
        <v>834</v>
      </c>
      <c r="F39119">
        <v>9.8888342325687892E-9</v>
      </c>
      <c r="G39119">
        <v>6871156</v>
      </c>
      <c r="H39119">
        <v>12460235</v>
      </c>
      <c r="I39119">
        <v>17873337</v>
      </c>
      <c r="J39119">
        <v>3</v>
      </c>
    </row>
    <row r="39120" spans="1:10" x14ac:dyDescent="0.25">
      <c r="A39120" t="s">
        <v>399</v>
      </c>
      <c r="B39120" s="1" t="str">
        <f>HYPERLINK("http://volvotrucks.in","volvotrucks.in")</f>
        <v>volvotrucks.in</v>
      </c>
      <c r="C39120" t="s">
        <v>457</v>
      </c>
      <c r="D39120" t="s">
        <v>834</v>
      </c>
      <c r="F39120">
        <v>1.6257848015320599E-8</v>
      </c>
      <c r="G39120">
        <v>3481068</v>
      </c>
      <c r="H39120">
        <v>11506592</v>
      </c>
      <c r="I39120">
        <v>30019998</v>
      </c>
      <c r="J39120">
        <v>4</v>
      </c>
    </row>
    <row r="39121" spans="1:10" x14ac:dyDescent="0.25">
      <c r="A39121" t="s">
        <v>399</v>
      </c>
      <c r="B39121" s="1" t="str">
        <f>HYPERLINK("http://renault-trucks.it","renault-trucks.it")</f>
        <v>renault-trucks.it</v>
      </c>
      <c r="C39121" t="s">
        <v>459</v>
      </c>
      <c r="D39121" t="s">
        <v>835</v>
      </c>
      <c r="F39121">
        <v>2.3721914916185701E-8</v>
      </c>
      <c r="G39121">
        <v>2191280</v>
      </c>
      <c r="H39121">
        <v>12174222</v>
      </c>
      <c r="I39121">
        <v>23953999</v>
      </c>
      <c r="J39121">
        <v>3</v>
      </c>
    </row>
    <row r="39122" spans="1:10" x14ac:dyDescent="0.25">
      <c r="A39122" t="s">
        <v>399</v>
      </c>
      <c r="B39122" s="1" t="str">
        <f>HYPERLINK("http://vfsco.it","vfsco.it")</f>
        <v>vfsco.it</v>
      </c>
      <c r="C39122" t="s">
        <v>459</v>
      </c>
      <c r="D39122" t="s">
        <v>835</v>
      </c>
      <c r="F39122">
        <v>6.5014758150233702E-9</v>
      </c>
      <c r="G39122">
        <v>14072056</v>
      </c>
      <c r="H39122">
        <v>10607811</v>
      </c>
      <c r="I39122">
        <v>44630508</v>
      </c>
      <c r="J39122">
        <v>5</v>
      </c>
    </row>
    <row r="39123" spans="1:10" x14ac:dyDescent="0.25">
      <c r="A39123" t="s">
        <v>399</v>
      </c>
      <c r="B39123" s="1" t="str">
        <f>HYPERLINK("http://volvobuses.it","volvobuses.it")</f>
        <v>volvobuses.it</v>
      </c>
      <c r="C39123" t="s">
        <v>459</v>
      </c>
      <c r="D39123" t="s">
        <v>835</v>
      </c>
      <c r="F39123">
        <v>6.6920880446031101E-9</v>
      </c>
      <c r="G39123">
        <v>13330931</v>
      </c>
      <c r="H39123">
        <v>11058082</v>
      </c>
      <c r="I39123">
        <v>32703894</v>
      </c>
      <c r="J39123">
        <v>3</v>
      </c>
    </row>
    <row r="39124" spans="1:10" x14ac:dyDescent="0.25">
      <c r="A39124" t="s">
        <v>399</v>
      </c>
      <c r="B39124" s="1" t="str">
        <f>HYPERLINK("http://volvopenta.it","volvopenta.it")</f>
        <v>volvopenta.it</v>
      </c>
      <c r="C39124" t="s">
        <v>459</v>
      </c>
      <c r="D39124" t="s">
        <v>835</v>
      </c>
      <c r="F39124">
        <v>2.0207535409384601E-8</v>
      </c>
      <c r="G39124">
        <v>2628017</v>
      </c>
      <c r="H39124">
        <v>13671927</v>
      </c>
      <c r="I39124">
        <v>9545350</v>
      </c>
      <c r="J39124">
        <v>4</v>
      </c>
    </row>
    <row r="39125" spans="1:10" x14ac:dyDescent="0.25">
      <c r="A39125" t="s">
        <v>399</v>
      </c>
      <c r="B39125" s="1" t="str">
        <f>HYPERLINK("http://volvotrucks.it","volvotrucks.it")</f>
        <v>volvotrucks.it</v>
      </c>
      <c r="C39125" t="s">
        <v>459</v>
      </c>
      <c r="D39125" t="s">
        <v>835</v>
      </c>
      <c r="F39125">
        <v>2.07130676871239E-8</v>
      </c>
      <c r="G39125">
        <v>2555038</v>
      </c>
      <c r="H39125">
        <v>12946090</v>
      </c>
      <c r="I39125">
        <v>13237282</v>
      </c>
      <c r="J39125">
        <v>4</v>
      </c>
    </row>
    <row r="39126" spans="1:10" x14ac:dyDescent="0.25">
      <c r="A39126" t="s">
        <v>399</v>
      </c>
      <c r="B39126" s="1" t="str">
        <f>HYPERLINK("http://volvogroup.jp","volvogroup.jp")</f>
        <v>volvogroup.jp</v>
      </c>
      <c r="C39126" t="s">
        <v>461</v>
      </c>
      <c r="D39126" t="s">
        <v>837</v>
      </c>
      <c r="F39126">
        <v>4.4438321757243999E-9</v>
      </c>
      <c r="G39126">
        <v>79017945</v>
      </c>
      <c r="H39126">
        <v>10350525</v>
      </c>
      <c r="I39126">
        <v>56340936</v>
      </c>
      <c r="J39126">
        <v>3</v>
      </c>
    </row>
    <row r="39127" spans="1:10" x14ac:dyDescent="0.25">
      <c r="A39127" t="s">
        <v>399</v>
      </c>
      <c r="B39127" s="1" t="str">
        <f>HYPERLINK("http://volvotrucks.jp","volvotrucks.jp")</f>
        <v>volvotrucks.jp</v>
      </c>
      <c r="C39127" t="s">
        <v>461</v>
      </c>
      <c r="D39127" t="s">
        <v>837</v>
      </c>
      <c r="F39127">
        <v>9.0569934032454804E-9</v>
      </c>
      <c r="G39127">
        <v>7907970</v>
      </c>
      <c r="H39127">
        <v>11531991</v>
      </c>
      <c r="I39127">
        <v>29991269</v>
      </c>
      <c r="J39127">
        <v>4</v>
      </c>
    </row>
    <row r="39128" spans="1:10" x14ac:dyDescent="0.25">
      <c r="A39128" t="s">
        <v>399</v>
      </c>
      <c r="B39128" s="1" t="str">
        <f>HYPERLINK("http://volvotrucks.kg","volvotrucks.kg")</f>
        <v>volvotrucks.kg</v>
      </c>
      <c r="C39128" t="s">
        <v>649</v>
      </c>
      <c r="D39128" t="s">
        <v>968</v>
      </c>
      <c r="F39128">
        <v>6.7377234027597698E-9</v>
      </c>
      <c r="G39128">
        <v>13170861</v>
      </c>
      <c r="H39128">
        <v>11174303</v>
      </c>
      <c r="I39128">
        <v>31487819</v>
      </c>
      <c r="J39128">
        <v>4</v>
      </c>
    </row>
    <row r="39129" spans="1:10" x14ac:dyDescent="0.25">
      <c r="A39129" t="s">
        <v>399</v>
      </c>
      <c r="B39129" s="1" t="str">
        <f>HYPERLINK("http://vfsco.kr","vfsco.kr")</f>
        <v>vfsco.kr</v>
      </c>
      <c r="C39129" t="s">
        <v>463</v>
      </c>
      <c r="D39129" t="s">
        <v>839</v>
      </c>
      <c r="F39129">
        <v>6.6763230993090603E-9</v>
      </c>
      <c r="G39129">
        <v>13388715</v>
      </c>
      <c r="H39129">
        <v>11337731</v>
      </c>
      <c r="I39129">
        <v>30431431</v>
      </c>
      <c r="J39129">
        <v>5</v>
      </c>
    </row>
    <row r="39130" spans="1:10" x14ac:dyDescent="0.25">
      <c r="A39130" t="s">
        <v>399</v>
      </c>
      <c r="B39130" s="1" t="str">
        <f>HYPERLINK("http://volvobuses.kr","volvobuses.kr")</f>
        <v>volvobuses.kr</v>
      </c>
      <c r="C39130" t="s">
        <v>463</v>
      </c>
      <c r="D39130" t="s">
        <v>839</v>
      </c>
      <c r="F39130">
        <v>6.3448627364788701E-9</v>
      </c>
      <c r="G39130">
        <v>14787033</v>
      </c>
      <c r="H39130">
        <v>11116541</v>
      </c>
      <c r="I39130">
        <v>32084851</v>
      </c>
      <c r="J39130">
        <v>3</v>
      </c>
    </row>
    <row r="39131" spans="1:10" x14ac:dyDescent="0.25">
      <c r="A39131" t="s">
        <v>399</v>
      </c>
      <c r="B39131" s="1" t="str">
        <f>HYPERLINK("http://volvogroup.kr","volvogroup.kr")</f>
        <v>volvogroup.kr</v>
      </c>
      <c r="C39131" t="s">
        <v>463</v>
      </c>
      <c r="D39131" t="s">
        <v>839</v>
      </c>
      <c r="F39131">
        <v>6.4946983924757702E-9</v>
      </c>
      <c r="G39131">
        <v>14100310</v>
      </c>
      <c r="H39131">
        <v>14071915</v>
      </c>
      <c r="I39131">
        <v>3227872</v>
      </c>
      <c r="J39131">
        <v>3</v>
      </c>
    </row>
    <row r="39132" spans="1:10" x14ac:dyDescent="0.25">
      <c r="A39132" t="s">
        <v>399</v>
      </c>
      <c r="B39132" s="1" t="str">
        <f>HYPERLINK("http://volvotrucks.kr","volvotrucks.kr")</f>
        <v>volvotrucks.kr</v>
      </c>
      <c r="C39132" t="s">
        <v>463</v>
      </c>
      <c r="D39132" t="s">
        <v>839</v>
      </c>
      <c r="F39132">
        <v>1.6187684141031999E-8</v>
      </c>
      <c r="G39132">
        <v>3498545</v>
      </c>
      <c r="H39132">
        <v>12708315</v>
      </c>
      <c r="I39132">
        <v>15312092</v>
      </c>
      <c r="J39132">
        <v>4</v>
      </c>
    </row>
    <row r="39133" spans="1:10" x14ac:dyDescent="0.25">
      <c r="A39133" t="s">
        <v>399</v>
      </c>
      <c r="B39133" s="1" t="str">
        <f>HYPERLINK("http://volvobuses.com.kw","volvobuses.com.kw")</f>
        <v>volvobuses.com.kw</v>
      </c>
      <c r="C39133" t="s">
        <v>464</v>
      </c>
      <c r="D39133" t="s">
        <v>840</v>
      </c>
      <c r="J39133">
        <v>3</v>
      </c>
    </row>
    <row r="39134" spans="1:10" x14ac:dyDescent="0.25">
      <c r="A39134" t="s">
        <v>399</v>
      </c>
      <c r="B39134" s="1" t="str">
        <f>HYPERLINK("http://volvotrucks.com.kw","volvotrucks.com.kw")</f>
        <v>volvotrucks.com.kw</v>
      </c>
      <c r="C39134" t="s">
        <v>464</v>
      </c>
      <c r="D39134" t="s">
        <v>840</v>
      </c>
      <c r="F39134">
        <v>6.9198839667050898E-9</v>
      </c>
      <c r="G39134">
        <v>12558358</v>
      </c>
      <c r="H39134">
        <v>11174305</v>
      </c>
      <c r="I39134">
        <v>31487793</v>
      </c>
      <c r="J39134">
        <v>4</v>
      </c>
    </row>
    <row r="39135" spans="1:10" x14ac:dyDescent="0.25">
      <c r="A39135" t="s">
        <v>399</v>
      </c>
      <c r="B39135" s="1" t="str">
        <f>HYPERLINK("http://volvotrucks.kz","volvotrucks.kz")</f>
        <v>volvotrucks.kz</v>
      </c>
      <c r="C39135" t="s">
        <v>465</v>
      </c>
      <c r="D39135" t="s">
        <v>841</v>
      </c>
      <c r="F39135">
        <v>6.9960467781794199E-9</v>
      </c>
      <c r="G39135">
        <v>12323541</v>
      </c>
      <c r="H39135">
        <v>11178617</v>
      </c>
      <c r="I39135">
        <v>31448659</v>
      </c>
      <c r="J39135">
        <v>4</v>
      </c>
    </row>
    <row r="39136" spans="1:10" x14ac:dyDescent="0.25">
      <c r="A39136" t="s">
        <v>399</v>
      </c>
      <c r="B39136" s="1" t="str">
        <f>HYPERLINK("http://renault-trucks.lt","renault-trucks.lt")</f>
        <v>renault-trucks.lt</v>
      </c>
      <c r="C39136" t="s">
        <v>467</v>
      </c>
      <c r="D39136" t="s">
        <v>843</v>
      </c>
      <c r="F39136">
        <v>1.4679206491793999E-8</v>
      </c>
      <c r="G39136">
        <v>3948179</v>
      </c>
      <c r="H39136">
        <v>11003921</v>
      </c>
      <c r="I39136">
        <v>33509965</v>
      </c>
      <c r="J39136">
        <v>3</v>
      </c>
    </row>
    <row r="39137" spans="1:10" x14ac:dyDescent="0.25">
      <c r="A39137" t="s">
        <v>399</v>
      </c>
      <c r="B39137" s="1" t="str">
        <f>HYPERLINK("http://vfsco.lt","vfsco.lt")</f>
        <v>vfsco.lt</v>
      </c>
      <c r="C39137" t="s">
        <v>467</v>
      </c>
      <c r="D39137" t="s">
        <v>843</v>
      </c>
      <c r="F39137">
        <v>5.4749379391950404E-9</v>
      </c>
      <c r="G39137">
        <v>21188325</v>
      </c>
      <c r="H39137">
        <v>10887850</v>
      </c>
      <c r="I39137">
        <v>36157448</v>
      </c>
      <c r="J39137">
        <v>5</v>
      </c>
    </row>
    <row r="39138" spans="1:10" x14ac:dyDescent="0.25">
      <c r="A39138" t="s">
        <v>399</v>
      </c>
      <c r="B39138" s="1" t="str">
        <f>HYPERLINK("http://volvotrucks.lt","volvotrucks.lt")</f>
        <v>volvotrucks.lt</v>
      </c>
      <c r="C39138" t="s">
        <v>467</v>
      </c>
      <c r="D39138" t="s">
        <v>843</v>
      </c>
      <c r="F39138">
        <v>1.4056926443595E-8</v>
      </c>
      <c r="G39138">
        <v>4181500</v>
      </c>
      <c r="H39138">
        <v>12652221</v>
      </c>
      <c r="I39138">
        <v>15784828</v>
      </c>
      <c r="J39138">
        <v>4</v>
      </c>
    </row>
    <row r="39139" spans="1:10" x14ac:dyDescent="0.25">
      <c r="A39139" t="s">
        <v>399</v>
      </c>
      <c r="B39139" s="1" t="str">
        <f>HYPERLINK("http://renault-trucks.lv","renault-trucks.lv")</f>
        <v>renault-trucks.lv</v>
      </c>
      <c r="C39139" t="s">
        <v>468</v>
      </c>
      <c r="D39139" t="s">
        <v>844</v>
      </c>
      <c r="F39139">
        <v>6.6040223669021996E-9</v>
      </c>
      <c r="G39139">
        <v>13661798</v>
      </c>
      <c r="H39139">
        <v>11178493</v>
      </c>
      <c r="I39139">
        <v>31449886</v>
      </c>
      <c r="J39139">
        <v>3</v>
      </c>
    </row>
    <row r="39140" spans="1:10" x14ac:dyDescent="0.25">
      <c r="A39140" t="s">
        <v>399</v>
      </c>
      <c r="B39140" s="1" t="str">
        <f>HYPERLINK("http://vfsco.lv","vfsco.lv")</f>
        <v>vfsco.lv</v>
      </c>
      <c r="C39140" t="s">
        <v>468</v>
      </c>
      <c r="D39140" t="s">
        <v>844</v>
      </c>
      <c r="F39140">
        <v>4.44380395335525E-9</v>
      </c>
      <c r="G39140">
        <v>85354576</v>
      </c>
      <c r="H39140">
        <v>0</v>
      </c>
      <c r="I39140">
        <v>86586665</v>
      </c>
      <c r="J39140">
        <v>5</v>
      </c>
    </row>
    <row r="39141" spans="1:10" x14ac:dyDescent="0.25">
      <c r="A39141" t="s">
        <v>399</v>
      </c>
      <c r="B39141" s="1" t="str">
        <f>HYPERLINK("http://volvotrucks.lv","volvotrucks.lv")</f>
        <v>volvotrucks.lv</v>
      </c>
      <c r="C39141" t="s">
        <v>468</v>
      </c>
      <c r="D39141" t="s">
        <v>844</v>
      </c>
      <c r="F39141">
        <v>1.03714083867053E-8</v>
      </c>
      <c r="G39141">
        <v>6384915</v>
      </c>
      <c r="H39141">
        <v>12390439</v>
      </c>
      <c r="I39141">
        <v>19037491</v>
      </c>
      <c r="J39141">
        <v>4</v>
      </c>
    </row>
    <row r="39142" spans="1:10" x14ac:dyDescent="0.25">
      <c r="A39142" t="s">
        <v>399</v>
      </c>
      <c r="B39142" s="1" t="str">
        <f>HYPERLINK("http://renault-trucks.co.ma","renault-trucks.co.ma")</f>
        <v>renault-trucks.co.ma</v>
      </c>
      <c r="C39142" t="s">
        <v>469</v>
      </c>
      <c r="D39142" t="s">
        <v>845</v>
      </c>
      <c r="F39142">
        <v>5.7559425675654196E-9</v>
      </c>
      <c r="G39142">
        <v>18449562</v>
      </c>
      <c r="H39142">
        <v>10941352</v>
      </c>
      <c r="I39142">
        <v>34793586</v>
      </c>
      <c r="J39142">
        <v>3</v>
      </c>
    </row>
    <row r="39143" spans="1:10" x14ac:dyDescent="0.25">
      <c r="A39143" t="s">
        <v>399</v>
      </c>
      <c r="B39143" s="1" t="str">
        <f>HYPERLINK("http://volvobuses.ma","volvobuses.ma")</f>
        <v>volvobuses.ma</v>
      </c>
      <c r="C39143" t="s">
        <v>469</v>
      </c>
      <c r="D39143" t="s">
        <v>845</v>
      </c>
      <c r="F39143">
        <v>4.44380395335525E-9</v>
      </c>
      <c r="G39143">
        <v>85357249</v>
      </c>
      <c r="H39143">
        <v>0</v>
      </c>
      <c r="I39143">
        <v>86589880</v>
      </c>
      <c r="J39143">
        <v>3</v>
      </c>
    </row>
    <row r="39144" spans="1:10" x14ac:dyDescent="0.25">
      <c r="A39144" t="s">
        <v>399</v>
      </c>
      <c r="B39144" s="1" t="str">
        <f>HYPERLINK("http://volvotrucks.ma","volvotrucks.ma")</f>
        <v>volvotrucks.ma</v>
      </c>
      <c r="C39144" t="s">
        <v>469</v>
      </c>
      <c r="D39144" t="s">
        <v>845</v>
      </c>
      <c r="F39144">
        <v>6.7377234027597698E-9</v>
      </c>
      <c r="G39144">
        <v>13170862</v>
      </c>
      <c r="H39144">
        <v>11174303</v>
      </c>
      <c r="I39144">
        <v>31487821</v>
      </c>
      <c r="J39144">
        <v>4</v>
      </c>
    </row>
    <row r="39145" spans="1:10" x14ac:dyDescent="0.25">
      <c r="A39145" t="s">
        <v>399</v>
      </c>
      <c r="B39145" s="1" t="str">
        <f>HYPERLINK("http://renault-trucks.mk","renault-trucks.mk")</f>
        <v>renault-trucks.mk</v>
      </c>
      <c r="C39145" t="s">
        <v>531</v>
      </c>
      <c r="D39145" t="s">
        <v>895</v>
      </c>
      <c r="F39145">
        <v>1.39915090896706E-8</v>
      </c>
      <c r="G39145">
        <v>4205907</v>
      </c>
      <c r="H39145">
        <v>11001176</v>
      </c>
      <c r="I39145">
        <v>33566119</v>
      </c>
      <c r="J39145">
        <v>3</v>
      </c>
    </row>
    <row r="39146" spans="1:10" x14ac:dyDescent="0.25">
      <c r="A39146" t="s">
        <v>399</v>
      </c>
      <c r="B39146" s="1" t="str">
        <f>HYPERLINK("http://volvotrucks.mk","volvotrucks.mk")</f>
        <v>volvotrucks.mk</v>
      </c>
      <c r="C39146" t="s">
        <v>531</v>
      </c>
      <c r="D39146" t="s">
        <v>895</v>
      </c>
      <c r="F39146">
        <v>6.90469806125546E-9</v>
      </c>
      <c r="G39146">
        <v>12606806</v>
      </c>
      <c r="H39146">
        <v>11177529</v>
      </c>
      <c r="I39146">
        <v>31459233</v>
      </c>
      <c r="J39146">
        <v>4</v>
      </c>
    </row>
    <row r="39147" spans="1:10" x14ac:dyDescent="0.25">
      <c r="A39147" t="s">
        <v>399</v>
      </c>
      <c r="B39147" s="1" t="str">
        <f>HYPERLINK("http://volvotrucks.mn","volvotrucks.mn")</f>
        <v>volvotrucks.mn</v>
      </c>
      <c r="C39147" t="s">
        <v>652</v>
      </c>
      <c r="D39147" t="s">
        <v>971</v>
      </c>
      <c r="F39147">
        <v>6.7377234027597698E-9</v>
      </c>
      <c r="G39147">
        <v>13170863</v>
      </c>
      <c r="H39147">
        <v>11174303</v>
      </c>
      <c r="I39147">
        <v>31487822</v>
      </c>
      <c r="J39147">
        <v>4</v>
      </c>
    </row>
    <row r="39148" spans="1:10" x14ac:dyDescent="0.25">
      <c r="A39148" t="s">
        <v>399</v>
      </c>
      <c r="B39148" s="1" t="str">
        <f>HYPERLINK("http://volvogroup.mobi","volvogroup.mobi")</f>
        <v>volvogroup.mobi</v>
      </c>
      <c r="C39148" t="s">
        <v>532</v>
      </c>
      <c r="F39148">
        <v>1.2952207501876099E-8</v>
      </c>
      <c r="G39148">
        <v>4654720</v>
      </c>
      <c r="H39148">
        <v>12732439</v>
      </c>
      <c r="I39148">
        <v>15186277</v>
      </c>
      <c r="J39148">
        <v>3</v>
      </c>
    </row>
    <row r="39149" spans="1:10" x14ac:dyDescent="0.25">
      <c r="A39149" t="s">
        <v>399</v>
      </c>
      <c r="B39149" s="1" t="str">
        <f>HYPERLINK("http://macktrucks.com.mx","macktrucks.com.mx")</f>
        <v>macktrucks.com.mx</v>
      </c>
      <c r="C39149" t="s">
        <v>471</v>
      </c>
      <c r="D39149" t="s">
        <v>847</v>
      </c>
      <c r="F39149">
        <v>1.20165723783184E-8</v>
      </c>
      <c r="G39149">
        <v>5164958</v>
      </c>
      <c r="H39149">
        <v>13559002</v>
      </c>
      <c r="I39149">
        <v>9859879</v>
      </c>
      <c r="J39149">
        <v>3</v>
      </c>
    </row>
    <row r="39150" spans="1:10" x14ac:dyDescent="0.25">
      <c r="A39150" t="s">
        <v>399</v>
      </c>
      <c r="B39150" s="1" t="str">
        <f>HYPERLINK("http://vfsco.mx","vfsco.mx")</f>
        <v>vfsco.mx</v>
      </c>
      <c r="C39150" t="s">
        <v>471</v>
      </c>
      <c r="D39150" t="s">
        <v>847</v>
      </c>
      <c r="F39150">
        <v>9.0176977173941405E-9</v>
      </c>
      <c r="G39150">
        <v>7965743</v>
      </c>
      <c r="H39150">
        <v>11338667</v>
      </c>
      <c r="I39150">
        <v>30428873</v>
      </c>
      <c r="J39150">
        <v>5</v>
      </c>
    </row>
    <row r="39151" spans="1:10" x14ac:dyDescent="0.25">
      <c r="A39151" t="s">
        <v>399</v>
      </c>
      <c r="B39151" s="1" t="str">
        <f>HYPERLINK("http://volvobuses.mx","volvobuses.mx")</f>
        <v>volvobuses.mx</v>
      </c>
      <c r="C39151" t="s">
        <v>471</v>
      </c>
      <c r="D39151" t="s">
        <v>847</v>
      </c>
      <c r="F39151">
        <v>8.5634096908787292E-9</v>
      </c>
      <c r="G39151">
        <v>8723262</v>
      </c>
      <c r="H39151">
        <v>12318048</v>
      </c>
      <c r="I39151">
        <v>20453810</v>
      </c>
      <c r="J39151">
        <v>3</v>
      </c>
    </row>
    <row r="39152" spans="1:10" x14ac:dyDescent="0.25">
      <c r="A39152" t="s">
        <v>399</v>
      </c>
      <c r="B39152" s="1" t="str">
        <f>HYPERLINK("http://volvogroup.mx","volvogroup.mx")</f>
        <v>volvogroup.mx</v>
      </c>
      <c r="C39152" t="s">
        <v>471</v>
      </c>
      <c r="D39152" t="s">
        <v>847</v>
      </c>
      <c r="F39152">
        <v>8.2874137762172699E-9</v>
      </c>
      <c r="G39152">
        <v>9288377</v>
      </c>
      <c r="H39152">
        <v>14071842</v>
      </c>
      <c r="I39152">
        <v>3297759</v>
      </c>
      <c r="J39152">
        <v>3</v>
      </c>
    </row>
    <row r="39153" spans="1:10" x14ac:dyDescent="0.25">
      <c r="A39153" t="s">
        <v>399</v>
      </c>
      <c r="B39153" s="1" t="str">
        <f>HYPERLINK("http://volvotrucks.mx","volvotrucks.mx")</f>
        <v>volvotrucks.mx</v>
      </c>
      <c r="C39153" t="s">
        <v>471</v>
      </c>
      <c r="D39153" t="s">
        <v>847</v>
      </c>
      <c r="F39153">
        <v>1.2534302743461301E-8</v>
      </c>
      <c r="G39153">
        <v>4867523</v>
      </c>
      <c r="H39153">
        <v>13167552</v>
      </c>
      <c r="I39153">
        <v>11734391</v>
      </c>
      <c r="J39153">
        <v>4</v>
      </c>
    </row>
    <row r="39154" spans="1:10" x14ac:dyDescent="0.25">
      <c r="A39154" t="s">
        <v>399</v>
      </c>
      <c r="B39154" s="1" t="str">
        <f>HYPERLINK("http://volvobuses.my","volvobuses.my")</f>
        <v>volvobuses.my</v>
      </c>
      <c r="C39154" t="s">
        <v>472</v>
      </c>
      <c r="D39154" t="s">
        <v>848</v>
      </c>
      <c r="F39154">
        <v>6.3194532124279601E-9</v>
      </c>
      <c r="G39154">
        <v>14940044</v>
      </c>
      <c r="H39154">
        <v>11056253</v>
      </c>
      <c r="I39154">
        <v>32724635</v>
      </c>
      <c r="J39154">
        <v>3</v>
      </c>
    </row>
    <row r="39155" spans="1:10" x14ac:dyDescent="0.25">
      <c r="A39155" t="s">
        <v>399</v>
      </c>
      <c r="B39155" s="1" t="str">
        <f>HYPERLINK("http://volvotrucks.my","volvotrucks.my")</f>
        <v>volvotrucks.my</v>
      </c>
      <c r="C39155" t="s">
        <v>472</v>
      </c>
      <c r="D39155" t="s">
        <v>848</v>
      </c>
      <c r="F39155">
        <v>7.6499122431917493E-9</v>
      </c>
      <c r="G39155">
        <v>10686240</v>
      </c>
      <c r="H39155">
        <v>11180840</v>
      </c>
      <c r="I39155">
        <v>31426848</v>
      </c>
      <c r="J39155">
        <v>4</v>
      </c>
    </row>
    <row r="39156" spans="1:10" x14ac:dyDescent="0.25">
      <c r="A39156" t="s">
        <v>399</v>
      </c>
      <c r="B39156" s="1" t="str">
        <f>HYPERLINK("http://volvotrucks.co.mz","volvotrucks.co.mz")</f>
        <v>volvotrucks.co.mz</v>
      </c>
      <c r="C39156" t="s">
        <v>616</v>
      </c>
      <c r="D39156" t="s">
        <v>941</v>
      </c>
      <c r="F39156">
        <v>7.3588061562521199E-9</v>
      </c>
      <c r="G39156">
        <v>11340282</v>
      </c>
      <c r="H39156">
        <v>11174357</v>
      </c>
      <c r="I39156">
        <v>31487418</v>
      </c>
      <c r="J39156">
        <v>4</v>
      </c>
    </row>
    <row r="39157" spans="1:10" x14ac:dyDescent="0.25">
      <c r="A39157" t="s">
        <v>399</v>
      </c>
      <c r="B39157" s="1" t="str">
        <f>HYPERLINK("http://volvotrucks.co.na","volvotrucks.co.na")</f>
        <v>volvotrucks.co.na</v>
      </c>
      <c r="C39157" t="s">
        <v>473</v>
      </c>
      <c r="D39157" t="s">
        <v>849</v>
      </c>
      <c r="F39157">
        <v>7.0747980427786899E-9</v>
      </c>
      <c r="G39157">
        <v>12085729</v>
      </c>
      <c r="H39157">
        <v>11174311</v>
      </c>
      <c r="I39157">
        <v>31487748</v>
      </c>
      <c r="J39157">
        <v>4</v>
      </c>
    </row>
    <row r="39158" spans="1:10" x14ac:dyDescent="0.25">
      <c r="A39158" t="s">
        <v>399</v>
      </c>
      <c r="B39158" s="1" t="str">
        <f>HYPERLINK("http://renault-trucks.net","renault-trucks.net")</f>
        <v>renault-trucks.net</v>
      </c>
      <c r="C39158" t="s">
        <v>474</v>
      </c>
      <c r="F39158">
        <v>2.9902876176385903E-8</v>
      </c>
      <c r="G39158">
        <v>1720918</v>
      </c>
      <c r="H39158">
        <v>12575121</v>
      </c>
      <c r="I39158">
        <v>16565381</v>
      </c>
      <c r="J39158">
        <v>3</v>
      </c>
    </row>
    <row r="39159" spans="1:10" x14ac:dyDescent="0.25">
      <c r="A39159" t="s">
        <v>399</v>
      </c>
      <c r="B39159" s="1" t="str">
        <f>HYPERLINK("http://lvstrucks.nl","lvstrucks.nl")</f>
        <v>lvstrucks.nl</v>
      </c>
      <c r="C39159" t="s">
        <v>477</v>
      </c>
      <c r="D39159" t="s">
        <v>852</v>
      </c>
      <c r="F39159">
        <v>6.4207602373817896E-9</v>
      </c>
      <c r="G39159">
        <v>14422632</v>
      </c>
      <c r="H39159">
        <v>10745636</v>
      </c>
      <c r="I39159">
        <v>40221338</v>
      </c>
      <c r="J39159">
        <v>6</v>
      </c>
    </row>
    <row r="39160" spans="1:10" x14ac:dyDescent="0.25">
      <c r="A39160" t="s">
        <v>399</v>
      </c>
      <c r="B39160" s="1" t="str">
        <f>HYPERLINK("http://renault-trucks.nl","renault-trucks.nl")</f>
        <v>renault-trucks.nl</v>
      </c>
      <c r="C39160" t="s">
        <v>477</v>
      </c>
      <c r="D39160" t="s">
        <v>852</v>
      </c>
      <c r="F39160">
        <v>2.87905836487116E-8</v>
      </c>
      <c r="G39160">
        <v>1787704</v>
      </c>
      <c r="H39160">
        <v>12393543</v>
      </c>
      <c r="I39160">
        <v>18960982</v>
      </c>
      <c r="J39160">
        <v>3</v>
      </c>
    </row>
    <row r="39161" spans="1:10" x14ac:dyDescent="0.25">
      <c r="A39161" t="s">
        <v>399</v>
      </c>
      <c r="B39161" s="1" t="str">
        <f>HYPERLINK("http://vfsco.nl","vfsco.nl")</f>
        <v>vfsco.nl</v>
      </c>
      <c r="C39161" t="s">
        <v>477</v>
      </c>
      <c r="D39161" t="s">
        <v>852</v>
      </c>
      <c r="F39161">
        <v>6.13033330730606E-9</v>
      </c>
      <c r="G39161">
        <v>15923601</v>
      </c>
      <c r="H39161">
        <v>11339480</v>
      </c>
      <c r="I39161">
        <v>30425396</v>
      </c>
      <c r="J39161">
        <v>5</v>
      </c>
    </row>
    <row r="39162" spans="1:10" x14ac:dyDescent="0.25">
      <c r="A39162" t="s">
        <v>399</v>
      </c>
      <c r="B39162" s="1" t="str">
        <f>HYPERLINK("http://volvogroup.nl","volvogroup.nl")</f>
        <v>volvogroup.nl</v>
      </c>
      <c r="C39162" t="s">
        <v>477</v>
      </c>
      <c r="D39162" t="s">
        <v>852</v>
      </c>
      <c r="F39162">
        <v>1.1910061381465601E-8</v>
      </c>
      <c r="G39162">
        <v>5231222</v>
      </c>
      <c r="H39162">
        <v>14073506</v>
      </c>
      <c r="I39162">
        <v>2990826</v>
      </c>
      <c r="J39162">
        <v>3</v>
      </c>
    </row>
    <row r="39163" spans="1:10" x14ac:dyDescent="0.25">
      <c r="A39163" t="s">
        <v>399</v>
      </c>
      <c r="B39163" s="1" t="str">
        <f>HYPERLINK("http://volvopenta.nl","volvopenta.nl")</f>
        <v>volvopenta.nl</v>
      </c>
      <c r="C39163" t="s">
        <v>477</v>
      </c>
      <c r="D39163" t="s">
        <v>852</v>
      </c>
      <c r="F39163">
        <v>1.54605296198746E-8</v>
      </c>
      <c r="G39163">
        <v>3695895</v>
      </c>
      <c r="H39163">
        <v>11505723</v>
      </c>
      <c r="I39163">
        <v>30021293</v>
      </c>
      <c r="J39163">
        <v>4</v>
      </c>
    </row>
    <row r="39164" spans="1:10" x14ac:dyDescent="0.25">
      <c r="A39164" t="s">
        <v>399</v>
      </c>
      <c r="B39164" s="1" t="str">
        <f>HYPERLINK("http://volvotrucks.nl","volvotrucks.nl")</f>
        <v>volvotrucks.nl</v>
      </c>
      <c r="C39164" t="s">
        <v>477</v>
      </c>
      <c r="D39164" t="s">
        <v>852</v>
      </c>
      <c r="F39164">
        <v>4.16378996604475E-8</v>
      </c>
      <c r="G39164">
        <v>1190358</v>
      </c>
      <c r="H39164">
        <v>13951722</v>
      </c>
      <c r="I39164">
        <v>4162177</v>
      </c>
      <c r="J39164">
        <v>4</v>
      </c>
    </row>
    <row r="39165" spans="1:10" x14ac:dyDescent="0.25">
      <c r="A39165" t="s">
        <v>399</v>
      </c>
      <c r="B39165" s="1" t="str">
        <f>HYPERLINK("http://renault-trucks.no","renault-trucks.no")</f>
        <v>renault-trucks.no</v>
      </c>
      <c r="C39165" t="s">
        <v>478</v>
      </c>
      <c r="D39165" t="s">
        <v>853</v>
      </c>
      <c r="F39165">
        <v>1.59994133599449E-8</v>
      </c>
      <c r="G39165">
        <v>3546397</v>
      </c>
      <c r="H39165">
        <v>13361182</v>
      </c>
      <c r="I39165">
        <v>10516308</v>
      </c>
      <c r="J39165">
        <v>3</v>
      </c>
    </row>
    <row r="39166" spans="1:10" x14ac:dyDescent="0.25">
      <c r="A39166" t="s">
        <v>399</v>
      </c>
      <c r="B39166" s="1" t="str">
        <f>HYPERLINK("http://vfsco.no","vfsco.no")</f>
        <v>vfsco.no</v>
      </c>
      <c r="C39166" t="s">
        <v>478</v>
      </c>
      <c r="D39166" t="s">
        <v>853</v>
      </c>
      <c r="F39166">
        <v>4.47930683884598E-9</v>
      </c>
      <c r="G39166">
        <v>62504561</v>
      </c>
      <c r="H39166">
        <v>12084736</v>
      </c>
      <c r="I39166">
        <v>26448292</v>
      </c>
      <c r="J39166">
        <v>5</v>
      </c>
    </row>
    <row r="39167" spans="1:10" x14ac:dyDescent="0.25">
      <c r="A39167" t="s">
        <v>399</v>
      </c>
      <c r="B39167" s="1" t="str">
        <f>HYPERLINK("http://volvobuses.no","volvobuses.no")</f>
        <v>volvobuses.no</v>
      </c>
      <c r="C39167" t="s">
        <v>478</v>
      </c>
      <c r="D39167" t="s">
        <v>853</v>
      </c>
      <c r="F39167">
        <v>7.3423502896621801E-9</v>
      </c>
      <c r="G39167">
        <v>11378477</v>
      </c>
      <c r="H39167">
        <v>11078930</v>
      </c>
      <c r="I39167">
        <v>32493652</v>
      </c>
      <c r="J39167">
        <v>3</v>
      </c>
    </row>
    <row r="39168" spans="1:10" x14ac:dyDescent="0.25">
      <c r="A39168" t="s">
        <v>399</v>
      </c>
      <c r="B39168" s="1" t="str">
        <f>HYPERLINK("http://volvotrucks.no","volvotrucks.no")</f>
        <v>volvotrucks.no</v>
      </c>
      <c r="C39168" t="s">
        <v>478</v>
      </c>
      <c r="D39168" t="s">
        <v>853</v>
      </c>
      <c r="F39168">
        <v>2.8729658626110499E-8</v>
      </c>
      <c r="G39168">
        <v>1791418</v>
      </c>
      <c r="H39168">
        <v>13374116</v>
      </c>
      <c r="I39168">
        <v>10450412</v>
      </c>
      <c r="J39168">
        <v>4</v>
      </c>
    </row>
    <row r="39169" spans="1:10" x14ac:dyDescent="0.25">
      <c r="A39169" t="s">
        <v>399</v>
      </c>
      <c r="B39169" s="1" t="str">
        <f>HYPERLINK("http://macktrucks.co.nz","macktrucks.co.nz")</f>
        <v>macktrucks.co.nz</v>
      </c>
      <c r="C39169" t="s">
        <v>479</v>
      </c>
      <c r="D39169" t="s">
        <v>854</v>
      </c>
      <c r="F39169">
        <v>7.2832126822380704E-9</v>
      </c>
      <c r="G39169">
        <v>11521256</v>
      </c>
      <c r="H39169">
        <v>12112780</v>
      </c>
      <c r="I39169">
        <v>25656631</v>
      </c>
      <c r="J39169">
        <v>3</v>
      </c>
    </row>
    <row r="39170" spans="1:10" x14ac:dyDescent="0.25">
      <c r="A39170" t="s">
        <v>399</v>
      </c>
      <c r="B39170" s="1" t="str">
        <f>HYPERLINK("http://volvotrucks.co.nz","volvotrucks.co.nz")</f>
        <v>volvotrucks.co.nz</v>
      </c>
      <c r="C39170" t="s">
        <v>479</v>
      </c>
      <c r="D39170" t="s">
        <v>854</v>
      </c>
      <c r="F39170">
        <v>7.0022732885061201E-9</v>
      </c>
      <c r="G39170">
        <v>12305273</v>
      </c>
      <c r="H39170">
        <v>11175986</v>
      </c>
      <c r="I39170">
        <v>31473183</v>
      </c>
      <c r="J39170">
        <v>4</v>
      </c>
    </row>
    <row r="39171" spans="1:10" x14ac:dyDescent="0.25">
      <c r="A39171" t="s">
        <v>399</v>
      </c>
      <c r="B39171" s="1" t="str">
        <f>HYPERLINK("http://macktrucks.com.pa","macktrucks.com.pa")</f>
        <v>macktrucks.com.pa</v>
      </c>
      <c r="C39171" t="s">
        <v>482</v>
      </c>
      <c r="D39171" t="s">
        <v>856</v>
      </c>
      <c r="F39171">
        <v>7.7607077591153396E-9</v>
      </c>
      <c r="G39171">
        <v>10412987</v>
      </c>
      <c r="H39171">
        <v>12079239</v>
      </c>
      <c r="I39171">
        <v>26580911</v>
      </c>
      <c r="J39171">
        <v>3</v>
      </c>
    </row>
    <row r="39172" spans="1:10" x14ac:dyDescent="0.25">
      <c r="A39172" t="s">
        <v>399</v>
      </c>
      <c r="B39172" s="1" t="str">
        <f>HYPERLINK("http://macktrucks.com.pe","macktrucks.com.pe")</f>
        <v>macktrucks.com.pe</v>
      </c>
      <c r="C39172" t="s">
        <v>483</v>
      </c>
      <c r="D39172" t="s">
        <v>857</v>
      </c>
      <c r="F39172">
        <v>8.32305928560292E-9</v>
      </c>
      <c r="G39172">
        <v>9204908</v>
      </c>
      <c r="H39172">
        <v>12079240</v>
      </c>
      <c r="I39172">
        <v>26580886</v>
      </c>
      <c r="J39172">
        <v>3</v>
      </c>
    </row>
    <row r="39173" spans="1:10" x14ac:dyDescent="0.25">
      <c r="A39173" t="s">
        <v>399</v>
      </c>
      <c r="B39173" s="1" t="str">
        <f>HYPERLINK("http://renault-trucks.pe","renault-trucks.pe")</f>
        <v>renault-trucks.pe</v>
      </c>
      <c r="C39173" t="s">
        <v>483</v>
      </c>
      <c r="D39173" t="s">
        <v>857</v>
      </c>
      <c r="F39173">
        <v>4.5606556234847003E-9</v>
      </c>
      <c r="G39173">
        <v>51109886</v>
      </c>
      <c r="H39173">
        <v>13763633</v>
      </c>
      <c r="I39173">
        <v>9320303</v>
      </c>
      <c r="J39173">
        <v>3</v>
      </c>
    </row>
    <row r="39174" spans="1:10" x14ac:dyDescent="0.25">
      <c r="A39174" t="s">
        <v>399</v>
      </c>
      <c r="B39174" s="1" t="str">
        <f>HYPERLINK("http://volvogroup.pe","volvogroup.pe")</f>
        <v>volvogroup.pe</v>
      </c>
      <c r="C39174" t="s">
        <v>483</v>
      </c>
      <c r="D39174" t="s">
        <v>857</v>
      </c>
      <c r="F39174">
        <v>7.4000857218188103E-9</v>
      </c>
      <c r="G39174">
        <v>11243552</v>
      </c>
      <c r="H39174">
        <v>14071844</v>
      </c>
      <c r="I39174">
        <v>3296073</v>
      </c>
      <c r="J39174">
        <v>3</v>
      </c>
    </row>
    <row r="39175" spans="1:10" x14ac:dyDescent="0.25">
      <c r="A39175" t="s">
        <v>399</v>
      </c>
      <c r="B39175" s="1" t="str">
        <f>HYPERLINK("http://volvotrucks.pe","volvotrucks.pe")</f>
        <v>volvotrucks.pe</v>
      </c>
      <c r="C39175" t="s">
        <v>483</v>
      </c>
      <c r="D39175" t="s">
        <v>857</v>
      </c>
      <c r="F39175">
        <v>1.5143881208497201E-8</v>
      </c>
      <c r="G39175">
        <v>3793696</v>
      </c>
      <c r="H39175">
        <v>11498264</v>
      </c>
      <c r="I39175">
        <v>30033188</v>
      </c>
      <c r="J39175">
        <v>4</v>
      </c>
    </row>
    <row r="39176" spans="1:10" x14ac:dyDescent="0.25">
      <c r="A39176" t="s">
        <v>399</v>
      </c>
      <c r="B39176" s="1" t="str">
        <f>HYPERLINK("http://volvobuses.ph","volvobuses.ph")</f>
        <v>volvobuses.ph</v>
      </c>
      <c r="C39176" t="s">
        <v>484</v>
      </c>
      <c r="D39176" t="s">
        <v>858</v>
      </c>
      <c r="F39176">
        <v>6.3194532124279601E-9</v>
      </c>
      <c r="G39176">
        <v>14940045</v>
      </c>
      <c r="H39176">
        <v>11056253</v>
      </c>
      <c r="I39176">
        <v>32724637</v>
      </c>
      <c r="J39176">
        <v>3</v>
      </c>
    </row>
    <row r="39177" spans="1:10" x14ac:dyDescent="0.25">
      <c r="A39177" t="s">
        <v>399</v>
      </c>
      <c r="B39177" s="1" t="str">
        <f>HYPERLINK("http://volvotrucks.ph","volvotrucks.ph")</f>
        <v>volvotrucks.ph</v>
      </c>
      <c r="C39177" t="s">
        <v>484</v>
      </c>
      <c r="D39177" t="s">
        <v>858</v>
      </c>
      <c r="F39177">
        <v>6.7377234027597698E-9</v>
      </c>
      <c r="G39177">
        <v>13170864</v>
      </c>
      <c r="H39177">
        <v>11174303</v>
      </c>
      <c r="I39177">
        <v>31487825</v>
      </c>
      <c r="J39177">
        <v>4</v>
      </c>
    </row>
    <row r="39178" spans="1:10" x14ac:dyDescent="0.25">
      <c r="A39178" t="s">
        <v>399</v>
      </c>
      <c r="B39178" s="1" t="str">
        <f>HYPERLINK("http://volvobuses.pk","volvobuses.pk")</f>
        <v>volvobuses.pk</v>
      </c>
      <c r="C39178" t="s">
        <v>485</v>
      </c>
      <c r="D39178" t="s">
        <v>859</v>
      </c>
      <c r="F39178">
        <v>6.3194532124279601E-9</v>
      </c>
      <c r="G39178">
        <v>14940046</v>
      </c>
      <c r="H39178">
        <v>11056253</v>
      </c>
      <c r="I39178">
        <v>32724638</v>
      </c>
      <c r="J39178">
        <v>3</v>
      </c>
    </row>
    <row r="39179" spans="1:10" x14ac:dyDescent="0.25">
      <c r="A39179" t="s">
        <v>399</v>
      </c>
      <c r="B39179" s="1" t="str">
        <f>HYPERLINK("http://volvotrucks.pk","volvotrucks.pk")</f>
        <v>volvotrucks.pk</v>
      </c>
      <c r="C39179" t="s">
        <v>485</v>
      </c>
      <c r="D39179" t="s">
        <v>859</v>
      </c>
      <c r="F39179">
        <v>6.7377234027597698E-9</v>
      </c>
      <c r="G39179">
        <v>13170865</v>
      </c>
      <c r="H39179">
        <v>11174303</v>
      </c>
      <c r="I39179">
        <v>31487826</v>
      </c>
      <c r="J39179">
        <v>4</v>
      </c>
    </row>
    <row r="39180" spans="1:10" x14ac:dyDescent="0.25">
      <c r="A39180" t="s">
        <v>399</v>
      </c>
      <c r="B39180" s="1" t="str">
        <f>HYPERLINK("http://renault-trucks.pl","renault-trucks.pl")</f>
        <v>renault-trucks.pl</v>
      </c>
      <c r="C39180" t="s">
        <v>486</v>
      </c>
      <c r="D39180" t="s">
        <v>860</v>
      </c>
      <c r="F39180">
        <v>2.2720111852785399E-8</v>
      </c>
      <c r="G39180">
        <v>2304532</v>
      </c>
      <c r="H39180">
        <v>14073800</v>
      </c>
      <c r="I39180">
        <v>2971262</v>
      </c>
      <c r="J39180">
        <v>3</v>
      </c>
    </row>
    <row r="39181" spans="1:10" x14ac:dyDescent="0.25">
      <c r="A39181" t="s">
        <v>399</v>
      </c>
      <c r="B39181" s="1" t="str">
        <f>HYPERLINK("http://vfsco.pl","vfsco.pl")</f>
        <v>vfsco.pl</v>
      </c>
      <c r="C39181" t="s">
        <v>486</v>
      </c>
      <c r="D39181" t="s">
        <v>860</v>
      </c>
      <c r="F39181">
        <v>7.4597528225009696E-9</v>
      </c>
      <c r="G39181">
        <v>11103508</v>
      </c>
      <c r="H39181">
        <v>11351399</v>
      </c>
      <c r="I39181">
        <v>30386854</v>
      </c>
      <c r="J39181">
        <v>5</v>
      </c>
    </row>
    <row r="39182" spans="1:10" x14ac:dyDescent="0.25">
      <c r="A39182" t="s">
        <v>399</v>
      </c>
      <c r="B39182" s="1" t="str">
        <f>HYPERLINK("http://volvobuses.pl","volvobuses.pl")</f>
        <v>volvobuses.pl</v>
      </c>
      <c r="C39182" t="s">
        <v>486</v>
      </c>
      <c r="D39182" t="s">
        <v>860</v>
      </c>
      <c r="F39182">
        <v>1.02045714036469E-8</v>
      </c>
      <c r="G39182">
        <v>6542662</v>
      </c>
      <c r="H39182">
        <v>12385224</v>
      </c>
      <c r="I39182">
        <v>19120204</v>
      </c>
      <c r="J39182">
        <v>3</v>
      </c>
    </row>
    <row r="39183" spans="1:10" x14ac:dyDescent="0.25">
      <c r="A39183" t="s">
        <v>399</v>
      </c>
      <c r="B39183" s="1" t="str">
        <f>HYPERLINK("http://volvogroup.pl","volvogroup.pl")</f>
        <v>volvogroup.pl</v>
      </c>
      <c r="C39183" t="s">
        <v>486</v>
      </c>
      <c r="D39183" t="s">
        <v>860</v>
      </c>
      <c r="F39183">
        <v>1.4676688534039499E-8</v>
      </c>
      <c r="G39183">
        <v>3949036</v>
      </c>
      <c r="H39183">
        <v>14072957</v>
      </c>
      <c r="I39183">
        <v>3029380</v>
      </c>
      <c r="J39183">
        <v>3</v>
      </c>
    </row>
    <row r="39184" spans="1:10" x14ac:dyDescent="0.25">
      <c r="A39184" t="s">
        <v>399</v>
      </c>
      <c r="B39184" s="1" t="str">
        <f>HYPERLINK("http://volvotrucks.pl","volvotrucks.pl")</f>
        <v>volvotrucks.pl</v>
      </c>
      <c r="C39184" t="s">
        <v>486</v>
      </c>
      <c r="D39184" t="s">
        <v>860</v>
      </c>
      <c r="F39184">
        <v>2.1800460112386099E-8</v>
      </c>
      <c r="G39184">
        <v>2410453</v>
      </c>
      <c r="H39184">
        <v>12359458</v>
      </c>
      <c r="I39184">
        <v>19595515</v>
      </c>
      <c r="J39184">
        <v>4</v>
      </c>
    </row>
    <row r="39185" spans="1:10" x14ac:dyDescent="0.25">
      <c r="A39185" t="s">
        <v>399</v>
      </c>
      <c r="B39185" s="1" t="str">
        <f>HYPERLINK("http://volvotrucks.ps","volvotrucks.ps")</f>
        <v>volvotrucks.ps</v>
      </c>
      <c r="C39185" t="s">
        <v>661</v>
      </c>
      <c r="D39185" t="s">
        <v>980</v>
      </c>
      <c r="F39185">
        <v>6.7377234027597698E-9</v>
      </c>
      <c r="G39185">
        <v>13170866</v>
      </c>
      <c r="H39185">
        <v>11174303</v>
      </c>
      <c r="I39185">
        <v>31487827</v>
      </c>
      <c r="J39185">
        <v>4</v>
      </c>
    </row>
    <row r="39186" spans="1:10" x14ac:dyDescent="0.25">
      <c r="A39186" t="s">
        <v>399</v>
      </c>
      <c r="B39186" s="1" t="str">
        <f>HYPERLINK("http://volvobuses.com.pt","volvobuses.com.pt")</f>
        <v>volvobuses.com.pt</v>
      </c>
      <c r="C39186" t="s">
        <v>488</v>
      </c>
      <c r="D39186" t="s">
        <v>862</v>
      </c>
      <c r="F39186">
        <v>6.9912602243676297E-9</v>
      </c>
      <c r="G39186">
        <v>12337619</v>
      </c>
      <c r="H39186">
        <v>11063520</v>
      </c>
      <c r="I39186">
        <v>32647311</v>
      </c>
      <c r="J39186">
        <v>3</v>
      </c>
    </row>
    <row r="39187" spans="1:10" x14ac:dyDescent="0.25">
      <c r="A39187" t="s">
        <v>399</v>
      </c>
      <c r="B39187" s="1" t="str">
        <f>HYPERLINK("http://volvotrucks.com.pt","volvotrucks.com.pt")</f>
        <v>volvotrucks.com.pt</v>
      </c>
      <c r="C39187" t="s">
        <v>488</v>
      </c>
      <c r="D39187" t="s">
        <v>862</v>
      </c>
      <c r="F39187">
        <v>1.80851731003532E-8</v>
      </c>
      <c r="G39187">
        <v>3012741</v>
      </c>
      <c r="H39187">
        <v>12869935</v>
      </c>
      <c r="I39187">
        <v>14075954</v>
      </c>
      <c r="J39187">
        <v>4</v>
      </c>
    </row>
    <row r="39188" spans="1:10" x14ac:dyDescent="0.25">
      <c r="A39188" t="s">
        <v>399</v>
      </c>
      <c r="B39188" s="1" t="str">
        <f>HYPERLINK("http://renault-trucks.pt","renault-trucks.pt")</f>
        <v>renault-trucks.pt</v>
      </c>
      <c r="C39188" t="s">
        <v>488</v>
      </c>
      <c r="D39188" t="s">
        <v>862</v>
      </c>
      <c r="F39188">
        <v>1.6357232969120398E-8</v>
      </c>
      <c r="G39188">
        <v>3456881</v>
      </c>
      <c r="H39188">
        <v>14071856</v>
      </c>
      <c r="I39188">
        <v>3293319</v>
      </c>
      <c r="J39188">
        <v>3</v>
      </c>
    </row>
    <row r="39189" spans="1:10" x14ac:dyDescent="0.25">
      <c r="A39189" t="s">
        <v>399</v>
      </c>
      <c r="B39189" s="1" t="str">
        <f>HYPERLINK("http://volvotrucks.qa","volvotrucks.qa")</f>
        <v>volvotrucks.qa</v>
      </c>
      <c r="C39189" t="s">
        <v>490</v>
      </c>
      <c r="D39189" t="s">
        <v>864</v>
      </c>
      <c r="F39189">
        <v>6.7377234027597698E-9</v>
      </c>
      <c r="G39189">
        <v>13170867</v>
      </c>
      <c r="H39189">
        <v>11174303</v>
      </c>
      <c r="I39189">
        <v>31487828</v>
      </c>
      <c r="J39189">
        <v>4</v>
      </c>
    </row>
    <row r="39190" spans="1:10" x14ac:dyDescent="0.25">
      <c r="A39190" t="s">
        <v>399</v>
      </c>
      <c r="B39190" s="1" t="str">
        <f>HYPERLINK("http://renault-trucks.ro","renault-trucks.ro")</f>
        <v>renault-trucks.ro</v>
      </c>
      <c r="C39190" t="s">
        <v>491</v>
      </c>
      <c r="D39190" t="s">
        <v>865</v>
      </c>
      <c r="F39190">
        <v>1.5541217763948901E-8</v>
      </c>
      <c r="G39190">
        <v>3672702</v>
      </c>
      <c r="H39190">
        <v>12165142</v>
      </c>
      <c r="I39190">
        <v>24195649</v>
      </c>
      <c r="J39190">
        <v>3</v>
      </c>
    </row>
    <row r="39191" spans="1:10" x14ac:dyDescent="0.25">
      <c r="A39191" t="s">
        <v>399</v>
      </c>
      <c r="B39191" s="1" t="str">
        <f>HYPERLINK("http://vfsco.ro","vfsco.ro")</f>
        <v>vfsco.ro</v>
      </c>
      <c r="C39191" t="s">
        <v>491</v>
      </c>
      <c r="D39191" t="s">
        <v>865</v>
      </c>
      <c r="F39191">
        <v>4.5417344594399903E-9</v>
      </c>
      <c r="G39191">
        <v>53139805</v>
      </c>
      <c r="H39191">
        <v>12203803</v>
      </c>
      <c r="I39191">
        <v>23224912</v>
      </c>
      <c r="J39191">
        <v>5</v>
      </c>
    </row>
    <row r="39192" spans="1:10" x14ac:dyDescent="0.25">
      <c r="A39192" t="s">
        <v>399</v>
      </c>
      <c r="B39192" s="1" t="str">
        <f>HYPERLINK("http://volvotrucks.ro","volvotrucks.ro")</f>
        <v>volvotrucks.ro</v>
      </c>
      <c r="C39192" t="s">
        <v>491</v>
      </c>
      <c r="D39192" t="s">
        <v>865</v>
      </c>
      <c r="F39192">
        <v>1.10542711828515E-8</v>
      </c>
      <c r="G39192">
        <v>5819070</v>
      </c>
      <c r="H39192">
        <v>11283501</v>
      </c>
      <c r="I39192">
        <v>30690819</v>
      </c>
      <c r="J39192">
        <v>4</v>
      </c>
    </row>
    <row r="39193" spans="1:10" x14ac:dyDescent="0.25">
      <c r="A39193" t="s">
        <v>399</v>
      </c>
      <c r="B39193" s="1" t="str">
        <f>HYPERLINK("http://renault-trucks.rs","renault-trucks.rs")</f>
        <v>renault-trucks.rs</v>
      </c>
      <c r="C39193" t="s">
        <v>492</v>
      </c>
      <c r="D39193" t="s">
        <v>866</v>
      </c>
      <c r="F39193">
        <v>1.4000092784599E-8</v>
      </c>
      <c r="G39193">
        <v>4202590</v>
      </c>
      <c r="H39193">
        <v>11009866</v>
      </c>
      <c r="I39193">
        <v>33409285</v>
      </c>
      <c r="J39193">
        <v>3</v>
      </c>
    </row>
    <row r="39194" spans="1:10" x14ac:dyDescent="0.25">
      <c r="A39194" t="s">
        <v>399</v>
      </c>
      <c r="B39194" s="1" t="str">
        <f>HYPERLINK("http://volvotrucks.rs","volvotrucks.rs")</f>
        <v>volvotrucks.rs</v>
      </c>
      <c r="C39194" t="s">
        <v>492</v>
      </c>
      <c r="D39194" t="s">
        <v>866</v>
      </c>
      <c r="F39194">
        <v>7.9704943126815308E-9</v>
      </c>
      <c r="G39194">
        <v>9975412</v>
      </c>
      <c r="H39194">
        <v>13933180</v>
      </c>
      <c r="I39194">
        <v>4881998</v>
      </c>
      <c r="J39194">
        <v>4</v>
      </c>
    </row>
    <row r="39195" spans="1:10" x14ac:dyDescent="0.25">
      <c r="A39195" t="s">
        <v>399</v>
      </c>
      <c r="B39195" s="1" t="str">
        <f>HYPERLINK("http://renault-trucks.ru","renault-trucks.ru")</f>
        <v>renault-trucks.ru</v>
      </c>
      <c r="C39195" t="s">
        <v>493</v>
      </c>
      <c r="D39195" t="s">
        <v>867</v>
      </c>
      <c r="F39195">
        <v>3.1635221451897099E-8</v>
      </c>
      <c r="G39195">
        <v>1631574</v>
      </c>
      <c r="H39195">
        <v>12395477</v>
      </c>
      <c r="I39195">
        <v>18928886</v>
      </c>
      <c r="J39195">
        <v>3</v>
      </c>
    </row>
    <row r="39196" spans="1:10" x14ac:dyDescent="0.25">
      <c r="A39196" t="s">
        <v>399</v>
      </c>
      <c r="B39196" s="1" t="str">
        <f>HYPERLINK("http://trktk.ru","trktk.ru")</f>
        <v>trktk.ru</v>
      </c>
      <c r="C39196" t="s">
        <v>493</v>
      </c>
      <c r="D39196" t="s">
        <v>867</v>
      </c>
      <c r="J39196">
        <v>6</v>
      </c>
    </row>
    <row r="39197" spans="1:10" x14ac:dyDescent="0.25">
      <c r="A39197" t="s">
        <v>399</v>
      </c>
      <c r="B39197" s="1" t="str">
        <f>HYPERLINK("http://vfsco.ru","vfsco.ru")</f>
        <v>vfsco.ru</v>
      </c>
      <c r="C39197" t="s">
        <v>493</v>
      </c>
      <c r="D39197" t="s">
        <v>867</v>
      </c>
      <c r="F39197">
        <v>8.23321994845726E-9</v>
      </c>
      <c r="G39197">
        <v>9423760</v>
      </c>
      <c r="H39197">
        <v>12483225</v>
      </c>
      <c r="I39197">
        <v>17568471</v>
      </c>
      <c r="J39197">
        <v>5</v>
      </c>
    </row>
    <row r="39198" spans="1:10" x14ac:dyDescent="0.25">
      <c r="A39198" t="s">
        <v>399</v>
      </c>
      <c r="B39198" s="1" t="str">
        <f>HYPERLINK("http://volvobuses.ru","volvobuses.ru")</f>
        <v>volvobuses.ru</v>
      </c>
      <c r="C39198" t="s">
        <v>493</v>
      </c>
      <c r="D39198" t="s">
        <v>867</v>
      </c>
      <c r="F39198">
        <v>4.44380395335525E-9</v>
      </c>
      <c r="G39198">
        <v>86299137</v>
      </c>
      <c r="H39198">
        <v>0</v>
      </c>
      <c r="I39198">
        <v>87734346</v>
      </c>
      <c r="J39198">
        <v>3</v>
      </c>
    </row>
    <row r="39199" spans="1:10" x14ac:dyDescent="0.25">
      <c r="A39199" t="s">
        <v>399</v>
      </c>
      <c r="B39199" s="1" t="str">
        <f>HYPERLINK("http://volvogroup.ru","volvogroup.ru")</f>
        <v>volvogroup.ru</v>
      </c>
      <c r="C39199" t="s">
        <v>493</v>
      </c>
      <c r="D39199" t="s">
        <v>867</v>
      </c>
      <c r="F39199">
        <v>1.1087734231355999E-8</v>
      </c>
      <c r="G39199">
        <v>5794541</v>
      </c>
      <c r="H39199">
        <v>14073895</v>
      </c>
      <c r="I39199">
        <v>2965758</v>
      </c>
      <c r="J39199">
        <v>3</v>
      </c>
    </row>
    <row r="39200" spans="1:10" x14ac:dyDescent="0.25">
      <c r="A39200" t="s">
        <v>399</v>
      </c>
      <c r="B39200" s="1" t="str">
        <f>HYPERLINK("http://volvotrucks.ru","volvotrucks.ru")</f>
        <v>volvotrucks.ru</v>
      </c>
      <c r="C39200" t="s">
        <v>493</v>
      </c>
      <c r="D39200" t="s">
        <v>867</v>
      </c>
      <c r="F39200">
        <v>8.6435428282550005E-8</v>
      </c>
      <c r="G39200">
        <v>475716</v>
      </c>
      <c r="H39200">
        <v>14079739</v>
      </c>
      <c r="I39200">
        <v>2828504</v>
      </c>
      <c r="J39200">
        <v>4</v>
      </c>
    </row>
    <row r="39201" spans="1:10" x14ac:dyDescent="0.25">
      <c r="A39201" t="s">
        <v>399</v>
      </c>
      <c r="B39201" s="1" t="str">
        <f>HYPERLINK("http://vfsco.se","vfsco.se")</f>
        <v>vfsco.se</v>
      </c>
      <c r="C39201" t="s">
        <v>495</v>
      </c>
      <c r="D39201" t="s">
        <v>869</v>
      </c>
      <c r="F39201">
        <v>7.0135353223701996E-9</v>
      </c>
      <c r="G39201">
        <v>12272293</v>
      </c>
      <c r="H39201">
        <v>14071842</v>
      </c>
      <c r="I39201">
        <v>3298001</v>
      </c>
      <c r="J39201">
        <v>5</v>
      </c>
    </row>
    <row r="39202" spans="1:10" x14ac:dyDescent="0.25">
      <c r="A39202" t="s">
        <v>399</v>
      </c>
      <c r="B39202" s="1" t="str">
        <f>HYPERLINK("http://volvobuses.se","volvobuses.se")</f>
        <v>volvobuses.se</v>
      </c>
      <c r="C39202" t="s">
        <v>495</v>
      </c>
      <c r="D39202" t="s">
        <v>869</v>
      </c>
      <c r="F39202">
        <v>1.74989010331073E-8</v>
      </c>
      <c r="G39202">
        <v>3146348</v>
      </c>
      <c r="H39202">
        <v>12701628</v>
      </c>
      <c r="I39202">
        <v>15346241</v>
      </c>
      <c r="J39202">
        <v>3</v>
      </c>
    </row>
    <row r="39203" spans="1:10" x14ac:dyDescent="0.25">
      <c r="A39203" t="s">
        <v>399</v>
      </c>
      <c r="B39203" s="1" t="str">
        <f>HYPERLINK("http://volvogroup.se","volvogroup.se")</f>
        <v>volvogroup.se</v>
      </c>
      <c r="C39203" t="s">
        <v>495</v>
      </c>
      <c r="D39203" t="s">
        <v>869</v>
      </c>
      <c r="F39203">
        <v>4.00979943582E-8</v>
      </c>
      <c r="G39203">
        <v>1289605</v>
      </c>
      <c r="H39203">
        <v>14095044</v>
      </c>
      <c r="I39203">
        <v>2730346</v>
      </c>
      <c r="J39203">
        <v>1</v>
      </c>
    </row>
    <row r="39204" spans="1:10" x14ac:dyDescent="0.25">
      <c r="A39204" t="s">
        <v>399</v>
      </c>
      <c r="B39204" s="1" t="str">
        <f>HYPERLINK("http://volvopenta.se","volvopenta.se")</f>
        <v>volvopenta.se</v>
      </c>
      <c r="C39204" t="s">
        <v>495</v>
      </c>
      <c r="D39204" t="s">
        <v>869</v>
      </c>
      <c r="E39204">
        <v>659868</v>
      </c>
      <c r="F39204">
        <v>2.38631138605219E-8</v>
      </c>
      <c r="G39204">
        <v>2176622</v>
      </c>
      <c r="H39204">
        <v>13768434</v>
      </c>
      <c r="I39204">
        <v>6874307</v>
      </c>
      <c r="J39204">
        <v>4</v>
      </c>
    </row>
    <row r="39205" spans="1:10" x14ac:dyDescent="0.25">
      <c r="A39205" t="s">
        <v>399</v>
      </c>
      <c r="B39205" s="1" t="str">
        <f>HYPERLINK("http://volvotrucks.se","volvotrucks.se")</f>
        <v>volvotrucks.se</v>
      </c>
      <c r="C39205" t="s">
        <v>495</v>
      </c>
      <c r="D39205" t="s">
        <v>869</v>
      </c>
      <c r="F39205">
        <v>6.5546421133902305E-8</v>
      </c>
      <c r="G39205">
        <v>655861</v>
      </c>
      <c r="H39205">
        <v>12871935</v>
      </c>
      <c r="I39205">
        <v>14055149</v>
      </c>
      <c r="J39205">
        <v>3</v>
      </c>
    </row>
    <row r="39206" spans="1:10" x14ac:dyDescent="0.25">
      <c r="A39206" t="s">
        <v>399</v>
      </c>
      <c r="B39206" s="1" t="str">
        <f>HYPERLINK("http://volvobuses.sg","volvobuses.sg")</f>
        <v>volvobuses.sg</v>
      </c>
      <c r="C39206" t="s">
        <v>496</v>
      </c>
      <c r="D39206" t="s">
        <v>870</v>
      </c>
      <c r="F39206">
        <v>7.0715023562223302E-9</v>
      </c>
      <c r="G39206">
        <v>12094849</v>
      </c>
      <c r="H39206">
        <v>14071840</v>
      </c>
      <c r="I39206">
        <v>3300659</v>
      </c>
      <c r="J39206">
        <v>3</v>
      </c>
    </row>
    <row r="39207" spans="1:10" x14ac:dyDescent="0.25">
      <c r="A39207" t="s">
        <v>399</v>
      </c>
      <c r="B39207" s="1" t="str">
        <f>HYPERLINK("http://volvotrucks.sg","volvotrucks.sg")</f>
        <v>volvotrucks.sg</v>
      </c>
      <c r="C39207" t="s">
        <v>496</v>
      </c>
      <c r="D39207" t="s">
        <v>870</v>
      </c>
      <c r="F39207">
        <v>6.7942873467165298E-9</v>
      </c>
      <c r="G39207">
        <v>12979683</v>
      </c>
      <c r="H39207">
        <v>11337073</v>
      </c>
      <c r="I39207">
        <v>30433411</v>
      </c>
      <c r="J39207">
        <v>4</v>
      </c>
    </row>
    <row r="39208" spans="1:10" x14ac:dyDescent="0.25">
      <c r="A39208" t="s">
        <v>399</v>
      </c>
      <c r="B39208" s="1" t="str">
        <f>HYPERLINK("http://renault-trucks.si","renault-trucks.si")</f>
        <v>renault-trucks.si</v>
      </c>
      <c r="C39208" t="s">
        <v>497</v>
      </c>
      <c r="D39208" t="s">
        <v>871</v>
      </c>
      <c r="F39208">
        <v>1.4790641075470099E-8</v>
      </c>
      <c r="G39208">
        <v>3910344</v>
      </c>
      <c r="H39208">
        <v>11363464</v>
      </c>
      <c r="I39208">
        <v>30348352</v>
      </c>
      <c r="J39208">
        <v>3</v>
      </c>
    </row>
    <row r="39209" spans="1:10" x14ac:dyDescent="0.25">
      <c r="A39209" t="s">
        <v>399</v>
      </c>
      <c r="B39209" s="1" t="str">
        <f>HYPERLINK("http://volvotrucks.si","volvotrucks.si")</f>
        <v>volvotrucks.si</v>
      </c>
      <c r="C39209" t="s">
        <v>497</v>
      </c>
      <c r="D39209" t="s">
        <v>871</v>
      </c>
      <c r="F39209">
        <v>8.5301637979325202E-9</v>
      </c>
      <c r="G39209">
        <v>8786953</v>
      </c>
      <c r="H39209">
        <v>11212652</v>
      </c>
      <c r="I39209">
        <v>31144661</v>
      </c>
      <c r="J39209">
        <v>4</v>
      </c>
    </row>
    <row r="39210" spans="1:10" x14ac:dyDescent="0.25">
      <c r="A39210" t="s">
        <v>399</v>
      </c>
      <c r="B39210" s="1" t="str">
        <f>HYPERLINK("http://renault-trucks.sk","renault-trucks.sk")</f>
        <v>renault-trucks.sk</v>
      </c>
      <c r="C39210" t="s">
        <v>498</v>
      </c>
      <c r="D39210" t="s">
        <v>872</v>
      </c>
      <c r="F39210">
        <v>1.5119801992810899E-8</v>
      </c>
      <c r="G39210">
        <v>3801391</v>
      </c>
      <c r="H39210">
        <v>12153773</v>
      </c>
      <c r="I39210">
        <v>24525409</v>
      </c>
      <c r="J39210">
        <v>3</v>
      </c>
    </row>
    <row r="39211" spans="1:10" x14ac:dyDescent="0.25">
      <c r="A39211" t="s">
        <v>399</v>
      </c>
      <c r="B39211" s="1" t="str">
        <f>HYPERLINK("http://vfsco.sk","vfsco.sk")</f>
        <v>vfsco.sk</v>
      </c>
      <c r="C39211" t="s">
        <v>498</v>
      </c>
      <c r="D39211" t="s">
        <v>872</v>
      </c>
      <c r="F39211">
        <v>5.14154987619864E-9</v>
      </c>
      <c r="G39211">
        <v>26237970</v>
      </c>
      <c r="H39211">
        <v>11016610</v>
      </c>
      <c r="I39211">
        <v>33306572</v>
      </c>
      <c r="J39211">
        <v>5</v>
      </c>
    </row>
    <row r="39212" spans="1:10" x14ac:dyDescent="0.25">
      <c r="A39212" t="s">
        <v>399</v>
      </c>
      <c r="B39212" s="1" t="str">
        <f>HYPERLINK("http://volvotrucks.sk","volvotrucks.sk")</f>
        <v>volvotrucks.sk</v>
      </c>
      <c r="C39212" t="s">
        <v>498</v>
      </c>
      <c r="D39212" t="s">
        <v>872</v>
      </c>
      <c r="F39212">
        <v>1.3618816322749701E-8</v>
      </c>
      <c r="G39212">
        <v>4354174</v>
      </c>
      <c r="H39212">
        <v>12435707</v>
      </c>
      <c r="I39212">
        <v>18205580</v>
      </c>
      <c r="J39212">
        <v>4</v>
      </c>
    </row>
    <row r="39213" spans="1:10" x14ac:dyDescent="0.25">
      <c r="A39213" t="s">
        <v>399</v>
      </c>
      <c r="B39213" s="1" t="str">
        <f>HYPERLINK("http://volvotrucks.tm","volvotrucks.tm")</f>
        <v>volvotrucks.tm</v>
      </c>
      <c r="C39213" t="s">
        <v>675</v>
      </c>
      <c r="D39213" t="s">
        <v>993</v>
      </c>
      <c r="F39213">
        <v>6.7377234027597698E-9</v>
      </c>
      <c r="G39213">
        <v>13170868</v>
      </c>
      <c r="H39213">
        <v>11174303</v>
      </c>
      <c r="I39213">
        <v>31487829</v>
      </c>
      <c r="J39213">
        <v>4</v>
      </c>
    </row>
    <row r="39214" spans="1:10" x14ac:dyDescent="0.25">
      <c r="A39214" t="s">
        <v>399</v>
      </c>
      <c r="B39214" s="1" t="str">
        <f>HYPERLINK("http://renault-trucks.tn","renault-trucks.tn")</f>
        <v>renault-trucks.tn</v>
      </c>
      <c r="C39214" t="s">
        <v>501</v>
      </c>
      <c r="D39214" t="s">
        <v>875</v>
      </c>
      <c r="F39214">
        <v>7.6775990307411506E-9</v>
      </c>
      <c r="G39214">
        <v>10628405</v>
      </c>
      <c r="H39214">
        <v>11171237</v>
      </c>
      <c r="I39214">
        <v>31517372</v>
      </c>
      <c r="J39214">
        <v>3</v>
      </c>
    </row>
    <row r="39215" spans="1:10" x14ac:dyDescent="0.25">
      <c r="A39215" t="s">
        <v>399</v>
      </c>
      <c r="B39215" s="1" t="str">
        <f>HYPERLINK("http://volvobuses.tn","volvobuses.tn")</f>
        <v>volvobuses.tn</v>
      </c>
      <c r="C39215" t="s">
        <v>501</v>
      </c>
      <c r="D39215" t="s">
        <v>875</v>
      </c>
      <c r="F39215">
        <v>6.7919979534445098E-9</v>
      </c>
      <c r="G39215">
        <v>12987653</v>
      </c>
      <c r="H39215">
        <v>14071789</v>
      </c>
      <c r="I39215">
        <v>3704607</v>
      </c>
      <c r="J39215">
        <v>3</v>
      </c>
    </row>
    <row r="39216" spans="1:10" x14ac:dyDescent="0.25">
      <c r="A39216" t="s">
        <v>399</v>
      </c>
      <c r="B39216" s="1" t="str">
        <f>HYPERLINK("http://volvotrucks.tn","volvotrucks.tn")</f>
        <v>volvotrucks.tn</v>
      </c>
      <c r="C39216" t="s">
        <v>501</v>
      </c>
      <c r="D39216" t="s">
        <v>875</v>
      </c>
      <c r="F39216">
        <v>6.7377234027597698E-9</v>
      </c>
      <c r="G39216">
        <v>13170869</v>
      </c>
      <c r="H39216">
        <v>11174303</v>
      </c>
      <c r="I39216">
        <v>31487830</v>
      </c>
      <c r="J39216">
        <v>4</v>
      </c>
    </row>
    <row r="39217" spans="1:10" x14ac:dyDescent="0.25">
      <c r="A39217" t="s">
        <v>399</v>
      </c>
      <c r="B39217" s="1" t="str">
        <f>HYPERLINK("http://renault-trucks.com.tr","renault-trucks.com.tr")</f>
        <v>renault-trucks.com.tr</v>
      </c>
      <c r="C39217" t="s">
        <v>502</v>
      </c>
      <c r="D39217" t="s">
        <v>876</v>
      </c>
      <c r="F39217">
        <v>1.7289929913455499E-8</v>
      </c>
      <c r="G39217">
        <v>3201631</v>
      </c>
      <c r="H39217">
        <v>11022922</v>
      </c>
      <c r="I39217">
        <v>33208067</v>
      </c>
      <c r="J39217">
        <v>3</v>
      </c>
    </row>
    <row r="39218" spans="1:10" x14ac:dyDescent="0.25">
      <c r="A39218" t="s">
        <v>399</v>
      </c>
      <c r="B39218" s="1" t="str">
        <f>HYPERLINK("http://vfsco.com.tr","vfsco.com.tr")</f>
        <v>vfsco.com.tr</v>
      </c>
      <c r="C39218" t="s">
        <v>502</v>
      </c>
      <c r="D39218" t="s">
        <v>876</v>
      </c>
      <c r="F39218">
        <v>8.2517453009885006E-9</v>
      </c>
      <c r="G39218">
        <v>9373178</v>
      </c>
      <c r="H39218">
        <v>11438065</v>
      </c>
      <c r="I39218">
        <v>30138205</v>
      </c>
      <c r="J39218">
        <v>5</v>
      </c>
    </row>
    <row r="39219" spans="1:10" x14ac:dyDescent="0.25">
      <c r="A39219" t="s">
        <v>399</v>
      </c>
      <c r="B39219" s="1" t="str">
        <f>HYPERLINK("http://volvotrucks.com.tr","volvotrucks.com.tr")</f>
        <v>volvotrucks.com.tr</v>
      </c>
      <c r="C39219" t="s">
        <v>502</v>
      </c>
      <c r="D39219" t="s">
        <v>876</v>
      </c>
      <c r="F39219">
        <v>9.3751440649243996E-9</v>
      </c>
      <c r="G39219">
        <v>7476773</v>
      </c>
      <c r="H39219">
        <v>12370228</v>
      </c>
      <c r="I39219">
        <v>19410185</v>
      </c>
      <c r="J39219">
        <v>4</v>
      </c>
    </row>
    <row r="39220" spans="1:10" x14ac:dyDescent="0.25">
      <c r="A39220" t="s">
        <v>399</v>
      </c>
      <c r="B39220" s="1" t="str">
        <f>HYPERLINK("http://volvobuses.com.tw","volvobuses.com.tw")</f>
        <v>volvobuses.com.tw</v>
      </c>
      <c r="C39220" t="s">
        <v>504</v>
      </c>
      <c r="D39220" t="s">
        <v>878</v>
      </c>
      <c r="F39220">
        <v>6.3728782304547696E-9</v>
      </c>
      <c r="G39220">
        <v>14651932</v>
      </c>
      <c r="H39220">
        <v>11116647</v>
      </c>
      <c r="I39220">
        <v>32083865</v>
      </c>
      <c r="J39220">
        <v>3</v>
      </c>
    </row>
    <row r="39221" spans="1:10" x14ac:dyDescent="0.25">
      <c r="A39221" t="s">
        <v>399</v>
      </c>
      <c r="B39221" s="1" t="str">
        <f>HYPERLINK("http://volvotrucks.com.tw","volvotrucks.com.tw")</f>
        <v>volvotrucks.com.tw</v>
      </c>
      <c r="C39221" t="s">
        <v>504</v>
      </c>
      <c r="D39221" t="s">
        <v>878</v>
      </c>
      <c r="F39221">
        <v>1.0465104670372099E-8</v>
      </c>
      <c r="G39221">
        <v>6300030</v>
      </c>
      <c r="H39221">
        <v>11446253</v>
      </c>
      <c r="I39221">
        <v>30125538</v>
      </c>
      <c r="J39221">
        <v>4</v>
      </c>
    </row>
    <row r="39222" spans="1:10" x14ac:dyDescent="0.25">
      <c r="A39222" t="s">
        <v>399</v>
      </c>
      <c r="B39222" s="1" t="str">
        <f>HYPERLINK("http://volvotrucks.com.ua","volvotrucks.com.ua")</f>
        <v>volvotrucks.com.ua</v>
      </c>
      <c r="C39222" t="s">
        <v>505</v>
      </c>
      <c r="D39222" t="s">
        <v>879</v>
      </c>
      <c r="F39222">
        <v>8.6878267756391992E-9</v>
      </c>
      <c r="G39222">
        <v>8498768</v>
      </c>
      <c r="H39222">
        <v>11246296</v>
      </c>
      <c r="I39222">
        <v>30923900</v>
      </c>
      <c r="J39222">
        <v>4</v>
      </c>
    </row>
    <row r="39223" spans="1:10" x14ac:dyDescent="0.25">
      <c r="A39223" t="s">
        <v>399</v>
      </c>
      <c r="B39223" s="1" t="str">
        <f>HYPERLINK("http://renault-trucks.kharkov.ua","renault-trucks.kharkov.ua")</f>
        <v>renault-trucks.kharkov.ua</v>
      </c>
      <c r="C39223" t="s">
        <v>505</v>
      </c>
      <c r="D39223" t="s">
        <v>879</v>
      </c>
      <c r="F39223">
        <v>5.3202577002900998E-9</v>
      </c>
      <c r="G39223">
        <v>23204732</v>
      </c>
      <c r="H39223">
        <v>10704679</v>
      </c>
      <c r="I39223">
        <v>42244310</v>
      </c>
      <c r="J39223">
        <v>4</v>
      </c>
    </row>
    <row r="39224" spans="1:10" x14ac:dyDescent="0.25">
      <c r="A39224" t="s">
        <v>399</v>
      </c>
      <c r="B39224" s="1" t="str">
        <f>HYPERLINK("http://renault-trucks.net.ua","renault-trucks.net.ua")</f>
        <v>renault-trucks.net.ua</v>
      </c>
      <c r="C39224" t="s">
        <v>505</v>
      </c>
      <c r="D39224" t="s">
        <v>879</v>
      </c>
      <c r="F39224">
        <v>1.51540987087658E-8</v>
      </c>
      <c r="G39224">
        <v>3790346</v>
      </c>
      <c r="H39224">
        <v>11127137</v>
      </c>
      <c r="I39224">
        <v>31978557</v>
      </c>
      <c r="J39224">
        <v>3</v>
      </c>
    </row>
    <row r="39225" spans="1:10" x14ac:dyDescent="0.25">
      <c r="A39225" t="s">
        <v>399</v>
      </c>
      <c r="B39225" s="1" t="str">
        <f>HYPERLINK("http://renault-trucks.ug","renault-trucks.ug")</f>
        <v>renault-trucks.ug</v>
      </c>
      <c r="C39225" t="s">
        <v>677</v>
      </c>
      <c r="D39225" t="s">
        <v>995</v>
      </c>
      <c r="F39225">
        <v>4.44380395335525E-9</v>
      </c>
      <c r="G39225">
        <v>86465833</v>
      </c>
      <c r="H39225">
        <v>0</v>
      </c>
      <c r="I39225">
        <v>87937581</v>
      </c>
      <c r="J39225">
        <v>3</v>
      </c>
    </row>
    <row r="39226" spans="1:10" x14ac:dyDescent="0.25">
      <c r="A39226" t="s">
        <v>399</v>
      </c>
      <c r="B39226" s="1" t="str">
        <f>HYPERLINK("http://brs.co.uk","brs.co.uk")</f>
        <v>brs.co.uk</v>
      </c>
      <c r="C39226" t="s">
        <v>506</v>
      </c>
      <c r="D39226" t="s">
        <v>880</v>
      </c>
      <c r="F39226">
        <v>4.7047614731698598E-9</v>
      </c>
      <c r="G39226">
        <v>40997817</v>
      </c>
      <c r="H39226">
        <v>10669650</v>
      </c>
      <c r="I39226">
        <v>42982364</v>
      </c>
      <c r="J39226">
        <v>5</v>
      </c>
    </row>
    <row r="39227" spans="1:10" x14ac:dyDescent="0.25">
      <c r="A39227" t="s">
        <v>399</v>
      </c>
      <c r="B39227" s="1" t="str">
        <f>HYPERLINK("http://renault-trucks.co.uk","renault-trucks.co.uk")</f>
        <v>renault-trucks.co.uk</v>
      </c>
      <c r="C39227" t="s">
        <v>506</v>
      </c>
      <c r="D39227" t="s">
        <v>880</v>
      </c>
      <c r="F39227">
        <v>3.9319543862432298E-8</v>
      </c>
      <c r="G39227">
        <v>1312357</v>
      </c>
      <c r="H39227">
        <v>14418401</v>
      </c>
      <c r="I39227">
        <v>1094730</v>
      </c>
      <c r="J39227">
        <v>3</v>
      </c>
    </row>
    <row r="39228" spans="1:10" x14ac:dyDescent="0.25">
      <c r="A39228" t="s">
        <v>399</v>
      </c>
      <c r="B39228" s="1" t="str">
        <f>HYPERLINK("http://renaulttruckcommercials.co.uk","renaulttruckcommercials.co.uk")</f>
        <v>renaulttruckcommercials.co.uk</v>
      </c>
      <c r="C39228" t="s">
        <v>506</v>
      </c>
      <c r="D39228" t="s">
        <v>880</v>
      </c>
      <c r="F39228">
        <v>6.1473895806402196E-9</v>
      </c>
      <c r="G39228">
        <v>15817513</v>
      </c>
      <c r="H39228">
        <v>11407250</v>
      </c>
      <c r="I39228">
        <v>30204318</v>
      </c>
      <c r="J39228">
        <v>5</v>
      </c>
    </row>
    <row r="39229" spans="1:10" x14ac:dyDescent="0.25">
      <c r="A39229" t="s">
        <v>399</v>
      </c>
      <c r="B39229" s="1" t="str">
        <f>HYPERLINK("http://thomas-hardie.co.uk","thomas-hardie.co.uk")</f>
        <v>thomas-hardie.co.uk</v>
      </c>
      <c r="C39229" t="s">
        <v>506</v>
      </c>
      <c r="D39229" t="s">
        <v>880</v>
      </c>
      <c r="F39229">
        <v>4.4751326473213398E-9</v>
      </c>
      <c r="G39229">
        <v>63385789</v>
      </c>
      <c r="H39229">
        <v>9651847</v>
      </c>
      <c r="I39229">
        <v>63879912</v>
      </c>
      <c r="J39229">
        <v>7</v>
      </c>
    </row>
    <row r="39230" spans="1:10" x14ac:dyDescent="0.25">
      <c r="A39230" t="s">
        <v>399</v>
      </c>
      <c r="B39230" s="1" t="str">
        <f>HYPERLINK("http://vfsco.co.uk","vfsco.co.uk")</f>
        <v>vfsco.co.uk</v>
      </c>
      <c r="C39230" t="s">
        <v>506</v>
      </c>
      <c r="D39230" t="s">
        <v>880</v>
      </c>
      <c r="F39230">
        <v>6.0492435729189099E-9</v>
      </c>
      <c r="G39230">
        <v>16386833</v>
      </c>
      <c r="H39230">
        <v>11348790</v>
      </c>
      <c r="I39230">
        <v>30393794</v>
      </c>
      <c r="J39230">
        <v>5</v>
      </c>
    </row>
    <row r="39231" spans="1:10" x14ac:dyDescent="0.25">
      <c r="A39231" t="s">
        <v>399</v>
      </c>
      <c r="B39231" s="1" t="str">
        <f>HYPERLINK("http://volvobuses.co.uk","volvobuses.co.uk")</f>
        <v>volvobuses.co.uk</v>
      </c>
      <c r="C39231" t="s">
        <v>506</v>
      </c>
      <c r="D39231" t="s">
        <v>880</v>
      </c>
      <c r="F39231">
        <v>1.22054519361841E-8</v>
      </c>
      <c r="G39231">
        <v>5047435</v>
      </c>
      <c r="H39231">
        <v>14072898</v>
      </c>
      <c r="I39231">
        <v>3034827</v>
      </c>
      <c r="J39231">
        <v>3</v>
      </c>
    </row>
    <row r="39232" spans="1:10" x14ac:dyDescent="0.25">
      <c r="A39232" t="s">
        <v>399</v>
      </c>
      <c r="B39232" s="1" t="str">
        <f>HYPERLINK("http://volvotrucks.co.uk","volvotrucks.co.uk")</f>
        <v>volvotrucks.co.uk</v>
      </c>
      <c r="C39232" t="s">
        <v>506</v>
      </c>
      <c r="D39232" t="s">
        <v>880</v>
      </c>
      <c r="F39232">
        <v>6.0216975276885294E-8</v>
      </c>
      <c r="G39232">
        <v>732711</v>
      </c>
      <c r="H39232">
        <v>14024094</v>
      </c>
      <c r="I39232">
        <v>3977204</v>
      </c>
      <c r="J39232">
        <v>4</v>
      </c>
    </row>
    <row r="39233" spans="1:10" x14ac:dyDescent="0.25">
      <c r="A39233" t="s">
        <v>399</v>
      </c>
      <c r="B39233" s="1" t="str">
        <f>HYPERLINK("http://vfsco.us","vfsco.us")</f>
        <v>vfsco.us</v>
      </c>
      <c r="C39233" t="s">
        <v>522</v>
      </c>
      <c r="D39233" t="s">
        <v>891</v>
      </c>
      <c r="F39233">
        <v>8.2887996449321295E-9</v>
      </c>
      <c r="G39233">
        <v>9285297</v>
      </c>
      <c r="H39233">
        <v>12241905</v>
      </c>
      <c r="I39233">
        <v>22203122</v>
      </c>
      <c r="J39233">
        <v>5</v>
      </c>
    </row>
    <row r="39234" spans="1:10" x14ac:dyDescent="0.25">
      <c r="A39234" t="s">
        <v>399</v>
      </c>
      <c r="B39234" s="1" t="str">
        <f>HYPERLINK("http://volvobuses.us","volvobuses.us")</f>
        <v>volvobuses.us</v>
      </c>
      <c r="C39234" t="s">
        <v>522</v>
      </c>
      <c r="D39234" t="s">
        <v>891</v>
      </c>
      <c r="F39234">
        <v>1.04088806095864E-8</v>
      </c>
      <c r="G39234">
        <v>6350888</v>
      </c>
      <c r="H39234">
        <v>11114413</v>
      </c>
      <c r="I39234">
        <v>32108183</v>
      </c>
      <c r="J39234">
        <v>3</v>
      </c>
    </row>
    <row r="39235" spans="1:10" x14ac:dyDescent="0.25">
      <c r="A39235" t="s">
        <v>399</v>
      </c>
      <c r="B39235" s="1" t="str">
        <f>HYPERLINK("http://volvopenta.us","volvopenta.us")</f>
        <v>volvopenta.us</v>
      </c>
      <c r="C39235" t="s">
        <v>522</v>
      </c>
      <c r="D39235" t="s">
        <v>891</v>
      </c>
      <c r="F39235">
        <v>2.8926328581282801E-8</v>
      </c>
      <c r="G39235">
        <v>1779711</v>
      </c>
      <c r="H39235">
        <v>14124498</v>
      </c>
      <c r="I39235">
        <v>2143911</v>
      </c>
      <c r="J39235">
        <v>4</v>
      </c>
    </row>
    <row r="39236" spans="1:10" x14ac:dyDescent="0.25">
      <c r="A39236" t="s">
        <v>399</v>
      </c>
      <c r="B39236" s="1" t="str">
        <f>HYPERLINK("http://volvotrucks.us","volvotrucks.us")</f>
        <v>volvotrucks.us</v>
      </c>
      <c r="C39236" t="s">
        <v>522</v>
      </c>
      <c r="D39236" t="s">
        <v>891</v>
      </c>
      <c r="E39236">
        <v>252017</v>
      </c>
      <c r="F39236">
        <v>2.1465379770731199E-7</v>
      </c>
      <c r="G39236">
        <v>175830</v>
      </c>
      <c r="H39236">
        <v>17007286</v>
      </c>
      <c r="I39236">
        <v>92384</v>
      </c>
      <c r="J39236">
        <v>4</v>
      </c>
    </row>
    <row r="39237" spans="1:10" x14ac:dyDescent="0.25">
      <c r="A39237" t="s">
        <v>399</v>
      </c>
      <c r="B39237" s="1" t="str">
        <f>HYPERLINK("http://volvotrucks.uy","volvotrucks.uy")</f>
        <v>volvotrucks.uy</v>
      </c>
      <c r="C39237" t="s">
        <v>507</v>
      </c>
      <c r="D39237" t="s">
        <v>881</v>
      </c>
      <c r="F39237">
        <v>7.1708664645278696E-9</v>
      </c>
      <c r="G39237">
        <v>11820673</v>
      </c>
      <c r="H39237">
        <v>12986492</v>
      </c>
      <c r="I39237">
        <v>12890299</v>
      </c>
      <c r="J39237">
        <v>4</v>
      </c>
    </row>
    <row r="39238" spans="1:10" x14ac:dyDescent="0.25">
      <c r="A39238" t="s">
        <v>399</v>
      </c>
      <c r="B39238" s="1" t="str">
        <f>HYPERLINK("http://macktrucks.com.ve","macktrucks.com.ve")</f>
        <v>macktrucks.com.ve</v>
      </c>
      <c r="C39238" t="s">
        <v>508</v>
      </c>
      <c r="D39238" t="s">
        <v>882</v>
      </c>
      <c r="F39238">
        <v>8.0576718965440408E-9</v>
      </c>
      <c r="G39238">
        <v>9816316</v>
      </c>
      <c r="H39238">
        <v>14071820</v>
      </c>
      <c r="I39238">
        <v>3306980</v>
      </c>
      <c r="J39238">
        <v>3</v>
      </c>
    </row>
    <row r="39239" spans="1:10" x14ac:dyDescent="0.25">
      <c r="A39239" t="s">
        <v>399</v>
      </c>
      <c r="B39239" s="1" t="str">
        <f>HYPERLINK("http://vfsco.co.za","vfsco.co.za")</f>
        <v>vfsco.co.za</v>
      </c>
      <c r="C39239" t="s">
        <v>510</v>
      </c>
      <c r="D39239" t="s">
        <v>884</v>
      </c>
      <c r="F39239">
        <v>5.0980268178701103E-9</v>
      </c>
      <c r="G39239">
        <v>27118168</v>
      </c>
      <c r="H39239">
        <v>10603387</v>
      </c>
      <c r="I39239">
        <v>44769345</v>
      </c>
      <c r="J39239">
        <v>5</v>
      </c>
    </row>
    <row r="39240" spans="1:10" x14ac:dyDescent="0.25">
      <c r="A39240" t="s">
        <v>399</v>
      </c>
      <c r="B39240" s="1" t="str">
        <f>HYPERLINK("http://volvotrucks.co.za","volvotrucks.co.za")</f>
        <v>volvotrucks.co.za</v>
      </c>
      <c r="C39240" t="s">
        <v>510</v>
      </c>
      <c r="D39240" t="s">
        <v>884</v>
      </c>
      <c r="F39240">
        <v>1.2423673476368601E-8</v>
      </c>
      <c r="G39240">
        <v>4926623</v>
      </c>
      <c r="H39240">
        <v>12392675</v>
      </c>
      <c r="I39240">
        <v>18988387</v>
      </c>
      <c r="J39240">
        <v>4</v>
      </c>
    </row>
    <row r="39241" spans="1:10" x14ac:dyDescent="0.25">
      <c r="A39241" t="s">
        <v>399</v>
      </c>
      <c r="B39241" s="1" t="str">
        <f>HYPERLINK("http://volvotrucks.co.zm","volvotrucks.co.zm")</f>
        <v>volvotrucks.co.zm</v>
      </c>
      <c r="C39241" t="s">
        <v>681</v>
      </c>
      <c r="D39241" t="s">
        <v>999</v>
      </c>
      <c r="F39241">
        <v>6.7377234027597698E-9</v>
      </c>
      <c r="G39241">
        <v>13170870</v>
      </c>
      <c r="H39241">
        <v>11174303</v>
      </c>
      <c r="I39241">
        <v>31487831</v>
      </c>
      <c r="J39241">
        <v>4</v>
      </c>
    </row>
    <row r="39242" spans="1:10" x14ac:dyDescent="0.25">
      <c r="A39242" t="s">
        <v>399</v>
      </c>
      <c r="B39242" s="1" t="str">
        <f>HYPERLINK("http://volvotrucks.co.zw","volvotrucks.co.zw")</f>
        <v>volvotrucks.co.zw</v>
      </c>
      <c r="C39242" t="s">
        <v>682</v>
      </c>
      <c r="D39242" t="s">
        <v>1000</v>
      </c>
      <c r="F39242">
        <v>6.7377234027597698E-9</v>
      </c>
      <c r="G39242">
        <v>13170871</v>
      </c>
      <c r="H39242">
        <v>11174303</v>
      </c>
      <c r="I39242">
        <v>31487832</v>
      </c>
      <c r="J39242">
        <v>4</v>
      </c>
    </row>
    <row r="39243" spans="1:10" x14ac:dyDescent="0.25">
      <c r="A39243" t="s">
        <v>400</v>
      </c>
      <c r="B39243" s="1" t="str">
        <f>HYPERLINK("http://walmart.com.ar","walmart.com.ar")</f>
        <v>walmart.com.ar</v>
      </c>
      <c r="C39243" t="s">
        <v>418</v>
      </c>
      <c r="D39243" t="s">
        <v>800</v>
      </c>
      <c r="E39243">
        <v>761920</v>
      </c>
      <c r="F39243">
        <v>6.5330958989851805E-8</v>
      </c>
      <c r="G39243">
        <v>658617</v>
      </c>
      <c r="H39243">
        <v>13808099</v>
      </c>
      <c r="I39243">
        <v>6223395</v>
      </c>
      <c r="J39243">
        <v>3</v>
      </c>
    </row>
    <row r="39244" spans="1:10" x14ac:dyDescent="0.25">
      <c r="A39244" t="s">
        <v>400</v>
      </c>
      <c r="B39244" s="1" t="str">
        <f>HYPERLINK("http://samsclub.com.br","samsclub.com.br")</f>
        <v>samsclub.com.br</v>
      </c>
      <c r="C39244" t="s">
        <v>425</v>
      </c>
      <c r="D39244" t="s">
        <v>806</v>
      </c>
      <c r="E39244">
        <v>481244</v>
      </c>
      <c r="F39244">
        <v>1.09190788340075E-8</v>
      </c>
      <c r="G39244">
        <v>5927763</v>
      </c>
      <c r="H39244">
        <v>14487293</v>
      </c>
      <c r="I39244">
        <v>949728</v>
      </c>
      <c r="J39244">
        <v>4</v>
      </c>
    </row>
    <row r="39245" spans="1:10" x14ac:dyDescent="0.25">
      <c r="A39245" t="s">
        <v>400</v>
      </c>
      <c r="B39245" s="1" t="str">
        <f>HYPERLINK("http://walmart.com.br","walmart.com.br")</f>
        <v>walmart.com.br</v>
      </c>
      <c r="C39245" t="s">
        <v>425</v>
      </c>
      <c r="D39245" t="s">
        <v>806</v>
      </c>
      <c r="E39245">
        <v>290903</v>
      </c>
      <c r="F39245">
        <v>1.5120050638566301E-7</v>
      </c>
      <c r="G39245">
        <v>256921</v>
      </c>
      <c r="H39245">
        <v>17140752</v>
      </c>
      <c r="I39245">
        <v>54156</v>
      </c>
      <c r="J39245">
        <v>3</v>
      </c>
    </row>
    <row r="39246" spans="1:10" x14ac:dyDescent="0.25">
      <c r="A39246" t="s">
        <v>400</v>
      </c>
      <c r="B39246" s="1" t="str">
        <f>HYPERLINK("http://walmart.ca","walmart.ca")</f>
        <v>walmart.ca</v>
      </c>
      <c r="C39246" t="s">
        <v>428</v>
      </c>
      <c r="D39246" t="s">
        <v>809</v>
      </c>
      <c r="E39246">
        <v>4571</v>
      </c>
      <c r="F39246">
        <v>1.5999012776753701E-6</v>
      </c>
      <c r="G39246">
        <v>24606</v>
      </c>
      <c r="H39246">
        <v>16077027</v>
      </c>
      <c r="I39246">
        <v>365995</v>
      </c>
      <c r="J39246">
        <v>2</v>
      </c>
    </row>
    <row r="39247" spans="1:10" x14ac:dyDescent="0.25">
      <c r="A39247" t="s">
        <v>400</v>
      </c>
      <c r="B39247" s="1" t="str">
        <f>HYPERLINK("http://walmartcanada.ca","walmartcanada.ca")</f>
        <v>walmartcanada.ca</v>
      </c>
      <c r="C39247" t="s">
        <v>428</v>
      </c>
      <c r="D39247" t="s">
        <v>809</v>
      </c>
      <c r="E39247">
        <v>438013</v>
      </c>
      <c r="F39247">
        <v>1.81557177798063E-7</v>
      </c>
      <c r="G39247">
        <v>212615</v>
      </c>
      <c r="H39247">
        <v>15038996</v>
      </c>
      <c r="I39247">
        <v>416769</v>
      </c>
      <c r="J39247">
        <v>5</v>
      </c>
    </row>
    <row r="39248" spans="1:10" x14ac:dyDescent="0.25">
      <c r="A39248" t="s">
        <v>400</v>
      </c>
      <c r="B39248" s="1" t="str">
        <f>HYPERLINK("http://walmartimages.ca","walmartimages.ca")</f>
        <v>walmartimages.ca</v>
      </c>
      <c r="C39248" t="s">
        <v>428</v>
      </c>
      <c r="D39248" t="s">
        <v>809</v>
      </c>
      <c r="E39248">
        <v>175452</v>
      </c>
      <c r="F39248">
        <v>8.1778751542647096E-8</v>
      </c>
      <c r="G39248">
        <v>510326</v>
      </c>
      <c r="H39248">
        <v>14742629</v>
      </c>
      <c r="I39248">
        <v>566596</v>
      </c>
      <c r="J39248">
        <v>2</v>
      </c>
    </row>
    <row r="39249" spans="1:10" x14ac:dyDescent="0.25">
      <c r="A39249" t="s">
        <v>400</v>
      </c>
      <c r="B39249" s="1" t="str">
        <f>HYPERLINK("http://lider.cl","lider.cl")</f>
        <v>lider.cl</v>
      </c>
      <c r="C39249" t="s">
        <v>430</v>
      </c>
      <c r="D39249" t="s">
        <v>811</v>
      </c>
      <c r="E39249">
        <v>26652</v>
      </c>
      <c r="F39249">
        <v>2.13180451270558E-7</v>
      </c>
      <c r="G39249">
        <v>177116</v>
      </c>
      <c r="H39249">
        <v>17076872</v>
      </c>
      <c r="I39249">
        <v>69118</v>
      </c>
      <c r="J39249">
        <v>2</v>
      </c>
    </row>
    <row r="39250" spans="1:10" x14ac:dyDescent="0.25">
      <c r="A39250" t="s">
        <v>400</v>
      </c>
      <c r="B39250" s="1" t="str">
        <f>HYPERLINK("http://novedadesacuenta.cl","novedadesacuenta.cl")</f>
        <v>novedadesacuenta.cl</v>
      </c>
      <c r="C39250" t="s">
        <v>430</v>
      </c>
      <c r="D39250" t="s">
        <v>811</v>
      </c>
      <c r="F39250">
        <v>8.7161374563620794E-9</v>
      </c>
      <c r="G39250">
        <v>8449568</v>
      </c>
      <c r="H39250">
        <v>12141338</v>
      </c>
      <c r="I39250">
        <v>24851262</v>
      </c>
      <c r="J39250">
        <v>3</v>
      </c>
    </row>
    <row r="39251" spans="1:10" x14ac:dyDescent="0.25">
      <c r="A39251" t="s">
        <v>400</v>
      </c>
      <c r="B39251" s="1" t="str">
        <f>HYPERLINK("http://walmartchile.cl","walmartchile.cl")</f>
        <v>walmartchile.cl</v>
      </c>
      <c r="C39251" t="s">
        <v>430</v>
      </c>
      <c r="D39251" t="s">
        <v>811</v>
      </c>
      <c r="F39251">
        <v>5.8537416064409997E-8</v>
      </c>
      <c r="G39251">
        <v>758653</v>
      </c>
      <c r="H39251">
        <v>14093016</v>
      </c>
      <c r="I39251">
        <v>2737357</v>
      </c>
      <c r="J39251">
        <v>3</v>
      </c>
    </row>
    <row r="39252" spans="1:10" x14ac:dyDescent="0.25">
      <c r="A39252" t="s">
        <v>400</v>
      </c>
      <c r="B39252" s="1" t="str">
        <f>HYPERLINK("http://walmartdigital.cl","walmartdigital.cl")</f>
        <v>walmartdigital.cl</v>
      </c>
      <c r="C39252" t="s">
        <v>430</v>
      </c>
      <c r="D39252" t="s">
        <v>811</v>
      </c>
      <c r="E39252">
        <v>8758</v>
      </c>
      <c r="F39252">
        <v>8.2012900840178597E-9</v>
      </c>
      <c r="G39252">
        <v>9569037</v>
      </c>
      <c r="H39252">
        <v>10611368</v>
      </c>
      <c r="I39252">
        <v>44539083</v>
      </c>
      <c r="J39252">
        <v>2</v>
      </c>
    </row>
    <row r="39253" spans="1:10" x14ac:dyDescent="0.25">
      <c r="A39253" t="s">
        <v>400</v>
      </c>
      <c r="B39253" s="1" t="str">
        <f>HYPERLINK("http://walmartretail.cl","walmartretail.cl")</f>
        <v>walmartretail.cl</v>
      </c>
      <c r="C39253" t="s">
        <v>430</v>
      </c>
      <c r="D39253" t="s">
        <v>811</v>
      </c>
      <c r="J39253">
        <v>6</v>
      </c>
    </row>
    <row r="39254" spans="1:10" x14ac:dyDescent="0.25">
      <c r="A39254" t="s">
        <v>400</v>
      </c>
      <c r="B39254" s="1" t="str">
        <f>HYPERLINK("http://walmart.cm","walmart.cm")</f>
        <v>walmart.cm</v>
      </c>
      <c r="C39254" t="s">
        <v>541</v>
      </c>
      <c r="D39254" t="s">
        <v>900</v>
      </c>
      <c r="F39254">
        <v>4.4671249203340802E-9</v>
      </c>
      <c r="G39254">
        <v>65599543</v>
      </c>
      <c r="H39254">
        <v>9747736</v>
      </c>
      <c r="I39254">
        <v>63002285</v>
      </c>
      <c r="J39254">
        <v>3</v>
      </c>
    </row>
    <row r="39255" spans="1:10" x14ac:dyDescent="0.25">
      <c r="A39255" t="s">
        <v>400</v>
      </c>
      <c r="B39255" s="1" t="str">
        <f>HYPERLINK("http://walmart.cn","walmart.cn")</f>
        <v>walmart.cn</v>
      </c>
      <c r="C39255" t="s">
        <v>431</v>
      </c>
      <c r="D39255" t="s">
        <v>812</v>
      </c>
      <c r="F39255">
        <v>4.7439515772633101E-8</v>
      </c>
      <c r="G39255">
        <v>982006</v>
      </c>
      <c r="H39255">
        <v>14152271</v>
      </c>
      <c r="I39255">
        <v>1870189</v>
      </c>
      <c r="J39255">
        <v>2</v>
      </c>
    </row>
    <row r="39256" spans="1:10" x14ac:dyDescent="0.25">
      <c r="A39256" t="s">
        <v>400</v>
      </c>
      <c r="B39256" s="1" t="str">
        <f>HYPERLINK("http://walmartmobile.cn","walmartmobile.cn")</f>
        <v>walmartmobile.cn</v>
      </c>
      <c r="C39256" t="s">
        <v>431</v>
      </c>
      <c r="D39256" t="s">
        <v>812</v>
      </c>
      <c r="E39256">
        <v>33997</v>
      </c>
      <c r="F39256">
        <v>1.41667898540689E-8</v>
      </c>
      <c r="G39256">
        <v>4140923</v>
      </c>
      <c r="H39256">
        <v>12557077</v>
      </c>
      <c r="I39256">
        <v>16746319</v>
      </c>
      <c r="J39256">
        <v>2</v>
      </c>
    </row>
    <row r="39257" spans="1:10" x14ac:dyDescent="0.25">
      <c r="A39257" t="s">
        <v>400</v>
      </c>
      <c r="B39257" s="1" t="str">
        <f>HYPERLINK("http://sams.co","sams.co")</f>
        <v>sams.co</v>
      </c>
      <c r="C39257" t="s">
        <v>432</v>
      </c>
      <c r="F39257">
        <v>5.2777447505765398E-9</v>
      </c>
      <c r="G39257">
        <v>23823280</v>
      </c>
      <c r="H39257">
        <v>12808485</v>
      </c>
      <c r="I39257">
        <v>14596506</v>
      </c>
      <c r="J39257">
        <v>2</v>
      </c>
    </row>
    <row r="39258" spans="1:10" x14ac:dyDescent="0.25">
      <c r="A39258" t="s">
        <v>400</v>
      </c>
      <c r="B39258" s="1" t="str">
        <f>HYPERLINK("http://almart.com","almart.com")</f>
        <v>almart.com</v>
      </c>
      <c r="C39258" t="s">
        <v>433</v>
      </c>
      <c r="F39258">
        <v>4.49096855430597E-9</v>
      </c>
      <c r="G39258">
        <v>60367712</v>
      </c>
      <c r="H39258">
        <v>10683662</v>
      </c>
      <c r="I39258">
        <v>42681846</v>
      </c>
      <c r="J39258">
        <v>3</v>
      </c>
    </row>
    <row r="39259" spans="1:10" x14ac:dyDescent="0.25">
      <c r="A39259" t="s">
        <v>400</v>
      </c>
      <c r="B39259" s="1" t="str">
        <f>HYPERLINK("http://amigo.com","amigo.com")</f>
        <v>amigo.com</v>
      </c>
      <c r="C39259" t="s">
        <v>433</v>
      </c>
      <c r="F39259">
        <v>1.03274186739697E-8</v>
      </c>
      <c r="G39259">
        <v>6425517</v>
      </c>
      <c r="H39259">
        <v>14416949</v>
      </c>
      <c r="I39259">
        <v>1100190</v>
      </c>
      <c r="J39259">
        <v>3</v>
      </c>
    </row>
    <row r="39260" spans="1:10" x14ac:dyDescent="0.25">
      <c r="A39260" t="s">
        <v>400</v>
      </c>
      <c r="B39260" s="1" t="str">
        <f>HYPERLINK("http://asda-clothes.com","asda-clothes.com")</f>
        <v>asda-clothes.com</v>
      </c>
      <c r="C39260" t="s">
        <v>433</v>
      </c>
      <c r="J39260">
        <v>2</v>
      </c>
    </row>
    <row r="39261" spans="1:10" x14ac:dyDescent="0.25">
      <c r="A39261" t="s">
        <v>400</v>
      </c>
      <c r="B39261" s="1" t="str">
        <f>HYPERLINK("http://asda-electricals.com","asda-electricals.com")</f>
        <v>asda-electricals.com</v>
      </c>
      <c r="C39261" t="s">
        <v>433</v>
      </c>
      <c r="J39261">
        <v>2</v>
      </c>
    </row>
    <row r="39262" spans="1:10" x14ac:dyDescent="0.25">
      <c r="A39262" t="s">
        <v>400</v>
      </c>
      <c r="B39262" s="1" t="str">
        <f>HYPERLINK("http://asda-furniture.com","asda-furniture.com")</f>
        <v>asda-furniture.com</v>
      </c>
      <c r="C39262" t="s">
        <v>433</v>
      </c>
      <c r="J39262">
        <v>2</v>
      </c>
    </row>
    <row r="39263" spans="1:10" x14ac:dyDescent="0.25">
      <c r="A39263" t="s">
        <v>400</v>
      </c>
      <c r="B39263" s="1" t="str">
        <f>HYPERLINK("http://asda-george.com","asda-george.com")</f>
        <v>asda-george.com</v>
      </c>
      <c r="C39263" t="s">
        <v>433</v>
      </c>
      <c r="J39263">
        <v>2</v>
      </c>
    </row>
    <row r="39264" spans="1:10" x14ac:dyDescent="0.25">
      <c r="A39264" t="s">
        <v>400</v>
      </c>
      <c r="B39264" s="1" t="str">
        <f>HYPERLINK("http://asdaclothes.com","asdaclothes.com")</f>
        <v>asdaclothes.com</v>
      </c>
      <c r="C39264" t="s">
        <v>433</v>
      </c>
      <c r="J39264">
        <v>2</v>
      </c>
    </row>
    <row r="39265" spans="1:10" x14ac:dyDescent="0.25">
      <c r="A39265" t="s">
        <v>400</v>
      </c>
      <c r="B39265" s="1" t="str">
        <f>HYPERLINK("http://asdadirect.com","asdadirect.com")</f>
        <v>asdadirect.com</v>
      </c>
      <c r="C39265" t="s">
        <v>433</v>
      </c>
      <c r="F39265">
        <v>4.4438860146603503E-9</v>
      </c>
      <c r="G39265">
        <v>77972106</v>
      </c>
      <c r="H39265">
        <v>8554553</v>
      </c>
      <c r="I39265">
        <v>71308372</v>
      </c>
      <c r="J39265">
        <v>2</v>
      </c>
    </row>
    <row r="39266" spans="1:10" x14ac:dyDescent="0.25">
      <c r="A39266" t="s">
        <v>400</v>
      </c>
      <c r="B39266" s="1" t="str">
        <f>HYPERLINK("http://asdageorge.com","asdageorge.com")</f>
        <v>asdageorge.com</v>
      </c>
      <c r="C39266" t="s">
        <v>433</v>
      </c>
      <c r="J39266">
        <v>2</v>
      </c>
    </row>
    <row r="39267" spans="1:10" x14ac:dyDescent="0.25">
      <c r="A39267" t="s">
        <v>400</v>
      </c>
      <c r="B39267" s="1" t="str">
        <f>HYPERLINK("http://bancowalmart.com","bancowalmart.com")</f>
        <v>bancowalmart.com</v>
      </c>
      <c r="C39267" t="s">
        <v>433</v>
      </c>
      <c r="F39267">
        <v>4.7181784493672402E-9</v>
      </c>
      <c r="G39267">
        <v>40307318</v>
      </c>
      <c r="H39267">
        <v>13763929</v>
      </c>
      <c r="I39267">
        <v>7487065</v>
      </c>
      <c r="J39267">
        <v>3</v>
      </c>
    </row>
    <row r="39268" spans="1:10" x14ac:dyDescent="0.25">
      <c r="A39268" t="s">
        <v>400</v>
      </c>
      <c r="B39268" s="1" t="str">
        <f>HYPERLINK("http://bancowolmart.com","bancowolmart.com")</f>
        <v>bancowolmart.com</v>
      </c>
      <c r="C39268" t="s">
        <v>433</v>
      </c>
      <c r="J39268">
        <v>3</v>
      </c>
    </row>
    <row r="39269" spans="1:10" x14ac:dyDescent="0.25">
      <c r="A39269" t="s">
        <v>400</v>
      </c>
      <c r="B39269" s="1" t="str">
        <f>HYPERLINK("http://bonobos.com","bonobos.com")</f>
        <v>bonobos.com</v>
      </c>
      <c r="C39269" t="s">
        <v>433</v>
      </c>
      <c r="E39269">
        <v>35846</v>
      </c>
      <c r="F39269">
        <v>1.88576362740022E-6</v>
      </c>
      <c r="G39269">
        <v>19737</v>
      </c>
      <c r="H39269">
        <v>16282399</v>
      </c>
      <c r="I39269">
        <v>365320</v>
      </c>
      <c r="J39269">
        <v>3</v>
      </c>
    </row>
    <row r="39270" spans="1:10" x14ac:dyDescent="0.25">
      <c r="A39270" t="s">
        <v>400</v>
      </c>
      <c r="B39270" s="1" t="str">
        <f>HYPERLINK("http://clarysageorganics.com","clarysageorganics.com")</f>
        <v>clarysageorganics.com</v>
      </c>
      <c r="C39270" t="s">
        <v>433</v>
      </c>
      <c r="F39270">
        <v>5.8008011939958901E-9</v>
      </c>
      <c r="G39270">
        <v>18080509</v>
      </c>
      <c r="H39270">
        <v>13193285</v>
      </c>
      <c r="I39270">
        <v>11588455</v>
      </c>
      <c r="J39270">
        <v>4</v>
      </c>
    </row>
    <row r="39271" spans="1:10" x14ac:dyDescent="0.25">
      <c r="A39271" t="s">
        <v>400</v>
      </c>
      <c r="B39271" s="1" t="str">
        <f>HYPERLINK("http://eloquii.com","eloquii.com")</f>
        <v>eloquii.com</v>
      </c>
      <c r="C39271" t="s">
        <v>433</v>
      </c>
      <c r="E39271">
        <v>83665</v>
      </c>
      <c r="F39271">
        <v>2.4366314711384301E-7</v>
      </c>
      <c r="G39271">
        <v>153542</v>
      </c>
      <c r="H39271">
        <v>17184088</v>
      </c>
      <c r="I39271">
        <v>44733</v>
      </c>
      <c r="J39271">
        <v>2</v>
      </c>
    </row>
    <row r="39272" spans="1:10" x14ac:dyDescent="0.25">
      <c r="A39272" t="s">
        <v>400</v>
      </c>
      <c r="B39272" s="1" t="str">
        <f>HYPERLINK("http://entrecampeonas.com","entrecampeonas.com")</f>
        <v>entrecampeonas.com</v>
      </c>
      <c r="C39272" t="s">
        <v>433</v>
      </c>
      <c r="F39272">
        <v>4.9093654692843298E-9</v>
      </c>
      <c r="G39272">
        <v>32196477</v>
      </c>
      <c r="H39272">
        <v>12141378</v>
      </c>
      <c r="I39272">
        <v>24850564</v>
      </c>
      <c r="J39272">
        <v>4</v>
      </c>
    </row>
    <row r="39273" spans="1:10" x14ac:dyDescent="0.25">
      <c r="A39273" t="s">
        <v>400</v>
      </c>
      <c r="B39273" s="1" t="str">
        <f>HYPERLINK("http://flipkart.com","flipkart.com")</f>
        <v>flipkart.com</v>
      </c>
      <c r="C39273" t="s">
        <v>433</v>
      </c>
      <c r="E39273">
        <v>346</v>
      </c>
      <c r="F39273">
        <v>5.8539019582324001E-6</v>
      </c>
      <c r="G39273">
        <v>5935</v>
      </c>
      <c r="H39273">
        <v>17804106</v>
      </c>
      <c r="I39273">
        <v>5537</v>
      </c>
      <c r="J39273">
        <v>3</v>
      </c>
    </row>
    <row r="39274" spans="1:10" x14ac:dyDescent="0.25">
      <c r="A39274" t="s">
        <v>400</v>
      </c>
      <c r="B39274" s="1" t="str">
        <f>HYPERLINK("http://foodsforhealth.com","foodsforhealth.com")</f>
        <v>foodsforhealth.com</v>
      </c>
      <c r="C39274" t="s">
        <v>433</v>
      </c>
      <c r="F39274">
        <v>4.9721623228929003E-9</v>
      </c>
      <c r="G39274">
        <v>30191575</v>
      </c>
      <c r="H39274">
        <v>13933061</v>
      </c>
      <c r="I39274">
        <v>5327495</v>
      </c>
      <c r="J39274">
        <v>3</v>
      </c>
    </row>
    <row r="39275" spans="1:10" x14ac:dyDescent="0.25">
      <c r="A39275" t="s">
        <v>400</v>
      </c>
      <c r="B39275" s="1" t="str">
        <f>HYPERLINK("http://george.com","george.com")</f>
        <v>george.com</v>
      </c>
      <c r="C39275" t="s">
        <v>433</v>
      </c>
      <c r="E39275">
        <v>61049</v>
      </c>
      <c r="F39275">
        <v>1.3534040174413101E-7</v>
      </c>
      <c r="G39275">
        <v>288342</v>
      </c>
      <c r="H39275">
        <v>14229340</v>
      </c>
      <c r="I39275">
        <v>1675485</v>
      </c>
      <c r="J39275">
        <v>2</v>
      </c>
    </row>
    <row r="39276" spans="1:10" x14ac:dyDescent="0.25">
      <c r="A39276" t="s">
        <v>400</v>
      </c>
      <c r="B39276" s="1" t="str">
        <f>HYPERLINK("http://hayneedle.com","hayneedle.com")</f>
        <v>hayneedle.com</v>
      </c>
      <c r="C39276" t="s">
        <v>433</v>
      </c>
      <c r="E39276">
        <v>13779</v>
      </c>
      <c r="F39276">
        <v>6.0993254863114298E-7</v>
      </c>
      <c r="G39276">
        <v>62712</v>
      </c>
      <c r="H39276">
        <v>17347656</v>
      </c>
      <c r="I39276">
        <v>23343</v>
      </c>
      <c r="J39276">
        <v>3</v>
      </c>
    </row>
    <row r="39277" spans="1:10" x14ac:dyDescent="0.25">
      <c r="A39277" t="s">
        <v>400</v>
      </c>
      <c r="B39277" s="1" t="str">
        <f>HYPERLINK("http://homeinstallexperts.com","homeinstallexperts.com")</f>
        <v>homeinstallexperts.com</v>
      </c>
      <c r="C39277" t="s">
        <v>433</v>
      </c>
      <c r="F39277">
        <v>2.6892254651687501E-8</v>
      </c>
      <c r="G39277">
        <v>1912780</v>
      </c>
      <c r="H39277">
        <v>12822748</v>
      </c>
      <c r="I39277">
        <v>14488482</v>
      </c>
      <c r="J39277">
        <v>2</v>
      </c>
    </row>
    <row r="39278" spans="1:10" x14ac:dyDescent="0.25">
      <c r="A39278" t="s">
        <v>400</v>
      </c>
      <c r="B39278" s="1" t="str">
        <f>HYPERLINK("http://jabong.com","jabong.com")</f>
        <v>jabong.com</v>
      </c>
      <c r="C39278" t="s">
        <v>433</v>
      </c>
      <c r="E39278">
        <v>218308</v>
      </c>
      <c r="F39278">
        <v>2.0391976756099301E-7</v>
      </c>
      <c r="G39278">
        <v>186381</v>
      </c>
      <c r="H39278">
        <v>14406919</v>
      </c>
      <c r="I39278">
        <v>1148004</v>
      </c>
      <c r="J39278">
        <v>4</v>
      </c>
    </row>
    <row r="39279" spans="1:10" x14ac:dyDescent="0.25">
      <c r="A39279" t="s">
        <v>400</v>
      </c>
      <c r="B39279" s="1" t="str">
        <f>HYPERLINK("http://jet.com","jet.com")</f>
        <v>jet.com</v>
      </c>
      <c r="C39279" t="s">
        <v>433</v>
      </c>
      <c r="E39279">
        <v>56458</v>
      </c>
      <c r="F39279">
        <v>1.0876662993225701E-6</v>
      </c>
      <c r="G39279">
        <v>35432</v>
      </c>
      <c r="H39279">
        <v>16269913</v>
      </c>
      <c r="I39279">
        <v>365349</v>
      </c>
      <c r="J39279">
        <v>3</v>
      </c>
    </row>
    <row r="39280" spans="1:10" x14ac:dyDescent="0.25">
      <c r="A39280" t="s">
        <v>400</v>
      </c>
      <c r="B39280" s="1" t="str">
        <f>HYPERLINK("http://masclub.com","masclub.com")</f>
        <v>masclub.com</v>
      </c>
      <c r="C39280" t="s">
        <v>433</v>
      </c>
      <c r="F39280">
        <v>4.4511847917773596E-9</v>
      </c>
      <c r="G39280">
        <v>71319633</v>
      </c>
      <c r="H39280">
        <v>10377440</v>
      </c>
      <c r="I39280">
        <v>54660295</v>
      </c>
      <c r="J39280">
        <v>3</v>
      </c>
    </row>
    <row r="39281" spans="1:10" x14ac:dyDescent="0.25">
      <c r="A39281" t="s">
        <v>400</v>
      </c>
      <c r="B39281" s="1" t="str">
        <f>HYPERLINK("http://member-ally.com","member-ally.com")</f>
        <v>member-ally.com</v>
      </c>
      <c r="C39281" t="s">
        <v>433</v>
      </c>
      <c r="J39281">
        <v>2</v>
      </c>
    </row>
    <row r="39282" spans="1:10" x14ac:dyDescent="0.25">
      <c r="A39282" t="s">
        <v>400</v>
      </c>
      <c r="B39282" s="1" t="str">
        <f>HYPERLINK("http://myntra.com","myntra.com")</f>
        <v>myntra.com</v>
      </c>
      <c r="C39282" t="s">
        <v>433</v>
      </c>
      <c r="E39282">
        <v>2002</v>
      </c>
      <c r="F39282">
        <v>1.53377614633298E-6</v>
      </c>
      <c r="G39282">
        <v>25572</v>
      </c>
      <c r="H39282">
        <v>17406422</v>
      </c>
      <c r="I39282">
        <v>18758</v>
      </c>
      <c r="J39282">
        <v>4</v>
      </c>
    </row>
    <row r="39283" spans="1:10" x14ac:dyDescent="0.25">
      <c r="A39283" t="s">
        <v>400</v>
      </c>
      <c r="B39283" s="1" t="str">
        <f>HYPERLINK("http://redbox.com","redbox.com")</f>
        <v>redbox.com</v>
      </c>
      <c r="C39283" t="s">
        <v>433</v>
      </c>
      <c r="E39283">
        <v>23168</v>
      </c>
      <c r="F39283">
        <v>8.0078031670986103E-7</v>
      </c>
      <c r="G39283">
        <v>49195</v>
      </c>
      <c r="H39283">
        <v>17434182</v>
      </c>
      <c r="I39283">
        <v>17020</v>
      </c>
      <c r="J39283">
        <v>4</v>
      </c>
    </row>
    <row r="39284" spans="1:10" x14ac:dyDescent="0.25">
      <c r="A39284" t="s">
        <v>400</v>
      </c>
      <c r="B39284" s="1" t="str">
        <f>HYPERLINK("http://samsclub.com","samsclub.com")</f>
        <v>samsclub.com</v>
      </c>
      <c r="C39284" t="s">
        <v>433</v>
      </c>
      <c r="E39284">
        <v>1980</v>
      </c>
      <c r="F39284">
        <v>3.7676353591397098E-6</v>
      </c>
      <c r="G39284">
        <v>11047</v>
      </c>
      <c r="H39284">
        <v>17581618</v>
      </c>
      <c r="I39284">
        <v>10261</v>
      </c>
      <c r="J39284">
        <v>2</v>
      </c>
    </row>
    <row r="39285" spans="1:10" x14ac:dyDescent="0.25">
      <c r="A39285" t="s">
        <v>400</v>
      </c>
      <c r="B39285" s="1" t="str">
        <f>HYPERLINK("http://samsclubsng.com","samsclubsng.com")</f>
        <v>samsclubsng.com</v>
      </c>
      <c r="C39285" t="s">
        <v>433</v>
      </c>
      <c r="E39285">
        <v>96251</v>
      </c>
      <c r="F39285">
        <v>4.44380927664388E-9</v>
      </c>
      <c r="G39285">
        <v>79811780</v>
      </c>
      <c r="H39285">
        <v>10352960</v>
      </c>
      <c r="I39285">
        <v>55954875</v>
      </c>
      <c r="J39285">
        <v>2</v>
      </c>
    </row>
    <row r="39286" spans="1:10" x14ac:dyDescent="0.25">
      <c r="A39286" t="s">
        <v>400</v>
      </c>
      <c r="B39286" s="1" t="str">
        <f>HYPERLINK("http://savvygardening.com","savvygardening.com")</f>
        <v>savvygardening.com</v>
      </c>
      <c r="C39286" t="s">
        <v>433</v>
      </c>
      <c r="E39286">
        <v>210589</v>
      </c>
      <c r="F39286">
        <v>1.4532871453129301E-7</v>
      </c>
      <c r="G39286">
        <v>267863</v>
      </c>
      <c r="H39286">
        <v>15092097</v>
      </c>
      <c r="I39286">
        <v>407719</v>
      </c>
      <c r="J39286">
        <v>4</v>
      </c>
    </row>
    <row r="39287" spans="1:10" x14ac:dyDescent="0.25">
      <c r="A39287" t="s">
        <v>400</v>
      </c>
      <c r="B39287" s="1" t="str">
        <f>HYPERLINK("http://seiyu-survey.com","seiyu-survey.com")</f>
        <v>seiyu-survey.com</v>
      </c>
      <c r="C39287" t="s">
        <v>433</v>
      </c>
      <c r="E39287">
        <v>310278</v>
      </c>
      <c r="F39287">
        <v>4.44380395335525E-9</v>
      </c>
      <c r="G39287">
        <v>87398074</v>
      </c>
      <c r="H39287">
        <v>0</v>
      </c>
      <c r="I39287">
        <v>84145764</v>
      </c>
      <c r="J39287">
        <v>2</v>
      </c>
    </row>
    <row r="39288" spans="1:10" x14ac:dyDescent="0.25">
      <c r="A39288" t="s">
        <v>400</v>
      </c>
      <c r="B39288" s="1" t="str">
        <f>HYPERLINK("http://shoes.com","shoes.com")</f>
        <v>shoes.com</v>
      </c>
      <c r="C39288" t="s">
        <v>433</v>
      </c>
      <c r="E39288">
        <v>55967</v>
      </c>
      <c r="F39288">
        <v>3.9249818097710901E-7</v>
      </c>
      <c r="G39288">
        <v>95543</v>
      </c>
      <c r="H39288">
        <v>14895779</v>
      </c>
      <c r="I39288">
        <v>464716</v>
      </c>
      <c r="J39288">
        <v>3</v>
      </c>
    </row>
    <row r="39289" spans="1:10" x14ac:dyDescent="0.25">
      <c r="A39289" t="s">
        <v>400</v>
      </c>
      <c r="B39289" s="1" t="str">
        <f>HYPERLINK("http://wal-mart.com","wal-mart.com")</f>
        <v>wal-mart.com</v>
      </c>
      <c r="C39289" t="s">
        <v>433</v>
      </c>
      <c r="E39289">
        <v>1658</v>
      </c>
      <c r="F39289">
        <v>3.0720496874696402E-7</v>
      </c>
      <c r="G39289">
        <v>121024</v>
      </c>
      <c r="H39289">
        <v>14884380</v>
      </c>
      <c r="I39289">
        <v>470347</v>
      </c>
      <c r="J39289">
        <v>2</v>
      </c>
    </row>
    <row r="39290" spans="1:10" x14ac:dyDescent="0.25">
      <c r="A39290" t="s">
        <v>400</v>
      </c>
      <c r="B39290" s="1" t="str">
        <f>HYPERLINK("http://walamart.com","walamart.com")</f>
        <v>walamart.com</v>
      </c>
      <c r="C39290" t="s">
        <v>433</v>
      </c>
      <c r="F39290">
        <v>5.0703173751461702E-9</v>
      </c>
      <c r="G39290">
        <v>27783642</v>
      </c>
      <c r="H39290">
        <v>10534738</v>
      </c>
      <c r="I39290">
        <v>47733014</v>
      </c>
      <c r="J39290">
        <v>3</v>
      </c>
    </row>
    <row r="39291" spans="1:10" x14ac:dyDescent="0.25">
      <c r="A39291" t="s">
        <v>400</v>
      </c>
      <c r="B39291" s="1" t="str">
        <f>HYPERLINK("http://walamrt.com","walamrt.com")</f>
        <v>walamrt.com</v>
      </c>
      <c r="C39291" t="s">
        <v>433</v>
      </c>
      <c r="F39291">
        <v>4.5123858833800199E-9</v>
      </c>
      <c r="G39291">
        <v>57192772</v>
      </c>
      <c r="H39291">
        <v>10182388</v>
      </c>
      <c r="I39291">
        <v>59192961</v>
      </c>
      <c r="J39291">
        <v>3</v>
      </c>
    </row>
    <row r="39292" spans="1:10" x14ac:dyDescent="0.25">
      <c r="A39292" t="s">
        <v>400</v>
      </c>
      <c r="B39292" s="1" t="str">
        <f>HYPERLINK("http://walmar.com","walmar.com")</f>
        <v>walmar.com</v>
      </c>
      <c r="C39292" t="s">
        <v>433</v>
      </c>
      <c r="F39292">
        <v>4.6918911790737102E-9</v>
      </c>
      <c r="G39292">
        <v>41693958</v>
      </c>
      <c r="H39292">
        <v>12015580</v>
      </c>
      <c r="I39292">
        <v>27954964</v>
      </c>
      <c r="J39292">
        <v>3</v>
      </c>
    </row>
    <row r="39293" spans="1:10" x14ac:dyDescent="0.25">
      <c r="A39293" t="s">
        <v>400</v>
      </c>
      <c r="B39293" s="1" t="str">
        <f>HYPERLINK("http://walmart.com","walmart.com")</f>
        <v>walmart.com</v>
      </c>
      <c r="C39293" t="s">
        <v>433</v>
      </c>
      <c r="E39293">
        <v>256</v>
      </c>
      <c r="F39293">
        <v>5.28171860094519E-5</v>
      </c>
      <c r="G39293">
        <v>489</v>
      </c>
      <c r="H39293">
        <v>19395036</v>
      </c>
      <c r="I39293">
        <v>217</v>
      </c>
      <c r="J39293">
        <v>1</v>
      </c>
    </row>
    <row r="39294" spans="1:10" x14ac:dyDescent="0.25">
      <c r="A39294" t="s">
        <v>400</v>
      </c>
      <c r="B39294" s="1" t="str">
        <f>HYPERLINK("http://walmarthealth.com","walmarthealth.com")</f>
        <v>walmarthealth.com</v>
      </c>
      <c r="C39294" t="s">
        <v>433</v>
      </c>
      <c r="E39294">
        <v>59593</v>
      </c>
      <c r="F39294">
        <v>1.03346046322665E-7</v>
      </c>
      <c r="G39294">
        <v>388272</v>
      </c>
      <c r="H39294">
        <v>16955346</v>
      </c>
      <c r="I39294">
        <v>106787</v>
      </c>
      <c r="J39294">
        <v>2</v>
      </c>
    </row>
    <row r="39295" spans="1:10" x14ac:dyDescent="0.25">
      <c r="A39295" t="s">
        <v>400</v>
      </c>
      <c r="B39295" s="1" t="str">
        <f>HYPERLINK("http://walmartlabs.com","walmartlabs.com")</f>
        <v>walmartlabs.com</v>
      </c>
      <c r="C39295" t="s">
        <v>433</v>
      </c>
      <c r="E39295">
        <v>99950</v>
      </c>
      <c r="F39295">
        <v>6.02269253828877E-7</v>
      </c>
      <c r="G39295">
        <v>63497</v>
      </c>
      <c r="H39295">
        <v>15228040</v>
      </c>
      <c r="I39295">
        <v>392500</v>
      </c>
      <c r="J39295">
        <v>2</v>
      </c>
    </row>
    <row r="39296" spans="1:10" x14ac:dyDescent="0.25">
      <c r="A39296" t="s">
        <v>400</v>
      </c>
      <c r="B39296" s="1" t="str">
        <f>HYPERLINK("http://walmartluminate.com","walmartluminate.com")</f>
        <v>walmartluminate.com</v>
      </c>
      <c r="C39296" t="s">
        <v>433</v>
      </c>
      <c r="E39296">
        <v>185306</v>
      </c>
      <c r="F39296">
        <v>3.4638574703070003E-8</v>
      </c>
      <c r="G39296">
        <v>1498099</v>
      </c>
      <c r="H39296">
        <v>13283536</v>
      </c>
      <c r="I39296">
        <v>10902299</v>
      </c>
      <c r="J39296">
        <v>2</v>
      </c>
    </row>
    <row r="39297" spans="1:10" x14ac:dyDescent="0.25">
      <c r="A39297" t="s">
        <v>400</v>
      </c>
      <c r="B39297" s="1" t="str">
        <f>HYPERLINK("http://walmartmexico.com","walmartmexico.com")</f>
        <v>walmartmexico.com</v>
      </c>
      <c r="C39297" t="s">
        <v>433</v>
      </c>
      <c r="E39297">
        <v>689616</v>
      </c>
      <c r="F39297">
        <v>9.7025903861531296E-8</v>
      </c>
      <c r="G39297">
        <v>416414</v>
      </c>
      <c r="H39297">
        <v>14165497</v>
      </c>
      <c r="I39297">
        <v>1821554</v>
      </c>
      <c r="J39297">
        <v>3</v>
      </c>
    </row>
    <row r="39298" spans="1:10" x14ac:dyDescent="0.25">
      <c r="A39298" t="s">
        <v>400</v>
      </c>
      <c r="B39298" s="1" t="str">
        <f>HYPERLINK("http://walmartrecovery.com","walmartrecovery.com")</f>
        <v>walmartrecovery.com</v>
      </c>
      <c r="C39298" t="s">
        <v>433</v>
      </c>
      <c r="F39298">
        <v>4.45649854625788E-9</v>
      </c>
      <c r="G39298">
        <v>68932346</v>
      </c>
      <c r="H39298">
        <v>8995895</v>
      </c>
      <c r="I39298">
        <v>68874637</v>
      </c>
      <c r="J39298">
        <v>2</v>
      </c>
    </row>
    <row r="39299" spans="1:10" x14ac:dyDescent="0.25">
      <c r="A39299" t="s">
        <v>400</v>
      </c>
      <c r="B39299" s="1" t="str">
        <f>HYPERLINK("http://walomart.com","walomart.com")</f>
        <v>walomart.com</v>
      </c>
      <c r="C39299" t="s">
        <v>433</v>
      </c>
      <c r="J39299">
        <v>3</v>
      </c>
    </row>
    <row r="39300" spans="1:10" x14ac:dyDescent="0.25">
      <c r="A39300" t="s">
        <v>400</v>
      </c>
      <c r="B39300" s="1" t="str">
        <f>HYPERLINK("http://waltmart.com","waltmart.com")</f>
        <v>waltmart.com</v>
      </c>
      <c r="C39300" t="s">
        <v>433</v>
      </c>
      <c r="F39300">
        <v>4.8330010220781401E-9</v>
      </c>
      <c r="G39300">
        <v>34731271</v>
      </c>
      <c r="H39300">
        <v>12131631</v>
      </c>
      <c r="I39300">
        <v>25094315</v>
      </c>
      <c r="J39300">
        <v>3</v>
      </c>
    </row>
    <row r="39301" spans="1:10" x14ac:dyDescent="0.25">
      <c r="A39301" t="s">
        <v>400</v>
      </c>
      <c r="B39301" s="1" t="str">
        <f>HYPERLINK("http://wamart.com","wamart.com")</f>
        <v>wamart.com</v>
      </c>
      <c r="C39301" t="s">
        <v>433</v>
      </c>
      <c r="F39301">
        <v>6.7883128228697198E-9</v>
      </c>
      <c r="G39301">
        <v>12999883</v>
      </c>
      <c r="H39301">
        <v>11736659</v>
      </c>
      <c r="I39301">
        <v>29836489</v>
      </c>
      <c r="J39301">
        <v>3</v>
      </c>
    </row>
    <row r="39302" spans="1:10" x14ac:dyDescent="0.25">
      <c r="A39302" t="s">
        <v>400</v>
      </c>
      <c r="B39302" s="1" t="str">
        <f>HYPERLINK("http://weread.com","weread.com")</f>
        <v>weread.com</v>
      </c>
      <c r="C39302" t="s">
        <v>433</v>
      </c>
      <c r="F39302">
        <v>3.1690062479175797E-8</v>
      </c>
      <c r="G39302">
        <v>1628978</v>
      </c>
      <c r="H39302">
        <v>14564556</v>
      </c>
      <c r="I39302">
        <v>741510</v>
      </c>
      <c r="J39302">
        <v>5</v>
      </c>
    </row>
    <row r="39303" spans="1:10" x14ac:dyDescent="0.25">
      <c r="A39303" t="s">
        <v>400</v>
      </c>
      <c r="B39303" s="1" t="str">
        <f>HYPERLINK("http://wlamart.com","wlamart.com")</f>
        <v>wlamart.com</v>
      </c>
      <c r="C39303" t="s">
        <v>433</v>
      </c>
      <c r="F39303">
        <v>4.6278131844078797E-9</v>
      </c>
      <c r="G39303">
        <v>45582726</v>
      </c>
      <c r="H39303">
        <v>13763639</v>
      </c>
      <c r="I39303">
        <v>7963770</v>
      </c>
      <c r="J39303">
        <v>3</v>
      </c>
    </row>
    <row r="39304" spans="1:10" x14ac:dyDescent="0.25">
      <c r="A39304" t="s">
        <v>400</v>
      </c>
      <c r="B39304" s="1" t="str">
        <f>HYPERLINK("http://wlmart.com","wlmart.com")</f>
        <v>wlmart.com</v>
      </c>
      <c r="C39304" t="s">
        <v>433</v>
      </c>
      <c r="J39304">
        <v>3</v>
      </c>
    </row>
    <row r="39305" spans="1:10" x14ac:dyDescent="0.25">
      <c r="A39305" t="s">
        <v>400</v>
      </c>
      <c r="B39305" s="1" t="str">
        <f>HYPERLINK("http://wolmart.com","wolmart.com")</f>
        <v>wolmart.com</v>
      </c>
      <c r="C39305" t="s">
        <v>433</v>
      </c>
      <c r="F39305">
        <v>4.44380395335525E-9</v>
      </c>
      <c r="G39305">
        <v>84012842</v>
      </c>
      <c r="H39305">
        <v>0</v>
      </c>
      <c r="I39305">
        <v>84962749</v>
      </c>
      <c r="J39305">
        <v>3</v>
      </c>
    </row>
    <row r="39306" spans="1:10" x14ac:dyDescent="0.25">
      <c r="A39306" t="s">
        <v>400</v>
      </c>
      <c r="B39306" s="1" t="str">
        <f>HYPERLINK("http://wqlmart.com","wqlmart.com")</f>
        <v>wqlmart.com</v>
      </c>
      <c r="C39306" t="s">
        <v>433</v>
      </c>
      <c r="J39306">
        <v>3</v>
      </c>
    </row>
    <row r="39307" spans="1:10" x14ac:dyDescent="0.25">
      <c r="A39307" t="s">
        <v>400</v>
      </c>
      <c r="B39307" s="1" t="str">
        <f>HYPERLINK("http://www sams.com","www sams.com")</f>
        <v>www sams.com</v>
      </c>
      <c r="C39307" t="s">
        <v>433</v>
      </c>
      <c r="J39307">
        <v>4</v>
      </c>
    </row>
    <row r="39308" spans="1:10" x14ac:dyDescent="0.25">
      <c r="A39308" t="s">
        <v>400</v>
      </c>
      <c r="B39308" s="1" t="str">
        <f>HYPERLINK("http://maxipali.co.cr","maxipali.co.cr")</f>
        <v>maxipali.co.cr</v>
      </c>
      <c r="C39308" t="s">
        <v>434</v>
      </c>
      <c r="D39308" t="s">
        <v>813</v>
      </c>
      <c r="E39308">
        <v>49483</v>
      </c>
      <c r="F39308">
        <v>9.8259361413019296E-9</v>
      </c>
      <c r="G39308">
        <v>6941494</v>
      </c>
      <c r="H39308">
        <v>11535891</v>
      </c>
      <c r="I39308">
        <v>29982787</v>
      </c>
      <c r="J39308">
        <v>4</v>
      </c>
    </row>
    <row r="39309" spans="1:10" x14ac:dyDescent="0.25">
      <c r="A39309" t="s">
        <v>400</v>
      </c>
      <c r="B39309" s="1" t="str">
        <f>HYPERLINK("http://walmart.co.cr","walmart.co.cr")</f>
        <v>walmart.co.cr</v>
      </c>
      <c r="C39309" t="s">
        <v>434</v>
      </c>
      <c r="D39309" t="s">
        <v>813</v>
      </c>
      <c r="E39309">
        <v>330460</v>
      </c>
      <c r="F39309">
        <v>2.9325832539767699E-8</v>
      </c>
      <c r="G39309">
        <v>1756911</v>
      </c>
      <c r="H39309">
        <v>13824178</v>
      </c>
      <c r="I39309">
        <v>6130179</v>
      </c>
      <c r="J39309">
        <v>3</v>
      </c>
    </row>
    <row r="39310" spans="1:10" x14ac:dyDescent="0.25">
      <c r="A39310" t="s">
        <v>400</v>
      </c>
      <c r="B39310" s="1" t="str">
        <f>HYPERLINK("http://masxmenos.cr","masxmenos.cr")</f>
        <v>masxmenos.cr</v>
      </c>
      <c r="C39310" t="s">
        <v>434</v>
      </c>
      <c r="D39310" t="s">
        <v>813</v>
      </c>
      <c r="F39310">
        <v>1.1214774134510001E-8</v>
      </c>
      <c r="G39310">
        <v>5702733</v>
      </c>
      <c r="H39310">
        <v>13935280</v>
      </c>
      <c r="I39310">
        <v>4541103</v>
      </c>
      <c r="J39310">
        <v>4</v>
      </c>
    </row>
    <row r="39311" spans="1:10" x14ac:dyDescent="0.25">
      <c r="A39311" t="s">
        <v>400</v>
      </c>
      <c r="B39311" s="1" t="str">
        <f>HYPERLINK("http://george.eu","george.eu")</f>
        <v>george.eu</v>
      </c>
      <c r="C39311" t="s">
        <v>444</v>
      </c>
      <c r="J39311">
        <v>2</v>
      </c>
    </row>
    <row r="39312" spans="1:10" x14ac:dyDescent="0.25">
      <c r="A39312" t="s">
        <v>400</v>
      </c>
      <c r="B39312" s="1" t="str">
        <f>HYPERLINK("http://georgeatasda.eu","georgeatasda.eu")</f>
        <v>georgeatasda.eu</v>
      </c>
      <c r="C39312" t="s">
        <v>444</v>
      </c>
      <c r="J39312">
        <v>2</v>
      </c>
    </row>
    <row r="39313" spans="1:10" x14ac:dyDescent="0.25">
      <c r="A39313" t="s">
        <v>400</v>
      </c>
      <c r="B39313" s="1" t="str">
        <f>HYPERLINK("http://allposters.fi","allposters.fi")</f>
        <v>allposters.fi</v>
      </c>
      <c r="C39313" t="s">
        <v>445</v>
      </c>
      <c r="D39313" t="s">
        <v>823</v>
      </c>
      <c r="F39313">
        <v>9.5574461541736903E-9</v>
      </c>
      <c r="G39313">
        <v>7254074</v>
      </c>
      <c r="H39313">
        <v>14372148</v>
      </c>
      <c r="I39313">
        <v>1285090</v>
      </c>
      <c r="J39313">
        <v>2</v>
      </c>
    </row>
    <row r="39314" spans="1:10" x14ac:dyDescent="0.25">
      <c r="A39314" t="s">
        <v>400</v>
      </c>
      <c r="B39314" s="1" t="str">
        <f>HYPERLINK("http://sams-club.fi","sams-club.fi")</f>
        <v>sams-club.fi</v>
      </c>
      <c r="C39314" t="s">
        <v>445</v>
      </c>
      <c r="D39314" t="s">
        <v>823</v>
      </c>
      <c r="J39314">
        <v>2</v>
      </c>
    </row>
    <row r="39315" spans="1:10" x14ac:dyDescent="0.25">
      <c r="A39315" t="s">
        <v>400</v>
      </c>
      <c r="B39315" s="1" t="str">
        <f>HYPERLINK("http://samsclub.fi","samsclub.fi")</f>
        <v>samsclub.fi</v>
      </c>
      <c r="C39315" t="s">
        <v>445</v>
      </c>
      <c r="D39315" t="s">
        <v>823</v>
      </c>
      <c r="J39315">
        <v>2</v>
      </c>
    </row>
    <row r="39316" spans="1:10" x14ac:dyDescent="0.25">
      <c r="A39316" t="s">
        <v>400</v>
      </c>
      <c r="B39316" s="1" t="str">
        <f>HYPERLINK("http://wal-mart.fi","wal-mart.fi")</f>
        <v>wal-mart.fi</v>
      </c>
      <c r="C39316" t="s">
        <v>445</v>
      </c>
      <c r="D39316" t="s">
        <v>823</v>
      </c>
      <c r="F39316">
        <v>4.4438425958010404E-9</v>
      </c>
      <c r="G39316">
        <v>78712331</v>
      </c>
      <c r="H39316">
        <v>10535755</v>
      </c>
      <c r="I39316">
        <v>47615000</v>
      </c>
      <c r="J39316">
        <v>2</v>
      </c>
    </row>
    <row r="39317" spans="1:10" x14ac:dyDescent="0.25">
      <c r="A39317" t="s">
        <v>400</v>
      </c>
      <c r="B39317" s="1" t="str">
        <f>HYPERLINK("http://walmart.fi","walmart.fi")</f>
        <v>walmart.fi</v>
      </c>
      <c r="C39317" t="s">
        <v>445</v>
      </c>
      <c r="D39317" t="s">
        <v>823</v>
      </c>
      <c r="J39317">
        <v>2</v>
      </c>
    </row>
    <row r="39318" spans="1:10" x14ac:dyDescent="0.25">
      <c r="A39318" t="s">
        <v>400</v>
      </c>
      <c r="B39318" s="1" t="str">
        <f>HYPERLINK("http://walmartstores.fi","walmartstores.fi")</f>
        <v>walmartstores.fi</v>
      </c>
      <c r="C39318" t="s">
        <v>445</v>
      </c>
      <c r="D39318" t="s">
        <v>823</v>
      </c>
      <c r="J39318">
        <v>2</v>
      </c>
    </row>
    <row r="39319" spans="1:10" x14ac:dyDescent="0.25">
      <c r="A39319" t="s">
        <v>400</v>
      </c>
      <c r="B39319" s="1" t="str">
        <f>HYPERLINK("http://bestprice.in","bestprice.in")</f>
        <v>bestprice.in</v>
      </c>
      <c r="C39319" t="s">
        <v>457</v>
      </c>
      <c r="D39319" t="s">
        <v>834</v>
      </c>
      <c r="E39319">
        <v>39335</v>
      </c>
      <c r="F39319">
        <v>5.0206861808833098E-8</v>
      </c>
      <c r="G39319">
        <v>916437</v>
      </c>
      <c r="H39319">
        <v>13317337</v>
      </c>
      <c r="I39319">
        <v>10755078</v>
      </c>
      <c r="J39319">
        <v>2</v>
      </c>
    </row>
    <row r="39320" spans="1:10" x14ac:dyDescent="0.25">
      <c r="A39320" t="s">
        <v>400</v>
      </c>
      <c r="B39320" s="1" t="str">
        <f>HYPERLINK("http://bestpricewholesale.co.in","bestpricewholesale.co.in")</f>
        <v>bestpricewholesale.co.in</v>
      </c>
      <c r="C39320" t="s">
        <v>457</v>
      </c>
      <c r="D39320" t="s">
        <v>834</v>
      </c>
      <c r="E39320">
        <v>31394</v>
      </c>
      <c r="F39320">
        <v>5.0606115209033099E-9</v>
      </c>
      <c r="G39320">
        <v>27989599</v>
      </c>
      <c r="H39320">
        <v>13933382</v>
      </c>
      <c r="I39320">
        <v>4757245</v>
      </c>
      <c r="J39320">
        <v>2</v>
      </c>
    </row>
    <row r="39321" spans="1:10" x14ac:dyDescent="0.25">
      <c r="A39321" t="s">
        <v>400</v>
      </c>
      <c r="B39321" s="1" t="str">
        <f>HYPERLINK("http://inductus.in","inductus.in")</f>
        <v>inductus.in</v>
      </c>
      <c r="C39321" t="s">
        <v>457</v>
      </c>
      <c r="D39321" t="s">
        <v>834</v>
      </c>
      <c r="F39321">
        <v>4.6906153307924603E-9</v>
      </c>
      <c r="G39321">
        <v>41757945</v>
      </c>
      <c r="H39321">
        <v>10487321</v>
      </c>
      <c r="I39321">
        <v>50788914</v>
      </c>
      <c r="J39321">
        <v>4</v>
      </c>
    </row>
    <row r="39322" spans="1:10" x14ac:dyDescent="0.25">
      <c r="A39322" t="s">
        <v>400</v>
      </c>
      <c r="B39322" s="1" t="str">
        <f>HYPERLINK("http://walmart.io","walmart.io")</f>
        <v>walmart.io</v>
      </c>
      <c r="C39322" t="s">
        <v>518</v>
      </c>
      <c r="E39322">
        <v>165206</v>
      </c>
      <c r="F39322">
        <v>2.90755645019669E-8</v>
      </c>
      <c r="G39322">
        <v>1770935</v>
      </c>
      <c r="H39322">
        <v>13205344</v>
      </c>
      <c r="I39322">
        <v>11531112</v>
      </c>
      <c r="J39322">
        <v>2</v>
      </c>
    </row>
    <row r="39323" spans="1:10" x14ac:dyDescent="0.25">
      <c r="A39323" t="s">
        <v>400</v>
      </c>
      <c r="B39323" s="1" t="str">
        <f>HYPERLINK("http://wmt02chk.io","wmt02chk.io")</f>
        <v>wmt02chk.io</v>
      </c>
      <c r="C39323" t="s">
        <v>518</v>
      </c>
      <c r="J39323">
        <v>2</v>
      </c>
    </row>
    <row r="39324" spans="1:10" x14ac:dyDescent="0.25">
      <c r="A39324" t="s">
        <v>400</v>
      </c>
      <c r="B39324" s="1" t="str">
        <f>HYPERLINK("http://wmt02pay.io","wmt02pay.io")</f>
        <v>wmt02pay.io</v>
      </c>
      <c r="C39324" t="s">
        <v>518</v>
      </c>
      <c r="J39324">
        <v>2</v>
      </c>
    </row>
    <row r="39325" spans="1:10" x14ac:dyDescent="0.25">
      <c r="A39325" t="s">
        <v>400</v>
      </c>
      <c r="B39325" s="1" t="str">
        <f>HYPERLINK("http://wmt03pay.io","wmt03pay.io")</f>
        <v>wmt03pay.io</v>
      </c>
      <c r="C39325" t="s">
        <v>518</v>
      </c>
      <c r="J39325">
        <v>2</v>
      </c>
    </row>
    <row r="39326" spans="1:10" x14ac:dyDescent="0.25">
      <c r="A39326" t="s">
        <v>400</v>
      </c>
      <c r="B39326" s="1" t="str">
        <f>HYPERLINK("http://seiyu.co.jp","seiyu.co.jp")</f>
        <v>seiyu.co.jp</v>
      </c>
      <c r="C39326" t="s">
        <v>461</v>
      </c>
      <c r="D39326" t="s">
        <v>837</v>
      </c>
      <c r="E39326">
        <v>224190</v>
      </c>
      <c r="F39326">
        <v>4.2444031776555398E-7</v>
      </c>
      <c r="G39326">
        <v>88748</v>
      </c>
      <c r="H39326">
        <v>14652227</v>
      </c>
      <c r="I39326">
        <v>626148</v>
      </c>
      <c r="J39326">
        <v>3</v>
      </c>
    </row>
    <row r="39327" spans="1:10" x14ac:dyDescent="0.25">
      <c r="A39327" t="s">
        <v>400</v>
      </c>
      <c r="B39327" s="1" t="str">
        <f>HYPERLINK("http://almart.com.mx","almart.com.mx")</f>
        <v>almart.com.mx</v>
      </c>
      <c r="C39327" t="s">
        <v>471</v>
      </c>
      <c r="D39327" t="s">
        <v>847</v>
      </c>
      <c r="J39327">
        <v>3</v>
      </c>
    </row>
    <row r="39328" spans="1:10" x14ac:dyDescent="0.25">
      <c r="A39328" t="s">
        <v>400</v>
      </c>
      <c r="B39328" s="1" t="str">
        <f>HYPERLINK("http://bancowakmart.com.mx","bancowakmart.com.mx")</f>
        <v>bancowakmart.com.mx</v>
      </c>
      <c r="C39328" t="s">
        <v>471</v>
      </c>
      <c r="D39328" t="s">
        <v>847</v>
      </c>
      <c r="J39328">
        <v>3</v>
      </c>
    </row>
    <row r="39329" spans="1:10" x14ac:dyDescent="0.25">
      <c r="A39329" t="s">
        <v>400</v>
      </c>
      <c r="B39329" s="1" t="str">
        <f>HYPERLINK("http://bodegaaurrera.com.mx","bodegaaurrera.com.mx")</f>
        <v>bodegaaurrera.com.mx</v>
      </c>
      <c r="C39329" t="s">
        <v>471</v>
      </c>
      <c r="D39329" t="s">
        <v>847</v>
      </c>
      <c r="E39329">
        <v>46446</v>
      </c>
      <c r="F39329">
        <v>5.4674407504249498E-8</v>
      </c>
      <c r="G39329">
        <v>824380</v>
      </c>
      <c r="H39329">
        <v>13458116</v>
      </c>
      <c r="I39329">
        <v>10177743</v>
      </c>
      <c r="J39329">
        <v>3</v>
      </c>
    </row>
    <row r="39330" spans="1:10" x14ac:dyDescent="0.25">
      <c r="A39330" t="s">
        <v>400</v>
      </c>
      <c r="B39330" s="1" t="str">
        <f>HYPERLINK("http://bodegaurrera.com.mx","bodegaurrera.com.mx")</f>
        <v>bodegaurrera.com.mx</v>
      </c>
      <c r="C39330" t="s">
        <v>471</v>
      </c>
      <c r="D39330" t="s">
        <v>847</v>
      </c>
      <c r="F39330">
        <v>4.2774249067127202E-8</v>
      </c>
      <c r="G39330">
        <v>1128005</v>
      </c>
      <c r="H39330">
        <v>13764468</v>
      </c>
      <c r="I39330">
        <v>7260185</v>
      </c>
      <c r="J39330">
        <v>3</v>
      </c>
    </row>
    <row r="39331" spans="1:10" x14ac:dyDescent="0.25">
      <c r="A39331" t="s">
        <v>400</v>
      </c>
      <c r="B39331" s="1" t="str">
        <f>HYPERLINK("http://sams.com.mx","sams.com.mx")</f>
        <v>sams.com.mx</v>
      </c>
      <c r="C39331" t="s">
        <v>471</v>
      </c>
      <c r="D39331" t="s">
        <v>847</v>
      </c>
      <c r="E39331">
        <v>16321</v>
      </c>
      <c r="F39331">
        <v>1.6362335776771901E-7</v>
      </c>
      <c r="G39331">
        <v>237214</v>
      </c>
      <c r="H39331">
        <v>15018622</v>
      </c>
      <c r="I39331">
        <v>421276</v>
      </c>
      <c r="J39331">
        <v>3</v>
      </c>
    </row>
    <row r="39332" spans="1:10" x14ac:dyDescent="0.25">
      <c r="A39332" t="s">
        <v>400</v>
      </c>
      <c r="B39332" s="1" t="str">
        <f>HYPERLINK("http://superama.com.mx","superama.com.mx")</f>
        <v>superama.com.mx</v>
      </c>
      <c r="C39332" t="s">
        <v>471</v>
      </c>
      <c r="D39332" t="s">
        <v>847</v>
      </c>
      <c r="E39332">
        <v>684308</v>
      </c>
      <c r="F39332">
        <v>8.8430420671236798E-8</v>
      </c>
      <c r="G39332">
        <v>462939</v>
      </c>
      <c r="H39332">
        <v>14552911</v>
      </c>
      <c r="I39332">
        <v>756142</v>
      </c>
      <c r="J39332">
        <v>3</v>
      </c>
    </row>
    <row r="39333" spans="1:10" x14ac:dyDescent="0.25">
      <c r="A39333" t="s">
        <v>400</v>
      </c>
      <c r="B39333" s="1" t="str">
        <f>HYPERLINK("http://swalmart.com.mx","swalmart.com.mx")</f>
        <v>swalmart.com.mx</v>
      </c>
      <c r="C39333" t="s">
        <v>471</v>
      </c>
      <c r="D39333" t="s">
        <v>847</v>
      </c>
      <c r="J39333">
        <v>3</v>
      </c>
    </row>
    <row r="39334" spans="1:10" x14ac:dyDescent="0.25">
      <c r="A39334" t="s">
        <v>400</v>
      </c>
      <c r="B39334" s="1" t="str">
        <f>HYPERLINK("http://wal-mart.com.mx","wal-mart.com.mx")</f>
        <v>wal-mart.com.mx</v>
      </c>
      <c r="C39334" t="s">
        <v>471</v>
      </c>
      <c r="D39334" t="s">
        <v>847</v>
      </c>
      <c r="F39334">
        <v>6.3660798246812103E-9</v>
      </c>
      <c r="G39334">
        <v>14684258</v>
      </c>
      <c r="H39334">
        <v>12445903</v>
      </c>
      <c r="I39334">
        <v>18076570</v>
      </c>
      <c r="J39334">
        <v>2</v>
      </c>
    </row>
    <row r="39335" spans="1:10" x14ac:dyDescent="0.25">
      <c r="A39335" t="s">
        <v>400</v>
      </c>
      <c r="B39335" s="1" t="str">
        <f>HYPERLINK("http://walmar.com.mx","walmar.com.mx")</f>
        <v>walmar.com.mx</v>
      </c>
      <c r="C39335" t="s">
        <v>471</v>
      </c>
      <c r="D39335" t="s">
        <v>847</v>
      </c>
      <c r="J39335">
        <v>3</v>
      </c>
    </row>
    <row r="39336" spans="1:10" x14ac:dyDescent="0.25">
      <c r="A39336" t="s">
        <v>400</v>
      </c>
      <c r="B39336" s="1" t="str">
        <f>HYPERLINK("http://walmart.com.mx","walmart.com.mx")</f>
        <v>walmart.com.mx</v>
      </c>
      <c r="C39336" t="s">
        <v>471</v>
      </c>
      <c r="D39336" t="s">
        <v>847</v>
      </c>
      <c r="E39336">
        <v>6526</v>
      </c>
      <c r="F39336">
        <v>4.2503355171200701E-7</v>
      </c>
      <c r="G39336">
        <v>88622</v>
      </c>
      <c r="H39336">
        <v>15341032</v>
      </c>
      <c r="I39336">
        <v>383344</v>
      </c>
      <c r="J39336">
        <v>2</v>
      </c>
    </row>
    <row r="39337" spans="1:10" x14ac:dyDescent="0.25">
      <c r="A39337" t="s">
        <v>400</v>
      </c>
      <c r="B39337" s="1" t="str">
        <f>HYPERLINK("http://walmartdemexico.com.mx","walmartdemexico.com.mx")</f>
        <v>walmartdemexico.com.mx</v>
      </c>
      <c r="C39337" t="s">
        <v>471</v>
      </c>
      <c r="D39337" t="s">
        <v>847</v>
      </c>
      <c r="J39337">
        <v>3</v>
      </c>
    </row>
    <row r="39338" spans="1:10" x14ac:dyDescent="0.25">
      <c r="A39338" t="s">
        <v>400</v>
      </c>
      <c r="B39338" s="1" t="str">
        <f>HYPERLINK("http://walmartmexico.com.mx","walmartmexico.com.mx")</f>
        <v>walmartmexico.com.mx</v>
      </c>
      <c r="C39338" t="s">
        <v>471</v>
      </c>
      <c r="D39338" t="s">
        <v>847</v>
      </c>
      <c r="E39338">
        <v>69501</v>
      </c>
      <c r="F39338">
        <v>6.8806785435597205E-8</v>
      </c>
      <c r="G39338">
        <v>618055</v>
      </c>
      <c r="H39338">
        <v>14263407</v>
      </c>
      <c r="I39338">
        <v>1412681</v>
      </c>
      <c r="J39338">
        <v>3</v>
      </c>
    </row>
    <row r="39339" spans="1:10" x14ac:dyDescent="0.25">
      <c r="A39339" t="s">
        <v>400</v>
      </c>
      <c r="B39339" s="1" t="str">
        <f>HYPERLINK("http://walmnart.com.mx","walmnart.com.mx")</f>
        <v>walmnart.com.mx</v>
      </c>
      <c r="C39339" t="s">
        <v>471</v>
      </c>
      <c r="D39339" t="s">
        <v>847</v>
      </c>
      <c r="J39339">
        <v>3</v>
      </c>
    </row>
    <row r="39340" spans="1:10" x14ac:dyDescent="0.25">
      <c r="A39340" t="s">
        <v>400</v>
      </c>
      <c r="B39340" s="1" t="str">
        <f>HYPERLINK("http://waltmart.com.mx","waltmart.com.mx")</f>
        <v>waltmart.com.mx</v>
      </c>
      <c r="C39340" t="s">
        <v>471</v>
      </c>
      <c r="D39340" t="s">
        <v>847</v>
      </c>
      <c r="J39340">
        <v>3</v>
      </c>
    </row>
    <row r="39341" spans="1:10" x14ac:dyDescent="0.25">
      <c r="A39341" t="s">
        <v>400</v>
      </c>
      <c r="B39341" s="1" t="str">
        <f>HYPERLINK("http://walmex.mx","walmex.mx")</f>
        <v>walmex.mx</v>
      </c>
      <c r="C39341" t="s">
        <v>471</v>
      </c>
      <c r="D39341" t="s">
        <v>847</v>
      </c>
      <c r="F39341">
        <v>4.7303500682393099E-8</v>
      </c>
      <c r="G39341">
        <v>985312</v>
      </c>
      <c r="H39341">
        <v>14194525</v>
      </c>
      <c r="I39341">
        <v>1739795</v>
      </c>
      <c r="J39341">
        <v>4</v>
      </c>
    </row>
    <row r="39342" spans="1:10" x14ac:dyDescent="0.25">
      <c r="A39342" t="s">
        <v>400</v>
      </c>
      <c r="B39342" s="1" t="str">
        <f>HYPERLINK("http://bodegaaurrera.net","bodegaaurrera.net")</f>
        <v>bodegaaurrera.net</v>
      </c>
      <c r="C39342" t="s">
        <v>474</v>
      </c>
      <c r="F39342">
        <v>7.1778316146087904E-9</v>
      </c>
      <c r="G39342">
        <v>11802336</v>
      </c>
      <c r="H39342">
        <v>12214861</v>
      </c>
      <c r="I39342">
        <v>22907385</v>
      </c>
      <c r="J39342">
        <v>3</v>
      </c>
    </row>
    <row r="39343" spans="1:10" x14ac:dyDescent="0.25">
      <c r="A39343" t="s">
        <v>400</v>
      </c>
      <c r="B39343" s="1" t="str">
        <f>HYPERLINK("http://dasherapp.net","dasherapp.net")</f>
        <v>dasherapp.net</v>
      </c>
      <c r="C39343" t="s">
        <v>474</v>
      </c>
      <c r="J39343">
        <v>2</v>
      </c>
    </row>
    <row r="39344" spans="1:10" x14ac:dyDescent="0.25">
      <c r="A39344" t="s">
        <v>400</v>
      </c>
      <c r="B39344" s="1" t="str">
        <f>HYPERLINK("http://walmart.com.ni","walmart.com.ni")</f>
        <v>walmart.com.ni</v>
      </c>
      <c r="C39344" t="s">
        <v>476</v>
      </c>
      <c r="D39344" t="s">
        <v>851</v>
      </c>
      <c r="E39344">
        <v>932873</v>
      </c>
      <c r="F39344">
        <v>1.62775549905164E-8</v>
      </c>
      <c r="G39344">
        <v>3476313</v>
      </c>
      <c r="H39344">
        <v>13569081</v>
      </c>
      <c r="I39344">
        <v>9732146</v>
      </c>
      <c r="J39344">
        <v>3</v>
      </c>
    </row>
    <row r="39345" spans="1:10" x14ac:dyDescent="0.25">
      <c r="A39345" t="s">
        <v>400</v>
      </c>
      <c r="B39345" s="1" t="str">
        <f>HYPERLINK("http://timefortime.org","timefortime.org")</f>
        <v>timefortime.org</v>
      </c>
      <c r="C39345" t="s">
        <v>481</v>
      </c>
      <c r="F39345">
        <v>4.4809793320669003E-9</v>
      </c>
      <c r="G39345">
        <v>62144267</v>
      </c>
      <c r="H39345">
        <v>7003380.5</v>
      </c>
      <c r="I39345">
        <v>76900901</v>
      </c>
      <c r="J39345">
        <v>5</v>
      </c>
    </row>
    <row r="39346" spans="1:10" x14ac:dyDescent="0.25">
      <c r="A39346" t="s">
        <v>400</v>
      </c>
      <c r="B39346" s="1" t="str">
        <f>HYPERLINK("http://walmart.org","walmart.org")</f>
        <v>walmart.org</v>
      </c>
      <c r="C39346" t="s">
        <v>481</v>
      </c>
      <c r="E39346">
        <v>125520</v>
      </c>
      <c r="F39346">
        <v>6.4195535765941801E-7</v>
      </c>
      <c r="G39346">
        <v>59846</v>
      </c>
      <c r="H39346">
        <v>17129542</v>
      </c>
      <c r="I39346">
        <v>56909</v>
      </c>
      <c r="J39346">
        <v>2</v>
      </c>
    </row>
    <row r="39347" spans="1:10" x14ac:dyDescent="0.25">
      <c r="A39347" t="s">
        <v>400</v>
      </c>
      <c r="B39347" s="1" t="str">
        <f>HYPERLINK("http://walmart.com.sv","walmart.com.sv")</f>
        <v>walmart.com.sv</v>
      </c>
      <c r="C39347" t="s">
        <v>499</v>
      </c>
      <c r="D39347" t="s">
        <v>873</v>
      </c>
      <c r="E39347">
        <v>675786</v>
      </c>
      <c r="F39347">
        <v>1.0622272699559999E-8</v>
      </c>
      <c r="G39347">
        <v>6164897</v>
      </c>
      <c r="H39347">
        <v>11493858</v>
      </c>
      <c r="I39347">
        <v>30041415</v>
      </c>
      <c r="J39347">
        <v>3</v>
      </c>
    </row>
    <row r="39348" spans="1:10" x14ac:dyDescent="0.25">
      <c r="A39348" t="s">
        <v>400</v>
      </c>
      <c r="B39348" s="1" t="str">
        <f>HYPERLINK("http://asda-clothes.co.uk","asda-clothes.co.uk")</f>
        <v>asda-clothes.co.uk</v>
      </c>
      <c r="C39348" t="s">
        <v>506</v>
      </c>
      <c r="D39348" t="s">
        <v>880</v>
      </c>
      <c r="J39348">
        <v>2</v>
      </c>
    </row>
    <row r="39349" spans="1:10" x14ac:dyDescent="0.25">
      <c r="A39349" t="s">
        <v>400</v>
      </c>
      <c r="B39349" s="1" t="str">
        <f>HYPERLINK("http://asda-clothing.co.uk","asda-clothing.co.uk")</f>
        <v>asda-clothing.co.uk</v>
      </c>
      <c r="C39349" t="s">
        <v>506</v>
      </c>
      <c r="D39349" t="s">
        <v>880</v>
      </c>
      <c r="J39349">
        <v>2</v>
      </c>
    </row>
    <row r="39350" spans="1:10" x14ac:dyDescent="0.25">
      <c r="A39350" t="s">
        <v>400</v>
      </c>
      <c r="B39350" s="1" t="str">
        <f>HYPERLINK("http://asda-entertainment.co.uk","asda-entertainment.co.uk")</f>
        <v>asda-entertainment.co.uk</v>
      </c>
      <c r="C39350" t="s">
        <v>506</v>
      </c>
      <c r="D39350" t="s">
        <v>880</v>
      </c>
      <c r="F39350">
        <v>8.6821428894348096E-9</v>
      </c>
      <c r="G39350">
        <v>8508593</v>
      </c>
      <c r="H39350">
        <v>14487669</v>
      </c>
      <c r="I39350">
        <v>943950</v>
      </c>
      <c r="J39350">
        <v>2</v>
      </c>
    </row>
    <row r="39351" spans="1:10" x14ac:dyDescent="0.25">
      <c r="A39351" t="s">
        <v>400</v>
      </c>
      <c r="B39351" s="1" t="str">
        <f>HYPERLINK("http://asda-george.co.uk","asda-george.co.uk")</f>
        <v>asda-george.co.uk</v>
      </c>
      <c r="C39351" t="s">
        <v>506</v>
      </c>
      <c r="D39351" t="s">
        <v>880</v>
      </c>
      <c r="J39351">
        <v>2</v>
      </c>
    </row>
    <row r="39352" spans="1:10" x14ac:dyDescent="0.25">
      <c r="A39352" t="s">
        <v>400</v>
      </c>
      <c r="B39352" s="1" t="str">
        <f>HYPERLINK("http://asdaclothes.co.uk","asdaclothes.co.uk")</f>
        <v>asdaclothes.co.uk</v>
      </c>
      <c r="C39352" t="s">
        <v>506</v>
      </c>
      <c r="D39352" t="s">
        <v>880</v>
      </c>
      <c r="J39352">
        <v>2</v>
      </c>
    </row>
    <row r="39353" spans="1:10" x14ac:dyDescent="0.25">
      <c r="A39353" t="s">
        <v>400</v>
      </c>
      <c r="B39353" s="1" t="str">
        <f>HYPERLINK("http://asdaclothing.co.uk","asdaclothing.co.uk")</f>
        <v>asdaclothing.co.uk</v>
      </c>
      <c r="C39353" t="s">
        <v>506</v>
      </c>
      <c r="D39353" t="s">
        <v>880</v>
      </c>
      <c r="J39353">
        <v>2</v>
      </c>
    </row>
    <row r="39354" spans="1:10" x14ac:dyDescent="0.25">
      <c r="A39354" t="s">
        <v>400</v>
      </c>
      <c r="B39354" s="1" t="str">
        <f>HYPERLINK("http://asdadirect.co.uk","asdadirect.co.uk")</f>
        <v>asdadirect.co.uk</v>
      </c>
      <c r="C39354" t="s">
        <v>506</v>
      </c>
      <c r="D39354" t="s">
        <v>880</v>
      </c>
      <c r="F39354">
        <v>4.47685106690946E-9</v>
      </c>
      <c r="G39354">
        <v>63007513</v>
      </c>
      <c r="H39354">
        <v>10063426</v>
      </c>
      <c r="I39354">
        <v>60202404</v>
      </c>
      <c r="J39354">
        <v>2</v>
      </c>
    </row>
    <row r="39355" spans="1:10" x14ac:dyDescent="0.25">
      <c r="A39355" t="s">
        <v>400</v>
      </c>
      <c r="B39355" s="1" t="str">
        <f>HYPERLINK("http://asdageorge.co.uk","asdageorge.co.uk")</f>
        <v>asdageorge.co.uk</v>
      </c>
      <c r="C39355" t="s">
        <v>506</v>
      </c>
      <c r="D39355" t="s">
        <v>880</v>
      </c>
      <c r="J39355">
        <v>2</v>
      </c>
    </row>
    <row r="39356" spans="1:10" x14ac:dyDescent="0.25">
      <c r="A39356" t="s">
        <v>400</v>
      </c>
      <c r="B39356" s="1" t="str">
        <f>HYPERLINK("http://georgeclothing.co.uk","georgeclothing.co.uk")</f>
        <v>georgeclothing.co.uk</v>
      </c>
      <c r="C39356" t="s">
        <v>506</v>
      </c>
      <c r="D39356" t="s">
        <v>880</v>
      </c>
      <c r="J39356">
        <v>2</v>
      </c>
    </row>
    <row r="39357" spans="1:10" x14ac:dyDescent="0.25">
      <c r="A39357" t="s">
        <v>400</v>
      </c>
      <c r="B39357" s="1" t="str">
        <f>HYPERLINK("http://toyou.co.uk","toyou.co.uk")</f>
        <v>toyou.co.uk</v>
      </c>
      <c r="C39357" t="s">
        <v>506</v>
      </c>
      <c r="D39357" t="s">
        <v>880</v>
      </c>
      <c r="E39357">
        <v>469360</v>
      </c>
      <c r="F39357">
        <v>1.5635124516886E-7</v>
      </c>
      <c r="G39357">
        <v>248394</v>
      </c>
      <c r="H39357">
        <v>13174933</v>
      </c>
      <c r="I39357">
        <v>11708196</v>
      </c>
      <c r="J39357">
        <v>2</v>
      </c>
    </row>
    <row r="39358" spans="1:10" x14ac:dyDescent="0.25">
      <c r="A39358" t="s">
        <v>400</v>
      </c>
      <c r="B39358" s="1" t="str">
        <f>HYPERLINK("http://massbuild.co.za","massbuild.co.za")</f>
        <v>massbuild.co.za</v>
      </c>
      <c r="C39358" t="s">
        <v>510</v>
      </c>
      <c r="D39358" t="s">
        <v>884</v>
      </c>
      <c r="J39358">
        <v>2</v>
      </c>
    </row>
    <row r="39359" spans="1:10" x14ac:dyDescent="0.25">
      <c r="A39359" t="s">
        <v>400</v>
      </c>
      <c r="B39359" s="1" t="str">
        <f>HYPERLINK("http://massmart.co.za","massmart.co.za")</f>
        <v>massmart.co.za</v>
      </c>
      <c r="C39359" t="s">
        <v>510</v>
      </c>
      <c r="D39359" t="s">
        <v>884</v>
      </c>
      <c r="E39359">
        <v>456310</v>
      </c>
      <c r="F39359">
        <v>1.8492724026875601E-7</v>
      </c>
      <c r="G39359">
        <v>208470</v>
      </c>
      <c r="H39359">
        <v>14977986</v>
      </c>
      <c r="I39359">
        <v>431592</v>
      </c>
      <c r="J39359">
        <v>2</v>
      </c>
    </row>
    <row r="39360" spans="1:10" x14ac:dyDescent="0.25">
      <c r="A39360" t="s">
        <v>401</v>
      </c>
      <c r="B39360" s="1" t="str">
        <f>HYPERLINK("http://espn.com.ar","espn.com.ar")</f>
        <v>espn.com.ar</v>
      </c>
      <c r="C39360" t="s">
        <v>418</v>
      </c>
      <c r="D39360" t="s">
        <v>800</v>
      </c>
      <c r="E39360">
        <v>49313</v>
      </c>
      <c r="F39360">
        <v>2.5425861661746299E-7</v>
      </c>
      <c r="G39360">
        <v>147127</v>
      </c>
      <c r="H39360">
        <v>15046073</v>
      </c>
      <c r="I39360">
        <v>415397</v>
      </c>
      <c r="J39360">
        <v>5</v>
      </c>
    </row>
    <row r="39361" spans="1:10" x14ac:dyDescent="0.25">
      <c r="A39361" t="s">
        <v>401</v>
      </c>
      <c r="B39361" s="1" t="str">
        <f>HYPERLINK("http://disney.asia","disney.asia")</f>
        <v>disney.asia</v>
      </c>
      <c r="C39361" t="s">
        <v>525</v>
      </c>
      <c r="E39361">
        <v>977613</v>
      </c>
      <c r="F39361">
        <v>2.04002090437819E-8</v>
      </c>
      <c r="G39361">
        <v>2599676</v>
      </c>
      <c r="H39361">
        <v>14236072</v>
      </c>
      <c r="I39361">
        <v>1619376</v>
      </c>
      <c r="J39361">
        <v>5</v>
      </c>
    </row>
    <row r="39362" spans="1:10" x14ac:dyDescent="0.25">
      <c r="A39362" t="s">
        <v>401</v>
      </c>
      <c r="B39362" s="1" t="str">
        <f>HYPERLINK("http://shopdisney.asia","shopdisney.asia")</f>
        <v>shopdisney.asia</v>
      </c>
      <c r="C39362" t="s">
        <v>525</v>
      </c>
      <c r="E39362">
        <v>807658</v>
      </c>
      <c r="F39362">
        <v>1.4716046138618001E-7</v>
      </c>
      <c r="G39362">
        <v>264563</v>
      </c>
      <c r="H39362">
        <v>13938855</v>
      </c>
      <c r="I39362">
        <v>4411276</v>
      </c>
      <c r="J39362">
        <v>5</v>
      </c>
    </row>
    <row r="39363" spans="1:10" x14ac:dyDescent="0.25">
      <c r="A39363" t="s">
        <v>401</v>
      </c>
      <c r="B39363" s="1" t="str">
        <f>HYPERLINK("http://disneylandparis.at","disneylandparis.at")</f>
        <v>disneylandparis.at</v>
      </c>
      <c r="C39363" t="s">
        <v>419</v>
      </c>
      <c r="D39363" t="s">
        <v>801</v>
      </c>
      <c r="F39363">
        <v>1.82990760746703E-8</v>
      </c>
      <c r="G39363">
        <v>2967621</v>
      </c>
      <c r="H39363">
        <v>12424320</v>
      </c>
      <c r="I39363">
        <v>18384044</v>
      </c>
      <c r="J39363">
        <v>5</v>
      </c>
    </row>
    <row r="39364" spans="1:10" x14ac:dyDescent="0.25">
      <c r="A39364" t="s">
        <v>401</v>
      </c>
      <c r="B39364" s="1" t="str">
        <f>HYPERLINK("http://20thcenturystudios.com.au","20thcenturystudios.com.au")</f>
        <v>20thcenturystudios.com.au</v>
      </c>
      <c r="C39364" t="s">
        <v>420</v>
      </c>
      <c r="D39364" t="s">
        <v>802</v>
      </c>
      <c r="F39364">
        <v>6.8949823566428096E-8</v>
      </c>
      <c r="G39364">
        <v>616536</v>
      </c>
      <c r="H39364">
        <v>13390648</v>
      </c>
      <c r="I39364">
        <v>10390362</v>
      </c>
      <c r="J39364">
        <v>5</v>
      </c>
    </row>
    <row r="39365" spans="1:10" x14ac:dyDescent="0.25">
      <c r="A39365" t="s">
        <v>401</v>
      </c>
      <c r="B39365" s="1" t="str">
        <f>HYPERLINK("http://abc.com.au","abc.com.au")</f>
        <v>abc.com.au</v>
      </c>
      <c r="C39365" t="s">
        <v>420</v>
      </c>
      <c r="D39365" t="s">
        <v>802</v>
      </c>
      <c r="F39365">
        <v>7.9742223303488095E-8</v>
      </c>
      <c r="G39365">
        <v>523894</v>
      </c>
      <c r="H39365">
        <v>14637532</v>
      </c>
      <c r="I39365">
        <v>639227</v>
      </c>
      <c r="J39365">
        <v>11</v>
      </c>
    </row>
    <row r="39366" spans="1:10" x14ac:dyDescent="0.25">
      <c r="A39366" t="s">
        <v>401</v>
      </c>
      <c r="B39366" s="1" t="str">
        <f>HYPERLINK("http://disney.com.au","disney.com.au")</f>
        <v>disney.com.au</v>
      </c>
      <c r="C39366" t="s">
        <v>420</v>
      </c>
      <c r="D39366" t="s">
        <v>802</v>
      </c>
      <c r="E39366">
        <v>155361</v>
      </c>
      <c r="F39366">
        <v>6.1860891127696699E-7</v>
      </c>
      <c r="G39366">
        <v>61895</v>
      </c>
      <c r="H39366">
        <v>15202783</v>
      </c>
      <c r="I39366">
        <v>395438</v>
      </c>
      <c r="J39366">
        <v>4</v>
      </c>
    </row>
    <row r="39367" spans="1:10" x14ac:dyDescent="0.25">
      <c r="A39367" t="s">
        <v>401</v>
      </c>
      <c r="B39367" s="1" t="str">
        <f>HYPERLINK("http://endemol.com.au","endemol.com.au")</f>
        <v>endemol.com.au</v>
      </c>
      <c r="C39367" t="s">
        <v>420</v>
      </c>
      <c r="D39367" t="s">
        <v>802</v>
      </c>
      <c r="F39367">
        <v>4.4863562568337401E-9</v>
      </c>
      <c r="G39367">
        <v>61146867</v>
      </c>
      <c r="H39367">
        <v>11291579</v>
      </c>
      <c r="I39367">
        <v>30649034</v>
      </c>
      <c r="J39367">
        <v>4</v>
      </c>
    </row>
    <row r="39368" spans="1:10" x14ac:dyDescent="0.25">
      <c r="A39368" t="s">
        <v>401</v>
      </c>
      <c r="B39368" s="1" t="str">
        <f>HYPERLINK("http://espn.com.au","espn.com.au")</f>
        <v>espn.com.au</v>
      </c>
      <c r="C39368" t="s">
        <v>420</v>
      </c>
      <c r="D39368" t="s">
        <v>802</v>
      </c>
      <c r="E39368">
        <v>27924</v>
      </c>
      <c r="F39368">
        <v>3.5751815198159001E-7</v>
      </c>
      <c r="G39368">
        <v>104571</v>
      </c>
      <c r="H39368">
        <v>15201067</v>
      </c>
      <c r="I39368">
        <v>395567</v>
      </c>
      <c r="J39368">
        <v>5</v>
      </c>
    </row>
    <row r="39369" spans="1:10" x14ac:dyDescent="0.25">
      <c r="A39369" t="s">
        <v>401</v>
      </c>
      <c r="B39369" s="1" t="str">
        <f>HYPERLINK("http://nationalgeographic.com.au","nationalgeographic.com.au")</f>
        <v>nationalgeographic.com.au</v>
      </c>
      <c r="C39369" t="s">
        <v>420</v>
      </c>
      <c r="D39369" t="s">
        <v>802</v>
      </c>
      <c r="E39369">
        <v>111174</v>
      </c>
      <c r="F39369">
        <v>4.5179070495593598E-7</v>
      </c>
      <c r="G39369">
        <v>83637</v>
      </c>
      <c r="H39369">
        <v>15282975</v>
      </c>
      <c r="I39369">
        <v>387447</v>
      </c>
      <c r="J39369">
        <v>4</v>
      </c>
    </row>
    <row r="39370" spans="1:10" x14ac:dyDescent="0.25">
      <c r="A39370" t="s">
        <v>401</v>
      </c>
      <c r="B39370" s="1" t="str">
        <f>HYPERLINK("http://screentime.com.au","screentime.com.au")</f>
        <v>screentime.com.au</v>
      </c>
      <c r="C39370" t="s">
        <v>420</v>
      </c>
      <c r="D39370" t="s">
        <v>802</v>
      </c>
      <c r="F39370">
        <v>1.01797540150274E-8</v>
      </c>
      <c r="G39370">
        <v>6566867</v>
      </c>
      <c r="H39370">
        <v>13764297</v>
      </c>
      <c r="I39370">
        <v>7303650</v>
      </c>
      <c r="J39370">
        <v>18</v>
      </c>
    </row>
    <row r="39371" spans="1:10" x14ac:dyDescent="0.25">
      <c r="A39371" t="s">
        <v>401</v>
      </c>
      <c r="B39371" s="1" t="str">
        <f>HYPERLINK("http://abc.net.au","abc.net.au")</f>
        <v>abc.net.au</v>
      </c>
      <c r="C39371" t="s">
        <v>420</v>
      </c>
      <c r="D39371" t="s">
        <v>802</v>
      </c>
      <c r="E39371">
        <v>718</v>
      </c>
      <c r="F39371">
        <v>2.9396422617035E-5</v>
      </c>
      <c r="G39371">
        <v>993</v>
      </c>
      <c r="H39371">
        <v>19274986</v>
      </c>
      <c r="I39371">
        <v>300</v>
      </c>
      <c r="J39371">
        <v>10</v>
      </c>
    </row>
    <row r="39372" spans="1:10" x14ac:dyDescent="0.25">
      <c r="A39372" t="s">
        <v>401</v>
      </c>
      <c r="B39372" s="1" t="str">
        <f>HYPERLINK("http://radioaustralia.net.au","radioaustralia.net.au")</f>
        <v>radioaustralia.net.au</v>
      </c>
      <c r="C39372" t="s">
        <v>420</v>
      </c>
      <c r="D39372" t="s">
        <v>802</v>
      </c>
      <c r="E39372">
        <v>85487</v>
      </c>
      <c r="F39372">
        <v>4.30231683949105E-7</v>
      </c>
      <c r="G39372">
        <v>87570</v>
      </c>
      <c r="H39372">
        <v>15218606</v>
      </c>
      <c r="I39372">
        <v>393547</v>
      </c>
      <c r="J39372">
        <v>12</v>
      </c>
    </row>
    <row r="39373" spans="1:10" x14ac:dyDescent="0.25">
      <c r="A39373" t="s">
        <v>401</v>
      </c>
      <c r="B39373" s="1" t="str">
        <f>HYPERLINK("http://disney.be","disney.be")</f>
        <v>disney.be</v>
      </c>
      <c r="C39373" t="s">
        <v>421</v>
      </c>
      <c r="D39373" t="s">
        <v>803</v>
      </c>
      <c r="E39373">
        <v>757654</v>
      </c>
      <c r="F39373">
        <v>3.6150573605979301E-7</v>
      </c>
      <c r="G39373">
        <v>103427</v>
      </c>
      <c r="H39373">
        <v>14492917</v>
      </c>
      <c r="I39373">
        <v>891363</v>
      </c>
      <c r="J39373">
        <v>4</v>
      </c>
    </row>
    <row r="39374" spans="1:10" x14ac:dyDescent="0.25">
      <c r="A39374" t="s">
        <v>401</v>
      </c>
      <c r="B39374" s="1" t="str">
        <f>HYPERLINK("http://disneylandparis.be","disneylandparis.be")</f>
        <v>disneylandparis.be</v>
      </c>
      <c r="C39374" t="s">
        <v>421</v>
      </c>
      <c r="D39374" t="s">
        <v>803</v>
      </c>
      <c r="F39374">
        <v>3.8355149865023298E-8</v>
      </c>
      <c r="G39374">
        <v>1349833</v>
      </c>
      <c r="H39374">
        <v>14391456</v>
      </c>
      <c r="I39374">
        <v>1166483</v>
      </c>
      <c r="J39374">
        <v>5</v>
      </c>
    </row>
    <row r="39375" spans="1:10" x14ac:dyDescent="0.25">
      <c r="A39375" t="s">
        <v>401</v>
      </c>
      <c r="B39375" s="1" t="str">
        <f>HYPERLINK("http://disney.bg","disney.bg")</f>
        <v>disney.bg</v>
      </c>
      <c r="C39375" t="s">
        <v>422</v>
      </c>
      <c r="D39375" t="s">
        <v>804</v>
      </c>
      <c r="F39375">
        <v>4.2044593739598802E-7</v>
      </c>
      <c r="G39375">
        <v>89567</v>
      </c>
      <c r="H39375">
        <v>14086448</v>
      </c>
      <c r="I39375">
        <v>2770147</v>
      </c>
      <c r="J39375">
        <v>4</v>
      </c>
    </row>
    <row r="39376" spans="1:10" x14ac:dyDescent="0.25">
      <c r="A39376" t="s">
        <v>401</v>
      </c>
      <c r="B39376" s="1" t="str">
        <f>HYPERLINK("http://nationalgeographic.bg","nationalgeographic.bg")</f>
        <v>nationalgeographic.bg</v>
      </c>
      <c r="C39376" t="s">
        <v>422</v>
      </c>
      <c r="D39376" t="s">
        <v>804</v>
      </c>
      <c r="E39376">
        <v>953849</v>
      </c>
      <c r="F39376">
        <v>5.8827449579753503E-8</v>
      </c>
      <c r="G39376">
        <v>754217</v>
      </c>
      <c r="H39376">
        <v>14652228</v>
      </c>
      <c r="I39376">
        <v>626145</v>
      </c>
      <c r="J39376">
        <v>4</v>
      </c>
    </row>
    <row r="39377" spans="1:10" x14ac:dyDescent="0.25">
      <c r="A39377" t="s">
        <v>401</v>
      </c>
      <c r="B39377" s="1" t="str">
        <f>HYPERLINK("http://disney.com.br","disney.com.br")</f>
        <v>disney.com.br</v>
      </c>
      <c r="C39377" t="s">
        <v>425</v>
      </c>
      <c r="D39377" t="s">
        <v>806</v>
      </c>
      <c r="E39377">
        <v>204562</v>
      </c>
      <c r="F39377">
        <v>7.0681206950227E-7</v>
      </c>
      <c r="G39377">
        <v>54813</v>
      </c>
      <c r="H39377">
        <v>15383267</v>
      </c>
      <c r="I39377">
        <v>381005</v>
      </c>
      <c r="J39377">
        <v>4</v>
      </c>
    </row>
    <row r="39378" spans="1:10" x14ac:dyDescent="0.25">
      <c r="A39378" t="s">
        <v>401</v>
      </c>
      <c r="B39378" s="1" t="str">
        <f>HYPERLINK("http://espn.com.br","espn.com.br")</f>
        <v>espn.com.br</v>
      </c>
      <c r="C39378" t="s">
        <v>425</v>
      </c>
      <c r="D39378" t="s">
        <v>806</v>
      </c>
      <c r="E39378">
        <v>21407</v>
      </c>
      <c r="F39378">
        <v>3.32060846295127E-7</v>
      </c>
      <c r="G39378">
        <v>112253</v>
      </c>
      <c r="H39378">
        <v>15226400</v>
      </c>
      <c r="I39378">
        <v>392668</v>
      </c>
      <c r="J39378">
        <v>5</v>
      </c>
    </row>
    <row r="39379" spans="1:10" x14ac:dyDescent="0.25">
      <c r="A39379" t="s">
        <v>401</v>
      </c>
      <c r="B39379" s="1" t="str">
        <f>HYPERLINK("http://disneylandparis.ch","disneylandparis.ch")</f>
        <v>disneylandparis.ch</v>
      </c>
      <c r="C39379" t="s">
        <v>429</v>
      </c>
      <c r="D39379" t="s">
        <v>810</v>
      </c>
      <c r="F39379">
        <v>1.88736148926643E-8</v>
      </c>
      <c r="G39379">
        <v>2858337</v>
      </c>
      <c r="H39379">
        <v>12421998</v>
      </c>
      <c r="I39379">
        <v>18415311</v>
      </c>
      <c r="J39379">
        <v>5</v>
      </c>
    </row>
    <row r="39380" spans="1:10" x14ac:dyDescent="0.25">
      <c r="A39380" t="s">
        <v>401</v>
      </c>
      <c r="B39380" s="1" t="str">
        <f>HYPERLINK("http://espn.cl","espn.cl")</f>
        <v>espn.cl</v>
      </c>
      <c r="C39380" t="s">
        <v>430</v>
      </c>
      <c r="D39380" t="s">
        <v>811</v>
      </c>
      <c r="E39380">
        <v>513411</v>
      </c>
      <c r="F39380">
        <v>6.3691813562578805E-8</v>
      </c>
      <c r="G39380">
        <v>681424</v>
      </c>
      <c r="H39380">
        <v>14462520</v>
      </c>
      <c r="I39380">
        <v>1046079</v>
      </c>
      <c r="J39380">
        <v>5</v>
      </c>
    </row>
    <row r="39381" spans="1:10" x14ac:dyDescent="0.25">
      <c r="A39381" t="s">
        <v>401</v>
      </c>
      <c r="B39381" s="1" t="str">
        <f>HYPERLINK("http://shanghaidisneyresort.com.cn","shanghaidisneyresort.com.cn")</f>
        <v>shanghaidisneyresort.com.cn</v>
      </c>
      <c r="C39381" t="s">
        <v>431</v>
      </c>
      <c r="D39381" t="s">
        <v>812</v>
      </c>
      <c r="F39381">
        <v>6.9126623088642597E-8</v>
      </c>
      <c r="G39381">
        <v>614685</v>
      </c>
      <c r="H39381">
        <v>14884544</v>
      </c>
      <c r="I39381">
        <v>470247</v>
      </c>
      <c r="J39381">
        <v>4</v>
      </c>
    </row>
    <row r="39382" spans="1:10" x14ac:dyDescent="0.25">
      <c r="A39382" t="s">
        <v>401</v>
      </c>
      <c r="B39382" s="1" t="str">
        <f>HYPERLINK("http://shendi.com.cn","shendi.com.cn")</f>
        <v>shendi.com.cn</v>
      </c>
      <c r="C39382" t="s">
        <v>431</v>
      </c>
      <c r="D39382" t="s">
        <v>812</v>
      </c>
      <c r="F39382">
        <v>5.3536711191973098E-8</v>
      </c>
      <c r="G39382">
        <v>849650</v>
      </c>
      <c r="H39382">
        <v>11657437</v>
      </c>
      <c r="I39382">
        <v>29878990</v>
      </c>
      <c r="J39382">
        <v>5</v>
      </c>
    </row>
    <row r="39383" spans="1:10" x14ac:dyDescent="0.25">
      <c r="A39383" t="s">
        <v>401</v>
      </c>
      <c r="B39383" s="1" t="str">
        <f>HYPERLINK("http://disneycareers.cn","disneycareers.cn")</f>
        <v>disneycareers.cn</v>
      </c>
      <c r="C39383" t="s">
        <v>431</v>
      </c>
      <c r="D39383" t="s">
        <v>812</v>
      </c>
      <c r="F39383">
        <v>8.0813794819123495E-8</v>
      </c>
      <c r="G39383">
        <v>516663</v>
      </c>
      <c r="H39383">
        <v>12638121</v>
      </c>
      <c r="I39383">
        <v>15889860</v>
      </c>
      <c r="J39383">
        <v>5</v>
      </c>
    </row>
    <row r="39384" spans="1:10" x14ac:dyDescent="0.25">
      <c r="A39384" t="s">
        <v>401</v>
      </c>
      <c r="B39384" s="1" t="str">
        <f>HYPERLINK("http://hongkongdisneyland.cn","hongkongdisneyland.cn")</f>
        <v>hongkongdisneyland.cn</v>
      </c>
      <c r="C39384" t="s">
        <v>431</v>
      </c>
      <c r="D39384" t="s">
        <v>812</v>
      </c>
      <c r="F39384">
        <v>6.42220381178962E-9</v>
      </c>
      <c r="G39384">
        <v>14416225</v>
      </c>
      <c r="H39384">
        <v>11084522</v>
      </c>
      <c r="I39384">
        <v>32441268</v>
      </c>
      <c r="J39384">
        <v>4</v>
      </c>
    </row>
    <row r="39385" spans="1:10" x14ac:dyDescent="0.25">
      <c r="A39385" t="s">
        <v>401</v>
      </c>
      <c r="B39385" s="1" t="str">
        <f>HYPERLINK("http://espn.com.co","espn.com.co")</f>
        <v>espn.com.co</v>
      </c>
      <c r="C39385" t="s">
        <v>432</v>
      </c>
      <c r="E39385">
        <v>204473</v>
      </c>
      <c r="F39385">
        <v>7.7453835219347702E-8</v>
      </c>
      <c r="G39385">
        <v>540455</v>
      </c>
      <c r="H39385">
        <v>14650957</v>
      </c>
      <c r="I39385">
        <v>627048</v>
      </c>
      <c r="J39385">
        <v>5</v>
      </c>
    </row>
    <row r="39386" spans="1:10" x14ac:dyDescent="0.25">
      <c r="A39386" t="s">
        <v>401</v>
      </c>
      <c r="B39386" s="1" t="str">
        <f>HYPERLINK("http://hulu.co","hulu.co")</f>
        <v>hulu.co</v>
      </c>
      <c r="C39386" t="s">
        <v>432</v>
      </c>
      <c r="F39386">
        <v>4.4488491963104003E-9</v>
      </c>
      <c r="G39386">
        <v>72602392</v>
      </c>
      <c r="H39386">
        <v>9735458</v>
      </c>
      <c r="I39386">
        <v>63074882</v>
      </c>
      <c r="J39386">
        <v>4</v>
      </c>
    </row>
    <row r="39387" spans="1:10" x14ac:dyDescent="0.25">
      <c r="A39387" t="s">
        <v>401</v>
      </c>
      <c r="B39387" s="1" t="str">
        <f>HYPERLINK("http://20thcenturystudios.com","20thcenturystudios.com")</f>
        <v>20thcenturystudios.com</v>
      </c>
      <c r="C39387" t="s">
        <v>433</v>
      </c>
      <c r="E39387">
        <v>26044</v>
      </c>
      <c r="F39387">
        <v>1.38313297799096E-6</v>
      </c>
      <c r="G39387">
        <v>28184</v>
      </c>
      <c r="H39387">
        <v>15486337</v>
      </c>
      <c r="I39387">
        <v>377112</v>
      </c>
      <c r="J39387">
        <v>4</v>
      </c>
    </row>
    <row r="39388" spans="1:10" x14ac:dyDescent="0.25">
      <c r="A39388" t="s">
        <v>401</v>
      </c>
      <c r="B39388" s="1" t="str">
        <f>HYPERLINK("http://20thdigitalstudio.com","20thdigitalstudio.com")</f>
        <v>20thdigitalstudio.com</v>
      </c>
      <c r="C39388" t="s">
        <v>433</v>
      </c>
      <c r="F39388">
        <v>8.7602230272740896E-8</v>
      </c>
      <c r="G39388">
        <v>468257</v>
      </c>
      <c r="H39388">
        <v>12759864</v>
      </c>
      <c r="I39388">
        <v>14954852</v>
      </c>
      <c r="J39388">
        <v>5</v>
      </c>
    </row>
    <row r="39389" spans="1:10" x14ac:dyDescent="0.25">
      <c r="A39389" t="s">
        <v>401</v>
      </c>
      <c r="B39389" s="1" t="str">
        <f>HYPERLINK("http://20thtv.com","20thtv.com")</f>
        <v>20thtv.com</v>
      </c>
      <c r="C39389" t="s">
        <v>433</v>
      </c>
      <c r="F39389">
        <v>2.2595353369593799E-8</v>
      </c>
      <c r="G39389">
        <v>2318003</v>
      </c>
      <c r="H39389">
        <v>14076621</v>
      </c>
      <c r="I39389">
        <v>2883183</v>
      </c>
      <c r="J39389">
        <v>4</v>
      </c>
    </row>
    <row r="39390" spans="1:10" x14ac:dyDescent="0.25">
      <c r="A39390" t="s">
        <v>401</v>
      </c>
      <c r="B39390" s="1" t="str">
        <f>HYPERLINK("http://21cf.com","21cf.com")</f>
        <v>21cf.com</v>
      </c>
      <c r="C39390" t="s">
        <v>433</v>
      </c>
      <c r="E39390">
        <v>284512</v>
      </c>
      <c r="F39390">
        <v>3.9908356931584998E-7</v>
      </c>
      <c r="G39390">
        <v>94034</v>
      </c>
      <c r="H39390">
        <v>15123674</v>
      </c>
      <c r="I39390">
        <v>403227</v>
      </c>
      <c r="J39390">
        <v>3</v>
      </c>
    </row>
    <row r="39391" spans="1:10" x14ac:dyDescent="0.25">
      <c r="A39391" t="s">
        <v>401</v>
      </c>
      <c r="B39391" s="1" t="str">
        <f>HYPERLINK("http://abc.com","abc.com")</f>
        <v>abc.com</v>
      </c>
      <c r="C39391" t="s">
        <v>433</v>
      </c>
      <c r="E39391">
        <v>3450</v>
      </c>
      <c r="F39391">
        <v>3.15397493929606E-5</v>
      </c>
      <c r="G39391">
        <v>928</v>
      </c>
      <c r="H39391">
        <v>18665928</v>
      </c>
      <c r="I39391">
        <v>1086</v>
      </c>
      <c r="J39391">
        <v>4</v>
      </c>
    </row>
    <row r="39392" spans="1:10" x14ac:dyDescent="0.25">
      <c r="A39392" t="s">
        <v>401</v>
      </c>
      <c r="B39392" s="1" t="str">
        <f>HYPERLINK("http://abcenterprisesinc.com","abcenterprisesinc.com")</f>
        <v>abcenterprisesinc.com</v>
      </c>
      <c r="C39392" t="s">
        <v>433</v>
      </c>
      <c r="F39392">
        <v>4.7284586227182401E-9</v>
      </c>
      <c r="G39392">
        <v>39421641</v>
      </c>
      <c r="H39392">
        <v>10675165</v>
      </c>
      <c r="I39392">
        <v>42851822</v>
      </c>
      <c r="J39392">
        <v>3</v>
      </c>
    </row>
    <row r="39393" spans="1:10" x14ac:dyDescent="0.25">
      <c r="A39393" t="s">
        <v>401</v>
      </c>
      <c r="B39393" s="1" t="str">
        <f>HYPERLINK("http://aenetworks.com","aenetworks.com")</f>
        <v>aenetworks.com</v>
      </c>
      <c r="C39393" t="s">
        <v>433</v>
      </c>
      <c r="E39393">
        <v>115595</v>
      </c>
      <c r="F39393">
        <v>1.7327837636417899E-6</v>
      </c>
      <c r="G39393">
        <v>23062</v>
      </c>
      <c r="H39393">
        <v>17746888</v>
      </c>
      <c r="I39393">
        <v>6412</v>
      </c>
      <c r="J39393">
        <v>4</v>
      </c>
    </row>
    <row r="39394" spans="1:10" x14ac:dyDescent="0.25">
      <c r="A39394" t="s">
        <v>401</v>
      </c>
      <c r="B39394" s="1" t="str">
        <f>HYPERLINK("http://aetv.com","aetv.com")</f>
        <v>aetv.com</v>
      </c>
      <c r="C39394" t="s">
        <v>433</v>
      </c>
      <c r="E39394">
        <v>20174</v>
      </c>
      <c r="F39394">
        <v>2.90853615036573E-6</v>
      </c>
      <c r="G39394">
        <v>13290</v>
      </c>
      <c r="H39394">
        <v>17909620</v>
      </c>
      <c r="I39394">
        <v>4377</v>
      </c>
      <c r="J39394">
        <v>7</v>
      </c>
    </row>
    <row r="39395" spans="1:10" x14ac:dyDescent="0.25">
      <c r="A39395" t="s">
        <v>401</v>
      </c>
      <c r="B39395" s="1" t="str">
        <f>HYPERLINK("http://aidaontour.com","aidaontour.com")</f>
        <v>aidaontour.com</v>
      </c>
      <c r="C39395" t="s">
        <v>433</v>
      </c>
      <c r="F39395">
        <v>4.6013023387267001E-9</v>
      </c>
      <c r="G39395">
        <v>47507406</v>
      </c>
      <c r="H39395">
        <v>11023832</v>
      </c>
      <c r="I39395">
        <v>33196546</v>
      </c>
      <c r="J39395">
        <v>4</v>
      </c>
    </row>
    <row r="39396" spans="1:10" x14ac:dyDescent="0.25">
      <c r="A39396" t="s">
        <v>401</v>
      </c>
      <c r="B39396" s="1" t="str">
        <f>HYPERLINK("http://airprod.com","airprod.com")</f>
        <v>airprod.com</v>
      </c>
      <c r="C39396" t="s">
        <v>433</v>
      </c>
      <c r="F39396">
        <v>1.98353535796683E-8</v>
      </c>
      <c r="G39396">
        <v>2687557</v>
      </c>
      <c r="H39396">
        <v>14105504</v>
      </c>
      <c r="I39396">
        <v>2690839</v>
      </c>
      <c r="J39396">
        <v>14</v>
      </c>
    </row>
    <row r="39397" spans="1:10" x14ac:dyDescent="0.25">
      <c r="A39397" t="s">
        <v>401</v>
      </c>
      <c r="B39397" s="1" t="str">
        <f>HYPERLINK("http://amazingmoms.com","amazingmoms.com")</f>
        <v>amazingmoms.com</v>
      </c>
      <c r="C39397" t="s">
        <v>433</v>
      </c>
      <c r="F39397">
        <v>2.1238491910322699E-8</v>
      </c>
      <c r="G39397">
        <v>2482199</v>
      </c>
      <c r="H39397">
        <v>14560627</v>
      </c>
      <c r="I39397">
        <v>745854</v>
      </c>
      <c r="J39397">
        <v>7</v>
      </c>
    </row>
    <row r="39398" spans="1:10" x14ac:dyDescent="0.25">
      <c r="A39398" t="s">
        <v>401</v>
      </c>
      <c r="B39398" s="1" t="str">
        <f>HYPERLINK("http://amzinventor.com","amzinventor.com")</f>
        <v>amzinventor.com</v>
      </c>
      <c r="C39398" t="s">
        <v>433</v>
      </c>
      <c r="F39398">
        <v>7.8866753717121093E-9</v>
      </c>
      <c r="G39398">
        <v>10137989</v>
      </c>
      <c r="H39398">
        <v>13000977</v>
      </c>
      <c r="I39398">
        <v>12791367</v>
      </c>
      <c r="J39398">
        <v>7</v>
      </c>
    </row>
    <row r="39399" spans="1:10" x14ac:dyDescent="0.25">
      <c r="A39399" t="s">
        <v>401</v>
      </c>
      <c r="B39399" s="1" t="str">
        <f>HYPERLINK("http://babyeinstein.com","babyeinstein.com")</f>
        <v>babyeinstein.com</v>
      </c>
      <c r="C39399" t="s">
        <v>433</v>
      </c>
      <c r="E39399">
        <v>784283</v>
      </c>
      <c r="F39399">
        <v>4.0836136775144301E-8</v>
      </c>
      <c r="G39399">
        <v>1269755</v>
      </c>
      <c r="H39399">
        <v>14900839</v>
      </c>
      <c r="I39399">
        <v>462566</v>
      </c>
      <c r="J39399">
        <v>4</v>
      </c>
    </row>
    <row r="39400" spans="1:10" x14ac:dyDescent="0.25">
      <c r="A39400" t="s">
        <v>401</v>
      </c>
      <c r="B39400" s="1" t="str">
        <f>HYPERLINK("http://babytv.com","babytv.com")</f>
        <v>babytv.com</v>
      </c>
      <c r="C39400" t="s">
        <v>433</v>
      </c>
      <c r="E39400">
        <v>603363</v>
      </c>
      <c r="F39400">
        <v>9.9713340399096597E-8</v>
      </c>
      <c r="G39400">
        <v>403723</v>
      </c>
      <c r="H39400">
        <v>17187438</v>
      </c>
      <c r="I39400">
        <v>44124</v>
      </c>
      <c r="J39400">
        <v>4</v>
      </c>
    </row>
    <row r="39401" spans="1:10" x14ac:dyDescent="0.25">
      <c r="A39401" t="s">
        <v>401</v>
      </c>
      <c r="B39401" s="1" t="str">
        <f>HYPERLINK("http://bamtechmedia.com","bamtechmedia.com")</f>
        <v>bamtechmedia.com</v>
      </c>
      <c r="C39401" t="s">
        <v>433</v>
      </c>
      <c r="E39401">
        <v>550455</v>
      </c>
      <c r="F39401">
        <v>3.9861601120682897E-8</v>
      </c>
      <c r="G39401">
        <v>1296268</v>
      </c>
      <c r="H39401">
        <v>14334825</v>
      </c>
      <c r="I39401">
        <v>1320286</v>
      </c>
      <c r="J39401">
        <v>4</v>
      </c>
    </row>
    <row r="39402" spans="1:10" x14ac:dyDescent="0.25">
      <c r="A39402" t="s">
        <v>401</v>
      </c>
      <c r="B39402" s="1" t="str">
        <f>HYPERLINK("http://banijay.com","banijay.com")</f>
        <v>banijay.com</v>
      </c>
      <c r="C39402" t="s">
        <v>433</v>
      </c>
      <c r="E39402">
        <v>318277</v>
      </c>
      <c r="F39402">
        <v>1.6940933472712E-7</v>
      </c>
      <c r="G39402">
        <v>228996</v>
      </c>
      <c r="H39402">
        <v>14970541</v>
      </c>
      <c r="I39402">
        <v>433936</v>
      </c>
      <c r="J39402">
        <v>13</v>
      </c>
    </row>
    <row r="39403" spans="1:10" x14ac:dyDescent="0.25">
      <c r="A39403" t="s">
        <v>401</v>
      </c>
      <c r="B39403" s="1" t="str">
        <f>HYPERLINK("http://banijayrights.com","banijayrights.com")</f>
        <v>banijayrights.com</v>
      </c>
      <c r="C39403" t="s">
        <v>433</v>
      </c>
      <c r="F39403">
        <v>5.0325085040873098E-8</v>
      </c>
      <c r="G39403">
        <v>913709</v>
      </c>
      <c r="H39403">
        <v>14455035</v>
      </c>
      <c r="I39403">
        <v>1050124</v>
      </c>
      <c r="J39403">
        <v>18</v>
      </c>
    </row>
    <row r="39404" spans="1:10" x14ac:dyDescent="0.25">
      <c r="A39404" t="s">
        <v>401</v>
      </c>
      <c r="B39404" s="1" t="str">
        <f>HYPERLINK("http://banijayuk.com","banijayuk.com")</f>
        <v>banijayuk.com</v>
      </c>
      <c r="C39404" t="s">
        <v>433</v>
      </c>
      <c r="F39404">
        <v>1.44259185675737E-8</v>
      </c>
      <c r="G39404">
        <v>4048076</v>
      </c>
      <c r="H39404">
        <v>12117352</v>
      </c>
      <c r="I39404">
        <v>25476864</v>
      </c>
      <c r="J39404">
        <v>10</v>
      </c>
    </row>
    <row r="39405" spans="1:10" x14ac:dyDescent="0.25">
      <c r="A39405" t="s">
        <v>401</v>
      </c>
      <c r="B39405" s="1" t="str">
        <f>HYPERLINK("http://baohonguyenphi.com","baohonguyenphi.com")</f>
        <v>baohonguyenphi.com</v>
      </c>
      <c r="C39405" t="s">
        <v>433</v>
      </c>
      <c r="F39405">
        <v>6.6203714559640897E-9</v>
      </c>
      <c r="G39405">
        <v>13596747</v>
      </c>
      <c r="H39405">
        <v>9827225</v>
      </c>
      <c r="I39405">
        <v>62359761</v>
      </c>
      <c r="J39405">
        <v>9</v>
      </c>
    </row>
    <row r="39406" spans="1:10" x14ac:dyDescent="0.25">
      <c r="A39406" t="s">
        <v>401</v>
      </c>
      <c r="B39406" s="1" t="str">
        <f>HYPERLINK("http://bossastudios.com","bossastudios.com")</f>
        <v>bossastudios.com</v>
      </c>
      <c r="C39406" t="s">
        <v>433</v>
      </c>
      <c r="E39406">
        <v>513180</v>
      </c>
      <c r="F39406">
        <v>1.20797535967941E-7</v>
      </c>
      <c r="G39406">
        <v>327049</v>
      </c>
      <c r="H39406">
        <v>14727624</v>
      </c>
      <c r="I39406">
        <v>574343</v>
      </c>
      <c r="J39406">
        <v>4</v>
      </c>
    </row>
    <row r="39407" spans="1:10" x14ac:dyDescent="0.25">
      <c r="A39407" t="s">
        <v>401</v>
      </c>
      <c r="B39407" s="1" t="str">
        <f>HYPERLINK("http://bubbleshare.com","bubbleshare.com")</f>
        <v>bubbleshare.com</v>
      </c>
      <c r="C39407" t="s">
        <v>433</v>
      </c>
      <c r="E39407">
        <v>456479</v>
      </c>
      <c r="F39407">
        <v>1.19790696440506E-7</v>
      </c>
      <c r="G39407">
        <v>330021</v>
      </c>
      <c r="H39407">
        <v>17060136</v>
      </c>
      <c r="I39407">
        <v>74022</v>
      </c>
      <c r="J39407">
        <v>5</v>
      </c>
    </row>
    <row r="39408" spans="1:10" x14ac:dyDescent="0.25">
      <c r="A39408" t="s">
        <v>401</v>
      </c>
      <c r="B39408" s="1" t="str">
        <f>HYPERLINK("http://buenavistarecords.com","buenavistarecords.com")</f>
        <v>buenavistarecords.com</v>
      </c>
      <c r="C39408" t="s">
        <v>433</v>
      </c>
      <c r="J39408">
        <v>5</v>
      </c>
    </row>
    <row r="39409" spans="1:10" x14ac:dyDescent="0.25">
      <c r="A39409" t="s">
        <v>401</v>
      </c>
      <c r="B39409" s="1" t="str">
        <f>HYPERLINK("http://cameronmackintosh.com","cameronmackintosh.com")</f>
        <v>cameronmackintosh.com</v>
      </c>
      <c r="C39409" t="s">
        <v>433</v>
      </c>
      <c r="F39409">
        <v>1.30339890477181E-7</v>
      </c>
      <c r="G39409">
        <v>300263</v>
      </c>
      <c r="H39409">
        <v>17137844</v>
      </c>
      <c r="I39409">
        <v>54873</v>
      </c>
      <c r="J39409">
        <v>6</v>
      </c>
    </row>
    <row r="39410" spans="1:10" x14ac:dyDescent="0.25">
      <c r="A39410" t="s">
        <v>401</v>
      </c>
      <c r="B39410" s="1" t="str">
        <f>HYPERLINK("http://cartoonpizza.com","cartoonpizza.com")</f>
        <v>cartoonpizza.com</v>
      </c>
      <c r="C39410" t="s">
        <v>433</v>
      </c>
      <c r="F39410">
        <v>8.8739737536131395E-9</v>
      </c>
      <c r="G39410">
        <v>8185850</v>
      </c>
      <c r="H39410">
        <v>11276833</v>
      </c>
      <c r="I39410">
        <v>30727145</v>
      </c>
      <c r="J39410">
        <v>4</v>
      </c>
    </row>
    <row r="39411" spans="1:10" x14ac:dyDescent="0.25">
      <c r="A39411" t="s">
        <v>401</v>
      </c>
      <c r="B39411" s="1" t="str">
        <f>HYPERLINK("http://citvasia.com","citvasia.com")</f>
        <v>citvasia.com</v>
      </c>
      <c r="C39411" t="s">
        <v>433</v>
      </c>
      <c r="F39411">
        <v>6.2531272216362604E-9</v>
      </c>
      <c r="G39411">
        <v>15259161</v>
      </c>
      <c r="H39411">
        <v>14485303</v>
      </c>
      <c r="I39411">
        <v>1009539</v>
      </c>
      <c r="J39411">
        <v>5</v>
      </c>
    </row>
    <row r="39412" spans="1:10" x14ac:dyDescent="0.25">
      <c r="A39412" t="s">
        <v>401</v>
      </c>
      <c r="B39412" s="1" t="str">
        <f>HYPERLINK("http://club33.com","club33.com")</f>
        <v>club33.com</v>
      </c>
      <c r="C39412" t="s">
        <v>433</v>
      </c>
      <c r="F39412">
        <v>5.0317242986052302E-9</v>
      </c>
      <c r="G39412">
        <v>28629054</v>
      </c>
      <c r="H39412">
        <v>12705166</v>
      </c>
      <c r="I39412">
        <v>15327075</v>
      </c>
      <c r="J39412">
        <v>4</v>
      </c>
    </row>
    <row r="39413" spans="1:10" x14ac:dyDescent="0.25">
      <c r="A39413" t="s">
        <v>401</v>
      </c>
      <c r="B39413" s="1" t="str">
        <f>HYPERLINK("http://club33disneyland.com","club33disneyland.com")</f>
        <v>club33disneyland.com</v>
      </c>
      <c r="C39413" t="s">
        <v>433</v>
      </c>
      <c r="F39413">
        <v>5.3534820234472002E-9</v>
      </c>
      <c r="G39413">
        <v>22758511</v>
      </c>
      <c r="H39413">
        <v>14072062</v>
      </c>
      <c r="I39413">
        <v>3175852</v>
      </c>
      <c r="J39413">
        <v>5</v>
      </c>
    </row>
    <row r="39414" spans="1:10" x14ac:dyDescent="0.25">
      <c r="A39414" t="s">
        <v>401</v>
      </c>
      <c r="B39414" s="1" t="str">
        <f>HYPERLINK("http://cricinfo.com","cricinfo.com")</f>
        <v>cricinfo.com</v>
      </c>
      <c r="C39414" t="s">
        <v>433</v>
      </c>
      <c r="E39414">
        <v>63341</v>
      </c>
      <c r="F39414">
        <v>2.4198306092012002E-7</v>
      </c>
      <c r="G39414">
        <v>154605</v>
      </c>
      <c r="H39414">
        <v>17216252</v>
      </c>
      <c r="I39414">
        <v>39004</v>
      </c>
      <c r="J39414">
        <v>9</v>
      </c>
    </row>
    <row r="39415" spans="1:10" x14ac:dyDescent="0.25">
      <c r="A39415" t="s">
        <v>401</v>
      </c>
      <c r="B39415" s="1" t="str">
        <f>HYPERLINK("http://crossgen.com","crossgen.com")</f>
        <v>crossgen.com</v>
      </c>
      <c r="C39415" t="s">
        <v>433</v>
      </c>
      <c r="F39415">
        <v>1.14691914582609E-8</v>
      </c>
      <c r="G39415">
        <v>5526083</v>
      </c>
      <c r="H39415">
        <v>13784798</v>
      </c>
      <c r="I39415">
        <v>6408582</v>
      </c>
      <c r="J39415">
        <v>4</v>
      </c>
    </row>
    <row r="39416" spans="1:10" x14ac:dyDescent="0.25">
      <c r="A39416" t="s">
        <v>401</v>
      </c>
      <c r="B39416" s="1" t="str">
        <f>HYPERLINK("http://cuarzotv.com","cuarzotv.com")</f>
        <v>cuarzotv.com</v>
      </c>
      <c r="C39416" t="s">
        <v>433</v>
      </c>
      <c r="F39416">
        <v>7.4277216348523396E-9</v>
      </c>
      <c r="G39416">
        <v>11177485</v>
      </c>
      <c r="H39416">
        <v>13764005</v>
      </c>
      <c r="I39416">
        <v>7433793</v>
      </c>
      <c r="J39416">
        <v>14</v>
      </c>
    </row>
    <row r="39417" spans="1:10" x14ac:dyDescent="0.25">
      <c r="A39417" t="s">
        <v>401</v>
      </c>
      <c r="B39417" s="1" t="str">
        <f>HYPERLINK("http://d23.com","d23.com")</f>
        <v>d23.com</v>
      </c>
      <c r="C39417" t="s">
        <v>433</v>
      </c>
      <c r="E39417">
        <v>28896</v>
      </c>
      <c r="F39417">
        <v>1.5319106308863401E-6</v>
      </c>
      <c r="G39417">
        <v>25609</v>
      </c>
      <c r="H39417">
        <v>17448406</v>
      </c>
      <c r="I39417">
        <v>16246</v>
      </c>
      <c r="J39417">
        <v>4</v>
      </c>
    </row>
    <row r="39418" spans="1:10" x14ac:dyDescent="0.25">
      <c r="A39418" t="s">
        <v>401</v>
      </c>
      <c r="B39418" s="1" t="str">
        <f>HYPERLINK("http://daominhha.com","daominhha.com")</f>
        <v>daominhha.com</v>
      </c>
      <c r="C39418" t="s">
        <v>433</v>
      </c>
      <c r="F39418">
        <v>1.2591622567495101E-8</v>
      </c>
      <c r="G39418">
        <v>4835140</v>
      </c>
      <c r="H39418">
        <v>12895372</v>
      </c>
      <c r="I39418">
        <v>13900424</v>
      </c>
      <c r="J39418">
        <v>10</v>
      </c>
    </row>
    <row r="39419" spans="1:10" x14ac:dyDescent="0.25">
      <c r="A39419" t="s">
        <v>401</v>
      </c>
      <c r="B39419" s="1" t="str">
        <f>HYPERLINK("http://darlowsmithson.com","darlowsmithson.com")</f>
        <v>darlowsmithson.com</v>
      </c>
      <c r="C39419" t="s">
        <v>433</v>
      </c>
      <c r="F39419">
        <v>6.96480683515379E-9</v>
      </c>
      <c r="G39419">
        <v>12417479</v>
      </c>
      <c r="H39419">
        <v>14156158</v>
      </c>
      <c r="I39419">
        <v>1856370</v>
      </c>
      <c r="J39419">
        <v>18</v>
      </c>
    </row>
    <row r="39420" spans="1:10" x14ac:dyDescent="0.25">
      <c r="A39420" t="s">
        <v>401</v>
      </c>
      <c r="B39420" s="1" t="str">
        <f>HYPERLINK("http://dewynters.com","dewynters.com")</f>
        <v>dewynters.com</v>
      </c>
      <c r="C39420" t="s">
        <v>433</v>
      </c>
      <c r="F39420">
        <v>3.0490358535819197E-8</v>
      </c>
      <c r="G39420">
        <v>1688769</v>
      </c>
      <c r="H39420">
        <v>13771366</v>
      </c>
      <c r="I39420">
        <v>6696346</v>
      </c>
      <c r="J39420">
        <v>23</v>
      </c>
    </row>
    <row r="39421" spans="1:10" x14ac:dyDescent="0.25">
      <c r="A39421" t="s">
        <v>401</v>
      </c>
      <c r="B39421" s="1" t="str">
        <f>HYPERLINK("http://dgepress.com","dgepress.com")</f>
        <v>dgepress.com</v>
      </c>
      <c r="C39421" t="s">
        <v>433</v>
      </c>
      <c r="E39421">
        <v>179409</v>
      </c>
      <c r="F39421">
        <v>5.4244409029792398E-7</v>
      </c>
      <c r="G39421">
        <v>71222</v>
      </c>
      <c r="H39421">
        <v>14915105</v>
      </c>
      <c r="I39421">
        <v>454702</v>
      </c>
      <c r="J39421">
        <v>4</v>
      </c>
    </row>
    <row r="39422" spans="1:10" x14ac:dyDescent="0.25">
      <c r="A39422" t="s">
        <v>401</v>
      </c>
      <c r="B39422" s="1" t="str">
        <f>HYPERLINK("http://dig.com","dig.com")</f>
        <v>dig.com</v>
      </c>
      <c r="C39422" t="s">
        <v>433</v>
      </c>
      <c r="E39422">
        <v>61498</v>
      </c>
      <c r="F39422">
        <v>3.4235232798593201E-8</v>
      </c>
      <c r="G39422">
        <v>1513963</v>
      </c>
      <c r="H39422">
        <v>14251593</v>
      </c>
      <c r="I39422">
        <v>1443763</v>
      </c>
      <c r="J39422">
        <v>4</v>
      </c>
    </row>
    <row r="39423" spans="1:10" x14ac:dyDescent="0.25">
      <c r="A39423" t="s">
        <v>401</v>
      </c>
      <c r="B39423" s="1" t="str">
        <f>HYPERLINK("http://disney.com","disney.com")</f>
        <v>disney.com</v>
      </c>
      <c r="C39423" t="s">
        <v>433</v>
      </c>
      <c r="E39423">
        <v>1471</v>
      </c>
      <c r="F39423">
        <v>1.7145519250747101E-5</v>
      </c>
      <c r="G39423">
        <v>1949</v>
      </c>
      <c r="H39423">
        <v>18332822</v>
      </c>
      <c r="I39423">
        <v>2226</v>
      </c>
      <c r="J39423">
        <v>3</v>
      </c>
    </row>
    <row r="39424" spans="1:10" x14ac:dyDescent="0.25">
      <c r="A39424" t="s">
        <v>401</v>
      </c>
      <c r="B39424" s="1" t="str">
        <f>HYPERLINK("http://disneyabctv.com","disneyabctv.com")</f>
        <v>disneyabctv.com</v>
      </c>
      <c r="C39424" t="s">
        <v>433</v>
      </c>
      <c r="F39424">
        <v>3.33484000358964E-8</v>
      </c>
      <c r="G39424">
        <v>1549828</v>
      </c>
      <c r="H39424">
        <v>14840671</v>
      </c>
      <c r="I39424">
        <v>497246</v>
      </c>
      <c r="J39424">
        <v>5</v>
      </c>
    </row>
    <row r="39425" spans="1:10" x14ac:dyDescent="0.25">
      <c r="A39425" t="s">
        <v>401</v>
      </c>
      <c r="B39425" s="1" t="str">
        <f>HYPERLINK("http://disneyadsales.com","disneyadsales.com")</f>
        <v>disneyadsales.com</v>
      </c>
      <c r="C39425" t="s">
        <v>433</v>
      </c>
      <c r="E39425">
        <v>350096</v>
      </c>
      <c r="F39425">
        <v>4.6638096070131698E-7</v>
      </c>
      <c r="G39425">
        <v>81239</v>
      </c>
      <c r="H39425">
        <v>13875614</v>
      </c>
      <c r="I39425">
        <v>5990446</v>
      </c>
      <c r="J39425">
        <v>8</v>
      </c>
    </row>
    <row r="39426" spans="1:10" x14ac:dyDescent="0.25">
      <c r="A39426" t="s">
        <v>401</v>
      </c>
      <c r="B39426" s="1" t="str">
        <f>HYPERLINK("http://disneyanimation.com","disneyanimation.com")</f>
        <v>disneyanimation.com</v>
      </c>
      <c r="C39426" t="s">
        <v>433</v>
      </c>
      <c r="E39426">
        <v>113739</v>
      </c>
      <c r="F39426">
        <v>5.0761832319766805E-7</v>
      </c>
      <c r="G39426">
        <v>75432</v>
      </c>
      <c r="H39426">
        <v>17338838</v>
      </c>
      <c r="I39426">
        <v>24100</v>
      </c>
      <c r="J39426">
        <v>4</v>
      </c>
    </row>
    <row r="39427" spans="1:10" x14ac:dyDescent="0.25">
      <c r="A39427" t="s">
        <v>401</v>
      </c>
      <c r="B39427" s="1" t="str">
        <f>HYPERLINK("http://disneycareers.com","disneycareers.com")</f>
        <v>disneycareers.com</v>
      </c>
      <c r="C39427" t="s">
        <v>433</v>
      </c>
      <c r="E39427">
        <v>23496</v>
      </c>
      <c r="F39427">
        <v>1.47812930602175E-6</v>
      </c>
      <c r="G39427">
        <v>26537</v>
      </c>
      <c r="H39427">
        <v>14919615</v>
      </c>
      <c r="I39427">
        <v>452301</v>
      </c>
      <c r="J39427">
        <v>4</v>
      </c>
    </row>
    <row r="39428" spans="1:10" x14ac:dyDescent="0.25">
      <c r="A39428" t="s">
        <v>401</v>
      </c>
      <c r="B39428" s="1" t="str">
        <f>HYPERLINK("http://disneyconsumerproducts.com","disneyconsumerproducts.com")</f>
        <v>disneyconsumerproducts.com</v>
      </c>
      <c r="C39428" t="s">
        <v>433</v>
      </c>
      <c r="E39428">
        <v>812117</v>
      </c>
      <c r="F39428">
        <v>6.1538299722436906E-8</v>
      </c>
      <c r="G39428">
        <v>715086</v>
      </c>
      <c r="H39428">
        <v>14879413</v>
      </c>
      <c r="I39428">
        <v>473125</v>
      </c>
      <c r="J39428">
        <v>4</v>
      </c>
    </row>
    <row r="39429" spans="1:10" x14ac:dyDescent="0.25">
      <c r="A39429" t="s">
        <v>401</v>
      </c>
      <c r="B39429" s="1" t="str">
        <f>HYPERLINK("http://disneycruise.com","disneycruise.com")</f>
        <v>disneycruise.com</v>
      </c>
      <c r="C39429" t="s">
        <v>433</v>
      </c>
      <c r="E39429">
        <v>703093</v>
      </c>
      <c r="F39429">
        <v>9.0403418121266901E-8</v>
      </c>
      <c r="G39429">
        <v>451267</v>
      </c>
      <c r="H39429">
        <v>14915677</v>
      </c>
      <c r="I39429">
        <v>454390</v>
      </c>
      <c r="J39429">
        <v>4</v>
      </c>
    </row>
    <row r="39430" spans="1:10" x14ac:dyDescent="0.25">
      <c r="A39430" t="s">
        <v>401</v>
      </c>
      <c r="B39430" s="1" t="str">
        <f>HYPERLINK("http://disneyecom.com","disneyecom.com")</f>
        <v>disneyecom.com</v>
      </c>
      <c r="C39430" t="s">
        <v>433</v>
      </c>
      <c r="F39430">
        <v>4.4438152872977804E-9</v>
      </c>
      <c r="G39430">
        <v>79364122</v>
      </c>
      <c r="H39430">
        <v>10358497</v>
      </c>
      <c r="I39430">
        <v>55353635</v>
      </c>
      <c r="J39430">
        <v>4</v>
      </c>
    </row>
    <row r="39431" spans="1:10" x14ac:dyDescent="0.25">
      <c r="A39431" t="s">
        <v>401</v>
      </c>
      <c r="B39431" s="1" t="str">
        <f>HYPERLINK("http://disneyenglish.com","disneyenglish.com")</f>
        <v>disneyenglish.com</v>
      </c>
      <c r="C39431" t="s">
        <v>433</v>
      </c>
      <c r="F39431">
        <v>3.4149530506457298E-8</v>
      </c>
      <c r="G39431">
        <v>1517227</v>
      </c>
      <c r="H39431">
        <v>13856082</v>
      </c>
      <c r="I39431">
        <v>6044650</v>
      </c>
      <c r="J39431">
        <v>6</v>
      </c>
    </row>
    <row r="39432" spans="1:10" x14ac:dyDescent="0.25">
      <c r="A39432" t="s">
        <v>401</v>
      </c>
      <c r="B39432" s="1" t="str">
        <f>HYPERLINK("http://disneygoldenoakclub.com","disneygoldenoakclub.com")</f>
        <v>disneygoldenoakclub.com</v>
      </c>
      <c r="C39432" t="s">
        <v>433</v>
      </c>
      <c r="F39432">
        <v>5.5998809603916804E-9</v>
      </c>
      <c r="G39432">
        <v>19858417</v>
      </c>
      <c r="H39432">
        <v>11117762</v>
      </c>
      <c r="I39432">
        <v>32072583</v>
      </c>
      <c r="J39432">
        <v>4</v>
      </c>
    </row>
    <row r="39433" spans="1:10" x14ac:dyDescent="0.25">
      <c r="A39433" t="s">
        <v>401</v>
      </c>
      <c r="B39433" s="1" t="str">
        <f>HYPERLINK("http://disneyinteractive.com","disneyinteractive.com")</f>
        <v>disneyinteractive.com</v>
      </c>
      <c r="C39433" t="s">
        <v>433</v>
      </c>
      <c r="E39433">
        <v>938935</v>
      </c>
      <c r="F39433">
        <v>8.7966999604395495E-8</v>
      </c>
      <c r="G39433">
        <v>465951</v>
      </c>
      <c r="H39433">
        <v>14484898</v>
      </c>
      <c r="I39433">
        <v>1020955</v>
      </c>
      <c r="J39433">
        <v>4</v>
      </c>
    </row>
    <row r="39434" spans="1:10" x14ac:dyDescent="0.25">
      <c r="A39434" t="s">
        <v>401</v>
      </c>
      <c r="B39434" s="1" t="str">
        <f>HYPERLINK("http://disneyinteractivestudios.com","disneyinteractivestudios.com")</f>
        <v>disneyinteractivestudios.com</v>
      </c>
      <c r="C39434" t="s">
        <v>433</v>
      </c>
      <c r="F39434">
        <v>6.9871427898660101E-9</v>
      </c>
      <c r="G39434">
        <v>12350055</v>
      </c>
      <c r="H39434">
        <v>13764461</v>
      </c>
      <c r="I39434">
        <v>7262013</v>
      </c>
      <c r="J39434">
        <v>6</v>
      </c>
    </row>
    <row r="39435" spans="1:10" x14ac:dyDescent="0.25">
      <c r="A39435" t="s">
        <v>401</v>
      </c>
      <c r="B39435" s="1" t="str">
        <f>HYPERLINK("http://disneyland.com","disneyland.com")</f>
        <v>disneyland.com</v>
      </c>
      <c r="C39435" t="s">
        <v>433</v>
      </c>
      <c r="E39435">
        <v>227105</v>
      </c>
      <c r="F39435">
        <v>2.24470538389932E-7</v>
      </c>
      <c r="G39435">
        <v>167898</v>
      </c>
      <c r="H39435">
        <v>14699947</v>
      </c>
      <c r="I39435">
        <v>593261</v>
      </c>
      <c r="J39435">
        <v>6</v>
      </c>
    </row>
    <row r="39436" spans="1:10" x14ac:dyDescent="0.25">
      <c r="A39436" t="s">
        <v>401</v>
      </c>
      <c r="B39436" s="1" t="str">
        <f>HYPERLINK("http://disneylandparis.com","disneylandparis.com")</f>
        <v>disneylandparis.com</v>
      </c>
      <c r="C39436" t="s">
        <v>433</v>
      </c>
      <c r="E39436">
        <v>15089</v>
      </c>
      <c r="F39436">
        <v>1.60154337442122E-6</v>
      </c>
      <c r="G39436">
        <v>24587</v>
      </c>
      <c r="H39436">
        <v>17415354</v>
      </c>
      <c r="I39436">
        <v>18171</v>
      </c>
      <c r="J39436">
        <v>4</v>
      </c>
    </row>
    <row r="39437" spans="1:10" x14ac:dyDescent="0.25">
      <c r="A39437" t="s">
        <v>401</v>
      </c>
      <c r="B39437" s="1" t="str">
        <f>HYPERLINK("http://disneylandparis-casting.com","disneylandparis-casting.com")</f>
        <v>disneylandparis-casting.com</v>
      </c>
      <c r="C39437" t="s">
        <v>433</v>
      </c>
      <c r="F39437">
        <v>2.7362604972205102E-8</v>
      </c>
      <c r="G39437">
        <v>1878887</v>
      </c>
      <c r="H39437">
        <v>14244339</v>
      </c>
      <c r="I39437">
        <v>1472279</v>
      </c>
      <c r="J39437">
        <v>7</v>
      </c>
    </row>
    <row r="39438" spans="1:10" x14ac:dyDescent="0.25">
      <c r="A39438" t="s">
        <v>401</v>
      </c>
      <c r="B39438" s="1" t="str">
        <f>HYPERLINK("http://disneylatino.com","disneylatino.com")</f>
        <v>disneylatino.com</v>
      </c>
      <c r="C39438" t="s">
        <v>433</v>
      </c>
      <c r="E39438">
        <v>93560</v>
      </c>
      <c r="F39438">
        <v>6.5697993012476696E-7</v>
      </c>
      <c r="G39438">
        <v>58626</v>
      </c>
      <c r="H39438">
        <v>17351016</v>
      </c>
      <c r="I39438">
        <v>22986</v>
      </c>
      <c r="J39438">
        <v>4</v>
      </c>
    </row>
    <row r="39439" spans="1:10" x14ac:dyDescent="0.25">
      <c r="A39439" t="s">
        <v>401</v>
      </c>
      <c r="B39439" s="1" t="str">
        <f>HYPERLINK("http://disneymusicalsinschools.com","disneymusicalsinschools.com")</f>
        <v>disneymusicalsinschools.com</v>
      </c>
      <c r="C39439" t="s">
        <v>433</v>
      </c>
      <c r="F39439">
        <v>3.6490765167561997E-8</v>
      </c>
      <c r="G39439">
        <v>1430885</v>
      </c>
      <c r="H39439">
        <v>12964803</v>
      </c>
      <c r="I39439">
        <v>13128965</v>
      </c>
      <c r="J39439">
        <v>4</v>
      </c>
    </row>
    <row r="39440" spans="1:10" x14ac:dyDescent="0.25">
      <c r="A39440" t="s">
        <v>401</v>
      </c>
      <c r="B39440" s="1" t="str">
        <f>HYPERLINK("http://disneyonbroadway.com","disneyonbroadway.com")</f>
        <v>disneyonbroadway.com</v>
      </c>
      <c r="C39440" t="s">
        <v>433</v>
      </c>
      <c r="E39440">
        <v>381129</v>
      </c>
      <c r="F39440">
        <v>1.7199942392382001E-7</v>
      </c>
      <c r="G39440">
        <v>225481</v>
      </c>
      <c r="H39440">
        <v>14671940</v>
      </c>
      <c r="I39440">
        <v>613507</v>
      </c>
      <c r="J39440">
        <v>4</v>
      </c>
    </row>
    <row r="39441" spans="1:10" x14ac:dyDescent="0.25">
      <c r="A39441" t="s">
        <v>401</v>
      </c>
      <c r="B39441" s="1" t="str">
        <f>HYPERLINK("http://disneyplus.com","disneyplus.com")</f>
        <v>disneyplus.com</v>
      </c>
      <c r="C39441" t="s">
        <v>433</v>
      </c>
      <c r="E39441">
        <v>901</v>
      </c>
      <c r="F39441">
        <v>6.5442810002690997E-6</v>
      </c>
      <c r="G39441">
        <v>5188</v>
      </c>
      <c r="H39441">
        <v>17845506</v>
      </c>
      <c r="I39441">
        <v>5034</v>
      </c>
      <c r="J39441">
        <v>4</v>
      </c>
    </row>
    <row r="39442" spans="1:10" x14ac:dyDescent="0.25">
      <c r="A39442" t="s">
        <v>401</v>
      </c>
      <c r="B39442" s="1" t="str">
        <f>HYPERLINK("http://disneypublishing.com","disneypublishing.com")</f>
        <v>disneypublishing.com</v>
      </c>
      <c r="C39442" t="s">
        <v>433</v>
      </c>
      <c r="E39442">
        <v>599001</v>
      </c>
      <c r="F39442">
        <v>2.8953778811419901E-8</v>
      </c>
      <c r="G39442">
        <v>1778170</v>
      </c>
      <c r="H39442">
        <v>14503066</v>
      </c>
      <c r="I39442">
        <v>844013</v>
      </c>
      <c r="J39442">
        <v>5</v>
      </c>
    </row>
    <row r="39443" spans="1:10" x14ac:dyDescent="0.25">
      <c r="A39443" t="s">
        <v>401</v>
      </c>
      <c r="B39443" s="1" t="str">
        <f>HYPERLINK("http://disneystore.com","disneystore.com")</f>
        <v>disneystore.com</v>
      </c>
      <c r="C39443" t="s">
        <v>433</v>
      </c>
      <c r="E39443">
        <v>42945</v>
      </c>
      <c r="F39443">
        <v>6.5055195051790299E-7</v>
      </c>
      <c r="G39443">
        <v>59172</v>
      </c>
      <c r="H39443">
        <v>15617225</v>
      </c>
      <c r="I39443">
        <v>371576</v>
      </c>
      <c r="J39443">
        <v>5</v>
      </c>
    </row>
    <row r="39444" spans="1:10" x14ac:dyDescent="0.25">
      <c r="A39444" t="s">
        <v>401</v>
      </c>
      <c r="B39444" s="1" t="str">
        <f>HYPERLINK("http://disneystudiosaustralia.com","disneystudiosaustralia.com")</f>
        <v>disneystudiosaustralia.com</v>
      </c>
      <c r="C39444" t="s">
        <v>433</v>
      </c>
      <c r="F39444">
        <v>6.2771616620352099E-9</v>
      </c>
      <c r="G39444">
        <v>15140893</v>
      </c>
      <c r="H39444">
        <v>14071790</v>
      </c>
      <c r="I39444">
        <v>3482081</v>
      </c>
      <c r="J39444">
        <v>4</v>
      </c>
    </row>
    <row r="39445" spans="1:10" x14ac:dyDescent="0.25">
      <c r="A39445" t="s">
        <v>401</v>
      </c>
      <c r="B39445" s="1" t="str">
        <f>HYPERLINK("http://disneytechjobs.com","disneytechjobs.com")</f>
        <v>disneytechjobs.com</v>
      </c>
      <c r="C39445" t="s">
        <v>433</v>
      </c>
      <c r="F39445">
        <v>1.1274624869503799E-8</v>
      </c>
      <c r="G39445">
        <v>5660148</v>
      </c>
      <c r="H39445">
        <v>12564983</v>
      </c>
      <c r="I39445">
        <v>16666579</v>
      </c>
      <c r="J39445">
        <v>5</v>
      </c>
    </row>
    <row r="39446" spans="1:10" x14ac:dyDescent="0.25">
      <c r="A39446" t="s">
        <v>401</v>
      </c>
      <c r="B39446" s="1" t="str">
        <f>HYPERLINK("http://disneytheatricallicensing.com","disneytheatricallicensing.com")</f>
        <v>disneytheatricallicensing.com</v>
      </c>
      <c r="C39446" t="s">
        <v>433</v>
      </c>
      <c r="F39446">
        <v>4.7350737350342803E-8</v>
      </c>
      <c r="G39446">
        <v>984147</v>
      </c>
      <c r="H39446">
        <v>13209612</v>
      </c>
      <c r="I39446">
        <v>11506097</v>
      </c>
      <c r="J39446">
        <v>4</v>
      </c>
    </row>
    <row r="39447" spans="1:10" x14ac:dyDescent="0.25">
      <c r="A39447" t="s">
        <v>401</v>
      </c>
      <c r="B39447" s="1" t="str">
        <f>HYPERLINK("http://disneytheatricalsales.com","disneytheatricalsales.com")</f>
        <v>disneytheatricalsales.com</v>
      </c>
      <c r="C39447" t="s">
        <v>433</v>
      </c>
      <c r="F39447">
        <v>2.57927157296956E-8</v>
      </c>
      <c r="G39447">
        <v>1998465</v>
      </c>
      <c r="H39447">
        <v>14101577</v>
      </c>
      <c r="I39447">
        <v>2701339</v>
      </c>
      <c r="J39447">
        <v>4</v>
      </c>
    </row>
    <row r="39448" spans="1:10" x14ac:dyDescent="0.25">
      <c r="A39448" t="s">
        <v>401</v>
      </c>
      <c r="B39448" s="1" t="str">
        <f>HYPERLINK("http://dmisnycapplication.com","dmisnycapplication.com")</f>
        <v>dmisnycapplication.com</v>
      </c>
      <c r="C39448" t="s">
        <v>433</v>
      </c>
      <c r="F39448">
        <v>4.4438539297498102E-9</v>
      </c>
      <c r="G39448">
        <v>78362373</v>
      </c>
      <c r="H39448">
        <v>10546614</v>
      </c>
      <c r="I39448">
        <v>46858423</v>
      </c>
      <c r="J39448">
        <v>4</v>
      </c>
    </row>
    <row r="39449" spans="1:10" x14ac:dyDescent="0.25">
      <c r="A39449" t="s">
        <v>401</v>
      </c>
      <c r="B39449" s="1" t="str">
        <f>HYPERLINK("http://endemol.com","endemol.com")</f>
        <v>endemol.com</v>
      </c>
      <c r="C39449" t="s">
        <v>433</v>
      </c>
      <c r="F39449">
        <v>5.3221362934929801E-8</v>
      </c>
      <c r="G39449">
        <v>855404</v>
      </c>
      <c r="H39449">
        <v>14874867</v>
      </c>
      <c r="I39449">
        <v>475853</v>
      </c>
      <c r="J39449">
        <v>6</v>
      </c>
    </row>
    <row r="39450" spans="1:10" x14ac:dyDescent="0.25">
      <c r="A39450" t="s">
        <v>401</v>
      </c>
      <c r="B39450" s="1" t="str">
        <f>HYPERLINK("http://endemolshinegroup.com","endemolshinegroup.com")</f>
        <v>endemolshinegroup.com</v>
      </c>
      <c r="C39450" t="s">
        <v>433</v>
      </c>
      <c r="F39450">
        <v>2.1204487263878299E-7</v>
      </c>
      <c r="G39450">
        <v>178134</v>
      </c>
      <c r="H39450">
        <v>15098160</v>
      </c>
      <c r="I39450">
        <v>406749</v>
      </c>
      <c r="J39450">
        <v>4</v>
      </c>
    </row>
    <row r="39451" spans="1:10" x14ac:dyDescent="0.25">
      <c r="A39451" t="s">
        <v>401</v>
      </c>
      <c r="B39451" s="1" t="str">
        <f>HYPERLINK("http://endemolshineuk.com","endemolshineuk.com")</f>
        <v>endemolshineuk.com</v>
      </c>
      <c r="C39451" t="s">
        <v>433</v>
      </c>
      <c r="F39451">
        <v>6.5879829105189799E-8</v>
      </c>
      <c r="G39451">
        <v>651751</v>
      </c>
      <c r="H39451">
        <v>14708628</v>
      </c>
      <c r="I39451">
        <v>585032</v>
      </c>
      <c r="J39451">
        <v>7</v>
      </c>
    </row>
    <row r="39452" spans="1:10" x14ac:dyDescent="0.25">
      <c r="A39452" t="s">
        <v>401</v>
      </c>
      <c r="B39452" s="1" t="str">
        <f>HYPERLINK("http://endemoluk.com","endemoluk.com")</f>
        <v>endemoluk.com</v>
      </c>
      <c r="C39452" t="s">
        <v>433</v>
      </c>
      <c r="F39452">
        <v>2.3859510984657698E-8</v>
      </c>
      <c r="G39452">
        <v>2177004</v>
      </c>
      <c r="H39452">
        <v>14817419</v>
      </c>
      <c r="I39452">
        <v>521555</v>
      </c>
      <c r="J39452">
        <v>11</v>
      </c>
    </row>
    <row r="39453" spans="1:10" x14ac:dyDescent="0.25">
      <c r="A39453" t="s">
        <v>401</v>
      </c>
      <c r="B39453" s="1" t="str">
        <f>HYPERLINK("http://espn.com","espn.com")</f>
        <v>espn.com</v>
      </c>
      <c r="C39453" t="s">
        <v>433</v>
      </c>
      <c r="E39453">
        <v>265</v>
      </c>
      <c r="F39453">
        <v>1.81466813995333E-5</v>
      </c>
      <c r="G39453">
        <v>1845</v>
      </c>
      <c r="H39453">
        <v>18327612</v>
      </c>
      <c r="I39453">
        <v>2250</v>
      </c>
      <c r="J39453">
        <v>4</v>
      </c>
    </row>
    <row r="39454" spans="1:10" x14ac:dyDescent="0.25">
      <c r="A39454" t="s">
        <v>401</v>
      </c>
      <c r="B39454" s="1" t="str">
        <f>HYPERLINK("http://espn-plus.com","espn-plus.com")</f>
        <v>espn-plus.com</v>
      </c>
      <c r="C39454" t="s">
        <v>433</v>
      </c>
      <c r="F39454">
        <v>7.0759599113118103E-9</v>
      </c>
      <c r="G39454">
        <v>12082519</v>
      </c>
      <c r="H39454">
        <v>12667401</v>
      </c>
      <c r="I39454">
        <v>15643185</v>
      </c>
      <c r="J39454">
        <v>5</v>
      </c>
    </row>
    <row r="39455" spans="1:10" x14ac:dyDescent="0.25">
      <c r="A39455" t="s">
        <v>401</v>
      </c>
      <c r="B39455" s="1" t="str">
        <f>HYPERLINK("http://espn3.com","espn3.com")</f>
        <v>espn3.com</v>
      </c>
      <c r="C39455" t="s">
        <v>433</v>
      </c>
      <c r="E39455">
        <v>274254</v>
      </c>
      <c r="F39455">
        <v>6.4523087523072795E-8</v>
      </c>
      <c r="G39455">
        <v>670514</v>
      </c>
      <c r="H39455">
        <v>14232513</v>
      </c>
      <c r="I39455">
        <v>1671797</v>
      </c>
      <c r="J39455">
        <v>8</v>
      </c>
    </row>
    <row r="39456" spans="1:10" x14ac:dyDescent="0.25">
      <c r="A39456" t="s">
        <v>401</v>
      </c>
      <c r="B39456" s="1" t="str">
        <f>HYPERLINK("http://espncareers.com","espncareers.com")</f>
        <v>espncareers.com</v>
      </c>
      <c r="C39456" t="s">
        <v>433</v>
      </c>
      <c r="E39456">
        <v>202348</v>
      </c>
      <c r="F39456">
        <v>1.1785187365468099E-7</v>
      </c>
      <c r="G39456">
        <v>336526</v>
      </c>
      <c r="H39456">
        <v>14625092</v>
      </c>
      <c r="I39456">
        <v>651499</v>
      </c>
      <c r="J39456">
        <v>7</v>
      </c>
    </row>
    <row r="39457" spans="1:10" x14ac:dyDescent="0.25">
      <c r="A39457" t="s">
        <v>401</v>
      </c>
      <c r="B39457" s="1" t="str">
        <f>HYPERLINK("http://espncricinfo.com","espncricinfo.com")</f>
        <v>espncricinfo.com</v>
      </c>
      <c r="C39457" t="s">
        <v>433</v>
      </c>
      <c r="E39457">
        <v>1277</v>
      </c>
      <c r="F39457">
        <v>2.8700379519527301E-6</v>
      </c>
      <c r="G39457">
        <v>13437</v>
      </c>
      <c r="H39457">
        <v>17841022</v>
      </c>
      <c r="I39457">
        <v>5082</v>
      </c>
      <c r="J39457">
        <v>6</v>
      </c>
    </row>
    <row r="39458" spans="1:10" x14ac:dyDescent="0.25">
      <c r="A39458" t="s">
        <v>401</v>
      </c>
      <c r="B39458" s="1" t="str">
        <f>HYPERLINK("http://espnmediazone.com","espnmediazone.com")</f>
        <v>espnmediazone.com</v>
      </c>
      <c r="C39458" t="s">
        <v>433</v>
      </c>
      <c r="E39458">
        <v>93855</v>
      </c>
      <c r="F39458">
        <v>1.5539590056649599E-6</v>
      </c>
      <c r="G39458">
        <v>25263</v>
      </c>
      <c r="H39458">
        <v>16371193</v>
      </c>
      <c r="I39458">
        <v>365112</v>
      </c>
      <c r="J39458">
        <v>3</v>
      </c>
    </row>
    <row r="39459" spans="1:10" x14ac:dyDescent="0.25">
      <c r="A39459" t="s">
        <v>401</v>
      </c>
      <c r="B39459" s="1" t="str">
        <f>HYPERLINK("http://espnzone.com","espnzone.com")</f>
        <v>espnzone.com</v>
      </c>
      <c r="C39459" t="s">
        <v>433</v>
      </c>
      <c r="F39459">
        <v>3.0708063301008202E-8</v>
      </c>
      <c r="G39459">
        <v>1677529</v>
      </c>
      <c r="H39459">
        <v>14552910</v>
      </c>
      <c r="I39459">
        <v>756143</v>
      </c>
      <c r="J39459">
        <v>4</v>
      </c>
    </row>
    <row r="39460" spans="1:10" x14ac:dyDescent="0.25">
      <c r="A39460" t="s">
        <v>401</v>
      </c>
      <c r="B39460" s="1" t="str">
        <f>HYPERLINK("http://eurodisney.com","eurodisney.com")</f>
        <v>eurodisney.com</v>
      </c>
      <c r="C39460" t="s">
        <v>433</v>
      </c>
      <c r="F39460">
        <v>1.40522086908386E-8</v>
      </c>
      <c r="G39460">
        <v>4183243</v>
      </c>
      <c r="H39460">
        <v>14079377</v>
      </c>
      <c r="I39460">
        <v>2833553</v>
      </c>
      <c r="J39460">
        <v>4</v>
      </c>
    </row>
    <row r="39461" spans="1:10" x14ac:dyDescent="0.25">
      <c r="A39461" t="s">
        <v>401</v>
      </c>
      <c r="B39461" s="1" t="str">
        <f>HYPERLINK("http://ewindnet.com","ewindnet.com")</f>
        <v>ewindnet.com</v>
      </c>
      <c r="C39461" t="s">
        <v>433</v>
      </c>
      <c r="F39461">
        <v>9.0079154319919594E-9</v>
      </c>
      <c r="G39461">
        <v>7980009</v>
      </c>
      <c r="H39461">
        <v>12075322</v>
      </c>
      <c r="I39461">
        <v>26680397</v>
      </c>
      <c r="J39461">
        <v>7</v>
      </c>
    </row>
    <row r="39462" spans="1:10" x14ac:dyDescent="0.25">
      <c r="A39462" t="s">
        <v>401</v>
      </c>
      <c r="B39462" s="1" t="str">
        <f>HYPERLINK("http://foxinternationalchannels.com","foxinternationalchannels.com")</f>
        <v>foxinternationalchannels.com</v>
      </c>
      <c r="C39462" t="s">
        <v>433</v>
      </c>
      <c r="F39462">
        <v>2.5719706833111501E-8</v>
      </c>
      <c r="G39462">
        <v>2004494</v>
      </c>
      <c r="H39462">
        <v>14590003</v>
      </c>
      <c r="I39462">
        <v>696293</v>
      </c>
      <c r="J39462">
        <v>3</v>
      </c>
    </row>
    <row r="39463" spans="1:10" x14ac:dyDescent="0.25">
      <c r="A39463" t="s">
        <v>401</v>
      </c>
      <c r="B39463" s="1" t="str">
        <f>HYPERLINK("http://foxkidstv.com","foxkidstv.com")</f>
        <v>foxkidstv.com</v>
      </c>
      <c r="C39463" t="s">
        <v>433</v>
      </c>
      <c r="F39463">
        <v>6.8996917637576596E-9</v>
      </c>
      <c r="G39463">
        <v>12635729</v>
      </c>
      <c r="H39463">
        <v>14254778</v>
      </c>
      <c r="I39463">
        <v>1434970</v>
      </c>
      <c r="J39463">
        <v>5</v>
      </c>
    </row>
    <row r="39464" spans="1:10" x14ac:dyDescent="0.25">
      <c r="A39464" t="s">
        <v>401</v>
      </c>
      <c r="B39464" s="1" t="str">
        <f>HYPERLINK("http://foxmovies.com","foxmovies.com")</f>
        <v>foxmovies.com</v>
      </c>
      <c r="C39464" t="s">
        <v>433</v>
      </c>
      <c r="E39464">
        <v>40329</v>
      </c>
      <c r="F39464">
        <v>1.51069270053898E-6</v>
      </c>
      <c r="G39464">
        <v>25969</v>
      </c>
      <c r="H39464">
        <v>17682010</v>
      </c>
      <c r="I39464">
        <v>7677</v>
      </c>
      <c r="J39464">
        <v>3</v>
      </c>
    </row>
    <row r="39465" spans="1:10" x14ac:dyDescent="0.25">
      <c r="A39465" t="s">
        <v>401</v>
      </c>
      <c r="B39465" s="1" t="str">
        <f>HYPERLINK("http://foxnetworks.com","foxnetworks.com")</f>
        <v>foxnetworks.com</v>
      </c>
      <c r="C39465" t="s">
        <v>433</v>
      </c>
      <c r="F39465">
        <v>6.1610730941019506E-8</v>
      </c>
      <c r="G39465">
        <v>714197</v>
      </c>
      <c r="H39465">
        <v>14376911</v>
      </c>
      <c r="I39465">
        <v>1213798</v>
      </c>
      <c r="J39465">
        <v>4</v>
      </c>
    </row>
    <row r="39466" spans="1:10" x14ac:dyDescent="0.25">
      <c r="A39466" t="s">
        <v>401</v>
      </c>
      <c r="B39466" s="1" t="str">
        <f>HYPERLINK("http://foxnext.com","foxnext.com")</f>
        <v>foxnext.com</v>
      </c>
      <c r="C39466" t="s">
        <v>433</v>
      </c>
      <c r="F39466">
        <v>2.0517069354880299E-8</v>
      </c>
      <c r="G39466">
        <v>2582293</v>
      </c>
      <c r="H39466">
        <v>14491656</v>
      </c>
      <c r="I39466">
        <v>901167</v>
      </c>
      <c r="J39466">
        <v>4</v>
      </c>
    </row>
    <row r="39467" spans="1:10" x14ac:dyDescent="0.25">
      <c r="A39467" t="s">
        <v>401</v>
      </c>
      <c r="B39467" s="1" t="str">
        <f>HYPERLINK("http://freakyfridaythemusical.com","freakyfridaythemusical.com")</f>
        <v>freakyfridaythemusical.com</v>
      </c>
      <c r="C39467" t="s">
        <v>433</v>
      </c>
      <c r="F39467">
        <v>5.0353692850269799E-9</v>
      </c>
      <c r="G39467">
        <v>28546367</v>
      </c>
      <c r="H39467">
        <v>10359791</v>
      </c>
      <c r="I39467">
        <v>55243448</v>
      </c>
      <c r="J39467">
        <v>4</v>
      </c>
    </row>
    <row r="39468" spans="1:10" x14ac:dyDescent="0.25">
      <c r="A39468" t="s">
        <v>401</v>
      </c>
      <c r="B39468" s="1" t="str">
        <f>HYPERLINK("http://fxnetworks.com","fxnetworks.com")</f>
        <v>fxnetworks.com</v>
      </c>
      <c r="C39468" t="s">
        <v>433</v>
      </c>
      <c r="E39468">
        <v>26822</v>
      </c>
      <c r="F39468">
        <v>2.1944437085976599E-6</v>
      </c>
      <c r="G39468">
        <v>16717</v>
      </c>
      <c r="H39468">
        <v>17711004</v>
      </c>
      <c r="I39468">
        <v>7087</v>
      </c>
      <c r="J39468">
        <v>4</v>
      </c>
    </row>
    <row r="39469" spans="1:10" x14ac:dyDescent="0.25">
      <c r="A39469" t="s">
        <v>401</v>
      </c>
      <c r="B39469" s="1" t="str">
        <f>HYPERLINK("http://go.com","go.com")</f>
        <v>go.com</v>
      </c>
      <c r="C39469" t="s">
        <v>433</v>
      </c>
      <c r="E39469">
        <v>190</v>
      </c>
      <c r="F39469">
        <v>7.1698513945718507E-5</v>
      </c>
      <c r="G39469">
        <v>367</v>
      </c>
      <c r="H39469">
        <v>19754014</v>
      </c>
      <c r="I39469">
        <v>96</v>
      </c>
      <c r="J39469">
        <v>4</v>
      </c>
    </row>
    <row r="39470" spans="1:10" x14ac:dyDescent="0.25">
      <c r="A39470" t="s">
        <v>401</v>
      </c>
      <c r="B39470" s="1" t="str">
        <f>HYPERLINK("http://greendoorpics.com","greendoorpics.com")</f>
        <v>greendoorpics.com</v>
      </c>
      <c r="C39470" t="s">
        <v>433</v>
      </c>
      <c r="J39470">
        <v>15</v>
      </c>
    </row>
    <row r="39471" spans="1:10" x14ac:dyDescent="0.25">
      <c r="A39471" t="s">
        <v>401</v>
      </c>
      <c r="B39471" s="1" t="str">
        <f>HYPERLINK("http://hollywoodrecords.com","hollywoodrecords.com")</f>
        <v>hollywoodrecords.com</v>
      </c>
      <c r="C39471" t="s">
        <v>433</v>
      </c>
      <c r="E39471">
        <v>607502</v>
      </c>
      <c r="F39471">
        <v>7.0729242553368506E-8</v>
      </c>
      <c r="G39471">
        <v>598319</v>
      </c>
      <c r="H39471">
        <v>14774294</v>
      </c>
      <c r="I39471">
        <v>556454</v>
      </c>
      <c r="J39471">
        <v>5</v>
      </c>
    </row>
    <row r="39472" spans="1:10" x14ac:dyDescent="0.25">
      <c r="A39472" t="s">
        <v>401</v>
      </c>
      <c r="B39472" s="1" t="str">
        <f>HYPERLINK("http://hongkongdisneyland.com","hongkongdisneyland.com")</f>
        <v>hongkongdisneyland.com</v>
      </c>
      <c r="C39472" t="s">
        <v>433</v>
      </c>
      <c r="E39472">
        <v>58000</v>
      </c>
      <c r="F39472">
        <v>6.6515302703929901E-7</v>
      </c>
      <c r="G39472">
        <v>57887</v>
      </c>
      <c r="H39472">
        <v>17416614</v>
      </c>
      <c r="I39472">
        <v>18098</v>
      </c>
      <c r="J39472">
        <v>3</v>
      </c>
    </row>
    <row r="39473" spans="1:10" x14ac:dyDescent="0.25">
      <c r="A39473" t="s">
        <v>401</v>
      </c>
      <c r="B39473" s="1" t="str">
        <f>HYPERLINK("http://hotstar.com","hotstar.com")</f>
        <v>hotstar.com</v>
      </c>
      <c r="C39473" t="s">
        <v>433</v>
      </c>
      <c r="E39473">
        <v>982</v>
      </c>
      <c r="F39473">
        <v>2.3085862112315799E-6</v>
      </c>
      <c r="G39473">
        <v>16009</v>
      </c>
      <c r="H39473">
        <v>17623978</v>
      </c>
      <c r="I39473">
        <v>9015</v>
      </c>
      <c r="J39473">
        <v>4</v>
      </c>
    </row>
    <row r="39474" spans="1:10" x14ac:dyDescent="0.25">
      <c r="A39474" t="s">
        <v>401</v>
      </c>
      <c r="B39474" s="1" t="str">
        <f>HYPERLINK("http://hscicdn.com","hscicdn.com")</f>
        <v>hscicdn.com</v>
      </c>
      <c r="C39474" t="s">
        <v>433</v>
      </c>
      <c r="E39474">
        <v>36374</v>
      </c>
      <c r="F39474">
        <v>7.8106448786449096E-8</v>
      </c>
      <c r="G39474">
        <v>535498</v>
      </c>
      <c r="H39474">
        <v>13969741</v>
      </c>
      <c r="I39474">
        <v>4077423</v>
      </c>
      <c r="J39474">
        <v>4</v>
      </c>
    </row>
    <row r="39475" spans="1:10" x14ac:dyDescent="0.25">
      <c r="A39475" t="s">
        <v>401</v>
      </c>
      <c r="B39475" s="1" t="str">
        <f>HYPERLINK("http://hulu.com","hulu.com")</f>
        <v>hulu.com</v>
      </c>
      <c r="C39475" t="s">
        <v>433</v>
      </c>
      <c r="E39475">
        <v>605</v>
      </c>
      <c r="F39475">
        <v>1.91795729077773E-5</v>
      </c>
      <c r="G39475">
        <v>1596</v>
      </c>
      <c r="H39475">
        <v>18361404</v>
      </c>
      <c r="I39475">
        <v>2116</v>
      </c>
      <c r="J39475">
        <v>3</v>
      </c>
    </row>
    <row r="39476" spans="1:10" x14ac:dyDescent="0.25">
      <c r="A39476" t="s">
        <v>401</v>
      </c>
      <c r="B39476" s="1" t="str">
        <f>HYPERLINK("http://ilm.com","ilm.com")</f>
        <v>ilm.com</v>
      </c>
      <c r="C39476" t="s">
        <v>433</v>
      </c>
      <c r="E39476">
        <v>110020</v>
      </c>
      <c r="F39476">
        <v>1.4045178721199499E-6</v>
      </c>
      <c r="G39476">
        <v>27845</v>
      </c>
      <c r="H39476">
        <v>15387821</v>
      </c>
      <c r="I39476">
        <v>380785</v>
      </c>
      <c r="J39476">
        <v>4</v>
      </c>
    </row>
    <row r="39477" spans="1:10" x14ac:dyDescent="0.25">
      <c r="A39477" t="s">
        <v>401</v>
      </c>
      <c r="B39477" s="1" t="str">
        <f>HYPERLINK("http://imagemoversdigital.com","imagemoversdigital.com")</f>
        <v>imagemoversdigital.com</v>
      </c>
      <c r="C39477" t="s">
        <v>433</v>
      </c>
      <c r="F39477">
        <v>6.3135316862354101E-9</v>
      </c>
      <c r="G39477">
        <v>14967024</v>
      </c>
      <c r="H39477">
        <v>14244333</v>
      </c>
      <c r="I39477">
        <v>1472307</v>
      </c>
      <c r="J39477">
        <v>4</v>
      </c>
    </row>
    <row r="39478" spans="1:10" x14ac:dyDescent="0.25">
      <c r="A39478" t="s">
        <v>401</v>
      </c>
      <c r="B39478" s="1" t="str">
        <f>HYPERLINK("http://imbc.com","imbc.com")</f>
        <v>imbc.com</v>
      </c>
      <c r="C39478" t="s">
        <v>433</v>
      </c>
      <c r="E39478">
        <v>15845</v>
      </c>
      <c r="F39478">
        <v>1.0444584910381599E-6</v>
      </c>
      <c r="G39478">
        <v>36703</v>
      </c>
      <c r="H39478">
        <v>17720890</v>
      </c>
      <c r="I39478">
        <v>6907</v>
      </c>
      <c r="J39478">
        <v>9</v>
      </c>
    </row>
    <row r="39479" spans="1:10" x14ac:dyDescent="0.25">
      <c r="A39479" t="s">
        <v>401</v>
      </c>
      <c r="B39479" s="1" t="str">
        <f>HYPERLINK("http://indiagames.com","indiagames.com")</f>
        <v>indiagames.com</v>
      </c>
      <c r="C39479" t="s">
        <v>433</v>
      </c>
      <c r="F39479">
        <v>1.29534851253683E-8</v>
      </c>
      <c r="G39479">
        <v>4654110</v>
      </c>
      <c r="H39479">
        <v>14254445</v>
      </c>
      <c r="I39479">
        <v>1435989</v>
      </c>
      <c r="J39479">
        <v>5</v>
      </c>
    </row>
    <row r="39480" spans="1:10" x14ac:dyDescent="0.25">
      <c r="A39480" t="s">
        <v>401</v>
      </c>
      <c r="B39480" s="1" t="str">
        <f>HYPERLINK("http://jetixeurope.com","jetixeurope.com")</f>
        <v>jetixeurope.com</v>
      </c>
      <c r="C39480" t="s">
        <v>433</v>
      </c>
      <c r="F39480">
        <v>1.0755490662159999E-8</v>
      </c>
      <c r="G39480">
        <v>6055758</v>
      </c>
      <c r="H39480">
        <v>14577008</v>
      </c>
      <c r="I39480">
        <v>719105</v>
      </c>
      <c r="J39480">
        <v>4</v>
      </c>
    </row>
    <row r="39481" spans="1:10" x14ac:dyDescent="0.25">
      <c r="A39481" t="s">
        <v>401</v>
      </c>
      <c r="B39481" s="1" t="str">
        <f>HYPERLINK("http://jssacheapp.com","jssacheapp.com")</f>
        <v>jssacheapp.com</v>
      </c>
      <c r="C39481" t="s">
        <v>433</v>
      </c>
      <c r="F39481">
        <v>6.3956493228940504E-9</v>
      </c>
      <c r="G39481">
        <v>14536666</v>
      </c>
      <c r="H39481">
        <v>10674412</v>
      </c>
      <c r="I39481">
        <v>42869801</v>
      </c>
      <c r="J39481">
        <v>8</v>
      </c>
    </row>
    <row r="39482" spans="1:10" x14ac:dyDescent="0.25">
      <c r="A39482" t="s">
        <v>401</v>
      </c>
      <c r="B39482" s="1" t="str">
        <f>HYPERLINK("http://junctionpoint.com","junctionpoint.com")</f>
        <v>junctionpoint.com</v>
      </c>
      <c r="C39482" t="s">
        <v>433</v>
      </c>
      <c r="F39482">
        <v>1.4845223479665399E-8</v>
      </c>
      <c r="G39482">
        <v>3891264</v>
      </c>
      <c r="H39482">
        <v>14383136</v>
      </c>
      <c r="I39482">
        <v>1186908</v>
      </c>
      <c r="J39482">
        <v>5</v>
      </c>
    </row>
    <row r="39483" spans="1:10" x14ac:dyDescent="0.25">
      <c r="A39483" t="s">
        <v>401</v>
      </c>
      <c r="B39483" s="1" t="str">
        <f>HYPERLINK("http://kids2.com","kids2.com")</f>
        <v>kids2.com</v>
      </c>
      <c r="C39483" t="s">
        <v>433</v>
      </c>
      <c r="E39483">
        <v>184391</v>
      </c>
      <c r="F39483">
        <v>2.2201765340896401E-7</v>
      </c>
      <c r="G39483">
        <v>169779</v>
      </c>
      <c r="H39483">
        <v>13749226</v>
      </c>
      <c r="I39483">
        <v>9421087</v>
      </c>
      <c r="J39483">
        <v>9</v>
      </c>
    </row>
    <row r="39484" spans="1:10" x14ac:dyDescent="0.25">
      <c r="A39484" t="s">
        <v>401</v>
      </c>
      <c r="B39484" s="1" t="str">
        <f>HYPERLINK("http://kidsii.com","kidsii.com")</f>
        <v>kidsii.com</v>
      </c>
      <c r="C39484" t="s">
        <v>433</v>
      </c>
      <c r="E39484">
        <v>473211</v>
      </c>
      <c r="F39484">
        <v>8.7330361349554894E-8</v>
      </c>
      <c r="G39484">
        <v>469912</v>
      </c>
      <c r="H39484">
        <v>14309731</v>
      </c>
      <c r="I39484">
        <v>1343473</v>
      </c>
      <c r="J39484">
        <v>6</v>
      </c>
    </row>
    <row r="39485" spans="1:10" x14ac:dyDescent="0.25">
      <c r="A39485" t="s">
        <v>401</v>
      </c>
      <c r="B39485" s="1" t="str">
        <f>HYPERLINK("http://legalfounders.com","legalfounders.com")</f>
        <v>legalfounders.com</v>
      </c>
      <c r="C39485" t="s">
        <v>433</v>
      </c>
      <c r="F39485">
        <v>3.1384497787954703E-8</v>
      </c>
      <c r="G39485">
        <v>1643357</v>
      </c>
      <c r="H39485">
        <v>14048746</v>
      </c>
      <c r="I39485">
        <v>3896709</v>
      </c>
      <c r="J39485">
        <v>7</v>
      </c>
    </row>
    <row r="39486" spans="1:10" x14ac:dyDescent="0.25">
      <c r="A39486" t="s">
        <v>401</v>
      </c>
      <c r="B39486" s="1" t="str">
        <f>HYPERLINK("http://lionkingexperience.com","lionkingexperience.com")</f>
        <v>lionkingexperience.com</v>
      </c>
      <c r="C39486" t="s">
        <v>433</v>
      </c>
      <c r="F39486">
        <v>3.4986710671083003E-8</v>
      </c>
      <c r="G39486">
        <v>1484752</v>
      </c>
      <c r="H39486">
        <v>13476910</v>
      </c>
      <c r="I39486">
        <v>10018038</v>
      </c>
      <c r="J39486">
        <v>4</v>
      </c>
    </row>
    <row r="39487" spans="1:10" x14ac:dyDescent="0.25">
      <c r="A39487" t="s">
        <v>401</v>
      </c>
      <c r="B39487" s="1" t="str">
        <f>HYPERLINK("http://lucasarts.com","lucasarts.com")</f>
        <v>lucasarts.com</v>
      </c>
      <c r="C39487" t="s">
        <v>433</v>
      </c>
      <c r="E39487">
        <v>59277</v>
      </c>
      <c r="F39487">
        <v>2.60420473194625E-7</v>
      </c>
      <c r="G39487">
        <v>143631</v>
      </c>
      <c r="H39487">
        <v>15021984</v>
      </c>
      <c r="I39487">
        <v>420516</v>
      </c>
      <c r="J39487">
        <v>7</v>
      </c>
    </row>
    <row r="39488" spans="1:10" x14ac:dyDescent="0.25">
      <c r="A39488" t="s">
        <v>401</v>
      </c>
      <c r="B39488" s="1" t="str">
        <f>HYPERLINK("http://lucasfilm.com","lucasfilm.com")</f>
        <v>lucasfilm.com</v>
      </c>
      <c r="C39488" t="s">
        <v>433</v>
      </c>
      <c r="E39488">
        <v>53668</v>
      </c>
      <c r="F39488">
        <v>9.9996643440410794E-7</v>
      </c>
      <c r="G39488">
        <v>38257</v>
      </c>
      <c r="H39488">
        <v>17326194</v>
      </c>
      <c r="I39488">
        <v>25240</v>
      </c>
      <c r="J39488">
        <v>4</v>
      </c>
    </row>
    <row r="39489" spans="1:10" x14ac:dyDescent="0.25">
      <c r="A39489" t="s">
        <v>401</v>
      </c>
      <c r="B39489" s="1" t="str">
        <f>HYPERLINK("http://makerstudios.com","makerstudios.com")</f>
        <v>makerstudios.com</v>
      </c>
      <c r="C39489" t="s">
        <v>433</v>
      </c>
      <c r="E39489">
        <v>854018</v>
      </c>
      <c r="F39489">
        <v>2.6309263173478602E-7</v>
      </c>
      <c r="G39489">
        <v>142071</v>
      </c>
      <c r="H39489">
        <v>14981640</v>
      </c>
      <c r="I39489">
        <v>430531</v>
      </c>
      <c r="J39489">
        <v>6</v>
      </c>
    </row>
    <row r="39490" spans="1:10" x14ac:dyDescent="0.25">
      <c r="A39490" t="s">
        <v>401</v>
      </c>
      <c r="B39490" s="1" t="str">
        <f>HYPERLINK("http://marvel.com","marvel.com")</f>
        <v>marvel.com</v>
      </c>
      <c r="C39490" t="s">
        <v>433</v>
      </c>
      <c r="E39490">
        <v>4423</v>
      </c>
      <c r="F39490">
        <v>5.77458936098606E-6</v>
      </c>
      <c r="G39490">
        <v>6005</v>
      </c>
      <c r="H39490">
        <v>18025990</v>
      </c>
      <c r="I39490">
        <v>3522</v>
      </c>
      <c r="J39490">
        <v>4</v>
      </c>
    </row>
    <row r="39491" spans="1:10" x14ac:dyDescent="0.25">
      <c r="A39491" t="s">
        <v>401</v>
      </c>
      <c r="B39491" s="1" t="str">
        <f>HYPERLINK("http://miroma.com","miroma.com")</f>
        <v>miroma.com</v>
      </c>
      <c r="C39491" t="s">
        <v>433</v>
      </c>
      <c r="F39491">
        <v>9.0142456243055006E-9</v>
      </c>
      <c r="G39491">
        <v>7970601</v>
      </c>
      <c r="H39491">
        <v>13056667</v>
      </c>
      <c r="I39491">
        <v>12559082</v>
      </c>
      <c r="J39491">
        <v>21</v>
      </c>
    </row>
    <row r="39492" spans="1:10" x14ac:dyDescent="0.25">
      <c r="A39492" t="s">
        <v>401</v>
      </c>
      <c r="B39492" s="1" t="str">
        <f>HYPERLINK("http://miromagroup.com","miromagroup.com")</f>
        <v>miromagroup.com</v>
      </c>
      <c r="C39492" t="s">
        <v>433</v>
      </c>
      <c r="F39492">
        <v>5.2849074089822103E-8</v>
      </c>
      <c r="G39492">
        <v>862061</v>
      </c>
      <c r="H39492">
        <v>12768133</v>
      </c>
      <c r="I39492">
        <v>14855304</v>
      </c>
      <c r="J39492">
        <v>24</v>
      </c>
    </row>
    <row r="39493" spans="1:10" x14ac:dyDescent="0.25">
      <c r="A39493" t="s">
        <v>401</v>
      </c>
      <c r="B39493" s="1" t="str">
        <f>HYPERLINK("http://moviestvseries.com","moviestvseries.com")</f>
        <v>moviestvseries.com</v>
      </c>
      <c r="C39493" t="s">
        <v>433</v>
      </c>
      <c r="F39493">
        <v>4.1326701220474997E-8</v>
      </c>
      <c r="G39493">
        <v>1215910</v>
      </c>
      <c r="H39493">
        <v>16751197</v>
      </c>
      <c r="I39493">
        <v>314093</v>
      </c>
      <c r="J39493">
        <v>7</v>
      </c>
    </row>
    <row r="39494" spans="1:10" x14ac:dyDescent="0.25">
      <c r="A39494" t="s">
        <v>401</v>
      </c>
      <c r="B39494" s="1" t="str">
        <f>HYPERLINK("http://mycorplink.com","mycorplink.com")</f>
        <v>mycorplink.com</v>
      </c>
      <c r="C39494" t="s">
        <v>433</v>
      </c>
      <c r="E39494">
        <v>886396</v>
      </c>
      <c r="F39494">
        <v>1.0916156840837399E-8</v>
      </c>
      <c r="G39494">
        <v>5929942</v>
      </c>
      <c r="H39494">
        <v>13775540</v>
      </c>
      <c r="I39494">
        <v>6576861</v>
      </c>
      <c r="J39494">
        <v>4</v>
      </c>
    </row>
    <row r="39495" spans="1:10" x14ac:dyDescent="0.25">
      <c r="A39495" t="s">
        <v>401</v>
      </c>
      <c r="B39495" s="1" t="str">
        <f>HYPERLINK("http://mycorplinkdev.com","mycorplinkdev.com")</f>
        <v>mycorplinkdev.com</v>
      </c>
      <c r="C39495" t="s">
        <v>433</v>
      </c>
      <c r="J39495">
        <v>4</v>
      </c>
    </row>
    <row r="39496" spans="1:10" x14ac:dyDescent="0.25">
      <c r="A39496" t="s">
        <v>401</v>
      </c>
      <c r="B39496" s="1" t="str">
        <f>HYPERLINK("http://mylifetime.com","mylifetime.com")</f>
        <v>mylifetime.com</v>
      </c>
      <c r="C39496" t="s">
        <v>433</v>
      </c>
      <c r="E39496">
        <v>28272</v>
      </c>
      <c r="F39496">
        <v>2.2418926878552499E-6</v>
      </c>
      <c r="G39496">
        <v>16425</v>
      </c>
      <c r="H39496">
        <v>17943880</v>
      </c>
      <c r="I39496">
        <v>4099</v>
      </c>
      <c r="J39496">
        <v>5</v>
      </c>
    </row>
    <row r="39497" spans="1:10" x14ac:dyDescent="0.25">
      <c r="A39497" t="s">
        <v>401</v>
      </c>
      <c r="B39497" s="1" t="str">
        <f>HYPERLINK("http://natgeo.com","natgeo.com")</f>
        <v>natgeo.com</v>
      </c>
      <c r="C39497" t="s">
        <v>433</v>
      </c>
      <c r="E39497">
        <v>136157</v>
      </c>
      <c r="F39497">
        <v>6.5282070894839205E-7</v>
      </c>
      <c r="G39497">
        <v>58981</v>
      </c>
      <c r="H39497">
        <v>17377098</v>
      </c>
      <c r="I39497">
        <v>20898</v>
      </c>
      <c r="J39497">
        <v>4</v>
      </c>
    </row>
    <row r="39498" spans="1:10" x14ac:dyDescent="0.25">
      <c r="A39498" t="s">
        <v>401</v>
      </c>
      <c r="B39498" s="1" t="str">
        <f>HYPERLINK("http://natgeotv.com","natgeotv.com")</f>
        <v>natgeotv.com</v>
      </c>
      <c r="C39498" t="s">
        <v>433</v>
      </c>
      <c r="E39498">
        <v>17917</v>
      </c>
      <c r="F39498">
        <v>1.1596678230133801E-6</v>
      </c>
      <c r="G39498">
        <v>33473</v>
      </c>
      <c r="H39498">
        <v>17544714</v>
      </c>
      <c r="I39498">
        <v>11489</v>
      </c>
      <c r="J39498">
        <v>6</v>
      </c>
    </row>
    <row r="39499" spans="1:10" x14ac:dyDescent="0.25">
      <c r="A39499" t="s">
        <v>401</v>
      </c>
      <c r="B39499" s="1" t="str">
        <f>HYPERLINK("http://nationalgeographic.com","nationalgeographic.com")</f>
        <v>nationalgeographic.com</v>
      </c>
      <c r="C39499" t="s">
        <v>433</v>
      </c>
      <c r="E39499">
        <v>518</v>
      </c>
      <c r="F39499">
        <v>5.29265081096769E-5</v>
      </c>
      <c r="G39499">
        <v>487</v>
      </c>
      <c r="H39499">
        <v>19388054</v>
      </c>
      <c r="I39499">
        <v>220</v>
      </c>
      <c r="J39499">
        <v>3</v>
      </c>
    </row>
    <row r="39500" spans="1:10" x14ac:dyDescent="0.25">
      <c r="A39500" t="s">
        <v>401</v>
      </c>
      <c r="B39500" s="1" t="str">
        <f>HYPERLINK("http://nationalgeographicpartners.com","nationalgeographicpartners.com")</f>
        <v>nationalgeographicpartners.com</v>
      </c>
      <c r="C39500" t="s">
        <v>433</v>
      </c>
      <c r="E39500">
        <v>342562</v>
      </c>
      <c r="F39500">
        <v>1.3629379607324899E-7</v>
      </c>
      <c r="G39500">
        <v>286078</v>
      </c>
      <c r="H39500">
        <v>14964827</v>
      </c>
      <c r="I39500">
        <v>435737</v>
      </c>
      <c r="J39500">
        <v>4</v>
      </c>
    </row>
    <row r="39501" spans="1:10" x14ac:dyDescent="0.25">
      <c r="A39501" t="s">
        <v>401</v>
      </c>
      <c r="B39501" s="1" t="str">
        <f>HYPERLINK("http://pixar.com","pixar.com")</f>
        <v>pixar.com</v>
      </c>
      <c r="C39501" t="s">
        <v>433</v>
      </c>
      <c r="E39501">
        <v>11268</v>
      </c>
      <c r="F39501">
        <v>3.8185791838869101E-6</v>
      </c>
      <c r="G39501">
        <v>10955</v>
      </c>
      <c r="H39501">
        <v>17839454</v>
      </c>
      <c r="I39501">
        <v>5106</v>
      </c>
      <c r="J39501">
        <v>3</v>
      </c>
    </row>
    <row r="39502" spans="1:10" x14ac:dyDescent="0.25">
      <c r="A39502" t="s">
        <v>401</v>
      </c>
      <c r="B39502" s="1" t="str">
        <f>HYPERLINK("http://playdom.com","playdom.com")</f>
        <v>playdom.com</v>
      </c>
      <c r="C39502" t="s">
        <v>433</v>
      </c>
      <c r="E39502">
        <v>608460</v>
      </c>
      <c r="F39502">
        <v>6.22011555897769E-8</v>
      </c>
      <c r="G39502">
        <v>706619</v>
      </c>
      <c r="H39502">
        <v>15067980</v>
      </c>
      <c r="I39502">
        <v>411466</v>
      </c>
      <c r="J39502">
        <v>3</v>
      </c>
    </row>
    <row r="39503" spans="1:10" x14ac:dyDescent="0.25">
      <c r="A39503" t="s">
        <v>401</v>
      </c>
      <c r="B39503" s="1" t="str">
        <f>HYPERLINK("http://policus.com","policus.com")</f>
        <v>policus.com</v>
      </c>
      <c r="C39503" t="s">
        <v>433</v>
      </c>
      <c r="F39503">
        <v>4.44380395335525E-9</v>
      </c>
      <c r="G39503">
        <v>83035246</v>
      </c>
      <c r="H39503">
        <v>0</v>
      </c>
      <c r="I39503">
        <v>83771768</v>
      </c>
      <c r="J39503">
        <v>5</v>
      </c>
    </row>
    <row r="39504" spans="1:10" x14ac:dyDescent="0.25">
      <c r="A39504" t="s">
        <v>401</v>
      </c>
      <c r="B39504" s="1" t="str">
        <f>HYPERLINK("http://powentertainment.com","powentertainment.com")</f>
        <v>powentertainment.com</v>
      </c>
      <c r="C39504" t="s">
        <v>433</v>
      </c>
      <c r="F39504">
        <v>3.5940163371124103E-8</v>
      </c>
      <c r="G39504">
        <v>1449660</v>
      </c>
      <c r="H39504">
        <v>14867419</v>
      </c>
      <c r="I39504">
        <v>480712</v>
      </c>
      <c r="J39504">
        <v>4</v>
      </c>
    </row>
    <row r="39505" spans="1:10" x14ac:dyDescent="0.25">
      <c r="A39505" t="s">
        <v>401</v>
      </c>
      <c r="B39505" s="1" t="str">
        <f>HYPERLINK("http://r4e.com","r4e.com")</f>
        <v>r4e.com</v>
      </c>
      <c r="C39505" t="s">
        <v>433</v>
      </c>
      <c r="F39505">
        <v>5.5051789672974297E-9</v>
      </c>
      <c r="G39505">
        <v>20843407</v>
      </c>
      <c r="H39505">
        <v>13763975</v>
      </c>
      <c r="I39505">
        <v>7455269</v>
      </c>
      <c r="J39505">
        <v>20</v>
      </c>
    </row>
    <row r="39506" spans="1:10" x14ac:dyDescent="0.25">
      <c r="A39506" t="s">
        <v>401</v>
      </c>
      <c r="B39506" s="1" t="str">
        <f>HYPERLINK("http://racing-live.com","racing-live.com")</f>
        <v>racing-live.com</v>
      </c>
      <c r="C39506" t="s">
        <v>433</v>
      </c>
      <c r="E39506">
        <v>420146</v>
      </c>
      <c r="F39506">
        <v>5.8134265185577598E-8</v>
      </c>
      <c r="G39506">
        <v>765545</v>
      </c>
      <c r="H39506">
        <v>14629138</v>
      </c>
      <c r="I39506">
        <v>646828</v>
      </c>
      <c r="J39506">
        <v>8</v>
      </c>
    </row>
    <row r="39507" spans="1:10" x14ac:dyDescent="0.25">
      <c r="A39507" t="s">
        <v>401</v>
      </c>
      <c r="B39507" s="1" t="str">
        <f>HYPERLINK("http://rangeprojects.com","rangeprojects.com")</f>
        <v>rangeprojects.com</v>
      </c>
      <c r="C39507" t="s">
        <v>433</v>
      </c>
      <c r="F39507">
        <v>5.9008676568310297E-9</v>
      </c>
      <c r="G39507">
        <v>17353463</v>
      </c>
      <c r="H39507">
        <v>12186097</v>
      </c>
      <c r="I39507">
        <v>23672235</v>
      </c>
      <c r="J39507">
        <v>5</v>
      </c>
    </row>
    <row r="39508" spans="1:10" x14ac:dyDescent="0.25">
      <c r="A39508" t="s">
        <v>401</v>
      </c>
      <c r="B39508" s="1" t="str">
        <f>HYPERLINK("http://reallyuseful.com","reallyuseful.com")</f>
        <v>reallyuseful.com</v>
      </c>
      <c r="C39508" t="s">
        <v>433</v>
      </c>
      <c r="E39508">
        <v>579185</v>
      </c>
      <c r="F39508">
        <v>8.7470702974736803E-8</v>
      </c>
      <c r="G39508">
        <v>469066</v>
      </c>
      <c r="H39508">
        <v>14860604</v>
      </c>
      <c r="I39508">
        <v>484476</v>
      </c>
      <c r="J39508">
        <v>10</v>
      </c>
    </row>
    <row r="39509" spans="1:10" x14ac:dyDescent="0.25">
      <c r="A39509" t="s">
        <v>401</v>
      </c>
      <c r="B39509" s="1" t="str">
        <f>HYPERLINK("http://rickriordan.com","rickriordan.com")</f>
        <v>rickriordan.com</v>
      </c>
      <c r="C39509" t="s">
        <v>433</v>
      </c>
      <c r="E39509">
        <v>110350</v>
      </c>
      <c r="F39509">
        <v>3.5576565723942602E-7</v>
      </c>
      <c r="G39509">
        <v>105042</v>
      </c>
      <c r="H39509">
        <v>17398988</v>
      </c>
      <c r="I39509">
        <v>19239</v>
      </c>
      <c r="J39509">
        <v>6</v>
      </c>
    </row>
    <row r="39510" spans="1:10" x14ac:dyDescent="0.25">
      <c r="A39510" t="s">
        <v>401</v>
      </c>
      <c r="B39510" s="1" t="str">
        <f>HYPERLINK("http://rundisney.com","rundisney.com")</f>
        <v>rundisney.com</v>
      </c>
      <c r="C39510" t="s">
        <v>433</v>
      </c>
      <c r="E39510">
        <v>128541</v>
      </c>
      <c r="F39510">
        <v>3.8157053411525802E-7</v>
      </c>
      <c r="G39510">
        <v>98060</v>
      </c>
      <c r="H39510">
        <v>15097048</v>
      </c>
      <c r="I39510">
        <v>406928</v>
      </c>
      <c r="J39510">
        <v>5</v>
      </c>
    </row>
    <row r="39511" spans="1:10" x14ac:dyDescent="0.25">
      <c r="A39511" t="s">
        <v>401</v>
      </c>
      <c r="B39511" s="1" t="str">
        <f>HYPERLINK("http://scopely.com","scopely.com")</f>
        <v>scopely.com</v>
      </c>
      <c r="C39511" t="s">
        <v>433</v>
      </c>
      <c r="E39511">
        <v>11799</v>
      </c>
      <c r="F39511">
        <v>5.4769778949521801E-7</v>
      </c>
      <c r="G39511">
        <v>70612</v>
      </c>
      <c r="H39511">
        <v>17253032</v>
      </c>
      <c r="I39511">
        <v>33586</v>
      </c>
      <c r="J39511">
        <v>5</v>
      </c>
    </row>
    <row r="39512" spans="1:10" x14ac:dyDescent="0.25">
      <c r="A39512" t="s">
        <v>401</v>
      </c>
      <c r="B39512" s="1" t="str">
        <f>HYPERLINK("http://searchlightpictures.com","searchlightpictures.com")</f>
        <v>searchlightpictures.com</v>
      </c>
      <c r="C39512" t="s">
        <v>433</v>
      </c>
      <c r="E39512">
        <v>109556</v>
      </c>
      <c r="F39512">
        <v>7.8247171868113903E-7</v>
      </c>
      <c r="G39512">
        <v>50120</v>
      </c>
      <c r="H39512">
        <v>15120731</v>
      </c>
      <c r="I39512">
        <v>403619</v>
      </c>
      <c r="J39512">
        <v>4</v>
      </c>
    </row>
    <row r="39513" spans="1:10" x14ac:dyDescent="0.25">
      <c r="A39513" t="s">
        <v>401</v>
      </c>
      <c r="B39513" s="1" t="str">
        <f>HYPERLINK("http://shanghaidisneyresort.com","shanghaidisneyresort.com")</f>
        <v>shanghaidisneyresort.com</v>
      </c>
      <c r="C39513" t="s">
        <v>433</v>
      </c>
      <c r="E39513">
        <v>103740</v>
      </c>
      <c r="F39513">
        <v>4.72926026067957E-7</v>
      </c>
      <c r="G39513">
        <v>80251</v>
      </c>
      <c r="H39513">
        <v>17348198</v>
      </c>
      <c r="I39513">
        <v>23289</v>
      </c>
      <c r="J39513">
        <v>4</v>
      </c>
    </row>
    <row r="39514" spans="1:10" x14ac:dyDescent="0.25">
      <c r="A39514" t="s">
        <v>401</v>
      </c>
      <c r="B39514" s="1" t="str">
        <f>HYPERLINK("http://shopdisney.com","shopdisney.com")</f>
        <v>shopdisney.com</v>
      </c>
      <c r="C39514" t="s">
        <v>433</v>
      </c>
      <c r="E39514">
        <v>13337</v>
      </c>
      <c r="F39514">
        <v>1.53078018066119E-6</v>
      </c>
      <c r="G39514">
        <v>25640</v>
      </c>
      <c r="H39514">
        <v>17517834</v>
      </c>
      <c r="I39514">
        <v>12852</v>
      </c>
      <c r="J39514">
        <v>4</v>
      </c>
    </row>
    <row r="39515" spans="1:10" x14ac:dyDescent="0.25">
      <c r="A39515" t="s">
        <v>401</v>
      </c>
      <c r="B39515" s="1" t="str">
        <f>HYPERLINK("http://skysound.com","skysound.com")</f>
        <v>skysound.com</v>
      </c>
      <c r="C39515" t="s">
        <v>433</v>
      </c>
      <c r="E39515">
        <v>390964</v>
      </c>
      <c r="F39515">
        <v>1.3580095015308799E-7</v>
      </c>
      <c r="G39515">
        <v>287243</v>
      </c>
      <c r="H39515">
        <v>14995406</v>
      </c>
      <c r="I39515">
        <v>426951</v>
      </c>
      <c r="J39515">
        <v>4</v>
      </c>
    </row>
    <row r="39516" spans="1:10" x14ac:dyDescent="0.25">
      <c r="A39516" t="s">
        <v>401</v>
      </c>
      <c r="B39516" s="1" t="str">
        <f>HYPERLINK("http://star-latam.com","star-latam.com")</f>
        <v>star-latam.com</v>
      </c>
      <c r="C39516" t="s">
        <v>433</v>
      </c>
      <c r="E39516">
        <v>992049</v>
      </c>
      <c r="F39516">
        <v>5.23378975231608E-8</v>
      </c>
      <c r="G39516">
        <v>871661</v>
      </c>
      <c r="H39516">
        <v>14274204</v>
      </c>
      <c r="I39516">
        <v>1392770</v>
      </c>
      <c r="J39516">
        <v>4</v>
      </c>
    </row>
    <row r="39517" spans="1:10" x14ac:dyDescent="0.25">
      <c r="A39517" t="s">
        <v>401</v>
      </c>
      <c r="B39517" s="1" t="str">
        <f>HYPERLINK("http://starplus.com","starplus.com")</f>
        <v>starplus.com</v>
      </c>
      <c r="C39517" t="s">
        <v>433</v>
      </c>
      <c r="E39517">
        <v>8834</v>
      </c>
      <c r="F39517">
        <v>2.4096686588965599E-7</v>
      </c>
      <c r="G39517">
        <v>155240</v>
      </c>
      <c r="H39517">
        <v>15236047</v>
      </c>
      <c r="I39517">
        <v>391677</v>
      </c>
      <c r="J39517">
        <v>4</v>
      </c>
    </row>
    <row r="39518" spans="1:10" x14ac:dyDescent="0.25">
      <c r="A39518" t="s">
        <v>401</v>
      </c>
      <c r="B39518" s="1" t="str">
        <f>HYPERLINK("http://startv.com","startv.com")</f>
        <v>startv.com</v>
      </c>
      <c r="C39518" t="s">
        <v>433</v>
      </c>
      <c r="E39518">
        <v>210708</v>
      </c>
      <c r="F39518">
        <v>3.7451716468032901E-7</v>
      </c>
      <c r="G39518">
        <v>100008</v>
      </c>
      <c r="H39518">
        <v>15382375</v>
      </c>
      <c r="I39518">
        <v>381044</v>
      </c>
      <c r="J39518">
        <v>3</v>
      </c>
    </row>
    <row r="39519" spans="1:10" x14ac:dyDescent="0.25">
      <c r="A39519" t="s">
        <v>401</v>
      </c>
      <c r="B39519" s="1" t="str">
        <f>HYPERLINK("http://starwars.com","starwars.com")</f>
        <v>starwars.com</v>
      </c>
      <c r="C39519" t="s">
        <v>433</v>
      </c>
      <c r="E39519">
        <v>5280</v>
      </c>
      <c r="F39519">
        <v>1.2320457556048901E-5</v>
      </c>
      <c r="G39519">
        <v>2806</v>
      </c>
      <c r="H39519">
        <v>18334736</v>
      </c>
      <c r="I39519">
        <v>2220</v>
      </c>
      <c r="J39519">
        <v>8</v>
      </c>
    </row>
    <row r="39520" spans="1:10" x14ac:dyDescent="0.25">
      <c r="A39520" t="s">
        <v>401</v>
      </c>
      <c r="B39520" s="1" t="str">
        <f>HYPERLINK("http://starwave.com","starwave.com")</f>
        <v>starwave.com</v>
      </c>
      <c r="C39520" t="s">
        <v>433</v>
      </c>
      <c r="E39520">
        <v>157021</v>
      </c>
      <c r="F39520">
        <v>1.90239933970563E-7</v>
      </c>
      <c r="G39520">
        <v>202540</v>
      </c>
      <c r="H39520">
        <v>15110743</v>
      </c>
      <c r="I39520">
        <v>405026</v>
      </c>
      <c r="J39520">
        <v>4</v>
      </c>
    </row>
    <row r="39521" spans="1:10" x14ac:dyDescent="0.25">
      <c r="A39521" t="s">
        <v>401</v>
      </c>
      <c r="B39521" s="1" t="str">
        <f>HYPERLINK("http://thewaltdisneycompany.com","thewaltdisneycompany.com")</f>
        <v>thewaltdisneycompany.com</v>
      </c>
      <c r="C39521" t="s">
        <v>433</v>
      </c>
      <c r="E39521">
        <v>10519</v>
      </c>
      <c r="F39521">
        <v>6.3002977790229903E-6</v>
      </c>
      <c r="G39521">
        <v>5423</v>
      </c>
      <c r="H39521">
        <v>17743740</v>
      </c>
      <c r="I39521">
        <v>6477</v>
      </c>
      <c r="J39521">
        <v>1</v>
      </c>
    </row>
    <row r="39522" spans="1:10" x14ac:dyDescent="0.25">
      <c r="A39522" t="s">
        <v>401</v>
      </c>
      <c r="B39522" s="1" t="str">
        <f>HYPERLINK("http://tjmy22.com","tjmy22.com")</f>
        <v>tjmy22.com</v>
      </c>
      <c r="C39522" t="s">
        <v>433</v>
      </c>
      <c r="F39522">
        <v>4.44380395335525E-9</v>
      </c>
      <c r="G39522">
        <v>83748805</v>
      </c>
      <c r="H39522">
        <v>0</v>
      </c>
      <c r="I39522">
        <v>84640192</v>
      </c>
      <c r="J39522">
        <v>5</v>
      </c>
    </row>
    <row r="39523" spans="1:10" x14ac:dyDescent="0.25">
      <c r="A39523" t="s">
        <v>401</v>
      </c>
      <c r="B39523" s="1" t="str">
        <f>HYPERLINK("http://utvgroup.com","utvgroup.com")</f>
        <v>utvgroup.com</v>
      </c>
      <c r="C39523" t="s">
        <v>433</v>
      </c>
      <c r="F39523">
        <v>4.05802862186253E-8</v>
      </c>
      <c r="G39523">
        <v>1276408</v>
      </c>
      <c r="H39523">
        <v>14528650</v>
      </c>
      <c r="I39523">
        <v>789704</v>
      </c>
      <c r="J39523">
        <v>3</v>
      </c>
    </row>
    <row r="39524" spans="1:10" x14ac:dyDescent="0.25">
      <c r="A39524" t="s">
        <v>401</v>
      </c>
      <c r="B39524" s="1" t="str">
        <f>HYPERLINK("http://waltdisneyrecords.com","waltdisneyrecords.com")</f>
        <v>waltdisneyrecords.com</v>
      </c>
      <c r="C39524" t="s">
        <v>433</v>
      </c>
      <c r="E39524">
        <v>520357</v>
      </c>
      <c r="F39524">
        <v>1.1030635837246E-8</v>
      </c>
      <c r="G39524">
        <v>5836662</v>
      </c>
      <c r="H39524">
        <v>14072536</v>
      </c>
      <c r="I39524">
        <v>3076708</v>
      </c>
      <c r="J39524">
        <v>5</v>
      </c>
    </row>
    <row r="39525" spans="1:10" x14ac:dyDescent="0.25">
      <c r="A39525" t="s">
        <v>401</v>
      </c>
      <c r="B39525" s="1" t="str">
        <f>HYPERLINK("http://waltdisneystudios.com","waltdisneystudios.com")</f>
        <v>waltdisneystudios.com</v>
      </c>
      <c r="C39525" t="s">
        <v>433</v>
      </c>
      <c r="E39525">
        <v>274045</v>
      </c>
      <c r="F39525">
        <v>2.7378189886307603E-7</v>
      </c>
      <c r="G39525">
        <v>135845</v>
      </c>
      <c r="H39525">
        <v>15180057</v>
      </c>
      <c r="I39525">
        <v>397305</v>
      </c>
      <c r="J39525">
        <v>4</v>
      </c>
    </row>
    <row r="39526" spans="1:10" x14ac:dyDescent="0.25">
      <c r="A39526" t="s">
        <v>401</v>
      </c>
      <c r="B39526" s="1" t="str">
        <f>HYPERLINK("http://waytoblue.com","waytoblue.com")</f>
        <v>waytoblue.com</v>
      </c>
      <c r="C39526" t="s">
        <v>433</v>
      </c>
      <c r="E39526">
        <v>844309</v>
      </c>
      <c r="F39526">
        <v>2.50273302784612E-8</v>
      </c>
      <c r="G39526">
        <v>2064521</v>
      </c>
      <c r="H39526">
        <v>14495301</v>
      </c>
      <c r="I39526">
        <v>876702</v>
      </c>
      <c r="J39526">
        <v>20</v>
      </c>
    </row>
    <row r="39527" spans="1:10" x14ac:dyDescent="0.25">
      <c r="A39527" t="s">
        <v>401</v>
      </c>
      <c r="B39527" s="1" t="str">
        <f>HYPERLINK("http://wdtvpress.com","wdtvpress.com")</f>
        <v>wdtvpress.com</v>
      </c>
      <c r="C39527" t="s">
        <v>433</v>
      </c>
      <c r="E39527">
        <v>745785</v>
      </c>
      <c r="F39527">
        <v>2.6724442261908903E-7</v>
      </c>
      <c r="G39527">
        <v>139443</v>
      </c>
      <c r="H39527">
        <v>14878149</v>
      </c>
      <c r="I39527">
        <v>473814</v>
      </c>
      <c r="J39527">
        <v>8</v>
      </c>
    </row>
    <row r="39528" spans="1:10" x14ac:dyDescent="0.25">
      <c r="A39528" t="s">
        <v>401</v>
      </c>
      <c r="B39528" s="1" t="str">
        <f>HYPERLINK("http://weitmedia.com","weitmedia.com")</f>
        <v>weitmedia.com</v>
      </c>
      <c r="C39528" t="s">
        <v>433</v>
      </c>
      <c r="F39528">
        <v>1.7175301727293501E-8</v>
      </c>
      <c r="G39528">
        <v>3232660</v>
      </c>
      <c r="H39528">
        <v>14417216</v>
      </c>
      <c r="I39528">
        <v>1099013</v>
      </c>
      <c r="J39528">
        <v>14</v>
      </c>
    </row>
    <row r="39529" spans="1:10" x14ac:dyDescent="0.25">
      <c r="A39529" t="s">
        <v>401</v>
      </c>
      <c r="B39529" s="1" t="str">
        <f>HYPERLINK("http://withbuddies.com","withbuddies.com")</f>
        <v>withbuddies.com</v>
      </c>
      <c r="C39529" t="s">
        <v>433</v>
      </c>
      <c r="E39529">
        <v>9183</v>
      </c>
      <c r="F39529">
        <v>7.6190147432170205E-9</v>
      </c>
      <c r="G39529">
        <v>10755593</v>
      </c>
      <c r="H39529">
        <v>13936035</v>
      </c>
      <c r="I39529">
        <v>4507395</v>
      </c>
      <c r="J39529">
        <v>7</v>
      </c>
    </row>
    <row r="39530" spans="1:10" x14ac:dyDescent="0.25">
      <c r="A39530" t="s">
        <v>401</v>
      </c>
      <c r="B39530" s="1" t="str">
        <f>HYPERLINK("http://x100net.com","x100net.com")</f>
        <v>x100net.com</v>
      </c>
      <c r="C39530" t="s">
        <v>433</v>
      </c>
      <c r="F39530">
        <v>4.4438486064529804E-9</v>
      </c>
      <c r="G39530">
        <v>78534373</v>
      </c>
      <c r="H39530">
        <v>10541462</v>
      </c>
      <c r="I39530">
        <v>47182871</v>
      </c>
      <c r="J39530">
        <v>4</v>
      </c>
    </row>
    <row r="39531" spans="1:10" x14ac:dyDescent="0.25">
      <c r="A39531" t="s">
        <v>401</v>
      </c>
      <c r="B39531" s="1" t="str">
        <f>HYPERLINK("http://espn.co.cr","espn.co.cr")</f>
        <v>espn.co.cr</v>
      </c>
      <c r="C39531" t="s">
        <v>434</v>
      </c>
      <c r="D39531" t="s">
        <v>813</v>
      </c>
      <c r="F39531">
        <v>3.49300876011047E-8</v>
      </c>
      <c r="G39531">
        <v>1487030</v>
      </c>
      <c r="H39531">
        <v>14148642</v>
      </c>
      <c r="I39531">
        <v>1884748</v>
      </c>
      <c r="J39531">
        <v>5</v>
      </c>
    </row>
    <row r="39532" spans="1:10" x14ac:dyDescent="0.25">
      <c r="A39532" t="s">
        <v>401</v>
      </c>
      <c r="B39532" s="1" t="str">
        <f>HYPERLINK("http://disney.cz","disney.cz")</f>
        <v>disney.cz</v>
      </c>
      <c r="C39532" t="s">
        <v>435</v>
      </c>
      <c r="D39532" t="s">
        <v>814</v>
      </c>
      <c r="F39532">
        <v>3.4818276389410299E-7</v>
      </c>
      <c r="G39532">
        <v>107357</v>
      </c>
      <c r="H39532">
        <v>14246361</v>
      </c>
      <c r="I39532">
        <v>1461941</v>
      </c>
      <c r="J39532">
        <v>4</v>
      </c>
    </row>
    <row r="39533" spans="1:10" x14ac:dyDescent="0.25">
      <c r="A39533" t="s">
        <v>401</v>
      </c>
      <c r="B39533" s="1" t="str">
        <f>HYPERLINK("http://national-geographic.cz","national-geographic.cz")</f>
        <v>national-geographic.cz</v>
      </c>
      <c r="C39533" t="s">
        <v>435</v>
      </c>
      <c r="D39533" t="s">
        <v>814</v>
      </c>
      <c r="E39533">
        <v>567841</v>
      </c>
      <c r="F39533">
        <v>9.4501502075199004E-8</v>
      </c>
      <c r="G39533">
        <v>429304</v>
      </c>
      <c r="H39533">
        <v>14835860</v>
      </c>
      <c r="I39533">
        <v>501074</v>
      </c>
      <c r="J39533">
        <v>5</v>
      </c>
    </row>
    <row r="39534" spans="1:10" x14ac:dyDescent="0.25">
      <c r="A39534" t="s">
        <v>401</v>
      </c>
      <c r="B39534" s="1" t="str">
        <f>HYPERLINK("http://banijay.de","banijay.de")</f>
        <v>banijay.de</v>
      </c>
      <c r="C39534" t="s">
        <v>436</v>
      </c>
      <c r="D39534" t="s">
        <v>815</v>
      </c>
      <c r="F39534">
        <v>5.21171097390283E-8</v>
      </c>
      <c r="G39534">
        <v>875901</v>
      </c>
      <c r="H39534">
        <v>16752509</v>
      </c>
      <c r="I39534">
        <v>252786</v>
      </c>
      <c r="J39534">
        <v>14</v>
      </c>
    </row>
    <row r="39535" spans="1:10" x14ac:dyDescent="0.25">
      <c r="A39535" t="s">
        <v>401</v>
      </c>
      <c r="B39535" s="1" t="str">
        <f>HYPERLINK("http://disney.de","disney.de")</f>
        <v>disney.de</v>
      </c>
      <c r="C39535" t="s">
        <v>436</v>
      </c>
      <c r="D39535" t="s">
        <v>815</v>
      </c>
      <c r="E39535">
        <v>119704</v>
      </c>
      <c r="F39535">
        <v>1.1863686106158599E-6</v>
      </c>
      <c r="G39535">
        <v>32826</v>
      </c>
      <c r="H39535">
        <v>14769626</v>
      </c>
      <c r="I39535">
        <v>557890</v>
      </c>
      <c r="J39535">
        <v>3</v>
      </c>
    </row>
    <row r="39536" spans="1:10" x14ac:dyDescent="0.25">
      <c r="A39536" t="s">
        <v>401</v>
      </c>
      <c r="B39536" s="1" t="str">
        <f>HYPERLINK("http://disneylandparis.de","disneylandparis.de")</f>
        <v>disneylandparis.de</v>
      </c>
      <c r="C39536" t="s">
        <v>436</v>
      </c>
      <c r="D39536" t="s">
        <v>815</v>
      </c>
      <c r="F39536">
        <v>5.76534907808884E-8</v>
      </c>
      <c r="G39536">
        <v>772976</v>
      </c>
      <c r="H39536">
        <v>13786684</v>
      </c>
      <c r="I39536">
        <v>6382548</v>
      </c>
      <c r="J39536">
        <v>5</v>
      </c>
    </row>
    <row r="39537" spans="1:10" x14ac:dyDescent="0.25">
      <c r="A39537" t="s">
        <v>401</v>
      </c>
      <c r="B39537" s="1" t="str">
        <f>HYPERLINK("http://nationalgeographic.de","nationalgeographic.de")</f>
        <v>nationalgeographic.de</v>
      </c>
      <c r="C39537" t="s">
        <v>436</v>
      </c>
      <c r="D39537" t="s">
        <v>815</v>
      </c>
      <c r="E39537">
        <v>60610</v>
      </c>
      <c r="F39537">
        <v>7.2743765224712802E-7</v>
      </c>
      <c r="G39537">
        <v>53425</v>
      </c>
      <c r="H39537">
        <v>17385000</v>
      </c>
      <c r="I39537">
        <v>20289</v>
      </c>
      <c r="J39537">
        <v>4</v>
      </c>
    </row>
    <row r="39538" spans="1:10" x14ac:dyDescent="0.25">
      <c r="A39538" t="s">
        <v>401</v>
      </c>
      <c r="B39538" s="1" t="str">
        <f>HYPERLINK("http://shopdisney.de","shopdisney.de")</f>
        <v>shopdisney.de</v>
      </c>
      <c r="C39538" t="s">
        <v>436</v>
      </c>
      <c r="D39538" t="s">
        <v>815</v>
      </c>
      <c r="E39538">
        <v>293920</v>
      </c>
      <c r="F39538">
        <v>1.71743168982009E-7</v>
      </c>
      <c r="G39538">
        <v>225839</v>
      </c>
      <c r="H39538">
        <v>14846928</v>
      </c>
      <c r="I39538">
        <v>493052</v>
      </c>
      <c r="J39538">
        <v>5</v>
      </c>
    </row>
    <row r="39539" spans="1:10" x14ac:dyDescent="0.25">
      <c r="A39539" t="s">
        <v>401</v>
      </c>
      <c r="B39539" s="1" t="str">
        <f>HYPERLINK("http://disney.dk","disney.dk")</f>
        <v>disney.dk</v>
      </c>
      <c r="C39539" t="s">
        <v>437</v>
      </c>
      <c r="D39539" t="s">
        <v>816</v>
      </c>
      <c r="F39539">
        <v>3.5893317047579499E-7</v>
      </c>
      <c r="G39539">
        <v>104156</v>
      </c>
      <c r="H39539">
        <v>14815680</v>
      </c>
      <c r="I39539">
        <v>524168</v>
      </c>
      <c r="J39539">
        <v>4</v>
      </c>
    </row>
    <row r="39540" spans="1:10" x14ac:dyDescent="0.25">
      <c r="A39540" t="s">
        <v>401</v>
      </c>
      <c r="B39540" s="1" t="str">
        <f>HYPERLINK("http://disneylandparis.dk","disneylandparis.dk")</f>
        <v>disneylandparis.dk</v>
      </c>
      <c r="C39540" t="s">
        <v>437</v>
      </c>
      <c r="D39540" t="s">
        <v>816</v>
      </c>
      <c r="F39540">
        <v>2.6269637786894799E-8</v>
      </c>
      <c r="G39540">
        <v>1960278</v>
      </c>
      <c r="H39540">
        <v>13934364</v>
      </c>
      <c r="I39540">
        <v>4604712</v>
      </c>
      <c r="J39540">
        <v>5</v>
      </c>
    </row>
    <row r="39541" spans="1:10" x14ac:dyDescent="0.25">
      <c r="A39541" t="s">
        <v>401</v>
      </c>
      <c r="B39541" s="1" t="str">
        <f>HYPERLINK("http://espn.com.do","espn.com.do")</f>
        <v>espn.com.do</v>
      </c>
      <c r="C39541" t="s">
        <v>438</v>
      </c>
      <c r="D39541" t="s">
        <v>817</v>
      </c>
      <c r="E39541">
        <v>344877</v>
      </c>
      <c r="F39541">
        <v>4.3122758294654397E-8</v>
      </c>
      <c r="G39541">
        <v>1113797</v>
      </c>
      <c r="H39541">
        <v>14332158</v>
      </c>
      <c r="I39541">
        <v>1321932</v>
      </c>
      <c r="J39541">
        <v>5</v>
      </c>
    </row>
    <row r="39542" spans="1:10" x14ac:dyDescent="0.25">
      <c r="A39542" t="s">
        <v>401</v>
      </c>
      <c r="B39542" s="1" t="str">
        <f>HYPERLINK("http://espn.com.ec","espn.com.ec")</f>
        <v>espn.com.ec</v>
      </c>
      <c r="C39542" t="s">
        <v>440</v>
      </c>
      <c r="D39542" t="s">
        <v>819</v>
      </c>
      <c r="F39542">
        <v>2.9115685777424901E-8</v>
      </c>
      <c r="G39542">
        <v>1768705</v>
      </c>
      <c r="H39542">
        <v>14150287</v>
      </c>
      <c r="I39542">
        <v>1877745</v>
      </c>
      <c r="J39542">
        <v>5</v>
      </c>
    </row>
    <row r="39543" spans="1:10" x14ac:dyDescent="0.25">
      <c r="A39543" t="s">
        <v>401</v>
      </c>
      <c r="B39543" s="1" t="str">
        <f>HYPERLINK("http://diagonaltv.es","diagonaltv.es")</f>
        <v>diagonaltv.es</v>
      </c>
      <c r="C39543" t="s">
        <v>443</v>
      </c>
      <c r="D39543" t="s">
        <v>822</v>
      </c>
      <c r="F39543">
        <v>1.6967937996734099E-8</v>
      </c>
      <c r="G39543">
        <v>3290920</v>
      </c>
      <c r="H39543">
        <v>14495164</v>
      </c>
      <c r="I39543">
        <v>877480</v>
      </c>
      <c r="J39543">
        <v>14</v>
      </c>
    </row>
    <row r="39544" spans="1:10" x14ac:dyDescent="0.25">
      <c r="A39544" t="s">
        <v>401</v>
      </c>
      <c r="B39544" s="1" t="str">
        <f>HYPERLINK("http://disney.es","disney.es")</f>
        <v>disney.es</v>
      </c>
      <c r="C39544" t="s">
        <v>443</v>
      </c>
      <c r="D39544" t="s">
        <v>822</v>
      </c>
      <c r="E39544">
        <v>168256</v>
      </c>
      <c r="F39544">
        <v>6.09297518101574E-7</v>
      </c>
      <c r="G39544">
        <v>62771</v>
      </c>
      <c r="H39544">
        <v>14669583</v>
      </c>
      <c r="I39544">
        <v>614795</v>
      </c>
      <c r="J39544">
        <v>4</v>
      </c>
    </row>
    <row r="39545" spans="1:10" x14ac:dyDescent="0.25">
      <c r="A39545" t="s">
        <v>401</v>
      </c>
      <c r="B39545" s="1" t="str">
        <f>HYPERLINK("http://disneylandparis.es","disneylandparis.es")</f>
        <v>disneylandparis.es</v>
      </c>
      <c r="C39545" t="s">
        <v>443</v>
      </c>
      <c r="D39545" t="s">
        <v>822</v>
      </c>
      <c r="F39545">
        <v>3.8087968549237001E-8</v>
      </c>
      <c r="G39545">
        <v>1358906</v>
      </c>
      <c r="H39545">
        <v>14506469</v>
      </c>
      <c r="I39545">
        <v>833337</v>
      </c>
      <c r="J39545">
        <v>5</v>
      </c>
    </row>
    <row r="39546" spans="1:10" x14ac:dyDescent="0.25">
      <c r="A39546" t="s">
        <v>401</v>
      </c>
      <c r="B39546" s="1" t="str">
        <f>HYPERLINK("http://espn.es","espn.es")</f>
        <v>espn.es</v>
      </c>
      <c r="C39546" t="s">
        <v>443</v>
      </c>
      <c r="D39546" t="s">
        <v>822</v>
      </c>
      <c r="F39546">
        <v>1.72179073292537E-8</v>
      </c>
      <c r="G39546">
        <v>3220201</v>
      </c>
      <c r="H39546">
        <v>12669325</v>
      </c>
      <c r="I39546">
        <v>15630324</v>
      </c>
      <c r="J39546">
        <v>5</v>
      </c>
    </row>
    <row r="39547" spans="1:10" x14ac:dyDescent="0.25">
      <c r="A39547" t="s">
        <v>401</v>
      </c>
      <c r="B39547" s="1" t="str">
        <f>HYPERLINK("http://gestmusic.es","gestmusic.es")</f>
        <v>gestmusic.es</v>
      </c>
      <c r="C39547" t="s">
        <v>443</v>
      </c>
      <c r="D39547" t="s">
        <v>822</v>
      </c>
      <c r="F39547">
        <v>2.2271137355390598E-8</v>
      </c>
      <c r="G39547">
        <v>2354326</v>
      </c>
      <c r="H39547">
        <v>14246608</v>
      </c>
      <c r="I39547">
        <v>1460821</v>
      </c>
      <c r="J39547">
        <v>14</v>
      </c>
    </row>
    <row r="39548" spans="1:10" x14ac:dyDescent="0.25">
      <c r="A39548" t="s">
        <v>401</v>
      </c>
      <c r="B39548" s="1" t="str">
        <f>HYPERLINK("http://nationalgeographic.es","nationalgeographic.es")</f>
        <v>nationalgeographic.es</v>
      </c>
      <c r="C39548" t="s">
        <v>443</v>
      </c>
      <c r="D39548" t="s">
        <v>822</v>
      </c>
      <c r="E39548">
        <v>56745</v>
      </c>
      <c r="F39548">
        <v>4.2575740734537899E-7</v>
      </c>
      <c r="G39548">
        <v>88469</v>
      </c>
      <c r="H39548">
        <v>15066041</v>
      </c>
      <c r="I39548">
        <v>411768</v>
      </c>
      <c r="J39548">
        <v>4</v>
      </c>
    </row>
    <row r="39549" spans="1:10" x14ac:dyDescent="0.25">
      <c r="A39549" t="s">
        <v>401</v>
      </c>
      <c r="B39549" s="1" t="str">
        <f>HYPERLINK("http://shopdisney.es","shopdisney.es")</f>
        <v>shopdisney.es</v>
      </c>
      <c r="C39549" t="s">
        <v>443</v>
      </c>
      <c r="D39549" t="s">
        <v>822</v>
      </c>
      <c r="E39549">
        <v>363026</v>
      </c>
      <c r="F39549">
        <v>1.7389172814298099E-7</v>
      </c>
      <c r="G39549">
        <v>223005</v>
      </c>
      <c r="H39549">
        <v>14526713</v>
      </c>
      <c r="I39549">
        <v>793814</v>
      </c>
      <c r="J39549">
        <v>5</v>
      </c>
    </row>
    <row r="39550" spans="1:10" x14ac:dyDescent="0.25">
      <c r="A39550" t="s">
        <v>401</v>
      </c>
      <c r="B39550" s="1" t="str">
        <f>HYPERLINK("http://shopdisney.eu","shopdisney.eu")</f>
        <v>shopdisney.eu</v>
      </c>
      <c r="C39550" t="s">
        <v>444</v>
      </c>
      <c r="E39550">
        <v>145556</v>
      </c>
      <c r="F39550">
        <v>1.62153145998651E-7</v>
      </c>
      <c r="G39550">
        <v>239361</v>
      </c>
      <c r="H39550">
        <v>13916740</v>
      </c>
      <c r="I39550">
        <v>5937414</v>
      </c>
      <c r="J39550">
        <v>5</v>
      </c>
    </row>
    <row r="39551" spans="1:10" x14ac:dyDescent="0.25">
      <c r="A39551" t="s">
        <v>401</v>
      </c>
      <c r="B39551" s="1" t="str">
        <f>HYPERLINK("http://thewaltdisneycompany.eu","thewaltdisneycompany.eu")</f>
        <v>thewaltdisneycompany.eu</v>
      </c>
      <c r="C39551" t="s">
        <v>444</v>
      </c>
      <c r="E39551">
        <v>982492</v>
      </c>
      <c r="F39551">
        <v>2.90215148664873E-7</v>
      </c>
      <c r="G39551">
        <v>128221</v>
      </c>
      <c r="H39551">
        <v>14542976</v>
      </c>
      <c r="I39551">
        <v>772466</v>
      </c>
      <c r="J39551">
        <v>2</v>
      </c>
    </row>
    <row r="39552" spans="1:10" x14ac:dyDescent="0.25">
      <c r="A39552" t="s">
        <v>401</v>
      </c>
      <c r="B39552" s="1" t="str">
        <f>HYPERLINK("http://101dalmatialaista.fi","101dalmatialaista.fi")</f>
        <v>101dalmatialaista.fi</v>
      </c>
      <c r="C39552" t="s">
        <v>445</v>
      </c>
      <c r="D39552" t="s">
        <v>823</v>
      </c>
      <c r="J39552">
        <v>6</v>
      </c>
    </row>
    <row r="39553" spans="1:10" x14ac:dyDescent="0.25">
      <c r="A39553" t="s">
        <v>401</v>
      </c>
      <c r="B39553" s="1" t="str">
        <f>HYPERLINK("http://20thcenturyfox.fi","20thcenturyfox.fi")</f>
        <v>20thcenturyfox.fi</v>
      </c>
      <c r="C39553" t="s">
        <v>445</v>
      </c>
      <c r="D39553" t="s">
        <v>823</v>
      </c>
      <c r="J39553">
        <v>4</v>
      </c>
    </row>
    <row r="39554" spans="1:10" x14ac:dyDescent="0.25">
      <c r="A39554" t="s">
        <v>401</v>
      </c>
      <c r="B39554" s="1" t="str">
        <f>HYPERLINK("http://21cf.fi","21cf.fi")</f>
        <v>21cf.fi</v>
      </c>
      <c r="C39554" t="s">
        <v>445</v>
      </c>
      <c r="D39554" t="s">
        <v>823</v>
      </c>
      <c r="J39554">
        <v>4</v>
      </c>
    </row>
    <row r="39555" spans="1:10" x14ac:dyDescent="0.25">
      <c r="A39555" t="s">
        <v>401</v>
      </c>
      <c r="B39555" s="1" t="str">
        <f>HYPERLINK("http://21stcenturyfox.fi","21stcenturyfox.fi")</f>
        <v>21stcenturyfox.fi</v>
      </c>
      <c r="C39555" t="s">
        <v>445</v>
      </c>
      <c r="D39555" t="s">
        <v>823</v>
      </c>
      <c r="J39555">
        <v>7</v>
      </c>
    </row>
    <row r="39556" spans="1:10" x14ac:dyDescent="0.25">
      <c r="A39556" t="s">
        <v>401</v>
      </c>
      <c r="B39556" s="1" t="str">
        <f>HYPERLINK("http://24kitchen.fi","24kitchen.fi")</f>
        <v>24kitchen.fi</v>
      </c>
      <c r="C39556" t="s">
        <v>445</v>
      </c>
      <c r="D39556" t="s">
        <v>823</v>
      </c>
      <c r="F39556">
        <v>4.9545119253907401E-9</v>
      </c>
      <c r="G39556">
        <v>30659650</v>
      </c>
      <c r="H39556">
        <v>13763640</v>
      </c>
      <c r="I39556">
        <v>7946254</v>
      </c>
      <c r="J39556">
        <v>7</v>
      </c>
    </row>
    <row r="39557" spans="1:10" x14ac:dyDescent="0.25">
      <c r="A39557" t="s">
        <v>401</v>
      </c>
      <c r="B39557" s="1" t="str">
        <f>HYPERLINK("http://aivanvillit.fi","aivanvillit.fi")</f>
        <v>aivanvillit.fi</v>
      </c>
      <c r="C39557" t="s">
        <v>445</v>
      </c>
      <c r="D39557" t="s">
        <v>823</v>
      </c>
      <c r="J39557">
        <v>6</v>
      </c>
    </row>
    <row r="39558" spans="1:10" x14ac:dyDescent="0.25">
      <c r="A39558" t="s">
        <v>401</v>
      </c>
      <c r="B39558" s="1" t="str">
        <f>HYPERLINK("http://aladdin.fi","aladdin.fi")</f>
        <v>aladdin.fi</v>
      </c>
      <c r="C39558" t="s">
        <v>445</v>
      </c>
      <c r="D39558" t="s">
        <v>823</v>
      </c>
      <c r="J39558">
        <v>4</v>
      </c>
    </row>
    <row r="39559" spans="1:10" x14ac:dyDescent="0.25">
      <c r="A39559" t="s">
        <v>401</v>
      </c>
      <c r="B39559" s="1" t="str">
        <f>HYPERLINK("http://alvinjapikkuoravat.fi","alvinjapikkuoravat.fi")</f>
        <v>alvinjapikkuoravat.fi</v>
      </c>
      <c r="C39559" t="s">
        <v>445</v>
      </c>
      <c r="D39559" t="s">
        <v>823</v>
      </c>
      <c r="J39559">
        <v>4</v>
      </c>
    </row>
    <row r="39560" spans="1:10" x14ac:dyDescent="0.25">
      <c r="A39560" t="s">
        <v>401</v>
      </c>
      <c r="B39560" s="1" t="str">
        <f>HYPERLINK("http://amazingspiderman.fi","amazingspiderman.fi")</f>
        <v>amazingspiderman.fi</v>
      </c>
      <c r="C39560" t="s">
        <v>445</v>
      </c>
      <c r="D39560" t="s">
        <v>823</v>
      </c>
      <c r="J39560">
        <v>6</v>
      </c>
    </row>
    <row r="39561" spans="1:10" x14ac:dyDescent="0.25">
      <c r="A39561" t="s">
        <v>401</v>
      </c>
      <c r="B39561" s="1" t="str">
        <f>HYPERLINK("http://angrybirdselokuva.fi","angrybirdselokuva.fi")</f>
        <v>angrybirdselokuva.fi</v>
      </c>
      <c r="C39561" t="s">
        <v>445</v>
      </c>
      <c r="D39561" t="s">
        <v>823</v>
      </c>
      <c r="J39561">
        <v>6</v>
      </c>
    </row>
    <row r="39562" spans="1:10" x14ac:dyDescent="0.25">
      <c r="A39562" t="s">
        <v>401</v>
      </c>
      <c r="B39562" s="1" t="str">
        <f>HYPERLINK("http://angrybirdsleffa.fi","angrybirdsleffa.fi")</f>
        <v>angrybirdsleffa.fi</v>
      </c>
      <c r="C39562" t="s">
        <v>445</v>
      </c>
      <c r="D39562" t="s">
        <v>823</v>
      </c>
      <c r="J39562">
        <v>6</v>
      </c>
    </row>
    <row r="39563" spans="1:10" x14ac:dyDescent="0.25">
      <c r="A39563" t="s">
        <v>401</v>
      </c>
      <c r="B39563" s="1" t="str">
        <f>HYPERLINK("http://angrybirdsmovie.fi","angrybirdsmovie.fi")</f>
        <v>angrybirdsmovie.fi</v>
      </c>
      <c r="C39563" t="s">
        <v>445</v>
      </c>
      <c r="D39563" t="s">
        <v>823</v>
      </c>
      <c r="J39563">
        <v>6</v>
      </c>
    </row>
    <row r="39564" spans="1:10" x14ac:dyDescent="0.25">
      <c r="A39564" t="s">
        <v>401</v>
      </c>
      <c r="B39564" s="1" t="str">
        <f>HYPERLINK("http://antmanandthewasp.fi","antmanandthewasp.fi")</f>
        <v>antmanandthewasp.fi</v>
      </c>
      <c r="C39564" t="s">
        <v>445</v>
      </c>
      <c r="D39564" t="s">
        <v>823</v>
      </c>
      <c r="J39564">
        <v>4</v>
      </c>
    </row>
    <row r="39565" spans="1:10" x14ac:dyDescent="0.25">
      <c r="A39565" t="s">
        <v>401</v>
      </c>
      <c r="B39565" s="1" t="str">
        <f>HYPERLINK("http://antmanandthewaspquantumania.fi","antmanandthewaspquantumania.fi")</f>
        <v>antmanandthewaspquantumania.fi</v>
      </c>
      <c r="C39565" t="s">
        <v>445</v>
      </c>
      <c r="D39565" t="s">
        <v>823</v>
      </c>
      <c r="J39565">
        <v>4</v>
      </c>
    </row>
    <row r="39566" spans="1:10" x14ac:dyDescent="0.25">
      <c r="A39566" t="s">
        <v>401</v>
      </c>
      <c r="B39566" s="1" t="str">
        <f>HYPERLINK("http://aristokatitdvd.fi","aristokatitdvd.fi")</f>
        <v>aristokatitdvd.fi</v>
      </c>
      <c r="C39566" t="s">
        <v>445</v>
      </c>
      <c r="D39566" t="s">
        <v>823</v>
      </c>
      <c r="J39566">
        <v>6</v>
      </c>
    </row>
    <row r="39567" spans="1:10" x14ac:dyDescent="0.25">
      <c r="A39567" t="s">
        <v>401</v>
      </c>
      <c r="B39567" s="1" t="str">
        <f>HYPERLINK("http://artemisfowl.fi","artemisfowl.fi")</f>
        <v>artemisfowl.fi</v>
      </c>
      <c r="C39567" t="s">
        <v>445</v>
      </c>
      <c r="D39567" t="s">
        <v>823</v>
      </c>
      <c r="J39567">
        <v>4</v>
      </c>
    </row>
    <row r="39568" spans="1:10" x14ac:dyDescent="0.25">
      <c r="A39568" t="s">
        <v>401</v>
      </c>
      <c r="B39568" s="1" t="str">
        <f>HYPERLINK("http://autot-elokuva.fi","autot-elokuva.fi")</f>
        <v>autot-elokuva.fi</v>
      </c>
      <c r="C39568" t="s">
        <v>445</v>
      </c>
      <c r="D39568" t="s">
        <v>823</v>
      </c>
      <c r="J39568">
        <v>6</v>
      </c>
    </row>
    <row r="39569" spans="1:10" x14ac:dyDescent="0.25">
      <c r="A39569" t="s">
        <v>401</v>
      </c>
      <c r="B39569" s="1" t="str">
        <f>HYPERLINK("http://avengersendgame.fi","avengersendgame.fi")</f>
        <v>avengersendgame.fi</v>
      </c>
      <c r="C39569" t="s">
        <v>445</v>
      </c>
      <c r="D39569" t="s">
        <v>823</v>
      </c>
      <c r="J39569">
        <v>4</v>
      </c>
    </row>
    <row r="39570" spans="1:10" x14ac:dyDescent="0.25">
      <c r="A39570" t="s">
        <v>401</v>
      </c>
      <c r="B39570" s="1" t="str">
        <f>HYPERLINK("http://avengersinfinitywar.fi","avengersinfinitywar.fi")</f>
        <v>avengersinfinitywar.fi</v>
      </c>
      <c r="C39570" t="s">
        <v>445</v>
      </c>
      <c r="D39570" t="s">
        <v>823</v>
      </c>
      <c r="J39570">
        <v>4</v>
      </c>
    </row>
    <row r="39571" spans="1:10" x14ac:dyDescent="0.25">
      <c r="A39571" t="s">
        <v>401</v>
      </c>
      <c r="B39571" s="1" t="str">
        <f>HYPERLINK("http://banijay.fi","banijay.fi")</f>
        <v>banijay.fi</v>
      </c>
      <c r="C39571" t="s">
        <v>445</v>
      </c>
      <c r="D39571" t="s">
        <v>823</v>
      </c>
      <c r="F39571">
        <v>6.3410488354454099E-9</v>
      </c>
      <c r="G39571">
        <v>14805998</v>
      </c>
      <c r="H39571">
        <v>11066422</v>
      </c>
      <c r="I39571">
        <v>32618383</v>
      </c>
      <c r="J39571">
        <v>14</v>
      </c>
    </row>
    <row r="39572" spans="1:10" x14ac:dyDescent="0.25">
      <c r="A39572" t="s">
        <v>401</v>
      </c>
      <c r="B39572" s="1" t="str">
        <f>HYPERLINK("http://banijayfinland.fi","banijayfinland.fi")</f>
        <v>banijayfinland.fi</v>
      </c>
      <c r="C39572" t="s">
        <v>445</v>
      </c>
      <c r="D39572" t="s">
        <v>823</v>
      </c>
      <c r="J39572">
        <v>16</v>
      </c>
    </row>
    <row r="39573" spans="1:10" x14ac:dyDescent="0.25">
      <c r="A39573" t="s">
        <v>401</v>
      </c>
      <c r="B39573" s="1" t="str">
        <f>HYPERLINK("http://blackpantherwakandaforever.fi","blackpantherwakandaforever.fi")</f>
        <v>blackpantherwakandaforever.fi</v>
      </c>
      <c r="C39573" t="s">
        <v>445</v>
      </c>
      <c r="D39573" t="s">
        <v>823</v>
      </c>
      <c r="J39573">
        <v>4</v>
      </c>
    </row>
    <row r="39574" spans="1:10" x14ac:dyDescent="0.25">
      <c r="A39574" t="s">
        <v>401</v>
      </c>
      <c r="B39574" s="1" t="str">
        <f>HYPERLINK("http://blackwidow.fi","blackwidow.fi")</f>
        <v>blackwidow.fi</v>
      </c>
      <c r="C39574" t="s">
        <v>445</v>
      </c>
      <c r="D39574" t="s">
        <v>823</v>
      </c>
      <c r="J39574">
        <v>4</v>
      </c>
    </row>
    <row r="39575" spans="1:10" x14ac:dyDescent="0.25">
      <c r="A39575" t="s">
        <v>401</v>
      </c>
      <c r="B39575" s="1" t="str">
        <f>HYPERLINK("http://bolt-elokuva.fi","bolt-elokuva.fi")</f>
        <v>bolt-elokuva.fi</v>
      </c>
      <c r="C39575" t="s">
        <v>445</v>
      </c>
      <c r="D39575" t="s">
        <v>823</v>
      </c>
      <c r="J39575">
        <v>6</v>
      </c>
    </row>
    <row r="39576" spans="1:10" x14ac:dyDescent="0.25">
      <c r="A39576" t="s">
        <v>401</v>
      </c>
      <c r="B39576" s="1" t="str">
        <f>HYPERLINK("http://bossbaby.fi","bossbaby.fi")</f>
        <v>bossbaby.fi</v>
      </c>
      <c r="C39576" t="s">
        <v>445</v>
      </c>
      <c r="D39576" t="s">
        <v>823</v>
      </c>
      <c r="J39576">
        <v>7</v>
      </c>
    </row>
    <row r="39577" spans="1:10" x14ac:dyDescent="0.25">
      <c r="A39577" t="s">
        <v>401</v>
      </c>
      <c r="B39577" s="1" t="str">
        <f>HYPERLINK("http://broadcasters.fi","broadcasters.fi")</f>
        <v>broadcasters.fi</v>
      </c>
      <c r="C39577" t="s">
        <v>445</v>
      </c>
      <c r="D39577" t="s">
        <v>823</v>
      </c>
      <c r="F39577">
        <v>4.9261000381799499E-9</v>
      </c>
      <c r="G39577">
        <v>31497328</v>
      </c>
      <c r="H39577">
        <v>14071790</v>
      </c>
      <c r="I39577">
        <v>3510526</v>
      </c>
      <c r="J39577">
        <v>16</v>
      </c>
    </row>
    <row r="39578" spans="1:10" x14ac:dyDescent="0.25">
      <c r="A39578" t="s">
        <v>401</v>
      </c>
      <c r="B39578" s="1" t="str">
        <f>HYPERLINK("http://buddiesmovies.fi","buddiesmovies.fi")</f>
        <v>buddiesmovies.fi</v>
      </c>
      <c r="C39578" t="s">
        <v>445</v>
      </c>
      <c r="D39578" t="s">
        <v>823</v>
      </c>
      <c r="J39578">
        <v>6</v>
      </c>
    </row>
    <row r="39579" spans="1:10" x14ac:dyDescent="0.25">
      <c r="A39579" t="s">
        <v>401</v>
      </c>
      <c r="B39579" s="1" t="str">
        <f>HYPERLINK("http://buenavista.fi","buenavista.fi")</f>
        <v>buenavista.fi</v>
      </c>
      <c r="C39579" t="s">
        <v>445</v>
      </c>
      <c r="D39579" t="s">
        <v>823</v>
      </c>
      <c r="J39579">
        <v>6</v>
      </c>
    </row>
    <row r="39580" spans="1:10" x14ac:dyDescent="0.25">
      <c r="A39580" t="s">
        <v>401</v>
      </c>
      <c r="B39580" s="1" t="str">
        <f>HYPERLINK("http://camprock.fi","camprock.fi")</f>
        <v>camprock.fi</v>
      </c>
      <c r="C39580" t="s">
        <v>445</v>
      </c>
      <c r="D39580" t="s">
        <v>823</v>
      </c>
      <c r="J39580">
        <v>6</v>
      </c>
    </row>
    <row r="39581" spans="1:10" x14ac:dyDescent="0.25">
      <c r="A39581" t="s">
        <v>401</v>
      </c>
      <c r="B39581" s="1" t="str">
        <f>HYPERLINK("http://captainmarvel.fi","captainmarvel.fi")</f>
        <v>captainmarvel.fi</v>
      </c>
      <c r="C39581" t="s">
        <v>445</v>
      </c>
      <c r="D39581" t="s">
        <v>823</v>
      </c>
      <c r="J39581">
        <v>4</v>
      </c>
    </row>
    <row r="39582" spans="1:10" x14ac:dyDescent="0.25">
      <c r="A39582" t="s">
        <v>401</v>
      </c>
      <c r="B39582" s="1" t="str">
        <f>HYPERLINK("http://cars2.fi","cars2.fi")</f>
        <v>cars2.fi</v>
      </c>
      <c r="C39582" t="s">
        <v>445</v>
      </c>
      <c r="D39582" t="s">
        <v>823</v>
      </c>
      <c r="J39582">
        <v>6</v>
      </c>
    </row>
    <row r="39583" spans="1:10" x14ac:dyDescent="0.25">
      <c r="A39583" t="s">
        <v>401</v>
      </c>
      <c r="B39583" s="1" t="str">
        <f>HYPERLINK("http://cars2-doublemission.fi","cars2-doublemission.fi")</f>
        <v>cars2-doublemission.fi</v>
      </c>
      <c r="C39583" t="s">
        <v>445</v>
      </c>
      <c r="D39583" t="s">
        <v>823</v>
      </c>
      <c r="J39583">
        <v>6</v>
      </c>
    </row>
    <row r="39584" spans="1:10" x14ac:dyDescent="0.25">
      <c r="A39584" t="s">
        <v>401</v>
      </c>
      <c r="B39584" s="1" t="str">
        <f>HYPERLINK("http://chevalierfilm.fi","chevalierfilm.fi")</f>
        <v>chevalierfilm.fi</v>
      </c>
      <c r="C39584" t="s">
        <v>445</v>
      </c>
      <c r="D39584" t="s">
        <v>823</v>
      </c>
      <c r="J39584">
        <v>4</v>
      </c>
    </row>
    <row r="39585" spans="1:10" x14ac:dyDescent="0.25">
      <c r="A39585" t="s">
        <v>401</v>
      </c>
      <c r="B39585" s="1" t="str">
        <f>HYPERLINK("http://christmascarol.fi","christmascarol.fi")</f>
        <v>christmascarol.fi</v>
      </c>
      <c r="C39585" t="s">
        <v>445</v>
      </c>
      <c r="D39585" t="s">
        <v>823</v>
      </c>
      <c r="J39585">
        <v>6</v>
      </c>
    </row>
    <row r="39586" spans="1:10" x14ac:dyDescent="0.25">
      <c r="A39586" t="s">
        <v>401</v>
      </c>
      <c r="B39586" s="1" t="str">
        <f>HYPERLINK("http://clubpenguin.fi","clubpenguin.fi")</f>
        <v>clubpenguin.fi</v>
      </c>
      <c r="C39586" t="s">
        <v>445</v>
      </c>
      <c r="D39586" t="s">
        <v>823</v>
      </c>
      <c r="J39586">
        <v>6</v>
      </c>
    </row>
    <row r="39587" spans="1:10" x14ac:dyDescent="0.25">
      <c r="A39587" t="s">
        <v>401</v>
      </c>
      <c r="B39587" s="1" t="str">
        <f>HYPERLINK("http://cruella.fi","cruella.fi")</f>
        <v>cruella.fi</v>
      </c>
      <c r="C39587" t="s">
        <v>445</v>
      </c>
      <c r="D39587" t="s">
        <v>823</v>
      </c>
      <c r="J39587">
        <v>4</v>
      </c>
    </row>
    <row r="39588" spans="1:10" x14ac:dyDescent="0.25">
      <c r="A39588" t="s">
        <v>401</v>
      </c>
      <c r="B39588" s="1" t="str">
        <f>HYPERLINK("http://dejavu-elokuva.fi","dejavu-elokuva.fi")</f>
        <v>dejavu-elokuva.fi</v>
      </c>
      <c r="C39588" t="s">
        <v>445</v>
      </c>
      <c r="D39588" t="s">
        <v>823</v>
      </c>
      <c r="J39588">
        <v>6</v>
      </c>
    </row>
    <row r="39589" spans="1:10" x14ac:dyDescent="0.25">
      <c r="A39589" t="s">
        <v>401</v>
      </c>
      <c r="B39589" s="1" t="str">
        <f>HYPERLINK("http://dejavu-leffa.fi","dejavu-leffa.fi")</f>
        <v>dejavu-leffa.fi</v>
      </c>
      <c r="C39589" t="s">
        <v>445</v>
      </c>
      <c r="D39589" t="s">
        <v>823</v>
      </c>
      <c r="J39589">
        <v>6</v>
      </c>
    </row>
    <row r="39590" spans="1:10" x14ac:dyDescent="0.25">
      <c r="A39590" t="s">
        <v>401</v>
      </c>
      <c r="B39590" s="1" t="str">
        <f>HYPERLINK("http://dhd.fi","dhd.fi")</f>
        <v>dhd.fi</v>
      </c>
      <c r="C39590" t="s">
        <v>445</v>
      </c>
      <c r="D39590" t="s">
        <v>823</v>
      </c>
      <c r="J39590">
        <v>4</v>
      </c>
    </row>
    <row r="39591" spans="1:10" x14ac:dyDescent="0.25">
      <c r="A39591" t="s">
        <v>401</v>
      </c>
      <c r="B39591" s="1" t="str">
        <f>HYPERLINK("http://digital-hd.fi","digital-hd.fi")</f>
        <v>digital-hd.fi</v>
      </c>
      <c r="C39591" t="s">
        <v>445</v>
      </c>
      <c r="D39591" t="s">
        <v>823</v>
      </c>
      <c r="J39591">
        <v>4</v>
      </c>
    </row>
    <row r="39592" spans="1:10" x14ac:dyDescent="0.25">
      <c r="A39592" t="s">
        <v>401</v>
      </c>
      <c r="B39592" s="1" t="str">
        <f>HYPERLINK("http://digitalhd.fi","digitalhd.fi")</f>
        <v>digitalhd.fi</v>
      </c>
      <c r="C39592" t="s">
        <v>445</v>
      </c>
      <c r="D39592" t="s">
        <v>823</v>
      </c>
      <c r="J39592">
        <v>4</v>
      </c>
    </row>
    <row r="39593" spans="1:10" x14ac:dyDescent="0.25">
      <c r="A39593" t="s">
        <v>401</v>
      </c>
      <c r="B39593" s="1" t="str">
        <f>HYPERLINK("http://disney.fi","disney.fi")</f>
        <v>disney.fi</v>
      </c>
      <c r="C39593" t="s">
        <v>445</v>
      </c>
      <c r="D39593" t="s">
        <v>823</v>
      </c>
      <c r="F39593">
        <v>3.5275688144652999E-7</v>
      </c>
      <c r="G39593">
        <v>105997</v>
      </c>
      <c r="H39593">
        <v>14586014</v>
      </c>
      <c r="I39593">
        <v>700933</v>
      </c>
      <c r="J39593">
        <v>4</v>
      </c>
    </row>
    <row r="39594" spans="1:10" x14ac:dyDescent="0.25">
      <c r="A39594" t="s">
        <v>401</v>
      </c>
      <c r="B39594" s="1" t="str">
        <f>HYPERLINK("http://disney-100.fi","disney-100.fi")</f>
        <v>disney-100.fi</v>
      </c>
      <c r="C39594" t="s">
        <v>445</v>
      </c>
      <c r="D39594" t="s">
        <v>823</v>
      </c>
      <c r="J39594">
        <v>4</v>
      </c>
    </row>
    <row r="39595" spans="1:10" x14ac:dyDescent="0.25">
      <c r="A39595" t="s">
        <v>401</v>
      </c>
      <c r="B39595" s="1" t="str">
        <f>HYPERLINK("http://disney-now.fi","disney-now.fi")</f>
        <v>disney-now.fi</v>
      </c>
      <c r="C39595" t="s">
        <v>445</v>
      </c>
      <c r="D39595" t="s">
        <v>823</v>
      </c>
      <c r="J39595">
        <v>4</v>
      </c>
    </row>
    <row r="39596" spans="1:10" x14ac:dyDescent="0.25">
      <c r="A39596" t="s">
        <v>401</v>
      </c>
      <c r="B39596" s="1" t="str">
        <f>HYPERLINK("http://disney-outlet.fi","disney-outlet.fi")</f>
        <v>disney-outlet.fi</v>
      </c>
      <c r="C39596" t="s">
        <v>445</v>
      </c>
      <c r="D39596" t="s">
        <v>823</v>
      </c>
      <c r="J39596">
        <v>4</v>
      </c>
    </row>
    <row r="39597" spans="1:10" x14ac:dyDescent="0.25">
      <c r="A39597" t="s">
        <v>401</v>
      </c>
      <c r="B39597" s="1" t="str">
        <f>HYPERLINK("http://disney-planet-possible.fi","disney-planet-possible.fi")</f>
        <v>disney-planet-possible.fi</v>
      </c>
      <c r="C39597" t="s">
        <v>445</v>
      </c>
      <c r="D39597" t="s">
        <v>823</v>
      </c>
      <c r="J39597">
        <v>4</v>
      </c>
    </row>
    <row r="39598" spans="1:10" x14ac:dyDescent="0.25">
      <c r="A39598" t="s">
        <v>401</v>
      </c>
      <c r="B39598" s="1" t="str">
        <f>HYPERLINK("http://disney-plus.fi","disney-plus.fi")</f>
        <v>disney-plus.fi</v>
      </c>
      <c r="C39598" t="s">
        <v>445</v>
      </c>
      <c r="D39598" t="s">
        <v>823</v>
      </c>
      <c r="J39598">
        <v>4</v>
      </c>
    </row>
    <row r="39599" spans="1:10" x14ac:dyDescent="0.25">
      <c r="A39599" t="s">
        <v>401</v>
      </c>
      <c r="B39599" s="1" t="str">
        <f>HYPERLINK("http://disney-princess-stories.fi","disney-princess-stories.fi")</f>
        <v>disney-princess-stories.fi</v>
      </c>
      <c r="C39599" t="s">
        <v>445</v>
      </c>
      <c r="D39599" t="s">
        <v>823</v>
      </c>
      <c r="J39599">
        <v>4</v>
      </c>
    </row>
    <row r="39600" spans="1:10" x14ac:dyDescent="0.25">
      <c r="A39600" t="s">
        <v>401</v>
      </c>
      <c r="B39600" s="1" t="str">
        <f>HYPERLINK("http://disney100.fi","disney100.fi")</f>
        <v>disney100.fi</v>
      </c>
      <c r="C39600" t="s">
        <v>445</v>
      </c>
      <c r="D39600" t="s">
        <v>823</v>
      </c>
      <c r="J39600">
        <v>4</v>
      </c>
    </row>
    <row r="39601" spans="1:10" x14ac:dyDescent="0.25">
      <c r="A39601" t="s">
        <v>401</v>
      </c>
      <c r="B39601" s="1" t="str">
        <f>HYPERLINK("http://disneyadvertising.fi","disneyadvertising.fi")</f>
        <v>disneyadvertising.fi</v>
      </c>
      <c r="C39601" t="s">
        <v>445</v>
      </c>
      <c r="D39601" t="s">
        <v>823</v>
      </c>
      <c r="J39601">
        <v>4</v>
      </c>
    </row>
    <row r="39602" spans="1:10" x14ac:dyDescent="0.25">
      <c r="A39602" t="s">
        <v>401</v>
      </c>
      <c r="B39602" s="1" t="str">
        <f>HYPERLINK("http://disneyallaccess.fi","disneyallaccess.fi")</f>
        <v>disneyallaccess.fi</v>
      </c>
      <c r="C39602" t="s">
        <v>445</v>
      </c>
      <c r="D39602" t="s">
        <v>823</v>
      </c>
      <c r="J39602">
        <v>6</v>
      </c>
    </row>
    <row r="39603" spans="1:10" x14ac:dyDescent="0.25">
      <c r="A39603" t="s">
        <v>401</v>
      </c>
      <c r="B39603" s="1" t="str">
        <f>HYPERLINK("http://disneyauctions.fi","disneyauctions.fi")</f>
        <v>disneyauctions.fi</v>
      </c>
      <c r="C39603" t="s">
        <v>445</v>
      </c>
      <c r="D39603" t="s">
        <v>823</v>
      </c>
      <c r="F39603">
        <v>4.4438425958010404E-9</v>
      </c>
      <c r="G39603">
        <v>78712305</v>
      </c>
      <c r="H39603">
        <v>10535755</v>
      </c>
      <c r="I39603">
        <v>47614964</v>
      </c>
      <c r="J39603">
        <v>6</v>
      </c>
    </row>
    <row r="39604" spans="1:10" x14ac:dyDescent="0.25">
      <c r="A39604" t="s">
        <v>401</v>
      </c>
      <c r="B39604" s="1" t="str">
        <f>HYPERLINK("http://disneycatalog.fi","disneycatalog.fi")</f>
        <v>disneycatalog.fi</v>
      </c>
      <c r="C39604" t="s">
        <v>445</v>
      </c>
      <c r="D39604" t="s">
        <v>823</v>
      </c>
      <c r="J39604">
        <v>6</v>
      </c>
    </row>
    <row r="39605" spans="1:10" x14ac:dyDescent="0.25">
      <c r="A39605" t="s">
        <v>401</v>
      </c>
      <c r="B39605" s="1" t="str">
        <f>HYPERLINK("http://disneychannel.fi","disneychannel.fi")</f>
        <v>disneychannel.fi</v>
      </c>
      <c r="C39605" t="s">
        <v>445</v>
      </c>
      <c r="D39605" t="s">
        <v>823</v>
      </c>
      <c r="J39605">
        <v>6</v>
      </c>
    </row>
    <row r="39606" spans="1:10" x14ac:dyDescent="0.25">
      <c r="A39606" t="s">
        <v>401</v>
      </c>
      <c r="B39606" s="1" t="str">
        <f>HYPERLINK("http://disneyclubpenguin.fi","disneyclubpenguin.fi")</f>
        <v>disneyclubpenguin.fi</v>
      </c>
      <c r="C39606" t="s">
        <v>445</v>
      </c>
      <c r="D39606" t="s">
        <v>823</v>
      </c>
      <c r="J39606">
        <v>6</v>
      </c>
    </row>
    <row r="39607" spans="1:10" x14ac:dyDescent="0.25">
      <c r="A39607" t="s">
        <v>401</v>
      </c>
      <c r="B39607" s="1" t="str">
        <f>HYPERLINK("http://disneydigitalcopy.fi","disneydigitalcopy.fi")</f>
        <v>disneydigitalcopy.fi</v>
      </c>
      <c r="C39607" t="s">
        <v>445</v>
      </c>
      <c r="D39607" t="s">
        <v>823</v>
      </c>
      <c r="J39607">
        <v>6</v>
      </c>
    </row>
    <row r="39608" spans="1:10" x14ac:dyDescent="0.25">
      <c r="A39608" t="s">
        <v>401</v>
      </c>
      <c r="B39608" s="1" t="str">
        <f>HYPERLINK("http://disneyelokuvat.fi","disneyelokuvat.fi")</f>
        <v>disneyelokuvat.fi</v>
      </c>
      <c r="C39608" t="s">
        <v>445</v>
      </c>
      <c r="D39608" t="s">
        <v>823</v>
      </c>
      <c r="J39608">
        <v>6</v>
      </c>
    </row>
    <row r="39609" spans="1:10" x14ac:dyDescent="0.25">
      <c r="A39609" t="s">
        <v>401</v>
      </c>
      <c r="B39609" s="1" t="str">
        <f>HYPERLINK("http://disneyencanto.fi","disneyencanto.fi")</f>
        <v>disneyencanto.fi</v>
      </c>
      <c r="C39609" t="s">
        <v>445</v>
      </c>
      <c r="D39609" t="s">
        <v>823</v>
      </c>
      <c r="J39609">
        <v>4</v>
      </c>
    </row>
    <row r="39610" spans="1:10" x14ac:dyDescent="0.25">
      <c r="A39610" t="s">
        <v>401</v>
      </c>
      <c r="B39610" s="1" t="str">
        <f>HYPERLINK("http://disneyfairies.fi","disneyfairies.fi")</f>
        <v>disneyfairies.fi</v>
      </c>
      <c r="C39610" t="s">
        <v>445</v>
      </c>
      <c r="D39610" t="s">
        <v>823</v>
      </c>
      <c r="J39610">
        <v>6</v>
      </c>
    </row>
    <row r="39611" spans="1:10" x14ac:dyDescent="0.25">
      <c r="A39611" t="s">
        <v>401</v>
      </c>
      <c r="B39611" s="1" t="str">
        <f>HYPERLINK("http://disneygallery.fi","disneygallery.fi")</f>
        <v>disneygallery.fi</v>
      </c>
      <c r="C39611" t="s">
        <v>445</v>
      </c>
      <c r="D39611" t="s">
        <v>823</v>
      </c>
      <c r="J39611">
        <v>6</v>
      </c>
    </row>
    <row r="39612" spans="1:10" x14ac:dyDescent="0.25">
      <c r="A39612" t="s">
        <v>401</v>
      </c>
      <c r="B39612" s="1" t="str">
        <f>HYPERLINK("http://disneyholidays.fi","disneyholidays.fi")</f>
        <v>disneyholidays.fi</v>
      </c>
      <c r="C39612" t="s">
        <v>445</v>
      </c>
      <c r="D39612" t="s">
        <v>823</v>
      </c>
      <c r="J39612">
        <v>4</v>
      </c>
    </row>
    <row r="39613" spans="1:10" x14ac:dyDescent="0.25">
      <c r="A39613" t="s">
        <v>401</v>
      </c>
      <c r="B39613" s="1" t="str">
        <f>HYPERLINK("http://disneyinfinity.fi","disneyinfinity.fi")</f>
        <v>disneyinfinity.fi</v>
      </c>
      <c r="C39613" t="s">
        <v>445</v>
      </c>
      <c r="D39613" t="s">
        <v>823</v>
      </c>
      <c r="J39613">
        <v>8</v>
      </c>
    </row>
    <row r="39614" spans="1:10" x14ac:dyDescent="0.25">
      <c r="A39614" t="s">
        <v>401</v>
      </c>
      <c r="B39614" s="1" t="str">
        <f>HYPERLINK("http://disneyjr.fi","disneyjr.fi")</f>
        <v>disneyjr.fi</v>
      </c>
      <c r="C39614" t="s">
        <v>445</v>
      </c>
      <c r="D39614" t="s">
        <v>823</v>
      </c>
      <c r="J39614">
        <v>6</v>
      </c>
    </row>
    <row r="39615" spans="1:10" x14ac:dyDescent="0.25">
      <c r="A39615" t="s">
        <v>401</v>
      </c>
      <c r="B39615" s="1" t="str">
        <f>HYPERLINK("http://disneyjunior.fi","disneyjunior.fi")</f>
        <v>disneyjunior.fi</v>
      </c>
      <c r="C39615" t="s">
        <v>445</v>
      </c>
      <c r="D39615" t="s">
        <v>823</v>
      </c>
      <c r="F39615">
        <v>4.9163486943717898E-9</v>
      </c>
      <c r="G39615">
        <v>31904284</v>
      </c>
      <c r="H39615">
        <v>14071789</v>
      </c>
      <c r="I39615">
        <v>3634991</v>
      </c>
      <c r="J39615">
        <v>6</v>
      </c>
    </row>
    <row r="39616" spans="1:10" x14ac:dyDescent="0.25">
      <c r="A39616" t="s">
        <v>401</v>
      </c>
      <c r="B39616" s="1" t="str">
        <f>HYPERLINK("http://disneylandparis.fi","disneylandparis.fi")</f>
        <v>disneylandparis.fi</v>
      </c>
      <c r="C39616" t="s">
        <v>445</v>
      </c>
      <c r="D39616" t="s">
        <v>823</v>
      </c>
      <c r="J39616">
        <v>6</v>
      </c>
    </row>
    <row r="39617" spans="1:10" x14ac:dyDescent="0.25">
      <c r="A39617" t="s">
        <v>401</v>
      </c>
      <c r="B39617" s="1" t="str">
        <f>HYPERLINK("http://disneylife.fi","disneylife.fi")</f>
        <v>disneylife.fi</v>
      </c>
      <c r="C39617" t="s">
        <v>445</v>
      </c>
      <c r="D39617" t="s">
        <v>823</v>
      </c>
      <c r="J39617">
        <v>6</v>
      </c>
    </row>
    <row r="39618" spans="1:10" x14ac:dyDescent="0.25">
      <c r="A39618" t="s">
        <v>401</v>
      </c>
      <c r="B39618" s="1" t="str">
        <f>HYPERLINK("http://disneylinna.fi","disneylinna.fi")</f>
        <v>disneylinna.fi</v>
      </c>
      <c r="C39618" t="s">
        <v>445</v>
      </c>
      <c r="D39618" t="s">
        <v>823</v>
      </c>
      <c r="J39618">
        <v>6</v>
      </c>
    </row>
    <row r="39619" spans="1:10" x14ac:dyDescent="0.25">
      <c r="A39619" t="s">
        <v>401</v>
      </c>
      <c r="B39619" s="1" t="str">
        <f>HYPERLINK("http://disneylive.fi","disneylive.fi")</f>
        <v>disneylive.fi</v>
      </c>
      <c r="C39619" t="s">
        <v>445</v>
      </c>
      <c r="D39619" t="s">
        <v>823</v>
      </c>
      <c r="J39619">
        <v>6</v>
      </c>
    </row>
    <row r="39620" spans="1:10" x14ac:dyDescent="0.25">
      <c r="A39620" t="s">
        <v>401</v>
      </c>
      <c r="B39620" s="1" t="str">
        <f>HYPERLINK("http://disneyluca.fi","disneyluca.fi")</f>
        <v>disneyluca.fi</v>
      </c>
      <c r="C39620" t="s">
        <v>445</v>
      </c>
      <c r="D39620" t="s">
        <v>823</v>
      </c>
      <c r="F39620">
        <v>4.4438425958010404E-9</v>
      </c>
      <c r="G39620">
        <v>78712306</v>
      </c>
      <c r="H39620">
        <v>10535755</v>
      </c>
      <c r="I39620">
        <v>47614965</v>
      </c>
      <c r="J39620">
        <v>4</v>
      </c>
    </row>
    <row r="39621" spans="1:10" x14ac:dyDescent="0.25">
      <c r="A39621" t="s">
        <v>401</v>
      </c>
      <c r="B39621" s="1" t="str">
        <f>HYPERLINK("http://disneymaagistaaikaayhdessa.fi","disneymaagistaaikaayhdessa.fi")</f>
        <v>disneymaagistaaikaayhdessa.fi</v>
      </c>
      <c r="C39621" t="s">
        <v>445</v>
      </c>
      <c r="D39621" t="s">
        <v>823</v>
      </c>
      <c r="J39621">
        <v>4</v>
      </c>
    </row>
    <row r="39622" spans="1:10" x14ac:dyDescent="0.25">
      <c r="A39622" t="s">
        <v>401</v>
      </c>
      <c r="B39622" s="1" t="str">
        <f>HYPERLINK("http://disneymediaplus.fi","disneymediaplus.fi")</f>
        <v>disneymediaplus.fi</v>
      </c>
      <c r="C39622" t="s">
        <v>445</v>
      </c>
      <c r="D39622" t="s">
        <v>823</v>
      </c>
      <c r="J39622">
        <v>6</v>
      </c>
    </row>
    <row r="39623" spans="1:10" x14ac:dyDescent="0.25">
      <c r="A39623" t="s">
        <v>401</v>
      </c>
      <c r="B39623" s="1" t="str">
        <f>HYPERLINK("http://disneymovierewards.fi","disneymovierewards.fi")</f>
        <v>disneymovierewards.fi</v>
      </c>
      <c r="C39623" t="s">
        <v>445</v>
      </c>
      <c r="D39623" t="s">
        <v>823</v>
      </c>
      <c r="J39623">
        <v>6</v>
      </c>
    </row>
    <row r="39624" spans="1:10" x14ac:dyDescent="0.25">
      <c r="A39624" t="s">
        <v>401</v>
      </c>
      <c r="B39624" s="1" t="str">
        <f>HYPERLINK("http://disneynature.fi","disneynature.fi")</f>
        <v>disneynature.fi</v>
      </c>
      <c r="C39624" t="s">
        <v>445</v>
      </c>
      <c r="D39624" t="s">
        <v>823</v>
      </c>
      <c r="J39624">
        <v>6</v>
      </c>
    </row>
    <row r="39625" spans="1:10" x14ac:dyDescent="0.25">
      <c r="A39625" t="s">
        <v>401</v>
      </c>
      <c r="B39625" s="1" t="str">
        <f>HYPERLINK("http://disneyniltasatuja.fi","disneyniltasatuja.fi")</f>
        <v>disneyniltasatuja.fi</v>
      </c>
      <c r="C39625" t="s">
        <v>445</v>
      </c>
      <c r="D39625" t="s">
        <v>823</v>
      </c>
      <c r="J39625">
        <v>6</v>
      </c>
    </row>
    <row r="39626" spans="1:10" x14ac:dyDescent="0.25">
      <c r="A39626" t="s">
        <v>401</v>
      </c>
      <c r="B39626" s="1" t="str">
        <f>HYPERLINK("http://disneynow.fi","disneynow.fi")</f>
        <v>disneynow.fi</v>
      </c>
      <c r="C39626" t="s">
        <v>445</v>
      </c>
      <c r="D39626" t="s">
        <v>823</v>
      </c>
      <c r="J39626">
        <v>4</v>
      </c>
    </row>
    <row r="39627" spans="1:10" x14ac:dyDescent="0.25">
      <c r="A39627" t="s">
        <v>401</v>
      </c>
      <c r="B39627" s="1" t="str">
        <f>HYPERLINK("http://disneyonice.fi","disneyonice.fi")</f>
        <v>disneyonice.fi</v>
      </c>
      <c r="C39627" t="s">
        <v>445</v>
      </c>
      <c r="D39627" t="s">
        <v>823</v>
      </c>
      <c r="J39627">
        <v>6</v>
      </c>
    </row>
    <row r="39628" spans="1:10" x14ac:dyDescent="0.25">
      <c r="A39628" t="s">
        <v>401</v>
      </c>
      <c r="B39628" s="1" t="str">
        <f>HYPERLINK("http://disneyoutlet.fi","disneyoutlet.fi")</f>
        <v>disneyoutlet.fi</v>
      </c>
      <c r="C39628" t="s">
        <v>445</v>
      </c>
      <c r="D39628" t="s">
        <v>823</v>
      </c>
      <c r="J39628">
        <v>6</v>
      </c>
    </row>
    <row r="39629" spans="1:10" x14ac:dyDescent="0.25">
      <c r="A39629" t="s">
        <v>401</v>
      </c>
      <c r="B39629" s="1" t="str">
        <f>HYPERLINK("http://disneyparentapp.fi","disneyparentapp.fi")</f>
        <v>disneyparentapp.fi</v>
      </c>
      <c r="C39629" t="s">
        <v>445</v>
      </c>
      <c r="D39629" t="s">
        <v>823</v>
      </c>
      <c r="J39629">
        <v>6</v>
      </c>
    </row>
    <row r="39630" spans="1:10" x14ac:dyDescent="0.25">
      <c r="A39630" t="s">
        <v>401</v>
      </c>
      <c r="B39630" s="1" t="str">
        <f>HYPERLINK("http://disneyplanetpossible.fi","disneyplanetpossible.fi")</f>
        <v>disneyplanetpossible.fi</v>
      </c>
      <c r="C39630" t="s">
        <v>445</v>
      </c>
      <c r="D39630" t="s">
        <v>823</v>
      </c>
      <c r="J39630">
        <v>4</v>
      </c>
    </row>
    <row r="39631" spans="1:10" x14ac:dyDescent="0.25">
      <c r="A39631" t="s">
        <v>401</v>
      </c>
      <c r="B39631" s="1" t="str">
        <f>HYPERLINK("http://disneyplus.fi","disneyplus.fi")</f>
        <v>disneyplus.fi</v>
      </c>
      <c r="C39631" t="s">
        <v>445</v>
      </c>
      <c r="D39631" t="s">
        <v>823</v>
      </c>
      <c r="J39631">
        <v>4</v>
      </c>
    </row>
    <row r="39632" spans="1:10" x14ac:dyDescent="0.25">
      <c r="A39632" t="s">
        <v>401</v>
      </c>
      <c r="B39632" s="1" t="str">
        <f>HYPERLINK("http://disneyplusstar.fi","disneyplusstar.fi")</f>
        <v>disneyplusstar.fi</v>
      </c>
      <c r="C39632" t="s">
        <v>445</v>
      </c>
      <c r="D39632" t="s">
        <v>823</v>
      </c>
      <c r="J39632">
        <v>4</v>
      </c>
    </row>
    <row r="39633" spans="1:10" x14ac:dyDescent="0.25">
      <c r="A39633" t="s">
        <v>401</v>
      </c>
      <c r="B39633" s="1" t="str">
        <f>HYPERLINK("http://disneyprincessstories.fi","disneyprincessstories.fi")</f>
        <v>disneyprincessstories.fi</v>
      </c>
      <c r="C39633" t="s">
        <v>445</v>
      </c>
      <c r="D39633" t="s">
        <v>823</v>
      </c>
      <c r="J39633">
        <v>4</v>
      </c>
    </row>
    <row r="39634" spans="1:10" x14ac:dyDescent="0.25">
      <c r="A39634" t="s">
        <v>401</v>
      </c>
      <c r="B39634" s="1" t="str">
        <f>HYPERLINK("http://disneypunainen.fi","disneypunainen.fi")</f>
        <v>disneypunainen.fi</v>
      </c>
      <c r="C39634" t="s">
        <v>445</v>
      </c>
      <c r="D39634" t="s">
        <v>823</v>
      </c>
      <c r="J39634">
        <v>4</v>
      </c>
    </row>
    <row r="39635" spans="1:10" x14ac:dyDescent="0.25">
      <c r="A39635" t="s">
        <v>401</v>
      </c>
      <c r="B39635" s="1" t="str">
        <f>HYPERLINK("http://disneyquest.fi","disneyquest.fi")</f>
        <v>disneyquest.fi</v>
      </c>
      <c r="C39635" t="s">
        <v>445</v>
      </c>
      <c r="D39635" t="s">
        <v>823</v>
      </c>
      <c r="J39635">
        <v>6</v>
      </c>
    </row>
    <row r="39636" spans="1:10" x14ac:dyDescent="0.25">
      <c r="A39636" t="s">
        <v>401</v>
      </c>
      <c r="B39636" s="1" t="str">
        <f>HYPERLINK("http://disneyraya.fi","disneyraya.fi")</f>
        <v>disneyraya.fi</v>
      </c>
      <c r="C39636" t="s">
        <v>445</v>
      </c>
      <c r="D39636" t="s">
        <v>823</v>
      </c>
      <c r="J39636">
        <v>4</v>
      </c>
    </row>
    <row r="39637" spans="1:10" x14ac:dyDescent="0.25">
      <c r="A39637" t="s">
        <v>401</v>
      </c>
      <c r="B39637" s="1" t="str">
        <f>HYPERLINK("http://disneysclubpenguin.fi","disneysclubpenguin.fi")</f>
        <v>disneysclubpenguin.fi</v>
      </c>
      <c r="C39637" t="s">
        <v>445</v>
      </c>
      <c r="D39637" t="s">
        <v>823</v>
      </c>
      <c r="J39637">
        <v>6</v>
      </c>
    </row>
    <row r="39638" spans="1:10" x14ac:dyDescent="0.25">
      <c r="A39638" t="s">
        <v>401</v>
      </c>
      <c r="B39638" s="1" t="str">
        <f>HYPERLINK("http://disneyshopping.fi","disneyshopping.fi")</f>
        <v>disneyshopping.fi</v>
      </c>
      <c r="C39638" t="s">
        <v>445</v>
      </c>
      <c r="D39638" t="s">
        <v>823</v>
      </c>
      <c r="J39638">
        <v>6</v>
      </c>
    </row>
    <row r="39639" spans="1:10" x14ac:dyDescent="0.25">
      <c r="A39639" t="s">
        <v>401</v>
      </c>
      <c r="B39639" s="1" t="str">
        <f>HYPERLINK("http://disneystar.fi","disneystar.fi")</f>
        <v>disneystar.fi</v>
      </c>
      <c r="C39639" t="s">
        <v>445</v>
      </c>
      <c r="D39639" t="s">
        <v>823</v>
      </c>
      <c r="J39639">
        <v>4</v>
      </c>
    </row>
    <row r="39640" spans="1:10" x14ac:dyDescent="0.25">
      <c r="A39640" t="s">
        <v>401</v>
      </c>
      <c r="B39640" s="1" t="str">
        <f>HYPERLINK("http://disneystore.fi","disneystore.fi")</f>
        <v>disneystore.fi</v>
      </c>
      <c r="C39640" t="s">
        <v>445</v>
      </c>
      <c r="D39640" t="s">
        <v>823</v>
      </c>
      <c r="J39640">
        <v>6</v>
      </c>
    </row>
    <row r="39641" spans="1:10" x14ac:dyDescent="0.25">
      <c r="A39641" t="s">
        <v>401</v>
      </c>
      <c r="B39641" s="1" t="str">
        <f>HYPERLINK("http://disneystudioallaccess.fi","disneystudioallaccess.fi")</f>
        <v>disneystudioallaccess.fi</v>
      </c>
      <c r="C39641" t="s">
        <v>445</v>
      </c>
      <c r="D39641" t="s">
        <v>823</v>
      </c>
      <c r="J39641">
        <v>6</v>
      </c>
    </row>
    <row r="39642" spans="1:10" x14ac:dyDescent="0.25">
      <c r="A39642" t="s">
        <v>401</v>
      </c>
      <c r="B39642" s="1" t="str">
        <f>HYPERLINK("http://disneyturningred.fi","disneyturningred.fi")</f>
        <v>disneyturningred.fi</v>
      </c>
      <c r="C39642" t="s">
        <v>445</v>
      </c>
      <c r="D39642" t="s">
        <v>823</v>
      </c>
      <c r="J39642">
        <v>4</v>
      </c>
    </row>
    <row r="39643" spans="1:10" x14ac:dyDescent="0.25">
      <c r="A39643" t="s">
        <v>401</v>
      </c>
      <c r="B39643" s="1" t="str">
        <f>HYPERLINK("http://disneyxd.fi","disneyxd.fi")</f>
        <v>disneyxd.fi</v>
      </c>
      <c r="C39643" t="s">
        <v>445</v>
      </c>
      <c r="D39643" t="s">
        <v>823</v>
      </c>
      <c r="F39643">
        <v>4.9164153984359901E-9</v>
      </c>
      <c r="G39643">
        <v>31819406</v>
      </c>
      <c r="H39643">
        <v>14071866</v>
      </c>
      <c r="I39643">
        <v>3276050</v>
      </c>
      <c r="J39643">
        <v>6</v>
      </c>
    </row>
    <row r="39644" spans="1:10" x14ac:dyDescent="0.25">
      <c r="A39644" t="s">
        <v>401</v>
      </c>
      <c r="B39644" s="1" t="str">
        <f>HYPERLINK("http://doctorstrange.fi","doctorstrange.fi")</f>
        <v>doctorstrange.fi</v>
      </c>
      <c r="C39644" t="s">
        <v>445</v>
      </c>
      <c r="D39644" t="s">
        <v>823</v>
      </c>
      <c r="J39644">
        <v>4</v>
      </c>
    </row>
    <row r="39645" spans="1:10" x14ac:dyDescent="0.25">
      <c r="A39645" t="s">
        <v>401</v>
      </c>
      <c r="B39645" s="1" t="str">
        <f>HYPERLINK("http://dquest.fi","dquest.fi")</f>
        <v>dquest.fi</v>
      </c>
      <c r="C39645" t="s">
        <v>445</v>
      </c>
      <c r="D39645" t="s">
        <v>823</v>
      </c>
      <c r="J39645">
        <v>6</v>
      </c>
    </row>
    <row r="39646" spans="1:10" x14ac:dyDescent="0.25">
      <c r="A39646" t="s">
        <v>401</v>
      </c>
      <c r="B39646" s="1" t="str">
        <f>HYPERLINK("http://duff.fi","duff.fi")</f>
        <v>duff.fi</v>
      </c>
      <c r="C39646" t="s">
        <v>445</v>
      </c>
      <c r="D39646" t="s">
        <v>823</v>
      </c>
      <c r="F39646">
        <v>4.7239451324844196E-9</v>
      </c>
      <c r="G39646">
        <v>39938388</v>
      </c>
      <c r="H39646">
        <v>13933060</v>
      </c>
      <c r="I39646">
        <v>5829879</v>
      </c>
      <c r="J39646">
        <v>4</v>
      </c>
    </row>
    <row r="39647" spans="1:10" x14ac:dyDescent="0.25">
      <c r="A39647" t="s">
        <v>401</v>
      </c>
      <c r="B39647" s="1" t="str">
        <f>HYPERLINK("http://duffbeer.fi","duffbeer.fi")</f>
        <v>duffbeer.fi</v>
      </c>
      <c r="C39647" t="s">
        <v>445</v>
      </c>
      <c r="D39647" t="s">
        <v>823</v>
      </c>
      <c r="J39647">
        <v>4</v>
      </c>
    </row>
    <row r="39648" spans="1:10" x14ac:dyDescent="0.25">
      <c r="A39648" t="s">
        <v>401</v>
      </c>
      <c r="B39648" s="1" t="str">
        <f>HYPERLINK("http://dumbo.fi","dumbo.fi")</f>
        <v>dumbo.fi</v>
      </c>
      <c r="C39648" t="s">
        <v>445</v>
      </c>
      <c r="D39648" t="s">
        <v>823</v>
      </c>
      <c r="J39648">
        <v>4</v>
      </c>
    </row>
    <row r="39649" spans="1:10" x14ac:dyDescent="0.25">
      <c r="A39649" t="s">
        <v>401</v>
      </c>
      <c r="B39649" s="1" t="str">
        <f>HYPERLINK("http://dumbofilm.fi","dumbofilm.fi")</f>
        <v>dumbofilm.fi</v>
      </c>
      <c r="C39649" t="s">
        <v>445</v>
      </c>
      <c r="D39649" t="s">
        <v>823</v>
      </c>
      <c r="J39649">
        <v>4</v>
      </c>
    </row>
    <row r="39650" spans="1:10" x14ac:dyDescent="0.25">
      <c r="A39650" t="s">
        <v>401</v>
      </c>
      <c r="B39650" s="1" t="str">
        <f>HYPERLINK("http://espn.fi","espn.fi")</f>
        <v>espn.fi</v>
      </c>
      <c r="C39650" t="s">
        <v>445</v>
      </c>
      <c r="D39650" t="s">
        <v>823</v>
      </c>
      <c r="J39650">
        <v>6</v>
      </c>
    </row>
    <row r="39651" spans="1:10" x14ac:dyDescent="0.25">
      <c r="A39651" t="s">
        <v>401</v>
      </c>
      <c r="B39651" s="1" t="str">
        <f>HYPERLINK("http://espna.fi","espna.fi")</f>
        <v>espna.fi</v>
      </c>
      <c r="C39651" t="s">
        <v>445</v>
      </c>
      <c r="D39651" t="s">
        <v>823</v>
      </c>
      <c r="J39651">
        <v>6</v>
      </c>
    </row>
    <row r="39652" spans="1:10" x14ac:dyDescent="0.25">
      <c r="A39652" t="s">
        <v>401</v>
      </c>
      <c r="B39652" s="1" t="str">
        <f>HYPERLINK("http://espnamerica.fi","espnamerica.fi")</f>
        <v>espnamerica.fi</v>
      </c>
      <c r="C39652" t="s">
        <v>445</v>
      </c>
      <c r="D39652" t="s">
        <v>823</v>
      </c>
      <c r="J39652">
        <v>6</v>
      </c>
    </row>
    <row r="39653" spans="1:10" x14ac:dyDescent="0.25">
      <c r="A39653" t="s">
        <v>401</v>
      </c>
      <c r="B39653" s="1" t="str">
        <f>HYPERLINK("http://eternalsmovie.fi","eternalsmovie.fi")</f>
        <v>eternalsmovie.fi</v>
      </c>
      <c r="C39653" t="s">
        <v>445</v>
      </c>
      <c r="D39653" t="s">
        <v>823</v>
      </c>
      <c r="J39653">
        <v>4</v>
      </c>
    </row>
    <row r="39654" spans="1:10" x14ac:dyDescent="0.25">
      <c r="A39654" t="s">
        <v>401</v>
      </c>
      <c r="B39654" s="1" t="str">
        <f>HYPERLINK("http://findtheforce.fi","findtheforce.fi")</f>
        <v>findtheforce.fi</v>
      </c>
      <c r="C39654" t="s">
        <v>445</v>
      </c>
      <c r="D39654" t="s">
        <v>823</v>
      </c>
      <c r="J39654">
        <v>4</v>
      </c>
    </row>
    <row r="39655" spans="1:10" x14ac:dyDescent="0.25">
      <c r="A39655" t="s">
        <v>401</v>
      </c>
      <c r="B39655" s="1" t="str">
        <f>HYPERLINK("http://flightplanmovie.fi","flightplanmovie.fi")</f>
        <v>flightplanmovie.fi</v>
      </c>
      <c r="C39655" t="s">
        <v>445</v>
      </c>
      <c r="D39655" t="s">
        <v>823</v>
      </c>
      <c r="J39655">
        <v>6</v>
      </c>
    </row>
    <row r="39656" spans="1:10" x14ac:dyDescent="0.25">
      <c r="A39656" t="s">
        <v>401</v>
      </c>
      <c r="B39656" s="1" t="str">
        <f>HYPERLINK("http://fox.fi","fox.fi")</f>
        <v>fox.fi</v>
      </c>
      <c r="C39656" t="s">
        <v>445</v>
      </c>
      <c r="D39656" t="s">
        <v>823</v>
      </c>
      <c r="J39656">
        <v>7</v>
      </c>
    </row>
    <row r="39657" spans="1:10" x14ac:dyDescent="0.25">
      <c r="A39657" t="s">
        <v>401</v>
      </c>
      <c r="B39657" s="1" t="str">
        <f>HYPERLINK("http://foxchannel.fi","foxchannel.fi")</f>
        <v>foxchannel.fi</v>
      </c>
      <c r="C39657" t="s">
        <v>445</v>
      </c>
      <c r="D39657" t="s">
        <v>823</v>
      </c>
      <c r="J39657">
        <v>4</v>
      </c>
    </row>
    <row r="39658" spans="1:10" x14ac:dyDescent="0.25">
      <c r="A39658" t="s">
        <v>401</v>
      </c>
      <c r="B39658" s="1" t="str">
        <f>HYPERLINK("http://foxcrime.fi","foxcrime.fi")</f>
        <v>foxcrime.fi</v>
      </c>
      <c r="C39658" t="s">
        <v>445</v>
      </c>
      <c r="D39658" t="s">
        <v>823</v>
      </c>
      <c r="J39658">
        <v>7</v>
      </c>
    </row>
    <row r="39659" spans="1:10" x14ac:dyDescent="0.25">
      <c r="A39659" t="s">
        <v>401</v>
      </c>
      <c r="B39659" s="1" t="str">
        <f>HYPERLINK("http://foxdhd.fi","foxdhd.fi")</f>
        <v>foxdhd.fi</v>
      </c>
      <c r="C39659" t="s">
        <v>445</v>
      </c>
      <c r="D39659" t="s">
        <v>823</v>
      </c>
      <c r="J39659">
        <v>4</v>
      </c>
    </row>
    <row r="39660" spans="1:10" x14ac:dyDescent="0.25">
      <c r="A39660" t="s">
        <v>401</v>
      </c>
      <c r="B39660" s="1" t="str">
        <f>HYPERLINK("http://foxdigitalhd.fi","foxdigitalhd.fi")</f>
        <v>foxdigitalhd.fi</v>
      </c>
      <c r="C39660" t="s">
        <v>445</v>
      </c>
      <c r="D39660" t="s">
        <v>823</v>
      </c>
      <c r="J39660">
        <v>4</v>
      </c>
    </row>
    <row r="39661" spans="1:10" x14ac:dyDescent="0.25">
      <c r="A39661" t="s">
        <v>401</v>
      </c>
      <c r="B39661" s="1" t="str">
        <f>HYPERLINK("http://foxlife.fi","foxlife.fi")</f>
        <v>foxlife.fi</v>
      </c>
      <c r="C39661" t="s">
        <v>445</v>
      </c>
      <c r="D39661" t="s">
        <v>823</v>
      </c>
      <c r="J39661">
        <v>7</v>
      </c>
    </row>
    <row r="39662" spans="1:10" x14ac:dyDescent="0.25">
      <c r="A39662" t="s">
        <v>401</v>
      </c>
      <c r="B39662" s="1" t="str">
        <f>HYPERLINK("http://foxmediamyynti.fi","foxmediamyynti.fi")</f>
        <v>foxmediamyynti.fi</v>
      </c>
      <c r="C39662" t="s">
        <v>445</v>
      </c>
      <c r="D39662" t="s">
        <v>823</v>
      </c>
      <c r="F39662">
        <v>5.7370110557293E-9</v>
      </c>
      <c r="G39662">
        <v>18604979</v>
      </c>
      <c r="H39662">
        <v>11350960</v>
      </c>
      <c r="I39662">
        <v>30387985</v>
      </c>
      <c r="J39662">
        <v>4</v>
      </c>
    </row>
    <row r="39663" spans="1:10" x14ac:dyDescent="0.25">
      <c r="A39663" t="s">
        <v>401</v>
      </c>
      <c r="B39663" s="1" t="str">
        <f>HYPERLINK("http://foxmovies.fi","foxmovies.fi")</f>
        <v>foxmovies.fi</v>
      </c>
      <c r="C39663" t="s">
        <v>445</v>
      </c>
      <c r="D39663" t="s">
        <v>823</v>
      </c>
      <c r="J39663">
        <v>4</v>
      </c>
    </row>
    <row r="39664" spans="1:10" x14ac:dyDescent="0.25">
      <c r="A39664" t="s">
        <v>401</v>
      </c>
      <c r="B39664" s="1" t="str">
        <f>HYPERLINK("http://foxnetworksgroup.fi","foxnetworksgroup.fi")</f>
        <v>foxnetworksgroup.fi</v>
      </c>
      <c r="C39664" t="s">
        <v>445</v>
      </c>
      <c r="D39664" t="s">
        <v>823</v>
      </c>
      <c r="J39664">
        <v>7</v>
      </c>
    </row>
    <row r="39665" spans="1:10" x14ac:dyDescent="0.25">
      <c r="A39665" t="s">
        <v>401</v>
      </c>
      <c r="B39665" s="1" t="str">
        <f>HYPERLINK("http://foxplay.fi","foxplay.fi")</f>
        <v>foxplay.fi</v>
      </c>
      <c r="C39665" t="s">
        <v>445</v>
      </c>
      <c r="D39665" t="s">
        <v>823</v>
      </c>
      <c r="F39665">
        <v>7.4769289317378996E-9</v>
      </c>
      <c r="G39665">
        <v>11065634</v>
      </c>
      <c r="H39665">
        <v>14239617</v>
      </c>
      <c r="I39665">
        <v>1510071</v>
      </c>
      <c r="J39665">
        <v>4</v>
      </c>
    </row>
    <row r="39666" spans="1:10" x14ac:dyDescent="0.25">
      <c r="A39666" t="s">
        <v>401</v>
      </c>
      <c r="B39666" s="1" t="str">
        <f>HYPERLINK("http://foxplaykids.fi","foxplaykids.fi")</f>
        <v>foxplaykids.fi</v>
      </c>
      <c r="C39666" t="s">
        <v>445</v>
      </c>
      <c r="D39666" t="s">
        <v>823</v>
      </c>
      <c r="J39666">
        <v>4</v>
      </c>
    </row>
    <row r="39667" spans="1:10" x14ac:dyDescent="0.25">
      <c r="A39667" t="s">
        <v>401</v>
      </c>
      <c r="B39667" s="1" t="str">
        <f>HYPERLINK("http://foxredeem.fi","foxredeem.fi")</f>
        <v>foxredeem.fi</v>
      </c>
      <c r="C39667" t="s">
        <v>445</v>
      </c>
      <c r="D39667" t="s">
        <v>823</v>
      </c>
      <c r="J39667">
        <v>4</v>
      </c>
    </row>
    <row r="39668" spans="1:10" x14ac:dyDescent="0.25">
      <c r="A39668" t="s">
        <v>401</v>
      </c>
      <c r="B39668" s="1" t="str">
        <f>HYPERLINK("http://foxsports.fi","foxsports.fi")</f>
        <v>foxsports.fi</v>
      </c>
      <c r="C39668" t="s">
        <v>445</v>
      </c>
      <c r="D39668" t="s">
        <v>823</v>
      </c>
      <c r="J39668">
        <v>4</v>
      </c>
    </row>
    <row r="39669" spans="1:10" x14ac:dyDescent="0.25">
      <c r="A39669" t="s">
        <v>401</v>
      </c>
      <c r="B39669" s="1" t="str">
        <f>HYPERLINK("http://foxtelevision.fi","foxtelevision.fi")</f>
        <v>foxtelevision.fi</v>
      </c>
      <c r="C39669" t="s">
        <v>445</v>
      </c>
      <c r="D39669" t="s">
        <v>823</v>
      </c>
      <c r="J39669">
        <v>4</v>
      </c>
    </row>
    <row r="39670" spans="1:10" x14ac:dyDescent="0.25">
      <c r="A39670" t="s">
        <v>401</v>
      </c>
      <c r="B39670" s="1" t="str">
        <f>HYPERLINK("http://foxtv.fi","foxtv.fi")</f>
        <v>foxtv.fi</v>
      </c>
      <c r="C39670" t="s">
        <v>445</v>
      </c>
      <c r="D39670" t="s">
        <v>823</v>
      </c>
      <c r="F39670">
        <v>2.5268017674253301E-8</v>
      </c>
      <c r="G39670">
        <v>2042330</v>
      </c>
      <c r="H39670">
        <v>14240463</v>
      </c>
      <c r="I39670">
        <v>1500895</v>
      </c>
      <c r="J39670">
        <v>7</v>
      </c>
    </row>
    <row r="39671" spans="1:10" x14ac:dyDescent="0.25">
      <c r="A39671" t="s">
        <v>401</v>
      </c>
      <c r="B39671" s="1" t="str">
        <f>HYPERLINK("http://frozen2.fi","frozen2.fi")</f>
        <v>frozen2.fi</v>
      </c>
      <c r="C39671" t="s">
        <v>445</v>
      </c>
      <c r="D39671" t="s">
        <v>823</v>
      </c>
      <c r="J39671">
        <v>4</v>
      </c>
    </row>
    <row r="39672" spans="1:10" x14ac:dyDescent="0.25">
      <c r="A39672" t="s">
        <v>401</v>
      </c>
      <c r="B39672" s="1" t="str">
        <f>HYPERLINK("http://fx-channel.fi","fx-channel.fi")</f>
        <v>fx-channel.fi</v>
      </c>
      <c r="C39672" t="s">
        <v>445</v>
      </c>
      <c r="D39672" t="s">
        <v>823</v>
      </c>
      <c r="J39672">
        <v>4</v>
      </c>
    </row>
    <row r="39673" spans="1:10" x14ac:dyDescent="0.25">
      <c r="A39673" t="s">
        <v>401</v>
      </c>
      <c r="B39673" s="1" t="str">
        <f>HYPERLINK("http://fxchannel.fi","fxchannel.fi")</f>
        <v>fxchannel.fi</v>
      </c>
      <c r="C39673" t="s">
        <v>445</v>
      </c>
      <c r="D39673" t="s">
        <v>823</v>
      </c>
      <c r="J39673">
        <v>4</v>
      </c>
    </row>
    <row r="39674" spans="1:10" x14ac:dyDescent="0.25">
      <c r="A39674" t="s">
        <v>401</v>
      </c>
      <c r="B39674" s="1" t="str">
        <f>HYPERLINK("http://g-force.fi","g-force.fi")</f>
        <v>g-force.fi</v>
      </c>
      <c r="C39674" t="s">
        <v>445</v>
      </c>
      <c r="D39674" t="s">
        <v>823</v>
      </c>
      <c r="J39674">
        <v>6</v>
      </c>
    </row>
    <row r="39675" spans="1:10" x14ac:dyDescent="0.25">
      <c r="A39675" t="s">
        <v>401</v>
      </c>
      <c r="B39675" s="1" t="str">
        <f>HYPERLINK("http://glass-elokuva.fi","glass-elokuva.fi")</f>
        <v>glass-elokuva.fi</v>
      </c>
      <c r="C39675" t="s">
        <v>445</v>
      </c>
      <c r="D39675" t="s">
        <v>823</v>
      </c>
      <c r="J39675">
        <v>4</v>
      </c>
    </row>
    <row r="39676" spans="1:10" x14ac:dyDescent="0.25">
      <c r="A39676" t="s">
        <v>401</v>
      </c>
      <c r="B39676" s="1" t="str">
        <f>HYPERLINK("http://glass-film.fi","glass-film.fi")</f>
        <v>glass-film.fi</v>
      </c>
      <c r="C39676" t="s">
        <v>445</v>
      </c>
      <c r="D39676" t="s">
        <v>823</v>
      </c>
      <c r="J39676">
        <v>4</v>
      </c>
    </row>
    <row r="39677" spans="1:10" x14ac:dyDescent="0.25">
      <c r="A39677" t="s">
        <v>401</v>
      </c>
      <c r="B39677" s="1" t="str">
        <f>HYPERLINK("http://goal-leffa.fi","goal-leffa.fi")</f>
        <v>goal-leffa.fi</v>
      </c>
      <c r="C39677" t="s">
        <v>445</v>
      </c>
      <c r="D39677" t="s">
        <v>823</v>
      </c>
      <c r="J39677">
        <v>6</v>
      </c>
    </row>
    <row r="39678" spans="1:10" x14ac:dyDescent="0.25">
      <c r="A39678" t="s">
        <v>401</v>
      </c>
      <c r="B39678" s="1" t="str">
        <f>HYPERLINK("http://guardiansofthegalaxymovie.fi","guardiansofthegalaxymovie.fi")</f>
        <v>guardiansofthegalaxymovie.fi</v>
      </c>
      <c r="C39678" t="s">
        <v>445</v>
      </c>
      <c r="D39678" t="s">
        <v>823</v>
      </c>
      <c r="J39678">
        <v>4</v>
      </c>
    </row>
    <row r="39679" spans="1:10" x14ac:dyDescent="0.25">
      <c r="A39679" t="s">
        <v>401</v>
      </c>
      <c r="B39679" s="1" t="str">
        <f>HYPERLINK("http://hannahmontanaelokuva.fi","hannahmontanaelokuva.fi")</f>
        <v>hannahmontanaelokuva.fi</v>
      </c>
      <c r="C39679" t="s">
        <v>445</v>
      </c>
      <c r="D39679" t="s">
        <v>823</v>
      </c>
      <c r="J39679">
        <v>6</v>
      </c>
    </row>
    <row r="39680" spans="1:10" x14ac:dyDescent="0.25">
      <c r="A39680" t="s">
        <v>401</v>
      </c>
      <c r="B39680" s="1" t="str">
        <f>HYPERLINK("http://hannamontanaelokuva.fi","hannamontanaelokuva.fi")</f>
        <v>hannamontanaelokuva.fi</v>
      </c>
      <c r="C39680" t="s">
        <v>445</v>
      </c>
      <c r="D39680" t="s">
        <v>823</v>
      </c>
      <c r="J39680">
        <v>6</v>
      </c>
    </row>
    <row r="39681" spans="1:10" x14ac:dyDescent="0.25">
      <c r="A39681" t="s">
        <v>401</v>
      </c>
      <c r="B39681" s="1" t="str">
        <f>HYPERLINK("http://hauntedmansion.fi","hauntedmansion.fi")</f>
        <v>hauntedmansion.fi</v>
      </c>
      <c r="C39681" t="s">
        <v>445</v>
      </c>
      <c r="D39681" t="s">
        <v>823</v>
      </c>
      <c r="J39681">
        <v>4</v>
      </c>
    </row>
    <row r="39682" spans="1:10" x14ac:dyDescent="0.25">
      <c r="A39682" t="s">
        <v>401</v>
      </c>
      <c r="B39682" s="1" t="str">
        <f>HYPERLINK("http://herorising.fi","herorising.fi")</f>
        <v>herorising.fi</v>
      </c>
      <c r="C39682" t="s">
        <v>445</v>
      </c>
      <c r="D39682" t="s">
        <v>823</v>
      </c>
      <c r="J39682">
        <v>6</v>
      </c>
    </row>
    <row r="39683" spans="1:10" x14ac:dyDescent="0.25">
      <c r="A39683" t="s">
        <v>401</v>
      </c>
      <c r="B39683" s="1" t="str">
        <f>HYPERLINK("http://hienostohauva.fi","hienostohauva.fi")</f>
        <v>hienostohauva.fi</v>
      </c>
      <c r="C39683" t="s">
        <v>445</v>
      </c>
      <c r="D39683" t="s">
        <v>823</v>
      </c>
      <c r="F39683">
        <v>4.5774060827167897E-9</v>
      </c>
      <c r="G39683">
        <v>49519601</v>
      </c>
      <c r="H39683">
        <v>10808338</v>
      </c>
      <c r="I39683">
        <v>37917927</v>
      </c>
      <c r="J39683">
        <v>6</v>
      </c>
    </row>
    <row r="39684" spans="1:10" x14ac:dyDescent="0.25">
      <c r="A39684" t="s">
        <v>401</v>
      </c>
      <c r="B39684" s="1" t="str">
        <f>HYPERLINK("http://highschoolmusical2.fi","highschoolmusical2.fi")</f>
        <v>highschoolmusical2.fi</v>
      </c>
      <c r="C39684" t="s">
        <v>445</v>
      </c>
      <c r="D39684" t="s">
        <v>823</v>
      </c>
      <c r="J39684">
        <v>6</v>
      </c>
    </row>
    <row r="39685" spans="1:10" x14ac:dyDescent="0.25">
      <c r="A39685" t="s">
        <v>401</v>
      </c>
      <c r="B39685" s="1" t="str">
        <f>HYPERLINK("http://highschoolmusical3.fi","highschoolmusical3.fi")</f>
        <v>highschoolmusical3.fi</v>
      </c>
      <c r="C39685" t="s">
        <v>445</v>
      </c>
      <c r="D39685" t="s">
        <v>823</v>
      </c>
      <c r="J39685">
        <v>6</v>
      </c>
    </row>
    <row r="39686" spans="1:10" x14ac:dyDescent="0.25">
      <c r="A39686" t="s">
        <v>401</v>
      </c>
      <c r="B39686" s="1" t="str">
        <f>HYPERLINK("http://himoshoppaajansalaisetunelmat.fi","himoshoppaajansalaisetunelmat.fi")</f>
        <v>himoshoppaajansalaisetunelmat.fi</v>
      </c>
      <c r="C39686" t="s">
        <v>445</v>
      </c>
      <c r="D39686" t="s">
        <v>823</v>
      </c>
      <c r="F39686">
        <v>4.4438425958010404E-9</v>
      </c>
      <c r="G39686">
        <v>78712312</v>
      </c>
      <c r="H39686">
        <v>10535755</v>
      </c>
      <c r="I39686">
        <v>47614973</v>
      </c>
      <c r="J39686">
        <v>6</v>
      </c>
    </row>
    <row r="39687" spans="1:10" x14ac:dyDescent="0.25">
      <c r="A39687" t="s">
        <v>401</v>
      </c>
      <c r="B39687" s="1" t="str">
        <f>HYPERLINK("http://historychannel.fi","historychannel.fi")</f>
        <v>historychannel.fi</v>
      </c>
      <c r="C39687" t="s">
        <v>445</v>
      </c>
      <c r="D39687" t="s">
        <v>823</v>
      </c>
      <c r="J39687">
        <v>6</v>
      </c>
    </row>
    <row r="39688" spans="1:10" x14ac:dyDescent="0.25">
      <c r="A39688" t="s">
        <v>401</v>
      </c>
      <c r="B39688" s="1" t="str">
        <f>HYPERLINK("http://historytv.fi","historytv.fi")</f>
        <v>historytv.fi</v>
      </c>
      <c r="C39688" t="s">
        <v>445</v>
      </c>
      <c r="D39688" t="s">
        <v>823</v>
      </c>
      <c r="F39688">
        <v>7.2360064082414699E-9</v>
      </c>
      <c r="G39688">
        <v>11641843</v>
      </c>
      <c r="H39688">
        <v>12433715</v>
      </c>
      <c r="I39688">
        <v>18234401</v>
      </c>
      <c r="J39688">
        <v>6</v>
      </c>
    </row>
    <row r="39689" spans="1:10" x14ac:dyDescent="0.25">
      <c r="A39689" t="s">
        <v>401</v>
      </c>
      <c r="B39689" s="1" t="str">
        <f>HYPERLINK("http://hsm3.fi","hsm3.fi")</f>
        <v>hsm3.fi</v>
      </c>
      <c r="C39689" t="s">
        <v>445</v>
      </c>
      <c r="D39689" t="s">
        <v>823</v>
      </c>
      <c r="J39689">
        <v>6</v>
      </c>
    </row>
    <row r="39690" spans="1:10" x14ac:dyDescent="0.25">
      <c r="A39690" t="s">
        <v>401</v>
      </c>
      <c r="B39690" s="1" t="str">
        <f>HYPERLINK("http://hyppyajassa.fi","hyppyajassa.fi")</f>
        <v>hyppyajassa.fi</v>
      </c>
      <c r="C39690" t="s">
        <v>445</v>
      </c>
      <c r="D39690" t="s">
        <v>823</v>
      </c>
      <c r="J39690">
        <v>4</v>
      </c>
    </row>
    <row r="39691" spans="1:10" x14ac:dyDescent="0.25">
      <c r="A39691" t="s">
        <v>401</v>
      </c>
      <c r="B39691" s="1" t="str">
        <f>HYPERLINK("http://ihmeperhe.fi","ihmeperhe.fi")</f>
        <v>ihmeperhe.fi</v>
      </c>
      <c r="C39691" t="s">
        <v>445</v>
      </c>
      <c r="D39691" t="s">
        <v>823</v>
      </c>
      <c r="F39691">
        <v>4.92827565064584E-9</v>
      </c>
      <c r="G39691">
        <v>31430767</v>
      </c>
      <c r="H39691">
        <v>14071789</v>
      </c>
      <c r="I39691">
        <v>3635218</v>
      </c>
      <c r="J39691">
        <v>6</v>
      </c>
    </row>
    <row r="39692" spans="1:10" x14ac:dyDescent="0.25">
      <c r="A39692" t="s">
        <v>401</v>
      </c>
      <c r="B39692" s="1" t="str">
        <f>HYPERLINK("http://ihmeperhe2.fi","ihmeperhe2.fi")</f>
        <v>ihmeperhe2.fi</v>
      </c>
      <c r="C39692" t="s">
        <v>445</v>
      </c>
      <c r="D39692" t="s">
        <v>823</v>
      </c>
      <c r="J39692">
        <v>4</v>
      </c>
    </row>
    <row r="39693" spans="1:10" x14ac:dyDescent="0.25">
      <c r="A39693" t="s">
        <v>401</v>
      </c>
      <c r="B39693" s="1" t="str">
        <f>HYPERLINK("http://infinitedisney.fi","infinitedisney.fi")</f>
        <v>infinitedisney.fi</v>
      </c>
      <c r="C39693" t="s">
        <v>445</v>
      </c>
      <c r="D39693" t="s">
        <v>823</v>
      </c>
      <c r="J39693">
        <v>6</v>
      </c>
    </row>
    <row r="39694" spans="1:10" x14ac:dyDescent="0.25">
      <c r="A39694" t="s">
        <v>401</v>
      </c>
      <c r="B39694" s="1" t="str">
        <f>HYPERLINK("http://jarowskij.fi","jarowskij.fi")</f>
        <v>jarowskij.fi</v>
      </c>
      <c r="C39694" t="s">
        <v>445</v>
      </c>
      <c r="D39694" t="s">
        <v>823</v>
      </c>
      <c r="F39694">
        <v>1.41167685707143E-8</v>
      </c>
      <c r="G39694">
        <v>4159513</v>
      </c>
      <c r="H39694">
        <v>14095835</v>
      </c>
      <c r="I39694">
        <v>2727442</v>
      </c>
      <c r="J39694">
        <v>17</v>
      </c>
    </row>
    <row r="39695" spans="1:10" x14ac:dyDescent="0.25">
      <c r="A39695" t="s">
        <v>401</v>
      </c>
      <c r="B39695" s="1" t="str">
        <f>HYPERLINK("http://jarowskijfinland.fi","jarowskijfinland.fi")</f>
        <v>jarowskijfinland.fi</v>
      </c>
      <c r="C39695" t="s">
        <v>445</v>
      </c>
      <c r="D39695" t="s">
        <v>823</v>
      </c>
      <c r="J39695">
        <v>16</v>
      </c>
    </row>
    <row r="39696" spans="1:10" x14ac:dyDescent="0.25">
      <c r="A39696" t="s">
        <v>401</v>
      </c>
      <c r="B39696" s="1" t="str">
        <f>HYPERLINK("http://jetix.fi","jetix.fi")</f>
        <v>jetix.fi</v>
      </c>
      <c r="C39696" t="s">
        <v>445</v>
      </c>
      <c r="D39696" t="s">
        <v>823</v>
      </c>
      <c r="F39696">
        <v>4.9163486943717997E-9</v>
      </c>
      <c r="G39696">
        <v>31854702</v>
      </c>
      <c r="H39696">
        <v>14071789</v>
      </c>
      <c r="I39696">
        <v>3635258</v>
      </c>
      <c r="J39696">
        <v>6</v>
      </c>
    </row>
    <row r="39697" spans="1:10" x14ac:dyDescent="0.25">
      <c r="A39697" t="s">
        <v>401</v>
      </c>
      <c r="B39697" s="1" t="str">
        <f>HYPERLINK("http://junglecruise.fi","junglecruise.fi")</f>
        <v>junglecruise.fi</v>
      </c>
      <c r="C39697" t="s">
        <v>445</v>
      </c>
      <c r="D39697" t="s">
        <v>823</v>
      </c>
      <c r="J39697">
        <v>4</v>
      </c>
    </row>
    <row r="39698" spans="1:10" x14ac:dyDescent="0.25">
      <c r="A39698" t="s">
        <v>401</v>
      </c>
      <c r="B39698" s="1" t="str">
        <f>HYPERLINK("http://kalixta.fi","kalixta.fi")</f>
        <v>kalixta.fi</v>
      </c>
      <c r="C39698" t="s">
        <v>445</v>
      </c>
      <c r="D39698" t="s">
        <v>823</v>
      </c>
      <c r="J39698">
        <v>6</v>
      </c>
    </row>
    <row r="39699" spans="1:10" x14ac:dyDescent="0.25">
      <c r="A39699" t="s">
        <v>401</v>
      </c>
      <c r="B39699" s="1" t="str">
        <f>HYPERLINK("http://karvanaama-elokuva.fi","karvanaama-elokuva.fi")</f>
        <v>karvanaama-elokuva.fi</v>
      </c>
      <c r="C39699" t="s">
        <v>445</v>
      </c>
      <c r="D39699" t="s">
        <v>823</v>
      </c>
      <c r="J39699">
        <v>6</v>
      </c>
    </row>
    <row r="39700" spans="1:10" x14ac:dyDescent="0.25">
      <c r="A39700" t="s">
        <v>401</v>
      </c>
      <c r="B39700" s="1" t="str">
        <f>HYPERLINK("http://karvanaama-elokuvat.fi","karvanaama-elokuvat.fi")</f>
        <v>karvanaama-elokuvat.fi</v>
      </c>
      <c r="C39700" t="s">
        <v>445</v>
      </c>
      <c r="D39700" t="s">
        <v>823</v>
      </c>
      <c r="J39700">
        <v>6</v>
      </c>
    </row>
    <row r="39701" spans="1:10" x14ac:dyDescent="0.25">
      <c r="A39701" t="s">
        <v>401</v>
      </c>
      <c r="B39701" s="1" t="str">
        <f>HYPERLINK("http://kerranroomassa.fi","kerranroomassa.fi")</f>
        <v>kerranroomassa.fi</v>
      </c>
      <c r="C39701" t="s">
        <v>445</v>
      </c>
      <c r="D39701" t="s">
        <v>823</v>
      </c>
      <c r="J39701">
        <v>6</v>
      </c>
    </row>
    <row r="39702" spans="1:10" x14ac:dyDescent="0.25">
      <c r="A39702" t="s">
        <v>401</v>
      </c>
      <c r="B39702" s="1" t="str">
        <f>HYPERLINK("http://kilpajuoksutaikavuorelle.fi","kilpajuoksutaikavuorelle.fi")</f>
        <v>kilpajuoksutaikavuorelle.fi</v>
      </c>
      <c r="C39702" t="s">
        <v>445</v>
      </c>
      <c r="D39702" t="s">
        <v>823</v>
      </c>
      <c r="J39702">
        <v>6</v>
      </c>
    </row>
    <row r="39703" spans="1:10" x14ac:dyDescent="0.25">
      <c r="A39703" t="s">
        <v>401</v>
      </c>
      <c r="B39703" s="1" t="str">
        <f>HYPERLINK("http://kungfupanda.fi","kungfupanda.fi")</f>
        <v>kungfupanda.fi</v>
      </c>
      <c r="C39703" t="s">
        <v>445</v>
      </c>
      <c r="D39703" t="s">
        <v>823</v>
      </c>
      <c r="F39703">
        <v>5.1798690412937102E-9</v>
      </c>
      <c r="G39703">
        <v>25554731</v>
      </c>
      <c r="H39703">
        <v>11011173</v>
      </c>
      <c r="I39703">
        <v>33387837</v>
      </c>
      <c r="J39703">
        <v>4</v>
      </c>
    </row>
    <row r="39704" spans="1:10" x14ac:dyDescent="0.25">
      <c r="A39704" t="s">
        <v>401</v>
      </c>
      <c r="B39704" s="1" t="str">
        <f>HYPERLINK("http://ladyrita.fi","ladyrita.fi")</f>
        <v>ladyrita.fi</v>
      </c>
      <c r="C39704" t="s">
        <v>445</v>
      </c>
      <c r="D39704" t="s">
        <v>823</v>
      </c>
      <c r="F39704">
        <v>4.44380395335525E-9</v>
      </c>
      <c r="G39704">
        <v>84776485</v>
      </c>
      <c r="H39704">
        <v>0</v>
      </c>
      <c r="I39704">
        <v>85890607</v>
      </c>
      <c r="J39704">
        <v>9</v>
      </c>
    </row>
    <row r="39705" spans="1:10" x14ac:dyDescent="0.25">
      <c r="A39705" t="s">
        <v>401</v>
      </c>
      <c r="B39705" s="1" t="str">
        <f>HYPERLINK("http://lionking.fi","lionking.fi")</f>
        <v>lionking.fi</v>
      </c>
      <c r="C39705" t="s">
        <v>445</v>
      </c>
      <c r="D39705" t="s">
        <v>823</v>
      </c>
      <c r="J39705">
        <v>6</v>
      </c>
    </row>
    <row r="39706" spans="1:10" x14ac:dyDescent="0.25">
      <c r="A39706" t="s">
        <v>401</v>
      </c>
      <c r="B39706" s="1" t="str">
        <f>HYPERLINK("http://lumottu.fi","lumottu.fi")</f>
        <v>lumottu.fi</v>
      </c>
      <c r="C39706" t="s">
        <v>445</v>
      </c>
      <c r="D39706" t="s">
        <v>823</v>
      </c>
      <c r="J39706">
        <v>6</v>
      </c>
    </row>
    <row r="39707" spans="1:10" x14ac:dyDescent="0.25">
      <c r="A39707" t="s">
        <v>401</v>
      </c>
      <c r="B39707" s="1" t="str">
        <f>HYPERLINK("http://lumottudvd.fi","lumottudvd.fi")</f>
        <v>lumottudvd.fi</v>
      </c>
      <c r="C39707" t="s">
        <v>445</v>
      </c>
      <c r="D39707" t="s">
        <v>823</v>
      </c>
      <c r="J39707">
        <v>6</v>
      </c>
    </row>
    <row r="39708" spans="1:10" x14ac:dyDescent="0.25">
      <c r="A39708" t="s">
        <v>401</v>
      </c>
      <c r="B39708" s="1" t="str">
        <f>HYPERLINK("http://maagistaaikaayhdessa.fi","maagistaaikaayhdessa.fi")</f>
        <v>maagistaaikaayhdessa.fi</v>
      </c>
      <c r="C39708" t="s">
        <v>445</v>
      </c>
      <c r="D39708" t="s">
        <v>823</v>
      </c>
      <c r="J39708">
        <v>4</v>
      </c>
    </row>
    <row r="39709" spans="1:10" x14ac:dyDescent="0.25">
      <c r="A39709" t="s">
        <v>401</v>
      </c>
      <c r="B39709" s="1" t="str">
        <f>HYPERLINK("http://maali-leffa.fi","maali-leffa.fi")</f>
        <v>maali-leffa.fi</v>
      </c>
      <c r="C39709" t="s">
        <v>445</v>
      </c>
      <c r="D39709" t="s">
        <v>823</v>
      </c>
      <c r="J39709">
        <v>6</v>
      </c>
    </row>
    <row r="39710" spans="1:10" x14ac:dyDescent="0.25">
      <c r="A39710" t="s">
        <v>401</v>
      </c>
      <c r="B39710" s="1" t="str">
        <f>HYPERLINK("http://madagascarinpingviinit.fi","madagascarinpingviinit.fi")</f>
        <v>madagascarinpingviinit.fi</v>
      </c>
      <c r="C39710" t="s">
        <v>445</v>
      </c>
      <c r="D39710" t="s">
        <v>823</v>
      </c>
      <c r="J39710">
        <v>4</v>
      </c>
    </row>
    <row r="39711" spans="1:10" x14ac:dyDescent="0.25">
      <c r="A39711" t="s">
        <v>401</v>
      </c>
      <c r="B39711" s="1" t="str">
        <f>HYPERLINK("http://madsonia.fi","madsonia.fi")</f>
        <v>madsonia.fi</v>
      </c>
      <c r="C39711" t="s">
        <v>445</v>
      </c>
      <c r="D39711" t="s">
        <v>823</v>
      </c>
      <c r="J39711">
        <v>6</v>
      </c>
    </row>
    <row r="39712" spans="1:10" x14ac:dyDescent="0.25">
      <c r="A39712" t="s">
        <v>401</v>
      </c>
      <c r="B39712" s="1" t="str">
        <f>HYPERLINK("http://madsonja.fi","madsonja.fi")</f>
        <v>madsonja.fi</v>
      </c>
      <c r="C39712" t="s">
        <v>445</v>
      </c>
      <c r="D39712" t="s">
        <v>823</v>
      </c>
      <c r="J39712">
        <v>6</v>
      </c>
    </row>
    <row r="39713" spans="1:10" x14ac:dyDescent="0.25">
      <c r="A39713" t="s">
        <v>401</v>
      </c>
      <c r="B39713" s="1" t="str">
        <f>HYPERLINK("http://maijapoppasenpaluu.fi","maijapoppasenpaluu.fi")</f>
        <v>maijapoppasenpaluu.fi</v>
      </c>
      <c r="C39713" t="s">
        <v>445</v>
      </c>
      <c r="D39713" t="s">
        <v>823</v>
      </c>
      <c r="J39713">
        <v>4</v>
      </c>
    </row>
    <row r="39714" spans="1:10" x14ac:dyDescent="0.25">
      <c r="A39714" t="s">
        <v>401</v>
      </c>
      <c r="B39714" s="1" t="str">
        <f>HYPERLINK("http://maleficent2.fi","maleficent2.fi")</f>
        <v>maleficent2.fi</v>
      </c>
      <c r="C39714" t="s">
        <v>445</v>
      </c>
      <c r="D39714" t="s">
        <v>823</v>
      </c>
      <c r="J39714">
        <v>4</v>
      </c>
    </row>
    <row r="39715" spans="1:10" x14ac:dyDescent="0.25">
      <c r="A39715" t="s">
        <v>401</v>
      </c>
      <c r="B39715" s="1" t="str">
        <f>HYPERLINK("http://marvelblackpanther.fi","marvelblackpanther.fi")</f>
        <v>marvelblackpanther.fi</v>
      </c>
      <c r="C39715" t="s">
        <v>445</v>
      </c>
      <c r="D39715" t="s">
        <v>823</v>
      </c>
      <c r="J39715">
        <v>4</v>
      </c>
    </row>
    <row r="39716" spans="1:10" x14ac:dyDescent="0.25">
      <c r="A39716" t="s">
        <v>401</v>
      </c>
      <c r="B39716" s="1" t="str">
        <f>HYPERLINK("http://marvelshangchi.fi","marvelshangchi.fi")</f>
        <v>marvelshangchi.fi</v>
      </c>
      <c r="C39716" t="s">
        <v>445</v>
      </c>
      <c r="D39716" t="s">
        <v>823</v>
      </c>
      <c r="J39716">
        <v>4</v>
      </c>
    </row>
    <row r="39717" spans="1:10" x14ac:dyDescent="0.25">
      <c r="A39717" t="s">
        <v>401</v>
      </c>
      <c r="B39717" s="1" t="str">
        <f>HYPERLINK("http://marvelstudios.fi","marvelstudios.fi")</f>
        <v>marvelstudios.fi</v>
      </c>
      <c r="C39717" t="s">
        <v>445</v>
      </c>
      <c r="D39717" t="s">
        <v>823</v>
      </c>
      <c r="J39717">
        <v>6</v>
      </c>
    </row>
    <row r="39718" spans="1:10" x14ac:dyDescent="0.25">
      <c r="A39718" t="s">
        <v>401</v>
      </c>
      <c r="B39718" s="1" t="str">
        <f>HYPERLINK("http://marveluniverselive.fi","marveluniverselive.fi")</f>
        <v>marveluniverselive.fi</v>
      </c>
      <c r="C39718" t="s">
        <v>445</v>
      </c>
      <c r="D39718" t="s">
        <v>823</v>
      </c>
      <c r="J39718">
        <v>6</v>
      </c>
    </row>
    <row r="39719" spans="1:10" x14ac:dyDescent="0.25">
      <c r="A39719" t="s">
        <v>401</v>
      </c>
      <c r="B39719" s="1" t="str">
        <f>HYPERLINK("http://movierewards.fi","movierewards.fi")</f>
        <v>movierewards.fi</v>
      </c>
      <c r="C39719" t="s">
        <v>445</v>
      </c>
      <c r="D39719" t="s">
        <v>823</v>
      </c>
      <c r="J39719">
        <v>6</v>
      </c>
    </row>
    <row r="39720" spans="1:10" x14ac:dyDescent="0.25">
      <c r="A39720" t="s">
        <v>401</v>
      </c>
      <c r="B39720" s="1" t="str">
        <f>HYPERLINK("http://mulanfilm.fi","mulanfilm.fi")</f>
        <v>mulanfilm.fi</v>
      </c>
      <c r="C39720" t="s">
        <v>445</v>
      </c>
      <c r="D39720" t="s">
        <v>823</v>
      </c>
      <c r="J39720">
        <v>4</v>
      </c>
    </row>
    <row r="39721" spans="1:10" x14ac:dyDescent="0.25">
      <c r="A39721" t="s">
        <v>401</v>
      </c>
      <c r="B39721" s="1" t="str">
        <f>HYPERLINK("http://muppets.fi","muppets.fi")</f>
        <v>muppets.fi</v>
      </c>
      <c r="C39721" t="s">
        <v>445</v>
      </c>
      <c r="D39721" t="s">
        <v>823</v>
      </c>
      <c r="J39721">
        <v>6</v>
      </c>
    </row>
    <row r="39722" spans="1:10" x14ac:dyDescent="0.25">
      <c r="A39722" t="s">
        <v>401</v>
      </c>
      <c r="B39722" s="1" t="str">
        <f>HYPERLINK("http://mydisneyvault.fi","mydisneyvault.fi")</f>
        <v>mydisneyvault.fi</v>
      </c>
      <c r="C39722" t="s">
        <v>445</v>
      </c>
      <c r="D39722" t="s">
        <v>823</v>
      </c>
      <c r="J39722">
        <v>6</v>
      </c>
    </row>
    <row r="39723" spans="1:10" x14ac:dyDescent="0.25">
      <c r="A39723" t="s">
        <v>401</v>
      </c>
      <c r="B39723" s="1" t="str">
        <f>HYPERLINK("http://narniantarinat.fi","narniantarinat.fi")</f>
        <v>narniantarinat.fi</v>
      </c>
      <c r="C39723" t="s">
        <v>445</v>
      </c>
      <c r="D39723" t="s">
        <v>823</v>
      </c>
      <c r="J39723">
        <v>6</v>
      </c>
    </row>
    <row r="39724" spans="1:10" x14ac:dyDescent="0.25">
      <c r="A39724" t="s">
        <v>401</v>
      </c>
      <c r="B39724" s="1" t="str">
        <f>HYPERLINK("http://natgeochannel.fi","natgeochannel.fi")</f>
        <v>natgeochannel.fi</v>
      </c>
      <c r="C39724" t="s">
        <v>445</v>
      </c>
      <c r="D39724" t="s">
        <v>823</v>
      </c>
      <c r="J39724">
        <v>4</v>
      </c>
    </row>
    <row r="39725" spans="1:10" x14ac:dyDescent="0.25">
      <c r="A39725" t="s">
        <v>401</v>
      </c>
      <c r="B39725" s="1" t="str">
        <f>HYPERLINK("http://natgeoexpeditions.fi","natgeoexpeditions.fi")</f>
        <v>natgeoexpeditions.fi</v>
      </c>
      <c r="C39725" t="s">
        <v>445</v>
      </c>
      <c r="D39725" t="s">
        <v>823</v>
      </c>
      <c r="J39725">
        <v>7</v>
      </c>
    </row>
    <row r="39726" spans="1:10" x14ac:dyDescent="0.25">
      <c r="A39726" t="s">
        <v>401</v>
      </c>
      <c r="B39726" s="1" t="str">
        <f>HYPERLINK("http://natgeoplay.fi","natgeoplay.fi")</f>
        <v>natgeoplay.fi</v>
      </c>
      <c r="C39726" t="s">
        <v>445</v>
      </c>
      <c r="D39726" t="s">
        <v>823</v>
      </c>
      <c r="J39726">
        <v>4</v>
      </c>
    </row>
    <row r="39727" spans="1:10" x14ac:dyDescent="0.25">
      <c r="A39727" t="s">
        <v>401</v>
      </c>
      <c r="B39727" s="1" t="str">
        <f>HYPERLINK("http://natgeotv.fi","natgeotv.fi")</f>
        <v>natgeotv.fi</v>
      </c>
      <c r="C39727" t="s">
        <v>445</v>
      </c>
      <c r="D39727" t="s">
        <v>823</v>
      </c>
      <c r="J39727">
        <v>7</v>
      </c>
    </row>
    <row r="39728" spans="1:10" x14ac:dyDescent="0.25">
      <c r="A39728" t="s">
        <v>401</v>
      </c>
      <c r="B39728" s="1" t="str">
        <f>HYPERLINK("http://nationalgeographicexpeditions.fi","nationalgeographicexpeditions.fi")</f>
        <v>nationalgeographicexpeditions.fi</v>
      </c>
      <c r="C39728" t="s">
        <v>445</v>
      </c>
      <c r="D39728" t="s">
        <v>823</v>
      </c>
      <c r="J39728">
        <v>7</v>
      </c>
    </row>
    <row r="39729" spans="1:10" x14ac:dyDescent="0.25">
      <c r="A39729" t="s">
        <v>401</v>
      </c>
      <c r="B39729" s="1" t="str">
        <f>HYPERLINK("http://nationalgeographicplus.fi","nationalgeographicplus.fi")</f>
        <v>nationalgeographicplus.fi</v>
      </c>
      <c r="C39729" t="s">
        <v>445</v>
      </c>
      <c r="D39729" t="s">
        <v>823</v>
      </c>
      <c r="J39729">
        <v>7</v>
      </c>
    </row>
    <row r="39730" spans="1:10" x14ac:dyDescent="0.25">
      <c r="A39730" t="s">
        <v>401</v>
      </c>
      <c r="B39730" s="1" t="str">
        <f>HYPERLINK("http://nationaltreasure2.fi","nationaltreasure2.fi")</f>
        <v>nationaltreasure2.fi</v>
      </c>
      <c r="C39730" t="s">
        <v>445</v>
      </c>
      <c r="D39730" t="s">
        <v>823</v>
      </c>
      <c r="J39730">
        <v>6</v>
      </c>
    </row>
    <row r="39731" spans="1:10" x14ac:dyDescent="0.25">
      <c r="A39731" t="s">
        <v>401</v>
      </c>
      <c r="B39731" s="1" t="str">
        <f>HYPERLINK("http://nextgoalwinsfilm.fi","nextgoalwinsfilm.fi")</f>
        <v>nextgoalwinsfilm.fi</v>
      </c>
      <c r="C39731" t="s">
        <v>445</v>
      </c>
      <c r="D39731" t="s">
        <v>823</v>
      </c>
      <c r="J39731">
        <v>4</v>
      </c>
    </row>
    <row r="39732" spans="1:10" x14ac:dyDescent="0.25">
      <c r="A39732" t="s">
        <v>401</v>
      </c>
      <c r="B39732" s="1" t="str">
        <f>HYPERLINK("http://nutcrackerandthefourrealms.fi","nutcrackerandthefourrealms.fi")</f>
        <v>nutcrackerandthefourrealms.fi</v>
      </c>
      <c r="C39732" t="s">
        <v>445</v>
      </c>
      <c r="D39732" t="s">
        <v>823</v>
      </c>
      <c r="J39732">
        <v>4</v>
      </c>
    </row>
    <row r="39733" spans="1:10" x14ac:dyDescent="0.25">
      <c r="A39733" t="s">
        <v>401</v>
      </c>
      <c r="B39733" s="1" t="str">
        <f>HYPERLINK("http://nutcrackerfourrealms.fi","nutcrackerfourrealms.fi")</f>
        <v>nutcrackerfourrealms.fi</v>
      </c>
      <c r="C39733" t="s">
        <v>445</v>
      </c>
      <c r="D39733" t="s">
        <v>823</v>
      </c>
      <c r="J39733">
        <v>4</v>
      </c>
    </row>
    <row r="39734" spans="1:10" x14ac:dyDescent="0.25">
      <c r="A39734" t="s">
        <v>401</v>
      </c>
      <c r="B39734" s="1" t="str">
        <f>HYPERLINK("http://odottamatonehdotus.fi","odottamatonehdotus.fi")</f>
        <v>odottamatonehdotus.fi</v>
      </c>
      <c r="C39734" t="s">
        <v>445</v>
      </c>
      <c r="D39734" t="s">
        <v>823</v>
      </c>
      <c r="J39734">
        <v>6</v>
      </c>
    </row>
    <row r="39735" spans="1:10" x14ac:dyDescent="0.25">
      <c r="A39735" t="s">
        <v>401</v>
      </c>
      <c r="B39735" s="1" t="str">
        <f>HYPERLINK("http://olddogs.fi","olddogs.fi")</f>
        <v>olddogs.fi</v>
      </c>
      <c r="C39735" t="s">
        <v>445</v>
      </c>
      <c r="D39735" t="s">
        <v>823</v>
      </c>
      <c r="J39735">
        <v>6</v>
      </c>
    </row>
    <row r="39736" spans="1:10" x14ac:dyDescent="0.25">
      <c r="A39736" t="s">
        <v>401</v>
      </c>
      <c r="B39736" s="1" t="str">
        <f>HYPERLINK("http://onnelijaanneli.fi","onnelijaanneli.fi")</f>
        <v>onnelijaanneli.fi</v>
      </c>
      <c r="C39736" t="s">
        <v>445</v>
      </c>
      <c r="D39736" t="s">
        <v>823</v>
      </c>
      <c r="F39736">
        <v>6.2967263896353497E-9</v>
      </c>
      <c r="G39736">
        <v>15048153</v>
      </c>
      <c r="H39736">
        <v>14238183</v>
      </c>
      <c r="I39736">
        <v>1531667</v>
      </c>
      <c r="J39736">
        <v>16</v>
      </c>
    </row>
    <row r="39737" spans="1:10" x14ac:dyDescent="0.25">
      <c r="A39737" t="s">
        <v>401</v>
      </c>
      <c r="B39737" s="1" t="str">
        <f>HYPERLINK("http://pahkinansarkijajaneljavaltakuntaa.fi","pahkinansarkijajaneljavaltakuntaa.fi")</f>
        <v>pahkinansarkijajaneljavaltakuntaa.fi</v>
      </c>
      <c r="C39737" t="s">
        <v>445</v>
      </c>
      <c r="D39737" t="s">
        <v>823</v>
      </c>
      <c r="J39737">
        <v>4</v>
      </c>
    </row>
    <row r="39738" spans="1:10" x14ac:dyDescent="0.25">
      <c r="A39738" t="s">
        <v>401</v>
      </c>
      <c r="B39738" s="1" t="str">
        <f>HYPERLINK("http://peabodyjasherman.fi","peabodyjasherman.fi")</f>
        <v>peabodyjasherman.fi</v>
      </c>
      <c r="C39738" t="s">
        <v>445</v>
      </c>
      <c r="D39738" t="s">
        <v>823</v>
      </c>
      <c r="F39738">
        <v>4.4473058340413698E-9</v>
      </c>
      <c r="G39738">
        <v>73619902</v>
      </c>
      <c r="H39738">
        <v>10343675</v>
      </c>
      <c r="I39738">
        <v>58252409</v>
      </c>
      <c r="J39738">
        <v>4</v>
      </c>
    </row>
    <row r="39739" spans="1:10" x14ac:dyDescent="0.25">
      <c r="A39739" t="s">
        <v>401</v>
      </c>
      <c r="B39739" s="1" t="str">
        <f>HYPERLINK("http://penguinclub.fi","penguinclub.fi")</f>
        <v>penguinclub.fi</v>
      </c>
      <c r="C39739" t="s">
        <v>445</v>
      </c>
      <c r="D39739" t="s">
        <v>823</v>
      </c>
      <c r="J39739">
        <v>6</v>
      </c>
    </row>
    <row r="39740" spans="1:10" x14ac:dyDescent="0.25">
      <c r="A39740" t="s">
        <v>401</v>
      </c>
      <c r="B39740" s="1" t="str">
        <f>HYPERLINK("http://pikkukananen.fi","pikkukananen.fi")</f>
        <v>pikkukananen.fi</v>
      </c>
      <c r="C39740" t="s">
        <v>445</v>
      </c>
      <c r="D39740" t="s">
        <v>823</v>
      </c>
      <c r="F39740">
        <v>4.4601743799285403E-9</v>
      </c>
      <c r="G39740">
        <v>67703128</v>
      </c>
      <c r="H39740">
        <v>10925526</v>
      </c>
      <c r="I39740">
        <v>35157417</v>
      </c>
      <c r="J39740">
        <v>6</v>
      </c>
    </row>
    <row r="39741" spans="1:10" x14ac:dyDescent="0.25">
      <c r="A39741" t="s">
        <v>401</v>
      </c>
      <c r="B39741" s="1" t="str">
        <f>HYPERLINK("http://pirates2.fi","pirates2.fi")</f>
        <v>pirates2.fi</v>
      </c>
      <c r="C39741" t="s">
        <v>445</v>
      </c>
      <c r="D39741" t="s">
        <v>823</v>
      </c>
      <c r="J39741">
        <v>6</v>
      </c>
    </row>
    <row r="39742" spans="1:10" x14ac:dyDescent="0.25">
      <c r="A39742" t="s">
        <v>401</v>
      </c>
      <c r="B39742" s="1" t="str">
        <f>HYPERLINK("http://pirates3.fi","pirates3.fi")</f>
        <v>pirates3.fi</v>
      </c>
      <c r="C39742" t="s">
        <v>445</v>
      </c>
      <c r="D39742" t="s">
        <v>823</v>
      </c>
      <c r="J39742">
        <v>6</v>
      </c>
    </row>
    <row r="39743" spans="1:10" x14ac:dyDescent="0.25">
      <c r="A39743" t="s">
        <v>401</v>
      </c>
      <c r="B39743" s="1" t="str">
        <f>HYPERLINK("http://pirates3movie.fi","pirates3movie.fi")</f>
        <v>pirates3movie.fi</v>
      </c>
      <c r="C39743" t="s">
        <v>445</v>
      </c>
      <c r="D39743" t="s">
        <v>823</v>
      </c>
      <c r="J39743">
        <v>6</v>
      </c>
    </row>
    <row r="39744" spans="1:10" x14ac:dyDescent="0.25">
      <c r="A39744" t="s">
        <v>401</v>
      </c>
      <c r="B39744" s="1" t="str">
        <f>HYPERLINK("http://pixarelemental.fi","pixarelemental.fi")</f>
        <v>pixarelemental.fi</v>
      </c>
      <c r="C39744" t="s">
        <v>445</v>
      </c>
      <c r="D39744" t="s">
        <v>823</v>
      </c>
      <c r="J39744">
        <v>4</v>
      </c>
    </row>
    <row r="39745" spans="1:10" x14ac:dyDescent="0.25">
      <c r="A39745" t="s">
        <v>401</v>
      </c>
      <c r="B39745" s="1" t="str">
        <f>HYPERLINK("http://pixareteenpain.fi","pixareteenpain.fi")</f>
        <v>pixareteenpain.fi</v>
      </c>
      <c r="C39745" t="s">
        <v>445</v>
      </c>
      <c r="D39745" t="s">
        <v>823</v>
      </c>
      <c r="J39745">
        <v>4</v>
      </c>
    </row>
    <row r="39746" spans="1:10" x14ac:dyDescent="0.25">
      <c r="A39746" t="s">
        <v>401</v>
      </c>
      <c r="B39746" s="1" t="str">
        <f>HYPERLINK("http://pixarlightyear.fi","pixarlightyear.fi")</f>
        <v>pixarlightyear.fi</v>
      </c>
      <c r="C39746" t="s">
        <v>445</v>
      </c>
      <c r="D39746" t="s">
        <v>823</v>
      </c>
      <c r="J39746">
        <v>4</v>
      </c>
    </row>
    <row r="39747" spans="1:10" x14ac:dyDescent="0.25">
      <c r="A39747" t="s">
        <v>401</v>
      </c>
      <c r="B39747" s="1" t="str">
        <f>HYPERLINK("http://planetorplastic.fi","planetorplastic.fi")</f>
        <v>planetorplastic.fi</v>
      </c>
      <c r="C39747" t="s">
        <v>445</v>
      </c>
      <c r="D39747" t="s">
        <v>823</v>
      </c>
      <c r="J39747">
        <v>7</v>
      </c>
    </row>
    <row r="39748" spans="1:10" x14ac:dyDescent="0.25">
      <c r="A39748" t="s">
        <v>401</v>
      </c>
      <c r="B39748" s="1" t="str">
        <f>HYPERLINK("http://playhousedisney.fi","playhousedisney.fi")</f>
        <v>playhousedisney.fi</v>
      </c>
      <c r="C39748" t="s">
        <v>445</v>
      </c>
      <c r="D39748" t="s">
        <v>823</v>
      </c>
      <c r="J39748">
        <v>6</v>
      </c>
    </row>
    <row r="39749" spans="1:10" x14ac:dyDescent="0.25">
      <c r="A39749" t="s">
        <v>401</v>
      </c>
      <c r="B39749" s="1" t="str">
        <f>HYPERLINK("http://prinsessajasammakko.fi","prinsessajasammakko.fi")</f>
        <v>prinsessajasammakko.fi</v>
      </c>
      <c r="C39749" t="s">
        <v>445</v>
      </c>
      <c r="D39749" t="s">
        <v>823</v>
      </c>
      <c r="J39749">
        <v>6</v>
      </c>
    </row>
    <row r="39750" spans="1:10" x14ac:dyDescent="0.25">
      <c r="A39750" t="s">
        <v>401</v>
      </c>
      <c r="B39750" s="1" t="str">
        <f>HYPERLINK("http://proposal.fi","proposal.fi")</f>
        <v>proposal.fi</v>
      </c>
      <c r="C39750" t="s">
        <v>445</v>
      </c>
      <c r="D39750" t="s">
        <v>823</v>
      </c>
      <c r="J39750">
        <v>6</v>
      </c>
    </row>
    <row r="39751" spans="1:10" x14ac:dyDescent="0.25">
      <c r="A39751" t="s">
        <v>401</v>
      </c>
      <c r="B39751" s="1" t="str">
        <f>HYPERLINK("http://punainenmatto.fi","punainenmatto.fi")</f>
        <v>punainenmatto.fi</v>
      </c>
      <c r="C39751" t="s">
        <v>445</v>
      </c>
      <c r="D39751" t="s">
        <v>823</v>
      </c>
      <c r="J39751">
        <v>6</v>
      </c>
    </row>
    <row r="39752" spans="1:10" x14ac:dyDescent="0.25">
      <c r="A39752" t="s">
        <v>401</v>
      </c>
      <c r="B39752" s="1" t="str">
        <f>HYPERLINK("http://ralfvalloittaainternetinrayharalf2.fi","ralfvalloittaainternetinrayharalf2.fi")</f>
        <v>ralfvalloittaainternetinrayharalf2.fi</v>
      </c>
      <c r="C39752" t="s">
        <v>445</v>
      </c>
      <c r="D39752" t="s">
        <v>823</v>
      </c>
      <c r="J39752">
        <v>4</v>
      </c>
    </row>
    <row r="39753" spans="1:10" x14ac:dyDescent="0.25">
      <c r="A39753" t="s">
        <v>401</v>
      </c>
      <c r="B39753" s="1" t="str">
        <f>HYPERLINK("http://ralphbreakstheinternet.fi","ralphbreakstheinternet.fi")</f>
        <v>ralphbreakstheinternet.fi</v>
      </c>
      <c r="C39753" t="s">
        <v>445</v>
      </c>
      <c r="D39753" t="s">
        <v>823</v>
      </c>
      <c r="J39753">
        <v>4</v>
      </c>
    </row>
    <row r="39754" spans="1:10" x14ac:dyDescent="0.25">
      <c r="A39754" t="s">
        <v>401</v>
      </c>
      <c r="B39754" s="1" t="str">
        <f>HYPERLINK("http://redeemdigitalhd.fi","redeemdigitalhd.fi")</f>
        <v>redeemdigitalhd.fi</v>
      </c>
      <c r="C39754" t="s">
        <v>445</v>
      </c>
      <c r="D39754" t="s">
        <v>823</v>
      </c>
      <c r="J39754">
        <v>4</v>
      </c>
    </row>
    <row r="39755" spans="1:10" x14ac:dyDescent="0.25">
      <c r="A39755" t="s">
        <v>401</v>
      </c>
      <c r="B39755" s="1" t="str">
        <f>HYPERLINK("http://redeemdigitalhdmovies.fi","redeemdigitalhdmovies.fi")</f>
        <v>redeemdigitalhdmovies.fi</v>
      </c>
      <c r="C39755" t="s">
        <v>445</v>
      </c>
      <c r="D39755" t="s">
        <v>823</v>
      </c>
      <c r="J39755">
        <v>4</v>
      </c>
    </row>
    <row r="39756" spans="1:10" x14ac:dyDescent="0.25">
      <c r="A39756" t="s">
        <v>401</v>
      </c>
      <c r="B39756" s="1" t="str">
        <f>HYPERLINK("http://riemukkaatrobinsonit.fi","riemukkaatrobinsonit.fi")</f>
        <v>riemukkaatrobinsonit.fi</v>
      </c>
      <c r="C39756" t="s">
        <v>445</v>
      </c>
      <c r="D39756" t="s">
        <v>823</v>
      </c>
      <c r="J39756">
        <v>6</v>
      </c>
    </row>
    <row r="39757" spans="1:10" x14ac:dyDescent="0.25">
      <c r="A39757" t="s">
        <v>401</v>
      </c>
      <c r="B39757" s="1" t="str">
        <f>HYPERLINK("http://riemukupla.fi","riemukupla.fi")</f>
        <v>riemukupla.fi</v>
      </c>
      <c r="C39757" t="s">
        <v>445</v>
      </c>
      <c r="D39757" t="s">
        <v>823</v>
      </c>
      <c r="J39757">
        <v>6</v>
      </c>
    </row>
    <row r="39758" spans="1:10" x14ac:dyDescent="0.25">
      <c r="A39758" t="s">
        <v>401</v>
      </c>
      <c r="B39758" s="1" t="str">
        <f>HYPERLINK("http://rio2.fi","rio2.fi")</f>
        <v>rio2.fi</v>
      </c>
      <c r="C39758" t="s">
        <v>445</v>
      </c>
      <c r="D39758" t="s">
        <v>823</v>
      </c>
      <c r="J39758">
        <v>4</v>
      </c>
    </row>
    <row r="39759" spans="1:10" x14ac:dyDescent="0.25">
      <c r="A39759" t="s">
        <v>401</v>
      </c>
      <c r="B39759" s="1" t="str">
        <f>HYPERLINK("http://ristoreipasjanallepuh.fi","ristoreipasjanallepuh.fi")</f>
        <v>ristoreipasjanallepuh.fi</v>
      </c>
      <c r="C39759" t="s">
        <v>445</v>
      </c>
      <c r="D39759" t="s">
        <v>823</v>
      </c>
      <c r="J39759">
        <v>4</v>
      </c>
    </row>
    <row r="39760" spans="1:10" x14ac:dyDescent="0.25">
      <c r="A39760" t="s">
        <v>401</v>
      </c>
      <c r="B39760" s="1" t="str">
        <f>HYPERLINK("http://rocketpack.fi","rocketpack.fi")</f>
        <v>rocketpack.fi</v>
      </c>
      <c r="C39760" t="s">
        <v>445</v>
      </c>
      <c r="D39760" t="s">
        <v>823</v>
      </c>
      <c r="F39760">
        <v>2.2303151536800301E-8</v>
      </c>
      <c r="G39760">
        <v>2350588</v>
      </c>
      <c r="H39760">
        <v>13976978</v>
      </c>
      <c r="I39760">
        <v>4058747</v>
      </c>
      <c r="J39760">
        <v>6</v>
      </c>
    </row>
    <row r="39761" spans="1:10" x14ac:dyDescent="0.25">
      <c r="A39761" t="s">
        <v>401</v>
      </c>
      <c r="B39761" s="1" t="str">
        <f>HYPERLINK("http://rogueone.fi","rogueone.fi")</f>
        <v>rogueone.fi</v>
      </c>
      <c r="C39761" t="s">
        <v>445</v>
      </c>
      <c r="D39761" t="s">
        <v>823</v>
      </c>
      <c r="J39761">
        <v>6</v>
      </c>
    </row>
    <row r="39762" spans="1:10" x14ac:dyDescent="0.25">
      <c r="A39762" t="s">
        <v>401</v>
      </c>
      <c r="B39762" s="1" t="str">
        <f>HYPERLINK("http://rottatouille.fi","rottatouille.fi")</f>
        <v>rottatouille.fi</v>
      </c>
      <c r="C39762" t="s">
        <v>445</v>
      </c>
      <c r="D39762" t="s">
        <v>823</v>
      </c>
      <c r="J39762">
        <v>6</v>
      </c>
    </row>
    <row r="39763" spans="1:10" x14ac:dyDescent="0.25">
      <c r="A39763" t="s">
        <v>401</v>
      </c>
      <c r="B39763" s="1" t="str">
        <f>HYPERLINK("http://rottatouilledvd.fi","rottatouilledvd.fi")</f>
        <v>rottatouilledvd.fi</v>
      </c>
      <c r="C39763" t="s">
        <v>445</v>
      </c>
      <c r="D39763" t="s">
        <v>823</v>
      </c>
      <c r="J39763">
        <v>6</v>
      </c>
    </row>
    <row r="39764" spans="1:10" x14ac:dyDescent="0.25">
      <c r="A39764" t="s">
        <v>401</v>
      </c>
      <c r="B39764" s="1" t="str">
        <f>HYPERLINK("http://rottatouillepeli.fi","rottatouillepeli.fi")</f>
        <v>rottatouillepeli.fi</v>
      </c>
      <c r="C39764" t="s">
        <v>445</v>
      </c>
      <c r="D39764" t="s">
        <v>823</v>
      </c>
      <c r="J39764">
        <v>6</v>
      </c>
    </row>
    <row r="39765" spans="1:10" x14ac:dyDescent="0.25">
      <c r="A39765" t="s">
        <v>401</v>
      </c>
      <c r="B39765" s="1" t="str">
        <f>HYPERLINK("http://ryelanefilm.fi","ryelanefilm.fi")</f>
        <v>ryelanefilm.fi</v>
      </c>
      <c r="C39765" t="s">
        <v>445</v>
      </c>
      <c r="D39765" t="s">
        <v>823</v>
      </c>
      <c r="J39765">
        <v>4</v>
      </c>
    </row>
    <row r="39766" spans="1:10" x14ac:dyDescent="0.25">
      <c r="A39766" t="s">
        <v>401</v>
      </c>
      <c r="B39766" s="1" t="str">
        <f>HYPERLINK("http://shop-disney.fi","shop-disney.fi")</f>
        <v>shop-disney.fi</v>
      </c>
      <c r="C39766" t="s">
        <v>445</v>
      </c>
      <c r="D39766" t="s">
        <v>823</v>
      </c>
      <c r="J39766">
        <v>4</v>
      </c>
    </row>
    <row r="39767" spans="1:10" x14ac:dyDescent="0.25">
      <c r="A39767" t="s">
        <v>401</v>
      </c>
      <c r="B39767" s="1" t="str">
        <f>HYPERLINK("http://shopdisney.fi","shopdisney.fi")</f>
        <v>shopdisney.fi</v>
      </c>
      <c r="C39767" t="s">
        <v>445</v>
      </c>
      <c r="D39767" t="s">
        <v>823</v>
      </c>
      <c r="J39767">
        <v>4</v>
      </c>
    </row>
    <row r="39768" spans="1:10" x14ac:dyDescent="0.25">
      <c r="A39768" t="s">
        <v>401</v>
      </c>
      <c r="B39768" s="1" t="str">
        <f>HYPERLINK("http://sonypicturesstore.fi","sonypicturesstore.fi")</f>
        <v>sonypicturesstore.fi</v>
      </c>
      <c r="C39768" t="s">
        <v>445</v>
      </c>
      <c r="D39768" t="s">
        <v>823</v>
      </c>
      <c r="J39768">
        <v>6</v>
      </c>
    </row>
    <row r="39769" spans="1:10" x14ac:dyDescent="0.25">
      <c r="A39769" t="s">
        <v>401</v>
      </c>
      <c r="B39769" s="1" t="str">
        <f>HYPERLINK("http://soulpixar.fi","soulpixar.fi")</f>
        <v>soulpixar.fi</v>
      </c>
      <c r="C39769" t="s">
        <v>445</v>
      </c>
      <c r="D39769" t="s">
        <v>823</v>
      </c>
      <c r="F39769">
        <v>4.4438425958010404E-9</v>
      </c>
      <c r="G39769">
        <v>78712324</v>
      </c>
      <c r="H39769">
        <v>10535755</v>
      </c>
      <c r="I39769">
        <v>47614989</v>
      </c>
      <c r="J39769">
        <v>4</v>
      </c>
    </row>
    <row r="39770" spans="1:10" x14ac:dyDescent="0.25">
      <c r="A39770" t="s">
        <v>401</v>
      </c>
      <c r="B39770" s="1" t="str">
        <f>HYPERLINK("http://star-channel.fi","star-channel.fi")</f>
        <v>star-channel.fi</v>
      </c>
      <c r="C39770" t="s">
        <v>445</v>
      </c>
      <c r="D39770" t="s">
        <v>823</v>
      </c>
      <c r="J39770">
        <v>4</v>
      </c>
    </row>
    <row r="39771" spans="1:10" x14ac:dyDescent="0.25">
      <c r="A39771" t="s">
        <v>401</v>
      </c>
      <c r="B39771" s="1" t="str">
        <f>HYPERLINK("http://star-plus.fi","star-plus.fi")</f>
        <v>star-plus.fi</v>
      </c>
      <c r="C39771" t="s">
        <v>445</v>
      </c>
      <c r="D39771" t="s">
        <v>823</v>
      </c>
      <c r="J39771">
        <v>4</v>
      </c>
    </row>
    <row r="39772" spans="1:10" x14ac:dyDescent="0.25">
      <c r="A39772" t="s">
        <v>401</v>
      </c>
      <c r="B39772" s="1" t="str">
        <f>HYPERLINK("http://star-plus-streaming.fi","star-plus-streaming.fi")</f>
        <v>star-plus-streaming.fi</v>
      </c>
      <c r="C39772" t="s">
        <v>445</v>
      </c>
      <c r="D39772" t="s">
        <v>823</v>
      </c>
      <c r="J39772">
        <v>4</v>
      </c>
    </row>
    <row r="39773" spans="1:10" x14ac:dyDescent="0.25">
      <c r="A39773" t="s">
        <v>401</v>
      </c>
      <c r="B39773" s="1" t="str">
        <f>HYPERLINK("http://starchannel.fi","starchannel.fi")</f>
        <v>starchannel.fi</v>
      </c>
      <c r="C39773" t="s">
        <v>445</v>
      </c>
      <c r="D39773" t="s">
        <v>823</v>
      </c>
      <c r="F39773">
        <v>6.05162293832454E-9</v>
      </c>
      <c r="G39773">
        <v>16372928</v>
      </c>
      <c r="H39773">
        <v>10595615</v>
      </c>
      <c r="I39773">
        <v>45174426</v>
      </c>
      <c r="J39773">
        <v>4</v>
      </c>
    </row>
    <row r="39774" spans="1:10" x14ac:dyDescent="0.25">
      <c r="A39774" t="s">
        <v>401</v>
      </c>
      <c r="B39774" s="1" t="str">
        <f>HYPERLINK("http://starplus.fi","starplus.fi")</f>
        <v>starplus.fi</v>
      </c>
      <c r="C39774" t="s">
        <v>445</v>
      </c>
      <c r="D39774" t="s">
        <v>823</v>
      </c>
      <c r="J39774">
        <v>4</v>
      </c>
    </row>
    <row r="39775" spans="1:10" x14ac:dyDescent="0.25">
      <c r="A39775" t="s">
        <v>401</v>
      </c>
      <c r="B39775" s="1" t="str">
        <f>HYPERLINK("http://starplus-streaming.fi","starplus-streaming.fi")</f>
        <v>starplus-streaming.fi</v>
      </c>
      <c r="C39775" t="s">
        <v>445</v>
      </c>
      <c r="D39775" t="s">
        <v>823</v>
      </c>
      <c r="J39775">
        <v>4</v>
      </c>
    </row>
    <row r="39776" spans="1:10" x14ac:dyDescent="0.25">
      <c r="A39776" t="s">
        <v>401</v>
      </c>
      <c r="B39776" s="1" t="str">
        <f>HYPERLINK("http://starplusstreaming.fi","starplusstreaming.fi")</f>
        <v>starplusstreaming.fi</v>
      </c>
      <c r="C39776" t="s">
        <v>445</v>
      </c>
      <c r="D39776" t="s">
        <v>823</v>
      </c>
      <c r="F39776">
        <v>4.4438425958010404E-9</v>
      </c>
      <c r="G39776">
        <v>78712326</v>
      </c>
      <c r="H39776">
        <v>10535755</v>
      </c>
      <c r="I39776">
        <v>47614991</v>
      </c>
      <c r="J39776">
        <v>4</v>
      </c>
    </row>
    <row r="39777" spans="1:10" x14ac:dyDescent="0.25">
      <c r="A39777" t="s">
        <v>401</v>
      </c>
      <c r="B39777" s="1" t="str">
        <f>HYPERLINK("http://starwarssolo.fi","starwarssolo.fi")</f>
        <v>starwarssolo.fi</v>
      </c>
      <c r="C39777" t="s">
        <v>445</v>
      </c>
      <c r="D39777" t="s">
        <v>823</v>
      </c>
      <c r="J39777">
        <v>4</v>
      </c>
    </row>
    <row r="39778" spans="1:10" x14ac:dyDescent="0.25">
      <c r="A39778" t="s">
        <v>401</v>
      </c>
      <c r="B39778" s="1" t="str">
        <f>HYPERLINK("http://strangeworldmovie.fi","strangeworldmovie.fi")</f>
        <v>strangeworldmovie.fi</v>
      </c>
      <c r="C39778" t="s">
        <v>445</v>
      </c>
      <c r="D39778" t="s">
        <v>823</v>
      </c>
      <c r="J39778">
        <v>4</v>
      </c>
    </row>
    <row r="39779" spans="1:10" x14ac:dyDescent="0.25">
      <c r="A39779" t="s">
        <v>401</v>
      </c>
      <c r="B39779" s="1" t="str">
        <f>HYPERLINK("http://suomitv.fi","suomitv.fi")</f>
        <v>suomitv.fi</v>
      </c>
      <c r="C39779" t="s">
        <v>445</v>
      </c>
      <c r="D39779" t="s">
        <v>823</v>
      </c>
      <c r="F39779">
        <v>6.0304318573460996E-9</v>
      </c>
      <c r="G39779">
        <v>16497247</v>
      </c>
      <c r="H39779">
        <v>14485306</v>
      </c>
      <c r="I39779">
        <v>1005798</v>
      </c>
      <c r="J39779">
        <v>4</v>
      </c>
    </row>
    <row r="39780" spans="1:10" x14ac:dyDescent="0.25">
      <c r="A39780" t="s">
        <v>401</v>
      </c>
      <c r="B39780" s="1" t="str">
        <f>HYPERLINK("http://surrogates.fi","surrogates.fi")</f>
        <v>surrogates.fi</v>
      </c>
      <c r="C39780" t="s">
        <v>445</v>
      </c>
      <c r="D39780" t="s">
        <v>823</v>
      </c>
      <c r="J39780">
        <v>6</v>
      </c>
    </row>
    <row r="39781" spans="1:10" x14ac:dyDescent="0.25">
      <c r="A39781" t="s">
        <v>401</v>
      </c>
      <c r="B39781" s="1" t="str">
        <f>HYPERLINK("http://tanssipeppupieneksi.fi","tanssipeppupieneksi.fi")</f>
        <v>tanssipeppupieneksi.fi</v>
      </c>
      <c r="C39781" t="s">
        <v>445</v>
      </c>
      <c r="D39781" t="s">
        <v>823</v>
      </c>
      <c r="J39781">
        <v>4</v>
      </c>
    </row>
    <row r="39782" spans="1:10" x14ac:dyDescent="0.25">
      <c r="A39782" t="s">
        <v>401</v>
      </c>
      <c r="B39782" s="1" t="str">
        <f>HYPERLINK("http://tenavat-elokuva.fi","tenavat-elokuva.fi")</f>
        <v>tenavat-elokuva.fi</v>
      </c>
      <c r="C39782" t="s">
        <v>445</v>
      </c>
      <c r="D39782" t="s">
        <v>823</v>
      </c>
      <c r="J39782">
        <v>4</v>
      </c>
    </row>
    <row r="39783" spans="1:10" x14ac:dyDescent="0.25">
      <c r="A39783" t="s">
        <v>401</v>
      </c>
      <c r="B39783" s="1" t="str">
        <f>HYPERLINK("http://theavengers.fi","theavengers.fi")</f>
        <v>theavengers.fi</v>
      </c>
      <c r="C39783" t="s">
        <v>445</v>
      </c>
      <c r="D39783" t="s">
        <v>823</v>
      </c>
      <c r="J39783">
        <v>6</v>
      </c>
    </row>
    <row r="39784" spans="1:10" x14ac:dyDescent="0.25">
      <c r="A39784" t="s">
        <v>401</v>
      </c>
      <c r="B39784" s="1" t="str">
        <f>HYPERLINK("http://theboogeymanmovie.fi","theboogeymanmovie.fi")</f>
        <v>theboogeymanmovie.fi</v>
      </c>
      <c r="C39784" t="s">
        <v>445</v>
      </c>
      <c r="D39784" t="s">
        <v>823</v>
      </c>
      <c r="J39784">
        <v>4</v>
      </c>
    </row>
    <row r="39785" spans="1:10" x14ac:dyDescent="0.25">
      <c r="A39785" t="s">
        <v>401</v>
      </c>
      <c r="B39785" s="1" t="str">
        <f>HYPERLINK("http://thelastjedi.fi","thelastjedi.fi")</f>
        <v>thelastjedi.fi</v>
      </c>
      <c r="C39785" t="s">
        <v>445</v>
      </c>
      <c r="D39785" t="s">
        <v>823</v>
      </c>
      <c r="J39785">
        <v>4</v>
      </c>
    </row>
    <row r="39786" spans="1:10" x14ac:dyDescent="0.25">
      <c r="A39786" t="s">
        <v>401</v>
      </c>
      <c r="B39786" s="1" t="str">
        <f>HYPERLINK("http://thelionking.fi","thelionking.fi")</f>
        <v>thelionking.fi</v>
      </c>
      <c r="C39786" t="s">
        <v>445</v>
      </c>
      <c r="D39786" t="s">
        <v>823</v>
      </c>
      <c r="J39786">
        <v>6</v>
      </c>
    </row>
    <row r="39787" spans="1:10" x14ac:dyDescent="0.25">
      <c r="A39787" t="s">
        <v>401</v>
      </c>
      <c r="B39787" s="1" t="str">
        <f>HYPERLINK("http://thelionkingfilm.fi","thelionkingfilm.fi")</f>
        <v>thelionkingfilm.fi</v>
      </c>
      <c r="C39787" t="s">
        <v>445</v>
      </c>
      <c r="D39787" t="s">
        <v>823</v>
      </c>
      <c r="J39787">
        <v>4</v>
      </c>
    </row>
    <row r="39788" spans="1:10" x14ac:dyDescent="0.25">
      <c r="A39788" t="s">
        <v>401</v>
      </c>
      <c r="B39788" s="1" t="str">
        <f>HYPERLINK("http://thelionkingmovie.fi","thelionkingmovie.fi")</f>
        <v>thelionkingmovie.fi</v>
      </c>
      <c r="C39788" t="s">
        <v>445</v>
      </c>
      <c r="D39788" t="s">
        <v>823</v>
      </c>
      <c r="J39788">
        <v>4</v>
      </c>
    </row>
    <row r="39789" spans="1:10" x14ac:dyDescent="0.25">
      <c r="A39789" t="s">
        <v>401</v>
      </c>
      <c r="B39789" s="1" t="str">
        <f>HYPERLINK("http://thelittlemermaidmovie.fi","thelittlemermaidmovie.fi")</f>
        <v>thelittlemermaidmovie.fi</v>
      </c>
      <c r="C39789" t="s">
        <v>445</v>
      </c>
      <c r="D39789" t="s">
        <v>823</v>
      </c>
      <c r="J39789">
        <v>4</v>
      </c>
    </row>
    <row r="39790" spans="1:10" x14ac:dyDescent="0.25">
      <c r="A39790" t="s">
        <v>401</v>
      </c>
      <c r="B39790" s="1" t="str">
        <f>HYPERLINK("http://themarvelsmovie.fi","themarvelsmovie.fi")</f>
        <v>themarvelsmovie.fi</v>
      </c>
      <c r="C39790" t="s">
        <v>445</v>
      </c>
      <c r="D39790" t="s">
        <v>823</v>
      </c>
      <c r="J39790">
        <v>4</v>
      </c>
    </row>
    <row r="39791" spans="1:10" x14ac:dyDescent="0.25">
      <c r="A39791" t="s">
        <v>401</v>
      </c>
      <c r="B39791" s="1" t="str">
        <f>HYPERLINK("http://thereturnofmarypoppins.fi","thereturnofmarypoppins.fi")</f>
        <v>thereturnofmarypoppins.fi</v>
      </c>
      <c r="C39791" t="s">
        <v>445</v>
      </c>
      <c r="D39791" t="s">
        <v>823</v>
      </c>
      <c r="J39791">
        <v>4</v>
      </c>
    </row>
    <row r="39792" spans="1:10" x14ac:dyDescent="0.25">
      <c r="A39792" t="s">
        <v>401</v>
      </c>
      <c r="B39792" s="1" t="str">
        <f>HYPERLINK("http://theriseofskywalker.fi","theriseofskywalker.fi")</f>
        <v>theriseofskywalker.fi</v>
      </c>
      <c r="C39792" t="s">
        <v>445</v>
      </c>
      <c r="D39792" t="s">
        <v>823</v>
      </c>
      <c r="J39792">
        <v>4</v>
      </c>
    </row>
    <row r="39793" spans="1:10" x14ac:dyDescent="0.25">
      <c r="A39793" t="s">
        <v>401</v>
      </c>
      <c r="B39793" s="1" t="str">
        <f>HYPERLINK("http://thewaltdisneycompany.fi","thewaltdisneycompany.fi")</f>
        <v>thewaltdisneycompany.fi</v>
      </c>
      <c r="C39793" t="s">
        <v>445</v>
      </c>
      <c r="D39793" t="s">
        <v>823</v>
      </c>
      <c r="J39793">
        <v>4</v>
      </c>
    </row>
    <row r="39794" spans="1:10" x14ac:dyDescent="0.25">
      <c r="A39794" t="s">
        <v>401</v>
      </c>
      <c r="B39794" s="1" t="str">
        <f>HYPERLINK("http://thorloveandthunder.fi","thorloveandthunder.fi")</f>
        <v>thorloveandthunder.fi</v>
      </c>
      <c r="C39794" t="s">
        <v>445</v>
      </c>
      <c r="D39794" t="s">
        <v>823</v>
      </c>
      <c r="J39794">
        <v>4</v>
      </c>
    </row>
    <row r="39795" spans="1:10" x14ac:dyDescent="0.25">
      <c r="A39795" t="s">
        <v>401</v>
      </c>
      <c r="B39795" s="1" t="str">
        <f>HYPERLINK("http://thorragnarok.fi","thorragnarok.fi")</f>
        <v>thorragnarok.fi</v>
      </c>
      <c r="C39795" t="s">
        <v>445</v>
      </c>
      <c r="D39795" t="s">
        <v>823</v>
      </c>
      <c r="J39795">
        <v>4</v>
      </c>
    </row>
    <row r="39796" spans="1:10" x14ac:dyDescent="0.25">
      <c r="A39796" t="s">
        <v>401</v>
      </c>
      <c r="B39796" s="1" t="str">
        <f>HYPERLINK("http://tinistoessel.fi","tinistoessel.fi")</f>
        <v>tinistoessel.fi</v>
      </c>
      <c r="C39796" t="s">
        <v>445</v>
      </c>
      <c r="D39796" t="s">
        <v>823</v>
      </c>
      <c r="J39796">
        <v>6</v>
      </c>
    </row>
    <row r="39797" spans="1:10" x14ac:dyDescent="0.25">
      <c r="A39797" t="s">
        <v>401</v>
      </c>
      <c r="B39797" s="1" t="str">
        <f>HYPERLINK("http://titanicmovie.fi","titanicmovie.fi")</f>
        <v>titanicmovie.fi</v>
      </c>
      <c r="C39797" t="s">
        <v>445</v>
      </c>
      <c r="D39797" t="s">
        <v>823</v>
      </c>
      <c r="J39797">
        <v>4</v>
      </c>
    </row>
    <row r="39798" spans="1:10" x14ac:dyDescent="0.25">
      <c r="A39798" t="s">
        <v>401</v>
      </c>
      <c r="B39798" s="1" t="str">
        <f>HYPERLINK("http://toysrusepicbattles.fi","toysrusepicbattles.fi")</f>
        <v>toysrusepicbattles.fi</v>
      </c>
      <c r="C39798" t="s">
        <v>445</v>
      </c>
      <c r="D39798" t="s">
        <v>823</v>
      </c>
      <c r="J39798">
        <v>6</v>
      </c>
    </row>
    <row r="39799" spans="1:10" x14ac:dyDescent="0.25">
      <c r="A39799" t="s">
        <v>401</v>
      </c>
      <c r="B39799" s="1" t="str">
        <f>HYPERLINK("http://toystory.fi","toystory.fi")</f>
        <v>toystory.fi</v>
      </c>
      <c r="C39799" t="s">
        <v>445</v>
      </c>
      <c r="D39799" t="s">
        <v>823</v>
      </c>
      <c r="J39799">
        <v>6</v>
      </c>
    </row>
    <row r="39800" spans="1:10" x14ac:dyDescent="0.25">
      <c r="A39800" t="s">
        <v>401</v>
      </c>
      <c r="B39800" s="1" t="str">
        <f>HYPERLINK("http://toystory2.fi","toystory2.fi")</f>
        <v>toystory2.fi</v>
      </c>
      <c r="C39800" t="s">
        <v>445</v>
      </c>
      <c r="D39800" t="s">
        <v>823</v>
      </c>
      <c r="J39800">
        <v>6</v>
      </c>
    </row>
    <row r="39801" spans="1:10" x14ac:dyDescent="0.25">
      <c r="A39801" t="s">
        <v>401</v>
      </c>
      <c r="B39801" s="1" t="str">
        <f>HYPERLINK("http://toystory3.fi","toystory3.fi")</f>
        <v>toystory3.fi</v>
      </c>
      <c r="C39801" t="s">
        <v>445</v>
      </c>
      <c r="D39801" t="s">
        <v>823</v>
      </c>
      <c r="J39801">
        <v>6</v>
      </c>
    </row>
    <row r="39802" spans="1:10" x14ac:dyDescent="0.25">
      <c r="A39802" t="s">
        <v>401</v>
      </c>
      <c r="B39802" s="1" t="str">
        <f>HYPERLINK("http://toystory4.fi","toystory4.fi")</f>
        <v>toystory4.fi</v>
      </c>
      <c r="C39802" t="s">
        <v>445</v>
      </c>
      <c r="D39802" t="s">
        <v>823</v>
      </c>
      <c r="J39802">
        <v>4</v>
      </c>
    </row>
    <row r="39803" spans="1:10" x14ac:dyDescent="0.25">
      <c r="A39803" t="s">
        <v>401</v>
      </c>
      <c r="B39803" s="1" t="str">
        <f>HYPERLINK("http://travelwithnatgeo.fi","travelwithnatgeo.fi")</f>
        <v>travelwithnatgeo.fi</v>
      </c>
      <c r="C39803" t="s">
        <v>445</v>
      </c>
      <c r="D39803" t="s">
        <v>823</v>
      </c>
      <c r="J39803">
        <v>7</v>
      </c>
    </row>
    <row r="39804" spans="1:10" x14ac:dyDescent="0.25">
      <c r="A39804" t="s">
        <v>401</v>
      </c>
      <c r="B39804" s="1" t="str">
        <f>HYPERLINK("http://trolls.fi","trolls.fi")</f>
        <v>trolls.fi</v>
      </c>
      <c r="C39804" t="s">
        <v>445</v>
      </c>
      <c r="D39804" t="s">
        <v>823</v>
      </c>
      <c r="J39804">
        <v>4</v>
      </c>
    </row>
    <row r="39805" spans="1:10" x14ac:dyDescent="0.25">
      <c r="A39805" t="s">
        <v>401</v>
      </c>
      <c r="B39805" s="1" t="str">
        <f>HYPERLINK("http://tvsuomi.fi","tvsuomi.fi")</f>
        <v>tvsuomi.fi</v>
      </c>
      <c r="C39805" t="s">
        <v>445</v>
      </c>
      <c r="D39805" t="s">
        <v>823</v>
      </c>
      <c r="J39805">
        <v>4</v>
      </c>
    </row>
    <row r="39806" spans="1:10" x14ac:dyDescent="0.25">
      <c r="A39806" t="s">
        <v>401</v>
      </c>
      <c r="B39806" s="1" t="str">
        <f>HYPERLINK("http://twbb.fi","twbb.fi")</f>
        <v>twbb.fi</v>
      </c>
      <c r="C39806" t="s">
        <v>445</v>
      </c>
      <c r="D39806" t="s">
        <v>823</v>
      </c>
      <c r="F39806">
        <v>4.4601743799285403E-9</v>
      </c>
      <c r="G39806">
        <v>67703129</v>
      </c>
      <c r="H39806">
        <v>10925526</v>
      </c>
      <c r="I39806">
        <v>35157430</v>
      </c>
      <c r="J39806">
        <v>6</v>
      </c>
    </row>
    <row r="39807" spans="1:10" x14ac:dyDescent="0.25">
      <c r="A39807" t="s">
        <v>401</v>
      </c>
      <c r="B39807" s="1" t="str">
        <f>HYPERLINK("http://vihdoinkotona.fi","vihdoinkotona.fi")</f>
        <v>vihdoinkotona.fi</v>
      </c>
      <c r="C39807" t="s">
        <v>445</v>
      </c>
      <c r="D39807" t="s">
        <v>823</v>
      </c>
      <c r="J39807">
        <v>4</v>
      </c>
    </row>
    <row r="39808" spans="1:10" x14ac:dyDescent="0.25">
      <c r="A39808" t="s">
        <v>401</v>
      </c>
      <c r="B39808" s="1" t="str">
        <f>HYPERLINK("http://villitkarjut.fi","villitkarjut.fi")</f>
        <v>villitkarjut.fi</v>
      </c>
      <c r="C39808" t="s">
        <v>445</v>
      </c>
      <c r="D39808" t="s">
        <v>823</v>
      </c>
      <c r="J39808">
        <v>6</v>
      </c>
    </row>
    <row r="39809" spans="1:10" x14ac:dyDescent="0.25">
      <c r="A39809" t="s">
        <v>401</v>
      </c>
      <c r="B39809" s="1" t="str">
        <f>HYPERLINK("http://wall-e.fi","wall-e.fi")</f>
        <v>wall-e.fi</v>
      </c>
      <c r="C39809" t="s">
        <v>445</v>
      </c>
      <c r="D39809" t="s">
        <v>823</v>
      </c>
      <c r="F39809">
        <v>4.4601743799285403E-9</v>
      </c>
      <c r="G39809">
        <v>67703182</v>
      </c>
      <c r="H39809">
        <v>10925526</v>
      </c>
      <c r="I39809">
        <v>35157434</v>
      </c>
      <c r="J39809">
        <v>6</v>
      </c>
    </row>
    <row r="39810" spans="1:10" x14ac:dyDescent="0.25">
      <c r="A39810" t="s">
        <v>401</v>
      </c>
      <c r="B39810" s="1" t="str">
        <f>HYPERLINK("http://wallepeli.fi","wallepeli.fi")</f>
        <v>wallepeli.fi</v>
      </c>
      <c r="C39810" t="s">
        <v>445</v>
      </c>
      <c r="D39810" t="s">
        <v>823</v>
      </c>
      <c r="J39810">
        <v>6</v>
      </c>
    </row>
    <row r="39811" spans="1:10" x14ac:dyDescent="0.25">
      <c r="A39811" t="s">
        <v>401</v>
      </c>
      <c r="B39811" s="1" t="str">
        <f>HYPERLINK("http://waltdisney.fi","waltdisney.fi")</f>
        <v>waltdisney.fi</v>
      </c>
      <c r="C39811" t="s">
        <v>445</v>
      </c>
      <c r="D39811" t="s">
        <v>823</v>
      </c>
      <c r="J39811">
        <v>6</v>
      </c>
    </row>
    <row r="39812" spans="1:10" x14ac:dyDescent="0.25">
      <c r="A39812" t="s">
        <v>401</v>
      </c>
      <c r="B39812" s="1" t="str">
        <f>HYPERLINK("http://wdshe.fi","wdshe.fi")</f>
        <v>wdshe.fi</v>
      </c>
      <c r="C39812" t="s">
        <v>445</v>
      </c>
      <c r="D39812" t="s">
        <v>823</v>
      </c>
      <c r="J39812">
        <v>6</v>
      </c>
    </row>
    <row r="39813" spans="1:10" x14ac:dyDescent="0.25">
      <c r="A39813" t="s">
        <v>401</v>
      </c>
      <c r="B39813" s="1" t="str">
        <f>HYPERLINK("http://wdtv.fi","wdtv.fi")</f>
        <v>wdtv.fi</v>
      </c>
      <c r="C39813" t="s">
        <v>445</v>
      </c>
      <c r="D39813" t="s">
        <v>823</v>
      </c>
      <c r="J39813">
        <v>6</v>
      </c>
    </row>
    <row r="39814" spans="1:10" x14ac:dyDescent="0.25">
      <c r="A39814" t="s">
        <v>401</v>
      </c>
      <c r="B39814" s="1" t="str">
        <f>HYPERLINK("http://wreckitralph2.fi","wreckitralph2.fi")</f>
        <v>wreckitralph2.fi</v>
      </c>
      <c r="C39814" t="s">
        <v>445</v>
      </c>
      <c r="D39814" t="s">
        <v>823</v>
      </c>
      <c r="J39814">
        <v>4</v>
      </c>
    </row>
    <row r="39815" spans="1:10" x14ac:dyDescent="0.25">
      <c r="A39815" t="s">
        <v>401</v>
      </c>
      <c r="B39815" s="1" t="str">
        <f>HYPERLINK("http://wwwrayharalf2.fi","wwwrayharalf2.fi")</f>
        <v>wwwrayharalf2.fi</v>
      </c>
      <c r="C39815" t="s">
        <v>445</v>
      </c>
      <c r="D39815" t="s">
        <v>823</v>
      </c>
      <c r="J39815">
        <v>4</v>
      </c>
    </row>
    <row r="39816" spans="1:10" x14ac:dyDescent="0.25">
      <c r="A39816" t="s">
        <v>401</v>
      </c>
      <c r="B39816" s="1" t="str">
        <f>HYPERLINK("http://zodiakfinland.fi","zodiakfinland.fi")</f>
        <v>zodiakfinland.fi</v>
      </c>
      <c r="C39816" t="s">
        <v>445</v>
      </c>
      <c r="D39816" t="s">
        <v>823</v>
      </c>
      <c r="F39816">
        <v>7.4188983935487001E-9</v>
      </c>
      <c r="G39816">
        <v>11200628</v>
      </c>
      <c r="H39816">
        <v>14239182</v>
      </c>
      <c r="I39816">
        <v>1515725</v>
      </c>
      <c r="J39816">
        <v>14</v>
      </c>
    </row>
    <row r="39817" spans="1:10" x14ac:dyDescent="0.25">
      <c r="A39817" t="s">
        <v>401</v>
      </c>
      <c r="B39817" s="1" t="str">
        <f>HYPERLINK("http://adventure-line.fr","adventure-line.fr")</f>
        <v>adventure-line.fr</v>
      </c>
      <c r="C39817" t="s">
        <v>446</v>
      </c>
      <c r="D39817" t="s">
        <v>824</v>
      </c>
      <c r="F39817">
        <v>4.48489403886134E-9</v>
      </c>
      <c r="G39817">
        <v>61416120</v>
      </c>
      <c r="H39817">
        <v>10594506</v>
      </c>
      <c r="I39817">
        <v>45291971</v>
      </c>
      <c r="J39817">
        <v>17</v>
      </c>
    </row>
    <row r="39818" spans="1:10" x14ac:dyDescent="0.25">
      <c r="A39818" t="s">
        <v>401</v>
      </c>
      <c r="B39818" s="1" t="str">
        <f>HYPERLINK("http://alp.fr","alp.fr")</f>
        <v>alp.fr</v>
      </c>
      <c r="C39818" t="s">
        <v>446</v>
      </c>
      <c r="D39818" t="s">
        <v>824</v>
      </c>
      <c r="F39818">
        <v>4.4446968078466001E-9</v>
      </c>
      <c r="G39818">
        <v>76290350</v>
      </c>
      <c r="H39818">
        <v>10349364</v>
      </c>
      <c r="I39818">
        <v>56456892</v>
      </c>
      <c r="J39818">
        <v>14</v>
      </c>
    </row>
    <row r="39819" spans="1:10" x14ac:dyDescent="0.25">
      <c r="A39819" t="s">
        <v>401</v>
      </c>
      <c r="B39819" s="1" t="str">
        <f>HYPERLINK("http://disney.fr","disney.fr")</f>
        <v>disney.fr</v>
      </c>
      <c r="C39819" t="s">
        <v>446</v>
      </c>
      <c r="D39819" t="s">
        <v>824</v>
      </c>
      <c r="E39819">
        <v>150623</v>
      </c>
      <c r="F39819">
        <v>6.6732109400389404E-7</v>
      </c>
      <c r="G39819">
        <v>57718</v>
      </c>
      <c r="H39819">
        <v>17196976</v>
      </c>
      <c r="I39819">
        <v>42348</v>
      </c>
      <c r="J39819">
        <v>4</v>
      </c>
    </row>
    <row r="39820" spans="1:10" x14ac:dyDescent="0.25">
      <c r="A39820" t="s">
        <v>401</v>
      </c>
      <c r="B39820" s="1" t="str">
        <f>HYPERLINK("http://disneylandparis.fr","disneylandparis.fr")</f>
        <v>disneylandparis.fr</v>
      </c>
      <c r="C39820" t="s">
        <v>446</v>
      </c>
      <c r="D39820" t="s">
        <v>824</v>
      </c>
      <c r="E39820">
        <v>304421</v>
      </c>
      <c r="F39820">
        <v>1.93846754361475E-7</v>
      </c>
      <c r="G39820">
        <v>198877</v>
      </c>
      <c r="H39820">
        <v>14564223</v>
      </c>
      <c r="I39820">
        <v>741863</v>
      </c>
      <c r="J39820">
        <v>5</v>
      </c>
    </row>
    <row r="39821" spans="1:10" x14ac:dyDescent="0.25">
      <c r="A39821" t="s">
        <v>401</v>
      </c>
      <c r="B39821" s="1" t="str">
        <f>HYPERLINK("http://kmprod.fr","kmprod.fr")</f>
        <v>kmprod.fr</v>
      </c>
      <c r="C39821" t="s">
        <v>446</v>
      </c>
      <c r="D39821" t="s">
        <v>824</v>
      </c>
      <c r="F39821">
        <v>9.8734360660949505E-9</v>
      </c>
      <c r="G39821">
        <v>6888004</v>
      </c>
      <c r="H39821">
        <v>13974054</v>
      </c>
      <c r="I39821">
        <v>4065833</v>
      </c>
      <c r="J39821">
        <v>14</v>
      </c>
    </row>
    <row r="39822" spans="1:10" x14ac:dyDescent="0.25">
      <c r="A39822" t="s">
        <v>401</v>
      </c>
      <c r="B39822" s="1" t="str">
        <f>HYPERLINK("http://marathon.fr","marathon.fr")</f>
        <v>marathon.fr</v>
      </c>
      <c r="C39822" t="s">
        <v>446</v>
      </c>
      <c r="D39822" t="s">
        <v>824</v>
      </c>
      <c r="F39822">
        <v>1.14842486336111E-8</v>
      </c>
      <c r="G39822">
        <v>5516107</v>
      </c>
      <c r="H39822">
        <v>14576725</v>
      </c>
      <c r="I39822">
        <v>720123</v>
      </c>
      <c r="J39822">
        <v>14</v>
      </c>
    </row>
    <row r="39823" spans="1:10" x14ac:dyDescent="0.25">
      <c r="A39823" t="s">
        <v>401</v>
      </c>
      <c r="B39823" s="1" t="str">
        <f>HYPERLINK("http://nationalgeographic.fr","nationalgeographic.fr")</f>
        <v>nationalgeographic.fr</v>
      </c>
      <c r="C39823" t="s">
        <v>446</v>
      </c>
      <c r="D39823" t="s">
        <v>824</v>
      </c>
      <c r="E39823">
        <v>83628</v>
      </c>
      <c r="F39823">
        <v>6.6182658637625399E-7</v>
      </c>
      <c r="G39823">
        <v>58182</v>
      </c>
      <c r="H39823">
        <v>17402972</v>
      </c>
      <c r="I39823">
        <v>18998</v>
      </c>
      <c r="J39823">
        <v>4</v>
      </c>
    </row>
    <row r="39824" spans="1:10" x14ac:dyDescent="0.25">
      <c r="A39824" t="s">
        <v>401</v>
      </c>
      <c r="B39824" s="1" t="str">
        <f>HYPERLINK("http://shopdisney.fr","shopdisney.fr")</f>
        <v>shopdisney.fr</v>
      </c>
      <c r="C39824" t="s">
        <v>446</v>
      </c>
      <c r="D39824" t="s">
        <v>824</v>
      </c>
      <c r="E39824">
        <v>463159</v>
      </c>
      <c r="F39824">
        <v>1.68449531709433E-7</v>
      </c>
      <c r="G39824">
        <v>230314</v>
      </c>
      <c r="H39824">
        <v>16965854</v>
      </c>
      <c r="I39824">
        <v>103961</v>
      </c>
      <c r="J39824">
        <v>5</v>
      </c>
    </row>
    <row r="39825" spans="1:10" x14ac:dyDescent="0.25">
      <c r="A39825" t="s">
        <v>401</v>
      </c>
      <c r="B39825" s="1" t="str">
        <f>HYPERLINK("http://disney.gr","disney.gr")</f>
        <v>disney.gr</v>
      </c>
      <c r="C39825" t="s">
        <v>447</v>
      </c>
      <c r="D39825" t="s">
        <v>825</v>
      </c>
      <c r="F39825">
        <v>3.4155965105960899E-7</v>
      </c>
      <c r="G39825">
        <v>109292</v>
      </c>
      <c r="H39825">
        <v>14316192</v>
      </c>
      <c r="I39825">
        <v>1335353</v>
      </c>
      <c r="J39825">
        <v>4</v>
      </c>
    </row>
    <row r="39826" spans="1:10" x14ac:dyDescent="0.25">
      <c r="A39826" t="s">
        <v>401</v>
      </c>
      <c r="B39826" s="1" t="str">
        <f>HYPERLINK("http://espn.com.gt","espn.com.gt")</f>
        <v>espn.com.gt</v>
      </c>
      <c r="C39826" t="s">
        <v>448</v>
      </c>
      <c r="D39826" t="s">
        <v>826</v>
      </c>
      <c r="E39826">
        <v>927506</v>
      </c>
      <c r="F39826">
        <v>2.78541386137095E-8</v>
      </c>
      <c r="G39826">
        <v>1846464</v>
      </c>
      <c r="H39826">
        <v>14149804</v>
      </c>
      <c r="I39826">
        <v>1879863</v>
      </c>
      <c r="J39826">
        <v>5</v>
      </c>
    </row>
    <row r="39827" spans="1:10" x14ac:dyDescent="0.25">
      <c r="A39827" t="s">
        <v>401</v>
      </c>
      <c r="B39827" s="1" t="str">
        <f>HYPERLINK("http://disney.hu","disney.hu")</f>
        <v>disney.hu</v>
      </c>
      <c r="C39827" t="s">
        <v>453</v>
      </c>
      <c r="D39827" t="s">
        <v>830</v>
      </c>
      <c r="F39827">
        <v>3.31400450037861E-7</v>
      </c>
      <c r="G39827">
        <v>112447</v>
      </c>
      <c r="H39827">
        <v>14088099</v>
      </c>
      <c r="I39827">
        <v>2760302</v>
      </c>
      <c r="J39827">
        <v>4</v>
      </c>
    </row>
    <row r="39828" spans="1:10" x14ac:dyDescent="0.25">
      <c r="A39828" t="s">
        <v>401</v>
      </c>
      <c r="B39828" s="1" t="str">
        <f>HYPERLINK("http://disney.id","disney.id")</f>
        <v>disney.id</v>
      </c>
      <c r="C39828" t="s">
        <v>454</v>
      </c>
      <c r="D39828" t="s">
        <v>831</v>
      </c>
      <c r="F39828">
        <v>2.12261392434297E-7</v>
      </c>
      <c r="G39828">
        <v>177935</v>
      </c>
      <c r="H39828">
        <v>15120729</v>
      </c>
      <c r="I39828">
        <v>403620</v>
      </c>
      <c r="J39828">
        <v>4</v>
      </c>
    </row>
    <row r="39829" spans="1:10" x14ac:dyDescent="0.25">
      <c r="A39829" t="s">
        <v>401</v>
      </c>
      <c r="B39829" s="1" t="str">
        <f>HYPERLINK("http://disneylandparis.ie","disneylandparis.ie")</f>
        <v>disneylandparis.ie</v>
      </c>
      <c r="C39829" t="s">
        <v>455</v>
      </c>
      <c r="D39829" t="s">
        <v>832</v>
      </c>
      <c r="F39829">
        <v>2.2432952845099599E-8</v>
      </c>
      <c r="G39829">
        <v>2336066</v>
      </c>
      <c r="H39829">
        <v>13388149</v>
      </c>
      <c r="I39829">
        <v>10397715</v>
      </c>
      <c r="J39829">
        <v>5</v>
      </c>
    </row>
    <row r="39830" spans="1:10" x14ac:dyDescent="0.25">
      <c r="A39830" t="s">
        <v>401</v>
      </c>
      <c r="B39830" s="1" t="str">
        <f>HYPERLINK("http://disney.co.il","disney.co.il")</f>
        <v>disney.co.il</v>
      </c>
      <c r="C39830" t="s">
        <v>456</v>
      </c>
      <c r="D39830" t="s">
        <v>833</v>
      </c>
      <c r="F39830">
        <v>3.4891284064280203E-7</v>
      </c>
      <c r="G39830">
        <v>107142</v>
      </c>
      <c r="H39830">
        <v>14491445</v>
      </c>
      <c r="I39830">
        <v>903098</v>
      </c>
      <c r="J39830">
        <v>4</v>
      </c>
    </row>
    <row r="39831" spans="1:10" x14ac:dyDescent="0.25">
      <c r="A39831" t="s">
        <v>401</v>
      </c>
      <c r="B39831" s="1" t="str">
        <f>HYPERLINK("http://abcpolytechnic.ac.in","abcpolytechnic.ac.in")</f>
        <v>abcpolytechnic.ac.in</v>
      </c>
      <c r="C39831" t="s">
        <v>457</v>
      </c>
      <c r="D39831" t="s">
        <v>834</v>
      </c>
      <c r="J39831">
        <v>6</v>
      </c>
    </row>
    <row r="39832" spans="1:10" x14ac:dyDescent="0.25">
      <c r="A39832" t="s">
        <v>401</v>
      </c>
      <c r="B39832" s="1" t="str">
        <f>HYPERLINK("http://disney.in","disney.in")</f>
        <v>disney.in</v>
      </c>
      <c r="C39832" t="s">
        <v>457</v>
      </c>
      <c r="D39832" t="s">
        <v>834</v>
      </c>
      <c r="E39832">
        <v>363574</v>
      </c>
      <c r="F39832">
        <v>2.2290691152476001E-7</v>
      </c>
      <c r="G39832">
        <v>169106</v>
      </c>
      <c r="H39832">
        <v>14858755</v>
      </c>
      <c r="I39832">
        <v>485527</v>
      </c>
      <c r="J39832">
        <v>4</v>
      </c>
    </row>
    <row r="39833" spans="1:10" x14ac:dyDescent="0.25">
      <c r="A39833" t="s">
        <v>401</v>
      </c>
      <c r="B39833" s="1" t="str">
        <f>HYPERLINK("http://espn.in","espn.in")</f>
        <v>espn.in</v>
      </c>
      <c r="C39833" t="s">
        <v>457</v>
      </c>
      <c r="D39833" t="s">
        <v>834</v>
      </c>
      <c r="E39833">
        <v>18393</v>
      </c>
      <c r="F39833">
        <v>8.0837164762156498E-7</v>
      </c>
      <c r="G39833">
        <v>48820</v>
      </c>
      <c r="H39833">
        <v>15502927</v>
      </c>
      <c r="I39833">
        <v>376616</v>
      </c>
      <c r="J39833">
        <v>5</v>
      </c>
    </row>
    <row r="39834" spans="1:10" x14ac:dyDescent="0.25">
      <c r="A39834" t="s">
        <v>401</v>
      </c>
      <c r="B39834" s="1" t="str">
        <f>HYPERLINK("http://shopdisney.in","shopdisney.in")</f>
        <v>shopdisney.in</v>
      </c>
      <c r="C39834" t="s">
        <v>457</v>
      </c>
      <c r="D39834" t="s">
        <v>834</v>
      </c>
      <c r="F39834">
        <v>3.90298546544635E-8</v>
      </c>
      <c r="G39834">
        <v>1321375</v>
      </c>
      <c r="H39834">
        <v>13075847</v>
      </c>
      <c r="I39834">
        <v>12211181</v>
      </c>
      <c r="J39834">
        <v>5</v>
      </c>
    </row>
    <row r="39835" spans="1:10" x14ac:dyDescent="0.25">
      <c r="A39835" t="s">
        <v>401</v>
      </c>
      <c r="B39835" s="1" t="str">
        <f>HYPERLINK("http://disney.io","disney.io")</f>
        <v>disney.io</v>
      </c>
      <c r="C39835" t="s">
        <v>518</v>
      </c>
      <c r="E39835">
        <v>73386</v>
      </c>
      <c r="F39835">
        <v>6.3475164063616903E-7</v>
      </c>
      <c r="G39835">
        <v>60478</v>
      </c>
      <c r="H39835">
        <v>14723005</v>
      </c>
      <c r="I39835">
        <v>576723</v>
      </c>
      <c r="J39835">
        <v>4</v>
      </c>
    </row>
    <row r="39836" spans="1:10" x14ac:dyDescent="0.25">
      <c r="A39836" t="s">
        <v>401</v>
      </c>
      <c r="B39836" s="1" t="str">
        <f>HYPERLINK("http://moviesanywhere.io","moviesanywhere.io")</f>
        <v>moviesanywhere.io</v>
      </c>
      <c r="C39836" t="s">
        <v>518</v>
      </c>
      <c r="F39836">
        <v>4.44380927664388E-9</v>
      </c>
      <c r="G39836">
        <v>79830529</v>
      </c>
      <c r="H39836">
        <v>10352960</v>
      </c>
      <c r="I39836">
        <v>55977529</v>
      </c>
      <c r="J39836">
        <v>4</v>
      </c>
    </row>
    <row r="39837" spans="1:10" x14ac:dyDescent="0.25">
      <c r="A39837" t="s">
        <v>401</v>
      </c>
      <c r="B39837" s="1" t="str">
        <f>HYPERLINK("http://banijayitalia.it","banijayitalia.it")</f>
        <v>banijayitalia.it</v>
      </c>
      <c r="C39837" t="s">
        <v>459</v>
      </c>
      <c r="D39837" t="s">
        <v>835</v>
      </c>
      <c r="F39837">
        <v>1.55070722424657E-8</v>
      </c>
      <c r="G39837">
        <v>3682683</v>
      </c>
      <c r="H39837">
        <v>12542632</v>
      </c>
      <c r="I39837">
        <v>16907496</v>
      </c>
      <c r="J39837">
        <v>18</v>
      </c>
    </row>
    <row r="39838" spans="1:10" x14ac:dyDescent="0.25">
      <c r="A39838" t="s">
        <v>401</v>
      </c>
      <c r="B39838" s="1" t="str">
        <f>HYPERLINK("http://disney.it","disney.it")</f>
        <v>disney.it</v>
      </c>
      <c r="C39838" t="s">
        <v>459</v>
      </c>
      <c r="D39838" t="s">
        <v>835</v>
      </c>
      <c r="E39838">
        <v>243185</v>
      </c>
      <c r="F39838">
        <v>5.6535765784708901E-7</v>
      </c>
      <c r="G39838">
        <v>67729</v>
      </c>
      <c r="H39838">
        <v>14570147</v>
      </c>
      <c r="I39838">
        <v>735643</v>
      </c>
      <c r="J39838">
        <v>4</v>
      </c>
    </row>
    <row r="39839" spans="1:10" x14ac:dyDescent="0.25">
      <c r="A39839" t="s">
        <v>401</v>
      </c>
      <c r="B39839" s="1" t="str">
        <f>HYPERLINK("http://disneylandparis.it","disneylandparis.it")</f>
        <v>disneylandparis.it</v>
      </c>
      <c r="C39839" t="s">
        <v>459</v>
      </c>
      <c r="D39839" t="s">
        <v>835</v>
      </c>
      <c r="F39839">
        <v>3.6000277748643801E-8</v>
      </c>
      <c r="G39839">
        <v>1447494</v>
      </c>
      <c r="H39839">
        <v>14130093</v>
      </c>
      <c r="I39839">
        <v>2036338</v>
      </c>
      <c r="J39839">
        <v>5</v>
      </c>
    </row>
    <row r="39840" spans="1:10" x14ac:dyDescent="0.25">
      <c r="A39840" t="s">
        <v>401</v>
      </c>
      <c r="B39840" s="1" t="str">
        <f>HYPERLINK("http://foxretro.it","foxretro.it")</f>
        <v>foxretro.it</v>
      </c>
      <c r="C39840" t="s">
        <v>459</v>
      </c>
      <c r="D39840" t="s">
        <v>835</v>
      </c>
      <c r="F39840">
        <v>6.49910227535973E-9</v>
      </c>
      <c r="G39840">
        <v>14082006</v>
      </c>
      <c r="H39840">
        <v>14377256</v>
      </c>
      <c r="I39840">
        <v>1211280</v>
      </c>
      <c r="J39840">
        <v>5</v>
      </c>
    </row>
    <row r="39841" spans="1:10" x14ac:dyDescent="0.25">
      <c r="A39841" t="s">
        <v>401</v>
      </c>
      <c r="B39841" s="1" t="str">
        <f>HYPERLINK("http://foxtv.it","foxtv.it")</f>
        <v>foxtv.it</v>
      </c>
      <c r="C39841" t="s">
        <v>459</v>
      </c>
      <c r="D39841" t="s">
        <v>835</v>
      </c>
      <c r="E39841">
        <v>943632</v>
      </c>
      <c r="F39841">
        <v>8.1123297588843603E-8</v>
      </c>
      <c r="G39841">
        <v>514583</v>
      </c>
      <c r="H39841">
        <v>14834113</v>
      </c>
      <c r="I39841">
        <v>502529</v>
      </c>
      <c r="J39841">
        <v>4</v>
      </c>
    </row>
    <row r="39842" spans="1:10" x14ac:dyDescent="0.25">
      <c r="A39842" t="s">
        <v>401</v>
      </c>
      <c r="B39842" s="1" t="str">
        <f>HYPERLINK("http://natgeomusictv.it","natgeomusictv.it")</f>
        <v>natgeomusictv.it</v>
      </c>
      <c r="C39842" t="s">
        <v>459</v>
      </c>
      <c r="D39842" t="s">
        <v>835</v>
      </c>
      <c r="J39842">
        <v>4</v>
      </c>
    </row>
    <row r="39843" spans="1:10" x14ac:dyDescent="0.25">
      <c r="A39843" t="s">
        <v>401</v>
      </c>
      <c r="B39843" s="1" t="str">
        <f>HYPERLINK("http://nationalgeographic.it","nationalgeographic.it")</f>
        <v>nationalgeographic.it</v>
      </c>
      <c r="C39843" t="s">
        <v>459</v>
      </c>
      <c r="D39843" t="s">
        <v>835</v>
      </c>
      <c r="E39843">
        <v>157483</v>
      </c>
      <c r="F39843">
        <v>3.8002932553690399E-7</v>
      </c>
      <c r="G39843">
        <v>98441</v>
      </c>
      <c r="H39843">
        <v>17293526</v>
      </c>
      <c r="I39843">
        <v>28605</v>
      </c>
      <c r="J39843">
        <v>4</v>
      </c>
    </row>
    <row r="39844" spans="1:10" x14ac:dyDescent="0.25">
      <c r="A39844" t="s">
        <v>401</v>
      </c>
      <c r="B39844" s="1" t="str">
        <f>HYPERLINK("http://shopdisney.it","shopdisney.it")</f>
        <v>shopdisney.it</v>
      </c>
      <c r="C39844" t="s">
        <v>459</v>
      </c>
      <c r="D39844" t="s">
        <v>835</v>
      </c>
      <c r="E39844">
        <v>591774</v>
      </c>
      <c r="F39844">
        <v>1.2819691855544099E-7</v>
      </c>
      <c r="G39844">
        <v>305980</v>
      </c>
      <c r="H39844">
        <v>14109559</v>
      </c>
      <c r="I39844">
        <v>2677076</v>
      </c>
      <c r="J39844">
        <v>5</v>
      </c>
    </row>
    <row r="39845" spans="1:10" x14ac:dyDescent="0.25">
      <c r="A39845" t="s">
        <v>401</v>
      </c>
      <c r="B39845" s="1" t="str">
        <f>HYPERLINK("http://disneyland.jobs","disneyland.jobs")</f>
        <v>disneyland.jobs</v>
      </c>
      <c r="C39845" t="s">
        <v>521</v>
      </c>
      <c r="F39845">
        <v>1.63370784932259E-8</v>
      </c>
      <c r="G39845">
        <v>3461720</v>
      </c>
      <c r="H39845">
        <v>13396704</v>
      </c>
      <c r="I39845">
        <v>10376024</v>
      </c>
      <c r="J39845">
        <v>7</v>
      </c>
    </row>
    <row r="39846" spans="1:10" x14ac:dyDescent="0.25">
      <c r="A39846" t="s">
        <v>401</v>
      </c>
      <c r="B39846" s="1" t="str">
        <f>HYPERLINK("http://waltdisneyworld.jobs","waltdisneyworld.jobs")</f>
        <v>waltdisneyworld.jobs</v>
      </c>
      <c r="C39846" t="s">
        <v>521</v>
      </c>
      <c r="F39846">
        <v>7.2830255641964298E-9</v>
      </c>
      <c r="G39846">
        <v>11521694</v>
      </c>
      <c r="H39846">
        <v>12810636</v>
      </c>
      <c r="I39846">
        <v>14585627</v>
      </c>
      <c r="J39846">
        <v>7</v>
      </c>
    </row>
    <row r="39847" spans="1:10" x14ac:dyDescent="0.25">
      <c r="A39847" t="s">
        <v>401</v>
      </c>
      <c r="B39847" s="1" t="str">
        <f>HYPERLINK("http://20thcenturystudios.jp","20thcenturystudios.jp")</f>
        <v>20thcenturystudios.jp</v>
      </c>
      <c r="C39847" t="s">
        <v>461</v>
      </c>
      <c r="D39847" t="s">
        <v>837</v>
      </c>
      <c r="E39847">
        <v>555336</v>
      </c>
      <c r="F39847">
        <v>1.4925914556062101E-7</v>
      </c>
      <c r="G39847">
        <v>260346</v>
      </c>
      <c r="H39847">
        <v>14584133</v>
      </c>
      <c r="I39847">
        <v>703504</v>
      </c>
      <c r="J39847">
        <v>5</v>
      </c>
    </row>
    <row r="39848" spans="1:10" x14ac:dyDescent="0.25">
      <c r="A39848" t="s">
        <v>401</v>
      </c>
      <c r="B39848" s="1" t="str">
        <f>HYPERLINK("http://disney.co.jp","disney.co.jp")</f>
        <v>disney.co.jp</v>
      </c>
      <c r="C39848" t="s">
        <v>461</v>
      </c>
      <c r="D39848" t="s">
        <v>837</v>
      </c>
      <c r="E39848">
        <v>25453</v>
      </c>
      <c r="F39848">
        <v>2.6470867321534902E-6</v>
      </c>
      <c r="G39848">
        <v>14345</v>
      </c>
      <c r="H39848">
        <v>17448238</v>
      </c>
      <c r="I39848">
        <v>16257</v>
      </c>
      <c r="J39848">
        <v>3</v>
      </c>
    </row>
    <row r="39849" spans="1:10" x14ac:dyDescent="0.25">
      <c r="A39849" t="s">
        <v>401</v>
      </c>
      <c r="B39849" s="1" t="str">
        <f>HYPERLINK("http://disney.jp","disney.jp")</f>
        <v>disney.jp</v>
      </c>
      <c r="C39849" t="s">
        <v>461</v>
      </c>
      <c r="D39849" t="s">
        <v>837</v>
      </c>
      <c r="E39849">
        <v>443644</v>
      </c>
      <c r="F39849">
        <v>4.92356355439623E-8</v>
      </c>
      <c r="G39849">
        <v>940187</v>
      </c>
      <c r="H39849">
        <v>14184082</v>
      </c>
      <c r="I39849">
        <v>1773166</v>
      </c>
      <c r="J39849">
        <v>4</v>
      </c>
    </row>
    <row r="39850" spans="1:10" x14ac:dyDescent="0.25">
      <c r="A39850" t="s">
        <v>401</v>
      </c>
      <c r="B39850" s="1" t="str">
        <f>HYPERLINK("http://disneycareers.jp","disneycareers.jp")</f>
        <v>disneycareers.jp</v>
      </c>
      <c r="C39850" t="s">
        <v>461</v>
      </c>
      <c r="D39850" t="s">
        <v>837</v>
      </c>
      <c r="F39850">
        <v>1.9211160413575401E-8</v>
      </c>
      <c r="G39850">
        <v>2796871</v>
      </c>
      <c r="H39850">
        <v>14072321</v>
      </c>
      <c r="I39850">
        <v>3116089</v>
      </c>
      <c r="J39850">
        <v>5</v>
      </c>
    </row>
    <row r="39851" spans="1:10" x14ac:dyDescent="0.25">
      <c r="A39851" t="s">
        <v>401</v>
      </c>
      <c r="B39851" s="1" t="str">
        <f>HYPERLINK("http://hulu.jp","hulu.jp")</f>
        <v>hulu.jp</v>
      </c>
      <c r="C39851" t="s">
        <v>461</v>
      </c>
      <c r="D39851" t="s">
        <v>837</v>
      </c>
      <c r="E39851">
        <v>32654</v>
      </c>
      <c r="F39851">
        <v>1.6514165598710099E-6</v>
      </c>
      <c r="G39851">
        <v>23951</v>
      </c>
      <c r="H39851">
        <v>17461974</v>
      </c>
      <c r="I39851">
        <v>15503</v>
      </c>
      <c r="J39851">
        <v>4</v>
      </c>
    </row>
    <row r="39852" spans="1:10" x14ac:dyDescent="0.25">
      <c r="A39852" t="s">
        <v>401</v>
      </c>
      <c r="B39852" s="1" t="str">
        <f>HYPERLINK("http://imbc.co.kr","imbc.co.kr")</f>
        <v>imbc.co.kr</v>
      </c>
      <c r="C39852" t="s">
        <v>463</v>
      </c>
      <c r="D39852" t="s">
        <v>839</v>
      </c>
      <c r="F39852">
        <v>1.50699696814785E-8</v>
      </c>
      <c r="G39852">
        <v>3817313</v>
      </c>
      <c r="H39852">
        <v>12833178</v>
      </c>
      <c r="I39852">
        <v>14397177</v>
      </c>
      <c r="J39852">
        <v>10</v>
      </c>
    </row>
    <row r="39853" spans="1:10" x14ac:dyDescent="0.25">
      <c r="A39853" t="s">
        <v>401</v>
      </c>
      <c r="B39853" s="1" t="str">
        <f>HYPERLINK("http://espn.com.mx","espn.com.mx")</f>
        <v>espn.com.mx</v>
      </c>
      <c r="C39853" t="s">
        <v>471</v>
      </c>
      <c r="D39853" t="s">
        <v>847</v>
      </c>
      <c r="E39853">
        <v>31756</v>
      </c>
      <c r="F39853">
        <v>3.7184518878713501E-7</v>
      </c>
      <c r="G39853">
        <v>100722</v>
      </c>
      <c r="H39853">
        <v>17276466</v>
      </c>
      <c r="I39853">
        <v>30555</v>
      </c>
      <c r="J39853">
        <v>5</v>
      </c>
    </row>
    <row r="39854" spans="1:10" x14ac:dyDescent="0.25">
      <c r="A39854" t="s">
        <v>401</v>
      </c>
      <c r="B39854" s="1" t="str">
        <f>HYPERLINK("http://disney.my","disney.my")</f>
        <v>disney.my</v>
      </c>
      <c r="C39854" t="s">
        <v>472</v>
      </c>
      <c r="D39854" t="s">
        <v>848</v>
      </c>
      <c r="F39854">
        <v>2.14633636411227E-7</v>
      </c>
      <c r="G39854">
        <v>175846</v>
      </c>
      <c r="H39854">
        <v>14581251</v>
      </c>
      <c r="I39854">
        <v>708711</v>
      </c>
      <c r="J39854">
        <v>4</v>
      </c>
    </row>
    <row r="39855" spans="1:10" x14ac:dyDescent="0.25">
      <c r="A39855" t="s">
        <v>401</v>
      </c>
      <c r="B39855" s="1" t="str">
        <f>HYPERLINK("http://daominhha.net","daominhha.net")</f>
        <v>daominhha.net</v>
      </c>
      <c r="C39855" t="s">
        <v>474</v>
      </c>
      <c r="E39855">
        <v>489916</v>
      </c>
      <c r="F39855">
        <v>1.6323104803852601E-8</v>
      </c>
      <c r="G39855">
        <v>3465078</v>
      </c>
      <c r="H39855">
        <v>13558815</v>
      </c>
      <c r="I39855">
        <v>9863600</v>
      </c>
      <c r="J39855">
        <v>9</v>
      </c>
    </row>
    <row r="39856" spans="1:10" x14ac:dyDescent="0.25">
      <c r="A39856" t="s">
        <v>401</v>
      </c>
      <c r="B39856" s="1" t="str">
        <f>HYPERLINK("http://tfcfcorporation.net","tfcfcorporation.net")</f>
        <v>tfcfcorporation.net</v>
      </c>
      <c r="C39856" t="s">
        <v>474</v>
      </c>
      <c r="J39856">
        <v>4</v>
      </c>
    </row>
    <row r="39857" spans="1:10" x14ac:dyDescent="0.25">
      <c r="A39857" t="s">
        <v>401</v>
      </c>
      <c r="B39857" s="1" t="str">
        <f>HYPERLINK("http://disney.network","disney.network")</f>
        <v>disney.network</v>
      </c>
      <c r="C39857" t="s">
        <v>683</v>
      </c>
      <c r="J39857">
        <v>4</v>
      </c>
    </row>
    <row r="39858" spans="1:10" x14ac:dyDescent="0.25">
      <c r="A39858" t="s">
        <v>401</v>
      </c>
      <c r="B39858" s="1" t="str">
        <f>HYPERLINK("http://axy.news","axy.news")</f>
        <v>axy.news</v>
      </c>
      <c r="C39858" t="s">
        <v>573</v>
      </c>
      <c r="F39858">
        <v>6.0493772959611703E-9</v>
      </c>
      <c r="G39858">
        <v>16386062</v>
      </c>
      <c r="H39858">
        <v>14195660</v>
      </c>
      <c r="I39858">
        <v>1736578</v>
      </c>
      <c r="J39858">
        <v>5</v>
      </c>
    </row>
    <row r="39859" spans="1:10" x14ac:dyDescent="0.25">
      <c r="A39859" t="s">
        <v>401</v>
      </c>
      <c r="B39859" s="1" t="str">
        <f>HYPERLINK("http://disney.nl","disney.nl")</f>
        <v>disney.nl</v>
      </c>
      <c r="C39859" t="s">
        <v>477</v>
      </c>
      <c r="D39859" t="s">
        <v>852</v>
      </c>
      <c r="E39859">
        <v>345712</v>
      </c>
      <c r="F39859">
        <v>4.4601538448810697E-7</v>
      </c>
      <c r="G39859">
        <v>84634</v>
      </c>
      <c r="H39859">
        <v>14931216</v>
      </c>
      <c r="I39859">
        <v>447274</v>
      </c>
      <c r="J39859">
        <v>4</v>
      </c>
    </row>
    <row r="39860" spans="1:10" x14ac:dyDescent="0.25">
      <c r="A39860" t="s">
        <v>401</v>
      </c>
      <c r="B39860" s="1" t="str">
        <f>HYPERLINK("http://disneylandparis.nl","disneylandparis.nl")</f>
        <v>disneylandparis.nl</v>
      </c>
      <c r="C39860" t="s">
        <v>477</v>
      </c>
      <c r="D39860" t="s">
        <v>852</v>
      </c>
      <c r="F39860">
        <v>3.57069677443175E-8</v>
      </c>
      <c r="G39860">
        <v>1459000</v>
      </c>
      <c r="H39860">
        <v>14380526</v>
      </c>
      <c r="I39860">
        <v>1194645</v>
      </c>
      <c r="J39860">
        <v>5</v>
      </c>
    </row>
    <row r="39861" spans="1:10" x14ac:dyDescent="0.25">
      <c r="A39861" t="s">
        <v>401</v>
      </c>
      <c r="B39861" s="1" t="str">
        <f>HYPERLINK("http://espn.nl","espn.nl")</f>
        <v>espn.nl</v>
      </c>
      <c r="C39861" t="s">
        <v>477</v>
      </c>
      <c r="D39861" t="s">
        <v>852</v>
      </c>
      <c r="E39861">
        <v>168774</v>
      </c>
      <c r="F39861">
        <v>2.51797620179291E-7</v>
      </c>
      <c r="G39861">
        <v>148553</v>
      </c>
      <c r="H39861">
        <v>14901808</v>
      </c>
      <c r="I39861">
        <v>462158</v>
      </c>
      <c r="J39861">
        <v>5</v>
      </c>
    </row>
    <row r="39862" spans="1:10" x14ac:dyDescent="0.25">
      <c r="A39862" t="s">
        <v>401</v>
      </c>
      <c r="B39862" s="1" t="str">
        <f>HYPERLINK("http://foxsports.nl","foxsports.nl")</f>
        <v>foxsports.nl</v>
      </c>
      <c r="C39862" t="s">
        <v>477</v>
      </c>
      <c r="D39862" t="s">
        <v>852</v>
      </c>
      <c r="E39862">
        <v>344222</v>
      </c>
      <c r="F39862">
        <v>1.11051988435256E-7</v>
      </c>
      <c r="G39862">
        <v>359967</v>
      </c>
      <c r="H39862">
        <v>14526384</v>
      </c>
      <c r="I39862">
        <v>794330</v>
      </c>
      <c r="J39862">
        <v>8</v>
      </c>
    </row>
    <row r="39863" spans="1:10" x14ac:dyDescent="0.25">
      <c r="A39863" t="s">
        <v>401</v>
      </c>
      <c r="B39863" s="1" t="str">
        <f>HYPERLINK("http://nationalgeographic.nl","nationalgeographic.nl")</f>
        <v>nationalgeographic.nl</v>
      </c>
      <c r="C39863" t="s">
        <v>477</v>
      </c>
      <c r="D39863" t="s">
        <v>852</v>
      </c>
      <c r="E39863">
        <v>198555</v>
      </c>
      <c r="F39863">
        <v>2.6714452697638801E-7</v>
      </c>
      <c r="G39863">
        <v>139505</v>
      </c>
      <c r="H39863">
        <v>17326944</v>
      </c>
      <c r="I39863">
        <v>25166</v>
      </c>
      <c r="J39863">
        <v>4</v>
      </c>
    </row>
    <row r="39864" spans="1:10" x14ac:dyDescent="0.25">
      <c r="A39864" t="s">
        <v>401</v>
      </c>
      <c r="B39864" s="1" t="str">
        <f>HYPERLINK("http://disney.no","disney.no")</f>
        <v>disney.no</v>
      </c>
      <c r="C39864" t="s">
        <v>478</v>
      </c>
      <c r="D39864" t="s">
        <v>853</v>
      </c>
      <c r="F39864">
        <v>3.5926735628201502E-7</v>
      </c>
      <c r="G39864">
        <v>104063</v>
      </c>
      <c r="H39864">
        <v>14815184</v>
      </c>
      <c r="I39864">
        <v>524943</v>
      </c>
      <c r="J39864">
        <v>4</v>
      </c>
    </row>
    <row r="39865" spans="1:10" x14ac:dyDescent="0.25">
      <c r="A39865" t="s">
        <v>401</v>
      </c>
      <c r="B39865" s="1" t="str">
        <f>HYPERLINK("http://mastiff.no","mastiff.no")</f>
        <v>mastiff.no</v>
      </c>
      <c r="C39865" t="s">
        <v>478</v>
      </c>
      <c r="D39865" t="s">
        <v>853</v>
      </c>
      <c r="F39865">
        <v>1.0657479473172499E-8</v>
      </c>
      <c r="G39865">
        <v>6135249</v>
      </c>
      <c r="H39865">
        <v>14072423</v>
      </c>
      <c r="I39865">
        <v>3095684</v>
      </c>
      <c r="J39865">
        <v>14</v>
      </c>
    </row>
    <row r="39866" spans="1:10" x14ac:dyDescent="0.25">
      <c r="A39866" t="s">
        <v>401</v>
      </c>
      <c r="B39866" s="1" t="str">
        <f>HYPERLINK("http://nordiskbanijay.no","nordiskbanijay.no")</f>
        <v>nordiskbanijay.no</v>
      </c>
      <c r="C39866" t="s">
        <v>478</v>
      </c>
      <c r="D39866" t="s">
        <v>853</v>
      </c>
      <c r="F39866">
        <v>7.2734913824274498E-9</v>
      </c>
      <c r="G39866">
        <v>11545338</v>
      </c>
      <c r="H39866">
        <v>14071790</v>
      </c>
      <c r="I39866">
        <v>3529969</v>
      </c>
      <c r="J39866">
        <v>14</v>
      </c>
    </row>
    <row r="39867" spans="1:10" x14ac:dyDescent="0.25">
      <c r="A39867" t="s">
        <v>401</v>
      </c>
      <c r="B39867" s="1" t="str">
        <f>HYPERLINK("http://rubicon.no","rubicon.no")</f>
        <v>rubicon.no</v>
      </c>
      <c r="C39867" t="s">
        <v>478</v>
      </c>
      <c r="D39867" t="s">
        <v>853</v>
      </c>
      <c r="F39867">
        <v>1.18325659759712E-8</v>
      </c>
      <c r="G39867">
        <v>5281384</v>
      </c>
      <c r="H39867">
        <v>14072543</v>
      </c>
      <c r="I39867">
        <v>3075876</v>
      </c>
      <c r="J39867">
        <v>14</v>
      </c>
    </row>
    <row r="39868" spans="1:10" x14ac:dyDescent="0.25">
      <c r="A39868" t="s">
        <v>401</v>
      </c>
      <c r="B39868" s="1" t="str">
        <f>HYPERLINK("http://rubicontv.no","rubicontv.no")</f>
        <v>rubicontv.no</v>
      </c>
      <c r="C39868" t="s">
        <v>478</v>
      </c>
      <c r="D39868" t="s">
        <v>853</v>
      </c>
      <c r="F39868">
        <v>7.0075855490483097E-9</v>
      </c>
      <c r="G39868">
        <v>12289595</v>
      </c>
      <c r="H39868">
        <v>14072741</v>
      </c>
      <c r="I39868">
        <v>3051749</v>
      </c>
      <c r="J39868">
        <v>15</v>
      </c>
    </row>
    <row r="39869" spans="1:10" x14ac:dyDescent="0.25">
      <c r="A39869" t="s">
        <v>401</v>
      </c>
      <c r="B39869" s="1" t="str">
        <f>HYPERLINK("http://nationalgeographic.org","nationalgeographic.org")</f>
        <v>nationalgeographic.org</v>
      </c>
      <c r="C39869" t="s">
        <v>481</v>
      </c>
      <c r="E39869">
        <v>4442</v>
      </c>
      <c r="F39869">
        <v>1.06372708663129E-5</v>
      </c>
      <c r="G39869">
        <v>3176</v>
      </c>
      <c r="H39869">
        <v>18770028</v>
      </c>
      <c r="I39869">
        <v>860</v>
      </c>
      <c r="J39869">
        <v>5</v>
      </c>
    </row>
    <row r="39870" spans="1:10" x14ac:dyDescent="0.25">
      <c r="A39870" t="s">
        <v>401</v>
      </c>
      <c r="B39870" s="1" t="str">
        <f>HYPERLINK("http://partnersfcu.org","partnersfcu.org")</f>
        <v>partnersfcu.org</v>
      </c>
      <c r="C39870" t="s">
        <v>481</v>
      </c>
      <c r="E39870">
        <v>137264</v>
      </c>
      <c r="F39870">
        <v>5.9175318070891298E-8</v>
      </c>
      <c r="G39870">
        <v>748942</v>
      </c>
      <c r="H39870">
        <v>16752273</v>
      </c>
      <c r="I39870">
        <v>253543</v>
      </c>
      <c r="J39870">
        <v>4</v>
      </c>
    </row>
    <row r="39871" spans="1:10" x14ac:dyDescent="0.25">
      <c r="A39871" t="s">
        <v>401</v>
      </c>
      <c r="B39871" s="1" t="str">
        <f>HYPERLINK("http://espn.com.pa","espn.com.pa")</f>
        <v>espn.com.pa</v>
      </c>
      <c r="C39871" t="s">
        <v>482</v>
      </c>
      <c r="D39871" t="s">
        <v>856</v>
      </c>
      <c r="F39871">
        <v>2.9107219484203599E-8</v>
      </c>
      <c r="G39871">
        <v>1769173</v>
      </c>
      <c r="H39871">
        <v>14470981</v>
      </c>
      <c r="I39871">
        <v>1041848</v>
      </c>
      <c r="J39871">
        <v>5</v>
      </c>
    </row>
    <row r="39872" spans="1:10" x14ac:dyDescent="0.25">
      <c r="A39872" t="s">
        <v>401</v>
      </c>
      <c r="B39872" s="1" t="str">
        <f>HYPERLINK("http://espn.com.pe","espn.com.pe")</f>
        <v>espn.com.pe</v>
      </c>
      <c r="C39872" t="s">
        <v>483</v>
      </c>
      <c r="D39872" t="s">
        <v>857</v>
      </c>
      <c r="E39872">
        <v>962480</v>
      </c>
      <c r="F39872">
        <v>2.9590682561597301E-8</v>
      </c>
      <c r="G39872">
        <v>1742122</v>
      </c>
      <c r="H39872">
        <v>14155071</v>
      </c>
      <c r="I39872">
        <v>1860842</v>
      </c>
      <c r="J39872">
        <v>5</v>
      </c>
    </row>
    <row r="39873" spans="1:10" x14ac:dyDescent="0.25">
      <c r="A39873" t="s">
        <v>401</v>
      </c>
      <c r="B39873" s="1" t="str">
        <f>HYPERLINK("http://disney.ph","disney.ph")</f>
        <v>disney.ph</v>
      </c>
      <c r="C39873" t="s">
        <v>484</v>
      </c>
      <c r="D39873" t="s">
        <v>858</v>
      </c>
      <c r="E39873">
        <v>684665</v>
      </c>
      <c r="F39873">
        <v>2.1527630519960601E-7</v>
      </c>
      <c r="G39873">
        <v>175267</v>
      </c>
      <c r="H39873">
        <v>14930333</v>
      </c>
      <c r="I39873">
        <v>447624</v>
      </c>
      <c r="J39873">
        <v>4</v>
      </c>
    </row>
    <row r="39874" spans="1:10" x14ac:dyDescent="0.25">
      <c r="A39874" t="s">
        <v>401</v>
      </c>
      <c r="B39874" s="1" t="str">
        <f>HYPERLINK("http://espn.ph","espn.ph")</f>
        <v>espn.ph</v>
      </c>
      <c r="C39874" t="s">
        <v>484</v>
      </c>
      <c r="D39874" t="s">
        <v>858</v>
      </c>
      <c r="E39874">
        <v>71206</v>
      </c>
      <c r="F39874">
        <v>6.7113130102944197E-8</v>
      </c>
      <c r="G39874">
        <v>637290</v>
      </c>
      <c r="H39874">
        <v>14519980</v>
      </c>
      <c r="I39874">
        <v>805744</v>
      </c>
      <c r="J39874">
        <v>5</v>
      </c>
    </row>
    <row r="39875" spans="1:10" x14ac:dyDescent="0.25">
      <c r="A39875" t="s">
        <v>401</v>
      </c>
      <c r="B39875" s="1" t="str">
        <f>HYPERLINK("http://disney.pl","disney.pl")</f>
        <v>disney.pl</v>
      </c>
      <c r="C39875" t="s">
        <v>486</v>
      </c>
      <c r="D39875" t="s">
        <v>860</v>
      </c>
      <c r="E39875">
        <v>359827</v>
      </c>
      <c r="F39875">
        <v>5.6955574029915698E-7</v>
      </c>
      <c r="G39875">
        <v>67090</v>
      </c>
      <c r="H39875">
        <v>14497689</v>
      </c>
      <c r="I39875">
        <v>864942</v>
      </c>
      <c r="J39875">
        <v>4</v>
      </c>
    </row>
    <row r="39876" spans="1:10" x14ac:dyDescent="0.25">
      <c r="A39876" t="s">
        <v>401</v>
      </c>
      <c r="B39876" s="1" t="str">
        <f>HYPERLINK("http://endemolshine.pl","endemolshine.pl")</f>
        <v>endemolshine.pl</v>
      </c>
      <c r="C39876" t="s">
        <v>486</v>
      </c>
      <c r="D39876" t="s">
        <v>860</v>
      </c>
      <c r="F39876">
        <v>1.27270216998831E-8</v>
      </c>
      <c r="G39876">
        <v>4765887</v>
      </c>
      <c r="H39876">
        <v>14073240</v>
      </c>
      <c r="I39876">
        <v>3007418</v>
      </c>
      <c r="J39876">
        <v>15</v>
      </c>
    </row>
    <row r="39877" spans="1:10" x14ac:dyDescent="0.25">
      <c r="A39877" t="s">
        <v>401</v>
      </c>
      <c r="B39877" s="1" t="str">
        <f>HYPERLINK("http://disney.pt","disney.pt")</f>
        <v>disney.pt</v>
      </c>
      <c r="C39877" t="s">
        <v>488</v>
      </c>
      <c r="D39877" t="s">
        <v>862</v>
      </c>
      <c r="F39877">
        <v>3.9498500839888101E-7</v>
      </c>
      <c r="G39877">
        <v>94972</v>
      </c>
      <c r="H39877">
        <v>14822613</v>
      </c>
      <c r="I39877">
        <v>514501</v>
      </c>
      <c r="J39877">
        <v>4</v>
      </c>
    </row>
    <row r="39878" spans="1:10" x14ac:dyDescent="0.25">
      <c r="A39878" t="s">
        <v>401</v>
      </c>
      <c r="B39878" s="1" t="str">
        <f>HYPERLINK("http://foxtv.pt","foxtv.pt")</f>
        <v>foxtv.pt</v>
      </c>
      <c r="C39878" t="s">
        <v>488</v>
      </c>
      <c r="D39878" t="s">
        <v>862</v>
      </c>
      <c r="F39878">
        <v>5.4992430143857798E-8</v>
      </c>
      <c r="G39878">
        <v>817799</v>
      </c>
      <c r="H39878">
        <v>14818848</v>
      </c>
      <c r="I39878">
        <v>519459</v>
      </c>
      <c r="J39878">
        <v>4</v>
      </c>
    </row>
    <row r="39879" spans="1:10" x14ac:dyDescent="0.25">
      <c r="A39879" t="s">
        <v>401</v>
      </c>
      <c r="B39879" s="1" t="str">
        <f>HYPERLINK("http://disney.ro","disney.ro")</f>
        <v>disney.ro</v>
      </c>
      <c r="C39879" t="s">
        <v>491</v>
      </c>
      <c r="D39879" t="s">
        <v>865</v>
      </c>
      <c r="F39879">
        <v>3.3817923805673799E-7</v>
      </c>
      <c r="G39879">
        <v>110319</v>
      </c>
      <c r="H39879">
        <v>14491158</v>
      </c>
      <c r="I39879">
        <v>905405</v>
      </c>
      <c r="J39879">
        <v>4</v>
      </c>
    </row>
    <row r="39880" spans="1:10" x14ac:dyDescent="0.25">
      <c r="A39880" t="s">
        <v>401</v>
      </c>
      <c r="B39880" s="1" t="str">
        <f>HYPERLINK("http://disney.se","disney.se")</f>
        <v>disney.se</v>
      </c>
      <c r="C39880" t="s">
        <v>495</v>
      </c>
      <c r="D39880" t="s">
        <v>869</v>
      </c>
      <c r="E39880">
        <v>787420</v>
      </c>
      <c r="F39880">
        <v>3.6348000538356901E-7</v>
      </c>
      <c r="G39880">
        <v>102881</v>
      </c>
      <c r="H39880">
        <v>14817286</v>
      </c>
      <c r="I39880">
        <v>521754</v>
      </c>
      <c r="J39880">
        <v>4</v>
      </c>
    </row>
    <row r="39881" spans="1:10" x14ac:dyDescent="0.25">
      <c r="A39881" t="s">
        <v>401</v>
      </c>
      <c r="B39881" s="1" t="str">
        <f>HYPERLINK("http://disney.com.sg","disney.com.sg")</f>
        <v>disney.com.sg</v>
      </c>
      <c r="C39881" t="s">
        <v>496</v>
      </c>
      <c r="D39881" t="s">
        <v>870</v>
      </c>
      <c r="F39881">
        <v>1.4209342646317399E-8</v>
      </c>
      <c r="G39881">
        <v>4125623</v>
      </c>
      <c r="H39881">
        <v>14807925</v>
      </c>
      <c r="I39881">
        <v>542033</v>
      </c>
      <c r="J39881">
        <v>4</v>
      </c>
    </row>
    <row r="39882" spans="1:10" x14ac:dyDescent="0.25">
      <c r="A39882" t="s">
        <v>401</v>
      </c>
      <c r="B39882" s="1" t="str">
        <f>HYPERLINK("http://espn.com.sg","espn.com.sg")</f>
        <v>espn.com.sg</v>
      </c>
      <c r="C39882" t="s">
        <v>496</v>
      </c>
      <c r="D39882" t="s">
        <v>870</v>
      </c>
      <c r="E39882">
        <v>98482</v>
      </c>
      <c r="F39882">
        <v>5.9461528269146799E-8</v>
      </c>
      <c r="G39882">
        <v>743428</v>
      </c>
      <c r="H39882">
        <v>14684150</v>
      </c>
      <c r="I39882">
        <v>606162</v>
      </c>
      <c r="J39882">
        <v>5</v>
      </c>
    </row>
    <row r="39883" spans="1:10" x14ac:dyDescent="0.25">
      <c r="A39883" t="s">
        <v>401</v>
      </c>
      <c r="B39883" s="1" t="str">
        <f>HYPERLINK("http://disney.sg","disney.sg")</f>
        <v>disney.sg</v>
      </c>
      <c r="C39883" t="s">
        <v>496</v>
      </c>
      <c r="D39883" t="s">
        <v>870</v>
      </c>
      <c r="E39883">
        <v>691289</v>
      </c>
      <c r="F39883">
        <v>2.4635769172750302E-7</v>
      </c>
      <c r="G39883">
        <v>151856</v>
      </c>
      <c r="H39883">
        <v>14947402</v>
      </c>
      <c r="I39883">
        <v>441326</v>
      </c>
      <c r="J39883">
        <v>4</v>
      </c>
    </row>
    <row r="39884" spans="1:10" x14ac:dyDescent="0.25">
      <c r="A39884" t="s">
        <v>401</v>
      </c>
      <c r="B39884" s="1" t="str">
        <f>HYPERLINK("http://starwarscosplay.shop","starwarscosplay.shop")</f>
        <v>starwarscosplay.shop</v>
      </c>
      <c r="C39884" t="s">
        <v>708</v>
      </c>
      <c r="F39884">
        <v>8.6370555270986993E-9</v>
      </c>
      <c r="G39884">
        <v>8589890</v>
      </c>
      <c r="H39884">
        <v>1.0003663</v>
      </c>
      <c r="I39884">
        <v>79792486</v>
      </c>
      <c r="J39884">
        <v>7</v>
      </c>
    </row>
    <row r="39885" spans="1:10" x14ac:dyDescent="0.25">
      <c r="A39885" t="s">
        <v>401</v>
      </c>
      <c r="B39885" s="1" t="str">
        <f>HYPERLINK("http://dmed.technology","dmed.technology")</f>
        <v>dmed.technology</v>
      </c>
      <c r="C39885" t="s">
        <v>713</v>
      </c>
      <c r="E39885">
        <v>105994</v>
      </c>
      <c r="F39885">
        <v>4.4438152872958299E-9</v>
      </c>
      <c r="G39885">
        <v>79382308</v>
      </c>
      <c r="H39885">
        <v>10358497</v>
      </c>
      <c r="I39885">
        <v>55428470</v>
      </c>
      <c r="J39885">
        <v>4</v>
      </c>
    </row>
    <row r="39886" spans="1:10" x14ac:dyDescent="0.25">
      <c r="A39886" t="s">
        <v>401</v>
      </c>
      <c r="B39886" s="1" t="str">
        <f>HYPERLINK("http://disney.co.th","disney.co.th")</f>
        <v>disney.co.th</v>
      </c>
      <c r="C39886" t="s">
        <v>500</v>
      </c>
      <c r="D39886" t="s">
        <v>874</v>
      </c>
      <c r="F39886">
        <v>2.27253886032332E-7</v>
      </c>
      <c r="G39886">
        <v>165695</v>
      </c>
      <c r="H39886">
        <v>14074815</v>
      </c>
      <c r="I39886">
        <v>2928460</v>
      </c>
      <c r="J39886">
        <v>4</v>
      </c>
    </row>
    <row r="39887" spans="1:10" x14ac:dyDescent="0.25">
      <c r="A39887" t="s">
        <v>401</v>
      </c>
      <c r="B39887" s="1" t="str">
        <f>HYPERLINK("http://disney.com.tr","disney.com.tr")</f>
        <v>disney.com.tr</v>
      </c>
      <c r="C39887" t="s">
        <v>502</v>
      </c>
      <c r="D39887" t="s">
        <v>876</v>
      </c>
      <c r="E39887">
        <v>584227</v>
      </c>
      <c r="F39887">
        <v>1.6924716168390899E-7</v>
      </c>
      <c r="G39887">
        <v>229206</v>
      </c>
      <c r="H39887">
        <v>13294878</v>
      </c>
      <c r="I39887">
        <v>10854255</v>
      </c>
      <c r="J39887">
        <v>4</v>
      </c>
    </row>
    <row r="39888" spans="1:10" x14ac:dyDescent="0.25">
      <c r="A39888" t="s">
        <v>401</v>
      </c>
      <c r="B39888" s="1" t="str">
        <f>HYPERLINK("http://alp.tv","alp.tv")</f>
        <v>alp.tv</v>
      </c>
      <c r="C39888" t="s">
        <v>535</v>
      </c>
      <c r="D39888" t="s">
        <v>897</v>
      </c>
      <c r="F39888">
        <v>1.30171897940906E-8</v>
      </c>
      <c r="G39888">
        <v>4623546</v>
      </c>
      <c r="H39888">
        <v>14076615</v>
      </c>
      <c r="I39888">
        <v>2883336</v>
      </c>
      <c r="J39888">
        <v>16</v>
      </c>
    </row>
    <row r="39889" spans="1:10" x14ac:dyDescent="0.25">
      <c r="A39889" t="s">
        <v>401</v>
      </c>
      <c r="B39889" s="1" t="str">
        <f>HYPERLINK("http://blip.tv","blip.tv")</f>
        <v>blip.tv</v>
      </c>
      <c r="C39889" t="s">
        <v>535</v>
      </c>
      <c r="D39889" t="s">
        <v>897</v>
      </c>
      <c r="E39889">
        <v>8136</v>
      </c>
      <c r="F39889">
        <v>9.7025919781786905E-6</v>
      </c>
      <c r="G39889">
        <v>3480</v>
      </c>
      <c r="H39889">
        <v>18965606</v>
      </c>
      <c r="I39889">
        <v>570</v>
      </c>
      <c r="J39889">
        <v>4</v>
      </c>
    </row>
    <row r="39890" spans="1:10" x14ac:dyDescent="0.25">
      <c r="A39890" t="s">
        <v>401</v>
      </c>
      <c r="B39890" s="1" t="str">
        <f>HYPERLINK("http://disneyabc.tv","disneyabc.tv")</f>
        <v>disneyabc.tv</v>
      </c>
      <c r="C39890" t="s">
        <v>535</v>
      </c>
      <c r="D39890" t="s">
        <v>897</v>
      </c>
      <c r="F39890">
        <v>1.03027766414267E-8</v>
      </c>
      <c r="G39890">
        <v>6448428</v>
      </c>
      <c r="H39890">
        <v>14093809</v>
      </c>
      <c r="I39890">
        <v>2734303</v>
      </c>
      <c r="J39890">
        <v>4</v>
      </c>
    </row>
    <row r="39891" spans="1:10" x14ac:dyDescent="0.25">
      <c r="A39891" t="s">
        <v>401</v>
      </c>
      <c r="B39891" s="1" t="str">
        <f>HYPERLINK("http://dsp.tv","dsp.tv")</f>
        <v>dsp.tv</v>
      </c>
      <c r="C39891" t="s">
        <v>535</v>
      </c>
      <c r="D39891" t="s">
        <v>897</v>
      </c>
      <c r="F39891">
        <v>2.0917053737018199E-8</v>
      </c>
      <c r="G39891">
        <v>2527045</v>
      </c>
      <c r="H39891">
        <v>14255495</v>
      </c>
      <c r="I39891">
        <v>1432880</v>
      </c>
      <c r="J39891">
        <v>15</v>
      </c>
    </row>
    <row r="39892" spans="1:10" x14ac:dyDescent="0.25">
      <c r="A39892" t="s">
        <v>401</v>
      </c>
      <c r="B39892" s="1" t="str">
        <f>HYPERLINK("http://espn.tv","espn.tv")</f>
        <v>espn.tv</v>
      </c>
      <c r="C39892" t="s">
        <v>535</v>
      </c>
      <c r="D39892" t="s">
        <v>897</v>
      </c>
      <c r="F39892">
        <v>4.44380395335525E-9</v>
      </c>
      <c r="G39892">
        <v>86445714</v>
      </c>
      <c r="H39892">
        <v>0</v>
      </c>
      <c r="I39892">
        <v>87913618</v>
      </c>
      <c r="J39892">
        <v>5</v>
      </c>
    </row>
    <row r="39893" spans="1:10" x14ac:dyDescent="0.25">
      <c r="A39893" t="s">
        <v>401</v>
      </c>
      <c r="B39893" s="1" t="str">
        <f>HYPERLINK("http://historyplay.tv","historyplay.tv")</f>
        <v>historyplay.tv</v>
      </c>
      <c r="C39893" t="s">
        <v>535</v>
      </c>
      <c r="D39893" t="s">
        <v>897</v>
      </c>
      <c r="E39893">
        <v>303146</v>
      </c>
      <c r="F39893">
        <v>9.7112212163708405E-8</v>
      </c>
      <c r="G39893">
        <v>416017</v>
      </c>
      <c r="H39893">
        <v>15138924</v>
      </c>
      <c r="I39893">
        <v>401360</v>
      </c>
      <c r="J39893">
        <v>5</v>
      </c>
    </row>
    <row r="39894" spans="1:10" x14ac:dyDescent="0.25">
      <c r="A39894" t="s">
        <v>401</v>
      </c>
      <c r="B39894" s="1" t="str">
        <f>HYPERLINK("http://hulu.tv","hulu.tv")</f>
        <v>hulu.tv</v>
      </c>
      <c r="C39894" t="s">
        <v>535</v>
      </c>
      <c r="D39894" t="s">
        <v>897</v>
      </c>
      <c r="E39894">
        <v>898559</v>
      </c>
      <c r="F39894">
        <v>2.4218137046156398E-7</v>
      </c>
      <c r="G39894">
        <v>154468</v>
      </c>
      <c r="H39894">
        <v>14121418</v>
      </c>
      <c r="I39894">
        <v>2255881</v>
      </c>
      <c r="J39894">
        <v>4</v>
      </c>
    </row>
    <row r="39895" spans="1:10" x14ac:dyDescent="0.25">
      <c r="A39895" t="s">
        <v>401</v>
      </c>
      <c r="B39895" s="1" t="str">
        <f>HYPERLINK("http://shine.tv","shine.tv")</f>
        <v>shine.tv</v>
      </c>
      <c r="C39895" t="s">
        <v>535</v>
      </c>
      <c r="D39895" t="s">
        <v>897</v>
      </c>
      <c r="F39895">
        <v>2.9135643909587299E-8</v>
      </c>
      <c r="G39895">
        <v>1767591</v>
      </c>
      <c r="H39895">
        <v>14747118</v>
      </c>
      <c r="I39895">
        <v>564814</v>
      </c>
      <c r="J39895">
        <v>13</v>
      </c>
    </row>
    <row r="39896" spans="1:10" x14ac:dyDescent="0.25">
      <c r="A39896" t="s">
        <v>401</v>
      </c>
      <c r="B39896" s="1" t="str">
        <f>HYPERLINK("http://shinegroup.tv","shinegroup.tv")</f>
        <v>shinegroup.tv</v>
      </c>
      <c r="C39896" t="s">
        <v>535</v>
      </c>
      <c r="D39896" t="s">
        <v>897</v>
      </c>
      <c r="F39896">
        <v>1.10619443792472E-8</v>
      </c>
      <c r="G39896">
        <v>5813498</v>
      </c>
      <c r="H39896">
        <v>14562471</v>
      </c>
      <c r="I39896">
        <v>743748</v>
      </c>
      <c r="J39896">
        <v>7</v>
      </c>
    </row>
    <row r="39897" spans="1:10" x14ac:dyDescent="0.25">
      <c r="A39897" t="s">
        <v>401</v>
      </c>
      <c r="B39897" s="1" t="str">
        <f>HYPERLINK("http://20thcenturystudios.tw","20thcenturystudios.tw")</f>
        <v>20thcenturystudios.tw</v>
      </c>
      <c r="C39897" t="s">
        <v>504</v>
      </c>
      <c r="D39897" t="s">
        <v>878</v>
      </c>
      <c r="F39897">
        <v>4.7610941924347302E-8</v>
      </c>
      <c r="G39897">
        <v>977928</v>
      </c>
      <c r="H39897">
        <v>13375602</v>
      </c>
      <c r="I39897">
        <v>10444031</v>
      </c>
      <c r="J39897">
        <v>5</v>
      </c>
    </row>
    <row r="39898" spans="1:10" x14ac:dyDescent="0.25">
      <c r="A39898" t="s">
        <v>401</v>
      </c>
      <c r="B39898" s="1" t="str">
        <f>HYPERLINK("http://aenetworks.co.uk","aenetworks.co.uk")</f>
        <v>aenetworks.co.uk</v>
      </c>
      <c r="C39898" t="s">
        <v>506</v>
      </c>
      <c r="D39898" t="s">
        <v>880</v>
      </c>
      <c r="F39898">
        <v>4.4438843044980397E-9</v>
      </c>
      <c r="G39898">
        <v>78002162</v>
      </c>
      <c r="H39898">
        <v>10349129</v>
      </c>
      <c r="I39898">
        <v>56489029</v>
      </c>
      <c r="J39898">
        <v>6</v>
      </c>
    </row>
    <row r="39899" spans="1:10" x14ac:dyDescent="0.25">
      <c r="A39899" t="s">
        <v>401</v>
      </c>
      <c r="B39899" s="1" t="str">
        <f>HYPERLINK("http://crimeandinvestigation.co.uk","crimeandinvestigation.co.uk")</f>
        <v>crimeandinvestigation.co.uk</v>
      </c>
      <c r="C39899" t="s">
        <v>506</v>
      </c>
      <c r="D39899" t="s">
        <v>880</v>
      </c>
      <c r="E39899">
        <v>263874</v>
      </c>
      <c r="F39899">
        <v>6.6867887283553002E-8</v>
      </c>
      <c r="G39899">
        <v>640010</v>
      </c>
      <c r="H39899">
        <v>14946621</v>
      </c>
      <c r="I39899">
        <v>441618</v>
      </c>
      <c r="J39899">
        <v>5</v>
      </c>
    </row>
    <row r="39900" spans="1:10" x14ac:dyDescent="0.25">
      <c r="A39900" t="s">
        <v>401</v>
      </c>
      <c r="B39900" s="1" t="str">
        <f>HYPERLINK("http://disney.co.uk","disney.co.uk")</f>
        <v>disney.co.uk</v>
      </c>
      <c r="C39900" t="s">
        <v>506</v>
      </c>
      <c r="D39900" t="s">
        <v>880</v>
      </c>
      <c r="E39900">
        <v>51344</v>
      </c>
      <c r="F39900">
        <v>1.1154014953232701E-6</v>
      </c>
      <c r="G39900">
        <v>34549</v>
      </c>
      <c r="H39900">
        <v>15616955</v>
      </c>
      <c r="I39900">
        <v>371580</v>
      </c>
      <c r="J39900">
        <v>3</v>
      </c>
    </row>
    <row r="39901" spans="1:10" x14ac:dyDescent="0.25">
      <c r="A39901" t="s">
        <v>401</v>
      </c>
      <c r="B39901" s="1" t="str">
        <f>HYPERLINK("http://disneylandparis.co.uk","disneylandparis.co.uk")</f>
        <v>disneylandparis.co.uk</v>
      </c>
      <c r="C39901" t="s">
        <v>506</v>
      </c>
      <c r="D39901" t="s">
        <v>880</v>
      </c>
      <c r="E39901">
        <v>370769</v>
      </c>
      <c r="F39901">
        <v>1.3693272936853299E-7</v>
      </c>
      <c r="G39901">
        <v>284623</v>
      </c>
      <c r="H39901">
        <v>14901569</v>
      </c>
      <c r="I39901">
        <v>462259</v>
      </c>
      <c r="J39901">
        <v>5</v>
      </c>
    </row>
    <row r="39902" spans="1:10" x14ac:dyDescent="0.25">
      <c r="A39902" t="s">
        <v>401</v>
      </c>
      <c r="B39902" s="1" t="str">
        <f>HYPERLINK("http://disneystore.co.uk","disneystore.co.uk")</f>
        <v>disneystore.co.uk</v>
      </c>
      <c r="C39902" t="s">
        <v>506</v>
      </c>
      <c r="D39902" t="s">
        <v>880</v>
      </c>
      <c r="E39902">
        <v>426683</v>
      </c>
      <c r="F39902">
        <v>6.7485159350002001E-8</v>
      </c>
      <c r="G39902">
        <v>633111</v>
      </c>
      <c r="H39902">
        <v>14541156</v>
      </c>
      <c r="I39902">
        <v>774656</v>
      </c>
      <c r="J39902">
        <v>5</v>
      </c>
    </row>
    <row r="39903" spans="1:10" x14ac:dyDescent="0.25">
      <c r="A39903" t="s">
        <v>401</v>
      </c>
      <c r="B39903" s="1" t="str">
        <f>HYPERLINK("http://espn.co.uk","espn.co.uk")</f>
        <v>espn.co.uk</v>
      </c>
      <c r="C39903" t="s">
        <v>506</v>
      </c>
      <c r="D39903" t="s">
        <v>880</v>
      </c>
      <c r="E39903">
        <v>13918</v>
      </c>
      <c r="F39903">
        <v>1.5081719674994799E-6</v>
      </c>
      <c r="G39903">
        <v>26008</v>
      </c>
      <c r="H39903">
        <v>17505408</v>
      </c>
      <c r="I39903">
        <v>13450</v>
      </c>
      <c r="J39903">
        <v>5</v>
      </c>
    </row>
    <row r="39904" spans="1:10" x14ac:dyDescent="0.25">
      <c r="A39904" t="s">
        <v>401</v>
      </c>
      <c r="B39904" s="1" t="str">
        <f>HYPERLINK("http://fox.co.uk","fox.co.uk")</f>
        <v>fox.co.uk</v>
      </c>
      <c r="C39904" t="s">
        <v>506</v>
      </c>
      <c r="D39904" t="s">
        <v>880</v>
      </c>
      <c r="E39904">
        <v>588442</v>
      </c>
      <c r="F39904">
        <v>6.0048902349152499E-8</v>
      </c>
      <c r="G39904">
        <v>735094</v>
      </c>
      <c r="H39904">
        <v>14259424</v>
      </c>
      <c r="I39904">
        <v>1421973</v>
      </c>
      <c r="J39904">
        <v>6</v>
      </c>
    </row>
    <row r="39905" spans="1:10" x14ac:dyDescent="0.25">
      <c r="A39905" t="s">
        <v>401</v>
      </c>
      <c r="B39905" s="1" t="str">
        <f>HYPERLINK("http://iwcmedia.co.uk","iwcmedia.co.uk")</f>
        <v>iwcmedia.co.uk</v>
      </c>
      <c r="C39905" t="s">
        <v>506</v>
      </c>
      <c r="D39905" t="s">
        <v>880</v>
      </c>
      <c r="F39905">
        <v>1.40148044352163E-8</v>
      </c>
      <c r="G39905">
        <v>4197034</v>
      </c>
      <c r="H39905">
        <v>14144738</v>
      </c>
      <c r="I39905">
        <v>1904226</v>
      </c>
      <c r="J39905">
        <v>13</v>
      </c>
    </row>
    <row r="39906" spans="1:10" x14ac:dyDescent="0.25">
      <c r="A39906" t="s">
        <v>401</v>
      </c>
      <c r="B39906" s="1" t="str">
        <f>HYPERLINK("http://kudos.co.uk","kudos.co.uk")</f>
        <v>kudos.co.uk</v>
      </c>
      <c r="C39906" t="s">
        <v>506</v>
      </c>
      <c r="D39906" t="s">
        <v>880</v>
      </c>
      <c r="F39906">
        <v>1.0675667299413601E-8</v>
      </c>
      <c r="G39906">
        <v>6120466</v>
      </c>
      <c r="H39906">
        <v>13187154</v>
      </c>
      <c r="I39906">
        <v>11613538</v>
      </c>
      <c r="J39906">
        <v>13</v>
      </c>
    </row>
    <row r="39907" spans="1:10" x14ac:dyDescent="0.25">
      <c r="A39907" t="s">
        <v>401</v>
      </c>
      <c r="B39907" s="1" t="str">
        <f>HYPERLINK("http://nationalgeographic.co.uk","nationalgeographic.co.uk")</f>
        <v>nationalgeographic.co.uk</v>
      </c>
      <c r="C39907" t="s">
        <v>506</v>
      </c>
      <c r="D39907" t="s">
        <v>880</v>
      </c>
      <c r="E39907">
        <v>19460</v>
      </c>
      <c r="F39907">
        <v>1.59667699169769E-6</v>
      </c>
      <c r="G39907">
        <v>24651</v>
      </c>
      <c r="H39907">
        <v>17551700</v>
      </c>
      <c r="I39907">
        <v>11230</v>
      </c>
      <c r="J39907">
        <v>4</v>
      </c>
    </row>
    <row r="39908" spans="1:10" x14ac:dyDescent="0.25">
      <c r="A39908" t="s">
        <v>401</v>
      </c>
      <c r="B39908" s="1" t="str">
        <f>HYPERLINK("http://shopdisney.co.uk","shopdisney.co.uk")</f>
        <v>shopdisney.co.uk</v>
      </c>
      <c r="C39908" t="s">
        <v>506</v>
      </c>
      <c r="D39908" t="s">
        <v>880</v>
      </c>
      <c r="E39908">
        <v>121430</v>
      </c>
      <c r="F39908">
        <v>2.30409291326564E-7</v>
      </c>
      <c r="G39908">
        <v>163123</v>
      </c>
      <c r="H39908">
        <v>15067543</v>
      </c>
      <c r="I39908">
        <v>411540</v>
      </c>
      <c r="J39908">
        <v>5</v>
      </c>
    </row>
    <row r="39909" spans="1:10" x14ac:dyDescent="0.25">
      <c r="A39909" t="s">
        <v>401</v>
      </c>
      <c r="B39909" s="1" t="str">
        <f>HYPERLINK("http://tigeraspect.co.uk","tigeraspect.co.uk")</f>
        <v>tigeraspect.co.uk</v>
      </c>
      <c r="C39909" t="s">
        <v>506</v>
      </c>
      <c r="D39909" t="s">
        <v>880</v>
      </c>
      <c r="E39909">
        <v>967002</v>
      </c>
      <c r="F39909">
        <v>3.18328035468618E-8</v>
      </c>
      <c r="G39909">
        <v>1622538</v>
      </c>
      <c r="H39909">
        <v>14522941</v>
      </c>
      <c r="I39909">
        <v>799859</v>
      </c>
      <c r="J39909">
        <v>14</v>
      </c>
    </row>
    <row r="39910" spans="1:10" x14ac:dyDescent="0.25">
      <c r="A39910" t="s">
        <v>401</v>
      </c>
      <c r="B39910" s="1" t="str">
        <f>HYPERLINK("http://nationalgeographic.uk","nationalgeographic.uk")</f>
        <v>nationalgeographic.uk</v>
      </c>
      <c r="C39910" t="s">
        <v>506</v>
      </c>
      <c r="D39910" t="s">
        <v>880</v>
      </c>
      <c r="J39910">
        <v>5</v>
      </c>
    </row>
    <row r="39911" spans="1:10" x14ac:dyDescent="0.25">
      <c r="A39911" t="s">
        <v>401</v>
      </c>
      <c r="B39911" s="1" t="str">
        <f>HYPERLINK("http://aetv.us","aetv.us")</f>
        <v>aetv.us</v>
      </c>
      <c r="C39911" t="s">
        <v>522</v>
      </c>
      <c r="D39911" t="s">
        <v>891</v>
      </c>
      <c r="F39911">
        <v>7.7785696387057808E-9</v>
      </c>
      <c r="G39911">
        <v>10371746</v>
      </c>
      <c r="H39911">
        <v>13568322</v>
      </c>
      <c r="I39911">
        <v>9737093</v>
      </c>
      <c r="J39911">
        <v>8</v>
      </c>
    </row>
    <row r="39912" spans="1:10" x14ac:dyDescent="0.25">
      <c r="A39912" t="s">
        <v>401</v>
      </c>
      <c r="B39912" s="1" t="str">
        <f>HYPERLINK("http://endemolshine.us","endemolshine.us")</f>
        <v>endemolshine.us</v>
      </c>
      <c r="C39912" t="s">
        <v>522</v>
      </c>
      <c r="D39912" t="s">
        <v>891</v>
      </c>
      <c r="F39912">
        <v>2.4892767916537799E-8</v>
      </c>
      <c r="G39912">
        <v>2077132</v>
      </c>
      <c r="H39912">
        <v>14077603</v>
      </c>
      <c r="I39912">
        <v>2862275</v>
      </c>
      <c r="J39912">
        <v>14</v>
      </c>
    </row>
    <row r="39913" spans="1:10" x14ac:dyDescent="0.25">
      <c r="A39913" t="s">
        <v>401</v>
      </c>
      <c r="B39913" s="1" t="str">
        <f>HYPERLINK("http://espn.com.uy","espn.com.uy")</f>
        <v>espn.com.uy</v>
      </c>
      <c r="C39913" t="s">
        <v>507</v>
      </c>
      <c r="D39913" t="s">
        <v>881</v>
      </c>
      <c r="E39913">
        <v>892425</v>
      </c>
      <c r="F39913">
        <v>4.09702920680367E-8</v>
      </c>
      <c r="G39913">
        <v>1266198</v>
      </c>
      <c r="H39913">
        <v>14162245</v>
      </c>
      <c r="I39913">
        <v>1833170</v>
      </c>
      <c r="J39913">
        <v>5</v>
      </c>
    </row>
    <row r="39914" spans="1:10" x14ac:dyDescent="0.25">
      <c r="A39914" t="s">
        <v>401</v>
      </c>
      <c r="B39914" s="1" t="str">
        <f>HYPERLINK("http://espn.com.ve","espn.com.ve")</f>
        <v>espn.com.ve</v>
      </c>
      <c r="C39914" t="s">
        <v>508</v>
      </c>
      <c r="D39914" t="s">
        <v>882</v>
      </c>
      <c r="E39914">
        <v>119074</v>
      </c>
      <c r="F39914">
        <v>6.5705211455781603E-8</v>
      </c>
      <c r="G39914">
        <v>653900</v>
      </c>
      <c r="H39914">
        <v>14748138</v>
      </c>
      <c r="I39914">
        <v>564451</v>
      </c>
      <c r="J39914">
        <v>5</v>
      </c>
    </row>
    <row r="39915" spans="1:10" x14ac:dyDescent="0.25">
      <c r="A39915" t="s">
        <v>401</v>
      </c>
      <c r="B39915" s="1" t="str">
        <f>HYPERLINK("http://disney.co.za","disney.co.za")</f>
        <v>disney.co.za</v>
      </c>
      <c r="C39915" t="s">
        <v>510</v>
      </c>
      <c r="D39915" t="s">
        <v>884</v>
      </c>
      <c r="E39915">
        <v>751665</v>
      </c>
      <c r="F39915">
        <v>3.5997947200702499E-7</v>
      </c>
      <c r="G39915">
        <v>103866</v>
      </c>
      <c r="H39915">
        <v>14740550</v>
      </c>
      <c r="I39915">
        <v>567523</v>
      </c>
      <c r="J39915">
        <v>4</v>
      </c>
    </row>
    <row r="39916" spans="1:10" x14ac:dyDescent="0.25">
      <c r="A39916" t="s">
        <v>402</v>
      </c>
      <c r="B39916" s="1" t="str">
        <f>HYPERLINK("http://borsodchem-cz.com","borsodchem-cz.com")</f>
        <v>borsodchem-cz.com</v>
      </c>
      <c r="C39916" t="s">
        <v>433</v>
      </c>
      <c r="F39916">
        <v>7.29071127533822E-9</v>
      </c>
      <c r="G39916">
        <v>11503283</v>
      </c>
      <c r="H39916">
        <v>14072239</v>
      </c>
      <c r="I39916">
        <v>3129901</v>
      </c>
      <c r="J39916">
        <v>4</v>
      </c>
    </row>
    <row r="39917" spans="1:10" x14ac:dyDescent="0.25">
      <c r="A39917" t="s">
        <v>402</v>
      </c>
      <c r="B39917" s="1" t="str">
        <f>HYPERLINK("http://borsodchem-group.com","borsodchem-group.com")</f>
        <v>borsodchem-group.com</v>
      </c>
      <c r="C39917" t="s">
        <v>433</v>
      </c>
      <c r="F39917">
        <v>3.7275456554476603E-8</v>
      </c>
      <c r="G39917">
        <v>1389256</v>
      </c>
      <c r="H39917">
        <v>14075327</v>
      </c>
      <c r="I39917">
        <v>2912112</v>
      </c>
      <c r="J39917">
        <v>3</v>
      </c>
    </row>
    <row r="39918" spans="1:10" x14ac:dyDescent="0.25">
      <c r="A39918" t="s">
        <v>402</v>
      </c>
      <c r="B39918" s="1" t="str">
        <f>HYPERLINK("http://borsodchem-hu.com","borsodchem-hu.com")</f>
        <v>borsodchem-hu.com</v>
      </c>
      <c r="C39918" t="s">
        <v>433</v>
      </c>
      <c r="F39918">
        <v>5.6454910681645699E-9</v>
      </c>
      <c r="G39918">
        <v>19432581</v>
      </c>
      <c r="H39918">
        <v>14072182</v>
      </c>
      <c r="I39918">
        <v>3143466</v>
      </c>
      <c r="J39918">
        <v>6</v>
      </c>
    </row>
    <row r="39919" spans="1:10" x14ac:dyDescent="0.25">
      <c r="A39919" t="s">
        <v>402</v>
      </c>
      <c r="B39919" s="1" t="str">
        <f>HYPERLINK("http://e-whchem.com","e-whchem.com")</f>
        <v>e-whchem.com</v>
      </c>
      <c r="C39919" t="s">
        <v>433</v>
      </c>
      <c r="F39919">
        <v>1.46311900166963E-8</v>
      </c>
      <c r="G39919">
        <v>3965256</v>
      </c>
      <c r="H39919">
        <v>10770715</v>
      </c>
      <c r="I39919">
        <v>39213911</v>
      </c>
      <c r="J39919">
        <v>2</v>
      </c>
    </row>
    <row r="39920" spans="1:10" x14ac:dyDescent="0.25">
      <c r="A39920" t="s">
        <v>402</v>
      </c>
      <c r="B39920" s="1" t="str">
        <f>HYPERLINK("http://whchem.com","whchem.com")</f>
        <v>whchem.com</v>
      </c>
      <c r="C39920" t="s">
        <v>433</v>
      </c>
      <c r="E39920">
        <v>218672</v>
      </c>
      <c r="F39920">
        <v>9.6020678613124594E-8</v>
      </c>
      <c r="G39920">
        <v>421459</v>
      </c>
      <c r="H39920">
        <v>14135965</v>
      </c>
      <c r="I39920">
        <v>1965624</v>
      </c>
      <c r="J39920">
        <v>1</v>
      </c>
    </row>
    <row r="39921" spans="1:10" x14ac:dyDescent="0.25">
      <c r="A39921" t="s">
        <v>1662</v>
      </c>
      <c r="B39921" s="1" t="str">
        <f>HYPERLINK("http://alaskawaste.com","alaskawaste.com")</f>
        <v>alaskawaste.com</v>
      </c>
      <c r="C39921" t="s">
        <v>433</v>
      </c>
      <c r="F39921">
        <v>3.1625548313251799E-8</v>
      </c>
      <c r="G39921">
        <v>1632035</v>
      </c>
      <c r="H39921">
        <v>12512279</v>
      </c>
      <c r="I39921">
        <v>17223804</v>
      </c>
      <c r="J39921">
        <v>5</v>
      </c>
    </row>
    <row r="39922" spans="1:10" x14ac:dyDescent="0.25">
      <c r="A39922" t="s">
        <v>1662</v>
      </c>
      <c r="B39922" s="1" t="str">
        <f>HYPERLINK("http://baydisposal.com","baydisposal.com")</f>
        <v>baydisposal.com</v>
      </c>
      <c r="C39922" t="s">
        <v>433</v>
      </c>
      <c r="F39922">
        <v>1.2969993272780101E-8</v>
      </c>
      <c r="G39922">
        <v>4646167</v>
      </c>
      <c r="H39922">
        <v>12861251</v>
      </c>
      <c r="I39922">
        <v>14194427</v>
      </c>
      <c r="J39922">
        <v>3</v>
      </c>
    </row>
    <row r="39923" spans="1:10" x14ac:dyDescent="0.25">
      <c r="A39923" t="s">
        <v>1662</v>
      </c>
      <c r="B39923" s="1" t="str">
        <f>HYPERLINK("http://bydaylight.com","bydaylight.com")</f>
        <v>bydaylight.com</v>
      </c>
      <c r="C39923" t="s">
        <v>433</v>
      </c>
      <c r="F39923">
        <v>1.17960121873131E-8</v>
      </c>
      <c r="G39923">
        <v>5304608</v>
      </c>
      <c r="H39923">
        <v>12146408</v>
      </c>
      <c r="I39923">
        <v>24715666</v>
      </c>
      <c r="J39923">
        <v>5</v>
      </c>
    </row>
    <row r="39924" spans="1:10" x14ac:dyDescent="0.25">
      <c r="A39924" t="s">
        <v>1662</v>
      </c>
      <c r="B39924" s="1" t="str">
        <f>HYPERLINK("http://carolinawaste.com","carolinawaste.com")</f>
        <v>carolinawaste.com</v>
      </c>
      <c r="C39924" t="s">
        <v>433</v>
      </c>
      <c r="F39924">
        <v>7.1773026062954003E-9</v>
      </c>
      <c r="G39924">
        <v>11803661</v>
      </c>
      <c r="H39924">
        <v>12188752</v>
      </c>
      <c r="I39924">
        <v>23611030</v>
      </c>
      <c r="J39924">
        <v>3</v>
      </c>
    </row>
    <row r="39925" spans="1:10" x14ac:dyDescent="0.25">
      <c r="A39925" t="s">
        <v>1662</v>
      </c>
      <c r="B39925" s="1" t="str">
        <f>HYPERLINK("http://columbiaresourcecompany.com","columbiaresourcecompany.com")</f>
        <v>columbiaresourcecompany.com</v>
      </c>
      <c r="C39925" t="s">
        <v>433</v>
      </c>
      <c r="F39925">
        <v>7.64935616229172E-9</v>
      </c>
      <c r="G39925">
        <v>10687332</v>
      </c>
      <c r="H39925">
        <v>12988646</v>
      </c>
      <c r="I39925">
        <v>12876664</v>
      </c>
      <c r="J39925">
        <v>7</v>
      </c>
    </row>
    <row r="39926" spans="1:10" x14ac:dyDescent="0.25">
      <c r="A39926" t="s">
        <v>1662</v>
      </c>
      <c r="B39926" s="1" t="str">
        <f>HYPERLINK("http://creci.com","creci.com")</f>
        <v>creci.com</v>
      </c>
      <c r="C39926" t="s">
        <v>433</v>
      </c>
      <c r="F39926">
        <v>4.44380395335525E-9</v>
      </c>
      <c r="G39926">
        <v>81244916</v>
      </c>
      <c r="H39926">
        <v>0</v>
      </c>
      <c r="I39926">
        <v>81584895</v>
      </c>
      <c r="J39926">
        <v>3</v>
      </c>
    </row>
    <row r="39927" spans="1:10" x14ac:dyDescent="0.25">
      <c r="A39927" t="s">
        <v>1662</v>
      </c>
      <c r="B39927" s="1" t="str">
        <f>HYPERLINK("http://ecosort.com","ecosort.com")</f>
        <v>ecosort.com</v>
      </c>
      <c r="C39927" t="s">
        <v>433</v>
      </c>
      <c r="F39927">
        <v>4.8444855930651497E-9</v>
      </c>
      <c r="G39927">
        <v>34325263</v>
      </c>
      <c r="H39927">
        <v>10973350</v>
      </c>
      <c r="I39927">
        <v>34075611</v>
      </c>
      <c r="J39927">
        <v>3</v>
      </c>
    </row>
    <row r="39928" spans="1:10" x14ac:dyDescent="0.25">
      <c r="A39928" t="s">
        <v>1662</v>
      </c>
      <c r="B39928" s="1" t="str">
        <f>HYPERLINK("http://eldoradodisposal.com","eldoradodisposal.com")</f>
        <v>eldoradodisposal.com</v>
      </c>
      <c r="C39928" t="s">
        <v>433</v>
      </c>
      <c r="F39928">
        <v>1.24733581855649E-8</v>
      </c>
      <c r="G39928">
        <v>4899520</v>
      </c>
      <c r="H39928">
        <v>12474663</v>
      </c>
      <c r="I39928">
        <v>17649175</v>
      </c>
      <c r="J39928">
        <v>5</v>
      </c>
    </row>
    <row r="39929" spans="1:10" x14ac:dyDescent="0.25">
      <c r="A39929" t="s">
        <v>1662</v>
      </c>
      <c r="B39929" s="1" t="str">
        <f>HYPERLINK("http://elharvey.com","elharvey.com")</f>
        <v>elharvey.com</v>
      </c>
      <c r="C39929" t="s">
        <v>433</v>
      </c>
      <c r="F39929">
        <v>1.6438120147658701E-8</v>
      </c>
      <c r="G39929">
        <v>3429435</v>
      </c>
      <c r="H39929">
        <v>12394281</v>
      </c>
      <c r="I39929">
        <v>18948715</v>
      </c>
      <c r="J39929">
        <v>3</v>
      </c>
    </row>
    <row r="39930" spans="1:10" x14ac:dyDescent="0.25">
      <c r="A39930" t="s">
        <v>1662</v>
      </c>
      <c r="B39930" s="1" t="str">
        <f>HYPERLINK("http://equiturf.com","equiturf.com")</f>
        <v>equiturf.com</v>
      </c>
      <c r="C39930" t="s">
        <v>433</v>
      </c>
      <c r="F39930">
        <v>4.7326420327654704E-9</v>
      </c>
      <c r="G39930">
        <v>39213848</v>
      </c>
      <c r="H39930">
        <v>10830501</v>
      </c>
      <c r="I39930">
        <v>37382726</v>
      </c>
      <c r="J39930">
        <v>3</v>
      </c>
    </row>
    <row r="39931" spans="1:10" x14ac:dyDescent="0.25">
      <c r="A39931" t="s">
        <v>1662</v>
      </c>
      <c r="B39931" s="1" t="str">
        <f>HYPERLINK("http://evergreengarbage.com","evergreengarbage.com")</f>
        <v>evergreengarbage.com</v>
      </c>
      <c r="C39931" t="s">
        <v>433</v>
      </c>
      <c r="F39931">
        <v>8.1424614032741505E-9</v>
      </c>
      <c r="G39931">
        <v>9668898</v>
      </c>
      <c r="H39931">
        <v>12182702</v>
      </c>
      <c r="I39931">
        <v>23743934</v>
      </c>
      <c r="J39931">
        <v>3</v>
      </c>
    </row>
    <row r="39932" spans="1:10" x14ac:dyDescent="0.25">
      <c r="A39932" t="s">
        <v>1662</v>
      </c>
      <c r="B39932" s="1" t="str">
        <f>HYPERLINK("http://groot.com","groot.com")</f>
        <v>groot.com</v>
      </c>
      <c r="C39932" t="s">
        <v>433</v>
      </c>
      <c r="F39932">
        <v>3.5705777664818903E-8</v>
      </c>
      <c r="G39932">
        <v>1459036</v>
      </c>
      <c r="H39932">
        <v>13522338</v>
      </c>
      <c r="I39932">
        <v>9935776</v>
      </c>
      <c r="J39932">
        <v>3</v>
      </c>
    </row>
    <row r="39933" spans="1:10" x14ac:dyDescent="0.25">
      <c r="A39933" t="s">
        <v>1662</v>
      </c>
      <c r="B39933" s="1" t="str">
        <f>HYPERLINK("http://lealco.com","lealco.com")</f>
        <v>lealco.com</v>
      </c>
      <c r="C39933" t="s">
        <v>433</v>
      </c>
      <c r="J39933">
        <v>3</v>
      </c>
    </row>
    <row r="39934" spans="1:10" x14ac:dyDescent="0.25">
      <c r="A39934" t="s">
        <v>1662</v>
      </c>
      <c r="B39934" s="1" t="str">
        <f>HYPERLINK("http://lemayinc.com","lemayinc.com")</f>
        <v>lemayinc.com</v>
      </c>
      <c r="C39934" t="s">
        <v>433</v>
      </c>
      <c r="F39934">
        <v>1.2205285744711001E-8</v>
      </c>
      <c r="G39934">
        <v>5047530</v>
      </c>
      <c r="H39934">
        <v>12573772</v>
      </c>
      <c r="I39934">
        <v>16592436</v>
      </c>
      <c r="J39934">
        <v>5</v>
      </c>
    </row>
    <row r="39935" spans="1:10" x14ac:dyDescent="0.25">
      <c r="A39935" t="s">
        <v>1662</v>
      </c>
      <c r="B39935" s="1" t="str">
        <f>HYPERLINK("http://lonestar-disposal.com","lonestar-disposal.com")</f>
        <v>lonestar-disposal.com</v>
      </c>
      <c r="C39935" t="s">
        <v>433</v>
      </c>
      <c r="F39935">
        <v>4.5573991911843199E-9</v>
      </c>
      <c r="G39935">
        <v>51423334</v>
      </c>
      <c r="H39935">
        <v>10870361</v>
      </c>
      <c r="I39935">
        <v>36496883</v>
      </c>
      <c r="J39935">
        <v>3</v>
      </c>
    </row>
    <row r="39936" spans="1:10" x14ac:dyDescent="0.25">
      <c r="A39936" t="s">
        <v>1662</v>
      </c>
      <c r="B39936" s="1" t="str">
        <f>HYPERLINK("http://lrilandfill.com","lrilandfill.com")</f>
        <v>lrilandfill.com</v>
      </c>
      <c r="C39936" t="s">
        <v>433</v>
      </c>
      <c r="F39936">
        <v>5.3003695085024396E-9</v>
      </c>
      <c r="G39936">
        <v>23490067</v>
      </c>
      <c r="H39936">
        <v>10775864</v>
      </c>
      <c r="I39936">
        <v>39049702</v>
      </c>
      <c r="J39936">
        <v>3</v>
      </c>
    </row>
    <row r="39937" spans="1:10" x14ac:dyDescent="0.25">
      <c r="A39937" t="s">
        <v>1662</v>
      </c>
      <c r="B39937" s="1" t="str">
        <f>HYPERLINK("http://mountainviewwaste.com","mountainviewwaste.com")</f>
        <v>mountainviewwaste.com</v>
      </c>
      <c r="C39937" t="s">
        <v>433</v>
      </c>
      <c r="F39937">
        <v>5.74760193014615E-9</v>
      </c>
      <c r="G39937">
        <v>18516442</v>
      </c>
      <c r="H39937">
        <v>11009102</v>
      </c>
      <c r="I39937">
        <v>33420419</v>
      </c>
      <c r="J39937">
        <v>5</v>
      </c>
    </row>
    <row r="39938" spans="1:10" x14ac:dyDescent="0.25">
      <c r="A39938" t="s">
        <v>1662</v>
      </c>
      <c r="B39938" s="1" t="str">
        <f>HYPERLINK("http://mountainwaste.com","mountainwaste.com")</f>
        <v>mountainwaste.com</v>
      </c>
      <c r="C39938" t="s">
        <v>433</v>
      </c>
      <c r="F39938">
        <v>9.4676783914187498E-9</v>
      </c>
      <c r="G39938">
        <v>7361579</v>
      </c>
      <c r="H39938">
        <v>12679726</v>
      </c>
      <c r="I39938">
        <v>15504501</v>
      </c>
      <c r="J39938">
        <v>3</v>
      </c>
    </row>
    <row r="39939" spans="1:10" x14ac:dyDescent="0.25">
      <c r="A39939" t="s">
        <v>1662</v>
      </c>
      <c r="B39939" s="1" t="str">
        <f>HYPERLINK("http://murreysdisposal.com","murreysdisposal.com")</f>
        <v>murreysdisposal.com</v>
      </c>
      <c r="C39939" t="s">
        <v>433</v>
      </c>
      <c r="F39939">
        <v>1.44382950392372E-8</v>
      </c>
      <c r="G39939">
        <v>4043803</v>
      </c>
      <c r="H39939">
        <v>13127967</v>
      </c>
      <c r="I39939">
        <v>11949581</v>
      </c>
      <c r="J39939">
        <v>3</v>
      </c>
    </row>
    <row r="39940" spans="1:10" x14ac:dyDescent="0.25">
      <c r="A39940" t="s">
        <v>1662</v>
      </c>
      <c r="B39940" s="1" t="str">
        <f>HYPERLINK("http://pennwaste.com","pennwaste.com")</f>
        <v>pennwaste.com</v>
      </c>
      <c r="C39940" t="s">
        <v>433</v>
      </c>
      <c r="F39940">
        <v>2.7619498985422001E-8</v>
      </c>
      <c r="G39940">
        <v>1861525</v>
      </c>
      <c r="H39940">
        <v>12917263</v>
      </c>
      <c r="I39940">
        <v>13506384</v>
      </c>
      <c r="J39940">
        <v>3</v>
      </c>
    </row>
    <row r="39941" spans="1:10" x14ac:dyDescent="0.25">
      <c r="A39941" t="s">
        <v>1662</v>
      </c>
      <c r="B39941" s="1" t="str">
        <f>HYPERLINK("http://progressivewaste.com","progressivewaste.com")</f>
        <v>progressivewaste.com</v>
      </c>
      <c r="C39941" t="s">
        <v>433</v>
      </c>
      <c r="F39941">
        <v>1.9809756247053099E-8</v>
      </c>
      <c r="G39941">
        <v>2691644</v>
      </c>
      <c r="H39941">
        <v>13817199</v>
      </c>
      <c r="I39941">
        <v>6158536</v>
      </c>
      <c r="J39941">
        <v>5</v>
      </c>
    </row>
    <row r="39942" spans="1:10" x14ac:dyDescent="0.25">
      <c r="A39942" t="s">
        <v>1662</v>
      </c>
      <c r="B39942" s="1" t="str">
        <f>HYPERLINK("http://roguecompost.com","roguecompost.com")</f>
        <v>roguecompost.com</v>
      </c>
      <c r="C39942" t="s">
        <v>433</v>
      </c>
      <c r="F39942">
        <v>7.1912091153261903E-9</v>
      </c>
      <c r="G39942">
        <v>11767430</v>
      </c>
      <c r="H39942">
        <v>12233236</v>
      </c>
      <c r="I39942">
        <v>22419677</v>
      </c>
      <c r="J39942">
        <v>5</v>
      </c>
    </row>
    <row r="39943" spans="1:10" x14ac:dyDescent="0.25">
      <c r="A39943" t="s">
        <v>1662</v>
      </c>
      <c r="B39943" s="1" t="str">
        <f>HYPERLINK("http://roguedisposal.com","roguedisposal.com")</f>
        <v>roguedisposal.com</v>
      </c>
      <c r="C39943" t="s">
        <v>433</v>
      </c>
      <c r="F39943">
        <v>1.7316426762512699E-8</v>
      </c>
      <c r="G39943">
        <v>3195114</v>
      </c>
      <c r="H39943">
        <v>12640338</v>
      </c>
      <c r="I39943">
        <v>15873311</v>
      </c>
      <c r="J39943">
        <v>3</v>
      </c>
    </row>
    <row r="39944" spans="1:10" x14ac:dyDescent="0.25">
      <c r="A39944" t="s">
        <v>1662</v>
      </c>
      <c r="B39944" s="1" t="str">
        <f>HYPERLINK("http://rogueshred.com","rogueshred.com")</f>
        <v>rogueshred.com</v>
      </c>
      <c r="C39944" t="s">
        <v>433</v>
      </c>
      <c r="F39944">
        <v>1.05644623060464E-8</v>
      </c>
      <c r="G39944">
        <v>6214107</v>
      </c>
      <c r="H39944">
        <v>9944758</v>
      </c>
      <c r="I39944">
        <v>61261091</v>
      </c>
      <c r="J39944">
        <v>5</v>
      </c>
    </row>
    <row r="39945" spans="1:10" x14ac:dyDescent="0.25">
      <c r="A39945" t="s">
        <v>1662</v>
      </c>
      <c r="B39945" s="1" t="str">
        <f>HYPERLINK("http://sanipac.com","sanipac.com")</f>
        <v>sanipac.com</v>
      </c>
      <c r="C39945" t="s">
        <v>433</v>
      </c>
      <c r="F39945">
        <v>1.0470342159685001E-8</v>
      </c>
      <c r="G39945">
        <v>6295334</v>
      </c>
      <c r="H39945">
        <v>13105310</v>
      </c>
      <c r="I39945">
        <v>12069384</v>
      </c>
      <c r="J39945">
        <v>3</v>
      </c>
    </row>
    <row r="39946" spans="1:10" x14ac:dyDescent="0.25">
      <c r="A39946" t="s">
        <v>1662</v>
      </c>
      <c r="B39946" s="1" t="str">
        <f>HYPERLINK("http://scottwaste.com","scottwaste.com")</f>
        <v>scottwaste.com</v>
      </c>
      <c r="C39946" t="s">
        <v>433</v>
      </c>
      <c r="F39946">
        <v>5.9886641038120697E-9</v>
      </c>
      <c r="G39946">
        <v>16765131</v>
      </c>
      <c r="H39946">
        <v>12160832</v>
      </c>
      <c r="I39946">
        <v>24340945</v>
      </c>
      <c r="J39946">
        <v>3</v>
      </c>
    </row>
    <row r="39947" spans="1:10" x14ac:dyDescent="0.25">
      <c r="A39947" t="s">
        <v>1662</v>
      </c>
      <c r="B39947" s="1" t="str">
        <f>HYPERLINK("http://shalegasservices.com","shalegasservices.com")</f>
        <v>shalegasservices.com</v>
      </c>
      <c r="C39947" t="s">
        <v>433</v>
      </c>
      <c r="F39947">
        <v>4.44380395335525E-9</v>
      </c>
      <c r="G39947">
        <v>83369866</v>
      </c>
      <c r="H39947">
        <v>0</v>
      </c>
      <c r="I39947">
        <v>84178555</v>
      </c>
      <c r="J39947">
        <v>3</v>
      </c>
    </row>
    <row r="39948" spans="1:10" x14ac:dyDescent="0.25">
      <c r="A39948" t="s">
        <v>1662</v>
      </c>
      <c r="B39948" s="1" t="str">
        <f>HYPERLINK("http://silverspringsorganics.com","silverspringsorganics.com")</f>
        <v>silverspringsorganics.com</v>
      </c>
      <c r="C39948" t="s">
        <v>433</v>
      </c>
      <c r="F39948">
        <v>6.7286379694162796E-9</v>
      </c>
      <c r="G39948">
        <v>13201785</v>
      </c>
      <c r="H39948">
        <v>12493179</v>
      </c>
      <c r="I39948">
        <v>17446294</v>
      </c>
      <c r="J39948">
        <v>3</v>
      </c>
    </row>
    <row r="39949" spans="1:10" x14ac:dyDescent="0.25">
      <c r="A39949" t="s">
        <v>1662</v>
      </c>
      <c r="B39949" s="1" t="str">
        <f>HYPERLINK("http://stutzmanrefuse.com","stutzmanrefuse.com")</f>
        <v>stutzmanrefuse.com</v>
      </c>
      <c r="C39949" t="s">
        <v>433</v>
      </c>
      <c r="F39949">
        <v>6.3360666235447202E-9</v>
      </c>
      <c r="G39949">
        <v>14832043</v>
      </c>
      <c r="H39949">
        <v>11042049</v>
      </c>
      <c r="I39949">
        <v>32899349</v>
      </c>
      <c r="J39949">
        <v>3</v>
      </c>
    </row>
    <row r="39950" spans="1:10" x14ac:dyDescent="0.25">
      <c r="A39950" t="s">
        <v>1662</v>
      </c>
      <c r="B39950" s="1" t="str">
        <f>HYPERLINK("http://trojanrecycling.com","trojanrecycling.com")</f>
        <v>trojanrecycling.com</v>
      </c>
      <c r="C39950" t="s">
        <v>433</v>
      </c>
      <c r="F39950">
        <v>5.37558612742023E-9</v>
      </c>
      <c r="G39950">
        <v>22472521</v>
      </c>
      <c r="H39950">
        <v>12187054</v>
      </c>
      <c r="I39950">
        <v>23651004</v>
      </c>
      <c r="J39950">
        <v>3</v>
      </c>
    </row>
    <row r="39951" spans="1:10" x14ac:dyDescent="0.25">
      <c r="A39951" t="s">
        <v>1662</v>
      </c>
      <c r="B39951" s="1" t="str">
        <f>HYPERLINK("http://wascocountylandfill.com","wascocountylandfill.com")</f>
        <v>wascocountylandfill.com</v>
      </c>
      <c r="C39951" t="s">
        <v>433</v>
      </c>
      <c r="F39951">
        <v>7.7758193978143092E-9</v>
      </c>
      <c r="G39951">
        <v>10378172</v>
      </c>
      <c r="H39951">
        <v>12316851</v>
      </c>
      <c r="I39951">
        <v>20474968</v>
      </c>
      <c r="J39951">
        <v>3</v>
      </c>
    </row>
    <row r="39952" spans="1:10" x14ac:dyDescent="0.25">
      <c r="A39952" t="s">
        <v>1662</v>
      </c>
      <c r="B39952" s="1" t="str">
        <f>HYPERLINK("http://wasteconnections.com","wasteconnections.com")</f>
        <v>wasteconnections.com</v>
      </c>
      <c r="C39952" t="s">
        <v>433</v>
      </c>
      <c r="E39952">
        <v>116078</v>
      </c>
      <c r="F39952">
        <v>4.84663609650096E-7</v>
      </c>
      <c r="G39952">
        <v>78543</v>
      </c>
      <c r="H39952">
        <v>14725710</v>
      </c>
      <c r="I39952">
        <v>575547</v>
      </c>
      <c r="J39952">
        <v>1</v>
      </c>
    </row>
    <row r="39953" spans="1:10" x14ac:dyDescent="0.25">
      <c r="A39953" t="s">
        <v>1662</v>
      </c>
      <c r="B39953" s="1" t="str">
        <f>HYPERLINK("http://wasteconnectionscanada.com","wasteconnectionscanada.com")</f>
        <v>wasteconnectionscanada.com</v>
      </c>
      <c r="C39953" t="s">
        <v>433</v>
      </c>
      <c r="F39953">
        <v>4.2429560327446601E-8</v>
      </c>
      <c r="G39953">
        <v>1143494</v>
      </c>
      <c r="H39953">
        <v>13192701</v>
      </c>
      <c r="I39953">
        <v>11590404</v>
      </c>
      <c r="J39953">
        <v>2</v>
      </c>
    </row>
    <row r="39954" spans="1:10" x14ac:dyDescent="0.25">
      <c r="A39954" t="s">
        <v>1662</v>
      </c>
      <c r="B39954" s="1" t="str">
        <f>HYPERLINK("http://wasteconnectionsofthecarolinas.com","wasteconnectionsofthecarolinas.com")</f>
        <v>wasteconnectionsofthecarolinas.com</v>
      </c>
      <c r="C39954" t="s">
        <v>433</v>
      </c>
      <c r="F39954">
        <v>5.1615264657895897E-9</v>
      </c>
      <c r="G39954">
        <v>25874347</v>
      </c>
      <c r="H39954">
        <v>10359739</v>
      </c>
      <c r="I39954">
        <v>55244958</v>
      </c>
      <c r="J39954">
        <v>7</v>
      </c>
    </row>
    <row r="39955" spans="1:10" x14ac:dyDescent="0.25">
      <c r="A39955" t="s">
        <v>1662</v>
      </c>
      <c r="B39955" s="1" t="str">
        <f>HYPERLINK("http://wastecontrolrecycling.com","wastecontrolrecycling.com")</f>
        <v>wastecontrolrecycling.com</v>
      </c>
      <c r="C39955" t="s">
        <v>433</v>
      </c>
      <c r="F39955">
        <v>6.4463901458839399E-9</v>
      </c>
      <c r="G39955">
        <v>14310498</v>
      </c>
      <c r="H39955">
        <v>12395955</v>
      </c>
      <c r="I39955">
        <v>18919767</v>
      </c>
      <c r="J39955">
        <v>3</v>
      </c>
    </row>
    <row r="39956" spans="1:10" x14ac:dyDescent="0.25">
      <c r="A39956" t="s">
        <v>1662</v>
      </c>
      <c r="B39956" s="1" t="str">
        <f>HYPERLINK("http://wasteservicesinc.com","wasteservicesinc.com")</f>
        <v>wasteservicesinc.com</v>
      </c>
      <c r="C39956" t="s">
        <v>433</v>
      </c>
      <c r="F39956">
        <v>5.5364349019721198E-9</v>
      </c>
      <c r="G39956">
        <v>20517431</v>
      </c>
      <c r="H39956">
        <v>13933219</v>
      </c>
      <c r="I39956">
        <v>4825833</v>
      </c>
      <c r="J39956">
        <v>3</v>
      </c>
    </row>
    <row r="39957" spans="1:10" x14ac:dyDescent="0.25">
      <c r="A39957" t="s">
        <v>1662</v>
      </c>
      <c r="B39957" s="1" t="str">
        <f>HYPERLINK("http://wcnx.org","wcnx.org")</f>
        <v>wcnx.org</v>
      </c>
      <c r="C39957" t="s">
        <v>481</v>
      </c>
      <c r="E39957">
        <v>197870</v>
      </c>
      <c r="F39957">
        <v>6.9318103809085E-8</v>
      </c>
      <c r="G39957">
        <v>612709</v>
      </c>
      <c r="H39957">
        <v>13504419</v>
      </c>
      <c r="I39957">
        <v>9964707</v>
      </c>
      <c r="J39957">
        <v>5</v>
      </c>
    </row>
    <row r="39958" spans="1:10" x14ac:dyDescent="0.25">
      <c r="A39958" t="s">
        <v>403</v>
      </c>
      <c r="B39958" s="1" t="str">
        <f>HYPERLINK("http://advanceddisposal.com","advanceddisposal.com")</f>
        <v>advanceddisposal.com</v>
      </c>
      <c r="C39958" t="s">
        <v>433</v>
      </c>
      <c r="E39958">
        <v>435979</v>
      </c>
      <c r="F39958">
        <v>1.3970467012829999E-7</v>
      </c>
      <c r="G39958">
        <v>278867</v>
      </c>
      <c r="H39958">
        <v>13928276</v>
      </c>
      <c r="I39958">
        <v>5930170</v>
      </c>
      <c r="J39958">
        <v>3</v>
      </c>
    </row>
    <row r="39959" spans="1:10" x14ac:dyDescent="0.25">
      <c r="A39959" t="s">
        <v>403</v>
      </c>
      <c r="B39959" s="1" t="str">
        <f>HYPERLINK("http://cgsservices.com","cgsservices.com")</f>
        <v>cgsservices.com</v>
      </c>
      <c r="C39959" t="s">
        <v>433</v>
      </c>
      <c r="F39959">
        <v>5.2221589082609202E-9</v>
      </c>
      <c r="G39959">
        <v>24708622</v>
      </c>
      <c r="H39959">
        <v>10690551</v>
      </c>
      <c r="I39959">
        <v>42487382</v>
      </c>
      <c r="J39959">
        <v>3</v>
      </c>
    </row>
    <row r="39960" spans="1:10" x14ac:dyDescent="0.25">
      <c r="A39960" t="s">
        <v>403</v>
      </c>
      <c r="B39960" s="1" t="str">
        <f>HYPERLINK("http://collierrecyclesright.com","collierrecyclesright.com")</f>
        <v>collierrecyclesright.com</v>
      </c>
      <c r="C39960" t="s">
        <v>433</v>
      </c>
      <c r="F39960">
        <v>5.2679105447369997E-9</v>
      </c>
      <c r="G39960">
        <v>23984062</v>
      </c>
      <c r="H39960">
        <v>12276998</v>
      </c>
      <c r="I39960">
        <v>21372573</v>
      </c>
      <c r="J39960">
        <v>3</v>
      </c>
    </row>
    <row r="39961" spans="1:10" x14ac:dyDescent="0.25">
      <c r="A39961" t="s">
        <v>403</v>
      </c>
      <c r="B39961" s="1" t="str">
        <f>HYPERLINK("http://crglp.com","crglp.com")</f>
        <v>crglp.com</v>
      </c>
      <c r="C39961" t="s">
        <v>433</v>
      </c>
      <c r="F39961">
        <v>1.48990923454694E-8</v>
      </c>
      <c r="G39961">
        <v>3872870</v>
      </c>
      <c r="H39961">
        <v>13834382</v>
      </c>
      <c r="I39961">
        <v>6096460</v>
      </c>
      <c r="J39961">
        <v>3</v>
      </c>
    </row>
    <row r="39962" spans="1:10" x14ac:dyDescent="0.25">
      <c r="A39962" t="s">
        <v>403</v>
      </c>
      <c r="B39962" s="1" t="str">
        <f>HYPERLINK("http://deffenbaughindustries.com","deffenbaughindustries.com")</f>
        <v>deffenbaughindustries.com</v>
      </c>
      <c r="C39962" t="s">
        <v>433</v>
      </c>
      <c r="F39962">
        <v>5.0518721696230999E-9</v>
      </c>
      <c r="G39962">
        <v>28177536</v>
      </c>
      <c r="H39962">
        <v>12154373</v>
      </c>
      <c r="I39962">
        <v>24510466</v>
      </c>
      <c r="J39962">
        <v>3</v>
      </c>
    </row>
    <row r="39963" spans="1:10" x14ac:dyDescent="0.25">
      <c r="A39963" t="s">
        <v>403</v>
      </c>
      <c r="B39963" s="1" t="str">
        <f>HYPERLINK("http://landsouthgroup.com","landsouthgroup.com")</f>
        <v>landsouthgroup.com</v>
      </c>
      <c r="C39963" t="s">
        <v>433</v>
      </c>
      <c r="F39963">
        <v>4.50839606089506E-9</v>
      </c>
      <c r="G39963">
        <v>57744224</v>
      </c>
      <c r="H39963">
        <v>10402448</v>
      </c>
      <c r="I39963">
        <v>54206940</v>
      </c>
      <c r="J39963">
        <v>3</v>
      </c>
    </row>
    <row r="39964" spans="1:10" x14ac:dyDescent="0.25">
      <c r="A39964" t="s">
        <v>403</v>
      </c>
      <c r="B39964" s="1" t="str">
        <f>HYPERLINK("http://oakleafwaste.com","oakleafwaste.com")</f>
        <v>oakleafwaste.com</v>
      </c>
      <c r="C39964" t="s">
        <v>433</v>
      </c>
      <c r="F39964">
        <v>7.44110666740192E-9</v>
      </c>
      <c r="G39964">
        <v>11147550</v>
      </c>
      <c r="H39964">
        <v>14075169</v>
      </c>
      <c r="I39964">
        <v>2916521</v>
      </c>
      <c r="J39964">
        <v>3</v>
      </c>
    </row>
    <row r="39965" spans="1:10" x14ac:dyDescent="0.25">
      <c r="A39965" t="s">
        <v>403</v>
      </c>
      <c r="B39965" s="1" t="str">
        <f>HYPERLINK("http://petrowastelp.com","petrowastelp.com")</f>
        <v>petrowastelp.com</v>
      </c>
      <c r="C39965" t="s">
        <v>433</v>
      </c>
      <c r="F39965">
        <v>5.6251638490670503E-9</v>
      </c>
      <c r="G39965">
        <v>19621579</v>
      </c>
      <c r="H39965">
        <v>13240778</v>
      </c>
      <c r="I39965">
        <v>11218640</v>
      </c>
      <c r="J39965">
        <v>3</v>
      </c>
    </row>
    <row r="39966" spans="1:10" x14ac:dyDescent="0.25">
      <c r="A39966" t="s">
        <v>403</v>
      </c>
      <c r="B39966" s="1" t="str">
        <f>HYPERLINK("http://wm.com","wm.com")</f>
        <v>wm.com</v>
      </c>
      <c r="C39966" t="s">
        <v>433</v>
      </c>
      <c r="E39966">
        <v>9010</v>
      </c>
      <c r="F39966">
        <v>1.96762970393651E-6</v>
      </c>
      <c r="G39966">
        <v>18617</v>
      </c>
      <c r="H39966">
        <v>15345297</v>
      </c>
      <c r="I39966">
        <v>383096</v>
      </c>
      <c r="J39966">
        <v>1</v>
      </c>
    </row>
    <row r="39967" spans="1:10" x14ac:dyDescent="0.25">
      <c r="A39967" t="s">
        <v>403</v>
      </c>
      <c r="B39967" s="1" t="str">
        <f>HYPERLINK("http://wmcanada.com","wmcanada.com")</f>
        <v>wmcanada.com</v>
      </c>
      <c r="C39967" t="s">
        <v>433</v>
      </c>
      <c r="F39967">
        <v>1.7860601272142E-8</v>
      </c>
      <c r="G39967">
        <v>3061783</v>
      </c>
      <c r="H39967">
        <v>13997347</v>
      </c>
      <c r="I39967">
        <v>4018317</v>
      </c>
      <c r="J39967">
        <v>3</v>
      </c>
    </row>
    <row r="39968" spans="1:10" x14ac:dyDescent="0.25">
      <c r="A39968" t="s">
        <v>403</v>
      </c>
      <c r="B39968" s="1" t="str">
        <f>HYPERLINK("http://wmsolutions.com","wmsolutions.com")</f>
        <v>wmsolutions.com</v>
      </c>
      <c r="C39968" t="s">
        <v>433</v>
      </c>
      <c r="E39968">
        <v>352975</v>
      </c>
      <c r="F39968">
        <v>8.7842888593224294E-8</v>
      </c>
      <c r="G39968">
        <v>466721</v>
      </c>
      <c r="H39968">
        <v>14266972</v>
      </c>
      <c r="I39968">
        <v>1406061</v>
      </c>
      <c r="J39968">
        <v>4</v>
      </c>
    </row>
    <row r="39969" spans="1:10" x14ac:dyDescent="0.25">
      <c r="A39969" t="s">
        <v>403</v>
      </c>
      <c r="B39969" s="1" t="str">
        <f>HYPERLINK("http://newaste.net","newaste.net")</f>
        <v>newaste.net</v>
      </c>
      <c r="C39969" t="s">
        <v>474</v>
      </c>
      <c r="F39969">
        <v>4.44380395335525E-9</v>
      </c>
      <c r="G39969">
        <v>87877242</v>
      </c>
      <c r="H39969">
        <v>0</v>
      </c>
      <c r="I39969">
        <v>86821444</v>
      </c>
      <c r="J39969">
        <v>3</v>
      </c>
    </row>
    <row r="39970" spans="1:10" x14ac:dyDescent="0.25">
      <c r="A39970" t="s">
        <v>404</v>
      </c>
      <c r="B39970" s="1" t="str">
        <f>HYPERLINK("http://wellsfargo.ca","wellsfargo.ca")</f>
        <v>wellsfargo.ca</v>
      </c>
      <c r="C39970" t="s">
        <v>428</v>
      </c>
      <c r="D39970" t="s">
        <v>809</v>
      </c>
      <c r="F39970">
        <v>1.30837440964491E-8</v>
      </c>
      <c r="G39970">
        <v>4591555</v>
      </c>
      <c r="H39970">
        <v>12295102</v>
      </c>
      <c r="I39970">
        <v>20962412</v>
      </c>
      <c r="J39970">
        <v>2</v>
      </c>
    </row>
    <row r="39971" spans="1:10" x14ac:dyDescent="0.25">
      <c r="A39971" t="s">
        <v>404</v>
      </c>
      <c r="B39971" s="1" t="str">
        <f>HYPERLINK("http://allspringglobal.com","allspringglobal.com")</f>
        <v>allspringglobal.com</v>
      </c>
      <c r="C39971" t="s">
        <v>433</v>
      </c>
      <c r="E39971">
        <v>534413</v>
      </c>
      <c r="F39971">
        <v>9.6534857295413601E-8</v>
      </c>
      <c r="G39971">
        <v>418836</v>
      </c>
      <c r="H39971">
        <v>13746021</v>
      </c>
      <c r="I39971">
        <v>9423511</v>
      </c>
      <c r="J39971">
        <v>8</v>
      </c>
    </row>
    <row r="39972" spans="1:10" x14ac:dyDescent="0.25">
      <c r="A39972" t="s">
        <v>404</v>
      </c>
      <c r="B39972" s="1" t="str">
        <f>HYPERLINK("http://burdale.com","burdale.com")</f>
        <v>burdale.com</v>
      </c>
      <c r="C39972" t="s">
        <v>433</v>
      </c>
      <c r="F39972">
        <v>7.9624512829249295E-9</v>
      </c>
      <c r="G39972">
        <v>9990334</v>
      </c>
      <c r="H39972">
        <v>11196342</v>
      </c>
      <c r="I39972">
        <v>31303747</v>
      </c>
      <c r="J39972">
        <v>5</v>
      </c>
    </row>
    <row r="39973" spans="1:10" x14ac:dyDescent="0.25">
      <c r="A39973" t="s">
        <v>404</v>
      </c>
      <c r="B39973" s="1" t="str">
        <f>HYPERLINK("http://burkhallandco.com","burkhallandco.com")</f>
        <v>burkhallandco.com</v>
      </c>
      <c r="C39973" t="s">
        <v>433</v>
      </c>
      <c r="F39973">
        <v>4.9283248572416301E-9</v>
      </c>
      <c r="G39973">
        <v>31429343</v>
      </c>
      <c r="H39973">
        <v>10965026</v>
      </c>
      <c r="I39973">
        <v>34243812</v>
      </c>
      <c r="J39973">
        <v>6</v>
      </c>
    </row>
    <row r="39974" spans="1:10" x14ac:dyDescent="0.25">
      <c r="A39974" t="s">
        <v>404</v>
      </c>
      <c r="B39974" s="1" t="str">
        <f>HYPERLINK("http://centurionlife.com","centurionlife.com")</f>
        <v>centurionlife.com</v>
      </c>
      <c r="C39974" t="s">
        <v>433</v>
      </c>
      <c r="J39974">
        <v>4</v>
      </c>
    </row>
    <row r="39975" spans="1:10" x14ac:dyDescent="0.25">
      <c r="A39975" t="s">
        <v>404</v>
      </c>
      <c r="B39975" s="1" t="str">
        <f>HYPERLINK("http://corestates.com","corestates.com")</f>
        <v>corestates.com</v>
      </c>
      <c r="C39975" t="s">
        <v>433</v>
      </c>
      <c r="F39975">
        <v>1.7475297917814999E-8</v>
      </c>
      <c r="G39975">
        <v>3152055</v>
      </c>
      <c r="H39975">
        <v>13824797</v>
      </c>
      <c r="I39975">
        <v>6127838</v>
      </c>
      <c r="J39975">
        <v>4</v>
      </c>
    </row>
    <row r="39976" spans="1:10" x14ac:dyDescent="0.25">
      <c r="A39976" t="s">
        <v>404</v>
      </c>
      <c r="B39976" s="1" t="str">
        <f>HYPERLINK("http://firstclearing.com","firstclearing.com")</f>
        <v>firstclearing.com</v>
      </c>
      <c r="C39976" t="s">
        <v>433</v>
      </c>
      <c r="E39976">
        <v>186964</v>
      </c>
      <c r="F39976">
        <v>2.7672079119683899E-8</v>
      </c>
      <c r="G39976">
        <v>1858070</v>
      </c>
      <c r="H39976">
        <v>14429180</v>
      </c>
      <c r="I39976">
        <v>1075924</v>
      </c>
      <c r="J39976">
        <v>2</v>
      </c>
    </row>
    <row r="39977" spans="1:10" x14ac:dyDescent="0.25">
      <c r="A39977" t="s">
        <v>404</v>
      </c>
      <c r="B39977" s="1" t="str">
        <f>HYPERLINK("http://firstclearingllc.com","firstclearingllc.com")</f>
        <v>firstclearingllc.com</v>
      </c>
      <c r="C39977" t="s">
        <v>433</v>
      </c>
      <c r="F39977">
        <v>5.7017174032919899E-9</v>
      </c>
      <c r="G39977">
        <v>18946335</v>
      </c>
      <c r="H39977">
        <v>10386329</v>
      </c>
      <c r="I39977">
        <v>54442338</v>
      </c>
      <c r="J39977">
        <v>2</v>
      </c>
    </row>
    <row r="39978" spans="1:10" x14ac:dyDescent="0.25">
      <c r="A39978" t="s">
        <v>404</v>
      </c>
      <c r="B39978" s="1" t="str">
        <f>HYPERLINK("http://galliard.com","galliard.com")</f>
        <v>galliard.com</v>
      </c>
      <c r="C39978" t="s">
        <v>433</v>
      </c>
      <c r="F39978">
        <v>7.8744178774079496E-9</v>
      </c>
      <c r="G39978">
        <v>10162939</v>
      </c>
      <c r="H39978">
        <v>12306933</v>
      </c>
      <c r="I39978">
        <v>20697812</v>
      </c>
      <c r="J39978">
        <v>2</v>
      </c>
    </row>
    <row r="39979" spans="1:10" x14ac:dyDescent="0.25">
      <c r="A39979" t="s">
        <v>404</v>
      </c>
      <c r="B39979" s="1" t="str">
        <f>HYPERLINK("http://lcmatrix.com","lcmatrix.com")</f>
        <v>lcmatrix.com</v>
      </c>
      <c r="C39979" t="s">
        <v>433</v>
      </c>
      <c r="J39979">
        <v>2</v>
      </c>
    </row>
    <row r="39980" spans="1:10" x14ac:dyDescent="0.25">
      <c r="A39980" t="s">
        <v>404</v>
      </c>
      <c r="B39980" s="1" t="str">
        <f>HYPERLINK("http://merlinsecurities.com","merlinsecurities.com")</f>
        <v>merlinsecurities.com</v>
      </c>
      <c r="C39980" t="s">
        <v>433</v>
      </c>
      <c r="F39980">
        <v>5.25775215050284E-9</v>
      </c>
      <c r="G39980">
        <v>24139325</v>
      </c>
      <c r="H39980">
        <v>12579871</v>
      </c>
      <c r="I39980">
        <v>16515072</v>
      </c>
      <c r="J39980">
        <v>4</v>
      </c>
    </row>
    <row r="39981" spans="1:10" x14ac:dyDescent="0.25">
      <c r="A39981" t="s">
        <v>404</v>
      </c>
      <c r="B39981" s="1" t="str">
        <f>HYPERLINK("http://myoremdentist.com","myoremdentist.com")</f>
        <v>myoremdentist.com</v>
      </c>
      <c r="C39981" t="s">
        <v>433</v>
      </c>
      <c r="F39981">
        <v>4.7160409925851403E-9</v>
      </c>
      <c r="G39981">
        <v>40410661</v>
      </c>
      <c r="H39981">
        <v>13764020</v>
      </c>
      <c r="I39981">
        <v>7425466</v>
      </c>
      <c r="J39981">
        <v>3</v>
      </c>
    </row>
    <row r="39982" spans="1:10" x14ac:dyDescent="0.25">
      <c r="A39982" t="s">
        <v>404</v>
      </c>
      <c r="B39982" s="1" t="str">
        <f>HYPERLINK("http://northpointewm.com","northpointewm.com")</f>
        <v>northpointewm.com</v>
      </c>
      <c r="C39982" t="s">
        <v>433</v>
      </c>
      <c r="J39982">
        <v>4</v>
      </c>
    </row>
    <row r="39983" spans="1:10" x14ac:dyDescent="0.25">
      <c r="A39983" t="s">
        <v>404</v>
      </c>
      <c r="B39983" s="1" t="str">
        <f>HYPERLINK("http://wachovia.com","wachovia.com")</f>
        <v>wachovia.com</v>
      </c>
      <c r="C39983" t="s">
        <v>433</v>
      </c>
      <c r="E39983">
        <v>160554</v>
      </c>
      <c r="F39983">
        <v>1.6337898237719101E-7</v>
      </c>
      <c r="G39983">
        <v>237546</v>
      </c>
      <c r="H39983">
        <v>17152272</v>
      </c>
      <c r="I39983">
        <v>51772</v>
      </c>
      <c r="J39983">
        <v>3</v>
      </c>
    </row>
    <row r="39984" spans="1:10" x14ac:dyDescent="0.25">
      <c r="A39984" t="s">
        <v>404</v>
      </c>
      <c r="B39984" s="1" t="str">
        <f>HYPERLINK("http://wellsbfargo.com","wellsbfargo.com")</f>
        <v>wellsbfargo.com</v>
      </c>
      <c r="C39984" t="s">
        <v>433</v>
      </c>
      <c r="J39984">
        <v>3</v>
      </c>
    </row>
    <row r="39985" spans="1:10" x14ac:dyDescent="0.25">
      <c r="A39985" t="s">
        <v>404</v>
      </c>
      <c r="B39985" s="1" t="str">
        <f>HYPERLINK("http://wellscap.com","wellscap.com")</f>
        <v>wellscap.com</v>
      </c>
      <c r="C39985" t="s">
        <v>433</v>
      </c>
      <c r="F39985">
        <v>1.70178578478022E-8</v>
      </c>
      <c r="G39985">
        <v>3279134</v>
      </c>
      <c r="H39985">
        <v>14186836</v>
      </c>
      <c r="I39985">
        <v>1767551</v>
      </c>
      <c r="J39985">
        <v>2</v>
      </c>
    </row>
    <row r="39986" spans="1:10" x14ac:dyDescent="0.25">
      <c r="A39986" t="s">
        <v>404</v>
      </c>
      <c r="B39986" s="1" t="str">
        <f>HYPERLINK("http://wellsfargo.com","wellsfargo.com")</f>
        <v>wellsfargo.com</v>
      </c>
      <c r="C39986" t="s">
        <v>433</v>
      </c>
      <c r="E39986">
        <v>151</v>
      </c>
      <c r="F39986">
        <v>1.0555534948714999E-5</v>
      </c>
      <c r="G39986">
        <v>3203</v>
      </c>
      <c r="H39986">
        <v>18121956</v>
      </c>
      <c r="I39986">
        <v>3036</v>
      </c>
      <c r="J39986">
        <v>1</v>
      </c>
    </row>
    <row r="39987" spans="1:10" x14ac:dyDescent="0.25">
      <c r="A39987" t="s">
        <v>404</v>
      </c>
      <c r="B39987" s="1" t="str">
        <f>HYPERLINK("http://wellsfargoadvantagefunds.com","wellsfargoadvantagefunds.com")</f>
        <v>wellsfargoadvantagefunds.com</v>
      </c>
      <c r="C39987" t="s">
        <v>433</v>
      </c>
      <c r="F39987">
        <v>4.3191023430579203E-8</v>
      </c>
      <c r="G39987">
        <v>1111170</v>
      </c>
      <c r="H39987">
        <v>13872473</v>
      </c>
      <c r="I39987">
        <v>5995727</v>
      </c>
      <c r="J39987">
        <v>2</v>
      </c>
    </row>
    <row r="39988" spans="1:10" x14ac:dyDescent="0.25">
      <c r="A39988" t="s">
        <v>404</v>
      </c>
      <c r="B39988" s="1" t="str">
        <f>HYPERLINK("http://wellsfargoadvisors.com","wellsfargoadvisors.com")</f>
        <v>wellsfargoadvisors.com</v>
      </c>
      <c r="C39988" t="s">
        <v>433</v>
      </c>
      <c r="E39988">
        <v>48523</v>
      </c>
      <c r="F39988">
        <v>7.9937513822235001E-7</v>
      </c>
      <c r="G39988">
        <v>49263</v>
      </c>
      <c r="H39988">
        <v>14993644</v>
      </c>
      <c r="I39988">
        <v>427398</v>
      </c>
      <c r="J39988">
        <v>3</v>
      </c>
    </row>
    <row r="39989" spans="1:10" x14ac:dyDescent="0.25">
      <c r="A39989" t="s">
        <v>404</v>
      </c>
      <c r="B39989" s="1" t="str">
        <f>HYPERLINK("http://wellsfargoassetmanagement.com","wellsfargoassetmanagement.com")</f>
        <v>wellsfargoassetmanagement.com</v>
      </c>
      <c r="C39989" t="s">
        <v>433</v>
      </c>
      <c r="F39989">
        <v>3.5383448423319198E-8</v>
      </c>
      <c r="G39989">
        <v>1470395</v>
      </c>
      <c r="H39989">
        <v>14034250</v>
      </c>
      <c r="I39989">
        <v>3918386</v>
      </c>
      <c r="J39989">
        <v>2</v>
      </c>
    </row>
    <row r="39990" spans="1:10" x14ac:dyDescent="0.25">
      <c r="A39990" t="s">
        <v>404</v>
      </c>
      <c r="B39990" s="1" t="str">
        <f>HYPERLINK("http://wellsfargoclearingservicesllc.com","wellsfargoclearingservicesllc.com")</f>
        <v>wellsfargoclearingservicesllc.com</v>
      </c>
      <c r="C39990" t="s">
        <v>433</v>
      </c>
      <c r="F39990">
        <v>5.9736052941488996E-8</v>
      </c>
      <c r="G39990">
        <v>739584</v>
      </c>
      <c r="H39990">
        <v>13157483</v>
      </c>
      <c r="I39990">
        <v>11796468</v>
      </c>
      <c r="J39990">
        <v>3</v>
      </c>
    </row>
    <row r="39991" spans="1:10" x14ac:dyDescent="0.25">
      <c r="A39991" t="s">
        <v>404</v>
      </c>
      <c r="B39991" s="1" t="str">
        <f>HYPERLINK("http://wellsfargohistory.com","wellsfargohistory.com")</f>
        <v>wellsfargohistory.com</v>
      </c>
      <c r="C39991" t="s">
        <v>433</v>
      </c>
      <c r="E39991">
        <v>527114</v>
      </c>
      <c r="F39991">
        <v>1.1196313173043E-7</v>
      </c>
      <c r="G39991">
        <v>356860</v>
      </c>
      <c r="H39991">
        <v>14908670</v>
      </c>
      <c r="I39991">
        <v>458815</v>
      </c>
      <c r="J39991">
        <v>2</v>
      </c>
    </row>
    <row r="39992" spans="1:10" x14ac:dyDescent="0.25">
      <c r="A39992" t="s">
        <v>404</v>
      </c>
      <c r="B39992" s="1" t="str">
        <f>HYPERLINK("http://wellsfargoleasing.com","wellsfargoleasing.com")</f>
        <v>wellsfargoleasing.com</v>
      </c>
      <c r="C39992" t="s">
        <v>433</v>
      </c>
      <c r="F39992">
        <v>4.5520976922236599E-9</v>
      </c>
      <c r="G39992">
        <v>51957857</v>
      </c>
      <c r="H39992">
        <v>10209055</v>
      </c>
      <c r="I39992">
        <v>58984450</v>
      </c>
      <c r="J39992">
        <v>2</v>
      </c>
    </row>
    <row r="39993" spans="1:10" x14ac:dyDescent="0.25">
      <c r="A39993" t="s">
        <v>404</v>
      </c>
      <c r="B39993" s="1" t="str">
        <f>HYPERLINK("http://wellsfargomedia.com","wellsfargomedia.com")</f>
        <v>wellsfargomedia.com</v>
      </c>
      <c r="C39993" t="s">
        <v>433</v>
      </c>
      <c r="E39993">
        <v>26833</v>
      </c>
      <c r="F39993">
        <v>4.9513309954972198E-7</v>
      </c>
      <c r="G39993">
        <v>77115</v>
      </c>
      <c r="H39993">
        <v>15187632</v>
      </c>
      <c r="I39993">
        <v>396635</v>
      </c>
      <c r="J39993">
        <v>2</v>
      </c>
    </row>
    <row r="39994" spans="1:10" x14ac:dyDescent="0.25">
      <c r="A39994" t="s">
        <v>404</v>
      </c>
      <c r="B39994" s="1" t="str">
        <f>HYPERLINK("http://wellsfargoworldwidefund.com","wellsfargoworldwidefund.com")</f>
        <v>wellsfargoworldwidefund.com</v>
      </c>
      <c r="C39994" t="s">
        <v>433</v>
      </c>
      <c r="F39994">
        <v>5.2165383814422201E-9</v>
      </c>
      <c r="G39994">
        <v>24805148</v>
      </c>
      <c r="H39994">
        <v>12054089</v>
      </c>
      <c r="I39994">
        <v>27137444</v>
      </c>
      <c r="J39994">
        <v>2</v>
      </c>
    </row>
    <row r="39995" spans="1:10" x14ac:dyDescent="0.25">
      <c r="A39995" t="s">
        <v>404</v>
      </c>
      <c r="B39995" s="1" t="str">
        <f>HYPERLINK("http://wellsfrago.com","wellsfrago.com")</f>
        <v>wellsfrago.com</v>
      </c>
      <c r="C39995" t="s">
        <v>433</v>
      </c>
      <c r="J39995">
        <v>3</v>
      </c>
    </row>
    <row r="39996" spans="1:10" x14ac:dyDescent="0.25">
      <c r="A39996" t="s">
        <v>404</v>
      </c>
      <c r="B39996" s="1" t="str">
        <f>HYPERLINK("http://wf.com","wf.com")</f>
        <v>wf.com</v>
      </c>
      <c r="C39996" t="s">
        <v>433</v>
      </c>
      <c r="E39996">
        <v>30999</v>
      </c>
      <c r="F39996">
        <v>1.26825699515021E-6</v>
      </c>
      <c r="G39996">
        <v>30728</v>
      </c>
      <c r="H39996">
        <v>17449936</v>
      </c>
      <c r="I39996">
        <v>16160</v>
      </c>
      <c r="J39996">
        <v>2</v>
      </c>
    </row>
    <row r="39997" spans="1:10" x14ac:dyDescent="0.25">
      <c r="A39997" t="s">
        <v>404</v>
      </c>
      <c r="B39997" s="1" t="str">
        <f>HYPERLINK("http://wfafinet.com","wfafinet.com")</f>
        <v>wfafinet.com</v>
      </c>
      <c r="C39997" t="s">
        <v>433</v>
      </c>
      <c r="E39997">
        <v>241992</v>
      </c>
      <c r="F39997">
        <v>1.0937634878290001E-8</v>
      </c>
      <c r="G39997">
        <v>5913133</v>
      </c>
      <c r="H39997">
        <v>13371894</v>
      </c>
      <c r="I39997">
        <v>10461249</v>
      </c>
      <c r="J39997">
        <v>2</v>
      </c>
    </row>
    <row r="39998" spans="1:10" x14ac:dyDescent="0.25">
      <c r="A39998" t="s">
        <v>404</v>
      </c>
      <c r="B39998" s="1" t="str">
        <f>HYPERLINK("http://wfam.com","wfam.com")</f>
        <v>wfam.com</v>
      </c>
      <c r="C39998" t="s">
        <v>433</v>
      </c>
      <c r="F39998">
        <v>4.6693753831874399E-9</v>
      </c>
      <c r="G39998">
        <v>42958761</v>
      </c>
      <c r="H39998">
        <v>10918263</v>
      </c>
      <c r="I39998">
        <v>35446793</v>
      </c>
      <c r="J39998">
        <v>2</v>
      </c>
    </row>
    <row r="39999" spans="1:10" x14ac:dyDescent="0.25">
      <c r="A39999" t="s">
        <v>404</v>
      </c>
      <c r="B39999" s="1" t="str">
        <f>HYPERLINK("http://wfwuevents.com","wfwuevents.com")</f>
        <v>wfwuevents.com</v>
      </c>
      <c r="C39999" t="s">
        <v>433</v>
      </c>
      <c r="F39999">
        <v>6.0849838616233701E-9</v>
      </c>
      <c r="G39999">
        <v>16177697</v>
      </c>
      <c r="H39999">
        <v>13046207</v>
      </c>
      <c r="I39999">
        <v>12604183</v>
      </c>
      <c r="J39999">
        <v>2</v>
      </c>
    </row>
    <row r="40000" spans="1:10" x14ac:dyDescent="0.25">
      <c r="A40000" t="s">
        <v>404</v>
      </c>
      <c r="B40000" s="1" t="str">
        <f>HYPERLINK("http://wystar.com","wystar.com")</f>
        <v>wystar.com</v>
      </c>
      <c r="C40000" t="s">
        <v>433</v>
      </c>
      <c r="F40000">
        <v>5.5449508416481702E-9</v>
      </c>
      <c r="G40000">
        <v>20428263</v>
      </c>
      <c r="H40000">
        <v>11025074</v>
      </c>
      <c r="I40000">
        <v>33178418</v>
      </c>
      <c r="J40000">
        <v>2</v>
      </c>
    </row>
    <row r="40001" spans="1:10" x14ac:dyDescent="0.25">
      <c r="A40001" t="s">
        <v>404</v>
      </c>
      <c r="B40001" s="1" t="str">
        <f>HYPERLINK("http://wellsfargo.net","wellsfargo.net")</f>
        <v>wellsfargo.net</v>
      </c>
      <c r="C40001" t="s">
        <v>474</v>
      </c>
      <c r="E40001">
        <v>29379</v>
      </c>
      <c r="F40001">
        <v>2.2063164722860101E-8</v>
      </c>
      <c r="G40001">
        <v>2378800</v>
      </c>
      <c r="H40001">
        <v>13179064</v>
      </c>
      <c r="I40001">
        <v>11687495</v>
      </c>
      <c r="J40001">
        <v>2</v>
      </c>
    </row>
    <row r="40002" spans="1:10" x14ac:dyDescent="0.25">
      <c r="A40002" t="s">
        <v>405</v>
      </c>
      <c r="B40002" s="1" t="str">
        <f>HYPERLINK("http://bunnings.com.au","bunnings.com.au")</f>
        <v>bunnings.com.au</v>
      </c>
      <c r="C40002" t="s">
        <v>420</v>
      </c>
      <c r="D40002" t="s">
        <v>802</v>
      </c>
      <c r="E40002">
        <v>9091</v>
      </c>
      <c r="F40002">
        <v>5.7826707286015298E-7</v>
      </c>
      <c r="G40002">
        <v>66070</v>
      </c>
      <c r="H40002">
        <v>17439056</v>
      </c>
      <c r="I40002">
        <v>16742</v>
      </c>
      <c r="J40002">
        <v>4</v>
      </c>
    </row>
    <row r="40003" spans="1:10" x14ac:dyDescent="0.25">
      <c r="A40003" t="s">
        <v>405</v>
      </c>
      <c r="B40003" s="1" t="str">
        <f>HYPERLINK("http://bunningswarehouse.com.au","bunningswarehouse.com.au")</f>
        <v>bunningswarehouse.com.au</v>
      </c>
      <c r="C40003" t="s">
        <v>420</v>
      </c>
      <c r="D40003" t="s">
        <v>802</v>
      </c>
      <c r="J40003">
        <v>5</v>
      </c>
    </row>
    <row r="40004" spans="1:10" x14ac:dyDescent="0.25">
      <c r="A40004" t="s">
        <v>405</v>
      </c>
      <c r="B40004" s="1" t="str">
        <f>HYPERLINK("http://bwptrust.com.au","bwptrust.com.au")</f>
        <v>bwptrust.com.au</v>
      </c>
      <c r="C40004" t="s">
        <v>420</v>
      </c>
      <c r="D40004" t="s">
        <v>802</v>
      </c>
      <c r="F40004">
        <v>8.5192760512735897E-9</v>
      </c>
      <c r="G40004">
        <v>8807497</v>
      </c>
      <c r="H40004">
        <v>13574407</v>
      </c>
      <c r="I40004">
        <v>9706413</v>
      </c>
      <c r="J40004">
        <v>4</v>
      </c>
    </row>
    <row r="40005" spans="1:10" x14ac:dyDescent="0.25">
      <c r="A40005" t="s">
        <v>405</v>
      </c>
      <c r="B40005" s="1" t="str">
        <f>HYPERLINK("http://corporatebusinessfurniture.com.au","corporatebusinessfurniture.com.au")</f>
        <v>corporatebusinessfurniture.com.au</v>
      </c>
      <c r="C40005" t="s">
        <v>420</v>
      </c>
      <c r="D40005" t="s">
        <v>802</v>
      </c>
      <c r="F40005">
        <v>6.9156627928727097E-9</v>
      </c>
      <c r="G40005">
        <v>12571990</v>
      </c>
      <c r="H40005">
        <v>13771798</v>
      </c>
      <c r="I40005">
        <v>6681516</v>
      </c>
      <c r="J40005">
        <v>6</v>
      </c>
    </row>
    <row r="40006" spans="1:10" x14ac:dyDescent="0.25">
      <c r="A40006" t="s">
        <v>405</v>
      </c>
      <c r="B40006" s="1" t="str">
        <f>HYPERLINK("http://csbp.com.au","csbp.com.au")</f>
        <v>csbp.com.au</v>
      </c>
      <c r="C40006" t="s">
        <v>420</v>
      </c>
      <c r="D40006" t="s">
        <v>802</v>
      </c>
      <c r="F40006">
        <v>1.5204768568465101E-8</v>
      </c>
      <c r="G40006">
        <v>3774543</v>
      </c>
      <c r="H40006">
        <v>14374730</v>
      </c>
      <c r="I40006">
        <v>1234941</v>
      </c>
      <c r="J40006">
        <v>4</v>
      </c>
    </row>
    <row r="40007" spans="1:10" x14ac:dyDescent="0.25">
      <c r="A40007" t="s">
        <v>405</v>
      </c>
      <c r="B40007" s="1" t="str">
        <f>HYPERLINK("http://fullboartools.com.au","fullboartools.com.au")</f>
        <v>fullboartools.com.au</v>
      </c>
      <c r="C40007" t="s">
        <v>420</v>
      </c>
      <c r="D40007" t="s">
        <v>802</v>
      </c>
      <c r="F40007">
        <v>4.5948948891249898E-9</v>
      </c>
      <c r="G40007">
        <v>48008134</v>
      </c>
      <c r="H40007">
        <v>8303807.5</v>
      </c>
      <c r="I40007">
        <v>74273688</v>
      </c>
      <c r="J40007">
        <v>6</v>
      </c>
    </row>
    <row r="40008" spans="1:10" x14ac:dyDescent="0.25">
      <c r="A40008" t="s">
        <v>405</v>
      </c>
      <c r="B40008" s="1" t="str">
        <f>HYPERLINK("http://jumbuckbbqs.com.au","jumbuckbbqs.com.au")</f>
        <v>jumbuckbbqs.com.au</v>
      </c>
      <c r="C40008" t="s">
        <v>420</v>
      </c>
      <c r="D40008" t="s">
        <v>802</v>
      </c>
      <c r="F40008">
        <v>4.4708893140414201E-9</v>
      </c>
      <c r="G40008">
        <v>64352890</v>
      </c>
      <c r="H40008">
        <v>9332112</v>
      </c>
      <c r="I40008">
        <v>68194631</v>
      </c>
      <c r="J40008">
        <v>6</v>
      </c>
    </row>
    <row r="40009" spans="1:10" x14ac:dyDescent="0.25">
      <c r="A40009" t="s">
        <v>405</v>
      </c>
      <c r="B40009" s="1" t="str">
        <f>HYPERLINK("http://kmart.com.au","kmart.com.au")</f>
        <v>kmart.com.au</v>
      </c>
      <c r="C40009" t="s">
        <v>420</v>
      </c>
      <c r="D40009" t="s">
        <v>802</v>
      </c>
      <c r="E40009">
        <v>11677</v>
      </c>
      <c r="F40009">
        <v>7.0325656484542103E-7</v>
      </c>
      <c r="G40009">
        <v>55031</v>
      </c>
      <c r="H40009">
        <v>15390648</v>
      </c>
      <c r="I40009">
        <v>380660</v>
      </c>
      <c r="J40009">
        <v>4</v>
      </c>
    </row>
    <row r="40010" spans="1:10" x14ac:dyDescent="0.25">
      <c r="A40010" t="s">
        <v>405</v>
      </c>
      <c r="B40010" s="1" t="str">
        <f>HYPERLINK("http://mimosaoutdoors.com.au","mimosaoutdoors.com.au")</f>
        <v>mimosaoutdoors.com.au</v>
      </c>
      <c r="C40010" t="s">
        <v>420</v>
      </c>
      <c r="D40010" t="s">
        <v>802</v>
      </c>
      <c r="F40010">
        <v>5.1941995079060202E-9</v>
      </c>
      <c r="G40010">
        <v>25265779</v>
      </c>
      <c r="H40010">
        <v>12331144</v>
      </c>
      <c r="I40010">
        <v>20189693</v>
      </c>
      <c r="J40010">
        <v>6</v>
      </c>
    </row>
    <row r="40011" spans="1:10" x14ac:dyDescent="0.25">
      <c r="A40011" t="s">
        <v>405</v>
      </c>
      <c r="B40011" s="1" t="str">
        <f>HYPERLINK("http://officeworks.com.au","officeworks.com.au")</f>
        <v>officeworks.com.au</v>
      </c>
      <c r="C40011" t="s">
        <v>420</v>
      </c>
      <c r="D40011" t="s">
        <v>802</v>
      </c>
      <c r="E40011">
        <v>17679</v>
      </c>
      <c r="F40011">
        <v>9.1419986408303697E-7</v>
      </c>
      <c r="G40011">
        <v>42427</v>
      </c>
      <c r="H40011">
        <v>17457482</v>
      </c>
      <c r="I40011">
        <v>15740</v>
      </c>
      <c r="J40011">
        <v>4</v>
      </c>
    </row>
    <row r="40012" spans="1:10" x14ac:dyDescent="0.25">
      <c r="A40012" t="s">
        <v>405</v>
      </c>
      <c r="B40012" s="1" t="str">
        <f>HYPERLINK("http://target.com.au","target.com.au")</f>
        <v>target.com.au</v>
      </c>
      <c r="C40012" t="s">
        <v>420</v>
      </c>
      <c r="D40012" t="s">
        <v>802</v>
      </c>
      <c r="E40012">
        <v>24910</v>
      </c>
      <c r="F40012">
        <v>6.6495381809847495E-7</v>
      </c>
      <c r="G40012">
        <v>57915</v>
      </c>
      <c r="H40012">
        <v>15660915</v>
      </c>
      <c r="I40012">
        <v>370534</v>
      </c>
      <c r="J40012">
        <v>4</v>
      </c>
    </row>
    <row r="40013" spans="1:10" x14ac:dyDescent="0.25">
      <c r="A40013" t="s">
        <v>405</v>
      </c>
      <c r="B40013" s="1" t="str">
        <f>HYPERLINK("http://topazfurniture.com.au","topazfurniture.com.au")</f>
        <v>topazfurniture.com.au</v>
      </c>
      <c r="C40013" t="s">
        <v>420</v>
      </c>
      <c r="D40013" t="s">
        <v>802</v>
      </c>
      <c r="F40013">
        <v>1.4115300194419299E-8</v>
      </c>
      <c r="G40013">
        <v>4160059</v>
      </c>
      <c r="H40013">
        <v>12854510</v>
      </c>
      <c r="I40013">
        <v>14236202</v>
      </c>
      <c r="J40013">
        <v>7</v>
      </c>
    </row>
    <row r="40014" spans="1:10" x14ac:dyDescent="0.25">
      <c r="A40014" t="s">
        <v>405</v>
      </c>
      <c r="B40014" s="1" t="str">
        <f>HYPERLINK("http://vintagecellars.com.au","vintagecellars.com.au")</f>
        <v>vintagecellars.com.au</v>
      </c>
      <c r="C40014" t="s">
        <v>420</v>
      </c>
      <c r="D40014" t="s">
        <v>802</v>
      </c>
      <c r="E40014">
        <v>547645</v>
      </c>
      <c r="F40014">
        <v>3.8928592154317498E-8</v>
      </c>
      <c r="G40014">
        <v>1324594</v>
      </c>
      <c r="H40014">
        <v>14264679</v>
      </c>
      <c r="I40014">
        <v>1410218</v>
      </c>
      <c r="J40014">
        <v>4</v>
      </c>
    </row>
    <row r="40015" spans="1:10" x14ac:dyDescent="0.25">
      <c r="A40015" t="s">
        <v>405</v>
      </c>
      <c r="B40015" s="1" t="str">
        <f>HYPERLINK("http://wesfarmers.com.au","wesfarmers.com.au")</f>
        <v>wesfarmers.com.au</v>
      </c>
      <c r="C40015" t="s">
        <v>420</v>
      </c>
      <c r="D40015" t="s">
        <v>802</v>
      </c>
      <c r="E40015">
        <v>425240</v>
      </c>
      <c r="F40015">
        <v>1.4154074777837499E-7</v>
      </c>
      <c r="G40015">
        <v>275089</v>
      </c>
      <c r="H40015">
        <v>14974431</v>
      </c>
      <c r="I40015">
        <v>432654</v>
      </c>
      <c r="J40015">
        <v>1</v>
      </c>
    </row>
    <row r="40016" spans="1:10" x14ac:dyDescent="0.25">
      <c r="A40016" t="s">
        <v>405</v>
      </c>
      <c r="B40016" s="1" t="str">
        <f>HYPERLINK("http://workshop.com.au","workshop.com.au")</f>
        <v>workshop.com.au</v>
      </c>
      <c r="C40016" t="s">
        <v>420</v>
      </c>
      <c r="D40016" t="s">
        <v>802</v>
      </c>
      <c r="F40016">
        <v>9.0325956209841798E-9</v>
      </c>
      <c r="G40016">
        <v>7943807</v>
      </c>
      <c r="H40016">
        <v>12560531</v>
      </c>
      <c r="I40016">
        <v>16708182</v>
      </c>
      <c r="J40016">
        <v>6</v>
      </c>
    </row>
    <row r="40017" spans="1:10" x14ac:dyDescent="0.25">
      <c r="A40017" t="s">
        <v>405</v>
      </c>
      <c r="B40017" s="1" t="str">
        <f>HYPERLINK("http://covalentlithium.com","covalentlithium.com")</f>
        <v>covalentlithium.com</v>
      </c>
      <c r="C40017" t="s">
        <v>433</v>
      </c>
      <c r="F40017">
        <v>5.3740815602922297E-9</v>
      </c>
      <c r="G40017">
        <v>22490942</v>
      </c>
      <c r="H40017">
        <v>11244750</v>
      </c>
      <c r="I40017">
        <v>30934267</v>
      </c>
      <c r="J40017">
        <v>3</v>
      </c>
    </row>
    <row r="40018" spans="1:10" x14ac:dyDescent="0.25">
      <c r="A40018" t="s">
        <v>405</v>
      </c>
      <c r="B40018" s="1" t="str">
        <f>HYPERLINK("http://bunnings.co.nz","bunnings.co.nz")</f>
        <v>bunnings.co.nz</v>
      </c>
      <c r="C40018" t="s">
        <v>479</v>
      </c>
      <c r="D40018" t="s">
        <v>854</v>
      </c>
      <c r="E40018">
        <v>82940</v>
      </c>
      <c r="F40018">
        <v>5.9647430426475401E-8</v>
      </c>
      <c r="G40018">
        <v>740831</v>
      </c>
      <c r="H40018">
        <v>14731469</v>
      </c>
      <c r="I40018">
        <v>571712</v>
      </c>
      <c r="J40018">
        <v>5</v>
      </c>
    </row>
    <row r="40019" spans="1:10" x14ac:dyDescent="0.25">
      <c r="A40019" t="s">
        <v>405</v>
      </c>
      <c r="B40019" s="1" t="str">
        <f>HYPERLINK("http://kmart.co.nz","kmart.co.nz")</f>
        <v>kmart.co.nz</v>
      </c>
      <c r="C40019" t="s">
        <v>479</v>
      </c>
      <c r="D40019" t="s">
        <v>854</v>
      </c>
      <c r="E40019">
        <v>98447</v>
      </c>
      <c r="F40019">
        <v>3.0173464630890902E-8</v>
      </c>
      <c r="G40019">
        <v>1705471</v>
      </c>
      <c r="H40019">
        <v>14591323</v>
      </c>
      <c r="I40019">
        <v>694793</v>
      </c>
      <c r="J40019">
        <v>4</v>
      </c>
    </row>
    <row r="40020" spans="1:10" x14ac:dyDescent="0.25">
      <c r="A40020" t="s">
        <v>406</v>
      </c>
      <c r="B40020" s="1" t="str">
        <f>HYPERLINK("http://advance.com.au","advance.com.au")</f>
        <v>advance.com.au</v>
      </c>
      <c r="C40020" t="s">
        <v>420</v>
      </c>
      <c r="D40020" t="s">
        <v>802</v>
      </c>
      <c r="F40020">
        <v>7.1007193686042301E-9</v>
      </c>
      <c r="G40020">
        <v>12013120</v>
      </c>
      <c r="H40020">
        <v>12571435</v>
      </c>
      <c r="I40020">
        <v>16612543</v>
      </c>
      <c r="J40020">
        <v>3</v>
      </c>
    </row>
    <row r="40021" spans="1:10" x14ac:dyDescent="0.25">
      <c r="A40021" t="s">
        <v>406</v>
      </c>
      <c r="B40021" s="1" t="str">
        <f>HYPERLINK("http://bankofmelbourne.com.au","bankofmelbourne.com.au")</f>
        <v>bankofmelbourne.com.au</v>
      </c>
      <c r="C40021" t="s">
        <v>420</v>
      </c>
      <c r="D40021" t="s">
        <v>802</v>
      </c>
      <c r="E40021">
        <v>189461</v>
      </c>
      <c r="F40021">
        <v>9.4016512995596297E-8</v>
      </c>
      <c r="G40021">
        <v>431880</v>
      </c>
      <c r="H40021">
        <v>16874496</v>
      </c>
      <c r="I40021">
        <v>142673</v>
      </c>
      <c r="J40021">
        <v>3</v>
      </c>
    </row>
    <row r="40022" spans="1:10" x14ac:dyDescent="0.25">
      <c r="A40022" t="s">
        <v>406</v>
      </c>
      <c r="B40022" s="1" t="str">
        <f>HYPERLINK("http://banksa.com.au","banksa.com.au")</f>
        <v>banksa.com.au</v>
      </c>
      <c r="C40022" t="s">
        <v>420</v>
      </c>
      <c r="D40022" t="s">
        <v>802</v>
      </c>
      <c r="E40022">
        <v>156888</v>
      </c>
      <c r="F40022">
        <v>7.8971738944646801E-8</v>
      </c>
      <c r="G40022">
        <v>529229</v>
      </c>
      <c r="H40022">
        <v>16875304</v>
      </c>
      <c r="I40022">
        <v>141996</v>
      </c>
      <c r="J40022">
        <v>3</v>
      </c>
    </row>
    <row r="40023" spans="1:10" x14ac:dyDescent="0.25">
      <c r="A40023" t="s">
        <v>406</v>
      </c>
      <c r="B40023" s="1" t="str">
        <f>HYPERLINK("http://bt.com.au","bt.com.au")</f>
        <v>bt.com.au</v>
      </c>
      <c r="C40023" t="s">
        <v>420</v>
      </c>
      <c r="D40023" t="s">
        <v>802</v>
      </c>
      <c r="E40023">
        <v>387835</v>
      </c>
      <c r="F40023">
        <v>1.04026080962448E-7</v>
      </c>
      <c r="G40023">
        <v>385510</v>
      </c>
      <c r="H40023">
        <v>14591098</v>
      </c>
      <c r="I40023">
        <v>695057</v>
      </c>
      <c r="J40023">
        <v>3</v>
      </c>
    </row>
    <row r="40024" spans="1:10" x14ac:dyDescent="0.25">
      <c r="A40024" t="s">
        <v>406</v>
      </c>
      <c r="B40024" s="1" t="str">
        <f>HYPERLINK("http://btfg.com.au","btfg.com.au")</f>
        <v>btfg.com.au</v>
      </c>
      <c r="C40024" t="s">
        <v>420</v>
      </c>
      <c r="D40024" t="s">
        <v>802</v>
      </c>
      <c r="F40024">
        <v>7.0408446714742796E-9</v>
      </c>
      <c r="G40024">
        <v>12191225</v>
      </c>
      <c r="H40024">
        <v>12669637</v>
      </c>
      <c r="I40024">
        <v>15628095</v>
      </c>
      <c r="J40024">
        <v>7</v>
      </c>
    </row>
    <row r="40025" spans="1:10" x14ac:dyDescent="0.25">
      <c r="A40025" t="s">
        <v>406</v>
      </c>
      <c r="B40025" s="1" t="str">
        <f>HYPERLINK("http://capitalfinance.com.au","capitalfinance.com.au")</f>
        <v>capitalfinance.com.au</v>
      </c>
      <c r="C40025" t="s">
        <v>420</v>
      </c>
      <c r="D40025" t="s">
        <v>802</v>
      </c>
      <c r="F40025">
        <v>4.6237465359893298E-9</v>
      </c>
      <c r="G40025">
        <v>45862197</v>
      </c>
      <c r="H40025">
        <v>11007171</v>
      </c>
      <c r="I40025">
        <v>33449927</v>
      </c>
      <c r="J40025">
        <v>3</v>
      </c>
    </row>
    <row r="40026" spans="1:10" x14ac:dyDescent="0.25">
      <c r="A40026" t="s">
        <v>406</v>
      </c>
      <c r="B40026" s="1" t="str">
        <f>HYPERLINK("http://rams.com.au","rams.com.au")</f>
        <v>rams.com.au</v>
      </c>
      <c r="C40026" t="s">
        <v>420</v>
      </c>
      <c r="D40026" t="s">
        <v>802</v>
      </c>
      <c r="E40026">
        <v>560724</v>
      </c>
      <c r="F40026">
        <v>2.0222948063612199E-8</v>
      </c>
      <c r="G40026">
        <v>2625783</v>
      </c>
      <c r="H40026">
        <v>14496748</v>
      </c>
      <c r="I40026">
        <v>869431</v>
      </c>
      <c r="J40026">
        <v>3</v>
      </c>
    </row>
    <row r="40027" spans="1:10" x14ac:dyDescent="0.25">
      <c r="A40027" t="s">
        <v>406</v>
      </c>
      <c r="B40027" s="1" t="str">
        <f>HYPERLINK("http://stgeorge.com.au","stgeorge.com.au")</f>
        <v>stgeorge.com.au</v>
      </c>
      <c r="C40027" t="s">
        <v>420</v>
      </c>
      <c r="D40027" t="s">
        <v>802</v>
      </c>
      <c r="E40027">
        <v>33211</v>
      </c>
      <c r="F40027">
        <v>1.7784219497613101E-7</v>
      </c>
      <c r="G40027">
        <v>217389</v>
      </c>
      <c r="H40027">
        <v>17085794</v>
      </c>
      <c r="I40027">
        <v>66937</v>
      </c>
      <c r="J40027">
        <v>3</v>
      </c>
    </row>
    <row r="40028" spans="1:10" x14ac:dyDescent="0.25">
      <c r="A40028" t="s">
        <v>406</v>
      </c>
      <c r="B40028" s="1" t="str">
        <f>HYPERLINK("http://westpac.com.au","westpac.com.au")</f>
        <v>westpac.com.au</v>
      </c>
      <c r="C40028" t="s">
        <v>420</v>
      </c>
      <c r="D40028" t="s">
        <v>802</v>
      </c>
      <c r="E40028">
        <v>10266</v>
      </c>
      <c r="F40028">
        <v>1.19278848745623E-6</v>
      </c>
      <c r="G40028">
        <v>32667</v>
      </c>
      <c r="H40028">
        <v>17369102</v>
      </c>
      <c r="I40028">
        <v>21509</v>
      </c>
      <c r="J40028">
        <v>1</v>
      </c>
    </row>
    <row r="40029" spans="1:10" x14ac:dyDescent="0.25">
      <c r="A40029" t="s">
        <v>406</v>
      </c>
      <c r="B40029" s="1" t="str">
        <f>HYPERLINK("http://www,westpac.com.au","www,westpac.com.au")</f>
        <v>www,westpac.com.au</v>
      </c>
      <c r="C40029" t="s">
        <v>420</v>
      </c>
      <c r="D40029" t="s">
        <v>802</v>
      </c>
      <c r="J40029">
        <v>3</v>
      </c>
    </row>
    <row r="40030" spans="1:10" x14ac:dyDescent="0.25">
      <c r="A40030" t="s">
        <v>406</v>
      </c>
      <c r="B40030" s="1" t="str">
        <f>HYPERLINK("http://bankofmelbourne.com","bankofmelbourne.com")</f>
        <v>bankofmelbourne.com</v>
      </c>
      <c r="C40030" t="s">
        <v>433</v>
      </c>
      <c r="J40030">
        <v>4</v>
      </c>
    </row>
    <row r="40031" spans="1:10" x14ac:dyDescent="0.25">
      <c r="A40031" t="s">
        <v>406</v>
      </c>
      <c r="B40031" s="1" t="str">
        <f>HYPERLINK("http://btfinancialgroup.com","btfinancialgroup.com")</f>
        <v>btfinancialgroup.com</v>
      </c>
      <c r="C40031" t="s">
        <v>433</v>
      </c>
      <c r="J40031">
        <v>3</v>
      </c>
    </row>
    <row r="40032" spans="1:10" x14ac:dyDescent="0.25">
      <c r="A40032" t="s">
        <v>406</v>
      </c>
      <c r="B40032" s="1" t="str">
        <f>HYPERLINK("http://westpac.com.fj","westpac.com.fj")</f>
        <v>westpac.com.fj</v>
      </c>
      <c r="C40032" t="s">
        <v>636</v>
      </c>
      <c r="D40032" t="s">
        <v>957</v>
      </c>
      <c r="F40032">
        <v>1.20640416392604E-8</v>
      </c>
      <c r="G40032">
        <v>5135161</v>
      </c>
      <c r="H40032">
        <v>12369522</v>
      </c>
      <c r="I40032">
        <v>19419009</v>
      </c>
      <c r="J40032">
        <v>2</v>
      </c>
    </row>
    <row r="40033" spans="1:10" x14ac:dyDescent="0.25">
      <c r="A40033" t="s">
        <v>406</v>
      </c>
      <c r="B40033" s="1" t="str">
        <f>HYPERLINK("http://westpac.in","westpac.in")</f>
        <v>westpac.in</v>
      </c>
      <c r="C40033" t="s">
        <v>457</v>
      </c>
      <c r="D40033" t="s">
        <v>834</v>
      </c>
      <c r="F40033">
        <v>4.5494983978660402E-9</v>
      </c>
      <c r="G40033">
        <v>52243411</v>
      </c>
      <c r="H40033">
        <v>11969576</v>
      </c>
      <c r="I40033">
        <v>28728881</v>
      </c>
      <c r="J40033">
        <v>2</v>
      </c>
    </row>
    <row r="40034" spans="1:10" x14ac:dyDescent="0.25">
      <c r="A40034" t="s">
        <v>406</v>
      </c>
      <c r="B40034" s="1" t="str">
        <f>HYPERLINK("http://westpac.co.nz","westpac.co.nz")</f>
        <v>westpac.co.nz</v>
      </c>
      <c r="C40034" t="s">
        <v>479</v>
      </c>
      <c r="D40034" t="s">
        <v>854</v>
      </c>
      <c r="E40034">
        <v>79085</v>
      </c>
      <c r="F40034">
        <v>2.4843860244982101E-7</v>
      </c>
      <c r="G40034">
        <v>150573</v>
      </c>
      <c r="H40034">
        <v>14917426</v>
      </c>
      <c r="I40034">
        <v>453419</v>
      </c>
      <c r="J40034">
        <v>2</v>
      </c>
    </row>
    <row r="40035" spans="1:10" x14ac:dyDescent="0.25">
      <c r="A40035" t="s">
        <v>406</v>
      </c>
      <c r="B40035" s="1" t="str">
        <f>HYPERLINK("http://westpac.com.pg","westpac.com.pg")</f>
        <v>westpac.com.pg</v>
      </c>
      <c r="C40035" t="s">
        <v>659</v>
      </c>
      <c r="D40035" t="s">
        <v>978</v>
      </c>
      <c r="F40035">
        <v>2.0465951304685802E-8</v>
      </c>
      <c r="G40035">
        <v>2589442</v>
      </c>
      <c r="H40035">
        <v>12797364</v>
      </c>
      <c r="I40035">
        <v>14649587</v>
      </c>
      <c r="J40035">
        <v>2</v>
      </c>
    </row>
    <row r="40036" spans="1:10" x14ac:dyDescent="0.25">
      <c r="A40036" t="s">
        <v>1663</v>
      </c>
      <c r="B40036" s="1" t="str">
        <f>HYPERLINK("http://auxsable.com","auxsable.com")</f>
        <v>auxsable.com</v>
      </c>
      <c r="C40036" t="s">
        <v>433</v>
      </c>
      <c r="F40036">
        <v>2.1953148298371001E-8</v>
      </c>
      <c r="G40036">
        <v>2391795</v>
      </c>
      <c r="H40036">
        <v>13258949</v>
      </c>
      <c r="I40036">
        <v>11045063</v>
      </c>
      <c r="J40036">
        <v>3</v>
      </c>
    </row>
    <row r="40037" spans="1:10" x14ac:dyDescent="0.25">
      <c r="A40037" t="s">
        <v>1663</v>
      </c>
      <c r="B40037" s="1" t="str">
        <f>HYPERLINK("http://blueracermidstream.com","blueracermidstream.com")</f>
        <v>blueracermidstream.com</v>
      </c>
      <c r="C40037" t="s">
        <v>433</v>
      </c>
      <c r="F40037">
        <v>1.7295086030559299E-8</v>
      </c>
      <c r="G40037">
        <v>3200358</v>
      </c>
      <c r="H40037">
        <v>12322415</v>
      </c>
      <c r="I40037">
        <v>20367882</v>
      </c>
      <c r="J40037">
        <v>3</v>
      </c>
    </row>
    <row r="40038" spans="1:10" x14ac:dyDescent="0.25">
      <c r="A40038" t="s">
        <v>1663</v>
      </c>
      <c r="B40038" s="1" t="str">
        <f>HYPERLINK("http://gulfstreamgas.com","gulfstreamgas.com")</f>
        <v>gulfstreamgas.com</v>
      </c>
      <c r="C40038" t="s">
        <v>433</v>
      </c>
      <c r="F40038">
        <v>8.3336966090138397E-9</v>
      </c>
      <c r="G40038">
        <v>9181211</v>
      </c>
      <c r="H40038">
        <v>12344740</v>
      </c>
      <c r="I40038">
        <v>19856529</v>
      </c>
      <c r="J40038">
        <v>3</v>
      </c>
    </row>
    <row r="40039" spans="1:10" x14ac:dyDescent="0.25">
      <c r="A40039" t="s">
        <v>1663</v>
      </c>
      <c r="B40039" s="1" t="str">
        <f>HYPERLINK("http://nortexmidstream.com","nortexmidstream.com")</f>
        <v>nortexmidstream.com</v>
      </c>
      <c r="C40039" t="s">
        <v>433</v>
      </c>
      <c r="F40039">
        <v>8.9343181393915994E-9</v>
      </c>
      <c r="G40039">
        <v>8092007</v>
      </c>
      <c r="H40039">
        <v>13384272</v>
      </c>
      <c r="I40039">
        <v>10413996</v>
      </c>
      <c r="J40039">
        <v>3</v>
      </c>
    </row>
    <row r="40040" spans="1:10" x14ac:dyDescent="0.25">
      <c r="A40040" t="s">
        <v>1663</v>
      </c>
      <c r="B40040" s="1" t="str">
        <f>HYPERLINK("http://orbitalsidekick.com","orbitalsidekick.com")</f>
        <v>orbitalsidekick.com</v>
      </c>
      <c r="C40040" t="s">
        <v>433</v>
      </c>
      <c r="F40040">
        <v>4.3935103052103001E-8</v>
      </c>
      <c r="G40040">
        <v>1083794</v>
      </c>
      <c r="H40040">
        <v>13476573</v>
      </c>
      <c r="I40040">
        <v>10018836</v>
      </c>
      <c r="J40040">
        <v>3</v>
      </c>
    </row>
    <row r="40041" spans="1:10" x14ac:dyDescent="0.25">
      <c r="A40041" t="s">
        <v>1663</v>
      </c>
      <c r="B40041" s="1" t="str">
        <f>HYPERLINK("http://sequentenergy.com","sequentenergy.com")</f>
        <v>sequentenergy.com</v>
      </c>
      <c r="C40041" t="s">
        <v>433</v>
      </c>
      <c r="F40041">
        <v>7.17729320433186E-9</v>
      </c>
      <c r="G40041">
        <v>11803690</v>
      </c>
      <c r="H40041">
        <v>12751456</v>
      </c>
      <c r="I40041">
        <v>15019475</v>
      </c>
      <c r="J40041">
        <v>4</v>
      </c>
    </row>
    <row r="40042" spans="1:10" x14ac:dyDescent="0.25">
      <c r="A40042" t="s">
        <v>1663</v>
      </c>
      <c r="B40042" s="1" t="str">
        <f>HYPERLINK("http://williams.com","williams.com")</f>
        <v>williams.com</v>
      </c>
      <c r="C40042" t="s">
        <v>433</v>
      </c>
      <c r="E40042">
        <v>47836</v>
      </c>
      <c r="F40042">
        <v>3.9464876865957702E-7</v>
      </c>
      <c r="G40042">
        <v>95055</v>
      </c>
      <c r="H40042">
        <v>15011685</v>
      </c>
      <c r="I40042">
        <v>422989</v>
      </c>
      <c r="J40042">
        <v>1</v>
      </c>
    </row>
    <row r="40043" spans="1:10" x14ac:dyDescent="0.25">
      <c r="A40043" t="s">
        <v>1663</v>
      </c>
      <c r="B40043" s="1" t="str">
        <f>HYPERLINK("http://williamslp.com","williamslp.com")</f>
        <v>williamslp.com</v>
      </c>
      <c r="C40043" t="s">
        <v>433</v>
      </c>
      <c r="F40043">
        <v>1.1759956604762699E-8</v>
      </c>
      <c r="G40043">
        <v>5327435</v>
      </c>
      <c r="H40043">
        <v>13212273</v>
      </c>
      <c r="I40043">
        <v>11396850</v>
      </c>
      <c r="J40043">
        <v>3</v>
      </c>
    </row>
    <row r="40044" spans="1:10" x14ac:dyDescent="0.25">
      <c r="A40044" t="s">
        <v>1663</v>
      </c>
      <c r="B40044" s="1" t="str">
        <f>HYPERLINK("http://williams-int.net","williams-int.net")</f>
        <v>williams-int.net</v>
      </c>
      <c r="C40044" t="s">
        <v>474</v>
      </c>
      <c r="J40044">
        <v>3</v>
      </c>
    </row>
    <row r="40045" spans="1:10" x14ac:dyDescent="0.25">
      <c r="A40045" t="s">
        <v>1664</v>
      </c>
      <c r="B40045" s="1" t="str">
        <f>HYPERLINK("http://woodside.com.au","woodside.com.au")</f>
        <v>woodside.com.au</v>
      </c>
      <c r="C40045" t="s">
        <v>420</v>
      </c>
      <c r="D40045" t="s">
        <v>802</v>
      </c>
      <c r="E40045">
        <v>87901</v>
      </c>
      <c r="F40045">
        <v>3.7950153805781402E-7</v>
      </c>
      <c r="G40045">
        <v>98581</v>
      </c>
      <c r="H40045">
        <v>14927275</v>
      </c>
      <c r="I40045">
        <v>448857</v>
      </c>
      <c r="J40045">
        <v>1</v>
      </c>
    </row>
    <row r="40046" spans="1:10" x14ac:dyDescent="0.25">
      <c r="A40046" t="s">
        <v>1664</v>
      </c>
      <c r="B40046" s="1" t="str">
        <f>HYPERLINK("http://woodside.com","woodside.com")</f>
        <v>woodside.com</v>
      </c>
      <c r="C40046" t="s">
        <v>433</v>
      </c>
      <c r="E40046">
        <v>356700</v>
      </c>
      <c r="F40046">
        <v>1.1102325503197301E-7</v>
      </c>
      <c r="G40046">
        <v>360065</v>
      </c>
      <c r="H40046">
        <v>13858431</v>
      </c>
      <c r="I40046">
        <v>6027095</v>
      </c>
      <c r="J40046">
        <v>2</v>
      </c>
    </row>
    <row r="40047" spans="1:10" x14ac:dyDescent="0.25">
      <c r="A40047" t="s">
        <v>407</v>
      </c>
      <c r="B40047" s="1" t="str">
        <f>HYPERLINK("http://adaptiveinsights.com","adaptiveinsights.com")</f>
        <v>adaptiveinsights.com</v>
      </c>
      <c r="C40047" t="s">
        <v>433</v>
      </c>
      <c r="E40047">
        <v>58449</v>
      </c>
      <c r="F40047">
        <v>1.8529024360656399E-7</v>
      </c>
      <c r="G40047">
        <v>207991</v>
      </c>
      <c r="H40047">
        <v>14047569</v>
      </c>
      <c r="I40047">
        <v>3898074</v>
      </c>
      <c r="J40047">
        <v>6</v>
      </c>
    </row>
    <row r="40048" spans="1:10" x14ac:dyDescent="0.25">
      <c r="A40048" t="s">
        <v>407</v>
      </c>
      <c r="B40048" s="1" t="str">
        <f>HYPERLINK("http://adaptiveplanning.com","adaptiveplanning.com")</f>
        <v>adaptiveplanning.com</v>
      </c>
      <c r="C40048" t="s">
        <v>433</v>
      </c>
      <c r="E40048">
        <v>21794</v>
      </c>
      <c r="F40048">
        <v>1.6471844869878801E-7</v>
      </c>
      <c r="G40048">
        <v>235689</v>
      </c>
      <c r="H40048">
        <v>14263664</v>
      </c>
      <c r="I40048">
        <v>1412166</v>
      </c>
      <c r="J40048">
        <v>3</v>
      </c>
    </row>
    <row r="40049" spans="1:10" x14ac:dyDescent="0.25">
      <c r="A40049" t="s">
        <v>407</v>
      </c>
      <c r="B40049" s="1" t="str">
        <f>HYPERLINK("http://identified.com","identified.com")</f>
        <v>identified.com</v>
      </c>
      <c r="C40049" t="s">
        <v>433</v>
      </c>
      <c r="F40049">
        <v>3.3889044213602797E-8</v>
      </c>
      <c r="G40049">
        <v>1527346</v>
      </c>
      <c r="H40049">
        <v>14266758</v>
      </c>
      <c r="I40049">
        <v>1406445</v>
      </c>
      <c r="J40049">
        <v>5</v>
      </c>
    </row>
    <row r="40050" spans="1:10" x14ac:dyDescent="0.25">
      <c r="A40050" t="s">
        <v>407</v>
      </c>
      <c r="B40050" s="1" t="str">
        <f>HYPERLINK("http://megaleocareers.com","megaleocareers.com")</f>
        <v>megaleocareers.com</v>
      </c>
      <c r="C40050" t="s">
        <v>433</v>
      </c>
      <c r="J40050">
        <v>2</v>
      </c>
    </row>
    <row r="40051" spans="1:10" x14ac:dyDescent="0.25">
      <c r="A40051" t="s">
        <v>407</v>
      </c>
      <c r="B40051" s="1" t="str">
        <f>HYPERLINK("http://megaleojobs.com","megaleojobs.com")</f>
        <v>megaleojobs.com</v>
      </c>
      <c r="C40051" t="s">
        <v>433</v>
      </c>
      <c r="J40051">
        <v>2</v>
      </c>
    </row>
    <row r="40052" spans="1:10" x14ac:dyDescent="0.25">
      <c r="A40052" t="s">
        <v>407</v>
      </c>
      <c r="B40052" s="1" t="str">
        <f>HYPERLINK("http://megaleosite.com","megaleosite.com")</f>
        <v>megaleosite.com</v>
      </c>
      <c r="C40052" t="s">
        <v>433</v>
      </c>
      <c r="J40052">
        <v>2</v>
      </c>
    </row>
    <row r="40053" spans="1:10" x14ac:dyDescent="0.25">
      <c r="A40053" t="s">
        <v>407</v>
      </c>
      <c r="B40053" s="1" t="str">
        <f>HYPERLINK("http://mydials.com","mydials.com")</f>
        <v>mydials.com</v>
      </c>
      <c r="C40053" t="s">
        <v>433</v>
      </c>
      <c r="F40053">
        <v>8.5897004644070601E-9</v>
      </c>
      <c r="G40053">
        <v>8675141</v>
      </c>
      <c r="H40053">
        <v>14131625</v>
      </c>
      <c r="I40053">
        <v>2013070</v>
      </c>
      <c r="J40053">
        <v>6</v>
      </c>
    </row>
    <row r="40054" spans="1:10" x14ac:dyDescent="0.25">
      <c r="A40054" t="s">
        <v>407</v>
      </c>
      <c r="B40054" s="1" t="str">
        <f>HYPERLINK("http://peakon.com","peakon.com")</f>
        <v>peakon.com</v>
      </c>
      <c r="C40054" t="s">
        <v>433</v>
      </c>
      <c r="E40054">
        <v>40732</v>
      </c>
      <c r="F40054">
        <v>4.1141454490811199E-7</v>
      </c>
      <c r="G40054">
        <v>91420</v>
      </c>
      <c r="H40054">
        <v>15213040</v>
      </c>
      <c r="I40054">
        <v>394177</v>
      </c>
      <c r="J40054">
        <v>3</v>
      </c>
    </row>
    <row r="40055" spans="1:10" x14ac:dyDescent="0.25">
      <c r="A40055" t="s">
        <v>407</v>
      </c>
      <c r="B40055" s="1" t="str">
        <f>HYPERLINK("http://rallyteam.com","rallyteam.com")</f>
        <v>rallyteam.com</v>
      </c>
      <c r="C40055" t="s">
        <v>433</v>
      </c>
      <c r="F40055">
        <v>1.1803639440764099E-8</v>
      </c>
      <c r="G40055">
        <v>5299976</v>
      </c>
      <c r="H40055">
        <v>13445380</v>
      </c>
      <c r="I40055">
        <v>10219871</v>
      </c>
      <c r="J40055">
        <v>4</v>
      </c>
    </row>
    <row r="40056" spans="1:10" x14ac:dyDescent="0.25">
      <c r="A40056" t="s">
        <v>407</v>
      </c>
      <c r="B40056" s="1" t="str">
        <f>HYPERLINK("http://scoutrfp.com","scoutrfp.com")</f>
        <v>scoutrfp.com</v>
      </c>
      <c r="C40056" t="s">
        <v>433</v>
      </c>
      <c r="E40056">
        <v>19256</v>
      </c>
      <c r="F40056">
        <v>8.1310223885258505E-8</v>
      </c>
      <c r="G40056">
        <v>513364</v>
      </c>
      <c r="H40056">
        <v>13720302</v>
      </c>
      <c r="I40056">
        <v>9474966</v>
      </c>
      <c r="J40056">
        <v>3</v>
      </c>
    </row>
    <row r="40057" spans="1:10" x14ac:dyDescent="0.25">
      <c r="A40057" t="s">
        <v>407</v>
      </c>
      <c r="B40057" s="1" t="str">
        <f>HYPERLINK("http://workday.com","workday.com")</f>
        <v>workday.com</v>
      </c>
      <c r="C40057" t="s">
        <v>433</v>
      </c>
      <c r="E40057">
        <v>6806</v>
      </c>
      <c r="F40057">
        <v>9.6508917343379493E-6</v>
      </c>
      <c r="G40057">
        <v>3499</v>
      </c>
      <c r="H40057">
        <v>17986038</v>
      </c>
      <c r="I40057">
        <v>3775</v>
      </c>
      <c r="J40057">
        <v>1</v>
      </c>
    </row>
    <row r="40058" spans="1:10" x14ac:dyDescent="0.25">
      <c r="A40058" t="s">
        <v>407</v>
      </c>
      <c r="B40058" s="1" t="str">
        <f>HYPERLINK("http://workdayinternal.com","workdayinternal.com")</f>
        <v>workdayinternal.com</v>
      </c>
      <c r="C40058" t="s">
        <v>433</v>
      </c>
      <c r="E40058">
        <v>44004</v>
      </c>
      <c r="F40058">
        <v>8.4042382592515496E-9</v>
      </c>
      <c r="G40058">
        <v>9034137</v>
      </c>
      <c r="H40058">
        <v>12508041</v>
      </c>
      <c r="I40058">
        <v>17264268</v>
      </c>
      <c r="J40058">
        <v>2</v>
      </c>
    </row>
    <row r="40059" spans="1:10" x14ac:dyDescent="0.25">
      <c r="A40059" t="s">
        <v>407</v>
      </c>
      <c r="B40059" s="1" t="str">
        <f>HYPERLINK("http://workday.de","workday.de")</f>
        <v>workday.de</v>
      </c>
      <c r="C40059" t="s">
        <v>436</v>
      </c>
      <c r="D40059" t="s">
        <v>815</v>
      </c>
      <c r="F40059">
        <v>1.43415585284543E-8</v>
      </c>
      <c r="G40059">
        <v>4077355</v>
      </c>
      <c r="H40059">
        <v>13180586</v>
      </c>
      <c r="I40059">
        <v>11683016</v>
      </c>
      <c r="J40059">
        <v>2</v>
      </c>
    </row>
    <row r="40060" spans="1:10" x14ac:dyDescent="0.25">
      <c r="A40060" t="s">
        <v>407</v>
      </c>
      <c r="B40060" s="1" t="str">
        <f>HYPERLINK("http://mywayto.fi","mywayto.fi")</f>
        <v>mywayto.fi</v>
      </c>
      <c r="C40060" t="s">
        <v>445</v>
      </c>
      <c r="D40060" t="s">
        <v>823</v>
      </c>
      <c r="J40060">
        <v>2</v>
      </c>
    </row>
    <row r="40061" spans="1:10" x14ac:dyDescent="0.25">
      <c r="A40061" t="s">
        <v>407</v>
      </c>
      <c r="B40061" s="1" t="str">
        <f>HYPERLINK("http://peakon.fi","peakon.fi")</f>
        <v>peakon.fi</v>
      </c>
      <c r="C40061" t="s">
        <v>445</v>
      </c>
      <c r="D40061" t="s">
        <v>823</v>
      </c>
      <c r="J40061">
        <v>4</v>
      </c>
    </row>
    <row r="40062" spans="1:10" x14ac:dyDescent="0.25">
      <c r="A40062" t="s">
        <v>407</v>
      </c>
      <c r="B40062" s="1" t="str">
        <f>HYPERLINK("http://workday.fi","workday.fi")</f>
        <v>workday.fi</v>
      </c>
      <c r="C40062" t="s">
        <v>445</v>
      </c>
      <c r="D40062" t="s">
        <v>823</v>
      </c>
      <c r="J40062">
        <v>2</v>
      </c>
    </row>
    <row r="40063" spans="1:10" x14ac:dyDescent="0.25">
      <c r="A40063" t="s">
        <v>408</v>
      </c>
      <c r="B40063" s="1" t="str">
        <f>HYPERLINK("http://advancedtherapies.com","advancedtherapies.com")</f>
        <v>advancedtherapies.com</v>
      </c>
      <c r="C40063" t="s">
        <v>433</v>
      </c>
      <c r="F40063">
        <v>2.44394126164606E-8</v>
      </c>
      <c r="G40063">
        <v>2120211</v>
      </c>
      <c r="H40063">
        <v>13592756</v>
      </c>
      <c r="I40063">
        <v>9662638</v>
      </c>
      <c r="J40063">
        <v>4</v>
      </c>
    </row>
    <row r="40064" spans="1:10" x14ac:dyDescent="0.25">
      <c r="A40064" t="s">
        <v>408</v>
      </c>
      <c r="B40064" s="1" t="str">
        <f>HYPERLINK("http://pharmapace.com","pharmapace.com")</f>
        <v>pharmapace.com</v>
      </c>
      <c r="C40064" t="s">
        <v>433</v>
      </c>
      <c r="F40064">
        <v>4.4473917141464999E-9</v>
      </c>
      <c r="G40064">
        <v>73552827</v>
      </c>
      <c r="H40064">
        <v>10579975</v>
      </c>
      <c r="I40064">
        <v>45826511</v>
      </c>
      <c r="J40064">
        <v>4</v>
      </c>
    </row>
    <row r="40065" spans="1:10" x14ac:dyDescent="0.25">
      <c r="A40065" t="s">
        <v>408</v>
      </c>
      <c r="B40065" s="1" t="str">
        <f>HYPERLINK("http://wuxi-rsd.com","wuxi-rsd.com")</f>
        <v>wuxi-rsd.com</v>
      </c>
      <c r="C40065" t="s">
        <v>433</v>
      </c>
      <c r="F40065">
        <v>7.1637906346424704E-9</v>
      </c>
      <c r="G40065">
        <v>11839481</v>
      </c>
      <c r="H40065">
        <v>12375200</v>
      </c>
      <c r="I40065">
        <v>19314292</v>
      </c>
      <c r="J40065">
        <v>3</v>
      </c>
    </row>
    <row r="40066" spans="1:10" x14ac:dyDescent="0.25">
      <c r="A40066" t="s">
        <v>408</v>
      </c>
      <c r="B40066" s="1" t="str">
        <f>HYPERLINK("http://wuxiapptec.com","wuxiapptec.com")</f>
        <v>wuxiapptec.com</v>
      </c>
      <c r="C40066" t="s">
        <v>433</v>
      </c>
      <c r="E40066">
        <v>147106</v>
      </c>
      <c r="F40066">
        <v>1.87853192575326E-7</v>
      </c>
      <c r="G40066">
        <v>205132</v>
      </c>
      <c r="H40066">
        <v>14720253</v>
      </c>
      <c r="I40066">
        <v>578016</v>
      </c>
      <c r="J40066">
        <v>1</v>
      </c>
    </row>
    <row r="40067" spans="1:10" x14ac:dyDescent="0.25">
      <c r="A40067" t="s">
        <v>408</v>
      </c>
      <c r="B40067" s="1" t="str">
        <f>HYPERLINK("http://wuxiappttec.com","wuxiappttec.com")</f>
        <v>wuxiappttec.com</v>
      </c>
      <c r="C40067" t="s">
        <v>433</v>
      </c>
      <c r="J40067">
        <v>3</v>
      </c>
    </row>
    <row r="40068" spans="1:10" x14ac:dyDescent="0.25">
      <c r="A40068" t="s">
        <v>409</v>
      </c>
      <c r="B40068" s="1" t="str">
        <f>HYPERLINK("http://wuliangye.com.cn","wuliangye.com.cn")</f>
        <v>wuliangye.com.cn</v>
      </c>
      <c r="C40068" t="s">
        <v>431</v>
      </c>
      <c r="D40068" t="s">
        <v>812</v>
      </c>
      <c r="E40068">
        <v>293491</v>
      </c>
      <c r="F40068">
        <v>2.0861538767519701E-7</v>
      </c>
      <c r="G40068">
        <v>181516</v>
      </c>
      <c r="H40068">
        <v>14429203</v>
      </c>
      <c r="I40068">
        <v>1075900</v>
      </c>
      <c r="J40068">
        <v>1</v>
      </c>
    </row>
    <row r="40069" spans="1:10" x14ac:dyDescent="0.25">
      <c r="A40069" t="s">
        <v>1665</v>
      </c>
      <c r="B40069" s="1" t="str">
        <f>HYPERLINK("http://xcelenergy.com","xcelenergy.com")</f>
        <v>xcelenergy.com</v>
      </c>
      <c r="C40069" t="s">
        <v>433</v>
      </c>
      <c r="E40069">
        <v>12787</v>
      </c>
      <c r="F40069">
        <v>1.38322896581275E-6</v>
      </c>
      <c r="G40069">
        <v>28180</v>
      </c>
      <c r="H40069">
        <v>17336004</v>
      </c>
      <c r="I40069">
        <v>24375</v>
      </c>
      <c r="J40069">
        <v>1</v>
      </c>
    </row>
    <row r="40070" spans="1:10" x14ac:dyDescent="0.25">
      <c r="A40070" t="s">
        <v>1665</v>
      </c>
      <c r="B40070" s="1" t="str">
        <f>HYPERLINK("http://xcelenergy.net","xcelenergy.net")</f>
        <v>xcelenergy.net</v>
      </c>
      <c r="C40070" t="s">
        <v>474</v>
      </c>
      <c r="E40070">
        <v>137192</v>
      </c>
      <c r="F40070">
        <v>4.4438486064529804E-9</v>
      </c>
      <c r="G40070">
        <v>78539507</v>
      </c>
      <c r="H40070">
        <v>10541462</v>
      </c>
      <c r="I40070">
        <v>47188695</v>
      </c>
      <c r="J40070">
        <v>2</v>
      </c>
    </row>
    <row r="40071" spans="1:10" x14ac:dyDescent="0.25">
      <c r="A40071" t="s">
        <v>410</v>
      </c>
      <c r="B40071" s="1" t="str">
        <f>HYPERLINK("http://miot-spec.org","miot-spec.org")</f>
        <v>miot-spec.org</v>
      </c>
      <c r="C40071" t="s">
        <v>481</v>
      </c>
      <c r="E40071">
        <v>251860</v>
      </c>
      <c r="F40071">
        <v>1.34996816363919E-8</v>
      </c>
      <c r="G40071">
        <v>4403877</v>
      </c>
      <c r="H40071">
        <v>13305149</v>
      </c>
      <c r="I40071">
        <v>10802710</v>
      </c>
      <c r="J40071">
        <v>3</v>
      </c>
    </row>
    <row r="40072" spans="1:10" x14ac:dyDescent="0.25">
      <c r="A40072" t="s">
        <v>411</v>
      </c>
      <c r="B40072" s="1" t="str">
        <f>HYPERLINK("http://goodmanfielder.com.au","goodmanfielder.com.au")</f>
        <v>goodmanfielder.com.au</v>
      </c>
      <c r="C40072" t="s">
        <v>420</v>
      </c>
      <c r="D40072" t="s">
        <v>802</v>
      </c>
      <c r="F40072">
        <v>1.22749184443967E-8</v>
      </c>
      <c r="G40072">
        <v>5008179</v>
      </c>
      <c r="H40072">
        <v>14488485</v>
      </c>
      <c r="I40072">
        <v>932866</v>
      </c>
      <c r="J40072">
        <v>9</v>
      </c>
    </row>
    <row r="40073" spans="1:10" x14ac:dyDescent="0.25">
      <c r="A40073" t="s">
        <v>411</v>
      </c>
      <c r="B40073" s="1" t="str">
        <f>HYPERLINK("http://yihaikerry.net.cn","yihaikerry.net.cn")</f>
        <v>yihaikerry.net.cn</v>
      </c>
      <c r="C40073" t="s">
        <v>431</v>
      </c>
      <c r="D40073" t="s">
        <v>812</v>
      </c>
      <c r="F40073">
        <v>1.0947279365903899E-7</v>
      </c>
      <c r="G40073">
        <v>365451</v>
      </c>
      <c r="H40073">
        <v>13198671</v>
      </c>
      <c r="I40073">
        <v>11559255</v>
      </c>
      <c r="J40073">
        <v>1</v>
      </c>
    </row>
    <row r="40074" spans="1:10" x14ac:dyDescent="0.25">
      <c r="A40074" t="s">
        <v>411</v>
      </c>
      <c r="B40074" s="1" t="str">
        <f>HYPERLINK("http://wilmar.cn","wilmar.cn")</f>
        <v>wilmar.cn</v>
      </c>
      <c r="C40074" t="s">
        <v>431</v>
      </c>
      <c r="D40074" t="s">
        <v>812</v>
      </c>
      <c r="E40074">
        <v>545101</v>
      </c>
      <c r="F40074">
        <v>1.00297419125261E-8</v>
      </c>
      <c r="G40074">
        <v>6726359</v>
      </c>
      <c r="H40074">
        <v>10595089</v>
      </c>
      <c r="I40074">
        <v>45228239</v>
      </c>
      <c r="J40074">
        <v>2</v>
      </c>
    </row>
    <row r="40075" spans="1:10" x14ac:dyDescent="0.25">
      <c r="A40075" t="s">
        <v>411</v>
      </c>
      <c r="B40075" s="1" t="str">
        <f>HYPERLINK("http://adaniwilmar.com","adaniwilmar.com")</f>
        <v>adaniwilmar.com</v>
      </c>
      <c r="C40075" t="s">
        <v>433</v>
      </c>
      <c r="E40075">
        <v>796258</v>
      </c>
      <c r="F40075">
        <v>7.8657940075721499E-8</v>
      </c>
      <c r="G40075">
        <v>531417</v>
      </c>
      <c r="H40075">
        <v>14102825</v>
      </c>
      <c r="I40075">
        <v>2697672</v>
      </c>
      <c r="J40075">
        <v>5</v>
      </c>
    </row>
    <row r="40076" spans="1:10" x14ac:dyDescent="0.25">
      <c r="A40076" t="s">
        <v>411</v>
      </c>
      <c r="B40076" s="1" t="str">
        <f>HYPERLINK("http://kbk-chem.com","kbk-chem.com")</f>
        <v>kbk-chem.com</v>
      </c>
      <c r="C40076" t="s">
        <v>433</v>
      </c>
      <c r="F40076">
        <v>5.3524509485335101E-9</v>
      </c>
      <c r="G40076">
        <v>22772279</v>
      </c>
      <c r="H40076">
        <v>12795085</v>
      </c>
      <c r="I40076">
        <v>14660742</v>
      </c>
      <c r="J40076">
        <v>11</v>
      </c>
    </row>
    <row r="40077" spans="1:10" x14ac:dyDescent="0.25">
      <c r="A40077" t="s">
        <v>411</v>
      </c>
      <c r="B40077" s="1" t="str">
        <f>HYPERLINK("http://renukasugars.com","renukasugars.com")</f>
        <v>renukasugars.com</v>
      </c>
      <c r="C40077" t="s">
        <v>433</v>
      </c>
      <c r="F40077">
        <v>1.02723301595327E-8</v>
      </c>
      <c r="G40077">
        <v>6477097</v>
      </c>
      <c r="H40077">
        <v>13793821</v>
      </c>
      <c r="I40077">
        <v>6319995</v>
      </c>
      <c r="J40077">
        <v>10</v>
      </c>
    </row>
    <row r="40078" spans="1:10" x14ac:dyDescent="0.25">
      <c r="A40078" t="s">
        <v>411</v>
      </c>
      <c r="B40078" s="1" t="str">
        <f>HYPERLINK("http://wilmar-international.com","wilmar-international.com")</f>
        <v>wilmar-international.com</v>
      </c>
      <c r="C40078" t="s">
        <v>433</v>
      </c>
      <c r="E40078">
        <v>357803</v>
      </c>
      <c r="F40078">
        <v>2.5649325208154898E-7</v>
      </c>
      <c r="G40078">
        <v>145866</v>
      </c>
      <c r="H40078">
        <v>14972478</v>
      </c>
      <c r="I40078">
        <v>433272</v>
      </c>
      <c r="J40078">
        <v>4</v>
      </c>
    </row>
    <row r="40079" spans="1:10" x14ac:dyDescent="0.25">
      <c r="A40079" t="s">
        <v>411</v>
      </c>
      <c r="B40079" s="1" t="str">
        <f>HYPERLINK("http://wilmargavilon.com","wilmargavilon.com")</f>
        <v>wilmargavilon.com</v>
      </c>
      <c r="C40079" t="s">
        <v>433</v>
      </c>
      <c r="F40079">
        <v>4.8724064269214601E-9</v>
      </c>
      <c r="G40079">
        <v>33325183</v>
      </c>
      <c r="H40079">
        <v>10435698</v>
      </c>
      <c r="I40079">
        <v>52716982</v>
      </c>
      <c r="J40079">
        <v>9</v>
      </c>
    </row>
    <row r="40080" spans="1:10" x14ac:dyDescent="0.25">
      <c r="A40080" t="s">
        <v>411</v>
      </c>
      <c r="B40080" s="1" t="str">
        <f>HYPERLINK("http://cosumar.co.ma","cosumar.co.ma")</f>
        <v>cosumar.co.ma</v>
      </c>
      <c r="C40080" t="s">
        <v>469</v>
      </c>
      <c r="D40080" t="s">
        <v>845</v>
      </c>
      <c r="F40080">
        <v>2.4859071955389399E-8</v>
      </c>
      <c r="G40080">
        <v>2080030</v>
      </c>
      <c r="H40080">
        <v>13290064</v>
      </c>
      <c r="I40080">
        <v>10876572</v>
      </c>
      <c r="J40080">
        <v>5</v>
      </c>
    </row>
    <row r="40081" spans="1:10" x14ac:dyDescent="0.25">
      <c r="A40081" t="s">
        <v>411</v>
      </c>
      <c r="B40081" s="1" t="str">
        <f>HYPERLINK("http://yihaikerry.net","yihaikerry.net")</f>
        <v>yihaikerry.net</v>
      </c>
      <c r="C40081" t="s">
        <v>474</v>
      </c>
      <c r="F40081">
        <v>2.5848967760207201E-8</v>
      </c>
      <c r="G40081">
        <v>1993827</v>
      </c>
      <c r="H40081">
        <v>13242065</v>
      </c>
      <c r="I40081">
        <v>11206946</v>
      </c>
      <c r="J40081">
        <v>2</v>
      </c>
    </row>
    <row r="40082" spans="1:10" x14ac:dyDescent="0.25">
      <c r="A40082" t="s">
        <v>411</v>
      </c>
      <c r="B40082" s="1" t="str">
        <f>HYPERLINK("http://wilmareurope.nl","wilmareurope.nl")</f>
        <v>wilmareurope.nl</v>
      </c>
      <c r="C40082" t="s">
        <v>477</v>
      </c>
      <c r="D40082" t="s">
        <v>852</v>
      </c>
      <c r="F40082">
        <v>7.8366402588961997E-9</v>
      </c>
      <c r="G40082">
        <v>10241987</v>
      </c>
      <c r="H40082">
        <v>11240095</v>
      </c>
      <c r="I40082">
        <v>30964774</v>
      </c>
      <c r="J40082">
        <v>9</v>
      </c>
    </row>
    <row r="40083" spans="1:10" x14ac:dyDescent="0.25">
      <c r="A40083" t="s">
        <v>411</v>
      </c>
      <c r="B40083" s="1" t="str">
        <f>HYPERLINK("http://savannahcommodities.co.za","savannahcommodities.co.za")</f>
        <v>savannahcommodities.co.za</v>
      </c>
      <c r="C40083" t="s">
        <v>510</v>
      </c>
      <c r="D40083" t="s">
        <v>884</v>
      </c>
      <c r="J40083">
        <v>9</v>
      </c>
    </row>
    <row r="40084" spans="1:10" x14ac:dyDescent="0.25">
      <c r="A40084" t="s">
        <v>412</v>
      </c>
      <c r="B40084" s="1" t="str">
        <f>HYPERLINK("http://pizzahut.ae","pizzahut.ae")</f>
        <v>pizzahut.ae</v>
      </c>
      <c r="C40084" t="s">
        <v>417</v>
      </c>
      <c r="D40084" t="s">
        <v>799</v>
      </c>
      <c r="E40084">
        <v>880887</v>
      </c>
      <c r="F40084">
        <v>1.5186101755450299E-8</v>
      </c>
      <c r="G40084">
        <v>3780094</v>
      </c>
      <c r="H40084">
        <v>13216470</v>
      </c>
      <c r="I40084">
        <v>11358076</v>
      </c>
      <c r="J40084">
        <v>4</v>
      </c>
    </row>
    <row r="40085" spans="1:10" x14ac:dyDescent="0.25">
      <c r="A40085" t="s">
        <v>412</v>
      </c>
      <c r="B40085" s="1" t="str">
        <f>HYPERLINK("http://kfc.al","kfc.al")</f>
        <v>kfc.al</v>
      </c>
      <c r="C40085" t="s">
        <v>588</v>
      </c>
      <c r="D40085" t="s">
        <v>924</v>
      </c>
      <c r="F40085">
        <v>5.8088089545560004E-9</v>
      </c>
      <c r="G40085">
        <v>18021234</v>
      </c>
      <c r="H40085">
        <v>10563324</v>
      </c>
      <c r="I40085">
        <v>46298488</v>
      </c>
      <c r="J40085">
        <v>4</v>
      </c>
    </row>
    <row r="40086" spans="1:10" x14ac:dyDescent="0.25">
      <c r="A40086" t="s">
        <v>412</v>
      </c>
      <c r="B40086" s="1" t="str">
        <f>HYPERLINK("http://kfc.co.at","kfc.co.at")</f>
        <v>kfc.co.at</v>
      </c>
      <c r="C40086" t="s">
        <v>419</v>
      </c>
      <c r="D40086" t="s">
        <v>801</v>
      </c>
      <c r="F40086">
        <v>9.2554228966983995E-9</v>
      </c>
      <c r="G40086">
        <v>7631388</v>
      </c>
      <c r="H40086">
        <v>14072492</v>
      </c>
      <c r="I40086">
        <v>3082095</v>
      </c>
      <c r="J40086">
        <v>4</v>
      </c>
    </row>
    <row r="40087" spans="1:10" x14ac:dyDescent="0.25">
      <c r="A40087" t="s">
        <v>412</v>
      </c>
      <c r="B40087" s="1" t="str">
        <f>HYPERLINK("http://eagleboys.com.au","eagleboys.com.au")</f>
        <v>eagleboys.com.au</v>
      </c>
      <c r="C40087" t="s">
        <v>420</v>
      </c>
      <c r="D40087" t="s">
        <v>802</v>
      </c>
      <c r="F40087">
        <v>5.6525436046510797E-9</v>
      </c>
      <c r="G40087">
        <v>19369505</v>
      </c>
      <c r="H40087">
        <v>13763760</v>
      </c>
      <c r="I40087">
        <v>7653131</v>
      </c>
      <c r="J40087">
        <v>3</v>
      </c>
    </row>
    <row r="40088" spans="1:10" x14ac:dyDescent="0.25">
      <c r="A40088" t="s">
        <v>412</v>
      </c>
      <c r="B40088" s="1" t="str">
        <f>HYPERLINK("http://kfc.com.au","kfc.com.au")</f>
        <v>kfc.com.au</v>
      </c>
      <c r="C40088" t="s">
        <v>420</v>
      </c>
      <c r="D40088" t="s">
        <v>802</v>
      </c>
      <c r="E40088">
        <v>159227</v>
      </c>
      <c r="F40088">
        <v>1.12844970220055E-7</v>
      </c>
      <c r="G40088">
        <v>353789</v>
      </c>
      <c r="H40088">
        <v>17150474</v>
      </c>
      <c r="I40088">
        <v>52125</v>
      </c>
      <c r="J40088">
        <v>4</v>
      </c>
    </row>
    <row r="40089" spans="1:10" x14ac:dyDescent="0.25">
      <c r="A40089" t="s">
        <v>412</v>
      </c>
      <c r="B40089" s="1" t="str">
        <f>HYPERLINK("http://pizzahut.com.au","pizzahut.com.au")</f>
        <v>pizzahut.com.au</v>
      </c>
      <c r="C40089" t="s">
        <v>420</v>
      </c>
      <c r="D40089" t="s">
        <v>802</v>
      </c>
      <c r="E40089">
        <v>305536</v>
      </c>
      <c r="F40089">
        <v>5.4231802494949901E-8</v>
      </c>
      <c r="G40089">
        <v>833421</v>
      </c>
      <c r="H40089">
        <v>14626649</v>
      </c>
      <c r="I40089">
        <v>649592</v>
      </c>
      <c r="J40089">
        <v>3</v>
      </c>
    </row>
    <row r="40090" spans="1:10" x14ac:dyDescent="0.25">
      <c r="A40090" t="s">
        <v>412</v>
      </c>
      <c r="B40090" s="1" t="str">
        <f>HYPERLINK("http://tacobell.com.au","tacobell.com.au")</f>
        <v>tacobell.com.au</v>
      </c>
      <c r="C40090" t="s">
        <v>420</v>
      </c>
      <c r="D40090" t="s">
        <v>802</v>
      </c>
      <c r="F40090">
        <v>3.6357637929700101E-8</v>
      </c>
      <c r="G40090">
        <v>1435258</v>
      </c>
      <c r="H40090">
        <v>14176521</v>
      </c>
      <c r="I40090">
        <v>1788721</v>
      </c>
      <c r="J40090">
        <v>4</v>
      </c>
    </row>
    <row r="40091" spans="1:10" x14ac:dyDescent="0.25">
      <c r="A40091" t="s">
        <v>412</v>
      </c>
      <c r="B40091" s="1" t="str">
        <f>HYPERLINK("http://pizzahut.az","pizzahut.az")</f>
        <v>pizzahut.az</v>
      </c>
      <c r="C40091" t="s">
        <v>561</v>
      </c>
      <c r="D40091" t="s">
        <v>911</v>
      </c>
      <c r="F40091">
        <v>6.4001749013500999E-9</v>
      </c>
      <c r="G40091">
        <v>14516046</v>
      </c>
      <c r="H40091">
        <v>10785377</v>
      </c>
      <c r="I40091">
        <v>38686558</v>
      </c>
      <c r="J40091">
        <v>3</v>
      </c>
    </row>
    <row r="40092" spans="1:10" x14ac:dyDescent="0.25">
      <c r="A40092" t="s">
        <v>412</v>
      </c>
      <c r="B40092" s="1" t="str">
        <f>HYPERLINK("http://kfcrestaurants.be","kfcrestaurants.be")</f>
        <v>kfcrestaurants.be</v>
      </c>
      <c r="C40092" t="s">
        <v>421</v>
      </c>
      <c r="D40092" t="s">
        <v>803</v>
      </c>
      <c r="F40092">
        <v>5.6856550762652703E-8</v>
      </c>
      <c r="G40092">
        <v>785672</v>
      </c>
      <c r="H40092">
        <v>16751214</v>
      </c>
      <c r="I40092">
        <v>269086</v>
      </c>
      <c r="J40092">
        <v>4</v>
      </c>
    </row>
    <row r="40093" spans="1:10" x14ac:dyDescent="0.25">
      <c r="A40093" t="s">
        <v>412</v>
      </c>
      <c r="B40093" s="1" t="str">
        <f>HYPERLINK("http://pizza.be","pizza.be")</f>
        <v>pizza.be</v>
      </c>
      <c r="C40093" t="s">
        <v>421</v>
      </c>
      <c r="D40093" t="s">
        <v>803</v>
      </c>
      <c r="F40093">
        <v>1.50288232308039E-8</v>
      </c>
      <c r="G40093">
        <v>3830295</v>
      </c>
      <c r="H40093">
        <v>12834877</v>
      </c>
      <c r="I40093">
        <v>14386808</v>
      </c>
      <c r="J40093">
        <v>3</v>
      </c>
    </row>
    <row r="40094" spans="1:10" x14ac:dyDescent="0.25">
      <c r="A40094" t="s">
        <v>412</v>
      </c>
      <c r="B40094" s="1" t="str">
        <f>HYPERLINK("http://pizzahut.be","pizzahut.be")</f>
        <v>pizzahut.be</v>
      </c>
      <c r="C40094" t="s">
        <v>421</v>
      </c>
      <c r="D40094" t="s">
        <v>803</v>
      </c>
      <c r="E40094">
        <v>571673</v>
      </c>
      <c r="F40094">
        <v>2.9587112816477602E-8</v>
      </c>
      <c r="G40094">
        <v>1742311</v>
      </c>
      <c r="H40094">
        <v>14488805</v>
      </c>
      <c r="I40094">
        <v>929144</v>
      </c>
      <c r="J40094">
        <v>3</v>
      </c>
    </row>
    <row r="40095" spans="1:10" x14ac:dyDescent="0.25">
      <c r="A40095" t="s">
        <v>412</v>
      </c>
      <c r="B40095" s="1" t="str">
        <f>HYPERLINK("http://sporthoek.be","sporthoek.be")</f>
        <v>sporthoek.be</v>
      </c>
      <c r="C40095" t="s">
        <v>421</v>
      </c>
      <c r="D40095" t="s">
        <v>803</v>
      </c>
      <c r="F40095">
        <v>4.4737545885061298E-9</v>
      </c>
      <c r="G40095">
        <v>63682189</v>
      </c>
      <c r="H40095">
        <v>10385573</v>
      </c>
      <c r="I40095">
        <v>54460477</v>
      </c>
      <c r="J40095">
        <v>3</v>
      </c>
    </row>
    <row r="40096" spans="1:10" x14ac:dyDescent="0.25">
      <c r="A40096" t="s">
        <v>412</v>
      </c>
      <c r="B40096" s="1" t="str">
        <f>HYPERLINK("http://thecapital.be","thecapital.be")</f>
        <v>thecapital.be</v>
      </c>
      <c r="C40096" t="s">
        <v>421</v>
      </c>
      <c r="D40096" t="s">
        <v>803</v>
      </c>
      <c r="F40096">
        <v>7.3192838188143599E-9</v>
      </c>
      <c r="G40096">
        <v>11432814</v>
      </c>
      <c r="H40096">
        <v>13767433</v>
      </c>
      <c r="I40096">
        <v>6933410</v>
      </c>
      <c r="J40096">
        <v>4</v>
      </c>
    </row>
    <row r="40097" spans="1:10" x14ac:dyDescent="0.25">
      <c r="A40097" t="s">
        <v>412</v>
      </c>
      <c r="B40097" s="1" t="str">
        <f>HYPERLINK("http://kfc.bg","kfc.bg")</f>
        <v>kfc.bg</v>
      </c>
      <c r="C40097" t="s">
        <v>422</v>
      </c>
      <c r="D40097" t="s">
        <v>804</v>
      </c>
      <c r="F40097">
        <v>1.16743129742975E-8</v>
      </c>
      <c r="G40097">
        <v>5382812</v>
      </c>
      <c r="H40097">
        <v>14072485</v>
      </c>
      <c r="I40097">
        <v>3083293</v>
      </c>
      <c r="J40097">
        <v>4</v>
      </c>
    </row>
    <row r="40098" spans="1:10" x14ac:dyDescent="0.25">
      <c r="A40098" t="s">
        <v>412</v>
      </c>
      <c r="B40098" s="1" t="str">
        <f>HYPERLINK("http://kfc.bh","kfc.bh")</f>
        <v>kfc.bh</v>
      </c>
      <c r="C40098" t="s">
        <v>580</v>
      </c>
      <c r="D40098" t="s">
        <v>922</v>
      </c>
      <c r="F40098">
        <v>4.4615584230611399E-9</v>
      </c>
      <c r="G40098">
        <v>67271063</v>
      </c>
      <c r="H40098">
        <v>9802498</v>
      </c>
      <c r="I40098">
        <v>62583569</v>
      </c>
      <c r="J40098">
        <v>4</v>
      </c>
    </row>
    <row r="40099" spans="1:10" x14ac:dyDescent="0.25">
      <c r="A40099" t="s">
        <v>412</v>
      </c>
      <c r="B40099" s="1" t="str">
        <f>HYPERLINK("http://kfc.bm","kfc.bm")</f>
        <v>kfc.bm</v>
      </c>
      <c r="C40099" t="s">
        <v>568</v>
      </c>
      <c r="D40099" t="s">
        <v>915</v>
      </c>
      <c r="F40099">
        <v>5.4710012435785698E-9</v>
      </c>
      <c r="G40099">
        <v>21233949</v>
      </c>
      <c r="H40099">
        <v>12198274</v>
      </c>
      <c r="I40099">
        <v>23366036</v>
      </c>
      <c r="J40099">
        <v>4</v>
      </c>
    </row>
    <row r="40100" spans="1:10" x14ac:dyDescent="0.25">
      <c r="A40100" t="s">
        <v>412</v>
      </c>
      <c r="B40100" s="1" t="str">
        <f>HYPERLINK("http://pizzahut.com.bn","pizzahut.com.bn")</f>
        <v>pizzahut.com.bn</v>
      </c>
      <c r="C40100" t="s">
        <v>511</v>
      </c>
      <c r="D40100" t="s">
        <v>885</v>
      </c>
      <c r="F40100">
        <v>2.9259400860532299E-8</v>
      </c>
      <c r="G40100">
        <v>1760632</v>
      </c>
      <c r="H40100">
        <v>14033419</v>
      </c>
      <c r="I40100">
        <v>3920295</v>
      </c>
      <c r="J40100">
        <v>3</v>
      </c>
    </row>
    <row r="40101" spans="1:10" x14ac:dyDescent="0.25">
      <c r="A40101" t="s">
        <v>412</v>
      </c>
      <c r="B40101" s="1" t="str">
        <f>HYPERLINK("http://kfcbrasil.com.br","kfcbrasil.com.br")</f>
        <v>kfcbrasil.com.br</v>
      </c>
      <c r="C40101" t="s">
        <v>425</v>
      </c>
      <c r="D40101" t="s">
        <v>806</v>
      </c>
      <c r="F40101">
        <v>1.1182289145113E-8</v>
      </c>
      <c r="G40101">
        <v>5725470</v>
      </c>
      <c r="H40101">
        <v>14819366</v>
      </c>
      <c r="I40101">
        <v>518791</v>
      </c>
      <c r="J40101">
        <v>4</v>
      </c>
    </row>
    <row r="40102" spans="1:10" x14ac:dyDescent="0.25">
      <c r="A40102" t="s">
        <v>412</v>
      </c>
      <c r="B40102" s="1" t="str">
        <f>HYPERLINK("http://pizzahut.com.br","pizzahut.com.br")</f>
        <v>pizzahut.com.br</v>
      </c>
      <c r="C40102" t="s">
        <v>425</v>
      </c>
      <c r="D40102" t="s">
        <v>806</v>
      </c>
      <c r="E40102">
        <v>975663</v>
      </c>
      <c r="F40102">
        <v>8.1590226474774402E-9</v>
      </c>
      <c r="G40102">
        <v>9640850</v>
      </c>
      <c r="H40102">
        <v>14486058</v>
      </c>
      <c r="I40102">
        <v>974708</v>
      </c>
      <c r="J40102">
        <v>3</v>
      </c>
    </row>
    <row r="40103" spans="1:10" x14ac:dyDescent="0.25">
      <c r="A40103" t="s">
        <v>412</v>
      </c>
      <c r="B40103" s="1" t="str">
        <f>HYPERLINK("http://kfc.by","kfc.by")</f>
        <v>kfc.by</v>
      </c>
      <c r="C40103" t="s">
        <v>427</v>
      </c>
      <c r="D40103" t="s">
        <v>808</v>
      </c>
      <c r="F40103">
        <v>1.7034249410236898E-8</v>
      </c>
      <c r="G40103">
        <v>3275404</v>
      </c>
      <c r="H40103">
        <v>14074463</v>
      </c>
      <c r="I40103">
        <v>2942307</v>
      </c>
      <c r="J40103">
        <v>4</v>
      </c>
    </row>
    <row r="40104" spans="1:10" x14ac:dyDescent="0.25">
      <c r="A40104" t="s">
        <v>412</v>
      </c>
      <c r="B40104" s="1" t="str">
        <f>HYPERLINK("http://qsr.bz","qsr.bz")</f>
        <v>qsr.bz</v>
      </c>
      <c r="C40104" t="s">
        <v>590</v>
      </c>
      <c r="D40104" t="s">
        <v>926</v>
      </c>
      <c r="F40104">
        <v>4.4442144600156696E-9</v>
      </c>
      <c r="G40104">
        <v>77263437</v>
      </c>
      <c r="H40104">
        <v>10376506</v>
      </c>
      <c r="I40104">
        <v>54678954</v>
      </c>
      <c r="J40104">
        <v>4</v>
      </c>
    </row>
    <row r="40105" spans="1:10" x14ac:dyDescent="0.25">
      <c r="A40105" t="s">
        <v>412</v>
      </c>
      <c r="B40105" s="1" t="str">
        <f>HYPERLINK("http://hiflyer.ca","hiflyer.ca")</f>
        <v>hiflyer.ca</v>
      </c>
      <c r="C40105" t="s">
        <v>428</v>
      </c>
      <c r="D40105" t="s">
        <v>809</v>
      </c>
      <c r="F40105">
        <v>5.7473123906719699E-9</v>
      </c>
      <c r="G40105">
        <v>18519520</v>
      </c>
      <c r="H40105">
        <v>12351537</v>
      </c>
      <c r="I40105">
        <v>19742404</v>
      </c>
      <c r="J40105">
        <v>4</v>
      </c>
    </row>
    <row r="40106" spans="1:10" x14ac:dyDescent="0.25">
      <c r="A40106" t="s">
        <v>412</v>
      </c>
      <c r="B40106" s="1" t="str">
        <f>HYPERLINK("http://kfc.ca","kfc.ca")</f>
        <v>kfc.ca</v>
      </c>
      <c r="C40106" t="s">
        <v>428</v>
      </c>
      <c r="D40106" t="s">
        <v>809</v>
      </c>
      <c r="E40106">
        <v>293974</v>
      </c>
      <c r="F40106">
        <v>1.26139795935641E-7</v>
      </c>
      <c r="G40106">
        <v>312679</v>
      </c>
      <c r="H40106">
        <v>14882449</v>
      </c>
      <c r="I40106">
        <v>471351</v>
      </c>
      <c r="J40106">
        <v>4</v>
      </c>
    </row>
    <row r="40107" spans="1:10" x14ac:dyDescent="0.25">
      <c r="A40107" t="s">
        <v>412</v>
      </c>
      <c r="B40107" s="1" t="str">
        <f>HYPERLINK("http://pizzahut.ca","pizzahut.ca")</f>
        <v>pizzahut.ca</v>
      </c>
      <c r="C40107" t="s">
        <v>428</v>
      </c>
      <c r="D40107" t="s">
        <v>809</v>
      </c>
      <c r="E40107">
        <v>204973</v>
      </c>
      <c r="F40107">
        <v>1.2159861972385201E-7</v>
      </c>
      <c r="G40107">
        <v>324784</v>
      </c>
      <c r="H40107">
        <v>14591122</v>
      </c>
      <c r="I40107">
        <v>695031</v>
      </c>
      <c r="J40107">
        <v>3</v>
      </c>
    </row>
    <row r="40108" spans="1:10" x14ac:dyDescent="0.25">
      <c r="A40108" t="s">
        <v>412</v>
      </c>
      <c r="B40108" s="1" t="str">
        <f>HYPERLINK("http://tacobell.ca","tacobell.ca")</f>
        <v>tacobell.ca</v>
      </c>
      <c r="C40108" t="s">
        <v>428</v>
      </c>
      <c r="D40108" t="s">
        <v>809</v>
      </c>
      <c r="E40108">
        <v>878704</v>
      </c>
      <c r="F40108">
        <v>4.6870388049908697E-8</v>
      </c>
      <c r="G40108">
        <v>996258</v>
      </c>
      <c r="H40108">
        <v>14824443</v>
      </c>
      <c r="I40108">
        <v>512308</v>
      </c>
      <c r="J40108">
        <v>4</v>
      </c>
    </row>
    <row r="40109" spans="1:10" x14ac:dyDescent="0.25">
      <c r="A40109" t="s">
        <v>412</v>
      </c>
      <c r="B40109" s="1" t="str">
        <f>HYPERLINK("http://kfc-suisse.ch","kfc-suisse.ch")</f>
        <v>kfc-suisse.ch</v>
      </c>
      <c r="C40109" t="s">
        <v>429</v>
      </c>
      <c r="D40109" t="s">
        <v>810</v>
      </c>
      <c r="F40109">
        <v>9.5244365074669594E-9</v>
      </c>
      <c r="G40109">
        <v>7293461</v>
      </c>
      <c r="H40109">
        <v>14236344</v>
      </c>
      <c r="I40109">
        <v>1591535</v>
      </c>
      <c r="J40109">
        <v>4</v>
      </c>
    </row>
    <row r="40110" spans="1:10" x14ac:dyDescent="0.25">
      <c r="A40110" t="s">
        <v>412</v>
      </c>
      <c r="B40110" s="1" t="str">
        <f>HYPERLINK("http://kentucky.cl","kentucky.cl")</f>
        <v>kentucky.cl</v>
      </c>
      <c r="C40110" t="s">
        <v>430</v>
      </c>
      <c r="D40110" t="s">
        <v>811</v>
      </c>
      <c r="F40110">
        <v>2.71773662753862E-8</v>
      </c>
      <c r="G40110">
        <v>1891932</v>
      </c>
      <c r="H40110">
        <v>13763649</v>
      </c>
      <c r="I40110">
        <v>7892086</v>
      </c>
      <c r="J40110">
        <v>4</v>
      </c>
    </row>
    <row r="40111" spans="1:10" x14ac:dyDescent="0.25">
      <c r="A40111" t="s">
        <v>412</v>
      </c>
      <c r="B40111" s="1" t="str">
        <f>HYPERLINK("http://tacobell.cl","tacobell.cl")</f>
        <v>tacobell.cl</v>
      </c>
      <c r="C40111" t="s">
        <v>430</v>
      </c>
      <c r="D40111" t="s">
        <v>811</v>
      </c>
      <c r="F40111">
        <v>1.74221637890817E-8</v>
      </c>
      <c r="G40111">
        <v>3167870</v>
      </c>
      <c r="H40111">
        <v>14030101</v>
      </c>
      <c r="I40111">
        <v>3940612</v>
      </c>
      <c r="J40111">
        <v>4</v>
      </c>
    </row>
    <row r="40112" spans="1:10" x14ac:dyDescent="0.25">
      <c r="A40112" t="s">
        <v>412</v>
      </c>
      <c r="B40112" s="1" t="str">
        <f>HYPERLINK("http://kfc.com.cn","kfc.com.cn")</f>
        <v>kfc.com.cn</v>
      </c>
      <c r="C40112" t="s">
        <v>431</v>
      </c>
      <c r="D40112" t="s">
        <v>812</v>
      </c>
      <c r="E40112">
        <v>95407</v>
      </c>
      <c r="F40112">
        <v>1.94731225886076E-7</v>
      </c>
      <c r="G40112">
        <v>197983</v>
      </c>
      <c r="H40112">
        <v>14736562</v>
      </c>
      <c r="I40112">
        <v>569225</v>
      </c>
      <c r="J40112">
        <v>4</v>
      </c>
    </row>
    <row r="40113" spans="1:10" x14ac:dyDescent="0.25">
      <c r="A40113" t="s">
        <v>412</v>
      </c>
      <c r="B40113" s="1" t="str">
        <f>HYPERLINK("http://pizzahut.com.cn","pizzahut.com.cn")</f>
        <v>pizzahut.com.cn</v>
      </c>
      <c r="C40113" t="s">
        <v>431</v>
      </c>
      <c r="D40113" t="s">
        <v>812</v>
      </c>
      <c r="E40113">
        <v>397085</v>
      </c>
      <c r="F40113">
        <v>1.76968999486638E-7</v>
      </c>
      <c r="G40113">
        <v>218620</v>
      </c>
      <c r="H40113">
        <v>14514051</v>
      </c>
      <c r="I40113">
        <v>815987</v>
      </c>
      <c r="J40113">
        <v>3</v>
      </c>
    </row>
    <row r="40114" spans="1:10" x14ac:dyDescent="0.25">
      <c r="A40114" t="s">
        <v>412</v>
      </c>
      <c r="B40114" s="1" t="str">
        <f>HYPERLINK("http://kfc.cn","kfc.cn")</f>
        <v>kfc.cn</v>
      </c>
      <c r="C40114" t="s">
        <v>431</v>
      </c>
      <c r="D40114" t="s">
        <v>812</v>
      </c>
      <c r="J40114">
        <v>4</v>
      </c>
    </row>
    <row r="40115" spans="1:10" x14ac:dyDescent="0.25">
      <c r="A40115" t="s">
        <v>412</v>
      </c>
      <c r="B40115" s="1" t="str">
        <f>HYPERLINK("http://avecaesar.com","avecaesar.com")</f>
        <v>avecaesar.com</v>
      </c>
      <c r="C40115" t="s">
        <v>433</v>
      </c>
      <c r="F40115">
        <v>4.9120581378035601E-9</v>
      </c>
      <c r="G40115">
        <v>32120435</v>
      </c>
      <c r="H40115">
        <v>11919687</v>
      </c>
      <c r="I40115">
        <v>29378809</v>
      </c>
      <c r="J40115">
        <v>4</v>
      </c>
    </row>
    <row r="40116" spans="1:10" x14ac:dyDescent="0.25">
      <c r="A40116" t="s">
        <v>412</v>
      </c>
      <c r="B40116" s="1" t="str">
        <f>HYPERLINK("http://cristyschicken.com","cristyschicken.com")</f>
        <v>cristyschicken.com</v>
      </c>
      <c r="C40116" t="s">
        <v>433</v>
      </c>
      <c r="F40116">
        <v>4.79686987379521E-9</v>
      </c>
      <c r="G40116">
        <v>36210013</v>
      </c>
      <c r="H40116">
        <v>12383056</v>
      </c>
      <c r="I40116">
        <v>19154909</v>
      </c>
      <c r="J40116">
        <v>4</v>
      </c>
    </row>
    <row r="40117" spans="1:10" x14ac:dyDescent="0.25">
      <c r="A40117" t="s">
        <v>412</v>
      </c>
      <c r="B40117" s="1" t="str">
        <f>HYPERLINK("http://fcbuenisimo.com","fcbuenisimo.com")</f>
        <v>fcbuenisimo.com</v>
      </c>
      <c r="C40117" t="s">
        <v>433</v>
      </c>
      <c r="J40117">
        <v>4</v>
      </c>
    </row>
    <row r="40118" spans="1:10" x14ac:dyDescent="0.25">
      <c r="A40118" t="s">
        <v>412</v>
      </c>
      <c r="B40118" s="1" t="str">
        <f>HYPERLINK("http://habitburger.com","habitburger.com")</f>
        <v>habitburger.com</v>
      </c>
      <c r="C40118" t="s">
        <v>433</v>
      </c>
      <c r="E40118">
        <v>119907</v>
      </c>
      <c r="F40118">
        <v>3.2122210455681799E-7</v>
      </c>
      <c r="G40118">
        <v>115830</v>
      </c>
      <c r="H40118">
        <v>17241660</v>
      </c>
      <c r="I40118">
        <v>35146</v>
      </c>
      <c r="J40118">
        <v>3</v>
      </c>
    </row>
    <row r="40119" spans="1:10" x14ac:dyDescent="0.25">
      <c r="A40119" t="s">
        <v>412</v>
      </c>
      <c r="B40119" s="1" t="str">
        <f>HYPERLINK("http://heartstyles.com","heartstyles.com")</f>
        <v>heartstyles.com</v>
      </c>
      <c r="C40119" t="s">
        <v>433</v>
      </c>
      <c r="F40119">
        <v>2.2920134124069799E-8</v>
      </c>
      <c r="G40119">
        <v>2280590</v>
      </c>
      <c r="H40119">
        <v>12590106</v>
      </c>
      <c r="I40119">
        <v>16413730</v>
      </c>
      <c r="J40119">
        <v>3</v>
      </c>
    </row>
    <row r="40120" spans="1:10" x14ac:dyDescent="0.25">
      <c r="A40120" t="s">
        <v>412</v>
      </c>
      <c r="B40120" s="1" t="str">
        <f>HYPERLINK("http://kentuckypamplona.com","kentuckypamplona.com")</f>
        <v>kentuckypamplona.com</v>
      </c>
      <c r="C40120" t="s">
        <v>433</v>
      </c>
      <c r="F40120">
        <v>4.4485059260911397E-9</v>
      </c>
      <c r="G40120">
        <v>72824551</v>
      </c>
      <c r="H40120">
        <v>10529056</v>
      </c>
      <c r="I40120">
        <v>48529884</v>
      </c>
      <c r="J40120">
        <v>4</v>
      </c>
    </row>
    <row r="40121" spans="1:10" x14ac:dyDescent="0.25">
      <c r="A40121" t="s">
        <v>412</v>
      </c>
      <c r="B40121" s="1" t="str">
        <f>HYPERLINK("http://kfc.com","kfc.com")</f>
        <v>kfc.com</v>
      </c>
      <c r="C40121" t="s">
        <v>433</v>
      </c>
      <c r="E40121">
        <v>22398</v>
      </c>
      <c r="F40121">
        <v>1.50364945789153E-6</v>
      </c>
      <c r="G40121">
        <v>26079</v>
      </c>
      <c r="H40121">
        <v>17413712</v>
      </c>
      <c r="I40121">
        <v>18265</v>
      </c>
      <c r="J40121">
        <v>3</v>
      </c>
    </row>
    <row r="40122" spans="1:10" x14ac:dyDescent="0.25">
      <c r="A40122" t="s">
        <v>412</v>
      </c>
      <c r="B40122" s="1" t="str">
        <f>HYPERLINK("http://kfc-armenia.com","kfc-armenia.com")</f>
        <v>kfc-armenia.com</v>
      </c>
      <c r="C40122" t="s">
        <v>433</v>
      </c>
      <c r="F40122">
        <v>5.4248231963523598E-9</v>
      </c>
      <c r="G40122">
        <v>21803548</v>
      </c>
      <c r="H40122">
        <v>14071794</v>
      </c>
      <c r="I40122">
        <v>3346366</v>
      </c>
      <c r="J40122">
        <v>4</v>
      </c>
    </row>
    <row r="40123" spans="1:10" x14ac:dyDescent="0.25">
      <c r="A40123" t="s">
        <v>412</v>
      </c>
      <c r="B40123" s="1" t="str">
        <f>HYPERLINK("http://kfc-ks.com","kfc-ks.com")</f>
        <v>kfc-ks.com</v>
      </c>
      <c r="C40123" t="s">
        <v>433</v>
      </c>
      <c r="F40123">
        <v>4.8259576965288501E-9</v>
      </c>
      <c r="G40123">
        <v>34993631</v>
      </c>
      <c r="H40123">
        <v>10597188</v>
      </c>
      <c r="I40123">
        <v>45064450</v>
      </c>
      <c r="J40123">
        <v>4</v>
      </c>
    </row>
    <row r="40124" spans="1:10" x14ac:dyDescent="0.25">
      <c r="A40124" t="s">
        <v>412</v>
      </c>
      <c r="B40124" s="1" t="str">
        <f>HYPERLINK("http://kfc-tt.com","kfc-tt.com")</f>
        <v>kfc-tt.com</v>
      </c>
      <c r="C40124" t="s">
        <v>433</v>
      </c>
      <c r="F40124">
        <v>1.17560222358488E-8</v>
      </c>
      <c r="G40124">
        <v>5330732</v>
      </c>
      <c r="H40124">
        <v>12961720</v>
      </c>
      <c r="I40124">
        <v>13160459</v>
      </c>
      <c r="J40124">
        <v>4</v>
      </c>
    </row>
    <row r="40125" spans="1:10" x14ac:dyDescent="0.25">
      <c r="A40125" t="s">
        <v>412</v>
      </c>
      <c r="B40125" s="1" t="str">
        <f>HYPERLINK("http://kfc-ukraine.com","kfc-ukraine.com")</f>
        <v>kfc-ukraine.com</v>
      </c>
      <c r="C40125" t="s">
        <v>433</v>
      </c>
      <c r="F40125">
        <v>1.47961172764705E-8</v>
      </c>
      <c r="G40125">
        <v>3908459</v>
      </c>
      <c r="H40125">
        <v>14414943</v>
      </c>
      <c r="I40125">
        <v>1120227</v>
      </c>
      <c r="J40125">
        <v>4</v>
      </c>
    </row>
    <row r="40126" spans="1:10" x14ac:dyDescent="0.25">
      <c r="A40126" t="s">
        <v>412</v>
      </c>
      <c r="B40126" s="1" t="str">
        <f>HYPERLINK("http://kfcbrunei.com","kfcbrunei.com")</f>
        <v>kfcbrunei.com</v>
      </c>
      <c r="C40126" t="s">
        <v>433</v>
      </c>
      <c r="F40126">
        <v>4.44380395335525E-9</v>
      </c>
      <c r="G40126">
        <v>82283140</v>
      </c>
      <c r="H40126">
        <v>0</v>
      </c>
      <c r="I40126">
        <v>82859400</v>
      </c>
      <c r="J40126">
        <v>4</v>
      </c>
    </row>
    <row r="40127" spans="1:10" x14ac:dyDescent="0.25">
      <c r="A40127" t="s">
        <v>412</v>
      </c>
      <c r="B40127" s="1" t="str">
        <f>HYPERLINK("http://kfcbuenisimo.com","kfcbuenisimo.com")</f>
        <v>kfcbuenisimo.com</v>
      </c>
      <c r="C40127" t="s">
        <v>433</v>
      </c>
      <c r="F40127">
        <v>5.0120480863862599E-9</v>
      </c>
      <c r="G40127">
        <v>29090308</v>
      </c>
      <c r="H40127">
        <v>12208902</v>
      </c>
      <c r="I40127">
        <v>23054126</v>
      </c>
      <c r="J40127">
        <v>4</v>
      </c>
    </row>
    <row r="40128" spans="1:10" x14ac:dyDescent="0.25">
      <c r="A40128" t="s">
        <v>412</v>
      </c>
      <c r="B40128" s="1" t="str">
        <f>HYPERLINK("http://kfchk.com","kfchk.com")</f>
        <v>kfchk.com</v>
      </c>
      <c r="C40128" t="s">
        <v>433</v>
      </c>
      <c r="E40128">
        <v>829102</v>
      </c>
      <c r="F40128">
        <v>2.9477870076304099E-8</v>
      </c>
      <c r="G40128">
        <v>1748497</v>
      </c>
      <c r="H40128">
        <v>14545324</v>
      </c>
      <c r="I40128">
        <v>769409</v>
      </c>
      <c r="J40128">
        <v>4</v>
      </c>
    </row>
    <row r="40129" spans="1:10" x14ac:dyDescent="0.25">
      <c r="A40129" t="s">
        <v>412</v>
      </c>
      <c r="B40129" s="1" t="str">
        <f>HYPERLINK("http://kfcindonesia.com","kfcindonesia.com")</f>
        <v>kfcindonesia.com</v>
      </c>
      <c r="C40129" t="s">
        <v>433</v>
      </c>
      <c r="F40129">
        <v>1.18661683691005E-8</v>
      </c>
      <c r="G40129">
        <v>5260561</v>
      </c>
      <c r="H40129">
        <v>14415004</v>
      </c>
      <c r="I40129">
        <v>1119456</v>
      </c>
      <c r="J40129">
        <v>4</v>
      </c>
    </row>
    <row r="40130" spans="1:10" x14ac:dyDescent="0.25">
      <c r="A40130" t="s">
        <v>412</v>
      </c>
      <c r="B40130" s="1" t="str">
        <f>HYPERLINK("http://kfcjamaica.com","kfcjamaica.com")</f>
        <v>kfcjamaica.com</v>
      </c>
      <c r="C40130" t="s">
        <v>433</v>
      </c>
      <c r="F40130">
        <v>5.22473002378555E-9</v>
      </c>
      <c r="G40130">
        <v>24666787</v>
      </c>
      <c r="H40130">
        <v>12509916</v>
      </c>
      <c r="I40130">
        <v>17247519</v>
      </c>
      <c r="J40130">
        <v>4</v>
      </c>
    </row>
    <row r="40131" spans="1:10" x14ac:dyDescent="0.25">
      <c r="A40131" t="s">
        <v>412</v>
      </c>
      <c r="B40131" s="1" t="str">
        <f>HYPERLINK("http://kfckorea.com","kfckorea.com")</f>
        <v>kfckorea.com</v>
      </c>
      <c r="C40131" t="s">
        <v>433</v>
      </c>
      <c r="F40131">
        <v>4.6036702040869798E-8</v>
      </c>
      <c r="G40131">
        <v>1019561</v>
      </c>
      <c r="H40131">
        <v>14443876</v>
      </c>
      <c r="I40131">
        <v>1059167</v>
      </c>
      <c r="J40131">
        <v>4</v>
      </c>
    </row>
    <row r="40132" spans="1:10" x14ac:dyDescent="0.25">
      <c r="A40132" t="s">
        <v>412</v>
      </c>
      <c r="B40132" s="1" t="str">
        <f>HYPERLINK("http://kfcku.com","kfcku.com")</f>
        <v>kfcku.com</v>
      </c>
      <c r="C40132" t="s">
        <v>433</v>
      </c>
      <c r="E40132">
        <v>895372</v>
      </c>
      <c r="F40132">
        <v>2.9789819792062199E-8</v>
      </c>
      <c r="G40132">
        <v>1727582</v>
      </c>
      <c r="H40132">
        <v>14311195</v>
      </c>
      <c r="I40132">
        <v>1341039</v>
      </c>
      <c r="J40132">
        <v>4</v>
      </c>
    </row>
    <row r="40133" spans="1:10" x14ac:dyDescent="0.25">
      <c r="A40133" t="s">
        <v>412</v>
      </c>
      <c r="B40133" s="1" t="str">
        <f>HYPERLINK("http://kfclesotho.com","kfclesotho.com")</f>
        <v>kfclesotho.com</v>
      </c>
      <c r="C40133" t="s">
        <v>433</v>
      </c>
      <c r="J40133">
        <v>4</v>
      </c>
    </row>
    <row r="40134" spans="1:10" x14ac:dyDescent="0.25">
      <c r="A40134" t="s">
        <v>412</v>
      </c>
      <c r="B40134" s="1" t="str">
        <f>HYPERLINK("http://kfcslu.com","kfcslu.com")</f>
        <v>kfcslu.com</v>
      </c>
      <c r="C40134" t="s">
        <v>433</v>
      </c>
      <c r="F40134">
        <v>5.9004790794196996E-9</v>
      </c>
      <c r="G40134">
        <v>17356101</v>
      </c>
      <c r="H40134">
        <v>11206113</v>
      </c>
      <c r="I40134">
        <v>31193931</v>
      </c>
      <c r="J40134">
        <v>4</v>
      </c>
    </row>
    <row r="40135" spans="1:10" x14ac:dyDescent="0.25">
      <c r="A40135" t="s">
        <v>412</v>
      </c>
      <c r="B40135" s="1" t="str">
        <f>HYPERLINK("http://kfcturkiye.com","kfcturkiye.com")</f>
        <v>kfcturkiye.com</v>
      </c>
      <c r="C40135" t="s">
        <v>433</v>
      </c>
      <c r="E40135">
        <v>489977</v>
      </c>
      <c r="F40135">
        <v>8.4099299389454496E-9</v>
      </c>
      <c r="G40135">
        <v>9022483</v>
      </c>
      <c r="H40135">
        <v>14254465</v>
      </c>
      <c r="I40135">
        <v>1435935</v>
      </c>
      <c r="J40135">
        <v>4</v>
      </c>
    </row>
    <row r="40136" spans="1:10" x14ac:dyDescent="0.25">
      <c r="A40136" t="s">
        <v>412</v>
      </c>
      <c r="B40136" s="1" t="str">
        <f>HYPERLINK("http://littlecaesarsburlingame.com","littlecaesarsburlingame.com")</f>
        <v>littlecaesarsburlingame.com</v>
      </c>
      <c r="C40136" t="s">
        <v>433</v>
      </c>
      <c r="J40136">
        <v>3</v>
      </c>
    </row>
    <row r="40137" spans="1:10" x14ac:dyDescent="0.25">
      <c r="A40137" t="s">
        <v>412</v>
      </c>
      <c r="B40137" s="1" t="str">
        <f>HYPERLINK("http://ordermykfc.com","ordermykfc.com")</f>
        <v>ordermykfc.com</v>
      </c>
      <c r="C40137" t="s">
        <v>433</v>
      </c>
      <c r="J40137">
        <v>4</v>
      </c>
    </row>
    <row r="40138" spans="1:10" x14ac:dyDescent="0.25">
      <c r="A40138" t="s">
        <v>412</v>
      </c>
      <c r="B40138" s="1" t="str">
        <f>HYPERLINK("http://phorders.com","phorders.com")</f>
        <v>phorders.com</v>
      </c>
      <c r="C40138" t="s">
        <v>433</v>
      </c>
      <c r="J40138">
        <v>3</v>
      </c>
    </row>
    <row r="40139" spans="1:10" x14ac:dyDescent="0.25">
      <c r="A40139" t="s">
        <v>412</v>
      </c>
      <c r="B40139" s="1" t="str">
        <f>HYPERLINK("http://pizzahut.com","pizzahut.com")</f>
        <v>pizzahut.com</v>
      </c>
      <c r="C40139" t="s">
        <v>433</v>
      </c>
      <c r="E40139">
        <v>11381</v>
      </c>
      <c r="F40139">
        <v>1.76944117849915E-6</v>
      </c>
      <c r="G40139">
        <v>22549</v>
      </c>
      <c r="H40139">
        <v>17677146</v>
      </c>
      <c r="I40139">
        <v>7790</v>
      </c>
      <c r="J40139">
        <v>2</v>
      </c>
    </row>
    <row r="40140" spans="1:10" x14ac:dyDescent="0.25">
      <c r="A40140" t="s">
        <v>412</v>
      </c>
      <c r="B40140" s="1" t="str">
        <f>HYPERLINK("http://pizzahut-tt.com","pizzahut-tt.com")</f>
        <v>pizzahut-tt.com</v>
      </c>
      <c r="C40140" t="s">
        <v>433</v>
      </c>
      <c r="F40140">
        <v>5.7660188646945496E-9</v>
      </c>
      <c r="G40140">
        <v>18358989</v>
      </c>
      <c r="H40140">
        <v>12986940</v>
      </c>
      <c r="I40140">
        <v>12887482</v>
      </c>
      <c r="J40140">
        <v>3</v>
      </c>
    </row>
    <row r="40141" spans="1:10" x14ac:dyDescent="0.25">
      <c r="A40141" t="s">
        <v>412</v>
      </c>
      <c r="B40141" s="1" t="str">
        <f>HYPERLINK("http://pizzahutcr.com","pizzahutcr.com")</f>
        <v>pizzahutcr.com</v>
      </c>
      <c r="C40141" t="s">
        <v>433</v>
      </c>
      <c r="F40141">
        <v>9.0845253798241608E-9</v>
      </c>
      <c r="G40141">
        <v>7868375</v>
      </c>
      <c r="H40141">
        <v>14074077</v>
      </c>
      <c r="I40141">
        <v>2957571</v>
      </c>
      <c r="J40141">
        <v>3</v>
      </c>
    </row>
    <row r="40142" spans="1:10" x14ac:dyDescent="0.25">
      <c r="A40142" t="s">
        <v>412</v>
      </c>
      <c r="B40142" s="1" t="str">
        <f>HYPERLINK("http://pizzahutdeliveryni.com","pizzahutdeliveryni.com")</f>
        <v>pizzahutdeliveryni.com</v>
      </c>
      <c r="C40142" t="s">
        <v>433</v>
      </c>
      <c r="F40142">
        <v>4.83058524756523E-9</v>
      </c>
      <c r="G40142">
        <v>34820446</v>
      </c>
      <c r="H40142">
        <v>10463161</v>
      </c>
      <c r="I40142">
        <v>51611540</v>
      </c>
      <c r="J40142">
        <v>5</v>
      </c>
    </row>
    <row r="40143" spans="1:10" x14ac:dyDescent="0.25">
      <c r="A40143" t="s">
        <v>412</v>
      </c>
      <c r="B40143" s="1" t="str">
        <f>HYPERLINK("http://pizzahutguam.com","pizzahutguam.com")</f>
        <v>pizzahutguam.com</v>
      </c>
      <c r="C40143" t="s">
        <v>433</v>
      </c>
      <c r="J40143">
        <v>3</v>
      </c>
    </row>
    <row r="40144" spans="1:10" x14ac:dyDescent="0.25">
      <c r="A40144" t="s">
        <v>412</v>
      </c>
      <c r="B40144" s="1" t="str">
        <f>HYPERLINK("http://pizzahutpr.com","pizzahutpr.com")</f>
        <v>pizzahutpr.com</v>
      </c>
      <c r="C40144" t="s">
        <v>433</v>
      </c>
      <c r="F40144">
        <v>5.6675454681948903E-9</v>
      </c>
      <c r="G40144">
        <v>19237917</v>
      </c>
      <c r="H40144">
        <v>14072684</v>
      </c>
      <c r="I40144">
        <v>3057299</v>
      </c>
      <c r="J40144">
        <v>3</v>
      </c>
    </row>
    <row r="40145" spans="1:10" x14ac:dyDescent="0.25">
      <c r="A40145" t="s">
        <v>412</v>
      </c>
      <c r="B40145" s="1" t="str">
        <f>HYPERLINK("http://pizzahutrd.com","pizzahutrd.com")</f>
        <v>pizzahutrd.com</v>
      </c>
      <c r="C40145" t="s">
        <v>433</v>
      </c>
      <c r="F40145">
        <v>5.9176425982837903E-9</v>
      </c>
      <c r="G40145">
        <v>17236145</v>
      </c>
      <c r="H40145">
        <v>13764081</v>
      </c>
      <c r="I40145">
        <v>7392128</v>
      </c>
      <c r="J40145">
        <v>3</v>
      </c>
    </row>
    <row r="40146" spans="1:10" x14ac:dyDescent="0.25">
      <c r="A40146" t="s">
        <v>412</v>
      </c>
      <c r="B40146" s="1" t="str">
        <f>HYPERLINK("http://prixfastfood.com","prixfastfood.com")</f>
        <v>prixfastfood.com</v>
      </c>
      <c r="C40146" t="s">
        <v>433</v>
      </c>
      <c r="F40146">
        <v>4.4557287386817802E-9</v>
      </c>
      <c r="G40146">
        <v>69226349</v>
      </c>
      <c r="H40146">
        <v>10440830</v>
      </c>
      <c r="I40146">
        <v>52416434</v>
      </c>
      <c r="J40146">
        <v>4</v>
      </c>
    </row>
    <row r="40147" spans="1:10" x14ac:dyDescent="0.25">
      <c r="A40147" t="s">
        <v>412</v>
      </c>
      <c r="B40147" s="1" t="str">
        <f>HYPERLINK("http://swampmusic.com","swampmusic.com")</f>
        <v>swampmusic.com</v>
      </c>
      <c r="C40147" t="s">
        <v>433</v>
      </c>
      <c r="F40147">
        <v>1.4535004951812799E-8</v>
      </c>
      <c r="G40147">
        <v>4000608</v>
      </c>
      <c r="H40147">
        <v>14259089</v>
      </c>
      <c r="I40147">
        <v>1423424</v>
      </c>
      <c r="J40147">
        <v>3</v>
      </c>
    </row>
    <row r="40148" spans="1:10" x14ac:dyDescent="0.25">
      <c r="A40148" t="s">
        <v>412</v>
      </c>
      <c r="B40148" s="1" t="str">
        <f>HYPERLINK("http://taco bell.com","taco bell.com")</f>
        <v>taco bell.com</v>
      </c>
      <c r="C40148" t="s">
        <v>433</v>
      </c>
      <c r="J40148">
        <v>4</v>
      </c>
    </row>
    <row r="40149" spans="1:10" x14ac:dyDescent="0.25">
      <c r="A40149" t="s">
        <v>412</v>
      </c>
      <c r="B40149" s="1" t="str">
        <f>HYPERLINK("http://tacobell.com","tacobell.com")</f>
        <v>tacobell.com</v>
      </c>
      <c r="C40149" t="s">
        <v>433</v>
      </c>
      <c r="E40149">
        <v>14848</v>
      </c>
      <c r="F40149">
        <v>1.83021423356931E-6</v>
      </c>
      <c r="G40149">
        <v>20644</v>
      </c>
      <c r="H40149">
        <v>17632838</v>
      </c>
      <c r="I40149">
        <v>8798</v>
      </c>
      <c r="J40149">
        <v>3</v>
      </c>
    </row>
    <row r="40150" spans="1:10" x14ac:dyDescent="0.25">
      <c r="A40150" t="s">
        <v>412</v>
      </c>
      <c r="B40150" s="1" t="str">
        <f>HYPERLINK("http://tictuk.com","tictuk.com")</f>
        <v>tictuk.com</v>
      </c>
      <c r="C40150" t="s">
        <v>433</v>
      </c>
      <c r="E40150">
        <v>967176</v>
      </c>
      <c r="F40150">
        <v>2.79302278480999E-8</v>
      </c>
      <c r="G40150">
        <v>1841710</v>
      </c>
      <c r="H40150">
        <v>11394659</v>
      </c>
      <c r="I40150">
        <v>30240155</v>
      </c>
      <c r="J40150">
        <v>3</v>
      </c>
    </row>
    <row r="40151" spans="1:10" x14ac:dyDescent="0.25">
      <c r="A40151" t="s">
        <v>412</v>
      </c>
      <c r="B40151" s="1" t="str">
        <f>HYPERLINK("http://viemenu.com","viemenu.com")</f>
        <v>viemenu.com</v>
      </c>
      <c r="C40151" t="s">
        <v>433</v>
      </c>
      <c r="J40151">
        <v>4</v>
      </c>
    </row>
    <row r="40152" spans="1:10" x14ac:dyDescent="0.25">
      <c r="A40152" t="s">
        <v>412</v>
      </c>
      <c r="B40152" s="1" t="str">
        <f>HYPERLINK("http://wingstreet.com","wingstreet.com")</f>
        <v>wingstreet.com</v>
      </c>
      <c r="C40152" t="s">
        <v>433</v>
      </c>
      <c r="F40152">
        <v>7.5308792738773593E-9</v>
      </c>
      <c r="G40152">
        <v>10945844</v>
      </c>
      <c r="H40152">
        <v>14075832</v>
      </c>
      <c r="I40152">
        <v>2899823</v>
      </c>
      <c r="J40152">
        <v>3</v>
      </c>
    </row>
    <row r="40153" spans="1:10" x14ac:dyDescent="0.25">
      <c r="A40153" t="s">
        <v>412</v>
      </c>
      <c r="B40153" s="1" t="str">
        <f>HYPERLINK("http://yum.com","yum.com")</f>
        <v>yum.com</v>
      </c>
      <c r="C40153" t="s">
        <v>433</v>
      </c>
      <c r="E40153">
        <v>36545</v>
      </c>
      <c r="F40153">
        <v>1.1705435162031E-6</v>
      </c>
      <c r="G40153">
        <v>33188</v>
      </c>
      <c r="H40153">
        <v>17333976</v>
      </c>
      <c r="I40153">
        <v>24578</v>
      </c>
      <c r="J40153">
        <v>1</v>
      </c>
    </row>
    <row r="40154" spans="1:10" x14ac:dyDescent="0.25">
      <c r="A40154" t="s">
        <v>412</v>
      </c>
      <c r="B40154" s="1" t="str">
        <f>HYPERLINK("http://tacobell.co.cr","tacobell.co.cr")</f>
        <v>tacobell.co.cr</v>
      </c>
      <c r="C40154" t="s">
        <v>434</v>
      </c>
      <c r="D40154" t="s">
        <v>813</v>
      </c>
      <c r="F40154">
        <v>1.40261966924427E-8</v>
      </c>
      <c r="G40154">
        <v>4192856</v>
      </c>
      <c r="H40154">
        <v>13763860</v>
      </c>
      <c r="I40154">
        <v>7548017</v>
      </c>
      <c r="J40154">
        <v>4</v>
      </c>
    </row>
    <row r="40155" spans="1:10" x14ac:dyDescent="0.25">
      <c r="A40155" t="s">
        <v>412</v>
      </c>
      <c r="B40155" s="1" t="str">
        <f>HYPERLINK("http://kfc.cw","kfc.cw")</f>
        <v>kfc.cw</v>
      </c>
      <c r="C40155" t="s">
        <v>689</v>
      </c>
      <c r="D40155" t="s">
        <v>1006</v>
      </c>
      <c r="F40155">
        <v>5.2589069088340998E-9</v>
      </c>
      <c r="G40155">
        <v>24120008</v>
      </c>
      <c r="H40155">
        <v>10705257</v>
      </c>
      <c r="I40155">
        <v>42234686</v>
      </c>
      <c r="J40155">
        <v>4</v>
      </c>
    </row>
    <row r="40156" spans="1:10" x14ac:dyDescent="0.25">
      <c r="A40156" t="s">
        <v>412</v>
      </c>
      <c r="B40156" s="1" t="str">
        <f>HYPERLINK("http://kfc.com.cy","kfc.com.cy")</f>
        <v>kfc.com.cy</v>
      </c>
      <c r="C40156" t="s">
        <v>610</v>
      </c>
      <c r="D40156" t="s">
        <v>937</v>
      </c>
      <c r="F40156">
        <v>5.6953379799588904E-9</v>
      </c>
      <c r="G40156">
        <v>19001254</v>
      </c>
      <c r="H40156">
        <v>10770526</v>
      </c>
      <c r="I40156">
        <v>39224003</v>
      </c>
      <c r="J40156">
        <v>4</v>
      </c>
    </row>
    <row r="40157" spans="1:10" x14ac:dyDescent="0.25">
      <c r="A40157" t="s">
        <v>412</v>
      </c>
      <c r="B40157" s="1" t="str">
        <f>HYPERLINK("http://pizzahut.com.cy","pizzahut.com.cy")</f>
        <v>pizzahut.com.cy</v>
      </c>
      <c r="C40157" t="s">
        <v>610</v>
      </c>
      <c r="D40157" t="s">
        <v>937</v>
      </c>
      <c r="F40157">
        <v>1.13480613650625E-8</v>
      </c>
      <c r="G40157">
        <v>5609544</v>
      </c>
      <c r="H40157">
        <v>12926034</v>
      </c>
      <c r="I40157">
        <v>13389296</v>
      </c>
      <c r="J40157">
        <v>3</v>
      </c>
    </row>
    <row r="40158" spans="1:10" x14ac:dyDescent="0.25">
      <c r="A40158" t="s">
        <v>412</v>
      </c>
      <c r="B40158" s="1" t="str">
        <f>HYPERLINK("http://tacobell.com.cy","tacobell.com.cy")</f>
        <v>tacobell.com.cy</v>
      </c>
      <c r="C40158" t="s">
        <v>610</v>
      </c>
      <c r="D40158" t="s">
        <v>937</v>
      </c>
      <c r="F40158">
        <v>1.4329720007959E-8</v>
      </c>
      <c r="G40158">
        <v>4081620</v>
      </c>
      <c r="H40158">
        <v>12339017</v>
      </c>
      <c r="I40158">
        <v>20028682</v>
      </c>
      <c r="J40158">
        <v>4</v>
      </c>
    </row>
    <row r="40159" spans="1:10" x14ac:dyDescent="0.25">
      <c r="A40159" t="s">
        <v>412</v>
      </c>
      <c r="B40159" s="1" t="str">
        <f>HYPERLINK("http://kfc.cz","kfc.cz")</f>
        <v>kfc.cz</v>
      </c>
      <c r="C40159" t="s">
        <v>435</v>
      </c>
      <c r="D40159" t="s">
        <v>814</v>
      </c>
      <c r="F40159">
        <v>1.00199594467889E-7</v>
      </c>
      <c r="G40159">
        <v>401479</v>
      </c>
      <c r="H40159">
        <v>14085820</v>
      </c>
      <c r="I40159">
        <v>2775062</v>
      </c>
      <c r="J40159">
        <v>4</v>
      </c>
    </row>
    <row r="40160" spans="1:10" x14ac:dyDescent="0.25">
      <c r="A40160" t="s">
        <v>412</v>
      </c>
      <c r="B40160" s="1" t="str">
        <f>HYPERLINK("http://pizzahut.cz","pizzahut.cz")</f>
        <v>pizzahut.cz</v>
      </c>
      <c r="C40160" t="s">
        <v>435</v>
      </c>
      <c r="D40160" t="s">
        <v>814</v>
      </c>
      <c r="F40160">
        <v>1.7513747967458701E-8</v>
      </c>
      <c r="G40160">
        <v>3142925</v>
      </c>
      <c r="H40160">
        <v>12364371</v>
      </c>
      <c r="I40160">
        <v>19509446</v>
      </c>
      <c r="J40160">
        <v>3</v>
      </c>
    </row>
    <row r="40161" spans="1:10" x14ac:dyDescent="0.25">
      <c r="A40161" t="s">
        <v>412</v>
      </c>
      <c r="B40161" s="1" t="str">
        <f>HYPERLINK("http://dls-restaurants.de","dls-restaurants.de")</f>
        <v>dls-restaurants.de</v>
      </c>
      <c r="C40161" t="s">
        <v>436</v>
      </c>
      <c r="D40161" t="s">
        <v>815</v>
      </c>
      <c r="J40161">
        <v>3</v>
      </c>
    </row>
    <row r="40162" spans="1:10" x14ac:dyDescent="0.25">
      <c r="A40162" t="s">
        <v>412</v>
      </c>
      <c r="B40162" s="1" t="str">
        <f>HYPERLINK("http://ft-system-gastro.de","ft-system-gastro.de")</f>
        <v>ft-system-gastro.de</v>
      </c>
      <c r="C40162" t="s">
        <v>436</v>
      </c>
      <c r="D40162" t="s">
        <v>815</v>
      </c>
      <c r="J40162">
        <v>4</v>
      </c>
    </row>
    <row r="40163" spans="1:10" x14ac:dyDescent="0.25">
      <c r="A40163" t="s">
        <v>412</v>
      </c>
      <c r="B40163" s="1" t="str">
        <f>HYPERLINK("http://kfc.de","kfc.de")</f>
        <v>kfc.de</v>
      </c>
      <c r="C40163" t="s">
        <v>436</v>
      </c>
      <c r="D40163" t="s">
        <v>815</v>
      </c>
      <c r="E40163">
        <v>404837</v>
      </c>
      <c r="F40163">
        <v>7.9614242020954502E-8</v>
      </c>
      <c r="G40163">
        <v>524743</v>
      </c>
      <c r="H40163">
        <v>14764873</v>
      </c>
      <c r="I40163">
        <v>559297</v>
      </c>
      <c r="J40163">
        <v>4</v>
      </c>
    </row>
    <row r="40164" spans="1:10" x14ac:dyDescent="0.25">
      <c r="A40164" t="s">
        <v>412</v>
      </c>
      <c r="B40164" s="1" t="str">
        <f>HYPERLINK("http://pizzahut.de","pizzahut.de")</f>
        <v>pizzahut.de</v>
      </c>
      <c r="C40164" t="s">
        <v>436</v>
      </c>
      <c r="D40164" t="s">
        <v>815</v>
      </c>
      <c r="E40164">
        <v>744307</v>
      </c>
      <c r="F40164">
        <v>6.6502618413280703E-8</v>
      </c>
      <c r="G40164">
        <v>644226</v>
      </c>
      <c r="H40164">
        <v>14825974</v>
      </c>
      <c r="I40164">
        <v>510504</v>
      </c>
      <c r="J40164">
        <v>3</v>
      </c>
    </row>
    <row r="40165" spans="1:10" x14ac:dyDescent="0.25">
      <c r="A40165" t="s">
        <v>412</v>
      </c>
      <c r="B40165" s="1" t="str">
        <f>HYPERLINK("http://pizzahut-info.de","pizzahut-info.de")</f>
        <v>pizzahut-info.de</v>
      </c>
      <c r="C40165" t="s">
        <v>436</v>
      </c>
      <c r="D40165" t="s">
        <v>815</v>
      </c>
      <c r="F40165">
        <v>4.66112690269234E-9</v>
      </c>
      <c r="G40165">
        <v>43447609</v>
      </c>
      <c r="H40165">
        <v>10736442</v>
      </c>
      <c r="I40165">
        <v>40601638</v>
      </c>
      <c r="J40165">
        <v>3</v>
      </c>
    </row>
    <row r="40166" spans="1:10" x14ac:dyDescent="0.25">
      <c r="A40166" t="s">
        <v>412</v>
      </c>
      <c r="B40166" s="1" t="str">
        <f>HYPERLINK("http://pizzahut-kassel.de","pizzahut-kassel.de")</f>
        <v>pizzahut-kassel.de</v>
      </c>
      <c r="C40166" t="s">
        <v>436</v>
      </c>
      <c r="D40166" t="s">
        <v>815</v>
      </c>
      <c r="F40166">
        <v>9.8016298359524492E-9</v>
      </c>
      <c r="G40166">
        <v>6967121</v>
      </c>
      <c r="H40166">
        <v>12743460</v>
      </c>
      <c r="I40166">
        <v>15099745</v>
      </c>
      <c r="J40166">
        <v>3</v>
      </c>
    </row>
    <row r="40167" spans="1:10" x14ac:dyDescent="0.25">
      <c r="A40167" t="s">
        <v>412</v>
      </c>
      <c r="B40167" s="1" t="str">
        <f>HYPERLINK("http://yumrestaurants.de","yumrestaurants.de")</f>
        <v>yumrestaurants.de</v>
      </c>
      <c r="C40167" t="s">
        <v>436</v>
      </c>
      <c r="D40167" t="s">
        <v>815</v>
      </c>
      <c r="J40167">
        <v>3</v>
      </c>
    </row>
    <row r="40168" spans="1:10" x14ac:dyDescent="0.25">
      <c r="A40168" t="s">
        <v>412</v>
      </c>
      <c r="B40168" s="1" t="str">
        <f>HYPERLINK("http://kfc.dk","kfc.dk")</f>
        <v>kfc.dk</v>
      </c>
      <c r="C40168" t="s">
        <v>437</v>
      </c>
      <c r="D40168" t="s">
        <v>816</v>
      </c>
      <c r="F40168">
        <v>6.4141589194142902E-9</v>
      </c>
      <c r="G40168">
        <v>14452150</v>
      </c>
      <c r="H40168">
        <v>14073129</v>
      </c>
      <c r="I40168">
        <v>3015243</v>
      </c>
      <c r="J40168">
        <v>4</v>
      </c>
    </row>
    <row r="40169" spans="1:10" x14ac:dyDescent="0.25">
      <c r="A40169" t="s">
        <v>412</v>
      </c>
      <c r="B40169" s="1" t="str">
        <f>HYPERLINK("http://kfceesti.ee","kfceesti.ee")</f>
        <v>kfceesti.ee</v>
      </c>
      <c r="C40169" t="s">
        <v>441</v>
      </c>
      <c r="D40169" t="s">
        <v>820</v>
      </c>
      <c r="F40169">
        <v>1.8592711884214799E-8</v>
      </c>
      <c r="G40169">
        <v>2908637</v>
      </c>
      <c r="H40169">
        <v>14073038</v>
      </c>
      <c r="I40169">
        <v>3022682</v>
      </c>
      <c r="J40169">
        <v>4</v>
      </c>
    </row>
    <row r="40170" spans="1:10" x14ac:dyDescent="0.25">
      <c r="A40170" t="s">
        <v>412</v>
      </c>
      <c r="B40170" s="1" t="str">
        <f>HYPERLINK("http://kfc.es","kfc.es")</f>
        <v>kfc.es</v>
      </c>
      <c r="C40170" t="s">
        <v>443</v>
      </c>
      <c r="D40170" t="s">
        <v>822</v>
      </c>
      <c r="E40170">
        <v>564606</v>
      </c>
      <c r="F40170">
        <v>4.4912216368042501E-8</v>
      </c>
      <c r="G40170">
        <v>1052233</v>
      </c>
      <c r="H40170">
        <v>14159372</v>
      </c>
      <c r="I40170">
        <v>1841728</v>
      </c>
      <c r="J40170">
        <v>4</v>
      </c>
    </row>
    <row r="40171" spans="1:10" x14ac:dyDescent="0.25">
      <c r="A40171" t="s">
        <v>412</v>
      </c>
      <c r="B40171" s="1" t="str">
        <f>HYPERLINK("http://pizzahut.es","pizzahut.es")</f>
        <v>pizzahut.es</v>
      </c>
      <c r="C40171" t="s">
        <v>443</v>
      </c>
      <c r="D40171" t="s">
        <v>822</v>
      </c>
      <c r="F40171">
        <v>1.37187764522769E-8</v>
      </c>
      <c r="G40171">
        <v>4313655</v>
      </c>
      <c r="H40171">
        <v>14494685</v>
      </c>
      <c r="I40171">
        <v>880261</v>
      </c>
      <c r="J40171">
        <v>3</v>
      </c>
    </row>
    <row r="40172" spans="1:10" x14ac:dyDescent="0.25">
      <c r="A40172" t="s">
        <v>412</v>
      </c>
      <c r="B40172" s="1" t="str">
        <f>HYPERLINK("http://tacobell.es","tacobell.es")</f>
        <v>tacobell.es</v>
      </c>
      <c r="C40172" t="s">
        <v>443</v>
      </c>
      <c r="D40172" t="s">
        <v>822</v>
      </c>
      <c r="E40172">
        <v>990904</v>
      </c>
      <c r="F40172">
        <v>5.0595542223982998E-8</v>
      </c>
      <c r="G40172">
        <v>907529</v>
      </c>
      <c r="H40172">
        <v>15092239</v>
      </c>
      <c r="I40172">
        <v>407692</v>
      </c>
      <c r="J40172">
        <v>4</v>
      </c>
    </row>
    <row r="40173" spans="1:10" x14ac:dyDescent="0.25">
      <c r="A40173" t="s">
        <v>412</v>
      </c>
      <c r="B40173" s="1" t="str">
        <f>HYPERLINK("http://kfc.fi","kfc.fi")</f>
        <v>kfc.fi</v>
      </c>
      <c r="C40173" t="s">
        <v>445</v>
      </c>
      <c r="D40173" t="s">
        <v>823</v>
      </c>
      <c r="F40173">
        <v>9.1756039614638606E-9</v>
      </c>
      <c r="G40173">
        <v>7742707</v>
      </c>
      <c r="H40173">
        <v>14165227</v>
      </c>
      <c r="I40173">
        <v>1822482</v>
      </c>
      <c r="J40173">
        <v>2</v>
      </c>
    </row>
    <row r="40174" spans="1:10" x14ac:dyDescent="0.25">
      <c r="A40174" t="s">
        <v>412</v>
      </c>
      <c r="B40174" s="1" t="str">
        <f>HYPERLINK("http://pizzahut.fi","pizzahut.fi")</f>
        <v>pizzahut.fi</v>
      </c>
      <c r="C40174" t="s">
        <v>445</v>
      </c>
      <c r="D40174" t="s">
        <v>823</v>
      </c>
      <c r="F40174">
        <v>9.5924108389995999E-9</v>
      </c>
      <c r="G40174">
        <v>7213727</v>
      </c>
      <c r="H40174">
        <v>14236998</v>
      </c>
      <c r="I40174">
        <v>1563013</v>
      </c>
      <c r="J40174">
        <v>3</v>
      </c>
    </row>
    <row r="40175" spans="1:10" x14ac:dyDescent="0.25">
      <c r="A40175" t="s">
        <v>412</v>
      </c>
      <c r="B40175" s="1" t="str">
        <f>HYPERLINK("http://tacobel.fi","tacobel.fi")</f>
        <v>tacobel.fi</v>
      </c>
      <c r="C40175" t="s">
        <v>445</v>
      </c>
      <c r="D40175" t="s">
        <v>823</v>
      </c>
      <c r="J40175">
        <v>4</v>
      </c>
    </row>
    <row r="40176" spans="1:10" x14ac:dyDescent="0.25">
      <c r="A40176" t="s">
        <v>412</v>
      </c>
      <c r="B40176" s="1" t="str">
        <f>HYPERLINK("http://tacobell.fi","tacobell.fi")</f>
        <v>tacobell.fi</v>
      </c>
      <c r="C40176" t="s">
        <v>445</v>
      </c>
      <c r="D40176" t="s">
        <v>823</v>
      </c>
      <c r="F40176">
        <v>2.3213715880017598E-8</v>
      </c>
      <c r="G40176">
        <v>2248040</v>
      </c>
      <c r="H40176">
        <v>14417943</v>
      </c>
      <c r="I40176">
        <v>1096116</v>
      </c>
      <c r="J40176">
        <v>4</v>
      </c>
    </row>
    <row r="40177" spans="1:10" x14ac:dyDescent="0.25">
      <c r="A40177" t="s">
        <v>412</v>
      </c>
      <c r="B40177" s="1" t="str">
        <f>HYPERLINK("http://wingstreet.fi","wingstreet.fi")</f>
        <v>wingstreet.fi</v>
      </c>
      <c r="C40177" t="s">
        <v>445</v>
      </c>
      <c r="D40177" t="s">
        <v>823</v>
      </c>
      <c r="J40177">
        <v>5</v>
      </c>
    </row>
    <row r="40178" spans="1:10" x14ac:dyDescent="0.25">
      <c r="A40178" t="s">
        <v>412</v>
      </c>
      <c r="B40178" s="1" t="str">
        <f>HYPERLINK("http://kfc.fr","kfc.fr")</f>
        <v>kfc.fr</v>
      </c>
      <c r="C40178" t="s">
        <v>446</v>
      </c>
      <c r="D40178" t="s">
        <v>824</v>
      </c>
      <c r="E40178">
        <v>626373</v>
      </c>
      <c r="F40178">
        <v>8.8708754937871101E-8</v>
      </c>
      <c r="G40178">
        <v>461160</v>
      </c>
      <c r="H40178">
        <v>14453274</v>
      </c>
      <c r="I40178">
        <v>1051246</v>
      </c>
      <c r="J40178">
        <v>3</v>
      </c>
    </row>
    <row r="40179" spans="1:10" x14ac:dyDescent="0.25">
      <c r="A40179" t="s">
        <v>412</v>
      </c>
      <c r="B40179" s="1" t="str">
        <f>HYPERLINK("http://pizzahut.fr","pizzahut.fr")</f>
        <v>pizzahut.fr</v>
      </c>
      <c r="C40179" t="s">
        <v>446</v>
      </c>
      <c r="D40179" t="s">
        <v>824</v>
      </c>
      <c r="E40179">
        <v>776802</v>
      </c>
      <c r="F40179">
        <v>4.2097088493151103E-8</v>
      </c>
      <c r="G40179">
        <v>1161127</v>
      </c>
      <c r="H40179">
        <v>14264490</v>
      </c>
      <c r="I40179">
        <v>1410578</v>
      </c>
      <c r="J40179">
        <v>3</v>
      </c>
    </row>
    <row r="40180" spans="1:10" x14ac:dyDescent="0.25">
      <c r="A40180" t="s">
        <v>412</v>
      </c>
      <c r="B40180" s="1" t="str">
        <f>HYPERLINK("http://kfc.gr","kfc.gr")</f>
        <v>kfc.gr</v>
      </c>
      <c r="C40180" t="s">
        <v>447</v>
      </c>
      <c r="D40180" t="s">
        <v>825</v>
      </c>
      <c r="F40180">
        <v>5.04088436954679E-8</v>
      </c>
      <c r="G40180">
        <v>911770</v>
      </c>
      <c r="H40180">
        <v>16971344</v>
      </c>
      <c r="I40180">
        <v>102348</v>
      </c>
      <c r="J40180">
        <v>4</v>
      </c>
    </row>
    <row r="40181" spans="1:10" x14ac:dyDescent="0.25">
      <c r="A40181" t="s">
        <v>412</v>
      </c>
      <c r="B40181" s="1" t="str">
        <f>HYPERLINK("http://pizzahut.com.hk","pizzahut.com.hk")</f>
        <v>pizzahut.com.hk</v>
      </c>
      <c r="C40181" t="s">
        <v>450</v>
      </c>
      <c r="D40181" t="s">
        <v>827</v>
      </c>
      <c r="E40181">
        <v>364360</v>
      </c>
      <c r="F40181">
        <v>7.01032849284051E-8</v>
      </c>
      <c r="G40181">
        <v>604356</v>
      </c>
      <c r="H40181">
        <v>16961202</v>
      </c>
      <c r="I40181">
        <v>105467</v>
      </c>
      <c r="J40181">
        <v>3</v>
      </c>
    </row>
    <row r="40182" spans="1:10" x14ac:dyDescent="0.25">
      <c r="A40182" t="s">
        <v>412</v>
      </c>
      <c r="B40182" s="1" t="str">
        <f>HYPERLINK("http://pizzahut.hn","pizzahut.hn")</f>
        <v>pizzahut.hn</v>
      </c>
      <c r="C40182" t="s">
        <v>451</v>
      </c>
      <c r="D40182" t="s">
        <v>828</v>
      </c>
      <c r="F40182">
        <v>4.5063779720181298E-9</v>
      </c>
      <c r="G40182">
        <v>58013432</v>
      </c>
      <c r="H40182">
        <v>10729554</v>
      </c>
      <c r="I40182">
        <v>40974492</v>
      </c>
      <c r="J40182">
        <v>3</v>
      </c>
    </row>
    <row r="40183" spans="1:10" x14ac:dyDescent="0.25">
      <c r="A40183" t="s">
        <v>412</v>
      </c>
      <c r="B40183" s="1" t="str">
        <f>HYPERLINK("http://kfc.hr","kfc.hr")</f>
        <v>kfc.hr</v>
      </c>
      <c r="C40183" t="s">
        <v>452</v>
      </c>
      <c r="D40183" t="s">
        <v>829</v>
      </c>
      <c r="F40183">
        <v>6.2752772880739099E-9</v>
      </c>
      <c r="G40183">
        <v>15150083</v>
      </c>
      <c r="H40183">
        <v>12297095</v>
      </c>
      <c r="I40183">
        <v>20923473</v>
      </c>
      <c r="J40183">
        <v>4</v>
      </c>
    </row>
    <row r="40184" spans="1:10" x14ac:dyDescent="0.25">
      <c r="A40184" t="s">
        <v>412</v>
      </c>
      <c r="B40184" s="1" t="str">
        <f>HYPERLINK("http://kfc.hu","kfc.hu")</f>
        <v>kfc.hu</v>
      </c>
      <c r="C40184" t="s">
        <v>453</v>
      </c>
      <c r="D40184" t="s">
        <v>830</v>
      </c>
      <c r="F40184">
        <v>2.33418987069368E-8</v>
      </c>
      <c r="G40184">
        <v>2234551</v>
      </c>
      <c r="H40184">
        <v>14236869</v>
      </c>
      <c r="I40184">
        <v>1567491</v>
      </c>
      <c r="J40184">
        <v>4</v>
      </c>
    </row>
    <row r="40185" spans="1:10" x14ac:dyDescent="0.25">
      <c r="A40185" t="s">
        <v>412</v>
      </c>
      <c r="B40185" s="1" t="str">
        <f>HYPERLINK("http://pizzahut.hu","pizzahut.hu")</f>
        <v>pizzahut.hu</v>
      </c>
      <c r="C40185" t="s">
        <v>453</v>
      </c>
      <c r="D40185" t="s">
        <v>830</v>
      </c>
      <c r="F40185">
        <v>9.8538582813136901E-9</v>
      </c>
      <c r="G40185">
        <v>6909902</v>
      </c>
      <c r="H40185">
        <v>14236128</v>
      </c>
      <c r="I40185">
        <v>1607443</v>
      </c>
      <c r="J40185">
        <v>3</v>
      </c>
    </row>
    <row r="40186" spans="1:10" x14ac:dyDescent="0.25">
      <c r="A40186" t="s">
        <v>412</v>
      </c>
      <c r="B40186" s="1" t="str">
        <f>HYPERLINK("http://phd.co.id","phd.co.id")</f>
        <v>phd.co.id</v>
      </c>
      <c r="C40186" t="s">
        <v>454</v>
      </c>
      <c r="D40186" t="s">
        <v>831</v>
      </c>
      <c r="F40186">
        <v>3.3858260187415901E-8</v>
      </c>
      <c r="G40186">
        <v>1528562</v>
      </c>
      <c r="H40186">
        <v>14614620</v>
      </c>
      <c r="I40186">
        <v>669101</v>
      </c>
      <c r="J40186">
        <v>3</v>
      </c>
    </row>
    <row r="40187" spans="1:10" x14ac:dyDescent="0.25">
      <c r="A40187" t="s">
        <v>412</v>
      </c>
      <c r="B40187" s="1" t="str">
        <f>HYPERLINK("http://pizzahut.co.id","pizzahut.co.id")</f>
        <v>pizzahut.co.id</v>
      </c>
      <c r="C40187" t="s">
        <v>454</v>
      </c>
      <c r="D40187" t="s">
        <v>831</v>
      </c>
      <c r="E40187">
        <v>473168</v>
      </c>
      <c r="F40187">
        <v>6.4838244583959601E-8</v>
      </c>
      <c r="G40187">
        <v>665243</v>
      </c>
      <c r="H40187">
        <v>14256749</v>
      </c>
      <c r="I40187">
        <v>1429658</v>
      </c>
      <c r="J40187">
        <v>3</v>
      </c>
    </row>
    <row r="40188" spans="1:10" x14ac:dyDescent="0.25">
      <c r="A40188" t="s">
        <v>412</v>
      </c>
      <c r="B40188" s="1" t="str">
        <f>HYPERLINK("http://tacobell.co.id","tacobell.co.id")</f>
        <v>tacobell.co.id</v>
      </c>
      <c r="C40188" t="s">
        <v>454</v>
      </c>
      <c r="D40188" t="s">
        <v>831</v>
      </c>
      <c r="F40188">
        <v>1.05399651393677E-8</v>
      </c>
      <c r="G40188">
        <v>6235395</v>
      </c>
      <c r="H40188">
        <v>12366286</v>
      </c>
      <c r="I40188">
        <v>19476617</v>
      </c>
      <c r="J40188">
        <v>4</v>
      </c>
    </row>
    <row r="40189" spans="1:10" x14ac:dyDescent="0.25">
      <c r="A40189" t="s">
        <v>412</v>
      </c>
      <c r="B40189" s="1" t="str">
        <f>HYPERLINK("http://kfc.ie","kfc.ie")</f>
        <v>kfc.ie</v>
      </c>
      <c r="C40189" t="s">
        <v>455</v>
      </c>
      <c r="D40189" t="s">
        <v>832</v>
      </c>
      <c r="F40189">
        <v>6.3544027733385597E-9</v>
      </c>
      <c r="G40189">
        <v>14741092</v>
      </c>
      <c r="H40189">
        <v>12428142</v>
      </c>
      <c r="I40189">
        <v>18329479</v>
      </c>
      <c r="J40189">
        <v>4</v>
      </c>
    </row>
    <row r="40190" spans="1:10" x14ac:dyDescent="0.25">
      <c r="A40190" t="s">
        <v>412</v>
      </c>
      <c r="B40190" s="1" t="str">
        <f>HYPERLINK("http://pizzahutdelivery.ie","pizzahutdelivery.ie")</f>
        <v>pizzahutdelivery.ie</v>
      </c>
      <c r="C40190" t="s">
        <v>455</v>
      </c>
      <c r="D40190" t="s">
        <v>832</v>
      </c>
      <c r="F40190">
        <v>6.6625126058128198E-9</v>
      </c>
      <c r="G40190">
        <v>13439625</v>
      </c>
      <c r="H40190">
        <v>12478254</v>
      </c>
      <c r="I40190">
        <v>17614878</v>
      </c>
      <c r="J40190">
        <v>3</v>
      </c>
    </row>
    <row r="40191" spans="1:10" x14ac:dyDescent="0.25">
      <c r="A40191" t="s">
        <v>412</v>
      </c>
      <c r="B40191" s="1" t="str">
        <f>HYPERLINK("http://pizzahut.co.il","pizzahut.co.il")</f>
        <v>pizzahut.co.il</v>
      </c>
      <c r="C40191" t="s">
        <v>456</v>
      </c>
      <c r="D40191" t="s">
        <v>833</v>
      </c>
      <c r="F40191">
        <v>2.36016018399252E-8</v>
      </c>
      <c r="G40191">
        <v>2203783</v>
      </c>
      <c r="H40191">
        <v>14610960</v>
      </c>
      <c r="I40191">
        <v>676747</v>
      </c>
      <c r="J40191">
        <v>3</v>
      </c>
    </row>
    <row r="40192" spans="1:10" x14ac:dyDescent="0.25">
      <c r="A40192" t="s">
        <v>412</v>
      </c>
      <c r="B40192" s="1" t="str">
        <f>HYPERLINK("http://kfc.co.in","kfc.co.in")</f>
        <v>kfc.co.in</v>
      </c>
      <c r="C40192" t="s">
        <v>457</v>
      </c>
      <c r="D40192" t="s">
        <v>834</v>
      </c>
      <c r="E40192">
        <v>192642</v>
      </c>
      <c r="F40192">
        <v>8.7580737120035402E-8</v>
      </c>
      <c r="G40192">
        <v>468395</v>
      </c>
      <c r="H40192">
        <v>16949126</v>
      </c>
      <c r="I40192">
        <v>108557</v>
      </c>
      <c r="J40192">
        <v>4</v>
      </c>
    </row>
    <row r="40193" spans="1:10" x14ac:dyDescent="0.25">
      <c r="A40193" t="s">
        <v>412</v>
      </c>
      <c r="B40193" s="1" t="str">
        <f>HYPERLINK("http://pizzahut.co.in","pizzahut.co.in")</f>
        <v>pizzahut.co.in</v>
      </c>
      <c r="C40193" t="s">
        <v>457</v>
      </c>
      <c r="D40193" t="s">
        <v>834</v>
      </c>
      <c r="E40193">
        <v>247007</v>
      </c>
      <c r="F40193">
        <v>1.15751297894219E-7</v>
      </c>
      <c r="G40193">
        <v>343660</v>
      </c>
      <c r="H40193">
        <v>17175882</v>
      </c>
      <c r="I40193">
        <v>46413</v>
      </c>
      <c r="J40193">
        <v>3</v>
      </c>
    </row>
    <row r="40194" spans="1:10" x14ac:dyDescent="0.25">
      <c r="A40194" t="s">
        <v>412</v>
      </c>
      <c r="B40194" s="1" t="str">
        <f>HYPERLINK("http://tacobell.co.in","tacobell.co.in")</f>
        <v>tacobell.co.in</v>
      </c>
      <c r="C40194" t="s">
        <v>457</v>
      </c>
      <c r="D40194" t="s">
        <v>834</v>
      </c>
      <c r="F40194">
        <v>4.2845389404272698E-8</v>
      </c>
      <c r="G40194">
        <v>1124951</v>
      </c>
      <c r="H40194">
        <v>13743415</v>
      </c>
      <c r="I40194">
        <v>9426010</v>
      </c>
      <c r="J40194">
        <v>4</v>
      </c>
    </row>
    <row r="40195" spans="1:10" x14ac:dyDescent="0.25">
      <c r="A40195" t="s">
        <v>412</v>
      </c>
      <c r="B40195" s="1" t="str">
        <f>HYPERLINK("http://kfcmenu.info","kfcmenu.info")</f>
        <v>kfcmenu.info</v>
      </c>
      <c r="C40195" t="s">
        <v>458</v>
      </c>
      <c r="F40195">
        <v>4.4602329780676003E-9</v>
      </c>
      <c r="G40195">
        <v>67683301</v>
      </c>
      <c r="H40195">
        <v>10508691</v>
      </c>
      <c r="I40195">
        <v>50111592</v>
      </c>
      <c r="J40195">
        <v>4</v>
      </c>
    </row>
    <row r="40196" spans="1:10" x14ac:dyDescent="0.25">
      <c r="A40196" t="s">
        <v>412</v>
      </c>
      <c r="B40196" s="1" t="str">
        <f>HYPERLINK("http://maac.io","maac.io")</f>
        <v>maac.io</v>
      </c>
      <c r="C40196" t="s">
        <v>518</v>
      </c>
      <c r="E40196">
        <v>527800</v>
      </c>
      <c r="F40196">
        <v>1.8825409892027001E-7</v>
      </c>
      <c r="G40196">
        <v>204673</v>
      </c>
      <c r="H40196">
        <v>13770191</v>
      </c>
      <c r="I40196">
        <v>6740570</v>
      </c>
      <c r="J40196">
        <v>3</v>
      </c>
    </row>
    <row r="40197" spans="1:10" x14ac:dyDescent="0.25">
      <c r="A40197" t="s">
        <v>412</v>
      </c>
      <c r="B40197" s="1" t="str">
        <f>HYPERLINK("http://pizzahut.io","pizzahut.io")</f>
        <v>pizzahut.io</v>
      </c>
      <c r="C40197" t="s">
        <v>518</v>
      </c>
      <c r="E40197">
        <v>425961</v>
      </c>
      <c r="F40197">
        <v>1.8341661061254899E-8</v>
      </c>
      <c r="G40197">
        <v>2959407</v>
      </c>
      <c r="H40197">
        <v>12355168</v>
      </c>
      <c r="I40197">
        <v>19676979</v>
      </c>
      <c r="J40197">
        <v>4</v>
      </c>
    </row>
    <row r="40198" spans="1:10" x14ac:dyDescent="0.25">
      <c r="A40198" t="s">
        <v>412</v>
      </c>
      <c r="B40198" s="1" t="str">
        <f>HYPERLINK("http://kfc.is","kfc.is")</f>
        <v>kfc.is</v>
      </c>
      <c r="C40198" t="s">
        <v>594</v>
      </c>
      <c r="D40198" t="s">
        <v>929</v>
      </c>
      <c r="F40198">
        <v>9.65581071022402E-9</v>
      </c>
      <c r="G40198">
        <v>7133342</v>
      </c>
      <c r="H40198">
        <v>13763647</v>
      </c>
      <c r="I40198">
        <v>7901517</v>
      </c>
      <c r="J40198">
        <v>4</v>
      </c>
    </row>
    <row r="40199" spans="1:10" x14ac:dyDescent="0.25">
      <c r="A40199" t="s">
        <v>412</v>
      </c>
      <c r="B40199" s="1" t="str">
        <f>HYPERLINK("http://kfc.it","kfc.it")</f>
        <v>kfc.it</v>
      </c>
      <c r="C40199" t="s">
        <v>459</v>
      </c>
      <c r="D40199" t="s">
        <v>835</v>
      </c>
      <c r="F40199">
        <v>2.1996375318760999E-7</v>
      </c>
      <c r="G40199">
        <v>171359</v>
      </c>
      <c r="H40199">
        <v>13818521</v>
      </c>
      <c r="I40199">
        <v>6152228</v>
      </c>
      <c r="J40199">
        <v>4</v>
      </c>
    </row>
    <row r="40200" spans="1:10" x14ac:dyDescent="0.25">
      <c r="A40200" t="s">
        <v>412</v>
      </c>
      <c r="B40200" s="1" t="str">
        <f>HYPERLINK("http://kfc.co.jp","kfc.co.jp")</f>
        <v>kfc.co.jp</v>
      </c>
      <c r="C40200" t="s">
        <v>461</v>
      </c>
      <c r="D40200" t="s">
        <v>837</v>
      </c>
      <c r="E40200">
        <v>60701</v>
      </c>
      <c r="F40200">
        <v>1.2788801523527801E-6</v>
      </c>
      <c r="G40200">
        <v>30401</v>
      </c>
      <c r="H40200">
        <v>17739984</v>
      </c>
      <c r="I40200">
        <v>6545</v>
      </c>
      <c r="J40200">
        <v>4</v>
      </c>
    </row>
    <row r="40201" spans="1:10" x14ac:dyDescent="0.25">
      <c r="A40201" t="s">
        <v>412</v>
      </c>
      <c r="B40201" s="1" t="str">
        <f>HYPERLINK("http://kfc.jp","kfc.jp")</f>
        <v>kfc.jp</v>
      </c>
      <c r="C40201" t="s">
        <v>461</v>
      </c>
      <c r="D40201" t="s">
        <v>837</v>
      </c>
      <c r="E40201">
        <v>258525</v>
      </c>
      <c r="F40201">
        <v>1.16824218901719E-8</v>
      </c>
      <c r="G40201">
        <v>5377540</v>
      </c>
      <c r="H40201">
        <v>12964597</v>
      </c>
      <c r="I40201">
        <v>13130444</v>
      </c>
      <c r="J40201">
        <v>5</v>
      </c>
    </row>
    <row r="40202" spans="1:10" x14ac:dyDescent="0.25">
      <c r="A40202" t="s">
        <v>412</v>
      </c>
      <c r="B40202" s="1" t="str">
        <f>HYPERLINK("http://pizzahut.jp","pizzahut.jp")</f>
        <v>pizzahut.jp</v>
      </c>
      <c r="C40202" t="s">
        <v>461</v>
      </c>
      <c r="D40202" t="s">
        <v>837</v>
      </c>
      <c r="E40202">
        <v>134417</v>
      </c>
      <c r="F40202">
        <v>1.4691496456638199E-7</v>
      </c>
      <c r="G40202">
        <v>265011</v>
      </c>
      <c r="H40202">
        <v>17078480</v>
      </c>
      <c r="I40202">
        <v>68718</v>
      </c>
      <c r="J40202">
        <v>3</v>
      </c>
    </row>
    <row r="40203" spans="1:10" x14ac:dyDescent="0.25">
      <c r="A40203" t="s">
        <v>412</v>
      </c>
      <c r="B40203" s="1" t="str">
        <f>HYPERLINK("http://kfc.ke","kfc.ke")</f>
        <v>kfc.ke</v>
      </c>
      <c r="C40203" t="s">
        <v>462</v>
      </c>
      <c r="D40203" t="s">
        <v>838</v>
      </c>
      <c r="F40203">
        <v>5.11956338693906E-9</v>
      </c>
      <c r="G40203">
        <v>26666359</v>
      </c>
      <c r="H40203">
        <v>12294346</v>
      </c>
      <c r="I40203">
        <v>20980279</v>
      </c>
      <c r="J40203">
        <v>4</v>
      </c>
    </row>
    <row r="40204" spans="1:10" x14ac:dyDescent="0.25">
      <c r="A40204" t="s">
        <v>412</v>
      </c>
      <c r="B40204" s="1" t="str">
        <f>HYPERLINK("http://kfc-kazakhstan.kz","kfc-kazakhstan.kz")</f>
        <v>kfc-kazakhstan.kz</v>
      </c>
      <c r="C40204" t="s">
        <v>465</v>
      </c>
      <c r="D40204" t="s">
        <v>841</v>
      </c>
      <c r="F40204">
        <v>6.1996034172668397E-9</v>
      </c>
      <c r="G40204">
        <v>15538748</v>
      </c>
      <c r="H40204">
        <v>14071797</v>
      </c>
      <c r="I40204">
        <v>3327911</v>
      </c>
      <c r="J40204">
        <v>4</v>
      </c>
    </row>
    <row r="40205" spans="1:10" x14ac:dyDescent="0.25">
      <c r="A40205" t="s">
        <v>412</v>
      </c>
      <c r="B40205" s="1" t="str">
        <f>HYPERLINK("http://kfc.lk","kfc.lk")</f>
        <v>kfc.lk</v>
      </c>
      <c r="C40205" t="s">
        <v>466</v>
      </c>
      <c r="D40205" t="s">
        <v>842</v>
      </c>
      <c r="F40205">
        <v>6.7597461259842998E-9</v>
      </c>
      <c r="G40205">
        <v>13096272</v>
      </c>
      <c r="H40205">
        <v>12243475</v>
      </c>
      <c r="I40205">
        <v>22162160</v>
      </c>
      <c r="J40205">
        <v>4</v>
      </c>
    </row>
    <row r="40206" spans="1:10" x14ac:dyDescent="0.25">
      <c r="A40206" t="s">
        <v>412</v>
      </c>
      <c r="B40206" s="1" t="str">
        <f>HYPERLINK("http://pizzahut.lk","pizzahut.lk")</f>
        <v>pizzahut.lk</v>
      </c>
      <c r="C40206" t="s">
        <v>466</v>
      </c>
      <c r="D40206" t="s">
        <v>842</v>
      </c>
      <c r="E40206">
        <v>295063</v>
      </c>
      <c r="F40206">
        <v>1.27814280979114E-8</v>
      </c>
      <c r="G40206">
        <v>4738705</v>
      </c>
      <c r="H40206">
        <v>13594382</v>
      </c>
      <c r="I40206">
        <v>9659806</v>
      </c>
      <c r="J40206">
        <v>3</v>
      </c>
    </row>
    <row r="40207" spans="1:10" x14ac:dyDescent="0.25">
      <c r="A40207" t="s">
        <v>412</v>
      </c>
      <c r="B40207" s="1" t="str">
        <f>HYPERLINK("http://tacobell.lk","tacobell.lk")</f>
        <v>tacobell.lk</v>
      </c>
      <c r="C40207" t="s">
        <v>466</v>
      </c>
      <c r="D40207" t="s">
        <v>842</v>
      </c>
      <c r="F40207">
        <v>4.6748622314415896E-9</v>
      </c>
      <c r="G40207">
        <v>42656247</v>
      </c>
      <c r="H40207">
        <v>10542704</v>
      </c>
      <c r="I40207">
        <v>47061941</v>
      </c>
      <c r="J40207">
        <v>4</v>
      </c>
    </row>
    <row r="40208" spans="1:10" x14ac:dyDescent="0.25">
      <c r="A40208" t="s">
        <v>412</v>
      </c>
      <c r="B40208" s="1" t="str">
        <f>HYPERLINK("http://kfc.lt","kfc.lt")</f>
        <v>kfc.lt</v>
      </c>
      <c r="C40208" t="s">
        <v>467</v>
      </c>
      <c r="D40208" t="s">
        <v>843</v>
      </c>
      <c r="F40208">
        <v>4.43473978325202E-8</v>
      </c>
      <c r="G40208">
        <v>1069985</v>
      </c>
      <c r="H40208">
        <v>14649437</v>
      </c>
      <c r="I40208">
        <v>628522</v>
      </c>
      <c r="J40208">
        <v>4</v>
      </c>
    </row>
    <row r="40209" spans="1:10" x14ac:dyDescent="0.25">
      <c r="A40209" t="s">
        <v>412</v>
      </c>
      <c r="B40209" s="1" t="str">
        <f>HYPERLINK("http://pizzahut.lu","pizzahut.lu")</f>
        <v>pizzahut.lu</v>
      </c>
      <c r="C40209" t="s">
        <v>547</v>
      </c>
      <c r="D40209" t="s">
        <v>904</v>
      </c>
      <c r="F40209">
        <v>1.0320394253352201E-8</v>
      </c>
      <c r="G40209">
        <v>6431934</v>
      </c>
      <c r="H40209">
        <v>12405782</v>
      </c>
      <c r="I40209">
        <v>18674984</v>
      </c>
      <c r="J40209">
        <v>3</v>
      </c>
    </row>
    <row r="40210" spans="1:10" x14ac:dyDescent="0.25">
      <c r="A40210" t="s">
        <v>412</v>
      </c>
      <c r="B40210" s="1" t="str">
        <f>HYPERLINK("http://kfc.lv","kfc.lv")</f>
        <v>kfc.lv</v>
      </c>
      <c r="C40210" t="s">
        <v>468</v>
      </c>
      <c r="D40210" t="s">
        <v>844</v>
      </c>
      <c r="F40210">
        <v>6.9507655463873501E-9</v>
      </c>
      <c r="G40210">
        <v>12461256</v>
      </c>
      <c r="H40210">
        <v>14236073</v>
      </c>
      <c r="I40210">
        <v>1618777</v>
      </c>
      <c r="J40210">
        <v>4</v>
      </c>
    </row>
    <row r="40211" spans="1:10" x14ac:dyDescent="0.25">
      <c r="A40211" t="s">
        <v>412</v>
      </c>
      <c r="B40211" s="1" t="str">
        <f>HYPERLINK("http://pizzahut.ma","pizzahut.ma")</f>
        <v>pizzahut.ma</v>
      </c>
      <c r="C40211" t="s">
        <v>469</v>
      </c>
      <c r="D40211" t="s">
        <v>845</v>
      </c>
      <c r="F40211">
        <v>8.3458864560888501E-9</v>
      </c>
      <c r="G40211">
        <v>9155163</v>
      </c>
      <c r="H40211">
        <v>9801243</v>
      </c>
      <c r="I40211">
        <v>62596926</v>
      </c>
      <c r="J40211">
        <v>3</v>
      </c>
    </row>
    <row r="40212" spans="1:10" x14ac:dyDescent="0.25">
      <c r="A40212" t="s">
        <v>412</v>
      </c>
      <c r="B40212" s="1" t="str">
        <f>HYPERLINK("http://kfc-md.md","kfc-md.md")</f>
        <v>kfc-md.md</v>
      </c>
      <c r="C40212" t="s">
        <v>571</v>
      </c>
      <c r="D40212" t="s">
        <v>918</v>
      </c>
      <c r="F40212">
        <v>6.4771284714328397E-9</v>
      </c>
      <c r="G40212">
        <v>14174947</v>
      </c>
      <c r="H40212">
        <v>14071963</v>
      </c>
      <c r="I40212">
        <v>3212606</v>
      </c>
      <c r="J40212">
        <v>4</v>
      </c>
    </row>
    <row r="40213" spans="1:10" x14ac:dyDescent="0.25">
      <c r="A40213" t="s">
        <v>412</v>
      </c>
      <c r="B40213" s="1" t="str">
        <f>HYPERLINK("http://kfc.me","kfc.me")</f>
        <v>kfc.me</v>
      </c>
      <c r="C40213" t="s">
        <v>470</v>
      </c>
      <c r="D40213" t="s">
        <v>846</v>
      </c>
      <c r="E40213">
        <v>167386</v>
      </c>
      <c r="F40213">
        <v>1.16823849987759E-7</v>
      </c>
      <c r="G40213">
        <v>340283</v>
      </c>
      <c r="H40213">
        <v>16932572</v>
      </c>
      <c r="I40213">
        <v>117227</v>
      </c>
      <c r="J40213">
        <v>4</v>
      </c>
    </row>
    <row r="40214" spans="1:10" x14ac:dyDescent="0.25">
      <c r="A40214" t="s">
        <v>412</v>
      </c>
      <c r="B40214" s="1" t="str">
        <f>HYPERLINK("http://pizzahut.me","pizzahut.me")</f>
        <v>pizzahut.me</v>
      </c>
      <c r="C40214" t="s">
        <v>470</v>
      </c>
      <c r="D40214" t="s">
        <v>846</v>
      </c>
      <c r="E40214">
        <v>417005</v>
      </c>
      <c r="F40214">
        <v>2.69454937791767E-8</v>
      </c>
      <c r="G40214">
        <v>1908953</v>
      </c>
      <c r="H40214">
        <v>13054415</v>
      </c>
      <c r="I40214">
        <v>12570103</v>
      </c>
      <c r="J40214">
        <v>3</v>
      </c>
    </row>
    <row r="40215" spans="1:10" x14ac:dyDescent="0.25">
      <c r="A40215" t="s">
        <v>412</v>
      </c>
      <c r="B40215" s="1" t="str">
        <f>HYPERLINK("http://kfc.com.mt","kfc.com.mt")</f>
        <v>kfc.com.mt</v>
      </c>
      <c r="C40215" t="s">
        <v>597</v>
      </c>
      <c r="D40215" t="s">
        <v>932</v>
      </c>
      <c r="F40215">
        <v>2.68721405796544E-8</v>
      </c>
      <c r="G40215">
        <v>1914208</v>
      </c>
      <c r="H40215">
        <v>13672622</v>
      </c>
      <c r="I40215">
        <v>9544211</v>
      </c>
      <c r="J40215">
        <v>4</v>
      </c>
    </row>
    <row r="40216" spans="1:10" x14ac:dyDescent="0.25">
      <c r="A40216" t="s">
        <v>412</v>
      </c>
      <c r="B40216" s="1" t="str">
        <f>HYPERLINK("http://pizzahut.com.mt","pizzahut.com.mt")</f>
        <v>pizzahut.com.mt</v>
      </c>
      <c r="C40216" t="s">
        <v>597</v>
      </c>
      <c r="D40216" t="s">
        <v>932</v>
      </c>
      <c r="F40216">
        <v>7.9215733305435492E-9</v>
      </c>
      <c r="G40216">
        <v>10069508</v>
      </c>
      <c r="H40216">
        <v>12411537</v>
      </c>
      <c r="I40216">
        <v>18587024</v>
      </c>
      <c r="J40216">
        <v>3</v>
      </c>
    </row>
    <row r="40217" spans="1:10" x14ac:dyDescent="0.25">
      <c r="A40217" t="s">
        <v>412</v>
      </c>
      <c r="B40217" s="1" t="str">
        <f>HYPERLINK("http://kfc.com.mx","kfc.com.mx")</f>
        <v>kfc.com.mx</v>
      </c>
      <c r="C40217" t="s">
        <v>471</v>
      </c>
      <c r="D40217" t="s">
        <v>847</v>
      </c>
      <c r="E40217">
        <v>454050</v>
      </c>
      <c r="F40217">
        <v>2.7057513479679599E-8</v>
      </c>
      <c r="G40217">
        <v>1900777</v>
      </c>
      <c r="H40217">
        <v>14594441</v>
      </c>
      <c r="I40217">
        <v>691424</v>
      </c>
      <c r="J40217">
        <v>4</v>
      </c>
    </row>
    <row r="40218" spans="1:10" x14ac:dyDescent="0.25">
      <c r="A40218" t="s">
        <v>412</v>
      </c>
      <c r="B40218" s="1" t="str">
        <f>HYPERLINK("http://pizzahut.com.mx","pizzahut.com.mx")</f>
        <v>pizzahut.com.mx</v>
      </c>
      <c r="C40218" t="s">
        <v>471</v>
      </c>
      <c r="D40218" t="s">
        <v>847</v>
      </c>
      <c r="F40218">
        <v>9.4589885174300506E-9</v>
      </c>
      <c r="G40218">
        <v>7371909</v>
      </c>
      <c r="H40218">
        <v>14145477</v>
      </c>
      <c r="I40218">
        <v>1900091</v>
      </c>
      <c r="J40218">
        <v>3</v>
      </c>
    </row>
    <row r="40219" spans="1:10" x14ac:dyDescent="0.25">
      <c r="A40219" t="s">
        <v>412</v>
      </c>
      <c r="B40219" s="1" t="str">
        <f>HYPERLINK("http://kfc.com.my","kfc.com.my")</f>
        <v>kfc.com.my</v>
      </c>
      <c r="C40219" t="s">
        <v>472</v>
      </c>
      <c r="D40219" t="s">
        <v>848</v>
      </c>
      <c r="E40219">
        <v>264692</v>
      </c>
      <c r="F40219">
        <v>9.0041281834389305E-8</v>
      </c>
      <c r="G40219">
        <v>453234</v>
      </c>
      <c r="H40219">
        <v>17236478</v>
      </c>
      <c r="I40219">
        <v>35917</v>
      </c>
      <c r="J40219">
        <v>4</v>
      </c>
    </row>
    <row r="40220" spans="1:10" x14ac:dyDescent="0.25">
      <c r="A40220" t="s">
        <v>412</v>
      </c>
      <c r="B40220" s="1" t="str">
        <f>HYPERLINK("http://phdelivery.com.my","phdelivery.com.my")</f>
        <v>phdelivery.com.my</v>
      </c>
      <c r="C40220" t="s">
        <v>472</v>
      </c>
      <c r="D40220" t="s">
        <v>848</v>
      </c>
      <c r="F40220">
        <v>7.7682024307455908E-9</v>
      </c>
      <c r="G40220">
        <v>10395315</v>
      </c>
      <c r="H40220">
        <v>13769911</v>
      </c>
      <c r="I40220">
        <v>6755400</v>
      </c>
      <c r="J40220">
        <v>3</v>
      </c>
    </row>
    <row r="40221" spans="1:10" x14ac:dyDescent="0.25">
      <c r="A40221" t="s">
        <v>412</v>
      </c>
      <c r="B40221" s="1" t="str">
        <f>HYPERLINK("http://pizzahut.com.my","pizzahut.com.my")</f>
        <v>pizzahut.com.my</v>
      </c>
      <c r="C40221" t="s">
        <v>472</v>
      </c>
      <c r="D40221" t="s">
        <v>848</v>
      </c>
      <c r="E40221">
        <v>515293</v>
      </c>
      <c r="F40221">
        <v>3.85034348998761E-8</v>
      </c>
      <c r="G40221">
        <v>1339512</v>
      </c>
      <c r="H40221">
        <v>14850795</v>
      </c>
      <c r="I40221">
        <v>490494</v>
      </c>
      <c r="J40221">
        <v>3</v>
      </c>
    </row>
    <row r="40222" spans="1:10" x14ac:dyDescent="0.25">
      <c r="A40222" t="s">
        <v>412</v>
      </c>
      <c r="B40222" s="1" t="str">
        <f>HYPERLINK("http://tacobell.com.my","tacobell.com.my")</f>
        <v>tacobell.com.my</v>
      </c>
      <c r="C40222" t="s">
        <v>472</v>
      </c>
      <c r="D40222" t="s">
        <v>848</v>
      </c>
      <c r="F40222">
        <v>9.4317028188427501E-9</v>
      </c>
      <c r="G40222">
        <v>7405290</v>
      </c>
      <c r="H40222">
        <v>13886200</v>
      </c>
      <c r="I40222">
        <v>5969404</v>
      </c>
      <c r="J40222">
        <v>4</v>
      </c>
    </row>
    <row r="40223" spans="1:10" x14ac:dyDescent="0.25">
      <c r="A40223" t="s">
        <v>412</v>
      </c>
      <c r="B40223" s="1" t="str">
        <f>HYPERLINK("http://kfc.my","kfc.my")</f>
        <v>kfc.my</v>
      </c>
      <c r="C40223" t="s">
        <v>472</v>
      </c>
      <c r="D40223" t="s">
        <v>848</v>
      </c>
      <c r="J40223">
        <v>4</v>
      </c>
    </row>
    <row r="40224" spans="1:10" x14ac:dyDescent="0.25">
      <c r="A40224" t="s">
        <v>412</v>
      </c>
      <c r="B40224" s="1" t="str">
        <f>HYPERLINK("http://pizzahut.my","pizzahut.my")</f>
        <v>pizzahut.my</v>
      </c>
      <c r="C40224" t="s">
        <v>472</v>
      </c>
      <c r="D40224" t="s">
        <v>848</v>
      </c>
      <c r="J40224">
        <v>3</v>
      </c>
    </row>
    <row r="40225" spans="1:10" x14ac:dyDescent="0.25">
      <c r="A40225" t="s">
        <v>412</v>
      </c>
      <c r="B40225" s="1" t="str">
        <f>HYPERLINK("http://caribnet.net","caribnet.net")</f>
        <v>caribnet.net</v>
      </c>
      <c r="C40225" t="s">
        <v>474</v>
      </c>
      <c r="F40225">
        <v>4.9060811689011999E-9</v>
      </c>
      <c r="G40225">
        <v>32293592</v>
      </c>
      <c r="H40225">
        <v>12491179</v>
      </c>
      <c r="I40225">
        <v>17478419</v>
      </c>
      <c r="J40225">
        <v>4</v>
      </c>
    </row>
    <row r="40226" spans="1:10" x14ac:dyDescent="0.25">
      <c r="A40226" t="s">
        <v>412</v>
      </c>
      <c r="B40226" s="1" t="str">
        <f>HYPERLINK("http://kfc.nl","kfc.nl")</f>
        <v>kfc.nl</v>
      </c>
      <c r="C40226" t="s">
        <v>477</v>
      </c>
      <c r="D40226" t="s">
        <v>852</v>
      </c>
      <c r="E40226">
        <v>594258</v>
      </c>
      <c r="F40226">
        <v>3.7468647239691298E-8</v>
      </c>
      <c r="G40226">
        <v>1381384</v>
      </c>
      <c r="H40226">
        <v>14391725</v>
      </c>
      <c r="I40226">
        <v>1166066</v>
      </c>
      <c r="J40226">
        <v>4</v>
      </c>
    </row>
    <row r="40227" spans="1:10" x14ac:dyDescent="0.25">
      <c r="A40227" t="s">
        <v>412</v>
      </c>
      <c r="B40227" s="1" t="str">
        <f>HYPERLINK("http://pizzahut.nl","pizzahut.nl")</f>
        <v>pizzahut.nl</v>
      </c>
      <c r="C40227" t="s">
        <v>477</v>
      </c>
      <c r="D40227" t="s">
        <v>852</v>
      </c>
      <c r="F40227">
        <v>6.0652648342072801E-9</v>
      </c>
      <c r="G40227">
        <v>16294427</v>
      </c>
      <c r="H40227">
        <v>12482566</v>
      </c>
      <c r="I40227">
        <v>17575608</v>
      </c>
      <c r="J40227">
        <v>3</v>
      </c>
    </row>
    <row r="40228" spans="1:10" x14ac:dyDescent="0.25">
      <c r="A40228" t="s">
        <v>412</v>
      </c>
      <c r="B40228" s="1" t="str">
        <f>HYPERLINK("http://tacobell.nl","tacobell.nl")</f>
        <v>tacobell.nl</v>
      </c>
      <c r="C40228" t="s">
        <v>477</v>
      </c>
      <c r="D40228" t="s">
        <v>852</v>
      </c>
      <c r="F40228">
        <v>2.43357475886763E-8</v>
      </c>
      <c r="G40228">
        <v>2130419</v>
      </c>
      <c r="H40228">
        <v>14415485</v>
      </c>
      <c r="I40228">
        <v>1112086</v>
      </c>
      <c r="J40228">
        <v>4</v>
      </c>
    </row>
    <row r="40229" spans="1:10" x14ac:dyDescent="0.25">
      <c r="A40229" t="s">
        <v>412</v>
      </c>
      <c r="B40229" s="1" t="str">
        <f>HYPERLINK("http://kfc.nu","kfc.nu")</f>
        <v>kfc.nu</v>
      </c>
      <c r="C40229" t="s">
        <v>533</v>
      </c>
      <c r="D40229" t="s">
        <v>896</v>
      </c>
      <c r="F40229">
        <v>7.9972175669097996E-9</v>
      </c>
      <c r="G40229">
        <v>9925712</v>
      </c>
      <c r="H40229">
        <v>14073713</v>
      </c>
      <c r="I40229">
        <v>2976273</v>
      </c>
      <c r="J40229">
        <v>4</v>
      </c>
    </row>
    <row r="40230" spans="1:10" x14ac:dyDescent="0.25">
      <c r="A40230" t="s">
        <v>412</v>
      </c>
      <c r="B40230" s="1" t="str">
        <f>HYPERLINK("http://kfc.co.nz","kfc.co.nz")</f>
        <v>kfc.co.nz</v>
      </c>
      <c r="C40230" t="s">
        <v>479</v>
      </c>
      <c r="D40230" t="s">
        <v>854</v>
      </c>
      <c r="E40230">
        <v>652847</v>
      </c>
      <c r="F40230">
        <v>2.39142844743537E-8</v>
      </c>
      <c r="G40230">
        <v>2171402</v>
      </c>
      <c r="H40230">
        <v>14640047</v>
      </c>
      <c r="I40230">
        <v>637352</v>
      </c>
      <c r="J40230">
        <v>4</v>
      </c>
    </row>
    <row r="40231" spans="1:10" x14ac:dyDescent="0.25">
      <c r="A40231" t="s">
        <v>412</v>
      </c>
      <c r="B40231" s="1" t="str">
        <f>HYPERLINK("http://pizzahut.co.nz","pizzahut.co.nz")</f>
        <v>pizzahut.co.nz</v>
      </c>
      <c r="C40231" t="s">
        <v>479</v>
      </c>
      <c r="D40231" t="s">
        <v>854</v>
      </c>
      <c r="E40231">
        <v>759882</v>
      </c>
      <c r="F40231">
        <v>1.43197323763021E-8</v>
      </c>
      <c r="G40231">
        <v>4086460</v>
      </c>
      <c r="H40231">
        <v>13376039</v>
      </c>
      <c r="I40231">
        <v>10442759</v>
      </c>
      <c r="J40231">
        <v>3</v>
      </c>
    </row>
    <row r="40232" spans="1:10" x14ac:dyDescent="0.25">
      <c r="A40232" t="s">
        <v>412</v>
      </c>
      <c r="B40232" s="1" t="str">
        <f>HYPERLINK("http://tacobell.co.nz","tacobell.co.nz")</f>
        <v>tacobell.co.nz</v>
      </c>
      <c r="C40232" t="s">
        <v>479</v>
      </c>
      <c r="D40232" t="s">
        <v>854</v>
      </c>
      <c r="F40232">
        <v>1.8098308240332301E-8</v>
      </c>
      <c r="G40232">
        <v>3010123</v>
      </c>
      <c r="H40232">
        <v>13813247</v>
      </c>
      <c r="I40232">
        <v>6181913</v>
      </c>
      <c r="J40232">
        <v>4</v>
      </c>
    </row>
    <row r="40233" spans="1:10" x14ac:dyDescent="0.25">
      <c r="A40233" t="s">
        <v>412</v>
      </c>
      <c r="B40233" s="1" t="str">
        <f>HYPERLINK("http://readinginternational.org","readinginternational.org")</f>
        <v>readinginternational.org</v>
      </c>
      <c r="C40233" t="s">
        <v>481</v>
      </c>
      <c r="F40233">
        <v>1.1663732863731901E-8</v>
      </c>
      <c r="G40233">
        <v>5389661</v>
      </c>
      <c r="H40233">
        <v>12674137</v>
      </c>
      <c r="I40233">
        <v>15565262</v>
      </c>
      <c r="J40233">
        <v>4</v>
      </c>
    </row>
    <row r="40234" spans="1:10" x14ac:dyDescent="0.25">
      <c r="A40234" t="s">
        <v>412</v>
      </c>
      <c r="B40234" s="1" t="str">
        <f>HYPERLINK("http://pizzahut.com.ph","pizzahut.com.ph")</f>
        <v>pizzahut.com.ph</v>
      </c>
      <c r="C40234" t="s">
        <v>484</v>
      </c>
      <c r="D40234" t="s">
        <v>858</v>
      </c>
      <c r="F40234">
        <v>2.0348423635286801E-8</v>
      </c>
      <c r="G40234">
        <v>2607094</v>
      </c>
      <c r="H40234">
        <v>14502923</v>
      </c>
      <c r="I40234">
        <v>844477</v>
      </c>
      <c r="J40234">
        <v>3</v>
      </c>
    </row>
    <row r="40235" spans="1:10" x14ac:dyDescent="0.25">
      <c r="A40235" t="s">
        <v>412</v>
      </c>
      <c r="B40235" s="1" t="str">
        <f>HYPERLINK("http://kfc.ph","kfc.ph")</f>
        <v>kfc.ph</v>
      </c>
      <c r="C40235" t="s">
        <v>484</v>
      </c>
      <c r="D40235" t="s">
        <v>858</v>
      </c>
      <c r="F40235">
        <v>5.7312629013171003E-9</v>
      </c>
      <c r="G40235">
        <v>18654391</v>
      </c>
      <c r="H40235">
        <v>14374022</v>
      </c>
      <c r="I40235">
        <v>1253761</v>
      </c>
      <c r="J40235">
        <v>4</v>
      </c>
    </row>
    <row r="40236" spans="1:10" x14ac:dyDescent="0.25">
      <c r="A40236" t="s">
        <v>412</v>
      </c>
      <c r="B40236" s="1" t="str">
        <f>HYPERLINK("http://kfc.pk","kfc.pk")</f>
        <v>kfc.pk</v>
      </c>
      <c r="C40236" t="s">
        <v>485</v>
      </c>
      <c r="D40236" t="s">
        <v>859</v>
      </c>
      <c r="J40236">
        <v>4</v>
      </c>
    </row>
    <row r="40237" spans="1:10" x14ac:dyDescent="0.25">
      <c r="A40237" t="s">
        <v>412</v>
      </c>
      <c r="B40237" s="1" t="str">
        <f>HYPERLINK("http://kfc.pl","kfc.pl")</f>
        <v>kfc.pl</v>
      </c>
      <c r="C40237" t="s">
        <v>486</v>
      </c>
      <c r="D40237" t="s">
        <v>860</v>
      </c>
      <c r="E40237">
        <v>367412</v>
      </c>
      <c r="F40237">
        <v>8.5692654895306997E-8</v>
      </c>
      <c r="G40237">
        <v>480642</v>
      </c>
      <c r="H40237">
        <v>14259921</v>
      </c>
      <c r="I40237">
        <v>1420636</v>
      </c>
      <c r="J40237">
        <v>4</v>
      </c>
    </row>
    <row r="40238" spans="1:10" x14ac:dyDescent="0.25">
      <c r="A40238" t="s">
        <v>412</v>
      </c>
      <c r="B40238" s="1" t="str">
        <f>HYPERLINK("http://pizzahut.pl","pizzahut.pl")</f>
        <v>pizzahut.pl</v>
      </c>
      <c r="C40238" t="s">
        <v>486</v>
      </c>
      <c r="D40238" t="s">
        <v>860</v>
      </c>
      <c r="E40238">
        <v>506647</v>
      </c>
      <c r="F40238">
        <v>3.6983115740672299E-8</v>
      </c>
      <c r="G40238">
        <v>1403303</v>
      </c>
      <c r="H40238">
        <v>14258408</v>
      </c>
      <c r="I40238">
        <v>1425087</v>
      </c>
      <c r="J40238">
        <v>3</v>
      </c>
    </row>
    <row r="40239" spans="1:10" x14ac:dyDescent="0.25">
      <c r="A40239" t="s">
        <v>412</v>
      </c>
      <c r="B40239" s="1" t="str">
        <f>HYPERLINK("http://kfc.pt","kfc.pt")</f>
        <v>kfc.pt</v>
      </c>
      <c r="C40239" t="s">
        <v>488</v>
      </c>
      <c r="D40239" t="s">
        <v>862</v>
      </c>
      <c r="F40239">
        <v>2.1527136281062299E-8</v>
      </c>
      <c r="G40239">
        <v>2445711</v>
      </c>
      <c r="H40239">
        <v>14809847</v>
      </c>
      <c r="I40239">
        <v>536008</v>
      </c>
      <c r="J40239">
        <v>4</v>
      </c>
    </row>
    <row r="40240" spans="1:10" x14ac:dyDescent="0.25">
      <c r="A40240" t="s">
        <v>412</v>
      </c>
      <c r="B40240" s="1" t="str">
        <f>HYPERLINK("http://pizzahut.pt","pizzahut.pt")</f>
        <v>pizzahut.pt</v>
      </c>
      <c r="C40240" t="s">
        <v>488</v>
      </c>
      <c r="D40240" t="s">
        <v>862</v>
      </c>
      <c r="E40240">
        <v>981363</v>
      </c>
      <c r="F40240">
        <v>2.1121081037323399E-8</v>
      </c>
      <c r="G40240">
        <v>2499884</v>
      </c>
      <c r="H40240">
        <v>14489298</v>
      </c>
      <c r="I40240">
        <v>923709</v>
      </c>
      <c r="J40240">
        <v>3</v>
      </c>
    </row>
    <row r="40241" spans="1:10" x14ac:dyDescent="0.25">
      <c r="A40241" t="s">
        <v>412</v>
      </c>
      <c r="B40241" s="1" t="str">
        <f>HYPERLINK("http://pizzahut.com.py","pizzahut.com.py")</f>
        <v>pizzahut.com.py</v>
      </c>
      <c r="C40241" t="s">
        <v>489</v>
      </c>
      <c r="D40241" t="s">
        <v>863</v>
      </c>
      <c r="F40241">
        <v>5.4816788290989302E-9</v>
      </c>
      <c r="G40241">
        <v>21109009</v>
      </c>
      <c r="H40241">
        <v>14071796</v>
      </c>
      <c r="I40241">
        <v>3334121</v>
      </c>
      <c r="J40241">
        <v>3</v>
      </c>
    </row>
    <row r="40242" spans="1:10" x14ac:dyDescent="0.25">
      <c r="A40242" t="s">
        <v>412</v>
      </c>
      <c r="B40242" s="1" t="str">
        <f>HYPERLINK("http://kfc.ro","kfc.ro")</f>
        <v>kfc.ro</v>
      </c>
      <c r="C40242" t="s">
        <v>491</v>
      </c>
      <c r="D40242" t="s">
        <v>865</v>
      </c>
      <c r="E40242">
        <v>523918</v>
      </c>
      <c r="F40242">
        <v>1.11822018796997E-7</v>
      </c>
      <c r="G40242">
        <v>357329</v>
      </c>
      <c r="H40242">
        <v>17185910</v>
      </c>
      <c r="I40242">
        <v>44403</v>
      </c>
      <c r="J40242">
        <v>4</v>
      </c>
    </row>
    <row r="40243" spans="1:10" x14ac:dyDescent="0.25">
      <c r="A40243" t="s">
        <v>412</v>
      </c>
      <c r="B40243" s="1" t="str">
        <f>HYPERLINK("http://pizzahut.ro","pizzahut.ro")</f>
        <v>pizzahut.ro</v>
      </c>
      <c r="C40243" t="s">
        <v>491</v>
      </c>
      <c r="D40243" t="s">
        <v>865</v>
      </c>
      <c r="F40243">
        <v>1.9292237366817601E-8</v>
      </c>
      <c r="G40243">
        <v>2783339</v>
      </c>
      <c r="H40243">
        <v>14727318</v>
      </c>
      <c r="I40243">
        <v>574578</v>
      </c>
      <c r="J40243">
        <v>3</v>
      </c>
    </row>
    <row r="40244" spans="1:10" x14ac:dyDescent="0.25">
      <c r="A40244" t="s">
        <v>412</v>
      </c>
      <c r="B40244" s="1" t="str">
        <f>HYPERLINK("http://pizzahutdelivery.ro","pizzahutdelivery.ro")</f>
        <v>pizzahutdelivery.ro</v>
      </c>
      <c r="C40244" t="s">
        <v>491</v>
      </c>
      <c r="D40244" t="s">
        <v>865</v>
      </c>
      <c r="F40244">
        <v>4.4865846256443702E-8</v>
      </c>
      <c r="G40244">
        <v>1053585</v>
      </c>
      <c r="H40244">
        <v>16868564</v>
      </c>
      <c r="I40244">
        <v>150576</v>
      </c>
      <c r="J40244">
        <v>3</v>
      </c>
    </row>
    <row r="40245" spans="1:10" x14ac:dyDescent="0.25">
      <c r="A40245" t="s">
        <v>412</v>
      </c>
      <c r="B40245" s="1" t="str">
        <f>HYPERLINK("http://taco-bell.ro","taco-bell.ro")</f>
        <v>taco-bell.ro</v>
      </c>
      <c r="C40245" t="s">
        <v>491</v>
      </c>
      <c r="D40245" t="s">
        <v>865</v>
      </c>
      <c r="F40245">
        <v>2.2491845539787999E-8</v>
      </c>
      <c r="G40245">
        <v>2329355</v>
      </c>
      <c r="H40245">
        <v>12441425</v>
      </c>
      <c r="I40245">
        <v>18127913</v>
      </c>
      <c r="J40245">
        <v>4</v>
      </c>
    </row>
    <row r="40246" spans="1:10" x14ac:dyDescent="0.25">
      <c r="A40246" t="s">
        <v>412</v>
      </c>
      <c r="B40246" s="1" t="str">
        <f>HYPERLINK("http://kfc.rs","kfc.rs")</f>
        <v>kfc.rs</v>
      </c>
      <c r="C40246" t="s">
        <v>492</v>
      </c>
      <c r="D40246" t="s">
        <v>866</v>
      </c>
      <c r="F40246">
        <v>8.7339969622366603E-9</v>
      </c>
      <c r="G40246">
        <v>8419851</v>
      </c>
      <c r="H40246">
        <v>13764372</v>
      </c>
      <c r="I40246">
        <v>7283130</v>
      </c>
      <c r="J40246">
        <v>4</v>
      </c>
    </row>
    <row r="40247" spans="1:10" x14ac:dyDescent="0.25">
      <c r="A40247" t="s">
        <v>412</v>
      </c>
      <c r="B40247" s="1" t="str">
        <f>HYPERLINK("http://kfc.ru","kfc.ru")</f>
        <v>kfc.ru</v>
      </c>
      <c r="C40247" t="s">
        <v>493</v>
      </c>
      <c r="D40247" t="s">
        <v>867</v>
      </c>
      <c r="E40247">
        <v>71754</v>
      </c>
      <c r="F40247">
        <v>1.8688407028026601E-7</v>
      </c>
      <c r="G40247">
        <v>206209</v>
      </c>
      <c r="H40247">
        <v>17065132</v>
      </c>
      <c r="I40247">
        <v>72492</v>
      </c>
      <c r="J40247">
        <v>4</v>
      </c>
    </row>
    <row r="40248" spans="1:10" x14ac:dyDescent="0.25">
      <c r="A40248" t="s">
        <v>412</v>
      </c>
      <c r="B40248" s="1" t="str">
        <f>HYPERLINK("http://pizzahut.ru","pizzahut.ru")</f>
        <v>pizzahut.ru</v>
      </c>
      <c r="C40248" t="s">
        <v>493</v>
      </c>
      <c r="D40248" t="s">
        <v>867</v>
      </c>
      <c r="E40248">
        <v>833698</v>
      </c>
      <c r="F40248">
        <v>1.9986784998727399E-8</v>
      </c>
      <c r="G40248">
        <v>2661258</v>
      </c>
      <c r="H40248">
        <v>13766421</v>
      </c>
      <c r="I40248">
        <v>7006600</v>
      </c>
      <c r="J40248">
        <v>3</v>
      </c>
    </row>
    <row r="40249" spans="1:10" x14ac:dyDescent="0.25">
      <c r="A40249" t="s">
        <v>412</v>
      </c>
      <c r="B40249" s="1" t="str">
        <f>HYPERLINK("http://rim-pn.ru","rim-pn.ru")</f>
        <v>rim-pn.ru</v>
      </c>
      <c r="C40249" t="s">
        <v>493</v>
      </c>
      <c r="D40249" t="s">
        <v>867</v>
      </c>
      <c r="F40249">
        <v>1.41222477763468E-8</v>
      </c>
      <c r="G40249">
        <v>4157519</v>
      </c>
      <c r="H40249">
        <v>14076285</v>
      </c>
      <c r="I40249">
        <v>2890900</v>
      </c>
      <c r="J40249">
        <v>4</v>
      </c>
    </row>
    <row r="40250" spans="1:10" x14ac:dyDescent="0.25">
      <c r="A40250" t="s">
        <v>412</v>
      </c>
      <c r="B40250" s="1" t="str">
        <f>HYPERLINK("http://pizzahut.com.sa","pizzahut.com.sa")</f>
        <v>pizzahut.com.sa</v>
      </c>
      <c r="C40250" t="s">
        <v>494</v>
      </c>
      <c r="D40250" t="s">
        <v>868</v>
      </c>
      <c r="F40250">
        <v>5.9641337612350898E-9</v>
      </c>
      <c r="G40250">
        <v>16918734</v>
      </c>
      <c r="H40250">
        <v>12795486</v>
      </c>
      <c r="I40250">
        <v>14658924</v>
      </c>
      <c r="J40250">
        <v>3</v>
      </c>
    </row>
    <row r="40251" spans="1:10" x14ac:dyDescent="0.25">
      <c r="A40251" t="s">
        <v>412</v>
      </c>
      <c r="B40251" s="1" t="str">
        <f>HYPERLINK("http://kfc.sa","kfc.sa")</f>
        <v>kfc.sa</v>
      </c>
      <c r="C40251" t="s">
        <v>494</v>
      </c>
      <c r="D40251" t="s">
        <v>868</v>
      </c>
      <c r="F40251">
        <v>4.8267090138646802E-9</v>
      </c>
      <c r="G40251">
        <v>34965521</v>
      </c>
      <c r="H40251">
        <v>12008164</v>
      </c>
      <c r="I40251">
        <v>28120936</v>
      </c>
      <c r="J40251">
        <v>4</v>
      </c>
    </row>
    <row r="40252" spans="1:10" x14ac:dyDescent="0.25">
      <c r="A40252" t="s">
        <v>412</v>
      </c>
      <c r="B40252" s="1" t="str">
        <f>HYPERLINK("http://pizzahut.se","pizzahut.se")</f>
        <v>pizzahut.se</v>
      </c>
      <c r="C40252" t="s">
        <v>495</v>
      </c>
      <c r="D40252" t="s">
        <v>869</v>
      </c>
      <c r="F40252">
        <v>2.6411038111588501E-8</v>
      </c>
      <c r="G40252">
        <v>1949489</v>
      </c>
      <c r="H40252">
        <v>14522449</v>
      </c>
      <c r="I40252">
        <v>800755</v>
      </c>
      <c r="J40252">
        <v>3</v>
      </c>
    </row>
    <row r="40253" spans="1:10" x14ac:dyDescent="0.25">
      <c r="A40253" t="s">
        <v>412</v>
      </c>
      <c r="B40253" s="1" t="str">
        <f>HYPERLINK("http://kfc.com.sg","kfc.com.sg")</f>
        <v>kfc.com.sg</v>
      </c>
      <c r="C40253" t="s">
        <v>496</v>
      </c>
      <c r="D40253" t="s">
        <v>870</v>
      </c>
      <c r="E40253">
        <v>459582</v>
      </c>
      <c r="F40253">
        <v>1.14979500846972E-7</v>
      </c>
      <c r="G40253">
        <v>346203</v>
      </c>
      <c r="H40253">
        <v>14873679</v>
      </c>
      <c r="I40253">
        <v>476552</v>
      </c>
      <c r="J40253">
        <v>4</v>
      </c>
    </row>
    <row r="40254" spans="1:10" x14ac:dyDescent="0.25">
      <c r="A40254" t="s">
        <v>412</v>
      </c>
      <c r="B40254" s="1" t="str">
        <f>HYPERLINK("http://pizzahut.com.sg","pizzahut.com.sg")</f>
        <v>pizzahut.com.sg</v>
      </c>
      <c r="C40254" t="s">
        <v>496</v>
      </c>
      <c r="D40254" t="s">
        <v>870</v>
      </c>
      <c r="E40254">
        <v>123475</v>
      </c>
      <c r="F40254">
        <v>5.17153043119106E-8</v>
      </c>
      <c r="G40254">
        <v>883865</v>
      </c>
      <c r="H40254">
        <v>14645518</v>
      </c>
      <c r="I40254">
        <v>632880</v>
      </c>
      <c r="J40254">
        <v>3</v>
      </c>
    </row>
    <row r="40255" spans="1:10" x14ac:dyDescent="0.25">
      <c r="A40255" t="s">
        <v>412</v>
      </c>
      <c r="B40255" s="1" t="str">
        <f>HYPERLINK("http://kfcslovakia.sk","kfcslovakia.sk")</f>
        <v>kfcslovakia.sk</v>
      </c>
      <c r="C40255" t="s">
        <v>498</v>
      </c>
      <c r="D40255" t="s">
        <v>872</v>
      </c>
      <c r="F40255">
        <v>5.6533803449178502E-9</v>
      </c>
      <c r="G40255">
        <v>19362135</v>
      </c>
      <c r="H40255">
        <v>12205349</v>
      </c>
      <c r="I40255">
        <v>23183093</v>
      </c>
      <c r="J40255">
        <v>4</v>
      </c>
    </row>
    <row r="40256" spans="1:10" x14ac:dyDescent="0.25">
      <c r="A40256" t="s">
        <v>412</v>
      </c>
      <c r="B40256" s="1" t="str">
        <f>HYPERLINK("http://kfc.com.sv","kfc.com.sv")</f>
        <v>kfc.com.sv</v>
      </c>
      <c r="C40256" t="s">
        <v>499</v>
      </c>
      <c r="D40256" t="s">
        <v>873</v>
      </c>
      <c r="F40256">
        <v>4.4725444471758897E-9</v>
      </c>
      <c r="G40256">
        <v>63952086</v>
      </c>
      <c r="H40256">
        <v>8399839</v>
      </c>
      <c r="I40256">
        <v>73278646</v>
      </c>
      <c r="J40256">
        <v>4</v>
      </c>
    </row>
    <row r="40257" spans="1:10" x14ac:dyDescent="0.25">
      <c r="A40257" t="s">
        <v>412</v>
      </c>
      <c r="B40257" s="1" t="str">
        <f>HYPERLINK("http://pizzahut.com.sv","pizzahut.com.sv")</f>
        <v>pizzahut.com.sv</v>
      </c>
      <c r="C40257" t="s">
        <v>499</v>
      </c>
      <c r="D40257" t="s">
        <v>873</v>
      </c>
      <c r="F40257">
        <v>6.4280707811764099E-9</v>
      </c>
      <c r="G40257">
        <v>14389649</v>
      </c>
      <c r="H40257">
        <v>14084838</v>
      </c>
      <c r="I40257">
        <v>2784196</v>
      </c>
      <c r="J40257">
        <v>3</v>
      </c>
    </row>
    <row r="40258" spans="1:10" x14ac:dyDescent="0.25">
      <c r="A40258" t="s">
        <v>412</v>
      </c>
      <c r="B40258" s="1" t="str">
        <f>HYPERLINK("http://tacobell.com.sv","tacobell.com.sv")</f>
        <v>tacobell.com.sv</v>
      </c>
      <c r="C40258" t="s">
        <v>499</v>
      </c>
      <c r="D40258" t="s">
        <v>873</v>
      </c>
      <c r="F40258">
        <v>1.84920702623069E-8</v>
      </c>
      <c r="G40258">
        <v>2927106</v>
      </c>
      <c r="H40258">
        <v>14414921</v>
      </c>
      <c r="I40258">
        <v>1139002</v>
      </c>
      <c r="J40258">
        <v>4</v>
      </c>
    </row>
    <row r="40259" spans="1:10" x14ac:dyDescent="0.25">
      <c r="A40259" t="s">
        <v>412</v>
      </c>
      <c r="B40259" s="1" t="str">
        <f>HYPERLINK("http://kfc.co.th","kfc.co.th")</f>
        <v>kfc.co.th</v>
      </c>
      <c r="C40259" t="s">
        <v>500</v>
      </c>
      <c r="D40259" t="s">
        <v>874</v>
      </c>
      <c r="E40259">
        <v>555733</v>
      </c>
      <c r="F40259">
        <v>5.8800909103488499E-8</v>
      </c>
      <c r="G40259">
        <v>754631</v>
      </c>
      <c r="H40259">
        <v>14488529</v>
      </c>
      <c r="I40259">
        <v>932365</v>
      </c>
      <c r="J40259">
        <v>4</v>
      </c>
    </row>
    <row r="40260" spans="1:10" x14ac:dyDescent="0.25">
      <c r="A40260" t="s">
        <v>412</v>
      </c>
      <c r="B40260" s="1" t="str">
        <f>HYPERLINK("http://pizzahut.co.th","pizzahut.co.th")</f>
        <v>pizzahut.co.th</v>
      </c>
      <c r="C40260" t="s">
        <v>500</v>
      </c>
      <c r="D40260" t="s">
        <v>874</v>
      </c>
      <c r="F40260">
        <v>1.6064313070836E-8</v>
      </c>
      <c r="G40260">
        <v>3529706</v>
      </c>
      <c r="H40260">
        <v>13947643</v>
      </c>
      <c r="I40260">
        <v>4205165</v>
      </c>
      <c r="J40260">
        <v>3</v>
      </c>
    </row>
    <row r="40261" spans="1:10" x14ac:dyDescent="0.25">
      <c r="A40261" t="s">
        <v>412</v>
      </c>
      <c r="B40261" s="1" t="str">
        <f>HYPERLINK("http://kfc.com.tn","kfc.com.tn")</f>
        <v>kfc.com.tn</v>
      </c>
      <c r="C40261" t="s">
        <v>501</v>
      </c>
      <c r="D40261" t="s">
        <v>875</v>
      </c>
      <c r="F40261">
        <v>4.9067938257129996E-9</v>
      </c>
      <c r="G40261">
        <v>32273794</v>
      </c>
      <c r="H40261">
        <v>10738241</v>
      </c>
      <c r="I40261">
        <v>40536328</v>
      </c>
      <c r="J40261">
        <v>4</v>
      </c>
    </row>
    <row r="40262" spans="1:10" x14ac:dyDescent="0.25">
      <c r="A40262" t="s">
        <v>412</v>
      </c>
      <c r="B40262" s="1" t="str">
        <f>HYPERLINK("http://pizzahut.com.tr","pizzahut.com.tr")</f>
        <v>pizzahut.com.tr</v>
      </c>
      <c r="C40262" t="s">
        <v>502</v>
      </c>
      <c r="D40262" t="s">
        <v>876</v>
      </c>
      <c r="F40262">
        <v>1.2677670590539301E-8</v>
      </c>
      <c r="G40262">
        <v>4790778</v>
      </c>
      <c r="H40262">
        <v>14728477</v>
      </c>
      <c r="I40262">
        <v>573552</v>
      </c>
      <c r="J40262">
        <v>3</v>
      </c>
    </row>
    <row r="40263" spans="1:10" x14ac:dyDescent="0.25">
      <c r="A40263" t="s">
        <v>412</v>
      </c>
      <c r="B40263" s="1" t="str">
        <f>HYPERLINK("http://kfc.tt","kfc.tt")</f>
        <v>kfc.tt</v>
      </c>
      <c r="C40263" t="s">
        <v>503</v>
      </c>
      <c r="D40263" t="s">
        <v>877</v>
      </c>
      <c r="E40263">
        <v>301075</v>
      </c>
      <c r="F40263">
        <v>1.7420303566047499E-8</v>
      </c>
      <c r="G40263">
        <v>3168294</v>
      </c>
      <c r="H40263">
        <v>12925615</v>
      </c>
      <c r="I40263">
        <v>13391620</v>
      </c>
      <c r="J40263">
        <v>4</v>
      </c>
    </row>
    <row r="40264" spans="1:10" x14ac:dyDescent="0.25">
      <c r="A40264" t="s">
        <v>412</v>
      </c>
      <c r="B40264" s="1" t="str">
        <f>HYPERLINK("http://kfcclub.com.tw","kfcclub.com.tw")</f>
        <v>kfcclub.com.tw</v>
      </c>
      <c r="C40264" t="s">
        <v>504</v>
      </c>
      <c r="D40264" t="s">
        <v>878</v>
      </c>
      <c r="E40264">
        <v>177095</v>
      </c>
      <c r="F40264">
        <v>5.6174387695580199E-8</v>
      </c>
      <c r="G40264">
        <v>796884</v>
      </c>
      <c r="H40264">
        <v>14632337</v>
      </c>
      <c r="I40264">
        <v>643725</v>
      </c>
      <c r="J40264">
        <v>4</v>
      </c>
    </row>
    <row r="40265" spans="1:10" x14ac:dyDescent="0.25">
      <c r="A40265" t="s">
        <v>412</v>
      </c>
      <c r="B40265" s="1" t="str">
        <f>HYPERLINK("http://pizzahut.com.tw","pizzahut.com.tw")</f>
        <v>pizzahut.com.tw</v>
      </c>
      <c r="C40265" t="s">
        <v>504</v>
      </c>
      <c r="D40265" t="s">
        <v>878</v>
      </c>
      <c r="E40265">
        <v>274997</v>
      </c>
      <c r="F40265">
        <v>6.3461060910755204E-8</v>
      </c>
      <c r="G40265">
        <v>684791</v>
      </c>
      <c r="H40265">
        <v>14905229</v>
      </c>
      <c r="I40265">
        <v>460800</v>
      </c>
      <c r="J40265">
        <v>3</v>
      </c>
    </row>
    <row r="40266" spans="1:10" x14ac:dyDescent="0.25">
      <c r="A40266" t="s">
        <v>412</v>
      </c>
      <c r="B40266" s="1" t="str">
        <f>HYPERLINK("http://kfc.co.uk","kfc.co.uk")</f>
        <v>kfc.co.uk</v>
      </c>
      <c r="C40266" t="s">
        <v>506</v>
      </c>
      <c r="D40266" t="s">
        <v>880</v>
      </c>
      <c r="E40266">
        <v>39995</v>
      </c>
      <c r="F40266">
        <v>2.0686036401856099E-7</v>
      </c>
      <c r="G40266">
        <v>183452</v>
      </c>
      <c r="H40266">
        <v>15308632</v>
      </c>
      <c r="I40266">
        <v>385416</v>
      </c>
      <c r="J40266">
        <v>3</v>
      </c>
    </row>
    <row r="40267" spans="1:10" x14ac:dyDescent="0.25">
      <c r="A40267" t="s">
        <v>412</v>
      </c>
      <c r="B40267" s="1" t="str">
        <f>HYPERLINK("http://phr.co.uk","phr.co.uk")</f>
        <v>phr.co.uk</v>
      </c>
      <c r="C40267" t="s">
        <v>506</v>
      </c>
      <c r="D40267" t="s">
        <v>880</v>
      </c>
      <c r="F40267">
        <v>4.4439481290425404E-9</v>
      </c>
      <c r="G40267">
        <v>77827278</v>
      </c>
      <c r="H40267">
        <v>10361842</v>
      </c>
      <c r="I40267">
        <v>55165542</v>
      </c>
      <c r="J40267">
        <v>6</v>
      </c>
    </row>
    <row r="40268" spans="1:10" x14ac:dyDescent="0.25">
      <c r="A40268" t="s">
        <v>412</v>
      </c>
      <c r="B40268" s="1" t="str">
        <f>HYPERLINK("http://pizzahut.co.uk","pizzahut.co.uk")</f>
        <v>pizzahut.co.uk</v>
      </c>
      <c r="C40268" t="s">
        <v>506</v>
      </c>
      <c r="D40268" t="s">
        <v>880</v>
      </c>
      <c r="E40268">
        <v>96453</v>
      </c>
      <c r="F40268">
        <v>3.9922962013280699E-7</v>
      </c>
      <c r="G40268">
        <v>93999</v>
      </c>
      <c r="H40268">
        <v>17172756</v>
      </c>
      <c r="I40268">
        <v>47129</v>
      </c>
      <c r="J40268">
        <v>3</v>
      </c>
    </row>
    <row r="40269" spans="1:10" x14ac:dyDescent="0.25">
      <c r="A40269" t="s">
        <v>412</v>
      </c>
      <c r="B40269" s="1" t="str">
        <f>HYPERLINK("http://tacobell.co.uk","tacobell.co.uk")</f>
        <v>tacobell.co.uk</v>
      </c>
      <c r="C40269" t="s">
        <v>506</v>
      </c>
      <c r="D40269" t="s">
        <v>880</v>
      </c>
      <c r="E40269">
        <v>117840</v>
      </c>
      <c r="F40269">
        <v>2.14127889961595E-8</v>
      </c>
      <c r="G40269">
        <v>2460032</v>
      </c>
      <c r="H40269">
        <v>14590915</v>
      </c>
      <c r="I40269">
        <v>695277</v>
      </c>
      <c r="J40269">
        <v>4</v>
      </c>
    </row>
    <row r="40270" spans="1:10" x14ac:dyDescent="0.25">
      <c r="A40270" t="s">
        <v>412</v>
      </c>
      <c r="B40270" s="1" t="str">
        <f>HYPERLINK("http://kfc.com.uz","kfc.com.uz")</f>
        <v>kfc.com.uz</v>
      </c>
      <c r="C40270" t="s">
        <v>560</v>
      </c>
      <c r="D40270" t="s">
        <v>910</v>
      </c>
      <c r="F40270">
        <v>5.6416345732321801E-9</v>
      </c>
      <c r="G40270">
        <v>19469998</v>
      </c>
      <c r="H40270">
        <v>14072722</v>
      </c>
      <c r="I40270">
        <v>3053833</v>
      </c>
      <c r="J40270">
        <v>4</v>
      </c>
    </row>
    <row r="40271" spans="1:10" x14ac:dyDescent="0.25">
      <c r="A40271" t="s">
        <v>412</v>
      </c>
      <c r="B40271" s="1" t="str">
        <f>HYPERLINK("http://kfc.com.ve","kfc.com.ve")</f>
        <v>kfc.com.ve</v>
      </c>
      <c r="C40271" t="s">
        <v>508</v>
      </c>
      <c r="D40271" t="s">
        <v>882</v>
      </c>
      <c r="F40271">
        <v>7.1310505873719397E-9</v>
      </c>
      <c r="G40271">
        <v>11929071</v>
      </c>
      <c r="H40271">
        <v>10960194</v>
      </c>
      <c r="I40271">
        <v>34349454</v>
      </c>
      <c r="J40271">
        <v>4</v>
      </c>
    </row>
    <row r="40272" spans="1:10" x14ac:dyDescent="0.25">
      <c r="A40272" t="s">
        <v>412</v>
      </c>
      <c r="B40272" s="1" t="str">
        <f>HYPERLINK("http://kfcvenezuela.com.ve","kfcvenezuela.com.ve")</f>
        <v>kfcvenezuela.com.ve</v>
      </c>
      <c r="C40272" t="s">
        <v>508</v>
      </c>
      <c r="D40272" t="s">
        <v>882</v>
      </c>
      <c r="F40272">
        <v>4.6899933023155801E-9</v>
      </c>
      <c r="G40272">
        <v>41788775</v>
      </c>
      <c r="H40272">
        <v>10845774</v>
      </c>
      <c r="I40272">
        <v>36967721</v>
      </c>
      <c r="J40272">
        <v>4</v>
      </c>
    </row>
    <row r="40273" spans="1:10" x14ac:dyDescent="0.25">
      <c r="A40273" t="s">
        <v>412</v>
      </c>
      <c r="B40273" s="1" t="str">
        <f>HYPERLINK("http://kfcvietnam.com.vn","kfcvietnam.com.vn")</f>
        <v>kfcvietnam.com.vn</v>
      </c>
      <c r="C40273" t="s">
        <v>509</v>
      </c>
      <c r="D40273" t="s">
        <v>883</v>
      </c>
      <c r="E40273">
        <v>870350</v>
      </c>
      <c r="F40273">
        <v>3.6235152883263301E-8</v>
      </c>
      <c r="G40273">
        <v>1439337</v>
      </c>
      <c r="H40273">
        <v>13768070</v>
      </c>
      <c r="I40273">
        <v>6897919</v>
      </c>
      <c r="J40273">
        <v>4</v>
      </c>
    </row>
    <row r="40274" spans="1:10" x14ac:dyDescent="0.25">
      <c r="A40274" t="s">
        <v>412</v>
      </c>
      <c r="B40274" s="1" t="str">
        <f>HYPERLINK("http://pizzahut.vn","pizzahut.vn")</f>
        <v>pizzahut.vn</v>
      </c>
      <c r="C40274" t="s">
        <v>509</v>
      </c>
      <c r="D40274" t="s">
        <v>883</v>
      </c>
      <c r="F40274">
        <v>2.5245960295717499E-8</v>
      </c>
      <c r="G40274">
        <v>2044427</v>
      </c>
      <c r="H40274">
        <v>13947522</v>
      </c>
      <c r="I40274">
        <v>4206346</v>
      </c>
      <c r="J40274">
        <v>3</v>
      </c>
    </row>
    <row r="40275" spans="1:10" x14ac:dyDescent="0.25">
      <c r="A40275" t="s">
        <v>412</v>
      </c>
      <c r="B40275" s="1" t="str">
        <f>HYPERLINK("http://kfc.co.za","kfc.co.za")</f>
        <v>kfc.co.za</v>
      </c>
      <c r="C40275" t="s">
        <v>510</v>
      </c>
      <c r="D40275" t="s">
        <v>884</v>
      </c>
      <c r="E40275">
        <v>282944</v>
      </c>
      <c r="F40275">
        <v>4.2912961741444599E-8</v>
      </c>
      <c r="G40275">
        <v>1122253</v>
      </c>
      <c r="H40275">
        <v>14510820</v>
      </c>
      <c r="I40275">
        <v>822883</v>
      </c>
      <c r="J40275">
        <v>4</v>
      </c>
    </row>
    <row r="40276" spans="1:10" x14ac:dyDescent="0.25">
      <c r="A40276" t="s">
        <v>412</v>
      </c>
      <c r="B40276" s="1" t="str">
        <f>HYPERLINK("http://kfcec.co.za","kfcec.co.za")</f>
        <v>kfcec.co.za</v>
      </c>
      <c r="C40276" t="s">
        <v>510</v>
      </c>
      <c r="D40276" t="s">
        <v>884</v>
      </c>
      <c r="J40276">
        <v>4</v>
      </c>
    </row>
    <row r="40277" spans="1:10" x14ac:dyDescent="0.25">
      <c r="A40277" t="s">
        <v>412</v>
      </c>
      <c r="B40277" s="1" t="str">
        <f>HYPERLINK("http://mlpgroup.co.za","mlpgroup.co.za")</f>
        <v>mlpgroup.co.za</v>
      </c>
      <c r="C40277" t="s">
        <v>510</v>
      </c>
      <c r="D40277" t="s">
        <v>884</v>
      </c>
      <c r="J40277">
        <v>3</v>
      </c>
    </row>
    <row r="40278" spans="1:10" x14ac:dyDescent="0.25">
      <c r="A40278" t="s">
        <v>412</v>
      </c>
      <c r="B40278" s="1" t="str">
        <f>HYPERLINK("http://pizzahut.co.za","pizzahut.co.za")</f>
        <v>pizzahut.co.za</v>
      </c>
      <c r="C40278" t="s">
        <v>510</v>
      </c>
      <c r="D40278" t="s">
        <v>884</v>
      </c>
      <c r="F40278">
        <v>5.6146343791807204E-9</v>
      </c>
      <c r="G40278">
        <v>19717957</v>
      </c>
      <c r="H40278">
        <v>12827929</v>
      </c>
      <c r="I40278">
        <v>14447411</v>
      </c>
      <c r="J40278">
        <v>3</v>
      </c>
    </row>
    <row r="40279" spans="1:10" x14ac:dyDescent="0.25">
      <c r="A40279" t="s">
        <v>1666</v>
      </c>
      <c r="B40279" s="1" t="str">
        <f>HYPERLINK("http://longking.com.cn","longking.com.cn")</f>
        <v>longking.com.cn</v>
      </c>
      <c r="C40279" t="s">
        <v>431</v>
      </c>
      <c r="D40279" t="s">
        <v>812</v>
      </c>
      <c r="F40279">
        <v>2.5732275252975601E-8</v>
      </c>
      <c r="G40279">
        <v>2003503</v>
      </c>
      <c r="H40279">
        <v>12885217</v>
      </c>
      <c r="I40279">
        <v>13967373</v>
      </c>
      <c r="J40279">
        <v>3</v>
      </c>
    </row>
    <row r="40280" spans="1:10" x14ac:dyDescent="0.25">
      <c r="A40280" t="s">
        <v>1666</v>
      </c>
      <c r="B40280" s="1" t="str">
        <f>HYPERLINK("http://zjky.cn","zjky.cn")</f>
        <v>zjky.cn</v>
      </c>
      <c r="C40280" t="s">
        <v>431</v>
      </c>
      <c r="D40280" t="s">
        <v>812</v>
      </c>
      <c r="E40280">
        <v>588289</v>
      </c>
      <c r="F40280">
        <v>9.5578651116690901E-8</v>
      </c>
      <c r="G40280">
        <v>423710</v>
      </c>
      <c r="H40280">
        <v>14253987</v>
      </c>
      <c r="I40280">
        <v>1437493</v>
      </c>
      <c r="J40280">
        <v>1</v>
      </c>
    </row>
    <row r="40281" spans="1:10" x14ac:dyDescent="0.25">
      <c r="A40281" t="s">
        <v>1666</v>
      </c>
      <c r="B40281" s="1" t="str">
        <f>HYPERLINK("http://zijinmining.com","zijinmining.com")</f>
        <v>zijinmining.com</v>
      </c>
      <c r="C40281" t="s">
        <v>433</v>
      </c>
      <c r="F40281">
        <v>3.7556021740066999E-8</v>
      </c>
      <c r="G40281">
        <v>1377941</v>
      </c>
      <c r="H40281">
        <v>14347522</v>
      </c>
      <c r="I40281">
        <v>1311220</v>
      </c>
      <c r="J40281">
        <v>2</v>
      </c>
    </row>
    <row r="40282" spans="1:10" x14ac:dyDescent="0.25">
      <c r="A40282" t="s">
        <v>413</v>
      </c>
      <c r="B40282" s="1" t="str">
        <f>HYPERLINK("http://smartbow.at","smartbow.at")</f>
        <v>smartbow.at</v>
      </c>
      <c r="C40282" t="s">
        <v>419</v>
      </c>
      <c r="D40282" t="s">
        <v>801</v>
      </c>
      <c r="F40282">
        <v>4.5100875399289298E-8</v>
      </c>
      <c r="G40282">
        <v>1046464</v>
      </c>
      <c r="H40282">
        <v>16751204</v>
      </c>
      <c r="I40282">
        <v>276291</v>
      </c>
      <c r="J40282">
        <v>6</v>
      </c>
    </row>
    <row r="40283" spans="1:10" x14ac:dyDescent="0.25">
      <c r="A40283" t="s">
        <v>413</v>
      </c>
      <c r="B40283" s="1" t="str">
        <f>HYPERLINK("http://zoetis.at","zoetis.at")</f>
        <v>zoetis.at</v>
      </c>
      <c r="C40283" t="s">
        <v>419</v>
      </c>
      <c r="D40283" t="s">
        <v>801</v>
      </c>
      <c r="F40283">
        <v>1.9565488065800299E-8</v>
      </c>
      <c r="G40283">
        <v>2733598</v>
      </c>
      <c r="H40283">
        <v>12222083</v>
      </c>
      <c r="I40283">
        <v>22743421</v>
      </c>
      <c r="J40283">
        <v>2</v>
      </c>
    </row>
    <row r="40284" spans="1:10" x14ac:dyDescent="0.25">
      <c r="A40284" t="s">
        <v>413</v>
      </c>
      <c r="B40284" s="1" t="str">
        <f>HYPERLINK("http://zoetis.com.au","zoetis.com.au")</f>
        <v>zoetis.com.au</v>
      </c>
      <c r="C40284" t="s">
        <v>420</v>
      </c>
      <c r="D40284" t="s">
        <v>802</v>
      </c>
      <c r="F40284">
        <v>6.4595916812264407E-8</v>
      </c>
      <c r="G40284">
        <v>669590</v>
      </c>
      <c r="H40284">
        <v>14435294</v>
      </c>
      <c r="I40284">
        <v>1069146</v>
      </c>
      <c r="J40284">
        <v>2</v>
      </c>
    </row>
    <row r="40285" spans="1:10" x14ac:dyDescent="0.25">
      <c r="A40285" t="s">
        <v>413</v>
      </c>
      <c r="B40285" s="1" t="str">
        <f>HYPERLINK("http://zoetis.be","zoetis.be")</f>
        <v>zoetis.be</v>
      </c>
      <c r="C40285" t="s">
        <v>421</v>
      </c>
      <c r="D40285" t="s">
        <v>803</v>
      </c>
      <c r="F40285">
        <v>3.75563516351908E-8</v>
      </c>
      <c r="G40285">
        <v>1377927</v>
      </c>
      <c r="H40285">
        <v>12680455</v>
      </c>
      <c r="I40285">
        <v>15495227</v>
      </c>
      <c r="J40285">
        <v>2</v>
      </c>
    </row>
    <row r="40286" spans="1:10" x14ac:dyDescent="0.25">
      <c r="A40286" t="s">
        <v>413</v>
      </c>
      <c r="B40286" s="1" t="str">
        <f>HYPERLINK("http://zoetis.bg","zoetis.bg")</f>
        <v>zoetis.bg</v>
      </c>
      <c r="C40286" t="s">
        <v>422</v>
      </c>
      <c r="D40286" t="s">
        <v>804</v>
      </c>
      <c r="F40286">
        <v>1.7161107146724101E-8</v>
      </c>
      <c r="G40286">
        <v>3247411</v>
      </c>
      <c r="H40286">
        <v>11254405</v>
      </c>
      <c r="I40286">
        <v>30868135</v>
      </c>
      <c r="J40286">
        <v>2</v>
      </c>
    </row>
    <row r="40287" spans="1:10" x14ac:dyDescent="0.25">
      <c r="A40287" t="s">
        <v>413</v>
      </c>
      <c r="B40287" s="1" t="str">
        <f>HYPERLINK("http://zoetis.com.bo","zoetis.com.bo")</f>
        <v>zoetis.com.bo</v>
      </c>
      <c r="C40287" t="s">
        <v>424</v>
      </c>
      <c r="D40287" t="s">
        <v>805</v>
      </c>
      <c r="F40287">
        <v>1.70722071244366E-8</v>
      </c>
      <c r="G40287">
        <v>3266915</v>
      </c>
      <c r="H40287">
        <v>11254399</v>
      </c>
      <c r="I40287">
        <v>30868168</v>
      </c>
      <c r="J40287">
        <v>2</v>
      </c>
    </row>
    <row r="40288" spans="1:10" x14ac:dyDescent="0.25">
      <c r="A40288" t="s">
        <v>413</v>
      </c>
      <c r="B40288" s="1" t="str">
        <f>HYPERLINK("http://bimeda.com.br","bimeda.com.br")</f>
        <v>bimeda.com.br</v>
      </c>
      <c r="C40288" t="s">
        <v>425</v>
      </c>
      <c r="D40288" t="s">
        <v>806</v>
      </c>
      <c r="F40288">
        <v>7.9139034125198993E-9</v>
      </c>
      <c r="G40288">
        <v>10084611</v>
      </c>
      <c r="H40288">
        <v>10710661</v>
      </c>
      <c r="I40288">
        <v>42147782</v>
      </c>
      <c r="J40288">
        <v>5</v>
      </c>
    </row>
    <row r="40289" spans="1:10" x14ac:dyDescent="0.25">
      <c r="A40289" t="s">
        <v>413</v>
      </c>
      <c r="B40289" s="1" t="str">
        <f>HYPERLINK("http://zoetis.com.br","zoetis.com.br")</f>
        <v>zoetis.com.br</v>
      </c>
      <c r="C40289" t="s">
        <v>425</v>
      </c>
      <c r="D40289" t="s">
        <v>806</v>
      </c>
      <c r="F40289">
        <v>2.74629186335677E-8</v>
      </c>
      <c r="G40289">
        <v>1871935</v>
      </c>
      <c r="H40289">
        <v>13766573</v>
      </c>
      <c r="I40289">
        <v>6995014</v>
      </c>
      <c r="J40289">
        <v>2</v>
      </c>
    </row>
    <row r="40290" spans="1:10" x14ac:dyDescent="0.25">
      <c r="A40290" t="s">
        <v>413</v>
      </c>
      <c r="B40290" s="1" t="str">
        <f>HYPERLINK("http://platinumperformance.ca","platinumperformance.ca")</f>
        <v>platinumperformance.ca</v>
      </c>
      <c r="C40290" t="s">
        <v>428</v>
      </c>
      <c r="D40290" t="s">
        <v>809</v>
      </c>
      <c r="F40290">
        <v>2.6234036961567399E-8</v>
      </c>
      <c r="G40290">
        <v>1963368</v>
      </c>
      <c r="H40290">
        <v>10953695</v>
      </c>
      <c r="I40290">
        <v>34499030</v>
      </c>
      <c r="J40290">
        <v>4</v>
      </c>
    </row>
    <row r="40291" spans="1:10" x14ac:dyDescent="0.25">
      <c r="A40291" t="s">
        <v>413</v>
      </c>
      <c r="B40291" s="1" t="str">
        <f>HYPERLINK("http://simparicareminder.ca","simparicareminder.ca")</f>
        <v>simparicareminder.ca</v>
      </c>
      <c r="C40291" t="s">
        <v>428</v>
      </c>
      <c r="D40291" t="s">
        <v>809</v>
      </c>
      <c r="J40291">
        <v>2</v>
      </c>
    </row>
    <row r="40292" spans="1:10" x14ac:dyDescent="0.25">
      <c r="A40292" t="s">
        <v>413</v>
      </c>
      <c r="B40292" s="1" t="str">
        <f>HYPERLINK("http://zoetis.ca","zoetis.ca")</f>
        <v>zoetis.ca</v>
      </c>
      <c r="C40292" t="s">
        <v>428</v>
      </c>
      <c r="D40292" t="s">
        <v>809</v>
      </c>
      <c r="F40292">
        <v>5.46608013049985E-8</v>
      </c>
      <c r="G40292">
        <v>824672</v>
      </c>
      <c r="H40292">
        <v>13784147</v>
      </c>
      <c r="I40292">
        <v>6416364</v>
      </c>
      <c r="J40292">
        <v>2</v>
      </c>
    </row>
    <row r="40293" spans="1:10" x14ac:dyDescent="0.25">
      <c r="A40293" t="s">
        <v>413</v>
      </c>
      <c r="B40293" s="1" t="str">
        <f>HYPERLINK("http://pumpkin.care","pumpkin.care")</f>
        <v>pumpkin.care</v>
      </c>
      <c r="C40293" t="s">
        <v>538</v>
      </c>
      <c r="E40293">
        <v>117197</v>
      </c>
      <c r="F40293">
        <v>2.2924208353671699E-7</v>
      </c>
      <c r="G40293">
        <v>164014</v>
      </c>
      <c r="H40293">
        <v>14215451</v>
      </c>
      <c r="I40293">
        <v>1693702</v>
      </c>
      <c r="J40293">
        <v>4</v>
      </c>
    </row>
    <row r="40294" spans="1:10" x14ac:dyDescent="0.25">
      <c r="A40294" t="s">
        <v>413</v>
      </c>
      <c r="B40294" s="1" t="str">
        <f>HYPERLINK("http://zoetis.cl","zoetis.cl")</f>
        <v>zoetis.cl</v>
      </c>
      <c r="C40294" t="s">
        <v>430</v>
      </c>
      <c r="D40294" t="s">
        <v>811</v>
      </c>
      <c r="F40294">
        <v>1.8411306662451101E-8</v>
      </c>
      <c r="G40294">
        <v>2943360</v>
      </c>
      <c r="H40294">
        <v>11295569</v>
      </c>
      <c r="I40294">
        <v>30630323</v>
      </c>
      <c r="J40294">
        <v>2</v>
      </c>
    </row>
    <row r="40295" spans="1:10" x14ac:dyDescent="0.25">
      <c r="A40295" t="s">
        <v>413</v>
      </c>
      <c r="B40295" s="1" t="str">
        <f>HYPERLINK("http://bimeda.cn","bimeda.cn")</f>
        <v>bimeda.cn</v>
      </c>
      <c r="C40295" t="s">
        <v>431</v>
      </c>
      <c r="D40295" t="s">
        <v>812</v>
      </c>
      <c r="F40295">
        <v>7.4319180846702202E-9</v>
      </c>
      <c r="G40295">
        <v>11168120</v>
      </c>
      <c r="H40295">
        <v>10403097</v>
      </c>
      <c r="I40295">
        <v>54197978</v>
      </c>
      <c r="J40295">
        <v>5</v>
      </c>
    </row>
    <row r="40296" spans="1:10" x14ac:dyDescent="0.25">
      <c r="A40296" t="s">
        <v>413</v>
      </c>
      <c r="B40296" s="1" t="str">
        <f>HYPERLINK("http://zoetis.cn","zoetis.cn")</f>
        <v>zoetis.cn</v>
      </c>
      <c r="C40296" t="s">
        <v>431</v>
      </c>
      <c r="D40296" t="s">
        <v>812</v>
      </c>
      <c r="F40296">
        <v>2.3841357723115901E-8</v>
      </c>
      <c r="G40296">
        <v>2178940</v>
      </c>
      <c r="H40296">
        <v>12422064</v>
      </c>
      <c r="I40296">
        <v>18414074</v>
      </c>
      <c r="J40296">
        <v>2</v>
      </c>
    </row>
    <row r="40297" spans="1:10" x14ac:dyDescent="0.25">
      <c r="A40297" t="s">
        <v>413</v>
      </c>
      <c r="B40297" s="1" t="str">
        <f>HYPERLINK("http://zoetis.com.co","zoetis.com.co")</f>
        <v>zoetis.com.co</v>
      </c>
      <c r="C40297" t="s">
        <v>432</v>
      </c>
      <c r="F40297">
        <v>2.09180135987654E-8</v>
      </c>
      <c r="G40297">
        <v>2526922</v>
      </c>
      <c r="H40297">
        <v>11344114</v>
      </c>
      <c r="I40297">
        <v>30409416</v>
      </c>
      <c r="J40297">
        <v>2</v>
      </c>
    </row>
    <row r="40298" spans="1:10" x14ac:dyDescent="0.25">
      <c r="A40298" t="s">
        <v>413</v>
      </c>
      <c r="B40298" s="1" t="str">
        <f>HYPERLINK("http://basepaws.com","basepaws.com")</f>
        <v>basepaws.com</v>
      </c>
      <c r="C40298" t="s">
        <v>433</v>
      </c>
      <c r="E40298">
        <v>278092</v>
      </c>
      <c r="F40298">
        <v>1.5587523793947701E-7</v>
      </c>
      <c r="G40298">
        <v>249149</v>
      </c>
      <c r="H40298">
        <v>15196500</v>
      </c>
      <c r="I40298">
        <v>395927</v>
      </c>
      <c r="J40298">
        <v>3</v>
      </c>
    </row>
    <row r="40299" spans="1:10" x14ac:dyDescent="0.25">
      <c r="A40299" t="s">
        <v>413</v>
      </c>
      <c r="B40299" s="1" t="str">
        <f>HYPERLINK("http://bimeda.com","bimeda.com")</f>
        <v>bimeda.com</v>
      </c>
      <c r="C40299" t="s">
        <v>433</v>
      </c>
      <c r="E40299">
        <v>626431</v>
      </c>
      <c r="F40299">
        <v>3.4671803167750099E-8</v>
      </c>
      <c r="G40299">
        <v>1496783</v>
      </c>
      <c r="H40299">
        <v>13440885</v>
      </c>
      <c r="I40299">
        <v>10259519</v>
      </c>
      <c r="J40299">
        <v>4</v>
      </c>
    </row>
    <row r="40300" spans="1:10" x14ac:dyDescent="0.25">
      <c r="A40300" t="s">
        <v>413</v>
      </c>
      <c r="B40300" s="1" t="str">
        <f>HYPERLINK("http://bovigen.com","bovigen.com")</f>
        <v>bovigen.com</v>
      </c>
      <c r="C40300" t="s">
        <v>433</v>
      </c>
      <c r="F40300">
        <v>5.0204023404010799E-9</v>
      </c>
      <c r="G40300">
        <v>28892120</v>
      </c>
      <c r="H40300">
        <v>9860296</v>
      </c>
      <c r="I40300">
        <v>62061107</v>
      </c>
      <c r="J40300">
        <v>5</v>
      </c>
    </row>
    <row r="40301" spans="1:10" x14ac:dyDescent="0.25">
      <c r="A40301" t="s">
        <v>413</v>
      </c>
      <c r="B40301" s="1" t="str">
        <f>HYPERLINK("http://calvingseason.com","calvingseason.com")</f>
        <v>calvingseason.com</v>
      </c>
      <c r="C40301" t="s">
        <v>433</v>
      </c>
      <c r="F40301">
        <v>4.5887447354658496E-9</v>
      </c>
      <c r="G40301">
        <v>48522727</v>
      </c>
      <c r="H40301">
        <v>12112892</v>
      </c>
      <c r="I40301">
        <v>25654204</v>
      </c>
      <c r="J40301">
        <v>2</v>
      </c>
    </row>
    <row r="40302" spans="1:10" x14ac:dyDescent="0.25">
      <c r="A40302" t="s">
        <v>413</v>
      </c>
      <c r="B40302" s="1" t="str">
        <f>HYPERLINK("http://embrex.com","embrex.com")</f>
        <v>embrex.com</v>
      </c>
      <c r="C40302" t="s">
        <v>433</v>
      </c>
      <c r="F40302">
        <v>4.7819463410270604E-9</v>
      </c>
      <c r="G40302">
        <v>36877839</v>
      </c>
      <c r="H40302">
        <v>13763814</v>
      </c>
      <c r="I40302">
        <v>7591707</v>
      </c>
      <c r="J40302">
        <v>3</v>
      </c>
    </row>
    <row r="40303" spans="1:10" x14ac:dyDescent="0.25">
      <c r="A40303" t="s">
        <v>413</v>
      </c>
      <c r="B40303" s="1" t="str">
        <f>HYPERLINK("http://jurox.com","jurox.com")</f>
        <v>jurox.com</v>
      </c>
      <c r="C40303" t="s">
        <v>433</v>
      </c>
      <c r="F40303">
        <v>1.24803032488989E-8</v>
      </c>
      <c r="G40303">
        <v>4895883</v>
      </c>
      <c r="H40303">
        <v>12630343</v>
      </c>
      <c r="I40303">
        <v>15980843</v>
      </c>
      <c r="J40303">
        <v>3</v>
      </c>
    </row>
    <row r="40304" spans="1:10" x14ac:dyDescent="0.25">
      <c r="A40304" t="s">
        <v>413</v>
      </c>
      <c r="B40304" s="1" t="str">
        <f>HYPERLINK("http://knowthetruecost.com","knowthetruecost.com")</f>
        <v>knowthetruecost.com</v>
      </c>
      <c r="C40304" t="s">
        <v>433</v>
      </c>
      <c r="F40304">
        <v>5.2861939340290696E-9</v>
      </c>
      <c r="G40304">
        <v>23699546</v>
      </c>
      <c r="H40304">
        <v>9444358</v>
      </c>
      <c r="I40304">
        <v>66606943</v>
      </c>
      <c r="J40304">
        <v>2</v>
      </c>
    </row>
    <row r="40305" spans="1:10" x14ac:dyDescent="0.25">
      <c r="A40305" t="s">
        <v>413</v>
      </c>
      <c r="B40305" s="1" t="str">
        <f>HYPERLINK("http://letstalkallergicitch.com","letstalkallergicitch.com")</f>
        <v>letstalkallergicitch.com</v>
      </c>
      <c r="C40305" t="s">
        <v>433</v>
      </c>
      <c r="J40305">
        <v>2</v>
      </c>
    </row>
    <row r="40306" spans="1:10" x14ac:dyDescent="0.25">
      <c r="A40306" t="s">
        <v>413</v>
      </c>
      <c r="B40306" s="1" t="str">
        <f>HYPERLINK("http://nexvet.com","nexvet.com")</f>
        <v>nexvet.com</v>
      </c>
      <c r="C40306" t="s">
        <v>433</v>
      </c>
      <c r="F40306">
        <v>7.5038673381839603E-9</v>
      </c>
      <c r="G40306">
        <v>11004992</v>
      </c>
      <c r="H40306">
        <v>13266300</v>
      </c>
      <c r="I40306">
        <v>11007079</v>
      </c>
      <c r="J40306">
        <v>3</v>
      </c>
    </row>
    <row r="40307" spans="1:10" x14ac:dyDescent="0.25">
      <c r="A40307" t="s">
        <v>413</v>
      </c>
      <c r="B40307" s="1" t="str">
        <f>HYPERLINK("http://performancelivestockanalytics.com","performancelivestockanalytics.com")</f>
        <v>performancelivestockanalytics.com</v>
      </c>
      <c r="C40307" t="s">
        <v>433</v>
      </c>
      <c r="F40307">
        <v>5.2938344051033501E-8</v>
      </c>
      <c r="G40307">
        <v>860429</v>
      </c>
      <c r="H40307">
        <v>14079706</v>
      </c>
      <c r="I40307">
        <v>2829356</v>
      </c>
      <c r="J40307">
        <v>3</v>
      </c>
    </row>
    <row r="40308" spans="1:10" x14ac:dyDescent="0.25">
      <c r="A40308" t="s">
        <v>413</v>
      </c>
      <c r="B40308" s="1" t="str">
        <f>HYPERLINK("http://pharmaq.com","pharmaq.com")</f>
        <v>pharmaq.com</v>
      </c>
      <c r="C40308" t="s">
        <v>433</v>
      </c>
      <c r="F40308">
        <v>6.7375692872127796E-8</v>
      </c>
      <c r="G40308">
        <v>634369</v>
      </c>
      <c r="H40308">
        <v>13120602</v>
      </c>
      <c r="I40308">
        <v>11991469</v>
      </c>
      <c r="J40308">
        <v>4</v>
      </c>
    </row>
    <row r="40309" spans="1:10" x14ac:dyDescent="0.25">
      <c r="A40309" t="s">
        <v>413</v>
      </c>
      <c r="B40309" s="1" t="str">
        <f>HYPERLINK("http://pharmaq-analytiq.com","pharmaq-analytiq.com")</f>
        <v>pharmaq-analytiq.com</v>
      </c>
      <c r="C40309" t="s">
        <v>433</v>
      </c>
      <c r="F40309">
        <v>1.1272827735951201E-8</v>
      </c>
      <c r="G40309">
        <v>5661407</v>
      </c>
      <c r="H40309">
        <v>12520749</v>
      </c>
      <c r="I40309">
        <v>17144351</v>
      </c>
      <c r="J40309">
        <v>3</v>
      </c>
    </row>
    <row r="40310" spans="1:10" x14ac:dyDescent="0.25">
      <c r="A40310" t="s">
        <v>413</v>
      </c>
      <c r="B40310" s="1" t="str">
        <f>HYPERLINK("http://platinumperformance.com","platinumperformance.com")</f>
        <v>platinumperformance.com</v>
      </c>
      <c r="C40310" t="s">
        <v>433</v>
      </c>
      <c r="E40310">
        <v>722898</v>
      </c>
      <c r="F40310">
        <v>1.1477744874722899E-7</v>
      </c>
      <c r="G40310">
        <v>346861</v>
      </c>
      <c r="H40310">
        <v>14219013</v>
      </c>
      <c r="I40310">
        <v>1688181</v>
      </c>
      <c r="J40310">
        <v>3</v>
      </c>
    </row>
    <row r="40311" spans="1:10" x14ac:dyDescent="0.25">
      <c r="A40311" t="s">
        <v>413</v>
      </c>
      <c r="B40311" s="1" t="str">
        <f>HYPERLINK("http://risksarereal.com","risksarereal.com")</f>
        <v>risksarereal.com</v>
      </c>
      <c r="C40311" t="s">
        <v>433</v>
      </c>
      <c r="J40311">
        <v>2</v>
      </c>
    </row>
    <row r="40312" spans="1:10" x14ac:dyDescent="0.25">
      <c r="A40312" t="s">
        <v>413</v>
      </c>
      <c r="B40312" s="1" t="str">
        <f>HYPERLINK("http://smartbow.com","smartbow.com")</f>
        <v>smartbow.com</v>
      </c>
      <c r="C40312" t="s">
        <v>433</v>
      </c>
      <c r="F40312">
        <v>6.4609317689705397E-8</v>
      </c>
      <c r="G40312">
        <v>669429</v>
      </c>
      <c r="H40312">
        <v>13731526</v>
      </c>
      <c r="I40312">
        <v>9457074</v>
      </c>
      <c r="J40312">
        <v>3</v>
      </c>
    </row>
    <row r="40313" spans="1:10" x14ac:dyDescent="0.25">
      <c r="A40313" t="s">
        <v>413</v>
      </c>
      <c r="B40313" s="1" t="str">
        <f>HYPERLINK("http://virtualrecall.com","virtualrecall.com")</f>
        <v>virtualrecall.com</v>
      </c>
      <c r="C40313" t="s">
        <v>433</v>
      </c>
      <c r="F40313">
        <v>1.3623388849234001E-8</v>
      </c>
      <c r="G40313">
        <v>4352280</v>
      </c>
      <c r="H40313">
        <v>12359467</v>
      </c>
      <c r="I40313">
        <v>19595410</v>
      </c>
      <c r="J40313">
        <v>3</v>
      </c>
    </row>
    <row r="40314" spans="1:10" x14ac:dyDescent="0.25">
      <c r="A40314" t="s">
        <v>413</v>
      </c>
      <c r="B40314" s="1" t="str">
        <f>HYPERLINK("http://xn--u8j9c6b1a1875f.com","xn--u8j9c6b1a1875f.com")</f>
        <v>xn--u8j9c6b1a1875f.com</v>
      </c>
      <c r="C40314" t="s">
        <v>433</v>
      </c>
      <c r="F40314">
        <v>6.0119196759154503E-8</v>
      </c>
      <c r="G40314">
        <v>734080</v>
      </c>
      <c r="H40314">
        <v>12690940</v>
      </c>
      <c r="I40314">
        <v>15413976</v>
      </c>
      <c r="J40314">
        <v>2</v>
      </c>
    </row>
    <row r="40315" spans="1:10" x14ac:dyDescent="0.25">
      <c r="A40315" t="s">
        <v>413</v>
      </c>
      <c r="B40315" s="1" t="str">
        <f>HYPERLINK("http://zoetis.com","zoetis.com")</f>
        <v>zoetis.com</v>
      </c>
      <c r="C40315" t="s">
        <v>433</v>
      </c>
      <c r="E40315">
        <v>58547</v>
      </c>
      <c r="F40315">
        <v>6.6490507540329395E-7</v>
      </c>
      <c r="G40315">
        <v>57925</v>
      </c>
      <c r="H40315">
        <v>15482306</v>
      </c>
      <c r="I40315">
        <v>377216</v>
      </c>
      <c r="J40315">
        <v>1</v>
      </c>
    </row>
    <row r="40316" spans="1:10" x14ac:dyDescent="0.25">
      <c r="A40316" t="s">
        <v>413</v>
      </c>
      <c r="B40316" s="1" t="str">
        <f>HYPERLINK("http://zoetispetcare.com","zoetispetcare.com")</f>
        <v>zoetispetcare.com</v>
      </c>
      <c r="C40316" t="s">
        <v>433</v>
      </c>
      <c r="E40316">
        <v>129365</v>
      </c>
      <c r="F40316">
        <v>4.2488931136933498E-7</v>
      </c>
      <c r="G40316">
        <v>88646</v>
      </c>
      <c r="H40316">
        <v>14373045</v>
      </c>
      <c r="I40316">
        <v>1283186</v>
      </c>
      <c r="J40316">
        <v>2</v>
      </c>
    </row>
    <row r="40317" spans="1:10" x14ac:dyDescent="0.25">
      <c r="A40317" t="s">
        <v>413</v>
      </c>
      <c r="B40317" s="1" t="str">
        <f>HYPERLINK("http://zoetisus.com","zoetisus.com")</f>
        <v>zoetisus.com</v>
      </c>
      <c r="C40317" t="s">
        <v>433</v>
      </c>
      <c r="E40317">
        <v>121437</v>
      </c>
      <c r="F40317">
        <v>6.2615952285538898E-7</v>
      </c>
      <c r="G40317">
        <v>61206</v>
      </c>
      <c r="H40317">
        <v>14960195</v>
      </c>
      <c r="I40317">
        <v>437218</v>
      </c>
      <c r="J40317">
        <v>2</v>
      </c>
    </row>
    <row r="40318" spans="1:10" x14ac:dyDescent="0.25">
      <c r="A40318" t="s">
        <v>413</v>
      </c>
      <c r="B40318" s="1" t="str">
        <f>HYPERLINK("http://zoetis.co.cr","zoetis.co.cr")</f>
        <v>zoetis.co.cr</v>
      </c>
      <c r="C40318" t="s">
        <v>434</v>
      </c>
      <c r="D40318" t="s">
        <v>813</v>
      </c>
      <c r="F40318">
        <v>1.69883895822055E-8</v>
      </c>
      <c r="G40318">
        <v>3285930</v>
      </c>
      <c r="H40318">
        <v>11265179</v>
      </c>
      <c r="I40318">
        <v>30799944</v>
      </c>
      <c r="J40318">
        <v>2</v>
      </c>
    </row>
    <row r="40319" spans="1:10" x14ac:dyDescent="0.25">
      <c r="A40319" t="s">
        <v>413</v>
      </c>
      <c r="B40319" s="1" t="str">
        <f>HYPERLINK("http://zoetis.cz","zoetis.cz")</f>
        <v>zoetis.cz</v>
      </c>
      <c r="C40319" t="s">
        <v>435</v>
      </c>
      <c r="D40319" t="s">
        <v>814</v>
      </c>
      <c r="F40319">
        <v>2.66971963867002E-8</v>
      </c>
      <c r="G40319">
        <v>1927805</v>
      </c>
      <c r="H40319">
        <v>12219295</v>
      </c>
      <c r="I40319">
        <v>22804100</v>
      </c>
      <c r="J40319">
        <v>2</v>
      </c>
    </row>
    <row r="40320" spans="1:10" x14ac:dyDescent="0.25">
      <c r="A40320" t="s">
        <v>413</v>
      </c>
      <c r="B40320" s="1" t="str">
        <f>HYPERLINK("http://abaxis.de","abaxis.de")</f>
        <v>abaxis.de</v>
      </c>
      <c r="C40320" t="s">
        <v>436</v>
      </c>
      <c r="D40320" t="s">
        <v>815</v>
      </c>
      <c r="F40320">
        <v>7.3076638982997703E-9</v>
      </c>
      <c r="G40320">
        <v>11461059</v>
      </c>
      <c r="H40320">
        <v>10788568</v>
      </c>
      <c r="I40320">
        <v>38556946</v>
      </c>
      <c r="J40320">
        <v>3</v>
      </c>
    </row>
    <row r="40321" spans="1:10" x14ac:dyDescent="0.25">
      <c r="A40321" t="s">
        <v>413</v>
      </c>
      <c r="B40321" s="1" t="str">
        <f>HYPERLINK("http://zoetis.de","zoetis.de")</f>
        <v>zoetis.de</v>
      </c>
      <c r="C40321" t="s">
        <v>436</v>
      </c>
      <c r="D40321" t="s">
        <v>815</v>
      </c>
      <c r="F40321">
        <v>4.22276364528161E-8</v>
      </c>
      <c r="G40321">
        <v>1154085</v>
      </c>
      <c r="H40321">
        <v>13183723</v>
      </c>
      <c r="I40321">
        <v>11674198</v>
      </c>
      <c r="J40321">
        <v>2</v>
      </c>
    </row>
    <row r="40322" spans="1:10" x14ac:dyDescent="0.25">
      <c r="A40322" t="s">
        <v>413</v>
      </c>
      <c r="B40322" s="1" t="str">
        <f>HYPERLINK("http://smb.dk","smb.dk")</f>
        <v>smb.dk</v>
      </c>
      <c r="C40322" t="s">
        <v>437</v>
      </c>
      <c r="D40322" t="s">
        <v>816</v>
      </c>
      <c r="F40322">
        <v>1.1582127761438E-8</v>
      </c>
      <c r="G40322">
        <v>5445954</v>
      </c>
      <c r="H40322">
        <v>13719213</v>
      </c>
      <c r="I40322">
        <v>9478686</v>
      </c>
      <c r="J40322">
        <v>3</v>
      </c>
    </row>
    <row r="40323" spans="1:10" x14ac:dyDescent="0.25">
      <c r="A40323" t="s">
        <v>413</v>
      </c>
      <c r="B40323" s="1" t="str">
        <f>HYPERLINK("http://zoetis.com.ec","zoetis.com.ec")</f>
        <v>zoetis.com.ec</v>
      </c>
      <c r="C40323" t="s">
        <v>440</v>
      </c>
      <c r="D40323" t="s">
        <v>819</v>
      </c>
      <c r="F40323">
        <v>1.74311472504558E-8</v>
      </c>
      <c r="G40323">
        <v>3164559</v>
      </c>
      <c r="H40323">
        <v>11255556</v>
      </c>
      <c r="I40323">
        <v>30859919</v>
      </c>
      <c r="J40323">
        <v>2</v>
      </c>
    </row>
    <row r="40324" spans="1:10" x14ac:dyDescent="0.25">
      <c r="A40324" t="s">
        <v>413</v>
      </c>
      <c r="B40324" s="1" t="str">
        <f>HYPERLINK("http://zoetis.ee","zoetis.ee")</f>
        <v>zoetis.ee</v>
      </c>
      <c r="C40324" t="s">
        <v>441</v>
      </c>
      <c r="D40324" t="s">
        <v>820</v>
      </c>
      <c r="F40324">
        <v>1.7072205913264701E-8</v>
      </c>
      <c r="G40324">
        <v>3266917</v>
      </c>
      <c r="H40324">
        <v>11254399</v>
      </c>
      <c r="I40324">
        <v>30868178</v>
      </c>
      <c r="J40324">
        <v>2</v>
      </c>
    </row>
    <row r="40325" spans="1:10" x14ac:dyDescent="0.25">
      <c r="A40325" t="s">
        <v>413</v>
      </c>
      <c r="B40325" s="1" t="str">
        <f>HYPERLINK("http://especialistasennovillas.es","especialistasennovillas.es")</f>
        <v>especialistasennovillas.es</v>
      </c>
      <c r="C40325" t="s">
        <v>443</v>
      </c>
      <c r="D40325" t="s">
        <v>822</v>
      </c>
      <c r="F40325">
        <v>7.2834613897347502E-9</v>
      </c>
      <c r="G40325">
        <v>11520651</v>
      </c>
      <c r="H40325">
        <v>12137934</v>
      </c>
      <c r="I40325">
        <v>24926722</v>
      </c>
      <c r="J40325">
        <v>2</v>
      </c>
    </row>
    <row r="40326" spans="1:10" x14ac:dyDescent="0.25">
      <c r="A40326" t="s">
        <v>413</v>
      </c>
      <c r="B40326" s="1" t="str">
        <f>HYPERLINK("http://zoetis.es","zoetis.es")</f>
        <v>zoetis.es</v>
      </c>
      <c r="C40326" t="s">
        <v>443</v>
      </c>
      <c r="D40326" t="s">
        <v>822</v>
      </c>
      <c r="F40326">
        <v>4.7151802860823399E-8</v>
      </c>
      <c r="G40326">
        <v>989248</v>
      </c>
      <c r="H40326">
        <v>14046531</v>
      </c>
      <c r="I40326">
        <v>3899523</v>
      </c>
      <c r="J40326">
        <v>2</v>
      </c>
    </row>
    <row r="40327" spans="1:10" x14ac:dyDescent="0.25">
      <c r="A40327" t="s">
        <v>413</v>
      </c>
      <c r="B40327" s="1" t="str">
        <f>HYPERLINK("http://drmouse.fi","drmouse.fi")</f>
        <v>drmouse.fi</v>
      </c>
      <c r="C40327" t="s">
        <v>445</v>
      </c>
      <c r="D40327" t="s">
        <v>823</v>
      </c>
      <c r="F40327">
        <v>5.6163156920695698E-9</v>
      </c>
      <c r="G40327">
        <v>19702754</v>
      </c>
      <c r="H40327">
        <v>13763635</v>
      </c>
      <c r="I40327">
        <v>8221446</v>
      </c>
      <c r="J40327">
        <v>4</v>
      </c>
    </row>
    <row r="40328" spans="1:10" x14ac:dyDescent="0.25">
      <c r="A40328" t="s">
        <v>413</v>
      </c>
      <c r="B40328" s="1" t="str">
        <f>HYPERLINK("http://kirput.fi","kirput.fi")</f>
        <v>kirput.fi</v>
      </c>
      <c r="C40328" t="s">
        <v>445</v>
      </c>
      <c r="D40328" t="s">
        <v>823</v>
      </c>
      <c r="J40328">
        <v>4</v>
      </c>
    </row>
    <row r="40329" spans="1:10" x14ac:dyDescent="0.25">
      <c r="A40329" t="s">
        <v>413</v>
      </c>
      <c r="B40329" s="1" t="str">
        <f>HYPERLINK("http://kivutonkoira.fi","kivutonkoira.fi")</f>
        <v>kivutonkoira.fi</v>
      </c>
      <c r="C40329" t="s">
        <v>445</v>
      </c>
      <c r="D40329" t="s">
        <v>823</v>
      </c>
      <c r="F40329">
        <v>5.5213547621924801E-9</v>
      </c>
      <c r="G40329">
        <v>20673377</v>
      </c>
      <c r="H40329">
        <v>11007009</v>
      </c>
      <c r="I40329">
        <v>33453065</v>
      </c>
      <c r="J40329">
        <v>2</v>
      </c>
    </row>
    <row r="40330" spans="1:10" x14ac:dyDescent="0.25">
      <c r="A40330" t="s">
        <v>413</v>
      </c>
      <c r="B40330" s="1" t="str">
        <f>HYPERLINK("http://koirajakutina.fi","koirajakutina.fi")</f>
        <v>koirajakutina.fi</v>
      </c>
      <c r="C40330" t="s">
        <v>445</v>
      </c>
      <c r="D40330" t="s">
        <v>823</v>
      </c>
      <c r="F40330">
        <v>4.7483628854228604E-9</v>
      </c>
      <c r="G40330">
        <v>38400581</v>
      </c>
      <c r="H40330">
        <v>8488532</v>
      </c>
      <c r="I40330">
        <v>72153352</v>
      </c>
      <c r="J40330">
        <v>2</v>
      </c>
    </row>
    <row r="40331" spans="1:10" x14ac:dyDescent="0.25">
      <c r="A40331" t="s">
        <v>413</v>
      </c>
      <c r="B40331" s="1" t="str">
        <f>HYPERLINK("http://librela.fi","librela.fi")</f>
        <v>librela.fi</v>
      </c>
      <c r="C40331" t="s">
        <v>445</v>
      </c>
      <c r="D40331" t="s">
        <v>823</v>
      </c>
      <c r="J40331">
        <v>4</v>
      </c>
    </row>
    <row r="40332" spans="1:10" x14ac:dyDescent="0.25">
      <c r="A40332" t="s">
        <v>413</v>
      </c>
      <c r="B40332" s="1" t="str">
        <f>HYPERLINK("http://punkit.fi","punkit.fi")</f>
        <v>punkit.fi</v>
      </c>
      <c r="C40332" t="s">
        <v>445</v>
      </c>
      <c r="D40332" t="s">
        <v>823</v>
      </c>
      <c r="J40332">
        <v>4</v>
      </c>
    </row>
    <row r="40333" spans="1:10" x14ac:dyDescent="0.25">
      <c r="A40333" t="s">
        <v>413</v>
      </c>
      <c r="B40333" s="1" t="str">
        <f>HYPERLINK("http://simparica.fi","simparica.fi")</f>
        <v>simparica.fi</v>
      </c>
      <c r="C40333" t="s">
        <v>445</v>
      </c>
      <c r="D40333" t="s">
        <v>823</v>
      </c>
      <c r="J40333">
        <v>4</v>
      </c>
    </row>
    <row r="40334" spans="1:10" x14ac:dyDescent="0.25">
      <c r="A40334" t="s">
        <v>413</v>
      </c>
      <c r="B40334" s="1" t="str">
        <f>HYPERLINK("http://simparicatrio.fi","simparicatrio.fi")</f>
        <v>simparicatrio.fi</v>
      </c>
      <c r="C40334" t="s">
        <v>445</v>
      </c>
      <c r="D40334" t="s">
        <v>823</v>
      </c>
      <c r="J40334">
        <v>4</v>
      </c>
    </row>
    <row r="40335" spans="1:10" x14ac:dyDescent="0.25">
      <c r="A40335" t="s">
        <v>413</v>
      </c>
      <c r="B40335" s="1" t="str">
        <f>HYPERLINK("http://smartbow.fi","smartbow.fi")</f>
        <v>smartbow.fi</v>
      </c>
      <c r="C40335" t="s">
        <v>445</v>
      </c>
      <c r="D40335" t="s">
        <v>823</v>
      </c>
      <c r="J40335">
        <v>2</v>
      </c>
    </row>
    <row r="40336" spans="1:10" x14ac:dyDescent="0.25">
      <c r="A40336" t="s">
        <v>413</v>
      </c>
      <c r="B40336" s="1" t="str">
        <f>HYPERLINK("http://solensia.fi","solensia.fi")</f>
        <v>solensia.fi</v>
      </c>
      <c r="C40336" t="s">
        <v>445</v>
      </c>
      <c r="D40336" t="s">
        <v>823</v>
      </c>
      <c r="J40336">
        <v>4</v>
      </c>
    </row>
    <row r="40337" spans="1:10" x14ac:dyDescent="0.25">
      <c r="A40337" t="s">
        <v>413</v>
      </c>
      <c r="B40337" s="1" t="str">
        <f>HYPERLINK("http://thenewscienceofoapain.fi","thenewscienceofoapain.fi")</f>
        <v>thenewscienceofoapain.fi</v>
      </c>
      <c r="C40337" t="s">
        <v>445</v>
      </c>
      <c r="D40337" t="s">
        <v>823</v>
      </c>
      <c r="J40337">
        <v>4</v>
      </c>
    </row>
    <row r="40338" spans="1:10" x14ac:dyDescent="0.25">
      <c r="A40338" t="s">
        <v>413</v>
      </c>
      <c r="B40338" s="1" t="str">
        <f>HYPERLINK("http://vetpost.fi","vetpost.fi")</f>
        <v>vetpost.fi</v>
      </c>
      <c r="C40338" t="s">
        <v>445</v>
      </c>
      <c r="D40338" t="s">
        <v>823</v>
      </c>
      <c r="J40338">
        <v>4</v>
      </c>
    </row>
    <row r="40339" spans="1:10" x14ac:dyDescent="0.25">
      <c r="A40339" t="s">
        <v>413</v>
      </c>
      <c r="B40339" s="1" t="str">
        <f>HYPERLINK("http://zoetis.fi","zoetis.fi")</f>
        <v>zoetis.fi</v>
      </c>
      <c r="C40339" t="s">
        <v>445</v>
      </c>
      <c r="D40339" t="s">
        <v>823</v>
      </c>
      <c r="F40339">
        <v>1.8585948071940101E-8</v>
      </c>
      <c r="G40339">
        <v>2909867</v>
      </c>
      <c r="H40339">
        <v>11255902</v>
      </c>
      <c r="I40339">
        <v>30857039</v>
      </c>
      <c r="J40339">
        <v>3</v>
      </c>
    </row>
    <row r="40340" spans="1:10" x14ac:dyDescent="0.25">
      <c r="A40340" t="s">
        <v>413</v>
      </c>
      <c r="B40340" s="1" t="str">
        <f>HYPERLINK("http://zoetisdx.fi","zoetisdx.fi")</f>
        <v>zoetisdx.fi</v>
      </c>
      <c r="C40340" t="s">
        <v>445</v>
      </c>
      <c r="D40340" t="s">
        <v>823</v>
      </c>
      <c r="J40340">
        <v>4</v>
      </c>
    </row>
    <row r="40341" spans="1:10" x14ac:dyDescent="0.25">
      <c r="A40341" t="s">
        <v>413</v>
      </c>
      <c r="B40341" s="1" t="str">
        <f>HYPERLINK("http://bimeda.fr","bimeda.fr")</f>
        <v>bimeda.fr</v>
      </c>
      <c r="C40341" t="s">
        <v>446</v>
      </c>
      <c r="D40341" t="s">
        <v>824</v>
      </c>
      <c r="F40341">
        <v>9.4496037163281992E-9</v>
      </c>
      <c r="G40341">
        <v>7383322</v>
      </c>
      <c r="H40341">
        <v>10712695</v>
      </c>
      <c r="I40341">
        <v>42119365</v>
      </c>
      <c r="J40341">
        <v>5</v>
      </c>
    </row>
    <row r="40342" spans="1:10" x14ac:dyDescent="0.25">
      <c r="A40342" t="s">
        <v>413</v>
      </c>
      <c r="B40342" s="1" t="str">
        <f>HYPERLINK("http://rappelaupoil.fr","rappelaupoil.fr")</f>
        <v>rappelaupoil.fr</v>
      </c>
      <c r="C40342" t="s">
        <v>446</v>
      </c>
      <c r="D40342" t="s">
        <v>824</v>
      </c>
      <c r="J40342">
        <v>2</v>
      </c>
    </row>
    <row r="40343" spans="1:10" x14ac:dyDescent="0.25">
      <c r="A40343" t="s">
        <v>413</v>
      </c>
      <c r="B40343" s="1" t="str">
        <f>HYPERLINK("http://zoetis.fr","zoetis.fr")</f>
        <v>zoetis.fr</v>
      </c>
      <c r="C40343" t="s">
        <v>446</v>
      </c>
      <c r="D40343" t="s">
        <v>824</v>
      </c>
      <c r="F40343">
        <v>3.9871875059899799E-8</v>
      </c>
      <c r="G40343">
        <v>1295968</v>
      </c>
      <c r="H40343">
        <v>12495341</v>
      </c>
      <c r="I40343">
        <v>17424693</v>
      </c>
      <c r="J40343">
        <v>2</v>
      </c>
    </row>
    <row r="40344" spans="1:10" x14ac:dyDescent="0.25">
      <c r="A40344" t="s">
        <v>413</v>
      </c>
      <c r="B40344" s="1" t="str">
        <f>HYPERLINK("http://zoetis.com.gh","zoetis.com.gh")</f>
        <v>zoetis.com.gh</v>
      </c>
      <c r="C40344" t="s">
        <v>640</v>
      </c>
      <c r="D40344" t="s">
        <v>961</v>
      </c>
      <c r="F40344">
        <v>1.6729325136632798E-8</v>
      </c>
      <c r="G40344">
        <v>3351412</v>
      </c>
      <c r="H40344">
        <v>11254395</v>
      </c>
      <c r="I40344">
        <v>30868242</v>
      </c>
      <c r="J40344">
        <v>2</v>
      </c>
    </row>
    <row r="40345" spans="1:10" x14ac:dyDescent="0.25">
      <c r="A40345" t="s">
        <v>413</v>
      </c>
      <c r="B40345" s="1" t="str">
        <f>HYPERLINK("http://zoetis.gr","zoetis.gr")</f>
        <v>zoetis.gr</v>
      </c>
      <c r="C40345" t="s">
        <v>447</v>
      </c>
      <c r="D40345" t="s">
        <v>825</v>
      </c>
      <c r="F40345">
        <v>1.74050417094603E-8</v>
      </c>
      <c r="G40345">
        <v>3171985</v>
      </c>
      <c r="H40345">
        <v>11259551</v>
      </c>
      <c r="I40345">
        <v>30834201</v>
      </c>
      <c r="J40345">
        <v>2</v>
      </c>
    </row>
    <row r="40346" spans="1:10" x14ac:dyDescent="0.25">
      <c r="A40346" t="s">
        <v>413</v>
      </c>
      <c r="B40346" s="1" t="str">
        <f>HYPERLINK("http://bimeda.gt","bimeda.gt")</f>
        <v>bimeda.gt</v>
      </c>
      <c r="C40346" t="s">
        <v>448</v>
      </c>
      <c r="D40346" t="s">
        <v>826</v>
      </c>
      <c r="F40346">
        <v>7.1483700784204901E-9</v>
      </c>
      <c r="G40346">
        <v>11881289</v>
      </c>
      <c r="H40346">
        <v>10403096</v>
      </c>
      <c r="I40346">
        <v>54198003</v>
      </c>
      <c r="J40346">
        <v>6</v>
      </c>
    </row>
    <row r="40347" spans="1:10" x14ac:dyDescent="0.25">
      <c r="A40347" t="s">
        <v>413</v>
      </c>
      <c r="B40347" s="1" t="str">
        <f>HYPERLINK("http://zoetis.hr","zoetis.hr")</f>
        <v>zoetis.hr</v>
      </c>
      <c r="C40347" t="s">
        <v>452</v>
      </c>
      <c r="D40347" t="s">
        <v>829</v>
      </c>
      <c r="F40347">
        <v>1.7176107209278199E-8</v>
      </c>
      <c r="G40347">
        <v>3232385</v>
      </c>
      <c r="H40347">
        <v>11254409</v>
      </c>
      <c r="I40347">
        <v>30868113</v>
      </c>
      <c r="J40347">
        <v>2</v>
      </c>
    </row>
    <row r="40348" spans="1:10" x14ac:dyDescent="0.25">
      <c r="A40348" t="s">
        <v>413</v>
      </c>
      <c r="B40348" s="1" t="str">
        <f>HYPERLINK("http://zoetis.hu","zoetis.hu")</f>
        <v>zoetis.hu</v>
      </c>
      <c r="C40348" t="s">
        <v>453</v>
      </c>
      <c r="D40348" t="s">
        <v>830</v>
      </c>
      <c r="F40348">
        <v>2.2127541862931601E-8</v>
      </c>
      <c r="G40348">
        <v>2371244</v>
      </c>
      <c r="H40348">
        <v>12280598</v>
      </c>
      <c r="I40348">
        <v>21293381</v>
      </c>
      <c r="J40348">
        <v>2</v>
      </c>
    </row>
    <row r="40349" spans="1:10" x14ac:dyDescent="0.25">
      <c r="A40349" t="s">
        <v>413</v>
      </c>
      <c r="B40349" s="1" t="str">
        <f>HYPERLINK("http://zoetis.co.id","zoetis.co.id")</f>
        <v>zoetis.co.id</v>
      </c>
      <c r="C40349" t="s">
        <v>454</v>
      </c>
      <c r="D40349" t="s">
        <v>831</v>
      </c>
      <c r="F40349">
        <v>1.68551320276008E-8</v>
      </c>
      <c r="G40349">
        <v>3320008</v>
      </c>
      <c r="H40349">
        <v>11254398</v>
      </c>
      <c r="I40349">
        <v>30868209</v>
      </c>
      <c r="J40349">
        <v>2</v>
      </c>
    </row>
    <row r="40350" spans="1:10" x14ac:dyDescent="0.25">
      <c r="A40350" t="s">
        <v>413</v>
      </c>
      <c r="B40350" s="1" t="str">
        <f>HYPERLINK("http://bimeda.ie","bimeda.ie")</f>
        <v>bimeda.ie</v>
      </c>
      <c r="C40350" t="s">
        <v>455</v>
      </c>
      <c r="D40350" t="s">
        <v>832</v>
      </c>
      <c r="F40350">
        <v>9.9465617300378403E-9</v>
      </c>
      <c r="G40350">
        <v>6809968</v>
      </c>
      <c r="H40350">
        <v>11687358</v>
      </c>
      <c r="I40350">
        <v>29860856</v>
      </c>
      <c r="J40350">
        <v>3</v>
      </c>
    </row>
    <row r="40351" spans="1:10" x14ac:dyDescent="0.25">
      <c r="A40351" t="s">
        <v>413</v>
      </c>
      <c r="B40351" s="1" t="str">
        <f>HYPERLINK("http://zoetis.ie","zoetis.ie")</f>
        <v>zoetis.ie</v>
      </c>
      <c r="C40351" t="s">
        <v>455</v>
      </c>
      <c r="D40351" t="s">
        <v>832</v>
      </c>
      <c r="F40351">
        <v>2.0689802178367201E-8</v>
      </c>
      <c r="G40351">
        <v>2558179</v>
      </c>
      <c r="H40351">
        <v>12468950</v>
      </c>
      <c r="I40351">
        <v>17769758</v>
      </c>
      <c r="J40351">
        <v>2</v>
      </c>
    </row>
    <row r="40352" spans="1:10" x14ac:dyDescent="0.25">
      <c r="A40352" t="s">
        <v>413</v>
      </c>
      <c r="B40352" s="1" t="str">
        <f>HYPERLINK("http://zoetis.co.il","zoetis.co.il")</f>
        <v>zoetis.co.il</v>
      </c>
      <c r="C40352" t="s">
        <v>456</v>
      </c>
      <c r="D40352" t="s">
        <v>833</v>
      </c>
      <c r="F40352">
        <v>1.7515097462421401E-8</v>
      </c>
      <c r="G40352">
        <v>3142590</v>
      </c>
      <c r="H40352">
        <v>11290589</v>
      </c>
      <c r="I40352">
        <v>30653286</v>
      </c>
      <c r="J40352">
        <v>2</v>
      </c>
    </row>
    <row r="40353" spans="1:10" x14ac:dyDescent="0.25">
      <c r="A40353" t="s">
        <v>413</v>
      </c>
      <c r="B40353" s="1" t="str">
        <f>HYPERLINK("http://zoetis.in","zoetis.in")</f>
        <v>zoetis.in</v>
      </c>
      <c r="C40353" t="s">
        <v>457</v>
      </c>
      <c r="D40353" t="s">
        <v>834</v>
      </c>
      <c r="F40353">
        <v>1.7076382788960199E-8</v>
      </c>
      <c r="G40353">
        <v>3265979</v>
      </c>
      <c r="H40353">
        <v>11264157</v>
      </c>
      <c r="I40353">
        <v>30804753</v>
      </c>
      <c r="J40353">
        <v>2</v>
      </c>
    </row>
    <row r="40354" spans="1:10" x14ac:dyDescent="0.25">
      <c r="A40354" t="s">
        <v>413</v>
      </c>
      <c r="B40354" s="1" t="str">
        <f>HYPERLINK("http://zoetis.it","zoetis.it")</f>
        <v>zoetis.it</v>
      </c>
      <c r="C40354" t="s">
        <v>459</v>
      </c>
      <c r="D40354" t="s">
        <v>835</v>
      </c>
      <c r="F40354">
        <v>2.0476615161590899E-8</v>
      </c>
      <c r="G40354">
        <v>2587963</v>
      </c>
      <c r="H40354">
        <v>12616364</v>
      </c>
      <c r="I40354">
        <v>16125593</v>
      </c>
      <c r="J40354">
        <v>2</v>
      </c>
    </row>
    <row r="40355" spans="1:10" x14ac:dyDescent="0.25">
      <c r="A40355" t="s">
        <v>413</v>
      </c>
      <c r="B40355" s="1" t="str">
        <f>HYPERLINK("http://zoetis.jp","zoetis.jp")</f>
        <v>zoetis.jp</v>
      </c>
      <c r="C40355" t="s">
        <v>461</v>
      </c>
      <c r="D40355" t="s">
        <v>837</v>
      </c>
      <c r="F40355">
        <v>8.7349862025887299E-8</v>
      </c>
      <c r="G40355">
        <v>469787</v>
      </c>
      <c r="H40355">
        <v>14089846</v>
      </c>
      <c r="I40355">
        <v>2751918</v>
      </c>
      <c r="J40355">
        <v>2</v>
      </c>
    </row>
    <row r="40356" spans="1:10" x14ac:dyDescent="0.25">
      <c r="A40356" t="s">
        <v>413</v>
      </c>
      <c r="B40356" s="1" t="str">
        <f>HYPERLINK("http://bimeda.co.ke","bimeda.co.ke")</f>
        <v>bimeda.co.ke</v>
      </c>
      <c r="C40356" t="s">
        <v>462</v>
      </c>
      <c r="D40356" t="s">
        <v>838</v>
      </c>
      <c r="F40356">
        <v>9.7912573598430207E-9</v>
      </c>
      <c r="G40356">
        <v>6978326</v>
      </c>
      <c r="H40356">
        <v>12448819</v>
      </c>
      <c r="I40356">
        <v>18033903</v>
      </c>
      <c r="J40356">
        <v>5</v>
      </c>
    </row>
    <row r="40357" spans="1:10" x14ac:dyDescent="0.25">
      <c r="A40357" t="s">
        <v>413</v>
      </c>
      <c r="B40357" s="1" t="str">
        <f>HYPERLINK("http://zoetis.ke","zoetis.ke")</f>
        <v>zoetis.ke</v>
      </c>
      <c r="C40357" t="s">
        <v>462</v>
      </c>
      <c r="D40357" t="s">
        <v>838</v>
      </c>
      <c r="F40357">
        <v>1.6738966231253498E-8</v>
      </c>
      <c r="G40357">
        <v>3349044</v>
      </c>
      <c r="H40357">
        <v>11254395</v>
      </c>
      <c r="I40357">
        <v>30868243</v>
      </c>
      <c r="J40357">
        <v>2</v>
      </c>
    </row>
    <row r="40358" spans="1:10" x14ac:dyDescent="0.25">
      <c r="A40358" t="s">
        <v>413</v>
      </c>
      <c r="B40358" s="1" t="str">
        <f>HYPERLINK("http://zoetis.kr","zoetis.kr")</f>
        <v>zoetis.kr</v>
      </c>
      <c r="C40358" t="s">
        <v>463</v>
      </c>
      <c r="D40358" t="s">
        <v>839</v>
      </c>
      <c r="F40358">
        <v>1.7961673853371802E-8</v>
      </c>
      <c r="G40358">
        <v>3040603</v>
      </c>
      <c r="H40358">
        <v>11255141</v>
      </c>
      <c r="I40358">
        <v>30863121</v>
      </c>
      <c r="J40358">
        <v>2</v>
      </c>
    </row>
    <row r="40359" spans="1:10" x14ac:dyDescent="0.25">
      <c r="A40359" t="s">
        <v>413</v>
      </c>
      <c r="B40359" s="1" t="str">
        <f>HYPERLINK("http://zoetis.lt","zoetis.lt")</f>
        <v>zoetis.lt</v>
      </c>
      <c r="C40359" t="s">
        <v>467</v>
      </c>
      <c r="D40359" t="s">
        <v>843</v>
      </c>
      <c r="F40359">
        <v>1.7307980606800999E-8</v>
      </c>
      <c r="G40359">
        <v>3197269</v>
      </c>
      <c r="H40359">
        <v>11254404</v>
      </c>
      <c r="I40359">
        <v>30868141</v>
      </c>
      <c r="J40359">
        <v>2</v>
      </c>
    </row>
    <row r="40360" spans="1:10" x14ac:dyDescent="0.25">
      <c r="A40360" t="s">
        <v>413</v>
      </c>
      <c r="B40360" s="1" t="str">
        <f>HYPERLINK("http://zoetis.lv","zoetis.lv")</f>
        <v>zoetis.lv</v>
      </c>
      <c r="C40360" t="s">
        <v>468</v>
      </c>
      <c r="D40360" t="s">
        <v>844</v>
      </c>
      <c r="F40360">
        <v>1.70722054993098E-8</v>
      </c>
      <c r="G40360">
        <v>3266918</v>
      </c>
      <c r="H40360">
        <v>11254399</v>
      </c>
      <c r="I40360">
        <v>30868180</v>
      </c>
      <c r="J40360">
        <v>2</v>
      </c>
    </row>
    <row r="40361" spans="1:10" x14ac:dyDescent="0.25">
      <c r="A40361" t="s">
        <v>413</v>
      </c>
      <c r="B40361" s="1" t="str">
        <f>HYPERLINK("http://zoetis.mu","zoetis.mu")</f>
        <v>zoetis.mu</v>
      </c>
      <c r="C40361" t="s">
        <v>572</v>
      </c>
      <c r="D40361" t="s">
        <v>919</v>
      </c>
      <c r="F40361">
        <v>1.67352427955449E-8</v>
      </c>
      <c r="G40361">
        <v>3349970</v>
      </c>
      <c r="H40361">
        <v>11254395</v>
      </c>
      <c r="I40361">
        <v>30868244</v>
      </c>
      <c r="J40361">
        <v>2</v>
      </c>
    </row>
    <row r="40362" spans="1:10" x14ac:dyDescent="0.25">
      <c r="A40362" t="s">
        <v>413</v>
      </c>
      <c r="B40362" s="1" t="str">
        <f>HYPERLINK("http://zoetis.co.mw","zoetis.co.mw")</f>
        <v>zoetis.co.mw</v>
      </c>
      <c r="C40362" t="s">
        <v>655</v>
      </c>
      <c r="D40362" t="s">
        <v>974</v>
      </c>
      <c r="F40362">
        <v>1.6735242710326401E-8</v>
      </c>
      <c r="G40362">
        <v>3349971</v>
      </c>
      <c r="H40362">
        <v>11254395</v>
      </c>
      <c r="I40362">
        <v>30868245</v>
      </c>
      <c r="J40362">
        <v>2</v>
      </c>
    </row>
    <row r="40363" spans="1:10" x14ac:dyDescent="0.25">
      <c r="A40363" t="s">
        <v>413</v>
      </c>
      <c r="B40363" s="1" t="str">
        <f>HYPERLINK("http://bimeda.mx","bimeda.mx")</f>
        <v>bimeda.mx</v>
      </c>
      <c r="C40363" t="s">
        <v>471</v>
      </c>
      <c r="D40363" t="s">
        <v>847</v>
      </c>
      <c r="F40363">
        <v>8.7948274526003902E-9</v>
      </c>
      <c r="G40363">
        <v>8319173</v>
      </c>
      <c r="H40363">
        <v>13763684</v>
      </c>
      <c r="I40363">
        <v>7818982</v>
      </c>
      <c r="J40363">
        <v>5</v>
      </c>
    </row>
    <row r="40364" spans="1:10" x14ac:dyDescent="0.25">
      <c r="A40364" t="s">
        <v>413</v>
      </c>
      <c r="B40364" s="1" t="str">
        <f>HYPERLINK("http://mascotasaludable.com.mx","mascotasaludable.com.mx")</f>
        <v>mascotasaludable.com.mx</v>
      </c>
      <c r="C40364" t="s">
        <v>471</v>
      </c>
      <c r="D40364" t="s">
        <v>847</v>
      </c>
      <c r="J40364">
        <v>2</v>
      </c>
    </row>
    <row r="40365" spans="1:10" x14ac:dyDescent="0.25">
      <c r="A40365" t="s">
        <v>413</v>
      </c>
      <c r="B40365" s="1" t="str">
        <f>HYPERLINK("http://mascotasaludable.mx","mascotasaludable.mx")</f>
        <v>mascotasaludable.mx</v>
      </c>
      <c r="C40365" t="s">
        <v>471</v>
      </c>
      <c r="D40365" t="s">
        <v>847</v>
      </c>
      <c r="F40365">
        <v>4.4473680613872098E-9</v>
      </c>
      <c r="G40365">
        <v>73582139</v>
      </c>
      <c r="H40365">
        <v>10078571</v>
      </c>
      <c r="I40365">
        <v>60052640</v>
      </c>
      <c r="J40365">
        <v>2</v>
      </c>
    </row>
    <row r="40366" spans="1:10" x14ac:dyDescent="0.25">
      <c r="A40366" t="s">
        <v>413</v>
      </c>
      <c r="B40366" s="1" t="str">
        <f>HYPERLINK("http://synovex.mx","synovex.mx")</f>
        <v>synovex.mx</v>
      </c>
      <c r="C40366" t="s">
        <v>471</v>
      </c>
      <c r="D40366" t="s">
        <v>847</v>
      </c>
      <c r="F40366">
        <v>4.44380395335525E-9</v>
      </c>
      <c r="G40366">
        <v>87838115</v>
      </c>
      <c r="H40366">
        <v>0</v>
      </c>
      <c r="I40366">
        <v>86636275</v>
      </c>
      <c r="J40366">
        <v>2</v>
      </c>
    </row>
    <row r="40367" spans="1:10" x14ac:dyDescent="0.25">
      <c r="A40367" t="s">
        <v>413</v>
      </c>
      <c r="B40367" s="1" t="str">
        <f>HYPERLINK("http://zoetis.mx","zoetis.mx")</f>
        <v>zoetis.mx</v>
      </c>
      <c r="C40367" t="s">
        <v>471</v>
      </c>
      <c r="D40367" t="s">
        <v>847</v>
      </c>
      <c r="F40367">
        <v>2.40025358303597E-8</v>
      </c>
      <c r="G40367">
        <v>2162695</v>
      </c>
      <c r="H40367">
        <v>12876700</v>
      </c>
      <c r="I40367">
        <v>14021609</v>
      </c>
      <c r="J40367">
        <v>2</v>
      </c>
    </row>
    <row r="40368" spans="1:10" x14ac:dyDescent="0.25">
      <c r="A40368" t="s">
        <v>413</v>
      </c>
      <c r="B40368" s="1" t="str">
        <f>HYPERLINK("http://zoetis.com.my","zoetis.com.my")</f>
        <v>zoetis.com.my</v>
      </c>
      <c r="C40368" t="s">
        <v>472</v>
      </c>
      <c r="D40368" t="s">
        <v>848</v>
      </c>
      <c r="F40368">
        <v>1.70722184436472E-8</v>
      </c>
      <c r="G40368">
        <v>3266912</v>
      </c>
      <c r="H40368">
        <v>11263959</v>
      </c>
      <c r="I40368">
        <v>30807034</v>
      </c>
      <c r="J40368">
        <v>2</v>
      </c>
    </row>
    <row r="40369" spans="1:10" x14ac:dyDescent="0.25">
      <c r="A40369" t="s">
        <v>413</v>
      </c>
      <c r="B40369" s="1" t="str">
        <f>HYPERLINK("http://zoetis.co.mz","zoetis.co.mz")</f>
        <v>zoetis.co.mz</v>
      </c>
      <c r="C40369" t="s">
        <v>616</v>
      </c>
      <c r="D40369" t="s">
        <v>941</v>
      </c>
      <c r="F40369">
        <v>1.67371255616774E-8</v>
      </c>
      <c r="G40369">
        <v>3349526</v>
      </c>
      <c r="H40369">
        <v>11254395</v>
      </c>
      <c r="I40369">
        <v>30868246</v>
      </c>
      <c r="J40369">
        <v>2</v>
      </c>
    </row>
    <row r="40370" spans="1:10" x14ac:dyDescent="0.25">
      <c r="A40370" t="s">
        <v>413</v>
      </c>
      <c r="B40370" s="1" t="str">
        <f>HYPERLINK("http://maagzwerenbijpaarden.nl","maagzwerenbijpaarden.nl")</f>
        <v>maagzwerenbijpaarden.nl</v>
      </c>
      <c r="C40370" t="s">
        <v>477</v>
      </c>
      <c r="D40370" t="s">
        <v>852</v>
      </c>
      <c r="F40370">
        <v>4.8589435238982703E-9</v>
      </c>
      <c r="G40370">
        <v>33846823</v>
      </c>
      <c r="H40370">
        <v>10514091</v>
      </c>
      <c r="I40370">
        <v>49290435</v>
      </c>
      <c r="J40370">
        <v>2</v>
      </c>
    </row>
    <row r="40371" spans="1:10" x14ac:dyDescent="0.25">
      <c r="A40371" t="s">
        <v>413</v>
      </c>
      <c r="B40371" s="1" t="str">
        <f>HYPERLINK("http://zoetis.nl","zoetis.nl")</f>
        <v>zoetis.nl</v>
      </c>
      <c r="C40371" t="s">
        <v>477</v>
      </c>
      <c r="D40371" t="s">
        <v>852</v>
      </c>
      <c r="F40371">
        <v>3.76587734428784E-8</v>
      </c>
      <c r="G40371">
        <v>1374146</v>
      </c>
      <c r="H40371">
        <v>12329618</v>
      </c>
      <c r="I40371">
        <v>20217229</v>
      </c>
      <c r="J40371">
        <v>2</v>
      </c>
    </row>
    <row r="40372" spans="1:10" x14ac:dyDescent="0.25">
      <c r="A40372" t="s">
        <v>413</v>
      </c>
      <c r="B40372" s="1" t="str">
        <f>HYPERLINK("http://pharmaq.no","pharmaq.no")</f>
        <v>pharmaq.no</v>
      </c>
      <c r="C40372" t="s">
        <v>478</v>
      </c>
      <c r="D40372" t="s">
        <v>853</v>
      </c>
      <c r="F40372">
        <v>2.88449265385021E-8</v>
      </c>
      <c r="G40372">
        <v>1784421</v>
      </c>
      <c r="H40372">
        <v>14308290</v>
      </c>
      <c r="I40372">
        <v>1346362</v>
      </c>
      <c r="J40372">
        <v>3</v>
      </c>
    </row>
    <row r="40373" spans="1:10" x14ac:dyDescent="0.25">
      <c r="A40373" t="s">
        <v>413</v>
      </c>
      <c r="B40373" s="1" t="str">
        <f>HYPERLINK("http://revolutionplus.co.nz","revolutionplus.co.nz")</f>
        <v>revolutionplus.co.nz</v>
      </c>
      <c r="C40373" t="s">
        <v>479</v>
      </c>
      <c r="D40373" t="s">
        <v>854</v>
      </c>
      <c r="J40373">
        <v>2</v>
      </c>
    </row>
    <row r="40374" spans="1:10" x14ac:dyDescent="0.25">
      <c r="A40374" t="s">
        <v>413</v>
      </c>
      <c r="B40374" s="1" t="str">
        <f>HYPERLINK("http://startect.co.nz","startect.co.nz")</f>
        <v>startect.co.nz</v>
      </c>
      <c r="C40374" t="s">
        <v>479</v>
      </c>
      <c r="D40374" t="s">
        <v>854</v>
      </c>
      <c r="F40374">
        <v>5.9350158638903303E-9</v>
      </c>
      <c r="G40374">
        <v>17119097</v>
      </c>
      <c r="H40374">
        <v>11230418</v>
      </c>
      <c r="I40374">
        <v>31024664</v>
      </c>
      <c r="J40374">
        <v>2</v>
      </c>
    </row>
    <row r="40375" spans="1:10" x14ac:dyDescent="0.25">
      <c r="A40375" t="s">
        <v>413</v>
      </c>
      <c r="B40375" s="1" t="str">
        <f>HYPERLINK("http://zoetis.co.nz","zoetis.co.nz")</f>
        <v>zoetis.co.nz</v>
      </c>
      <c r="C40375" t="s">
        <v>479</v>
      </c>
      <c r="D40375" t="s">
        <v>854</v>
      </c>
      <c r="F40375">
        <v>2.2404940770403801E-8</v>
      </c>
      <c r="G40375">
        <v>2339147</v>
      </c>
      <c r="H40375">
        <v>12370830</v>
      </c>
      <c r="I40375">
        <v>19393951</v>
      </c>
      <c r="J40375">
        <v>2</v>
      </c>
    </row>
    <row r="40376" spans="1:10" x14ac:dyDescent="0.25">
      <c r="A40376" t="s">
        <v>413</v>
      </c>
      <c r="B40376" s="1" t="str">
        <f>HYPERLINK("http://zoetis.pe","zoetis.pe")</f>
        <v>zoetis.pe</v>
      </c>
      <c r="C40376" t="s">
        <v>483</v>
      </c>
      <c r="D40376" t="s">
        <v>857</v>
      </c>
      <c r="F40376">
        <v>1.7440958286677401E-8</v>
      </c>
      <c r="G40376">
        <v>3162099</v>
      </c>
      <c r="H40376">
        <v>11255471</v>
      </c>
      <c r="I40376">
        <v>30860668</v>
      </c>
      <c r="J40376">
        <v>2</v>
      </c>
    </row>
    <row r="40377" spans="1:10" x14ac:dyDescent="0.25">
      <c r="A40377" t="s">
        <v>413</v>
      </c>
      <c r="B40377" s="1" t="str">
        <f>HYPERLINK("http://pumpkin.pet","pumpkin.pet")</f>
        <v>pumpkin.pet</v>
      </c>
      <c r="C40377" t="s">
        <v>1683</v>
      </c>
      <c r="F40377">
        <v>5.5014536191960998E-9</v>
      </c>
      <c r="G40377">
        <v>20884513</v>
      </c>
      <c r="H40377">
        <v>10586525</v>
      </c>
      <c r="I40377">
        <v>45697080</v>
      </c>
      <c r="J40377">
        <v>5</v>
      </c>
    </row>
    <row r="40378" spans="1:10" x14ac:dyDescent="0.25">
      <c r="A40378" t="s">
        <v>413</v>
      </c>
      <c r="B40378" s="1" t="str">
        <f>HYPERLINK("http://zoetis.com.pl","zoetis.com.pl")</f>
        <v>zoetis.com.pl</v>
      </c>
      <c r="C40378" t="s">
        <v>486</v>
      </c>
      <c r="D40378" t="s">
        <v>860</v>
      </c>
      <c r="F40378">
        <v>2.29036239495308E-8</v>
      </c>
      <c r="G40378">
        <v>2282532</v>
      </c>
      <c r="H40378">
        <v>12255962</v>
      </c>
      <c r="I40378">
        <v>21870072</v>
      </c>
      <c r="J40378">
        <v>2</v>
      </c>
    </row>
    <row r="40379" spans="1:10" x14ac:dyDescent="0.25">
      <c r="A40379" t="s">
        <v>413</v>
      </c>
      <c r="B40379" s="1" t="str">
        <f>HYPERLINK("http://zoetis.com.pt","zoetis.com.pt")</f>
        <v>zoetis.com.pt</v>
      </c>
      <c r="C40379" t="s">
        <v>488</v>
      </c>
      <c r="D40379" t="s">
        <v>862</v>
      </c>
      <c r="F40379">
        <v>1.82654158017829E-8</v>
      </c>
      <c r="G40379">
        <v>2974144</v>
      </c>
      <c r="H40379">
        <v>11427410</v>
      </c>
      <c r="I40379">
        <v>30159268</v>
      </c>
      <c r="J40379">
        <v>2</v>
      </c>
    </row>
    <row r="40380" spans="1:10" x14ac:dyDescent="0.25">
      <c r="A40380" t="s">
        <v>413</v>
      </c>
      <c r="B40380" s="1" t="str">
        <f>HYPERLINK("http://zoetis.com.py","zoetis.com.py")</f>
        <v>zoetis.com.py</v>
      </c>
      <c r="C40380" t="s">
        <v>489</v>
      </c>
      <c r="D40380" t="s">
        <v>863</v>
      </c>
      <c r="F40380">
        <v>1.7072205303536501E-8</v>
      </c>
      <c r="G40380">
        <v>3266919</v>
      </c>
      <c r="H40380">
        <v>11254399</v>
      </c>
      <c r="I40380">
        <v>30868182</v>
      </c>
      <c r="J40380">
        <v>2</v>
      </c>
    </row>
    <row r="40381" spans="1:10" x14ac:dyDescent="0.25">
      <c r="A40381" t="s">
        <v>413</v>
      </c>
      <c r="B40381" s="1" t="str">
        <f>HYPERLINK("http://zoetis.ro","zoetis.ro")</f>
        <v>zoetis.ro</v>
      </c>
      <c r="C40381" t="s">
        <v>491</v>
      </c>
      <c r="D40381" t="s">
        <v>865</v>
      </c>
      <c r="F40381">
        <v>1.7900677408835499E-8</v>
      </c>
      <c r="G40381">
        <v>3053331</v>
      </c>
      <c r="H40381">
        <v>11254413</v>
      </c>
      <c r="I40381">
        <v>30868102</v>
      </c>
      <c r="J40381">
        <v>2</v>
      </c>
    </row>
    <row r="40382" spans="1:10" x14ac:dyDescent="0.25">
      <c r="A40382" t="s">
        <v>413</v>
      </c>
      <c r="B40382" s="1" t="str">
        <f>HYPERLINK("http://zoetis.rs","zoetis.rs")</f>
        <v>zoetis.rs</v>
      </c>
      <c r="C40382" t="s">
        <v>492</v>
      </c>
      <c r="D40382" t="s">
        <v>866</v>
      </c>
      <c r="F40382">
        <v>1.7183005916929501E-8</v>
      </c>
      <c r="G40382">
        <v>3230271</v>
      </c>
      <c r="H40382">
        <v>11254399</v>
      </c>
      <c r="I40382">
        <v>30868183</v>
      </c>
      <c r="J40382">
        <v>2</v>
      </c>
    </row>
    <row r="40383" spans="1:10" x14ac:dyDescent="0.25">
      <c r="A40383" t="s">
        <v>413</v>
      </c>
      <c r="B40383" s="1" t="str">
        <f>HYPERLINK("http://zoetis.ru","zoetis.ru")</f>
        <v>zoetis.ru</v>
      </c>
      <c r="C40383" t="s">
        <v>493</v>
      </c>
      <c r="D40383" t="s">
        <v>867</v>
      </c>
      <c r="F40383">
        <v>3.0902575477978497E-8</v>
      </c>
      <c r="G40383">
        <v>1667159</v>
      </c>
      <c r="H40383">
        <v>12524720</v>
      </c>
      <c r="I40383">
        <v>17105586</v>
      </c>
      <c r="J40383">
        <v>2</v>
      </c>
    </row>
    <row r="40384" spans="1:10" x14ac:dyDescent="0.25">
      <c r="A40384" t="s">
        <v>413</v>
      </c>
      <c r="B40384" s="1" t="str">
        <f>HYPERLINK("http://zoetis.si","zoetis.si")</f>
        <v>zoetis.si</v>
      </c>
      <c r="C40384" t="s">
        <v>497</v>
      </c>
      <c r="D40384" t="s">
        <v>871</v>
      </c>
      <c r="F40384">
        <v>1.7072205272159499E-8</v>
      </c>
      <c r="G40384">
        <v>3266921</v>
      </c>
      <c r="H40384">
        <v>11254399</v>
      </c>
      <c r="I40384">
        <v>30868184</v>
      </c>
      <c r="J40384">
        <v>2</v>
      </c>
    </row>
    <row r="40385" spans="1:10" x14ac:dyDescent="0.25">
      <c r="A40385" t="s">
        <v>413</v>
      </c>
      <c r="B40385" s="1" t="str">
        <f>HYPERLINK("http://zoetis.sk","zoetis.sk")</f>
        <v>zoetis.sk</v>
      </c>
      <c r="C40385" t="s">
        <v>498</v>
      </c>
      <c r="D40385" t="s">
        <v>872</v>
      </c>
      <c r="F40385">
        <v>1.7072205272159499E-8</v>
      </c>
      <c r="G40385">
        <v>3266920</v>
      </c>
      <c r="H40385">
        <v>11254399</v>
      </c>
      <c r="I40385">
        <v>30868185</v>
      </c>
      <c r="J40385">
        <v>3</v>
      </c>
    </row>
    <row r="40386" spans="1:10" x14ac:dyDescent="0.25">
      <c r="A40386" t="s">
        <v>413</v>
      </c>
      <c r="B40386" s="1" t="str">
        <f>HYPERLINK("http://zoetis.co.th","zoetis.co.th")</f>
        <v>zoetis.co.th</v>
      </c>
      <c r="C40386" t="s">
        <v>500</v>
      </c>
      <c r="D40386" t="s">
        <v>874</v>
      </c>
      <c r="F40386">
        <v>1.7065197194072299E-8</v>
      </c>
      <c r="G40386">
        <v>3268482</v>
      </c>
      <c r="H40386">
        <v>11263319</v>
      </c>
      <c r="I40386">
        <v>30810711</v>
      </c>
      <c r="J40386">
        <v>2</v>
      </c>
    </row>
    <row r="40387" spans="1:10" x14ac:dyDescent="0.25">
      <c r="A40387" t="s">
        <v>413</v>
      </c>
      <c r="B40387" s="1" t="str">
        <f>HYPERLINK("http://zoetis.com.tr","zoetis.com.tr")</f>
        <v>zoetis.com.tr</v>
      </c>
      <c r="C40387" t="s">
        <v>502</v>
      </c>
      <c r="D40387" t="s">
        <v>876</v>
      </c>
      <c r="F40387">
        <v>1.7534744044573401E-8</v>
      </c>
      <c r="G40387">
        <v>3137989</v>
      </c>
      <c r="H40387">
        <v>11266161</v>
      </c>
      <c r="I40387">
        <v>30794172</v>
      </c>
      <c r="J40387">
        <v>2</v>
      </c>
    </row>
    <row r="40388" spans="1:10" x14ac:dyDescent="0.25">
      <c r="A40388" t="s">
        <v>413</v>
      </c>
      <c r="B40388" s="1" t="str">
        <f>HYPERLINK("http://zoetis.tw","zoetis.tw")</f>
        <v>zoetis.tw</v>
      </c>
      <c r="C40388" t="s">
        <v>504</v>
      </c>
      <c r="D40388" t="s">
        <v>878</v>
      </c>
      <c r="F40388">
        <v>1.6966874681484998E-8</v>
      </c>
      <c r="G40388">
        <v>3291175</v>
      </c>
      <c r="H40388">
        <v>11289511</v>
      </c>
      <c r="I40388">
        <v>30658845</v>
      </c>
      <c r="J40388">
        <v>2</v>
      </c>
    </row>
    <row r="40389" spans="1:10" x14ac:dyDescent="0.25">
      <c r="A40389" t="s">
        <v>413</v>
      </c>
      <c r="B40389" s="1" t="str">
        <f>HYPERLINK("http://zoetis.co.tz","zoetis.co.tz")</f>
        <v>zoetis.co.tz</v>
      </c>
      <c r="C40389" t="s">
        <v>676</v>
      </c>
      <c r="D40389" t="s">
        <v>994</v>
      </c>
      <c r="F40389">
        <v>1.67333158510371E-8</v>
      </c>
      <c r="G40389">
        <v>3350482</v>
      </c>
      <c r="H40389">
        <v>11254395</v>
      </c>
      <c r="I40389">
        <v>30868248</v>
      </c>
      <c r="J40389">
        <v>2</v>
      </c>
    </row>
    <row r="40390" spans="1:10" x14ac:dyDescent="0.25">
      <c r="A40390" t="s">
        <v>413</v>
      </c>
      <c r="B40390" s="1" t="str">
        <f>HYPERLINK("http://zoetis.com.ua","zoetis.com.ua")</f>
        <v>zoetis.com.ua</v>
      </c>
      <c r="C40390" t="s">
        <v>505</v>
      </c>
      <c r="D40390" t="s">
        <v>879</v>
      </c>
      <c r="F40390">
        <v>1.7808814461640101E-8</v>
      </c>
      <c r="G40390">
        <v>3072780</v>
      </c>
      <c r="H40390">
        <v>11255412</v>
      </c>
      <c r="I40390">
        <v>30860917</v>
      </c>
      <c r="J40390">
        <v>2</v>
      </c>
    </row>
    <row r="40391" spans="1:10" x14ac:dyDescent="0.25">
      <c r="A40391" t="s">
        <v>413</v>
      </c>
      <c r="B40391" s="1" t="str">
        <f>HYPERLINK("http://bimeda.co.uk","bimeda.co.uk")</f>
        <v>bimeda.co.uk</v>
      </c>
      <c r="C40391" t="s">
        <v>506</v>
      </c>
      <c r="D40391" t="s">
        <v>880</v>
      </c>
      <c r="F40391">
        <v>9.79215169135806E-9</v>
      </c>
      <c r="G40391">
        <v>6977355</v>
      </c>
      <c r="H40391">
        <v>12162078</v>
      </c>
      <c r="I40391">
        <v>24305044</v>
      </c>
      <c r="J40391">
        <v>5</v>
      </c>
    </row>
    <row r="40392" spans="1:10" x14ac:dyDescent="0.25">
      <c r="A40392" t="s">
        <v>413</v>
      </c>
      <c r="B40392" s="1" t="str">
        <f>HYPERLINK("http://vetscanimagyst.co.uk","vetscanimagyst.co.uk")</f>
        <v>vetscanimagyst.co.uk</v>
      </c>
      <c r="C40392" t="s">
        <v>506</v>
      </c>
      <c r="D40392" t="s">
        <v>880</v>
      </c>
      <c r="J40392">
        <v>2</v>
      </c>
    </row>
    <row r="40393" spans="1:10" x14ac:dyDescent="0.25">
      <c r="A40393" t="s">
        <v>413</v>
      </c>
      <c r="B40393" s="1" t="str">
        <f>HYPERLINK("http://zoetis.co.uk","zoetis.co.uk")</f>
        <v>zoetis.co.uk</v>
      </c>
      <c r="C40393" t="s">
        <v>506</v>
      </c>
      <c r="D40393" t="s">
        <v>880</v>
      </c>
      <c r="F40393">
        <v>4.9671571758099003E-8</v>
      </c>
      <c r="G40393">
        <v>929538</v>
      </c>
      <c r="H40393">
        <v>13727523</v>
      </c>
      <c r="I40393">
        <v>9460808</v>
      </c>
      <c r="J40393">
        <v>2</v>
      </c>
    </row>
    <row r="40394" spans="1:10" x14ac:dyDescent="0.25">
      <c r="A40394" t="s">
        <v>413</v>
      </c>
      <c r="B40394" s="1" t="str">
        <f>HYPERLINK("http://zoetis.com.uy","zoetis.com.uy")</f>
        <v>zoetis.com.uy</v>
      </c>
      <c r="C40394" t="s">
        <v>507</v>
      </c>
      <c r="D40394" t="s">
        <v>881</v>
      </c>
      <c r="F40394">
        <v>1.7112552161475901E-8</v>
      </c>
      <c r="G40394">
        <v>3258012</v>
      </c>
      <c r="H40394">
        <v>11254404</v>
      </c>
      <c r="I40394">
        <v>30868142</v>
      </c>
      <c r="J40394">
        <v>2</v>
      </c>
    </row>
    <row r="40395" spans="1:10" x14ac:dyDescent="0.25">
      <c r="A40395" t="s">
        <v>413</v>
      </c>
      <c r="B40395" s="1" t="str">
        <f>HYPERLINK("http://zoetis.co.za","zoetis.co.za")</f>
        <v>zoetis.co.za</v>
      </c>
      <c r="C40395" t="s">
        <v>510</v>
      </c>
      <c r="D40395" t="s">
        <v>884</v>
      </c>
      <c r="F40395">
        <v>2.0057095794446901E-8</v>
      </c>
      <c r="G40395">
        <v>2650590</v>
      </c>
      <c r="H40395">
        <v>13212674</v>
      </c>
      <c r="I40395">
        <v>11394803</v>
      </c>
      <c r="J40395">
        <v>2</v>
      </c>
    </row>
    <row r="40396" spans="1:10" x14ac:dyDescent="0.25">
      <c r="A40396" t="s">
        <v>413</v>
      </c>
      <c r="B40396" s="1" t="str">
        <f>HYPERLINK("http://zoetis.co.zw","zoetis.co.zw")</f>
        <v>zoetis.co.zw</v>
      </c>
      <c r="C40396" t="s">
        <v>682</v>
      </c>
      <c r="D40396" t="s">
        <v>1000</v>
      </c>
      <c r="F40396">
        <v>1.67161203826007E-8</v>
      </c>
      <c r="G40396">
        <v>3354636</v>
      </c>
      <c r="H40396">
        <v>11254395</v>
      </c>
      <c r="I40396">
        <v>30868249</v>
      </c>
      <c r="J40396">
        <v>2</v>
      </c>
    </row>
    <row r="40397" spans="1:10" x14ac:dyDescent="0.25">
      <c r="A40397" t="s">
        <v>414</v>
      </c>
      <c r="B40397" s="1" t="str">
        <f>HYPERLINK("http://zurich.ae","zurich.ae")</f>
        <v>zurich.ae</v>
      </c>
      <c r="C40397" t="s">
        <v>417</v>
      </c>
      <c r="D40397" t="s">
        <v>799</v>
      </c>
      <c r="F40397">
        <v>5.4570461953017299E-8</v>
      </c>
      <c r="G40397">
        <v>826470</v>
      </c>
      <c r="H40397">
        <v>13805390</v>
      </c>
      <c r="I40397">
        <v>6238154</v>
      </c>
      <c r="J40397">
        <v>2</v>
      </c>
    </row>
    <row r="40398" spans="1:10" x14ac:dyDescent="0.25">
      <c r="A40398" t="s">
        <v>414</v>
      </c>
      <c r="B40398" s="1" t="str">
        <f>HYPERLINK("http://zurich.com.ar","zurich.com.ar")</f>
        <v>zurich.com.ar</v>
      </c>
      <c r="C40398" t="s">
        <v>418</v>
      </c>
      <c r="D40398" t="s">
        <v>800</v>
      </c>
      <c r="F40398">
        <v>4.8927980675768702E-8</v>
      </c>
      <c r="G40398">
        <v>946863</v>
      </c>
      <c r="H40398">
        <v>13130047</v>
      </c>
      <c r="I40398">
        <v>11941684</v>
      </c>
      <c r="J40398">
        <v>2</v>
      </c>
    </row>
    <row r="40399" spans="1:10" x14ac:dyDescent="0.25">
      <c r="A40399" t="s">
        <v>414</v>
      </c>
      <c r="B40399" s="1" t="str">
        <f>HYPERLINK("http://maklernetz.at","maklernetz.at")</f>
        <v>maklernetz.at</v>
      </c>
      <c r="C40399" t="s">
        <v>419</v>
      </c>
      <c r="D40399" t="s">
        <v>801</v>
      </c>
      <c r="F40399">
        <v>7.6132040776875398E-9</v>
      </c>
      <c r="G40399">
        <v>10767217</v>
      </c>
      <c r="H40399">
        <v>10757403</v>
      </c>
      <c r="I40399">
        <v>39725652</v>
      </c>
      <c r="J40399">
        <v>2</v>
      </c>
    </row>
    <row r="40400" spans="1:10" x14ac:dyDescent="0.25">
      <c r="A40400" t="s">
        <v>414</v>
      </c>
      <c r="B40400" s="1" t="str">
        <f>HYPERLINK("http://zurich.at","zurich.at")</f>
        <v>zurich.at</v>
      </c>
      <c r="C40400" t="s">
        <v>419</v>
      </c>
      <c r="D40400" t="s">
        <v>801</v>
      </c>
      <c r="E40400">
        <v>855143</v>
      </c>
      <c r="F40400">
        <v>1.0334913768489E-7</v>
      </c>
      <c r="G40400">
        <v>388255</v>
      </c>
      <c r="H40400">
        <v>14138079</v>
      </c>
      <c r="I40400">
        <v>1949914</v>
      </c>
      <c r="J40400">
        <v>2</v>
      </c>
    </row>
    <row r="40401" spans="1:10" x14ac:dyDescent="0.25">
      <c r="A40401" t="s">
        <v>414</v>
      </c>
      <c r="B40401" s="1" t="str">
        <f>HYPERLINK("http://covermore.com.au","covermore.com.au")</f>
        <v>covermore.com.au</v>
      </c>
      <c r="C40401" t="s">
        <v>420</v>
      </c>
      <c r="D40401" t="s">
        <v>802</v>
      </c>
      <c r="E40401">
        <v>330868</v>
      </c>
      <c r="F40401">
        <v>6.8686569994422103E-8</v>
      </c>
      <c r="G40401">
        <v>619397</v>
      </c>
      <c r="H40401">
        <v>14134267</v>
      </c>
      <c r="I40401">
        <v>1980716</v>
      </c>
      <c r="J40401">
        <v>8</v>
      </c>
    </row>
    <row r="40402" spans="1:10" x14ac:dyDescent="0.25">
      <c r="A40402" t="s">
        <v>414</v>
      </c>
      <c r="B40402" s="1" t="str">
        <f>HYPERLINK("http://onepath.com.au","onepath.com.au")</f>
        <v>onepath.com.au</v>
      </c>
      <c r="C40402" t="s">
        <v>420</v>
      </c>
      <c r="D40402" t="s">
        <v>802</v>
      </c>
      <c r="F40402">
        <v>2.03473584853455E-8</v>
      </c>
      <c r="G40402">
        <v>2607251</v>
      </c>
      <c r="H40402">
        <v>14094561</v>
      </c>
      <c r="I40402">
        <v>2731862</v>
      </c>
      <c r="J40402">
        <v>4</v>
      </c>
    </row>
    <row r="40403" spans="1:10" x14ac:dyDescent="0.25">
      <c r="A40403" t="s">
        <v>414</v>
      </c>
      <c r="B40403" s="1" t="str">
        <f>HYPERLINK("http://zurich.com.au","zurich.com.au")</f>
        <v>zurich.com.au</v>
      </c>
      <c r="C40403" t="s">
        <v>420</v>
      </c>
      <c r="D40403" t="s">
        <v>802</v>
      </c>
      <c r="E40403">
        <v>258609</v>
      </c>
      <c r="F40403">
        <v>5.8120368182281998E-8</v>
      </c>
      <c r="G40403">
        <v>765753</v>
      </c>
      <c r="H40403">
        <v>14188093</v>
      </c>
      <c r="I40403">
        <v>1764941</v>
      </c>
      <c r="J40403">
        <v>2</v>
      </c>
    </row>
    <row r="40404" spans="1:10" x14ac:dyDescent="0.25">
      <c r="A40404" t="s">
        <v>414</v>
      </c>
      <c r="B40404" s="1" t="str">
        <f>HYPERLINK("http://zurich.com.br","zurich.com.br")</f>
        <v>zurich.com.br</v>
      </c>
      <c r="C40404" t="s">
        <v>425</v>
      </c>
      <c r="D40404" t="s">
        <v>806</v>
      </c>
      <c r="E40404">
        <v>725059</v>
      </c>
      <c r="F40404">
        <v>4.7249391350095701E-8</v>
      </c>
      <c r="G40404">
        <v>986736</v>
      </c>
      <c r="H40404">
        <v>14684949</v>
      </c>
      <c r="I40404">
        <v>605658</v>
      </c>
      <c r="J40404">
        <v>2</v>
      </c>
    </row>
    <row r="40405" spans="1:10" x14ac:dyDescent="0.25">
      <c r="A40405" t="s">
        <v>414</v>
      </c>
      <c r="B40405" s="1" t="str">
        <f>HYPERLINK("http://zurichsantander.com.br","zurichsantander.com.br")</f>
        <v>zurichsantander.com.br</v>
      </c>
      <c r="C40405" t="s">
        <v>425</v>
      </c>
      <c r="D40405" t="s">
        <v>806</v>
      </c>
      <c r="F40405">
        <v>4.7228428397007799E-9</v>
      </c>
      <c r="G40405">
        <v>40066204</v>
      </c>
      <c r="H40405">
        <v>10822961</v>
      </c>
      <c r="I40405">
        <v>37554137</v>
      </c>
      <c r="J40405">
        <v>3</v>
      </c>
    </row>
    <row r="40406" spans="1:10" x14ac:dyDescent="0.25">
      <c r="A40406" t="s">
        <v>414</v>
      </c>
      <c r="B40406" s="1" t="str">
        <f>HYPERLINK("http://frickershoes.ch","frickershoes.ch")</f>
        <v>frickershoes.ch</v>
      </c>
      <c r="C40406" t="s">
        <v>429</v>
      </c>
      <c r="D40406" t="s">
        <v>810</v>
      </c>
      <c r="J40406">
        <v>4</v>
      </c>
    </row>
    <row r="40407" spans="1:10" x14ac:dyDescent="0.25">
      <c r="A40407" t="s">
        <v>414</v>
      </c>
      <c r="B40407" s="1" t="str">
        <f>HYPERLINK("http://orion.ch","orion.ch")</f>
        <v>orion.ch</v>
      </c>
      <c r="C40407" t="s">
        <v>429</v>
      </c>
      <c r="D40407" t="s">
        <v>810</v>
      </c>
      <c r="F40407">
        <v>2.6158569582421199E-8</v>
      </c>
      <c r="G40407">
        <v>1969259</v>
      </c>
      <c r="H40407">
        <v>12949097</v>
      </c>
      <c r="I40407">
        <v>13216744</v>
      </c>
      <c r="J40407">
        <v>4</v>
      </c>
    </row>
    <row r="40408" spans="1:10" x14ac:dyDescent="0.25">
      <c r="A40408" t="s">
        <v>414</v>
      </c>
      <c r="B40408" s="1" t="str">
        <f>HYPERLINK("http://realgarant.ch","realgarant.ch")</f>
        <v>realgarant.ch</v>
      </c>
      <c r="C40408" t="s">
        <v>429</v>
      </c>
      <c r="D40408" t="s">
        <v>810</v>
      </c>
      <c r="F40408">
        <v>9.5945639021655696E-9</v>
      </c>
      <c r="G40408">
        <v>7211165</v>
      </c>
      <c r="H40408">
        <v>9929311</v>
      </c>
      <c r="I40408">
        <v>61406376</v>
      </c>
      <c r="J40408">
        <v>5</v>
      </c>
    </row>
    <row r="40409" spans="1:10" x14ac:dyDescent="0.25">
      <c r="A40409" t="s">
        <v>414</v>
      </c>
      <c r="B40409" s="1" t="str">
        <f>HYPERLINK("http://zurich.ch","zurich.ch")</f>
        <v>zurich.ch</v>
      </c>
      <c r="C40409" t="s">
        <v>429</v>
      </c>
      <c r="D40409" t="s">
        <v>810</v>
      </c>
      <c r="E40409">
        <v>288892</v>
      </c>
      <c r="F40409">
        <v>3.7676796107498398E-7</v>
      </c>
      <c r="G40409">
        <v>99355</v>
      </c>
      <c r="H40409">
        <v>14373955</v>
      </c>
      <c r="I40409">
        <v>1256472</v>
      </c>
      <c r="J40409">
        <v>2</v>
      </c>
    </row>
    <row r="40410" spans="1:10" x14ac:dyDescent="0.25">
      <c r="A40410" t="s">
        <v>414</v>
      </c>
      <c r="B40410" s="1" t="str">
        <f>HYPERLINK("http://chilena.cl","chilena.cl")</f>
        <v>chilena.cl</v>
      </c>
      <c r="C40410" t="s">
        <v>430</v>
      </c>
      <c r="D40410" t="s">
        <v>811</v>
      </c>
      <c r="E40410">
        <v>562196</v>
      </c>
      <c r="F40410">
        <v>2.4932213072301399E-8</v>
      </c>
      <c r="G40410">
        <v>2073310</v>
      </c>
      <c r="H40410">
        <v>13765192</v>
      </c>
      <c r="I40410">
        <v>7131015</v>
      </c>
      <c r="J40410">
        <v>2</v>
      </c>
    </row>
    <row r="40411" spans="1:10" x14ac:dyDescent="0.25">
      <c r="A40411" t="s">
        <v>414</v>
      </c>
      <c r="B40411" s="1" t="str">
        <f>HYPERLINK("http://santanderseguros.cl","santanderseguros.cl")</f>
        <v>santanderseguros.cl</v>
      </c>
      <c r="C40411" t="s">
        <v>430</v>
      </c>
      <c r="D40411" t="s">
        <v>811</v>
      </c>
      <c r="F40411">
        <v>4.4973064242963904E-9</v>
      </c>
      <c r="G40411">
        <v>59348250</v>
      </c>
      <c r="H40411">
        <v>6139593</v>
      </c>
      <c r="I40411">
        <v>77409664</v>
      </c>
      <c r="J40411">
        <v>4</v>
      </c>
    </row>
    <row r="40412" spans="1:10" x14ac:dyDescent="0.25">
      <c r="A40412" t="s">
        <v>414</v>
      </c>
      <c r="B40412" s="1" t="str">
        <f>HYPERLINK("http://zurich-santander.cl","zurich-santander.cl")</f>
        <v>zurich-santander.cl</v>
      </c>
      <c r="C40412" t="s">
        <v>430</v>
      </c>
      <c r="D40412" t="s">
        <v>811</v>
      </c>
      <c r="F40412">
        <v>7.2756148801451901E-9</v>
      </c>
      <c r="G40412">
        <v>11540012</v>
      </c>
      <c r="H40412">
        <v>10595272</v>
      </c>
      <c r="I40412">
        <v>45210930</v>
      </c>
      <c r="J40412">
        <v>4</v>
      </c>
    </row>
    <row r="40413" spans="1:10" x14ac:dyDescent="0.25">
      <c r="A40413" t="s">
        <v>414</v>
      </c>
      <c r="B40413" s="1" t="str">
        <f>HYPERLINK("http://bristolwest.com","bristolwest.com")</f>
        <v>bristolwest.com</v>
      </c>
      <c r="C40413" t="s">
        <v>433</v>
      </c>
      <c r="E40413">
        <v>140264</v>
      </c>
      <c r="F40413">
        <v>3.1045751996719102E-7</v>
      </c>
      <c r="G40413">
        <v>119791</v>
      </c>
      <c r="H40413">
        <v>16783596</v>
      </c>
      <c r="I40413">
        <v>215142</v>
      </c>
      <c r="J40413">
        <v>7</v>
      </c>
    </row>
    <row r="40414" spans="1:10" x14ac:dyDescent="0.25">
      <c r="A40414" t="s">
        <v>414</v>
      </c>
      <c r="B40414" s="1" t="str">
        <f>HYPERLINK("http://covermore.com","covermore.com")</f>
        <v>covermore.com</v>
      </c>
      <c r="C40414" t="s">
        <v>433</v>
      </c>
      <c r="E40414">
        <v>102969</v>
      </c>
      <c r="F40414">
        <v>3.7081358377619399E-8</v>
      </c>
      <c r="G40414">
        <v>1397814</v>
      </c>
      <c r="H40414">
        <v>14129979</v>
      </c>
      <c r="I40414">
        <v>2037836</v>
      </c>
      <c r="J40414">
        <v>7</v>
      </c>
    </row>
    <row r="40415" spans="1:10" x14ac:dyDescent="0.25">
      <c r="A40415" t="s">
        <v>414</v>
      </c>
      <c r="B40415" s="1" t="str">
        <f>HYPERLINK("http://covermoregroup.com","covermoregroup.com")</f>
        <v>covermoregroup.com</v>
      </c>
      <c r="C40415" t="s">
        <v>433</v>
      </c>
      <c r="F40415">
        <v>1.10418154398757E-8</v>
      </c>
      <c r="G40415">
        <v>5828373</v>
      </c>
      <c r="H40415">
        <v>14076117</v>
      </c>
      <c r="I40415">
        <v>2893804</v>
      </c>
      <c r="J40415">
        <v>3</v>
      </c>
    </row>
    <row r="40416" spans="1:10" x14ac:dyDescent="0.25">
      <c r="A40416" t="s">
        <v>414</v>
      </c>
      <c r="B40416" s="1" t="str">
        <f>HYPERLINK("http://dunbarassets.com","dunbarassets.com")</f>
        <v>dunbarassets.com</v>
      </c>
      <c r="C40416" t="s">
        <v>433</v>
      </c>
      <c r="F40416">
        <v>1.14920923888742E-8</v>
      </c>
      <c r="G40416">
        <v>5510916</v>
      </c>
      <c r="H40416">
        <v>10393713</v>
      </c>
      <c r="I40416">
        <v>54338790</v>
      </c>
      <c r="J40416">
        <v>4</v>
      </c>
    </row>
    <row r="40417" spans="1:10" x14ac:dyDescent="0.25">
      <c r="A40417" t="s">
        <v>414</v>
      </c>
      <c r="B40417" s="1" t="str">
        <f>HYPERLINK("http://farmers.com","farmers.com")</f>
        <v>farmers.com</v>
      </c>
      <c r="C40417" t="s">
        <v>433</v>
      </c>
      <c r="E40417">
        <v>14198</v>
      </c>
      <c r="F40417">
        <v>2.6002241943699598E-6</v>
      </c>
      <c r="G40417">
        <v>14569</v>
      </c>
      <c r="H40417">
        <v>17358512</v>
      </c>
      <c r="I40417">
        <v>22346</v>
      </c>
      <c r="J40417">
        <v>2</v>
      </c>
    </row>
    <row r="40418" spans="1:10" x14ac:dyDescent="0.25">
      <c r="A40418" t="s">
        <v>414</v>
      </c>
      <c r="B40418" s="1" t="str">
        <f>HYPERLINK("http://farmersinsurance.com","farmersinsurance.com")</f>
        <v>farmersinsurance.com</v>
      </c>
      <c r="C40418" t="s">
        <v>433</v>
      </c>
      <c r="E40418">
        <v>27518</v>
      </c>
      <c r="F40418">
        <v>4.8414479084203098E-8</v>
      </c>
      <c r="G40418">
        <v>958992</v>
      </c>
      <c r="H40418">
        <v>14016008</v>
      </c>
      <c r="I40418">
        <v>3996989</v>
      </c>
      <c r="J40418">
        <v>2</v>
      </c>
    </row>
    <row r="40419" spans="1:10" x14ac:dyDescent="0.25">
      <c r="A40419" t="s">
        <v>414</v>
      </c>
      <c r="B40419" s="1" t="str">
        <f>HYPERLINK("http://foremostproducers.com","foremostproducers.com")</f>
        <v>foremostproducers.com</v>
      </c>
      <c r="C40419" t="s">
        <v>433</v>
      </c>
      <c r="F40419">
        <v>5.9482945822128799E-9</v>
      </c>
      <c r="G40419">
        <v>17033679</v>
      </c>
      <c r="H40419">
        <v>11264036</v>
      </c>
      <c r="I40419">
        <v>30806147</v>
      </c>
      <c r="J40419">
        <v>2</v>
      </c>
    </row>
    <row r="40420" spans="1:10" x14ac:dyDescent="0.25">
      <c r="A40420" t="s">
        <v>414</v>
      </c>
      <c r="B40420" s="1" t="str">
        <f>HYPERLINK("http://hawaiiinsuranceconsultants.com","hawaiiinsuranceconsultants.com")</f>
        <v>hawaiiinsuranceconsultants.com</v>
      </c>
      <c r="C40420" t="s">
        <v>433</v>
      </c>
      <c r="F40420">
        <v>5.9574340089145397E-9</v>
      </c>
      <c r="G40420">
        <v>16971791</v>
      </c>
      <c r="H40420">
        <v>10838052</v>
      </c>
      <c r="I40420">
        <v>37216225</v>
      </c>
      <c r="J40420">
        <v>2</v>
      </c>
    </row>
    <row r="40421" spans="1:10" x14ac:dyDescent="0.25">
      <c r="A40421" t="s">
        <v>414</v>
      </c>
      <c r="B40421" s="1" t="str">
        <f>HYPERLINK("http://realgarant.com","realgarant.com")</f>
        <v>realgarant.com</v>
      </c>
      <c r="C40421" t="s">
        <v>433</v>
      </c>
      <c r="F40421">
        <v>4.01201989970725E-8</v>
      </c>
      <c r="G40421">
        <v>1288993</v>
      </c>
      <c r="H40421">
        <v>12683128</v>
      </c>
      <c r="I40421">
        <v>15471563</v>
      </c>
      <c r="J40421">
        <v>4</v>
      </c>
    </row>
    <row r="40422" spans="1:10" x14ac:dyDescent="0.25">
      <c r="A40422" t="s">
        <v>414</v>
      </c>
      <c r="B40422" s="1" t="str">
        <f>HYPERLINK("http://zurich.com","zurich.com")</f>
        <v>zurich.com</v>
      </c>
      <c r="C40422" t="s">
        <v>433</v>
      </c>
      <c r="E40422">
        <v>17401</v>
      </c>
      <c r="F40422">
        <v>1.1889406578470001E-6</v>
      </c>
      <c r="G40422">
        <v>32773</v>
      </c>
      <c r="H40422">
        <v>15504979</v>
      </c>
      <c r="I40422">
        <v>376556</v>
      </c>
      <c r="J40422">
        <v>1</v>
      </c>
    </row>
    <row r="40423" spans="1:10" x14ac:dyDescent="0.25">
      <c r="A40423" t="s">
        <v>414</v>
      </c>
      <c r="B40423" s="1" t="str">
        <f>HYPERLINK("http://zurichamericanlifeinsurance.com","zurichamericanlifeinsurance.com")</f>
        <v>zurichamericanlifeinsurance.com</v>
      </c>
      <c r="C40423" t="s">
        <v>433</v>
      </c>
      <c r="F40423">
        <v>5.3102762481379797E-9</v>
      </c>
      <c r="G40423">
        <v>23344072</v>
      </c>
      <c r="H40423">
        <v>12375728</v>
      </c>
      <c r="I40423">
        <v>19306329</v>
      </c>
      <c r="J40423">
        <v>3</v>
      </c>
    </row>
    <row r="40424" spans="1:10" x14ac:dyDescent="0.25">
      <c r="A40424" t="s">
        <v>414</v>
      </c>
      <c r="B40424" s="1" t="str">
        <f>HYPERLINK("http://zurichcanada.com","zurichcanada.com")</f>
        <v>zurichcanada.com</v>
      </c>
      <c r="C40424" t="s">
        <v>433</v>
      </c>
      <c r="F40424">
        <v>5.5732197060559301E-8</v>
      </c>
      <c r="G40424">
        <v>804505</v>
      </c>
      <c r="H40424">
        <v>13770053</v>
      </c>
      <c r="I40424">
        <v>6747205</v>
      </c>
      <c r="J40424">
        <v>5</v>
      </c>
    </row>
    <row r="40425" spans="1:10" x14ac:dyDescent="0.25">
      <c r="A40425" t="s">
        <v>414</v>
      </c>
      <c r="B40425" s="1" t="str">
        <f>HYPERLINK("http://zurichna.com","zurichna.com")</f>
        <v>zurichna.com</v>
      </c>
      <c r="C40425" t="s">
        <v>433</v>
      </c>
      <c r="E40425">
        <v>75619</v>
      </c>
      <c r="F40425">
        <v>6.0674513178407698E-7</v>
      </c>
      <c r="G40425">
        <v>63022</v>
      </c>
      <c r="H40425">
        <v>14758875</v>
      </c>
      <c r="I40425">
        <v>560954</v>
      </c>
      <c r="J40425">
        <v>2</v>
      </c>
    </row>
    <row r="40426" spans="1:10" x14ac:dyDescent="0.25">
      <c r="A40426" t="s">
        <v>414</v>
      </c>
      <c r="B40426" s="1" t="str">
        <f>HYPERLINK("http://zurichservices.com","zurichservices.com")</f>
        <v>zurichservices.com</v>
      </c>
      <c r="C40426" t="s">
        <v>433</v>
      </c>
      <c r="F40426">
        <v>1.1808132049353301E-8</v>
      </c>
      <c r="G40426">
        <v>5297174</v>
      </c>
      <c r="H40426">
        <v>13771930</v>
      </c>
      <c r="I40426">
        <v>6676434</v>
      </c>
      <c r="J40426">
        <v>4</v>
      </c>
    </row>
    <row r="40427" spans="1:10" x14ac:dyDescent="0.25">
      <c r="A40427" t="s">
        <v>414</v>
      </c>
      <c r="B40427" s="1" t="str">
        <f>HYPERLINK("http://zurichspain.com","zurichspain.com")</f>
        <v>zurichspain.com</v>
      </c>
      <c r="C40427" t="s">
        <v>433</v>
      </c>
      <c r="F40427">
        <v>1.28275118072162E-8</v>
      </c>
      <c r="G40427">
        <v>4715105</v>
      </c>
      <c r="H40427">
        <v>13935435</v>
      </c>
      <c r="I40427">
        <v>4532872</v>
      </c>
      <c r="J40427">
        <v>2</v>
      </c>
    </row>
    <row r="40428" spans="1:10" x14ac:dyDescent="0.25">
      <c r="A40428" t="s">
        <v>414</v>
      </c>
      <c r="B40428" s="1" t="str">
        <f>HYPERLINK("http://da-direkt.de","da-direkt.de")</f>
        <v>da-direkt.de</v>
      </c>
      <c r="C40428" t="s">
        <v>436</v>
      </c>
      <c r="D40428" t="s">
        <v>815</v>
      </c>
      <c r="E40428">
        <v>317063</v>
      </c>
      <c r="F40428">
        <v>9.9945323377977805E-8</v>
      </c>
      <c r="G40428">
        <v>402681</v>
      </c>
      <c r="H40428">
        <v>14146492</v>
      </c>
      <c r="I40428">
        <v>1894767</v>
      </c>
      <c r="J40428">
        <v>4</v>
      </c>
    </row>
    <row r="40429" spans="1:10" x14ac:dyDescent="0.25">
      <c r="A40429" t="s">
        <v>414</v>
      </c>
      <c r="B40429" s="1" t="str">
        <f>HYPERLINK("http://dumpe-bachelin.de","dumpe-bachelin.de")</f>
        <v>dumpe-bachelin.de</v>
      </c>
      <c r="C40429" t="s">
        <v>436</v>
      </c>
      <c r="D40429" t="s">
        <v>815</v>
      </c>
      <c r="F40429">
        <v>4.47009399011069E-9</v>
      </c>
      <c r="G40429">
        <v>64543678</v>
      </c>
      <c r="H40429">
        <v>10343709</v>
      </c>
      <c r="I40429">
        <v>57851568</v>
      </c>
      <c r="J40429">
        <v>4</v>
      </c>
    </row>
    <row r="40430" spans="1:10" x14ac:dyDescent="0.25">
      <c r="A40430" t="s">
        <v>414</v>
      </c>
      <c r="B40430" s="1" t="str">
        <f>HYPERLINK("http://ruppert-insurance.de","ruppert-insurance.de")</f>
        <v>ruppert-insurance.de</v>
      </c>
      <c r="C40430" t="s">
        <v>436</v>
      </c>
      <c r="D40430" t="s">
        <v>815</v>
      </c>
      <c r="F40430">
        <v>4.9784450283364396E-9</v>
      </c>
      <c r="G40430">
        <v>30035060</v>
      </c>
      <c r="H40430">
        <v>8603607</v>
      </c>
      <c r="I40430">
        <v>70745617</v>
      </c>
      <c r="J40430">
        <v>6</v>
      </c>
    </row>
    <row r="40431" spans="1:10" x14ac:dyDescent="0.25">
      <c r="A40431" t="s">
        <v>414</v>
      </c>
      <c r="B40431" s="1" t="str">
        <f>HYPERLINK("http://zuerich.de","zuerich.de")</f>
        <v>zuerich.de</v>
      </c>
      <c r="C40431" t="s">
        <v>436</v>
      </c>
      <c r="D40431" t="s">
        <v>815</v>
      </c>
      <c r="F40431">
        <v>1.5638225240818501E-8</v>
      </c>
      <c r="G40431">
        <v>3644597</v>
      </c>
      <c r="H40431">
        <v>12484486</v>
      </c>
      <c r="I40431">
        <v>17556091</v>
      </c>
      <c r="J40431">
        <v>4</v>
      </c>
    </row>
    <row r="40432" spans="1:10" x14ac:dyDescent="0.25">
      <c r="A40432" t="s">
        <v>414</v>
      </c>
      <c r="B40432" s="1" t="str">
        <f>HYPERLINK("http://zurich.de","zurich.de")</f>
        <v>zurich.de</v>
      </c>
      <c r="C40432" t="s">
        <v>436</v>
      </c>
      <c r="D40432" t="s">
        <v>815</v>
      </c>
      <c r="E40432">
        <v>246587</v>
      </c>
      <c r="F40432">
        <v>3.9314703699601899E-7</v>
      </c>
      <c r="G40432">
        <v>95404</v>
      </c>
      <c r="H40432">
        <v>14952720</v>
      </c>
      <c r="I40432">
        <v>439628</v>
      </c>
      <c r="J40432">
        <v>2</v>
      </c>
    </row>
    <row r="40433" spans="1:10" x14ac:dyDescent="0.25">
      <c r="A40433" t="s">
        <v>414</v>
      </c>
      <c r="B40433" s="1" t="str">
        <f>HYPERLINK("http://grseguros.es","grseguros.es")</f>
        <v>grseguros.es</v>
      </c>
      <c r="C40433" t="s">
        <v>443</v>
      </c>
      <c r="D40433" t="s">
        <v>822</v>
      </c>
      <c r="F40433">
        <v>5.5150841552348601E-9</v>
      </c>
      <c r="G40433">
        <v>20738910</v>
      </c>
      <c r="H40433">
        <v>12192925</v>
      </c>
      <c r="I40433">
        <v>23514738</v>
      </c>
      <c r="J40433">
        <v>4</v>
      </c>
    </row>
    <row r="40434" spans="1:10" x14ac:dyDescent="0.25">
      <c r="A40434" t="s">
        <v>414</v>
      </c>
      <c r="B40434" s="1" t="str">
        <f>HYPERLINK("http://zurich.es","zurich.es")</f>
        <v>zurich.es</v>
      </c>
      <c r="C40434" t="s">
        <v>443</v>
      </c>
      <c r="D40434" t="s">
        <v>822</v>
      </c>
      <c r="E40434">
        <v>435740</v>
      </c>
      <c r="F40434">
        <v>1.6106743033569699E-7</v>
      </c>
      <c r="G40434">
        <v>241037</v>
      </c>
      <c r="H40434">
        <v>14643160</v>
      </c>
      <c r="I40434">
        <v>634972</v>
      </c>
      <c r="J40434">
        <v>2</v>
      </c>
    </row>
    <row r="40435" spans="1:10" x14ac:dyDescent="0.25">
      <c r="A40435" t="s">
        <v>414</v>
      </c>
      <c r="B40435" s="1" t="str">
        <f>HYPERLINK("http://care4mobility.fi","care4mobility.fi")</f>
        <v>care4mobility.fi</v>
      </c>
      <c r="C40435" t="s">
        <v>445</v>
      </c>
      <c r="D40435" t="s">
        <v>823</v>
      </c>
      <c r="J40435">
        <v>5</v>
      </c>
    </row>
    <row r="40436" spans="1:10" x14ac:dyDescent="0.25">
      <c r="A40436" t="s">
        <v>414</v>
      </c>
      <c r="B40436" s="1" t="str">
        <f>HYPERLINK("http://givit.fi","givit.fi")</f>
        <v>givit.fi</v>
      </c>
      <c r="C40436" t="s">
        <v>445</v>
      </c>
      <c r="D40436" t="s">
        <v>823</v>
      </c>
      <c r="J40436">
        <v>5</v>
      </c>
    </row>
    <row r="40437" spans="1:10" x14ac:dyDescent="0.25">
      <c r="A40437" t="s">
        <v>414</v>
      </c>
      <c r="B40437" s="1" t="str">
        <f>HYPERLINK("http://real-garant.fi","real-garant.fi")</f>
        <v>real-garant.fi</v>
      </c>
      <c r="C40437" t="s">
        <v>445</v>
      </c>
      <c r="D40437" t="s">
        <v>823</v>
      </c>
      <c r="J40437">
        <v>5</v>
      </c>
    </row>
    <row r="40438" spans="1:10" x14ac:dyDescent="0.25">
      <c r="A40438" t="s">
        <v>414</v>
      </c>
      <c r="B40438" s="1" t="str">
        <f>HYPERLINK("http://realgarant.fi","realgarant.fi")</f>
        <v>realgarant.fi</v>
      </c>
      <c r="C40438" t="s">
        <v>445</v>
      </c>
      <c r="D40438" t="s">
        <v>823</v>
      </c>
      <c r="J40438">
        <v>5</v>
      </c>
    </row>
    <row r="40439" spans="1:10" x14ac:dyDescent="0.25">
      <c r="A40439" t="s">
        <v>414</v>
      </c>
      <c r="B40439" s="1" t="str">
        <f>HYPERLINK("http://zurich.foundation","zurich.foundation")</f>
        <v>zurich.foundation</v>
      </c>
      <c r="C40439" t="s">
        <v>755</v>
      </c>
      <c r="F40439">
        <v>6.3428019961054402E-8</v>
      </c>
      <c r="G40439">
        <v>685267</v>
      </c>
      <c r="H40439">
        <v>13351437</v>
      </c>
      <c r="I40439">
        <v>10610957</v>
      </c>
      <c r="J40439">
        <v>3</v>
      </c>
    </row>
    <row r="40440" spans="1:10" x14ac:dyDescent="0.25">
      <c r="A40440" t="s">
        <v>414</v>
      </c>
      <c r="B40440" s="1" t="str">
        <f>HYPERLINK("http://blueinsurance.ie","blueinsurance.ie")</f>
        <v>blueinsurance.ie</v>
      </c>
      <c r="C40440" t="s">
        <v>455</v>
      </c>
      <c r="D40440" t="s">
        <v>832</v>
      </c>
      <c r="F40440">
        <v>5.4290043477843799E-8</v>
      </c>
      <c r="G40440">
        <v>832214</v>
      </c>
      <c r="H40440">
        <v>14227775</v>
      </c>
      <c r="I40440">
        <v>1677223</v>
      </c>
      <c r="J40440">
        <v>4</v>
      </c>
    </row>
    <row r="40441" spans="1:10" x14ac:dyDescent="0.25">
      <c r="A40441" t="s">
        <v>414</v>
      </c>
      <c r="B40441" s="1" t="str">
        <f>HYPERLINK("http://zurich.ie","zurich.ie")</f>
        <v>zurich.ie</v>
      </c>
      <c r="C40441" t="s">
        <v>455</v>
      </c>
      <c r="D40441" t="s">
        <v>832</v>
      </c>
      <c r="E40441">
        <v>460187</v>
      </c>
      <c r="F40441">
        <v>1.98443231696714E-7</v>
      </c>
      <c r="G40441">
        <v>194330</v>
      </c>
      <c r="H40441">
        <v>16916598</v>
      </c>
      <c r="I40441">
        <v>129973</v>
      </c>
      <c r="J40441">
        <v>3</v>
      </c>
    </row>
    <row r="40442" spans="1:10" x14ac:dyDescent="0.25">
      <c r="A40442" t="s">
        <v>414</v>
      </c>
      <c r="B40442" s="1" t="str">
        <f>HYPERLINK("http://zurichinsurance.ie","zurichinsurance.ie")</f>
        <v>zurichinsurance.ie</v>
      </c>
      <c r="C40442" t="s">
        <v>455</v>
      </c>
      <c r="D40442" t="s">
        <v>832</v>
      </c>
      <c r="F40442">
        <v>2.0127151202929199E-8</v>
      </c>
      <c r="G40442">
        <v>2639850</v>
      </c>
      <c r="H40442">
        <v>14075026</v>
      </c>
      <c r="I40442">
        <v>2921427</v>
      </c>
      <c r="J40442">
        <v>4</v>
      </c>
    </row>
    <row r="40443" spans="1:10" x14ac:dyDescent="0.25">
      <c r="A40443" t="s">
        <v>414</v>
      </c>
      <c r="B40443" s="1" t="str">
        <f>HYPERLINK("http://zurichlife.ie","zurichlife.ie")</f>
        <v>zurichlife.ie</v>
      </c>
      <c r="C40443" t="s">
        <v>455</v>
      </c>
      <c r="D40443" t="s">
        <v>832</v>
      </c>
      <c r="F40443">
        <v>3.7721254588892297E-8</v>
      </c>
      <c r="G40443">
        <v>1371853</v>
      </c>
      <c r="H40443">
        <v>13474101</v>
      </c>
      <c r="I40443">
        <v>10025145</v>
      </c>
      <c r="J40443">
        <v>3</v>
      </c>
    </row>
    <row r="40444" spans="1:10" x14ac:dyDescent="0.25">
      <c r="A40444" t="s">
        <v>414</v>
      </c>
      <c r="B40444" s="1" t="str">
        <f>HYPERLINK("http://agenziazurich.it","agenziazurich.it")</f>
        <v>agenziazurich.it</v>
      </c>
      <c r="C40444" t="s">
        <v>459</v>
      </c>
      <c r="D40444" t="s">
        <v>835</v>
      </c>
      <c r="F40444">
        <v>2.18095782295546E-8</v>
      </c>
      <c r="G40444">
        <v>2409203</v>
      </c>
      <c r="H40444">
        <v>12948328</v>
      </c>
      <c r="I40444">
        <v>13223994</v>
      </c>
      <c r="J40444">
        <v>4</v>
      </c>
    </row>
    <row r="40445" spans="1:10" x14ac:dyDescent="0.25">
      <c r="A40445" t="s">
        <v>414</v>
      </c>
      <c r="B40445" s="1" t="str">
        <f>HYPERLINK("http://zurich.it","zurich.it")</f>
        <v>zurich.it</v>
      </c>
      <c r="C40445" t="s">
        <v>459</v>
      </c>
      <c r="D40445" t="s">
        <v>835</v>
      </c>
      <c r="F40445">
        <v>9.8152985522831898E-8</v>
      </c>
      <c r="G40445">
        <v>411040</v>
      </c>
      <c r="H40445">
        <v>13953370</v>
      </c>
      <c r="I40445">
        <v>4150895</v>
      </c>
      <c r="J40445">
        <v>2</v>
      </c>
    </row>
    <row r="40446" spans="1:10" x14ac:dyDescent="0.25">
      <c r="A40446" t="s">
        <v>414</v>
      </c>
      <c r="B40446" s="1" t="str">
        <f>HYPERLINK("http://zurich.lu","zurich.lu")</f>
        <v>zurich.lu</v>
      </c>
      <c r="C40446" t="s">
        <v>547</v>
      </c>
      <c r="D40446" t="s">
        <v>904</v>
      </c>
      <c r="F40446">
        <v>7.3538085994142604E-9</v>
      </c>
      <c r="G40446">
        <v>11352171</v>
      </c>
      <c r="H40446">
        <v>10761124</v>
      </c>
      <c r="I40446">
        <v>39566712</v>
      </c>
      <c r="J40446">
        <v>4</v>
      </c>
    </row>
    <row r="40447" spans="1:10" x14ac:dyDescent="0.25">
      <c r="A40447" t="s">
        <v>414</v>
      </c>
      <c r="B40447" s="1" t="str">
        <f>HYPERLINK("http://zurich.com.mx","zurich.com.mx")</f>
        <v>zurich.com.mx</v>
      </c>
      <c r="C40447" t="s">
        <v>471</v>
      </c>
      <c r="D40447" t="s">
        <v>847</v>
      </c>
      <c r="E40447">
        <v>394103</v>
      </c>
      <c r="F40447">
        <v>2.1326386709780899E-8</v>
      </c>
      <c r="G40447">
        <v>2470867</v>
      </c>
      <c r="H40447">
        <v>13789227</v>
      </c>
      <c r="I40447">
        <v>6357148</v>
      </c>
      <c r="J40447">
        <v>3</v>
      </c>
    </row>
    <row r="40448" spans="1:10" x14ac:dyDescent="0.25">
      <c r="A40448" t="s">
        <v>414</v>
      </c>
      <c r="B40448" s="1" t="str">
        <f>HYPERLINK("http://zurichfianzas.com.mx","zurichfianzas.com.mx")</f>
        <v>zurichfianzas.com.mx</v>
      </c>
      <c r="C40448" t="s">
        <v>471</v>
      </c>
      <c r="D40448" t="s">
        <v>847</v>
      </c>
      <c r="F40448">
        <v>1.09339197884326E-8</v>
      </c>
      <c r="G40448">
        <v>5915900</v>
      </c>
      <c r="H40448">
        <v>12234708</v>
      </c>
      <c r="I40448">
        <v>22385886</v>
      </c>
      <c r="J40448">
        <v>3</v>
      </c>
    </row>
    <row r="40449" spans="1:10" x14ac:dyDescent="0.25">
      <c r="A40449" t="s">
        <v>414</v>
      </c>
      <c r="B40449" s="1" t="str">
        <f>HYPERLINK("http://zurichsantander.com.mx","zurichsantander.com.mx")</f>
        <v>zurichsantander.com.mx</v>
      </c>
      <c r="C40449" t="s">
        <v>471</v>
      </c>
      <c r="D40449" t="s">
        <v>847</v>
      </c>
      <c r="F40449">
        <v>4.9642001842339102E-9</v>
      </c>
      <c r="G40449">
        <v>30396988</v>
      </c>
      <c r="H40449">
        <v>11099201</v>
      </c>
      <c r="I40449">
        <v>32288135</v>
      </c>
      <c r="J40449">
        <v>4</v>
      </c>
    </row>
    <row r="40450" spans="1:10" x14ac:dyDescent="0.25">
      <c r="A40450" t="s">
        <v>414</v>
      </c>
      <c r="B40450" s="1" t="str">
        <f>HYPERLINK("http://zurich.com.my","zurich.com.my")</f>
        <v>zurich.com.my</v>
      </c>
      <c r="C40450" t="s">
        <v>472</v>
      </c>
      <c r="D40450" t="s">
        <v>848</v>
      </c>
      <c r="E40450">
        <v>295857</v>
      </c>
      <c r="F40450">
        <v>5.7868150947365297E-8</v>
      </c>
      <c r="G40450">
        <v>769604</v>
      </c>
      <c r="H40450">
        <v>14369682</v>
      </c>
      <c r="I40450">
        <v>1300378</v>
      </c>
      <c r="J40450">
        <v>3</v>
      </c>
    </row>
    <row r="40451" spans="1:10" x14ac:dyDescent="0.25">
      <c r="A40451" t="s">
        <v>414</v>
      </c>
      <c r="B40451" s="1" t="str">
        <f>HYPERLINK("http://covermore.co.nz","covermore.co.nz")</f>
        <v>covermore.co.nz</v>
      </c>
      <c r="C40451" t="s">
        <v>479</v>
      </c>
      <c r="D40451" t="s">
        <v>854</v>
      </c>
      <c r="F40451">
        <v>1.26242448098507E-8</v>
      </c>
      <c r="G40451">
        <v>4818528</v>
      </c>
      <c r="H40451">
        <v>13946142</v>
      </c>
      <c r="I40451">
        <v>4224764</v>
      </c>
      <c r="J40451">
        <v>8</v>
      </c>
    </row>
    <row r="40452" spans="1:10" x14ac:dyDescent="0.25">
      <c r="A40452" t="s">
        <v>414</v>
      </c>
      <c r="B40452" s="1" t="str">
        <f>HYPERLINK("http://zurich.co.nz","zurich.co.nz")</f>
        <v>zurich.co.nz</v>
      </c>
      <c r="C40452" t="s">
        <v>479</v>
      </c>
      <c r="D40452" t="s">
        <v>854</v>
      </c>
      <c r="F40452">
        <v>1.3827478862868401E-8</v>
      </c>
      <c r="G40452">
        <v>4269610</v>
      </c>
      <c r="H40452">
        <v>12536949</v>
      </c>
      <c r="I40452">
        <v>16970772</v>
      </c>
      <c r="J40452">
        <v>3</v>
      </c>
    </row>
    <row r="40453" spans="1:10" x14ac:dyDescent="0.25">
      <c r="A40453" t="s">
        <v>414</v>
      </c>
      <c r="B40453" s="1" t="str">
        <f>HYPERLINK("http://zurich.com.pt","zurich.com.pt")</f>
        <v>zurich.com.pt</v>
      </c>
      <c r="C40453" t="s">
        <v>488</v>
      </c>
      <c r="D40453" t="s">
        <v>862</v>
      </c>
      <c r="E40453">
        <v>981315</v>
      </c>
      <c r="F40453">
        <v>7.6753267315612604E-8</v>
      </c>
      <c r="G40453">
        <v>545953</v>
      </c>
      <c r="H40453">
        <v>16837168</v>
      </c>
      <c r="I40453">
        <v>162668</v>
      </c>
      <c r="J40453">
        <v>2</v>
      </c>
    </row>
    <row r="40454" spans="1:10" x14ac:dyDescent="0.25">
      <c r="A40454" t="s">
        <v>414</v>
      </c>
      <c r="B40454" s="1" t="str">
        <f>HYPERLINK("http://zurichsigorta.com.tr","zurichsigorta.com.tr")</f>
        <v>zurichsigorta.com.tr</v>
      </c>
      <c r="C40454" t="s">
        <v>502</v>
      </c>
      <c r="D40454" t="s">
        <v>876</v>
      </c>
      <c r="E40454">
        <v>994857</v>
      </c>
      <c r="F40454">
        <v>2.02866088133598E-8</v>
      </c>
      <c r="G40454">
        <v>2616112</v>
      </c>
      <c r="H40454">
        <v>12976950</v>
      </c>
      <c r="I40454">
        <v>13009308</v>
      </c>
      <c r="J40454">
        <v>5</v>
      </c>
    </row>
    <row r="40455" spans="1:10" x14ac:dyDescent="0.25">
      <c r="A40455" t="s">
        <v>414</v>
      </c>
      <c r="B40455" s="1" t="str">
        <f>HYPERLINK("http://covermore.co.uk","covermore.co.uk")</f>
        <v>covermore.co.uk</v>
      </c>
      <c r="C40455" t="s">
        <v>506</v>
      </c>
      <c r="D40455" t="s">
        <v>880</v>
      </c>
      <c r="F40455">
        <v>1.40342802015327E-8</v>
      </c>
      <c r="G40455">
        <v>4189839</v>
      </c>
      <c r="H40455">
        <v>13935564</v>
      </c>
      <c r="I40455">
        <v>4527159</v>
      </c>
      <c r="J40455">
        <v>8</v>
      </c>
    </row>
    <row r="40456" spans="1:10" x14ac:dyDescent="0.25">
      <c r="A40456" t="s">
        <v>414</v>
      </c>
      <c r="B40456" s="1" t="str">
        <f>HYPERLINK("http://oak-underwriting.co.uk","oak-underwriting.co.uk")</f>
        <v>oak-underwriting.co.uk</v>
      </c>
      <c r="C40456" t="s">
        <v>506</v>
      </c>
      <c r="D40456" t="s">
        <v>880</v>
      </c>
      <c r="F40456">
        <v>4.4445865628815596E-9</v>
      </c>
      <c r="G40456">
        <v>76480344</v>
      </c>
      <c r="H40456">
        <v>9454152</v>
      </c>
      <c r="I40456">
        <v>66456796</v>
      </c>
      <c r="J40456">
        <v>4</v>
      </c>
    </row>
    <row r="40457" spans="1:10" x14ac:dyDescent="0.25">
      <c r="A40457" t="s">
        <v>414</v>
      </c>
      <c r="B40457" s="1" t="str">
        <f>HYPERLINK("http://zurich.co.uk","zurich.co.uk")</f>
        <v>zurich.co.uk</v>
      </c>
      <c r="C40457" t="s">
        <v>506</v>
      </c>
      <c r="D40457" t="s">
        <v>880</v>
      </c>
      <c r="E40457">
        <v>133877</v>
      </c>
      <c r="F40457">
        <v>2.7876698697551898E-7</v>
      </c>
      <c r="G40457">
        <v>133428</v>
      </c>
      <c r="H40457">
        <v>14654012</v>
      </c>
      <c r="I40457">
        <v>624906</v>
      </c>
      <c r="J40457">
        <v>2</v>
      </c>
    </row>
    <row r="40458" spans="1:10" x14ac:dyDescent="0.25">
      <c r="A40458" t="s">
        <v>414</v>
      </c>
      <c r="B40458" s="1" t="str">
        <f>HYPERLINK("http://zurichintermediary.co.uk","zurichintermediary.co.uk")</f>
        <v>zurichintermediary.co.uk</v>
      </c>
      <c r="C40458" t="s">
        <v>506</v>
      </c>
      <c r="D40458" t="s">
        <v>880</v>
      </c>
      <c r="F40458">
        <v>9.2740082962410698E-9</v>
      </c>
      <c r="G40458">
        <v>7606558</v>
      </c>
      <c r="H40458">
        <v>12372700</v>
      </c>
      <c r="I40458">
        <v>19360572</v>
      </c>
      <c r="J40458">
        <v>6</v>
      </c>
    </row>
  </sheetData>
  <autoFilter ref="A1:J40458" xr:uid="{00000000-0001-0000-0000-000000000000}"/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A4A0E-551F-43D0-BC7B-9EE7151801D2}">
  <dimension ref="A1:B11"/>
  <sheetViews>
    <sheetView workbookViewId="0">
      <selection activeCell="B11" sqref="B11"/>
    </sheetView>
  </sheetViews>
  <sheetFormatPr defaultRowHeight="15" x14ac:dyDescent="0.25"/>
  <cols>
    <col min="1" max="1" width="21" customWidth="1"/>
    <col min="2" max="2" width="28.140625" customWidth="1"/>
  </cols>
  <sheetData>
    <row r="1" spans="1:2" s="2" customFormat="1" x14ac:dyDescent="0.25">
      <c r="B1" s="2" t="s">
        <v>1566</v>
      </c>
    </row>
    <row r="2" spans="1:2" x14ac:dyDescent="0.25">
      <c r="A2" t="s">
        <v>0</v>
      </c>
      <c r="B2" t="s">
        <v>1567</v>
      </c>
    </row>
    <row r="3" spans="1:2" x14ac:dyDescent="0.25">
      <c r="A3" t="s">
        <v>415</v>
      </c>
      <c r="B3" t="s">
        <v>1568</v>
      </c>
    </row>
    <row r="4" spans="1:2" x14ac:dyDescent="0.25">
      <c r="A4" t="s">
        <v>416</v>
      </c>
      <c r="B4" t="s">
        <v>1569</v>
      </c>
    </row>
    <row r="5" spans="1:2" x14ac:dyDescent="0.25">
      <c r="A5" t="s">
        <v>798</v>
      </c>
      <c r="B5" t="s">
        <v>1570</v>
      </c>
    </row>
    <row r="6" spans="1:2" x14ac:dyDescent="0.25">
      <c r="A6" t="s">
        <v>1025</v>
      </c>
      <c r="B6" t="s">
        <v>1571</v>
      </c>
    </row>
    <row r="7" spans="1:2" x14ac:dyDescent="0.25">
      <c r="A7" t="s">
        <v>1026</v>
      </c>
      <c r="B7" t="s">
        <v>1573</v>
      </c>
    </row>
    <row r="8" spans="1:2" x14ac:dyDescent="0.25">
      <c r="A8" t="s">
        <v>1027</v>
      </c>
      <c r="B8" t="s">
        <v>1574</v>
      </c>
    </row>
    <row r="9" spans="1:2" x14ac:dyDescent="0.25">
      <c r="A9" t="s">
        <v>1028</v>
      </c>
      <c r="B9" t="s">
        <v>1575</v>
      </c>
    </row>
    <row r="10" spans="1:2" x14ac:dyDescent="0.25">
      <c r="A10" t="s">
        <v>1029</v>
      </c>
      <c r="B10" t="s">
        <v>1576</v>
      </c>
    </row>
    <row r="11" spans="1:2" x14ac:dyDescent="0.25">
      <c r="A11" t="s">
        <v>1030</v>
      </c>
      <c r="B11" t="s">
        <v>1572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434A1-EB8C-4956-AD3B-5A28F7AAB299}">
  <dimension ref="A1:H253"/>
  <sheetViews>
    <sheetView workbookViewId="0">
      <selection activeCell="A22" sqref="A22"/>
    </sheetView>
  </sheetViews>
  <sheetFormatPr defaultColWidth="8.7109375" defaultRowHeight="15" x14ac:dyDescent="0.25"/>
  <cols>
    <col min="1" max="2" width="14.7109375" style="3" bestFit="1" customWidth="1"/>
    <col min="3" max="3" width="9.28515625" style="3" bestFit="1" customWidth="1"/>
    <col min="4" max="4" width="46.140625" style="3" bestFit="1" customWidth="1"/>
    <col min="5" max="5" width="11.85546875" style="3" bestFit="1" customWidth="1"/>
    <col min="6" max="7" width="8.7109375" style="3"/>
    <col min="8" max="8" width="11.140625"/>
    <col min="9" max="16384" width="8.7109375" style="3"/>
  </cols>
  <sheetData>
    <row r="1" spans="1:8" s="2" customFormat="1" ht="17.25" x14ac:dyDescent="0.25">
      <c r="A1" s="2" t="s">
        <v>1031</v>
      </c>
      <c r="B1" s="2" t="s">
        <v>1032</v>
      </c>
      <c r="C1" s="2" t="s">
        <v>1033</v>
      </c>
      <c r="D1" s="2" t="s">
        <v>1034</v>
      </c>
      <c r="E1" s="2" t="s">
        <v>1035</v>
      </c>
      <c r="H1" s="4"/>
    </row>
    <row r="2" spans="1:8" x14ac:dyDescent="0.25">
      <c r="A2" s="3" t="s">
        <v>1036</v>
      </c>
      <c r="B2" s="3" t="s">
        <v>944</v>
      </c>
      <c r="C2" s="3">
        <v>4</v>
      </c>
      <c r="D2" s="3" t="s">
        <v>1037</v>
      </c>
      <c r="E2" s="3" t="s">
        <v>1038</v>
      </c>
    </row>
    <row r="3" spans="1:8" x14ac:dyDescent="0.25">
      <c r="A3" s="3" t="s">
        <v>1039</v>
      </c>
      <c r="B3" s="3" t="s">
        <v>1040</v>
      </c>
      <c r="C3" s="3">
        <v>248</v>
      </c>
      <c r="D3" s="3" t="s">
        <v>1041</v>
      </c>
      <c r="E3" s="3" t="s">
        <v>1042</v>
      </c>
    </row>
    <row r="4" spans="1:8" x14ac:dyDescent="0.25">
      <c r="A4" s="3" t="s">
        <v>1043</v>
      </c>
      <c r="B4" s="3" t="s">
        <v>924</v>
      </c>
      <c r="C4" s="3">
        <v>8</v>
      </c>
      <c r="D4" s="3" t="s">
        <v>1044</v>
      </c>
      <c r="E4" s="3" t="s">
        <v>1042</v>
      </c>
    </row>
    <row r="5" spans="1:8" x14ac:dyDescent="0.25">
      <c r="A5" s="3" t="s">
        <v>1045</v>
      </c>
      <c r="B5" s="3" t="s">
        <v>818</v>
      </c>
      <c r="C5" s="3">
        <v>12</v>
      </c>
      <c r="D5" s="3" t="s">
        <v>1046</v>
      </c>
      <c r="E5" s="3" t="s">
        <v>1047</v>
      </c>
    </row>
    <row r="6" spans="1:8" x14ac:dyDescent="0.25">
      <c r="A6" s="3" t="s">
        <v>1048</v>
      </c>
      <c r="B6" s="3" t="s">
        <v>909</v>
      </c>
      <c r="C6" s="3">
        <v>16</v>
      </c>
      <c r="D6" s="3" t="s">
        <v>1049</v>
      </c>
      <c r="E6" s="3" t="s">
        <v>1050</v>
      </c>
    </row>
    <row r="7" spans="1:8" x14ac:dyDescent="0.25">
      <c r="A7" s="3" t="s">
        <v>1051</v>
      </c>
      <c r="B7" s="3" t="s">
        <v>943</v>
      </c>
      <c r="C7" s="3">
        <v>20</v>
      </c>
      <c r="D7" s="3" t="s">
        <v>1052</v>
      </c>
      <c r="E7" s="3" t="s">
        <v>1042</v>
      </c>
    </row>
    <row r="8" spans="1:8" x14ac:dyDescent="0.25">
      <c r="A8" s="3" t="s">
        <v>1053</v>
      </c>
      <c r="B8" s="3" t="s">
        <v>914</v>
      </c>
      <c r="C8" s="3">
        <v>24</v>
      </c>
      <c r="D8" s="3" t="s">
        <v>1054</v>
      </c>
      <c r="E8" s="3" t="s">
        <v>1047</v>
      </c>
    </row>
    <row r="9" spans="1:8" x14ac:dyDescent="0.25">
      <c r="A9" s="3" t="s">
        <v>1055</v>
      </c>
      <c r="B9" s="3" t="s">
        <v>892</v>
      </c>
      <c r="C9" s="3">
        <v>660</v>
      </c>
      <c r="D9" s="3" t="s">
        <v>1056</v>
      </c>
      <c r="E9" s="3" t="s">
        <v>1057</v>
      </c>
    </row>
    <row r="10" spans="1:8" x14ac:dyDescent="0.25">
      <c r="A10" s="3" t="s">
        <v>1058</v>
      </c>
      <c r="B10" s="3" t="s">
        <v>1059</v>
      </c>
      <c r="C10" s="3">
        <v>10</v>
      </c>
      <c r="D10" s="3" t="s">
        <v>1060</v>
      </c>
    </row>
    <row r="11" spans="1:8" x14ac:dyDescent="0.25">
      <c r="A11" s="3" t="s">
        <v>1061</v>
      </c>
      <c r="B11" s="3" t="s">
        <v>912</v>
      </c>
      <c r="C11" s="3">
        <v>28</v>
      </c>
      <c r="D11" s="3" t="s">
        <v>1062</v>
      </c>
      <c r="E11" s="3" t="s">
        <v>1057</v>
      </c>
    </row>
    <row r="12" spans="1:8" x14ac:dyDescent="0.25">
      <c r="A12" s="3" t="s">
        <v>1063</v>
      </c>
      <c r="B12" s="3" t="s">
        <v>800</v>
      </c>
      <c r="C12" s="3">
        <v>32</v>
      </c>
      <c r="D12" s="3" t="s">
        <v>1064</v>
      </c>
      <c r="E12" s="3" t="s">
        <v>1057</v>
      </c>
    </row>
    <row r="13" spans="1:8" x14ac:dyDescent="0.25">
      <c r="A13" s="3" t="s">
        <v>1065</v>
      </c>
      <c r="B13" s="3" t="s">
        <v>913</v>
      </c>
      <c r="C13" s="3">
        <v>51</v>
      </c>
      <c r="D13" s="3" t="s">
        <v>1066</v>
      </c>
      <c r="E13" s="3" t="s">
        <v>1038</v>
      </c>
    </row>
    <row r="14" spans="1:8" x14ac:dyDescent="0.25">
      <c r="A14" s="3" t="s">
        <v>1067</v>
      </c>
      <c r="B14" s="3" t="s">
        <v>1017</v>
      </c>
      <c r="C14" s="3">
        <v>533</v>
      </c>
      <c r="D14" s="3" t="s">
        <v>1068</v>
      </c>
      <c r="E14" s="3" t="s">
        <v>1057</v>
      </c>
    </row>
    <row r="15" spans="1:8" x14ac:dyDescent="0.25">
      <c r="A15" s="3" t="s">
        <v>1069</v>
      </c>
      <c r="B15" s="3" t="s">
        <v>802</v>
      </c>
      <c r="C15" s="3">
        <v>36</v>
      </c>
      <c r="D15" s="3" t="s">
        <v>1070</v>
      </c>
      <c r="E15" s="3" t="s">
        <v>1050</v>
      </c>
    </row>
    <row r="16" spans="1:8" x14ac:dyDescent="0.25">
      <c r="A16" s="3" t="s">
        <v>1071</v>
      </c>
      <c r="B16" s="3" t="s">
        <v>801</v>
      </c>
      <c r="C16" s="3">
        <v>40</v>
      </c>
      <c r="D16" s="3" t="s">
        <v>1072</v>
      </c>
      <c r="E16" s="3" t="s">
        <v>1042</v>
      </c>
    </row>
    <row r="17" spans="1:5" x14ac:dyDescent="0.25">
      <c r="A17" s="3" t="s">
        <v>1073</v>
      </c>
      <c r="B17" s="3" t="s">
        <v>911</v>
      </c>
      <c r="C17" s="3">
        <v>31</v>
      </c>
      <c r="D17" s="3" t="s">
        <v>1074</v>
      </c>
      <c r="E17" s="3" t="s">
        <v>1038</v>
      </c>
    </row>
    <row r="18" spans="1:5" x14ac:dyDescent="0.25">
      <c r="A18" s="3" t="s">
        <v>1075</v>
      </c>
      <c r="B18" s="3" t="s">
        <v>947</v>
      </c>
      <c r="C18" s="3">
        <v>44</v>
      </c>
      <c r="D18" s="3" t="s">
        <v>1076</v>
      </c>
      <c r="E18" s="3" t="s">
        <v>1057</v>
      </c>
    </row>
    <row r="19" spans="1:5" x14ac:dyDescent="0.25">
      <c r="A19" s="3" t="s">
        <v>1077</v>
      </c>
      <c r="B19" s="3" t="s">
        <v>922</v>
      </c>
      <c r="C19" s="3">
        <v>48</v>
      </c>
      <c r="D19" s="3" t="s">
        <v>1078</v>
      </c>
      <c r="E19" s="3" t="s">
        <v>1038</v>
      </c>
    </row>
    <row r="20" spans="1:5" x14ac:dyDescent="0.25">
      <c r="A20" s="3" t="s">
        <v>1079</v>
      </c>
      <c r="B20" s="3" t="s">
        <v>934</v>
      </c>
      <c r="C20" s="3">
        <v>50</v>
      </c>
      <c r="D20" s="3" t="s">
        <v>1080</v>
      </c>
      <c r="E20" s="3" t="s">
        <v>1038</v>
      </c>
    </row>
    <row r="21" spans="1:5" x14ac:dyDescent="0.25">
      <c r="A21" s="3" t="s">
        <v>1081</v>
      </c>
      <c r="B21" s="3" t="s">
        <v>925</v>
      </c>
      <c r="C21" s="3">
        <v>52</v>
      </c>
      <c r="D21" s="3" t="s">
        <v>1082</v>
      </c>
      <c r="E21" s="3" t="s">
        <v>1057</v>
      </c>
    </row>
    <row r="22" spans="1:5" x14ac:dyDescent="0.25">
      <c r="A22" s="3" t="s">
        <v>1083</v>
      </c>
      <c r="B22" s="3" t="s">
        <v>808</v>
      </c>
      <c r="C22" s="3">
        <v>112</v>
      </c>
      <c r="D22" s="3" t="s">
        <v>1084</v>
      </c>
      <c r="E22" s="3" t="s">
        <v>1042</v>
      </c>
    </row>
    <row r="23" spans="1:5" x14ac:dyDescent="0.25">
      <c r="A23" s="3" t="s">
        <v>1085</v>
      </c>
      <c r="B23" s="3" t="s">
        <v>803</v>
      </c>
      <c r="C23" s="3">
        <v>56</v>
      </c>
      <c r="D23" s="3" t="s">
        <v>1086</v>
      </c>
      <c r="E23" s="3" t="s">
        <v>1042</v>
      </c>
    </row>
    <row r="24" spans="1:5" x14ac:dyDescent="0.25">
      <c r="A24" s="3" t="s">
        <v>1087</v>
      </c>
      <c r="B24" s="3" t="s">
        <v>926</v>
      </c>
      <c r="C24" s="3">
        <v>84</v>
      </c>
      <c r="D24" s="3" t="s">
        <v>1088</v>
      </c>
      <c r="E24" s="3" t="s">
        <v>1057</v>
      </c>
    </row>
    <row r="25" spans="1:5" x14ac:dyDescent="0.25">
      <c r="A25" s="3" t="s">
        <v>1089</v>
      </c>
      <c r="B25" s="3" t="s">
        <v>888</v>
      </c>
      <c r="C25" s="3">
        <v>204</v>
      </c>
      <c r="D25" s="3" t="s">
        <v>1090</v>
      </c>
      <c r="E25" s="3" t="s">
        <v>1047</v>
      </c>
    </row>
    <row r="26" spans="1:5" x14ac:dyDescent="0.25">
      <c r="A26" s="3" t="s">
        <v>1091</v>
      </c>
      <c r="B26" s="3" t="s">
        <v>915</v>
      </c>
      <c r="C26" s="3">
        <v>60</v>
      </c>
      <c r="D26" s="3" t="s">
        <v>1092</v>
      </c>
      <c r="E26" s="3" t="s">
        <v>1057</v>
      </c>
    </row>
    <row r="27" spans="1:5" x14ac:dyDescent="0.25">
      <c r="A27" s="3" t="s">
        <v>1093</v>
      </c>
      <c r="B27" s="3" t="s">
        <v>948</v>
      </c>
      <c r="C27" s="3">
        <v>64</v>
      </c>
      <c r="D27" s="3" t="s">
        <v>1094</v>
      </c>
      <c r="E27" s="3" t="s">
        <v>1038</v>
      </c>
    </row>
    <row r="28" spans="1:5" x14ac:dyDescent="0.25">
      <c r="A28" s="3" t="s">
        <v>1095</v>
      </c>
      <c r="B28" s="3" t="s">
        <v>805</v>
      </c>
      <c r="C28" s="3">
        <v>68</v>
      </c>
      <c r="D28" s="3" t="s">
        <v>1096</v>
      </c>
      <c r="E28" s="3" t="s">
        <v>1057</v>
      </c>
    </row>
    <row r="29" spans="1:5" x14ac:dyDescent="0.25">
      <c r="A29" s="3" t="s">
        <v>1097</v>
      </c>
      <c r="B29" s="3" t="s">
        <v>1098</v>
      </c>
      <c r="C29" s="3">
        <v>535</v>
      </c>
      <c r="D29" s="3" t="s">
        <v>1099</v>
      </c>
      <c r="E29" s="3" t="s">
        <v>1057</v>
      </c>
    </row>
    <row r="30" spans="1:5" x14ac:dyDescent="0.25">
      <c r="A30" s="3" t="s">
        <v>1100</v>
      </c>
      <c r="B30" s="3" t="s">
        <v>893</v>
      </c>
      <c r="C30" s="3">
        <v>70</v>
      </c>
      <c r="D30" s="3" t="s">
        <v>1101</v>
      </c>
      <c r="E30" s="3" t="s">
        <v>1042</v>
      </c>
    </row>
    <row r="31" spans="1:5" x14ac:dyDescent="0.25">
      <c r="A31" s="3" t="s">
        <v>1102</v>
      </c>
      <c r="B31" s="3" t="s">
        <v>807</v>
      </c>
      <c r="C31" s="3">
        <v>72</v>
      </c>
      <c r="D31" s="3" t="s">
        <v>1103</v>
      </c>
      <c r="E31" s="3" t="s">
        <v>1047</v>
      </c>
    </row>
    <row r="32" spans="1:5" x14ac:dyDescent="0.25">
      <c r="A32" s="3" t="s">
        <v>1104</v>
      </c>
      <c r="B32" s="3" t="s">
        <v>1105</v>
      </c>
      <c r="C32" s="3">
        <v>74</v>
      </c>
      <c r="D32" s="3" t="s">
        <v>1106</v>
      </c>
      <c r="E32" s="3" t="s">
        <v>1057</v>
      </c>
    </row>
    <row r="33" spans="1:5" x14ac:dyDescent="0.25">
      <c r="A33" s="3" t="s">
        <v>1107</v>
      </c>
      <c r="B33" s="3" t="s">
        <v>806</v>
      </c>
      <c r="C33" s="3">
        <v>76</v>
      </c>
      <c r="D33" s="3" t="s">
        <v>1108</v>
      </c>
      <c r="E33" s="3" t="s">
        <v>1057</v>
      </c>
    </row>
    <row r="34" spans="1:5" x14ac:dyDescent="0.25">
      <c r="A34" s="3" t="s">
        <v>1109</v>
      </c>
      <c r="B34" s="3" t="s">
        <v>1110</v>
      </c>
      <c r="C34" s="3">
        <v>86</v>
      </c>
      <c r="D34" s="3" t="s">
        <v>1111</v>
      </c>
      <c r="E34" s="3" t="s">
        <v>1047</v>
      </c>
    </row>
    <row r="35" spans="1:5" x14ac:dyDescent="0.25">
      <c r="A35" s="3" t="s">
        <v>1112</v>
      </c>
      <c r="B35" s="3" t="s">
        <v>885</v>
      </c>
      <c r="C35" s="3">
        <v>96</v>
      </c>
      <c r="D35" s="3" t="s">
        <v>1113</v>
      </c>
      <c r="E35" s="3" t="s">
        <v>1038</v>
      </c>
    </row>
    <row r="36" spans="1:5" x14ac:dyDescent="0.25">
      <c r="A36" s="3" t="s">
        <v>1114</v>
      </c>
      <c r="B36" s="3" t="s">
        <v>804</v>
      </c>
      <c r="C36" s="3">
        <v>100</v>
      </c>
      <c r="D36" s="3" t="s">
        <v>1115</v>
      </c>
      <c r="E36" s="3" t="s">
        <v>1042</v>
      </c>
    </row>
    <row r="37" spans="1:5" x14ac:dyDescent="0.25">
      <c r="A37" s="3" t="s">
        <v>1116</v>
      </c>
      <c r="B37" s="3" t="s">
        <v>945</v>
      </c>
      <c r="C37" s="3">
        <v>854</v>
      </c>
      <c r="D37" s="3" t="s">
        <v>1117</v>
      </c>
      <c r="E37" s="3" t="s">
        <v>1047</v>
      </c>
    </row>
    <row r="38" spans="1:5" x14ac:dyDescent="0.25">
      <c r="A38" s="3" t="s">
        <v>1118</v>
      </c>
      <c r="B38" s="3" t="s">
        <v>946</v>
      </c>
      <c r="C38" s="3">
        <v>108</v>
      </c>
      <c r="D38" s="3" t="s">
        <v>1119</v>
      </c>
      <c r="E38" s="3" t="s">
        <v>1047</v>
      </c>
    </row>
    <row r="39" spans="1:5" x14ac:dyDescent="0.25">
      <c r="A39" s="3" t="s">
        <v>1120</v>
      </c>
      <c r="B39" s="3" t="s">
        <v>953</v>
      </c>
      <c r="C39" s="3">
        <v>132</v>
      </c>
      <c r="D39" s="3" t="s">
        <v>1121</v>
      </c>
      <c r="E39" s="3" t="s">
        <v>1047</v>
      </c>
    </row>
    <row r="40" spans="1:5" x14ac:dyDescent="0.25">
      <c r="A40" s="3" t="s">
        <v>1122</v>
      </c>
      <c r="B40" s="3" t="s">
        <v>886</v>
      </c>
      <c r="C40" s="3">
        <v>116</v>
      </c>
      <c r="D40" s="3" t="s">
        <v>1123</v>
      </c>
      <c r="E40" s="3" t="s">
        <v>1038</v>
      </c>
    </row>
    <row r="41" spans="1:5" x14ac:dyDescent="0.25">
      <c r="A41" s="3" t="s">
        <v>1124</v>
      </c>
      <c r="B41" s="3" t="s">
        <v>900</v>
      </c>
      <c r="C41" s="3">
        <v>120</v>
      </c>
      <c r="D41" s="3" t="s">
        <v>1125</v>
      </c>
      <c r="E41" s="3" t="s">
        <v>1047</v>
      </c>
    </row>
    <row r="42" spans="1:5" x14ac:dyDescent="0.25">
      <c r="A42" s="3" t="s">
        <v>1126</v>
      </c>
      <c r="B42" s="3" t="s">
        <v>809</v>
      </c>
      <c r="C42" s="3">
        <v>124</v>
      </c>
      <c r="D42" s="3" t="s">
        <v>1127</v>
      </c>
      <c r="E42" s="3" t="s">
        <v>1057</v>
      </c>
    </row>
    <row r="43" spans="1:5" x14ac:dyDescent="0.25">
      <c r="A43" s="3" t="s">
        <v>1128</v>
      </c>
      <c r="B43" s="3" t="s">
        <v>1011</v>
      </c>
      <c r="C43" s="3">
        <v>136</v>
      </c>
      <c r="D43" s="3" t="s">
        <v>1129</v>
      </c>
      <c r="E43" s="3" t="s">
        <v>1057</v>
      </c>
    </row>
    <row r="44" spans="1:5" x14ac:dyDescent="0.25">
      <c r="A44" s="3" t="s">
        <v>1130</v>
      </c>
      <c r="B44" s="3" t="s">
        <v>950</v>
      </c>
      <c r="C44" s="3">
        <v>140</v>
      </c>
      <c r="D44" s="3" t="s">
        <v>1131</v>
      </c>
      <c r="E44" s="3" t="s">
        <v>1047</v>
      </c>
    </row>
    <row r="45" spans="1:5" x14ac:dyDescent="0.25">
      <c r="A45" s="3" t="s">
        <v>1132</v>
      </c>
      <c r="B45" s="3" t="s">
        <v>989</v>
      </c>
      <c r="C45" s="3">
        <v>148</v>
      </c>
      <c r="D45" s="3" t="s">
        <v>1133</v>
      </c>
      <c r="E45" s="3" t="s">
        <v>1047</v>
      </c>
    </row>
    <row r="46" spans="1:5" x14ac:dyDescent="0.25">
      <c r="A46" s="3" t="s">
        <v>1134</v>
      </c>
      <c r="B46" s="3" t="s">
        <v>811</v>
      </c>
      <c r="C46" s="3">
        <v>152</v>
      </c>
      <c r="D46" s="3" t="s">
        <v>1135</v>
      </c>
      <c r="E46" s="3" t="s">
        <v>1057</v>
      </c>
    </row>
    <row r="47" spans="1:5" x14ac:dyDescent="0.25">
      <c r="A47" s="3" t="s">
        <v>1136</v>
      </c>
      <c r="B47" s="3" t="s">
        <v>812</v>
      </c>
      <c r="C47" s="3">
        <v>156</v>
      </c>
      <c r="D47" s="3" t="s">
        <v>1137</v>
      </c>
      <c r="E47" s="3" t="s">
        <v>1038</v>
      </c>
    </row>
    <row r="48" spans="1:5" x14ac:dyDescent="0.25">
      <c r="A48" s="3" t="s">
        <v>1138</v>
      </c>
      <c r="B48" s="3" t="s">
        <v>901</v>
      </c>
      <c r="C48" s="3">
        <v>162</v>
      </c>
      <c r="D48" s="3" t="s">
        <v>1139</v>
      </c>
      <c r="E48" s="3" t="s">
        <v>1050</v>
      </c>
    </row>
    <row r="49" spans="1:5" x14ac:dyDescent="0.25">
      <c r="A49" s="3" t="s">
        <v>1140</v>
      </c>
      <c r="B49" s="3" t="s">
        <v>916</v>
      </c>
      <c r="C49" s="3">
        <v>166</v>
      </c>
      <c r="D49" s="3" t="s">
        <v>1141</v>
      </c>
      <c r="E49" s="3" t="s">
        <v>1050</v>
      </c>
    </row>
    <row r="50" spans="1:5" x14ac:dyDescent="0.25">
      <c r="A50" s="3" t="s">
        <v>1142</v>
      </c>
      <c r="B50" s="3" t="s">
        <v>1143</v>
      </c>
      <c r="C50" s="3">
        <v>170</v>
      </c>
      <c r="D50" s="3" t="s">
        <v>1144</v>
      </c>
      <c r="E50" s="3" t="s">
        <v>1057</v>
      </c>
    </row>
    <row r="51" spans="1:5" x14ac:dyDescent="0.25">
      <c r="A51" s="3" t="s">
        <v>1145</v>
      </c>
      <c r="B51" s="3" t="s">
        <v>1146</v>
      </c>
      <c r="C51" s="3">
        <v>174</v>
      </c>
      <c r="D51" s="3" t="s">
        <v>1147</v>
      </c>
      <c r="E51" s="3" t="s">
        <v>1047</v>
      </c>
    </row>
    <row r="52" spans="1:5" x14ac:dyDescent="0.25">
      <c r="A52" s="3" t="s">
        <v>1148</v>
      </c>
      <c r="B52" s="3" t="s">
        <v>951</v>
      </c>
      <c r="C52" s="3">
        <v>178</v>
      </c>
      <c r="D52" s="3" t="s">
        <v>1149</v>
      </c>
      <c r="E52" s="3" t="s">
        <v>1047</v>
      </c>
    </row>
    <row r="53" spans="1:5" x14ac:dyDescent="0.25">
      <c r="A53" s="3" t="s">
        <v>1150</v>
      </c>
      <c r="B53" s="3" t="s">
        <v>949</v>
      </c>
      <c r="C53" s="3">
        <v>180</v>
      </c>
      <c r="D53" s="3" t="s">
        <v>1151</v>
      </c>
      <c r="E53" s="3" t="s">
        <v>1047</v>
      </c>
    </row>
    <row r="54" spans="1:5" x14ac:dyDescent="0.25">
      <c r="A54" s="3" t="s">
        <v>1152</v>
      </c>
      <c r="B54" s="3" t="s">
        <v>952</v>
      </c>
      <c r="C54" s="3">
        <v>184</v>
      </c>
      <c r="D54" s="3" t="s">
        <v>1153</v>
      </c>
      <c r="E54" s="3" t="s">
        <v>1050</v>
      </c>
    </row>
    <row r="55" spans="1:5" x14ac:dyDescent="0.25">
      <c r="A55" s="3" t="s">
        <v>1154</v>
      </c>
      <c r="B55" s="3" t="s">
        <v>813</v>
      </c>
      <c r="C55" s="3">
        <v>188</v>
      </c>
      <c r="D55" s="3" t="s">
        <v>1155</v>
      </c>
      <c r="E55" s="3" t="s">
        <v>1057</v>
      </c>
    </row>
    <row r="56" spans="1:5" x14ac:dyDescent="0.25">
      <c r="A56" s="3" t="s">
        <v>1156</v>
      </c>
      <c r="B56" s="3" t="s">
        <v>899</v>
      </c>
      <c r="C56" s="3">
        <v>384</v>
      </c>
      <c r="D56" s="3" t="s">
        <v>1157</v>
      </c>
      <c r="E56" s="3" t="s">
        <v>1047</v>
      </c>
    </row>
    <row r="57" spans="1:5" x14ac:dyDescent="0.25">
      <c r="A57" s="3" t="s">
        <v>1158</v>
      </c>
      <c r="B57" s="3" t="s">
        <v>829</v>
      </c>
      <c r="C57" s="3">
        <v>191</v>
      </c>
      <c r="D57" s="3" t="s">
        <v>1159</v>
      </c>
      <c r="E57" s="3" t="s">
        <v>1042</v>
      </c>
    </row>
    <row r="58" spans="1:5" x14ac:dyDescent="0.25">
      <c r="A58" s="3" t="s">
        <v>1160</v>
      </c>
      <c r="B58" s="3" t="s">
        <v>927</v>
      </c>
      <c r="C58" s="3">
        <v>192</v>
      </c>
      <c r="D58" s="3" t="s">
        <v>1161</v>
      </c>
      <c r="E58" s="3" t="s">
        <v>1057</v>
      </c>
    </row>
    <row r="59" spans="1:5" x14ac:dyDescent="0.25">
      <c r="A59" s="3" t="s">
        <v>1162</v>
      </c>
      <c r="B59" s="3" t="s">
        <v>1006</v>
      </c>
      <c r="C59" s="3">
        <v>531</v>
      </c>
      <c r="D59" s="3" t="s">
        <v>1163</v>
      </c>
      <c r="E59" s="3" t="s">
        <v>1057</v>
      </c>
    </row>
    <row r="60" spans="1:5" x14ac:dyDescent="0.25">
      <c r="A60" s="3" t="s">
        <v>1164</v>
      </c>
      <c r="B60" s="3" t="s">
        <v>937</v>
      </c>
      <c r="C60" s="3">
        <v>196</v>
      </c>
      <c r="D60" s="3" t="s">
        <v>1165</v>
      </c>
      <c r="E60" s="3" t="s">
        <v>1038</v>
      </c>
    </row>
    <row r="61" spans="1:5" x14ac:dyDescent="0.25">
      <c r="A61" s="3" t="s">
        <v>1166</v>
      </c>
      <c r="B61" s="3" t="s">
        <v>814</v>
      </c>
      <c r="C61" s="3">
        <v>203</v>
      </c>
      <c r="D61" s="3" t="s">
        <v>1167</v>
      </c>
      <c r="E61" s="3" t="s">
        <v>1042</v>
      </c>
    </row>
    <row r="62" spans="1:5" x14ac:dyDescent="0.25">
      <c r="A62" s="3" t="s">
        <v>1168</v>
      </c>
      <c r="B62" s="3" t="s">
        <v>816</v>
      </c>
      <c r="C62" s="3">
        <v>208</v>
      </c>
      <c r="D62" s="3" t="s">
        <v>1169</v>
      </c>
      <c r="E62" s="3" t="s">
        <v>1042</v>
      </c>
    </row>
    <row r="63" spans="1:5" x14ac:dyDescent="0.25">
      <c r="A63" s="3" t="s">
        <v>1170</v>
      </c>
      <c r="B63" s="3" t="s">
        <v>954</v>
      </c>
      <c r="C63" s="3">
        <v>262</v>
      </c>
      <c r="D63" s="3" t="s">
        <v>1171</v>
      </c>
      <c r="E63" s="3" t="s">
        <v>1047</v>
      </c>
    </row>
    <row r="64" spans="1:5" x14ac:dyDescent="0.25">
      <c r="A64" s="3" t="s">
        <v>1172</v>
      </c>
      <c r="B64" s="3" t="s">
        <v>955</v>
      </c>
      <c r="C64" s="3">
        <v>212</v>
      </c>
      <c r="D64" s="3" t="s">
        <v>1173</v>
      </c>
      <c r="E64" s="3" t="s">
        <v>1057</v>
      </c>
    </row>
    <row r="65" spans="1:5" x14ac:dyDescent="0.25">
      <c r="A65" s="3" t="s">
        <v>1174</v>
      </c>
      <c r="B65" s="3" t="s">
        <v>817</v>
      </c>
      <c r="C65" s="3">
        <v>214</v>
      </c>
      <c r="D65" s="3" t="s">
        <v>1175</v>
      </c>
      <c r="E65" s="3" t="s">
        <v>1057</v>
      </c>
    </row>
    <row r="66" spans="1:5" x14ac:dyDescent="0.25">
      <c r="A66" s="3" t="s">
        <v>1176</v>
      </c>
      <c r="B66" s="3" t="s">
        <v>819</v>
      </c>
      <c r="C66" s="3">
        <v>218</v>
      </c>
      <c r="D66" s="3" t="s">
        <v>1177</v>
      </c>
      <c r="E66" s="3" t="s">
        <v>1057</v>
      </c>
    </row>
    <row r="67" spans="1:5" x14ac:dyDescent="0.25">
      <c r="A67" s="3" t="s">
        <v>1178</v>
      </c>
      <c r="B67" s="3" t="s">
        <v>821</v>
      </c>
      <c r="C67" s="3">
        <v>818</v>
      </c>
      <c r="D67" s="3" t="s">
        <v>1179</v>
      </c>
      <c r="E67" s="3" t="s">
        <v>1047</v>
      </c>
    </row>
    <row r="68" spans="1:5" x14ac:dyDescent="0.25">
      <c r="A68" s="3" t="s">
        <v>1180</v>
      </c>
      <c r="B68" s="3" t="s">
        <v>873</v>
      </c>
      <c r="C68" s="3">
        <v>222</v>
      </c>
      <c r="D68" s="3" t="s">
        <v>1181</v>
      </c>
      <c r="E68" s="3" t="s">
        <v>1057</v>
      </c>
    </row>
    <row r="69" spans="1:5" x14ac:dyDescent="0.25">
      <c r="A69" s="3" t="s">
        <v>1182</v>
      </c>
      <c r="B69" s="3" t="s">
        <v>1021</v>
      </c>
      <c r="C69" s="3">
        <v>226</v>
      </c>
      <c r="D69" s="3" t="s">
        <v>1183</v>
      </c>
      <c r="E69" s="3" t="s">
        <v>1047</v>
      </c>
    </row>
    <row r="70" spans="1:5" x14ac:dyDescent="0.25">
      <c r="A70" s="3" t="s">
        <v>1184</v>
      </c>
      <c r="B70" s="3" t="s">
        <v>1185</v>
      </c>
      <c r="C70" s="3">
        <v>232</v>
      </c>
      <c r="D70" s="3" t="s">
        <v>1186</v>
      </c>
      <c r="E70" s="3" t="s">
        <v>1047</v>
      </c>
    </row>
    <row r="71" spans="1:5" x14ac:dyDescent="0.25">
      <c r="A71" s="3" t="s">
        <v>1187</v>
      </c>
      <c r="B71" s="3" t="s">
        <v>820</v>
      </c>
      <c r="C71" s="3">
        <v>233</v>
      </c>
      <c r="D71" s="3" t="s">
        <v>1188</v>
      </c>
      <c r="E71" s="3" t="s">
        <v>1042</v>
      </c>
    </row>
    <row r="72" spans="1:5" x14ac:dyDescent="0.25">
      <c r="A72" s="3" t="s">
        <v>1189</v>
      </c>
      <c r="B72" s="3" t="s">
        <v>1013</v>
      </c>
      <c r="C72" s="3">
        <v>748</v>
      </c>
      <c r="D72" s="3" t="s">
        <v>1190</v>
      </c>
      <c r="E72" s="3" t="s">
        <v>1047</v>
      </c>
    </row>
    <row r="73" spans="1:5" x14ac:dyDescent="0.25">
      <c r="A73" s="3" t="s">
        <v>1191</v>
      </c>
      <c r="B73" s="3" t="s">
        <v>956</v>
      </c>
      <c r="C73" s="3">
        <v>231</v>
      </c>
      <c r="D73" s="3" t="s">
        <v>1192</v>
      </c>
      <c r="E73" s="3" t="s">
        <v>1047</v>
      </c>
    </row>
    <row r="74" spans="1:5" x14ac:dyDescent="0.25">
      <c r="A74" s="3" t="s">
        <v>1193</v>
      </c>
      <c r="B74" s="3" t="s">
        <v>1194</v>
      </c>
      <c r="C74" s="3">
        <v>238</v>
      </c>
      <c r="D74" s="3" t="s">
        <v>1195</v>
      </c>
      <c r="E74" s="3" t="s">
        <v>1057</v>
      </c>
    </row>
    <row r="75" spans="1:5" x14ac:dyDescent="0.25">
      <c r="A75" s="3" t="s">
        <v>1196</v>
      </c>
      <c r="B75" s="3" t="s">
        <v>1022</v>
      </c>
      <c r="C75" s="3">
        <v>234</v>
      </c>
      <c r="D75" s="3" t="s">
        <v>1197</v>
      </c>
      <c r="E75" s="3" t="s">
        <v>1042</v>
      </c>
    </row>
    <row r="76" spans="1:5" x14ac:dyDescent="0.25">
      <c r="A76" s="3" t="s">
        <v>1198</v>
      </c>
      <c r="B76" s="3" t="s">
        <v>957</v>
      </c>
      <c r="C76" s="3">
        <v>242</v>
      </c>
      <c r="D76" s="3" t="s">
        <v>1199</v>
      </c>
      <c r="E76" s="3" t="s">
        <v>1050</v>
      </c>
    </row>
    <row r="77" spans="1:5" x14ac:dyDescent="0.25">
      <c r="A77" s="3" t="s">
        <v>1200</v>
      </c>
      <c r="B77" s="3" t="s">
        <v>823</v>
      </c>
      <c r="C77" s="3">
        <v>246</v>
      </c>
      <c r="D77" s="3" t="s">
        <v>1201</v>
      </c>
      <c r="E77" s="3" t="s">
        <v>1042</v>
      </c>
    </row>
    <row r="78" spans="1:5" x14ac:dyDescent="0.25">
      <c r="A78" s="3" t="s">
        <v>1202</v>
      </c>
      <c r="B78" s="3" t="s">
        <v>824</v>
      </c>
      <c r="C78" s="3">
        <v>250</v>
      </c>
      <c r="D78" s="3" t="s">
        <v>1203</v>
      </c>
      <c r="E78" s="3" t="s">
        <v>1042</v>
      </c>
    </row>
    <row r="79" spans="1:5" x14ac:dyDescent="0.25">
      <c r="A79" s="3" t="s">
        <v>1204</v>
      </c>
      <c r="B79" s="3" t="s">
        <v>959</v>
      </c>
      <c r="C79" s="3">
        <v>254</v>
      </c>
      <c r="D79" s="3" t="s">
        <v>1205</v>
      </c>
      <c r="E79" s="3" t="s">
        <v>1057</v>
      </c>
    </row>
    <row r="80" spans="1:5" x14ac:dyDescent="0.25">
      <c r="A80" s="3" t="s">
        <v>1206</v>
      </c>
      <c r="B80" s="3" t="s">
        <v>906</v>
      </c>
      <c r="C80" s="3">
        <v>258</v>
      </c>
      <c r="D80" s="3" t="s">
        <v>1207</v>
      </c>
      <c r="E80" s="3" t="s">
        <v>1050</v>
      </c>
    </row>
    <row r="81" spans="1:5" x14ac:dyDescent="0.25">
      <c r="A81" s="3" t="s">
        <v>1208</v>
      </c>
      <c r="B81" s="3" t="s">
        <v>1024</v>
      </c>
      <c r="C81" s="3">
        <v>260</v>
      </c>
      <c r="D81" s="3" t="s">
        <v>1209</v>
      </c>
      <c r="E81" s="3" t="s">
        <v>1047</v>
      </c>
    </row>
    <row r="82" spans="1:5" x14ac:dyDescent="0.25">
      <c r="A82" s="3" t="s">
        <v>1210</v>
      </c>
      <c r="B82" s="3" t="s">
        <v>902</v>
      </c>
      <c r="C82" s="3">
        <v>266</v>
      </c>
      <c r="D82" s="3" t="s">
        <v>1211</v>
      </c>
      <c r="E82" s="3" t="s">
        <v>1047</v>
      </c>
    </row>
    <row r="83" spans="1:5" x14ac:dyDescent="0.25">
      <c r="A83" s="3" t="s">
        <v>1212</v>
      </c>
      <c r="B83" s="3" t="s">
        <v>964</v>
      </c>
      <c r="C83" s="3">
        <v>270</v>
      </c>
      <c r="D83" s="3" t="s">
        <v>1213</v>
      </c>
      <c r="E83" s="3" t="s">
        <v>1047</v>
      </c>
    </row>
    <row r="84" spans="1:5" x14ac:dyDescent="0.25">
      <c r="A84" s="3" t="s">
        <v>1214</v>
      </c>
      <c r="B84" s="3" t="s">
        <v>958</v>
      </c>
      <c r="C84" s="3">
        <v>268</v>
      </c>
      <c r="D84" s="3" t="s">
        <v>1215</v>
      </c>
      <c r="E84" s="3" t="s">
        <v>1038</v>
      </c>
    </row>
    <row r="85" spans="1:5" x14ac:dyDescent="0.25">
      <c r="A85" s="3" t="s">
        <v>1216</v>
      </c>
      <c r="B85" s="3" t="s">
        <v>815</v>
      </c>
      <c r="C85" s="3">
        <v>276</v>
      </c>
      <c r="D85" s="3" t="s">
        <v>1217</v>
      </c>
      <c r="E85" s="3" t="s">
        <v>1042</v>
      </c>
    </row>
    <row r="86" spans="1:5" x14ac:dyDescent="0.25">
      <c r="A86" s="3" t="s">
        <v>1218</v>
      </c>
      <c r="B86" s="3" t="s">
        <v>961</v>
      </c>
      <c r="C86" s="3">
        <v>288</v>
      </c>
      <c r="D86" s="3" t="s">
        <v>1219</v>
      </c>
      <c r="E86" s="3" t="s">
        <v>1047</v>
      </c>
    </row>
    <row r="87" spans="1:5" x14ac:dyDescent="0.25">
      <c r="A87" s="3" t="s">
        <v>1220</v>
      </c>
      <c r="B87" s="3" t="s">
        <v>962</v>
      </c>
      <c r="C87" s="3">
        <v>292</v>
      </c>
      <c r="D87" s="3" t="s">
        <v>1221</v>
      </c>
      <c r="E87" s="3" t="s">
        <v>1042</v>
      </c>
    </row>
    <row r="88" spans="1:5" x14ac:dyDescent="0.25">
      <c r="A88" s="3" t="s">
        <v>1222</v>
      </c>
      <c r="B88" s="3" t="s">
        <v>825</v>
      </c>
      <c r="C88" s="3">
        <v>300</v>
      </c>
      <c r="D88" s="3" t="s">
        <v>1223</v>
      </c>
      <c r="E88" s="3" t="s">
        <v>1042</v>
      </c>
    </row>
    <row r="89" spans="1:5" x14ac:dyDescent="0.25">
      <c r="A89" s="3" t="s">
        <v>1224</v>
      </c>
      <c r="B89" s="3" t="s">
        <v>963</v>
      </c>
      <c r="C89" s="3">
        <v>304</v>
      </c>
      <c r="D89" s="3" t="s">
        <v>1225</v>
      </c>
      <c r="E89" s="3" t="s">
        <v>1057</v>
      </c>
    </row>
    <row r="90" spans="1:5" x14ac:dyDescent="0.25">
      <c r="A90" s="3" t="s">
        <v>1226</v>
      </c>
      <c r="B90" s="3" t="s">
        <v>1001</v>
      </c>
      <c r="C90" s="3">
        <v>308</v>
      </c>
      <c r="D90" s="3" t="s">
        <v>1227</v>
      </c>
      <c r="E90" s="3" t="s">
        <v>1057</v>
      </c>
    </row>
    <row r="91" spans="1:5" x14ac:dyDescent="0.25">
      <c r="A91" s="3" t="s">
        <v>1228</v>
      </c>
      <c r="B91" s="3" t="s">
        <v>1229</v>
      </c>
      <c r="C91" s="3">
        <v>312</v>
      </c>
      <c r="D91" s="3" t="s">
        <v>1230</v>
      </c>
      <c r="E91" s="3" t="s">
        <v>1057</v>
      </c>
    </row>
    <row r="92" spans="1:5" x14ac:dyDescent="0.25">
      <c r="A92" s="3" t="s">
        <v>1231</v>
      </c>
      <c r="B92" s="3" t="s">
        <v>1002</v>
      </c>
      <c r="C92" s="3">
        <v>316</v>
      </c>
      <c r="D92" s="3" t="s">
        <v>1232</v>
      </c>
      <c r="E92" s="3" t="s">
        <v>1050</v>
      </c>
    </row>
    <row r="93" spans="1:5" x14ac:dyDescent="0.25">
      <c r="A93" s="3" t="s">
        <v>1233</v>
      </c>
      <c r="B93" s="3" t="s">
        <v>826</v>
      </c>
      <c r="C93" s="3">
        <v>320</v>
      </c>
      <c r="D93" s="3" t="s">
        <v>1234</v>
      </c>
      <c r="E93" s="3" t="s">
        <v>1057</v>
      </c>
    </row>
    <row r="94" spans="1:5" x14ac:dyDescent="0.25">
      <c r="A94" s="3" t="s">
        <v>1235</v>
      </c>
      <c r="B94" s="3" t="s">
        <v>960</v>
      </c>
      <c r="C94" s="3">
        <v>831</v>
      </c>
      <c r="D94" s="3" t="s">
        <v>1236</v>
      </c>
      <c r="E94" s="3" t="s">
        <v>1042</v>
      </c>
    </row>
    <row r="95" spans="1:5" x14ac:dyDescent="0.25">
      <c r="A95" s="3" t="s">
        <v>1237</v>
      </c>
      <c r="B95" s="3" t="s">
        <v>1020</v>
      </c>
      <c r="C95" s="3">
        <v>324</v>
      </c>
      <c r="D95" s="3" t="s">
        <v>1238</v>
      </c>
      <c r="E95" s="3" t="s">
        <v>1047</v>
      </c>
    </row>
    <row r="96" spans="1:5" x14ac:dyDescent="0.25">
      <c r="A96" s="3" t="s">
        <v>1239</v>
      </c>
      <c r="B96" s="3" t="s">
        <v>1240</v>
      </c>
      <c r="C96" s="3">
        <v>624</v>
      </c>
      <c r="D96" s="3" t="s">
        <v>1241</v>
      </c>
      <c r="E96" s="3" t="s">
        <v>1047</v>
      </c>
    </row>
    <row r="97" spans="1:5" x14ac:dyDescent="0.25">
      <c r="A97" s="3" t="s">
        <v>1242</v>
      </c>
      <c r="B97" s="3" t="s">
        <v>928</v>
      </c>
      <c r="C97" s="3">
        <v>328</v>
      </c>
      <c r="D97" s="3" t="s">
        <v>1243</v>
      </c>
      <c r="E97" s="3" t="s">
        <v>1057</v>
      </c>
    </row>
    <row r="98" spans="1:5" x14ac:dyDescent="0.25">
      <c r="A98" s="3" t="s">
        <v>1244</v>
      </c>
      <c r="B98" s="3" t="s">
        <v>965</v>
      </c>
      <c r="C98" s="3">
        <v>332</v>
      </c>
      <c r="D98" s="3" t="s">
        <v>1245</v>
      </c>
      <c r="E98" s="3" t="s">
        <v>1057</v>
      </c>
    </row>
    <row r="99" spans="1:5" x14ac:dyDescent="0.25">
      <c r="A99" s="3" t="s">
        <v>1246</v>
      </c>
      <c r="B99" s="3" t="s">
        <v>1023</v>
      </c>
      <c r="C99" s="3">
        <v>334</v>
      </c>
      <c r="D99" s="3" t="s">
        <v>1247</v>
      </c>
      <c r="E99" s="3" t="s">
        <v>1050</v>
      </c>
    </row>
    <row r="100" spans="1:5" x14ac:dyDescent="0.25">
      <c r="A100" s="3" t="s">
        <v>1248</v>
      </c>
      <c r="B100" s="3" t="s">
        <v>1249</v>
      </c>
      <c r="C100" s="3">
        <v>336</v>
      </c>
      <c r="D100" s="3" t="s">
        <v>1250</v>
      </c>
      <c r="E100" s="3" t="s">
        <v>1042</v>
      </c>
    </row>
    <row r="101" spans="1:5" x14ac:dyDescent="0.25">
      <c r="A101" s="3" t="s">
        <v>1251</v>
      </c>
      <c r="B101" s="3" t="s">
        <v>828</v>
      </c>
      <c r="C101" s="3">
        <v>340</v>
      </c>
      <c r="D101" s="3" t="s">
        <v>1252</v>
      </c>
      <c r="E101" s="3" t="s">
        <v>1057</v>
      </c>
    </row>
    <row r="102" spans="1:5" x14ac:dyDescent="0.25">
      <c r="A102" s="3" t="s">
        <v>1253</v>
      </c>
      <c r="B102" s="3" t="s">
        <v>827</v>
      </c>
      <c r="C102" s="3">
        <v>344</v>
      </c>
      <c r="D102" s="3" t="s">
        <v>1254</v>
      </c>
      <c r="E102" s="3" t="s">
        <v>1038</v>
      </c>
    </row>
    <row r="103" spans="1:5" x14ac:dyDescent="0.25">
      <c r="A103" s="3" t="s">
        <v>1255</v>
      </c>
      <c r="B103" s="3" t="s">
        <v>830</v>
      </c>
      <c r="C103" s="3">
        <v>348</v>
      </c>
      <c r="D103" s="3" t="s">
        <v>1256</v>
      </c>
      <c r="E103" s="3" t="s">
        <v>1042</v>
      </c>
    </row>
    <row r="104" spans="1:5" x14ac:dyDescent="0.25">
      <c r="A104" s="3" t="s">
        <v>1257</v>
      </c>
      <c r="B104" s="3" t="s">
        <v>929</v>
      </c>
      <c r="C104" s="3">
        <v>352</v>
      </c>
      <c r="D104" s="3" t="s">
        <v>1258</v>
      </c>
      <c r="E104" s="3" t="s">
        <v>1042</v>
      </c>
    </row>
    <row r="105" spans="1:5" x14ac:dyDescent="0.25">
      <c r="A105" s="3" t="s">
        <v>1259</v>
      </c>
      <c r="B105" s="3" t="s">
        <v>834</v>
      </c>
      <c r="C105" s="3">
        <v>356</v>
      </c>
      <c r="D105" s="3" t="s">
        <v>1260</v>
      </c>
      <c r="E105" s="3" t="s">
        <v>1038</v>
      </c>
    </row>
    <row r="106" spans="1:5" x14ac:dyDescent="0.25">
      <c r="A106" s="3" t="s">
        <v>1261</v>
      </c>
      <c r="B106" s="3" t="s">
        <v>831</v>
      </c>
      <c r="C106" s="3">
        <v>360</v>
      </c>
      <c r="D106" s="3" t="s">
        <v>1262</v>
      </c>
      <c r="E106" s="3" t="s">
        <v>1038</v>
      </c>
    </row>
    <row r="107" spans="1:5" x14ac:dyDescent="0.25">
      <c r="A107" s="3" t="s">
        <v>1263</v>
      </c>
      <c r="B107" s="3" t="s">
        <v>1010</v>
      </c>
      <c r="C107" s="3">
        <v>364</v>
      </c>
      <c r="D107" s="3" t="s">
        <v>1264</v>
      </c>
      <c r="E107" s="3" t="s">
        <v>1038</v>
      </c>
    </row>
    <row r="108" spans="1:5" x14ac:dyDescent="0.25">
      <c r="A108" s="3" t="s">
        <v>1265</v>
      </c>
      <c r="B108" s="3" t="s">
        <v>966</v>
      </c>
      <c r="C108" s="3">
        <v>368</v>
      </c>
      <c r="D108" s="3" t="s">
        <v>1266</v>
      </c>
      <c r="E108" s="3" t="s">
        <v>1038</v>
      </c>
    </row>
    <row r="109" spans="1:5" x14ac:dyDescent="0.25">
      <c r="A109" s="3" t="s">
        <v>1267</v>
      </c>
      <c r="B109" s="3" t="s">
        <v>832</v>
      </c>
      <c r="C109" s="3">
        <v>372</v>
      </c>
      <c r="D109" s="3" t="s">
        <v>1268</v>
      </c>
      <c r="E109" s="3" t="s">
        <v>1042</v>
      </c>
    </row>
    <row r="110" spans="1:5" x14ac:dyDescent="0.25">
      <c r="A110" s="3" t="s">
        <v>1269</v>
      </c>
      <c r="B110" s="3" t="s">
        <v>917</v>
      </c>
      <c r="C110" s="3">
        <v>833</v>
      </c>
      <c r="D110" s="3" t="s">
        <v>1270</v>
      </c>
      <c r="E110" s="3" t="s">
        <v>1042</v>
      </c>
    </row>
    <row r="111" spans="1:5" x14ac:dyDescent="0.25">
      <c r="A111" s="3" t="s">
        <v>1271</v>
      </c>
      <c r="B111" s="3" t="s">
        <v>833</v>
      </c>
      <c r="C111" s="3">
        <v>376</v>
      </c>
      <c r="D111" s="3" t="s">
        <v>1272</v>
      </c>
      <c r="E111" s="3" t="s">
        <v>1038</v>
      </c>
    </row>
    <row r="112" spans="1:5" x14ac:dyDescent="0.25">
      <c r="A112" s="3" t="s">
        <v>1273</v>
      </c>
      <c r="B112" s="3" t="s">
        <v>835</v>
      </c>
      <c r="C112" s="3">
        <v>380</v>
      </c>
      <c r="D112" s="3" t="s">
        <v>1274</v>
      </c>
      <c r="E112" s="3" t="s">
        <v>1042</v>
      </c>
    </row>
    <row r="113" spans="1:5" x14ac:dyDescent="0.25">
      <c r="A113" s="3" t="s">
        <v>1275</v>
      </c>
      <c r="B113" s="3" t="s">
        <v>836</v>
      </c>
      <c r="C113" s="3">
        <v>388</v>
      </c>
      <c r="D113" s="3" t="s">
        <v>1276</v>
      </c>
      <c r="E113" s="3" t="s">
        <v>1057</v>
      </c>
    </row>
    <row r="114" spans="1:5" x14ac:dyDescent="0.25">
      <c r="A114" s="3" t="s">
        <v>1277</v>
      </c>
      <c r="B114" s="3" t="s">
        <v>837</v>
      </c>
      <c r="C114" s="3">
        <v>392</v>
      </c>
      <c r="D114" s="3" t="s">
        <v>1278</v>
      </c>
      <c r="E114" s="3" t="s">
        <v>1038</v>
      </c>
    </row>
    <row r="115" spans="1:5" x14ac:dyDescent="0.25">
      <c r="A115" s="3" t="s">
        <v>1279</v>
      </c>
      <c r="B115" s="3" t="s">
        <v>967</v>
      </c>
      <c r="C115" s="3">
        <v>832</v>
      </c>
      <c r="D115" s="3" t="s">
        <v>1280</v>
      </c>
      <c r="E115" s="3" t="s">
        <v>1042</v>
      </c>
    </row>
    <row r="116" spans="1:5" x14ac:dyDescent="0.25">
      <c r="A116" s="3" t="s">
        <v>1281</v>
      </c>
      <c r="B116" s="3" t="s">
        <v>889</v>
      </c>
      <c r="C116" s="3">
        <v>400</v>
      </c>
      <c r="D116" s="3" t="s">
        <v>1282</v>
      </c>
      <c r="E116" s="3" t="s">
        <v>1038</v>
      </c>
    </row>
    <row r="117" spans="1:5" x14ac:dyDescent="0.25">
      <c r="A117" s="3" t="s">
        <v>1283</v>
      </c>
      <c r="B117" s="3" t="s">
        <v>841</v>
      </c>
      <c r="C117" s="3">
        <v>398</v>
      </c>
      <c r="D117" s="3" t="s">
        <v>1284</v>
      </c>
      <c r="E117" s="3" t="s">
        <v>1038</v>
      </c>
    </row>
    <row r="118" spans="1:5" x14ac:dyDescent="0.25">
      <c r="A118" s="3" t="s">
        <v>1285</v>
      </c>
      <c r="B118" s="3" t="s">
        <v>838</v>
      </c>
      <c r="C118" s="3">
        <v>404</v>
      </c>
      <c r="D118" s="3" t="s">
        <v>1286</v>
      </c>
      <c r="E118" s="3" t="s">
        <v>1047</v>
      </c>
    </row>
    <row r="119" spans="1:5" x14ac:dyDescent="0.25">
      <c r="A119" s="3" t="s">
        <v>1287</v>
      </c>
      <c r="B119" s="3" t="s">
        <v>969</v>
      </c>
      <c r="C119" s="3">
        <v>296</v>
      </c>
      <c r="D119" s="3" t="s">
        <v>1288</v>
      </c>
      <c r="E119" s="3" t="s">
        <v>1050</v>
      </c>
    </row>
    <row r="120" spans="1:5" x14ac:dyDescent="0.25">
      <c r="A120" s="3" t="s">
        <v>1289</v>
      </c>
      <c r="B120" s="3" t="s">
        <v>1290</v>
      </c>
      <c r="C120" s="3">
        <v>408</v>
      </c>
      <c r="D120" s="3" t="s">
        <v>1291</v>
      </c>
      <c r="E120" s="3" t="s">
        <v>1038</v>
      </c>
    </row>
    <row r="121" spans="1:5" x14ac:dyDescent="0.25">
      <c r="A121" s="3" t="s">
        <v>1292</v>
      </c>
      <c r="B121" s="3" t="s">
        <v>839</v>
      </c>
      <c r="C121" s="3">
        <v>410</v>
      </c>
      <c r="D121" s="3" t="s">
        <v>1293</v>
      </c>
      <c r="E121" s="3" t="s">
        <v>1038</v>
      </c>
    </row>
    <row r="122" spans="1:5" x14ac:dyDescent="0.25">
      <c r="A122" s="3" t="s">
        <v>1294</v>
      </c>
      <c r="B122" s="3" t="s">
        <v>1295</v>
      </c>
      <c r="C122" s="3">
        <v>412</v>
      </c>
      <c r="D122" s="3" t="s">
        <v>1296</v>
      </c>
    </row>
    <row r="123" spans="1:5" x14ac:dyDescent="0.25">
      <c r="A123" s="3" t="s">
        <v>1297</v>
      </c>
      <c r="B123" s="3" t="s">
        <v>840</v>
      </c>
      <c r="C123" s="3">
        <v>414</v>
      </c>
      <c r="D123" s="3" t="s">
        <v>1298</v>
      </c>
      <c r="E123" s="3" t="s">
        <v>1038</v>
      </c>
    </row>
    <row r="124" spans="1:5" x14ac:dyDescent="0.25">
      <c r="A124" s="3" t="s">
        <v>1299</v>
      </c>
      <c r="B124" s="3" t="s">
        <v>968</v>
      </c>
      <c r="C124" s="3">
        <v>417</v>
      </c>
      <c r="D124" s="3" t="s">
        <v>1300</v>
      </c>
      <c r="E124" s="3" t="s">
        <v>1038</v>
      </c>
    </row>
    <row r="125" spans="1:5" x14ac:dyDescent="0.25">
      <c r="A125" s="3" t="s">
        <v>1301</v>
      </c>
      <c r="B125" s="3" t="s">
        <v>930</v>
      </c>
      <c r="C125" s="3">
        <v>418</v>
      </c>
      <c r="D125" s="3" t="s">
        <v>1302</v>
      </c>
      <c r="E125" s="3" t="s">
        <v>1038</v>
      </c>
    </row>
    <row r="126" spans="1:5" x14ac:dyDescent="0.25">
      <c r="A126" s="3" t="s">
        <v>1303</v>
      </c>
      <c r="B126" s="3" t="s">
        <v>844</v>
      </c>
      <c r="C126" s="3">
        <v>428</v>
      </c>
      <c r="D126" s="3" t="s">
        <v>1304</v>
      </c>
      <c r="E126" s="3" t="s">
        <v>1042</v>
      </c>
    </row>
    <row r="127" spans="1:5" x14ac:dyDescent="0.25">
      <c r="A127" s="3" t="s">
        <v>1305</v>
      </c>
      <c r="B127" s="3" t="s">
        <v>938</v>
      </c>
      <c r="C127" s="3">
        <v>422</v>
      </c>
      <c r="D127" s="3" t="s">
        <v>1306</v>
      </c>
      <c r="E127" s="3" t="s">
        <v>1038</v>
      </c>
    </row>
    <row r="128" spans="1:5" x14ac:dyDescent="0.25">
      <c r="A128" s="3" t="s">
        <v>1307</v>
      </c>
      <c r="B128" s="3" t="s">
        <v>970</v>
      </c>
      <c r="C128" s="3">
        <v>426</v>
      </c>
      <c r="D128" s="3" t="s">
        <v>1308</v>
      </c>
      <c r="E128" s="3" t="s">
        <v>1047</v>
      </c>
    </row>
    <row r="129" spans="1:5" x14ac:dyDescent="0.25">
      <c r="A129" s="3" t="s">
        <v>1309</v>
      </c>
      <c r="B129" s="3" t="s">
        <v>1310</v>
      </c>
      <c r="C129" s="3">
        <v>430</v>
      </c>
      <c r="D129" s="3" t="s">
        <v>1311</v>
      </c>
      <c r="E129" s="3" t="s">
        <v>1047</v>
      </c>
    </row>
    <row r="130" spans="1:5" x14ac:dyDescent="0.25">
      <c r="A130" s="3" t="s">
        <v>1312</v>
      </c>
      <c r="B130" s="3" t="s">
        <v>923</v>
      </c>
      <c r="C130" s="3">
        <v>434</v>
      </c>
      <c r="D130" s="3" t="s">
        <v>1313</v>
      </c>
      <c r="E130" s="3" t="s">
        <v>1047</v>
      </c>
    </row>
    <row r="131" spans="1:5" x14ac:dyDescent="0.25">
      <c r="A131" s="3" t="s">
        <v>1314</v>
      </c>
      <c r="B131" s="3" t="s">
        <v>903</v>
      </c>
      <c r="C131" s="3">
        <v>438</v>
      </c>
      <c r="D131" s="3" t="s">
        <v>1315</v>
      </c>
      <c r="E131" s="3" t="s">
        <v>1042</v>
      </c>
    </row>
    <row r="132" spans="1:5" x14ac:dyDescent="0.25">
      <c r="A132" s="3" t="s">
        <v>1316</v>
      </c>
      <c r="B132" s="3" t="s">
        <v>843</v>
      </c>
      <c r="C132" s="3">
        <v>440</v>
      </c>
      <c r="D132" s="3" t="s">
        <v>1317</v>
      </c>
      <c r="E132" s="3" t="s">
        <v>1042</v>
      </c>
    </row>
    <row r="133" spans="1:5" x14ac:dyDescent="0.25">
      <c r="A133" s="3" t="s">
        <v>1318</v>
      </c>
      <c r="B133" s="3" t="s">
        <v>904</v>
      </c>
      <c r="C133" s="3">
        <v>442</v>
      </c>
      <c r="D133" s="3" t="s">
        <v>1319</v>
      </c>
      <c r="E133" s="3" t="s">
        <v>1042</v>
      </c>
    </row>
    <row r="134" spans="1:5" x14ac:dyDescent="0.25">
      <c r="A134" s="3" t="s">
        <v>1320</v>
      </c>
      <c r="B134" s="3" t="s">
        <v>905</v>
      </c>
      <c r="C134" s="3">
        <v>446</v>
      </c>
      <c r="D134" s="3" t="s">
        <v>1321</v>
      </c>
      <c r="E134" s="3" t="s">
        <v>1038</v>
      </c>
    </row>
    <row r="135" spans="1:5" x14ac:dyDescent="0.25">
      <c r="A135" s="3" t="s">
        <v>1322</v>
      </c>
      <c r="B135" s="3" t="s">
        <v>940</v>
      </c>
      <c r="C135" s="3">
        <v>450</v>
      </c>
      <c r="D135" s="3" t="s">
        <v>1323</v>
      </c>
      <c r="E135" s="3" t="s">
        <v>1047</v>
      </c>
    </row>
    <row r="136" spans="1:5" x14ac:dyDescent="0.25">
      <c r="A136" s="3" t="s">
        <v>1324</v>
      </c>
      <c r="B136" s="3" t="s">
        <v>974</v>
      </c>
      <c r="C136" s="3">
        <v>454</v>
      </c>
      <c r="D136" s="3" t="s">
        <v>1325</v>
      </c>
      <c r="E136" s="3" t="s">
        <v>1047</v>
      </c>
    </row>
    <row r="137" spans="1:5" x14ac:dyDescent="0.25">
      <c r="A137" s="3" t="s">
        <v>1326</v>
      </c>
      <c r="B137" s="3" t="s">
        <v>848</v>
      </c>
      <c r="C137" s="3">
        <v>458</v>
      </c>
      <c r="D137" s="3" t="s">
        <v>1327</v>
      </c>
      <c r="E137" s="3" t="s">
        <v>1038</v>
      </c>
    </row>
    <row r="138" spans="1:5" x14ac:dyDescent="0.25">
      <c r="A138" s="3" t="s">
        <v>1328</v>
      </c>
      <c r="B138" s="3" t="s">
        <v>973</v>
      </c>
      <c r="C138" s="3">
        <v>462</v>
      </c>
      <c r="D138" s="3" t="s">
        <v>1329</v>
      </c>
      <c r="E138" s="3" t="s">
        <v>1038</v>
      </c>
    </row>
    <row r="139" spans="1:5" x14ac:dyDescent="0.25">
      <c r="A139" s="3" t="s">
        <v>1330</v>
      </c>
      <c r="B139" s="3" t="s">
        <v>931</v>
      </c>
      <c r="C139" s="3">
        <v>466</v>
      </c>
      <c r="D139" s="3" t="s">
        <v>1331</v>
      </c>
      <c r="E139" s="3" t="s">
        <v>1047</v>
      </c>
    </row>
    <row r="140" spans="1:5" x14ac:dyDescent="0.25">
      <c r="A140" s="3" t="s">
        <v>1332</v>
      </c>
      <c r="B140" s="3" t="s">
        <v>932</v>
      </c>
      <c r="C140" s="3">
        <v>470</v>
      </c>
      <c r="D140" s="3" t="s">
        <v>1333</v>
      </c>
      <c r="E140" s="3" t="s">
        <v>1042</v>
      </c>
    </row>
    <row r="141" spans="1:5" x14ac:dyDescent="0.25">
      <c r="A141" s="3" t="s">
        <v>1334</v>
      </c>
      <c r="B141" s="3" t="s">
        <v>1335</v>
      </c>
      <c r="C141" s="3">
        <v>584</v>
      </c>
      <c r="D141" s="3" t="s">
        <v>1336</v>
      </c>
      <c r="E141" s="3" t="s">
        <v>1050</v>
      </c>
    </row>
    <row r="142" spans="1:5" x14ac:dyDescent="0.25">
      <c r="A142" s="3" t="s">
        <v>1337</v>
      </c>
      <c r="B142" s="3" t="s">
        <v>1009</v>
      </c>
      <c r="C142" s="3">
        <v>474</v>
      </c>
      <c r="D142" s="3" t="s">
        <v>1338</v>
      </c>
      <c r="E142" s="3" t="s">
        <v>1057</v>
      </c>
    </row>
    <row r="143" spans="1:5" x14ac:dyDescent="0.25">
      <c r="A143" s="3" t="s">
        <v>1339</v>
      </c>
      <c r="B143" s="3" t="s">
        <v>1014</v>
      </c>
      <c r="C143" s="3">
        <v>478</v>
      </c>
      <c r="D143" s="3" t="s">
        <v>1340</v>
      </c>
      <c r="E143" s="3" t="s">
        <v>1047</v>
      </c>
    </row>
    <row r="144" spans="1:5" x14ac:dyDescent="0.25">
      <c r="A144" s="3" t="s">
        <v>1341</v>
      </c>
      <c r="B144" s="3" t="s">
        <v>919</v>
      </c>
      <c r="C144" s="3">
        <v>480</v>
      </c>
      <c r="D144" s="3" t="s">
        <v>1342</v>
      </c>
      <c r="E144" s="3" t="s">
        <v>1047</v>
      </c>
    </row>
    <row r="145" spans="1:5" x14ac:dyDescent="0.25">
      <c r="A145" s="3" t="s">
        <v>1343</v>
      </c>
      <c r="B145" s="3" t="s">
        <v>1019</v>
      </c>
      <c r="C145" s="3">
        <v>175</v>
      </c>
      <c r="D145" s="3" t="s">
        <v>1344</v>
      </c>
      <c r="E145" s="3" t="s">
        <v>1047</v>
      </c>
    </row>
    <row r="146" spans="1:5" x14ac:dyDescent="0.25">
      <c r="A146" s="3" t="s">
        <v>1345</v>
      </c>
      <c r="B146" s="3" t="s">
        <v>847</v>
      </c>
      <c r="C146" s="3">
        <v>484</v>
      </c>
      <c r="D146" s="3" t="s">
        <v>1346</v>
      </c>
      <c r="E146" s="3" t="s">
        <v>1057</v>
      </c>
    </row>
    <row r="147" spans="1:5" x14ac:dyDescent="0.25">
      <c r="A147" s="3" t="s">
        <v>1347</v>
      </c>
      <c r="B147" s="3" t="s">
        <v>894</v>
      </c>
      <c r="C147" s="3">
        <v>583</v>
      </c>
      <c r="D147" s="3" t="s">
        <v>1348</v>
      </c>
      <c r="E147" s="3" t="s">
        <v>1050</v>
      </c>
    </row>
    <row r="148" spans="1:5" x14ac:dyDescent="0.25">
      <c r="A148" s="3" t="s">
        <v>1349</v>
      </c>
      <c r="B148" s="3" t="s">
        <v>918</v>
      </c>
      <c r="C148" s="3">
        <v>498</v>
      </c>
      <c r="D148" s="3" t="s">
        <v>1350</v>
      </c>
      <c r="E148" s="3" t="s">
        <v>1042</v>
      </c>
    </row>
    <row r="149" spans="1:5" x14ac:dyDescent="0.25">
      <c r="A149" s="3" t="s">
        <v>1351</v>
      </c>
      <c r="B149" s="3" t="s">
        <v>939</v>
      </c>
      <c r="C149" s="3">
        <v>492</v>
      </c>
      <c r="D149" s="3" t="s">
        <v>1352</v>
      </c>
      <c r="E149" s="3" t="s">
        <v>1042</v>
      </c>
    </row>
    <row r="150" spans="1:5" x14ac:dyDescent="0.25">
      <c r="A150" s="3" t="s">
        <v>1353</v>
      </c>
      <c r="B150" s="3" t="s">
        <v>971</v>
      </c>
      <c r="C150" s="3">
        <v>496</v>
      </c>
      <c r="D150" s="3" t="s">
        <v>1354</v>
      </c>
      <c r="E150" s="3" t="s">
        <v>1038</v>
      </c>
    </row>
    <row r="151" spans="1:5" x14ac:dyDescent="0.25">
      <c r="A151" s="3" t="s">
        <v>1355</v>
      </c>
      <c r="B151" s="3" t="s">
        <v>846</v>
      </c>
      <c r="C151" s="3">
        <v>499</v>
      </c>
      <c r="D151" s="3" t="s">
        <v>1356</v>
      </c>
      <c r="E151" s="3" t="s">
        <v>1042</v>
      </c>
    </row>
    <row r="152" spans="1:5" x14ac:dyDescent="0.25">
      <c r="A152" s="3" t="s">
        <v>1357</v>
      </c>
      <c r="B152" s="3" t="s">
        <v>972</v>
      </c>
      <c r="C152" s="3">
        <v>500</v>
      </c>
      <c r="D152" s="3" t="s">
        <v>1358</v>
      </c>
      <c r="E152" s="3" t="s">
        <v>1057</v>
      </c>
    </row>
    <row r="153" spans="1:5" x14ac:dyDescent="0.25">
      <c r="A153" s="3" t="s">
        <v>1359</v>
      </c>
      <c r="B153" s="3" t="s">
        <v>845</v>
      </c>
      <c r="C153" s="3">
        <v>504</v>
      </c>
      <c r="D153" s="3" t="s">
        <v>1360</v>
      </c>
      <c r="E153" s="3" t="s">
        <v>1047</v>
      </c>
    </row>
    <row r="154" spans="1:5" x14ac:dyDescent="0.25">
      <c r="A154" s="3" t="s">
        <v>1361</v>
      </c>
      <c r="B154" s="3" t="s">
        <v>941</v>
      </c>
      <c r="C154" s="3">
        <v>508</v>
      </c>
      <c r="D154" s="3" t="s">
        <v>1362</v>
      </c>
      <c r="E154" s="3" t="s">
        <v>1047</v>
      </c>
    </row>
    <row r="155" spans="1:5" x14ac:dyDescent="0.25">
      <c r="A155" s="3" t="s">
        <v>1363</v>
      </c>
      <c r="B155" s="3" t="s">
        <v>887</v>
      </c>
      <c r="C155" s="3">
        <v>104</v>
      </c>
      <c r="D155" s="3" t="s">
        <v>1364</v>
      </c>
      <c r="E155" s="3" t="s">
        <v>1038</v>
      </c>
    </row>
    <row r="156" spans="1:5" x14ac:dyDescent="0.25">
      <c r="A156" s="3" t="s">
        <v>1365</v>
      </c>
      <c r="B156" s="3" t="s">
        <v>849</v>
      </c>
      <c r="C156" s="3">
        <v>516</v>
      </c>
      <c r="D156" s="3" t="s">
        <v>1366</v>
      </c>
      <c r="E156" s="3" t="s">
        <v>1047</v>
      </c>
    </row>
    <row r="157" spans="1:5" x14ac:dyDescent="0.25">
      <c r="A157" s="3" t="s">
        <v>1367</v>
      </c>
      <c r="B157" s="3" t="s">
        <v>977</v>
      </c>
      <c r="C157" s="3">
        <v>520</v>
      </c>
      <c r="D157" s="3" t="s">
        <v>1368</v>
      </c>
      <c r="E157" s="3" t="s">
        <v>1050</v>
      </c>
    </row>
    <row r="158" spans="1:5" x14ac:dyDescent="0.25">
      <c r="A158" s="3" t="s">
        <v>1369</v>
      </c>
      <c r="B158" s="3" t="s">
        <v>935</v>
      </c>
      <c r="C158" s="3">
        <v>524</v>
      </c>
      <c r="D158" s="3" t="s">
        <v>1370</v>
      </c>
      <c r="E158" s="3" t="s">
        <v>1038</v>
      </c>
    </row>
    <row r="159" spans="1:5" x14ac:dyDescent="0.25">
      <c r="A159" s="3" t="s">
        <v>1371</v>
      </c>
      <c r="B159" s="3" t="s">
        <v>852</v>
      </c>
      <c r="C159" s="3">
        <v>528</v>
      </c>
      <c r="D159" s="3" t="s">
        <v>1372</v>
      </c>
      <c r="E159" s="3" t="s">
        <v>1042</v>
      </c>
    </row>
    <row r="160" spans="1:5" x14ac:dyDescent="0.25">
      <c r="A160" s="3" t="s">
        <v>1373</v>
      </c>
      <c r="B160" s="3" t="s">
        <v>1008</v>
      </c>
      <c r="C160" s="3">
        <v>540</v>
      </c>
      <c r="D160" s="3" t="s">
        <v>1374</v>
      </c>
      <c r="E160" s="3" t="s">
        <v>1050</v>
      </c>
    </row>
    <row r="161" spans="1:5" x14ac:dyDescent="0.25">
      <c r="A161" s="3" t="s">
        <v>1375</v>
      </c>
      <c r="B161" s="3" t="s">
        <v>854</v>
      </c>
      <c r="C161" s="3">
        <v>554</v>
      </c>
      <c r="D161" s="3" t="s">
        <v>1376</v>
      </c>
      <c r="E161" s="3" t="s">
        <v>1050</v>
      </c>
    </row>
    <row r="162" spans="1:5" x14ac:dyDescent="0.25">
      <c r="A162" s="3" t="s">
        <v>1377</v>
      </c>
      <c r="B162" s="3" t="s">
        <v>851</v>
      </c>
      <c r="C162" s="3">
        <v>558</v>
      </c>
      <c r="D162" s="3" t="s">
        <v>1378</v>
      </c>
      <c r="E162" s="3" t="s">
        <v>1057</v>
      </c>
    </row>
    <row r="163" spans="1:5" x14ac:dyDescent="0.25">
      <c r="A163" s="3" t="s">
        <v>1379</v>
      </c>
      <c r="B163" s="3" t="s">
        <v>975</v>
      </c>
      <c r="C163" s="3">
        <v>562</v>
      </c>
      <c r="D163" s="3" t="s">
        <v>1380</v>
      </c>
      <c r="E163" s="3" t="s">
        <v>1047</v>
      </c>
    </row>
    <row r="164" spans="1:5" x14ac:dyDescent="0.25">
      <c r="A164" s="3" t="s">
        <v>1381</v>
      </c>
      <c r="B164" s="3" t="s">
        <v>850</v>
      </c>
      <c r="C164" s="3">
        <v>566</v>
      </c>
      <c r="D164" s="3" t="s">
        <v>1382</v>
      </c>
      <c r="E164" s="3" t="s">
        <v>1047</v>
      </c>
    </row>
    <row r="165" spans="1:5" x14ac:dyDescent="0.25">
      <c r="A165" s="3" t="s">
        <v>1383</v>
      </c>
      <c r="B165" s="3" t="s">
        <v>896</v>
      </c>
      <c r="C165" s="3">
        <v>570</v>
      </c>
      <c r="D165" s="3" t="s">
        <v>1384</v>
      </c>
      <c r="E165" s="3" t="s">
        <v>1050</v>
      </c>
    </row>
    <row r="166" spans="1:5" x14ac:dyDescent="0.25">
      <c r="A166" s="3" t="s">
        <v>1385</v>
      </c>
      <c r="B166" s="3" t="s">
        <v>976</v>
      </c>
      <c r="C166" s="3">
        <v>574</v>
      </c>
      <c r="D166" s="3" t="s">
        <v>1386</v>
      </c>
      <c r="E166" s="3" t="s">
        <v>1050</v>
      </c>
    </row>
    <row r="167" spans="1:5" x14ac:dyDescent="0.25">
      <c r="A167" s="3" t="s">
        <v>1387</v>
      </c>
      <c r="B167" s="3" t="s">
        <v>895</v>
      </c>
      <c r="C167" s="3">
        <v>807</v>
      </c>
      <c r="D167" s="3" t="s">
        <v>1388</v>
      </c>
      <c r="E167" s="3" t="s">
        <v>1042</v>
      </c>
    </row>
    <row r="168" spans="1:5" x14ac:dyDescent="0.25">
      <c r="A168" s="3" t="s">
        <v>1389</v>
      </c>
      <c r="B168" s="3" t="s">
        <v>1005</v>
      </c>
      <c r="C168" s="3">
        <v>580</v>
      </c>
      <c r="D168" s="3" t="s">
        <v>1390</v>
      </c>
      <c r="E168" s="3" t="s">
        <v>1050</v>
      </c>
    </row>
    <row r="169" spans="1:5" x14ac:dyDescent="0.25">
      <c r="A169" s="3" t="s">
        <v>1391</v>
      </c>
      <c r="B169" s="3" t="s">
        <v>853</v>
      </c>
      <c r="C169" s="3">
        <v>578</v>
      </c>
      <c r="D169" s="3" t="s">
        <v>1392</v>
      </c>
      <c r="E169" s="3" t="s">
        <v>1042</v>
      </c>
    </row>
    <row r="170" spans="1:5" x14ac:dyDescent="0.25">
      <c r="A170" s="3" t="s">
        <v>1393</v>
      </c>
      <c r="B170" s="3" t="s">
        <v>855</v>
      </c>
      <c r="C170" s="3">
        <v>512</v>
      </c>
      <c r="D170" s="3" t="s">
        <v>1394</v>
      </c>
      <c r="E170" s="3" t="s">
        <v>1038</v>
      </c>
    </row>
    <row r="171" spans="1:5" x14ac:dyDescent="0.25">
      <c r="A171" s="3" t="s">
        <v>1395</v>
      </c>
      <c r="B171" s="3" t="s">
        <v>859</v>
      </c>
      <c r="C171" s="3">
        <v>586</v>
      </c>
      <c r="D171" s="3" t="s">
        <v>1396</v>
      </c>
      <c r="E171" s="3" t="s">
        <v>1038</v>
      </c>
    </row>
    <row r="172" spans="1:5" x14ac:dyDescent="0.25">
      <c r="A172" s="3" t="s">
        <v>1397</v>
      </c>
      <c r="B172" s="3" t="s">
        <v>1007</v>
      </c>
      <c r="C172" s="3">
        <v>585</v>
      </c>
      <c r="D172" s="3" t="s">
        <v>1398</v>
      </c>
      <c r="E172" s="3" t="s">
        <v>1050</v>
      </c>
    </row>
    <row r="173" spans="1:5" x14ac:dyDescent="0.25">
      <c r="A173" s="3" t="s">
        <v>1399</v>
      </c>
      <c r="B173" s="3" t="s">
        <v>980</v>
      </c>
      <c r="C173" s="3">
        <v>275</v>
      </c>
      <c r="D173" s="3" t="s">
        <v>1400</v>
      </c>
      <c r="E173" s="3" t="s">
        <v>1038</v>
      </c>
    </row>
    <row r="174" spans="1:5" x14ac:dyDescent="0.25">
      <c r="A174" s="3" t="s">
        <v>1401</v>
      </c>
      <c r="B174" s="3" t="s">
        <v>856</v>
      </c>
      <c r="C174" s="3">
        <v>591</v>
      </c>
      <c r="D174" s="3" t="s">
        <v>1402</v>
      </c>
      <c r="E174" s="3" t="s">
        <v>1057</v>
      </c>
    </row>
    <row r="175" spans="1:5" x14ac:dyDescent="0.25">
      <c r="A175" s="3" t="s">
        <v>1403</v>
      </c>
      <c r="B175" s="3" t="s">
        <v>978</v>
      </c>
      <c r="C175" s="3">
        <v>598</v>
      </c>
      <c r="D175" s="3" t="s">
        <v>1404</v>
      </c>
      <c r="E175" s="3" t="s">
        <v>1050</v>
      </c>
    </row>
    <row r="176" spans="1:5" x14ac:dyDescent="0.25">
      <c r="A176" s="3" t="s">
        <v>1405</v>
      </c>
      <c r="B176" s="3" t="s">
        <v>863</v>
      </c>
      <c r="C176" s="3">
        <v>600</v>
      </c>
      <c r="D176" s="3" t="s">
        <v>1406</v>
      </c>
      <c r="E176" s="3" t="s">
        <v>1057</v>
      </c>
    </row>
    <row r="177" spans="1:5" x14ac:dyDescent="0.25">
      <c r="A177" s="3" t="s">
        <v>1407</v>
      </c>
      <c r="B177" s="3" t="s">
        <v>857</v>
      </c>
      <c r="C177" s="3">
        <v>604</v>
      </c>
      <c r="D177" s="3" t="s">
        <v>1408</v>
      </c>
      <c r="E177" s="3" t="s">
        <v>1057</v>
      </c>
    </row>
    <row r="178" spans="1:5" x14ac:dyDescent="0.25">
      <c r="A178" s="3" t="s">
        <v>1409</v>
      </c>
      <c r="B178" s="3" t="s">
        <v>858</v>
      </c>
      <c r="C178" s="3">
        <v>608</v>
      </c>
      <c r="D178" s="3" t="s">
        <v>1410</v>
      </c>
      <c r="E178" s="3" t="s">
        <v>1038</v>
      </c>
    </row>
    <row r="179" spans="1:5" x14ac:dyDescent="0.25">
      <c r="A179" s="3" t="s">
        <v>1411</v>
      </c>
      <c r="B179" s="3" t="s">
        <v>979</v>
      </c>
      <c r="C179" s="3">
        <v>612</v>
      </c>
      <c r="D179" s="3" t="s">
        <v>1412</v>
      </c>
      <c r="E179" s="3" t="s">
        <v>1050</v>
      </c>
    </row>
    <row r="180" spans="1:5" x14ac:dyDescent="0.25">
      <c r="A180" s="3" t="s">
        <v>1413</v>
      </c>
      <c r="B180" s="3" t="s">
        <v>860</v>
      </c>
      <c r="C180" s="3">
        <v>616</v>
      </c>
      <c r="D180" s="3" t="s">
        <v>1414</v>
      </c>
      <c r="E180" s="3" t="s">
        <v>1042</v>
      </c>
    </row>
    <row r="181" spans="1:5" x14ac:dyDescent="0.25">
      <c r="A181" s="3" t="s">
        <v>1415</v>
      </c>
      <c r="B181" s="3" t="s">
        <v>862</v>
      </c>
      <c r="C181" s="3">
        <v>620</v>
      </c>
      <c r="D181" s="3" t="s">
        <v>1416</v>
      </c>
      <c r="E181" s="3" t="s">
        <v>1042</v>
      </c>
    </row>
    <row r="182" spans="1:5" x14ac:dyDescent="0.25">
      <c r="A182" s="3" t="s">
        <v>1417</v>
      </c>
      <c r="B182" s="3" t="s">
        <v>861</v>
      </c>
      <c r="C182" s="3">
        <v>630</v>
      </c>
      <c r="D182" s="3" t="s">
        <v>1418</v>
      </c>
      <c r="E182" s="3" t="s">
        <v>1057</v>
      </c>
    </row>
    <row r="183" spans="1:5" x14ac:dyDescent="0.25">
      <c r="A183" s="3" t="s">
        <v>1419</v>
      </c>
      <c r="B183" s="3" t="s">
        <v>864</v>
      </c>
      <c r="C183" s="3">
        <v>634</v>
      </c>
      <c r="D183" s="3" t="s">
        <v>1420</v>
      </c>
      <c r="E183" s="3" t="s">
        <v>1038</v>
      </c>
    </row>
    <row r="184" spans="1:5" x14ac:dyDescent="0.25">
      <c r="A184" s="3" t="s">
        <v>1421</v>
      </c>
      <c r="B184" s="3" t="s">
        <v>920</v>
      </c>
      <c r="C184" s="3">
        <v>638</v>
      </c>
      <c r="D184" s="3" t="s">
        <v>1422</v>
      </c>
      <c r="E184" s="3" t="s">
        <v>1047</v>
      </c>
    </row>
    <row r="185" spans="1:5" x14ac:dyDescent="0.25">
      <c r="A185" s="3" t="s">
        <v>1423</v>
      </c>
      <c r="B185" s="3" t="s">
        <v>865</v>
      </c>
      <c r="C185" s="3">
        <v>642</v>
      </c>
      <c r="D185" s="3" t="s">
        <v>1424</v>
      </c>
      <c r="E185" s="3" t="s">
        <v>1042</v>
      </c>
    </row>
    <row r="186" spans="1:5" x14ac:dyDescent="0.25">
      <c r="A186" s="3" t="s">
        <v>1425</v>
      </c>
      <c r="B186" s="3" t="s">
        <v>867</v>
      </c>
      <c r="C186" s="3">
        <v>643</v>
      </c>
      <c r="D186" s="3" t="s">
        <v>1426</v>
      </c>
      <c r="E186" s="3" t="s">
        <v>1042</v>
      </c>
    </row>
    <row r="187" spans="1:5" x14ac:dyDescent="0.25">
      <c r="A187" s="3" t="s">
        <v>1427</v>
      </c>
      <c r="B187" s="3" t="s">
        <v>981</v>
      </c>
      <c r="C187" s="3">
        <v>646</v>
      </c>
      <c r="D187" s="3" t="s">
        <v>1428</v>
      </c>
      <c r="E187" s="3" t="s">
        <v>1047</v>
      </c>
    </row>
    <row r="188" spans="1:5" x14ac:dyDescent="0.25">
      <c r="A188" s="3" t="s">
        <v>1429</v>
      </c>
      <c r="B188" s="3" t="s">
        <v>1430</v>
      </c>
      <c r="C188" s="3">
        <v>652</v>
      </c>
      <c r="D188" s="3" t="s">
        <v>1431</v>
      </c>
      <c r="E188" s="3" t="s">
        <v>1057</v>
      </c>
    </row>
    <row r="189" spans="1:5" x14ac:dyDescent="0.25">
      <c r="A189" s="3" t="s">
        <v>1432</v>
      </c>
      <c r="B189" s="3" t="s">
        <v>984</v>
      </c>
      <c r="C189" s="3">
        <v>654</v>
      </c>
      <c r="D189" s="3" t="s">
        <v>1433</v>
      </c>
      <c r="E189" s="3" t="s">
        <v>1047</v>
      </c>
    </row>
    <row r="190" spans="1:5" x14ac:dyDescent="0.25">
      <c r="A190" s="3" t="s">
        <v>1434</v>
      </c>
      <c r="B190" s="3" t="s">
        <v>1003</v>
      </c>
      <c r="C190" s="3">
        <v>659</v>
      </c>
      <c r="D190" s="3" t="s">
        <v>1435</v>
      </c>
      <c r="E190" s="3" t="s">
        <v>1057</v>
      </c>
    </row>
    <row r="191" spans="1:5" x14ac:dyDescent="0.25">
      <c r="A191" s="3" t="s">
        <v>1436</v>
      </c>
      <c r="B191" s="3" t="s">
        <v>1004</v>
      </c>
      <c r="C191" s="3">
        <v>662</v>
      </c>
      <c r="D191" s="3" t="s">
        <v>1437</v>
      </c>
      <c r="E191" s="3" t="s">
        <v>1057</v>
      </c>
    </row>
    <row r="192" spans="1:5" x14ac:dyDescent="0.25">
      <c r="A192" s="3" t="s">
        <v>1438</v>
      </c>
      <c r="B192" s="3" t="s">
        <v>1439</v>
      </c>
      <c r="C192" s="3">
        <v>663</v>
      </c>
      <c r="D192" s="3" t="s">
        <v>1440</v>
      </c>
      <c r="E192" s="3" t="s">
        <v>1057</v>
      </c>
    </row>
    <row r="193" spans="1:5" x14ac:dyDescent="0.25">
      <c r="A193" s="3" t="s">
        <v>1441</v>
      </c>
      <c r="B193" s="3" t="s">
        <v>1015</v>
      </c>
      <c r="C193" s="3">
        <v>666</v>
      </c>
      <c r="D193" s="3" t="s">
        <v>1442</v>
      </c>
      <c r="E193" s="3" t="s">
        <v>1057</v>
      </c>
    </row>
    <row r="194" spans="1:5" x14ac:dyDescent="0.25">
      <c r="A194" s="3" t="s">
        <v>1443</v>
      </c>
      <c r="B194" s="3" t="s">
        <v>890</v>
      </c>
      <c r="C194" s="3">
        <v>670</v>
      </c>
      <c r="D194" s="3" t="s">
        <v>1444</v>
      </c>
      <c r="E194" s="3" t="s">
        <v>1057</v>
      </c>
    </row>
    <row r="195" spans="1:5" x14ac:dyDescent="0.25">
      <c r="A195" s="3" t="s">
        <v>1445</v>
      </c>
      <c r="B195" s="3" t="s">
        <v>898</v>
      </c>
      <c r="C195" s="3">
        <v>882</v>
      </c>
      <c r="D195" s="3" t="s">
        <v>1446</v>
      </c>
      <c r="E195" s="3" t="s">
        <v>1050</v>
      </c>
    </row>
    <row r="196" spans="1:5" x14ac:dyDescent="0.25">
      <c r="A196" s="3" t="s">
        <v>1447</v>
      </c>
      <c r="B196" s="3" t="s">
        <v>986</v>
      </c>
      <c r="C196" s="3">
        <v>674</v>
      </c>
      <c r="D196" s="3" t="s">
        <v>1448</v>
      </c>
      <c r="E196" s="3" t="s">
        <v>1042</v>
      </c>
    </row>
    <row r="197" spans="1:5" x14ac:dyDescent="0.25">
      <c r="A197" s="3" t="s">
        <v>1449</v>
      </c>
      <c r="B197" s="3" t="s">
        <v>988</v>
      </c>
      <c r="C197" s="3">
        <v>678</v>
      </c>
      <c r="D197" s="3" t="s">
        <v>1450</v>
      </c>
      <c r="E197" s="3" t="s">
        <v>1047</v>
      </c>
    </row>
    <row r="198" spans="1:5" x14ac:dyDescent="0.25">
      <c r="A198" s="3" t="s">
        <v>1451</v>
      </c>
      <c r="B198" s="3" t="s">
        <v>868</v>
      </c>
      <c r="C198" s="3">
        <v>682</v>
      </c>
      <c r="D198" s="3" t="s">
        <v>1452</v>
      </c>
      <c r="E198" s="3" t="s">
        <v>1038</v>
      </c>
    </row>
    <row r="199" spans="1:5" x14ac:dyDescent="0.25">
      <c r="A199" s="3" t="s">
        <v>1453</v>
      </c>
      <c r="B199" s="3" t="s">
        <v>907</v>
      </c>
      <c r="C199" s="3">
        <v>686</v>
      </c>
      <c r="D199" s="3" t="s">
        <v>1454</v>
      </c>
      <c r="E199" s="3" t="s">
        <v>1047</v>
      </c>
    </row>
    <row r="200" spans="1:5" x14ac:dyDescent="0.25">
      <c r="A200" s="3" t="s">
        <v>1455</v>
      </c>
      <c r="B200" s="3" t="s">
        <v>866</v>
      </c>
      <c r="C200" s="3">
        <v>688</v>
      </c>
      <c r="D200" s="3" t="s">
        <v>1456</v>
      </c>
      <c r="E200" s="3" t="s">
        <v>1042</v>
      </c>
    </row>
    <row r="201" spans="1:5" x14ac:dyDescent="0.25">
      <c r="A201" s="3" t="s">
        <v>1457</v>
      </c>
      <c r="B201" s="3" t="s">
        <v>983</v>
      </c>
      <c r="C201" s="3">
        <v>690</v>
      </c>
      <c r="D201" s="3" t="s">
        <v>1458</v>
      </c>
      <c r="E201" s="3" t="s">
        <v>1047</v>
      </c>
    </row>
    <row r="202" spans="1:5" x14ac:dyDescent="0.25">
      <c r="A202" s="3" t="s">
        <v>1459</v>
      </c>
      <c r="B202" s="3" t="s">
        <v>985</v>
      </c>
      <c r="C202" s="3">
        <v>694</v>
      </c>
      <c r="D202" s="3" t="s">
        <v>1460</v>
      </c>
      <c r="E202" s="3" t="s">
        <v>1047</v>
      </c>
    </row>
    <row r="203" spans="1:5" x14ac:dyDescent="0.25">
      <c r="A203" s="3" t="s">
        <v>1461</v>
      </c>
      <c r="B203" s="3" t="s">
        <v>870</v>
      </c>
      <c r="C203" s="3">
        <v>702</v>
      </c>
      <c r="D203" s="3" t="s">
        <v>1462</v>
      </c>
      <c r="E203" s="3" t="s">
        <v>1038</v>
      </c>
    </row>
    <row r="204" spans="1:5" x14ac:dyDescent="0.25">
      <c r="A204" s="3" t="s">
        <v>1463</v>
      </c>
      <c r="B204" s="3" t="s">
        <v>1018</v>
      </c>
      <c r="C204" s="3">
        <v>534</v>
      </c>
      <c r="D204" s="3" t="s">
        <v>1464</v>
      </c>
      <c r="E204" s="3" t="s">
        <v>1057</v>
      </c>
    </row>
    <row r="205" spans="1:5" x14ac:dyDescent="0.25">
      <c r="A205" s="3" t="s">
        <v>1465</v>
      </c>
      <c r="B205" s="3" t="s">
        <v>872</v>
      </c>
      <c r="C205" s="3">
        <v>703</v>
      </c>
      <c r="D205" s="3" t="s">
        <v>1466</v>
      </c>
      <c r="E205" s="3" t="s">
        <v>1042</v>
      </c>
    </row>
    <row r="206" spans="1:5" x14ac:dyDescent="0.25">
      <c r="A206" s="3" t="s">
        <v>1467</v>
      </c>
      <c r="B206" s="3" t="s">
        <v>871</v>
      </c>
      <c r="C206" s="3">
        <v>705</v>
      </c>
      <c r="D206" s="3" t="s">
        <v>1468</v>
      </c>
      <c r="E206" s="3" t="s">
        <v>1042</v>
      </c>
    </row>
    <row r="207" spans="1:5" x14ac:dyDescent="0.25">
      <c r="A207" s="3" t="s">
        <v>1469</v>
      </c>
      <c r="B207" s="3" t="s">
        <v>982</v>
      </c>
      <c r="C207" s="3">
        <v>90</v>
      </c>
      <c r="D207" s="3" t="s">
        <v>1470</v>
      </c>
      <c r="E207" s="3" t="s">
        <v>1050</v>
      </c>
    </row>
    <row r="208" spans="1:5" x14ac:dyDescent="0.25">
      <c r="A208" s="3" t="s">
        <v>1471</v>
      </c>
      <c r="B208" s="3" t="s">
        <v>936</v>
      </c>
      <c r="C208" s="3">
        <v>706</v>
      </c>
      <c r="D208" s="3" t="s">
        <v>1472</v>
      </c>
      <c r="E208" s="3" t="s">
        <v>1047</v>
      </c>
    </row>
    <row r="209" spans="1:5" x14ac:dyDescent="0.25">
      <c r="A209" s="3" t="s">
        <v>1473</v>
      </c>
      <c r="B209" s="3" t="s">
        <v>884</v>
      </c>
      <c r="C209" s="3">
        <v>710</v>
      </c>
      <c r="D209" s="3" t="s">
        <v>1474</v>
      </c>
      <c r="E209" s="3" t="s">
        <v>1047</v>
      </c>
    </row>
    <row r="210" spans="1:5" x14ac:dyDescent="0.25">
      <c r="A210" s="3" t="s">
        <v>1475</v>
      </c>
      <c r="B210" s="3" t="s">
        <v>1016</v>
      </c>
      <c r="C210" s="3">
        <v>239</v>
      </c>
      <c r="D210" s="3" t="s">
        <v>1476</v>
      </c>
      <c r="E210" s="3" t="s">
        <v>1057</v>
      </c>
    </row>
    <row r="211" spans="1:5" x14ac:dyDescent="0.25">
      <c r="A211" s="3" t="s">
        <v>1477</v>
      </c>
      <c r="B211" s="3" t="s">
        <v>1478</v>
      </c>
      <c r="C211" s="3">
        <v>728</v>
      </c>
      <c r="D211" s="3" t="s">
        <v>1479</v>
      </c>
      <c r="E211" s="3" t="s">
        <v>1047</v>
      </c>
    </row>
    <row r="212" spans="1:5" x14ac:dyDescent="0.25">
      <c r="A212" s="3" t="s">
        <v>1480</v>
      </c>
      <c r="B212" s="3" t="s">
        <v>822</v>
      </c>
      <c r="C212" s="3">
        <v>724</v>
      </c>
      <c r="D212" s="3" t="s">
        <v>1481</v>
      </c>
      <c r="E212" s="3" t="s">
        <v>1042</v>
      </c>
    </row>
    <row r="213" spans="1:5" x14ac:dyDescent="0.25">
      <c r="A213" s="3" t="s">
        <v>1482</v>
      </c>
      <c r="B213" s="3" t="s">
        <v>842</v>
      </c>
      <c r="C213" s="3">
        <v>144</v>
      </c>
      <c r="D213" s="3" t="s">
        <v>1483</v>
      </c>
      <c r="E213" s="3" t="s">
        <v>1038</v>
      </c>
    </row>
    <row r="214" spans="1:5" x14ac:dyDescent="0.25">
      <c r="A214" s="3" t="s">
        <v>1484</v>
      </c>
      <c r="B214" s="3" t="s">
        <v>942</v>
      </c>
      <c r="C214" s="3">
        <v>729</v>
      </c>
      <c r="D214" s="3" t="s">
        <v>1485</v>
      </c>
      <c r="E214" s="3" t="s">
        <v>1047</v>
      </c>
    </row>
    <row r="215" spans="1:5" x14ac:dyDescent="0.25">
      <c r="A215" s="3" t="s">
        <v>1486</v>
      </c>
      <c r="B215" s="3" t="s">
        <v>987</v>
      </c>
      <c r="C215" s="3">
        <v>740</v>
      </c>
      <c r="D215" s="3" t="s">
        <v>1487</v>
      </c>
      <c r="E215" s="3" t="s">
        <v>1057</v>
      </c>
    </row>
    <row r="216" spans="1:5" x14ac:dyDescent="0.25">
      <c r="A216" s="3" t="s">
        <v>1488</v>
      </c>
      <c r="B216" s="3" t="s">
        <v>1489</v>
      </c>
      <c r="C216" s="3">
        <v>744</v>
      </c>
      <c r="D216" s="3" t="s">
        <v>1490</v>
      </c>
      <c r="E216" s="3" t="s">
        <v>1042</v>
      </c>
    </row>
    <row r="217" spans="1:5" x14ac:dyDescent="0.25">
      <c r="A217" s="3" t="s">
        <v>1491</v>
      </c>
      <c r="B217" s="3" t="s">
        <v>869</v>
      </c>
      <c r="C217" s="3">
        <v>752</v>
      </c>
      <c r="D217" s="3" t="s">
        <v>1492</v>
      </c>
      <c r="E217" s="3" t="s">
        <v>1042</v>
      </c>
    </row>
    <row r="218" spans="1:5" x14ac:dyDescent="0.25">
      <c r="A218" s="3" t="s">
        <v>1493</v>
      </c>
      <c r="B218" s="3" t="s">
        <v>810</v>
      </c>
      <c r="C218" s="3">
        <v>756</v>
      </c>
      <c r="D218" s="3" t="s">
        <v>1494</v>
      </c>
      <c r="E218" s="3" t="s">
        <v>1042</v>
      </c>
    </row>
    <row r="219" spans="1:5" x14ac:dyDescent="0.25">
      <c r="A219" s="3" t="s">
        <v>1495</v>
      </c>
      <c r="B219" s="3" t="s">
        <v>1012</v>
      </c>
      <c r="C219" s="3">
        <v>760</v>
      </c>
      <c r="D219" s="3" t="s">
        <v>1496</v>
      </c>
      <c r="E219" s="3" t="s">
        <v>1038</v>
      </c>
    </row>
    <row r="220" spans="1:5" x14ac:dyDescent="0.25">
      <c r="A220" s="3" t="s">
        <v>1497</v>
      </c>
      <c r="B220" s="3" t="s">
        <v>878</v>
      </c>
      <c r="C220" s="3">
        <v>158</v>
      </c>
      <c r="D220" s="3" t="s">
        <v>1498</v>
      </c>
      <c r="E220" s="3" t="s">
        <v>1038</v>
      </c>
    </row>
    <row r="221" spans="1:5" x14ac:dyDescent="0.25">
      <c r="A221" s="3" t="s">
        <v>1499</v>
      </c>
      <c r="B221" s="3" t="s">
        <v>991</v>
      </c>
      <c r="C221" s="3">
        <v>762</v>
      </c>
      <c r="D221" s="3" t="s">
        <v>1500</v>
      </c>
      <c r="E221" s="3" t="s">
        <v>1038</v>
      </c>
    </row>
    <row r="222" spans="1:5" x14ac:dyDescent="0.25">
      <c r="A222" s="3" t="s">
        <v>1501</v>
      </c>
      <c r="B222" s="3" t="s">
        <v>994</v>
      </c>
      <c r="C222" s="3">
        <v>834</v>
      </c>
      <c r="D222" s="3" t="s">
        <v>1502</v>
      </c>
      <c r="E222" s="3" t="s">
        <v>1047</v>
      </c>
    </row>
    <row r="223" spans="1:5" x14ac:dyDescent="0.25">
      <c r="A223" s="3" t="s">
        <v>1503</v>
      </c>
      <c r="B223" s="3" t="s">
        <v>874</v>
      </c>
      <c r="C223" s="3">
        <v>764</v>
      </c>
      <c r="D223" s="3" t="s">
        <v>1504</v>
      </c>
      <c r="E223" s="3" t="s">
        <v>1038</v>
      </c>
    </row>
    <row r="224" spans="1:5" x14ac:dyDescent="0.25">
      <c r="A224" s="3" t="s">
        <v>1505</v>
      </c>
      <c r="B224" s="3" t="s">
        <v>933</v>
      </c>
      <c r="C224" s="3">
        <v>626</v>
      </c>
      <c r="D224" s="3" t="s">
        <v>1506</v>
      </c>
      <c r="E224" s="3" t="s">
        <v>1038</v>
      </c>
    </row>
    <row r="225" spans="1:8" x14ac:dyDescent="0.25">
      <c r="A225" s="3" t="s">
        <v>1507</v>
      </c>
      <c r="B225" s="3" t="s">
        <v>990</v>
      </c>
      <c r="C225" s="3">
        <v>768</v>
      </c>
      <c r="D225" s="3" t="s">
        <v>1508</v>
      </c>
      <c r="E225" s="3" t="s">
        <v>1047</v>
      </c>
    </row>
    <row r="226" spans="1:8" x14ac:dyDescent="0.25">
      <c r="A226" s="3" t="s">
        <v>1509</v>
      </c>
      <c r="B226" s="3" t="s">
        <v>992</v>
      </c>
      <c r="C226" s="3">
        <v>772</v>
      </c>
      <c r="D226" s="3" t="s">
        <v>1510</v>
      </c>
      <c r="E226" s="3" t="s">
        <v>1050</v>
      </c>
    </row>
    <row r="227" spans="1:8" x14ac:dyDescent="0.25">
      <c r="A227" s="3" t="s">
        <v>1511</v>
      </c>
      <c r="B227" s="3" t="s">
        <v>921</v>
      </c>
      <c r="C227" s="3">
        <v>776</v>
      </c>
      <c r="D227" s="3" t="s">
        <v>1512</v>
      </c>
      <c r="E227" s="3" t="s">
        <v>1050</v>
      </c>
    </row>
    <row r="228" spans="1:8" x14ac:dyDescent="0.25">
      <c r="A228" s="3" t="s">
        <v>1513</v>
      </c>
      <c r="B228" s="3" t="s">
        <v>877</v>
      </c>
      <c r="C228" s="3">
        <v>780</v>
      </c>
      <c r="D228" s="3" t="s">
        <v>1514</v>
      </c>
      <c r="E228" s="3" t="s">
        <v>1057</v>
      </c>
      <c r="H228" s="3"/>
    </row>
    <row r="229" spans="1:8" x14ac:dyDescent="0.25">
      <c r="A229" s="3" t="s">
        <v>1515</v>
      </c>
      <c r="B229" s="3" t="s">
        <v>875</v>
      </c>
      <c r="C229" s="3">
        <v>788</v>
      </c>
      <c r="D229" s="3" t="s">
        <v>1516</v>
      </c>
      <c r="E229" s="3" t="s">
        <v>1047</v>
      </c>
    </row>
    <row r="230" spans="1:8" x14ac:dyDescent="0.25">
      <c r="A230" s="3" t="s">
        <v>1517</v>
      </c>
      <c r="B230" s="3" t="s">
        <v>876</v>
      </c>
      <c r="C230" s="3">
        <v>792</v>
      </c>
      <c r="D230" s="3" t="s">
        <v>1518</v>
      </c>
      <c r="E230" s="3" t="s">
        <v>1038</v>
      </c>
    </row>
    <row r="231" spans="1:8" x14ac:dyDescent="0.25">
      <c r="A231" s="3" t="s">
        <v>1519</v>
      </c>
      <c r="B231" s="3" t="s">
        <v>993</v>
      </c>
      <c r="C231" s="3">
        <v>795</v>
      </c>
      <c r="D231" s="3" t="s">
        <v>1520</v>
      </c>
      <c r="E231" s="3" t="s">
        <v>1038</v>
      </c>
    </row>
    <row r="232" spans="1:8" x14ac:dyDescent="0.25">
      <c r="A232" s="3" t="s">
        <v>1521</v>
      </c>
      <c r="B232" s="3" t="s">
        <v>908</v>
      </c>
      <c r="C232" s="3">
        <v>796</v>
      </c>
      <c r="D232" s="3" t="s">
        <v>1522</v>
      </c>
      <c r="E232" s="3" t="s">
        <v>1057</v>
      </c>
    </row>
    <row r="233" spans="1:8" x14ac:dyDescent="0.25">
      <c r="A233" s="3" t="s">
        <v>1523</v>
      </c>
      <c r="B233" s="3" t="s">
        <v>897</v>
      </c>
      <c r="C233" s="3">
        <v>798</v>
      </c>
      <c r="D233" s="3" t="s">
        <v>1524</v>
      </c>
      <c r="E233" s="3" t="s">
        <v>1050</v>
      </c>
    </row>
    <row r="234" spans="1:8" x14ac:dyDescent="0.25">
      <c r="A234" s="3" t="s">
        <v>1525</v>
      </c>
      <c r="B234" s="3" t="s">
        <v>995</v>
      </c>
      <c r="C234" s="3">
        <v>800</v>
      </c>
      <c r="D234" s="3" t="s">
        <v>1526</v>
      </c>
      <c r="E234" s="3" t="s">
        <v>1047</v>
      </c>
    </row>
    <row r="235" spans="1:8" x14ac:dyDescent="0.25">
      <c r="A235" s="3" t="s">
        <v>1527</v>
      </c>
      <c r="B235" s="3" t="s">
        <v>879</v>
      </c>
      <c r="C235" s="3">
        <v>804</v>
      </c>
      <c r="D235" s="3" t="s">
        <v>1528</v>
      </c>
      <c r="E235" s="3" t="s">
        <v>1042</v>
      </c>
    </row>
    <row r="236" spans="1:8" x14ac:dyDescent="0.25">
      <c r="A236" s="3" t="s">
        <v>1529</v>
      </c>
      <c r="B236" s="3" t="s">
        <v>799</v>
      </c>
      <c r="C236" s="3">
        <v>784</v>
      </c>
      <c r="D236" s="3" t="s">
        <v>1530</v>
      </c>
      <c r="E236" s="3" t="s">
        <v>1038</v>
      </c>
    </row>
    <row r="237" spans="1:8" x14ac:dyDescent="0.25">
      <c r="A237" s="3" t="s">
        <v>1531</v>
      </c>
      <c r="B237" s="3" t="s">
        <v>880</v>
      </c>
      <c r="C237" s="3">
        <v>826</v>
      </c>
      <c r="D237" s="3" t="s">
        <v>1532</v>
      </c>
      <c r="E237" s="3" t="s">
        <v>1042</v>
      </c>
    </row>
    <row r="238" spans="1:8" x14ac:dyDescent="0.25">
      <c r="A238" s="3" t="s">
        <v>1533</v>
      </c>
      <c r="B238" s="3" t="s">
        <v>1534</v>
      </c>
      <c r="C238" s="3">
        <v>581</v>
      </c>
      <c r="D238" s="3" t="s">
        <v>1535</v>
      </c>
      <c r="E238" s="3" t="s">
        <v>1050</v>
      </c>
    </row>
    <row r="239" spans="1:8" x14ac:dyDescent="0.25">
      <c r="A239" s="3" t="s">
        <v>1536</v>
      </c>
      <c r="B239" s="3" t="s">
        <v>891</v>
      </c>
      <c r="C239" s="3">
        <v>840</v>
      </c>
      <c r="D239" s="3" t="s">
        <v>1537</v>
      </c>
      <c r="E239" s="3" t="s">
        <v>1057</v>
      </c>
    </row>
    <row r="240" spans="1:8" x14ac:dyDescent="0.25">
      <c r="A240" s="3" t="s">
        <v>1538</v>
      </c>
      <c r="B240" s="3" t="s">
        <v>881</v>
      </c>
      <c r="C240" s="3">
        <v>858</v>
      </c>
      <c r="D240" s="3" t="s">
        <v>1539</v>
      </c>
      <c r="E240" s="3" t="s">
        <v>1057</v>
      </c>
    </row>
    <row r="241" spans="1:5" x14ac:dyDescent="0.25">
      <c r="A241" s="3" t="s">
        <v>1540</v>
      </c>
      <c r="B241" s="3" t="s">
        <v>910</v>
      </c>
      <c r="C241" s="3">
        <v>860</v>
      </c>
      <c r="D241" s="3" t="s">
        <v>1541</v>
      </c>
      <c r="E241" s="3" t="s">
        <v>1038</v>
      </c>
    </row>
    <row r="242" spans="1:5" x14ac:dyDescent="0.25">
      <c r="A242" s="3" t="s">
        <v>1542</v>
      </c>
      <c r="B242" s="3" t="s">
        <v>998</v>
      </c>
      <c r="C242" s="3">
        <v>548</v>
      </c>
      <c r="D242" s="3" t="s">
        <v>1543</v>
      </c>
      <c r="E242" s="3" t="s">
        <v>1050</v>
      </c>
    </row>
    <row r="243" spans="1:5" x14ac:dyDescent="0.25">
      <c r="A243" s="3" t="s">
        <v>1544</v>
      </c>
      <c r="B243" s="3" t="s">
        <v>882</v>
      </c>
      <c r="C243" s="3">
        <v>862</v>
      </c>
      <c r="D243" s="3" t="s">
        <v>1545</v>
      </c>
      <c r="E243" s="3" t="s">
        <v>1057</v>
      </c>
    </row>
    <row r="244" spans="1:5" x14ac:dyDescent="0.25">
      <c r="A244" s="3" t="s">
        <v>1546</v>
      </c>
      <c r="B244" s="3" t="s">
        <v>883</v>
      </c>
      <c r="C244" s="3">
        <v>704</v>
      </c>
      <c r="D244" s="3" t="s">
        <v>1547</v>
      </c>
      <c r="E244" s="3" t="s">
        <v>1038</v>
      </c>
    </row>
    <row r="245" spans="1:5" x14ac:dyDescent="0.25">
      <c r="A245" s="3" t="s">
        <v>1548</v>
      </c>
      <c r="B245" s="3" t="s">
        <v>996</v>
      </c>
      <c r="C245" s="3">
        <v>92</v>
      </c>
      <c r="D245" s="3" t="s">
        <v>1549</v>
      </c>
      <c r="E245" s="3" t="s">
        <v>1057</v>
      </c>
    </row>
    <row r="246" spans="1:5" x14ac:dyDescent="0.25">
      <c r="A246" s="3" t="s">
        <v>1550</v>
      </c>
      <c r="B246" s="3" t="s">
        <v>997</v>
      </c>
      <c r="C246" s="3">
        <v>850</v>
      </c>
      <c r="D246" s="3" t="s">
        <v>1551</v>
      </c>
      <c r="E246" s="3" t="s">
        <v>1057</v>
      </c>
    </row>
    <row r="247" spans="1:5" x14ac:dyDescent="0.25">
      <c r="A247" s="3" t="s">
        <v>1552</v>
      </c>
      <c r="B247" s="3" t="s">
        <v>1553</v>
      </c>
      <c r="C247" s="3">
        <v>876</v>
      </c>
      <c r="D247" s="3" t="s">
        <v>1554</v>
      </c>
      <c r="E247" s="3" t="s">
        <v>1050</v>
      </c>
    </row>
    <row r="248" spans="1:5" x14ac:dyDescent="0.25">
      <c r="A248" s="3" t="s">
        <v>1555</v>
      </c>
      <c r="B248" s="3" t="s">
        <v>1556</v>
      </c>
      <c r="C248" s="3">
        <v>732</v>
      </c>
      <c r="D248" s="3" t="s">
        <v>1557</v>
      </c>
      <c r="E248" s="3" t="s">
        <v>1047</v>
      </c>
    </row>
    <row r="249" spans="1:5" x14ac:dyDescent="0.25">
      <c r="A249" s="3" t="s">
        <v>1558</v>
      </c>
      <c r="B249" s="3" t="s">
        <v>1559</v>
      </c>
      <c r="C249" s="3">
        <v>887</v>
      </c>
      <c r="D249" s="3" t="s">
        <v>1560</v>
      </c>
      <c r="E249" s="3" t="s">
        <v>1038</v>
      </c>
    </row>
    <row r="250" spans="1:5" x14ac:dyDescent="0.25">
      <c r="A250" s="3" t="s">
        <v>1561</v>
      </c>
      <c r="B250" s="3" t="s">
        <v>999</v>
      </c>
      <c r="C250" s="3">
        <v>894</v>
      </c>
      <c r="D250" s="3" t="s">
        <v>1562</v>
      </c>
      <c r="E250" s="3" t="s">
        <v>1047</v>
      </c>
    </row>
    <row r="251" spans="1:5" x14ac:dyDescent="0.25">
      <c r="A251" s="3" t="s">
        <v>1563</v>
      </c>
      <c r="B251" s="3" t="s">
        <v>1000</v>
      </c>
      <c r="C251" s="3">
        <v>716</v>
      </c>
      <c r="D251" s="3" t="s">
        <v>1564</v>
      </c>
      <c r="E251" s="3" t="s">
        <v>1047</v>
      </c>
    </row>
    <row r="253" spans="1:5" ht="17.25" x14ac:dyDescent="0.25">
      <c r="A253" s="3" t="s">
        <v>1565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OECD-UNSD MEIP</vt:lpstr>
      <vt:lpstr>Digital Register</vt:lpstr>
      <vt:lpstr>Metadata</vt:lpstr>
      <vt:lpstr>Country_Code_mapping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Pilgrim_G</dc:creator>
  <cp:lastModifiedBy>PILGRIM Graham, SDD/TPS</cp:lastModifiedBy>
  <dcterms:created xsi:type="dcterms:W3CDTF">2023-02-09T13:29:19Z</dcterms:created>
  <dcterms:modified xsi:type="dcterms:W3CDTF">2024-01-26T11:39:32Z</dcterms:modified>
</cp:coreProperties>
</file>